
<file path=[Content_Types].xml><?xml version="1.0" encoding="utf-8"?>
<Types xmlns="http://schemas.openxmlformats.org/package/2006/content-types">
  <Default Extension="vml" ContentType="application/vnd.openxmlformats-officedocument.vmlDrawing"/>
  <Default Extension="wmf" ContentType="image/x-wmf"/>
  <Default Extension="png" ContentType="image/png"/>
  <Default Extension="jpeg" ContentType="image/jpeg"/>
  <Default Extension="xml" ContentType="application/xml"/>
  <Default Extension="emf" ContentType="image/x-emf"/>
  <Default Extension="rels" ContentType="application/vnd.openxmlformats-package.relationships+xml"/>
  <Default Extension="bin" ContentType="application/vnd.openxmlformats-officedocument.oleObject"/>
  <Override PartName="/xl/persons/person.xml" ContentType="application/vnd.ms-excel.person+xml"/>
  <Override PartName="/xl/worksheets/sheet2.xml" ContentType="application/vnd.openxmlformats-officedocument.spreadsheetml.worksheet+xml"/>
  <Override PartName="/xl/drawings/drawing4.xml" ContentType="application/vnd.openxmlformats-officedocument.drawing+xml"/>
  <Override PartName="/xl/threadedComments/threadedComment1.xml" ContentType="application/vnd.ms-excel.threadedcomments+xml"/>
  <Override PartName="/docProps/custom.xml" ContentType="application/vnd.openxmlformats-officedocument.custom-properties+xml"/>
  <Override PartName="/xl/comments1.xml" ContentType="application/vnd.openxmlformats-officedocument.spreadsheetml.comments+xml"/>
  <Override PartName="/xl/worksheets/sheet3.xml" ContentType="application/vnd.openxmlformats-officedocument.spreadsheetml.worksheet+xml"/>
  <Override PartName="/docProps/core.xml" ContentType="application/vnd.openxmlformats-package.core-properties+xml"/>
  <Override PartName="/xl/styles.xml" ContentType="application/vnd.openxmlformats-officedocument.spreadsheetml.styles+xml"/>
  <Override PartName="/xl/worksheets/sheet5.xml" ContentType="application/vnd.openxmlformats-officedocument.spreadsheetml.worksheet+xml"/>
  <Override PartName="/xl/worksheets/sheet6.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worksheets/sheet7.xml" ContentType="application/vnd.openxmlformats-officedocument.spreadsheetml.worksheet+xml"/>
  <Override PartName="/xl/drawings/drawing2.xml" ContentType="application/vnd.openxmlformats-officedocument.drawing+xml"/>
  <Override PartName="/xl/worksheets/sheet8.xml" ContentType="application/vnd.openxmlformats-officedocument.spreadsheetml.worksheet+xml"/>
  <Override PartName="/xl/worksheets/sheet11.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threadedComments/threadedComment2.xml" ContentType="application/vnd.ms-excel.threadedcomments+xml"/>
  <Override PartName="/xl/comments2.xml" ContentType="application/vnd.openxmlformats-officedocument.spreadsheetml.comments+xml"/>
  <Override PartName="/docProps/app.xml" ContentType="application/vnd.openxmlformats-officedocument.extended-properties+xml"/>
  <Override PartName="/xl/worksheets/sheet10.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drawings/drawing3.xml" ContentType="application/vnd.openxmlformats-officedocument.drawing+xml"/>
  <Override PartName="/xl/worksheets/sheet12.xml" ContentType="application/vnd.openxmlformats-officedocument.spreadsheetml.worksheet+xml"/>
  <Override PartName="/xl/workbook.xml" ContentType="application/vnd.openxmlformats-officedocument.spreadsheetml.sheet.main+xml"/>
  <Override PartName="/xl/drawings/drawing5.xml" ContentType="application/vnd.openxmlformats-officedocument.drawing+xml"/>
</Types>
</file>

<file path=_rels/.rels><?xml version="1.0" encoding="UTF-8" standalone="yes"?><Relationships xmlns="http://schemas.openxmlformats.org/package/2006/relationships"><Relationship  Id="rId4" Type="http://schemas.openxmlformats.org/officeDocument/2006/relationships/officeDocument" Target="xl/workbook.xml"/><Relationship  Id="rId3" Type="http://schemas.openxmlformats.org/officeDocument/2006/relationships/custom-properties" Target="docProps/custom.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11"/>
  </bookViews>
  <sheets>
    <sheet name="SINAPI COMP ONER E DESONER" sheetId="1" state="hidden" r:id="rId2"/>
    <sheet name="SINAPI INSUMO ONER DESO SEM ENC" sheetId="2" state="hidden" r:id="rId3"/>
    <sheet name="SICRO" sheetId="3" state="hidden" r:id="rId4"/>
    <sheet name="AGESUL ONER DESON" sheetId="4" state="hidden" r:id="rId5"/>
    <sheet name="AGESUL INS ONER DESON" sheetId="5" state="hidden" r:id="rId6"/>
    <sheet name="COTACAO" sheetId="6" state="hidden" r:id="rId7"/>
    <sheet name="BOLET DIV" sheetId="7" state="hidden" r:id="rId8"/>
    <sheet name="RESUMO" sheetId="8" state="visible" r:id="rId9"/>
    <sheet name="ORÇAMENTO" sheetId="9" state="visible" r:id="rId10"/>
    <sheet name="COMPOSIÇÕES" sheetId="10" state="visible" r:id="rId11"/>
    <sheet name="MEMÓRIA DE CÁLCULO" sheetId="11" state="hidden" r:id="rId12"/>
    <sheet name="CRONOGRAMA" sheetId="12" state="visible" r:id="rId13"/>
  </sheets>
  <definedNames>
    <definedName name="_xlnm.Print_Area" localSheetId="3">'AGESUL ONER DESON'!$A$5:$F$1768</definedName>
    <definedName name="Database" localSheetId="3" hidden="1">'AGESUL ONER DESON'!$A$3:$F$1768</definedName>
    <definedName name="_xlnm.Print_Area" localSheetId="4">'AGESUL INS ONER DESON'!$A$5:$I$1425</definedName>
    <definedName name="Print_Titles" localSheetId="4">'AGESUL INS ONER DESON'!$A$5:$IV$5</definedName>
    <definedName name="_xlnm.Print_Area" localSheetId="7">RESUMO!$A$1:$D$23</definedName>
    <definedName name="_xlnm.Print_Area" localSheetId="8">ORÇAMENTO!$A$1:$K$160</definedName>
    <definedName name="Print_Titles" localSheetId="8" hidden="0">ORÇAMENTO!$1:$9</definedName>
    <definedName name="_xlnm.Print_Area" localSheetId="9">COMPOSIÇÕES!$B$1:$K$4444</definedName>
    <definedName name="Print_Titles" localSheetId="9" hidden="0">COMPOSIÇÕES!$1:$5</definedName>
    <definedName name="_xlnm.Print_Area" localSheetId="10">'MEMÓRIA DE CÁLCULO'!$A$1:$B$479</definedName>
    <definedName name="Print_Titles" localSheetId="10">'MEMÓRIA DE CÁLCULO'!$1:$7</definedName>
    <definedName name="_xlnm.Print_Area" localSheetId="11">CRONOGRAMA!$A$1:$P$29</definedName>
    <definedName name="AGESULOD">'AGESUL ONER DESON'!$A$8:$K$1768</definedName>
    <definedName name="COMPOD">COMPOSIÇÕES!$A$6:$M$4442</definedName>
    <definedName name="COMPOD1">COMPOSIÇÕES!$F$6:$M$4440</definedName>
    <definedName name="COTACAO">COTACAO!$B$1:$G$500</definedName>
    <definedName name="Database" hidden="1">'AGESUL INS ONER DESON'!$A$5:$H$1425</definedName>
    <definedName name="INSAGESUL">'AGESUL INS ONER DESON'!$A$6:$H$1425</definedName>
    <definedName name="INSINOD">'SINAPI INSUMO ONER DESO SEM ENC'!$B$11:$I$4828</definedName>
    <definedName name="SICRO">SICRO!$B$2:$F$110</definedName>
    <definedName name="SINCOMOD">'SINAPI COMP ONER E DESONER'!$B$11:$I$10155</definedName>
    <definedName name="_xlnm._FilterDatabase" localSheetId="8" hidden="1">ORÇAMENTO!$A$8:$L$154</definedName>
    <definedName name="_xlnm._FilterDatabase" localSheetId="9" hidden="1">COMPOSIÇÕES!$A$5:$AJ$4438</definedName>
  </definedNames>
  <calcPr fullPrecision="0"/>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tc={009B007E-0097-4DE7-94BF-00210090007D}</author>
    <author>tc={00FF00C2-0033-4B14-B211-009F007B0053}</author>
    <author>tc={009E004E-0099-41CE-8F5E-00BA00A70024}</author>
  </authors>
  <commentList>
    <comment ref="F2" authorId="0" xr:uid="{009B007E-0097-4DE7-94BF-00210090007D}">
      <text>
        <r>
          <rPr>
            <b/>
            <sz val="9"/>
            <rFont val="Tahoma"/>
          </rPr>
          <t>Maristela:</t>
        </r>
        <r>
          <rPr>
            <sz val="9"/>
            <rFont val="Tahoma"/>
          </rPr>
          <t xml:space="preserve">
Esta coluna tem fórmula, não preencher!!!
</t>
        </r>
      </text>
    </comment>
    <comment ref="P5" authorId="1" xr:uid="{00FF00C2-0033-4B14-B211-009F007B0053}">
      <text>
        <r>
          <rPr>
            <b/>
            <sz val="9"/>
            <rFont val="Tahoma"/>
          </rPr>
          <t>Maristela:</t>
        </r>
        <r>
          <rPr>
            <sz val="9"/>
            <rFont val="Tahoma"/>
          </rPr>
          <t xml:space="preserve">
Atualizar Data Base utilizada nos preços unitários SICRO
</t>
        </r>
      </text>
    </comment>
    <comment ref="Q5" authorId="2" xr:uid="{009E004E-0099-41CE-8F5E-00BA00A70024}">
      <text>
        <r>
          <rPr>
            <b/>
            <sz val="9"/>
            <rFont val="Tahoma"/>
          </rPr>
          <t>Maristela:</t>
        </r>
        <r>
          <rPr>
            <sz val="9"/>
            <rFont val="Tahoma"/>
          </rPr>
          <t xml:space="preserve">
Atualizar Data Base utilizada nos preços unitários SINAPI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tc={0078000A-0084-4E0F-83B6-004E00F400B6}</author>
    <author>tc={0015002D-004D-403E-ABC6-00680060005C}</author>
    <author>tc={00C500D0-004D-4DAC-BE70-00C000AF0049}</author>
    <author>tc={004900DD-000B-4FAC-9112-000C007800C8}</author>
    <author>tc={000900B3-0091-4F65-AE7A-0033009A00BB}</author>
    <author>tc={008D00A3-00F1-4D52-8451-00D000B60017}</author>
    <author>tc={00060073-00BC-48C1-A0A9-00B300B10065}</author>
    <author>tc={00C400DD-008B-4756-BF77-006100350041}</author>
    <author>tc={00C0000F-0078-4C88-A810-0092002E00DD}</author>
    <author>tc={0011002B-00A4-4120-9AB5-00B0004F007C}</author>
    <author>tc={007900C6-00B1-4ABF-8E02-005D008C00F9}</author>
    <author>tc={00D8006B-0047-4357-BC7E-00EB009F0040}</author>
    <author>tc={00B40017-0091-40AF-820F-00E3008600D2}</author>
    <author>tc={00BA00BC-00BF-4BE2-8985-008100010043}</author>
    <author>tc={003600C0-0084-48DE-8A0F-0034001700BD}</author>
  </authors>
  <commentList>
    <comment ref="I2706" authorId="0" xr:uid="{0078000A-0084-4E0F-83B6-004E00F400B6}">
      <text>
        <r>
          <rPr>
            <b/>
            <sz val="9"/>
            <rFont val="Tahoma"/>
          </rPr>
          <t>Isabela:</t>
        </r>
        <r>
          <rPr>
            <sz val="9"/>
            <rFont val="Tahoma"/>
          </rPr>
          <t xml:space="preserve">
produção escav + reaterro considerando 3 homens
</t>
        </r>
      </text>
    </comment>
    <comment ref="I2714" authorId="1" xr:uid="{0015002D-004D-403E-ABC6-00680060005C}">
      <text>
        <r>
          <rPr>
            <b/>
            <sz val="9"/>
            <rFont val="Tahoma"/>
          </rPr>
          <t>Isabela:</t>
        </r>
        <r>
          <rPr>
            <sz val="9"/>
            <rFont val="Tahoma"/>
          </rPr>
          <t xml:space="preserve">
produção escav + reaterro considerando 3 homens
</t>
        </r>
      </text>
    </comment>
    <comment ref="I3501" authorId="2" xr:uid="{00C500D0-004D-4DAC-BE70-00C000AF0049}">
      <text>
        <r>
          <rPr>
            <b/>
            <sz val="9"/>
            <rFont val="Tahoma"/>
          </rPr>
          <t>Luana:</t>
        </r>
        <r>
          <rPr>
            <sz val="9"/>
            <rFont val="Tahoma"/>
          </rPr>
          <t xml:space="preserve">
Cálculo de área feito no https://dmquimica.com.br/calc_metal/
</t>
        </r>
      </text>
    </comment>
    <comment ref="I3451" authorId="3" xr:uid="{004900DD-000B-4FAC-9112-000C007800C8}">
      <text>
        <r>
          <rPr>
            <b/>
            <sz val="9"/>
            <rFont val="Tahoma"/>
          </rPr>
          <t>Luana:</t>
        </r>
        <r>
          <rPr>
            <sz val="9"/>
            <rFont val="Tahoma"/>
          </rPr>
          <t xml:space="preserve">
Cálculo de área feito no https://dmquimica.com.br/calc_metal/
</t>
        </r>
      </text>
    </comment>
    <comment ref="I4277" authorId="4" xr:uid="{000900B3-0091-4F65-AE7A-0033009A00BB}">
      <text>
        <r>
          <rPr>
            <b/>
            <sz val="9"/>
            <rFont val="Tahoma"/>
          </rPr>
          <t>Bruno:</t>
        </r>
        <r>
          <rPr>
            <sz val="9"/>
            <rFont val="Tahoma"/>
          </rPr>
          <t xml:space="preserve">
Ver Cotas Recorte em  Projeto
</t>
        </r>
      </text>
    </comment>
    <comment ref="I4285" authorId="5" xr:uid="{008D00A3-00F1-4D52-8451-00D000B60017}">
      <text>
        <r>
          <rPr>
            <b/>
            <sz val="9"/>
            <rFont val="Tahoma"/>
          </rPr>
          <t>Bruno:</t>
        </r>
        <r>
          <rPr>
            <sz val="9"/>
            <rFont val="Tahoma"/>
          </rPr>
          <t xml:space="preserve">
Ver Resumo Aço  em Projeto
</t>
        </r>
      </text>
    </comment>
    <comment ref="I4286" authorId="6" xr:uid="{00060073-00BC-48C1-A0A9-00B300B10065}">
      <text>
        <r>
          <rPr>
            <b/>
            <sz val="9"/>
            <rFont val="Tahoma"/>
          </rPr>
          <t>Bruno:</t>
        </r>
        <r>
          <rPr>
            <sz val="9"/>
            <rFont val="Tahoma"/>
          </rPr>
          <t xml:space="preserve">
Ver Resumo Aço  em Projeto
</t>
        </r>
      </text>
    </comment>
    <comment ref="I3453" authorId="7" xr:uid="{00C400DD-008B-4756-BF77-006100350041}">
      <text>
        <r>
          <rPr>
            <b/>
            <sz val="9"/>
            <rFont val="Tahoma"/>
          </rPr>
          <t>Luana:</t>
        </r>
        <r>
          <rPr>
            <sz val="9"/>
            <rFont val="Tahoma"/>
          </rPr>
          <t xml:space="preserve">
Cálculo de área feito no https://dmquimica.com.br/calc_metal/
</t>
        </r>
      </text>
    </comment>
    <comment ref="I4284" authorId="8" xr:uid="{00C0000F-0078-4C88-A810-0092002E00DD}">
      <text>
        <r>
          <rPr>
            <b/>
            <sz val="9"/>
            <rFont val="Tahoma"/>
          </rPr>
          <t>Bruno:</t>
        </r>
        <r>
          <rPr>
            <sz val="9"/>
            <rFont val="Tahoma"/>
          </rPr>
          <t xml:space="preserve">
Ver Resumo Aço  em Projeto
</t>
        </r>
      </text>
    </comment>
    <comment ref="I4291" authorId="9" xr:uid="{0011002B-00A4-4120-9AB5-00B0004F007C}">
      <text>
        <r>
          <rPr>
            <b/>
            <sz val="9"/>
            <rFont val="Tahoma"/>
          </rPr>
          <t>Bruno:</t>
        </r>
        <r>
          <rPr>
            <sz val="9"/>
            <rFont val="Tahoma"/>
          </rPr>
          <t xml:space="preserve">
Chamada D'agua  + Vigas Internas conforme Projeto
</t>
        </r>
      </text>
    </comment>
    <comment ref="I3476" authorId="10" xr:uid="{007900C6-00B1-4ABF-8E02-005D008C00F9}">
      <text>
        <r>
          <rPr>
            <b/>
            <sz val="9"/>
            <rFont val="Tahoma"/>
          </rPr>
          <t>Luana:</t>
        </r>
        <r>
          <rPr>
            <sz val="9"/>
            <rFont val="Tahoma"/>
          </rPr>
          <t xml:space="preserve">
Cálculo de área feito no https://dmquimica.com.br/calc_metal/
</t>
        </r>
      </text>
    </comment>
    <comment ref="I4278" authorId="11" xr:uid="{00D8006B-0047-4357-BC7E-00EB009F0040}">
      <text>
        <r>
          <rPr>
            <b/>
            <sz val="9"/>
            <rFont val="Tahoma"/>
          </rPr>
          <t>Bruno:</t>
        </r>
        <r>
          <rPr>
            <sz val="9"/>
            <rFont val="Tahoma"/>
          </rPr>
          <t xml:space="preserve">
Ver Area da chamada bl em projeto.
</t>
        </r>
      </text>
    </comment>
    <comment ref="I4283" authorId="12" xr:uid="{00B40017-0091-40AF-820F-00E3008600D2}">
      <text>
        <r>
          <rPr>
            <b/>
            <sz val="9"/>
            <rFont val="Tahoma"/>
          </rPr>
          <t>Bruno:</t>
        </r>
        <r>
          <rPr>
            <sz val="9"/>
            <rFont val="Tahoma"/>
          </rPr>
          <t xml:space="preserve">
Radier, Vigas Internas e Viga VL1
</t>
        </r>
      </text>
    </comment>
    <comment ref="I4287" authorId="13" xr:uid="{00BA00BC-00BF-4BE2-8985-008100010043}">
      <text>
        <r>
          <rPr>
            <b/>
            <sz val="9"/>
            <rFont val="Tahoma"/>
          </rPr>
          <t>Bruno:</t>
        </r>
        <r>
          <rPr>
            <sz val="9"/>
            <rFont val="Tahoma"/>
          </rPr>
          <t xml:space="preserve">
Ver Resumo Aço  em Projeto
</t>
        </r>
      </text>
    </comment>
    <comment ref="I4290" authorId="14" xr:uid="{003600C0-0084-48DE-8A0F-0034001700BD}">
      <text>
        <r>
          <rPr>
            <b/>
            <sz val="9"/>
            <rFont val="Tahoma"/>
          </rPr>
          <t>Bruno:</t>
        </r>
        <r>
          <rPr>
            <sz val="9"/>
            <rFont val="Tahoma"/>
          </rPr>
          <t xml:space="preserve">
Base BLT  conforme Projeto
</t>
        </r>
      </text>
    </comment>
  </commentList>
</comments>
</file>

<file path=xl/sharedStrings.xml><?xml version="1.0" encoding="utf-8"?>
<sst xmlns="http://schemas.openxmlformats.org/spreadsheetml/2006/main" count="22871" uniqueCount="22871">
  <si>
    <t xml:space="preserve">SINAPI - Sistema Nacional de Pesquisa de Custos e Índices da Construção Civil</t>
  </si>
  <si>
    <t xml:space="preserve">RELATÓRIO DE CUSTOS DE COMPOSIÇÕES - ENCARGOS SOCIAIS SEM DESONERAÇÃO</t>
  </si>
  <si>
    <t xml:space="preserve">Mês de Referência:</t>
  </si>
  <si>
    <t>03/2026</t>
  </si>
  <si>
    <t xml:space="preserve">Encargos sociais sobre a mão de obra:</t>
  </si>
  <si>
    <t>ONERADO</t>
  </si>
  <si>
    <t>DESONERADO</t>
  </si>
  <si>
    <t xml:space="preserve">Data de emissão:</t>
  </si>
  <si>
    <t>10/04/2026</t>
  </si>
  <si>
    <t xml:space="preserve">(SEM DESONERAÇÃO)</t>
  </si>
  <si>
    <t>MS</t>
  </si>
  <si>
    <t>Localidade</t>
  </si>
  <si>
    <t xml:space="preserve">CAMPO GRANDE</t>
  </si>
  <si>
    <t>Observação:</t>
  </si>
  <si>
    <t xml:space="preserve">%AS (porcentagem Atribuído São Paulo) corresponde a porcentagem do custo total da</t>
  </si>
  <si>
    <t>Horista</t>
  </si>
  <si>
    <t xml:space="preserve">composição que foi obtida utilizando preços de insumos de São Paulo por indisponibilidade</t>
  </si>
  <si>
    <t>Mensalista</t>
  </si>
  <si>
    <t xml:space="preserve">dos preços de insumos necessários à composição no estado em questão. Custo zerado (hífen)</t>
  </si>
  <si>
    <t xml:space="preserve">indica que pelo menos um dos itens da composição não tem custo/preço.</t>
  </si>
  <si>
    <t>Grupo</t>
  </si>
  <si>
    <t xml:space="preserve">Código da
Composição</t>
  </si>
  <si>
    <t>Descrição</t>
  </si>
  <si>
    <t>Unidade</t>
  </si>
  <si>
    <t xml:space="preserve">Custo (R$)</t>
  </si>
  <si>
    <t>%AS</t>
  </si>
  <si>
    <t>SITUAÇÃO</t>
  </si>
  <si>
    <t>Acessibilidade</t>
  </si>
  <si>
    <t xml:space="preserve">PISO PODOTÁTIL DE ALERTA OU DIRECIONAL, DE CONCRETO, ASSENTADO SOBRE ARGAMASSA. AF_03/2024</t>
  </si>
  <si>
    <t>M2</t>
  </si>
  <si>
    <t xml:space="preserve">RAMPA DE ACESSIBILIDADE EM CONCRETO MOLDADO IN LOCO, EM CALÇADA NOVA COM LARGURA MAIOR OU IGUAL À 3,00 M, FCK 25MPA, COM PISO PODOTÁTIL. AF_03/2024</t>
  </si>
  <si>
    <t>UN</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</si>
  <si>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</si>
  <si>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</si>
  <si>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</si>
  <si>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</si>
  <si>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</si>
  <si>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</si>
  <si>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M</t>
  </si>
  <si>
    <t xml:space="preserve">RAMPA DE ACESSIBILIDADE PARA ACESSO A EDIFICAÇÕES COM INCLINAÇÃO DE 8,33% EM CONCRETO MOLDADO IN LOCO, COM LARGURA DE 1,50M, FCK 25MPA, NÃO ARMADA, COM JUNTA A CADA 2M COM CORTE À SECO. AF_03/2024</t>
  </si>
  <si>
    <t xml:space="preserve">Alvenaria Estrutural - Blocos Cerâmicos</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</si>
  <si>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</si>
  <si>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</si>
  <si>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</si>
  <si>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</si>
  <si>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</si>
  <si>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</si>
  <si>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</si>
  <si>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</si>
  <si>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Estrutural - Blocos de Concreto</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</si>
  <si>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</si>
  <si>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</si>
  <si>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</si>
  <si>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</si>
  <si>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</si>
  <si>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</si>
  <si>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</si>
  <si>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</si>
  <si>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</si>
  <si>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</si>
  <si>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</si>
  <si>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</si>
  <si>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</si>
  <si>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</si>
  <si>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</si>
  <si>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</si>
  <si>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</si>
  <si>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</si>
  <si>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</si>
  <si>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</si>
  <si>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</si>
  <si>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</si>
  <si>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</si>
  <si>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</si>
  <si>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</si>
  <si>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</si>
  <si>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</si>
  <si>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</si>
  <si>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</si>
  <si>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</si>
  <si>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</si>
  <si>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</si>
  <si>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</si>
  <si>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</si>
  <si>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</si>
  <si>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</si>
  <si>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</si>
  <si>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</si>
  <si>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</si>
  <si>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</si>
  <si>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</si>
  <si>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</si>
  <si>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</si>
  <si>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</si>
  <si>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</si>
  <si>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</si>
  <si>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</si>
  <si>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</si>
  <si>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</si>
  <si>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</si>
  <si>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</si>
  <si>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</si>
  <si>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</si>
  <si>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</si>
  <si>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</si>
  <si>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</si>
  <si>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</si>
  <si>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</si>
  <si>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</si>
  <si>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</si>
  <si>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</si>
  <si>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</si>
  <si>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</si>
  <si>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</si>
  <si>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</si>
  <si>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</si>
  <si>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</si>
  <si>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</si>
  <si>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</si>
  <si>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Alvenarias Diversas</t>
  </si>
  <si>
    <t xml:space="preserve">ALVENARIA DE EMBASAMENTO COM BLOCO ESTRUTURAL DE CERÂMICA, DE 14X19X29CM E ARGAMASSA DE ASSENTAMENTO COM PREPARO EM BETONEIRA. AF_05/2020</t>
  </si>
  <si>
    <t>M3</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</si>
  <si>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</si>
  <si>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</si>
  <si>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</si>
  <si>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</si>
  <si>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</si>
  <si>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</si>
  <si>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</si>
  <si>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</si>
  <si>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</si>
  <si>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</si>
  <si>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</si>
  <si>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</si>
  <si>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Argamassas</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</si>
  <si>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</si>
  <si>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</si>
  <si>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</si>
  <si>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</si>
  <si>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</si>
  <si>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</si>
  <si>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</si>
  <si>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</si>
  <si>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</si>
  <si>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</si>
  <si>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</si>
  <si>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</si>
  <si>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</si>
  <si>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</si>
  <si>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</si>
  <si>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</si>
  <si>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</si>
  <si>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</si>
  <si>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</si>
  <si>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</si>
  <si>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</si>
  <si>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</si>
  <si>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</si>
  <si>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</si>
  <si>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</si>
  <si>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</si>
  <si>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</si>
  <si>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</si>
  <si>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</si>
  <si>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</si>
  <si>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</si>
  <si>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</si>
  <si>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</si>
  <si>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</si>
  <si>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</si>
  <si>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</si>
  <si>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</si>
  <si>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</si>
  <si>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</si>
  <si>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</si>
  <si>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</si>
  <si>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</si>
  <si>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</si>
  <si>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</si>
  <si>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</si>
  <si>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</si>
  <si>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</si>
  <si>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</si>
  <si>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</si>
  <si>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</si>
  <si>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</si>
  <si>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</si>
  <si>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</si>
  <si>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</si>
  <si>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</si>
  <si>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</si>
  <si>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</si>
  <si>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</si>
  <si>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</si>
  <si>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</si>
  <si>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</si>
  <si>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</si>
  <si>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</si>
  <si>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</si>
  <si>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</si>
  <si>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</si>
  <si>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</si>
  <si>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</si>
  <si>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</si>
  <si>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</si>
  <si>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</si>
  <si>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</si>
  <si>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</si>
  <si>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</si>
  <si>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</si>
  <si>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</si>
  <si>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</si>
  <si>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</si>
  <si>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</si>
  <si>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</si>
  <si>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</si>
  <si>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</si>
  <si>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</si>
  <si>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250 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</si>
  <si>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</si>
  <si>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</si>
  <si>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</si>
  <si>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</si>
  <si>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</si>
  <si>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</si>
  <si>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</si>
  <si>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</si>
  <si>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</si>
  <si>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</si>
  <si>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</si>
  <si>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</si>
  <si>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</si>
  <si>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</si>
  <si>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</si>
  <si>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</si>
  <si>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</si>
  <si>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</si>
  <si>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</si>
  <si>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</si>
  <si>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</si>
  <si>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</si>
  <si>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</si>
  <si>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</si>
  <si>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</si>
  <si>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</si>
  <si>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</si>
  <si>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</si>
  <si>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</si>
  <si>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</si>
  <si>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</si>
  <si>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</si>
  <si>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</si>
  <si>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</si>
  <si>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</si>
  <si>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</si>
  <si>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</si>
  <si>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</si>
  <si>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</si>
  <si>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</si>
  <si>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</si>
  <si>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</si>
  <si>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</si>
  <si>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</si>
  <si>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</si>
  <si>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</si>
  <si>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</si>
  <si>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</si>
  <si>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</si>
  <si>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</si>
  <si>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</si>
  <si>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</si>
  <si>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</si>
  <si>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</si>
  <si>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</si>
  <si>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</si>
  <si>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</si>
  <si>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</si>
  <si>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</si>
  <si>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</si>
  <si>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</si>
  <si>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</si>
  <si>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</si>
  <si>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</si>
  <si>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</si>
  <si>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</si>
  <si>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</si>
  <si>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</si>
  <si>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</si>
  <si>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</si>
  <si>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</si>
  <si>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</si>
  <si>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</si>
  <si>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</si>
  <si>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</si>
  <si>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</si>
  <si>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</si>
  <si>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</si>
  <si>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</si>
  <si>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</si>
  <si>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</si>
  <si>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Armação de Estacas</t>
  </si>
  <si>
    <t xml:space="preserve">MONTAGEM DE ARMADURA DE ESTACAS, DIÂMETRO = 10,0 MM. AF_09/2021_PS</t>
  </si>
  <si>
    <t>KG</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</si>
  <si>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</si>
  <si>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</si>
  <si>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</si>
  <si>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</si>
  <si>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</si>
  <si>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</si>
  <si>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</si>
  <si>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</si>
  <si>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</si>
  <si>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</si>
  <si>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para Estruturas de Concreto Armado</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</si>
  <si>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</si>
  <si>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</si>
  <si>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</si>
  <si>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</si>
  <si>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</si>
  <si>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</si>
  <si>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</si>
  <si>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</si>
  <si>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</si>
  <si>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</si>
  <si>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</si>
  <si>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</si>
  <si>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</si>
  <si>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</si>
  <si>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</si>
  <si>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</si>
  <si>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</si>
  <si>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</si>
  <si>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</si>
  <si>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</si>
  <si>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</si>
  <si>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</si>
  <si>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</si>
  <si>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</si>
  <si>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</si>
  <si>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</si>
  <si>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</si>
  <si>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</si>
  <si>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</si>
  <si>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</si>
  <si>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</si>
  <si>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</si>
  <si>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</si>
  <si>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</si>
  <si>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</si>
  <si>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</si>
  <si>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</si>
  <si>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</si>
  <si>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</si>
  <si>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</si>
  <si>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</si>
  <si>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</si>
  <si>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</si>
  <si>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</si>
  <si>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</si>
  <si>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</si>
  <si>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</si>
  <si>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</si>
  <si>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</si>
  <si>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</si>
  <si>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</si>
  <si>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</si>
  <si>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</si>
  <si>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</si>
  <si>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</si>
  <si>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</si>
  <si>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de Estacas</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</si>
  <si>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</si>
  <si>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</si>
  <si>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</si>
  <si>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</si>
  <si>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</si>
  <si>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</si>
  <si>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</si>
  <si>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</si>
  <si>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</si>
  <si>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</si>
  <si>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</si>
  <si>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Asfalto</t>
  </si>
  <si>
    <t xml:space="preserve">EXECUÇÃO DE MICRORREVESTIMENTO FAIXA 2 DNIT. AF_10/2025</t>
  </si>
  <si>
    <t xml:space="preserve">EXECUÇÃO DE MICRORREVESTIMENTO FAIXA 3 DNIT. AF_10/2025</t>
  </si>
  <si>
    <t xml:space="preserve">EXECUÇÃO DE PAVIMENTO COM APLICAÇÃO DE CONCRETO ASFÁLTICO, CAMADA DE BINDER - EXCLUSIVE CARGA E TRANSPORTE. AF_10/2025</t>
  </si>
  <si>
    <t xml:space="preserve">EXECUÇÃO DE PAVIMENTO COM APLICAÇÃO DE CONCRETO ASFÁLTICO, CAMADA DE ROLAMENTO - EXCLUSIVE CARGA E TRANSPORTE. AF_10/2025</t>
  </si>
  <si>
    <t xml:space="preserve">EXECUÇÃO DE PAVIMENTO COM APLICAÇÃO DE PRÉ-MISTURADO A FRIO, CAMADA DE BINDER - EXCLUSIVE CARGA E TRANSPORTE. AF_10/2025</t>
  </si>
  <si>
    <t xml:space="preserve">EXECUÇÃO DE PAVIMENTO COM APLICAÇÃO DE PRÉ-MISTURADO A FRIO, CAMADA DE ROLAMENTO - EXCLUSIVE CARGA E TRANSPORTE. AF_10/2025</t>
  </si>
  <si>
    <t xml:space="preserve">FRESAGEM DE PAVIMENTO ASFÁLTICO, COM LARGURA DA VIA MAIOR QUE 10,00 M, EM LOCAIS COM NIVEL ALTO DE INTERFERÊNCIA. AF_10/2025</t>
  </si>
  <si>
    <t xml:space="preserve">FRESAGEM DE PAVIMENTO ASFÁLTICO, COM LARGURA DA VIA MAIOR QUE 10,00 M, EM LOCAIS COM NIVEL BAIXO DE INTERFERÊNCIA. AF_10/2025</t>
  </si>
  <si>
    <t xml:space="preserve">FRESAGEM DE PAVIMENTO ASFÁLTICO, COM LARGURA DA VIA MAIOR QUE 6,00 M E MENOR OU IGUAL 10,00 M, EM LOCAIS COM NIVEL ALTO DE INTERFERÊNCIA. AF_10/2025</t>
  </si>
  <si>
    <t xml:space="preserve">FRESAGEM DE PAVIMENTO ASFÁLTICO, COM LARGURA DA VIA MAIOR QUE 6,00 M E MENOR OU IGUAL 10,00 M, EM LOCAIS COM NIVEL BAIXO DE INTERFERÊNCIA. AF_10/2025</t>
  </si>
  <si>
    <t xml:space="preserve">FRESAGEM DE PAVIMENTO ASFÁLTICO, COM LARGURA DA VIA MENOR OU IGUAL 6,00 M, EM LOCAIS COM NIVEL ALTO DE INTERFERÊNCIA. AF_10/2025</t>
  </si>
  <si>
    <t xml:space="preserve">FRESAGEM DE PAVIMENTO ASFÁLTICO, COM LARGURA DA VIA MENOR OU IGUAL 6,00 M, EM LOCAIS COM NIVEL BAIXO DE INTERFERÊNCIA. AF_10/2025</t>
  </si>
  <si>
    <t xml:space="preserve">Assentamento de Tubos de Esgoto em PVC e PEAD</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</si>
  <si>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</si>
  <si>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</si>
  <si>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</si>
  <si>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</si>
  <si>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</si>
  <si>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</si>
  <si>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</si>
  <si>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</si>
  <si>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</si>
  <si>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</si>
  <si>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</si>
  <si>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</si>
  <si>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</si>
  <si>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</si>
  <si>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</si>
  <si>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</si>
  <si>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</si>
  <si>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</si>
  <si>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</si>
  <si>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</si>
  <si>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</si>
  <si>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</si>
  <si>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</si>
  <si>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</si>
  <si>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</si>
  <si>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</si>
  <si>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</si>
  <si>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</si>
  <si>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</si>
  <si>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</si>
  <si>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</si>
  <si>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</si>
  <si>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</si>
  <si>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</si>
  <si>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</si>
  <si>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</si>
  <si>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</si>
  <si>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</si>
  <si>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</si>
  <si>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</si>
  <si>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</si>
  <si>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</si>
  <si>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</si>
  <si>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</si>
  <si>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</si>
  <si>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</si>
  <si>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</si>
  <si>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</si>
  <si>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</si>
  <si>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</si>
  <si>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</si>
  <si>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</si>
  <si>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</si>
  <si>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</si>
  <si>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</si>
  <si>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</si>
  <si>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Tubos de PVC e Metálicos em Redes de Água</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</si>
  <si>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</si>
  <si>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</si>
  <si>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</si>
  <si>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</si>
  <si>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</si>
  <si>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</si>
  <si>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</si>
  <si>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</si>
  <si>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</si>
  <si>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</si>
  <si>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</si>
  <si>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</si>
  <si>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</si>
  <si>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</si>
  <si>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</si>
  <si>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</si>
  <si>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</si>
  <si>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</si>
  <si>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</si>
  <si>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</si>
  <si>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</si>
  <si>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</si>
  <si>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</si>
  <si>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</si>
  <si>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</si>
  <si>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</si>
  <si>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</si>
  <si>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</si>
  <si>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</si>
  <si>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</si>
  <si>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</si>
  <si>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</si>
  <si>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</si>
  <si>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</si>
  <si>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</si>
  <si>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</si>
  <si>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</si>
  <si>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</si>
  <si>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</si>
  <si>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</si>
  <si>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</si>
  <si>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</si>
  <si>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</si>
  <si>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</si>
  <si>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</si>
  <si>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</si>
  <si>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</si>
  <si>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</si>
  <si>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</si>
  <si>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</si>
  <si>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</si>
  <si>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</si>
  <si>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</si>
  <si>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</si>
  <si>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</si>
  <si>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</si>
  <si>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</si>
  <si>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</si>
  <si>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</si>
  <si>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</si>
  <si>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</si>
  <si>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</si>
  <si>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</si>
  <si>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</si>
  <si>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</si>
  <si>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</si>
  <si>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</si>
  <si>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</si>
  <si>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</si>
  <si>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</si>
  <si>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</si>
  <si>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</si>
  <si>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</si>
  <si>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</si>
  <si>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</si>
  <si>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</si>
  <si>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</si>
  <si>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</si>
  <si>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</si>
  <si>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</si>
  <si>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</si>
  <si>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</si>
  <si>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</si>
  <si>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</si>
  <si>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</si>
  <si>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</si>
  <si>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</si>
  <si>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</si>
  <si>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</si>
  <si>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</si>
  <si>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</si>
  <si>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</si>
  <si>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</si>
  <si>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</si>
  <si>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</si>
  <si>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</si>
  <si>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</si>
  <si>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</si>
  <si>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</si>
  <si>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</si>
  <si>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</si>
  <si>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</si>
  <si>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</si>
  <si>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</si>
  <si>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</si>
  <si>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</si>
  <si>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</si>
  <si>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</si>
  <si>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</si>
  <si>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</si>
  <si>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</si>
  <si>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</si>
  <si>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</si>
  <si>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</si>
  <si>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</si>
  <si>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</si>
  <si>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</si>
  <si>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</si>
  <si>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</si>
  <si>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</si>
  <si>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</si>
  <si>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</si>
  <si>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</si>
  <si>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</si>
  <si>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</si>
  <si>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</si>
  <si>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</si>
  <si>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</si>
  <si>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</si>
  <si>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</si>
  <si>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</si>
  <si>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</si>
  <si>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</si>
  <si>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</si>
  <si>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</si>
  <si>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</si>
  <si>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</si>
  <si>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</si>
  <si>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</si>
  <si>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</si>
  <si>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</si>
  <si>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</si>
  <si>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</si>
  <si>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</si>
  <si>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</si>
  <si>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</si>
  <si>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</si>
  <si>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</si>
  <si>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</si>
  <si>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</si>
  <si>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</si>
  <si>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</si>
  <si>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</si>
  <si>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</si>
  <si>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</si>
  <si>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</si>
  <si>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</si>
  <si>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</si>
  <si>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</si>
  <si>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</si>
  <si>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</si>
  <si>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</si>
  <si>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</si>
  <si>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</si>
  <si>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</si>
  <si>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</si>
  <si>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</si>
  <si>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</si>
  <si>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</si>
  <si>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</si>
  <si>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</si>
  <si>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</si>
  <si>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</si>
  <si>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</si>
  <si>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</si>
  <si>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</si>
  <si>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</si>
  <si>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</si>
  <si>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</si>
  <si>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</si>
  <si>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</si>
  <si>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</si>
  <si>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</si>
  <si>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</si>
  <si>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</si>
  <si>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</si>
  <si>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</si>
  <si>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</si>
  <si>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</si>
  <si>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</si>
  <si>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</si>
  <si>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</si>
  <si>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</si>
  <si>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</si>
  <si>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</si>
  <si>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</si>
  <si>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</si>
  <si>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</si>
  <si>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</si>
  <si>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</si>
  <si>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</si>
  <si>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</si>
  <si>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</si>
  <si>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</si>
  <si>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</si>
  <si>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</si>
  <si>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</si>
  <si>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</si>
  <si>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</si>
  <si>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</si>
  <si>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</si>
  <si>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</si>
  <si>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</si>
  <si>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</si>
  <si>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</si>
  <si>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</si>
  <si>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</si>
  <si>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</si>
  <si>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</si>
  <si>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</si>
  <si>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</si>
  <si>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</si>
  <si>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</si>
  <si>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</si>
  <si>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</si>
  <si>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</si>
  <si>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tubos de esgoto ou drenagem pluvial em concreto</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</si>
  <si>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</si>
  <si>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</si>
  <si>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</si>
  <si>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</si>
  <si>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</si>
  <si>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</si>
  <si>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</si>
  <si>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</si>
  <si>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</si>
  <si>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</si>
  <si>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</si>
  <si>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</si>
  <si>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</si>
  <si>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</si>
  <si>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</si>
  <si>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</si>
  <si>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</si>
  <si>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</si>
  <si>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</si>
  <si>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</si>
  <si>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</si>
  <si>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</si>
  <si>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</si>
  <si>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</si>
  <si>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</si>
  <si>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</si>
  <si>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</si>
  <si>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</si>
  <si>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</si>
  <si>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</si>
  <si>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</si>
  <si>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</si>
  <si>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</si>
  <si>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</si>
  <si>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</si>
  <si>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</si>
  <si>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</si>
  <si>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</si>
  <si>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</si>
  <si>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</si>
  <si>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</si>
  <si>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</si>
  <si>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</si>
  <si>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</si>
  <si>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</si>
  <si>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</si>
  <si>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</si>
  <si>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</si>
  <si>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</si>
  <si>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</si>
  <si>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</si>
  <si>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</si>
  <si>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</si>
  <si>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</si>
  <si>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</si>
  <si>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</si>
  <si>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</si>
  <si>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</si>
  <si>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</si>
  <si>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</si>
  <si>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</si>
  <si>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</si>
  <si>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</si>
  <si>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</si>
  <si>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</si>
  <si>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</si>
  <si>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</si>
  <si>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</si>
  <si>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</si>
  <si>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</si>
  <si>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</si>
  <si>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</si>
  <si>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</si>
  <si>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</si>
  <si>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</si>
  <si>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</si>
  <si>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</si>
  <si>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</si>
  <si>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</si>
  <si>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</si>
  <si>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</si>
  <si>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</si>
  <si>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</si>
  <si>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</si>
  <si>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</si>
  <si>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</si>
  <si>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e Reaterro de Valas</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</si>
  <si>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</si>
  <si>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</si>
  <si>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</si>
  <si>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</si>
  <si>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</si>
  <si>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</si>
  <si>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</si>
  <si>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</si>
  <si>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</si>
  <si>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</si>
  <si>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</si>
  <si>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</si>
  <si>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</si>
  <si>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</si>
  <si>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</si>
  <si>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</si>
  <si>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</si>
  <si>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</si>
  <si>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</si>
  <si>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</si>
  <si>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</si>
  <si>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</si>
  <si>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</si>
  <si>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</si>
  <si>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</si>
  <si>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</si>
  <si>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</si>
  <si>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</si>
  <si>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</si>
  <si>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</si>
  <si>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</si>
  <si>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</si>
  <si>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</si>
  <si>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</si>
  <si>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</si>
  <si>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</si>
  <si>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</si>
  <si>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Aterros, Bases, Sub bases e Imprimações</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</si>
  <si>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</si>
  <si>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</si>
  <si>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</si>
  <si>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</si>
  <si>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</si>
  <si>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</si>
  <si>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</si>
  <si>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</si>
  <si>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</si>
  <si>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</si>
  <si>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</si>
  <si>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</si>
  <si>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</si>
  <si>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</si>
  <si>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</si>
  <si>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</si>
  <si>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</si>
  <si>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</si>
  <si>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</si>
  <si>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</si>
  <si>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</si>
  <si>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</si>
  <si>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</si>
  <si>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</si>
  <si>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</si>
  <si>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</si>
  <si>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</si>
  <si>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</si>
  <si>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</si>
  <si>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</si>
  <si>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</si>
  <si>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</si>
  <si>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</si>
  <si>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</si>
  <si>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</si>
  <si>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</si>
  <si>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</si>
  <si>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</si>
  <si>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</si>
  <si>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</si>
  <si>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</si>
  <si>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</si>
  <si>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</si>
  <si>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</si>
  <si>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</si>
  <si>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</si>
  <si>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</si>
  <si>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</si>
  <si>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</si>
  <si>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</si>
  <si>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</si>
  <si>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</si>
  <si>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</si>
  <si>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</si>
  <si>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</si>
  <si>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</si>
  <si>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</si>
  <si>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</si>
  <si>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</si>
  <si>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</si>
  <si>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</si>
  <si>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</si>
  <si>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</si>
  <si>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</si>
  <si>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</si>
  <si>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</si>
  <si>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</si>
  <si>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</si>
  <si>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</si>
  <si>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</si>
  <si>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</si>
  <si>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</si>
  <si>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</si>
  <si>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</si>
  <si>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</si>
  <si>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</si>
  <si>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</si>
  <si>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</si>
  <si>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</si>
  <si>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</si>
  <si>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</si>
  <si>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</si>
  <si>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</si>
  <si>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</si>
  <si>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</si>
  <si>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</si>
  <si>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</si>
  <si>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</si>
  <si>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</si>
  <si>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</si>
  <si>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</si>
  <si>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</si>
  <si>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</si>
  <si>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</si>
  <si>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</si>
  <si>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</si>
  <si>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</si>
  <si>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</si>
  <si>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</si>
  <si>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</si>
  <si>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</si>
  <si>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</si>
  <si>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</si>
  <si>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</si>
  <si>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</si>
  <si>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</si>
  <si>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</si>
  <si>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</si>
  <si>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</si>
  <si>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</si>
  <si>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</si>
  <si>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</si>
  <si>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</si>
  <si>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</si>
  <si>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</si>
  <si>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</si>
  <si>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</si>
  <si>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</si>
  <si>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</si>
  <si>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</si>
  <si>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</si>
  <si>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</si>
  <si>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</si>
  <si>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</si>
  <si>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</si>
  <si>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</si>
  <si>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</si>
  <si>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</si>
  <si>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</si>
  <si>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</si>
  <si>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</si>
  <si>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</si>
  <si>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</si>
  <si>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</si>
  <si>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</si>
  <si>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</si>
  <si>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</si>
  <si>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</si>
  <si>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</si>
  <si>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</si>
  <si>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</si>
  <si>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</si>
  <si>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</si>
  <si>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</si>
  <si>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</si>
  <si>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</si>
  <si>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</si>
  <si>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</si>
  <si>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</si>
  <si>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</si>
  <si>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</si>
  <si>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</si>
  <si>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</si>
  <si>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</si>
  <si>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</si>
  <si>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</si>
  <si>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</si>
  <si>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</si>
  <si>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</si>
  <si>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</si>
  <si>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</si>
  <si>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</si>
  <si>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</si>
  <si>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</si>
  <si>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</si>
  <si>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</si>
  <si>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</si>
  <si>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</si>
  <si>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</si>
  <si>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</si>
  <si>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</si>
  <si>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</si>
  <si>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</si>
  <si>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</si>
  <si>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</si>
  <si>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</si>
  <si>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</si>
  <si>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</si>
  <si>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</si>
  <si>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</si>
  <si>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</si>
  <si>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</si>
  <si>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</si>
  <si>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</si>
  <si>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</si>
  <si>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</si>
  <si>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</si>
  <si>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</si>
  <si>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</si>
  <si>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</si>
  <si>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</si>
  <si>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</si>
  <si>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</si>
  <si>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</si>
  <si>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</si>
  <si>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</si>
  <si>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</si>
  <si>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</si>
  <si>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</si>
  <si>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</si>
  <si>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</si>
  <si>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</si>
  <si>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</si>
  <si>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</si>
  <si>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</si>
  <si>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</si>
  <si>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</si>
  <si>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</si>
  <si>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</si>
  <si>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</si>
  <si>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</si>
  <si>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</si>
  <si>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</si>
  <si>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</si>
  <si>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</si>
  <si>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</si>
  <si>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</si>
  <si>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</si>
  <si>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</si>
  <si>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</si>
  <si>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</si>
  <si>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</si>
  <si>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</si>
  <si>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</si>
  <si>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</si>
  <si>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</si>
  <si>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</si>
  <si>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</si>
  <si>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</si>
  <si>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</si>
  <si>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</si>
  <si>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</si>
  <si>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Bocas para Bueiros</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</si>
  <si>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</si>
  <si>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</si>
  <si>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</si>
  <si>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</si>
  <si>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</si>
  <si>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</si>
  <si>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</si>
  <si>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</si>
  <si>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</si>
  <si>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</si>
  <si>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</si>
  <si>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</si>
  <si>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</si>
  <si>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</si>
  <si>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</si>
  <si>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</si>
  <si>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</si>
  <si>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</si>
  <si>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</si>
  <si>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</si>
  <si>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</si>
  <si>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</si>
  <si>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</si>
  <si>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</si>
  <si>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</si>
  <si>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</si>
  <si>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</si>
  <si>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</si>
  <si>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</si>
  <si>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</si>
  <si>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</si>
  <si>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</si>
  <si>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</si>
  <si>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</si>
  <si>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</si>
  <si>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</si>
  <si>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</si>
  <si>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</si>
  <si>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</si>
  <si>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</si>
  <si>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</si>
  <si>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</si>
  <si>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</si>
  <si>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</si>
  <si>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</si>
  <si>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</si>
  <si>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</si>
  <si>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</si>
  <si>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</si>
  <si>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</si>
  <si>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</si>
  <si>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</si>
  <si>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</si>
  <si>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</si>
  <si>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</si>
  <si>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</si>
  <si>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</si>
  <si>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</si>
  <si>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</si>
  <si>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</si>
  <si>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</si>
  <si>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</si>
  <si>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</si>
  <si>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</si>
  <si>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</si>
  <si>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</si>
  <si>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</si>
  <si>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</si>
  <si>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</si>
  <si>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</si>
  <si>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</si>
  <si>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</si>
  <si>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</si>
  <si>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</si>
  <si>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</si>
  <si>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</si>
  <si>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Bombas Hidráulicas - Centrífugas, Horizontais e Submersíveis</t>
  </si>
  <si>
    <t xml:space="preserve">BOMBA CENTRÍFUGA, MONOFÁSICA, 0,5 CV OU 0,49 HP, HM 6 A 20 M, Q 1,2 A 8,3 M3/H - FORNECIMENTO E INSTALAÇÃO. AF_11/2025_PS</t>
  </si>
  <si>
    <t xml:space="preserve">BOMBA CENTRÍFUGA, TRIFÁSICA, 1,0 CV OU 0,99 HP, HM 14 A 40 M, Q 0,6 A 8,4 M3/H - FORNECIMENTO E INSTALAÇÃO. AF_11/2025_PS</t>
  </si>
  <si>
    <t xml:space="preserve">BOMBA CENTRÍFUGA, TRIFÁSICA, 1,5 CV OU 1,48 HP, HM 10 A 24 M, Q 6,1 A 21,9 M3/H - FORNECIMENTO E INSTALAÇÃO. AF_11/2025_PS</t>
  </si>
  <si>
    <t xml:space="preserve">BOMBA CENTRÍFUGA, TRIFÁSICA, 1,5 CV OU 1,48 HP, HM 10 A 24 M, Q 6,1 A 21,9 M3/H, 2 UNIDADES, INCLUSO QUADRO ELÉTRICO - FORNECIMENTO E INSTALAÇÃO. AF_11/2025</t>
  </si>
  <si>
    <t xml:space="preserve">BOMBA CENTRÍFUGA, TRIFÁSICA, 1,5 CV OU 1,48 HP, HM 10 A 70 M, Q 1,8 A 5,3 M3/H - FORNECIMENTO E INSTALAÇÃO. AF_11/2025_PS</t>
  </si>
  <si>
    <t xml:space="preserve">BOMBA CENTRÍFUGA, TRIFÁSICA, 10 CV OU 9,86 HP, HM 85 A 140 M, Q 4,2 A 14,9 M3/H - FORNECIMENTO E INSTALAÇÃO. AF_11/2025_PS</t>
  </si>
  <si>
    <t xml:space="preserve">BOMBA CENTRÍFUGA, TRIFÁSICA, 3 CV OU 2,96 HP, HM 34 A 40 M, Q 8,6 A 14,8 M3/H - FORNECIMENTO E INSTALAÇÃO. AF_11/2025_PS</t>
  </si>
  <si>
    <t xml:space="preserve">BOMBA CENTRÍFUGA, TRIFÁSICA, 3 CV OU 2,96 HP, HM 34 A 40 M, Q 8,6 A 14,8 M3/H, 2 UNIDADES, INCLUSO QUADRO ELÉTRICO - FORNECIMENTO E INSTALAÇÃO. AF_11/2025</t>
  </si>
  <si>
    <t xml:space="preserve">BOMBA SUBMERSÍVEL, TRIFÁSICA, 3,80 CV OU 3,75 HP, HM 5 A 25,5 M, Q 3,6 A 61,2 M3/H - FORNECIMENTO E INSTALAÇÃO. AF_11/2025</t>
  </si>
  <si>
    <t xml:space="preserve">CHAVE DE BOIA AUTOMÁTICA SUPERIOR/INFERIOR 15A/250V - FORNECIMENTO E INSTALAÇÃO. AF_11/2025</t>
  </si>
  <si>
    <t xml:space="preserve">CONJUNTO FLUTUANTE DE SUCÇÃO DE 1", TECHNIK OU EQUIVALENTE - FORNECIMENTO E INSTALAÇÃO. AF_11/2025</t>
  </si>
  <si>
    <t xml:space="preserve">INSTALAÇÃO DE BOMBA CENTRÍFUGA, MONOFÁSICA, 0,5 CV OU 0,49 HP, HM 6 A 20 M, Q 1,2 A 8,3 M3/H (SEM FORNECIMENTO). AF_11/2025_PS</t>
  </si>
  <si>
    <t xml:space="preserve">INSTALAÇÃO DE BOMBA CENTRÍFUGA, TRIFÁSICA, 1,0 CV OU 0,99 HP, HM 14 A 40 M, Q 0,6 A 8,4 M3/H (SEM FORNECIMENTO). AF_11/2025_PS</t>
  </si>
  <si>
    <t xml:space="preserve">INSTALAÇÃO DE BOMBA CENTRÍFUGA, TRIFÁSICA, 1,5 CV OU 1,48 HP (SEM FORNECIMENTO). AF_11/2025_PS</t>
  </si>
  <si>
    <t xml:space="preserve">INSTALAÇÃO DE BOMBA CENTRÍFUGA, TRIFÁSICA, 10 CV OU 9,86 HP, HM 85 A 140 M, Q 4,2 A 14,9 M3/H (SEM FORNECIMENTO). AF_11/2025_PS</t>
  </si>
  <si>
    <t xml:space="preserve">INSTALAÇÃO DE BOMBA CENTRÍFUGA, TRIFÁSICA, 3 CV OU 2,96 HP, HM 34 A 40 M, Q 8,6 A 14,8 M3/H (SEM FORNECIMENTO). AF_11/2025_PS</t>
  </si>
  <si>
    <t xml:space="preserve">INSTALAÇÃO DE BOMBA SUBMERSÍVEL, TRIFÁSICA, 3,80 CV OU 3,75 HP, HM 5 A 25,5 M, Q 3,6 A 61,2 M3/H (SEM FORNECIMENTO). AF_11/2025</t>
  </si>
  <si>
    <t xml:space="preserve">INSTALAÇÃO DE MOTO BOMBA HORIZONTAL ATÉ 10 CV, HM 75 A 80 M, Q 25,4 A 48 M3/H (SEM FORNECIMENTO). AF_11/2025_PS</t>
  </si>
  <si>
    <t xml:space="preserve">INSTALAÇÃO DE MOTO BOMBA HORIZONTAL DE 12,5 A 25 CV, HM 140 M (SEM FORNECIMENTO). AF_11/2025_PS</t>
  </si>
  <si>
    <t xml:space="preserve">INSTALAÇÃO DE MOTO BOMBA SUBMERSÍVEL ATÉ 10 CV, HM 21 M (SEM FORNECIMENTO). AF_11/2025</t>
  </si>
  <si>
    <t xml:space="preserve">INSTALAÇÃO DE MOTO BOMBA SUBMERSÍVEL DE 11 A 25 CV, HM 33 M (SEM FORNECIMENTO). AF_11/2025</t>
  </si>
  <si>
    <t xml:space="preserve">MOTO BOMBA HORIZONTAL ATÉ 10 CV, HM 75 A 80 M, Q 25,4 A 48 M3/H- FORNECIMENTO E INSTALAÇÃO. AF_11/2025</t>
  </si>
  <si>
    <t xml:space="preserve">MOTO BOMBA HORIZONTAL DE 12,5 A 25CV, HM 140 M - FORNECIMENTO E INSTALAÇÃO. AF_11/2025</t>
  </si>
  <si>
    <t xml:space="preserve">MOTO BOMBA SUBMERSÍVEL ATÉ 10 CV, HM 21 M - FORNECIMENTO E INSTALAÇÃO. AF_11/2025</t>
  </si>
  <si>
    <t xml:space="preserve">MOTO BOMBA SUBMERSÍVEL DE 11 A 25 CV, HM 33 M - FORNECIMENTO E INSTALAÇÃO. AF_11/2025</t>
  </si>
  <si>
    <t>Brises</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</si>
  <si>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</si>
  <si>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</si>
  <si>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</si>
  <si>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</si>
  <si>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Caixas Enterradas</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</si>
  <si>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</si>
  <si>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</si>
  <si>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</si>
  <si>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</si>
  <si>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</si>
  <si>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</si>
  <si>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</si>
  <si>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</si>
  <si>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</si>
  <si>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</si>
  <si>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</si>
  <si>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</si>
  <si>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</si>
  <si>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</si>
  <si>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</si>
  <si>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</si>
  <si>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</si>
  <si>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</si>
  <si>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</si>
  <si>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</si>
  <si>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</si>
  <si>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</si>
  <si>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</si>
  <si>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</si>
  <si>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</si>
  <si>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</si>
  <si>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</si>
  <si>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</si>
  <si>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</si>
  <si>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</si>
  <si>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</si>
  <si>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</si>
  <si>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</si>
  <si>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</si>
  <si>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</si>
  <si>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</si>
  <si>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</si>
  <si>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</si>
  <si>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</si>
  <si>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</si>
  <si>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</si>
  <si>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</si>
  <si>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</si>
  <si>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</si>
  <si>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</si>
  <si>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</si>
  <si>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</si>
  <si>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</si>
  <si>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</si>
  <si>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</si>
  <si>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</si>
  <si>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</si>
  <si>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</si>
  <si>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</si>
  <si>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</si>
  <si>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</si>
  <si>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</si>
  <si>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</si>
  <si>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</si>
  <si>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Caixas de Água para Edificações</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</si>
  <si>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</si>
  <si>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</si>
  <si>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</si>
  <si>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</si>
  <si>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</si>
  <si>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</si>
  <si>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</si>
  <si>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</si>
  <si>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</si>
  <si>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</si>
  <si>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</si>
  <si>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</si>
  <si>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</si>
  <si>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</si>
  <si>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</si>
  <si>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</si>
  <si>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</si>
  <si>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</si>
  <si>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</si>
  <si>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</si>
  <si>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</si>
  <si>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</si>
  <si>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</si>
  <si>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</si>
  <si>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</si>
  <si>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</si>
  <si>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</si>
  <si>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</si>
  <si>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</si>
  <si>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</si>
  <si>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</si>
  <si>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</si>
  <si>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</si>
  <si>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</si>
  <si>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</si>
  <si>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</si>
  <si>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</si>
  <si>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Canaletas, Grelhas e Caixas com Grelha para Drenagem</t>
  </si>
  <si>
    <t xml:space="preserve">CAIXA COM GRELHA RETANGULAR DE FERRO FUNDIDO, EM ALVENARIA COM TIJOLOS CERÂMICOS MACIÇOS, DIMENSÕES INTERNAS: 0,15 X 1,00 X 0,3 M. AF_05/2025</t>
  </si>
  <si>
    <t xml:space="preserve">CAIXA COM GRELHA RETANGULAR DE FERRO FUNDIDO, EM ALVENARIA COM TIJOLOS CERÂMICOS MACIÇOS, DIMENSÕES INTERNAS: 0,20 X 1,00 X 0,4 M. AF_05/2025</t>
  </si>
  <si>
    <t xml:space="preserve">CAIXA COM GRELHA RETANGULAR DE FERRO FUNDIDO, EM ALVENARIA COM TIJOLOS CERÂMICOS MACIÇOS, DIMENSÕES INTERNAS: 0,30 X 1,00 X 0,5 M. AF_05/2025</t>
  </si>
  <si>
    <t xml:space="preserve">CANALETA DE CONCRETO POLIMÉRICO COM GRELHA, LARGURA DE 13 CM - FORNECIMENTO E INSTALAÇÃO. AF_05/2025</t>
  </si>
  <si>
    <t xml:space="preserve">CANALETA MEIA CANA PRÉ-MOLDADA DE CONCRETO (D = 20 CM) - FORNECIMENTO E INSTALAÇÃO. AF_05/2025</t>
  </si>
  <si>
    <t xml:space="preserve">CANALETA MEIA CANA PRÉ-MOLDADA DE CONCRETO (D = 30 CM) - FORNECIMENTO E INSTALAÇÃO. AF_05/2025</t>
  </si>
  <si>
    <t xml:space="preserve">CANALETA MEIA CANA PRÉ-MOLDADA DE CONCRETO (D = 40 CM) - FORNECIMENTO E INSTALAÇÃO. AF_05/2025</t>
  </si>
  <si>
    <t xml:space="preserve">CANALETA MEIA CANA PRÉ-MOLDADA DE CONCRETO (D = 50 CM) - FORNECIMENTO E INSTALAÇÃO. AF_05/2025</t>
  </si>
  <si>
    <t xml:space="preserve">CANALETA MEIA CANA PRÉ-MOLDADA DE CONCRETO (D = 60 CM) - FORNECIMENTO E INSTALAÇÃO. AF_05/2025</t>
  </si>
  <si>
    <t xml:space="preserve">CANALETA MEIA CANA PRÉ-MOLDADA DE CONCRETO (D = 80 CM) - FORNECIMENTO E INSTALAÇÃO. AF_05/2025</t>
  </si>
  <si>
    <t xml:space="preserve">CANALETA PRÉ-MOLDADA DE CONCRETO, COM GRELHA PERFURADA DE CONCRETO, GEOMETRIA RETANGULAR, COM DIMENSÕES INTERNAS: L=0,20 M; H=0,20 M; C=*0,60* M - FORNECIMENTO E INSTALAÇÃO. AF_05/2025</t>
  </si>
  <si>
    <t xml:space="preserve">CONCRETAGEM DE VALETA/ CANALETA MOLDADA IN LOCO. AF_05/2025</t>
  </si>
  <si>
    <t xml:space="preserve">EXECUÇÃO DE CANALETA DE CONCRETO ARMADO MOLDADA IN LOCO, ESPESSURA DE 0,1 M, GEOMETRIA QUADRADA, COM DIMENSÕES INTERNAS: L=0,20 M; H=0,20 M. AF_05/2025</t>
  </si>
  <si>
    <t xml:space="preserve">EXECUÇÃO DE CANALETA DE CONCRETO ARMADO MOLDADA IN LOCO, ESPESSURA DE 0,1 M, GEOMETRIA QUADRADA, COM DIMENSÕES INTERNAS: L=0,25 M; H=0,25 M. AF_05/2025</t>
  </si>
  <si>
    <t xml:space="preserve">EXECUÇÃO DE CANALETA DE CONCRETO ARMADO MOLDADA IN LOCO, ESPESSURA DE 0,1 M, GEOMETRIA QUADRADA, COM DIMENSÕES INTERNAS: L=0,30 M; H=0,30 M. AF_05/2025</t>
  </si>
  <si>
    <t xml:space="preserve">EXECUÇÃO DE CANALETA DE CONCRETO ARMADO MOLDADA IN LOCO, ESPESSURA DE 0,1 M, GEOMETRIA QUADRADA, COM DIMENSÕES INTERNAS: L=0,35 M; H=0,35 M. AF_05/2025</t>
  </si>
  <si>
    <t xml:space="preserve">EXECUÇÃO DE CANALETA DE CONCRETO ARMADO MOLDADA IN LOCO, ESPESSURA DE 0,1 M, GEOMETRIA QUADRADA, COM DIMENSÕES INTERNAS: L=0,40 M; H=0,40 M. AF_05/2025</t>
  </si>
  <si>
    <t xml:space="preserve">EXECUÇÃO DE CANALETA DE CONCRETO ARMADO MOLDADA IN LOCO, ESPESSURA DE 0,1 M, GEOMETRIA QUADRADA, COM DIMENSÕES INTERNAS: L=0,50 M; H=0,50 M. AF_05/2025</t>
  </si>
  <si>
    <t xml:space="preserve">EXECUÇÃO DE CANALETA DE CONCRETO ARMADO MOLDADA IN LOCO, ESPESSURA DE 0,1 M, GEOMETRIA QUADRADA, COM DIMENSÕES INTERNAS: L=0,60 M; H=0,60 M. AF_05/2025</t>
  </si>
  <si>
    <t xml:space="preserve">EXECUÇÃO DE CANALETA DE CONCRETO MOLDADO IN LOCO, COM GRELHA DE CONCRETO; ESPESSURA DE 0,15 M, GEOMETRIA RETANGULAR, COM DIMENSÕES INTERNAS: L=0,4 M; H=*0,3*M. AF_05/2025</t>
  </si>
  <si>
    <t xml:space="preserve">EXECUÇÃO DE CANALETA DE CONCRETO MOLDADO IN LOCO, COM GRELHA DE CONCRETO; ESPESSURA DE 0,15 M, GEOMETRIA RETANGULAR, COM DIMENSÕES INTERNAS: L=0,60 M; H=0,50 M. AF_05/2025</t>
  </si>
  <si>
    <t xml:space="preserve">EXECUÇÃO DE CANALETA DE CONCRETO MOLDADO IN LOCO, COM GRELHA DE CONCRETO; ESPESSURA DE 0,15 M, GEOMETRIA RETANGULAR, COM DIMENSÕES INTERNAS:L=*0,6* M; H=* 0,3* M. AF_05/2025</t>
  </si>
  <si>
    <t xml:space="preserve">EXECUÇÃO DE CANALETA DE CONCRETO MOLDADO IN LOCO, COM GRELHA DE CONCRETO; ESPESSURA DE 0,20 M, GEOMETRIA RETANGULAR, COM DIMENSÕES INTERNAS: L=0,80 M; H=0,30 M. AF_05/2025</t>
  </si>
  <si>
    <t xml:space="preserve">EXECUÇÃO DE CANALETA DE CONCRETO MOLDADO IN LOCO, COM GRELHA DE CONCRETO; ESPESSURA DE 0,20 M, GEOMETRIA RETANGULAR, COM DIMENSÕES INTERNAS: L=0,80 M; H=0,60 M. AF_05/2025</t>
  </si>
  <si>
    <t xml:space="preserve">EXECUÇÃO DE CANALETA DE CONCRETO MOLDADO IN LOCO, COM GRELHA DE CONCRETO; ESPESSURA DE 0,20 M, GEOMETRIA RETANGULAR, COM DIMENSÕES INTERNAS: L=0,80 M; H=0,90 M. AF_05/2025</t>
  </si>
  <si>
    <t xml:space="preserve">EXECUÇÃO DE VALETA DE CONCRETO ARMADO MOLDADO IN LOCO, ESPESSURA DE 0,08 M, GEOMETRIA TRAPEIZOIDAL, COM DIMENSÕES INTERNAS: B1=*1,20* M; B2=*0,4* M; H=0,4 M. AF_05/2025</t>
  </si>
  <si>
    <t xml:space="preserve">EXECUÇÃO DE VALETA DE CONCRETO ARMADO MOLDADO IN LOCO, ESPESSURA DE 0,08 M, GEOMETRIA TRAPEIZOIDAL, COM DIMENSÕES INTERNAS: B1=0,6 M; B2=0,20 M; H=0,20 M. AF_05/2025</t>
  </si>
  <si>
    <t xml:space="preserve">EXECUÇÃO DE VALETA DE CONCRETO ARMADO MOLDADO IN LOCO, ESPESSURA DE 0,08 M, GEOMETRIA TRAPEIZOIDAL, COM DIMENSÕES INTERNAS: B1=0,7 M; B2=0,30 M; H=0,20 M. AF_05/2025</t>
  </si>
  <si>
    <t xml:space="preserve">EXECUÇÃO DE VALETA DE CONCRETO ARMADO MOLDADO IN LOCO, ESPESSURA DE 0,08 M, GEOMETRIA TRAPEIZOIDAL, COM DIMENSÕES INTERNAS: B1=0,8 M; B2=0,30 M; H=0,25 M. AF_05/2025</t>
  </si>
  <si>
    <t xml:space="preserve">EXECUÇÃO DE VALETA DE CONCRETO ARMADO MOLDADO IN LOCO, ESPESSURA DE 0,08 M, GEOMETRIA TRAPEIZOIDAL, COM DIMENSÕES INTERNAS: B1=0,9 M; B2=0,30 M; H=0,30 M. AF_05/2025</t>
  </si>
  <si>
    <t xml:space="preserve">EXECUÇÃO DE VALETA DE CONCRETO ARMADO MOLDADO IN LOCO, ESPESSURA DE 0,08 M, GEOMETRIA TRAPEIZOIDAL, COM DIMENSÕES INTERNAS: B1=1,0 M; B2=0,40 M; H=0,30 M. AF_05/2025</t>
  </si>
  <si>
    <t xml:space="preserve">EXECUÇÃO DE VALETA DE CONCRETO ARMADO MOLDADO IN LOCO, ESPESSURA DE 0,08 M, GEOMETRIA TRAPEIZOIDAL, COM DIMENSÕES INTERNAS: B1=1,1 M; B2=0,40 M; H=0,35 M. AF_05/2025</t>
  </si>
  <si>
    <t xml:space="preserve">EXECUÇÃO DE VALETA DE CONCRETO MOLDADO IN LOCO, ESPESSURA DE 0,08 M, GEOMETRIA TRAPEIZOIDAL, COM DIMENSÕES INTERNAS: B1=*1,0* M; B2=0,40 M; H=*0,30* M. AF_05/2025</t>
  </si>
  <si>
    <t xml:space="preserve">EXECUÇÃO DE VALETA DE CONCRETO MOLDADO IN LOCO, ESPESSURA DE 0,08 M, GEOMETRIA TRAPEIZOIDAL, COM DIMENSÕES INTERNAS: B1=*1,2* M; B2=*0,4* M; H= 0,4 M. AF_05/2025</t>
  </si>
  <si>
    <t xml:space="preserve">EXECUÇÃO DE VALETA DE CONCRETO MOLDADO IN LOCO, ESPESSURA DE 0,08 M, GEOMETRIA TRAPEIZOIDAL, COM DIMENSÕES INTERNAS: B1=*1,5* M; B2=*0,50* M; H=*0,50* M. AF_05/2025</t>
  </si>
  <si>
    <t xml:space="preserve">EXECUÇÃO DE VALETA DE CONCRETO MOLDADO IN LOCO, ESPESSURA DE 0,08 M, GEOMETRIA TRAPEIZOIDAL, COM DIMENSÕES INTERNAS: B1=*1,8* M; B2=*0,60* M; H=*0,6* M. AF_05/2025</t>
  </si>
  <si>
    <t xml:space="preserve">EXECUÇÃO DE VALETA DE CONCRETO MOLDADO IN LOCO, ESPESSURA DE 0,08 M, GEOMETRIA TRAPEIZOIDAL, COM DIMENSÕES INTERNAS: B1=*2,0* M; B2=*0,8* M; H=0,6 M. AF_05/2025</t>
  </si>
  <si>
    <t xml:space="preserve">EXECUÇÃO DE VALETA DE CONCRETO MOLDADO IN LOCO, ESPESSURA DE 0,08 M, GEOMETRIA TRAPEIZOIDAL, COM DIMENSÕES INTERNAS: B1=0,6M; B2=0,20 M; H=0,20 M. AF_05/2025</t>
  </si>
  <si>
    <t xml:space="preserve">EXECUÇÃO DE VALETA DE CONCRETO MOLDADO IN LOCO, ESPESSURA DE 0,08 M, GEOMETRIA TRAPEIZOIDAL, COM DIMENSÕES INTERNAS: B1=0,7 M; B2=0,30 M; H=0,20 M. AF_05/2025</t>
  </si>
  <si>
    <t xml:space="preserve">EXECUÇÃO DE VALETA DE CONCRETO MOLDADO IN LOCO, ESPESSURA DE 0,08 M, GEOMETRIA TRAPEIZOIDAL, COM DIMENSÕES INTERNAS: B1=0,8 M; B2=0,30 M; H=0,25 M. AF_05/2025</t>
  </si>
  <si>
    <t xml:space="preserve">EXECUÇÃO DE VALETA DE CONCRETO MOLDADO IN LOCO, ESPESSURA DE 0,08 M, GEOMETRIA TRAPEIZOIDAL, COM DIMENSÕES INTERNAS: B1=0,9 M; B2=0,30 M; H=0,30 M. AF_05/2025</t>
  </si>
  <si>
    <t xml:space="preserve">EXECUÇÃO DE VALETA DE CONCRETO MOLDADO IN LOCO, ESPESSURA DE 0,08 M, GEOMETRIA TRAPEIZOIDAL, COM DIMENSÕES INTERNAS: B1=1,2 M; B2=0,6 M; H=0,3 M. AF_05/2025</t>
  </si>
  <si>
    <t xml:space="preserve">EXECUÇÃO DE VALETA DE CONCRETO MOLDADO IN LOCO, ESPESSURA DE 0,08 M, GEOMETRIA TRAPEIZOIDAL, COM DIMENSÕES INTERNAS: B1=1,6 M; B2=1,0 M; H=0,3 M. AF_05/2025</t>
  </si>
  <si>
    <t xml:space="preserve">GRELHA ARTICULADA PARA CALHA DE PISO 20X50 CM - FORNECIMENTO E INSTALAÇÃO. AF_05/2025</t>
  </si>
  <si>
    <t xml:space="preserve">GRELHA DE FERRO FUNDIDO SIMPLES COM REQUADRO, 150 X 1000 MM, ASSENTADA COM ARGAMASSA 1 : 3 CIMENTO: AREIA - FORNECIMENTO E INSTALAÇÃO. AF_05/2025</t>
  </si>
  <si>
    <t xml:space="preserve">GRELHA DE FERRO FUNDIDO SIMPLES COM REQUADRO, 200 X 1000 MM, ASSENTADA COM ARGAMASSA 1 : 3 CIMENTO: AREIA - FORNECIMENTO E INSTALAÇÃO. AF_05/2025</t>
  </si>
  <si>
    <t xml:space="preserve">GRELHA DE FERRO FUNDIDO SIMPLES COM REQUADRO, 300 X 1000 MM, ASSENTADA COM ARGAMASSA 1 : 3 CIMENTO: AREIA - FORNECIMENTO E INSTALAÇÃO. AF_05/2025</t>
  </si>
  <si>
    <t xml:space="preserve">GRELHA PARA CALHA DE PISO 20X50 CM - FORNECIMENTO E INSTALAÇÃO. AF_05/2025</t>
  </si>
  <si>
    <t xml:space="preserve">PREPARO DE SOLO E GABARITO DE MADEIRA PARA VALETA MOLDADA IN LOCO COM GEOMETRIA TRAPEZOIDAL. AF_05/2025</t>
  </si>
  <si>
    <t xml:space="preserve">Cercas, Protetores e Alambrados</t>
  </si>
  <si>
    <t xml:space="preserve">ALAMBRADO EM MOURÕES DE CONCRETO, COM TELA DE ARAME GALVANIZADO (INCLUSIVE MURETA EM CONCRETO). AF_12/2025</t>
  </si>
  <si>
    <t xml:space="preserve">ALAMBRADO EM PERFIS METÁLICOS RETANGULARES COM GRADIL METÁLICO (EXCLUSIVE MURETA EM CONCRETO). AF_12/2025</t>
  </si>
  <si>
    <t xml:space="preserve">ALAMBRADO PARA QUADRA POLIESPORTIVA, ESTRUTURADO POR TUBOS DE AÇO GALVANIZADO, (MONTANTES COM DIÂMETRO 2", TRAVESSAS E ESCORAS COM DIÂMETRO 1 ¼"), COM TELA DE ARAME GALVANIZADO, FIO 10 BWG E MALHA QUADRADA 5X5CM (EXCETO MURETA). AF_12/2025</t>
  </si>
  <si>
    <t xml:space="preserve">ALAMBRADO PARA QUADRA POLIESPORTIVA, ESTRUTURADO POR TUBOS DE AÇO GALVANIZADO, (MONTANTES COM DIÂMETRO 2", TRAVESSAS E ESCORAS COM DIÂMETRO 1 ¼"), COM TELA DE ARAME GALVANIZADO, FIO 12 BWG E MALHA QUADRADA 5X5CM (EXCETO MURETA). AF_12/2025</t>
  </si>
  <si>
    <t xml:space="preserve">ALAMBRADO PARA QUADRA POLIESPORTIVA, ESTRUTURADO POR TUBOS DE AÇO GALVANIZADO, (MONTANTES COM DIÂMETRO 2", TRAVESSAS E ESCORAS COM DIÂMETRO 1 ¼"), COM TELA DE ARAME GALVANIZADO, FIO 14 BWG E MALHA QUADRADA 5X5CM (EXCETO MURETA). AF_12/2025</t>
  </si>
  <si>
    <t xml:space="preserve">CERCA COM MOURÕES DE CONCRETO, RETO, 15X15 CM, H= 2,30 M, ESPAÇAMENTO DE 2,5 M, CRAVADOS 0,5 M, ESCORAS DE 10X10 CM A CADA 50 M, COM 12 FIOS DE ARAME DE AÇO OVALADO 15X17 - FORNECIMENTO E INSTALAÇÃO. AF_12/2025</t>
  </si>
  <si>
    <t xml:space="preserve">CERCA COM MOURÕES DE CONCRETO, RETO, 15X15 CM,H= 2,30 M, ESPAÇAMENTO DE 2,5 M, CRAVADOS 0,5 M, ESCORAS DE 10X10 CM A CADA 50 M, COM 9 FIOS DE ARAME DE AÇO OVALADO 15X17 - FORNECIMENTO E INSTALAÇÃO. AF_12/2025</t>
  </si>
  <si>
    <t xml:space="preserve">CERCA COM MOURÕES DE CONCRETO, RETO, H=2,30 M, ESPAÇAMENTO DE 2,5 M, CRAVADOS 0,5 M, COM 4 FIOS DE ARAME DE AÇO OVALADO 15X17 - FORNECIMENTO E INSTALAÇÃO. AF_12/2025</t>
  </si>
  <si>
    <t xml:space="preserve">CERCA COM MOURÕES DE CONCRETO, RETO, H=2,30 M, ESPAÇAMENTO DE 2,5 M, CRAVADOS 0,5 M, COM 4 FIOS DE ARAME FARPADO Nº 14 OU 16 CLASSE 250 - FORNECIMENTO E INSTALAÇÃO. AF_12/2025</t>
  </si>
  <si>
    <t xml:space="preserve">CERCA COM MOURÕES DE CONCRETO, RETO, H=2,30 M, ESPAÇAMENTO DE 2,5 M, CRAVADOS 0,5 M, COM 4 FIOS DE ARAME MISTO - FORNECIMENTO E INSTALAÇÃO. AF_12/2025</t>
  </si>
  <si>
    <t xml:space="preserve">CERCA COM MOURÕES DE CONCRETO, RETO, H=3,00 M, ESPAÇAMENTO DE 2,5 M, CRAVADOS 0,5 M, COM 4 FIOS DE ARAME DE AÇO OVALADO 15X17 - FORNECIMENTO E INSTALAÇÃO. AF_12/2025</t>
  </si>
  <si>
    <t xml:space="preserve">CERCA COM MOURÕES DE CONCRETO, RETO, H=3,00 M, ESPAÇAMENTO DE 2,5 M, CRAVADOS 0,5 M, COM 4 FIOS DE ARAME FARPADO Nº 14 OU 16 CLASSE 250 - FORNECIMENTO E INSTALAÇÃO. AF_12/2025</t>
  </si>
  <si>
    <t xml:space="preserve">CERCA COM MOURÕES DE CONCRETO, RETO, H=3,00 M, ESPAÇAMENTO DE 2,5 M, CRAVADOS 0,5 M, COM 4 FIOS DE ARAME MISTO - FORNECIMENTO E INSTALAÇÃO. AF_12/2025</t>
  </si>
  <si>
    <t xml:space="preserve">CERCA COM MOURÕES DE CONCRETO, SEÇÃO "T" PONTA INCLINADA, 10X10 CM, ESPAÇAMENTO DE 2,5 M, CRAVADOS 0,5 M, COM 11 FIOS DE ARAME DE AÇO OVALADO 15X17 - FORNECIMENTO E INSTALAÇÃO. AF_12/2025</t>
  </si>
  <si>
    <t xml:space="preserve">CERCA COM MOURÕES DE CONCRETO, SEÇÃO "T" PONTA INCLINADA, 10X10CM, ESPAÇAMENTO DE 2,5M, CRAVADOS 0,5M, COM 11 FIOS DE ARAME FARPADO Nº 14 OU 16 - FORNECIMENTO E INSTALAÇÃO. AF_12/2025</t>
  </si>
  <si>
    <t xml:space="preserve">CERCA COM MOURÕES DE CONCRETO, SEÇÃO "T" PONTA INCLINADA, 10X10CM, ESPAÇAMENTO DE 2,5M, CRAVADOS 0,5M, COM 11 FIOS DE ARAME MISTO - FORNECIMENTO E INSTALAÇÃO. AF_12/2025</t>
  </si>
  <si>
    <t xml:space="preserve">CERCA COM MOURÕES DE MADEIRA ROLIÇA, DIÂMETRO 11 CM, ESPAÇAMENTO DE 2,5 M, ALTURA LIVRE DE 1,7 M, CRAVADOS 0,5 M, COM 5 FIOS DE ARAME DE AÇO OVALADO 15X17 - FORNECIMENTO E INSTALAÇÃO. AF_12/2025</t>
  </si>
  <si>
    <t xml:space="preserve">CERCA COM MOURÕES DE MADEIRA ROLIÇA, DIÂMETRO 11 CM, ESPAÇAMENTO DE 2,5 M, ALTURA LIVRE DE 1,7 M, CRAVADOS 0,5 M, COM 5 FIOS DE ARAME MISTO - FORNECIMENTO E INSTALAÇÃO. AF_12/2025</t>
  </si>
  <si>
    <t xml:space="preserve">CERCA COM MOURÕES DE MADEIRA ROLIÇA, DIÂMETRO 11CM, ESPAÇAMENTO DE 2,5M, ALTURA LIVRE DE 1,7M, CRAVADOS 0,5M, COM 5 FIOS DE ARAME FARPADO Nº 14 OU 16 CLASSE 250 - FORNECIMENTO E INSTALAÇÃO. AF_12/2025</t>
  </si>
  <si>
    <t xml:space="preserve">CERCA COM MOURÕES DE MADEIRA, 7,5X7,5 CM, ESPAÇAMENTO DE 2,5 M, ALTURA LIVRE DE 2 M, CRAVADOS 0,5 M, COM 4 FIOS DE ARAME FARPADO Nº 14 OU 16 CLASSE 250 - FORNECIMENTO E INSTALAÇÃO. AF_12/2025</t>
  </si>
  <si>
    <t xml:space="preserve">CERCA COM MOURÕES DE MADEIRA, 7,5X7,5CM, ESPAÇAMENTO DE 2,5M, ALTURA LIVRE DE 2M, CRAVADOS 0,5M, COM 8 FIOS DE ARAME FARPADO Nº 14 OU 16 CLASSE 250 - FORNECIMENTO E INSTALAÇÃO. AF_12/2025</t>
  </si>
  <si>
    <t xml:space="preserve">INSTALAÇÃO DE ESCORAS PARA ALAMBRADO EM TUBO AÇO GALVANIZADO COM COSTURA, CLASSE MÉDIA, DN 1.1/4", E = *3,25* MM, PESO *3,14* KG/M. AF_12/2025</t>
  </si>
  <si>
    <t xml:space="preserve">INSTALAÇÃO DE MOURÃO DE CONCRETO PONTA INCLINADA (CURVA), *10 X 10* CM, H= *2,60* M + CURVA DE 0,40 M. AF_12/2025</t>
  </si>
  <si>
    <t xml:space="preserve">INSTALAÇÃO DE MOURÃO DE CONCRETO PONTA INCLINADA (CURVA), SEÇÃO "T", H = 2,80 M + CURVA COM 0,45 M, COM FUROS PARA FIOS. AF_12/2025</t>
  </si>
  <si>
    <t xml:space="preserve">INSTALAÇÃO DE MOURÃO DE CONCRETO RETO, SEÇÃO QUADRADA *10 X 10* CM, H= 2,30 A 2,50 M. AF_12/2025</t>
  </si>
  <si>
    <t xml:space="preserve">INSTALAÇÃO DE MOURÃO DE CONCRETO RETO, SEÇÃO QUADRADA *15 X 15* CM, H= 2,30 M. AF_12/2025</t>
  </si>
  <si>
    <t xml:space="preserve">INSTALAÇÃO DE MOURÃO DE CONCRETO RETO, SEÇÃO QUADRADA, *10 X 10* CM, H= 3,00 M. AF_12/2025</t>
  </si>
  <si>
    <t xml:space="preserve">INSTALAÇÃO DE TELA DE ARAME GALVANIZADA REVESTIDA EM PVC, PARA ALAMBRADO COM TUBOS DE AÇO, QUADRANGULAR / LOSANGULAR, FIO 2,11 MM (14 BWG), MALHA 5 X 5 CM, H = 2 M. AF_12/2025</t>
  </si>
  <si>
    <t xml:space="preserve">INSTALAÇÃO DE TELA DE ARAME GALVANIZADA REVESTIDA EM PVC, PARA ALAMBRADO COM TUBOS DE AÇO, QUADRANGULAR / LOSANGULAR, FIO 2,77 MM (12 BWG), MALHA 5 X 5 CM, H = 2 M. AF_12/2025</t>
  </si>
  <si>
    <t xml:space="preserve">INSTALAÇÃO DE TELA DE ARAME GALVANIZADA, PARA ALAMBRADO COM MOURÕES DE CONCRETO, QUADRANGULAR / LOSANGULAR, FIO 2,11 MM (14 BWG), MALHA 8 X 8 CM, H = 2 M, COM REVESTIMENTO EM PVC. AF_12/2025</t>
  </si>
  <si>
    <t xml:space="preserve">INSTALAÇÃO DE TELA DE ARAME GALVANIZADA, PARA ALAMBRADO COM MOURÕES DE CONCRETO, QUADRANGULAR / LOSANGULAR, FIO 2,11 MM (14 BWG), MALHA 8 X 8 CM, H = 2 M. AF_12/2025</t>
  </si>
  <si>
    <t xml:space="preserve">INSTALAÇÃO DE TELA DE ARAME GALVANIZADA, PARA ALAMBRADO COM TUBOS DE AÇO, QUADRANGULAR / LOSANGULAR, FIO 2,11 MM (14 BWG), MALHA 5 X 5 CM, H = 2 M. AF_12/2025</t>
  </si>
  <si>
    <t xml:space="preserve">INSTALAÇÃO DE TELA DE ARAME GALVANIZADA, PARA ALAMBRADO COM TUBOS DE AÇO, QUADRANGULAR / LOSANGULAR, FIO 2,77 MM (12 BWG), MALHA 5 X 5 CM, H = 2 M. AF_12/2025</t>
  </si>
  <si>
    <t xml:space="preserve">INSTALAÇÃO DE TRAVESSA PARA ALAMBRADO EM TUBO AÇO GALVANIZADO COM COSTURA, CLASSE MÉDIA, DN 1 1/4", E = *3,25* MM, PESO *3,14* KG/M, COM ESPAÇAMENTO DE 2,0 A 2,5 M. AF_12/2025</t>
  </si>
  <si>
    <t xml:space="preserve">INSTALAÇÃO DE TRAVESSA PARA ALAMBRADO EM TUBO AÇO GALVANIZADO COM COSTURA, CLASSE MÉDIA, DN 1", E = *3,25* MM, PESO *3,14* KG/M, COM ESPAÇAMENTO DE 2,0 A 2,5 M. AF_12/2025</t>
  </si>
  <si>
    <t xml:space="preserve">INSTALAÇÃO DE TRAVESSA PARA ALAMBRADO EM TUBO AÇO GALVANIZADO COM COSTURA, CLASSE MÉDIA, DN 2 1/2", E = *3,65* MM, PESO *6,51* KG/M, COM ESPAÇAMENTO DE 2,0 A 2,5 M. AF_12/2025</t>
  </si>
  <si>
    <t xml:space="preserve">INSTALAÇÃO MONTANTE, PARA ALAMBRADO COM 1 M DE ALTURA, EM TUBO AÇO GALVANIZADO COM COSTURA, CLASSE MÉDIA, DN 2 1/2", E = *3,65* MM, PESO *6,51* KG/M. AF_12/2025</t>
  </si>
  <si>
    <t xml:space="preserve">INSTALAÇÃO MONTANTE, PARA ALAMBRADO COM 1 M DE ALTURA, EM TUBO AÇO GALVANIZADO COM COSTURA, CLASSE MÉDIA, DN 2", E = *3,65* MM, PESO *5,10* KG/M. AF_12/2025</t>
  </si>
  <si>
    <t xml:space="preserve">INSTALAÇÃO MONTANTE, PARA ALAMBRADO COM 1 M DE ALTURA, EM TUBO AÇO GALVANIZADO COM COSTURA, CLASSE MÉDIA, DN 3", E = *3,35* MM, PESO *7,32* KG/M. AF_12/2025</t>
  </si>
  <si>
    <t xml:space="preserve">INSTALAÇÃO MONTANTE, PARA ALAMBRADO COM 2,40 A 5,00 M DE ALTURA, EM TUBO AÇO GALVANIZADO COM COSTURA, CLASSE MÉDIA, DN 3", E = *3,35* MM, PESO *7,32* KG/M. AF_12/2025</t>
  </si>
  <si>
    <t xml:space="preserve">INSTALAÇÃO MONTANTE, PARA ALAMBRADO DE 2,40 A 5,00 M DE ALTURA, EM TUBO AÇO GALVANIZADO COM COSTURA, CLASSE MÉDIA, DN 2 1/2", E = *3,65* MM, PESO *6,51* KG/M. AF_12/2025</t>
  </si>
  <si>
    <t xml:space="preserve">INSTALAÇÃO MONTANTE, PARA ALAMBRADO DE 2,40 A 5,00 M DE ALTURA, EM TUBO AÇO GALVANIZADO COM COSTURA, CLASSE MÉDIA, DN 2", E = *3,65* MM, PESO *5,10* KG/M. AF_12/2025</t>
  </si>
  <si>
    <t xml:space="preserve">PORTÃO COM MOURÕES DE MADEIRA ROLIÇA, DIÂMETRO 11 CM, COM 5 FIOS DE ARAME FARPADO Nº 14 CLASSE 250, SEM DOBRADIÇAS - FORNECIMENTO E INSTALAÇÃO. AF_12/2025</t>
  </si>
  <si>
    <t xml:space="preserve">PORTÃO DE ABRIR/GIRO, ESTRUTURADO POR TUBOS DE AÇO GALVANIZADO, COM TELA DE ARAME, PARA PEDESTRE - COMPLETO. AF_12/2025</t>
  </si>
  <si>
    <t xml:space="preserve">RECOMPOSIÇÃO PARCIAL DE ARAME FARPADO Nº 14 OU 16 CLASSE 250, FIXADO EM CERCA COM MOURÕES DE CONCRETO - FORNECIMENTO E INSTALAÇÃO. AF_12/2025</t>
  </si>
  <si>
    <t>Chapisco</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</si>
  <si>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</si>
  <si>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</si>
  <si>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</si>
  <si>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</si>
  <si>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</si>
  <si>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</si>
  <si>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</si>
  <si>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</si>
  <si>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</si>
  <si>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</si>
  <si>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</si>
  <si>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</si>
  <si>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</si>
  <si>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</si>
  <si>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</si>
  <si>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</si>
  <si>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</si>
  <si>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</si>
  <si>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</si>
  <si>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</si>
  <si>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</si>
  <si>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</si>
  <si>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</si>
  <si>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</si>
  <si>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</si>
  <si>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</si>
  <si>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</si>
  <si>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</si>
  <si>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para Estruturas de Concreto Armado</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</si>
  <si>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</si>
  <si>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</si>
  <si>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</si>
  <si>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</si>
  <si>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</si>
  <si>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</si>
  <si>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</si>
  <si>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</si>
  <si>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</si>
  <si>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</si>
  <si>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</si>
  <si>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</si>
  <si>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</si>
  <si>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</si>
  <si>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</si>
  <si>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</si>
  <si>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</si>
  <si>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</si>
  <si>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</si>
  <si>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</si>
  <si>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Concreto Projetado</t>
  </si>
  <si>
    <t xml:space="preserve">EXECUÇÃO DE REVESTIMENTO DE CONCRETO PROJETADO COM ESPESSURA DE 10 CM, ARMADO COM FIBRAS DE AÇO, INCLINAÇÃO DE 90°, APLICAÇÃO CONTÍNUA, UTILIZANDO EQUIPAMENTO DE PROJEÇÃO COM 3 M3/H DE CAPACIDADE. AF_07/2024</t>
  </si>
  <si>
    <t xml:space="preserve">EXECUÇÃO DE REVESTIMENTO DE CONCRETO PROJETADO COM ESPESSURA DE 10 CM, ARMADO COM FIBRAS DE AÇO, INCLINAÇÃO DE 90°, APLICAÇÃO CONTÍNUA, UTILIZANDO EQUIPAMENTO DE PROJEÇÃO COM 6 M3/H DE CAPACIDADE. AF_07/2024</t>
  </si>
  <si>
    <t xml:space="preserve">EXECUÇÃO DE REVESTIMENTO DE CONCRETO PROJETADO COM ESPESSURA DE 10 CM, ARMADO COM FIBRAS DE AÇO, INCLINAÇÃO DE 90°, APLICAÇÃO DESCONTÍNUA, UTILIZANDO EQUIPAMENTO DE PROJEÇÃO COM 3 M3/H DE CAPACIDADE. AF_07/2024</t>
  </si>
  <si>
    <t xml:space="preserve">EXECUÇÃO DE REVESTIMENTO DE CONCRETO PROJETADO COM ESPESSURA DE 10 CM, ARMADO COM FIBRAS DE AÇO, INCLINAÇÃO DE 90°, APLICAÇÃO DESCONTÍNUA, UTILIZANDO EQUIPAMENTO DE PROJEÇÃO COM 6 M3/H DE CAPACIDADE. AF_07/2024</t>
  </si>
  <si>
    <t xml:space="preserve">EXECUÇÃO DE REVESTIMENTO DE CONCRETO PROJETADO COM ESPESSURA DE 10 CM, ARMADO COM FIBRAS DE AÇO, INCLINAÇÃO MENOR QUE 90°, APLICAÇÃO CONTÍNUA, UTILIZANDO EQUIPAMENTO DE PROJEÇÃO COM 3 M3/H DE CAPACIDADE. AF_07/2024</t>
  </si>
  <si>
    <t xml:space="preserve">EXECUÇÃO DE REVESTIMENTO DE CONCRETO PROJETADO COM ESPESSURA DE 10 CM, ARMADO COM FIBRAS DE AÇO, INCLINAÇÃO MENOR QUE 90°, APLICAÇÃO CONTÍNUA, UTILIZANDO EQUIPAMENTO DE PROJEÇÃO COM 6 M3/H DE CAPACIDADE. AF_07/2024</t>
  </si>
  <si>
    <t xml:space="preserve">EXECUÇÃO DE REVESTIMENTO DE CONCRETO PROJETADO COM ESPESSURA DE 10 CM, ARMADO COM FIBRAS DE AÇO, INCLINAÇÃO MENOR QUE 90°, APLICAÇÃO DESCONTÍNUA, UTILIZANDO EQUIPAMENTO DE PROJEÇÃO COM 3 M3/H DE CAPACIDADE. AF_07/2024</t>
  </si>
  <si>
    <t xml:space="preserve">EXECUÇÃO DE REVESTIMENTO DE CONCRETO PROJETADO COM ESPESSURA DE 10 CM, ARMADO COM FIBRAS DE AÇO, INCLINAÇÃO MENOR QUE 90°, APLICAÇÃO DESCONTÍNUA, UTILIZANDO EQUIPAMENTO DE PROJEÇÃO COM 6 M3/H DE CAPACIDADE. AF_07/2024</t>
  </si>
  <si>
    <t xml:space="preserve">EXECUÇÃO DE REVESTIMENTO DE CONCRETO PROJETADO COM ESPESSURA DE 10 CM, ARMADO COM TELA, INCLINAÇÃO DE 90°, APLICAÇÃO CONTÍNUA, UTILIZANDO EQUIPAMENTO DE PROJEÇÃO COM 3 M3/H DE CAPACIDADE. AF_07/2024</t>
  </si>
  <si>
    <t xml:space="preserve">EXECUÇÃO DE REVESTIMENTO DE CONCRETO PROJETADO COM ESPESSURA DE 10 CM, ARMADO COM TELA, INCLINAÇÃO DE 90°, APLICAÇÃO CONTÍNUA, UTILIZANDO EQUIPAMENTO DE PROJEÇÃO COM 6 M3/H DE CAPACIDADE. AF_07/2024</t>
  </si>
  <si>
    <t xml:space="preserve">EXECUÇÃO DE REVESTIMENTO DE CONCRETO PROJETADO COM ESPESSURA DE 10 CM, ARMADO COM TELA, INCLINAÇÃO DE 90°, APLICAÇÃO DESCONTÍNUA, UTILIZANDO EQUIPAMENTO DE PROJEÇÃO COM 3 M3/H DE CAPACIDADE. AF_07/2024</t>
  </si>
  <si>
    <t xml:space="preserve">EXECUÇÃO DE REVESTIMENTO DE CONCRETO PROJETADO COM ESPESSURA DE 10 CM, ARMADO COM TELA, INCLINAÇÃO DE 90°, APLICAÇÃO DESCONTÍNUA, UTILIZANDO EQUIPAMENTO DE PROJEÇÃO COM 6 M3/H DE CAPACIDADE. AF_07/2024</t>
  </si>
  <si>
    <t xml:space="preserve">EXECUÇÃO DE REVESTIMENTO DE CONCRETO PROJETADO COM ESPESSURA DE 10 CM, ARMADO COM TELA, INCLINAÇÃO MENOR QUE 90°, APLICAÇÃO CONTÍNUA, UTILIZANDO EQUIPAMENTO DE PROJEÇÃO COM 3 M3/H DE CAPACIDADE. AF_07/2024</t>
  </si>
  <si>
    <t xml:space="preserve">EXECUÇÃO DE REVESTIMENTO DE CONCRETO PROJETADO COM ESPESSURA DE 10 CM, ARMADO COM TELA, INCLINAÇÃO MENOR QUE 90°, APLICAÇÃO CONTÍNUA, UTILIZANDO EQUIPAMENTO DE PROJEÇÃO COM 6 M3/H DE CAPACIDADE. AF_07/2024</t>
  </si>
  <si>
    <t xml:space="preserve">EXECUÇÃO DE REVESTIMENTO DE CONCRETO PROJETADO COM ESPESSURA DE 10 CM, ARMADO COM TELA, INCLINAÇÃO MENOR QUE 90°, APLICAÇÃO DESCONTÍNUA, UTILIZANDO EQUIPAMENTO DE PROJEÇÃO COM 3 M3/H DE CAPACIDADE. AF_07/2024</t>
  </si>
  <si>
    <t xml:space="preserve">EXECUÇÃO DE REVESTIMENTO DE CONCRETO PROJETADO COM ESPESSURA DE 10 CM, ARMADO COM TELA, INCLINAÇÃO MENOR QUE 90°, APLICAÇÃO DESCONTÍNUA, UTILIZANDO EQUIPAMENTO DE PROJEÇÃO COM 6 M3/H DE CAPACIDADE. AF_07/2024</t>
  </si>
  <si>
    <t xml:space="preserve">EXECUÇÃO DE REVESTIMENTO DE CONCRETO PROJETADO COM ESPESSURA DE 7 CM, ARMADO COM FIBRAS DE AÇO, INCLINAÇÃO DE 90°, APLICAÇÃO CONTÍNUA, UTILIZANDO EQUIPAMENTO DE PROJEÇÃO COM 3 M3/H DE CAPACIDADE. AF_07/2024</t>
  </si>
  <si>
    <t xml:space="preserve">EXECUÇÃO DE REVESTIMENTO DE CONCRETO PROJETADO COM ESPESSURA DE 7 CM, ARMADO COM FIBRAS DE AÇO, INCLINAÇÃO DE 90°, APLICAÇÃO CONTÍNUA, UTILIZANDO EQUIPAMENTO DE PROJEÇÃO COM 6 M3/H DE CAPACIDADE. AF_07/2024</t>
  </si>
  <si>
    <t xml:space="preserve">EXECUÇÃO DE REVESTIMENTO DE CONCRETO PROJETADO COM ESPESSURA DE 7 CM, ARMADO COM FIBRAS DE AÇO, INCLINAÇÃO DE 90°, APLICAÇÃO DESCONTÍNUA, UTILIZANDO EQUIPAMENTO DE PROJEÇÃO COM 3 M3/H DE CAPACIDADE. AF_07/2024</t>
  </si>
  <si>
    <t xml:space="preserve">EXECUÇÃO DE REVESTIMENTO DE CONCRETO PROJETADO COM ESPESSURA DE 7 CM, ARMADO COM FIBRAS DE AÇO, INCLINAÇÃO DE 90°, APLICAÇÃO DESCONTÍNUA, UTILIZANDO EQUIPAMENTO DE PROJEÇÃO COM 6 M3/H DE CAPACIDADE. AF_07/2024</t>
  </si>
  <si>
    <t xml:space="preserve">EXECUÇÃO DE REVESTIMENTO DE CONCRETO PROJETADO COM ESPESSURA DE 7 CM, ARMADO COM FIBRAS DE AÇO, INCLINAÇÃO MENOR QUE 90°, APLICAÇÃO CONTÍNUA, UTILIZANDO EQUIPAMENTO DE PROJEÇÃO COM 3 M3/H DE CAPACIDADE. AF_07/2024</t>
  </si>
  <si>
    <t xml:space="preserve">EXECUÇÃO DE REVESTIMENTO DE CONCRETO PROJETADO COM ESPESSURA DE 7 CM, ARMADO COM FIBRAS DE AÇO, INCLINAÇÃO MENOR QUE 90°, APLICAÇÃO CONTÍNUA, UTILIZANDO EQUIPAMENTO DE PROJEÇÃO COM 6 M3/H DE CAPACIDADE. AF_07/2024</t>
  </si>
  <si>
    <t xml:space="preserve">EXECUÇÃO DE REVESTIMENTO DE CONCRETO PROJETADO COM ESPESSURA DE 7 CM, ARMADO COM FIBRAS DE AÇO, INCLINAÇÃO MENOR QUE 90°, APLICAÇÃO DESCONTÍNUA, UTILIZANDO EQUIPAMENTO DE PROJEÇÃO COM 3 M3/H DE CAPACIDADE. AF_07/2024</t>
  </si>
  <si>
    <t xml:space="preserve">EXECUÇÃO DE REVESTIMENTO DE CONCRETO PROJETADO COM ESPESSURA DE 7 CM, ARMADO COM FIBRAS DE AÇO, INCLINAÇÃO MENOR QUE 90°, APLICAÇÃO DESCONTÍNUA, UTILIZANDO EQUIPAMENTO DE PROJEÇÃO COM 6 M3/H DE CAPACIDADE. AF_07/2024</t>
  </si>
  <si>
    <t xml:space="preserve">EXECUÇÃO DE REVESTIMENTO DE CONCRETO PROJETADO COM ESPESSURA DE 7 CM, ARMADO COM TELA, INCLINAÇÃO DE 90°, APLICAÇÃO CONTÍNUA, UTILIZANDO EQUIPAMENTO DE PROJEÇÃO COM 3 M3/H DE CAPACIDADE. AF_07/2024</t>
  </si>
  <si>
    <t xml:space="preserve">EXECUÇÃO DE REVESTIMENTO DE CONCRETO PROJETADO COM ESPESSURA DE 7 CM, ARMADO COM TELA, INCLINAÇÃO DE 90°, APLICAÇÃO CONTÍNUA, UTILIZANDO EQUIPAMENTO DE PROJEÇÃO COM 6 M3/H DE CAPACIDADE. AF_07/2024</t>
  </si>
  <si>
    <t xml:space="preserve">EXECUÇÃO DE REVESTIMENTO DE CONCRETO PROJETADO COM ESPESSURA DE 7 CM, ARMADO COM TELA, INCLINAÇÃO DE 90°, APLICAÇÃO DESCONTÍNUA, UTILIZANDO EQUIPAMENTO DE PROJEÇÃO COM 3 M3/H DE CAPACIDADE. AF_07/2024</t>
  </si>
  <si>
    <t xml:space="preserve">EXECUÇÃO DE REVESTIMENTO DE CONCRETO PROJETADO COM ESPESSURA DE 7 CM, ARMADO COM TELA, INCLINAÇÃO DE 90°, APLICAÇÃO DESCONTÍNUA, UTILIZANDO EQUIPAMENTO DE PROJEÇÃO COM 6 M3/H DE CAPACIDADE. AF_07/2024</t>
  </si>
  <si>
    <t xml:space="preserve">EXECUÇÃO DE REVESTIMENTO DE CONCRETO PROJETADO COM ESPESSURA DE 7 CM, ARMADO COM TELA, INCLINAÇÃO MENOR QUE 90°, APLICAÇÃO CONTÍNUA, UTILIZANDO EQUIPAMENTO DE PROJEÇÃO COM 3 M3/H DE CAPACIDADE. AF_07/2024</t>
  </si>
  <si>
    <t xml:space="preserve">EXECUÇÃO DE REVESTIMENTO DE CONCRETO PROJETADO COM ESPESSURA DE 7 CM, ARMADO COM TELA, INCLINAÇÃO MENOR QUE 90°, APLICAÇÃO CONTÍNUA, UTILIZANDO EQUIPAMENTO DE PROJEÇÃO COM 6 M3/H DE CAPACIDADE. AF_07/2024</t>
  </si>
  <si>
    <t xml:space="preserve">EXECUÇÃO DE REVESTIMENTO DE CONCRETO PROJETADO COM ESPESSURA DE 7 CM, ARMADO COM TELA, INCLINAÇÃO MENOR QUE 90°, APLICAÇÃO DESCONTÍNUA, UTILIZANDO EQUIPAMENTO DE PROJEÇÃO COM 3 M3/H DE CAPACIDADE. AF_07/2024</t>
  </si>
  <si>
    <t xml:space="preserve">EXECUÇÃO DE REVESTIMENTO DE CONCRETO PROJETADO COM ESPESSURA DE 7 CM, ARMADO COM TELA, INCLINAÇÃO MENOR QUE 90°, APLICAÇÃO DESCONTÍNUA, UTILIZANDO EQUIPAMENTO DE PROJEÇÃO COM 6 M3/H DE CAPACIDADE. AF_07/2024</t>
  </si>
  <si>
    <t xml:space="preserve">REVESTIMENTO VEGETAL PARA SOLO GRAMPEADO VERDE, ATRAVÉS DE HIDROSSEMEADURA. AF_07/2024</t>
  </si>
  <si>
    <t xml:space="preserve">Concreto Protendido</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</si>
  <si>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</si>
  <si>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</si>
  <si>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</si>
  <si>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</si>
  <si>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</si>
  <si>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</si>
  <si>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</si>
  <si>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</si>
  <si>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</si>
  <si>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</si>
  <si>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</si>
  <si>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</si>
  <si>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</si>
  <si>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</si>
  <si>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</si>
  <si>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</si>
  <si>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</si>
  <si>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</si>
  <si>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</si>
  <si>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</si>
  <si>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</si>
  <si>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</si>
  <si>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</si>
  <si>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</si>
  <si>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</si>
  <si>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</si>
  <si>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</si>
  <si>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</si>
  <si>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</si>
  <si>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</si>
  <si>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</si>
  <si>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</si>
  <si>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</si>
  <si>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</si>
  <si>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</si>
  <si>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</si>
  <si>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</si>
  <si>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</si>
  <si>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</si>
  <si>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</si>
  <si>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</si>
  <si>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</si>
  <si>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</si>
  <si>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</si>
  <si>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</si>
  <si>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</si>
  <si>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</si>
  <si>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Contrapiso</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</si>
  <si>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</si>
  <si>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</si>
  <si>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</si>
  <si>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</si>
  <si>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</si>
  <si>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</si>
  <si>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</si>
  <si>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</si>
  <si>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</si>
  <si>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</si>
  <si>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</si>
  <si>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</si>
  <si>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</si>
  <si>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</si>
  <si>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</si>
  <si>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</si>
  <si>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</si>
  <si>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</si>
  <si>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</si>
  <si>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</si>
  <si>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</si>
  <si>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</si>
  <si>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</si>
  <si>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</si>
  <si>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</si>
  <si>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</si>
  <si>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</si>
  <si>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</si>
  <si>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</si>
  <si>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</si>
  <si>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</si>
  <si>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</si>
  <si>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</si>
  <si>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</si>
  <si>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</si>
  <si>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</si>
  <si>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</si>
  <si>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</si>
  <si>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</si>
  <si>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</si>
  <si>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</si>
  <si>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</si>
  <si>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</si>
  <si>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</si>
  <si>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</si>
  <si>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</si>
  <si>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</si>
  <si>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</si>
  <si>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</si>
  <si>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</si>
  <si>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</si>
  <si>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</si>
  <si>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</si>
  <si>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</si>
  <si>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</si>
  <si>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</si>
  <si>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</si>
  <si>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</si>
  <si>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</si>
  <si>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Custos Horários Produtivo e Improdutivo dos Equipamentos</t>
  </si>
  <si>
    <t xml:space="preserve">APARELHO PARA CORTE E SOLDA OXI-ACETILENO SOBRE RODAS, INCLUSIVE CILINDROS E MAÇARICOS - CHI DIURNO. AF_05/2023</t>
  </si>
  <si>
    <t>CHI</t>
  </si>
  <si>
    <t xml:space="preserve">APARELHO PARA CORTE E SOLDA OXI-ACETILENO SOBRE RODAS, INCLUSIVE CILINDROS E MAÇARICOS - CHP DIURNO. AF_05/2023</t>
  </si>
  <si>
    <t>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</si>
  <si>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</si>
  <si>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</si>
  <si>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</si>
  <si>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</si>
  <si>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</si>
  <si>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</si>
  <si>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</si>
  <si>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</si>
  <si>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</si>
  <si>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</si>
  <si>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</si>
  <si>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</si>
  <si>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</si>
  <si>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</si>
  <si>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</si>
  <si>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</si>
  <si>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</si>
  <si>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</si>
  <si>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INJEÇÃO, ELÉTRICA, TRIFÁSICA, POTÊNCIA 7,5 CV - CHI DIURNO. AF_08/2025</t>
  </si>
  <si>
    <t xml:space="preserve">BOMBA DE INJEÇÃO, ELÉTRICA, TRIFÁSICA, POTÊNCIA 7,5 CV- CHP DIURNO. AF_08/2025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</si>
  <si>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</si>
  <si>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</si>
  <si>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</si>
  <si>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</si>
  <si>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</si>
  <si>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</si>
  <si>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</si>
  <si>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</si>
  <si>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</si>
  <si>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</si>
  <si>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</si>
  <si>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</si>
  <si>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</si>
  <si>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</si>
  <si>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</si>
  <si>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</si>
  <si>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</si>
  <si>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</si>
  <si>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</si>
  <si>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</si>
  <si>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</si>
  <si>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</si>
  <si>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</si>
  <si>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</si>
  <si>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</si>
  <si>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</si>
  <si>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BITRUCK TRAÇÃO 8X2, PBT 29.000 KG, PESO BRUTO TOTAL COMBINADO (PBTC) *36.000* KG, POTÊNCIA 321 CV, INCLUSIVE PLATAFORMA GUINCHO-SOCORRO, COMPRIMENTO ÚTIL 10 M, LARGURA 2,60 M COM GUINCHO DE ARRASTE BASCULANTE - CHI DIURNO. AF_11/2025</t>
  </si>
  <si>
    <t xml:space="preserve">CAMINHÃO BITRUCK TRAÇÃO 8X2, PBT 29.000 KG, PESO BRUTO TOTAL COMBINADO (PBTC) *36.000* KG, POTÊNCIA 321 CV, INCLUSIVE PLATAFORMA GUINCHO-SOCORRO, COMPRIMENTO ÚTIL 10 M, LARGURA 2,60 M COM GUINCHO DE ARRASTE BASCULANTE - CHP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</si>
  <si>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CHI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</si>
  <si>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CHP DIURNO. AF_11/2025</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</si>
  <si>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</si>
  <si>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</si>
  <si>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</si>
  <si>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</si>
  <si>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</si>
  <si>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</si>
  <si>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</si>
  <si>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</si>
  <si>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14.000 L TRUCADO, PESO BRUTO TOTAL 23.000 KG, CARGA ÚTIL MÁXIMA 16.540 KG, DISTÂNCIA ENTRE EIXOS 4,8 M, POTÊNCIA 256 CV, INCLUSIVE TANQUE DE AÇO PARA TRANSPORTE DE ÁGUA - CHI DIURNO. AF_10/2025</t>
  </si>
  <si>
    <t xml:space="preserve">CAMINHÃO PIPA 14.000 L TRUCADO, PESO BRUTO TOTAL 23.000 KG, CARGA ÚTIL MÁXIMA 16.540 KG, DISTÂNCIA ENTRE EIXOS 4,8 M, POTÊNCIA 256 CV, INCLUSIVE TANQUE DE AÇO PARA TRANSPORTE DE ÁGUA - CHP DIURNO. AF_10/2025</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</si>
  <si>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</si>
  <si>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</si>
  <si>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</si>
  <si>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</si>
  <si>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</si>
  <si>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</si>
  <si>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</si>
  <si>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</si>
  <si>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PBT 16.000 KG, CARGA ÚTIL MÁX. 10.830 KG, DIST. ENTRE EIXOS 3,56 M, POTÊNCIA 226 CV, INCLUSIVE PLATAFORMA SOBRE CHASSI, COMPRIMENTO ÚTIL 10 M, LARGURA 2,60 M COM GUINCHO DE ARRASTE E RAMPA COM ACIONAMENTO ELETRO-HIDRÁULICO - CHI DIURNO. AF_11/2025</t>
  </si>
  <si>
    <t xml:space="preserve">CAMINHÃO TOCO, PBT 16.000 KG, CARGA ÚTIL MÁX. 10.830 KG, DIST. ENTRE EIXOS 3,56 M, POTÊNCIA 226 CV, INCLUSIVE PLATAFORMA SOBRE CHASSI, COMPRIMENTO ÚTIL 10 M, LARGURA 2,60 M COM GUINCHO DE ARRASTE E RAMPA COM ACIONAMENTO ELETRO-HIDRÁULICO - CHP DIURNO. AF_11/2025</t>
  </si>
  <si>
    <t xml:space="preserve">CAMINHÃO TOCO, PBT 23.000 KG, CARGA ÚTIL MÁX. 16.540 KG, DIST. ENTRE EIXOS 4,8 M, POTÊNCIA 256 CV, INCLUSIVE CARROCERIA FIXA ABERTA DE MADEIRA P/ TRANSPORTE GERAL DE CARGA SECA, DIMEN. APROX. 2,6 X 12,50 X 0,50 M - CHI DIURNO. AF_10/2025</t>
  </si>
  <si>
    <t xml:space="preserve">CAMINHÃO TOCO, PBT 23.000 KG, CARGA ÚTIL MÁX. 16.540 KG, DIST. ENTRE EIXOS 4,8 M, POTÊNCIA 256 CV, INCLUSIVE CARROCERIA FIXA ABERTA DE MADEIRA P/ TRANSPORTE GERAL DE CARGA SECA, DIMEN. APROX. 2,6 X 12,50 X 0,50 M - CHP DIURNO. AF_10/2025</t>
  </si>
  <si>
    <t xml:space="preserve">CAMINHÃO TOCO, PBT 23.000 KG, CARGA ÚTIL MÁX. 16.540 KG, DIST. ENTRE EIXOS 4,80 M, POTÊNCIA 256 CV, INCLUSIVE PLATAFORMA GUINCHO-SOCORRO, COMPRIMENTO ÚTIL 10 M, LARGURA 2,60 M COM GUINCHO DE ARRASTE BASCULANTE - CHI DIURNO. AF_11/2025</t>
  </si>
  <si>
    <t xml:space="preserve">CAMINHÃO TOCO, PBT 23.000 KG, CARGA ÚTIL MÁX. 16.540 KG, DIST. ENTRE EIXOS 4,80 M, POTÊNCIA 256 CV, INCLUSIVE PLATAFORMA GUINCHO-SOCORRO, COMPRIMENTO ÚTIL 10 M, LARGURA 2,60 M COM GUINCHO DE ARRASTE BASCULANTE - CHP DIURNO. AF_11/2025</t>
  </si>
  <si>
    <t xml:space="preserve">CAMINHÃO TOCO, PBT 23.000 KG, CARGA ÚTIL MÁX. 16.540 KG, DIST. ENTRE EIXOS 4,80 M, POTÊNCIA 256 CV, INCLUSIVE PLATAFORMA SOBRE CHASSI, COMPRIMENTO ÚTIL 10 M, LARGURA 2,60 M COM GUINCHO DE ARRASTE E RAMPA COM ACIONAMENTO ELETRO-HIDRÁULICO - CHI DIURNO. AF_11/2025</t>
  </si>
  <si>
    <t xml:space="preserve">CAMINHÃO TOCO, PBT 23.000 KG, CARGA ÚTIL MÁX. 16.540 KG, DIST. ENTRE EIXOS 4,80 M, POTÊNCIA 256 CV, INCLUSIVE PLATAFORMA SOBRE CHASSI, COMPRIMENTO ÚTIL 10 M, LARGURA 2,60 M COM GUINCHO DE ARRASTE E RAMPA COM ACIONAMENTO ELETRO-HIDRÁULICO - CHP DIURNO. AF_11/2025</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</si>
  <si>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</si>
  <si>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</si>
  <si>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</si>
  <si>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</si>
  <si>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</si>
  <si>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</si>
  <si>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CAVALO MECÂNICO TRAÇÃO 6X2, PBT COMBINADO 56.000 KG, CAPACIDADE MÁX. TRAÇÃO 66.000 KG, POTÊNCIA 360 CV, INCLUSIVE CARROCERIA FIXA ABERTA DE MADEIRA P/ TRANSPORTE GERAL DE CARGA SECA, DIMEN. APROX. 2,6 X 14,50 X 0,50 M - CHI DIURNO. AF_10/2025</t>
  </si>
  <si>
    <t xml:space="preserve">CAVALO MECÂNICO TRAÇÃO 6X2, PBT COMBINADO 56.000 KG, CAPACIDADE MÁX. TRAÇÃO 66.000 KG, POTÊNCIA 360 CV, INCLUSIVE CARROCERIA FIXA ABERTA DE MADEIRA P/ TRANSPORTE GERAL DE CARGA SECA, DIMEN. APROX. 2,6 X 14,50 X 0,50 M - CHP DIURNO. AF_10/2025</t>
  </si>
  <si>
    <t xml:space="preserve">CAVALO MECÂNICO TRAÇÃO 6X2, PBT COMBINADO 56.000 KG, CAPACIDADE MÁX. TRAÇÃO 66.000 KG, POTÊNCIA 360 CV, INCLUSIVE PRANCHA REBAIXADA 3 EIXOS, DIMENSÕES *17,33 X 3,00* M, COM RAMPA DE ACIONAMENTO HIDRÁULICO - CHI DIURNO. AF_11/2025</t>
  </si>
  <si>
    <t xml:space="preserve">CAVALO MECÂNICO TRAÇÃO 6X2, PBT COMBINADO 56.000 KG, CAPACIDADE MÁX. TRAÇÃO 66.000 KG, POTÊNCIA 360 CV, INCLUSIVE PRANCHA REBAIXADA 3 EIXOS, DIMENSÕES *17,33 X 3,00* M, COM RAMPA DE ACIONAMENTO HIDRÁULICO - CHP DIURNO. AF_11/2025</t>
  </si>
  <si>
    <t xml:space="preserve">CAVALO MECÂNICO TRAÇÃO 6X2, PBT COMBINADO 56.000 KG, CAPACIDADE MÁX. TRAÇÃO 66.000 KG, POTÊNCIA 360 CV, INCLUSIVE PRANCHA RETA 3 EIXOS, COMPRIMENTO ÚTIL 11,3 M, PESCOÇO DE 3,5 M, LARGURA 3,00 M, COM RAMPA DE ACIONAMENTO HIDRÁULICO - CHI DIURNO. AF_11/2025</t>
  </si>
  <si>
    <t xml:space="preserve">CAVALO MECÂNICO TRAÇÃO 6X2, PBT COMBINADO 56.000 KG, CAPACIDADE MÁX. TRAÇÃO 66.000 KG, POTÊNCIA 360 CV, INCLUSIVE PRANCHA RETA 3 EIXOS, COMPRIMENTO ÚTIL 11,3 M, PESCOÇO DE 3,5 M, LARGURA 3,00 M, COM RAMPA DE ACIONAMENTO HIDRÁULICO - CHP DIURNO. AF_11/2025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</si>
  <si>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</si>
  <si>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</si>
  <si>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</si>
  <si>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</si>
  <si>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</si>
  <si>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</si>
  <si>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</si>
  <si>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</si>
  <si>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</si>
  <si>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</si>
  <si>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</si>
  <si>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</si>
  <si>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</si>
  <si>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</si>
  <si>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</si>
  <si>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</si>
  <si>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</si>
  <si>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</si>
  <si>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</si>
  <si>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</si>
  <si>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</si>
  <si>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</si>
  <si>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</si>
  <si>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</si>
  <si>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</si>
  <si>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</si>
  <si>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CORTADEIRA HIDRÁULICA DE VERGALHÃO, PARA AÇO DE DIÂMETRO ATÉ 50 MM, MOTOR ELÉTRICO TRIFÁSICO, POTÊNCIA DE 5,5 HP A 7,5 HP - CHI DIURNO. AF_12/2025</t>
  </si>
  <si>
    <t xml:space="preserve">CORTADEIRA HIDRÁULICA DE VERGALHÃO, PARA AÇO DE DIÂMETRO ATÉ 50 MM, MOTOR ELÉTRICO TRIFÁSICO, POTÊNCIA DE 5,5 HP A 7,5 HP - CHP DIURNO. AF_12/2025</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</si>
  <si>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</si>
  <si>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</si>
  <si>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</si>
  <si>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</si>
  <si>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</si>
  <si>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</si>
  <si>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</si>
  <si>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</si>
  <si>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ELETROMECÂNICA DE VERGALHÃO, PARA AÇO DE DIÂMETRO ATÉ 1 1/2", MOTOR ELÉTRICO TRIFÁSICO, POTÊNCIA DE 3 HP ATÉ 5 HP- CHI DIURNO. AF_12/2025</t>
  </si>
  <si>
    <t xml:space="preserve">DOBRADEIRA ELETROMECÂNICA DE VERGALHÃO, PARA AÇO DE DIÂMETRO ATÉ 1 1/2", MOTOR ELÉTRICO TRIFÁSICO, POTÊNCIA DE 3 HP ATÉ 5 HP- CHP DIURNO. AF_12/2025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</si>
  <si>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</si>
  <si>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</si>
  <si>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</si>
  <si>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</si>
  <si>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</si>
  <si>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</si>
  <si>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</si>
  <si>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</si>
  <si>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CHI DIURNO. AF_06/2023</t>
  </si>
  <si>
    <t xml:space="preserve">ESCAVADEIRA HIDRÁULICA DE BRAÇO LONGO (LONGO ALCANCE) SOBRE ESTEIRAS, CAÇAMBA 0,52 M3, PESO OPERACIONAL 24 T, POTÊNCIA LÍQUIDA 155 HP - CHP DIURNO. AF_06/2023</t>
  </si>
  <si>
    <t xml:space="preserve">ESCAVADEIRA HIDRÁULICA SOBRE ESTEIRA, PESO OPERACIONAL 21,00 T, POTÊNCIA NOMINAL 155 HP, COM MARTELO VIBRATÓRIO HIDRÁULICO *1200 A 2200* KG - CHI DIURNO. AF_11/2025</t>
  </si>
  <si>
    <t xml:space="preserve">ESCAVADEIRA HIDRÁULICA SOBRE ESTEIRA, PESO OPERACIONAL 21,00 T, POTÊNCIA NOMINAL 155 HP, COM MARTELO VIBRATÓRIO HIDRÁULICO *1200 A 2200* KG - CHP DIURNO. AF_11/2025</t>
  </si>
  <si>
    <t xml:space="preserve">ESCAVADEIRA HIDRÁULICA SOBRE ESTEIRA, PESO OPERACIONAL 21,00 T, POTÊNCIA NOMINAL 155 HP, COM TORRE DE CRAVAÇÃO PARA EXECUÇÃO DE GEODRENO VERTICAL, LANÇA DE 32 M, PARA DRENO FIBROQUÍMICO DE LARGURA PADRÃO (100 MM) - CHI DIURNO. AF_12/2025</t>
  </si>
  <si>
    <t xml:space="preserve">ESCAVADEIRA HIDRÁULICA SOBRE ESTEIRA, PESO OPERACIONAL 21,00 T, POTÊNCIA NOMINAL 155 HP, COM TORRE DE CRAVAÇÃO PARA EXECUÇÃO DE GEODRENO VERTICAL, LANÇA DE 32 M, PARA DRENO FIBROQUÍMICO DE LARGURA PADRÃO (100 MM)- CHP DIURNO. AF_12/2025</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</si>
  <si>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</si>
  <si>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</si>
  <si>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</si>
  <si>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</si>
  <si>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</si>
  <si>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</si>
  <si>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</si>
  <si>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</si>
  <si>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</si>
  <si>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</si>
  <si>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</si>
  <si>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</si>
  <si>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</si>
  <si>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</si>
  <si>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</si>
  <si>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</si>
  <si>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</si>
  <si>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</si>
  <si>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</si>
  <si>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</si>
  <si>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</si>
  <si>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</si>
  <si>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</si>
  <si>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</si>
  <si>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</si>
  <si>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</si>
  <si>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</si>
  <si>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</si>
  <si>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</si>
  <si>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</si>
  <si>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</si>
  <si>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</si>
  <si>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</si>
  <si>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</si>
  <si>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</si>
  <si>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</si>
  <si>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</si>
  <si>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</si>
  <si>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</si>
  <si>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</si>
  <si>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</si>
  <si>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</si>
  <si>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</si>
  <si>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</si>
  <si>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</si>
  <si>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</si>
  <si>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</si>
  <si>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</si>
  <si>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</si>
  <si>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</si>
  <si>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</si>
  <si>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</si>
  <si>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</si>
  <si>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</si>
  <si>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</si>
  <si>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</si>
  <si>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</si>
  <si>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</si>
  <si>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14340 KG, MOMENTO MÁXIMO DE CARGA 42,3 TM, ALCANCE MÁXIMO HORIZONTAL16,80 M, INCLUSIVE CAMINHÃO TOCO PBT 23.000 KG, POTÊNCIA DE 256 CV - CHI DIURNO. AF_10/2025</t>
  </si>
  <si>
    <t xml:space="preserve">GUINDAUTO HIDRÁULICO, CAPACIDADE MÁXIMA DE CARGA 14340 KG, MOMENTO MÁXIMO DE CARGA 42,3 TM, ALCANCE MÁXIMO HORIZONTAL16,80 M, INCLUSIVE CAMINHÃO TOCO PBT 23.000 KG, POTÊNCIA DE 256 CV - CHP DIURNO. AF_10/2025</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</si>
  <si>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</si>
  <si>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</si>
  <si>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</si>
  <si>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</si>
  <si>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</si>
  <si>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</si>
  <si>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</si>
  <si>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</si>
  <si>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GUINDAUTO HIDRÁULICO, CAPACIDADE MÁXIMA DE CARGA 8500 KG, MOMENTO MÁXIMO DE CARGA 30,4 TM, ALCANCE MÁXIMO HORIZONTAL 14,30 M, INCLUSIVE CAMINHÃO TRUCADO PBT 23.000 KG, POTÊNCIA DE 256 CV E CARROCERIA FIXA ABERTA DE MADEIRA - CHI DIURNO. AF_05/2025</t>
  </si>
  <si>
    <t xml:space="preserve">GUINDAUTO HIDRÁULICO, CAPACIDADE MÁXIMA DE CARGA 8500 KG, MOMENTO MÁXIMO DE CARGA 30,4 TM, ALCANCE MÁXIMO HORIZONTAL 14,30 M, INCLUSIVE CAMINHÃO TRUCADO PBT 23.000 KG, POTÊNCIA DE 256 CV E CARROCERIA FIXA ABERTA DE MADEIRA - CHP DIURNO. AF_05/2025</t>
  </si>
  <si>
    <t xml:space="preserve">INVERSOR DE SOLDA MONOFÁSICO DE 160 A, POTÊNCIA DE 7000 W, TENSÃO DE 220 V, TURBO VENTILADO, PROTEÇÃO POR TERMOSTATO, PARA ELETRODOS DE 2,0 A 4,0 MM - CHI DIURNO. AF_06/2018</t>
  </si>
  <si>
    <t xml:space="preserve">INVERSOR DE SOLDA MONOFÁSICO DE 160 A, POTÊNCIA DE 7000 W, TENSÃO DE 220 V, TURBO VENTILADO, PROTEÇÃO POR TERMOSTATO, PARA ELETRODOS DE 2,0 A 4,0 MM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</si>
  <si>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</si>
  <si>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</si>
  <si>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</si>
  <si>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</si>
  <si>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</si>
  <si>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</si>
  <si>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</si>
  <si>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</si>
  <si>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</si>
  <si>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</si>
  <si>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</si>
  <si>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</si>
  <si>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</si>
  <si>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</si>
  <si>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</si>
  <si>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</si>
  <si>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</si>
  <si>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</si>
  <si>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</si>
  <si>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</si>
  <si>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</si>
  <si>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</si>
  <si>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</si>
  <si>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</si>
  <si>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</si>
  <si>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</si>
  <si>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</si>
  <si>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</si>
  <si>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</si>
  <si>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</si>
  <si>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</si>
  <si>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</si>
  <si>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</si>
  <si>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</si>
  <si>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</si>
  <si>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</si>
  <si>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</si>
  <si>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</si>
  <si>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</si>
  <si>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</si>
  <si>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</si>
  <si>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</si>
  <si>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</si>
  <si>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</si>
  <si>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</si>
  <si>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</si>
  <si>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</si>
  <si>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</si>
  <si>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MANGUEIRA DE 1" COM COMPRESSOR DE AR REBOCÁVEL 189 PCM E MOTOR DIESEL 63 CV - CHI DIURNO. AF_05/2023</t>
  </si>
  <si>
    <t xml:space="preserve">MÁQUINA JATO DE PRESSAO PORTÁTIL, CAMARA DE 1 SAIDA, CAPACIDADE 280 L, DIAMETRO 670 MM, BICO DE JATO CURTO VENTURI DE 5/16",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</si>
  <si>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</si>
  <si>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</si>
  <si>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</si>
  <si>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</si>
  <si>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</si>
  <si>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</si>
  <si>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</si>
  <si>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</si>
  <si>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</si>
  <si>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</si>
  <si>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</si>
  <si>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</si>
  <si>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</si>
  <si>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</si>
  <si>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MONOFÁSICO DE *0,5 A 1,0* CV, CILINDRO COM DIÂMETRO DE *0,48 A 0,85* M E COMPRIMENTO DE *1,0 A 1,65* M - CHI DIURNO. AF_11/2025</t>
  </si>
  <si>
    <t xml:space="preserve">PENEIRA ROTATIVA COM MOTOR ELÉTRICO MONOFÁSICO DE *0,5 A 1,0* CV, CILINDRO COM DIÂMETRO DE *0,48 A 0,85* M E COMPRIMENTO DE *1,0 A 1,65* M - CHP DIURNO. AF_11/2025</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</si>
  <si>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</si>
  <si>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</si>
  <si>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</si>
  <si>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</si>
  <si>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</si>
  <si>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</si>
  <si>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</si>
  <si>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</si>
  <si>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</si>
  <si>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</si>
  <si>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</si>
  <si>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</si>
  <si>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</si>
  <si>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</si>
  <si>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</si>
  <si>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</si>
  <si>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</si>
  <si>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</si>
  <si>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</si>
  <si>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</si>
  <si>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</si>
  <si>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</si>
  <si>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</si>
  <si>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</si>
  <si>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</si>
  <si>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</si>
  <si>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</si>
  <si>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</si>
  <si>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</si>
  <si>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</si>
  <si>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</si>
  <si>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</si>
  <si>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</si>
  <si>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</si>
  <si>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</si>
  <si>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</si>
  <si>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POLIGUINDASTE, CAPACIDADE MÁXIMA DE CARGA 8000 KG, PARA TRANSPORTE DE CAÇAMBAS ESTACIONÁRIAS, INCLUSIVE CAMINHÃO TOCO PBT 14.300 KG, POTÊNCIA DE 185 CV - CHI DIURNO. AF_10/2025</t>
  </si>
  <si>
    <t xml:space="preserve">POLIGUINDASTE, CAPACIDADE MÁXIMA DE CARGA 8000 KG, PARA TRANSPORTE DE CAÇAMBAS ESTACIONÁRIAS, INCLUSIVE CAMINHÃO TOCO PBT 14.300 KG, POTÊNCIA DE 185 CV - CHP DIURNO. AF_10/2025</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</si>
  <si>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</si>
  <si>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</si>
  <si>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</si>
  <si>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</si>
  <si>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</si>
  <si>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</si>
  <si>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</si>
  <si>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</si>
  <si>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</si>
  <si>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</si>
  <si>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</si>
  <si>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</si>
  <si>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</si>
  <si>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</si>
  <si>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</si>
  <si>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</si>
  <si>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PESO OPERACIONAL MÍN. 6,674, POTÊNCIA LÍQ 88 HP, COM MARTELO ROMPEDOR HIDRÁULICO ENTRE 275 A 362 KG - CHI DIURNO. AF_02/2021</t>
  </si>
  <si>
    <t xml:space="preserve">RETROESCAVADEIRA SOBRE RODAS COM CARREGADEIRA,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</si>
  <si>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</si>
  <si>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</si>
  <si>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</si>
  <si>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</si>
  <si>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</si>
  <si>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</si>
  <si>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</si>
  <si>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</si>
  <si>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</si>
  <si>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</si>
  <si>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</si>
  <si>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</si>
  <si>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</si>
  <si>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</si>
  <si>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</si>
  <si>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</si>
  <si>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</si>
  <si>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</si>
  <si>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</si>
  <si>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</si>
  <si>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</si>
  <si>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</si>
  <si>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</si>
  <si>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</si>
  <si>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</si>
  <si>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</si>
  <si>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</si>
  <si>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</si>
  <si>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</si>
  <si>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</si>
  <si>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</si>
  <si>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</si>
  <si>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</si>
  <si>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</si>
  <si>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</si>
  <si>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</si>
  <si>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</si>
  <si>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</si>
  <si>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</si>
  <si>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</si>
  <si>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</si>
  <si>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</si>
  <si>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</si>
  <si>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</si>
  <si>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</si>
  <si>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</si>
  <si>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</si>
  <si>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</si>
  <si>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</si>
  <si>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</si>
  <si>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</si>
  <si>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</si>
  <si>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</si>
  <si>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</si>
  <si>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</si>
  <si>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</si>
  <si>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</si>
  <si>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</si>
  <si>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</si>
  <si>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</si>
  <si>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</si>
  <si>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</si>
  <si>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</si>
  <si>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</si>
  <si>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</si>
  <si>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</si>
  <si>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</si>
  <si>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</si>
  <si>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</si>
  <si>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</si>
  <si>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</si>
  <si>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</si>
  <si>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</si>
  <si>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</si>
  <si>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</si>
  <si>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</si>
  <si>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</si>
  <si>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</si>
  <si>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</si>
  <si>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</si>
  <si>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</si>
  <si>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</si>
  <si>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</si>
  <si>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</si>
  <si>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</si>
  <si>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</si>
  <si>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</si>
  <si>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</si>
  <si>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 PAVIM. 2,60 M A 5,75 M, POT. 110 HP, CAP. 450 T/ H - CHI DIURNO. AF_11/2025</t>
  </si>
  <si>
    <t xml:space="preserve">VIBROACABADORA DE ASFALTO SOBRE ESTEIRAS, LARG. PAVIM. 2,60 M A 5,75 M, POT. 110 HP, CAP. 450 T/ H - CHP DIURNO. AF_11/2025</t>
  </si>
  <si>
    <t xml:space="preserve">VIBROACABADORA DE ASFALTO SOBRE ESTEIRAS, LARG. PAVIM. MÁX. 8,00 M, POT. 100 KW/ 134 HP, CAP. 600 T/ H - CHI DIURNO. AF_11/2025</t>
  </si>
  <si>
    <t xml:space="preserve">VIBROACABADORA DE ASFALTO SOBRE ESTEIRAS, LARG. PAVIM. MÁX. 8,00 M, POT. 100 KW/ 134 HP, CAP. 600 T/ H - CHP DIURNO. AF_11/2025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</si>
  <si>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</si>
  <si>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</si>
  <si>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</si>
  <si>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</si>
  <si>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VIBROACABADORA DE ASFALTO SOBRE RODAS, LARGURA DE PAVIMENTAÇÃO DE 1,70 A 4,20 M, POTÊNCIA 78 KW/105 HP, CAPACIDADE 300 T/H - CHI DIURNO. AF_11/2025</t>
  </si>
  <si>
    <t xml:space="preserve">VIBROACABADORA DE ASFALTO SOBRE RODAS, LARGURA DE PAVIMENTAÇÃO DE 1,70 A 4,20 M, POTÊNCIA 78 KW/105 HP, CAPACIDADE 300 T/H - CHP DIURNO. AF_11/2025</t>
  </si>
  <si>
    <t xml:space="preserve">Demolições e Remoções</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</si>
  <si>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</si>
  <si>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</si>
  <si>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</si>
  <si>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</si>
  <si>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</si>
  <si>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</si>
  <si>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</si>
  <si>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</si>
  <si>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</si>
  <si>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</si>
  <si>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</si>
  <si>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</si>
  <si>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</si>
  <si>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</si>
  <si>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</si>
  <si>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</si>
  <si>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</si>
  <si>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</si>
  <si>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</si>
  <si>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</si>
  <si>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</si>
  <si>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</si>
  <si>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</si>
  <si>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</si>
  <si>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</si>
  <si>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</si>
  <si>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</si>
  <si>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</si>
  <si>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</si>
  <si>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</si>
  <si>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</si>
  <si>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</si>
  <si>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</si>
  <si>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</si>
  <si>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</si>
  <si>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</si>
  <si>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</si>
  <si>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</si>
  <si>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</si>
  <si>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</si>
  <si>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</si>
  <si>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</si>
  <si>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</si>
  <si>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</si>
  <si>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</si>
  <si>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</si>
  <si>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</si>
  <si>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</si>
  <si>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</si>
  <si>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</si>
  <si>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</si>
  <si>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</si>
  <si>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</si>
  <si>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</si>
  <si>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</si>
  <si>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</si>
  <si>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</si>
  <si>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</si>
  <si>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</si>
  <si>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</si>
  <si>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</si>
  <si>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Depreciação, Juros, Impostos e Seguros, Manutenção e Materiais na Operação dos Equipamentos</t>
  </si>
  <si>
    <t xml:space="preserve">APARELHO PARA CORTE E SOLDA OXI-ACETILENO SOBRE RODAS, INCLUSIVE CILINDROS E MAÇARICOS - DEPRECIAÇÃO. AF_05/2023</t>
  </si>
  <si>
    <t>H</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</si>
  <si>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</si>
  <si>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</si>
  <si>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</si>
  <si>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</si>
  <si>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</si>
  <si>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</si>
  <si>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</si>
  <si>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</si>
  <si>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</si>
  <si>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</si>
  <si>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</si>
  <si>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</si>
  <si>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</si>
  <si>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</si>
  <si>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</si>
  <si>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</si>
  <si>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</si>
  <si>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</si>
  <si>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</si>
  <si>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</si>
  <si>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</si>
  <si>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</si>
  <si>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</si>
  <si>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</si>
  <si>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</si>
  <si>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</si>
  <si>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</si>
  <si>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</si>
  <si>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</si>
  <si>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</si>
  <si>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</si>
  <si>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</si>
  <si>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</si>
  <si>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</si>
  <si>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</si>
  <si>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</si>
  <si>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</si>
  <si>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</si>
  <si>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</si>
  <si>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</si>
  <si>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INJEÇÃO, ELÉTRICA, TRIFÁSICA, POTÊNCIA 7,5 CV - DEPRECIAÇÃO. AF_08/2025</t>
  </si>
  <si>
    <t xml:space="preserve">BOMBA DE INJEÇÃO, ELÉTRICA, TRIFÁSICA, POTÊNCIA 7,5 CV - JUROS. AF_08/2025</t>
  </si>
  <si>
    <t xml:space="preserve">BOMBA DE INJEÇÃO, ELÉTRICA, TRIFÁSICA, POTÊNCIA 7,5 CV - MANUTENÇÃO. AF_08/2025</t>
  </si>
  <si>
    <t xml:space="preserve">BOMBA DE INJEÇÃO, ELÉTRICA, TRIFÁSICA, POTÊNCIA 7,5 CV - MATERIAIS NA OPERAÇÃO. AF_08/2025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</si>
  <si>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</si>
  <si>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</si>
  <si>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</si>
  <si>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</si>
  <si>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</si>
  <si>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</si>
  <si>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</si>
  <si>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</si>
  <si>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</si>
  <si>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</si>
  <si>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</si>
  <si>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</si>
  <si>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</si>
  <si>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</si>
  <si>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</si>
  <si>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</si>
  <si>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</si>
  <si>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</si>
  <si>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</si>
  <si>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</si>
  <si>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</si>
  <si>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</si>
  <si>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</si>
  <si>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</si>
  <si>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</si>
  <si>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</si>
  <si>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</si>
  <si>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</si>
  <si>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</si>
  <si>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</si>
  <si>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</si>
  <si>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</si>
  <si>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</si>
  <si>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</si>
  <si>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</si>
  <si>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</si>
  <si>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</si>
  <si>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</si>
  <si>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</si>
  <si>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</si>
  <si>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</si>
  <si>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</si>
  <si>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</si>
  <si>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</si>
  <si>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</si>
  <si>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</si>
  <si>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</si>
  <si>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</si>
  <si>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</si>
  <si>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</si>
  <si>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</si>
  <si>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</si>
  <si>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</si>
  <si>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</si>
  <si>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</si>
  <si>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</si>
  <si>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</si>
  <si>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</si>
  <si>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</si>
  <si>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</si>
  <si>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BITRUCK TRAÇÃO 8X2, PBT 29.000 KG, PESO BRUTO TOTAL COMBINADO (PBTC) *36.000* KG, POTÊNCIA 321 CV, INCLUSIVE PLATAFORMA GUINCHO-SOCORRO, COMPRIMENTO ÚTIL 10 M, LARGURA 2,60 M COM GUINCHO DE ARRASTE BASCULANTE - DEPRECIAÇÃO. AF_11/2025</t>
  </si>
  <si>
    <t xml:space="preserve">CAMINHÃO BITRUCK TRAÇÃO 8X2, PBT 29.000 KG, PESO BRUTO TOTAL COMBINADO (PBTC) *36.000* KG, POTÊNCIA 321 CV, INCLUSIVE PLATAFORMA GUINCHO-SOCORRO, COMPRIMENTO ÚTIL 10 M, LARGURA 2,60 M COM GUINCHO DE ARRASTE BASCULANTE - IMPOSTOS E SEGUROS. AF_11/2025</t>
  </si>
  <si>
    <t xml:space="preserve">CAMINHÃO BITRUCK TRAÇÃO 8X2, PBT 29.000 KG, PESO BRUTO TOTAL COMBINADO (PBTC) *36.000* KG, POTÊNCIA 321 CV, INCLUSIVE PLATAFORMA GUINCHO-SOCORRO, COMPRIMENTO ÚTIL 10 M, LARGURA 2,60 M COM GUINCHO DE ARRASTE BASCULANTE - JUROS. AF_11/2025</t>
  </si>
  <si>
    <t xml:space="preserve">CAMINHÃO BITRUCK TRAÇÃO 8X2, PBT 29.000 KG, PESO BRUTO TOTAL COMBINADO (PBTC) *36.000* KG, POTÊNCIA 321 CV, INCLUSIVE PLATAFORMA GUINCHO-SOCORRO, COMPRIMENTO ÚTIL 10 M, LARGURA 2,60 M COM GUINCHO DE ARRASTE BASCULANTE - MANUTENÇÃO. AF_11/2025</t>
  </si>
  <si>
    <t xml:space="preserve">CAMINHÃO BITRUCK TRAÇÃO 8X2, PBT 29.000 KG, PESO BRUTO TOTAL COMBINADO (PBTC) *36.000* KG, POTÊNCIA 321 CV, INCLUSIVE PLATAFORMA GUINCHO-SOCORRO, COMPRIMENTO ÚTIL 10 M, LARGURA 2,60 M COM GUINCHO DE ARRASTE BASCULANTE - MATERIAIS NA OPERAÇÃO.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</si>
  <si>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DEPRECIAÇÃO.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</si>
  <si>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IMPOSTOS E SEGUROS. AF_11/2025</t>
  </si>
  <si>
    <t xml:space="preserve">CAMINHÃO BITRUCK TRAÇÃO 8X2, PBT 29.000 KG, PESO BRUTO TOTAL COMBINADO (PBTC) *36.000* KG, POTÊNCIA 321 CV, INCLUSIVE PLATAFORMA SOBRE CHASSI, COMPRIMENTO ÚTIL 10 M, LARGURA 2,60 M COM GUINCHO DE ARRASTE E RAMPA COM ACIONAMENTO ELETRO-HIDRÁULICO - JUROS. AF_11/2025</t>
  </si>
  <si>
    <t xml:space="preserve">CAMINHÃO BITRUCK TRAÇÃO 8X2, PBT 29.000 KG, PESO BRUTO TOTAL COMBINADO (PBTC) *36.000* KG, POTÊNCIA 321 CV, INCLUSIVE PLATAFORMA SOBRE CHASSI, COMPRIMENTO ÚTIL 10 M, LARGURA 2,60 M COM GUINCHO DE ARRASTE E RAMPA COM ACIONAMENTO ELETRO-HIDRÁULICO - MANUTENÇÃO.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</si>
  <si>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</si>
  <si>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</si>
  <si>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</si>
  <si>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</si>
  <si>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</si>
  <si>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</si>
  <si>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</si>
  <si>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</si>
  <si>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</si>
  <si>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</si>
  <si>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</si>
  <si>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</si>
  <si>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</si>
  <si>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</si>
  <si>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</si>
  <si>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</si>
  <si>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</si>
  <si>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</si>
  <si>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</si>
  <si>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</si>
  <si>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</si>
  <si>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14.000 L TRUCADO, PESO BRUTO TOTAL 23.000 KG, CARGA ÚTIL MÁXIMA 16.540 KG, DISTÂNCIA ENTRE EIXOS 4,8 M, POTÊNCIA 256 CV, INCLUSIVE TANQUE DE AÇO PARA TRANSPORTE DE ÁGUA - DEPRECIAÇÃO. AF_10/2025</t>
  </si>
  <si>
    <t xml:space="preserve">CAMINHÃO PIPA 14.000 L TRUCADO, PESO BRUTO TOTAL 23.000 KG, CARGA ÚTIL MÁXIMA 16.540 KG, DISTÂNCIA ENTRE EIXOS 4,8 M, POTÊNCIA 256 CV, INCLUSIVE TANQUE DE AÇO PARA TRANSPORTE DE ÁGUA - IMPOSTOS E SEGUROS. AF_10/2025</t>
  </si>
  <si>
    <t xml:space="preserve">CAMINHÃO PIPA 14.000 L TRUCADO, PESO BRUTO TOTAL 23.000 KG, CARGA ÚTIL MÁXIMA 16.540 KG, DISTÂNCIA ENTRE EIXOS 4,8 M, POTÊNCIA 256 CV, INCLUSIVE TANQUE DE AÇO PARA TRANSPORTE DE ÁGUA - JUROS. AF_10/2025</t>
  </si>
  <si>
    <t xml:space="preserve">CAMINHÃO PIPA 14.000 L TRUCADO, PESO BRUTO TOTAL 23.000 KG, CARGA ÚTIL MÁXIMA 16.540 KG, DISTÂNCIA ENTRE EIXOS 4,8 M, POTÊNCIA 256 CV, INCLUSIVE TANQUE DE AÇO PARA TRANSPORTE DE ÁGUA - MANUTENÇÃO. AF_10/2025</t>
  </si>
  <si>
    <t xml:space="preserve">CAMINHÃO PIPA 14.000 L TRUCADO, PESO BRUTO TOTAL 23.000 KG, CARGA ÚTIL MÁXIMA 16.540 KG, DISTÂNCIA ENTRE EIXOS 4,8 M, POTÊNCIA 256 CV, INCLUSIVE TANQUE DE AÇO PARA TRANSPORTE DE ÁGUA - MATERIAIS NA OPERAÇÃO. AF_10/2025</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</si>
  <si>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</si>
  <si>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</si>
  <si>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</si>
  <si>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</si>
  <si>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</si>
  <si>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</si>
  <si>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</si>
  <si>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</si>
  <si>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</si>
  <si>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</si>
  <si>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</si>
  <si>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</si>
  <si>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</si>
  <si>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</si>
  <si>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</si>
  <si>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</si>
  <si>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</si>
  <si>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</si>
  <si>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</si>
  <si>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</si>
  <si>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PBT 16.000 KG, CARGA ÚTIL MÁX. 10.830 KG, DIST. ENTRE EIXOS 3,56 M, POTÊNCIA 226 CV, INCLUSIVE PLATAFORMA SOBRE CHASSI, COMPRIMENTO ÚTIL 10 M, LARGURA 2,60 M COM GUINCHO DE ARRASTE E RAMPA COM ACIONAMENTO ELETRO-HIDRÁULICO - DEPRECIAÇÃO. AF_11/2025</t>
  </si>
  <si>
    <t xml:space="preserve">CAMINHÃO TOCO, PBT 16.000 KG, CARGA ÚTIL MÁX. 10.830 KG, DIST. ENTRE EIXOS 3,56 M, POTÊNCIA 226 CV, INCLUSIVE PLATAFORMA SOBRE CHASSI, COMPRIMENTO ÚTIL 10 M, LARGURA 2,60 M COM GUINCHO DE ARRASTE E RAMPA COM ACIONAMENTO ELETRO-HIDRÁULICO - IMPOSTOS E SEGUROS. AF_11/2025</t>
  </si>
  <si>
    <t xml:space="preserve">CAMINHÃO TOCO, PBT 16.000 KG, CARGA ÚTIL MÁX. 10.830 KG, DIST. ENTRE EIXOS 3,56 M, POTÊNCIA 226 CV, INCLUSIVE PLATAFORMA SOBRE CHASSI, COMPRIMENTO ÚTIL 10 M, LARGURA 2,60 M COM GUINCHO DE ARRASTE E RAMPA COM ACIONAMENTO ELETRO-HIDRÁULICO - JUROS. AF_11/2025</t>
  </si>
  <si>
    <t xml:space="preserve">CAMINHÃO TOCO, PBT 16.000 KG, CARGA ÚTIL MÁX. 10.830 KG, DIST. ENTRE EIXOS 3,56 M, POTÊNCIA 226 CV, INCLUSIVE PLATAFORMA SOBRE CHASSI, COMPRIMENTO ÚTIL 10 M, LARGURA 2,60 M COM GUINCHO DE ARRASTE E RAMPA COM ACIONAMENTO ELETRO-HIDRÁULICO - MANUTENÇÃO. AF_11/2025</t>
  </si>
  <si>
    <t xml:space="preserve">CAMINHÃO TOCO, PBT 16.000 KG, CARGA ÚTIL MÁX. 10.830 KG, DIST. ENTRE EIXOS 3,56 M, POTÊNCIA 226 CV, INCLUSIVE PLATAFORMA SOBRE CHASSI, COMPRIMENTO ÚTIL 10 M, LARGURA 2,60 M COM GUINCHO DE ARRASTE E RAMPA COM ACIONAMENTO ELETRO-HIDRÁULICO - MATERIAIS NA OPERAÇÃO. AF_11/2025</t>
  </si>
  <si>
    <t xml:space="preserve">CAMINHÃO TOCO, PBT 23.000 KG, CARGA ÚTIL MÁX. 16.540 KG, DIST. ENTRE EIXOS 4,8 M, POTÊNCIA 256 CV, INCLUSIVE CARROCERIA FIXA ABERTA DE MADEIRA P/ TRANSPORTE GERAL DE CARGA SECA, DIMEN. APROX. 2,6 X 12,50 X 0,50 M - DEPRECIAÇÃO. AF_10/2025</t>
  </si>
  <si>
    <t xml:space="preserve">CAMINHÃO TOCO, PBT 23.000 KG, CARGA ÚTIL MÁX. 16.540 KG, DIST. ENTRE EIXOS 4,8 M, POTÊNCIA 256 CV, INCLUSIVE CARROCERIA FIXA ABERTA DE MADEIRA P/ TRANSPORTE GERAL DE CARGA SECA, DIMEN. APROX. 2,6 X 12,50 X 0,50 M - IMPOSTOS E SEGUROS. AF_10/2025</t>
  </si>
  <si>
    <t xml:space="preserve">CAMINHÃO TOCO, PBT 23.000 KG, CARGA ÚTIL MÁX. 16.540 KG, DIST. ENTRE EIXOS 4,8 M, POTÊNCIA 256 CV, INCLUSIVE CARROCERIA FIXA ABERTA DE MADEIRA P/ TRANSPORTE GERAL DE CARGA SECA, DIMEN. APROX. 2,6 X 12,50 X 0,50 M - JUROS. AF_10/2025</t>
  </si>
  <si>
    <t xml:space="preserve">CAMINHÃO TOCO, PBT 23.000 KG, CARGA ÚTIL MÁX. 16.540 KG, DIST. ENTRE EIXOS 4,8 M, POTÊNCIA 256 CV, INCLUSIVE CARROCERIA FIXA ABERTA DE MADEIRA P/ TRANSPORTE GERAL DE CARGA SECA, DIMEN. APROX. 2,6 X 12,50 X 0,50 M - MANUTENÇÃO. AF_10/2025</t>
  </si>
  <si>
    <t xml:space="preserve">CAMINHÃO TOCO, PBT 23.000 KG, CARGA ÚTIL MÁX. 16.540 KG, DIST. ENTRE EIXOS 4,8 M, POTÊNCIA 256 CV, INCLUSIVE CARROCERIA FIXA ABERTA DE MADEIRA P/ TRANSPORTE GERAL DE CARGA SECA, DIMEN. APROX. 2,6 X 12,50 X 0,50 M - MATERIAIS NA OPERAÇÃO. AF_10/2025</t>
  </si>
  <si>
    <t xml:space="preserve">CAMINHÃO TOCO, PBT 23.000 KG, CARGA ÚTIL MÁX. 16.540 KG, DIST. ENTRE EIXOS 4,80 M, POTÊNCIA 256 CV, INCLUSIVE PLATAFORMA GUINCHO-SOCORRO, COMPRIMENTO ÚTIL 10 M, LARGURA 2,60 M COM GUINCHO DE ARRASTE BASCULANTE - DEPRECIAÇÃO. AF_11/2025</t>
  </si>
  <si>
    <t xml:space="preserve">CAMINHÃO TOCO, PBT 23.000 KG, CARGA ÚTIL MÁX. 16.540 KG, DIST. ENTRE EIXOS 4,80 M, POTÊNCIA 256 CV, INCLUSIVE PLATAFORMA GUINCHO-SOCORRO, COMPRIMENTO ÚTIL 10 M, LARGURA 2,60 M COM GUINCHO DE ARRASTE BASCULANTE - IMPOSTOS E SEGUROS. AF_11/2025</t>
  </si>
  <si>
    <t xml:space="preserve">CAMINHÃO TOCO, PBT 23.000 KG, CARGA ÚTIL MÁX. 16.540 KG, DIST. ENTRE EIXOS 4,80 M, POTÊNCIA 256 CV, INCLUSIVE PLATAFORMA GUINCHO-SOCORRO, COMPRIMENTO ÚTIL 10 M, LARGURA 2,60 M COM GUINCHO DE ARRASTE BASCULANTE - JUROS. AF_11/2025</t>
  </si>
  <si>
    <t xml:space="preserve">CAMINHÃO TOCO, PBT 23.000 KG, CARGA ÚTIL MÁX. 16.540 KG, DIST. ENTRE EIXOS 4,80 M, POTÊNCIA 256 CV, INCLUSIVE PLATAFORMA GUINCHO-SOCORRO, COMPRIMENTO ÚTIL 10 M, LARGURA 2,60 M COM GUINCHO DE ARRASTE BASCULANTE - MANUTENÇÃO. AF_11/2025</t>
  </si>
  <si>
    <t xml:space="preserve">CAMINHÃO TOCO, PBT 23.000 KG, CARGA ÚTIL MÁX. 16.540 KG, DIST. ENTRE EIXOS 4,80 M, POTÊNCIA 256 CV, INCLUSIVE PLATAFORMA GUINCHO-SOCORRO, COMPRIMENTO ÚTIL 10 M, LARGURA 2,60 M COM GUINCHO DE ARRASTE BASCULANTE - MATERIAIS NA OPERAÇÃO. AF_11/2025</t>
  </si>
  <si>
    <t xml:space="preserve">CAMINHÃO TOCO, PBT 23.000 KG, CARGA ÚTIL MÁX. 16.540 KG, DIST. ENTRE EIXOS 4,80 M, POTÊNCIA 256 CV, INCLUSIVE PLATAFORMA SOBRE CHASSI, COMPRIMENTO ÚTIL 10 M, LARGURA 2,60 M COM GUINCHO DE ARRASTE E RAMPA COM ACIONAMENTO ELETRO-HIDRÁULICO - DEPRECIAÇÃO. AF_11/2025</t>
  </si>
  <si>
    <t xml:space="preserve">CAMINHÃO TOCO, PBT 23.000 KG, CARGA ÚTIL MÁX. 16.540 KG, DIST. ENTRE EIXOS 4,80 M, POTÊNCIA 256 CV, INCLUSIVE PLATAFORMA SOBRE CHASSI, COMPRIMENTO ÚTIL 10 M, LARGURA 2,60 M COM GUINCHO DE ARRASTE E RAMPA COM ACIONAMENTO ELETRO-HIDRÁULICO - IMPOSTOS E SEGUROS. AF_11/2025</t>
  </si>
  <si>
    <t xml:space="preserve">CAMINHÃO TOCO, PBT 23.000 KG, CARGA ÚTIL MÁX. 16.540 KG, DIST. ENTRE EIXOS 4,80 M, POTÊNCIA 256 CV, INCLUSIVE PLATAFORMA SOBRE CHASSI, COMPRIMENTO ÚTIL 10 M, LARGURA 2,60 M COM GUINCHO DE ARRASTE E RAMPA COM ACIONAMENTO ELETRO-HIDRÁULICO - JUROS. AF_11/2025</t>
  </si>
  <si>
    <t xml:space="preserve">CAMINHÃO TOCO, PBT 23.000 KG, CARGA ÚTIL MÁX. 16.540 KG, DIST. ENTRE EIXOS 4,80 M, POTÊNCIA 256 CV, INCLUSIVE PLATAFORMA SOBRE CHASSI, COMPRIMENTO ÚTIL 10 M, LARGURA 2,60 M COM GUINCHO DE ARRASTE E RAMPA COM ACIONAMENTO ELETRO-HIDRÁULICO - MANUTENÇÃO. AF_11/2025</t>
  </si>
  <si>
    <t xml:space="preserve">CAMINHÃO TOCO, PBT 23.000 KG, CARGA ÚTIL MÁX. 16.540 KG, DIST. ENTRE EIXOS 4,80 M, POTÊNCIA 256 CV, INCLUSIVE PLATAFORMA SOBRE CHASSI, COMPRIMENTO ÚTIL 10 M, LARGURA 2,60 M COM GUINCHO DE ARRASTE E RAMPA COM ACIONAMENTO ELETRO-HIDRÁULICO - MATERIAIS NA OPERAÇÃO. AF_11/2025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</si>
  <si>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</si>
  <si>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</si>
  <si>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</si>
  <si>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</si>
  <si>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</si>
  <si>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</si>
  <si>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</si>
  <si>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</si>
  <si>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</si>
  <si>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</si>
  <si>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</si>
  <si>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</si>
  <si>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</si>
  <si>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</si>
  <si>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</si>
  <si>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CAVALO MECÂNICO TRAÇÃO 6X2, PBT COMBINADO 56.000 KG, CAPACIDADE MÁX. TRAÇÃO 66.000 KG, POTÊNCIA 360 CV, INCLUSIVE CARROCERIA FIXA ABERTA DE MADEIRA P/ TRANSPORTE GERAL DE CARGA SECA, DIMEN. APROX. 2,6 X 14,50 X 0,50 M - DEPRECIAÇÃO. AF_10/2025</t>
  </si>
  <si>
    <t xml:space="preserve">CAVALO MECÂNICO TRAÇÃO 6X2, PBT COMBINADO 56.000 KG, CAPACIDADE MÁX. TRAÇÃO 66.000 KG, POTÊNCIA 360 CV, INCLUSIVE CARROCERIA FIXA ABERTA DE MADEIRA P/ TRANSPORTE GERAL DE CARGA SECA, DIMEN. APROX. 2,6 X 14,50 X 0,50 M - IMPOSTOS E SEGUROS. AF_10/2025</t>
  </si>
  <si>
    <t xml:space="preserve">CAVALO MECÂNICO TRAÇÃO 6X2, PBT COMBINADO 56.000 KG, CAPACIDADE MÁX. TRAÇÃO 66.000 KG, POTÊNCIA 360 CV, INCLUSIVE CARROCERIA FIXA ABERTA DE MADEIRA P/ TRANSPORTE GERAL DE CARGA SECA, DIMEN. APROX. 2,6 X 14,50 X 0,50 M - JUROS. AF_10/2025</t>
  </si>
  <si>
    <t xml:space="preserve">CAVALO MECÂNICO TRAÇÃO 6X2, PBT COMBINADO 56.000 KG, CAPACIDADE MÁX. TRAÇÃO 66.000 KG, POTÊNCIA 360 CV, INCLUSIVE CARROCERIA FIXA ABERTA DE MADEIRA P/ TRANSPORTE GERAL DE CARGA SECA, DIMEN. APROX. 2,6 X 14,50 X 0,50 M - MANUTENÇÃO. AF_10/2025</t>
  </si>
  <si>
    <t xml:space="preserve">CAVALO MECÂNICO TRAÇÃO 6X2, PBT COMBINADO 56.000 KG, CAPACIDADE MÁX. TRAÇÃO 66.000 KG, POTÊNCIA 360 CV, INCLUSIVE CARROCERIA FIXA ABERTA DE MADEIRA P/ TRANSPORTE GERAL DE CARGA SECA, DIMEN. APROX. 2,6 X 14,50 X 0,50 M - MATERIAIS NA OPERAÇÃO. AF_10/2025</t>
  </si>
  <si>
    <t xml:space="preserve">CAVALO MECÂNICO TRAÇÃO 6X2, PBT COMBINADO 56.000 KG, CAPACIDADE MÁX. TRAÇÃO 66.000 KG, POTÊNCIA 360 CV, INCLUSIVE PRANCHA REBAIXADA 3 EIXOS, DIMENSÕES *17,33 X 3,00* M, COM RAMPA DE ACIONAMENTO HIDRÁULICO - DEPRECIAÇÃO. AF_11/2025</t>
  </si>
  <si>
    <t xml:space="preserve">CAVALO MECÂNICO TRAÇÃO 6X2, PBT COMBINADO 56.000 KG, CAPACIDADE MÁX. TRAÇÃO 66.000 KG, POTÊNCIA 360 CV, INCLUSIVE PRANCHA REBAIXADA 3 EIXOS, DIMENSÕES *17,33 X 3,00* M, COM RAMPA DE ACIONAMENTO HIDRÁULICO - IMPOSTOS E SEGUROS. AF_11/2025</t>
  </si>
  <si>
    <t xml:space="preserve">CAVALO MECÂNICO TRAÇÃO 6X2, PBT COMBINADO 56.000 KG, CAPACIDADE MÁX. TRAÇÃO 66.000 KG, POTÊNCIA 360 CV, INCLUSIVE PRANCHA REBAIXADA 3 EIXOS, DIMENSÕES *17,33 X 3,00* M, COM RAMPA DE ACIONAMENTO HIDRÁULICO - JUROS. AF_11/2025</t>
  </si>
  <si>
    <t xml:space="preserve">CAVALO MECÂNICO TRAÇÃO 6X2, PBT COMBINADO 56.000 KG, CAPACIDADE MÁX. TRAÇÃO 66.000 KG, POTÊNCIA 360 CV, INCLUSIVE PRANCHA REBAIXADA 3 EIXOS, DIMENSÕES *17,33 X 3,00* M, COM RAMPA DE ACIONAMENTO HIDRÁULICO - MANUTENÇÃO. AF_11/2025</t>
  </si>
  <si>
    <t xml:space="preserve">CAVALO MECÂNICO TRAÇÃO 6X2, PBT COMBINADO 56.000 KG, CAPACIDADE MÁX. TRAÇÃO 66.000 KG, POTÊNCIA 360 CV, INCLUSIVE PRANCHA REBAIXADA 3 EIXOS, DIMENSÕES *17,33 X 3,00* M, COM RAMPA DE ACIONAMENTO HIDRÁULICO - MATERIAIS NA OPERAÇÃO. AF_11/2025</t>
  </si>
  <si>
    <t xml:space="preserve">CAVALO MECÂNICO TRAÇÃO 6X2, PBT COMBINADO 56.000 KG, CAPACIDADE MÁX. TRAÇÃO 66.000 KG, POTÊNCIA 360 CV, INCLUSIVE PRANCHA RETA 3 EIXOS, COMPRIMENTO ÚTIL 11,3 M, PESCOÇO DE 3,5 M, LARGURA 3,00 M, COM RAMPA DE ACIONAMENTO HIDRÁULICO - DEPRECIAÇÃO. AF_11/2025</t>
  </si>
  <si>
    <t xml:space="preserve">CAVALO MECÂNICO TRAÇÃO 6X2, PBT COMBINADO 56.000 KG, CAPACIDADE MÁX. TRAÇÃO 66.000 KG, POTÊNCIA 360 CV, INCLUSIVE PRANCHA RETA 3 EIXOS, COMPRIMENTO ÚTIL 11,3 M, PESCOÇO DE 3,5 M, LARGURA 3,00 M, COM RAMPA DE ACIONAMENTO HIDRÁULICO - IMPOSTOS E SEGUROS. AF_11/2025</t>
  </si>
  <si>
    <t xml:space="preserve">CAVALO MECÂNICO TRAÇÃO 6X2, PBT COMBINADO 56.000 KG, CAPACIDADE MÁX. TRAÇÃO 66.000 KG, POTÊNCIA 360 CV, INCLUSIVE PRANCHA RETA 3 EIXOS, COMPRIMENTO ÚTIL 11,3 M, PESCOÇO DE 3,5 M, LARGURA 3,00 M, COM RAMPA DE ACIONAMENTO HIDRÁULICO - JUROS. AF_11/2025</t>
  </si>
  <si>
    <t xml:space="preserve">CAVALO MECÂNICO TRAÇÃO 6X2, PBT COMBINADO 56.000 KG, CAPACIDADE MÁX. TRAÇÃO 66.000 KG, POTÊNCIA 360 CV, INCLUSIVE PRANCHA RETA 3 EIXOS, COMPRIMENTO ÚTIL 11,3 M, PESCOÇO DE 3,5 M, LARGURA 3,00 M, COM RAMPA DE ACIONAMENTO HIDRÁULICO - MANUTENÇÃO. AF_11/2025</t>
  </si>
  <si>
    <t xml:space="preserve">CAVALO MECÂNICO TRAÇÃO 6X2, PBT COMBINADO 56.000 KG, CAPACIDADE MÁX. TRAÇÃO 66.000 KG, POTÊNCIA 360 CV, INCLUSIVE PRANCHA RETA 3 EIXOS, COMPRIMENTO ÚTIL 11,3 M, PESCOÇO DE 3,5 M, LARGURA 3,00 M, COM RAMPA DE ACIONAMENTO HIDRÁULICO - MATERIAIS NA OPERAÇÃO. AF_11/2025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</si>
  <si>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</si>
  <si>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</si>
  <si>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</si>
  <si>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</si>
  <si>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</si>
  <si>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</si>
  <si>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</si>
  <si>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</si>
  <si>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</si>
  <si>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</si>
  <si>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</si>
  <si>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</si>
  <si>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</si>
  <si>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</si>
  <si>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</si>
  <si>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</si>
  <si>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</si>
  <si>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</si>
  <si>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</si>
  <si>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</si>
  <si>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</si>
  <si>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</si>
  <si>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</si>
  <si>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</si>
  <si>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</si>
  <si>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</si>
  <si>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</si>
  <si>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</si>
  <si>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</si>
  <si>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</si>
  <si>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</si>
  <si>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</si>
  <si>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</si>
  <si>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</si>
  <si>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</si>
  <si>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</si>
  <si>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</si>
  <si>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</si>
  <si>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</si>
  <si>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</si>
  <si>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</si>
  <si>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</si>
  <si>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</si>
  <si>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</si>
  <si>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</si>
  <si>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</si>
  <si>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</si>
  <si>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</si>
  <si>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</si>
  <si>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</si>
  <si>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</si>
  <si>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</si>
  <si>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CORTADEIRA HIDRÁULICA DE VERGALHÃO, PARA AÇO DE DIÂMETRO ATÉ 50 MM, MOTOR ELÉTRICO TRIFÁSICO, POTÊNCIA DE 5,5 HP A 7,5 HP - DEPRECIAÇÃO. AF_12/2025</t>
  </si>
  <si>
    <t xml:space="preserve">CORTADEIRA HIDRÁULICA DE VERGALHÃO, PARA AÇO DE DIÂMETRO ATÉ 50 MM, MOTOR ELÉTRICO TRIFÁSICO, POTÊNCIA DE 5,5 HP A 7,5 HP - JUROS. AF_12/2025</t>
  </si>
  <si>
    <t xml:space="preserve">CORTADEIRA HIDRÁULICA DE VERGALHÃO, PARA AÇO DE DIÂMETRO ATÉ 50 MM, MOTOR ELÉTRICO TRIFÁSICO, POTÊNCIA DE 5,5 HP A 7,5 HP - MANUTENÇÃO. AF_12/2025</t>
  </si>
  <si>
    <t xml:space="preserve">CORTADEIRA HIDRÁULICA DE VERGALHÃO, PARA AÇO DE DIÂMETRO ATÉ 50 MM, MOTOR ELÉTRICO TRIFÁSICO, POTÊNCIA DE 5,5 HP A 7,5 HP - MATERIAIS NA OPERAÇÃO. AF_12/2025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</si>
  <si>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</si>
  <si>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</si>
  <si>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</si>
  <si>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</si>
  <si>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</si>
  <si>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</si>
  <si>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</si>
  <si>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</si>
  <si>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</si>
  <si>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</si>
  <si>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</si>
  <si>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</si>
  <si>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</si>
  <si>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</si>
  <si>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</si>
  <si>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ELETROMECÂNICA DE VERGALHÃO, PARA AÇO DE DIÂMETRO ATÉ 1 1/2", MOTOR ELÉTRICO TRIFÁSICO, POTÊNCIA DE 3 HP ATÉ 5 HP - DEPRECIAÇÃO. AF_12/2025</t>
  </si>
  <si>
    <t xml:space="preserve">DOBRADEIRA ELETROMECÂNICA DE VERGALHÃO, PARA AÇO DE DIÂMETRO ATÉ 1 1/2", MOTOR ELÉTRICO TRIFÁSICO, POTÊNCIA DE 3 HP ATÉ 5 HP - JUROS. AF_12/2025</t>
  </si>
  <si>
    <t xml:space="preserve">DOBRADEIRA ELETROMECÂNICA DE VERGALHÃO, PARA AÇO DE DIÂMETRO ATÉ 1 1/2", MOTOR ELÉTRICO TRIFÁSICO, POTÊNCIA DE 3 HP ATÉ 5 HP - MANUTENÇÃO. AF_12/2025</t>
  </si>
  <si>
    <t xml:space="preserve">DOBRADEIRA ELETROMECÂNICA DE VERGALHÃO, PARA AÇO DE DIÂMETRO ATÉ 1 1/2", MOTOR ELÉTRICO TRIFÁSICO, POTÊNCIA DE 3 HP ATÉ 5 HP - MATERIAIS NA OPERAÇÃO. AF_12/2025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</si>
  <si>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</si>
  <si>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</si>
  <si>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</si>
  <si>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</si>
  <si>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</si>
  <si>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</si>
  <si>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</si>
  <si>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</si>
  <si>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</si>
  <si>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</si>
  <si>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</si>
  <si>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</si>
  <si>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</si>
  <si>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</si>
  <si>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</si>
  <si>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</si>
  <si>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</si>
  <si>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DE BRAÇO LONGO (LONGO ALCANCE) SOBRE ESTEIRAS, CAÇAMBA 0,52 M3, PESO OPERACIONAL 24 T, POTÊNCIA LÍQUIDA 155 HP - MATERIAIS NA OPERAÇÃO. AF_06/2023</t>
  </si>
  <si>
    <t xml:space="preserve">ESCAVADEIRA HIDRÁULICA SOBRE ESTEIRA, PESO OPERACIONAL 21,00 T, POTÊNCIA NOMINAL 155 HP, COM MARTELO VIBRATÓRIO HIDRÁULICO *1200 A 2200* KG - DEPRECIAÇÃO. AF_11/2025</t>
  </si>
  <si>
    <t xml:space="preserve">ESCAVADEIRA HIDRÁULICA SOBRE ESTEIRA, PESO OPERACIONAL 21,00 T, POTÊNCIA NOMINAL 155 HP, COM MARTELO VIBRATÓRIO HIDRÁULICO *1200 A 2200* KG - JUROS. AF_11/2025</t>
  </si>
  <si>
    <t xml:space="preserve">ESCAVADEIRA HIDRÁULICA SOBRE ESTEIRA, PESO OPERACIONAL 21,00 T, POTÊNCIA NOMINAL 155 HP, COM MARTELO VIBRATÓRIO HIDRÁULICO *1200 A 2200* KG - MANUTENÇÃO. AF_11/2025</t>
  </si>
  <si>
    <t xml:space="preserve">ESCAVADEIRA HIDRÁULICA SOBRE ESTEIRA, PESO OPERACIONAL 21,00 T, POTÊNCIA NOMINAL 155 HP, COM MARTELO VIBRATÓRIO HIDRÁULICO *1200 A 2200* KG - MATERIAIS NA OPERAÇÃO. AF_11/2025</t>
  </si>
  <si>
    <t xml:space="preserve">ESCAVADEIRA HIDRÁULICA SOBRE ESTEIRA, PESO OPERACIONAL 21,00 T, POTÊNCIA NOMINAL 155 HP, COM TORRE DE CRAVAÇÃO PARA EXECUÇÃO DE GEODRENO VERTICAL, LANÇA DE 32 M, PARA DRENO FIBROQUÍMICO DE LARGURA PADRÃO (100 MM) - DEPRECIAÇÃO. AF_12/2025</t>
  </si>
  <si>
    <t xml:space="preserve">ESCAVADEIRA HIDRÁULICA SOBRE ESTEIRA, PESO OPERACIONAL 21,00 T, POTÊNCIA NOMINAL 155 HP, COM TORRE DE CRAVAÇÃO PARA EXECUÇÃO DE GEODRENO VERTICAL, LANÇA DE 32 M, PARA DRENO FIBROQUÍMICO DE LARGURA PADRÃO (100 MM) - JUROS. AF_12/2025</t>
  </si>
  <si>
    <t xml:space="preserve">ESCAVADEIRA HIDRÁULICA SOBRE ESTEIRA, PESO OPERACIONAL 21,00 T, POTÊNCIA NOMINAL 155 HP, COM TORRE DE CRAVAÇÃO PARA EXECUÇÃO DE GEODRENO VERTICAL, LANÇA DE 32 M, PARA DRENO FIBROQUÍMICO DE LARGURA PADRÃO (100 MM) - MANUTENÇÃO. AF_12/2025</t>
  </si>
  <si>
    <t xml:space="preserve">ESCAVADEIRA HIDRÁULICA SOBRE ESTEIRA, PESO OPERACIONAL 21,00 T, POTÊNCIA NOMINAL 155 HP, COM TORRE DE CRAVAÇÃO PARA EXECUÇÃO DE GEODRENO VERTICAL, LANÇA DE 32 M, PARA DRENO FIBROQUÍMICO DE LARGURA PADRÃO (100 MM) - MATERIAIS NA OPERAÇÃO. AF_12/2025</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</si>
  <si>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</si>
  <si>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</si>
  <si>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</si>
  <si>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</si>
  <si>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</si>
  <si>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</si>
  <si>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</si>
  <si>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</si>
  <si>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</si>
  <si>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</si>
  <si>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</si>
  <si>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</si>
  <si>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</si>
  <si>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</si>
  <si>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</si>
  <si>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</si>
  <si>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</si>
  <si>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</si>
  <si>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</si>
  <si>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</si>
  <si>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</si>
  <si>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</si>
  <si>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</si>
  <si>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</si>
  <si>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</si>
  <si>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</si>
  <si>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</si>
  <si>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</si>
  <si>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</si>
  <si>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</si>
  <si>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</si>
  <si>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</si>
  <si>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</si>
  <si>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</si>
  <si>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</si>
  <si>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</si>
  <si>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</si>
  <si>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</si>
  <si>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</si>
  <si>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</si>
  <si>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</si>
  <si>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</si>
  <si>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</si>
  <si>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</si>
  <si>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</si>
  <si>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</si>
  <si>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</si>
  <si>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</si>
  <si>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</si>
  <si>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</si>
  <si>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</si>
  <si>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</si>
  <si>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</si>
  <si>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</si>
  <si>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</si>
  <si>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</si>
  <si>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</si>
  <si>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</si>
  <si>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</si>
  <si>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</si>
  <si>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</si>
  <si>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</si>
  <si>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</si>
  <si>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</si>
  <si>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</si>
  <si>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</si>
  <si>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</si>
  <si>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</si>
  <si>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</si>
  <si>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</si>
  <si>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</si>
  <si>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</si>
  <si>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</si>
  <si>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</si>
  <si>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</si>
  <si>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</si>
  <si>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</si>
  <si>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</si>
  <si>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</si>
  <si>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</si>
  <si>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</si>
  <si>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</si>
  <si>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</si>
  <si>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</si>
  <si>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</si>
  <si>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</si>
  <si>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</si>
  <si>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</si>
  <si>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</si>
  <si>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</si>
  <si>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</si>
  <si>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</si>
  <si>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</si>
  <si>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</si>
  <si>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</si>
  <si>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</si>
  <si>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</si>
  <si>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</si>
  <si>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</si>
  <si>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</si>
  <si>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</si>
  <si>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</si>
  <si>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</si>
  <si>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</si>
  <si>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</si>
  <si>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</si>
  <si>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</si>
  <si>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</si>
  <si>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</si>
  <si>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</si>
  <si>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</si>
  <si>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</si>
  <si>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</si>
  <si>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</si>
  <si>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</si>
  <si>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</si>
  <si>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14340 KG, MOMENTO MÁXIMO DE CARGA 42,3 TM, ALCANCE MÁXIMO HORIZONTAL16,80 M, INCLUSIVE CAMINHÃO TOCO PBT 23.000 KG, POTÊNCIA DE 256 CV - DEPRECIAÇÃO. AF_10/2025</t>
  </si>
  <si>
    <t xml:space="preserve">GUINDAUTO HIDRÁULICO, CAPACIDADE MÁXIMA DE CARGA 14340 KG, MOMENTO MÁXIMO DE CARGA 42,3 TM, ALCANCE MÁXIMO HORIZONTAL16,80 M, INCLUSIVE CAMINHÃO TOCO PBT 23.000 KG, POTÊNCIA DE 256 CV - IMPOSTOS E SEGUROS. AF_10/2025</t>
  </si>
  <si>
    <t xml:space="preserve">GUINDAUTO HIDRÁULICO, CAPACIDADE MÁXIMA DE CARGA 14340 KG, MOMENTO MÁXIMO DE CARGA 42,3 TM, ALCANCE MÁXIMO HORIZONTAL16,80 M, INCLUSIVE CAMINHÃO TOCO PBT 23.000 KG, POTÊNCIA DE 256 CV - JUROS. AF_10/2025</t>
  </si>
  <si>
    <t xml:space="preserve">GUINDAUTO HIDRÁULICO, CAPACIDADE MÁXIMA DE CARGA 14340 KG, MOMENTO MÁXIMO DE CARGA 42,3 TM, ALCANCE MÁXIMO HORIZONTAL16,80 M, INCLUSIVE CAMINHÃO TOCO PBT 23.000 KG, POTÊNCIA DE 256 CV - MANUTENÇÃO. AF_10/2025</t>
  </si>
  <si>
    <t xml:space="preserve">GUINDAUTO HIDRÁULICO, CAPACIDADE MÁXIMA DE CARGA 14340 KG, MOMENTO MÁXIMO DE CARGA 42,3 TM, ALCANCE MÁXIMO HORIZONTAL16,80 M, INCLUSIVE CAMINHÃO TOCO PBT 23.000 KG, POTÊNCIA DE 256 CV - MATERIAIS NA OPERAÇÃO. AF_10/2025</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</si>
  <si>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</si>
  <si>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</si>
  <si>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</si>
  <si>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</si>
  <si>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</si>
  <si>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</si>
  <si>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</si>
  <si>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</si>
  <si>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</si>
  <si>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</si>
  <si>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</si>
  <si>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</si>
  <si>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</si>
  <si>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</si>
  <si>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</si>
  <si>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</si>
  <si>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</si>
  <si>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</si>
  <si>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</si>
  <si>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</si>
  <si>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GUINDAUTO HIDRÁULICO, CAPACIDADE MÁXIMA DE CARGA 8500 KG, MOMENTO MÁXIMO DE CARGA 30,4 TM, ALCANCE MÁXIMO HORIZONTAL 14,30 M, INCLUSIVE CAMINHÃO TRUCADO PBT 23.000 KG, POTÊNCIA DE 256 CV E CARROCERIA FIXA ABERTA DE MADEIRA - DEPRECIAÇÃO. AF_05/2025</t>
  </si>
  <si>
    <t xml:space="preserve">GUINDAUTO HIDRÁULICO, CAPACIDADE MÁXIMA DE CARGA 8500 KG, MOMENTO MÁXIMO DE CARGA 30,4 TM, ALCANCE MÁXIMO HORIZONTAL 14,30 M, INCLUSIVE CAMINHÃO TRUCADO PBT 23.000 KG, POTÊNCIA DE 256 CV E CARROCERIA FIXA ABERTA DE MADEIRA - IMPOSTOS E SEGUROS. AF_05/2025</t>
  </si>
  <si>
    <t xml:space="preserve">GUINDAUTO HIDRÁULICO, CAPACIDADE MÁXIMA DE CARGA 8500 KG, MOMENTO MÁXIMO DE CARGA 30,4 TM, ALCANCE MÁXIMO HORIZONTAL 14,30 M, INCLUSIVE CAMINHÃO TRUCADO PBT 23.000 KG, POTÊNCIA DE 256 CV E CARROCERIA FIXA ABERTA DE MADEIRA - JUROS. AF_05/2025</t>
  </si>
  <si>
    <t xml:space="preserve">GUINDAUTO HIDRÁULICO, CAPACIDADE MÁXIMA DE CARGA 8500 KG, MOMENTO MÁXIMO DE CARGA 30,4 TM, ALCANCE MÁXIMO HORIZONTAL 14,30 M, INCLUSIVE CAMINHÃO TRUCADO PBT 23.000 KG, POTÊNCIA DE 256 CV E CARROCERIA FIXA ABERTA DE MADEIRA - MANUTENÇÃO. AF_05/2025</t>
  </si>
  <si>
    <t xml:space="preserve">GUINDAUTO HIDRÁULICO, CAPACIDADE MÁXIMA DE CARGA 8500 KG, MOMENTO MÁXIMO DE CARGA 30,4 TM, ALCANCE MÁXIMO HORIZONTAL 14,30 M, INCLUSIVE CAMINHÃO TRUCADO PBT 23.000 KG, POTÊNCIA DE 256 CV E CARROCERIA FIXA ABERTA DE MADEIRA - MATERIAIS NA OPERAÇÃO. AF_05/2025</t>
  </si>
  <si>
    <t xml:space="preserve">INVERSOR DE SOLDA MONOFÁSICO DE 160 A, POTÊNCIA DE 7000 W, TENSÃO DE 220 V, TURBO VENTILADO, PROTEÇÃO POR TERMOSTATO, PARA ELETRODOS DE 2,0 A 4,0 MM - DEPRECIAÇÃO. AF_06/2018</t>
  </si>
  <si>
    <t xml:space="preserve">INVERSOR DE SOLDA MONOFÁSICO DE 160 A, POTÊNCIA DE 7000 W, TENSÃO DE 220 V, TURBO VENTILADO, PROTEÇÃO POR TERMOSTATO, PARA ELETRODOS DE 2,0 A 4,0 MM - JUROS. AF_06/2018</t>
  </si>
  <si>
    <t xml:space="preserve">INVERSOR DE SOLDA MONOFÁSICO DE 160 A, POTÊNCIA DE 7000 W, TENSÃO DE 220 V, TURBO VENTILADO, PROTEÇÃO POR TERMOSTATO, PARA ELETRODOS DE 2,0 A 4,0 MM - MANUTENÇÃO. AF_06/2018</t>
  </si>
  <si>
    <t xml:space="preserve">INVERSOR DE SOLDA MONOFÁSICO DE 160 A, POTÊNCIA DE 7000 W, TENSÃO DE 220 V, TURBO VENTILADO, PROTEÇÃO POR TERMOSTATO, PARA ELETRODOS DE 2,0 A 4,0 MM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</si>
  <si>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</si>
  <si>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</si>
  <si>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</si>
  <si>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</si>
  <si>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</si>
  <si>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</si>
  <si>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</si>
  <si>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</si>
  <si>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</si>
  <si>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</si>
  <si>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</si>
  <si>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</si>
  <si>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</si>
  <si>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</si>
  <si>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</si>
  <si>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</si>
  <si>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</si>
  <si>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</si>
  <si>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</si>
  <si>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</si>
  <si>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</si>
  <si>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</si>
  <si>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</si>
  <si>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</si>
  <si>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</si>
  <si>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</si>
  <si>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</si>
  <si>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</si>
  <si>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</si>
  <si>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</si>
  <si>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</si>
  <si>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</si>
  <si>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</si>
  <si>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</si>
  <si>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</si>
  <si>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</si>
  <si>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</si>
  <si>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</si>
  <si>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</si>
  <si>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</si>
  <si>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</si>
  <si>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</si>
  <si>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</si>
  <si>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</si>
  <si>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</si>
  <si>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</si>
  <si>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</si>
  <si>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</si>
  <si>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</si>
  <si>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</si>
  <si>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</si>
  <si>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</si>
  <si>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</si>
  <si>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</si>
  <si>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</si>
  <si>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</si>
  <si>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</si>
  <si>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</si>
  <si>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</si>
  <si>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</si>
  <si>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</si>
  <si>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</si>
  <si>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</si>
  <si>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</si>
  <si>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</si>
  <si>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</si>
  <si>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</si>
  <si>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</si>
  <si>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</si>
  <si>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</si>
  <si>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</si>
  <si>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</si>
  <si>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</si>
  <si>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</si>
  <si>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</si>
  <si>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</si>
  <si>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</si>
  <si>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</si>
  <si>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</si>
  <si>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</si>
  <si>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</si>
  <si>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</si>
  <si>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</si>
  <si>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</si>
  <si>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</si>
  <si>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</si>
  <si>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</si>
  <si>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</si>
  <si>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</si>
  <si>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</si>
  <si>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</si>
  <si>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</si>
  <si>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</si>
  <si>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MANGUEIRA DE 1" COM COMPRESSOR DE AR REBOCÁVEL 189 PCM E MOTOR DIESEL 63 CV - DEPRECIAÇÃO. AF_05/2023</t>
  </si>
  <si>
    <t xml:space="preserve">MÁQUINA JATO DE PRESSAO PORTÁTIL, CAMARA DE 1 SAIDA, CAPACIDADE 280 L, DIAMETRO 670 MM, BICO DE JATO CURTO VENTURI DE 5/16", MANGUEIRA DE 1" COM COMPRESSOR DE AR REBOCÁVEL 189 PCM E MOTOR DIESEL 63 CV - JUROS. AF_05/2023</t>
  </si>
  <si>
    <t xml:space="preserve">MÁQUINA JATO DE PRESSAO PORTÁTIL, CAMARA DE 1 SAIDA, CAPACIDADE 280 L, DIAMETRO 670 MM, BICO DE JATO CURTO VENTURI DE 5/16", MANGUEIRA DE 1" COM COMPRESSOR DE AR REBOCÁVEL 189 PCM E MOTOR DIESEL 63 CV - MANUTENÇÃO. AF_05/2023</t>
  </si>
  <si>
    <t xml:space="preserve">MÁQUINA JATO DE PRESSAO PORTÁTIL, CAMARA DE 1 SAIDA, CAPACIDADE 280 L, DIAMETRO 670 MM, BICO DE JATO CURTO VENTURI DE 5/16",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</si>
  <si>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</si>
  <si>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</si>
  <si>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</si>
  <si>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</si>
  <si>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</si>
  <si>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</si>
  <si>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</si>
  <si>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</si>
  <si>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</si>
  <si>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</si>
  <si>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</si>
  <si>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</si>
  <si>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</si>
  <si>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</si>
  <si>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</si>
  <si>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</si>
  <si>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</si>
  <si>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</si>
  <si>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</si>
  <si>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</si>
  <si>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</si>
  <si>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</si>
  <si>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</si>
  <si>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</si>
  <si>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</si>
  <si>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</si>
  <si>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</si>
  <si>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</si>
  <si>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MONOFÁSICO DE *0,5 A 1,0* CV, CILINDRO COM DIÂMETRO DE *0,48 A 0,85* M E COMPRIMENTO DE *1,0 A 1,65* M - DEPRECIAÇÃO. AF_11/2025</t>
  </si>
  <si>
    <t xml:space="preserve">PENEIRA ROTATIVA COM MOTOR ELÉTRICO MONOFÁSICO DE *0,5 A 1,0* CV, CILINDRO COM DIÂMETRO DE *0,48 A 0,85* M E COMPRIMENTO DE *1,0 A 1,65* M - JUROS. AF_11/2025</t>
  </si>
  <si>
    <t xml:space="preserve">PENEIRA ROTATIVA COM MOTOR ELÉTRICO MONOFÁSICO DE *0,5 A 1,0* CV, CILINDRO COM DIÂMETRO DE *0,48 A 0,85* M E COMPRIMENTO DE *1,0 A 1,65* M - MANUTENÇÃO. AF_11/2025</t>
  </si>
  <si>
    <t xml:space="preserve">PENEIRA ROTATIVA COM MOTOR ELÉTRICO MONOFÁSICO DE *0,5 A 1,0* CV, CILINDRO COM DIÂMETRO DE *0,48 A 0,85* M E COMPRIMENTO DE *1,0 A 1,65* M - MATERIAIS NA OPERAÇÃO. AF_11/2025</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</si>
  <si>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</si>
  <si>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</si>
  <si>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</si>
  <si>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</si>
  <si>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</si>
  <si>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</si>
  <si>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</si>
  <si>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</si>
  <si>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</si>
  <si>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</si>
  <si>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</si>
  <si>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</si>
  <si>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</si>
  <si>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</si>
  <si>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</si>
  <si>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</si>
  <si>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</si>
  <si>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</si>
  <si>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</si>
  <si>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</si>
  <si>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</si>
  <si>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</si>
  <si>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</si>
  <si>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</si>
  <si>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</si>
  <si>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</si>
  <si>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</si>
  <si>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</si>
  <si>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</si>
  <si>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</si>
  <si>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</si>
  <si>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</si>
  <si>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</si>
  <si>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</si>
  <si>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</si>
  <si>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</si>
  <si>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</si>
  <si>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</si>
  <si>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</si>
  <si>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</si>
  <si>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</si>
  <si>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</si>
  <si>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</si>
  <si>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</si>
  <si>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</si>
  <si>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</si>
  <si>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</si>
  <si>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</si>
  <si>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</si>
  <si>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</si>
  <si>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</si>
  <si>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</si>
  <si>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</si>
  <si>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</si>
  <si>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</si>
  <si>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</si>
  <si>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</si>
  <si>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</si>
  <si>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</si>
  <si>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</si>
  <si>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</si>
  <si>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</si>
  <si>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</si>
  <si>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</si>
  <si>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</si>
  <si>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</si>
  <si>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</si>
  <si>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</si>
  <si>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</si>
  <si>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</si>
  <si>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</si>
  <si>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</si>
  <si>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</si>
  <si>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POLIGUINDASTE, CAPACIDADE MÁXIMA DE CARGA 8000 KG, PARA TRANSPORTE DE CAÇAMBAS ESTACIONÁRIAS, INCLUSIVE CAMINHÃO TOCO PBT 14.300 KG, POTÊNCIA DE 185 CV - DEPRECIAÇÃO. AF_10/2025</t>
  </si>
  <si>
    <t xml:space="preserve">POLIGUINDASTE, CAPACIDADE MÁXIMA DE CARGA 8000 KG, PARA TRANSPORTE DE CAÇAMBAS ESTACIONÁRIAS, INCLUSIVE CAMINHÃO TOCO PBT 14.300 KG, POTÊNCIA DE 185 CV - IMPOSTOS E SEGUROS. AF_10/2025</t>
  </si>
  <si>
    <t xml:space="preserve">POLIGUINDASTE, CAPACIDADE MÁXIMA DE CARGA 8000 KG, PARA TRANSPORTE DE CAÇAMBAS ESTACIONÁRIAS, INCLUSIVE CAMINHÃO TOCO PBT 14.300 KG, POTÊNCIA DE 185 CV - JUROS. AF_10/2025</t>
  </si>
  <si>
    <t xml:space="preserve">POLIGUINDASTE, CAPACIDADE MÁXIMA DE CARGA 8000 KG, PARA TRANSPORTE DE CAÇAMBAS ESTACIONÁRIAS, INCLUSIVE CAMINHÃO TOCO PBT 14.300 KG, POTÊNCIA DE 185 CV - MANUTENÇÃO. AF_10/2025</t>
  </si>
  <si>
    <t xml:space="preserve">POLIGUINDASTE, CAPACIDADE MÁXIMA DE CARGA 8000 KG, PARA TRANSPORTE DE CAÇAMBAS ESTACIONÁRIAS, INCLUSIVE CAMINHÃO TOCO PBT 14.300 KG, POTÊNCIA DE 185 CV - MATERIAIS NA OPERAÇÃO. AF_10/2025</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</si>
  <si>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</si>
  <si>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</si>
  <si>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</si>
  <si>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</si>
  <si>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</si>
  <si>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</si>
  <si>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</si>
  <si>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</si>
  <si>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</si>
  <si>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</si>
  <si>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</si>
  <si>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</si>
  <si>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</si>
  <si>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</si>
  <si>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</si>
  <si>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</si>
  <si>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</si>
  <si>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</si>
  <si>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</si>
  <si>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</si>
  <si>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</si>
  <si>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</si>
  <si>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</si>
  <si>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</si>
  <si>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</si>
  <si>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</si>
  <si>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</si>
  <si>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</si>
  <si>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</si>
  <si>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</si>
  <si>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</si>
  <si>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</si>
  <si>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PESO OPERACIONAL MÍN. 6,674, POTÊNCIA LÍQ 88 HP, COM MARTELO ROMPEDOR HIDRÁULICO ENTRE 275 A 362 KG - DEPRECIAÇÃO. AF_02/2021</t>
  </si>
  <si>
    <t xml:space="preserve">RETROESCAVADEIRA SOBRE RODAS COM CARREGADEIRA, PESO OPERACIONAL MÍN. 6,674, POTÊNCIA LÍQ 88 HP, COM MARTELO ROMPEDOR HIDRÁULICO ENTRE 275 A 362 KG - JUROS. AF_02/2021</t>
  </si>
  <si>
    <t xml:space="preserve">RETROESCAVADEIRA SOBRE RODAS COM CARREGADEIRA, PESO OPERACIONAL MÍN. 6,674, POTÊNCIA LÍQ 88 HP, COM MARTELO ROMPEDOR HIDRÁULICO ENTRE 275 A 362 KG - MANUTENÇÃO. AF_02/2021</t>
  </si>
  <si>
    <t xml:space="preserve">RETROESCAVADEIRA SOBRE RODAS COM CARREGADEIRA, PESO OPERACIONAL MÍN. 6,674, POTÊNCIA LÍQ 88 HP, COM MARTELO ROMPEDOR HIDRÁULICO ENTRE 275 A 362 KG - MATERIAIS NA OPERAÇÃO.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</si>
  <si>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</si>
  <si>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</si>
  <si>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</si>
  <si>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</si>
  <si>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</si>
  <si>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</si>
  <si>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</si>
  <si>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</si>
  <si>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</si>
  <si>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</si>
  <si>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</si>
  <si>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</si>
  <si>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</si>
  <si>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</si>
  <si>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</si>
  <si>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</si>
  <si>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</si>
  <si>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</si>
  <si>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</si>
  <si>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</si>
  <si>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</si>
  <si>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</si>
  <si>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</si>
  <si>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</si>
  <si>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</si>
  <si>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</si>
  <si>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</si>
  <si>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</si>
  <si>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</si>
  <si>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</si>
  <si>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</si>
  <si>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</si>
  <si>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</si>
  <si>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</si>
  <si>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</si>
  <si>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</si>
  <si>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</si>
  <si>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</si>
  <si>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</si>
  <si>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</si>
  <si>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</si>
  <si>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</si>
  <si>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</si>
  <si>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</si>
  <si>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</si>
  <si>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</si>
  <si>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</si>
  <si>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</si>
  <si>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</si>
  <si>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</si>
  <si>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</si>
  <si>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</si>
  <si>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</si>
  <si>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</si>
  <si>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</si>
  <si>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</si>
  <si>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</si>
  <si>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</si>
  <si>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</si>
  <si>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</si>
  <si>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</si>
  <si>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</si>
  <si>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</si>
  <si>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</si>
  <si>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</si>
  <si>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</si>
  <si>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</si>
  <si>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</si>
  <si>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</si>
  <si>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</si>
  <si>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</si>
  <si>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</si>
  <si>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</si>
  <si>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</si>
  <si>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</si>
  <si>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</si>
  <si>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</si>
  <si>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</si>
  <si>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</si>
  <si>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</si>
  <si>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</si>
  <si>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</si>
  <si>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</si>
  <si>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</si>
  <si>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</si>
  <si>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</si>
  <si>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</si>
  <si>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</si>
  <si>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</si>
  <si>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</si>
  <si>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</si>
  <si>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</si>
  <si>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</si>
  <si>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</si>
  <si>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</si>
  <si>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</si>
  <si>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</si>
  <si>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</si>
  <si>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</si>
  <si>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</si>
  <si>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</si>
  <si>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</si>
  <si>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</si>
  <si>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</si>
  <si>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</si>
  <si>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</si>
  <si>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</si>
  <si>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</si>
  <si>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</si>
  <si>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</si>
  <si>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</si>
  <si>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</si>
  <si>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</si>
  <si>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</si>
  <si>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</si>
  <si>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</si>
  <si>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</si>
  <si>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</si>
  <si>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</si>
  <si>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</si>
  <si>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</si>
  <si>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</si>
  <si>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</si>
  <si>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</si>
  <si>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</si>
  <si>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</si>
  <si>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</si>
  <si>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</si>
  <si>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</si>
  <si>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</si>
  <si>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</si>
  <si>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</si>
  <si>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</si>
  <si>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</si>
  <si>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</si>
  <si>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</si>
  <si>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</si>
  <si>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</si>
  <si>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</si>
  <si>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</si>
  <si>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</si>
  <si>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</si>
  <si>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</si>
  <si>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</si>
  <si>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</si>
  <si>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</si>
  <si>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</si>
  <si>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</si>
  <si>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</si>
  <si>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</si>
  <si>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</si>
  <si>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</si>
  <si>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</si>
  <si>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</si>
  <si>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</si>
  <si>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</si>
  <si>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</si>
  <si>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</si>
  <si>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</si>
  <si>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</si>
  <si>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</si>
  <si>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</si>
  <si>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</si>
  <si>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</si>
  <si>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</si>
  <si>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</si>
  <si>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</si>
  <si>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</si>
  <si>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</si>
  <si>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</si>
  <si>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</si>
  <si>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</si>
  <si>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</si>
  <si>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</si>
  <si>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 PAVIM. 2,60 M A 5,75 M, POT. 110 HP, CAP. 450 T/ H - DEPRECIAÇÃO. AF_11/2025</t>
  </si>
  <si>
    <t xml:space="preserve">VIBROACABADORA DE ASFALTO SOBRE ESTEIRAS, LARG. PAVIM. 2,60 M A 5,75 M, POT. 110 HP, CAP. 450 T/ H - JUROS. AF_11/2025</t>
  </si>
  <si>
    <t xml:space="preserve">VIBROACABADORA DE ASFALTO SOBRE ESTEIRAS, LARG. PAVIM. 2,60 M A 5,75 M, POT. 110 HP, CAP. 450 T/ H - MANUTENÇÃO. AF_11/2025</t>
  </si>
  <si>
    <t xml:space="preserve">VIBROACABADORA DE ASFALTO SOBRE ESTEIRAS, LARG. PAVIM. 2,60 M A 5,75 M, POT. 110 HP, CAP. 450 T/ H - MATERIAIS NA OPERAÇÃO. AF_11/2025</t>
  </si>
  <si>
    <t xml:space="preserve">VIBROACABADORA DE ASFALTO SOBRE ESTEIRAS, LARG. PAVIM. MÁX. 8,00 M, POT. 100 KW/ 134 HP, CAP. 600 T/ H - DEPRECIAÇÃO. AF_11/2025</t>
  </si>
  <si>
    <t xml:space="preserve">VIBROACABADORA DE ASFALTO SOBRE ESTEIRAS, LARG. PAVIM. MÁX. 8,00 M, POT. 100 KW/ 134 HP, CAP. 600 T/ H - JUROS. AF_11/2025</t>
  </si>
  <si>
    <t xml:space="preserve">VIBROACABADORA DE ASFALTO SOBRE ESTEIRAS, LARG. PAVIM. MÁX. 8,00 M, POT. 100 KW/ 134 HP, CAP. 600 T/ H - MANUTENÇÃO. AF_11/2025</t>
  </si>
  <si>
    <t xml:space="preserve">VIBROACABADORA DE ASFALTO SOBRE ESTEIRAS, LARG. PAVIM. MÁX. 8,00 M, POT. 100 KW/ 134 HP, CAP. 600 T/ H - MATERIAIS NA OPERAÇÃO. AF_11/2025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</si>
  <si>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</si>
  <si>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</si>
  <si>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</si>
  <si>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</si>
  <si>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</si>
  <si>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</si>
  <si>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</si>
  <si>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</si>
  <si>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VIBROACABADORA DE ASFALTO SOBRE RODAS, LARGURA DE PAVIMENTAÇÃO DE 1,70 A 4,20 M, POTÊNCIA 78 KW/105 HP, CAPACIDADE 300 T/H - DEPRECIAÇÃO. AF_11/2025</t>
  </si>
  <si>
    <t xml:space="preserve">VIBROACABADORA DE ASFALTO SOBRE RODAS, LARGURA DE PAVIMENTAÇÃO DE 1,70 A 4,20 M, POTÊNCIA 78 KW/105 HP, CAPACIDADE 300 T/H - JUROS. AF_11/2025</t>
  </si>
  <si>
    <t xml:space="preserve">VIBROACABADORA DE ASFALTO SOBRE RODAS, LARGURA DE PAVIMENTAÇÃO DE 1,70 A 4,20 M, POTÊNCIA 78 KW/105 HP, CAPACIDADE 300 T/H - MANUTENÇÃO. AF_11/2025</t>
  </si>
  <si>
    <t xml:space="preserve">VIBROACABADORA DE ASFALTO SOBRE RODAS, LARGURA DE PAVIMENTAÇÃO DE 1,70 A 4,20 M, POTÊNCIA 78 KW/105 HP, CAPACIDADE 300 T/H - MATERIAIS NA OPERAÇÃO. AF_11/2025</t>
  </si>
  <si>
    <t xml:space="preserve">Detecção de incêndio e alarme</t>
  </si>
  <si>
    <t xml:space="preserve">ACIONADOR MANUAL, TIPO COM SIRENE, SISTEMA CONVENCIONAL, FORNECIMENTO E INSTALAÇÃO. AF_12/2025</t>
  </si>
  <si>
    <t xml:space="preserve">ACIONADOR MANUAL, TIPO QUEBRA VIDRO COM MARTELINHO, SISTEMA CONVENCIONAL, FORNECIMENTO E INSTALAÇÃO. AF_12/2025</t>
  </si>
  <si>
    <t xml:space="preserve">ACIONADOR MANUAL, TIPO QUEBRA VIDRO COM MARTELINHO, SISTEMA ENDEREÇÁVEL, FORNECIMENTO E INSTALAÇÃO. AF_12/2025</t>
  </si>
  <si>
    <t xml:space="preserve">ACIONADOR MANUAL, TIPO REARMÁVEL, SISTEMA CONVENCIONAL, FORNECIMENTO E INSTALAÇÃO. AF_12/2025</t>
  </si>
  <si>
    <t xml:space="preserve">ACIONADOR MANUAL, TIPO REARMÁVEL, SISTEMA ENDEREÇÁVEL, FORNECIMENTO E INSTALAÇÃO. AF_12/2025</t>
  </si>
  <si>
    <t xml:space="preserve">CENTRAL DE ALARME DE 12 LAÇOS, SISTEMA CONVENCIONAL, COM ATÉ 20 DISPOSITIVOS POR LAÇO, FORNECIMENTO E INSTALAÇÃO. AF_12/2025</t>
  </si>
  <si>
    <t xml:space="preserve">CENTRAL DE ALARME DE 24 LAÇOS, SISTEMA CONVENCIONAL, COM ATÉ 20 DISPOSITIVOS POR LAÇO, FORNECIMENTO E INSTALAÇÃO. AF_12/2025</t>
  </si>
  <si>
    <t xml:space="preserve">CENTRAL DE ALARME DE 6 LAÇOS, SISTEMA CONVENCIONAL, COM ATÉ 20 DISPOSITIVOS POR LAÇO, FORNECIMENTO E INSTALAÇÃO. AF_12/2025</t>
  </si>
  <si>
    <t xml:space="preserve">CENTRAL DE ALARME DE INCÊNDIO ENDEREÇÁVEL PARA ATÉ 500 PONTOS, FORNECIMENTO E INSTALAÇÃO. AF_12/2025</t>
  </si>
  <si>
    <t xml:space="preserve">DETECTOR DE GÁS NATURAL E GLP BIVOLT COM LED INDICADOR E SIRENE EMBUTIDA, FORNECIMENTO E INSTALAÇÃO. AF_12/2025</t>
  </si>
  <si>
    <t xml:space="preserve">DETECTOR ÓPTICO DE FUMAÇA CONVENCIONAL, FORNECIMENTO E INSTALAÇÃO. AF_12/2025</t>
  </si>
  <si>
    <t xml:space="preserve">DETECTOR ÓPTICO DE FUMAÇA ENDEREÇÁVEL, FORNECIMENTO E INSTALAÇÃO. AF_12/2025</t>
  </si>
  <si>
    <t xml:space="preserve">SIRENE AUDIOVISUAL, SISTEMA CONVENCIONAL, FORNECIMENTO E INSTALAÇÃO. AF_12/2025</t>
  </si>
  <si>
    <t xml:space="preserve">SIRENE AUDIOVISUAL, SISTEMA ENDEREÇÁVEL, FORNECIMENTO E INSTALAÇÃO. AF_12/2025</t>
  </si>
  <si>
    <t xml:space="preserve">Dissipadores de Energia</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</si>
  <si>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</si>
  <si>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</si>
  <si>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</si>
  <si>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</si>
  <si>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</si>
  <si>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</si>
  <si>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</si>
  <si>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</si>
  <si>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</si>
  <si>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</si>
  <si>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</si>
  <si>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</si>
  <si>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</si>
  <si>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</si>
  <si>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</si>
  <si>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Dragagem</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</si>
  <si>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</si>
  <si>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</si>
  <si>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</si>
  <si>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</si>
  <si>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Drenagem com geocompostos</t>
  </si>
  <si>
    <t xml:space="preserve">ASSENTAMENTO DE TUBO DRENO DE PEAD CORRUGADO EM GEOCOMPOSTO, DN 100 MM - FORNECIMENTO E INSTALAÇÃO. AF_01/2026</t>
  </si>
  <si>
    <t xml:space="preserve">ASSENTAMENTO DE TUBO DRENO DE PEAD CORRUGADO EM GEOCOMPOSTO, DN 160 MM - FORNECIMENTO E INSTALAÇÃO. AF_01/2026</t>
  </si>
  <si>
    <t xml:space="preserve">ASSENTAMENTO DE TUBO DRENO DE PEAD CORRUGADO EM GEOCOMPOSTO, DN 200 MM - FORNECIMENTO E INSTALAÇÃO. AF_01/2026</t>
  </si>
  <si>
    <t xml:space="preserve">ASSENTAMENTO DE TUBO DRENO DE PEAD CORRUGADO EM GEOCOMPOSTO, DN 65 MM - FORNECIMENTO E INSTALAÇÃO. AF_01/2026</t>
  </si>
  <si>
    <t xml:space="preserve">CONEXÃO TUBO CORRUGADO PEAD EM TUBO PVC PARA DRENAGEM DE GEOCOMPOSTO APENAS INSTALAÇÃO. AF_01/2026</t>
  </si>
  <si>
    <t xml:space="preserve">GEOCOMPOSTO COM DUAS FACES DE GEOTÊXTIL E NÚCLEO EM PEAD COM BOLSA PARA TUBO CORRUGADO PEAD PARA TRINCHEIRA DRENANTE - FORNECIMENTO E INSTALAÇÃO. AF_01/2026</t>
  </si>
  <si>
    <t xml:space="preserve">GEOCOMPOSTO COM DUAS FACES DE GEOTÊXTIL E NÚCLEO EM PEAD HORIZONTAL - FORNECIMENTO E INSTALAÇÃO. AF_01/2026</t>
  </si>
  <si>
    <t xml:space="preserve">GEOCOMPOSTO COM DUAS FACES DE GEOTÊXTIL E NÚCLEO EM PEAD VERTICAL FIXADO POR ADESIVO CONTATO - FORNECIMENTO E INSTALAÇÃO. AF_01/2026</t>
  </si>
  <si>
    <t xml:space="preserve">GEOCOMPOSTO COM DUAS FACES DE GEOTÊXTIL E NÚCLEO EM PEAD VERTICAL FIXADO POR FINCAPINO - FORNECIMENTO E INSTALAÇÃO. AF_01/2026</t>
  </si>
  <si>
    <t xml:space="preserve">GEOCOMPOSTO COM DUAS FACES DE GEOTÊXTIL E NÚCLEO EM PEAD VERTICAL FIXADO POR MADEIRA - FORNECIMENTO E INSTALAÇÃO. AF_01/2026</t>
  </si>
  <si>
    <t xml:space="preserve">GEOCOMPOSTO COM UMA FACE DE GEOTÊXTIL E NÚCLEO EM PEAD HORIZONTAL - FORNECIMENTO E INSTALAÇÃO. AF_01/2026</t>
  </si>
  <si>
    <t xml:space="preserve">GEOCOMPOSTO COM UMA FACE DE GEOTÊXTIL E NÚCLEO EM PEAD VERTICAL FIXADO POR ADESIVO CONTATO - FORNECIMENTO E INSTALAÇÃO. AF_01/2026</t>
  </si>
  <si>
    <t xml:space="preserve">GEOCOMPOSTO COM UMA FACE DE GEOTÊXTIL E NÚCLEO EM PEAD VERTICAL FIXADO POR FINCAPINO - FORNECIMENTO E INSTALAÇÃO. AF_01/2026</t>
  </si>
  <si>
    <t xml:space="preserve">GEOCOMPOSTO COM UMA FACE DE GEOTÊXTIL E NÚCLEO EM PEAD VERTICAL FIXADO POR MADEIRA - FORNECIMENTO E INSTALAÇÃO. AF_01/2026</t>
  </si>
  <si>
    <t xml:space="preserve">GEOCOMPOSTO COM UMA FACE DE GEOTÊXTIL, NÚCLEO EM PEAD E LONA PLÁSTICA IMPERMEÁVEL HORIZONTAL - FORNECIMENTO E INSTALAÇÃO. AF_01/2026</t>
  </si>
  <si>
    <t xml:space="preserve">GEOCOMPOSTO COM UMA FACE DE GEOTÊXTIL, NÚCLEO EM PEAD E LONA PLÁSTICA IMPERMEÁVEL VERTICAL FIXADO POR ADESIVO CONTATO - FORNECIMENTO E INSTALAÇÃO. AF_01/2026</t>
  </si>
  <si>
    <t xml:space="preserve">GEOCOMPOSTO COM UMA FACE DE GEOTÊXTIL, NÚCLEO EM PEAD E LONA PLÁSTICA IMPERMEÁVEL VERTICAL FIXADO POR FINCAPINO - FORNECIMENTO E INSTALAÇÃO. AF_01/2026</t>
  </si>
  <si>
    <t xml:space="preserve">GEOCOMPOSTO COM UMA FACE DE GEOTÊXTIL, NÚCLEO EM PEAD E LONA PLÁSTICA IMPERMEÁVEL VERTICAL FIXADO POR MADEIRA - FORNECIMENTO E INSTALAÇÃO. AF_01/2026</t>
  </si>
  <si>
    <t xml:space="preserve">Drenagem de ar condicionado</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</si>
  <si>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</si>
  <si>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</si>
  <si>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</si>
  <si>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</si>
  <si>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</si>
  <si>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</si>
  <si>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</si>
  <si>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</si>
  <si>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</si>
  <si>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</si>
  <si>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</si>
  <si>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</si>
  <si>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</si>
  <si>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</si>
  <si>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</si>
  <si>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</si>
  <si>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Drenos</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</si>
  <si>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</si>
  <si>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</si>
  <si>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</si>
  <si>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</si>
  <si>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</si>
  <si>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</si>
  <si>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</si>
  <si>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</si>
  <si>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</si>
  <si>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</si>
  <si>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</si>
  <si>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</si>
  <si>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</si>
  <si>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</si>
  <si>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</si>
  <si>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</si>
  <si>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</si>
  <si>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</si>
  <si>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</si>
  <si>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</si>
  <si>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</si>
  <si>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</si>
  <si>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</si>
  <si>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</si>
  <si>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</si>
  <si>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</si>
  <si>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</si>
  <si>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</si>
  <si>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</si>
  <si>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</si>
  <si>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</si>
  <si>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</si>
  <si>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</si>
  <si>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</si>
  <si>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</si>
  <si>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</si>
  <si>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</si>
  <si>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</si>
  <si>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</si>
  <si>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</si>
  <si>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</si>
  <si>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</si>
  <si>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</si>
  <si>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</si>
  <si>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</si>
  <si>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</si>
  <si>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</si>
  <si>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</si>
  <si>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</si>
  <si>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</si>
  <si>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</si>
  <si>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</si>
  <si>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Dutos para ar condicionado</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</si>
  <si>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</si>
  <si>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</si>
  <si>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</si>
  <si>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</si>
  <si>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</si>
  <si>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</si>
  <si>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</si>
  <si>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</si>
  <si>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</si>
  <si>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</si>
  <si>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</si>
  <si>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</si>
  <si>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</si>
  <si>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</si>
  <si>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</si>
  <si>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</si>
  <si>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</si>
  <si>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</si>
  <si>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</si>
  <si>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</si>
  <si>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</si>
  <si>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</si>
  <si>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</si>
  <si>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</si>
  <si>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</si>
  <si>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</si>
  <si>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</si>
  <si>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</si>
  <si>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</si>
  <si>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</si>
  <si>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</si>
  <si>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</si>
  <si>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</si>
  <si>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</si>
  <si>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</si>
  <si>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</si>
  <si>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</si>
  <si>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</si>
  <si>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</si>
  <si>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</si>
  <si>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</si>
  <si>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</si>
  <si>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</si>
  <si>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</si>
  <si>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</si>
  <si>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</si>
  <si>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</si>
  <si>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</si>
  <si>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</si>
  <si>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Energia Solar para Edificações</t>
  </si>
  <si>
    <t xml:space="preserve">AQUECEDOR SOLAR COMPACTO, KIT PARA 1 COLETOR SOLAR A VÁCUO COM SUPORTE, RESERVATÓRIO, FIXAÇÕES E TUBOS - FORNECIMENTO E INSTALAÇÃO. AF_01/2026</t>
  </si>
  <si>
    <t xml:space="preserve">AQUECEDOR SOLAR COMPACTO, KIT PARA 1 COLETOR SOLAR EM VIDRO TEMPERADO E SERPENTINA EM TUBO DE COBRE SEM SUPORTE, RESERVATÓRIO, FIXAÇÕES E TUBOS - FORNECIMENTO E INSTALAÇÃO. AF_01/2026</t>
  </si>
  <si>
    <t xml:space="preserve">BLOCO CONCRETADO NO LOCAL, 20X20X15CM, PARA BASE DE FIXAÇÃO DA ESTRUTURA SOLAR PARA LAJE DE CONCRETO - FORNECIMENTO E INSTALAÇÃO. AF_01/2026</t>
  </si>
  <si>
    <t xml:space="preserve">BOMBA DE CIRCULACAO DE ÁGUA QUENTE, 93 ATÉ 150 W - FORNECIMENTO E INSTALAÇÃO. AF_01/2026</t>
  </si>
  <si>
    <t xml:space="preserve">CABO FOTOVOLTAICO 4 MM² FORNECIMENTO E INSTALAÇÃO. AF_01/2026</t>
  </si>
  <si>
    <t xml:space="preserve">CABO FOTOVOLTAICO 6 MM² - FORNECIMENTO E INSTALAÇÃO. AF_01/2026</t>
  </si>
  <si>
    <t xml:space="preserve">COLETOR PARA AQUECIMENTO SOLAR A VÁCUO, COM SUPORTE PARA LAJE DE CONCRETO - FORNECIMENTO E INSTALAÇÃO. AF_01/2026</t>
  </si>
  <si>
    <t xml:space="preserve">COLETOR PARA AQUECIMENTO SOLAR A VÁCUO, COM SUPORTE PARA TELHA CERÂMICA - FORNECIMENTO E INSTALAÇÃO. AF_01/2026</t>
  </si>
  <si>
    <t xml:space="preserve">COLETOR PARA AQUECIMENTO SOLAR A VÁCUO, COM SUPORTE PARA TELHA METÁLICA - FORNECIMENTO E INSTALAÇÃO. AF_01/2026</t>
  </si>
  <si>
    <t xml:space="preserve">COLETOR PARA AQUECIMENTO SOLAR DE POLIPROPILENO PARA PISCINA 1,5 M2, COM SUPORTE PARA LAJE DE CONCRETO - FORNECIMENTO E INSTALAÇÃO. AF_01/2026</t>
  </si>
  <si>
    <t xml:space="preserve">COLETOR PARA AQUECIMENTO SOLAR DE POLIPROPILENO PARA PISCINA 1,5 M2, COM SUPORTE PARA TELHA CERÂMICA - FORNECIMENTO E INSTALAÇÃO. AF_01/2026</t>
  </si>
  <si>
    <t xml:space="preserve">COLETOR PARA AQUECIMENTO SOLAR DE POLIPROPILENO PARA PISCINA 1,5 M2, COM SUPORTE PARA TELHA METÁLICA - FORNECIMENTO E INSTALAÇÃO. AF_01/2026</t>
  </si>
  <si>
    <t xml:space="preserve">COLETOR PARA AQUECIMENTO SOLAR, EM VIDRO TEMPERADO E SERPENTINA EM TUBO DE COBRE, COM SUPORTE PARA LAJE DE CONCRETO - FORNECIMENTO E INSTALAÇÃO. AF_01/2026</t>
  </si>
  <si>
    <t xml:space="preserve">COLETOR PARA AQUECIMENTO SOLAR, EM VIDRO TEMPERADO E SERPENTINA EM TUBO DE COBRE, COM SUPORTE PARA TELHA CERÂMICA - FORNECIMENTO E INSTALAÇÃO. AF_01/2026</t>
  </si>
  <si>
    <t xml:space="preserve">COLETOR PARA AQUECIMENTO SOLAR, EM VIDRO TEMPERADO E SERPENTINA EM TUBO DE COBRE, COM SUPORTE PARA TELHA METÁLICA - FORNECIMENTO E INSTALAÇÃO. AF_01/2026</t>
  </si>
  <si>
    <t xml:space="preserve">CONTROLADOR POR DIFERENCIAL DE TEMPERATURA COM 2 SENSORES - FORNECIMENTO E INSTALAÇÃO. AF_01/2026</t>
  </si>
  <si>
    <t xml:space="preserve">INVERSOR SOLAR FOTOVOLTAICO 1 MPPT - FORNECIMENTO E INSTALAÇÃO. AF_01/2026</t>
  </si>
  <si>
    <t xml:space="preserve">INVERSOR SOLAR FOTOVOLTAICO 2 MPPT - FORNECIMENTO E INSTALAÇÃO. AF_01/2026</t>
  </si>
  <si>
    <t xml:space="preserve">MICRO INVERSOR SOLAR FOTOVOLTAICO - FORNECIMENTO E INSTALAÇÃO. AF_01/2026</t>
  </si>
  <si>
    <t xml:space="preserve">PAINEL SOLAR FOTOVOLTAICO, 2 X 1 M, COM SUPORTE PARA LAJE DE CONCRETO - FORNECIMENTO E INSTALAÇÃO. AF_01/2026</t>
  </si>
  <si>
    <t xml:space="preserve">PAINEL SOLAR FOTOVOLTAICO, 2 X 1 M, COM SUPORTE PARA TELHA CERÂMICA - FORNECIMENTO E INSTALAÇÃO. AF_01/2026</t>
  </si>
  <si>
    <t xml:space="preserve">PAINEL SOLAR FOTOVOLTAICO, 2 X 1 M, COM SUPORTE PARA TELHA METÁLICA - FORNECIMENTO E INSTALAÇÃO. AF_01/2026</t>
  </si>
  <si>
    <t xml:space="preserve">RESERVATÓRIO TÉRMICO/BOILER SOLAR EM AÇO INOX 1000 L - FORNECIMENTO E INSTALAÇÃO. AF_01/2026</t>
  </si>
  <si>
    <t xml:space="preserve">RESERVATÓRIO TÉRMICO/BOILER SOLAR EM AÇO INOX 1000 L COM 5 PLACAS COLETORAS EM VIDRO TEMPERADO COM SERPENTINA EM TUBO DE COBRE 2 X 1 M - FORNECIMENTO E INSTALAÇÃO. AF_01/2026</t>
  </si>
  <si>
    <t xml:space="preserve">RESERVATÓRIO TÉRMICO/BOILER SOLAR EM AÇO INOX 200 L - FORNECIMENTO E INSTALAÇÃO. AF_01/2026</t>
  </si>
  <si>
    <t xml:space="preserve">RESERVATÓRIO TÉRMICO/BOILER SOLAR EM AÇO INOX 3000 L - FORNECIMENTO E INSTALAÇÃO. AF_01/2026</t>
  </si>
  <si>
    <t xml:space="preserve">RESERVATÓRIO TÉRMICO/BOILER SOLAR EM AÇO INOX 400 L - FORNECIMENTO E INSTALAÇÃO. AF_01/2026</t>
  </si>
  <si>
    <t xml:space="preserve">RESERVATÓRIO TÉRMICO/BOILER SOLAR EM AÇO INOX 400 L COM 2 PLACAS COLETORAS EM VIDRO TEMPERADO COM SERPENTINA EM TUBO DE COBRE 2 X 1 M - FORNECIMENTO E INSTALAÇÃO. AF_01/2026</t>
  </si>
  <si>
    <t xml:space="preserve">RESERVATÓRIO TÉRMICO/BOILER SOLAR EM AÇO INOX 600 L - FORNECIMENTO E INSTALAÇÃO. AF_01/2026</t>
  </si>
  <si>
    <t xml:space="preserve">RESERVATÓRIO TÉRMICO/BOILER SOLAR EM AÇO INOX 600 L COM 3 PLACAS COLETORAS EM VIDRO TEMPERADO COM SERPENTINA EM TUBO DE COBRE 2 X 1 M - FORNECIMENTO E INSTALAÇÃO. AF_01/2026</t>
  </si>
  <si>
    <t xml:space="preserve">RESERVATÓRIO TÉRMICO/BOILER SOLAR EM AÇO INOX 800 L - FORNECIMENTO E INSTALAÇÃO. AF_01/2026</t>
  </si>
  <si>
    <t xml:space="preserve">RESERVATÓRIO TÉRMICO/BOILER SOLAR EM AÇO INOX 800 L COM 4 PLACAS COLETORAS EM VIDRO TEMPERADO COM SERPENTINA EM TUBO DE COBRE 2 X 1 M - FORNECIMENTO E INSTALAÇÃO. AF_01/2026</t>
  </si>
  <si>
    <t xml:space="preserve">STRING BOX PARA SISTEMA FOTOVOLTAICO - FORNECIMENTO E INSTALAÇÃO. AF_01/2026</t>
  </si>
  <si>
    <t xml:space="preserve">SUPORTE DE 1 COLETOR SOLAR PARA LAJE DE CONCRETO - FORNECIMENTO E INSTALAÇÃO. AF_01/2026</t>
  </si>
  <si>
    <t xml:space="preserve">SUPORTE DE 1 COLETOR SOLAR PARA TELHA CERÂMICA - FORNECIMENTO E INSTALAÇÃO. AF_01/2026</t>
  </si>
  <si>
    <t xml:space="preserve">SUPORTE DE 1 COLETOR SOLAR PARA TELHA METÁLICA - FORNECIMENTO E INSTALAÇÃO. AF_01/2026</t>
  </si>
  <si>
    <t xml:space="preserve">Equipamentos de Proteção Coletiva</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</si>
  <si>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</si>
  <si>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</si>
  <si>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</si>
  <si>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</si>
  <si>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</si>
  <si>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</si>
  <si>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</si>
  <si>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</si>
  <si>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</si>
  <si>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</si>
  <si>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</si>
  <si>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</si>
  <si>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</si>
  <si>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</si>
  <si>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</si>
  <si>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</si>
  <si>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</si>
  <si>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</si>
  <si>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</si>
  <si>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</si>
  <si>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</si>
  <si>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</si>
  <si>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</si>
  <si>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</si>
  <si>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</si>
  <si>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</si>
  <si>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</si>
  <si>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</si>
  <si>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</si>
  <si>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</si>
  <si>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</si>
  <si>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</si>
  <si>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</si>
  <si>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</si>
  <si>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</si>
  <si>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</si>
  <si>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</si>
  <si>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</si>
  <si>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</si>
  <si>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</si>
  <si>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</si>
  <si>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</si>
  <si>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</si>
  <si>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</si>
  <si>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</si>
  <si>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</si>
  <si>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</si>
  <si>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</si>
  <si>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</si>
  <si>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</si>
  <si>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</si>
  <si>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</si>
  <si>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</si>
  <si>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</si>
  <si>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</si>
  <si>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</si>
  <si>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</si>
  <si>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</si>
  <si>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</si>
  <si>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</si>
  <si>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</si>
  <si>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</si>
  <si>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</si>
  <si>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</si>
  <si>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</si>
  <si>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</si>
  <si>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</si>
  <si>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</si>
  <si>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</si>
  <si>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</si>
  <si>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</si>
  <si>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</si>
  <si>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</si>
  <si>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</si>
  <si>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</si>
  <si>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</si>
  <si>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</si>
  <si>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</si>
  <si>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Escadas</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</si>
  <si>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</si>
  <si>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</si>
  <si>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</si>
  <si>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</si>
  <si>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</si>
  <si>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</si>
  <si>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</si>
  <si>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</si>
  <si>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</si>
  <si>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</si>
  <si>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</si>
  <si>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</si>
  <si>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</si>
  <si>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</si>
  <si>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</si>
  <si>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</si>
  <si>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</si>
  <si>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</si>
  <si>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</si>
  <si>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</si>
  <si>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</si>
  <si>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</si>
  <si>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</si>
  <si>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</si>
  <si>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</si>
  <si>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</si>
  <si>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</si>
  <si>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</si>
  <si>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</si>
  <si>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</si>
  <si>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</si>
  <si>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</si>
  <si>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</si>
  <si>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</si>
  <si>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</si>
  <si>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</si>
  <si>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</si>
  <si>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</si>
  <si>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</si>
  <si>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</si>
  <si>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</si>
  <si>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</si>
  <si>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</si>
  <si>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</si>
  <si>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</si>
  <si>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</si>
  <si>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</si>
  <si>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</si>
  <si>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</si>
  <si>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</si>
  <si>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</si>
  <si>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</si>
  <si>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</si>
  <si>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</si>
  <si>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</si>
  <si>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</si>
  <si>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</si>
  <si>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</si>
  <si>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</si>
  <si>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</si>
  <si>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</si>
  <si>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</si>
  <si>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</si>
  <si>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</si>
  <si>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</si>
  <si>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</si>
  <si>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</si>
  <si>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</si>
  <si>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</si>
  <si>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</si>
  <si>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</si>
  <si>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</si>
  <si>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</si>
  <si>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</si>
  <si>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</si>
  <si>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</si>
  <si>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</si>
  <si>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</si>
  <si>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</si>
  <si>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</si>
  <si>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</si>
  <si>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</si>
  <si>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</si>
  <si>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</si>
  <si>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</si>
  <si>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</si>
  <si>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</si>
  <si>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</si>
  <si>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</si>
  <si>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</si>
  <si>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</si>
  <si>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</si>
  <si>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</si>
  <si>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</si>
  <si>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</si>
  <si>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</si>
  <si>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</si>
  <si>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</si>
  <si>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Escavação Horizontal</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</si>
  <si>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</si>
  <si>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</si>
  <si>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</si>
  <si>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</si>
  <si>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</si>
  <si>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</si>
  <si>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</si>
  <si>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</si>
  <si>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</si>
  <si>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</si>
  <si>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</si>
  <si>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</si>
  <si>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</si>
  <si>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</si>
  <si>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</si>
  <si>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</si>
  <si>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</si>
  <si>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</si>
  <si>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</si>
  <si>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</si>
  <si>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</si>
  <si>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</si>
  <si>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</si>
  <si>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</si>
  <si>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</si>
  <si>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</si>
  <si>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</si>
  <si>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</si>
  <si>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</si>
  <si>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</si>
  <si>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</si>
  <si>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</si>
  <si>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</si>
  <si>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</si>
  <si>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</si>
  <si>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</si>
  <si>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</si>
  <si>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</si>
  <si>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</si>
  <si>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</si>
  <si>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a Céu Aberto</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</si>
  <si>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</si>
  <si>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</si>
  <si>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</si>
  <si>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</si>
  <si>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</si>
  <si>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</si>
  <si>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</si>
  <si>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</si>
  <si>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</si>
  <si>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</si>
  <si>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</si>
  <si>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</si>
  <si>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</si>
  <si>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</si>
  <si>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</si>
  <si>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</si>
  <si>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</si>
  <si>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</si>
  <si>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</si>
  <si>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</si>
  <si>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</si>
  <si>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</si>
  <si>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</si>
  <si>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</si>
  <si>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</si>
  <si>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</si>
  <si>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</si>
  <si>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</si>
  <si>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</si>
  <si>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</si>
  <si>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</si>
  <si>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</si>
  <si>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</si>
  <si>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</si>
  <si>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</si>
  <si>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</si>
  <si>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</si>
  <si>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</si>
  <si>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</si>
  <si>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</si>
  <si>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</si>
  <si>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</si>
  <si>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</si>
  <si>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</si>
  <si>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</si>
  <si>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</si>
  <si>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</si>
  <si>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</si>
  <si>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</si>
  <si>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</si>
  <si>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</si>
  <si>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</si>
  <si>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</si>
  <si>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</si>
  <si>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</si>
  <si>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</si>
  <si>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</si>
  <si>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</si>
  <si>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</si>
  <si>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</si>
  <si>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</si>
  <si>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</si>
  <si>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</si>
  <si>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</si>
  <si>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</si>
  <si>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</si>
  <si>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</si>
  <si>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</si>
  <si>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</si>
  <si>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</si>
  <si>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</si>
  <si>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</si>
  <si>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de Valas</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</si>
  <si>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</si>
  <si>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</si>
  <si>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</si>
  <si>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</si>
  <si>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</si>
  <si>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</si>
  <si>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</si>
  <si>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</si>
  <si>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</si>
  <si>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</si>
  <si>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</si>
  <si>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</si>
  <si>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</si>
  <si>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</si>
  <si>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</si>
  <si>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</si>
  <si>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</si>
  <si>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</si>
  <si>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</si>
  <si>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</si>
  <si>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</si>
  <si>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</si>
  <si>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</si>
  <si>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</si>
  <si>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</si>
  <si>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</si>
  <si>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</si>
  <si>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</si>
  <si>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</si>
  <si>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</si>
  <si>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</si>
  <si>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</si>
  <si>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</si>
  <si>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</si>
  <si>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</si>
  <si>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</si>
  <si>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</si>
  <si>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</si>
  <si>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</si>
  <si>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</si>
  <si>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</si>
  <si>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</si>
  <si>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</si>
  <si>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</si>
  <si>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</si>
  <si>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</si>
  <si>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</si>
  <si>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</si>
  <si>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</si>
  <si>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</si>
  <si>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</si>
  <si>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</si>
  <si>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</si>
  <si>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</si>
  <si>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</si>
  <si>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</si>
  <si>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</si>
  <si>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</si>
  <si>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</si>
  <si>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</si>
  <si>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</si>
  <si>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</si>
  <si>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</si>
  <si>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</si>
  <si>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</si>
  <si>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</si>
  <si>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</si>
  <si>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</si>
  <si>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</si>
  <si>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</si>
  <si>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</si>
  <si>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</si>
  <si>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</si>
  <si>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Escavação em Material de 3ª Categoria</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</si>
  <si>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</si>
  <si>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</si>
  <si>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</si>
  <si>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</si>
  <si>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</si>
  <si>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</si>
  <si>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</si>
  <si>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</si>
  <si>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</si>
  <si>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</si>
  <si>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</si>
  <si>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</si>
  <si>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</si>
  <si>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</si>
  <si>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</si>
  <si>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</si>
  <si>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e Preparo de Fundo de Valas</t>
  </si>
  <si>
    <t xml:space="preserve">ESCORAMENTO DE VALA, TIPO BLINDADEM, COM PROFUNDIDADE DE 0 A 1,5 M, LARGURA MAIOR OU IGUAL A 1,5 M E MENOR QUE 2,5 M - EXECUÇÃO E FORNECIMENTO, INCLUI MATERIAL. AF_01/2026</t>
  </si>
  <si>
    <t xml:space="preserve">ESCORAMENTO DE VALA, TIPO BLINDAGEM COM PROFUNDIDADE DE 0 A 1,5 M, LARGURA MAIOR OU IGUAL A 1,5 M E MENOR QUE 2,5 M - EXECUÇÃO, NÃO INCLUI MATERIAL. AF_01/2026</t>
  </si>
  <si>
    <t xml:space="preserve">ESCORAMENTO DE VALA, TIPO BLINDAGEM, COM PROFUNDIDADE DE 0 A 1,5 M, LARGURA MENOR QUE 1,5 M - EXECUÇÃO E FORNECIMENTO, INCLUI MATERIAL. AF_01/2026</t>
  </si>
  <si>
    <t xml:space="preserve">ESCORAMENTO DE VALA, TIPO BLINDAGEM, COM PROFUNDIDADE DE 0 A 1,5 M, LARGURA MENOR QUE 1,5 M - EXECUÇÃO, NÃO INCLUI MATERIAL. AF_01/2026</t>
  </si>
  <si>
    <t xml:space="preserve">ESCORAMENTO DE VALA, TIPO BLINDAGEM, COM PROFUNDIDADE DE 1,5 A 3,0 M, LARGURA MAIOR OU IGUAL A 1,5 M E MENOR QUE 2,5 M - EXECUÇÃO E FORNECIMENTO, INCLUI MATERIAL. AF_01/2026</t>
  </si>
  <si>
    <t xml:space="preserve">ESCORAMENTO DE VALA, TIPO BLINDAGEM, COM PROFUNDIDADE DE 1,5 A 3,0 M, LARGURA MAIOR OU IGUAL A 1,5 M E MENOR QUE 2,5 M - EXECUÇÃO, NÃO INCLUI MATERIAL. AF_01/2026</t>
  </si>
  <si>
    <t xml:space="preserve">ESCORAMENTO DE VALA, TIPO BLINDAGEM, COM PROFUNDIDADE DE 1,5 A 3,0 M, LARGURA MENOR QUE 1,5 M - EXECUÇÃO E FORNECIMENTO, INCLUI MATERIAL. AF_01/2026</t>
  </si>
  <si>
    <t xml:space="preserve">ESCORAMENTO DE VALA, TIPO BLINDAGEM, COM PROFUNDIDADE DE 1,5 A 3,0 M, LARGURA MENOR QUE 1,5 M - EXECUÇÃO, NÃO INCLUI MATERIAL. AF_01/2026</t>
  </si>
  <si>
    <t xml:space="preserve">ESCORAMENTO DE VALA, TIPO BLINDAGEM, COM PROFUNDIDADE DE 3,0 A 4,5 M, LARGURA MAIOR OU IGUAL A 1,5 M E MENOR QUE 2,5 M - EXECUÇÃO E FORNECIMENTO, INCLUI MATERIAL. AF_01/2026</t>
  </si>
  <si>
    <t xml:space="preserve">ESCORAMENTO DE VALA, TIPO BLINDAGEM, COM PROFUNDIDADE DE 3,0 A 4,5 M, LARGURA MAIOR OU IGUAL A 1,5 M E MENOR QUE 2,5 M - EXECUÇÃO, NÃO INCLUI MATERIAL. AF_01/2026</t>
  </si>
  <si>
    <t xml:space="preserve">ESCORAMENTO DE VALA, TIPO BLINDAGEM, COM PROFUNDIDADE DE 3,0 A 4,5 M, LARGURA MENOR QUE 1,5 M - EXECUÇÃO E FORNECIMENTO, INCLUI MATERIAL. AF_01/2026</t>
  </si>
  <si>
    <t xml:space="preserve">ESCORAMENTO DE VALA, TIPO BLINDAGEM, COM PROFUNDIDADE DE 3,0 A 4,5 M, LARGURA MENOR QUE 1,5 M - EXECUÇÃO, NÃO INCLUI MATERIAL. AF_01/2026</t>
  </si>
  <si>
    <t xml:space="preserve">ESCORAMENTO DE VALA, TIPO CONTÍNUO COM PERFIL METÁLICO "U", COM PROFUNDIDADE DE 0 A 1,5 M, LARGURA MENOR QUE 1,5 M. AF_01/2026</t>
  </si>
  <si>
    <t xml:space="preserve">ESCORAMENTO DE VALA, TIPO CONTÍNUO COM PERFIL METÁLICO "U", COM PROFUNDIDADE DE 1,5 A 3,0 M, LARGURA MAIOR OU IGUAL 1,5 M E MENOR QUE 2,5 M. AF_01/2026</t>
  </si>
  <si>
    <t xml:space="preserve">ESCORAMENTO DE VALA, TIPO CONTÍNUO COM PERFIL METÁLICO "U", COM PROFUNDIDADE DE 1,5 A 3,0 M, LARGURA MENOR QUE 1,5 M. AF_01/2026</t>
  </si>
  <si>
    <t xml:space="preserve">ESCORAMENTO DE VALA, TIPO CONTÍNUO COM PERFIL METÁLICO "U", COM PROFUNDIDADE DE 3,0 A 4,5 M, LARGURA MAIOR OU IGUAL A 1,5 M E MENOR QUE 2,5 M. AF_01/2026</t>
  </si>
  <si>
    <t xml:space="preserve">ESCORAMENTO DE VALA, TIPO CONTÍNUO COM PERFIL METÁLICO "U", COM PROFUNDIDADE DE 3,0 A 4,5 M, LARGURA MENOR QUE 1,5 M. AF_01/2026</t>
  </si>
  <si>
    <t xml:space="preserve">ESCORAMENTO DE VALA, TIPO CONTÍNUO, COM PROFUNDIDADE DE 0 A 1,5 M, LARGURA MAIOR OU IGUAL A 1,5 M E MENOR QUE 2,5 M. AF_01/2026</t>
  </si>
  <si>
    <t xml:space="preserve">ESCORAMENTO DE VALA, TIPO CONTÍNUO, COM PROFUNDIDADE DE 0 A 1,5 M, LARGURA MENOR QUE 1,5 M. AF_01/2026</t>
  </si>
  <si>
    <t xml:space="preserve">ESCORAMENTO DE VALA, TIPO CONTÍNUO, COM PROFUNDIDADE DE 1,5 A 3,0 M, LARGURA MAIOR OU IGUAL A 1,5 M E MENOR QUE 2,5 M. AF_01/2026</t>
  </si>
  <si>
    <t xml:space="preserve">ESCORAMENTO DE VALA, TIPO CONTÍNUO, COM PROFUNDIDADE DE 1,5 M A 3,0 M, LARGURA MENOR QUE 1,5 M. AF_01/2026</t>
  </si>
  <si>
    <t xml:space="preserve">ESCORAMENTO DE VALA, TIPO CONTÍNUO, COM PROFUNDIDADE DE 3,0 A 4,5 M, LARGURA MAIOR OU IGUAL A 1,5 E MENOR QUE 2,5 M. AF_01/2026</t>
  </si>
  <si>
    <t xml:space="preserve">ESCORAMENTO DE VALA, TIPO CONTÍNUO, COM PROFUNDIDADE DE 3,0 A 4,5 M, LARGURA MENOR QUE 1,5 M. AF_01/2026</t>
  </si>
  <si>
    <t xml:space="preserve">ESCORAMENTO DE VALA, TIPO DESCONTÍNUO, COM PROFUNDIDADE DE 0 A 1,5 M, LARGURA MAIOR OU IGUAL A 1,5 M E MENOR QUE 2,5 M. AF_01/2026</t>
  </si>
  <si>
    <t xml:space="preserve">ESCORAMENTO DE VALA, TIPO DESCONTÍNUO, COM PROFUNDIDADE DE 0 A 1,5 M, LARGURA MENOR QUE 1,5 M. AF_01/2026</t>
  </si>
  <si>
    <t xml:space="preserve">ESCORAMENTO DE VALA, TIPO DESCONTÍNUO, COM PROFUNDIDADE DE 1,5 A 3,0 M, LARGURA MAIOR OU IGUAL A 1,5 M E MENOR QUE 2,5 M. AF_01/2026</t>
  </si>
  <si>
    <t xml:space="preserve">ESCORAMENTO DE VALA, TIPO DESCONTÍNUO, COM PROFUNDIDADE DE 1,5 M A 3,0 M, LARGURA MENOR QUE 1,5 M. AF_01/2026</t>
  </si>
  <si>
    <t xml:space="preserve">ESCORAMENTO DE VALA, TIPO DESCONTÍNUO, COM PROFUNDIDADE DE 3,0 A 4,5 M, LARGURA MAIOR OU IGUAL A 1,5 E MENOR QUE 2,5 M. AF_01/2026</t>
  </si>
  <si>
    <t xml:space="preserve">ESCORAMENTO DE VALA, TIPO DESCONTÍNUO, COM PROFUNDIDADE DE 3,0 A 4,5 M, LARGURA MENOR QUE 1,5 M. AF_01/2026</t>
  </si>
  <si>
    <t xml:space="preserve">ESCORAMENTO DE VALA, TIPO ESTACA PRANCHA METÁLICA CRAVADA, COM PROFUNDIDADE DE 0 A 1,5 M. AF_01/2026</t>
  </si>
  <si>
    <t xml:space="preserve">ESCORAMENTO DE VALA, TIPO ESTACA PRANCHA METÁLICA CRAVADA, COM PROFUNDIDADE DE 1,5 A 3 M. AF_01/2026</t>
  </si>
  <si>
    <t xml:space="preserve">ESCORAMENTO DE VALA, TIPO ESTACA PRANCHA METÁLICA CRAVADA, COM PROFUNDIDADE DE 3 A 4,5 M. AF_01/2026</t>
  </si>
  <si>
    <t xml:space="preserve">ESCORAMENTO DE VALA, TIPO PONTALETEAMENTO, COM PROFUNDIDADE DE 0 A 1,5 M, LARGURA MAIOR OU IGUAL A 1,5 M E MENOR QUE 2,5 M. AF_01/2026</t>
  </si>
  <si>
    <t xml:space="preserve">ESCORAMENTO DE VALA, TIPO PONTALETEAMENTO, COM PROFUNDIDADE DE 0 A 1,5 M, LARGURA MENOR QUE 1,5 M. AF_01/2026</t>
  </si>
  <si>
    <t xml:space="preserve">ESCORAMENTO DE VALA, TIPO PONTALETEAMENTO, COM PROFUNDIDADE DE 1,5 A 3,0 M, LARGURA MAIOR OU IGUAL A 1,5 M E MENOR QUE 2,5 M. AF_01/2026</t>
  </si>
  <si>
    <t xml:space="preserve">ESCORAMENTO DE VALA, TIPO PONTALETEAMENTO, COM PROFUNDIDADE DE 1,5 A 3,0 M, LARGURA MENOR QUE 1,5 M. AF_01/2026</t>
  </si>
  <si>
    <t xml:space="preserve">ESCORAMENTO DE VALA, TIPO PONTALETEAMENTO, COM PROFUNDIDADE DE 3,0 A 4,5 M, LARGURA MAIOR OU IGUAL A 1,5 M E MENOR QUE 2,5 M. AF_01/2026</t>
  </si>
  <si>
    <t xml:space="preserve">ESCORAMENTO DE VALA, TIPO PONTALETEAMENTO, COM PROFUNDIDADE DE 3,0 A 4,5 M, LARGURA MENOR QUE 1,5 M. AF_01/2026</t>
  </si>
  <si>
    <t xml:space="preserve">ESCORAMENTO DE VALA,TIPO CONTÍNUO COM PERFIL METÁLICO "U", COM PROFUNDIDADE DE 0 A 1,5 M, LARGURA MAIOR OU IGUAL A 1,5 E MENOR QUE 2,5 M. AF_01/2026</t>
  </si>
  <si>
    <t xml:space="preserve">PREPARO DE FUNDO DE VALA COM LARGURA MAIOR OU IGUAL A 1,5 M E MENOR QUE 2,5 M (ACERTO DO SOLO NATURAL), EM LOCAL COM NÍVEL ALTO DE INTERFERÊNCIA. AF_01/2026</t>
  </si>
  <si>
    <t xml:space="preserve">PREPARO DE FUNDO DE VALA COM LARGURA MAIOR OU IGUAL A 1,5 M E MENOR QUE 2,5 M (ACERTO DO SOLO NATURAL), EM LOCAL COM NÍVEL BAIXO DE INTERFERÊNCIA. AF_01/2026</t>
  </si>
  <si>
    <t xml:space="preserve">PREPARO DE FUNDO DE VALA COM LARGURA MAIOR OU IGUAL A 1,5 M E MENOR QUE 2,5 M, COM CAMADA DE AREIA, LANÇAMENTO MANUAL. AF_01/2026</t>
  </si>
  <si>
    <t xml:space="preserve">PREPARO DE FUNDO DE VALA COM LARGURA MAIOR OU IGUAL A 1,5 M E MENOR QUE 2,5 M, COM CAMADA DE AREIA, LANÇAMENTO MECANIZADO. AF_01/2026</t>
  </si>
  <si>
    <t xml:space="preserve">PREPARO DE FUNDO DE VALA COM LARGURA MAIOR OU IGUAL A 1,5 M E MENOR QUE 2,5 M, COM CAMADA DE BRITA, LANÇAMENTO MANUAL. AF_01/2026</t>
  </si>
  <si>
    <t xml:space="preserve">PREPARO DE FUNDO DE VALA COM LARGURA MAIOR OU IGUAL A 1,5 M E MENOR QUE 2,5 M, COM CAMADA DE BRITA, LANÇAMENTO MECANIZADO. AF_01/2026</t>
  </si>
  <si>
    <t xml:space="preserve">PREPARO DE FUNDO DE VALA COM LARGURA MENOR QUE 1,5 M (ACERTO DO SOLO NATURAL), EM LOCAL COM NÍVEL ALTO DE INTERFERÊNCIA. AF_01/2026</t>
  </si>
  <si>
    <t xml:space="preserve">PREPARO DE FUNDO DE VALA COM LARGURA MENOR QUE 1,5 M (ACERTO DO SOLO NATURAL), EM LOCAL COM NÍVEL BAIXO DE INTERFERÊNCIA. AF_01/2026</t>
  </si>
  <si>
    <t xml:space="preserve">PREPARO DE FUNDO DE VALA COM LARGURA MENOR QUE 1,5 M, COM CAMADA DE AREIA, LANÇAMENTO MANUAL. AF_01/2026</t>
  </si>
  <si>
    <t xml:space="preserve">PREPARO DE FUNDO DE VALA COM LARGURA MENOR QUE 1,5 M, COM CAMADA DE AREIA, LANÇAMENTO MECANIZADO. AF_01/2026</t>
  </si>
  <si>
    <t xml:space="preserve">PREPARO DE FUNDO DE VALA COM LARGURA MENOR QUE 1,5 M, COM CAMADA DE BRITA, LANÇAMENTO MANUAL. AF_01/2026</t>
  </si>
  <si>
    <t xml:space="preserve">PREPARO DE FUNDO DE VALA COM LARGURA MENOR QUE 1,5 M, COM CAMADA DE BRITA, LANÇAMENTO MECANIZADO. AF_01/2026</t>
  </si>
  <si>
    <t xml:space="preserve">Esgotamento de Vala e Rebaixamento do Lençol Freático</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</si>
  <si>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</si>
  <si>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</si>
  <si>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</si>
  <si>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</si>
  <si>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</si>
  <si>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</si>
  <si>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</si>
  <si>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</si>
  <si>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</si>
  <si>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</si>
  <si>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</si>
  <si>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</si>
  <si>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</si>
  <si>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</si>
  <si>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</si>
  <si>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Esquadrias - Janelas</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</si>
  <si>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</si>
  <si>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</si>
  <si>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</si>
  <si>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</si>
  <si>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</si>
  <si>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</si>
  <si>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</si>
  <si>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</si>
  <si>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</si>
  <si>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</si>
  <si>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</si>
  <si>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</si>
  <si>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</si>
  <si>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</si>
  <si>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</si>
  <si>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</si>
  <si>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</si>
  <si>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</si>
  <si>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</si>
  <si>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</si>
  <si>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</si>
  <si>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</si>
  <si>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</si>
  <si>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</si>
  <si>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</si>
  <si>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</si>
  <si>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</si>
  <si>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</si>
  <si>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</si>
  <si>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</si>
  <si>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</si>
  <si>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Esquadrias - Portas</t>
  </si>
  <si>
    <t xml:space="preserve">ALIZAR DE 5X1,5CM PARA PORTA FIXADO COM PREGOS - SOMENTE INSTALAÇÃO. AF_10/2025</t>
  </si>
  <si>
    <t xml:space="preserve">ALIZAR DE 5X1,5CM PARA PORTA FIXADO COM PREGOS, PADRÃO MÉDIO - FORNECIMENTO E INSTALAÇÃO. AF_10/2025</t>
  </si>
  <si>
    <t xml:space="preserve">ALIZAR DE 5X1,5CM PARA PORTA FIXADO COM PREGOS, PADRÃO POPULAR - FORNECIMENTO E INSTALAÇÃO. AF_10/2025</t>
  </si>
  <si>
    <t xml:space="preserve">BATENTE DE AÇO GALVANIZADO, COM PERFIL PRÉ-FABRICADO, FIXADO COM ARGAMASSA, COM SOLDA, GRAPAS E FUROS PARA FERRAGENS INCLUSOS. AF_10/2025</t>
  </si>
  <si>
    <t xml:space="preserve">BATENTE PARA PORTA COM BANDEIRA, FIXAÇÃO COM PARAFUSO E BUCHA. AF_10/2025</t>
  </si>
  <si>
    <t xml:space="preserve">BATENTE PARA PORTA DE MADEIRA, FIXAÇÃO COM ARGAMASSA, PADRÃO MÉDIO - FORNECIMENTO E INSTALAÇÃO. AF_10/2025</t>
  </si>
  <si>
    <t xml:space="preserve">BATENTE PARA PORTA DE MADEIRA, FIXAÇÃO COM ARGAMASSA, PADRÃO POPULAR FORNECIMENTO E INSTALAÇÃO. AF_10/2025</t>
  </si>
  <si>
    <t xml:space="preserve">BATENTE PARA PORTA DE MADEIRA, PADRÃO MÉDIO - FORNECIMENTO E MONTAGEM. AF_10/2025</t>
  </si>
  <si>
    <t xml:space="preserve">BATENTE PARA PORTA DE MADEIRA, PADRÃO POPULAR - FORNECIMENTO E MONTAGEM. AF_10/2025</t>
  </si>
  <si>
    <t xml:space="preserve">CREMONA EM LATÃO CROMADO OU POLIDO, COMPLETA. AF_10/2025</t>
  </si>
  <si>
    <t xml:space="preserve">DOBRADIÇA EM AÇO/FERRO, 3" X 2 1/2", E=1,9 A 2MM, SEN ANEL, CROMADO OU ZINCADO, TAMPA BOLA, COM PARAFUSOS. AF_10/2025</t>
  </si>
  <si>
    <t xml:space="preserve">DOBRADIÇA TIPO VAI E VEM EM LATÃO POLIDO 3". AF_10/2025</t>
  </si>
  <si>
    <t xml:space="preserve">FECHADURA DE EMBUTIR COM CILINDRO, EXTERNA, COMPLETA, ACABAMENTO PADRÃO MÉDIO, INCLUSO EXECUÇÃO DE FURO - FORNECIMENTO E INSTALAÇÃO. AF_10/2025</t>
  </si>
  <si>
    <t xml:space="preserve">FECHADURA DE EMBUTIR COM CILINDRO, EXTERNA, COMPLETA, ACABAMENTO PADRÃO POPULAR, INCLUSO EXECUÇÃO DE FURO - FORNECIMENTO E INSTALAÇÃO. AF_10/2025</t>
  </si>
  <si>
    <t xml:space="preserve">FECHADURA DE EMBUTIR PARA PORTA DE BANHEIRO, COMPLETA, ACABAMENTO PADRÃO MÉDIO, INCLUSO EXECUÇÃO DE FURO - FORNECIMENTO E INSTALAÇÃO. AF_10/2025</t>
  </si>
  <si>
    <t xml:space="preserve">FECHADURA DE EMBUTIR PARA PORTA DE BANHEIRO, COMPLETA, ACABAMENTO PADRÃO POPULAR, INCLUSO EXECUÇÃO DE FURO - FORNECIMENTO E INSTALAÇÃO. AF_10/2025</t>
  </si>
  <si>
    <t xml:space="preserve">FECHADURA DE EMBUTIR PARA PORTAS INTERNAS, COMPLETA, ACABAMENTO PADRÃO MÉDIO, COM EXECUÇÃO DE FURO - FORNECIMENTO E INSTALAÇÃO. AF_10/2025</t>
  </si>
  <si>
    <t xml:space="preserve">FECHADURA DE EMBUTIR PARA PORTAS INTERNAS, COMPLETA, ACABAMENTO PADRÃO POPULAR, COM EXECUÇÃO DE FURO - FORNECIMENTO E INSTALAÇÃO. AF_10/2025</t>
  </si>
  <si>
    <t xml:space="preserve">FECHO DE EMBUTIR TIPO UNHA 22CM. AF_10/2025</t>
  </si>
  <si>
    <t xml:space="preserve">FECHO DE EMBUTIR TIPO UNHA 40CM. AF_10/2025</t>
  </si>
  <si>
    <t xml:space="preserve">KIT DE PORTA DE MADEIRA FRISADA, SEMI-OCA (LEVE OU MÉDIA), PADRÃO MÉDIO 60X210CM, ESPESSURA DE 3CM, ITENS INCLUSOS: DOBRADIÇAS, MONTAGEM E INSTALAÇÃO DO BATENTE, SEM FECHADURA - FORNECIMENTO E INSTALAÇÃO. AF_10/2025</t>
  </si>
  <si>
    <t xml:space="preserve">KIT DE PORTA DE MADEIRA FRISADA, SEMI-OCA (LEVE OU MÉDIA), PADRÃO MÉDIO, 60X210CM,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</si>
  <si>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</si>
  <si>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DO BATENTE, SEM FECHADURA - FORNECIMENTO E INSTALAÇÃO. AF_10/2025</t>
  </si>
  <si>
    <t xml:space="preserve">KIT DE PORTA DE MADEIRA FRISADA, SEMI-OCA (LEVE OU MÉDIA), PADRÃO MÉDIO, 80X210CM, ESPESSURA DE 3,5CM, ITENS INCLUSOS: DOBRADIÇAS, MONTAGEM E INSTALAÇÃO DE BATENTE, FECHADURA COM EXECUÇÃO DO FURO - FORNECIMENTO E INSTALAÇÃO. AF_10/2025</t>
  </si>
  <si>
    <t xml:space="preserve">KIT DE PORTA DE MADEIRA FRISADA, SEMI-OCA (LEVE OU MÉDIA), PADRÃO MÉDIO, 80X210CM, ESPESSURA DE 3,5CM, ITENS INCLUSOS: DOBRADIÇAS, MONTAGEM E INSTALAÇÃO DO BATENTE, SEM FECHADURA - FORNECIMENTO E INSTALAÇÃO. AF_10/2025</t>
  </si>
  <si>
    <t xml:space="preserve">KIT DE PORTA DE MADEIRA FRISADA, SEMI-OCA (LEVE OU MÉDIA), PADRÃO POPULAR, 60X210CM, ESPESSURA DE 3CM, ITENS INCLUSOS: DOBRADIÇAS, MONTAGEM E INSTALAÇÃO DE BATENTE, FECHADURA COM EXECUÇÃO DO FURO - FORNECIMENTO E INSTALAÇÃO. AF_10/2025</t>
  </si>
  <si>
    <t xml:space="preserve">KIT DE PORTA DE MADEIRA FRISADA, SEMI-OCA (LEVE OU MÉDIA), PADRÃO POPULAR, 60X210CM, ESPESSURA DE 3CM, ITENS INCLUSOS: DOBRADIÇAS, MONTAGEM E INSTALAÇÃO DO BATENTE, SEM FECHADURA - FORNECIMENTO E INSTALAÇÃO. AF_10/2025</t>
  </si>
  <si>
    <t xml:space="preserve">KIT DE PORTA DE MADEIRA FRISADA, SEMI-OCA (LEVE OU MÉDIA), PADRÃO POPULAR, 70X210CM, ESPESSURA DE 3CM, ITENS INCLUSOS: DOBRADIÇAS, MONTAGEM E INSTALAÇÃO DE BATENTE, FECHADURA COM EXECUÇÃO DO FURO - FORNECIMENTO E INSTALAÇÃO. AF_10/2025</t>
  </si>
  <si>
    <t xml:space="preserve">KIT DE PORTA DE MADEIRA FRISADA, SEMI-OCA (LEVE OU MÉDIA), PADRÃO POPULAR, 70X210CM, ESPESSURA DE 3CM, ITENS INCLUSOS: DOBRADIÇAS, MONTAGEM E INSTALAÇÃO DO BATENTE, SEM FECHADURA - FORNECIMENTO E INSTALAÇÃO. AF_10/2025</t>
  </si>
  <si>
    <t xml:space="preserve">KIT DE PORTA DE MADEIRA FRISADA, SEMI-OCA (LEVE OU MÉDIA), PADRÃO POPULAR, 80X210CM, ESPESSURA DE 3,5CM, ITENS INCLUSOS: DOBRADIÇAS, MONTAGEM E INSTALAÇÃO DE BATENTE, FECHADURA COM EXECUÇÃO DO FURO - FORNECIMENTO E INSTALAÇÃO. AF_10/2025</t>
  </si>
  <si>
    <t xml:space="preserve">KIT DE PORTA DE MADEIRA FRISADA, SEMI-OCA (LEVE OU MÉDIA), PADRÃO POPULAR, 80X210CM, ESPESSURA DE 3,5CM, ITENS INCLUSOS: DOBRADIÇAS, MONTAGEM E INSTALAÇÃO DO BATENTE, SEM FECHADURA - FORNECIMENTO E INSTALAÇÃO. AF_10/2025</t>
  </si>
  <si>
    <t xml:space="preserve">KIT DE PORTA DE MADEIRA PARA PINTURA, MACIÇA (PESADA OU SUPERPESADA), PADRÃO MÉDIO, 80X210CM, ESPESSURA DE 3,5CM, ITENS INCLUSOS: DOBRADIÇAS, MONTAGEM E INSTALAÇÃO DO BATENTE, FECHADURA COM EXECUÇÃO DO FURO - FORNECIMENTO E INSTALAÇÃO. AF_10/2025</t>
  </si>
  <si>
    <t xml:space="preserve">KIT DE PORTA DE MADEIRA PARA PINTURA, MACIÇA (PESADA OU SUPERPESADA), PADRÃO MÉDIO, 90X210CM, ESPESSURA DE 3,5CM, ITENS INCLUSOS: DOBRADIÇAS, MONTAGEM E INSTALAÇÃO DO BATENTE, FECHADURA COM EXECUÇÃO DO FURO - FORNECIMENTO E INSTALAÇÃO. AF_10/2025</t>
  </si>
  <si>
    <t xml:space="preserve">KIT DE PORTA DE MADEIRA PARA PINTURA, MACIÇA (PESADA OU SUPERPESADA), PADRÃO POPULAR, 80X210CM, ESPESSURA DE 3,5CM, ITENS INCLUSOS: DOBRADIÇAS, MONTAGEM E INSTALAÇÃO DO BATENTE, FECHADURA COM EXECUÇÃO DO FURO - FORNECIMENTO E INSTALAÇÃO. AF_10/2025</t>
  </si>
  <si>
    <t xml:space="preserve">KIT DE PORTA DE MADEIRA PARA PINTURA, MACIÇA (PESADA OU SUPERPESADA), PADRÃO POPULAR, 90X210CM,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</si>
  <si>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</si>
  <si>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SEM FECHADURA - FORNECIMENTO E INSTALAÇÃO. AF_10/2025</t>
  </si>
  <si>
    <t xml:space="preserve">KIT DE PORTA DE MADEIRA PARA PINTURA, SEMI-OCA (LEVE OU MÉDIA), PADRÃO MÉDIO, 70X210CM, ESPESSURA DE 3,5CM, ITENS INCLUSOS: DOBRADIÇAS, MONTAGEM E INSTALAÇÃO DO BATENTE, FECHADURA COM EXECUÇÃO DO FURO - FORNECIMENTO E INSTALAÇÃO. AF_10/2025</t>
  </si>
  <si>
    <t xml:space="preserve">KIT DE PORTA DE MADEIRA PARA PINTURA, SEMI-OCA (LEVE OU MÉDIA), PADRÃO MÉDIO, 70X210CM, ESPESSURA DE 3,5CM, ITENS INCLUSOS: DOBRADIÇAS, MONTAGEM E INSTALAÇÃO DO BATENTE, SEM FECHADURA - FORNECIMENTO E INSTALAÇÃO. AF_10/2025</t>
  </si>
  <si>
    <t xml:space="preserve">KIT DE PORTA DE MADEIRA PARA PINTURA, SEMI-OCA (LEVE OU MÉDIA), PADRÃO MÉDIO, 80X210CM, ESPESSURA DE 3,5CM, ITENS INCLUSOS: DOBRADIÇAS, MONTAGEM E INSTALAÇÃO DO BATENTE, FECHADURA COM EXECUÇÃO DO FURO - FORNECIMENTO E INSTALAÇÃO. AF_10/2025</t>
  </si>
  <si>
    <t xml:space="preserve">KIT DE PORTA DE MADEIRA PARA PINTURA, SEMI-OCA (LEVE OU MÉDIA), PADRÃO MÉDIO, 80X210CM, ESPESSURA DE 3,5CM, ITENS INCLUSOS: DOBRADIÇAS, MONTAGEM E INSTALAÇÃO DO BATENTE, SEM FECHADURA - FORNECIMENTO E INSTALAÇÃO. AF_10/2025</t>
  </si>
  <si>
    <t xml:space="preserve">KIT DE PORTA DE MADEIRA PARA PINTURA, SEMI-OCA (LEVE OU MÉDIA), PADRÃO MÉDIO, 90X210CM, ESPESSURA DE 3,5CM, ITENS INCLUSOS: DOBRADIÇAS, MONTAGEM E INSTALAÇÃO DO BATENTE, FECHADURA COM EXECUÇÃO DO FURO - FORNECIMENTO E INSTALAÇÃO. AF_10/2025</t>
  </si>
  <si>
    <t xml:space="preserve">KIT DE PORTA DE MADEIRA PARA PINTURA, SEMI-OCA (LEVE OU MÉDIA), PADRÃO MÉDIO, 90X210CM, ESPESSURA DE 3,5CM, ITENS INCLUSOS: DOBRADIÇAS, MONTAGEM E INSTALAÇÃO DO BATENTE, SEM FECHADURA - FORNECIMENTO E INSTALAÇÃO. AF_10/2025</t>
  </si>
  <si>
    <t xml:space="preserve">KIT DE PORTA DE MADEIRA PARA PINTURA, SEMI-OCA (LEVE OU MÉDIA), PADRÃO POPULAR, 60X210CM, ESPESSURA DE 3,5CM, ITENS INCLUSOS: DOBRADIÇAS, MONTAGEM E INSTALAÇÃO DO BATENTE, FECHADURA COM EXECUÇÃO DO FURO - FORNECIMENTO E INSTALAÇÃO. AF_10/2025</t>
  </si>
  <si>
    <t xml:space="preserve">KIT DE PORTA DE MADEIRA PARA PINTURA, SEMI-OCA (LEVE OU MÉDIA), PADRÃO POPULAR, 60X210CM, ESPESSURA DE 3,5CM, ITENS INCLUSOS: DOBRADIÇAS, MONTAGEM E INSTALAÇÃO DO BATENTE, SEM FECHADURA - FORNECIMENTO E INSTALAÇÃO. AF_10/2025</t>
  </si>
  <si>
    <t xml:space="preserve">KIT DE PORTA DE MADEIRA PARA PINTURA, SEMI-OCA (LEVE OU MÉDIA), PADRÃO POPULAR, 70X210CM, ESPESSURA DE 3,5CM, ITENS INCLUSOS: DOBRADIÇAS, MONTAGEM E INSTALAÇÃO DO BATENTE, FECHADURA COM EXECUÇÃO DO FURO - FORNECIMENTO E INSTALAÇÃO. AF_10/2025</t>
  </si>
  <si>
    <t xml:space="preserve">KIT DE PORTA DE MADEIRA PARA PINTURA, SEMI-OCA (LEVE OU MÉDIA), PADRÃO POPULAR, 70X210CM, ESPESSURA DE 3,5CM, ITENS INCLUSOS: DOBRADIÇAS, MONTAGEM E INSTALAÇÃO DO BATENTE, SEM FECHADURA - FORNECIMENTO E INSTALAÇÃO. AF_10/2025</t>
  </si>
  <si>
    <t xml:space="preserve">KIT DE PORTA DE MADEIRA PARA PINTURA, SEMI-OCA (LEVE OU MÉDIA), PADRÃO POPULAR, 80X210CM, ESPESSURA DE 3,5CM, ITENS INCLUSOS: DOBRADIÇAS, MONTAGEM E INSTALAÇÃO DO BATENTE, FECHADURA COM EXECUÇÃO DO FURO - FORNECIMENTO E INSTALAÇÃO. AF_10/2025</t>
  </si>
  <si>
    <t xml:space="preserve">KIT DE PORTA DE MADEIRA PARA PINTURA, SEMI-OCA (LEVE OU MÉDIA), PADRÃO POPULAR, 80X210CM, ESPESSURA DE 3,5CM, ITENS INCLUSOS: DOBRADIÇAS, MONTAGEM E INSTALAÇÃO DO BATENTE, SEM FECHADURA - FORNECIMENTO E INSTALAÇÃO. AF_10/2025</t>
  </si>
  <si>
    <t xml:space="preserve">KIT DE PORTA DE MADEIRA PARA PINTURA, SEMI-OCA (LEVE OU MÉDIA), PADRÃO POPULAR, 90X210CM, ESPESSURA DE 3,5CM, ITENS INCLUSOS: DOBRADIÇAS, MONTAGEM E INSTALAÇÃO DO BATENTE, FECHADURA COM EXECUÇÃO DO FURO - FORNECIMENTO E INSTALAÇÃO. AF_10/2025</t>
  </si>
  <si>
    <t xml:space="preserve">KIT DE PORTA DE MADEIRA PARA PINTURA, SEMI-OCA (LEVE OU MÉDIA), PADRÃO POPULAR, 90X210CM, ESPESSURA DE 3,5CM, ITENS INCLUSOS: DOBRADIÇAS, MONTAGEM E INSTALAÇÃO DO BATENTE, SEM FECHADURA - FORNECIMENTO E INSTALAÇÃO. AF_10/2025</t>
  </si>
  <si>
    <t xml:space="preserve">KIT DE PORTA DE MADEIRA PARA PINTURA, SEMI-OCA (PESADA OU SUPERPESADA), PADRÃO MÉDIO, 80X210CM, ESPESSURA DE 3,5CM, ITENS INCLUSOS: DOBRADIÇAS, MONTAGEM E INSTALAÇÃO DO BATENTE, SEM FECHADURA - FORNECIMENTO E INSTALAÇÃO. AF_10/2025</t>
  </si>
  <si>
    <t xml:space="preserve">KIT DE PORTA DE MADEIRA PARA PINTURA, SEMI-OCA (PESADA OU SUPERPESADA), PADRÃO MÉDIO, 90X210CM, ESPESSURA DE 3,5CM, ITENS INCLUSOS: DOBRADIÇAS, MONTAGEM E INSTALAÇÃO DO BATENTE, SEM FECHADURA - FORNECIMENTO E INSTALAÇÃO. AF_10/2025</t>
  </si>
  <si>
    <t xml:space="preserve">KIT DE PORTA DE MADEIRA PARA PINTURA, SEMI-OCA (PESADA OU SUPERPESADA), PADRÃO POPULAR, 80X210CM, ESPESSURA DE 3,5CM, ITENS INCLUSOS: DOBRADIÇAS, MONTAGEM E INSTALAÇÃO DO BATENTE, SEM FECHADURA - FORNECIMENTO E INSTALAÇÃO. AF_10/2025</t>
  </si>
  <si>
    <t xml:space="preserve">KIT DE PORTA DE MADEIRA PARA PINTURA, SEMI-OCA (PESADA OU SUPERPESADA), PADRÃO POPULAR, 90X210CM, ESPESSURA DE 3,5CM, ITENS INCLUSOS: DOBRADIÇAS, MONTAGEM E INSTALAÇÃO DO BATENTE, SEM FECHADURA - FORNECIMENTO E INSTALAÇÃO. AF_10/2025</t>
  </si>
  <si>
    <t xml:space="preserve">KIT DE PORTA DE MADEIRA PARA VERNIZ, SEMI-OCA (LEVE OU MÉDIA), PADRÃO MÉDIO, 60X210CM, ESPESSURA DE 3,5CM, ITENS INCLUSOS: DOBRADIÇAS, MONTAGEM E INSTALAÇÃO DE BATENTE, FECHADURA COM EXECUÇÃO DO FURO - FORNECIMENTO E INSTALAÇÃO. AF_10/2025</t>
  </si>
  <si>
    <t xml:space="preserve">KIT DE PORTA DE MADEIRA PARA VERNIZ, SEMI-OCA (LEVE OU MÉDIA), PADRÃO MÉDIO, 60X210CM, ESPESSURA DE 3,5CM, ITENS INCLUSOS: DOBRADIÇAS, MONTAGEM E INSTALAÇÃO DO BATENTE, SEM FECHADURA - FORNECIMENTO E INSTALAÇÃO. AF_10/2025</t>
  </si>
  <si>
    <t xml:space="preserve">KIT DE PORTA DE MADEIRA PARA VERNIZ, SEMI-OCA (LEVE OU MÉDIA), PADRÃO MÉDIO, 70X210CM, ESPESSURA DE 3,5CM, ITENS INCLUSOS: DOBRADIÇAS, MONTAGEM E INSTALAÇÃO DE BATENTE, FECHADURA COM EXECUÇÃO DO FURO - FORNECIMENTO E INSTALAÇÃO. AF_10/2025</t>
  </si>
  <si>
    <t xml:space="preserve">KIT DE PORTA DE MADEIRA PARA VERNIZ, SEMI-OCA (LEVE OU MÉDIA), PADRÃO MÉDIO, 70X210CM, ESPESSURA DE 3,5CM, ITENS INCLUSOS: DOBRADIÇAS, MONTAGEM E INSTALAÇÃO DO BATENTE, SEM FECHADURA - FORNECIMENTO E INSTALAÇÃO. AF_10/2025</t>
  </si>
  <si>
    <t xml:space="preserve">KIT DE PORTA DE MADEIRA PARA VERNIZ, SEMI-OCA (LEVE OU MÉDIA), PADRÃO MÉDIO, 80X210CM, ESPESSURA DE 3,5CM, ITENS INCLUSOS: DOBRADIÇAS, MONTAGEM E INSTALAÇÃO DE BATENTE, FECHADURA COM EXECUÇÃO DO FURO - FORNECIMENTO E INSTALAÇÃO. AF_10/2025</t>
  </si>
  <si>
    <t xml:space="preserve">KIT DE PORTA DE MADEIRA PARA VERNIZ, SEMI-OCA (LEVE OU MÉDIA), PADRÃO MÉDIO, 80X210CM, ESPESSURA DE 3,5CM, ITENS INCLUSOS: DOBRADIÇAS, MONTAGEM E INSTALAÇÃO DO BATENTE, SEM FECHADURA - FORNECIMENTO E INSTALAÇÃO. AF_10/2025</t>
  </si>
  <si>
    <t xml:space="preserve">KIT DE PORTA DE MADEIRA PARA VERNIZ, SEMI-OCA (LEVE OU MÉDIA), PADRÃO MÉDIO, 90X210CM, ESPESSURA DE 3,5CM, ITENS INCLUSOS: DOBRADIÇAS, MONTAGEM E INSTALAÇÃO DE BATENTE, FECHADURA COM EXECUÇÃO DO FURO - FORNECIMENTO E INSTALAÇÃO. AF_10/2025</t>
  </si>
  <si>
    <t xml:space="preserve">KIT DE PORTA DE MADEIRA PARA VERNIZ, SEMI-OCA (LEVE OU MÉDIA), PADRÃO MÉDIO, 90X210CM, ESPESSURA DE 3,5CM, ITENS INCLUSOS: DOBRADIÇAS, MONTAGEM E INSTALAÇÃO DO BATENTE, SEM FECHADURA - FORNECIMENTO E INSTALAÇÃO. AF_10/2025</t>
  </si>
  <si>
    <t xml:space="preserve">KIT DE PORTA DE MADEIRA PARA VERNIZ, SEMI-OCA (LEVE OU MÉDIA), PADRÃO POPULAR, 60X210CM, ESPESSURA DE 3,5CM, ITENS INCLUSOS: DOBRADIÇAS, MONTAGEM E INSTALAÇÃO DE BATENTE, FECHADURA COM EXECUÇÃO DO FURO - FORNECIMENTO E INSTALAÇÃO. AF_10/2025</t>
  </si>
  <si>
    <t xml:space="preserve">KIT DE PORTA DE MADEIRA PARA VERNIZ, SEMI-OCA (LEVE OU MÉDIA), PADRÃO POPULAR, 60X210CM, ESPESSURA DE 3,5CM, ITENS INCLUSOS: DOBRADIÇAS, MONTAGEM E INSTALAÇÃO DO BATENTE, SEM FECHADURA - FORNECIMENTO E INSTALAÇÃO. AF_10/2025</t>
  </si>
  <si>
    <t xml:space="preserve">KIT DE PORTA DE MADEIRA PARA VERNIZ, SEMI-OCA (LEVE OU MÉDIA), PADRÃO POPULAR, 70X210CM, ESPESSURA DE 3,5CM, ITENS INCLUSOS: DOBRADIÇAS, MONTAGEM E INSTALAÇÃO DE BATENTE, FECHADURA COM EXECUÇÃO DO FURO - FORNECIMENTO E INSTALAÇÃO. AF_10/2025</t>
  </si>
  <si>
    <t xml:space="preserve">KIT DE PORTA DE MADEIRA PARA VERNIZ, SEMI-OCA (LEVE OU MÉDIA), PADRÃO POPULAR, 70X210CM, ESPESSURA DE 3,5CM, ITENS INCLUSOS: DOBRADIÇAS, MONTAGEM E INSTALAÇÃO DO BATENTE, SEM FECHADURA - FORNECIMENTO E INSTALAÇÃO. AF_10/2025</t>
  </si>
  <si>
    <t xml:space="preserve">KIT DE PORTA DE MADEIRA PARA VERNIZ, SEMI-OCA (LEVE OU MÉDIA), PADRÃO POPULAR, 80X210CM, ESPESSURA DE 3,5CM, ITENS INCLUSOS: DOBRADIÇAS, MONTAGEM E INSTALAÇÃO DE BATENTE, FECHADURA COM EXECUÇÃO DO FURO - FORNECIMENTO E INSTALAÇÃO. AF_10/2025</t>
  </si>
  <si>
    <t xml:space="preserve">KIT DE PORTA DE MADEIRA PARA VERNIZ, SEMI-OCA (LEVE OU MÉDIA), PADRÃO POPULAR, 80X210CM, ESPESSURA DE 3,5CM, ITENS INCLUSOS: DOBRADIÇAS, MONTAGEM E INSTALAÇÃO DO BATENTE, SEM FECHADURA - FORNECIMENTO E INSTALAÇÃO. AF_10/2025</t>
  </si>
  <si>
    <t xml:space="preserve">KIT DE PORTA DE MADEIRA PARA VERNIZ, SEMI-OCA (LEVE OU MÉDIA), PADRÃO POPULAR, 90X210CM, ESPESSURA DE 3,5CM, ITENS INCLUSOS: DOBRADIÇAS, MONTAGEM E INSTALAÇÃO DE BATENTE, FECHADURA COM EXECUÇÃO DO FURO - FORNECIMENTO E INSTALAÇÃO. AF_10/2025</t>
  </si>
  <si>
    <t xml:space="preserve">KIT DE PORTA DE MADEIRA PARA VERNIZ, SEMI-OCA (LEVE OU MÉDIA), PADRÃO POPULAR, 90X210CM, ESPESSURA DE 3,5CM, ITENS INCLUSOS: DOBRADIÇAS, MONTAGEM E INSTALAÇÃO DO BATENTE, SEM FECHADURA - FORNECIMENTO E INSTALAÇÃO. AF_10/2025</t>
  </si>
  <si>
    <t xml:space="preserve">KIT DE PORTA DE MADEIRA TIPO MEXICANA, MACIÇA (PESADA OU SUPERPESADA), PADRÃO MÉDIO, 80X210CM, ESPESSURA DE 3,5CM, ITENS INCLUSOS: DOBRADIÇAS, MONTAGEM E INSTALAÇÃO DE BATENTE, FECHADURA COM EXECUÇÃO DO FURO - FORNECIMENTO E INSTALAÇÃO. AF_10/2025</t>
  </si>
  <si>
    <t xml:space="preserve">KIT DE PORTA DE MADEIRA TIPO MEXICANA, MACIÇA (PESADA OU SUPERPESADA), PADRÃO MÉDIO, 80X210CM, ESPESSURA DE 3,5CM, ITENS INCLUSOS: DOBRADIÇAS, MONTAGEM E INSTALAÇÃO DO BATENTE, SEM FECHADURA - FORNECIMENTO E INSTALAÇÃO. AF_10/2025</t>
  </si>
  <si>
    <t xml:space="preserve">KIT DE PORTA DE MADEIRA TIPO MEXICANA, MACIÇA (PESADA OU SUPERPESADA), PADRÃO POPULAR, 80X210CM, ESPESSURA DE 3,5CM, ITENS INCLUSOS: DOBRADIÇAS, MONTAGEM E INSTALAÇÃO DE BATENTE, FECHADURA COM EXECUÇÃO DO FURO - FORNECIMENTO E INSTALAÇÃO. AF_10/2025</t>
  </si>
  <si>
    <t xml:space="preserve">KIT DE PORTA DE MADEIRA TIPO MEXICANA, MACIÇA (PESADA OU SUPERPESADA), PADRÃO POPULAR, 80X210CM, ESPESSURA DE 3,5CM, ITENS INCLUSOS: DOBRADIÇAS, MONTAGEM E INSTALAÇÃO DO BATENTE, SEM FECHADURA - FORNECIMENTO E INSTALAÇÃO. AF_10/2025</t>
  </si>
  <si>
    <t xml:space="preserve">KIT DE PORTA DE MADEIRA TIPO VENEZIANA, 80X210CM (ESPESSURA DE 3CM), PADRÃO MÉDIO, ITENS INCLUSOS: DOBRADIÇAS, MONTAGEM E INSTALAÇÃO DE BATENTE, FECHADURA COM EXECUÇÃO DO FURO - FORNECIMENTO E INSTALAÇÃO. AF_10/2025</t>
  </si>
  <si>
    <t xml:space="preserve">KIT DE PORTA DE MADEIRA TIPO VENEZIANA, 80X210CM (ESPESSURA DE 3CM), PADRÃO POPULAR, ITENS INCLUSOS: DOBRADIÇAS, MONTAGEM E INSTALAÇÃO DE BATENTE, FECHADURA COM EXECUÇÃO DO FURO - FORNECIMENTO E INSTALAÇÃO. AF_10/2025</t>
  </si>
  <si>
    <t xml:space="preserve">KIT DE PORTA DE MADEIRA TIPO VENEZIANA, PADRÃO MÉDIO, 80X210CM, ESPESSURA DE 3CM, ITENS INCLUSOS: DOBRADIÇAS, MONTAGEM E INSTALAÇÃO DO BATENTE, SEM FECHADURA - FORNECIMENTO E INSTALAÇÃO. AF_10/2025</t>
  </si>
  <si>
    <t xml:space="preserve">KIT DE PORTA DE MADEIRA TIPO VENEZIANA, PADRÃO POPULAR, 80X210CM, ESPESSURA DE 3CM, ITENS INCLUSOS: DOBRADIÇAS, MONTAGEM E INSTALAÇÃO DO BATENTE, SEM FECHADURA - FORNECIMENTO E INSTALAÇÃO. AF_10/2025</t>
  </si>
  <si>
    <t xml:space="preserve">KIT DE PORTA-PRONTA DE MADEIRA EM ACABAMENTO MELAMÍNICO BRANCO, FOLHA LEVE OU MÉDIA, 60X210CM, EXCLUSIVE FECHADURA, FIXAÇÃO COM PREENCHIMENTO PARCIAL DE ESPUMA EXPANSIVA - FORNECIMENTO E INSTALAÇÃO. AF_10/2025</t>
  </si>
  <si>
    <t xml:space="preserve">KIT DE PORTA-PRONTA DE MADEIRA EM ACABAMENTO MELAMÍNICO BRANCO, FOLHA LEVE OU MÉDIA, 70X210CM, EXCLUSIVE FECHADURA, FIXAÇÃO COM PREENCHIMENTO PARCIAL DE ESPUMA EXPANSIVA - FORNECIMENTO E INSTALAÇÃO. AF_10/2025</t>
  </si>
  <si>
    <t xml:space="preserve">KIT DE PORTA-PRONTA DE MADEIRA EM ACABAMENTO MELAMÍNICO BRANCO, FOLHA LEVE OU MÉDIA, 80X210CM, EXCLUSIVE FECHADURA, FIXAÇÃO COM PREENCHIMENTO PARCIAL DE ESPUMA EXPANSIVA - FORNECIMENTO E INSTALAÇÃO. AF_10/2025</t>
  </si>
  <si>
    <t xml:space="preserve">KIT DE PORTA-PRONTA DE MADEIRA EM ACABAMENTO MELAMÍNICO BRANCO, FOLHA LEVE OU MÉDIA, 90X210, EXCLUSIVE FECHADURA, FIXAÇÃO COM PREENCHIMENTO TOTAL DE ESPUMA EXPANSIVA - FORNECIMENTO E INSTALAÇÃO. AF_10/2025</t>
  </si>
  <si>
    <t xml:space="preserve">KIT DE PORTA-PRONTA DE MADEIRA EM ACABAMENTO MELAMÍNICO BRANCO, FOLHA LEVE OU MÉDIA, E BATENTE METÁLICO, 60X210CM, FIXAÇÃO COM ARGAMASSA - FORNECIMENTO E INSTALAÇÃO. AF_10/2025</t>
  </si>
  <si>
    <t xml:space="preserve">KIT DE PORTA-PRONTA DE MADEIRA EM ACABAMENTO MELAMÍNICO BRANCO, FOLHA LEVE OU MÉDIA, E BATENTE METÁLICO, 80X210CM, FIXAÇÃO COM ARGAMASSA - FORNECIMENTO E INSTALAÇÃO. AF_10/2025</t>
  </si>
  <si>
    <t xml:space="preserve">KIT DE PORTA-PRONTA DE MADEIRA EM ACABAMENTO MELAMÍNICO BRANCO, FOLHA LEVE OU MÉDIA, E BATENTE METÁLICO, 90X210CM, FIXAÇÃO COM ARGAMASSA - FORNECIMENTO E INSTALAÇÃO. AF_10/2025</t>
  </si>
  <si>
    <t xml:space="preserve">KIT DE PORTA-PRONTA DE MADEIRA EM ACABAMENTO MELAMÍNICO BRANCO, FOLHA PESADA OU SUPERPESADA, 80X210CM, FIXAÇÃO COM PREENCHIMENTO PARCIAL DE ESPUMA EXPANSIVA - FORNECIMENTO E INSTALAÇÃO. AF_10/2025</t>
  </si>
  <si>
    <t xml:space="preserve">KIT DE PORTA-PRONTA DE MADEIRA EM ACABAMENTO MELAMÍNICO BRANCO, FOLHA PESADA OU SUPERPESADA, 90X210CM, FIXAÇÃO COM PREENCHIMENTO TOTAL DE ESPUMA EXPANSIVA - FORNECIMENTO E INSTALAÇÃO. AF_10/2025</t>
  </si>
  <si>
    <t xml:space="preserve">KIT DE PORTA-PRONTA DE MADEIRA EM ACABAMENTO MELAMÍNICO BRANCO, FOLHA PESADA OU SUPERPESADA, E BATENTE METÁLICO, 80X210CM, FIXAÇÃO COM ARGAMASSA - FORNECIMENTO E INSTALAÇÃO. AF_10/2025</t>
  </si>
  <si>
    <t xml:space="preserve">KIT DE PORTA-PRONTA DE MADEIRA EM ACABAMENTO MELAMÍNICO BRANCO, FOLHA PESADA OU SUPERPESADA, E BATENTE METÁLICO, 90X210CM, FIXAÇÃO COM ARGAMASSA - FORNECIMENTO E INSTALAÇÃO. AF_10/2025</t>
  </si>
  <si>
    <t xml:space="preserve">PORTA CADEADO ZINCADO OXIDADO PRETO COM CADEADO DE AÇO INOX, LARGURA DE *50* MM. AF_10/2025</t>
  </si>
  <si>
    <t xml:space="preserve">PORTA CORTA-FOGO 160X210X5CM COM BARRA ANTI PÂNICO - FORNECIMENTO E INSTALAÇÃO. AF_10/2025</t>
  </si>
  <si>
    <t xml:space="preserve">PORTA CORTA-FOGO 80X210X5CM - FORNECIMENTO E INSTALAÇÃO. AF_10/2025</t>
  </si>
  <si>
    <t xml:space="preserve">PORTA CORTA-FOGO 80X210X5CM COM BARRA ANTI PÂNICO - FORNECIMENTO E INSTALAÇÃO. AF_10/2025</t>
  </si>
  <si>
    <t xml:space="preserve">PORTA CORTA-FOGO 90X210X5CM - FORNECIMENTO E INSTALAÇÃO. AF_10/2025</t>
  </si>
  <si>
    <t xml:space="preserve">PORTA DE ALUMÍNIO DE ABRIR PARA VIDRO SEM GUARNIÇÃO, 87X210CM, FIXAÇÃO COM PARAFUSOS, INCLUSIVE VIDROS - FORNECIMENTO E INSTALAÇÃO. AF_10/2025</t>
  </si>
  <si>
    <t xml:space="preserve">PORTA DE ALUMÍNIO DE ABRIR, P/ VIDRO, C/ GUARNIÇÃO, 87X210CM, FIXAÇÃO COM ARGAMASSA. AF_10/2025</t>
  </si>
  <si>
    <t xml:space="preserve">PORTA DE AÇO DE ABRIR, P/ VIDRO, C/ GUARNIÇÃO, 90X210CM, FIXAÇÃO COM ARGAMASSA. AF_10/2025</t>
  </si>
  <si>
    <t xml:space="preserve">PORTA DE CORRER DE ALUMÍNIO, COM DUAS FOLHAS PARA VIDRO, INCLUSO VIDRO LISO INCOLOR, FECHADURA E PUXADOR, SEM ALIZAR. AF_10/2025</t>
  </si>
  <si>
    <t xml:space="preserve">PORTA DE CORRER DE MADEIRA, FECHADURA E PUXADOR, COM ALIZAR. AF_10/2025</t>
  </si>
  <si>
    <t xml:space="preserve">PORTA DE FERRO, DE ABRIR, TIPO GRADE COM CHAPA, COM GUARNIÇÕES. AF_10/2025</t>
  </si>
  <si>
    <t xml:space="preserve">PORTA DE MADEIRA COMPENSADA LISA PARA PINTURA, 120X210X3,5CM, 2 FOLHAS, INCLUSO ADUELA 2A, ALIZAR 2A E DOBRADIÇAS. AF_10/2025</t>
  </si>
  <si>
    <t xml:space="preserve">PORTA DE MADEIRA FRISADA, SEMI-OCA (LEVE OU MÉDIA), 60X210CM, ESPESSURA DE 3,5CM, INCLUSO DOBRADIÇAS - FORNECIMENTO E INSTALAÇÃO. AF_10/2025</t>
  </si>
  <si>
    <t xml:space="preserve">PORTA DE MADEIRA FRISADA, SEMI-OCA (LEVE OU MÉDIA), 70X210CM, ESPESSURA DE 3,5CM, INCLUSO DOBRADIÇAS - FORNECIMENTO E INSTALAÇÃO. AF_10/2025</t>
  </si>
  <si>
    <t xml:space="preserve">PORTA DE MADEIRA FRISADA, SEMI-OCA (LEVE OU MÉDIA), 80X210CM, ESPESSURA DE 3,5CM, INCLUSO DOBRADIÇAS - FORNECIMENTO E INSTALAÇÃO. AF_10/2025</t>
  </si>
  <si>
    <t xml:space="preserve">PORTA DE MADEIRA PARA PINTURA, SEMI-OCA (LEVE OU MÉDIA), 60X210CM, ESPESSURA DE 3,5CM, INCLUSO DOBRADIÇAS - FORNECIMENTO E INSTALAÇÃO. AF_10/2025</t>
  </si>
  <si>
    <t xml:space="preserve">PORTA DE MADEIRA PARA PINTURA, SEMI-OCA (LEVE OU MÉDIA), 70X210CM, ESPESSURA DE 3,5CM, INCLUSO DOBRADIÇAS - FORNECIMENTO E INSTALAÇÃO. AF_10/2025</t>
  </si>
  <si>
    <t xml:space="preserve">PORTA DE MADEIRA PARA PINTURA, SEMI-OCA (LEVE OU MÉDIA), 80X210CM, ESPESSURA DE 3,5CM, INCLUSO DOBRADIÇAS - FORNECIMENTO E INSTALAÇÃO. AF_10/2025</t>
  </si>
  <si>
    <t xml:space="preserve">PORTA DE MADEIRA PARA PINTURA, SEMI-OCA (LEVE OU MÉDIA), 90X210CM, ESPESSURA DE 3,5CM, INCLUSO DOBRADIÇAS - FORNECIMENTO E INSTALAÇÃO. AF_10/2025</t>
  </si>
  <si>
    <t xml:space="preserve">PORTA DE MADEIRA PARA PINTURA, SEMI-OCA (PESADA OU SUPERPESADA), 80X210CM, ESPESSURA DE 4,0CM, INCLUSO DOBRADIÇAS - FORNECIMENTO E INSTALAÇÃO. AF_10/2025</t>
  </si>
  <si>
    <t xml:space="preserve">PORTA DE MADEIRA PARA VERNIZ, SEMI-OCA (LEVE OU MÉDIA), 60X210CM, ESPESSURA DE 3,5CM, INCLUSO DOBRADIÇAS - FORNECIMENTO E INSTALAÇÃO. AF_10/2025</t>
  </si>
  <si>
    <t xml:space="preserve">PORTA DE MADEIRA PARA VERNIZ, SEMI-OCA (LEVE OU MÉDIA), 70X210CM, ESPESSURA DE 3,5CM, INCLUSO DOBRADIÇAS - FORNECIMENTO E INSTALAÇÃO. AF_10/2025</t>
  </si>
  <si>
    <t xml:space="preserve">PORTA DE MADEIRA PARA VERNIZ, SEMI-OCA (LEVE OU MÉDIA), 80X210CM, ESPESSURA DE 3,5CM, INCLUSO DOBRADIÇAS - FORNECIMENTO E INSTALAÇÃO. AF_10/2025</t>
  </si>
  <si>
    <t xml:space="preserve">PORTA DE MADEIRA PARA VERNIZ, SEMI-OCA (LEVE OU MÉDIA), 90X210CM, ESPESSURA DE 3,5CM, INCLUSO DOBRADIÇAS - FORNECIMENTO E INSTALAÇÃO. AF_10/2025</t>
  </si>
  <si>
    <t xml:space="preserve">PORTA DE MADEIRA TIPO VENEZIANA, 80X210CM, ESPESSURA DE 3CM, INCLUSO DOBRADIÇAS - FORNECIMENTO E INSTALAÇÃO. AF_10/2025</t>
  </si>
  <si>
    <t xml:space="preserve">PORTA DE MADEIRA, MACIÇA (PESADA OU SUPERPESADA), 90X210CM, ESPESSURA DE 4,0CM, INCLUSO DOBRADIÇAS - FORNECIMENTO E INSTALAÇÃO. AF_10/2025</t>
  </si>
  <si>
    <t xml:space="preserve">PORTA DE MADEIRA, TIPO MEXICANA, MACIÇA (PESADA OU SUPERPESADA), 70X210CM, ESPESSURA DE 3,5CM, INCLUSO DOBRADIÇAS - FORNECIMENTO E INSTALAÇÃO. AF_10/2025</t>
  </si>
  <si>
    <t xml:space="preserve">PORTA EM ALUMÍNIO DE ABRIR TIPO VENEZIANA COM GUARNIÇÃO, FIXAÇÃO COM PARAFUSOS - FORNECIMENTO E INSTALAÇÃO. AF_10/2025</t>
  </si>
  <si>
    <t xml:space="preserve">PORTA EM AÇO DE ABRIR PARA VIDRO SEM GUARNIÇÃO, 90X210CM, FIXAÇÃO COM PARAFUSOS, EXCLUSIVE VIDROS - FORNECIMENTO E INSTALAÇÃO. AF_10/2025</t>
  </si>
  <si>
    <t xml:space="preserve">PORTA EM AÇO DE ABRIR TIPO VENEZIANA SEM GUARNIÇÃO, 90X210CM, FIXAÇÃO COM PARAFUSOS - FORNECIMENTO E INSTALAÇÃO. AF_10/2025</t>
  </si>
  <si>
    <t xml:space="preserve">PORTA-PRONTA DE MADEIRA, FOLHA LEVE OU MÉDIA, 70X210CM, FIXAÇÃO COM PREENCHIMENTO TOTAL DE ESPUMA EXPANSIVA - FORNECIMENTO E INSTALAÇÃO. AF_10/2025</t>
  </si>
  <si>
    <t xml:space="preserve">PORTA-PRONTA DE MADEIRA, FOLHA LEVE OU MÉDIA, 80X210CM, FIXAÇÃO COM PREENCHIMENTO TOTAL DE ESPUMA EXPANSIVA - FORNECIMENTO E INSTALAÇÃO. AF_10/2025</t>
  </si>
  <si>
    <t xml:space="preserve">PORTA-PRONTA DE MADEIRA, FOLHA PESADA OU SUPERPESADA, 80X210CM, FIXAÇÃO COM PREENCHIMENTO TOTAL DE ESPUMA EXPANSIVA - FORNECIMENTO E INSTALAÇÃO. AF_10/2025</t>
  </si>
  <si>
    <t xml:space="preserve">PUXADOR CENTRAL PARA ESQUADRIA DE MADEIRA. AF_10/2025</t>
  </si>
  <si>
    <t xml:space="preserve">RECOLOCACAO DE FOLHAS DE PORTA DE MADEIRA PESADA OU SUPER PESADA DE 90 CM DE LARGURA, CONSIDERANDO REAPROVEITAMENTO DO MATERIAL. AF_10/2025</t>
  </si>
  <si>
    <t xml:space="preserve">RECOLOCAÇÃO DE FOLHAS DE PORTA DE MADEIRA LEVE OU MÉDIA DE 60CM DE LARGURA, CONSIDERANDO REAPROVEITAMENTO DO MATERIAL. AF_10/2025</t>
  </si>
  <si>
    <t xml:space="preserve">RECOLOCAÇÃO DE FOLHAS DE PORTA DE MADEIRA LEVE OU MÉDIA DE 70CM DE LARGURA, CONSIDERANDO REAPROVEITAMENTO DO MATERIAL. AF_10/2025</t>
  </si>
  <si>
    <t xml:space="preserve">RECOLOCAÇÃO DE FOLHAS DE PORTA DE MADEIRA LEVE OU MÉDIA DE 80CM DE LARGURA, CONSIDERANDO REAPROVEITAMENTO DO MATERIAL. AF_10/2025</t>
  </si>
  <si>
    <t xml:space="preserve">RECOLOCAÇÃO DE FOLHAS DE PORTA DE MADEIRA LEVE OU MÉDIA DE 90CM DE LARGURA, CONSIDERANDO REAPROVEITAMENTO DO MATERIAL. AF_10/2025</t>
  </si>
  <si>
    <t xml:space="preserve">RECOLOCAÇÃO DE FOLHAS DE PORTA DE MADEIRA PESADA OU SUPERPESADA DE 80CM DE LARGURA, CONSIDERANDO REAPROVEITAMENTO DO MATERIAL. AF_10/2025</t>
  </si>
  <si>
    <t xml:space="preserve">TARJETA TIPO LIVRE/OCUPADO PARA PORTA DE BANHEIRO. AF_10/2025</t>
  </si>
  <si>
    <t xml:space="preserve">Estacas Broca, Strauss e Escavada com Fluido Estabilizante</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</si>
  <si>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</si>
  <si>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</si>
  <si>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</si>
  <si>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</si>
  <si>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</si>
  <si>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</si>
  <si>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</si>
  <si>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</si>
  <si>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</si>
  <si>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</si>
  <si>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</si>
  <si>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</si>
  <si>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</si>
  <si>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</si>
  <si>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</si>
  <si>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Estacas Escavadas Sem Fluido Estabilizante</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</si>
  <si>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</si>
  <si>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</si>
  <si>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</si>
  <si>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</si>
  <si>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</si>
  <si>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Estacas Metálicas</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</si>
  <si>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</si>
  <si>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</si>
  <si>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</si>
  <si>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</si>
  <si>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</si>
  <si>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</si>
  <si>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Estacas Pré-Moldadas</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</si>
  <si>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</si>
  <si>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</si>
  <si>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</si>
  <si>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Estacas Raiz</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</si>
  <si>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</si>
  <si>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</si>
  <si>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</si>
  <si>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</si>
  <si>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</si>
  <si>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</si>
  <si>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</si>
  <si>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</si>
  <si>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Estacas em Hélice Contínua</t>
  </si>
  <si>
    <t xml:space="preserve">ESTACA HÉLICE CONTÍNUA, DIÂMETRO DE 30 CM, INCLUSO CONCRETO FCK=30MPA E BOMBEAMENTO (EXCLUSIVE ARMADURA, MOBILIZAÇÃO E DESMOBILIZAÇÃO). AF_03/2026</t>
  </si>
  <si>
    <t xml:space="preserve">ESTACA HÉLICE CONTÍNUA, DIÂMETRO DE 30 CM, INCLUSO CONCRETO FCK=30MPA, BOMBEAMENTO E ARMADURA MÍNIMA (EXCLUSIVE MOBILIZAÇÃO E DESMOBILIZAÇÃO). AF_03/2026</t>
  </si>
  <si>
    <t xml:space="preserve">ESTACA HÉLICE CONTÍNUA, DIÂMETRO DE 30 CM, INCLUSO CONCRETO FCK=40MPA E BOMBEAMENTO (EXCLUSIVE ARMADURA, MOBILIZAÇÃO E DESMOBILIZAÇÃO). AF_03/2026</t>
  </si>
  <si>
    <t xml:space="preserve">ESTACA HÉLICE CONTÍNUA, DIÂMETRO DE 30 CM, INCLUSO CONCRETO FCK=40MPA, BOMBEAMENTO E ARMADURA MÍNIMA (EXCLUSIVE MOBILIZAÇÃO E DESMOBILIZAÇÃO). AF_03/2026</t>
  </si>
  <si>
    <t xml:space="preserve">ESTACA HÉLICE CONTÍNUA, DIÂMETRO DE 50 CM, INCLUSO CONCRETO FCK=30MPA E BOMBEAMENTO (EXCLUSIVE ARMADURA, MOBILIZAÇÃO E DESMOBILIZAÇÃO). AF_03/2026</t>
  </si>
  <si>
    <t xml:space="preserve">ESTACA HÉLICE CONTÍNUA, DIÂMETRO DE 50 CM, INCLUSO CONCRETO FCK=30MPA, BOMBEAMENTO E ARMADURA MÍNIMA (EXCLUSIVE MOBILIZAÇÃO E DESMOBILIZAÇÃO). AF_03/2026</t>
  </si>
  <si>
    <t xml:space="preserve">ESTACA HÉLICE CONTÍNUA, DIÂMETRO DE 50 CM, INCLUSO CONCRETO FCK=40MPA E BOMBEAMENTO (EXCLUSIVE ARMADURA, MOBILIZAÇÃO E DESMOBILIZAÇÃO). AF_03/2026</t>
  </si>
  <si>
    <t xml:space="preserve">ESTACA HÉLICE CONTÍNUA, DIÂMETRO DE 50 CM, INCLUSO CONCRETO FCK=40MPA, BOMBEAMENTO E ARMADURA MÍNIMA (EXCLUSIVE MOBILIZAÇÃO E DESMOBILIZAÇÃO). AF_03/2026</t>
  </si>
  <si>
    <t xml:space="preserve">ESTACA HÉLICE CONTÍNUA, DIÂMETRO DE 70 CM, INCLUSO CONCRETO FCK=30MPA E BOMBEAMENTO (EXCLUSIVE ARMADURA, MOBILIZAÇÃO E DESMOBILIZAÇÃO). AF_03/2026</t>
  </si>
  <si>
    <t xml:space="preserve">ESTACA HÉLICE CONTÍNUA, DIÂMETRO DE 70 CM, INCLUSO CONCRETO FCK=30MPA, BOMBEAMENTO E ARMADURA MÍNIMA (EXCLUSIVE MOBILIZAÇÃO E DESMOBILIZAÇÃO). AF_03/2026</t>
  </si>
  <si>
    <t xml:space="preserve">ESTACA HÉLICE CONTÍNUA, DIÂMETRO DE 70 CM, INCLUSO CONCRETO FCK=40MPA E BOMBEAMENTO (EXCLUSIVE ARMADURA, MOBILIZAÇÃO E DESMOBILIZAÇÃO). AF_03/2026</t>
  </si>
  <si>
    <t xml:space="preserve">ESTACA HÉLICE CONTÍNUA, DIÂMETRO DE 70 CM, INCLUSO CONCRETO FCK=40MPA, BOMBEAMENTO E ARMADURA MÍNIMA (EXCLUSIVE MOBILIZAÇÃO E DESMOBILIZAÇÃO). AF_03/2026</t>
  </si>
  <si>
    <t xml:space="preserve">ESTACA HÉLICE CONTÍNUA, DIÂMETRO DE 80 CM, INCLUSO CONCRETO FCK=30MPA E BOMBEAMENTO (EXCLUSIVE ARMADURA, MOBILIZAÇÃO E DESMOBILIZAÇÃO). AF_03/2026</t>
  </si>
  <si>
    <t xml:space="preserve">ESTACA HÉLICE CONTÍNUA, DIÂMETRO DE 80 CM, INCLUSO CONCRETO FCK=30MPA, BOMBEAMENTO E ARMADURA MÍNIMA (EXCLUSIVE MOBILIZAÇÃO E DESMOBILIZAÇÃO). AF_03/2026</t>
  </si>
  <si>
    <t xml:space="preserve">ESTACA HÉLICE CONTÍNUA, DIÂMETRO DE 80 CM, INCLUSO CONCRETO FCK=40MPA E BOMBEAMENTO (EXCLUSIVE ARMADURA, MOBILIZAÇÃO E DESMOBILIZAÇÃO). AF_03/2026</t>
  </si>
  <si>
    <t xml:space="preserve">ESTACA HÉLICE CONTÍNUA, DIÂMETRO DE 80 CM, INCLUSO CONCRETO FCK=40MPA, BOMBEAMENTO E ARMADURA MÍNIMA (EXCLUSIVE MOBILIZAÇÃO E DESMOBILIZAÇÃO). AF_03/2026</t>
  </si>
  <si>
    <t xml:space="preserve">ESTACA HÉLICE CONTÍNUA, DIÂMETRO DE 90 CM, INCLUSO CONCRETO FCK=30MPA E BOMBEAMENTO (EXCLUSIVE ARMADURA, MOBILIZAÇÃO E DESMOBILIZAÇÃO). AF_03/2026</t>
  </si>
  <si>
    <t xml:space="preserve">ESTACA HÉLICE CONTÍNUA, DIÂMETRO DE 90 CM, INCLUSO CONCRETO FCK=30MPA, BOMBEAMENTO E ARMADURA MÍNIMA (EXCLUSIVE MOBILIZAÇÃO E DESMOBILIZAÇÃO). AF_03/2026</t>
  </si>
  <si>
    <t xml:space="preserve">ESTACA HÉLICE CONTÍNUA, DIÂMETRO DE 90 CM, INCLUSO CONCRETO FCK=40MPA E BOMBEAMENTO (EXCLUSIVE ARMADURA, MOBILIZAÇÃO E DESMOBILIZAÇÃO). AF_03/2026</t>
  </si>
  <si>
    <t xml:space="preserve">ESTACA HÉLICE CONTÍNUA, DIÂMETRO DE 90 CM, INCLUSO CONCRETO FCK=40MPA, BOMBEAMENTO E ARMADURA MÍNIMA (EXCLUSIVE MOBILIZAÇÃO E DESMOBILIZAÇÃO). AF_03/2026</t>
  </si>
  <si>
    <t xml:space="preserve">Estrutura e Trama para Cobertura</t>
  </si>
  <si>
    <t xml:space="preserve">FABRICAÇÃO E INSTALAÇÃO DE MEIA TESOURA DE MADEIRA NÃO APARELHADA, COM VÃO DE 10 M, PARA TELHA CERÂMICA OU DE CONCRETO, INCLUSO IÇAMENTO. AF_10/2025</t>
  </si>
  <si>
    <t xml:space="preserve">FABRICAÇÃO E INSTALAÇÃO DE MEIA TESOURA DE MADEIRA NÃO APARELHADA, COM VÃO DE 10 M, PARA TELHA ONDULADA DE FIBROCIMENTO, ALUMÍNIO, PLÁSTICA OU TERMOACÚSTICA, INCLUSO IÇAMENTO. AF_10/2025</t>
  </si>
  <si>
    <t xml:space="preserve">FABRICAÇÃO E INSTALAÇÃO DE MEIA TESOURA DE MADEIRA NÃO APARELHADA, COM VÃO DE 11 M, PARA TELHA CERÂMICA OU DE CONCRETO, INCLUSO IÇAMENTO. AF_10/2025</t>
  </si>
  <si>
    <t xml:space="preserve">FABRICAÇÃO E INSTALAÇÃO DE MEIA TESOURA DE MADEIRA NÃO APARELHADA, COM VÃO DE 11 M, PARA TELHA ONDULADA DE FIBROCIMENTO, ALUMÍNIO, PLÁSTICA OU TERMOACÚSTICA, INCLUSO IÇAMENTO. AF_10/2025</t>
  </si>
  <si>
    <t xml:space="preserve">FABRICAÇÃO E INSTALAÇÃO DE MEIA TESOURA DE MADEIRA NÃO APARELHADA, COM VÃO DE 12 M, PARA TELHA CERÂMICA OU DE CONCRETO, INCLUSO IÇAMENTO. AF_10/2025</t>
  </si>
  <si>
    <t xml:space="preserve">FABRICAÇÃO E INSTALAÇÃO DE MEIA TESOURA DE MADEIRA NÃO APARELHADA, COM VÃO DE 12 M, PARA TELHA ONDULADA DE FIBROCIMENTO, ALUMÍNIO, PLÁSTICA OU TERMOACÚSTICA, INCLUSO IÇAMENTO. AF_10/2025</t>
  </si>
  <si>
    <t xml:space="preserve">FABRICAÇÃO E INSTALAÇÃO DE MEIA TESOURA DE MADEIRA NÃO APARELHADA, COM VÃO DE 3 M, PARA TELHA CERÂMICA OU DE CONCRETO, INCLUSO IÇAMENTO. AF_10/2025</t>
  </si>
  <si>
    <t xml:space="preserve">FABRICAÇÃO E INSTALAÇÃO DE MEIA TESOURA DE MADEIRA NÃO APARELHADA, COM VÃO DE 3 M, PARA TELHA ONDULADA DE FIBROCIMENTO, ALUMÍNIO, PLÁSTICA OU TERMOACÚSTICA, INCLUSO IÇAMENTO. AF_10/2025</t>
  </si>
  <si>
    <t xml:space="preserve">FABRICAÇÃO E INSTALAÇÃO DE MEIA TESOURA DE MADEIRA NÃO APARELHADA, COM VÃO DE 4 M, PARA TELHA CERÂMICA OU DE CONCRETO, INCLUSO IÇAMENTO. AF_10/2025</t>
  </si>
  <si>
    <t xml:space="preserve">FABRICAÇÃO E INSTALAÇÃO DE MEIA TESOURA DE MADEIRA NÃO APARELHADA, COM VÃO DE 4 M, PARA TELHA ONDULADA DE FIBROCIMENTO, ALUMÍNIO, PLÁSTICA OU TERMOACÚSTICA, INCLUSO IÇAMENTO. AF_10/2025</t>
  </si>
  <si>
    <t xml:space="preserve">FABRICAÇÃO E INSTALAÇÃO DE MEIA TESOURA DE MADEIRA NÃO APARELHADA, COM VÃO DE 5 M, PARA TELHA CERÂMICA OU DE CONCRETO, INCLUSO IÇAMENTO. AF_10/2025</t>
  </si>
  <si>
    <t xml:space="preserve">FABRICAÇÃO E INSTALAÇÃO DE MEIA TESOURA DE MADEIRA NÃO APARELHADA, COM VÃO DE 5 M, PARA TELHA ONDULADA DE FIBROCIMENTO, ALUMÍNIO, PLÁSTICA OU TERMOACÚSTICA, INCLUSO IÇAMENTO. AF_10/2025</t>
  </si>
  <si>
    <t xml:space="preserve">FABRICAÇÃO E INSTALAÇÃO DE MEIA TESOURA DE MADEIRA NÃO APARELHADA, COM VÃO DE 6 M, PARA TELHA CERÂMICA OU DE CONCRETO, INCLUSO IÇAMENTO. AF_10/2025</t>
  </si>
  <si>
    <t xml:space="preserve">FABRICAÇÃO E INSTALAÇÃO DE MEIA TESOURA DE MADEIRA NÃO APARELHADA, COM VÃO DE 6 M, PARA TELHA ONDULADA DE FIBROCIMENTO, ALUMÍNIO, PLÁSTICA OU TERMOACÚSTICA, INCLUSO IÇAMENTO. AF_10/2025</t>
  </si>
  <si>
    <t xml:space="preserve">FABRICAÇÃO E INSTALAÇÃO DE MEIA TESOURA DE MADEIRA NÃO APARELHADA, COM VÃO DE 7 M, PARA TELHA CERÂMICA OU DE CONCRETO, INCLUSO IÇAMENTO. AF_10/2025</t>
  </si>
  <si>
    <t xml:space="preserve">FABRICAÇÃO E INSTALAÇÃO DE MEIA TESOURA DE MADEIRA NÃO APARELHADA, COM VÃO DE 7 M, PARA TELHA ONDULADA DE FIBROCIMENTO, ALUMÍNIO, PLÁSTICA OU TERMOACÚSTICA, INCLUSO IÇAMENTO. AF_10/2025</t>
  </si>
  <si>
    <t xml:space="preserve">FABRICAÇÃO E INSTALAÇÃO DE MEIA TESOURA DE MADEIRA NÃO APARELHADA, COM VÃO DE 8 M, PARA TELHA CERÂMICA OU DE CONCRETO, INCLUSO IÇAMENTO. AF_10/2025</t>
  </si>
  <si>
    <t xml:space="preserve">FABRICAÇÃO E INSTALAÇÃO DE MEIA TESOURA DE MADEIRA NÃO APARELHADA, COM VÃO DE 8 M, PARA TELHA ONDULADA DE FIBROCIMENTO, ALUMÍNIO, PLÁSTICA OU TERMOACÚSTICA, INCLUSO IÇAMENTO. AF_10/2025</t>
  </si>
  <si>
    <t xml:space="preserve">FABRICAÇÃO E INSTALAÇÃO DE MEIA TESOURA DE MADEIRA NÃO APARELHADA, COM VÃO DE 9 M, PARA TELHA CERÂMICA OU DE CONCRETO, INCLUSO IÇAMENTO. AF_10/2025</t>
  </si>
  <si>
    <t xml:space="preserve">FABRICAÇÃO E INSTALAÇÃO DE MEIA TESOURA DE MADEIRA NÃO APARELHADA, COM VÃO DE 9 M, PARA TELHA ONDULADA DE FIBROCIMENTO, ALUMÍNIO, PLÁSTICA OU TERMOACÚSTICA, INCLUSO IÇAMENTO. AF_10/2025</t>
  </si>
  <si>
    <t xml:space="preserve">FABRICAÇÃO E INSTALAÇÃO DE PONTALETES DE AÇO PARA TELHADOS COM ATÉ 2 ÁGUAS E COM TELHA CERÂMICA (ENCAIXE/CAPA CANAL) OU DE CONCRETO EM EDIFÍCIO INSTITUCIONAL TÉRREO, INCLUSO TRANSPORTE VERTICAL, EXCLUSIVE PINTURA. AF_10/2025</t>
  </si>
  <si>
    <t xml:space="preserve">FABRICAÇÃO E INSTALAÇÃO DE PONTALETES DE AÇO PARA TELHADOS COM ATÉ 2 ÁGUAS E COM TELHA CERÂMICA (ENCAIXE/CAPA CANAL) OU DE CONCRETO EM EDIFÍCIO RESIDENCIAL MÚLTIPLOS PAVIMENTOS, INCLUSO TRANSPORTE VERTICAL, EXCLUSIVE PINTURA. AF_10/2025</t>
  </si>
  <si>
    <t xml:space="preserve">FABRICAÇÃO E INSTALAÇÃO DE PONTALETES DE AÇO PARA TELHADOS COM ATÉ 2 ÁGUAS E COM TELHA CERÂMICA (ENCAIXE/CAPA CANAL) OU DE CONCRETO EM EDIFÍCIO RESIDENCIAL TÉRREO/SOBRADO, INCLUSO TRANSPORTE VERTICAL, EXCLUSIVE PINTURA. AF_10/2025</t>
  </si>
  <si>
    <t xml:space="preserve">FABRICAÇÃO E INSTALAÇÃO DE PONTALETES DE AÇO PARA TELHADOS COM ATÉ 2 ÁGUAS E COM TELHA ONDULADA DE FIBROCIMENTO, ALUMÍNIO OU PLÁSTICA EM EDIFÍCIO INSTITUCIONAL TÉRREO, INCLUSO TRANSPORTE VERTICAL, EXCLUSIVE PINTURA. AF_10/2025</t>
  </si>
  <si>
    <t xml:space="preserve">FABRICAÇÃO E INSTALAÇÃO DE PONTALETES DE AÇO PARA TELHADOS COM ATÉ 2 ÁGUAS E COM TELHA ONDULADA DE FIBROCIMENTO, ALUMÍNIO OU PLÁSTICA EM EDIFÍCIO RESIDENCIAL MÚLTIPLOS PAVIMENTOS, INCLUSO TRANSPORTE VERTICAL, EXCLUSIVE PINTURA. AF_10/2025</t>
  </si>
  <si>
    <t xml:space="preserve">FABRICAÇÃO E INSTALAÇÃO DE PONTALETES DE AÇO PARA TELHADOS COM ATÉ 2 ÁGUAS E COM TELHA ONDULADA DE FIBROCIMENTO, ALUMÍNIO OU PLÁSTICA EM EDIFÍCIO RESIDENCIAL TÉRREO/SOBRADO, INCLUSO TRANSPORTE VERTICAL, EXCLUSIVE PINTURA. AF_10/2025</t>
  </si>
  <si>
    <t xml:space="preserve">FABRICAÇÃO E INSTALAÇÃO DE PONTALETES DE AÇO PARA TELHADOS COM MAIS QUE 2 ÁGUAS E COM TELHA CERÂMICA (ENCAIXE/CAPA CANAL) OU DE CONCRETO EM EDIFÍCIO INSTITUCIONAL TÉRREO, INCLUSO TRANSPORTE VERTICAL, EXCLUSIVE PINTURA. AF_10/2025</t>
  </si>
  <si>
    <t xml:space="preserve">FABRICAÇÃO E INSTALAÇÃO DE PONTALETES DE AÇO PARA TELHADOS COM MAIS QUE 2 ÁGUAS E COM TELHA CERÂMICA (ENCAIXE/CAPA CANAL) OU DE CONCRETO EM EDIFÍCIO RESIDENCIAL MÚLTIPLOS PAVIMENTOS, INCLUSO TRANSPORTE VERTICAL, EXCLUSIVE PINTURA. AF_10/2025</t>
  </si>
  <si>
    <t xml:space="preserve">FABRICAÇÃO E INSTALAÇÃO DE PONTALETES DE AÇO PARA TELHADOS COM MAIS QUE 2 ÁGUAS E COM TELHA CERÂMICA (ENCAIXE/CAPA CANAL) OU DE CONCRETO EM EDIFÍCIO RESIDENCIAL TÉRREO/SOBRADO, INCLUSO TRANSPORTE VERTICAL, EXCLUSIVE PINTURA. AF_10/2025</t>
  </si>
  <si>
    <t xml:space="preserve">FABRICAÇÃO E INSTALAÇÃO DE PONTALETES DE AÇO PARA TELHADOS COM MAIS QUE 2 ÁGUAS E COM TELHA ONDULADA DE FIBROCIMENTO, ALUMÍNIO OU PLÁSTICA EM EDIFÍCIO INSTITUCIONAL TÉRREO, INCLUSO TRANSPORTE VERTICAL, EXCLUSIVE PINTURA. AF_10/2025</t>
  </si>
  <si>
    <t xml:space="preserve">FABRICAÇÃO E INSTALAÇÃO DE PONTALETES DE AÇO PARA TELHADOS COM MAIS QUE 2 ÁGUAS E COM TELHA ONDULADA DE FIBROCIMENTO, ALUMÍNIO OU PLÁSTICA EM EDIFÍCIO RESIDENCIAL MÚLTIPLOS PAVIMENTOS, INCLUSO TRANSPORTE VERTICAL, EXCLUSIVE PINTURA. AF_10/2025</t>
  </si>
  <si>
    <t xml:space="preserve">FABRICAÇÃO E INSTALAÇÃO DE PONTALETES DE AÇO PARA TELHADOS COM MAIS QUE 2 ÁGUAS E COM TELHA ONDULADA DE FIBROCIMENTO, ALUMÍNIO OU PLÁSTICA EM EDIFÍCIO RESIDENCIAL TÉRREO/SOBRADO, INCLUSO TRANSPORTE VERTICAL, EXCLUSIVE PINTURA. AF_10/2025</t>
  </si>
  <si>
    <t xml:space="preserve">FABRICAÇÃO E INSTALAÇÃO DE PONTALETES DE MADEIRA NÃO APARELHADA PARA TELHADOS COM ATÉ 2 ÁGUAS E COM TELHA CERÂMICA (ENCAIXE/CAPA CANAL) OU DE CONCRETO EM EDIFÍCIO INSTITUCIONAL TÉRREO, INCLUSO TRANSPORTE VERTICAL. AF_10/2025</t>
  </si>
  <si>
    <t xml:space="preserve">FABRICAÇÃO E INSTALAÇÃO DE PONTALETES DE MADEIRA NÃO APARELHADA PARA TELHADOS COM ATÉ 2 ÁGUAS E COM TELHA CERÂMICA (ENCAIXE/CAPA CANAL) OU DE CONCRETO EM EDIFÍCIO RESIDENCIAL DE MÚLTIPLOS PAVIMENTOS, INCLUSO TRANSPORTE VERTICAL. AF_10/2025</t>
  </si>
  <si>
    <t xml:space="preserve">FABRICAÇÃO E INSTALAÇÃO DE PONTALETES DE MADEIRA NÃO APARELHADA PARA TELHADOS COM ATÉ 2 ÁGUAS E COM TELHA CERÂMICA (ENCAIXE/CAPA CANAL) OU DE CONCRETO EM EDIFÍCIO RESIDENCIAL TÉRREO/SOBRADO, INCLUSO TRANSPORTE VERTICAL. AF_10/2025</t>
  </si>
  <si>
    <t xml:space="preserve">FABRICAÇÃO E INSTALAÇÃO DE PONTALETES DE MADEIRA NÃO APARELHADA PARA TELHADOS COM ATÉ 2 ÁGUAS E COM TELHA ONDULADA DE FIBROCIMENTO, ALUMÍNIO OU PLÁSTICA EM EDIFÍCIO INSTITUCIONAL TÉRREO, INCLUSO TRANSPORTE VERTICAL. AF_10/2025</t>
  </si>
  <si>
    <t xml:space="preserve">FABRICAÇÃO E INSTALAÇÃO DE PONTALETES DE MADEIRA NÃO APARELHADA PARA TELHADOS COM ATÉ 2 ÁGUAS E COM TELHA ONDULADA DE FIBROCIMENTO, ALUMÍNIO OU PLÁSTICA EM EDIFÍCIO RESIDENCIAL DE MÚLTIPLOS PAVIMENTOS, INCLUSO TRANSPORTE VERTICAL. AF_10/2025</t>
  </si>
  <si>
    <t xml:space="preserve">FABRICAÇÃO E INSTALAÇÃO DE PONTALETES DE MADEIRA NÃO APARELHADA PARA TELHADOS COM ATÉ 2 ÁGUAS E COM TELHA ONDULADA DE FIBROCIMENTO, ALUMÍNIO OU PLÁSTICA EM EDIFÍCIO RESIDENCIAL TÉRREO/SOBRADO, INCLUSO TRANSPORTE VERTICAL. AF_10/2025</t>
  </si>
  <si>
    <t xml:space="preserve">FABRICAÇÃO E INSTALAÇÃO DE PONTALETES DE MADEIRA NÃO APARELHADA PARA TELHADOS COM MAIS QUE 2 ÁGUAS E COM TELHA CERÂMICA (ENCAIXE/CAPA CANAL) OU DE CONCRETO EM EDIFÍCIO INSTITUCIONAL TÉRREO, INCLUSO TRANSPORTE VERTICAL. AF_10/2025</t>
  </si>
  <si>
    <t xml:space="preserve">FABRICAÇÃO E INSTALAÇÃO DE PONTALETES DE MADEIRA NÃO APARELHADA PARA TELHADOS COM MAIS QUE 2 ÁGUAS E COM TELHA CERÂMICA (ENCAIXE/CAPA CANAL) OU DE CONCRETO EM EDIFÍCIO RESIDENCIAL DE MÚLTIPLOS PAVIMENTOS. AF_10/2025</t>
  </si>
  <si>
    <t xml:space="preserve">FABRICAÇÃO E INSTALAÇÃO DE PONTALETES DE MADEIRA NÃO APARELHADA PARA TELHADOS COM MAIS QUE 2 ÁGUAS E COM TELHA CERÂMICA (ENCAIXE/CAPA CANAL) OU DE CONCRETO EM EDIFÍCIO RESIDENCIAL TÉRREO/SOBRADO, INCLUSO TRANSPORTE VERTICAL. AF_10/2025</t>
  </si>
  <si>
    <t xml:space="preserve">FABRICAÇÃO E INSTALAÇÃO DE TESOURA (INTEIRA OU MEIA) EM AÇO, VÃOS MAIORES OU IGUAIS A 3,0 M E MENORES QUE 6,0 M, INCLUSO IÇAMENTO, EXCLUSIVE PINTURA. AF_10/2025</t>
  </si>
  <si>
    <t xml:space="preserve">FABRICAÇÃO E INSTALAÇÃO DE TESOURA (INTEIRA OU MEIA) EM AÇO, VÃOS MAIORES OU IGUAIS A 6,0 M E MENORES OU IGUAIS A 12,0 M, INCLUSO IÇAMENTO, EXCLUSIVE PINTURA. AF_10/2025</t>
  </si>
  <si>
    <t xml:space="preserve">FABRICAÇÃO E INSTALAÇÃO DE TESOURA INTEIRA EM AÇO, VÃO DE 10 M, PARA TELHA CERÂMICA OU DE CONCRETO, INCLUSO IÇAMENTO, EXCLUSIVE PINTURA. AF_10/2025</t>
  </si>
  <si>
    <t xml:space="preserve">FABRICAÇÃO E INSTALAÇÃO DE TESOURA INTEIRA EM AÇO, VÃO DE 10 M, PARA TELHA ONDULADA DE FIBROCIMENTO, METÁLICA, PLÁSTICA OU TERMOACÚSTICA, INCLUSO IÇAMENTO, EXCLUSIVE PINTURA. AF_10/2025</t>
  </si>
  <si>
    <t xml:space="preserve">FABRICAÇÃO E INSTALAÇÃO DE TESOURA INTEIRA EM AÇO, VÃO DE 11 M, PARA TELHA CERÂMICA OU DE CONCRETO, INCLUSO IÇAMENTO, EXCLUSIVE PINTURA. AF_10/2025</t>
  </si>
  <si>
    <t xml:space="preserve">FABRICAÇÃO E INSTALAÇÃO DE TESOURA INTEIRA EM AÇO, VÃO DE 11 M, PARA TELHA ONDULADA DE FIBROCIMENTO, METÁLICA, PLÁSTICA OU TERMOACÚSTICA, INCLUSO IÇAMENTO, EXCLUSIVE PINTURA. AF_10/2025</t>
  </si>
  <si>
    <t xml:space="preserve">FABRICAÇÃO E INSTALAÇÃO DE TESOURA INTEIRA EM AÇO, VÃO DE 12 M, PARA TELHA CERÂMICA OU DE CONCRETO, INCLUSO IÇAMENTO, EXCLUSIVE PINTURA. AF_10/2025</t>
  </si>
  <si>
    <t xml:space="preserve">FABRICAÇÃO E INSTALAÇÃO DE TESOURA INTEIRA EM AÇO, VÃO DE 12 M, PARA TELHA ONDULADA DE FIBROCIMENTO, METÁLICA, PLÁSTICA OU TERMOACÚSTICA, INCLUSO IÇAMENTO, EXCLUSIVE PINTURA. AF_10/2025</t>
  </si>
  <si>
    <t xml:space="preserve">FABRICAÇÃO E INSTALAÇÃO DE TESOURA INTEIRA EM AÇO, VÃO DE 3 M, PARA TELHA CERÂMICA OU DE CONCRETO, INCLUSO IÇAMENTO, EXCLUSIVE PINTURA. AF_10/2025</t>
  </si>
  <si>
    <t xml:space="preserve">FABRICAÇÃO E INSTALAÇÃO DE TESOURA INTEIRA EM AÇO, VÃO DE 3 M, PARA TELHA ONDULADA DE FIBROCIMENTO, METÁLICA, PLÁSTICA OU TERMOACÚSTICA, INCLUSO IÇAMENTO, EXCLUSIVE PINTURA. AF_10/2025</t>
  </si>
  <si>
    <t xml:space="preserve">FABRICAÇÃO E INSTALAÇÃO DE TESOURA INTEIRA EM AÇO, VÃO DE 4 M, PARA TELHA CERÂMICA OU DE CONCRETO, INCLUSO IÇAMENTO, EXCLUSIVE PINTURA. AF_10/2025</t>
  </si>
  <si>
    <t xml:space="preserve">FABRICAÇÃO E INSTALAÇÃO DE TESOURA INTEIRA EM AÇO, VÃO DE 4 M, PARA TELHA ONDULADA DE FIBROCIMENTO, METÁLICA, PLÁSTICA OU TERMOACÚSTICA, INCLUSO IÇAMENTO, EXCLUSIVE PINTURA. AF_10/2025</t>
  </si>
  <si>
    <t xml:space="preserve">FABRICAÇÃO E INSTALAÇÃO DE TESOURA INTEIRA EM AÇO, VÃO DE 5 M, PARA TELHA CERÂMICA OU DE CONCRETO, INCLUSO IÇAMENTO, EXCLUSIVE PINTURA. AF_10/2025</t>
  </si>
  <si>
    <t xml:space="preserve">FABRICAÇÃO E INSTALAÇÃO DE TESOURA INTEIRA EM AÇO, VÃO DE 5 M, PARA TELHA ONDULADA DE FIBROCIMENTO, METÁLICA, PLÁSTICA OU TERMOACÚSTICA, INCLUSO IÇAMENTO, EXCLUSIVE PINTURA. AF_10/2025</t>
  </si>
  <si>
    <t xml:space="preserve">FABRICAÇÃO E INSTALAÇÃO DE TESOURA INTEIRA EM AÇO, VÃO DE 6 M, PARA TELHA CERÂMICA OU DE CONCRETO, INCLUSO IÇAMENTO, EXCLUSIVE PINTURA. AF_10/2025</t>
  </si>
  <si>
    <t xml:space="preserve">FABRICAÇÃO E INSTALAÇÃO DE TESOURA INTEIRA EM AÇO, VÃO DE 6 M, PARA TELHA ONDULADA DE FIBROCIMENTO, METÁLICA, PLÁSTICA OU TERMOACÚSTICA, INCLUSO IÇAMENTO, EXCLUSIVE PINTURA. AF_10/2025</t>
  </si>
  <si>
    <t xml:space="preserve">FABRICAÇÃO E INSTALAÇÃO DE TESOURA INTEIRA EM AÇO, VÃO DE 7 M, PARA TELHA CERÂMICA OU DE CONCRETO, INCLUSO IÇAMENTO, EXCLUSIVE PINTURA. AF_10/2025</t>
  </si>
  <si>
    <t xml:space="preserve">FABRICAÇÃO E INSTALAÇÃO DE TESOURA INTEIRA EM AÇO, VÃO DE 7 M, PARA TELHA ONDULADA DE FIBROCIMENTO, METÁLICA, PLÁSTICA OU TERMOACÚSTICA, INCLUSO IÇAMENTO, EXCLUSIVE PINTURA. AF_10/2025</t>
  </si>
  <si>
    <t xml:space="preserve">FABRICAÇÃO E INSTALAÇÃO DE TESOURA INTEIRA EM AÇO, VÃO DE 8 M, PARA TELHA CERÂMICA OU DE CONCRETO, INCLUSO IÇAMENTO, EXCLUSIVE PINTURA. AF_10/2025</t>
  </si>
  <si>
    <t xml:space="preserve">FABRICAÇÃO E INSTALAÇÃO DE TESOURA INTEIRA EM AÇO, VÃO DE 8 M, PARA TELHA ONDULADA DE FIBROCIMENTO, METÁLICA, PLÁSTICA OU TERMOACÚSTICA, INCLUSO IÇAMENTO, EXCLUSIVE PINTURA. AF_10/2025</t>
  </si>
  <si>
    <t xml:space="preserve">FABRICAÇÃO E INSTALAÇÃO DE TESOURA INTEIRA EM AÇO, VÃO DE 9 M, PARA TELHA CERÂMICA OU DE CONCRETO, INCLUSO IÇAMENTO, EXCLUSIVE PINTURA. AF_10/2025</t>
  </si>
  <si>
    <t xml:space="preserve">FABRICAÇÃO E INSTALAÇÃO DE TESOURA INTEIRA EM AÇO, VÃO DE 9 M, PARA TELHA ONDULADA DE FIBROCIMENTO, METÁLICA, PLÁSTICA OU TERMOACÚSTICA, INCLUSO IÇAMENTO, EXCLUSIVE PINTURA. AF_10/2025</t>
  </si>
  <si>
    <t xml:space="preserve">FABRICAÇÃO E INSTALAÇÃO DE TESOURA INTEIRA EM MADEIRA NÃO APARELHADA, VÃO DE 10 M, PARA TELHA CERÂMICA OU DE CONCRETO, INCLUSO IÇAMENTO. AF_10/2025</t>
  </si>
  <si>
    <t xml:space="preserve">FABRICAÇÃO E INSTALAÇÃO DE TESOURA INTEIRA EM MADEIRA NÃO APARELHADA, VÃO DE 10 M, PARA TELHA ONDULADA DE FIBROCIMENTO, METÁLICA, PLÁSTICA OU TERMOACÚSTICA, INCLUSO IÇAMENTO. AF_10/2025</t>
  </si>
  <si>
    <t xml:space="preserve">FABRICAÇÃO E INSTALAÇÃO DE TESOURA INTEIRA EM MADEIRA NÃO APARELHADA, VÃO DE 11 M, PARA TELHA CERÂMICA OU DE CONCRETO, INCLUSO IÇAMENTO. AF_10/2025</t>
  </si>
  <si>
    <t xml:space="preserve">FABRICAÇÃO E INSTALAÇÃO DE TESOURA INTEIRA EM MADEIRA NÃO APARELHADA, VÃO DE 11 M, PARA TELHA ONDULADA DE FIBROCIMENTO, METÁLICA, PLÁSTICA OU TERMOACÚSTICA, INCLUSO IÇAMENTO. AF_10/2025</t>
  </si>
  <si>
    <t xml:space="preserve">FABRICAÇÃO E INSTALAÇÃO DE TESOURA INTEIRA EM MADEIRA NÃO APARELHADA, VÃO DE 12 M, PARA TELHA CERÂMICA OU DE CONCRETO, INCLUSO IÇAMENTO. AF_10/2025</t>
  </si>
  <si>
    <t xml:space="preserve">FABRICAÇÃO E INSTALAÇÃO DE TESOURA INTEIRA EM MADEIRA NÃO APARELHADA, VÃO DE 12 M, PARA TELHA ONDULADA DE FIBROCIMENTO, METÁLICA, PLÁSTICA OU TERMOACÚSTICA, INCLUSO IÇAMENTO. AF_10/2025</t>
  </si>
  <si>
    <t xml:space="preserve">FABRICAÇÃO E INSTALAÇÃO DE TESOURA INTEIRA EM MADEIRA NÃO APARELHADA, VÃO DE 3 M, PARA TELHA CERÂMICA OU DE CONCRETO, INCLUSO IÇAMENTO. AF_10/2025</t>
  </si>
  <si>
    <t xml:space="preserve">FABRICAÇÃO E INSTALAÇÃO DE TESOURA INTEIRA EM MADEIRA NÃO APARELHADA, VÃO DE 3 M, PARA TELHA ONDULADA DE FIBROCIMENTO, METÁLICA, PLÁSTICA OU TERMOACÚSTICA, INCLUSO IÇAMENTO. AF_10/2025</t>
  </si>
  <si>
    <t xml:space="preserve">FABRICAÇÃO E INSTALAÇÃO DE TESOURA INTEIRA EM MADEIRA NÃO APARELHADA, VÃO DE 4 M, PARA TELHA CERÂMICA OU DE CONCRETO, INCLUSO IÇAMENTO. AF_10/2025</t>
  </si>
  <si>
    <t xml:space="preserve">FABRICAÇÃO E INSTALAÇÃO DE TESOURA INTEIRA EM MADEIRA NÃO APARELHADA, VÃO DE 4 M, PARA TELHA ONDULADA DE FIBROCIMENTO, METÁLICA, PLÁSTICA OU TERMOACÚSTICA, INCLUSO IÇAMENTO. AF_10/2025</t>
  </si>
  <si>
    <t xml:space="preserve">FABRICAÇÃO E INSTALAÇÃO DE TESOURA INTEIRA EM MADEIRA NÃO APARELHADA, VÃO DE 5 M, PARA TELHA CERÂMICA OU DE CONCRETO, INCLUSO IÇAMENTO. AF_10/2025</t>
  </si>
  <si>
    <t xml:space="preserve">FABRICAÇÃO E INSTALAÇÃO DE TESOURA INTEIRA EM MADEIRA NÃO APARELHADA, VÃO DE 5 M, PARA TELHA ONDULADA DE FIBROCIMENTO, METÁLICA, PLÁSTICA OU TERMOACÚSTICA, INCLUSO IÇAMENTO. AF_10/2025</t>
  </si>
  <si>
    <t xml:space="preserve">FABRICAÇÃO E INSTALAÇÃO DE TESOURA INTEIRA EM MADEIRA NÃO APARELHADA, VÃO DE 6 M, PARA TELHA CERÂMICA OU DE CONCRETO, INCLUSO IÇAMENTO. AF_10/2025</t>
  </si>
  <si>
    <t xml:space="preserve">FABRICAÇÃO E INSTALAÇÃO DE TESOURA INTEIRA EM MADEIRA NÃO APARELHADA, VÃO DE 6 M, PARA TELHA ONDULADA DE FIBROCIMENTO, METÁLICA, PLÁSTICA OU TERMOACÚSTICA, INCLUSO IÇAMENTO. AF_10/2025</t>
  </si>
  <si>
    <t xml:space="preserve">FABRICAÇÃO E INSTALAÇÃO DE TESOURA INTEIRA EM MADEIRA NÃO APARELHADA, VÃO DE 7 M, PARA TELHA CERÂMICA OU DE CONCRETO, INCLUSO IÇAMENTO. AF_10/2025</t>
  </si>
  <si>
    <t xml:space="preserve">FABRICAÇÃO E INSTALAÇÃO DE TESOURA INTEIRA EM MADEIRA NÃO APARELHADA, VÃO DE 7 M, PARA TELHA ONDULADA DE FIBROCIMENTO, METÁLICA, PLÁSTICA OU TERMOACÚSTICA, INCLUSO IÇAMENTO. AF_10/2025</t>
  </si>
  <si>
    <t xml:space="preserve">FABRICAÇÃO E INSTALAÇÃO DE TESOURA INTEIRA EM MADEIRA NÃO APARELHADA, VÃO DE 8 M, PARA TELHA CERÂMICA OU DE CONCRETO, INCLUSO IÇAMENTO. AF_10/2025</t>
  </si>
  <si>
    <t xml:space="preserve">FABRICAÇÃO E INSTALAÇÃO DE TESOURA INTEIRA EM MADEIRA NÃO APARELHADA, VÃO DE 8 M, PARA TELHA ONDULADA DE FIBROCIMENTO, METÁLICA, PLÁSTICA OU TERMOACÚSTICA, INCLUSO IÇAMENTO. AF_10/2025</t>
  </si>
  <si>
    <t xml:space="preserve">FABRICAÇÃO E INSTALAÇÃO DE TESOURA INTEIRA EM MADEIRA NÃO APARELHADA, VÃO DE 9 M, PARA TELHA CERÂMICA OU DE CONCRETO, INCLUSO IÇAMENTO. AF_10/2025</t>
  </si>
  <si>
    <t xml:space="preserve">FABRICAÇÃO E INSTALAÇÃO DE TESOURA INTEIRA EM MADEIRA NÃO APARELHADA, VÃO DE 9 M, PARA TELHA ONDULADA DE FIBROCIMENTO, METÁLICA, PLÁSTICA OU TERMOACÚSTICA, INCLUSO IÇAMENTO. AF_10/2025</t>
  </si>
  <si>
    <t xml:space="preserve">INSTALAÇÃO DE TESOURA (INTEIRA OU MEIA), BIAPOIADA, EM MADEIRA NÃO APARELHADA, PARA VÃOS MAIORES OU IGUAIS A 10,0 M E MENORES QUE 12,0 M, INCLUSO IÇAMENTO. AF_10/2025</t>
  </si>
  <si>
    <t xml:space="preserve">INSTALAÇÃO DE TESOURA (INTEIRA OU MEIA), BIAPOIADA, EM MADEIRA NÃO APARELHADA, PARA VÃOS MAIORES OU IGUAIS A 12,0 M E MENORES QUE 14,0 M, INCLUSO IÇAMENTO. AF_10/2025</t>
  </si>
  <si>
    <t xml:space="preserve">INSTALAÇÃO DE TESOURA (INTEIRA OU MEIA), BIAPOIADA, EM MADEIRA NÃO APARELHADA, PARA VÃOS MAIORES OU IGUAIS A 14,0 M E MENORES QUE 16,0 M, INCLUSO IÇAMENTO. AF_10/2025</t>
  </si>
  <si>
    <t xml:space="preserve">INSTALAÇÃO DE TESOURA (INTEIRA OU MEIA), BIAPOIADA, EM MADEIRA NÃO APARELHADA, PARA VÃOS MAIORES OU IGUAIS A 16,0 M E MENORES QUE 18,0 M, INCLUSO IÇAMENTO. AF_10/2025</t>
  </si>
  <si>
    <t xml:space="preserve">INSTALAÇÃO DE TESOURA (INTEIRA OU MEIA), BIAPOIADA, EM MADEIRA NÃO APARELHADA, PARA VÃOS MAIORES OU IGUAIS A 3,0 M E MENORES QUE 6,0 M, INCLUSO IÇAMENTO. AF_10/2025</t>
  </si>
  <si>
    <t xml:space="preserve">INSTALAÇÃO DE TESOURA (INTEIRA OU MEIA), BIAPOIADA, EM MADEIRA NÃO APARELHADA, PARA VÃOS MAIORES OU IGUAIS A 6,0 M E MENORES QUE 8,0 M, INCLUSO IÇAMENTO. AF_10/2025</t>
  </si>
  <si>
    <t xml:space="preserve">INSTALAÇÃO DE TESOURA (INTEIRA OU MEIA), BIAPOIADA, EM MADEIRA NÃO APARELHADA, PARA VÃOS MAIORES OU IGUAIS A 8,0 M E MENORES QUE 10,0 M, INCLUSO IÇAMENTO. AF_10/2025</t>
  </si>
  <si>
    <t xml:space="preserve">INSTALAÇÃO DE TESOURA (INTEIRA OU MEIA), EM AÇO, PARA VÃOS MAIORES OU IGUAIS A 10,0 M E MENORES OU IGUAIS A 12,0 M, INCLUSO IÇAMENTO, EXCLUSIVE PINTURA. AF_10/2025_PE</t>
  </si>
  <si>
    <t xml:space="preserve">INSTALAÇÃO DE TESOURA (INTEIRA OU MEIA), EM AÇO, PARA VÃOS MAIORES OU IGUAIS A 3,0 M E MENORES QUE 6,0 M, INCLUSO IÇAMENTO, EXCLUSIVE PINTURA. AF_10/2025_PE</t>
  </si>
  <si>
    <t xml:space="preserve">INSTALAÇÃO DE TESOURA (INTEIRA OU MEIA), EM AÇO, PARA VÃOS MAIORES OU IGUAIS A 6,0 M E MENORES QUE 8,0 M, INCLUSO IÇAMENTO, EXCLUSIVE PINTURA. AF_10/2025_PE</t>
  </si>
  <si>
    <t xml:space="preserve">INSTALAÇÃO DE TESOURA (INTEIRA OU MEIA), EM AÇO, PARA VÃOS MAIORES OU IGUAIS A 8,0 M E MENORES QUE 10,0 M, INCLUSO IÇAMENTO, EXCLUSIVE PINTURA. AF_10/2025_PE</t>
  </si>
  <si>
    <t xml:space="preserve">RETIRADA E RECOLOCAÇÃO DE CAIBRO DE MADEIRA EM TELHADOS DE ATÉ 2 ÁGUAS COM TELHA CERÂMICA CAPA-CANAL, INCLUSO TRANSPORTE VERTICAL. AF_10/2025</t>
  </si>
  <si>
    <t xml:space="preserve">RETIRADA E RECOLOCAÇÃO DE CAIBRO DE MADEIRA EM TELHADOS DE ATÉ 2 ÁGUAS COM TELHA CERÂMICA OU DE CONCRETO DE ENCAIXE, INCLUSO TRANSPORTE VERTICAL. AF_10/2025</t>
  </si>
  <si>
    <t xml:space="preserve">RETIRADA E RECOLOCAÇÃO DE CAIBRO DE MADEIRA EM TELHADOS DE MAIS DE 2 ÁGUAS COM TELHA CERÂMICA CAPA-CANAL, INCLUSO TRANSPORTE VERTICAL. AF_10/2025</t>
  </si>
  <si>
    <t xml:space="preserve">RETIRADA E RECOLOCAÇÃO DE CAIBRO DE MADEIRA EM TELHADOS DE MAIS DE 2 ÁGUAS COM TELHA CERÂMICA OU DE CONCRETO DE ENCAIXE, INCLUSO TRANSPORTE VERTICAL. AF_10/2025</t>
  </si>
  <si>
    <t xml:space="preserve">RETIRADA E RECOLOCAÇÃO DE RIPA DE MADEIRA EM TELHADOS DE ATÉ 2 ÁGUAS COM TELHA CERÂMICA CAPA-CANAL, INCLUSO TRANSPORTE VERTICAL. AF_10/2025</t>
  </si>
  <si>
    <t xml:space="preserve">RETIRADA E RECOLOCAÇÃO DE RIPA DE MADEIRA EM TELHADOS DE ATÉ 2 ÁGUAS COM TELHA CERÂMICA OU DE CONCRETO DE ENCAIXE, INCLUSO TRANSPORTE VERTICAL. AF_10/2025</t>
  </si>
  <si>
    <t xml:space="preserve">RETIRADA E RECOLOCAÇÃO DE RIPA DE MADEIRA EM TELHADOS DE MAIS DE 2 ÁGUAS COM TELHA CERÂMICA CAPA-CANAL, INCLUSO TRANSPORTE VERTICAL. AF_10/2025</t>
  </si>
  <si>
    <t xml:space="preserve">RETIRADA E RECOLOCAÇÃO DE RIPA DE MADEIRA EM TELHADOS DE MAIS DE 2 ÁGUAS COM TELHA CERÂMICA OU DE CONCRETO DE ENCAIXE, INCLUSO TRANSPORTE VERTICAL. AF_10/2025</t>
  </si>
  <si>
    <t xml:space="preserve">TRAMA DE AÇO COMPOSTA POR RIPAS E CAIBROS PARA TELHADOS DE ATÉ 2 ÁGUAS PARA TELHA CERÂMICA CAPA-CANAL, INCLUSO TRANSPORTE VERTICAL, EXCLUSIVE PINTURA. AF_10/2025</t>
  </si>
  <si>
    <t xml:space="preserve">TRAMA DE AÇO COMPOSTA POR RIPAS E CAIBROS PARA TELHADOS DE ATÉ 2 ÁGUAS PARA TELHA DE ENCAIXE DE CERÂMICA OU DE CONCRETO, INCLUSO TRANSPORTE VERTICAL, EXCLUSIVE PINTURA. AF_10/2025</t>
  </si>
  <si>
    <t xml:space="preserve">TRAMA DE AÇO COMPOSTA POR RIPAS E CAIBROS PARA TELHADOS DE MAIS DE 2 ÁGUAS PARA TELHA CERÂMICA CAPA-CANAL, INCLUSO TRANSPORTE VERTICAL, EXCLUSIVE PINTURA. AF_10/2025</t>
  </si>
  <si>
    <t xml:space="preserve">TRAMA DE AÇO COMPOSTA POR RIPAS E CAIBROS PARA TELHADOS DE MAIS DE 2 ÁGUAS PARA TELHA DE ENCAIXE DE CERÂMICA OU DE CONCRETO, INCLUSO TRANSPORTE VERTICAL, EXCLUSIVE PINTURA. AF_10/2025</t>
  </si>
  <si>
    <t xml:space="preserve">TRAMA DE AÇO COMPOSTA POR RIPAS PARA TELHADOS DE ATÉ 2 ÁGUAS PARA TELHA CERÂMICA CAPA-CANAL, INCLUSO TRANSPORTE VERTICAL, EXCLUSIVE PINTURA. AF_10/2025</t>
  </si>
  <si>
    <t xml:space="preserve">TRAMA DE AÇO COMPOSTA POR RIPAS PARA TELHADOS DE ATÉ 2 ÁGUAS PARA TELHA DE ENCAIXE DE CERÂMICA OU DE CONCRETO, INCLUSO TRANSPORTE VERTICAL, EXCLUSIVE PINTURA. AF_10/2025</t>
  </si>
  <si>
    <t xml:space="preserve">TRAMA DE AÇO COMPOSTA POR RIPAS PARA TELHADOS DE MAIS DE 2 ÁGUAS PARA TELHA CERÂMICA CAPA-CANAL, INCLUSO TRANSPORTE VERTICAL, EXCLUSIVE PINTURA. AF_10/2025</t>
  </si>
  <si>
    <t xml:space="preserve">TRAMA DE AÇO COMPOSTA POR RIPAS PARA TELHADOS DE MAIS DE 2 ÁGUAS PARA TELHA DE ENCAIXE DE CERÂMICA OU DE CONCRETO, INCLUSO TRANSPORTE VERTICAL, EXCLUSIVE PINTURA. AF_10/2025</t>
  </si>
  <si>
    <t xml:space="preserve">TRAMA DE AÇO COMPOSTA POR RIPAS, CAIBROS E TERÇAS PARA TELHADOS DE ATÉ 2 ÁGUAS PARA TELHA CERÂMICA CAPA-CANAL, INCLUSO TRANSPORTE VERTICAL, EXCLUSIVE PINTURA. AF_10/2025</t>
  </si>
  <si>
    <t xml:space="preserve">TRAMA DE AÇO COMPOSTA POR RIPAS, CAIBROS E TERÇAS PARA TELHADOS DE ATÉ 2 ÁGUAS PARA TELHA DE ENCAIXE DE CERÂMICA OU DE CONCRETO, INCLUSO TRANSPORTE VERTICAL, EXCLUSIVE PINTURA. AF_10/2025</t>
  </si>
  <si>
    <t xml:space="preserve">TRAMA DE AÇO COMPOSTA POR RIPAS, CAIBROS E TERÇAS PARA TELHADOS DE MAIS DE 2 ÁGUAS PARA TELHA CERÂMICA CAPA-CANAL, INCLUSO TRANSPORTE VERTICAL, EXCLUSIVE PINTURA. AF_10/2025</t>
  </si>
  <si>
    <t xml:space="preserve">TRAMA DE AÇO COMPOSTA POR RIPAS, CAIBROS E TERÇAS PARA TELHADOS DE MAIS DE 2 ÁGUAS PARA TELHA DE ENCAIXE DE CERÂMICA OU DE CONCRETO, INCLUSO TRANSPORTE VERTICAL, EXCLUSIVE PINTURA. AF_10/2025</t>
  </si>
  <si>
    <t xml:space="preserve">TRAMA DE AÇO COMPOSTA POR TERÇAS PARA TELHADOS DE ATÉ 2 ÁGUAS PARA TELHA ESTRUTURAL DE FIBROCIMENTO, INCLUSO TRANSPORTE VERTICAL, EXCLUSIVE PINTURA. AF_10/2025</t>
  </si>
  <si>
    <t xml:space="preserve">TRAMA DE AÇO COMPOSTA POR TERÇAS PARA TELHADOS DE ATÉ 2 ÁGUAS PARA TELHA ONDULADA DE FIBROCIMENTO, METÁLICA, PLÁSTICA OU TERMOACÚSTICA, INCLUSO TRANSPORTE VERTICAL (EM KG). EXCLUSIVE PINTURA. AF_10/2025_PS</t>
  </si>
  <si>
    <t xml:space="preserve">TRAMA DE AÇO COMPOSTA POR TERÇAS PARA TELHADOS DE ATÉ 2 ÁGUAS PARA TELHA ONDULADA DE FIBROCIMENTO, METÁLICA, PLÁSTICA OU TERMOACÚSTICA, INCLUSO TRANSPORTE VERTICAL, EXCLUSIVE PINTURA. AF_10/2025_PS</t>
  </si>
  <si>
    <t xml:space="preserve">TRAMA DE MADEIRA COMPOSTA POR RIPAS, CAIBROS E TERÇAS PARA TELHADOS DE ATÉ 2 ÁGUAS PARA TELHA CERÂMICA OU DE CONCRETO, INCLUSO TRANSPORTE VERTICAL. AF_10/2025</t>
  </si>
  <si>
    <t xml:space="preserve">TRAMA DE MADEIRA COMPOSTA POR RIPAS, CAIBROS E TERÇAS PARA TELHADOS DE MAIS QUE 2 ÁGUAS PARA TELHA CERÂMICA OU DE CONCRETO, INCLUSO TRANSPORTE VERTICAL. AF_10/2025</t>
  </si>
  <si>
    <t xml:space="preserve">TRAMA DE MADEIRA COMPOSTA POR TERÇAS PARA TELHADOS DE ATÉ 2 ÁGUAS PARA TELHA ESTRUTURAL DE FIBROCIMENTO, INCLUSO TRANSPORTE VERTICAL. AF_10/2025</t>
  </si>
  <si>
    <t xml:space="preserve">TRAMA DE MADEIRA COMPOSTA POR TERÇAS PARA TELHADOS DE ATÉ 2 ÁGUAS PARA TELHA ONDULADA DE FIBROCIMENTO, METÁLICA, PLÁSTICA OU TERMOACÚSTICA, INCLUSO TRANSPORTE VERTICAL. AF_10/2025</t>
  </si>
  <si>
    <t xml:space="preserve">Estruturas Pré-Fabricadas e Pré-Moldadas</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</si>
  <si>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</si>
  <si>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</si>
  <si>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</si>
  <si>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</si>
  <si>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</si>
  <si>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</si>
  <si>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</si>
  <si>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</si>
  <si>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</si>
  <si>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</si>
  <si>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</si>
  <si>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</si>
  <si>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</si>
  <si>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</si>
  <si>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</si>
  <si>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</si>
  <si>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</si>
  <si>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</si>
  <si>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Estruturas de Contenção - Estacas, Paredes Diafragma e Mureta Guia</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</si>
  <si>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</si>
  <si>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</si>
  <si>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</si>
  <si>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</si>
  <si>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</si>
  <si>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</si>
  <si>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</si>
  <si>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</si>
  <si>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</si>
  <si>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</si>
  <si>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</si>
  <si>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</si>
  <si>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Estruturas de Contenção - Perfis Pranchados, Cortinas e Muros de Arrimo</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</si>
  <si>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</si>
  <si>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</si>
  <si>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</si>
  <si>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</si>
  <si>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</si>
  <si>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</si>
  <si>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</si>
  <si>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</si>
  <si>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</si>
  <si>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</si>
  <si>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</si>
  <si>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</si>
  <si>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</si>
  <si>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</si>
  <si>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</si>
  <si>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</si>
  <si>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</si>
  <si>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</si>
  <si>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</si>
  <si>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</si>
  <si>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Estruturas de Madeira</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</si>
  <si>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</si>
  <si>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</si>
  <si>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</si>
  <si>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</si>
  <si>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</si>
  <si>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</si>
  <si>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</si>
  <si>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</si>
  <si>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</si>
  <si>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</si>
  <si>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</si>
  <si>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</si>
  <si>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</si>
  <si>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</si>
  <si>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</si>
  <si>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</si>
  <si>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</si>
  <si>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</si>
  <si>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</si>
  <si>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</si>
  <si>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</si>
  <si>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</si>
  <si>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</si>
  <si>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</si>
  <si>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</si>
  <si>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</si>
  <si>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</si>
  <si>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</si>
  <si>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</si>
  <si>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</si>
  <si>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</si>
  <si>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</si>
  <si>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</si>
  <si>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</si>
  <si>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</si>
  <si>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</si>
  <si>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</si>
  <si>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</si>
  <si>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</si>
  <si>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</si>
  <si>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</si>
  <si>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</si>
  <si>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</si>
  <si>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</si>
  <si>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</si>
  <si>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</si>
  <si>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</si>
  <si>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</si>
  <si>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</si>
  <si>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</si>
  <si>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</si>
  <si>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</si>
  <si>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</si>
  <si>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</si>
  <si>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</si>
  <si>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</si>
  <si>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</si>
  <si>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</si>
  <si>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</si>
  <si>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</si>
  <si>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</si>
  <si>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</si>
  <si>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</si>
  <si>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</si>
  <si>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</si>
  <si>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</si>
  <si>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</si>
  <si>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</si>
  <si>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</si>
  <si>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Tirantes</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</si>
  <si>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</si>
  <si>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</si>
  <si>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</si>
  <si>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</si>
  <si>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</si>
  <si>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</si>
  <si>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</si>
  <si>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</si>
  <si>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</si>
  <si>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</si>
  <si>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</si>
  <si>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</si>
  <si>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</si>
  <si>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</si>
  <si>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</si>
  <si>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</si>
  <si>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</si>
  <si>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</si>
  <si>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</si>
  <si>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</si>
  <si>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</si>
  <si>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</si>
  <si>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</si>
  <si>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</si>
  <si>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</si>
  <si>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</si>
  <si>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</si>
  <si>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</si>
  <si>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</si>
  <si>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</si>
  <si>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</si>
  <si>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</si>
  <si>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</si>
  <si>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</si>
  <si>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</si>
  <si>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</si>
  <si>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</si>
  <si>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</si>
  <si>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</si>
  <si>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</si>
  <si>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</si>
  <si>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</si>
  <si>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</si>
  <si>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</si>
  <si>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</si>
  <si>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</si>
  <si>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</si>
  <si>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</si>
  <si>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</si>
  <si>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</si>
  <si>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</si>
  <si>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</si>
  <si>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</si>
  <si>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Fachadas com Placas Cerâmicas e Granito - Insertadas</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</si>
  <si>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</si>
  <si>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</si>
  <si>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</si>
  <si>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</si>
  <si>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</si>
  <si>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</si>
  <si>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Forros</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</si>
  <si>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</si>
  <si>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</si>
  <si>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</si>
  <si>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</si>
  <si>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</si>
  <si>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</si>
  <si>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</si>
  <si>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AF_08/2023_PS</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</si>
  <si>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</si>
  <si>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</si>
  <si>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</si>
  <si>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</si>
  <si>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</si>
  <si>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</si>
  <si>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</si>
  <si>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</si>
  <si>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</si>
  <si>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Fossas e Sumidouros</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</si>
  <si>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</si>
  <si>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</si>
  <si>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</si>
  <si>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</si>
  <si>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</si>
  <si>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</si>
  <si>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</si>
  <si>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</si>
  <si>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</si>
  <si>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</si>
  <si>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</si>
  <si>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</si>
  <si>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</si>
  <si>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</si>
  <si>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</si>
  <si>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</si>
  <si>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</si>
  <si>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</si>
  <si>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</si>
  <si>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</si>
  <si>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</si>
  <si>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</si>
  <si>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</si>
  <si>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</si>
  <si>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</si>
  <si>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</si>
  <si>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</si>
  <si>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</si>
  <si>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</si>
  <si>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</si>
  <si>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</si>
  <si>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</si>
  <si>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</si>
  <si>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</si>
  <si>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</si>
  <si>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</si>
  <si>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</si>
  <si>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</si>
  <si>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</si>
  <si>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</si>
  <si>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</si>
  <si>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</si>
  <si>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</si>
  <si>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</si>
  <si>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</si>
  <si>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</si>
  <si>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</si>
  <si>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</si>
  <si>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</si>
  <si>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Fundações Rasas (Blocos, Sapatas, Vigas Baldrame)</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</si>
  <si>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</si>
  <si>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</si>
  <si>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</si>
  <si>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</si>
  <si>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</si>
  <si>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</si>
  <si>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</si>
  <si>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</si>
  <si>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</si>
  <si>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</si>
  <si>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</si>
  <si>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</si>
  <si>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</si>
  <si>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</si>
  <si>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</si>
  <si>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</si>
  <si>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</si>
  <si>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</si>
  <si>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</si>
  <si>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</si>
  <si>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</si>
  <si>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</si>
  <si>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</si>
  <si>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</si>
  <si>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</si>
  <si>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</si>
  <si>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</si>
  <si>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</si>
  <si>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</si>
  <si>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</si>
  <si>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</si>
  <si>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</si>
  <si>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</si>
  <si>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</si>
  <si>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</si>
  <si>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</si>
  <si>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</si>
  <si>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</si>
  <si>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</si>
  <si>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</si>
  <si>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</si>
  <si>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</si>
  <si>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</si>
  <si>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</si>
  <si>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</si>
  <si>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</si>
  <si>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Fôrmas Curvas para Paredes de Reservatórios de Concreto</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</si>
  <si>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</si>
  <si>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</si>
  <si>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</si>
  <si>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</si>
  <si>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Fôrmas para Estruturas de Concreto Armado</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</si>
  <si>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</si>
  <si>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</si>
  <si>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</si>
  <si>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</si>
  <si>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</si>
  <si>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</si>
  <si>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</si>
  <si>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</si>
  <si>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</si>
  <si>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</si>
  <si>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</si>
  <si>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</si>
  <si>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</si>
  <si>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</si>
  <si>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</si>
  <si>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</si>
  <si>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</si>
  <si>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</si>
  <si>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</si>
  <si>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</si>
  <si>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</si>
  <si>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</si>
  <si>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</si>
  <si>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</si>
  <si>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</si>
  <si>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</si>
  <si>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</si>
  <si>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</si>
  <si>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</si>
  <si>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</si>
  <si>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</si>
  <si>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</si>
  <si>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</si>
  <si>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</si>
  <si>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</si>
  <si>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</si>
  <si>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</si>
  <si>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</si>
  <si>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</si>
  <si>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</si>
  <si>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</si>
  <si>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</si>
  <si>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</si>
  <si>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</si>
  <si>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</si>
  <si>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</si>
  <si>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</si>
  <si>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</si>
  <si>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</si>
  <si>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</si>
  <si>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</si>
  <si>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</si>
  <si>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</si>
  <si>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</si>
  <si>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</si>
  <si>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</si>
  <si>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</si>
  <si>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</si>
  <si>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</si>
  <si>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</si>
  <si>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</si>
  <si>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</si>
  <si>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</si>
  <si>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</si>
  <si>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</si>
  <si>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</si>
  <si>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</si>
  <si>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</si>
  <si>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</si>
  <si>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</si>
  <si>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</si>
  <si>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</si>
  <si>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</si>
  <si>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</si>
  <si>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</si>
  <si>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</si>
  <si>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</si>
  <si>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</si>
  <si>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</si>
  <si>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</si>
  <si>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</si>
  <si>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</si>
  <si>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</si>
  <si>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</si>
  <si>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</si>
  <si>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</si>
  <si>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</si>
  <si>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</si>
  <si>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</si>
  <si>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</si>
  <si>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</si>
  <si>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</si>
  <si>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</si>
  <si>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</si>
  <si>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</si>
  <si>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</si>
  <si>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</si>
  <si>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</si>
  <si>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</si>
  <si>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</si>
  <si>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</si>
  <si>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Fôrmas para Pilares Circulares</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</si>
  <si>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</si>
  <si>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</si>
  <si>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</si>
  <si>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</si>
  <si>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</si>
  <si>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</si>
  <si>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</si>
  <si>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</si>
  <si>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</si>
  <si>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</si>
  <si>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Gabiões - Execução de Muro e Proteção Superficial</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</si>
  <si>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</si>
  <si>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</si>
  <si>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</si>
  <si>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</si>
  <si>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</si>
  <si>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</si>
  <si>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</si>
  <si>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</si>
  <si>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</si>
  <si>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</si>
  <si>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</si>
  <si>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</si>
  <si>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</si>
  <si>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</si>
  <si>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</si>
  <si>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</si>
  <si>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Galerias com Aduelas de Concreto</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</si>
  <si>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</si>
  <si>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</si>
  <si>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</si>
  <si>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</si>
  <si>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</si>
  <si>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</si>
  <si>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</si>
  <si>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</si>
  <si>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</si>
  <si>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</si>
  <si>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</si>
  <si>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</si>
  <si>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</si>
  <si>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</si>
  <si>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</si>
  <si>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</si>
  <si>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</si>
  <si>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</si>
  <si>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</si>
  <si>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</si>
  <si>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</si>
  <si>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</si>
  <si>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</si>
  <si>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</si>
  <si>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</si>
  <si>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Geodrenos Verticais</t>
  </si>
  <si>
    <t xml:space="preserve">EXECUÇÃO DE GEODRENO VERTICAL, PROFUNDIDADE MAIOR QUE 10 M E MENOR OU IGUAL A 30 M. AF_01/2026</t>
  </si>
  <si>
    <t xml:space="preserve">EXECUÇÃO DE GEODRENO VERTICAL, PROFUNDIDADE MENOR OU IGUAL A 10 M. AF_01/2026</t>
  </si>
  <si>
    <t xml:space="preserve">EXECUÇÃO DE PRÉ-FURO PARA GEODRENO VERTICAL. AF_01/2026</t>
  </si>
  <si>
    <t>Gesso</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</si>
  <si>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</si>
  <si>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</si>
  <si>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</si>
  <si>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</si>
  <si>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</si>
  <si>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</si>
  <si>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</si>
  <si>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</si>
  <si>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</si>
  <si>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</si>
  <si>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</si>
  <si>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</si>
  <si>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</si>
  <si>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</si>
  <si>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</si>
  <si>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</si>
  <si>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</si>
  <si>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</si>
  <si>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</si>
  <si>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</si>
  <si>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</si>
  <si>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</si>
  <si>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</si>
  <si>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</si>
  <si>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Graute e Armação</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</si>
  <si>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</si>
  <si>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</si>
  <si>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</si>
  <si>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</si>
  <si>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</si>
  <si>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</si>
  <si>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</si>
  <si>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</si>
  <si>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</si>
  <si>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</si>
  <si>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</si>
  <si>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</si>
  <si>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</si>
  <si>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</si>
  <si>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</si>
  <si>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</si>
  <si>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</si>
  <si>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</si>
  <si>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</si>
  <si>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</si>
  <si>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</si>
  <si>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Guarda-Corpo, Corrimão e Grade para Esquadrias</t>
  </si>
  <si>
    <t xml:space="preserve">CORRIMÃO DUPLO CENTRAL FIXADO NO PISO EM AÇO GALVANIZADO DE 1.1/2", MONTANTES TUBULARES 1.1/2" ESPAÇADOS DE 1,00M, FIXADO COM CHUMBADOR MECÂNICO. AF_10/2025</t>
  </si>
  <si>
    <t xml:space="preserve">CORRIMÃO DUPLO CENTRAL FIXADO NO PISO EM AÇO INOX DE 1.1/2", MONTANTES TUBULARES 1.1/2" ESPAÇADOS DE 1,00M, FIXADO COM CHUMBADOR MECÂNICO. AF_10/2025</t>
  </si>
  <si>
    <t xml:space="preserve">CORRIMÃO DUPLO FIXADO EM PAREDE, DIÂMETRO EXTERNO = 1 1/2", EM ALUMÍNIO. AF_10/2025</t>
  </si>
  <si>
    <t xml:space="preserve">CORRIMÃO DUPLO FIXADO EM PAREDE, DIÂMETRO EXTERNO = 1 1/2", EM AÇO GALVANIZADO. AF_10/2025</t>
  </si>
  <si>
    <t xml:space="preserve">CORRIMÃO DUPLO FIXADO EM PAREDE, DIÂMETRO EXTERNO = 1 1/2", EM AÇO INOX. AF_10/2025</t>
  </si>
  <si>
    <t xml:space="preserve">CORRIMÃO DUPLO FIXADO NO PISO EM AÇO GALVANIZADO DE 1.1/2", MONTANTES TUBULARES 1.1/2" ESPAÇADOS DE 1,00M, FIXADO COM CHUMBADOR MECÂNICO. AF_10/2025</t>
  </si>
  <si>
    <t xml:space="preserve">CORRIMÃO DUPLO FIXADO NO PISO EM AÇO INOX DE 1.1/2", MONTANTES TUBULARES 1.1/2" ESPAÇADOS DE 1,00M, FIXADO COM CHUMBADOR MECÂNICO. AF_10/2025</t>
  </si>
  <si>
    <t xml:space="preserve">CORRIMÃO SIMPLES FIXADO EM PAREDE, DIÂMETRO EXTERNO = 1 1/2", EM ALUMÍNIO. AF_10/2025_PS</t>
  </si>
  <si>
    <t xml:space="preserve">CORRIMÃO SIMPLES FIXADO EM PAREDE, DIÂMETRO EXTERNO = 1 1/2", EM AÇO GALVANIZADO. AF_10/2025_PS</t>
  </si>
  <si>
    <t xml:space="preserve">CORRIMÃO SIMPLES FIXADO EM PAREDE, DIÂMETRO EXTERNO = 1 1/2", EM AÇO INOX. AF_10/2025</t>
  </si>
  <si>
    <t xml:space="preserve">CORRIMÃO SIMPLES FIXADO NO PISO EM AÇO GALVANIZADO DE 1.1/2", MONTANTES TUBULARES 1.1/2" ESPAÇADOS DE 1,00M, FIXADO COM CHUMBADOR MECÂNICO. AF_10/2025</t>
  </si>
  <si>
    <t xml:space="preserve">CORRIMÃO SIMPLES FIXADO NO PISO EM AÇO INOX DE 1.1/2", MONTANTES TUBULARES 1.1/2" ESPAÇADOS DE 1,00M, FIXADO COM CHUMBADOR MECÂNICO. AF_10/2025</t>
  </si>
  <si>
    <t xml:space="preserve">GRADIL EM ALUMÍNIO FIXADO EM VÃOS DE JANELAS, FORMADO POR TUBOS DE 3/4". AF_10/2025</t>
  </si>
  <si>
    <t xml:space="preserve">GRADIL EM AÇO FIXADO EM VÃOS DE JANELAS, FORMADO POR BARRAS CHATAS DE 25X4,8 MM. AF_10/2025</t>
  </si>
  <si>
    <t xml:space="preserve">GUARDA-CORPO DE AÇO GALVANIZADO 0,92 M, DUPLO CORRIMÃO, MONTANTES TUBULARES DE 1.1/4" ESPAÇADOS DE 1,20M, TRAVESSA SUPERIOR E CORRIMÃO DE 1.1/2", GRADIL FORMADO POR TUBOS HORIZONTAIS DE 3/4", FIXADO COM CHUMBADORES MECÂNICOS. AF_10/2025</t>
  </si>
  <si>
    <t xml:space="preserve">GUARDA-CORPO DE AÇO GALVANIZADO COMPLEMENTAR À ALVENARIA, 0,65 M DE ALTURA, MONTANTES TUBULARES DE 1 1/4" ESPAÇADOS DE 1,80 M, TRAVESSA SUPERIOR DE 1 1/2", GRADIL FORMADO POR TUBOS HORIZONTAIS DE 1" E VERTICAIS DE 3/4", FIXADO COM ADESIVO ESTRUTURAL EPÓXI. AF_10/2025</t>
  </si>
  <si>
    <t xml:space="preserve">GUARDA-CORPO DE AÇO GALVANIZADO COMPLEMENTAR À ALVENARIA, 0,65 M DE ALTURA, MONTANTES TUBULARES DE 1 1/4" ESPAÇADOS DE 1,80 M, TRAVESSA SUPERIOR DE 1 1/2", GRADIL FORMADO POR TUBOS HORIZONTAIS DE 3/4", FIXADO COM ADESIVO ESTRUTURAL EPÓXI. AF_10/2025</t>
  </si>
  <si>
    <t xml:space="preserve">GUARDA-CORPO DE AÇO GALVANIZADO DE 1,10M, DUPLO CORRIMÃO, MONTANTES TUBULARES DE 1.1/2" ESPAÇADOS DE 1,20M, TRAVESSA SUPERIOR DE 2", GRADIL DE BARRAS CHATAS DE 32X4,8MM, FIXADO COM ADESIVO ESTRUTURAL EPOXI. AF_10/2025</t>
  </si>
  <si>
    <t xml:space="preserve">GUARDA-CORPO DE AÇO GALVANIZADO DE 1,10M, DUPLO CORRIMÃO, MONTANTES TUBULARES DE 1.1/4" ESPAÇADOS DE 1,20M, TRAVESSA SUPERIOR DE 1.1/2", GRADIL EM TUBOS HORIZONTAIS DE 1" E VERTICAIS DE 3/4", FIXADO COM ADESIVO ESTRUTURAL EPOXI. AF_10/2025</t>
  </si>
  <si>
    <t xml:space="preserve">GUARDA-CORPO DE AÇO GALVANIZADO DE 1,10M, DUPLO CORRIMÃO, MONTANTES TUBULARES DE 100X50MM ESPAÇADOS DE 1,20M, TRAVESSA SUPERIOR DE 3", GRADIL EM CANTONEIRA 51X51X4,8 MM E BARRAS CHATAS NA VERTICAL DE 32X4,8 MM, FIXADO COM ADESIVO EPOXI. AF_10/2025</t>
  </si>
  <si>
    <t xml:space="preserve">GUARDA-CORPO DE AÇO GALVANIZADO DE 1,10M, DUPLO CORRIMÃO, MONTANTES TUBULARES DE 30X30 MM ESPAÇADOS DE 1,20M, TRAVESSA SUPERIOR DE 1.1/2", GRADIL EM TUBOS HORIZONTAIS DE 25X25MM E VERTICAIS DE 20X20MM, FIXADO COM ADESIVO ESTRUTURAL EPOXI. AF_10/2025</t>
  </si>
  <si>
    <t xml:space="preserve">GUARDA-CORPO DE AÇO GALVANIZADO DE 1,10M, MONTANTES TUBULARES DE 1.1/2" ESPAÇADOS 1,20M, TRAVESSA SUPERIOR DE 2", GRADIL FORMADO POR BARRAS CHATAS DE 32X4,8MM, FIXADO COM ADESIVO ESTRUTURAL EPOXI. AF_10/2025</t>
  </si>
  <si>
    <t xml:space="preserve">GUARDA-CORPO DE AÇO GALVANIZADO DE 1,10M, MONTANTES TUBULARES DE 1.1/4" ESPAÇADOS 1,20M, TRAVESSA SUPERIOR DE 1.1/2", GRADIL FORMADO POR TUBOS HORIZONTAIS DE 1" E VERTICAIS DE 3/4", FIXADO COM ADESIVO ESTRUTURAL EPOXI. AF_10/2025_PS</t>
  </si>
  <si>
    <t xml:space="preserve">GUARDA-CORPO DE AÇO GALVANIZADO DE 1,10M, MONTANTES TUBULARES DE 100X50MM ESPAÇADOS DE 1,20M, TRAVESSA SUPERIOR DE 3", GRADIL EM CANTONEIRA 51X51X4,8 MM E BARRAS CHATAS NA VERTICAL DE 32X4,8 MM, FIXADO COM ADESIVO ESTRUTURAL EPOXI. AF_10/2025</t>
  </si>
  <si>
    <t xml:space="preserve">GUARDA-CORPO DE AÇO GALVANIZADO DE 1,10M, MONTANTES TUBULARES DE 30X30 MM ESPAÇADOS 1,20M, TRAVESSA SUPERIOR DE 1.1/2", GRADIL DE TUBOS HORIZONTAIS DE 25X25MM E VERTICAIS DE 20X20MM, FIXADO COM ADESIVO ESTRUTURAL EPOXI. AF_10/2025</t>
  </si>
  <si>
    <t xml:space="preserve">GUARDA-CORPO DE AÇO INOX DE 0,92 M, DUPLO CORRIMÃO, MONTANTES TUBULARES DE 1.1/4" ESPAÇADOS DE 1,20M, TRAVESSA SUPERIOR E CORRIMÃO DE 1.1/2", GRADIL FORMADO POR TUBOS HORIZONTAIS DE 3/4", FIXADO COM CHUMBADORES MECÂNICOS. AF_10/2025</t>
  </si>
  <si>
    <t xml:space="preserve">GUARDA-CORPO DE VIDRO LAMINADO 8 MM PARA ESCADAS, FIXADO NA LATERAL DOS DEGRAUS COM CHUMBADOR MECÂNICO. AF_10/2025</t>
  </si>
  <si>
    <t xml:space="preserve">GUARDA-CORPO EM AÇO INOX DE 1,10 M, COM MONTANTES TUBULARES DE 1 1/4" ESPAÇADOS DE 1,20 M, TRAVESSA SUPERIOR DE 1 1/2", PREENCHIMENTO EM VIDRO LAMINADO DE 8 MM (4+4), FIXADO COM CHUMBADOR MECÂNICO. AF_10/2025</t>
  </si>
  <si>
    <t xml:space="preserve">GUARDA-CORPO PANORÂMICO DE 1,10M, MONTANTES EM ALUMÍNIO DE 90X45 MM ESPAÇADOS DE 1,20M, TRAVESSA SUPERIOR EM ALUMÍNIO DE 120X60 MM E VIDRO LAMINADO 8 MM, FIXADO COM ADESIVO ESTRUTURAL EPOXI. AF_10/2025</t>
  </si>
  <si>
    <t xml:space="preserve">Guias e sarjetas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</si>
  <si>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</si>
  <si>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</si>
  <si>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</si>
  <si>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</si>
  <si>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</si>
  <si>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</si>
  <si>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</si>
  <si>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</si>
  <si>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</si>
  <si>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</si>
  <si>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</si>
  <si>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</si>
  <si>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</si>
  <si>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</si>
  <si>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</si>
  <si>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</si>
  <si>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</si>
  <si>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</si>
  <si>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</si>
  <si>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</si>
  <si>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</si>
  <si>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</si>
  <si>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</si>
  <si>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</si>
  <si>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</si>
  <si>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</si>
  <si>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</si>
  <si>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</si>
  <si>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</si>
  <si>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</si>
  <si>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</si>
  <si>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</si>
  <si>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</si>
  <si>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</si>
  <si>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Iluminação Predial e Monitoramento</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</si>
  <si>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</si>
  <si>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</si>
  <si>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</si>
  <si>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</si>
  <si>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</si>
  <si>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</si>
  <si>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</si>
  <si>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</si>
  <si>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</si>
  <si>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</si>
  <si>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</si>
  <si>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</si>
  <si>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</si>
  <si>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</si>
  <si>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</si>
  <si>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</si>
  <si>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</si>
  <si>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</si>
  <si>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</si>
  <si>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</si>
  <si>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</si>
  <si>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</si>
  <si>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</si>
  <si>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</si>
  <si>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</si>
  <si>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</si>
  <si>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</si>
  <si>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</si>
  <si>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</si>
  <si>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</si>
  <si>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</si>
  <si>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</si>
  <si>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</si>
  <si>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</si>
  <si>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</si>
  <si>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</si>
  <si>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</si>
  <si>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</si>
  <si>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</si>
  <si>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</si>
  <si>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</si>
  <si>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</si>
  <si>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</si>
  <si>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</si>
  <si>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</si>
  <si>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</si>
  <si>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Proteção Mecânica e Tratamento de Junta</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</si>
  <si>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</si>
  <si>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</si>
  <si>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</si>
  <si>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</si>
  <si>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</si>
  <si>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</si>
  <si>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</si>
  <si>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</si>
  <si>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</si>
  <si>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</si>
  <si>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</si>
  <si>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</si>
  <si>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</si>
  <si>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</si>
  <si>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</si>
  <si>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</si>
  <si>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</si>
  <si>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</si>
  <si>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</si>
  <si>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</si>
  <si>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</si>
  <si>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</si>
  <si>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</si>
  <si>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</si>
  <si>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</si>
  <si>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VÉU DE POLIÉSTER.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</si>
  <si>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</si>
  <si>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</si>
  <si>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VÉU DE POLIÉSTER. AF_09/2023</t>
  </si>
  <si>
    <t xml:space="preserve">Instalações Elétricas - Eletrodutos Embutidos, Cabos, Caixas, Tomadas e Interruptores</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</si>
  <si>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</si>
  <si>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</si>
  <si>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</si>
  <si>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</si>
  <si>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</si>
  <si>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</si>
  <si>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</si>
  <si>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</si>
  <si>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</si>
  <si>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</si>
  <si>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</si>
  <si>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</si>
  <si>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</si>
  <si>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</si>
  <si>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</si>
  <si>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</si>
  <si>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</si>
  <si>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</si>
  <si>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</si>
  <si>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</si>
  <si>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</si>
  <si>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</si>
  <si>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</si>
  <si>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</si>
  <si>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</si>
  <si>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</si>
  <si>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</si>
  <si>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</si>
  <si>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</si>
  <si>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</si>
  <si>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</si>
  <si>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</si>
  <si>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</si>
  <si>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</si>
  <si>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</si>
  <si>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</si>
  <si>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</si>
  <si>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</si>
  <si>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</si>
  <si>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</si>
  <si>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</si>
  <si>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</si>
  <si>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</si>
  <si>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</si>
  <si>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</si>
  <si>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</si>
  <si>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</si>
  <si>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</si>
  <si>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</si>
  <si>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</si>
  <si>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</si>
  <si>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</si>
  <si>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</si>
  <si>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</si>
  <si>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</si>
  <si>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</si>
  <si>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</si>
  <si>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</si>
  <si>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</si>
  <si>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</si>
  <si>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</si>
  <si>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</si>
  <si>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</si>
  <si>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</si>
  <si>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</si>
  <si>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</si>
  <si>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</si>
  <si>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</si>
  <si>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</si>
  <si>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</si>
  <si>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</si>
  <si>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</si>
  <si>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</si>
  <si>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</si>
  <si>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</si>
  <si>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</si>
  <si>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</si>
  <si>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</si>
  <si>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</si>
  <si>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</si>
  <si>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</si>
  <si>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</si>
  <si>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</si>
  <si>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</si>
  <si>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</si>
  <si>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</si>
  <si>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</si>
  <si>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</si>
  <si>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</si>
  <si>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</si>
  <si>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</si>
  <si>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</si>
  <si>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</si>
  <si>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</si>
  <si>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</si>
  <si>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</si>
  <si>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</si>
  <si>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</si>
  <si>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</si>
  <si>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</si>
  <si>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</si>
  <si>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</si>
  <si>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</si>
  <si>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</si>
  <si>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</si>
  <si>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</si>
  <si>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</si>
  <si>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</si>
  <si>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</si>
  <si>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</si>
  <si>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</si>
  <si>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</si>
  <si>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</si>
  <si>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</si>
  <si>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</si>
  <si>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</si>
  <si>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</si>
  <si>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</si>
  <si>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</si>
  <si>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</si>
  <si>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</si>
  <si>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</si>
  <si>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</si>
  <si>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</si>
  <si>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</si>
  <si>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</si>
  <si>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</si>
  <si>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</si>
  <si>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</si>
  <si>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</si>
  <si>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</si>
  <si>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</si>
  <si>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</si>
  <si>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</si>
  <si>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</si>
  <si>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</si>
  <si>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</si>
  <si>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</si>
  <si>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</si>
  <si>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</si>
  <si>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</si>
  <si>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</si>
  <si>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</si>
  <si>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</si>
  <si>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</si>
  <si>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</si>
  <si>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</si>
  <si>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</si>
  <si>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</si>
  <si>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</si>
  <si>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</si>
  <si>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</si>
  <si>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</si>
  <si>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</si>
  <si>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</si>
  <si>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</si>
  <si>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</si>
  <si>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</si>
  <si>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</si>
  <si>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</si>
  <si>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</si>
  <si>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</si>
  <si>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</si>
  <si>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</si>
  <si>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</si>
  <si>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</si>
  <si>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</si>
  <si>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</si>
  <si>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</si>
  <si>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</si>
  <si>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</si>
  <si>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</si>
  <si>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</si>
  <si>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</si>
  <si>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</si>
  <si>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</si>
  <si>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</si>
  <si>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</si>
  <si>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</si>
  <si>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</si>
  <si>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</si>
  <si>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</si>
  <si>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</si>
  <si>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</si>
  <si>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</si>
  <si>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</si>
  <si>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</si>
  <si>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</si>
  <si>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</si>
  <si>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</si>
  <si>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</si>
  <si>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</si>
  <si>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</si>
  <si>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</si>
  <si>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</si>
  <si>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</si>
  <si>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</si>
  <si>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</si>
  <si>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</si>
  <si>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</si>
  <si>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</si>
  <si>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</si>
  <si>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Instalações Elétricas - Eletrodutos, Conexões e Conduletes Aparentes</t>
  </si>
  <si>
    <t xml:space="preserve">CONDULETE DE ALUMÍNIO, TIPO B, PARA ELETRODUTO DE AÇO GALVANIZADO DN 20 MM (3/4''), APARENTE - FORNECIMENTO E INSTALAÇÃO. AF_01/2026</t>
  </si>
  <si>
    <t xml:space="preserve">CONDULETE DE ALUMÍNIO, TIPO B, PARA ELETRODUTO DE AÇO GALVANIZADO DN 25 MM (1''), APARENTE - FORNECIMENTO E INSTALAÇÃO. AF_01/2026</t>
  </si>
  <si>
    <t xml:space="preserve">CONDULETE DE ALUMÍNIO, TIPO B, PARA ELETRODUTO DE AÇO GALVANIZADO DN 32 MM (1 1/4''), APARENTE - FORNECIMENTO E INSTALAÇÃO. AF_01/2026</t>
  </si>
  <si>
    <t xml:space="preserve">CONDULETE DE ALUMÍNIO, TIPO C, PARA ELETRODUTO DE AÇO GALVANIZADO DN 20 MM (3/4''), APARENTE - FORNECIMENTO E INSTALAÇÃO. AF_01/2026</t>
  </si>
  <si>
    <t xml:space="preserve">CONDULETE DE ALUMÍNIO, TIPO C, PARA ELETRODUTO DE AÇO GALVANIZADO DN 25 MM (1''), APARENTE - FORNECIMENTO E INSTALAÇÃO. AF_01/2026</t>
  </si>
  <si>
    <t xml:space="preserve">CONDULETE DE ALUMÍNIO, TIPO C, PARA ELETRODUTO DE AÇO GALVANIZADO DN 32 MM (1 1/4''), APARENTE - FORNECIMENTO E INSTALAÇÃO. AF_01/2026</t>
  </si>
  <si>
    <t xml:space="preserve">CONDULETE DE ALUMÍNIO, TIPO E, ELETRODUTO DE AÇO GALVANIZADO DN 25 MM (1''), APARENTE - FORNECIMENTO E INSTALAÇÃO. AF_01/2026</t>
  </si>
  <si>
    <t xml:space="preserve">CONDULETE DE ALUMÍNIO, TIPO E, PARA ELETRODUTO DE AÇO GALVANIZADO DN 20 MM (3/4''), APARENTE - FORNECIMENTO E INSTALAÇÃO. AF_01/2026</t>
  </si>
  <si>
    <t xml:space="preserve">CONDULETE DE ALUMÍNIO, TIPO E, PARA ELETRODUTO DE AÇO GALVANIZADO DN 32 MM (1 1/4''), APARENTE - FORNECIMENTO E INSTALAÇÃO. AF_01/2026</t>
  </si>
  <si>
    <t xml:space="preserve">CONDULETE DE ALUMÍNIO, TIPO LB, PARA ELETRODUTO DE AÇO GALVANIZADO DN 20 MM (3/4''), APARENTE - FORNECIMENTO E INSTALAÇÃO. AF_01/2026</t>
  </si>
  <si>
    <t xml:space="preserve">CONDULETE DE ALUMÍNIO, TIPO LB, PARA ELETRODUTO DE AÇO GALVANIZADO DN 25 MM (1''), APARENTE - FORNECIMENTO E INSTALAÇÃO. AF_01/2026</t>
  </si>
  <si>
    <t xml:space="preserve">CONDULETE DE ALUMÍNIO, TIPO LB, PARA ELETRODUTO DE AÇO GALVANIZADO DN 32 MM (1 1/4''), APARENTE - FORNECIMENTO E INSTALAÇÃO. AF_01/2026</t>
  </si>
  <si>
    <t xml:space="preserve">CONDULETE DE ALUMÍNIO, TIPO LL, PARA ELETRODUTO DE AÇO GALVANIZADO DN 20 MM (3/4''), APARENTE - FORNECIMENTO E INSTALAÇÃO. AF_01/2026</t>
  </si>
  <si>
    <t xml:space="preserve">CONDULETE DE ALUMÍNIO, TIPO LL, PARA ELETRODUTO DE AÇO GALVANIZADO DN 25 MM (1''), APARENTE - FORNECIMENTO E INSTALAÇÃO. AF_01/2026</t>
  </si>
  <si>
    <t xml:space="preserve">CONDULETE DE ALUMÍNIO, TIPO LL, PARA ELETRODUTO DE AÇO GALVANIZADO DN 32 MM (1 1/4''), APARENTE - FORNECIMENTO E INSTALAÇÃO. AF_01/2026</t>
  </si>
  <si>
    <t xml:space="preserve">CONDULETE DE ALUMÍNIO, TIPO LR, PARA ELETRODUTO DE AÇO GALVANIZADO DN 20 MM (3/4''), APARENTE - FORNECIMENTO E INSTALAÇÃO. AF_01/2026</t>
  </si>
  <si>
    <t xml:space="preserve">CONDULETE DE ALUMÍNIO, TIPO LR, PARA ELETRODUTO DE AÇO GALVANIZADO DN 25 MM (1''), APARENTE - FORNECIMENTO E INSTALAÇÃO. AF_01/2026</t>
  </si>
  <si>
    <t xml:space="preserve">CONDULETE DE ALUMÍNIO, TIPO LR, PARA ELETRODUTO DE AÇO GALVANIZADO DN 32 MM (1 1/4''), APARENTE - FORNECIMENTO E INSTALAÇÃO. AF_01/2026</t>
  </si>
  <si>
    <t xml:space="preserve">CONDULETE DE ALUMÍNIO, TIPO T, PARA ELETRODUTO DE AÇO GALVANIZADO DN 20 MM (3/4''), APARENTE - FORNECIMENTO E INSTALAÇÃO. AF_01/2026</t>
  </si>
  <si>
    <t xml:space="preserve">CONDULETE DE ALUMÍNIO, TIPO T, PARA ELETRODUTO DE AÇO GALVANIZADO DN 25 MM (1''), APARENTE - FORNECIMENTO E INSTALAÇÃO. AF_01/2026</t>
  </si>
  <si>
    <t xml:space="preserve">CONDULETE DE ALUMÍNIO, TIPO T, PARA ELETRODUTO DE AÇO GALVANIZADO DN 32 MM (1 1/4''), APARENTE - FORNECIMENTO E INSTALAÇÃO. AF_01/2026</t>
  </si>
  <si>
    <t xml:space="preserve">CONDULETE DE ALUMÍNIO, TIPO TB, PARA ELETRODUTO DE AÇO GALVANIZADO DN 20 MM (3/4''), APARENTE - FORNECIMENTO E INSTALAÇÃO. AF_01/2026</t>
  </si>
  <si>
    <t xml:space="preserve">CONDULETE DE ALUMÍNIO, TIPO TB, PARA ELETRODUTO DE AÇO GALVANIZADO DN 25 MM (1''), APARENTE - FORNECIMENTO E INSTALAÇÃO. AF_01/2026</t>
  </si>
  <si>
    <t xml:space="preserve">CONDULETE DE ALUMÍNIO, TIPO TB, PARA ELETRODUTO DE AÇO GALVANIZADO DN 32 MM (1 1/4''), APARENTE - FORNECIMENTO E INSTALAÇÃO. AF_01/2026</t>
  </si>
  <si>
    <t xml:space="preserve">CONDULETE DE ALUMÍNIO, TIPO X, PARA ELETRODUTO DE AÇO GALVANIZADO DN 20 MM (3/4''), APARENTE - FORNECIMENTO E INSTALAÇÃO. AF_01/2026</t>
  </si>
  <si>
    <t xml:space="preserve">CONDULETE DE ALUMÍNIO, TIPO X, PARA ELETRODUTO DE AÇO GALVANIZADO DN 25 MM (1''), APARENTE - FORNECIMENTO E INSTALAÇÃO. AF_01/2026</t>
  </si>
  <si>
    <t xml:space="preserve">CONDULETE DE ALUMÍNIO, TIPO X, PARA ELETRODUTO DE AÇO GALVANIZADO DN 32 MM (1 1/4''), APARENTE - FORNECIMENTO E INSTALAÇÃO. AF_01/2026</t>
  </si>
  <si>
    <t xml:space="preserve">CONDULETE DE PVC, TIPO B, PARA ELETRODUTO DE PVC SOLDÁVEL DN 20 MM (1/2''), APARENTE - FORNECIMENTO E INSTALAÇÃO. AF_01/2026</t>
  </si>
  <si>
    <t xml:space="preserve">CONDULETE DE PVC, TIPO B, PARA ELETRODUTO DE PVC SOLDÁVEL DN 25 MM (3/4''), APARENTE - FORNECIMENTO E INSTALAÇÃO. AF_01/2026</t>
  </si>
  <si>
    <t xml:space="preserve">CONDULETE DE PVC, TIPO B, PARA ELETRODUTO DE PVC SOLDÁVEL DN 32 MM (1''), APARENTE - FORNECIMENTO E INSTALAÇÃO. AF_01/2026</t>
  </si>
  <si>
    <t xml:space="preserve">CONDULETE DE PVC, TIPO C, PARA ELETRODUTO DE PVC SOLDÁVEL DN 20 MM (1/2''), APARENTE - FORNECIMENTO E INSTALAÇÃO. AF_01/2026</t>
  </si>
  <si>
    <t xml:space="preserve">CONDULETE DE PVC, TIPO C, PARA ELETRODUTO DE PVC SOLDÁVEL DN 25 MM (3/4''), APARENTE - FORNECIMENTO E INSTALAÇÃO. AF_01/2026</t>
  </si>
  <si>
    <t xml:space="preserve">CONDULETE DE PVC, TIPO C, PARA ELETRODUTO DE PVC SOLDÁVEL DN 32 MM (1''), APARENTE - FORNECIMENTO E INSTALAÇÃO. AF_01/2026</t>
  </si>
  <si>
    <t xml:space="preserve">CONDULETE DE PVC, TIPO E, PARA ELETRODUTO DE PVC SOLDÁVEL DN 20 MM (1/2''), APARENTE - FORNECIMENTO E INSTALAÇÃO. AF_01/2026</t>
  </si>
  <si>
    <t xml:space="preserve">CONDULETE DE PVC, TIPO E, PARA ELETRODUTO DE PVC SOLDÁVEL DN 25 MM (3/4''), APARENTE - FORNECIMENTO E INSTALAÇÃO. AF_01/2026</t>
  </si>
  <si>
    <t xml:space="preserve">CONDULETE DE PVC, TIPO E, PARA ELETRODUTO DE PVC SOLDÁVEL DN 32 MM (1''), APARENTE - FORNECIMENTO E INSTALAÇÃO. AF_01/2026</t>
  </si>
  <si>
    <t xml:space="preserve">CONDULETE DE PVC, TIPO LB, PARA ELETRODUTO DE PVC SOLDÁVEL DN 20 MM (1/2''), APARENTE - FORNECIMENTO E INSTALAÇÃO. AF_01/2026</t>
  </si>
  <si>
    <t xml:space="preserve">CONDULETE DE PVC, TIPO LB, PARA ELETRODUTO DE PVC SOLDÁVEL DN 25 MM (3/4''), APARENTE - FORNECIMENTO E INSTALAÇÃO. AF_01/2026</t>
  </si>
  <si>
    <t xml:space="preserve">CONDULETE DE PVC, TIPO LB, PARA ELETRODUTO DE PVC SOLDÁVEL DN 32 MM (1''), APARENTE - FORNECIMENTO E INSTALAÇÃO. AF_01/2026</t>
  </si>
  <si>
    <t xml:space="preserve">CONDULETE DE PVC, TIPO LL, PARA ELETRODUTO DE PVC SOLDÁVEL DN 20 MM (1/2''), APARENTE - FORNECIMENTO E INSTALAÇÃO. AF_01/2026</t>
  </si>
  <si>
    <t xml:space="preserve">CONDULETE DE PVC, TIPO LL, PARA ELETRODUTO DE PVC SOLDÁVEL DN 25 MM (3/4''), APARENTE - FORNECIMENTO E INSTALAÇÃO. AF_01/2026</t>
  </si>
  <si>
    <t xml:space="preserve">CONDULETE DE PVC, TIPO LL, PARA ELETRODUTO DE PVC SOLDÁVEL DN 32 MM (1''), APARENTE - FORNECIMENTO E INSTALAÇÃO. AF_01/2026</t>
  </si>
  <si>
    <t xml:space="preserve">CONDULETE DE PVC, TIPO LR, PARA ELETRODUTO DE PVC SOLDÁVEL DN 20 MM (1/2''), APARENTE - FORNECIMENTO E INSTALAÇÃO. AF_01/2026</t>
  </si>
  <si>
    <t xml:space="preserve">CONDULETE DE PVC, TIPO LR, PARA ELETRODUTO DE PVC SOLDÁVEL DN 25 MM (3/4''), APARENTE - FORNECIMENTO E INSTALAÇÃO. AF_01/2026</t>
  </si>
  <si>
    <t xml:space="preserve">CONDULETE DE PVC, TIPO LR, PARA ELETRODUTO DE PVC SOLDÁVEL DN 32 MM (1''), APARENTE - FORNECIMENTO E INSTALAÇÃO. AF_01/2026</t>
  </si>
  <si>
    <t xml:space="preserve">CONDULETE DE PVC, TIPO T, PARA ELETRODUTO DE PVC SOLDÁVEL DN 25 MM (3/4''), APARENTE - FORNECIMENTO E INSTALAÇÃO. AF_01/2026</t>
  </si>
  <si>
    <t xml:space="preserve">CONDULETE DE PVC, TIPO T, PARA ELETRODUTO DE PVC SOLDÁVEL DN 32 MM (1''), APARENTE - FORNECIMENTO E INSTALAÇÃO. AF_01/2026</t>
  </si>
  <si>
    <t xml:space="preserve">CONDULETE DE PVC, TIPO TB, PARA ELETRODUTO DE PVC SOLDÁVEL DN 20 MM (1/2''), APARENTE - FORNECIMENTO E INSTALAÇÃO. AF_01/2026</t>
  </si>
  <si>
    <t xml:space="preserve">CONDULETE DE PVC, TIPO TB, PARA ELETRODUTO DE PVC SOLDÁVEL DN 25 MM (3/4''), APARENTE - FORNECIMENTO E INSTALAÇÃO. AF_01/2026</t>
  </si>
  <si>
    <t xml:space="preserve">CONDULETE DE PVC, TIPO TB, PARA ELETRODUTO DE PVC SOLDÁVEL DN 32 MM (1''), APARENTE - FORNECIMENTO E INSTALAÇÃO. AF_01/2026</t>
  </si>
  <si>
    <t xml:space="preserve">CONDULETE DE PVC, TIPO X, PARA ELETRODUTO DE PVC SOLDÁVEL DN 20 MM (1/2''), APARENTE - FORNECIMENTO E INSTALAÇÃO. AF_01/2026</t>
  </si>
  <si>
    <t xml:space="preserve">CONDULETE DE PVC, TIPO X, PARA ELETRODUTO DE PVC SOLDÁVEL DN 25 MM (3/4"), APARENTE - FORNECIMENTO E INSTALAÇÃO. AF_01/2026</t>
  </si>
  <si>
    <t xml:space="preserve">CONDULETE DE PVC, TIPO X, PARA ELETRODUTO DE PVC SOLDÁVEL DN 32 MM (1''), APARENTE - FORNECIMENTO E INSTALAÇÃO. AF_01/2026</t>
  </si>
  <si>
    <t xml:space="preserve">CONEXÕES ROSQUEÁVEIS PARA ELETRODUTO METÁLICO FLEXÍVEL COM CAPA (SEALTUBO) TERMINAL MACHO GIRATÓRIO, DIÂMETRO 1 1/4" - FORNECIMENTO E INSTALAÇÃO. AF_01/2026</t>
  </si>
  <si>
    <t xml:space="preserve">CONEXÕES ROSQUEÁVEIS PARA ELETRODUTO METÁLICO FLEXÍVEL COM CAPA (SEALTUBO) TERMINAL MACHO GIRATÓRIO, DIÂMETRO 1" - FORNECIMENTO E INSTALAÇÃO. AF_01/2026</t>
  </si>
  <si>
    <t xml:space="preserve">CONEXÕES ROSQUEÁVEIS PARA ELETRODUTO METÁLICO FLEXÍVEL COM CAPA (SEALTUBO) TERMINAL MACHO GIRATÓRIO, DIÂMETRO 3/4"- FORNECIMENTO E INSTALAÇÃO. AF_01/2026</t>
  </si>
  <si>
    <t xml:space="preserve">CURVA 135 GRAUS PARA ELETRODUTO, AÇO GALVANIZADO, DN 20 MM (3/4''), APARENTE - FORNECIMENTO E INSTALAÇÃO. AF_01/2026</t>
  </si>
  <si>
    <t xml:space="preserve">CURVA 135 GRAUS PARA ELETRODUTO, AÇO GALVANIZADO, DN 25 MM (1''), APARENTE - FORNECIMENTO E INSTALAÇÃO. AF_01/2026</t>
  </si>
  <si>
    <t xml:space="preserve">CURVA 135 GRAUS PARA ELETRODUTO, AÇO GALVANIZADO, DN 32 MM (1 1/4''), APARENTE - FORNECIMENTO E INSTALAÇÃO. AF_01/2026</t>
  </si>
  <si>
    <t xml:space="preserve">CURVA 135 GRAUS PARA ELETRODUTO, AÇO GALVANIZADO, DN 40 MM (1 1/2''), APARENTE - FORNECIMENTO E INSTALAÇÃO. AF_01/2026</t>
  </si>
  <si>
    <t xml:space="preserve">CURVA 45 GRAUS PARA ELETRODUTO, AÇO GALVANIZADO, DN 20 MM (3/4''), APARENTE - FORNECIMENTO E INSTALAÇÃO. AF_01/2026</t>
  </si>
  <si>
    <t xml:space="preserve">CURVA 45 GRAUS PARA ELETRODUTO, AÇO GALVANIZADO, DN 25 MM (1''), APARENTE - FORNECIMENTO E INSTALAÇÃO. AF_01/2026</t>
  </si>
  <si>
    <t xml:space="preserve">CURVA 45 GRAUS PARA ELETRODUTO, AÇO GALVANIZADO, DN 32 MM (1 1/4''), APARENTE - FORNECIMENTO E INSTALAÇÃO. AF_01/2026</t>
  </si>
  <si>
    <t xml:space="preserve">CURVA 45 GRAUS PARA ELETRODUTO, AÇO GALVANIZADO, DN 40 MM (1 1/2''), APARENTE - FORNECIMENTO E INSTALAÇÃO. AF_01/2026</t>
  </si>
  <si>
    <t xml:space="preserve">CURVA 90 GRAUS PARA ELETRODUTO, AÇO GALVANIZADO, DN 20 MM (3/4''), APARENTE - FORNECIMENTO E INSTALAÇÃO. AF_01/2026</t>
  </si>
  <si>
    <t xml:space="preserve">CURVA 90 GRAUS PARA ELETRODUTO, AÇO GALVANIZADO, DN 25 MM (1"), APARENTE - FORNECIMENTO E INSTALAÇÃO. AF_01/2026</t>
  </si>
  <si>
    <t xml:space="preserve">CURVA 90 GRAUS PARA ELETRODUTO, AÇO GALVANIZADO, DN 32 MM (1 1/4''), APARENTE - FORNECIMENTO E INSTALAÇÃO. AF_01/2026</t>
  </si>
  <si>
    <t xml:space="preserve">CURVA 90 GRAUS PARA ELETRODUTO, AÇO GALVANIZADO, DN 40 MM (1 1/2''), APARENTE - FORNECIMENTO E INSTALAÇÃO. AF_01/2026</t>
  </si>
  <si>
    <t xml:space="preserve">CURVA 90 GRAUS PARA ELETRODUTO, PVC, SOLDÁVEL, DN 20 MM (1/2''), APARENTE - FORNECIMENTO E INSTALAÇÃO. AF_01/2026</t>
  </si>
  <si>
    <t xml:space="preserve">CURVA 90 GRAUS PARA ELETRODUTO, PVC, SOLDÁVEL, DN 25 MM (3/4''), APARENTE - FORNECIMENTO E INSTALAÇÃO. AF_01/2026</t>
  </si>
  <si>
    <t xml:space="preserve">CURVA 90 GRAUS PARA ELETRODUTO, PVC, SOLDÁVEL, DN 32 MM (1''), APARENTE - FORNECIMENTO E INSTALAÇÃO. AF_01/2026</t>
  </si>
  <si>
    <t xml:space="preserve">ELETRODUTO METÁLICO ZINCADO FLEXÍVEL COM CAPA (SEALTUBO), DIÂMETRO 1 1/4"- FORNECIMENTO E INSTALAÇÃO. AF_01/2026</t>
  </si>
  <si>
    <t xml:space="preserve">ELETRODUTO METÁLICO ZINCADO FLEXÍVEL COM CAPA (SEALTUBO), DIÂMETRO 1"- FORNECIMENTO E INSTALAÇÃO. AF_01/2026</t>
  </si>
  <si>
    <t xml:space="preserve">ELETRODUTO METÁLICO ZINCADO FLEXÍVEL COM CAPA (SEALTUBO),  DIÂMETRO 3/4"- FORNECIMENTO E INSTALAÇÃO. AF_01/2026</t>
  </si>
  <si>
    <t xml:space="preserve">ELETRODUTO RÍGIDO SOLDÁVEL, PVC, DN 20 MM (1/2"), APARENTE - FORNECIMENTO E INSTALAÇÃO. AF_01/2026</t>
  </si>
  <si>
    <t xml:space="preserve">ELETRODUTO RÍGIDO SOLDÁVEL, PVC, DN 25 MM (3/4"), APARENTE - FORNECIMENTO E INSTALAÇÃO. AF_01/2026</t>
  </si>
  <si>
    <t xml:space="preserve">ELETRODUTO RÍGIDO SOLDÁVEL, PVC, DN 32 MM (1"), APARENTE - FORNECIMENTO E INSTALAÇÃO. AF_01/2026</t>
  </si>
  <si>
    <t xml:space="preserve">ELETRODUTO RÍGIDO, EM AÇO ZINCADO OU GALVANIZADO, TIPO PESADO, DN=1 1/2", APARENTE - FORNECIMENTO E INSTALAÇÃO. AF_01/2026</t>
  </si>
  <si>
    <t xml:space="preserve">ELETRODUTO RÍGIDO, EM AÇO ZINCADO OU GALVANIZADO, TIPO PESADO, DN=1 1/4", APARENTE- FORNECIMENTO E INSTALAÇÃO. AF_01/2026</t>
  </si>
  <si>
    <t xml:space="preserve">ELETRODUTO RÍGIDO, EM AÇO ZINCADO OU GALVANIZADO, TIPO PESADO, DN=1", APARENTE - FORNECIMENTO E INSTALAÇÃO. AF_01/2026</t>
  </si>
  <si>
    <t xml:space="preserve">ELETRODUTO RÍGIDO, EM AÇO ZINCADO OU GALVANIZADO, TIPO PESADO, DN=3/4", APARENTE - FORNECIMENTO E INSTALAÇÃO. AF_01/2026</t>
  </si>
  <si>
    <t xml:space="preserve">LUVA DE EMENDA PARA ELETRODUTO, AÇO GALVANIZADO, DN 20 MM (3/4''), APARENTE - FORNECIMENTO E INSTALAÇÃO. AF_01/2026</t>
  </si>
  <si>
    <t xml:space="preserve">LUVA DE EMENDA PARA ELETRODUTO, AÇO GALVANIZADO, DN 25 MM (1''), APARENTE - FORNECIMENTO E INSTALAÇÃO. AF_01/2026</t>
  </si>
  <si>
    <t xml:space="preserve">LUVA DE EMENDA PARA ELETRODUTO, AÇO GALVANIZADO, DN 32 MM (1 1/4''), APARENTE - FORNECIMENTO E INSTALAÇÃO. AF_01/2026</t>
  </si>
  <si>
    <t xml:space="preserve">LUVA DE EMENDA PARA ELETRODUTO, AÇO GALVANIZADO, DN 40 MM (1 1/2''), APARENTE - FORNECIMENTO E INSTALAÇÃO. AF_01/2026</t>
  </si>
  <si>
    <t xml:space="preserve">LUVA PARA ELETRODUTO, PVC, SOLDÁVEL, DN 20 MM (1/2''), APARENTE - FORNECIMENTO E INSTALAÇÃO. AF_01/2026</t>
  </si>
  <si>
    <t xml:space="preserve">LUVA PARA ELETRODUTO, PVC, SOLDÁVEL, DN 25 MM (3/4''), APARENTE - FORNECIMENTO E INSTALAÇÃO. AF_01/2026</t>
  </si>
  <si>
    <t xml:space="preserve">LUVA PARA ELETRODUTO, PVC, SOLDÁVEL, DN 32 MM (1''), APARENTE - FORNECIMENTO E INSTALAÇÃO. AF_01/2026</t>
  </si>
  <si>
    <t xml:space="preserve">Instalações Elétricas - Quadros, Cabos, Disjuntores, Contatores e Barramentos Blindados</t>
  </si>
  <si>
    <t xml:space="preserve">CABO DE COBRE ISOLADO, 10 MM², ANTI-CHAMA 450/750 V, INSTALADO EM ELETROCALHA OU PERFILADO - FORNECIMENTO E INSTALAÇÃO. AF_07/2025</t>
  </si>
  <si>
    <t xml:space="preserve">CABO DE COBRE ISOLADO, 16 MM², ANTI-CHAMA 450/750 V, INSTALADO EM ELETROCALHA OU PERFILADO - FORNECIMENTO E INSTALAÇÃO. AF_07/2025</t>
  </si>
  <si>
    <t xml:space="preserve">CABO DE COBRE ISOLADO, 25 MM², ANTI-CHAMA 450/750 V, INSTALADO EM ELETROCALHA OU PERFILADO - FORNECIMENTO E INSTALAÇÃO. AF_07/2025</t>
  </si>
  <si>
    <t xml:space="preserve">CAIXA DE PROTEÇÃO PARA MEDIDOR MONOFÁSICO DE EMBUTIR - FORNECIMENTO E INSTALAÇÃO. AF_07/2025</t>
  </si>
  <si>
    <t xml:space="preserve">CONTATOR TRIPOLAR I NOMIMAL 95A - FORNECIMENTO E INSTALAÇÃO. AF_07/2025</t>
  </si>
  <si>
    <t xml:space="preserve">CONTATOR TRIPOLAR I NOMINAL 12A - FORNECIMENTO E INSTALAÇÃO. AF_07/2025</t>
  </si>
  <si>
    <t xml:space="preserve">CONTATOR TRIPOLAR I NOMINAL 22A - FORNECIMENTO E INSTALAÇÃO. AF_07/2025</t>
  </si>
  <si>
    <t xml:space="preserve">CONTATOR TRIPOLAR I NOMINAL 38A - FORNECIMENTO E INSTALAÇÃO. AF_07/2025</t>
  </si>
  <si>
    <t xml:space="preserve">COTOVELO PARA BARRAMENTO BLINDADO, 1000A - FORNECIMENTO E INSTALAÇÃO. AF_07/2025</t>
  </si>
  <si>
    <t xml:space="preserve">COTOVELO PARA BARRAMENTO BLINDADO, 1250A - FORNECIMENTO E INSTALAÇÃO. AF_07/2025</t>
  </si>
  <si>
    <t xml:space="preserve">COTOVELO PARA BARRAMENTO BLINDADO, 1600A - FORNECIMENTO E INSTALAÇÃO. AF_07/2025</t>
  </si>
  <si>
    <t xml:space="preserve">COTOVELO PARA BARRAMENTO BLINDADO, 2000A - FORNECIMENTO E INSTALAÇÃO. AF_07/2025</t>
  </si>
  <si>
    <t xml:space="preserve">COTOVELO PARA BARRAMENTO BLINDADO, 2500A - FORNECIMENTO E INSTALAÇÃO. AF_07/2025</t>
  </si>
  <si>
    <t xml:space="preserve">COTOVELO PARA BARRAMENTO BLINDADO, 250A - FORNECIMENTO E INSTALAÇÃO. AF_07/2025</t>
  </si>
  <si>
    <t xml:space="preserve">COTOVELO PARA BARRAMENTO BLINDADO, 350A - FORNECIMENTO E INSTALAÇÃO. AF_07/2025</t>
  </si>
  <si>
    <t xml:space="preserve">COTOVELO PARA BARRAMENTO BLINDADO, 450A - FORNECIMENTO E INSTALAÇÃO. AF_07/2025</t>
  </si>
  <si>
    <t xml:space="preserve">COTOVELO PARA BARRAMENTO BLINDADO, 550A - FORNECIMENTO E INSTALAÇÃO. AF_07/2025</t>
  </si>
  <si>
    <t xml:space="preserve">COTOVELO PARA BARRAMENTO BLINDADO, 630A - FORNECIMENTO E INSTALAÇÃO. AF_07/2025</t>
  </si>
  <si>
    <t xml:space="preserve">DISJUNTOR BAIXA TENSÃO TRIPOLAR A SECO 800A/600V - FORNECIMENTO E INSTALAÇÃO. AF_07/2025</t>
  </si>
  <si>
    <t xml:space="preserve">DISJUNTOR BIPOLAR DR 63A - FORNECIMENTO E INSTALAÇÃO. AF_07/2025</t>
  </si>
  <si>
    <t xml:space="preserve">DISJUNTOR BIPOLAR TIPO DIN, CORRENTE NOMINAL DE 10A - FORNECIMENTO E INSTALAÇÃO. AF_07/2025</t>
  </si>
  <si>
    <t xml:space="preserve">DISJUNTOR BIPOLAR TIPO DIN, CORRENTE NOMINAL DE 16A - FORNECIMENTO E INSTALAÇÃO. AF_07/2025</t>
  </si>
  <si>
    <t xml:space="preserve">DISJUNTOR BIPOLAR TIPO DIN, CORRENTE NOMINAL DE 20A - FORNECIMENTO E INSTALAÇÃO. AF_07/2025</t>
  </si>
  <si>
    <t xml:space="preserve">DISJUNTOR BIPOLAR TIPO DIN, CORRENTE NOMINAL DE 25A - FORNECIMENTO E INSTALAÇÃO. AF_07/2025</t>
  </si>
  <si>
    <t xml:space="preserve">DISJUNTOR BIPOLAR TIPO DIN, CORRENTE NOMINAL DE 32A - FORNECIMENTO E INSTALAÇÃO. AF_07/2025</t>
  </si>
  <si>
    <t xml:space="preserve">DISJUNTOR BIPOLAR TIPO DIN, CORRENTE NOMINAL DE 40A - FORNECIMENTO E INSTALAÇÃO. AF_07/2025</t>
  </si>
  <si>
    <t xml:space="preserve">DISJUNTOR BIPOLAR TIPO DIN, CORRENTE NOMINAL DE 50A - FORNECIMENTO E INSTALAÇÃO. AF_07/2025</t>
  </si>
  <si>
    <t xml:space="preserve">DISJUNTOR BIPOLAR TIPO DR, CORRENTE NOMINAL DE 25A - FORNECIMENTO E INSTALAÇÃO. AF_07/2025</t>
  </si>
  <si>
    <t xml:space="preserve">DISJUNTOR BIPOLAR TIPO DR, CORRENTE NOMINAL DE 40A - FORNECIMENTO E INSTALAÇÃO. AF_07/2025</t>
  </si>
  <si>
    <t xml:space="preserve">DISJUNTOR BIPOLAR TIPO NEMA, CORRENTE NOMINAL DE 10 ATÉ 50A - FORNECIMENTO E INSTALAÇÃO. AF_07/2025</t>
  </si>
  <si>
    <t xml:space="preserve">DISJUNTOR MONOPOLAR TIPO DIN, CORRENTE NOMINAL DE 10A - FORNECIMENTO E INSTALAÇÃO. AF_07/2025</t>
  </si>
  <si>
    <t xml:space="preserve">DISJUNTOR MONOPOLAR TIPO DIN, CORRENTE NOMINAL DE 16A - FORNECIMENTO E INSTALAÇÃO. AF_07/2025</t>
  </si>
  <si>
    <t xml:space="preserve">DISJUNTOR MONOPOLAR TIPO DIN, CORRENTE NOMINAL DE 20A - FORNECIMENTO E INSTALAÇÃO. AF_07/2025</t>
  </si>
  <si>
    <t xml:space="preserve">DISJUNTOR MONOPOLAR TIPO DIN, CORRENTE NOMINAL DE 25A - FORNECIMENTO E INSTALAÇÃO. AF_07/2025</t>
  </si>
  <si>
    <t xml:space="preserve">DISJUNTOR MONOPOLAR TIPO DIN, CORRENTE NOMINAL DE 32A - FORNECIMENTO E INSTALAÇÃO. AF_07/2025</t>
  </si>
  <si>
    <t xml:space="preserve">DISJUNTOR MONOPOLAR TIPO DIN, CORRENTE NOMINAL DE 40A - FORNECIMENTO E INSTALAÇÃO. AF_07/2025</t>
  </si>
  <si>
    <t xml:space="preserve">DISJUNTOR MONOPOLAR TIPO DIN, CORRENTE NOMINAL DE 50A - FORNECIMENTO E INSTALAÇÃO. AF_07/2025</t>
  </si>
  <si>
    <t xml:space="preserve">DISJUNTOR MONOPOLAR TIPO NEMA, CORRENTE NOMINAL DE 10 ATÉ 30A - FORNECIMENTO E INSTALAÇÃO. AF_07/2025</t>
  </si>
  <si>
    <t xml:space="preserve">DISJUNTOR MONOPOLAR TIPO NEMA, CORRENTE NOMINAL DE 35 ATÉ 50A - FORNECIMENTO E INSTALAÇÃO. AF_07/2025</t>
  </si>
  <si>
    <t xml:space="preserve">DISJUNTOR TERMOMAGNÉTICO TRIPOLAR, CORRENTE NOMINAL DE 125A - FORNECIMENTO E INSTALAÇÃO. AF_07/2025</t>
  </si>
  <si>
    <t xml:space="preserve">DISJUNTOR TERMOMAGNÉTICO TRIPOLAR, CORRENTE NOMINAL DE 200A - FORNECIMENTO E INSTALAÇÃO. AF_07/2025</t>
  </si>
  <si>
    <t xml:space="preserve">DISJUNTOR TERMOMAGNÉTICO TRIPOLAR, CORRENTE NOMINAL DE 250A - FORNECIMENTO E INSTALAÇÃO. AF_07/2025</t>
  </si>
  <si>
    <t xml:space="preserve">DISJUNTOR TERMOMAGNÉTICO TRIPOLAR, CORRENTE NOMINAL DE 400A - FORNECIMENTO E INSTALAÇÃO. AF_07/2025</t>
  </si>
  <si>
    <t xml:space="preserve">DISJUNTOR TERMOMAGNÉTICO TRIPOLAR, CORRENTE NOMINAL DE 600A - FORNECIMENTO E INSTALAÇÃO. AF_07/2025</t>
  </si>
  <si>
    <t xml:space="preserve">DISJUNTOR TETRAPOLAR TIPO DR, CORRENTE NOMINAL DE 25A - FORNECIMENTO E INSTALAÇÃO. AF_07/2025</t>
  </si>
  <si>
    <t xml:space="preserve">DISJUNTOR TETRAPOLAR TIPO DR, CORRENTE NOMINAL DE 40A - FORNECIMENTO E INSTALAÇÃO. AF_07/2025</t>
  </si>
  <si>
    <t xml:space="preserve">DISJUNTOR TRIPOLAR DIN 63A - FORNECIMENTO E INSTALAÇÃO. AF_07/2025</t>
  </si>
  <si>
    <t xml:space="preserve">DISJUNTOR TRIPOLAR DIN 80A - FORNECIMENTO E INSTALAÇÃO. AF_07/2025</t>
  </si>
  <si>
    <t xml:space="preserve">DISJUNTOR TRIPOLAR TIPO DIN, CORRENTE NOMINAL DE 10A - FORNECIMENTO E INSTALAÇÃO. AF_07/2025</t>
  </si>
  <si>
    <t xml:space="preserve">DISJUNTOR TRIPOLAR TIPO DIN, CORRENTE NOMINAL DE 16A - FORNECIMENTO E INSTALAÇÃO. AF_07/2025</t>
  </si>
  <si>
    <t xml:space="preserve">DISJUNTOR TRIPOLAR TIPO DIN, CORRENTE NOMINAL DE 20A - FORNECIMENTO E INSTALAÇÃO. AF_07/2025</t>
  </si>
  <si>
    <t xml:space="preserve">DISJUNTOR TRIPOLAR TIPO DIN, CORRENTE NOMINAL DE 25A - FORNECIMENTO E INSTALAÇÃO. AF_07/2025</t>
  </si>
  <si>
    <t xml:space="preserve">DISJUNTOR TRIPOLAR TIPO DIN, CORRENTE NOMINAL DE 32A - FORNECIMENTO E INSTALAÇÃO. AF_07/2025</t>
  </si>
  <si>
    <t xml:space="preserve">DISJUNTOR TRIPOLAR TIPO DIN, CORRENTE NOMINAL DE 40A - FORNECIMENTO E INSTALAÇÃO. AF_07/2025</t>
  </si>
  <si>
    <t xml:space="preserve">DISJUNTOR TRIPOLAR TIPO DIN, CORRENTE NOMINAL DE 50A - FORNECIMENTO E INSTALAÇÃO. AF_07/2025</t>
  </si>
  <si>
    <t xml:space="preserve">DISJUNTOR TRIPOLAR TIPO NEMA, CORRENTE NOMINAL DE 10 ATÉ 50A - FORNECIMENTO E INSTALAÇÃO. AF_07/2025</t>
  </si>
  <si>
    <t xml:space="preserve">DISJUNTOR TRIPOLAR TIPO NEMA, CORRENTE NOMINAL DE 60 ATÉ 100A - FORNECIMENTO E INSTALAÇÃO. AF_07/2025</t>
  </si>
  <si>
    <t xml:space="preserve">DISPOSITIVO DPS 20KA-175V OU 275V - FORNECIMENTO E INSTALAÇÃO. AF_07/2025</t>
  </si>
  <si>
    <t xml:space="preserve">DISPOSITIVO DPS 40KA-175V OU 275V - FORNECIMENTO E INSTALAÇÃO. AF_07/2025</t>
  </si>
  <si>
    <t xml:space="preserve">DISPOSITIVO DPS 60KA-275V - FORNECIMENTO E INSTALAÇÃO. AF_07/2025</t>
  </si>
  <si>
    <t xml:space="preserve">GABARITO PARA BARRAMENTO BLINDADO - FORNECIMENTO E INSTALAÇÃO. AF_07/2025</t>
  </si>
  <si>
    <t xml:space="preserve">PEÇA RETA DE BARRAMENTO BLINDADO, 1000A - FORNECIMENTO E INSTALAÇÃO. AF_07/2025</t>
  </si>
  <si>
    <t xml:space="preserve">PEÇA RETA DE BARRAMENTO BLINDADO, 1250A - FORNECIMENTO E INSTALAÇÃO. AF_07/2025</t>
  </si>
  <si>
    <t xml:space="preserve">PEÇA RETA DE BARRAMENTO BLINDADO, 1600A - FORNECIMENTO E INSTALAÇÃO. AF_07/2025</t>
  </si>
  <si>
    <t xml:space="preserve">PEÇA RETA DE BARRAMENTO BLINDADO, 2000A - FORNECIMENTO E INSTALAÇÃO. AF_07/2025</t>
  </si>
  <si>
    <t xml:space="preserve">PEÇA RETA DE BARRAMENTO BLINDADO, 2500A - FORNECIMENTO E INSTALAÇÃO. AF_07/2025</t>
  </si>
  <si>
    <t xml:space="preserve">PEÇA RETA DE BARRAMENTO BLINDADO, 250A - FORNECIMENTO E INSTALAÇÃO. AF_07/2025</t>
  </si>
  <si>
    <t xml:space="preserve">PEÇA RETA DE BARRAMENTO BLINDADO, 350A - FORNECIMENTO E INSTALAÇÃO. AF_07/2025</t>
  </si>
  <si>
    <t xml:space="preserve">PEÇA RETA DE BARRAMENTO BLINDADO, 450A - FORNECIMENTO E INSTALAÇÃO. AF_07/2025</t>
  </si>
  <si>
    <t xml:space="preserve">PEÇA RETA DE BARRAMENTO BLINDADO, 550A - FORNECIMENTO E INSTALAÇÃO. AF_07/2025</t>
  </si>
  <si>
    <t xml:space="preserve">PEÇA RETA DE BARRAMENTO BLINDADO, 630A - FORNECIMENTO E INSTALAÇÃO. AF_07/2025</t>
  </si>
  <si>
    <t xml:space="preserve">QUADRO DE DISTRIBUIÇÃO DE ENERGIA EM CHAPA DE AÇO GALVANIZADO, DE EMBUTIR, COM BARRAMENTO TRIFÁSICO, PARA 12 DISJUNTORES DIN 100A - FORNECIMENTO E INSTALAÇÃO. AF_07/2025</t>
  </si>
  <si>
    <t xml:space="preserve">QUADRO DE DISTRIBUIÇÃO DE ENERGIA EM CHAPA DE AÇO GALVANIZADO, DE EMBUTIR, COM BARRAMENTO TRIFÁSICO, PARA 18 DISJUNTORES DIN 100A - FORNECIMENTO E INSTALAÇÃO. AF_07/2025</t>
  </si>
  <si>
    <t xml:space="preserve">QUADRO DE DISTRIBUIÇÃO DE ENERGIA EM CHAPA DE AÇO GALVANIZADO, DE EMBUTIR, COM BARRAMENTO TRIFÁSICO, PARA 24 DISJUNTORES DIN 100A - FORNECIMENTO E INSTALAÇÃO. AF_07/2025</t>
  </si>
  <si>
    <t xml:space="preserve">QUADRO DE DISTRIBUIÇÃO DE ENERGIA EM CHAPA DE AÇO GALVANIZADO, DE EMBUTIR, COM BARRAMENTO TRIFÁSICO, PARA 28 DISJUNTORES DIN 100A - FORNECIMENTO E INSTALAÇÃO. AF_07/2025</t>
  </si>
  <si>
    <t xml:space="preserve">QUADRO DE DISTRIBUIÇÃO DE ENERGIA EM CHAPA DE AÇO GALVANIZADO, DE EMBUTIR, COM BARRAMENTO TRIFÁSICO, PARA 30 DISJUNTORES DIN 150A - FORNECIMENTO E INSTALAÇÃO. AF_07/2025</t>
  </si>
  <si>
    <t xml:space="preserve">QUADRO DE DISTRIBUIÇÃO DE ENERGIA EM CHAPA DE AÇO GALVANIZADO, DE EMBUTIR, COM BARRAMENTO TRIFÁSICO, PARA 30 DISJUNTORES DIN 225A - FORNECIMENTO E INSTALAÇÃO. AF_07/2025</t>
  </si>
  <si>
    <t xml:space="preserve">QUADRO DE DISTRIBUIÇÃO DE ENERGIA EM CHAPA DE AÇO GALVANIZADO, DE EMBUTIR, COM BARRAMENTO TRIFÁSICO, PARA 36 DISJUNTORES DIN 100A - FORNECIMENTO E INSTALAÇÃO. AF_07/2025</t>
  </si>
  <si>
    <t xml:space="preserve">QUADRO DE DISTRIBUIÇÃO DE ENERGIA EM CHAPA DE AÇO GALVANIZADO, DE EMBUTIR, COM BARRAMENTO TRIFÁSICO, PARA 40 DISJUNTORES DIN 100A - FORNECIMENTO E INSTALAÇÃO. AF_07/2025</t>
  </si>
  <si>
    <t xml:space="preserve">QUADRO DE DISTRIBUIÇÃO DE ENERGIA EM CHAPA DE AÇO GALVANIZADO, DE EMBUTIR, COM BARRAMENTO TRIFÁSICO, PARA 48 DISJUNTORES DIN 100A - FORNECIMENTO E INSTALAÇÃO. AF_07/2025</t>
  </si>
  <si>
    <t xml:space="preserve">QUADRO DE DISTRIBUIÇÃO DE ENERGIA EM CHAPA DE AÇO GALVANIZADO, DE SOBREPOR, COM BARRAMENTO TRIFÁSICO, PARA 18 DISJUNTORES DIN 100A - FORNECIMENTO E INSTALAÇÃO. AF_07/2025</t>
  </si>
  <si>
    <t xml:space="preserve">QUADRO DE DISTRIBUIÇÃO DE ENERGIA EM CHAPA DE AÇO GALVANIZADO, DE SOBREPOR, COM BARRAMENTO TRIFÁSICO, PARA 28 DISJUNTORES DIN 100A - FORNECIMENTO E INSTALAÇÃO. AF_07/2025</t>
  </si>
  <si>
    <t xml:space="preserve">QUADRO DE DISTRIBUIÇÃO DE ENERGIA EM CHAPA DE AÇO GALVANIZADO, DE SOBREPOR, COM BARRAMENTO TRIFÁSICO, PARA 36 DISJUNTORES DIN 100A - FORNECIMENTO E INSTALAÇÃO. AF_07/2025</t>
  </si>
  <si>
    <t xml:space="preserve">QUADRO DE DISTRIBUIÇÃO DE ENERGIA EM CHAPA DE AÇO GALVANIZADO, DE SOBREPOR, COM BARRAMENTO TRIFÁSICO, PARA 48 DISJUNTORES DIN 100A - FORNECIMENTO E INSTALAÇÃO. AF_07/2025</t>
  </si>
  <si>
    <t xml:space="preserve">QUADRO DE DISTRIBUIÇÃO DE ENERGIA EM PVC, DE EMBUTIR, SEM BARRAMENTO, PARA 3 DISJUNTORES - FORNECIMENTO E INSTALAÇÃO. AF_07/2025</t>
  </si>
  <si>
    <t xml:space="preserve">QUADRO DE DISTRIBUIÇÃO DE ENERGIA EM PVC, DE EMBUTIR, SEM BARRAMENTO, PARA 6 DISJUNTORES - FORNECIMENTO E INSTALAÇÃO. AF_07/2025</t>
  </si>
  <si>
    <t xml:space="preserve">QUADRO DE DISTRIBUIÇÃO DE LUZ EM PVC PARA 12 DISJUNTORES - FORNECIMENTO E INSTALAÇÃO. AF_07/2025</t>
  </si>
  <si>
    <t xml:space="preserve">QUADRO DE DISTRIBUIÇÃO DE LUZ EM PVC PARA 24 DISJUNTORES - FORNECIMENTO E INSTALAÇÃO. AF_07/2025</t>
  </si>
  <si>
    <t xml:space="preserve">QUADRO DE DISTRIBUIÇÃO DE LUZ EM PVC PARA 4 DISJUNTORES - FORNECIMENTO E INSTALAÇÃO. AF_07/2025</t>
  </si>
  <si>
    <t xml:space="preserve">QUADRO DE DISTRIBUIÇÃO DE LUZ EM PVC PARA 8 DISJUNTORES - FORNECIMENTO E INSTALAÇÃO. AF_07/2025</t>
  </si>
  <si>
    <t xml:space="preserve">QUADRO DE MEDIÇÃO GERAL DE ENERGIA COM 12 MEDIDORES - FORNECIMENTO E INSTALAÇÃO. AF_07/2025</t>
  </si>
  <si>
    <t xml:space="preserve">QUADRO DE MEDIÇÃO GERAL DE ENERGIA COM 16 MEDIDORES - FORNECIMENTO E INSTALAÇÃO. AF_07/2025</t>
  </si>
  <si>
    <t xml:space="preserve">QUADRO DE MEDIÇÃO GERAL DE ENERGIA COM 8 MEDIDORES - FORNECIMENTO E INSTALAÇÃO. AF_07/2025</t>
  </si>
  <si>
    <t xml:space="preserve">QUADRO DE MEDIÇÃO GERAL DE ENERGIA PARA 1 MEDIDOR DE SOBREPOR - FORNECIMENTO E INSTALAÇÃO. AF_07/2025</t>
  </si>
  <si>
    <t xml:space="preserve">QUADRO DE MEDIÇÃO GERAL DE ENERGIA PARA BARRAMENTO BLINDADO COM 4 MEDIDORES - FORNECIMENTO E INSTALAÇÃO. AF_07/2025</t>
  </si>
  <si>
    <t xml:space="preserve">Instalações Elétricas - Rede de Distribuição</t>
  </si>
  <si>
    <t xml:space="preserve">ALÇA PREFORMADA DE DISTRIBUIÇÃO, EM AÇO GALVANIZADO, AWG 1 - FORNECIMENTO E INSTALAÇÃO. AF_12/2025</t>
  </si>
  <si>
    <t xml:space="preserve">ALÇA PREFORMADA DE DISTRIBUIÇÃO, EM AÇO GALVANIZADO, AWG 2 - FORNECIMENTO E INSTALAÇÃO. AF_12/2025</t>
  </si>
  <si>
    <t xml:space="preserve">ALÇA PREFORMADA DE DISTRIBUIÇÃO, EM AÇO GALVANIZADO, AWG 4 - FORNECIMENTO E INSTALAÇÃO. AF_12/2025</t>
  </si>
  <si>
    <t xml:space="preserve">ALÇA PREFORMADA DE DISTRIBUIÇÃO, EM AÇO GALVANIZADO, AWG 6 - FORNECIMENTO E INSTALAÇÃO. AF_12/2025</t>
  </si>
  <si>
    <t xml:space="preserve">APARELHO SINALIZADOR DE SAÍDA DE GARAGEM, COM CÉLULA FOTOELÉTRICA - FORNECIMENTO E INSTALAÇÃO. AF_12/2025</t>
  </si>
  <si>
    <t xml:space="preserve">ARMAÇÃO SECUNDÁRIA, COM 1 ESTRIBO E 1 ISOLADOR - FORNECIMENTO E INSTALAÇÃO. AF_12/2025</t>
  </si>
  <si>
    <t xml:space="preserve">ARMAÇÃO SECUNDÁRIA, COM 1 ESTRIBO, SEM ISOLADOR - FORNECIMENTO E INSTALAÇÃO. AF_12/2025</t>
  </si>
  <si>
    <t xml:space="preserve">ARMAÇÃO SECUNDÁRIA, COM 2 ESTRIBOS E 2 ISOLADORES - FORNECIMENTO E INSTALAÇÃO. AF_12/2025</t>
  </si>
  <si>
    <t xml:space="preserve">ARMAÇÃO SECUNDÁRIA, COM 2 ESTRIBOS, SEM ISOLADOR - FORNECIMENTO E INSTALAÇÃO. AF_12/2025</t>
  </si>
  <si>
    <t xml:space="preserve">ARMAÇÃO SECUNDÁRIA, COM 3 ESTRIBOS E 3 ISOLADORES - FORNECIMENTO E INSTALAÇÃO. AF_12/2025</t>
  </si>
  <si>
    <t xml:space="preserve">ARMAÇÃO SECUNDÁRIA, COM 3 ESTRIBOS, SEM ISOLADOR - FORNECIMENTO E INSTALAÇÃO. AF_12/2025</t>
  </si>
  <si>
    <t xml:space="preserve">ARMAÇÃO SECUNDÁRIA, COM 4 ESTRIBOS E 4 ISOLADORES - FORNECIMENTO E INSTALAÇÃO. AF_12/2025</t>
  </si>
  <si>
    <t xml:space="preserve">ARMAÇÃO SECUNDÁRIA, COM 4 ESTRIBOS, SEM ISOLADOR - FORNECIMENTO E INSTALAÇÃO. AF_12/2025</t>
  </si>
  <si>
    <t xml:space="preserve">CABO DE ALUMÍNIO NÚ COM ALMA DE AÇO, BITOLA 1/0 AWG PARA REDE AÉREA DE DISTRIBUIÇÃO DE ENERGIA ELÉTRICA DE MÉDIA TENSÃO - FORNECIMENTO E INSTALAÇÃO. AF_12/2025</t>
  </si>
  <si>
    <t xml:space="preserve">CABO DE ALUMÍNIO NÚ COM ALMA DE AÇO, BITOLA 2 AWG PARA REDE AÉREA DE DISTRIBUIÇÃO DE ENERGIA ELÉTRICA DE MÉDIA TENSÃO - FORNECIMENTO E INSTALAÇÃO. AF_12/2025</t>
  </si>
  <si>
    <t xml:space="preserve">CABO DE ALUMÍNIO NÚ COM ALMA DE AÇO, BITOLA 2/0 AWG PARA REDE AÉREA DE DISTRIBUIÇÃO DE ENERGIA ELÉTRICA DE MÉDIA TENSÃO - FORNECIMENTO E INSTALAÇÃO. AF_12/2025</t>
  </si>
  <si>
    <t xml:space="preserve">CABO DE ALUMÍNIO NÚ COM ALMA DE AÇO, BITOLA 4 AWG PARA REDE AÉREA DE DISTRIBUIÇÃO DE ENERGIA ELÉTRICA DE MÉDIA TENSÃO - FORNECIMENTO E INSTALAÇÃO. AF_12/2025</t>
  </si>
  <si>
    <t xml:space="preserve">CABO DE ALUMÍNIO NÚ COM ALMA DE AÇO, BITOLA 4/0 AWG PARA REDE AÉREA DE DISTRIBUIÇÃO DE ENERGIA ELÉTRICA DE MÉDIA TENSÃO - FORNECIMENTO E INSTALAÇÃO. AF_12/2025</t>
  </si>
  <si>
    <t xml:space="preserve">CABO DE ALUMÍNIO NÚ SEM ALMA DE AÇO, BITOLA 1/0 AWG PARA REDE AÉREA DE DISTRIBUIÇÃO DE ENERGIA ELÉTRICA DE MÉDIA TENSÃO - FORNECIMENTO E INSTALAÇÃO. AF_12/2025</t>
  </si>
  <si>
    <t xml:space="preserve">CABO DE ALUMÍNIO NÚ SEM ALMA DE AÇO, BITOLA 2 AWG PARA REDE AÉREA DE DISTRIBUIÇÃO DE ENERGIA ELÉTRICA DE MÉDIA TENSÃO - FORNECIMENTO E INSTALAÇÃO. AF_12/2025</t>
  </si>
  <si>
    <t xml:space="preserve">CABO DE ALUMÍNIO NÚ SEM ALMA DE AÇO, BITOLA 2/0 AWG PARA REDE AÉREA DE DISTRIBUIÇÃO DE ENERGIA ELÉTRICA DE MÉDIA TENSÃO - FORNECIMENTO E INSTALAÇÃO. AF_12/2025</t>
  </si>
  <si>
    <t xml:space="preserve">CABO DE ALUMÍNIO NÚ SEM ALMA DE AÇO, BITOLA 4 AWG PARA REDE AÉREA DE DISTRIBUIÇÃO DE ENERGIA ELÉTRICA DE MÉDIA TENSÃO - FORNECIMENTO E INSTALAÇÃO. AF_12/2025</t>
  </si>
  <si>
    <t xml:space="preserve">CABO DE ALUMÍNIO NÚ SEM ALMA DE AÇO, BITOLA 4/0 AWG PARA REDE AÉREA DE DISTRIBUIÇÃO DE ENERGIA ELÉTRICA DE MÉDIA TENSÃO - FORNECIMENTO E INSTALAÇÃO. AF_12/2025</t>
  </si>
  <si>
    <t xml:space="preserve">CABO DE ALUMÍNIO PROTEGIDO XLPE 90°C 35MM² TR 15KV AÉREO PARA REDE AÉREA COMPACTA DE DISTRIBUIÇÃO DE ENERGIA ELÉTRICA DE MÉDIA TENSÃO - FORNECIMENTO E INSTALAÇÃO. AF_12/2025</t>
  </si>
  <si>
    <t xml:space="preserve">CABO DE ALUMÍNIO PROTEGIDO XLPE 90°C 50MM² TR 15KV AÉREO PARA REDE AÉREA COMPACTA DE DISTRIBUIÇÃO DE ENERGIA ELÉTRICA DE MÉDIA TENSÃO - FORNECIMENTO E INSTALAÇÃO. AF_12/2025</t>
  </si>
  <si>
    <t xml:space="preserve">CABO DE ALUMÍNIO PROTEGIDO XLPE 90°C 70MM² TR 15KV AÉREO PARA REDE AÉREA COMPACTA DE DISTRIBUIÇÃO DE ENERGIA ELÉTRICA DE MÉDIA TENSÃO - FORNECIMENTO E INSTALAÇÃO. AF_12/2025</t>
  </si>
  <si>
    <t xml:space="preserve">CABO DE COBRE FLEXÍVEL ISOLADO, 10 MM², 0,6/1,0 KV, PARA REDE AÉREA DE DISTRIBUIÇÃO DE ENERGIA ELÉTRICA DE BAIXA TENSÃO - FORNECIMENTO E INSTALAÇÃO. AF_12/2025</t>
  </si>
  <si>
    <t xml:space="preserve">CABO DE COBRE FLEXÍVEL ISOLADO, 120 MM², 0,6/1,0 KV, PARA REDE AÉREA DE DISTRIBUIÇÃO DE ENERGIA ELÉTRICA DE BAIXA TENSÃO - FORNECIMENTO E INSTALAÇÃO. AF_12/2025</t>
  </si>
  <si>
    <t xml:space="preserve">CABO DE COBRE FLEXÍVEL ISOLADO, 16 MM², 0,6/1,0 KV, PARA REDE AÉREA DE DISTRIBUIÇÃO DE ENERGIA ELÉTRICA DE BAIXA TENSÃO - FORNECIMENTO E INSTALAÇÃO. AF_12/2025</t>
  </si>
  <si>
    <t xml:space="preserve">CABO DE COBRE FLEXÍVEL ISOLADO, 25 MM², 0,6/1,0 KV, PARA REDE AÉREA DE DISTRIBUIÇÃO DE ENERGIA ELÉTRICA DE BAIXA TENSÃO - FORNECIMENTO E INSTALAÇÃO. AF_12/2025</t>
  </si>
  <si>
    <t xml:space="preserve">CABO DE COBRE FLEXÍVEL ISOLADO, 35 MM², 0,6/1,0 KV, PARA REDE AÉREA DE DISTRIBUIÇÃO DE ENERGIA ELÉTRICA DE BAIXA TENSÃO - FORNECIMENTO E INSTALAÇÃO. AF_12/2025</t>
  </si>
  <si>
    <t xml:space="preserve">CABO DE COBRE FLEXÍVEL ISOLADO, 50 MM², 0,6/1,0 KV, PARA REDE AÉREA DE DISTRIBUIÇÃO DE ENERGIA ELÉTRICA DE BAIXA TENSÃO - FORNECIMENTO E INSTALAÇÃO. AF_12/2025</t>
  </si>
  <si>
    <t xml:space="preserve">CABO DE COBRE FLEXÍVEL ISOLADO, 70 MM², 0,6/1,0 KV, PARA REDE AÉREA DE DISTRIBUIÇÃO DE ENERGIA ELÉTRICA DE BAIXA TENSÃO - FORNECIMENTO E INSTALAÇÃO. AF_12/2025</t>
  </si>
  <si>
    <t xml:space="preserve">CABO DE COBRE FLEXÍVEL ISOLADO, 95 MM², 0,6/1,0 KV, PARA REDE AÉREA DE DISTRIBUIÇÃO DE ENERGIA ELÉTRICA DE BAIXA TENSÃO - FORNECIMENTO E INSTALAÇÃO. AF_12/2025</t>
  </si>
  <si>
    <t xml:space="preserve">CABO MENSAGEIRO PARA REDES AÉREAS COMPACTAS. AF_12/2025</t>
  </si>
  <si>
    <t xml:space="preserve">CHAVE FUSÍVEL 15KV CPF XS 100A, PARA REDES AÉREAS DE DISTRIBUIÇÃO DE ENERGIA ELÉTRICA DE MÉDIA TENSÃO - FORNECIMENTO E INSTALAÇÃO. AF_12/2025</t>
  </si>
  <si>
    <t xml:space="preserve">CONECTOR CUNHA, PARA REDES AÉREAS DE DISTRIBUIÇÃO DE ENERGIA ELÉTRICA DE BAIXA TENSÃO - FORNECIMENTO E INSTALAÇÃO. AF_12/2025</t>
  </si>
  <si>
    <t xml:space="preserve">CONECTOR H, PARA REDES AÉREAS DE DISTRIBUIÇÃO DE ENERGIA ELÉTRICA DE BAIXA TENSÃO - FORNECIMENTO E INSTALAÇÃO. AF_12/2025</t>
  </si>
  <si>
    <t xml:space="preserve">CONECTOR PERFURANTE, PARA REDES AÉREAS DE DISTRIBUIÇÃO DE ENERGIA ELÉTRICA DE BAIXA TENSÃO - FORNECIMENTO E INSTALAÇÃO. AF_12/2025</t>
  </si>
  <si>
    <t xml:space="preserve">ENTRADA DE ENERGIA ELÉTRICA, AÉREA, BIFÁSICA, COM CAIXA DE EMBUTIR, CABO DE 10 MM2 E DISJUNTOR DIN 50A (NÃO INCLUSO O POSTE DE CONCRETO). AF_12/2025</t>
  </si>
  <si>
    <t xml:space="preserve">ENTRADA DE ENERGIA ELÉTRICA, AÉREA, BIFÁSICA, COM CAIXA DE EMBUTIR, CABO DE 16 MM2 E DISJUNTOR DIN 50A (NÃO INCLUSO O POSTE DE CONCRETO). AF_12/2025</t>
  </si>
  <si>
    <t xml:space="preserve">ENTRADA DE ENERGIA ELÉTRICA, AÉREA, BIFÁSICA, COM CAIXA DE EMBUTIR, CABO DE 25 MM2 E DISJUNTOR DIN 50A (NÃO INCLUSO O POSTE DE CONCRETO). AF_12/2025</t>
  </si>
  <si>
    <t xml:space="preserve">ENTRADA DE ENERGIA ELÉTRICA, AÉREA, BIFÁSICA, COM CAIXA DE EMBUTIR, CABO DE 35 MM2 E DISJUNTOR DIN 50A (NÃO INCLUSO O POSTE DE CONCRETO). AF_12/2025</t>
  </si>
  <si>
    <t xml:space="preserve">ENTRADA DE ENERGIA ELÉTRICA, AÉREA, BIFÁSICA, COM CAIXA DE SOBREPOR, CABO DE 10 MM2 E DISJUNTOR DIN 50A (NÃO INCLUSO O POSTE DE CONCRETO). AF_12/2025</t>
  </si>
  <si>
    <t xml:space="preserve">ENTRADA DE ENERGIA ELÉTRICA, AÉREA, BIFÁSICA, COM CAIXA DE SOBREPOR, CABO DE 16 MM2 E DISJUNTOR DIN 50A (NÃO INCLUSO O POSTE DE CONCRETO). AF_12/2025</t>
  </si>
  <si>
    <t xml:space="preserve">ENTRADA DE ENERGIA ELÉTRICA, AÉREA, BIFÁSICA, COM CAIXA DE SOBREPOR, CABO DE 25 MM2 E DISJUNTOR DIN 50A (NÃO INCLUSO O POSTE DE CONCRETO). AF_12/2025</t>
  </si>
  <si>
    <t xml:space="preserve">ENTRADA DE ENERGIA ELÉTRICA, AÉREA, BIFÁSICA, COM CAIXA DE SOBREPOR, CABO DE 35 MM2 E DISJUNTOR DIN 50A (NÃO INCLUSO O POSTE DE CONCRETO). AF_12/2025</t>
  </si>
  <si>
    <t xml:space="preserve">ENTRADA DE ENERGIA ELÉTRICA, AÉREA, MONOFÁSICA, COM CAIXA DE EMBUTIR, CABO DE 10 MM2 E DISJUNTOR DIN 50A (NÃO INCLUSO O POSTE DE CONCRETO). AF_12/2025</t>
  </si>
  <si>
    <t xml:space="preserve">ENTRADA DE ENERGIA ELÉTRICA, AÉREA, MONOFÁSICA, COM CAIXA DE EMBUTIR, CABO DE 16 MM2 E DISJUNTOR DIN 50A (NÃO INCLUSO O POSTE DE CONCRETO). AF_12/2025</t>
  </si>
  <si>
    <t xml:space="preserve">ENTRADA DE ENERGIA ELÉTRICA, AÉREA, MONOFÁSICA, COM CAIXA DE EMBUTIR, CABO DE 25 MM2 E DISJUNTOR DIN 50A (NÃO INCLUSO O POSTE DE CONCRETO). AF_12/2025</t>
  </si>
  <si>
    <t xml:space="preserve">ENTRADA DE ENERGIA ELÉTRICA, AÉREA, MONOFÁSICA, COM CAIXA DE EMBUTIR, CABO DE 35 MM2 E DISJUNTOR DIN 50A (NÃO INCLUSO O POSTE DE CONCRETO). AF_12/2025</t>
  </si>
  <si>
    <t xml:space="preserve">ENTRADA DE ENERGIA ELÉTRICA, AÉREA, MONOFÁSICA, COM CAIXA DE SOBREPOR, CABO DE 10 MM2 E DISJUNTOR DIN 50A (NÃO INCLUSO O POSTE DE CONCRETO). AF_12/2025</t>
  </si>
  <si>
    <t xml:space="preserve">ENTRADA DE ENERGIA ELÉTRICA, AÉREA, MONOFÁSICA, COM CAIXA DE SOBREPOR, CABO DE 16 MM2 E DISJUNTOR DIN 50A (NÃO INCLUSO O POSTE DE CONCRETO). AF_12/2025</t>
  </si>
  <si>
    <t xml:space="preserve">ENTRADA DE ENERGIA ELÉTRICA, AÉREA, MONOFÁSICA, COM CAIXA DE SOBREPOR, CABO DE 25 MM2 E DISJUNTOR DIN 50A (NÃO INCLUSO O POSTE DE CONCRETO). AF_12/2025</t>
  </si>
  <si>
    <t xml:space="preserve">ENTRADA DE ENERGIA ELÉTRICA, AÉREA, MONOFÁSICA, COM CAIXA DE SOBREPOR, CABO DE 35 MM2 E DISJUNTOR DIN 50A (NÃO INCLUSO O POSTE DE CONCRETO). AF_12/2025</t>
  </si>
  <si>
    <t xml:space="preserve">ENTRADA DE ENERGIA ELÉTRICA, AÉREA, TRIFÁSICA, COM CAIXA DE EMBUTIR, CABO DE 10 MM2 E DISJUNTOR DIN 50A (NÃO INCLUSO O POSTE DE CONCRETO). AF_12/2025</t>
  </si>
  <si>
    <t xml:space="preserve">ENTRADA DE ENERGIA ELÉTRICA, AÉREA, TRIFÁSICA, COM CAIXA DE EMBUTIR, CABO DE 16 MM2 E DISJUNTOR DIN 50A (NÃO INCLUSO O POSTE DE CONCRETO). AF_12/2025</t>
  </si>
  <si>
    <t xml:space="preserve">ENTRADA DE ENERGIA ELÉTRICA, AÉREA, TRIFÁSICA, COM CAIXA DE EMBUTIR, CABO DE 25 MM2 E DISJUNTOR DIN 50A (NÃO INCLUSO O POSTE DE CONCRETO). AF_12/2025</t>
  </si>
  <si>
    <t xml:space="preserve">ENTRADA DE ENERGIA ELÉTRICA, AÉREA, TRIFÁSICA, COM CAIXA DE EMBUTIR, CABO DE 35 MM2 E DISJUNTOR DIN 50A (NÃO INCLUSO O POSTE DE CONCRETO). AF_12/2025</t>
  </si>
  <si>
    <t xml:space="preserve">ENTRADA DE ENERGIA ELÉTRICA, AÉREA, TRIFÁSICA, COM CAIXA DE SOBREPOR, CABO DE 10 MM2 E DISJUNTOR DIN 50A (NÃO INCLUSO O POSTE DE CONCRETO). AF_12/2025</t>
  </si>
  <si>
    <t xml:space="preserve">ENTRADA DE ENERGIA ELÉTRICA, AÉREA, TRIFÁSICA, COM CAIXA DE SOBREPOR, CABO DE 16 MM2 E DISJUNTOR DIN 50A (NÃO INCLUSO O POSTE DE CONCRETO). AF_12/2025</t>
  </si>
  <si>
    <t xml:space="preserve">ENTRADA DE ENERGIA ELÉTRICA, AÉREA, TRIFÁSICA, COM CAIXA DE SOBREPOR, CABO DE 25 MM2 E DISJUNTOR DIN 50A (NÃO INCLUSO O POSTE DE CONCRETO). AF_12/2025</t>
  </si>
  <si>
    <t xml:space="preserve">ENTRADA DE ENERGIA ELÉTRICA, AÉREA, TRIFÁSICA, COM CAIXA DE SOBREPOR, CABO DE 35 MM2 E DISJUNTOR DIN 50A (NÃO INCLUSO O POSTE DE CONCRETO). AF_12/2025</t>
  </si>
  <si>
    <t xml:space="preserve">ENTRADA DE ENERGIA ELÉTRICA, SUBTERRÂNEA, BIFÁSICA, COM CAIXA DE EMBUTIR, CABO DE 10 MM2 E DISJUNTOR DIN 50A (NÃO INCLUSA MURETA DE ALVENARIA). AF_12/2025</t>
  </si>
  <si>
    <t xml:space="preserve">ENTRADA DE ENERGIA ELÉTRICA, SUBTERRÂNEA, BIFÁSICA, COM CAIXA DE EMBUTIR, CABO DE 16 MM2 E DISJUNTOR DIN 50A (NÃO INCLUSA MURETA DE ALVENARIA). AF_12/2025</t>
  </si>
  <si>
    <t xml:space="preserve">ENTRADA DE ENERGIA ELÉTRICA, SUBTERRÂNEA, BIFÁSICA, COM CAIXA DE EMBUTIR, CABO DE 25 MM2 E DISJUNTOR DIN 50A (NÃO INCLUSA MURETA DE ALVENARIA). AF_12/2025</t>
  </si>
  <si>
    <t xml:space="preserve">ENTRADA DE ENERGIA ELÉTRICA, SUBTERRÂNEA, BIFÁSICA, COM CAIXA DE EMBUTIR, CABO DE 35 MM2 E DISJUNTOR DIN 50A (NÃO INCLUSA MURETA DE ALVENARIA). AF_12/2025</t>
  </si>
  <si>
    <t xml:space="preserve">ENTRADA DE ENERGIA ELÉTRICA, SUBTERRÂNEA, BIFÁSICA, COM CAIXA DE SOBREPOR, CABO DE 10 MM2 E DISJUNTOR DIN 50A (NÃO INCLUSA MURETA DE ALVENARIA). AF_12/2025</t>
  </si>
  <si>
    <t xml:space="preserve">ENTRADA DE ENERGIA ELÉTRICA, SUBTERRÂNEA, BIFÁSICA, COM CAIXA DE SOBREPOR, CABO DE 16 MM2 E DISJUNTOR DIN 50A (NÃO INCLUSA MURETA DE ALVENARIA). AF_12/2025</t>
  </si>
  <si>
    <t xml:space="preserve">ENTRADA DE ENERGIA ELÉTRICA, SUBTERRÂNEA, BIFÁSICA, COM CAIXA DE SOBREPOR, CABO DE 25 MM2 E DISJUNTOR DIN 50A (NÃO INCLUSA MURETA DE ALVENARIA). AF_12/2025</t>
  </si>
  <si>
    <t xml:space="preserve">ENTRADA DE ENERGIA ELÉTRICA, SUBTERRÂNEA, BIFÁSICA, COM CAIXA DE SOBREPOR, CABO DE 35 MM2 E DISJUNTOR DIN 50A (NÃO INCLUSA MURETA DE ALVENARIA). AF_12/2025</t>
  </si>
  <si>
    <t xml:space="preserve">ENTRADA DE ENERGIA ELÉTRICA, SUBTERRÂNEA, MONOFÁSICA, COM CAIXA DE EMBUTIR, CABO DE 10 MM2 E DISJUNTOR DIN 50A (NÃO INCLUSA MURETA DE ALVENARIA). AF_12/2025</t>
  </si>
  <si>
    <t xml:space="preserve">ENTRADA DE ENERGIA ELÉTRICA, SUBTERRÂNEA, MONOFÁSICA, COM CAIXA DE EMBUTIR, CABO DE 16 MM2 E DISJUNTOR DIN 50A (NÃO INCLUSA MURETA DE ALVENARIA). AF_12/2025</t>
  </si>
  <si>
    <t xml:space="preserve">ENTRADA DE ENERGIA ELÉTRICA, SUBTERRÂNEA, MONOFÁSICA, COM CAIXA DE EMBUTIR, CABO DE 25 MM2 E DISJUNTOR DIN 50A (NÃO INCLUSA MURETA DE ALVENARIA). AF_12/2025</t>
  </si>
  <si>
    <t xml:space="preserve">ENTRADA DE ENERGIA ELÉTRICA, SUBTERRÂNEA, MONOFÁSICA, COM CAIXA DE EMBUTIR, CABO DE 35 MM2 E DISJUNTOR DIN 50A (NÃO INCLUSA MURETA DE ALVENARIA). AF_12/2025</t>
  </si>
  <si>
    <t xml:space="preserve">ENTRADA DE ENERGIA ELÉTRICA, SUBTERRÂNEA, MONOFÁSICA, COM CAIXA DE SOBREPOR, CABO DE 10 MM2 E DISJUNTOR DIN 50A (NÃO INCLUSA MURETA DE ALVENARIA). AF_12/2025</t>
  </si>
  <si>
    <t xml:space="preserve">ENTRADA DE ENERGIA ELÉTRICA, SUBTERRÂNEA, MONOFÁSICA, COM CAIXA DE SOBREPOR, CABO DE 16 MM2 E DISJUNTOR DIN 50A (NÃO INCLUSA MURETA DE ALVENARIA). AF_12/2025</t>
  </si>
  <si>
    <t xml:space="preserve">ENTRADA DE ENERGIA ELÉTRICA, SUBTERRÂNEA, MONOFÁSICA, COM CAIXA DE SOBREPOR, CABO DE 25 MM2 E DISJUNTOR DIN 50A (NÃO INCLUSA MURETA DE ALVENARIA). AF_12/2025</t>
  </si>
  <si>
    <t xml:space="preserve">ENTRADA DE ENERGIA ELÉTRICA, SUBTERRÂNEA, MONOFÁSICA, COM CAIXA DE SOBREPOR, CABO DE 35 MM2 E DISJUNTOR DIN 50A (NÃO INCLUSA MURETA DE ALVENARIA). AF_12/2025</t>
  </si>
  <si>
    <t xml:space="preserve">ENTRADA DE ENERGIA ELÉTRICA, SUBTERRÂNEA, TRIFÁSICA, COM CAIXA DE EMBUTIR, CABO DE 10 MM2 E DISJUNTOR DIN 50A (NÃO INCLUSA MURETA DE ALVENARIA). AF_12/2025</t>
  </si>
  <si>
    <t xml:space="preserve">ENTRADA DE ENERGIA ELÉTRICA, SUBTERRÂNEA, TRIFÁSICA, COM CAIXA DE EMBUTIR, CABO DE 16 MM2 E DISJUNTOR DIN 50A (NÃO INCLUSA MURETA DE ALVENARIA). AF_12/2025</t>
  </si>
  <si>
    <t xml:space="preserve">ENTRADA DE ENERGIA ELÉTRICA, SUBTERRÂNEA, TRIFÁSICA, COM CAIXA DE EMBUTIR, CABO DE 25 MM2 E DISJUNTOR DIN 50A (NÃO INCLUSA MURETA DE ALVENARIA). AF_12/2025</t>
  </si>
  <si>
    <t xml:space="preserve">ENTRADA DE ENERGIA ELÉTRICA, SUBTERRÂNEA, TRIFÁSICA, COM CAIXA DE EMBUTIR, CABO DE 35 MM2 E DISJUNTOR DIN 50A (NÃO INCLUSA MURETA DE ALVENARIA). AF_12/2025</t>
  </si>
  <si>
    <t xml:space="preserve">ENTRADA DE ENERGIA ELÉTRICA, SUBTERRÂNEA, TRIFÁSICA, COM CAIXA DE SOBREPOR, CABO DE 10 MM2 E DISJUNTOR DIN 50A (NÃO INCLUSA MURETA DE ALVENARIA). AF_12/2025</t>
  </si>
  <si>
    <t xml:space="preserve">ENTRADA DE ENERGIA ELÉTRICA, SUBTERRÂNEA, TRIFÁSICA, COM CAIXA DE SOBREPOR, CABO DE 16 MM2 E DISJUNTOR DIN 50A (NÃO INCLUSA MURETA DE ALVENARIA). AF_12/2025</t>
  </si>
  <si>
    <t xml:space="preserve">ENTRADA DE ENERGIA ELÉTRICA, SUBTERRÂNEA, TRIFÁSICA, COM CAIXA DE SOBREPOR, CABO DE 25 MM2 E DISJUNTOR DIN 50A (NÃO INCLUSA MURETA DE ALVENARIA). AF_12/2025</t>
  </si>
  <si>
    <t xml:space="preserve">ENTRADA DE ENERGIA ELÉTRICA, SUBTERRÂNEA, TRIFÁSICA, COM CAIXA DE SOBREPOR, CABO DE 35 MM2 E DISJUNTOR DIN 50A (NÃO INCLUSA MURETA DE ALVENARIA). AF_12/2025</t>
  </si>
  <si>
    <t xml:space="preserve">ESTRUTURA B1 DE ACONCORAGEM EM POSTE CIRCULAR. AF_12/2025</t>
  </si>
  <si>
    <t xml:space="preserve">ESTRUTURA B1 DE ACONCORAGEM EM POSTE DUPLO T. AF_12/2025</t>
  </si>
  <si>
    <t xml:space="preserve">ESTRUTURA B2 DE ACONCORAGEM EM POSTE CIRCULAR. AF_12/2025</t>
  </si>
  <si>
    <t xml:space="preserve">ESTRUTURA B2 DE ACONCORAGEM EM POSTE DUPLO T. AF_12/2025</t>
  </si>
  <si>
    <t xml:space="preserve">ESTRUTURA B3 DE ACONCORAGEM EM POSTE CIRCULAR. AF_12/2025</t>
  </si>
  <si>
    <t xml:space="preserve">ESTRUTURA B3 DE ACONCORAGEM EM POSTE DUPLO T. AF_12/2025</t>
  </si>
  <si>
    <t xml:space="preserve">ESTRUTURA B4 DE ACONCORAGEM EM POSTE CIRCULAR. AF_12/2025</t>
  </si>
  <si>
    <t xml:space="preserve">ESTRUTURA B4 DE ACONCORAGEM EM POSTE DUPLO T. AF_12/2025</t>
  </si>
  <si>
    <t xml:space="preserve">ESTRUTURA CE1 REDE DE DISTRIBUIÇÃO COMPACTA EM POSTE CIRCULAR. AF_12/2025</t>
  </si>
  <si>
    <t xml:space="preserve">ESTRUTURA CE1 REDE DE DISTRIBUIÇÃO COMPACTA EM POSTE DUPLO T. AF_12/2025</t>
  </si>
  <si>
    <t xml:space="preserve">ESTRUTURA CE1A REDE DE DISTRIBUIÇÃO COMPACTA EM POSTE CIRCULAR. AF_12/2025</t>
  </si>
  <si>
    <t xml:space="preserve">ESTRUTURA CE1A REDE DE DISTRIBUIÇÃO COMPACTA EM POSTE DUPLO T. AF_12/2025</t>
  </si>
  <si>
    <t xml:space="preserve">ESTRUTURA CE2 REDE DE DISTRIBUIÇÃO COMPACTA EM POSTE CIRCULAR. AF_12/2025</t>
  </si>
  <si>
    <t xml:space="preserve">ESTRUTURA CE2 REDE DE DISTRIBUIÇÃO COMPACTA EM POSTE DUPLO T. AF_12/2025</t>
  </si>
  <si>
    <t xml:space="preserve">GRAMPO PARALELO METÁLICO, PARA REDES AÉREAS DE DISTRIBUIÇÃO DE ENERGIA ELÉTRICA DE BAIXA TENSÃO - FORNECIMENTO E INSTALAÇÃO. AF_12/2025</t>
  </si>
  <si>
    <t xml:space="preserve">ISOLADOR, TIPO DISCO, PARA TENSÃO 15 KV - FORNECIMENTO E INSTALAÇÃO. AF_12/2025</t>
  </si>
  <si>
    <t xml:space="preserve">ISOLADOR, TIPO PINO, PARA TENSÃO 15 KV - FORNECIMENTO E INSTALAÇÃO. AF_12/2025</t>
  </si>
  <si>
    <t xml:space="preserve">ISOLADOR, TIPO ROLDANA, PARA BAIXA TENSÃO - FORNECIMENTO E INSTALAÇÃO. AF_12/2025</t>
  </si>
  <si>
    <t xml:space="preserve">TERMINAL MUFLA 15/25KV. AF_12/2025</t>
  </si>
  <si>
    <t xml:space="preserve">Instalações Hidráulicas - Reservação e Bombas de Recalque</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</si>
  <si>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</si>
  <si>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</si>
  <si>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</si>
  <si>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</si>
  <si>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</si>
  <si>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</si>
  <si>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</si>
  <si>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</si>
  <si>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</si>
  <si>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</si>
  <si>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</si>
  <si>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</si>
  <si>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</si>
  <si>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</si>
  <si>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</si>
  <si>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</si>
  <si>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</si>
  <si>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</si>
  <si>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</si>
  <si>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</si>
  <si>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</si>
  <si>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</si>
  <si>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</si>
  <si>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</si>
  <si>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</si>
  <si>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</si>
  <si>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</si>
  <si>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</si>
  <si>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</si>
  <si>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</si>
  <si>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</si>
  <si>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</si>
  <si>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</si>
  <si>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</si>
  <si>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</si>
  <si>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</si>
  <si>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</si>
  <si>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</si>
  <si>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</si>
  <si>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</si>
  <si>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</si>
  <si>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</si>
  <si>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</si>
  <si>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</si>
  <si>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</si>
  <si>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</si>
  <si>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</si>
  <si>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</si>
  <si>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</si>
  <si>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</si>
  <si>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</si>
  <si>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</si>
  <si>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</si>
  <si>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</si>
  <si>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</si>
  <si>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</si>
  <si>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</si>
  <si>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</si>
  <si>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</si>
  <si>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</si>
  <si>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</si>
  <si>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</si>
  <si>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</si>
  <si>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</si>
  <si>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</si>
  <si>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</si>
  <si>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</si>
  <si>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</si>
  <si>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</si>
  <si>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</si>
  <si>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</si>
  <si>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</si>
  <si>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</si>
  <si>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</si>
  <si>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</si>
  <si>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</si>
  <si>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</si>
  <si>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</si>
  <si>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</si>
  <si>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</si>
  <si>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</si>
  <si>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</si>
  <si>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</si>
  <si>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</si>
  <si>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</si>
  <si>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</si>
  <si>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</si>
  <si>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</si>
  <si>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</si>
  <si>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</si>
  <si>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</si>
  <si>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</si>
  <si>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</si>
  <si>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</si>
  <si>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</si>
  <si>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</si>
  <si>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</si>
  <si>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</si>
  <si>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</si>
  <si>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</si>
  <si>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</si>
  <si>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</si>
  <si>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</si>
  <si>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</si>
  <si>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</si>
  <si>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</si>
  <si>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</si>
  <si>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</si>
  <si>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</si>
  <si>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</si>
  <si>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</si>
  <si>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</si>
  <si>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</si>
  <si>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</si>
  <si>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</si>
  <si>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</si>
  <si>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</si>
  <si>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</si>
  <si>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</si>
  <si>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</si>
  <si>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</si>
  <si>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</si>
  <si>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</si>
  <si>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</si>
  <si>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</si>
  <si>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</si>
  <si>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</si>
  <si>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</si>
  <si>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</si>
  <si>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</si>
  <si>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</si>
  <si>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</si>
  <si>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</si>
  <si>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</si>
  <si>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</si>
  <si>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</si>
  <si>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</si>
  <si>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</si>
  <si>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</si>
  <si>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</si>
  <si>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</si>
  <si>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</si>
  <si>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</si>
  <si>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</si>
  <si>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</si>
  <si>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</si>
  <si>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</si>
  <si>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</si>
  <si>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</si>
  <si>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</si>
  <si>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</si>
  <si>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</si>
  <si>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</si>
  <si>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</si>
  <si>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</si>
  <si>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</si>
  <si>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</si>
  <si>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</si>
  <si>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</si>
  <si>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</si>
  <si>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</si>
  <si>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</si>
  <si>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</si>
  <si>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</si>
  <si>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</si>
  <si>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</si>
  <si>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</si>
  <si>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</si>
  <si>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</si>
  <si>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</si>
  <si>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</si>
  <si>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</si>
  <si>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</si>
  <si>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</si>
  <si>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</si>
  <si>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</si>
  <si>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</si>
  <si>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</si>
  <si>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</si>
  <si>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</si>
  <si>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</si>
  <si>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</si>
  <si>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</si>
  <si>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</si>
  <si>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</si>
  <si>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</si>
  <si>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</si>
  <si>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</si>
  <si>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</si>
  <si>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</si>
  <si>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</si>
  <si>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</si>
  <si>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</si>
  <si>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</si>
  <si>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</si>
  <si>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</si>
  <si>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</si>
  <si>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</si>
  <si>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</si>
  <si>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</si>
  <si>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</si>
  <si>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</si>
  <si>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</si>
  <si>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</si>
  <si>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</si>
  <si>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</si>
  <si>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</si>
  <si>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</si>
  <si>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</si>
  <si>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</si>
  <si>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</si>
  <si>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</si>
  <si>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</si>
  <si>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</si>
  <si>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</si>
  <si>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</si>
  <si>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</si>
  <si>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</si>
  <si>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</si>
  <si>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</si>
  <si>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</si>
  <si>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</si>
  <si>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</si>
  <si>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</si>
  <si>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</si>
  <si>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</si>
  <si>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</si>
  <si>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</si>
  <si>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</si>
  <si>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</si>
  <si>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</si>
  <si>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</si>
  <si>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</si>
  <si>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</si>
  <si>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</si>
  <si>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</si>
  <si>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</si>
  <si>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</si>
  <si>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</si>
  <si>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</si>
  <si>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</si>
  <si>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</si>
  <si>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</si>
  <si>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</si>
  <si>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</si>
  <si>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</si>
  <si>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</si>
  <si>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</si>
  <si>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</si>
  <si>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</si>
  <si>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</si>
  <si>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</si>
  <si>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</si>
  <si>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</si>
  <si>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</si>
  <si>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</si>
  <si>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</si>
  <si>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</si>
  <si>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</si>
  <si>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</si>
  <si>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</si>
  <si>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</si>
  <si>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</si>
  <si>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</si>
  <si>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</si>
  <si>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</si>
  <si>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110MM,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</si>
  <si>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</si>
  <si>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</si>
  <si>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</si>
  <si>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</si>
  <si>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</si>
  <si>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</si>
  <si>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</si>
  <si>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</si>
  <si>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</si>
  <si>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</si>
  <si>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</si>
  <si>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</si>
  <si>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</si>
  <si>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</si>
  <si>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</si>
  <si>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</si>
  <si>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</si>
  <si>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</si>
  <si>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</si>
  <si>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</si>
  <si>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</si>
  <si>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</si>
  <si>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</si>
  <si>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</si>
  <si>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</si>
  <si>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</si>
  <si>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110 MM INSTALADO EM RESERVAÇÃO PREDIAL DE ÁGUA - FORNECIMENTO E INSTALAÇÃO. AF_04/2024</t>
  </si>
  <si>
    <t xml:space="preserve">TÊ, PVC, SOLDÁVEL, DN 25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</si>
  <si>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</si>
  <si>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</si>
  <si>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</si>
  <si>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</si>
  <si>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</si>
  <si>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</si>
  <si>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</si>
  <si>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</si>
  <si>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</si>
  <si>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</si>
  <si>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</si>
  <si>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Instalações Hidráulicas em PEX</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</si>
  <si>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</si>
  <si>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</si>
  <si>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</si>
  <si>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</si>
  <si>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</si>
  <si>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</si>
  <si>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</si>
  <si>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</si>
  <si>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</si>
  <si>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</si>
  <si>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</si>
  <si>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</si>
  <si>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</si>
  <si>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</si>
  <si>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</si>
  <si>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</si>
  <si>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</si>
  <si>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</si>
  <si>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</si>
  <si>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</si>
  <si>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</si>
  <si>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</si>
  <si>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</si>
  <si>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</si>
  <si>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</si>
  <si>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</si>
  <si>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</si>
  <si>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</si>
  <si>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</si>
  <si>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</si>
  <si>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</si>
  <si>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</si>
  <si>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</si>
  <si>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</si>
  <si>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</si>
  <si>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</si>
  <si>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</si>
  <si>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</si>
  <si>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</si>
  <si>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</si>
  <si>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</si>
  <si>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</si>
  <si>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</si>
  <si>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</si>
  <si>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</si>
  <si>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</si>
  <si>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</si>
  <si>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</si>
  <si>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</si>
  <si>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</si>
  <si>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</si>
  <si>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</si>
  <si>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</si>
  <si>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</si>
  <si>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</si>
  <si>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</si>
  <si>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</si>
  <si>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</si>
  <si>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</si>
  <si>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</si>
  <si>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</si>
  <si>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</si>
  <si>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</si>
  <si>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</si>
  <si>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</si>
  <si>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</si>
  <si>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</si>
  <si>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</si>
  <si>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</si>
  <si>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</si>
  <si>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</si>
  <si>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</si>
  <si>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</si>
  <si>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</si>
  <si>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</si>
  <si>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</si>
  <si>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</si>
  <si>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</si>
  <si>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</si>
  <si>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</si>
  <si>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</si>
  <si>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</si>
  <si>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</si>
  <si>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</si>
  <si>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LUVA, PARA INSTALAÇÕES EM PEX ÁGUA, DN 16 MM, COM ANEL DESLIZANTE - FORNECIMENTO E INSTALAÇÃO. AF_02/2023</t>
  </si>
  <si>
    <t xml:space="preserve">LUVA, PARA INSTALAÇÕES EM PEX ÁGUA, DN 20 MM, COM ANEL DESLIZANTE - FORNECIMENTO E INSTALAÇÃO. AF_02/2023</t>
  </si>
  <si>
    <t xml:space="preserve">LUVA, PARA INSTALAÇÕES EM PEX ÁGUA, DN 25 MM, COM ANEL DESLIZANTE - FORNECIMENTO E INSTALAÇÃO. AF_02/2023</t>
  </si>
  <si>
    <t xml:space="preserve">LUVA, PARA INSTALAÇÕES EM PEX ÁGUA, DN 32 MM, COM ANEL DESLIZANTE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</si>
  <si>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</si>
  <si>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</si>
  <si>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</si>
  <si>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</si>
  <si>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</si>
  <si>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</si>
  <si>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</si>
  <si>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</si>
  <si>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</si>
  <si>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</si>
  <si>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</si>
  <si>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</si>
  <si>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</si>
  <si>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</si>
  <si>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</si>
  <si>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</si>
  <si>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</si>
  <si>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</si>
  <si>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</si>
  <si>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</si>
  <si>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</si>
  <si>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</si>
  <si>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</si>
  <si>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</si>
  <si>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</si>
  <si>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</si>
  <si>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</si>
  <si>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</si>
  <si>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</si>
  <si>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</si>
  <si>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</si>
  <si>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</si>
  <si>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</si>
  <si>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</si>
  <si>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</si>
  <si>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</si>
  <si>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</si>
  <si>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</si>
  <si>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</si>
  <si>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</si>
  <si>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</si>
  <si>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</si>
  <si>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</si>
  <si>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</si>
  <si>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</si>
  <si>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</si>
  <si>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</si>
  <si>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</si>
  <si>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</si>
  <si>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</si>
  <si>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Instalações Hidráulicas em PPR</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</si>
  <si>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</si>
  <si>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</si>
  <si>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</si>
  <si>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</si>
  <si>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</si>
  <si>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CLASSE PN 25, INSTALADO EM PRUMADA DE ÁGUA FORNECIMENTO E INSTALAÇÃO . AF_08/2022</t>
  </si>
  <si>
    <t xml:space="preserve">CONECTOR FÊMEA, PPR, 25 X 1/2, CLASSE PN 25, INSTALADO EM RAMAL DE DISTRIBUIÇÃO DE ÁGUA FORNECIMENTO E INSTALAÇÃO. AF_08/2022</t>
  </si>
  <si>
    <t xml:space="preserve">CONECTOR FÊMEA, PPR, 25 X 1/2, CLASSE PN 25, INSTALADO EM RAMAL OU SUB-RAMAL DE ÁGUA FORNECIMENTO E INSTALAÇÃO. AF_08/2022</t>
  </si>
  <si>
    <t xml:space="preserve">CONECTOR FÊMEA, PPR, 32 X 3/4", CLASSE PN 25, INSTALADO EM RAMAL DE DISTRIBUIÇÃO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</si>
  <si>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</si>
  <si>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</si>
  <si>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25 X 1/2, CLASSE PN 25, INSTALADO EM RAMAL OU SUB-RAMAL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</si>
  <si>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</si>
  <si>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</si>
  <si>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</si>
  <si>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</si>
  <si>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</si>
  <si>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</si>
  <si>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</si>
  <si>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</si>
  <si>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</si>
  <si>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</si>
  <si>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</si>
  <si>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</si>
  <si>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</si>
  <si>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</si>
  <si>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</si>
  <si>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</si>
  <si>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</si>
  <si>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</si>
  <si>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</si>
  <si>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</si>
  <si>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</si>
  <si>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</si>
  <si>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</si>
  <si>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</si>
  <si>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</si>
  <si>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</si>
  <si>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</si>
  <si>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</si>
  <si>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</si>
  <si>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</si>
  <si>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</si>
  <si>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</si>
  <si>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</si>
  <si>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</si>
  <si>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</si>
  <si>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</si>
  <si>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</si>
  <si>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</si>
  <si>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</si>
  <si>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</si>
  <si>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</si>
  <si>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</si>
  <si>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</si>
  <si>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</si>
  <si>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</si>
  <si>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</si>
  <si>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</si>
  <si>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</si>
  <si>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</si>
  <si>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</si>
  <si>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</si>
  <si>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</si>
  <si>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</si>
  <si>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</si>
  <si>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</si>
  <si>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</si>
  <si>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</si>
  <si>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</si>
  <si>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</si>
  <si>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</si>
  <si>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</si>
  <si>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</si>
  <si>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</si>
  <si>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</si>
  <si>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</si>
  <si>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</si>
  <si>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</si>
  <si>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</si>
  <si>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</si>
  <si>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</si>
  <si>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</si>
  <si>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</si>
  <si>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</si>
  <si>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</si>
  <si>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</si>
  <si>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</si>
  <si>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</si>
  <si>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</si>
  <si>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</si>
  <si>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</si>
  <si>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</si>
  <si>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</si>
  <si>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</si>
  <si>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Instalações Prediais de Esgoto - Caixas e Ralos</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</si>
  <si>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</si>
  <si>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</si>
  <si>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</si>
  <si>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</si>
  <si>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</si>
  <si>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</si>
  <si>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</si>
  <si>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</si>
  <si>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</si>
  <si>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Instalações Prediais de Esgoto - Tubos e Conexões</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</si>
  <si>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</si>
  <si>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</si>
  <si>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</si>
  <si>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</si>
  <si>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</si>
  <si>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</si>
  <si>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</si>
  <si>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</si>
  <si>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</si>
  <si>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</si>
  <si>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</si>
  <si>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</si>
  <si>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</si>
  <si>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</si>
  <si>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</si>
  <si>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</si>
  <si>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</si>
  <si>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</si>
  <si>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</si>
  <si>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</si>
  <si>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</si>
  <si>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</si>
  <si>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</si>
  <si>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</si>
  <si>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</si>
  <si>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</si>
  <si>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</si>
  <si>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</si>
  <si>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</si>
  <si>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</si>
  <si>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</si>
  <si>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</si>
  <si>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</si>
  <si>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</si>
  <si>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</si>
  <si>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</si>
  <si>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</si>
  <si>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</si>
  <si>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</si>
  <si>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</si>
  <si>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</si>
  <si>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</si>
  <si>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</si>
  <si>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</si>
  <si>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</si>
  <si>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</si>
  <si>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</si>
  <si>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</si>
  <si>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</si>
  <si>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</si>
  <si>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</si>
  <si>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</si>
  <si>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</si>
  <si>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</si>
  <si>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</si>
  <si>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</si>
  <si>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</si>
  <si>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</si>
  <si>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</si>
  <si>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</si>
  <si>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</si>
  <si>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</si>
  <si>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</si>
  <si>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</si>
  <si>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</si>
  <si>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</si>
  <si>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</si>
  <si>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</si>
  <si>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</si>
  <si>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</si>
  <si>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</si>
  <si>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</si>
  <si>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</si>
  <si>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</si>
  <si>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</si>
  <si>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</si>
  <si>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</si>
  <si>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</si>
  <si>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</si>
  <si>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</si>
  <si>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</si>
  <si>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</si>
  <si>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</si>
  <si>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</si>
  <si>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</si>
  <si>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</si>
  <si>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</si>
  <si>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</si>
  <si>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</si>
  <si>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</si>
  <si>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Instalações Prediais de Água Fria em PVC</t>
  </si>
  <si>
    <t xml:space="preserve">ADAPTADOR CURTO COM BOLSA E ROSCA PARA REGISTRO, PVC, SOLDÁVEL, DN 20MM X 1/2, INSTALADO EM RAMAL OU SUB-RAMAL DE ÁGUA - FORNECIMENTO E INSTALAÇÃO. AF_06/2022</t>
  </si>
  <si>
    <t xml:space="preserve">ADAPTADOR CURTO COM BOLSA E ROSCA PARA REGISTRO, PVC, SOLDÁVEL, DN 25MM X 3/4, INSTALADO EM RAMAL DE DISTRIBUIÇÃO DE ÁGUA - FORNECIMENTO E INSTALAÇÃO. AF_06/2022</t>
  </si>
  <si>
    <t xml:space="preserve">ADAPTADOR CURTO COM BOLSA E ROSCA PARA REGISTRO, PVC, SOLDÁVEL, DN 25MM X 3/4, INSTALADO EM RAMAL OU SUB-RAMAL DE ÁGUA - FORNECIMENTO E INSTALAÇÃO. AF_06/2022</t>
  </si>
  <si>
    <t xml:space="preserve">ADAPTADOR CURTO COM BOLSA E ROSCA PARA REGISTRO, PVC, SOLDÁVEL, DN 32MM X 1, INSTALADO EM PRUMADA DE ÁGUA - FORNECIMENTO E INSTALAÇÃO. AF_06/2022</t>
  </si>
  <si>
    <t xml:space="preserve">ADAPTADOR CURTO COM BOLSA E ROSCA PARA REGISTRO, PVC, SOLDÁVEL, DN 32MM X 1, INSTALADO EM RAMAL DE DISTRIBUIÇÃO DE ÁGUA - FORNECIMENTO E INSTALAÇÃO. AF_06/2022</t>
  </si>
  <si>
    <t xml:space="preserve">ADAPTADOR CURTO COM BOLSA E ROSCA PARA REGISTRO, PVC, SOLDÁVEL, DN 32MM X 1, INSTALADO EM RAMAL OU SUB-RAMAL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</si>
  <si>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</si>
  <si>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1.1/2,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</si>
  <si>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</si>
  <si>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40MM X 1.1/4,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</si>
  <si>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</si>
  <si>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1.1/2,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</si>
  <si>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</si>
  <si>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50MM X 1.1/4, INSTALADO EM PRUMADA DE ÁGUA - FORNECIMENTO E INSTALAÇÃO. AF_06/2022</t>
  </si>
  <si>
    <t xml:space="preserve">ADAPTADOR CURTO COM BOLSA E ROSCA PARA REGISTRO, PVC, SOLDÁVEL, DN 60MM X 2,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</si>
  <si>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</si>
  <si>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INSTALADO EM PRUMADA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</si>
  <si>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</si>
  <si>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</si>
  <si>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</si>
  <si>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</si>
  <si>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</si>
  <si>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</si>
  <si>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</si>
  <si>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</si>
  <si>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</si>
  <si>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</si>
  <si>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</si>
  <si>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</si>
  <si>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</si>
  <si>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</si>
  <si>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</si>
  <si>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50 X 32 MM, INSTALADO EM PRUMADA DE ÁGUA - FORNECIMENTO E INSTALAÇÃO. AF_06/2022</t>
  </si>
  <si>
    <t xml:space="preserve">BUCHA DE REDUÇÃO, LONGA, PVC, SOLDÁVEL, DN 50 X 32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</si>
  <si>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</si>
  <si>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</si>
  <si>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</si>
  <si>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</si>
  <si>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</si>
  <si>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</si>
  <si>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</si>
  <si>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</si>
  <si>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</si>
  <si>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</si>
  <si>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</si>
  <si>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</si>
  <si>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</si>
  <si>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</si>
  <si>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</si>
  <si>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</si>
  <si>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</si>
  <si>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</si>
  <si>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</si>
  <si>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</si>
  <si>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</si>
  <si>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</si>
  <si>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</si>
  <si>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</si>
  <si>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</si>
  <si>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</si>
  <si>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</si>
  <si>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</si>
  <si>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</si>
  <si>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</si>
  <si>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</si>
  <si>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</si>
  <si>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</si>
  <si>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</si>
  <si>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</si>
  <si>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</si>
  <si>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</si>
  <si>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</si>
  <si>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</si>
  <si>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</si>
  <si>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</si>
  <si>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</si>
  <si>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</si>
  <si>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</si>
  <si>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</si>
  <si>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</si>
  <si>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</si>
  <si>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</si>
  <si>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</si>
  <si>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</si>
  <si>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</si>
  <si>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</si>
  <si>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</si>
  <si>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</si>
  <si>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</si>
  <si>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</si>
  <si>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</si>
  <si>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</si>
  <si>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</si>
  <si>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</si>
  <si>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</si>
  <si>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</si>
  <si>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</si>
  <si>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</si>
  <si>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</si>
  <si>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</si>
  <si>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</si>
  <si>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</si>
  <si>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</si>
  <si>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</si>
  <si>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</si>
  <si>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</si>
  <si>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</si>
  <si>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</si>
  <si>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</si>
  <si>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</si>
  <si>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</si>
  <si>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</si>
  <si>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</si>
  <si>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</si>
  <si>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</si>
  <si>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</si>
  <si>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INSTALADO EM RAMAL DE DISTRIBUIÇÃO DE ÁGUA - FORNECIMENTO E INSTALAÇÃO. AF_06/2022</t>
  </si>
  <si>
    <t xml:space="preserve">LUVA COM BUCHA DE LATÃO, PVC, SOLDÁVEL, DN 25MM X 3/4, INSTALADO EM RAMAL OU SUB-RAMAL DE ÁGUA - FORNECIMENTO E INSTALAÇÃO. AF_06/2022</t>
  </si>
  <si>
    <t xml:space="preserve">LUVA COM BUCHA DE LATÃO, PVC, SOLDÁVEL, DN 32MM X 1, INSTALADO EM RAMAL DE DISTRIBUIÇÃO DE ÁGUA FORNECIMENTO E INSTALAÇÃO. AF_06/2022</t>
  </si>
  <si>
    <t xml:space="preserve">LUVA COM BUCHA DE LATÃO, PVC, SOLDÁVEL, DN 32MM X 1, INSTALADO EM RAMAL OU SUB-RAMAL DE ÁGUA FORNECIMENTO E INSTALAÇÃO. AF_06/2022</t>
  </si>
  <si>
    <t xml:space="preserve">LUVA COM ROSCA, PVC, SOLDÁVEL, DN 40MM X 1.1/4", INSTALADO EM RAMAL DE DISTRIBUIÇÃO DE ÁGUA - FORNECIMENTO E INSTALAÇÃO. AF_06/2022</t>
  </si>
  <si>
    <t xml:space="preserve">LUVA COM ROSCA, PVC, SOLDÁVEL, DN 40MM X 1.1/4, INSTALADO EM PRUMADA DE ÁGUA - FORNECIMENTO E INSTALAÇÃO. AF_06/2022</t>
  </si>
  <si>
    <t xml:space="preserve">LUVA COM ROSCA, PVC, SOLDÁVEL, DN 50MM X 1.1/2", INSTALADO EM RAMAL DE DISTRIBUIÇÃO DE ÁGUA - FORNECIMENTO E INSTALAÇÃO. AF_06/2022</t>
  </si>
  <si>
    <t xml:space="preserve">LUVA COM ROSCA, PVC, SOLDÁVEL, DN 50MM X 1.1/2, INSTALADO EM PRUMADA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</si>
  <si>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</si>
  <si>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</si>
  <si>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</si>
  <si>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</si>
  <si>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</si>
  <si>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</si>
  <si>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</si>
  <si>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</si>
  <si>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</si>
  <si>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</si>
  <si>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</si>
  <si>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</si>
  <si>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</si>
  <si>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</si>
  <si>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</si>
  <si>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</si>
  <si>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</si>
  <si>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</si>
  <si>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</si>
  <si>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</si>
  <si>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</si>
  <si>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</si>
  <si>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</si>
  <si>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INSTALADO EM PRUMADA DE ÁGUA FORNECIMENTO E INSTALAÇÃO. AF_06/2022</t>
  </si>
  <si>
    <t xml:space="preserve">LUVA SOLDÁVEL E COM ROSCA, PVC, SOLDÁVEL, DN 25MM X 3/4, INSTALADO EM RAMAL OU SUB-RAMAL DE ÁGUA - FORNECIMENTO E INSTALAÇÃO. AF_06/2022</t>
  </si>
  <si>
    <t xml:space="preserve">LUVA SOLDÁVEL E COM ROSCA, PVC, SOLDÁVEL, DN 32MM X 1, INSTALADO EM PRUMADA DE ÁGUA - FORNECIMENTO E INSTALAÇÃO. AF_06/2022</t>
  </si>
  <si>
    <t xml:space="preserve">LUVA SOLDÁVEL E COM ROSCA, PVC, SOLDÁVEL, DN 32MM X 1, INSTALADO EM RAMAL DE DISTRIBUIÇÃO DE ÁGUA - FORNECIMENTO E INSTALAÇÃO. AF_06/2022</t>
  </si>
  <si>
    <t xml:space="preserve">LUVA SOLDÁVEL E COM ROSCA, PVC, SOLDÁVEL, DN 32MM X 1,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</si>
  <si>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</si>
  <si>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</si>
  <si>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</si>
  <si>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</si>
  <si>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</si>
  <si>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</si>
  <si>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</si>
  <si>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</si>
  <si>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</si>
  <si>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</si>
  <si>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</si>
  <si>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</si>
  <si>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</si>
  <si>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</si>
  <si>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</si>
  <si>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</si>
  <si>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</si>
  <si>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</si>
  <si>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</si>
  <si>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</si>
  <si>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</si>
  <si>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</si>
  <si>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</si>
  <si>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</si>
  <si>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</si>
  <si>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</si>
  <si>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</si>
  <si>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</si>
  <si>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</si>
  <si>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</si>
  <si>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</si>
  <si>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</si>
  <si>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</si>
  <si>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</si>
  <si>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</si>
  <si>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</si>
  <si>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</si>
  <si>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</si>
  <si>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</si>
  <si>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</si>
  <si>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</si>
  <si>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</si>
  <si>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</si>
  <si>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</si>
  <si>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</si>
  <si>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</si>
  <si>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</si>
  <si>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</si>
  <si>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</si>
  <si>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</si>
  <si>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</si>
  <si>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INSTALADO EM RAMAL OU SUB-RAMAL DE ÁGUA - FORNECIMENTO E INSTALAÇÃO. AF_06/2022</t>
  </si>
  <si>
    <t xml:space="preserve">TÊ COM BUCHA DE LATÃO NA BOLSA CENTRAL, PVC, SOLDÁVEL, DN 25MM X 1/2, INSTALADO EM RAMAL OU SUB-RAMAL DE ÁGUA - FORNECIMENTO E INSTALAÇÃO. AF_06/2022</t>
  </si>
  <si>
    <t xml:space="preserve">TÊ COM BUCHA DE LATÃO NA BOLSA CENTRAL, PVC, SOLDÁVEL, DN 25MM X 3/4, INSTALADO EM RAMAL OU SUB-RAMAL DE ÁGUA - FORNECIMENTO E INSTALAÇÃO. AF_06/2022</t>
  </si>
  <si>
    <t xml:space="preserve">TÊ COM BUCHA DE LATÃO NA BOLSA CENTRAL, PVC, SOLDÁVEL, DN 32MM X 3/4, INSTALADO EM RAMAL DE DISTRIBUIÇÃO DE ÁGUA - FORNECIMENTO E INSTALAÇÃO. AF_06/2022</t>
  </si>
  <si>
    <t xml:space="preserve">TÊ COM BUCHA DE LATÃO NA BOLSA CENTRAL, PVC, SOLDÁVEL, DN 32MM X 3/4,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</si>
  <si>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</si>
  <si>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</si>
  <si>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</si>
  <si>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</si>
  <si>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</si>
  <si>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</si>
  <si>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</si>
  <si>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</si>
  <si>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</si>
  <si>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</si>
  <si>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</si>
  <si>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</si>
  <si>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</si>
  <si>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</si>
  <si>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</si>
  <si>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</si>
  <si>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</si>
  <si>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</si>
  <si>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</si>
  <si>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</si>
  <si>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</si>
  <si>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</si>
  <si>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</si>
  <si>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</si>
  <si>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</si>
  <si>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</si>
  <si>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</si>
  <si>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Instalações Prediais de Água Quente em CPVC</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</si>
  <si>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</si>
  <si>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</si>
  <si>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</si>
  <si>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</si>
  <si>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</si>
  <si>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</si>
  <si>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</si>
  <si>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</si>
  <si>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</si>
  <si>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INSTALADO EM RAMAL OU SUB-RAMAL DE ÁGUA FORNECIMENTO E INSTALAÇÃO. AF_06/2022</t>
  </si>
  <si>
    <t xml:space="preserve">CONECTOR, CPVC, SOLDÁVEL, DN 22MM X 1/2, INSTALADO EM RAMAL OU SUB-RAMAL DE ÁGUA FORNECIMENTO E INSTALAÇÃO. AF_06/2022</t>
  </si>
  <si>
    <t xml:space="preserve">CONECTOR, CPVC, SOLDÁVEL, DN 28MM X 1, INSTALADO EM RAMAL DE DISTRIBUIÇÃO DE ÁGUA FORNECIMENTO E INSTALAÇÃO. AF_06/2022</t>
  </si>
  <si>
    <t xml:space="preserve">CONECTOR, CPVC, SOLDÁVEL, DN 28MM X 1, INSTALADO EM RAMAL OU SUB-RAMAL DE ÁGUA FORNECIMENTO E INSTALAÇÃO. AF_06/2022</t>
  </si>
  <si>
    <t xml:space="preserve">CONECTOR, CPVC, SOLDÁVEL, DN 35MM X 1 1/4, INSTALADO EM PRUMADA DE ÁGUA FORNECIMENTO E INSTALAÇÃO. AF_06/2022</t>
  </si>
  <si>
    <t xml:space="preserve">CONECTOR, CPVC, SOLDÁVEL, DN 35MM X 1 1/4, INSTALADO EM RAMAL DE DISTRIBUIÇÃO DE ÁGUA - FORNECIMENTO E INSTALAÇÃO. AF_06/2022</t>
  </si>
  <si>
    <t xml:space="preserve">CONECTOR, CPVC, SOLDÁVEL, DN 35MM X 1 1/4, INSTALADO EM RAMAL OU SUB-RAMAL DE ÁGUA FORNECIMENTO E INSTALAÇÃO. AF_06/2022</t>
  </si>
  <si>
    <t xml:space="preserve">CONECTOR, CPVC, SOLDÁVEL, DN 42MM X 1.1/2", INSTALADO EM RAMAL DE DISTRIBUIÇÃO DE ÁGUA - FORNECIMENTO E INSTALAÇÃO. AF_06/2022</t>
  </si>
  <si>
    <t xml:space="preserve">CONECTOR, CPVC, SOLDÁVEL, DN 42MM X 1.1/2, INSTALADO EM PRUMADA DE ÁGUA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</si>
  <si>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</si>
  <si>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</si>
  <si>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</si>
  <si>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</si>
  <si>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</si>
  <si>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</si>
  <si>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</si>
  <si>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</si>
  <si>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</si>
  <si>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</si>
  <si>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</si>
  <si>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</si>
  <si>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</si>
  <si>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</si>
  <si>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</si>
  <si>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</si>
  <si>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</si>
  <si>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</si>
  <si>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</si>
  <si>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</si>
  <si>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</si>
  <si>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</si>
  <si>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</si>
  <si>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</si>
  <si>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</si>
  <si>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</si>
  <si>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</si>
  <si>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</si>
  <si>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</si>
  <si>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</si>
  <si>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</si>
  <si>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</si>
  <si>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</si>
  <si>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</si>
  <si>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</si>
  <si>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</si>
  <si>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</si>
  <si>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</si>
  <si>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</si>
  <si>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</si>
  <si>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</si>
  <si>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</si>
  <si>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</si>
  <si>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</si>
  <si>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</si>
  <si>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</si>
  <si>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</si>
  <si>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</si>
  <si>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</si>
  <si>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</si>
  <si>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</si>
  <si>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</si>
  <si>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INSTALADO EM RAMAL DE DISTRIBUIÇÃO DE ÁGUA - FORNECIMENTO E INSTALAÇÃO. AF_06/2022</t>
  </si>
  <si>
    <t xml:space="preserve">LUVA DE TRANSIÇÃO, CPVC, SOLDÁVEL, DN42MM X 1.1/2, INSTALADO EM PRUMADA DE ÁGUA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</si>
  <si>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</si>
  <si>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</si>
  <si>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</si>
  <si>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</si>
  <si>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</si>
  <si>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</si>
  <si>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</si>
  <si>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</si>
  <si>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</si>
  <si>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</si>
  <si>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</si>
  <si>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</si>
  <si>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</si>
  <si>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</si>
  <si>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</si>
  <si>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</si>
  <si>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</si>
  <si>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</si>
  <si>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</si>
  <si>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</si>
  <si>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INSTALADO EM RAMAL OU SUB-RAMAL DE ÁGUA FORNECIMENTO E INSTALAÇÃO. AF_06/2022</t>
  </si>
  <si>
    <t xml:space="preserve">TE DE TRANSIÇÃO, CPVC, SOLDÁVEL, DN 22MM X 1/2,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</si>
  <si>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</si>
  <si>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</si>
  <si>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</si>
  <si>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</si>
  <si>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</si>
  <si>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</si>
  <si>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</si>
  <si>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</si>
  <si>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</si>
  <si>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</si>
  <si>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</si>
  <si>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</si>
  <si>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</si>
  <si>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</si>
  <si>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</si>
  <si>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</si>
  <si>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</si>
  <si>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</si>
  <si>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</si>
  <si>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</si>
  <si>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</si>
  <si>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</si>
  <si>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</si>
  <si>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</si>
  <si>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</si>
  <si>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</si>
  <si>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</si>
  <si>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</si>
  <si>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</si>
  <si>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</si>
  <si>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</si>
  <si>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</si>
  <si>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</si>
  <si>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</si>
  <si>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</si>
  <si>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</si>
  <si>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</si>
  <si>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</si>
  <si>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</si>
  <si>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</si>
  <si>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</si>
  <si>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</si>
  <si>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</si>
  <si>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Instalações Prediais de Águas Pluviais - Tubos, Conexões, Caixas e Ralos</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</si>
  <si>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</si>
  <si>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</si>
  <si>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</si>
  <si>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</si>
  <si>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</si>
  <si>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</si>
  <si>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</si>
  <si>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</si>
  <si>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</si>
  <si>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</si>
  <si>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</si>
  <si>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</si>
  <si>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</si>
  <si>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</si>
  <si>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</si>
  <si>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</si>
  <si>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</si>
  <si>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</si>
  <si>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</si>
  <si>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</si>
  <si>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</si>
  <si>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</si>
  <si>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</si>
  <si>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</si>
  <si>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</si>
  <si>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</si>
  <si>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</si>
  <si>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</si>
  <si>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</si>
  <si>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</si>
  <si>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</si>
  <si>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</si>
  <si>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</si>
  <si>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</si>
  <si>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</si>
  <si>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</si>
  <si>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</si>
  <si>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</si>
  <si>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</si>
  <si>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</si>
  <si>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</si>
  <si>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</si>
  <si>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</si>
  <si>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</si>
  <si>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</si>
  <si>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</si>
  <si>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</si>
  <si>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</si>
  <si>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</si>
  <si>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</si>
  <si>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</si>
  <si>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</si>
  <si>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</si>
  <si>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</si>
  <si>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</si>
  <si>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</si>
  <si>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</si>
  <si>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</si>
  <si>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</si>
  <si>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</si>
  <si>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</si>
  <si>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</si>
  <si>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</si>
  <si>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</si>
  <si>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</si>
  <si>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</si>
  <si>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</si>
  <si>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</si>
  <si>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</si>
  <si>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</si>
  <si>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</si>
  <si>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</si>
  <si>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</si>
  <si>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</si>
  <si>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</si>
  <si>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</si>
  <si>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</si>
  <si>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</si>
  <si>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</si>
  <si>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</si>
  <si>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</si>
  <si>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</si>
  <si>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</si>
  <si>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</si>
  <si>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</si>
  <si>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</si>
  <si>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Instalações de Divisórias Diversas</t>
  </si>
  <si>
    <t xml:space="preserve">DIVISORIA (N2) - PAINEL/VIDRO - PAINEL C/ MSO/COMEIA E=35MM - PERFIS SIMPLES ACO GALVANIZADO PINTADO. AF_10/2025</t>
  </si>
  <si>
    <t xml:space="preserve">DIVISORIA (N2) - PAINEL/VIDRO - PAINEL DE PVC E=35MM - PERFIS SIMPLES ACO GALVANIZADO PINTADO. AF_10/2025</t>
  </si>
  <si>
    <t xml:space="preserve">DIVISORIA (N2) - PAINEL/VIDRO - PAINEL MDF/VIDRO 6 MM, LINHA 90 MM - PERFIS DE ALUMÍNIO EXTRUDADO. AF_10/2025</t>
  </si>
  <si>
    <t xml:space="preserve">DIVISORIA (N3) - PAINEL/VIDRO/PAINEL MSO/COMEIA E=35MM - PERFIS SIMPLES ACO GALVANIZADO PINTADO. AF_10/2025</t>
  </si>
  <si>
    <t xml:space="preserve">DIVISORIA (N3) - PAINEL/VIDRO/PAINEL PVC E=35MM - PERFIS SIMPLES ACO GALVANIZADO PINTADO. AF_10/2025</t>
  </si>
  <si>
    <t xml:space="preserve">DIVISORIA CEGA (N1) - PAINEL MDF, LINHA 90 MM - PERFIS DE ALUMÍNIO EXTRUDADO. AF_10/2025</t>
  </si>
  <si>
    <t xml:space="preserve">DIVISORIA CEGA (N1) - PAINEL MSO/COMEIA E=35MM - PERFIS SIMPLES ACO GALVANIZADO PINTADO. AF_10/2025</t>
  </si>
  <si>
    <t xml:space="preserve">DIVISORIA CEGA (N1) - PAINEL PVC E=35MM - PERFIS SIMPLES ACO GALVANIZADO PINTADO. AF_10/2025</t>
  </si>
  <si>
    <t xml:space="preserve">DIVISORIA SANITÁRIA, EM GRANITO CINZA POLIDO, ESP = 3CM, ASSENTADO COM ARGAMASSA COLANTE AC III-E. AF_10/2025</t>
  </si>
  <si>
    <t xml:space="preserve">DIVISORIA SANITÁRIA, EM MÁRMORE BRANCO POLIDO, ESP = 3CM, ASSENTADO COM ARGAMASSA COLANTE AC III-E. AF_10/2025</t>
  </si>
  <si>
    <t xml:space="preserve">DIVISORIA SANITÁRIA, EM PAINEL DE GRANILITE, ESP = 3CM, ASSENTADO COM ARGAMASSA COLANTE AC III-E. AF_10/2025</t>
  </si>
  <si>
    <t xml:space="preserve">DIVISÓRIA (N3) - PAINEL/VIDRO/PAINEL MDF, LINHA 90 MM - PERFIS DE ALUMINIO EXTRUDADO. AF_10/2025</t>
  </si>
  <si>
    <t xml:space="preserve">DIVISÓRIA EM VIDRO TEMPERADO 10 MM COM PORTA DE CORRER, INCLUSIVE FERRAGENS. AF_10/2025</t>
  </si>
  <si>
    <t xml:space="preserve">DIVISÓRIA FIXA EM VIDRO TEMPERADO 10 MM, SEM ABERTURA. AF_10/2025_PS</t>
  </si>
  <si>
    <t xml:space="preserve">DIVISÓRIA SALA LIMPA - PAINEL PIR 50 MM, PERFIS DE AÇO GALVANIZADO E ACABAMENTO COM PERFIS DE ALUMINIO CANTO ARREDONDADO PINTADO. AF_10/2025</t>
  </si>
  <si>
    <t xml:space="preserve">DIVISÓRIA SANITÁRIA, TIPO CABINE, EM PAINÉIS DE PVC, INCLUSIVE ESTRUTURA, PORTA E FERRAGENS. AF_10/2025</t>
  </si>
  <si>
    <t xml:space="preserve">DIVISÓRIA SANITÁRIA, TIPO CABINE, EM PAINÉIS ESTRUTURAIS TS, INCLUSIVE ESTRUTURA, PORTA E FERRAGENS. AF_10/2025</t>
  </si>
  <si>
    <t xml:space="preserve">PORTA DE CABINE SANITÁRIA EM VIDRO TEMPERADO 8MM, INCLUSIVE DOBRADIÇAS, BATENTE, TRINCO E CONTRA-TRINCO. AF_10/2025</t>
  </si>
  <si>
    <t xml:space="preserve">PORTA PARA DIVISÓRIA MDF/VIDRO 6 MM, LINHA 90 MM, 0,80 X 2,10 M - PERFIS DE ALUMINIO EXTRUDADO, INCLUSO PORTAL, BATENTES, DOBRADIÇAS E FECHADURA. AF_10/2025</t>
  </si>
  <si>
    <t xml:space="preserve">PORTA SALA LIMPA COM VISOR - PAINEL PIR 50 MM. AF_10/2025</t>
  </si>
  <si>
    <t xml:space="preserve">PORTA/PAINEL CEGO PARA DIVISÓRIA (N1) - PAINEL CEGO MSO/COMEIA E=35MM, S/ BONECA, INCLUSO BATENTE, TESTEIRO, DOBRADIÇAS E FECHADURA. AF_10/2025</t>
  </si>
  <si>
    <t xml:space="preserve">PORTA/VIDRO PARA DIVISÓRIA (N2) - PAINEL DE PVC E=35MM, S/ BONECA, INCLUSO BATENTE, TESTEIRO, DOBRADIÇAS E FECHADURA. AF_10/2025</t>
  </si>
  <si>
    <t xml:space="preserve">Instalações de Gás e Incêndio em Aço e Ferro Galvanizado</t>
  </si>
  <si>
    <t xml:space="preserve">ABRIGO PARA HIDRANTE, 75X45X17CM, COM REGISTRO GLOBO ANGULAR 45 GRAUS 2 1/2", ADAPTADOR STORZ 2 1/2", MANGUEIRA DE INCÊNDIO 15M 2 1/2" E ESGUICHO EM LATÃO 2 1/2" - FORNECIMENTO E INSTALAÇÃO. AF_01/2026</t>
  </si>
  <si>
    <t xml:space="preserve">ABRIGO PARA HIDRANTE, 90X60X17CM, COM REGISTRO GLOBO ANGULAR 45 GRAUS 2 1/2", ADAPTADOR STORZ 2 1/2", MANGUEIRA DE INCÊNDIO 20M, REDUÇÃO 2 1/2" X 1 1/2" E ESGUICHO EM LATÃO 1 1/2" - FORNECIMENTO E INSTALAÇÃO. AF_01/2026</t>
  </si>
  <si>
    <t xml:space="preserve">ACOPLAMENTO RÍGIDO EM AÇO, CONEXÃO RANHURADA, DN 50 (2"), INSTALADO EM PRUMADAS - FORNECIMENTO E INSTALAÇÃO. AF_01/2026</t>
  </si>
  <si>
    <t xml:space="preserve">ACOPLAMENTO RÍGIDO EM AÇO, CONEXÃO RANHURADA, DN 65 (2 1/2"), INSTALADO EM PRUMADAS - FORNECIMENTO E INSTALAÇÃO. AF_01/2026</t>
  </si>
  <si>
    <t xml:space="preserve">ACOPLAMENTO RÍGIDO EM AÇO, CONEXÃO RANHURADA, DN 80 (3"), INSTALADO EM PRUMADAS - FORNECIMENTO E INSTALAÇÃO. AF_01/2026</t>
  </si>
  <si>
    <t xml:space="preserve">CAIXA DE INCÊNDIO 45X75X17CM - FORNECIMENTO E INSTALAÇÃO. AF_01/2026</t>
  </si>
  <si>
    <t xml:space="preserve">CAIXA DE INCÊNDIO 60X90X17CM - FORNECIMENTO E INSTALAÇÃO. AF_01/2026</t>
  </si>
  <si>
    <t xml:space="preserve">CONJUNTO DE MANGUEIRA PARA COMBATE A INCÊNDIO EM FIBRA DE POLIESTER PURA, COM 1.1/2", REVESTIDA INTERNAMENTE, COMPRIMENTO DE 15M - FORNECIMENTO E INSTALAÇÃO. AF_01/2026</t>
  </si>
  <si>
    <t xml:space="preserve">CURVA 45 GRAUS, EM AÇO, CONEXÃO RANHURADA, DN 50 (2"), INSTALADO EM PRUMADAS - FORNECIMENTO E INSTALAÇÃO. AF_01/2026</t>
  </si>
  <si>
    <t xml:space="preserve">CURVA 45 GRAUS, EM AÇO, CONEXÃO RANHURADA, DN 65 (2 1/2"), INSTALADO EM PRUMADAS - FORNECIMENTO E INSTALAÇÃO. AF_01/2026</t>
  </si>
  <si>
    <t xml:space="preserve">CURVA 45 GRAUS, EM AÇO, CONEXÃO RANHURADA, DN 80 (3"), INSTALADO EM PRUMADAS - FORNECIMENTO E INSTALAÇÃO. AF_01/2026</t>
  </si>
  <si>
    <t xml:space="preserve">CURVA 45 GRAUS, EM AÇO, CONEXÃO SOLDADA, DN 15 (1/2"), INSTALADO EM RAMAIS E SUB-RAMAIS DE GÁS - FORNECIMENTO E INSTALAÇÃO. AF_01/2026</t>
  </si>
  <si>
    <t xml:space="preserve">CURVA 45 GRAUS, EM AÇO, CONEXÃO SOLDADA, DN 20 (3/4"), INSTALADO EM RAMAIS E SUB-RAMAIS DE GÁS - FORNECIMENTO E INSTALAÇÃO. AF_01/2026</t>
  </si>
  <si>
    <t xml:space="preserve">CURVA 45 GRAUS, EM AÇO, CONEXÃO SOLDADA, DN 25 (1"), INSTALADO EM RAMAIS E SUB-RAMAIS DE GÁS - FORNECIMENTO E INSTALAÇÃO. AF_01/2026</t>
  </si>
  <si>
    <t xml:space="preserve">CURVA 45 GRAUS, EM AÇO, CONEXÃO SOLDADA, DN 25 (1"), INSTALADO EM REDE DE ALIMENTAÇÃO PARA HIDRANTE - FORNECIMENTO E INSTALAÇÃO. AF_01/2026</t>
  </si>
  <si>
    <t xml:space="preserve">CURVA 45 GRAUS, EM AÇO, CONEXÃO SOLDADA, DN 25 (1"), INSTALADO EM REDE DE ALIMENTAÇÃO PARA SPRINKLER - FORNECIMENTO E INSTALAÇÃO. AF_01/2026</t>
  </si>
  <si>
    <t xml:space="preserve">CURVA 45 GRAUS, EM AÇO, CONEXÃO SOLDADA, DN 32 (1 1/4"), INSTALADO EM REDE DE ALIMENTAÇÃO PARA HIDRANTE - FORNECIMENTO E INSTALAÇÃO. AF_01/2026</t>
  </si>
  <si>
    <t xml:space="preserve">CURVA 45 GRAUS, EM AÇO, CONEXÃO SOLDADA, DN 32 (1 1/4"), INSTALADO EM REDE DE ALIMENTAÇÃO PARA SPRINKLER - FORNECIMENTO E INSTALAÇÃO. AF_01/2026</t>
  </si>
  <si>
    <t xml:space="preserve">CURVA 45 GRAUS, EM AÇO, CONEXÃO SOLDADA, DN 40 (1 1/2"), INSTALADO EM REDE DE ALIMENTAÇÃO PARA HIDRANTE - FORNECIMENTO E INSTALAÇÃO. AF_01/2026</t>
  </si>
  <si>
    <t xml:space="preserve">CURVA 45 GRAUS, EM AÇO, CONEXÃO SOLDADA, DN 40 (1 1/2"), INSTALADO EM REDE DE ALIMENTAÇÃO PARA SPRINKLER - FORNECIMENTO E INSTALAÇÃO. AF_01/2026</t>
  </si>
  <si>
    <t xml:space="preserve">CURVA 45 GRAUS, EM AÇO, CONEXÃO SOLDADA, DN 50 (2"), INSTALADO EM PRUMADAS - FORNECIMENTO E INSTALAÇÃO. AF_01/2026</t>
  </si>
  <si>
    <t xml:space="preserve">CURVA 45 GRAUS, EM AÇO, CONEXÃO SOLDADA, DN 50 (2"), INSTALADO EM REDE DE ALIMENTAÇÃO PARA HIDRANTE - FORNECIMENTO E INSTALAÇÃO. AF_01/2026</t>
  </si>
  <si>
    <t xml:space="preserve">CURVA 45 GRAUS, EM AÇO, CONEXÃO SOLDADA, DN 50 (2"), INSTALADO EM REDE DE ALIMENTAÇÃO PARA SPRINKLER - FORNECIMENTO E INSTALAÇÃO. AF_01/2026</t>
  </si>
  <si>
    <t xml:space="preserve">CURVA 45 GRAUS, EM AÇO, CONEXÃO SOLDADA, DN 65 (2 1/2"), INSTALADO EM PRUMADAS - FORNECIMENTO E INSTALAÇÃO. AF_01/2026</t>
  </si>
  <si>
    <t xml:space="preserve">CURVA 45 GRAUS, EM AÇO, CONEXÃO SOLDADA, DN 65 (2 1/2"), INSTALADO EM REDE DE ALIMENTAÇÃO PARA HIDRANTE - FORNECIMENTO E INSTALAÇÃO. AF_01/2026</t>
  </si>
  <si>
    <t xml:space="preserve">CURVA 45 GRAUS, EM AÇO, CONEXÃO SOLDADA, DN 65 (2 1/2"), INSTALADO EM REDE DE ALIMENTAÇÃO PARA SPRINKLER - FORNECIMENTO E INSTALAÇÃO. AF_01/2026</t>
  </si>
  <si>
    <t xml:space="preserve">CURVA 45 GRAUS, EM AÇO, CONEXÃO SOLDADA, DN 80 (3"), INSTALADO EM PRUMADAS - FORNECIMENTO E INSTALAÇÃO. AF_01/2026</t>
  </si>
  <si>
    <t xml:space="preserve">CURVA 45 GRAUS, EM AÇO, CONEXÃO SOLDADA, DN 80 (3"), INSTALADO EM REDE DE ALIMENTAÇÃO PARA HIDRANTE - FORNECIMENTO E INSTALAÇÃO. AF_01/2026</t>
  </si>
  <si>
    <t xml:space="preserve">CURVA 45 GRAUS, EM AÇO, CONEXÃO SOLDADA, DN 80 (3"), INSTALADO EM REDE DE ALIMENTAÇÃO PARA SPRINKLER - FORNECIMENTO E INSTALAÇÃO. AF_01/2026</t>
  </si>
  <si>
    <t xml:space="preserve">CURVA 90 GRAUS, EM AÇO, CONEXÃO RANHURADA, DN 50 (2"), INSTALADO EM PRUMADAS - FORNECIMENTO E INSTALAÇÃO. AF_01/2026</t>
  </si>
  <si>
    <t xml:space="preserve">CURVA 90 GRAUS, EM AÇO, CONEXÃO RANHURADA, DN 65 (2 1/2"), INSTALADO EM PRUMADAS - FORNECIMENTO E INSTALAÇÃO. AF_01/2026</t>
  </si>
  <si>
    <t xml:space="preserve">CURVA 90 GRAUS, EM AÇO, CONEXÃO RANHURADA, DN 80 (3"), INSTALADO EM PRUMADAS - FORNECIMENTO E INSTALAÇÃO. AF_01/2026</t>
  </si>
  <si>
    <t xml:space="preserve">CURVA 90 GRAUS, EM AÇO, CONEXÃO SOLDADA, DN 15 (1/2"), INSTALADO EM RAMAIS E SUB-RAMAIS DE GÁS - FORNECIMENTO E INSTALAÇÃO. AF_01/2026</t>
  </si>
  <si>
    <t xml:space="preserve">CURVA 90 GRAUS, EM AÇO, CONEXÃO SOLDADA, DN 20 (3/4"), INSTALADO EM RAMAIS E SUB-RAMAIS DE GÁS - FORNECIMENTO E INSTALAÇÃO. AF_01/2026</t>
  </si>
  <si>
    <t xml:space="preserve">CURVA 90 GRAUS, EM AÇO, CONEXÃO SOLDADA, DN 25 (1"), INSTALADO EM RAMAIS E SUB-RAMAIS DE GÁS - FORNECIMENTO E INSTALAÇÃO. AF_01/2026</t>
  </si>
  <si>
    <t xml:space="preserve">CURVA 90 GRAUS, EM AÇO, CONEXÃO SOLDADA, DN 25 (1"), INSTALADO EM REDE DE ALIMENTAÇÃO PARA HIDRANTE - FORNECIMENTO E INSTALAÇÃO. AF_01/2026</t>
  </si>
  <si>
    <t xml:space="preserve">CURVA 90 GRAUS, EM AÇO, CONEXÃO SOLDADA, DN 25 (1"), INSTALADO EM REDE DE ALIMENTAÇÃO PARA SPRINKLER - FORNECIMENTO E INSTALAÇÃO. AF_01/2026</t>
  </si>
  <si>
    <t xml:space="preserve">CURVA 90 GRAUS, EM AÇO, CONEXÃO SOLDADA, DN 32 (1 1/4"), INSTALADO EM REDE DE ALIMENTAÇÃO PARA HIDRANTE - FORNECIMENTO E INSTALAÇÃO. AF_01/2026</t>
  </si>
  <si>
    <t xml:space="preserve">CURVA 90 GRAUS, EM AÇO, CONEXÃO SOLDADA, DN 32 (1 1/4"), INSTALADO EM REDE DE ALIMENTAÇÃO PARA SPRINKLER - FORNECIMENTO E INSTALAÇÃO. AF_01/2026</t>
  </si>
  <si>
    <t xml:space="preserve">CURVA 90 GRAUS, EM AÇO, CONEXÃO SOLDADA, DN 40 (1 1/2"), INSTALADO EM REDE DE ALIMENTAÇÃO PARA HIDRANTE - FORNECIMENTO E INSTALAÇÃO. AF_01/2026</t>
  </si>
  <si>
    <t xml:space="preserve">CURVA 90 GRAUS, EM AÇO, CONEXÃO SOLDADA, DN 40 (1 1/2"), INSTALADO EM REDE DE ALIMENTAÇÃO PARA SPRINKLER - FORNECIMENTO E INSTALAÇÃO. AF_01/2026</t>
  </si>
  <si>
    <t xml:space="preserve">CURVA 90 GRAUS, EM AÇO, CONEXÃO SOLDADA, DN 50 (2"), INSTALADO EM PRUMADAS - FORNECIMENTO E INSTALAÇÃO. AF_01/2026</t>
  </si>
  <si>
    <t xml:space="preserve">CURVA 90 GRAUS, EM AÇO, CONEXÃO SOLDADA, DN 50 (2"), INSTALADO EM REDE DE ALIMENTAÇÃO PARA HIDRANTE - FORNECIMENTO E INSTALAÇÃO. AF_01/2026</t>
  </si>
  <si>
    <t xml:space="preserve">CURVA 90 GRAUS, EM AÇO, CONEXÃO SOLDADA, DN 50 (2"), INSTALADO EM REDE DE ALIMENTAÇÃO PARA SPRINKLER - FORNECIMENTO E INSTALAÇÃO. AF_01/2026</t>
  </si>
  <si>
    <t xml:space="preserve">CURVA 90 GRAUS, EM AÇO, CONEXÃO SOLDADA, DN 65 (2 1/2"), INSTALADO EM PRUMADAS - FORNECIMENTO E INSTALAÇÃO. AF_01/2026</t>
  </si>
  <si>
    <t xml:space="preserve">CURVA 90 GRAUS, EM AÇO, CONEXÃO SOLDADA, DN 65 (2 1/2"), INSTALADO EM REDE DE ALIMENTAÇÃO PARA HIDRANTE - FORNECIMENTO E INSTALAÇÃO. AF_01/2026</t>
  </si>
  <si>
    <t xml:space="preserve">CURVA 90 GRAUS, EM AÇO, CONEXÃO SOLDADA, DN 65 (2 1/2"), INSTALADO EM REDE DE ALIMENTAÇÃO PARA SPRINKLER - FORNECIMENTO E INSTALAÇÃO. AF_01/2026</t>
  </si>
  <si>
    <t xml:space="preserve">CURVA 90 GRAUS, EM AÇO, CONEXÃO SOLDADA, DN 80 (3"), INSTALADO EM PRUMADAS - FORNECIMENTO E INSTALAÇÃO. AF_01/2026</t>
  </si>
  <si>
    <t xml:space="preserve">CURVA 90 GRAUS, EM AÇO, CONEXÃO SOLDADA, DN 80 (3"), INSTALADO EM REDE DE ALIMENTAÇÃO PARA HIDRANTE - FORNECIMENTO E INSTALAÇÃO. AF_01/2026</t>
  </si>
  <si>
    <t xml:space="preserve">CURVA 90 GRAUS, EM AÇO, CONEXÃO SOLDADA, DN 80 (3"), INSTALADO EM REDE DE ALIMENTAÇÃO PARA SPRINKLER - FORNECIMENTO E INSTALAÇÃO. AF_01/2026</t>
  </si>
  <si>
    <t xml:space="preserve">EXTINTOR DE INCÊNDIO PORTÁTIL COM CARGA DE CO2 DE 4 KG, CLASSE BC - FORNECIMENTO E INSTALAÇÃO. AF_01/2026_PE</t>
  </si>
  <si>
    <t xml:space="preserve">EXTINTOR DE INCÊNDIO PORTÁTIL COM CARGA DE CO2 DE 6 KG, CLASSE BC - FORNECIMENTO E INSTALAÇÃO. AF_01/2026_PE</t>
  </si>
  <si>
    <t xml:space="preserve">EXTINTOR DE INCÊNDIO PORTÁTIL COM CARGA DE PQS DE 12 KG, CLASSE BC - FORNECIMENTO E INSTALAÇÃO. AF_01/2026_PE</t>
  </si>
  <si>
    <t xml:space="preserve">EXTINTOR DE INCÊNDIO PORTÁTIL COM CARGA DE PQS DE 4 KG, CLASSE BC - FORNECIMENTO E INSTALAÇÃO. AF_01/2026_PE</t>
  </si>
  <si>
    <t xml:space="preserve">EXTINTOR DE INCÊNDIO PORTÁTIL COM CARGA DE PQS DE 6 KG, CLASSE BC - FORNECIMENTO E INSTALAÇÃO. AF_01/2026_PE</t>
  </si>
  <si>
    <t xml:space="preserve">EXTINTOR DE INCÊNDIO PORTÁTIL COM CARGA DE PQS DE 8 KG, CLASSE BC - FORNECIMENTO E INSTALAÇÃO. AF_01/2026_PE</t>
  </si>
  <si>
    <t xml:space="preserve">EXTINTOR DE INCÊNDIO PORTÁTIL COM CARGA DE ÁGUA PRESSURIZADA DE 10 L, CLASSE A - FORNECIMENTO E INSTALAÇÃO. AF_01/2026_PE</t>
  </si>
  <si>
    <t xml:space="preserve">JOELHO 45 GRAUS, EM FERRO GALVANIZADO, CONEXÃO ROSQUEADA, DN 15 (1/2"), INSTALADO EM RAMAIS E SUB-RAMAIS DE GÁS - FORNECIMENTO E INSTALAÇÃO. AF_01/2026</t>
  </si>
  <si>
    <t xml:space="preserve">JOELHO 45 GRAUS, EM FERRO GALVANIZADO, CONEXÃO ROSQUEADA, DN 20 (3/4"), INSTALADO EM RAMAIS E SUB-RAMAIS DE GÁS - FORNECIMENTO E INSTALAÇÃO. AF_01/2026</t>
  </si>
  <si>
    <t xml:space="preserve">JOELHO 45 GRAUS, EM FERRO GALVANIZADO, CONEXÃO ROSQUEADA, DN 25 (1"), INSTALADO EM RAMAIS E SUB-RAMAIS DE GÁS - FORNECIMENTO E INSTALAÇÃO. AF_01/2026</t>
  </si>
  <si>
    <t xml:space="preserve">JOELHO 45 GRAUS, EM FERRO GALVANIZADO, CONEXÃO ROSQUEADA, DN 25 (1"), INSTALADO EM REDE DE ALIMENTAÇÃO PARA SPRINKLER - FORNECIMENTO E INSTALAÇÃO. AF_01/2026</t>
  </si>
  <si>
    <t xml:space="preserve">JOELHO 45 GRAUS, EM FERRO GALVANIZADO, CONEXÃO ROSQUEADA, DN 32 (1 1/4"), INSTALADO EM REDE DE ALIMENTAÇÃO PARA SPRINKLER - FORNECIMENTO E INSTALAÇÃO. AF_01/2026</t>
  </si>
  <si>
    <t xml:space="preserve">JOELHO 45 GRAUS, EM FERRO GALVANIZADO, CONEXÃO ROSQUEADA, DN 40 (1 1/2"), INSTALADO EM REDE DE ALIMENTAÇÃO PARA SPRINKLER - FORNECIMENTO E INSTALAÇÃO. AF_01/2026</t>
  </si>
  <si>
    <t xml:space="preserve">JOELHO 45 GRAUS, EM FERRO GALVANIZADO, CONEXÃO ROSQUEADA, DN 50 (2"), INSTALADO EM REDE DE ALIMENTAÇÃO PARA SPRINKLER - FORNECIMENTO E INSTALAÇÃO. AF_01/2026</t>
  </si>
  <si>
    <t xml:space="preserve">JOELHO 45 GRAUS, EM FERRO GALVANIZADO, CONEXÃO ROSQUEADA, DN 65 (2 1/2"), INSTALADO EM REDE DE ALIMENTAÇÃO PARA SPRINKLER - FORNECIMENTO E INSTALAÇÃO. AF_01/2026</t>
  </si>
  <si>
    <t xml:space="preserve">JOELHO 45 GRAUS, EM FERRO GALVANIZADO, CONEXÃO ROSQUEADA, DN 80 (3"), INSTALADO EM REDE DE ALIMENTAÇÃO PARA HIDRANTE - FORNECIMENTO E INSTALAÇÃO. AF_01/2026</t>
  </si>
  <si>
    <t xml:space="preserve">JOELHO 45 GRAUS, EM FERRO GALVANIZADO, CONEXÃO ROSQUEADA, DN 80 (3"), INSTALADO EM REDE DE ALIMENTAÇÃO PARA SPRINKLER - FORNECIMENTO E INSTALAÇÃO. AF_01/2026</t>
  </si>
  <si>
    <t xml:space="preserve">JOELHO 45 GRAUS, EM FERRO GALVANIZADO, DN 25 (1"), CONEXÃO ROSQUEADA, INSTALADO EM REDE DE ALIMENTAÇÃO PARA HIDRANTE - FORNECIMENTO E INSTALAÇÃO. AF_01/2026</t>
  </si>
  <si>
    <t xml:space="preserve">JOELHO 45 GRAUS, EM FERRO GALVANIZADO, DN 32 (1 1/4"), CONEXÃO ROSQUEADA, INSTALADO EM REDE DE ALIMENTAÇÃO PARA HIDRANTE - FORNECIMENTO E INSTALAÇÃO. AF_01/2026</t>
  </si>
  <si>
    <t xml:space="preserve">JOELHO 45 GRAUS, EM FERRO GALVANIZADO, DN 40 (1 1/2"), CONEXÃO ROSQUEADA, INSTALADO EM REDE DE ALIMENTAÇÃO PARA HIDRANTE - FORNECIMENTO E INSTALAÇÃO. AF_01/2026</t>
  </si>
  <si>
    <t xml:space="preserve">JOELHO 45 GRAUS, EM FERRO GALVANIZADO, DN 50 (2"), CONEXÃO ROSQUEADA, INSTALADO EM PRUMADAS - FORNECIMENTO E INSTALAÇÃO. AF_01/2026</t>
  </si>
  <si>
    <t xml:space="preserve">JOELHO 45 GRAUS, EM FERRO GALVANIZADO, DN 50 (2"), CONEXÃO ROSQUEADA, INSTALADO EM REDE DE ALIMENTAÇÃO PARA HIDRANTE - FORNECIMENTO E INSTALAÇÃO. AF_01/2026</t>
  </si>
  <si>
    <t xml:space="preserve">JOELHO 45 GRAUS, EM FERRO GALVANIZADO, DN 65 (2 1/2"), CONEXÃO ROSQUEADA, INSTALADO EM PRUMADAS - FORNECIMENTO E INSTALAÇÃO. AF_01/2026</t>
  </si>
  <si>
    <t xml:space="preserve">JOELHO 45 GRAUS, EM FERRO GALVANIZADO, DN 65 (2 1/2"), CONEXÃO ROSQUEADA, INSTALADO EM REDE DE ALIMENTAÇÃO PARA HIDRANTE - FORNECIMENTO E INSTALAÇÃO. AF_01/2026</t>
  </si>
  <si>
    <t xml:space="preserve">JOELHO 45 GRAUS, EM FERRO GALVANIZADO, DN 80 (3"), CONEXÃO ROSQUEADA, INSTALADO EM PRUMADAS - FORNECIMENTO E INSTALAÇÃO. AF_01/2026</t>
  </si>
  <si>
    <t xml:space="preserve">JOELHO 90 GRAUS, EM FERRO GALVANIZADO, CONEXÃO ROSQUEADA, DN 15 (1/2"), INSTALADO EM RAMAIS E SUB-RAMAIS DE GÁS - FORNECIMENTO E INSTALAÇÃO. AF_01/2026</t>
  </si>
  <si>
    <t xml:space="preserve">JOELHO 90 GRAUS, EM FERRO GALVANIZADO, CONEXÃO ROSQUEADA, DN 20 (3/4"), INSTALADO EM RAMAIS E SUB-RAMAIS DE GÁS - FORNECIMENTO E INSTALAÇÃO. AF_01/2026</t>
  </si>
  <si>
    <t xml:space="preserve">JOELHO 90 GRAUS, EM FERRO GALVANIZADO, CONEXÃO ROSQUEADA, DN 25 (1"), INSTALADO EM RAMAIS E SUB-RAMAIS DE GÁS - FORNECIMENTO E INSTALAÇÃO. AF_01/2026</t>
  </si>
  <si>
    <t xml:space="preserve">JOELHO 90 GRAUS, EM FERRO GALVANIZADO, CONEXÃO ROSQUEADA, DN 25 (1"), INSTALADO EM REDE DE ALIMENTAÇÃO PARA SPRINKLER - FORNECIMENTO E INSTALAÇÃO. AF_01/2026</t>
  </si>
  <si>
    <t xml:space="preserve">JOELHO 90 GRAUS, EM FERRO GALVANIZADO, CONEXÃO ROSQUEADA, DN 32 (1 1/4"), INSTALADO EM REDE DE ALIMENTAÇÃO PARA SPRINKLER - FORNECIMENTO E INSTALAÇÃO. AF_01/2026</t>
  </si>
  <si>
    <t xml:space="preserve">JOELHO 90 GRAUS, EM FERRO GALVANIZADO, CONEXÃO ROSQUEADA, DN 40 (1 1/2"), INSTALADO EM REDE DE ALIMENTAÇÃO PARA SPRINKLER - FORNECIMENTO E INSTALAÇÃO. AF_01/2026</t>
  </si>
  <si>
    <t xml:space="preserve">JOELHO 90 GRAUS, EM FERRO GALVANIZADO, CONEXÃO ROSQUEADA, DN 50 (2"), INSTALADO EM REDE DE ALIMENTAÇÃO PARA SPRINKLER - FORNECIMENTO E INSTALAÇÃO. AF_01/2026</t>
  </si>
  <si>
    <t xml:space="preserve">JOELHO 90 GRAUS, EM FERRO GALVANIZADO, CONEXÃO ROSQUEADA, DN 65 (2 1/2"), INSTALADO EM REDE DE ALIMENTAÇÃO PARA SPRINKLER - FORNECIMENTO E INSTALAÇÃO. AF_01/2026</t>
  </si>
  <si>
    <t xml:space="preserve">JOELHO 90 GRAUS, EM FERRO GALVANIZADO, CONEXÃO ROSQUEADA, DN 80 (3"), INSTALADO EM REDE DE ALIMENTAÇÃO PARA HIDRANTE - FORNECIMENTO E INSTALAÇÃO. AF_01/2026</t>
  </si>
  <si>
    <t xml:space="preserve">JOELHO 90 GRAUS, EM FERRO GALVANIZADO, CONEXÃO ROSQUEADA, DN 80 (3"), INSTALADO EM REDE DE ALIMENTAÇÃO PARA SPRINKLER - FORNECIMENTO E INSTALAÇÃO. AF_01/2026</t>
  </si>
  <si>
    <t xml:space="preserve">JOELHO 90 GRAUS, EM FERRO GALVANIZADO, DN 25 (1"), CONEXÃO ROSQUEADA, INSTALADO EM REDE DE ALIMENTAÇÃO PARA HIDRANTE - FORNECIMENTO E INSTALAÇÃO. AF_01/2026</t>
  </si>
  <si>
    <t xml:space="preserve">JOELHO 90 GRAUS, EM FERRO GALVANIZADO, DN 32 (1 1/4"), CONEXÃO ROSQUEADA, INSTALADO EM REDE DE ALIMENTAÇÃO PARA HIDRANTE - FORNECIMENTO E INSTALAÇÃO. AF_01/2026</t>
  </si>
  <si>
    <t xml:space="preserve">JOELHO 90 GRAUS, EM FERRO GALVANIZADO, DN 40 (1 1/2"), CONEXÃO ROSQUEADA, INSTALADO EM REDE DE ALIMENTAÇÃO PARA HIDRANTE - FORNECIMENTO E INSTALAÇÃO. AF_01/2026</t>
  </si>
  <si>
    <t xml:space="preserve">JOELHO 90 GRAUS, EM FERRO GALVANIZADO, DN 50 (2"), CONEXÃO ROSQUEADA, INSTALADO EM PRUMADAS - FORNECIMENTO E INSTALAÇÃO. AF_01/2026</t>
  </si>
  <si>
    <t xml:space="preserve">JOELHO 90 GRAUS, EM FERRO GALVANIZADO, DN 50 (2"), CONEXÃO ROSQUEADA, INSTALADO EM REDE DE ALIMENTAÇÃO PARA HIDRANTE - FORNECIMENTO E INSTALAÇÃO. AF_01/2026</t>
  </si>
  <si>
    <t xml:space="preserve">JOELHO 90 GRAUS, EM FERRO GALVANIZADO, DN 65 (2 1/2"), CONEXÃO ROSQUEADA, INSTALADO EM PRUMADAS - FORNECIMENTO E INSTALAÇÃO. AF_01/2026</t>
  </si>
  <si>
    <t xml:space="preserve">JOELHO 90 GRAUS, EM FERRO GALVANIZADO, DN 65 (2 1/2"), CONEXÃO ROSQUEADA, INSTALADO EM REDE DE ALIMENTAÇÃO PARA HIDRANTE - FORNECIMENTO E INSTALAÇÃO. AF_01/2026</t>
  </si>
  <si>
    <t xml:space="preserve">JOELHO 90 GRAUS, EM FERRO GALVANIZADO, DN 80 (3"), CONEXÃO ROSQUEADA, INSTALADO EM PRUMADAS - FORNECIMENTO E INSTALAÇÃO. AF_01/2026</t>
  </si>
  <si>
    <t xml:space="preserve">JOELHO 90°, EM FERRO GALVANIZADO, 4", CONEXÃO ROSQUEADA, INSTALADO EM PRUMADAS - FORNECIMENTO E INSTALAÇÃO. AF_01/2026</t>
  </si>
  <si>
    <t xml:space="preserve">JOELHO 90°, EM FERRO GALVANIZADO, 4", CONEXÃO ROSQUEADA, INSTALADO EM REDE DE ALIMENTAÇÃO PARA HIDRANTE - FORNECIMENTO E INSTALAÇÃO. AF_01/2026</t>
  </si>
  <si>
    <t xml:space="preserve">LUVA COM REDUÇÃO, EM AÇO, CONEXÃO SOLDADA, DN 20 X 15 MM (3/4" X 1/2"), INSTALADO EM RAMAIS E SUB-RAMAIS DE GÁS - FORNECIMENTO E INSTALAÇÃO. AF_01/2026</t>
  </si>
  <si>
    <t xml:space="preserve">LUVA COM REDUÇÃO, EM AÇO, CONEXÃO SOLDADA, DN 25 X 20 MM (1 X 3/4"), INSTALADO EM REDE DE ALIMENTAÇÃO PARA HIDRANTE - FORNECIMENTO E INSTALAÇÃO. AF_01/2026</t>
  </si>
  <si>
    <t xml:space="preserve">LUVA COM REDUÇÃO, EM AÇO, CONEXÃO SOLDADA, DN 25 X 20 MM (1" X 3/4"), INSTALADO EM RAMAIS E SUB-RAMAIS DE GÁS - FORNECIMENTO E INSTALAÇÃO. AF_01/2026</t>
  </si>
  <si>
    <t xml:space="preserve">LUVA COM REDUÇÃO, EM AÇO, CONEXÃO SOLDADA, DN 25 X 20 MM (1" X 3/4"), INSTALADO EM REDE DE ALIMENTAÇÃO PARA SPRINKLER - FORNECIMENTO E INSTALAÇÃO. AF_01/2026</t>
  </si>
  <si>
    <t xml:space="preserve">LUVA COM REDUÇÃO, EM AÇO, CONEXÃO SOLDADA, DN 32 X 25 MM (1 1/4" X 1"), INSTALADO EM REDE DE ALIMENTAÇÃO PARA HIDRANTE - FORNECIMENTO E INSTALAÇÃO. AF_01/2026</t>
  </si>
  <si>
    <t xml:space="preserve">LUVA COM REDUÇÃO, EM AÇO, CONEXÃO SOLDADA, DN 32 X 25 MM (1 1/4" X 1"), INSTALADO EM REDE DE ALIMENTAÇÃO PARA SPRINKLER - FORNECIMENTO E INSTALAÇÃO. AF_01/2026</t>
  </si>
  <si>
    <t xml:space="preserve">LUVA COM REDUÇÃO, EM AÇO, CONEXÃO SOLDADA, DN 40 X 32 MM (1 1/2" X 1 1/4"), INSTALADO EM REDE DE ALIMENTAÇÃO PARA HIDRANTE - FORNECIMENTO E INSTALAÇÃO. AF_01/2026</t>
  </si>
  <si>
    <t xml:space="preserve">LUVA COM REDUÇÃO, EM AÇO, CONEXÃO SOLDADA, DN 40 X 32 MM (1 1/2" X 1 1/4"), INSTALADO EM REDE DE ALIMENTAÇÃO PARA SPRINKLER - FORNECIMENTO E INSTALAÇÃO. AF_01/2026</t>
  </si>
  <si>
    <t xml:space="preserve">LUVA COM REDUÇÃO, EM AÇO, CONEXÃO SOLDADA, DN 50 X 40 MM (2 X 1 1/2"), INSTALADO EM PRUMADAS - FORNECIMENTO E INSTALAÇÃO. AF_01/2026</t>
  </si>
  <si>
    <t xml:space="preserve">LUVA COM REDUÇÃO, EM AÇO, CONEXÃO SOLDADA, DN 50 X 40 MM (2" X 1 1/2"), INSTALADO EM REDE DE ALIMENTAÇÃO PARA HIDRANTE - FORNECIMENTO E INSTALAÇÃO. AF_01/2026</t>
  </si>
  <si>
    <t xml:space="preserve">LUVA COM REDUÇÃO, EM AÇO, CONEXÃO SOLDADA, DN 50 X 40 MM (2" X 1 1/2"), INSTALADO EM REDE DE ALIMENTAÇÃO PARA SPRINKLER - FORNECIMENTO E INSTALAÇÃO. AF_01/2026</t>
  </si>
  <si>
    <t xml:space="preserve">LUVA COM REDUÇÃO, EM AÇO, CONEXÃO SOLDADA, DN 65 X 50 MM (2 1/2" X 2"), INSTALADO EM PRUMADAS - FORNECIMENTO E INSTALAÇÃO. AF_01/2026</t>
  </si>
  <si>
    <t xml:space="preserve">LUVA COM REDUÇÃO, EM AÇO, CONEXÃO SOLDADA, DN 65 X 50 MM (2 1/2" X 2"), INSTALADO EM REDE DE ALIMENTAÇÃO PARA HIDRANTE - FORNECIMENTO E INSTALAÇÃO. AF_01/2026</t>
  </si>
  <si>
    <t xml:space="preserve">LUVA COM REDUÇÃO, EM AÇO, CONEXÃO SOLDADA, DN 65 X 50 MM (2 1/2" X 2"), INSTALADO EM REDE DE ALIMENTAÇÃO PARA SPRINKLER - FORNECIMENTO E INSTALAÇÃO. AF_01/2026</t>
  </si>
  <si>
    <t xml:space="preserve">LUVA COM REDUÇÃO, EM AÇO, CONEXÃO SOLDADA, DN 80 X 65 MM (3" X 2 1/2"), INSTALADO EM PRUMADAS - FORNECIMENTO E INSTALAÇÃO. AF_01/2026</t>
  </si>
  <si>
    <t xml:space="preserve">LUVA COM REDUÇÃO, EM AÇO, CONEXÃO SOLDADA, DN 80 X 65 MM (3" X 2 1/2"), INSTALADO EM REDE DE ALIMENTAÇÃO PARA HIDRANTE - FORNECIMENTO E INSTALAÇÃO. AF_01/2026</t>
  </si>
  <si>
    <t xml:space="preserve">LUVA COM REDUÇÃO, EM AÇO, CONEXÃO SOLDADA, DN 80 X 65 MM (3" X 2 1/2"), INSTALADO EM REDE DE ALIMENTAÇÃO PARA SPRINKLER - FORNECIMENTO E INSTALAÇÃO. AF_01/2026</t>
  </si>
  <si>
    <t xml:space="preserve">LUVA DE REDUÇÃO, EM FERRO GALVANIZADO, 1 1/2" X 1 1/4", CONEXÃO ROSQUEADA, INSTALADO EM REDE DE ALIMENTAÇÃO PARA HIDRANTE - FORNECIMENTO E INSTALAÇÃO. AF_01/2026</t>
  </si>
  <si>
    <t xml:space="preserve">LUVA DE REDUÇÃO, EM FERRO GALVANIZADO, 1 1/2" X 1 1/4", CONEXÃO ROSQUEADA, INSTALADO EM REDE DE ALIMENTAÇÃO PARA SPRINKLER - FORNECIMENTO E INSTALAÇÃO. AF_01/2026</t>
  </si>
  <si>
    <t xml:space="preserve">LUVA DE REDUÇÃO, EM FERRO GALVANIZADO, 1 1/2" X 1", CONEXÃO ROSQUEADA, INSTALADO EM REDE DE ALIMENTAÇÃO PARA HIDRANTE - FORNECIMENTO E INSTALAÇÃO. AF_01/2026</t>
  </si>
  <si>
    <t xml:space="preserve">LUVA DE REDUÇÃO, EM FERRO GALVANIZADO, 1 1/2" X 1", CONEXÃO ROSQUEADA, INSTALADO EM REDE DE ALIMENTAÇÃO PARA SPRINKLER - FORNECIMENTO E INSTALAÇÃO. AF_01/2026</t>
  </si>
  <si>
    <t xml:space="preserve">LUVA DE REDUÇÃO, EM FERRO GALVANIZADO, 1 1/2" X 3/4", CONEXÃO ROSQUEADA, INSTALADO EM REDE DE ALIMENTAÇÃO PARA HIDRANTE - FORNECIMENTO E INSTALAÇÃO. AF_01/2026</t>
  </si>
  <si>
    <t xml:space="preserve">LUVA DE REDUÇÃO, EM FERRO GALVANIZADO, 1 1/2" X 3/4", CONEXÃO ROSQUEADA, INSTALADO EM REDE DE ALIMENTAÇÃO PARA SPRINKLER - FORNECIMENTO E INSTALAÇÃO. AF_01/2026</t>
  </si>
  <si>
    <t xml:space="preserve">LUVA DE REDUÇÃO, EM FERRO GALVANIZADO, 1 1/4" X 1", CONEXÃO ROSQUEADA, INSTALADO EM REDE DE ALIMENTAÇÃO PARA HIDRANTE - FORNECIMENTO E INSTALAÇÃO. AF_01/2026</t>
  </si>
  <si>
    <t xml:space="preserve">LUVA DE REDUÇÃO, EM FERRO GALVANIZADO, 1 1/4" X 1", CONEXÃO ROSQUEADA, INSTALADO EM REDE DE ALIMENTAÇÃO PARA SPRINKLER - FORNECIMENTO E INSTALAÇÃO. AF_01/2026</t>
  </si>
  <si>
    <t xml:space="preserve">LUVA DE REDUÇÃO, EM FERRO GALVANIZADO, 1 1/4" X 1/2", CONEXÃO ROSQUEADA, INSTALADO EM REDE DE ALIMENTAÇÃO PARA HIDRANTE - FORNECIMENTO E INSTALAÇÃO. AF_01/2026</t>
  </si>
  <si>
    <t xml:space="preserve">LUVA DE REDUÇÃO, EM FERRO GALVANIZADO, 1 1/4" X 1/2", CONEXÃO ROSQUEADA, INSTALADO EM REDE DE ALIMENTAÇÃO PARA SPRINKLER - FORNECIMENTO E INSTALAÇÃO. AF_01/2026</t>
  </si>
  <si>
    <t xml:space="preserve">LUVA DE REDUÇÃO, EM FERRO GALVANIZADO, 1 1/4" X 3/4", CONEXÃO ROSQUEADA, INSTALADO EM REDE DE ALIMENTAÇÃO PARA HIDRANTE - FORNECIMENTO E INSTALAÇÃO. AF_01/2026</t>
  </si>
  <si>
    <t xml:space="preserve">LUVA DE REDUÇÃO, EM FERRO GALVANIZADO, 1 1/4" X 3/4", CONEXÃO ROSQUEADA, INSTALADO EM REDE DE ALIMENTAÇÃO PARA SPRINKLER - FORNECIMENTO E INSTALAÇÃO. AF_01/2026</t>
  </si>
  <si>
    <t xml:space="preserve">LUVA DE REDUÇÃO, EM FERRO GALVANIZADO, 1" X 1/2", CONEXÃO ROSQUEADA, INSTALADO EM REDE DE ALIMENTAÇÃO PARA HIDRANTE - FORNECIMENTO E INSTALAÇÃO. AF_01/2026</t>
  </si>
  <si>
    <t xml:space="preserve">LUVA DE REDUÇÃO, EM FERRO GALVANIZADO, 1" X 1/2", CONEXÃO ROSQUEADA, INSTALADO EM REDE DE ALIMENTAÇÃO PARA SPRINKLER - FORNECIMENTO E INSTALAÇÃO. AF_01/2026</t>
  </si>
  <si>
    <t xml:space="preserve">LUVA DE REDUÇÃO, EM FERRO GALVANIZADO, 1" X 3/4", CONEXÃO ROSQUEADA, INSTALADO EM REDE DE ALIMENTAÇÃO PARA HIDRANTE - FORNECIMENTO E INSTALAÇÃO. AF_01/2026</t>
  </si>
  <si>
    <t xml:space="preserve">LUVA DE REDUÇÃO, EM FERRO GALVANIZADO, 1" X 3/4", CONEXÃO ROSQUEADA, INSTALADO EM REDE DE ALIMENTAÇÃO PARA SPRINKLER - FORNECIMENTO E INSTALAÇÃO. AF_01/2026</t>
  </si>
  <si>
    <t xml:space="preserve">LUVA DE REDUÇÃO, EM FERRO GALVANIZADO, 2 1/2" X 1 1/2", CONEXÃO ROSQUEADA, INSTALADO EM PRUMADAS - FORNECIMENTO E INSTALAÇÃO. AF_01/2026</t>
  </si>
  <si>
    <t xml:space="preserve">LUVA DE REDUÇÃO, EM FERRO GALVANIZADO, 2 1/2" X 1 1/2", CONEXÃO ROSQUEADA, INSTALADO EM REDE DE ALIMENTAÇÃO PARA HIDRANTE - FORNECIMENTO E INSTALAÇÃO. AF_01/2026</t>
  </si>
  <si>
    <t xml:space="preserve">LUVA DE REDUÇÃO, EM FERRO GALVANIZADO, 2 1/2" X 1 1/2", CONEXÃO ROSQUEADA, INSTALADO EM REDE DE ALIMENTAÇÃO PARA SPRINKLER - FORNECIMENTO E INSTALAÇÃO. AF_01/2026</t>
  </si>
  <si>
    <t xml:space="preserve">LUVA DE REDUÇÃO, EM FERRO GALVANIZADO, 2 1/2" X 2", CONEXÃO ROSQUEADA, INSTALADO EM PRUMADAS - FORNECIMENTO E INSTALAÇÃO. AF_01/2026</t>
  </si>
  <si>
    <t xml:space="preserve">LUVA DE REDUÇÃO, EM FERRO GALVANIZADO, 2 1/2" X 2", CONEXÃO ROSQUEADA, INSTALADO EM REDE DE ALIMENTAÇÃO PARA HIDRANTE - FORNECIMENTO E INSTALAÇÃO. AF_01/2026</t>
  </si>
  <si>
    <t xml:space="preserve">LUVA DE REDUÇÃO, EM FERRO GALVANIZADO, 2 1/2" X 2", CONEXÃO ROSQUEADA, INSTALADO EM REDE DE ALIMENTAÇÃO PARA SPRINKLER - FORNECIMENTO E INSTALAÇÃO. AF_01/2026</t>
  </si>
  <si>
    <t xml:space="preserve">LUVA DE REDUÇÃO, EM FERRO GALVANIZADO, 2" X 1 1/2", CONEXÃO ROSQUEADA, INSTALADO EM PRUMADAS - FORNECIMENTO E INSTALAÇÃO. AF_01/2026</t>
  </si>
  <si>
    <t xml:space="preserve">LUVA DE REDUÇÃO, EM FERRO GALVANIZADO, 2" X 1 1/2", CONEXÃO ROSQUEADA, INSTALADO EM REDE DE ALIMENTAÇÃO PARA HIDRANTE - FORNECIMENTO E INSTALAÇÃO. AF_01/2026</t>
  </si>
  <si>
    <t xml:space="preserve">LUVA DE REDUÇÃO, EM FERRO GALVANIZADO, 2" X 1 1/2", CONEXÃO ROSQUEADA, INSTALADO EM REDE DE ALIMENTAÇÃO PARA SPRINKLER - FORNECIMENTO E INSTALAÇÃO. AF_01/2026</t>
  </si>
  <si>
    <t xml:space="preserve">LUVA DE REDUÇÃO, EM FERRO GALVANIZADO, 2" X 1 1/4", CONEXÃO ROSQUEADA, INSTALADO EM PRUMADAS - FORNECIMENTO E INSTALAÇÃO. AF_01/2026</t>
  </si>
  <si>
    <t xml:space="preserve">LUVA DE REDUÇÃO, EM FERRO GALVANIZADO, 2" X 1 1/4", CONEXÃO ROSQUEADA, INSTALADO EM REDE DE ALIMENTAÇÃO PARA HIDRANTE - FORNECIMENTO E INSTALAÇÃO. AF_01/2026</t>
  </si>
  <si>
    <t xml:space="preserve">LUVA DE REDUÇÃO, EM FERRO GALVANIZADO, 2" X 1 1/4", CONEXÃO ROSQUEADA, INSTALADO EM REDE DE ALIMENTAÇÃO PARA SPRINKLER - FORNECIMENTO E INSTALAÇÃO. AF_01/2026</t>
  </si>
  <si>
    <t xml:space="preserve">LUVA DE REDUÇÃO, EM FERRO GALVANIZADO, 2" X 1", CONEXÃO ROSQUEADA, INSTALADO EM PRUMADAS - FORNECIMENTO E INSTALAÇÃO. AF_01/2026</t>
  </si>
  <si>
    <t xml:space="preserve">LUVA DE REDUÇÃO, EM FERRO GALVANIZADO, 2" X 1", CONEXÃO ROSQUEADA, INSTALADO EM REDE DE ALIMENTAÇÃO PARA HIDRANTE - FORNECIMENTO E INSTALAÇÃO. AF_01/2026</t>
  </si>
  <si>
    <t xml:space="preserve">LUVA DE REDUÇÃO, EM FERRO GALVANIZADO, 2" X 1", CONEXÃO ROSQUEADA, INSTALADO EM REDE DE ALIMENTAÇÃO PARA SPRINKLER - FORNECIMENTO E INSTALAÇÃO. AF_01/2026</t>
  </si>
  <si>
    <t xml:space="preserve">LUVA DE REDUÇÃO, EM FERRO GALVANIZADO, 3" X 1 1/2", CONEXÃO ROSQUEADA, INSTALADO EM PRUMADAS - FORNECIMENTO E INSTALAÇÃO. AF_01/2026</t>
  </si>
  <si>
    <t xml:space="preserve">LUVA DE REDUÇÃO, EM FERRO GALVANIZADO, 3" X 2 1/2", CONEXÃO ROSQUEADA, INSTALADO EM PRUMADAS - FORNECIMENTO E INSTALAÇÃO. AF_01/2026</t>
  </si>
  <si>
    <t xml:space="preserve">LUVA DE REDUÇÃO, EM FERRO GALVANIZADO, 3" X 2 1/2", CONEXÃO ROSQUEADA, INSTALADO EM REDE DE ALIMENTAÇÃO PARA HIDRANTE - FORNECIMENTO E INSTALAÇÃO. AF_01/2026</t>
  </si>
  <si>
    <t xml:space="preserve">LUVA DE REDUÇÃO, EM FERRO GALVANIZADO, 3" X 2 1/2", CONEXÃO ROSQUEADA, INSTALADO EM REDE DE ALIMENTAÇÃO PARA SPRINKLER - FORNECIMENTO E INSTALAÇÃO. AF_01/2026</t>
  </si>
  <si>
    <t xml:space="preserve">LUVA DE REDUÇÃO, EM FERRO GALVANIZADO, 3" X 2", CONEXÃO ROSQUEADA, INSTALADO EM PRUMADAS - FORNECIMENTO E INSTALAÇÃO. AF_01/2026</t>
  </si>
  <si>
    <t xml:space="preserve">LUVA DE REDUÇÃO, EM FERRO GALVANIZADO, 3" X 2", CONEXÃO ROSQUEADA, INSTALADO EM REDE DE ALIMENTAÇÃO PARA HIDRANTE - FORNECIMENTO E INSTALAÇÃO. AF_01/2026</t>
  </si>
  <si>
    <t xml:space="preserve">LUVA DE REDUÇÃO, EM FERRO GALVANIZADO, 3" X 2", CONEXÃO ROSQUEADA, INSTALADO EM REDE DE ALIMENTAÇÃO PARA SPRINKLER - FORNECIMENTO E INSTALAÇÃO. AF_01/2026</t>
  </si>
  <si>
    <t xml:space="preserve">LUVA DE REDUÇÃO, EM FERRO GALVANIZADO, 3/4" X 1/2", CONEXÃO ROSQUEADA, INSTALADO EM RAMAIS E SUB-RAMAIS DE GÁS - FORNECIMENTO E INSTALAÇÃO. AF_01/2026</t>
  </si>
  <si>
    <t xml:space="preserve">LUVA DE REDUÇÃO, EM FERRO GALVANIZADO, 4" X 2 1/2", CONEXÃO ROSQUEADA, INSTALADO EM PRUMADAS - FORNECIMENTO E INSTALAÇÃO. AF_01/2026</t>
  </si>
  <si>
    <t xml:space="preserve">LUVA DE REDUÇÃO, EM FERRO GALVANIZADO, 4" X 2 1/2", CONEXÃO ROSQUEADA, INSTALADO EM REDE DE ALIMENTAÇÃO PARA HIDRANTE - FORNECIMENTO E INSTALAÇÃO. AF_01/2026</t>
  </si>
  <si>
    <t xml:space="preserve">LUVA DE REDUÇÃO, EM FERRO GALVANIZADO, 4" X 2", CONEXÃO ROSQUEADA, INSTALADO EM PRUMADAS - FORNECIMENTO E INSTALAÇÃO. AF_01/2026</t>
  </si>
  <si>
    <t xml:space="preserve">LUVA DE REDUÇÃO, EM FERRO GALVANIZADO, 4" X 2", CONEXÃO ROSQUEADA, INSTALADO EM REDE DE ALIMENTAÇÃO PARA HIDRANTE - FORNECIMENTO E INSTALAÇÃO. AF_01/2026</t>
  </si>
  <si>
    <t xml:space="preserve">LUVA DE REDUÇÃO, EM FERRO GALVANIZADO, 4" X 3", CONEXÃO ROSQUEADA, INSTALADO EM PRUMADAS - FORNECIMENTO E INSTALAÇÃO. AF_01/2026</t>
  </si>
  <si>
    <t xml:space="preserve">LUVA DE REDUÇÃO, EM FERRO GALVANIZADO, 4" X 3", CONEXÃO ROSQUEADA, INSTALADO EM REDE DE ALIMENTAÇÃO PARA HIDRANTE - FORNECIMENTO E INSTALAÇÃO. AF_01/2026</t>
  </si>
  <si>
    <t xml:space="preserve">LUVA, EM AÇO, CONEXÃO SOLDADA, DN 15 (1/2"), INSTALADO EM RAMAIS E SUB-RAMAIS DE GÁS - FORNECIMENTO E INSTALAÇÃO. AF_01/2026</t>
  </si>
  <si>
    <t xml:space="preserve">LUVA, EM AÇO, CONEXÃO SOLDADA, DN 20 (3/4"), INSTALADO EM RAMAIS E SUB-RAMAIS DE GÁS - FORNECIMENTO E INSTALAÇÃO. AF_01/2026</t>
  </si>
  <si>
    <t xml:space="preserve">LUVA, EM AÇO, CONEXÃO SOLDADA, DN 25 (1"), INSTALADO EM RAMAIS E SUB-RAMAIS DE GÁS - FORNECIMENTO E INSTALAÇÃO. AF_01/2026</t>
  </si>
  <si>
    <t xml:space="preserve">LUVA, EM AÇO, CONEXÃO SOLDADA, DN 25 (1"), INSTALADO EM REDE DE ALIMENTAÇÃO PARA HIDRANTE - FORNECIMENTO E INSTALAÇÃO. AF_01/2026</t>
  </si>
  <si>
    <t xml:space="preserve">LUVA, EM AÇO, CONEXÃO SOLDADA, DN 25 (1"), INSTALADO EM REDE DE ALIMENTAÇÃO PARA SPRINKLER - FORNECIMENTO E INSTALAÇÃO. AF_01/2026</t>
  </si>
  <si>
    <t xml:space="preserve">LUVA, EM AÇO, CONEXÃO SOLDADA, DN 32 (1 1/4"), INSTALADO EM REDE DE ALIMENTAÇÃO PARA HIDRANTE - FORNECIMENTO E INSTALAÇÃO. AF_01/2026</t>
  </si>
  <si>
    <t xml:space="preserve">LUVA, EM AÇO, CONEXÃO SOLDADA, DN 32 (1 1/4"), INSTALADO EM REDE DE ALIMENTAÇÃO PARA SPRINKLER - FORNECIMENTO E INSTALAÇÃO. AF_01/2026</t>
  </si>
  <si>
    <t xml:space="preserve">LUVA, EM AÇO, CONEXÃO SOLDADA, DN 40 (1 1/2"), INSTALADO EM REDE DE ALIMENTAÇÃO PARA HIDRANTE - FORNECIMENTO E INSTALAÇÃO. AF_01/2026</t>
  </si>
  <si>
    <t xml:space="preserve">LUVA, EM AÇO, CONEXÃO SOLDADA, DN 40 (1 1/2"), INSTALADO EM REDE DE ALIMENTAÇÃO PARA SPRINKLER - FORNECIMENTO E INSTALAÇÃO. AF_01/2026</t>
  </si>
  <si>
    <t xml:space="preserve">LUVA, EM AÇO, CONEXÃO SOLDADA, DN 50 (2"), INSTALADO EM PRUMADAS - FORNECIMENTO E INSTALAÇÃO. AF_01/2026</t>
  </si>
  <si>
    <t xml:space="preserve">LUVA, EM AÇO, CONEXÃO SOLDADA, DN 50 (2"), INSTALADO EM REDE DE ALIMENTAÇÃO PARA HIDRANTE - FORNECIMENTO E INSTALAÇÃO. AF_01/2026</t>
  </si>
  <si>
    <t xml:space="preserve">LUVA, EM AÇO, CONEXÃO SOLDADA, DN 50 (2"), INSTALADO EM REDE DE ALIMENTAÇÃO PARA SPRINKLER - FORNECIMENTO E INSTALAÇÃO. AF_01/2026</t>
  </si>
  <si>
    <t xml:space="preserve">LUVA, EM AÇO, CONEXÃO SOLDADA, DN 65 (2 1/2"), INSTALADO EM PRUMADAS - FORNECIMENTO E INSTALAÇÃO. AF_01/2026</t>
  </si>
  <si>
    <t xml:space="preserve">LUVA, EM AÇO, CONEXÃO SOLDADA, DN 65 (2 1/2"), INSTALADO EM REDE DE ALIMENTAÇÃO PARA HIDRANTE - FORNECIMENTO E INSTALAÇÃO. AF_01/2026</t>
  </si>
  <si>
    <t xml:space="preserve">LUVA, EM AÇO, CONEXÃO SOLDADA, DN 65 (2 1/2"), INSTALADO EM REDE DE ALIMENTAÇÃO PARA SPRINKLER - FORNECIMENTO E INSTALAÇÃO. AF_01/2026</t>
  </si>
  <si>
    <t xml:space="preserve">LUVA, EM AÇO, CONEXÃO SOLDADA, DN 80 (3"), INSTALADO EM PRUMADAS - FORNECIMENTO E INSTALAÇÃO. AF_01/2026</t>
  </si>
  <si>
    <t xml:space="preserve">LUVA, EM AÇO, CONEXÃO SOLDADA, DN 80 (3"), INSTALADO EM REDE DE ALIMENTAÇÃO PARA HIDRANTE - FORNECIMENTO E INSTALAÇÃO. AF_01/2026</t>
  </si>
  <si>
    <t xml:space="preserve">LUVA, EM AÇO, CONEXÃO SOLDADA, DN 80 (3"), INSTALADO EM REDE DE ALIMENTAÇÃO PARA SPRINKLER - FORNECIMENTO E INSTALAÇÃO. AF_01/2026</t>
  </si>
  <si>
    <t xml:space="preserve">LUVA, EM FERRO GALVANIZADO, 4", CONEXÃO ROSQUEADA, INSTALADO EM PRUMADAS - FORNECIMENTO E INSTALAÇÃO. AF_01/2026</t>
  </si>
  <si>
    <t xml:space="preserve">LUVA, EM FERRO GALVANIZADO, 4", CONEXÃO ROSQUEADA, INSTALADO EM REDE DE ALIMENTAÇÃO PARA HIDRANTE - FORNECIMENTO E INSTALAÇÃO. AF_01/2026</t>
  </si>
  <si>
    <t xml:space="preserve">LUVA, EM FERRO GALVANIZADO, CONEXÃO ROSQUEADA, DN 15 (1/2"), INSTALADO EM RAMAIS E SUB-RAMAIS DE GÁS - FORNECIMENTO E INSTALAÇÃO. AF_01/2026</t>
  </si>
  <si>
    <t xml:space="preserve">LUVA, EM FERRO GALVANIZADO, CONEXÃO ROSQUEADA, DN 20 (3/4"), INSTALADO EM RAMAIS E SUB-RAMAIS DE GÁS - FORNECIMENTO E INSTALAÇÃO. AF_01/2026</t>
  </si>
  <si>
    <t xml:space="preserve">LUVA, EM FERRO GALVANIZADO, CONEXÃO ROSQUEADA, DN 25 (1"), INSTALADO EM RAMAIS E SUB-RAMAIS DE GÁS - FORNECIMENTO E INSTALAÇÃO. AF_01/2026</t>
  </si>
  <si>
    <t xml:space="preserve">LUVA, EM FERRO GALVANIZADO, CONEXÃO ROSQUEADA, DN 25 (1"), INSTALADO EM REDE DE ALIMENTAÇÃO PARA SPRINKLER - FORNECIMENTO E INSTALAÇÃO. AF_01/2026</t>
  </si>
  <si>
    <t xml:space="preserve">LUVA, EM FERRO GALVANIZADO, CONEXÃO ROSQUEADA, DN 32 (1 1/4"), INSTALADO EM REDE DE ALIMENTAÇÃO PARA SPRINKLER - FORNECIMENTO E INSTALAÇÃO. AF_01/2026</t>
  </si>
  <si>
    <t xml:space="preserve">LUVA, EM FERRO GALVANIZADO, CONEXÃO ROSQUEADA, DN 40 (1 1/2"), INSTALADO EM REDE DE ALIMENTAÇÃO PARA SPRINKLER - FORNECIMENTO E INSTALAÇÃO. AF_01/2026</t>
  </si>
  <si>
    <t xml:space="preserve">LUVA, EM FERRO GALVANIZADO, CONEXÃO ROSQUEADA, DN 50 (2"), INSTALADO EM REDE DE ALIMENTAÇÃO PARA SPRINKLER - FORNECIMENTO E INSTALAÇÃO. AF_01/2026</t>
  </si>
  <si>
    <t xml:space="preserve">LUVA, EM FERRO GALVANIZADO, CONEXÃO ROSQUEADA, DN 65 (2 1/2"), INSTALADO EM REDE DE ALIMENTAÇÃO PARA SPRINKLER - FORNECIMENTO E INSTALAÇÃO. AF_01/2026</t>
  </si>
  <si>
    <t xml:space="preserve">LUVA, EM FERRO GALVANIZADO, CONEXÃO ROSQUEADA, DN 80 (3"), INSTALADO EM REDE DE ALIMENTAÇÃO PARA SPRINKLER - FORNECIMENTO E INSTALAÇÃO. AF_01/2026</t>
  </si>
  <si>
    <t xml:space="preserve">LUVA, EM FERRO GALVANIZADO, DN 25 (1"), CONEXÃO ROSQUEADA, INSTALADO EM REDE DE ALIMENTAÇÃO PARA HIDRANTE - FORNECIMENTO E INSTALAÇÃO. AF_01/2026</t>
  </si>
  <si>
    <t xml:space="preserve">LUVA, EM FERRO GALVANIZADO, DN 32 (1 1/4"), CONEXÃO ROSQUEADA, INSTALADO EM REDE DE ALIMENTAÇÃO PARA HIDRANTE - FORNECIMENTO E INSTALAÇÃO. AF_01/2026</t>
  </si>
  <si>
    <t xml:space="preserve">LUVA, EM FERRO GALVANIZADO, DN 40 (1 1/2"), CONEXÃO ROSQUEADA, INSTALADO EM REDE DE ALIMENTAÇÃO PARA HIDRANTE - FORNECIMENTO E INSTALAÇÃO. AF_01/2026</t>
  </si>
  <si>
    <t xml:space="preserve">LUVA, EM FERRO GALVANIZADO, DN 50 (2"), CONEXÃO ROSQUEADA, INSTALADO EM PRUMADAS - FORNECIMENTO E INSTALAÇÃO. AF_01/2026</t>
  </si>
  <si>
    <t xml:space="preserve">LUVA, EM FERRO GALVANIZADO, DN 50 (2"), CONEXÃO ROSQUEADA, INSTALADO EM REDE DE ALIMENTAÇÃO PARA HIDRANTE - FORNECIMENTO E INSTALAÇÃO. AF_01/2026</t>
  </si>
  <si>
    <t xml:space="preserve">LUVA, EM FERRO GALVANIZADO, DN 65 (2 1/2"), CONEXÃO ROSQUEADA, INSTALADO EM PRUMADAS - FORNECIMENTO E INSTALAÇÃO. AF_01/2026</t>
  </si>
  <si>
    <t xml:space="preserve">LUVA, EM FERRO GALVANIZADO, DN 65 (2 1/2"), CONEXÃO ROSQUEADA, INSTALADO EM REDE DE ALIMENTAÇÃO PARA HIDRANTE - FORNECIMENTO E INSTALAÇÃO. AF_01/2026</t>
  </si>
  <si>
    <t xml:space="preserve">LUVA, EM FERRO GALVANIZADO, DN 80 (3"), CONEXÃO ROSQUEADA, INSTALADO EM PRUMADAS - FORNECIMENTO E INSTALAÇÃO. AF_01/2026</t>
  </si>
  <si>
    <t xml:space="preserve">LUVA, EM FERRO GALVANIZADO, DN 80 (3"), CONEXÃO ROSQUEADA, INSTALADO EM REDE DE ALIMENTAÇÃO PARA HIDRANTE - FORNECIMENTO E INSTALAÇÃO. AF_01/2026</t>
  </si>
  <si>
    <t xml:space="preserve">MANÔMETRO 0 A 200 PSI (0 A 14 KGF/CM2), D = 50MM - FORNECIMENTO E INSTALAÇÃO. AF_01/2026</t>
  </si>
  <si>
    <t xml:space="preserve">NIPLE, EM FERRO GALVANIZADO, 4", CONEXÃO ROSQUEADA, INSTALADO EM PRUMADAS - FORNECIMENTO E INSTALAÇÃO. AF_01/2026</t>
  </si>
  <si>
    <t xml:space="preserve">NIPLE, EM FERRO GALVANIZADO, 4", CONEXÃO ROSQUEADA, INSTALADO EM REDE DE ALIMENTAÇÃO PARA HIDRANTE - FORNECIMENTO E INSTALAÇÃO. AF_01/2026</t>
  </si>
  <si>
    <t xml:space="preserve">NIPLE, EM FERRO GALVANIZADO, CONEXÃO ROSQUEADA, DN 15 (1/2"), INSTALADO EM RAMAIS E SUB-RAMAIS DE GÁS - FORNECIMENTO E INSTALAÇÃO. AF_01/2026</t>
  </si>
  <si>
    <t xml:space="preserve">NIPLE, EM FERRO GALVANIZADO, CONEXÃO ROSQUEADA, DN 20 (3/4"), INSTALADO EM RAMAIS E SUB-RAMAIS DE GÁS - FORNECIMENTO E INSTALAÇÃO. AF_01/2026</t>
  </si>
  <si>
    <t xml:space="preserve">NIPLE, EM FERRO GALVANIZADO, CONEXÃO ROSQUEADA, DN 25 (1"), INSTALADO EM RAMAIS E SUB-RAMAIS DE GÁS - FORNECIMENTO E INSTALAÇÃO. AF_01/2026</t>
  </si>
  <si>
    <t xml:space="preserve">NIPLE, EM FERRO GALVANIZADO, CONEXÃO ROSQUEADA, DN 25 (1"), INSTALADO EM REDE DE ALIMENTAÇÃO PARA SPRINKLER - FORNECIMENTO E INSTALAÇÃO. AF_01/2026</t>
  </si>
  <si>
    <t xml:space="preserve">NIPLE, EM FERRO GALVANIZADO, CONEXÃO ROSQUEADA, DN 32 (1 1/4"), INSTALADO EM REDE DE ALIMENTAÇÃO PARA SPRINKLER - FORNECIMENTO E INSTALAÇÃO. AF_01/2026</t>
  </si>
  <si>
    <t xml:space="preserve">NIPLE, EM FERRO GALVANIZADO, CONEXÃO ROSQUEADA, DN 40 (1 1/2"), INSTALADO EM REDE DE ALIMENTAÇÃO PARA SPRINKLER - FORNECIMENTO E INSTALAÇÃO. AF_01/2026</t>
  </si>
  <si>
    <t xml:space="preserve">NIPLE, EM FERRO GALVANIZADO, CONEXÃO ROSQUEADA, DN 50 (2"), INSTALADO EM REDE DE ALIMENTAÇÃO PARA SPRINKLER - FORNECIMENTO E INSTALAÇÃO. AF_01/2026</t>
  </si>
  <si>
    <t xml:space="preserve">NIPLE, EM FERRO GALVANIZADO, CONEXÃO ROSQUEADA, DN 65 (2 1/2"), INSTALADO EM REDE DE ALIMENTAÇÃO PARA SPRINKLER - FORNECIMENTO E INSTALAÇÃO. AF_01/2026</t>
  </si>
  <si>
    <t xml:space="preserve">NIPLE, EM FERRO GALVANIZADO, CONEXÃO ROSQUEADA, DN 80 (3"), INSTALADO EM REDE DE ALIMENTAÇÃO PARA SPRINKLER - FORNECIMENTO E INSTALAÇÃO. AF_01/2026</t>
  </si>
  <si>
    <t xml:space="preserve">NIPLE, EM FERRO GALVANIZADO, DN 25 (1"), CONEXÃO ROSQUEADA, INSTALADO EM REDE DE ALIMENTAÇÃO PARA HIDRANTE - FORNECIMENTO E INSTALAÇÃO. AF_01/2026</t>
  </si>
  <si>
    <t xml:space="preserve">NIPLE, EM FERRO GALVANIZADO, DN 32 (1 1/4"), CONEXÃO ROSQUEADA, INSTALADO EM REDE DE ALIMENTAÇÃO PARA HIDRANTE - FORNECIMENTO E INSTALAÇÃO. AF_01/2026</t>
  </si>
  <si>
    <t xml:space="preserve">NIPLE, EM FERRO GALVANIZADO, DN 40 (1 1/2"), CONEXÃO ROSQUEADA, INSTALADO EM REDE DE ALIMENTAÇÃO PARA HIDRANTE - FORNECIMENTO E INSTALAÇÃO. AF_01/2026</t>
  </si>
  <si>
    <t xml:space="preserve">NIPLE, EM FERRO GALVANIZADO, DN 50 (2"), CONEXÃO ROSQUEADA, INSTALADO EM PRUMADAS - FORNECIMENTO E INSTALAÇÃO. AF_01/2026</t>
  </si>
  <si>
    <t xml:space="preserve">NIPLE, EM FERRO GALVANIZADO, DN 50 (2"), CONEXÃO ROSQUEADA, INSTALADO EM REDE DE ALIMENTAÇÃO PARA HIDRANTE - FORNECIMENTO E INSTALAÇÃO. AF_01/2026</t>
  </si>
  <si>
    <t xml:space="preserve">NIPLE, EM FERRO GALVANIZADO, DN 65 (2 1/2"), CONEXÃO ROSQUEADA, INSTALADO EM PRUMADAS - FORNECIMENTO E INSTALAÇÃO. AF_01/2026</t>
  </si>
  <si>
    <t xml:space="preserve">NIPLE, EM FERRO GALVANIZADO, DN 65 (2 1/2"), CONEXÃO ROSQUEADA, INSTALADO EM REDE DE ALIMENTAÇÃO PARA HIDRANTE - FORNECIMENTO E INSTALAÇÃO. AF_01/2026</t>
  </si>
  <si>
    <t xml:space="preserve">NIPLE, EM FERRO GALVANIZADO, DN 80 (3"), CONEXÃO ROSQUEADA, INSTALADO EM PRUMADAS - FORNECIMENTO E INSTALAÇÃO. AF_01/2026</t>
  </si>
  <si>
    <t xml:space="preserve">NIPLE, EM FERRO GALVANIZADO, DN 80 (3"), CONEXÃO ROSQUEADA, INSTALADO EM REDE DE ALIMENTAÇÃO PARA HIDRANTE - FORNECIMENTO E INSTALAÇÃO. AF_01/2026</t>
  </si>
  <si>
    <t xml:space="preserve">REGISTRO DE RECALQUE, HIDRANTE SUBTERRÂNEO PREDIAL, 65 MM - FORNECIMENTO E INSTALAÇÃO. AF_01/2026</t>
  </si>
  <si>
    <t xml:space="preserve">SPRINKLER TIPO PENDENTE, 68 °C, UNIÃO POR ROSCA DN 15 (1/2") - FORNECIMENTO E INSTALAÇÃO. AF_01/2026</t>
  </si>
  <si>
    <t xml:space="preserve">TUBO DE AÇO GALVANIZADO COM COSTURA, CLASSE MÉDIA, CONEXÃO RANHURADA, DN 50 (2"), INSTALADO EM PRUMADAS - FORNECIMENTO E INSTALAÇÃO. AF_01/2026</t>
  </si>
  <si>
    <t xml:space="preserve">TUBO DE AÇO GALVANIZADO COM COSTURA, CLASSE MÉDIA, CONEXÃO RANHURADA, DN 65 (2 1/2"), INSTALADO EM PRUMADAS - FORNECIMENTO E INSTALAÇÃO. AF_01/2026</t>
  </si>
  <si>
    <t xml:space="preserve">TUBO DE AÇO GALVANIZADO COM COSTURA, CLASSE MÉDIA, CONEXÃO RANHURADA, DN 80 (3"), INSTALADO EM PRUMADAS - FORNECIMENTO E INSTALAÇÃO. AF_01/2026</t>
  </si>
  <si>
    <t xml:space="preserve">TUBO DE AÇO GALVANIZADO COM COSTURA, CLASSE MÉDIA, CONEXÃO ROSQUEADA, DN 15 (1/2"), INSTALADO EM RAMAIS E SUB-RAMAIS DE GÁS - FORNECIMENTO E INSTALAÇÃO. AF_01/2026</t>
  </si>
  <si>
    <t xml:space="preserve">TUBO DE AÇO GALVANIZADO COM COSTURA, CLASSE MÉDIA, CONEXÃO ROSQUEADA, DN 20 (3/4"), INSTALADO EM RAMAIS E SUB-RAMAIS DE GÁS - FORNECIMENTO E INSTALAÇÃO. AF_01/2026</t>
  </si>
  <si>
    <t xml:space="preserve">TUBO DE AÇO GALVANIZADO COM COSTURA, CLASSE MÉDIA, CONEXÃO ROSQUEADA, DN 25 (1"), INSTALADO EM RAMAIS E SUB-RAMAIS DE GÁS - FORNECIMENTO E INSTALAÇÃO. AF_01/2026</t>
  </si>
  <si>
    <t xml:space="preserve">TUBO DE AÇO GALVANIZADO COM COSTURA, CLASSE MÉDIA, CONEXÃO ROSQUEADA, DN 25 (1"), INSTALADO EM REDE DE ALIMENTAÇÃO PARA SPRINKLER - FORNECIMENTO E INSTALAÇÃO. AF_01/2026</t>
  </si>
  <si>
    <t xml:space="preserve">TUBO DE AÇO GALVANIZADO COM COSTURA, CLASSE MÉDIA, CONEXÃO ROSQUEADA, DN 32 (1 1/4"), INSTALADO EM REDE DE ALIMENTAÇÃO PARA SPRINKLER - FORNECIMENTO E INSTALAÇÃO. AF_01/2026</t>
  </si>
  <si>
    <t xml:space="preserve">TUBO DE AÇO GALVANIZADO COM COSTURA, CLASSE MÉDIA, CONEXÃO ROSQUEADA, DN 40 (1 1/2"), INSTALADO EM REDE DE ALIMENTAÇÃO PARA SPRINKLER - FORNECIMENTO E INSTALAÇÃO. AF_01/2026</t>
  </si>
  <si>
    <t xml:space="preserve">TUBO DE AÇO GALVANIZADO COM COSTURA, CLASSE MÉDIA, CONEXÃO ROSQUEADA, DN 50 (2"), INSTALADO EM REDE DE ALIMENTAÇÃO PARA SPRINKLER - FORNECIMENTO E INSTALAÇÃO. AF_01/2026</t>
  </si>
  <si>
    <t xml:space="preserve">TUBO DE AÇO GALVANIZADO COM COSTURA, CLASSE MÉDIA, CONEXÃO ROSQUEADA, DN 65 (2 1/2"), INSTALADO EM REDE DE ALIMENTAÇÃO PARA SPRINKLER - FORNECIMENTO E INSTALAÇÃO. AF_01/2026</t>
  </si>
  <si>
    <t xml:space="preserve">TUBO DE AÇO GALVANIZADO COM COSTURA, CLASSE MÉDIA, CONEXÃO ROSQUEADA, DN 80 (3"), INSTALADO EM REDE DE ALIMENTAÇÃO PARA SPRINKLER - FORNECIMENTO E INSTALAÇÃO. AF_01/2026</t>
  </si>
  <si>
    <t xml:space="preserve">TUBO DE AÇO GALVANIZADO COM COSTURA, CLASSE MÉDIA, DN 100 (4"), CONEXÃO ROSQUEADA, INSTALADO EM PRUMADAS - FORNECIMENTO E INSTALAÇÃO. AF_01/2026</t>
  </si>
  <si>
    <t xml:space="preserve">TUBO DE AÇO GALVANIZADO COM COSTURA, CLASSE MÉDIA, DN 100 (4"), CONEXÃO ROSQUEADA, INSTALADO EM REDE DE ALIMENTAÇÃO PARA HIDRANTE - FORNECIMENTO E INSTALAÇÃO. AF_01/2026</t>
  </si>
  <si>
    <t xml:space="preserve">TUBO DE AÇO GALVANIZADO COM COSTURA, CLASSE MÉDIA, DN 25 (1"), CONEXÃO ROSQUEADA, INSTALADO EM REDE DE ALIMENTAÇÃO PARA HIDRANTE - FORNECIMENTO E INSTALAÇÃO. AF_01/2026</t>
  </si>
  <si>
    <t xml:space="preserve">TUBO DE AÇO GALVANIZADO COM COSTURA, CLASSE MÉDIA, DN 32 (1 1/4"), CONEXÃO ROSQUEADA, INSTALADO EM REDE DE ALIMENTAÇÃO PARA HIDRANTE - FORNECIMENTO E INSTALAÇÃO. AF_01/2026</t>
  </si>
  <si>
    <t xml:space="preserve">TUBO DE AÇO GALVANIZADO COM COSTURA, CLASSE MÉDIA, DN 40 (1 1/2"), CONEXÃO ROSQUEADA, INSTALADO EM REDE DE ALIMENTAÇÃO PARA HIDRANTE - FORNECIMENTO E INSTALAÇÃO. AF_01/2026</t>
  </si>
  <si>
    <t xml:space="preserve">TUBO DE AÇO GALVANIZADO COM COSTURA, CLASSE MÉDIA, DN 50 (2"), CONEXÃO ROSQUEADA, INSTALADO EM PRUMADAS - FORNECIMENTO E INSTALAÇÃO. AF_01/2026</t>
  </si>
  <si>
    <t xml:space="preserve">TUBO DE AÇO GALVANIZADO COM COSTURA, CLASSE MÉDIA, DN 50 (2"), CONEXÃO ROSQUEADA, INSTALADO EM REDE DE ALIMENTAÇÃO PARA HIDRANTE - FORNECIMENTO E INSTALAÇÃO. AF_01/2026</t>
  </si>
  <si>
    <t xml:space="preserve">TUBO DE AÇO GALVANIZADO COM COSTURA, CLASSE MÉDIA, DN 65 (2 1/2"), CONEXÃO ROSQUEADA, INSTALADO EM PRUMADAS - FORNECIMENTO E INSTALAÇÃO. AF_01/2026</t>
  </si>
  <si>
    <t xml:space="preserve">TUBO DE AÇO GALVANIZADO COM COSTURA, CLASSE MÉDIA, DN 65 (2 1/2"), CONEXÃO ROSQUEADA, INSTALADO EM REDE DE ALIMENTAÇÃO PARA HIDRANTE - FORNECIMENTO E INSTALAÇÃO. AF_01/2026</t>
  </si>
  <si>
    <t xml:space="preserve">TUBO DE AÇO GALVANIZADO COM COSTURA, CLASSE MÉDIA, DN 80 (3"), CONEXÃO ROSQUEADA, INSTALADO EM PRUMADAS - FORNECIMENTO E INSTALAÇÃO. AF_01/2026</t>
  </si>
  <si>
    <t xml:space="preserve">TUBO DE AÇO GALVANIZADO COM COSTURA, CLASSE MÉDIA, DN 80 (3"), CONEXÃO ROSQUEADA, INSTALADO EM REDE DE ALIMENTAÇÃO PARA HIDRANTE - FORNECIMENTO E INSTALAÇÃO. AF_01/2026</t>
  </si>
  <si>
    <t xml:space="preserve">TUBO DE AÇO PRETO SEM COSTURA, CLASSE MÉDIA, CONEXÃO SOLDADA, DN 15 (1/2"), INSTALADO EM RAMAIS E SUB-RAMAIS DE GÁS - FORNECIMENTO E INSTALAÇÃO. AF_01/2026</t>
  </si>
  <si>
    <t xml:space="preserve">TUBO DE AÇO PRETO SEM COSTURA, CLASSE MÉDIA, CONEXÃO SOLDADA, DN 20 (3/4"), INSTALADO EM RAMAIS E SUB-RAMAIS DE GÁS - FORNECIMENTO E INSTALAÇÃO. AF_01/2026</t>
  </si>
  <si>
    <t xml:space="preserve">TUBO DE AÇO PRETO SEM COSTURA, CLASSE MÉDIA, CONEXÃO SOLDADA, DN 25 (1"), INSTALADO EM RAMAIS E SUB-RAMAIS DE GÁS - FORNECIMENTO E INSTALAÇÃO. AF_01/2026</t>
  </si>
  <si>
    <t xml:space="preserve">TUBO DE AÇO PRETO SEM COSTURA, CONEXÃO SOLDADA, DN 25 (1"), INSTALADO EM REDE DE ALIMENTAÇÃO PARA HIDRANTE - FORNECIMENTO E INSTALAÇÃO. AF_01/2026</t>
  </si>
  <si>
    <t xml:space="preserve">TUBO DE AÇO PRETO SEM COSTURA, CONEXÃO SOLDADA, DN 25 (1"), INSTALADO EM REDE DE ALIMENTAÇÃO PARA SPRINKLER - FORNECIMENTO E INSTALAÇÃO. AF_01/2026</t>
  </si>
  <si>
    <t xml:space="preserve">TUBO DE AÇO PRETO SEM COSTURA, CONEXÃO SOLDADA, DN 32 (1 1/4"), INSTALADO EM REDE DE ALIMENTAÇÃO PARA HIDRANTE - FORNECIMENTO E INSTALAÇÃO. AF_01/2026</t>
  </si>
  <si>
    <t xml:space="preserve">TUBO DE AÇO PRETO SEM COSTURA, CONEXÃO SOLDADA, DN 32 (1 1/4"), INSTALADO EM REDE DE ALIMENTAÇÃO PARA SPRINKLER - FORNECIMENTO E INSTALAÇÃO. AF_01/2026</t>
  </si>
  <si>
    <t xml:space="preserve">TUBO DE AÇO PRETO SEM COSTURA, CONEXÃO SOLDADA, DN 40 (1 1/2"), INSTALADO EM REDE DE ALIMENTAÇÃO PARA HIDRANTE - FORNECIMENTO E INSTALAÇÃO. AF_01/2026</t>
  </si>
  <si>
    <t xml:space="preserve">TUBO DE AÇO PRETO SEM COSTURA, CONEXÃO SOLDADA, DN 40 (1 1/2"), INSTALADO EM REDE DE ALIMENTAÇÃO PARA SPRINKLER - FORNECIMENTO E INSTALAÇÃO. AF_01/2026</t>
  </si>
  <si>
    <t xml:space="preserve">TUBO DE AÇO PRETO SEM COSTURA, CONEXÃO SOLDADA, DN 50 (2"), INSTALADO EM PRUMADAS - FORNECIMENTO E INSTALAÇÃO. AF_01/2026</t>
  </si>
  <si>
    <t xml:space="preserve">TUBO DE AÇO PRETO SEM COSTURA, CONEXÃO SOLDADA, DN 50 (2"), INSTALADO EM REDE DE ALIMENTAÇÃO PARA HIDRANTE - FORNECIMENTO E INSTALAÇÃO. AF_01/2026</t>
  </si>
  <si>
    <t xml:space="preserve">TUBO DE AÇO PRETO SEM COSTURA, CONEXÃO SOLDADA, DN 50 (2"), INSTALADO EM REDE DE ALIMENTAÇÃO PARA SPRINKLER - FORNECIMENTO E INSTALAÇÃO. AF_01/2026</t>
  </si>
  <si>
    <t xml:space="preserve">TUBO DE AÇO PRETO SEM COSTURA, CONEXÃO SOLDADA, DN 65 (2 1/2"), INSTALADO EM PRUMADAS - FORNECIMENTO E INSTALAÇÃO. AF_01/2026</t>
  </si>
  <si>
    <t xml:space="preserve">TUBO DE AÇO PRETO SEM COSTURA, CONEXÃO SOLDADA, DN 65 (2 1/2"), INSTALADO EM REDE DE ALIMENTAÇÃO PARA HIDRANTE - FORNECIMENTO E INSTALAÇÃO. AF_01/2026</t>
  </si>
  <si>
    <t xml:space="preserve">TUBO DE AÇO PRETO SEM COSTURA, CONEXÃO SOLDADA, DN 65 (2 1/2"), INSTALADO EM REDE DE ALIMENTAÇÃO PARA SPRINKLER - FORNECIMENTO E INSTALAÇÃO. AF_01/2026</t>
  </si>
  <si>
    <t xml:space="preserve">TUBO DE AÇO PRETO SEM COSTURA, CONEXÃO SOLDADA, DN 80 (3"), INSTALADO EM PRUMADAS - FORNECIMENTO E INSTALAÇÃO. AF_01/2026</t>
  </si>
  <si>
    <t xml:space="preserve">TUBO DE AÇO PRETO SEM COSTURA, CONEXÃO SOLDADA, DN 80 (3"), INSTALADO EM REDE DE ALIMENTAÇÃO PARA HIDRANTE - FORNECIMENTO E INSTALAÇÃO. AF_01/2026</t>
  </si>
  <si>
    <t xml:space="preserve">TUBO DE AÇO PRETO SEM COSTURA, CONEXÃO SOLDADA, DN 80 (3"), INSTALADO EM REDE DE ALIMENTAÇÃO PARA SPRINKLER - FORNECIMENTO E INSTALAÇÃO. AF_01/2026</t>
  </si>
  <si>
    <t xml:space="preserve">TÊ, EM AÇO, CONEXÃO RANHURADA, DN 50 (2"), INSTALADO EM PRUMADAS - FORNECIMENTO E INSTALAÇÃO. AF_01/2026</t>
  </si>
  <si>
    <t xml:space="preserve">TÊ, EM AÇO, CONEXÃO RANHURADA, DN 65 (2 1/2"), INSTALADO EM PRUMADAS - FORNECIMENTO E INSTALAÇÃO. AF_01/2026</t>
  </si>
  <si>
    <t xml:space="preserve">TÊ, EM AÇO, CONEXÃO RANHURADA, DN 80 (3"), INSTALADO EM PRUMADAS - FORNECIMENTO E INSTALAÇÃO. AF_01/2026</t>
  </si>
  <si>
    <t xml:space="preserve">TÊ, EM AÇO, CONEXÃO SOLDADA, DN 15 (1/2"), INSTALADO EM RAMAIS E SUB-RAMAIS DE GÁS - FORNECIMENTO E INSTALAÇÃO. AF_01/2026</t>
  </si>
  <si>
    <t xml:space="preserve">TÊ, EM AÇO, CONEXÃO SOLDADA, DN 20 (3/4"), INSTALADO EM RAMAIS E SUB-RAMAIS DE GÁS - FORNECIMENTO E INSTALAÇÃO. AF_01/2026</t>
  </si>
  <si>
    <t xml:space="preserve">TÊ, EM AÇO, CONEXÃO SOLDADA, DN 25 (1"), INSTALADO EM RAMAIS E SUB-RAMAIS DE GÁS - FORNECIMENTO E INSTALAÇÃO. AF_01/2026</t>
  </si>
  <si>
    <t xml:space="preserve">TÊ, EM AÇO, CONEXÃO SOLDADA, DN 25 (1"), INSTALADO EM REDE DE ALIMENTAÇÃO PARA HIDRANTE - FORNECIMENTO E INSTALAÇÃO. AF_01/2026</t>
  </si>
  <si>
    <t xml:space="preserve">TÊ, EM AÇO, CONEXÃO SOLDADA, DN 25 (1"), INSTALADO EM REDE DE ALIMENTAÇÃO PARA SPRINKLER - FORNECIMENTO E INSTALAÇÃO. AF_01/2026</t>
  </si>
  <si>
    <t xml:space="preserve">TÊ, EM AÇO, CONEXÃO SOLDADA, DN 32 (1 1/4"), INSTALADO EM REDE DE ALIMENTAÇÃO PARA HIDRANTE - FORNECIMENTO E INSTALAÇÃO. AF_01/2026</t>
  </si>
  <si>
    <t xml:space="preserve">TÊ, EM AÇO, CONEXÃO SOLDADA, DN 32 (1 1/4"), INSTALADO EM REDE DE ALIMENTAÇÃO PARA SPRINKLER - FORNECIMENTO E INSTALAÇÃO. AF_01/2026</t>
  </si>
  <si>
    <t xml:space="preserve">TÊ, EM AÇO, CONEXÃO SOLDADA, DN 40 (1 1/2"), INSTALADO EM REDE DE ALIMENTAÇÃO PARA HIDRANTE - FORNECIMENTO E INSTALAÇÃO. AF_01/2026</t>
  </si>
  <si>
    <t xml:space="preserve">TÊ, EM AÇO, CONEXÃO SOLDADA, DN 40 (1 1/2"), INSTALADO EM REDE DE ALIMENTAÇÃO PARA SPRINKLER - FORNECIMENTO E INSTALAÇÃO. AF_01/2026</t>
  </si>
  <si>
    <t xml:space="preserve">TÊ, EM AÇO, CONEXÃO SOLDADA, DN 50 (2"), INSTALADO EM PRUMADAS - FORNECIMENTO E INSTALAÇÃO. AF_01/2026</t>
  </si>
  <si>
    <t xml:space="preserve">TÊ, EM AÇO, CONEXÃO SOLDADA, DN 50 (2"), INSTALADO EM REDE DE ALIMENTAÇÃO PARA HIDRANTE - FORNECIMENTO E INSTALAÇÃO. AF_01/2026</t>
  </si>
  <si>
    <t xml:space="preserve">TÊ, EM AÇO, CONEXÃO SOLDADA, DN 50 (2"), INSTALADO EM REDE DE ALIMENTAÇÃO PARA SPRINKLER - FORNECIMENTO E INSTALAÇÃO. AF_01/2026</t>
  </si>
  <si>
    <t xml:space="preserve">TÊ, EM AÇO, CONEXÃO SOLDADA, DN 65 (2 1/2"), INSTALADO EM PRUMADAS - FORNECIMENTO E INSTALAÇÃO. AF_01/2026</t>
  </si>
  <si>
    <t xml:space="preserve">TÊ, EM AÇO, CONEXÃO SOLDADA, DN 65 (2 1/2"), INSTALADO EM REDE DE ALIMENTAÇÃO PARA HIDRANTE - FORNECIMENTO E INSTALAÇÃO. AF_01/2026</t>
  </si>
  <si>
    <t xml:space="preserve">TÊ, EM AÇO, CONEXÃO SOLDADA, DN 65 (2 1/2"), INSTALADO EM REDE DE ALIMENTAÇÃO PARA SPRINKLER - FORNECIMENTO E INSTALAÇÃO. AF_01/2026</t>
  </si>
  <si>
    <t xml:space="preserve">TÊ, EM AÇO, CONEXÃO SOLDADA, DN 80 (3"), INSTALADO EM PRUMADAS - FORNECIMENTO E INSTALAÇÃO. AF_01/2026</t>
  </si>
  <si>
    <t xml:space="preserve">TÊ, EM AÇO, CONEXÃO SOLDADA, DN 80 (3"), INSTALADO EM REDE DE ALIMENTAÇÃO PARA HIDRANTE - FORNECIMENTO E INSTALAÇÃO. AF_01/2026</t>
  </si>
  <si>
    <t xml:space="preserve">TÊ, EM AÇO, CONEXÃO SOLDADA, DN 80 (3"), INSTALADO EM REDE DE ALIMENTAÇÃO PARA SPRINKLER - FORNECIMENTO E INSTALAÇÃO. AF_01/2026</t>
  </si>
  <si>
    <t xml:space="preserve">TÊ, EM FERRO GALVANIZADO, 4", CONEXÃO ROSQUEADA, INSTALADO EM PRUMADAS - FORNECIMENTO E INSTALAÇÃO. AF_01/2026</t>
  </si>
  <si>
    <t xml:space="preserve">TÊ, EM FERRO GALVANIZADO, 4", CONEXÃO ROSQUEADA, INSTALADO EM REDE DE ALIMENTAÇÃO PARA HIDRANTE - FORNECIMENTO E INSTALAÇÃO. AF_01/2026</t>
  </si>
  <si>
    <t xml:space="preserve">TÊ, EM FERRO GALVANIZADO, CONEXÃO ROSQUEADA, DN 15 (1/2"), INSTALADO EM RAMAIS E SUB-RAMAIS DE GÁS - FORNECIMENTO E INSTALAÇÃO. AF_01/2026</t>
  </si>
  <si>
    <t xml:space="preserve">TÊ, EM FERRO GALVANIZADO, CONEXÃO ROSQUEADA, DN 20 (3/4"), INSTALADO EM RAMAIS E SUB-RAMAIS DE GÁS - FORNECIMENTO E INSTALAÇÃO. AF_01/2026</t>
  </si>
  <si>
    <t xml:space="preserve">TÊ, EM FERRO GALVANIZADO, CONEXÃO ROSQUEADA, DN 25 (1"), INSTALADO EM RAMAIS E SUB-RAMAIS DE GÁS - FORNECIMENTO E INSTALAÇÃO. AF_01/2026</t>
  </si>
  <si>
    <t xml:space="preserve">TÊ, EM FERRO GALVANIZADO, CONEXÃO ROSQUEADA, DN 25 (1"), INSTALADO EM REDE DE ALIMENTAÇÃO PARA HIDRANTE - FORNECIMENTO E INSTALAÇÃO. AF_01/2026</t>
  </si>
  <si>
    <t xml:space="preserve">TÊ, EM FERRO GALVANIZADO, CONEXÃO ROSQUEADA, DN 25 (1"), INSTALADO EM REDE DE ALIMENTAÇÃO PARA SPRINKLER - FORNECIMENTO E INSTALAÇÃO. AF_01/2026</t>
  </si>
  <si>
    <t xml:space="preserve">TÊ, EM FERRO GALVANIZADO, CONEXÃO ROSQUEADA, DN 32 (1 1/4"), INSTALADO EM REDE DE ALIMENTAÇÃO PARA HIDRANTE - FORNECIMENTO E INSTALAÇÃO. AF_01/2026</t>
  </si>
  <si>
    <t xml:space="preserve">TÊ, EM FERRO GALVANIZADO, CONEXÃO ROSQUEADA, DN 32 (1 1/4"), INSTALADO EM REDE DE ALIMENTAÇÃO PARA SPRINKLER - FORNECIMENTO E INSTALAÇÃO. AF_01/2026</t>
  </si>
  <si>
    <t xml:space="preserve">TÊ, EM FERRO GALVANIZADO, CONEXÃO ROSQUEADA, DN 40 (1 1/2"), INSTALADO EM REDE DE ALIMENTAÇÃO PARA HIDRANTE - FORNECIMENTO E INSTALAÇÃO. AF_01/2026</t>
  </si>
  <si>
    <t xml:space="preserve">TÊ, EM FERRO GALVANIZADO, CONEXÃO ROSQUEADA, DN 40 (1 1/2"), INSTALADO EM REDE DE ALIMENTAÇÃO PARA SPRINKLER - FORNECIMENTO E INSTALAÇÃO. AF_01/2026</t>
  </si>
  <si>
    <t xml:space="preserve">TÊ, EM FERRO GALVANIZADO, CONEXÃO ROSQUEADA, DN 50 (2"), INSTALADO EM REDE DE ALIMENTAÇÃO PARA HIDRANTE - FORNECIMENTO E INSTALAÇÃO- FORNECIMENTO E INSTALAÇÃO. AF_01/2026</t>
  </si>
  <si>
    <t xml:space="preserve">TÊ, EM FERRO GALVANIZADO, CONEXÃO ROSQUEADA, DN 50 (2"), INSTALADO EM REDE DE ALIMENTAÇÃO PARA SPRINKLER - FORNECIMENTO E INSTALAÇÃO. AF_01/2026</t>
  </si>
  <si>
    <t xml:space="preserve">TÊ, EM FERRO GALVANIZADO, CONEXÃO ROSQUEADA, DN 65 (2 1/2"), INSTALADO EM REDE DE ALIMENTAÇÃO PARA HIDRANTE - FORNECIMENTO E INSTALAÇÃO. AF_01/2026</t>
  </si>
  <si>
    <t xml:space="preserve">TÊ, EM FERRO GALVANIZADO, CONEXÃO ROSQUEADA, DN 65 (2 1/2"), INSTALADO EM REDE DE ALIMENTAÇÃO PARA SPRINKLER - FORNECIMENTO E INSTALAÇÃO. AF_01/2026</t>
  </si>
  <si>
    <t xml:space="preserve">TÊ, EM FERRO GALVANIZADO, CONEXÃO ROSQUEADA, DN 80 (3"), INSTALADO EM REDE DE ALIMENTAÇÃO PARA HIDRANTE - FORNECIMENTO E INSTALAÇÃO. AF_01/2026</t>
  </si>
  <si>
    <t xml:space="preserve">TÊ, EM FERRO GALVANIZADO, CONEXÃO ROSQUEADA, DN 80 (3"), INSTALADO EM REDE DE ALIMENTAÇÃO PARA SPRINKLER - FORNECIMENTO E INSTALAÇÃO. AF_01/2026</t>
  </si>
  <si>
    <t xml:space="preserve">TÊ, EM FERRO GALVANIZADO, DN 50 (2"), CONEXÃO ROSQUEADA, INSTALADO EM PRUMADAS - FORNECIMENTO E INSTALAÇÃO. AF_01/2026</t>
  </si>
  <si>
    <t xml:space="preserve">TÊ, EM FERRO GALVANIZADO, DN 65 (2 1/2"), CONEXÃO ROSQUEADA, INSTALADO EM PRUMADAS - FORNECIMENTO E INSTALAÇÃO. AF_01/2026</t>
  </si>
  <si>
    <t xml:space="preserve">TÊ, EM FERRO GALVANIZADO, DN 80 (3"), CONEXÃO ROSQUEADA, INSTALADO EM PRUMADAS - FORNECIMENTO E INSTALAÇÃO. AF_01/2026</t>
  </si>
  <si>
    <t xml:space="preserve">UNIÃO, EM FERRO GALVANIZADO, 4", CONEXÃO ROSQUEADA, INSTALADO EM PRUMADAS - FORNECIMENTO E INSTALAÇÃO. AF_01/2026</t>
  </si>
  <si>
    <t xml:space="preserve">UNIÃO, EM FERRO GALVANIZADO, 4", CONEXÃO ROSQUEADA, INSTALADO EM REDE DE ALIMENTAÇÃO PARA HIDRANTE - FORNECIMENTO E INSTALAÇÃO. AF_01/2026</t>
  </si>
  <si>
    <t xml:space="preserve">UNIÃO, EM FERRO GALVANIZADO, CONEXÃO ROSQUEADA, DN 15 (1/2"), INSTALADO EM RAMAIS E SUB-RAMAIS DE GÁS - FORNECIMENTO E INSTALAÇÃO. AF_01/2026</t>
  </si>
  <si>
    <t xml:space="preserve">UNIÃO, EM FERRO GALVANIZADO, CONEXÃO ROSQUEADA, DN 20 (3/4"), INSTALADO EM RAMAIS E SUB-RAMAIS DE GÁS - FORNECIMENTO E INSTALAÇÃO. AF_01/2026</t>
  </si>
  <si>
    <t xml:space="preserve">UNIÃO, EM FERRO GALVANIZADO, CONEXÃO ROSQUEADA, DN 25 (1"), INSTALADO EM RAMAIS E SUB-RAMAIS DE GÁS - FORNECIMENTO E INSTALAÇÃO. AF_01/2026</t>
  </si>
  <si>
    <t xml:space="preserve">UNIÃO, EM FERRO GALVANIZADO, CONEXÃO ROSQUEADA, DN 25 (1"), INSTALADO EM REDE DE ALIMENTAÇÃO PARA SPRINKLER - FORNECIMENTO E INSTALAÇÃO. AF_01/2026</t>
  </si>
  <si>
    <t xml:space="preserve">UNIÃO, EM FERRO GALVANIZADO, CONEXÃO ROSQUEADA, DN 32 (1 1/4"), INSTALADO EM REDE DE ALIMENTAÇÃO PARA SPRINKLER - FORNECIMENTO E INSTALAÇÃO. AF_01/2026</t>
  </si>
  <si>
    <t xml:space="preserve">UNIÃO, EM FERRO GALVANIZADO, CONEXÃO ROSQUEADA, DN 40 (1 1/2"), INSTALADO EM REDE DE ALIMENTAÇÃO PARA SPRINKLER - FORNECIMENTO E INSTALAÇÃO. AF_01/2026</t>
  </si>
  <si>
    <t xml:space="preserve">UNIÃO, EM FERRO GALVANIZADO, CONEXÃO ROSQUEADA, DN 50 (2"), INSTALADO EM REDE DE ALIMENTAÇÃO PARA SPRINKLER - FORNECIMENTO E INSTALAÇÃO. AF_01/2026</t>
  </si>
  <si>
    <t xml:space="preserve">UNIÃO, EM FERRO GALVANIZADO, CONEXÃO ROSQUEADA, DN 65 (2 1/2"), INSTALADO EM REDE DE ALIMENTAÇÃO PARA SPRINKLER - FORNECIMENTO E INSTALAÇÃO. AF_01/2026</t>
  </si>
  <si>
    <t xml:space="preserve">UNIÃO, EM FERRO GALVANIZADO, CONEXÃO ROSQUEADA, DN 80 (3"), INSTALADO EM REDE DE ALIMENTAÇÃO PARA SPRINKLER - FORNECIMENTO E INSTALAÇÃO. AF_01/2026</t>
  </si>
  <si>
    <t xml:space="preserve">UNIÃO, EM FERRO GALVANIZADO, DN 25 (1"), CONEXÃO ROSQUEADA, INSTALADO EM REDE DE ALIMENTAÇÃO PARA HIDRANTE - FORNECIMENTO E INSTALAÇÃO. AF_01/2026</t>
  </si>
  <si>
    <t xml:space="preserve">UNIÃO, EM FERRO GALVANIZADO, DN 32 (1 1/4"), CONEXÃO ROSQUEADA, INSTALADO EM REDE DE ALIMENTAÇÃO PARA HIDRANTE - FORNECIMENTO E INSTALAÇÃO. AF_01/2026</t>
  </si>
  <si>
    <t xml:space="preserve">UNIÃO, EM FERRO GALVANIZADO, DN 40 (1 1/2"), CONEXÃO ROSQUEADA, INSTALADO EM REDE DE ALIMENTAÇÃO PARA HIDRANTE - FORNECIMENTO E INSTALAÇÃO. AF_01/2026</t>
  </si>
  <si>
    <t xml:space="preserve">UNIÃO, EM FERRO GALVANIZADO, DN 50 (2"), CONEXÃO ROSQUEADA, INSTALADO EM PRUMADAS - FORNECIMENTO E INSTALAÇÃO. AF_01/2026</t>
  </si>
  <si>
    <t xml:space="preserve">UNIÃO, EM FERRO GALVANIZADO, DN 50 (2"), CONEXÃO ROSQUEADA, INSTALADO EM REDE DE ALIMENTAÇÃO PARA HIDRANTE - FORNECIMENTO E INSTALAÇÃO. AF_01/2026</t>
  </si>
  <si>
    <t xml:space="preserve">UNIÃO, EM FERRO GALVANIZADO, DN 65 (2 1/2"), CONEXÃO ROSQUEADA, INSTALADO EM PRUMADAS - FORNECIMENTO E INSTALAÇÃO. AF_01/2026</t>
  </si>
  <si>
    <t xml:space="preserve">UNIÃO, EM FERRO GALVANIZADO, DN 65 (2 1/2"), CONEXÃO ROSQUEADA, INSTALADO EM REDE DE ALIMENTAÇÃO PARA HIDRANTE - FORNECIMENTO E INSTALAÇÃO. AF_01/2026</t>
  </si>
  <si>
    <t xml:space="preserve">UNIÃO, EM FERRO GALVANIZADO, DN 80 (3"), CONEXÃO ROSQUEADA, INSTALADO EM PRUMADAS - FORNECIMENTO E INSTALAÇÃO. AF_01/2026</t>
  </si>
  <si>
    <t xml:space="preserve">UNIÃO, EM FERRO GALVANIZADO, DN 80 (3"), CONEXÃO ROSQUEADA, INSTALADO EM REDE DE ALIMENTAÇÃO PARA HIDRANTE - FORNECIMENTO E INSTALAÇÃO. AF_01/2026</t>
  </si>
  <si>
    <t xml:space="preserve">Instalações de Gás em PEX Multicamadas</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</si>
  <si>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</si>
  <si>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</si>
  <si>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</si>
  <si>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</si>
  <si>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</si>
  <si>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</si>
  <si>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</si>
  <si>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</si>
  <si>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</si>
  <si>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</si>
  <si>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</si>
  <si>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</si>
  <si>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</si>
  <si>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</si>
  <si>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</si>
  <si>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</si>
  <si>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</si>
  <si>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</si>
  <si>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</si>
  <si>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</si>
  <si>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</si>
  <si>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</si>
  <si>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</si>
  <si>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</si>
  <si>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</si>
  <si>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</si>
  <si>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</si>
  <si>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</si>
  <si>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</si>
  <si>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</si>
  <si>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</si>
  <si>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</si>
  <si>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</si>
  <si>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</si>
  <si>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</si>
  <si>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</si>
  <si>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</si>
  <si>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</si>
  <si>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</si>
  <si>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</si>
  <si>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</si>
  <si>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</si>
  <si>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</si>
  <si>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</si>
  <si>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</si>
  <si>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</si>
  <si>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</si>
  <si>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</si>
  <si>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</si>
  <si>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</si>
  <si>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</si>
  <si>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</si>
  <si>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</si>
  <si>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</si>
  <si>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</si>
  <si>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</si>
  <si>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</si>
  <si>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</si>
  <si>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</si>
  <si>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Instalações de ar condicionado</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</si>
  <si>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</si>
  <si>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</si>
  <si>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</si>
  <si>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</si>
  <si>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</si>
  <si>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</si>
  <si>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</si>
  <si>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</si>
  <si>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</si>
  <si>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</si>
  <si>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</si>
  <si>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</si>
  <si>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</si>
  <si>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</si>
  <si>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</si>
  <si>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</si>
  <si>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</si>
  <si>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</si>
  <si>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</si>
  <si>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</si>
  <si>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</si>
  <si>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</si>
  <si>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</si>
  <si>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</si>
  <si>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</si>
  <si>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</si>
  <si>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</si>
  <si>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</si>
  <si>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</si>
  <si>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</si>
  <si>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</si>
  <si>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</si>
  <si>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</si>
  <si>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</si>
  <si>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</si>
  <si>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</si>
  <si>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</si>
  <si>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</si>
  <si>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</si>
  <si>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</si>
  <si>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</si>
  <si>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</si>
  <si>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</si>
  <si>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</si>
  <si>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</si>
  <si>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</si>
  <si>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</si>
  <si>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</si>
  <si>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</si>
  <si>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Instalações de ar condicionado em cobre</t>
  </si>
  <si>
    <t xml:space="preserve">COTOVELO EM COBRE, 45 GRAUS, DN 1 1/8", INSTALADO EM RAMAL DE ALIMENTAÇÃO DE AR-CONDICIONADO COM CONDENSADORA CENTRAL - FORNECIMENTO E INSTALAÇÃO. AF_07/2025</t>
  </si>
  <si>
    <t xml:space="preserve">COTOVELO EM COBRE, 45 GRAUS, DN 1 5/8", INSTALADO EM RAMAL DE ALIMENTAÇÃO DE AR-CONDICIONADO COM CONDENSADORA CENTRAL - FORNECIMENTO E INSTALAÇÃO. AF_07/2025</t>
  </si>
  <si>
    <t xml:space="preserve">COTOVELO EM COBRE, 90 GRAUS, DN 1 1/8", INSTALADO EM RAMAL DE ALIMENTAÇÃO DE AR-CONDICIONADO COM CONDENSADORA CENTRAL - FORNECIMENTO E INSTALAÇÃO. AF_07/2025</t>
  </si>
  <si>
    <t xml:space="preserve">COTOVELO EM COBRE, 90 GRAUS, DN 1 5/8", INSTALADO EM RAMAL DE ALIMENTAÇÃO DE AR-CONDICIONADO COM CONDENSADORA CENTRAL - FORNECIMENTO E INSTALAÇÃO. AF_07/2025</t>
  </si>
  <si>
    <t xml:space="preserve">LUVA EM COBRE, DN 1 1/8", INSTALADO EM RAMAL DE ALIMENTAÇÃO DE AR-CONDICIONADO COM CONDENSADORA CENTRAL - FORNECIMENTO E INSTALAÇÃO. AF_07/2025</t>
  </si>
  <si>
    <t xml:space="preserve">LUVA EM COBRE, DN 1 5/8", INSTALADO EM RAMAL DE ALIMENTAÇÃO DE AR-CONDICIONADO COM CONDENSADORA CENTRAL - FORNECIMENTO E INSTALAÇÃO. AF_07/2025</t>
  </si>
  <si>
    <t xml:space="preserve">REFINETE EM COBRE, DN 1 1/8", INSTALADO EM RAMAL DE ALIMENTAÇÃO DE AR-CONDICIONADO COM CONDENSADORA CENTRAL - INSTALAÇÃO. AF_07/2025</t>
  </si>
  <si>
    <t xml:space="preserve">REFINETE EM COBRE, DN 1 5/8", INSTALADO EM RAMAL DE ALIMENTAÇÃO DE AR-CONDICIONADO COM CONDENSADORA CENTRAL - INSTALAÇÃO. AF_07/2025</t>
  </si>
  <si>
    <t xml:space="preserve">TE EM COBRE, DN 1 1/8", INSTALADO EM RAMAL DE ALIMENTAÇÃO DE AR-CONDICIONADO COM CONDENSADORA CENTRAL - FORNECIMENTO E INSTALAÇÃO. AF_07/2025</t>
  </si>
  <si>
    <t xml:space="preserve">TE EM COBRE, DN 1 5/8", INSTALADO EM RAMAL DE ALIMENTAÇÃO DE AR-CONDICIONADO COM CONDENSADORA CENTRAL - FORNECIMENTO E INSTALAÇÃO. AF_07/2025</t>
  </si>
  <si>
    <t xml:space="preserve">TUBO EM COBRE FLEXÍVEL, DN 1/2", COM ISOLAMENTO, INSTALADO EM RAMAL DE ALIMENTAÇÃO DE AR-CONDICIONADO - FORNECIMENTO E INSTALAÇÃO. AF_07/2025</t>
  </si>
  <si>
    <t xml:space="preserve">TUBO EM COBRE FLEXÍVEL, DN 1/4", COM ISOLAMENTO, INSTALADO EM RAMAL DE ALIMENTAÇÃO DE AR-CONDICIONADO - FORNECIMENTO E INSTALAÇÃO. AF_07/2025</t>
  </si>
  <si>
    <t xml:space="preserve">TUBO EM COBRE FLEXÍVEL, DN 3/4", COM ISOLAMENTO, INSTALADO EM RAMAL DE ALIMENTAÇÃO DE AR-CONDICIONADO - FORNECIMENTO E INSTALAÇÃO. AF_07/2025</t>
  </si>
  <si>
    <t xml:space="preserve">TUBO EM COBRE FLEXÍVEL, DN 3/8", COM ISOLAMENTO, INSTALADO EM RAMAL DE ALIMENTAÇÃO DE AR-CONDICIONADO - FORNECIMENTO E INSTALAÇÃO. AF_07/2025</t>
  </si>
  <si>
    <t xml:space="preserve">TUBO EM COBRE FLEXÍVEL, DN 5/8", COM ISOLAMENTO, INSTALADO EM RAMAL DE ALIMENTAÇÃO DE AR-CONDICIONADO - FORNECIMENTO E INSTALAÇÃO. AF_07/2025</t>
  </si>
  <si>
    <t xml:space="preserve">TUBO EM COBRE FLEXÍVEL, DN 7/8", COM ISOLAMENTO, INSTALADO EM RAMAL DE ALIMENTAÇÃO DE AR-CONDICIONADO - FORNECIMENTO E INSTALAÇÃO. AF_07/2025</t>
  </si>
  <si>
    <t xml:space="preserve">TUBO EM COBRE RÍGIDO, DN 1 1/8"", COM ISOLAMENTO, INSTALADO EM RAMAL DE ALIMENTAÇÃO DE AR-CONDICIONADO COM CONDENSADORA CENTRAL - FORNECIMENTO E INSTALAÇÃO. AF_07/2025</t>
  </si>
  <si>
    <t xml:space="preserve">TUBO EM COBRE RÍGIDO, DN 1 5/8"", COM ISOLAMENTO, INSTALADO EM RAMAL DE ALIMENTAÇÃO DE AR-CONDICIONADO COM CONDENSADORA CENTRAL - FORNECIMENTO E INSTALAÇÃO. AF_07/2025</t>
  </si>
  <si>
    <t xml:space="preserve">Instalações em Cobre</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</si>
  <si>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</si>
  <si>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</si>
  <si>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</si>
  <si>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</si>
  <si>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</si>
  <si>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</si>
  <si>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</si>
  <si>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</si>
  <si>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</si>
  <si>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</si>
  <si>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</si>
  <si>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</si>
  <si>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</si>
  <si>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</si>
  <si>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</si>
  <si>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</si>
  <si>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</si>
  <si>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</si>
  <si>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</si>
  <si>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</si>
  <si>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</si>
  <si>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</si>
  <si>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</si>
  <si>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</si>
  <si>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</si>
  <si>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</si>
  <si>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</si>
  <si>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</si>
  <si>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</si>
  <si>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</si>
  <si>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</si>
  <si>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</si>
  <si>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</si>
  <si>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</si>
  <si>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</si>
  <si>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</si>
  <si>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</si>
  <si>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</si>
  <si>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</si>
  <si>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</si>
  <si>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</si>
  <si>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</si>
  <si>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</si>
  <si>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</si>
  <si>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</si>
  <si>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</si>
  <si>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</si>
  <si>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</si>
  <si>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</si>
  <si>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</si>
  <si>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</si>
  <si>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</si>
  <si>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</si>
  <si>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</si>
  <si>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</si>
  <si>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</si>
  <si>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</si>
  <si>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</si>
  <si>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</si>
  <si>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</si>
  <si>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</si>
  <si>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</si>
  <si>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</si>
  <si>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</si>
  <si>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</si>
  <si>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</si>
  <si>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</si>
  <si>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</si>
  <si>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</si>
  <si>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</si>
  <si>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</si>
  <si>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</si>
  <si>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</si>
  <si>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</si>
  <si>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</si>
  <si>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</si>
  <si>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</si>
  <si>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</si>
  <si>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</si>
  <si>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</si>
  <si>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</si>
  <si>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</si>
  <si>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</si>
  <si>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</si>
  <si>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</si>
  <si>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</si>
  <si>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</si>
  <si>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</si>
  <si>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</si>
  <si>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</si>
  <si>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</si>
  <si>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</si>
  <si>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</si>
  <si>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</si>
  <si>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</si>
  <si>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</si>
  <si>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</si>
  <si>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</si>
  <si>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</si>
  <si>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</si>
  <si>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</si>
  <si>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</si>
  <si>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</si>
  <si>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</si>
  <si>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</si>
  <si>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</si>
  <si>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</si>
  <si>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</si>
  <si>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</si>
  <si>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</si>
  <si>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</si>
  <si>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</si>
  <si>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</si>
  <si>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</si>
  <si>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</si>
  <si>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</si>
  <si>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</si>
  <si>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</si>
  <si>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</si>
  <si>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</si>
  <si>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</si>
  <si>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</si>
  <si>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</si>
  <si>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</si>
  <si>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</si>
  <si>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</si>
  <si>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</si>
  <si>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</si>
  <si>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</si>
  <si>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</si>
  <si>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</si>
  <si>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</si>
  <si>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</si>
  <si>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</si>
  <si>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</si>
  <si>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</si>
  <si>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</si>
  <si>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</si>
  <si>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</si>
  <si>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</si>
  <si>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</si>
  <si>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</si>
  <si>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</si>
  <si>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</si>
  <si>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</si>
  <si>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</si>
  <si>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</si>
  <si>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</si>
  <si>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</si>
  <si>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</si>
  <si>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</si>
  <si>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</si>
  <si>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</si>
  <si>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</si>
  <si>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</si>
  <si>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</si>
  <si>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</si>
  <si>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</si>
  <si>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</si>
  <si>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</si>
  <si>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</si>
  <si>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</si>
  <si>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</si>
  <si>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</si>
  <si>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</si>
  <si>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</si>
  <si>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</si>
  <si>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</si>
  <si>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</si>
  <si>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</si>
  <si>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</si>
  <si>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</si>
  <si>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28 MM, SEM ANEL DE SOLDA, INSTALADO EM RAMAL E SUB-RAMAL DE HIDRÁULICA PREDIAL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</si>
  <si>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</si>
  <si>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</si>
  <si>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</si>
  <si>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</si>
  <si>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</si>
  <si>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</si>
  <si>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</si>
  <si>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</si>
  <si>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</si>
  <si>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</si>
  <si>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</si>
  <si>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</si>
  <si>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</si>
  <si>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</si>
  <si>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</si>
  <si>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</si>
  <si>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</si>
  <si>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</si>
  <si>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</si>
  <si>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</si>
  <si>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</si>
  <si>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</si>
  <si>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</si>
  <si>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</si>
  <si>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</si>
  <si>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</si>
  <si>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</si>
  <si>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</si>
  <si>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</si>
  <si>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</si>
  <si>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</si>
  <si>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</si>
  <si>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</si>
  <si>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</si>
  <si>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</si>
  <si>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</si>
  <si>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</si>
  <si>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</si>
  <si>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</si>
  <si>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</si>
  <si>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</si>
  <si>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</si>
  <si>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</si>
  <si>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</si>
  <si>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</si>
  <si>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</si>
  <si>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</si>
  <si>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</si>
  <si>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</si>
  <si>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</si>
  <si>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</si>
  <si>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</si>
  <si>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</si>
  <si>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</si>
  <si>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</si>
  <si>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</si>
  <si>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</si>
  <si>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</si>
  <si>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</si>
  <si>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</si>
  <si>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</si>
  <si>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</si>
  <si>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</si>
  <si>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</si>
  <si>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</si>
  <si>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</si>
  <si>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</si>
  <si>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</si>
  <si>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</si>
  <si>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Instalações para Canteiros de Obras</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</si>
  <si>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</si>
  <si>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</si>
  <si>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</si>
  <si>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</si>
  <si>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</si>
  <si>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</si>
  <si>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</si>
  <si>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</si>
  <si>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</si>
  <si>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</si>
  <si>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</si>
  <si>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</si>
  <si>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</si>
  <si>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</si>
  <si>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</si>
  <si>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</si>
  <si>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</si>
  <si>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</si>
  <si>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</si>
  <si>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</si>
  <si>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</si>
  <si>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</si>
  <si>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</si>
  <si>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</si>
  <si>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</si>
  <si>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</si>
  <si>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</si>
  <si>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</si>
  <si>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</si>
  <si>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</si>
  <si>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</si>
  <si>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</si>
  <si>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</si>
  <si>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</si>
  <si>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</si>
  <si>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</si>
  <si>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</si>
  <si>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</si>
  <si>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</si>
  <si>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</si>
  <si>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Lajes Pré-Moldadas</t>
  </si>
  <si>
    <t xml:space="preserve">LAJE PRÉ-MOLDADA UNIDIRECIONAL COM VÃOS MAIORES QUE 3,0 M, BIAPOIADA, PARA PISO, ENCHIMENTO EM CERÂMICA, VIGOTA PROTENDIDA, ALTURA TOTAL DA LAJE "LT" = 12 CM (ENCHIMENTO+CAPA) = (8+4). AF_08/2025</t>
  </si>
  <si>
    <t xml:space="preserve">LAJE PRÉ-MOLDADA UNIDIRECIONAL COM VÃOS MAIORES QUE 3,0 M, BIAPOIADA, PARA PISO, ENCHIMENTO EM CERÂMICA, VIGOTA PROTENDIDA, ALTURA TOTAL DA LAJE "LT" = 16 CM (ENCHIMENTO+CAPA) = (12+4). AF_08/2025</t>
  </si>
  <si>
    <t xml:space="preserve">LAJE PRÉ-MOLDADA UNIDIRECIONAL COM VÃOS MAIORES QUE 3,0 M, BIAPOIADA, PARA PISO, ENCHIMENTO EM CERÂMICA, VIGOTA PROTENDIDA, ALTURA TOTAL DA LAJE "LT" = 20 CM (ENCHIMENTO+CAPA) = (16+4). AF_08/2025</t>
  </si>
  <si>
    <t xml:space="preserve">LAJE PRÉ-MOLDADA UNIDIRECIONAL COM VÃOS MAIORES QUE 3,0 M, BIAPOIADA, PARA PISO, ENCHIMENTO EM CERÂMICA, VIGOTA PROTENDIDA, ALTURA TOTAL DA LAJE "LT" = 25 CM (ENCHIMENTO+CAPA) = (20+5). AF_08/2025</t>
  </si>
  <si>
    <t xml:space="preserve">LAJE PRÉ-MOLDADA UNIDIRECIONAL COM VÃOS MAIORES QUE 3,0 M, BIAPOIADA, PARA PISO, ENCHIMENTO EM CERÂMICA, VIGOTA PROTENDIDA, ALTURA TOTAL DA LAJE "LT" = 30 CM (ENCHIMENTO+CAPA) = (25+5). AF_08/2025</t>
  </si>
  <si>
    <t xml:space="preserve">LAJE PRÉ-MOLDADA UNIDIRECIONAL COM VÃOS MAIORES QUE 3,0 M, BIAPOIADA, PARA PISO, ENCHIMENTO EM EPS, VIGOTA PROTENDIDA, ALTURA TOTAL DA LAJE "LT" = 12 CM (ENCHIMENTO+CAPA) = (8+4). AF_08/2025</t>
  </si>
  <si>
    <t xml:space="preserve">LAJE PRÉ-MOLDADA UNIDIRECIONAL COM VÃOS MAIORES QUE 3,0 M, BIAPOIADA, PARA PISO, ENCHIMENTO EM EPS, VIGOTA PROTENDIDA, ALTURA TOTAL DA LAJE "LT" = 16 CM (ENCHIMENTO+CAPA) = (12+4). AF_08/2025</t>
  </si>
  <si>
    <t xml:space="preserve">LAJE PRÉ-MOLDADA UNIDIRECIONAL COM VÃOS MAIORES QUE 3,0 M, BIAPOIADA, PARA PISO, ENCHIMENTO EM EPS, VIGOTA PROTENDIDA, ALTURA TOTAL DA LAJE "LT" = 20 CM (ENCHIMENTO+CAPA) = (16+4). AF_08/2025</t>
  </si>
  <si>
    <t xml:space="preserve">LAJE PRÉ-MOLDADA UNIDIRECIONAL COM VÃOS MAIORES QUE 3,0 M, BIAPOIADA, PARA PISO, ENCHIMENTO EM EPS, VIGOTA PROTENDIDA, ALTURA TOTAL DA LAJE "LT" = 25 CM (ENCHIMENTO+CAPA) = (20+5). AF_08/2025</t>
  </si>
  <si>
    <t xml:space="preserve">LAJE PRÉ-MOLDADA UNIDIRECIONAL COM VÃOS MAIORES QUE 3,0 M, BIAPOIADA, PARA PISO, ENCHIMENTO EM EPS, VIGOTA PROTENDIDA, ALTURA TOTAL DA LAJE "LT" = 30 CM (ENCHIMENTO+CAPA) = (25+5). AF_08/2025</t>
  </si>
  <si>
    <t xml:space="preserve">LAJE PRÉ-MOLDADA UNIDIRECIONAL COM VÃOS MENORES OU IGUAIS A 3,0 M, BIAPOIADA, PARA PISO, ENCHIMENTO EM CERÂMICA, VIGOTA PROTENDIDA, ALTURA TOTAL DA LAJE "LT" = 12 CM (ENCHIMENTO+CAPA) = (8+4). AF_08/2025</t>
  </si>
  <si>
    <t xml:space="preserve">LAJE PRÉ-MOLDADA UNIDIRECIONAL COM VÃOS MENORES OU IGUAIS A 3,0 M, BIAPOIADA, PARA PISO, ENCHIMENTO EM CERÂMICA, VIGOTA PROTENDIDA, ALTURA TOTAL DA LAJE "LT" = 16 CM (ENCHIMENTO+CAPA) = (12+4). AF_08/2025</t>
  </si>
  <si>
    <t xml:space="preserve">LAJE PRÉ-MOLDADA UNIDIRECIONAL COM VÃOS MENORES OU IGUAIS A 3,0 M, BIAPOIADA, PARA PISO, ENCHIMENTO EM CERÂMICA, VIGOTA PROTENDIDA, ALTURA TOTAL DA LAJE "LT" = 20 CM (ENCHIMENTO+CAPA) = (16+4). AF_08/2025</t>
  </si>
  <si>
    <t xml:space="preserve">LAJE PRÉ-MOLDADA UNIDIRECIONAL COM VÃOS MENORES OU IGUAIS A 3,0 M, BIAPOIADA, PARA PISO, ENCHIMENTO EM CERÂMICA, VIGOTA PROTENDIDA, ALTURA TOTAL DA LAJE "LT" = 25 CM (ENCHIMENTO+CAPA) = (20+5). AF_08/2025</t>
  </si>
  <si>
    <t xml:space="preserve">LAJE PRÉ-MOLDADA UNIDIRECIONAL COM VÃOS MENORES OU IGUAIS A 3,0 M, BIAPOIADA, PARA PISO, ENCHIMENTO EM CERÂMICA, VIGOTA PROTENDIDA, ALTURA TOTAL DA LAJE "LT" = 30 CM (ENCHIMENTO+CAPA) = (25+5). AF_08/2025</t>
  </si>
  <si>
    <t xml:space="preserve">LAJE PRÉ-MOLDADA UNIDIRECIONAL COM VÃOS MENORES OU IGUAIS A 3,0 M, BIAPOIADA, PARA PISO, ENCHIMENTO EM EPS, VIGOTA PROTENDIDA, ALTURA TOTAL DA LAJE "LT" = 12 CM (ENCHIMENTO+CAPA) = (8+4). AF_08/2025</t>
  </si>
  <si>
    <t xml:space="preserve">LAJE PRÉ-MOLDADA UNIDIRECIONAL COM VÃOS MENORES OU IGUAIS A 3,0 M, BIAPOIADA, PARA PISO, ENCHIMENTO EM EPS, VIGOTA PROTENDIDA, ALTURA TOTAL DA LAJE "LT" = 16 CM (ENCHIMENTO+CAPA) = (12+4). AF_08/2025</t>
  </si>
  <si>
    <t xml:space="preserve">LAJE PRÉ-MOLDADA UNIDIRECIONAL COM VÃOS MENORES OU IGUAIS A 3,0 M, BIAPOIADA, PARA PISO, ENCHIMENTO EM EPS, VIGOTA PROTENDIDA, ALTURA TOTAL DA LAJE "LT" = 20 CM (ENCHIMENTO+CAPA) = (16+4). AF_08/2025</t>
  </si>
  <si>
    <t xml:space="preserve">LAJE PRÉ-MOLDADA UNIDIRECIONAL COM VÃOS MENORES OU IGUAIS A 3,0 M, BIAPOIADA, PARA PISO, ENCHIMENTO EM EPS, VIGOTA PROTENDIDA, ALTURA TOTAL DA LAJE "LT" = 25 CM (ENCHIMENTO+CAPA) = (20+5). AF_08/2025</t>
  </si>
  <si>
    <t xml:space="preserve">LAJE PRÉ-MOLDADA UNIDIRECIONAL COM VÃOS MENORES OU IGUAIS A 3,0 M, BIAPOIADA, PARA PISO, ENCHIMENTO EM EPS, VIGOTA PROTENDIDA, ALTURA TOTAL DA LAJE "LT" = 30 CM (ENCHIMENTO+CAPA) = (25+5). AF_08/2025</t>
  </si>
  <si>
    <t xml:space="preserve">LAJE PRÉ-MOLDADA UNIDIRECIONAL, BIAPOIADA TIPO LAJE PAINEL TRELIÇADO MACIÇO (SEM ENCHIMENTO), PARA PISO, ALTURA TOTAL DA LAJE "LT" = 12 CM (PAINEL+CAPA) = (3+9). AF_08/2025</t>
  </si>
  <si>
    <t xml:space="preserve">LAJE PRÉ-MOLDADA UNIDIRECIONAL, BIAPOIADA TIPO LAJE PAINEL TRELIÇADO MACIÇO (SEM ENCHIMENTO), PARA PISO, ALTURA TOTAL DA LAJE "LT" = 16 CM (PAINEL+CAPA) = (3+13). AF_08/2025</t>
  </si>
  <si>
    <t xml:space="preserve">LAJE PRÉ-MOLDADA UNIDIRECIONAL, BIAPOIADA TIPO LAJE PAINEL TRELIÇADO MACIÇO (SEM ENCHIMENTO), PARA PISO, ALTURA TOTAL DA LAJE "LT" = 20 CM (PAINEL+CAPA) = (3+17). AF_08/2025</t>
  </si>
  <si>
    <t xml:space="preserve">LAJE PRÉ-MOLDADA UNIDIRECIONAL, BIAPOIADA TIPO LAJE PAINEL TRELIÇADO MACIÇO (SEM ENCHIMENTO), PARA PISO, ALTURA TOTAL DA LAJE "LT" = 25 CM (PAINEL+CAPA) = (3+22). AF_08/2025</t>
  </si>
  <si>
    <t xml:space="preserve">LAJE PRÉ-MOLDADA UNIDIRECIONAL, BIAPOIADA TIPO LAJE PAINEL TRELIÇADO MACIÇO (SEM ENCHIMENTO), PARA PISO, ALTURA TOTAL DA LAJE "LT" = 30 CM (PAINEL+CAPA) = (3+27). AF_08/2025</t>
  </si>
  <si>
    <t xml:space="preserve">LAJE PRÉ-MOLDADA UNIDIRECIONAL, BIAPOIADA TIPO LAJE PAINEL TRELIÇADO NERVURADO (COM ENCHIMENTO EM EPS), PARA PISO, ALTURA TOTAL DA LAJE "LT" = 12 CM (PAINEL+ENCHIMENTO+CAPA) = (3+5+4). AF_08/2025</t>
  </si>
  <si>
    <t xml:space="preserve">LAJE PRÉ-MOLDADA UNIDIRECIONAL, BIAPOIADA TIPO LAJE PAINEL TRELIÇADO NERVURADO (COM ENCHIMENTO EM EPS), PARA PISO, ALTURA TOTAL DA LAJE "LT" = 16 CM (PAINEL+ENCHIMENTO+CAPA) = (3+9+4). AF_08/2025</t>
  </si>
  <si>
    <t xml:space="preserve">LAJE PRÉ-MOLDADA UNIDIRECIONAL, BIAPOIADA TIPO LAJE PAINEL TRELIÇADO NERVURADO (COM ENCHIMENTO EM EPS), PARA PISO, ALTURA TOTAL DA LAJE "LT" = 20 CM (PAINEL+ENCHIMENTO+CAPA) = (3+13+4). AF_08/2025</t>
  </si>
  <si>
    <t xml:space="preserve">LAJE PRÉ-MOLDADA UNIDIRECIONAL, BIAPOIADA TIPO LAJE PAINEL TRELIÇADO NERVURADO (COM ENCHIMENTO EM EPS), PARA PISO, ALTURA TOTAL DA LAJE "LT" = 25 CM (PAINEL+ENCHIMENTO+CAPA) = (3+17+5). AF_08/2025</t>
  </si>
  <si>
    <t xml:space="preserve">LAJE PRÉ-MOLDADA UNIDIRECIONAL, BIAPOIADA TIPO LAJE PAINEL TRELIÇADO NERVURADO (COM ENCHIMENTO EM EPS), PARA PISO, ALTURA TOTAL DA LAJE "LT" = 30 CM (PAINEL+ENCHIMENTO+CAPA) = (3+22+5). AF_08/2025</t>
  </si>
  <si>
    <t xml:space="preserve">LAJE PRÉ-MOLDADA UNIDIRECIONAL, BIAPOIADA, PARA FORRO, ENCHIMENTO EM CERÂMICA, VIGOTA CONVENCIONAL, ALTURA TOTAL DA LAJE "LT" = 12 CM (ENCHIMENTO+CAPA) = (8+4). AF_08/2025</t>
  </si>
  <si>
    <t xml:space="preserve">LAJE PRÉ-MOLDADA UNIDIRECIONAL, BIAPOIADA, PARA FORRO, ENCHIMENTO EM CERÂMICA, VIGOTA TRELIÇADA, ALTURA TOTAL DA LAJE "LT" = 12 CM (ENCHIMENTO+CAPA) = (8+4). AF_08/2025</t>
  </si>
  <si>
    <t xml:space="preserve">LAJE PRÉ-MOLDADA UNIDIRECIONAL, BIAPOIADA, PARA PISO, ENCHIMENTO EM CERÂMICA, VIGOTA CONVENCIONAL, ALTURA TOTAL DA LAJE "LT" = 12 CM (ENCHIMENTO+CAPA) = (8+4). AF_08/2025</t>
  </si>
  <si>
    <t xml:space="preserve">LAJE PRÉ-MOLDADA UNIDIRECIONAL, BIAPOIADA, PARA PISO, ENCHIMENTO EM CERÂMICA, VIGOTA TRELIÇADA, ALTURA TOTAL DA LAJE "LT" = 12 CM (ENCHIMENTO+CAPA) = (8+4). AF_08/2025</t>
  </si>
  <si>
    <t xml:space="preserve">LAJE PRÉ-MOLDADA UNIDIRECIONAL, BIAPOIADA, PARA PISO, ENCHIMENTO EM CERÂMICA, VIGOTA TRELIÇADA, ALTURA TOTAL DA LAJE "LT" = 16 CM (ENCHIMENTO+CAPA) = (12+4). AF_08/2025</t>
  </si>
  <si>
    <t xml:space="preserve">LAJE PRÉ-MOLDADA UNIDIRECIONAL, BIAPOIADA, PARA PISO, ENCHIMENTO EM CERÂMICA, VIGOTA TRELIÇADA, ALTURA TOTAL DA LAJE "LT" = 20 CM (ENCHIMENTO+CAPA) = (16+4). AF_08/2025</t>
  </si>
  <si>
    <t xml:space="preserve">LAJE PRÉ-MOLDADA UNIDIRECIONAL, BIAPOIADA, PARA PISO, ENCHIMENTO EM CERÂMICA, VIGOTA TRELIÇADA, ALTURA TOTAL DA LAJE "LT" = 25 CM (ENCHIMENTO+CAPA) = (20+5). AF_08/2025</t>
  </si>
  <si>
    <t xml:space="preserve">LAJE PRÉ-MOLDADA UNIDIRECIONAL, BIAPOIADA, PARA PISO, ENCHIMENTO EM CERÂMICA, VIGOTA TRELIÇADA, ALTURA TOTAL DA LAJE "LT" = 30 CM (ENCHIMENTO+CAPA) = (25+5). AF_08/2025</t>
  </si>
  <si>
    <t xml:space="preserve">LAJE PRÉ-MOLDADA UNIDIRECIONAL, BIAPOIADA, PARA PISO, ENCHIMENTO EM EPS, VIGOTA TRELIÇADA, ALTURA TOTAL DA LAJE "LT" = 12 CM (ENCHIMENTO+CAPA) = (8+4). AF_08/2025</t>
  </si>
  <si>
    <t xml:space="preserve">LAJE PRÉ-MOLDADA UNIDIRECIONAL, BIAPOIADA, PARA PISO, ENCHIMENTO EM EPS, VIGOTA TRELIÇADA, ALTURA TOTAL DA LAJE "LT" = 16 CM (ENCHIMENTO+CAPA) = (12+4). AF_08/2025</t>
  </si>
  <si>
    <t xml:space="preserve">LAJE PRÉ-MOLDADA UNIDIRECIONAL, BIAPOIADA, PARA PISO, ENCHIMENTO EM EPS, VIGOTA TRELIÇADA, ALTURA TOTAL DA LAJE "LT" = 20 CM (ENCHIMENTO+CAPA) = (16+4). AF_08/2025</t>
  </si>
  <si>
    <t xml:space="preserve">LAJE PRÉ-MOLDADA UNIDIRECIONAL, BIAPOIADA, PARA PISO, ENCHIMENTO EM EPS, VIGOTA TRELIÇADA, ALTURA TOTAL DA LAJE "LT" = 25 CM (ENCHIMENTO+CAPA) = (20+5). AF_08/2025</t>
  </si>
  <si>
    <t xml:space="preserve">LAJE PRÉ-MOLDADA UNIDIRECIONAL, BIAPOIADA, PARA PISO, ENCHIMENTO EM EPS, VIGOTA TRELIÇADA, ALTURA TOTAL DA LAJE "LT" = 30 CM (ENCHIMENTO+CAPA) = (25+5). AF_08/2025</t>
  </si>
  <si>
    <t>Lastro</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</si>
  <si>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</si>
  <si>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</si>
  <si>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</si>
  <si>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</si>
  <si>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</si>
  <si>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</si>
  <si>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</si>
  <si>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</si>
  <si>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</si>
  <si>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</si>
  <si>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</si>
  <si>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</si>
  <si>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</si>
  <si>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Ligações Prediais de Água e Esgoto</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</si>
  <si>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</si>
  <si>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</si>
  <si>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</si>
  <si>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</si>
  <si>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</si>
  <si>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</si>
  <si>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</si>
  <si>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</si>
  <si>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</si>
  <si>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</si>
  <si>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</si>
  <si>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</si>
  <si>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</si>
  <si>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</si>
  <si>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</si>
  <si>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</si>
  <si>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</si>
  <si>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</si>
  <si>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</si>
  <si>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</si>
  <si>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</si>
  <si>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</si>
  <si>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</si>
  <si>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</si>
  <si>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</si>
  <si>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</si>
  <si>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</si>
  <si>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</si>
  <si>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</si>
  <si>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</si>
  <si>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</si>
  <si>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</si>
  <si>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</si>
  <si>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</si>
  <si>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</si>
  <si>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</si>
  <si>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</si>
  <si>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</si>
  <si>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</si>
  <si>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</si>
  <si>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</si>
  <si>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</si>
  <si>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</si>
  <si>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</si>
  <si>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</si>
  <si>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Obra</t>
  </si>
  <si>
    <t xml:space="preserve">LIMPEZA DE BACIA SANITÁRIA, BIDÊ OU MICTÓRIO EM LOUÇA, INCLUSIVE METAIS CORRESPONDENTES. AF_10/2025_PS</t>
  </si>
  <si>
    <t xml:space="preserve">LIMPEZA DE BANCADA COM PLACA DE ROCHA (MÁRMORE OU GRANITO). AF_10/2025_PS</t>
  </si>
  <si>
    <t xml:space="preserve">LIMPEZA DE BANCADA COM PLACA DE ROCHA E CUBA DE LOUÇA, INCLUSIVE METAIS CORRESPONDENTES. AF_10/2025_PS</t>
  </si>
  <si>
    <t xml:space="preserve">LIMPEZA DE BANCADA DE PIA COM PLACA DE ROCHA E CUBA DE INOX, INCLUSIVE METAIS CORRESPONDENTES. AF_10/2025_PS</t>
  </si>
  <si>
    <t xml:space="preserve">LIMPEZA DE CONTRAPISO COM VASSOURA A SECO. AF_10/2025</t>
  </si>
  <si>
    <t xml:space="preserve">LIMPEZA DE FORRO REMOVÍVEL COM PANO ÚMIDO. AF_10/2025_PS</t>
  </si>
  <si>
    <t xml:space="preserve">LIMPEZA DE GRADIL. AF_10/2025_PS</t>
  </si>
  <si>
    <t xml:space="preserve">LIMPEZA DE JANELA DE VIDRO COM CAIXILHO EM AÇO/ALUMÍNIO/PVC. AF_10/2025_PS</t>
  </si>
  <si>
    <t xml:space="preserve">LIMPEZA DE JANELA INTEIRAMENTE DE VIDRO. AF_10/2025_PS</t>
  </si>
  <si>
    <t xml:space="preserve">LIMPEZA DE PISO CERÂMICO OU COM PEDRAS RÚSTICAS UTILIZANDO ÁCIDO MURIÁTICO. AF_10/2025_PS</t>
  </si>
  <si>
    <t xml:space="preserve">LIMPEZA DE PISO CERÂMICO OU PORCELANATO COM PANO ÚMIDO. AF_10/2025_PS</t>
  </si>
  <si>
    <t xml:space="preserve">LIMPEZA DE PISO CERÂMICO OU PORCELANATO COM VASSOURA A SECO. AF_10/2025</t>
  </si>
  <si>
    <t xml:space="preserve">LIMPEZA DE PISO CERÂMICO/ PORCELANATO/ MÁRMORE/ GRANITO UTILIZANDO DETERGENTE NEUTRO E ESCOVAÇÃO MANUAL. AF_10/2025_PS</t>
  </si>
  <si>
    <t xml:space="preserve">LIMPEZA DE PISO DE LADRILHO HIDRÁULICO COM PANO ÚMIDO. AF_10/2025_PS</t>
  </si>
  <si>
    <t xml:space="preserve">LIMPEZA DE PISO UTILIZANDO DETERGENTE NEUTRO E ESCOVAÇÃO MECÂNICA. AF_10/2025</t>
  </si>
  <si>
    <t xml:space="preserve">LIMPEZA DE PISO VINÍLICO COM VASSOURA E PANO ÚMIDO. AF_10/2025_PS</t>
  </si>
  <si>
    <t xml:space="preserve">LIMPEZA DE PORTA DE MADEIRA. AF_10/2025_PS</t>
  </si>
  <si>
    <t xml:space="preserve">LIMPEZA DE PORTA DE VIDRO COM CAIXILHO EM AÇO/ ALUMÍNIO/ PVC. AF_10/2025_PS</t>
  </si>
  <si>
    <t xml:space="preserve">LIMPEZA DE PORTA EM AÇO/ALUMÍNIO. AF_10/2025_PS</t>
  </si>
  <si>
    <t xml:space="preserve">LIMPEZA DE PORTA INTEIRAMENTE DE VIDRO. AF_10/2025_PS</t>
  </si>
  <si>
    <t xml:space="preserve">LIMPEZA DE REVESTIMENTO CERÂMICO EM PAREDE COM PANO ÚMIDO. AF_10/2025_PS</t>
  </si>
  <si>
    <t xml:space="preserve">LIMPEZA DE REVESTIMENTO CERÂMICO/ MÁRMORE/ GRANITO EM PAREDE UTILIZANDO DETERGENTE NEUTRO E ESCOVAÇÃO MANUAL. AF_10/2025_PS</t>
  </si>
  <si>
    <t xml:space="preserve">LIMPEZA DE RODAS DE CAMINHÕES COM JATO DE ALTA PRESSÃO, POR EIXO. AF_10/2025</t>
  </si>
  <si>
    <t xml:space="preserve">LIMPEZA DE RUA COM CAMINHÃO PIPA. AF_10/2025</t>
  </si>
  <si>
    <t xml:space="preserve">LIMPEZA DE RUA COM JATO DE ALTA PRESSÃO. AF_10/2025</t>
  </si>
  <si>
    <t xml:space="preserve">LIMPEZA DE SUPERFÍCIE PISO OU PAREDE COM JATO DE ALTA PRESSÃO. AF_10/2025</t>
  </si>
  <si>
    <t xml:space="preserve">LIMPEZA DE TANQUE OU LAVATÓRIO DE LOUÇA ISOLADO, INCLUSIVE METAIS CORRESPONDENTES. AF_10/2025_PS</t>
  </si>
  <si>
    <t xml:space="preserve">RETIRADA DE SALVA PISO DO CHÃO. AF_10/2025</t>
  </si>
  <si>
    <t xml:space="preserve">Livro SINAPI: Cálculos e Parâmetros</t>
  </si>
  <si>
    <t xml:space="preserve">AJUDANTE DE ARMADOR COM ENCARGOS COMPLEMENTARES</t>
  </si>
  <si>
    <t>MES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</si>
  <si>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</si>
  <si>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</si>
  <si>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</si>
  <si>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</si>
  <si>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</si>
  <si>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</si>
  <si>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</si>
  <si>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</si>
  <si>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</si>
  <si>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</si>
  <si>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</si>
  <si>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</si>
  <si>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</si>
  <si>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</si>
  <si>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</si>
  <si>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</si>
  <si>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</si>
  <si>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</si>
  <si>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</si>
  <si>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</si>
  <si>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</si>
  <si>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</si>
  <si>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</si>
  <si>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</si>
  <si>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</si>
  <si>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</si>
  <si>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</si>
  <si>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</si>
  <si>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</si>
  <si>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</si>
  <si>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</si>
  <si>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</si>
  <si>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</si>
  <si>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</si>
  <si>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</si>
  <si>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</si>
  <si>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</si>
  <si>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</si>
  <si>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</si>
  <si>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</si>
  <si>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</si>
  <si>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</si>
  <si>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</si>
  <si>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</si>
  <si>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</si>
  <si>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</si>
  <si>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</si>
  <si>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</si>
  <si>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</si>
  <si>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</si>
  <si>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</si>
  <si>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</si>
  <si>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</si>
  <si>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</si>
  <si>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</si>
  <si>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</si>
  <si>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</si>
  <si>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</si>
  <si>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</si>
  <si>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</si>
  <si>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</si>
  <si>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</si>
  <si>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</si>
  <si>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</si>
  <si>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</si>
  <si>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</si>
  <si>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</si>
  <si>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</si>
  <si>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</si>
  <si>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</si>
  <si>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</si>
  <si>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</si>
  <si>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</si>
  <si>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</si>
  <si>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</si>
  <si>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</si>
  <si>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</si>
  <si>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LABORATORIO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</si>
  <si>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</si>
  <si>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</si>
  <si>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</si>
  <si>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</si>
  <si>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</si>
  <si>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</si>
  <si>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</si>
  <si>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</si>
  <si>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</si>
  <si>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</si>
  <si>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</si>
  <si>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LADRILHEIRO (ENCARGOS COMPLEMENTARES) - HORISTA</t>
  </si>
  <si>
    <t xml:space="preserve">CURSO DE CAPACITAÇÃO PARA AZULEJISTA OU LADRILHEIRO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</si>
  <si>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</si>
  <si>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</si>
  <si>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</si>
  <si>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</si>
  <si>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</si>
  <si>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</si>
  <si>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</si>
  <si>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</si>
  <si>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</si>
  <si>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</si>
  <si>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</si>
  <si>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</si>
  <si>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</si>
  <si>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</si>
  <si>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</si>
  <si>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</si>
  <si>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</si>
  <si>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</si>
  <si>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</si>
  <si>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</si>
  <si>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</si>
  <si>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</si>
  <si>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</si>
  <si>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</si>
  <si>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</si>
  <si>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</si>
  <si>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</si>
  <si>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</si>
  <si>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</si>
  <si>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</si>
  <si>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</si>
  <si>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</si>
  <si>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</si>
  <si>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</si>
  <si>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</si>
  <si>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</si>
  <si>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</si>
  <si>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</si>
  <si>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</si>
  <si>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</si>
  <si>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</si>
  <si>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</si>
  <si>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</si>
  <si>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</si>
  <si>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</si>
  <si>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</si>
  <si>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</si>
  <si>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</si>
  <si>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</si>
  <si>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</si>
  <si>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</si>
  <si>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</si>
  <si>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</si>
  <si>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DE TUBO AÇO/EQUIPAMENTOS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</si>
  <si>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</si>
  <si>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</si>
  <si>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</si>
  <si>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</si>
  <si>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</si>
  <si>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(ENCARGOS COMPLEMENTARES) - MENSALISTA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</si>
  <si>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</si>
  <si>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</si>
  <si>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</si>
  <si>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</si>
  <si>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</si>
  <si>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</si>
  <si>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</si>
  <si>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</si>
  <si>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</si>
  <si>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</si>
  <si>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</si>
  <si>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</si>
  <si>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</si>
  <si>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</si>
  <si>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</si>
  <si>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</si>
  <si>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</si>
  <si>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</si>
  <si>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</si>
  <si>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</si>
  <si>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</si>
  <si>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</si>
  <si>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</si>
  <si>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</si>
  <si>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</si>
  <si>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</si>
  <si>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</si>
  <si>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</si>
  <si>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</si>
  <si>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</si>
  <si>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</si>
  <si>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</si>
  <si>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</si>
  <si>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</si>
  <si>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</si>
  <si>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</si>
  <si>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</si>
  <si>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</si>
  <si>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</si>
  <si>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</si>
  <si>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</si>
  <si>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</si>
  <si>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</si>
  <si>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</si>
  <si>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</si>
  <si>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</si>
  <si>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</si>
  <si>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</si>
  <si>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</si>
  <si>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</si>
  <si>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</si>
  <si>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</si>
  <si>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</si>
  <si>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</si>
  <si>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</si>
  <si>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</si>
  <si>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</si>
  <si>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</si>
  <si>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</si>
  <si>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</si>
  <si>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</si>
  <si>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</si>
  <si>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</si>
  <si>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</si>
  <si>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</si>
  <si>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</si>
  <si>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</si>
  <si>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</si>
  <si>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</si>
  <si>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</si>
  <si>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</si>
  <si>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</si>
  <si>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</si>
  <si>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</si>
  <si>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</si>
  <si>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</si>
  <si>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</si>
  <si>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</si>
  <si>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</si>
  <si>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</si>
  <si>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</si>
  <si>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</si>
  <si>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</si>
  <si>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</si>
  <si>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</si>
  <si>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</si>
  <si>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</si>
  <si>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</si>
  <si>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</si>
  <si>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</si>
  <si>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</si>
  <si>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</si>
  <si>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</si>
  <si>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</si>
  <si>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</si>
  <si>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</si>
  <si>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</si>
  <si>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</si>
  <si>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</si>
  <si>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</si>
  <si>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</si>
  <si>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</si>
  <si>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</si>
  <si>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ELETROELETRÔNICOS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</si>
  <si>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</si>
  <si>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</si>
  <si>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</si>
  <si>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ELETROMECÂNICO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</si>
  <si>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</si>
  <si>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</si>
  <si>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</si>
  <si>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</si>
  <si>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</si>
  <si>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</si>
  <si>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</si>
  <si>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</si>
  <si>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</si>
  <si>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</si>
  <si>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</si>
  <si>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</si>
  <si>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</si>
  <si>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</si>
  <si>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</si>
  <si>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</si>
  <si>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</si>
  <si>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</si>
  <si>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</si>
  <si>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</si>
  <si>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</si>
  <si>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</si>
  <si>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</si>
  <si>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</si>
  <si>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</si>
  <si>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</si>
  <si>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</si>
  <si>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</si>
  <si>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</si>
  <si>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</si>
  <si>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</si>
  <si>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</si>
  <si>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</si>
  <si>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</si>
  <si>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</si>
  <si>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</si>
  <si>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</si>
  <si>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</si>
  <si>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</si>
  <si>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</si>
  <si>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</si>
  <si>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</si>
  <si>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</si>
  <si>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</si>
  <si>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</si>
  <si>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</si>
  <si>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</si>
  <si>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</si>
  <si>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</si>
  <si>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</si>
  <si>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</si>
  <si>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</si>
  <si>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</si>
  <si>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</si>
  <si>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</si>
  <si>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</si>
  <si>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</si>
  <si>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</si>
  <si>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</si>
  <si>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</si>
  <si>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</si>
  <si>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</si>
  <si>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Locação de Obras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</si>
  <si>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</si>
  <si>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</si>
  <si>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</si>
  <si>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</si>
  <si>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</si>
  <si>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</si>
  <si>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</si>
  <si>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</si>
  <si>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</si>
  <si>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</si>
  <si>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</si>
  <si>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</si>
  <si>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Louças e Metais</t>
  </si>
  <si>
    <t xml:space="preserve">ACABAMENTO MONOCOMANDO PARA CHUVEIRO - FORNECIMENTO E INSTALAÇÃO. AF_02/2026</t>
  </si>
  <si>
    <t xml:space="preserve">APARELHO MISTURADOR DE MESA PARA LAVATÓRIO, PADRÃO MÉDIO - FORNECIMENTO E INSTALAÇÃO. AF_02/2026</t>
  </si>
  <si>
    <t xml:space="preserve">APARELHO MISTURADOR DE MESA PARA PIA DE COZINHA, PADRÃO MÉDIO - FORNECIMENTO E INSTALAÇÃO. AF_02/2026</t>
  </si>
  <si>
    <t xml:space="preserve">ASSENTO SANITÁRIO CONVENCIONAL - FORNECIMENTO E INSTALAÇÃO. AF_02/2026</t>
  </si>
  <si>
    <t xml:space="preserve">ASSENTO SANITÁRIO INFANTIL - FORNECIMENTO E INSTALAÇÃO. AF_02/2026</t>
  </si>
  <si>
    <t xml:space="preserve">ASSENTO SANITÁRIO PARA PCD - FORNECIMENTO E INSTALAÇÃO. AF_02/2026</t>
  </si>
  <si>
    <t xml:space="preserve">BACIA SANITÁRIA COM CAIXA ACOPLADA LOUÇA BRANCA - FORNECIMENTO E INSTALAÇÃO. AF_02/2026</t>
  </si>
  <si>
    <t xml:space="preserve">BACIA SANITÁRIA COM CAIXA ACOPLADA LOUÇA BRANCA - PADRÃO MÉDIO, INCLUSO ENGATE FLEXÍVEL EM METAL CROMADO, 1/2" X 40 CM - FORNECIMENTO E INSTALAÇÃO. AF_02/2026</t>
  </si>
  <si>
    <t xml:space="preserve">BACIA SANITÁRIA COM CAIXA ACOPLADA LOUÇA BRANCA, INCLUSO ENGATE FLEXÍVEL EM PLÁSTICO BRANCO, 1/2" X 40 CM - FORNECIMENTO E INSTALAÇÃO. AF_02/2026</t>
  </si>
  <si>
    <t xml:space="preserve">BACIA SANITÁRIA COM CAIXA ACOPLADA PARA PCD COM FURO FRONTAL EM LOUÇA BRANCA SEM ASSENTO - FORNECIMENTO E INSTALAÇÃO. AF_02/2026</t>
  </si>
  <si>
    <t xml:space="preserve">BACIA SANITÁRIA COM CAIXA ACOPLADA, LOUÇA BRANCA - PADRÃO ALTO - FORNECIMENTO E INSTALAÇÃO. AF_02/2026</t>
  </si>
  <si>
    <t xml:space="preserve">BACIA SANITÁRIA EM LOUÇA BRANCA PARA PCD SEM FURO FRONTAL, COM TUBO DE LIGAÇÃO CROMADO, SEM ASSENTO - FORNECIMENTO E INSTALAÇÃO. AF_02/2026_PS</t>
  </si>
  <si>
    <t xml:space="preserve">BACIA SANITÁRIA EM LOUÇA BRANCA, COM TUBO DE LIGAÇÃO CROMADO - FORNECIMENTO E INSTALAÇÃO. AF_02/2026_PS</t>
  </si>
  <si>
    <t xml:space="preserve">BACIA SANITÁRIA INFANTIL LOUÇA BRANCA, COM TUBO DE LIGAÇÃO CROMADO - FORNECIMENTO E INSTALAÇÃO. AF_02/2026_PS</t>
  </si>
  <si>
    <t xml:space="preserve">BANCADA DE GRANITO CINZA POLIDO, DE 0,50 X 0,60 M, PARA LAVATÓRIO - FORNECIMENTO E INSTALAÇÃO. AF_02/2026</t>
  </si>
  <si>
    <t xml:space="preserve">BANCADA DE GRANITO CINZA POLIDO, DE 1,50 X 0,60 M, PARA PIA DE COZINHA - FORNECIMENTO E INSTALAÇÃO. AF_02/2026</t>
  </si>
  <si>
    <t xml:space="preserve">BANCADA DE GRANITO CINZA POLIDO, DE 2,00 X 0,60 M, PARA LAVATÓRIO - FORNECIMENTO E INSTALAÇÃO. AF_02/2026</t>
  </si>
  <si>
    <t xml:space="preserve">BANCADA DE GRANITO CINZA POLIDO, DE 3,00 X 0,60 M, PARA LAVATÓRIO - FORNECIMENTO E INSTALAÇÃO. AF_02/2026</t>
  </si>
  <si>
    <t xml:space="preserve">BANCADA DE MÁRMORE BRANCO POLIDO, DE 0,50 X 0,60 M, PARA LAVATÓRIO - FORNECIMENTO E INSTALAÇÃO. AF_02/2026</t>
  </si>
  <si>
    <t xml:space="preserve">BANCADA DE MÁRMORE BRANCO POLIDO, DE 1,50 X 0,60 M, PARA PIA DE COZINHA - FORNECIMENTO E INSTALAÇÃO. AF_02/2026</t>
  </si>
  <si>
    <t xml:space="preserve">BANCADA DE MÁRMORE SINTÉTICO 120 X 60CM, COM CUBA INTEGRADA, INCLUSO SIFÃO TIPO FLEXÍVEL EM PVC, VÁLVULA EM PLÁSTICO CROMADO TIPO AMERICANA E TORNEIRA CROMADA LONGA, DE PAREDE, PADRÃO POPULAR - FORNECIMENTO E INSTALAÇÃO. AF_02/2026</t>
  </si>
  <si>
    <t xml:space="preserve">BANCADA DE MÁRMORE SINTÉTICO 120 X 60CM, COM CUBA INTEGRADA, INCLUSO SIFÃO TIPO GARRAFA EM PVC, VÁLVULA EM PLÁSTICO CROMADO TIPO AMERICANA E TORNEIRA CROMADA LONGA, DE PAREDE, PADRÃO POPULAR - FORNECIMENTO E INSTALAÇÃO. AF_02/2026</t>
  </si>
  <si>
    <t xml:space="preserve">BANCADA DE MÁRMORE SINTÉTICO, DE 120 X 60CM, COM CUBA INTEGRADA - FORNECIMENTO E INSTALAÇÃO. AF_02/2026</t>
  </si>
  <si>
    <t xml:space="preserve">BANCADA GRANITO CINZA 150 X 60 CM, COM CUBA DE EMBUTIR DE AÇO, VÁLVULA AMERICANA EM METAL, SIFÃO FLEXÍVEL EM PVC, ENGATE FLEXÍVEL 30 CM, TORNEIRA CROMADA LONGA, DE PAREDE, 1/2" OU 3/4", P/ COZINHA, PADRÃO POPULAR - FORNEC. E INSTALAÇÃO. AF_02/2026</t>
  </si>
  <si>
    <t xml:space="preserve">BANCADA GRANITO CINZA, 50 X 60 CM, INCL. CUBA DE EMBUTIR OVAL LOUÇA BRANCA 35 X 50 CM, VÁLVULA METAL CROMADO, SIFÃO FLEXÍVEL PVC, ENGATE 30 CM FLEXÍVEL PLÁSTICO E TORNEIRA CROMADA DE MESA, PADRÃO POPULAR - FORNEC. E INSTALAÇÃO. AF_02/2026</t>
  </si>
  <si>
    <t xml:space="preserve">BANCADA MÁRMORE BRANCO 150 X 60 CM, COM CUBA DE EMBUTIR DE AÇO, VÁLVULA AMERICANA E SIFÃO TIPO GARRAFA EM METAL, ENGATE FLEXÍVEL 30 CM, TORNEIRA CROMADA, DE MESA, 1/2" OU 3/4", PARA PIA COZINHA, PADRÃO ALTO - FORNEC. E INSTALAÇÃO. AF_02/2026</t>
  </si>
  <si>
    <t xml:space="preserve">BANCADA MÁRMORE BRANCO, 50 X 60 CM, INCLUSO CUBA DE EMBUTIR OVAL EM LOUÇA BRANCA 35 X 50 CM, VÁLVULA, SIFÃO TIPO GARRAFA E ENGATE FLEXÍVEL 40 CM EM METAL CROMADO E APARELHO MISTURADOR DE MESA, PADRÃO MÉDIO - FORNEC. E INSTALAÇÃO. AF_02/2026</t>
  </si>
  <si>
    <t xml:space="preserve">BANCO ARTICULADO, EM AÇO INOX, PARA PCD, FIXADO NA PAREDE - FORNECIMENTO E INSTALAÇÃO. AF_02/2026</t>
  </si>
  <si>
    <t xml:space="preserve">BARRA DE APOIO EM "L", EM AÇO INOX POLIDO 70 X 70 CM, FIXADA NA PAREDE - FORNECIMENTO E INSTALAÇÃO. AF_02/2026</t>
  </si>
  <si>
    <t xml:space="preserve">BARRA DE APOIO EM "L", EM AÇO INOX POLIDO 80 X 80 CM, FIXADA NA PAREDE - FORNECIMENTO E INSTALAÇÃO. AF_02/2026</t>
  </si>
  <si>
    <t xml:space="preserve">BARRA DE APOIO LATERAL ARTICULADA, COM TRAVA, EM AÇO INOX POLIDO, FIXADA NA PAREDE - FORNECIMENTO E INSTALAÇÃO. AF_02/2026</t>
  </si>
  <si>
    <t xml:space="preserve">BARRA DE APOIO RETA, EM ALUMÍNIO, COMPRIMENTO 60 CM, FIXADA NA PAREDE - FORNECIMENTO E INSTALAÇÃO. AF_02/2026</t>
  </si>
  <si>
    <t xml:space="preserve">BARRA DE APOIO RETA, EM ALUMÍNIO, COMPRIMENTO 70 CM, FIXADA NA PAREDE - FORNECIMENTO E INSTALAÇÃO. AF_02/2026</t>
  </si>
  <si>
    <t xml:space="preserve">BARRA DE APOIO RETA, EM ALUMÍNIO, COMPRIMENTO 80 CM, FIXADA NA PAREDE - FORNECIMENTO E INSTALAÇÃO. AF_02/2026</t>
  </si>
  <si>
    <t xml:space="preserve">BARRA DE APOIO RETA, EM ALUMÍNIO, COMPRIMENTO 90 CM, FIXADA NA PAREDE - FORNECIMENTO E INSTALAÇÃO. AF_02/2026</t>
  </si>
  <si>
    <t xml:space="preserve">BARRA DE APOIO RETA, EM AÇO INOX POLIDO, COMPRIMENTO 40 CM, FIXADA NA PAREDE - FORNECIMENTO E INSTALAÇÃO. AF_02/2026</t>
  </si>
  <si>
    <t xml:space="preserve">BARRA DE APOIO RETA, EM AÇO INOX POLIDO, COMPRIMENTO 60 CM, FIXADA NA PAREDE - FORNECIMENTO E INSTALAÇÃO. AF_02/2026</t>
  </si>
  <si>
    <t xml:space="preserve">BARRA DE APOIO RETA, EM AÇO INOX POLIDO, COMPRIMENTO 70 CM, FIXADA NA PAREDE - FORNECIMENTO E INSTALAÇÃO. AF_02/2026</t>
  </si>
  <si>
    <t xml:space="preserve">BARRA DE APOIO RETA, EM AÇO INOX POLIDO, COMPRIMENTO 80 CM, FIXADA NA PAREDE - FORNECIMENTO E INSTALAÇÃO. AF_02/2026</t>
  </si>
  <si>
    <t xml:space="preserve">BARRA DE APOIO RETA, EM AÇO INOX POLIDO, COMPRIMENTO 90 CM, FIXADA NA PAREDE - FORNECIMENTO E INSTALAÇÃO. AF_02/2026</t>
  </si>
  <si>
    <t xml:space="preserve">CABIDE METÁLICO TIPO GANCHO EM METAL CROMADO, INCLUSO FIXAÇÃO. AF_02/2026</t>
  </si>
  <si>
    <t xml:space="preserve">CHUVEIRO ELÉTRICO COMUM CORPO PLÁSTICO, TIPO DUCHA - FORNECIMENTO E INSTALAÇÃO. AF_02/2026</t>
  </si>
  <si>
    <t xml:space="preserve">CUBA DE EMBUTIR DE AÇO INOXIDÁVEL MÉDIA, INCLUSO VÁLVULA TIPO AMERICANA E SIFÃO TIPO GARRAFA EM METAL CROMADO - FORNECIMENTO E INSTALAÇÃO. AF_02/2026</t>
  </si>
  <si>
    <t xml:space="preserve">CUBA DE EMBUTIR DE AÇO INOXIDÁVEL MÉDIA, INCLUSO VÁLVULA TIPO AMERICANA EM METAL CROMADO E SIFÃO FLEXÍVEL EM PVC - FORNECIMENTO E INSTALAÇÃO. AF_02/2026</t>
  </si>
  <si>
    <t xml:space="preserve">CUBA DE EMBUTIR OVAL EM LOUÇA BRANCA, 35 X 50 CM OU EQUIVALENTE, INCLUSO VÁLVULA E SIFÃO TIPO GARRAFA EM METAL CROMADO - FORNECIMENTO E INSTALAÇÃO. AF_02/2026</t>
  </si>
  <si>
    <t xml:space="preserve">CUBA DE EMBUTIR OVAL EM LOUÇA BRANCA, 35 X 50 CM OU EQUIVALENTE, INCLUSO VÁLVULA EM METAL CROMADO E SIFÃO FLEXÍVEL EM PVC - FORNECIMENTO E INSTALAÇÃO. AF_02/2026</t>
  </si>
  <si>
    <t xml:space="preserve">CUBA DE EMBUTIR OVAL EM LOUÇA BRANCA, 35 X 50CM OU EQUIVALENTE - FORNECIMENTO E INSTALAÇÃO. AF_02/2026</t>
  </si>
  <si>
    <t xml:space="preserve">CUBA DE EMBUTIR REDONDA EM LOUÇA BRANCA, 36 CM OU EQUIVALENTE - FORNECIMENTO E INSTALAÇÃO. AF_02/2026</t>
  </si>
  <si>
    <t xml:space="preserve">CUBA DE EMBUTIR RETANGULAR DE AÇO INOXIDÁVEL, 46 X 30 X 12 CM - FORNECIMENTO E INSTALAÇÃO. AF_02/2026</t>
  </si>
  <si>
    <t xml:space="preserve">CUBA DE EMBUTIR RETANGULAR DE AÇO INOXIDÁVEL, 56 X 33 X 12 CM - FORNECIMENTO E INSTALAÇÃO. AF_02/2026</t>
  </si>
  <si>
    <t xml:space="preserve">DISPENSER DE MESA, PARA SABONETE LÍQUIDO ACABAMENTO METAL CROMADO, ACIONAMENTO HIDROMECÂNICO POR LEVE PRESSÃO MANUAL. AF_02/2026</t>
  </si>
  <si>
    <t xml:space="preserve">DISPENSER DE PLÁSTICO COM ALAVANCA PARA TOALHA DE PAPEL EM BOBINA, INCLUSO FIXAÇÃO. AF_02/2026</t>
  </si>
  <si>
    <t xml:space="preserve">DISPENSER DE PLÁSTICO PARA PAPEL HIGIÊNICO, INCLUSO FIXAÇÃO. AF_02/2026</t>
  </si>
  <si>
    <t xml:space="preserve">DISPENSER DE PLÁSTICO PARA TOALHA DE PAPEL INTERFOLHADA, INCLUSO FIXAÇÃO. AF_02/2026</t>
  </si>
  <si>
    <t xml:space="preserve">DUCHA HIGIÊNICA EM METAL CROMADO, COM GATILHO E REGISTRO - FORNECIMENTO E INSTALAÇÃO. AF_02/2026</t>
  </si>
  <si>
    <t xml:space="preserve">ENGATE FLEXÍVEL EM INOX, 1/2" X 30 CM - FORNECIMENTO E INSTALAÇÃO. AF_02/2026</t>
  </si>
  <si>
    <t xml:space="preserve">ENGATE FLEXÍVEL EM INOX, 1/2" X 40 CM - FORNECIMENTO E INSTALAÇÃO. AF_02/2026</t>
  </si>
  <si>
    <t xml:space="preserve">ENGATE FLEXÍVEL EM PLÁSTICO BRANCO, 1/2" X 30CM - FORNECIMENTO E INSTALAÇÃO. AF_02/2026</t>
  </si>
  <si>
    <t xml:space="preserve">ENGATE FLEXÍVEL EM PLÁSTICO BRANCO, 1/2" X 40CM - FORNECIMENTO E INSTALAÇÃO. AF_02/2026</t>
  </si>
  <si>
    <t xml:space="preserve">KIT DE ACESSÓRIOS PARA BANHEIRO EM METAL CROMADO, 5 PEÇAS, INCLUSO FIXAÇÃO. AF_02/2026</t>
  </si>
  <si>
    <t xml:space="preserve">LAVATÓRIO LOUÇA BRANCA COM COLUNA SUSPENSA, PCD, *43 X 53* CM - FORNECIMENTO E INSTALAÇÃO. AF_02/2026</t>
  </si>
  <si>
    <t xml:space="preserve">LAVATÓRIO LOUÇA BRANCA COM COLUNA, *44 X 35* CM, PADRÃO POPULAR - FORNECIMENTO E INSTALAÇÃO. AF_02/2026</t>
  </si>
  <si>
    <t xml:space="preserve">LAVATÓRIO LOUÇA BRANCA COM COLUNA, *44 X 35* CM, PADRÃO POPULAR, INCLUSO SIFÃO FLEXÍVEL EM PVC, VÁLVULA E ENGATE FLEXÍVEL 30 CM EM PLÁSTICO E COM TORNEIRA CROMADA PADRÃO POPULAR - FORNECIMENTO E INSTALAÇÃO. AF_02/2026</t>
  </si>
  <si>
    <t xml:space="preserve">LAVATÓRIO LOUÇA BRANCA COM COLUNA, *54 X 44* CM OU EQUIVALENTE, PADRÃO MÉDIO - FORNECIMENTO E INSTALAÇÃO. AF_02/2026</t>
  </si>
  <si>
    <t xml:space="preserve">LAVATÓRIO LOUÇA BRANCA COM COLUNA, 45 X 55 CM OU EQUIVALENTE, PADRÃO MÉDIO, INCLUSO SIFÃO TIPO GARRAFA, VÁLVULA E ENGATE FLEXÍVEL DE 40 CM EM METAL CROMADO, COM APARELHO MISTURADOR PADRÃO MÉDIO - FORNECIMENTO E INSTALAÇÃO. AF_02/2026</t>
  </si>
  <si>
    <t xml:space="preserve">LAVATÓRIO LOUÇA BRANCA COM COLUNA, 45 X 55 CM OU EQUIVALENTE, PADRÃO MÉDIO, INCLUSO SIFÃO TIPO GARRAFA, VÁLVULA E ENGATE FLEXÍVEL DE 40 CM EM METAL CROMADO, COM TORNEIRA CROMADA DE MESA, PADRÃO MÉDIO - FORNECIMENTO E INSTALAÇÃO. AF_02/2026</t>
  </si>
  <si>
    <t xml:space="preserve">LAVATÓRIO LOUÇA BRANCA SUSPENSO, *40 X 30* CM OU EQUIVALENTE, PADRÃO POPULAR - FORNECIMENTO E INSTALAÇÃO. AF_02/2026</t>
  </si>
  <si>
    <t xml:space="preserve">LAVATÓRIO LOUÇA BRANCA SUSPENSO, *40 X 30* CM OU EQUIVALENTE, PADRÃO POPULAR, INCLUSO SIFÃO FLEXÍVEL EM PVC, VÁLVULA E ENGATE FLEXÍVEL 30 CM EM PLÁSTICO E TORNEIRA CROMADA DE MESA, PADRÃO POPULAR - FORNECIMENTO E INSTALAÇÃO. AF_02/2026</t>
  </si>
  <si>
    <t xml:space="preserve">LAVATÓRIO LOUÇA BRANCA SUSPENSO, *40 X 30* CM OU EQUIVALENTE, PADRÃO POPULAR, INCLUSO SIFÃO TIPO GARRAFA EM PVC, VÁLVULA E ENGATE FLEXÍVEL 30 CM EM PLÁSTICO E TORNEIRA CROMADA DE MESA, PADRÃO POPULAR - FORNECIMENTO E INSTALAÇÃO. AF_02/2026</t>
  </si>
  <si>
    <t xml:space="preserve">MANOPLA E CANOPLA CROMADA - FORNECIMENTO E INSTALAÇÃO. AF_02/2026</t>
  </si>
  <si>
    <t xml:space="preserve">MICTÓRIO COLETIVO EM AÇO INOXIDÁVEL, 1,0 M - FORNECIMENTO E INSTALAÇÃO. AF_02/2026</t>
  </si>
  <si>
    <t xml:space="preserve">MICTÓRIO SIFONADO COM VÁLVULA DE DESCARGA EM LOUÇA BRANCA - PADRÃO MÉDIO - FORNECIMENTO E INSTALAÇÃO. AF_02/2026</t>
  </si>
  <si>
    <t xml:space="preserve">MICTÓRIO SIFONADO LOUÇA BRANCA PARA ENTRADA DE ÁGUA EMBUTIDA - PADRÃO ALTO - FORNECIMENTO E INSTALAÇÃO. AF_02/2026</t>
  </si>
  <si>
    <t xml:space="preserve">PAPELEIRA DE PAREDE EM METAL CROMADO SEM TAMPA, INCLUSO FIXAÇÃO. AF_02/2026</t>
  </si>
  <si>
    <t xml:space="preserve">PIA DE AÇO INOX, DE *0,55 X 1,20* M COM 1 CUBA - FORNECIMENTO E INSTALAÇÃO. AF_02/2026</t>
  </si>
  <si>
    <t xml:space="preserve">PORTA TOALHA BANHO EM METAL CROMADO, TIPO BARRA, INCLUSO FIXAÇÃO. AF_02/2026</t>
  </si>
  <si>
    <t xml:space="preserve">PORTA TOALHA ROSTO EM METAL CROMADO, TIPO ARGOLA, INCLUSO FIXAÇÃO. AF_02/2026</t>
  </si>
  <si>
    <t xml:space="preserve">PRATELEIRA DE VIDRO COM SUPORTE CROMADO, INCLUSO FIXAÇÃO. AF_02/2026</t>
  </si>
  <si>
    <t xml:space="preserve">PUXADOR PARA PCD, FIXADO NA PORTA - FORNECIMENTO E INSTALAÇÃO. AF_02/2026</t>
  </si>
  <si>
    <t xml:space="preserve">SABONETEIRA DE PAREDE EM METAL CROMADO, INCLUSO FIXAÇÃO. AF_02/2026</t>
  </si>
  <si>
    <t xml:space="preserve">SABONETEIRA PLÁSTICA TIPO DISPENSER PARA SABONETE LÍQUIDO COM RESERVATÓRIO 800 A 1500 ML, INCLUSO FIXAÇÃO. AF_02/2026</t>
  </si>
  <si>
    <t xml:space="preserve">SIFÃO DO TIPO FLEXÍVEL EM PVC 1" X 1.1/2" - FORNECIMENTO E INSTALAÇÃO. AF_02/2026</t>
  </si>
  <si>
    <t xml:space="preserve">SIFÃO DO TIPO GARRAFA EM METAL CROMADO 1" X 1.1/2" - FORNECIMENTO E INSTALAÇÃO. AF_02/2026</t>
  </si>
  <si>
    <t xml:space="preserve">SIFÃO DO TIPO GARRAFA/COPO EM PVC 1.1/4" X 1.1/2" - FORNECIMENTO E INSTALAÇÃO. AF_02/2026</t>
  </si>
  <si>
    <t xml:space="preserve">SUPORTE MÃO FRANCESA EM AÇO, ABAS IGUAIS 30 CM, CAPACIDADE MÍNIMA 60 KG, BRANCO - FORNECIMENTO E INSTALAÇÃO. AF_02/2026</t>
  </si>
  <si>
    <t xml:space="preserve">SUPORTE MÃO FRANCESA EM AÇO, ABAS IGUAIS 40 CM, CAPACIDADE MÍNIMA 70 KG, BRANCO - FORNECIMENTO E INSTALAÇÃO. AF_02/2026</t>
  </si>
  <si>
    <t xml:space="preserve">TANQUE DE LOUÇA BRANCA COM COLUNA, 30L OU EQUIVALENTE - FORNECIMENTO E INSTALAÇÃO. AF_02/2026</t>
  </si>
  <si>
    <t xml:space="preserve">TANQUE DE LOUÇA BRANCA COM COLUNA, 30L OU EQUIVALENTE, INCLUSO SIFÃO FLEXÍVEL EM PVC, VÁLVULA METÁLICA E TORNEIRA DE METAL CROMADO PADRÃO MÉDIO - FORNECIMENTO E INSTALAÇÃO. AF_02/2026</t>
  </si>
  <si>
    <t xml:space="preserve">TANQUE DE LOUÇA BRANCA COM COLUNA, 30L OU EQUIVALENTE, INCLUSO SIFÃO FLEXÍVEL EM PVC, VÁLVULA PLÁSTICA E TORNEIRA DE METAL CROMADO PADRÃO POPULAR - FORNECIMENTO E INSTALAÇÃO. AF_02/2026</t>
  </si>
  <si>
    <t xml:space="preserve">TANQUE DE LOUÇA BRANCA COM COLUNA, 30L OU EQUIVALENTE, INCLUSO SIFÃO FLEXÍVEL EM PVC, VÁLVULA PLÁSTICA E TORNEIRA DE PLÁSTICO - FORNECIMENTO E INSTALAÇÃO. AF_02/2026</t>
  </si>
  <si>
    <t xml:space="preserve">TANQUE DE LOUÇA BRANCA SUSPENSO, *20*L OU EQUIVALENTE - FORNECIMENTO E INSTALAÇÃO. AF_02/2026</t>
  </si>
  <si>
    <t xml:space="preserve">TANQUE DE LOUÇA BRANCA SUSPENSO, 20L OU EQUIVALENTE, INCLUSO SIFÃO TIPO GARRAFA EM METAL CROMADO, VÁLVULA METÁLICA E TORNEIRA DE METAL CROMADO PADRÃO MÉDIO - FORNECIMENTO E INSTALAÇÃO. AF_02/2026</t>
  </si>
  <si>
    <t xml:space="preserve">TANQUE DE LOUÇA BRANCA SUSPENSO, 20L OU EQUIVALENTE, INCLUSO SIFÃO TIPO GARRAFA EM PVC, VÁLVULA PLÁSTICA E TORNEIRA DE METAL CROMADO PADRÃO POPULAR - FORNECIMENTO E INSTALAÇÃO. AF_02/2026</t>
  </si>
  <si>
    <t xml:space="preserve">TANQUE DE LOUÇA BRANCA SUSPENSO, 20L OU EQUIVALENTE, INCLUSO SIFÃO TIPO GARRAFA EM PVC, VÁLVULA PLÁSTICA E TORNEIRA DE PLÁSTICO - FORNECIMENTO E INSTALAÇÃO. AF_02/2026</t>
  </si>
  <si>
    <t xml:space="preserve">TANQUE DE MÁRMORE SINTÉTICO COM COLUNA, 22L OU EQUIVALENTE FORNECIMENTO E INSTALAÇÃO. AF_02/2026</t>
  </si>
  <si>
    <t xml:space="preserve">TANQUE DE MÁRMORE SINTÉTICO COM COLUNA, 22L OU EQUIVALENTE, INCLUSO SIFÃO FLEXÍVEL EM PVC, VÁLVULA PLÁSTICA E TORNEIRA DE METAL CROMADO PADRÃO POPULAR - FORNECIMENTO E INSTALAÇÃO. AF_02/2026</t>
  </si>
  <si>
    <t xml:space="preserve">TANQUE DE MÁRMORE SINTÉTICO COM COLUNA, 22L OU EQUIVALENTE, INCLUSO SIFÃO FLEXÍVEL EM PVC, VÁLVULA PLÁSTICA E TORNEIRA DE PLÁSTICO - FORNECIMENTO E INSTALAÇÃO. AF_02/2026</t>
  </si>
  <si>
    <t xml:space="preserve">TANQUE DE MÁRMORE SINTÉTICO SUSPENSO, 22L OU EQUIVALENTE - FORNECIMENTO E INSTALAÇÃO. AF_02/2026</t>
  </si>
  <si>
    <t xml:space="preserve">TANQUE DE MÁRMORE SINTÉTICO SUSPENSO, 22L OU EQUIVALENTE, INCLUSO SIFÃO FLEXÍVEL EM PVC, VÁLVULA PLÁSTICA E TORNEIRA DE METAL CROMADO PADRÃO POPULAR - FORNECIMENTO E INSTALAÇÃO. AF_02/2026</t>
  </si>
  <si>
    <t xml:space="preserve">TANQUE DE MÁRMORE SINTÉTICO SUSPENSO, 22L OU EQUIVALENTE, INCLUSO SIFÃO FLEXÍVEL EM PVC, VÁLVULA PLÁSTICA E TORNEIRA DE PLÁSTICO - FORNECIMENTO E INSTALAÇÃO. AF_02/2026</t>
  </si>
  <si>
    <t xml:space="preserve">TANQUE DE MÁRMORE SINTÉTICO SUSPENSO, 22L OU EQUIVALENTE, INCLUSO SIFÃO TIPO GARRAFA EM PVC, VÁLVULA PLÁSTICA E TORNEIRA DE METAL CROMADO PADRÃO POPULAR - FORNEC. E INSTALAÇÃO. AF_02/2026</t>
  </si>
  <si>
    <t xml:space="preserve">TANQUE DE MÁRMORE SINTÉTICO SUSPENSO, 22L OU EQUIVALENTE, INCLUSO SIFÃO TIPO GARRAFA EM PVC, VÁLVULA PLÁSTICA E TORNEIRA DE PLÁSTICO - FORNECIMENTO E INSTALAÇÃO. AF_02/2026</t>
  </si>
  <si>
    <t xml:space="preserve">TANQUE EM AÇO INOXIDÁVEL SUSPENSO, 30L OU EQUIVALENTE - FORNECIMENTO E INSTALAÇÃO. AF_02/2026</t>
  </si>
  <si>
    <t xml:space="preserve">TORNEIRA CROMADA 1/2" OU 3/4" PARA TANQUE, PADRÃO MÉDIO - FORNECIMENTO E INSTALAÇÃO. AF_02/2026</t>
  </si>
  <si>
    <t xml:space="preserve">TORNEIRA CROMADA 1/2" OU 3/4" PARA TANQUE, PADRÃO POPULAR - FORNECIMENTO E INSTALAÇÃO. AF_02/2026</t>
  </si>
  <si>
    <t xml:space="preserve">TORNEIRA CROMADA DE MESA COM ALAVANCA, PARA LAVATÓRIO DE SANITÁRIO PCD - FORNECIMENTO E INSTALAÇÃO. AF_02/2026</t>
  </si>
  <si>
    <t xml:space="preserve">TORNEIRA CROMADA DE MESA COM FECHAMENTO AUTOMÁTICO, PARA LAVATÓRIO - FORNECIMENTO E INSTALAÇÃO. AF_02/2026</t>
  </si>
  <si>
    <t xml:space="preserve">TORNEIRA CROMADA DE MESA PARA LAVATÓRIO COM SENSOR DE PRESENÇA. AF_02/2026</t>
  </si>
  <si>
    <t xml:space="preserve">TORNEIRA CROMADA DE MESA PARA LAVATÓRIO, TIPO MONOCOMANDO. AF_02/2026</t>
  </si>
  <si>
    <t xml:space="preserve">TORNEIRA CROMADA DE MESA, 1/2" OU 3/4", PARA LAVATÓRIO, PADRÃO MÉDIO - FORNECIMENTO E INSTALAÇÃO. AF_02/2026</t>
  </si>
  <si>
    <t xml:space="preserve">TORNEIRA CROMADA DE MESA, 1/2" OU 3/4", PARA LAVATÓRIO, PADRÃO POPULAR - FORNECIMENTO E INSTALAÇÃO. AF_02/2026</t>
  </si>
  <si>
    <t xml:space="preserve">TORNEIRA CROMADA LONGA, DE PAREDE, 1/2" OU 3/4", PARA PIA DE COZINHA, PADRÃO POPULAR - FORNECIMENTO E INSTALAÇÃO. AF_02/2026</t>
  </si>
  <si>
    <t xml:space="preserve">TORNEIRA CROMADA TUBO MÓVEL, DE MESA, 1/2" OU 3/4", PARA PIA DE COZINHA, PADRÃO ALTO - FORNECIMENTO E INSTALAÇÃO. AF_02/2026</t>
  </si>
  <si>
    <t xml:space="preserve">TORNEIRA CROMADA TUBO MÓVEL, DE PAREDE, 1/2" OU 3/4", PARA PIA DE COZINHA, PADRÃO MÉDIO - FORNECIMENTO E INSTALAÇÃO. AF_02/2026</t>
  </si>
  <si>
    <t xml:space="preserve">TORNEIRA PLÁSTICA 3/4" PARA TANQUE - FORNECIMENTO E INSTALAÇÃO. AF_02/2026</t>
  </si>
  <si>
    <t xml:space="preserve">VÁLVULA EM METAL CROMADO 1.1/2" X 1.1/2" PARA TANQUE OU LAVATÓRIO, COM OU SEM LADRÃO - FORNECIMENTO E INSTALAÇÃO. AF_02/2026</t>
  </si>
  <si>
    <t xml:space="preserve">VÁLVULA EM METAL CROMADO TIPO AMERICANA 3.1/2" X 1.1/2" PARA PIA - FORNECIMENTO E INSTALAÇÃO. AF_02/2026</t>
  </si>
  <si>
    <t xml:space="preserve">VÁLVULA EM PLÁSTICO 1" PARA PIA, TANQUE OU LAVATÓRIO, COM OU SEM LADRÃO - FORNECIMENTO E INSTALAÇÃO. AF_02/2026</t>
  </si>
  <si>
    <t xml:space="preserve">VÁLVULA EM PLÁSTICO CROMADO TIPO AMERICANA 3.1/2" X 1.1/2" SEM ADAPTADOR PARA PIA - FORNECIMENTO E INSTALAÇÃO. AF_02/2026</t>
  </si>
  <si>
    <t xml:space="preserve">Luminárias Externas</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</si>
  <si>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</si>
  <si>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</si>
  <si>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</si>
  <si>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</si>
  <si>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</si>
  <si>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</si>
  <si>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</si>
  <si>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</si>
  <si>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</si>
  <si>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</si>
  <si>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</si>
  <si>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</si>
  <si>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</si>
  <si>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</si>
  <si>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</si>
  <si>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</si>
  <si>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</si>
  <si>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</si>
  <si>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</si>
  <si>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</si>
  <si>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</si>
  <si>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</si>
  <si>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</si>
  <si>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</si>
  <si>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</si>
  <si>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</si>
  <si>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</si>
  <si>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Massa Única Externa</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</si>
  <si>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</si>
  <si>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</si>
  <si>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</si>
  <si>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</si>
  <si>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</si>
  <si>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</si>
  <si>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</si>
  <si>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</si>
  <si>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</si>
  <si>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</si>
  <si>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</si>
  <si>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</si>
  <si>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</si>
  <si>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</si>
  <si>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</si>
  <si>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</si>
  <si>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</si>
  <si>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</si>
  <si>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</si>
  <si>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</si>
  <si>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</si>
  <si>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</si>
  <si>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</si>
  <si>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</si>
  <si>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</si>
  <si>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</si>
  <si>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</si>
  <si>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</si>
  <si>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</si>
  <si>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</si>
  <si>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</si>
  <si>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</si>
  <si>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</si>
  <si>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</si>
  <si>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</si>
  <si>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</si>
  <si>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</si>
  <si>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</si>
  <si>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</si>
  <si>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</si>
  <si>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</si>
  <si>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</si>
  <si>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</si>
  <si>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</si>
  <si>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</si>
  <si>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</si>
  <si>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</si>
  <si>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</si>
  <si>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</si>
  <si>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</si>
  <si>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</si>
  <si>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</si>
  <si>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</si>
  <si>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</si>
  <si>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</si>
  <si>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</si>
  <si>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</si>
  <si>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</si>
  <si>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</si>
  <si>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</si>
  <si>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</si>
  <si>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</si>
  <si>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</si>
  <si>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</si>
  <si>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</si>
  <si>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</si>
  <si>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</si>
  <si>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</si>
  <si>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</si>
  <si>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</si>
  <si>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</si>
  <si>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</si>
  <si>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</si>
  <si>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</si>
  <si>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</si>
  <si>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</si>
  <si>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</si>
  <si>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</si>
  <si>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</si>
  <si>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</si>
  <si>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</si>
  <si>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</si>
  <si>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</si>
  <si>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</si>
  <si>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</si>
  <si>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</si>
  <si>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</si>
  <si>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</si>
  <si>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</si>
  <si>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</si>
  <si>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</si>
  <si>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</si>
  <si>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</si>
  <si>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</si>
  <si>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</si>
  <si>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</si>
  <si>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</si>
  <si>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</si>
  <si>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</si>
  <si>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</si>
  <si>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</si>
  <si>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</si>
  <si>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</si>
  <si>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Massa Única Interna</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</si>
  <si>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</si>
  <si>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</si>
  <si>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</si>
  <si>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</si>
  <si>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</si>
  <si>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</si>
  <si>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</si>
  <si>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</si>
  <si>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</si>
  <si>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</si>
  <si>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</si>
  <si>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</si>
  <si>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</si>
  <si>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</si>
  <si>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</si>
  <si>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</si>
  <si>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</si>
  <si>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</si>
  <si>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</si>
  <si>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</si>
  <si>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</si>
  <si>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</si>
  <si>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</si>
  <si>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</si>
  <si>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</si>
  <si>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</si>
  <si>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</si>
  <si>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</si>
  <si>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</si>
  <si>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</si>
  <si>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</si>
  <si>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</si>
  <si>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</si>
  <si>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</si>
  <si>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</si>
  <si>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</si>
  <si>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</si>
  <si>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</si>
  <si>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</si>
  <si>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</si>
  <si>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</si>
  <si>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</si>
  <si>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</si>
  <si>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</si>
  <si>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</si>
  <si>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</si>
  <si>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</si>
  <si>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</si>
  <si>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</si>
  <si>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</si>
  <si>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Mobilização e desmobilização de equipamentos pesados</t>
  </si>
  <si>
    <t xml:space="preserve">CARGA, MANOBRA E DESCARGA DE ESCAVADEIRA SOBRE ESTEIRAS, PESO OPERACIONAL DE 17 T, EM CAVALO MECÂNICO 6X2 COM PRANCHA RETA. AF_01/2026</t>
  </si>
  <si>
    <t xml:space="preserve">CARGA, MANOBRA E DESCARGA DE FRESADORA DE ASFALTO A FRIO SOBRE RODAS, LARGURA 1,0 M, PESO OPERACIONAL DE 14,7 T, EM CAVALO MECÂNICO 6X2 COM PRANCHA RETA. AF_01/2026</t>
  </si>
  <si>
    <t xml:space="preserve">CARGA, MANOBRA E DESCARGA DE FRESADORA DE ASFALTO A FRIO SOBRE RODAS, LARGURA 2,0 M, PESO OPERACIONAL DE 27,7 T, EM CAVALO MECÂNICO 6X2 COM PRANCHA REBAIXADA. AF_01/2026</t>
  </si>
  <si>
    <t xml:space="preserve">CARGA, MANOBRA E DESCARGA DE GUINDASTE HIDRÁULICO AUTOPROPELIDO, COM LANÇA TRELIÇADA 41 M, PESO OPERACIONAL DE 43 T, EM CAVALO MECÂNICO 6X2 COM PRANCHA REBAIXADA. AF_01/2026</t>
  </si>
  <si>
    <t xml:space="preserve">CARGA, MANOBRA E DESCARGA DE MINICARREGADEIRA SOBRE RODAS, PESO OPERACIONAL DE 2,58 T, EM CAMINHÃO GUINCHO-SOCORRO 23000 KG. AF_01/2026</t>
  </si>
  <si>
    <t xml:space="preserve">CARGA, MANOBRA E DESCARGA DE MINICARREGADEIRA SOBRE RODAS, PESO OPERACIONAL DE 2,58 T, EM CAMINHÃO PLATAFORMA 16000 KG. AF_01/2026</t>
  </si>
  <si>
    <t xml:space="preserve">CARGA, MANOBRA E DESCARGA DE MINIESCAVADEIRA SOBRE ESTEIRA, PESO OPERACIONAL DE 3,5 T, EM CAMINHÃO GUINCHO-SOCORRO 23000 KG. AF_01/2026</t>
  </si>
  <si>
    <t xml:space="preserve">CARGA, MANOBRA E DESCARGA DE MINIESCAVADEIRA SOBRE ESTEIRA, PESO OPERACIONAL DE 3,5 T, EM CAMINHÃO PLATAFORMA 16000 KG. AF_01/2026</t>
  </si>
  <si>
    <t xml:space="preserve">CARGA, MANOBRA E DESCARGA DE MOTONIVELADORA, PESO OPERACIONAL DE 13 T, EM CAMINHÃO PLATAFORMA 23000 KG. AF_01/2026</t>
  </si>
  <si>
    <t xml:space="preserve">CARGA, MANOBRA E DESCARGA DE PÁ CARREGADEIRA SOBRE RODAS, CAÇAMBA DE 1,7 A 2,8 M3, PESO OPERACIONAL DE 11,63 T, EM CAMINHÃO PLATAFORMA 23000 KG. AF_01/2026</t>
  </si>
  <si>
    <t xml:space="preserve">CARGA, MANOBRA E DESCARGA DE PÁ CARREGADEIRA SOBRE RODAS, CAÇAMBA DE 2,5 A 3,5 M3, PESO OPERACIONAL DE 18,34 T, EM CAVALO MECÂNICO 6X2 COM PRANCHA RETA. AF_01/2026</t>
  </si>
  <si>
    <t xml:space="preserve">CARGA, MANOBRA E DESCARGA DE RECICLADORA DE ASFALTO A FRIO SOBRE RODAS, LARGURA 2,0 M, PESO OPERACIONAL DE 24,2 T, EM CAVALO MECÂNICO 6X2 COM PRANCHA REBAIXADA. AF_01/2026</t>
  </si>
  <si>
    <t xml:space="preserve">CARGA, MANOBRA E DESCARGA DE RETROESCAVADEIRA SOBRE RODAS COM CARREGADEIRA E MARTELO ROMPEDOR HIDRÁULICO, PESO OPERACIONAL DE 6,67 T, EM CAMINHÃO GUINCHO-SOCORRO 23000 KG. AF_01/2026</t>
  </si>
  <si>
    <t xml:space="preserve">CARGA, MANOBRA E DESCARGA DE RETROESCAVADEIRA SOBRE RODAS COM CARREGADEIRA E MARTELO ROMPEDOR HIDRÁULICO, PESO OPERACIONAL DE 6,67 T, EM CAMINHÃO PLATAFORMA 16000 KG. AF_01/2026</t>
  </si>
  <si>
    <t xml:space="preserve">CARGA, MANOBRA E DESCARGA DE RETROESCAVADEIRA SOBRE RODAS COM CARREGADEIRA, PESO OPERACIONAL DE 7,14 T, EM CAMINHÃO GUINCHO-SOCORRO 23000 KG. AF_01/2026</t>
  </si>
  <si>
    <t xml:space="preserve">CARGA, MANOBRA E DESCARGA DE RETROESCAVADEIRA SOBRE RODAS COM CARREGADEIRA, PESO OPERACIONAL DE 7,14 T, EM CAMINHÃO PLATAFORMA 16000 KG. AF_01/2026</t>
  </si>
  <si>
    <t xml:space="preserve">CARGA, MANOBRA E DESCARGA DE ROLO COMPACTADOR DE CARNEIRO VIBRATORIO, PESO OPERACIONAL SEM LASTRO DE 11,95 T, EM CAMINHÃO PLATAFORMA 23000 KG. AF_01/2026</t>
  </si>
  <si>
    <t xml:space="preserve">CARGA, MANOBRA E DESCARGA DE ROLO COMPACTADOR DE CARNEIRO VIBRATORIO, PESO OPERACIONAL SEM LASTRO DE 7,4 T, EM CAMINHÃO GUINCHO-SOCORRO 23000 KG. AF_01/2026</t>
  </si>
  <si>
    <t xml:space="preserve">CARGA, MANOBRA E DESCARGA DE ROLO COMPACTADOR DE CARNEIRO VIBRATORIO, PESO OPERACIONAL SEM LASTRO DE 7,4 T, EM CAMINHÃO PLATAFORMA 16000 KG. AF_01/2026</t>
  </si>
  <si>
    <t xml:space="preserve">CARGA, MANOBRA E DESCARGA DE ROLO COMPACTADOR DE PNEUS, PESO OPERACIONAL SEM LASTRO DE 10,8 T, EM CAMINHÃO PLATAFORMA 23000 KG. AF_01/2026</t>
  </si>
  <si>
    <t xml:space="preserve">CARGA, MANOBRA E DESCARGA DE ROLO COMPACTADOR DE PNEUS, PESO OPERACIONAL SEM LASTRO DE 9,5 T, EM CAMINHÃO PLATAFORMA 16000 KG. AF_01/2026</t>
  </si>
  <si>
    <t xml:space="preserve">CARGA, MANOBRA E DESCARGA DE ROLO COMPACTADOR VIBRATORIO TAMDEM LISO, PESO OPERACIONAL SEM LASTRO DE 10,2 T, EM CAMINHÃO PLATAFORMA 23000 KG. AF_01/2026</t>
  </si>
  <si>
    <t xml:space="preserve">CARGA, MANOBRA E DESCARGA DE ROLO COMPACTADOR VIBRATORIO TAMDEM LISO, PESO OPERACIONAL SEM LASTRO DE 6,5 T, EM CAMINHÃO GUINCHO-SOCORRO 23000 KG. AF_01/2026</t>
  </si>
  <si>
    <t xml:space="preserve">CARGA, MANOBRA E DESCARGA DE ROLO COMPACTADOR VIBRATORIO TAMDEM LISO, PESO OPERACIONAL SEM LASTRO DE 6,5 T, EM CAMINHÃO PLATAFORMA 16000 KG. AF_01/2026</t>
  </si>
  <si>
    <t xml:space="preserve">CARGA, MANOBRA E DESCARGA DE TRATOR DE ESTEIRAS, PESO OPERACIONAL DE 12,9 T, EM CAMINHÃO PLATAFORMA 23000 KG. AF_01/2026</t>
  </si>
  <si>
    <t xml:space="preserve">CARGA, MANOBRA E DESCARGA DE TRATOR DE ESTEIRAS, PESO OPERACIONAL DE 16,7 T, EM CAVALO MECÂNICO 6X2 COM PRANCHA RETA. AF_01/2026</t>
  </si>
  <si>
    <t xml:space="preserve">CARGA, MANOBRA E DESCARGA DE TRATOR DE ESTEIRAS, PESO OPERACIONAL DE 38,5 T, EM CAVALO MECÂNICO 6X2 COM PRANCHA REBAIXADA. AF_01/2026</t>
  </si>
  <si>
    <t xml:space="preserve">CARGA, MANOBRA E DESCARGA DE TRATOR DE ESTEIRAS, PESO OPERACIONAL DE 9,4 T, EM CAMINHÃO GUINCHO-SOCORRO 23000 KG. AF_01/2026</t>
  </si>
  <si>
    <t xml:space="preserve">CARGA, MANOBRA E DESCARGA DE TRATOR DE ESTEIRAS, PESO OPERACIONAL DE 9,4 T, EM CAMINHÃO PLATAFORMA 16000 KG. AF_01/2026</t>
  </si>
  <si>
    <t xml:space="preserve">CARGA, MANOBRA E DESCARGA DE TRATOR DE PNEUS 85 CV COM GRADE DE DISCOS ACOPLADA, PESO OPERACIONAL DO CONJUNTO DE 7,018 T, EM CAVALO MECÂNICO 6X2 COM PRANCHA REBAIXADA. AF_01/2026</t>
  </si>
  <si>
    <t xml:space="preserve">CARGA, MANOBRA E DESCARGA DE TRATOR DE PNEUS 85 CV COM VASSOURA MECÂNICA ACOPLADA, PESO OPERACIONAL DO CONJUNTO DE 5,495 T, EM CAMINHÃO GUINCHO-SOCORRO 23000 KG. AF_01/2026</t>
  </si>
  <si>
    <t xml:space="preserve">CARGA, MANOBRA E DESCARGA DE TRATOR DE PNEUS 85 CV COM VASSOURA MECÂNICA ACOPLADA, PESO OPERACIONAL DO CONJUNTO DE 5,495 T, EM CAMINHÃO PLATAFORMA 16000 KG. AF_01/2026</t>
  </si>
  <si>
    <t xml:space="preserve">CARGA, MANOBRA E DESCARGA DE TRATOR DE PNEUS 85 CV, PESO COM LASTRO DE 4,675 T, EM CAMINHÃO GUINCHO-SOCORRO 23000 KG. AF_01/2026</t>
  </si>
  <si>
    <t xml:space="preserve">CARGA, MANOBRA E DESCARGA DE TRATOR DE PNEUS 85 CV, PESO COM LASTRO DE 4,675 T, EM CAMINHÃO PLATAFORMA 16000 KG. AF_01/2026</t>
  </si>
  <si>
    <t xml:space="preserve">CARGA, MANOBRA E DESCARGA DE TRATOR DE PNEUS COM ESPARGIDOR DE ASFALTO COM TANQUE 2500 L, PESO OPERACIONAL DE 9,51 T, EM CAMINHÃO GUINCHO-SOCORRO 23000 KG. AF_01/2026</t>
  </si>
  <si>
    <t xml:space="preserve">CARGA, MANOBRA E DESCARGA DE TRATOR DE PNEUS COM ESPARGIDOR DE ASFALTO COM TANQUE 2500 L, PESO OPERACIONAL DE 9,51 T, EM CAMINHÃO PLATAFORMA 16000 KG. AF_01/2026</t>
  </si>
  <si>
    <t xml:space="preserve">CARGA, MANOBRA E DESCARGA DE VIBROACABADORA DE ASFALTO SOBRE ESTEIRAS, LARGURA DE PAVIMENTAÇÃO 1,90 M A 5,30 M, PESO OPERACIONAL DE 13,575 T, EM CAMINHÃO PLATAFORMA 23000 KG. AF_01/2026</t>
  </si>
  <si>
    <t xml:space="preserve">CARGA, MANOBRA E DESCARGA DE VIBROACABADORA DE ASFALTO SOBRE ESTEIRAS, LARGURA DE PAVIMENTAÇÃO MÁXIMA 8,00 M, PESO OPERACIONAL DE 18,4 T, EM CAVALO MECÂNICO 6X2 COM PRANCHA RETA. AF_01/2026</t>
  </si>
  <si>
    <t xml:space="preserve">CARGA, MANOBRA E DESCARGA DE VIBROACABADORA DE ASFALTO SOBRE RODAS, LARGURA DE PAVIMENTAÇÃO 1,70 M A 4,20 M, PESO OPERACIONAL DE 12,5 T, EM CAMINHÃO PLATAFORMA 23000 KG. AF_01/2026</t>
  </si>
  <si>
    <t xml:space="preserve">TRANSPORTE DE EQUIPAMENTO PESADO COM CAMINHÃO GUINCHO-SOCORRO 23000 KG, EM VIA INTERNA (DENTRO DO CANTEIRO) EM LEITO NATURAL. AF_01/2026</t>
  </si>
  <si>
    <t>UNXKM</t>
  </si>
  <si>
    <t xml:space="preserve">TRANSPORTE DE EQUIPAMENTO PESADO COM CAMINHÃO GUINCHO-SOCORRO 23000 KG, EM VIA INTERNA (DENTRO DO CANTEIRO) EM REVESTIMENTO PRIMÁRIO. AF_01/2026</t>
  </si>
  <si>
    <t xml:space="preserve">TRANSPORTE DE EQUIPAMENTO PESADO COM CAMINHÃO GUINCHO-SOCORRO 23000 KG, EM VIA INTERNA (DENTRO DO CANTEIRO) PAVIMENTADA. AF_01/2026</t>
  </si>
  <si>
    <t xml:space="preserve">TRANSPORTE DE EQUIPAMENTO PESADO COM CAMINHÃO GUINCHO-SOCORRO 23000 KG, EM VIA URBANA EM LEITO NATURAL. AF_01/2026</t>
  </si>
  <si>
    <t xml:space="preserve">TRANSPORTE DE EQUIPAMENTO PESADO COM CAMINHÃO GUINCHO-SOCORRO 23000 KG, EM VIA URBANA EM REVESTIMENTO PRIMÁRIO. AF_01/2026</t>
  </si>
  <si>
    <t xml:space="preserve">TRANSPORTE DE EQUIPAMENTO PESADO COM CAMINHÃO GUINCHO-SOCORRO 23000 KG, EM VIA URBANA PAVIMENTADA, ADICIONAL PARA DMT EXCEDENTE A 30 KM. AF_01/2026</t>
  </si>
  <si>
    <t xml:space="preserve">TRANSPORTE DE EQUIPAMENTO PESADO COM CAMINHÃO GUINCHO-SOCORRO 23000 KG, EM VIA URBANA PAVIMENTADA, DMT ATÉ 30 KM. AF_01/2026</t>
  </si>
  <si>
    <t xml:space="preserve">TRANSPORTE DE EQUIPAMENTO PESADO COM CAMINHÃO GUINCHO-SOCORRO 29000 KG, EM VIA INTERNA (DENTRO DO CANTEIRO) EM LEITO NATURAL. AF_01/2026</t>
  </si>
  <si>
    <t xml:space="preserve">TRANSPORTE DE EQUIPAMENTO PESADO COM CAMINHÃO GUINCHO-SOCORRO 29000 KG, EM VIA INTERNA (DENTRO DO CANTEIRO) EM REVESTIMENTO PRIMÁRIO. AF_01/2026</t>
  </si>
  <si>
    <t xml:space="preserve">TRANSPORTE DE EQUIPAMENTO PESADO COM CAMINHÃO GUINCHO-SOCORRO 29000 KG, EM VIA INTERNA (DENTRO DO CANTEIRO) PAVIMENTADA. AF_01/2026</t>
  </si>
  <si>
    <t xml:space="preserve">TRANSPORTE DE EQUIPAMENTO PESADO COM CAMINHÃO GUINCHO-SOCORRO 29000 KG, EM VIA URBANA EM LEITO NATURAL. AF_01/2026</t>
  </si>
  <si>
    <t xml:space="preserve">TRANSPORTE DE EQUIPAMENTO PESADO COM CAMINHÃO GUINCHO-SOCORRO 29000 KG, EM VIA URBANA EM REVESTIMENTO PRIMÁRIO. AF_01/2026</t>
  </si>
  <si>
    <t xml:space="preserve">TRANSPORTE DE EQUIPAMENTO PESADO COM CAMINHÃO GUINCHO-SOCORRO 29000 KG, EM VIA URBANA PAVIMENTADA, ADICIONAL PARA DMT EXCEDENTE A 30 KM. AF_01/2026</t>
  </si>
  <si>
    <t xml:space="preserve">TRANSPORTE DE EQUIPAMENTO PESADO COM CAMINHÃO GUINCHO-SOCORRO 29000 KG, EM VIA URBANA PAVIMENTADA, DMT ATÉ 30 KM. AF_01/2026</t>
  </si>
  <si>
    <t xml:space="preserve">TRANSPORTE DE EQUIPAMENTO PESADO COM CAMINHÃO PLATAFORMA 16000 KG, EM VIA INTERNA (DENTRO DO CANTEIRO) EM LEITO NATURAL. AF_01/2026</t>
  </si>
  <si>
    <t xml:space="preserve">TRANSPORTE DE EQUIPAMENTO PESADO COM CAMINHÃO PLATAFORMA 16000 KG, EM VIA INTERNA (DENTRO DO CANTEIRO) EM REVESTIMENTO PRIMÁRIO. AF_01/2026</t>
  </si>
  <si>
    <t xml:space="preserve">TRANSPORTE DE EQUIPAMENTO PESADO COM CAMINHÃO PLATAFORMA 16000 KG, EM VIA INTERNA (DENTRO DO CANTEIRO) PAVIMENTADA. AF_01/2026</t>
  </si>
  <si>
    <t xml:space="preserve">TRANSPORTE DE EQUIPAMENTO PESADO COM CAMINHÃO PLATAFORMA 16000 KG, EM VIA URBANA EM LEITO NATURAL. AF_01/2026</t>
  </si>
  <si>
    <t xml:space="preserve">TRANSPORTE DE EQUIPAMENTO PESADO COM CAMINHÃO PLATAFORMA 16000 KG, EM VIA URBANA EM REVESTIMENTO PRIMÁRIO. AF_01/2026</t>
  </si>
  <si>
    <t xml:space="preserve">TRANSPORTE DE EQUIPAMENTO PESADO COM CAMINHÃO PLATAFORMA 16000 KG, EM VIA URBANA PAVIMENTADA, ADICIONAL PARA DMT EXCEDENTE A 30 KM. AF_01/2026</t>
  </si>
  <si>
    <t xml:space="preserve">TRANSPORTE DE EQUIPAMENTO PESADO COM CAMINHÃO PLATAFORMA 16000 KG, EM VIA URBANA PAVIMENTADA, DMT ATÉ 30 KM. AF_01/2026</t>
  </si>
  <si>
    <t xml:space="preserve">TRANSPORTE DE EQUIPAMENTO PESADO COM CAMINHÃO PLATAFORMA 23000 KG, EM VIA INTERNA (DENTRO DO CANTEIRO) EM LEITO NATURAL. AF_01/2026</t>
  </si>
  <si>
    <t xml:space="preserve">TRANSPORTE DE EQUIPAMENTO PESADO COM CAMINHÃO PLATAFORMA 23000 KG, EM VIA INTERNA (DENTRO DO CANTEIRO) EM REVESTIMENTO PRIMÁRIO. AF_01/2026</t>
  </si>
  <si>
    <t xml:space="preserve">TRANSPORTE DE EQUIPAMENTO PESADO COM CAMINHÃO PLATAFORMA 23000 KG, EM VIA INTERNA (DENTRO DO CANTEIRO) PAVIMENTADA. AF_01/2026</t>
  </si>
  <si>
    <t xml:space="preserve">TRANSPORTE DE EQUIPAMENTO PESADO COM CAMINHÃO PLATAFORMA 23000 KG, EM VIA URBANA EM LEITO NATURAL. AF_01/2026</t>
  </si>
  <si>
    <t xml:space="preserve">TRANSPORTE DE EQUIPAMENTO PESADO COM CAMINHÃO PLATAFORMA 23000 KG, EM VIA URBANA EM REVESTIMENTO PRIMÁRIO. AF_01/2026</t>
  </si>
  <si>
    <t xml:space="preserve">TRANSPORTE DE EQUIPAMENTO PESADO COM CAMINHÃO PLATAFORMA 23000 KG, EM VIA URBANA PAVIMENTADA, ADICIONAL PARA DMT EXCEDENTE A 30 KM. AF_01/2026</t>
  </si>
  <si>
    <t xml:space="preserve">TRANSPORTE DE EQUIPAMENTO PESADO COM CAMINHÃO PLATAFORMA 23000 KG, EM VIA URBANA PAVIMENTADA, DMT ATÉ 30 KM. AF_01/2026</t>
  </si>
  <si>
    <t xml:space="preserve">TRANSPORTE DE EQUIPAMENTO PESADO COM CAMINHÃO PLATAFORMA 29000 KG, EM VIA INTERNA (DENTRO DO CANTEIRO) EM LEITO NATURAL. AF_01/2026</t>
  </si>
  <si>
    <t xml:space="preserve">TRANSPORTE DE EQUIPAMENTO PESADO COM CAMINHÃO PLATAFORMA 29000 KG, EM VIA INTERNA (DENTRO DO CANTEIRO) EM REVESTIMENTO PRIMÁRIO. AF_01/2026</t>
  </si>
  <si>
    <t xml:space="preserve">TRANSPORTE DE EQUIPAMENTO PESADO COM CAMINHÃO PLATAFORMA 29000 KG, EM VIA INTERNA (DENTRO DO CANTEIRO) PAVIMENTADA. AF_01/2026</t>
  </si>
  <si>
    <t xml:space="preserve">TRANSPORTE DE EQUIPAMENTO PESADO COM CAMINHÃO PLATAFORMA 29000 KG, EM VIA URBANA EM LEITO NATURAL. AF_01/2026</t>
  </si>
  <si>
    <t xml:space="preserve">TRANSPORTE DE EQUIPAMENTO PESADO COM CAMINHÃO PLATAFORMA 29000 KG, EM VIA URBANA EM REVESTIMENTO PRIMÁRIO. AF_01/2026</t>
  </si>
  <si>
    <t xml:space="preserve">TRANSPORTE DE EQUIPAMENTO PESADO COM CAMINHÃO PLATAFORMA 29000 KG, EM VIA URBANA PAVIMENTADA, ADICIONAL PARA DMT EXCEDENTE A 30 KM. AF_01/2026</t>
  </si>
  <si>
    <t xml:space="preserve">TRANSPORTE DE EQUIPAMENTO PESADO COM CAMINHÃO PLATAFORMA 29000 KG, EM VIA URBANA PAVIMENTADA, DMT ATÉ 30 KM. AF_01/2026</t>
  </si>
  <si>
    <t xml:space="preserve">TRANSPORTE DE EQUIPAMENTO PESADO COM CAVALO MECÂNICO 6X2 COM PRANCHA REBAIXADA KG, EM VIA INTERNA (DENTRO DO CANTEIRO) EM LEITO NATURAL. AF_01/2026</t>
  </si>
  <si>
    <t xml:space="preserve">TRANSPORTE DE EQUIPAMENTO PESADO COM CAVALO MECÂNICO 6X2 COM PRANCHA REBAIXADA KG, EM VIA INTERNA (DENTRO DO CANTEIRO) EM REVESTIMENTO PRIMÁRIO. AF_01/2026</t>
  </si>
  <si>
    <t xml:space="preserve">TRANSPORTE DE EQUIPAMENTO PESADO COM CAVALO MECÂNICO 6X2 COM PRANCHA REBAIXADA KG, EM VIA INTERNA (DENTRO DO CANTEIRO) PAVIMENTADA. AF_01/2026</t>
  </si>
  <si>
    <t xml:space="preserve">TRANSPORTE DE EQUIPAMENTO PESADO COM CAVALO MECÂNICO 6X2 COM PRANCHA REBAIXADA KG, EM VIA URBANA EM LEITO NATURAL. AF_01/2026</t>
  </si>
  <si>
    <t xml:space="preserve">TRANSPORTE DE EQUIPAMENTO PESADO COM CAVALO MECÂNICO 6X2 COM PRANCHA REBAIXADA KG, EM VIA URBANA EM REVESTIMENTO PRIMÁRIO. AF_01/2026</t>
  </si>
  <si>
    <t xml:space="preserve">TRANSPORTE DE EQUIPAMENTO PESADO COM CAVALO MECÂNICO 6X2 COM PRANCHA REBAIXADA KG, EM VIA URBANA PAVIMENTADA, ADICIONAL PARA DMT EXCEDENTE A 30 KM. AF_01/2026</t>
  </si>
  <si>
    <t xml:space="preserve">TRANSPORTE DE EQUIPAMENTO PESADO COM CAVALO MECÂNICO 6X2 COM PRANCHA REBAIXADA KG, EM VIA URBANA PAVIMENTADA, DMT ATÉ 30 KM. AF_01/2026</t>
  </si>
  <si>
    <t xml:space="preserve">TRANSPORTE DE EQUIPAMENTO PESADO COM CAVALO MECÂNICO 6X2 COM PRANCHA RETA KG, EM VIA INTERNA (DENTRO DO CANTEIRO) EM LEITO NATURAL. AF_01/2026</t>
  </si>
  <si>
    <t xml:space="preserve">TRANSPORTE DE EQUIPAMENTO PESADO COM CAVALO MECÂNICO 6X2 COM PRANCHA RETA KG, EM VIA INTERNA (DENTRO DO CANTEIRO) EM REVESTIMENTO PRIMÁRIO. AF_01/2026</t>
  </si>
  <si>
    <t xml:space="preserve">TRANSPORTE DE EQUIPAMENTO PESADO COM CAVALO MECÂNICO 6X2 COM PRANCHA RETA KG, EM VIA INTERNA (DENTRO DO CANTEIRO) PAVIMENTADA. AF_01/2026</t>
  </si>
  <si>
    <t xml:space="preserve">TRANSPORTE DE EQUIPAMENTO PESADO COM CAVALO MECÂNICO 6X2 COM PRANCHA RETA KG, EM VIA URBANA EM LEITO NATURAL. AF_01/2026</t>
  </si>
  <si>
    <t xml:space="preserve">TRANSPORTE DE EQUIPAMENTO PESADO COM CAVALO MECÂNICO 6X2 COM PRANCHA RETA KG, EM VIA URBANA EM REVESTIMENTO PRIMÁRIO. AF_01/2026</t>
  </si>
  <si>
    <t xml:space="preserve">TRANSPORTE DE EQUIPAMENTO PESADO COM CAVALO MECÂNICO 6X2 COM PRANCHA RETA KG, EM VIA URBANA PAVIMENTADA, ADICIONAL PARA DMT EXCEDENTE A 30 KM. AF_01/2026</t>
  </si>
  <si>
    <t xml:space="preserve">TRANSPORTE DE EQUIPAMENTO PESADO COM CAVALO MECÂNICO 6X2 COM PRANCHA RETA KG, EM VIA URBANA PAVIMENTADA, DMT ATÉ 30 KM. AF_01/2026</t>
  </si>
  <si>
    <t xml:space="preserve">Mobiliário Urbano</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</si>
  <si>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</si>
  <si>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</si>
  <si>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</si>
  <si>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</si>
  <si>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</si>
  <si>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</si>
  <si>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</si>
  <si>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</si>
  <si>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</si>
  <si>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</si>
  <si>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</si>
  <si>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</si>
  <si>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</si>
  <si>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</si>
  <si>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</si>
  <si>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</si>
  <si>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</si>
  <si>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</si>
  <si>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</si>
  <si>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</si>
  <si>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</si>
  <si>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</si>
  <si>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</si>
  <si>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Monocapa</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</si>
  <si>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</si>
  <si>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</si>
  <si>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</si>
  <si>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</si>
  <si>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</si>
  <si>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</si>
  <si>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</si>
  <si>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</si>
  <si>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</si>
  <si>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</si>
  <si>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</si>
  <si>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</si>
  <si>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Montagem de gruas e cremalheiras</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</si>
  <si>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</si>
  <si>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</si>
  <si>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</si>
  <si>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</si>
  <si>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</si>
  <si>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</si>
  <si>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</si>
  <si>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</si>
  <si>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</si>
  <si>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</si>
  <si>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Paisagismo - Plantio</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</si>
  <si>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</si>
  <si>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</si>
  <si>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</si>
  <si>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</si>
  <si>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</si>
  <si>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</si>
  <si>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</si>
  <si>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</si>
  <si>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</si>
  <si>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</si>
  <si>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</si>
  <si>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</si>
  <si>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</si>
  <si>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</si>
  <si>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</si>
  <si>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</si>
  <si>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</si>
  <si>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</si>
  <si>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</si>
  <si>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</si>
  <si>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</si>
  <si>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Paredes de Concreto - Armação</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</si>
  <si>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</si>
  <si>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</si>
  <si>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</si>
  <si>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</si>
  <si>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</si>
  <si>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</si>
  <si>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</si>
  <si>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</si>
  <si>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</si>
  <si>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</si>
  <si>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</si>
  <si>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</si>
  <si>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</si>
  <si>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</si>
  <si>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</si>
  <si>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</si>
  <si>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</si>
  <si>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</si>
  <si>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</si>
  <si>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</si>
  <si>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Paredes de Concreto - Concretagem</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</si>
  <si>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</si>
  <si>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</si>
  <si>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</si>
  <si>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</si>
  <si>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</si>
  <si>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</si>
  <si>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</si>
  <si>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</si>
  <si>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</si>
  <si>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</si>
  <si>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</si>
  <si>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</si>
  <si>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</si>
  <si>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</si>
  <si>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</si>
  <si>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</si>
  <si>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Paredes de Concreto - Estucamento</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</si>
  <si>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</si>
  <si>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</si>
  <si>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</si>
  <si>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</si>
  <si>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</si>
  <si>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</si>
  <si>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</si>
  <si>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</si>
  <si>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</si>
  <si>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</si>
  <si>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</si>
  <si>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</si>
  <si>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</si>
  <si>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</si>
  <si>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</si>
  <si>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</si>
  <si>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</si>
  <si>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</si>
  <si>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</si>
  <si>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</si>
  <si>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</si>
  <si>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</si>
  <si>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</si>
  <si>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</si>
  <si>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</si>
  <si>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</si>
  <si>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</si>
  <si>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</si>
  <si>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</si>
  <si>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</si>
  <si>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</si>
  <si>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Paredes de Concreto - Fôrmas</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</si>
  <si>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</si>
  <si>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</si>
  <si>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</si>
  <si>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</si>
  <si>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</si>
  <si>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</si>
  <si>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</si>
  <si>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</si>
  <si>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</si>
  <si>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</si>
  <si>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Paredes em Drywall</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</si>
  <si>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</si>
  <si>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</si>
  <si>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</si>
  <si>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</si>
  <si>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</si>
  <si>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</si>
  <si>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</si>
  <si>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</si>
  <si>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</si>
  <si>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</si>
  <si>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</si>
  <si>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</si>
  <si>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</si>
  <si>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</si>
  <si>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</si>
  <si>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</si>
  <si>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</si>
  <si>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</si>
  <si>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</si>
  <si>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</si>
  <si>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</si>
  <si>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</si>
  <si>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</si>
  <si>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</si>
  <si>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</si>
  <si>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Parquinhos e Equipamentos de Ginástica ao Ar Livre</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</si>
  <si>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</si>
  <si>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</si>
  <si>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</si>
  <si>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</si>
  <si>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</si>
  <si>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</si>
  <si>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</si>
  <si>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</si>
  <si>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</si>
  <si>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</si>
  <si>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</si>
  <si>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</si>
  <si>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</si>
  <si>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</si>
  <si>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</si>
  <si>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</si>
  <si>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</si>
  <si>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</si>
  <si>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</si>
  <si>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</si>
  <si>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</si>
  <si>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</si>
  <si>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</si>
  <si>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</si>
  <si>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</si>
  <si>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</si>
  <si>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</si>
  <si>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</si>
  <si>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</si>
  <si>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</si>
  <si>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</si>
  <si>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</si>
  <si>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</si>
  <si>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</si>
  <si>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</si>
  <si>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Passeios de Concreto</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</si>
  <si>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</si>
  <si>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</si>
  <si>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</si>
  <si>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</si>
  <si>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</si>
  <si>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</si>
  <si>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</si>
  <si>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</si>
  <si>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</si>
  <si>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</si>
  <si>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</si>
  <si>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</si>
  <si>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</si>
  <si>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</si>
  <si>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</si>
  <si>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</si>
  <si>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</si>
  <si>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Pavimentações Diversas - Paralelepípedos e Pedras Poliédricas</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</si>
  <si>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</si>
  <si>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</si>
  <si>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</si>
  <si>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</si>
  <si>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</si>
  <si>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</si>
  <si>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Pavimento Intertravado</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</si>
  <si>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</si>
  <si>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</si>
  <si>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</si>
  <si>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</si>
  <si>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</si>
  <si>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</si>
  <si>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</si>
  <si>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</si>
  <si>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</si>
  <si>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</si>
  <si>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</si>
  <si>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</si>
  <si>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</si>
  <si>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</si>
  <si>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</si>
  <si>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</si>
  <si>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</si>
  <si>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</si>
  <si>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</si>
  <si>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</si>
  <si>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</si>
  <si>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</si>
  <si>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</si>
  <si>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</si>
  <si>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</si>
  <si>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</si>
  <si>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</si>
  <si>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</si>
  <si>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</si>
  <si>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</si>
  <si>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</si>
  <si>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Pavimento Rígido de Concreto</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</si>
  <si>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</si>
  <si>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</si>
  <si>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</si>
  <si>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</si>
  <si>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</si>
  <si>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</si>
  <si>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</si>
  <si>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</si>
  <si>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</si>
  <si>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</si>
  <si>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</si>
  <si>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</si>
  <si>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</si>
  <si>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</si>
  <si>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</si>
  <si>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</si>
  <si>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</si>
  <si>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</si>
  <si>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</si>
  <si>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</si>
  <si>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</si>
  <si>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</si>
  <si>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</si>
  <si>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</si>
  <si>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</si>
  <si>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</si>
  <si>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</si>
  <si>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</si>
  <si>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</si>
  <si>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</si>
  <si>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</si>
  <si>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</si>
  <si>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</si>
  <si>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</si>
  <si>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</si>
  <si>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Peitoris e Chapins</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</si>
  <si>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</si>
  <si>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</si>
  <si>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</si>
  <si>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</si>
  <si>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</si>
  <si>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</si>
  <si>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</si>
  <si>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</si>
  <si>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</si>
  <si>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Pele de Vidro em Fachadas</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</si>
  <si>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</si>
  <si>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</si>
  <si>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</si>
  <si>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</si>
  <si>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</si>
  <si>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Peneiramento e Ensacamento de Areia em Obra</t>
  </si>
  <si>
    <t xml:space="preserve">ENSACAMENTO DE AREIA. AF_01/2026</t>
  </si>
  <si>
    <t xml:space="preserve">PENEIRAMENTO DE AREIA COM PENEIRA ELÉTRICA. AF_01/2026</t>
  </si>
  <si>
    <t xml:space="preserve">PENEIRAMENTO DE AREIA COM PENEIRA MANUAL. AF_01/2026</t>
  </si>
  <si>
    <t xml:space="preserve">Perfuração Horizontal Direcional - HDD</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</si>
  <si>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</si>
  <si>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</si>
  <si>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</si>
  <si>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</si>
  <si>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</si>
  <si>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</si>
  <si>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</si>
  <si>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</si>
  <si>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</si>
  <si>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</si>
  <si>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</si>
  <si>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</si>
  <si>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</si>
  <si>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</si>
  <si>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</si>
  <si>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</si>
  <si>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</si>
  <si>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</si>
  <si>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</si>
  <si>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</si>
  <si>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</si>
  <si>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</si>
  <si>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</si>
  <si>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</si>
  <si>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</si>
  <si>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</si>
  <si>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</si>
  <si>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</si>
  <si>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</si>
  <si>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</si>
  <si>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</si>
  <si>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</si>
  <si>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</si>
  <si>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</si>
  <si>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</si>
  <si>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</si>
  <si>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</si>
  <si>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</si>
  <si>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</si>
  <si>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</si>
  <si>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</si>
  <si>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</si>
  <si>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</si>
  <si>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</si>
  <si>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</si>
  <si>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</si>
  <si>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</si>
  <si>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</si>
  <si>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</si>
  <si>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</si>
  <si>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</si>
  <si>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</si>
  <si>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</si>
  <si>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</si>
  <si>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</si>
  <si>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</si>
  <si>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</si>
  <si>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</si>
  <si>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</si>
  <si>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</si>
  <si>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</si>
  <si>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</si>
  <si>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</si>
  <si>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</si>
  <si>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</si>
  <si>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</si>
  <si>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Pintura Externa</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</si>
  <si>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</si>
  <si>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</si>
  <si>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</si>
  <si>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</si>
  <si>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</si>
  <si>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</si>
  <si>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</si>
  <si>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</si>
  <si>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</si>
  <si>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</si>
  <si>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</si>
  <si>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</si>
  <si>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</si>
  <si>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</si>
  <si>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</si>
  <si>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</si>
  <si>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</si>
  <si>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</si>
  <si>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</si>
  <si>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</si>
  <si>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</si>
  <si>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</si>
  <si>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</si>
  <si>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</si>
  <si>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</si>
  <si>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</si>
  <si>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</si>
  <si>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</si>
  <si>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</si>
  <si>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</si>
  <si>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</si>
  <si>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Pintura Interna</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</si>
  <si>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</si>
  <si>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</si>
  <si>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</si>
  <si>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</si>
  <si>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</si>
  <si>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</si>
  <si>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</si>
  <si>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</si>
  <si>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</si>
  <si>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</si>
  <si>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</si>
  <si>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</si>
  <si>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</si>
  <si>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</si>
  <si>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</si>
  <si>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</si>
  <si>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</si>
  <si>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</si>
  <si>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</si>
  <si>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</si>
  <si>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</si>
  <si>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</si>
  <si>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Pintura em Madeira</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</si>
  <si>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</si>
  <si>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</si>
  <si>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</si>
  <si>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</si>
  <si>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</si>
  <si>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</si>
  <si>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</si>
  <si>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</si>
  <si>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</si>
  <si>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</si>
  <si>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</si>
  <si>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</si>
  <si>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</si>
  <si>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</si>
  <si>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</si>
  <si>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</si>
  <si>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</si>
  <si>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</si>
  <si>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</si>
  <si>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</si>
  <si>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</si>
  <si>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</si>
  <si>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</si>
  <si>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</si>
  <si>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</si>
  <si>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</si>
  <si>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</si>
  <si>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</si>
  <si>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</si>
  <si>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</si>
  <si>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</si>
  <si>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</si>
  <si>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</si>
  <si>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</si>
  <si>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</si>
  <si>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</si>
  <si>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</si>
  <si>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</si>
  <si>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</si>
  <si>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</si>
  <si>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</si>
  <si>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</si>
  <si>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Pintura em Superfícies Metálicas</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</si>
  <si>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</si>
  <si>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</si>
  <si>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</si>
  <si>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</si>
  <si>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</si>
  <si>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</si>
  <si>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</si>
  <si>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</si>
  <si>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</si>
  <si>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</si>
  <si>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</si>
  <si>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</si>
  <si>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</si>
  <si>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</si>
  <si>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</si>
  <si>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</si>
  <si>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</si>
  <si>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</si>
  <si>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</si>
  <si>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</si>
  <si>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</si>
  <si>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</si>
  <si>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</si>
  <si>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</si>
  <si>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</si>
  <si>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</si>
  <si>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</si>
  <si>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</si>
  <si>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</si>
  <si>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</si>
  <si>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</si>
  <si>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</si>
  <si>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</si>
  <si>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</si>
  <si>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</si>
  <si>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</si>
  <si>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</si>
  <si>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</si>
  <si>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</si>
  <si>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</si>
  <si>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</si>
  <si>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</si>
  <si>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</si>
  <si>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</si>
  <si>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</si>
  <si>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</si>
  <si>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</si>
  <si>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Pintura para Pisos e para Sinalização Horizontal e Vertical</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</si>
  <si>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</si>
  <si>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</si>
  <si>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</si>
  <si>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</si>
  <si>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</si>
  <si>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</si>
  <si>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</si>
  <si>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E = 10 CM, APLICAÇÃO MECÂNICA COM DEMARCADORA A TRAÇÃO MANUAL. AF_05/2021</t>
  </si>
  <si>
    <t xml:space="preserve">PINTURA DE EIXO VIÁRIO SOBRE ASFALTO COM TINTA RETRORREFLETIVA A BASE DE RESINA ACRÍLICA COM MICROESFERAS DE VIDRO, E = 10 CM,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</si>
  <si>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</si>
  <si>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</si>
  <si>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</si>
  <si>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</si>
  <si>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</si>
  <si>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</si>
  <si>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</si>
  <si>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</si>
  <si>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</si>
  <si>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</si>
  <si>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</si>
  <si>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</si>
  <si>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</si>
  <si>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</si>
  <si>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</si>
  <si>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</si>
  <si>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</si>
  <si>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</si>
  <si>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</si>
  <si>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</si>
  <si>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</si>
  <si>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</si>
  <si>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</si>
  <si>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</si>
  <si>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Pisos</t>
  </si>
  <si>
    <t xml:space="preserve">ACABAMENTO PARA PISO EM TACO DE MADEIRA. AF_02/2026</t>
  </si>
  <si>
    <t xml:space="preserve">ASSOALHO DE MADEIRA. AF_02/2026_PS</t>
  </si>
  <si>
    <t xml:space="preserve">PISO CIMENTADO, TRAÇO 1:3 (CIMENTO E AREIA), ACABAMENTO LISO, ESPESSURA 1,5 CM, PREPARO MECÂNICO DA ARGAMASSA. AF_02/2026</t>
  </si>
  <si>
    <t xml:space="preserve">PISO CIMENTADO, TRAÇO 1:3 (CIMENTO E AREIA), ACABAMENTO RUGOSO, ESPESSURA 1,5 CM, PREPARO MECÂNICO DA ARGAMASSA. AF_02/2026</t>
  </si>
  <si>
    <t xml:space="preserve">PISO CIMENTADO, TRAÇO 1:5 (CIMENTO E AREIA), ACABAMENTO LISO, ESPESSURA 2,0 CM, PREPARO MECÂNICO DA ARGAMASSA. AF_02/2026</t>
  </si>
  <si>
    <t xml:space="preserve">PISO CIMENTADO, TRAÇO 1:5 (CIMENTO E AREIA), ACABAMENTO LISO, ESPESSURA 3,0 CM, PREPARO MECÂNICO DA ARGAMASSA. AF_02/2026</t>
  </si>
  <si>
    <t xml:space="preserve">PISO CIMENTADO, TRAÇO 1:5 (CIMENTO E AREIA), ACABAMENTO LISO, ESPESSURA 4,0 CM, PREPARO MECÂNICO DA ARGAMASSA. AF_02/2026</t>
  </si>
  <si>
    <t xml:space="preserve">PISO CIMENTADO, TRAÇO 1:5 (CIMENTO E AREIA), ACABAMENTO RUGOSO, ESPESSURA 2,0 CM, PREPARO MECÂNICO DA ARGAMASSA. AF_02/2026</t>
  </si>
  <si>
    <t xml:space="preserve">PISO CIMENTADO, TRAÇO 1:5 (CIMENTO E AREIA), ACABAMENTO RUGOSO, ESPESSURA 3,0 CM, PREPARO MECÂNICO DA ARGAMASSA. AF_02/2026</t>
  </si>
  <si>
    <t xml:space="preserve">PISO CIMENTADO, TRAÇO 1:5 (CIMENTO E AREIA), ACABAMENTO RUGOSO, ESPESSURA 4,0 CM, PREPARO MECÂNICO DA ARGAMASSA. AF_02/2026</t>
  </si>
  <si>
    <t xml:space="preserve">PISO DE ALTA RESISTÊNCIA TIPO "KORODUR" EM AMBIENTES INTERNOS, COM ESPESSURA DE 12 MM, INCLUSO MISTURA EM BETONEIRA, COLOCAÇÃO DAS JUNTAS, APLICAÇÃO DO PISO, 4 POLIMENTOS COM POLITRIZ, ESTUCAMENTO, SELADOR E CERA.. AF_02/2026</t>
  </si>
  <si>
    <t xml:space="preserve">PISO DE BORRACHA CANELADO, ESPESSURA 3,5MM, FIXADO COM ADESIVO ACRÍLICO. AF_02/2026</t>
  </si>
  <si>
    <t xml:space="preserve">PISO DE BORRACHA ESPORTIVO, ESPESSURA 15MM, ASSENTADO COM ARGAMASSA. AF_02/2026</t>
  </si>
  <si>
    <t xml:space="preserve">PISO DE BORRACHA PASTILHADO, ESPESSURA 15MM, ASSENTADO COM ARGAMASSA. AF_02/2026</t>
  </si>
  <si>
    <t xml:space="preserve">PISO DE BORRACHA PASTILHADO, ESPESSURA 3,5MM, FIXADO COM ADESIVO ACRÍLICO. AF_02/2026</t>
  </si>
  <si>
    <t xml:space="preserve">PISO DE BORRACHA PASTILHADO/FRISADO, ESPESSURA 7MM, ASSENTADO COM ARGAMASSA. AF_02/2026</t>
  </si>
  <si>
    <t xml:space="preserve">PISO ELEVADO COM ESTRUTURA EM AÇO, COMPOSTO POR PEDESTAIS E PLACAS SEM ACABAMENTO. AF_02/2026</t>
  </si>
  <si>
    <t xml:space="preserve">PISO ELEVADO COM ESTRUTURA EM AÇO, COMPOSTO POR PEDESTAIS, LONGARINAS E PLACAS SEM ACABAMENTO. AF_02/2026</t>
  </si>
  <si>
    <t xml:space="preserve">PISO ELEVADO COM ESTRUTURA EM PLÁSTICO, COMPOSTO POR PEDESTAIS E PLACAS COM REVESTIMENTO EM PORCELANATO. AF_02/2026</t>
  </si>
  <si>
    <t xml:space="preserve">PISO ELEVADO COM ESTRUTURA EM PLÁSTICO, COMPOSTO POR PEDESTAIS E PLACAS SEM ACABAMENTO. AF_02/2026</t>
  </si>
  <si>
    <t xml:space="preserve">PISO EM GRANILITE, MARMORITE OU GRANITINA EM AMBIENTES INTERNOS, COM ESPESSURA DE 8 MM, INCLUSO MISTURA EM BETONEIRA, COLOCAÇÃO DAS JUNTAS, APLICAÇÃO DO PISO, 4 POLIMENTOS COM POLITRIZ, ESTUCAMENTO, SELADOR E CERA. AF_02/2026_PE</t>
  </si>
  <si>
    <t xml:space="preserve">PISO EM GRANITO APLICADO EM AMBIENTES INTERNOS. AF_02/2026</t>
  </si>
  <si>
    <t xml:space="preserve">PISO EM LADRILHO HIDRÁULICO APLICADO EM AMBIENTES INTERNOS DE ÁREA ENTRE 5 E 15 M², INCLUSO APLICAÇÃO DE RESINA. AF_02/2026</t>
  </si>
  <si>
    <t xml:space="preserve">PISO EM LADRILHO HIDRÁULICO APLICADO EM AMBIENTES INTERNOS DE ÁREA MENOR QUE 5 M², INCLUSO APLICAÇÃO DE RESINA. AF_02/2026</t>
  </si>
  <si>
    <t xml:space="preserve">PISO EM MÁRMORE APLICADO EM AMBIENTES INTERNOS. AF_02/2026</t>
  </si>
  <si>
    <t xml:space="preserve">PISO EM PEDRA ARDÓSIA ASSENTADO SOBRE ARGAMASSA 1:3 (CIMENTO E AREIA). AF_02/2026</t>
  </si>
  <si>
    <t xml:space="preserve">PISO EM PEDRA BASALTO POLIDO EM AMBIENTES INTERNOS. AF_02/2026</t>
  </si>
  <si>
    <t xml:space="preserve">PISO EM PEDRA SÃO TOMÉ ASSENTADO SOBRE ARGAMASSA 1:3 (CIMENTO E AREIA). AF_02/2026</t>
  </si>
  <si>
    <t xml:space="preserve">PISO EM TACO DE MADEIRA 7X21CM, FIXADO COM COLA PU. AF_02/2026_PS</t>
  </si>
  <si>
    <t xml:space="preserve">PISO EM TACO DE MADEIRA 7X42CM, FIXADO COM COLA PU. AF_02/2026_PS</t>
  </si>
  <si>
    <t xml:space="preserve">PISO LAMINADO EM AMBIENTES INTERNOS. AF_02/2026</t>
  </si>
  <si>
    <t xml:space="preserve">PISO PODOTÁTIL DE ALERTA OU DIRECIONAL, DE BORRACHA, ASSENTADO COM COLA. AF_02/2026</t>
  </si>
  <si>
    <t xml:space="preserve">PISO PODOTÁTIL DE ALERTA OU DIRECIONAL, DE BORRACHA, ASSENTADO SOBRE ARGAMASSA. AF_02/2026</t>
  </si>
  <si>
    <t xml:space="preserve">PISO PODOTÁTIL, DIRECIONAL OU ALERTA, SOLIDARIZADO AO PISO EXISTENTE (ELEMENTOS DISCRETOS) COM COLA. AF_02/2026</t>
  </si>
  <si>
    <t xml:space="preserve">PISO PODOTÁTIL, DIRECIONAL OU ALERTA, SOLIDARIZADO AO PISO EXISTENTE (ELEMENTOS DISCRETOS) COM PARAFUSO. AF_02/2026</t>
  </si>
  <si>
    <t xml:space="preserve">PISO TÊXTIL (CARPETE) EM MANTA (ROLO) E = 6 A 7 MM. AF_02/2026</t>
  </si>
  <si>
    <t xml:space="preserve">PISO TÊXTIL (CARPETE) EM MANTA (ROLO) E = 9 A 10 MM. AF_02/2026</t>
  </si>
  <si>
    <t xml:space="preserve">PISO TÊXTIL (CARPETE) EM PLACA. AF_02/2026</t>
  </si>
  <si>
    <t xml:space="preserve">PISO VINÍLICO FLEXÍVEL EM MANTA, PADRÃO LISO, ESPESSURA 2 MM, FIXADO COM COLA. AF_02/2026</t>
  </si>
  <si>
    <t xml:space="preserve">PISO VINÍLICO SEMI-FLEXÍVEL EM PLACAS, PADRÃO LISO, ESPESSURA 3,2 MM, FIXADO COM COLA. AF_02/2026</t>
  </si>
  <si>
    <t xml:space="preserve">PISO VINÍLICO SEMI-FLEXÍVEL EM RÉGUAS, PADRÃO LISO, ESPESSURA 3,2 MM, FIXADO COM COLA. AF_02/2026</t>
  </si>
  <si>
    <t xml:space="preserve">PREPARO DE CONTRAPISO COM MEMBRANA CIMENTÍCIA. AF_02/2026</t>
  </si>
  <si>
    <t xml:space="preserve">PREPARO DE CONTRAPISO COM POLITRIZ. AF_02/2026_PE</t>
  </si>
  <si>
    <t xml:space="preserve">REVESTIMENTO DE DEGRAUS DE ESCADA EM GRANITO. AF_02/2026</t>
  </si>
  <si>
    <t xml:space="preserve">RODAPÉ BORRACHA LISO, ALTURA = 7CM, ESPESSURA = 2 MM, FIXADO COM COLA. AF_02/2026_PS</t>
  </si>
  <si>
    <t xml:space="preserve">RODAPÉ EM ARDÓSIA ALTURA 10CM. AF_02/2026</t>
  </si>
  <si>
    <t xml:space="preserve">RODAPÉ EM GRANITO, ALTURA 10 CM. AF_02/2026</t>
  </si>
  <si>
    <t xml:space="preserve">RODAPÉ EM LADRILHO HIDRÁULICO, ALTURA 7 CM. AF_02/2026</t>
  </si>
  <si>
    <t xml:space="preserve">RODAPÉ EM MADEIRA, ALTURA 7CM, FIXADO COM COLA BASE DE POLIURETANO. AF_02/2026_PS</t>
  </si>
  <si>
    <t xml:space="preserve">RODAPÉ EM MADEIRA, ALTURA 7CM, FIXADO COM COLA PVA E PREGOS. AF_02/2026</t>
  </si>
  <si>
    <t xml:space="preserve">RODAPÉ EM MARMORITE, ALTURA 10CM. AF_02/2026_PE</t>
  </si>
  <si>
    <t xml:space="preserve">RODAPÉ EM MÁRMORE, ALTURA 7 CM. AF_02/2026</t>
  </si>
  <si>
    <t xml:space="preserve">RODAPÉ EM POLIESTIRENO, ALTURA 5 CM. AF_02/2026</t>
  </si>
  <si>
    <t xml:space="preserve">RODAPÉ VINÍLICO FLEXÍVEL EM MANTA, ALTURA 10 CM. AF_02/2026</t>
  </si>
  <si>
    <t xml:space="preserve">SOLEIRA EM GRANITO, LARGURA 15 CM, ESPESSURA 2,0 CM. AF_02/2026</t>
  </si>
  <si>
    <t xml:space="preserve">SOLEIRA EM MÁRMORE, LARGURA 15 CM, ESPESSURA 2,0 CM. AF_02/2026</t>
  </si>
  <si>
    <t xml:space="preserve">Postes de Concreto e Metálicos</t>
  </si>
  <si>
    <t xml:space="preserve">ASSENTAMENTO DE POSTE DE CONCRETO COM COMPRIMENTO NOMINAL DE 10 M, CARGA NOMINAL DE 1000 DAN, ENGASTAMENTO BASE CONCRETADA COM 1 M DE CONCRETO E 0,6 M DE SOLO (NÃO INCLUI FORNECIMENTO). AF_04/2025</t>
  </si>
  <si>
    <t xml:space="preserve">ASSENTAMENTO DE POSTE DE CONCRETO COM COMPRIMENTO NOMINAL DE 10 M, CARGA NOMINAL DE 300 DAN, ENGASTAMENTO BASE CONCRETADA COM 1 M DE CONCRETO E 0,6 M DE SOLO (NÃO INCLUI FORNECIMENTO). AF_04/2025</t>
  </si>
  <si>
    <t xml:space="preserve">ASSENTAMENTO DE POSTE DE CONCRETO COM COMPRIMENTO NOMINAL DE 10 M, CARGA NOMINAL DE 600 DAN, ENGASTAMENTO BASE CONCRETADA COM 1 M DE CONCRETO E 0,6 M DE SOLO (NÃO INCLUI FORNECIMENTO). AF_04/2025</t>
  </si>
  <si>
    <t xml:space="preserve">ASSENTAMENTO DE POSTE DE CONCRETO COM COMPRIMENTO NOMINAL DE 10 M, CARGA NOMINAL MAIOR QUE 1000 DAN, ENGASTAMENTO SIMPLES COM 1,6 M DE SOLO (NÃO INCLUI FORNECIMENTO). AF_04/2025</t>
  </si>
  <si>
    <t xml:space="preserve">ASSENTAMENTO DE POSTE DE CONCRETO COM COMPRIMENTO NOMINAL DE 10 M, CARGA NOMINAL MENOR OU IGUAL A 1000 DAN, ENGASTAMENTO SIMPLES COM 1,6 M DE SOLO (NÃO INCLUI FORNECIMENTO). AF_04/2025</t>
  </si>
  <si>
    <t xml:space="preserve">ASSENTAMENTO DE POSTE DE CONCRETO COM COMPRIMENTO NOMINAL DE 10,5 M, CARGA NOMINAL DE 1000 DAN, ENGASTAMENTO BASE CONCRETADA COM 1 M DE CONCRETO E 0,65 M DE SOLO (NÃO INCLUI FORNECIMENTO). AF_04/2025</t>
  </si>
  <si>
    <t xml:space="preserve">ASSENTAMENTO DE POSTE DE CONCRETO COM COMPRIMENTO NOMINAL DE 10,5 M, CARGA NOMINAL DE 300 DAN, ENGASTAMENTO BASE CONCRETADA COM 1 M DE CONCRETO E 0,65 M DE SOLO (NÃO INCLUI FORNECIMENTO). AF_04/2025</t>
  </si>
  <si>
    <t xml:space="preserve">ASSENTAMENTO DE POSTE DE CONCRETO COM COMPRIMENTO NOMINAL DE 10,5 M, CARGA NOMINAL DE 600 DAN, ENGASTAMENTO BASE CONCRETADA COM 1 M DE CONCRETO E 0,65 M DE SOLO (NÃO INCLUI FORNECIMENTO). AF_04/2025</t>
  </si>
  <si>
    <t xml:space="preserve">ASSENTAMENTO DE POSTE DE CONCRETO COM COMPRIMENTO NOMINAL DE 10,5 M, CARGA NOMINAL MAIOR QUE 1000 DAN, ENGASTAMENTO SIMPLES COM 1,65 M DE SOLO (NÃO INCLUI FORNECIMENTO). AF_04/2025</t>
  </si>
  <si>
    <t xml:space="preserve">ASSENTAMENTO DE POSTE DE CONCRETO COM COMPRIMENTO NOMINAL DE 10,5 M, CARGA NOMINAL MENOR OU IGUAL A 1000 DAN, ENGASTAMENTO SIMPLES COM 1,65 M DE SOLO (NÃO INCLUI FORNECIMENTO). AF_04/2025</t>
  </si>
  <si>
    <t xml:space="preserve">ASSENTAMENTO DE POSTE DE CONCRETO COM COMPRIMENTO NOMINAL DE 11 M, CARGA NOMINAL DE 1000 DAN, ENGASTAMENTO BASE CONCRETADA COM 1 M DE CONCRETO E 0,7 M DE SOLO (NÃO INCLUI FORNECIMENTO). AF_04/2025</t>
  </si>
  <si>
    <t xml:space="preserve">ASSENTAMENTO DE POSTE DE CONCRETO COM COMPRIMENTO NOMINAL DE 11 M, CARGA NOMINAL DE 300 DAN, ENGASTAMENTO BASE CONCRETADA COM 1 M DE CONCRETO E 0,7 M DE SOLO (NÃO INCLUI FORNECIMENTO). AF_04/2025</t>
  </si>
  <si>
    <t xml:space="preserve">ASSENTAMENTO DE POSTE DE CONCRETO COM COMPRIMENTO NOMINAL DE 11 M, CARGA NOMINAL DE 400 DAN, ENGASTAMENTO BASE CONCRETADA COM 1 M DE CONCRETO E 0,7 M DE SOLO (NÃO INCLUI FORNECIMENTO). AF_04/2025</t>
  </si>
  <si>
    <t xml:space="preserve">ASSENTAMENTO DE POSTE DE CONCRETO COM COMPRIMENTO NOMINAL DE 11 M, CARGA NOMINAL DE 600 DAN, ENGASTAMENTO BASE CONCRETADA COM 1 M DE CONCRETO E 0,7 M DE SOLO (NÃO INCLUI FORNECIMENTO). AF_04/2025</t>
  </si>
  <si>
    <t xml:space="preserve">ASSENTAMENTO DE POSTE DE CONCRETO COM COMPRIMENTO NOMINAL DE 11 M, CARGA NOMINAL MAIOR QUE 1000 DAN, ENGASTAMENTO SIMPLES COM 1,7 M DE SOLO (NÃO INCLUI FORNECIMENTO). AF_04/2025</t>
  </si>
  <si>
    <t xml:space="preserve">ASSENTAMENTO DE POSTE DE CONCRETO COM COMPRIMENTO NOMINAL DE 11 M, CARGA NOMINAL MENOR OU IGUAL A 1000 DAN, ENGASTAMENTO SIMPLES COM 1,7 M DE SOLO (NÃO INCLUI FORNECIMENTO). AF_04/2025</t>
  </si>
  <si>
    <t xml:space="preserve">ASSENTAMENTO DE POSTE DE CONCRETO COM COMPRIMENTO NOMINAL DE 12 M, CARGA NOMINAL DE 1000 DAN, ENGASTAMENTO BASE CONCRETADA COM 1 M DE CONCRETO E 0,8 M DE SOLO (NÃO INCLUI FORNECIMENTO). AF_04/2025</t>
  </si>
  <si>
    <t xml:space="preserve">ASSENTAMENTO DE POSTE DE CONCRETO COM COMPRIMENTO NOMINAL DE 12 M, CARGA NOMINAL DE 400 DAN, ENGASTAMENTO BASE CONCRETADA COM 1 M DE CONCRETO E 0,8 M DE SOLO (NÃO INCLUI FORNECIMENTO). AF_04/2025</t>
  </si>
  <si>
    <t xml:space="preserve">ASSENTAMENTO DE POSTE DE CONCRETO COM COMPRIMENTO NOMINAL DE 12 M, CARGA NOMINAL DE 600 DAN, ENGASTAMENTO BASE CONCRETADA COM 1 M DE CONCRETO E 0,8 M DE SOLO (NÃO INCLUI FORNECIMENTO). AF_04/2025</t>
  </si>
  <si>
    <t xml:space="preserve">ASSENTAMENTO DE POSTE DE CONCRETO COM COMPRIMENTO NOMINAL DE 12 M, CARGA NOMINAL MAIOR QUE 1000 DAN, ENGASTAMENTO SIMPLES COM 1,8 M DE SOLO (NÃO INCLUI FORNECIMENTO). AF_04/2025</t>
  </si>
  <si>
    <t xml:space="preserve">ASSENTAMENTO DE POSTE DE CONCRETO COM COMPRIMENTO NOMINAL DE 12 M, CARGA NOMINAL MENOR OU IGUAL A 1000 DAN, ENGASTAMENTO SIMPLES COM 1,8 M DE SOLO (NÃO INCLUI FORNECIMENTO). AF_04/2025</t>
  </si>
  <si>
    <t xml:space="preserve">ASSENTAMENTO DE POSTE DE CONCRETO COM COMPRIMENTO NOMINAL DE 13 M, CARGA NOMINAL DE 1000 DAN, ENGASTAMENTO BASE CONCRETADA COM 1 M DE CONCRETO E 0,9 M DE SOLO - SOMENTE INSTALAÇÃO, SEM FORNECIMENTO. AF_04/2025</t>
  </si>
  <si>
    <t xml:space="preserve">ASSENTAMENTO DE POSTE DE CONCRETO COM COMPRIMENTO NOMINAL DE 13 M, CARGA NOMINAL DE 600 DAN, ENGASTAMENTO BASE CONCRETADA COM 1 M DE CONCRETO E 0,9 M DE SOLO (NÃO INCLUI FORNECIMENTO). AF_04/2025</t>
  </si>
  <si>
    <t xml:space="preserve">ASSENTAMENTO DE POSTE DE CONCRETO COM COMPRIMENTO NOMINAL DE 13 M, CARGA NOMINAL MAIOR QUE 1000 DAN, ENGASTAMENTO SIMPLES COM 1,9 M DE SOLO (NÃO INCLUI FORNECIMENTO). AF_04/2025</t>
  </si>
  <si>
    <t xml:space="preserve">ASSENTAMENTO DE POSTE DE CONCRETO COM COMPRIMENTO NOMINAL DE 13 M, CARGA NOMINAL MENOR OU IGUAL A 1000 DAN, ENGASTAMENTO SIMPLES COM 1,9 M DE SOLO (NÃO INCLUI FORNECIMENTO). AF_04/2025</t>
  </si>
  <si>
    <t xml:space="preserve">ASSENTAMENTO DE POSTE DE CONCRETO COM COMPRIMENTO NOMINAL DE 13,5 M, CARGA NOMINAL MAIOR QUE 1000 DAN, ENGASTAMENTO SIMPLES COM 1,95 M DE SOLO (NÃO INCLUI FORNECIMENTO). AF_04/2025</t>
  </si>
  <si>
    <t xml:space="preserve">ASSENTAMENTO DE POSTE DE CONCRETO COM COMPRIMENTO NOMINAL DE 13,5 M, CARGA NOMINAL MENOR OU IGUAL A 1000 DAN, ENGASTAMENTO SIMPLES COM 1,95 M DE SOLO (NÃO INCLUI FORNECIMENTO). AF_04/2025</t>
  </si>
  <si>
    <t xml:space="preserve">ASSENTAMENTO DE POSTE DE CONCRETO COM COMPRIMENTO NOMINAL DE 14 M, CARGA NOMINAL MAIOR QUE 1000 DAN, ENGASTAMENTO SIMPLES COM 2 M DE SOLO (NÃO INCLUI FORNECIMENTO). AF_04/2025</t>
  </si>
  <si>
    <t xml:space="preserve">ASSENTAMENTO DE POSTE DE CONCRETO COM COMPRIMENTO NOMINAL DE 14 M, CARGA NOMINAL MENOR OU IGUAL A 1000 DAN, ENGASTAMENTO SIMPLES COM 2 M DE SOLO (NÃO INCLUI FORNECIMENTO). AF_04/2025</t>
  </si>
  <si>
    <t xml:space="preserve">ASSENTAMENTO DE POSTE DE CONCRETO COM COMPRIMENTO NOMINAL DE 15 M, CARGA NOMINAL MAIOR QUE 1000 DAN, ENGASTAMENTO SIMPLES COM 2,1 M DE SOLO (NÃO INCLUI FORNECIMENTO). AF_04/2025</t>
  </si>
  <si>
    <t xml:space="preserve">ASSENTAMENTO DE POSTE DE CONCRETO COM COMPRIMENTO NOMINAL DE 15 M, CARGA NOMINAL MENOR OU IGUAL A 1000 DAN, ENGASTAMENTO SIMPLES COM 2,1 M DE SOLO (NÃO INCLUI FORNECIMENTO). AF_04/2025</t>
  </si>
  <si>
    <t xml:space="preserve">ASSENTAMENTO DE POSTE DE CONCRETO COM COMPRIMENTO NOMINAL DE 18 M, CARGA NOMINAL MAIOR QUE 1000 DAN, ENGASTAMENTO SIMPLES COM 2,4 M DE SOLO (NÃO INCLUI FORNECIMENTO). AF_04/2025</t>
  </si>
  <si>
    <t xml:space="preserve">ASSENTAMENTO DE POSTE DE CONCRETO COM COMPRIMENTO NOMINAL DE 18 M, CARGA NOMINAL MENOR OU IGUAL A 1000 DAN, ENGASTAMENTO SIMPLES COM 2,4 M DE SOLO (NÃO INCLUI FORNECIMENTO). AF_04/2025</t>
  </si>
  <si>
    <t xml:space="preserve">ASSENTAMENTO DE POSTE DE CONCRETO COM COMPRIMENTO NOMINAL DE 20 M, CARGA NOMINAL MAIOR QUE 1000, ENGASTAMENTO SIMPLES COM 2,6 M DE SOLO (NÃO INCLUI FORNECIMENTO). AF_04/2025</t>
  </si>
  <si>
    <t xml:space="preserve">ASSENTAMENTO DE POSTE DE CONCRETO COM COMPRIMENTO NOMINAL DE 20 M, CARGA NOMINAL MENOR OU IGUAL A 1000 DAN, ENGASTAMENTO SIMPLES COM 2,6 M DE SOLO (NÃO INCLUI FORNECIMENTO). AF_04/2025</t>
  </si>
  <si>
    <t xml:space="preserve">ASSENTAMENTO DE POSTE DE CONCRETO COM COMPRIMENTO NOMINAL DE 9 M, CARGA NOMINAL DE 1000 DAN, ENGASTAMENTO BASE CONCRETADA COM 1 M DE CONCRETO E 0,5 M DE SOLO (NÃO INCLUI FORNECIMENTO). AF_04/2025</t>
  </si>
  <si>
    <t xml:space="preserve">ASSENTAMENTO DE POSTE DE CONCRETO COM COMPRIMENTO NOMINAL DE 9 M, CARGA NOMINAL DE 150 DAN, ENGASTAMENTO BASE CONCRETADA COM 1 M DE CONCRETO E 0,5 M DE SOLO (NÃO INCLUI FORNECIMENTO). AF_04/2025</t>
  </si>
  <si>
    <t xml:space="preserve">ASSENTAMENTO DE POSTE DE CONCRETO COM COMPRIMENTO NOMINAL DE 9 M, CARGA NOMINAL DE 300 DAN, ENGASTAMENTO BASE CONCRETADA COM 1 M DE CONCRETO E 0,5 M DE SOLO (NÃO INCLUI FORNECIMENTO). AF_04/2025</t>
  </si>
  <si>
    <t xml:space="preserve">ASSENTAMENTO DE POSTE DE CONCRETO COM COMPRIMENTO NOMINAL DE 9 M, CARGA NOMINAL DE 400 DAN, ENGASTAMENTO BASE CONCRETADA COM 1 M DE CONCRETO E 0,5 M DE SOLO (NÃO INCLUI FORNECIMENTO). AF_04/2025</t>
  </si>
  <si>
    <t xml:space="preserve">ASSENTAMENTO DE POSTE DE CONCRETO COM COMPRIMENTO NOMINAL DE 9 M, CARGA NOMINAL DE 600 DAN, ENGASTAMENTO BASE CONCRETADA COM 1 M DE CONCRETO E 0,5 M DE SOLO (NÃO INCLUI FORNECIMENTO). AF_04/2025</t>
  </si>
  <si>
    <t xml:space="preserve">ASSENTAMENTO DE POSTE DE CONCRETO COM COMPRIMENTO NOMINAL DE 9 M, CARGA NOMINAL MENOR OU IGUAL A 1000 DAN, ENGASTAMENTO SIMPLES COM 1,5 M DE SOLO (NÃO INCLUI FORNECIMENTO). AF_04/2025</t>
  </si>
  <si>
    <t xml:space="preserve">CORDOALHA DE ACO 7,9 (5/16) 7*2,64MM ZINCAGEM TIPO A E 13% DE IACS - FORNECIMENTO E INSTALAÇÃO. AF_04/2025</t>
  </si>
  <si>
    <t xml:space="preserve">CORDOALHA DE ACO 7,9 (5/16) 7*2,64MM ZINCAGEM TIPO B E 13% DE IACS - FORNECIMENTO E INSTALAÇÃO. AF_04/2025</t>
  </si>
  <si>
    <t xml:space="preserve">CORDOALHA DE ACO 9,5 (3/8) 7*3,05MM ZINCAGEM TIPO A E 13% DE IACS - FORNECIMENTO E INSTALAÇÃO. AF_04/2025</t>
  </si>
  <si>
    <t xml:space="preserve">CORDOALHA DE ACO 9,5(3/8) 7*3,05MM ZINCAGEM TIPO B E 13% DE IACS - FORNECIMENTO E INSTALAÇÃO. AF_04/2025</t>
  </si>
  <si>
    <t xml:space="preserve">ESTRUTURA DE ESTAIAMENTO PARA POSTES DE CONCRETO ANCORA CONCRETO - FORNECIMENTO E INSTALAÇÃO. AF_04/2025</t>
  </si>
  <si>
    <t xml:space="preserve">ESTRUTURA DE ESTAIAMENTO PARA POSTES DE CONCRETO CRUZETA A POSTE M3 E B3 - FORNECIMENTO E INSTALAÇÃO. AF_04/2025</t>
  </si>
  <si>
    <t xml:space="preserve">ESTRUTURA DE ESTAIAMENTO PARA POSTES DE CONCRETO CRUZETA A POSTE N3 - FORNECIMENTO E INSTALAÇÃO. AF_04/2025</t>
  </si>
  <si>
    <t xml:space="preserve">ESTRUTURA DE ESTAIAMENTO PARA POSTES DE CONCRETO HTE - FORNECIMENTO E INSTALAÇÃO. AF_04/2025</t>
  </si>
  <si>
    <t xml:space="preserve">ESTRUTURA DE ESTAIAMENTO PARA POSTES DE CONCRETO POSTE A POSTE - FORNECIMENTO E INSTALAÇÃO. AF_04/2025</t>
  </si>
  <si>
    <t xml:space="preserve">POSTE DE AÇO CÔNICO CONTÍNUO CURVO DUPLO, ENGASTAMENTO SIMPLES COM 1 M DE SOLO, H=6M - FORNECIMENTO E INSTALAÇÃO. AF_04/2025</t>
  </si>
  <si>
    <t xml:space="preserve">POSTE DE AÇO CÔNICO CONTÍNUO CURVO DUPLO, ENGASTAMENTO SIMPLES COM 1 M DE SOLO, H=7M - FORNECIMENTO E INSTALAÇÃO. AF_04/2025</t>
  </si>
  <si>
    <t xml:space="preserve">POSTE DE AÇO CÔNICO CONTÍNUO CURVO DUPLO, ENGASTAMENTO SIMPLES COM 1 M DE SOLO, H=8M - FORNECIMENTO E INSTALAÇÃO. AF_04/2025</t>
  </si>
  <si>
    <t xml:space="preserve">POSTE DE AÇO CÔNICO CONTÍNUO CURVO DUPLO, ENGASTAMENTO SIMPLES COM 1 M DE SOLO, H=9M - FORNECIMENTO E INSTALAÇÃO. AF_04/2025</t>
  </si>
  <si>
    <t xml:space="preserve">POSTE DE AÇO CÔNICO CONTÍNUO CURVO DUPLO, FLANGEADO, H=6M - FORNECIMENTO E INSTALAÇÃO. AF_04/2025</t>
  </si>
  <si>
    <t xml:space="preserve">POSTE DE AÇO CÔNICO CONTÍNUO CURVO DUPLO, FLANGEADO, H=7M - FORNECIMENTO E INSTALAÇÃO. AF_04/2025</t>
  </si>
  <si>
    <t xml:space="preserve">POSTE DE AÇO CÔNICO CONTÍNUO CURVO DUPLO, FLANGEADO, H=8M - FORNECIMENTO E INSTALAÇÃO. AF_04/2025</t>
  </si>
  <si>
    <t xml:space="preserve">POSTE DE AÇO CÔNICO CONTÍNUO CURVO DUPLO, FLANGEADO, H=9M - FORNECIMENTO E INSTALAÇÃO. AF_04/2025</t>
  </si>
  <si>
    <t xml:space="preserve">POSTE DE AÇO CÔNICO CONTÍNUO CURVO SIMPLES, ENGASTAMENTO SIMPLES COM 0,5 M DE SOLO, H=5M - FORNECIMENTO E INSTALAÇÃO. AF_04/2025</t>
  </si>
  <si>
    <t xml:space="preserve">POSTE DE AÇO CÔNICO CONTÍNUO CURVO SIMPLES, ENGASTAMENTO SIMPLES COM 1 M DE SOLO, H=6M - FORNECIMENTO E INSTALAÇÃO. AF_04/2025</t>
  </si>
  <si>
    <t xml:space="preserve">POSTE DE AÇO CÔNICO CONTÍNUO CURVO SIMPLES, ENGASTAMENTO SIMPLES COM 1 M DE SOLO, H=7M - FORNECIMENTO E INSTALAÇÃO. AF_04/2025</t>
  </si>
  <si>
    <t xml:space="preserve">POSTE DE AÇO CÔNICO CONTÍNUO CURVO SIMPLES, ENGASTAMENTO SIMPLES COM 1 M DE SOLO, H=8M - FORNECIMENTO E INSTALAÇÃO. AF_04/2025</t>
  </si>
  <si>
    <t xml:space="preserve">POSTE DE AÇO CÔNICO CONTÍNUO CURVO SIMPLES, ENGASTAMENTO SIMPLES COM 1 M DE SOLO, H=9M - FORNECIMENTO E INSTALAÇÃO. AF_04/2025</t>
  </si>
  <si>
    <t xml:space="preserve">POSTE DE AÇO CÔNICO CONTÍNUO CURVO SIMPLES, FLANGEADO, H=5M - FORNECIMENTO E INSTALAÇÃO. AF_04/2025</t>
  </si>
  <si>
    <t xml:space="preserve">POSTE DE AÇO CÔNICO CONTÍNUO CURVO SIMPLES, FLANGEADO, H=6M - FORNECIMENTO E INSTALAÇÃO. AF_04/2025</t>
  </si>
  <si>
    <t xml:space="preserve">POSTE DE AÇO CÔNICO CONTÍNUO CURVO SIMPLES, FLANGEADO, H=7M - FORNECIMENTO E INSTALAÇÃO. AF_04/2025</t>
  </si>
  <si>
    <t xml:space="preserve">POSTE DE AÇO CÔNICO CONTÍNUO CURVO SIMPLES, FLANGEADO, H=8M - FORNECIMENTO E INSTALAÇÃO. AF_04/2025</t>
  </si>
  <si>
    <t xml:space="preserve">POSTE DE AÇO CÔNICO CONTÍNUO CURVO SIMPLES, FLANGEADO, H=9M - FORNECIMENTO E INSTALAÇÃO. AF_04/2025</t>
  </si>
  <si>
    <t xml:space="preserve">POSTE DE AÇO CÔNICO CONTÍNUO RETO, ENGASTAMENTO SIMPLES COM 0,5 M DE SOLO, H=5M - FORNECIMENTO E INSTALAÇÃO. AF_04/2025</t>
  </si>
  <si>
    <t xml:space="preserve">POSTE DE AÇO CÔNICO CONTÍNUO RETO, ENGASTAMENTO SIMPLES COM 1 M DE SOLO, H=6M - FORNECIMENTO E INSTALAÇÃO. AF_04/2025</t>
  </si>
  <si>
    <t xml:space="preserve">POSTE DE AÇO CÔNICO CONTÍNUO RETO, ENGASTAMENTO SIMPLES COM 1 M DE SOLO, H=7M - FORNECIMENTO E INSTALAÇÃO. AF_04/2025</t>
  </si>
  <si>
    <t xml:space="preserve">POSTE DE AÇO CÔNICO CONTÍNUO RETO, ENGASTAMENTO SIMPLES COM 1 M DE SOLO, H=8M - FORNECIMENTO E INSTALAÇÃO. AF_04/2025</t>
  </si>
  <si>
    <t xml:space="preserve">POSTE DE AÇO CÔNICO CONTÍNUO RETO, ENGASTAMENTO SIMPLES COM 1 M DE SOLO, H=9M - FORNECIMENTO E INSTALAÇÃO. AF_04/2025</t>
  </si>
  <si>
    <t xml:space="preserve">POSTE DE AÇO CÔNICO CONTÍNUO RETO, FLANGEADO, H=5M - FORNECIMENTO E INSTALAÇÃO. AF_04/2025</t>
  </si>
  <si>
    <t xml:space="preserve">POSTE DE AÇO CÔNICO CONTÍNUO RETO, FLANGEADO, H=6M - FORNECIMENTO E INSTALAÇÃO. AF_04/2025</t>
  </si>
  <si>
    <t xml:space="preserve">POSTE DE AÇO CÔNICO CONTÍNUO RETO, FLANGEADO, H=7M - FORNECIMENTO E INSTALAÇÃO. AF_04/2025</t>
  </si>
  <si>
    <t xml:space="preserve">POSTE DE AÇO CÔNICO CONTÍNUO RETO, FLANGEADO, H=8M - FORNECIMENTO E INSTALAÇÃO. AF_04/2025</t>
  </si>
  <si>
    <t xml:space="preserve">POSTE DE AÇO CÔNICO CONTÍNUO RETO, FLANGEADO, H=9M - FORNECIMENTO E INSTALAÇÃO. AF_04/2025</t>
  </si>
  <si>
    <t xml:space="preserve">POSTE DECORATIVO PARA JARDIM EM AÇO TUBULAR, H = *2,5* M, SEM LUMINÁRIA - FORNECIMENTO E INSTALAÇÃO. AF_04/2025</t>
  </si>
  <si>
    <t xml:space="preserve">Poços de Visita e Caixas para Bocas de Lobo</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</si>
  <si>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</si>
  <si>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</si>
  <si>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</si>
  <si>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</si>
  <si>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</si>
  <si>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</si>
  <si>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</si>
  <si>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</si>
  <si>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</si>
  <si>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</si>
  <si>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1,2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</si>
  <si>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</si>
  <si>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</si>
  <si>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</si>
  <si>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</si>
  <si>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CIRCULAR PARA ESGOTO, EM CONCRETO PRÉ-MOLDADO, DIÂMETRO INTERNO = 1,5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</si>
  <si>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</si>
  <si>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</si>
  <si>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</si>
  <si>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</si>
  <si>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</si>
  <si>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</si>
  <si>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</si>
  <si>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</si>
  <si>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</si>
  <si>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</si>
  <si>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</si>
  <si>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</si>
  <si>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</si>
  <si>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</si>
  <si>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</si>
  <si>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</si>
  <si>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</si>
  <si>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</si>
  <si>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</si>
  <si>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</si>
  <si>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</si>
  <si>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</si>
  <si>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</si>
  <si>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</si>
  <si>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</si>
  <si>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</si>
  <si>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</si>
  <si>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</si>
  <si>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</si>
  <si>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</si>
  <si>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</si>
  <si>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</si>
  <si>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</si>
  <si>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</si>
  <si>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</si>
  <si>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</si>
  <si>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</si>
  <si>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</si>
  <si>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</si>
  <si>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</si>
  <si>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</si>
  <si>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</si>
  <si>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</si>
  <si>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</si>
  <si>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</si>
  <si>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</si>
  <si>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</si>
  <si>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</si>
  <si>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</si>
  <si>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</si>
  <si>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</si>
  <si>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</si>
  <si>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</si>
  <si>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</si>
  <si>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</si>
  <si>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</si>
  <si>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</si>
  <si>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</si>
  <si>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</si>
  <si>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</si>
  <si>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</si>
  <si>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</si>
  <si>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</si>
  <si>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</si>
  <si>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</si>
  <si>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</si>
  <si>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</si>
  <si>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</si>
  <si>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</si>
  <si>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</si>
  <si>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</si>
  <si>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</si>
  <si>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</si>
  <si>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</si>
  <si>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</si>
  <si>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</si>
  <si>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</si>
  <si>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</si>
  <si>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</si>
  <si>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</si>
  <si>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</si>
  <si>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</si>
  <si>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</si>
  <si>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</si>
  <si>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</si>
  <si>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</si>
  <si>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</si>
  <si>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</si>
  <si>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</si>
  <si>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</si>
  <si>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</si>
  <si>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</si>
  <si>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</si>
  <si>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</si>
  <si>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</si>
  <si>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</si>
  <si>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</si>
  <si>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</si>
  <si>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</si>
  <si>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</si>
  <si>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</si>
  <si>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</si>
  <si>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</si>
  <si>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</si>
  <si>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</si>
  <si>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</si>
  <si>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</si>
  <si>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</si>
  <si>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</si>
  <si>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</si>
  <si>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</si>
  <si>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</si>
  <si>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</si>
  <si>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</si>
  <si>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</si>
  <si>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</si>
  <si>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</si>
  <si>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</si>
  <si>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</si>
  <si>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</si>
  <si>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</si>
  <si>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</si>
  <si>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</si>
  <si>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</si>
  <si>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</si>
  <si>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</si>
  <si>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</si>
  <si>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</si>
  <si>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</si>
  <si>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</si>
  <si>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</si>
  <si>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</si>
  <si>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</si>
  <si>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</si>
  <si>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</si>
  <si>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</si>
  <si>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</si>
  <si>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</si>
  <si>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</si>
  <si>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</si>
  <si>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</si>
  <si>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</si>
  <si>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</si>
  <si>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</si>
  <si>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</si>
  <si>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</si>
  <si>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</si>
  <si>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</si>
  <si>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</si>
  <si>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</si>
  <si>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</si>
  <si>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</si>
  <si>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</si>
  <si>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</si>
  <si>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</si>
  <si>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</si>
  <si>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</si>
  <si>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</si>
  <si>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</si>
  <si>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Produção de Concreto</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</si>
  <si>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</si>
  <si>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</si>
  <si>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</si>
  <si>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</si>
  <si>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</si>
  <si>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</si>
  <si>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</si>
  <si>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</si>
  <si>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</si>
  <si>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</si>
  <si>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</si>
  <si>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</si>
  <si>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</si>
  <si>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</si>
  <si>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</si>
  <si>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</si>
  <si>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</si>
  <si>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</si>
  <si>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</si>
  <si>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</si>
  <si>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</si>
  <si>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</si>
  <si>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</si>
  <si>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</si>
  <si>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</si>
  <si>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</si>
  <si>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</si>
  <si>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</si>
  <si>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</si>
  <si>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Produção de Concretos e Argamassas Utilizando Agregado Reciclado</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</si>
  <si>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</si>
  <si>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</si>
  <si>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</si>
  <si>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</si>
  <si>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</si>
  <si>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</si>
  <si>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</si>
  <si>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</si>
  <si>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</si>
  <si>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</si>
  <si>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</si>
  <si>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</si>
  <si>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Quadras e seus Equipamentos</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</si>
  <si>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</si>
  <si>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</si>
  <si>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</si>
  <si>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</si>
  <si>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</si>
  <si>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</si>
  <si>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</si>
  <si>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</si>
  <si>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</si>
  <si>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</si>
  <si>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</si>
  <si>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</si>
  <si>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</si>
  <si>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</si>
  <si>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</si>
  <si>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</si>
  <si>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</si>
  <si>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</si>
  <si>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Quadros de automação de bombas</t>
  </si>
  <si>
    <t xml:space="preserve">BORNE CONECTOR PARA CABOS DE 1,5 MM2, PARA QUADRO DE BOMBA - FORNECIMENTO E INSTALAÇÃO. AF_11/2025</t>
  </si>
  <si>
    <t xml:space="preserve">BORNE CONECTOR PARA CABOS DE 10 MM2, PARA QUADRO DE BOMBA - FORNECIMENTO E INSTALAÇÃO. AF_11/2025</t>
  </si>
  <si>
    <t xml:space="preserve">BORNE CONECTOR PARA CABOS DE 16 MM2, PARA QUADRO DE BOMBA - FORNECIMENTO E INSTALAÇÃO. AF_11/2025</t>
  </si>
  <si>
    <t xml:space="preserve">BORNE CONECTOR PARA CABOS DE 2,5 MM2, PARA QUADRO DE BOMBA - FORNECIMENTO E INSTALAÇÃO. AF_11/2025</t>
  </si>
  <si>
    <t xml:space="preserve">BORNE CONECTOR PARA CABOS DE 25 MM2, PARA QUADRO DE BOMBA - FORNECIMENTO E INSTALAÇÃO. AF_11/2025</t>
  </si>
  <si>
    <t xml:space="preserve">BORNE CONECTOR PARA CABOS DE 4 MM2, PARA QUADRO DE BOMBA - FORNECIMENTO E INSTALAÇÃO. AF_11/2025</t>
  </si>
  <si>
    <t xml:space="preserve">BORNE CONECTOR PARA CABOS DE 6 MM2, PARA QUADRO DE BOMBA - FORNECIMENTO E INSTALAÇÃO. AF_11/2025</t>
  </si>
  <si>
    <t xml:space="preserve">BOTÃO DE EMERGÊNCIA TIPO COGUMELO, PARA QUADRO DE BOMBA - FORNECIMENTO E INSTALAÇÃO. AF_11/2025</t>
  </si>
  <si>
    <t xml:space="preserve">BOTÃO LIGA/DESLIGA BOMBA VERDE E VERMELHO, PARA QUADRO DE BOMBA - FORNECIMENTO E INSTALAÇÃO. AF_11/2025</t>
  </si>
  <si>
    <t xml:space="preserve">CANALETA, PARA QUADRO DE BOMBA - FORNECIMENTO E INSTALAÇÃO. AF_11/2025</t>
  </si>
  <si>
    <t xml:space="preserve">CHAVE COMUTADORA DE 3 POSIÇÕES DE 10 A, PARA QUADRO DE BOMBA - FORNECIMENTO E INSTALAÇÃO. AF_11/2025</t>
  </si>
  <si>
    <t xml:space="preserve">CHAVE COMUTADORA DE 3 POSIÇÕES DE 20 A, PARA QUADRO DE BOMBA - FORNECIMENTO E INSTALAÇÃO. AF_11/2025</t>
  </si>
  <si>
    <t xml:space="preserve">CHAVE COMUTADORA DE 3 POSIÇÕES DE 32A, PARA QUADRO DE BOMBA - FORNECIMENTO E INSTALAÇÃO. AF_11/2025</t>
  </si>
  <si>
    <t xml:space="preserve">CHAVE COMUTADORA DE 3 POSIÇÕES DE 40 A, PARA QUADRO DE BOMBA - FORNECIMENTO E INSTALAÇÃO. AF_11/2025</t>
  </si>
  <si>
    <t xml:space="preserve">CHAVE COMUTADORA DE 3 POSIÇÕES DE 63 A, PARA QUADRO DE BOMBA - FORNECIMENTO E INSTALAÇÃO. AF_11/2025</t>
  </si>
  <si>
    <t xml:space="preserve">CHAVE COMUTADORA DE 3 POSIÇÕES DE 80 A, PARA QUADRO DE BOMBA - FORNECIMENTO E INSTALAÇÃO. AF_11/2025</t>
  </si>
  <si>
    <t xml:space="preserve">CONTATOR TRIPOLAR, CORRENTE DE *22* A, TENSAO NOMINAL DE *500* V, CATEGORIA AC-2 E AC-3, PARA QUADRO DE BOMBA - FORNECIMENTO E INSTALAÇÃO. AF_11/2025</t>
  </si>
  <si>
    <t xml:space="preserve">CONTATOR TRIPOLAR, CORRENTE DE *38* A, TENSAO NOMINAL DE *500* V, CATEGORIA AC-2 E AC-3, PARA QUADRO DE BOMBA - FORNECIMENTO E INSTALAÇÃO. AF_11/2025</t>
  </si>
  <si>
    <t xml:space="preserve">CONTATOR TRIPOLAR, CORRENTE DE 12 A, TENSAO NOMINAL DE *500* V, CATEGORIA AC-2 E AC-3, PARA QUADRO DE BOMBA - FORNECIMENTO E INSTALAÇÃO. AF_11/2025</t>
  </si>
  <si>
    <t xml:space="preserve">CONTATOR TRIPOLAR, CORRENTE DE 25 A, TENSAO NOMINAL DE *500* V, CATEGORIA AC-2 E AC-3, PARA QUADRO DE BOMBA - FORNECIMENTO E INSTALAÇÃO. AF_11/2025</t>
  </si>
  <si>
    <t xml:space="preserve">CONTATOR TRIPOLAR, CORRENTE DE 32 A, TENSAO NOMINAL DE *500* V, CATEGORIA AC-2 E AC-3, PARA QUADRO DE BOMBA - FORNECIMENTO E INSTALAÇÃO. AF_11/2025</t>
  </si>
  <si>
    <t xml:space="preserve">CONTATOR TRIPOLAR, CORRENTE DE 45 A, TENSAO NOMINAL DE *500* V, CATEGORIA AC-2 E AC-3, PARA QUADRO DE BOMBA - FORNECIMENTO E INSTALAÇÃO. AF_11/2025</t>
  </si>
  <si>
    <t xml:space="preserve">CONTATOR TRIPOLAR, CORRENTE DE 9 A, TENSAO NOMINAL DE *500* V, CATEGORIA AC-2 E AC-3, PARA QUADRO DE BOMBA - FORNECIMENTO E INSTALAÇÃO. AF_11/2025</t>
  </si>
  <si>
    <t xml:space="preserve">DISJUNTOR TERMOMAGNETICO PARA TRILHO DIN (IEC), TRIPOLAR, 10 A, PARA QUADRO DE BOMBA - FORNECIMENTO E INSTALAÇÃO. AF_11/2025</t>
  </si>
  <si>
    <t xml:space="preserve">DISJUNTOR TERMOMAGNETICO PARA TRILHO DIN (IEC), TRIPOLAR, 16 A, PARA QUADRO DE BOMBA - FORNECIMENTO E INSTALAÇÃO. AF_11/2025</t>
  </si>
  <si>
    <t xml:space="preserve">DISJUNTOR TERMOMAGNETICO PARA TRILHO DIN (IEC), TRIPOLAR, 20 A, PARA QUADRO DE BOMBA - FORNECIMENTO E INSTALAÇÃO. AF_11/2025</t>
  </si>
  <si>
    <t xml:space="preserve">DISJUNTOR TERMOMAGNETICO PARA TRILHO DIN (IEC), TRIPOLAR, 25 A, PARA QUADRO DE BOMBA - FORNECIMENTO E INSTALAÇÃO. AF_11/2025</t>
  </si>
  <si>
    <t xml:space="preserve">DISJUNTOR TERMOMAGNETICO PARA TRILHO DIN (IEC), TRIPOLAR, 32 A, PARA QUADRO DE BOMBA - FORNECIMENTO E INSTALAÇÃO. AF_11/2025</t>
  </si>
  <si>
    <t xml:space="preserve">DISJUNTOR TERMOMAGNETICO PARA TRILHO DIN (IEC), TRIPOLAR, 40 A, PARA QUADRO DE BOMBA - FORNECIMENTO E INSTALAÇÃO. AF_11/2025</t>
  </si>
  <si>
    <t xml:space="preserve">DISJUNTOR TERMOMAGNETICO PARA TRILHO DIN (IEC), TRIPOLAR, 50 A, PARA QUADRO DE BOMBA - FORNECIMENTO E INSTALAÇÃO. AF_11/2025</t>
  </si>
  <si>
    <t xml:space="preserve">DISJUNTOR TERMOMAGNETICO PARA TRILHO DIN (IEC), TRIPOLAR, 63 A, PARA QUADRO DE BOMBA - FORNECIMENTO E INSTALAÇÃO. AF_11/2025</t>
  </si>
  <si>
    <t xml:space="preserve">INSTALAÇÃO DE QUADRO ELÉTRICO PARA 1 BOMBA TRIFÁSICA ATÉ 25 CV CADA (NÃO INCLUI O FORNECIMENTO DO QUADRO). AF_11/2025</t>
  </si>
  <si>
    <t xml:space="preserve">INSTALAÇÃO DE QUADRO ELÉTRICO PARA 2 BOMBAS TRIFÁSICAS ATÉ 25 CV CADA (NÃO INCLUI O FORNECIMENTO DO QUADRO). AF_11/2025</t>
  </si>
  <si>
    <t xml:space="preserve">QUADRO ELÉTRICO PARA 1 BOMBA CENTRÍFUGA TRIFÁSICA 1,5 CV - FORNECIMENTO E INSTALAÇÃO. AF_11/2025</t>
  </si>
  <si>
    <t xml:space="preserve">QUADRO ELÉTRICO PARA 1 BOMBA CENTRÍFUGA TRIFÁSICA 10 CV - FORNECIMENTO E INSTALAÇÃO. AF_11/2025</t>
  </si>
  <si>
    <t xml:space="preserve">QUADRO ELÉTRICO PARA 1 BOMBA CENTRÍFUGA TRIFÁSICA 3 CV - FORNECIMENTO E INSTALAÇÃO. AF_11/2025</t>
  </si>
  <si>
    <t xml:space="preserve">QUADRO ELÉTRICO PARA 2 BOMBAS CENTRÍFUGAS TRIFÁSICAS 1,5 CV CADA - FORNECIMENTO E INSTALAÇÃO. AF_11/2025</t>
  </si>
  <si>
    <t xml:space="preserve">QUADRO ELÉTRICO PARA 2 BOMBAS CENTRÍFUGAS TRIFÁSICAS 10 CV CADA - FORNECIMENTO E INSTALAÇÃO. AF_11/2025</t>
  </si>
  <si>
    <t xml:space="preserve">QUADRO ELÉTRICO PARA 2 BOMBAS CENTRÍFUGAS TRIFÁSICAS 3 CV CADA - FORNECIMENTO E INSTALAÇÃO. AF_11/2025</t>
  </si>
  <si>
    <t xml:space="preserve">RELÉ ESTRELA TRIANGULO, PARA QUADRO DE BOMBA - FORNECIMENTO E INSTALAÇÃO. AF_11/2025</t>
  </si>
  <si>
    <t xml:space="preserve">RELÉ FALTA DE FASE PARA ATUAR NO COMANDO DO CONTATOR, PARA QUADRO DE BOMBA - FORNECIMENTO E INSTALAÇÃO. AF_11/2025</t>
  </si>
  <si>
    <t xml:space="preserve">RELÉ PARA REVEZAMENTO DE MOTORES, PARA QUADRO DE BOMBA - FORNECIMENTO E INSTALAÇÃO. AF_11/2025</t>
  </si>
  <si>
    <t xml:space="preserve">RELÉ TÉRMICO 10 A 15 A PARA 220 V OU 7 A 10 A PARA 380 V, PARA QUADRO DE BOMBA - FORNECIMENTO E INSTALAÇÃO. AF_11/2025</t>
  </si>
  <si>
    <t xml:space="preserve">RELÉ TÉRMICO 32 A 40 A PARA 220 V OU 22 A 32 A PARA 380 V, PARA QUADRO DE BOMBA - FORNECIMENTO E INSTALAÇÃO. AF_11/2025</t>
  </si>
  <si>
    <t xml:space="preserve">RELÉ TÉRMICO 6 A 8 A PARA 220 V OU 4 A 6,3 A PARA 380 V, PARA QUADRO DE BOMBA - FORNECIMENTO E INSTALAÇÃO. AF_11/2025</t>
  </si>
  <si>
    <t xml:space="preserve">SINALEIRO LED PARA INDICAÇÃO BOMBA, PARA QUADRO DE BOMBA - FORNECIMENTO E INSTALAÇÃO. AF_11/2025</t>
  </si>
  <si>
    <t xml:space="preserve">TRILHO DIN, PARA QUADRO DE BOMBA - FORNECIMENTO E INSTALAÇÃO. AF_11/2025</t>
  </si>
  <si>
    <t xml:space="preserve">Radier, Piso de Concreto e Laje sobre Solo</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</si>
  <si>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</si>
  <si>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</si>
  <si>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</si>
  <si>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</si>
  <si>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</si>
  <si>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</si>
  <si>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</si>
  <si>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</si>
  <si>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</si>
  <si>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</si>
  <si>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</si>
  <si>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</si>
  <si>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</si>
  <si>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</si>
  <si>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</si>
  <si>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</si>
  <si>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</si>
  <si>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</si>
  <si>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</si>
  <si>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</si>
  <si>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</si>
  <si>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</si>
  <si>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</si>
  <si>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</si>
  <si>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</si>
  <si>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</si>
  <si>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</si>
  <si>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</si>
  <si>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</si>
  <si>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</si>
  <si>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</si>
  <si>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</si>
  <si>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</si>
  <si>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</si>
  <si>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</si>
  <si>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</si>
  <si>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</si>
  <si>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</si>
  <si>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</si>
  <si>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</si>
  <si>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</si>
  <si>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</si>
  <si>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</si>
  <si>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</si>
  <si>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</si>
  <si>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</si>
  <si>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</si>
  <si>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</si>
  <si>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Rasgos e Fixações</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</si>
  <si>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</si>
  <si>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</si>
  <si>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</si>
  <si>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</si>
  <si>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</si>
  <si>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</si>
  <si>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</si>
  <si>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</si>
  <si>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</si>
  <si>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</si>
  <si>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</si>
  <si>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</si>
  <si>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</si>
  <si>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</si>
  <si>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</si>
  <si>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</si>
  <si>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</si>
  <si>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</si>
  <si>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</si>
  <si>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</si>
  <si>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</si>
  <si>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</si>
  <si>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</si>
  <si>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</si>
  <si>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</si>
  <si>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</si>
  <si>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</si>
  <si>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</si>
  <si>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</si>
  <si>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</si>
  <si>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</si>
  <si>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</si>
  <si>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</si>
  <si>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</si>
  <si>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</si>
  <si>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</si>
  <si>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</si>
  <si>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</si>
  <si>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</si>
  <si>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</si>
  <si>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</si>
  <si>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</si>
  <si>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</si>
  <si>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</si>
  <si>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</si>
  <si>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</si>
  <si>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</si>
  <si>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</si>
  <si>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</si>
  <si>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</si>
  <si>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</si>
  <si>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</si>
  <si>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</si>
  <si>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</si>
  <si>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</si>
  <si>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</si>
  <si>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</si>
  <si>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</si>
  <si>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</si>
  <si>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</si>
  <si>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</si>
  <si>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</si>
  <si>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</si>
  <si>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</si>
  <si>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</si>
  <si>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</si>
  <si>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</si>
  <si>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</si>
  <si>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</si>
  <si>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</si>
  <si>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</si>
  <si>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</si>
  <si>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</si>
  <si>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</si>
  <si>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</si>
  <si>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</si>
  <si>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</si>
  <si>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</si>
  <si>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</si>
  <si>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</si>
  <si>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</si>
  <si>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</si>
  <si>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</si>
  <si>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</si>
  <si>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</si>
  <si>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</si>
  <si>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</si>
  <si>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</si>
  <si>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Recomposição de Pavimentos</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</si>
  <si>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</si>
  <si>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</si>
  <si>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</si>
  <si>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</si>
  <si>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</si>
  <si>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</si>
  <si>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</si>
  <si>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</si>
  <si>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</si>
  <si>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</si>
  <si>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</si>
  <si>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</si>
  <si>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</si>
  <si>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</si>
  <si>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</si>
  <si>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</si>
  <si>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</si>
  <si>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</si>
  <si>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</si>
  <si>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</si>
  <si>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</si>
  <si>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</si>
  <si>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</si>
  <si>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</si>
  <si>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</si>
  <si>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</si>
  <si>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</si>
  <si>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</si>
  <si>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</si>
  <si>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</si>
  <si>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</si>
  <si>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</si>
  <si>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</si>
  <si>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</si>
  <si>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</si>
  <si>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</si>
  <si>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</si>
  <si>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</si>
  <si>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</si>
  <si>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</si>
  <si>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</si>
  <si>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</si>
  <si>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</si>
  <si>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</si>
  <si>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</si>
  <si>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</si>
  <si>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</si>
  <si>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</si>
  <si>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</si>
  <si>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</si>
  <si>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</si>
  <si>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</si>
  <si>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</si>
  <si>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</si>
  <si>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</si>
  <si>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</si>
  <si>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</si>
  <si>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</si>
  <si>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</si>
  <si>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</si>
  <si>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</si>
  <si>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</si>
  <si>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</si>
  <si>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</si>
  <si>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</si>
  <si>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</si>
  <si>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</si>
  <si>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Redes Enterradas de Distribuição Elétrica</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</si>
  <si>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</si>
  <si>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</si>
  <si>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</si>
  <si>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</si>
  <si>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</si>
  <si>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</si>
  <si>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</si>
  <si>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</si>
  <si>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</si>
  <si>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</si>
  <si>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</si>
  <si>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</si>
  <si>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</si>
  <si>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</si>
  <si>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</si>
  <si>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</si>
  <si>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</si>
  <si>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</si>
  <si>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</si>
  <si>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</si>
  <si>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</si>
  <si>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</si>
  <si>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</si>
  <si>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</si>
  <si>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</si>
  <si>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</si>
  <si>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</si>
  <si>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</si>
  <si>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</si>
  <si>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</si>
  <si>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</si>
  <si>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</si>
  <si>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</si>
  <si>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</si>
  <si>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</si>
  <si>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</si>
  <si>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Redes de Lógica, Telefonia e Imagem</t>
  </si>
  <si>
    <t xml:space="preserve">BASTIDOR PARA BLOCO M10 - FORNECIMENTO E INSTALAÇÃO. AF_08/2025</t>
  </si>
  <si>
    <t xml:space="preserve">BLOCO DE ENGATE RÁPIDO PARA BASTIDOR TIPO M10 - FORNECIMENTO E INSTALAÇÃO. AF_08/2025</t>
  </si>
  <si>
    <t xml:space="preserve">CABO COAXIAL RG11 95% - FORNECIMENTO E INSTALAÇÃO. AF_08/2025</t>
  </si>
  <si>
    <t xml:space="preserve">CABO COAXIAL RG59 95% - FORNECIMENTO E INSTALAÇÃO. AF_08/2025</t>
  </si>
  <si>
    <t xml:space="preserve">CABO COAXIAL RG6 95% - FORNECIMENTO E INSTALAÇÃO. AF_08/2025</t>
  </si>
  <si>
    <t xml:space="preserve">CABO ELETRÔNICO CATEGORIA 5E, INSTALADO EM EDIFICAÇÃO INSTITUCIONAL - FORNECIMENTO E INSTALAÇÃO. AF_08/2025</t>
  </si>
  <si>
    <t xml:space="preserve">CABO ELETRÔNICO CATEGORIA 5E, INSTALADO EM EDIFICAÇÃO RESIDENCIAL - FORNECIMENTO E INSTALAÇÃO. AF_08/2025</t>
  </si>
  <si>
    <t xml:space="preserve">CABO ELETRÔNICO CATEGORIA 6, INSTALADO EM EDIFICAÇÃO INSTITUCIONAL - FORNECIMENTO E INSTALAÇÃO. AF_08/2025</t>
  </si>
  <si>
    <t xml:space="preserve">CABO ELETRÔNICO CATEGORIA 6, INSTALADO EM EDIFICAÇÃO RESIDENCIAL - FORNECIMENTO E INSTALAÇÃO. AF_08/2025</t>
  </si>
  <si>
    <t xml:space="preserve">CABO ELETRÔNICO CATEGORIA 6A, INSTALADO EM EDIFICAÇÃO INSTITUCIONAL - FORNECIMENTO E INSTALAÇÃO. AF_08/2025</t>
  </si>
  <si>
    <t xml:space="preserve">CABO ELETRÔNICO CATEGORIA 6A, INSTALADO EM EDIFICAÇÃO RESIDENCIAL - FORNECIMENTO E INSTALAÇÃO. AF_08/2025</t>
  </si>
  <si>
    <t xml:space="preserve">CABO TELEFÔNICO CCI-50 1 PAR, INSTALADO EM ENTRADA DE EDIFICAÇÃO - FORNECIMENTO E INSTALAÇÃO. AF_08/2025</t>
  </si>
  <si>
    <t xml:space="preserve">CABO TELEFÔNICO CCI-50 1 PAR, SEM BLINDAGEM, INSTALADO EM DISTRIBUIÇÃO DE EDIFICAÇÃO INSTITUCIONAL - FORNECIMENTO E INSTALAÇÃO. AF_08/2025</t>
  </si>
  <si>
    <t xml:space="preserve">CABO TELEFÔNICO CCI-50 1 PAR, SEM BLINDAGEM, INSTALADO EM DISTRIBUIÇÃO DE EDIFICAÇÃO RESIDENCIAL - FORNECIMENTO E INSTALAÇÃO. AF_08/2025</t>
  </si>
  <si>
    <t xml:space="preserve">CABO TELEFÔNICO CCI-50 2 PARES, SEM BLINDAGEM, INSTALADO EM DISTRIBUIÇÃO DE EDIFICAÇÃO INSTITUCIONAL - FORNECIMENTO E INSTALAÇÃO. AF_08/2025</t>
  </si>
  <si>
    <t xml:space="preserve">CABO TELEFÔNICO CCI-50 2 PARES, SEM BLINDAGEM, INSTALADO EM DISTRIBUIÇÃO DE EDIFICAÇÃO RESIDENCIAL - FORNECIMENTO E INSTALAÇÃO. AF_08/2025</t>
  </si>
  <si>
    <t xml:space="preserve">CABO TELEFÔNICO CCI-50 2 PARES, SEM BLINDAGEM, INSTALADO EM ENTRADA DE EDIFICAÇÃO - FORNECIMENTO E INSTALAÇÃO. AF_08/2025</t>
  </si>
  <si>
    <t xml:space="preserve">CABO TELEFÔNICO CCI-50 3 PARES, SEM BLINDAGEM, INSTALADO EM DISTRIBUIÇÃO DE EDIFICAÇÃO INSTITUCIONAL - FORNECIMENTO E INSTALAÇÃO. AF_08/2025</t>
  </si>
  <si>
    <t xml:space="preserve">CABO TELEFÔNICO CCI-50 3 PARES, SEM BLINDAGEM, INSTALADO EM DISTRIBUIÇÃO DE EDIFICAÇÃO RESIDENCIAL - FORNECIMENTO E INSTALAÇÃO. AF_08/2025</t>
  </si>
  <si>
    <t xml:space="preserve">CABO TELEFÔNICO CCI-50 3 PARES, SEM BLINDAGEM, INSTALADO EM ENTRADA DE EDIFICAÇÃO - FORNECIMENTO E INSTALAÇÃO. AF_08/2025</t>
  </si>
  <si>
    <t xml:space="preserve">CABO TELEFÔNICO CCI-50 4 PARES, SEM BLINDAGEM, INSTALADO EM DISTRIBUIÇÃO DE EDIFICAÇÃO INSTITUCIONAL - FORNECIMENTO E INSTALAÇÃO. AF_08/2025</t>
  </si>
  <si>
    <t xml:space="preserve">CABO TELEFÔNICO CCI-50 4 PARES, SEM BLINDAGEM, INSTALADO EM DISTRIBUIÇÃO DE EDIFICAÇÃO RESIDENCIAL - FORNECIMENTO E INSTALAÇÃO. AF_08/2025</t>
  </si>
  <si>
    <t xml:space="preserve">CABO TELEFÔNICO CCI-50 4 PARES, SEM BLINDAGEM, INSTALADO EM ENTRADA DE EDIFICAÇÃO - FORNECIMENTO E INSTALAÇÃO. AF_08/2025</t>
  </si>
  <si>
    <t xml:space="preserve">CABO TELEFÔNICO CCI-50 4 PARES, SEM BLINDAGEM, INSTALADO EM PRUMADA - FORNECIMENTO E INSTALAÇÃO. AF_08/2025</t>
  </si>
  <si>
    <t xml:space="preserve">CABO TELEFÔNICO CCI-50 5 PARES, SEM BLINDAGEM, INSTALADO EM DISTRIBUIÇÃO DE EDIFICAÇÃO INSTITUCIONAL - FORNECIMENTO E INSTALAÇÃO. AF_08/2025</t>
  </si>
  <si>
    <t xml:space="preserve">CABO TELEFÔNICO CCI-50 5 PARES, SEM BLINDAGEM, INSTALADO EM DISTRIBUIÇÃO DE EDIFICAÇÃO RESIDENCIAL - FORNECIMENTO E INSTALAÇÃO. AF_08/2025</t>
  </si>
  <si>
    <t xml:space="preserve">CABO TELEFÔNICO CCI-50 5 PARES, SEM BLINDAGEM, INSTALADO EM ENTRADA DE EDIFICAÇÃO - FORNECIMENTO E INSTALAÇÃO. AF_08/2025</t>
  </si>
  <si>
    <t xml:space="preserve">CABO TELEFÔNICO CCI-50 5 PARES, SEM BLINDAGEM, INSTALADO EM PRUMADA - FORNECIMENTO E INSTALAÇÃO. AF_08/2025</t>
  </si>
  <si>
    <t xml:space="preserve">CABO TELEFÔNICO CCI-50 6 PARES, SEM BLINDAGEM, INSTALADO EM DISTRIBUIÇÃO DE EDIFICAÇÃO INSTITUCIONAL - FORNECIMENTO E INSTALAÇÃO. AF_08/2025</t>
  </si>
  <si>
    <t xml:space="preserve">CABO TELEFÔNICO CCI-50 6 PARES, SEM BLINDAGEM, INSTALADO EM DISTRIBUIÇÃO DE EDIFICAÇÃO RESIDENCIAL - FORNECIMENTO E INSTALAÇÃO. AF_08/2025</t>
  </si>
  <si>
    <t xml:space="preserve">CABO TELEFÔNICO CCI-50 6 PARES, SEM BLINDAGEM, INSTALADO EM ENTRADA DE EDIFICAÇÃO - FORNECIMENTO E INSTALAÇÃO. AF_08/2025</t>
  </si>
  <si>
    <t xml:space="preserve">CABO TELEFÔNICO CCI-50 6 PARES, SEM BLINDAGEM, INSTALADO EM PRUMADA - FORNECIMENTO E INSTALAÇÃO. AF_08/2025</t>
  </si>
  <si>
    <t xml:space="preserve">CABO TELEFÔNICO CI-50 10 PARES INSTALADO EM DISTRIBUIÇÃO DE EDIFICAÇÃO INSTITUCIONAL - FORNECIMENTO E INSTALAÇÃO. AF_08/2025</t>
  </si>
  <si>
    <t xml:space="preserve">CABO TELEFÔNICO CI-50 10 PARES INSTALADO EM DISTRIBUIÇÃO DE EDIFICAÇÃO RESIDENCIAL - FORNECIMENTO E INSTALAÇÃO. AF_08/2025</t>
  </si>
  <si>
    <t xml:space="preserve">CABO TELEFÔNICO CI-50 10 PARES INSTALADO EM ENTRADA DE EDIFICAÇÃO - FORNECIMENTO E INSTALAÇÃO. AF_08/2025</t>
  </si>
  <si>
    <t xml:space="preserve">CABO TELEFÔNICO CI-50 10 PARES INSTALADO EM PRUMADA - FORNECIMENTO E INSTALAÇÃO. AF_08/2025</t>
  </si>
  <si>
    <t xml:space="preserve">CABO TELEFÔNICO CI-50 20 PARES INSTALADO EM ENTRADA DE EDIFICAÇÃO - FORNECIMENTO E INSTALAÇÃO. AF_08/2025</t>
  </si>
  <si>
    <t xml:space="preserve">CABO TELEFÔNICO CI-50 20 PARES INSTALADO EM PRUMADA - FORNECIMENTO E INSTALAÇÃO. AF_08/2025</t>
  </si>
  <si>
    <t xml:space="preserve">CABO TELEFÔNICO CI-50 200 PARES INSTALADO EM ENTRADA DE EDIFICAÇÃO - FORNECIMENTO E INSTALAÇÃO. AF_08/2025</t>
  </si>
  <si>
    <t xml:space="preserve">CABO TELEFÔNICO CI-50 30 PARES INSTALADO EM ENTRADA DE EDIFICAÇÃO - FORNECIMENTO E INSTALAÇÃO. AF_08/2025</t>
  </si>
  <si>
    <t xml:space="preserve">CABO TELEFÔNICO CI-50 30 PARES INSTALADO EM PRUMADA - FORNECIMENTO E INSTALAÇÃO. AF_08/2025</t>
  </si>
  <si>
    <t xml:space="preserve">CABO TELEFÔNICO CI-50 50 PARES INSTALADO EM ENTRADA DE EDIFICAÇÃO - FORNECIMENTO E INSTALAÇÃO. AF_08/2025</t>
  </si>
  <si>
    <t xml:space="preserve">CABO TELEFÔNICO CI-50 50 PARES INSTALADO EM PRUMADA - FORNECIMENTO E INSTALAÇÃO. AF_08/2025</t>
  </si>
  <si>
    <t xml:space="preserve">CABO TELEFÔNICO CI-50 75 PARES INSTALADO EM ENTRADA DE EDIFICAÇÃO - FORNECIMENTO E INSTALAÇÃO. AF_08/2025</t>
  </si>
  <si>
    <t xml:space="preserve">CABO TELEFÔNICO CTP-APL-50 10 PARES INSTALADO EM ENTRADA DE EDIFICAÇÃO - FORNECIMENTO E INSTALAÇÃO. AF_08/2025</t>
  </si>
  <si>
    <t xml:space="preserve">CABO TELEFÔNICO CTP-APL-50 20 PARES INSTALADO EM ENTRADA DE EDIFICAÇÃO - FORNECIMENTO E INSTALAÇÃO. AF_08/2025</t>
  </si>
  <si>
    <t xml:space="preserve">CABO TELEFÔNICO CTP-APL-50 30 PARES INSTALADO EM ENTRADA DE EDIFICAÇÃO - FORNECIMENTO E INSTALAÇÃO. AF_08/2025</t>
  </si>
  <si>
    <t xml:space="preserve">CAIXA DE PASSAGEM PARA TELEFONE 15X15X10CM (SOBREPOR) - FORNECIMENTO E INSTALAÇÃO. AF_08/2025</t>
  </si>
  <si>
    <t xml:space="preserve">CAIXA DE PASSAGEM PARA TELEFONE 20X20X10CM (SOBREPOR) - FORNECIMENTO E INSTALAÇÃO. AF_08/2025</t>
  </si>
  <si>
    <t xml:space="preserve">CAIXA DE PASSAGEM PARA TELEFONE 80X80X15CM (SOBREPOR) - FORNECIMENTO E INSTALAÇÃO. AF_08/2025</t>
  </si>
  <si>
    <t xml:space="preserve">CAIXA DE PISO DUPLA PARA 2 TOMADAS RJ45 E 2 TOMADAS ELÉTRICAS - FORNECIMENTO E INSTALAÇÃO. AF_08/2025</t>
  </si>
  <si>
    <t xml:space="preserve">INTERFONE COLETIVO COM 16 MONOFONES, BIVOLT(INCLUI TAG'S) - FORNECIMENTO E INSTALAÇÃO. AF_08/2025</t>
  </si>
  <si>
    <t xml:space="preserve">INTERFONE COLETIVO COM 16 MONOFONES, BIVOLT(NÃO INCLUI TAG'S) - FORNECIMENTO E INSTALAÇÃO. AF_08/2025</t>
  </si>
  <si>
    <t xml:space="preserve">PATCH PANEL 24 PORTAS, CATEGORIA 5E - FORNECIMENTO E INSTALAÇÃO. AF_08/2025</t>
  </si>
  <si>
    <t xml:space="preserve">PATCH PANEL 24 PORTAS, CATEGORIA 6 - FORNECIMENTO E INSTALAÇÃO. AF_08/2025</t>
  </si>
  <si>
    <t xml:space="preserve">PATCH PANEL 48 PORTAS, CATEGORIA 5E - FORNECIMENTO E INSTALAÇÃO. AF_08/2025</t>
  </si>
  <si>
    <t xml:space="preserve">PATCH PANEL 48 PORTAS, CATEGORIA 6 - FORNECIMENTO E INSTALAÇÃO. AF_08/2025</t>
  </si>
  <si>
    <t xml:space="preserve">PORTEIRO ELETRÔNICO/INTERFONE DE SOBREPOR, COM MONOFONE, BIVOLT - FORNECIMENTO E INSTALAÇÃO. AF_08/2025</t>
  </si>
  <si>
    <t xml:space="preserve">QUADRO DE DISTRIBUICÃO PARA TELEFONE N.3, 40X40X12CM EM CHAPA METÁLICA, DE EMBUTIR, SEM ACESSÓRIOS, PADRÃO TELEBRAS - FORNECIMENTO E INSTALAÇÃO. AF_08/2025</t>
  </si>
  <si>
    <t xml:space="preserve">QUADRO DE DISTRIBUICÃO PARA TELEFONE N.4, 60X60X12CM EM CHAPA METÁLICA, DE EMBUTIR, SEM ACESSÓRIOS, PADRÃO TELEBRAS - FORNECIMENTO E INSTALAÇÃO. AF_08/2025</t>
  </si>
  <si>
    <t xml:space="preserve">QUADRO DE DISTRIBUIÇÃO PARA TELEFONE N.2, 20X20X12CM EM CHAPA METÁLICA, DE EMBUTIR, SEM ACESSÓRIOS, PADRÃO TELEBRAS - FORNECIMENTO E INSTALAÇÃO. AF_08/2025</t>
  </si>
  <si>
    <t xml:space="preserve">QUADRO DE DISTRIBUIÇÃO PARA TELEFONE N.5, 80X80X12CM EM CHAPA METÁLICA, DE EMBUTIR, SEM ACESSÓRIOS, PADRÃO TELEBRAS - FORNECIMENTO E INSTALAÇÃO. AF_08/2025</t>
  </si>
  <si>
    <t xml:space="preserve">RACK ABERTO EM COLUNA 44U PARA SERVIDOR - FORNECIMENTO E INSTALAÇÃO. AF_08/2025</t>
  </si>
  <si>
    <t xml:space="preserve">RACK DE PAREDE FECHADO DE 12 U EM CHAPA DE AÇO, 19", *570*MM - FORNECIMENTO E INSTALAÇÃO. AF_08/2025</t>
  </si>
  <si>
    <t xml:space="preserve">RACK DE PISO FECHADO DE 20U EM CHAPA DE AÇO, 19", *670*MM - FORNECIMENTO E INSTALAÇÃO. AF_08/2025</t>
  </si>
  <si>
    <t xml:space="preserve">RACK DE PISO FECHADO DE 24 U EM CHAPA DE AÇO, 19", *570*MM - FORNECIMENTO E INSTALAÇÃO. AF_08/2025</t>
  </si>
  <si>
    <t xml:space="preserve">RACK DE PISO FECHADO DE 36 U EM CHAPA DE AÇO, 19", *570*MM - FORNECIMENTO E INSTALAÇÃO. AF_08/2025</t>
  </si>
  <si>
    <t xml:space="preserve">RACK FECHADO 44U PARA SERVIDOR - FORNECIMENTO E INSTALAÇÃO. AF_08/2025</t>
  </si>
  <si>
    <t xml:space="preserve">TOMADA DE REDE RJ45 - FORNECIMENTO E INSTALAÇÃO. AF_08/2025</t>
  </si>
  <si>
    <t xml:space="preserve">TOMADA PARA TELEFONE RJ11 - FORNECIMENTO E INSTALAÇÃO. AF_08/2025</t>
  </si>
  <si>
    <t xml:space="preserve">TOMADA RJ45 CAT 6E (COMPLETA) - FORNECIMENTO E INSTALAÇÃO. AF_08/2025</t>
  </si>
  <si>
    <t xml:space="preserve">TOMADA RJ45 CAT 6E (MÓDULO) - FORNECIMENTO E INSTALAÇÃO. AF_08/2025</t>
  </si>
  <si>
    <t xml:space="preserve">Redes de Água e Esgoto em PEAD Liso (Tubos e Conexões)</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</si>
  <si>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</si>
  <si>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</si>
  <si>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</si>
  <si>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</si>
  <si>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</si>
  <si>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</si>
  <si>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</si>
  <si>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</si>
  <si>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</si>
  <si>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</si>
  <si>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</si>
  <si>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</si>
  <si>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</si>
  <si>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</si>
  <si>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</si>
  <si>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</si>
  <si>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</si>
  <si>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</si>
  <si>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</si>
  <si>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</si>
  <si>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</si>
  <si>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</si>
  <si>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</si>
  <si>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</si>
  <si>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</si>
  <si>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</si>
  <si>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</si>
  <si>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</si>
  <si>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</si>
  <si>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</si>
  <si>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</si>
  <si>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</si>
  <si>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</si>
  <si>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</si>
  <si>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</si>
  <si>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</si>
  <si>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</si>
  <si>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</si>
  <si>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</si>
  <si>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</si>
  <si>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</si>
  <si>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</si>
  <si>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</si>
  <si>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</si>
  <si>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</si>
  <si>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</si>
  <si>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</si>
  <si>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</si>
  <si>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</si>
  <si>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</si>
  <si>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</si>
  <si>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</si>
  <si>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</si>
  <si>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</si>
  <si>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</si>
  <si>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</si>
  <si>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</si>
  <si>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</si>
  <si>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</si>
  <si>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</si>
  <si>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</si>
  <si>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</si>
  <si>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</si>
  <si>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</si>
  <si>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</si>
  <si>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</si>
  <si>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</si>
  <si>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</si>
  <si>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</si>
  <si>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</si>
  <si>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</si>
  <si>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</si>
  <si>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</si>
  <si>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</si>
  <si>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</si>
  <si>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</si>
  <si>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</si>
  <si>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</si>
  <si>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</si>
  <si>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</si>
  <si>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</si>
  <si>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</si>
  <si>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</si>
  <si>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</si>
  <si>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</si>
  <si>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</si>
  <si>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</si>
  <si>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</si>
  <si>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</si>
  <si>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</si>
  <si>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</si>
  <si>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</si>
  <si>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</si>
  <si>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</si>
  <si>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</si>
  <si>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</si>
  <si>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</si>
  <si>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</si>
  <si>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</si>
  <si>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</si>
  <si>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</si>
  <si>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</si>
  <si>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</si>
  <si>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</si>
  <si>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</si>
  <si>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</si>
  <si>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</si>
  <si>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</si>
  <si>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</si>
  <si>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</si>
  <si>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</si>
  <si>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</si>
  <si>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</si>
  <si>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</si>
  <si>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Remoção de Entulho e Descarte</t>
  </si>
  <si>
    <t xml:space="preserve">REMOÇÃO DE ENTULHO CLASSE A (ALVENARIA, CONCRETO, ARGAMASSAS E CERÂMICOS) POR DUTO DE ENTULHO E ACONDICIONAMENTO FINAL EM CAÇAMBA ESTACIONÁRIA. EXCLUSO FRETE. AF_09/2025</t>
  </si>
  <si>
    <t xml:space="preserve">REMOÇÃO DE ENTULHO CLASSE B (BALDES VAZIOS NÃO CONTAMINADOS DE 29 LITROS) TRANSPORTADAS POR CREMALHEIRA. ACONDICIONAMENTO FINAL EM BAIAS. EXCLUSO FRETE. AF_09/2025</t>
  </si>
  <si>
    <t xml:space="preserve">REMOÇÃO DE ENTULHO CLASSE B (FRAGMENTOS DE MADEIRA) TRANSPORTADOS POR CREMALHEIRA. ACONDICIONAMENTO FINAL CAÇAMBA ESTACIONÁRIA. EXCLUSO FRETE. AF_09/2025</t>
  </si>
  <si>
    <t xml:space="preserve">REMOÇÃO DE ENTULHO CLASSE B (FRAGMENTOS DE MADEIRA) TRANSPORTADOS POR GRUA. ACONDICIONAMENTO FINAL CAÇAMBA ESTACIONÁRIA. EXCLUSO FRETE. AF_09/2025</t>
  </si>
  <si>
    <t xml:space="preserve">REMOÇÃO DE ENTULHO CLASSE B (FRAGMENTOS E RESÍDUOS DE GESSO) TRANSPORTADOS POR CREMALHEIRA. ACONDICIONAMENTO FINAL CAÇAMBA ESTACIONÁRIA. EXCLUSO FRETE. AF_09/2025</t>
  </si>
  <si>
    <t xml:space="preserve">REMOÇÃO DE ENTULHO CLASSE B (LATAS OU BALDES VAZIOS NÃO CONTAMINADOS DE 18 LITROS) TRANSPORTADAS POR CREMALHEIRA. ACONDICIONAMENTO FINAL EM BAIAS. EXCLUSO FRETE. AF_09/2025</t>
  </si>
  <si>
    <t xml:space="preserve">REMOÇÃO DE ENTULHO CLASSE B (PEÇAS MAIORES DE GESSO ACARTONADO) TRANSPORTADOS POR CREMALHEIRA. ACONDICIONAMENTO FINAL CAÇAMBA ESTACIONÁRIA. EXCLUSO FRETE. AF_09/2025</t>
  </si>
  <si>
    <t xml:space="preserve">REMOÇÃO DE ENTULHO CLASSE B (PEÇAS MAIORES DE MADEIRA) TRANSPORTADOS POR CREMALHEIRA. ACONDICIONAMENTO FINAL EM CAIXA ROLL ON/ ROLL OFF. EXCLUSO FRETE. AF_09/2025</t>
  </si>
  <si>
    <t xml:space="preserve">REMOÇÃO DE ENTULHO CLASSE B (PEÇAS MAIORES DE MADEIRA) TRANSPORTADOS POR GRUA. ACONDICIONAMENTO FINAL EM CAIXA ROLL ON/ ROLL OFF. EXCLUSO FRETE. AF_09/2025</t>
  </si>
  <si>
    <t xml:space="preserve">REMOÇÃO DE ENTULHO CLASSE B (PLASTICO/ PAPEL/ METAL) ARMAZENADO INICIALMENTE EM BOMBONAS E ACONDICIONAMENTO FINAL EM ABRIGOS COBERTOS. EXCLUSO FRETE. AF_09/2025</t>
  </si>
  <si>
    <t xml:space="preserve">Reservatórios de Concreto e Metálicos</t>
  </si>
  <si>
    <t xml:space="preserve">RESERVATÓRIO DE CONCRETO PRÉ-FABRICADO, DIÂMETRO IGUAL A 2,5 M E ALTURA TOTAL IGUAL A 10,5 M - FORNECIMENTO E INSTALAÇÃO. AF_12/2025</t>
  </si>
  <si>
    <t xml:space="preserve">RESERVATÓRIO DE CONCRETO PRÉ-FABRICADO, DIÂMETRO IGUAL A 2,5 M E ALTURA TOTAL IGUAL A 15,0 M - FORNECIMENTO E INSTALAÇÃO. AF_12/2025</t>
  </si>
  <si>
    <t xml:space="preserve">RESERVATÓRIO DE CONCRETO PRÉ-FABRICADO, DIÂMETRO IGUAL A 2,5 M E ALTURA TOTAL IGUAL A 20,0 M - FORNECIMENTO E INSTALAÇÃO. AF_12/2025</t>
  </si>
  <si>
    <t xml:space="preserve">RESERVATÓRIO DE CONCRETO PRÉ-FABRICADO, DIÂMETRO IGUAL A 2,5 M E ALTURA TOTAL IGUAL A 25,0 M - FORNECIMENTO E INSTALAÇÃO. AF_12/2025</t>
  </si>
  <si>
    <t xml:space="preserve">RESERVATÓRIO DE CONCRETO PRÉ-FABRICADO, DIÂMETRO IGUAL A 2,5 M E ALTURA TOTAL IGUAL A 30,5 M - FORNECIMENTO E INSTALAÇÃO. AF_12/2025</t>
  </si>
  <si>
    <t xml:space="preserve">RESERVATÓRIO DE CONCRETO PRÉ-FABRICADO, DIÂMETRO IGUAL A 2,5 M E ALTURA TOTAL MENOR OU IGUAL A 30,5 M - SOMENTE INSTALAÇÃO, SEM FORNECIMENTO. AF_12/2025</t>
  </si>
  <si>
    <t xml:space="preserve">RESERVATÓRIO DE CONCRETO PRÉ-FABRICADO, DIÂMETRO IGUAL A 3,0 M E ALTURA TOTAL IGUAL A 10,5 M - FORNECIMENTO E INSTALAÇÃO. AF_12/2025</t>
  </si>
  <si>
    <t xml:space="preserve">RESERVATÓRIO DE CONCRETO PRÉ-FABRICADO, DIÂMETRO IGUAL A 3,0 M E ALTURA TOTAL IGUAL A 15,0 M - FORNECIMENTO E INSTALAÇÃO. AF_12/2025</t>
  </si>
  <si>
    <t xml:space="preserve">RESERVATÓRIO DE CONCRETO PRÉ-FABRICADO, DIÂMETRO IGUAL A 3,0 M E ALTURA TOTAL IGUAL A 20,0 M - FORNECIMENTO E INSTALAÇÃO. AF_12/2025</t>
  </si>
  <si>
    <t xml:space="preserve">RESERVATÓRIO DE CONCRETO PRÉ-FABRICADO, DIÂMETRO IGUAL A 3,0 M E ALTURA TOTAL IGUAL A 25,0 M - FORNECIMENTO E INSTALAÇÃO. AF_12/2025</t>
  </si>
  <si>
    <t xml:space="preserve">RESERVATÓRIO DE CONCRETO PRÉ-FABRICADO, DIÂMETRO IGUAL A 3,0 M E ALTURA TOTAL IGUAL A 30,5 M - FORNECIMENTO E INSTALAÇÃO. AF_12/2025</t>
  </si>
  <si>
    <t xml:space="preserve">RESERVATÓRIO DE CONCRETO PRÉ-FABRICADO, DIÂMETRO IGUAL A 3,0 M E ALTURA TOTAL MENOR OU IGUAL A 30,5 M - SOMENTE INSTALAÇÃO, SEM FORNECIMENTO. AF_12/2025</t>
  </si>
  <si>
    <t xml:space="preserve">RESERVATÓRIO METÁLICO, TIPO TAÇA COM COLUNA SECA E CAPACIDADE IGUAL A 10.000 L - FORNECIMENTO E INSTALAÇÃO. AF_12/2025</t>
  </si>
  <si>
    <t xml:space="preserve">RESERVATÓRIO METÁLICO, TIPO TAÇA COM COLUNA SECA E CAPACIDADE IGUAL A 100.000 L - FORNECIMENTO E INSTALAÇÃO. AF_12/2025</t>
  </si>
  <si>
    <t xml:space="preserve">RESERVATÓRIO METÁLICO, TIPO TAÇA COM COLUNA SECA E CAPACIDADE IGUAL A 15.000 L - FORNECIMENTO E INSTALAÇÃO. AF_12/2025</t>
  </si>
  <si>
    <t xml:space="preserve">RESERVATÓRIO METÁLICO, TIPO TAÇA COM COLUNA SECA E CAPACIDADE IGUAL A 20.000 L - FORNECIMENTO E INSTALAÇÃO. AF_12/2025</t>
  </si>
  <si>
    <t xml:space="preserve">RESERVATÓRIO METÁLICO, TIPO TAÇA COM COLUNA SECA E CAPACIDADE IGUAL A 30.000 L - FORNECIMENTO E INSTALAÇÃO. AF_12/2025</t>
  </si>
  <si>
    <t xml:space="preserve">RESERVATÓRIO METÁLICO, TIPO TAÇA COM COLUNA SECA E CAPACIDADE IGUAL A 40.000 L - FORNECIMENTO E INSTALAÇÃO. AF_12/2025</t>
  </si>
  <si>
    <t xml:space="preserve">RESERVATÓRIO METÁLICO, TIPO TAÇA COM COLUNA SECA E CAPACIDADE IGUAL A 5.000 L - FORNECIMENTO E INSTALAÇÃO. AF_12/2025</t>
  </si>
  <si>
    <t xml:space="preserve">RESERVATÓRIO METÁLICO, TIPO TAÇA COM COLUNA SECA E CAPACIDADE IGUAL A 50.000 L - FORNECIMENTO E INSTALAÇÃO. AF_12/2025</t>
  </si>
  <si>
    <t xml:space="preserve">RESERVATÓRIO METÁLICO, TIPO TAÇA COM COLUNA SECA E CAPACIDADE IGUAL A 75.000 L - FORNECIMENTO E INSTALAÇÃO. AF_12/2025</t>
  </si>
  <si>
    <t xml:space="preserve">RESERVATÓRIO METÁLICO, TIPO TAÇA COM ÁGUA NA COLUNA E CAPACIDADE IGUAL A 10.000 L - FORNECIMENTO E INSTALAÇÃO. AF_12/2025</t>
  </si>
  <si>
    <t xml:space="preserve">RESERVATÓRIO METÁLICO, TIPO TAÇA COM ÁGUA NA COLUNA E CAPACIDADE IGUAL A 100.000 L - FORNECIMENTO E INSTALAÇÃO. AF_12/2025</t>
  </si>
  <si>
    <t xml:space="preserve">RESERVATÓRIO METÁLICO, TIPO TAÇA COM ÁGUA NA COLUNA E CAPACIDADE IGUAL A 15.000 L - FORNECIMENTO E INSTALAÇÃO. AF_12/2025</t>
  </si>
  <si>
    <t xml:space="preserve">RESERVATÓRIO METÁLICO, TIPO TAÇA COM ÁGUA NA COLUNA E CAPACIDADE IGUAL A 20.000 L - FORNECIMENTO E INSTALAÇÃO. AF_12/2025</t>
  </si>
  <si>
    <t xml:space="preserve">RESERVATÓRIO METÁLICO, TIPO TAÇA COM ÁGUA NA COLUNA E CAPACIDADE IGUAL A 30.000 L - FORNECIMENTO E INSTALAÇÃO. AF_12/2025</t>
  </si>
  <si>
    <t xml:space="preserve">RESERVATÓRIO METÁLICO, TIPO TAÇA COM ÁGUA NA COLUNA E CAPACIDADE IGUAL A 40.000 L - FORNECIMENTO E INSTALAÇÃO. AF_12/2025</t>
  </si>
  <si>
    <t xml:space="preserve">RESERVATÓRIO METÁLICO, TIPO TAÇA COM ÁGUA NA COLUNA E CAPACIDADE IGUAL A 5.000 L - FORNECIMENTO E INSTALAÇÃO. AF_12/2025</t>
  </si>
  <si>
    <t xml:space="preserve">RESERVATÓRIO METÁLICO, TIPO TAÇA COM ÁGUA NA COLUNA E CAPACIDADE IGUAL A 50.000 L - FORNECIMENTO E INSTALAÇÃO. AF_12/2025</t>
  </si>
  <si>
    <t xml:space="preserve">RESERVATÓRIO METÁLICO, TIPO TAÇA COM ÁGUA NA COLUNA E CAPACIDADE IGUAL A 75.000 L - FORNECIMENTO E INSTALAÇÃO. AF_12/2025</t>
  </si>
  <si>
    <t xml:space="preserve">RESERVATÓRIO METÁLICO, TIPO TUBULAR E CAPACIDADE IGUAL A 10.000 L - FORNECIMENTO E INSTALAÇÃO. AF_12/2025</t>
  </si>
  <si>
    <t xml:space="preserve">RESERVATÓRIO METÁLICO, TIPO TUBULAR E CAPACIDADE IGUAL A 100.000 L - FORNECIMENTO E INSTALAÇÃO. AF_12/2025</t>
  </si>
  <si>
    <t xml:space="preserve">RESERVATÓRIO METÁLICO, TIPO TUBULAR E CAPACIDADE IGUAL A 15.000 L - FORNECIMENTO E INSTALAÇÃO. AF_12/2025</t>
  </si>
  <si>
    <t xml:space="preserve">RESERVATÓRIO METÁLICO, TIPO TUBULAR E CAPACIDADE IGUAL A 20.000 L - FORNECIMENTO E INSTALAÇÃO. AF_12/2025</t>
  </si>
  <si>
    <t xml:space="preserve">RESERVATÓRIO METÁLICO, TIPO TUBULAR E CAPACIDADE IGUAL A 30.000 L - FORNECIMENTO E INSTALAÇÃO. AF_12/2025</t>
  </si>
  <si>
    <t xml:space="preserve">RESERVATÓRIO METÁLICO, TIPO TUBULAR E CAPACIDADE IGUAL A 40.000 L - FORNECIMENTO E INSTALAÇÃO. AF_12/2025</t>
  </si>
  <si>
    <t xml:space="preserve">RESERVATÓRIO METÁLICO, TIPO TUBULAR E CAPACIDADE IGUAL A 5.000 L - FORNECIMENTO E INSTALAÇÃO. AF_12/2025</t>
  </si>
  <si>
    <t xml:space="preserve">RESERVATÓRIO METÁLICO, TIPO TUBULAR E CAPACIDADE IGUAL A 50.000 L - FORNECIMENTO E INSTALAÇÃO. AF_12/2025</t>
  </si>
  <si>
    <t xml:space="preserve">RESERVATÓRIO METÁLICO, TIPO TUBULAR E CAPACIDADE IGUAL A 75.000 L - FORNECIMENTO E INSTALAÇÃO. AF_12/2025</t>
  </si>
  <si>
    <t xml:space="preserve">Revestimentos Cerâmicos Externos</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</si>
  <si>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</si>
  <si>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</si>
  <si>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</si>
  <si>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</si>
  <si>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</si>
  <si>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</si>
  <si>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</si>
  <si>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</si>
  <si>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Revestimentos Cerâmicos Internos</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</si>
  <si>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</si>
  <si>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</si>
  <si>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</si>
  <si>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</si>
  <si>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</si>
  <si>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</si>
  <si>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</si>
  <si>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</si>
  <si>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</si>
  <si>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</si>
  <si>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</si>
  <si>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</si>
  <si>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</si>
  <si>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</si>
  <si>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</si>
  <si>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</si>
  <si>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</si>
  <si>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</si>
  <si>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</si>
  <si>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</si>
  <si>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</si>
  <si>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</si>
  <si>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</si>
  <si>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</si>
  <si>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</si>
  <si>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</si>
  <si>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</si>
  <si>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</si>
  <si>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</si>
  <si>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</si>
  <si>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</si>
  <si>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</si>
  <si>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</si>
  <si>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</si>
  <si>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</si>
  <si>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</si>
  <si>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</si>
  <si>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</si>
  <si>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</si>
  <si>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</si>
  <si>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</si>
  <si>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</si>
  <si>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Sinalização Horizontal Viária</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</si>
  <si>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</si>
  <si>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</si>
  <si>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</si>
  <si>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</si>
  <si>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</si>
  <si>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</si>
  <si>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</si>
  <si>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</si>
  <si>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</si>
  <si>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</si>
  <si>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</si>
  <si>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</si>
  <si>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</si>
  <si>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</si>
  <si>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</si>
  <si>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</si>
  <si>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</si>
  <si>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</si>
  <si>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</si>
  <si>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</si>
  <si>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</si>
  <si>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</si>
  <si>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</si>
  <si>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</si>
  <si>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</si>
  <si>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Sinalização Vertical Viária</t>
  </si>
  <si>
    <t xml:space="preserve">FORNECIMENTO E INSTALAÇÃO DE PLACA DE OBRA COM CHAPA GALVANIZADA E ESTRUTURA DE MADEIRA. AF_03/2022_PS</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</si>
  <si>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</si>
  <si>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</si>
  <si>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</si>
  <si>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</si>
  <si>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</si>
  <si>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</si>
  <si>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</si>
  <si>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</si>
  <si>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</si>
  <si>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</si>
  <si>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</si>
  <si>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</si>
  <si>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</si>
  <si>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</si>
  <si>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</si>
  <si>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</si>
  <si>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</si>
  <si>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</si>
  <si>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</si>
  <si>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</si>
  <si>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</si>
  <si>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</si>
  <si>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</si>
  <si>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</si>
  <si>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</si>
  <si>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</si>
  <si>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</si>
  <si>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</si>
  <si>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</si>
  <si>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</si>
  <si>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</si>
  <si>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</si>
  <si>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</si>
  <si>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</si>
  <si>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</si>
  <si>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</si>
  <si>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</si>
  <si>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</si>
  <si>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</si>
  <si>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SOLO, COM H= DE 2,5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</si>
  <si>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</si>
  <si>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</si>
  <si>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</si>
  <si>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</si>
  <si>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Sistema de Proteção contra Descargas Atmosféricas - SPDA</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</si>
  <si>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</si>
  <si>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</si>
  <si>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</si>
  <si>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</si>
  <si>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</si>
  <si>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</si>
  <si>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</si>
  <si>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</si>
  <si>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</si>
  <si>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</si>
  <si>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</si>
  <si>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</si>
  <si>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</si>
  <si>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</si>
  <si>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</si>
  <si>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</si>
  <si>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</si>
  <si>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</si>
  <si>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</si>
  <si>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</si>
  <si>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</si>
  <si>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</si>
  <si>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</si>
  <si>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</si>
  <si>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</si>
  <si>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</si>
  <si>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</si>
  <si>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</si>
  <si>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</si>
  <si>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</si>
  <si>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</si>
  <si>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</si>
  <si>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</si>
  <si>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</si>
  <si>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</si>
  <si>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Sistemas Hospitalares - Pontos de Consumo</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</si>
  <si>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</si>
  <si>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</si>
  <si>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</si>
  <si>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</si>
  <si>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</si>
  <si>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Sistemas de Medição</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</si>
  <si>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</si>
  <si>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</si>
  <si>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</si>
  <si>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</si>
  <si>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</si>
  <si>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</si>
  <si>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</si>
  <si>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</si>
  <si>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</si>
  <si>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</si>
  <si>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</si>
  <si>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</si>
  <si>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</si>
  <si>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</si>
  <si>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</si>
  <si>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</si>
  <si>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</si>
  <si>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</si>
  <si>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</si>
  <si>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</si>
  <si>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</si>
  <si>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</si>
  <si>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</si>
  <si>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</si>
  <si>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</si>
  <si>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</si>
  <si>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</si>
  <si>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</si>
  <si>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</si>
  <si>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</si>
  <si>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</si>
  <si>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</si>
  <si>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</si>
  <si>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</si>
  <si>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</si>
  <si>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</si>
  <si>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</si>
  <si>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</si>
  <si>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</si>
  <si>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</si>
  <si>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</si>
  <si>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</si>
  <si>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</si>
  <si>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</si>
  <si>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</si>
  <si>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</si>
  <si>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</si>
  <si>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</si>
  <si>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</si>
  <si>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</si>
  <si>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</si>
  <si>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Elementos de Aço</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</si>
  <si>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</si>
  <si>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</si>
  <si>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</si>
  <si>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</si>
  <si>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</si>
  <si>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</si>
  <si>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Supressão Vegetal</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</si>
  <si>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</si>
  <si>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</si>
  <si>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</si>
  <si>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</si>
  <si>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</si>
  <si>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</si>
  <si>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</si>
  <si>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</si>
  <si>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</si>
  <si>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</si>
  <si>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</si>
  <si>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</si>
  <si>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Telhamento para Cobertura</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</si>
  <si>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</si>
  <si>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</si>
  <si>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</si>
  <si>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</si>
  <si>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</si>
  <si>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</si>
  <si>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</si>
  <si>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</si>
  <si>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</si>
  <si>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</si>
  <si>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</si>
  <si>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</si>
  <si>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</si>
  <si>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</si>
  <si>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</si>
  <si>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</si>
  <si>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</si>
  <si>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</si>
  <si>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</si>
  <si>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</si>
  <si>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</si>
  <si>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</si>
  <si>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</si>
  <si>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</si>
  <si>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</si>
  <si>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</si>
  <si>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</si>
  <si>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</si>
  <si>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</si>
  <si>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</si>
  <si>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</si>
  <si>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</si>
  <si>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</si>
  <si>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</si>
  <si>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</si>
  <si>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</si>
  <si>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</si>
  <si>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</si>
  <si>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</si>
  <si>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</si>
  <si>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</si>
  <si>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</si>
  <si>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</si>
  <si>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</si>
  <si>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Transformadores</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</si>
  <si>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</si>
  <si>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</si>
  <si>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</si>
  <si>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</si>
  <si>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</si>
  <si>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</si>
  <si>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</si>
  <si>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</si>
  <si>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</si>
  <si>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</si>
  <si>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</si>
  <si>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</si>
  <si>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Transporte Fluvial - Carga e Descarga</t>
  </si>
  <si>
    <t xml:space="preserve">CARGA E DESCARGA COM CARRINHO PLATAFORMA, DE BANCADA DE MÁRMORE OU GRANITO PARA COZINHA/LAVATÓRIO OU MÁRMORE SINTÉTICO COM CUBA INTEGRADA, EM BALSA DE 1000 TONELADAS. AF_05/2024</t>
  </si>
  <si>
    <t>T</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</si>
  <si>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</si>
  <si>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</si>
  <si>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</si>
  <si>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</si>
  <si>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</si>
  <si>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</si>
  <si>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</si>
  <si>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</si>
  <si>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</si>
  <si>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</si>
  <si>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</si>
  <si>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</si>
  <si>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</si>
  <si>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</si>
  <si>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</si>
  <si>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</si>
  <si>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</si>
  <si>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</si>
  <si>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</si>
  <si>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</si>
  <si>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</si>
  <si>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</si>
  <si>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</si>
  <si>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</si>
  <si>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</si>
  <si>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</si>
  <si>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</si>
  <si>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</si>
  <si>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</si>
  <si>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</si>
  <si>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</si>
  <si>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</si>
  <si>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</si>
  <si>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</si>
  <si>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</si>
  <si>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</si>
  <si>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</si>
  <si>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</si>
  <si>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</si>
  <si>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</si>
  <si>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</si>
  <si>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</si>
  <si>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</si>
  <si>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</si>
  <si>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</si>
  <si>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</si>
  <si>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</si>
  <si>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</si>
  <si>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</si>
  <si>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</si>
  <si>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</si>
  <si>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</si>
  <si>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</si>
  <si>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</si>
  <si>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</si>
  <si>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</si>
  <si>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</si>
  <si>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</si>
  <si>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</si>
  <si>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</si>
  <si>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</si>
  <si>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</si>
  <si>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</si>
  <si>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</si>
  <si>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</si>
  <si>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</si>
  <si>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</si>
  <si>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</si>
  <si>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</si>
  <si>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</si>
  <si>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</si>
  <si>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</si>
  <si>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</si>
  <si>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</si>
  <si>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</si>
  <si>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</si>
  <si>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</si>
  <si>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</si>
  <si>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</si>
  <si>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</si>
  <si>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</si>
  <si>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</si>
  <si>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</si>
  <si>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</si>
  <si>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</si>
  <si>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</si>
  <si>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</si>
  <si>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</si>
  <si>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</si>
  <si>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</si>
  <si>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</si>
  <si>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</si>
  <si>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</si>
  <si>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</si>
  <si>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</si>
  <si>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</si>
  <si>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</si>
  <si>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</si>
  <si>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</si>
  <si>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 Momento de Transporte</t>
  </si>
  <si>
    <t xml:space="preserve">TRANSPORTE FLUVIAL COM CONJUNTO EMPURRADOR DE 250 HP E BALSA DE 200 A 600 TONELADAS, EM VIA NAVEGÁVEL NO SENTIDO A JUSANTE (DESCENDO O RIO). AF_05/2024</t>
  </si>
  <si>
    <t>TXKM</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</si>
  <si>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</si>
  <si>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</si>
  <si>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</si>
  <si>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</si>
  <si>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</si>
  <si>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</si>
  <si>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</si>
  <si>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de Materiais dentro do Canteiro de Obras</t>
  </si>
  <si>
    <t xml:space="preserve">TRANSPORTE HORIZONTAL COM CARREGADEIRA, DE MASSA/ GRANEL (UNIDADE: M3XKM). AF_07/2019</t>
  </si>
  <si>
    <t>M3XKM</t>
  </si>
  <si>
    <t xml:space="preserve">TRANSPORTE HORIZONTAL COM CARRINHO DE MÃO, DE BLOCOS CERÂMICOS FURADOS NA HORIZONTAL DE 9X19X19CM (UNIDADE: BLOCOXKM). AF_07/2019</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</si>
  <si>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</si>
  <si>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</si>
  <si>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M2XKM</t>
  </si>
  <si>
    <t xml:space="preserve">TRANSPORTE HORIZONTAL COM CARRINHO DE MÃO, DE SACOS DE 20 KG (UNIDADE: KGXKM). AF_07/2019</t>
  </si>
  <si>
    <t>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</si>
  <si>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</si>
  <si>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</si>
  <si>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</si>
  <si>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</si>
  <si>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</si>
  <si>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</si>
  <si>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</si>
  <si>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</si>
  <si>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</si>
  <si>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</si>
  <si>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</si>
  <si>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</si>
  <si>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</si>
  <si>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</si>
  <si>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</si>
  <si>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</si>
  <si>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</si>
  <si>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</si>
  <si>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</si>
  <si>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</si>
  <si>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</si>
  <si>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</si>
  <si>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</si>
  <si>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</si>
  <si>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</si>
  <si>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</si>
  <si>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</si>
  <si>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</si>
  <si>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</si>
  <si>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</si>
  <si>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</si>
  <si>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</si>
  <si>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</si>
  <si>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</si>
  <si>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</si>
  <si>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</si>
  <si>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</si>
  <si>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</si>
  <si>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</si>
  <si>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</si>
  <si>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</si>
  <si>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</si>
  <si>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</si>
  <si>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</si>
  <si>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</si>
  <si>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</si>
  <si>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</si>
  <si>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</si>
  <si>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</si>
  <si>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</si>
  <si>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</si>
  <si>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</si>
  <si>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</si>
  <si>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</si>
  <si>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</si>
  <si>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</si>
  <si>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</si>
  <si>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</si>
  <si>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</si>
  <si>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</si>
  <si>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</si>
  <si>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</si>
  <si>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</si>
  <si>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</si>
  <si>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</si>
  <si>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</si>
  <si>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</si>
  <si>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</si>
  <si>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</si>
  <si>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</si>
  <si>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</si>
  <si>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</si>
  <si>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</si>
  <si>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</si>
  <si>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</si>
  <si>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</si>
  <si>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</si>
  <si>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</si>
  <si>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</si>
  <si>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</si>
  <si>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</si>
  <si>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</si>
  <si>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</si>
  <si>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</si>
  <si>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L</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</si>
  <si>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</si>
  <si>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</si>
  <si>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</si>
  <si>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</si>
  <si>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</si>
  <si>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</si>
  <si>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Transporte, Carga e Descarga de Materiais</t>
  </si>
  <si>
    <t xml:space="preserve">CARGA DE MISTURA ASFÁLTICA EM CAMINHÃO BASCULANTE 10 M³ (UNIDADE: M3). AF_02/2026</t>
  </si>
  <si>
    <t xml:space="preserve">CARGA DE MISTURA ASFÁLTICA EM CAMINHÃO BASCULANTE 10 M³ (UNIDADE: T). AF_02/2026</t>
  </si>
  <si>
    <t xml:space="preserve">CARGA DE MISTURA ASFÁLTICA EM CAMINHÃO BASCULANTE 14 M³ (UNIDADE: M3). AF_02/2026</t>
  </si>
  <si>
    <t xml:space="preserve">CARGA DE MISTURA ASFÁLTICA EM CAMINHÃO BASCULANTE 14 M³ (UNIDADE: T). AF_02/2026</t>
  </si>
  <si>
    <t xml:space="preserve">CARGA DE MISTURA ASFÁLTICA EM CAMINHÃO BASCULANTE 18 M³ (UNIDADE: M3). AF_02/2026</t>
  </si>
  <si>
    <t xml:space="preserve">CARGA DE MISTURA ASFÁLTICA EM CAMINHÃO BASCULANTE 18 M³ (UNIDADE: T). AF_02/2026</t>
  </si>
  <si>
    <t xml:space="preserve">CARGA DE MISTURA ASFÁLTICA EM CAMINHÃO BASCULANTE 6 M³ (UNIDADE: M3). AF_02/2026</t>
  </si>
  <si>
    <t xml:space="preserve">CARGA DE MISTURA ASFÁLTICA EM CAMINHÃO BASCULANTE 6 M³ (UNIDADE: T). AF_02/2026</t>
  </si>
  <si>
    <t xml:space="preserve">CARGA DE ÁGUA EM CAMINHÃO PIPA 10 M³. AF_02/2026</t>
  </si>
  <si>
    <t xml:space="preserve">CARGA DE ÁGUA EM CAMINHÃO PIPA 14 M³. AF_02/2026</t>
  </si>
  <si>
    <t xml:space="preserve">CARGA DE ÁGUA EM CAMINHÃO PIPA 6 M³. AF_02/2026</t>
  </si>
  <si>
    <t xml:space="preserve">CARGA, MANOBRA E DESCARGA DE CAÇAMBA DE ENTULHO EM CAMINHÃO POLIGUINDASTE 8 M3. AF_02/2026</t>
  </si>
  <si>
    <t xml:space="preserve">CARGA, MANOBRA E DESCARGA DE ELEMENTOS PRÉ-FABRICADOS DE ATÉ 1,0 T EM CAMINHÃO CAVALO MECÂNICO COM SEMIRREBOQUE 30T. AF_02/2026</t>
  </si>
  <si>
    <t xml:space="preserve">CARGA, MANOBRA E DESCARGA DE ELEMENTOS PRÉ-FABRICADOS DE MAIS DE 1,0 T EM CAMINHÃO CAVALO MECÂNICO COM SEMIRREBOQUE 30T. AF_02/2026</t>
  </si>
  <si>
    <t xml:space="preserve">CARGA, MANOBRA E DESCARGA DE ENTULHO EM CAMINHÃO BASCULANTE 10 M³ - CARGA COM ESCAVADEIRA HIDRÁULICA (CAÇAMBA DE 0,80 M³ / 111 HP) E DESCARGA LIVRE (UNIDADE: M3). AF_02/2026</t>
  </si>
  <si>
    <t xml:space="preserve">CARGA, MANOBRA E DESCARGA DE ENTULHO EM CAMINHÃO BASCULANTE 10 M³ - CARGA COM ESCAVADEIRA HIDRÁULICA (CAÇAMBA DE 0,80 M³ / 111 HP) E DESCARGA LIVRE (UNIDADE: T). AF_02/2026</t>
  </si>
  <si>
    <t xml:space="preserve">CARGA, MANOBRA E DESCARGA DE ENTULHO EM CAMINHÃO BASCULANTE 14 M³ - CARGA COM ESCAVADEIRA HIDRÁULICA (CAÇAMBA DE 0,80 M³ / 111 HP) E DESCARGA LIVRE (UNIDADE: M3). AF_02/2026</t>
  </si>
  <si>
    <t xml:space="preserve">CARGA, MANOBRA E DESCARGA DE ENTULHO EM CAMINHÃO BASCULANTE 14 M³ - CARGA COM ESCAVADEIRA HIDRÁULICA (CAÇAMBA DE 0,80 M³ / 111 HP) E DESCARGA LIVRE (UNIDADE: T). AF_02/2026</t>
  </si>
  <si>
    <t xml:space="preserve">CARGA, MANOBRA E DESCARGA DE ENTULHO EM CAMINHÃO BASCULANTE 18 M³ - CARGA COM ESCAVADEIRA HIDRÁULICA (CAÇAMBA DE 0,80 M³ / 111 HP) E DESCARGA LIVRE (UNIDADE: M3). AF_02/2026</t>
  </si>
  <si>
    <t xml:space="preserve">CARGA, MANOBRA E DESCARGA DE ENTULHO EM CAMINHÃO BASCULANTE 18 M³ - CARGA COM ESCAVADEIRA HIDRÁULICA (CAÇAMBA DE 0,80 M³ / 111 HP) E DESCARGA LIVRE (UNIDADE: T). AF_02/2026</t>
  </si>
  <si>
    <t xml:space="preserve">CARGA, MANOBRA E DESCARGA DE ENTULHO EM CAMINHÃO BASCULANTE 6 M³ - CARGA COM ESCAVADEIRA HIDRÁULICA (CAÇAMBA DE 0,80 M³ / 111 HP) E DESCARGA LIVRE (UNIDADE: M3). AF_02/2026</t>
  </si>
  <si>
    <t xml:space="preserve">CARGA, MANOBRA E DESCARGA DE ENTULHO EM CAMINHÃO BASCULANTE 6 M³ - CARGA COM ESCAVADEIRA HIDRÁULICA (CAÇAMBA DE 0,80 M³ / 111 HP) E DESCARGA LIVRE (UNIDADE: T). AF_02/2026</t>
  </si>
  <si>
    <t xml:space="preserve">CARGA, MANOBRA E DESCARGA DE PERFIL METÁLICO EM CAMINHÃO CARROCERIA COM GUINDAUTO (MUNCK) 11,7 TM. AF_02/2026</t>
  </si>
  <si>
    <t xml:space="preserve">CARGA, MANOBRA E DESCARGA DE PERFIL METÁLICO EM CAMINHÃO CARROCERIA COM GUINDAUTO (MUNCK) 42,3 TM. AF_02/2026</t>
  </si>
  <si>
    <t xml:space="preserve">CARGA, MANOBRA E DESCARGA DE POSTE DE CONCRETO EM CAMINHÃO CARROCERIA COM GUINDAUTO (MUNCK) 11,7 TM. AF_02/2026</t>
  </si>
  <si>
    <t xml:space="preserve">CARGA, MANOBRA E DESCARGA DE POSTES DE CONCRETO EM CAMINHÃO CARROCERIA COM GUINDAUTO (MUNCK) 42,3 TM. AF_02/2026</t>
  </si>
  <si>
    <t xml:space="preserve">CARGA, MANOBRA E DESCARGA DE SOLOS E MATERIAIS GRANULARES EM CAMINHÃO BASCULANTE 10 M³ - CARGA COM ESCAVADEIRA HIDRÁULICA (CAÇAMBA DE 1,20 M³ / 155 HP) E DESCARGA LIVRE (UNIDADE: M3). AF_02/2026</t>
  </si>
  <si>
    <t xml:space="preserve">CARGA, MANOBRA E DESCARGA DE SOLOS E MATERIAIS GRANULARES EM CAMINHÃO BASCULANTE 10 M³ - CARGA COM ESCAVADEIRA HIDRÁULICA (CAÇAMBA DE 1,20 M³ / 155 HP) E DESCARGA LIVRE (UNIDADE: T). AF_02/2026</t>
  </si>
  <si>
    <t xml:space="preserve">CARGA, MANOBRA E DESCARGA DE SOLOS E MATERIAIS GRANULARES EM CAMINHÃO BASCULANTE 10 M³ - CARGA COM PÁ CARREGADEIRA (CAÇAMBA DE 1,7 A 2,8 M³ / 128 HP) E DESCARGA LIVRE (UNIDADE: M3). AF_02/2026</t>
  </si>
  <si>
    <t xml:space="preserve">CARGA, MANOBRA E DESCARGA DE SOLOS E MATERIAIS GRANULARES EM CAMINHÃO BASCULANTE 10 M³ - CARGA COM PÁ CARREGADEIRA (CAÇAMBA DE 1,7 A 2,8 M³ / 128 HP) E DESCARGA LIVRE (UNIDADE: T). AF_02/2026</t>
  </si>
  <si>
    <t xml:space="preserve">CARGA, MANOBRA E DESCARGA DE SOLOS E MATERIAIS GRANULARES EM CAMINHÃO BASCULANTE 14 M³ - CARGA COM ESCAVADEIRA HIDRÁULICA (CAÇAMBA DE 1,20 M³ / 155 HP) E DESCARGA LIVRE (UNIDADE: M3). AF_02/2026</t>
  </si>
  <si>
    <t xml:space="preserve">CARGA, MANOBRA E DESCARGA DE SOLOS E MATERIAIS GRANULARES EM CAMINHÃO BASCULANTE 14 M³ - CARGA COM ESCAVADEIRA HIDRÁULICA (CAÇAMBA DE 1,20 M³ / 155 HP) E DESCARGA LIVRE (UNIDADE: T). AF_02/2026</t>
  </si>
  <si>
    <t xml:space="preserve">CARGA, MANOBRA E DESCARGA DE SOLOS E MATERIAIS GRANULARES EM CAMINHÃO BASCULANTE 14 M³ - CARGA COM PÁ CARREGADEIRA (CAÇAMBA DE 1,7 A 2,8 M³ / 128 HP) E DESCARGA LIVRE (UNIDADE: M3). AF_02/2026</t>
  </si>
  <si>
    <t xml:space="preserve">CARGA, MANOBRA E DESCARGA DE SOLOS E MATERIAIS GRANULARES EM CAMINHÃO BASCULANTE 14 M³ - CARGA COM PÁ CARREGADEIRA (CAÇAMBA DE 1,7 A 2,8 M³ / 128 HP) E DESCARGA LIVRE (UNIDADE: T). AF_02/2026</t>
  </si>
  <si>
    <t xml:space="preserve">CARGA, MANOBRA E DESCARGA DE SOLOS E MATERIAIS GRANULARES EM CAMINHÃO BASCULANTE 18 M³ - CARGA COM ESCAVADEIRA HIDRÁULICA (CAÇAMBA DE 1,20 M³ / 155 HP) E DESCARGA LIVRE (UNIDADE: M3). AF_02/2026</t>
  </si>
  <si>
    <t xml:space="preserve">CARGA, MANOBRA E DESCARGA DE SOLOS E MATERIAIS GRANULARES EM CAMINHÃO BASCULANTE 18 M³ - CARGA COM ESCAVADEIRA HIDRÁULICA (CAÇAMBA DE 1,20 M³ / 155 HP) E DESCARGA LIVRE (UNIDADE: T). AF_02/2026</t>
  </si>
  <si>
    <t xml:space="preserve">CARGA, MANOBRA E DESCARGA DE SOLOS E MATERIAIS GRANULARES EM CAMINHÃO BASCULANTE 18 M³ - CARGA COM PÁ CARREGADEIRA (CAÇAMBA DE 1,7 A 2,8 M³ / 128 HP) E DESCARGA LIVRE (UNIDADE: M3). AF_02/2026</t>
  </si>
  <si>
    <t xml:space="preserve">CARGA, MANOBRA E DESCARGA DE SOLOS E MATERIAIS GRANULARES EM CAMINHÃO BASCULANTE 18 M³ - CARGA COM PÁ CARREGADEIRA (CAÇAMBA DE 1,7 A 2,8 M³ / 128 HP) E DESCARGA LIVRE (UNIDADE: T). AF_02/2026</t>
  </si>
  <si>
    <t xml:space="preserve">CARGA, MANOBRA E DESCARGA DE SOLOS E MATERIAIS GRANULARES EM CAMINHÃO BASCULANTE 6 M³ - CARGA COM ESCAVADEIRA HIDRÁULICA (CAÇAMBA DE 1,20 M³ / 155 HP) E DESCARGA LIVRE (UNIDADE: M3). AF_02/2026</t>
  </si>
  <si>
    <t xml:space="preserve">CARGA, MANOBRA E DESCARGA DE SOLOS E MATERIAIS GRANULARES EM CAMINHÃO BASCULANTE 6 M³ - CARGA COM ESCAVADEIRA HIDRÁULICA (CAÇAMBA DE 1,20 M³ / 155 HP) E DESCARGA LIVRE (UNIDADE: T). AF_02/2026</t>
  </si>
  <si>
    <t xml:space="preserve">CARGA, MANOBRA E DESCARGA DE SOLOS E MATERIAIS GRANULARES EM CAMINHÃO BASCULANTE 6 M³ - CARGA COM PÁ CARREGADEIRA (CAÇAMBA DE 1,7 A 2,8 M³ / 128 HP) E DESCARGA LIVRE (UNIDADE: M3). AF_02/2026</t>
  </si>
  <si>
    <t xml:space="preserve">CARGA, MANOBRA E DESCARGA DE SOLOS E MATERIAIS GRANULARES EM CAMINHÃO BASCULANTE 6 M³ - CARGA COM PÁ CARREGADEIRA (CAÇAMBA DE 1,7 A 2,8 M³ / 128 HP) E DESCARGA LIVRE (UNIDADE: T). AF_02/2026</t>
  </si>
  <si>
    <t xml:space="preserve">CARGA, MANOBRA E DESCARGA DE TUBOS DE CONCRETO, DN 1000 MM, EM CAMINHÃO CARROCERIA COM GUINDAUTO (MUNCK) 11,7 TM. AF_02/2026</t>
  </si>
  <si>
    <t xml:space="preserve">CARGA, MANOBRA E DESCARGA DE TUBOS DE CONCRETO, DN 1000 MM, EM CAMINHÃO CARROCERIA COM GUINDAUTO (MUNCK) 42,3 TM. AF_02/2026</t>
  </si>
  <si>
    <t xml:space="preserve">CARGA, MANOBRA E DESCARGA DE TUBOS DE CONCRETO, DN 1200 MM, EM CAMINHÃO CARROCERIA COM GUINDAUTO (MUNCK) 11,7 TM. AF_02/2026</t>
  </si>
  <si>
    <t xml:space="preserve">CARGA, MANOBRA E DESCARGA DE TUBOS DE CONCRETO, DN 1200 MM, EM CAMINHÃO CARROCERIA COM GUINDAUTO (MUNCK) 42,3 TM. AF_02/2026</t>
  </si>
  <si>
    <t xml:space="preserve">CARGA, MANOBRA E DESCARGA DE TUBOS DE CONCRETO, DN 400 MM, EM CAMINHÃO CARROCERIA COM GUINDAUTO (MUNCK) 11,7 TM. AF_02/2026</t>
  </si>
  <si>
    <t xml:space="preserve">CARGA, MANOBRA E DESCARGA DE TUBOS DE CONCRETO, DN 400 MM, EM CAMINHÃO CARROCERIA COM GUINDAUTO (MUNCK) 42,3 TM. AF_02/2026</t>
  </si>
  <si>
    <t xml:space="preserve">CARGA, MANOBRA E DESCARGA DE TUBOS DE CONCRETO, DN 500 MM, EM CAMINHÃO CARROCERIA COM GUINDAUTO (MUNCK) 11,7 TM. AF_02/2026</t>
  </si>
  <si>
    <t xml:space="preserve">CARGA, MANOBRA E DESCARGA DE TUBOS DE CONCRETO, DN 500 MM, EM CAMINHÃO CARROCERIA COM GUINDAUTO (MUNCK) 42,3 TM. AF_02/2026</t>
  </si>
  <si>
    <t xml:space="preserve">CARGA, MANOBRA E DESCARGA DE TUBOS DE CONCRETO, DN 600 MM, EM CAMINHÃO CARROCERIA COM GUINDAUTO (MUNCK) 11,7 TM. AF_02/2026</t>
  </si>
  <si>
    <t xml:space="preserve">CARGA, MANOBRA E DESCARGA DE TUBOS DE CONCRETO, DN 600 MM, EM CAMINHÃO CARROCERIA COM GUINDAUTO (MUNCK) 42,3 TM. AF_02/2026</t>
  </si>
  <si>
    <t xml:space="preserve">CARGA, MANOBRA E DESCARGA DE TUBOS DE CONCRETO, DN 700 MM, EM CAMINHÃO CARROCERIA COM GUINDAUTO (MUNCK) 11,7 TM. AF_02/2026</t>
  </si>
  <si>
    <t xml:space="preserve">CARGA, MANOBRA E DESCARGA DE TUBOS DE CONCRETO, DN 700 MM, EM CAMINHÃO CARROCERIA COM GUINDAUTO (MUNCK) 42,3 TM. AF_02/2026</t>
  </si>
  <si>
    <t xml:space="preserve">CARGA, MANOBRA E DESCARGA DE TUBOS DE CONCRETO, DN 800 MM, EM CAMINHÃO CARROCERIA COM GUINDAUTO (MUNCK) 11,7 TM. AF_02/2026</t>
  </si>
  <si>
    <t xml:space="preserve">CARGA, MANOBRA E DESCARGA DE TUBOS DE CONCRETO, DN 800 MM, EM CAMINHÃO CARROCERIA COM GUINDAUTO (MUNCK) 42,3 TM. AF_02/2026</t>
  </si>
  <si>
    <t xml:space="preserve">CARGA, MANOBRA E DESCARGA DE TUBOS DE CONCRETO, DN 900 MM, EM CAMINHÃO CARROCERIA COM GUINDAUTO (MUNCK) 11,7 TM. AF_02/2026</t>
  </si>
  <si>
    <t xml:space="preserve">CARGA, MANOBRA E DESCARGA DE TUBOS DE CONCRETO, DN 900 MM, EM CAMINHÃO CARROCERIA COM GUINDAUTO (MUNCK) 42,3 TM. AF_02/2026</t>
  </si>
  <si>
    <t xml:space="preserve">CARGA, MANOBRA E DESCARGA DE TUBOS DE CONCRETO, DN MENOR OU IGUAL A 300 MM, EM CAMINHÃO CARROCERIA COM GUINDAUTO (MUNCK) 11,7 TM. AF_02/2026</t>
  </si>
  <si>
    <t xml:space="preserve">CARGA, MANOBRA E DESCARGA DE TUBOS DE CONCRETO, DN MENOR OU IGUAL A 300 MM, EM CAMINHÃO CARROCERIA COM GUINDAUTO (MUNCK) 42,3 TM. AF_02/2026</t>
  </si>
  <si>
    <t xml:space="preserve">CARGA, MANOBRA E DESCARGA DE TUBOS METÁLICOS, DN 1000 MM, EM CAMINHÃO CARROCERIA COM GUINDAUTO (MUNCK) 11,7 TM. AF_02/2026</t>
  </si>
  <si>
    <t xml:space="preserve">CARGA, MANOBRA E DESCARGA DE TUBOS METÁLICOS, DN 1000 MM, EM CAMINHÃO CARROCERIA COM GUINDAUTO (MUNCK) 42,3 TM. AF_02/2026</t>
  </si>
  <si>
    <t xml:space="preserve">CARGA, MANOBRA E DESCARGA DE TUBOS METÁLICOS, DN 1200 MM, EM CAMINHÃO CARROCERIA COM GUINDAUTO (MUNCK) 11,7 TM. AF_02/2026</t>
  </si>
  <si>
    <t xml:space="preserve">CARGA, MANOBRA E DESCARGA DE TUBOS METÁLICOS, DN 1200 MM, EM CAMINHÃO CARROCERIA COM GUINDAUTO (MUNCK) 42,3 TM. AF_02/2026</t>
  </si>
  <si>
    <t xml:space="preserve">CARGA, MANOBRA E DESCARGA DE TUBOS METÁLICOS, DN 200 MM, EM CAMINHÃO CARROCERIA COM GUINDAUTO (MUNCK) 11,7 TM. AF_02/2026</t>
  </si>
  <si>
    <t xml:space="preserve">CARGA, MANOBRA E DESCARGA DE TUBOS METÁLICOS, DN 200 MM, EM CAMINHÃO CARROCERIA COM GUINDAUTO (MUNCK) 42,3 TM. AF_02/2026</t>
  </si>
  <si>
    <t xml:space="preserve">CARGA, MANOBRA E DESCARGA DE TUBOS METÁLICOS, DN 250 MM, EM CAMINHÃO CARROCERIA COM GUINDAUTO (MUNCK) 11,7 TM. AF_02/2026</t>
  </si>
  <si>
    <t xml:space="preserve">CARGA, MANOBRA E DESCARGA DE TUBOS METÁLICOS, DN 250 MM, EM CAMINHÃO CARROCERIA COM GUINDAUTO (MUNCK) 42,3 TM. AF_02/2026</t>
  </si>
  <si>
    <t xml:space="preserve">CARGA, MANOBRA E DESCARGA DE TUBOS METÁLICOS, DN 300 MM, EM CAMINHÃO CARROCERIA COM GUINDAUTO (MUNCK) 11,7 TM. AF_02/2026</t>
  </si>
  <si>
    <t xml:space="preserve">CARGA, MANOBRA E DESCARGA DE TUBOS METÁLICOS, DN 300 MM, EM CAMINHÃO CARROCERIA COM GUINDAUTO (MUNCK) 42,3 TM. AF_02/2026</t>
  </si>
  <si>
    <t xml:space="preserve">CARGA, MANOBRA E DESCARGA DE TUBOS METÁLICOS, DN 350 MM, EM CAMINHÃO CARROCERIA COM GUINDAUTO (MUNCK) 11,7 TM. AF_02/2026</t>
  </si>
  <si>
    <t xml:space="preserve">CARGA, MANOBRA E DESCARGA DE TUBOS METÁLICOS, DN 350 MM, EM CAMINHÃO CARROCERIA COM GUINDAUTO (MUNCK) 42,3 TM. AF_02/2026</t>
  </si>
  <si>
    <t xml:space="preserve">CARGA, MANOBRA E DESCARGA DE TUBOS METÁLICOS, DN 400 MM, EM CAMINHÃO CARROCERIA COM GUINDAUTO (MUNCK) 11,7 TM. AF_02/2026</t>
  </si>
  <si>
    <t xml:space="preserve">CARGA, MANOBRA E DESCARGA DE TUBOS METÁLICOS, DN 400 MM, EM CAMINHÃO CARROCERIA COM GUINDAUTO (MUNCK) 42,3 TM. AF_02/2026</t>
  </si>
  <si>
    <t xml:space="preserve">CARGA, MANOBRA E DESCARGA DE TUBOS METÁLICOS, DN 500 MM, EM CAMINHÃO CARROCERIA COM GUINDAUTO (MUNCK) 11,7 TM. AF_02/2026</t>
  </si>
  <si>
    <t xml:space="preserve">CARGA, MANOBRA E DESCARGA DE TUBOS METÁLICOS, DN 500 MM, EM CAMINHÃO CARROCERIA COM GUINDAUTO (MUNCK) 42,3 TM. AF_02/2026</t>
  </si>
  <si>
    <t xml:space="preserve">CARGA, MANOBRA E DESCARGA DE TUBOS METÁLICOS, DN 600 MM, EM CAMINHÃO CARROCERIA COM GUINDAUTO (MUNCK) 11,7 TM. AF_02/2026</t>
  </si>
  <si>
    <t xml:space="preserve">CARGA, MANOBRA E DESCARGA DE TUBOS METÁLICOS, DN 600 MM, EM CAMINHÃO CARROCERIA COM GUINDAUTO (MUNCK) 42,3 TM. AF_02/2026</t>
  </si>
  <si>
    <t xml:space="preserve">CARGA, MANOBRA E DESCARGA DE TUBOS METÁLICOS, DN 700 MM, EM CAMINHÃO CARROCERIA COM GUINDAUTO (MUNCK) 11,7 TM. AF_02/2026</t>
  </si>
  <si>
    <t xml:space="preserve">CARGA, MANOBRA E DESCARGA DE TUBOS METÁLICOS, DN 700 MM, EM CAMINHÃO CARROCERIA COM GUINDAUTO (MUNCK) 42,3 TM. AF_02/2026</t>
  </si>
  <si>
    <t xml:space="preserve">CARGA, MANOBRA E DESCARGA DE TUBOS METÁLICOS, DN 800 MM, EM CAMINHÃO CARROCERIA COM GUINDAUTO (MUNCK) 11,7 TM. AF_02/2026</t>
  </si>
  <si>
    <t xml:space="preserve">CARGA, MANOBRA E DESCARGA DE TUBOS METÁLICOS, DN 800 MM, EM CAMINHÃO CARROCERIA COM GUINDAUTO (MUNCK) 42,3 TM. AF_02/2026</t>
  </si>
  <si>
    <t xml:space="preserve">CARGA, MANOBRA E DESCARGA DE TUBOS METÁLICOS, DN 900 MM, EM CAMINHÃO CARROCERIA COM GUINDAUTO (MUNCK) 11,7 TM. AF_02/2026</t>
  </si>
  <si>
    <t xml:space="preserve">CARGA, MANOBRA E DESCARGA DE TUBOS METÁLICOS, DN 900 MM, EM CAMINHÃO CARROCERIA COM GUINDAUTO (MUNCK) 42,3 TM. AF_02/2026</t>
  </si>
  <si>
    <t xml:space="preserve">CARGA, MANOBRA E DESCARGA DE TUBOS METÁLICOS, DN MENOR OU IGUAL A 150 MM, EM CAMINHÃO CARROCERIA COM GUINDAUTO (MUNCK) 11,7 TM. AF_02/2026</t>
  </si>
  <si>
    <t xml:space="preserve">CARGA, MANOBRA E DESCARGA DE TUBOS METÁLICOS, DN MENOR OU IGUAL A 150 MM, EM CAMINHÃO CARROCERIA COM GUINDAUTO (MUNCK) 42,3 TM. AF_02/2026</t>
  </si>
  <si>
    <t xml:space="preserve">CARGA, MANOBRA E DESCARGA DE TUBOS PLÁSTICOS, DN 1000 MM, EM CAMINHÃO CARROCERIA COM GUINDAUTO (MUNCK) 11,7 TM. AF_02/2026</t>
  </si>
  <si>
    <t xml:space="preserve">CARGA, MANOBRA E DESCARGA DE TUBOS PLÁSTICOS, DN 1000 MM, EM CAMINHÃO CARROCERIA COM GUINDAUTO (MUNCK) 42,3 TM. AF_02/2026</t>
  </si>
  <si>
    <t xml:space="preserve">CARGA, MANOBRA E DESCARGA DE TUBOS PLÁSTICOS, DN 1200 MM, EM CAMINHÃO CARROCERIA COM GUINDAUTO (MUNCK) 11,7 TM. AF_02/2026</t>
  </si>
  <si>
    <t xml:space="preserve">CARGA, MANOBRA E DESCARGA DE TUBOS PLÁSTICOS, DN 1200 MM, EM CAMINHÃO CARROCERIA COM GUINDAUTO (MUNCK) 42,3 TM. AF_02/2026</t>
  </si>
  <si>
    <t xml:space="preserve">CARGA, MANOBRA E DESCARGA DE TUBOS PLÁSTICOS, DN 250 MM, EM CAMINHÃO CARROCERIA COM GUINDAUTO (MUNCK) 11,7 TM. AF_02/2026</t>
  </si>
  <si>
    <t xml:space="preserve">CARGA, MANOBRA E DESCARGA DE TUBOS PLÁSTICOS, DN 250 MM, EM CAMINHÃO CARROCERIA COM GUINDAUTO (MUNCK) 42,3 TM. AF_02/2026</t>
  </si>
  <si>
    <t xml:space="preserve">CARGA, MANOBRA E DESCARGA DE TUBOS PLÁSTICOS, DN 300 MM, EM CAMINHÃO CARROCERIA COM GUINDAUTO (MUNCK) 11,7 TM. AF_02/2026</t>
  </si>
  <si>
    <t xml:space="preserve">CARGA, MANOBRA E DESCARGA DE TUBOS PLÁSTICOS, DN 300 MM, EM CAMINHÃO CARROCERIA COM GUINDAUTO (MUNCK) 42,3 TM. AF_02/2026</t>
  </si>
  <si>
    <t xml:space="preserve">CARGA, MANOBRA E DESCARGA DE TUBOS PLÁSTICOS, DN 400 MM, EM CAMINHÃO CARROCERIA COM GUINDAUTO (MUNCK) 11,7 TM. AF_02/2026</t>
  </si>
  <si>
    <t xml:space="preserve">CARGA, MANOBRA E DESCARGA DE TUBOS PLÁSTICOS, DN 400 MM, EM CAMINHÃO CARROCERIA COM GUINDAUTO (MUNCK) 42,3 TM. AF_02/2026</t>
  </si>
  <si>
    <t xml:space="preserve">CARGA, MANOBRA E DESCARGA DE TUBOS PLÁSTICOS, DN 500 MM, EM CAMINHÃO CARROCERIA COM GUINDAUTO (MUNCK) 11,7 TM. AF_02/2026</t>
  </si>
  <si>
    <t xml:space="preserve">CARGA, MANOBRA E DESCARGA DE TUBOS PLÁSTICOS, DN 500 MM, EM CAMINHÃO CARROCERIA COM GUINDAUTO (MUNCK) 42,3 TM. AF_02/2026</t>
  </si>
  <si>
    <t xml:space="preserve">CARGA, MANOBRA E DESCARGA DE TUBOS PLÁSTICOS, DN 600 MM, EM CAMINHÃO CARROCERIA COM GUINDAUTO (MUNCK) 11,7 TM. AF_02/2026</t>
  </si>
  <si>
    <t xml:space="preserve">CARGA, MANOBRA E DESCARGA DE TUBOS PLÁSTICOS, DN 600 MM, EM CAMINHÃO CARROCERIA COM GUINDAUTO (MUNCK) 42,3 TM. AF_02/2026</t>
  </si>
  <si>
    <t xml:space="preserve">CARGA, MANOBRA E DESCARGA DE TUBOS PLÁSTICOS, DN 750 MM, EM CAMINHÃO CARROCERIA COM GUINDAUTO (MUNCK) 11,7 TM. AF_02/2026</t>
  </si>
  <si>
    <t xml:space="preserve">CARGA, MANOBRA E DESCARGA DE TUBOS PLÁSTICOS, DN 750 MM, EM CAMINHÃO CARROCERIA COM GUINDAUTO (MUNCK) 42,3 TM. AF_02/2026</t>
  </si>
  <si>
    <t xml:space="preserve">CARGA, MANOBRA E DESCARGA DE TUBOS PLÁSTICOS, DN 900 MM, EM CAMINHÃO CARROCERIA COM GUINDAUTO (MUNCK) 11,7 TM. AF_02/2026</t>
  </si>
  <si>
    <t xml:space="preserve">CARGA, MANOBRA E DESCARGA DE TUBOS PLÁSTICOS, DN 900 MM, EM CAMINHÃO CARROCERIA COM GUINDAUTO (MUNCK) 42,3 TM. AF_02/2026</t>
  </si>
  <si>
    <t xml:space="preserve">CARGA, MANOBRA E DESCARGA DE ÁGUA EM CAMINHÃO PIPA 10 M³. AF_02/2026</t>
  </si>
  <si>
    <t xml:space="preserve">CARGA, MANOBRA E DESCARGA DE ÁGUA EM CAMINHÃO PIPA 14 M³. AF_02/2026</t>
  </si>
  <si>
    <t xml:space="preserve">CARGA, MANOBRA E DESCARGA DE ÁGUA EM CAMINHÃO PIPA 6 M³. AF_02/2026</t>
  </si>
  <si>
    <t xml:space="preserve">CARGA, MANOBRA E DESCARGA MANUAL DE BLOCO CERAMICO FURADO NA HORIZONTAL, EM CAMINHÃO CARROCERIA 15T. AF_02/2026</t>
  </si>
  <si>
    <t xml:space="preserve">CARGA, MANOBRA E DESCARGA MANUAL DE BLOCO CERAMICO FURADO NA HORIZONTAL, EM CAMINHÃO CARROCERIA 9T. AF_02/2026</t>
  </si>
  <si>
    <t xml:space="preserve">CARGA, MANOBRA E DESCARGA MANUAL DE BLOCO CERAMICO FURADO NA VERTICAL, EM CAMINHÃO CARROCERIA 15T. AF_02/2026</t>
  </si>
  <si>
    <t xml:space="preserve">CARGA, MANOBRA E DESCARGA MANUAL DE BLOCO CERAMICO FURADO NA VERTICAL, EM CAMINHÃO CARROCERIA 9T. AF_02/2026</t>
  </si>
  <si>
    <t xml:space="preserve">CARGA, MANOBRA E DESCARGA MANUAL DE BLOCO DE CONCRETO, EM CAMINHÃO CARROCERIA 15T. AF_02/2026</t>
  </si>
  <si>
    <t xml:space="preserve">CARGA, MANOBRA E DESCARGA MANUAL DE BLOCO DE CONCRETO, EM CAMINHÃO CARROCERIA 9T. AF_02/2026</t>
  </si>
  <si>
    <t xml:space="preserve">CARGA, MANOBRA E DESCARGA MANUAL DE SACOS DE AREIA DE 25 KG, EM CAMINHÃO CARROCERIA 15T. AF_02/2026</t>
  </si>
  <si>
    <t xml:space="preserve">CARGA, MANOBRA E DESCARGA MANUAL DE SACOS DE AREIA DE 25 KG, EM CAMINHÃO CARROCERIA 9T. AF_02/2026</t>
  </si>
  <si>
    <t xml:space="preserve">CARGA, MANOBRA E DESCARGA MANUAL DE SACOS DE ARGAMASSA DE 20 KG, EM CAMINHÃO CARROCERIA 15T. AF_02/2026</t>
  </si>
  <si>
    <t xml:space="preserve">CARGA, MANOBRA E DESCARGA MANUAL DE SACOS DE ARGAMASSA DE 20 KG, EM CAMINHÃO CARROCERIA 9T. AF_02/2026</t>
  </si>
  <si>
    <t xml:space="preserve">CARGA, MANOBRA E DESCARGA MANUAL DE SACOS DE CIMENTO DE 50 KG, EM CAMINHÃO CARROCERIA 15T. AF_02/2026</t>
  </si>
  <si>
    <t xml:space="preserve">CARGA, MANOBRA E DESCARGA MANUAL DE SACOS DE CIMENTO DE 50 KG, EM CAMINHÃO CARROCERIA 9T. AF_02/2026</t>
  </si>
  <si>
    <t xml:space="preserve">CARGA, MANOBRA E DESCARGA MANUAL DE TIJOLO MACIÇO, EM CAMINHÃO CARROCERIA 15T. AF_02/2026</t>
  </si>
  <si>
    <t xml:space="preserve">CARGA, MANOBRA E DESCARGA MANUAL DE TIJOLO MACIÇO, EM CAMINHÃO CARROCERIA 9T. AF_02/2026</t>
  </si>
  <si>
    <t xml:space="preserve">CARGA, MANOBRA E DESCARGA MANUAL DE TUBOS PLÁSTICOS, DN 150 MM, EM CAMINHÃO CARROCERIA 15T. AF_02/2026</t>
  </si>
  <si>
    <t xml:space="preserve">CARGA, MANOBRA E DESCARGA MANUAL DE TUBOS PLÁSTICOS, DN 150 MM, EM CAMINHÃO CARROCERIA 9T. AF_02/2026</t>
  </si>
  <si>
    <t xml:space="preserve">CARGA, MANOBRA E DESCARGA MANUAL DE TUBOS PLÁSTICOS, DN 200 MM, EM CAMINHÃO CARROCERIA 15T. AF_02/2026</t>
  </si>
  <si>
    <t xml:space="preserve">CARGA, MANOBRA E DESCARGA MANUAL DE TUBOS PLÁSTICOS, DN 200 MM, EM CAMINHÃO CARROCERIA 9T. AF_02/2026</t>
  </si>
  <si>
    <t xml:space="preserve">CARGA, MANOBRA E DESCARGA MANUAL DE TUBOS PLÁSTICOS, DN MENOR OU IGUAL A 100 MM, EM CAMINHÃO CARROCERIA 15T. AF_02/2026</t>
  </si>
  <si>
    <t xml:space="preserve">CARGA, MANOBRA E DESCARGA MANUAL DE TUBOS PLÁSTICOS, DN MENOR OU IGUAL A 100 MM, EM CAMINHÃO CARROCERIA 9T. AF_02/2026</t>
  </si>
  <si>
    <t xml:space="preserve">CARGA, MANOBRA E DESCARGA MECANIZADA DE PALETES, EM CAMINHÃO CARROCERIA 15T. AF_02/2026</t>
  </si>
  <si>
    <t xml:space="preserve">CARGA, MANOBRA E DESCARGA MECANIZADA DE PALETES, EM CAMINHÃO CARROCERIA 9T. AF_02/2026</t>
  </si>
  <si>
    <t xml:space="preserve">TRANSPORTE COM CAMINHÃO BASCULANTE DE 10 M³, EM VIA INTERNA (DENTRO DO CANTEIRO - UNIDADE: M3XKM). AF_02/2026</t>
  </si>
  <si>
    <t xml:space="preserve">TRANSPORTE COM CAMINHÃO BASCULANTE DE 10 M³, EM VIA INTERNA A OBRA (UNIDADE: TXKM). AF_02/2026</t>
  </si>
  <si>
    <t xml:space="preserve">TRANSPORTE COM CAMINHÃO BASCULANTE DE 10 M³, EM VIA URBANA EM LEITO NATURAL (UNIDADE: M3XKM). AF_02/2026</t>
  </si>
  <si>
    <t xml:space="preserve">TRANSPORTE COM CAMINHÃO BASCULANTE DE 10 M³, EM VIA URBANA EM LEITO NATURAL (UNIDADE: TXKM). AF_02/2026</t>
  </si>
  <si>
    <t xml:space="preserve">TRANSPORTE COM CAMINHÃO BASCULANTE DE 10 M³, EM VIA URBANA EM REVESTIMENTO PRIMÁRIO (UNIDADE: M3XKM). AF_02/2026</t>
  </si>
  <si>
    <t xml:space="preserve">TRANSPORTE COM CAMINHÃO BASCULANTE DE 10 M³, EM VIA URBANA EM REVESTIMENTO PRIMÁRIO (UNIDADE: TXKM). AF_02/2026</t>
  </si>
  <si>
    <t xml:space="preserve">TRANSPORTE COM CAMINHÃO BASCULANTE DE 10 M³, EM VIA URBANA PAVIMENTADA, ADICIONAL PARA DMT EXCEDENTE A 30 KM (UNIDADE: M3XKM). AF_02/2026</t>
  </si>
  <si>
    <t xml:space="preserve">TRANSPORTE COM CAMINHÃO BASCULANTE DE 10 M³, EM VIA URBANA PAVIMENTADA, ADICIONAL PARA DMT EXCEDENTE A 30 KM (UNIDADE: TXKM). AF_02/2026</t>
  </si>
  <si>
    <t xml:space="preserve">TRANSPORTE COM CAMINHÃO BASCULANTE DE 10 M³, EM VIA URBANA PAVIMENTADA, DMT ATÉ 30 KM (UNIDADE: M3XKM). AF_02/2026</t>
  </si>
  <si>
    <t xml:space="preserve">TRANSPORTE COM CAMINHÃO BASCULANTE DE 10 M³, EM VIA URBANA PAVIMENTADA, DMT ATÉ 30 KM (UNIDADE: TXKM). AF_02/2026</t>
  </si>
  <si>
    <t xml:space="preserve">TRANSPORTE COM CAMINHÃO BASCULANTE DE 14 M³, EM VIA INTERNA (DENTRO DO CANTEIRO - UNIDADE: TXKM). AF_02/2026</t>
  </si>
  <si>
    <t xml:space="preserve">TRANSPORTE COM CAMINHÃO BASCULANTE DE 14 M³, EM VIA INTERNA (DENTRO DO CANTEIRO - UNIDADE:M3XKM). AF_02/2026</t>
  </si>
  <si>
    <t xml:space="preserve">TRANSPORTE COM CAMINHÃO BASCULANTE DE 14 M³, EM VIA URBANA EM LEITO NATURAL (UNIDADE: M3XKM). AF_02/2026</t>
  </si>
  <si>
    <t xml:space="preserve">TRANSPORTE COM CAMINHÃO BASCULANTE DE 14 M³, EM VIA URBANA EM LEITO NATURAL (UNIDADE: TXKM). AF_02/2026</t>
  </si>
  <si>
    <t xml:space="preserve">TRANSPORTE COM CAMINHÃO BASCULANTE DE 14 M³, EM VIA URBANA EM REVESTIMENTO PRIMÁRIO (UNIDADE: M3XKM). AF_02/2026</t>
  </si>
  <si>
    <t xml:space="preserve">TRANSPORTE COM CAMINHÃO BASCULANTE DE 14 M³, EM VIA URBANA EM REVESTIMENTO PRIMÁRIO (UNIDADE: TXKM). AF_02/2026</t>
  </si>
  <si>
    <t xml:space="preserve">TRANSPORTE COM CAMINHÃO BASCULANTE DE 14 M³, EM VIA URBANA PAVIMENTADA, ADICIONAL PARA DMT EXCEDENTE A 30 KM (UNIDADE: M3XKM). AF_02/2026</t>
  </si>
  <si>
    <t xml:space="preserve">TRANSPORTE COM CAMINHÃO BASCULANTE DE 14 M³, EM VIA URBANA PAVIMENTADA, ADICIONAL PARA DMT EXCEDENTE A 30 KM (UNIDADE: TXKM). AF_02/2026</t>
  </si>
  <si>
    <t xml:space="preserve">TRANSPORTE COM CAMINHÃO BASCULANTE DE 14 M³, EM VIA URBANA PAVIMENTADA, DMT ATÉ 30 KM (UNIDADE: M3XKM). AF_02/2026</t>
  </si>
  <si>
    <t xml:space="preserve">TRANSPORTE COM CAMINHÃO BASCULANTE DE 14 M³, EM VIA URBANA PAVIMENTADA, DMT ATÉ 30 KM (UNIDADE: TXKM). AF_02/2026</t>
  </si>
  <si>
    <t xml:space="preserve">TRANSPORTE COM CAMINHÃO BASCULANTE DE 18 M³, EM VIA INTERNA (DENTRO DO CANTEIRO - UNIDADE: M3XKM). AF_02/2026</t>
  </si>
  <si>
    <t xml:space="preserve">TRANSPORTE COM CAMINHÃO BASCULANTE DE 18 M³, EM VIA INTERNA (DENTRO DO CANTEIRO - UNIDADE: TXKM). AF_02/2026</t>
  </si>
  <si>
    <t xml:space="preserve">TRANSPORTE COM CAMINHÃO BASCULANTE DE 18 M³, EM VIA URBANA EM LEITO NATURAL (UNIDADE: M3XKM). AF_02/2026</t>
  </si>
  <si>
    <t xml:space="preserve">TRANSPORTE COM CAMINHÃO BASCULANTE DE 18 M³, EM VIA URBANA EM LEITO NATURAL (UNIDADE: TXKM). AF_02/2026</t>
  </si>
  <si>
    <t xml:space="preserve">TRANSPORTE COM CAMINHÃO BASCULANTE DE 18 M³, EM VIA URBANA EM REVESTIMENTO PRIMÁRIO (UNIDADE: M3XKM). AF_02/2026</t>
  </si>
  <si>
    <t xml:space="preserve">TRANSPORTE COM CAMINHÃO BASCULANTE DE 18 M³, EM VIA URBANA EM REVESTIMENTO PRIMÁRIO (UNIDADE: TXKM). AF_02/2026</t>
  </si>
  <si>
    <t xml:space="preserve">TRANSPORTE COM CAMINHÃO BASCULANTE DE 18 M³, EM VIA URBANA PAVIMENTADA, ADICIONAL PARA DMT EXCEDENTE A 30 KM (UNIDADE: M3XKM). AF_02/2026</t>
  </si>
  <si>
    <t xml:space="preserve">TRANSPORTE COM CAMINHÃO BASCULANTE DE 18 M³, EM VIA URBANA PAVIMENTADA, ADICIONAL PARA DMT EXCEDENTE A 30 KM (UNIDADE: TXKM). AF_02/2026</t>
  </si>
  <si>
    <t xml:space="preserve">TRANSPORTE COM CAMINHÃO BASCULANTE DE 18 M³, EM VIA URBANA PAVIMENTADA, DMT ATÉ 30 KM (UNIDADE: M3XKM). AF_02/2026</t>
  </si>
  <si>
    <t xml:space="preserve">TRANSPORTE COM CAMINHÃO BASCULANTE DE 18 M³, EM VIA URBANA PAVIMENTADA, DMT ATÉ 30 KM (UNIDADE: TXKM). AF_02/2026</t>
  </si>
  <si>
    <t xml:space="preserve">TRANSPORTE COM CAMINHÃO BASCULANTE DE 6 M³, EM VIA INTERNA (DENTRO DO CANTEIRO - UNIDADE: M3XKM). AF_02/2026</t>
  </si>
  <si>
    <t xml:space="preserve">TRANSPORTE COM CAMINHÃO BASCULANTE DE 6 M³, EM VIA INTERNA (DENTRO DO CANTEIRO - UNIDADE: TXKM). AF_02/2026</t>
  </si>
  <si>
    <t xml:space="preserve">TRANSPORTE COM CAMINHÃO BASCULANTE DE 6 M³, EM VIA URBANA EM LEITO NATURAL (UNIDADE: M3XKM). AF_02/2026</t>
  </si>
  <si>
    <t xml:space="preserve">TRANSPORTE COM CAMINHÃO BASCULANTE DE 6 M³, EM VIA URBANA EM LEITO NATURAL (UNIDADE: TXKM). AF_02/2026</t>
  </si>
  <si>
    <t xml:space="preserve">TRANSPORTE COM CAMINHÃO BASCULANTE DE 6 M³, EM VIA URBANA EM REVESTIMENTO PRIMÁRIO (UNIDADE: M3XKM). AF_02/2026</t>
  </si>
  <si>
    <t xml:space="preserve">TRANSPORTE COM CAMINHÃO BASCULANTE DE 6 M³, EM VIA URBANA EM REVESTIMENTO PRIMÁRIO (UNIDADE: TXKM). AF_02/2026</t>
  </si>
  <si>
    <t xml:space="preserve">TRANSPORTE COM CAMINHÃO BASCULANTE DE 6 M³, EM VIA URBANA PAVIMENTADA, ADICIONAL PARA DMT EXCEDENTE A 30 KM (UNIDADE: M3XKM). AF_02/2026</t>
  </si>
  <si>
    <t xml:space="preserve">TRANSPORTE COM CAMINHÃO BASCULANTE DE 6 M³, EM VIA URBANA PAVIMENTADA, ADICIONAL PARA DMT EXCEDENTE A 30 KM (UNIDADE: TXKM). AF_02/2026</t>
  </si>
  <si>
    <t xml:space="preserve">TRANSPORTE COM CAMINHÃO BASCULANTE DE 6 M³, EM VIA URBANA PAVIMENTADA, DMT ATÉ 30 KM (UNIDADE: M3XKM). AF_02/2026</t>
  </si>
  <si>
    <t xml:space="preserve">TRANSPORTE COM CAMINHÃO BASCULANTE DE 6 M³, EM VIA URBANA PAVIMENTADA, DMT ATÉ 30 KM (UNIDADE: TXKM). AF_02/2026</t>
  </si>
  <si>
    <t xml:space="preserve">TRANSPORTE COM CAMINHÃO CARROCERIA 15T DE 10 M³, EM VIA INTERNA (DENTRO DO CANTEIRO) (UNIDADE: TXKM). AF_02/2026</t>
  </si>
  <si>
    <t xml:space="preserve">TRANSPORTE COM CAMINHÃO CARROCERIA 15T DE 10 M³, EM VIA URBANA EM LEITO NATURAL (UNIDADE: TXKM). AF_02/2026</t>
  </si>
  <si>
    <t xml:space="preserve">TRANSPORTE COM CAMINHÃO CARROCERIA 15T DE 10 M³, EM VIA URBANA EM REVESTIMENTO PRIMÁRIO (UNIDADE: TXKM). AF_02/2026</t>
  </si>
  <si>
    <t xml:space="preserve">TRANSPORTE COM CAMINHÃO CARROCERIA 15T DE 10 M³, EM VIA URBANA PAVIMENTADA, ADICIONAL PARA DMT EXCEDENTE A 30 KM (UNIDADE: TXKM). AF_02/2026</t>
  </si>
  <si>
    <t xml:space="preserve">TRANSPORTE COM CAMINHÃO CARROCERIA 15T DE 10 M³, EM VIA URBANA PAVIMENTADA, DMT ATÉ 30KM (UNIDADE: TXKM). AF_02/2026</t>
  </si>
  <si>
    <t xml:space="preserve">TRANSPORTE COM CAMINHÃO CARROCERIA 9T, EM VIA INTERNA (DENTRO DO CANTEIRO - UNIDADE: TXKM). AF_02/2026</t>
  </si>
  <si>
    <t xml:space="preserve">TRANSPORTE COM CAMINHÃO CARROCERIA 9T, EM VIA URBANA EM LEITO NATURAL (UNIDADE: TXKM). AF_02/2026</t>
  </si>
  <si>
    <t xml:space="preserve">TRANSPORTE COM CAMINHÃO CARROCERIA 9T, EM VIA URBANA EM REVESTIMENTO PRIMÁRIO (UNIDADE: TXKM). AF_02/2026</t>
  </si>
  <si>
    <t xml:space="preserve">TRANSPORTE COM CAMINHÃO CARROCERIA 9T, EM VIA URBANA PAVIMENTADA, ADICIONAL PARA DMT EXCEDENTE A 30 KM (UNIDADE: TXKM). AF_02/2026</t>
  </si>
  <si>
    <t xml:space="preserve">TRANSPORTE COM CAMINHÃO CARROCERIA 9T, EM VIA URBANA PAVIMENTADA, DMT ATÉ 30KM (UNIDADE: TXKM). AF_02/2026</t>
  </si>
  <si>
    <t xml:space="preserve">TRANSPORTE COM CAMINHÃO CARROCERIA COM GUINDAUTO (MUNCK), MOMENTO MÁXIMO DE CARGA 11,7 TM, EM VIA INTERNA (DENTRO DO CANTEIRO - UNIDADE: TXKM). AF_02/2026</t>
  </si>
  <si>
    <t xml:space="preserve">TRANSPORTE COM CAMINHÃO CARROCERIA COM GUINDAUTO (MUNCK), MOMENTO MÁXIMO DE CARGA 11,7 TM, EM VIA URBANA EM LEITO NATURAL (UNIDADE: TXKM). AF_02/2026</t>
  </si>
  <si>
    <t xml:space="preserve">TRANSPORTE COM CAMINHÃO CARROCERIA COM GUINDAUTO (MUNCK), MOMENTO MÁXIMO DE CARGA 11,7 TM, EM VIA URBANA EM REVESTIMENTO PRIMÁRIO (UNIDADE: TXKM). AF_02/2026</t>
  </si>
  <si>
    <t xml:space="preserve">TRANSPORTE COM CAMINHÃO CARROCERIA COM GUINDAUTO (MUNCK), MOMENTO MÁXIMO DE CARGA 11,7 TM, EM VIA URBANA PAVIMENTADA, ADICIONAL PARA DMT EXCEDENTE A 30 KM (UNIDADE: TXKM). AF_02/2026</t>
  </si>
  <si>
    <t xml:space="preserve">TRANSPORTE COM CAMINHÃO CARROCERIA COM GUINDAUTO (MUNCK), MOMENTO MÁXIMO DE CARGA 11,7 TM, EM VIA URBANA PAVIMENTADA, DMT ATÉ 30KM (UNIDADE: TXKM). AF_02/2026</t>
  </si>
  <si>
    <t xml:space="preserve">TRANSPORTE COM CAMINHÃO CARROCERIA COM GUINDAUTO (MUNCK), MOMENTO MÁXIMO DE CARGA 42,3 TM, EM VIA INTERNA (DENTRO DO CANTEIRO) (UNIDADE: TXKM). AF_02/2026</t>
  </si>
  <si>
    <t xml:space="preserve">TRANSPORTE COM CAMINHÃO CARROCERIA COM GUINDAUTO (MUNCK), MOMENTO MÁXIMO DE CARGA 42,3 TM, EM VIA URBANA EM LEITO NATURAL (UNIDADE: TXKM). AF_02/2026</t>
  </si>
  <si>
    <t xml:space="preserve">TRANSPORTE COM CAMINHÃO CARROCERIA COM GUINDAUTO (MUNCK), MOMENTO MÁXIMO DE CARGA 42,3 TM, EM VIA URBANA EM REVESTIMENTO PRIMÁRIO (UNIDADE: TXKM). AF_02/2026</t>
  </si>
  <si>
    <t xml:space="preserve">TRANSPORTE COM CAMINHÃO CARROCERIA COM GUINDAUTO (MUNCK), MOMENTO MÁXIMO DE CARGA 42,3 TM, EM VIA URBANA PAVIMENTADA, ADICIONAL PARA DMT EXCEDENTE A 30 KM (UNIDADE: TXKM). AF_02/2026</t>
  </si>
  <si>
    <t xml:space="preserve">TRANSPORTE COM CAMINHÃO CARROCERIA COM GUINDAUTO (MUNCK), MOMENTO MÁXIMO DE CARGA 42,3 TM, EM VIA URBANA PAVIMENTADA, DMT ATÉ 30KM (UNIDADE: TXKM). AF_02/2026</t>
  </si>
  <si>
    <t xml:space="preserve">TRANSPORTE COM CAMINHÃO PIPA DE 10 M³, EM VIA INTERNA (DENTRO DO CANTEIRO - UNIDADE: M3XKM). AF_02/2026</t>
  </si>
  <si>
    <t xml:space="preserve">TRANSPORTE COM CAMINHÃO PIPA DE 10 M³, EM VIA URBANA EM LEITO NATURAL (UNIDADE: M3XKM). AF_02/2026</t>
  </si>
  <si>
    <t xml:space="preserve">TRANSPORTE COM CAMINHÃO PIPA DE 10 M³, EM VIA URBANA EM REVESTIMENTO PRIMÁRIO (UNIDADE: M3XKM). AF_02/2026</t>
  </si>
  <si>
    <t xml:space="preserve">TRANSPORTE COM CAMINHÃO PIPA DE 10 M³, EM VIA URBANA PAVIMENTADA, ADICIONAL PARA DMT EXCEDENTE A 30 KM (UNIDADE: M3XKM). AF_02/2026</t>
  </si>
  <si>
    <t xml:space="preserve">TRANSPORTE COM CAMINHÃO PIPA DE 10 M³, EM VIA URBANA PAVIMENTADA, DMT ATÉ 30KM (UNIDADE: M3XKM). AF_02/2026</t>
  </si>
  <si>
    <t xml:space="preserve">TRANSPORTE COM CAMINHÃO PIPA DE 14 M³, EM VIA INTERNA (DENTRO DO CANTEIRO) (UNIDADE: M³XKM). AF_02/2026</t>
  </si>
  <si>
    <t xml:space="preserve">TRANSPORTE COM CAMINHÃO PIPA DE 14 M³, EM VIA URBANA EM LEITO NATURAL (UNIDADE: M³XKM). AF_02/2026</t>
  </si>
  <si>
    <t xml:space="preserve">TRANSPORTE COM CAMINHÃO PIPA DE 14 M³, EM VIA URBANA EM REVESTIMENTO PRIMÁRIO (UNIDADE: M³XKM). AF_02/2026</t>
  </si>
  <si>
    <t xml:space="preserve">TRANSPORTE COM CAMINHÃO PIPA DE 14 M³, EM VIA URBANA PAVIMENTADA, ADICIONAL PARA DMT EXCEDENTE A 30 KM (UNIDADE: M³XKM). AF_02/2026</t>
  </si>
  <si>
    <t xml:space="preserve">TRANSPORTE COM CAMINHÃO PIPA DE 14 M³, EM VIA URBANA PAVIMENTADA, DMT ATÉ 30KM (UNIDADE: M³XKM). AF_02/2026</t>
  </si>
  <si>
    <t xml:space="preserve">TRANSPORTE COM CAMINHÃO PIPA DE 6 M³, EM VIA INTERNA (DENTRO DO CANTEIRO - UNIDADE: M3XKM). AF_02/2026</t>
  </si>
  <si>
    <t xml:space="preserve">TRANSPORTE COM CAMINHÃO PIPA DE 6 M³, EM VIA URBANA EM LEITO NATURAL (UNIDADE: M3XKM). AF_02/2026</t>
  </si>
  <si>
    <t xml:space="preserve">TRANSPORTE COM CAMINHÃO PIPA DE 6 M³, EM VIA URBANA EM REVESTIMENTO PRIMÁRIO (UNIDADE: M3XKM). AF_02/2026</t>
  </si>
  <si>
    <t xml:space="preserve">TRANSPORTE COM CAMINHÃO PIPA DE 6 M³, EM VIA URBANA PAVIMENTADA, ADICIONAL PARA DMT EXCEDENTE A 30 KM (UNIDADE: M3XKM). AF_02/2026</t>
  </si>
  <si>
    <t xml:space="preserve">TRANSPORTE COM CAMINHÃO PIPA DE 6 M³, EM VIA URBANA PAVIMENTADA, DMT ATÉ 30KM (UNIDADE: M3XKM). AF_02/2026</t>
  </si>
  <si>
    <t xml:space="preserve">TRANSPORTE COM CAMINHÃO POLIGUINDASTE SIMPLES 8 T DE 8 M³, EM VIA INTERNA (DENTRO DO CANTEIRO) (UNIDADE: M³XKM). AF_02/2026</t>
  </si>
  <si>
    <t xml:space="preserve">TRANSPORTE COM CAMINHÃO POLIGUINDASTE SIMPLES 8 T DE 8 M³, EM VIA URBANA EM LEITO NATURAL (UNIDADE: M³XKM). AF_02/2026</t>
  </si>
  <si>
    <t xml:space="preserve">TRANSPORTE COM CAMINHÃO POLIGUINDASTE SIMPLES 8 T DE 8 M³, EM VIA URBANA EM REVESTIMENTO PRIMÁRIO (UNIDADE: M³XKM). AF_02/2026</t>
  </si>
  <si>
    <t xml:space="preserve">TRANSPORTE COM CAMINHÃO POLIGUINDASTE SIMPLES 8 T DE 8 M³, EM VIA URBANA PAVIMENTADA, ADICIONAL PARA DMT EXCEDENTE A 30 KM (UNIDADE: M³XKM). AF_02/2026</t>
  </si>
  <si>
    <t xml:space="preserve">TRANSPORTE COM CAMINHÃO POLIGUINDASTE SIMPLES 8 T DE 8 M³, EM VIA URBANA PAVIMENTADA, DMT ATÉ 30KM (UNIDADE: M³XKM). AF_02/2026</t>
  </si>
  <si>
    <t xml:space="preserve">TRANSPORTE COM CAMINHÃO TANQUE DE TRANSPORTE DE MATERIAL ASFÁLTICO DE 20000 L, EM VIA URBANA EM LEITO NATURAL (UNIDADE: TXKM). AF_02/2026</t>
  </si>
  <si>
    <t xml:space="preserve">TRANSPORTE COM CAMINHÃO TANQUE DE TRANSPORTE DE MATERIAL ASFÁLTICO DE 20000 L, EM VIA URBANA EM REVESTIMENTO PRIMÁRIO (UNIDADE: TXKM). AF_02/2026</t>
  </si>
  <si>
    <t xml:space="preserve">TRANSPORTE COM CAMINHÃO TANQUE DE TRANSPORTE DE MATERIAL ASFÁLTICO DE 20000 L, EM VIA URBANA PAVIMENTADA, ADICIONAL PARA DMT EXCEDENTE A 30 KM (UNIDADE: TXKM). AF_02/2026</t>
  </si>
  <si>
    <t xml:space="preserve">TRANSPORTE COM CAMINHÃO TANQUE DE TRANSPORTE DE MATERIAL ASFÁLTICO DE 20000 L, EM VIA URBANA PAVIMENTADA, DMT ATÉ 30KM (UNIDADE: TXKM). AF_02/2026</t>
  </si>
  <si>
    <t xml:space="preserve">TRANSPORTE COM CAMINHÃO TANQUE DE TRANSPORTE DE MATERIAL ASFÁLTICO DE 30000 L, EM VIA URBANA EM LEITO NATURAL (UNIDADE: TXKM). AF_02/2026</t>
  </si>
  <si>
    <t xml:space="preserve">TRANSPORTE COM CAMINHÃO TANQUE DE TRANSPORTE DE MATERIAL ASFÁLTICO DE 30000 L, EM VIA URBANA EM REVESTIMENTO PRIMÁRIO (UNIDADE: TXKM). AF_02/2026</t>
  </si>
  <si>
    <t xml:space="preserve">TRANSPORTE COM CAMINHÃO TANQUE DE TRANSPORTE DE MATERIAL ASFÁLTICO DE 30000 L, EM VIA URBANA PAVIMENTADA, ADICIONAL PARA DMT EXCEDENTE A 30 KM (UNIDADE: TXKM). AF_02/2026</t>
  </si>
  <si>
    <t xml:space="preserve">TRANSPORTE COM CAMINHÃO TANQUE DE TRANSPORTE DE MATERIAL ASFÁLTICO DE 30000 L, EM VIA URBANA PAVIMENTADA, DMT ATÉ 30KM (UNIDADE: TXKM). AF_02/2026</t>
  </si>
  <si>
    <t xml:space="preserve">TRANSPORTE COM CAVALO MECÂNICO E SEMIRREBOQUE 30 T, EM VIA INTERNA (DENTRO DO CANTEIRO) (UNIDADE: TXKM). AF_02/2026</t>
  </si>
  <si>
    <t xml:space="preserve">TRANSPORTE COM CAVALO MECÂNICO E SEMIRREBOQUE 30 T, EM VIA URBANA EM LEITO NATURAL (UNIDADE: TXKM). AF_02/2026</t>
  </si>
  <si>
    <t xml:space="preserve">TRANSPORTE COM CAVALO MECÂNICO E SEMIRREBOQUE 30 T, EM VIA URBANA EM REVESTIMENTO PRIMÁRIO (UNIDADE: TXKM). AF_02/2026</t>
  </si>
  <si>
    <t xml:space="preserve">TRANSPORTE COM CAVALO MECÂNICO E SEMIRREBOQUE 30 T, EM VIA URBANA PAVIMENTADA, ADICIONAL PARA DMT EXCEDENTE A 30 KM (UNIDADE: TXKM). AF_02/2026</t>
  </si>
  <si>
    <t xml:space="preserve">TRANSPORTE COM CAVALO MECÂNICO E SEMIRREBOQUE 30 T, EM VIA URBANA PAVIMENTADA, DMT ATÉ 30KM (UNIDADE: TXKM). AF_02/2026</t>
  </si>
  <si>
    <t xml:space="preserve">Tratamentos Superficiais</t>
  </si>
  <si>
    <t xml:space="preserve">PAVIMENTO COM TRATAMENTO SUPERFICIAL DUPLO, COM CAP 150/200 E ROLO COMPACTADOR DE PNEUS. AF_11/2025</t>
  </si>
  <si>
    <t xml:space="preserve">PAVIMENTO COM TRATAMENTO SUPERFICIAL DUPLO, COM CAP 150/200 E ROLO COMPACTADOR TANDEM. AF_11/2025</t>
  </si>
  <si>
    <t xml:space="preserve">PAVIMENTO COM TRATAMENTO SUPERFICIAL DUPLO, COM EMULSÃO ASFÁLTICA RR-2C E ROLO COMPACTADOR DE PNEUS. AF_11/2025</t>
  </si>
  <si>
    <t xml:space="preserve">PAVIMENTO COM TRATAMENTO SUPERFICIAL DUPLO, COM EMULSÃO ASFÁLTICA RR-2C E ROLO COMPACTADOR TANDEM. AF_11/2025</t>
  </si>
  <si>
    <t xml:space="preserve">PAVIMENTO COM TRATAMENTO SUPERFICIAL DUPLO, COM EMULSÃO ASFÁLTICA RR-2C, COM BANHO DILUÍDO E ROLO COMPACTADOR DE PNEUS. AF_11/2025</t>
  </si>
  <si>
    <t xml:space="preserve">PAVIMENTO COM TRATAMENTO SUPERFICIAL DUPLO, COM EMULSÃO ASFÁLTICA RR-2C, COM BANHO DILUÍDO E ROLO COMPACTADOR TANDEM. AF_11/2025</t>
  </si>
  <si>
    <t xml:space="preserve">PAVIMENTO COM TRATAMENTO SUPERFICIAL DUPLO, COM EMULSÃO ASFÁLTICA RR-2C, COM CAPA SELANTE E ROLO COMPACTADOR DE PNEUS. AF_11/2025</t>
  </si>
  <si>
    <t xml:space="preserve">PAVIMENTO COM TRATAMENTO SUPERFICIAL DUPLO, COM EMULSÃO ASFÁLTICA RR-2C, COM CAPA SELANTE E ROLO COMPACTADOR TANDEM. AF_11/2025</t>
  </si>
  <si>
    <t xml:space="preserve">PAVIMENTO COM TRATAMENTO SUPERFICIAL SIMPLES, COM CAP 150/200 E ROLO COMPACTADOR DE PNEUS. AF_11/2025</t>
  </si>
  <si>
    <t xml:space="preserve">PAVIMENTO COM TRATAMENTO SUPERFICIAL SIMPLES, COM CAP 150/200 E ROLO COMPACTADOR TANDEM. AF_11/2025</t>
  </si>
  <si>
    <t xml:space="preserve">PAVIMENTO COM TRATAMENTO SUPERFICIAL SIMPLES, COM EMULSÃO ASFÁLTICA RR-2C E ROLO COMPACTADOR DE PNEUS. AF_11/2025</t>
  </si>
  <si>
    <t xml:space="preserve">PAVIMENTO COM TRATAMENTO SUPERFICIAL SIMPLES, COM EMULSÃO ASFÁLTICA RR-2C E ROLO COMPACTADOR TANDEM. AF_11/2025</t>
  </si>
  <si>
    <t xml:space="preserve">PAVIMENTO COM TRATAMENTO SUPERFICIAL SIMPLES, COM EMULSÃO ASFÁLTICA RR-2C, COM BANHO DILUÍDO E ROLO COMPACTADOR DE PNEUS. AF_11/2025</t>
  </si>
  <si>
    <t xml:space="preserve">PAVIMENTO COM TRATAMENTO SUPERFICIAL SIMPLES, COM EMULSÃO ASFÁLTICAA RR-2C, COM BANHO DILUÍDO E ROLO COMPACTADOR TANDEM. AF_11/2025</t>
  </si>
  <si>
    <t xml:space="preserve">PAVIMENTO COM TRATAMENTO SUPERFICIAL TRIPLO, COM CAP 150/200 E ROLO COMPACTADOR DE PNEUS. AF_11/2025</t>
  </si>
  <si>
    <t xml:space="preserve">PAVIMENTO COM TRATAMENTO SUPERFICIAL TRIPLO, COM CAP 150/200 E ROLO COMPACTADOR TANDEM. AF_11/2025</t>
  </si>
  <si>
    <t xml:space="preserve">PAVIMENTO COM TRATAMENTO SUPERFICIAL TRIPLO, COM EMULSÃO ASFÁLTICA RR-2C E ROLO COMPACTADOR DE PNEUS. AF_11/2025</t>
  </si>
  <si>
    <t xml:space="preserve">PAVIMENTO COM TRATAMENTO SUPERFICIAL TRIPLO, COM EMULSÃO ASFÁLTICA RR-2C E ROLO COMPACTADOR TANDEM. AF_11/2025</t>
  </si>
  <si>
    <t xml:space="preserve">PAVIMENTO COM TRATAMENTO SUPERFICIAL TRIPLO, COM EMULSÃO ASFÁLTICA RR-2C, COM BANHO DILUÍDO E ROLO COMPACTADOR DE PNEUS. AF_11/2025</t>
  </si>
  <si>
    <t xml:space="preserve">PAVIMENTO COM TRATAMENTO SUPERFICIAL TRIPLO, COM EMULSÃO ASFÁLTICA RR-2C, COM BANHO DILUÍDO E ROLO COMPACTADOR TANDEM. AF_11/2025</t>
  </si>
  <si>
    <t xml:space="preserve">PAVIMENTO COM TRATAMENTO SUPERFICIAL TRIPLO, COM EMULSÃO ASFÁLTICA RR-2C, COM CAPA SELANTE E ROLO COMPACTADOR DE PNEUS. AF_11/2025</t>
  </si>
  <si>
    <t xml:space="preserve">PAVIMENTO COM TRATAMENTO SUPERFICIAL TRIPLO, COM EMULSÃO ASFÁLTICA RR-2C, COM CAPA SELANTE E ROLO COMPACTADOR TANDEM. AF_11/2025</t>
  </si>
  <si>
    <t xml:space="preserve">Tubulação Flangeada para Redes de Água</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</si>
  <si>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</si>
  <si>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</si>
  <si>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</si>
  <si>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</si>
  <si>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</si>
  <si>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</si>
  <si>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</si>
  <si>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</si>
  <si>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</si>
  <si>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</si>
  <si>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</si>
  <si>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</si>
  <si>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</si>
  <si>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</si>
  <si>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</si>
  <si>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</si>
  <si>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</si>
  <si>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</si>
  <si>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</si>
  <si>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</si>
  <si>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</si>
  <si>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</si>
  <si>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</si>
  <si>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</si>
  <si>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</si>
  <si>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</si>
  <si>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</si>
  <si>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</si>
  <si>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</si>
  <si>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</si>
  <si>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</si>
  <si>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</si>
  <si>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</si>
  <si>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</si>
  <si>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</si>
  <si>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</si>
  <si>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</si>
  <si>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</si>
  <si>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</si>
  <si>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</si>
  <si>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</si>
  <si>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</si>
  <si>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</si>
  <si>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</si>
  <si>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</si>
  <si>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</si>
  <si>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</si>
  <si>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</si>
  <si>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</si>
  <si>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</si>
  <si>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</si>
  <si>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</si>
  <si>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</si>
  <si>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</si>
  <si>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</si>
  <si>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</si>
  <si>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</si>
  <si>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</si>
  <si>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</si>
  <si>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</si>
  <si>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</si>
  <si>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</si>
  <si>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</si>
  <si>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</si>
  <si>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Tubulões</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</si>
  <si>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</si>
  <si>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</si>
  <si>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</si>
  <si>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</si>
  <si>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</si>
  <si>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</si>
  <si>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</si>
  <si>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</si>
  <si>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</si>
  <si>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</si>
  <si>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</si>
  <si>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</si>
  <si>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</si>
  <si>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</si>
  <si>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</si>
  <si>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</si>
  <si>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</si>
  <si>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</si>
  <si>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Tunnel Liner</t>
  </si>
  <si>
    <t xml:space="preserve">ACOMPANHAMENTO TOPOGRAFICO PARA EXECUÇÃO DE TUNNEL LINER EM CHAPA GALVANIZADA. AF_10/2025</t>
  </si>
  <si>
    <t xml:space="preserve">CHAPA GALVANIZADA COM OU SEM REVESTIMENTO EPÓXI, DIÂMETRO 1,4 M, ESPESSURA DE 2,2 MM, PARA TUNNEL LINER HORIZONTAL - FORNECIMENTO E INSTALAÇÃO. AF_10/2025</t>
  </si>
  <si>
    <t xml:space="preserve">CHAPA GALVANIZADA COM OU SEM REVESTIMENTO EPÓXI, DIÂMETRO 1,4 M, ESPESSURA DE 2,7 MM, PARA TUNNEL LINER HORIZONTAL - FORNECIMENTO E INSTALAÇÃO. AF_10/2025</t>
  </si>
  <si>
    <t xml:space="preserve">CHAPA GALVANIZADA COM OU SEM REVESTIMENTO EPÓXI, DIÂMETRO 1,6 M, ESPESSURA DE 2,2 MM, PARA TUNNEL LINER HORIZONTAL - FORNECIMENTO E INSTALAÇÃO. AF_10/2025</t>
  </si>
  <si>
    <t xml:space="preserve">CHAPA GALVANIZADA COM OU SEM REVESTIMENTO EPÓXI, DIÂMETRO 1,6 M, ESPESSURA DE 2,7 MM, PARA TUNNEL LINER HORIZONTAL - FORNECIMENTO E INSTALAÇÃO. AF_10/2025</t>
  </si>
  <si>
    <t xml:space="preserve">CHAPA GALVANIZADA COM OU SEM REVESTIMENTO EPÓXI, DIÂMETRO 1,8 M, ESPESSURA DE 2,2 MM, PARA TUNNEL LINER HORIZONTAL - FORNECIMENTO E INSTALAÇÃO. AF_10/2025</t>
  </si>
  <si>
    <t xml:space="preserve">CHAPA GALVANIZADA COM OU SEM REVESTIMENTO EPÓXI, DIÂMETRO 1,8 M, ESPESSURA DE 2,7 MM, PARA TUNNEL LINER HORIZONTAL - FORNECIMENTO E INSTALAÇÃO. AF_10/2025</t>
  </si>
  <si>
    <t xml:space="preserve">CHAPA GALVANIZADA COM OU SEM REVESTIMENTO EPÓXI, DIÂMETRO 1,8 M, ESPESSURA DE 3,4 MM, PARA TUNNEL LINER HORIZONTAL - FORNECIMENTO E INSTALAÇÃO. AF_10/2025</t>
  </si>
  <si>
    <t xml:space="preserve">CHAPA GALVANIZADA COM OU SEM REVESTIMENTO EPÓXI, DIÂMETRO 2 M, ESPESSURA DE 2,2 MM, PARA TUNNEL LINER HORIZONTAL - FORNECIMENTO E INSTALAÇÃO. AF_10/2025</t>
  </si>
  <si>
    <t xml:space="preserve">CHAPA GALVANIZADA COM OU SEM REVESTIMENTO EPÓXI, DIÂMETRO 2 M, ESPESSURA DE 2,7 MM, PARA TUNNEL LINER HORIZONTAL - FORNECIMENTO E INSTALAÇÃO. AF_10/2025</t>
  </si>
  <si>
    <t xml:space="preserve">CHAPA GALVANIZADA COM OU SEM REVESTIMENTO EPÓXI, DIÂMETRO 2 M, ESPESSURA DE 3,4 MM, PARA TUNNEL LINER HORIZONTAL - FORNECIMENTO E INSTALAÇÃO. AF_10/2025</t>
  </si>
  <si>
    <t xml:space="preserve">CHAPA GALVANIZADA COM OU SEM REVESTIMENTO EPÓXI, DIÂMETRO 2,2 M, ESPESSURA DE 2,2 MM, PARA TUNNEL LINER HORIZONTAL - FORNECIMENTO E INSTALAÇÃO. AF_10/2025</t>
  </si>
  <si>
    <t xml:space="preserve">CHAPA GALVANIZADA COM OU SEM REVESTIMENTO EPÓXI, DIÂMETRO 2,2 M, ESPESSURA DE 2,7 MM, PARA TUNNEL LINER HORIZONTAL - FORNECIMENTO E INSTALAÇÃO. AF_10/2025</t>
  </si>
  <si>
    <t xml:space="preserve">CHAPA GALVANIZADA COM OU SEM REVESTIMENTO EPÓXI, DIÂMETRO 2,2 M, ESPESSURA DE 3,4 MM, PARA TUNNEL LINER HORIZONTAL - FORNECIMENTO E INSTALAÇÃO. AF_10/2025</t>
  </si>
  <si>
    <t xml:space="preserve">CHAPA GALVANIZADA COM OU SEM REVESTIMENTO EPÓXI, DIÂMETRO 2,4 M, ESPESSURA DE 2,2 MM, PARA TUNNEL LINER HORIZONTAL - FORNECIMENTO E INSTALAÇÃO. AF_10/2025</t>
  </si>
  <si>
    <t xml:space="preserve">CHAPA GALVANIZADA COM OU SEM REVESTIMENTO EPÓXI, DIÂMETRO 2,4 M, ESPESSURA DE 2,7 MM, PARA TUNNEL LINER HORIZONTAL - FORNECIMENTO E INSTALAÇÃO. AF_10/2025</t>
  </si>
  <si>
    <t xml:space="preserve">CHAPA GALVANIZADA COM OU SEM REVESTIMENTO EPÓXI, DIÂMETRO 2,4 M, ESPESSURA DE 3,4 MM, PARA TUNNEL LINER HORIZONTAL - FORNECIMENTO E INSTALAÇÃO. AF_10/2025</t>
  </si>
  <si>
    <t xml:space="preserve">CHAPA GALVANIZADA COM OU SEM REVESTIMENTO EPÓXI, DIÂMETRO 2,4 M, ESPESSURA DE 3,9 MM, PARA TUNNEL LINER HORIZONTAL - FORNECIMENTO E INSTALAÇÃO. AF_10/2025</t>
  </si>
  <si>
    <t xml:space="preserve">CHAPA GALVANIZADA COM OU SEM REVESTIMENTO EPÓXI, DIÂMETRO 2,6 M, ESPESSURA DE 2,2 MM, PARA TUNNEL LINER HORIZONTAL - FORNECIMENTO E INSTALAÇÃO. AF_10/2025</t>
  </si>
  <si>
    <t xml:space="preserve">CHAPA GALVANIZADA COM OU SEM REVESTIMENTO EPÓXI, DIÂMETRO 2,6 M, ESPESSURA DE 2,7 MM, PARA TUNNEL LINER HORIZONTAL - FORNECIMENTO E INSTALAÇÃO. AF_10/2025</t>
  </si>
  <si>
    <t xml:space="preserve">CHAPA GALVANIZADA COM OU SEM REVESTIMENTO EPÓXI, DIÂMETRO 2,6 M, ESPESSURA DE 3,4 MM, PARA TUNNEL LINER HORIZONTAL - FORNECIMENTO E INSTALAÇÃO. AF_10/2025</t>
  </si>
  <si>
    <t xml:space="preserve">CHAPA GALVANIZADA COM OU SEM REVESTIMENTO EPÓXI, DIÂMETRO 2,6 M, ESPESSURA DE 3,9 MM, PARA TUNNEL LINER HORIZONTAL - FORNECIMENTO E INSTALAÇÃO. AF_10/2025</t>
  </si>
  <si>
    <t xml:space="preserve">CHAPA GALVANIZADA COM OU SEM REVESTIMENTO EPÓXI, DIÂMETRO 2,8 M, ESPESSURA DE 2,2 MM, PARA TUNNEL LINER HORIZONTAL - FORNECIMENTO E INSTALAÇÃO. AF_10/2025</t>
  </si>
  <si>
    <t xml:space="preserve">CHAPA GALVANIZADA COM OU SEM REVESTIMENTO EPÓXI, DIÂMETRO 2,8 M, ESPESSURA DE 2,7 MM, PARA TUNNEL LINER HORIZONTAL - FORNECIMENTO E INSTALAÇÃO. AF_10/2025</t>
  </si>
  <si>
    <t xml:space="preserve">CHAPA GALVANIZADA COM OU SEM REVESTIMENTO EPÓXI, DIÂMETRO 2,8 M, ESPESSURA DE 3,4 MM, PARA TUNNEL LINER HORIZONTAL - FORNECIMENTO E INSTALAÇÃO. AF_10/2025</t>
  </si>
  <si>
    <t xml:space="preserve">CHAPA GALVANIZADA COM OU SEM REVESTIMENTO EPÓXI, DIÂMETRO 2,8 M, ESPESSURA DE 3,9 MM, PARA TUNNEL LINER HORIZONTAL - FORNECIMENTO E INSTALAÇÃO. AF_10/2025</t>
  </si>
  <si>
    <t xml:space="preserve">CHAPA GALVANIZADA COM OU SEM REVESTIMENTO EPÓXI, DIÂMETRO 3 M, ESPESSURA DE 2,2 MM, PARA TUNNEL LINER HORIZONTAL - FORNECIMENTO E INSTALAÇÃO. AF_10/2025</t>
  </si>
  <si>
    <t xml:space="preserve">CHAPA GALVANIZADA COM OU SEM REVESTIMENTO EPÓXI, DIÂMETRO 3 M, ESPESSURA DE 2,7 MM, PARA TUNNEL LINER HORIZONTAL OU VERTICAL - FORNECIMENTO E INSTALAÇÃO. AF_10/2025</t>
  </si>
  <si>
    <t xml:space="preserve">CHAPA GALVANIZADA COM OU SEM REVESTIMENTO EPÓXI, DIÂMETRO 3 M, ESPESSURA DE 3,4 MM, PARA TUNNEL LINER HORIZONTAL - FORNECIMENTO E INSTALAÇÃO. AF_10/2025</t>
  </si>
  <si>
    <t xml:space="preserve">CHAPA GALVANIZADA COM OU SEM REVESTIMENTO EPÓXI, DIÂMETRO 3 M, ESPESSURA DE 3,9 MM, PARA TUNNEL LINER HORIZONTAL - FORNECIMENTO E INSTALAÇÃO. AF_10/2025</t>
  </si>
  <si>
    <t xml:space="preserve">CHAPA GALVANIZADA COM OU SEM REVESTIMENTO EPÓXI, DIÂMETRO 3,2 M, ESPESSURA DE 2,7 MM, PARA TUNNEL LINER VERTICAL - FORNECIMENTO E INSTALAÇÃO. AF_10/2025</t>
  </si>
  <si>
    <t xml:space="preserve">CHAPA GALVANIZADA COM OU SEM REVESTIMENTO EPÓXI, DIÂMETRO 3,4 M, ESPESSURA DE 2,7 MM, PARA TUNNEL LINER VERTICAL - FORNECIMENTO E INSTALAÇÃO. AF_10/2025</t>
  </si>
  <si>
    <t xml:space="preserve">CHAPA GALVANIZADA COM OU SEM REVESTIMENTO EPÓXI, DIÂMETRO 3,6 M, ESPESSURA DE 2,7 MM, PARA TUNNEL LINER VERTICAL - FORNECIMENTO E INSTALAÇÃO. AF_10/2025</t>
  </si>
  <si>
    <t xml:space="preserve">CHAPA GALVANIZADA COM OU SEM REVESTIMENTO EPÓXI, DIÂMETRO 3,8 M, ESPESSURA DE 2,7 MM, PARA TUNNEL LINER VERTICAL - FORNECIMENTO E INSTALAÇÃO. AF_10/2025</t>
  </si>
  <si>
    <t xml:space="preserve">ESCAVAÇÃO MANUAL DE TUNNEL LINER EM SOLO DE PRIMEIRA CATEGORIA. AF_10/2025</t>
  </si>
  <si>
    <t xml:space="preserve">ESCAVAÇÃO MANUAL DE TUNNEL LINER EM SOLO DE SEGUNDA CATEGORIA. AF_10/2025</t>
  </si>
  <si>
    <t xml:space="preserve">INJEÇÃO DE ARGAMASSA FLUIDA SOLO CIMENTO NA EXECUÇÃO DE TUNNEL LINER - EXCLUSIVE ARGAMASSA. AF_10/2025</t>
  </si>
  <si>
    <t xml:space="preserve">VEDAÇÃO COM ESPUMA DURA OU PRODUTO SIMILAR NAS JUNTAS OU EMENDAS DAS CHAPAS DE TUNNEL LINER. AF_10/2025</t>
  </si>
  <si>
    <t>Usinagens</t>
  </si>
  <si>
    <t xml:space="preserve">USINAGEM DE BRITA GRADUADA SIMPLES. AF_09/2025</t>
  </si>
  <si>
    <t xml:space="preserve">USINAGEM DE BRITA GRADUADA TRATADA COM CIMENTO. AF_09/2025</t>
  </si>
  <si>
    <t xml:space="preserve">USINAGEM DE CONCRETO ASFÁLTICO COM CAP 50/70 PARA CAMADA DE ROLAMENTO, PADRÃO DNIT FAIXA C, EM USINA DE ASFALTO GRAVIMÉTRICA DE 150 TON/H. AF_09/2025</t>
  </si>
  <si>
    <t xml:space="preserve">USINAGEM DE CONCRETO ASFÁLTICO COM CAP 50/70, PARA CAMADA DE BINDER, PADRÃO DNIT FAIXA B, EM USINA DE ASFALTO CONTÍNUA DE 140 TON/H. AF_09/2025</t>
  </si>
  <si>
    <t xml:space="preserve">USINAGEM DE CONCRETO ASFÁLTICO COM CAP 50/70, PARA CAMADA DE BINDER, PADRÃO DNIT FAIXA B, EM USINA DE ASFALTO CONTÍNUA DE 80 TON/H. AF_09/2025</t>
  </si>
  <si>
    <t xml:space="preserve">USINAGEM DE CONCRETO ASFÁLTICO COM CAP 50/70, PARA CAMADA DE BINDER, PADRÃO DNIT FAIXA B, EM USINA DE ASFALTO GRAVIMÉTRICA DE 150 TON/H. AF_09/2025</t>
  </si>
  <si>
    <t xml:space="preserve">USINAGEM DE CONCRETO ASFÁLTICO COM CAP 50/70, PARA CAMADA DE ROLAMENTO, PADRÃO DNIT FAIXA C, EM USINA DE ASFALTO CONTÍNUA DE 140 TON/H. AF_09/2025</t>
  </si>
  <si>
    <t xml:space="preserve">USINAGEM DE CONCRETO ASFÁLTICO COM CAP 50/70, PARA CAMADA DE ROLAMENTO, PADRÃO DNIT FAIXA C, EM USINA DE ASFALTO CONTÍNUA DE 80 TON/H. AF_09/2025</t>
  </si>
  <si>
    <t xml:space="preserve">USINAGEM DE CONCRETO PARA COMPACTAÇÃO COM ROLO. AF_09/2025</t>
  </si>
  <si>
    <t xml:space="preserve">USINAGEM DE MICRORREVESTIMENTO, PADRÃO DNIT FAIXA 2. AF_09/2025</t>
  </si>
  <si>
    <t xml:space="preserve">USINAGEM DE MICRORREVESTIMENTO, PADRÃO DNIT FAIXA 3. AF_09/2025</t>
  </si>
  <si>
    <t xml:space="preserve">USINAGEM DE PRÉ MISTURADO A FRIO, PARA CAMADA DE BINDER, PADRÃO DNIT FAIXA B. AF_09/2025</t>
  </si>
  <si>
    <t xml:space="preserve">USINAGEM DE PRÉ MISTURADO A FRIO, PARA CAMADA DE ROLAMENTO, PADRÃO DNIT FAIXA C. AF_09/2025</t>
  </si>
  <si>
    <t xml:space="preserve">USINAGEM DE SOLO BRITA 40%-60% COM 4% DE CIMENTO, UTILIZANDO BRITA COMERCIAL. AF_09/2025</t>
  </si>
  <si>
    <t xml:space="preserve">USINAGEM DE SOLO BRITA 40%-60% COM 6% DE CIMENTO, UTILIZANDO BRITA COMERCIAL. AF_09/2025</t>
  </si>
  <si>
    <t xml:space="preserve">USINAGEM DE SOLO BRITA 40%-60% COM 8% DE CIMENTO, UTILIZANDO BRITA COMERCIAL. AF_09/2025</t>
  </si>
  <si>
    <t xml:space="preserve">USINAGEM DE SOLO BRITA 40%-60%, UTILIZANDO BRITA COMERCIAL. AF_09/2025</t>
  </si>
  <si>
    <t xml:space="preserve">USINAGEM DE SOLO BRITA 50%-50% COM 4% DE CIMENTO, UTILIZANDO BRITA COMERCIAL. AF_09/2025</t>
  </si>
  <si>
    <t xml:space="preserve">USINAGEM DE SOLO BRITA 50%-50% COM 6% DE CIMENTO, UTILIZANDO BRITA COMERCIAL. AF_09/2025</t>
  </si>
  <si>
    <t xml:space="preserve">USINAGEM DE SOLO BRITA 50%-50% COM 8% DE CIMENTO, UTILIZANDO BRITA COMERCIAL. AF_09/2025</t>
  </si>
  <si>
    <t xml:space="preserve">USINAGEM DE SOLO BRITA 50%-50%, UTILIZANDO BRITA COMERCIAL. AF_09/2025</t>
  </si>
  <si>
    <t xml:space="preserve">USINAGEM DE SOLO JAZIDA MELHORADO COM CIMENTO 2%. AF_09/2025</t>
  </si>
  <si>
    <t xml:space="preserve">USINAGEM DE SOLO JAZIDA MELHORADO COM CIMENTO 3%. AF_09/2025</t>
  </si>
  <si>
    <t xml:space="preserve">USINAGEM DE SOLO JAZIDA MELHORADO COM CIMENTO 4%. AF_09/2025</t>
  </si>
  <si>
    <t xml:space="preserve">USINAGEM DE SOLO JAZIDA MELHORADO COM CIMENTO 6%. AF_09/2025</t>
  </si>
  <si>
    <t xml:space="preserve">USINAGEM DE SOLO  JAZIDA MELHORADO COM CIMENTO 8%. AF_09/2025</t>
  </si>
  <si>
    <t xml:space="preserve">Vergas, contravergas e fixação de alvenaria</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</si>
  <si>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</si>
  <si>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</si>
  <si>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</si>
  <si>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</si>
  <si>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</si>
  <si>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</si>
  <si>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</si>
  <si>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</si>
  <si>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</si>
  <si>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</si>
  <si>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</si>
  <si>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</si>
  <si>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</si>
  <si>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</si>
  <si>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</si>
  <si>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</si>
  <si>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</si>
  <si>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</si>
  <si>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</si>
  <si>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</si>
  <si>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</si>
  <si>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</si>
  <si>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</si>
  <si>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</si>
  <si>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</si>
  <si>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</si>
  <si>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</si>
  <si>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</si>
  <si>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</si>
  <si>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</si>
  <si>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Vidros e Espelhos</t>
  </si>
  <si>
    <t xml:space="preserve">BOX EM L DE CORRER, COM VIDRO TEMPERADO 8 MM, 90X90X190 CM, 2 FOLHAS FIXAS, 2 FOLHAS MÓVEIS, PERFIS E FERRAGENS EM ALUMÍNIO. AF_11/2025</t>
  </si>
  <si>
    <t xml:space="preserve">BOX FRONTAL DE CORRER, COM VIDRO TEMPERADO 8 MM, 190X100CM, 1 FOLHA FIXA, 1 FOLHA MÓVEL, PERFIS E FERRAGENS EM ALUMÍNIO. AF_11/2025</t>
  </si>
  <si>
    <t xml:space="preserve">ESPELHO CRISTAL, ESPESSURA 4 MM, ADERIDO COM ADESIVO FIXA ESPELHO E FITA DUPLA-FACE, COM MOLDURA DE MADEIRA APARAFUSADA NA PAREDE, COM ÁREA MAIOR QUE 1,0 M2. AF_11/2025</t>
  </si>
  <si>
    <t xml:space="preserve">ESPELHO CRISTAL, ESPESSURA 4 MM, ADERIDO COM ADESIVO FIXA ESPELHO FITA DUPLA-FACE, COM MOLDURA DE MADEIRA APARAFUSADA NA PAREDE, COM ÁREA MENOR OU IGUAL A 1,0 M2. AF_11/2025</t>
  </si>
  <si>
    <t xml:space="preserve">ESPELHO CRISTAL, ESPESSURA 4 MM, ADERIDO COM ADESIVO FIXA ESPELHO, COM MOLDURA DE MADEIRA APARAFUSADA NA PAREDE, COM ÁREA MAIOR QUE 1,0 M2. AF_11/2025</t>
  </si>
  <si>
    <t xml:space="preserve">ESPELHO CRISTAL, ESPESSURA 4 MM, ADERIDO COM ADESIVO FIXA ESPELHO, COM MOLDURA DE MADEIRA APARAFUSADA NA PAREDE, COM ÁREA MENOR OU IGUAL A 1,0 M2. AF_11/2025</t>
  </si>
  <si>
    <t xml:space="preserve">ESPELHO CRISTAL, ESPESSURA 4 MM, SEM MOLDURA, ADERIDO COM ADESIVO FIXA ESPELHO E FITA DUPLA-FACE. AF_11/2025</t>
  </si>
  <si>
    <t xml:space="preserve">ESPELHO CRISTAL, ESPESSURA 4 MM, SEM MOLDURA, ADERIDO COM ADESIVO FIXA ESPELHO. AF_11/2025</t>
  </si>
  <si>
    <t xml:space="preserve">ESPELHO CRISTAL, ESPESSURA 4 MM, SEM MOLDURA, APARAFUSADO COM BOTÃO DE ROSCA INTERNA, COM ÁREA MAIOR QUE 1,0 M2.. AF_11/2025</t>
  </si>
  <si>
    <t xml:space="preserve">INSTALAÇÃO DE VIDRO ARAMADO, E = 6 MM, EM ESQUADRIA DE ALUMÍNIO OU PVC, FIXADO COM BAGUETE. AF_11/2025</t>
  </si>
  <si>
    <t xml:space="preserve">INSTALAÇÃO DE VIDRO ARAMADO, E = 7 MM, EM ESQUADRIA DE ALUMÍNIO OU PVC, FIXADO COM BAGUETE. AF_11/2025</t>
  </si>
  <si>
    <t xml:space="preserve">INSTALAÇÃO DE VIDRO IMPRESSO, E = 4 MM, EM ESQUADRIA DE ALUMÍNIO OU PVC, FIXADO COM BAGUETE. AF_11/2025</t>
  </si>
  <si>
    <t xml:space="preserve">INSTALAÇÃO DE VIDRO IMPRESSO, E = 4 MM, EM ESQUADRIA DE MADEIRA, FIXADO COM BAGUETE. AF_11/2025</t>
  </si>
  <si>
    <t xml:space="preserve">INSTALAÇÃO DE VIDRO LAMINADO, E = 12 MM (4+4+4), ENCAIXADO EM PERFIL U. AF_11/2025</t>
  </si>
  <si>
    <t xml:space="preserve">INSTALAÇÃO DE VIDRO LAMINADO, E = 12 MM (4+4+4), FIXADO COM SILICONE ESTRUTURAL. AF_11/2025</t>
  </si>
  <si>
    <t xml:space="preserve">INSTALAÇÃO DE VIDRO LAMINADO, E = 15 MM (5+5+5), ENCAIXADO EM PERFIL U. AF_11/2025</t>
  </si>
  <si>
    <t xml:space="preserve">INSTALAÇÃO DE VIDRO LAMINADO, E = 15 MM (5+5+5), FIXADO COM SILICONE ESTRUTURAL. AF_11/2025</t>
  </si>
  <si>
    <t xml:space="preserve">INSTALAÇÃO DE VIDRO LAMINADO, E = 8 MM (4+4), ENCAIXADO EM PERFIL U. AF_11/2025</t>
  </si>
  <si>
    <t xml:space="preserve">INSTALAÇÃO DE VIDRO LAMINADO, E = 8 MM (4+4), FIXADO COM SILICONE ESTRUTURAL. AF_11/2025</t>
  </si>
  <si>
    <t xml:space="preserve">INSTALAÇÃO DE VIDRO LISO FUMÊ, E = 4 MM, EM ESQUADRIA DE ALUMÍNIO OU PVC, FIXADO COM BAGUETE. AF_11/2025</t>
  </si>
  <si>
    <t xml:space="preserve">INSTALAÇÃO DE VIDRO LISO FUMÊ, E = 4 MM, EM ESQUADRIA DE MADEIRA, FIXADO COM BAGUETE. AF_11/2025</t>
  </si>
  <si>
    <t xml:space="preserve">INSTALAÇÃO DE VIDRO LISO FUMÊ, E = 5 MM, EM ESQUADRIA DE ALUMÍNIO OU PVC, FIXADO COM BAGUETE. AF_11/2025</t>
  </si>
  <si>
    <t xml:space="preserve">INSTALAÇÃO DE VIDRO LISO FUMÊ, E = 5 MM, EM ESQUADRIA DE MADEIRA, FIXADO COM BAGUETE. AF_11/2025</t>
  </si>
  <si>
    <t xml:space="preserve">INSTALAÇÃO DE VIDRO LISO FUMÊ, E = 6 MM, EM ESQUADRIA DE ALUMÍNIO OU PVC, FIXADO COM BAGUETE. AF_11/2025</t>
  </si>
  <si>
    <t xml:space="preserve">INSTALAÇÃO DE VIDRO LISO FUMÊ, E = 6 MM, EM ESQUADRIA DE MADEIRA, FIXADO COM BAGUETE. AF_11/2025</t>
  </si>
  <si>
    <t xml:space="preserve">INSTALAÇÃO DE VIDRO LISO INCOLOR, E = 10 MM, EM ESQUADRIA DE ALUMÍNIO OU PVC, FIXADO COM BAGUETE. AF_11/2025</t>
  </si>
  <si>
    <t xml:space="preserve">INSTALAÇÃO DE VIDRO LISO INCOLOR, E = 10 MM, EM ESQUADRIA DE MADEIRA, FIXADO COM BAGUETE. AF_11/2025</t>
  </si>
  <si>
    <t xml:space="preserve">INSTALAÇÃO DE VIDRO LISO INCOLOR, E = 3 MM, EM ESQUADRIA DE ALUMÍNIO OU PVC, FIXADO COM BAGUETE. AF_11/2025</t>
  </si>
  <si>
    <t xml:space="preserve">INSTALAÇÃO DE VIDRO LISO INCOLOR, E = 3 MM, EM ESQUADRIA DE MADEIRA, FIXADO COM BAGUETE. AF_11/2025</t>
  </si>
  <si>
    <t xml:space="preserve">INSTALAÇÃO DE VIDRO LISO INCOLOR, E = 4 MM, EM ESQUADRIA DE ALUMÍNIO OU PVC, FIXADO COM BAGUETE. AF_11/2025</t>
  </si>
  <si>
    <t xml:space="preserve">INSTALAÇÃO DE VIDRO LISO INCOLOR, E = 4 MM, EM ESQUADRIA DE MADEIRA, FIXADO COM BAGUETE. AF_11/2025</t>
  </si>
  <si>
    <t xml:space="preserve">INSTALAÇÃO DE VIDRO LISO INCOLOR, E = 5 MM, EM ESQUADRIA DE ALUMÍNIO OU PVC, FIXADO COM BAGUETE. AF_11/2025</t>
  </si>
  <si>
    <t xml:space="preserve">INSTALAÇÃO DE VIDRO LISO INCOLOR, E = 5 MM, EM ESQUADRIA DE MADEIRA, FIXADO COM BAGUETE. AF_11/2025</t>
  </si>
  <si>
    <t xml:space="preserve">INSTALAÇÃO DE VIDRO LISO INCOLOR, E = 6 MM, EM ESQUADRIA DE ALUMÍNIO OU PVC, FIXADO COM BAGUETE. AF_11/2025</t>
  </si>
  <si>
    <t xml:space="preserve">INSTALAÇÃO DE VIDRO LISO INCOLOR, E = 6 MM, EM ESQUADRIA DE MADEIRA, FIXADO COM BAGUETE. AF_11/2025</t>
  </si>
  <si>
    <t xml:space="preserve">INSTALAÇÃO DE VIDRO LISO INCOLOR, E = 8 MM, EM ESQUADRIA DE ALUMÍNIO OU PVC, FIXADO COM BAGUETE. AF_11/2025</t>
  </si>
  <si>
    <t xml:space="preserve">INSTALAÇÃO DE VIDRO LISO INCOLOR, E = 8 MM, EM ESQUADRIA DE MADEIRA, FIXADO COM BAGUETE. AF_11/2025</t>
  </si>
  <si>
    <t xml:space="preserve">INSTALAÇÃO DE VIDRO TEMPERADO, E = 10 MM, ENCAIXADO EM PERFIL U. AF_11/2025</t>
  </si>
  <si>
    <t xml:space="preserve">INSTALAÇÃO DE VIDRO TEMPERADO, E = 6 MM, ENCAIXADO EM PERFIL U. AF_11/2025</t>
  </si>
  <si>
    <t xml:space="preserve">INSTALAÇÃO DE VIDRO TEMPERADO, E = 8 MM, ENCAIXADO EM PERFIL U. AF_11/2025</t>
  </si>
  <si>
    <t xml:space="preserve">JOGO DE FERRAGENS CROMADAS PARA PORTA DE VIDRO TEMPERADO, UMA FOLHA COMPOSTO DE DOBRADICAS SUPERIOR E INFERIOR, TRINCO, FECHADURA, CONTRA FECHADURA COM CAPUCHINHO SEM MOLA E PUXADOR. AF_11/2025</t>
  </si>
  <si>
    <t xml:space="preserve">MOLA HIDRAULICA DE PISO PARA PORTA DE VIDRO TEMPERADO. AF_11/2025</t>
  </si>
  <si>
    <t xml:space="preserve">PORTA DE ABRIR COM MOLA HIDRÁULICA, EM VIDRO TEMPERADO, 120X210 CM, ESPESSURA 10 MM, INCLUSIVE ACESSÓRIOS. AF_11/2025</t>
  </si>
  <si>
    <t xml:space="preserve">PORTA DE ABRIR COM MOLA HIDRÁULICA, EM VIDRO TEMPERADO, 2 FOLHAS DE 90X210 CM, ESPESSURA DE 10 MM, INCLUSIVE ACESSÓRIOS. AF_11/2025</t>
  </si>
  <si>
    <t xml:space="preserve">PORTA DE ABRIR COM MOLA HIDRÁULICA, EM VIDRO TEMPERADO, 70X210 CM, ESPESSURA 10 MM, INCLUSIVE ACESSÓRIOS. AF_11/2025</t>
  </si>
  <si>
    <t xml:space="preserve">PORTA DE ABRIR COM MOLA HIDRÁULICA, EM VIDRO TEMPERADO, 80X210 CM, ESPESSURA 10 MM, INCLUSIVE ACESSÓRIOS. AF_11/2025</t>
  </si>
  <si>
    <t xml:space="preserve">PORTA DE ABRIR COM MOLA HIDRÁULICA, EM VIDRO TEMPERADO, 90X210 CM, ESPESSURA 10 MM, INCLUSIVE ACESSÓRIOS. AF_11/2025</t>
  </si>
  <si>
    <t xml:space="preserve">PORTA DE CORRER EM VIDRO TEMPERADO, 2 FOLHAS DE 90X210 CM, ESPESSURA 10 MM, INCLUSIVE ACESSÓRIOS. AF_11/2025</t>
  </si>
  <si>
    <t xml:space="preserve">PORTA DE CORRER EM VIDRO TEMPERADO, 90X210 CM, ESPESSURA 10 MM, INCLUSIVE ACESSÓRIOS. AF_11/2025</t>
  </si>
  <si>
    <t xml:space="preserve">PORTA PIVOTANTE DE VIDRO TEMPERADO, 2 FOLHAS DE 90X210 CM, ESPESSURA DE 10 MM, INCLUSIVE ACESSÓRIOS. AF_11/2025</t>
  </si>
  <si>
    <t xml:space="preserve">PORTA PIVOTANTE DE VIDRO TEMPERADO, 90X210 CM, ESPESSURA 10 MM, INCLUSIVE ACESSÓRIOS. AF_11/2025</t>
  </si>
  <si>
    <t xml:space="preserve">REMOÇÃO DE VIDRO LISO COMUM DE ESQUADRIA COM BAGUETE DE ALUMÍNIO OU PVC. AF_11/2025</t>
  </si>
  <si>
    <t xml:space="preserve">REMOÇÃO DE VIDRO LISO COMUM DE ESQUADRIA COM BAGUETE DE MADEIRA. AF_11/2025</t>
  </si>
  <si>
    <t xml:space="preserve">REMOÇÃO DE VIDRO TEMPERADO FIXADO EM PERFIL U. AF_11/2025</t>
  </si>
  <si>
    <t xml:space="preserve">Válvulas e Registros para Sistemas Prediais</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</si>
  <si>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</si>
  <si>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</si>
  <si>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</si>
  <si>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</si>
  <si>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</si>
  <si>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</si>
  <si>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</si>
  <si>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</si>
  <si>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</si>
  <si>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</si>
  <si>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</si>
  <si>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</si>
  <si>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</si>
  <si>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</si>
  <si>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</si>
  <si>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</si>
  <si>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</si>
  <si>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</si>
  <si>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</si>
  <si>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</si>
  <si>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</si>
  <si>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</si>
  <si>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</si>
  <si>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</si>
  <si>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</si>
  <si>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</si>
  <si>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</si>
  <si>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</si>
  <si>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</si>
  <si>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</si>
  <si>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</si>
  <si>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</si>
  <si>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</si>
  <si>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</si>
  <si>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BRUTO, LATÃO, ROSCÁVEL,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</si>
  <si>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</si>
  <si>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</si>
  <si>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</si>
  <si>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</si>
  <si>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</si>
  <si>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</si>
  <si>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</si>
  <si>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</si>
  <si>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</si>
  <si>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</si>
  <si>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</si>
  <si>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</si>
  <si>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</si>
  <si>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</si>
  <si>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</si>
  <si>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</si>
  <si>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</si>
  <si>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</si>
  <si>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</si>
  <si>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</si>
  <si>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</si>
  <si>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</si>
  <si>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</si>
  <si>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</si>
  <si>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</si>
  <si>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</si>
  <si>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</si>
  <si>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</si>
  <si>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</si>
  <si>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</si>
  <si>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</si>
  <si>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</si>
  <si>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</si>
  <si>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</si>
  <si>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</si>
  <si>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</si>
  <si>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</si>
  <si>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</si>
  <si>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</si>
  <si>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</si>
  <si>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</si>
  <si>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</si>
  <si>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</si>
  <si>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</si>
  <si>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</si>
  <si>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</si>
  <si>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</si>
  <si>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</si>
  <si>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</si>
  <si>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</si>
  <si>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</si>
  <si>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</si>
  <si>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</si>
  <si>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</si>
  <si>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</si>
  <si>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</si>
  <si>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</si>
  <si>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</si>
  <si>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</si>
  <si>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</si>
  <si>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</si>
  <si>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</si>
  <si>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</si>
  <si>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</si>
  <si>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Válvulas para Redes de Saneamento</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</si>
  <si>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</si>
  <si>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</si>
  <si>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</si>
  <si>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</si>
  <si>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</si>
  <si>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</si>
  <si>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</si>
  <si>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</si>
  <si>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</si>
  <si>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</si>
  <si>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</si>
  <si>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</si>
  <si>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</si>
  <si>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</si>
  <si>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</si>
  <si>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</si>
  <si>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</si>
  <si>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</si>
  <si>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</si>
  <si>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</si>
  <si>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</si>
  <si>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</si>
  <si>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</si>
  <si>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</si>
  <si>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</si>
  <si>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</si>
  <si>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</si>
  <si>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</si>
  <si>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</si>
  <si>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</si>
  <si>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</si>
  <si>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</si>
  <si>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</si>
  <si>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</si>
  <si>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</si>
  <si>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</si>
  <si>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</si>
  <si>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</si>
  <si>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</si>
  <si>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</si>
  <si>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</si>
  <si>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</si>
  <si>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</si>
  <si>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</si>
  <si>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</si>
  <si>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</si>
  <si>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</si>
  <si>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</si>
  <si>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</si>
  <si>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</si>
  <si>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</si>
  <si>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</si>
  <si>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</si>
  <si>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</si>
  <si>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</si>
  <si>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</si>
  <si>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</si>
  <si>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</si>
  <si>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</si>
  <si>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</si>
  <si>
    <t xml:space="preserve">RELATÓRIO DE PREÇOS DE INSUMOS - </t>
  </si>
  <si>
    <t xml:space="preserve">ENC. SOCIAL SEM DESONERACAO</t>
  </si>
  <si>
    <t xml:space="preserve">ENC. SOCIAL COM DESONERACAO</t>
  </si>
  <si>
    <t xml:space="preserve">SEM ENCARGOS</t>
  </si>
  <si>
    <t xml:space="preserve">Origem de preço:</t>
  </si>
  <si>
    <t xml:space="preserve">C = COLETADO</t>
  </si>
  <si>
    <t xml:space="preserve">CR = COEFICIENTE DE REPRESENTATIVIDADE</t>
  </si>
  <si>
    <t xml:space="preserve">Acessar Fichas de Especificação Técnico dos Insumos</t>
  </si>
  <si>
    <t xml:space="preserve">Preços Medianos (R$):</t>
  </si>
  <si>
    <t>Classificação</t>
  </si>
  <si>
    <t xml:space="preserve">Código do
Insumo</t>
  </si>
  <si>
    <t xml:space="preserve">Descrição do Insumo</t>
  </si>
  <si>
    <t xml:space="preserve">Origem de
Preço</t>
  </si>
  <si>
    <t>SERVIÇOS</t>
  </si>
  <si>
    <t xml:space="preserve">ABERTURA PARA ENCAIXE DE CUBA OU LAVATORIO EM BANCADA DE MARMORE/ GRANITO OU OUTRO TIPO DE PEDRA NATURAL</t>
  </si>
  <si>
    <t>CR</t>
  </si>
  <si>
    <t>MATERIAL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</si>
  <si>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</si>
  <si>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</si>
  <si>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</si>
  <si>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</si>
  <si>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</si>
  <si>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C</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</si>
  <si>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</si>
  <si>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</si>
  <si>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</si>
  <si>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</si>
  <si>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</si>
  <si>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</si>
  <si>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</si>
  <si>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</si>
  <si>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</si>
  <si>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</si>
  <si>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</si>
  <si>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</si>
  <si>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</si>
  <si>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</si>
  <si>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</si>
  <si>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</si>
  <si>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</si>
  <si>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</si>
  <si>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</si>
  <si>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</si>
  <si>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</si>
  <si>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</si>
  <si>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</si>
  <si>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</si>
  <si>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</si>
  <si>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</si>
  <si>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</si>
  <si>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</si>
  <si>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</si>
  <si>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</si>
  <si>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</si>
  <si>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</si>
  <si>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</si>
  <si>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</si>
  <si>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</si>
  <si>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</si>
  <si>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</si>
  <si>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</si>
  <si>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</si>
  <si>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</si>
  <si>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</si>
  <si>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</si>
  <si>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</si>
  <si>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</si>
  <si>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</si>
  <si>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</si>
  <si>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</si>
  <si>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</si>
  <si>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</si>
  <si>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</si>
  <si>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</si>
  <si>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</si>
  <si>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</si>
  <si>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</si>
  <si>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</si>
  <si>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</si>
  <si>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</si>
  <si>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</si>
  <si>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</si>
  <si>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</si>
  <si>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</si>
  <si>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</si>
  <si>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</si>
  <si>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</si>
  <si>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</si>
  <si>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</si>
  <si>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</si>
  <si>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</si>
  <si>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</si>
  <si>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</si>
  <si>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</si>
  <si>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</si>
  <si>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</si>
  <si>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</si>
  <si>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</si>
  <si>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</si>
  <si>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</si>
  <si>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</si>
  <si>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</si>
  <si>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</si>
  <si>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</si>
  <si>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</si>
  <si>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</si>
  <si>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</si>
  <si>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</si>
  <si>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</si>
  <si>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</si>
  <si>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</si>
  <si>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</si>
  <si>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</si>
  <si>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</si>
  <si>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</si>
  <si>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</si>
  <si>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</si>
  <si>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</si>
  <si>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</si>
  <si>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</si>
  <si>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</si>
  <si>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</si>
  <si>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</si>
  <si>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</si>
  <si>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</si>
  <si>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</si>
  <si>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</si>
  <si>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</si>
  <si>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</si>
  <si>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</si>
  <si>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</si>
  <si>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</si>
  <si>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</si>
  <si>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</si>
  <si>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</si>
  <si>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</si>
  <si>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</si>
  <si>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</si>
  <si>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</si>
  <si>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</si>
  <si>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</si>
  <si>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</si>
  <si>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</si>
  <si>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</si>
  <si>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</si>
  <si>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</si>
  <si>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</si>
  <si>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</si>
  <si>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</si>
  <si>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</si>
  <si>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</si>
  <si>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</si>
  <si>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</si>
  <si>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</si>
  <si>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</si>
  <si>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</si>
  <si>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</si>
  <si>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</si>
  <si>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</si>
  <si>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</si>
  <si>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MAO DE OBRA</t>
  </si>
  <si>
    <t xml:space="preserve">AJUDANTE DE ARMADOR (HORISTA)</t>
  </si>
  <si>
    <t xml:space="preserve">AJUDANTE DE ARMADOR (MENSALISTA)</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</si>
  <si>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</si>
  <si>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</si>
  <si>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</si>
  <si>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</si>
  <si>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</si>
  <si>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</si>
  <si>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</si>
  <si>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</si>
  <si>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</si>
  <si>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</si>
  <si>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</si>
  <si>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</si>
  <si>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</si>
  <si>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</si>
  <si>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</si>
  <si>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</si>
  <si>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</si>
  <si>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</si>
  <si>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AMPERIMETRO, TENSAO AC/DC, CAPACIDADE MAXIMA 1000 A</t>
  </si>
  <si>
    <t xml:space="preserve">ALICATE BICO LONGO (MEIA CANA) 6", COM ISOLAMENTO ATE 1000 V</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</si>
  <si>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</si>
  <si>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</si>
  <si>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</si>
  <si>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</si>
  <si>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</si>
  <si>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DESENCAPADOR AUTOMATICO 8"</t>
  </si>
  <si>
    <t xml:space="preserve">ALICATE PARA ANEIS DE PISTAO, CAPACIDADE *50* A 100 MM</t>
  </si>
  <si>
    <t xml:space="preserve">ALICATE PROFISSIONAL 8", UNIVERSAL, COM ISOLAMENTO ATE 1000 V</t>
  </si>
  <si>
    <t xml:space="preserve">ENCARGOS COMPLEMENTARES</t>
  </si>
  <si>
    <t xml:space="preserve">ALIMENTACAO - HORISTA (COLETADO CAIXA - ENCARGOS COMPLEMENTARES)</t>
  </si>
  <si>
    <t xml:space="preserve">ALIMENTACAO - MENSALISTA (COLETADO CAIXA - ENCARGOS COMPLEMENTARES)</t>
  </si>
  <si>
    <t xml:space="preserve">EQUIPAMENTO (AQUISIÇÃO)</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</si>
  <si>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</si>
  <si>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</si>
  <si>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</si>
  <si>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</si>
  <si>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</si>
  <si>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</si>
  <si>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</si>
  <si>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</si>
  <si>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</si>
  <si>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</si>
  <si>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</si>
  <si>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</si>
  <si>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</si>
  <si>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</si>
  <si>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</si>
  <si>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</si>
  <si>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</si>
  <si>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</si>
  <si>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</si>
  <si>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</si>
  <si>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</si>
  <si>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</si>
  <si>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</si>
  <si>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</si>
  <si>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</si>
  <si>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</si>
  <si>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</si>
  <si>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</si>
  <si>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</si>
  <si>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</si>
  <si>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</si>
  <si>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</si>
  <si>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</si>
  <si>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</si>
  <si>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</si>
  <si>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</si>
  <si>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</si>
  <si>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</si>
  <si>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</si>
  <si>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</si>
  <si>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</si>
  <si>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</si>
  <si>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</si>
  <si>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</si>
  <si>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</si>
  <si>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</si>
  <si>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</si>
  <si>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</si>
  <si>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</si>
  <si>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</si>
  <si>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</si>
  <si>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</si>
  <si>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</si>
  <si>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</si>
  <si>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</si>
  <si>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</si>
  <si>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</si>
  <si>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</si>
  <si>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</si>
  <si>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</si>
  <si>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</si>
  <si>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</si>
  <si>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</si>
  <si>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</si>
  <si>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</si>
  <si>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</si>
  <si>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</si>
  <si>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</si>
  <si>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</si>
  <si>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</si>
  <si>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</si>
  <si>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SINAPI SP</t>
  </si>
  <si>
    <t xml:space="preserve">APONTADOR OU APROPRIADOR DE MAO DE OBRA (HORISTA)</t>
  </si>
  <si>
    <t xml:space="preserve">APONTADOR OU APROPRIADOR DE MAO DE OBRA (MENSALISTA)</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</si>
  <si>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</si>
  <si>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</si>
  <si>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</si>
  <si>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</si>
  <si>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</si>
  <si>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AR-CONDICIONADO FRIO SPLITAO MODULAR 10 TR</t>
  </si>
  <si>
    <t xml:space="preserve">AR-CONDICIONADO FRIO SPLITAO MODULAR 15 TR</t>
  </si>
  <si>
    <t xml:space="preserve">AR-CONDICIONADO FRIO SPLITAO MODULAR 20 TR</t>
  </si>
  <si>
    <t xml:space="preserve">AR-CONDICIONADO SPLIT INVERTER, HI-WALL (PAREDE), 12000 BTU/H, CICLO FRIO, 60HZ, CLASSIFICACAO A (SELO PROCEL), GAS HFC, CONTROLE S/FIO</t>
  </si>
  <si>
    <t xml:space="preserve">AR-CONDICIONADO SPLIT INVERTER, HI-WALL (PAREDE), 18000 BTU/H, CICLO FRIO, 60HZ, CLASSIFICACAO A (SELO PROCEL), GAS HFC, CONTROLE S/FIO</t>
  </si>
  <si>
    <t xml:space="preserve">AR-CONDICIONADO SPLIT INVERTER, HI-WALL (PAREDE), 24000 BTU/H, CICLO FRIO, 60HZ, CLASSIFICACAO A (SELO PROCEL), GAS HFC, CONTROLE S/FIO</t>
  </si>
  <si>
    <t xml:space="preserve">AR-CONDICIONADO SPLIT INVERTER, HI-WALL (PAREDE), 9000 BTU/H, CICLO FRIO, 60HZ, CLASSIFICACAO A (SELO PROCEL), GAS HFC, CONTROLE S/FIO</t>
  </si>
  <si>
    <t xml:space="preserve">AR-CONDICIONADO SPLIT INVERTER, PISO TETO, 18000 BTU/H, CICLO FRIO, 60HZ, CLASSIFICACAO ENERGETICA A OU B (SELO PROCEL), GAS HFC, CONTROLE S/FIO</t>
  </si>
  <si>
    <t xml:space="preserve">AR-CONDICIONADO SPLIT INVERTER, PISO TETO, 24000 BTU/H, CICLO FRIO, 60HZ, CLASSIFICACAO ENERGETICA A OU B (SELO PROCEL), GAS HFC, CONTROLE S/FIO</t>
  </si>
  <si>
    <t xml:space="preserve">AR-CONDICIONADO SPLIT INVERTER, PISO TETO, 24000 BTU/H, QUENTE/FRIO, 60HZ, CLASSIFICACAO ENERGETICA A - SELO PROCEL, GAS HFC, CONTROLE S/FIO</t>
  </si>
  <si>
    <t xml:space="preserve">AR-CONDICIONADO SPLIT INVERTER, PISO TETO, 36000 BTU/H, CICLO FRIO, 60HZ, CLASSIFICACAO ENERGETICA A OU B (SELO PROCEL), GAS HFC, CONTROLE S/FIO</t>
  </si>
  <si>
    <t xml:space="preserve">AR-CONDICIONADO SPLIT INVERTER, PISO TETO, 48000 BTU/H, CICLO FRIO, 60HZ, CLASSIFICACAO ENERGETICA A OU B (SELO PROCEL), GAS HFC, CONTROLE S/FIO</t>
  </si>
  <si>
    <t xml:space="preserve">AR-CONDICIONADO SPLIT INVERTER, PISO TETO, APRESENTANDO ENTRE 54000 E 58000 BTU/H, CICLO FRIO, 60HZ, CLASSIFICACAO ENERGETICA A OU B (SELO PROCEL), GAS HFC, CONTROLE S/FIO</t>
  </si>
  <si>
    <t xml:space="preserve">AR-CONDICIONADO SPLIT ON/OFF, CASSETE (TETO), 18000 BTUS/H, CICLO QUENTE/FRIO, 60 HZ, CLASSIFICACAO ENERGETICA C - SELO PROCEL, GAS HFC, CONTROLE S/ FIO</t>
  </si>
  <si>
    <t xml:space="preserve">AR-CONDICIONADO SPLIT ON/OFF, CASSETE (TETO), 24000 BTUS/H, CICLO QUENTE/FRIO, 60 HZ, CLASSIFICACAO ENERGETICA C - SELO PROCEL, GAS HFC, CONTROLE S/ FIO</t>
  </si>
  <si>
    <t xml:space="preserve">AR-CONDICIONADO SPLIT ON/OFF, CASSETE (TETO), 36000 BTUS/H, CICLO QUENTE/FRIO, 60 HZ, CLASSIFICACAO ENERGETICA A - SELO PROCEL, GAS HFC, CONTROLE S/ FIO</t>
  </si>
  <si>
    <t xml:space="preserve">AR-CONDICIONADO SPLIT ON/OFF, CASSETE (TETO), 48000 BTUS/H, CICLO QUENTE/FRIO, 60 HZ, CLASSIFICACAO ENERGETICA A - SELO PROCEL, GAS HFC, CONTROLE S/ FIO</t>
  </si>
  <si>
    <t xml:space="preserve">AR-CONDICIONADO SPLIT ON/OFF, CASSETE (TETO), 60000 BTUS/H, CICLO QUENTE/FRIO, 60 HZ, CLASSIFICACAO ENERGETICA A - SELO PROCEL, GAS HFC, CONTROLE S/ FIO</t>
  </si>
  <si>
    <t xml:space="preserve">AR-CONDICIONADO SPLIT ON/OFF, CASSETE (TETO), FRIO 4 VIAS 18000 BTUS/H, CLASSIFICACAO ENERGETICA C - SELO PROCEL, GAS HFC, CONTROLE S/ FIO</t>
  </si>
  <si>
    <t xml:space="preserve">AR-CONDICIONADO SPLIT ON/OFF, CASSETE (TETO), FRIO 4 VIAS 24000 BTUS/H, CLASSIFICACAO ENERGETICA C - SELO PROCEL, GAS HFC, CONTROLE S/ FIO</t>
  </si>
  <si>
    <t xml:space="preserve">AR-CONDICIONADO SPLIT ON/OFF, CASSETE (TETO), FRIO 4 VIAS 36000 BTUS/H, CLASSIFICACAO ENERGETICA C - SELO PROCEL, GAS HFC, CONTROLE S/ FIO</t>
  </si>
  <si>
    <t xml:space="preserve">AR-CONDICIONADO SPLIT ON/OFF, CASSETE (TETO), FRIO 4 VIAS 48000 BTUS/H, CLASSIFICACAO ENERGETICA C - SELO PROCEL, GAS HFC, CONTROLE S/ FIO</t>
  </si>
  <si>
    <t xml:space="preserve">AR-CONDICIONADO SPLIT ON/OFF, CASSETE (TETO), FRIO 4 VIAS 60000 BTUS/H, CLASSIFICACAO ENERGETICA C - SELO PROCEL, GAS HFC, CONTROLE S/ FIO</t>
  </si>
  <si>
    <t xml:space="preserve">AR-CONDICIONADO SPLIT ON/OFF, HI-WALL (PAREDE), 12000 BTUS/H, CICLO FRIO, 60 HZ, CLASSIFICACAO ENERGETICA A - SELO PROCEL, GAS HFC, CONTROLE S/ FIO</t>
  </si>
  <si>
    <t xml:space="preserve">AR-CONDICIONADO SPLIT ON/OFF, HI-WALL (PAREDE), 12000 BTUS/H, CICLO QUENTE/FRIO, 60 HZ, CLASSIFICACAO ENERGETICA A - SELO PROCEL, GAS HFC, CONTROLE S/ FIO</t>
  </si>
  <si>
    <t xml:space="preserve">AR-CONDICIONADO SPLIT ON/OFF, HI-WALL (PAREDE), 18000 BTUS/H, CICLO FRIO, 60 HZ, CLASSIFICACAO ENERGETICA A - SELO PROCEL, GAS HFC, CONTROLE S/ FIO</t>
  </si>
  <si>
    <t xml:space="preserve">AR-CONDICIONADO SPLIT ON/OFF, HI-WALL (PAREDE), 18000 BTUS/H, CICLO QUENTE/FRIO, 60 HZ, CLASSIFICACAO ENERGETICA A - SELO PROCEL, GAS HFC, CONTROLE S/ FIO</t>
  </si>
  <si>
    <t xml:space="preserve">AR-CONDICIONADO SPLIT ON/OFF, HI-WALL (PAREDE), 24000 BTUS/H, CICLO FRIO, 60 HZ, CLASSIFICACAO ENERGETICA A - SELO PROCEL, GAS HFC, CONTROLE S/ FIO</t>
  </si>
  <si>
    <t xml:space="preserve">AR-CONDICIONADO SPLIT ON/OFF, HI-WALL (PAREDE), 24000 BTUS/H, CICLO QUENTE/FRIO, 60 HZ, CLASSIFICACAO ENERGETICA A - SELO PROCEL, GAS HFC, CONTROLE S/ FIO</t>
  </si>
  <si>
    <t xml:space="preserve">AR-CONDICIONADO SPLIT ON/OFF, HI-WALL (PAREDE), 9000 BTUS/H, CICLO FRIO, 60 HZ, CLASSIFICACAO ENERGETICA A - SELO PROCEL, GAS HFC, CONTROLE S/ FIO</t>
  </si>
  <si>
    <t xml:space="preserve">AR-CONDICIONADO SPLIT ON/OFF, HI-WALL (PAREDE), 9000 BTUS/H, CICLO QUENTE/FRIO, 60 HZ, CLASSIFICACAO ENERGETICA A - SELO PROCEL, GAS HFC, CONTROLE S/ FIO</t>
  </si>
  <si>
    <t xml:space="preserve">AR-CONDICIONADO SPLIT ON/OFF, PISO TETO, 18.000 BTU/H, CICLO FRIO, 60HZ, CLASSIFICACAO ENERGETICA C - SELO PROCEL, GAS HFC, CONTROLE S/FIO</t>
  </si>
  <si>
    <t xml:space="preserve">AR-CONDICIONADO SPLIT ON/OFF, PISO TETO, 24.000 BTU/H, CICLO FRIO, 60HZ, CLASSIFICACAO ENERGETICA C - SELO PROCEL, GAS HFC, CONTROLE S/FIO</t>
  </si>
  <si>
    <t xml:space="preserve">AR-CONDICIONADO SPLIT ON/OFF, PISO TETO, 36.000 BTU/H, CICLO FRIO, 60HZ, CLASSIFICACAO ENERGETICA C - SELO PROCEL, GAS HFC, CONTROLE S/FIO</t>
  </si>
  <si>
    <t xml:space="preserve">AR-CONDICIONADO SPLIT ON/OFF, PISO TETO, 48.000 BTU/H, CICLO FRIO, 60HZ, CLASSIFICACAO ENERGETICA C - SELO PROCEL, GAS HFC, CONTROLE S/FIO</t>
  </si>
  <si>
    <t xml:space="preserve">AR-CONDICIONADO SPLIT ON/OFF, PISO TETO, 60.000 BTU/H, CICLO FRIO, 60HZ, CLASSIFICACAO ENERGETICA C - SELO PROCEL, GAS HFC, CONTROLE S/FIO</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</si>
  <si>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</si>
  <si>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</si>
  <si>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</si>
  <si>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</si>
  <si>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</si>
  <si>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</si>
  <si>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</si>
  <si>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</si>
  <si>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</si>
  <si>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</si>
  <si>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ARCO DE SERRA REGULAVEL PARA LAMINAS DE 8" A 12"</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</si>
  <si>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</si>
  <si>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</si>
  <si>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</si>
  <si>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</si>
  <si>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</si>
  <si>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</si>
  <si>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</si>
  <si>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</si>
  <si>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</si>
  <si>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</si>
  <si>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</si>
  <si>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</si>
  <si>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</si>
  <si>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</si>
  <si>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</si>
  <si>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</si>
  <si>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</si>
  <si>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</si>
  <si>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</si>
  <si>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</si>
  <si>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</si>
  <si>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</si>
  <si>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</si>
  <si>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</si>
  <si>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</si>
  <si>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</si>
  <si>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</si>
  <si>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</si>
  <si>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</si>
  <si>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</si>
  <si>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</si>
  <si>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</si>
  <si>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</si>
  <si>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</si>
  <si>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</si>
  <si>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</si>
  <si>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</si>
  <si>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</si>
  <si>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GALVANIZADO, DIAMETRO EXTERNO = 35MM, ESPESSURA = 3MM, DIAMETRO DO FURO= 18MM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</si>
  <si>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</si>
  <si>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</si>
  <si>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</si>
  <si>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</si>
  <si>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</si>
  <si>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</si>
  <si>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</si>
  <si>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</si>
  <si>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</si>
  <si>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</si>
  <si>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</si>
  <si>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GALVANIZADO, DIMENSAO = 38 MM, ESPESSURA = 3MM, DIAMETRO DO FURO=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</si>
  <si>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</si>
  <si>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</si>
  <si>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</si>
  <si>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</si>
  <si>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</si>
  <si>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</si>
  <si>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</si>
  <si>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</si>
  <si>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</si>
  <si>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</si>
  <si>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</si>
  <si>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</si>
  <si>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</si>
  <si>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</si>
  <si>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</si>
  <si>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</si>
  <si>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</si>
  <si>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</si>
  <si>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</si>
  <si>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</si>
  <si>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</si>
  <si>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</si>
  <si>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</si>
  <si>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</si>
  <si>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</si>
  <si>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</si>
  <si>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</si>
  <si>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AVENTAL EM PVC, FORRADO, *0,3* MM DE ESPESSURA, *1,15 X 0,70* M (COMPRIMENTO X LARGURA), 100% IMPERMEAVEL</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</si>
  <si>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</si>
  <si>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</si>
  <si>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</si>
  <si>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</si>
  <si>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</si>
  <si>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</si>
  <si>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</si>
  <si>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</si>
  <si>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</si>
  <si>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BALANCIM INDIVIDUAL, TIPO CADEIRA SUSPENSA SOBE E DESCE</t>
  </si>
  <si>
    <t xml:space="preserve">BALDE DE PLASTICO CAPACIDADE 12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</si>
  <si>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</si>
  <si>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</si>
  <si>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</si>
  <si>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</si>
  <si>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</si>
  <si>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</si>
  <si>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</si>
  <si>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</si>
  <si>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</si>
  <si>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</si>
  <si>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</si>
  <si>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</si>
  <si>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</si>
  <si>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</si>
  <si>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</si>
  <si>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</si>
  <si>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</si>
  <si>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</si>
  <si>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</si>
  <si>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</si>
  <si>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</si>
  <si>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</si>
  <si>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</si>
  <si>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</si>
  <si>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</si>
  <si>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</si>
  <si>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</si>
  <si>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</si>
  <si>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</si>
  <si>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</si>
  <si>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</si>
  <si>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</si>
  <si>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</si>
  <si>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</si>
  <si>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</si>
  <si>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</si>
  <si>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</si>
  <si>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</si>
  <si>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</si>
  <si>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</si>
  <si>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</si>
  <si>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</si>
  <si>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</si>
  <si>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</si>
  <si>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</si>
  <si>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</si>
  <si>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</si>
  <si>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</si>
  <si>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</si>
  <si>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</si>
  <si>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</si>
  <si>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</si>
  <si>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</si>
  <si>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</si>
  <si>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</si>
  <si>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</si>
  <si>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</si>
  <si>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</si>
  <si>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</si>
  <si>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</si>
  <si>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</si>
  <si>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</si>
  <si>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</si>
  <si>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360 L, MOTOR ELETRICO TRIFASICO 220/380V, POTENCIA 4CV, SEM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</si>
  <si>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</si>
  <si>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</si>
  <si>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</si>
  <si>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</si>
  <si>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</si>
  <si>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</si>
  <si>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</si>
  <si>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</si>
  <si>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</si>
  <si>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</si>
  <si>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</si>
  <si>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</si>
  <si>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</si>
  <si>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</si>
  <si>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</si>
  <si>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</si>
  <si>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</si>
  <si>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</si>
  <si>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</si>
  <si>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</si>
  <si>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</si>
  <si>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</si>
  <si>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</si>
  <si>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</si>
  <si>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</si>
  <si>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</si>
  <si>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</si>
  <si>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FBK 10 MPA (NBR 6136)</t>
  </si>
  <si>
    <t xml:space="preserve">BLOCO DE CONCRETO ESTRUTURAL 14 X 19 X 29 CM, FBK 12 MPA (NBR 6136)</t>
  </si>
  <si>
    <t xml:space="preserve">BLOCO DE CONCRETO ESTRUTURAL 14 X 19 X 29 CM, FBK 14 MPA (NBR 6136)</t>
  </si>
  <si>
    <t xml:space="preserve">BLOCO DE CONCRETO ESTRUTURAL 14 X 19 X 29 CM, FBK 16 MPA (NBR 6136)</t>
  </si>
  <si>
    <t xml:space="preserve">BLOCO DE CONCRETO ESTRUTURAL 14 X 19 X 29 CM, FBK 4,5 MPA (NBR 6136)</t>
  </si>
  <si>
    <t xml:space="preserve">BLOCO DE CONCRETO ESTRUTURAL 14 X 19 X 29 CM, FBK 6 MPA (NBR 6136)</t>
  </si>
  <si>
    <t xml:space="preserve">BLOCO DE CONCRETO ESTRUTURAL 14 X 19 X 29 CM, FBK 8 MPA (NBR 6136)</t>
  </si>
  <si>
    <t xml:space="preserve">BLOCO DE CONCRETO ESTRUTURAL 14 X 19 X 34 CM, FBK 4,5 MPA (NBR 6136)</t>
  </si>
  <si>
    <t xml:space="preserve">BLOCO DE CONCRETO ESTRUTURAL 14 X 19 X 39 CM, FBK 10 MPA (NBR 6136)</t>
  </si>
  <si>
    <t xml:space="preserve">BLOCO DE CONCRETO ESTRUTURAL 14 X 19 X 39 CM, FBK 12 MPA (NBR 6136)</t>
  </si>
  <si>
    <t xml:space="preserve">BLOCO DE CONCRETO ESTRUTURAL 14 X 19 X 39 CM, FBK 14 MPA (NBR 6136)</t>
  </si>
  <si>
    <t xml:space="preserve">BLOCO DE CONCRETO ESTRUTURAL 14 X 19 X 39 CM, FBK 4,5 MPA (NBR 6136)</t>
  </si>
  <si>
    <t xml:space="preserve">BLOCO DE CONCRETO ESTRUTURAL 14 X 19 X 39 CM, FBK 6 MPA (NBR 6136)</t>
  </si>
  <si>
    <t xml:space="preserve">BLOCO DE CONCRETO ESTRUTURAL 14 X 19 X 39 CM, FBK 8 MPA (NBR 6136)</t>
  </si>
  <si>
    <t xml:space="preserve">BLOCO DE CONCRETO ESTRUTURAL 14 X 19 X 39, FCK 16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</si>
  <si>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</si>
  <si>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</si>
  <si>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</si>
  <si>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</si>
  <si>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</si>
  <si>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</si>
  <si>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</si>
  <si>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</si>
  <si>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</si>
  <si>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</si>
  <si>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</si>
  <si>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</si>
  <si>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</si>
  <si>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</si>
  <si>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</si>
  <si>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</si>
  <si>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</si>
  <si>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</si>
  <si>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</si>
  <si>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</si>
  <si>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</si>
  <si>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</si>
  <si>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</si>
  <si>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</si>
  <si>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</si>
  <si>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</si>
  <si>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</si>
  <si>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</si>
  <si>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</si>
  <si>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</si>
  <si>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</si>
  <si>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</si>
  <si>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</si>
  <si>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</si>
  <si>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</si>
  <si>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</si>
  <si>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</si>
  <si>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</si>
  <si>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</si>
  <si>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</si>
  <si>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</si>
  <si>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</si>
  <si>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</si>
  <si>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</si>
  <si>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</si>
  <si>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</si>
  <si>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</si>
  <si>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</si>
  <si>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</si>
  <si>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2,96HP, DIAMETRO DE SUCCAO X ELEVACAO 1 1/2" X 1 1/4", DIAMETRO DO ROTOR 148 MM, HM/Q: 34 M / 14,80 M3/H A 40 M / 8,60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</si>
  <si>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</si>
  <si>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</si>
  <si>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</si>
  <si>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</si>
  <si>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SUBMERSIVEL, ELETRICA, TRIFASICA, POTENCIA 0,99 HP, DIAMETRO ROTOR 98 MM SEMIABERTO, BOCAL DE SAIDA DIAMETRO 2 POLEGADAS, HM/Q = 2 M / 28,90 M3/H A 14 M / 7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</si>
  <si>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</si>
  <si>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</si>
  <si>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</si>
  <si>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</si>
  <si>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</si>
  <si>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</si>
  <si>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</si>
  <si>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PARA CHUVEIRO SIMPLES</t>
  </si>
  <si>
    <t xml:space="preserve">BRACO OU HASTE RETA COM CANOPLA PLASTICA, 1/2", PARA CHUVEIRO ELETRICO</t>
  </si>
  <si>
    <t xml:space="preserve">BRACO P/ LUMINARIA PUBLICA 1 X 1,50M ROMAGNOLE OU EQUIV</t>
  </si>
  <si>
    <t xml:space="preserve">BROCHA RETANGULAR, *15 X 5* CM</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</si>
  <si>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</si>
  <si>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</si>
  <si>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</si>
  <si>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</si>
  <si>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</si>
  <si>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</si>
  <si>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</si>
  <si>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</si>
  <si>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</si>
  <si>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</si>
  <si>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</si>
  <si>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</si>
  <si>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</si>
  <si>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</si>
  <si>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</si>
  <si>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</si>
  <si>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</si>
  <si>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</si>
  <si>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</si>
  <si>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</si>
  <si>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</si>
  <si>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</si>
  <si>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</si>
  <si>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</si>
  <si>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</si>
  <si>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</si>
  <si>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</si>
  <si>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</si>
  <si>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</si>
  <si>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</si>
  <si>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</si>
  <si>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</si>
  <si>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</si>
  <si>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</si>
  <si>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</si>
  <si>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</si>
  <si>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</si>
  <si>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</si>
  <si>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</si>
  <si>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</si>
  <si>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</si>
  <si>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</si>
  <si>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</si>
  <si>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</si>
  <si>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</si>
  <si>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</si>
  <si>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</si>
  <si>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</si>
  <si>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</si>
  <si>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</si>
  <si>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</si>
  <si>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</si>
  <si>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</si>
  <si>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</si>
  <si>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</si>
  <si>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</si>
  <si>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</si>
  <si>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</si>
  <si>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</si>
  <si>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</si>
  <si>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</si>
  <si>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</si>
  <si>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</si>
  <si>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</si>
  <si>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</si>
  <si>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</si>
  <si>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</si>
  <si>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</si>
  <si>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</si>
  <si>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</si>
  <si>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</si>
  <si>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</si>
  <si>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</si>
  <si>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</si>
  <si>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</si>
  <si>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</si>
  <si>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</si>
  <si>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</si>
  <si>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</si>
  <si>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</si>
  <si>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</si>
  <si>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</si>
  <si>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</si>
  <si>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</si>
  <si>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</si>
  <si>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</si>
  <si>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</si>
  <si>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</si>
  <si>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</si>
  <si>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</si>
  <si>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</si>
  <si>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</si>
  <si>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</si>
  <si>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</si>
  <si>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</si>
  <si>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</si>
  <si>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</si>
  <si>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</si>
  <si>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</si>
  <si>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</si>
  <si>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</si>
  <si>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</si>
  <si>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</si>
  <si>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</si>
  <si>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</si>
  <si>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</si>
  <si>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</si>
  <si>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</si>
  <si>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</si>
  <si>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</si>
  <si>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</si>
  <si>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</si>
  <si>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</si>
  <si>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</si>
  <si>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</si>
  <si>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</si>
  <si>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</si>
  <si>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</si>
  <si>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</si>
  <si>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</si>
  <si>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</si>
  <si>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</si>
  <si>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</si>
  <si>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</si>
  <si>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</si>
  <si>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</si>
  <si>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</si>
  <si>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</si>
  <si>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</si>
  <si>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</si>
  <si>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</si>
  <si>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</si>
  <si>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</si>
  <si>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</si>
  <si>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</si>
  <si>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</si>
  <si>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</si>
  <si>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</si>
  <si>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</si>
  <si>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</si>
  <si>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</si>
  <si>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</si>
  <si>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</si>
  <si>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</si>
  <si>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</si>
  <si>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</si>
  <si>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</si>
  <si>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</si>
  <si>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</si>
  <si>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</si>
  <si>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</si>
  <si>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</si>
  <si>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</si>
  <si>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</si>
  <si>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</si>
  <si>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</si>
  <si>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</si>
  <si>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</si>
  <si>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</si>
  <si>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</si>
  <si>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</si>
  <si>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</si>
  <si>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</si>
  <si>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</si>
  <si>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</si>
  <si>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</si>
  <si>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</si>
  <si>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</si>
  <si>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</si>
  <si>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</si>
  <si>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</si>
  <si>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</si>
  <si>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</si>
  <si>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</si>
  <si>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</si>
  <si>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</si>
  <si>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</si>
  <si>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</si>
  <si>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</si>
  <si>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</si>
  <si>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</si>
  <si>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</si>
  <si>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</si>
  <si>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</si>
  <si>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</si>
  <si>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</si>
  <si>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</si>
  <si>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</si>
  <si>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</si>
  <si>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</si>
  <si>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</si>
  <si>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</si>
  <si>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</si>
  <si>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</si>
  <si>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</si>
  <si>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</si>
  <si>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</si>
  <si>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</si>
  <si>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</si>
  <si>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</si>
  <si>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</si>
  <si>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</si>
  <si>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</si>
  <si>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</si>
  <si>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</si>
  <si>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</si>
  <si>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</si>
  <si>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</si>
  <si>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</si>
  <si>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</si>
  <si>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</si>
  <si>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</si>
  <si>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</si>
  <si>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</si>
  <si>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</si>
  <si>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</si>
  <si>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</si>
  <si>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</si>
  <si>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</si>
  <si>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</si>
  <si>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</si>
  <si>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</si>
  <si>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</si>
  <si>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</si>
  <si>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</si>
  <si>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</si>
  <si>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</si>
  <si>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</si>
  <si>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</si>
  <si>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</si>
  <si>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</si>
  <si>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</si>
  <si>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</si>
  <si>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</si>
  <si>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</si>
  <si>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</si>
  <si>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</si>
  <si>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</si>
  <si>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</si>
  <si>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</si>
  <si>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</si>
  <si>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</si>
  <si>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6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</si>
  <si>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</si>
  <si>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</si>
  <si>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</si>
  <si>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</si>
  <si>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</si>
  <si>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</si>
  <si>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</si>
  <si>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</si>
  <si>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</si>
  <si>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</si>
  <si>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</si>
  <si>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</si>
  <si>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</si>
  <si>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</si>
  <si>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</si>
  <si>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</si>
  <si>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</si>
  <si>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</si>
  <si>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</si>
  <si>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</si>
  <si>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</si>
  <si>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</si>
  <si>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</si>
  <si>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</si>
  <si>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</si>
  <si>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</si>
  <si>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</si>
  <si>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</si>
  <si>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</si>
  <si>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</si>
  <si>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</si>
  <si>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</si>
  <si>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</si>
  <si>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</si>
  <si>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</si>
  <si>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</si>
  <si>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</si>
  <si>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</si>
  <si>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</si>
  <si>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</si>
  <si>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</si>
  <si>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</si>
  <si>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</si>
  <si>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</si>
  <si>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</si>
  <si>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</si>
  <si>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</si>
  <si>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</si>
  <si>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</si>
  <si>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</si>
  <si>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</si>
  <si>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</si>
  <si>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 (INCLUIDA TAMPA SEM ESCOTILHA)</t>
  </si>
  <si>
    <t xml:space="preserve">CAIXA DE INSPECAO PARA ATERRAMENTO OU OUTRO USO, EM PVC, DN = 250 X 250 MM (INCLUIDA TAMPA EM FERRO FUNDIDO SEM ESCOTILHA)</t>
  </si>
  <si>
    <t xml:space="preserve">CAIXA DE INSPECAO PARA ATERRAMENTO OU OUTRO USO, EM PVC, DN = 300 X *300* MM (INCLUIDA TAMPA EM FERRO FUNDIDO SEM ESCOTILHA)</t>
  </si>
  <si>
    <t xml:space="preserve">CAIXA DE INSPECAO PARA ATERRAMENTO OU OUTRO USO, EM PVC, DN = 300 X 250 MM (INCLUIDA TAMPA EM FERRO FUNDIDO SEM ESCOTILHA)</t>
  </si>
  <si>
    <t xml:space="preserve">CAIXA DE INSPECAO PARA ATERRAMENTO OU OUTRO USO, EM PVC, DN = 300 X 600 MM (INCLUIDA TAMPA EM FERRO FUNDIDO SEM ESCOTILHA)</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</si>
  <si>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</si>
  <si>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</si>
  <si>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</si>
  <si>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</si>
  <si>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</si>
  <si>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</si>
  <si>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</si>
  <si>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</si>
  <si>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</si>
  <si>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</si>
  <si>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</si>
  <si>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</si>
  <si>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</si>
  <si>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</si>
  <si>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</si>
  <si>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</si>
  <si>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</si>
  <si>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</si>
  <si>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</si>
  <si>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</si>
  <si>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</si>
  <si>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</si>
  <si>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</si>
  <si>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</si>
  <si>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</si>
  <si>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</si>
  <si>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</si>
  <si>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</si>
  <si>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</si>
  <si>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</si>
  <si>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</si>
  <si>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</si>
  <si>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</si>
  <si>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</si>
  <si>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</si>
  <si>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</si>
  <si>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</si>
  <si>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</si>
  <si>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</si>
  <si>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</si>
  <si>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</si>
  <si>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</si>
  <si>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</si>
  <si>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</si>
  <si>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</si>
  <si>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</si>
  <si>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</si>
  <si>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</si>
  <si>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</si>
  <si>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</si>
  <si>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</si>
  <si>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</si>
  <si>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</si>
  <si>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</si>
  <si>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</si>
  <si>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</si>
  <si>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</si>
  <si>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</si>
  <si>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</si>
  <si>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</si>
  <si>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</si>
  <si>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</si>
  <si>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</si>
  <si>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</si>
  <si>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</si>
  <si>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</si>
  <si>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</si>
  <si>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</si>
  <si>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</si>
  <si>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</si>
  <si>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</si>
  <si>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</si>
  <si>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</si>
  <si>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</si>
  <si>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</si>
  <si>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</si>
  <si>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</si>
  <si>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</si>
  <si>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</si>
  <si>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</si>
  <si>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</si>
  <si>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</si>
  <si>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</si>
  <si>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</si>
  <si>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</si>
  <si>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</si>
  <si>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</si>
  <si>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</si>
  <si>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</si>
  <si>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</si>
  <si>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</si>
  <si>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</si>
  <si>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</si>
  <si>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</si>
  <si>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</si>
  <si>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</si>
  <si>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</si>
  <si>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</si>
  <si>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</si>
  <si>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</si>
  <si>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</si>
  <si>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</si>
  <si>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</si>
  <si>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</si>
  <si>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</si>
  <si>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</si>
  <si>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</si>
  <si>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</si>
  <si>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</si>
  <si>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</si>
  <si>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</si>
  <si>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</si>
  <si>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</si>
  <si>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</si>
  <si>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</si>
  <si>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</si>
  <si>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</si>
  <si>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</si>
  <si>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</si>
  <si>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</si>
  <si>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</si>
  <si>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</si>
  <si>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</si>
  <si>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</si>
  <si>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</si>
  <si>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</si>
  <si>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</si>
  <si>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</si>
  <si>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</si>
  <si>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</si>
  <si>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</si>
  <si>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</si>
  <si>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</si>
  <si>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</si>
  <si>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</si>
  <si>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</si>
  <si>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</si>
  <si>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</si>
  <si>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</si>
  <si>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</si>
  <si>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</si>
  <si>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</si>
  <si>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</si>
  <si>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</si>
  <si>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</si>
  <si>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</si>
  <si>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</si>
  <si>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</si>
  <si>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</si>
  <si>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</si>
  <si>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</si>
  <si>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</si>
  <si>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</si>
  <si>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</si>
  <si>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</si>
  <si>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</si>
  <si>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</si>
  <si>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</si>
  <si>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</si>
  <si>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</si>
  <si>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</si>
  <si>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</si>
  <si>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</si>
  <si>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</si>
  <si>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DE MAO, EM ACO, COM CAPACIDADE DE *45 A 65* L / *100* KG, PNEU COM CAMARA</t>
  </si>
  <si>
    <t xml:space="preserve">CARRINHO PLATAFORMA EM MADEIRA COM ESTRUTURA EM ACO, 1500 X 800 MM, COM CAPACIDADE DE 600 KG, 4 RODAS/PNEUS/CAMARAS</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</si>
  <si>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</si>
  <si>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</si>
  <si>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</si>
  <si>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</si>
  <si>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DE FERRO DOBRAVEL, ALTURA 80 CM</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</si>
  <si>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</si>
  <si>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</si>
  <si>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</si>
  <si>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</si>
  <si>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</si>
  <si>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</si>
  <si>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</si>
  <si>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</si>
  <si>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</si>
  <si>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</si>
  <si>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</si>
  <si>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</si>
  <si>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</si>
  <si>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</si>
  <si>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</si>
  <si>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</si>
  <si>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</si>
  <si>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</si>
  <si>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</si>
  <si>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</si>
  <si>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</si>
  <si>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</si>
  <si>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</si>
  <si>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</si>
  <si>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</si>
  <si>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</si>
  <si>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</si>
  <si>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</si>
  <si>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</si>
  <si>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</si>
  <si>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</si>
  <si>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</si>
  <si>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</si>
  <si>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</si>
  <si>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</si>
  <si>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</si>
  <si>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</si>
  <si>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</si>
  <si>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</si>
  <si>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</si>
  <si>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</si>
  <si>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</si>
  <si>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</si>
  <si>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</si>
  <si>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</si>
  <si>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</si>
  <si>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</si>
  <si>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</si>
  <si>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</si>
  <si>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</si>
  <si>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</si>
  <si>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</si>
  <si>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</si>
  <si>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</si>
  <si>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</si>
  <si>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</si>
  <si>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</si>
  <si>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</si>
  <si>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</si>
  <si>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</si>
  <si>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</si>
  <si>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</si>
  <si>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</si>
  <si>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E= 4,75 MM, 4 FUROS, LARGURA 45 MM, COMPRIMENTO 500 MM</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</si>
  <si>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</si>
  <si>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</si>
  <si>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</si>
  <si>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</si>
  <si>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</si>
  <si>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</si>
  <si>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</si>
  <si>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</si>
  <si>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</si>
  <si>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</si>
  <si>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</si>
  <si>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AJUSTAVEL (INGLESA) 10"</t>
  </si>
  <si>
    <t xml:space="preserve">CHAVE AJUSTAVEL (INGLESA) 15"</t>
  </si>
  <si>
    <t xml:space="preserve">CHAVE AJUSTAVEL (INGLESA) 6"</t>
  </si>
  <si>
    <t xml:space="preserve">CHAVE DE GRIFO DE 24"</t>
  </si>
  <si>
    <t xml:space="preserve">CHAVE DUPLA PARA CONEXOES TIPO STORZ, ENGATE RAPIDO 1 1/2" X 2 1/2", EM LATAO, PARA INSTALACAO PREDIAL COMBATE A INCENDIO</t>
  </si>
  <si>
    <t xml:space="preserve">CHAVE FIXA 19 X 22 MM</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</si>
  <si>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</si>
  <si>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</si>
  <si>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</si>
  <si>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</si>
  <si>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</si>
  <si>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</si>
  <si>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</si>
  <si>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</si>
  <si>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</si>
  <si>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</si>
  <si>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</si>
  <si>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</si>
  <si>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</si>
  <si>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</si>
  <si>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</si>
  <si>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</si>
  <si>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</si>
  <si>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</si>
  <si>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</si>
  <si>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</si>
  <si>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</si>
  <si>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</si>
  <si>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</si>
  <si>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</si>
  <si>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</si>
  <si>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</si>
  <si>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</si>
  <si>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</si>
  <si>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</si>
  <si>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COLHER DE PEDREIRO 9", EM ACO, COM CANTOS REDONDOS E CABO DE MADEIRA OU PLASTICO</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</si>
  <si>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</si>
  <si>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</si>
  <si>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</si>
  <si>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</si>
  <si>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</si>
  <si>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</si>
  <si>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</si>
  <si>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</si>
  <si>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</si>
  <si>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</si>
  <si>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</si>
  <si>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PROFISSIONAL 10 PCM, *110* L, 140 PSI, 110/220 VOLTS, MONOFASICO</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</si>
  <si>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</si>
  <si>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</si>
  <si>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</si>
  <si>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</si>
  <si>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</si>
  <si>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</si>
  <si>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</si>
  <si>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</si>
  <si>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</si>
  <si>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</si>
  <si>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</si>
  <si>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</si>
  <si>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</si>
  <si>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</si>
  <si>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</si>
  <si>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</si>
  <si>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</si>
  <si>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</si>
  <si>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</si>
  <si>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</si>
  <si>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</si>
  <si>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</si>
  <si>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</si>
  <si>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</si>
  <si>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</si>
  <si>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</si>
  <si>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</si>
  <si>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</si>
  <si>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</si>
  <si>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</si>
  <si>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</si>
  <si>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</si>
  <si>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</si>
  <si>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</si>
  <si>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</si>
  <si>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</si>
  <si>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</si>
  <si>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</si>
  <si>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</si>
  <si>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</si>
  <si>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</si>
  <si>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</si>
  <si>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</si>
  <si>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</si>
  <si>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</si>
  <si>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</si>
  <si>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</si>
  <si>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</si>
  <si>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</si>
  <si>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</si>
  <si>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</si>
  <si>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</si>
  <si>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</si>
  <si>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</si>
  <si>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</si>
  <si>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</si>
  <si>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</si>
  <si>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</si>
  <si>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</si>
  <si>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</si>
  <si>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</si>
  <si>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</si>
  <si>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</si>
  <si>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</si>
  <si>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</si>
  <si>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</si>
  <si>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</si>
  <si>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</si>
  <si>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</si>
  <si>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</si>
  <si>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</si>
  <si>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</si>
  <si>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</si>
  <si>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</si>
  <si>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</si>
  <si>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</si>
  <si>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</si>
  <si>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</si>
  <si>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</si>
  <si>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</si>
  <si>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</si>
  <si>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</si>
  <si>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</si>
  <si>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</si>
  <si>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</si>
  <si>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</si>
  <si>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</si>
  <si>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</si>
  <si>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</si>
  <si>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</si>
  <si>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</si>
  <si>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</si>
  <si>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</si>
  <si>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</si>
  <si>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</si>
  <si>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</si>
  <si>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</si>
  <si>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</si>
  <si>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</si>
  <si>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</si>
  <si>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</si>
  <si>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</si>
  <si>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</si>
  <si>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</si>
  <si>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</si>
  <si>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</si>
  <si>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</si>
  <si>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</si>
  <si>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</si>
  <si>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</si>
  <si>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</si>
  <si>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</si>
  <si>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</si>
  <si>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</si>
  <si>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</si>
  <si>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</si>
  <si>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</si>
  <si>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</si>
  <si>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</si>
  <si>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</si>
  <si>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</si>
  <si>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</si>
  <si>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</si>
  <si>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</si>
  <si>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</si>
  <si>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</si>
  <si>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</si>
  <si>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</si>
  <si>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</si>
  <si>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</si>
  <si>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</si>
  <si>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</si>
  <si>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</si>
  <si>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</si>
  <si>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</si>
  <si>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</si>
  <si>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</si>
  <si>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</si>
  <si>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</si>
  <si>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</si>
  <si>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</si>
  <si>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</si>
  <si>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</si>
  <si>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</si>
  <si>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</si>
  <si>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</si>
  <si>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</si>
  <si>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</si>
  <si>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</si>
  <si>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</si>
  <si>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</si>
  <si>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</si>
  <si>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</si>
  <si>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</si>
  <si>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</si>
  <si>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</si>
  <si>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</si>
  <si>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</si>
  <si>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</si>
  <si>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</si>
  <si>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</si>
  <si>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</si>
  <si>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</si>
  <si>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</si>
  <si>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</si>
  <si>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</si>
  <si>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</si>
  <si>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</si>
  <si>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</si>
  <si>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</si>
  <si>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</si>
  <si>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</si>
  <si>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</si>
  <si>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</si>
  <si>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</si>
  <si>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</si>
  <si>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</si>
  <si>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</si>
  <si>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</si>
  <si>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</si>
  <si>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</si>
  <si>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</si>
  <si>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</si>
  <si>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</si>
  <si>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</si>
  <si>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</si>
  <si>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</si>
  <si>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</si>
  <si>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</si>
  <si>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</si>
  <si>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</si>
  <si>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</si>
  <si>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</si>
  <si>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</si>
  <si>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</si>
  <si>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</si>
  <si>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</si>
  <si>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</si>
  <si>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</si>
  <si>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</si>
  <si>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</si>
  <si>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</si>
  <si>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</si>
  <si>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</si>
  <si>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</si>
  <si>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</si>
  <si>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</si>
  <si>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</si>
  <si>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</si>
  <si>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</si>
  <si>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</si>
  <si>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</si>
  <si>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</si>
  <si>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</si>
  <si>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</si>
  <si>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</si>
  <si>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</si>
  <si>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</si>
  <si>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CORTA-TUBOS COM CAPACIDADE DE 6 A 42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</si>
  <si>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</si>
  <si>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</si>
  <si>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</si>
  <si>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</si>
  <si>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</si>
  <si>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</si>
  <si>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</si>
  <si>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</si>
  <si>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</si>
  <si>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</si>
  <si>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</si>
  <si>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</si>
  <si>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</si>
  <si>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</si>
  <si>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</si>
  <si>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</si>
  <si>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</si>
  <si>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</si>
  <si>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</si>
  <si>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</si>
  <si>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</si>
  <si>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</si>
  <si>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</si>
  <si>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</si>
  <si>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</si>
  <si>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</si>
  <si>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</si>
  <si>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</si>
  <si>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</si>
  <si>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</si>
  <si>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</si>
  <si>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</si>
  <si>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</si>
  <si>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</si>
  <si>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</si>
  <si>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</si>
  <si>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</si>
  <si>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</si>
  <si>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</si>
  <si>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</si>
  <si>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</si>
  <si>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</si>
  <si>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</si>
  <si>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</si>
  <si>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</si>
  <si>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</si>
  <si>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</si>
  <si>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</si>
  <si>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</si>
  <si>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</si>
  <si>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</si>
  <si>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</si>
  <si>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</si>
  <si>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</si>
  <si>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</si>
  <si>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</si>
  <si>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</si>
  <si>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</si>
  <si>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</si>
  <si>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</si>
  <si>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 HORIZONTAL RETO 90 GRAUS PARA ELETROCALHA, EM CHAPA PERFURADA DE ACO GALVANIZADO ESPESSURA #14, 700 X 50 MM (L X A), SEM VIROLA, SEM TAMPA</t>
  </si>
  <si>
    <t xml:space="preserve">COTOVELO HORIZONTAL RETO 90 GRAUS, PARA ELETROCALHA, EM CHAPA LISA DE ACO GALVANIZADO ESPESSURA # 22, 150 X 50 MM (L X A), SEM VIROLA, SEM TAMPA</t>
  </si>
  <si>
    <t xml:space="preserve">COTOVELO HORIZONTAL RETO 90 GRAUS, PARA ELETROCALHA, EM CHAPA LISA DE ACO GALVANIZADO ESPESSURA #14, 700 X 50 MM (L X A), SEM VIROLA, SEM TAMPA</t>
  </si>
  <si>
    <t xml:space="preserve">COTOVELO HORIZONTAL RETO 90 GRAUS, PARA ELETROCALHA, EM CHAPA LISA DE ACO GALVANIZADO ESPESSURA #14, 800 X 50 MM (L X A), SEM VIROLA, SEM TAMPA</t>
  </si>
  <si>
    <t xml:space="preserve">COTOVELO HORIZONTAL RETO 90 GRAUS, PARA ELETROCALHA, EM CHAPA LISA DE ACO GALVANIZADO ESPESSURA #16, 500 X 50 MM (L X A), SEM VIROLA, SEM TAMPA</t>
  </si>
  <si>
    <t xml:space="preserve">COTOVELO HORIZONTAL RETO 90 GRAUS, PARA ELETROCALHA, EM CHAPA LISA DE ACO GALVANIZADO ESPESSURA #16, 600 X 50 MM (L X A), SEM VIROLA, SEM TAMPA</t>
  </si>
  <si>
    <t xml:space="preserve">COTOVELO HORIZONTAL RETO 90 GRAUS, PARA ELETROCALHA, EM CHAPA LISA DE ACO GALVANIZADO ESPESSURA #18, 300 X 50 MM (L X A), SEM VIROLA, SEM TAMPA</t>
  </si>
  <si>
    <t xml:space="preserve">COTOVELO HORIZONTAL RETO 90 GRAUS, PARA ELETROCALHA, EM CHAPA LISA DE ACO GALVANIZADO ESPESSURA #18, 400 X 50 MM (L X A), SEM VIROLA, SEM TAMPA</t>
  </si>
  <si>
    <t xml:space="preserve">COTOVELO HORIZONTAL RETO 90 GRAUS, PARA ELETROCALHA, EM CHAPA LISA DE ACO GALVANIZADO ESPESSURA #22, 100 X 50 MM (L X A), SEM VIROLA, SEM TAMPA</t>
  </si>
  <si>
    <t xml:space="preserve">COTOVELO HORIZONTAL RETO 90 GRAUS, PARA ELETROCALHA, EM CHAPA LISA DE ACO GALVANIZADO ESPESSURA #22, 125 X 50 MM (L X A), SEM VIROLA, SEM TAMPA</t>
  </si>
  <si>
    <t xml:space="preserve">COTOVELO HORIZONTAL RETO 90 GRAUS, PARA ELETROCALHA, EM CHAPA LISA DE ACO GALVANIZADO ESPESSURA #22, 200 X 50 MM (L X A), SEM VIROLA, SEM TAMPA</t>
  </si>
  <si>
    <t xml:space="preserve">COTOVELO HORIZONTAL RETO 90 GRAUS, PARA ELETROCALHA, EM CHAPA LISA DE ACO GALVANIZADO ESPESSURA #22, 250 X 50 MM (L X A), SEM VIROLA, SEM TAMPA</t>
  </si>
  <si>
    <t xml:space="preserve">COTOVELO HORIZONTAL RETO 90 GRAUS, PARA ELETROCALHA, EM CHAPA LISA DE ACO GALVANIZADO ESPESSURA #22, 50 X 50 MM (L X A), SEM VIROLA, SEM TAMPA</t>
  </si>
  <si>
    <t xml:space="preserve">COTOVELO HORIZONTAL RETO 90 GRAUS, PARA ELETROCALHA, EM CHAPA LISA DE ACO GALVANIZADO ESPESSURA #22, 75 X 50 MM (L X A), SEM VIROLA, SEM TAMPA</t>
  </si>
  <si>
    <t xml:space="preserve">COTOVELO HORIZONTAL RETO 90 GRAUS, PARA ELETROCALHA, EM CHAPA PERFURADA DE ACO GALVANIZADO ESPESSURA #14, 800 X 50 MM (L X A), SEM VIROLA, SEM TAMPA</t>
  </si>
  <si>
    <t xml:space="preserve">COTOVELO HORIZONTAL RETO 90 GRAUS, PARA ELETROCALHA, EM CHAPA PERFURADA DE ACO GALVANIZADO ESPESSURA #16, 500 X 50 MM (L X A), SEM VIROLA, SEM TAMPA</t>
  </si>
  <si>
    <t xml:space="preserve">COTOVELO HORIZONTAL RETO 90 GRAUS, PARA ELETROCALHA, EM CHAPA PERFURADA DE ACO GALVANIZADO ESPESSURA #16, 600 X 50 MM (L X A), SEM VIROLA, SEM TAMPA</t>
  </si>
  <si>
    <t xml:space="preserve">COTOVELO HORIZONTAL RETO 90 GRAUS, PARA ELETROCALHA, EM CHAPA PERFURADA DE ACO GALVANIZADO ESPESSURA #18, 300 X 50 MM (L X A), SEM VIROLA, SEM TAMPA</t>
  </si>
  <si>
    <t xml:space="preserve">COTOVELO HORIZONTAL RETO 90 GRAUS, PARA ELETROCALHA, EM CHAPA PERFURADA DE ACO GALVANIZADO ESPESSURA #18, 400 X 50 MM (L X A), SEM VIROLA, SEM TAMPA</t>
  </si>
  <si>
    <t xml:space="preserve">COTOVELO HORIZONTAL RETO 90 GRAUS, PARA ELETROCALHA, EM CHAPA PERFURADA DE ACO GALVANIZADO ESPESSURA #22, 125 X 50 MM (L X A), SEM VIROLA, SEM TAMPA</t>
  </si>
  <si>
    <t xml:space="preserve">COTOVELO HORIZONTAL RETO 90 GRAUS, PARA ELETROCALHA, EM CHAPA PERFURADA DE ACO GALVANIZADO ESPESSURA #22, 150 X 50 MM (L X A), SEM VIROLA, SEM TAMPA</t>
  </si>
  <si>
    <t xml:space="preserve">COTOVELO HORIZONTAL RETO 90 GRAUS, PARA ELETROCALHA, EM CHAPA PERFURADA DE ACO GALVANIZADO ESPESSURA #22, 200 X 50 MM (L X A), SEM VIROLA, SEM TAMPA</t>
  </si>
  <si>
    <t xml:space="preserve">COTOVELO HORIZONTAL RETO 90 GRAUS, PARA ELETROCALHA, EM CHAPA PERFURADA DE ACO GALVANIZADO ESPESSURA #22, 250 X 50 MM (L X A), SEM VIROLA, SEM TAMPA</t>
  </si>
  <si>
    <t xml:space="preserve">COTOVELO HORIZONTAL RETO 90 GRAUS, PARA ELETROCALHA, EM CHAPA PERFURADA DE ACO GALVANIZADO ESPESSURA #22, 50 X 50 MM (L X A), SEM VIROLA, SEM TAMPA</t>
  </si>
  <si>
    <t xml:space="preserve">COTOVELO HORIZONTAL RETO 90 GRAUS, PARA ELETROCALHA, EM CHAPA PERFURADA DE ACO GALVANIZADO ESPESSURA #22, 75 X 50 MM (L X A), SEM VIROLA, SEM TAMPA</t>
  </si>
  <si>
    <t xml:space="preserve">COTOVELO HORIZONTAL RETO, 90 GRAUS, PARA ELETROCALHA, EM CHAPA PERFURADA DE ACO GALVANIZADO ESPESSURA #22, 100 X 50 MM (L X A), SEM VIROLA, SEM TAMPA</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</si>
  <si>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</si>
  <si>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</si>
  <si>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</si>
  <si>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</si>
  <si>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</si>
  <si>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</si>
  <si>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</si>
  <si>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</si>
  <si>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</si>
  <si>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</si>
  <si>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</si>
  <si>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</si>
  <si>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</si>
  <si>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</si>
  <si>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</si>
  <si>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</si>
  <si>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</si>
  <si>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DE *40 X 34 X 12* CM</t>
  </si>
  <si>
    <t xml:space="preserve">CUBA ACO INOX (AISI 304) DE EMBUTIR COM VALVULA 3 1/2", DE *46 X 30 X 12* CM</t>
  </si>
  <si>
    <t xml:space="preserve">CUBA ACO INOX (AISI 304) DE EMBUTIR COM VALVULA DE 3 1/2",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</si>
  <si>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</si>
  <si>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</si>
  <si>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</si>
  <si>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</si>
  <si>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</si>
  <si>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</si>
  <si>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</si>
  <si>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</si>
  <si>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</si>
  <si>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</si>
  <si>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</si>
  <si>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</si>
  <si>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</si>
  <si>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</si>
  <si>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</si>
  <si>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</si>
  <si>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</si>
  <si>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</si>
  <si>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</si>
  <si>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</si>
  <si>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</si>
  <si>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</si>
  <si>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</si>
  <si>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</si>
  <si>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</si>
  <si>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</si>
  <si>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</si>
  <si>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</si>
  <si>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</si>
  <si>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</si>
  <si>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</si>
  <si>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</si>
  <si>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</si>
  <si>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</si>
  <si>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</si>
  <si>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</si>
  <si>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</si>
  <si>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</si>
  <si>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</si>
  <si>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</si>
  <si>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</si>
  <si>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</si>
  <si>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</si>
  <si>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</si>
  <si>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</si>
  <si>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</si>
  <si>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</si>
  <si>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</si>
  <si>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</si>
  <si>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</si>
  <si>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</si>
  <si>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</si>
  <si>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</si>
  <si>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</si>
  <si>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</si>
  <si>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</si>
  <si>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</si>
  <si>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</si>
  <si>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</si>
  <si>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</si>
  <si>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</si>
  <si>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</si>
  <si>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</si>
  <si>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</si>
  <si>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</si>
  <si>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</si>
  <si>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</si>
  <si>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</si>
  <si>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</si>
  <si>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</si>
  <si>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</si>
  <si>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</si>
  <si>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</si>
  <si>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</si>
  <si>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</si>
  <si>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</si>
  <si>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</si>
  <si>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</si>
  <si>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</si>
  <si>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</si>
  <si>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</si>
  <si>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</si>
  <si>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</si>
  <si>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</si>
  <si>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</si>
  <si>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</si>
  <si>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</si>
  <si>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</si>
  <si>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</si>
  <si>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</si>
  <si>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</si>
  <si>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</si>
  <si>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</si>
  <si>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</si>
  <si>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</si>
  <si>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</si>
  <si>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</si>
  <si>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</si>
  <si>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</si>
  <si>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</si>
  <si>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</si>
  <si>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</si>
  <si>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</si>
  <si>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</si>
  <si>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</si>
  <si>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</si>
  <si>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</si>
  <si>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</si>
  <si>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</si>
  <si>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</si>
  <si>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</si>
  <si>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</si>
  <si>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</si>
  <si>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</si>
  <si>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</si>
  <si>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</si>
  <si>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</si>
  <si>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</si>
  <si>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</si>
  <si>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</si>
  <si>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</si>
  <si>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</si>
  <si>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</si>
  <si>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</si>
  <si>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</si>
  <si>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</si>
  <si>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</si>
  <si>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</si>
  <si>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</si>
  <si>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</si>
  <si>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</si>
  <si>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</si>
  <si>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</si>
  <si>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</si>
  <si>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</si>
  <si>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</si>
  <si>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</si>
  <si>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</si>
  <si>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</si>
  <si>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</si>
  <si>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</si>
  <si>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</si>
  <si>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</si>
  <si>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</si>
  <si>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</si>
  <si>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</si>
  <si>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</si>
  <si>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</si>
  <si>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</si>
  <si>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</si>
  <si>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</si>
  <si>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</si>
  <si>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HORIZONTAL 90 GRAUS PERFURADA, PARA ELETROCALHA, EM CHAPA DE ACO GALVANIZADO ESPESSURA #14, 700 X 50 MM (L X A), SEM VIROLA, SEM TAMPA</t>
  </si>
  <si>
    <t xml:space="preserve">CURVA HORIZONTAL 90 GRAUS PERFURADA, PARA ELETROCALHA, EM CHAPA DE ACO GALVANIZADO ESPESSURA #14, 800 X 50 MM (L X A), SEM VIROLA, SEM TAMPA</t>
  </si>
  <si>
    <t xml:space="preserve">CURVA HORIZONTAL 90 GRAUS PERFURADA, PARA ELETROCALHA, EM CHAPA DE ACO GALVANIZADO ESPESSURA #16, 500 X 50 MM (L X A), SEM VIROLA, SEM TAMPA</t>
  </si>
  <si>
    <t xml:space="preserve">CURVA HORIZONTAL 90 GRAUS PERFURADA, PARA ELETROCALHA, EM CHAPA DE ACO GALVANIZADO ESPESSURA #16, 600 X 50 MM (L X A), SEM VIROLA, SEM TAMPA</t>
  </si>
  <si>
    <t xml:space="preserve">CURVA HORIZONTAL 90 GRAUS PERFURADA, PARA ELETROCALHA, EM CHAPA DE ACO GALVANIZADO ESPESSURA #18, 300 X 50 MM (L X A), SEM VIROLA, SEM TAMPA</t>
  </si>
  <si>
    <t xml:space="preserve">CURVA HORIZONTAL 90 GRAUS PERFURADA, PARA ELETROCALHA, EM CHAPA DE ACO GALVANIZADO ESPESSURA #18, 400 X 50 MM (L X A), SEM VIROLA, SEM TAMPA</t>
  </si>
  <si>
    <t xml:space="preserve">CURVA HORIZONTAL 90 GRAUS PERFURADA, PARA ELETROCALHA, EM CHAPA DE ACO GALVANIZADO ESPESSURA #22, 100 X 50 MM (L X A), SEM VIROLA, SEM TAMPA</t>
  </si>
  <si>
    <t xml:space="preserve">CURVA HORIZONTAL 90 GRAUS PERFURADA, PARA ELETROCALHA, EM CHAPA DE ACO GALVANIZADO ESPESSURA #22, 125 X 50 MM (L X A), SEM VIROLA, SEM TAMPA</t>
  </si>
  <si>
    <t xml:space="preserve">CURVA HORIZONTAL 90 GRAUS PERFURADA, PARA ELETROCALHA, EM CHAPA DE ACO GALVANIZADO ESPESSURA #22, 150 X 50 MM (L X A), SEM VIROLA, SEM TAMPA</t>
  </si>
  <si>
    <t xml:space="preserve">CURVA HORIZONTAL 90 GRAUS PERFURADA, PARA ELETROCALHA, EM CHAPA DE ACO GALVANIZADO ESPESSURA #22, 200 X 50 MM (L X A), SEM VIROLA, SEM TAMPA</t>
  </si>
  <si>
    <t xml:space="preserve">CURVA HORIZONTAL 90 GRAUS PERFURADA, PARA ELETROCALHA, EM CHAPA DE ACO GALVANIZADO ESPESSURA #22, 250 X 50 MM (L X A), SEM VIROLA, SEM TAMPA</t>
  </si>
  <si>
    <t xml:space="preserve">CURVA HORIZONTAL 90 GRAUS PERFURADA, PARA ELETROCALHA, EM CHAPA DE ACO GALVANIZADO ESPESSURA #22, 50 X 50 MM (L X A), SEM VIROLA, SEM TAMPA</t>
  </si>
  <si>
    <t xml:space="preserve">CURVA HORIZONTAL 90 GRAUS PERFURADA, PARA ELETROCALHA, EM CHAPA DE ACO GALVANIZADO ESPESSURA #22, 75 X 50 MM (L X A), SEM VIROLA, SEM TAMPA</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</si>
  <si>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</si>
  <si>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</si>
  <si>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</si>
  <si>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</si>
  <si>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</si>
  <si>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</si>
  <si>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</si>
  <si>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</si>
  <si>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</si>
  <si>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</si>
  <si>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</si>
  <si>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</si>
  <si>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</si>
  <si>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</si>
  <si>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</si>
  <si>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</si>
  <si>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</si>
  <si>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</si>
  <si>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</si>
  <si>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</si>
  <si>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</si>
  <si>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</si>
  <si>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</si>
  <si>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</si>
  <si>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</si>
  <si>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</si>
  <si>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</si>
  <si>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</si>
  <si>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</si>
  <si>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</si>
  <si>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</si>
  <si>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</si>
  <si>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</si>
  <si>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DE MADEIRA *16 X 27* CM</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</si>
  <si>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</si>
  <si>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</si>
  <si>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</si>
  <si>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</si>
  <si>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</si>
  <si>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</si>
  <si>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</si>
  <si>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DETECTOR DE TENSAO 90 V A 1000 V (CAT IV)</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</si>
  <si>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</si>
  <si>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</si>
  <si>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</si>
  <si>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</si>
  <si>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</si>
  <si>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</si>
  <si>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</si>
  <si>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</si>
  <si>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</si>
  <si>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</si>
  <si>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</si>
  <si>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</si>
  <si>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</si>
  <si>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</si>
  <si>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</si>
  <si>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</si>
  <si>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</si>
  <si>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</si>
  <si>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</si>
  <si>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</si>
  <si>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</si>
  <si>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</si>
  <si>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</si>
  <si>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</si>
  <si>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</si>
  <si>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</si>
  <si>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</si>
  <si>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</si>
  <si>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</si>
  <si>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</si>
  <si>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</si>
  <si>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</si>
  <si>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</si>
  <si>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</si>
  <si>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</si>
  <si>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</si>
  <si>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</si>
  <si>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</si>
  <si>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</si>
  <si>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</si>
  <si>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</si>
  <si>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</si>
  <si>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</si>
  <si>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</si>
  <si>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</si>
  <si>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</si>
  <si>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</si>
  <si>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</si>
  <si>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</si>
  <si>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</si>
  <si>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</si>
  <si>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</si>
  <si>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</si>
  <si>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</si>
  <si>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</si>
  <si>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</si>
  <si>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</si>
  <si>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</si>
  <si>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</si>
  <si>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</si>
  <si>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</si>
  <si>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</si>
  <si>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</si>
  <si>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</si>
  <si>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</si>
  <si>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</si>
  <si>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</si>
  <si>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</si>
  <si>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</si>
  <si>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</si>
  <si>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</si>
  <si>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</si>
  <si>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</si>
  <si>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</si>
  <si>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</si>
  <si>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</si>
  <si>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</si>
  <si>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</si>
  <si>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</si>
  <si>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</si>
  <si>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</si>
  <si>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</si>
  <si>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</si>
  <si>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</si>
  <si>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</si>
  <si>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</si>
  <si>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</si>
  <si>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</si>
  <si>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</si>
  <si>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</si>
  <si>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</si>
  <si>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</si>
  <si>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</si>
  <si>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</si>
  <si>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</si>
  <si>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</si>
  <si>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</si>
  <si>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</si>
  <si>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</si>
  <si>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</si>
  <si>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ELEMENTO PRE-MOLDADO PARA TRANSICAO EXCENTRICA EM CONCRETO ARMADO, DN *1200* MM, FURO CIRCULAR DN 600 MM, ESPESSURA *12* CM</t>
  </si>
  <si>
    <t xml:space="preserve">ELEMENTO PRE-MOLDADO PARA TRANSICAO EXCENTRICA EM CONCRETO ARMADO, DN *1500* MM, FURO CIRCULAR DN 600 MM, ESPESSURA 15 CM</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</si>
  <si>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</si>
  <si>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</si>
  <si>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</si>
  <si>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</si>
  <si>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</si>
  <si>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</si>
  <si>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</si>
  <si>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</si>
  <si>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</si>
  <si>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</si>
  <si>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</si>
  <si>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</si>
  <si>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</si>
  <si>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</si>
  <si>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</si>
  <si>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ELETROCALHA LISA OU PERFURADA TIPO U, EM CHAPA DE ACO GALVANIZADO A FOGO, ESPESSURA # 14, DE 700 X 50 MM (L X A), SEM VIROLA, SEM TAMPA</t>
  </si>
  <si>
    <t xml:space="preserve">ELETROCALHA LISA OU PERFURADA TIPO U, EM CHAPA DE ACO GALVANIZADO A FOGO, ESPESSURA # 14, DE 800 X 50 MM (L X A), SEM VIROLA, SEM TAMPA</t>
  </si>
  <si>
    <t xml:space="preserve">ELETROCALHA LISA OU PERFURADA TIPO U, EM CHAPA DE ACO GALVANIZADO A FOGO, ESPESSURA # 16, DE 500 X 50 MM (L X A), SEM VIROLA, SEM TAMPA</t>
  </si>
  <si>
    <t xml:space="preserve">ELETROCALHA LISA OU PERFURADA TIPO U, EM CHAPA DE ACO GALVANIZADO A FOGO, ESPESSURA # 16, DE 600 X 50 MM (L X A), SEM VIROLA, SEM TAMPA</t>
  </si>
  <si>
    <t xml:space="preserve">ELETROCALHA LISA OU PERFURADA TIPO U, EM CHAPA DE ACO GALVANIZADO A FOGO, ESPESSURA # 18, DE 300 X 50 MM (L X A), SEM VIROLA, SEM TAMPA</t>
  </si>
  <si>
    <t xml:space="preserve">ELETROCALHA LISA OU PERFURADA TIPO U, EM CHAPA DE ACO GALVANIZADO A FOGO, ESPESSURA # 18, DE 400 X 50 MM (L X A), SEM VIROLA, SEM TAMPA</t>
  </si>
  <si>
    <t xml:space="preserve">ELETROCALHA LISA OU PERFURADA TIPO U, EM CHAPA DE ACO GALVANIZADO A FOGO, ESPESSURA # 22, DE 100 X 50 MM (L X A), SEM VIROLA, SEM TAMPA</t>
  </si>
  <si>
    <t xml:space="preserve">ELETROCALHA LISA OU PERFURADA TIPO U, EM CHAPA DE ACO GALVANIZADO A FOGO, ESPESSURA # 22, DE 125 X 50 MM (L X A), SEM VIROLA, SEM TAMPA</t>
  </si>
  <si>
    <t xml:space="preserve">ELETROCALHA LISA OU PERFURADA TIPO U, EM CHAPA DE ACO GALVANIZADO A FOGO, ESPESSURA # 22, DE 150 X 50 MM (L X A), SEM VIROLA, SEM TAMPA</t>
  </si>
  <si>
    <t xml:space="preserve">ELETROCALHA LISA OU PERFURADA TIPO U, EM CHAPA DE ACO GALVANIZADO A FOGO, ESPESSURA # 22, DE 250 X 50 MM (L X A), SEM VIROLA, SEM TAMPA</t>
  </si>
  <si>
    <t xml:space="preserve">ELETROCALHA LISA OU PERFURADA TIPO U, EM CHAPA DE ACO GALVANIZADO A FOGO, ESPESSURA # 22, DE 75 X 50 MM (L X A), SEM VIROLA, SEM TAMPA</t>
  </si>
  <si>
    <t xml:space="preserve">ELETROCALHA LISA OU PERFURADA, TIPO U, EM CHAPA DE ACO GALVANIZADO A FOGO, ESPESSURA # 22, DE 200 X 50 MM (L X A), SEM VIROLA, SEM TAMPA</t>
  </si>
  <si>
    <t xml:space="preserve">ELETROCALHA LISA OU PERFURADA, TIPO U, EM CHAPA DE ACO GALVANIZADO A FOGO, ESPESSURA #22, DE 50 X 50 MM (L X A), SEM VIROLA, SEM TAMPA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</si>
  <si>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</si>
  <si>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</si>
  <si>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</si>
  <si>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</si>
  <si>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1/2", SEM LUVA</t>
  </si>
  <si>
    <t xml:space="preserve">ELETRODUTO DE PVC RIGIDO ROSCAVEL DE 1 1/4", SEM LUVA</t>
  </si>
  <si>
    <t xml:space="preserve">ELETRODUTO DE PVC RIGIDO ROSCAVEL DE 1", SEM LUVA</t>
  </si>
  <si>
    <t xml:space="preserve">ELETRODUTO DE PVC RIGIDO ROSCAVEL DE 1/2", SEM LUVA</t>
  </si>
  <si>
    <t xml:space="preserve">ELETRODUTO DE PVC RIGIDO ROSCAVEL DE 2 1/2", SEM LUVA</t>
  </si>
  <si>
    <t xml:space="preserve">ELETRODUTO DE PVC RIGIDO ROSCAVEL DE 2", SEM LUVA</t>
  </si>
  <si>
    <t xml:space="preserve">ELETRODUTO DE PVC RIGIDO ROSCAVEL DE 3", SEM LUVA</t>
  </si>
  <si>
    <t xml:space="preserve">ELETRODUTO DE PVC RIGIDO ROSCAVEL DE 3/4", SEM LUVA</t>
  </si>
  <si>
    <t xml:space="preserve">ELETRODUTO DE PVC RIGIDO ROSCAVEL DE 4",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</si>
  <si>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</si>
  <si>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</si>
  <si>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</si>
  <si>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</si>
  <si>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</si>
  <si>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</si>
  <si>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</si>
  <si>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</si>
  <si>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</si>
  <si>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</si>
  <si>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</si>
  <si>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</si>
  <si>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</si>
  <si>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</si>
  <si>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</si>
  <si>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</si>
  <si>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</si>
  <si>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</si>
  <si>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</si>
  <si>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</si>
  <si>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</si>
  <si>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</si>
  <si>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</si>
  <si>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</si>
  <si>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</si>
  <si>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</si>
  <si>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</si>
  <si>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</si>
  <si>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</si>
  <si>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</si>
  <si>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</si>
  <si>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</si>
  <si>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</si>
  <si>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</si>
  <si>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</si>
  <si>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</si>
  <si>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</si>
  <si>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</si>
  <si>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</si>
  <si>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</si>
  <si>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</si>
  <si>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EMENDA INTERNA, TIPO U, BASE LISA, PARA ELETROCALHA, EM CHAPA DE ACO GALVANIZADO ESPESSURA #14, 700 X 50 MM (L X A)</t>
  </si>
  <si>
    <t xml:space="preserve">EMENDA INTERNA, TIPO U, BASE LISA, PARA ELETROCALHA, EM CHAPA DE ACO GALVANIZADO ESPESSURA #14, 800 X 50 MM (L X A)</t>
  </si>
  <si>
    <t xml:space="preserve">EMENDA INTERNA, TIPO U, BASE LISA, PARA ELETROCALHA, EM CHAPA DE ACO GALVANIZADO ESPESSURA #16, 500 X 50 MM (L X A)</t>
  </si>
  <si>
    <t xml:space="preserve">EMENDA INTERNA, TIPO U, BASE LISA, PARA ELETROCALHA, EM CHAPA DE ACO GALVANIZADO ESPESSURA #16, 600 X 50 MM (L X A)</t>
  </si>
  <si>
    <t xml:space="preserve">EMENDA INTERNA, TIPO U, BASE LISA, PARA ELETROCALHA, EM CHAPA DE ACO GALVANIZADO ESPESSURA #18, 300 X 50 MM (L X A)</t>
  </si>
  <si>
    <t xml:space="preserve">EMENDA INTERNA, TIPO U, BASE LISA, PARA ELETROCALHA, EM CHAPA DE ACO GALVANIZADO ESPESSURA #18, 400 X 50 MM (L X A)</t>
  </si>
  <si>
    <t xml:space="preserve">EMENDA INTERNA, TIPO U, BASE LISA, PARA ELETROCALHA, EM CHAPA DE ACO GALVANIZADO ESPESSURA #22, 100 X 50 MM (L X A)</t>
  </si>
  <si>
    <t xml:space="preserve">EMENDA INTERNA, TIPO U, BASE LISA, PARA ELETROCALHA, EM CHAPA DE ACO GALVANIZADO ESPESSURA #22, 125 X 50 MM (L X A)</t>
  </si>
  <si>
    <t xml:space="preserve">EMENDA INTERNA, TIPO U, BASE LISA, PARA ELETROCALHA, EM CHAPA DE ACO GALVANIZADO ESPESSURA #22, 150 X 50 MM (L X A)</t>
  </si>
  <si>
    <t xml:space="preserve">EMENDA INTERNA, TIPO U, BASE LISA, PARA ELETROCALHA, EM CHAPA DE ACO GALVANIZADO ESPESSURA #22, 200 X 50 MM (L X A)</t>
  </si>
  <si>
    <t xml:space="preserve">EMENDA INTERNA, TIPO U, BASE LISA, PARA ELETROCALHA, EM CHAPA DE ACO GALVANIZADO ESPESSURA #22, 250 X 50 MM (L X A)</t>
  </si>
  <si>
    <t xml:space="preserve">EMENDA INTERNA, TIPO U, BASE LISA, PARA ELETROCALHA, EM CHAPA DE ACO GALVANIZADO ESPESSURA #22, 50 X 50 MM (L X A)</t>
  </si>
  <si>
    <t xml:space="preserve">EMENDA INTERNA, TIPO U, BASE LISA, PARA ELETROCALHA, EM CHAPA DE ACO GALVANIZADO ESPESSURA #22, 75 X 50 MM (L X 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</si>
  <si>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</si>
  <si>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</si>
  <si>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</si>
  <si>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</si>
  <si>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</si>
  <si>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</si>
  <si>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</si>
  <si>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</si>
  <si>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</si>
  <si>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</si>
  <si>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</si>
  <si>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</si>
  <si>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</si>
  <si>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ESPECIAIS</t>
  </si>
  <si>
    <t xml:space="preserve">ENERGIA ELETRICA ATE 2000 KWH INDUSTRIAL, SEM DEMANDA</t>
  </si>
  <si>
    <t>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</si>
  <si>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</si>
  <si>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</si>
  <si>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</si>
  <si>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</si>
  <si>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</si>
  <si>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</si>
  <si>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</si>
  <si>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</si>
  <si>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</si>
  <si>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</si>
  <si>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</si>
  <si>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</si>
  <si>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</si>
  <si>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</si>
  <si>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</si>
  <si>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</si>
  <si>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</si>
  <si>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</si>
  <si>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</si>
  <si>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</si>
  <si>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</si>
  <si>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</si>
  <si>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</si>
  <si>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</si>
  <si>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</si>
  <si>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</si>
  <si>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</si>
  <si>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</si>
  <si>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</si>
  <si>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</si>
  <si>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</si>
  <si>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</si>
  <si>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</si>
  <si>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</si>
  <si>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</si>
  <si>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</si>
  <si>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</si>
  <si>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</si>
  <si>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</si>
  <si>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</si>
  <si>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</si>
  <si>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</si>
  <si>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</si>
  <si>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</si>
  <si>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</si>
  <si>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</si>
  <si>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</si>
  <si>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</si>
  <si>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</si>
  <si>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</si>
  <si>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</si>
  <si>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</si>
  <si>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</si>
  <si>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</si>
  <si>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</si>
  <si>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</si>
  <si>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</si>
  <si>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</si>
  <si>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</si>
  <si>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</si>
  <si>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</si>
  <si>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</si>
  <si>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</si>
  <si>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</si>
  <si>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</si>
  <si>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</si>
  <si>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</si>
  <si>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</si>
  <si>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</si>
  <si>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</si>
  <si>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</si>
  <si>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</si>
  <si>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</si>
  <si>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</si>
  <si>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</si>
  <si>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</si>
  <si>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</si>
  <si>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</si>
  <si>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ESQUADRO PARA SOLDA, EM ALUMINIO, 65 MM, COM DUAS MORSAS (GRAMPO SARGENTO)</t>
  </si>
  <si>
    <t xml:space="preserve">ESQUI TRIPLO, EM TUBO DE ACO CARBONO, PINTURA NO PROCESSO ELETROSTATICO - EQUIPAMENTO DE GINASTICA PARA ACADEMIA AO AR LIVRE / ACADEMIA DA TERCEIRA IDADE - ATI</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</si>
  <si>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</si>
  <si>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</si>
  <si>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</si>
  <si>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</si>
  <si>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ESTOPA</t>
  </si>
  <si>
    <t xml:space="preserve">ESTOPIM SIMPLES</t>
  </si>
  <si>
    <t xml:space="preserve">ESTRIBO COM PARAFUSO EM CHAPA DE FERRO FUNDIDO DE 2" X 3/16" X 35 CM, SECAO "U", PARA MADEIRAMENTO DE TELHADO</t>
  </si>
  <si>
    <t xml:space="preserve">EXAMES - HORISTA (COLETADO CAIXA - ENCARGOS COMPLEMENTARES)</t>
  </si>
  <si>
    <t xml:space="preserve">EXAMES - MENSALISTA (COLETADO CAIXA - ENCARGOS COMPLEMENTARES)</t>
  </si>
  <si>
    <t xml:space="preserve">EXTENSAO DE SOLDA 201 ACETILENO, E = *1,5 A 2,5* MM (N2)</t>
  </si>
  <si>
    <t xml:space="preserve">EXTENSAO DE SOLDA 201 GLP, E = *2,5 A 4,0* MM (N4)</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</si>
  <si>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</si>
  <si>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</si>
  <si>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</si>
  <si>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</si>
  <si>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</si>
  <si>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</si>
  <si>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</si>
  <si>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</si>
  <si>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</si>
  <si>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</si>
  <si>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</si>
  <si>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</si>
  <si>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</si>
  <si>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</si>
  <si>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</si>
  <si>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</si>
  <si>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</si>
  <si>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</si>
  <si>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</si>
  <si>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</si>
  <si>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</si>
  <si>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</si>
  <si>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</si>
  <si>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</si>
  <si>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</si>
  <si>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</si>
  <si>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</si>
  <si>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</si>
  <si>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</si>
  <si>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</si>
  <si>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</si>
  <si>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</si>
  <si>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</si>
  <si>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</si>
  <si>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</si>
  <si>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</si>
  <si>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</si>
  <si>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</si>
  <si>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</si>
  <si>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</si>
  <si>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</si>
  <si>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</si>
  <si>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</si>
  <si>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</si>
  <si>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</si>
  <si>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</si>
  <si>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</si>
  <si>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</si>
  <si>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</si>
  <si>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</si>
  <si>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</si>
  <si>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</si>
  <si>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</si>
  <si>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</si>
  <si>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</si>
  <si>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</si>
  <si>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</si>
  <si>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</si>
  <si>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</si>
  <si>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</si>
  <si>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</si>
  <si>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</si>
  <si>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</si>
  <si>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</si>
  <si>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</si>
  <si>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 DE SOLDA, POTENCIA 40 W</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</si>
  <si>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</si>
  <si>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</si>
  <si>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</si>
  <si>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</si>
  <si>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</si>
  <si>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</si>
  <si>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</si>
  <si>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</si>
  <si>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</si>
  <si>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</si>
  <si>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</si>
  <si>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</si>
  <si>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</si>
  <si>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</si>
  <si>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</si>
  <si>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</si>
  <si>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</si>
  <si>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</si>
  <si>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</si>
  <si>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FILTRO QUIMICO PARA RESPIRADOR SEMI FACIAL, PROTECAO CONTRA VAPORES ORGANICOS E GASES ACIDOS</t>
  </si>
  <si>
    <t xml:space="preserve">FINCAPINO CURTO CALIBRE 22, CARGA MEDIA POTENCIA 5 (PARA FERRAMENTA DE ACAO DIRETA) COR VERMELHA</t>
  </si>
  <si>
    <t>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</si>
  <si>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</si>
  <si>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</si>
  <si>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</si>
  <si>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</si>
  <si>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</si>
  <si>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</si>
  <si>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</si>
  <si>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</si>
  <si>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BOPP, L = 50 MM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</si>
  <si>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</si>
  <si>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</si>
  <si>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</si>
  <si>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</si>
  <si>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</si>
  <si>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</si>
  <si>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DE VEDACAO ADESIVA, EM ESPUMA POLIETILENO, PRETA, L = 10 MM, E = 4 MM</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</si>
  <si>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</si>
  <si>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</si>
  <si>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</si>
  <si>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</si>
  <si>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</si>
  <si>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</si>
  <si>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</si>
  <si>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PLASTICA DE ARQUEAR, EM POLIPROPILENO - PP, PRETA, L = 10 MM, E = 0,65 MM</t>
  </si>
  <si>
    <t xml:space="preserve">FITA PLASTICA ZEBRADA PARA DEMARCACAO DE AREAS, LARGURA = 7 CM, SEM ADESIVO</t>
  </si>
  <si>
    <t xml:space="preserve">FITA VEDA ROSCA, EM PTFE, ROLO DE 18 MM X 10 M (L X C)</t>
  </si>
  <si>
    <t xml:space="preserve">FITA VEDA ROSCA, EM PTFE, ROLO DE 18 MM X 25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</si>
  <si>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</si>
  <si>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</si>
  <si>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</si>
  <si>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</si>
  <si>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</si>
  <si>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</si>
  <si>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</si>
  <si>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</si>
  <si>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</si>
  <si>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</si>
  <si>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</si>
  <si>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</si>
  <si>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</si>
  <si>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</si>
  <si>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</si>
  <si>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FORMAO CHANFRADO 1", CABO DE MADEIRA</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</si>
  <si>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</si>
  <si>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</si>
  <si>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</si>
  <si>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</si>
  <si>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</si>
  <si>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</si>
  <si>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</si>
  <si>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</si>
  <si>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</si>
  <si>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</si>
  <si>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</si>
  <si>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</si>
  <si>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</si>
  <si>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</si>
  <si>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</si>
  <si>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</si>
  <si>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</si>
  <si>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</si>
  <si>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</si>
  <si>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</si>
  <si>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FURADEIRA ELETRICA DE IMPACTO 1/2", 600 W</t>
  </si>
  <si>
    <t xml:space="preserve">FURO PARA TORNEIRA OU OUTROS ACESSORIOS EM BANCADA DE MARMORE/ GRANITO OU OUTRO TIPO DE PEDRA NATURAL</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</si>
  <si>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</si>
  <si>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</si>
  <si>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</si>
  <si>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</si>
  <si>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</si>
  <si>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</si>
  <si>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</si>
  <si>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</si>
  <si>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</si>
  <si>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</si>
  <si>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</si>
  <si>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</si>
  <si>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</si>
  <si>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</si>
  <si>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</si>
  <si>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</si>
  <si>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</si>
  <si>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</si>
  <si>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</si>
  <si>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</si>
  <si>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</si>
  <si>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</si>
  <si>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</si>
  <si>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</si>
  <si>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</si>
  <si>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</si>
  <si>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</si>
  <si>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</si>
  <si>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</si>
  <si>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</si>
  <si>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</si>
  <si>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</si>
  <si>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</si>
  <si>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</si>
  <si>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</si>
  <si>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</si>
  <si>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</si>
  <si>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</si>
  <si>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</si>
  <si>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</si>
  <si>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</si>
  <si>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</si>
  <si>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</si>
  <si>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</si>
  <si>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</si>
  <si>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</si>
  <si>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</si>
  <si>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</si>
  <si>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</si>
  <si>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</si>
  <si>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DE APERTO RAPIDO 18"</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</si>
  <si>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</si>
  <si>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</si>
  <si>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</si>
  <si>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</si>
  <si>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</si>
  <si>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</si>
  <si>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</si>
  <si>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</si>
  <si>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</si>
  <si>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</si>
  <si>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</si>
  <si>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</si>
  <si>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</si>
  <si>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</si>
  <si>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</si>
  <si>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</si>
  <si>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</si>
  <si>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</si>
  <si>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</si>
  <si>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</si>
  <si>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</si>
  <si>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</si>
  <si>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</si>
  <si>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</si>
  <si>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</si>
  <si>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</si>
  <si>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GRUPO GERADOR DE SOLDA ELETRICA, COM MAQUINA DE SOLDA, ATE 400 AMPERES E GERADOR A DIESEL 60 CV, MOTOR 4 CILINDROS, TANQUE COMBUST., CARENAGEM DE PROTECAO SOBRE RODAS</t>
  </si>
  <si>
    <t xml:space="preserve">GRUPO GERADOR DIESEL, COM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</si>
  <si>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</si>
  <si>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MOTOR DIESEL POTENCIA 170 KVA</t>
  </si>
  <si>
    <t xml:space="preserve">GRUPO GERADOR ESTACIONARIO, POTENCIA 150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</si>
  <si>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</si>
  <si>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</si>
  <si>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</si>
  <si>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</si>
  <si>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</si>
  <si>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</si>
  <si>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</si>
  <si>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</si>
  <si>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</si>
  <si>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</si>
  <si>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</si>
  <si>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</si>
  <si>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</si>
  <si>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</si>
  <si>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</si>
  <si>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</si>
  <si>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</si>
  <si>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</si>
  <si>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</si>
  <si>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</si>
  <si>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</si>
  <si>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</si>
  <si>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</si>
  <si>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</si>
  <si>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</si>
  <si>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</si>
  <si>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</si>
  <si>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</si>
  <si>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</si>
  <si>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</si>
  <si>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</si>
  <si>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</si>
  <si>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</si>
  <si>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</si>
  <si>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</si>
  <si>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</si>
  <si>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</si>
  <si>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</si>
  <si>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</si>
  <si>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</si>
  <si>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</si>
  <si>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</si>
  <si>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</si>
  <si>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</si>
  <si>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</si>
  <si>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</si>
  <si>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</si>
  <si>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</si>
  <si>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</si>
  <si>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</si>
  <si>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</si>
  <si>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</si>
  <si>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</si>
  <si>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</si>
  <si>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</si>
  <si>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</si>
  <si>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</si>
  <si>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</si>
  <si>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</si>
  <si>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</si>
  <si>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</si>
  <si>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</si>
  <si>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</si>
  <si>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</si>
  <si>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</si>
  <si>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</si>
  <si>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</si>
  <si>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</si>
  <si>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*7000* W, TENSAO DE 220 V, TURBO VENTILADO, PROTECAO POR TERMOSTATO,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</si>
  <si>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</si>
  <si>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</si>
  <si>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</si>
  <si>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</si>
  <si>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</si>
  <si>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</si>
  <si>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</si>
  <si>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</si>
  <si>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</si>
  <si>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</si>
  <si>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</si>
  <si>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</si>
  <si>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</si>
  <si>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</si>
  <si>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</si>
  <si>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</si>
  <si>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</si>
  <si>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</si>
  <si>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</si>
  <si>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</si>
  <si>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</si>
  <si>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</si>
  <si>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</si>
  <si>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</si>
  <si>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</si>
  <si>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</si>
  <si>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</si>
  <si>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</si>
  <si>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</si>
  <si>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</si>
  <si>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</si>
  <si>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</si>
  <si>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</si>
  <si>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</si>
  <si>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</si>
  <si>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</si>
  <si>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</si>
  <si>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</si>
  <si>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</si>
  <si>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</si>
  <si>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</si>
  <si>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</si>
  <si>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</si>
  <si>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</si>
  <si>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</si>
  <si>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</si>
  <si>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</si>
  <si>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</si>
  <si>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</si>
  <si>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</si>
  <si>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</si>
  <si>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</si>
  <si>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</si>
  <si>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</si>
  <si>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</si>
  <si>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</si>
  <si>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</si>
  <si>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</si>
  <si>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</si>
  <si>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</si>
  <si>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</si>
  <si>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</si>
  <si>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</si>
  <si>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</si>
  <si>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</si>
  <si>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</si>
  <si>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</si>
  <si>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</si>
  <si>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</si>
  <si>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</si>
  <si>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</si>
  <si>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</si>
  <si>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</si>
  <si>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</si>
  <si>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</si>
  <si>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</si>
  <si>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</si>
  <si>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</si>
  <si>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</si>
  <si>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</si>
  <si>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</si>
  <si>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</si>
  <si>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</si>
  <si>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</si>
  <si>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</si>
  <si>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</si>
  <si>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</si>
  <si>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</si>
  <si>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</si>
  <si>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</si>
  <si>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</si>
  <si>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</si>
  <si>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</si>
  <si>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</si>
  <si>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</si>
  <si>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</si>
  <si>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</si>
  <si>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</si>
  <si>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</si>
  <si>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</si>
  <si>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</si>
  <si>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</si>
  <si>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</si>
  <si>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</si>
  <si>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</si>
  <si>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</si>
  <si>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</si>
  <si>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</si>
  <si>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</si>
  <si>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</si>
  <si>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</si>
  <si>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</si>
  <si>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</si>
  <si>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</si>
  <si>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</si>
  <si>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</si>
  <si>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</si>
  <si>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</si>
  <si>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</si>
  <si>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</si>
  <si>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</si>
  <si>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</si>
  <si>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</si>
  <si>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</si>
  <si>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</si>
  <si>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</si>
  <si>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</si>
  <si>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</si>
  <si>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</si>
  <si>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</si>
  <si>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</si>
  <si>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</si>
  <si>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</si>
  <si>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</si>
  <si>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</si>
  <si>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</si>
  <si>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</si>
  <si>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</si>
  <si>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</si>
  <si>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</si>
  <si>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</si>
  <si>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</si>
  <si>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</si>
  <si>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</si>
  <si>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</si>
  <si>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</si>
  <si>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</si>
  <si>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CHAVES ALLEN LONGAS HEXAGONAIS DE 1,5 MM A 10 MM - 9 PECAS</t>
  </si>
  <si>
    <t xml:space="preserve">JOGO DE CHAVES DE FENDA E PHILLIPS ISOLADAS, 1000 V - *6* PECAS</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</si>
  <si>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</si>
  <si>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</si>
  <si>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JOGO SERRA COPO COM 6 SERRAS, DIAMETRO VARIANDO DE 15 MM A 60 MM</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</si>
  <si>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</si>
  <si>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</si>
  <si>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</si>
  <si>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</si>
  <si>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</si>
  <si>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</si>
  <si>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</si>
  <si>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</si>
  <si>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</si>
  <si>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</si>
  <si>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</si>
  <si>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</si>
  <si>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</si>
  <si>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</si>
  <si>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</si>
  <si>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</si>
  <si>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</si>
  <si>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</si>
  <si>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</si>
  <si>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</si>
  <si>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</si>
  <si>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</si>
  <si>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</si>
  <si>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</si>
  <si>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</si>
  <si>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</si>
  <si>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</si>
  <si>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</si>
  <si>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</si>
  <si>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</si>
  <si>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</si>
  <si>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</si>
  <si>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</si>
  <si>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</si>
  <si>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</si>
  <si>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</si>
  <si>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</si>
  <si>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</si>
  <si>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</si>
  <si>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</si>
  <si>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</si>
  <si>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*390* X *900* MM (L X H), CONEXAO COM ANEL DESLIZANTE (CONJUNTO COMPLETO)</t>
  </si>
  <si>
    <t xml:space="preserve">KIT CHUVEIRO, INSTAL. PEX, QUADRO METALICO C/2 TRAVESSAS, SUPERIOR C/ ESPERA P/ CHUVEIRO E INFERIOR C/2 REGISTROS DE PRESSAO 1/2",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</si>
  <si>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</si>
  <si>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</si>
  <si>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</si>
  <si>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</si>
  <si>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</si>
  <si>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</si>
  <si>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</si>
  <si>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</si>
  <si>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</si>
  <si>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</si>
  <si>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</si>
  <si>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</si>
  <si>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</si>
  <si>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</si>
  <si>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</si>
  <si>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</si>
  <si>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</si>
  <si>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</si>
  <si>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</si>
  <si>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</si>
  <si>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</si>
  <si>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</si>
  <si>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</si>
  <si>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</si>
  <si>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</si>
  <si>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</si>
  <si>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EM PAINEL TRELICADO L=25, COM ENCHIMENTO EM POLIESTIRENO EXPANDIDO (EPS) H13, PTN-20, TRELICA DE 16 CM, PARA PISO, UNIDIRECIONAL, SOBRECARGA DE 350 KGF/M2, VAO ATE 7,0 M, EXCLUSO CONCRETO (SEM COLOCACAO)</t>
  </si>
  <si>
    <t xml:space="preserve">LAJE EM PAINEL TRELICADO L=25, COM ENCHIMENTO EM POLIESTIRENO EXPANDIDO (EPS) H17, PTN-25, TRELICA DE 20 CM, PARA PISO, UNIDIRECIONAL, SOBRECARGA DE 350 KGF/M2, VAO ATE 8,0 M, EXCLUSO CONCRETO (SEM COLOCACAO)</t>
  </si>
  <si>
    <t xml:space="preserve">LAJE EM PAINEL TRELICADO L=25, COM ENCHIMENTO EM POLIESTIRENO EXPANDIDO (EPS) H22, PTN-30, TRELICA DE 25 CM, PARA PISO, UNIDIRECIONAL, SOBRECARGA DE 350 KGF/M2, VAO ATE 9,0 M, EXCLUSO CONCRETO (SEM COLOCACAO)</t>
  </si>
  <si>
    <t xml:space="preserve">LAJE EM PAINEL TRELICADO L=25, COM ENCHIMENTO EM POLIESTIRENO EXPANDIDO (EPS) H5, PTN-12, TRELICA DE 8 CM, PARA FORRO, UNIDIRECIONAL, SOBRECARGA DE 100 KGF/M2, VAO ATE 5,0 M, EXCLUSO CONCRETO (SEM COLOCACAO)</t>
  </si>
  <si>
    <t xml:space="preserve">LAJE EM PAINEL TRELICADO L=25, COM ENCHIMENTO EM POLIESTIRENO EXPANDIDO (EPS) H5, PTN-12, TRELICA DE 8 CM, PARA PISO, UNIDIRECIONAL, SOBRECARGA DE 350 KGF/M2, VAO ATE 4,5 M, EXCLUSO CONCRETO (SEM COLOCACAO)</t>
  </si>
  <si>
    <t xml:space="preserve">LAJE EM PAINEL TRELICADO L=25, COM ENCHIMENTO EM POLIESTIRENO EXPANDIDO (EPS) H9, PTN-*16*, TRELICA DE 12 CM, PARA PISO, UNIDIRECIONAL, SOBRECARGA DE 350 KGF/M2, VAO ATE 6,0 M, EXCLUSO CONCRETO (SEM COLOCACAO)</t>
  </si>
  <si>
    <t xml:space="preserve">LAJE EM PAINEL TRELICADO MACICO L=25 CM, PTM-*25*, COM TRELICA DE 20 CM, PARA PISO, UNIDIRECIONAL, SOBRECARGA DE 350 KGF/M2, VAO ATE 9,0 M, EXCLUSO CONCRETO (SEM COLOCACAO)</t>
  </si>
  <si>
    <t xml:space="preserve">LAJE EM PAINEL TRELICADO MACICO L=25 CM, PTM-*30*, COM TRELICA DE 25 CM, PARA PISO, UNIDIRECIONAL, SOBRECARGA DE 350 KGF/M2, VAO ATE 10,0 M, EXCLUSO CONCRETO (SEM COLOCACAO)</t>
  </si>
  <si>
    <t xml:space="preserve">LAJE EM PAINEL TRELICADO MACICO L=25 CM, PTM-12, COM TRELICA DE 8 CM, PARA FORRO, UNIDIRECIONAL, SOBRECARGA DE 100 KGF/M2, VAO ATE 6,0 M, EXCLUSO CONCRETO (SEM COLOCACAO)</t>
  </si>
  <si>
    <t xml:space="preserve">LAJE EM PAINEL TRELICADO MACICO L=25 CM, PTM-12, COM TRELICA DE 8 CM, PARA PISO, UNIDIRECIONAL, SOBRECARGA DE 350 KGF/M2, VAO ATE 5,0 M, EXCLUSO CONCRETO (SEM COLOCACAO)</t>
  </si>
  <si>
    <t xml:space="preserve">LAJE EM PAINEL TRELICADO MACICO L=25 CM, PTM-16, COM TRELICA DE 12 CM, PARA PISO, UNIDIRECIONAL, SOBRECARGA DE 350 KGF/M2, VAO ATE 6,0 M, EXCLUSO CONCRETO (SEM COLOCACAO)</t>
  </si>
  <si>
    <t xml:space="preserve">LAJE EM PAINEL TRELICADO MACICO L=25 CM, PTM-20, COM TRELICA DE 16 CM, PARA PISO, UNIDIRECIONAL, SOBRECARGA DE 350 KGF/M2, VAO ATE 8,0 M, EXCLUSO CONCRETO (SEM COLOCACAO)</t>
  </si>
  <si>
    <t xml:space="preserve">LAJE PRE-MOLDADA COM VIGOTA PROTENDIDA (LAJOTAS + VIGOTAS) COM LAJOTA CERAMICA 30 X 20 X 12 CM (L X C X A) E VIGOTA VPT 10 X 9 CM (L X A), PARA PISO, UNIDIRECIONAL, SOBRECARGA DE 350 KGF/M2, VAO ATE 5,5 M (SEM COLOCACAO)</t>
  </si>
  <si>
    <t xml:space="preserve">LAJE PRE-MOLDADA COM VIGOTA PROTENDIDA (LAJOTAS + VIGOTAS) COM LAJOTA CERAMICA 30 X 20 X 16 CM (L X C X A) E VIGOTA VPT 10 X 9 CM (L X A), PARA PISO, UNIDIRECIONAL, SOBRECARGA DE 350 KGF/M2, VAO ATE 6 M (SEM COLOCACAO)</t>
  </si>
  <si>
    <t xml:space="preserve">LAJE PRE-MOLDADA COM VIGOTA PROTENDIDA (LAJOTAS + VIGOTAS) COM LAJOTA CERAMICA 30 X 20 X 20 CM (L X C X A) E VIGOTA VPT 10 X 9 CM (L X A), PARA PISO, UNIDIRECIONAL, SOBRECARGA DE 350 KGF/M2, VAO ATE 6,5 M (SEM COLOCACAO)</t>
  </si>
  <si>
    <t xml:space="preserve">LAJE PRE-MOLDADA COM VIGOTA PROTENDIDA (LAJOTAS + VIGOTAS) COM LAJOTA CERAMICA 30 X 20 X 24 CM (L X C X A) E VIGOTA VPT 10 X 9 CM (L X A), PARA PISO, UNIDIRECIONAL, SOBRECARGA DE 350 KGF/M2, VAO ATE 7 M (SEM COLOCACAO)</t>
  </si>
  <si>
    <t xml:space="preserve">LAJE PRE-MOLDADA COM VIGOTA PROTENDIDA (LAJOTAS + VIGOTAS) COM LAJOTA CERAMICA 30 X 20 X 8 CM (L X C X A) E VIGOTA VPT 10 X 9 CM (L X A), PARA PISO, UNIDIRECIONAL, SOBRECARGA DE 350 KGF/M2, VAO ATE 4,5 M (SEM COLOCACAO)</t>
  </si>
  <si>
    <t xml:space="preserve">LAJE PRE-MOLDADA COM VIGOTA PROTENDIDA (LAJOTAS + VIGOTAS) COM LAJOTA EM POLIESTIRENO EXPANDIDO (EPS), H12, *33* X 100 X 12 CM (L X C X A) E VIGOTA VPT 10 X 9 CM (L X A), PARA PISO, UNIDIRECIONAL, SOBRECARGA DE 350 KGF/M2, VAO ATE 5,5 M (SEM COLOCACAO)</t>
  </si>
  <si>
    <t xml:space="preserve">LAJE PRE-MOLDADA COM VIGOTA PROTENDIDA (LAJOTAS + VIGOTAS) COM LAJOTA EM POLIESTIRENO EXPANDIDO (EPS), H16, *33* X 100 X 16 CM (L X C X A) E VIGOTA VPT 10 X 9 CM (L X A), PARA PISO, UNIDIRECIONAL, SOBRECARGA DE 350 KGF/M2, VAO ATE 6,5 M (SEM COLOCACAO)</t>
  </si>
  <si>
    <t xml:space="preserve">LAJE PRE-MOLDADA COM VIGOTA PROTENDIDA (LAJOTAS + VIGOTAS) COM LAJOTA EM POLIESTIRENO EXPANDIDO (EPS), H20, *33* X 100 X 20 CM (L X C X A) E VIGOTA VPT 10 X 9 CM (L X A), PARA PISO, UNIDIRECIONAL, SOBRECARGA DE 350 KGF/M2, VAO ATE 7 M (SEM COLOCACAO)</t>
  </si>
  <si>
    <t xml:space="preserve">LAJE PRE-MOLDADA COM VIGOTA PROTENDIDA (LAJOTAS + VIGOTAS) COM LAJOTA EM POLIESTIRENO EXPANDIDO (EPS), H25, *33* X 100 X 25 CM (L X C X A) E VIGOTA VPT 10 X 9 CM (L X A), PARA PISO, UNIDIRECIONAL, SOBRECARGA DE 350 KGF/M2, VAO ATE 8 M (SEM COLOCACAO)</t>
  </si>
  <si>
    <t xml:space="preserve">LAJE PRE-MOLDADA COM VIGOTA PROTENDIDA (LAJOTAS + VIGOTAS) COM LAJOTA EM POLIESTIRENO EXPANDIDO (EPS), H8, *33* X 100 X 8 CM (L X C X A) E VIGOTA VPT 10 X 9 CM (L X A), PARA PISO, UNIDIRECIONAL, SOBRECARGA DE 350 KGF/M2, VAO ATE 4,5 M (SEM COLOCACAO)</t>
  </si>
  <si>
    <t xml:space="preserve">LAJE PRE-MOLDADA CONVENCIONAL (LAJOTAS + VIGOTAS) PARA FORRO, UNIDIRECIONAL, SOBRECARGA DE 100 KG/M2, VAO ATE 4 M (SEM COLOCACAO)</t>
  </si>
  <si>
    <t xml:space="preserve">LAJE PRE-MOLDADA CONVENCIONAL (LAJOTAS + VIGOTAS) PARA FORRO, UNIDIRECIONAL, SOBRECARGA DE 100 KG/M2, VAO ATE 4,5 M (SEM COLOCACAO)</t>
  </si>
  <si>
    <t xml:space="preserve">LAJE PRE-MOLDADA CONVENCIONAL (LAJOTAS + VIGOTAS) PARA PISO, UNIDIRECIONAL, SOBRECARGA DE 350 KG/M2, VAO ATE 4,5 M (SEM COLOCACAO)</t>
  </si>
  <si>
    <t xml:space="preserve">LAJE PRE-MOLDADA TRELICADA (LAJOTAS + VIGOTAS) COM LAJOTA CERAMICA *30* X 20 X *8* CM (L X C X A) E VIGOTA VTR *12* X 8 CM (L X A), PARA PISO, UNIDIRECIONAL, SOBRECARGA DE 350 KGF/M2, VAO ATE 4 M (SEM COLOCACAO)</t>
  </si>
  <si>
    <t xml:space="preserve">LAJE PRE-MOLDADA TRELICADA (LAJOTAS + VIGOTAS) COM LAJOTA CERAMICA *30* X 20 X 12 CM (L X C X A) E VIGOTA VTR *12* X 12 CM (L X A), PARA PISO, UNIDIRECIONAL, SOBRECARGA DE 350 KGF/M2, VAO ATE 5 M (SEM COLOCACAO)</t>
  </si>
  <si>
    <t xml:space="preserve">LAJE PRE-MOLDADA TRELICADA (LAJOTAS + VIGOTAS) COM LAJOTA CERAMICA *30* X 20 X 16 CM (L X C X A) E VIGOTA VTR *12* X 16 CM (L X A), PARA PISO, UNIDIRECIONAL, SOBRECARGA DE 350 KGF/M2, VAO ATE 6 M (SEM COLOCACAO)</t>
  </si>
  <si>
    <t xml:space="preserve">LAJE PRE-MOLDADA TRELICADA (LAJOTAS + VIGOTAS) COM LAJOTA CERAMICA *30* X 20 X 20 CM (L X C X A) E VIGOTA VTR *12* X 20 CM (L X A), PARA PISO, UNIDIRECIONAL, SOBRECARGA DE 350 KGF/M2, VAO ATE 7 M (SEM COLOCACAO)</t>
  </si>
  <si>
    <t xml:space="preserve">LAJE PRE-MOLDADA TRELICADA (LAJOTAS + VIGOTAS) COM LAJOTA CERAMICA *30* X 20 X 24 CM (L X C X A) E VIGOTA VTR *12* X 25 CM (L X A), PARA PISO, UNIDIRECIONAL, SOBRECARGA DE 350 KGF/M2, VAO ATE 8 M (SEM COLOCACAO)</t>
  </si>
  <si>
    <t xml:space="preserve">LAJE PRE-MOLDADA TRELICADA (LAJOTAS + VIGOTAS) COM LAJOTA EM POLIESTIRENO EXPANDIDO (EPS), H12, *33* X 100 X 12 CM (L X C X A) E VIGOTA VTR *12* X 12 CM (L X A), PARA PISO, UNIDIRECIONAL, SOBRECARGA DE 350 KGF/M2, VAO ATE 5,5 M (SEM COLOCACAO)</t>
  </si>
  <si>
    <t xml:space="preserve">LAJE PRE-MOLDADA TRELICADA (LAJOTAS + VIGOTAS) COM LAJOTA EM POLIESTIRENO EXPANDIDO (EPS), H16, *33* X 100 X 16 CM (L X C X A) E VIGOTA VTR *12* X 16 CM (L X A), PARA PISO, UNIDIRECIONAL, SOBRECARGA DE 350 KGF/M2, VAO ATE 6,5 M (SEM COLOCACAO)</t>
  </si>
  <si>
    <t xml:space="preserve">LAJE PRE-MOLDADA TRELICADA (LAJOTAS + VIGOTAS) COM LAJOTA EM POLIESTIRENO EXPANDIDO (EPS), H20, *33* X 100 X 20 CM (L X C X A) E VIGOTA VTR *12* X 20 CM (L X A), PARA PISO, UNIDIRECIONAL, SOBRECARGA DE 350 KGF/M2, VAO ATE 8 M (SEM COLOCACAO)</t>
  </si>
  <si>
    <t xml:space="preserve">LAJE PRE-MOLDADA TRELICADA (LAJOTAS + VIGOTAS) COM LAJOTA EM POLIESTIRENO EXPANDIDO (EPS), H25,*33* X 100 X 25 CM (L X C X A) E VIGOTA VTR *12* X 25 CM (L X A), PARA PISO, UNIDIRECIONAL, SOBRECARGA DE 350 KGF/M2, VAO ATE 9 M (SEM COLOCACAO)</t>
  </si>
  <si>
    <t xml:space="preserve">LAJE PRE-MOLDADA TRELICADA (LAJOTAS + VIGOTAS) PARA FORRO, UNIDIRECIONAL, SOBRECARGA DE 100 KG/M2, VAO ATE 6,00 M (SEM COLOCACAO)</t>
  </si>
  <si>
    <t xml:space="preserve">LAJE PRE-MOLDADA TRELICADA (LAJOTAS + VIGOTAS) COM LAJOTA EM POLIESTIRENO EXPANDIDO (EPS), *H8*, *33* X 100 X 8 CM (L X C X A) E VIGOTA VTR *12* X 8 CM (L X A), PARA PISO, UNIDIRECIONAL, SOBRECARGA DE 250 KGF/M2, VAO ATE 4 M (SEM COLOCACAO)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</si>
  <si>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</si>
  <si>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</si>
  <si>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</si>
  <si>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</si>
  <si>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</si>
  <si>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LAPIS PARA CARPINTEIRO</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</si>
  <si>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</si>
  <si>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</si>
  <si>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</si>
  <si>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</si>
  <si>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</si>
  <si>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</si>
  <si>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</si>
  <si>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</si>
  <si>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</si>
  <si>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</si>
  <si>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</si>
  <si>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</si>
  <si>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</si>
  <si>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</si>
  <si>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LIMA QUADRADA BASTARDA 8", COM CABO</t>
  </si>
  <si>
    <t xml:space="preserve">LIMA REDONDA BASTARDA 8", COM CABO</t>
  </si>
  <si>
    <t xml:space="preserve">LIMPA VIDROS COM PULVERIZADOR</t>
  </si>
  <si>
    <t xml:space="preserve">LIMPADORA A SUCCAO, TANQUE 12000 L, BASCULAMENTO HIDRAULICO, BOMBA 12 M3/MIN 95% VACUO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</si>
  <si>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</si>
  <si>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</si>
  <si>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</si>
  <si>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</si>
  <si>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LIXEIRA DUPLA, COM CAPACIDADE VOLUMETRICA DE 60L*, FABRICADA EM TUBO DE ACO CARBONO, CESTOS EM CHAPA DE ACO E PINTURA NO PROCESSO ELETROSTATICO - PARA ACADEMIA AO AR LIVRE / ACADEMIA DA TERCEIRA IDADE - ATI</t>
  </si>
  <si>
    <t xml:space="preserve">EQUIPAMENTO (LOCAÇÃO)</t>
  </si>
  <si>
    <t xml:space="preserve">LOCACAO DE ANDAIME METALICO TIPO FACHADEIRO, PECAS COM APROXIMADAMENTE 1,20 M DE LARGURA E 2,0 M DE ALTURA, INCLUINDO DIAGONAIS EM X, BARRAS DE LIGACAO, SAPATAS E DEMAIS ITENS NECESSARIOS A MONTAGEM (NAO INCLUI INSTALACAO)</t>
  </si>
  <si>
    <t>M2XMES</t>
  </si>
  <si>
    <t xml:space="preserve">LOCACAO DE ANDAIME METALICO TUBULAR DE ENCAIXE, TIPO DE TORRE, CADA PAINEL COM LARGURA DE 1 ATE 1,5 M E ALTURA DE *1,00* M, INCLUINDO DIAGONAL, BARRAS DE LIGACAO, SAPATAS OU RODIZIOS E DEMAIS ITENS NECESSARIOS A MONTAGEM (NAO INCLUI INSTALACAO)</t>
  </si>
  <si>
    <t>MXMES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</si>
  <si>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</si>
  <si>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</si>
  <si>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UNXMES</t>
  </si>
  <si>
    <t xml:space="preserve">LOCACAO DE BARRA DE ANCORAGEM DE 0,80 A 1,20 M DE EXTENSAO, COM ROSCA DE 5/8", INCLUINDO PORCA E FLANGE</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</si>
  <si>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</si>
  <si>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</si>
  <si>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</si>
  <si>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</si>
  <si>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</si>
  <si>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</si>
  <si>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</si>
  <si>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</si>
  <si>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</si>
  <si>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</si>
  <si>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</si>
  <si>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</si>
  <si>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</si>
  <si>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</si>
  <si>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</si>
  <si>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</si>
  <si>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</si>
  <si>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</si>
  <si>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</si>
  <si>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</si>
  <si>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</si>
  <si>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</si>
  <si>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</si>
  <si>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</si>
  <si>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</si>
  <si>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</si>
  <si>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</si>
  <si>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</si>
  <si>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</si>
  <si>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</si>
  <si>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</si>
  <si>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</si>
  <si>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</si>
  <si>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</si>
  <si>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</si>
  <si>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</si>
  <si>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</si>
  <si>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</si>
  <si>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</si>
  <si>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</si>
  <si>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</si>
  <si>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</si>
  <si>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</si>
  <si>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</si>
  <si>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</si>
  <si>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</si>
  <si>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</si>
  <si>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</si>
  <si>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</si>
  <si>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</si>
  <si>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</si>
  <si>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</si>
  <si>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</si>
  <si>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</si>
  <si>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</si>
  <si>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</si>
  <si>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</si>
  <si>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</si>
  <si>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</si>
  <si>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</si>
  <si>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</si>
  <si>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</si>
  <si>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</si>
  <si>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</si>
  <si>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</si>
  <si>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</si>
  <si>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</si>
  <si>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</si>
  <si>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</si>
  <si>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</si>
  <si>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</si>
  <si>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</si>
  <si>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</si>
  <si>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</si>
  <si>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</si>
  <si>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</si>
  <si>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</si>
  <si>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</si>
  <si>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</si>
  <si>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</si>
  <si>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</si>
  <si>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</si>
  <si>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</si>
  <si>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</si>
  <si>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</si>
  <si>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</si>
  <si>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</si>
  <si>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</si>
  <si>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</si>
  <si>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</si>
  <si>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</si>
  <si>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</si>
  <si>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</si>
  <si>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</si>
  <si>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</si>
  <si>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</si>
  <si>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</si>
  <si>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</si>
  <si>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</si>
  <si>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</si>
  <si>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</si>
  <si>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</si>
  <si>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</si>
  <si>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</si>
  <si>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</si>
  <si>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LATEX MULTIUSO AMARELA FORRADA</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</si>
  <si>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</si>
  <si>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</si>
  <si>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</si>
  <si>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</si>
  <si>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</si>
  <si>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</si>
  <si>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</si>
  <si>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</si>
  <si>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</si>
  <si>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</si>
  <si>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</si>
  <si>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</si>
  <si>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</si>
  <si>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</si>
  <si>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</si>
  <si>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</si>
  <si>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</si>
  <si>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</si>
  <si>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</si>
  <si>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</si>
  <si>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</si>
  <si>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</si>
  <si>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</si>
  <si>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</si>
  <si>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</si>
  <si>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</si>
  <si>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</si>
  <si>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</si>
  <si>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</si>
  <si>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</si>
  <si>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</si>
  <si>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</si>
  <si>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</si>
  <si>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</si>
  <si>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</si>
  <si>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</si>
  <si>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</si>
  <si>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</si>
  <si>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</si>
  <si>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</si>
  <si>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</si>
  <si>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</si>
  <si>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</si>
  <si>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</si>
  <si>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</si>
  <si>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</si>
  <si>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</si>
  <si>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</si>
  <si>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</si>
  <si>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</si>
  <si>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</si>
  <si>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</si>
  <si>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</si>
  <si>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</si>
  <si>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</si>
  <si>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</si>
  <si>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</si>
  <si>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</si>
  <si>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</si>
  <si>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</si>
  <si>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</si>
  <si>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</si>
  <si>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</si>
  <si>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</si>
  <si>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</si>
  <si>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</si>
  <si>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</si>
  <si>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</si>
  <si>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</si>
  <si>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</si>
  <si>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</si>
  <si>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</si>
  <si>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</si>
  <si>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</si>
  <si>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</si>
  <si>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</si>
  <si>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</si>
  <si>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</si>
  <si>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</si>
  <si>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</si>
  <si>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</si>
  <si>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</si>
  <si>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</si>
  <si>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</si>
  <si>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</si>
  <si>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</si>
  <si>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</si>
  <si>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</si>
  <si>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</si>
  <si>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</si>
  <si>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</si>
  <si>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</si>
  <si>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</si>
  <si>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</si>
  <si>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</si>
  <si>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</si>
  <si>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</si>
  <si>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</si>
  <si>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</si>
  <si>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</si>
  <si>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</si>
  <si>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</si>
  <si>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</si>
  <si>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</si>
  <si>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</si>
  <si>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</si>
  <si>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</si>
  <si>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</si>
  <si>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</si>
  <si>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</si>
  <si>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</si>
  <si>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</si>
  <si>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</si>
  <si>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</si>
  <si>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</si>
  <si>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</si>
  <si>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</si>
  <si>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</si>
  <si>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</si>
  <si>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</si>
  <si>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</si>
  <si>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</si>
  <si>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</si>
  <si>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</si>
  <si>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</si>
  <si>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</si>
  <si>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</si>
  <si>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</si>
  <si>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</si>
  <si>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</si>
  <si>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</si>
  <si>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</si>
  <si>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</si>
  <si>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</si>
  <si>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</si>
  <si>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</si>
  <si>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</si>
  <si>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</si>
  <si>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</si>
  <si>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</si>
  <si>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</si>
  <si>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</si>
  <si>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</si>
  <si>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</si>
  <si>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</si>
  <si>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</si>
  <si>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</si>
  <si>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</si>
  <si>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LUVAS DE PVC, COM COMPRIMENTO DE *35* CM, FORRADAS, ACABAMENTO ASPERO ANTIDERRAPANTE NA FACE PALMAR</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</si>
  <si>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</si>
  <si>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</si>
  <si>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</si>
  <si>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</si>
  <si>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</si>
  <si>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</si>
  <si>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</si>
  <si>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</si>
  <si>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</si>
  <si>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</si>
  <si>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</si>
  <si>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</si>
  <si>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</si>
  <si>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</si>
  <si>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</si>
  <si>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</si>
  <si>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</si>
  <si>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</si>
  <si>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</si>
  <si>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</si>
  <si>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</si>
  <si>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</si>
  <si>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</si>
  <si>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</si>
  <si>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</si>
  <si>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</si>
  <si>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</si>
  <si>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</si>
  <si>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</si>
  <si>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</si>
  <si>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</si>
  <si>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</si>
  <si>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</si>
  <si>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FLEXIVEL TRANSPARENTE COM ESPIRAL AZUL, EM PVC, DIAM. 1" (25 MM), PARA SERVICOS LEVES DE SUCCAO E DESCARGA</t>
  </si>
  <si>
    <t xml:space="preserve">MANGUEIRA FLEXIVEL TRANSPARENTE COM ESPIRAL AZUL, EM PVC, DIAM. 2" (50 MM), PARA SERVICOS LEVES DE SUCCAO E DESCARGA</t>
  </si>
  <si>
    <t xml:space="preserve">MANGUEIRA FLEXIVEL TRANSPARENTE COM ESPIRAL AZUL, EM PVC, DIAM. 4" (100 MM), PARA SERVICOS LEVES DE SUCCAO E DESCARGA</t>
  </si>
  <si>
    <t xml:space="preserve">MANGUEIRA PARA AR E AGUA DE PVC/BORRACHA, PRESSAO 300 PSI, DIAMETRO DE 1 POLEGADA</t>
  </si>
  <si>
    <t xml:space="preserve">MANGUEIRA PARA GAS - GLP, PVC, TRANCADA, DIAMETRO DE 3/8", COMPRIMENTO DE 1M (NORMATIZADA)</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</si>
  <si>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</si>
  <si>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</si>
  <si>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</si>
  <si>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</si>
  <si>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</si>
  <si>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</si>
  <si>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</si>
  <si>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</si>
  <si>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</si>
  <si>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</si>
  <si>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</si>
  <si>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</si>
  <si>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</si>
  <si>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</si>
  <si>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</si>
  <si>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</si>
  <si>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</si>
  <si>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</si>
  <si>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</si>
  <si>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</si>
  <si>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</si>
  <si>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</si>
  <si>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</si>
  <si>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</si>
  <si>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</si>
  <si>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</si>
  <si>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</si>
  <si>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</si>
  <si>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</si>
  <si>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</si>
  <si>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</si>
  <si>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</si>
  <si>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</si>
  <si>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</si>
  <si>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</si>
  <si>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</si>
  <si>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</si>
  <si>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</si>
  <si>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</si>
  <si>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</si>
  <si>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</si>
  <si>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</si>
  <si>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</si>
  <si>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</si>
  <si>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MARRETA DE ACO, OITAVADA, 500 G, COM CABO DE MADEIRA</t>
  </si>
  <si>
    <t xml:space="preserve">MARTELO DE BORRACHA PRETO 450 G, CABO DE MADEIRA *60* MM DE DIAMETRO</t>
  </si>
  <si>
    <t xml:space="preserve">MARTELO DE PEDREIRO, 1 CORTE, EM ACO, *500* G, COMPRIMENTO TOTAL DE *28* CM, COM CABO DE MADEIRA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</si>
  <si>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</si>
  <si>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</si>
  <si>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PADRAO, PESO DE 32 KG</t>
  </si>
  <si>
    <t xml:space="preserve">MARTELO DEMOLIDOR PNEUMATICO MANUAL, PESO DE 28 KG, COM SILENCIADOR</t>
  </si>
  <si>
    <t xml:space="preserve">MARTELO PERFURADOR PNEUMATICO MANUAL, HASTE 19 X 108 MM, *11* KG</t>
  </si>
  <si>
    <t xml:space="preserve">MASCARA DE SEGURANCA PARA SOLDA COM ESCUDO DE CELERON E CARNEIRA DE PLASTICO COM REGULAGEM</t>
  </si>
  <si>
    <t xml:space="preserve">MASCARA DE SOLDA AUTOMATICA, COM GRAU DE ESCURECIMENTO DIN 9 A 13</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</si>
  <si>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</si>
  <si>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</si>
  <si>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</si>
  <si>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</si>
  <si>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</si>
  <si>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</si>
  <si>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</si>
  <si>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</si>
  <si>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</si>
  <si>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</si>
  <si>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</si>
  <si>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</si>
  <si>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</si>
  <si>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</si>
  <si>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</si>
  <si>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</si>
  <si>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</si>
  <si>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</si>
  <si>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</si>
  <si>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</si>
  <si>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</si>
  <si>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</si>
  <si>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</si>
  <si>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</si>
  <si>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</si>
  <si>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</si>
  <si>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</si>
  <si>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</si>
  <si>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</si>
  <si>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</si>
  <si>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</si>
  <si>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</si>
  <si>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</si>
  <si>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</si>
  <si>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</si>
  <si>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</si>
  <si>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</si>
  <si>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</si>
  <si>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</si>
  <si>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</si>
  <si>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</si>
  <si>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</si>
  <si>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</si>
  <si>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</si>
  <si>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</si>
  <si>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</si>
  <si>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</si>
  <si>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</si>
  <si>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</si>
  <si>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</si>
  <si>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</si>
  <si>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</si>
  <si>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</si>
  <si>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</si>
  <si>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</si>
  <si>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</si>
  <si>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</si>
  <si>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</si>
  <si>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</si>
  <si>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</si>
  <si>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</si>
  <si>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</si>
  <si>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</si>
  <si>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</si>
  <si>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</si>
  <si>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</si>
  <si>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</si>
  <si>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</si>
  <si>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</si>
  <si>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</si>
  <si>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</si>
  <si>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</si>
  <si>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MINIESCAVADEIRA SOBRE ESTEIRAS, POTENCIA LIQUIDA DE *30* HP, PESO OPERACIONAL DE *3.500*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</si>
  <si>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</si>
  <si>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</si>
  <si>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</si>
  <si>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</si>
  <si>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</si>
  <si>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</si>
  <si>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</si>
  <si>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</si>
  <si>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</si>
  <si>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</si>
  <si>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</si>
  <si>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</si>
  <si>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</si>
  <si>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</si>
  <si>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</si>
  <si>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</si>
  <si>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</si>
  <si>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</si>
  <si>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</si>
  <si>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</si>
  <si>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</si>
  <si>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</si>
  <si>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</si>
  <si>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</si>
  <si>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</si>
  <si>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</si>
  <si>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</si>
  <si>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</si>
  <si>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</si>
  <si>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</si>
  <si>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</si>
  <si>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</si>
  <si>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</si>
  <si>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</si>
  <si>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</si>
  <si>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</si>
  <si>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</si>
  <si>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</si>
  <si>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</si>
  <si>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</si>
  <si>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</si>
  <si>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</si>
  <si>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</si>
  <si>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</si>
  <si>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</si>
  <si>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</si>
  <si>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</si>
  <si>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</si>
  <si>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</si>
  <si>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</si>
  <si>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</si>
  <si>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</si>
  <si>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</si>
  <si>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</si>
  <si>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</si>
  <si>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</si>
  <si>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</si>
  <si>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</si>
  <si>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</si>
  <si>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</si>
  <si>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</si>
  <si>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</si>
  <si>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</si>
  <si>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</si>
  <si>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</si>
  <si>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</si>
  <si>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</si>
  <si>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</si>
  <si>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</si>
  <si>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</si>
  <si>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</si>
  <si>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</si>
  <si>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</si>
  <si>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</si>
  <si>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</si>
  <si>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</si>
  <si>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</si>
  <si>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</si>
  <si>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</si>
  <si>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</si>
  <si>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</si>
  <si>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</si>
  <si>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</si>
  <si>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</si>
  <si>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 DE ALUMINIO 350 MM (14"), COM 3 BOLHAS</t>
  </si>
  <si>
    <t xml:space="preserve">NIVELADOR (HORISTA)</t>
  </si>
  <si>
    <t xml:space="preserve">NIVELADOR (MENSALISTA)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</si>
  <si>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</si>
  <si>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</si>
  <si>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</si>
  <si>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OCULOS DE SOLDA COM ESCURECIMENTO AUTOMATICO</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</si>
  <si>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</si>
  <si>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</si>
  <si>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</si>
  <si>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</si>
  <si>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</si>
  <si>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</si>
  <si>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</si>
  <si>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</si>
  <si>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</si>
  <si>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</si>
  <si>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</si>
  <si>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</si>
  <si>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</si>
  <si>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</si>
  <si>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</si>
  <si>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</si>
  <si>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</si>
  <si>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</si>
  <si>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</si>
  <si>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</si>
  <si>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</si>
  <si>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</si>
  <si>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</si>
  <si>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</si>
  <si>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</si>
  <si>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</si>
  <si>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</si>
  <si>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</si>
  <si>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</si>
  <si>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</si>
  <si>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</si>
  <si>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</si>
  <si>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</si>
  <si>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</si>
  <si>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</si>
  <si>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</si>
  <si>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</si>
  <si>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</si>
  <si>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</si>
  <si>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DE LIXO PLASTICA, CABO LONGO</t>
  </si>
  <si>
    <t xml:space="preserve">PA QUADRADA COM CABO DE MADEIRA EM Y DE 71 CM</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</si>
  <si>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</si>
  <si>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</si>
  <si>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</si>
  <si>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</si>
  <si>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55 MM</t>
  </si>
  <si>
    <t xml:space="preserve">PAINEL ESTRUTURAL PARA LAJE SECA REVESTIDO EM PLACA CIMENTICIA, DE 1,20 X 2,50 M, E = 23 MM</t>
  </si>
  <si>
    <t xml:space="preserve">PAINEL ESTRUTURAL PARA LAJE SECA REVESTIDO EM PLACA CIMENTICIA, DE 1,20 X 2,50 M, E = 40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</si>
  <si>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</si>
  <si>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</si>
  <si>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</si>
  <si>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</si>
  <si>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</si>
  <si>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</si>
  <si>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</si>
  <si>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</si>
  <si>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</si>
  <si>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</si>
  <si>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</si>
  <si>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</si>
  <si>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</si>
  <si>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</si>
  <si>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</si>
  <si>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</si>
  <si>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</si>
  <si>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</si>
  <si>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</si>
  <si>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</si>
  <si>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</si>
  <si>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</si>
  <si>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</si>
  <si>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</si>
  <si>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</si>
  <si>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</si>
  <si>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</si>
  <si>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</si>
  <si>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</si>
  <si>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</si>
  <si>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</si>
  <si>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</si>
  <si>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</si>
  <si>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</si>
  <si>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</si>
  <si>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</si>
  <si>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</si>
  <si>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</si>
  <si>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</si>
  <si>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</si>
  <si>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</si>
  <si>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</si>
  <si>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</si>
  <si>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</si>
  <si>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</si>
  <si>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</si>
  <si>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</si>
  <si>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</si>
  <si>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</si>
  <si>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</si>
  <si>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</si>
  <si>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t>
  </si>
  <si>
    <t xml:space="preserve">PARAFUSO ROSCA SOBERBA ZINCADO CABECA CHATA FENDA SIMPLES 3,5 X 25 MM (1")</t>
  </si>
  <si>
    <t xml:space="preserve">PARAFUSO ROSCA SOBERBA ZINCADO CABECA CHATA FENDA SIMPLES 3,8 X 30 MM (1.1/4")</t>
  </si>
  <si>
    <t xml:space="preserve">PARAFUSO ROSCA SOBERBA ZINCADO CABECA CHATA FENDA SIMPLES 4,8 X 40 MM (1.1/2")</t>
  </si>
  <si>
    <t xml:space="preserve">PARAFUSO ROSCA SOBERBA ZINCADO CABECA CHATA FENDA SIMPLES 5,5 X 50 MM (2")</t>
  </si>
  <si>
    <t xml:space="preserve">PARAFUSO ROSCA SOBERBA ZINCADO CABECA CHATA FENDA SIMPLES 5,5 X 65 MM (2.1/2")</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</si>
  <si>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</si>
  <si>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</si>
  <si>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</si>
  <si>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</si>
  <si>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</si>
  <si>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</si>
  <si>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</si>
  <si>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</si>
  <si>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</si>
  <si>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</si>
  <si>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</si>
  <si>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</si>
  <si>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</si>
  <si>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</si>
  <si>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</si>
  <si>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</si>
  <si>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</si>
  <si>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</si>
  <si>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</si>
  <si>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</si>
  <si>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</si>
  <si>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</si>
  <si>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PARAFUSO, EM ACO ZINCADO, CABECA LENTILHA AUTOTRAVANTE DIAMETRO 5/16" X 1"</t>
  </si>
  <si>
    <t xml:space="preserve">PARALELEPIPEDO GRANITICO OU BASALTICO, PARA PAVIMENTACAO, SEM FRETE (VARIACAO REGIONAL DE PECAS POR M2)</t>
  </si>
  <si>
    <t>MIL</t>
  </si>
  <si>
    <t xml:space="preserve">PASTA ABRASIVA PARA LIMPEZA DE MAOS</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</si>
  <si>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</si>
  <si>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</si>
  <si>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</si>
  <si>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</si>
  <si>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</si>
  <si>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</si>
  <si>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</si>
  <si>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</si>
  <si>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</si>
  <si>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</si>
  <si>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</si>
  <si>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</si>
  <si>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</si>
  <si>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</si>
  <si>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</si>
  <si>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</si>
  <si>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</si>
  <si>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</si>
  <si>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</si>
  <si>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</si>
  <si>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</si>
  <si>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</si>
  <si>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</si>
  <si>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</si>
  <si>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</si>
  <si>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</si>
  <si>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</si>
  <si>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</si>
  <si>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</si>
  <si>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</si>
  <si>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</si>
  <si>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</si>
  <si>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</si>
  <si>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</si>
  <si>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</si>
  <si>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</si>
  <si>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</si>
  <si>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</si>
  <si>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</si>
  <si>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</si>
  <si>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</si>
  <si>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</si>
  <si>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</si>
  <si>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</si>
  <si>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</si>
  <si>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</si>
  <si>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</si>
  <si>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</si>
  <si>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</si>
  <si>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</si>
  <si>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</si>
  <si>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</si>
  <si>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</si>
  <si>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</si>
  <si>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</si>
  <si>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</si>
  <si>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</si>
  <si>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</si>
  <si>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</si>
  <si>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</si>
  <si>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</si>
  <si>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</si>
  <si>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</si>
  <si>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</si>
  <si>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</si>
  <si>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</si>
  <si>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</si>
  <si>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</si>
  <si>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</si>
  <si>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</si>
  <si>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</si>
  <si>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</si>
  <si>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</si>
  <si>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</si>
  <si>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</si>
  <si>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</si>
  <si>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</si>
  <si>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</si>
  <si>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</si>
  <si>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</si>
  <si>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</si>
  <si>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</si>
  <si>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</si>
  <si>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</si>
  <si>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</si>
  <si>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</si>
  <si>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</si>
  <si>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</si>
  <si>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PERNEIRA DE RASPA COM VELCRO</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</si>
  <si>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</si>
  <si>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</si>
  <si>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</si>
  <si>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</si>
  <si>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</si>
  <si>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</si>
  <si>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</si>
  <si>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COMPRIMENTO DA HASTE = 30 MM E ROSCA = 20 MM (ACAO DIRETA)</t>
  </si>
  <si>
    <t xml:space="preserve">PINO DE ACO LISO 1/4", HASTE = *36,5* MM (ACAO DIRETA)</t>
  </si>
  <si>
    <t xml:space="preserve">PINO DE ACO LISO 1/4",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</si>
  <si>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</si>
  <si>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</si>
  <si>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</si>
  <si>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</si>
  <si>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</si>
  <si>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</si>
  <si>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</si>
  <si>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</si>
  <si>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</si>
  <si>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</si>
  <si>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</si>
  <si>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</si>
  <si>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</si>
  <si>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</si>
  <si>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</si>
  <si>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</si>
  <si>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</si>
  <si>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</si>
  <si>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</si>
  <si>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</si>
  <si>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</si>
  <si>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</si>
  <si>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</si>
  <si>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</si>
  <si>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</si>
  <si>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</si>
  <si>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</si>
  <si>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</si>
  <si>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</si>
  <si>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</si>
  <si>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</si>
  <si>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</si>
  <si>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</si>
  <si>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</si>
  <si>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</si>
  <si>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</si>
  <si>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</si>
  <si>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</si>
  <si>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</si>
  <si>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</si>
  <si>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</si>
  <si>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</si>
  <si>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</si>
  <si>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</si>
  <si>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</si>
  <si>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</si>
  <si>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</si>
  <si>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</si>
  <si>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</si>
  <si>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</si>
  <si>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</si>
  <si>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</si>
  <si>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</si>
  <si>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</si>
  <si>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</si>
  <si>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</si>
  <si>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</si>
  <si>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</si>
  <si>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</si>
  <si>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</si>
  <si>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</si>
  <si>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</si>
  <si>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</si>
  <si>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</si>
  <si>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</si>
  <si>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</si>
  <si>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</si>
  <si>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</si>
  <si>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</si>
  <si>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</si>
  <si>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</si>
  <si>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</si>
  <si>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</si>
  <si>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</si>
  <si>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</si>
  <si>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</si>
  <si>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</si>
  <si>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</si>
  <si>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</si>
  <si>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</si>
  <si>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</si>
  <si>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</si>
  <si>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</si>
  <si>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</si>
  <si>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</si>
  <si>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</si>
  <si>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</si>
  <si>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</si>
  <si>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</si>
  <si>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</si>
  <si>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</si>
  <si>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</si>
  <si>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</si>
  <si>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</si>
  <si>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</si>
  <si>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</si>
  <si>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</si>
  <si>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</si>
  <si>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</si>
  <si>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</si>
  <si>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</si>
  <si>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</si>
  <si>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</si>
  <si>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DE ACO, LISO, REDONDO, 3/4" X 10"</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</si>
  <si>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</si>
  <si>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</si>
  <si>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</si>
  <si>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CHAVE 7/16",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</si>
  <si>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</si>
  <si>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</si>
  <si>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</si>
  <si>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</si>
  <si>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</si>
  <si>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</si>
  <si>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</si>
  <si>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</si>
  <si>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</si>
  <si>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</si>
  <si>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</si>
  <si>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</si>
  <si>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</si>
  <si>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</si>
  <si>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</si>
  <si>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</si>
  <si>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</si>
  <si>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</si>
  <si>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</si>
  <si>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</si>
  <si>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</si>
  <si>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</si>
  <si>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</si>
  <si>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</si>
  <si>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</si>
  <si>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</si>
  <si>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</si>
  <si>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</si>
  <si>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</si>
  <si>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</si>
  <si>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</si>
  <si>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</si>
  <si>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</si>
  <si>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</si>
  <si>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</si>
  <si>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</si>
  <si>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</si>
  <si>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</si>
  <si>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</si>
  <si>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</si>
  <si>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</si>
  <si>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</si>
  <si>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</si>
  <si>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</si>
  <si>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</si>
  <si>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</si>
  <si>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</si>
  <si>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</si>
  <si>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</si>
  <si>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</si>
  <si>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</si>
  <si>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</si>
  <si>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</si>
  <si>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</si>
  <si>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</si>
  <si>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</si>
  <si>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</si>
  <si>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</si>
  <si>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</si>
  <si>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</si>
  <si>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</si>
  <si>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</si>
  <si>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</si>
  <si>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</si>
  <si>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</si>
  <si>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</si>
  <si>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</si>
  <si>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</si>
  <si>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</si>
  <si>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</si>
  <si>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</si>
  <si>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</si>
  <si>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</si>
  <si>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</si>
  <si>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</si>
  <si>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</si>
  <si>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</si>
  <si>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</si>
  <si>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</si>
  <si>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</si>
  <si>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</si>
  <si>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</si>
  <si>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</si>
  <si>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</si>
  <si>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</si>
  <si>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</si>
  <si>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</si>
  <si>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</si>
  <si>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</si>
  <si>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</si>
  <si>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</si>
  <si>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</si>
  <si>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</si>
  <si>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</si>
  <si>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</si>
  <si>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</si>
  <si>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</si>
  <si>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</si>
  <si>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</si>
  <si>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</si>
  <si>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</si>
  <si>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</si>
  <si>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</si>
  <si>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</si>
  <si>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</si>
  <si>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</si>
  <si>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</si>
  <si>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</si>
  <si>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</si>
  <si>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</si>
  <si>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</si>
  <si>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</si>
  <si>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</si>
  <si>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</si>
  <si>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</si>
  <si>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</si>
  <si>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</si>
  <si>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</si>
  <si>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</si>
  <si>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</si>
  <si>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</si>
  <si>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</si>
  <si>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</si>
  <si>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</si>
  <si>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</si>
  <si>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</si>
  <si>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</si>
  <si>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</si>
  <si>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</si>
  <si>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</si>
  <si>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</si>
  <si>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</si>
  <si>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</si>
  <si>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</si>
  <si>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</si>
  <si>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</si>
  <si>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</si>
  <si>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</si>
  <si>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</si>
  <si>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</si>
  <si>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</si>
  <si>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</si>
  <si>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</si>
  <si>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</si>
  <si>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</si>
  <si>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33 (3 X 9)</t>
  </si>
  <si>
    <t xml:space="preserve">PREGO DE ACO POLIDO COM CABECA 19 X 36 (3 1/4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</si>
  <si>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</si>
  <si>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</si>
  <si>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</si>
  <si>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</si>
  <si>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</si>
  <si>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</si>
  <si>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</si>
  <si>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</si>
  <si>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</si>
  <si>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</si>
  <si>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</si>
  <si>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</si>
  <si>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</si>
  <si>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</si>
  <si>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</si>
  <si>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</si>
  <si>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FACIAL ARCO ELETRICO, COM QUEIXEIRA E LENTE EM POLICARBONATO, CAPACETE INCLUIDO</t>
  </si>
  <si>
    <t xml:space="preserve">PROTETOR FACIAL DE POLICARBONATO, 200 MM X *390* MM, COM COROA E CARNEIRA</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</si>
  <si>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</si>
  <si>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</si>
  <si>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</si>
  <si>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</si>
  <si>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</si>
  <si>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</si>
  <si>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</si>
  <si>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</si>
  <si>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</si>
  <si>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</si>
  <si>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</si>
  <si>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</si>
  <si>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</si>
  <si>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</si>
  <si>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</si>
  <si>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</si>
  <si>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</si>
  <si>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</si>
  <si>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</si>
  <si>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</si>
  <si>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</si>
  <si>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</si>
  <si>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</si>
  <si>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</si>
  <si>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</si>
  <si>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</si>
  <si>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</si>
  <si>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</si>
  <si>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</si>
  <si>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</si>
  <si>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</si>
  <si>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</si>
  <si>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</si>
  <si>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</si>
  <si>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</si>
  <si>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</si>
  <si>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</si>
  <si>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</si>
  <si>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</si>
  <si>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</si>
  <si>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</si>
  <si>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</si>
  <si>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</si>
  <si>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</si>
  <si>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</si>
  <si>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</si>
  <si>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</si>
  <si>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</si>
  <si>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</si>
  <si>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</si>
  <si>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</si>
  <si>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</si>
  <si>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</si>
  <si>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</si>
  <si>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</si>
  <si>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</si>
  <si>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</si>
  <si>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</si>
  <si>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</si>
  <si>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</si>
  <si>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</si>
  <si>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</si>
  <si>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</si>
  <si>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</si>
  <si>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</si>
  <si>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</si>
  <si>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CONCENTRICA PARA ELETROCALHA, PERFURADA, EM CHAPA DE ACO GALVANIZADO ESPESSURA #14, (700 X 600 MM) X 50 MM, SEM VIROLA, SEM TAMPA</t>
  </si>
  <si>
    <t xml:space="preserve">REDUCAO CONCENTRICA PARA ELETROCALHA, PERFURADA, EM CHAPA DE ACO GALVANIZADO ESPESSURA #14, (800 X 700 MM) X 50 MM, SEM VIROLA, SEM TAMPA</t>
  </si>
  <si>
    <t xml:space="preserve">REDUCAO CONCENTRICA PARA ELETROCALHA, PERFURADA, EM CHAPA DE ACO GALVANIZADO ESPESSURA #16, (500 X 400 MM) X 50 MM (L X A), SEM VIROLA, SEM TAMPA</t>
  </si>
  <si>
    <t xml:space="preserve">REDUCAO CONCENTRICA PARA ELETROCALHA, PERFURADA, EM CHAPA DE ACO GALVANIZADO ESPESSURA #16, (600 X 500 MM) X 50 MM, SEM VIROLA, SEM TAMPA</t>
  </si>
  <si>
    <t xml:space="preserve">REDUCAO CONCENTRICA PARA ELETROCALHA, PERFURADA, EM CHAPA DE ACO GALVANIZADO ESPESSURA #18, (300 X 250 MM) X 50 MM (L X A), SEM VIROLA, SEM TAMPA</t>
  </si>
  <si>
    <t xml:space="preserve">REDUCAO CONCENTRICA PARA ELETROCALHA, PERFURADA, EM CHAPA DE ACO GALVANIZADO ESPESSURA #18, (400 X 300 MM) X 50 MM (L X A), SEM VIROLA, SEM TAMPA</t>
  </si>
  <si>
    <t xml:space="preserve">REDUCAO CONCENTRICA PARA ELETROCALHA, PERFURADA, EM CHAPA DE ACO GALVANIZADO ESPESSURA #22, (100 X 75 MM) X 50 MM (L X A), SEM VIROLA, SEM TAMPA</t>
  </si>
  <si>
    <t xml:space="preserve">REDUCAO CONCENTRICA PARA ELETROCALHA, PERFURADA, EM CHAPA DE ACO GALVANIZADO ESPESSURA #22, (125 X100 MM) X 50 MM (L X A), SEM VIROLA, SEM TAMPA</t>
  </si>
  <si>
    <t xml:space="preserve">REDUCAO CONCENTRICA PARA ELETROCALHA, PERFURADA, EM CHAPA DE ACO GALVANIZADO ESPESSURA #22, (150 X125 MM) X 50 MM (L X A), SEM VIROLA, SEM TAMPA</t>
  </si>
  <si>
    <t xml:space="preserve">REDUCAO CONCENTRICA PARA ELETROCALHA, PERFURADA, EM CHAPA DE ACO GALVANIZADO ESPESSURA #22, (200 X 150 MM) X 50 MM (L X A), SEM VIROLA, SEM TAMPA</t>
  </si>
  <si>
    <t xml:space="preserve">REDUCAO CONCENTRICA PARA ELETROCALHA, PERFURADA, EM CHAPA DE ACO GALVANIZADO ESPESSURA #22, (250 X 200 MM) X 50 MM (L X A), SEM VIROLA, SEM TAMPA</t>
  </si>
  <si>
    <t xml:space="preserve">REDUCAO CONCENTRICA PARA ELETROCALHA, PERFURADA, EM CHAPA DE ACO GALVANIZADO ESPESSURA #22, (75 X 50 MM) X 50 MM (L X A), SEM VIROLA, SEM TAMPA</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</si>
  <si>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</si>
  <si>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</si>
  <si>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</si>
  <si>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</si>
  <si>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</si>
  <si>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</si>
  <si>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</si>
  <si>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</si>
  <si>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</si>
  <si>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</si>
  <si>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</si>
  <si>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</si>
  <si>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</si>
  <si>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</si>
  <si>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</si>
  <si>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</si>
  <si>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</si>
  <si>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</si>
  <si>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</si>
  <si>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</si>
  <si>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</si>
  <si>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</si>
  <si>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</si>
  <si>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</si>
  <si>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</si>
  <si>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</si>
  <si>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</si>
  <si>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</si>
  <si>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</si>
  <si>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</si>
  <si>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</si>
  <si>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</si>
  <si>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</si>
  <si>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</si>
  <si>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</si>
  <si>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</si>
  <si>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</si>
  <si>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</si>
  <si>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</si>
  <si>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</si>
  <si>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</si>
  <si>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</si>
  <si>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</si>
  <si>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</si>
  <si>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</si>
  <si>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</si>
  <si>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</si>
  <si>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</si>
  <si>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</si>
  <si>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</si>
  <si>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</si>
  <si>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</si>
  <si>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</si>
  <si>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</si>
  <si>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</si>
  <si>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</si>
  <si>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</si>
  <si>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</si>
  <si>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 MASCARA SEMI FACIAL COM UMA VALVULA DE INALACAO E DUAS DE EXALACAO, PROTECAO CONTRA VAPORES ORGANICOS E GASES ACIDOS (1 FILTRO INCLUIDO)</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</si>
  <si>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</si>
  <si>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</si>
  <si>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</si>
  <si>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</si>
  <si>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</si>
  <si>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</si>
  <si>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</si>
  <si>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</si>
  <si>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</si>
  <si>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</si>
  <si>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</si>
  <si>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</si>
  <si>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</si>
  <si>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</si>
  <si>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</si>
  <si>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</si>
  <si>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RISCADOR DE FORMICA COM COMPRIMENTO *16* CM E ALTURA *5* CM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</si>
  <si>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</si>
  <si>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</si>
  <si>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</si>
  <si>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</si>
  <si>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</si>
  <si>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</si>
  <si>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</si>
  <si>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</si>
  <si>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</si>
  <si>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</si>
  <si>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</si>
  <si>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</si>
  <si>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</si>
  <si>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</si>
  <si>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</si>
  <si>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</si>
  <si>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</si>
  <si>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</si>
  <si>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</si>
  <si>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</si>
  <si>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</si>
  <si>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</si>
  <si>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</si>
  <si>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</si>
  <si>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ESPUMA POLIESTER, 9 CM X 10 MM, COM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</si>
  <si>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</si>
  <si>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</si>
  <si>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</si>
  <si>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</si>
  <si>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</si>
  <si>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</si>
  <si>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</si>
  <si>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</si>
  <si>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</si>
  <si>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</si>
  <si>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</si>
  <si>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</si>
  <si>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</si>
  <si>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</si>
  <si>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</si>
  <si>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</si>
  <si>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</si>
  <si>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</si>
  <si>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</si>
  <si>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</si>
  <si>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</si>
  <si>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</si>
  <si>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</si>
  <si>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</si>
  <si>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</si>
  <si>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</si>
  <si>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</si>
  <si>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</si>
  <si>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</si>
  <si>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</si>
  <si>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</si>
  <si>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</si>
  <si>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</si>
  <si>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</si>
  <si>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</si>
  <si>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</si>
  <si>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</si>
  <si>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</si>
  <si>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</si>
  <si>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</si>
  <si>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</si>
  <si>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</si>
  <si>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</si>
  <si>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</si>
  <si>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</si>
  <si>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</si>
  <si>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</si>
  <si>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</si>
  <si>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SERRALHEIRO (HORISTA)</t>
  </si>
  <si>
    <t xml:space="preserve">SERRALHEIRO (MENSALISTA)</t>
  </si>
  <si>
    <t xml:space="preserve">SERROTE PROFISSIONAL EM ACO TEMPERADO 20", CABO DE MADEIRA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</si>
  <si>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</si>
  <si>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</si>
  <si>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</si>
  <si>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</si>
  <si>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</si>
  <si>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</si>
  <si>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</si>
  <si>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</si>
  <si>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</si>
  <si>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</si>
  <si>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</si>
  <si>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</si>
  <si>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</si>
  <si>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</si>
  <si>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</si>
  <si>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</si>
  <si>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</si>
  <si>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</si>
  <si>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</si>
  <si>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</si>
  <si>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</si>
  <si>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</si>
  <si>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</si>
  <si>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</si>
  <si>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</si>
  <si>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</si>
  <si>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</si>
  <si>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</si>
  <si>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</si>
  <si>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</si>
  <si>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</si>
  <si>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</si>
  <si>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</si>
  <si>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</si>
  <si>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</si>
  <si>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</si>
  <si>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</si>
  <si>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</si>
  <si>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</si>
  <si>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</si>
  <si>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</si>
  <si>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</si>
  <si>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</si>
  <si>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</si>
  <si>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</si>
  <si>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</si>
  <si>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</si>
  <si>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</si>
  <si>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</si>
  <si>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</si>
  <si>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</si>
  <si>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MANUAL PARA LIXA, PLASTICO, COM 230 X 80 MM (COMPRIMENTO X LARGURA)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</si>
  <si>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</si>
  <si>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</si>
  <si>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</si>
  <si>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</si>
  <si>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</si>
  <si>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</si>
  <si>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</si>
  <si>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</si>
  <si>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</si>
  <si>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</si>
  <si>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</si>
  <si>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</si>
  <si>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</si>
  <si>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</si>
  <si>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</si>
  <si>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</si>
  <si>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</si>
  <si>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</si>
  <si>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</si>
  <si>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 PARA EMENDA DE ELETROCALHA, SIMPLES / RETA, LISA OU PERFURADA, EM CHAPA DE ACO GALVANIZADO #22, ALTURA 50 MM</t>
  </si>
  <si>
    <t xml:space="preserve">TALABARTE DE SEGURANCA, 2 MOSQUETOES TRAVA DUPLA *53* MM DE ABERTURA, COM ABSORVEDOR DE ENERGIA</t>
  </si>
  <si>
    <t xml:space="preserve">TALHA MANUAL DE CORRENTE, CAPACIDADE DE 2 T COM ELEVACAO DE 3 M</t>
  </si>
  <si>
    <t xml:space="preserve">TALHADEIRA CHATA, DE ACO, 10"</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</si>
  <si>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</si>
  <si>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</si>
  <si>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</si>
  <si>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</si>
  <si>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</si>
  <si>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</si>
  <si>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</si>
  <si>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</si>
  <si>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</si>
  <si>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</si>
  <si>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</si>
  <si>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</si>
  <si>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</si>
  <si>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</si>
  <si>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</si>
  <si>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</si>
  <si>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</si>
  <si>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</si>
  <si>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</si>
  <si>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</si>
  <si>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</si>
  <si>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</si>
  <si>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</si>
  <si>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</si>
  <si>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</si>
  <si>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</si>
  <si>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</si>
  <si>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</si>
  <si>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</si>
  <si>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</si>
  <si>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</si>
  <si>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</si>
  <si>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</si>
  <si>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</si>
  <si>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</si>
  <si>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</si>
  <si>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</si>
  <si>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</si>
  <si>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</si>
  <si>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</si>
  <si>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</si>
  <si>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</si>
  <si>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</si>
  <si>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6 M3 (INCLUI MONTAGEM, NAO INCLUI CAMINHAO)</t>
  </si>
  <si>
    <t xml:space="preserve">TANQUE DE ASFALTO ESTACIONARIO COM MACARICO,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</si>
  <si>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</si>
  <si>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</si>
  <si>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</si>
  <si>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</si>
  <si>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</si>
  <si>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</si>
  <si>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</si>
  <si>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</si>
  <si>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</si>
  <si>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</si>
  <si>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</si>
  <si>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</si>
  <si>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</si>
  <si>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</si>
  <si>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</si>
  <si>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</si>
  <si>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</si>
  <si>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</si>
  <si>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</si>
  <si>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</si>
  <si>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</si>
  <si>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</si>
  <si>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</si>
  <si>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</si>
  <si>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</si>
  <si>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</si>
  <si>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</si>
  <si>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</si>
  <si>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</si>
  <si>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</si>
  <si>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</si>
  <si>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</si>
  <si>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</si>
  <si>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</si>
  <si>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</si>
  <si>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</si>
  <si>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</si>
  <si>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</si>
  <si>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</si>
  <si>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</si>
  <si>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</si>
  <si>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</si>
  <si>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</si>
  <si>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</si>
  <si>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</si>
  <si>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</si>
  <si>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</si>
  <si>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</si>
  <si>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</si>
  <si>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</si>
  <si>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</si>
  <si>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</si>
  <si>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</si>
  <si>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</si>
  <si>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</si>
  <si>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</si>
  <si>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</si>
  <si>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</si>
  <si>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</si>
  <si>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</si>
  <si>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</si>
  <si>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</si>
  <si>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</si>
  <si>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</si>
  <si>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</si>
  <si>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</si>
  <si>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</si>
  <si>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</si>
  <si>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</si>
  <si>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</si>
  <si>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</si>
  <si>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</si>
  <si>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</si>
  <si>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</si>
  <si>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</si>
  <si>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</si>
  <si>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</si>
  <si>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</si>
  <si>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</si>
  <si>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</si>
  <si>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</si>
  <si>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</si>
  <si>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</si>
  <si>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</si>
  <si>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</si>
  <si>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</si>
  <si>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</si>
  <si>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</si>
  <si>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</si>
  <si>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</si>
  <si>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</si>
  <si>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</si>
  <si>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</si>
  <si>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</si>
  <si>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</si>
  <si>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</si>
  <si>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</si>
  <si>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</si>
  <si>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</si>
  <si>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</si>
  <si>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</si>
  <si>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</si>
  <si>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</si>
  <si>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</si>
  <si>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</si>
  <si>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</si>
  <si>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</si>
  <si>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</si>
  <si>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</si>
  <si>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</si>
  <si>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</si>
  <si>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</si>
  <si>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</si>
  <si>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</si>
  <si>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</si>
  <si>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</si>
  <si>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HORIZONTAL 90 GRAUS, PARA ELETROCALHA, EM CHAPA DE ACO GALVANIZADO, ESPESSURA #14, 700 X 50 MM (L X A), SEM VIROLA, SEM TAMPA</t>
  </si>
  <si>
    <t xml:space="preserve">TE HORIZONTAL 90 GRAUS, PARA ELETROCALHA, EM CHAPA DE ACO GALVANIZADO, ESPESSURA #14, 800 X 50 MM (L X A), SEM VIROLA, SEM TAMPA</t>
  </si>
  <si>
    <t xml:space="preserve">TE HORIZONTAL 90 GRAUS, PARA ELETROCALHA, EM CHAPA DE ACO GALVANIZADO, ESPESSURA #16, 500 X 50 MM (L X A), SEM VIROLA, SEM TAMPA</t>
  </si>
  <si>
    <t xml:space="preserve">TE HORIZONTAL 90 GRAUS, PARA ELETROCALHA, EM CHAPA DE ACO GALVANIZADO, ESPESSURA #16, 600 X 50 MM (L X A), SEM VIROLA, SEM TAMPA</t>
  </si>
  <si>
    <t xml:space="preserve">TE HORIZONTAL 90 GRAUS, PARA ELETROCALHA, EM CHAPA DE ACO GALVANIZADO, ESPESSURA #18, 300 X 50 MM (L X A), SEM VIROLA, SEM TAMPA</t>
  </si>
  <si>
    <t xml:space="preserve">TE HORIZONTAL 90 GRAUS, PARA ELETROCALHA, EM CHAPA DE ACO GALVANIZADO, ESPESSURA #18, 400 X 50 MM (L X A), SEM VIROLA, SEM TAMPA</t>
  </si>
  <si>
    <t xml:space="preserve">TE HORIZONTAL 90 GRAUS, PARA ELETROCALHA, EM CHAPA DE ACO GALVANIZADO, ESPESSURA #22, 100 X 50 MM (L X A), SEM VIROLA, SEM TAMPA</t>
  </si>
  <si>
    <t xml:space="preserve">TE HORIZONTAL 90 GRAUS, PARA ELETROCALHA, EM CHAPA DE ACO GALVANIZADO, ESPESSURA #22, 125 X 50 MM (L X A), SEM VIROLA, SEM TAMPA</t>
  </si>
  <si>
    <t xml:space="preserve">TE HORIZONTAL 90 GRAUS, PARA ELETROCALHA, EM CHAPA DE ACO GALVANIZADO, ESPESSURA #22, 150 X 50 MM (L X A), SEM VIROLA, SEM TAMPA</t>
  </si>
  <si>
    <t xml:space="preserve">TE HORIZONTAL 90 GRAUS, PARA ELETROCALHA, EM CHAPA DE ACO GALVANIZADO, ESPESSURA #22, 200 X 50 MM (L X A), SEM VIROLA, SEM TAMPA</t>
  </si>
  <si>
    <t xml:space="preserve">TE HORIZONTAL 90 GRAUS, PARA ELETROCALHA, EM CHAPA DE ACO GALVANIZADO, ESPESSURA #22, 250 X 50 MM (L X A), SEM VIROLA, SEM TAMPA</t>
  </si>
  <si>
    <t xml:space="preserve">TE HORIZONTAL 90 GRAUS, PARA ELETROCALHA, EM CHAPA DE ACO GALVANIZADO, ESPESSURA #22, 50 X 50 MM (L X A), SEM VIROLA, SEM TAMPA</t>
  </si>
  <si>
    <t xml:space="preserve">TE HORIZONTAL 90 GRAUS, PARA ELETROCALHA, EM CHAPA DE ACO GALVANIZADO, ESPESSURA #22, 75 X 50 MM (L X A), SEM VIROLA, SEM TAMPA</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</si>
  <si>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</si>
  <si>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</si>
  <si>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</si>
  <si>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</si>
  <si>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</si>
  <si>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</si>
  <si>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</si>
  <si>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</si>
  <si>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</si>
  <si>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</si>
  <si>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</si>
  <si>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</si>
  <si>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</si>
  <si>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</si>
  <si>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</si>
  <si>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</si>
  <si>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</si>
  <si>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</si>
  <si>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</si>
  <si>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</si>
  <si>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</si>
  <si>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</si>
  <si>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</si>
  <si>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</si>
  <si>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</si>
  <si>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</si>
  <si>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</si>
  <si>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</si>
  <si>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</si>
  <si>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</si>
  <si>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</si>
  <si>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</si>
  <si>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</si>
  <si>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</si>
  <si>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</si>
  <si>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</si>
  <si>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</si>
  <si>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</si>
  <si>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</si>
  <si>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</si>
  <si>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</si>
  <si>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</si>
  <si>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</si>
  <si>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</si>
  <si>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</si>
  <si>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</si>
  <si>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</si>
  <si>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</si>
  <si>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</si>
  <si>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</si>
  <si>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</si>
  <si>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</si>
  <si>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</si>
  <si>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</si>
  <si>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</si>
  <si>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</si>
  <si>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</si>
  <si>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</si>
  <si>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</si>
  <si>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</si>
  <si>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</si>
  <si>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</si>
  <si>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</si>
  <si>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</si>
  <si>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</si>
  <si>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</si>
  <si>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</si>
  <si>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</si>
  <si>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</si>
  <si>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</si>
  <si>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</si>
  <si>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</si>
  <si>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</si>
  <si>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</si>
  <si>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</si>
  <si>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</si>
  <si>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</si>
  <si>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</si>
  <si>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</si>
  <si>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</si>
  <si>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</si>
  <si>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</si>
  <si>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</si>
  <si>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</si>
  <si>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</si>
  <si>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</si>
  <si>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</si>
  <si>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</si>
  <si>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</si>
  <si>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</si>
  <si>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</si>
  <si>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</si>
  <si>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</si>
  <si>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</si>
  <si>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</si>
  <si>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</si>
  <si>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</si>
  <si>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</si>
  <si>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</si>
  <si>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</si>
  <si>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</si>
  <si>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</si>
  <si>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</si>
  <si>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</si>
  <si>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</si>
  <si>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</si>
  <si>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</si>
  <si>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</si>
  <si>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</si>
  <si>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</si>
  <si>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</si>
  <si>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</si>
  <si>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</si>
  <si>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</si>
  <si>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</si>
  <si>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</si>
  <si>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</si>
  <si>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</si>
  <si>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</si>
  <si>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</si>
  <si>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</si>
  <si>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</si>
  <si>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</si>
  <si>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</si>
  <si>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</si>
  <si>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</si>
  <si>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</si>
  <si>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</si>
  <si>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</si>
  <si>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</si>
  <si>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</si>
  <si>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</si>
  <si>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</si>
  <si>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</si>
  <si>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</si>
  <si>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</si>
  <si>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</si>
  <si>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</si>
  <si>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</si>
  <si>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</si>
  <si>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</si>
  <si>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</si>
  <si>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</si>
  <si>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</si>
  <si>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</si>
  <si>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</si>
  <si>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</si>
  <si>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</si>
  <si>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</si>
  <si>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</si>
  <si>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</si>
  <si>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</si>
  <si>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</si>
  <si>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</si>
  <si>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</si>
  <si>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</si>
  <si>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</si>
  <si>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</si>
  <si>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</si>
  <si>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</si>
  <si>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</si>
  <si>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</si>
  <si>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</si>
  <si>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</si>
  <si>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</si>
  <si>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</si>
  <si>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</si>
  <si>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</si>
  <si>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</si>
  <si>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</si>
  <si>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</si>
  <si>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</si>
  <si>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</si>
  <si>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</si>
  <si>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</si>
  <si>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</si>
  <si>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</si>
  <si>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</si>
  <si>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</si>
  <si>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</si>
  <si>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</si>
  <si>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</si>
  <si>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</si>
  <si>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</si>
  <si>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</si>
  <si>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</si>
  <si>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</si>
  <si>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</si>
  <si>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</si>
  <si>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</si>
  <si>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</si>
  <si>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</si>
  <si>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</si>
  <si>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</si>
  <si>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</si>
  <si>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</si>
  <si>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</si>
  <si>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</si>
  <si>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</si>
  <si>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</si>
  <si>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</si>
  <si>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</si>
  <si>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</si>
  <si>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</si>
  <si>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</si>
  <si>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</si>
  <si>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</si>
  <si>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</si>
  <si>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</si>
  <si>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</si>
  <si>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</si>
  <si>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</si>
  <si>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</si>
  <si>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</si>
  <si>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</si>
  <si>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</si>
  <si>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</si>
  <si>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</si>
  <si>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</si>
  <si>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</si>
  <si>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</si>
  <si>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</si>
  <si>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</si>
  <si>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</si>
  <si>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</si>
  <si>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</si>
  <si>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</si>
  <si>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</si>
  <si>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</si>
  <si>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</si>
  <si>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</si>
  <si>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</si>
  <si>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</si>
  <si>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</si>
  <si>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</si>
  <si>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</si>
  <si>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</si>
  <si>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</si>
  <si>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</si>
  <si>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</si>
  <si>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</si>
  <si>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</si>
  <si>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</si>
  <si>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</si>
  <si>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</si>
  <si>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</si>
  <si>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COM HASTE, TORNEIRA E BALAO METALICOS</t>
  </si>
  <si>
    <t xml:space="preserve">TORNEIRA DE BOIA BALAO METALICO, VAZAO TOTAL, PARA CAIXA D'AGUA, AGUA QUENTE, ROSCA 3/4",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</si>
  <si>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</si>
  <si>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</si>
  <si>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</si>
  <si>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</si>
  <si>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</si>
  <si>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</si>
  <si>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</si>
  <si>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</si>
  <si>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</si>
  <si>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</si>
  <si>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</si>
  <si>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</si>
  <si>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</si>
  <si>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</si>
  <si>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</si>
  <si>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</si>
  <si>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</si>
  <si>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</si>
  <si>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</si>
  <si>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</si>
  <si>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</si>
  <si>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</si>
  <si>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</si>
  <si>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</si>
  <si>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</si>
  <si>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</si>
  <si>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</si>
  <si>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</si>
  <si>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</si>
  <si>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</si>
  <si>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</si>
  <si>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TORNO/MORSA DE BANCADA NUMERO 4</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</si>
  <si>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</si>
  <si>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</si>
  <si>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</si>
  <si>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</si>
  <si>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</si>
  <si>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</si>
  <si>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</si>
  <si>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</si>
  <si>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</si>
  <si>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</si>
  <si>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</si>
  <si>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</si>
  <si>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</si>
  <si>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</si>
  <si>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</si>
  <si>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</si>
  <si>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</si>
  <si>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</si>
  <si>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</si>
  <si>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PNEUS COM POTENCIA DE 122 CV, TRACAO 4 X 4, PESO COM LASTRO DE 4510 KG</t>
  </si>
  <si>
    <t xml:space="preserve">TRATOR DE PNEUS COM POTENCIA DE 85 CV, TRACAO 4 X 4, PESO COM LASTRO DE 4675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</si>
  <si>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</si>
  <si>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</si>
  <si>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</si>
  <si>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TRENA COM FITA DE ACO DE 10 M X 25 MM (COMPRIMENTO X LARGURA)</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</si>
  <si>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</si>
  <si>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</si>
  <si>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</si>
  <si>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</si>
  <si>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TRINCHA DE 1" COM CERDAS SINTETICAS</t>
  </si>
  <si>
    <t xml:space="preserve">TRINCHA DE 2" COM CERDAS SINTETICAS</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</si>
  <si>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</si>
  <si>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</si>
  <si>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</si>
  <si>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</si>
  <si>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</si>
  <si>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</si>
  <si>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</si>
  <si>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</si>
  <si>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</si>
  <si>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</si>
  <si>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</si>
  <si>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</si>
  <si>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</si>
  <si>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</si>
  <si>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</si>
  <si>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</si>
  <si>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</si>
  <si>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</si>
  <si>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</si>
  <si>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</si>
  <si>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</si>
  <si>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</si>
  <si>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</si>
  <si>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</si>
  <si>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</si>
  <si>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</si>
  <si>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</si>
  <si>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</si>
  <si>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</si>
  <si>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</si>
  <si>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</si>
  <si>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</si>
  <si>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</si>
  <si>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</si>
  <si>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</si>
  <si>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</si>
  <si>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</si>
  <si>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</si>
  <si>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</si>
  <si>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</si>
  <si>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</si>
  <si>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</si>
  <si>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</si>
  <si>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</si>
  <si>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</si>
  <si>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</si>
  <si>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</si>
  <si>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</si>
  <si>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</si>
  <si>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</si>
  <si>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</si>
  <si>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</si>
  <si>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</si>
  <si>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</si>
  <si>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</si>
  <si>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</si>
  <si>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</si>
  <si>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</si>
  <si>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</si>
  <si>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</si>
  <si>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</si>
  <si>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</si>
  <si>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</si>
  <si>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</si>
  <si>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</si>
  <si>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</si>
  <si>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</si>
  <si>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</si>
  <si>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</si>
  <si>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</si>
  <si>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</si>
  <si>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</si>
  <si>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</si>
  <si>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</si>
  <si>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</si>
  <si>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</si>
  <si>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</si>
  <si>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</si>
  <si>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</si>
  <si>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</si>
  <si>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</si>
  <si>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</si>
  <si>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</si>
  <si>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</si>
  <si>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</si>
  <si>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</si>
  <si>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</si>
  <si>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</si>
  <si>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</si>
  <si>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</si>
  <si>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</si>
  <si>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</si>
  <si>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</si>
  <si>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</si>
  <si>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</si>
  <si>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</si>
  <si>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</si>
  <si>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</si>
  <si>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</si>
  <si>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</si>
  <si>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</si>
  <si>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</si>
  <si>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</si>
  <si>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</si>
  <si>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</si>
  <si>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</si>
  <si>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</si>
  <si>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</si>
  <si>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E = 0,79 MM, PARA AR-CONDICIONADO/ INSTALACOES GAS RESIDENCIAIS E COMERCIAIS</t>
  </si>
  <si>
    <t xml:space="preserve">TUBO DE COBRE FLEXIVEL, D = 1/4", E = 0,79 MM, PARA AR-CONDICIONADO/ INSTALACOES GAS RESIDENCIAIS E COMERCIAIS</t>
  </si>
  <si>
    <t xml:space="preserve">TUBO DE COBRE FLEXIVEL, D = 3/16", E = 0,79 MM, PARA AR-CONDICIONADO/ INSTALACOES GAS RESIDENCIAIS E COMERCIAIS</t>
  </si>
  <si>
    <t xml:space="preserve">TUBO DE COBRE FLEXIVEL, D = 3/4", E = 0,79 MM, PARA AR-CONDICIONADO/ INSTALACOES GAS RESIDENCIAIS E COMERCIAIS</t>
  </si>
  <si>
    <t xml:space="preserve">TUBO DE COBRE FLEXIVEL, D = 3/8", E = 0,79 MM, PARA AR-CONDICIONADO/ INSTALACOES GAS RESIDENCIAIS E COMERCIAIS</t>
  </si>
  <si>
    <t xml:space="preserve">TUBO DE COBRE FLEXIVEL, D = 5/16", E = 0,79 MM, PARA AR-CONDICIONADO/ INSTALACOES GAS RESIDENCIAIS E COMERCIAIS</t>
  </si>
  <si>
    <t xml:space="preserve">TUBO DE COBRE FLEXIVEL, D = 5/8",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</si>
  <si>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</si>
  <si>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</si>
  <si>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</si>
  <si>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</si>
  <si>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</si>
  <si>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</si>
  <si>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</si>
  <si>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</si>
  <si>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</si>
  <si>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</si>
  <si>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</si>
  <si>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</si>
  <si>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</si>
  <si>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</si>
  <si>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</si>
  <si>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</si>
  <si>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</si>
  <si>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</si>
  <si>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</si>
  <si>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</si>
  <si>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</si>
  <si>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</si>
  <si>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</si>
  <si>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</si>
  <si>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</si>
  <si>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</si>
  <si>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</si>
  <si>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</si>
  <si>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</si>
  <si>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</si>
  <si>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</si>
  <si>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</si>
  <si>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</si>
  <si>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</si>
  <si>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</si>
  <si>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</si>
  <si>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</si>
  <si>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</si>
  <si>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</si>
  <si>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</si>
  <si>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</si>
  <si>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</si>
  <si>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</si>
  <si>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</si>
  <si>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</si>
  <si>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</si>
  <si>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</si>
  <si>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</si>
  <si>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</si>
  <si>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</si>
  <si>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</si>
  <si>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</si>
  <si>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</si>
  <si>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</si>
  <si>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</si>
  <si>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</si>
  <si>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</si>
  <si>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</si>
  <si>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</si>
  <si>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</si>
  <si>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</si>
  <si>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</si>
  <si>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</si>
  <si>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</si>
  <si>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</si>
  <si>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</si>
  <si>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</si>
  <si>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</si>
  <si>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</si>
  <si>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</si>
  <si>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</si>
  <si>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</si>
  <si>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</si>
  <si>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</si>
  <si>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</si>
  <si>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</si>
  <si>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</si>
  <si>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</si>
  <si>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</si>
  <si>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</si>
  <si>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</si>
  <si>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</si>
  <si>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</si>
  <si>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</si>
  <si>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</si>
  <si>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</si>
  <si>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</si>
  <si>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</si>
  <si>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</si>
  <si>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</si>
  <si>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</si>
  <si>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</si>
  <si>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</si>
  <si>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</si>
  <si>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</si>
  <si>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</si>
  <si>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</si>
  <si>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</si>
  <si>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</si>
  <si>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</si>
  <si>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</si>
  <si>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</si>
  <si>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</si>
  <si>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</si>
  <si>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</si>
  <si>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</si>
  <si>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</si>
  <si>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</si>
  <si>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</si>
  <si>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</si>
  <si>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</si>
  <si>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</si>
  <si>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</si>
  <si>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</si>
  <si>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</si>
  <si>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</si>
  <si>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</si>
  <si>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</si>
  <si>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</si>
  <si>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</si>
  <si>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</si>
  <si>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</si>
  <si>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</si>
  <si>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</si>
  <si>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</si>
  <si>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</si>
  <si>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</si>
  <si>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</si>
  <si>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</si>
  <si>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</si>
  <si>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</si>
  <si>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</si>
  <si>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</si>
  <si>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</si>
  <si>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</si>
  <si>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</si>
  <si>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</si>
  <si>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</si>
  <si>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</si>
  <si>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</si>
  <si>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</si>
  <si>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</si>
  <si>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</si>
  <si>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</si>
  <si>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</si>
  <si>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</si>
  <si>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</si>
  <si>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</si>
  <si>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</si>
  <si>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</si>
  <si>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</si>
  <si>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</si>
  <si>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</si>
  <si>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</si>
  <si>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</si>
  <si>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</si>
  <si>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</si>
  <si>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</si>
  <si>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</si>
  <si>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</si>
  <si>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</si>
  <si>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</si>
  <si>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</si>
  <si>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</si>
  <si>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</si>
  <si>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</si>
  <si>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</si>
  <si>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</si>
  <si>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</si>
  <si>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</si>
  <si>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</si>
  <si>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</si>
  <si>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</si>
  <si>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</si>
  <si>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</si>
  <si>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</si>
  <si>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</si>
  <si>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</si>
  <si>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</si>
  <si>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</si>
  <si>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</si>
  <si>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</si>
  <si>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</si>
  <si>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</si>
  <si>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</si>
  <si>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</si>
  <si>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</si>
  <si>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</si>
  <si>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</si>
  <si>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</si>
  <si>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</si>
  <si>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</si>
  <si>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</si>
  <si>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</si>
  <si>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</si>
  <si>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</si>
  <si>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</si>
  <si>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</si>
  <si>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</si>
  <si>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</si>
  <si>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</si>
  <si>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</si>
  <si>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</si>
  <si>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</si>
  <si>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</si>
  <si>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</si>
  <si>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</si>
  <si>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</si>
  <si>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</si>
  <si>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</si>
  <si>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</si>
  <si>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</si>
  <si>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</si>
  <si>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</si>
  <si>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</si>
  <si>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</si>
  <si>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</si>
  <si>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</si>
  <si>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</si>
  <si>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</si>
  <si>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</si>
  <si>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</si>
  <si>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</si>
  <si>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</si>
  <si>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</si>
  <si>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</si>
  <si>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</si>
  <si>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</si>
  <si>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</si>
  <si>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</si>
  <si>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</si>
  <si>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</si>
  <si>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</si>
  <si>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</si>
  <si>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</si>
  <si>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</si>
  <si>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</si>
  <si>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</si>
  <si>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</si>
  <si>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</si>
  <si>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</si>
  <si>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</si>
  <si>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UNIFORME PROFISSIONAL DE BRIM, CALCA E CAMISA MANGA LONGA COM FAIXA REFLETIVA</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</si>
  <si>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</si>
  <si>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</si>
  <si>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</si>
  <si>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</si>
  <si>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</si>
  <si>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</si>
  <si>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</si>
  <si>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</si>
  <si>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</si>
  <si>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</si>
  <si>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</si>
  <si>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</si>
  <si>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</si>
  <si>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</si>
  <si>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</si>
  <si>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</si>
  <si>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</si>
  <si>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</si>
  <si>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</si>
  <si>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</si>
  <si>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</si>
  <si>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</si>
  <si>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</si>
  <si>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</si>
  <si>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</si>
  <si>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</si>
  <si>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</si>
  <si>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</si>
  <si>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</si>
  <si>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</si>
  <si>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</si>
  <si>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</si>
  <si>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</si>
  <si>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</si>
  <si>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</si>
  <si>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</si>
  <si>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</si>
  <si>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</si>
  <si>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</si>
  <si>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</si>
  <si>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</si>
  <si>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</si>
  <si>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</si>
  <si>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</si>
  <si>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</si>
  <si>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SEM UNHO, COM LADRAO</t>
  </si>
  <si>
    <t xml:space="preserve">VALVULA EM PLASTICO BRANCO PARA TANQUE 1.1/4" X 1.1/2", SEM UNHO E SEM LADRAO</t>
  </si>
  <si>
    <t xml:space="preserve">VALVULA EM PLASTICO BRANCO PARA TANQUE OU LAVATORIO 1", SEM UNHO E SEM LADRAO</t>
  </si>
  <si>
    <t xml:space="preserve">VALVULA EM PLASTICO CROMADO PARA LAVATORIO 1", SEM UNHO, COM LADRAO</t>
  </si>
  <si>
    <t xml:space="preserve">VALVULA EM PLASTICO CROMADO TIPO AMERICANA PARA PIA DE COZINHA 3.1/2" X 1.1/2",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</si>
  <si>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</si>
  <si>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</si>
  <si>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</si>
  <si>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</si>
  <si>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</si>
  <si>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</si>
  <si>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</si>
  <si>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</si>
  <si>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</si>
  <si>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</si>
  <si>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</si>
  <si>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</si>
  <si>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</si>
  <si>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</si>
  <si>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</si>
  <si>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</si>
  <si>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</si>
  <si>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</si>
  <si>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</si>
  <si>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DIAMETRO DA PONTEIRA DE *35*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</si>
  <si>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</si>
  <si>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</si>
  <si>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</si>
  <si>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</si>
  <si>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</si>
  <si>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</si>
  <si>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</si>
  <si>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</si>
  <si>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</si>
  <si>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</si>
  <si>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</si>
  <si>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</si>
  <si>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</si>
  <si>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</si>
  <si>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</si>
  <si>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</si>
  <si>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</si>
  <si>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</si>
  <si>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</si>
  <si>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</si>
  <si>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</si>
  <si>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</si>
  <si>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</si>
  <si>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</si>
  <si>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</si>
  <si>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</si>
  <si>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</si>
  <si>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</si>
  <si>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</si>
  <si>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</si>
  <si>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</si>
  <si>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</si>
  <si>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</si>
  <si>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</si>
  <si>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</si>
  <si>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</si>
  <si>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</si>
  <si>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</si>
  <si>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</si>
  <si>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</si>
  <si>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</si>
  <si>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</si>
  <si>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</si>
  <si>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</si>
  <si>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</si>
  <si>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</si>
  <si>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GRUPO</t>
  </si>
  <si>
    <t>CÓDIGO</t>
  </si>
  <si>
    <t>DISCRIMINAÇÃO</t>
  </si>
  <si>
    <t>UNID</t>
  </si>
  <si>
    <t>PUNIT</t>
  </si>
  <si>
    <t>REAJUSTE</t>
  </si>
  <si>
    <t xml:space="preserve">SICRO JANEIRO/26</t>
  </si>
  <si>
    <t>Drenagem</t>
  </si>
  <si>
    <t>M0131</t>
  </si>
  <si>
    <t xml:space="preserve">Tubo PEAD corrugado com paredes estruturadas para drenagem - D = 400 mm</t>
  </si>
  <si>
    <t>m</t>
  </si>
  <si>
    <t>M0132</t>
  </si>
  <si>
    <t xml:space="preserve">Tubo PEAD corrugado com paredes estruturadas para drenagem - D = 450 mm</t>
  </si>
  <si>
    <t>M0133</t>
  </si>
  <si>
    <t xml:space="preserve">Tubo PEAD corrugado com paredes estruturadas para drenagem - D = 500 mm</t>
  </si>
  <si>
    <t xml:space="preserve">ÍNDICE REAJUSTAMENTO SICRO - Ver Instrução Normativa 59/2021 do DNIT</t>
  </si>
  <si>
    <t>M0134</t>
  </si>
  <si>
    <t xml:space="preserve">Tubo PEAD corrugado com paredes estruturadas para drenagem - D = 600 mm</t>
  </si>
  <si>
    <t>DESCRIÇÃO</t>
  </si>
  <si>
    <t>M0135</t>
  </si>
  <si>
    <t xml:space="preserve">Tubo PEAD corrugado com paredes estruturadas para drenagem - D = 750 mm</t>
  </si>
  <si>
    <t xml:space="preserve">Sem Reajuste</t>
  </si>
  <si>
    <t>M0136</t>
  </si>
  <si>
    <t xml:space="preserve">Tubo PEAD corrugado com paredes estruturadas para drenagem - D = 800 mm</t>
  </si>
  <si>
    <t>Terraplenagem</t>
  </si>
  <si>
    <t>M0137</t>
  </si>
  <si>
    <t xml:space="preserve">Tubo PEAD corrugado com paredes estruturadas para drenagem - D = 900 mm</t>
  </si>
  <si>
    <t xml:space="preserve">Obras Arte Especiais</t>
  </si>
  <si>
    <t>M0138</t>
  </si>
  <si>
    <t xml:space="preserve">Ancoragem ativa para 19 cordoalhas - D = 15,2 mm</t>
  </si>
  <si>
    <t>un</t>
  </si>
  <si>
    <t>Pavimentação</t>
  </si>
  <si>
    <t>M0139</t>
  </si>
  <si>
    <t xml:space="preserve">Tubo PEAD corrugado com paredes estruturadas para drenagem - D = 1.000 mm</t>
  </si>
  <si>
    <t>M0140</t>
  </si>
  <si>
    <t>Bentonita</t>
  </si>
  <si>
    <t>kg</t>
  </si>
  <si>
    <t xml:space="preserve">Sinalização Vertical</t>
  </si>
  <si>
    <t>M0141</t>
  </si>
  <si>
    <t xml:space="preserve">Tubo PEAD corrugado com paredes estruturadas para drenagem - D = 1.050 mm</t>
  </si>
  <si>
    <t xml:space="preserve">Administração Local</t>
  </si>
  <si>
    <t>M0142</t>
  </si>
  <si>
    <t xml:space="preserve">Tubo PEAD corrugado com paredes estruturadas para drenagem - D = 1.200 mm</t>
  </si>
  <si>
    <t xml:space="preserve">Obras Compl e Meio Ambiente</t>
  </si>
  <si>
    <t>M0143</t>
  </si>
  <si>
    <t xml:space="preserve">Tubo PEAD corrugado com paredes estruturadas para drenagem - D = 1.500 mm</t>
  </si>
  <si>
    <t xml:space="preserve">Sinalização Horizontal</t>
  </si>
  <si>
    <t>M0107</t>
  </si>
  <si>
    <t xml:space="preserve">Geocomposto para drenagem</t>
  </si>
  <si>
    <t>m²</t>
  </si>
  <si>
    <t>M1446</t>
  </si>
  <si>
    <t xml:space="preserve">Geogrelha bidirecional em polipropileno extrudado - resistência à tração de 30 kN/m, deformação inferior a 5% e malha de 36 x 34 mm</t>
  </si>
  <si>
    <t>M1447</t>
  </si>
  <si>
    <t xml:space="preserve">Geogrelha unidirecional em poliéster - resistência à tração longitudinal de 50 kN/m</t>
  </si>
  <si>
    <t>M1448</t>
  </si>
  <si>
    <t xml:space="preserve">Geogrelha unidirecional em poliéster - resistência à tração longitudinal de 90 kN/m</t>
  </si>
  <si>
    <t>M1449</t>
  </si>
  <si>
    <t xml:space="preserve">Geogrelha unidirecional em poliéster - resistência à tração longitudinal de 100 kN/m</t>
  </si>
  <si>
    <t>M1450</t>
  </si>
  <si>
    <t xml:space="preserve">Geogrelha unidirecional em poliéster - resistência à tração longitudinal de 150 kN/m</t>
  </si>
  <si>
    <t>M1451</t>
  </si>
  <si>
    <t xml:space="preserve">Geogrelha unidirecional em poliéster - resistência à tração longitudinal de 200 kN/m</t>
  </si>
  <si>
    <t>M1452</t>
  </si>
  <si>
    <t xml:space="preserve">Geogrelha unidirecional em poliéster - resistência à tração longitudinal de 300 kN/m</t>
  </si>
  <si>
    <t>M1453</t>
  </si>
  <si>
    <t xml:space="preserve">Geogrelha unidirecional em poliéster - resistência à tração longitudinal de 400 kN/m</t>
  </si>
  <si>
    <t>M2147</t>
  </si>
  <si>
    <t xml:space="preserve">Dente de corte para recicladora</t>
  </si>
  <si>
    <t>M2148</t>
  </si>
  <si>
    <t xml:space="preserve">Porta dente de corte para fresadora e recicladora a frio</t>
  </si>
  <si>
    <t>M2153</t>
  </si>
  <si>
    <t xml:space="preserve">Coroa de diamante linha HWG</t>
  </si>
  <si>
    <t>M2156</t>
  </si>
  <si>
    <t xml:space="preserve">Coroa de diamante linha NWG</t>
  </si>
  <si>
    <t>E9585</t>
  </si>
  <si>
    <t xml:space="preserve">Motosserra com motor a gasolina - 2,30 k2w - chp</t>
  </si>
  <si>
    <t>chp</t>
  </si>
  <si>
    <t>E9687</t>
  </si>
  <si>
    <t xml:space="preserve">Caminhão carroceria com capacidade de 5 t - 115 kW</t>
  </si>
  <si>
    <t xml:space="preserve">E9687 I</t>
  </si>
  <si>
    <t>chi</t>
  </si>
  <si>
    <t xml:space="preserve">Desmatamento, destocamento, limpeza de área e estocagem do material de limpeza com árvores de diâmetro até 0,15 m</t>
  </si>
  <si>
    <t xml:space="preserve">Destocamento de árvores com diâmetro de 0,15 a 0,30 m</t>
  </si>
  <si>
    <t xml:space="preserve">Corte e remoção de árvores</t>
  </si>
  <si>
    <t>m³</t>
  </si>
  <si>
    <t xml:space="preserve">Limpeza mecanizada da camada vegetal</t>
  </si>
  <si>
    <t>2003866</t>
  </si>
  <si>
    <t xml:space="preserve">Aplicação de geotêxtil não-tecido agulhado com resistência à tração longitudinal de 14 kN/m</t>
  </si>
  <si>
    <t>2003867</t>
  </si>
  <si>
    <t xml:space="preserve">Aplicação de geotêxtil não-tecido agulhado com resistência à tração longitudinal de 31 kN/m</t>
  </si>
  <si>
    <t xml:space="preserve">Geogrelha unidirecional com resistência à tração de 100 kN/m - fornecimento e instalação</t>
  </si>
  <si>
    <t>1516299</t>
  </si>
  <si>
    <t xml:space="preserve">Geogrelha unidirecional com resistência à tração de 150 kN/m - fornecimento e instalação</t>
  </si>
  <si>
    <t>1516300</t>
  </si>
  <si>
    <t xml:space="preserve">Geogrelha unidirecional com resistência à tração de 200 kN/m - fornecimento e instalação</t>
  </si>
  <si>
    <t xml:space="preserve">Geogrelha unidirecional com resistência à tração de 300 kN/m - fornecimento e instalação</t>
  </si>
  <si>
    <t>1516302</t>
  </si>
  <si>
    <t xml:space="preserve">Geogrelha unidirecional com resistência à tração de 400 kN/m - fornecimento e instalação</t>
  </si>
  <si>
    <t xml:space="preserve">Geogrelha unidirecional com resistência à tração de 50 kN/m - fornecimento e instalação</t>
  </si>
  <si>
    <t xml:space="preserve">Geogrelha unidirecional com resistência à tração de 90 kN/m - fornecimento e instalação</t>
  </si>
  <si>
    <t xml:space="preserve">Valeta de proteção de aterros com revestimento vegetal - VPA 01</t>
  </si>
  <si>
    <t xml:space="preserve">Valeta de proteção de aterros com revestimento vegetal - VPA 02</t>
  </si>
  <si>
    <t xml:space="preserve">Valeta de proteção de aterros com revestimento de concreto - VPA 03 - areia e brita comerciais</t>
  </si>
  <si>
    <t xml:space="preserve">Valeta de proteção de aterros com revestimento de concreto - VPA 04 - areia e brita comerciais</t>
  </si>
  <si>
    <t xml:space="preserve">Enchimento de junta de concreto com argamassa asfáltica de densidade 1.700 kg/m³ - espessura de 1 cm</t>
  </si>
  <si>
    <t>Enleivamento</t>
  </si>
  <si>
    <t xml:space="preserve">Guia de madeira de 2,5 x 8,0 cm - confeccção e instalação</t>
  </si>
  <si>
    <t>E9071</t>
  </si>
  <si>
    <t xml:space="preserve">Transportador manual carrinho de mão com capacidade de 80 l - chp</t>
  </si>
  <si>
    <t>h</t>
  </si>
  <si>
    <t>M1391</t>
  </si>
  <si>
    <t xml:space="preserve">Ponteiro para martelete - D = 22 mm e C = 1,00 m</t>
  </si>
  <si>
    <t>E9127</t>
  </si>
  <si>
    <t xml:space="preserve">Escavadeira hidráulica com martelo hidráulico de 520 kg - 75 Kw - chp</t>
  </si>
  <si>
    <t>M0603</t>
  </si>
  <si>
    <t xml:space="preserve">Ponteiro para rompedor hidráulico de 520 kg</t>
  </si>
  <si>
    <t xml:space="preserve">E9512 CHP</t>
  </si>
  <si>
    <t xml:space="preserve">Veículo leve - 53 kW </t>
  </si>
  <si>
    <t xml:space="preserve">E9512 CHI</t>
  </si>
  <si>
    <t xml:space="preserve">E9512 MDO</t>
  </si>
  <si>
    <t xml:space="preserve">Veículo leve - 53 kW</t>
  </si>
  <si>
    <t>mdo</t>
  </si>
  <si>
    <t xml:space="preserve">E9125 CHP</t>
  </si>
  <si>
    <t xml:space="preserve">Van furgão - 93 kW</t>
  </si>
  <si>
    <t xml:space="preserve">E9125 CHI</t>
  </si>
  <si>
    <t>E9082</t>
  </si>
  <si>
    <t xml:space="preserve">Bate-estaca hidráulico para defensas montado em caminhão guindauto com capacidade de 20 t.m e carroceria de 4 t - 136 kW</t>
  </si>
  <si>
    <t>M1968</t>
  </si>
  <si>
    <t xml:space="preserve">Defensa metálica semimaleável simples</t>
  </si>
  <si>
    <t>E9775</t>
  </si>
  <si>
    <t xml:space="preserve">Escavadeira hidráulica com martelo hidráulico de 1.700 kg - 130 Kw - chp</t>
  </si>
  <si>
    <t>E9066</t>
  </si>
  <si>
    <t xml:space="preserve">Grupo gerador - 13/14 kVa</t>
  </si>
  <si>
    <t>M3947</t>
  </si>
  <si>
    <t xml:space="preserve">Tubo em aço - E = 3,00 mm e seção de 40 x 40 mm</t>
  </si>
  <si>
    <t xml:space="preserve">E9521 CHP</t>
  </si>
  <si>
    <t xml:space="preserve">Grupo gerador - 2,5/3 kVa</t>
  </si>
  <si>
    <t xml:space="preserve">E9521 CHI</t>
  </si>
  <si>
    <t>M0076</t>
  </si>
  <si>
    <t xml:space="preserve">Disco de corte abrasivo para policorte - D = 300 mm</t>
  </si>
  <si>
    <t>E9041</t>
  </si>
  <si>
    <t xml:space="preserve">Caminhão carroceria com guindauto e cesto aéreo com capacidade de 45 t.m - 188 kW</t>
  </si>
  <si>
    <t>M2041</t>
  </si>
  <si>
    <t xml:space="preserve">Adesivo à base de resina poliéster</t>
  </si>
  <si>
    <t>M3868</t>
  </si>
  <si>
    <t xml:space="preserve">Tachão refletivo em plástico injetado monodirecional</t>
  </si>
  <si>
    <t>M3867</t>
  </si>
  <si>
    <t xml:space="preserve">Tachão refletivo em plástico injetado bidirecional</t>
  </si>
  <si>
    <t>M3821</t>
  </si>
  <si>
    <t xml:space="preserve">Tacha refletiva em plástico injetado bidirecional com um pino - tipo I</t>
  </si>
  <si>
    <t>M3829</t>
  </si>
  <si>
    <t xml:space="preserve">Tacha refletiva em plástico injetado monodirecional  com um pino - tipo I</t>
  </si>
  <si>
    <t xml:space="preserve">Guia de madeira de 2,5 x 7,0 cm - confeccção e instalação</t>
  </si>
  <si>
    <t>E9579</t>
  </si>
  <si>
    <t xml:space="preserve">Caminhão basculante com capacidade de 10 m³ - 188 kW</t>
  </si>
  <si>
    <t>E9520</t>
  </si>
  <si>
    <t xml:space="preserve">Caminhão com caçamba térmica com capacidade de 6 m³ - 188 kw</t>
  </si>
  <si>
    <t xml:space="preserve">1400975 - SICRO</t>
  </si>
  <si>
    <t xml:space="preserve">Corte de chapa de aço com guilhotina hidráulica</t>
  </si>
  <si>
    <t xml:space="preserve">1400977 - SICRO</t>
  </si>
  <si>
    <t xml:space="preserve">Dobramento de chapas metálicas com espessuras de 6,3 a 10 mm</t>
  </si>
  <si>
    <t>P9883</t>
  </si>
  <si>
    <t xml:space="preserve">Chefe do setor administrativo</t>
  </si>
  <si>
    <t>mês</t>
  </si>
  <si>
    <t>P9806</t>
  </si>
  <si>
    <t xml:space="preserve">Auxiliar Administrativo</t>
  </si>
  <si>
    <t>P9842</t>
  </si>
  <si>
    <t>Faxineiro</t>
  </si>
  <si>
    <t>E9156</t>
  </si>
  <si>
    <t xml:space="preserve">Soprador de ar costal - 2,6 kw</t>
  </si>
  <si>
    <t xml:space="preserve">M1367  </t>
  </si>
  <si>
    <t xml:space="preserve">Chapa fina em aço galvanizado</t>
  </si>
  <si>
    <t>M3229</t>
  </si>
  <si>
    <t xml:space="preserve">Película retrorrefletiva tipo I + SI (sinal impresso com película de sobreposição tipo V)</t>
  </si>
  <si>
    <t xml:space="preserve">Pintura eletrostática a pó com tinta poliéster em chapa de aço</t>
  </si>
  <si>
    <t>M0602</t>
  </si>
  <si>
    <t xml:space="preserve">Ponteiro para rompedor hidráulico de 1.700 kg</t>
  </si>
  <si>
    <t>M1658</t>
  </si>
  <si>
    <t xml:space="preserve">Tubo PEAD corrugado perfurado para drenagem - D = 230 mm</t>
  </si>
  <si>
    <t>M3237</t>
  </si>
  <si>
    <t xml:space="preserve">PELÍCULA RETRORREFLETIVA TIPO III</t>
  </si>
  <si>
    <t>M²</t>
  </si>
  <si>
    <t xml:space="preserve">E9568 </t>
  </si>
  <si>
    <t xml:space="preserve">FURADEIRA DE IMPACTO DE 12,5 MM - 0,80 KW</t>
  </si>
  <si>
    <t xml:space="preserve">E9753 </t>
  </si>
  <si>
    <t xml:space="preserve">GRUPO GERADOR - 23 KVA</t>
  </si>
  <si>
    <t>E9623</t>
  </si>
  <si>
    <t xml:space="preserve">MÁQUINA DE BANCADA GUILHOTINA - 4,00 KW</t>
  </si>
  <si>
    <t xml:space="preserve">E9622 </t>
  </si>
  <si>
    <t xml:space="preserve">MÁQUINA DE BANCADA UNIVERSAL PARA CORTE DE CHAPA 1,50 KW</t>
  </si>
  <si>
    <t xml:space="preserve">E9507 </t>
  </si>
  <si>
    <t xml:space="preserve">PLOTADORA DE RECORTE COM COMPUTADOR E PROGRAMA COMPUTACIONAL </t>
  </si>
  <si>
    <t xml:space="preserve">SOLDA ELETRICA DE PERFIS METÁLICOS E CHAPAS DE AÇO COM ELETRODO E70XX</t>
  </si>
  <si>
    <t xml:space="preserve">ESCAVAÇÃO MECÂNICA DE VALA PARA DRENAGEM COM VALETADEIRA EM MATERIAL DE 1ª CATEGORIA</t>
  </si>
  <si>
    <t>M³</t>
  </si>
  <si>
    <t xml:space="preserve">CORTE DE BARRAS E FIOS DE AÇO COM MAÇARICO OXIACETILENO</t>
  </si>
  <si>
    <t>CM²</t>
  </si>
  <si>
    <t>M2086</t>
  </si>
  <si>
    <t xml:space="preserve">Tachão refletivo bidirecional</t>
  </si>
  <si>
    <t xml:space="preserve">SICRO 10/2019</t>
  </si>
  <si>
    <t>M2085</t>
  </si>
  <si>
    <t xml:space="preserve">TACHÃO REFLETIVO MONODIRECIONAL</t>
  </si>
  <si>
    <t xml:space="preserve">SICRO 04/2020</t>
  </si>
  <si>
    <t>M2084</t>
  </si>
  <si>
    <t xml:space="preserve">TACHA REFLETIVA BIDIRECIONAL</t>
  </si>
  <si>
    <t>M2083</t>
  </si>
  <si>
    <t xml:space="preserve">TACHA REFLETIVA MONODIRECIONAL</t>
  </si>
  <si>
    <t xml:space="preserve">AGENCIA  ESTADUAL  DE  GESTAO  DE  EMPREENDIMENTOS  -  AGESUL</t>
  </si>
  <si>
    <t xml:space="preserve">BOLETIM DE PRECOS SEM BDI (SINAPI/AGESUL) - JANEIRO/2025 (LEIS SOCIAIS - 107,52%)   -    MOEDA: REAL</t>
  </si>
  <si>
    <t xml:space="preserve">BOLETIM DE PRECOS SEM BDI (SINAPI/AGESUL) - JANEIRO/2025 (LEIS SOCIAIS - 86,39%)  -    MOEDA: REAL</t>
  </si>
  <si>
    <t>onerado</t>
  </si>
  <si>
    <t xml:space="preserve">CANTEIRO DE OBRAS</t>
  </si>
  <si>
    <t xml:space="preserve">NÃO DESONERADO</t>
  </si>
  <si>
    <t>CODIGO</t>
  </si>
  <si>
    <t xml:space="preserve">S E R V I C O S</t>
  </si>
  <si>
    <t xml:space="preserve">MAO OBRA</t>
  </si>
  <si>
    <t>TOTAL</t>
  </si>
  <si>
    <t xml:space="preserve">*  CANTEIRO DE OBRAS - SERVICOS GERAIS</t>
  </si>
  <si>
    <t xml:space="preserve">PLACA DE OBRA EM CHAPA GALVANIZADA N. 22, ADESIVADA</t>
  </si>
  <si>
    <t xml:space="preserve">SINAPI - 98524 - LIMPEZA MANUAL DE VEGETACAO EM TERRENO COM ENXADA. AF_03/2024</t>
  </si>
  <si>
    <t xml:space="preserve">REGULARIZACAO DO SOLO COM IRREGULARIDADES ATE 0,20 M</t>
  </si>
  <si>
    <t xml:space="preserve">SINAPI - 100575 - REGULARIZACAO DE SUPERFICIES COM MOTONIVELADORA. AF_09/2024</t>
  </si>
  <si>
    <t xml:space="preserve">SINAPI - 98525 - LIMPEZA MECANIZADA DE CAMADA VEGETAL, VEGETACAO E PEQUENAS ARVORES (DIAMETRO DE TRONCO MENOR QUE 0,20 M), COM TRATOR DE ESTEIRAS. AF_03/2024</t>
  </si>
  <si>
    <t xml:space="preserve">SINAPI - 99059 - LOCACAO CONVENCIONAL DE OBRA, UTILIZANDO GABARITO DE TABUAS CORRIDAS PONTALETADAS A CADA 2,00M -  2 UTILIZACOES. AF_03/2024</t>
  </si>
  <si>
    <t xml:space="preserve">TAPUME COM TELHA TRAPEZOIDAL  EM ACO GALVANIZADO, ESP=0,50MM, ESTRUTURA EM MADEIRA NAO APARELHADA (REAPROVEITAMENTO DA TELHA DE 3X), INCLUSO PINTURA LATEX EXTERNAMENTE</t>
  </si>
  <si>
    <t xml:space="preserve">PORTAO PARA TAPUME COM TELHA TRAPEZOIDAL EM ACO GALVANIZADO,  ESP=0,5MM, EM ESTRUTURA DE MADEIRA, INCLUSIVE FERRAGENS (REAPROVEITAMENTO DA TELHA DE 3X), INCLUSO PINTURA LATEX EXTERNAMENTE</t>
  </si>
  <si>
    <t xml:space="preserve">EXECUCAO DE ESCRITORIO EM CANTEIRO DE OBRAS, FORA DA PROJECAO DA LAJE, EM CHAPA DE MADEIRA COMPENSADA, NAO INCLUSO MOBILIARIO E EQUIPAMENTOS</t>
  </si>
  <si>
    <t xml:space="preserve">EXECUCAO DE ALMOXARIFADO EM CANTEIRO DE OBRAS, FORA DA PROJECAO DA LAJE, EM CHAPA DE MADEIRA COMPENSADA, NAO INCLUSO MOBILIARIO E EQUIPAMENTOS</t>
  </si>
  <si>
    <t xml:space="preserve">EXECUCAO DE REFEITORIO EM CANTEIRO DE OBRAS, FORA DA PROJECAO DA LAJE, EM CHAPA DE MADEIRA COMPENSADA, NAO INCLUSO MOBILIARIO E EQUIPAMENTOS</t>
  </si>
  <si>
    <t xml:space="preserve">BEBEDOURO INDUSTRIAL DE COLUNA EM ACO INOX, CAPACIDADE DE 50 LITROS, 2 TORNEIRAS, KIT INSTALACAO E FILTRO BACTERIOLOGICO, REF. KX-05 DA KNOX OU SIMILAR (REAPROVEITAMENTO DE 6X)</t>
  </si>
  <si>
    <t xml:space="preserve">EXECUCAO DE SANITARIO E VESTIARIO EM CANTEIRO DE OBRAS, FORA DA PROJECAO DA LAJE, EM CHAPA DE MADEIRA COMPENSADA, NAO INCLUSO MOBILIARIO</t>
  </si>
  <si>
    <t xml:space="preserve">EXECUCAO DE CENTRAL DE FORMAS, PRODUCAO DE ARGAMASSA OU CONCRETO EM CANTEIRO DE OBRAS, NAO INCLUSO MOBILIARIO E EQUIPAMENTOS</t>
  </si>
  <si>
    <t xml:space="preserve">EXECUCAO DE CENTRAL DE ARMADURA EM CANTEIRO DE OBRA, NAO INCLUSO MOBILIARIO E EQUIPAMENTOS</t>
  </si>
  <si>
    <t xml:space="preserve">EXECUCAO DE RESERVATORIO ELEVADO DE AGUA (2000 LITROS) EM CANTEIRO DE OBRAS, APOIADO EM ESTRUTURA DE MADEIRA</t>
  </si>
  <si>
    <t xml:space="preserve">LOCACAO DE BANHEIRO QUIMICO, INCLUSO 4 HIGIENIZACOES, MOBILIZACAO E DESMOBILIZACAO</t>
  </si>
  <si>
    <t xml:space="preserve">LOCACAO DE CONTAINER PARA DEPOSITO DE (2,30 X 6,00)M, ALT. 2,50M, SEM DIVISORIAS INTERNAS E SEM SANITARIO, EXC TRANSP/CARGA/DESCARGA</t>
  </si>
  <si>
    <t xml:space="preserve">LOCACAO DE CONTAINER 2,30 X 6,00 M, ALT. 2,50 M, COM 1 SANITARIO, PARA ESCRITORIO, COMPLETO, SEM DIVISORIAS INTERNAS, EXCLUSIVE TRANSPORTE/CARGA/DESCARGA</t>
  </si>
  <si>
    <t xml:space="preserve">LOCACAO DE CONTAINER 2,30 X 4,30 M, ALT. 2,50 M, PARA SANITARIO, COM 3 BACIAS, 4 CHUVEIROS, 1 LAVATORIO E 1 MICTORIO, EXCLUSIVE TRANSPORTE/CARGA/DESCARGA</t>
  </si>
  <si>
    <t xml:space="preserve">MOBILIZACAO E DESMOBILIZACAO DE CONTAINER</t>
  </si>
  <si>
    <t xml:space="preserve">SINAPI - 101197 - CERCA COM MOUROES DE CONCRETO, SECAO "T" PONTA INCLINADA, 10X10 CM, ESPACAMENTO DE 2,5 M, CRAVADOS 0,5 M, COM 11 FIOS DE ARAME FARPADO Nº 14 - FORNECIMENTO E INSTALACAO. AF_05/2020</t>
  </si>
  <si>
    <t xml:space="preserve">SINAPI - 101190 - CERCA COM MOUROES DE CONCRETO, RETO, H=3,00 M, ESPACAMENTO DE 2,5 M, CRAVADOS 0,5 M, COM 4 FIOS DE ARAME DE ACO OVALADO 15X17 - FORNECIMENTO E INSTALACAO. AF_05/2020</t>
  </si>
  <si>
    <t xml:space="preserve">SINAPI - 101201 - CERCA COM MOUROES DE MADEIRA, 7,5X7,5 CM, ESPACAMENTO DE 2,5 M, ALTURA LIVRE DE 2 M, CRAVADOS 0,5 M, COM 8 FIOS DE ARAME FARPADO Nº 14 CLASSE 250 - FORNECIMENTO E INSTALACAO. AF_05/2020</t>
  </si>
  <si>
    <t xml:space="preserve">SINAPI - 98529 - CORTE RASO E RECORTE DE ARVORE COM DIAMETRO DE TRONCO MAIOR OU IGUAL A 0,20 M E MENOR QUE 0,40 M. AF_03/2024</t>
  </si>
  <si>
    <t xml:space="preserve">SINAPI - 98530 - CORTE RASO E RECORTE DE ARVORE COM DIAMETRO DE TRONCO MAIOR OU IGUAL A 0,40 M E MENOR QUE 0,60 M. AF_03/2024</t>
  </si>
  <si>
    <t xml:space="preserve">SINAPI - 98531 - CORTE RASO E RECORTE DE ARVORE COM DIAMETRO DE TRONCO MAIOR OU IGUAL A 0,60 M. AF_03/2024</t>
  </si>
  <si>
    <t xml:space="preserve">SINAPI - 98526 - REMOCAO DE RAIZES REMANESCENTES DE TRONCO DE ARVORE COM DIAMETRO MAIOR OU IGUAL A 0,20 M E MENOR QUE 0,40 M. AF_03/2024</t>
  </si>
  <si>
    <t xml:space="preserve">SINAPI - 98527 - REMOCAO DE RAIZES REMANESCENTES DE TRONCO DE ARVORE COM DIAMETRO MAIOR OU IGUAL A 0,40 M E MENOR QUE 0,60 M. AF_03/2024</t>
  </si>
  <si>
    <t xml:space="preserve">SINAPI - 98528 - REMOCAO DE RAIZES REMANESCENTES DE TRONCO DE ARVORE COM DIAMETRO MAIOR OU IGUAL A 0,60 M. AF_03/2024</t>
  </si>
  <si>
    <t xml:space="preserve">BAIA DE RESIDUOS P/ ENTULHO C/ 4 COMPARTIMENTOS: CLASSE A E B (RECICLAVEIS), CLASSE C (NAO RECICLAVEIS) E CLASSE D (PERIGOSOS), DESCOBERTA, REVESTIMENTO NO PISO DA BAIA CLASSE D, PAREDES EM TELHA DE ACO ZINCADO ONDULADAS COM H=1,10M, PISO EM TERR</t>
  </si>
  <si>
    <t xml:space="preserve">BAIA DE RESIDUOS P/ COLETA SELETIVA CONST. COBERTA-3 CELULAS - SENDO INTERNAMENTE 1,50X1,50M CADA CELULA -PAREDES EM CH. DE MADEIRA COMPENSADA 12MM H=1,10M, PISO EM TERRENO NATURAL FORTEMENTE APILOADO, PILARETE EM EUCALIPTO TRAT. 15CM, CONF. PROJ</t>
  </si>
  <si>
    <t xml:space="preserve">BAIA PARA AGREGADOS DESCOBERTA, MEDINDO (3,0 X 3,0 X 0,9)M, PAREDES EM CHAPA DE COMPENSADO RESINADA 6MM, ESTRUTURADA COM CAIBROS, PISO EM TERRENO NATURAL, REGULARIZADO E COMPACTADO</t>
  </si>
  <si>
    <t xml:space="preserve">*  CANTEIRO DE OBRAS - INSTALACOES HIDRAULICAS</t>
  </si>
  <si>
    <t xml:space="preserve">INSTALACAO PROVISORIA DE AGUA E ESGOTO PARA OBRAS DE PORTE PEQUENO</t>
  </si>
  <si>
    <t xml:space="preserve">SINAPI - 95635 - KIT CAVALETE PARA MEDICAO DE AGUA - ENTRADA PRINCIPAL, EM PVC 25 MM (3/4") - FORNECIMENTO E INSTALACAO (EXCLUSIVE HIDROMETRO). AF_03/2024</t>
  </si>
  <si>
    <t xml:space="preserve">SINAPI - 95675 - HIDROMETRO DN 3/4", 5,0 M3/H - FORNECIMENTO E INSTALACAO. AF_03/2024</t>
  </si>
  <si>
    <t xml:space="preserve">FOSSA SEPTICA CIRCULAR EM CONCRETO PRE-MOLDADO ARMADO, DIAMETRO INTERNO = 1,00M, ALTURA EXTERNA = 2,00M, REJUNTADA COM ARGAMASSA NO TRACO 1:3 (EM VOLUME DE CIMENTO E AREIA UMIDA) COM ADICAO DE IMPERMEABILIZANTE, INCLUSIVE TAMPA PRE-MOLDADA</t>
  </si>
  <si>
    <t xml:space="preserve">FOSSA SEPTICA CIRCULAR EM CONCRETO PRE-MOLDADO ARMADO, DIAMETRO INTERNO = 1,00M, ALTURA EXTERNA = 3,00M, REJUNTADA COM ARGAMASSA NO TRACO 1:3 (EM VOLUME DE CIMENTO E AREIA UMIDA) COM ADICAO DE IMPERMEABILIZANTE, INCLUSIVE TAMPA PRE-MOLDADA</t>
  </si>
  <si>
    <t xml:space="preserve">SUMIDOURO CIRCULAR EM CONCRETO PRE-MOLDADO ARMADO, DIAMETRO INTERNO = 1,00M, ALTURA EXTERNA = 2,00M, REJUNTADA COM ARGAMASSA NO TRACO 1:3 (EM VOLUME DE CIMENTO E AREIA UMIDA) COM ADICAO DE IMPERMEABILIZANTE, INCLUSIVE TAMPA PRE-MOLDADA</t>
  </si>
  <si>
    <t xml:space="preserve">SUMIDOURO CIRCULAR EM CONCRETO PRE-MOLDADO ARMADO, DIAMETRO INTERNO = 1,00M, ALTURA EXTERNA = 3,00M, REJUNTADA COM ARGAMASSA NO TRACO 1:3 (EM VOLUME DE CIMENTO E AREIA UMIDA) COM ADICAO DE IMPERMEABILIZANTE, INCLUSIVE TAMPA PRE-MOLDADA</t>
  </si>
  <si>
    <t xml:space="preserve">SINAPI - 98104 - CAIXA DE GORDURA SIMPLES (CAPACIDADE: 36L), RETANGULAR, EM ALVENARIA COM TIJOLOS CERAMICOS MACICOS, DIMENSOES INTERNAS = 0,2X0,4 M, ALTURA INTERNA = 0,8 M. AF_12/2020</t>
  </si>
  <si>
    <t xml:space="preserve">SINAPI - 94492 - REGISTRO DE ESFERA, PVC, SOLDAVEL, COM VOLANTE, DN  50 MM - FORNECIMENTO E INSTALACAO. AF_08/2021</t>
  </si>
  <si>
    <t xml:space="preserve">TUBO PVC SOLDAVEL AGUA FRIA DN 25MM, INCLUSIVE CONEXOES - FORNECIMENTO E INSTALACAO</t>
  </si>
  <si>
    <t xml:space="preserve">TUBO PVC SOLDAVEL AGUA FRIA DN 50MM, INCLUSIVE CONEXOES - FORNECIMENTO E INSTALACAO</t>
  </si>
  <si>
    <t xml:space="preserve">TUBO PVC ESGOTO PREDIAL DN 100MM, INCLUSIVE CONEXOES - FORNECIMENTO E INSTALACAO</t>
  </si>
  <si>
    <t xml:space="preserve">*  CANTEIRO DE OBRAS - INSTALACOES ELETRICAS</t>
  </si>
  <si>
    <t xml:space="preserve">INSTALACOES PROVISORIAS DE LUZ E FORCA PARA OBRAS DE PORTE PEQUENO</t>
  </si>
  <si>
    <t xml:space="preserve">PADRAO PROVISORIO TRIFASICO ATE 27 KW</t>
  </si>
  <si>
    <t xml:space="preserve">PADRAO PROVISORIO TRIFASICO ATE 47 KW</t>
  </si>
  <si>
    <t xml:space="preserve">PADRAO PROVISORIO TRIFASICO ATE 75 KW</t>
  </si>
  <si>
    <t xml:space="preserve">LUMINARIA DE LED PARA ILUMINACAO PUBLICA DE 51 W ATE 67 W - FORNECIMENTO E INSTALACAO (REAPROVEITAMENTO DE 5X)</t>
  </si>
  <si>
    <t xml:space="preserve">BRACO PARA LUMINARIA PUBLICA 1 X 1,50M ROMAGNOLE OU EQUIV (REAPROVEITAMENTO DE 5X), FIXADO EM POSTE OU PAREDE - FORNECIMENTO E INSTALACAO</t>
  </si>
  <si>
    <t xml:space="preserve">CABO PP 4X25MM2 DE 1KV (REAPROVEITAMENTO DE 3X) - FORNECIMENTO E INSTALACAO</t>
  </si>
  <si>
    <t xml:space="preserve">CABO MULTIPLEXADO DE ALUMINIO CA/CAL 3X1X25+25MM2 (REAPROVEITAMENTO 3X) - FORNECIMENTO E INSTALACAO</t>
  </si>
  <si>
    <t xml:space="preserve">CABO MULTIPLEXADO DE ALUMINIO CA/CAL 3X1X35+35MM2 (REAPROVEITAMENTO DE 3X)</t>
  </si>
  <si>
    <t xml:space="preserve">CABO MULTIPLEXADO DE ALUMINIO CA/CAL 3X1X70+70MM2 (REAPROVEITAMENTO DE 3X)</t>
  </si>
  <si>
    <t xml:space="preserve">ISOLADOR DE ROLDANA, PARA BAIXA TENSAO (REAPROVEITAMENTO DE 3X)</t>
  </si>
  <si>
    <t xml:space="preserve">RELE FOTOELETRICO INTERNO E EXTERNO BIVOLT 1000W, DE CONECTOR, COM BASE - FORNECIMENTO E INSTALACAO (REAPROVEITAMENTO DE 3X)</t>
  </si>
  <si>
    <t xml:space="preserve">ARMACAO SECUNDARIA, COM HASTE, NA(S) ESPECIFICACAO(OES):- 1 ESTRIBO (REAPROVEITAMENTO DE 3X)</t>
  </si>
  <si>
    <t xml:space="preserve">CONECTOR CUNHA PARA CABO 2 AWG - FORNECIMENTO E INSTALACAO (REAPROVEITAMENTO 3X)</t>
  </si>
  <si>
    <t xml:space="preserve">GRAMPO METALICO TIPO OLHAL PARA HASTE DE ATERRAMENTO DE 5/8", CONDUTOR DE *10* A 50 MM2 - FORNECIMENTO E INSTALACAO (SEM REAPROVEITAMENTO)</t>
  </si>
  <si>
    <t xml:space="preserve">SINAPI - 96985 - HASTE DE ATERRAMENTO, DIAMETRO 5/8", COM 3 METROS - FORNECIMENTO E INSTALACAO. AF_08/2023</t>
  </si>
  <si>
    <t xml:space="preserve">QUADRO PARA CANTEIRO DE OBRAS DE 3X40A, STECK OU SIMILAR, CONTENDO: 2 TOMADAS N4049, 3P+T 16A 220/250V, 4 TOMADAS NBR 20A 127V, 1 DISJUNTOR SDD63C40 E PRENSA CABO PG21 (REAPROVEITAMENTO DE 5X) - FORNECIMENTO E INSTALACAO</t>
  </si>
  <si>
    <t xml:space="preserve">MADEIRA ROLICA, EUCALIPTO OU EQUIVALENTE DA REGIAO, H = 6,00M, D = 16 A 20 CM, ENTERRADO 60CM (REAPROVEITAMENTO DE 5X) - FORNECIMENTO E INSTALACAO</t>
  </si>
  <si>
    <t xml:space="preserve">DEMOLICOES E RETIRADAS</t>
  </si>
  <si>
    <t xml:space="preserve">*  SERVIÇOS DE DEMOLIÇÃO</t>
  </si>
  <si>
    <t xml:space="preserve">SINAPI - 97624 - DEMOLICAO DE ALVENARIA DE TIJOLO MACICO, DE FORMA MANUAL, SEM REAPROVEITAMENTO. AF_09/2023</t>
  </si>
  <si>
    <t xml:space="preserve">SINAPI - 97622 - DEMOLICAO DE ALVENARIA DE BLOCO FURADO, DE FORMA MANUAL, SEM REAPROVEITAMENTO. AF_09/2023</t>
  </si>
  <si>
    <t xml:space="preserve">DEMOLICAO MANUAL DE ESTRUTURA EM CONCRETO SIMPLES</t>
  </si>
  <si>
    <t xml:space="preserve">SINAPI - 97629 - DEMOLICAO DE LAJES, EM CONCRETO ARMADO, DE FORMA MECANIZADA COM MARTELETE, SEM REAPROVEITAMENTO. AF_09/2023</t>
  </si>
  <si>
    <t xml:space="preserve">SINAPI - 97627 - DEMOLICAO DE PILARES E VIGAS EM CONCRETO ARMADO, DE FORMA MECANIZADA COM MARTELETE, SEM REAPROVEITAMENTO. AF_09/2023</t>
  </si>
  <si>
    <t xml:space="preserve">DEMOLICAO DE PISO DE GRANILITE, INCLUSIVE LASTRO, DE FORMA MECANIZADA UTILIZANDO MARTELETE</t>
  </si>
  <si>
    <t xml:space="preserve">DEMOLICAO MANUAL DE PISO CIMENTADO, INCLUSIVE LASTRO DE CONCRETO</t>
  </si>
  <si>
    <t xml:space="preserve">DEMOLICAO MANUAL DE PISO CIMENTADO, EXCLUSIVE LASTRO DE CONCRETO</t>
  </si>
  <si>
    <t xml:space="preserve">SINAPI - 104789 - DEMOLICAO DE PISO DE CONCRETO SIMPLES, DE FORMA MANUAL, SEM REAPROVEITAMENTO. AF_09/2023</t>
  </si>
  <si>
    <t xml:space="preserve">SINAPI - 104790 - DEMOLICAO DE PISO DE CONCRETO SIMPLES, DE FORMA MECANIZADA COM MARTELETE, SEM REAPROVEITAMENTO. AF_09/2023</t>
  </si>
  <si>
    <t xml:space="preserve">SINAPI - 97633 - DEMOLICAO DE REVESTIMENTO CERAMICO, DE FORMA MANUAL, SEM REAPROVEITAMENTO. AF_09/2023</t>
  </si>
  <si>
    <t xml:space="preserve">DEMOLICAO MANUAL DE PISO CERAMICO, SEM REAPROVEITAMENTO</t>
  </si>
  <si>
    <t xml:space="preserve">DEMOLICAO DE PISO CERAMICO, DE FORMA MECANIZADA, SEM REAPROVEITAMENRO</t>
  </si>
  <si>
    <t xml:space="preserve">SINAPI - 97632 - DEMOLICAO DE RODAPE CERAMICO, DE FORMA MANUAL, SEM REAPROVEITAMENTO. AF_09/2023</t>
  </si>
  <si>
    <t xml:space="preserve">SINAPI - 97631 - DEMOLICAO DE ARGAMASSAS, DE FORMA MANUAL, SEM REAPROVEITAMENTO. AF_09/2023</t>
  </si>
  <si>
    <t xml:space="preserve">*  SERVIÇOS COMPLEMENTARES</t>
  </si>
  <si>
    <t xml:space="preserve">CARGA MANUAL DE ENTULHO EM CAMINHAO BASCULANTE 6 M3</t>
  </si>
  <si>
    <t xml:space="preserve">CARGA MANUAL DE ENTULHO EM CACAMBA</t>
  </si>
  <si>
    <t xml:space="preserve">LOCACAO DE CACAMBA (4M3) (7 DIAS)</t>
  </si>
  <si>
    <t xml:space="preserve">SINAPI - 100981 - CARGA, MANOBRA E DESCARGA DE ENTULHO EM CAMINHAO BASCULANTE 6 M3 - CARGA COM ESCAVADEIRA HIDRAULICA  (CACAMBA DE 0,80 M3 / 111 HP) E DESCARGA LIVRE (UNIDADE: M3). AF_07/2020</t>
  </si>
  <si>
    <t xml:space="preserve">SINAPI - 97914 - TRANSPORTE COM CAMINHAO BASCULANTE DE 6 M3, EM VIA URBANA PAVIMENTADA, DMT ATE 30 KM (UNIDADE: M3XKM). AF_07/2020</t>
  </si>
  <si>
    <t xml:space="preserve">*  SERVIÇOS DE REMOÇÃO</t>
  </si>
  <si>
    <t xml:space="preserve">SINAPI - 97647 - REMOCAO DE TELHAS DE FIBROCIMENTO METALICA E CERAMICA, DE FORMA MANUAL, SEM REAPROVEITAMENTO. AF_09/2023</t>
  </si>
  <si>
    <t xml:space="preserve">REMOCAO DE TELHAS DE FIBROCIMENTO, METALICA E CERAMICA DE FORMA MANUAL, COM REAPROVEITAMENTO</t>
  </si>
  <si>
    <t xml:space="preserve">SINAPI - 97655 - REMOCAO DE TRAMA METALICA PARA COBERTURA, DE FORMA MANUAL, SEM REAPROVEITAMENTO. AF_09/2023</t>
  </si>
  <si>
    <t xml:space="preserve">SINAPI - 97650 - REMOCAO DE TRAMA DE MADEIRA PARA COBERTURA, DE FORMA MANUAL, SEM REAPROVEITAMENTO. AF_09/2023</t>
  </si>
  <si>
    <t xml:space="preserve">SINAPI - 97642 - REMOCAO DE TRAMA METALICA OU DE MADEIRA PARA FORRO, DE FORMA MANUAL, SEM REAPROVEITAMENTO. AF_09/2023</t>
  </si>
  <si>
    <t xml:space="preserve">REMOCAO DE CALHAS, RUFOS E CONDUTORES DE AGUAS PLUVIAIS, SEM REAPROVEITAMENTO</t>
  </si>
  <si>
    <t xml:space="preserve">REMOCAO DE FORRO DE MADEIRA, DE FORMA MANUAL, SEM REAPROVEITAMENTO</t>
  </si>
  <si>
    <t xml:space="preserve">SINAPI - 97641 - REMOCAO DE FORRO DE GESSO, DE FORMA MANUAL, SEM REAPROVEITAMENTO. AF_09/2023</t>
  </si>
  <si>
    <t xml:space="preserve">SINAPI - 97640 - REMOCAO DE FORROS DE DRYWALL, PVC E FIBROMINERAL, DE FORMA MANUAL, SEM REAPROVEITAMENTO. AF_09/2023</t>
  </si>
  <si>
    <t xml:space="preserve">REMOCAO DE REVESTIMENTO COM LAMBRIS, INCLUSIVE ENTARUGAMENTO, SEM REAPROVEITAMENTO</t>
  </si>
  <si>
    <t xml:space="preserve">SINAPI - 97643 - REMOCAO DE PISO DE MADEIRA (ASSOALHO E BARROTE), DE FORMA MANUAL, SEM REAPROVEITAMENTO. AF_09/2023</t>
  </si>
  <si>
    <t xml:space="preserve">REMOCAO DE PISO REVESTIDO COM TACOS DE MADEIRA, DE FORMA MANUAL, SEM REAPROVEITAMENTO</t>
  </si>
  <si>
    <t xml:space="preserve">REMOCAO DE RODAPE DE MADEIRA, DE FORMA MANUAL, SEM REAPROVEITAMENTO</t>
  </si>
  <si>
    <t xml:space="preserve">REMOCAO DE PISO REVESTIDO EM CARPETE, SEM REAPROVEITAMENTO</t>
  </si>
  <si>
    <t xml:space="preserve">REMOCAO DE PISO EM PLACAS DE BORRACHA COLADA/ARGAMASSA, SEM REAPROVEITAMENTO</t>
  </si>
  <si>
    <t xml:space="preserve">REMOCAO DE ESQUADRIA DE MADEIRA, INCLUSIVE BATENTE E GUARNICAO, SEM REAPROVEITAMENTO</t>
  </si>
  <si>
    <t xml:space="preserve">REMOCAO DE ESQUADRIA METALICA, INCLUSIVE CONTRAMARCO, SEM REAPROVEITAMENTO</t>
  </si>
  <si>
    <t xml:space="preserve">SINAPI - 102190 - REMOCAO DE VIDRO LISO COMUM DE ESQUADRIA COM BAGUETE DE MADEIRA. AF_01/2021</t>
  </si>
  <si>
    <t xml:space="preserve">SINAPI - 102191 - REMOCAO DE VIDRO LISO COMUM DE ESQUADRIA COM BAGUETE DE ALUMINIO OU PVC. AF_01/2021</t>
  </si>
  <si>
    <t xml:space="preserve">SINAPI - 97665 - REMOCAO DE LUMINARIAS, DE FORMA MANUAL, SEM REAPROVEITAMENTO. AF_09/2023</t>
  </si>
  <si>
    <t xml:space="preserve">SINAPI - 97661 - REMOCAO DE CABOS ELETRICOS, COM SECAO DE 10 MM2, FORMA MANUAL, SEM REAPROVEITAMENTO. AF_09/2023</t>
  </si>
  <si>
    <t xml:space="preserve">SINAPI - 97660 - REMOCAO DE INTERRUPTORES/TOMADAS ELETRICAS, DE FORMA MANUAL, SEM REAPROVEITAMENTO. AF_09/2023</t>
  </si>
  <si>
    <t xml:space="preserve">SINAPI - 97662 - REMOCAO DE TUBULACOES (TUBOS E CONEXOES) DE AGUA FRIA, DE FORMA MANUAL, SEM REAPROVEITAMENTO. AF_09/2023</t>
  </si>
  <si>
    <t xml:space="preserve">SINAPI - 97663 - REMOCAO DE LOUCAS, DE FORMA MANUAL, SEM REAPROVEITAMENTO. AF_09/2023</t>
  </si>
  <si>
    <t xml:space="preserve">REMOCAO DE METAIS SANITARIOS (TORNEIRA, REGISTRO, SIFAO, VALVULA, ENGATE), DE FORMA MANUAL, SEM REAPROVEITAMENTO</t>
  </si>
  <si>
    <t xml:space="preserve">REMOCAO DE ACESSORIOS SANITARIOS (GANCHOS, SABONETEIRAS, PAPELEIRAS, TOALHEIROS), DE FORMA MANUAL, SEM REAPROVEITAMENTO</t>
  </si>
  <si>
    <t xml:space="preserve">REMOCAO DE IMPERMEABILIZACAO COM MANTA ASFALTICA EM LAJES E CALHAS</t>
  </si>
  <si>
    <t xml:space="preserve">SINAPI - 97648 - REMOCAO DE PROTECAO TERMICA PARA COBERTURA EM EPS, DE FORMA MANUAL, SEM REAPROVEITAMENTO. AF_09/2023</t>
  </si>
  <si>
    <t xml:space="preserve">SINAPI - 97637 - REMOCAO DE TAPUME/ CHAPAS METALICAS E DE MADEIRA, DE FORMA MANUAL, SEM REAPROVEITAMENTO. AF_09/2023</t>
  </si>
  <si>
    <t xml:space="preserve">*  SERVIÇOS DE RETIRADA</t>
  </si>
  <si>
    <t xml:space="preserve">RETIRADA DE CUMEEIRA E ESPIGAO CERAMICO, EMBOCADA COM ARGAMASSA, SEM REAPROVEITAMENTO</t>
  </si>
  <si>
    <t xml:space="preserve">RETIRADA DE CUMEEIRA NORMAL OU ARTICULADA DE FIBROCIMENTO, SEM REAPROVEITAMENTO</t>
  </si>
  <si>
    <t xml:space="preserve">RETIRADA DE PEITORIL EM MARMORE OU GRANITO, SEM REAPROVEITAMENTO</t>
  </si>
  <si>
    <t xml:space="preserve">RETIRADA DE SOLEIRA EM MARMORE OU GRANITO, SEM REAPROVEITAMENTO</t>
  </si>
  <si>
    <t xml:space="preserve">RETIRADA DE DIVISORIA NAVAL EM CHAPA COMPENSADA E MONTANTES METALICOS, COM REAPROVEITAMENTO</t>
  </si>
  <si>
    <t xml:space="preserve">RETIRADA DE GUARNICOES DAS ESQUADRIAS, DE FORMA MANUAL, SEM REAPROVEITAMENTO</t>
  </si>
  <si>
    <t xml:space="preserve">RETIRADA DE FECHADURA, FECHOS, TRINCOS OU DOBRADICAS DAS ESQUADRIAS DE MADEIRA/FERRO, SEM REAPROVEITAMENTO</t>
  </si>
  <si>
    <t xml:space="preserve">RETIRADA DE ELETRODUTO EMBUTIDO COM BITOLA ATE 2", SEM REAPROVEITAMENTO</t>
  </si>
  <si>
    <t xml:space="preserve">RETIRADA DE ELETRODUTO EMBUTIDO COM BITOLA SUPERIOR A 2", SEM REAPROVEITAMENTO</t>
  </si>
  <si>
    <t xml:space="preserve">RETIRADA DE ELETRODUTO APARENTE COM BITOLA ATE 2", SEM REAPROVEITAMENTO</t>
  </si>
  <si>
    <t xml:space="preserve">RETIRADA DE ELETRODUTO APARENTE COM BITOLA SUPERIOR A 2", SEM REAPROVEITAMENTO</t>
  </si>
  <si>
    <t xml:space="preserve">RETIRADA DE LUMINARIA INSTALADA EM POSTE, INCLUSO GUINDAUTO</t>
  </si>
  <si>
    <t xml:space="preserve">RETIRADA DE QUADRO DE DISTRIBUICAO ATE 10 DISJUNTORES</t>
  </si>
  <si>
    <t xml:space="preserve">RETIRADA DE QUADRO DE DISTRIBUICAO COM 12 A 20 DISJUNTORES</t>
  </si>
  <si>
    <t xml:space="preserve">RETIRADA DE QUADRO DE DISTRIBUICAO COM 22 A 30 DISJUNTORES</t>
  </si>
  <si>
    <t xml:space="preserve">RETIRADA DE QUADRO DE DISTRIBUICAO COM 32 A 42 DISJUNTORES</t>
  </si>
  <si>
    <t xml:space="preserve">RETIRADA DE CAIXA DE DESCARGA, SEM REAPROVEITAMENTO</t>
  </si>
  <si>
    <t xml:space="preserve">RETIRADA DE VALVULA DE DESCARGA, SEM REAPROVEITAMENTO</t>
  </si>
  <si>
    <t xml:space="preserve">RETIRADA MANUAL DE PINTURA LATEX PVC OU ACRILICA EM PAREDES</t>
  </si>
  <si>
    <t xml:space="preserve">RETIRADA MANUAL DE PINTURA ESMALTE EM ESQUADRIAS DE FERRO</t>
  </si>
  <si>
    <t xml:space="preserve">RETIRADA MANUAL DE PINTURA A OLEO OU ESMALTE EM PAREDES</t>
  </si>
  <si>
    <t xml:space="preserve">RETIRADA COM ESPATULA DE TINTAS SOLTAS EM PAREDES E TETOS, INCLUSO LIXAMENTO</t>
  </si>
  <si>
    <t xml:space="preserve">RETIRADA DE BALCAO E BANCADAS DE GRANITO, SEM REAPROVEITAMENTO</t>
  </si>
  <si>
    <t>FUNDACAO</t>
  </si>
  <si>
    <t xml:space="preserve">SONDAGEM A PERCUSSAO PARA RECONHECIMENTO DO TERRENO</t>
  </si>
  <si>
    <t xml:space="preserve">TAXA DE MONTAGEM, DESMONTAGEM E AGUA POR FURO</t>
  </si>
  <si>
    <t xml:space="preserve">ELABORACAO DE BOLETIM PARA SONDAGEM, COM FOTOS E ART</t>
  </si>
  <si>
    <t xml:space="preserve">ESTACA BROCA DE CONCRETO, DIAMETRO DE 20CM, ESCAVACAO MANUAL COM TRADO CONCHA (EXCLUSIVE ARMADURA)</t>
  </si>
  <si>
    <t xml:space="preserve">ESTACA BROCA DE CONCRETO, DIAMETRO DE 25CM, ESCAVACAO  MANUAL COM TRADO CONCHA (EXCLUSIVE ARMADURA)</t>
  </si>
  <si>
    <t xml:space="preserve">ESTACA BROCA DE CONCRETO, DIAMETRO DE 30CM, ESCAVACAO MANUAL COM TRADO CONCHA (EXCLUSIVE ARMADURA)</t>
  </si>
  <si>
    <t xml:space="preserve">SINAPI - 101176 - ESTACA BROCA DE CONCRETO, DIAMETRO DE 30CM, ESCAVACAO MANUAL COM TRADO CONCHA, INTEIRAMENTE ARMADA. AF_05/2020_PA</t>
  </si>
  <si>
    <t xml:space="preserve">CRAVACAO E CONCRETAGEM DE ESTACAS MOLDADAS IN-LOCO, TIPO STRAUSS, ENCAMISADA, CONCRETO 20 MPa, PREPARO COM BETONEIRA, (EXCLUSIVE ARMADURA), NO DIAMETRO E CARGA MAXIMA DE TRABALHO DE 25 CM (20 TON) (EXCLUSIVE MOBILIZACAO E DESMOBILIZACAO DE EQUIP.)</t>
  </si>
  <si>
    <t xml:space="preserve">CRAVACAO E CONCRETAGEM DE ESTACAS MOLDADAS IN-LOCO, TIPO STRAUSS, ENCAMISADA, CONCRETO 20 MPa, PREPARO COM BETONEIRA, (EXCLUSIVE ARMADURA), NO DIAMETRO E CARGA MAXIMA DE TRABALHO DE 32 CM (30 TON) (EXCLUSIVE MOBILIZACAO E DESMOBILIZACAO DE EQUIP.)</t>
  </si>
  <si>
    <t xml:space="preserve">CRAVACAO E CONCRETAGEM DE ESTACAS MOLDADAS IN-LOCO, TIPO STRAUSS, ENCAMISADA, CONCRETO 20 MPa, PREPARO COM BETONEIRA, (EXCLUSIVE ARMADURA), NO DIAMETRO E CARGA MAXIMA DE TRABALHO DE 38 CM (40 TON) (EXCLUSIVE MOBILIZACAO E DESMOBILIZACAO DE EQUIP.)</t>
  </si>
  <si>
    <t xml:space="preserve">CORTE E PREPARO EM CABECA DE ESTACA</t>
  </si>
  <si>
    <t xml:space="preserve">ALVENARIA DE EMBASAMENTO EM TIJOLOS CERAMICOS MACICOS 5X10X20, ASSENTADO COM ARGAMASSA TRACO 1:2:8 (CIMENTO, CAL E AREIA)</t>
  </si>
  <si>
    <t xml:space="preserve">SINAPI - 101166 - ALVENARIA DE EMBASAMENTO COM BLOCO ESTRUTURAL DE CERAMICA, DE 14X19X29CM E ARGAMASSA DE ASSENTAMENTO COM PREPARO EM BETONEIRA. AF_05/2020</t>
  </si>
  <si>
    <t xml:space="preserve">SINAPI - 102487 - CONCRETO CICLOPICO FCK = 15MPA, 30% PEDRA DE MAO EM VOLUME REAL, INCLUSIVE LANCAMENTO. AF_05/2021</t>
  </si>
  <si>
    <t xml:space="preserve">ESTACA ESCAVADA MECANICAMENTE, SEM FLUIDO ESTABILIZANTE, COM 25CM DE DIAMETRO, CONCRETO LANCADO POR CAMINHAO BETONEIRA (EXCLUSIVE FERRAGENS, MOBILIZACAO E DESMOBILIZACAO)</t>
  </si>
  <si>
    <t xml:space="preserve">ESTACA ESCAVADA MECANICAMENTE, SEM FLUIDO ESTABILIZANTE, COM 30CM DE DIAMETRO, CONCRETO 25MPA, LANCADO POR CAMINHAO BETONEIRA (EXCLUSIVE FERRAGENS, MOBILIZACAO E DESMOBILIZACAO)</t>
  </si>
  <si>
    <t xml:space="preserve">ESTACA ESCAVADA MECANICAMENTE, SEM FLUIDO ESTABILIZANTE, COM 40CM DE DIAMETRO, CONCRETO LANCADO POR CAMINHAO BETONEIRA (EXCLUSIVE FERRAGENS, MOBILIZACAO E DESMOBILIZACAO)</t>
  </si>
  <si>
    <t xml:space="preserve">ESTACA ESCAVACA MECANICAMENTE, SEM FLUIDO ESTABILIZANTE, COM 60CM DE DIAMETRO, CONCRETO LANCADO POR CAMINHAO BETONEIRA (EXCLUSIVE FERRAGENS, MOBILIZACAO E DESMOBILIZACAO)</t>
  </si>
  <si>
    <t xml:space="preserve">ESTACA ESCAVADA MECANICAMENTE, SEM FLUIDO ESTABILIZANTE, COM 25CM DE DIAMETRO, CONCRETO LANCADO MANUALMENTE (EXCLUSIVE FERRAGENS, MOBILIZACAO E DESMOBILIZACAO)</t>
  </si>
  <si>
    <t xml:space="preserve">SINAPI - 100900 - ESTACA ESCAVADA MECANICAMENTE, SEM FLUIDO ESTABILIZANTE, COM 60CM DE DIAMETRO, CONCRETO LANCADO POR BOMBA LANCA (EXCLUSIVE BOMBEAMENTO, MOBILIZACAO E DESMOBILIZACAO). AF_01/2020_PA</t>
  </si>
  <si>
    <t xml:space="preserve">MOBILIZACAO E DESMOBILIZACAO DE EQUIPAMENTO DE PERFURACAO PARA EXECUCAO DE FUNDACAO</t>
  </si>
  <si>
    <t>KM</t>
  </si>
  <si>
    <t xml:space="preserve">SERVICOS EM TERRA</t>
  </si>
  <si>
    <t xml:space="preserve">*  SERVICOS EM TERRA (MANUAL)</t>
  </si>
  <si>
    <t xml:space="preserve">ESCAVACAO DE VALAS EM SOLO DE QUALQUER CATEGORIA, NA(S) PROFUNDIDADE(S):- ATE 2,00 M (SEM PRESENCA DE AGUA)</t>
  </si>
  <si>
    <t xml:space="preserve">- ATE 2,00 M (COM PRESENCA DE AGUA)</t>
  </si>
  <si>
    <t xml:space="preserve">REGULARIZACAO E COMPACTACAO MANUAL DE TERRENO COM SOQUETE</t>
  </si>
  <si>
    <t xml:space="preserve">REGULARIZACAO E APILOAMENTO DE TERRENO PARA ASSENTAMENTO DE TUBULACAO</t>
  </si>
  <si>
    <t xml:space="preserve">REATERRO MANUAL APILOADO COM SOQUETE</t>
  </si>
  <si>
    <t xml:space="preserve">SINAPI - 93382 - REATERRO MANUAL DE VALAS, COM COMPACTADOR DE SOLOS DE PERCUSSAO. AF_08/2023</t>
  </si>
  <si>
    <t xml:space="preserve">CORTE E ATERRO COMPENSADO</t>
  </si>
  <si>
    <t xml:space="preserve">ESPALHAMENTO DE TERRA</t>
  </si>
  <si>
    <t xml:space="preserve">ATERRO EM CAMADAS DE 10 CM, UMEDECIDAS E FORTEMENTE APILOADAS, COM TERRA DISPONIVEL NA OBRA</t>
  </si>
  <si>
    <t xml:space="preserve">ATERRO EM CAMADAS DE 20 CM, UMEDECIDAS E FORTEMENTE APILOADAS, COM TERRA DISPONIVEL NA OBRA</t>
  </si>
  <si>
    <t xml:space="preserve">ATERRO MANUAL EM CAMADAS DE 20 CM, UMIDECIDAS E FORTEMENTE APILOADAS, COM AQUISICAO DE TERRA</t>
  </si>
  <si>
    <t xml:space="preserve">*  SERVICOS EM TERRA (MECANIZADO)</t>
  </si>
  <si>
    <t xml:space="preserve">ATERRO MECANIZADO DE SOLO, COM AQUISICAO DE TERRA, INCLUSO COMPACTACAO COM ROLO COMPACTADOR DE PNEUS</t>
  </si>
  <si>
    <t xml:space="preserve">SINAPI - 90082 - ESCAVACAO MECANIZADA DE VALA COM PROF. ATE 1,5 M (MEDIA MONTANTE E JUSANTE/UMA COMPOSICAO POR TRECHO), ESCAVADEIRA (0,8 M3), LARG. DE 1,5 M A 2,5 M, EM SOLO DE 1A CATEGORIA, EM LOCAIS COM ALTO NIVEL DE INTERFERENCIA. AF_09/2024</t>
  </si>
  <si>
    <t xml:space="preserve">SINAPI - 102278 - ESCAVACAO MECANIZADA DE VALA COM PROF. MAIOR QUE 1,50 M ATE 3,0 M (MEDIA MONTANTE E JUSANTE/UMA COMPOSICAO POR TRECHO), ESCAVADEIRA (1,2 M3), LARG. DE 1,5 M A 2,5 M, EM SOLO DE 1A CATEGORIA, EM LOCAIS COM ALTO NIVEL DE INTERFERENCIA</t>
  </si>
  <si>
    <t xml:space="preserve">SINAPI - 90090 - ESCAVACAO MECANIZADA DE VALA COM PROF. MAIOR QUE 4,5 M ATE 6,0 M(MEDIA MONTANTE E JUSANTE/UMA COMPOSICAO POR TRECHO), ESCAVADEIRA (1,2 M3), LARG. DE 1,5 M A 2,5 M, EM SOLO DE 1A CATEGORIA, EM LOCAIS COM ALTO NIVEL DE INTERFERENCIA. A</t>
  </si>
  <si>
    <t xml:space="preserve">SINAPI - 101210 - ESCAVACAO VERTICAL PARA  EDIFICACAO, COM CARGA, DESCARGA E TRANSPORTE DE SOLO DE 1a CATEGORIA, COM ESCAVADEIRA HIDRAULICA (CACAMBA: 0,8 M3 / 111 HP), FROTA DE 4 CAMINHOES BASCULANTES DE 14 M3, DMT DE 1,5 KM E VELOCIDADE MEDIA 18 KM/</t>
  </si>
  <si>
    <t xml:space="preserve">SINAPI - 93368 - REATERRO MECANIZADO DE VALA COM ESCAVADEIRA HIDRAULICA (CAPACIDADE DA CACAMBA: 0,8 M3/POTENCIA: 111 HP), LARGURA ATE 1,5 M, PROFUNDIDADE DE 1,5 A 3,0 M, COM SOLO (SEM SUBSTITUICAO) DE 1a CATEGORIA, COM COMPACTADOR DE SOLOS DE PERCUSS</t>
  </si>
  <si>
    <t xml:space="preserve">SINAPI - 100574 - ESPALHAMENTO DE MATERIAL COM TRATOR DE ESTEIRAS. AF_09/2024</t>
  </si>
  <si>
    <t xml:space="preserve">REGULARIZACAO E COMPACTACAO DE ATERRO</t>
  </si>
  <si>
    <t xml:space="preserve">COMPACTACAO MECANICA, SEM CONTROLE DO GC (C/ COMPACTADOR PLACA 400 KG)</t>
  </si>
  <si>
    <t xml:space="preserve">SINAPI - 100976 - CARGA, MANOBRA E DESCARGA DE SOLOS E MATERIAIS GRANULARES EM CAMINHAO BASCULANTE 18 M3 - CARGA COM PA CARREGADEIRA (CACAMBA DE 1,7 A 2,8 M3 / 128 HP) E DESCARGA LIVRE (UNIDADE: M3). AF_07/2020</t>
  </si>
  <si>
    <t xml:space="preserve">SINAPI - 97083 - COMPACTACAO MECANICA DE SOLO PARA EXECUCAO DE RADIER, PISO DE CONCRETO OU LAJE SOBRE SOLO, COM COMPACTADOR DE SOLOS A PERCUSSAO. AF_09/2021</t>
  </si>
  <si>
    <t xml:space="preserve">SINAPI - 97084 - COMPACTACAO MECANICA DE SOLO PARA EXECUCAO DE RADIER, PISO DE CONCRETO OU LAJE SOBRE SOLO, COM COMPACTADOR DE SOLOS TIPO PLACA VIBRATORIA. AF_09/2021</t>
  </si>
  <si>
    <t xml:space="preserve">SINAPI - 97913 - TRANSPORTE COM CAMINHAO BASCULANTE DE 6 M3, EM VIA URBANA EM REVESTIMENTO PRIMARIO (UNIDADE: M3XKM). AF_07/2020</t>
  </si>
  <si>
    <t>DRENAGEM</t>
  </si>
  <si>
    <t xml:space="preserve">SINAPI - 92210 - TUBO DE CONCRETO PARA REDES COLETORAS DE AGUAS PLUVIAIS, DIAMETRO DE 400 MM, JUNTA RIGIDA, INSTALADO EM LOCAL COM BAIXO NIVEL DE INTERFERENCIAS - FORNECIMENTO E ASSENTAMENTO. AF_03/2024</t>
  </si>
  <si>
    <t xml:space="preserve">SINAPI - 92212 - TUBO DE CONCRETO PARA REDES COLETORAS DE AGUAS PLUVIAIS, DIAMETRO DE 600 MM, JUNTA RIGIDA, INSTALADO EM LOCAL COM BAIXO NIVEL DE INTERFERENCIAS - FORNECIMENTO E ASSENTAMENTO. AF_03/2024</t>
  </si>
  <si>
    <t xml:space="preserve">SINAPI - 92214 - TUBO DE CONCRETO PARA REDES COLETORAS DE AGUAS PLUVIAIS, DIAMETRO DE 800 MM, JUNTA RIGIDA, INSTALADO EM LOCAL COM BAIXO NIVEL DE INTERFERENCIAS - FORNECIMENTO E ASSENTAMENTO. AF_03/2024</t>
  </si>
  <si>
    <t xml:space="preserve">SINAPI - 92216 - TUBO DE CONCRETO PARA REDES COLETORAS DE AGUAS PLUVIAIS, DIAMETRO DE 1000 MM, JUNTA RIGIDA, INSTALADO EM LOCAL COM BAIXO NIVEL DE INTERFERENCIAS - FORNECIMENTO E ASSENTAMENTO. AF_03/2024</t>
  </si>
  <si>
    <t xml:space="preserve">SINAPI - 92816 - TUBO DE CONCRETO PARA REDES COLETORAS DE AGUAS PLUVIAIS, DIAMETRO DE 1200 MM, JUNTA RIGIDA, INSTALADO EM LOCAL COM BAIXO NIVEL DE INTERFERENCIAS - FORNECIMENTO E ASSENTAMENTO. AF_03/2024</t>
  </si>
  <si>
    <t xml:space="preserve">SINAPI - 92818 - TUBO DE CONCRETO PARA REDES COLETORAS DE AGUAS PLUVIAIS, DIAMETRO DE 1500 MM, JUNTA RIGIDA, INSTALADO EM LOCAL COM BAIXO NIVEL DE INTERFERENCIAS - FORNECIMENTO E ASSENTAMENTO. AF_03/2024</t>
  </si>
  <si>
    <t xml:space="preserve">TUBOS DE CONCRETO POROSOS, COM 200 MM DE DIAMETRO, PARA DRENOS, EM CONCRETO SIMPLES, MACHO-FEMEA</t>
  </si>
  <si>
    <t xml:space="preserve">FORNECIMENTO E ASSENTAMENTO DE BRITA 2 - DRENOS E FILTROS</t>
  </si>
  <si>
    <t xml:space="preserve">SINAPI - 98546 - IMPERMEABILIZACAO DE SUPERFICIE COM MANTA ASFALTICA, UMA CAMADA, INCLUSIVE APLICACAO DE PRIMER ASFALTICO, E=4MM. AF_09/2023</t>
  </si>
  <si>
    <t xml:space="preserve">TAMPAO DE FERRO FUNDIDO (T-170) PARA POCOS DE VISITA, ASSENTADO COM ARGAMASSA DE CIMENTO E AREIA NO TRACO 1:3</t>
  </si>
  <si>
    <t xml:space="preserve">ESGOTAMENTO DE AGUA DE LENCOL FREATICO, COM BOMBA ELETRICA, DE 3" DE RECALQUE</t>
  </si>
  <si>
    <t xml:space="preserve">ENROCAMENTO COM PEDRA DE MAO, MEDIDO NO VOLUME ACABADO</t>
  </si>
  <si>
    <t xml:space="preserve">EMBOCO OU MASSA UNICA EM ARGAMASSA TRACO 1:2:8, PREPARO MANUAL, ESP=25MM</t>
  </si>
  <si>
    <t xml:space="preserve">POCO DE VISITA COM CHAMINE DE ALTURA 1,00M DE ALTURA - ANEXO D-120, PARA OS TUBOS:- PV 400 MM</t>
  </si>
  <si>
    <t xml:space="preserve">- PV 600 MM</t>
  </si>
  <si>
    <t xml:space="preserve">- PV 800 MM</t>
  </si>
  <si>
    <t xml:space="preserve">- PV 1000 MM</t>
  </si>
  <si>
    <t xml:space="preserve">- PV 1200 MM</t>
  </si>
  <si>
    <t xml:space="preserve">- PV 1500 MM</t>
  </si>
  <si>
    <t xml:space="preserve">EXECUCAO DE BOCA DE LOBO, NO(S) TIPO(S):- BL-02 - ANEXO D-122</t>
  </si>
  <si>
    <t xml:space="preserve">- BL-04 - ANEXO D-124</t>
  </si>
  <si>
    <t xml:space="preserve">ESTRUTURA DE CONCRETO</t>
  </si>
  <si>
    <t xml:space="preserve">*  FORMAS</t>
  </si>
  <si>
    <t xml:space="preserve">FABRICACAO, MONTAGEM E DESMONTAGEM DE FORMA PARA FUNDACAO EM TABUAS DE 30CM E SARRAFOS 2,5X7,5CM, REAPROVEITAMENTO DE 2 VEZES</t>
  </si>
  <si>
    <t xml:space="preserve">FABRICACAO, MONTAGEM E DESMONTAGEM DE FORMA PARA FUNDACAO EM TABUAS DE 30CM E SARRAFOS 2,5X7,5CM, APROVEITAMENTO DE 1 VEZ</t>
  </si>
  <si>
    <t xml:space="preserve">FABRICACAO, MONTAGEM E DESMONTAGEM DE FORMA EM CHAPA DE MADEIRA TIPO RESINADA DE 8 A 12MM DE ESPESSURA, REAPROVEITAMENTO DE 2 VEZES</t>
  </si>
  <si>
    <t xml:space="preserve">FABRICACAO, MONTAGEM E DESMONTAGEM DE FORMA EM CHAPA DE MADEIRA TIPO RESINADA DE 8 A 12MM DE ESPESSURA, REAPROVEIRAMENTO DE 4 VEZES</t>
  </si>
  <si>
    <t xml:space="preserve">FABRICACAO, MONTAGEM E DESMONTAGEM DE FORMA EM CHAPA DE MADEIRA TIPO PLASTIFICADA DE 12 MM DE ESPESSURA, REAPROVEITAMENTO DE 2 VEZES</t>
  </si>
  <si>
    <t xml:space="preserve">FABRICACAO, MONTAGEM E DESMONTAGEM DE FORMA EM CHAPA DE MADEIRA TIPO PLASTIFICADA DE 12 MM DE ESPESSURA, REAPROVEITAMENTO DE 4 VEZES</t>
  </si>
  <si>
    <t xml:space="preserve">SINAPI - 92486 - MONTAGEM E DESMONTAGEM DE FORMA DE LAJE MACICA, PE-DIREITO SIMPLES, EM MADEIRA SERRADA, 4 UTILIZACOES. AF_09/2020</t>
  </si>
  <si>
    <t xml:space="preserve">CIMBRAMENTO DE MADEIRA PARA ALTURAS ATE 4M, ESTRUTURA LEVES - FORNECIMENTO E MONTAGEM</t>
  </si>
  <si>
    <t xml:space="preserve">CIMBRAMENTO PARA GALERIAS RETANGULARES</t>
  </si>
  <si>
    <t xml:space="preserve">*  FERRAGEM</t>
  </si>
  <si>
    <t xml:space="preserve">TELA DE ACO MALHA 15X15, 4,2MM REF. EAQ 92 DA TELCON - FORNECIMENTO E COLOCACAO</t>
  </si>
  <si>
    <t xml:space="preserve">ARMACAO EM TELA DE ACO SOLDADA NERVURADA Q-138, ACO CA-60, 4,2MM, MALHA 10X10CM</t>
  </si>
  <si>
    <t xml:space="preserve">ARMACAO DE BLOCO, VIGA BALDRAME E SAPATA UTILIZANDO ACO CA-60 DIAM. 4,2MM - FORNECIMENTO, CORTE, DOBRA E COLOCACAO (C/ PERDA DE 7%)</t>
  </si>
  <si>
    <t xml:space="preserve">ARMACAO DE BLOCO, VIGA BALDRAME E SAPATA UTILIZANDO ACO CA-60 DIAM. 5,0MM - FORNECIMENTO, CORTE, DOBRA E COLOCACAO (C/ PERDA DE 7%)</t>
  </si>
  <si>
    <t xml:space="preserve">ARMACAO DE BLOCO, VIGA BALDRAME E SAPATA UTILIZANDO ACO CA-50, MEDIA, DIAM. 6,3MM - FORNECIMENTO, CORTE, DOBRA E COLOCACAO (C/ PERDA DE 7%)</t>
  </si>
  <si>
    <t xml:space="preserve">ARMACAO DE BLOCO, VIGA BALDRAME E SAPATA UTILIZANDO ACO CA-50, MEDIA, DIAM. 8,0MM - FORNECIMENTO, CORTE, DOBRA E COLOCACAO (C/ PERDA DE 11%)</t>
  </si>
  <si>
    <t xml:space="preserve">ARMACAO DE BLOCO, VIGA BALDRAME E SAPATA UTILIZANDO ACO CA-50, MEDIA, DIAM. 10,0MM - FORNECIMENTO, CORTE, DOBRA E COLOCACAO (C/ PERDA DE 11%)</t>
  </si>
  <si>
    <t xml:space="preserve">ARMACAO DE BLOCO, VIGA BALDRAME E SAPATA UTILIZANDO ACO CA-50, MEDIA, DIAM. 12,5MM - FORNECIMENTO, CORTE, DOBRA E COLOCACAO (C/ PERDA DE 11%)</t>
  </si>
  <si>
    <t xml:space="preserve">ARMACAO DE BLOCO, VIGA BALDRAME E SAPATA UTILIZANDO ACO CA-50, GROSSA, DIAM. 16,0MM - FORNECIMENTO, CORTE, DOBRA E COLOCACAO (C/ PERDA DE 11%)</t>
  </si>
  <si>
    <t xml:space="preserve">ARMACAO DE BLOCO, VIGA BALDRAME E SAPATA UTILIZANDO ACO CA-50, GROSSA, DIAM. 20,0MM - FORNECIMENTO, CORTE, DOBRA E COLOCACAO (C/ PERDA DE 14%)</t>
  </si>
  <si>
    <t xml:space="preserve">ARMACAO DE PILAR OU VIGA DE ESTRUTURA UTILIZANDO ACO CA-60 DIAM. 4,2MM - FORNECIMENTO, CORTE, DOBRA E COLOCACAO (C/ PERDA DE 7%)</t>
  </si>
  <si>
    <t xml:space="preserve">ARMACAO DE PILAR OU VIGA DE ESTRUTURA UTILIZANDO ACO CA-60 DIAM. 5,0MM - FORNECIMENTO, CORTE, DOBRA E COLOCACAO (C/ PERDA DE 7%)</t>
  </si>
  <si>
    <t xml:space="preserve">ARMACAO DE PILAR OU VIGA DE ESTRUTURA UTILIZANDO ACO CA-50, MEDIA, DIAM. 6,3MM - FORNECIMENTO, CORTE, DOBRA E COLOCACAO (C/ PERDA DE 7%)</t>
  </si>
  <si>
    <t xml:space="preserve">ARMACAO DE PILAR OU VIGA DE ESTRUTURA UTILIZANDO ACO CA-50, MEDIA, DIAM. 8,0MM - FORNECIMENTO, CORTE, DOBRA E COLOCACAO (C/ PERDA DE 11%)</t>
  </si>
  <si>
    <t xml:space="preserve">ARMACAO DE PILAR OU VIGA DE ESTRUTURA UTILIZANDO ACO CA-50, MEDIA, DIAM. 10,0MM - FORNECIMENTO, CORTE, DOBRA E COLOCACAO (C/ PERDA DE 11%)</t>
  </si>
  <si>
    <t xml:space="preserve">ARMACAO DE PILAR OU VIGA DE ESTRUTURA UTILIZANDO ACO CA-50, MEDIA, DIAM. 12,5MM - FORNECIMENTO, CORTE, DOBRA E COLOCACAO (C/ PERDA DE 11%)</t>
  </si>
  <si>
    <t xml:space="preserve">ARMACAO DE PILAR OU VIGA DE ESTRUTURA UTILIZANDO ACO CA-50, GROSSA, DIAM. 16,0MM - FORNECIMENTO, CORTE, DOBRA E COLOCACAO (C/ PERDA DE 11%)</t>
  </si>
  <si>
    <t xml:space="preserve">ARMACAO DE PILAR OU VIGA DE ESTRUTURA UTILIZANDO ACO CA-50, GROSSA, DIAM. 20,0MM - FORNECIMENTO, CORTE, DOBRA E COLOCACAO (C/ PERDA DE 14%)</t>
  </si>
  <si>
    <t xml:space="preserve">*  CONCRETO</t>
  </si>
  <si>
    <t xml:space="preserve">SINAPI - 96624 - LASTRO COM MATERIAL GRANULAR (PEDRA BRITADA N.2), APLICADO EM PISOS OU LAJES SOBRE SOLO, ESPESSURA DE *10 CM*. AF_01/2024</t>
  </si>
  <si>
    <t xml:space="preserve">SINAPI - 94974 - CONCRETO MAGRO PARA LASTRO, TRACO 1:4,5:4,5 (EM MASSA SECA DE CIMENTO/ AREIA MEDIA/ BRITA 1) - PREPARO MANUAL. AF_05/2021</t>
  </si>
  <si>
    <t xml:space="preserve">LANCAMENTO/APLICACAO MANUAL DE CONCRETO EM FUNDACOES</t>
  </si>
  <si>
    <t xml:space="preserve">LANCAMENTO/APLICACAO MANUAL DE CONCRETO EM ESTRUTURAS</t>
  </si>
  <si>
    <t xml:space="preserve">SINAPI - 94963 - CONCRETO FCK = 15MPA, TRACO 1:3,4:3,5 (EM MASSA SECA DE CIMENTO/ AREIA MEDIA/ BRITA 1) - PREPARO MECANICO COM BETONEIRA 400 L. AF_05/2021</t>
  </si>
  <si>
    <t xml:space="preserve">SINAPI - 94964 - CONCRETO FCK = 20MPA, TRACO 1:2,7:3 (EM MASSA SECA DE CIMENTO/ AREIA MEDIA/ BRITA 1) - PREPARO MECANICO COM BETONEIRA 400 L. AF_05/2021</t>
  </si>
  <si>
    <t xml:space="preserve">SINAPI - 94965 - CONCRETO FCK = 25MPA, TRACO 1:2,3:2,7 (EM MASSA SECA DE CIMENTO/ AREIA MEDIA/ BRITA 1) - PREPARO MECANICO COM BETONEIRA 400 L. AF_05/2021</t>
  </si>
  <si>
    <t xml:space="preserve">CONCRETO USINADO CONVENCIONAL, CONTROLE TIPO A, CONSISTENCIA NORMAL PARA VIBRACAO, BRITA 1, FCK=20,0 MPA (SEM LANCAMENTO E ADENSAMENTO)</t>
  </si>
  <si>
    <t xml:space="preserve">CONCRETO USINADO CONVENCIONAL, CONTROLE TIPO A, CONSISTENCIA NORMAL PARA VIBRACAO, BRITA 1, FCK=25,0 MPA (SEM LANCAMENTO E ADENSAMENTO)</t>
  </si>
  <si>
    <t xml:space="preserve">CONCRETO USINADO CONVENCIONAL, CONTROLE TIPO A, CONSISTENCIA NORMAL PARA VIBRACAO, BRITA 1, FCK=30,0 MPA (SEM LANCAMENTO E ADENSAMENTO)</t>
  </si>
  <si>
    <t xml:space="preserve">BOMBEAMENTO, ADENSAMENTO E ACABAMENTO DE CONCRETO</t>
  </si>
  <si>
    <t xml:space="preserve">*  LAJES PRE-FABRICADAS</t>
  </si>
  <si>
    <t xml:space="preserve">LAJE PRE-FABRICADA TRELICADA BETA 12 FORRO/PISO, CAPA=4CM EM CONCRETO USINADO BOMBEADO FCK=25,0 MPA, CONTROLE A, CONS=0,052M3/M2, PREENCHIMENTO EPS/CERAMICA, INTEREIXO 42CM, SOBRECARGA=200KG/M2, VAOS ATE 4,60M, (EXCLUSIVE ESCORAMENTO E FERRAGENS)</t>
  </si>
  <si>
    <t xml:space="preserve">LAJE PRE-FABRICADA TRELICADA BETA 16 FORRO/PISO, CAPA=4CM EM CONCRETO USINADO BOMBEADO FCK=25,0 MPA, CONTROLE A, CONS=0,063M3/M2, PREENCHIMENTO EPS/CERAMICA, INTEREIXO 49CM, SOBRECARGA=200KG/M2, VAOS ATE 5,60M, (EXCLUSIVE ESCORAMENTO E FERRAGENS)</t>
  </si>
  <si>
    <t xml:space="preserve">LAJE PRE-FABRICADA TRELICADA BETA 20 FORRO/PISO, CAPA=4CM EM CONCRETO USINADO BOMBEADO FCK=25,0 MPA, CONTROLE A, CONS=0,073M3/M2, PREENCHIMENTO EPS/CERAMICA, INTEREIXO 42CM, SOBRECARGA=200KG/M2, VAOS ATE 7,20M, (EXCLUSIVE ESCORAMENTO E FERRAGENS)</t>
  </si>
  <si>
    <t xml:space="preserve">LAJE PRE-FABRICADA TRELICADA BETA 12 FORRO/PISO, CAPA=4CM EM CONCRETO FCK=25,0 MPA, CONTROLE B, CONS=0,052M3/M2, PREENCHIMENTO EPS/CERAMICA, INTEREIXO 42CM, SOBRECARGA=200KG/M2, VAOS ATE 4,60M, (EXCLUSIVE ESCORAMENTO E FERRAGENS)</t>
  </si>
  <si>
    <t xml:space="preserve">LAJE PRE-FABRICADA TRELICADA BETA 16 FORRO/PISO, CAPA=4CM EM CONCRETO FCK=25,0 MPA, CONTROLE B, CONS=0,063M3/M2, PREENCHIMENTO EPS/CERAMICA, INTEREIXO 49CM, SOBRECARGA=200KG/M2, VAOS ATE 5,60M, (EXCLUSIVE ESCORAMENTO E FERRAGENS)</t>
  </si>
  <si>
    <t xml:space="preserve">LAJE PRE-FABRICADA TRELICADA BETA 20 FORRO/PISO, CAPA=4CM EM CONCRETO FCK=25,0 MPA, CONTROLE B, CONS=0,073M3/M2, PREENCHIMENTO EPS/CERAMICA, INTEREIXO 42CM, SOBRECARGA=300KG/M2, VAOS ATE 6,80M, (EXCLUSIVE ESCORAMENTO E FERRAGENS)</t>
  </si>
  <si>
    <t xml:space="preserve">LAJE PRE-FABRICADA TRELICADA BETA 13 FORRO/PISO, CAPA=5CM EM CONCRETO USINADO BOMBEADO FCK=25,0 MPA, CONTROLE A, CONS=0,065M3/M2, PREENCHIMENTO EPS/CERAMICA, INTEREIXO 42CM, SOBRECARGA=200KG/M2, VAOS ATE 4,60M, (EXCLUSIVE ESCORAMENTO E FERRAGENS)</t>
  </si>
  <si>
    <t xml:space="preserve">LAJE PRE-FABRICADA TRELICADA BETA 17 FORRO/PISO, CAPA=5CM EM CONCRETO USINADO BOMBEADO FCK=25,0 MPA, CONTROLE A, CONS=0,079M3/M2, PREENCHIMENTO EPS/CERAMICA, INTEREIXO 49CM, SOBRECARGA=200KG/M2, VAOS ATE 5,60M, (EXCLUSIVE ESCORAMENTO E FERRAGENS)</t>
  </si>
  <si>
    <t xml:space="preserve">LAJE PRE-FABRICADA TRELICADA BETA 21 FORRO/PISO, CAPA=5CM EM CONCRETO USINADO BOMBEADO FCK=25,0 MPA, CONTROLE A, CONS=0,0915M3/M2, PREENCHIMENTO EPS/CERAMICA, INTEREIXO 42CM, SOBRECARGA=200KG/M2, VAOS ATE 7,20M,(EXCLUSIVE ESCORAMENTO E FERRAGENS)</t>
  </si>
  <si>
    <t xml:space="preserve">LAJE PRE-FABRICADA PROTENDIDA BETA 12 (8CM DE TRILHO + 4CM DE CAPA), CONCRETO USINADO BOMBEADO FCK=25,0MPA, CONS=0,0441M3/M2, EPS/CERAMICA H8-40, INTEREIXO 40CM, SOBREC.=340KG/M2, VAOS ATE 4,60M, VIGUETAS 5 FIOS DE ACO (EXCL. ESC. E FERRAGENS)</t>
  </si>
  <si>
    <t xml:space="preserve">LAJE PRE-FABRICADA PROTENDIDA BETA 16 (12 CM DE TRILHO + 4CM DE CAPA), CONCRETO USINADO BOMBEADO FCK=25,0MPA, CONS=0,0499M3/M2, EPS/CERAMICA H12-40,INTEREIXO 40CM, SOBREC.=350KG/M2, VAOS ATE 6,15M, VIGUETAS 7 FIOS DE ACO(EXCL. ESCOR. E FERRAGENS)</t>
  </si>
  <si>
    <t xml:space="preserve">LAJE PRE-FABRICADA PROTENDIDA BETA 20 (16 CM DE TRILHO + 4CM DE CAPA), CONCRETO USINADO BOMBEADO FCK=25,0MPA, CONS=0,0601M3/M2, EPS/CERAMICA H16-40,INTEREIXO 40CM, SOBREC.=350KG/M2, VAOS ATE 7,30M, VIGUETAS 7 FIOS DE ACO (EXCL. ESCOR.E FERRAGENS)</t>
  </si>
  <si>
    <t xml:space="preserve">ESCORAMENTO DE FORMAS DE LAJE EM MADEIRA NAO APARELHADAS, PE DIREITO SIMPLES, INCLUSO TRAVAMENTO, 4 UTILIZACOES</t>
  </si>
  <si>
    <t>IMPERMEABILIZACAO</t>
  </si>
  <si>
    <t xml:space="preserve">SINAPI - 87878 - CHAPISCO APLICADO EM ALVENARIAS E ESTRUTURAS DE CONCRETO INTERNAS, COM COLHER DE PEDREIRO.  ARGAMASSA TRACO 1:3 COM PREPARO MANUAL. AF_10/2022</t>
  </si>
  <si>
    <t xml:space="preserve">REGULARIZACAO DE SUPERFICIE, COM ARGAMASSA DE CIMENTO E AREIA NO TRACO 1:3, ESPESSURA 2 CM</t>
  </si>
  <si>
    <t xml:space="preserve">REGULARIZACAO DE SUPERFICIE, COM ARGAMASSA DE CIMENTO E AREIA NO TRACO 1:3, ESPESSURA 3 CM</t>
  </si>
  <si>
    <t xml:space="preserve">IMPERMEABILIZACAO DE PISO COM ARGAMASSA DE CIMENTO E AREIA, COM ADITIVO IMPERMEABILIZANTE, E = 2 CM</t>
  </si>
  <si>
    <t xml:space="preserve">IMPERMEABILIZACAO DE PAREDES COM ARGAMASSA DE CIMENTO E AREIA, COM ADITIVO IMPERMEABILIZANTE, E=2CM</t>
  </si>
  <si>
    <t xml:space="preserve">SINAPI - 98562 - IMPERMEABILIZACAO DE SUPERFICIE COM ARGAMASSA DE CIMENTO E AREIA, COM ADITIVO IMPERMEABILIZANTE, E = 1,5CM. AF_09/2023</t>
  </si>
  <si>
    <t xml:space="preserve">IMPERMEABILIZACAO COM REVESTIMENTO SEMI-FLEXIVEL VIAPLUS 1000, VIAPOL OU SIMILAR, CONSUMO DE 2KG/M2</t>
  </si>
  <si>
    <t xml:space="preserve">SINAPI - 102234 - PINTURA IMUNIZANTE PARA MADEIRA, 2 DEMAOS. AF_01/2021</t>
  </si>
  <si>
    <t xml:space="preserve">SINAPI - 98556 - IMPERMEABILIZACAO DE SUPERFICIE COM ARGAMASSA POLIMERICA / MEMBRANA ACRILICA, 4 DEMAOS, REFORCADA COM VEU DE POLIESTER (MAV). AF_09/2023</t>
  </si>
  <si>
    <t xml:space="preserve">IMPERM. INT. DE RESERV.COMPOSTA: 1a. CAMADA C/ CHAPISCO DE ARG. DE CIM. E AREIA TRACO 1:2 C/ VEDACIT ESP. 0,5 CM; 2a.CAM. C/ ARG. DE CIM. E AREIA TRACO 1:3 C/ VEDACIT ESP. 1,5 CM; 3a.CAM.C/ CHAPISCO (IDEM 1a.CAM.);4a. CAM. C/ ARG. (IDEM 2a. CAM.)</t>
  </si>
  <si>
    <t xml:space="preserve">SINAPI - 98547 - IMPERMEABILIZACAO DE SUPERFICIE COM MANTA ASFALTICA, DUAS CAMADAS, INCLUSIVE APLICACAO DE PRIMER ASFALTICO, E=3MM E E=4MM. AF_09/2023</t>
  </si>
  <si>
    <t xml:space="preserve">SINAPI - 98554 - IMPERMEABILIZACAO DE SUPERFICIE COM MEMBRANA A BASE DE RESINA ACRILICA, 3 DEMAOS. AF_09/2023</t>
  </si>
  <si>
    <t xml:space="preserve">IMPERMEABILIZACAO DE LAJES E MARQUISES UTILIZANDO VIAPOL LAJE ALUMINIO 3MM DA VIAPOL OU SIMILAR E PINTURA ASFALTICA PRIMER (UMA DEMAO) - FORNECIMENTO E APLICACAO</t>
  </si>
  <si>
    <t xml:space="preserve">IMPERMEABILIZACAO DE FLOREIRAS UTILIZANDO MANTA TORODIN HIDRUS RAIZ DA VIAPOL OU SIMILAR, PINTURA ASFALTICA PRIMER (UMA DEMAO) E VEU DE POLIESTER - FORNECIMENTO E APLICACAO</t>
  </si>
  <si>
    <t xml:space="preserve">SINAPI - 98563 - PROTECAO MECANICA DE SUPERFICIE HORIZONTAL COM ARGAMASSA DE CIMENTO E AREIA, TRACO 1:3, E=2CM. AF_09/2023</t>
  </si>
  <si>
    <t xml:space="preserve">SINAPI - 98567 - PROTECAO MECANICA DE SUPERFICIE HORIZONTAL COM ARGAMASSA DE CIMENTO E AREIA, TRACO 1:3, E=4CM. AF_09/2023</t>
  </si>
  <si>
    <t xml:space="preserve">SINAPI - 98576 - TRATAMENTO DE JUNTA DE DILATACAO COM MANTA ASFALTICA ADERIDA COM MACARICO. AF_09/2023</t>
  </si>
  <si>
    <t xml:space="preserve">SINAPI - 98575 - TRATAMENTO DE JUNTA DE DILATACAO, COM TARUGO DE POLIETILENO E SELANTE PU, INCLUSO PREENCHIMENTO COM ESPUMA EXPANSIVA PU. AF_09/2023</t>
  </si>
  <si>
    <t xml:space="preserve">SINAPI - 98577 - TRATAMENTO DE JUNTA SERRADA, COM TARUGO DE POLIETILENO E SELANTE A BASE DE SILICONE. AF_09/2023</t>
  </si>
  <si>
    <t>ALVENARIA</t>
  </si>
  <si>
    <t xml:space="preserve">ALVENARIA DE ELEVACAO COM TIJOLO CERAMICO COMUM (5X10X20)CM, 1/4 VEZ (ESPESSURA DE 5CM), ASSENTADA COM ARGAMASSA MISTA DE CIMENTO, CAL HIDRATADA E AREIA SEM PENEIRAR, NO TRACO 1:2:8</t>
  </si>
  <si>
    <t xml:space="preserve">SINAPI - 101159 - ALVENARIA DE VEDACAO DE BLOCOS CERAMICOS MACICOS DE 5X10X20CM (ESPESSURA 10CM) E ARGAMASSA DE ASSENTAMENTO COM PREPARO EM BETONEIRA. AF_05/2020</t>
  </si>
  <si>
    <t xml:space="preserve">ALVENARIA DE ELEVACAO COM TIJOLO CERAMICO FURADO (9X19X19)CM, 1/2 VEZ (ESPESSURA DE 9CM), ASSENTADA COM ARGAMASSA MISTA DE CIMENTO, CAL HIDRATADA E AREIA SEM PENEIRAR, NO TRACO 1:2:8</t>
  </si>
  <si>
    <t xml:space="preserve">ALVENARIA DE ELEVACAO COM TIJOLO CERAMICO COMUM (5X10X20)CM, 1 VEZ (ESPESSURA DE 20 CM), ASSENTADA COM ARGAMASSA MISTA DE CIMENTO, CAL HIDRATADA E AREIA SEM PENEIRAR, NO TRACO 1:2:8</t>
  </si>
  <si>
    <t xml:space="preserve">ALVENARIA DE ELEVACAO COM TIJOLO CERAMICO FURADO (9X19X19)CM, 1 VEZ (ESPESSURA DE 19CM), ASSENTADA COM ARGAMASSA MISTA DE CIMENTO, CAL HIDRATADA E AREIA SEM PENEIRAR, NO TRACO 1:2:8</t>
  </si>
  <si>
    <t xml:space="preserve">ALVENARIA DE ELEVACAO COM TIJOLO CERAMICO COMUM (5X10X20)CM, 1 1/2 VEZ (ESPESSURA DE 30CM), ASSENTADA COM ARGAMASSA MISTA DE CIMENTO, CAL HIDRATADA E AREIA SEM PENEIRAR, NO TRACO 1:2:8</t>
  </si>
  <si>
    <t xml:space="preserve">ALVENARIA DE ELEVACAO COM TIJOLO CERAMICO FURADO (11,50X19X19)CM, 1/2 VEZ (ESPESSURA DE 11,50CM), ASSENTADA COM ARGAMASSA MISTA DE CIMENTO, CAL HIDRATADA E AREIA SEM PENEIRAR, NO TRACO 1:2:8</t>
  </si>
  <si>
    <t xml:space="preserve">SINAPI - 103324 - ALVENARIA DE VEDACAO DE BLOCOS CERAMICOS FURADOS NA VERTICAL DE 14X19X39 CM (ESPESSURA 14 CM) E ARGAMASSA DE ASSENTAMENTO COM PREPARO EM BETONEIRA. AF_12/2021</t>
  </si>
  <si>
    <t xml:space="preserve">ALVENARIA DE ELEVACAO COM TIJOLOS CERAMICOS LAMINADOS (5,5X11X23,5)CM, ESP=11CM, ASSENTADO COM ARGAMASSA MISTA NO TRACO 1:1:6</t>
  </si>
  <si>
    <t xml:space="preserve">ALVENARIA DE ELEVACAO, UTILIZANDO ARGAMASSA MISTA DE CIMENTO, CAL HIDRATADA E AREIA SEM PENEIRAR, NO TRACO 1:2:8, NA(S) SEGUINTE(S) ESPECIFICACAO(OES):- 1 VEZ, T. CERAMICO LAMINADO 21 FUROS (5,5 X 11 X 23,5)CM E ESP. 23,5 CM</t>
  </si>
  <si>
    <t xml:space="preserve">ALVENARIA DE BLOCOS DE CONCRETO ESTRUTURAL TIPO CANALETA 9X19X19CM, ASSENTADOS COM ARGAMASSA TRACO 1:0,25:4 (CIMENTO, CAL E AREIA)</t>
  </si>
  <si>
    <t xml:space="preserve">ALVENARIA DE VEDACAO DE BLOCOS VAZADOS DE CONCRETO DE 9X19X39CM (ESP=9CM), ASSENTADOS COM ARGAMASSA MISTA NO TRACO 1:2:8, PREPARO MANUAL</t>
  </si>
  <si>
    <t xml:space="preserve">SINAPI - 89455 - ALVENARIA DE BLOCOS DE CONCRETO ESTRUTURAL 14X19X39 CM (ESPESSURA 14 CM), FBK = 14 MPA, UTILIZANDO PALHETA. AF_10/2022</t>
  </si>
  <si>
    <t xml:space="preserve">ALVENARIA DE VEDACAO DE BLOCOS VAZADOS DE CONCRETO DE 19X19X39CM (ESP=19CM), ASSENTADOS COM ARGAMASSA MISTA NO TRACO 1:2:8, PREPARO MANUAL</t>
  </si>
  <si>
    <t xml:space="preserve">ALVENARIA DE ELEVACAO TIPO SANDUICHE - ANEXO A-017 (ALV.)</t>
  </si>
  <si>
    <t xml:space="preserve">REPAROS EM RACHADURAS</t>
  </si>
  <si>
    <t xml:space="preserve">CONSTRUCAO E DEMOLICAO DE ANDAIME, PARA 1,00 M2 DE ALVENARIA, COM REAPROVEITAMENTO DE 6 VEZES</t>
  </si>
  <si>
    <t xml:space="preserve">ANDAIME PARA USO INTERNO COMPOSTO DE PLATAFORMA DE TABUA COM 0,90M DE LARGURA SOBRE CAVALETES MOVEIS DE MADEIRA COM ELEVACAO DE ATE 1M</t>
  </si>
  <si>
    <t xml:space="preserve">REFORMA DE ANDAIME, PARA 1,00 M2 DE REVESTIMENTO EXTERNO DE EDIFICIOS DE ATE 3 ANDARES ANDAIME</t>
  </si>
  <si>
    <t xml:space="preserve">SINAPI - 93202 - FIXACAO (ENCUNHAMENTO) DE ALVENARIA DE VEDACAO COM TIJOLO MACICO. AF_03/2024</t>
  </si>
  <si>
    <t xml:space="preserve">SINAPI - 93203 - FIXACAO (ENCUNHAMENTO) DE ALVENARIA DE VEDACAO COM ESPUMA DE POLIURETANO EXPANSIVA. AF_03/2024</t>
  </si>
  <si>
    <t xml:space="preserve">VERGA RETA MOLDADA NO LOCAL COM FORMA DE MADEIRA, CONSIDERANDO CINCO REAPROVEITAMENTOS, CONCRETO ARMADO FCK=20MPa, CONTROLE TIPO "B"</t>
  </si>
  <si>
    <t xml:space="preserve">SINAPI - 105021 - VERGA PRE-MOLDADA COM ATE 1,5 M DE VAO, ESPESSURA DE *15* CM. AF_03/2024</t>
  </si>
  <si>
    <t xml:space="preserve">SINAPI - 105022 - VERGA PRE-MOLDADA COM ATE 1,5 M DE VAO, ESPESSURA DE *10* CM. AF_03/2024</t>
  </si>
  <si>
    <t xml:space="preserve">SINAPI - 93184 - VERGA PRE-MOLDADA COM ATE 1,5 M DE VAO, ESPESSURA DE *20* CM. AF_03/2024</t>
  </si>
  <si>
    <t xml:space="preserve">ESTRUTURA DE COBERTURA</t>
  </si>
  <si>
    <t xml:space="preserve">ESTRUTURA DE MADEIRA COM TESOURA PARA COBERTURA COM TELHAS CERAMICAS, NO(S) VAO(S):- 3,00 A 7,00 M</t>
  </si>
  <si>
    <t xml:space="preserve">ESTRUTURA DE MADEIRA DE LEI PRIMEIRA QUALIDADE, SERRADA, NAO APARELHADA, PARA TELHAS CERAMICAS, VAOS DE 7M ATE 10M</t>
  </si>
  <si>
    <t xml:space="preserve">ESTRUTURA DE MADEIRA COM TESOURA PARA COBERTURA COM TELHAS CERAMICAS, NO(S) VAO(S):- 10,10 A 13,00 M</t>
  </si>
  <si>
    <t xml:space="preserve">ESTRUTURA DE MADEIRA PARA COBERTURA COM TELHAS ONDULADAS DE FIBROCIMENTO, ALUMINIO OU PLASTICAS, NO(S) VAO(S):- ATE 10,00 M</t>
  </si>
  <si>
    <t xml:space="preserve">ESTRUTURA DE MADEIRA PARA COBERTURA COM TELHAS ONDULADAS DE FIBROCIMENTO, ALUMINIO OU PLASTICAS, NO(S) VAO(S):- 10,10 A 15,00 M</t>
  </si>
  <si>
    <t xml:space="preserve">ESTRUTURA DE MADEIRA PARA COBERTURA COM TELHAS ONDULADAS DE FIBROCIMENTO, ALUMINIO OU PLASTICAS, NO(S) VAO(S):- 20,00 M</t>
  </si>
  <si>
    <t xml:space="preserve">ESTRUTURA DE MADEIRA PONTALETADA, APOIADA SOBRE PAREDES OU LAJES, PARA TELHAS CERAMICAS</t>
  </si>
  <si>
    <t xml:space="preserve">PARA TELHAS ONDULADAS DE FIBROCIMENTO, ALUMINIO OU PLASTICAS, COM ESTRUTURA PONTALETADA, APOIADA SOBRE PAREDES OU LAJES</t>
  </si>
  <si>
    <t xml:space="preserve">ESTRUTURA DE MADEIRA ANCORADA EM LAJES OU PAREDES, PARA TELHAS ESTRUTURAIS DE FIBROCIMENTO</t>
  </si>
  <si>
    <t xml:space="preserve">MADEIRAMENTO, PARA COBERTURA, NA(S) ESPECIFICACAO(OES):- RIPAO (5,0 X 2,5) CM - CEDRINHO</t>
  </si>
  <si>
    <t xml:space="preserve">- CAIBRO (5,0 X 6,0) CM - PEROBA DO NORTE</t>
  </si>
  <si>
    <t xml:space="preserve">- VIGA (6,0 X 12,0) CM - PEROBA DO NORTE</t>
  </si>
  <si>
    <t xml:space="preserve">- VIGA (6,0 X 16,0) CM - PEROBA DO NORTE</t>
  </si>
  <si>
    <t xml:space="preserve">BEIRAL EM TABUA APARELHADA, NAS DIMENSOES:- (15 X 2,5) CM</t>
  </si>
  <si>
    <t xml:space="preserve">- (25 X 2,5) CM</t>
  </si>
  <si>
    <t xml:space="preserve">- (30 X 2,5) CM</t>
  </si>
  <si>
    <t xml:space="preserve">SUBSTITUICAO(OES) DE:- RIPAO (5,0 X 2,5) CM - CEDRINHO</t>
  </si>
  <si>
    <t xml:space="preserve">MAO-DE-OBRA PARA EXECUCAO DE:- ESTRUTURA DE MADEIRA PARA TELHA CERAMICA (INCLUSIVE PREGOS)</t>
  </si>
  <si>
    <t xml:space="preserve">- ESTRUTURA DE MADEIRAMENTO PARA TELHA FIBROCIMENTO (INCLUSIVE PREGOS)</t>
  </si>
  <si>
    <t xml:space="preserve">SINAPI - 92580 - TRAMA DE ACO COMPOSTA POR TERCAS PARA TELHADOS DE ATE 2 AGUAS PARA TELHA ONDULADA DE FIBROCIMENTO, METALICA, PLASTICA OU TERMOACUSTICA, INCLUSO TRANSPORTE VERTICAL. AF_07/2019</t>
  </si>
  <si>
    <t xml:space="preserve">SINAPI - 92568 - TRAMA DE ACO COMPOSTA POR RIPAS, CAIBROS E TERCAS PARA TELHADOS DE ATE 2 AGUAS PARA TELHA DE ENCAIXE DE CERAMICA OU DE CONCRETO, INCLUSO TRANSPORTE VERTICAL. AF_07/2019</t>
  </si>
  <si>
    <t xml:space="preserve">FORNECIMENTO, MONTAGEM E INSTALACAO DE ESTRUTURA METALICA, COM LIGACAO SOLDADAS, INCLUSOS PERFIS METALICOS, CHAPA METALICAS, MAO DE OBRA E TRANSPORTE COM GUINDALTO - FORNECIMENTO E INSTALACAO</t>
  </si>
  <si>
    <t xml:space="preserve">FORNECIMENTO, MONTAGEM E INSTALACAO DE ESTRUTURA METALICA MULTIVIGA, COM LIGACAO SOLDADAS, INCLUSOS PERFIS METALICOS, CHAPAS METALICAS, MAO DE OBRA E TRANSPORTE COM GUINDALTO - FORNECIMENTO E INSTALACAO</t>
  </si>
  <si>
    <t xml:space="preserve">ESTRUTURA TRELICADA DE COBERTURA, TIPO ARCO, COM LIGACOES SOLDADAS, INCLUSOS PERFIS METALICOS, CHAPAS METALICAS, MAO DE OBRA E TRANSPORTE COM GUINDASTE - FORNECIMENTO E INSTALACAO</t>
  </si>
  <si>
    <t xml:space="preserve">ESTRUTURA TRELICADA DE COBERTURA, TIPO SHED, COM LIGACOES SOLDADAS, INCLUSOS PERFIS METALICOS, CHAPAS METALICAS, MAO DE OBRA E TRANSPORTE COM GUINDASTE - FORNECIMENTO E INSTALACAO</t>
  </si>
  <si>
    <t xml:space="preserve">ESTRUTURA TRELICADA DE COBERTURA, TIPO FINK, COM LIGACOES SOLDADAS, INCLUSOS PERFIS METALICOS, CHAPAS METALICAS, MAO DE OBRA E TRANSPORTE COM GUINDASTE - FORNECIMENTO E INSTALACAO</t>
  </si>
  <si>
    <t xml:space="preserve">TESTEIRA EM CHAPA METALICA N. 14 SEM SUSTENTACAO (CONSIDERANDO DESENVOLVIMENTO TOTAL DA CHAPA)</t>
  </si>
  <si>
    <t xml:space="preserve">TESTEIRA EM CHAPA METALICA N. 16 SEM SUSTENTACAO (CONSIDERANDO DESENVOLVIMENTO TOTAL DA CHAPA)</t>
  </si>
  <si>
    <t>COBERTURA</t>
  </si>
  <si>
    <t xml:space="preserve">SINAPI - 94440 - TELHAMENTO COM TELHA CERAMICA DE ENCAIXE, TIPO FRANCESA, COM ATE 2 AGUAS, INCLUSO TRANSPORTE VERTICAL. AF_07/2019</t>
  </si>
  <si>
    <t xml:space="preserve">SINAPI - 94441 - TELHAMENTO COM TELHA CERAMICA DE ENCAIXE, TIPO FRANCESA, COM MAIS DE 2 AGUAS, INCLUSO TRANSPORTE VERTICAL. AF_07/2019</t>
  </si>
  <si>
    <t xml:space="preserve">SINAPI - 94442 - TELHAMENTO COM TELHA CERAMICA DE ENCAIXE, TIPO ROMANA, COM ATE 2 AGUAS, INCLUSO TRANSPORTE VERTICAL. AF_07/2019</t>
  </si>
  <si>
    <t xml:space="preserve">SINAPI - 94443 - TELHAMENTO COM TELHA CERAMICA DE ENCAIXE, TIPO ROMANA, COM MAIS DE 2 AGUAS, INCLUSO TRANSPORTE VERTICAL. AF_07/2019</t>
  </si>
  <si>
    <t xml:space="preserve">SINAPI - 94221 - CUMEEIRA PARA TELHA CERAMICA EMBOCADA COM ARGAMASSA TRACO 1:2:9 (CIMENTO, CAL E AREIA) PARA TELHADOS COM ATE 2 AGUAS, INCLUSO TRANSPORTE VERTICAL. AF_07/2019</t>
  </si>
  <si>
    <t xml:space="preserve">SINAPI - 94219 - CUMEEIRA E ESPIGAO PARA TELHA CERAMICA EMBOCADA COM ARGAMASSA TRACO 1:2:9 (CIMENTO, CAL E AREIA), PARA TELHADOS COM MAIS DE 2 AGUAS, INCLUSO TRANSPORTE VERTICAL. AF_07/2019</t>
  </si>
  <si>
    <t xml:space="preserve">SINAPI - 94207 - TELHAMENTO COM TELHA ONDULADA DE FIBROCIMENTO E = 6 MM, COM RECOBRIMENTO LATERAL DE 1/4 DE ONDA PARA TELHADO COM INCLINACAO MAIOR QUE 10°, COM ATE 2 AGUAS, INCLUSO ICAMENTO. AF_07/2019</t>
  </si>
  <si>
    <t xml:space="preserve">COBERTURA COM TELHA DE FIBROCIMENTO, PERFIL TRAPEZOIDAL, TIPO CANALETE 49, ESP=8MM, LARGURA NOMINAL 521MM, INCLINACAO DE 3%</t>
  </si>
  <si>
    <t xml:space="preserve">COBERTURA COM TELHA DE FIBROCIMENTO, PERFIL TRAPEZOIDAL, TIPO CANALETE 90, ESP=8MM, LARGURA NOMINAL 1008MM, INCLINACAO DE 3%</t>
  </si>
  <si>
    <t xml:space="preserve">TELHAMENTO COM TELHA TRAPEZOIDAL EM ACO ZINCADO, SEM PINTURA, MOD. RT 100/952, ESPESSURA DE 0,65 MM E LARGURA UTIL DE 952 MM, INCLUSO FIXADORES E ICAMENTO</t>
  </si>
  <si>
    <t xml:space="preserve">SINAPI - 94213 - TELHAMENTO COM TELHA DE ACO/ALUMINIO E = 0,5 MM, COM ATE 2 AGUAS, INCLUSO ICAMENTO. AF_07/2019</t>
  </si>
  <si>
    <t xml:space="preserve">SINAPI - 94216 - TELHAMENTO COM TELHA METALICA TERMOACUSTICA E = 30 MM, COM ATE 2 AGUAS, INCLUSO ICAMENTO. AF_07/2019</t>
  </si>
  <si>
    <t xml:space="preserve">CUMEEIRA PARA TELHA GALVALUME TRAPEZOIDAL, ESPESSURA 0,43MM</t>
  </si>
  <si>
    <t xml:space="preserve">CUMEEIRA PARA TELHA GALVALUME ONDULADA ESPESSURA 0,43MM</t>
  </si>
  <si>
    <t xml:space="preserve">CUMEEIRA PARA TELHA TRAPEZOIDAL, SEM PINTURA, MOD.RT 100/952, ESP=0,65MM, INCLUSO FIXADORES - FORNECIMENTO E INSTALACAO</t>
  </si>
  <si>
    <t xml:space="preserve">SINAPI - 94223 - CUMEEIRA PARA TELHA DE FIBROCIMENTO ONDULADA E = 6 MM, INCLUSO ACESSORIOS DE FIXACAO E ICAMENTO. AF_07/2019</t>
  </si>
  <si>
    <t xml:space="preserve">SINAPI - 94451 - CUMEEIRA PARA TELHA DE FIBROCIMENTO ESTRUTURAL E = 6 MM, INCLUSO ACESSORIOS DE FIXACAO E ICAMENTO. AF_07/2019</t>
  </si>
  <si>
    <t xml:space="preserve">FECHAMENTO LATERAL, COM TELHA ONDULADA DE FIBROCIMENTO (ESPESSURA 6 MM)</t>
  </si>
  <si>
    <t xml:space="preserve">SINAPI - 100325 - CUMEEIRA SHED PARA TELHA ONDULADA DE FIBROCIMENTO, E = 6 MM, INCLUSO ACESSORIOS DE FIXACAO E ICAMENTO. AF_07/2019</t>
  </si>
  <si>
    <t xml:space="preserve">ACESSORIO(S) PARA CANALETE 90:- PINGADEIRA PLASTICA PARA TELHA DE FIBROCIMENTO CANALETE 49/KALHETA OU CANALETE 90/KALHETAO</t>
  </si>
  <si>
    <t xml:space="preserve">- TIRANTE EM FERRO GALVANIZADO PARA CONTRAVENTAMENTO DE TELHA CANALETE 90, 1/4" X 400 MM</t>
  </si>
  <si>
    <t xml:space="preserve">RUFO EM CHAPA DE ACO GALVANIZADO NUMERO 26, DESENVOLVIMENTO DE 50 CM, INCLUSO TRANSPORTE VERTICAL</t>
  </si>
  <si>
    <t xml:space="preserve">SINAPI - 94227 - CALHA EM CHAPA DE ACO GALVANIZADO NUMERO 24, DESENVOLVIMENTO DE 33 CM, INCLUSO TRANSPORTE VERTICAL. AF_07/2019</t>
  </si>
  <si>
    <t xml:space="preserve">SINAPI - 94228 - CALHA EM CHAPA DE ACO GALVANIZADO NUMERO 24, DESENVOLVIMENTO DE 50 CM, INCLUSO TRANSPORTE VERTICAL. AF_07/2019</t>
  </si>
  <si>
    <t xml:space="preserve">SINAPI - 94231 - RUFO EM CHAPA DE ACO GALVANIZADO NUMERO 24, CORTE DE 25 CM, INCLUSO TRANSPORTE VERTICAL. AF_07/2019</t>
  </si>
  <si>
    <t xml:space="preserve">MAO-DE-OBRA PARA EXECUCAO DE:- COBERTURA COM TELHA CERAMICA</t>
  </si>
  <si>
    <t xml:space="preserve">- COBERTURA COM TELHA DE FIBROCIMENTO</t>
  </si>
  <si>
    <t xml:space="preserve">- COBERTURA COM TELHA ESTRUTURAL DE FIBROCIMENTO</t>
  </si>
  <si>
    <t xml:space="preserve">MAO-DE-OBRA PARA ASSENTAMENTO DE:- CUMEEIRA NORMAL OU ARTICULADA DE FIBROCIMENTO</t>
  </si>
  <si>
    <t xml:space="preserve">- CUMEEIRA PARA TELHA CERAMICA</t>
  </si>
  <si>
    <t xml:space="preserve">- CALHAS OU RUFOS</t>
  </si>
  <si>
    <t xml:space="preserve">ESQUADRIAS E FERRAGENS</t>
  </si>
  <si>
    <t xml:space="preserve">*  DE MADEIRA</t>
  </si>
  <si>
    <t xml:space="preserve">SINAPI - 90847 - KIT DE PORTA DE MADEIRA PARA PINTURA, SEMI-OCA (LEVE OU MEDIA), PADRAO MEDIO, 60X210CM, ESPESSURA DE 3,5CM, ITENS INCLUSOS: DOBRADICAS, MONTAGEM E INSTALACAO DO BATENTE, SEM FECHADURA - FORNECIMENTO E INSTALACAO. AF_12/2019</t>
  </si>
  <si>
    <t xml:space="preserve">SINAPI - 90848 - KIT DE PORTA DE MADEIRA PARA PINTURA, SEMI-OCA (LEVE OU MEDIA), PADRAO MEDIO, 70X210CM, ESPESSURA DE 3,5CM, ITENS INCLUSOS: DOBRADICAS, MONTAGEM E INSTALACAO DO BATENTE, SEM FECHADURA - FORNECIMENTO E INSTALACAO. AF_12/2019</t>
  </si>
  <si>
    <t xml:space="preserve">SINAPI - 90849 - KIT DE PORTA DE MADEIRA PARA PINTURA, SEMI-OCA (LEVE OU MEDIA), PADRAO MEDIO, 80X210CM, ESPESSURA DE 3,5CM, ITENS INCLUSOS: DOBRADICAS, MONTAGEM E INSTALACAO DO BATENTE, SEM FECHADURA - FORNECIMENTO E INSTALACAO. AF_12/2019</t>
  </si>
  <si>
    <t xml:space="preserve">SINAPI - 90850 - KIT DE PORTA DE MADEIRA PARA PINTURA, SEMI-OCA (LEVE OU MEDIA), PADRAO MEDIO, 90X210CM, ESPESSURA DE 3,5CM, ITENS INCLUSOS: DOBRADICAS, MONTAGEM E INSTALACAO DO BATENTE, SEM FECHADURA - FORNECIMENTO E INSTALACAO. AF_12/2019</t>
  </si>
  <si>
    <t xml:space="preserve">SINAPI - 91013 - KIT DE PORTA DE MADEIRA PARA VERNIZ, SEMI-OCA (LEVE OU MEDIA), PADRAO MEDIO, 60X210CM, ESPESSURA DE 3,5CM, ITENS INCLUSOS: DOBRADICAS, MONTAGEM E INSTALACAO DO BATENTE, SEM FECHADURA - FORNECIMENTO E INSTALACAO. AF_12/2019</t>
  </si>
  <si>
    <t xml:space="preserve">SINAPI - 91014 - KIT DE PORTA DE MADEIRA PARA VERNIZ, SEMI-OCA (LEVE OU MEDIA), PADRAO MEDIO, 70X210CM, ESPESSURA DE 3,5CM, ITENS INCLUSOS: DOBRADICAS, MONTAGEM E INSTALACAO DO BATENTE, SEM FECHADURA - FORNECIMENTO E INSTALACAO. AF_12/2019</t>
  </si>
  <si>
    <t xml:space="preserve">SINAPI - 91015 - KIT DE PORTA DE MADEIRA PARA VERNIZ, SEMI-OCA (LEVE OU MEDIA), PADRAO MEDIO, 80X210CM, ESPESSURA DE 3,5CM, ITENS INCLUSOS: DOBRADICAS, MONTAGEM E INSTALACAO DO BATENTE, SEM FECHADURA - FORNECIMENTO E INSTALACAO. AF_12/2019</t>
  </si>
  <si>
    <t xml:space="preserve">SINAPI - 91016 - KIT DE PORTA DE MADEIRA PARA VERNIZ, SEMI-OCA (LEVE OU MEDIA), PADRAO MEDIO, 90X210CM, ESPESSURA DE 3,5CM, ITENS INCLUSOS: DOBRADICAS, MONTAGEM E INSTALACAO DO BATENTE, SEM FECHADURA - FORNECIMENTO E INSTALACAO. AF_12/2019</t>
  </si>
  <si>
    <t xml:space="preserve">PORTA LISA DE MADEIRA COMPENSADA PARA VERNIZ, INCLUSIVE BATENTE (15 X 3,5)CM E GUARNICOES (5 X 1)CM, NA DIMENSAO DE (1,00 X 2,10) M</t>
  </si>
  <si>
    <t xml:space="preserve">SINAPI - 91009 - PORTA DE MADEIRA PARA VERNIZ, SEMI-OCA (LEVE OU MEDIA), 60X210CM, ESPESSURA DE 3,5CM, INCLUSO DOBRADICAS - FORNECIMENTO E INSTALACAO. AF_12/2019</t>
  </si>
  <si>
    <t xml:space="preserve">SINAPI - 91010 - PORTA DE MADEIRA PARA VERNIZ, SEMI-OCA (LEVE OU MEDIA), 70X210CM, ESPESSURA DE 3,5CM, INCLUSO DOBRADICAS - FORNECIMENTO E INSTALACAO. AF_12/2019</t>
  </si>
  <si>
    <t xml:space="preserve">SINAPI - 91011 - PORTA DE MADEIRA PARA VERNIZ, SEMI-OCA (LEVE OU MEDIA), 80X210CM, ESPESSURA DE 3,5CM, INCLUSO DOBRADICAS - FORNECIMENTO E INSTALACAO. AF_12/2019</t>
  </si>
  <si>
    <t xml:space="preserve">SINAPI - 91012 - PORTA DE MADEIRA PARA VERNIZ, SEMI-OCA (LEVE OU MEDIA), 90X210CM, ESPESSURA DE 3,5CM, INCLUSO DOBRADICAS - FORNECIMENTO E INSTALACAO. AF_12/2019</t>
  </si>
  <si>
    <t xml:space="preserve">SINAPI - 90801 - BATENTE PARA PORTA DE MADEIRA, PADRAO MEDIO - FORNECIMENTO E MONTAGEM. AF_12/2019</t>
  </si>
  <si>
    <t xml:space="preserve">SINAPI - 90806 - BATENTE PARA PORTA DE MADEIRA, FIXACAO COM ARGAMASSA, PADRAO MEDIO - FORNECIMENTO E INSTALACAO. AF_12/2019</t>
  </si>
  <si>
    <t xml:space="preserve">SINAPI - 100659 - ALIZAR DE 5X1,5CM PARA PORTA FIXADO COM PREGOS, PADRAO MEDIO - FORNECIMENTO E INSTALACAO. AF_12/2019</t>
  </si>
  <si>
    <t xml:space="preserve">MAO-DE-OBRA PARA ASSENTAMENTO DE:- BATENTE</t>
  </si>
  <si>
    <t xml:space="preserve">- PORTA (FOLHA)</t>
  </si>
  <si>
    <t xml:space="preserve">- GUARNICOES</t>
  </si>
  <si>
    <t xml:space="preserve">- PORTA (COMPLETA)</t>
  </si>
  <si>
    <t xml:space="preserve">SINAPI - 100700 - PORTA DE MADEIRA COMPENSADA LISA PARA PINTURA, 120X210X3,5CM, 2 FOLHAS, INCLUSO ADUELA 2A, ALIZAR 2A E DOBRADICAS. AF_12/2019</t>
  </si>
  <si>
    <t xml:space="preserve">*  DE FERRO</t>
  </si>
  <si>
    <t xml:space="preserve">SINAPI - 94559 - JANELA DE ACO TIPO BASCULANTE PARA VIDROS, COM BATENTE, FERRAGENS E PINTURA ANTICORROSIVA, EXCLUSIVE VIDROS, ACABAMENTO, ALIZAR E CONTRAMARCO, FIXACAO COM ARGAMASSA. FORNECIMENTO E INSTALACAO. AF_11/2024</t>
  </si>
  <si>
    <t xml:space="preserve">JANELA MAXIMO AR EM ACO, BATENTE / REQUADRO DE 6 A 14CM, PINTURA ANTICORROSIVA, SEM VIDRO, COM GRADE - FORNECIMENTO E INSTALACAO</t>
  </si>
  <si>
    <t xml:space="preserve">SINAPI - 94562 - JANELA DE ACO DE CORRER COM 4 FOLHAS PARA VIDRO, COM BATENTE, FERRAGENS E PINTURA ANTICORROSIVA, EXCLUSIVE VIDROS, ALIZAR E CONTRAMARCO, FIXACAO COM ARGAMASSA. FORNECIMENTO E INSTALACAO. AF_11/2024</t>
  </si>
  <si>
    <t xml:space="preserve">PORTA EM CHAPA VINCADA - 1 FOLHA, INCLUSIVE ACABAMENTO E FERRAGENS - ANEXO A-045 (ESQ.)</t>
  </si>
  <si>
    <t xml:space="preserve">PORTA EM ACO DE ABRIR TIPO VENEZIANA COM BATENTE, FIXADA COM PARAFUSOS - FORNECIMENTO E INSTALACAO</t>
  </si>
  <si>
    <t xml:space="preserve">PORTA EM PERFIL CHAPA DOBRADA N.18, INCLUSIVE FERRAGENS, CONFORME DETALHE:- DE CORRER (EXCLUSIVE VIDRO) ANEXO A-046</t>
  </si>
  <si>
    <t xml:space="preserve">- 1 FOLHA, CHAPA/VIDRO (EXCLUSIVE VIDRO) ANEXO A-046</t>
  </si>
  <si>
    <t xml:space="preserve">- DUAS FOLHAS, CHAPA/VIDRO (EXCLUSIVE VIDRO) ANEXO A-046</t>
  </si>
  <si>
    <t xml:space="preserve">PORTAO EM CHAPA FRISADA (LAMBRIL), INCLUSIVE FERRAGENS, NA(S) ESPECIFICACAO(OES):- 1 FOLHA - PARA PEDESTRES - ANEXO A-047 (ESQ.)</t>
  </si>
  <si>
    <t xml:space="preserve">- 2 FOLHAS - PARA VEICULOS - ANEXO A-047 (ESQ.)</t>
  </si>
  <si>
    <t xml:space="preserve">PORTAO EM CHAPA VINCADA, INCLUSIVE FERRAGENS, NA(S) ESPECIFICACAO(OES):- 1 FOLHA - PARA PEDESTRES - ANEXO A-048 (ESQ.)</t>
  </si>
  <si>
    <t xml:space="preserve">- 2 FOLHAS - PARA VEICULOS - ANEXO A-048 (ESQ.)</t>
  </si>
  <si>
    <t xml:space="preserve">SINAPI - 99861 - GRADIL EM FERRO FIXADO EM VAOS DE JANELAS, FORMADO POR BARRAS CHATAS DE 25X4,8 MM. AF_04/2019</t>
  </si>
  <si>
    <t xml:space="preserve">ALCAPAO EM FERRO 70X70CM, INCLUSO FERRAGENS</t>
  </si>
  <si>
    <t xml:space="preserve">ESCADA MARINHEIRO SEM GUARDA CORPO  INCLUSIVE FUNDO ANTICORROSIVO 2 DEMAOS - ANEXO A-058 (ESQ.)</t>
  </si>
  <si>
    <t xml:space="preserve">GUARDA CORPO PARA ESCADA MARINHEIRO INCLUSIVE FUNDO ANTICORROSIVO 2 DEMAOS - ANEXO A-059 (ESQ.)</t>
  </si>
  <si>
    <t xml:space="preserve">ASSENTAMENTO DE ESQUADRIA DE FERRO (JANELA BASCULANTE - COM GRAPA/CHUMBADORES) INCLUSIVE ARGAMASSA 1:3</t>
  </si>
  <si>
    <t xml:space="preserve">ASSENTAMENTO DE ESQUADRIA DE FERRO (JANELA MAXIM-AR E CORRER - COM GRAPA/CHUMBADORES) INCLUSIVE ARGAMASSA 1:3</t>
  </si>
  <si>
    <t xml:space="preserve">ASSENTAMENTO DE ESQUADRIA DE FERRO (PORTA DE BATER - COM GRAPA/CHUMBADORES) INCLUSIVE ARGAMASSA 1:3</t>
  </si>
  <si>
    <t xml:space="preserve">ASSENTAMENTO DE ESQUADRIA DE FERRO (PORTA DE CORRER) INCLUSIVE ARGAMASSA 1:3</t>
  </si>
  <si>
    <t xml:space="preserve">GRADE DE FERRO FIXA PARA CELA, COM QUADROS E BARRAS INTERMEDIARIAS EM FERRO CHATO 2" X 3/8", BARRAS EM ACO REDONDO 7/8" A CADA 12CM, ACO SAE 1045 E CHUMBADORES DE FERRO CHATO 2" X 3/8"</t>
  </si>
  <si>
    <t xml:space="preserve">GRADE FIXA COM PORTA PARA CELA COM QUADRO E BARRAS INTERMEDIARIAS EM FERRO CHATO 2" X 3/8", FERRO REDONDO 7/8" A CADA 12CM, ACO SAE 1045, BATENTE EM FERRO CANTONEIRA 2.1/2" X 3/8", PORTA CADEADO EM CHAPA 11 E FERRO 7/8" SAE 1045</t>
  </si>
  <si>
    <t xml:space="preserve">PORTA EM GRADE PARA CELA, COM QUADROS E BARRAS INTERMEDIARIAS EM FERRO CHATO 2" X 3/8", BARRAS EM FERRO REDONDO 7/8", A CADA 12CM, ACO SAE 1045, CHUMBADORES EM FERRO CHATO 2" X 3/8", PORTA CADEADO EM CHAPA 11 E FERROLHO 7/8" SAE 1045</t>
  </si>
  <si>
    <t xml:space="preserve">GUARDA CORPO EM TUBO IND. 2.1/2", 2 CORRIMAOS (H=0,70M E 0,92M) EM TUBO IND. 1.1/2" CH.18, FECHAMENTO EM TUBO IND.1" CH.18 A CADA 15CM E PILARETES EM TUBO IND. 2.1/2"CH 18, INCL.FUNDO E PINT.ESMALTE, CONF. DET. ANEXO (A-15.002)</t>
  </si>
  <si>
    <t xml:space="preserve">GUARDA CORPO EM TUBO IND. 2.1/2" CH.18, FIXADO EM PILARETES DE TUBO IND. 2.1/2  CH 18, FECHAMENTO EM TUBO IND. 1" CH 18 A CADA 15CM, INCLUS. FUNDO E ESMALTE SINTETICO, AMBOS EM DUAS DEMAOS, CONF. DETALHE ANEXO (A-15.001)</t>
  </si>
  <si>
    <t xml:space="preserve">CORRIMAO DUPLO CENTRAL COM ALTURAS DE H=0,70M E H=0,92M EM TUBO DE ACO IND. 1.1/2" CH 18, FIXADOS EM PILARETES EM TUBO IND. 2.1/2" CHAPA 18 LF, INCLUS. FUNDO E PINTURA ESMALTE, AMBOS EM 2 DEMAOS, CONFORME DETALHE ANEXO (A-15.005)</t>
  </si>
  <si>
    <t xml:space="preserve">CORRIMAO LATERAL COM H=0,92M E H=0,70M EM TUBO IND. 1.1/2" CH 18, FIXADOS EM PILARETES EM TUBO IND. 2.1/2" CH 18, INCLUSIVE FUNDO E PINTURA ESMALTE, AMBOS EM 2 DEMAOS, CONFORME DETALHE ANEXO (A-15.007)</t>
  </si>
  <si>
    <t xml:space="preserve">CORRIMAO DUPLO LATERAL EM TUBO INDUSTRIAL 1.1/2" CH 18, COM ALTURAS DE H=0.70M E H=0.92M EM TUBO DE ACO IND. 1.1/2" CH 18, FIXADOS EM PAREDE COM BUCHA S12, INCLUSIVE FUNDO E ESMALTE SINTETICO, AMBOS EM 2 DEMAOS, CONF. DET. ANEXO (A-15.006)</t>
  </si>
  <si>
    <t xml:space="preserve">GUARDA CORPO EM TUBO INDUSTRIAL DE 2.1/2" CH 18, FIXADO EM PILARETE DE TUBO INDUSTRIAL 2.1/2" CH 18, FECHAMENTO EM TELA ONDULADA MALHA 2", INCLUSIVE PINTURA FUNDO ANTICORROSIVO E PINTURA ESMALTE, AMBOS EM 2 DEMAOS, CONF. DET. ANEXO (A-15.003)</t>
  </si>
  <si>
    <t xml:space="preserve">GUARDA CORPO EM TUBO IND.2.1/2" CH 18, 2 CORRIMAOS (H=0,70M E 0,92M) EM TUBO IND.1.1/2" CH 18, FIXADO EM PILARETE TUBO IND. 2.1/2" CH 18, FECHAMENTO TELA ONDULADA MALHA 2", INCLUS.FUNDO E PINTURA ESMALTE, CONF. DETALHE ANEXO (A-15.004)</t>
  </si>
  <si>
    <t xml:space="preserve">*  FERRAGENS</t>
  </si>
  <si>
    <t xml:space="preserve">FECHADURA TIPO BICO DE PAPAGAIO PARA PORTA DE CORRER EXTERNA, EM ACO INOX COM ACABAMENTO CROMADO, MAQUINA COM 45 MM, INCLUINDO CHAVE TIPO CILINDRO - FORNECIMENTO E INSTALACAO</t>
  </si>
  <si>
    <t xml:space="preserve">SINAPI - 90830 - FECHADURA DE EMBUTIR COM CILINDRO, EXTERNA, COMPLETA, ACABAMENTO PADRAO MEDIO, INCLUSO EXECUCAO DE FURO - FORNECIMENTO E INSTALACAO. AF_12/2019</t>
  </si>
  <si>
    <t xml:space="preserve">SINAPI - 91304 - FECHADURA DE EMBUTIR COM CILINDRO, EXTERNA, COMPLETA, ACABAMENTO PADRAO POPULAR, INCLUSO EXECUCAO DE FURO - FORNECIMENTO E INSTALACAO. AF_12/2019</t>
  </si>
  <si>
    <t xml:space="preserve">SINAPI - 91306 - FECHADURA DE EMBUTIR PARA PORTAS INTERNAS, COMPLETA, ACABAMENTO PADRAO MEDIO, COM EXECUCAO DE FURO - FORNECIMENTO E INSTALACAO. AF_12/2019</t>
  </si>
  <si>
    <t xml:space="preserve">SINAPI - 91305 - FECHADURA DE EMBUTIR PARA PORTA DE BANHEIRO, COMPLETA, ACABAMENTO PADRAO POPULAR, INCLUSO EXECUCAO DE FURO - FORNECIMENTO E INSTALACAO. AF_12/2019</t>
  </si>
  <si>
    <t xml:space="preserve">SINAPI - 91307 - FECHADURA DE EMBUTIR PARA PORTAS INTERNAS, COMPLETA, ACABAMENTO PADRAO POPULAR, COM EXECUCAO DE FURO - FORNECIMENTO E INSTALACAO. AF_12/2019</t>
  </si>
  <si>
    <t xml:space="preserve">SINAPI - 90831 - FECHADURA DE EMBUTIR PARA PORTA DE BANHEIRO, COMPLETA, ACABAMENTO PADRAO MEDIO, INCLUSO EXECUCAO DE FURO - FORNECIMENTO E INSTALACAO. AF_12/2019</t>
  </si>
  <si>
    <t xml:space="preserve">SINAPI - 100709 - DOBRADICA EM ACO/FERRO, 3" X 21/2", E=1,9 A 2MM, SEN ANEL, CROMADO OU ZINCADO, TAMPA BOLA, COM PARAFUSOS. AF_12/2019</t>
  </si>
  <si>
    <t xml:space="preserve">SINAPI - 100705 - TARJETA TIPO LIVRE/OCUPADO PARA PORTA DE BANHEIRO. AF_12/2019</t>
  </si>
  <si>
    <t xml:space="preserve">CALCO/PRENDEDOR DE LATAO CROMADO PARA PORTA</t>
  </si>
  <si>
    <t xml:space="preserve">MAO-DE-OBRA PARA COLOCACAO DE:- DOBRADICA</t>
  </si>
  <si>
    <t xml:space="preserve">- FECHADURA</t>
  </si>
  <si>
    <t xml:space="preserve">*  ALUMINIO E INOX</t>
  </si>
  <si>
    <t xml:space="preserve">SINAPI - 91341 - PORTA EM ALUMINIO DE ABRIR TIPO VENEZIANA COM GUARNICAO, FIXACAO COM PARAFUSOS - FORNECIMENTO E INSTALACAO. AF_12/2019</t>
  </si>
  <si>
    <t xml:space="preserve">SINAPI - 94589 - CONTRAMARCO DE ALUMINIO, FIXACAO COM ARGAMASSA - FORNECIMENTO E INSTALACAO. AF_11/2024</t>
  </si>
  <si>
    <t xml:space="preserve">JANELA DE CORRER EM ALUMINIO, LINHA SUPREMA, ACABAMENTO ANODIZADO FOSCO NA COR PRETA/BRANCA, COM CONTRAMARCO, EXCLUSIVE VIDRO - FORNECIMENTO E INSTALACAO</t>
  </si>
  <si>
    <t xml:space="preserve">JANELA MAXIM-AR EM ALUMINIO, LINHA SUPREMA, ACABAMENTO ANODIZADO FOSCO NA COR PRETA/BRANCA, COM CONTRAMARCO, EXCLUSIVE VIDRO - FORNECIMENTO E INSTALACAO</t>
  </si>
  <si>
    <t xml:space="preserve">JANELA BASCULANTE EM ALUMINIO, LINHA SUPREMA, ACABAMENTO ANODIZADO FOSCO NA COR PRETA/BRANCA, COM CONTRAMARCO, EXCLUSIVE VIDRO - FORNECIMENTO E INSTALACAO</t>
  </si>
  <si>
    <t xml:space="preserve">PORTA DE GIRO EM ALUMINIO TIPO VENEZIANA, LINHA SUPREMA, ACABAMENTO ANODIZADO FOSCO NA COR PRETA/BRANCA, COM CONTRAMARCO - FORNECIMENTO E INSTALACAO</t>
  </si>
  <si>
    <t xml:space="preserve">PORTA DE GIRO EM VIDRO ESTRUTURA EM ALUMINIO, LINHA SUPREMA, ACABAMENTO ANODIZADO FOSCO NA COR PRETA/BRANCA, CONTRAMARCO, EXCLUSIVE VIDROS - FORNECIMENTO E INSTALACAO</t>
  </si>
  <si>
    <t xml:space="preserve">PORTA DE CORRER EM VIDRO, ESTRUTURA EM ALUMINIO, LINHA SUPREMA, ACABAMENTO ANODIZADO FOSCO NA COR PRETA/BRANCA, CONTRAMARCO, EXCLUSIVE VIDROS - FORNECIMENTO E INSTALACAO</t>
  </si>
  <si>
    <t xml:space="preserve">PORTA DE GIRO EM ALUMINIO TIPO LAMBRIL, LINHA SUPREMA, ACABAMENTO ANODIZADO FOSCO NA COR PRETA/BRANCA, CONTRAMARCO - FORNECIMENTO E INSTALACAO</t>
  </si>
  <si>
    <t xml:space="preserve">GUARDA CORPO EM ACO INOX 304 POLIDO, TUBO (PES E BARRA SUPERIOR) DE 2", COM 2 CORRIMAOS (H=0,70M E 0,92M) EM TUBO DE 1.1/2", FECHAMENTO EM TUBOS DE 1/2" A CADA 10CM - FORNECIMENTO E INSTALACAO</t>
  </si>
  <si>
    <t xml:space="preserve">GUARDA CORPO EM ACO INOX 304 POLIDO, TUBO (PES E BARRA SUPERIOR) DE 2" E FECHAMENTO EM TUBO DE 1/2" A CADA 10CM - FORNECIMENTO E INSTALACAO</t>
  </si>
  <si>
    <t xml:space="preserve">CORRIMAO DUPLO CENTRAL EM ACO INOX 304 POLIDO, COM ALTURAS DE H=0,70 E H=0,92 EM TUBO DE 1.1/2", FIXADOS EM PILARETES COM TUBO DE 2", EM AMBOS OS LADOS - FORNECIMENTO E INSTALACAO</t>
  </si>
  <si>
    <t xml:space="preserve">CORRIMAO DUPLO LATERAL EM ACO INOX 304 POLIDO, COM ALTURAS DE H=0,70M E H=0,92M EM TUBO DE 1.1/2", FIXADOS EM PAREDE COM PARAFUSO E BUCHA S12 - FORNECIMENTO E INSTALACAO</t>
  </si>
  <si>
    <t xml:space="preserve">INSTALACOES ELETRICAS</t>
  </si>
  <si>
    <t xml:space="preserve">*  LUMINARIAS E ACESSORIOS</t>
  </si>
  <si>
    <t xml:space="preserve">LUMINARIA TIPO PLAFON COM PAINEL LED, 30X30CM, SOBREPOR, POTENCIA DE 24W, 4000K, LUZ NEUTRA, ELGIN OU SIMILAR - FORNECIMENTO E INSTALACAO</t>
  </si>
  <si>
    <t xml:space="preserve">LUMINARIA TIPO PLAFON COM PAINEL LED, 30X30CM, EMBUTIR, POTENCIA DE 24W, 4000K, LUZ NEUTRA, ELGIN OU SIMILAR - FORNECIMENTO E INSTALACAO</t>
  </si>
  <si>
    <t xml:space="preserve">LUMINARIA TIPO PLAFON REDONDO COM VIDRO FOSCO, DIAMETRO DE 30 CM, INCLUSIVE DUAS LAMPADAS LED 10W - FORNECIMENTO E INSTALACAO</t>
  </si>
  <si>
    <t xml:space="preserve">LUMINARIA TIPO PLAFON COM PAINEL LED, 40X40CM, SOBREPOR, POTENCIA DE 36W, 4000K, LUZ NEUTRA, ELGIN OU SIMILAR - FORNECIMENTO E INSTALACAO</t>
  </si>
  <si>
    <t xml:space="preserve">LUMINARIA TIPO PLAFON COM PAINEL LED, 40X40CM, EMBUTIR, POTENCIA DE 36W, 4000K, LUZ NEUTRA, ELGIN OU SIMILAR - FORNECIMENTO E INSTALACAO</t>
  </si>
  <si>
    <t xml:space="preserve">LUMINARIA SPOT DE SOBREPOR EM ALUMINIO COM ALETA PLASTICA, INCLUSIVE DUAS LAMPADAS LED 10W - FORNECIMENTO E INSTALACAO</t>
  </si>
  <si>
    <t xml:space="preserve">SINAPI - 97607 - LUMINARIA ARANDELA TIPO TARTARUGA, DE SOBREPOR, COM 1 LAMPADA LED DE 6 W, SEM REATOR - FORNECIMENTO E INSTALACAO. AF_09/2024</t>
  </si>
  <si>
    <t xml:space="preserve">LUMINARIA DE EMBUTIR EM FORRO DE GESSO OU MODULADO, COM ALETAS E REFLETORES EM ALUMINIO ALTO BRILHO, INCLUSO DUAS LAMPADAS T 8 LED DE 9W - 60CM - FORNECIMENTO E INSTALACAO</t>
  </si>
  <si>
    <t xml:space="preserve">LUMINARIA DE EMBUTIR EM FORRO DE GESSO OU MODULADO, COM ALETAS E REFLETORES EM ALUMINIO ALTO BRILHO, INCLUSO DUAS LAMPADAS T 8 LED DE 18W - 120CM - FORNECIMENTO E INSTALACAO</t>
  </si>
  <si>
    <t xml:space="preserve">FITA DE LED SLIM 15W, 180 LEDS, 12V IP20, 1.700 LM/M, TONALIDADE DA LUZ NEUTRA/QUENTE, 3000K/4000K  DA PIX ILUMINACAO OU SIMILAR</t>
  </si>
  <si>
    <t xml:space="preserve">PERFIL LED DE EMBUTIR, ACABAMENTO ANODIZADO NATURAL, BRANCO OU PRETO, DIFUSOR EM POLICARBONATO LEITOSO, 24X14MM, DA EFFECT LED OU SIMILAR (EXCLUSIVE FITAS LED) - FORNECIMENTO E INSTALACAO</t>
  </si>
  <si>
    <t xml:space="preserve">FONTE DRIVER PARA FITA DE LED, POTENCIA DE 84W, 7A, 12 VOTS, BIVOLT COM PUG DA PIX ILUMINACAO OU SIMILAR</t>
  </si>
  <si>
    <t xml:space="preserve">PERFIL LED DE SOBREPOR, ACABAMENTO ANODIZADO NATURAL, BRANCO OU PRETO, DIFUSOR EM POLICARBONATO LEITOSO, 17X7MM, DA EFFECT LED OU SIMILAR, INCLUSO OS FIXADORES (EXCLUSIVE FITAS LED) - FORNECIMENTO E INSTALACAO</t>
  </si>
  <si>
    <t xml:space="preserve">LUMINARIA LED DE SOBREPOR 36W, 2400LMS, 120CM, DA ELGIN, RCA OU SIMILAR - FORNECIMENTO E INSTALACAO</t>
  </si>
  <si>
    <t xml:space="preserve">LUMINARIA DE SOBREPOR, COM ALETAS E REFLETORES EM ALUMINIO ALTO BRILHO, INCLUSO DUAS LAMPADAS T 8 LED DE 9W - 60CM - FORNECIMENTO E INSTALACAO</t>
  </si>
  <si>
    <t xml:space="preserve">LUMINARIA DE SOBREPOR, COM ALETAS E REFLETORES EM ALUMINIO ALTO BRILHO, INCLUSO DUAS LAMPADAS T 8 LED DE 18W - 120CM - FORNECIMENTO E INSTALACAO</t>
  </si>
  <si>
    <t xml:space="preserve">LUMINARIA DE SOBREPOR COM PLACAS DE LED SMD E DRIVER MULTITENSAO INTEGRADOS, IP20, ALETAS E REFLETORES EM ALUMINIO ALTO BRILHO, CORPO EM CHAPA DE ACO PINTADA ELETROSTATICAMENTE NA COR BRANCA, REF. EAA05 - S3500830 - FORNECIMENTO E INSTALACAO</t>
  </si>
  <si>
    <t xml:space="preserve">LUMINARIA DE EMBUTIR COM PLACAS DE LED SMD E DRIVER MULTITENSAO INTEGRADOS, IP20, ALETAS E REFLETORES EM ALUMINIO ALTO BRILHO, CORPO EM CHAPA DE ACO PINTADA ELETROSTATICAMENTE NA COR BRANCA, REF. EAA05 - E3500830 - FORNECIMENTO E INSTALACAO</t>
  </si>
  <si>
    <t xml:space="preserve">SINAPI - 97599 - LUMINARIA DE EMERGENCIA, COM 30 LAMPADAS LED DE 2 W, SEM REATOR - FORNECIMENTO E INSTALACAO. AF_09/2024</t>
  </si>
  <si>
    <t xml:space="preserve">LUMINARIA REDONDA TIPO INDUSTRIAL LED, REF. UFO INDUSTRIAL HIGH BAY, 150W, 14.500LM DA RCA OU SIMILAR - FORNECIMENTO E INSTALACAO</t>
  </si>
  <si>
    <t xml:space="preserve">REFLETOR RETANGULAR FECHADO LED, REF. FLOOD LIGHT IP 68, 200W, 21.000LMS, COM DOIS MODULOS DA RCA, DIGITAL LED OU SIMILAR - FORNECIMENTO E INSTALACAO</t>
  </si>
  <si>
    <t xml:space="preserve">REFLETOR HOLOFOTE LED 400W IP-66 A PROVA D'AGUA BRANCO FRIO 6000K - FORNECIMENTO E INSTALACAO</t>
  </si>
  <si>
    <t xml:space="preserve">LUMINARIA DECORATIVA MOD. SBD 216-GL COM POSTE FLANGEADO MOD. SBP-852B/1-20GF PINTADO E CHUMBADOR 1/2"X300MM AMBOS DA SHOMEI OU SIMILAR, INCLUSIVE LAMPADA LED DE 60/70W - FORNECIMENTO E INSTALACAO</t>
  </si>
  <si>
    <t xml:space="preserve">LUMINARIA DE LED PARA ILUMINACAO PUBLICA, DE 98 W ATE 137 W, INVOLUCRO EM ALUMINIO OU ACO INOX, INSTALADA EM POSTE CONICO CONTINUO EM ACO GALVANIZADO, ENGASTADO, BRACO CURVO SIMPLES, H=9M - FORNECIMENTO E INSTALACAO</t>
  </si>
  <si>
    <t xml:space="preserve">LUMINARIA DE LED PARA ILUMINACAO PUBLICA, DE 98 W ATE 137 W, INVOLUCRO EM ALUMINIO OU ACO INOX, INSTALADA EM POSTE CONICO CONTINUO EM ACO GALVANIZADO, ENGASTADO,  BRACO CURVO DUPLO, H=9M - FORNECIMENTO E INSTALACAO</t>
  </si>
  <si>
    <t xml:space="preserve">LUMINARIA DE LED PARA ILUMINACAO PUBLICA, DE 98W ATE 137W, INVOLUCRO EM ALUMINIO OU ACO INOX COM BRACO EM ACO GALVANIZADO DE 1,50M - FORNECIMENTO E INSTALACAO</t>
  </si>
  <si>
    <t xml:space="preserve">SINAPI - 101658 - LUMINARIA DE LED PARA ILUMINACAO PUBLICA, DE 138 W ATE 180 W - FORNECIMENTO E INSTALACAO. AF_08/2020</t>
  </si>
  <si>
    <t xml:space="preserve">POSTE EXTERNO SIMPLES EM METAL, COR PRETA, H=3M,LINHA JARDIM, UMA LUMINARIA RETANGULAR EM VIDRO TRANSPARENTE TEMPERADO, PARA LAMPADA E-27 (EXCLUSIVE LAMPADA), REF. 21 386 3014 DA FEMARTE OU SIMILAR, INCLUSO FIXADORES - FORNECIMENTO E INSTALACAO</t>
  </si>
  <si>
    <t xml:space="preserve">POSTE EXTERNO DUPLO EM METAL, COR PRETA,H=3M, LINHA JARDIM,DUAS LUMINARIAS RETANGULARES EM VIDRO TRANSPARENTE TEMPERADO, PARA LAMPADAS E-27 (EXCLUSIVE LAMPADA), REF. 21 387 3014 DA FEMARTE OU SIMILAR, INCLUSO FIXADORES - FORNECIMENTO E INSTALACAO</t>
  </si>
  <si>
    <t xml:space="preserve">SINAPI - 100620 - POSTE DE ACO CONICO CONTINUO CURVO SIMPLES, FLANGEADO, H=9M, INCLUSIVE LUMINARIA, SEM LAMPADA - FORNECIMENTO E INSTALACAO. AF_11/2019</t>
  </si>
  <si>
    <t xml:space="preserve">SINAPI - 100621 - POSTE DE ACO CONICO CONTINUO CURVO DUPLO, FLANGEADO, H=9M, INCLUSIVE LUMINARIAS, SEM LAMPADAS - FORNECIMENTO E INSTALACAO. AF_11/2019</t>
  </si>
  <si>
    <t xml:space="preserve">LAMPADA LED 15 W BIVOLT BRANCA, FORMATO TRADICIONAL (BASE E27) - FORNECIMENTO E INSTALACAO</t>
  </si>
  <si>
    <t xml:space="preserve">SINAPI - 97610 - LAMPADA COMPACTA DE LED 10 W, BASE E27 - FORNECIMENTO E INSTALACAO. AF_09/2024</t>
  </si>
  <si>
    <t xml:space="preserve">SOQUETE ANTIVIBRATORIO PANAN, INSOL OU SIMILAR PARA LAMPADA FLUORESCENTE</t>
  </si>
  <si>
    <t xml:space="preserve">REATOR PARA LAMPADA VAPOR METALICO DE 150W</t>
  </si>
  <si>
    <t xml:space="preserve">REATOR PARA LAMPADA A VAPOR DE SODIO DE ALTA PRESSAO, COM IGNITOR, NA(S) ESPECIFICACAO(OES):- 400 W RVS 400 A-26 OC-IG - PHILIPS OU SIMILAR</t>
  </si>
  <si>
    <t xml:space="preserve">*  INTERRUPTORES E TOMADAS</t>
  </si>
  <si>
    <t xml:space="preserve">SINAPI - 91953 - INTERRUPTOR SIMPLES (1 MODULO), 10A/250V, INCLUINDO SUPORTE E PLACA - FORNECIMENTO E INSTALACAO. AF_03/2023</t>
  </si>
  <si>
    <t xml:space="preserve">SINAPI - 91959 - INTERRUPTOR SIMPLES (2 MODULOS), 10A/250V, INCLUINDO SUPORTE E PLACA - FORNECIMENTO E INSTALACAO. AF_03/2023</t>
  </si>
  <si>
    <t xml:space="preserve">SINAPI - 91967 - INTERRUPTOR SIMPLES (3 MODULOS), 10A/250V, INCLUINDO SUPORTE E PLACA - FORNECIMENTO E INSTALACAO. AF_03/2023</t>
  </si>
  <si>
    <t xml:space="preserve">SINAPI - 91955 - INTERRUPTOR PARALELO (1 MODULO), 10A/250V, INCLUINDO SUPORTE E PLACA - FORNECIMENTO E INSTALACAO. AF_03/2023</t>
  </si>
  <si>
    <t xml:space="preserve">INTERRUPTOR BIPOLAR EMBUTIR 25A/250V COM PLACA, TIPO SILENTOQUE PIAL OU EQUIVALENTE - FORNECIMENTO E INSTALACAO</t>
  </si>
  <si>
    <t xml:space="preserve">SINAPI - 91957 - INTERRUPTOR SIMPLES (1 MODULO) COM INTERRUPTOR PARALELO (1 MODULO), 10A/250V, INCLUINDO SUPORTE E PLACA - FORNECIMENTO E INSTALACAO. AF_03/2023</t>
  </si>
  <si>
    <t xml:space="preserve">SINAPI - 91961 - INTERRUPTOR PARALELO (2 MODULOS), 10A/250V, INCLUINDO SUPORTE E PLACA - FORNECIMENTO E INSTALACAO. AF_03/2023</t>
  </si>
  <si>
    <t xml:space="preserve">SINAPI - 91965 - INTERRUPTOR SIMPLES (2 MODULOS) COM INTERRUPTOR PARALELO (1 MODULO), 10A/250V, INCLUINDO SUPORTE E PLACA - FORNECIMENTO E INSTALACAO. AF_03/2023</t>
  </si>
  <si>
    <t xml:space="preserve">SINAPI - 92023 - INTERRUPTOR SIMPLES (1 MODULO) COM 1 TOMADA DE EMBUTIR 2P+T 10 A, INCLUINDO SUPORTE E PLACA - FORNECIMENTO E INSTALACAO. AF_03/2023</t>
  </si>
  <si>
    <t xml:space="preserve">SINAPI - 91985 - INTERRUPTOR PULSADOR CAMPAINHA (1 MODULO), 10A/250V, INCLUINDO SUPORTE E PLACA - FORNECIMENTO E INSTALACAO. AF_03/2023</t>
  </si>
  <si>
    <t xml:space="preserve">SINAPI - 92029 - INTERRUPTOR PARALELO (1 MODULO) COM 1 TOMADA DE EMBUTIR 2P+T 10 A, INCLUINDO SUPORTE E PLACA - FORNECIMENTO E INSTALACAO. AF_03/2023</t>
  </si>
  <si>
    <t xml:space="preserve">SINAPI - 92033 - INTERRUPTOR PARALELO (2 MODULOS) COM 1 TOMADA DE EMBUTIR 2P+T 10 A, INCLUINDO SUPORTE E PLACA - FORNECIMENTO E INSTALACAO. AF_03/2023</t>
  </si>
  <si>
    <t xml:space="preserve">SINAPI - 92027 - INTERRUPTOR SIMPLES (2 MODULOS) COM 1 TOMADA DE EMBUTIR 2P+T 10 A, INCLUINDO SUPORTE E PLACA - FORNECIMENTO E INSTALACAO. AF_03/2023</t>
  </si>
  <si>
    <t xml:space="preserve">SINAPI - 92035 - INTERRUPTOR SIMPLES (1 MODULO), INTERRUPTOR PARALELO (1 MODULO) E 1 TOMADA DE EMBUTIR 2P+T 10 A, INCLUINDO SUPORTE E PLACA - FORNECIMENTO E INSTALACAO. AF_03/2023</t>
  </si>
  <si>
    <t xml:space="preserve">INTERRUPTOR SIMPLES (1 MODULO), 10A / 250V, INCLUSO CONDULETE 3/4", COM PLACA E SUPORTE - FORNECIMENTO E INSTALACAO</t>
  </si>
  <si>
    <t xml:space="preserve">SINAPI - 91992 - TOMADA ALTA DE EMBUTIR (1 MODULO), 2P+T 10 A, INCLUINDO SUPORTE E PLACA - FORNECIMENTO E INSTALACAO. AF_03/2023</t>
  </si>
  <si>
    <t xml:space="preserve">SINAPI - 91996 - TOMADA MEDIA DE EMBUTIR (1 MODULO), 2P+T 10 A, INCLUINDO SUPORTE E PLACA - FORNECIMENTO E INSTALACAO. AF_03/2023</t>
  </si>
  <si>
    <t xml:space="preserve">SINAPI - 92000 - TOMADA BAIXA DE EMBUTIR (1 MODULO), 2P+T 10 A, INCLUINDO SUPORTE E PLACA - FORNECIMENTO E INSTALACAO. AF_03/2023</t>
  </si>
  <si>
    <t xml:space="preserve">SINAPI - 91997 - TOMADA MEDIA DE EMBUTIR (1 MODULO), 2P+T 20 A, INCLUINDO SUPORTE E PLACA - FORNECIMENTO E INSTALACAO. AF_03/2023</t>
  </si>
  <si>
    <t xml:space="preserve">SINAPI - 92004 - TOMADA MEDIA DE EMBUTIR (2 MODULOS), 2P+T 10 A, INCLUINDO SUPORTE E PLACA - FORNECIMENTO E INSTALACAO. AF_03/2023</t>
  </si>
  <si>
    <t xml:space="preserve">SINAPI - 92008 - TOMADA BAIXA DE EMBUTIR (2 MODULOS), 2P+T 10 A, INCLUINDO SUPORTE E PLACA - FORNECIMENTO E INSTALACAO. AF_03/2023</t>
  </si>
  <si>
    <t xml:space="preserve">SINAPI - 91993 - TOMADA ALTA DE EMBUTIR (1 MODULO), 2P+T 20 A, INCLUINDO SUPORTE E PLACA - FORNECIMENTO E INSTALACAO. AF_03/2023</t>
  </si>
  <si>
    <t xml:space="preserve">TOMADA SIMPLES (1 MODULO) 2P+T 10 A, INCLUSO CONDULETE 3/4", COM PLACA E SUPORTE - FORNECIMENTO E INSTALACAO</t>
  </si>
  <si>
    <t xml:space="preserve">TOMADA DUPLA (2 MODULOS) 2P+T 10 A, INCLUSO CONDULETE 3/4", COM PLACA E SUPORTE - FORNECIMENTO E INSTALACAO</t>
  </si>
  <si>
    <t xml:space="preserve">CONJUNTO DE TOMADA DE PISO COM 2 MODULOS 2P+T DE 10A PRETOS, ESPELHO E CAIXA 4"X4" EM ALUMINIO - FORNECIMENTO E INSTALACAO</t>
  </si>
  <si>
    <t xml:space="preserve">SINAPI - 98308 - TOMADA PARA TELEFONE RJ11 - FORNECIMENTO E INSTALACAO. AF_11/2019</t>
  </si>
  <si>
    <t xml:space="preserve">ESPELHO, FABRICACAO PIAL OU SIMILAR, NA(S) ESPECIFICACAO(OES):- CEGO (4" X 2") REF. 8510</t>
  </si>
  <si>
    <t xml:space="preserve">ESPELHO, FABRICACAO PIAL OU SIMILAR, NA(S) ESPECIFICACAO(OES):- CEGO (4" X 4"), REF. 8500</t>
  </si>
  <si>
    <t xml:space="preserve">ESPELHO, FABRICACAO PIAL OU SIMILAR, NA(S) ESPECIFICACAO(OES):- 4" X 4", PARA 2 INTERRUPTOR BIPOLAR</t>
  </si>
  <si>
    <t xml:space="preserve">- CEGO REDONDO 4", REF. 8540</t>
  </si>
  <si>
    <t xml:space="preserve">- COM 1 FURO  (4" X 2") REF. 8508</t>
  </si>
  <si>
    <t xml:space="preserve">- PARA 2 TOMADAS (4" X 4"), REF. 8555</t>
  </si>
  <si>
    <t xml:space="preserve">*  FIOS E CABOS DE COBRE</t>
  </si>
  <si>
    <t xml:space="preserve">FIO DE COBRE, ISOLAMENTO PARA 750 V, TIPO PIRASTIC ANTIFLAN DA PIRELLI OU SIMILAR, NA(S) BITOLA(S):- 2,5 MM2</t>
  </si>
  <si>
    <t xml:space="preserve">- 4,0 MM2</t>
  </si>
  <si>
    <t xml:space="preserve">- 6,0 MM2</t>
  </si>
  <si>
    <t xml:space="preserve">- 10,0 MM2</t>
  </si>
  <si>
    <t xml:space="preserve">SINAPI - 91926 - CABO DE COBRE FLEXIVEL ISOLADO, 2,5 MM2, ANTI-CHAMA 450/750 V, PARA CIRCUITOS TERMINAIS - FORNECIMENTO E INSTALACAO. AF_03/2023</t>
  </si>
  <si>
    <t xml:space="preserve">SINAPI - 91928 - CABO DE COBRE FLEXIVEL ISOLADO, 4 MM2, ANTI-CHAMA 450/750 V, PARA CIRCUITOS TERMINAIS - FORNECIMENTO E INSTALACAO. AF_03/2023</t>
  </si>
  <si>
    <t xml:space="preserve">SINAPI - 91930 - CABO DE COBRE FLEXIVEL ISOLADO, 6 MM2, ANTI-CHAMA 450/750 V, PARA CIRCUITOS TERMINAIS - FORNECIMENTO E INSTALACAO. AF_03/2023</t>
  </si>
  <si>
    <t xml:space="preserve">SINAPI - 91932 - CABO DE COBRE FLEXIVEL ISOLADO, 10 MM2, ANTI-CHAMA 450/750 V, PARA CIRCUITOS TERMINAIS - FORNECIMENTO E INSTALACAO. AF_03/2023</t>
  </si>
  <si>
    <t xml:space="preserve">SINAPI - 91934 - CABO DE COBRE FLEXIVEL ISOLADO, 16 MM2, ANTI-CHAMA 450/750 V, PARA CIRCUITOS TERMINAIS - FORNECIMENTO E INSTALACAO. AF_03/2023</t>
  </si>
  <si>
    <t xml:space="preserve">CABO DE COBRE FLEX. ISOLADO, 2,5 MM2, ANTICHAMA 450/750 V, ISOLACAO EM DUPLA CAMADA DE COMPOSTO TERMOPLASTICO LIVRE DE HALOGENIO, BAIXA EMISSAO DE FUMACA, AFUMEX, CORTOX, CORFITOX OU SIMILAR CONF. NBR 5410/13570, P/ CIRCUITOS TERMINAIS-FORN. INST.</t>
  </si>
  <si>
    <t xml:space="preserve">CABO DE COBRE FLEX. ISOLADO, 4,0 MM2, ANTICHAMA 450/750 V, ISOLACAO EM DUPLA CAMADA DE COMPOSTO TERMOPLASTICO LIVRE DE HALOGENIO, BAIXA EMISSAO DE FUMACA, AFUMEX, CORTOX, CORFITOX OU SIMILAR CONF. NBR 5410/13570, P/ CIRCUITOS TERMINAIS-FORN. INST.</t>
  </si>
  <si>
    <t xml:space="preserve">CABO DE COBRE FLEX. ISOLADO, 6,0 MM2, ANTICHAMA 450/750 V, ISOLACAO EM DUPLA CAMADA DE COMPOSTO TERMOPLASTICO LIVRE DE HALOGENIO, BAIXA EMISSAO DE FUMACA AFUMEX, CORTOX, CORFITOX OU SIMILAR CONF. NBR 5410/13570, P/ CIRCUITOS TERMINAIS-FORN. INST.</t>
  </si>
  <si>
    <t xml:space="preserve">CABO DE COBRE FLEX. ISOLADO, 10,0 MM2, ANTICHAMA 450/750 V, ISOLACAO EM DUPLA CAMADA DE COMPOSTO TERMOPLASTICO LIVRE DE HALOGENIO, BAIXA EMISSAO DE FUMACA, AFUMEX, CORTOX, CORFITOX OU SIMILAR CONF. NBR 5410/13570, P/ CIRCUITOS TERMINAIS-FORN.INST.</t>
  </si>
  <si>
    <t xml:space="preserve">CABO DE COBRE FLEX. ISOLADO, 16,0 MM2, ANTICHAMA 450/750 V, ISOLACAO EM DUPLA CAMADA DE COMPOSTO TERMOPLASTICO LIVRE DE HALOGENIO, BAIXA EMISSAO DE FUMACA, AFUMEX, CORTOX, CORFITOX OU SIMILAR CONF. NBR 5410/13570, P/ CIRCUITOS TERMINAIS-FORN.INST.</t>
  </si>
  <si>
    <t xml:space="preserve">CABO DE COBRE FLEX. ISOLADO, 3 CONDUTORES DE 6,0 MM2, ANTICHAMA 0,6/1 KV, ISOLACAO EM DUPLA CAMADA DE BORRACHA HEPR, LIVRE DE HALOGENIO, BAIXA EMISSAO DE FUMACA, AFUMEX, CORTOX, CORFITOX OU SIMILAR CONF. NBR 5410/13570, P/ DISTRIBUICAO -FORN.INST.</t>
  </si>
  <si>
    <t xml:space="preserve">CABO DE COBRE FLEX. ISOLADO, 3 CONDUTORES DE 10,0 MM2, ANTICHAMA 0,6/1 KV, ISOLACAO EM DUPLA CAMADA DE BORRACHA HEPR, LIVRE DE HALOGENIO, BAIXA EMISSAO DE FUMACA, AFUMEX, CORTOX, CORFITOX OU SIMILAR CONF. NBR 5410/13570,P/ DISTRIBUICAO -FORN.INST.</t>
  </si>
  <si>
    <t xml:space="preserve">CABO DE COBRE FLEX. ISOLADO, 3 CONDUTORES DE 16,0 MM2, ANTICHAMA 0,6/1 KV, ISOLACAO EM DUPLA CAMADA DE BORRACHA HEPR, LIVRE DE HALOGENIO, BAIXA EMISSAO DE FUMACA, AFUMEX, CORTOX, CORFITOX OU SIMILAR CONF. NBR 5410/13570,P/ DISTRIBUICAO -FORN. INST.</t>
  </si>
  <si>
    <t xml:space="preserve">CABO DE COBRE FLEX. ISOLADO, 3 CONDUTORES DE 25,0 MM2, ANTICHAMA 0,6/1 KV, ISOLACAO EM DUPLA CAMADA DE BORRACHA HEPR, LIVRE DE HALOGENIO, BAIXA EMISSAO DE FUMACA, AFUMEX, CORTOX, CORFITOX OU SIMILAR CONF. NBR 5410/13570,P/ DISTRIBUICAO -FORN.INST.</t>
  </si>
  <si>
    <t xml:space="preserve">CABO DE COBRE FLEX. ISOLADO, 3 CONDUTORES DE 35,0 MM2, ANTICHAMA 0,6/1 KV, ISOLACAO EM DUPLA CAMADA DE BORRACHA HEPR, LIVRE DE HALOGENIO, BAIXA EMISSAO DE FUMACA, AFUMEX, CORTOX, CORFITOX OU SIMILAR CONF. NBR 5410/13570,P/ DISTRIBUICAO -FORN.INST.</t>
  </si>
  <si>
    <t xml:space="preserve">CABO DE COBRE FLEX. ISOLADO, 3 CONDUTORES DE 50,0 MM2, ANTICHAMA 0,6/1 KV, ISOLACAO EM DUPLA CAMADA DE BORRACHA HEPR, LIVRE DE HALOGENIO, BAIXA EMISSAO DE FUMACA, AFUMEX, CORTOX, CORFITOX OU SIMILAR CONF. NBR 5410/13570,P/ DISTRIBUICAO -FORN.INST.</t>
  </si>
  <si>
    <t xml:space="preserve">CABO DE COBRE FLEX. ISOLADO, 3 CONDUTORES DE 70,0 MM2, ANTICHAMA 0,6/1 KV, ISOLACAO EM DUPLA CAMADA DE BORRACHA HEPR, LIVRE DE HALOGENIO, BAIXA EMISSAO DE FUMACA, AFUMEX, CORTOX, CORFITOX OU SIMILAR CONF. NBR 5410/13570,P/ DISTRIBUICAO -FORN.INST.</t>
  </si>
  <si>
    <t xml:space="preserve">CABO DE COBRE FLEX. ISOLADO, 3 CONDUTORES DE 95,0 MM2, ANTICHAMA 0,6/1 KV, ISOLACAO EM DUPLA CAMADA DE BORRACHA HEPR, LIVRE DE HALOGENIO, BAIXA EMISSAO DE FUMACA, AFUMEX, CORTOX, CORFITOX OU SIMILAR CONF. NBR 5410/13570,P/ DISTRIBUICAO -FORN.INST.</t>
  </si>
  <si>
    <t xml:space="preserve">FIO/CORDAO EM COBRE ISOLADO PARALELO OU TORCIDO 2 X 1,5 MM2, TIPO PLASTIFLEX, PIRELLI OU SIMILAR</t>
  </si>
  <si>
    <t xml:space="preserve">CABO CORDPLAST , 750V, NA(S) BITOLA(S):- 3 # 1,5 MM2</t>
  </si>
  <si>
    <t xml:space="preserve">- 3 # 2,5 MM2</t>
  </si>
  <si>
    <t xml:space="preserve">- 3 # 4,0 MM2</t>
  </si>
  <si>
    <t xml:space="preserve">SINAPI - 91929 - CABO DE COBRE FLEXIVEL ISOLADO, 4 MM2, ANTI-CHAMA 0,6/1,0 KV, PARA CIRCUITOS TERMINAIS - FORNECIMENTO E INSTALACAO. AF_03/2023</t>
  </si>
  <si>
    <t xml:space="preserve">SINAPI - 91931 - CABO DE COBRE FLEXIVEL ISOLADO, 6 MM2, ANTI-CHAMA 0,6/1,0 KV, PARA CIRCUITOS TERMINAIS - FORNECIMENTO E INSTALACAO. AF_03/2023</t>
  </si>
  <si>
    <t xml:space="preserve">SINAPI - 91933 - CABO DE COBRE FLEXIVEL ISOLADO, 10 MM2, ANTI-CHAMA 0,6/1,0 KV, PARA CIRCUITOS TERMINAIS - FORNECIMENTO E INSTALACAO. AF_03/2023</t>
  </si>
  <si>
    <t xml:space="preserve">SINAPI - 92980 - CABO DE COBRE FLEXIVEL ISOLADO, 10 MM2, ANTI-CHAMA 0,6/1,0 KV, PARA DISTRIBUICAO - FORNECIMENTO E INSTALACAO. AF_10/2020</t>
  </si>
  <si>
    <t xml:space="preserve">SINAPI - 91935 - CABO DE COBRE FLEXIVEL ISOLADO, 16 MM2, ANTI-CHAMA 0,6/1,0 KV, PARA CIRCUITOS TERMINAIS - FORNECIMENTO E INSTALACAO. AF_03/2023</t>
  </si>
  <si>
    <t xml:space="preserve">SINAPI - 92982 - CABO DE COBRE FLEXIVEL ISOLADO, 16 MM2, ANTI-CHAMA 0,6/1,0 KV, PARA DISTRIBUICAO - FORNECIMENTO E INSTALACAO. AF_10/2020</t>
  </si>
  <si>
    <t xml:space="preserve">SINAPI - 92984 - CABO DE COBRE FLEXIVEL ISOLADO, 25 MM2, ANTI-CHAMA 0,6/1,0 KV, PARA REDE ENTERRADA DE DISTRIBUICAO DE ENERGIA ELETRICA - FORNECIMENTO E INSTALACAO. AF_12/2021</t>
  </si>
  <si>
    <t xml:space="preserve">SINAPI - 92986 - CABO DE COBRE FLEXIVEL ISOLADO, 35 MM2, ANTI-CHAMA 0,6/1,0 KV, PARA REDE ENTERRADA DE DISTRIBUICAO DE ENERGIA ELETRICA - FORNECIMENTO E INSTALACAO. AF_12/2021</t>
  </si>
  <si>
    <t xml:space="preserve">SINAPI - 92988 - CABO DE COBRE FLEXIVEL ISOLADO, 50 MM2, ANTI-CHAMA 0,6/1,0 KV, PARA REDE ENTERRADA DE DISTRIBUICAO DE ENERGIA ELETRICA - FORNECIMENTO E INSTALACAO. AF_12/2021</t>
  </si>
  <si>
    <t xml:space="preserve">SINAPI - 92990 - CABO DE COBRE FLEXIVEL ISOLADO, 70 MM2, ANTI-CHAMA 0,6/1,0 KV, PARA REDE ENTERRADA DE DISTRIBUICAO DE ENERGIA ELETRICA - FORNECIMENTO E INSTALACAO. AF_12/2021</t>
  </si>
  <si>
    <t xml:space="preserve">SINAPI - 92992 - CABO DE COBRE FLEXIVEL ISOLADO, 95 MM2, ANTI-CHAMA 0,6/1,0 KV, PARA REDE ENTERRADA DE DISTRIBUICAO DE ENERGIA ELETRICA - FORNECIMENTO E INSTALACAO. AF_12/2021</t>
  </si>
  <si>
    <t xml:space="preserve">SINAPI - 92994 - CABO DE COBRE FLEXIVEL ISOLADO, 120 MM2, ANTI-CHAMA 0,6/1,0 KV, PARA REDE ENTERRADA DE DISTRIBUICAO DE ENERGIA ELETRICA - FORNECIMENTO E INSTALACAO. AF_12/2021</t>
  </si>
  <si>
    <t xml:space="preserve">SINAPI - 92996 - CABO DE COBRE FLEXIVEL ISOLADO, 150 MM2, ANTI-CHAMA 0,6/1,0 KV, PARA REDE ENTERRADA DE DISTRIBUICAO DE ENERGIA ELETRICA - FORNECIMENTO E INSTALACAO. AF_12/2021</t>
  </si>
  <si>
    <t xml:space="preserve">SINAPI - 92998 - CABO DE COBRE FLEXIVEL ISOLADO, 185 MM2, ANTI-CHAMA 0,6/1,0 KV, PARA REDE ENTERRADA DE DISTRIBUICAO DE ENERGIA ELETRICA - FORNECIMENTO E INSTALACAO. AF_12/2021</t>
  </si>
  <si>
    <t xml:space="preserve">SINAPI - 93000 - CABO DE COBRE FLEXIVEL ISOLADO, 240 MM2, ANTI-CHAMA 0,6/1,0 KV, PARA REDE ENTERRADA DE DISTRIBUICAO DE ENERGIA ELETRICA - FORNECIMENTO E INSTALACAO. AF_12/2021</t>
  </si>
  <si>
    <t xml:space="preserve">CABO DE COBRE, ISOLADO PARA 15.000 V (15 KV), TIPO EPROTENAX, FABRICACAO PIRELLI OU SIMILAR, NA(S) BITOLA(S):- 25,0 MM2</t>
  </si>
  <si>
    <t xml:space="preserve">CABO DE COBRE UNIPOLAR 35 MM2, BLINDADO, ISOLACAO 1220 KV EPR, COBERTURA EM PVC - FORNECIMENTO E INSTALACAO</t>
  </si>
  <si>
    <t xml:space="preserve">SINAPI - 98288 - CABO TELEFONICO CCI-50 2 PARES, SEM BLINDAGEM, INSTALADO EM DISTRIBUICAO DE EDIFICACAO INSTITUCIONAL - FORNECIMENTO E INSTALACAO. AF_11/2019</t>
  </si>
  <si>
    <t xml:space="preserve">CABO DE COBRE NU 150MM2, NAO ENTERRADA COM ISOLADOR - FORNECIMENTO E INSTALACAO</t>
  </si>
  <si>
    <t xml:space="preserve">CABO DE COBRE NU 185MM2, NAO ENTERRADA COM ISOLADOR - FORNECIMENTO E INSTALACAO</t>
  </si>
  <si>
    <t xml:space="preserve">CABO DE COBRE NU 6 MM2, NAO ENTERRADA COM ISOLADOR - FORNECIMENTO E INSTALACAO</t>
  </si>
  <si>
    <t xml:space="preserve">CABO DE COBRE NU 10 MM2, NAO ENTERRADA COM ISOLADOR - FORNECIMENTO E INSTALACAO</t>
  </si>
  <si>
    <t xml:space="preserve">CORDOALHA DE COBRE NU 16 MM2, NAO ENTERRADA, COM ISOLADOR - FORNECIMENTO E INSTALACAO</t>
  </si>
  <si>
    <t xml:space="preserve">CORDOALHA DE COBRE NU 25 MM2, NAO ENTERRADA, COM ISOLADOR - FORNECIMENTO E INSTALACAO</t>
  </si>
  <si>
    <t xml:space="preserve">SINAPI - 96973 - CORDOALHA DE COBRE NU 35 MM2, NAO ENTERRADA, COM ISOLADOR - FORNECIMENTO E INSTALACAO. AF_08/2023</t>
  </si>
  <si>
    <t xml:space="preserve">SINAPI - 96974 - CORDOALHA DE COBRE NU 50 MM2, NAO ENTERRADA, COM ISOLADOR - FORNECIMENTO E INSTALACAO. AF_08/2023</t>
  </si>
  <si>
    <t xml:space="preserve">SINAPI - 96975 - CORDOALHA DE COBRE NU 70 MM2, NAO ENTERRADA, COM ISOLADOR - FORNECIMENTO E INSTALACAO. AF_08/2023</t>
  </si>
  <si>
    <t xml:space="preserve">SINAPI - 96976 - CORDOALHA DE COBRE NU 95 MM2, NAO ENTERRADA, COM ISOLADOR - FORNECIMENTO E INSTALACAO. AF_08/2023</t>
  </si>
  <si>
    <t xml:space="preserve">CABO DE COBRE NU 120 MM2 - FORNECIMENTO E INSTALACAO</t>
  </si>
  <si>
    <t xml:space="preserve">SINAPI - 96977 - CORDOALHA DE COBRE NU 50 MM2, ENTERRADA - FORNECIMENTO E INSTALACAO. AF_08/2023</t>
  </si>
  <si>
    <t xml:space="preserve">CABO DE COBRE ISOLADO COM EPR/XLPE 1KV (90G) 4MM2 - FORNECIMENTO E INSTALACAO</t>
  </si>
  <si>
    <t xml:space="preserve">CABO DE COBRE ISOLADO COM EPR/XLPE 1KV (90G) 6MM2 - FORNECIMENTO E INSTALACAO</t>
  </si>
  <si>
    <t xml:space="preserve">CABO DE COBRE ISOLADO COM EPR/XLPE 1KV (90G) 10MM2 - FORNECIMENTO E INSTALACAO</t>
  </si>
  <si>
    <t xml:space="preserve">CABO DE COBRE ISOLADO COM EPR/XLPE 1KV (90G) 16MM2 - FORNECIMENTO E INSTALACAO</t>
  </si>
  <si>
    <t xml:space="preserve">CABO DE COBRE ISOLADO COM EPR/XLPE 1KV (90G) 25MM2 - FORNECIMENTO E INSTALACAO</t>
  </si>
  <si>
    <t xml:space="preserve">CABO DE COBRE ISOLADO COM EPR/XLPE 1KV (90G) 35MM2 - FORNECIMENTO E INSTALACAO</t>
  </si>
  <si>
    <t xml:space="preserve">CABO DE COBRE ISOLADO COM EPR/XLPE 1KV (90G) 50MM2 - FORNECIMENTO E INSTALACAO</t>
  </si>
  <si>
    <t xml:space="preserve">CABO DE COBRE ISOLADO COM EPR/XLPE 1KV (90G) 70MM2 - FORNECIMENTO E INSTALACAO</t>
  </si>
  <si>
    <t xml:space="preserve">CABO DE COBRE ISOLADO COM EPR/XLPE 1KV (90G) 95MM2 - FORNECIMENTO E INSTALACAO</t>
  </si>
  <si>
    <t xml:space="preserve">CABO DE COBRE ISOLADO COM EPR/XLPE 1KV (90G) 120MM2 - FORNECIMENTO E INSTALACAO</t>
  </si>
  <si>
    <t xml:space="preserve">CABO DE COBRE ISOLADO COM EPR/XLPE 1KV (90G) 150MM2 - FORNECIMENTO E INSTALACAO</t>
  </si>
  <si>
    <t xml:space="preserve">CABO DE COBRE ISOLADO COM EPR/XLPE 1KV (90G) 185MM2 - FORNECIMENTO E INSTALACAO</t>
  </si>
  <si>
    <t xml:space="preserve">CABO DE COBRE ISOLADO COM EPR/XLPE 1KV (90G) 240MM2 - FORNECIMENTO E INSTALACAO</t>
  </si>
  <si>
    <t xml:space="preserve">CABO DE COBRE ISOLADO COM EPR/XLPE 1KV (90G) 300MM2 - FORNECIMENTO E INSTALACAO</t>
  </si>
  <si>
    <t xml:space="preserve">SINAPI - 98295 - CABO ELETRONICO CATEGORIA 5E, INSTALADO EM EDIFICACAO INSTITUCIONAL - FORNECIMENTO E INSTALACAO. AF_11/2019</t>
  </si>
  <si>
    <t xml:space="preserve">SINAPI - 98297 - CABO ELETRONICO CATEGORIA 6, INSTALADO EM EDIFICACAO INSTITUCIONAL - FORNECIMENTO E INSTALACAO. AF_11/2019</t>
  </si>
  <si>
    <t xml:space="preserve">*  ELETRODUTOS</t>
  </si>
  <si>
    <t xml:space="preserve">ELETRODUTO DE PVC RIGIDO ROSCAVEL DN 25MM (3/4"), INCL CONEXOES, FORNECIMENTO E INSTALACAO</t>
  </si>
  <si>
    <t xml:space="preserve">ELETRODUTO DE PVC RIGIDO ROSCAVEL DN 32MM (1"), INCL CONEXOES, FORNECIMENTO E INSTALACAO</t>
  </si>
  <si>
    <t xml:space="preserve">ELETRODUTO DE PVC RIGIDO ROSCAVEL DN 40MM (1 1/4"), INCL CONEXOES, FORNECIMENTO E INSTALACAO</t>
  </si>
  <si>
    <t xml:space="preserve">ELETRODUTO DE PVC RIGIDO ROSCAVEL DN 50MM (1 1/2"), INCL CONEXOES, FORNECIMENTO E INSTALACAO</t>
  </si>
  <si>
    <t xml:space="preserve">ELETRODUTO DE PVC RIGIDO ROSCAVEL DN 60MM (2"), INCL CONEXOES, FORNECIMENTO E INSTALACAO</t>
  </si>
  <si>
    <t xml:space="preserve">ELETRODUTO DE PVC RIGIDO ROSCAVEL DN 75MM (2 1/2"), INCL CONEXOES, FORNECIMENTO E INSTALACAO</t>
  </si>
  <si>
    <t xml:space="preserve">ELETRODUTO DE PVC RIGIDO ROSCAVEL DN 85MM (3"), INCL CONEXOES, FORNECIMENTO E ISNTALACAO</t>
  </si>
  <si>
    <t xml:space="preserve">ELETRODUTO DE PVC RIGIDO ROSCAVEL DN 110MM (4"), INCL CONEXOES, FORNECIMENTO E INSTALACAO</t>
  </si>
  <si>
    <t xml:space="preserve">ELETRODUTO FLEXIVEL CORRUGADO REFORCADO, COR LARANJA, PVC, DN 20 MM (1/2"), PARA CIRCUITOS TERMINAIS - FORNECIMENTO E INSTALACAO</t>
  </si>
  <si>
    <t xml:space="preserve">ELETRODUTO FLEXIVEL CORRUGADO REFORCADO, COR LARANJA, PVC, DN 25 MM (3/4"), PARA CIRCUITOS TERMINAIS - FORNECIMENTO E INSTALACAO</t>
  </si>
  <si>
    <t xml:space="preserve">ELETRODUTO FLEXIVEL CORRUGADO REFORCADO, COR LARANJA, PVC, DN 32 MM (1"), PARA CIRCUITOS TERMINAIS - FORNECIMENTO E INSTALACAO</t>
  </si>
  <si>
    <t xml:space="preserve">ELETRODUTO FLEXIVEL CORRUGADO, PEAD, DN 40 MM (1 1/4"), PARA CIRCUITOS TERMINAIS - FORNECIMENTO E INSTALACAO</t>
  </si>
  <si>
    <t xml:space="preserve">SINAPI - 97667 - ELETRODUTO FLEXIVEL CORRUGADO, PEAD, DN 50 (1 1/2"), PARA REDE ENTERRADA DE DISTRIBUICAO DE ENERGIA ELETRICA - FORNECIMENTO E INSTALACAO. AF_12/2021</t>
  </si>
  <si>
    <t xml:space="preserve">SINAPI - 97668 - ELETRODUTO FLEXIVEL CORRUGADO, PEAD, DN 63 (2"), PARA REDE ENTERRADA DE DISTRIBUICAO DE ENERGIA ELETRICA - FORNECIMENTO E INSTALACAO. AF_12/2021</t>
  </si>
  <si>
    <t xml:space="preserve">SINAPI - 97669 - ELETRODUTO FLEXIVEL CORRUGADO, PEAD, DN 90 (3"), PARA REDE ENTERRADA DE DISTRIBUICAO DE ENERGIA ELETRICA - FORNECIMENTO E INSTALACAO. AF_12/2021</t>
  </si>
  <si>
    <t xml:space="preserve">ELETRODUTO DE ACO GALVANIZADO, CLASSE LEVE, DN 20 MM (3/4), APARENTE, INSTALADO EM PAREDE - FORNECIMENTO E INSTALACAO</t>
  </si>
  <si>
    <t xml:space="preserve">ELETRODUTO DE ACO GALVANIZADO, CLASSE LEVE, DN 25 MM (1), APARENTE, INSTALADO EM PAREDE - FORNECIMENTO E INSTALACAO</t>
  </si>
  <si>
    <t xml:space="preserve">ELETRODUTO DE ACO GALVANIZADO, CLASSE MEDIO, DN 40 MM (1 1/2), APARENTE, INSTALADO EM PAREDE - FORNECIMENTO E INSTALACAO</t>
  </si>
  <si>
    <t xml:space="preserve">ELETRODUTO EM ACO GALVANIZADO PRE-ZINCADO, SEMI-PESADO, DIAMETRO 2", PAREDE DE 0,90 MM - FORNECIMENTO E INSTALACAO</t>
  </si>
  <si>
    <t xml:space="preserve">ELETRODUTO EM ACO GALVANIZADO PRE-ZINCADO, SEMI PESADO, DIAMETRO 2 1/2", PAREDE DE 1,20 MM - FORNECIMENTO E INSTALACAO</t>
  </si>
  <si>
    <t xml:space="preserve">ELETRODUTO EM ACO GALVANIZADO PRE-ZINCADO, SEMI PESADO, DIAMETRO 3", PAREDE DE 1,50 MM - FORNECIMENTO E INSTALACAO</t>
  </si>
  <si>
    <t xml:space="preserve">ELETRODUTO EM ACO GALVANIZADO PRE-ZINCADO, SEMI-PESADO, DIAMETRO 4", PAREDE DE 3,75 MM - FORNECIMENTO E INSTALACAO</t>
  </si>
  <si>
    <t xml:space="preserve">ESCAVACAO (MANUAL) DE VALAS, PARA ASSENTAMENTO DE ELETRODUTOS, COM DIAMETROS ATE 4"</t>
  </si>
  <si>
    <t xml:space="preserve">REATERRO (MANUAL) DE VALAS</t>
  </si>
  <si>
    <t xml:space="preserve">BUCHA E ARRUELA ALUMINIO FUNDIDO P/ ELETRODUTO 20MM (3/4") - FORNECIMENTO E INSTALACAO</t>
  </si>
  <si>
    <t xml:space="preserve">BUCHA E ARRUELA ALUMINIO FUNDIDO P/ ELETRODUTO 25MM (1") - FORNECIMENTO E INSTALACAO</t>
  </si>
  <si>
    <t xml:space="preserve">BUCHA E ARRUELA ALUMINIO FUNDIDO P/ ELETRODUTO 32MM (1.1/4") - FORNECIMENTO E INSTALACAO</t>
  </si>
  <si>
    <t xml:space="preserve">BUCHA E ARRUELA ALUMINIO FUNDIDO P/ ELETRODUTO 40MM (1.1/2") - FORNECIMENTO E INSTALACAO</t>
  </si>
  <si>
    <t xml:space="preserve">BUCHA E ARRUELA ALUMINIO FUNDIDO P/ ELETRODUTO 50MM (2") - FORNECIMENTO E INSTALACAO</t>
  </si>
  <si>
    <t xml:space="preserve">BUCHA E ARRUELA ALUMINIO FUNDIDO P/ ELETRODUTO 60MM (2.1/2") - FORNECIMENTO E INSTALACAO</t>
  </si>
  <si>
    <t xml:space="preserve">BUCHA E ARRUELA ALUMINIO FUNDIDO P/ ELETRODUTO 75MM (3") - FORNECIMENTO E INSTALACAO</t>
  </si>
  <si>
    <t xml:space="preserve">BUCHA E ARRUELA ALUMINIO FUNDIDO P/ ELETRODUTO 100MM (4") - FORNECIMENTO E INSTALACAO</t>
  </si>
  <si>
    <t xml:space="preserve">ELETROCALHA PERFURADA 50X50MM, EM CHAPA DE ACO GALVANIZADA CH. 24, SEM TAMPA, INCLUSIVE CONEXOES</t>
  </si>
  <si>
    <t xml:space="preserve">ELETROCALHA PERFURADA 100X50MM, EM CHAPA DE ACO GALVANIZADA CH. 24, SEM TAMPA, INCLUSIVE CONEXOES</t>
  </si>
  <si>
    <t xml:space="preserve">ELETROCALHA PERFURADA 100X100MM, EM CHAPA DE ACO GALVANIZADA CH. 24, SEM TAMPA, INCLUSIVE CONEXOES</t>
  </si>
  <si>
    <t xml:space="preserve">ELETROCALHA PERFURADA 100X200MM, EM CHAPA DE ACO GALVANIZADA CH. 24, SEM TAMPA, INCLUSIVE CONEXOES</t>
  </si>
  <si>
    <t xml:space="preserve">*  QUADROS, DISJUNTORES E CAIXAS</t>
  </si>
  <si>
    <t xml:space="preserve">SINAPI - 101877 - QUADRO DE DISTRIBUICAO DE ENERGIA EM PVC, DE EMBUTIR, SEM BARRAMENTO, PARA 3 DISJUNTORES - FORNECIMENTO E INSTALACAO. AF_10/2020</t>
  </si>
  <si>
    <t xml:space="preserve">QUADRO DE DISTRIBUICAO DE ENERGIA DE EMBUTIR, BARRAMENTO TRIFASICO DE 100A, CAPACIDADE PARA 12 MODULOS DIN DA CEMAR OU SIMILAR - FORNECIMENTO E INSTALACAO</t>
  </si>
  <si>
    <t xml:space="preserve">QUADRO DE DISTRIBUICAO DE ENERGIA DE EMBUTIR, BARRAMENTO TRIFASICO DE 100A, CAPACIDADE PARA 24 MODULOS DIN DA CEMAR OU SIMILAR - FORNECIMENTO E INSTALACAO</t>
  </si>
  <si>
    <t xml:space="preserve">QUADRO DE DISTRIBUICAO DE ENERGIA DE EMBUTIR, BARRAMENTO TRIFASICO DE 100A, CAPACIDADE PARA 30 MODULOS DIN DA CEMAR OU SIMILAR - FORNECIMENTO E INSTALACAO</t>
  </si>
  <si>
    <t xml:space="preserve">QUADRO DE DISTRIBUICAO DE ENERGIA DE EMBUTIR, BARRAMENTO TRIFASICO DE 100A, CAPACIDADE PARA 36 MODULOS DIN DA CEMAR OU SIMILAR - FORNECIMENTO E INSTALACAO</t>
  </si>
  <si>
    <t xml:space="preserve">QUADRO DE DISTRIBUICAO DE ENERGIA DE EMBUTIR, BARRAMENTO TRIFASICO DE 100A, CAPACIDADE PARA 48 MODULOS DIN DA CEMAR OU SIMILAR - FORNECIMENTO E INSTALACAO</t>
  </si>
  <si>
    <t xml:space="preserve">QUADRO DE DISTRIBUICAO DE ENERGIA DE EMBUTIR, BARRAMENTO TRIFASICO 150A, CAPACIDADE PARA 16 MODULOS DIN DA CEMAR OU SIMILAR - FORNECIMENTO E INSTALACAO</t>
  </si>
  <si>
    <t xml:space="preserve">QUADRO DE DISTRIBUICAO DE ENERGIA DE EMBUTIR, BARRAMENTO TRIFASICO DE 150A, CAPACIDADE PARA 30 MODULOS DIN DA CEMAR OU SIMILAR - FORNECIMENTO E INSTALACAO</t>
  </si>
  <si>
    <t xml:space="preserve">QUADRO DE DISTRIBUICAO DE ENERGIA DE EMBUTIR, BARRAMENTO TRIFASICO DE 150A, CAPACIDADE PARA 34 MODULOS DIN DA CEMAR OU SIMILAR - FORNECIMENTO E INSTALACAO</t>
  </si>
  <si>
    <t xml:space="preserve">QUADRO DE DISTRIBUICAO DE ENERGIA DE EMBUTIR, BARRAMENTO TRIFASICO DE 150A, CAPACIDADE PARA 42 MODULOS DIN DA CEMAR OU SIMILAR - FORNECIMENTO E INSTALACAO</t>
  </si>
  <si>
    <t xml:space="preserve">QUADRO DE DISTRIBUICAO DE ENERGIA DE EMBUTIR, BARRAMENTO TRIFASICO 225A, CAPACIDADE PARA 70 MODULOS DIN DA CEMAR OU SIMILAR - FORNECIMENTO E INSTALACAO</t>
  </si>
  <si>
    <t xml:space="preserve">QUADRO DE DISTRIBUICAO DE ENERGIA DE EMBUTIR, BARRAMENTO TRIFASICO DE 225A, CAPACIDADE PARA 56 MODULOS DIN DA CEMAR OU SIMILAR - FORNECIMENTO E INSTALACAO</t>
  </si>
  <si>
    <t xml:space="preserve">CAIXA PARA MONTAGEM DE QUADRO CE (40 X 30 X 20)CM, CEMAR OU SIMILAR</t>
  </si>
  <si>
    <t xml:space="preserve">SINAPI - 93654 - DISJUNTOR MONOPOLAR TIPO DIN, CORRENTE NOMINAL DE 16A - FORNECIMENTO E INSTALACAO. AF_10/2020</t>
  </si>
  <si>
    <t xml:space="preserve">SINAPI - 93655 - DISJUNTOR MONOPOLAR TIPO DIN, CORRENTE NOMINAL DE 20A - FORNECIMENTO E INSTALACAO. AF_10/2020</t>
  </si>
  <si>
    <t xml:space="preserve">SINAPI - 93656 - DISJUNTOR MONOPOLAR TIPO DIN, CORRENTE NOMINAL DE 25A - FORNECIMENTO E INSTALACAO. AF_10/2020</t>
  </si>
  <si>
    <t xml:space="preserve">SINAPI - 101890 - DISJUNTOR MONOPOLAR TIPO NEMA, CORRENTE NOMINAL DE 10 ATE 30A - FORNECIMENTO E INSTALACAO. AF_10/2020</t>
  </si>
  <si>
    <t xml:space="preserve">SINAPI - 93661 - DISJUNTOR BIPOLAR TIPO DIN, CORRENTE NOMINAL DE 16A - FORNECIMENTO E INSTALACAO. AF_10/2020</t>
  </si>
  <si>
    <t xml:space="preserve">SINAPI - 93662 - DISJUNTOR BIPOLAR TIPO DIN, CORRENTE NOMINAL DE 20A - FORNECIMENTO E INSTALACAO. AF_10/2020</t>
  </si>
  <si>
    <t xml:space="preserve">SINAPI - 93663 - DISJUNTOR BIPOLAR TIPO DIN, CORRENTE NOMINAL DE 25A - FORNECIMENTO E INSTALACAO. AF_10/2020</t>
  </si>
  <si>
    <t xml:space="preserve">SINAPI - 93664 - DISJUNTOR BIPOLAR TIPO DIN, CORRENTE NOMINAL DE 32A - FORNECIMENTO E INSTALACAO. AF_10/2020</t>
  </si>
  <si>
    <t xml:space="preserve">SINAPI - 101892 - DISJUNTOR BIPOLAR TIPO NEMA, CORRENTE NOMINAL DE 10 ATE 50A - FORNECIMENTO E INSTALACAO. AF_10/2020</t>
  </si>
  <si>
    <t xml:space="preserve">DISJUNTOR TIPO NEMA, BIPOLAR 60 ATE 100A, TENSAO MAXIMA 415 V - FORNECIMENTO E INSTALACAO</t>
  </si>
  <si>
    <t xml:space="preserve">SINAPI - 93672 - DISJUNTOR TRIPOLAR TIPO DIN, CORRENTE NOMINAL DE 40A - FORNECIMENTO E INSTALACAO. AF_10/2020</t>
  </si>
  <si>
    <t xml:space="preserve">SINAPI - 93668 - DISJUNTOR TRIPOLAR TIPO DIN, CORRENTE NOMINAL DE 16A - FORNECIMENTO E INSTALACAO. AF_10/2020</t>
  </si>
  <si>
    <t xml:space="preserve">SINAPI - 93669 - DISJUNTOR TRIPOLAR TIPO DIN, CORRENTE NOMINAL DE 20A - FORNECIMENTO E INSTALACAO. AF_10/2020</t>
  </si>
  <si>
    <t xml:space="preserve">SINAPI - 93670 - DISJUNTOR TRIPOLAR TIPO DIN, CORRENTE NOMINAL DE 25A - FORNECIMENTO E INSTALACAO. AF_10/2020</t>
  </si>
  <si>
    <t xml:space="preserve">SINAPI - 93673 - DISJUNTOR TRIPOLAR TIPO DIN, CORRENTE NOMINAL DE 50A - FORNECIMENTO E INSTALACAO. AF_10/2020</t>
  </si>
  <si>
    <t xml:space="preserve">DISJUNTOR NORMA DIN CURVA C 3P (TRIPOLAR) DE 70A STECK, SIEMENS OU SIMILAR</t>
  </si>
  <si>
    <t xml:space="preserve">DISJUNTOR NORMA DIN CURVA C 3P (TRIPOLAR) DE 80A A 100A STECK, SIEMENS OU SIMILAR</t>
  </si>
  <si>
    <t xml:space="preserve">SINAPI - 101893 - DISJUNTOR TRIPOLAR TIPO NEMA, CORRENTE NOMINAL DE 10 ATE 50A - FORNECIMENTO E INSTALACAO. AF_10/2020</t>
  </si>
  <si>
    <t xml:space="preserve">SINAPI - 101894 - DISJUNTOR TRIPOLAR TIPO NEMA, CORRENTE NOMINAL DE 60 ATE 100A - FORNECIMENTO E INSTALACAO. AF_10/2020</t>
  </si>
  <si>
    <t xml:space="preserve">SINAPI - 101895 - DISJUNTOR TERMOMAGNETICO TRIPOLAR , CORRENTE NOMINAL DE 125A - FORNECIMENTO E INSTALACAO. AF_10/2020</t>
  </si>
  <si>
    <t xml:space="preserve">SINAPI - 101896 - DISJUNTOR TERMOMAGNETICO TRIPOLAR , CORRENTE NOMINAL DE 200A - FORNECIMENTO E INSTALACAO. AF_10/2020</t>
  </si>
  <si>
    <t xml:space="preserve">SINAPI - 101897 - DISJUNTOR TERMOMAGNETICO TRIPOLAR , CORRENTE NOMINAL DE 250A - FORNECIMENTO E INSTALACAO. AF_10/2020</t>
  </si>
  <si>
    <t xml:space="preserve">SINAPI - 101898 - DISJUNTOR TERMOMAGNETICO TRIPOLAR , CORRENTE NOMINAL DE 400A - FORNECIMENTO E INSTALACAO. AF_10/2020</t>
  </si>
  <si>
    <t xml:space="preserve">SINAPI - 101899 - DISJUNTOR TERMOMAGNETICO TRIPOLAR , CORRENTE NOMINAL DE 600A - FORNECIMENTO E INSTALACAO. AF_10/2020</t>
  </si>
  <si>
    <t xml:space="preserve">DISPOSITIVO DPS, CLASSE II, 1 POLO, TENSAO MAXIMA DE 175 V, CORRENTE MAXIMA DE *45* KA (TIPO AC) - FORNECIMENTO E INSTALACAO</t>
  </si>
  <si>
    <t xml:space="preserve">DISPOSITIVO DPS, CLASSE II, 1 POLO, TENSAO MAXIMA DE 275 V, CORRENTE MAXIMA DE *20* KA (TIPO AC) - FORNECIMENTO E INSTALACAO</t>
  </si>
  <si>
    <t xml:space="preserve">DISPOSITIVO DPS, CLASSE II, 1 POLO, TENSAO MAXIMA DE 275 V, CORRENTE MAXIMA DE *45* KA (TIPO AC) - FORNECIMENTO E INSTALACAO</t>
  </si>
  <si>
    <t xml:space="preserve">DISPOSITIVO DR, 2 POLOS, SENSIBILIDADE DE 30 MA, CORRENTE DE 25 A, TIPO AC - FORNECIMENTO E INSTALACAO</t>
  </si>
  <si>
    <t xml:space="preserve">DISPOSITIVO DR, 2 POLOS, SENSIBILIDADE DE 30 MA, CORRENTE DE 40 A, TIPO AC - FORNECIMENTO E INSTALACAO</t>
  </si>
  <si>
    <t xml:space="preserve">DISPOSITIVO DR, 4 POLOS, SENSIBILIDADE DE 30MA, CORRENTE DE 25 A, TIPO AC - FORNECIMENTO E INSTALACAO</t>
  </si>
  <si>
    <t xml:space="preserve">DISPOSITIVO DR, 4 POLOS, SENSIBILIDADE DE 30MA, CORRENTE DE 40 A, TIPO AC - FORNECIMENTO E INSTALACAO</t>
  </si>
  <si>
    <t xml:space="preserve">DISPOSITIVO DR, 4 POLOS, SENSIBILIDADE DE 30MA, CORRENTE DE 63 A, TIPO AC - FORNECIMENTO E INSTALACAO</t>
  </si>
  <si>
    <t xml:space="preserve">DISPOSITIVO DR, 4 POLOS, SENSIBILIDADE DE 30MA, CORRENTE DE 80 A, TIPO AC - FORNECIMENTO E INSTALACAO</t>
  </si>
  <si>
    <t xml:space="preserve">DISPOSITIVO DR, 4 POLOS, SENSIBILIDADE DE 30MA, CORRENTE DE 100 A, TIPO AC - FORNECIMENTO E INSTALACAO</t>
  </si>
  <si>
    <t xml:space="preserve">CONTATOR TRIPOLAR, CORRENTE DE 25 A, TENSAO NOMINAL DE 500 V - FORNECIMENTO E INSTALACAO</t>
  </si>
  <si>
    <t xml:space="preserve">CONTATOR TRIPOLAR, CORRENTE DE 32 A, TENSAO NOMINAL DE 500 V - FORNECIMENTO E INSTALACAO</t>
  </si>
  <si>
    <t xml:space="preserve">INTERRUPTOR DE TECLA TRIPOLAR DE 30A CS-101 - SEM CAIXA (BOTOEIRA BLINDADA), TIPO LIGA-DESLIGA DA MARGIRUS</t>
  </si>
  <si>
    <t xml:space="preserve">CHAVE DE ALAVANCA METALICA TRIPOLAR, REF. 14323, DA MARGIRUS OU SIMILAR</t>
  </si>
  <si>
    <t xml:space="preserve">CHAVE DE ALAVANCA MONOPOLAR, REF.14123 DA MARGIRUS OU SIMILAR</t>
  </si>
  <si>
    <t xml:space="preserve">CHAVE DE ALAVANCA METALICA INVERSORA (VENTILADOR), REF. 14103 DA MARGIRUS OU SIMILAR</t>
  </si>
  <si>
    <t xml:space="preserve">CHAVE BLINDADA COM ALAVANCA FRONTAL, CONFORME NORMA ABNT-NEMA 1, FABRICACAO BEGHIM OU SIMILAR,  NA(S) ESPECIFICACAO(OES):- 250 A</t>
  </si>
  <si>
    <t xml:space="preserve">- 400 A</t>
  </si>
  <si>
    <t xml:space="preserve">- 600 A</t>
  </si>
  <si>
    <t xml:space="preserve">CAIXA DE PASSAGEM METALICA DE SOBREPOR COM TAMPA PARAFUSADA, DIMENSOES 15 X 15 X 10 CM - FORNECIMENTO E INSTALACAO</t>
  </si>
  <si>
    <t xml:space="preserve">CAIXA DE PASSAGEM METALICA DE SOBREPOR COM TAMPA PARAFUSADA, DIMENSOES 40 X 40 15 CM - FORNECIMENTO E INSTALACAO</t>
  </si>
  <si>
    <t xml:space="preserve">CAIXA DE PASSAGEM METALICA DE SOBREPOR COM TAMPA PARAFUSADA, DIMENSOES 25 X 25 X 10 CM - FORNECIMENTO E INSTALACAO</t>
  </si>
  <si>
    <t xml:space="preserve">CAIXA DE PASSAGEM METALICA DE SOBREPOR COM TAMPA PARAFUSADA, DIMENSOES 35 X 35 X 10 CM - FORNECIMENTO E INSTALACAO</t>
  </si>
  <si>
    <t xml:space="preserve">CAIXA RETANGULAR 4" X 4", PVC, INSTALADA EM PAREDE - FORNECIMENTO E INSTALACAO</t>
  </si>
  <si>
    <t xml:space="preserve">CAIXA RETANGULAR 4" X 2", PVC, INSTALADA EM PAREDE - FORNECIMENTO E INSTALACAO</t>
  </si>
  <si>
    <t xml:space="preserve">SINAPI - 92867 - CAIXA RETANGULAR 4" X 2" ALTA (2,00 M DO PISO), METALICA, INSTALADA EM PAREDE - FORNECIMENTO E INSTALACAO. AF_03/2023</t>
  </si>
  <si>
    <t xml:space="preserve">SINAPI - 92868 - CAIXA RETANGULAR 4" X 2" MEDIA (1,30 M DO PISO), METALICA, INSTALADA EM PAREDE - FORNECIMENTO E INSTALACAO. AF_03/2023</t>
  </si>
  <si>
    <t xml:space="preserve">SINAPI - 92869 - CAIXA RETANGULAR 4" X 2" BAIXA (0,30 M DO PISO), METALICA, INSTALADA EM PAREDE - FORNECIMENTO E INSTALACAO. AF_03/2023</t>
  </si>
  <si>
    <t xml:space="preserve">SINAPI - 92870 - CAIXA RETANGULAR 4" X 4" ALTA (2,00 M DO PISO), METALICA, INSTALADA EM PAREDE - FORNECIMENTO E INSTALACAO. AF_03/2023</t>
  </si>
  <si>
    <t xml:space="preserve">SINAPI - 92871 - CAIXA RETANGULAR 4" X 4" MEDIA (1,30 M DO PISO), METALICA, INSTALADA EM PAREDE - FORNECIMENTO E INSTALACAO. AF_03/2023</t>
  </si>
  <si>
    <t xml:space="preserve">SINAPI - 92872 - CAIXA RETANGULAR 4" X 4" BAIXA (0,30 M DO PISO), METALICA, INSTALADA EM PAREDE - FORNECIMENTO E INSTALACAO. AF_03/2023</t>
  </si>
  <si>
    <t xml:space="preserve">SINAPI - 92865 - CAIXA OCTOGONAL 4" X 4", METALICA, INSTALADA EM LAJE - FORNECIMENTO E INSTALACAO. AF_03/2023</t>
  </si>
  <si>
    <t xml:space="preserve">SINAPI - 100560 - QUADRO DE DISTRIBUICAO PARA TELEFONE N.2, 20X20X12CM EM CHAPA METALICA, DE EMBUTIR, SEM ACESSORIOS, PADRAO TELEBRAS, FORNECIMENTO E INSTALACAO. AF_11/2019</t>
  </si>
  <si>
    <t xml:space="preserve">SINAPI - 100561 - QUADRO DE DISTRIBUICAO PARA TELEFONE N.3, 40X40X12CM EM CHAPA METALICA, DE EMBUTIR, SEM ACESSORIOS, PADRAO TELEBRAS, FORNECIMENTO E INSTALACAO. AF_11/2019</t>
  </si>
  <si>
    <t xml:space="preserve">SINAPI - 100562 - QUADRO DE DISTRIBUICAO PARA TELEFONE N.4, 60X60X12CM EM CHAPA METALICA, DE EMBUTIR, SEM ACESSORIOS, PADRAO TELEBRAS, FORNECIMENTO E INSTALACAO. AF_11/2019</t>
  </si>
  <si>
    <t xml:space="preserve">SINAPI - 100557 - CAIXA DE PASSAGEM PARA TELEFONE 80X80X15CM (SOBREPOR) FORNECIMENTO E INSTALACAO. AF_11/2019</t>
  </si>
  <si>
    <t xml:space="preserve">SINAPI - 100556 - CAIXA DE PASSAGEM PARA TELEFONE 15X15X10CM (SOBREPOR), FORNECIMENTO E INSTALACAO. AF_11/2019</t>
  </si>
  <si>
    <t xml:space="preserve">CAIXA DE PASSAGEM/ LUZ/ TELEFONIA, DE EMBUTIR, EM CHAPA DE ACO GALVANIZADO, DIMENSOES 200 X 200 X 20 CM (PADRAO CONCESSIONARIA LOCAL)</t>
  </si>
  <si>
    <t xml:space="preserve">SINAPI - 97886 - CAIXA ENTERRADA ELETRICA RETANGULAR, EM ALVENARIA COM TIJOLOS CERAMICOS MACICOS, FUNDO COM BRITA, DIMENSOES INTERNAS: 0,3X0,3X0,3 M. AF_12/2020</t>
  </si>
  <si>
    <t xml:space="preserve">SINAPI - 97887 - CAIXA ENTERRADA ELETRICA RETANGULAR, EM ALVENARIA COM TIJOLOS CERAMICOS MACICOS, FUNDO COM BRITA, DIMENSOES INTERNAS: 0,4X0,4X0,4 M. AF_12/2020</t>
  </si>
  <si>
    <t xml:space="preserve">SINAPI - 97888 - CAIXA ENTERRADA ELETRICA RETANGULAR, EM ALVENARIA COM TIJOLOS CERAMICOS MACICOS, FUNDO COM BRITA, DIMENSOES INTERNAS: 0,6X0,6X0,6 M. AF_12/2020</t>
  </si>
  <si>
    <t xml:space="preserve">SINAPI - 97889 - CAIXA ENTERRADA ELETRICA RETANGULAR, EM ALVENARIA COM TIJOLOS CERAMICOS MACICOS, FUNDO COM BRITA, DIMENSOES INTERNAS: 0,8X0,8X0,6 M. AF_12/2020</t>
  </si>
  <si>
    <t xml:space="preserve">SINAPI - 97890 - CAIXA ENTERRADA ELETRICA RETANGULAR, EM ALVENARIA COM TIJOLOS CERAMICOS MACICOS, FUNDO COM BRITA, DIMENSOES INTERNAS: 1X1X0,6 M. AF_12/2020</t>
  </si>
  <si>
    <t xml:space="preserve">CAIXA ENTERRADA PARA INSTALACOES TELEFONICAS TIPO R1, EM ALVENARIA COM BLOCOS DE CONCRETO, DIMENSOES INTERNAS: 0,35X0,60X0,60 M, INCLUSIVE TAMPAO</t>
  </si>
  <si>
    <t xml:space="preserve">CAIXA ENTERRADA PARA INSTALACOES TELEFONICAS TIPO R2 1,07X0,52X0,50M EM BLOCOS DE CONCRETO ESTRUTURAL, INCLUSIVE TAMPAO</t>
  </si>
  <si>
    <t xml:space="preserve">SINAPI - 95787 - CONDULETE DE ALUMINIO, TIPO LR, PARA ELETRODUTO DE ACO GALVANIZADO DN 20 MM (3/4''), APARENTE - FORNECIMENTO E INSTALACAO. AF_10/2022</t>
  </si>
  <si>
    <t xml:space="preserve">SINAPI - 95789 - CONDULETE DE ALUMINIO, TIPO LR, PARA ELETRODUTO DE ACO GALVANIZADO DN 25 MM (1''), APARENTE - FORNECIMENTO E INSTALACAO. AF_10/2022</t>
  </si>
  <si>
    <t xml:space="preserve">SINAPI - 95801 - CONDULETE DE ALUMINIO, TIPO X, PARA ELETRODUTO DE ACO GALVANIZADO DN 20 MM (3/4''), APARENTE - FORNECIMENTO E INSTALACAO. AF_10/2022</t>
  </si>
  <si>
    <t xml:space="preserve">SINAPI - 95802 - CONDULETE DE ALUMINIO, TIPO X, PARA ELETRODUTO DE ACO GALVANIZADO DN 25 MM (1''), APARENTE - FORNECIMENTO E INSTALACAO. AF_10/2022</t>
  </si>
  <si>
    <t xml:space="preserve">*  SPDA</t>
  </si>
  <si>
    <t xml:space="preserve">CONECTOR METALICO TIPO PARAFUSO FENDIDO (SPLIT BOLT), COM SEPARADOR DE CABOS BIMETALICOS, PARA CABOS ATE 70 MM2 - FORNECIMENTO E INSTALACAO</t>
  </si>
  <si>
    <t xml:space="preserve">ELETRODUTO DE PVC RIGIDO ROSCAVEL DE 1 1/2 " X 3M, SEM LUVA PARA PROTECAO DO CABO DO PARA RAIO - FORNECIMENTO E INSTALACAO</t>
  </si>
  <si>
    <t xml:space="preserve">SINALIZADOR DE TOPO SIMPLES COM RELE FOTOELETRICO, REF. TEL 0590 YT DA TERMOTECNICA OU SIMILAR, INCLUSIVE LAMPADA DE LED 10 W - FORNECIMENTO E INSTALACAO</t>
  </si>
  <si>
    <t xml:space="preserve">SINAPI - 96988 - MASTRO 1 ½", COM 3 METROS, PARA SPDA - FORNECIMENTO E INSTALACAO. AF_08/2023</t>
  </si>
  <si>
    <t xml:space="preserve">CONECTOR REFORCADO, CABO X HASTE EM BRONZE NATURAL PARA CABO DE 16-70MM2, REF.585 DA TERMOTECNICA OU SIMILAR</t>
  </si>
  <si>
    <t xml:space="preserve">HASTE DE ATERRAMENTO, DIAMETRO 5/8", COM 3 METROS, INCLUSO GRAMPO  OLHAL - FORNECIMENTO E INSTALACAO</t>
  </si>
  <si>
    <t xml:space="preserve">SUPORTE ISOLADOR REFORCADO PARA FIXACAO EM CANTO 90o. REF. PRT 218 DA PARATEC OU SIMILAR</t>
  </si>
  <si>
    <t xml:space="preserve">SINAPI - 96989 - CAPTOR TIPO FRANKLIN PARA SPDA - FORNECIMENTO E INSTALACAO. AF_08/2023</t>
  </si>
  <si>
    <t xml:space="preserve">SINAPI - 98463 - SUPORTE ISOLADOR PARA FIXACAO DA CORDOALHA DE COBRE EM ALVENARIA OU CONCRETO - FORNECIMENTO E INSTALACAO. AF_08/2023</t>
  </si>
  <si>
    <t xml:space="preserve">SUPORTE ISOLADOR REFORCADO DIAMETRO NOMINAL DIAMETRO NOMINAL DE 5/16" COM ROSCA SOBERBA E BUCHA</t>
  </si>
  <si>
    <t xml:space="preserve">BRACADEIRA PARA FIXACAO DE MASTRO OU TUBO DE PVC DE 1 1/2", REF. TEL-100 DA TERMOTECNICA OU SIMILAR</t>
  </si>
  <si>
    <t xml:space="preserve">BRACADEIRA COM ROLDANA PARA MASTRO DE 1 1/2", REF. TEL-340 DA TERMOTECNICA OU SIMILAR</t>
  </si>
  <si>
    <t xml:space="preserve">SINAPI - 96987 - BASE METALICA PARA MASTRO 1 ½"  PARA SPDA - FORNECIMENTO E INSTALACAO. AF_08/2023</t>
  </si>
  <si>
    <t xml:space="preserve">CONJUNTO DE ESTAIS COM CORDOALHAS E ESTICADORES, TEL-400 DA TERMOTECNICA OU SIMILAR</t>
  </si>
  <si>
    <t xml:space="preserve">ESTICADOR PARA CABO DE COBRE (70 MM2), CONECTOR TIPO PARAFUSO FENDIDO (SPLIT-BOLT)</t>
  </si>
  <si>
    <t xml:space="preserve">CONEXAO ATRAVES DE SOLDA EXOTERMICA, INCLUSO MOLDE, PALITO IGNITOR E ALICATE - FORNECIMENTO E INSTALACAO</t>
  </si>
  <si>
    <t xml:space="preserve">CAPTOR TIPO TERMINAL AEREO, H = 600MM, EM BARRA CHATA DE ALUMINIO 3/4 X 1/4"</t>
  </si>
  <si>
    <t xml:space="preserve">CAIXA DE INSPECAO EM CONCRETO PARA ATERRAMENTO E PARA-RAIOS DIAMETRO = 300 MM, COM TAMPA DE FERRO FUNDIDO - FORNECIMENTO E INSTALACAO</t>
  </si>
  <si>
    <t xml:space="preserve">BARRA CHATA DE ALUMINIO 7/8 X 1/8", INCLUSIVE ACESSORIOS DE FIXACAO</t>
  </si>
  <si>
    <t xml:space="preserve">PRESILHA ALUMINIO 70/120 MM FURO 8 MM, PARA BARRA CHATA, INCLUSIVE PARAFUSO DE FIXACAO - FORNECIMENTO E INSTALACAO</t>
  </si>
  <si>
    <t xml:space="preserve">*  DIVERSOS</t>
  </si>
  <si>
    <t xml:space="preserve">FITA ISOLANTE 3M OU SIMILAR</t>
  </si>
  <si>
    <t xml:space="preserve">FITA ISOLANTE AUTO FUSAO 3M OU SIMILAR</t>
  </si>
  <si>
    <t xml:space="preserve">ARAME GALVANIZADO No. 14 BWG</t>
  </si>
  <si>
    <t xml:space="preserve">SIRENE MECANICA UNIDIRECIONAL 110DB, 127V - FORNECIMENTO E INSTALACAO</t>
  </si>
  <si>
    <t xml:space="preserve">RELE FOTOELETRICO INTERNO E EXTERNO BIVOLT 1000W, DE CONECTOR, COM BASE - FORNECIMENTO E INSTALACAO</t>
  </si>
  <si>
    <t xml:space="preserve">KIT DE PROTECAO ARSTOP PARA AR CONDICIONADO, TOMADA PADRAO 2P+T 20 A, COM DISJUNTOR UNIPOLAR DIN 20A - FORNECIMENTO E INSTALACAO</t>
  </si>
  <si>
    <t xml:space="preserve">CANALETA (20 X 10 X 2.200)MM, COM TAMPA SEPARADA (REF.30801) SISTEMA X DA PIAL OU SIMILAR</t>
  </si>
  <si>
    <t xml:space="preserve">MATA-JUNTAS, TIPO COTOVELO 90o. (REF.30990) SISTEMA X DA PIAL OU SIMILAR</t>
  </si>
  <si>
    <t xml:space="preserve">CAIXA DE SOBREPOR (75 X 75 X 42)MM REF.89148, SISTEMA X DA PIAL OU SIMILAR</t>
  </si>
  <si>
    <t xml:space="preserve">INTERRUPTOR, SISTEMA X DA PIAL OU SIMILAR, NA(S) ESPECIFICACAO(OES):- 01 TECLA SIMPLES (REF.675000)</t>
  </si>
  <si>
    <t xml:space="preserve">- 02 TECLAS SIMPLES (REF.675020)</t>
  </si>
  <si>
    <t xml:space="preserve">TOMADA SISTEMA X DA PIAL OU SIMILAR, NA(S) ESPECIFICACAO(OES):- 2P+T (10A) REF. 675060</t>
  </si>
  <si>
    <t xml:space="preserve">- PARA TELEFONE RJ-11 REF. 675017</t>
  </si>
  <si>
    <t xml:space="preserve">VENTILADOR DE TETO, TIPO COMERCIAL, COM TRES PAS METALICAS, FABRICACAO VENTI-DELTA OU SIMILAR</t>
  </si>
  <si>
    <t xml:space="preserve">EXAUSTOR DE PAREDE DIAMETRO 30CM</t>
  </si>
  <si>
    <t xml:space="preserve">EXAUSTOR DE PAREDE DIAMETRO 40CM</t>
  </si>
  <si>
    <t xml:space="preserve">RENOVADORES DE AR PARA BANHEIRO COM SENSOR, MOD. VENTOKIT 150, CAPACIDADE DE 150M/H, BIVOLT, KIT COMPLETO, DA WESTAFLEX OU SIMILAR, INCLUSO 3M DE TUBO PLASTICO POLYWEST 150MM</t>
  </si>
  <si>
    <t xml:space="preserve">CONECTOR DE MEDICAO BIMETALICO, EM LIGA DE ALUMINIO COM 2 PARAFUSOS - PARA CABOS DE 16 A 70MM2 (REF. TEL-561) DA TERMOTECNICA OU SIMILAR - FORNECIMENTO E INSTALACAO</t>
  </si>
  <si>
    <t xml:space="preserve">CONECTOR PARAFUSO FENDIDO SPLIT BOLT - PARA CABO ATE 16MM2 - FORNECIMENTO E INSTALACAO</t>
  </si>
  <si>
    <t xml:space="preserve">CONECTOR METALICO TIPO PARAFUSO FENDIDO (SPLIT BOLT), PARA CABO ATE 25MM2 - FORNECIMENTO E INSTALACAO</t>
  </si>
  <si>
    <t xml:space="preserve">CONECTOR METALICO TIPO PARAFUSO FENDIDO (SPLIT BOLT), PARA CABOS ATE 35MM2 - FORNECIMENTO E INSTALACAO</t>
  </si>
  <si>
    <t xml:space="preserve">CONECTOR METALICO TIPO PARAFUSO FENDIDO (SPLIT BOLT), PARA CABOS ATE 50 MM2 - FORNECIMENTO E INSTALACAO</t>
  </si>
  <si>
    <t xml:space="preserve">CONECTOR METALICO TIPO PARAFUSO FENDIDO (SPLIT BOLT), PARA CABOS ATE 70 MM2 - FORNECIMENTO E INSTALACAO</t>
  </si>
  <si>
    <t xml:space="preserve">SINAPI - 90447 - RASGO LINEAR MANUAL EM ALVENARIA, PARA ELETRODUTOS, DIAMETROS MENORES OU IGUAIS A 40 MM. AF_09/2023</t>
  </si>
  <si>
    <t xml:space="preserve">CONJUNTO PINO DE ACO COM FURO E FINCA PINO CURTO PARA CONCRETO - FORNECIMENTO E INSTALACAO</t>
  </si>
  <si>
    <t xml:space="preserve">PINO DE ACO COM FURO, HASTE = 27 MM (ACAO DIRETA) - FORNECIMENTO E INSTALACAO</t>
  </si>
  <si>
    <t xml:space="preserve">PINO DE ACO COM ROSCA 1/4", COMPRIMENTO DA HASTE = 30 MM E ROSCA = 20 MM (ACAO DIRETA) - FORNECIMENTO E INSTALACAO</t>
  </si>
  <si>
    <t xml:space="preserve">TERMINAL OU CONECTOR DE PRESSAO - PARA CABO 10MM2 - FORNECIMENTO E INSTALACAO</t>
  </si>
  <si>
    <t xml:space="preserve">TERMINAL OU CONECTOR DE PRESSAO - PARA CABO 50MM2 - FORNECIMENTO E INSTALACAO</t>
  </si>
  <si>
    <t xml:space="preserve">TERMINAL OU CONECTOR DE PRESSAO - PARA CABO 70MM2 - FORNECIMENTO E INSTALACAO</t>
  </si>
  <si>
    <t xml:space="preserve">TERMINAL OU CONECTOR DE PRESSAO - PARA CABO 185MM2 - FORNECIMENTO E INSTALACAO</t>
  </si>
  <si>
    <t xml:space="preserve">TERMINAL OU CONECTOR DE PRESSAO - PARA CABO 240MM2 - FORNECIMENTO E INSTALACAO</t>
  </si>
  <si>
    <t xml:space="preserve">TERMINAL OU CONECTOR DE PRESSAO - PARA CABO 300MM2 - FORNECIMENTO E INSTALACAO</t>
  </si>
  <si>
    <t xml:space="preserve">QUADRO DE COMANDO (EXCLUSIVE BOMBA) PARA BOMBA DE RECALQUE COM MOTOR DE:- 1 CV</t>
  </si>
  <si>
    <t xml:space="preserve">- 1,5 CV</t>
  </si>
  <si>
    <t xml:space="preserve">- 2 CV</t>
  </si>
  <si>
    <t xml:space="preserve">- 3 CV</t>
  </si>
  <si>
    <t xml:space="preserve">QUADRO DE COMANDO PARA BOMBA DE INCENDIO COM MOTOR DE:- 5 CV</t>
  </si>
  <si>
    <t xml:space="preserve">- 7,5 CV</t>
  </si>
  <si>
    <t xml:space="preserve">- 10 CV</t>
  </si>
  <si>
    <t xml:space="preserve">- 12 CV</t>
  </si>
  <si>
    <t xml:space="preserve">MAO-DE-OBRA PARA INSTALACAO DE:- REATOR DUPLO, PARA LAMPADAS FLUORESCENTES</t>
  </si>
  <si>
    <t xml:space="preserve">- QUADRO DE DISTRIBUICAO ATE 10 DISJUNTORES</t>
  </si>
  <si>
    <t xml:space="preserve">- QUADRO DE DISTRIBUICAO COM 12 A 20 DISJUNTORES</t>
  </si>
  <si>
    <t xml:space="preserve">- QUADRO DE DISTRIBUICAO COM 32 A 42 DISJUNTORES</t>
  </si>
  <si>
    <t xml:space="preserve">- INTERRUPTORES, TOMADAS, CAMPAINHAS, ETC (INCLUSIVE CAIXAS)</t>
  </si>
  <si>
    <t xml:space="preserve">- APARELHOS FLUORESCENTES</t>
  </si>
  <si>
    <t xml:space="preserve">- APARELHOS INCANDESCENTES</t>
  </si>
  <si>
    <t xml:space="preserve">- LUMINARIA INSTALADA EM POSTE</t>
  </si>
  <si>
    <t xml:space="preserve">- FIACAO (2,5 A 6,0)MM2</t>
  </si>
  <si>
    <t xml:space="preserve">- FIACAO (10,0 A 16,0)MM2</t>
  </si>
  <si>
    <t xml:space="preserve">- CABOS (25 A 50)MM2</t>
  </si>
  <si>
    <t xml:space="preserve">- LAMPADAS</t>
  </si>
  <si>
    <t xml:space="preserve">*  SUBSTACAO E ACESSORIOS</t>
  </si>
  <si>
    <t xml:space="preserve">POSTO DE TRANSFORMACAO AO TEMPO DE 30KVA, CLASSE 15KV, P/ FINS DE ATENDIMENTO DE UMA UNIDADE CONSUMIDORA EM BT, PROVIDO DE DUTOS, PROTECAO, POSTES E ISOLADORES (REDE PROTEGIDA), INCL. MURETA EM ALV. DE 1 1/2 VEZ (2,20X2,20)M, REVES. E PINTADA</t>
  </si>
  <si>
    <t xml:space="preserve">POSTO DE TRANSFORMACAO AO TEMPO DE 45KVA, CLASSE 15KV, P/ FINS DE ATENDIMENTO DE UMA UNIDADE CONSUMIDORA EM BT, PROVIDO DE DUTOS, PROTECAO, POSTES E ISOLADORES (REDE PROTEGIDA), INCL. MURETA EM ALV. DE 1 1/2 VEZ (2,20X2,20)M, REVES. E PINTADA</t>
  </si>
  <si>
    <t xml:space="preserve">POSTO DE TRANSFORMACAO AO TEMPO DE 75KVA, CLASSE 15KV, P/ FINS DE ATENDIMENTO DE UMA UNIDADE CONSUMIDORA EM BT, PROVIDO DE DUTOS, PROTECAO, POSTES E ISOLADORES (REDE PROTEGIDA), INCL. MURETA EM ALV. DE 1 1/2 VEZ (2,20X2,20)M, REVES. E PINTADA</t>
  </si>
  <si>
    <t xml:space="preserve">POSTO DE TRANSFORMACAO AO TEMPO DE 112,5KVA, CLASSE 15KV, P/ FINS DE ATENDIMENTO DE UMA UNIDADE CONSUMIDORA EM BT, PROVIDO DE DUTOS, PROTECAO, POSTES E ISOLADORES (REDE PROTEGIDA), INCL. MURETA EM ALV. DE 1 1/2 VEZ(2,20X2,20)M, REVES. E PINTADA</t>
  </si>
  <si>
    <t xml:space="preserve">POSTO DE TRANSFORMACAO AO TEMPO DE 150KVA, CLASSE 15KV, P/ FINS DE ATENDIMENTO DE UMA UNIDADE CONSUMIDORA EM BT, PROVIDO DE DUTOS, PROTECAO, POSTES E ISOLADORES (REDE PROTEGIDA), INCL. MURETA EM ALV. DE 1 1/2 VEZ (2,20X2,20)M, REVES. E PINTADA</t>
  </si>
  <si>
    <t xml:space="preserve">POSTO DE TRANSFORMACAO AO TEMPO DE 225KVA, CLASSE 15KV, P/ FINS DE ATENDIMENTO DE UMA UNIDADE CONSUMIDORA EM BT, PROVIDO DE DUTOS, PROTECAO, POSTES E ISOLADORES (REDE PROTEGIDA), INCL. MURETA EM ALV. DE 1 1/2 VEZ (2,20X2,20)M, REVES. E PINTADA</t>
  </si>
  <si>
    <t xml:space="preserve">POSTO DE TRANSFORMACAO AO TEMPO DE 300KVA, CLASSE 15KV, P/ FINS DE ATENDIMENTO DE UMA UNIDADE CONSUMIDORA EM BT, PROVIDO DE DUTOS, PROTECAO, POSTES E ISOLADORES (REDE PROTEGIDA), INCL. MURETA EM ALV. DE 1 1/2 VEZ (2,20X2,20)M, REVES. E PINTADA</t>
  </si>
  <si>
    <t xml:space="preserve">DERIVACAO DE ALTA TENSAO</t>
  </si>
  <si>
    <t xml:space="preserve">POSTE DE CONCRETO SECAO CIRCULAR COMPRIMENTO = 10M, CARGA NOMINAL NO TOPO 150 KGF, INCLUSIVE ESCAVACAO, TRANSPORTE, FORNECIMENTO E INSTALACAO</t>
  </si>
  <si>
    <t xml:space="preserve">POSTE DE CONCRETO SECAO CIRCULAR COMPRIMENTO = 10M, CARGA NOMINAL NO TOPO 600 KGF, INCLUSIVE ESCAVACAO, TRANSPORTE, FORNECIMENTO E INSTALACAO</t>
  </si>
  <si>
    <t xml:space="preserve">POSTE DE CONCRETO SECAO CIRCULAR COMPRIMENTO = 11M, CARGA NOMINAL NO TOPO 400 KGF, INCLUSIVE ESCAVACAO, TRANSPORTE, FORNECIMENTO E INSTALACAO</t>
  </si>
  <si>
    <t xml:space="preserve">POSTE DE CONCRETO SECAO DUPLO T COMPRIMENTO = 10M, CARGA NOMINAL NO TOPO 150 KGF, INCLUSIVE ESCAVACAO, TRANSPORTE, FORNECIMENTO E INSTALACAO</t>
  </si>
  <si>
    <t xml:space="preserve">POSTE DE CONCRETO SECAO DUPLO T COMPRIMENTO = 10M, CARGA NOMINAL NO TOPO 600 KGF, INCLUSIVE ESCAVACAO, TRANSPORTE, FORNECIMENTO E INSTALACAO</t>
  </si>
  <si>
    <t xml:space="preserve">POSTE DE CONCRETO SECAO DUPLO T COMPRIMENTO = 11M, CARGA NOMINAL NO TOPO 300 KGF, INCLUSIVE ESCAVACAO, TRANSPORTE, FORNECIMENTO E INSTALACAO</t>
  </si>
  <si>
    <t xml:space="preserve">POSTE DE CONCRETO SECAO DUPLO T COMPRIMENTO = 11M, CARGA NOMINAL NO TOPO 600 KGF, INCLUSIVE ESCAVACAO, TRANSPORTE, FORNECIMENTO E INSTALACAO</t>
  </si>
  <si>
    <t xml:space="preserve">TRANSFORMADOR DISTRIBUICAO 1000KVA TRIFASICO 60HZ CLASSE 15KV IMERSO EM OLEO MINERAL FORNECIMENTO E INSTALACAO</t>
  </si>
  <si>
    <t xml:space="preserve">TRANSFORMADOR DE DISTRIBUICAO TRIFASICO, CLASSE 15 KV, MARCA WEG, TRAFO OU SIMILAR COM POTENCIA DE:- 15 KVA</t>
  </si>
  <si>
    <t xml:space="preserve">SINAPI - 102102 - TRANSFORMADOR DE DISTRIBUICAO, 30 KVA, TRIFASICO, 60 HZ, CLASSE 15 KV, IMERSO EM OLEO MINERAL, INSTALACAO EM POSTE (NAO INCLUSO SUPORTE) - FORNECIMENTO E INSTALACAO. AF_12/2020</t>
  </si>
  <si>
    <t xml:space="preserve">SINAPI - 102103 - TRANSFORMADOR DE DISTRIBUICAO, 45 KVA, TRIFASICO, 60 HZ, CLASSE 15 KV, IMERSO EM OLEO MINERAL, INSTALACAO EM POSTE (NAO INCLUSO SUPORTE) - FORNECIMENTO E INSTALACAO. AF_12/2020</t>
  </si>
  <si>
    <t xml:space="preserve">SINAPI - 102108 - TRANSFORMADOR DE DISTRIBUICAO, 300 KVA, TRIFASICO, 60 HZ, CLASSE 15 KV, IMERSO EM OLEO MINERAL, INSTALACAO EM POSTE (NAO INCLUSO SUPORTE) - FORNECIMENTO E INSTALACAO. AF_12/2020</t>
  </si>
  <si>
    <t xml:space="preserve">SINAPI - 102104 - TRANSFORMADOR DE DISTRIBUICAO, 75 KVA, TRIFASICO, 60 HZ, CLASSE 15 KV, IMERSO EM OLEO MINERAL, INSTALACAO EM POSTE (NAO INCLUSO SUPORTE) - FORNECIMENTO E INSTALACAO. AF_12/2020</t>
  </si>
  <si>
    <t xml:space="preserve">TRANSFORMADOR DISTRIBUICAO 500KVA TRIFASICO 60HZ CLASSE 15KV IMERSO EM OLEO MINERAL FORNECIMENTO E INSTALACAO</t>
  </si>
  <si>
    <t xml:space="preserve">SINAPI - 102105 - TRANSFORMADOR DE DISTRIBUICAO, 112,5 KVA, TRIFASICO, 60 HZ, CLASSE 15 KV, IMERSO EM OLEO MINERAL, INSTALACAO EM POSTE (NAO INCLUSO SUPORTE) - FORNECIMENTO E INSTALACAO. AF_12/2020</t>
  </si>
  <si>
    <t xml:space="preserve">SINAPI - 102106 - TRANSFORMADOR DE DISTRIBUICAO, 150 KVA, TRIFASICO, 60 HZ, CLASSE 15 KV, IMERSO EM OLEO MINERAL, INSTALACAO EM POSTE (NAO INCLUSO SUPORTE) - FORNECIMENTO E INSTALACAO. AF_12/2020</t>
  </si>
  <si>
    <t xml:space="preserve">SINAPI - 102107 - TRANSFORMADOR DE DISTRIBUICAO, 225 KVA, TRIFASICO, 60 HZ, CLASSE 15 KV, IMERSO EM OLEO MINERAL, INSTALACAO EM POSTE (NAO INCLUSO SUPORTE) - FORNECIMENTO E INSTALACAO. AF_12/2020</t>
  </si>
  <si>
    <t xml:space="preserve">TRANSFORMADOR DISTRIBUICAO 750KVA TRIFASICO 60HZ CLASSE 15KV IMERSO EM OLEO MINERAL FORNECIMENTO E INSTALACAO</t>
  </si>
  <si>
    <t xml:space="preserve">CRUZETA DE MADEIRA DE LEI (2400 X 115 X 90) MM PADRAO ENERGISA</t>
  </si>
  <si>
    <t xml:space="preserve">CRUZETA DE CONCRETO RETANGULAR 250DAN</t>
  </si>
  <si>
    <t xml:space="preserve">MAO FRANCESA NORMAL DE 726 MM</t>
  </si>
  <si>
    <t xml:space="preserve">MAO FRANCESA PARA BECO</t>
  </si>
  <si>
    <t xml:space="preserve">ISOLADOR DE PORCELANA, TIPO PINO MONOCORPO, PARA TENSAO DE *15* KV, COM PINO ROSCA EXTERNA - FORNECIMENTO E INSTALACAO</t>
  </si>
  <si>
    <t xml:space="preserve">ISOLADOR TIPO PILAR CLASSE 15 KV COM PINO ROSCA EXTERNA - FORNECIMENTO E INSTALACAO</t>
  </si>
  <si>
    <t xml:space="preserve">ISOLADOR SUSPENSAO POLIMERICO, CLASSE 15 KV</t>
  </si>
  <si>
    <t xml:space="preserve">CRUZETA DE CONCRETO RETANGULAR 400DAN</t>
  </si>
  <si>
    <t xml:space="preserve">MANILHA SAPATILHA</t>
  </si>
  <si>
    <t xml:space="preserve">PARA-RAIOS DE DISTRIBUICAO, TENSAO NOMINAL 15 KV, CORRENTE NOMINAL DE DESCARGA 5 KA - FORNECIMENTO E INSTALACAO</t>
  </si>
  <si>
    <t xml:space="preserve">PARA RAIO POLIMERICO, CLASSE 12 KV</t>
  </si>
  <si>
    <t xml:space="preserve">CHAVE FUSIVEL TIPO XS - 100 A, CLASSE 15 KV, LORENZETTI OU SIMILAR</t>
  </si>
  <si>
    <t xml:space="preserve">LACO PREFORMADO PARA CABO 2 AWG</t>
  </si>
  <si>
    <t xml:space="preserve">SUPORTE EM ACO GALVANIZADO PARA TRANSFORMADOR PARA POSTE DUPLO T 185 X 95 MM, CHAPA DE 5/16" - FORNECIMENTO E INSTALACAO</t>
  </si>
  <si>
    <t xml:space="preserve">LACO PREFORMADO PARA CABO 1/0 AWG</t>
  </si>
  <si>
    <t xml:space="preserve">FIO DE ALUMINIO PARA ARMACAO DE ISOLADOR DE TOPO</t>
  </si>
  <si>
    <t xml:space="preserve">ALCA PREFORMADA PARA ESTAI DE ANCORA</t>
  </si>
  <si>
    <t xml:space="preserve">SINAPI - 101555 - ALCA PREFORMADA DE DISTRIBUICAO, EM  ACO GALVANIZADO, AWG 4 - FORNECIMENTO E INSTALACAO. AF_07/2020</t>
  </si>
  <si>
    <t xml:space="preserve">ALCA PREFORMADA DE DISTRIBUICAO PARA CABO 1/0 AWG</t>
  </si>
  <si>
    <t xml:space="preserve">ELO FUSIVEL, PARA PROTECAO DE TRANSFORMADOR DE:- 3 H</t>
  </si>
  <si>
    <t xml:space="preserve">- 2 H</t>
  </si>
  <si>
    <t xml:space="preserve">- 5 H</t>
  </si>
  <si>
    <t xml:space="preserve">- 6 K</t>
  </si>
  <si>
    <t xml:space="preserve">- 10K</t>
  </si>
  <si>
    <t xml:space="preserve">- 15 K</t>
  </si>
  <si>
    <t xml:space="preserve">- 25 K</t>
  </si>
  <si>
    <t xml:space="preserve">CABO DE ALUMINIO, SEM ALMA DE ACO, NA(S) BITOLA(S):- 4 AWG</t>
  </si>
  <si>
    <t xml:space="preserve">- 2 AWG</t>
  </si>
  <si>
    <t xml:space="preserve">- 1/0 AWG</t>
  </si>
  <si>
    <t xml:space="preserve">PARAFUSO, COM PORCA, NA(S) ESPECIFICACAO(OES):- MAQUINA (16 X 125)MM</t>
  </si>
  <si>
    <t xml:space="preserve">- CABECA QUADRADA (16 X 150)MM</t>
  </si>
  <si>
    <t xml:space="preserve">- CABECA QUADRADA (16 X 250)MM</t>
  </si>
  <si>
    <t xml:space="preserve">- ROSCA DUPLA (PASSANTE) - (16 X 450)MM</t>
  </si>
  <si>
    <t xml:space="preserve">- FRANCES (16 X 45)MM</t>
  </si>
  <si>
    <t xml:space="preserve">- FRANCES (16 X 150)MM</t>
  </si>
  <si>
    <t xml:space="preserve">ARRUELA QUADRADA FURO DE 18 MM</t>
  </si>
  <si>
    <t xml:space="preserve">ARRUELA DE PRESSAO PARA PARAFUSO DE 16 MM</t>
  </si>
  <si>
    <t xml:space="preserve">DISJUNTOR, A VACUO 630A, MOD. MAF-15-630, CAPACIDADE 350MVA, COM PROTECAO DE CURTO, SOBRECARGA E FALTA DE FASE, PROTECAO SECUNDARIA DA BEGHIN OU SIMILAR</t>
  </si>
  <si>
    <t xml:space="preserve">CHAVE SECCIONADORA TRIPOLAR PARA MEDIA TENSAO 400A/15KV COM COMANDO MANUAL SIMULTANEO NAS TRES FASE ATRAVES DE PUNHO</t>
  </si>
  <si>
    <t xml:space="preserve">PORTA COM TELA MALHA 20MM COM DISPOSITIVO PARA LACRE DE (0,80 X 2,10)M, INCLUSIVE FUNDO ANTICORROSIVO 2 DEMAOS</t>
  </si>
  <si>
    <t xml:space="preserve">PORTA DE AA 2 FOLHAS TIPO VENEZIANA EM CHAPA DOBRADA No.18 DE (1,40 X 2,10)M, INCLUSIVE FUNDO ANTICORROSIVO 2 DEMAOS - ANEXO A-042</t>
  </si>
  <si>
    <t xml:space="preserve">PORTA TIPO VENEZIANA EM CHAPA DOBRADA No. 18, INCLUSIVE FUNDO ANTICORROSIVO 2 DEMAOS, DE:- (0,80 X 2,10)M</t>
  </si>
  <si>
    <t xml:space="preserve">ISOLADOR DE PORCELANA, TIPO BUCHA, PARA TENSAO DE 15KV - FORNECIMENTO E INSTALACAO</t>
  </si>
  <si>
    <t xml:space="preserve">- INTERNO-INTERNO</t>
  </si>
  <si>
    <t xml:space="preserve">- PEDESTAL</t>
  </si>
  <si>
    <t xml:space="preserve">PRATELEIRA PARA INSTALACAO DE TC E TP (PADRAO ENERGISA)</t>
  </si>
  <si>
    <t xml:space="preserve">SUPORTE PARA TRANSFORMADOR EM POSTE DE CONCRETO CIRCULAR ATE 270MM</t>
  </si>
  <si>
    <t xml:space="preserve">SUPORTE PARA TRANSFORMADOR EM POSTE DE CONCRETO DUPLO T 195/100</t>
  </si>
  <si>
    <t xml:space="preserve">*ACESSORIOS PARA CABINE DE TRANSFORMADOR:</t>
  </si>
  <si>
    <t xml:space="preserve">JANELA FIXA COM VIDRO PARA ILUMINACAO NATURAL DE (1,00 X 0,50)M, INCLUSIVE FUNDO ANTICORROSIVO 2 DEMAOS -  ANEXO A-025 (ESQ.) (EXCLUSIVE VIDRO)</t>
  </si>
  <si>
    <t xml:space="preserve">JANELA MISTA (VIDRO/VENEZIANA) PARA ILUMINACAO E VENTILACAO NATURAL (1,20 X 0,60)M, INCLUSIVE FUNDO ANTICORROSIVO 2 DEMAOS - ANEXO A-027 (EXCLUSIVE VIDRO)</t>
  </si>
  <si>
    <t xml:space="preserve">TELA DE PROTECAO PARA JANELA DE (1,00 X 0,75)M, INCLUSIVE FUNDO ANTICORROSIVO 2 DEMAOS - ANEXO A-026 (ESQ.)</t>
  </si>
  <si>
    <t xml:space="preserve">JANELA VENEZIANA PARA VENTILACAO NATURAL DE (1,00 X 0,50)M, INCLUSIVE FUNDO ANTICORROSIVO 2 DEMAOS - ANEXO A-024 (ESQ.)</t>
  </si>
  <si>
    <t xml:space="preserve">GRADE DE PROTECAO REMOVIVEL (2,00 X 2,00)M, INCLUSIVE FUNDO ANTICORROSIVO 2 DEMAOS - ANEXO A-028 (ESQ.)</t>
  </si>
  <si>
    <t xml:space="preserve">BARRAMENTO DE COBRE, PARA 13,8 KV, TIPO VERGALHAO, REDONDO E DIAMETRO 1/4"</t>
  </si>
  <si>
    <t xml:space="preserve">BARRAMENTO DE COBRE, PARA 15KV, TIPO VERGALHAO, REDONDO E DIAMETRO 3/8"</t>
  </si>
  <si>
    <t xml:space="preserve">BORNE CONCENTRICO DE 3/8" NO(S) TIPO(S):- TERMINAL CENTRAL</t>
  </si>
  <si>
    <t xml:space="preserve">- TERMINAL ANGULAR</t>
  </si>
  <si>
    <t xml:space="preserve">- DERIVACAO T</t>
  </si>
  <si>
    <t xml:space="preserve">SUPORTE PARA SECCIONADORA 15 KV EM FERRO L 1 1/2"X 3/16" COM 4 CHUMBADORES, INCLUSIVE FUNDO ANTICORROSIVO 2 DEMAOS</t>
  </si>
  <si>
    <t xml:space="preserve">SUPORTE PARA MUFLA EM CANTONEIRA 2"X 3/16" COM 4 FUROS 5/8", INCLUSIVE FUNDO ANTICORROSIVO 2 DEMAOS</t>
  </si>
  <si>
    <t xml:space="preserve">SUPORTE EM CANTONEIRA 50 X 50 X 5MM, PARA ISOLADOR PEDESTRAL 30 X 120 X 30CM, INCLUSIVE FUNDO ANTICORROSIVO 2 DEMAOS</t>
  </si>
  <si>
    <t xml:space="preserve">SUPORTE PARA ALAVANCA DE MANOBRA DA CHAVE SECCIONADORA, INCLUSIVE FUNDO ANTICORROSIVO 2 DEMAOS</t>
  </si>
  <si>
    <t xml:space="preserve">CHAPA DE FERRO GALVANIZADO DE 3,5 X 700 X 1700MM PARA 3 BUCHAS DE PASSAGEM, INCLUSIVE FUNDO ANTICORROSIVO 2 DEMAOS</t>
  </si>
  <si>
    <t xml:space="preserve">CAIXA DE PROTECAO  PARA TRANSFORMADOR CORRENTE, EM CHAPA DE ACO 18 USG (PADRAO DA CONCESSIONARIA LOCAL) - FORNECIMENTO E INSTALACAO</t>
  </si>
  <si>
    <t xml:space="preserve">PLACA DE ADVERTENCIA EM PVC 2MM, COM OS DIZERES:- ESTA CHAVE NAO DEVE SER MANOBRADA</t>
  </si>
  <si>
    <t xml:space="preserve">- PERIGO DE MORTE</t>
  </si>
  <si>
    <t xml:space="preserve">PARAFUSO DE FERRO C/PORCA, 2 ARRUELAS LISAS E 1 ARRUELA DE PRESSAO DE:- 3/8" X 1 1/2"</t>
  </si>
  <si>
    <t xml:space="preserve">- 5/8" X 1 1/2"</t>
  </si>
  <si>
    <t xml:space="preserve">PARAFUSO LATONADO C/PORCA, 2 ARRUELAS LISAS E 1  ARRUELA DE PRESSAO DE:- 3/8" X 1 1/2"</t>
  </si>
  <si>
    <t xml:space="preserve">- 1/2"X 1 1/2"</t>
  </si>
  <si>
    <t xml:space="preserve">CANALETA EM ALVENARIA (35X35)CM COM TAMPA ANTIDERRAPANTE, INCLUSIVE FUNDO ANTICORROSIVO</t>
  </si>
  <si>
    <t xml:space="preserve">CANALETA EM ALVENARIA (40X40)CM COM TAMPA ANTIDERRAPANTE, INCLUSIVE FUNDO ANTICORROSIVO</t>
  </si>
  <si>
    <t xml:space="preserve">CANALETA EM ALVENARIA (20X20)CM COM TAMPA ANTIDERRAPANTE, INCLUSIVE FUNDO ANTICORROSIVO</t>
  </si>
  <si>
    <t xml:space="preserve">CONECTOR CUNHA PARA CABO 2 AWG - FORNECIMENTO E INSTALACAO</t>
  </si>
  <si>
    <t xml:space="preserve">CONECTOR CUNHA ESTRIBO PARA CABO 2 AWG</t>
  </si>
  <si>
    <t xml:space="preserve">CARTUCHO VERMELHO PARA CONECTOR CUNHA</t>
  </si>
  <si>
    <t xml:space="preserve">CABO DE ALUMINIO COM ALMA, NA(S) BITOLA(S):- 4 AWG</t>
  </si>
  <si>
    <t xml:space="preserve">- 4/0 AWG</t>
  </si>
  <si>
    <t xml:space="preserve">CABO MULTIPLEXADO DE ALUMINIO CA/CAL 3X1X35+35MM2</t>
  </si>
  <si>
    <t xml:space="preserve">CABO MULTIPLEXADO DE ALUMINIO CA/CAL 3X1X70+70MM2</t>
  </si>
  <si>
    <t xml:space="preserve">CABO MULTIPLEXADO DE ALUMINIO CA/CAL 3X1X120+70MM2</t>
  </si>
  <si>
    <t xml:space="preserve">TERMINAL CONTRATIL PINO MACICO LONGO PARA CABO 70MM2</t>
  </si>
  <si>
    <t xml:space="preserve">CABO DE ALUMINIO CA, PROTEGIDO 15KV - 50MM2</t>
  </si>
  <si>
    <t xml:space="preserve">CABO DE ACO ZINCADO 3/8" (9,5MM) - CLASSE B</t>
  </si>
  <si>
    <t xml:space="preserve">ANEL ESPACADOR LOSANGULAR DE 15/35 KV</t>
  </si>
  <si>
    <t xml:space="preserve">SAPATILHA EM ACO GALVANIZADO PARA CABOS COM DIAMETRO NOMINAL ATE 5/8" - FORNECIMENTO E INSTALACAO</t>
  </si>
  <si>
    <t xml:space="preserve">ABRACADEIRA PARA POSTE DE CONCRETO CIRCULAR DIAMETRO 150MM</t>
  </si>
  <si>
    <t xml:space="preserve">ABRACADEIRA PARA POSTE DE CONCRETO CIRCULAR DIAMETRO 160MM</t>
  </si>
  <si>
    <t xml:space="preserve">ABRACADEIRA PARA POSTE DE CONCRETO CIRCULAR DIAMETRO 200MM</t>
  </si>
  <si>
    <t xml:space="preserve">ABRACADEIRA PARA POSTE DE CONCRETO CIRCULAR DIAMETRO 210MM</t>
  </si>
  <si>
    <t xml:space="preserve">ABRACADEIRA PARA POSTE DE CONCRETO CIRCULAR DIAMETRO 220MM</t>
  </si>
  <si>
    <t xml:space="preserve">ABRACADEIRA PARA POSTE DE CONCRETO CIRCULAR DIAMETRO 240MM</t>
  </si>
  <si>
    <t xml:space="preserve">ABRACADEIRA PARA POSTE DE CONCRETO CIRCULAR DIAMETRO 250MM</t>
  </si>
  <si>
    <t xml:space="preserve">ABRACADEIRA PARA POSTE DE CONCRETO CIRCULAR DIAMETRO 290MM</t>
  </si>
  <si>
    <t xml:space="preserve">CAPA PROTETORA 15 KV CONECTOR CUNHA COM ESTRIBO 4-2 AWG / 25-50MM2</t>
  </si>
  <si>
    <t xml:space="preserve">CONECTOR PARA LINHA VIVA</t>
  </si>
  <si>
    <t xml:space="preserve">CONECTOR CUNHA ESTRIBO PARA CABO 50MM2</t>
  </si>
  <si>
    <t xml:space="preserve">CONECTOR CUNHA ESTRIBO PARA CABO 70MM2</t>
  </si>
  <si>
    <t xml:space="preserve">CONECTOR PERFURANTE ISOLADO - PRINC. 240-240MM2 / DERIV. 70-240MM2</t>
  </si>
  <si>
    <t xml:space="preserve">CONECTOR PERFURANTE ISOLADO - PRINC. 120-240MM2 / DERIV. 50-120MM2</t>
  </si>
  <si>
    <t xml:space="preserve">ESPACADOR LOSANGULAR 15 KV - 50MM2</t>
  </si>
  <si>
    <t xml:space="preserve">BRACO SUPORTE TIPO L</t>
  </si>
  <si>
    <t xml:space="preserve">BRACO SUPORTE TIPO C</t>
  </si>
  <si>
    <t xml:space="preserve">SUPORTE COMPACTO TIPO Z</t>
  </si>
  <si>
    <t xml:space="preserve">SUPORTE COMPACTO TIPO T, 13,8 KV</t>
  </si>
  <si>
    <t xml:space="preserve">ALCA PREFORMADA PARA CABO DE ACO 3/8"</t>
  </si>
  <si>
    <t xml:space="preserve">PINO ISOLADOR POLIMERICO 15 KV, 3/8" X 180MM</t>
  </si>
  <si>
    <t xml:space="preserve">GRAMPO DE SUSPENSAO PARA MENSAGEIRO 35MM2</t>
  </si>
  <si>
    <t xml:space="preserve">GRAMPO DE SUSPENSAO PARA MENSAGEIRO  70MM2</t>
  </si>
  <si>
    <t xml:space="preserve">GRAMPO DE ANCORAGEM DIELETRICO 16-50MM</t>
  </si>
  <si>
    <t xml:space="preserve">MAO DE OBRA EM SERVICOS DE ILUMINACAO PUBLICA ORNAMENTAL EM POSTE DE ATE 12M</t>
  </si>
  <si>
    <t xml:space="preserve">MAO DE OBRA EM SERVICOS DE ILUMINACAO PUBLICA ORNAMENTAL EM POSTE DE ATE 13 A 19M</t>
  </si>
  <si>
    <t xml:space="preserve">*  PADRAO E ACESSORIOS</t>
  </si>
  <si>
    <t xml:space="preserve">ENTRADA DE SERVICO, EM BAIXA TENSAO, COM CAIXA DE MEDICAO INSTALADA EM MURETA DE ALVENARIA (1 1/2 VEZ), MEDINDO (1,20 X 2,10)M, CONFORME PADRAO ENERGISA, NA(S) ESPECIFICACAO(OES):- MONOFASICO - 0 A 3,8 KW</t>
  </si>
  <si>
    <t xml:space="preserve">- MONOFASICO DE 3,9 A 6,3 KW</t>
  </si>
  <si>
    <t xml:space="preserve">- MONOFASICO DE 6,4 A 8,8 KW</t>
  </si>
  <si>
    <t xml:space="preserve">- BIFASICO 0 A 10,1 KW</t>
  </si>
  <si>
    <t xml:space="preserve">- BIFASICO DE 10,2 A 12,7 KW</t>
  </si>
  <si>
    <t xml:space="preserve">- BIFASICO DE 12,8 A 17,7 KW</t>
  </si>
  <si>
    <t xml:space="preserve">- TRIFASICO 0 A 14,00 KW</t>
  </si>
  <si>
    <t xml:space="preserve">- TRIFASICO DE 14,01 A 17,28 KW</t>
  </si>
  <si>
    <t xml:space="preserve">- TRIFASICO DE 17,29 A 24,47 KW</t>
  </si>
  <si>
    <t xml:space="preserve">- TRIFASICO DE 24,48 A 35,05 KW</t>
  </si>
  <si>
    <t xml:space="preserve">- TRIFASICO DE 35,06 A 52,23 KW</t>
  </si>
  <si>
    <t xml:space="preserve">- TRIFASICO DE 52,24 A 75,0 KW</t>
  </si>
  <si>
    <t xml:space="preserve">CAIXA DE MEDICAO MONOFASICA EM POLICARBONATO OU NORYL (285X326X165)MM, PADRAO ENERGISA</t>
  </si>
  <si>
    <t xml:space="preserve">CAIXA DE MEDICAO POLIFASICA EM POLICARBONATO OU NORYL (377X476X213)MM, PADRAO ENERGISA</t>
  </si>
  <si>
    <t xml:space="preserve">CAIXA PARA MEDICAO DIRETA ATE 200A (600X1000X200)MM, PADRAO ENERGISA</t>
  </si>
  <si>
    <t xml:space="preserve">CAIXA PARA TC, PADRAO ENERGISA</t>
  </si>
  <si>
    <t xml:space="preserve">ISOLADOR DE ROLDANA, PARA BAIXA TENSAO</t>
  </si>
  <si>
    <t xml:space="preserve">ARMACAO SECUNDARIA, COM HASTE, NA(S) ESPECIFICACAO(OES):- 1 ESTRIBO</t>
  </si>
  <si>
    <t xml:space="preserve">SINAPI - 101539 - ARMACAO SECUNDARIA, COM 2 ESTRIBOS E 2 ISOLADORES - FORNECIMENTO E INSTALACAO. AF_07/2020</t>
  </si>
  <si>
    <t xml:space="preserve">SINAPI - 101540 - ARMACAO SECUNDARIA, COM 3 ESTRIBOS E 3 ISOLADORES - FORNECIMENTO E INSTALACAO. AF_07/2020</t>
  </si>
  <si>
    <t xml:space="preserve">SINAPI - 101541 - ARMACAO SECUNDARIA, COM 4 ESTRIBOS E 4 ISOLADORES - FORNECIMENTO E INSTALACAO. AF_07/2020</t>
  </si>
  <si>
    <t xml:space="preserve">CABO DE ALUMINIO TRANCADO QUADRUPLEX :- 6 AWG</t>
  </si>
  <si>
    <t xml:space="preserve">REDE DE LOGICA E CFTV</t>
  </si>
  <si>
    <t xml:space="preserve">ELETRODUTO DE ACO GALVANIZADO, CLASSE LEVE, DN 20 MM (3/4), APARENTE, INSTALADO EM PAREDE, INCLUSIVE FIXADORES - FORNECIMENTO E INSTALACAO</t>
  </si>
  <si>
    <t xml:space="preserve">ELETRODUTO DE ACO GALVANIZADO, CLASSE LEVE, DN 25 MM (1), APARENTE, INSTALADO EM PAREDE, INCLUSIVE FIXADORES - FORNECIMENTO E INSTALACAO</t>
  </si>
  <si>
    <t xml:space="preserve">ELETRODUTO DE PVC RIGIDO ROSCAVEL DN 25MM (3/4"), APARENTE,  INSTALADO EM PAREDES,  INCL FIXADORES E CONEXOES, FORNECIMENTO E INSTALACAO</t>
  </si>
  <si>
    <t xml:space="preserve">ELETRODUTO DE PVC RIGIDO ROSCAVEL DN 32MM (1"), APARENTE, INSTALADO EM PAREDES, INCL FIXADORES E CONEXOES, FORNECIMENTO E INSTALACAO</t>
  </si>
  <si>
    <t xml:space="preserve">SINAPI - 95778 - CONDULETE DE ALUMINIO, TIPO C, PARA ELETRODUTO DE ACO GALVANIZADO DN 20 MM (3/4''), APARENTE - FORNECIMENTO E INSTALACAO. AF_10/2022</t>
  </si>
  <si>
    <t xml:space="preserve">SINAPI - 95779 - CONDULETE DE ALUMINIO, TIPO E, PARA ELETRODUTO DE ACO GALVANIZADO DN 20 MM (3/4''), APARENTE - FORNECIMENTO E INSTALACAO. AF_10/2022</t>
  </si>
  <si>
    <t xml:space="preserve">SINAPI - 95795 - CONDULETE DE ALUMINIO, TIPO T, PARA ELETRODUTO DE ACO GALVANIZADO DN 20 MM (3/4''), APARENTE - FORNECIMENTO E INSTALACAO. AF_10/2022</t>
  </si>
  <si>
    <t xml:space="preserve">SINAPI - 95781 - CONDULETE DE ALUMINIO, TIPO C, PARA ELETRODUTO DE ACO GALVANIZADO DN 25 MM (1''), APARENTE - FORNECIMENTO E INSTALACAO. AF_10/2022</t>
  </si>
  <si>
    <t xml:space="preserve">SINAPI - 95782 - CONDULETE DE ALUMINIO, TIPO E, ELETRODUTO DE ACO GALVANIZADO DN 25 MM (1''), APARENTE - FORNECIMENTO E INSTALACAO. AF_10/2022</t>
  </si>
  <si>
    <t xml:space="preserve">SINAPI - 95796 - CONDULETE DE ALUMINIO, TIPO T, PARA ELETRODUTO DE ACO GALVANIZADO DN 25 MM (1''), APARENTE - FORNECIMENTO E INSTALACAO. AF_10/2022</t>
  </si>
  <si>
    <t xml:space="preserve">SINAPI - 98299 - CABO ELETRONICO CATEGORIA 6A, INSTALADO EM EDIFICACAO INSTITUCIONAL - FORNECIMENTO E INSTALACAO. AF_11/2019</t>
  </si>
  <si>
    <t xml:space="preserve">SINAPI - 98301 - PATCH PANEL 24 PORTAS, CATEGORIA 5E - FORNECIMENTO E INSTALACAO. AF_11/2019</t>
  </si>
  <si>
    <t xml:space="preserve">SINAPI - 98302 - PATCH PANEL 24 PORTAS, CATEGORIA 6 - FORNECIMENTO E INSTALACAO. AF_11/2019</t>
  </si>
  <si>
    <t xml:space="preserve">SINAPI - 98304 - PATCH PANEL 48 PORTAS, CATEGORIA 6 - FORNECIMENTO E INSTALACAO. AF_11/2019</t>
  </si>
  <si>
    <t xml:space="preserve">SINAPI - 98593 - PATCH PANEL 48 PORTAS, CATEGORIA 5E - FORNECIMENTO E INSTALACAO. AF_11/2019</t>
  </si>
  <si>
    <t xml:space="preserve">SINAPI - 100555 - RACK ABERTO EM COLUNA 44U PARA SERVIDOR - FORNECIMENTO E INSTALACAO. AF_11/2019</t>
  </si>
  <si>
    <t xml:space="preserve">MINI RACK FECHADO DE PAREDE PADRAO METALICO 19 X 6 US X 570MM PARA CABEAMENTO ESTRUTURADO E CFTV - FORNECIMENTO E INSTALAÇAO</t>
  </si>
  <si>
    <t xml:space="preserve">MINI RACK FECHADO DE PAREDE PADRAO METALICO 19 x 12 US X 570MM PARA CABEAMENTO ESTRUTURADO E CFTV - FORNECIMENTO E INSTALAÇAO</t>
  </si>
  <si>
    <t xml:space="preserve">GABINETE FECHADO DE PISO PADRAO METALICO 19 x 24 US X 700MM PARA CABEAMENTO ESTRUTURADO E CFTV - FORNECIMENTO E INSTALACAO</t>
  </si>
  <si>
    <t xml:space="preserve">GABINETE FECHADO DE PISO PADRAO METALICO 19 x 36 US X 970MM PARA CABEAMENTO ESTRUTURADO E CFTV - FORNECIMENTO E INSTALACAO</t>
  </si>
  <si>
    <t xml:space="preserve">GABINETE FECHADO DE PISO PADRAO METALICO 19 x 44 US  X 970MM  PARA CABEAMENTO ESTRUTURADO E CFTV - FORNECIMENTO E INSTALACAO</t>
  </si>
  <si>
    <t xml:space="preserve">SINAPI - 98307 - TOMADA DE REDE RJ45 - FORNECIMENTO E INSTALACAO. AF_11/2019</t>
  </si>
  <si>
    <t xml:space="preserve">TOMADA DUPLA PARA LOGICA RJ45 COMPLETA, CATEGORIA 6,  COM TAMPA E SUPORTE - FORNECIMENTO E INSTALACAO</t>
  </si>
  <si>
    <t xml:space="preserve">TOMADA PARA LOGICA FEMEA RJ45 COMPLETA, CATEGORIA 6, INCLUSO CONDULETE 3/4" COM TAMPA, ADAPTADOR E SUPORTE - FORNECIMENTO E INSTALACAO</t>
  </si>
  <si>
    <t xml:space="preserve">TOMADA PARA LOGICA RJ45 COMPLETA, CATEGORIA 6, INCLUSO SUPORTE E ADAPTADOR - FORNECIMENTO E INSTALACAO</t>
  </si>
  <si>
    <t xml:space="preserve">TOMADA PARA LOGICA FEMEA RJ45 COMPLETA, CATEGORIA 5E, INCLUSO SUPORTE E ADAPTADOR - FORNECIMENTO E INSTALACAO</t>
  </si>
  <si>
    <t xml:space="preserve">REGUA COM 12 TOMADAS 2P+T 250V., COM CABO TIPO FILTRO DE LINHA PARA RACK - FORNECIMENTO E INSTALACAO</t>
  </si>
  <si>
    <t xml:space="preserve">GUIA ORGANIZADOR DE CABOS ABERTO 1U PARA RACK - FORNECIMENTO E INSTALACAO</t>
  </si>
  <si>
    <t xml:space="preserve">SWITCH 10/100 BASE TX 48 PORTAS - FORNECIMENTO E INSTALACAO</t>
  </si>
  <si>
    <t xml:space="preserve">SWITCH 10/100 BASE TX 24 PORTAS - FORNECIMENTO E INSTALACAO</t>
  </si>
  <si>
    <t xml:space="preserve">PATCH CORD (CABO DE REDE), CATEGORIA 5 E (CAT 5E) UTP, 24 AWG, 4 PARES, EXTENSAO DE 1,50 M - FORNECIMENTO E INSTALACAO</t>
  </si>
  <si>
    <t xml:space="preserve">PATCH CORD (CABO DE REDE), CATEGORIA 6 (CAT 6) UTP, 23 AWG, 4 PARES, EXTENSAO DE 1,50 M - FORNECIMENTO E INSTALACAO</t>
  </si>
  <si>
    <t xml:space="preserve">CFTV INSTALADO NO CANTEIRO DE OBRAS - CAMERA SPEED DOME - FORNECIMENTO E INSTALACAO - PLANILHA PADRAO 000571</t>
  </si>
  <si>
    <t xml:space="preserve">CFTV INSTALADO NO CANTEIRO DE OBRAS - CAMERA BULLET - FORNECIMENTO E INSTALACAO - PLANILHA PADRAO 000572</t>
  </si>
  <si>
    <t>CLIMATIZACAO</t>
  </si>
  <si>
    <t xml:space="preserve">SINAPI - 103244 - AR CONDICIONADO SPLIT INVERTER, HI-WALL (PAREDE), 9000 BTU/H, CICLO FRIO - FORNECIMENTO E INSTALACAO. AF_11/2021_PE</t>
  </si>
  <si>
    <t xml:space="preserve">SINAPI - 103247 - AR CONDICIONADO SPLIT INVERTER, HI-WALL (PAREDE), 12000 BTU/H, CICLO FRIO - FORNECIMENTO E INSTALACAO. AF_11/2021_PE</t>
  </si>
  <si>
    <t xml:space="preserve">SINAPI - 103250 - AR CONDICIONADO SPLIT INVERTER, HI-WALL (PAREDE), 18000 BTU/H, CICLO FRIO - FORNECIMENTO E INSTALACAO. AF_11/2021_PE</t>
  </si>
  <si>
    <t xml:space="preserve">SINAPI - 103253 - AR CONDICIONADO SPLIT INVERTER, HI-WALL (PAREDE), 24000 BTU/H, CICLO FRIO - FORNECIMENTO E INSTALACAO. AF_11/2021_PE</t>
  </si>
  <si>
    <t xml:space="preserve">SINAPI - 103256 - AR CONDICIONADO SPLIT INVERTER, PISO TETO, 18000 BTU/H, CICLO FRIO - FORNECIMENTO E INSTALACAO. AF_11/2021_PSE</t>
  </si>
  <si>
    <t xml:space="preserve">SINAPI - 103258 - AR CONDICIONADO SPLIT INVERTER, PISO TETO, 24000 BTU/H, CICLO FRIO - FORNECIMENTO E INSTALACAO. AF_11/2021_PSE</t>
  </si>
  <si>
    <t xml:space="preserve">SINAPI - 103261 - AR CONDICIONADO SPLIT INVERTER, PISO TETO, 36000 BTU/H, CICLO FRIO - FORNECIMENTO E INSTALACAO. AF_11/2021_PSE</t>
  </si>
  <si>
    <t xml:space="preserve">SINAPI - 103263 - AR CONDICIONADO SPLIT INVERTER, PISO TETO, 48000 BTU/H, CICLO FRIO - FORNECIMENTO E INSTALACAO. AF_11/2021_PE</t>
  </si>
  <si>
    <t xml:space="preserve">TUBO DE COBRE FLEXIVEL, D=7/8", COM ISOLAMENTO TERMICO, INSTALADO EM RAMAL DE ALIMENTACAO DE AR CONDICIONADO, INCLUSO BRACADEIRAS METALICAS - FORNECIMENTO E INSTALACAO</t>
  </si>
  <si>
    <t xml:space="preserve">CABO PP 4 X 2,5MM2 1KV</t>
  </si>
  <si>
    <t xml:space="preserve">PERFIL DE ACABAMENTO CANALETA BRANCA DE PVC 85X75MM PARA TUBULACAO DE AR CONDICIONADO SPLIT, LINHA CB-80 DA CONTROLBOX OU SIMILAR,  INCLUSO CONEXOES</t>
  </si>
  <si>
    <t xml:space="preserve">PERFIL DE ACABAMENTO CANALETA BRANCA DE PVC 65X55MM PARA TUBULACAO DE AR CONDICIONADO SPLIT, LINHA CB-60 DA CONTROLBOX OU SIMILAR,  INCLUSO CONEXOES</t>
  </si>
  <si>
    <t xml:space="preserve">DESINSTALACAO TECNICA DE EQUIPAMENTO HI-WALL DE 9.000 BTU A 18.000 BTU (EVAPORADORA E CONDENSADORA)</t>
  </si>
  <si>
    <t xml:space="preserve">DESINSTALACAO TECNICA DE EQUIPAMENTO HI-WALL DE 24.000 BTU A 60.000 BTU (EVAPORADORA E CONDENSADORA)</t>
  </si>
  <si>
    <t xml:space="preserve">HIGIENIZACAO DE EQUIPAMENTO HI-WALL DE 9.000 BTU A 24.000BTU (EVAPORADORA E CONDENSADORA)</t>
  </si>
  <si>
    <t xml:space="preserve">INSTALACAO DE CONDICIONADOR DE AR TIPO SPLIT, HI-WALL, DE 9.000 BTU A 18.000 BTU, INCLUSO BALANCEAMENTO DA CARGA DE GAS DE OPERACAO (EXCLUSIVE EQUIPAMENTO)</t>
  </si>
  <si>
    <t xml:space="preserve">FECHAMENTO DE FURO DE TUBULACAO DE AR CONDICIONADO EM PAREDES COM ARGAMASSA DE CIMENTO E AREIA NO TRACO 1:3</t>
  </si>
  <si>
    <t xml:space="preserve">INSTALACOES HIDRO-SANITARIA E AGUAS PLUVIAIS</t>
  </si>
  <si>
    <t xml:space="preserve">*  AGUA FRIA</t>
  </si>
  <si>
    <t xml:space="preserve">SINAPI - 90443 - RASGO LINEAR MANUAL EM ALVENARIA, PARA RAMAIS/ DISTRIBUICAO DE INSTALACOES HIDRAULICAS, DIAMETROS MENORES OU IGUAIS A 40 MM. AF_09/2023</t>
  </si>
  <si>
    <t xml:space="preserve">ADAPTADOR COM ROSCA E FLANGES DE PVC (DA TIGRE, FORTILIT OU SIMILAR), PARA CAIXA D'AGUA DE FIBROCIMENTO, NO(S) DIAMETRO(S):- 3/4"</t>
  </si>
  <si>
    <t xml:space="preserve">- 1"</t>
  </si>
  <si>
    <t xml:space="preserve">- 1 1/2"</t>
  </si>
  <si>
    <t xml:space="preserve">- 2"</t>
  </si>
  <si>
    <t xml:space="preserve">TUBO PVC SOLDAVEL AGUA FRIA DN 32MM, INCLUSIVE CONEXOES - FORNECIMENTO E INSTALACAO</t>
  </si>
  <si>
    <t xml:space="preserve">TUBO PVC SOLDAVEL AGUA FRIA DN 40MM, INCLUSIVE CONEXOES- FORNECIMENTO E INSTALACAO</t>
  </si>
  <si>
    <t xml:space="preserve">TUBO PVC SOLDAVEL AGUA FRIA DN 60MM, INCLUSIVE CONEXOES - FORNECIMENTO E INSTALACAO</t>
  </si>
  <si>
    <t xml:space="preserve">TUBO PVC SOLDAVEL AGUA FRIA DN 75MM, INCLUSIVE CONEXOES - FORNECIMENTO E INSTALACAO</t>
  </si>
  <si>
    <t xml:space="preserve">TUBO PVC SOLDAVEL AGUA FRIA DN 85MM, INCLUSIVE CONEXOES - FORNECIMENTO E INSTALACAO</t>
  </si>
  <si>
    <t xml:space="preserve">TUBO PVC SOLDAVEL AGUA FRIA DN 110MM, INCLUSIVE CONEXOES - FORNECIMENTO E INSTALACAO</t>
  </si>
  <si>
    <t xml:space="preserve">ESCAVACAO (MANUAL) DE VALAS, PARA ASSENTAMENTO DE TUBOS, COM DIAMETRO DE 2 1/2" (75 MM) A 4" (110 MM)</t>
  </si>
  <si>
    <t xml:space="preserve">SINAPI - 89366 - JOELHO 90 GRAUS COM BUCHA DE LATAO, PVC, SOLDAVEL, DN 25MM, X 3/4  INSTALADO EM RAMAL OU SUB-RAMAL DE AGUA - FORNECIMENTO E INSTALACAO. AF_06/2022</t>
  </si>
  <si>
    <t xml:space="preserve">SINAPI - 90373 - JOELHO 90 GRAUS COM BUCHA DE LATAO, PVC, SOLDAVEL, DN 25MM, X 1/2  INSTALADO EM RAMAL OU SUB-RAMAL DE AGUA - FORNECIMENTO E INSTALACAO. AF_06/2022</t>
  </si>
  <si>
    <t xml:space="preserve">- JOELHO DE REDUCAO (32 X 3/4)  MM X POL.</t>
  </si>
  <si>
    <t xml:space="preserve">SINAPI - 89378 - LUVA, PVC, SOLDAVEL, DN 25MM, INSTALADO EM RAMAL OU SUB-RAMAL DE AGUA - FORNECIMENTO E INSTALACAO. AF_06/2022</t>
  </si>
  <si>
    <t xml:space="preserve">- LUVA DE REDUCAO (25 X 1/2) MM X POL.</t>
  </si>
  <si>
    <t xml:space="preserve">- TEE 90o. (25 X 3/4) MM X POL.</t>
  </si>
  <si>
    <t xml:space="preserve">SINAPI - 89396 - TE COM BUCHA DE LATAO NA BOLSA CENTRAL, PVC, SOLDAVEL, DN 25MM X 1/2 , INSTALADO EM RAMAL OU SUB-RAMAL DE AGUA - FORNECIMENTO E INSTALACAO. AF_06/2022</t>
  </si>
  <si>
    <t xml:space="preserve">SINAPI - 89399 - TE COM BUCHA DE LATAO NA BOLSA CENTRAL, PVC, SOLDAVEL, DN 32MM X 3/4 , INSTALADO EM RAMAL OU SUB-RAMAL DE AGUA - FORNECIMENTO E INSTALACAO. AF_06/2022</t>
  </si>
  <si>
    <t xml:space="preserve">SINAPI - 94703 - ADAPTADOR COM FLANGE E ANEL DE VEDACAO, PVC, SOLDAVEL, DN  25 MM X 3/4", INSTALADO EM RESERVACAO PREDIAL DE AGUA - FORNECIMENTO E INSTALACAO. AF_04/2024</t>
  </si>
  <si>
    <t xml:space="preserve">SINAPI - 94704 - ADAPTADOR COM FLANGE E ANEL DE VEDACAO, PVC, SOLDAVEL, DN 32 MM X 1", INSTALADO EM RESERVACAO PREDIAL DE AGUA - FORNECIMENTO E INSTALACAO. AF_04/2024</t>
  </si>
  <si>
    <t xml:space="preserve">SINAPI - 94705 - ADAPTADOR COM FLANGE E ANEL DE VEDACAO, PVC, SOLDAVEL, DN 40 MM X 1 1/4", INSTALADO EM RESERVACAO PREDIAL DE AGUA - FORNECIMENTO E INSTALACAO. AF_04/2024</t>
  </si>
  <si>
    <t xml:space="preserve">SINAPI - 94706 - ADAPTADOR COM FLANGE E ANEL DE VEDACAO, PVC, SOLDAVEL, DN 50 MM X 1 1/2", INSTALADO EM RESERVACAO PREDIAL DE AGUA - FORNECIMENTO E INSTALACAO. AF_04/2024</t>
  </si>
  <si>
    <t xml:space="preserve">SINAPI - 94707 - ADAPTADOR COM FLANGE E ANEL DE VEDACAO, PVC, SOLDAVEL, DN 60 MM X 2", INSTALADO EM RESERVACAO PREDIAL DE AGUA - FORNECIMENTO E INSTALACAO. AF_04/2024</t>
  </si>
  <si>
    <t xml:space="preserve">SINAPI - 89595 - ADAPTADOR CURTO COM BOLSA E ROSCA PARA REGISTRO, PVC, SOLDAVEL, DN 50MM X 1.1/4 , INSTALADO EM PRUMADA DE AGUA - FORNECIMENTO E INSTALACAO. AF_06/2022</t>
  </si>
  <si>
    <t xml:space="preserve">SINAPI - 94713 - ADAPTADOR COM FLANGES LIVRES, PVC, SOLDAVEL, DN 75 MM X 2 1/2", INSTALADO EM RESERVACAO PREDIAL DE AGUA - FORNECIMENTO E INSTALACAO. AF_04/2024</t>
  </si>
  <si>
    <t xml:space="preserve">SINAPI - 89383 - ADAPTADOR CURTO COM BOLSA E ROSCA PARA REGISTRO, PVC, SOLDAVEL, DN 25MM X 3/4 , INSTALADO EM RAMAL OU SUB-RAMAL DE AGUA - FORNECIMENTO E INSTALACAO. AF_06/2022</t>
  </si>
  <si>
    <t xml:space="preserve">SINAPI - 89436 - ADAPTADOR CURTO COM BOLSA E ROSCA PARA REGISTRO, PVC, SOLDAVEL, DN 32MM X 1 , INSTALADO EM RAMAL DE DISTRIBUICAO DE AGUA - FORNECIMENTO E INSTALACAO. AF_06/2022</t>
  </si>
  <si>
    <t xml:space="preserve">SINAPI - 89596 - ADAPTADOR CURTO COM BOLSA E ROSCA PARA REGISTRO, PVC, SOLDAVEL, DN 50MM X 1.1/2 , INSTALADO EM PRUMADA DE AGUA - FORNECIMENTO E INSTALACAO. AF_06/2022</t>
  </si>
  <si>
    <t xml:space="preserve">SINAPI - 89385 - LUVA SOLDAVEL E COM ROSCA, PVC, SOLDAVEL, DN 25MM X 3/4 , INSTALADO EM RAMAL OU SUB-RAMAL DE AGUA - FORNECIMENTO E INSTALACAO. AF_06/2022</t>
  </si>
  <si>
    <t xml:space="preserve">SINAPI - 99620 - VALVULA DE RETENCAO HORIZONTAL, DE BRONZE, ROSCAVEL, 1" - FORNECIMENTO E INSTALACAO. AF_08/2021</t>
  </si>
  <si>
    <t xml:space="preserve">SINAPI - 99621 - VALVULA DE RETENCAO HORIZONTAL, DE BRONZE, ROSCAVEL, 1 1/4" - FORNECIMENTO E INSTALACAO. AF_08/2021</t>
  </si>
  <si>
    <t xml:space="preserve">SINAPI - 99622 - VALVULA DE RETENCAO HORIZONTAL, DE BRONZE, ROSCAVEL, 1 1/2"  - FORNECIMENTO E INSTALACAO. AF_08/2021</t>
  </si>
  <si>
    <t xml:space="preserve">SINAPI - 99623 - VALVULA DE RETENCAO HORIZONTAL, DE BRONZE, ROSCAVEL, 2"  - FORNECIMENTO E INSTALACAO. AF_08/2021</t>
  </si>
  <si>
    <t xml:space="preserve">SINAPI - 99624 - VALVULA DE RETENCAO HORIZONTAL, DE BRONZE, ROSCAVEL, 2 1/2" - FORNECIMENTO E INSTALACAO. AF_08/2021</t>
  </si>
  <si>
    <t xml:space="preserve">SINAPI - 99625 - VALVULA DE RETENCAO HORIZONTAL, DE BRONZE, ROSCAVEL, 3" - FORNECIMENTO E INSTALACAO. AF_08/2021</t>
  </si>
  <si>
    <t xml:space="preserve">SINAPI - 89610 - ADAPTADOR CURTO COM BOLSA E ROSCA PARA REGISTRO, PVC, SOLDAVEL, DN 60MM X 2 , INSTALADO EM PRUMADA DE AGUA - FORNECIMENTO E INSTALACAO. AF_06/2022</t>
  </si>
  <si>
    <t xml:space="preserve">SINAPI - 89613 - ADAPTADOR CURTO COM BOLSA E ROSCA PARA REGISTRO, PVC, SOLDAVEL, DN 75MM X 2.1/2", INSTALADO EM PRUMADA DE AGUA - FORNECIMENTO E INSTALACAO. AF_12/2014</t>
  </si>
  <si>
    <t xml:space="preserve">SINAPI - 89616 - ADAPTADOR CURTO COM BOLSA E ROSCA PARA REGISTRO, PVC, SOLDAVEL, DN 85MM X 3 , INSTALADO EM PRUMADA DE AGUA - FORNECIMENTO E INSTALACAO. AF_06/2022</t>
  </si>
  <si>
    <t xml:space="preserve">SINAPI - 94670 - ADAPTADOR CURTO COM BOLSA E ROSCA PARA REGISTRO, PVC, SOLDAVEL, DN 110 MM X 4", INSTALADO EM RESERVACAO PREDIAL DE AGUA - FORNECIMENTO E INSTALACAO. AF_04/2024</t>
  </si>
  <si>
    <t xml:space="preserve">SINAPI - 99629 - VALVULA DE RETENCAO VERTICAL, DE BRONZE, ROSCAVEL, 1" - FORNECIMENTO E INSTALACAO. AF_08/2021</t>
  </si>
  <si>
    <t xml:space="preserve">SINAPI - 99630 - VALVULA DE RETENCAO VERTICAL, DE BRONZE, ROSCAVEL, 1 1/4" - FORNECIMENTO E INSTALACAO. AF_08/2021</t>
  </si>
  <si>
    <t xml:space="preserve">SINAPI - 99631 - VALVULA DE RETENCAO VERTICAL, DE BRONZE, ROSCAVEL, 1 1/2" - FORNECIMENTO E INSTALACAO. AF_08/2021</t>
  </si>
  <si>
    <t xml:space="preserve">SINAPI - 99632 - VALVULA DE RETENCAO VERTICAL, DE BRONZE, ROSCAVEL, 2" - FORNECIMENTO E INSTALACAO. AF_08/2021</t>
  </si>
  <si>
    <t xml:space="preserve">- 2 1/2"</t>
  </si>
  <si>
    <t xml:space="preserve">SINAPI - 99633 - VALVULA DE RETENCAO VERTICAL, DE BRONZE, ROSCAVEL, 3" - FORNECIMENTO E INSTALACAO. AF_08/2021</t>
  </si>
  <si>
    <t xml:space="preserve">CAIXA D'AGUA DE 15.000 LITROS - ANEXO H.S.-001 (A.F.)</t>
  </si>
  <si>
    <t xml:space="preserve">ALGIBE DE 8.500 LITROS - ANEXO H.S.-003 (A.F.)</t>
  </si>
  <si>
    <t xml:space="preserve">ALGIBE DE 15.000 LITROS - ANEXO H.S.-005 (A.F)</t>
  </si>
  <si>
    <t xml:space="preserve">ALGIBE DE 30.000 LITROS - ANEXO H.S.-006 (A.F.)</t>
  </si>
  <si>
    <t xml:space="preserve">ALGIBE DE 80.000 LITROS - (PADRAO  AGESUL), SEM IMPERMEABILIZACAO</t>
  </si>
  <si>
    <t xml:space="preserve">RESERVATORIO METALICO ELEVADO TIPO TACA, COLUNA SECA, ANEXO H.S.-012 (A.F.), NA(S) CAPACIDADE(S):- 5.000 LITROS E H=4,50 M, INCLUSO TRANSPORTE E ICAMENTO</t>
  </si>
  <si>
    <t xml:space="preserve">- 10.000 LITROS E H=6,00 M, INCLUSO TRANSPORTE E ICAMENTO</t>
  </si>
  <si>
    <t xml:space="preserve">- 15.000 LITROS E H=6,00 M, INCLUSO TRANSPORTE E ICAMENTO</t>
  </si>
  <si>
    <t xml:space="preserve">- 20.000 LITROS E H=7,50 M, INCLUSO TRANSPORTE E ICAMENTO</t>
  </si>
  <si>
    <t xml:space="preserve">BASE EM CONCRETO ARMADO, PARA RESERVATORIO METALICO, NA(S) ESPECIFICACAO(OES):-  5 M3 E H=4,50 M (CONFIRMAR COM PROJETISTA APOS SONDAGEM)</t>
  </si>
  <si>
    <t xml:space="preserve">- 10 M3 E H=6,00 M (CONFIRMAR COM PROJETISTA APOS SONDAGEM)</t>
  </si>
  <si>
    <t xml:space="preserve">- 15 M3 E H=6,00 M (CONFIRMAR COM PROJETISTA APOS SONDAGEM)</t>
  </si>
  <si>
    <t xml:space="preserve">- 20 M3 E H=7,50 M (CONFIRMAR COM PROJETISTA APOS SONDAGEM)</t>
  </si>
  <si>
    <t xml:space="preserve">SINAPI - 102622 - CAIXA D´AGUA EM POLIETILENO, 500 LITROS (INCLUSOS TUBOS, CONEXOES E TORNEIRA DE BOIA) - FORNECIMENTO E INSTALACAO. AF_06/2021</t>
  </si>
  <si>
    <t xml:space="preserve">SINAPI - 102623 - CAIXA D´AGUA EM POLIETILENO, 1000 LITROS (INCLUSOS TUBOS, CONEXOES E TORNEIRA DE BOIA) - FORNECIMENTO E INSTALACAO. AF_06/2021</t>
  </si>
  <si>
    <t xml:space="preserve">CASA DE BOMBA - ANEXO H.S.-030 (A.F.)</t>
  </si>
  <si>
    <t xml:space="preserve">SINAPI - 102111 - BOMBA CENTRIFUGA, MONOFASICA, 0,5 CV OU 0,49 HP, HM 6 A 20 M, Q 1,2 A 8,3 M3/H - FORNECIMENTO E INSTALACAO. AF_12/2020</t>
  </si>
  <si>
    <t xml:space="preserve">SINAPI - 102113 - BOMBA CENTRIFUGA, TRIFASICA, 1 CV OU 0,99 HP, HM 14 A 40 M, Q 0,6 A 8,4 M3/H - FORNECIMENTO E INSTALACAO. AF_12/2020</t>
  </si>
  <si>
    <t xml:space="preserve">SINAPI - 102116 - BOMBA CENTRIFUGA, TRIFASICA, 1,5 CV OU 1,48 HP, HM 10 A 24 M, Q 6,1 A 21,9 M3/H - FORNECIMENTO E INSTALACAO. AF_12/2020</t>
  </si>
  <si>
    <t xml:space="preserve">SINAPI - 102118 - BOMBA CENTRIFUGA, TRIFASICA, 3 CV OU 2,96 HP, HM 34 A 40 M, Q 8,6 A 14,8 M3/H - FORNECIMENTO E INSTALACAO. AF_12/2020</t>
  </si>
  <si>
    <t xml:space="preserve">SINAPI - 102122 - BOMBA CENTRIFUGA, TRIFASICA, 10 CV OU 9,86 HP, HM 85 A 140 M, Q 4,2 A 14,9 M3/H - FORNECIMENTO E INSTALACAO. AF_12/2020</t>
  </si>
  <si>
    <t xml:space="preserve">SINAPI - 94796 - TORNEIRA DE BOIA PARA CAIXA D'AGUA, ROSCAVEL, 3/4" - FORNECIMENTO E INSTALACAO. AF_08/2021</t>
  </si>
  <si>
    <t xml:space="preserve">SINAPI - 94797 - TORNEIRA DE BOIA PARA CAIXA D'AGUA, ROSCAVEL, 1" - FORNECIMENTO E INSTALACAO. AF_08/2021</t>
  </si>
  <si>
    <t xml:space="preserve">SINAPI - 102137 - CHAVE DE BOIA AUTOMATICA SUPERIOR/INFERIOR 15A/250V - FORNECIMENTO E INSTALACAO. AF_12/2020</t>
  </si>
  <si>
    <t xml:space="preserve">VALVULA DE SUCCAO METAL, PE COM CRIVO DE BRONZE, (MIPEL OU SIMILAR), NO(S) DIAMETRO(S):- 1"</t>
  </si>
  <si>
    <t xml:space="preserve">- 1 1/4"</t>
  </si>
  <si>
    <t xml:space="preserve">- 3"</t>
  </si>
  <si>
    <t xml:space="preserve">*  LOUCAS</t>
  </si>
  <si>
    <t xml:space="preserve">BACIA SANITARIA SIFONADA DE LOUCA BRANCA, LINHA RAVENA, REF. P 9.17 DA DECA OU SIMILAR, INCLUSIVE PERTENCES, COM TUBO DE LIGACAO E COBERTURA DE BOLSA CROMADOS (ESTEVES OU SIMILAR)</t>
  </si>
  <si>
    <t xml:space="preserve">SINAPI - 100848 - VASO SANITARIO INFANTIL LOUCA BRANCA - FORNECIMENTO E INSTALACAO. AF_01/2020</t>
  </si>
  <si>
    <t xml:space="preserve">SINAPI - 86932 - VASO SANITARIO SIFONADO COM CAIXA ACOPLADA LOUCA BRANCA - PADRAO MEDIO, INCLUSO ENGATE FLEXIVEL EM METAL CROMADO, 1/2  X 40CM - FORNECIMENTO E INSTALACAO. AF_01/2020</t>
  </si>
  <si>
    <t xml:space="preserve">BACIA SANITARIA SIFONADA DE LOUCA BRANCA STUDIO KIDS, REF.PI.16.17, DECA OU SIMILAR, INCLUSIVE PERTENCES, COM TUBO DE LIGACAO E COBERTURA DE BOLSA, CROMADOS</t>
  </si>
  <si>
    <t xml:space="preserve">ASSENTO SANITARIO PARA BACIA RAVENA REF. AP 01.17 DA DECA OU SIMILAR</t>
  </si>
  <si>
    <t xml:space="preserve">SINAPI - 100849 - ASSENTO SANITARIO CONVENCIONAL - FORNECIMENTO E INSTALACAO. AF_01/2020</t>
  </si>
  <si>
    <t xml:space="preserve">ASSENTO SANITARIO PARA BACIA INFANTIL STUDIO KIDS REF. API 166.17 DA DECA OU SIMILAR</t>
  </si>
  <si>
    <t xml:space="preserve">SINAPI - 100851 - ASSENTO SANITARIO INFANTIL - FORNECIMENTO E INSTALACAO. AF_01/2020</t>
  </si>
  <si>
    <t xml:space="preserve">SINAPI - 100858 - MICTORIO SIFONADO LOUCA BRANCA - PADRAO MEDIO - FORNECIMENTO E INSTALACAO. AF_01/2020</t>
  </si>
  <si>
    <t xml:space="preserve">MICTORIO SIFONADO DE LOUCA BRANCA, DA CELITE OU SIMILAR, COM PERTENCES, INCLUSIVE VALVULA C/ FECHAMENTO AUTOMATICO, L.C., ANTIVANDALISMO PRESSMATIC MICTORIO COD. 17015006 DA DOCOL OU SIMILAR</t>
  </si>
  <si>
    <t xml:space="preserve">LAVATORIO DE LOUCA BRANCA REF. L 915.17, COM COLUNA REF. C 10.17, AMBOS DA LINHA RAVENA, DA DECA OU SIMILAR, INCLUSIVE PERTENCES (VALVULA, SIFAO E ENGATE CROMADOS)</t>
  </si>
  <si>
    <t xml:space="preserve">SINAPI - 86943 - LAVATORIO LOUCA BRANCA SUSPENSO, 29,5 X 39CM OU EQUIVALENTE, PADRAO POPULAR, INCLUSO SIFAO FLEXIVEL EM PVC, VALVULA E ENGATE FLEXIVEL 30CM EM PLASTICO E TORNEIRA CROMADA DE MESA, PADRAO POPULAR - FORNECIMENTO E INSTALACAO. AF_01/2020</t>
  </si>
  <si>
    <t xml:space="preserve">CUBA DE APOIO DE LOUCA BRANCA QUADRADA, COM MESA PARA METAL, MOD. Q.6, MEDINDO 35X35CM DA MARCA CELITE OU SIMILAR, INCLUSO VALVULA CROMADA E SIFAO TIPO COPO EM PVC CROMADO - FORNECIMENTO E INSTALACAO</t>
  </si>
  <si>
    <t xml:space="preserve">CUBA DE SEMI ENCAIXE DE LOUCA BRANCA QUADRADA, COM MESA PARA METAL, MOD. Q 2 DA CELITE OU SIMILAR, INCLUSO VALVULA CROMADA E SIFAO TIPO COPO EM PVC CROMADO - FORNECIMENTO E INSTALACAO</t>
  </si>
  <si>
    <t xml:space="preserve">SINAPI - 86938 - CUBA DE EMBUTIR OVAL EM LOUCA BRANCA, 35 X 50CM OU EQUIVALENTE, INCLUSO VALVULA E SIFAO TIPO GARRAFA EM METAL CROMADO - FORNECIMENTO E INSTALACAO. AF_01/2020</t>
  </si>
  <si>
    <t xml:space="preserve">SINAPI - 86919 - TANQUE DE LOUCA BRANCA COM COLUNA, 30L OU EQUIVALENTE, INCLUSO SIFAO FLEXIVEL EM PVC, VALVULA METALICA E TORNEIRA DE METAL CROMADO PADRAO MEDIO - FORNECIMENTO E INSTALACAO. AF_01/2020</t>
  </si>
  <si>
    <t xml:space="preserve">SINAPI - 95545 - SABONETEIRA DE PAREDE EM METAL CROMADO, INCLUSO FIXACAO. AF_01/2020</t>
  </si>
  <si>
    <t xml:space="preserve">SINAPI - 95544 - PAPELEIRA DE PAREDE EM METAL CROMADO SEM TAMPA, INCLUSO FIXACAO. AF_01/2020</t>
  </si>
  <si>
    <t xml:space="preserve">PAPELEIRA PLASTICA TIPO DISPENSER PARA PAPEL HIGIENICO ROLAO - FORNECIMENTO E INSTALACAO</t>
  </si>
  <si>
    <t xml:space="preserve">SINAPI - 95543 - PORTA TOALHA BANHO EM METAL CROMADO, TIPO BARRA, INCLUSO FIXACAO. AF_01/2020</t>
  </si>
  <si>
    <t xml:space="preserve">*  TORNEIRAS E REGISTROS</t>
  </si>
  <si>
    <t xml:space="preserve">SINAPI - 86906 - TORNEIRA CROMADA DE MESA, 1/2" OU 3/4", PARA LAVATORIO, PADRAO POPULAR - FORNECIMENTO E INSTALACAO. AF_01/2020</t>
  </si>
  <si>
    <t xml:space="preserve">SINAPI - 86915 - TORNEIRA CROMADA DE MESA, 1/2" OU 3/4", PARA LAVATORIO, PADRAO MEDIO - FORNECIMENTO E INSTALACAO. AF_01/2020</t>
  </si>
  <si>
    <t xml:space="preserve">TORNEIRA CROMADA COM BICO PARA JARDIM/TANQUE 1/2" OU 3/4" (REF 1153)</t>
  </si>
  <si>
    <t xml:space="preserve">SINAPI - 86909 - TORNEIRA CROMADA TUBO MOVEL, DE MESA, 1/2" OU 3/4", PARA PIA DE COZINHA, PADRAO ALTO - FORNECIMENTO E INSTALACAO. AF_01/2020</t>
  </si>
  <si>
    <t xml:space="preserve">SINAPI - 86910 - TORNEIRA CROMADA TUBO MOVEL, DE PAREDE, 1/2" OU 3/4", PARA PIA DE COZINHA, PADRAO MEDIO - FORNECIMENTO E INSTALACAO. AF_01/2020</t>
  </si>
  <si>
    <t xml:space="preserve">SINAPI - 86914 - TORNEIRA CROMADA 1/2" OU 3/4" PARA TANQUE, PADRAO MEDIO - FORNECIMENTO E INSTALACAO. AF_01/2020</t>
  </si>
  <si>
    <t xml:space="preserve">TORNEIRA AMARELA PARA JARDIM COM BICO DE 3/4", REF.1128, DA PEVILON OU SIMILAR</t>
  </si>
  <si>
    <t xml:space="preserve">TORNEIRA PARA USO GERAL/JARDIM REF.1130 LINHA PERTUTTI COD. 00903706 DA DOCOL OU SIMILAR</t>
  </si>
  <si>
    <t xml:space="preserve">TORNEIRA PARA LAVATORIO DE MESA DOCOL ELETRIC COD. 00396706 (TS) DA DOCOL OU SIMILAR</t>
  </si>
  <si>
    <t xml:space="preserve">TORNEIRA PARA LAVATORIO DE MESA PRESSMATIC 110 COD. 17160806 DA DOCOL OU SIMILAR</t>
  </si>
  <si>
    <t xml:space="preserve">TORNEIRA PARA PIA DE ACIONAMENTO HIDROMECANICO, C/FECHAMENTO AUTOMATICO, ACABAMENTO L.C., PRESSMATIC 120 DE PAREDE, REF. 17160706 1/2" E 3/4" DA DOCOL OU SIMILAR</t>
  </si>
  <si>
    <t xml:space="preserve">TORNEIRA PARA LAVATORIO DE ACIONAMENTO HIDROMECANICO, FECHAMENTO AUTOMATICO, ACABAMENTO L.C., PRESSMATIC MESA COMPACT, REF.17160606, 1/2" DA DOCOL OU SIMILAR</t>
  </si>
  <si>
    <t xml:space="preserve">TORNEIRA DE PAREDE PRESSMATIC ANTIVANDALISMO 135MM CICLO FIXO DE 3/4", REF. 00633206, DA DOCOL OU SIMILAR</t>
  </si>
  <si>
    <t xml:space="preserve">SINAPI - 89351 - REGISTRO DE PRESSAO BRUTO, LATAO,  ROSCAVEL, 3/4'' - FORNECIMENTO E INSTALACAO. AF_08/2021</t>
  </si>
  <si>
    <t xml:space="preserve">SINAPI - 89984 - REGISTRO DE PRESSAO BRUTO, LATAO, ROSCAVEL, 1/2", COM ACABAMENTO E CANOPLA CROMADOS - FORNECIMENTO E INSTALACAO. AF_08/2021</t>
  </si>
  <si>
    <t xml:space="preserve">SINAPI - 89985 - REGISTRO DE PRESSAO BRUTO, LATAO, ROSCAVEL, 3/4", COM ACABAMENTO E CANOPLA CROMADOS - FORNECIMENTO E INSTALACAO. AF_08/2021</t>
  </si>
  <si>
    <t xml:space="preserve">SINAPI - 89987 - REGISTRO DE GAVETA BRUTO, LATAO, ROSCAVEL, 3/4", COM ACABAMENTO E CANOPLA CROMADOS - FORNECIMENTO E INSTALACAO. AF_08/2021</t>
  </si>
  <si>
    <t xml:space="preserve">SINAPI - 94792 - REGISTRO DE GAVETA BRUTO, LATAO, ROSCAVEL, 1", COM ACABAMENTO E CANOPLA CROMADOS - FORNECIMENTO E INSTALACAO. AF_08/2021</t>
  </si>
  <si>
    <t xml:space="preserve">SINAPI - 94793 - REGISTRO DE GAVETA BRUTO, LATAO, ROSCAVEL, 1 1/4", COM ACABAMENTO E CANOPLA CROMADOS - FORNECIMENTO E INSTALACAO. AF_08/2021</t>
  </si>
  <si>
    <t xml:space="preserve">SINAPI - 94794 - REGISTRO DE GAVETA BRUTO, LATAO, ROSCAVEL, 1 1/2", COM ACABAMENTO E CANOPLA CROMADOS - FORNECIMENTO E INSTALACAO. AF_08/2021</t>
  </si>
  <si>
    <t xml:space="preserve">SINAPI - 89353 - REGISTRO DE GAVETA BRUTO, LATAO, ROSCAVEL, 3/4" - FORNECIMENTO E INSTALACAO. AF_08/2021</t>
  </si>
  <si>
    <t xml:space="preserve">SINAPI - 94495 - REGISTRO DE GAVETA BRUTO, LATAO, ROSCAVEL, 1" - FORNECIMENTO E INSTALACAO. AF_08/2021</t>
  </si>
  <si>
    <t xml:space="preserve">SINAPI - 94496 - REGISTRO DE GAVETA BRUTO, LATAO, ROSCAVEL, 1 1/4" - FORNECIMENTO E INSTALACAO. AF_08/2021</t>
  </si>
  <si>
    <t xml:space="preserve">SINAPI - 94497 - REGISTRO DE GAVETA BRUTO, LATAO, ROSCAVEL, 1 1/2" - FORNECIMENTO E INSTALACAO. AF_08/2021</t>
  </si>
  <si>
    <t xml:space="preserve">SINAPI - 94498 - REGISTRO DE GAVETA BRUTO, LATAO, ROSCAVEL, 2" - FORNECIMENTO E INSTALACAO. AF_08/2021</t>
  </si>
  <si>
    <t xml:space="preserve">SINAPI - 94499 - REGISTRO DE GAVETA BRUTO, LATAO, ROSCAVEL, 2 1/2" - FORNECIMENTO E INSTALACAO. AF_08/2021</t>
  </si>
  <si>
    <t xml:space="preserve">SINAPI - 94500 - REGISTRO DE GAVETA BRUTO, LATAO, ROSCAVEL, 3" - FORNECIMENTO E INSTALACAO. AF_08/2021</t>
  </si>
  <si>
    <t xml:space="preserve">SINAPI - 94501 - REGISTRO DE GAVETA BRUTO, LATAO, ROSCAVEL, 4" - FORNECIMENTO E INSTALACAO. AF_08/2021</t>
  </si>
  <si>
    <t xml:space="preserve">SINAPI - 95249 - VALVULA DE ESFERA BRUTA, BRONZE, ROSCAVEL, 3/4'' - FORNECIMENTO E INSTALACAO. AF_08/2021</t>
  </si>
  <si>
    <t xml:space="preserve">SINAPI - 95250 - VALVULA DE ESFERA BRUTA, BRONZE, ROSCAVEL, 1'' - FORNECIMENTO E INSTALACAO. AF_08/2021</t>
  </si>
  <si>
    <t xml:space="preserve">SINAPI - 95252 - VALVULA DE ESFERA BRUTA, BRONZE, ROSCAVEL, 1 1/2'' - FORNECIMENTO E INSTALACAO. AF_08/2021</t>
  </si>
  <si>
    <t xml:space="preserve">SINAPI - 95253 - VALVULA DE ESFERA BRUTA, BRONZE, ROSCAVEL, 2'' - FORNECIMENTO E INSTALACAO. AF_08/2021</t>
  </si>
  <si>
    <t xml:space="preserve">DUCHA HIGIENICA COM REGISTRO E GATILHO, REF. 00455706, LINHA PERTUTTI DA DOCOL OU SIMILAR</t>
  </si>
  <si>
    <t xml:space="preserve">TROCA DE REPARO DE VALVULA</t>
  </si>
  <si>
    <t xml:space="preserve">SINAPI - 99635 - VALVULA DE DESCARGA METALICA, BASE 1 1/2", ACABAMENTO METALICO CROMADO - FORNECIMENTO E INSTALACAO. AF_08/2021</t>
  </si>
  <si>
    <t xml:space="preserve">ACABAMENTO ANTIVANDALISMO PARA VALVULA DE DESCARGA REF. 01505006 DA DOCOL OU SIMILAR - FORNECIMENTO E INSTALACAO</t>
  </si>
  <si>
    <t xml:space="preserve">VALVULA DE DESCARGA 1 1/2" SEM ACABAMENTO (BASE), DOCOL OU SIMILAR</t>
  </si>
  <si>
    <t xml:space="preserve">CAIXA DE DESCARGA DE PLASTICO, EXTERNA, DE 9L, PUXADOR FIO DE NYLON, NAO INCLUSO CANO, BOLSA, ENGATE</t>
  </si>
  <si>
    <t xml:space="preserve">TUBO DE DESCARGA DE PVC, PARA VALVULA DE DESCARGA (TUBO PONTA AZUL)</t>
  </si>
  <si>
    <t xml:space="preserve">BEBEDOURO ELETRICO DE PRESSAO EM ACO INOX, REF. PDF300 2T DA IBBL OU SIMILAR, CAPACIDADE DE 3 LITROS</t>
  </si>
  <si>
    <t xml:space="preserve">VALVULA E SIFAO CROMADOS (ESTEVES OU SIMILAR) PARA BEBEDOURO</t>
  </si>
  <si>
    <t xml:space="preserve">VALVULA E SIFAO CROMADOS (ESTEVES OU SIMILAR) PARA LAVATORIO</t>
  </si>
  <si>
    <t xml:space="preserve">VALVULA E SIFAO CROMADO (ESTEVES OU SIMILAR) PARA MICTORIO</t>
  </si>
  <si>
    <t xml:space="preserve">SIFAO TIPO COPO COM CORPO FLEXIVEL DE 1" X 1 1/2" EM PVC CROMADO - FORNECIMENTO E INSTALACAO</t>
  </si>
  <si>
    <t xml:space="preserve">SINAPI - 86882 - SIFAO DO TIPO GARRAFA/COPO EM PVC 1.1/4  X 1.1/2" - FORNECIMENTO E INSTALACAO. AF_01/2020</t>
  </si>
  <si>
    <t xml:space="preserve">SINAPI - 86881 - SIFAO DO TIPO GARRAFA EM METAL CROMADO 1 X 1.1/2" - FORNECIMENTO E INSTALACAO. AF_01/2020</t>
  </si>
  <si>
    <t xml:space="preserve">SINAPI - 86936 - CUBA DE EMBUTIR DE ACO INOXIDAVEL MEDIA, INCLUSO VALVULA TIPO AMERICANA E SIFAO TIPO GARRAFA EM METAL CROMADO - FORNECIMENTO E INSTALACAO. AF_01/2020</t>
  </si>
  <si>
    <t xml:space="preserve">CUBA DE ACO INOX N.304 INDUSTRIAL DE (60 X 50 X 40) CM, COM VALVULA AMERICANA E SIFAO TIPO GARRAFA EM METAL CROMADO (ESTEVES OU SIMILAR) - FORNECIMENTO E INSTALACAO</t>
  </si>
  <si>
    <t xml:space="preserve">SINAPI - 86878 - VALVULA EM METAL CROMADO TIPO AMERICANA 3.1/2" X 1.1/2" PARA PIA - FORNECIMENTO E INSTALACAO. AF_01/2020</t>
  </si>
  <si>
    <t xml:space="preserve">CUBA DUPLA DE ACO INOX (70 X 40 X 15)CM, DA STRAKE OU SIMILAR, INCLUSIVE VALVULA AMERICANA E SIFAO CROMADOS (ESTEVES OU SIMILAR) - FORNECIMENTO E INSTALACAO</t>
  </si>
  <si>
    <t xml:space="preserve">SINAPI - 86929 - TANQUE DE MARMORE SINTETICO SUSPENSO, 22L OU EQUIVALENTE, INCLUSO SIFAO FLEXIVEL EM PVC, VALVULA PLASTICA E TORNEIRA DE METAL CROMADO PADRAO POPULAR - FORNECIMENTO E INSTALACAO. AF_01/2020</t>
  </si>
  <si>
    <t xml:space="preserve">SINAPI - 95547 - SABONETEIRA PLASTICA TIPO DISPENSER PARA SABONETE LIQUIDO COM RESERVATORIO 800 A 1500 ML, INCLUSO FIXACAO. AF_01/2020</t>
  </si>
  <si>
    <t xml:space="preserve">SINAPI - 100860 - CHUVEIRO ELETRICO COMUM CORPO PLASTICO, TIPO DUCHA - FORNECIMENTO E INSTALACAO. AF_01/2020</t>
  </si>
  <si>
    <t xml:space="preserve">CHUVEIRO PLASTICO BRANCO SIMPLES 5" - (AGUA FRIA) PARA ACOPLAR EM HASTE 1/2" - FORNECIMENTO E INSTALACAO</t>
  </si>
  <si>
    <t xml:space="preserve">CHUVEIRO COMUM EM PLASTICO BRANCO, COM CANO, 3 TEMPERATURAS, 5500 W (110/220 V) - FORNECIMENTO E INSTALACAO</t>
  </si>
  <si>
    <t xml:space="preserve">CHUVEIRO PRESSMATIC ANTIVANDALISMO - 3/4" REF 17125006 COM VALVULA DE ACIONAMENTO DA DOCOL OU SIMILAR - FORNECIMENTO E INSTALACAO</t>
  </si>
  <si>
    <t xml:space="preserve">BRACO OU HASTE COM CANOPLA METAL CROMADO 1/2" PARA CHUVEIRO SIMPLES - FORNECIMENTO E INSTALACAO</t>
  </si>
  <si>
    <t xml:space="preserve">CAIXA PARA ABRIGO DE TORNEIRA DE JARDIM - ANEXO H.S.-043 (D)</t>
  </si>
  <si>
    <t xml:space="preserve">SUPORTE DE TORNEIRA DE JARDIM (1 OU 2 TORNEIRAS) EM CONCRETO FCK=20MPa COM ALTURA DE 30CM E DIAMETRO DE 15CM, INCLUSO TUBULACOES E CONEXOES - ANEXO H.S.050 (D)</t>
  </si>
  <si>
    <t xml:space="preserve">DESENTUPIMENTO DE ESGOTO</t>
  </si>
  <si>
    <t xml:space="preserve">MAO-DE-OBRA PARA INSTALACAO DE:- CAIXA DE DESCARGA</t>
  </si>
  <si>
    <t xml:space="preserve">- APARELHOS SANITARIOS</t>
  </si>
  <si>
    <t xml:space="preserve">- VALVULA HIDRA OU SIMILAR</t>
  </si>
  <si>
    <t xml:space="preserve">- REGISTROS (GAVETA OU PRESSAO) DE 2"</t>
  </si>
  <si>
    <t xml:space="preserve">*  ESGOTO</t>
  </si>
  <si>
    <t xml:space="preserve">TUBO PVC ESGOTO PREDIAL DN 40MM, INCLUSIVE CONEXOES - FORNECIMENTO E INSTALACAO</t>
  </si>
  <si>
    <t xml:space="preserve">TUBO PVC ESGOTO PREDIAL DN 50MM, INCLUSIVE CONEXOES - FORNECIMENTO E INSTALACAO</t>
  </si>
  <si>
    <t xml:space="preserve">TUBO PVC ESGOTO PREDIAL DN 75MM, INCLUSIVE CONEXOES - FORNECIMENTO E INSTALACAO</t>
  </si>
  <si>
    <t xml:space="preserve">TUBO PVC ESGOTO PREDIAL DN 150MM, INCLUSIVE CONEXOES - FORNECIMENTO E INSTALACAO</t>
  </si>
  <si>
    <t xml:space="preserve">ESCAVACAO (MANUAL) DE VALAS, PARA ASSENTAMENTO DE TUBOS, COM DIAMETROS DE (100 A 150)MM</t>
  </si>
  <si>
    <t xml:space="preserve">SINAPI - 89728 - CURVA CURTA 90 GRAUS, PVC, SERIE NORMAL, ESGOTO PREDIAL, DN 40 MM, JUNTA SOLDAVEL, FORNECIDO E INSTALADO EM RAMAL DE DESCARGA OU RAMAL DE ESGOTO SANITARIO. AF_08/2022</t>
  </si>
  <si>
    <t xml:space="preserve">SINAPI - 89730 - CURVA LONGA 90 GRAUS, PVC, SERIE NORMAL, ESGOTO PREDIAL, DN 40 MM, JUNTA SOLDAVEL, FORNECIDO E INSTALADO EM RAMAL DE DESCARGA OU RAMAL DE ESGOTO SANITARIO. AF_08/2022</t>
  </si>
  <si>
    <t xml:space="preserve">SINAPI - 89726 - JOELHO 45 GRAUS, PVC, SERIE NORMAL, ESGOTO PREDIAL, DN 40 MM, JUNTA SOLDAVEL, FORNECIDO E INSTALADO EM RAMAL DE DESCARGA OU RAMAL DE ESGOTO SANITARIO. AF_08/2022</t>
  </si>
  <si>
    <t xml:space="preserve">SINAPI - 89724 - JOELHO 90 GRAUS, PVC, SERIE NORMAL, ESGOTO PREDIAL, DN 40 MM, JUNTA SOLDAVEL, FORNECIDO E INSTALADO EM RAMAL DE DESCARGA OU RAMAL DE ESGOTO SANITARIO. AF_08/2022</t>
  </si>
  <si>
    <t xml:space="preserve">SINAPI - 89783 - JUNCAO SIMPLES, PVC, SERIE NORMAL, ESGOTO PREDIAL, DN 40 MM, JUNTA SOLDAVEL, FORNECIDO E INSTALADO EM RAMAL DE DESCARGA OU RAMAL DE ESGOTO SANITARIO. AF_08/2022</t>
  </si>
  <si>
    <t xml:space="preserve">SINAPI - 89752 - LUVA SIMPLES, PVC, SERIE NORMAL, ESGOTO PREDIAL, DN 40 MM, JUNTA SOLDAVEL, FORNECIDO E INSTALADO EM RAMAL DE DESCARGA OU RAMAL DE ESGOTO SANITARIO. AF_08/2022</t>
  </si>
  <si>
    <t xml:space="preserve">SINAPI - 89782 - TE, PVC, SERIE NORMAL, ESGOTO PREDIAL, DN 40 X 40 MM, JUNTA SOLDAVEL, FORNECIDO E INSTALADO EM RAMAL DE DESCARGA OU RAMAL DE ESGOTO SANITARIO. AF_08/2022</t>
  </si>
  <si>
    <t xml:space="preserve">SINAPI - 89784 - TE, PVC, SERIE NORMAL, ESGOTO PREDIAL, DN 50 X 50 MM, JUNTA ELASTICA, FORNECIDO E INSTALADO EM RAMAL DE DESCARGA OU RAMAL DE ESGOTO SANITARIO. AF_08/2022</t>
  </si>
  <si>
    <t xml:space="preserve">JOELHO PVC, COM BOLSA E ANEL, 90 GRAUS, DN 40 X *38* MM, SERIE NORMAL, PARA ESGOTO PREDIAL - FORNECIMENTO E INSTALACAO</t>
  </si>
  <si>
    <t xml:space="preserve">SINAPI - 89572 - ADAPTADOR CURTO COM BOLSA E ROSCA PARA REGISTRO, PVC, SOLDAVEL, DN 40MM X 1.1/4 , INSTALADO EM PRUMADA DE AGUA - FORNECIMENTO E INSTALACAO. AF_06/2022</t>
  </si>
  <si>
    <t xml:space="preserve">CONEXOES DE PVC (DA TIGRE,FORTILIT OU SIMILAR),PARA ESGOTO PRIMARIO E VENTILACAO, NA(S) ESPECIFICACAO(OES):- VEDACAO PARA SAIDA DE VASO SANITARIO EG-27</t>
  </si>
  <si>
    <t xml:space="preserve">SINAPI - 89803 - CURVA CURTA 90 GRAUS, PVC, SERIE NORMAL, ESGOTO PREDIAL, DN 50 MM, JUNTA ELASTICA, FORNECIDO E INSTALADO EM PRUMADA DE ESGOTO SANITARIO OU VENTILACAO. AF_08/2022</t>
  </si>
  <si>
    <t xml:space="preserve">SINAPI - 89807 - CURVA CURTA 90 GRAUS, PVC, SERIE NORMAL, ESGOTO PREDIAL, DN 75 MM, JUNTA ELASTICA, FORNECIDO E INSTALADO EM PRUMADA DE ESGOTO SANITARIO OU VENTILACAO. AF_08/2022</t>
  </si>
  <si>
    <t xml:space="preserve">SINAPI - 89748 - CURVA CURTA 90 GRAUS, PVC, SERIE NORMAL, ESGOTO PREDIAL, DN 100 MM, JUNTA ELASTICA, FORNECIDO E INSTALADO EM RAMAL DE DESCARGA OU RAMAL DE ESGOTO SANITARIO. AF_08/2022</t>
  </si>
  <si>
    <t xml:space="preserve">SINAPI - 89804 - CURVA LONGA 90 GRAUS, PVC, SERIE NORMAL, ESGOTO PREDIAL, DN 50 MM, JUNTA ELASTICA, FORNECIDO E INSTALADO EM PRUMADA DE ESGOTO SANITARIO OU VENTILACAO. AF_08/2022</t>
  </si>
  <si>
    <t xml:space="preserve">SINAPI - 89808 - CURVA LONGA 90 GRAUS, PVC, SERIE NORMAL, ESGOTO PREDIAL, DN 75 MM, JUNTA ELASTICA, FORNECIDO E INSTALADO EM PRUMADA DE ESGOTO SANITARIO OU VENTILACAO. AF_08/2022</t>
  </si>
  <si>
    <t xml:space="preserve">SINAPI - 89750 - CURVA LONGA 90 GRAUS, PVC, SERIE NORMAL, ESGOTO PREDIAL, DN 100 MM, JUNTA ELASTICA, FORNECIDO E INSTALADO EM RAMAL DE DESCARGA OU RAMAL DE ESGOTO SANITARIO. AF_08/2022</t>
  </si>
  <si>
    <t xml:space="preserve">SINAPI - 89802 - JOELHO 45 GRAUS, PVC, SERIE NORMAL, ESGOTO PREDIAL, DN 50 MM, JUNTA ELASTICA, FORNECIDO E INSTALADO EM PRUMADA DE ESGOTO SANITARIO OU VENTILACAO. AF_08/2022</t>
  </si>
  <si>
    <t xml:space="preserve">SINAPI - 89806 - JOELHO 45 GRAUS, PVC, SERIE NORMAL, ESGOTO PREDIAL, DN 75 MM, JUNTA ELASTICA, FORNECIDO E INSTALADO EM PRUMADA DE ESGOTO SANITARIO OU VENTILACAO. AF_08/2022</t>
  </si>
  <si>
    <t xml:space="preserve">SINAPI - 89746 - JOELHO 45 GRAUS, PVC, SERIE NORMAL, ESGOTO PREDIAL, DN 100 MM, JUNTA ELASTICA, FORNECIDO E INSTALADO EM RAMAL DE DESCARGA OU RAMAL DE ESGOTO SANITARIO. AF_08/2022</t>
  </si>
  <si>
    <t xml:space="preserve">SINAPI - 89801 - JOELHO 90 GRAUS, PVC, SERIE NORMAL, ESGOTO PREDIAL, DN 50 MM, JUNTA ELASTICA, FORNECIDO E INSTALADO EM PRUMADA DE ESGOTO SANITARIO OU VENTILACAO. AF_08/2022</t>
  </si>
  <si>
    <t xml:space="preserve">SINAPI - 89805 - JOELHO 90 GRAUS, PVC, SERIE NORMAL, ESGOTO PREDIAL, DN 75 MM, JUNTA ELASTICA, FORNECIDO E INSTALADO EM PRUMADA DE ESGOTO SANITARIO OU VENTILACAO. AF_08/2022</t>
  </si>
  <si>
    <t xml:space="preserve">SINAPI - 89744 - JOELHO 90 GRAUS, PVC, SERIE NORMAL, ESGOTO PREDIAL, DN 100 MM, JUNTA ELASTICA, FORNECIDO E INSTALADO EM RAMAL DE DESCARGA OU RAMAL DE ESGOTO SANITARIO. AF_08/2022</t>
  </si>
  <si>
    <t xml:space="preserve">SINAPI - 89813 - LUVA SIMPLES, PVC, SERIE NORMAL, ESGOTO PREDIAL, DN 50 MM, JUNTA ELASTICA, FORNECIDO E INSTALADO EM PRUMADA DE ESGOTO SANITARIO OU VENTILACAO. AF_08/2022</t>
  </si>
  <si>
    <t xml:space="preserve">SINAPI - 89817 - LUVA SIMPLES, PVC, SERIE NORMAL, ESGOTO PREDIAL, DN 75 MM, JUNTA ELASTICA, FORNECIDO E INSTALADO EM PRUMADA DE ESGOTO SANITARIO OU VENTILACAO. AF_08/2022</t>
  </si>
  <si>
    <t xml:space="preserve">SINAPI - 89778 - LUVA SIMPLES, PVC, SERIE NORMAL, ESGOTO PREDIAL, DN 100 MM, JUNTA ELASTICA, FORNECIDO E INSTALADO EM RAMAL DE DESCARGA OU RAMAL DE ESGOTO SANITARIO. AF_08/2022</t>
  </si>
  <si>
    <t xml:space="preserve">SINAPI - 89827 - JUNCAO SIMPLES, PVC, SERIE NORMAL, ESGOTO PREDIAL, DN 50 X 50 MM, JUNTA ELASTICA, FORNECIDO E INSTALADO EM PRUMADA DE ESGOTO SANITARIO OU VENTILACAO. AF_08/2022</t>
  </si>
  <si>
    <t xml:space="preserve">SINAPI - 89830 - JUNCAO SIMPLES, PVC, SERIE NORMAL, ESGOTO PREDIAL, DN 75 X 75 MM, JUNTA ELASTICA, FORNECIDO E INSTALADO EM PRUMADA DE ESGOTO SANITARIO OU VENTILACAO. AF_08/2022</t>
  </si>
  <si>
    <t xml:space="preserve">SINAPI - 89797 - JUNCAO SIMPLES, PVC, SERIE NORMAL, ESGOTO PREDIAL, DN 100 X 100 MM, JUNTA ELASTICA, FORNECIDO E INSTALADO EM RAMAL DE DESCARGA OU RAMAL DE ESGOTO SANITARIO. AF_08/2022</t>
  </si>
  <si>
    <t xml:space="preserve">CONEXOES DE PVC (DA TIGRE, FORTILIT OU SIMILAR), PARA ESGOTO PRIMARIO E VENTILACAO, NA(S) ESPECIFICACAO(OES):- JUNCAO SIMPLES COM REDUCAO (100 X 50) MM</t>
  </si>
  <si>
    <t xml:space="preserve">- JUNCAO SIMPLES COM REDUCAO (100 X 75) MM</t>
  </si>
  <si>
    <t xml:space="preserve">SINAPI - 89825 - TE, PVC, SERIE NORMAL, ESGOTO PREDIAL, DN 50 X 50 MM, JUNTA ELASTICA, FORNECIDO E INSTALADO EM PRUMADA DE ESGOTO SANITARIO OU VENTILACAO. AF_08/2022</t>
  </si>
  <si>
    <t xml:space="preserve">SINAPI - 89829 - TE, PVC, SERIE NORMAL, ESGOTO PREDIAL, DN 75 X 75 MM, JUNTA ELASTICA, FORNECIDO E INSTALADO EM PRUMADA DE ESGOTO SANITARIO OU VENTILACAO. AF_08/2022</t>
  </si>
  <si>
    <t xml:space="preserve">SINAPI - 89796 - TE, PVC, SERIE NORMAL, ESGOTO PREDIAL, DN 100 X 100 MM, JUNTA ELASTICA, FORNECIDO E INSTALADO EM RAMAL DE DESCARGA OU RAMAL DE ESGOTO SANITARIO. AF_08/2022</t>
  </si>
  <si>
    <t xml:space="preserve">TE SANITARIO 100X50MM, COM ANEIS - FORNECIMENTO E INSTALACAO</t>
  </si>
  <si>
    <t xml:space="preserve">TE SANITARIO 100X75MM, COM ANEIS - FORNECIMENTO E INSTALACAO</t>
  </si>
  <si>
    <t xml:space="preserve">SINAPI - 89711 - TUBO PVC, SERIE NORMAL, ESGOTO PREDIAL, DN 40 MM, FORNECIDO E INSTALADO EM RAMAL DE DESCARGA OU RAMAL DE ESGOTO SANITARIO. AF_08/2022</t>
  </si>
  <si>
    <t xml:space="preserve">SINAPI - 89712 - TUBO PVC, SERIE NORMAL, ESGOTO PREDIAL, DN 50 MM, FORNECIDO E INSTALADO EM RAMAL DE DESCARGA OU RAMAL DE ESGOTO SANITARIO. AF_08/2022</t>
  </si>
  <si>
    <t xml:space="preserve">SINAPI - 89713 - TUBO PVC, SERIE NORMAL, ESGOTO PREDIAL, DN 75 MM, FORNECIDO E INSTALADO EM RAMAL DE DESCARGA OU RAMAL DE ESGOTO SANITARIO. AF_08/2022</t>
  </si>
  <si>
    <t xml:space="preserve">SINAPI - 89714 - TUBO PVC, SERIE NORMAL, ESGOTO PREDIAL, DN 100 MM, FORNECIDO E INSTALADO EM RAMAL DE DESCARGA OU RAMAL DE ESGOTO SANITARIO. AF_08/2022</t>
  </si>
  <si>
    <t xml:space="preserve">SINAPI - 89849 - TUBO PVC, SERIE NORMAL, ESGOTO PREDIAL, DN 150 MM, FORNECIDO E INSTALADO EM SUBCOLETOR AEREO DE ESGOTO SANITARIO. AF_08/2022</t>
  </si>
  <si>
    <t xml:space="preserve">SINAPI - 89707 - CAIXA SIFONADA, PVC, DN 100 X 100 X 50 MM, JUNTA ELASTICA, FORNECIDA E INSTALADA EM RAMAL DE DESCARGA OU EM RAMAL DE ESGOTO SANITARIO. AF_08/2022</t>
  </si>
  <si>
    <t xml:space="preserve">CAIXA SIFONADA (TIGRE, FORTILIT OU SIMILAR) COM PORTA GRELHA DE PVC NAS DIMENSOES DE (150 X 150 X 50)MM</t>
  </si>
  <si>
    <t xml:space="preserve">SINAPI - 89708 - CAIXA SIFONADA, PVC, DN 150 X 185 X 75 MM, JUNTA ELASTICA, FORNECIDA E INSTALADA EM RAMAL DE DESCARGA OU EM RAMAL DE ESGOTO SANITARIO. AF_08/2022</t>
  </si>
  <si>
    <t xml:space="preserve">CAIXA SIFONADA PVC, 250 X 230 X 75 MM, COM TAMPA E PORTA TAMPA QUADRADA BRANCA - FORNECIMENTO E INSTALACAO</t>
  </si>
  <si>
    <t xml:space="preserve">PROLONGAMENTO DE CAIXA SIFONADA NO(S) DIAMETRO(S):- 100MM X 15CM</t>
  </si>
  <si>
    <t xml:space="preserve">- 150MM X 15CM</t>
  </si>
  <si>
    <t xml:space="preserve">CONJUNTO DE PORTA GRELHA E GRELHA EM PVC CROMADO, NA(S) ESPECIFICACAO(OES):- 100 MM (REDONDO)</t>
  </si>
  <si>
    <t xml:space="preserve">- 150 MM (REDONDA)</t>
  </si>
  <si>
    <t xml:space="preserve">- 150 MM (QUADRADA)</t>
  </si>
  <si>
    <t xml:space="preserve">RALO SECO PVC QUADRADO, 100 X 100 X 53 MM, SAIDA 40 MM, COM GRELHA BRANCA - FORNECIMENTO E INSTALACAO</t>
  </si>
  <si>
    <t xml:space="preserve">CAIXA ENTERRADA HIDRAULICA RETANGULAR EM ALVENARIA COM TIJOLOS CERAMICOS MACICOS, DIMENSOES INTERNAS: 0,3X0,3X0,3 M PARA REDE DE ESGOTO, INCLUSO TAMPAO DE FERRO FUNDIDO</t>
  </si>
  <si>
    <t xml:space="preserve">CAIXA ENTERRADA HIDRAULICA RETANGULAR EM ALVENARIA COM TIJOLOS CERAMICOS MACICOS, DIMENSOES INTERNAS: 0,4X0,4X0,4 M PARA REDE DE ESGOTO, INCLUSO TAMPAO DE FERRO FUNDIDO</t>
  </si>
  <si>
    <t xml:space="preserve">CAIXA ENTERRADA HIDRAULICA RETANGULAR EM ALVENARIA COM TIJOLOS CERAMICOS MACICOS, DIMENSOES INTERNAS: 0,6X0,6X0,6 M PARA REDE DE ESGOTO, INCLUSO TAMPAO DE FERRO FUNDIDO</t>
  </si>
  <si>
    <t xml:space="preserve">CAIXA ENTERRADA HIDRAULICA RETANGULAR EM ALVENARIA COM TIJOLOS CERAMICOS MACICOS, DIMENSOES INTERNAS: 0,8X0,8X0,6 M PARA REDE DE ESGOTO, INCLUSO TAMPAO DE FERRO FUNDIDO</t>
  </si>
  <si>
    <t xml:space="preserve">CAIXA ENTERRADA HIDRAULICA RETANGULAR EM ALVENARIA COM TIJOLOS CERAMICOS MACICOS, DIMENSOES INTERNAS: 1X1X0,6 M PARA REDE DE ESGOTO, INCLUSO TAMPAO DE FERRO FUNDIDO</t>
  </si>
  <si>
    <t xml:space="preserve">CAIXA DE GORDURA - ANEXO H.S.-053 (E)</t>
  </si>
  <si>
    <t xml:space="preserve">SINAPI - 98105 - CAIXA DE GORDURA DUPLA (CAPACIDADE: 126 L), RETANGULAR, EM ALVENARIA COM TIJOLOS CERAMICOS MACICOS, DIMENSOES INTERNAS = 0,4X0,7 M, ALTURA INTERNA = 0,8 M. AF_12/2020</t>
  </si>
  <si>
    <t xml:space="preserve">CAIXA DE GORDURA 700L - 500 REFEICOES - ANEXO H.S. -054 (E)</t>
  </si>
  <si>
    <t xml:space="preserve">FOSSA SEPTICA NA(S) DIMENSAO(OES):- V=1,92 M3 (TIPO 1) - ANEXO H.S.-058 (E)</t>
  </si>
  <si>
    <t xml:space="preserve">- V=6,00 M3 (TIPO 2) - ANEXO H.S.-062 (E)</t>
  </si>
  <si>
    <t xml:space="preserve">- V=12,00 M3 (TIPO 2) - ANEXO H.S.-066 (E)</t>
  </si>
  <si>
    <t xml:space="preserve">- V=18,00 M3 (TIPO 2) - ANEXO H.S.-070 (E)</t>
  </si>
  <si>
    <t xml:space="preserve">CAIXA DE DISTRIBUICAO - ANEXO H.S.-055 (E), COM TAMPA DE CONCRETO, NA(S) DIMENSAO(OES):- (60X60X100)CM</t>
  </si>
  <si>
    <t xml:space="preserve">SUMIDOURO, NO(S) DIAMETRO(S):- 1,50 M - ANEXO H.S.-072 (E)</t>
  </si>
  <si>
    <t xml:space="preserve">- 2.00 M - ANEXO H.S.-072 (E)</t>
  </si>
  <si>
    <t xml:space="preserve">FILTRO ANAEROBIO - ANEXO H.S.-078 (E)</t>
  </si>
  <si>
    <t xml:space="preserve">VALA DE FILTRACAO COM TUBO 100MM, MANTA GEOTEXTIL E LONA PRETA, CONFORME DETALHE</t>
  </si>
  <si>
    <t xml:space="preserve">POCO DE INSPECAO E VISITA COM ANEL DE CONCRETO ARMADO PONTA E BOLSA O=0,60M, PROFUNDIDADE ATE 1,00M COM TAMPAO DE FERRO FUNDIDO T-137, ARTICULADO E COM TRAVA</t>
  </si>
  <si>
    <t xml:space="preserve">POCO DE INSPECAO E VISITA COM ANEL DE CONCRETO ARMADO PONTA E BOLSA O=0,60M, PROFUNDIDADE DE 1,01M A 1,50M, COM TAMPAO DE FERRO FUNDIDO T-137, ARTICULADO E COM TRAVA</t>
  </si>
  <si>
    <t xml:space="preserve">POCO DE INSPECAO E VISITA COM ANEL DE CONCRETO ARMADO PONTA E BOLSA O=0,80M, PROFUNDIDADE DE 1,51M A 2,00M, COM TAMPAO DE FERRO FUNDIDO T-137, ARTICULADO E COM TRAVA</t>
  </si>
  <si>
    <t xml:space="preserve">POCO DE INSPECAO E VISITA COM ANEL DE CONCRETO ARMADO PONTA E BOLSA O=0,80M, PROFUNDIDADE DE 2,01M A 2,50M, COM TAMPAO DE FERRO FUNDIDO T-137, ARTICULADO E COM TRAVA</t>
  </si>
  <si>
    <t xml:space="preserve">POCO DE INSPECAO E VISITA COM ANEL DE CONCRETO ARMADO PONTA E BOLSA O=0,80M, PROFUNDIDADE DE 2,51M A 3,00M, COM TAMPAO DE FERRO FUNDIDO T-137, ARTICULADO E COM TRAVA</t>
  </si>
  <si>
    <t xml:space="preserve">POCO DE INSPECAO E VISITA COM ANEL DE CONCRETO ARMADO PONTA E BOLSA O=1,00M, PROFUNDIDADE DE 2,51M A 3,00M, COM TAMPAO DE FERRO FUNDIDO T-137, ARTICULADO E COM TRAVA</t>
  </si>
  <si>
    <t xml:space="preserve">POCO DE INSPECAO E VISITA COM ANEL DE CONCRETO ARMADO PONTA E BOLSA O=1,00M, PROFUNDIDADE DE 3,01M A 3,50M, COM TAMPAO DE FERRO FUNDIDO T-137, ARTICULADO E COM TRAVA</t>
  </si>
  <si>
    <t xml:space="preserve">POCO DE INSPECAO E VISITA COM ANEL DE CONCRETO ARMADO PONTA E BOLSA O=1,00M, PROFUNDIDADE DE 3,51M A 4,00M, COM TAMPAO DE FERRO FUNDIDO T-137, ARTICULADO E COM TRAVA</t>
  </si>
  <si>
    <t xml:space="preserve">*  AGUAS PLUVIAIS</t>
  </si>
  <si>
    <t xml:space="preserve">SINAPI - 89576 - TUBO PVC, SERIE R, AGUA PLUVIAL, DN 75 MM, FORNECIDO E INSTALADO EM CONDUTORES VERTICAIS DE AGUAS PLUVIAIS. AF_06/2022</t>
  </si>
  <si>
    <t xml:space="preserve">SINAPI - 89578 - TUBO PVC, SERIE R, AGUA PLUVIAL, DN 100 MM, FORNECIDO E INSTALADO EM CONDUTORES VERTICAIS DE AGUAS PLUVIAIS. AF_06/2022</t>
  </si>
  <si>
    <t xml:space="preserve">CONEXOES DE PVC RIGIDO (DA TIGRE, FORTILIT OU SIMILAR) NO(S) DIAMETRO(S):- CURVA 90o - 75 MM</t>
  </si>
  <si>
    <t xml:space="preserve">- CURVA 90o - 100 MM</t>
  </si>
  <si>
    <t xml:space="preserve">- JUNCAO SIMPLES - 75 MM</t>
  </si>
  <si>
    <t xml:space="preserve">- JUNCAO SIMPLES - 100 MM</t>
  </si>
  <si>
    <t xml:space="preserve">SINAPI - 89511 - TUBO PVC, SERIE R, AGUA PLUVIAL, DN 75 MM, FORNECIDO E INSTALADO EM RAMAL DE ENCAMINHAMENTO. AF_06/2022</t>
  </si>
  <si>
    <t xml:space="preserve">SINAPI - 89512 - TUBO PVC, SERIE R, AGUA PLUVIAL, DN 100 MM, FORNECIDO E INSTALADO EM RAMAL DE ENCAMINHAMENTO. AF_06/2022</t>
  </si>
  <si>
    <t xml:space="preserve">SINAPI - 89582 - JOELHO 45 GRAUS, PVC, SERIE R, AGUA PLUVIAL, DN 75 MM, JUNTA ELASTICA, FORNECIDO E INSTALADO EM CONDUTORES VERTICAIS DE AGUAS PLUVIAIS. AF_06/2022</t>
  </si>
  <si>
    <t xml:space="preserve">SINAPI - 89531 - JOELHO 45 GRAUS, PVC, SERIE R, AGUA PLUVIAL, DN 100 MM, JUNTA ELASTICA, FORNECIDO E INSTALADO EM RAMAL DE ENCAMINHAMENTO. AF_06/2022</t>
  </si>
  <si>
    <t xml:space="preserve">SINAPI - 89522 - JOELHO 90 GRAUS, PVC, SERIE R, AGUA PLUVIAL, DN 75 MM, JUNTA ELASTICA, FORNECIDO E INSTALADO EM RAMAL DE ENCAMINHAMENTO. AF_06/2022</t>
  </si>
  <si>
    <t xml:space="preserve">SINAPI - 89529 - JOELHO 90 GRAUS, PVC, SERIE R, AGUA PLUVIAL, DN 100 MM, JUNTA ELASTICA, FORNECIDO E INSTALADO EM RAMAL DE ENCAMINHAMENTO. AF_06/2022</t>
  </si>
  <si>
    <t xml:space="preserve">SINAPI - 89565 - JUNCAO SIMPLES, PVC, SERIE R, AGUA PLUVIAL, DN 75 X 75 MM, JUNTA ELASTICA, FORNECIDO E INSTALADO EM RAMAL DE ENCAMINHAMENTO. AF_06/2022</t>
  </si>
  <si>
    <t xml:space="preserve">SINAPI - 89567 - JUNCAO SIMPLES, PVC, SERIE R, AGUA PLUVIAL, DN 100 X 100 MM, JUNTA ELASTICA, FORNECIDO E INSTALADO EM RAMAL DE ENCAMINHAMENTO. AF_06/2022</t>
  </si>
  <si>
    <t xml:space="preserve">TUBO DE PVC RIGIDO, (DA TIGRE, FORTILIT OU SIMILAR), NO(S) DIAMETRO(S):- 75 MM</t>
  </si>
  <si>
    <t xml:space="preserve">- 100 MM</t>
  </si>
  <si>
    <t xml:space="preserve">- 150 MM</t>
  </si>
  <si>
    <t xml:space="preserve">- 200 MM</t>
  </si>
  <si>
    <t xml:space="preserve">- 250 MM</t>
  </si>
  <si>
    <t xml:space="preserve">- 300 MM</t>
  </si>
  <si>
    <t xml:space="preserve">ESCAVACAO (MANUAL) DE VALAS, PARA ASSENTAMENTO DE TUBOS, NO(S) DIAMETRO(S):- (100 A 150)MM</t>
  </si>
  <si>
    <t xml:space="preserve">- (200 A 300)MM</t>
  </si>
  <si>
    <t xml:space="preserve">REATERRO (MANUAL) DE VALAS, COM TUBOS ASSENTADOS, NO(S) DIAMETRO(S):- (100 A 150)MM</t>
  </si>
  <si>
    <t xml:space="preserve">SINAPI - 99250 - CAIXA ENTERRADA HIDRAULICA RETANGULAR EM ALVENARIA COM TIJOLOS CERAMICOS MACICOS, DIMENSOES INTERNAS: 0,3X0,3X0,3 M PARA REDE DE DRENAGEM. AF_12/2020</t>
  </si>
  <si>
    <t xml:space="preserve">SINAPI - 99251 - CAIXA ENTERRADA HIDRAULICA RETANGULAR EM ALVENARIA COM TIJOLOS CERAMICOS MACICOS, DIMENSOES INTERNAS: 0,4X0,4X0,4 M PARA REDE DE DRENAGEM. AF_12/2020</t>
  </si>
  <si>
    <t xml:space="preserve">SINAPI - 99253 - CAIXA ENTERRADA HIDRAULICA RETANGULAR EM ALVENARIA COM TIJOLOS CERAMICOS MACICOS, DIMENSOES INTERNAS: 0,6X0,6X0,6 M PARA REDE DE DRENAGEM. AF_12/2020</t>
  </si>
  <si>
    <t xml:space="preserve">SINAPI - 99255 - CAIXA ENTERRADA HIDRAULICA RETANGULAR EM ALVENARIA COM TIJOLOS CERAMICOS MACICOS, DIMENSOES INTERNAS: 0,8X0,8X0,6 M PARA REDE DE DRENAGEM. AF_12/2020</t>
  </si>
  <si>
    <t xml:space="preserve">SINAPI - 99257 - CAIXA ENTERRADA HIDRAULICA RETANGULAR EM ALVENARIA COM TIJOLOS CERAMICOS MACICOS, DIMENSOES INTERNAS: 1X1X0,6 M PARA REDE DE DRENAGEM. AF_12/2020</t>
  </si>
  <si>
    <t xml:space="preserve">GRELHA PRE MOLDADA LISA DE (35 X 50 X 5)CM, ASSENTADA COM ARGAMASSA 1:3</t>
  </si>
  <si>
    <t xml:space="preserve">GRELHA EM FERRO REMOVIVEL, CONTORNO EM FERRO CANTONEIRA DE 3/4" X 1/8" E FERRO PERFIL LAMINADO "T" 3/4" X 1/8", MODULO (0,40 X 1,00)M, INCLUSIVE FUNDO ANTICORROSIVO - ANEXO H-090</t>
  </si>
  <si>
    <t xml:space="preserve">CANALETA A CEU ABERTO EM ALVENARIA DE TIJOLO MACICO DE 1/2 VEZ COM LARGURA DE 30CM E PROFUNDIDADE DE 30CM - ANEXO H.S.-087 (A.P.)</t>
  </si>
  <si>
    <t xml:space="preserve">GRELHA EM FERRO REMOVIVEL, CONTORNO EM FERRO CANTONEIRA DE 7/8" X 1/8" E FERRO CHATO DE 3/4" X 1/8", ESPACADOS A CADA 1,00CM, COM PORTA GRELHA EM FERRO CANTONEIRA DE 1" X 3/16", MODULO DE (0,40 X 1,00)M, INCL. FUNDO ANTICORROSIVO - ANEXO HS-090</t>
  </si>
  <si>
    <t xml:space="preserve">CANALETA EM ALVENARIA FECHADO COM LAJE DE CONCRETO - ANEXO H.S.-100 (A.P.)</t>
  </si>
  <si>
    <t xml:space="preserve">INSTALACOES PREVENTIVAS DE INCENDIO</t>
  </si>
  <si>
    <t xml:space="preserve">TUBO DE ACO GALVANIZADO COM COSTURA, CLASSE MEDIA, DN 65 (2.1/2"), INCLUSIVE CONEXOES - FORNECIMENTO E INSTALACAO</t>
  </si>
  <si>
    <t xml:space="preserve">TUBO DE ACO GALVANIZADO COM COSTURA, CLASSE MEDIA, DN 80 (3"), INCLUSIVE CONEXOES - FORNECIMENTO E INSTALACAO</t>
  </si>
  <si>
    <t xml:space="preserve">TUBO DE ACO GALVANIZADO COM COSTURA, CLASSE MEDIA, DN 100 (4"), INCLUSIVE CONEXOES - FORNECIMENTO E INSTALACAO</t>
  </si>
  <si>
    <t xml:space="preserve">SINAPI - 92342 - TUBO DE ACO GALVANIZADO COM COSTURA, CLASSE MEDIA, DN 65 (2 1/2"), CONEXAO ROSQUEADA, INSTALADO EM PRUMADAS - FORNECIMENTO E INSTALACAO. AF_10/2020</t>
  </si>
  <si>
    <t xml:space="preserve">SINAPI - 92343 - TUBO DE ACO GALVANIZADO COM COSTURA, CLASSE MEDIA, DN 80 (3"), CONEXAO ROSQUEADA, INSTALADO EM PRUMADAS - FORNECIMENTO E INSTALACAO. AF_10/2020</t>
  </si>
  <si>
    <t xml:space="preserve">TUBO DE FERRO GALVANIZADO, INCLUSIVE CONEXOES, NO(S) DIAMETRO(S):- 4"</t>
  </si>
  <si>
    <t xml:space="preserve">ESCAVACAO (MANUAL) DE VALAS, PARA ASSENTAMENTO DE TUBOS, COM DIAMETROS ATE 4"</t>
  </si>
  <si>
    <t xml:space="preserve">SINAPI - 101913 - CAIXA DE INCENDIO 45X75X17CM - FORNECIMENTO E INSTALACAO. AF_10/2020</t>
  </si>
  <si>
    <t xml:space="preserve">SINAPI - 101914 - CAIXA DE INCENDIO 60X90X17CM - FORNECIMENTO E INSTALACAO. AF_10/2020</t>
  </si>
  <si>
    <t xml:space="preserve">MANGUEIRA DE INCENDIO, TIPO 2, DE 1 1/2", TECIDO EM FIO DE POLIESTER E TUBO INTERNO EM BORRACHA SINTETICA, COM UNIOES ENGATE RAPIDO, NO(S) COMPRIMENTO(S):- 15,00 M</t>
  </si>
  <si>
    <t xml:space="preserve">- 30,00 M</t>
  </si>
  <si>
    <t xml:space="preserve">ABRIGO P/ HIDRANTE, 90X60X17CM, C/ REG. GLOBO ANGULAR 45G 2.1/2", ADAP.STORZ 2.1/2"X1.1/2",2 MANGUEIRAS INCENDIO 1.1/2", TIPO 2, 15M CADA,ESGUINCHO LATAO 1.1/2",CH DUPLA P/ CONEXOES TIPO STORZ,TAMPAO C/ CORRENTE, EM LATAO,ENGATE RAPIDO-FORN. INST</t>
  </si>
  <si>
    <t xml:space="preserve">CAIXA EM ALVENARIA PARA HIDRANTE DE PASSEIO, INCLUSIVE REQUADRO E TAMPA DE FERRO FUNDIDO COM INSCRICAO "INCENDIO" - ANEXO H.S.-112 (I)</t>
  </si>
  <si>
    <t xml:space="preserve">REGISTRO TIPO GLOBO ANGULAR 45o, 2 1/2", BUCKA SPIERO, NLF, PIRABRONZE OU SIMILAR, INCLUSIVE TAMPAO CEGO E CORRENTE, DE LATAO, COM ADAPTADOR STORZ (ROSCA 2 1/2"X STORZ 2 1/2")</t>
  </si>
  <si>
    <t xml:space="preserve">REGISTRO TIPO GLOBO ANGULAR 45o 2 1/2", BUCKA SPIERO, NLF, PIRABRONZE OU SIMILAR, INCLUSIVE ADAPTADOR STORZ (ROSCA 2 1/2" X STORZ 1 1/2")</t>
  </si>
  <si>
    <t xml:space="preserve">VALVULA DE RETENCAO VERTICAL, COM PORTINHOLA PARA SISTEMA HIDRAULICO DE INCENDIO, MARCA MIPEL, DOCOL OU SIMILAR, NO(S) DIAMETRO(S):- 2 1/2"</t>
  </si>
  <si>
    <t xml:space="preserve">CHAVE DE FLUXO DE 1" - FLUXOSTATO</t>
  </si>
  <si>
    <t xml:space="preserve">CONJUNTO MOTO-BOMBA SCHNEIDER OU SIMILAR, BPI-21R/5,0 CV TR 220V</t>
  </si>
  <si>
    <t xml:space="preserve">CONJUNTO MOTO-BOMBA SCHNEIDER OU SIMILAR, BPI-22R/7,5 CV TR 220V</t>
  </si>
  <si>
    <t xml:space="preserve">SINAPI - 101905 - EXTINTOR DE INCENDIO PORTATIL COM CARGA DE AGUA PRESSURIZADA DE 10 L, CLASSE A - FORNECIMENTO E INSTALACAO. AF_10/2020_PE</t>
  </si>
  <si>
    <t xml:space="preserve">EXTINTOR DE INCENDIO PORTATIL COM CARGA PQS DE 6KG, CLASSE ABC - FORNECIMENTO E INSTALACAO</t>
  </si>
  <si>
    <t xml:space="preserve">SINAPI - 101906 - EXTINTOR DE INCENDIO PORTATIL COM CARGA DE CO2 DE 4 KG, CLASSE BC - FORNECIMENTO E INSTALACAO. AF_10/2020_PE</t>
  </si>
  <si>
    <t xml:space="preserve">SINAPI - 101907 - EXTINTOR DE INCENDIO PORTATIL COM CARGA DE CO2 DE 6 KG, CLASSE BC - FORNECIMENTO E INSTALACAO. AF_10/2020_PE</t>
  </si>
  <si>
    <t xml:space="preserve">SINAPI - 101908 - EXTINTOR DE INCENDIO PORTATIL COM CARGA DE PQS DE 4 KG, CLASSE BC - FORNECIMENTO E INSTALACAO. AF_10/2020_PE</t>
  </si>
  <si>
    <t xml:space="preserve">SINAPI - 101909 - EXTINTOR DE INCENDIO PORTATIL COM CARGA DE PQS DE 6 KG, CLASSE BC - FORNECIMENTO E INSTALACAO. AF_10/2020_PE</t>
  </si>
  <si>
    <t xml:space="preserve">SINAPI - 101910 - EXTINTOR DE INCENDIO PORTATIL COM CARGA DE PQS DE 8 KG, CLASSE BC - FORNECIMENTO E INSTALACAO. AF_10/2020_PE</t>
  </si>
  <si>
    <t xml:space="preserve">SINAPI - 101911 - EXTINTOR DE INCENDIO PORTATIL COM CARGA DE PQS DE 12 KG, CLASSE BC - FORNECIMENTO E INSTALACAO. AF_10/2020_PE</t>
  </si>
  <si>
    <t xml:space="preserve">BLOCO AUTONOMO DE ILUMINACAO DE EMERGENCIA COM INSCRICAO DE SAIDA OU BALIZAMENTO, SISTEMA NAO PERMANENTE, LAMPADA LED 500 LUMENS 5000K E BATERIA DE 6V-4AH, REF. BLOKITO BLK 500 DA AUREON OU SIMILAR</t>
  </si>
  <si>
    <t xml:space="preserve">BLOCO AUTONOMO DE ILUMINACAO DE EMERGENCIA DE ACLARAMENTO, SISTEMA NAO PERMANENTE, LAMPADA LED 500 LUMENS 5000K E BATERIA DE 6V-4AH, REF. BLOKITO BLK 500 DA AUREON OU SIMILAR</t>
  </si>
  <si>
    <t xml:space="preserve">PLACA DE SINALIZACAO DE PROIBICAO, SIMBOLO CIRCULAR, FUNDO BRANCO, PICTOGRAMA PRETO, FAIXA CIRCULAR E BARRA DIAMETRAL VERMELHA, EM PVC, 2MM ANTI-CHAMAS, DIAMETRO DE 25,2CM</t>
  </si>
  <si>
    <t xml:space="preserve">PLACA DE SINALIZACAO DE ORIENTACAO E SALVAMENTO, SIMBOLO RETANGULAR, FUNDO VERDE, PICTOGRAMA FOTOLUMINESCENTE, EM PVC, 2MM ANTI-CHAMAS, NAS DIMENSOES (13X26)CM</t>
  </si>
  <si>
    <t xml:space="preserve">PLACA DE EQUIPAMENTOS DE COMBATE A INCENDIO E ALARME, SIMBOLO QUADRADO, FUNDO VERMELHO, PICTOGRAMA FOTOLUMINESCENTE, EM PVC, 2MM ANTI-CHAMAS, NAS DIMENSOES (20X20)CM</t>
  </si>
  <si>
    <t xml:space="preserve">PLACA DE INDICACAO CONTINUADA DE ROTAS DE FUGA "DIRECAO DE ROTA DE SAIDA", SIMBOLO RETANGULAR, FUNDO VERDE, PICTOGRAMA FOTOLUMINESCENTE, EM PVC, 2MM ANTI-CHAMAS, NAS DIMENSOES (13X26)CM</t>
  </si>
  <si>
    <t xml:space="preserve">CENTRAL DE ALARME DE INCENDIO ENDERECAVEL, MODELO CIE 1125, (COMPORTA 125 DISPOSITIVOS) DA INTELBRAS OU SIMILAR - FORNECIMENTO E INSTALACAO</t>
  </si>
  <si>
    <t xml:space="preserve">DETECTOR DE FUMACA LINEAR, MODELO DFL 3102, COM ALCANCE DE 40 A 70 METROS DE COMPRIMENTO, DA INTELBRAS OU SIMILAR - FORNECIMENTO E INSTALACAO</t>
  </si>
  <si>
    <t xml:space="preserve">DETECTOR DE FUMACA ENDERECAVEL, MODELO DFE 520, DA INTELBRAS OU SIMILAR - FORNECIMENTO E INSTALACAO</t>
  </si>
  <si>
    <t xml:space="preserve">DETECTOR DE FUMACA CONVENCIONAL, MODELO DFC 420, DA INTELBRAS OU SIMILAR - FORNECIMENTO E INSTALACAO</t>
  </si>
  <si>
    <t xml:space="preserve">DETECTOR DE TEMPERATURA CONVENCIONAL, MODELO DTC 421, DA INTELBRAS OU SIMILAR - FORNECIMENTO E INSTALACAO</t>
  </si>
  <si>
    <t xml:space="preserve">DETECTOR DE TEMPERATURA ENDERECAVEL, MODELO DTE 520, DA INTELBRAS OU SIMILAR - FORNECIMENTO E INSTALACAO</t>
  </si>
  <si>
    <t xml:space="preserve">SIRENE BITONAL AUDIOVISUAL 24VOLTS, 120DB PARA ALARME DE INCENDIO</t>
  </si>
  <si>
    <t xml:space="preserve">ACIONADOR MANUAL TIPO QUEBRA VIDRO, COM MARTELO E BOTOEIRA, PARA ALARME CONVECIONAL, DA ILUMAC OU SIMILAR</t>
  </si>
  <si>
    <t xml:space="preserve">ACIONADOR MANUAL TIPO QUEBRA VIDRO, COM MARTELO E BOTOEIRA, PARA ALARME ENDERECAVEL, DA ILUMAC OU SIMILAR</t>
  </si>
  <si>
    <t xml:space="preserve">ACIONADOR MANUAL TIPO QUEBRA VIDRO, COM MARTELO E BOTOEIRA, LIGA-DESLIGA, PARA ACIONAMENTO DE BOMBA DE INCENDIO</t>
  </si>
  <si>
    <t xml:space="preserve">REVESTIMENTO DE PAREDES</t>
  </si>
  <si>
    <t xml:space="preserve">SINAPI - 87879 - CHAPISCO APLICADO EM ALVENARIAS E ESTRUTURAS DE CONCRETO INTERNAS, COM COLHER DE PEDREIRO.  ARGAMASSA TRACO 1:3 COM PREPARO EM BETONEIRA 400L. AF_10/2022</t>
  </si>
  <si>
    <t xml:space="preserve">SINAPI - 87894 - CHAPISCO APLICADO EM ALVENARIA (SEM PRESENCA DE VAOS) E ESTRUTURAS DE CONCRETO DE FACHADA, COM COLHER DE PEDREIRO.  ARGAMASSA TRACO 1:3 COM PREPARO EM BETONEIRA 400L. AF_10/2022</t>
  </si>
  <si>
    <t xml:space="preserve">CHAPISCO PARA PAREDES EXTERNAS E INTERNAS COM ARGAMASSA DE CIMENTO E AREIA NO TRACO 1:3</t>
  </si>
  <si>
    <t xml:space="preserve">SINAPI - 87529 - MASSA UNICA, EM ARGAMASSA TRACO 1:2:8, PREPARO MECANICO, APLICADA MANUALMENTE EM PAREDES INTERNAS DE AMBIENTES COM AREA ENTRE 5M2 E 10M2, E = 17,5MM, COM TALISCAS. AF_03/2024</t>
  </si>
  <si>
    <t xml:space="preserve">SINAPI - 87775 - EMBOCO OU MASSA UNICA EM ARGAMASSA TRACO 1:2:8, PREPARO MECANICO COM BETONEIRA 400 L, APLICADA MANUALMENTE EM PANOS DE FACHADA COM PRESENCA DE VAOS, ESPESSURA DE 25 MM. AF_08/2022</t>
  </si>
  <si>
    <t xml:space="preserve">SINAPI - 87531 - EMBOCO, EM ARGAMASSA TRACO 1:2:8, PREPARO MECANICO, APLICADO MANUALMENTE EM PAREDES INTERNAS DE AMBIENTES COM AREA ENTRE 5M2 E 10M2, E = 17,5MM, COM TALISCAS. AF_03/2024</t>
  </si>
  <si>
    <t xml:space="preserve">SINAPI - 87792 - EMBOCO OU MASSA UNICA EM ARGAMASSA TRACO 1:2:8, PREPARO MECANICO COM BETONEIRA 400 L, APLICADA MANUALMENTE EM PANOS CEGOS DE FACHADA (SEM PRESENCA DE VAOS), ESPESSURA DE 25 MM. AF_08/2022</t>
  </si>
  <si>
    <t xml:space="preserve">REVESTIMENTO DE PAREDE CERAMICO, PLACAS DE (30 X 60)CM, LINHA WHITE PLAIN MATTE, BORDA BOLD DA PORTINARI OU SIMILAR, ASSENTADO COM ARGAMASSA COLANTE EM PO (CIMENTCOLA, QUARTZOLIT OU SIMILAR), INCL. REJUNTE L FLEX DA PORTOCOL OU SIMILAR</t>
  </si>
  <si>
    <t xml:space="preserve">SINAPI - 87273 - REVESTIMENTO CERAMICO PARA PAREDES INTERNAS COM PLACAS TIPO ESMALTADA DE DIMENSOES 33X45 CM APLICADAS NA ALTURA INTEIRA DAS PAREDES. AF_02/2023_PE</t>
  </si>
  <si>
    <t xml:space="preserve">REVESTIMENTO DE PAREDE EM PORCELANATO ACETINADO, PLACAS DE (60 X 60)CM, TIPO A, LINHA CEMENTO GRIGIO, BORDA RETIFICADA DA BIANCOGRES OU SIMILAR, EMPREGANDO ARGAMASSA COLANTE EM PO, QUARTZOLIT OU SIMILAR, INCLUSIVE REJUNTE</t>
  </si>
  <si>
    <t xml:space="preserve">REVESTIMENTO DE PAREDE EM PORCELANATO ACETINADO, PLACAS DE (87 X 87(CM, TIPO A, LINHA YORK, COR SGR, REF. 59800, BORDA RETIFICADA DA PORTINARI OU SIMILAR, EMPREGANDO ARGAMASSA COLANTE EM PO, QUARTZOLIT OU SIMILAR, INCLUSIVE REJUNTE</t>
  </si>
  <si>
    <t xml:space="preserve">SINAPI - 87244 - REVESTIMENTO CERAMICO PARA PAREDES EXTERNAS EM PASTILHAS DE PORCELANA 5 X 5 CM (PLACAS DE 30 X 30 CM), ALINHADAS A PRUMO. AF_02/2023</t>
  </si>
  <si>
    <t xml:space="preserve">CANTONEIRA DE ALUMINIO ABAS IGUAIS 1", E = 3/16", PARA PROTECAO DE QUINA DE PAREDE</t>
  </si>
  <si>
    <t xml:space="preserve">REVESTIMENTO DE FORROS</t>
  </si>
  <si>
    <t xml:space="preserve">SINAPI - 87881 - CHAPISCO APLICADO NO TETO OU EM ALVENARIA E ESTRUTURA, COM ROLO PARA TEXTURA ACRILICA. ARGAMASSA TRACO 1:4 E EMULSAO POLIMERICA (ADESIVO) COM PREPARO MANUAL. AF_10/2022</t>
  </si>
  <si>
    <t xml:space="preserve">SINAPI - 87885 - CHAPISCO APLICADO NO TETO OU EM ALVENARIA E ESTRUTURA, COM ROLO PARA TEXTURA ACRILICA. ARGAMASSA INDUSTRIALIZADA COM PREPARO EM MISTURADOR 300 KG. AF_10/2022</t>
  </si>
  <si>
    <t xml:space="preserve">CHAPISCO PARA TETO COM ARGAMASSA DE CIMENTO E AREIA NO TRACO 1:3</t>
  </si>
  <si>
    <t xml:space="preserve">EMBOCO PARA FORRO, EMPREGANDO ARGAMASSA MISTA DE CIMENTO, CAL E AREIA NO TRACO 1:2:9, ESPESSURA DE 2 CM</t>
  </si>
  <si>
    <t xml:space="preserve">SINAPI - 104756 - FORRO EM MADEIRA PINUS, PARA AMBIENTES RESIDENCIAIS E COMERCIAIS, INCLUSIVE ESTRUTURA BIDIRECIONAL DE FIXACAO. AF_08/2023</t>
  </si>
  <si>
    <t xml:space="preserve">SINAPI - 96122 - ACABAMENTOS PARA FORRO (RODA-FORRO EM MADEIRA PINUS). AF_08/2023</t>
  </si>
  <si>
    <t xml:space="preserve">SINAPI - 96113 - FORRO EM PLACAS DE GESSO, PARA AMBIENTES COMERCIAIS. AF_08/2023_PS</t>
  </si>
  <si>
    <t xml:space="preserve">SINAPI - 96114 - FORRO EM DRYWALL, PARA AMBIENTES COMERCIAIS, INCLUSIVE ESTRUTURA BIRECIONAL DE FIXACAO. AF_08/2023_PS</t>
  </si>
  <si>
    <t xml:space="preserve">SINAPI - 96120 - ACABAMENTOS PARA FORRO (MOLDURA DE GESSO). AF_08/2023</t>
  </si>
  <si>
    <t xml:space="preserve">JUNTA PAULISTA PARA FORRO DE GESSO - FORNECIMENTO E INSTALACAO</t>
  </si>
  <si>
    <t xml:space="preserve">SINAPI - 96116 - FORRO EM REGUAS DE PVC, FRISADO, PARA AMBIENTES COMERCIAIS, INCLUSIVE ESTRUTURA BIDIRECIONAL DE FIXACAO. AF_08/2023_PS</t>
  </si>
  <si>
    <t xml:space="preserve">REVESTIMENTO DE PISOS</t>
  </si>
  <si>
    <t xml:space="preserve">APILOAMENTO DE SOLO, PARA RECEBIMENTO DE LASTRO, COM MACO DE 30 KG</t>
  </si>
  <si>
    <t xml:space="preserve">SINAPI - 95240 - LASTRO DE CONCRETO MAGRO, APLICADO EM PISOS, LAJES SOBRE SOLO OU RADIERS, ESPESSURA DE 3 CM. AF_01/2024</t>
  </si>
  <si>
    <t xml:space="preserve">CONTRAPISO EM CONCRETO FCK=15MPa, TRACO 1:3,4:3,5 (CIMENTO, AREIA MEDIA E BRITA 1), ESPESSURA DE 5CM</t>
  </si>
  <si>
    <t xml:space="preserve">PISO TIPO PORCELANATO ACETINADO, PLACAS DE (87 X 87)CM, TIPO A, LINHA YORK, COR  SGR, REF. 59800,  BORDA RETIFICADA DA PORTINARI  OU SIMILAR, EMPREGANDO ARGAMASSA COLANTE EM PO, QUARTZOLIT OU SIMILAR, INCLUSIVE REJUNTE</t>
  </si>
  <si>
    <t xml:space="preserve">RODAPE DE SOBREPOR EM PORCELANATO ACETINADO, LINHA YORK, BORDA RETIFICADA, DA PORTINARI OU SIMILAR, H=10CM, ASSENTADO COM ARGAMASSA IDEM AO PISO</t>
  </si>
  <si>
    <t xml:space="preserve">PISO TIPO PORCELANATO ACETINADO, PLACAS DE (60 X 60)CM, TIPO A, LINHA CEMENTO GRIGIO, BORDA RETIFICADA DA BIANCOGRES OU SIMILAR, EMPREGANDO ARGAMASSA COLANTE EM PO, QUARTZOLIT OU SIMILAR, INCLUSIVE REJUNTE</t>
  </si>
  <si>
    <t xml:space="preserve">RODAPE DE SOBREPOR EM PORCELANATO ACETINADO, LINHA CEMENTO GRIGIO, BORDA RETIFICADA, DA BIANCOGRES OU SIMILAR, H=10CM, ASSENTADO COM ARGAMASSA IDEM AO PISO</t>
  </si>
  <si>
    <t xml:space="preserve">PISO TIPO PORCELANATO ACETINADO, PLACAS DE (73 X 73)CM, TIPO A, LINHA MADRI, BORDA RETIFICADA DA DELTA OU SIMILAR, EMPREGANDO ARGAMASSA COLANTE EM PO, QUARTZOLIT OU SIMILAR, INCLUSIVE REJUNTE</t>
  </si>
  <si>
    <t xml:space="preserve">RODAPE DE SOBREPOR TIPO PORCELANATO ACETINADO, LINHA MADRI, BORDA RETIFICADA, DA DELTA OU SIMILAR, H=10CM, ASSENTADO COM ARGAMASSA IDEM AO PISO</t>
  </si>
  <si>
    <t xml:space="preserve">SINAPI - 87257 - REVESTIMENTO CERAMICO PARA PISO COM PLACAS TIPO ESMALTADA DE DIMENSOES 60X60 CM APLICADA EM AMBIENTES DE AREA MAIOR QUE 10 M2. AF_02/2023_PE</t>
  </si>
  <si>
    <t xml:space="preserve">SINAPI - 88650 - RODAPE CERAMICO DE 7CM DE ALTURA COM PLACAS TIPO ESMALTADA DE DIMENSOES 60X60CM. AF_02/2023</t>
  </si>
  <si>
    <t xml:space="preserve">PISO VINILICO CLICADO, ESP=5MM, EM REGUAS DE 1,52 X 0,18M , COR MEL, LINHA TECH AMBIENTA DA TARKETT OU SIMILAR - FORNECIMENTO INSTALACAO</t>
  </si>
  <si>
    <t xml:space="preserve">REGULARIZACAO DE PISO, ESPESSURA 2MM, UTILIZANDO ARGAMASSA AUTONIVELANTE PARA PISOS VINILICOS E LAMINADOS (CONSUMO DE 1,70KG/M2/MM), DA QUARTZOLIT OU SIMILAR</t>
  </si>
  <si>
    <t xml:space="preserve">REGULARIZACAO SARRAFEADA PARA REVESTIMENTO DE PISO COM ARGAMASSA DE CIMENTO E AREIA NO TRACO 1:3, NA(S) ESPESSURA(S):- 2 CM</t>
  </si>
  <si>
    <t xml:space="preserve">- 3 CM</t>
  </si>
  <si>
    <t xml:space="preserve">SINAPI - 101727 - PISO VINILICO SEMI-FLEXIVEL EM PLACAS, PADRAO LISO, ESPESSURA 3,2 MM, FIXADO COM COLA. AF_09/2020</t>
  </si>
  <si>
    <t xml:space="preserve">SINAPI - 98688 - RODAPE EM POLIESTIRENO, ALTURA 5 CM. AF_09/2020</t>
  </si>
  <si>
    <t xml:space="preserve">SINAPI - 104162 - PISO EM GRANILITE, MARMORITE OU GRANITINA EM AMBIENTES INTERNOS, COM ESPESSURA DE 8 MM, INCLUSO MISTURA EM BETONEIRA, COLOCACAO DAS JUNTAS, APLICACAO DO PISO, 4 POLIMENTOS COM POLITRIZ, ESTUCAMENTO, SELADOR E CERA. AF_06/2022</t>
  </si>
  <si>
    <t xml:space="preserve">POLIMENTO MECANIZADO DE PISO GRANILITE  UTILIZANDO INSERTOS DIAMANTADOS ABRASIVOS, ESTUCAMENTO COM CIMENTO BRANCO E POSTERIOR APLICACAO DE CERA LIQUIDA INCOLOR</t>
  </si>
  <si>
    <t xml:space="preserve">RODAPE PRE-MOLDADO DE GRANILITE, MARMORITE OU GRANITINA L=10 CM, ASSENTADA COM ARGAMASSA DE CIMENTO E AREIA TRACO 1:4 - FORNECIMENTO E INSTALACAO</t>
  </si>
  <si>
    <t xml:space="preserve">SOLEIRA PRE-MOLDADA EM GRANILITE, MARMORITE OU GRANITINA, L=15CM, ASSENTADA COM ARGAMASSA DE CIMENTO E AREIA NO TRACO 1:4</t>
  </si>
  <si>
    <t xml:space="preserve">APLICACAO DE CERA INCOLOR LIQUIDA (BRILHO VAX OU SIMILAR), EM DUAS DEMAOS, SOBRE SUPERFICIE DE GRANILITE</t>
  </si>
  <si>
    <t xml:space="preserve">APLICACAO DE RESINA ACRILICA (HIDRONORTH OU SIMILAR), EM DUAS DEMAOS, SOBRE SUPERFICIE DE GRANILITE</t>
  </si>
  <si>
    <t xml:space="preserve">PEITORIL DE GRANILITE PRE-MOLDADO DE 15 CM DE LARGURA, ASSENTADOS COM ARGAMASSA DE CIMENTO E AREIA NO TRACO 1:4</t>
  </si>
  <si>
    <t xml:space="preserve">SINAPI - 94994 - EXECUCAO DE PASSEIO (CALCADA) OU PISO DE CONCRETO COM CONCRETO MOLDADO IN LOCO, FEITO EM OBRA, ACABAMENTO CONVENCIONAL, ESPESSURA 8 CM, ARMADO. AF_08/2022</t>
  </si>
  <si>
    <t xml:space="preserve">EXECUCAO DE PASSEIO (CALCADA) OU PISO DE CONCRETO COM CONCRETO MOLDADO IN LOCO, USINADO, ACABAMENTO CONVENCIONAL, ESPESSURA 10 CM, ARMADO</t>
  </si>
  <si>
    <t xml:space="preserve">SINAPI - 101747 - PISO EM CONCRETO 20 MPA PREPARO MECANICO, ESPESSURA 7CM. AF_09/2020</t>
  </si>
  <si>
    <t xml:space="preserve">SINAPI - 94990 - EXECUCAO DE PASSEIO (CALCADA) OU PISO DE CONCRETO COM CONCRETO MOLDADO IN LOCO, FEITO EM OBRA, ACABAMENTO CONVENCIONAL, NAO ARMADO. AF_08/2022</t>
  </si>
  <si>
    <t xml:space="preserve">PISO DE CONCRETO FCK=20 MPA, VIBRADO EM OBRA, CONTROLE B,  ESPESSURA 7CM, ARMADO, ACABAMENTO POLIDO COM ACABADORA DE SUPERFICIE, JUNTA SERRADA</t>
  </si>
  <si>
    <t xml:space="preserve">PISO DE CONCRETO FCK=20 MPA, VIBRADO EM OBRA, CONTROLE B, ESPESSURA 10CM, ARMADO, ACABAMENTO POLIDO COM ACABADORA DE SUPERFICIE, JUNTA SERRADA</t>
  </si>
  <si>
    <t xml:space="preserve">SINAPI - 98679 - PISO CIMENTADO, TRACO 1:3 (CIMENTO E AREIA), ACABAMENTO LISO, ESPESSURA 2,0 CM, PREPARO MECANICO DA ARGAMASSA. AF_09/2020</t>
  </si>
  <si>
    <t xml:space="preserve">SINAPI - 98680 - PISO CIMENTADO, TRACO 1:3 (CIMENTO E AREIA), ACABAMENTO LISO, ESPESSURA 3,0 CM, PREPARO MECANICO DA ARGAMASSA. AF_09/2020</t>
  </si>
  <si>
    <t xml:space="preserve">SINAPI - 98681 - PISO CIMENTADO, TRACO 1:3 (CIMENTO E AREIA), ACABAMENTO RUSTICO, ESPESSURA 2,0 CM, PREPARO MECANICO DA ARGAMASSA. AF_09/2020</t>
  </si>
  <si>
    <t xml:space="preserve">RODAPE EM CIMENTADO DESEMPENADO E ALISADO COM ALTURA DE 7CM</t>
  </si>
  <si>
    <t xml:space="preserve">RODAPE EM CIMENTADO DESEMPENADO E ALISADO COM ALTURA DE 10CM</t>
  </si>
  <si>
    <t xml:space="preserve">SINAPI - 98689 - SOLEIRA EM GRANITO, LARGURA 15 CM, ESPESSURA 2,0 CM. AF_09/2020</t>
  </si>
  <si>
    <t xml:space="preserve">SINAPI - 101965 - PEITORIL LINEAR EM GRANITO OU MARMORE, L = 15CM, COMPRIMENTO DE ATE 2M, ASSENTADO COM ARGAMASSA 1:6 COM ADITIVO. AF_11/2020</t>
  </si>
  <si>
    <t xml:space="preserve">RASPAGEM DE ASSOALHO DE MADEIRA, COM PALHA DE ACO, PARA REMOCAO DE ENCERAMENTOS</t>
  </si>
  <si>
    <t xml:space="preserve">CORTE MECANICO DE PAVIMENTO ASFALTICO OU PISO DE CONCRETO COM SERRA DE DISCO DIAMANTADO</t>
  </si>
  <si>
    <t xml:space="preserve">PERFIL REDUTOR METALICO PARA PISO LAMINADO, 5MM X 3,2CM, COR CHAMPANHE, INSTALADO COM POLIURETANO</t>
  </si>
  <si>
    <t xml:space="preserve">PERFIL DE TRANSICAO "T" MESMO NIVEL, EM ALUMINIO, PARA PISO CLICADO, COR CHAMPAGNE, LARGURA DE 3 CM E ALTURA DE 5 MM, INCLUSO BASE DE FIXACAO</t>
  </si>
  <si>
    <t xml:space="preserve">RODAPE DE EMBUTIR EM PORCELANATO ACETINADO, LINHA YORK, BORDA RETIFICADA, DA PORTINARI OU SIMILAR, H=10CM, ASSENTADO COM ARGAMASSA IDEM AO PISO</t>
  </si>
  <si>
    <t xml:space="preserve">RODAPE DE EMBUTIR EM PORCELANATO ACETINADO, LINHA CEMENTO GRIGIO, BORDA RETIFICADA, DA BIANCOGRES OU SIMILAR, H=10CM, ASSENTADO COM ARGAMASSA IDEM AO PISO</t>
  </si>
  <si>
    <t xml:space="preserve">RODAPE DE EMBUTIR TIPO PORCELANATO ACETINADO, LINHA MADRI, BORDA RETIFICADA, DA DELTA OU SIMILAR, H=10CM, ASSENTADO COM ARGAMASSA IDEM AO PISO</t>
  </si>
  <si>
    <t xml:space="preserve">RODAPE DE EMBUTIR EM PORCELANATO ACETINADO, LINHA CEMENTO GRIGIO, BORDA RETIFICADA, DA BIANCOGRES OU SIMILAR, H=30CM, ASSENTADO COM ARGAMASSA IDEM AO PISO</t>
  </si>
  <si>
    <t>VIDROS</t>
  </si>
  <si>
    <t xml:space="preserve">SINAPI - 102151 - INSTALACAO DE VIDRO LISO INCOLOR, E = 3 MM, EM ESQUADRIA DE MADEIRA, FIXADO COM BAGUETE. AF_01/2021</t>
  </si>
  <si>
    <t xml:space="preserve">SINAPI - 102161 - INSTALACAO DE VIDRO LISO INCOLOR, E = 3 MM, EM ESQUADRIA DE ALUMINIO OU PVC, FIXADO COM BAGUETE. AF_01/2021_PS</t>
  </si>
  <si>
    <t xml:space="preserve">SINAPI - 102152 - INSTALACAO DE VIDRO LISO, E = 4 MM, EM ESQUADRIA DE MADEIRA, FIXADO COM BAGUETE. AF_01/2021</t>
  </si>
  <si>
    <t xml:space="preserve">SINAPI - 102162 - INSTALACAO DE VIDRO LISO INCOLOR, E = 4 MM, EM ESQUADRIA DE ALUMINIO OU PVC, FIXADO COM BAGUETE. AF_01/2021_PS</t>
  </si>
  <si>
    <t xml:space="preserve">INSTALACAO DE VIDRO CANELADO OU MARTELADO LISO, E = 4 MM, EM ESQUADRIA DE MADEIRA, FIXADO COM BAGUETE</t>
  </si>
  <si>
    <t xml:space="preserve">INSTALACAO DE VIDRO CANELADO OU MARTELADO LISO, E = 4 MM, EM ESQUADRIA DE ALUMINIO OU PVC, FIXADO COM BAGUETE</t>
  </si>
  <si>
    <t xml:space="preserve">SINAPI - 102153 - INSTALACAO DE VIDRO LISO FUME, E = 4 MM, EM ESQUADRIA DE MADEIRA, FIXADO COM BAGUETE. AF_01/2021</t>
  </si>
  <si>
    <t xml:space="preserve">SINAPI - 102163 - INSTALACAO DE VIDRO LISO FUME, E = 4 MM, EM ESQUADRIA DE ALUMINIO OU PVC, FIXADO COM BAGUETE. AF_01/2021_PS</t>
  </si>
  <si>
    <t xml:space="preserve">SINAPI - 102172 - INSTALACAO DE VIDRO ARAMADO, E = 7 MM, EM ESQUADRIA DE ALUMINIO OU PVC, FIXADO COM BAGUETE. AF_01/2021_PS</t>
  </si>
  <si>
    <t xml:space="preserve">SINAPI - 102179 - INSTALACAO DE VIDRO TEMPERADO, E = 6 MM, ENCAIXADO EM PERFIL U. AF_01/2021_PS</t>
  </si>
  <si>
    <t xml:space="preserve">SINAPI - 102180 - INSTALACAO DE VIDRO TEMPERADO, E = 8 MM, ENCAIXADO EM PERFIL U. AF_01/2021_PS</t>
  </si>
  <si>
    <t xml:space="preserve">SINAPI - 102181 - INSTALACAO DE VIDRO TEMPERADO, E = 10 MM, ENCAIXADO EM PERFIL U. AF_01/2021_PS</t>
  </si>
  <si>
    <t xml:space="preserve">ESPELHO CRISTAL, ESPESSURA 4MM FIXADO COM BOTAO FRANCES DE PLASTICO CROMADO, PARAFUSO E BUCHA, SEM MOLDURA - FORNECIMENTO E INSTALACAO</t>
  </si>
  <si>
    <t xml:space="preserve">SINAPI - 101164 - ALVENARIA DE VEDACAO COM BLOCO DE VIDRO, TIPO CANELADO, DE 8X19X19CM E ARGAMASSA DE ASSENTAMENTO COM PREPARO EM BETONEIRA. AF_05/2020</t>
  </si>
  <si>
    <t xml:space="preserve">SINAPI - 101163 - ALVENARIA DE VEDACAO COM BLOCO DE VIDRO VAZADO, TIPO VENEZIANA, DE 6X20X20CM E ARGAMASSA DE ASSENTAMENTO COM PREPARO EM BETONEIRA. AF_05/2020</t>
  </si>
  <si>
    <t>PINTURA</t>
  </si>
  <si>
    <t xml:space="preserve">PINTURA COM FUNDO PREPARADOR EM PAREDES E TETOS (SUPERFICIES VELHAS) EM 1(UMA) DEMAO</t>
  </si>
  <si>
    <t xml:space="preserve">SINAPI - 88484 - FUNDO SELADOR ACRILICO, APLICACAO MANUAL EM TETO, UMA DEMAO. AF_04/2023</t>
  </si>
  <si>
    <t xml:space="preserve">SINAPI - 88485 - FUNDO SELADOR ACRILICO, APLICACAO MANUAL EM PAREDE, UMA DEMAO. AF_04/2023</t>
  </si>
  <si>
    <t xml:space="preserve">SINAPI - 100719 - PINTURA COM TINTA ALQUIDICA DE FUNDO (TIPO ZARCAO) PULVERIZADA SOBRE PERFIL METALICO EXECUTADO EM FABRICA (POR DEMAO). AF_01/2020_PE</t>
  </si>
  <si>
    <t xml:space="preserve">SINAPI - 88497 - EMASSAMENTO COM MASSA LATEX, APLICACAO EM PAREDE, DUAS DEMAOS, LIXAMENTO MANUAL. AF_04/2023</t>
  </si>
  <si>
    <t xml:space="preserve">SINAPI - 88496 - EMASSAMENTO COM MASSA LATEX, APLICACAO EM TETO, DUAS DEMAOS, LIXAMENTO MANUAL. AF_04/2023</t>
  </si>
  <si>
    <t xml:space="preserve">APLICACAO E LIXAMENTO DE MASSA ACRILICA EM PAREDES EM DUAS DEMAOS</t>
  </si>
  <si>
    <t xml:space="preserve">EMASSAMENTO EM ESQUADRIAS DE MADEIRA, COM 1(UMA) MAO DE MASSA A OLEO</t>
  </si>
  <si>
    <t xml:space="preserve">SINAPI - 88488 - PINTURA LATEX ACRILICA PREMIUM, APLICACAO MANUAL EM TETO, DUAS DEMAOS. AF_04/2023</t>
  </si>
  <si>
    <t xml:space="preserve">SINAPI - 88489 - PINTURA LATEX ACRILICA PREMIUM, APLICACAO MANUAL EM PAREDES, DUAS DEMAOS. AF_04/2023</t>
  </si>
  <si>
    <t xml:space="preserve">PINTURA LATEX ACRILICO EM PLACAS OU TELHAS DE FIBROCIMENTO</t>
  </si>
  <si>
    <t xml:space="preserve">SINAPI - 102491 - PINTURA DE PISO COM TINTA ACRILICA, APLICACAO MANUAL, 2 DEMAOS, INCLUSO FUNDO PREPARADOR. AF_05/2021</t>
  </si>
  <si>
    <t xml:space="preserve">SINAPI - 100758 - PINTURA COM TINTA ALQUIDICA DE ACABAMENTO (ESMALTE SINTETICO ACETINADO) APLICADA A ROLO OU PINCEL SOBRE SUPERFICIES METALICAS (EXCETO PERFIL) EXECUTADO EM OBRA (02 DEMAOS). AF_01/2020</t>
  </si>
  <si>
    <t xml:space="preserve">SINAPI - 100759 - PINTURA COM TINTA ALQUIDICA DE ACABAMENTO (ESMALTE SINTETICO BRILHANTE) PULVERIZADA SOBRE SUPERFICIES METALICAS (EXCETO PERFIL) EXECUTADO EM OBRA (02 DEMAOS). AF_01/2020_PE</t>
  </si>
  <si>
    <t xml:space="preserve">PINTURA ESMALTE EM PAREDES EM 1(UMA) DEMAO</t>
  </si>
  <si>
    <t xml:space="preserve">PINTURA ESMALTE EM PAREDES INTERNAS/EXTERNAS EM 2(DUAS) DEMAOS</t>
  </si>
  <si>
    <t xml:space="preserve">SINAPI - 102219 - PINTURA TINTA DE ACABAMENTO (PIGMENTADA) ESMALTE SINTETICO ACETINADO EM MADEIRA, 2 DEMAOS. AF_01/2021</t>
  </si>
  <si>
    <t xml:space="preserve">SINAPI - 102220 - PINTURA TINTA DE ACABAMENTO (PIGMENTADA) ESMALTE SINTETICO BRILHANTE EM MADEIRA, 2 DEMAOS. AF_01/2021</t>
  </si>
  <si>
    <t xml:space="preserve">SINAPI - 100746 - PINTURA COM TINTA ALQUIDICA DE ACABAMENTO (ESMALTE SINTETICO BRILHANTE) APLICADA A ROLO OU PINCEL SOBRE SUPERFICIES METALICAS (EXCETO PERFIL) EXECUTADO EM OBRA (POR DEMAO). AF_01/2020</t>
  </si>
  <si>
    <t xml:space="preserve">SINAPI - 100726 - PINTURA COM TINTA ALQUIDICA DE FUNDO E ACABAMENTO (ESMALTE SINTETICO GRAFITE) APLICADA A ROLO OU PINCEL SOBRE SUPERFICIES METALICAS (EXCETO PERFIL) EXECUTADO EM OBRA (POR DEMAO). AF_01/2020</t>
  </si>
  <si>
    <t xml:space="preserve">SINAPI - 100762 - PINTURA COM TINTA ALQUIDICA DE ACABAMENTO (ESMALTE SINTETICO FOSCO) APLICADA A ROLO OU PINCEL SOBRE SUPERFICIES METALICAS (EXCETO PERFIL) EXECUTADO EM OBRA (02 DEMAOS). AF_01/2020</t>
  </si>
  <si>
    <t xml:space="preserve">SINAPI - 102504 - PINTURA DE DEMARCACAO DE QUADRA POLIESPORTIVA COM TINTA ACRILICA, E = 5 CM, APLICACAO MANUAL. AF_05/2021</t>
  </si>
  <si>
    <t xml:space="preserve">PINTURA VERNIZ EM ESQUADRIAS DE MADEIRA EM 1(UMA) DEMAO</t>
  </si>
  <si>
    <t xml:space="preserve">SINAPI - 102223 - PINTURA VERNIZ (INCOLOR) ALQUIDICO EM MADEIRA, USO INTERNO E EXTERNO, 3 DEMAOS. AF_01/2021</t>
  </si>
  <si>
    <t xml:space="preserve">PINTURA VERNIZ EM FORRO DE MADEIRA EM 1(UMA) DEMAO</t>
  </si>
  <si>
    <t xml:space="preserve">SINAPI - 102213 - PINTURA VERNIZ (INCOLOR) ALQUIDICO EM MADEIRA, USO INTERNO E EXTERNO, 2 DEMAOS. AF_01/2021</t>
  </si>
  <si>
    <t xml:space="preserve">PINTURA HIDROFUGANTE SOBRE SUPERFICIES DE TIJOLO A VISTA OU CONCRETO APARENTE, COM UMA DEMAO</t>
  </si>
  <si>
    <t xml:space="preserve">REVESTIMENTO DE ACABAMENTO ARRANHADO, APLICADO COM DESEMPENADEIRA MALHA MEDIA, INCLUSIVE FUNDO PREPARADOR</t>
  </si>
  <si>
    <t xml:space="preserve">SINAPI - 95305 - TEXTURA ACRILICA, APLICACAO MANUAL EM PAREDE, UMA DEMAO. AF_04/2023</t>
  </si>
  <si>
    <t xml:space="preserve">SINAPI - 95306 - TEXTURA ACRILICA, APLICACAO MANUAL EM TETO, UMA DEMAO. AF_04/2023</t>
  </si>
  <si>
    <t>ACESSIBILIDADE</t>
  </si>
  <si>
    <t xml:space="preserve">ASSENTO UNIVERSAL PARA BACIA SANITARIA, EM POLIPROPILENO LINHA EVOLUTION SOFT CLOSE DA TUPAN OU SIMILAR</t>
  </si>
  <si>
    <t xml:space="preserve">SINAPI - 95472 - VASO SANITARIO SIFONADO CONVENCIONAL PARA PCD SEM FURO FRONTAL COM LOUCA BRANCA SEM ASSENTO, INCLUSO CONJUNTO DE LIGACAO PARA BACIA SANITARIA AJUSTAVEL - FORNECIMENTO E INSTALACAO. AF_01/2020</t>
  </si>
  <si>
    <t xml:space="preserve">VASO SANITARIO REF. P.515.17 COM CAIXA ACOPLADA SAIDA VERTICAL REF. CDC.01F.17, AMBOS DA LINHA VOGUE PLUS CONFORTO BRANCA DA DECA OU SIMILAR, INCLUSIVE PERTENCES</t>
  </si>
  <si>
    <t xml:space="preserve">LAVATORIO DE LOUCA BRANCA REF. L.510.17 COM COLUNA SUSPENSA REF. C.510.17, AMBOS DECA VOGUE PLUS OU SIMILAR PARA P.N.E., INCLUSIVE PERTENCES, COM VALVULA, SIFAO, ENGATES CROMADOS</t>
  </si>
  <si>
    <t xml:space="preserve">ACABAMENTO PARA VALVULA DE DESCARGA HYDRA ECO CONFORTO CROMADO REF. 4900.C.CONF DA DECA OU SIMILAR - FORNECIMENTO E INSTALACAO</t>
  </si>
  <si>
    <t xml:space="preserve">TORNEIRA PARA LAVATORIO DE MESA PRESSMATIC BENEFIT REF. 00490706 DA DOCOL OU SIMILAR</t>
  </si>
  <si>
    <t xml:space="preserve">LAVATORIO DE CANTO LOUCA BRANCA SUSPENSO *40 X 30* CM, FORNECIMENTO E INSTALACAO</t>
  </si>
  <si>
    <t xml:space="preserve">DUCHA MANUAL COM DESVIADOR REF. 934106 D98 CROMADO DA DOCOL OU SIMILAR - FORNECIMENTO E INSTALACAO</t>
  </si>
  <si>
    <t xml:space="preserve">*  ACESSORIOS</t>
  </si>
  <si>
    <t xml:space="preserve">SINAPI - 100868 - BARRA DE APOIO RETA, EM ACO INOX POLIDO, COMPRIMENTO 80 CM,  FIXADA NA PAREDE - FORNECIMENTO E INSTALACAO. AF_01/2020</t>
  </si>
  <si>
    <t xml:space="preserve">SINAPI - 100867 - BARRA DE APOIO RETA, EM ACO INOX POLIDO, COMPRIMENTO 70 CM,  FIXADA NA PAREDE - FORNECIMENTO E INSTALACAO. AF_01/2020</t>
  </si>
  <si>
    <t xml:space="preserve">BARRA DE APOIO RETA, EM ACO INOX POLIDO, COMPRIMENTO DE 40CM, DIAMETRO MINIMO DE 3CM</t>
  </si>
  <si>
    <t xml:space="preserve">BARRA DE APOIO DE 25X25CM, EM ACO INOX POLIDO, DIAMETRO DE 3,8CM, CHAPA 18CM</t>
  </si>
  <si>
    <t xml:space="preserve">SINAPI - 100865 - BARRA DE APOIO LATERAL ARTICULADA, COM TRAVA, EM ACO INOX POLIDO, FIXADA NA PAREDE - FORNECIMENTO E INSTALACAO. AF_01/2020</t>
  </si>
  <si>
    <t xml:space="preserve">SINAPI - 100866 - BARRA DE APOIO RETA, EM ACO INOX POLIDO, COMPRIMENTO 60CM, FIXADA NA PAREDE - FORNECIMENTO E INSTALACAO. AF_01/2020</t>
  </si>
  <si>
    <t xml:space="preserve">SINAPI - 100863 - BARRA DE APOIO EM "L", EM ACO INOX POLIDO 70 X 70 CM, FIXADA NA PAREDE - FORNECIMENTO E INSTALACAO. AF_01/2020</t>
  </si>
  <si>
    <t xml:space="preserve">SINAPI - 100875 - BANCO ARTICULADO, EM ACO INOX, PARA PCD, FIXADO NA PAREDE - FORNECIMENTO E INSTALACAO. AF_01/2020</t>
  </si>
  <si>
    <t xml:space="preserve">RAMPA PORTATIL PARA ADEQUACAO DE ACESSO DE CADEIRANTES DE 1.10 X 0.82 X 0,05M, DA MULTIRAMPA OU SIMILAR</t>
  </si>
  <si>
    <t xml:space="preserve">FITA ANTIDERRAPANTE AUTOADESIVA (PRETA OU INCOLOR) 50MMX30M, DA ANLIK OU SIMILAR</t>
  </si>
  <si>
    <t xml:space="preserve">FITA ANTIDERRAPANTE FOTOLUMINESCENTE AUTOADESIVA (VERDE CLARO) 50MMX30M, DA ANLIK OU SIMILAR</t>
  </si>
  <si>
    <t xml:space="preserve">SINALIZADOR VISUAL DE DEGRAUS FOTOLUMINESCENTE 7X3CM, DA ANLIK OU SIMILAR - FORNECIMENTO E INSTALACAO</t>
  </si>
  <si>
    <t xml:space="preserve">PROTETOR DE IMPACTO EM ACO INOX POLIDO 304 SHIELD, ALTURA DE 40CM, LARGURA DE 80CM OU 90CM</t>
  </si>
  <si>
    <t xml:space="preserve">PLACA TATIL EM ACRILICO COM LETRAS EM ALTO RELEVO E BRAILLE (20X15)CM PARA SINALIZACAO DE PORTAS DIVERSAS (EX. SANIT. MASCULINO/SANIT. FEMININO), FIXADAS POR ADESIVOS DUPLA FACE, DA ANLIK OU SIMILAR</t>
  </si>
  <si>
    <t xml:space="preserve">PLACA TATIL EM ACRILICO COM LETRAS EM ALTO RELEVO E BRAILLE (20X20)CM PARA SINALIZACAO DE PORTAS DIVERSAS (EX. SANIT. UNISSEX ACESSIVEL), FIXADAS POR ADESIVOS DUPLA FACE, DA ANLIK OU SIMILAR</t>
  </si>
  <si>
    <t xml:space="preserve">PLACA TATIL PARA CORRIMAO EM ALUMINIO DE 10 X 3CM COM LETRA E PONTO DE ALUMINIO, DA ANLIK OU SIMILAR</t>
  </si>
  <si>
    <t xml:space="preserve">PLACA TATIL EM ACRILICO COM LETRA EM ALTO RELEVO E BRAILLE (30X9)CM PARA SINALIZACAO DE PORTAS, FIXADAS POR ADESIVOS DUPLA FACE, DA ANLIK OU SIMILAR</t>
  </si>
  <si>
    <t xml:space="preserve">PLACA TATIL EM ACRILICO COM LETRAS EM ALTO RELEVO E BRAILLE (30X14)CM PARA SINALIZACAO DE PORTAS, FIXADAS POR ADESIVOS DUPLA FACE, DA ANLIK OU SIMILAR</t>
  </si>
  <si>
    <t xml:space="preserve">PINTURA E DEMARCACAO NO PISO PARA SINALIZAR VAGA DE ESTACIONAMENTO, USO INTERNO OU EXTERNO, COM O SIMBOLO "CADEIRANTE", NA MEDIDA DE (1,20 X 1,20)M</t>
  </si>
  <si>
    <t xml:space="preserve">PINTURA E DEMARCACAO NO PISO PARA SINALIZAR VAGA DE ESTACIONAMENTO, USO INTERNO OU EXTERNO, COM O SIMBOLO "IDOSO", NA MEDIDA DE (1,50 X 0,40)M</t>
  </si>
  <si>
    <t xml:space="preserve">PINTURA E DEMARCACAO NO PISO PARA COMPLEMENTAR A VAGA DE ESTACIONAMENTO ACESSIVEL, NA MEDIDA DE (5,20 X 1,20)M</t>
  </si>
  <si>
    <t xml:space="preserve">SINALIZACAO VISUAL VERTICAL DE VAGAS CADEIRANTES/IDOSO/GESTANTE COM PLACA EM ACO INOX 180 COM TAMANHO DE (50X70)CM COM ADESIVO REFLETIVO E SIMBOLO, POSTE DE ACO GALV. C/3M ALT. E 2" DIAM. AMBOS DA ANLIK OU SIMILAR</t>
  </si>
  <si>
    <t xml:space="preserve">ALARME AUDIOVISUAL DE EMERGENCIA, MODELO BIVOLT 110/220V - 50/60HZ, FUNCIONAMENTO POR RADIOFREQUENCIA, ALCANCE ATE 25M, ILUMINACAO LED AUTO BRILHO, PRESSAO SONORA 100DB, INCL PLACA ALTO RELEVO E BRAILLE, DA ANLIK OU SIMILAR</t>
  </si>
  <si>
    <t xml:space="preserve">ALARME AUDIO VISUAL DE EMERGENCIA, MOD. A PILHA (3 PILHAS ALCALINAS 1,5V AA), FUNC. POR RADIOFREQUENCIA, ALCANCE ATE 25M, ILUMINACAO LED AUTO BRILHO, 100DB, INCL. PLACA ALTO RELEVO E BRAILLE, DA ANLIK OU SIMILAR</t>
  </si>
  <si>
    <t xml:space="preserve">ADESIVO EM VINIL IMPRESSO COM SIMBOLO S.I.A (CADEIRANTE) MEDINDO (1,20 X 0,80)M COM LAMINACAO TRANSPARENTE - FORNECIMENTO E INSTALACAO</t>
  </si>
  <si>
    <t xml:space="preserve">MAPA TATIL PARA SINALIZACAO E LOCALIZACAO DOS AMBIENTES, EM ACRILICO NA COR CINZA COM LETRAS EM ALTO RELEVO E BRAILLE, (40X80)CM E PEDESTAL EM ACO COM PINTURA ELETROTASTICA, AMBOS DA ANLIK OU SIMILAR- FORNEC E INST.</t>
  </si>
  <si>
    <t xml:space="preserve">*  REVESTIMENTO DE PISOS</t>
  </si>
  <si>
    <t xml:space="preserve">PISO TATIL, ALERTA EM PLACA CIMENTICIA 25X25X2,5CM, ASSENTADO COM ARGAMASSA TRACO 1:3 JUNTA 0,5M COM TRACO 1:4</t>
  </si>
  <si>
    <t xml:space="preserve">PISO TATIL, DIRECIONAL EM PLACA CIMENTICIA 25X25X2,5CM, ASSENTADO COM ARGAMASSA TRACO 1:3 JUNTA 0,5CM COM TRACO 1:4</t>
  </si>
  <si>
    <t xml:space="preserve">PISO TATIL, ALERTA EM PLACA CIMENTICIA 40X40X2,5CM, ASSENTADO COM ARGAMASSA TRACO 1:3 JUNTA 0,5CM COM TRACO 1:4</t>
  </si>
  <si>
    <t xml:space="preserve">PISO TATIL, DIRECIONAL EM PLACA CIMENTICIA 40X40X2,5CM, ASSENTADO COM ARGAMASSA TRACO 1:3 JUNTA 0,5CM COM TRACO 1:4</t>
  </si>
  <si>
    <t xml:space="preserve">PISO TATIL ALERTA EM PLACAS DE BORRACHAS SINTETICA FLEXIVEL DE 25 X 25 X 5MM, ASSENTADO SOBRE AREAS INTERNAS COLADO SOBRE PISO EXISTENTE</t>
  </si>
  <si>
    <t xml:space="preserve">PISO TATIL DIRECIONAL EM PLACAS DE BORRACHA SINTETICA FLEXIVEL DE 25 X 25 X 5MM, ASSENTADO SOBRE AREAS INTERNAS COLADO SOBRE PISO EXISTENTE</t>
  </si>
  <si>
    <t xml:space="preserve">PISO TATIL ALERTA EM PLACAS DE BORRACHA SINTETICA FLEXIVEL DE 25 X 25 X 12MM, ASSENTADO SOBRE AREAS EXTERNAS, COM ARGAMASSA</t>
  </si>
  <si>
    <t xml:space="preserve">PISO TATIL DIRECIONAL EM PLACAS DE BORRACHA SINTETICA FLEXIVEL DE 25 X 25 X 12MM, ASSENTADO SOBRE AREAS EXTERNAS, COM ARGAMASSA</t>
  </si>
  <si>
    <t xml:space="preserve">RAMPA DE ACESSIBILIDADE PARA CALCADA EM CONCRETO FCK=20MPA, ARMADO COM TELA TELCON Q 196, POLIDO,  PISO TATIL ALERTA E DIRECIONAL, NAS DIMENSOES DE (1,50 X 1,20)M E DUAS ABAS LATERAIS DE 1,50M</t>
  </si>
  <si>
    <t xml:space="preserve">SERVICOS COMPLEMENTARES</t>
  </si>
  <si>
    <t xml:space="preserve">CONJ. P/ QUADRA DE BASQUETE CONTENDO: 2 PILARES EM CONCRETO ARMADO APARENTE ,FCK=25MPA, H= 3,75M, 2 TRELICAS METALICAS EM CANTONEIRA 1 1/2" X 3/16" E 3/4" X 1/8", FIXADAS C/PARABOLT, TABELAS E AROS COM REDE - FORNECIMENTO E INSTALACAO</t>
  </si>
  <si>
    <t xml:space="preserve">SINAPI - 102362 - ALAMBRADO PARA QUADRA POLIESPORTIVA, ESTRUTURADO POR TUBOS DE ACO GALVANIZADO, (MONTANTES COM DIAMETRO 2", TRAVESSAS E ESCORAS COM DIAMETRO 1 ¼"), COM TELA DE ARAME GALVANIZADO, FIO 14 BWG E MALHA QUADRADA 5X5CM (EXCETO MURETA). AF_</t>
  </si>
  <si>
    <t xml:space="preserve">SINAPI - 98522 - ALAMBRADO EM MOUROES DE CONCRETO, COM TELA DE ARAME GALVANIZADO (INCLUSIVE MURETA EM CONCRETO). AF_05/2018</t>
  </si>
  <si>
    <t xml:space="preserve">SINAPI - 96361 - PAREDE COM SISTEMA EM CHAPAS DE GESSO PARA DRYWALL, USO INTERNO, COM DUAS FACES SIMPLES E ESTRUTURA METALICA COM GUIAS DUPLAS PARA PAREDES COM AREA LIQUIDA MAIOR OU IGUAL A 6 M2, COM VAOS. AF_07/2023_PS</t>
  </si>
  <si>
    <t xml:space="preserve">DIVISORIA NAVAL SIMPLES COM PERFIS EM ACO ZINCADO - FORNECIMENTO E INSTALACAO</t>
  </si>
  <si>
    <t xml:space="preserve">PORTA PARA DIVISORIA NAVAL SIMPLES, INCLUSIVE FECHADURA E DOBRADICAS - FORNECIMENTO E INSTALACAO</t>
  </si>
  <si>
    <t xml:space="preserve">MAO DE OBRA PARA MONTAGEM DE DIVISORIA NAVAL</t>
  </si>
  <si>
    <t xml:space="preserve">SINAPI - 102257 - DIVISORIA SANITARIA, TIPO CABINE, EM PAINEL DE GRANILITE, ESP = 3CM, ASSENTADO COM ARGAMASSA COLANTE AC III-E, EXCLUSIVE FERRAGENS. AF_01/2021</t>
  </si>
  <si>
    <t xml:space="preserve">SINAPI - 102253 - DIVISORIA SANITARIA, TIPO CABINE, EM GRANITO CINZA POLIDO, ESP = 3CM, ASSENTADO COM ARGAMASSA COLANTE AC III-E, EXCLUSIVE FERRAGENS. AF_01/2021</t>
  </si>
  <si>
    <t xml:space="preserve">MURO EM BLOCO DE CONCRETO ESTRUTURAL 14X19X39 CM (ESPESSURA 14 CM), COM 4 METROS DE ALTURA E FUNDACAO TIPO ESTACA ESCAVADA DIAM. 25CM, CONFORME DETALHE EM PROJETO</t>
  </si>
  <si>
    <t xml:space="preserve">MURO (H=2,00M) REVESTIDO E PINTADO - ANEXO A-118 (S.C.) - PLANILHA PADRAO 000566</t>
  </si>
  <si>
    <t xml:space="preserve">MURO (H=2,00 M) - ANEXO A-118 (S.C.) - SIMPLIFICADO(CHAPISCADO/REGULARIZADO/CHAPISCADO DESEMPENADO) - PLANILHA PADRAO 000567</t>
  </si>
  <si>
    <t xml:space="preserve">CERCA DE MOUROES DE CONCRETO, SECAO "T" PONTA INCLINADA, 10X10 CM, ESPACAMENTO DE 2,5 M, CRAVADOS 0,6 M, COM TELA DE ARAME GALVANIZADA FIO 2,77MM MALHA 5X5CM E 3 FIADAS DE ARAME FARPADO No 14 - FORNECIMENTO E INSTALACAO - ANEXO A-120</t>
  </si>
  <si>
    <t xml:space="preserve">CERCA DE FECHAMENTO COM TELA E MURETA, INCLUSO CAIACAO - ANEXO A-121</t>
  </si>
  <si>
    <t xml:space="preserve">SINAPI - 92393 - EXECUCAO DE PAVIMENTO EM PISO INTERTRAVADO, COM BLOCO SEXTAVADO DE 25 X 25 CM, ESPESSURA 6 CM. AF_10/2022</t>
  </si>
  <si>
    <t xml:space="preserve">SINAPI - 92397 - EXECUCAO DE PAVIMENTO EM PISO INTERTRAVADO, COM BLOCO RETANGULAR COR NATURAL DE 20 X 10 CM, ESPESSURA 6 CM. AF_10/2022</t>
  </si>
  <si>
    <t xml:space="preserve">SINAPI - 86934 - BANCADA DE MARMORE SINTETICO 120 X 60CM, COM CUBA INTEGRADA, INCLUSO SIFAO TIPO FLEXIVEL EM PVC, VALVULA EM PLASTICO CROMADO TIPO AMERICANA E TORNEIRA CROMADA LONGA, DE PAREDE, PADRAO POPULAR - FORNECIMENTO E INSTALACAO. AF_01/2020</t>
  </si>
  <si>
    <t xml:space="preserve">BANCADA DE GRANITO CINZA ANDORINHA, CORUMBA E OUTRO EQUIVALENTES, ACABAMENTO SIMPLES, FRONTAO DE 10CM, INCLUSO MAO FRANCESA</t>
  </si>
  <si>
    <t xml:space="preserve">BANCADA DE GRANITO CINZA ANDORINHA, CORUMBA E OUTRO EQUIVALENTES, ACABAMENTO COM BORDA 45o., FRONTAO E SAIA COM 10CM, INCLUSO MAO FRANCESA</t>
  </si>
  <si>
    <t xml:space="preserve">BANCADA DE GRANITO CINZA ANDORINHA, CORUMBA E OUTRO EQUIVALENTES, ACABAMENTO DUPLO RETO, FRONTAO DE 10CM, INCLUSO MAO FRANCESA</t>
  </si>
  <si>
    <t xml:space="preserve">FRONTAO/ESPELHO EM GRANITO CINZA ANDORINHA COM H=10CM, ESP=2CM</t>
  </si>
  <si>
    <t xml:space="preserve">ARMARIO SOB BANCADA COM H=66CM EM MDF BRANCO ESPESSURA 18MM - ANEXO A-133</t>
  </si>
  <si>
    <t xml:space="preserve">CONJUNTO DE CINCO PRATELEIRAS C/ C=150CM, L=40CM, ESP=8CM,CONCRETO MOLDADO IN LOCO FCK=20MPA, ARMADA C/ TELA SOLDADA Q-283 FIO 6.0MM, ENGASTADA EM ALV. DE TIJ. COMUM 1/2 VEZ, REV. E PINTADA C/ LATEX ACRILICO, PRAT.ACAB. SILICONE-ANEXO A-142 (S.C.)</t>
  </si>
  <si>
    <t xml:space="preserve">BANCO DE CONCRETO C=193CM, L=40CM E H=40CM EM CONCRETO MOLDADO IN LOCO FCK=20MPA, ARMADA COM TELA SOLDADA Q-283 FIO 6,0MM, MALHA DUPLA, COM PES DE ALVENARIA DE TIJOLO COMUM 1/2 VEZ, CONFORME DETALHE ANEXO A-147</t>
  </si>
  <si>
    <t xml:space="preserve">PLACA DE SINALIZACAO EM ACRILICO ATE 240 CM2 COM 10 LETRAS, PARA PORTAS</t>
  </si>
  <si>
    <t xml:space="preserve">MASTRO TRIPLICE - ANEXO A-155 (S.C.)</t>
  </si>
  <si>
    <t xml:space="preserve">SINAPI - 94267 - GUIA (MEIO-FIO) E SARJETA CONJUGADOS DE CONCRETO, MOLDADA  IN LOCO  EM TRECHO RETO COM EXTRUSORA, 45 CM BASE (15 CM BASE DA GUIA + 30 CM BASE DA SARJETA) X 22 CM ALTURA. AF_01/2024</t>
  </si>
  <si>
    <t xml:space="preserve">SINAPI - 94268 - GUIA (MEIO-FIO) E SARJETA CONJUGADOS DE CONCRETO, MOLDADA  IN LOCO  EM TRECHO CURVO COM EXTRUSORA, 45 CM BASE (15 CM BASE DA GUIA + 30 CM BASE DA SARJETA) X 22 CM ALTURA. AF_01/2024</t>
  </si>
  <si>
    <t xml:space="preserve">SINAPI - 94263 - GUIA (MEIO-FIO) CONCRETO, MOLDADA  IN LOCO  EM TRECHO RETO COM EXTRUSORA, 13 CM BASE X 22 CM ALTURA. AF_01/2024</t>
  </si>
  <si>
    <t xml:space="preserve">SINAPI - 94264 - GUIA (MEIO-FIO) CONCRETO, MOLDADA  IN LOCO  EM TRECHO CURVO COM EXTRUSORA, 13 CM BASE X 22 CM ALTURA. AF_01/2024</t>
  </si>
  <si>
    <t xml:space="preserve">ABRIGO PARA GAS, EM TIJOLO 8 FUROS 1/2 VEZ E LAJE EM CONCRETO ARMADO, REVESTIDO E PINTADO MEDINDO:- (1,60 X 0,95)M, H=1,05M - PARA 2 CILINDROS DE 13 KG - PLANILHA PADRAO 000568</t>
  </si>
  <si>
    <t xml:space="preserve">ABRIGO PARA GAS, EM TIJOLO COMUM INTERTRAVADO E LAJE EM CONCRETO ARMADO, REVESTIDO E PINTADO MEDINDO:- (2,00 X 0,95)M, H=2,27M - PARA 2 CILINDROS DE 45KG</t>
  </si>
  <si>
    <t xml:space="preserve">- (2,70 X 0,95)M, H=2,27M - PARA 4 CILINDROS DE 45KG</t>
  </si>
  <si>
    <t xml:space="preserve">ABRIGO PARA RESIDUOS SOLIDOS, TIPO B, 2 CELULAS (2,85 X 1,70)M, CONFORME DETALHE DE PROJETO - ANEXO A-159 - PLANILHA PADRAO 000564</t>
  </si>
  <si>
    <t xml:space="preserve">ALUGUEL CAMINHAO MUNCK, TIPO TOCO, MODELO 12/18 6M ATE 5T</t>
  </si>
  <si>
    <t>DIA</t>
  </si>
  <si>
    <t xml:space="preserve">LOCACAO MENSAL DE ANDAIME TIPO FACHADEIRO, CONTENDO PLATAFORMA, SAPATAS AJUSTAVEIS, RODAPES, ESCADA MARINHEIRO E GUARDA CORPO, CONFORME AS NORMAS NBR 6494 E NR 18, INCLUSIVE PRIMEIRA MONTAGEM</t>
  </si>
  <si>
    <t xml:space="preserve">SINAPI - 97063 - MONTAGEM E DESMONTAGEM DE ANDAIME MODULAR FACHADEIRO, COM PISO METALICO, PARA EDIFICIOS COM MULTIPLOS PAVIMENTOS (EXCLUSIVE ANDAIME E LIMPEZA). AF_03/2024</t>
  </si>
  <si>
    <t xml:space="preserve">LOCACAO MENSAL DE ANDAIME TUBULAR METALICO TIPO TORRE, COM LARGURA DE 1,00 ATE 1,50M E H=1,00M, INCLUSO A PRIMEIRA MONTAGEM E DESMONTAGEM</t>
  </si>
  <si>
    <t xml:space="preserve">SINAPI - 97064 - MONTAGEM E DESMONTAGEM DE ANDAIME TUBULAR TIPO "TORRE" (EXCLUSIVE ANDAIME E LIMPEZA). AF_03/2024</t>
  </si>
  <si>
    <t xml:space="preserve">PINTURA DE FAIXAS DE DEMARCACAO COM TINTA ACRILICA, L=10CM, APLICADA COM TRINCHA</t>
  </si>
  <si>
    <t xml:space="preserve">PINTURA DE FAIXAS DE DEMARCACAO COM TINTA ACRILICA, L=20CM, APLICADA COM TRINCHA</t>
  </si>
  <si>
    <t xml:space="preserve">SINAPI - 102513 - PINTURA DE SIMBOLOS E TEXTOS COM TINTA ACRILICA, DEMARCACAO COM FITA ADESIVA E APLICACAO COM ROLO. AF_05/2021</t>
  </si>
  <si>
    <t xml:space="preserve">BARREIRA DE PROTECAO HELICOIDAL (CONCERTINA) SIMPLES EM ACO GALVANIZADO CORTANTE, DIAMETRO DE 300MM, INCLUSIVE ACESSORIOS DE FIXACAO</t>
  </si>
  <si>
    <t xml:space="preserve">GRADIL EM METALON, H=2,00M, INCLUSIVE BROCA DE 25CM (0,80M), PINTURA EM FUNDO ANTICORROSIVO (2 DEMAOS) E ESMALTE EM 2 DEMAOS</t>
  </si>
  <si>
    <t xml:space="preserve">GRADIL EM METALON, H=1,80M, INCLUSIVE BROCA DE 25CM (0,80M), PINTURA EM FUNDO ANTICORROSIVO (2 DEMAOS) E ESMALTE EM 2 DEMAOS - ANEXO A-061 (S.C.)</t>
  </si>
  <si>
    <t xml:space="preserve">GRADIL EM METALON SOBRE MURETA DE CONCRETO H=1,80M, SENDO H=1,30M DE GRADIL E MURETA H=0,50M, REVESTIDO E PINTADO COM FUNDO ANTICORROSIVO E ESMALTE SINTETICO EM 2 DEMAOS ANEXO A-062 (S.C.)</t>
  </si>
  <si>
    <t xml:space="preserve">GRADIL EM METALON SOBRE MURETA DE CONCRETO H=2,00M, SENDO H=1,50M DE GRADIL E MURETA H=0,50M, REVESTIDO E PINTADO COM FUNDO ANTICORROSIVO E ESMALTE SINTETICO EM 2 DEMAOS ANEXO A-062 (S.C.)</t>
  </si>
  <si>
    <t xml:space="preserve">PORTAO EM METALON - 1 FOLHA - PARA PEDESTRES, INCLUSIVE 2 BROCAS DE 25CM (0,80M), PINTURA EM FUNDO ANTICORROSIVO (2 DEMAOS) E ESMALTE EM 2 DEMAOS - ANEXO A-060 (S.C.)</t>
  </si>
  <si>
    <t xml:space="preserve">PORTAO EM METALON - 2 FOLHAS - PARA VEICULOS, INCLUSIVE 2 BROCAS DE 25CM (0,80M), PINTURA EM FUNDO ANTICORROSIVO (2 DEMAOS) E ESMALTE EM 2 DEMAOS - ANEXO A-060 (S.C.)</t>
  </si>
  <si>
    <t xml:space="preserve">GRADIL EM METALON, SOBRE MURETA DE ALVENARIA H=1,80M, SENDO H=1,30M DE GRADIL E MURETA H=0,50M, INCLUSIVE PINTURA C/FUNDO ANTICORROSIVO (2 DEMAOS), ESMALTE (2 DEMAOS) NO GRADIL, NA MURETA REVESTIMENTO, SELADOR E LATEX (2 DEMAOS), ANEXO A-062(S.C.)</t>
  </si>
  <si>
    <t xml:space="preserve">GRADIL EM METALON, SOBRE MURETA DE ALVENARIA H=2,00M, SENDO H=1,50M DE GRADIL E MURETA H=0,50M, INCLUSIVE PINTURA C/FUNDO ANTICORROSIVO (2 DEMAOS), ESMALTE (2 DEMAOS) NO GRADIL, NA MURETA REVESTIMENTO, SELADOR E LATEX (2 DEMAOS), ANEXO A-062(S.C.)</t>
  </si>
  <si>
    <t xml:space="preserve">AQUISICAO E INST. DE CONTAINER ALMOXARIFADO DE (2,40 X 12,00)M, H=2,60M, PADRAO SIMPLES, SEM REVESTIMENTO, SEM DIVISORIAS INTERNAS E SANITARIO, INCLUSO BASE TIPO RADIER, ESP=15CM, FCK=30MPA DE (12,80 X 3,25)M, FUNDO COM ZARCAO E PINTURA ESMALTE</t>
  </si>
  <si>
    <t>URBANIZACAO</t>
  </si>
  <si>
    <t xml:space="preserve">SINAPI - 103946 - PLANTIO DE GRAMA ESMERALDA OU SAO CARLOS OU CURITIBANA, EM PLACAS. AF_07/2024</t>
  </si>
  <si>
    <t xml:space="preserve">SINAPI - 98509 - PLANTIO DE ARBUSTO OU  CERCA VIVA. AF_07/2024</t>
  </si>
  <si>
    <t xml:space="preserve">SINAPI - 98510 - PLANTIO DE ARVORE ORNAMENTAL COM ALTURA DE MUDA MENOR OU IGUAL A 2,00 M . AF_07/2024</t>
  </si>
  <si>
    <t xml:space="preserve">SINAPI - 98511 - PLANTIO DE ARVORE ORNAMENTAL COM ALTURA DE MUDA MAIOR QUE 2,00 M E MENOR OU IGUAL A 4,00 M . AF_07/2024</t>
  </si>
  <si>
    <t>LIMPEZA</t>
  </si>
  <si>
    <t xml:space="preserve">LIMPEZA FINAL DA OBRA</t>
  </si>
  <si>
    <t xml:space="preserve">SINAPI - 99803 - LIMPEZA DE PISO CERAMICO OU PORCELANATO COM PANO UMIDO. AF_04/2019</t>
  </si>
  <si>
    <t xml:space="preserve">SINAPI - 99814 - LIMPEZA DE SUPERFICIE COM JATO DE ALTA PRESSAO. AF_04/2019</t>
  </si>
  <si>
    <t xml:space="preserve">LIMPEZA VIDROS COMUM</t>
  </si>
  <si>
    <t xml:space="preserve">LIMPEZA DE LOUCAS E METAIS</t>
  </si>
  <si>
    <t xml:space="preserve">LAVAGEM DE PISOS CERAMICOS</t>
  </si>
  <si>
    <t xml:space="preserve">ADMINISTRACAO LOCAL</t>
  </si>
  <si>
    <t xml:space="preserve">MAO DE OBRA:- SERVENTE COM ENCARGOS COMPLEMENTARES</t>
  </si>
  <si>
    <t xml:space="preserve">- JARDINEIRO COM ENCARGOS COMPLEMENTARES</t>
  </si>
  <si>
    <t xml:space="preserve">- AUXILIAR DE SERVICOS GERAIS COM ENCARGOS COMPLEMENTARES</t>
  </si>
  <si>
    <t xml:space="preserve">- BLASTER, DINAMITADOR OU CABO DE FOGO COM ENCARGOS COMPLEMENTARES</t>
  </si>
  <si>
    <t xml:space="preserve">- POCEIRO COM ENCARGOS COMPLEMENTARES</t>
  </si>
  <si>
    <t xml:space="preserve">- ARMADOR COM ENCARGOS COMPLEMENTARES</t>
  </si>
  <si>
    <t xml:space="preserve">- CARPINTEIRO DE FORMAS COM ENCARGOS COMPLEMENTARES</t>
  </si>
  <si>
    <t xml:space="preserve">- CALCETEIRO COM ENCARGOS COMPLEMENTARES</t>
  </si>
  <si>
    <t xml:space="preserve">- AZULEJISTA OU LADRILHISTA COM ENCARGOS COMPLEMENTARES</t>
  </si>
  <si>
    <t xml:space="preserve">- PEDREIRO COM ENCARGOS COMPLEMENTARES</t>
  </si>
  <si>
    <t xml:space="preserve">- TELHADISTA COM ENCARGOS COMPLEMENTARES</t>
  </si>
  <si>
    <t xml:space="preserve">- ELETRICISTA COM ENCARGOS COMPLEMENTARES</t>
  </si>
  <si>
    <t xml:space="preserve">- ENCANADOR COM ENCARGOS COMPLEMENTARES</t>
  </si>
  <si>
    <t xml:space="preserve">- PINTOR COM ENCARGOS COMPLEMENTARES</t>
  </si>
  <si>
    <t xml:space="preserve">SINAPI - 90781 - TOPOGRAFO COM ENCARGOS COMPLEMENTARES</t>
  </si>
  <si>
    <t xml:space="preserve">SINAPI - 90766 - ALMOXARIFE COM ENCARGOS COMPLEMENTARES</t>
  </si>
  <si>
    <t xml:space="preserve">SINAPI - 90767 - APONTADOR OU APROPRIADOR COM ENCARGOS COMPLEMENTARES</t>
  </si>
  <si>
    <t xml:space="preserve">SINAPI - 88253 - AUXILIAR DE TOPOGRAFO COM ENCARGOS COMPLEMENTARES</t>
  </si>
  <si>
    <t xml:space="preserve">SINAPI - 90776 - ENCARREGADO GERAL COM ENCARGOS COMPLEMENTARES</t>
  </si>
  <si>
    <t xml:space="preserve">SINAPI - 90777 - ENGENHEIRO CIVIL DE OBRA JUNIOR COM ENCARGOS COMPLEMENTARES</t>
  </si>
  <si>
    <t xml:space="preserve">SINAPI - 90778 - ENGENHEIRO CIVIL DE OBRA PLENO COM ENCARGOS COMPLEMENTARES</t>
  </si>
  <si>
    <t xml:space="preserve">SINAPI - 90779 - ENGENHEIRO CIVIL DE OBRA SENIOR COM ENCARGOS COMPLEMENTARES</t>
  </si>
  <si>
    <t xml:space="preserve">ENGENHEIRO ELETRICISTA COM ENCARGOS COMPLEMENTARES</t>
  </si>
  <si>
    <t xml:space="preserve">SINAPI - 90780 - MESTRE DE OBRAS COM ENCARGOS COMPLEMENTARES</t>
  </si>
  <si>
    <t xml:space="preserve">SINAPI - 88296 - OPERADOR DE GUINDASTE COM ENCARGHOS COMPLEMENTARES</t>
  </si>
  <si>
    <t xml:space="preserve">VIGIA NOTURNO, HORA EFETIVAMENTE TRABALHADA DE 22H AS 5H (COM ADICIONAL NOTURNO) COM ENCARGOS COMPLEMENTARES</t>
  </si>
  <si>
    <t xml:space="preserve">OBRA(S) PADRAO(OES):- ESCOLA (12 SALAS DE AULA)</t>
  </si>
  <si>
    <t xml:space="preserve">AGÊNCIA ESTADUAL DE GESTÃO DE EMPREENDIMENTOS - AGESUL
</t>
  </si>
  <si>
    <t xml:space="preserve">SEM DESONERAÇÃO</t>
  </si>
  <si>
    <t>JANEIRO/2025</t>
  </si>
  <si>
    <r>
      <rPr>
        <b/>
        <sz val="10"/>
        <color theme="1"/>
        <rFont val="Arial"/>
      </rPr>
      <t xml:space="preserve">CADASTRO DE MATERIAL E MÃO DE OBRA - </t>
    </r>
    <r>
      <rPr>
        <b/>
        <sz val="10"/>
        <color indexed="2"/>
        <rFont val="Arial"/>
      </rPr>
      <t xml:space="preserve">COM DESONERAÇÃO</t>
    </r>
  </si>
  <si>
    <t xml:space="preserve">COL 1</t>
  </si>
  <si>
    <t xml:space="preserve">COL 2</t>
  </si>
  <si>
    <t xml:space="preserve">COL 3</t>
  </si>
  <si>
    <t xml:space="preserve">COL 4</t>
  </si>
  <si>
    <t xml:space="preserve">COL 5</t>
  </si>
  <si>
    <t xml:space="preserve">COL 6</t>
  </si>
  <si>
    <t xml:space="preserve">COL 7</t>
  </si>
  <si>
    <t xml:space="preserve">COL 8</t>
  </si>
  <si>
    <t xml:space="preserve">COL 9</t>
  </si>
  <si>
    <t>CLASSE</t>
  </si>
  <si>
    <t xml:space="preserve">MATERIAL OU MÃO DE OBRA</t>
  </si>
  <si>
    <t xml:space="preserve">PREÇO UNIT. NÃO DESON.</t>
  </si>
  <si>
    <t xml:space="preserve">PREÇO UNIT. DESONERADO</t>
  </si>
  <si>
    <t>SINAPI</t>
  </si>
  <si>
    <t>046</t>
  </si>
  <si>
    <t xml:space="preserve">ABRACADEIRA PARA POSTE DE CONCRETO CIRCULAR DIAMENTRO 160MM</t>
  </si>
  <si>
    <t>6590</t>
  </si>
  <si>
    <t>N</t>
  </si>
  <si>
    <t xml:space="preserve">ABRACADEIRA PARA POSTE DE CONCRETO CIRCULAR DIAMENTRO 200MM</t>
  </si>
  <si>
    <t>6591</t>
  </si>
  <si>
    <t xml:space="preserve">ABRACADEIRA PARA POSTE DE CONCRETO CIRCULAR DIAMENTRO 220MM</t>
  </si>
  <si>
    <t>6593</t>
  </si>
  <si>
    <t xml:space="preserve">ABRACADEIRA PARA POSTE DE CONCRETO CIRCULAR DIAMENTRO 240MM</t>
  </si>
  <si>
    <t>6594</t>
  </si>
  <si>
    <t xml:space="preserve">ABRACADEIRA PARA POSTE DE CONCRETO CIRCULAR DIAMENTRO 250MM</t>
  </si>
  <si>
    <t>6595</t>
  </si>
  <si>
    <t xml:space="preserve">ABRACADEIRA PARA POSTE DE CONCRETO CIRCULAR DIAMENTRO 290MM</t>
  </si>
  <si>
    <t>6596</t>
  </si>
  <si>
    <t>040</t>
  </si>
  <si>
    <t xml:space="preserve">ACABAMENTO ANTIVANDALISMO COD. 01505006, DOCOL OU SIMILAR</t>
  </si>
  <si>
    <t>1024</t>
  </si>
  <si>
    <t xml:space="preserve">ACABAMENTO PARA VALVULA DE DESCARGA HYDRA ECO CONFORTO CROMADO REF. 4900.C.CONF DA DECA</t>
  </si>
  <si>
    <t>2593</t>
  </si>
  <si>
    <t>027</t>
  </si>
  <si>
    <t xml:space="preserve">ACIDO CLORIDRICO / ACIDO MURIATICO, DILUICAO 10% A 12% PARA USO EM LIMPEZA - SINAPI - 00000003</t>
  </si>
  <si>
    <t>6950</t>
  </si>
  <si>
    <t>S</t>
  </si>
  <si>
    <t>042</t>
  </si>
  <si>
    <t xml:space="preserve">ACIONADOR MANUAL TIPO QUEBRA VIDRO, COM MARTELO E BOTOEIRA LIGA-DESLIGA, PARA ACIONAMENTO DE BOMBA DE INCENDIO</t>
  </si>
  <si>
    <t>6181</t>
  </si>
  <si>
    <t>044</t>
  </si>
  <si>
    <t xml:space="preserve">ACIONADOR MANUAL TIPO QUEBRA VIDRO, COM MARTELO E BOTOEIRA, PARA ALARME CONVENCIONAL, DA ILUMAC OU SIMILAR</t>
  </si>
  <si>
    <t>3471</t>
  </si>
  <si>
    <t>1897</t>
  </si>
  <si>
    <t>005</t>
  </si>
  <si>
    <t xml:space="preserve">ACO CA-25, 10,0 MM, OU 12,5 MM, OU 16,0 MM, OU 20,0 MM, OU 25,0 MM, VERGALHAO - SINAPI - 00043054</t>
  </si>
  <si>
    <t>1002</t>
  </si>
  <si>
    <t xml:space="preserve">ACO CA-50, 10,0 MM, VERGALHAO - SINAPI - 00000034</t>
  </si>
  <si>
    <t>1005</t>
  </si>
  <si>
    <t xml:space="preserve">ACO CA-50, 12,5 MM OU 16,0 MM, VERGALHAO - SINAPI - 00043055</t>
  </si>
  <si>
    <t>1006</t>
  </si>
  <si>
    <t xml:space="preserve">ACO CA-50, 20,0 MM OU 25,0 MM, VERGALHAO - SINAPI - 00043056</t>
  </si>
  <si>
    <t>6325</t>
  </si>
  <si>
    <t xml:space="preserve">ACO CA-50, 6,3 MM, VERGALHAO - SINAPI - 00000032</t>
  </si>
  <si>
    <t>1003</t>
  </si>
  <si>
    <t xml:space="preserve">ACO CA-50, 8,0 MM, VERGALHAO - SINAPI - 00000033</t>
  </si>
  <si>
    <t>1004</t>
  </si>
  <si>
    <t xml:space="preserve">ACO CA-60, 4,2 MM, OU 5,0 MM, OU 6,0 MM, OU 7,0 MM, VERGALHAO - SINAPI - 00043059</t>
  </si>
  <si>
    <t>1007</t>
  </si>
  <si>
    <t xml:space="preserve">ACO CA-60, 8,0 MM OU 9,5 MM, VERGALHAO - SINAPI - 00043060</t>
  </si>
  <si>
    <t>1008</t>
  </si>
  <si>
    <t>300</t>
  </si>
  <si>
    <t xml:space="preserve">ADAPTADOR COM FLANGE E ANEL DE VEDACAO, PVC, SOLDAVEL, DN 25 MM X 3/4", INSTALADO EM RESERVACAO PREDIAL DE AGUA - FORNECIMENTO E INSTALACAO. AF_04/2024 - SINAPI - 94703</t>
  </si>
  <si>
    <t>1843</t>
  </si>
  <si>
    <t xml:space="preserve">ADAPTADOR COM FLANGE E ANEL DE VEDACAO, PVC, SOLDAVEL, DN 32 MM X 1", INSTALADO EM RESERVACAO PREDIAL DE AGUA - FORNECIMENTO E INSTALACAO. AF_04/2024 - SINAPI - 94704</t>
  </si>
  <si>
    <t>1844</t>
  </si>
  <si>
    <t xml:space="preserve">ADAPTADOR COM FLANGE E ANEL DE VEDACAO, PVC, SOLDAVEL, DN 40 MM X 1 1/4", INSTALADO EM RESERVACAO PREDIAL DE AGUA - FORNECIMENTO E INSTALACAO. AF_04/2024 - SINAPI - 94705</t>
  </si>
  <si>
    <t>1845</t>
  </si>
  <si>
    <t xml:space="preserve">ADAPTADOR EM LATAO, ENGATE RAPIDO 2 1/2" X ROSCA INTERNA 5 FIOS 2 1/2", PARA INSTALACAO PREDIAL DE COMBATE A INCENDIO - SINAPI - 00010899</t>
  </si>
  <si>
    <t>8464</t>
  </si>
  <si>
    <t>043</t>
  </si>
  <si>
    <t xml:space="preserve">ADAPTADOR EM LATAO, ENGATE RAPIDO1 1/2" X ROSCA INTERNA 5 FIOS 2 1/2", PARA INSTALACAO PREDIAL DE COMBATE A INCENDIO - SINAPI - 00010900</t>
  </si>
  <si>
    <t>8465</t>
  </si>
  <si>
    <t xml:space="preserve">ADAPTADOR PVC, ROSCAVEL, COM FLANGES E ANEL DE VEDACAO, 1 1/2", PARA CAIXA D'AGUA - SINAPI - 00000072</t>
  </si>
  <si>
    <t>2005</t>
  </si>
  <si>
    <t xml:space="preserve">ADAPTADOR PVC, ROSCAVEL, COM FLANGES E ANEL DE VEDACAO, 1", PARA CAIXA D'AGUA - SINAPI - 00000071</t>
  </si>
  <si>
    <t>2004</t>
  </si>
  <si>
    <t xml:space="preserve">ADAPTADOR PVC, ROSCAVEL, COM FLANGES E ANEL DE VEDACAO, 3/4", PARA CAIXA D'AGUA - SINAPI - 00000073</t>
  </si>
  <si>
    <t>2009</t>
  </si>
  <si>
    <t xml:space="preserve">ADAPTADOR PVC, SOLDAVEL, COM FLANGES E ANEL DE VEDACAO, 60 MM X 2", PARA CAIXA D'AGUA - SINAPI - 00000100</t>
  </si>
  <si>
    <t>2008</t>
  </si>
  <si>
    <t>101</t>
  </si>
  <si>
    <t xml:space="preserve">ADESIVO ACRILICO DE BASE AQUOSA / COLA DE CONTATO - SINAPI - 00004791</t>
  </si>
  <si>
    <t>2708</t>
  </si>
  <si>
    <t xml:space="preserve">ADESIVO EM VINIL IMPRESSO COM SIMBOLO S.I.A (CADEIRANTE) MEDINDO (1,20 X 0,80)M COM LAMINACAO TRANSPARENTE</t>
  </si>
  <si>
    <t>6434</t>
  </si>
  <si>
    <t xml:space="preserve">ADESIVO PLASTICO PARA PVC, FRASCO COM *850* GR - SINAPI - 00000122</t>
  </si>
  <si>
    <t>1063</t>
  </si>
  <si>
    <t>6087</t>
  </si>
  <si>
    <t>013</t>
  </si>
  <si>
    <t xml:space="preserve">ADITIVO IMPERMEABILIZANTE DE PEGA NORMAL PARA ARGAMASSAS E CONCRETOS SEM ARMACAO, LIQUIDO E ISENTO DE CLORETOS - SINAPI - 00000123</t>
  </si>
  <si>
    <t>1173</t>
  </si>
  <si>
    <t>001</t>
  </si>
  <si>
    <t>6033</t>
  </si>
  <si>
    <t xml:space="preserve">ADITIVO IMPERMEABILIZANTE DE PEGA NORMAL, PARA ARGAMASSA E CONCRETO NAO ARMADO, DA SIKA 1 (18L = 18,90KG)</t>
  </si>
  <si>
    <t>1150</t>
  </si>
  <si>
    <t>012</t>
  </si>
  <si>
    <t xml:space="preserve">AJUDANTE DE ARMADOR COM ENCARGOS COMPLEMENTARES - SINAPI - 88238</t>
  </si>
  <si>
    <t>4030</t>
  </si>
  <si>
    <t xml:space="preserve">AJUDANTE DE CARPINTEIRO COM ENCARGOS COMPLEMENTARES - SINAPI - 88239</t>
  </si>
  <si>
    <t>4031</t>
  </si>
  <si>
    <t xml:space="preserve">AJUDANTE DE ESTRUTURA METALICA COM ENCARGOS COMPLEMENTARES - SINAPI - 88240</t>
  </si>
  <si>
    <t>4063</t>
  </si>
  <si>
    <t xml:space="preserve">AJUDANTE DE PEDREIRO COM ENCARGOS COMPLEMENTARES - SINAPI - 88242</t>
  </si>
  <si>
    <t>4034</t>
  </si>
  <si>
    <t xml:space="preserve">AJUDANTE DE PINTOR COM ENCARGOS COMPLEMENTARES - SINAPI - 100301</t>
  </si>
  <si>
    <t>4062</t>
  </si>
  <si>
    <t xml:space="preserve">AJUDANTE ESPECIALIZADO COM ENCARGOS COMPLEMENTARES - SINAPI - 88243</t>
  </si>
  <si>
    <t>4027</t>
  </si>
  <si>
    <t xml:space="preserve">ALARME AUDIO VISUAL DE EMERGENCIA, MOD A PILHA (3 PILHAS ALCALINAS 1,5V AA), FUNC. POR RADIO FREQUENCIA, ALCANCE ATE 25M, ILUMINACAO LED AUTO BRILHO, 100DB, INCL. PLACA ALTO RELEVO E BRAILLE, DA ANLIK OU SIMILAR</t>
  </si>
  <si>
    <t>6422</t>
  </si>
  <si>
    <t>2706</t>
  </si>
  <si>
    <t xml:space="preserve">ALCA PREFORMADA DE DISTRIBUICAO, EM ACO GALVANIZADO, PARA CABO DE ALUMINIO DIAMETRO 16 A 25 MM - SINAPI - 00000417</t>
  </si>
  <si>
    <t>6608</t>
  </si>
  <si>
    <t xml:space="preserve">ALCA PREFORMADA DE DISTRIBUICAO, EM ACO GALVANIZADO, PARA CONDUTORES DE ALUMINIO AWG 1/0 (CAA 6/1 OU CA 7 FIOS) - SINAPI - 00011273</t>
  </si>
  <si>
    <t>7047</t>
  </si>
  <si>
    <t>7048</t>
  </si>
  <si>
    <t xml:space="preserve">ALICATE GRANDE 5 PARA SOLDA EXOTERMICA DA TEMOTECNICA NSEZ0201</t>
  </si>
  <si>
    <t>6429</t>
  </si>
  <si>
    <t>000</t>
  </si>
  <si>
    <t xml:space="preserve">ALIMENTACAO - HORISTA (COLETADO CAIXA - ENCARGOS COMPLEMENTARES) - SINAPI - 00037370</t>
  </si>
  <si>
    <t>1924</t>
  </si>
  <si>
    <t xml:space="preserve">ALMOXARIFE COM ENCARGOS COMPLEMENTARES - SINAPI - 90766</t>
  </si>
  <si>
    <t>4041</t>
  </si>
  <si>
    <t xml:space="preserve">ALUGUEL CAMINHAO MUNCK, TIPO TOCO, MODELO 12/18 6M ATE 5T (COMP. 2001003998)</t>
  </si>
  <si>
    <t>1723</t>
  </si>
  <si>
    <t xml:space="preserve">ALVENARIA DE BLOCOS DE CONCRETO ESTRUTURAL 14X19X39 CM (ESPESSURA 14 CM), FBK = 14 MPA, UTILIZANDO PALHETA. AF_10/2022 - SINAPI - 89455</t>
  </si>
  <si>
    <t>1910</t>
  </si>
  <si>
    <t xml:space="preserve">ALVENARIA DE BLOCOS DE CONCRETO ESTRUTURAL 14X19X39 CM (ESPESSURA 14 CM), FBK = 4,5 MPA, UTILIZANDO PALHETA. AF_10/2022 - SINAPI - 89453</t>
  </si>
  <si>
    <t>1764</t>
  </si>
  <si>
    <t xml:space="preserve">ALVENARIA DE ELEVACAO COM TIJOLO CERAMICO COMUM (5X10X20)CM, 1 1/2 VEZ (ESPESSURA DE 30CM), ASSENTADA COM ARGAMASSA MISTA DE CIMENTO, CAL HIDRATADA E AREIA SEM PEINEIRAR, NO TRACO 1:2:8 (COMP. 0801000105)</t>
  </si>
  <si>
    <t>6310</t>
  </si>
  <si>
    <t xml:space="preserve">ALVENARIA DE EMBASAMENTO COM BLOCO ESTRUTURAL DE CERAMICA, DE 14X19X29CM E ARGAMASSA DE ASSENTAMENTO COM PREPARO EM BETONEIRA. AF_05/2020 - SINAPI - 101166</t>
  </si>
  <si>
    <t>6301</t>
  </si>
  <si>
    <t xml:space="preserve">ALVENARIA DE EMBASAMENTO EM TIJOLOS CERAMICOS MACICOS 5X10X20, ASSENTADO COM ARGAMASSA TRACO 1:2:8 (CIMENTO, CAL E AREIA) (COMP. 0301000118)</t>
  </si>
  <si>
    <t>1684</t>
  </si>
  <si>
    <t xml:space="preserve">ALVENARIA DE VEDACAO DE BLOCOS CERAMICOS MACICOS DE 5X10X20CM (ESPESSURA 10CM) E ARGAMASSA DE ASSENTAMENTO COM PREPARO EM BETONEIRA. AF_05/2020 - SINAPI - 101159</t>
  </si>
  <si>
    <t>6388</t>
  </si>
  <si>
    <t xml:space="preserve">ALVENARIA DE VEDACAO DE BLOCOS VAZADOS DE CONCRETO DE 9X19X39 CM (ESPESSURA 9 CM) E ARGAMASSA DE ASSENTAMENTO COM PREPARO EM BETONEIRA. AF_12/2021 - SINAPI - 103316</t>
  </si>
  <si>
    <t>6460</t>
  </si>
  <si>
    <t xml:space="preserve">AMPACTINHO (CONECTOR DERIV CUNHA) PARA CABO DE COBRE 10MM2 - TIPO III - VERMELHO</t>
  </si>
  <si>
    <t>6140</t>
  </si>
  <si>
    <t xml:space="preserve">AMPACTINHO (CONECTOR DERIV CUNHA) PARA CABO DE COBRE 16MM2 - TIPO II - VERDE</t>
  </si>
  <si>
    <t>6141</t>
  </si>
  <si>
    <t xml:space="preserve">AMPACTINHO (CONECTOR DERIV CUNHA) PARA CABO DE COBRE 25MM2 - TIPO IV - AZUL</t>
  </si>
  <si>
    <t>7193</t>
  </si>
  <si>
    <t xml:space="preserve">AMPACTINHO (CONECTOR DERIV CUNHA) PARA CABO DE COBRE 50MM2 - TIPO VIII - VERDE/BRANCO</t>
  </si>
  <si>
    <t>7194</t>
  </si>
  <si>
    <t xml:space="preserve">AMPACTINHO (CONECTOR DERIV CUNHA) PARA CABO DE COBRE 6MM2 - TIPO I - CINZA</t>
  </si>
  <si>
    <t>6135</t>
  </si>
  <si>
    <t xml:space="preserve">AMPACTINHO (CONECTOR DERIV CUNHA) PARA CABO DE COBRE 70MM2 - TIPO VII - VERM/BRANCO</t>
  </si>
  <si>
    <t>6152</t>
  </si>
  <si>
    <t xml:space="preserve">AMPACTINHO (CONECTOR DERIV CUNHA) PARA CABO DE COBRE 95MM2</t>
  </si>
  <si>
    <t>7195</t>
  </si>
  <si>
    <t xml:space="preserve">ANEL BORRACHA PARA TUBO ESGOTO PREDIAL, DN 100 MM (NBR 5688) - SINAPI - 00000301</t>
  </si>
  <si>
    <t>6114</t>
  </si>
  <si>
    <t xml:space="preserve">ANEL BORRACHA PARA TUBO ESGOTO PREDIAL, DN 50 MM (NBR 5688) - SINAPI - 00000296</t>
  </si>
  <si>
    <t>6111</t>
  </si>
  <si>
    <t xml:space="preserve">ANEL BORRACHA PARA TUBO ESGOTO PREDIAL, DN 75 MM (NBR 5688) - SINAPI - 00000297</t>
  </si>
  <si>
    <t>6112</t>
  </si>
  <si>
    <t xml:space="preserve">ANEL DE CONCRETO ARMADO, COM FUROS/DRENO PARA SUMIDOURO, D = 1,00 M, H = 0,50M - SINAPI - 00041638</t>
  </si>
  <si>
    <t>1660</t>
  </si>
  <si>
    <t xml:space="preserve">ANEL DE VEDACAO, PVC FLEXIVEL, 100 MM, PARA SAIDA DE BACIA / VASO SANITARIO - SINAPI - 00006138</t>
  </si>
  <si>
    <t>8210</t>
  </si>
  <si>
    <t xml:space="preserve">ANEL EM CONCRETO ARMADO, LISO, PARA POCOS DE INSPECAO, SEM FUNDO, DIAMETRO INTERNO DE 0,60 M E ALTURA DE 0,50 M - SINAPI - 00012532</t>
  </si>
  <si>
    <t>6633</t>
  </si>
  <si>
    <t xml:space="preserve">ANEL EM CONCRETO ARMADO, LISO, PARA POCOS DE VISITAS, POCOS DE INSPECAO, FOSSAS SEPTICAS E SUMIDOUROS, SEM FUNDO, DIAMETRO INTERNO DE 0,80 M E ALTURA DE 0,50 M - SINAPI - 00012544</t>
  </si>
  <si>
    <t>6635</t>
  </si>
  <si>
    <t>016</t>
  </si>
  <si>
    <t xml:space="preserve">ANEL EM CONCRETO ARMADO, LISO, PARA POCOS DE VISITAS, POCOS DE INSPECAO, FOSSAS SEPTICAS E SUMIDOUROS, SEM FUNDO, DIAMETRO INTERNO DE 1,00 M E ALTURA DE 0,50 M - SINAPI - 00012547</t>
  </si>
  <si>
    <t>1009</t>
  </si>
  <si>
    <t>6586</t>
  </si>
  <si>
    <t xml:space="preserve">APILOAMENTO DE SOLO, PARA RECEBIMENTO DE LASTRO, COM MACO DE 30 KG (COMP. 1701000100)</t>
  </si>
  <si>
    <t>1674</t>
  </si>
  <si>
    <t xml:space="preserve">APLICACAO MANUAL DE FUNDO SELADOR ACRILICO EM PANOS COM PRESENCA DE VAOS DE EDIFICIOS DE MULTIPLOS PAVIMENTOS. AF_03/2024 - SINAPI - 88411</t>
  </si>
  <si>
    <t>6313</t>
  </si>
  <si>
    <t xml:space="preserve">APONTADOR OU APROPRIADOR COM ENCARGOS COMPLEMENTARES - SINAPI - 90767</t>
  </si>
  <si>
    <t>4042</t>
  </si>
  <si>
    <t>024</t>
  </si>
  <si>
    <t xml:space="preserve">ARAME FARPADO GALVANIZADO, 16 BWG (1,65 MM), CLASSE 250 - SINAPI - 00000340</t>
  </si>
  <si>
    <t>1010</t>
  </si>
  <si>
    <t xml:space="preserve">ARAME GALVANIZADO 12 BWG, D = 2,76 MM (0,048 KG/M) OU 14 BWG, D = 2,11 MM (0,026 KG/M) - SINAPI - 00043130</t>
  </si>
  <si>
    <t>1011</t>
  </si>
  <si>
    <t xml:space="preserve">ARAME GALVANIZADO 14 BWG, D = 2,11 MM (0,026 KG/M) (SINAPI 00043130 X 0.026)</t>
  </si>
  <si>
    <t>3005</t>
  </si>
  <si>
    <t xml:space="preserve">ARAME RECOZIDO 16 BWG, D = 1,65 MM (0,016 KG/M) OU 18 BWG, D = 1,25 MM (0,01 KG/M) - SINAPI - 00043132</t>
  </si>
  <si>
    <t>1012</t>
  </si>
  <si>
    <t xml:space="preserve">AREIA GROSSA - POSTO JAZIDA/FORNECEDOR (RETIRADO NA JAZIDA, SEM TRANSPORTE) - SINAPI - 00000367</t>
  </si>
  <si>
    <t>7435</t>
  </si>
  <si>
    <t xml:space="preserve">AREIA MEDIA - POSTO JAZIDA/FORNECEDOR (RETIRADO NA JAZIDA, SEM TRANSPORTE) - SINAPI - 00000370</t>
  </si>
  <si>
    <t>1013</t>
  </si>
  <si>
    <t>028</t>
  </si>
  <si>
    <t xml:space="preserve">ARGAMASSA AUTONIVELANTE PARA PISOS VINILICOS E LAMINADOS (CONSUMO DE 1,70KG/M2/MM), DA QUARTZOLIT OU SIMILAR</t>
  </si>
  <si>
    <t>1690</t>
  </si>
  <si>
    <t xml:space="preserve">ARGAMASSA COLANTE AC I PARA CERAMICAS - SINAPI - 00001381</t>
  </si>
  <si>
    <t>6059</t>
  </si>
  <si>
    <t xml:space="preserve">ARGAMASSA COLANTE TIPO AC III - SINAPI - 00037595</t>
  </si>
  <si>
    <t>2729</t>
  </si>
  <si>
    <t xml:space="preserve">ARGAMASSA POLIMERICA IMPERMEABILIZANTE SEMIFLEXIVEL, BICOMPONENTE, A BASE DE CIMENTO E ADITIVOS - SINAPI - 00000135</t>
  </si>
  <si>
    <t>1251</t>
  </si>
  <si>
    <t xml:space="preserve">ARGAMASSA TRACO 1:0,5:4,5 (EM VOLUME DE CIMENTO, CAL E AREIA MEDIA UMIDA) PARA ASSENTAMENTO DE ALVENARIA, PREPARO MANUAL. AF_08/2019 - SINAPI - 88627</t>
  </si>
  <si>
    <t>6390</t>
  </si>
  <si>
    <t xml:space="preserve">ARGAMASSA TRACO 1:1:6 (EM VOLUME DE CIMENTO, CAL E AREIA MEDIA UMIDA) PARA EMBOCO/MASSA UNICA/ASSENTAMENTO DE ALVENARIA DE VEDACAO, PREPARO MECANICO COM BETONEIRA 400 L. AF_08/2019 - SINAPI - 87286</t>
  </si>
  <si>
    <t>1714</t>
  </si>
  <si>
    <t xml:space="preserve">ARGAMASSA TRACO 1:2:8 (EM VOLUME DE CIMENTO, CAL E AREIA MEDIA UMIDA) PARA EMBOCO/MASSA UNICA/ASSENTAMENTO DE ALVENARIA DE VEDACAO, PREPARO MANUAL. AF_08/2019 - SINAPI - 87369</t>
  </si>
  <si>
    <t>6318</t>
  </si>
  <si>
    <t xml:space="preserve">ARGAMASSA TRACO 1:2:8 (EM VOLUME DE CIMENTO, CAL E AREIA MEDIA UMIDA) PARA EMBOCO/MASSA UNICA/ASSENTAMENTO DE ALVENARIA DE VEDACAO, PREPARO MECANICO COM MISTURADOR DE EIXO HORIZONTAL DE 300 KG. AF_08/2019 - SINAPI - 87335</t>
  </si>
  <si>
    <t>6418</t>
  </si>
  <si>
    <t xml:space="preserve">ARGAMASSA TRACO 1:3 (EM VOLUME DE CIMENTO E AREIA GROSSA UMIDA) PARA CHAPISCO CONVENCIONAL, PREPARO MECANICO COM BETONEIRA 400 L. AF_08/2019 - SINAPI - 87313</t>
  </si>
  <si>
    <t>3488</t>
  </si>
  <si>
    <t xml:space="preserve">ARGAMASSA TRACO 1:3 (EM VOLUME DE CIMENTO E AREIA MEDIA UMIDA) COM ADICAO DE IMPERMEABILIZANTE, PREPARO MECANICO COM BETONEIRA 400 L. AF_08/2019 - SINAPI - 100475</t>
  </si>
  <si>
    <t>1588</t>
  </si>
  <si>
    <t xml:space="preserve">ARGAMASSA TRACO 1:3 (EM VOLUME DE CIMENTO E AREIA MEDIA UMIDA) PARA CONTRAPISO, PREPARO MANUAL. AF_08/2019 - SINAPI - 87372</t>
  </si>
  <si>
    <t>6450</t>
  </si>
  <si>
    <t xml:space="preserve">ARGAMASSA TRACO 1:3 (EM VOLUME DE CIMENTO E AREIA MEDIA UMIDA) PARA CONTRAPISO, PREPARO MECANICO COM BETONEIRA 400 L. AF_08/2019 - SINAPI - 87298</t>
  </si>
  <si>
    <t>6345</t>
  </si>
  <si>
    <t xml:space="preserve">ARGAMASSA TRACO 1:3 (EM VOLUME DE CIMENTO E AREIA MEDIA UMIDA), PREPARO MANUAL. AF_08/2019 - SINAPI - 88629</t>
  </si>
  <si>
    <t>6395</t>
  </si>
  <si>
    <t xml:space="preserve">ARGAMASSA TRACO 1:4 (EM VOLUME DE CIMENTO E AREIA GROSSA UMIDA) PARA CHAPISCO CONVENCIONAL, PREPARO MECANICO COM BETONEIRA 400 L. AF_08/2019 - SINAPI - 87316</t>
  </si>
  <si>
    <t>1590</t>
  </si>
  <si>
    <t xml:space="preserve">ARGAMASSA TRACO 1:4 (EM VOLUME DE CIMENTO E AREIA MEDIA UMIDA) PARA CONTRAPISO, PREPARO MANUAL. AF_08/2019 - SINAPI - 87373</t>
  </si>
  <si>
    <t>6343</t>
  </si>
  <si>
    <t xml:space="preserve">ARGAMASSA TRACO 1:4 (EM VOLUME DE CIMENTO E AREIA MEDIA UMIDA), PREPARO MANUAL. AF_08/2019 - SINAPI - 88631</t>
  </si>
  <si>
    <t>6389</t>
  </si>
  <si>
    <t xml:space="preserve">ARMACAO DE BLOCO, VIGA BALDRAME E SAPATA UTILIZANDO ACO CA-50, MEDIA, DIAM. 10,0MM - FORNECIMENTO, CORTE, DOBRA E COLOCACAO (C/ PERDA DE 11%) (COMP. 0601002120)</t>
  </si>
  <si>
    <t>1905</t>
  </si>
  <si>
    <t xml:space="preserve">ARMACAO DE BLOCO, VIGA BALDRAME E SAPATA UTILIZANDO ACO CA-50, MEDIA, DIAM. 12,5MM - FORNECIMENTO, CORTE, DOBRA E COLOCACAO (C/ PERDA DE 11%) (COMP. 0601002125)</t>
  </si>
  <si>
    <t>1906</t>
  </si>
  <si>
    <t xml:space="preserve">ARMACAO DE BLOCO, VIGA BALDRAME E SAPATA UTILIZANDO ACO CA-50, MEDIA, DIAM. 8,0MM - FORNECIMENTO, CORTE, DOBRA E COLOCACAO (C/ PERDA DE 11%) (COMP. 0601002115)</t>
  </si>
  <si>
    <t>1904</t>
  </si>
  <si>
    <t xml:space="preserve">ARMACAO DE BLOCO, VIGA BALDRAME E SAPATA UTILIZANDO ACO CA-60 DIAM. 4,2MM - FORNECIMENTO, CORTE, DOBRA E COLOCACAO (C/ PERDA DE 7%) (COMP. 0601002100)</t>
  </si>
  <si>
    <t>1680</t>
  </si>
  <si>
    <t xml:space="preserve">ARMACAO DE BLOCO, VIGA BALDRAME E SAPATA UTILIZANDO ACO CA-60 DIAM. 5,0MM - FORNECIMENTO, CORTE, DOBRA E COLOCACAO (C/ PERDA DE 7%) (COMP. 0601002105)</t>
  </si>
  <si>
    <t>1903</t>
  </si>
  <si>
    <t xml:space="preserve">ARMACAO DE CINTA DE ALVENARIA ESTRUTURAL; DIAMETRO DE 10,0 MM. AF_09/2021 - SINAPI - 89998</t>
  </si>
  <si>
    <t>1785</t>
  </si>
  <si>
    <t xml:space="preserve">ARMACAO DE PILAR OU VIGA DE ESTRUTURA UTILIZANDO ACO CA-50, MEDIA, DIAM. 10,0MM - FORNECIMENTO, CORTE, DOBRA E COLOCACAO (C/ PERDA DE 11%) (COMP. 0601002170)</t>
  </si>
  <si>
    <t>1679</t>
  </si>
  <si>
    <t xml:space="preserve">ARMACAO DE PILAR OU VIGA DE ESTRUTURA UTILIZANDO ACO CA-50, MEDIA, DIAM. 12,5MM - FORNECIMENTO, CORTE, DOBRA E COLOCACAO (C/ PERDA DE 11%) (COMP. 0601002175)</t>
  </si>
  <si>
    <t>1908</t>
  </si>
  <si>
    <t xml:space="preserve">ARMACAO DE PILAR OU VIGA DE ESTRUTURA UTILIZANDO ACO CA-50, MEDIA, DIAM. 8,0MM - FORNECIMENTO, CORTE, DOBRA E COLOCACAO (C/ PERDA DE 11%) (COMP. 0601002165)</t>
  </si>
  <si>
    <t>1682</t>
  </si>
  <si>
    <t xml:space="preserve">ARMACAO DE PILAR OU VIGA DE ESTRUTURA UTILIZANDO ACO CA-60 DIAM. 5,0MM - FORNECIMENTO, CORTE, DOBRA E COLOCACAO (C/ PERDA DE 7%) (COMP. 0601002155)</t>
  </si>
  <si>
    <t>1907</t>
  </si>
  <si>
    <t>037</t>
  </si>
  <si>
    <t xml:space="preserve">ARMACAO VERTICAL COM HASTE E CONTRA-PINO, EM CHAPA DE ACO GALVANIZADO 3/16", COM 1 ESTRIBO, SEM ISOLADOR - SINAPI - 00001094</t>
  </si>
  <si>
    <t>7361</t>
  </si>
  <si>
    <t xml:space="preserve">ARMACAO VERTICAL COM HASTE E CONTRA-PINO, EM CHAPA DE ACO GALVANIZADO 3/16", COM 3 ESTRIBOS E 3 ISOLADORES - SINAPI - 00001093</t>
  </si>
  <si>
    <t>1639</t>
  </si>
  <si>
    <t xml:space="preserve">ARMADOR COM ENCARGOS COMPLEMENTARES - SINAPI - 88245</t>
  </si>
  <si>
    <t>4001</t>
  </si>
  <si>
    <t xml:space="preserve">ARRUELA DE PRESSAO PARA PARAFUSO DE 16MM</t>
  </si>
  <si>
    <t>7038</t>
  </si>
  <si>
    <t>032</t>
  </si>
  <si>
    <t xml:space="preserve">ARRUELA EM ALUMINIO, COM ROSCA, DE 1 1/2", PARA ELETRODUTO - SINAPI - 00039212</t>
  </si>
  <si>
    <t>2717</t>
  </si>
  <si>
    <t xml:space="preserve">ARRUELA EM ALUMINIO, COM ROSCA, DE 1 1/4", PARA ELETRODUTO - SINAPI - 00039211</t>
  </si>
  <si>
    <t>2716</t>
  </si>
  <si>
    <t xml:space="preserve">ARRUELA EM ALUMINIO, COM ROSCA, DE 1", PARA ELETRODUTO - SINAPI - 00039210</t>
  </si>
  <si>
    <t>6342</t>
  </si>
  <si>
    <t xml:space="preserve">ARRUELA EM ALUMINIO, COM ROSCA, DE 2", PARA ELETRODUTO - SINAPI - 00039213</t>
  </si>
  <si>
    <t>2718</t>
  </si>
  <si>
    <t xml:space="preserve">ARRUELA EM ALUMINIO, COM ROSCA, DE 3", PARA ELETRODUTO - SINAPI - 00039215</t>
  </si>
  <si>
    <t>1521</t>
  </si>
  <si>
    <t xml:space="preserve">ARRUELA EM ALUMINIO, COM ROSCA, DE 3/4", PARA ELETRODUTO - SINAPI - 00039209</t>
  </si>
  <si>
    <t>2715</t>
  </si>
  <si>
    <t xml:space="preserve">ARRUELA EM ALUMINIO, COM ROSCA, DE 4", PARA ELETRODUTO - SINAPI - 00039216</t>
  </si>
  <si>
    <t>1522</t>
  </si>
  <si>
    <t xml:space="preserve">ARRUELA LISA, REDONDA, DE LATAO POLIDO, DIAMETRO NOMINAL 5/8", DIAMETRO EXTERNO = 34 MM, DIAMETRO DO FURO = 17 MM, ESPESSURA = *2,5* MM - SINAPI - 00011267</t>
  </si>
  <si>
    <t>1575</t>
  </si>
  <si>
    <t xml:space="preserve">ARRUELA QUADRADA EM ACO GALVANIZADO, DIMENSAO = 38 MM, ESPESSURA = 3MM, DIAMETRO DO FURO= 18 MM - SINAPI - 00000379</t>
  </si>
  <si>
    <t>3020</t>
  </si>
  <si>
    <t>045</t>
  </si>
  <si>
    <t xml:space="preserve">ASFALTO MODIFICADO TIPO III - NBR 9910 (ASFALTO OXIDADO PARA IMPERMEABILIZACAO, COEFICIENTE DE PENETRACAO 15-25) - SINAPI - 00000509</t>
  </si>
  <si>
    <t>1174</t>
  </si>
  <si>
    <t>039</t>
  </si>
  <si>
    <t xml:space="preserve">ASSENTO PLASTICO PARA BACIA SANITARIA INFANTIL DECA STUDIO KIDS REF. API 166.17</t>
  </si>
  <si>
    <t>2013</t>
  </si>
  <si>
    <t xml:space="preserve">ASSENTO SANITARIO, TIPO CONVENCIONAL PARA BACIA DECA LINHA RAVENA REF. AP 01.17</t>
  </si>
  <si>
    <t>2014</t>
  </si>
  <si>
    <t xml:space="preserve">ASSENTO UNIVERSAL PARA BACIA SANITARIA, LINHA EVOLUTION SOFT CLOSE EM POLIPROPILENO DA TUPAN REF. UPPE00C</t>
  </si>
  <si>
    <t>9011</t>
  </si>
  <si>
    <t xml:space="preserve">AUXILIAR DE ELETRICISTA COM ENCARGOS COMPLEMENTARES - SINAPI - 88247</t>
  </si>
  <si>
    <t>4051</t>
  </si>
  <si>
    <t xml:space="preserve">AUXILIAR DE ENCANADOR OU BOMBEIRO HIDRAULICO COM ENCARGOS COMPLEMENTARES - SINAPI - 88248</t>
  </si>
  <si>
    <t>4052</t>
  </si>
  <si>
    <t xml:space="preserve">AUXILIAR DE SERRALHEIRO COM ENCARGOS COMPLEMENTARES - SINAPI - 88251</t>
  </si>
  <si>
    <t>4054</t>
  </si>
  <si>
    <t xml:space="preserve">AUXILIAR DE SERVICOS GERAIS COM ENCARGOS COMPLEMENTARES - SINAPI - 88252</t>
  </si>
  <si>
    <t>4053</t>
  </si>
  <si>
    <t xml:space="preserve">AUXILIAR DE TOPOGRAFO COM ENCARGOS COMPLEMENTARES - SINAPI - 88253</t>
  </si>
  <si>
    <t>4043</t>
  </si>
  <si>
    <t xml:space="preserve">AZULEJISTA OU LADRILHISTA COM ENCARGOS COMPLEMENTARES - SINAPI - 88256</t>
  </si>
  <si>
    <t>4002</t>
  </si>
  <si>
    <t>4009</t>
  </si>
  <si>
    <t xml:space="preserve">BACIA SANITARIA (VASO) CONVENCIONAL, DE LOUCA COLORIDA, SIFAO APARENTE, SAIDA VERTICAL (SEM ASSENTO) - SINAPI - 00010421</t>
  </si>
  <si>
    <t>2015</t>
  </si>
  <si>
    <t xml:space="preserve">BACIA SANITARIA SIFONADA DE LOUCA BRANCA, LINHA RAVENA, REF. P 9.17, DA DECA</t>
  </si>
  <si>
    <t>3492</t>
  </si>
  <si>
    <t xml:space="preserve">BACIA SANITARIA SIFONADA INFANTIL LOUCA BRANCA, REF. PI 16.17 DECA STUDIO KIDS</t>
  </si>
  <si>
    <t>2012</t>
  </si>
  <si>
    <t>007</t>
  </si>
  <si>
    <t xml:space="preserve">BAGUETE CHAPA 18 1/2 X 1/2" PAULI (COD.1264)</t>
  </si>
  <si>
    <t>BR</t>
  </si>
  <si>
    <t>7525</t>
  </si>
  <si>
    <t xml:space="preserve">BAGUETE CHAPA 18 3/8 X 3/8" PAULI (COD.1271)</t>
  </si>
  <si>
    <t>7526</t>
  </si>
  <si>
    <t xml:space="preserve">BANCADA DE MARMORE SINTETICO 120 X 60CM, COM CUBA INTEGRADA, INCLUSO SIFAO TIPO FLEXIVEL EM PVC, VALVULA EM PLASTICO CROMADO TIPO AMERICANA E TORNEIRA CROMADA LONGA, DE PAREDE, PADRAO POPULAR - FORNECIMENTO E INSTALACAO. AF_01/2020 - SINAPI - 86934</t>
  </si>
  <si>
    <t>1751</t>
  </si>
  <si>
    <t xml:space="preserve">BARRA CHATA DE ALUMINIO 7/8 X 1/8" X 3M - TEL0761YT</t>
  </si>
  <si>
    <t>1581</t>
  </si>
  <si>
    <t>6421</t>
  </si>
  <si>
    <t xml:space="preserve">BARRA DE APOIO RETA (PUXADOR), EM ACO INOX POLIDO, COMPRIMENTO DE 40CM, DIAMETRO MINIMO DE 3CM</t>
  </si>
  <si>
    <t>6180</t>
  </si>
  <si>
    <t xml:space="preserve">BASE PARA RELE COM SUPORTE METALICO - SINAPI - 00039380</t>
  </si>
  <si>
    <t>6457</t>
  </si>
  <si>
    <t>006</t>
  </si>
  <si>
    <t xml:space="preserve">BATENTE / PORTAL / ADUELA / MARCO EM MADEIRA MACICA COM REBAIXO, E = *3* CM, L = *16* CM, PARA PORTAS DE GIRO DE *60 CM A 120* CM X *210* CM, CEDRINHO/ANGELIM COMERCIAL /TAURI /CURUPIXA /PEROBA /CUMARU OU EQUIV.DA REGIAO (NAO INCLUI ALIZARES) - SINAPI - 00000181</t>
  </si>
  <si>
    <t>1201</t>
  </si>
  <si>
    <t xml:space="preserve">BATENTE / PORTAL / ADUELA / MARCO EM MADEIRA MACICA COM REBAIXO, E = *3* CM, L = *16* CM, PARA PORTAS DE GIRO DE *60 CM A 120* CM X *210* CM, PINUS / EUCALIPTO / VIROLA OU EQUIVALENTE DA REGIAO (NAO INCLUI ALIZARES) - SINAPI - 00020001</t>
  </si>
  <si>
    <t>1014</t>
  </si>
  <si>
    <t xml:space="preserve">BATENTE EM CHAPA 18 150X32MM PAULI (COD.1548)</t>
  </si>
  <si>
    <t>7501</t>
  </si>
  <si>
    <t xml:space="preserve">BEBEDOURO ELETRICO DE PRESSAO EM ACO INOX, REF. PDF300 2T DA IBBL OU SIMILAR</t>
  </si>
  <si>
    <t>2613</t>
  </si>
  <si>
    <t xml:space="preserve">BEBEDOURO INDUSTRIAL DE COLUNA EM ACO INOX, CAPACIDADE DE 50 LITROS, 2 TORNEIRAS, KIT INSTALACAO E FILTRO BACTERIOLOGICO DA KNOX OU SIMILAR</t>
  </si>
  <si>
    <t>1617</t>
  </si>
  <si>
    <t xml:space="preserve">BETONEIRA CAPACIDADE NOMINAL DE 400 L, CAPACIDADE DE MISTURA 280 L, MOTOR ELETRICO TRIFASICO POTENCIA DE 2 CV, SEM CARREGADOR - CHI DIURNO. AF_05/2023 - SINAPI - 88831</t>
  </si>
  <si>
    <t>5002</t>
  </si>
  <si>
    <t xml:space="preserve">BETONEIRA CAPACIDADE NOMINAL DE 400 L, CAPACIDADE DE MISTURA 280 L, MOTOR ELETRICO TRIFASICO POTENCIA DE 2 CV, SEM CARREGADOR - CHP DIURNO. AF_05/2023 - SINAPI - 88830</t>
  </si>
  <si>
    <t>5001</t>
  </si>
  <si>
    <t xml:space="preserve">BLASTER, DINAMITADOR OU CABO DE FOGO COM ENCARGOS COMPLEMENTARES - SINAPI - 88257</t>
  </si>
  <si>
    <t>4017</t>
  </si>
  <si>
    <t>029</t>
  </si>
  <si>
    <t xml:space="preserve">BLOCO AUTONOMO DE ILUM. EMERG. INSCR. DE SAIDA OU BALIZAMENTO SIST. NAO PERMANENTE, LED 500 LUMENS 5000K E BATERIA DE 6V-4AH, REF. BLOKITO BLK 500 DA AUREON OU SIMILAR</t>
  </si>
  <si>
    <t>8482</t>
  </si>
  <si>
    <t xml:space="preserve">BLOCO AUTONOMO ILUM. EMERG. DE ACLARAMENTO, SIST. NAO PERMANENTE, LED 500 LUMENS 5000K E BATERIA DE 6V-4AH, REF. BLOKITO BLK 500 DA AUREON OU SIMILAR</t>
  </si>
  <si>
    <t>8480</t>
  </si>
  <si>
    <t>010</t>
  </si>
  <si>
    <t xml:space="preserve">BLOCO CERAMICO / TIJOLO VAZADO PARA ALVENARIA DE VEDACAO, 8 FUROS NA HORIZONTAL DE 9 X 19 X 19 CM (L X A X C) - SINAPI - 00007271</t>
  </si>
  <si>
    <t>1171</t>
  </si>
  <si>
    <t>6552</t>
  </si>
  <si>
    <t xml:space="preserve">BLOCO CERAMICO / TIJOLO VAZADO PARA ALVENARIA DE VEDACAO, FUROS NA HORIZONTAL DE 11,5 X 19 X 19 CM (L X A X C) - SINAPI - 00038783</t>
  </si>
  <si>
    <t>6615</t>
  </si>
  <si>
    <t xml:space="preserve">BLOCO DE VEDACAO DE CONCRETO APARENTE 19 X 19 X 39 CM (CLASSE C - NBR 6136) - SINAPI - 00034555</t>
  </si>
  <si>
    <t>6560</t>
  </si>
  <si>
    <t xml:space="preserve">BLOCO DE VEDACAO DE CONCRETO, 9 X 19 X 39 CM (CLASSE C - NBR 6136) - SINAPI - 00000650</t>
  </si>
  <si>
    <t>6558</t>
  </si>
  <si>
    <t xml:space="preserve">BOMBA CENTRIFUGA MOTOR ELETRICO MONOFASICO 0,74HP DIAMETRO DE SUCCAO X ELEVACAO 1 1/4" X 1", DIAMETRO DO ROTOR 120 MM, HM/Q: 8 M / 7,70 M3/H A 24 M / 2,80 M3/H - SINAPI - 00000733</t>
  </si>
  <si>
    <t>1068</t>
  </si>
  <si>
    <t xml:space="preserve">BOMBA CENTRIFUGA MOTOR ELETRICO TRIFASICO 5HP, DIAMETRO DE SUCCAO X ELEVACAO 2" X 1 1/2", DIAMETRO DO ROTOR 155 MM, HM/Q: 40 M / 20,40 M3/H A 46 M / 9,20 M3/H - SINAPI - 00000738</t>
  </si>
  <si>
    <t>1576</t>
  </si>
  <si>
    <t xml:space="preserve">BOMBA SCHNEIDER BPI-22R 7,5CV TR 220V</t>
  </si>
  <si>
    <t>7581</t>
  </si>
  <si>
    <t xml:space="preserve">BOMBEAMENTO, ADENSAMENTO E ACABAMENTO DE CONCRETO (COMP. 0601003200)</t>
  </si>
  <si>
    <t>6355</t>
  </si>
  <si>
    <t xml:space="preserve">BORNE CONCENTRICO 3/8" TIPO DERIVACAO T</t>
  </si>
  <si>
    <t>7245</t>
  </si>
  <si>
    <t xml:space="preserve">BORNE CONCENTRICO 3/8" TIPO TERMINAL ANGULAR</t>
  </si>
  <si>
    <t>7244</t>
  </si>
  <si>
    <t xml:space="preserve">BORNE CONCENTRICO 3/8" TIPO TERMINAL CENTRAL</t>
  </si>
  <si>
    <t>7243</t>
  </si>
  <si>
    <t xml:space="preserve">BOTAO FRANCES DE PLASTICO CROMADO COM BUCHA E PARAFUSO</t>
  </si>
  <si>
    <t>6445</t>
  </si>
  <si>
    <t xml:space="preserve">BRACADEIRA COM ROLDANA PARA MASTRO (1 1/2"), REF. TEL 340 DA TERMOTECNICA OU SIMILAR</t>
  </si>
  <si>
    <t>7065</t>
  </si>
  <si>
    <t xml:space="preserve">BRACADEIRA PARA FIXACAO DE MASTRO OU TUBO DE PVC (1 1/2") REF. TEL 100 TERMOTECNICA OU SIMILAR</t>
  </si>
  <si>
    <t>3483</t>
  </si>
  <si>
    <t xml:space="preserve">BRACO / CANO PARA CHUVEIRO ELETRICO, EM ALUMINIO, 30 CM X 1/2" - SINAPI - 00011685</t>
  </si>
  <si>
    <t>8006</t>
  </si>
  <si>
    <t xml:space="preserve">BRACO P/ LUMINARIA PUBLICA 1 X 1,50M ROMAGNOLE OU EQUIV - SINAPI - 00002512</t>
  </si>
  <si>
    <t>6491</t>
  </si>
  <si>
    <t>7117</t>
  </si>
  <si>
    <t>6605</t>
  </si>
  <si>
    <t>6604</t>
  </si>
  <si>
    <t xml:space="preserve">BUCHA DE NYLON SEM ABA S10, COM PARAFUSO DE 6,10 X 65 MM EM ACO ZINCADO COM ROSCA SOBERBA, CABECA CHATA E FENDA PHILLIPS - SINAPI - 00007568</t>
  </si>
  <si>
    <t>6405</t>
  </si>
  <si>
    <t>026</t>
  </si>
  <si>
    <t xml:space="preserve">BUCHA DE NYLON SEM ABA S6, COM PARAFUSO DE 4,20 X 40 MM EM ACO ZINCADO COM ROSCA SOBERBA, CABECA CHATA E FENDA PHILLIPS - SINAPI - 00011950</t>
  </si>
  <si>
    <t>1223</t>
  </si>
  <si>
    <t xml:space="preserve">BUCHA DE NYLON SEM ABA S8 - SINAPI - 00004376</t>
  </si>
  <si>
    <t>1578</t>
  </si>
  <si>
    <t xml:space="preserve">BUCHA DE NYLON SEM ABA S8, COM PARAFUSO DE 4,80 X 50 MM EM ACO ZINCADO COM ROSCA SOBERBA, CABECA CHATA E FENDA PHILLIPS - SINAPI - 00007583</t>
  </si>
  <si>
    <t>8474</t>
  </si>
  <si>
    <t xml:space="preserve">BUCHA DE NYLON, DIAMETRO DO FURO 8 MM, COMPRIMENTO 40 MM, COM PARAFUSO DE ROSCA SOBERBA, CABECA CHATA, FENDA SIMPLES, 4,8 X 50 MM - SINAPI - 00004350</t>
  </si>
  <si>
    <t>7615</t>
  </si>
  <si>
    <t xml:space="preserve">BUCHA DE PASSAGEM DE PORCELANA, CLASSE 15 KV (INTERNO X INTERNO)</t>
  </si>
  <si>
    <t>7041</t>
  </si>
  <si>
    <t xml:space="preserve">BUCHA E ARRUELA ALUMINIO FUNDIDO P/ ELETRODUTO 100MM (4") (SINAPI 39182+39216)</t>
  </si>
  <si>
    <t>3041</t>
  </si>
  <si>
    <t xml:space="preserve">BUCHA E ARRUELA ALUMINIO FUNDIDO P/ ELETRODUTO 60MM (2 1/2'') (SINAPI 39180+39214)</t>
  </si>
  <si>
    <t>3039</t>
  </si>
  <si>
    <t xml:space="preserve">BUCHA E ARRUELA ALUMINIO FUNDIDO P/ ELETRODUTO 75MM (3'') (SINAPI 39181+39215)</t>
  </si>
  <si>
    <t>3040</t>
  </si>
  <si>
    <t xml:space="preserve">BUCHA EM ALUMINIO, COM ROSCA, DE 1 1/2", PARA ELETRODUTO - SINAPI - 00039178</t>
  </si>
  <si>
    <t>3037</t>
  </si>
  <si>
    <t xml:space="preserve">BUCHA EM ALUMINIO, COM ROSCA, DE 1 1/4", PARA ELETRODUTO - SINAPI - 00039177</t>
  </si>
  <si>
    <t>3036</t>
  </si>
  <si>
    <t xml:space="preserve">BUCHA EM ALUMINIO, COM ROSCA, DE 1", PARA ELETRODUTO - SINAPI - 00039176</t>
  </si>
  <si>
    <t>3035</t>
  </si>
  <si>
    <t xml:space="preserve">BUCHA EM ALUMINIO, COM ROSCA, DE 2", PARA ELETRODUTO - SINAPI - 00039179</t>
  </si>
  <si>
    <t>3038</t>
  </si>
  <si>
    <t xml:space="preserve">BUCHA EM ALUMINIO, COM ROSCA, DE 3", PARA ELETRODUTO - SINAPI - 00039181</t>
  </si>
  <si>
    <t>1523</t>
  </si>
  <si>
    <t xml:space="preserve">BUCHA EM ALUMINIO, COM ROSCA, DE 3/4", PARA ELETRODUTO - SINAPI - 00039175</t>
  </si>
  <si>
    <t>3034</t>
  </si>
  <si>
    <t xml:space="preserve">BUCHA EM ALUMINIO, COM ROSCA, DE 4", PARA ELETRODUTO - SINAPI - 00039182</t>
  </si>
  <si>
    <t>1524</t>
  </si>
  <si>
    <t xml:space="preserve">CABECOTE PARA ENTRADA DE LINHA DE ALIMENTACAO PARA ELETRODUTO, EM LIGA DE ALUMINIO COM ACABAMENTO ANTI CORROSIVO, COM FIXACAO POR ENCAIXE LISO DE 360 GRAUS, DE 2" - SINAPI - 00001100</t>
  </si>
  <si>
    <t>1640</t>
  </si>
  <si>
    <t xml:space="preserve">CABECOTE PARA ENTRADA DE LINHA DE ALIMENTACAO PARA ELETRODUTO, EM LIGA DE ALUMINIO COM ACABAMENTO ANTI CORROSIVO, COM FIXACAO POR ENCAIXE LISO DE 360 GRAUS, DE 3" - SINAPI - 00001102</t>
  </si>
  <si>
    <t>1525</t>
  </si>
  <si>
    <t xml:space="preserve">CABECOTE PARA ENTRADA DE LINHA DE ALIMENTACAO PARA ELETRODUTO, EM LIGA DE ALUMINIO COM ACABAMENTO ANTI CORROSIVO, COM FIXACAO POR ENCAIXE LISO DE 360 GRAUS, DE 4" - SINAPI - 00001051</t>
  </si>
  <si>
    <t>1526</t>
  </si>
  <si>
    <t xml:space="preserve">CABIDE/GANCHO DE BANHEIRO SIMPLES EM METAL CROMADO - SINAPI - 00037399</t>
  </si>
  <si>
    <t>2064</t>
  </si>
  <si>
    <t>036</t>
  </si>
  <si>
    <t xml:space="preserve">CABO CORDPLAST 750V, 3#2,5 MM2</t>
  </si>
  <si>
    <t>1443</t>
  </si>
  <si>
    <t xml:space="preserve">CABO DE 25,0 MM2, ISOLADO PARA 15 KV, TIPO EPROTENAX, FABRICACAO PIRELLI</t>
  </si>
  <si>
    <t>7133</t>
  </si>
  <si>
    <t xml:space="preserve">CABO DE ACO GALVANIZADO, DIAMETRO 9,53 MM (3/8"), COM ALMA DE FIBRA 6 X 25 F - SINAPI - 00041954</t>
  </si>
  <si>
    <t>1527</t>
  </si>
  <si>
    <t>6585</t>
  </si>
  <si>
    <t xml:space="preserve">CABO DE ALUMINIO C/ ALMA DE ACO, BITOLA 1/0 AWG (4,62M/KG) (SINAPI - 25004/4,62)</t>
  </si>
  <si>
    <t>3253</t>
  </si>
  <si>
    <t xml:space="preserve">CABO DE ALUMINIO C/ ALMA DE ACO, BITOLA 2 AWG (7,36M/KG) (SINAPI - 25002/7,36)</t>
  </si>
  <si>
    <t>3252</t>
  </si>
  <si>
    <t xml:space="preserve">CABO DE ALUMINIO C/ ALMA DE ACO, BITOLA 4 AWG (11,71/M/KG) (SINAPI - 0841/11,71)</t>
  </si>
  <si>
    <t>3251</t>
  </si>
  <si>
    <t xml:space="preserve">CABO DE ALUMINIO C/ ALMA DE ACO, BITOLA 4/0 AWG (11,62M/KG)</t>
  </si>
  <si>
    <t>3254</t>
  </si>
  <si>
    <t>6584</t>
  </si>
  <si>
    <t xml:space="preserve">CABO DE ALUMINIO MULTIPLEXADO 120MM COPPERFIO</t>
  </si>
  <si>
    <t>7071</t>
  </si>
  <si>
    <t xml:space="preserve">CABO DE ALUMINIO MULTIPLEXADO 70MM, COPPERFIO</t>
  </si>
  <si>
    <t>7070</t>
  </si>
  <si>
    <t xml:space="preserve">CABO DE ALUMINIO QUADRUPLEX 2 AWG (35 MM2)</t>
  </si>
  <si>
    <t>3243</t>
  </si>
  <si>
    <t xml:space="preserve">CABO DE ALUMINIO QUADRUPLEX 6 AWG (10 MM2)</t>
  </si>
  <si>
    <t>7020</t>
  </si>
  <si>
    <t xml:space="preserve">CABO DE ALUMINIO S/ ALMA DE ACO BITOLA 1/0 AWG (50 MM2) (6,80M/KG) (SINAPI - 25005/6,80)</t>
  </si>
  <si>
    <t>7031</t>
  </si>
  <si>
    <t xml:space="preserve">CABO DE ALUMINIO S/ ALMA DE ACO BITOLA 2 AWG (35 MM2) (10,80M/KG)(SINAPI - 25003/10,80)</t>
  </si>
  <si>
    <t>7030</t>
  </si>
  <si>
    <t xml:space="preserve">CABO DE ALUMINIO S/ ALMA DE ACO BITOLA 4 AWG (25 MM2) (17,20M/KG) (SINAPI - 0842/17,20)</t>
  </si>
  <si>
    <t>7029</t>
  </si>
  <si>
    <t xml:space="preserve">CABO DE COBRE FLEXIVEL ISOLADO, 1,5 MM2, ANTI-CHAMA 0,6/1,0 KV, PARA CIRCUITOS TERMINAIS - FORNECIMENTO E INSTALACAO. AF_03/2023 - SINAPI - 91925</t>
  </si>
  <si>
    <t>1798</t>
  </si>
  <si>
    <t xml:space="preserve">CABO DE COBRE FLEXIVEL ISOLADO, 1,5 MM2, ANTI-CHAMA 450/750 V, PARA CIRCUITOS TERMINAIS - FORNECIMENTO E INSTALACAO. AF_03/2023 - SINAPI - 91924</t>
  </si>
  <si>
    <t>1915</t>
  </si>
  <si>
    <t xml:space="preserve">CABO DE COBRE FLEXIVEL ISOLADO, 10 MM2, ANTI-CHAMA 0,6/1,0 KV, PARA CIRCUITOS TERMINAIS - FORNECIMENTO E INSTALACAO. AF_03/2023 - SINAPI - 91933</t>
  </si>
  <si>
    <t>1801</t>
  </si>
  <si>
    <t xml:space="preserve">CABO DE COBRE FLEXIVEL ISOLADO, 10,0 MM2, ANTICHAMA 450/750 V, ISOLACAO EM DUPLA CAMADA DE COMPOSTO TERMOPLASTICO LIVRE DE HALOGENIO E COM BAIXA EMISSAO DE FUMACA, AFUMEX, CORTOX, CORFITOX - CONFORME NBR 5410 E NBR 13570</t>
  </si>
  <si>
    <t>2737</t>
  </si>
  <si>
    <t xml:space="preserve">CABO DE COBRE FLEXIVEL ISOLADO, 16 MM2, ANTI-CHAMA 450/750 V, PARA DISTRIBUICAO - FORNECIMENTO E INSTALACAO. AF_10/2020 - SINAPI - 92981</t>
  </si>
  <si>
    <t>1917</t>
  </si>
  <si>
    <t xml:space="preserve">CABO DE COBRE FLEXIVEL ISOLADO, 16,0 MM2, ANTICHAMA 450/750 V, ISOLACAO EM DUPLA CAMADA DE COMPOSTO TERMOPLASTICO LIVRE DE HALOGENIO E COM BAIXA EMISSAO DE FUMACA, AFUMEX, CORTOX, CORFITOX - CONFORME NBR 5410 E NBR 13570</t>
  </si>
  <si>
    <t>2738</t>
  </si>
  <si>
    <t xml:space="preserve">CABO DE COBRE FLEXIVEL ISOLADO, 2,5 MM2, ANTI-CHAMA 0,6/1,0 KV, PARA CIRCUITOS TERMINAIS - FORNECIMENTO E INSTALACAO. AF_03/2023 - SINAPI - 91927</t>
  </si>
  <si>
    <t>1799</t>
  </si>
  <si>
    <t xml:space="preserve">CABO DE COBRE FLEXIVEL ISOLADO, 2,5 MM2, ANTICHAMA 450/750 V, ISOLACAO EM DUPLA CAMADA DE COMPOSTO TERMOPLASTICO LIVRE DE HALOGENIO E COM BAIXA EMISSAO DE FUMACA, AFUMEX, CORTOX, CORFITOX - CONFORME NBR 5410 E NBR 13570</t>
  </si>
  <si>
    <t>2712</t>
  </si>
  <si>
    <t xml:space="preserve">CABO DE COBRE FLEXIVEL ISOLADO, 2,5 MM2, ANTI-CHAMA 450/750 V, PARA CIRCUITOS TERMINAIS - FORNECIMENTO E INSTALACAO. AF_03/2023 - SINAPI - 91926</t>
  </si>
  <si>
    <t>1916</t>
  </si>
  <si>
    <t xml:space="preserve">CABO DE COBRE FLEXIVEL ISOLADO, 25 MM2, ANTI-CHAMA 0,6/1,0 KV, PARA REDE ENTERRADA DE DISTRIBUICAO DE ENERGIA ELETRICA - FORNECIMENTO E INSTALACAO. AF_12/2021 - SINAPI - 92984</t>
  </si>
  <si>
    <t>1819</t>
  </si>
  <si>
    <t xml:space="preserve">CABO DE COBRE FLEXIVEL ISOLADO, 3 CONDUTORES DE 10,0 MM2, ANTICHAMA 0,6/1 KV, ISOLACAO EM DUPLA CAMADA DE BORRACHA HEPR, LIVRE DE HALOGENIO, BAIXA EMISSAO DE FUMACA, AFUMEX, CORTOX, CORFITOX - CONFORME NBR 5410 E NBR 13570</t>
  </si>
  <si>
    <t>2741</t>
  </si>
  <si>
    <t xml:space="preserve">CABO DE COBRE FLEXIVEL ISOLADO, 3 CONDUTORES DE 16,0 MM2, ANTICHAMA 0,6/1 KV, ISOLACAO EM DUPLA CAMADA DE BORRACHA HEPR, LIVRE DE HALOGENIO, BAIXA EMISSAO DE FUMACA, AFUMEX, CORTOX, CORFITOX - CONFORME NBR 5410 E NBR 13570</t>
  </si>
  <si>
    <t>2742</t>
  </si>
  <si>
    <t xml:space="preserve">CABO DE COBRE FLEXIVEL ISOLADO, 3 CONDUTORES DE 25,0 MM2, ANTICHAMA 0,6/1 KV, ISOLACAO EM DUPLA CAMADA DE BORRACHA HEPR, LIVRE DE HALOGENIO, BAIXA EMISSAO DE FUMACA, AFUMEX, CORTOX, CORFITOX - CONFORME NBR 5410 E NBR 13570</t>
  </si>
  <si>
    <t>2743</t>
  </si>
  <si>
    <t xml:space="preserve">CABO DE COBRE FLEXIVEL ISOLADO, 3 CONDUTORES DE 35,0 MM2, ANTICHAMA 0,6/1 KV, ISOLACAO EM DUPLA CAMADA DE BORRACHA HEPR, LIVRE DE HALOGENIO, BAIXA EMISSAO DE FUMACA, AFUMEX, CORTOX, CORFITOX - CONFORME NBR 5410 E NBR 13570</t>
  </si>
  <si>
    <t>2744</t>
  </si>
  <si>
    <t xml:space="preserve">CABO DE COBRE FLEXIVEL ISOLADO, 3 CONDUTORES DE 50,0 MM2, ANTICHAMA 0,6/1 KV, ISOLACAO EM DUPLA CAMADA DE BORRACHA HEPR, LIVRE DE HALOGENIO, BAIXA EMISSAO DE FUMACA, AFUMEX, CORTOX, CORFITOX - CONFORME NBR 5410 E NBR 13570</t>
  </si>
  <si>
    <t>2745</t>
  </si>
  <si>
    <t xml:space="preserve">CABO DE COBRE FLEXIVEL ISOLADO, 3 CONDUTORES DE 6,0 MM2, ANTICHAMA 0,6/1 KV, ISOLACAO EM DUPLA CAMADA DE BORRACHA HEPR, LIVRE DE HALOGENIO, BAIXA EMISSAO DE FUMACA AFUMEX FLEX DA PRYSMIAN, CONFORME NBR 5410 E NBR 13570</t>
  </si>
  <si>
    <t>2740</t>
  </si>
  <si>
    <t xml:space="preserve">CABO DE COBRE FLEXIVEL ISOLADO, 3 CONDUTORES DE 70,0 MM2, ANTICHAMA 0,6/1 KV, ISOLACAO EM DUPLA CAMADA DE BORRACHA HEPR, LIVRE DE HALOGENIO, BAIXA EMISSAO DE FUMACA, AFUMEX, CORTOX, CORFITOX - CONFORME NBR 5410 E NBR 13570</t>
  </si>
  <si>
    <t>2746</t>
  </si>
  <si>
    <t xml:space="preserve">CABO DE COBRE FLEXIVEL ISOLADO, 3 CONDUTORES DE 95,0 MM2, ANTICHAMA 0,6/1 KV, ISOLACAO EM DUPLA CAMADA DE BORRACHA HEPR, LIVRE DE HALOGENIO, BAIXA EMISSAO DE FUMACA, AFUMEX, CORTOX, CORFITOX - CONFORME NBR 5410 E NBR 13570</t>
  </si>
  <si>
    <t>2747</t>
  </si>
  <si>
    <t xml:space="preserve">CABO DE COBRE FLEXIVEL ISOLADO, 4,0 MM2, ANTICHAMA 450/750 V, ISOLACAO EM DUPLA CAMADA DE COMPOSTO TERMOPLASTICO LIVRE DE HALOGENIO E COM BAIXA EMISSAO DE FUMACA AFUMEX, CORTOX, CORFITOX - CONFORME NBR 5410 E NBR 13570</t>
  </si>
  <si>
    <t>2713</t>
  </si>
  <si>
    <t xml:space="preserve">CABO DE COBRE FLEXIVEL ISOLADO, 50 MM2, ANTI-CHAMA 0,6/1,0 KV, PARA REDE ENTERRADA DE DISTRIBUICAO DE ENERGIA ELETRICA - FORNECIMENTO E INSTALACAO. AF_12/2021 - SINAPI - 92988</t>
  </si>
  <si>
    <t>1820</t>
  </si>
  <si>
    <t xml:space="preserve">CABO DE COBRE FLEXIVEL ISOLADO, 6 MM2, ANTI-CHAMA 0,6/1,0 KV, PARA CIRCUITOS TERMINAIS - FORNECIMENTO E INSTALACAO. AF_03/2023 - SINAPI - 91931</t>
  </si>
  <si>
    <t>1800</t>
  </si>
  <si>
    <t xml:space="preserve">CABO DE COBRE FLEXIVEL ISOLADO, 6,0 MM2, ANTICHAMA 450/750 V, ISOLACAO EM DUPLA CAMADA DE COMPOSTO TERMOPLASTICO LIVRE DE HALOGENIO E COM BAIXA EMISSAO DE FUMACA AFUMEX, CORTOX, CORFITOX - CONFORME NBR 5410 E NBR 13570</t>
  </si>
  <si>
    <t>2714</t>
  </si>
  <si>
    <t xml:space="preserve">CABO DE COBRE ISOLADO COM EPR/XLPE 1 KV (90G) 95MM2</t>
  </si>
  <si>
    <t>6123</t>
  </si>
  <si>
    <t xml:space="preserve">CABO DE COBRE ISOLADO COM EPR/XLPE 1KV (90G ) 6MM2</t>
  </si>
  <si>
    <t>6116</t>
  </si>
  <si>
    <t xml:space="preserve">CABO DE COBRE ISOLADO COM EPR/XLPE 1KV (90G) 10MM2</t>
  </si>
  <si>
    <t>6117</t>
  </si>
  <si>
    <t xml:space="preserve">CABO DE COBRE ISOLADO COM EPR/XLPE 1KV (90G) 120MM2</t>
  </si>
  <si>
    <t>6124</t>
  </si>
  <si>
    <t xml:space="preserve">CABO DE COBRE ISOLADO COM EPR/XLPE 1KV (90G) 150MM2</t>
  </si>
  <si>
    <t>6125</t>
  </si>
  <si>
    <t xml:space="preserve">CABO DE COBRE ISOLADO COM EPR/XLPE 1KV (90G) 16MM2</t>
  </si>
  <si>
    <t>6118</t>
  </si>
  <si>
    <t xml:space="preserve">CABO DE COBRE ISOLADO COM EPR/XLPE 1KV (90G) 185MM2</t>
  </si>
  <si>
    <t>6126</t>
  </si>
  <si>
    <t xml:space="preserve">CABO DE COBRE ISOLADO COM EPR/XLPE 1KV (90G) 240MM2</t>
  </si>
  <si>
    <t>6127</t>
  </si>
  <si>
    <t xml:space="preserve">CABO DE COBRE ISOLADO COM EPR/XLPE 1KV (90G) 25MM2</t>
  </si>
  <si>
    <t>6119</t>
  </si>
  <si>
    <t xml:space="preserve">CABO DE COBRE ISOLADO COM EPR/XLPE 1KV (90G) 300MM2</t>
  </si>
  <si>
    <t>6128</t>
  </si>
  <si>
    <t xml:space="preserve">CABO DE COBRE ISOLADO COM EPR/XLPE 1KV (90G) 35MM2</t>
  </si>
  <si>
    <t>6120</t>
  </si>
  <si>
    <t xml:space="preserve">CABO DE COBRE ISOLADO COM EPR/XLPE 1KV (90G) 4MM2</t>
  </si>
  <si>
    <t>6115</t>
  </si>
  <si>
    <t xml:space="preserve">CABO DE COBRE ISOLADO COM EPR/XLPE 1KV (90G) 50MM2</t>
  </si>
  <si>
    <t>6121</t>
  </si>
  <si>
    <t xml:space="preserve">CABO DE COBRE ISOLADO COM EPR/XLPE 1KV (90G) 70MM2</t>
  </si>
  <si>
    <t>6122</t>
  </si>
  <si>
    <t xml:space="preserve">CABO DE COBRE NU 10 MM2 MEIO-DURO - SINAPI - 00000862</t>
  </si>
  <si>
    <t>3056</t>
  </si>
  <si>
    <t xml:space="preserve">CABO DE COBRE NU 120 MM2 MEIO-DURO - SINAPI - 00000866</t>
  </si>
  <si>
    <t>3501</t>
  </si>
  <si>
    <t xml:space="preserve">CABO DE COBRE NU 150 MM2 MEIO-DURO - SINAPI - 00000892</t>
  </si>
  <si>
    <t>3066</t>
  </si>
  <si>
    <t xml:space="preserve">CABO DE COBRE NU 16 MM2 MEIO-DURO - SINAPI - 00000857</t>
  </si>
  <si>
    <t>3059</t>
  </si>
  <si>
    <t xml:space="preserve">CABO DE COBRE NU 185 MM2 MEIO-DURO - SINAPI - 00037404</t>
  </si>
  <si>
    <t>3065</t>
  </si>
  <si>
    <t xml:space="preserve">CABO DE COBRE NU 25 MM2 MEIO-DURO - SINAPI - 00000868</t>
  </si>
  <si>
    <t>3062</t>
  </si>
  <si>
    <t xml:space="preserve">CABO DE COBRE NU 35 MM2 MEIO-DURO - SINAPI - 00000863</t>
  </si>
  <si>
    <t>3064</t>
  </si>
  <si>
    <t xml:space="preserve">CABO DE COBRE NU 50 MM2 MEIO-DURO - SINAPI - 00000867</t>
  </si>
  <si>
    <t>6164</t>
  </si>
  <si>
    <t xml:space="preserve">CABO DE COBRE NU 6 MM2 MEIO-DURO</t>
  </si>
  <si>
    <t>6139</t>
  </si>
  <si>
    <t xml:space="preserve">CABO DE COBRE UNIPOLAR 35 MM2, BLINDADO, ISOLACAO 12/20 KV EPR, COBERTURA EM PVC</t>
  </si>
  <si>
    <t>7134</t>
  </si>
  <si>
    <t xml:space="preserve">CABO DE COBRE, FLEXIVEL, CLASSE 4 OU 5, ISOLACAO EM PVC/A, ANTICHAMA BWF-B, COBERTURA PVC-ST1, ANTICHAMA BWF-B, 1 CONDUTOR, 0,6/1 KV, SECAO NOMINAL 10 MM2 - SINAPI - 00001020</t>
  </si>
  <si>
    <t>3086</t>
  </si>
  <si>
    <t xml:space="preserve">CABO DE COBRE, FLEXIVEL, CLASSE 4 OU 5, ISOLACAO EM PVC/A, ANTICHAMA BWF-B, COBERTURA PVC-ST1, ANTICHAMA BWF-B, 1 CONDUTOR, 0,6/1 KV, SECAO NOMINAL 2,5 MM2 - SINAPI - 00001022</t>
  </si>
  <si>
    <t>6488</t>
  </si>
  <si>
    <t xml:space="preserve">CABO DE COBRE, FLEXIVEL, CLASSE 4 OU 5, ISOLACAO EM PVC/A, ANTICHAMA BWF-B, COBERTURA PVC-ST1, ANTICHAMA BWF-B, 1 CONDUTOR, 0,6/1 KV, SECAO NOMINAL 25 MM2 - SINAPI - 00000996</t>
  </si>
  <si>
    <t>3099</t>
  </si>
  <si>
    <t xml:space="preserve">CABO DE COBRE, FLEXIVEL, CLASSE 4 OU 5, ISOLACAO EM PVC/A, ANTICHAMA BWF-B, COBERTURA PVC-ST1, ANTICHAMA BWF-B, 1 CONDUTOR, 0,6/1 KV, SECAO NOMINAL 50 MM2 - SINAPI - 00001018</t>
  </si>
  <si>
    <t>3089</t>
  </si>
  <si>
    <t xml:space="preserve">CABO DE COBRE, FLEXIVEL, CLASSE 4 OU 5, ISOLACAO EM PVC/A, ANTICHAMA BWF-B, COBERTURA PVC-ST1, ANTICHAMA BWF-B, 1 CONDUTOR, 0,6/1 KV, SECAO NOMINAL 95 MM2 - SINAPI - 00000998</t>
  </si>
  <si>
    <t>3091</t>
  </si>
  <si>
    <t xml:space="preserve">CABO DE COBRE, RIGIDO, CLASSE 2, ISOLACAO EM PVC/A, ANTICHAMA BWF-B, 1 CONDUTOR, 450/750 V, SECAO NOMINAL 25 MM2 - SINAPI - 00000986</t>
  </si>
  <si>
    <t>3076</t>
  </si>
  <si>
    <t xml:space="preserve">CABO DE COBRE, RIGIDO, CLASSE 2, ISOLACAO EM PVC/A, ANTICHAMA BWF-B, 1 CONDUTOR, 450/750 V, SECAO NOMINAL 35 MM2 - SINAPI - 00000987</t>
  </si>
  <si>
    <t>3078</t>
  </si>
  <si>
    <t xml:space="preserve">CABO DE COBRE, RIGIDO, CLASSE 2, ISOLACAO EM PVC/A, ANTICHAMA BWF-B, 1 CONDUTOR, 450/750 V, SECAO NOMINAL 70 MM2 - SINAPI - 00000988</t>
  </si>
  <si>
    <t>3084</t>
  </si>
  <si>
    <t xml:space="preserve">CABO ELETRONICO CATEGORIA 5E, INSTALADO EM EDIFICACAO RESIDENCIAL - FORNECIMENTO E INSTALACAO. AF_11/2019 - SINAPI - 98294</t>
  </si>
  <si>
    <t>1857</t>
  </si>
  <si>
    <t xml:space="preserve">CABO FLEXIVEL PVC 750 V, 3 CONDUTORES DE 1,5 MM2 - SINAPI - 00034618</t>
  </si>
  <si>
    <t>1442</t>
  </si>
  <si>
    <t xml:space="preserve">CABO FLEXIVEL PVC 750 V, 3 CONDUTORES DE 4,0 MM2 - SINAPI - 00034621</t>
  </si>
  <si>
    <t>1444</t>
  </si>
  <si>
    <t>6582</t>
  </si>
  <si>
    <t xml:space="preserve">CABO MULTIPLEXADO DE ALUMINIO CA/CAL 3X1X25+25MM2</t>
  </si>
  <si>
    <t>6498</t>
  </si>
  <si>
    <t>6580</t>
  </si>
  <si>
    <t>6581</t>
  </si>
  <si>
    <t>1693</t>
  </si>
  <si>
    <t xml:space="preserve">CABO PP 4X25MM2 1KV</t>
  </si>
  <si>
    <t>6492</t>
  </si>
  <si>
    <t xml:space="preserve">CADEADO SIMPLES, CORPO EM LATAO MACICO, COM LARGURA DE 25 MM E ALTURA DE APROX 25 MM, HASTE CEMENTADA (NAO LONGA), EM ACO TEMPERADO COM DIAMETRO DE APROX 5,0 MM, INCLUINDO 2 CHAVES - SINAPI - 00005090</t>
  </si>
  <si>
    <t>6520</t>
  </si>
  <si>
    <t xml:space="preserve">CADEIRINHA CHAPA 18 15 X 25MM PAULI (COD.2157)</t>
  </si>
  <si>
    <t>7504</t>
  </si>
  <si>
    <t xml:space="preserve">CADEIRINHA CHAPA 18 35 X 25MM PAULI (COD.2192)</t>
  </si>
  <si>
    <t>7505</t>
  </si>
  <si>
    <t xml:space="preserve">CADEIRINHA CHAPA 18 65 X 30MM PAULI (COD.2246)</t>
  </si>
  <si>
    <t>7551</t>
  </si>
  <si>
    <t xml:space="preserve">CADEIRINHA CHAPA 18 80 X 25MM PAULI (COD.2269)</t>
  </si>
  <si>
    <t>7506</t>
  </si>
  <si>
    <t xml:space="preserve">CADEIRINHA CHAPA 18 80X30MM PAULI (COD.2275)</t>
  </si>
  <si>
    <t>7503</t>
  </si>
  <si>
    <t>019</t>
  </si>
  <si>
    <t xml:space="preserve">CAIBRO NAO APARELHADO *5 X 6* CM, EM MACARANDUBA/MASSARANDUBA, ANGELIM OU EQUIVALENTE DA REGIAO - BRUTA - SINAPI - 00004430</t>
  </si>
  <si>
    <t>1023</t>
  </si>
  <si>
    <t xml:space="preserve">CAIXA ACOPLADA SAIDA VERTICAL REF. CDC.01F.17, LINHA VOGUE PLUS CONFORTO BRANCA DA DECA OU SIMILAR</t>
  </si>
  <si>
    <t>6432</t>
  </si>
  <si>
    <t xml:space="preserve">CAIXA D´AGUA EM POLIETILENO, 2000 LITROS - FORNECIMENTO E INSTALACAO. AF_06/2021 - SINAPI - 102609</t>
  </si>
  <si>
    <t>1733</t>
  </si>
  <si>
    <t xml:space="preserve">CAIXA DE ATERRAMENTO EM CONCRETO PRE-MOLDADO, DIAMETRO DE 0,30 M E ALTURA DE 0,35 M, SEM FUNDO E COM TAMPA - SINAPI - 00034641</t>
  </si>
  <si>
    <t>1528</t>
  </si>
  <si>
    <t xml:space="preserve">CAIXA DE CONCRETO COM TAMPA (40x40x40)CM, PARA CABO DE ALIMENTACAO (SINAPI SERV. 97887)</t>
  </si>
  <si>
    <t>3369</t>
  </si>
  <si>
    <t xml:space="preserve">CAIXA DE DESCARGA PLASTICA PARA BACIA / VASO SANITARIO, EXTERNA, CAPACIDADE 9 LITROS, PUXADOR FIO DE NYLON, NAO INCLUSO CANO, BOLSA, ENGATE - SINAPI - 00001030</t>
  </si>
  <si>
    <t>2073</t>
  </si>
  <si>
    <t xml:space="preserve">CAIXA DE GORDURA SIMPLES (CAPACIDADE: 36L), RETANGULAR, EM ALVENARIA COM TIJOLOS CERAMICOS MACICOS, DIMENSOES INTERNAS = 0,2X0,4 M, ALTURA INTERNA = 0,8 M. AF_12/2020 - SINAPI - 98104</t>
  </si>
  <si>
    <t>1673</t>
  </si>
  <si>
    <t xml:space="preserve">CAIXA DE INCENDIO/ABRIGO PARA MANGUEIRA, DE EMBUTIR/INTERNA, COM 90 X 60 X 17 CM, EM CHAPA DE ACO, PORTA COM VENTILACAO, VISOR COM A INSCRICAO "INCENDIO", SUPORTE/CESTA INTERNA PARA A MANGUEIRA, PINTURA ELETROSTATICA VERMELHA - SINAPI - 00010885</t>
  </si>
  <si>
    <t>8451</t>
  </si>
  <si>
    <t>031</t>
  </si>
  <si>
    <t xml:space="preserve">CAIXA DE LUZ "4 X 2" EM ACO ESMALTADA - SINAPI - 00002556</t>
  </si>
  <si>
    <t>3105</t>
  </si>
  <si>
    <t xml:space="preserve">CAIXA DE LUZ "4 X 4" EM ACO ESMALTADA - SINAPI - 00002557</t>
  </si>
  <si>
    <t>3103</t>
  </si>
  <si>
    <t>6136</t>
  </si>
  <si>
    <t>6151</t>
  </si>
  <si>
    <t xml:space="preserve">CAIXA DE PASSAGEM METALICA DE SOBREPOR COM TAMPA PARAFUSADA, DIMENSOES 25 X 25 X 10 CM</t>
  </si>
  <si>
    <t>7172</t>
  </si>
  <si>
    <t xml:space="preserve">CAIXA DE PASSAGEM METALICA DE SOBREPOR COM TAMPA PARAFUSADA, DIMENSOES 40 X 40 X 15 CM - SINAPI - 00039773</t>
  </si>
  <si>
    <t>1430</t>
  </si>
  <si>
    <t xml:space="preserve">CAIXA DE PASSAGEM METALICA, DE SOBREPOR, COM TAMPA APARAFUSADA, DIMENSOES 15 X 15 X *10* CM - SINAPI - 00020254</t>
  </si>
  <si>
    <t>1405</t>
  </si>
  <si>
    <t xml:space="preserve">CAIXA DE PASSAGEM METALICA, DE SOBREPOR, COM TAMPA APARAFUSADA, DIMENSOES 35 X 35 X *12* CM - SINAPI - 00020253</t>
  </si>
  <si>
    <t>7171</t>
  </si>
  <si>
    <t xml:space="preserve">CAIXA DE PASSAGEM, EM PVC, DE 4" X 2", PARA ELETRODUTO FLEXIVEL CORRUGADO - SINAPI - 00001872</t>
  </si>
  <si>
    <t>1883</t>
  </si>
  <si>
    <t xml:space="preserve">CAIXA DE PASSAGEM, EM PVC, DE 4" X 4", PARA ELETRODUTO FLEXIVEL CORRUGADO - SINAPI - 00001873</t>
  </si>
  <si>
    <t>1884</t>
  </si>
  <si>
    <t xml:space="preserve">CAIXA DE PASSAGEM/ LUZ / TELEFONIA, DE EMBUTIR, EM CHAPA DE ACO GALVANIZADO, DIMENSOES 120 X 120 X *12* CM (PADRAO CONCESSIONARIA LOCAL) - SINAPI - 00014055</t>
  </si>
  <si>
    <t>3391</t>
  </si>
  <si>
    <t xml:space="preserve">CAIXA DE PASSAGEM/ LUZ / TELEFONIA, DE EMBUTIR, EM CHAPA DE ACO GALVANIZADO, DIMENSOES 200 X 200 X 20 CM (PADRAO CONCESSIONARIA LOCAL) - SINAPI - 00011249</t>
  </si>
  <si>
    <t>7175</t>
  </si>
  <si>
    <t xml:space="preserve">CAIXA DE PROTECAO PARA TRANSFORMADOR CORRENTE, EM CHAPA DE ACO 18 USG (PADRAO DA CONCESSIONARIA LOCAL) - SINAPI - 00039692</t>
  </si>
  <si>
    <t>3457</t>
  </si>
  <si>
    <t xml:space="preserve">CAIXA DE SOBREPOR (75 X 75 X 42)MM REF. 89148 SISTEMA X DA PIAL</t>
  </si>
  <si>
    <t>7184</t>
  </si>
  <si>
    <t>035</t>
  </si>
  <si>
    <t xml:space="preserve">CAIXA EM ALUMINIO 4" X 4" PARA PISO</t>
  </si>
  <si>
    <t>1713</t>
  </si>
  <si>
    <t xml:space="preserve">CAIXA ENTERRADA ELETRICA RETANGULAR, EM ALVENARIA COM TIJOLOS CERAMICOS MACICOS, FUNDO COM BRITA, DIMENSOES INTERNAS: 0,3X0,3X0,3 M. AF_12/2020 - SINAPI - 97886</t>
  </si>
  <si>
    <t>6315</t>
  </si>
  <si>
    <t xml:space="preserve">CAIXA ENTERRADA ELETRICA RETANGULAR, EM ALVENARIA COM TIJOLOS CERAMICOS MACICOS, FUNDO COM BRITA, DIMENSOES INTERNAS: 0,4X0,4X0,4 M. AF_12/2020 - SINAPI - 97887</t>
  </si>
  <si>
    <t>1529</t>
  </si>
  <si>
    <t xml:space="preserve">CAIXA ENTERRADA ELETRICA RETANGULAR, EM ALVENARIA COM TIJOLOS CERAMICOS MACICOS, FUNDO COM BRITA, DIMENSOES INTERNAS: 0,6X0,6X0,6 M. AF_12/2020 - SINAPI - 97888</t>
  </si>
  <si>
    <t>6384</t>
  </si>
  <si>
    <t xml:space="preserve">CAIXA ENTERRADA PARA INSTALACOES TELEFONICAS TIPO R1, EM ALVENARIA COM BLOCOS DE CONCRETO, DIMENSOES INTERNAS: 0,35X0,60X0,60 M, EXCLUINDO TAMPAO. AF_12/2020 - SINAPI - 101795</t>
  </si>
  <si>
    <t>6467</t>
  </si>
  <si>
    <t xml:space="preserve">CAIXA INTERNA/EXTERNA DE MEDICAO PARA 1 MEDIDOR TRIFASICO, COM VISOR, EM CHAPA DE ACO 18 USG (PADRAO DA CONCESSIONARIA LOCAL) - SINAPI - 00001062</t>
  </si>
  <si>
    <t>3106</t>
  </si>
  <si>
    <t xml:space="preserve">CAIXA OCTOGONAL 3" X 3", PVC, INSTALADA EM LAJE - FORNECIMENTO E INSTALACAO. AF_03/2023 - SINAPI - 91937</t>
  </si>
  <si>
    <t>1802</t>
  </si>
  <si>
    <t xml:space="preserve">CAIXA P/ PORTA DE CORRER CHAPA 14 30 X 50MM PAULI (COD.4044)</t>
  </si>
  <si>
    <t>7527</t>
  </si>
  <si>
    <t xml:space="preserve">CAIXA PARA MEDICAO DIRETA ATE 200 A, 600 X 1000 X 225 MM, PADRAO ENERGISA</t>
  </si>
  <si>
    <t>3462</t>
  </si>
  <si>
    <t>6153</t>
  </si>
  <si>
    <t xml:space="preserve">CAIXA PARA MEDIDOR POLIFASICO, EM POLICARBONATO / TERMOPLASTICO, PARA ALOJAR 1 DISJUNTOR (PADRAO DA CONCESSIONARIA LOCAL) - SINAPI - 00039809</t>
  </si>
  <si>
    <t>1656</t>
  </si>
  <si>
    <t>030</t>
  </si>
  <si>
    <t xml:space="preserve">CAIXA PARA MONTAGEM COM FLANGE DE (40 X 30 X 20)CM, CEMAR OU SIMILAR</t>
  </si>
  <si>
    <t>7160</t>
  </si>
  <si>
    <t xml:space="preserve">CAIXA PARA MONTAGEM COM FLANGE, MEDINDO (50 X 40 X 20)CM, CEMAR OU SIMILAR</t>
  </si>
  <si>
    <t>6616</t>
  </si>
  <si>
    <t xml:space="preserve">CAIXA RETANGULAR 4" X 2" ALTA (2,00 M DO PISO), PVC, INSTALADA EM PAREDE - FORNECIMENTO E INSTALACAO. AF_03/2023 - SINAPI - 91939</t>
  </si>
  <si>
    <t>1803</t>
  </si>
  <si>
    <t xml:space="preserve">CAIXA SIFONADA PVC, 250 X 230 X 75 MM, COM TAMPA CEGA QUADRADA, BRANCA - SINAPI - 00011880</t>
  </si>
  <si>
    <t>8219</t>
  </si>
  <si>
    <t xml:space="preserve">CAIXA SIFONADA, PVC, 150 X 150 X 50 MM, COM GRELHA REDONDA, BRANCA - SINAPI - 00011717</t>
  </si>
  <si>
    <t>2205</t>
  </si>
  <si>
    <t xml:space="preserve">CAIXA SIFONADA, PVC, DN 100 X 100 X 50 MM, JUNTA ELASTICA, FORNECIDA E INSTALADA EM RAMAL DE DESCARGA OU EM RAMAL DE ESGOTO SANITARIO. AF_08/2022 - SINAPI - 89707</t>
  </si>
  <si>
    <t>1765</t>
  </si>
  <si>
    <t xml:space="preserve">CAL HIDRATADA CH-I PARA ARGAMASSAS - SINAPI - 00001106</t>
  </si>
  <si>
    <t>1052</t>
  </si>
  <si>
    <t xml:space="preserve">CAL HIDRATADA PARA PINTURA - SINAPI - 00011161</t>
  </si>
  <si>
    <t>1053</t>
  </si>
  <si>
    <t xml:space="preserve">CALCETEIRO COM ENCARGOS COMPLEMENTARES - SINAPI - 88260</t>
  </si>
  <si>
    <t>4007</t>
  </si>
  <si>
    <t xml:space="preserve">CAMINHAO BASCULANTE 6 M3, PESO BRUTO TOTAL 16.000 KG, CARGA UTIL MAXIMA 13.071 KG, DISTANCIA ENTRE EIXOS 4,80 M, POTENCIA 230 CV INCLUSIVE CACAMBA METALICA - CHI DIURNO. AF_06/2014 - SINAPI - 5961</t>
  </si>
  <si>
    <t>6360</t>
  </si>
  <si>
    <t xml:space="preserve">CAMINHAO PIPA 10.000 L TRUCADO, PESO BRUTO TOTAL 23.000 KG, CARGA UTIL MAXIMA 15.935 KG, DISTANCIA ENTRE EIXOS 4,8 M, POTENCIA 230 CV, INCLUSIVE TANQUE DE ACO PARA TRANSPORTE DE AGUA - CHI DIURNO. AF_06/2014 - SINAPI - 5903</t>
  </si>
  <si>
    <t>6414</t>
  </si>
  <si>
    <t xml:space="preserve">CAMINHAO PIPA 10.000 L TRUCADO, PESO BRUTO TOTAL 23.000 KG, CARGA UTIL MAXIMA 15.935 KG, DISTANCIA ENTRE EIXOS 4,8 M, POTENCIA 230 CV, INCLUSIVE TANQUE DE ACO PARA TRANSPORTE DE AGUA - CHP DIURNO. AF_06/2014 - SINAPI - 5901</t>
  </si>
  <si>
    <t>6413</t>
  </si>
  <si>
    <t xml:space="preserve">CAMINHAO TOCO, PBT 16.000 KG, CARGA UTIL MAX. 10.685 KG, DIST. ENTRE EIXOS 4,8 M, POTENCIA 189 CV, INCLUSIVE CARROCERIA FIXA ABERTA DE MADEIRA P/ TRANSPORTE GERAL DE CARGA SECA, DIMEN. APROX. 2,5 X 7,00 X 0,50 M - CHP DIURNO. AF_06/2014 - SINAPI - 5824</t>
  </si>
  <si>
    <t>6330</t>
  </si>
  <si>
    <t>033</t>
  </si>
  <si>
    <t xml:space="preserve">CANALETA (20 X 10 X 2200) MM, COM TAMPA SEPARADA (REF. 30801) SISTEMA X DA PIAL</t>
  </si>
  <si>
    <t>7182</t>
  </si>
  <si>
    <t xml:space="preserve">CANALETA DE CONCRETO 9 X 19 X 19 CM (CLASSE C - NBR 6136) - SINAPI - 00000658</t>
  </si>
  <si>
    <t>6110</t>
  </si>
  <si>
    <t xml:space="preserve">CANALETA MEIA CANA PRE-MOLDADA DE CONCRETO (D = 20 CM) - FORNECIMENTO E INSTALACAO. AF_08/2021 - SINAPI - 102989</t>
  </si>
  <si>
    <t>1734</t>
  </si>
  <si>
    <t xml:space="preserve">CANTONEIRA (ABAS IGUAIS) EM ACO CARBONO, 25,4 MM X 3,17 MM (L X E), 1,27KG/M - SINAPI - 00000567</t>
  </si>
  <si>
    <t>1144</t>
  </si>
  <si>
    <t xml:space="preserve">CANTONEIRA ACO ABAS IGUAIS (QUALQUER BITOLA), ESPESSURA ENTRE 1/8" E 1/4" - SINAPI - 00004777</t>
  </si>
  <si>
    <t>1596</t>
  </si>
  <si>
    <t xml:space="preserve">CANTONEIRA AUXILIAR BRACO TIPO C</t>
  </si>
  <si>
    <t>1530</t>
  </si>
  <si>
    <t xml:space="preserve">CANTONEIRA DE ABAS IGUAIS LAMINADAS 1 1/2"X3/16" PAULI 16,08KG-6M (COD.2482)</t>
  </si>
  <si>
    <t>7633</t>
  </si>
  <si>
    <t xml:space="preserve">CANTONEIRA DE ABAS IGUAIS LAMINADAS 1"X1/8" PAULI 7,14KG-6M (COD.2393)</t>
  </si>
  <si>
    <t>7524</t>
  </si>
  <si>
    <t xml:space="preserve">CANTONEIRA DE ABAS IGUAIS LAMINADAS 1"X3/16" PAULI 10,38KG-6M (COD.2476)</t>
  </si>
  <si>
    <t>7521</t>
  </si>
  <si>
    <t xml:space="preserve">CANTONEIRA DE ABAS IGUAIS LAMINADAS 2"X1/8" PAULI 14,76KG - 6M (COD.2431)</t>
  </si>
  <si>
    <t>7626</t>
  </si>
  <si>
    <t xml:space="preserve">CANTONEIRA DE ABAS IGUAIS LAMINADAS 2"X3/16" PAULI 21,78KG - 6M (COD.2507)</t>
  </si>
  <si>
    <t>7624</t>
  </si>
  <si>
    <t xml:space="preserve">CANTONEIRA DE ABAS IGUAIS LAMINADAS 3/4"X1/8" PAULI 5,22KG-6M (COD.2447)</t>
  </si>
  <si>
    <t>7519</t>
  </si>
  <si>
    <t xml:space="preserve">CANTONEIRA DE ABAS IGUAIS LAMINADAS 7/8"X1/8" PAULI 6,24KG-6M (COD.2460)</t>
  </si>
  <si>
    <t>7520</t>
  </si>
  <si>
    <t xml:space="preserve">CANTONEIRA EM ALUMINIO, ABAS IGUAIS, LARGURA DE 25,40 MM (1"), ESPESSURA DE 4,76 MM (3/16") E PESO LINEAR DE APROXIMADAMENTE 0,593 KG/M - SINAPI - 00000586</t>
  </si>
  <si>
    <t>6056</t>
  </si>
  <si>
    <t xml:space="preserve">CANTONEIRAS DE ABAS IGUAIS LAMINADAS 21/2" X 3/8" PAULI 52,68KG-6M</t>
  </si>
  <si>
    <t>8735</t>
  </si>
  <si>
    <t xml:space="preserve">CAP OU TAMPAO DE FERRO GALVANIZADO, COM ROSCA BSP, DE 3" - SINAPI - 00001168</t>
  </si>
  <si>
    <t>6134</t>
  </si>
  <si>
    <t xml:space="preserve">CAP OU TAMPAO DE FERRO GALVANIZADO, COM ROSCA BSP, DE 4" - SINAPI - 00001167</t>
  </si>
  <si>
    <t>2941</t>
  </si>
  <si>
    <t xml:space="preserve">CAP PVC, SOLDAVEL, DN 100 MM, SERIE NORMAL, PARA ESGOTO PREDIAL - SINAPI - 00001200</t>
  </si>
  <si>
    <t>1587</t>
  </si>
  <si>
    <t xml:space="preserve">CAPA PROTETORA 15 KV PARA CONECTOR CUNHA COM ESTRIBO 4-2 AWG / 25-50MM2</t>
  </si>
  <si>
    <t>6597</t>
  </si>
  <si>
    <t xml:space="preserve">CAPTOR TIPO TERMINAL AEREO, H = 600 MM, EM BARRA CHATA DE ALUMINIO 3/4 X 1/4" - TEL0922YT</t>
  </si>
  <si>
    <t>1580</t>
  </si>
  <si>
    <t xml:space="preserve">CARGA, MANOBRA E DESCARGA DE SOLOS E MATERIAIS GRANULARES EM CAMINHAO BASCULANTE 6 M3 - CARGA COM PA CARREGADEIRA (CACAMBA DE 1,7 A 2,8 M3 / 128 HP) E DESCARGA LIVRE (UNIDADE: M3). AF_07/2020 - SINAPI - 100973</t>
  </si>
  <si>
    <t>1549</t>
  </si>
  <si>
    <t xml:space="preserve">CARPINTEIRO DE ESQUADRIA COM ENCARGOS COMPLEMENTARES - SINAPI - 88261</t>
  </si>
  <si>
    <t>4022</t>
  </si>
  <si>
    <t xml:space="preserve">CARPINTEIRO DE FORMAS COM ENCARGOS COMPLEMENTARES - SINAPI - 88262</t>
  </si>
  <si>
    <t>4003</t>
  </si>
  <si>
    <t xml:space="preserve">CARTUCHO No. 115 F-20</t>
  </si>
  <si>
    <t>7283</t>
  </si>
  <si>
    <t xml:space="preserve">CARTUCHO VERMELHO P/CONECTOR CUNHA</t>
  </si>
  <si>
    <t>7267</t>
  </si>
  <si>
    <t xml:space="preserve">CENTRAL DE ALARME DE INCENDIO ENDERECAVEL, MODELO CIE 1125, (COMPORTA 125 DISPOSITIVOS) DA INTELBRAS</t>
  </si>
  <si>
    <t>1569</t>
  </si>
  <si>
    <t xml:space="preserve">CERA LIQUIDA INCOLOR MULTIPISO - SINAPI - 00041967</t>
  </si>
  <si>
    <t>6527</t>
  </si>
  <si>
    <t xml:space="preserve">CHAPA 11 LF (FINA A QUENTE 3x1,20M) PAULI 86,40 KG</t>
  </si>
  <si>
    <t>7625</t>
  </si>
  <si>
    <t xml:space="preserve">CHAPA 18 LF (FINA A QUENTE (3X1,20M) 36KG PAULI (COD.2714)</t>
  </si>
  <si>
    <t>7544</t>
  </si>
  <si>
    <t xml:space="preserve">CHAPA DE ACO FINA A FRIO BITOLA MSG 24, E = 0,60 MM (4,80 KG/M2) - SINAPI - 00001327</t>
  </si>
  <si>
    <t>6572</t>
  </si>
  <si>
    <t xml:space="preserve">CHAPA DE ACO FINA A QUENTE BITOLA MSG 3/16", E = 4,75 MM (38,00 KG/M2) - SINAPI - 00001319</t>
  </si>
  <si>
    <t>3511</t>
  </si>
  <si>
    <t xml:space="preserve">CHAPA DE ACO GALVANIZADA BITOLA GSG 14, E = 1,95 MM (15,60 KG/M2) - SINAPI - 00011026</t>
  </si>
  <si>
    <t>6419</t>
  </si>
  <si>
    <t xml:space="preserve">CHAPA DE ACO GALVANIZADA BITOLA GSG 16, E = 1,55 MM (12,40 KG/M2) - SINAPI - 00011027</t>
  </si>
  <si>
    <t>6420</t>
  </si>
  <si>
    <t xml:space="preserve">CHAPA DE ACO GROSSA, ASTM A36, E = 1/2" (12,70 MM) 99,59 KG/M2 - SINAPI - 00001333</t>
  </si>
  <si>
    <t>1911</t>
  </si>
  <si>
    <t xml:space="preserve">CHAPA DE ACO GROSSA, ASTM A36, E = 3/8" (9,53 MM) 74,69 KG/M2 - SINAPI - 00001332</t>
  </si>
  <si>
    <t>1900</t>
  </si>
  <si>
    <t xml:space="preserve">CHAPA DE ACO GROSSA, ASTM A36, E = 5/8" (15,88 MM) 124,49 KG/M2 - SINAPI - 00001334</t>
  </si>
  <si>
    <t>6391</t>
  </si>
  <si>
    <t xml:space="preserve">CHAPA DE MDF BRANCO LISO 2 FACES, E = 18 MM, DE *2,75 X 1,85* M - SINAPI - 00034665</t>
  </si>
  <si>
    <t>6097</t>
  </si>
  <si>
    <t xml:space="preserve">CHAPA XADREZ DE (3,00 X 1,20)M E=3MM (PAULI/CIMAFERRO) PARA TAMPA DE CANALETA</t>
  </si>
  <si>
    <t>7264</t>
  </si>
  <si>
    <t>004</t>
  </si>
  <si>
    <t xml:space="preserve">CHAPA/PAINEL DE MADEIRA COMPENSADA PLASTIFICADA (MADEIRITE PLASTIFICADO) PARA FORMA DE CONCRETO, DE 2200 X 1100 MM, E = 12 MM - SINAPI - 00001347</t>
  </si>
  <si>
    <t>6533</t>
  </si>
  <si>
    <t xml:space="preserve">CHAPA/PAINEL DE MADEIRA COMPENSADA RESINADA (MADEIRITE RESINADO ROSA) PARA FORMA DE CONCRETO, DE 2200 X 1100 MM, E = 14 MM - SINAPI - 00001355</t>
  </si>
  <si>
    <t>1042</t>
  </si>
  <si>
    <t>8650</t>
  </si>
  <si>
    <t xml:space="preserve">CHAPA/PAINEL DE MADEIRA COMPENSADA RESINADA (MADEIRITE RESINADO ROSA) PARA FORMA DE CONCRETO, DE 2200 X 1100 MM, E = 6 MM - SINAPI - 00043682</t>
  </si>
  <si>
    <t>1178</t>
  </si>
  <si>
    <t xml:space="preserve">CHAPA/PAINEL DE MADEIRA COMPENSADA RESINADA (MADEIRITE RESINADO ROSA) PARA FORMA DE CONCRETO, DE 2200 X 1100 MM, E = 8 A 12 MM - SINAPI - 00043681</t>
  </si>
  <si>
    <t>1206</t>
  </si>
  <si>
    <t xml:space="preserve">CHAPISCO APLICADO EM ALVENARIAS E ESTRUTURAS DE CONCRETO INTERNAS, COM COLHER DE PEDREIRO. ARGAMASSA TRACO 1:3 COM PREPARO EM BETONEIRA 400L. AF_10/2022 - SINAPI - 87879</t>
  </si>
  <si>
    <t>6462</t>
  </si>
  <si>
    <t xml:space="preserve">CHAPISCO APLICADO EM ALVENARIAS E ESTRUTURAS DE CONCRETO INTERNAS, COM COLHER DE PEDREIRO. ARGAMASSA TRACO 1:3 COM PREPARO MANUAL. AF_10/2022 - SINAPI - 87878</t>
  </si>
  <si>
    <t>6307</t>
  </si>
  <si>
    <t xml:space="preserve">CHAPISCO PARA PAREDES EXTERNAS E INTERNAS COM ARGAMASSA DE CIMENTO E AREIA NO TRACO 1:3 (COMP. 1501000100)</t>
  </si>
  <si>
    <t>2752</t>
  </si>
  <si>
    <t xml:space="preserve">CHAVE BLINDADA COM PORTA FUSIVEL DE 250 A, COM ALAVANCA FRONTAL, CONFORME ABNT-NEMA 1, BEGHIM OU SIMILAR</t>
  </si>
  <si>
    <t>7166</t>
  </si>
  <si>
    <t xml:space="preserve">CHAVE BLINDADA COM PORTA FUSIVEL DE 400 A, COM ALAVANCA FRONTAL, CONFORME ABNT-NEMA 1, BEGHIM OU SIMILAR</t>
  </si>
  <si>
    <t>7167</t>
  </si>
  <si>
    <t xml:space="preserve">CHAVE BLINDADA COM PORTA FUSIVEL DE 630 A, COM ALAVANCA FRONTAL, CONFORME ABNT-NEMA 1, BEGHIM OU SIMILAR</t>
  </si>
  <si>
    <t>7168</t>
  </si>
  <si>
    <t xml:space="preserve">CHAVE DE FLUXO 1" - FLUXOSTATO</t>
  </si>
  <si>
    <t>8470</t>
  </si>
  <si>
    <t xml:space="preserve">CHAVE DUPLA PARA CONEXOES TIPO STORZ, ENGATE RAPIDO 1 1/2" X 2 1/2", EM LATAO, PARA INSTALACAO PREDIAL COMBATE A INCENDIO - SINAPI - 00020971</t>
  </si>
  <si>
    <t>6448</t>
  </si>
  <si>
    <t xml:space="preserve">CHAVE FUSIVEL PARA REDES DE DISTRIBUICAO, TENSAO DE 15,0 KV, CORRENTE NOMINAL DO PORTA FUSIVEL DE 100 A, CAPACIDADE DE INTERRUPCAO SIMETRICA DE 7,10 KA, CAPACIDADE DE INTERRUPCAO ASSIMETRICA 10,00 KA</t>
  </si>
  <si>
    <t>7208</t>
  </si>
  <si>
    <t xml:space="preserve">CHAVE SECCIONADORA TRIPOLAR P/ MEDIA TENSAO 400A/15KV, C/ COMANDO MANUAL SIMULTANEO NAS 3 FASES ATRAVES DE PUNHO</t>
  </si>
  <si>
    <t>7040</t>
  </si>
  <si>
    <t xml:space="preserve">CHAVE SELETORA OU COMUTADORA METALICA COM TRES POSICOES FIXAS, CONTATO 2 NA, MOD.XB2-BD33 DA SIBRATEC OU SIMILAR</t>
  </si>
  <si>
    <t>6617</t>
  </si>
  <si>
    <t xml:space="preserve">CHUMBADOR DE ACO ZINCADO, DIAMETRO 1/4" COM PARAFUSO 1/4" X 40 MM - SINAPI - 00011976</t>
  </si>
  <si>
    <t>3512</t>
  </si>
  <si>
    <t xml:space="preserve">CHUMBADOR DE ACO ZINCADO, DIAMETRO 5/8", COMPRIMENTO 6", COM PORCA - SINAPI - 00011975</t>
  </si>
  <si>
    <t>1643</t>
  </si>
  <si>
    <t xml:space="preserve">CHUMBAMENTO LINEAR EM ALVENARIA PARA RAMAIS/DISTRIBUICAO DE INSTALACOES HIDRAULICAS COM DIAMETROS MAIORES QUE 40 MM E MENORES OU IGUAIS A 75 MM. AF_09/2023 - SINAPI - 90467</t>
  </si>
  <si>
    <t>1788</t>
  </si>
  <si>
    <t xml:space="preserve">CHUMBAMENTO LINEAR EM ALVENARIA PARA RAMAIS/DISTRIBUICAO DE INSTALACOES HIDRAULICAS COM DIAMETROS MENORES OU IGUAIS A 40 MM. AF_09/2023 - SINAPI - 90466</t>
  </si>
  <si>
    <t>1787</t>
  </si>
  <si>
    <t xml:space="preserve">CHUVEIRO COMUM EM PLASTICO BRANCO, COM CANO, 3 TEMPERATURAS, 5500 W (110/220 V) - SINAPI - 00001368</t>
  </si>
  <si>
    <t>2618</t>
  </si>
  <si>
    <t xml:space="preserve">CHUVEIRO ELETRICO COMUM CORPO PLASTICO, TIPO DUCHA - FORNECIMENTO E INSTALACAO. AF_01/2020 - SINAPI - 100860</t>
  </si>
  <si>
    <t>1725</t>
  </si>
  <si>
    <t xml:space="preserve">CHUVEIRO PRESSMATIC ANTIVANDALISMO - 3/4" REF. 17125006 COM VALVULA DE ACIONAMENTO DA DOCOL OU SIMILAR</t>
  </si>
  <si>
    <t>2673</t>
  </si>
  <si>
    <t xml:space="preserve">CIMENTO PORTLAND COMPOSTO CP II-32 - SINAPI - 00001379</t>
  </si>
  <si>
    <t>1062</t>
  </si>
  <si>
    <t xml:space="preserve">CIMENTO PORTLAND ESTRUTURAL BRANCO CPB - 32 OU CPB - 40 - SINAPI - 00044528</t>
  </si>
  <si>
    <t>1662</t>
  </si>
  <si>
    <t xml:space="preserve">CINTA CIRCULAR EM ACO GALVANIZADO DE 150 MM DE DIAMETRO PARA FIXACAO DE CAIXA MEDICAO, INCLUI PARAFUSOS E PORCAS - SINAPI - 00000420</t>
  </si>
  <si>
    <t>6589</t>
  </si>
  <si>
    <t xml:space="preserve">CINTA CIRCULAR EM ACO GALVANIZADO DE 210 MM DE DIAMETRO PARA INSTALACAO DE TRANSFORMADOR EM POSTE DE CONCRETO - SINAPI - 00012327</t>
  </si>
  <si>
    <t>6592</t>
  </si>
  <si>
    <t xml:space="preserve">COBERTURA DE BOLSA PARA BACIA REF. VAD 962 (ESTEVES)</t>
  </si>
  <si>
    <t>2567</t>
  </si>
  <si>
    <t xml:space="preserve">COLA A BASE DE RESINA SINTETICA PARA CHAPA DE LAMINADO MELAMINICO E OUTROS - SINAPI - 00001339</t>
  </si>
  <si>
    <t>1236</t>
  </si>
  <si>
    <t xml:space="preserve">COLUNA SUSPENSA DE LOUCA BRANCA PARA P.N.E., DECA VOGUE PLUS REF. C.510.17</t>
  </si>
  <si>
    <t>9013</t>
  </si>
  <si>
    <t xml:space="preserve">COMPENSADO NAVAL - CHAPA/PAINEL EM MADEIRA COMPENSADA PRENSADA, DE 2200 X 1600 MM, E = 18 MM - SINAPI - 00034743</t>
  </si>
  <si>
    <t>1571</t>
  </si>
  <si>
    <t xml:space="preserve">CONCERTINA SIMPLES EM ACO GALVANIZADO DE ALTA RESISTENCIA, COM ESPIRAL DE 300 MM, D = 2,76 MM - SINAPI - 00034347</t>
  </si>
  <si>
    <t>7583</t>
  </si>
  <si>
    <t xml:space="preserve">CONCRETO FCK = 15MPA, TRACO 1:3,4:3,5 (EM MASSA SECA DE CIMENTO/ AREIA MEDIA/ BRITA 1) - PREPARO MECANICO COM BETONEIRA 400 L. AF_05/2021 - SINAPI - 94963</t>
  </si>
  <si>
    <t>6332</t>
  </si>
  <si>
    <t>6376</t>
  </si>
  <si>
    <t xml:space="preserve">CONCRETO FCK = 15MPA, TRACO 1:3,4:3,5 (EM MASSA SECA DE CIMENTO/ AREIA MEDIA/ BRITA 1) - PREPARO MECANICO COM BETONEIRA 600 L. AF_05/2021 - SINAPI - 94969</t>
  </si>
  <si>
    <t>6464</t>
  </si>
  <si>
    <t xml:space="preserve">CONCRETO FCK = 20MPA, TRACO 1:2,7:3 (EM MASSA SECA DE CIMENTO/ AREIA MEDIA/ BRITA 1) - PREPARO MECANICO COM BETONEIRA 400 L. AF_05/2021 - SINAPI - 94964</t>
  </si>
  <si>
    <t>6350</t>
  </si>
  <si>
    <t xml:space="preserve">CONCRETO FCK = 20MPA, TRACO 1:2,7:3 (EM MASSA SECA DE CIMENTO/ AREIA MEDIA/ BRITA 1) - PREPARO MECANICO COM BETONEIRA 600 L. AF_05/2021 - SINAPI - 94970</t>
  </si>
  <si>
    <t>6424</t>
  </si>
  <si>
    <t xml:space="preserve">CONCRETO FCK = 25MPA, TRACO 1:2,3:2,7 (EM MASSA SECA DE CIMENTO/ AREIA MEDIA/ BRITA 1) - PREPARO MECANICO COM BETONEIRA 400 L. AF_05/2021 - SINAPI - 94965</t>
  </si>
  <si>
    <t>6352</t>
  </si>
  <si>
    <t xml:space="preserve">CONCRETO MAGRO PARA LASTRO, TRACO 1:4,5:4,5 (EM MASSA SECA DE CIMENTO/ AREIA MEDIA/ BRITA 1) - PREPARO MANUAL. AF_05/2021 - SINAPI - 94974</t>
  </si>
  <si>
    <t>1669</t>
  </si>
  <si>
    <t xml:space="preserve">CONCRETO MAGRO PARA LASTRO, TRACO 1:4,5:4,5 (EM MASSA SECA DE CIMENTO/ AREIA MEDIA/ BRITA 1) - PREPARO MECANICO COM BETONEIRA 400 L. AF_05/2021 - SINAPI - 94962</t>
  </si>
  <si>
    <t>6409</t>
  </si>
  <si>
    <t>049</t>
  </si>
  <si>
    <t xml:space="preserve">CONCRETO USINADO BOMBEAVEL, CLASSE DE RESISTENCIA C20, COM BRITA 0 E 1, SLUMP = 100 +/- 20 MM, EXCLUI SERVICO DE BOMBEAMENTO (NBR 8953) - SINAPI - 00034492</t>
  </si>
  <si>
    <t>6347</t>
  </si>
  <si>
    <t xml:space="preserve">CONCRETO USINADO BOMBEAVEL, CLASSE DE RESISTENCIA C25, COM BRITA 0 E 1, SLUMP = 100 +/- 20 MM, EXCLUI SERVICO DE BOMBEAMENTO (NBR 8953) - SINAPI - 00034493</t>
  </si>
  <si>
    <t>6348</t>
  </si>
  <si>
    <t xml:space="preserve">CONCRETO USINADO BOMBEAVEL, CLASSE DE RESISTENCIA C25, COM BRITA 0 E 1, SLUMP = 130 +/- 20 MM, EXCLUI SERVICO DE BOMBEAMENTO (NBR 8953) - SINAPI - 00038405</t>
  </si>
  <si>
    <t>1544</t>
  </si>
  <si>
    <t xml:space="preserve">CONCRETO USINADO BOMBEAVEL, CLASSE DE RESISTENCIA C30, COM BRITA 0 E 1, SLUMP = 100 +/- 20 MM, EXCLUI SERVICO DE BOMBEAMENTO (NBR 8953) - SINAPI - 00034494</t>
  </si>
  <si>
    <t>6349</t>
  </si>
  <si>
    <t xml:space="preserve">CONCRETO USINADO CONVENCIONAL, CONTROLE TIPO A, CONSISTENCIA NORMAL PARA VIBRACAO, BRITA 1, FCK=25,0 MPA (SEM LANCAMENTO E ADENSAMENTO) (COMP. 0601003054)</t>
  </si>
  <si>
    <t>6354</t>
  </si>
  <si>
    <t xml:space="preserve">CONDULETE DE ALUMINIO TIPO X, PARA ELETRODUTO ROSCAVEL DE 3/4", COM TAMPA CEGA - SINAPI - 00002580</t>
  </si>
  <si>
    <t>3460</t>
  </si>
  <si>
    <t xml:space="preserve">CONDULETE DE PVC, TIPO B, PARA ELETRODUTO DE PVC SOLDAVEL DN 25 MM (3/4''), APARENTE - FORNECIMENTO E INSTALACAO. AF_10/2022 - SINAPI - 95805</t>
  </si>
  <si>
    <t>1920</t>
  </si>
  <si>
    <t xml:space="preserve">CONDULETE DE PVC, TIPO LB, PARA ELETRODUTO DE PVC SOLDAVEL DN 25 MM (3/4''), APARENTE - FORNECIMENTO E INSTALACAO. AF_10/2022 - SINAPI - 95811</t>
  </si>
  <si>
    <t>1853</t>
  </si>
  <si>
    <t xml:space="preserve">CONECTOR / TOMADA FEMEA RJ 45, CATEGORIA 6 (CAT 6) PARA CABOS - SINAPI - 00039601</t>
  </si>
  <si>
    <t>1650</t>
  </si>
  <si>
    <t xml:space="preserve">CONECTOR CABO X HASTE EM BRONZE NATURAL PARA CABO DE 16-70 MM2, TEL. 585, TERMOTECNICA</t>
  </si>
  <si>
    <t>7060</t>
  </si>
  <si>
    <t xml:space="preserve">CONECTOR CUNHA ESTRIBO P/CABO 4 A 2 AWG</t>
  </si>
  <si>
    <t>7266</t>
  </si>
  <si>
    <t>6599</t>
  </si>
  <si>
    <t>6600</t>
  </si>
  <si>
    <t xml:space="preserve">CONECTOR CUNHA PARA CABO 2 AWG</t>
  </si>
  <si>
    <t>7265</t>
  </si>
  <si>
    <t xml:space="preserve">CONECTOR DE MEDICAO BIMETALICO, EM LIGA DE ALUMINIO COM 2 PARAFUSOS - PARA CABOS DE 16 A 70MM2 (REF. TEL-561) DA TERMOTECNICA OU SIMILAR</t>
  </si>
  <si>
    <t>7191</t>
  </si>
  <si>
    <t xml:space="preserve">CONECTOR METALICO TIPO PARAFUSO FENDIDO (SPLIT BOLT), PARA CABOS ATE 16 MM2 - SINAPI - 00001539</t>
  </si>
  <si>
    <t>3379</t>
  </si>
  <si>
    <t xml:space="preserve">CONECTOR METALICO TIPO PARAFUSO FENDIDO (SPLIT BOLT), PARA CABOS ATE 25 MM2 - SINAPI - 00001550</t>
  </si>
  <si>
    <t>3380</t>
  </si>
  <si>
    <t xml:space="preserve">CONECTOR METALICO TIPO PARAFUSO FENDIDO (SPLIT BOLT), PARA CABOS ATE 35 MM2 - SINAPI - 00011854</t>
  </si>
  <si>
    <t>3381</t>
  </si>
  <si>
    <t xml:space="preserve">CONECTOR METALICO TIPO PARAFUSO FENDIDO (SPLIT BOLT), PARA CABOS ATE 50 MM2 - SINAPI - 00011862</t>
  </si>
  <si>
    <t>3382</t>
  </si>
  <si>
    <t xml:space="preserve">CONECTOR METALICO TIPO PARAFUSO FENDIDO (SPLIT BOLT), PARA CABOS ATE 70 MM2 - SINAPI - 00011855</t>
  </si>
  <si>
    <t>3383</t>
  </si>
  <si>
    <t>6601</t>
  </si>
  <si>
    <t xml:space="preserve">CONECTOR PERFURANTE ISOLADO - PRINC. 25-150MM2 / DERIV. 25-150MM2</t>
  </si>
  <si>
    <t>6602</t>
  </si>
  <si>
    <t xml:space="preserve">CONEXAO ATRAVES DE SOLDA EXOTERMICA, INCLUSO MOLDE, PALITO IGNITOR E ALICATE - FORNECIMENTO E INSTALACAO (COMP. 1201006035)</t>
  </si>
  <si>
    <t>6383</t>
  </si>
  <si>
    <t>003</t>
  </si>
  <si>
    <t xml:space="preserve">CONJUNTO ARRUELAS DE VEDACAO 5/16" PARA TELHA FIBROCIMENTO (UMA ARRUELA METALICA E UMA ARRUELA PVC - CONICAS) - SINAPI - 00001607</t>
  </si>
  <si>
    <t>3024</t>
  </si>
  <si>
    <t xml:space="preserve">CONJUNTO DE 2 MODULOS DE TOMADAS 2P+T DE 10A DE PISO COM ESPELHO 4"X4" EM ALUMINIO</t>
  </si>
  <si>
    <t>1688</t>
  </si>
  <si>
    <t xml:space="preserve">CONJUNTO DE ESTAIS COM CORDOALHAS E ESTICADORES, TEL. 400 DA TERMOTECNICA</t>
  </si>
  <si>
    <t>7066</t>
  </si>
  <si>
    <t xml:space="preserve">CONJUNTO DE LIGACAO PARA VASO / BACIA SANITARIA, EM PLASTICO BRANCO, COM TUBO, CANOPLA E ANEL DE EXPANSAO (TUBO 1.1/2" X 20 CM) - SINAPI - 00011686</t>
  </si>
  <si>
    <t>2566</t>
  </si>
  <si>
    <t>002</t>
  </si>
  <si>
    <t xml:space="preserve">CONJUNTO DE PORTA GRELHA E GRELHA PVC CROMADOS 100 MM (REDONDO)</t>
  </si>
  <si>
    <t>8375</t>
  </si>
  <si>
    <t xml:space="preserve">CONJUNTO DE PORTA GRELHA E GRELHA PVC CROMADOS 150 MM (QUADRADA)</t>
  </si>
  <si>
    <t>8377</t>
  </si>
  <si>
    <t xml:space="preserve">CONJUNTO PINO DE ACO C/ FURO E FINCA PINO CURTO P/ CONCRETO (SINAPI - (37395+37394)/100)</t>
  </si>
  <si>
    <t>3364</t>
  </si>
  <si>
    <t xml:space="preserve">CONTAINER ALMOXARIFADO DE (2,40 X 12,00 X 2,60)M, PADRAO SIMPLES, SEM REVESTIMENTO, SEM DIVISORIAS INTERNOS E SEM SANITARIO</t>
  </si>
  <si>
    <t>1720</t>
  </si>
  <si>
    <t xml:space="preserve">CONTATOR TRIPOLAR 3TF 32.10 - OXN2 220V (PARA 18A), SIEMENS OU SIMILAR</t>
  </si>
  <si>
    <t>6621</t>
  </si>
  <si>
    <t xml:space="preserve">CONTATOR TRIPOLAR, CORRENTE DE 25 A, TENSAO NOMINAL DE *500* V, CATEGORIA AC-2 E AC-3 - SINAPI - 00001619</t>
  </si>
  <si>
    <t>6629</t>
  </si>
  <si>
    <t xml:space="preserve">CONTATOR TRIPOLAR, CORRENTE DE 32 A, TENSAO NOMINAL DE *500* V, CATEGORIA AC-2 E AC-3 - SINAPI - 00001614</t>
  </si>
  <si>
    <t>6632</t>
  </si>
  <si>
    <t xml:space="preserve">CONTATOR TRIPOLAR, CORRENTE DE 9 A, TENSAO NOMINAL DE *500* V, CATEGORIA AC-2 E AC-3 - SINAPI - 00001612</t>
  </si>
  <si>
    <t>6620</t>
  </si>
  <si>
    <t xml:space="preserve">CONTORNO FRISADO PARA JANELAS CHAPA 18 140X42MM PAULI (COD.3821)</t>
  </si>
  <si>
    <t>7543</t>
  </si>
  <si>
    <t xml:space="preserve">CONTORNO LISO CHAPA 18 140MM PAULI (COD.3895)</t>
  </si>
  <si>
    <t>7502</t>
  </si>
  <si>
    <t xml:space="preserve">CORDAO DE COBRE, FLEXIVEL, TORCIDO, CLASSE 4 OU 5, ISOLACAO EM PVC/D, 300 V, 2 CONDUTORES DE 1,5 MM2 - SINAPI - 00011890</t>
  </si>
  <si>
    <t>6324</t>
  </si>
  <si>
    <t xml:space="preserve">CORRIMAO DUPLO CENTRAL EM ACO INOX 304 POLIDO, COM ALTURAS DE H=0,70 E H=0,92 EM TUDO DE 1.1/2", FIXADOS EM PILARETES COM TUBO DE 2", EM AMBOS OS LADOS</t>
  </si>
  <si>
    <t>6477</t>
  </si>
  <si>
    <t xml:space="preserve">CORRIMAO DUPLO LATERAL EM ACO INOX 304 POLIDO, COM ALTURAS DE H=0,70M E H=0,92M EM TUBO DE 1.1/2", FIXADOS EM PAREDE COM PARAFUSO E BUCHA S12</t>
  </si>
  <si>
    <t>6478</t>
  </si>
  <si>
    <t xml:space="preserve">CORTADORA DE PISO COM MOTOR 4 TEMPOS A GASOLINA, POTENCIA DE 13 HP, COM DISCO DE CORTE DIAMANTADO SEGMENTADO PARA CONCRETO, DIAMETRO DE 350 MM, FURO DE 1" (14 X 1") - CHI DIURNO. AF_08/2015 - SINAPI - 91285</t>
  </si>
  <si>
    <t>6497</t>
  </si>
  <si>
    <t xml:space="preserve">CORTADORA DE PISO COM MOTOR 4 TEMPOS A GASOLINA, POTENCIA DE 13 HP, COM DISCO DE CORTE DIAMANTADO SEGMENTADO PARA CONCRETO, DIAMETRO DE 350 MM, FURO DE 1" (14 X 1") - CHP DIURNO. AF_08/2015 - SINAPI - 91283</t>
  </si>
  <si>
    <t>8539</t>
  </si>
  <si>
    <t xml:space="preserve">CORTE E PREPARO EM CABECA DE ESTACA (COMP. 0301000116)</t>
  </si>
  <si>
    <t>1902</t>
  </si>
  <si>
    <t xml:space="preserve">CRUZETA CONCRETO RETANGULAR 250 DAN</t>
  </si>
  <si>
    <t>3416</t>
  </si>
  <si>
    <t xml:space="preserve">CRUZETA DE CONCRETO 400DAN</t>
  </si>
  <si>
    <t>1440</t>
  </si>
  <si>
    <t xml:space="preserve">CRUZETA DE MADEIRA TRATADA, *90 X 115 X 2400* MM, EM EUCALIPTO OU EQUIVALENTE DA REGIAO - SINAPI - 00010510</t>
  </si>
  <si>
    <t>3417</t>
  </si>
  <si>
    <t xml:space="preserve">CUBA DE APOIO DE LOUCA BRANCA QUADRADA, COM MESA PARA METAL, MOD. Q.6, MEDINDO 35X35CM DA MARCA CELITE OU SIMILAR</t>
  </si>
  <si>
    <t>1697</t>
  </si>
  <si>
    <t xml:space="preserve">CUBA DE SEMI ENCAIXE DE LOUCA BRANCA QUADRADA, COM MESA PARA METAL, MOD. Q 2 DA CELITE OU SIMILAR</t>
  </si>
  <si>
    <t>1698</t>
  </si>
  <si>
    <t xml:space="preserve">CUBA DUPLA EM ACO INOX STRAKE DE SV370 (70 X 40 X 15)CM</t>
  </si>
  <si>
    <t>2422</t>
  </si>
  <si>
    <t xml:space="preserve">CUBA INOX 304 INDUSTRIAL (60 X 50 X 40)CM, CONFORME DETALHE D.O.P</t>
  </si>
  <si>
    <t>2451</t>
  </si>
  <si>
    <t xml:space="preserve">CUMEEIRA PARA TELHA GALVALUME ONDULADA ESP. 0,43MM</t>
  </si>
  <si>
    <t>8543</t>
  </si>
  <si>
    <t xml:space="preserve">CUMEEIRA PARA TELHA GALVALUME TRAPEZOIDAL ESP. 0,43MM</t>
  </si>
  <si>
    <t>8542</t>
  </si>
  <si>
    <t xml:space="preserve">CUMEEIRA PARA TELHA PAULISTA OU COLONIAL</t>
  </si>
  <si>
    <t>1071</t>
  </si>
  <si>
    <t xml:space="preserve">CUMEEIRA PARA TELHA TRAPEZOIDAL, SEM PINTURA, MOD.RT 100/952, ESP=0,65MM</t>
  </si>
  <si>
    <t>1868</t>
  </si>
  <si>
    <t xml:space="preserve">CURSO DE CAPACITACAO PARA ENGENHEIRO ELETRICISTA (ENCARGOS COMPLEMENTARES) - HORISTA (SINAPI 95403)</t>
  </si>
  <si>
    <t>4066</t>
  </si>
  <si>
    <t xml:space="preserve">CURSO DE CAPACITACAO PARA VIGIA DIURNO (ENCARGOS COMPLEMENTARES) - HORISTA - SINAPI - 100288</t>
  </si>
  <si>
    <t>4067</t>
  </si>
  <si>
    <t xml:space="preserve">CURVA 135 GRAUS PARA ELETRODUTO, EM ACO GALVANIZADO ELETROLITICO, COM ROSCA, DIAMETRO DE 100 MM (4") - SINAPI - 00002628</t>
  </si>
  <si>
    <t>3168</t>
  </si>
  <si>
    <t xml:space="preserve">CURVA 135 GRAUS PARA ELETRODUTO, EM ACO GALVANIZADO ELETROLITICO, COM ROSCA, DIAMETRO DE 20 MM (3/4"), ESPESSURA DE 1,50 MM - SINAPI - 00002623</t>
  </si>
  <si>
    <t>7356</t>
  </si>
  <si>
    <t xml:space="preserve">CURVA 135 GRAUS PARA ELETRODUTO, EM ACO GALVANIZADO ELETROLITICO, COM ROSCA, DIAMETRO DE 25 MM (1"), ESPESSURA DE 1,50 MM - SINAPI - 00002624</t>
  </si>
  <si>
    <t>7355</t>
  </si>
  <si>
    <t xml:space="preserve">CURVA 135 GRAUS PARA ELETRODUTO, EM ACO GALVANIZADO ELETROLITICO, COM ROSCA, DIAMETRO DE 32 MM (1 1/4"), ESPESSURA DE 1,50 MM - SINAPI - 00002625</t>
  </si>
  <si>
    <t>7365</t>
  </si>
  <si>
    <t xml:space="preserve">CURVA 135 GRAUS PARA ELETRODUTO, EM ACO GALVANIZADO ELETROLITICO, COM ROSCA, DIAMETRO DE 40 MM (1 1/2"), ESPESSURA DE 1,50 MM - SINAPI - 00002626</t>
  </si>
  <si>
    <t>7354</t>
  </si>
  <si>
    <t>7360</t>
  </si>
  <si>
    <t xml:space="preserve">CURVA 135 GRAUS PARA ELETRODUTO, EM ACO GALVANIZADO ELETROLITICO, COM ROSCA, DIAMETRO DE 50 MM (2") - SINAPI - 00002630</t>
  </si>
  <si>
    <t>7400</t>
  </si>
  <si>
    <t xml:space="preserve">CURVA 135 GRAUS PARA ELETRODUTO, EM ACO GALVANIZADO ELETROLITICO, COM ROSCA, DIAMETRO DE 65 MM (2 1/2") - SINAPI - 00002627</t>
  </si>
  <si>
    <t>7370</t>
  </si>
  <si>
    <t xml:space="preserve">CURVA 135 GRAUS PARA ELETRODUTO, EM ACO GALVANIZADO ELETROLITICO, COM ROSCA, DIAMETRO DE 80 MM (3") - SINAPI - 00002629</t>
  </si>
  <si>
    <t>3165</t>
  </si>
  <si>
    <t xml:space="preserve">CURVA 90 GRAUS PARA ELETRODUTO, EM ACO GALVANIZADO ELETROLITICO, COM ROSCA, DIAMETRO DE 15 MM (1/2"), ESPESSURA DE 1,50 MM - SINAPI - 00002616</t>
  </si>
  <si>
    <t>3185</t>
  </si>
  <si>
    <t xml:space="preserve">CURVA 90 GRAUS PARA ELETRODUTO, EM ACO GALVANIZADO ELETROLITICO, COM ROSCA, DIAMETRO DE 20 MM (3/4"), ESPESSURA DE 1,50 MM - SINAPI - 00002633</t>
  </si>
  <si>
    <t>2176</t>
  </si>
  <si>
    <t>3190</t>
  </si>
  <si>
    <t xml:space="preserve">CURVA 90 GRAUS PARA ELETRODUTO, EM ACO GALVANIZADO ELETROLITICO, COM ROSCA, DIAMETRO DE 25 MM (1"), ESPESSURA DE 1,50 MM - SINAPI - 00002617</t>
  </si>
  <si>
    <t>2169</t>
  </si>
  <si>
    <t xml:space="preserve">CURVA 90 GRAUS PARA ELETRODUTO, EM ACO GALVANIZADO ELETROLITICO, COM ROSCA, DIAMETRO DE 32 MM (1 1/4"), ESPESSURA DE 1,50 MM - SINAPI - 00002618</t>
  </si>
  <si>
    <t>6146</t>
  </si>
  <si>
    <t xml:space="preserve">CURVA 90 GRAUS PARA ELETRODUTO, EM ACO GALVANIZADO ELETROLITICO, COM ROSCA, DIAMETRO DE 40 MM (1 1/2"), ESPESSURA DE 1,50 MM - SINAPI - 00002632</t>
  </si>
  <si>
    <t>2170</t>
  </si>
  <si>
    <t xml:space="preserve">CURVA 90 GRAUS PARA ELETRODUTO, EM ACO GALVANIZADO ELETROLITICO, COM ROSCA, DIAMETRO DE 50 MM (2") - SINAPI - 00002631</t>
  </si>
  <si>
    <t>2173</t>
  </si>
  <si>
    <t xml:space="preserve">CURVA 90 GRAUS PARA ELETRODUTO, EM ACO GALVANIZADO ELETROLITICO, COM ROSCA, DIAMETRO DE 65 MM (2 1/2") - SINAPI - 00002619</t>
  </si>
  <si>
    <t>7367</t>
  </si>
  <si>
    <t xml:space="preserve">CURVA 90 GRAUS PARA ELETRODUTO, EM ACO GALVANIZADO ELETROLITICO, COM ROSCA, DIAMETRO DE 80 MM (3") - SINAPI - 00002620</t>
  </si>
  <si>
    <t>6156</t>
  </si>
  <si>
    <t xml:space="preserve">CURVA 90 GRAUS PARA ELETRODUTO, PVC, ROSCAVEL, DN 75 MM (2 1/2"), PARA REDE ENTERRADA DE DISTRIBUICAO DE ENERGIA ELETRICA - FORNECIMENTO E INSTALACAO. AF_12/2021 - SINAPI - 93022</t>
  </si>
  <si>
    <t>1822</t>
  </si>
  <si>
    <t xml:space="preserve">CURVA 90 GRAUS, LONGA, DE PVC RIGIDO ROSCAVEL, DE 1 1/2", PARA ELETRODUTO - SINAPI - 00001875</t>
  </si>
  <si>
    <t>6149</t>
  </si>
  <si>
    <t xml:space="preserve">CURVA 90 GRAUS, LONGA, DE PVC RIGIDO ROSCAVEL, DE 1 1/4", PARA ELETRODUTO - SINAPI - 00001874</t>
  </si>
  <si>
    <t>6147</t>
  </si>
  <si>
    <t xml:space="preserve">CURVA 90 GRAUS, LONGA, DE PVC RIGIDO ROSCAVEL, DE 1", PARA ELETRODUTO - SINAPI - 00001884</t>
  </si>
  <si>
    <t>6144</t>
  </si>
  <si>
    <t xml:space="preserve">CURVA 90 GRAUS, LONGA, DE PVC RIGIDO ROSCAVEL, DE 2", PARA ELETRODUTO - SINAPI - 00001876</t>
  </si>
  <si>
    <t>6154</t>
  </si>
  <si>
    <t xml:space="preserve">CURVA 90 GRAUS, LONGA, DE PVC RIGIDO ROSCAVEL, DE 3", PARA ELETRODUTO - SINAPI - 00001877</t>
  </si>
  <si>
    <t>6157</t>
  </si>
  <si>
    <t xml:space="preserve">CURVA 90 GRAUS, LONGA, DE PVC RIGIDO ROSCAVEL, DE 3/4", PARA ELETRODUTO - SINAPI - 00001879</t>
  </si>
  <si>
    <t>6137</t>
  </si>
  <si>
    <t xml:space="preserve">CURVA 90 GRAUS, LONGA, DE PVC RIGIDO ROSCAVEL, DE 4", PARA ELETRODUTO - SINAPI - 00001878</t>
  </si>
  <si>
    <t>6162</t>
  </si>
  <si>
    <t xml:space="preserve">CURVA CURTA 90 GRAUS, PVC, SERIE NORMAL, ESGOTO PREDIAL, DN 75 MM, JUNTA ELASTICA, FORNECIDO E INSTALADO EM RAMAL DE DESCARGA OU RAMAL DE ESGOTO SANITARIO. AF_08/2022 - SINAPI - 89742</t>
  </si>
  <si>
    <t>1775</t>
  </si>
  <si>
    <t xml:space="preserve">CURVA DE PVC 90 GRAUS, SOLDAVEL, 25 MM, COR MARROM, PARA AGUA FRIA PREDIAL - SINAPI - 00001956</t>
  </si>
  <si>
    <t>1875</t>
  </si>
  <si>
    <t>041</t>
  </si>
  <si>
    <t xml:space="preserve">CURVA PVC CURTA 90 GRAUS, DN 100 MM, PARA ESGOTO PREDIAL - SINAPI - 00001966</t>
  </si>
  <si>
    <t>8310</t>
  </si>
  <si>
    <t xml:space="preserve">CURVA PVC CURTA 90 GRAUS, DN 75 MM, PARA ESGOTO PREDIAL - SINAPI - 00001951</t>
  </si>
  <si>
    <t>8309</t>
  </si>
  <si>
    <t xml:space="preserve">DESMOLDANTE PROTETOR PARA FORMAS DE MADEIRA, DE BASE OLEOSA EMULSIONADA EM AGUA - SINAPI - 00002692</t>
  </si>
  <si>
    <t>1075</t>
  </si>
  <si>
    <t xml:space="preserve">DETECTOR DE FUMACA CONVENCIONAL, MODELO DFC 420, DA INTELBRAS</t>
  </si>
  <si>
    <t>1566</t>
  </si>
  <si>
    <t xml:space="preserve">DETECTOR DE FUMACA ENDERECAVEL, MODELO DFE 520, DA INTELBRAS</t>
  </si>
  <si>
    <t>1565</t>
  </si>
  <si>
    <t xml:space="preserve">DETECTOR DE FUMACA LINEAR, MODELO DFL 3102, COM ALCANCE DE 40 A 70 METROS DE COMPRIMENTO, DA INTELBRAS</t>
  </si>
  <si>
    <t>1564</t>
  </si>
  <si>
    <t xml:space="preserve">DETECTOR DE TEMPERATURA CONVENCIONAL, MODELO DTC 421, DA INTELBRAS</t>
  </si>
  <si>
    <t>1567</t>
  </si>
  <si>
    <t xml:space="preserve">DETECTOR DE TEMPERATURA ENDERECAVEL, MODELO DTE 520, DA INTELBRAS</t>
  </si>
  <si>
    <t>1568</t>
  </si>
  <si>
    <t xml:space="preserve">DILUENTE AGUARRAS - SINAPI - 00005318</t>
  </si>
  <si>
    <t>6523</t>
  </si>
  <si>
    <t xml:space="preserve">DISCO DE CORTE DIAMANTADO SEGMENTADO PARA CONCRETO/ASFALTO, DIAMETRO DE *350* MM, FURO DE 25,40 MM - SINAPI - 00013887</t>
  </si>
  <si>
    <t>6296</t>
  </si>
  <si>
    <t xml:space="preserve">DISJ. A VACUO 630A, MOD. MAF-15-630, CAPACIDADE 350MVA, PROT. CURTO SOBRECARGA E FALTA DE FASE BEGHIN PROT. SECUNDARIA</t>
  </si>
  <si>
    <t>7037</t>
  </si>
  <si>
    <t xml:space="preserve">DISJUNTOR BIPOLAR TIPO DIN, CORRENTE NOMINAL DE 16A - FORNECIMENTO E INSTALACAO. AF_10/2020 - SINAPI - 93661</t>
  </si>
  <si>
    <t>1825</t>
  </si>
  <si>
    <t xml:space="preserve">DISJUNTOR BIPOLAR TIPO DIN, CORRENTE NOMINAL DE 20A - FORNECIMENTO E INSTALACAO. AF_10/2020 - SINAPI - 93662</t>
  </si>
  <si>
    <t>1826</t>
  </si>
  <si>
    <t xml:space="preserve">DISJUNTOR BIPOLAR TIPO DIN, CORRENTE NOMINAL DE 32A - FORNECIMENTO E INSTALACAO. AF_10/2020 - SINAPI - 93664</t>
  </si>
  <si>
    <t>1827</t>
  </si>
  <si>
    <t xml:space="preserve">DISJUNTOR MONOPOLAR TIPO DIN, CORRENTE NOMINAL DE 16A - FORNECIMENTO E INSTALACAO. AF_10/2020 - SINAPI - 93654</t>
  </si>
  <si>
    <t>1824</t>
  </si>
  <si>
    <t xml:space="preserve">DISJUNTOR MONOPOLAR TIPO NEMA, CORRENTE NOMINAL DE 35 ATE 50A - FORNECIMENTO E INSTALACAO. AF_10/2020 - SINAPI - 101891</t>
  </si>
  <si>
    <t>1923</t>
  </si>
  <si>
    <t xml:space="preserve">DISJUNTOR NORMA DIN CURVA C 3P (TRIPOLAR) DE 70A</t>
  </si>
  <si>
    <t>3435</t>
  </si>
  <si>
    <t xml:space="preserve">DISJUNTOR NORMA DIN CURVA C 3P (TRIPOLAR) DE 80A A 100A</t>
  </si>
  <si>
    <t>3436</t>
  </si>
  <si>
    <t xml:space="preserve">DISJUNTOR TERMOMAGNETICO TRIPOLAR 125 A / 425 V / ICC - 25 KA - SINAPI - 00002391</t>
  </si>
  <si>
    <t>7161</t>
  </si>
  <si>
    <t xml:space="preserve">DISJUNTOR TERMOMAGNETICO TRIPOLAR 150 A / 600 V, TIPO FXD / ICC - 35 KA - SINAPI - 00002374</t>
  </si>
  <si>
    <t>3427</t>
  </si>
  <si>
    <t xml:space="preserve">DISJUNTOR TERMOMAGNETICO TRIPOLAR 200 A / 600 V, TIPO FXD / ICC - 35 KA - SINAPI - 00002377</t>
  </si>
  <si>
    <t>6568</t>
  </si>
  <si>
    <t xml:space="preserve">DISJUNTOR TERMOMAGNETICO TRIPOLAR 300 A / 600 V, TIPO JXD / ICC - 40 KA - SINAPI - 00002378</t>
  </si>
  <si>
    <t>1532</t>
  </si>
  <si>
    <t xml:space="preserve">DISJUNTOR TERMOMAGNETICO TRIPOLAR 600 A / 600 V, TIPO LXD / ICC - 40 KA - SINAPI - 00002376</t>
  </si>
  <si>
    <t>1533</t>
  </si>
  <si>
    <t xml:space="preserve">DISJUNTOR TIPO NEMA, BIPOLAR 10 ATE 50 A, TENSAO MAXIMA 415 V - SINAPI - 00002388</t>
  </si>
  <si>
    <t>3421</t>
  </si>
  <si>
    <t xml:space="preserve">DISJUNTOR TIPO NEMA, BIPOLAR 60 ATE 100A, TENSAO MAXIMA 415 V - SINAPI - 00034606</t>
  </si>
  <si>
    <t>3422</t>
  </si>
  <si>
    <t xml:space="preserve">DISJUNTOR TIPO NEMA, MONOPOLAR 10 ATE 30A, TENSAO MAXIMA DE 240 V - SINAPI - 00002370</t>
  </si>
  <si>
    <t>3418</t>
  </si>
  <si>
    <t xml:space="preserve">DISJUNTOR TIPO NEMA, MONOPOLAR 35 ATE 50 A, TENSAO MAXIMA DE 240 V - SINAPI - 00002386</t>
  </si>
  <si>
    <t>6142</t>
  </si>
  <si>
    <t xml:space="preserve">DISJUNTOR TIPO NEMA, MONOPOLAR DE 60 ATE 70A, TENSAO MAXIMA DE 240 V - SINAPI - 00034689</t>
  </si>
  <si>
    <t>6143</t>
  </si>
  <si>
    <t xml:space="preserve">DISJUNTOR TIPO NEMA, TRIPOLAR 10 ATE 50A, TENSAO MAXIMA DE 415 V - SINAPI - 00002392</t>
  </si>
  <si>
    <t>3423</t>
  </si>
  <si>
    <t xml:space="preserve">DISJUNTOR TIPO NEMA, TRIPOLAR 60 ATE 100 A, TENSAO MAXIMA DE 415 V - SINAPI - 00002373</t>
  </si>
  <si>
    <t>3424</t>
  </si>
  <si>
    <t xml:space="preserve">DISJUNTOR TRIPOLAR DE 175A</t>
  </si>
  <si>
    <t>3425</t>
  </si>
  <si>
    <t xml:space="preserve">DISJUNTOR TRIPOLAR TIPO DIN, CORRENTE NOMINAL DE 32A - FORNECIMENTO E INSTALACAO. AF_10/2020 - SINAPI - 93671</t>
  </si>
  <si>
    <t>1828</t>
  </si>
  <si>
    <t xml:space="preserve">DISJUNTOR TRIPOLAR TIPO DIN, CORRENTE NOMINAL DE 40A - FORNECIMENTO E INSTALACAO. AF_10/2020 - SINAPI - 93672</t>
  </si>
  <si>
    <t>1829</t>
  </si>
  <si>
    <t xml:space="preserve">DISJUNTOR TRIPOLAR TIPO DIN, CORRENTE NOMINAL DE 50A - FORNECIMENTO E INSTALACAO. AF_10/2020 - SINAPI - 93673</t>
  </si>
  <si>
    <t>1830</t>
  </si>
  <si>
    <t xml:space="preserve">DISPOSITIVO DPS CLASSE II, 1 POLO, TENSAO MAXIMA DE 175 V, CORRENTE MAXIMA DE *20* KA (TIPO AC) - SINAPI - 00039465</t>
  </si>
  <si>
    <t>8546</t>
  </si>
  <si>
    <t xml:space="preserve">DISPOSITIVO DPS CLASSE II, 1 POLO, TENSAO MAXIMA DE 175 V, CORRENTE MAXIMA DE *45* KA (TIPO AC) - SINAPI - 00039467</t>
  </si>
  <si>
    <t>1561</t>
  </si>
  <si>
    <t xml:space="preserve">DISPOSITIVO DPS CLASSE II, 1 POLO, TENSAO MAXIMA DE 275 V, CORRENTE MAXIMA DE *20* KA (TIPO AC) - SINAPI - 00039469</t>
  </si>
  <si>
    <t>1562</t>
  </si>
  <si>
    <t xml:space="preserve">DISPOSITIVO DPS CLASSE II, 1 POLO, TENSAO MAXIMA DE 275 V, CORRENTE MAXIMA DE *45* KA (TIPO AC) - SINAPI - 00039471</t>
  </si>
  <si>
    <t>1563</t>
  </si>
  <si>
    <t xml:space="preserve">DISPOSITIVO DR, 2 POLOS, SENSIBILIDADE DE 30 MA, CORRENTE DE 25 A, TIPO AC - SINAPI - 00039445</t>
  </si>
  <si>
    <t>1614</t>
  </si>
  <si>
    <t xml:space="preserve">DISPOSITIVO DR, 2 POLOS, SENSIBILIDADE DE 30 MA, CORRENTE DE 40 A, TIPO AC - SINAPI - 00039446</t>
  </si>
  <si>
    <t>1615</t>
  </si>
  <si>
    <t xml:space="preserve">DISPOSITIVO DR, 4 POLOS, SENSIBILIDADE DE 30 MA, CORRENTE DE 100 A, TIPO AC - SINAPI - 00039449</t>
  </si>
  <si>
    <t>1560</t>
  </si>
  <si>
    <t xml:space="preserve">DISPOSITIVO DR, 4 POLOS, SENSIBILIDADE DE 30 MA, CORRENTE DE 25 A, TIPO AC - SINAPI - 00039455</t>
  </si>
  <si>
    <t>1556</t>
  </si>
  <si>
    <t xml:space="preserve">DISPOSITIVO DR, 4 POLOS, SENSIBILIDADE DE 30 MA, CORRENTE DE 40 A, TIPO AC - SINAPI - 00039456</t>
  </si>
  <si>
    <t>1557</t>
  </si>
  <si>
    <t xml:space="preserve">DISPOSITIVO DR, 4 POLOS, SENSIBILIDADE DE 30 MA, CORRENTE DE 63 A, TIPO AC - SINAPI - 00039457</t>
  </si>
  <si>
    <t>1558</t>
  </si>
  <si>
    <t xml:space="preserve">DISPOSITIVO DR, 4 POLOS, SENSIBILIDADE DE 30 MA, CORRENTE DE 80 A, TIPO AC - SINAPI - 00039458</t>
  </si>
  <si>
    <t>1559</t>
  </si>
  <si>
    <t>008</t>
  </si>
  <si>
    <t xml:space="preserve">DOBRADICA EM ACO/FERRO, 3" X 2 1/2", E= 1,2 A 1,8 MM, SEM ANEL, CROMADO OU ZINCADO, TAMPA CHATA, COM PARAFUSOS - SINAPI - 00002433</t>
  </si>
  <si>
    <t>1077</t>
  </si>
  <si>
    <t xml:space="preserve">DOBRADICA EM ACO/FERRO, 3" X 2 1/2", E= 1,9 A 2 MM, SEM ANEL, CROMADO OU ZINCADO, TAMPA BOLA, COM PARAFUSOS - SINAPI - 00002420</t>
  </si>
  <si>
    <t>1572</t>
  </si>
  <si>
    <t xml:space="preserve">DOBRADICA EM LATAO, 3" X 2 1/2 ", E= 1,9 A 2 MM, COM ANEL, CROMADO, TAMPA BOLA, COM PARAFUSOS - SINAPI - 00011447</t>
  </si>
  <si>
    <t>6573</t>
  </si>
  <si>
    <t xml:space="preserve">DOBRADICA TIPO GONZO 7/8" PAULI (COD.4771)</t>
  </si>
  <si>
    <t>7548</t>
  </si>
  <si>
    <t xml:space="preserve">DUCHA / CHUVEIRO PLASTICO SIMPLES, 5", BRANCO, PARA ACOPLAR EM HASTE 1/2", AGUA FRIA - SINAPI - 00007608</t>
  </si>
  <si>
    <t>3114</t>
  </si>
  <si>
    <t xml:space="preserve">DUCHA HIGIENICA COM REGISTRO E GATILHO, REF. 00900806, LINHA PERTUTTI DA DOCOL OU SIMILAR</t>
  </si>
  <si>
    <t>2667</t>
  </si>
  <si>
    <t xml:space="preserve">DUCHA MANUAL COM DESVIADOR REF. 934106 D98 CROMADO DA DOCOL OU SIMILAR</t>
  </si>
  <si>
    <t>1550</t>
  </si>
  <si>
    <t>025</t>
  </si>
  <si>
    <t>1882</t>
  </si>
  <si>
    <t xml:space="preserve">ELEMENTO VAZADO CERAMICO QUADRADO (TIPO RETO OU REDONDO) DE *7 A 9 X 20 X 20* CM (L X A X C) - SINAPI - 00007272</t>
  </si>
  <si>
    <t>1297</t>
  </si>
  <si>
    <t xml:space="preserve">ELETRICISTA COM ENCARGOS COMPLEMENTARES - SINAPI - 88264</t>
  </si>
  <si>
    <t>4004</t>
  </si>
  <si>
    <t>034</t>
  </si>
  <si>
    <t xml:space="preserve">ELETROCALHA PERFURADA 100X100MM, EM CHAPA DE ACO GALVANIZADA CH. 24, SEM TAMPA</t>
  </si>
  <si>
    <t>6442</t>
  </si>
  <si>
    <t xml:space="preserve">ELETROCALHA PERFURADA 100X50MM, EM CHAPA DE ACO GALVANIZADA CH. 24, SEM TAMPA</t>
  </si>
  <si>
    <t>1609</t>
  </si>
  <si>
    <t xml:space="preserve">ELETROCALHA PERFURADA 50X50MM, EM CHAPA DE ACO GALVANIZADO CH. 24, SEM TAMPA</t>
  </si>
  <si>
    <t>1608</t>
  </si>
  <si>
    <t xml:space="preserve">ELETROCALHA PERURADA 100X200MM, EM CHAPA DE ACO GALVANIZADA CH. 24, SEM TAMPA</t>
  </si>
  <si>
    <t>6444</t>
  </si>
  <si>
    <t xml:space="preserve">ELETRODO REVESTIDO AWS - E6013, DIAMETRO IGUAL A 4,00 MM - SINAPI - 00010999</t>
  </si>
  <si>
    <t>6548</t>
  </si>
  <si>
    <t xml:space="preserve">ELETRODO REVESTIDO AWS - E7018, DIAMETRO IGUAL A 4,00 MM - SINAPI - 00010997</t>
  </si>
  <si>
    <t>1598</t>
  </si>
  <si>
    <t xml:space="preserve">ELETRODUTO DE PVC RIGIDO ROSCAVEL DE 1 ", SEM LUVA - SINAPI - 00002685</t>
  </si>
  <si>
    <t>3226</t>
  </si>
  <si>
    <t xml:space="preserve">ELETRODUTO DE PVC RIGIDO ROSCAVEL DE 1 1/2 ", SEM LUVA - SINAPI - 00002680</t>
  </si>
  <si>
    <t>3227</t>
  </si>
  <si>
    <t xml:space="preserve">ELETRODUTO DE PVC RIGIDO ROSCAVEL DE 1 1/4 ", SEM LUVA - SINAPI - 00002684</t>
  </si>
  <si>
    <t>3228</t>
  </si>
  <si>
    <t xml:space="preserve">ELETRODUTO DE PVC RIGIDO ROSCAVEL DE 2 ", SEM LUVA - SINAPI - 00002681</t>
  </si>
  <si>
    <t>3230</t>
  </si>
  <si>
    <t xml:space="preserve">ELETRODUTO DE PVC RIGIDO ROSCAVEL DE 2 1/2 ", SEM LUVA - SINAPI - 00002682</t>
  </si>
  <si>
    <t>3231</t>
  </si>
  <si>
    <t xml:space="preserve">ELETRODUTO DE PVC RIGIDO ROSCAVEL DE 3 ", SEM LUVA - SINAPI - 00002686</t>
  </si>
  <si>
    <t>3232</t>
  </si>
  <si>
    <t xml:space="preserve">ELETRODUTO DE PVC RIGIDO ROSCAVEL DE 3/4 ", SEM LUVA - SINAPI - 00002674</t>
  </si>
  <si>
    <t>3233</t>
  </si>
  <si>
    <t xml:space="preserve">ELETRODUTO DE PVC RIGIDO ROSCAVEL DE 4 ", SEM LUVA - SINAPI - 00002683</t>
  </si>
  <si>
    <t>3234</t>
  </si>
  <si>
    <t xml:space="preserve">ELETRODUTO EM ACO GALVANIZADO A FOGO, DIAMETRO 4", PAREDE DE 3,75 MM</t>
  </si>
  <si>
    <t>3221</t>
  </si>
  <si>
    <t xml:space="preserve">ELETRODUTO EM ACO GALVANIZADO ELETROLITICO, LEVE, DIAMETRO 3/4", PAREDE DE 0,90 MM - SINAPI - 00021128</t>
  </si>
  <si>
    <t>1602</t>
  </si>
  <si>
    <t xml:space="preserve">ELETRODUTO EM ACO GALVANIZADO PRE-ZINCADO, LEVE, DIAMETRO 1", PAREDE DE 0.60 MM</t>
  </si>
  <si>
    <t>7149</t>
  </si>
  <si>
    <t xml:space="preserve">ELETRODUTO EM ACO GALVANIZADO PRE-ZINCADO, LEVE, DIAMETRO 1/2", PAREDE DE 0.60 MM</t>
  </si>
  <si>
    <t>3215</t>
  </si>
  <si>
    <t xml:space="preserve">ELETRODUTO EM ACO GALVANIZADO PRE-ZINCADO, LEVE, DIAMETRO 3/4", PAREDE DE 0.60 MM</t>
  </si>
  <si>
    <t>7148</t>
  </si>
  <si>
    <t xml:space="preserve">ELETRODUTO EM ACO GALVANIZADO PRE-ZINCADO, MEDIO, DIAMETRO 1 1/2", PAREDE DE 0.90 MM</t>
  </si>
  <si>
    <t>7150</t>
  </si>
  <si>
    <t xml:space="preserve">ELETRODUTO EM ACO GALVANIZADO PRE-ZINCADO, MEDIO, DIAMETRO 1 1/4", PAREDE DE 0.90 MM</t>
  </si>
  <si>
    <t>7374</t>
  </si>
  <si>
    <t xml:space="preserve">ELETRODUTO EM ACO GALVANIZADO PRE-ZINCADO, MEDIO, DIAMETRO 2 1/2", PAREDE DE 1.20 MM</t>
  </si>
  <si>
    <t>7152</t>
  </si>
  <si>
    <t xml:space="preserve">ELETRODUTO EM ACO GALVANIZADO PRE-ZINCADO, SEMI-PESADO, DIAMETRO 2", PAREDE DE 0.90 MM</t>
  </si>
  <si>
    <t>7151</t>
  </si>
  <si>
    <t xml:space="preserve">ELETRODUTO EM ACO GALVANIZADO PRE-ZINCADO, SEMI-PESADO, DIAMETRO 3", PAREDE DE 1.50 MM</t>
  </si>
  <si>
    <t>7153</t>
  </si>
  <si>
    <t xml:space="preserve">ELETRODUTO FLEXIVEL CORRUGADO REFORCADO, PVC, DN 25 MM (3/4"), PARA CIRCUITOS TERMINAIS, INSTALADO EM LAJE - FORNECIMENTO E INSTALACAO. AF_03/2023 - SINAPI - 91845</t>
  </si>
  <si>
    <t>1795</t>
  </si>
  <si>
    <t xml:space="preserve">ELETRODUTO FLEXIVEL CORRUGADO REFORCADO, PVC, DN 32 MM (1"), PARA CIRCUITOS TERMINAIS, INSTALADO EM LAJE - FORNECIMENTO E INSTALACAO. AF_03/2023 - SINAPI - 91847</t>
  </si>
  <si>
    <t>1796</t>
  </si>
  <si>
    <t xml:space="preserve">ELETRODUTO FLEXIVEL CORRUGADO, PVC, DN 25 MM (3/4"), PARA CIRCUITOS TERMINAIS, INSTALADO EM FORRO - FORNECIMENTO E INSTALACAO. AF_03/2023_PA - SINAPI - 91834</t>
  </si>
  <si>
    <t>1794</t>
  </si>
  <si>
    <t xml:space="preserve">ELETRODUTO FLEXIVEL LISO, PEAD, DN 40 MM (1 1/4"), PARA CIRCUITOS TERMINAIS, INSTALADO EM LAJE - FORNECIMENTO E INSTALACAO. AF_03/2023 - SINAPI - 91851</t>
  </si>
  <si>
    <t>1797</t>
  </si>
  <si>
    <t xml:space="preserve">ELETRODUTO FLEXIVEL PLANO EM PEAD, COR PRETA E LARANJA, DIAMETRO 32 MM - SINAPI - 00040401</t>
  </si>
  <si>
    <t>1657</t>
  </si>
  <si>
    <t xml:space="preserve">ELETRODUTO PVC FLEXIVEL CORRUGADO, REFORCADO, COR LARANJA, DE 20 MM, PARA LAJES E PISOS - SINAPI - 00039243</t>
  </si>
  <si>
    <t>1551</t>
  </si>
  <si>
    <t xml:space="preserve">ELETRODUTO PVC FLEXIVEL CORRUGADO, REFORCADO, COR LARANJA, DE 25 MM, PARA LAJES E PISOS - SINAPI - 00039244</t>
  </si>
  <si>
    <t>1552</t>
  </si>
  <si>
    <t xml:space="preserve">ELETRODUTO PVC FLEXIVEL CORRUGADO, REFORCADO, COR LARANJA, DE 32 MM, PARA LAJES E PISOS - SINAPI - 00039245</t>
  </si>
  <si>
    <t>1553</t>
  </si>
  <si>
    <t xml:space="preserve">ELETRODUTO RIGIDO ROSCAVEL, PVC, DN 20 MM (1/2"), PARA CIRCUITOS TERMINAIS, INSTALADO EM FORRO - FORNECIMENTO E INSTALACAO. AF_03/2023 - SINAPI - 91862</t>
  </si>
  <si>
    <t>1913</t>
  </si>
  <si>
    <t xml:space="preserve">ELETRODUTO RIGIDO ROSCAVEL, PVC, DN 20 MM (1/2"), PARA CIRCUITOS TERMINAIS, INSTALADO EM PAREDE - FORNECIMENTO E INSTALACAO. AF_03/2023 - SINAPI - 91870</t>
  </si>
  <si>
    <t>1914</t>
  </si>
  <si>
    <t xml:space="preserve">ELETRODUTO RIGIDO ROSCAVEL, PVC, DN 75 MM (2 1/2"), PARA REDE ENTERRADA DE DISTRIBUICAO DE ENERGIA ELETRICA - FORNECIMENTO E INSTALACAO. AF_12/2021 - SINAPI - 93010</t>
  </si>
  <si>
    <t>1821</t>
  </si>
  <si>
    <t xml:space="preserve">ELETRODUTO RIGIDO SOLDAVEL, PVC, DN 25 MM (3/4"), APARENTE - FORNECIMENTO E INSTALACAO. AF_10/2022_PA - SINAPI - 95727</t>
  </si>
  <si>
    <t>1851</t>
  </si>
  <si>
    <t xml:space="preserve">ELETRODUTO RIGIDO SOLDAVEL, PVC, DN 32 MM (1"), APARENTE - FORNECIMENTO E INSTALACAO. AF_10/2022_PA - SINAPI - 95728</t>
  </si>
  <si>
    <t>1852</t>
  </si>
  <si>
    <t xml:space="preserve">ELETRODUTO/DUTO PEAD FLEXIVEL PAREDE SIMPLES, CORRUGACAO HELICOIDAL, COR PRETA, SEM ROSCA, DE 1 1/4", CRC 680 N, PARA CABEAMENTO SUBTERRANEO (NBR 15715) - SINAPI - 00039247</t>
  </si>
  <si>
    <t>1554</t>
  </si>
  <si>
    <t xml:space="preserve">ELETROTECNICO COM ENCARGOS COMPLEMENTARES - SINAPI - 88266</t>
  </si>
  <si>
    <t>4020</t>
  </si>
  <si>
    <t xml:space="preserve">ELO FUSIVEL 2H</t>
  </si>
  <si>
    <t>7199</t>
  </si>
  <si>
    <t xml:space="preserve">ELO FUSIVEL PARA CHAVE DE XS DE 10K</t>
  </si>
  <si>
    <t>3110</t>
  </si>
  <si>
    <t xml:space="preserve">ELO FUSIVEL PARA PROTECAO DE TRANSFORMADOR 15 K</t>
  </si>
  <si>
    <t>7027</t>
  </si>
  <si>
    <t xml:space="preserve">ELO FUSIVEL PARA PROTECAO DE TRANSFORMADOR 25 K</t>
  </si>
  <si>
    <t>7028</t>
  </si>
  <si>
    <t xml:space="preserve">ELO FUSIVEL PARA PROTECAO DE TRANSFORMADOR 3H</t>
  </si>
  <si>
    <t>7024</t>
  </si>
  <si>
    <t xml:space="preserve">ELO FUSIVEL PARA PROTECAO DE TRANSFORMADOR 5 H</t>
  </si>
  <si>
    <t>7025</t>
  </si>
  <si>
    <t xml:space="preserve">ELO FUSIVEL PARA PROTECAO DE TRANSFORMADOR 6 K</t>
  </si>
  <si>
    <t>7026</t>
  </si>
  <si>
    <t xml:space="preserve">EMASSAMENTO COM MASSA LATEX, APLICACAO EM PAREDE, DUAS DEMAOS, LIXAMENTO MANUAL. AF_04/2023 - SINAPI - 88497</t>
  </si>
  <si>
    <t>2753</t>
  </si>
  <si>
    <t xml:space="preserve">EMBOCO OU MASSA UNICA EM ARGAMASSA TRACO 1:2:8, PREPARO MECANICO COM BETONEIRA 400 L, APLICADA MANUALMENTE EM PANOS DE FACHADA COM PRESENCA DE VAOS, ESPESSURA DE 25 MM. AF_08/2022 - SINAPI - 87775</t>
  </si>
  <si>
    <t>6312</t>
  </si>
  <si>
    <t xml:space="preserve">EMBOCO, EM ARGAMASSA TRACO 1:2:8, PREPARO MECANICO, APLICADO MANUALMENTE EM PAREDES INTERNAS DE AMBIENTES COM AREA MENOR QUE 5M2, E =17,5MM, COM TALISCAS. AF_03/2024 - SINAPI - 87527</t>
  </si>
  <si>
    <t>1754</t>
  </si>
  <si>
    <t xml:space="preserve">EMBOCO, EM ARGAMASSA TRACO 1:2:8, PREPARO MECANICO, APLICADO MANUALMENTE EM PAREDES INTERNAS, PARA AMBIENTES COM AREA MENOR QUE 5M2, E = 10MM, COM TALISCAS. AF_03/2024 - SINAPI - 87545</t>
  </si>
  <si>
    <t>6461</t>
  </si>
  <si>
    <t xml:space="preserve">ENCANADOR OU BOMBEIRO HIDRAULICO COM ENCARGOS COMPLEMENTARES - SINAPI - 88267</t>
  </si>
  <si>
    <t>4005</t>
  </si>
  <si>
    <t xml:space="preserve">ENCARREGADO GERAL COM ENCARGOS COMPLEMENTARES - SINAPI - 90776</t>
  </si>
  <si>
    <t>4006</t>
  </si>
  <si>
    <t>4044</t>
  </si>
  <si>
    <t xml:space="preserve">ENGATE FEMEA CHAPA 18 25X25MM PAULI (COD.4281)</t>
  </si>
  <si>
    <t>7530</t>
  </si>
  <si>
    <t xml:space="preserve">ENGATE FLEXIVEL EM INOX, 1/2 X 40CM - FORNECIMENTO E INSTALACAO. AF_01/2020 - SINAPI - 86887</t>
  </si>
  <si>
    <t>2569</t>
  </si>
  <si>
    <t xml:space="preserve">ENGATE MACHO CHAPA 18 25X25MM PAULI (COD.4297)</t>
  </si>
  <si>
    <t>7529</t>
  </si>
  <si>
    <t xml:space="preserve">ENGATE/RABICHO FLEXIVEL PLASTICO (PVC OU ABS) BRANCO 1/2" X 40 CM - SINAPI - 00011681</t>
  </si>
  <si>
    <t>2568</t>
  </si>
  <si>
    <t xml:space="preserve">ENGENHEIRO CIVIL DE OBRA JUNIOR COM ENCARGOS COMPLEMENTARES - SINAPI - 90777</t>
  </si>
  <si>
    <t>4045</t>
  </si>
  <si>
    <t xml:space="preserve">ENGENHEIRO CIVIL DE OBRA PLENO COM ENCARGOS COMPLEMENTARES - SINAPI - 90778</t>
  </si>
  <si>
    <t>4046</t>
  </si>
  <si>
    <t xml:space="preserve">ENGENHEIRO CIVIL DE OBRA SENIOR COM ENCARGOS COMPLEMENTARES - SINAPI - 90779</t>
  </si>
  <si>
    <t>4047</t>
  </si>
  <si>
    <t xml:space="preserve">ENGENHEIRO ELETRICISTA (SINAPI 00002707)</t>
  </si>
  <si>
    <t>4065</t>
  </si>
  <si>
    <t xml:space="preserve">EPI - FAMILIA ENGENHEIRO CIVIL - HORISTA (ENCARGOS COMPLEMENTARES - COLETADO CAIXA) - SINAPI - 00043486</t>
  </si>
  <si>
    <t>1888</t>
  </si>
  <si>
    <t xml:space="preserve">EPI - FAMILIA SERVENTE - HORISTA (ENCARGOS COMPLEMENTARES - COLETADO CAIXA) - SINAPI - 00043491</t>
  </si>
  <si>
    <t>1927</t>
  </si>
  <si>
    <t xml:space="preserve">ESCAVACAO DE VALAS EM SOLO DE QUALQUER CATEGORIA, NA(S) PROFUNDIDADE(S):- ATE 2.00 M (SEM PRESENCA DE AGUA) (COMP. 0401001100)</t>
  </si>
  <si>
    <t>6302</t>
  </si>
  <si>
    <t xml:space="preserve">ESCAVACAO MANUAL DE VALA. AF_09/2024 - SINAPI - 93358</t>
  </si>
  <si>
    <t>1918</t>
  </si>
  <si>
    <t xml:space="preserve">ESCAVADEIRA HIDRAULICA SOBRE ESTEIRAS, CACAMBA 0,80 M3, PESO OPERACIONAL 17 T, POTENCIA BRUTA 111 HP - CHI DIURNO. AF_06/2014 - SINAPI - 5632</t>
  </si>
  <si>
    <t>6412</t>
  </si>
  <si>
    <t xml:space="preserve">ESCAVADEIRA HIDRAULICA SOBRE ESTEIRAS, CACAMBA 0,80 M3, PESO OPERACIONAL 17 T, POTENCIA BRUTA 111 HP - CHP DIURNO. AF_06/2014 - SINAPI - 5631</t>
  </si>
  <si>
    <t>6411</t>
  </si>
  <si>
    <t>8510</t>
  </si>
  <si>
    <t xml:space="preserve">ESGUICHO JATO REGULAVEL, TIPO ELKHART, ENGATE RAPIDO 1 1/2", PARA COMBATE A INCENDIO - SINAPI - 00037554</t>
  </si>
  <si>
    <t>6447</t>
  </si>
  <si>
    <t xml:space="preserve">ESPACADOR / DISTANCIADOR CIRCULAR COM ENTRADA LATERAL, EM PLASTICO, PARA VERGALHAO *4,2 A 12,5* MM, COBRIMENTO 20 MM - SINAPI - 00039017</t>
  </si>
  <si>
    <t>1001</t>
  </si>
  <si>
    <t>6603</t>
  </si>
  <si>
    <t xml:space="preserve">ESPACADOR NIVELADOR PARA PORCELANATO</t>
  </si>
  <si>
    <t>1893</t>
  </si>
  <si>
    <t xml:space="preserve">ESPELHO / PLACA CEGA 4" X 2", PARA INSTALACAO DE TOMADAS E INTERRUPTORES - SINAPI - 00038091</t>
  </si>
  <si>
    <t>7128</t>
  </si>
  <si>
    <t xml:space="preserve">ESPELHO / PLACA CEGA 4" X 4", PARA INSTALACAO DE TOMADAS E INTERRUPTORES - SINAPI - 00038095</t>
  </si>
  <si>
    <t>7132</t>
  </si>
  <si>
    <t xml:space="preserve">ESPELHO / PLACA DE 2 POSTOS 4" X 2", PARA INSTALACAO DE TOMADAS E INTERRUPTORES - SINAPI - 00038093</t>
  </si>
  <si>
    <t>1649</t>
  </si>
  <si>
    <t xml:space="preserve">ESPELHO / PLACA DE 2 POSTOS 4" X 4", PARA INSTALACAO DE TOMADAS E INTERRUPTORES - SINAPI - 00038096</t>
  </si>
  <si>
    <t>1441</t>
  </si>
  <si>
    <t>7131</t>
  </si>
  <si>
    <t xml:space="preserve">ESPELHO CRISTAL E = 4 MM - SINAPI - 00011186</t>
  </si>
  <si>
    <t>6446</t>
  </si>
  <si>
    <t xml:space="preserve">ESTACA BROCA DE CONCRETO, DIAMETRO DE 20CM, ESCAVACAO MANUAL COM TRADO CONCHA, COM ARMADURA DE ARRANQUE. AF_05/2020 - SINAPI - 101173</t>
  </si>
  <si>
    <t>1685</t>
  </si>
  <si>
    <t xml:space="preserve">ESTACA BROCA DE CONCRETO, DIAMETRO DE 25CM, ESCAVACAO MANUAL COM TRADO CONCHA (EXCLUSIVE ARMADURA) (COMP. 0301000105)</t>
  </si>
  <si>
    <t>1901</t>
  </si>
  <si>
    <t xml:space="preserve">ESTACA DIAM. 25 CM (CRAVACAO PARA STRAUSS), INCLUSIVE ENCAMISAMENTO</t>
  </si>
  <si>
    <t>1082</t>
  </si>
  <si>
    <t xml:space="preserve">ESTACA DIAM. 32 CM (CRAVACAO PARA STRAUSS), INCLUSIVE ENCAMISAMENTO</t>
  </si>
  <si>
    <t>1083</t>
  </si>
  <si>
    <t xml:space="preserve">ESTACA DIAM. 38 CM (CRAVACAO PARA STRAUSS), INCLUSIVE ENCAMISAMENTO</t>
  </si>
  <si>
    <t>1084</t>
  </si>
  <si>
    <t xml:space="preserve">ESTOPA - SINAPI - 00000013</t>
  </si>
  <si>
    <t>1085</t>
  </si>
  <si>
    <t xml:space="preserve">ESTRIBO COM PARAFUSO EM CHAPA DE FERRO FUNDIDO DE 2" X 3/16" X 35 CM, SECAO "U", PARA MADEIRAMENTO DE TELHADO - SINAPI - 00021142</t>
  </si>
  <si>
    <t>6564</t>
  </si>
  <si>
    <t xml:space="preserve">ESTRUTURA DE MADEIRA PROVISORIA PARA SUPORTE DE CAIXA DAGUA ELEVADA DE 3000 LITROS. AF_03/2024 - SINAPI - 98462</t>
  </si>
  <si>
    <t>1865</t>
  </si>
  <si>
    <t xml:space="preserve">EXAMES - HORISTA (COLETADO CAIXA - ENCARGOS COMPLEMENTARES) - SINAPI - 00037372</t>
  </si>
  <si>
    <t>1885</t>
  </si>
  <si>
    <t xml:space="preserve">EXAUSTOR DE PAREDE, DIAMETRO 30CM</t>
  </si>
  <si>
    <t>7589</t>
  </si>
  <si>
    <t xml:space="preserve">EXAUSTOR DE PAREDE, DIAMETRO 40CM</t>
  </si>
  <si>
    <t>7590</t>
  </si>
  <si>
    <t xml:space="preserve">EXECUCAO DE PASSEIO (CALCADA) OU PISO DE CONCRETO COM CONCRETO MOLDADO IN LOCO, FEITO EM OBRA, ACABAMENTO CONVENCIONAL, ESPESSURA 6 CM, ARMADO. AF_08/2022 - SINAPI - 94992</t>
  </si>
  <si>
    <t>1849</t>
  </si>
  <si>
    <t xml:space="preserve">EXECUCAO DE RADIER, ESPESSURA DE 15 CM, FCK = 30 MPA, COM USO DE FORMAS EM MADEIRA SERRADA. AF_09/2021 - SINAPI - 97102</t>
  </si>
  <si>
    <t>1721</t>
  </si>
  <si>
    <t xml:space="preserve">EXTINTOR DE INCENDIO PORTATIL COM CARGA DE AGUA PRESSURIZADA DE 10 L, CLASSE A - SINAPI - 00010886</t>
  </si>
  <si>
    <t>2808</t>
  </si>
  <si>
    <t xml:space="preserve">EXTINTOR DE INCENDIO PORTATIL COM CARGA DE PO QUIMICO SECO (PQS) DE 4 KG, CLASSE BC - SINAPI - 00010891</t>
  </si>
  <si>
    <t>2809</t>
  </si>
  <si>
    <t xml:space="preserve">EXTINTOR DE INCENDIO PORTATIL COM CARGA DE PQS DE 4 KG, CLASSE BC - FORNECIMENTO E INSTALACAO. AF_10/2020_PE - SINAPI - 101908</t>
  </si>
  <si>
    <t>1728</t>
  </si>
  <si>
    <t xml:space="preserve">EXTINTOR DE INCENDIO PORTATIL COM CARGA PQS DE 6KG, CLASSE ABC</t>
  </si>
  <si>
    <t>1632</t>
  </si>
  <si>
    <t xml:space="preserve">FABRICACAO DE ESCORAS DO TIPO PONTALETE, EM MADEIRA, PARA PE-DIREITO SIMPLES. AF_09/2020 - SINAPI - 92273</t>
  </si>
  <si>
    <t>1668</t>
  </si>
  <si>
    <t xml:space="preserve">FABRICACAO E INSTALACAO DE TESOURA INTEIRA EM MADEIRA NAO APARELHADA, VAO DE 3 M, PARA TELHA ONDULADA DE FIBROCIMENTO, METALICA, PLASTICA OU TERMOACUSTICA, INCLUSO ICAMENTO. AF_07/2019 - SINAPI - 92555</t>
  </si>
  <si>
    <t>1815</t>
  </si>
  <si>
    <t xml:space="preserve">FABRICACAO E INSTALACAO DE TESOURA INTEIRA EM MADEIRA NAO APARELHADA, VAO DE 4 M, PARA TELHA ONDULADA DE FIBROCIMENTO, METALICA, PLASTICA OU TERMOACUSTICA, INCLUSO ICAMENTO. AF_07/2019 - SINAPI - 92556</t>
  </si>
  <si>
    <t>1816</t>
  </si>
  <si>
    <t xml:space="preserve">FABRICACAO E INSTALACAO DE TESOURA INTEIRA EM MADEIRA NAO APARELHADA, VAO DE 5 M, PARA TELHA ONDULADA DE FIBROCIMENTO, METALICA, PLASTICA OU TERMOACUSTICA, INCLUSO ICAMENTO. AF_07/2019 - SINAPI - 92557</t>
  </si>
  <si>
    <t>1817</t>
  </si>
  <si>
    <t xml:space="preserve">FABRICACAO E INSTALACAO DE TESOURA INTEIRA EM MADEIRA NAO APARELHADA, VAO DE 6 M, PARA TELHA ONDULADA DE FIBROCIMENTO, METALICA, PLASTICA OU TERMOACUSTICA, INCLUSO ICAMENTO. AF_07/2019 - SINAPI - 92558</t>
  </si>
  <si>
    <t>1818</t>
  </si>
  <si>
    <t xml:space="preserve">FABRICACAO, MONTAGEM E DESMONTAGEM DE FORMA EM CHAPA DE MADEIRA TIPO PLASTIFICADA DE 12MM DE ESPESSURA, REAPROVEITAMENTO DE 2 VEZES (COMP. 0601001012)</t>
  </si>
  <si>
    <t>1676</t>
  </si>
  <si>
    <t xml:space="preserve">FABRICACAO, MONTAGEM E DESMONTAGEM DE FORMA EM CHAPA DE MADEIRA TIPO RESINADA DE 8 A 12MM DE ESPESSURA, REAPROVEITAMENTO DE 2 VEZES (COMP. 0601001007)</t>
  </si>
  <si>
    <t>2751</t>
  </si>
  <si>
    <t xml:space="preserve">FABRICACAO, MONTAGEM E DESMONTAGEM DE FORMA PARA FUNDACAO EM TABUAS DE 30CM E SARRAFOS 2,5X7,5CM, REAPROVEITAMENTO DE 2 VEZES (COMP. 0601001000)</t>
  </si>
  <si>
    <t>1681</t>
  </si>
  <si>
    <t xml:space="preserve">FECHADURA BICO DE PAPAGAIO PARA PORTA DE CORRER EXTERNA, EM ACO INOX COM ACABAMENTO CROMADO, MAQUINA COM 45 MM, INCLUINDO CHAVE TIPO CILINDRO - SINAPI - 00043612</t>
  </si>
  <si>
    <t>6437</t>
  </si>
  <si>
    <t xml:space="preserve">FECHADURA DE EMBUTIR COM CILINDRO, EXTERNA, COMPLETA, ACABAMENTO PADRAO POPULAR, INCLUSO EXECUCAO DE FURO - FORNECIMENTO E INSTALACAO. AF_12/2019 - SINAPI - 91304</t>
  </si>
  <si>
    <t>1792</t>
  </si>
  <si>
    <t xml:space="preserve">FECHADURA DE EMBUTIR PARA PORTAS INTERNAS, COMPLETA, ACABAMENTO PADRAO POPULAR, COM EXECUCAO DE FURO - FORNECIMENTO E INSTALACAO. AF_12/2019 - SINAPI - 91307</t>
  </si>
  <si>
    <t>1793</t>
  </si>
  <si>
    <t xml:space="preserve">FECHADURA DE SOBREPOR PARA GAVETAS E ARMARIOS, EM ACO INOX COM ACABAMENTO CROMADO, COM CILINDRO DE APROX 20 MM - SINAPI - 00011468</t>
  </si>
  <si>
    <t>6393</t>
  </si>
  <si>
    <t xml:space="preserve">FECHADURA ESPELHO PARA PORTA EXTERNA, EM ACO INOX (MAQUINA, TESTA E CONTRA-TESTA) E EM ZAMAC (MACANETA, LINGUETA E TRINCOS) COM ACABAMENTO CROMADO, MAQUINA DE 55 MM, INCLUINDO CHAVE TIPO CILINDRO - SINAPI - 00003081</t>
  </si>
  <si>
    <t>7549</t>
  </si>
  <si>
    <t xml:space="preserve">FECHADURA ESPELHO PARA PORTA INTERNA, EM ACO INOX (MAQUINA, TESTA E CONTRA-TESTA) E EM ZAMAC (MACANETA, LINGUETA E TRINCOS) COM ACABAMENTO CROMADO, MAQUINA DE 40 MM, INCLUINDO CHAVE TIPO INTERNA - SINAPI - 00003090</t>
  </si>
  <si>
    <t>1189</t>
  </si>
  <si>
    <t xml:space="preserve">FECHADURA ROSETA REDONDA PARA PORTA EXTERNA, EM ACO INOX (MAQUINA, TESTA E CONTRA-TESTA) E EM ZAMAC (MACANETA, LINGUETA E TRINCOS) COM ACABAMENTO CROMADO, MAQUINA DE 40 MM, INCLUINDO CHAVE TIPO CILINDRO - SINAPI - 00038151</t>
  </si>
  <si>
    <t>1894</t>
  </si>
  <si>
    <t xml:space="preserve">FECHADURA ROSETA REDONDA PARA PORTA INTERNA, EM ACO INOX (MAQUINA, TESTA E CONTRA-TESTA) E EM ZAMAC (MACANETA, LINGUETA E TRINCOS) COM ACABAMENTO CROMADO, MAQUINA DE 40 MM, INCLUINDO CHAVE TIPO INTERNA (CONJUNTO DE FECHADURAS) - SINAPI - 00043610</t>
  </si>
  <si>
    <t>1573</t>
  </si>
  <si>
    <t xml:space="preserve">FECHO / FECHADURA COM PUXADOR CONCHA, COM TRANCA TIPO TRAVA, PARA JANELA / PORTA DE CORRER (INCLUI TESTA, FECHADURA, PUXADOR) - COMPLETA - SINAPI - 00038165</t>
  </si>
  <si>
    <t>7560</t>
  </si>
  <si>
    <t xml:space="preserve">FECHO TRAMELA NR. 02 - 100MM PAULI (COD.4541)</t>
  </si>
  <si>
    <t>7562</t>
  </si>
  <si>
    <t xml:space="preserve">FECHO TRAMELA NR. 04 - 150MM PAULI (COD.4564)</t>
  </si>
  <si>
    <t>7564</t>
  </si>
  <si>
    <t xml:space="preserve">FECHO TRAMELA NR. 06 - 220MM PAULI (COD.4587)</t>
  </si>
  <si>
    <t>7563</t>
  </si>
  <si>
    <t xml:space="preserve">FERRAMENTAS - FAMILIA ENGENHEIRO CIVIL - HORISTA (ENCARGOS COMPLEMENTARES - COLETADO CAIXA) - SINAPI - 00043462</t>
  </si>
  <si>
    <t>1887</t>
  </si>
  <si>
    <t xml:space="preserve">FERRAMENTAS - FAMILIA SERVENTE - HORISTA (ENCARGOS COMPLEMENTARES - COLETADO CAIXA) - SINAPI - 00043467</t>
  </si>
  <si>
    <t>1926</t>
  </si>
  <si>
    <t xml:space="preserve">FERRO CHATO LAMINADO 1 1/2"X1/2" PAULI 22,80KG - 6M</t>
  </si>
  <si>
    <t>7613</t>
  </si>
  <si>
    <t xml:space="preserve">FERRO CHATO LAMINADO 1"X3/16" PAULI - 5,70KG-6M (COD. 3286)</t>
  </si>
  <si>
    <t>7575</t>
  </si>
  <si>
    <t xml:space="preserve">FERRO CHATO LAMINADO 1/2"X1/8" PAULI 1,92KG-6M (COD. 3228)</t>
  </si>
  <si>
    <t>7635</t>
  </si>
  <si>
    <t xml:space="preserve">FERRO CHATO LAMINADO 1/8"X5/8" PAULI 2,40KG-6M (COD.3263)</t>
  </si>
  <si>
    <t>7537</t>
  </si>
  <si>
    <t xml:space="preserve">FERRO CHATO LAMINADO 2" X 3/8"</t>
  </si>
  <si>
    <t>8733</t>
  </si>
  <si>
    <t xml:space="preserve">FERRO CHATO LAMINADO 2"X1/8" PAULI 7,62KG - 6M (COD.3234)</t>
  </si>
  <si>
    <t>7627</t>
  </si>
  <si>
    <t xml:space="preserve">FERRO CHATO LAMINADO 2"X3/16" PAULI 11,40 KG - 6M (COD.3323)</t>
  </si>
  <si>
    <t>7623</t>
  </si>
  <si>
    <t xml:space="preserve">FERRO CHATO LAMINADO 3/4"X3/16" PAULI - 4,26KG-6M (COD.3330)</t>
  </si>
  <si>
    <t>6178</t>
  </si>
  <si>
    <t xml:space="preserve">FERRO REDONDO LISO LAMINADO 1/2" PAULI - 5,94KG - 6M (COD.4618)</t>
  </si>
  <si>
    <t>7614</t>
  </si>
  <si>
    <t xml:space="preserve">FERRO REDONDO LISO LAMINADO 7/8" PAULI 18,30KG-6M - SAE 1045</t>
  </si>
  <si>
    <t>8734</t>
  </si>
  <si>
    <t xml:space="preserve">FERROLHO COM FECHO / TRINCO REDONDO, EM ACO GALVANIZADO / ZINCADO, DE SOBREPOR, COM COMPRIMENTO DE 2" E ESPESSURA MINIMA DA CHAPA DE 0,90 MM, PARA PORTAS E JANELAS - SINAPI - 00003119</t>
  </si>
  <si>
    <t>6341</t>
  </si>
  <si>
    <t xml:space="preserve">FIO DE ALUMINIO 6 AWG PARA AMARRACAO DE ISOLADOR TOPO (1 KG = 28M)</t>
  </si>
  <si>
    <t>7021</t>
  </si>
  <si>
    <t xml:space="preserve">FIO DE COBRE, SOLIDO, CLASSE 1, ISOLACAO EM PVC/A, ANTICHAMA BWF-B, 450/750V, SECAO NOMINAL 1,5 MM2 - SINAPI - 00000938</t>
  </si>
  <si>
    <t>3244</t>
  </si>
  <si>
    <t xml:space="preserve">FIO DE COBRE, SOLIDO, CLASSE 1, ISOLACAO EM PVC/A, ANTICHAMA BWF-B, 450/750V, SECAO NOMINAL 10 MM2 - SINAPI - 00000937</t>
  </si>
  <si>
    <t>3245</t>
  </si>
  <si>
    <t xml:space="preserve">FIO DE COBRE, SOLIDO, CLASSE 1, ISOLACAO EM PVC/A, ANTICHAMA BWF-B, 450/750V, SECAO NOMINAL 2,5 MM2 - SINAPI - 00000939</t>
  </si>
  <si>
    <t>3247</t>
  </si>
  <si>
    <t xml:space="preserve">FIO DE COBRE, SOLIDO, CLASSE 1, ISOLACAO EM PVC/A, ANTICHAMA BWF-B, 450/750V, SECAO NOMINAL 4 MM2 - SINAPI - 00000944</t>
  </si>
  <si>
    <t>3248</t>
  </si>
  <si>
    <t xml:space="preserve">FIO DE COBRE, SOLIDO, CLASSE 1, ISOLACAO EM PVC/A, ANTICHAMA BWF-B, 450/750V, SECAO NOMINAL 6 MM2 - SINAPI - 00000940</t>
  </si>
  <si>
    <t>3249</t>
  </si>
  <si>
    <t xml:space="preserve">FITA ANTIDERRAPANTE AUTOADESIVA (PRETA OU INCOLOR) 50MMX30M DA ANLIK OU SIMILAR</t>
  </si>
  <si>
    <t>2701</t>
  </si>
  <si>
    <t xml:space="preserve">FITA ANTIDERRAPANTE FOTOLUMINESCENTE AUTOADESIVA (VERDE CLARO) 50MMX30M DA ANLIK OU SIMILAR</t>
  </si>
  <si>
    <t>2702</t>
  </si>
  <si>
    <t xml:space="preserve">FITA CREPE ROLO DE *25* MM X 50 M - SINAPI - 00012815</t>
  </si>
  <si>
    <t>3491</t>
  </si>
  <si>
    <t xml:space="preserve">FITA DE LED SLIM 15W, 180 LEDS, 12V IP20, 1.700 LM/M, TONALIDADE DA LUZ NEUTRA/QUENTE, 3000K/4000K</t>
  </si>
  <si>
    <t>1869</t>
  </si>
  <si>
    <t xml:space="preserve">FITA DE PAPEL MICROPERFURADO, 50 X 150 MM, PARA TRATAMENTO DE JUNTAS DE CHAPA DE GESSO PARA DRYWALL - SINAPI - 00039431</t>
  </si>
  <si>
    <t>1542</t>
  </si>
  <si>
    <t xml:space="preserve">FITA DE PAPEL REFORCADA COM LAMINA DE METAL PARA REFORCO DE CANTOS DE CHAPA DE GESSO PARA DRYWALL - SINAPI - 00039432</t>
  </si>
  <si>
    <t>6472</t>
  </si>
  <si>
    <t xml:space="preserve">FITA ISOLANTE ADESIVA ANTICHAMA, USO ATE 750 V, EM ROLO DE 19 MM X 20 M - SINAPI - 00020111</t>
  </si>
  <si>
    <t>3467</t>
  </si>
  <si>
    <t xml:space="preserve">FITA ISOLANTE ADESIVA ANTICHAMA, USO ATE 750 V, EM ROLO DE 19 MM X 5 M - SINAPI - 00021127</t>
  </si>
  <si>
    <t>1634</t>
  </si>
  <si>
    <t xml:space="preserve">FITA ISOLANTE DE BORRACHA AUTOFUSAO, USO ATE 69 KV (ALTA TENSAO), LARGURA DE 19 MM - SINAPI - 00000404</t>
  </si>
  <si>
    <t>3365</t>
  </si>
  <si>
    <t xml:space="preserve">FITA VEDA ROSCA, EM PTFE, ROLO DE 18 MM X 50 M (L X C) - SINAPI - 00003148</t>
  </si>
  <si>
    <t>1096</t>
  </si>
  <si>
    <t xml:space="preserve">FIXACAO DE TUBOS HORIZONTAIS DE PPR DIAMETROS MENORES OU IGUAIS A 40 MM COM ABRACADEIRA METALICA RIGIDA TIPO U PERFIL 1 1/4", FIXADA EM PERFILADO EM LAJE. AF_09/2023_PS - SINAPI - 91167</t>
  </si>
  <si>
    <t>1667</t>
  </si>
  <si>
    <t xml:space="preserve">FIXACAO DE TUBOS HORIZONTAIS DE PVC AGUA, PVC ESGOTO, PVC AGUA PLUVIAL, CPVC, PPR, COBRE OU ACO, DIAMETROS MENORES OU IGUAIS A 40 MM, COM ABRACADEIRA METALICA RIGIDA TIPO U PERFIL 1 1/4", FIXADA EM PERFILADO EM LAJE. AF_09/2023_PS - SINAPI - 91170</t>
  </si>
  <si>
    <t>1912</t>
  </si>
  <si>
    <t xml:space="preserve">FIXACAO DE TUBOS VERTICAIS DE PVC AGUA, PVC ESGOTO, PVC AGUA PLUVIAL, CPVC, PPR, COBRE OU ACO, DIAMETROS MAIORES QUE 40 MM E MENORES OU IGUAIS A 75 MM, COM ABRAC.METALICA RIGIDA TIPO U PERFIL 2 1/2", FIXADA EM PERFILADO EM PAREDE. AF_09/2023_PS - SINAPI - 91174</t>
  </si>
  <si>
    <t>6453</t>
  </si>
  <si>
    <t xml:space="preserve">FIXACAO DE TUBOS VERTICAIS DE PVC AGUA, PVC ESGOTO, PVC AGUA PLUVIAL, CPVC, PPR, COBRE OU ACO, DIAMETROS MAIORES QUE 75 MM E MENORES OU IGUAIS A 100 MM, COM ABRACADEIRA METALICA RIGIDA TIPO U PERFIL 4", FIXADA EM PERFILADO EM PAREDE. AF_09/2023_PS - SINAPI - 91175</t>
  </si>
  <si>
    <t>6454</t>
  </si>
  <si>
    <t xml:space="preserve">FIXACAO DE TUBOS VERTICAIS DE PVC AGUA, PVC ESGOTO, PVC AGUA PLUVIAL, CPVC, PPR, COBRE OU ACO, DIAMETROS MENORES OU IGUAIS A 40 MM, COM ABRACADEIRA METALICA RIGIDA TIPO U PERFIL 1 1/4", FIXADA EM PERFILADO EM PAREDE. AF_09/2023_PS - SINAPI - 91173</t>
  </si>
  <si>
    <t>1603</t>
  </si>
  <si>
    <t xml:space="preserve">FIXADOR DE ABA SIMPLES PARA TELHA DE FIBROCIMENTO, TIPO CANALETA 49 OU KALHETA - SINAPI - 00004311</t>
  </si>
  <si>
    <t>1097</t>
  </si>
  <si>
    <t xml:space="preserve">FIXADOR DE ABA SIMPLES PARA TELHA DE FIBROCIMENTO, TIPO CANALETA 90 OU KALHETAO - SINAPI - 00004312</t>
  </si>
  <si>
    <t>2731</t>
  </si>
  <si>
    <t>1870</t>
  </si>
  <si>
    <t xml:space="preserve">FORRO EM REGUAS DE PVC, LISO, PARA AMBIENTES COMERCIAIS, INCLUSIVE ESTRUTURA BIDIRECIONAL DE FIXACAO. AF_08/2023_PS - SINAPI - 96486</t>
  </si>
  <si>
    <t>1854</t>
  </si>
  <si>
    <t xml:space="preserve">FUNDO ANTICORROSIVO PARA METAIS FERROSOS (ZARCAO) - SINAPI - 00007307</t>
  </si>
  <si>
    <t>6052</t>
  </si>
  <si>
    <t xml:space="preserve">FUNDO PREPARADOR ACRILICO BASE AGUA - SINAPI - 00038122</t>
  </si>
  <si>
    <t>6004</t>
  </si>
  <si>
    <t xml:space="preserve">FUNDO SELADOR ACRILICO, APLICACAO MANUAL EM PAREDE, UMA DEMAO. AF_04/2023 - SINAPI - 88485</t>
  </si>
  <si>
    <t>1755</t>
  </si>
  <si>
    <t xml:space="preserve">FURO EM CAIXA D'AGUA COM ESPESSURA DE 2 ATE 5 MM E DIAMETRO DE 32 MM. AF_06/2021 - SINAPI - 102593</t>
  </si>
  <si>
    <t>1731</t>
  </si>
  <si>
    <t xml:space="preserve">FURO EM CAIXA D'AGUA COM ESPESSURA DE 2 ATE 5 MM E DIAMETRO DE 40 MM. AF_06/2021 - SINAPI - 102595</t>
  </si>
  <si>
    <t>1732</t>
  </si>
  <si>
    <t xml:space="preserve">FURO EM CAIXA D'AGUA COM ESPESSURA DE 6 ATE 8 MM E DIAMETRO DE 25 MM. AF_06/2021 - SINAPI - 102592</t>
  </si>
  <si>
    <t>1730</t>
  </si>
  <si>
    <t>050</t>
  </si>
  <si>
    <t xml:space="preserve">GABINETE FECHADO DE PISO PADRAO METALICO 19 x 24 US X 700MM PARA CABEAMENTO ESTRUTURADO E CFTV</t>
  </si>
  <si>
    <t>1701</t>
  </si>
  <si>
    <t xml:space="preserve">GABINETE FECHADO DE PISO PADRAO METALICO 19 x 36 US X 970MM PARA CABEAMENTO ESTRUTURADO E CFTV</t>
  </si>
  <si>
    <t>1702</t>
  </si>
  <si>
    <t xml:space="preserve">GABINETE FECHADO DE PISO PADRAO METALICO 19 x 44 US X 970MM PARA CABEAMENTO ESTRUTURADO E CFTV</t>
  </si>
  <si>
    <t>1703</t>
  </si>
  <si>
    <t xml:space="preserve">GANCHO OLHAL EM ACO GALVANIZADO, ESPESSURA 16MM, ABERTURA 21MM - SINAPI - 00000402</t>
  </si>
  <si>
    <t>3396</t>
  </si>
  <si>
    <t xml:space="preserve">GAS DE COZINHA - GLP - SINAPI - 00004226</t>
  </si>
  <si>
    <t>6397</t>
  </si>
  <si>
    <t xml:space="preserve">GEOTEXTIL NAO TECIDO AGULHADO DE FILAMENTOS CONTINUOS 100% POLIESTER, RESITENCIA A TRACAO = 09 KN/M - SINAPI - 00004013</t>
  </si>
  <si>
    <t>6562</t>
  </si>
  <si>
    <t xml:space="preserve">GESSEIRO COM ENCARGOS COMPLEMENTARES - SINAPI - 88269</t>
  </si>
  <si>
    <t>4060</t>
  </si>
  <si>
    <t xml:space="preserve">GESSO COLA, EM PO, PARA FIXACAO DE MOLDURAS, SANCAS E BLOCOS DE GESSO - SINAPI - 00044324</t>
  </si>
  <si>
    <t>1541</t>
  </si>
  <si>
    <t>6612</t>
  </si>
  <si>
    <t>6610</t>
  </si>
  <si>
    <t xml:space="preserve">GRAMPO DE SUSPENSAO PARA MENSAGEIRO 70MM2</t>
  </si>
  <si>
    <t>6611</t>
  </si>
  <si>
    <t xml:space="preserve">GRAMPO LINHA VIVA DE LATAO ESTANHADO, DIAMETRO DO CONDUTOR PRINCIPAL DE 10 A 120 MM2, DIAMETRO DA DERIVACAO DE 10 A 70 MM2 - SINAPI - 00011837</t>
  </si>
  <si>
    <t>1076</t>
  </si>
  <si>
    <t>6598</t>
  </si>
  <si>
    <t xml:space="preserve">GRAMPO METALICO TIPO OLHAL PARA HASTE DE ATERRAMENTO DE 5/8", CONDUTOR DE *10* A 50 MM2 - SINAPI - 00000425</t>
  </si>
  <si>
    <t>1633</t>
  </si>
  <si>
    <t>047</t>
  </si>
  <si>
    <t xml:space="preserve">GRANITO PARA BANCADA, POLIDO, TIPO ANDORINHA/ QUARTZ/ CASTELO/ CORUMBA OU OUTROS EQUIVALENTES DA REGIAO, E= *2,5* CM - SINAPI - 00011795</t>
  </si>
  <si>
    <t>6068</t>
  </si>
  <si>
    <t xml:space="preserve">GRAUTEAMENTO DE CINTA SUPERIOR OU DE VERGA EM ALVENARIA ESTRUTURAL. AF_09/2021 - SINAPI - 89995</t>
  </si>
  <si>
    <t>1784</t>
  </si>
  <si>
    <t xml:space="preserve">GRELHA DE FERRO FUNDIDO SIMPLES COM REQUADRO, 200 X 1000 MM, ASSENTADA COM ARGAMASSA 1 : 3 CIMENTO: AREIA - FORNECIMENTO E INSTALACAO. AF_08/2021 - SINAPI - 103002</t>
  </si>
  <si>
    <t>1735</t>
  </si>
  <si>
    <t xml:space="preserve">GRELHA PRE MOLDADA LISA DE (35 X 50 X 5)CM</t>
  </si>
  <si>
    <t>1691</t>
  </si>
  <si>
    <t xml:space="preserve">GRUPO DE SOLDAGEM COM GERADOR A DIESEL 60 CV PARA SOLDA ELETRICA, SOBRE 04 RODAS, COM MOTOR 4 CILINDROS 600 A - CHI DIURNO. AF_02/2016 - SINAPI - 83766</t>
  </si>
  <si>
    <t>7552</t>
  </si>
  <si>
    <t xml:space="preserve">GRUPO DE SOLDAGEM COM GERADOR A DIESEL 60 CV PARA SOLDA ELETRICA, SOBRE 04 RODAS, COM MOTOR 4 CILINDROS 600 A - CHP DIURNO. AF_02/2016 - SINAPI - 83765</t>
  </si>
  <si>
    <t>7500</t>
  </si>
  <si>
    <t xml:space="preserve">GUARDA CORPO EM ACO INOX 304 POLIDO, TUBO (PES E BARRA SUPERIOR) DE 2" E FECHAMENTO EM TUBO DE 1/2" A CADA 10CM</t>
  </si>
  <si>
    <t>6476</t>
  </si>
  <si>
    <t xml:space="preserve">GUARDA CORPO EM ACO INOX 304 POLIDO, TUBO (PES E BARRA SUPERIOR) DE 2", COM 2 CORRIMAOS (H=0,70M E 0,92M) EM TUBO DE 1.1/2", FECHAMENTO EM TUBOS DE 1/2" A CADA 10CM</t>
  </si>
  <si>
    <t>6475</t>
  </si>
  <si>
    <t xml:space="preserve">GUARNICAO / ALIZAR / VISTA LISA EM MADEIRA MACICA, PARA PORTA, E = *1* CM, L = *5* CM, CEDRINHO / ANGELIM COMERCIAL / TAURI/ CURUPIXA / PEROBA / CUMARU OU EQUIVALENTE DA REGIAO - SINAPI - 00020017</t>
  </si>
  <si>
    <t>1113</t>
  </si>
  <si>
    <t>1202</t>
  </si>
  <si>
    <t xml:space="preserve">GUIA ORGANIZADOR DE CABOS ABERTO 1U PARA RACK</t>
  </si>
  <si>
    <t>1708</t>
  </si>
  <si>
    <t xml:space="preserve">GUINCHO ELETRICO DE COLUNA, CAPACIDADE 400 KG, COM MOTO FREIO, MOTOR TRIFASICO DE 1,25 CV - CHI DIURNO. AF_03/2016 - SINAPI - 93282</t>
  </si>
  <si>
    <t>1623</t>
  </si>
  <si>
    <t xml:space="preserve">GUINCHO ELETRICO DE COLUNA, CAPACIDADE 400 KG, COM MOTO FREIO, MOTOR TRIFASICO DE 1,25 CV - CHP DIURNO. AF_03/2016 - SINAPI - 93281</t>
  </si>
  <si>
    <t>1622</t>
  </si>
  <si>
    <t xml:space="preserve">GUINDASTE HIDRAULICO AUTOPROPELIDO, COM LANCA TELESCOPICA 40 M, CAPACIDADE MAXIMA 60 T, POTENCIA 260 KW - CHI DIURNO. AF_03/2016 - SINAPI - 93288</t>
  </si>
  <si>
    <t>1585</t>
  </si>
  <si>
    <t xml:space="preserve">GUINDASTE HIDRAULICO AUTOPROPELIDO, COM LANCA TELESCOPICA 40 M, CAPACIDADE MAXIMA 60 T, POTENCIA 260 KW - CHP DIURNO. AF_03/2016 - SINAPI - 93287</t>
  </si>
  <si>
    <t>1584</t>
  </si>
  <si>
    <t xml:space="preserve">GUINDAUTO HIDRAULICO, CAPACIDADE MAXIMA DE CARGA 3300 KG, MOMENTO MAXIMO DE CARGA 5,8 TM, ALCANCE MAXIMO HORIZONTAL 7,60 M, INCLUSIVE CAMINHAO TOCO PBT 16.000 KG, POTENCIA DE 189 CV - CHI DIURNO. AF_03/2016 - SINAPI - 93403</t>
  </si>
  <si>
    <t>2755</t>
  </si>
  <si>
    <t xml:space="preserve">GUINDAUTO HIDRAULICO, CAPACIDADE MAXIMA DE CARGA 6200 KG, MOMENTO MAXIMO DE CARGA 11,7 TM, ALCANCE MAXIMO HORIZONTAL 9,70 M, INCLUSIVE CAMINHAO TOCO PBT 16.000 KG, POTENCIA DE 189 CV - CHP DIURNO. AF_06/2014 - SINAPI - 5928</t>
  </si>
  <si>
    <t>6614</t>
  </si>
  <si>
    <t xml:space="preserve">GUINDAUTO HIDRAULICO, CAPACIDADE MAXIMA DE CARGA 6500 KG, MOMENTO MAXIMO DE CARGA 5,8 TM, ALCANCE MAXIMO HORIZONTAL 7,60 M, INCLUSIVE CAMINHAO TOCO PBT 9.700 KG, POTENCIA DE 160 CV - CHP DIURNO. AF_08/2015 - SINAPI - 91634</t>
  </si>
  <si>
    <t>6331</t>
  </si>
  <si>
    <t xml:space="preserve">HASTE DE ATERRAMENTO EM ACO COM 3,00 M DE COMPRIMENTO E DN = 5/8", REVESTIDA COM BAIXA CAMADA DE COBRE, COM CONECTOR TIPO GRAMPO - SINAPI - 00003380</t>
  </si>
  <si>
    <t>3211</t>
  </si>
  <si>
    <t xml:space="preserve">HASTE DE ATERRAMENTO EM ACO COM 3,00 M DE COMPRIMENTO E DN = 5/8", REVESTIDA COM BAIXA CAMADA DE COBRE, SEM CONECTOR - SINAPI - 00003379</t>
  </si>
  <si>
    <t>1873</t>
  </si>
  <si>
    <t xml:space="preserve">HASTE DE ATERRAMENTO, DIAMETRO 5/8", COM 3 METROS - FORNECIMENTO E INSTALACAO. AF_08/2023 - SINAPI - 96985</t>
  </si>
  <si>
    <t>1921</t>
  </si>
  <si>
    <t xml:space="preserve">HASTE RETA PARA GANCHO DE FERRO GALVANIZADO, COM ROSCA 1/4" X 30 CM PARA FIXACAO DE TELHA METALICA, INCLUI PORCA E ARRUELAS DE VEDACAO - SINAPI - 00011029</t>
  </si>
  <si>
    <t>1621</t>
  </si>
  <si>
    <t xml:space="preserve">IMPERMEABILIZACAO COM REVESTIMENTO SEMI-FLEXIVEL VIAPLUS 1000, VIAPOL OU SIMILAR, CONSUMO DE 2KG/M2 (COMP. 0701000109)</t>
  </si>
  <si>
    <t>6309</t>
  </si>
  <si>
    <t xml:space="preserve">IMPERMEABILIZADOR COM ENCARGOS COMPLEMENTARES - SINAPI - 88270</t>
  </si>
  <si>
    <t>4059</t>
  </si>
  <si>
    <t xml:space="preserve">IMPERMEABILIZANTE INCOLOR, BASE SILICONE, PARA TRATAMENTO DE FACHADAS, TELHAS, PEDRAS E OUTRAS SUPERFICIES - SINAPI - 00000151</t>
  </si>
  <si>
    <t>6032</t>
  </si>
  <si>
    <t xml:space="preserve">INTERRUPTOR 01 TECLA SIMPLES (REF. 675000) SISTEMA X DA PIAL OU SIMILAR</t>
  </si>
  <si>
    <t>7185</t>
  </si>
  <si>
    <t xml:space="preserve">INTERRUPTOR 02 TECLAS SIMPLES (REF. 675020) SISTEMA X DA PIAL OU SIMILAR</t>
  </si>
  <si>
    <t>7186</t>
  </si>
  <si>
    <t xml:space="preserve">INTERRUPTOR BIPOLAR EMBUTIR 25A/250V C/ PLACA, TIPO SILENTOQUE PIAL OU EQUIVALENTE</t>
  </si>
  <si>
    <t>7123</t>
  </si>
  <si>
    <t xml:space="preserve">INTERRUPTOR DE ALAVANCA 15 A UNIPOLAR, REF.14.103 DA MARGIRIUS</t>
  </si>
  <si>
    <t>7281</t>
  </si>
  <si>
    <t xml:space="preserve">INTERRUPTOR DE ALAVANCA METALICA TRIPOLAR 15A, REF. 14.323 DA MARGIRIUS OU SIMILAR</t>
  </si>
  <si>
    <t>7170</t>
  </si>
  <si>
    <t xml:space="preserve">INTERRUPTOR DE ALAVANCA METALICA UNIPOLAR 15A, REF. 14.123 DA MARGIRIUS</t>
  </si>
  <si>
    <t>7280</t>
  </si>
  <si>
    <t xml:space="preserve">INTERRUPTOR DE TECLA TRIPOLAR DE 30A CS-101 - SEM CAIXA (BOTOEIRA BLINDADA), TIPO LIGA-DESLIGA DA MARGIRIUS</t>
  </si>
  <si>
    <t>7169</t>
  </si>
  <si>
    <t xml:space="preserve">INTERRUPTOR PARALELO (1 MODULO) COM 1 TOMADA DE EMBUTIR 2P+T 10 A, INCLUINDO SUPORTE E PLACA - FORNECIMENTO E INSTALACAO. AF_03/2023 - SINAPI - 92029</t>
  </si>
  <si>
    <t>1813</t>
  </si>
  <si>
    <t xml:space="preserve">INTERRUPTOR PARALELO (1 MODULO), 10A/250V, INCLUINDO SUPORTE E PLACA - FORNECIMENTO E INSTALACAO. AF_03/2023 - SINAPI - 91955</t>
  </si>
  <si>
    <t>1804</t>
  </si>
  <si>
    <t xml:space="preserve">INTERRUPTOR SIMPLES (1 MODULO) COM 1 TOMADA DE EMBUTIR 2P+T 10 A, INCLUINDO SUPORTE E PLACA - FORNECIMENTO E INSTALACAO. AF_03/2023 - SINAPI - 92023</t>
  </si>
  <si>
    <t>1812</t>
  </si>
  <si>
    <t xml:space="preserve">INTERRUPTOR SIMPLES (1 MODULO), 10A/250V, INCLUINDO SUPORTE E PLACA - FORNECIMENTO E INSTALACAO. AF_03/2023 - SINAPI - 91953</t>
  </si>
  <si>
    <t>3258</t>
  </si>
  <si>
    <t xml:space="preserve">INTERRUPTOR SIMPLES (2 MODULOS), 10A/250V, INCLUINDO SUPORTE E PLACA - FORNECIMENTO E INSTALACAO. AF_03/2023 - SINAPI - 91959</t>
  </si>
  <si>
    <t>3260</t>
  </si>
  <si>
    <t xml:space="preserve">ISOLADOR DE PORCELANA, TIPO BUCHA, PARA TENSAO DE *15* KV - SINAPI - 00003394</t>
  </si>
  <si>
    <t>7042</t>
  </si>
  <si>
    <t xml:space="preserve">ISOLADOR DE PORCELANA, TIPO PINO MONOCORPO, PARA TENSAO DE *15* KV - SINAPI - 00003406</t>
  </si>
  <si>
    <t>3265</t>
  </si>
  <si>
    <t xml:space="preserve">ISOLADOR DE PORCELANA, TIPO ROLDANA, DIMENSOES DE *72* X *72* MM, PARA USO EM BAIXA TENSAO - SINAPI - 00003398</t>
  </si>
  <si>
    <t>3266</t>
  </si>
  <si>
    <t xml:space="preserve">ISOLADOR PEDESTAL DE PORCELANA, CLASSE 15 KV</t>
  </si>
  <si>
    <t>7044</t>
  </si>
  <si>
    <t>7016</t>
  </si>
  <si>
    <t xml:space="preserve">ISOLADOR TIPO PILAR CLASSE 15 KV</t>
  </si>
  <si>
    <t>3267</t>
  </si>
  <si>
    <t>051</t>
  </si>
  <si>
    <t xml:space="preserve">JANELA BASCULANTE EM ALUMINIO, LINHA SUPREMA, ACABAMENTO ANODIZADO FOSCO NA COR PRETA/BRANCA, COM CONTRAMARCO, EXCLUSIVE VIDRO</t>
  </si>
  <si>
    <t>1896</t>
  </si>
  <si>
    <t xml:space="preserve">JANELA DE ALUMINIO DE CORRER COM 2 FOLHAS PARA VIDROS, COM VIDROS, BATENTE, ACABAMENTO COM ACETATO OU BRILHANTE E FERRAGENS, EXCLUSIVE ALIZAR E CONTRAMARCO, FIXACAO COM PARAFUSO. FORNECIMENTO E INSTALACAO. AF_11/2024 - SINAPI - 94570</t>
  </si>
  <si>
    <t>1835</t>
  </si>
  <si>
    <t xml:space="preserve">JANELA DE ALUMINIO TIPO MAXIM-AR, COM VIDROS, BATENTE E FERRAGENS, EXCLUSIVE ALIZAR, ACABAMENTO E CONTRAMARCO, FIXACAO COM PARAFUSO. FORNECIMENTO E INSTALACAO. AF_11/2024 - SINAPI - 94569</t>
  </si>
  <si>
    <t>1834</t>
  </si>
  <si>
    <t xml:space="preserve">JANELA DE CORRER EM ALUMINIO, LINHA SUPREMA, ACABAMENTO ANODIZADO FOSCO NA COR PRETA/BRANCA, COM CONTRAMARCO, EXCLUSIVE VIDRO</t>
  </si>
  <si>
    <t>1717</t>
  </si>
  <si>
    <t xml:space="preserve">JANELA MAXIM-AR EM ALUMINIO, LINHA SUPREMA, ACABAMENTO ANODIZADO FOSCO NA COR PRETA/BRANCA, COM CONTRAMARCO, EXCLUSIVE VIDRO</t>
  </si>
  <si>
    <t>1718</t>
  </si>
  <si>
    <t xml:space="preserve">JANELA MAXIM-AR, ACO GALVANIZADO PINT. ANTICORROSIVA, COM BATENTE/REQUADRO DE 6 A 14 CM, SEM VIDRO, COM GRADE, 1 FL, 60 X 80 CM (A X L) - SINAPI - 00034797</t>
  </si>
  <si>
    <t>1026</t>
  </si>
  <si>
    <t>6320</t>
  </si>
  <si>
    <t xml:space="preserve">JARDINEIRO COM ENCARGOS COMPLEMENTARES - SINAPI - 88441</t>
  </si>
  <si>
    <t>4008</t>
  </si>
  <si>
    <t xml:space="preserve">JATEAMENTO ABRASIVO COM GRANALHA DE ACO EM PERFIL METALICO EM FABRICA. AF_01/2020 - SINAPI - 100716</t>
  </si>
  <si>
    <t>1599</t>
  </si>
  <si>
    <t xml:space="preserve">JOELHO 45 GRAUS, PVC, SERIE NORMAL, ESGOTO PREDIAL, DN 40 MM, JUNTA SOLDAVEL, FORNECIDO E INSTALADO EM RAMAL DE DESCARGA OU RAMAL DE ESGOTO SANITARIO. AF_08/2022 - SINAPI - 89726</t>
  </si>
  <si>
    <t>1771</t>
  </si>
  <si>
    <t xml:space="preserve">JOELHO 45 GRAUS, PVC, SERIE NORMAL, ESGOTO PREDIAL, DN 50 MM, JUNTA ELASTICA, FORNECIDO E INSTALADO EM RAMAL DE DESCARGA OU RAMAL DE ESGOTO SANITARIO. AF_08/2022 - SINAPI - 89732</t>
  </si>
  <si>
    <t>1773</t>
  </si>
  <si>
    <t xml:space="preserve">JOELHO 45 GRAUS, PVC, SERIE NORMAL, ESGOTO PREDIAL, DN 75 MM, JUNTA ELASTICA, FORNECIDO E INSTALADO EM RAMAL DE DESCARGA OU RAMAL DE ESGOTO SANITARIO. AF_08/2022 - SINAPI - 89739</t>
  </si>
  <si>
    <t>1774</t>
  </si>
  <si>
    <t xml:space="preserve">JOELHO 45 GRAUS, PVC, SOLDAVEL, DN 25MM, INSTALADO EM RAMAL OU SUB-RAMAL DE AGUA - FORNECIMENTO E INSTALACAO. AF_06/2022 - SINAPI - 89363</t>
  </si>
  <si>
    <t>1759</t>
  </si>
  <si>
    <t xml:space="preserve">JOELHO 45 GRAUS, PVC, SOLDAVEL, DN 32MM, INSTALADO EM RAMAL OU SUB-RAMAL DE AGUA - FORNECIMENTO E INSTALACAO. AF_06/2022 - SINAPI - 89368</t>
  </si>
  <si>
    <t>1761</t>
  </si>
  <si>
    <t xml:space="preserve">JOELHO 90 GRAUS COM BUCHA DE LATAO, PVC, SOLDAVEL, DN 25 MM X 3/4", INSTALADO EM RESERVACAO PREDIAL DE AGUA - FORNECIMENTO E INSTALACAO. AF_04/2024 - SINAPI - 94672</t>
  </si>
  <si>
    <t>1839</t>
  </si>
  <si>
    <t xml:space="preserve">JOELHO 90 GRAUS, PVC, SERIE NORMAL, ESGOTO PREDIAL, DN 40 MM, JUNTA SOLDAVEL, FORNECIDO E INSTALADO EM RAMAL DE DESCARGA OU RAMAL DE ESGOTO SANITARIO. AF_08/2022 - SINAPI - 89724</t>
  </si>
  <si>
    <t>1770</t>
  </si>
  <si>
    <t xml:space="preserve">JOELHO 90 GRAUS, PVC, SERIE NORMAL, ESGOTO PREDIAL, DN 50 MM, JUNTA ELASTICA, FORNECIDO E INSTALADO EM RAMAL DE DESCARGA OU RAMAL DE ESGOTO SANITARIO. AF_08/2022 - SINAPI - 89731</t>
  </si>
  <si>
    <t>1772</t>
  </si>
  <si>
    <t xml:space="preserve">JOELHO 90 GRAUS, PVC, SOLDAVEL, DN 25MM, INSTALADO EM DRENO DE AR-CONDICIONADO - FORNECIMENTO E INSTALACAO. AF_08/2022 - SINAPI - 89866</t>
  </si>
  <si>
    <t>1782</t>
  </si>
  <si>
    <t xml:space="preserve">JOELHO 90 GRAUS, PVC, SOLDAVEL, DN 25MM, INSTALADO EM RAMAL OU SUB-RAMAL DE AGUA - FORNECIMENTO E INSTALACAO. AF_06/2022 - SINAPI - 89362</t>
  </si>
  <si>
    <t>1758</t>
  </si>
  <si>
    <t xml:space="preserve">JOELHO 90 GRAUS, PVC, SOLDAVEL, DN 32 MM INSTALADO EM RESERVACAO PREDIAL DE AGUA - FORNECIMENTO E INSTALACAO. AF_04/2024 - SINAPI - 94674</t>
  </si>
  <si>
    <t>1840</t>
  </si>
  <si>
    <t xml:space="preserve">JOELHO 90 GRAUS, PVC, SOLDAVEL, DN 32MM, INSTALADO EM RAMAL OU SUB-RAMAL DE AGUA - FORNECIMENTO E INSTALACAO. AF_06/2022 - SINAPI - 89367</t>
  </si>
  <si>
    <t>1760</t>
  </si>
  <si>
    <t xml:space="preserve">JOELHO PVC, COM BOLSA E ANEL, 90 GRAUS, DN 40 X *38* MM, SERIE NORMAL, PARA ESGOTO PREDIAL - SINAPI - 00010835</t>
  </si>
  <si>
    <t>8201</t>
  </si>
  <si>
    <t xml:space="preserve">JOELHO PVC, SOLDAVEL, COM BUCHA DE LATAO, 90 GRAUS, 32 MM X 3/4", PARA AGUA FRIA PREDIAL - SINAPI - 00003532</t>
  </si>
  <si>
    <t>8022</t>
  </si>
  <si>
    <t xml:space="preserve">JOELHO PVC, SOLDAVEL, PB, 90 GRAUS, DN 100 MM, PARA ESGOTO PREDIAL - SINAPI - 00003520</t>
  </si>
  <si>
    <t>2277</t>
  </si>
  <si>
    <t xml:space="preserve">JUNCAO DE REDUCAO INVERTIDA, PVC, SERIE NORMAL, ESGOTO PREDIAL, DN 100 X 50 MM, JUNTA ELASTICA, FORNECIDO E INSTALADO EM RAMAL DE DESCARGA OU RAMAL DE ESGOTO SANITARIO. AF_08/2022 - SINAPI - 104345</t>
  </si>
  <si>
    <t>1740</t>
  </si>
  <si>
    <t xml:space="preserve">JUNCAO DE REDUCAO INVERTIDA, PVC, SERIE NORMAL, ESGOTO PREDIAL, DN 100 X 75 MM, JUNTA ELASTICA, FORNECIDO E INSTALADO EM RAMAL DE DESCARGA OU RAMAL DE ESGOTO SANITARIO. AF_08/2022 - SINAPI - 104347</t>
  </si>
  <si>
    <t>1742</t>
  </si>
  <si>
    <t xml:space="preserve">JUNCAO DE REDUCAO INVERTIDA, PVC, SERIE NORMAL, ESGOTO PREDIAL, DN 75 X 50 MM, JUNTA ELASTICA, FORNECIDO E INSTALADO EM PRUMADA DE ESGOTO SANITARIO OU VENTILACAO. AF_08/2022 - SINAPI - 104350</t>
  </si>
  <si>
    <t>1744</t>
  </si>
  <si>
    <t xml:space="preserve">JUNCAO SIMPLES DE REDUCAO, PVC, DN 100 X 50 MM, SERIE NORMAL PARA ESGOTO PREDIAL - SINAPI - 00003659</t>
  </si>
  <si>
    <t>2291</t>
  </si>
  <si>
    <t xml:space="preserve">JUNCAO SIMPLES DE REDUCAO, PVC, DN 100 X 75 MM, SERIE NORMAL PARA ESGOTO PREDIAL - SINAPI - 00003660</t>
  </si>
  <si>
    <t>2292</t>
  </si>
  <si>
    <t xml:space="preserve">JUNCAO SIMPLES, PVC, 45 GRAUS, DN 100 X 100 MM, SERIE NORMAL PARA ESGOTO PREDIAL - SINAPI - 00003670</t>
  </si>
  <si>
    <t>8312</t>
  </si>
  <si>
    <t xml:space="preserve">JUNCAO SIMPLES, PVC, 45 GRAUS, DN 75 X 75 MM, SERIE NORMAL PARA ESGOTO PREDIAL - SINAPI - 00003658</t>
  </si>
  <si>
    <t>8311</t>
  </si>
  <si>
    <t xml:space="preserve">JUNCAO SIMPLES, PVC, SERIE NORMAL, ESGOTO PREDIAL, DN 40 MM, JUNTA SOLDAVEL, FORNECIDO E INSTALADO EM RAMAL DE DESCARGA OU RAMAL DE ESGOTO SANITARIO. AF_08/2022 - SINAPI - 89783</t>
  </si>
  <si>
    <t>1776</t>
  </si>
  <si>
    <t xml:space="preserve">JUNCAO SIMPLES, PVC, SERIE NORMAL, ESGOTO PREDIAL, DN 50 X 50 MM, JUNTA ELASTICA, FORNECIDO E INSTALADO EM RAMAL DE DESCARGA OU RAMAL DE ESGOTO SANITARIO. AF_08/2022 - SINAPI - 89785</t>
  </si>
  <si>
    <t>1778</t>
  </si>
  <si>
    <t xml:space="preserve">KIT DE PROTECAO ARSTOP PARA AR CONDICIONADO, TOMADA PADRAO 2P+T 20 A, COM DISJUNTOR UNIPOLAR DIN 20A - SINAPI - 00012118</t>
  </si>
  <si>
    <t>7181</t>
  </si>
  <si>
    <t>7046</t>
  </si>
  <si>
    <t>7045</t>
  </si>
  <si>
    <t xml:space="preserve">LAJE PRE-FABRICADA TIPO PROTENDIDA BETA 12, PREENCHIMENTO EPS/CERAMICA H8-40, INTEREIXO 40CM, SOBRECARGA=350KG/M2, VAOS ATE 4,60M, VIGUETAS 5 FIOS DE ACO</t>
  </si>
  <si>
    <t>6494</t>
  </si>
  <si>
    <t xml:space="preserve">LAJE PRE-FABRICADA TIPO PROTENDIDA BETA 16,PREENCHIMENTO EPS/CERAMICA H12-40, INTEREIXO 40CM, SOBRECARGA=350KG/M2, VAOS ATE 6,15M, VIGUETAS 7 FIOS DE ACO</t>
  </si>
  <si>
    <t>6495</t>
  </si>
  <si>
    <t xml:space="preserve">LAJE PRE-FABRICADA TIPO PROTENDIDA BETA 20, PREENCHIMENTO EPS/CERAMICA H16-40, INTEREIXO 40CM, SOBRECARGA=350KG/M2, VAOS ATE 7,30M, VIGUETAS 7 FIOS DE ACO</t>
  </si>
  <si>
    <t>6496</t>
  </si>
  <si>
    <t xml:space="preserve">LAJE PRE-FABRICADA TIPO TRELICADA BETA 12/13 PARA FORRO/PISO, PREENCHIMENTO COM EPS/CERAMICA, INTEREIXO DE 42CM, SOBRECARGA DE 200KG/M2, VAOS ATE 4,60M</t>
  </si>
  <si>
    <t>2722</t>
  </si>
  <si>
    <t xml:space="preserve">LAJE PRE-FABRICADA TIPO TRELICADA BETA 16/17 PARA FORRO/PISO, PREENCHIMENTO COM EPS/CERAMICA, INTEREIXO DE 49CM, SOBRECARGA DE 200KG/M2, VAOS ATE 5,60M</t>
  </si>
  <si>
    <t>2724</t>
  </si>
  <si>
    <t xml:space="preserve">LAJE PRE-FABRICADA TIPO TRELICADA BETA 20 PARA FORRO/PISO, PREENCHIMENTO COM EPS/CERAMICA, INTEREIXO DE 42CM, SOBRECARGA DE 300KG/M2, VAOS ATE 6,80M</t>
  </si>
  <si>
    <t>2726</t>
  </si>
  <si>
    <t xml:space="preserve">LAJE PRE-FABRICADA TIPO TRELICADA BETA 20/21 PARA FORRO/PISO, PREENCHIMENTO COM EPS/CERAMICA, INTEREIXO DE 42CM, SOBRECARGA DE 200KG/M2, VAOS ATE 7,20M</t>
  </si>
  <si>
    <t>2725</t>
  </si>
  <si>
    <t xml:space="preserve">LAMBRIL PAULI 530 MM CHAPA 20 H=53CM (COD.12227)</t>
  </si>
  <si>
    <t>7553</t>
  </si>
  <si>
    <t xml:space="preserve">LAMPADA LED 10 W BIVOLT BRANCA, FORMATO TRADICIONAL (BASE E27) - SINAPI - 00038194</t>
  </si>
  <si>
    <t>6372</t>
  </si>
  <si>
    <t xml:space="preserve">LAMPADA LED 15 W BIVOLT BRANCA, FORMATO TRADICIONAL (BASE E27)</t>
  </si>
  <si>
    <t>6371</t>
  </si>
  <si>
    <t xml:space="preserve">LAMPADA LED DE 60/70W</t>
  </si>
  <si>
    <t>3496</t>
  </si>
  <si>
    <t xml:space="preserve">LANCAMENTO COM USO DE BALDES, ADENSAMENTO E ACABAMENTO DE CONCRETO EM ESTRUTURAS. AF_02/2022 - SINAPI - 103670</t>
  </si>
  <si>
    <t>6333</t>
  </si>
  <si>
    <t xml:space="preserve">LANCAMENTO/APLICACAO MANUAL DE CONCRETO EM ESTRUTURAS (COMP. 0601003008)</t>
  </si>
  <si>
    <t>6356</t>
  </si>
  <si>
    <t xml:space="preserve">LANCAMENTO/APLICACAO MANUAL DE CONCRETO EM FUNDACOES (COMP. 0601003006)</t>
  </si>
  <si>
    <t>6306</t>
  </si>
  <si>
    <t xml:space="preserve">LASTRO COM MATERIAL GRANULAR (PEDRA BRITADA N.2), APLICADO EM PISOS OU LAJES SOBRE SOLO, ESPESSURA DE *10 CM*. AF_01/2024 - SINAPI - 96624</t>
  </si>
  <si>
    <t>1671</t>
  </si>
  <si>
    <t xml:space="preserve">LASTRO DE CONCRETO MAGRO, APLICADO EM PISOS, LAJES SOBRE SOLO OU RADIERS, ESPESSURA DE 3 CM. AF_01/2024 - SINAPI - 95240</t>
  </si>
  <si>
    <t>1850</t>
  </si>
  <si>
    <t xml:space="preserve">LASTRO DE CONCRETO MAGRO, APLICADO EM PISOS, LAJES SOBRE SOLO OU RADIERS, ESPESSURA DE 5 CM. AF_01/2024 - SINAPI - 95241</t>
  </si>
  <si>
    <t>1919</t>
  </si>
  <si>
    <t xml:space="preserve">LAVATORIO DE CANTO DE LOUCA BRANCA, SUSPENSO (SEM COLUNA), DIMENSOES *40 X 30* CM (L X C) - SINAPI - 00036521</t>
  </si>
  <si>
    <t>2735</t>
  </si>
  <si>
    <t xml:space="preserve">LAVATORIO DE LOUCA BRANCA PARA P.N.E., REF. L.51.17 DECA VOGUE PLUS DA DECA</t>
  </si>
  <si>
    <t>9012</t>
  </si>
  <si>
    <t xml:space="preserve">LAVATORIO DE LOUCA BRANCA REF. L 915.17 E COLUNA REF. C 10.17, AMBOS LINHA RAVENA DA DECA</t>
  </si>
  <si>
    <t>2297</t>
  </si>
  <si>
    <t xml:space="preserve">LAVATORIO LOUCA BRANCA SUSPENSO, 29,5 X 39CM OU EQUIVALENTE, PADRAO POPULAR, INCLUSO SIFAO FLEXIVEL EM PVC, VALVULA E ENGATE FLEXIVEL 30CM EM PLASTICO E TORNEIRA CROMADA DE MESA, PADRAO POPULAR - FORNECIMENTO E INSTALACAO. AF_01/2020 - SINAPI - 86943</t>
  </si>
  <si>
    <t>1752</t>
  </si>
  <si>
    <t xml:space="preserve">LIXA D'AGUA EM FOLHA, COR PRETA, GRAO 100 - SINAPI - 00038383</t>
  </si>
  <si>
    <t>6458</t>
  </si>
  <si>
    <t xml:space="preserve">LIXA EM FOLHA PARA FERRO, NUMERO 150 - SINAPI - 00003768</t>
  </si>
  <si>
    <t>1122</t>
  </si>
  <si>
    <t xml:space="preserve">LIXA EM FOLHA PARA PAREDE OU MADEIRA, NUMERO 120, COR VERMELHA - SINAPI - 00003767</t>
  </si>
  <si>
    <t>1121</t>
  </si>
  <si>
    <t xml:space="preserve">LOCACAO CONVENCIONAL DE OBRA, UTILIZANDO GABARITO DE TABUAS CORRIDAS PONTALETADAS A CADA 2,00M - 2 UTILIZACOES. AF_03/2024 - SINAPI - 99059</t>
  </si>
  <si>
    <t>6374</t>
  </si>
  <si>
    <t>009</t>
  </si>
  <si>
    <t xml:space="preserve">LOCACAO DE ANDAIME METALICO TIPO FACHADEIRO, PECAS COM APROXIMADAMENTE 1,20 M DE LARGURA E 2,0 M DE ALTURA, INCLUINDO DIAGONAIS EM X, BARRAS DE LIGACAO, SAPATAS E DEMAIS ITENS NECESSARIOS A MONTAGEM (NAO INCLUI INSTALACAO) - SINAPI - 00020193</t>
  </si>
  <si>
    <t>6369</t>
  </si>
  <si>
    <t xml:space="preserve">LOCACAO DE ANDAIME METALICO TUBULAR DE ENCAIXE, TIPO DE TORRE, CADA PAINEL COM LARGURA DE 1 ATE 1,5 M E ALTURA DE *1,00* M, INCLUINDO DIAGONAL, BARRAS DE LIGACAO, SAPATAS OU RODIZIOS E DEMAIS ITENS NECESSARIOS A MONTAGEM (NAO INCLUI INSTALACAO) - SINAPI - 00010527</t>
  </si>
  <si>
    <t>MXME</t>
  </si>
  <si>
    <t>1509</t>
  </si>
  <si>
    <t xml:space="preserve">LOCACAO DE BANHEIRO QUIMICO, INCLUSO 4 HIGIENIZAÇOES, MOBILIZACAO E DESMOBILIZACAO</t>
  </si>
  <si>
    <t>1616</t>
  </si>
  <si>
    <t xml:space="preserve">LOCACAO DE BOMBA SUBMERSIVEL PARA DRENAGEM E ESGOTAMENTO, MOTOR ELETRICO TRIFASICO, POTENCIA DE 4 CV, DIAMETRO DE RECALQUE DE 3". FAIXA DE OPERACAO Q=60 M3/H (+ OU - 1 M3/H) E AMT=2 M, Q=11 M3/H (+ OU - 1 M3/H) E AMT = 23 M (+ OU - 1 M) - SINAPI - 00004085</t>
  </si>
  <si>
    <t>8630</t>
  </si>
  <si>
    <t>8036</t>
  </si>
  <si>
    <t xml:space="preserve">LOCACAO DE CONTAINER 2,30 X 4,30 M, ALT. 2,50 M, PARA SANITARIO, COM 3 BACIAS, 4 CHUVEIROS, 1 LAVATORIO E 1 MICTORIO (NAO INCLUI MOBILIZACAO/DESMOBILIZACAO) - SINAPI - 00010777</t>
  </si>
  <si>
    <t>6368</t>
  </si>
  <si>
    <t xml:space="preserve">LOCACAO DE CONTAINER 2,30 X 6,00 M, ALT. 2,50 M, COM 1 SANITARIO, PARA ESCRITORIO, COMPLETO, SEM DIVISORIAS INTERNAS (NAO INCLUI MOBILIZACAO/DESMOBILIZACAO) - SINAPI - 00010775</t>
  </si>
  <si>
    <t>6366</t>
  </si>
  <si>
    <t xml:space="preserve">LOCACAO DE CONTAINER PARA DEPOSITO DE (2,30 X 6,00)M, ALT. 2,50M, SEM DIVISORIAS INTERNAS E SEM SANITARIO, EXCL TRANSP/CARGA/DESCARGA (SINAPI 10776)</t>
  </si>
  <si>
    <t>3497</t>
  </si>
  <si>
    <t xml:space="preserve">LONA PLASTICA PESADA PRETA, E = 150 MICRA - SINAPI - 00003777</t>
  </si>
  <si>
    <t>6557</t>
  </si>
  <si>
    <t>1899</t>
  </si>
  <si>
    <t xml:space="preserve">LUMINARIA DE EMBUTIR EM FORRO DE GESSO OU MODULADO, COM ALETAS E REFLETORES EM ALUMINIO ALTO BRILHO, INCLUSO DUAS LAMPADAS T 8 LED DE 18W - 120CM</t>
  </si>
  <si>
    <t>7592</t>
  </si>
  <si>
    <t xml:space="preserve">LUMINARIA DE EMBUTIR EM FORRO DE GESSO OU MODULADO, COM ALETAS E REFLETORES EM ALUMINIO ALTO BRILHO, INCLUSO DUAS LAMPADAS T 8 LED DE 9W - 60CM</t>
  </si>
  <si>
    <t>7591</t>
  </si>
  <si>
    <t xml:space="preserve">LUMINARIA DE EMERGENCIA, COM 30 LAMPADAS LED DE 2 W, SEM REATOR - FORNECIMENTO E INSTALACAO. AF_09/2024 - SINAPI - 97599</t>
  </si>
  <si>
    <t>1856</t>
  </si>
  <si>
    <t xml:space="preserve">LUMINARIA DE LED PARA ILUMINACAO PUBLICA, DE 51 W ATE 67 W, INVOLUCRO EM ALUMINIO OU ACO INOX - SINAPI - 00042245</t>
  </si>
  <si>
    <t>1635</t>
  </si>
  <si>
    <t xml:space="preserve">LUMINARIA DE LED PARA ILUMINACAO PUBLICA, DE 98 W ATE 137 W, INVOLUCRO EM ALUMINIO OU ACO INOX - SINAPI - 00042243</t>
  </si>
  <si>
    <t>1877</t>
  </si>
  <si>
    <t>1898</t>
  </si>
  <si>
    <t xml:space="preserve">LUMINARIA DE SOBREPOR, COM ALETAS E REFLETORES EM ALUMINIO ALTO BRILHO, INCLUSO DUAS LAMPADAS T 8 LED DE 18W - 120CM</t>
  </si>
  <si>
    <t>7631</t>
  </si>
  <si>
    <t xml:space="preserve">LUMINARIA DE SOBREPOR, COM ALETAS E REFLETORES EM ALUMINIO ALTO BRILHO, INCLUSO DUAS LAMPADAS T 8 LED DE 9W - 60CM</t>
  </si>
  <si>
    <t>7632</t>
  </si>
  <si>
    <t xml:space="preserve">LUMINARIA DECORATIVA MOD. SBD 216-GL COM POSTE FLANGEADO SBP-852B/1-20GF - PINTADO E CHUMBADOR 1/2"X300MM DA SHOMEI OU SIMILAR</t>
  </si>
  <si>
    <t>7421</t>
  </si>
  <si>
    <t xml:space="preserve">LUMINARIA LED DE SOBREPOR 36W, 2400LMS, 120CM, DA ELGIM, RCA OU SIMILAR</t>
  </si>
  <si>
    <t>6382</t>
  </si>
  <si>
    <t xml:space="preserve">LUMINARIA LED DE SOBREPOR 36W, 2400LMS, 120CM, DA ELGIN, RCA OU SIMILAR - FORNECIMENTO E INSTALACAO (COMP. 1201001104)</t>
  </si>
  <si>
    <t>1855</t>
  </si>
  <si>
    <t xml:space="preserve">LUMINARIA PLAFON REDONDO COM VIDRO FOSCO DIAMETRO *30* CM, PARA 2 LAMPADAS, BASE E27, POTENCIA MAXIMA 40/60 W (NAO INCLUI LAMPADAS) - SINAPI - 00038770</t>
  </si>
  <si>
    <t>3493</t>
  </si>
  <si>
    <t xml:space="preserve">LUMINARIA REDONDA TIPO INDUSTRIAL LED, REF. UFO INDUSTRIAL HIGH BAY, 150W, 14.500LM DA RCA OU SIMILAR</t>
  </si>
  <si>
    <t>7112</t>
  </si>
  <si>
    <t xml:space="preserve">LUMINARIA SPOT DE SOBREPOR EM ALUMINIO COM ALETA PLASTICA PARA 2 LAMPADAS, BASE E27, POTENCIA MAXIMA 40/60 W (NAO INCLUI LAMPADA) - SINAPI - 00039378</t>
  </si>
  <si>
    <t>3494</t>
  </si>
  <si>
    <t xml:space="preserve">LUMINARIA TIPO PLAFON COM PAINEL LED, 30X30CM, EMBUTIR, POTENCIA DE 24W, 4000K, LUZ NEUTRA, ELGIN OU SIMILAR</t>
  </si>
  <si>
    <t>6295</t>
  </si>
  <si>
    <t xml:space="preserve">LUMINARIA TIPO PLAFON COM PAINEL LED, 30X30CM, SOBREPOR, POTENCIA DE 24W, 4000K, LUZ NEUTRA, ELGIN OU SIMILAR</t>
  </si>
  <si>
    <t>6294</t>
  </si>
  <si>
    <t xml:space="preserve">LUMINARIA TIPO PLAFON COM PAINEL LED, 40X40CM, EMBUTIR, POTENCIA DE 36W, 4000K, LUZ NEUTRA, ELGIN OU SIMILAR</t>
  </si>
  <si>
    <t>1716</t>
  </si>
  <si>
    <t xml:space="preserve">LUMINARIA TIPO PLAFON COM PAINEL LED, 40X40CM, SOBREPOR, POTENCIA DE 36W, 4000K, LUZ NEUTRA, ELGIN OU SIMILAR</t>
  </si>
  <si>
    <t>1715</t>
  </si>
  <si>
    <t xml:space="preserve">LUVA DE REDUCAO DE FERRO GALVANIZADO, COM ROSCA BSP, DE 4" X 3" - SINAPI - 00003934</t>
  </si>
  <si>
    <t>2345</t>
  </si>
  <si>
    <t xml:space="preserve">LUVA EM PVC RIGIDO ROSCAVEL, DE 1 1/2", PARA ELETRODUTO - SINAPI - 00001893</t>
  </si>
  <si>
    <t>6150</t>
  </si>
  <si>
    <t xml:space="preserve">LUVA EM PVC RIGIDO ROSCAVEL, DE 1 1/4", PARA ELETRODUTO - SINAPI - 00001902</t>
  </si>
  <si>
    <t>6176</t>
  </si>
  <si>
    <t xml:space="preserve">LUVA EM PVC RIGIDO ROSCAVEL, DE 1", PARA ELETRODUTO - SINAPI - 00001892</t>
  </si>
  <si>
    <t>6145</t>
  </si>
  <si>
    <t xml:space="preserve">LUVA EM PVC RIGIDO ROSCAVEL, DE 2", PARA ELETRODUTO - SINAPI - 00001894</t>
  </si>
  <si>
    <t>6155</t>
  </si>
  <si>
    <t xml:space="preserve">LUVA EM PVC RIGIDO ROSCAVEL, DE 3", PARA ELETRODUTO - SINAPI - 00001896</t>
  </si>
  <si>
    <t>6158</t>
  </si>
  <si>
    <t xml:space="preserve">LUVA EM PVC RIGIDO ROSCAVEL, DE 3/4", PARA ELETRODUTO - SINAPI - 00001891</t>
  </si>
  <si>
    <t>6138</t>
  </si>
  <si>
    <t xml:space="preserve">LUVA EM PVC RIGIDO ROSCAVEL, DE 4", PARA ELETRODUTO - SINAPI - 00001895</t>
  </si>
  <si>
    <t>6163</t>
  </si>
  <si>
    <t xml:space="preserve">LUVA PARA ELETRODUTO, EM ACO GALVANIZADO ELETROLITICO, COM ROSCA, DIAMETRO DE 100 MM (4") - SINAPI - 00002641</t>
  </si>
  <si>
    <t>3295</t>
  </si>
  <si>
    <t xml:space="preserve">LUVA PARA ELETRODUTO, EM ACO GALVANIZADO ELETROLITICO, COM ROSCA, DIAMETRO DE 15 MM (1/2") - SINAPI - 00002636</t>
  </si>
  <si>
    <t>3289</t>
  </si>
  <si>
    <t xml:space="preserve">LUVA PARA ELETRODUTO, EM ACO GALVANIZADO ELETROLITICO, COM ROSCA, DIAMETRO DE 20 MM (3/4") - SINAPI - 00002637</t>
  </si>
  <si>
    <t>7358</t>
  </si>
  <si>
    <t xml:space="preserve">LUVA PARA ELETRODUTO, EM ACO GALVANIZADO ELETROLITICO, COM ROSCA, DIAMETRO DE 25 MM (1") - SINAPI - 00002638</t>
  </si>
  <si>
    <t>7362</t>
  </si>
  <si>
    <t xml:space="preserve">LUVA PARA ELETRODUTO, EM ACO GALVANIZADO ELETROLITICO, COM ROSCA, DIAMETRO DE 32 MM (1 1/4") - SINAPI - 00002639</t>
  </si>
  <si>
    <t>7366</t>
  </si>
  <si>
    <t xml:space="preserve">LUVA PARA ELETRODUTO, EM ACO GALVANIZADO ELETROLITICO, COM ROSCA, DIAMETRO DE 40 MM (1 1/2") - SINAPI - 00002644</t>
  </si>
  <si>
    <t>7359</t>
  </si>
  <si>
    <t xml:space="preserve">LUVA PARA ELETRODUTO, EM ACO GALVANIZADO ELETROLITICO, COM ROSCA, DIAMETRO DE 65 MM (2 1/2") - SINAPI - 00002640</t>
  </si>
  <si>
    <t>7369</t>
  </si>
  <si>
    <t xml:space="preserve">LUVA PARA ELETRODUTO, EM ACO GALVANIZADO ELETROLITICO, COM ROSCA, DIAMETRO DE 80 MM (3") - SINAPI - 00002642</t>
  </si>
  <si>
    <t>3292</t>
  </si>
  <si>
    <t xml:space="preserve">LUVA PARA ELETRODUTO, EM ACO GALVANIZADO ELETROLITICO, COM ROSCA,DIAMETRO DE 50 MM (2") - SINAPI - 00002643</t>
  </si>
  <si>
    <t>2306</t>
  </si>
  <si>
    <t xml:space="preserve">LUVA SOLDAVEL COM BUCHA DE LATAO, PVC, 25 MM X 1/2" - SINAPI - 00003874</t>
  </si>
  <si>
    <t>8024</t>
  </si>
  <si>
    <t xml:space="preserve">LUVA SOLDAVEL COM BUCHA DE LATAO, PVC, 25 MM X 3/4" - SINAPI - 00003870</t>
  </si>
  <si>
    <t>1876</t>
  </si>
  <si>
    <t xml:space="preserve">MADEIRA ROLICA TRATADA, D = 12 A 15 CM, H = 3,00 M, EM EUCALIPTO OU EQUIVALENTE DA REGIAO - SINAPI - 00004115</t>
  </si>
  <si>
    <t>6377</t>
  </si>
  <si>
    <t xml:space="preserve">MADEIRA ROLICA TRATADA, D = 16 A 20 CM, H = 6,00 M, EM EUCALIPTO OU EQUIVALENTE DA REGIAO - SINAPI - 00004119</t>
  </si>
  <si>
    <t>6378</t>
  </si>
  <si>
    <t xml:space="preserve">MADEIRA SERRADA EM PINUS, MISTA OU EQUIVALENTE DA REGIAO - BRUTA - SINAPI - 00004006</t>
  </si>
  <si>
    <t>1127</t>
  </si>
  <si>
    <t xml:space="preserve">MANGUEIRA CRISTAL, LISA, PVC TRANSPARENTE, 1/2" X 2 MM - SINAPI - 00037458</t>
  </si>
  <si>
    <t>1647</t>
  </si>
  <si>
    <t xml:space="preserve">MANGUEIRA DE INCENDIO, TIPO 2, DE 1 1/2", COMPRIMENTO = 15 M, TECIDO EM FIO DE POLIESTER E TUBO INTERNO EM BORRACHA SINTETICA, COM UNIOES ENGATE RAPIDO - SINAPI - 00037527</t>
  </si>
  <si>
    <t>8453</t>
  </si>
  <si>
    <t xml:space="preserve">MANGUEIRA DE INCENDIO, TIPO 2, DE 1 1/2", COMPRIMENTO = 30 M, TECIDO EM FIO DE POLIESTER E TUBO INTERNO EM BORRACHA SINTETICA, COM UNIOES - SINAPI - 00037530</t>
  </si>
  <si>
    <t>8455</t>
  </si>
  <si>
    <t>7018</t>
  </si>
  <si>
    <t xml:space="preserve">MANTA ASFALTICA ANTIRAIZ 4MM, BOBINA (1X10)M, VEDACIT OU SIMILAR</t>
  </si>
  <si>
    <t>1264</t>
  </si>
  <si>
    <t xml:space="preserve">MANTA ASFALTICA ELASTOMERICA EM POLIESTER 4 MM, TIPO III, CLASSE B, ACABAMENTO PP (NBR 9952) - SINAPI - 00004015</t>
  </si>
  <si>
    <t>1259</t>
  </si>
  <si>
    <t xml:space="preserve">MANTA ASFALTICA MULTIUSO COM ACABAMENTO EM ALUMINIO 3MM, ESTRUTURADA COM VEU DE FIBRA DE VIDRO, BOBINA (1X10)M, PARA LAJES, TELHADOS E CALHAS DE ALVENARIA, VIAPOL OU SIMILAR</t>
  </si>
  <si>
    <t>1258</t>
  </si>
  <si>
    <t>3308</t>
  </si>
  <si>
    <t xml:space="preserve">MAO FRANCESA PARA BECO 1970mm</t>
  </si>
  <si>
    <t>3307</t>
  </si>
  <si>
    <t xml:space="preserve">MAPA TATIL PARA SINALIZACAO E LOCALIZACAO DOS AMBIENTES EM ACRILICO NA COR CINZA COM LETRAS EM ALTO RELEVO E BRAILLE, (40X80)CM DA ANLIK OU SIMILAR</t>
  </si>
  <si>
    <t>6435</t>
  </si>
  <si>
    <t xml:space="preserve">MARCENEIRO COM ENCARGOS COMPLEMENTARES - SINAPI - 88273</t>
  </si>
  <si>
    <t>4055</t>
  </si>
  <si>
    <t xml:space="preserve">MARMORISTA/GRANITEIRO COM ENCARGOS COMPLEMENTARES - SINAPI - 88274</t>
  </si>
  <si>
    <t>4058</t>
  </si>
  <si>
    <t xml:space="preserve">MARTELETE OU ROMPEDOR PNEUMATICO MANUAL, 28 KG, COM SILENCIADOR - CHI DIURNO. AF_07/2016 - SINAPI - 5952</t>
  </si>
  <si>
    <t>1583</t>
  </si>
  <si>
    <t xml:space="preserve">MARTELETE OU ROMPEDOR PNEUMATICO MANUAL, 28 KG, COM SILENCIADOR - CHP DIURNO. AF_07/2016 - SINAPI - 5795</t>
  </si>
  <si>
    <t>1582</t>
  </si>
  <si>
    <t xml:space="preserve">MASSA ACRILICA PARA SUPERFICIES INTERNAS E EXTERNAS - SINAPI - 00043651</t>
  </si>
  <si>
    <t>6089</t>
  </si>
  <si>
    <t xml:space="preserve">MASSA PARA MADEIRA - INTERIOR E EXTERIOR - SINAPI - 00043652</t>
  </si>
  <si>
    <t>1271</t>
  </si>
  <si>
    <t xml:space="preserve">MASSA PLASTICA PARA MARMORE/GRANITO - SINAPI - 00004823</t>
  </si>
  <si>
    <t>6459</t>
  </si>
  <si>
    <t xml:space="preserve">MASSA UNICA, EM ARGAMASSA TRACO 1:2:8, PREPARO MECANICO, APLICADA MANUALMENTE EM PAREDES INTERNAS DE AMBIENTES COM AREA ENTRE 5M2 E 10M2, E = 17,5MM, COM TALISCAS. AF_03/2024 - SINAPI - 87529</t>
  </si>
  <si>
    <t>1666</t>
  </si>
  <si>
    <t xml:space="preserve">MATA JUNTA CHAPA 18 "T" 50 X 25MM, PAULI (COD.6824)</t>
  </si>
  <si>
    <t>7507</t>
  </si>
  <si>
    <t xml:space="preserve">MATA JUNTA CHAPA 18 "Z" 50 X 25MM, PAULI (COD.8711)</t>
  </si>
  <si>
    <t>7508</t>
  </si>
  <si>
    <t xml:space="preserve">MATA-JUNTAS TIPO COTOVELO 90o. (REF. 30990) SISTEMA X DA PIAL OU SIMILAR</t>
  </si>
  <si>
    <t>7183</t>
  </si>
  <si>
    <t xml:space="preserve">MECANICO DE REFRIGERACAO COM ENCARGOS COMPLEMENTARES - SINAPI - 100308</t>
  </si>
  <si>
    <t>4064</t>
  </si>
  <si>
    <t xml:space="preserve">MESTRE DE OBRAS COM ENCARGOS COMPLEMENTARES - SINAPI - 90780</t>
  </si>
  <si>
    <t>4048</t>
  </si>
  <si>
    <t xml:space="preserve">MICTORIO INDIVIDUAL, SIFONADO, DE LOUCA BRANCA, SEM COMPLEMENTOS - SINAPI - 00010432</t>
  </si>
  <si>
    <t>2363</t>
  </si>
  <si>
    <t xml:space="preserve">MICTORIO SIFONADO LOUCA BRANCA - PADRAO MEDIO - FORNECIMENTO E INSTALACAO. AF_01/2020 - SINAPI - 100858</t>
  </si>
  <si>
    <t>1724</t>
  </si>
  <si>
    <t xml:space="preserve">MINI RACK FECHADO DE PAREDE PADRAO METALICO 19 x 12 US X 570MM PARA CABEAMENTO ESTRUTURADO E CFTV</t>
  </si>
  <si>
    <t>1700</t>
  </si>
  <si>
    <t xml:space="preserve">MINI RACK FECHADO DE PAREDE PADRAO METALICO 19 x 6 US X 570MM PARA CABEAMENTO ESTRUTURADO E CFTV</t>
  </si>
  <si>
    <t>1699</t>
  </si>
  <si>
    <t xml:space="preserve">MISTURADOR DE ARGAMASSA, EIXO HORIZONTAL, CAPACIDADE DE MISTURA 300 KG, MOTOR ELETRICO POTENCIA 5 CV - CHI DIURNO. AF_05/2023 - SINAPI - 88392</t>
  </si>
  <si>
    <t>6323</t>
  </si>
  <si>
    <t xml:space="preserve">MISTURADOR DE ARGAMASSA, EIXO HORIZONTAL, CAPACIDADE DE MISTURA 300 KG, MOTOR ELETRICO POTENCIA 5 CV - CHP DIURNO. AF_05/2023 - SINAPI - 88386</t>
  </si>
  <si>
    <t>6322</t>
  </si>
  <si>
    <t xml:space="preserve">MOLDE CLASSE 5 PARA SOLDA EXOTERMICA REF. CLASSE 5 DA TERMOTECNICA</t>
  </si>
  <si>
    <t>6430</t>
  </si>
  <si>
    <t xml:space="preserve">MOLDE/MATRIZ EM PSAI COM SIMBOLO CADEIRANTE DE (1,20 X 1,20)M DA ANLIK OU SIMILAR</t>
  </si>
  <si>
    <t>3507</t>
  </si>
  <si>
    <t xml:space="preserve">MOLDE/MATRIZ EM PSAI COM SIMBOLO IDOSO DE (1,50 X 0,40)M DA ANLIK OU SIMILAR</t>
  </si>
  <si>
    <t>3508</t>
  </si>
  <si>
    <t xml:space="preserve">MOLDE/MATRIZ EM PSAI PARA COMPLEMENTAR A VAGA DE ESTACIONAMENTO ACESSIVEL (2,50 X 1,20)M DA ANLIK OU SIMILAR</t>
  </si>
  <si>
    <t>3509</t>
  </si>
  <si>
    <t xml:space="preserve">MONTADOR DE ESTRUTURA METALICA COM ENCARGOS COMPLEMENTARES - SINAPI - 88278</t>
  </si>
  <si>
    <t>4057</t>
  </si>
  <si>
    <t xml:space="preserve">MONTAGEM E DESMONTAGEM DE FORMA DE PILARES RETANGULARES E ESTRUTURAS SIMILARES, PE-DIREITO SIMPLES, EM MADEIRA SERRADA, 2 UTILIZACOES. AF_09/2020 - SINAPI - 92411</t>
  </si>
  <si>
    <t>6463</t>
  </si>
  <si>
    <t xml:space="preserve">MOTONIVELADORA POTENCIA BASICA LIQUIDA (PRIMEIRA MARCHA) 125 HP, PESO BRUTO 13032 KG, LARGURA DA LAMINA DE 3,7 M - CHP DIURNO. AF_06/2014 - SINAPI - 5932</t>
  </si>
  <si>
    <t>8513</t>
  </si>
  <si>
    <t xml:space="preserve">MOURAO CONCRETO CURVO, SECAO "T", H = 2,80 M + CURVA COM 0,45 M, COM FUROS PARA FIOS - SINAPI - 00004114</t>
  </si>
  <si>
    <t>2749</t>
  </si>
  <si>
    <t xml:space="preserve">MOURAO DE CONCRETO RETO, SECAO QUADRADA, *10 X 10* CM, H= 3,00 M - SINAPI - 00004102</t>
  </si>
  <si>
    <t>1126</t>
  </si>
  <si>
    <t xml:space="preserve">MOURAO ROLICO DE MADEIRA TRATADA, D = 16 A 20 CM, H = 2,20 M, EM EUCALIPTO OU EQUIVALENTE DA REGIAO (PARA CERCA) - SINAPI - 00002747</t>
  </si>
  <si>
    <t>6375</t>
  </si>
  <si>
    <t xml:space="preserve">OPERADOR DE BETONEIRA (CAMINHAO) COM ENCARGOS COMPLEMENTARES - SINAPI - 88291</t>
  </si>
  <si>
    <t>4039</t>
  </si>
  <si>
    <t xml:space="preserve">OPERADOR DE BETONEIRA ESTACIONARIA/MISTURADOR COM ENCARGOS COMPLEMENTARES - SINAPI - 88377</t>
  </si>
  <si>
    <t>4056</t>
  </si>
  <si>
    <t xml:space="preserve">OPERADOR DE GUINDASTE COM ENCARGOS COMPLEMENTARES - SINAPI - 88296</t>
  </si>
  <si>
    <t>4049</t>
  </si>
  <si>
    <t xml:space="preserve">PALHA DE ACO (25 GR)</t>
  </si>
  <si>
    <t>1129</t>
  </si>
  <si>
    <t xml:space="preserve">PALHETA SEMI-ABERTA 100X19MM CHAPA 18 PAULI (COD.5368)</t>
  </si>
  <si>
    <t>7533</t>
  </si>
  <si>
    <t xml:space="preserve">PALITO IGNITOR PARA SOLDA EXOTERMICA REF. SEZ0900 DA TERMOTECNICA</t>
  </si>
  <si>
    <t>6428</t>
  </si>
  <si>
    <t xml:space="preserve">PAPELEIRA PLASTICA TIPO DISPENSER PARA PAPEL HIGIENICO ROLAO - SINAPI - 00037400</t>
  </si>
  <si>
    <t>2395</t>
  </si>
  <si>
    <t>015</t>
  </si>
  <si>
    <t xml:space="preserve">PAR DE TABELAS DE BASQUETE EM COMPENSADO NAVAL, OFICIAL, 1800 X 1200 MM, INCLUINDO ARO DE METAL E REDE EM POLIPROPILENO 100% (SEM SUPORTE DE FIXACAO) - SINAPI - 00025400</t>
  </si>
  <si>
    <t>6079</t>
  </si>
  <si>
    <t xml:space="preserve">PARAFUSO AUTOBROCANTE DE 5/16" X 3/4" PARA FIXACAO DE TELHA GALVANIZADA</t>
  </si>
  <si>
    <t>8545</t>
  </si>
  <si>
    <t xml:space="preserve">PARAFUSO DE ACO ZINCADO, SEXTAVADO, COM ROSCA INTEIRA, DIAMETRO 5/16", COMPRIMENTO 3/4", COM PORCA E ARRUELA LISA LEVE - SINAPI - 00013246</t>
  </si>
  <si>
    <t>1644</t>
  </si>
  <si>
    <t xml:space="preserve">PARAFUSO DE ACO ZINCADO, TIPO CHUMBADOR PARABOLT, DIAMETRO 1/2", COMPRIMENTO 75 MM - SINAPI - 00011963</t>
  </si>
  <si>
    <t>6521</t>
  </si>
  <si>
    <t xml:space="preserve">PARAFUSO DE FERRO GALVANIZADO C/ PORCA, 2 ARRUELAS LISAS E 1 ARRUELA DE PRESSAO 5/8" X 1 1/2"</t>
  </si>
  <si>
    <t>7261</t>
  </si>
  <si>
    <t xml:space="preserve">PARAFUSO DE FERRO GALVANIZADO C/ PORCA, 2 ARRUELAS LISAS E 1 ARRUELA DE PRESSAO DE 3/8" X 1 1/2"</t>
  </si>
  <si>
    <t>7260</t>
  </si>
  <si>
    <t xml:space="preserve">PARAFUSO DE ROSCA DUPLA (PASSANT) 5/8 X 450 MM</t>
  </si>
  <si>
    <t>3320</t>
  </si>
  <si>
    <t xml:space="preserve">PARAFUSO FRANCES M16 EM ACO GALVANIZADO, COMPRIMENTO = 150 MM, DIAMETRO = 16 MM, CABECA ABAULADA - SINAPI - 00000436</t>
  </si>
  <si>
    <t>7352</t>
  </si>
  <si>
    <t xml:space="preserve">PARAFUSO FRANCES M16 EM ACO GALVANIZADO, COMPRIMENTO = 45 MM, DIAMETRO = 16 MM, CABECA ABAULADA - SINAPI - 00000442</t>
  </si>
  <si>
    <t>7036</t>
  </si>
  <si>
    <t xml:space="preserve">PARAFUSO LATONADO C/ PORCA, 2 ARRUELAS LISAS, 1/2" X 1 1/2"</t>
  </si>
  <si>
    <t>7263</t>
  </si>
  <si>
    <t xml:space="preserve">PARAFUSO LATONADO C/ PORCA, 2 ARRUELAS LISAS, 3/8" x 1 1/2"</t>
  </si>
  <si>
    <t>7262</t>
  </si>
  <si>
    <t xml:space="preserve">PARAFUSO M16 EM ACO GALVANIZADO, COMPRIMENTO = 125 MM, DIAMETRO = 16 MM, ROSCA MAQUINA, CABECA QUADRADA - SINAPI - 00000430</t>
  </si>
  <si>
    <t>3315</t>
  </si>
  <si>
    <t xml:space="preserve">PARAFUSO M16 EM ACO GALVANIZADO, COMPRIMENTO = 150 MM, DIAMETRO = 16 MM, ROSCA MAQUINA, CABECA QUADRADA - SINAPI - 00000441</t>
  </si>
  <si>
    <t>7033</t>
  </si>
  <si>
    <t xml:space="preserve">PARAFUSO M16 EM ACO GALVANIZADO, COMPRIMENTO = 200 MM, DIAMETRO = 16 MM, ROSCA MAQUINA, CABECA QUADRADA - SINAPI - 00000431</t>
  </si>
  <si>
    <t>3312</t>
  </si>
  <si>
    <t xml:space="preserve">PARAFUSO M16 EM ACO GALVANIZADO, COMPRIMENTO = 250 MM, DIAMETRO = 16 MM, ROSCA MAQUINA, CABECA QUADRADA - SINAPI - 00000432</t>
  </si>
  <si>
    <t>7034</t>
  </si>
  <si>
    <t xml:space="preserve">PARAFUSO M16 EM ACO GALVANIZADO, COMPRIMENTO = 350 MM, DIAMETRO = 16 MM, ROSCA MAQUINA, CABECA QUADRADA - SINAPI - 00000433</t>
  </si>
  <si>
    <t>1534</t>
  </si>
  <si>
    <t xml:space="preserve">PARAFUSO NIQUELADO 3 1/2" COM ACABAMENTO CROMADO PARA FIXAR PECA SANITARIA, INCLUI PORCA CEGA, ARRUELA E BUCHA DE NYLON TAMANHO S-8 - SINAPI - 00004351</t>
  </si>
  <si>
    <t>2385</t>
  </si>
  <si>
    <t xml:space="preserve">PARAFUSO NIQUELADO COM ACABAMENTO CROMADO PARA FIXAR PECA SANITARIA, INCLUI PORCA CEGA, ARRUELA E BUCHA DE NYLON TAMANHO S-10 - SINAPI - 00004384</t>
  </si>
  <si>
    <t>6433</t>
  </si>
  <si>
    <t xml:space="preserve">PARAFUSO ZINCADO ROSCA SOBERBA, CABECA SEXTAVADA, 5/16" X 85 MM, PARA FIXACAO DE TELHA EM MADEIRA - SINAPI - 00004301</t>
  </si>
  <si>
    <t>1130</t>
  </si>
  <si>
    <t xml:space="preserve">PARAFUSO ZINCADO, AUTOBROCANTE, FLANGEADO, 4,2 MM X 19 MM - SINAPI - 00040547</t>
  </si>
  <si>
    <t>6394</t>
  </si>
  <si>
    <t xml:space="preserve">PARAFUSO ZINCADO, SEXTAVADO, COM ROSCA INTEIRA, DIAMETRO 1/4", COMPRIMENTO 1/2" - SINAPI - 00011962</t>
  </si>
  <si>
    <t>1642</t>
  </si>
  <si>
    <t xml:space="preserve">PARAFUSO ZINCADO, SEXTAVADO, COM ROSCA SOBERBA, DIAMETRO 5/16", COMPRIMENTO 40 MM - SINAPI - 00011948</t>
  </si>
  <si>
    <t>1577</t>
  </si>
  <si>
    <t xml:space="preserve">PARA-RAIO POLIMERICO DE 12 KV</t>
  </si>
  <si>
    <t>3451</t>
  </si>
  <si>
    <t xml:space="preserve">PARA-RAIOS DE DISTRIBUICAO, TENSAO NOMINAL 15 KV, CORRENTE NOMINAL DE DESCARGA 5 KA - SINAPI - 00004276</t>
  </si>
  <si>
    <t>3453</t>
  </si>
  <si>
    <t xml:space="preserve">PAREDE DE MADEIRA COMPENSADA PARA CONSTRUCAO TEMPORARIA EM CHAPA SIMPLES, EXTERNA, COM AREA LIQUIDA MAIOR OU IGUAL A 6 M2, COM VAO. AF_03/2024 - SINAPI - 98445</t>
  </si>
  <si>
    <t>1861</t>
  </si>
  <si>
    <t xml:space="preserve">PAREDE DE MADEIRA COMPENSADA PARA CONSTRUCAO TEMPORARIA EM CHAPA SIMPLES, EXTERNA, COM AREA LIQUIDA MENOR QUE 6 M2, COM VAO. AF_03/2024 - SINAPI - 98446</t>
  </si>
  <si>
    <t>1862</t>
  </si>
  <si>
    <t xml:space="preserve">PAREDE DE MADEIRA COMPENSADA PARA CONSTRUCAO TEMPORARIA EM CHAPA SIMPLES, EXTERNA, SEM VAO. AF_03/2024 - SINAPI - 98441</t>
  </si>
  <si>
    <t>1859</t>
  </si>
  <si>
    <t xml:space="preserve">PAREDE DE MADEIRA COMPENSADA PARA CONSTRUCAO TEMPORARIA EM CHAPA SIMPLES, INTERNA, COM AREA LIQUIDA MAIOR OU IGUAL A 6 M2, COM VAO. AF_03/2024 - SINAPI - 98447</t>
  </si>
  <si>
    <t>1863</t>
  </si>
  <si>
    <t xml:space="preserve">PAREDE DE MADEIRA COMPENSADA PARA CONSTRUCAO TEMPORARIA EM CHAPA SIMPLES, INTERNA, COM AREA LIQUIDA MENOR QUE 6 M2, COM VAO. AF_03/2024 - SINAPI - 98448</t>
  </si>
  <si>
    <t>1864</t>
  </si>
  <si>
    <t xml:space="preserve">PAREDE DE MADEIRA COMPENSADA PARA CONSTRUCAO TEMPORARIA EM CHAPA SIMPLES, INTERNA, SEM VAO. AF_03/2024 - SINAPI - 98443</t>
  </si>
  <si>
    <t>1860</t>
  </si>
  <si>
    <t xml:space="preserve">PASTA LUBRIFICANTE PARA TUBOS E CONEXOES COM JUNTA ELASTICA, EMBALAGEM DE *400* GR (USO EM PVC, ACO, POLIETILENO E OUTROS) - SINAPI - 00020078</t>
  </si>
  <si>
    <t>6113</t>
  </si>
  <si>
    <t xml:space="preserve">PATCH CORD (CABO DE REDE), CATEGORIA 5 E (CAT 5E) UTP, 24 AWG, 4 PARES, EXTENSAO DE 1,50 M - SINAPI - 00039604</t>
  </si>
  <si>
    <t>1651</t>
  </si>
  <si>
    <t xml:space="preserve">PATCH CORD (CABO DE REDE), CATEGORIA 6 (CAT 6) UTP, 23 AWG, 4 PARES, EXTENSAO DE 1,50 M - SINAPI - 00039606</t>
  </si>
  <si>
    <t>1652</t>
  </si>
  <si>
    <t xml:space="preserve">PECA CIRCULAR PRE-MOLDADA, VOLUME DE CONCRETO ACIMA DE 100 LITROS, TAXA DE ACO APROXIMADA DE 30KG/M3. AF_03/2024 - SINAPI - 97740</t>
  </si>
  <si>
    <t>1672</t>
  </si>
  <si>
    <t xml:space="preserve">PEDESTAL EM ACO COM PINTURA ELETROTASTICA DA ANLIK OU SIMILAR</t>
  </si>
  <si>
    <t>6436</t>
  </si>
  <si>
    <t xml:space="preserve">PEDRA BRITADA N. 0, OU PEDRISCO (4,8 A 9,5 MM) POSTO PEDREIRA/FORNECEDOR, SEM FRETE - SINAPI - 00004720</t>
  </si>
  <si>
    <t>1021</t>
  </si>
  <si>
    <t xml:space="preserve">PEDRA BRITADA N. 1 (9,5 A 19 MM) POSTO PEDREIRA/FORNECEDOR, SEM FRETE - SINAPI - 00004721</t>
  </si>
  <si>
    <t>1019</t>
  </si>
  <si>
    <t xml:space="preserve">PEDRA BRITADA N. 2 (19 A 38 MM) POSTO PEDREIRA/FORNECEDOR, SEM FRETE - SINAPI - 00004718</t>
  </si>
  <si>
    <t>1022</t>
  </si>
  <si>
    <t xml:space="preserve">PEDRA DE MAO OU PEDRA RACHAO PARA ARRIMO/FUNDACAO (POSTO PEDREIRA/FORNECEDOR, SEM FRETE) - SINAPI - 00004730</t>
  </si>
  <si>
    <t>1135</t>
  </si>
  <si>
    <t xml:space="preserve">PEDREIRO COM ENCARGOS COMPLEMENTARES - SINAPI - 88309</t>
  </si>
  <si>
    <t>4011</t>
  </si>
  <si>
    <t xml:space="preserve">PEITORIL PRE-MOLDADO EM GRANILITE, MARMORITE OU GRANITINA, L = *15* CM - SINAPI - 00041975</t>
  </si>
  <si>
    <t>6024</t>
  </si>
  <si>
    <t xml:space="preserve">PERFIL "L" CHAPA 18 25MM PAULI (COD.5598)</t>
  </si>
  <si>
    <t>7518</t>
  </si>
  <si>
    <t xml:space="preserve">PERFIL "T" CHAPA 18 15X25MM PAULI (COD.6847)</t>
  </si>
  <si>
    <t>7513</t>
  </si>
  <si>
    <t xml:space="preserve">PERFIL "T" CHAPA 18 25X25MM PAULI (COD.6818)</t>
  </si>
  <si>
    <t>7512</t>
  </si>
  <si>
    <t xml:space="preserve">PERFIL "T" CHAPA 18 50X25MM PAULI (COD.6824)</t>
  </si>
  <si>
    <t>7511</t>
  </si>
  <si>
    <t xml:space="preserve">PERFIL "T" CHAPA 18 50X30MM PAULI (COD.6942)</t>
  </si>
  <si>
    <t>7509</t>
  </si>
  <si>
    <t xml:space="preserve">PERFIL "T" TUBULAR CHAPA 18 50X25MM PAULI (COD.6936)</t>
  </si>
  <si>
    <t>7517</t>
  </si>
  <si>
    <t xml:space="preserve">PERFIL "U" SIMPLES, EM CHAPA DOBRADA DE ACO LAMINADO, E = 8 MM, H = 150 MM, L = 75 MM (16,97 KG/M) - SINAPI - 00010966</t>
  </si>
  <si>
    <t>1597</t>
  </si>
  <si>
    <t xml:space="preserve">PERFIL CANALETA, FORMATO C, EM ACO ZINCADO, PARA ESTRUTURA FORRO DRYWALL, E = 0,5 MM, *46 X 18* (L X H), COMPRIMENTO 3 M - SINAPI - 00039427</t>
  </si>
  <si>
    <t>1570</t>
  </si>
  <si>
    <t>048</t>
  </si>
  <si>
    <t xml:space="preserve">PERFIL DE ACABAMENTO CANALETA BRANCA DE PVC 65X55MM PARA TUBULACAO DE AR CONDICIONADO SPLIT, LINHA CB-60 DA CONTROLBOX OU SIMILAR, INCLUSO CONEXOES</t>
  </si>
  <si>
    <t>1695</t>
  </si>
  <si>
    <t xml:space="preserve">PERFIL DE ACABAMENTO CANALETA BRANCA DE PVC 85X75MM PARA TUBULACAO DE AR CONDICIONADO SPLIT, LINHA CB80 DA CONTROLBOX OU SIMILAR, INCLUSO CONEXOES</t>
  </si>
  <si>
    <t>1694</t>
  </si>
  <si>
    <t xml:space="preserve">PERFIL DE BORRACHA EPDM MACICO *12 X 15* MM PARA ESQUADRIAS - SINAPI - 00020259</t>
  </si>
  <si>
    <t>6471</t>
  </si>
  <si>
    <t>1867</t>
  </si>
  <si>
    <t xml:space="preserve">PERFIL EM ALUMINIO, FORMATO U, ABAS IGUAIS, LARGURA DE 12,70 MM (1/2 POL), ESPESSURA 1,58 MM (1/16 POL) E PESO LINEAR DE APROXIMADAMENTE 0,149 KG/M - SINAPI - 00011552</t>
  </si>
  <si>
    <t>7561</t>
  </si>
  <si>
    <t xml:space="preserve">PERFIL LAMINADO "T" 1"X1/8" PAULI 7,08KG</t>
  </si>
  <si>
    <t>7516</t>
  </si>
  <si>
    <t xml:space="preserve">PERFIL LAMINADO "T" 3/4"X1/8" PAULI 5,16KG (COD.4682)</t>
  </si>
  <si>
    <t>7515</t>
  </si>
  <si>
    <t xml:space="preserve">PERFIL LAMINADO "T" 7/8X1/8" PAULI 5,94KG (COD.4707)</t>
  </si>
  <si>
    <t>7514</t>
  </si>
  <si>
    <t xml:space="preserve">PERFIL LED DE EMBUTIR, ACABAMENTO ANODIZADO NATURAL, BRANCO OU PRETO, DIFUSOR EM POLICARBONATO LEITOSO, 24X14MM, DA EFFECT LED OU SIMILAR (EXCLUSIVE FITAS LED)</t>
  </si>
  <si>
    <t>1686</t>
  </si>
  <si>
    <t xml:space="preserve">PERFIL LED DE SOBREPOR, ACABAMENTO ANODIZADO NATURAL, BRANCO OU PRETO, DIFUSOR EM POLICARBONATO LEITOSO, 17X7MM, DA EFFECT LED OU SIMILAR (EXCLUSIVE FITAS LED)</t>
  </si>
  <si>
    <t>1687</t>
  </si>
  <si>
    <t xml:space="preserve">PERFIL REDUTOR METALICO PARA PISO LAMINADO, 5MM X 3,2CM, COR CHAMPANHE</t>
  </si>
  <si>
    <t>1866</t>
  </si>
  <si>
    <t xml:space="preserve">PERFIL TABICA FECHADA, LISA, FORMATO Z, EM ACO GALVANIZADO NATURAL, LARGURA TOTAL NA HORIZONTAL *40* MM, PARA ESTRUTURA FORRO DRYWALL - SINAPI - 00039428</t>
  </si>
  <si>
    <t>1540</t>
  </si>
  <si>
    <t xml:space="preserve">PERFURATRIZ HIDRAULICA SOBRE CAMINHAO COM TRADO CURTO ACOPLADO, PROFUNDIDADE MAXIMA DE 20 M, DIAMETRO MAXIMO DE 1500 MM, POTENCIA INSTALADA DE 137 HP, MESA ROTATIVA COM TORQUE MAXIMO DE 30 KNM - CHI DIURNO. AF_06/2015 - SINAPI - 90681</t>
  </si>
  <si>
    <t>1546</t>
  </si>
  <si>
    <t xml:space="preserve">PERFURATRIZ HIDRAULICA SOBRE CAMINHAO COM TRADO CURTO ACOPLADO, PROFUNDIDADE MAXIMA DE 20 M, DIAMETRO MAXIMO DE 1500 MM, POTENCIA INSTALADA DE 137 HP, MESA ROTATIVA COM TORQUE MAXIMO DE 30 KNM - CHP DIURNO. AF_06/2015 - SINAPI - 90680</t>
  </si>
  <si>
    <t>1545</t>
  </si>
  <si>
    <t xml:space="preserve">PILAR QUADRADO NAO APARELHADO *15 X 15* CM, EM MACARANDUBA/MASSARANDUBA, ANGELIM OU EQUIVALENTE DA REGIAO - BRUTA - SINAPI - 00035275</t>
  </si>
  <si>
    <t>1748</t>
  </si>
  <si>
    <t xml:space="preserve">PINGADEIRA PLASTICA PARA TELHA DE FIBROCIMENTO CANALETE 49/KALHETA OU CANALETE 90/KALHETAO - SINAPI - 00011091</t>
  </si>
  <si>
    <t>1081</t>
  </si>
  <si>
    <t xml:space="preserve">PINO DE ACO COM FURO, HASTE = 27 MM (ACAO DIRETA) - SINAPI - 00037395</t>
  </si>
  <si>
    <t>3363</t>
  </si>
  <si>
    <t xml:space="preserve">PINO DE ACO COM ROSCA 1/4 ", COMPRIMENTO DA HASTE = 30 MM E ROSCA = 20 MM (ACAO DIRETA) - SINAPI - 00014147</t>
  </si>
  <si>
    <t>3362</t>
  </si>
  <si>
    <t>6609</t>
  </si>
  <si>
    <t xml:space="preserve">PINO ROSCA EXTERNA, EM ACO GALVANIZADO, PARA ISOLADOR DE 15KV, DIAMETRO 25 MM, COMPRIMENTO *290* MM - SINAPI - 00000444</t>
  </si>
  <si>
    <t>3329</t>
  </si>
  <si>
    <t xml:space="preserve">PINTOR COM ENCARGOS COMPLEMENTARES - SINAPI - 88310</t>
  </si>
  <si>
    <t>4012</t>
  </si>
  <si>
    <t xml:space="preserve">PINTURA COM TINTA ALQUIDICA DE ACABAMENTO (ESMALTE SINTETICO ACETINADO) APLICADA A ROLO OU PINCEL SOBRE SUPERFICIES METALICAS (EXCETO PERFIL) EXECUTADO EM OBRA (02 DEMAOS). AF_01/2020 - SINAPI - 100758</t>
  </si>
  <si>
    <t>6317</t>
  </si>
  <si>
    <t xml:space="preserve">PINTURA COM TINTA ALQUIDICA DE ACABAMENTO (ESMALTE SINTETICO BRILHANTE) PULVERIZADA SOBRE SUPERFICIES METALICAS (EXCETO PERFIL) EXECUTADO EM OBRA (02 DEMAOS). AF_01/2020_PE - SINAPI - 100759</t>
  </si>
  <si>
    <t>1638</t>
  </si>
  <si>
    <t>1722</t>
  </si>
  <si>
    <t xml:space="preserve">PINTURA COM TINTA ALQUIDICA DE FUNDO (TIPO ZARCAO) PULVERIZADA SOBRE PERFIL METALICO EXECUTADO EM FABRICA (POR DEMAO). AF_01/2020_PE - SINAPI - 100719</t>
  </si>
  <si>
    <t>6399</t>
  </si>
  <si>
    <t xml:space="preserve">PINTURA HIDROFUGANTE SOBRE SUPERFICIES DE TIJOLO A VISTA OU CONCRETO APARENTE, COM UMA DEMAO (COMP. 1901003335)</t>
  </si>
  <si>
    <t>2754</t>
  </si>
  <si>
    <t xml:space="preserve">PINTURA LATEX ACRILICA ECONOMICA, APLICACAO MANUAL EM PAREDES, DUAS DEMAOS. AF_04/2023 - SINAPI - 104641</t>
  </si>
  <si>
    <t>1747</t>
  </si>
  <si>
    <t xml:space="preserve">PINTURA LATEX ACRILICA PREMIUM, APLICACAO MANUAL EM PAREDES, DUAS DEMAOS. AF_04/2023 - SINAPI - 88489</t>
  </si>
  <si>
    <t>6314</t>
  </si>
  <si>
    <t xml:space="preserve">PINTURA TINTA DE ACABAMENTO (PIGMENTADA) ESMALTE SINTETICO FOSCO EM MADEIRA, 2 DEMAOS. AF_01/2021 - SINAPI - 102218</t>
  </si>
  <si>
    <t>1729</t>
  </si>
  <si>
    <t xml:space="preserve">PISO DE CONCRETO FCK=20 MPA, VIBRADO EM OBRA, CONTROLE B, ESPESSURA 10CM, ARMADO, ACABAMENTO POLIDO COM ACABADORA DE SUPERFICIE, JUNTA SERRADA (COMP. 1701000148)</t>
  </si>
  <si>
    <t>1675</t>
  </si>
  <si>
    <t xml:space="preserve">PISO TATIL / PODOTATIL, LADRILHO HIDRAULICO/CONCRETO, *40 X 40* CM, E= 2,5* CM, PADRAO TATIL ALERTA OU DIRECIONAL, COR NATURAL - SINAPI - 00036178</t>
  </si>
  <si>
    <t>8727</t>
  </si>
  <si>
    <t>8728</t>
  </si>
  <si>
    <t xml:space="preserve">PISO TATIL ALERTA OU DIRECIONAL, DE BORRACHA, COLORIDO, 25 X 25 CM, E = 5 MM, PARA COLA - SINAPI - 00038181</t>
  </si>
  <si>
    <t>2707</t>
  </si>
  <si>
    <t xml:space="preserve">PISO TATIL DE ALERTA OU DIRECIONAL, DE BORRACHA, COLORIDO, 25 X 25 CM, E = 12 MM, PARA ARGAMASSA - SINAPI - 00038186</t>
  </si>
  <si>
    <t>2709</t>
  </si>
  <si>
    <t xml:space="preserve">PISO TATIL, ALERTA EM PLACA CIMENTICIA 25X25X2,5CM</t>
  </si>
  <si>
    <t>8725</t>
  </si>
  <si>
    <t xml:space="preserve">PISO TATIL, ALERTA EM PLACA CIMENTICIA 40X40X2,5CM, ASSENTADO COM ARGAMASSA TRACO 1:3 JUNTA 0,5CM COM TRACO 1:4 (COMP. 2401003010)</t>
  </si>
  <si>
    <t>1677</t>
  </si>
  <si>
    <t xml:space="preserve">PISO TATIL, DIRECIONAL EM PLACA CIMENTICIA 25X25x2,5CM</t>
  </si>
  <si>
    <t>8726</t>
  </si>
  <si>
    <t xml:space="preserve">PISO TATIL, DIRECIONAL EM PLACA CIMENTICIA 25X25X2,5CM, ASSENTADO COM ARGAMASSA TRACO 1:3 JUNTA 0,5CM COM TRACO 1:4 (COMP. 2401003005)</t>
  </si>
  <si>
    <t>1678</t>
  </si>
  <si>
    <t xml:space="preserve">PISO TIPO PORCELANATO ACETINADO, PLACAS DE (73 X 73)CM, TIPO A, LINHA MADRI, BORDA RETIFICADO DA DELTA</t>
  </si>
  <si>
    <t>3489</t>
  </si>
  <si>
    <t xml:space="preserve">PISO VINILICO CLICADO, ESP=5MM, EM REGUAS DE 1,52 X 0,18M , COR MEL, LINHA TECH AMBIENTA DA TARKETT OU SIMILAR</t>
  </si>
  <si>
    <t>1689</t>
  </si>
  <si>
    <t xml:space="preserve">PLACA DE ACRILICO TRANSPARENTE ADESIVADA PARA SINALIZACAO DE PORTAS, BORDA POLIDA, DE *25 X 8*, E = 6 MM (NAO INCLUI ACESSORIOS PARA FIXACAO) - SINAPI - 00010851</t>
  </si>
  <si>
    <t>6069</t>
  </si>
  <si>
    <t xml:space="preserve">PLACA DE ADVERTENCIA EM PVC (20X30)CM, COM OS DIZERES: "ESTA CHAVE NAO DEVE SER MANOBRADA"</t>
  </si>
  <si>
    <t>7257</t>
  </si>
  <si>
    <t xml:space="preserve">PLACA DE ADVERTENCIA EM PVC (20X30)CM, COM OS DIZERES: "PERIGO DE MORTE"</t>
  </si>
  <si>
    <t>7258</t>
  </si>
  <si>
    <t xml:space="preserve">PLACA DE OBRA (PARA CONSTRUCAO CIVIL) EM CHAPA GALVANIZADA *N. 22*, ADESIVADA, DE *2,4 X 1,2* M (SEM POSTES PARA FIXACAO) - SINAPI - 00004813</t>
  </si>
  <si>
    <t>1136</t>
  </si>
  <si>
    <t>8486</t>
  </si>
  <si>
    <t xml:space="preserve">PLACA DE SINALIZACAO DE SEGURANCA CONTRA INCENDIO - ALERTA, TRIANGULAR, BASE DE *30* CM, EM PVC *2* MM ANTI-CHAMAS (SIMBOLOS, CORES E PICTOGRAMAS CONFORME NBR 16820) - SINAPI - 00037560</t>
  </si>
  <si>
    <t>8485</t>
  </si>
  <si>
    <t xml:space="preserve">PLACA DE SINALIZACAO DE SEGURANCA CONTRA INCENDIO, FOTOLUMINESCENTE, QUADRADA, *20 X 20* CM, EM PVC *2* MM ANTI-CHAMAS (SIMBOLOS, CORES E PICTOGRAMAS CONFORME NBR 16820) - SINAPI - 00037556</t>
  </si>
  <si>
    <t>8488</t>
  </si>
  <si>
    <t xml:space="preserve">PLACA DE SINALIZACAO DE SEGURANCA CONTRA INCENDIO, FOTOLUMINESCENTE, RETANGULAR, *13 X 26* CM, EM PVC *2* MM ANTI-CHAMAS (SIMBOLOS, CORES E PICTOGRAMAS CONFORME NBR 16820) - SINAPI - 00037539</t>
  </si>
  <si>
    <t>8487</t>
  </si>
  <si>
    <t xml:space="preserve">PLACA DE VENTILACAO PARA TELHA DE FIBROCIMENTO, CANALETE 90 OU KALHETAO - SINAPI - 00004307</t>
  </si>
  <si>
    <t>1219</t>
  </si>
  <si>
    <t xml:space="preserve">PLACA SINALIZADORA NA COR VERMELHA, (15X20)CM PARA INDICAR BOMBA DE INCENDIO</t>
  </si>
  <si>
    <t>6619</t>
  </si>
  <si>
    <t>6473</t>
  </si>
  <si>
    <t>6474</t>
  </si>
  <si>
    <t xml:space="preserve">PLACA TATIL EM ACRILICO COM LETRAS EM ALTO RELEVO E BRAILLE (30X14)CM PARA SINALIZACAO DE PORTAS DIVERSAS, FIXADAS POR ADESIVOS DUPLA FACE, DA ANLIK OU SIMILAR</t>
  </si>
  <si>
    <t>6386</t>
  </si>
  <si>
    <t xml:space="preserve">PLACA TATIL EM ACRILICO COM LETRAS EM ALTO RELEVO E BRAILLE (30X9)CM PARA SINALIZACAO DE PORTAS DIVERSAS FIXADAS POR ADESIVOS DUPLA FACE, DA ANLIK OU SIMILAR</t>
  </si>
  <si>
    <t>6385</t>
  </si>
  <si>
    <t>2704</t>
  </si>
  <si>
    <t xml:space="preserve">PLACA VIBRATORIA REVERSIVEL COM MOTOR 4 TEMPOS A GASOLINA, FORCA CENTRIFUGA DE 25 KN (2500 KGF), POTENCIA 5,5 CV - CHP DIURNO. AF_08/2015 - SINAPI - 91277</t>
  </si>
  <si>
    <t>6410</t>
  </si>
  <si>
    <t xml:space="preserve">POCEIRO COM ENCARGOS COMPLEMENTARES - SINAPI - 88313</t>
  </si>
  <si>
    <t>4013</t>
  </si>
  <si>
    <t xml:space="preserve">POLIDORA DE PISO (POLITRIZ), PESO DE 100KG, DIAMETRO 450 MM, MOTOR ELETRICO, POTENCIA 4 HP - CHI DIURNO. AF_05/2023 - SINAPI - 95277</t>
  </si>
  <si>
    <t>1670</t>
  </si>
  <si>
    <t xml:space="preserve">POLIDORA DE PISO (POLITRIZ), PESO DE 100KG, DIAMETRO 450 MM, MOTOR ELETRICO, POTENCIA 4 HP - CHP DIURNO. AF_05/2023 - SINAPI - 95276</t>
  </si>
  <si>
    <t>8516</t>
  </si>
  <si>
    <t xml:space="preserve">PONTALETE *7,5 X 7,5* CM EM PINUS, MISTA OU EQUIVALENTE DA REGIAO - BRUTA - SINAPI - 00004491</t>
  </si>
  <si>
    <t>7438</t>
  </si>
  <si>
    <t xml:space="preserve">PONTALETE ROLICO SEM TRATAMENTO, D = 8 A 11 CM, H = 3 M, EM EUCALIPTO OU EQUIVALENTE DA REGIAO - BRUTA (PARA ESCORAMENTO) - SINAPI - 00002745</t>
  </si>
  <si>
    <t>1646</t>
  </si>
  <si>
    <t xml:space="preserve">PONTALETE ROLICO SEM TRATAMENTO, D = 8 A 11 CM, H = 6 M, EM EUCALIPTO OU EQUIVALENTE DA REGIAO - BRUTA (PARA ESCORAMENTO) - SINAPI - 00014439</t>
  </si>
  <si>
    <t>1137</t>
  </si>
  <si>
    <t xml:space="preserve">PORCA OLHAL M 16, EM ACO GALVANIZADO, DIAMETRO = 16 MM - SINAPI - 00000421</t>
  </si>
  <si>
    <t>1535</t>
  </si>
  <si>
    <t xml:space="preserve">PORCA ZINCADA, SEXTAVADA, DIAMETRO 1/4" - SINAPI - 00039997</t>
  </si>
  <si>
    <t>6440</t>
  </si>
  <si>
    <t xml:space="preserve">PORTA CADEADO EM ACO GALVANIZADO, COMPRIMENTO DE 3 1/2" - SINAPI - 00005088</t>
  </si>
  <si>
    <t>6102</t>
  </si>
  <si>
    <t xml:space="preserve">PORTA DE ABRIR / GIRO, DE MADEIRA FOLHA MEDIA (NBR 15930) DE 1000 X 2100 MM, DE 35 MM A 40 MM DE ESPESSURA, NUCLEO SEMI-SOLIDO (SARRAFEADO), CAPA LISA EM HDF, ACABAMENTO EM LAMINADO NATURAL PARA VERNIZ - SINAPI - 00004989</t>
  </si>
  <si>
    <t>1204</t>
  </si>
  <si>
    <t xml:space="preserve">PORTA DE CORRER EM VIDRO, ESTRUTURA EM ALUMINIO, LINHA SUPREMA, ACABAMENTO ANODIZADO FOSCO NA COR PRETA/BRANCA, CONTRAMARCO, EXCLUSIVE VIDROS</t>
  </si>
  <si>
    <t>1872</t>
  </si>
  <si>
    <t xml:space="preserve">PORTA DE GIRO EM ALUMINIO TIPO LAMBRIL, LINHA SUPREMA, ACABAMENTO ANODIZADO FOSCO NA COR PRETA/BRANCA, CONTRAMARCO</t>
  </si>
  <si>
    <t>1895</t>
  </si>
  <si>
    <t xml:space="preserve">PORTA DE GIRO EM ALUMINIO TIPO VENEZIANA, LINHA SUPREMA, ACABAMENTO ANODIZADO FOSCO NA COR PRETA/BRANCA, COM CONTRAMARCO</t>
  </si>
  <si>
    <t>1719</t>
  </si>
  <si>
    <t xml:space="preserve">PORTA DE GIRO EM VIDRO ESTRUTURA EM ALUMINIO, LINHA SUPREMA, ACABAMENTO ANODIZADO FOSCO NA COR PRETA/BRANCA, CONTRAMARCO, EXCLUSIVE VIDROS</t>
  </si>
  <si>
    <t>1871</t>
  </si>
  <si>
    <t xml:space="preserve">PORTA DE MADEIRA PARA PINTURA, SEMI-OCA (LEVE OU MEDIA), 70X210CM, ESPESSURA DE 3,5CM, INCLUSO DOBRADICAS - FORNECIMENTO E INSTALACAO. AF_12/2019 - SINAPI - 90821</t>
  </si>
  <si>
    <t>1789</t>
  </si>
  <si>
    <t xml:space="preserve">PORTA DE MADEIRA PARA PINTURA, SEMI-OCA (LEVE OU MEDIA), 80X210CM, ESPESSURA DE 3,5CM, INCLUSO DOBRADICAS - FORNECIMENTO E INSTALACAO. AF_12/2019 - SINAPI - 90822</t>
  </si>
  <si>
    <t>1790</t>
  </si>
  <si>
    <t xml:space="preserve">PORTA DE MADEIRA, FOLHA MEDIA (NBR 15930) DE 800 X 2100 MM, DE 35 MM A 40 MM DE ESPESSURA, NUCLEO SEMI-SOLIDO (SARRAFEADO), CAPA LISA EM HDF, ACABAMENTO EM PRIMER PARA PINTURA - SINAPI - 00010555</t>
  </si>
  <si>
    <t>1109</t>
  </si>
  <si>
    <t xml:space="preserve">PORTA EM ACO DE ABRIR TIPO VENEZIANA SEM GUARNICAO, 87X210CM, FIXACAO COM PARAFUSOS - FORNECIMENTO E INSTALACAO. AF_12/2019 - SINAPI - 94807</t>
  </si>
  <si>
    <t>6321</t>
  </si>
  <si>
    <t xml:space="preserve">PORTA EM ALUMINIO DE ABRIR TIPO VENEZIANA COM GUARNICAO, FIXACAO COM PARAFUSOS - FORNECIMENTO E INSTALACAO. AF_12/2019 - SINAPI - 91341</t>
  </si>
  <si>
    <t>6357</t>
  </si>
  <si>
    <t xml:space="preserve">PORTA GRELHA E GRELHA DE PVC CROMADOS 150MM REDONDO</t>
  </si>
  <si>
    <t>8376</t>
  </si>
  <si>
    <t xml:space="preserve">POSTE CONICO CONTINUO EM ACO GALVANIZADO, CURVO, BRACO DUPLO, ENGASTADO, H = 9 M, DIAMETRO INFERIOR/BASE = *135* MM - SINAPI - 00014164</t>
  </si>
  <si>
    <t>1879</t>
  </si>
  <si>
    <t xml:space="preserve">POSTE CONICO CONTINUO EM ACO GALVANIZADO, CURVO, BRACO SIMPLES, ENGASTADO, H = 9 M, DIAMETRO INFERIOR = *135* MM - SINAPI - 00005051</t>
  </si>
  <si>
    <t>1878</t>
  </si>
  <si>
    <t xml:space="preserve">POSTE DE CONCRETO ARMADO DE SECAO CIRCULAR, EXTENSAO DE 10,00 M, RESISTENCIA DE 150 A 200 DAN, TIPO C-14 - SINAPI - 00012366</t>
  </si>
  <si>
    <t>3341</t>
  </si>
  <si>
    <t xml:space="preserve">POSTE DE CONCRETO ARMADO DE SECAO CIRCULAR, EXTENSAO DE 11,00 M, RESISTENCIA DE 300 A 400 DAN, TIPO C-17 - SINAPI - 00005035</t>
  </si>
  <si>
    <t>3358</t>
  </si>
  <si>
    <t xml:space="preserve">POSTE DE CONCRETO ARMADO DE SECAO CIRCULAR, EXTENSAO DE 13,00 M, RESISTENCIA DE 1500 DAN, TIPO C-29 - SINAPI - 00041181</t>
  </si>
  <si>
    <t>1658</t>
  </si>
  <si>
    <t xml:space="preserve">POSTE DE CONCRETO ARMADO DE SECAO DUPLO T, EXTENSAO DE 10,00 M, RESISTENCIA DE 150 DAN, TIPO D - SINAPI - 00041199</t>
  </si>
  <si>
    <t>3342</t>
  </si>
  <si>
    <t xml:space="preserve">POSTE DE CONCRETO ARMADO DE SECAO DUPLO T, EXTENSAO DE 10,00 M, RESISTENCIA DE 600 DAN, TIPO B - SINAPI - 00041200</t>
  </si>
  <si>
    <t>3343</t>
  </si>
  <si>
    <t xml:space="preserve">POSTE DE CONCRETO ARMADO DE SECAO DUPLO T, EXTENSAO DE 11,00 M, RESISTENCIA DE 300 DAN, TIPO B - SINAPI - 00041203</t>
  </si>
  <si>
    <t>3354</t>
  </si>
  <si>
    <t xml:space="preserve">POSTE DE CONCRETO ARMADO DE SECAO DUPLO T, EXTENSAO DE 11,00 M, RESISTENCIA DE 600 DAN, TIPO B - SINAPI - 00041204</t>
  </si>
  <si>
    <t>3355</t>
  </si>
  <si>
    <t xml:space="preserve">POSTE DE CONCRETO ARMADO DE SECAO DUPLO T, EXTENSAO DE 12,00 M, RESISTENCIA DE 600 DAN, TIPO B - SINAPI - 00041209</t>
  </si>
  <si>
    <t>1537</t>
  </si>
  <si>
    <t xml:space="preserve">POSTE DE CONCRETO ARMADO DE SECAO DUPLO T, EXTENSAO DE 13,00 M, RESISTENCIA DE 1000 DAN, TIPO B-1,5 - SINAPI - 00041216</t>
  </si>
  <si>
    <t>1659</t>
  </si>
  <si>
    <t xml:space="preserve">POSTE DE CONCRETO CAVAN OU SOTEF, DUPLO T 11 M X 400 KG (1147 KG)</t>
  </si>
  <si>
    <t>3347</t>
  </si>
  <si>
    <t xml:space="preserve">POSTE DE CONCRETO CIRCULAR, 600 KG, H = 10 M (NBR 8451)</t>
  </si>
  <si>
    <t>3339</t>
  </si>
  <si>
    <t xml:space="preserve">POSTE DE CONCRETO DUPLO T 7 M X 600 KG</t>
  </si>
  <si>
    <t>6570</t>
  </si>
  <si>
    <t xml:space="preserve">POSTE EM FERRO GALVANIZADO, 4" (6,00 M) CH 3,75MM (SINAPI 7693 X 6M)</t>
  </si>
  <si>
    <t>7100</t>
  </si>
  <si>
    <t xml:space="preserve">POSTE EXTERNO DUPLO EM METAL, COR PRETA, H=3M, LINHA JARDIM, DUAS LUMINARIAS RETANGULARES EM VIDRO TRANSPARENTE TEMPERADO, PARA LAMPADAS E-27 (EXCLUSIVE LAMPADA), REF. 21 387 3014 DA FEMARTE OU SIMILAR, INCLUSO FIXADORES</t>
  </si>
  <si>
    <t>1881</t>
  </si>
  <si>
    <t xml:space="preserve">POSTE EXTERNO SIMPLES EM METAL, COR PRETA, H=3M, LINHA JARDIM, UMA LUMINARIA RETANGULAR EM VIDRO TRANSPARENTE TEMPERADO, PARA LAMPADA E-27 (EXCLUSIVE LAMPADA), REF. 21 386 3014 DA FEMARTE OU SIMILAR, INCLUSO FIXADORES</t>
  </si>
  <si>
    <t>1880</t>
  </si>
  <si>
    <t>021</t>
  </si>
  <si>
    <t xml:space="preserve">PREGO DE ACO POLIDO COM CABECA 12 X 12 - SINAPI - 00005066</t>
  </si>
  <si>
    <t>1142</t>
  </si>
  <si>
    <t xml:space="preserve">PREGO DE ACO POLIDO COM CABECA 15 X 15 (1 1/4 X 13) - SINAPI - 00020247</t>
  </si>
  <si>
    <t>1143</t>
  </si>
  <si>
    <t xml:space="preserve">PREGO DE ACO POLIDO COM CABECA 17 X 21 (2 X 11) - SINAPI - 00005068</t>
  </si>
  <si>
    <t>1040</t>
  </si>
  <si>
    <t xml:space="preserve">PREGO DE ACO POLIDO COM CABECA 17 X 27 (2 1/2 X 11) - SINAPI - 00005069</t>
  </si>
  <si>
    <t>1039</t>
  </si>
  <si>
    <t xml:space="preserve">PREGO DE ACO POLIDO COM CABECA 18 X 27 (2 1/2 X 10) - SINAPI - 00005061</t>
  </si>
  <si>
    <t>7433</t>
  </si>
  <si>
    <t xml:space="preserve">PREGO DE ACO POLIDO COM CABECA 18 X 30 (2 3/4 X 10) - SINAPI - 00005075</t>
  </si>
  <si>
    <t>1045</t>
  </si>
  <si>
    <t xml:space="preserve">PREGO DE ACO POLIDO COM CABECA DUPLA 17 X 27 (2 1/2 X 11) - SINAPI - 00040304</t>
  </si>
  <si>
    <t>1629</t>
  </si>
  <si>
    <t xml:space="preserve">PREGO DE ACO POLIDO SEM CABECA 15 X 15 (1 1/4 X 13) - SINAPI - 00039026</t>
  </si>
  <si>
    <t>6469</t>
  </si>
  <si>
    <t xml:space="preserve">PREPARO DE FUNDO DE VALA COM LARGURA MAIOR OU IGUAL A 1,5 M E MENOR QUE 2,5 M, COM CAMADA DE BRITA, LANCAMENTO MECANIZADO. AF_08/2020 - SINAPI - 101624</t>
  </si>
  <si>
    <t>1589</t>
  </si>
  <si>
    <t xml:space="preserve">PREPARO DE FUNDO DE VALA COM LARGURA MENOR QUE 1,5 M (ACERTO DO SOLO NATURAL). AF_08/2020 - SINAPI - 101616</t>
  </si>
  <si>
    <t>1592</t>
  </si>
  <si>
    <t xml:space="preserve">PREPARO DE FUNDO DE VALA COM LARGURA MENOR QUE 1,5 M, COM CAMADA DE AREIA, LANCAMENTO MANUAL. AF_08/2020 - SINAPI - 101618</t>
  </si>
  <si>
    <t>1595</t>
  </si>
  <si>
    <t xml:space="preserve">PRESILHA ALUMINIO 70/120 MM FURO 8 MM - TEL0740YT</t>
  </si>
  <si>
    <t>1579</t>
  </si>
  <si>
    <t xml:space="preserve">PRIMER PARA MANTA ASFALTICA A BASE DE ASFALTO MODIFICADO DILUIDO EM SOLVENTE, APLICACAO A FRIO - SINAPI - 00000511</t>
  </si>
  <si>
    <t>6398</t>
  </si>
  <si>
    <t xml:space="preserve">PROLONGAMENTO / PROLONGADOR PARA CAIXA SIFONADA, PVC, 100 MM X 200 MM (NBR 5688) - SINAPI - 00011735</t>
  </si>
  <si>
    <t>2536</t>
  </si>
  <si>
    <t xml:space="preserve">PROLONGAMENTO / PROLONGADOR PARA CAIXA SIFONADA, PVC, 150 MM X 150 MM (NBR 5688) - SINAPI - 00011737</t>
  </si>
  <si>
    <t>2537</t>
  </si>
  <si>
    <t>2703</t>
  </si>
  <si>
    <t xml:space="preserve">QUADRO DE DISTRIBUICAO COM BARRAMENTO TRIFASICO, DE EMBUTIR, EM CHAPA DE ACO GALVANIZADO, PARA 12 DISJUNTORES DIN, 100 A - SINAPI - 00013393</t>
  </si>
  <si>
    <t>7601</t>
  </si>
  <si>
    <t xml:space="preserve">QUADRO DE DISTRIBUICAO COM BARRAMENTO TRIFASICO, DE EMBUTIR, EM CHAPA DE ACO GALVANIZADO, PARA 24 DISJUNTORES DIN, 100 A - SINAPI - 00012039</t>
  </si>
  <si>
    <t>1434</t>
  </si>
  <si>
    <t xml:space="preserve">QUADRO DE DISTRIBUICAO COM BARRAMENTO TRIFASICO, DE EMBUTIR, EM CHAPA DE ACO GALVANIZADO, PARA 28 DISJUNTORES DIN, 100 A - SINAPI - 00013396</t>
  </si>
  <si>
    <t>6387</t>
  </si>
  <si>
    <t xml:space="preserve">QUADRO DE DISTRIBUICAO COM BARRAMENTO TRIFASICO, DE EMBUTIR, EM CHAPA DE ACO GALVANIZADO, PARA 30 DISJUNTORES DIN, 150 A - SINAPI - 00012041</t>
  </si>
  <si>
    <t>1437</t>
  </si>
  <si>
    <t xml:space="preserve">QUADRO DE DISTRIBUICAO COM BARRAMENTO TRIFASICO, DE EMBUTIR, EM CHAPA DE ACO GALVANIZADO, PARA 36 DISJUNTORES DIN, 100 A - SINAPI - 00039762</t>
  </si>
  <si>
    <t>1435</t>
  </si>
  <si>
    <t xml:space="preserve">QUADRO DE DISTRIBUICAO COM BARRAMENTO TRIFASICO, DE EMBUTIR, EM CHAPA DE ACO GALVANIZADO, PARA 48 DISJUNTORES DIN, 100 A - SINAPI - 00039763</t>
  </si>
  <si>
    <t>1436</t>
  </si>
  <si>
    <t xml:space="preserve">QUADRO DE DISTRIBUICAO DE ENERGIA DE EMBUTIR, COM BARRAMENTO TRIFASICO DE 150A, CAPACIDADE PARA 16 MODULOS DIN DA CEMAR OU SIMILAR</t>
  </si>
  <si>
    <t>3429</t>
  </si>
  <si>
    <t xml:space="preserve">QUADRO DE DISTRIBUICAO DE ENERGIA DE EMBUTIR, COM BARRAMENTO TRIFASICO DE 150A, CAPACIDADE PARA 34 MODULOS DIN DA CEMAR OU SIMILAR</t>
  </si>
  <si>
    <t>7607</t>
  </si>
  <si>
    <t xml:space="preserve">QUADRO DE DISTRIBUICAO DE ENERGIA DE EMBUTIR, COM BARRAMENTO TRIFASICO DE 150A, CAPACIDADE PARA 42 MODULOS DIN DA CEMAR OU SIMILAR</t>
  </si>
  <si>
    <t>1439</t>
  </si>
  <si>
    <t xml:space="preserve">QUADRO DE DISTRIBUICAO DE ENERGIA DE EMBUTIR, COM BARRAMENTO TRIFASICO DE 225A, CAPACIDADE PARA 56 MODULOS DIN DA CEMAR OU SIMILAR</t>
  </si>
  <si>
    <t>7609</t>
  </si>
  <si>
    <t xml:space="preserve">QUADRO DE DISTRIBUICAO DE ENERGIA DE EMBUTIR, COM BARRAMENTO TRIFASICO DE 225A, CAPACIDADE PARA 70 MODULOS DIN DA CEMAR OU SIMILAR</t>
  </si>
  <si>
    <t>7610</t>
  </si>
  <si>
    <t xml:space="preserve">QUADRO DE DISTRIBUICAO DE ENERGIA EM CHAPA DE ACO GALVANIZADO, DE EMBUTIR, COM BARRAMENTO TRIFASICO, PARA 18 DISJUNTORES DIN 100A - FORNECIMENTO E INSTALACAO. AF_10/2020 - SINAPI - 101883</t>
  </si>
  <si>
    <t>1727</t>
  </si>
  <si>
    <t xml:space="preserve">QUADRO DE DISTRIBUICAO DE ENERGIA EM CHAPA DE ACO GALVANIZADO, DE EMBUTIR, COM BARRAMENTO TRIFASICO, PARA 24 DISJUNTORES DIN 100A - FORNECIMENTO E INSTALACAO. AF_10/2020 - SINAPI - 101879</t>
  </si>
  <si>
    <t>1726</t>
  </si>
  <si>
    <t xml:space="preserve">QUADRO DE DISTRIBUICAO DE ENERGIA EM PVC, DE EMBUTIR, SEM BARRAMENTO, PARA 6 DISJUNTORES - FORNECIMENTO E INSTALACAO. AF_10/2020 - SINAPI - 101876</t>
  </si>
  <si>
    <t>1922</t>
  </si>
  <si>
    <t xml:space="preserve">QUADRO DE DISTRIBUICAO, SEM BARRAMENTO, EM PVC, DE EMBUTIR, PARA 6 DISJUNTORES NEMA OU 8 DISJUNTORES DIN - SINAPI - 00039795</t>
  </si>
  <si>
    <t>1654</t>
  </si>
  <si>
    <t xml:space="preserve">QUADRO DE DISTRIBUICAO, SEM BARRAMENTO, EM PVC, DE SOBREPOR, PARA 3 DISJUNTORES NEMA OU 4 DISJUNTORES DIN - SINAPI - 00039799</t>
  </si>
  <si>
    <t>1655</t>
  </si>
  <si>
    <t xml:space="preserve">QUADRO PARA CANTEIRO DE OBRAS DE 3X40A, STECK OU SIMILAR, CONTENDO: 2 TOMADAS N4049, 3P+T 16A 220250V, 4 TOMADAS NBR 20A 127V, 1 DISJUNTOR SDD63C40 E PRENSA CABO PG21 - FORNECIMENTO E INSTALACAO</t>
  </si>
  <si>
    <t>6493</t>
  </si>
  <si>
    <t xml:space="preserve">RALO SECO / RALO DE PASSAGEM EM PVC, QUADRADO, 100 X 100 X 53 MM, SAIDA 40 MM, COM GRELHA BRANCA - SINAPI - 00005102</t>
  </si>
  <si>
    <t>2202</t>
  </si>
  <si>
    <t xml:space="preserve">RALO SECO, PVC, DN 100 X 40 MM, JUNTA SOLDAVEL, FORNECIDO E INSTALADO EM RAMAL DE DESCARGA OU EM RAMAL DE ESGOTO SANITARIO. AF_08/2022 - SINAPI - 89710</t>
  </si>
  <si>
    <t>1766</t>
  </si>
  <si>
    <t xml:space="preserve">RAMPA PORTATIL PARA ADEQUACAO DE ACESSO DE CADEIRANTES DE 1.10 X 0.82 X 0.05M DA MULTIRAMPA OU SIMILAR</t>
  </si>
  <si>
    <t>2700</t>
  </si>
  <si>
    <t xml:space="preserve">RASGO LINEAR MANUAL EM ALVENARIA, PARA RAMAIS/ DISTRIBUICAO DE INSTALACOES HIDRAULICAS, DIAMETROS MAIORES QUE 40 MM E MENORES OU IGUAIS A 75 MM. AF_09/2023 - SINAPI - 91222</t>
  </si>
  <si>
    <t>1791</t>
  </si>
  <si>
    <t xml:space="preserve">RASGO LINEAR MANUAL EM ALVENARIA, PARA RAMAIS/ DISTRIBUICAO DE INSTALACOES HIDRAULICAS, DIAMETROS MENORES OU IGUAIS A 40 MM. AF_09/2023 - SINAPI - 90443</t>
  </si>
  <si>
    <t>1786</t>
  </si>
  <si>
    <t xml:space="preserve">REATERRO MANUAL APILOADO COM SOQUETE (COMP. 0401001113)</t>
  </si>
  <si>
    <t>6304</t>
  </si>
  <si>
    <t>3441</t>
  </si>
  <si>
    <t xml:space="preserve">REATOR RVS 400W - 26 OC - IG, COM IGNITOR - (220V)</t>
  </si>
  <si>
    <t>7402</t>
  </si>
  <si>
    <t xml:space="preserve">REBITE DE REPUXO EM ALUMINIO VAZADO, DIAMETRO 3,2 X 8 MM DE COMPRIMENTO (1KG = 1025 UNIDADES) - SINAPI - 00005104</t>
  </si>
  <si>
    <t>1624</t>
  </si>
  <si>
    <t xml:space="preserve">REBOLO ABRASIVO RETO DE USO GERAL GRAO 36, DE 6 X 1" (DIAMETRO X ESPESSURA) - SINAPI - 00044530</t>
  </si>
  <si>
    <t>1663</t>
  </si>
  <si>
    <t xml:space="preserve">REFLETOR HOLOFOTE LED 400W IP-66 A PROVA D'AGUA BRANCO FRIO 6000K</t>
  </si>
  <si>
    <t>1612</t>
  </si>
  <si>
    <t xml:space="preserve">REFLETOR RETANGULAR FECHADO LED, REF. FLOOD LIGHT IP 68, 200W, 21.000LMS, COM DOIS MODULOS DA RCA, DIGITAL LED OU SIMILAR</t>
  </si>
  <si>
    <t>3495</t>
  </si>
  <si>
    <t xml:space="preserve">REGISTRO DE ESFERA, PVC, SOLDAVEL, COM VOLANTE, DN 25 MM - FORNECIMENTO E INSTALACAO. AF_08/2021 - SINAPI - 94489</t>
  </si>
  <si>
    <t>1832</t>
  </si>
  <si>
    <t xml:space="preserve">REGISTRO DE ESFERA, PVC, SOLDAVEL, COM VOLANTE, DN 40 MM - FORNECIMENTO E INSTALACAO. AF_08/2021 - SINAPI - 94491</t>
  </si>
  <si>
    <t>1833</t>
  </si>
  <si>
    <t xml:space="preserve">REGISTRO DE GAVETA BRUTO, LATAO, ROSCAVEL, 1 1/4", COM ACABAMENTO E CANOPLA CROMADOS - FORNECIMENTO E INSTALACAO. AF_08/2021 - SINAPI - 94793</t>
  </si>
  <si>
    <t>1847</t>
  </si>
  <si>
    <t xml:space="preserve">REGISTRO DE GAVETA BRUTO, LATAO, ROSCAVEL, 1", COM ACABAMENTO E CANOPLA CROMADOS - FORNECIMENTO E INSTALACAO. AF_08/2021 - SINAPI - 94792</t>
  </si>
  <si>
    <t>1846</t>
  </si>
  <si>
    <t xml:space="preserve">REGISTRO DE PRESSAO, PVC, SOLDAVEL, VOLANTE SIMPLES, DN 25 MM - FORNECIMENTO E INSTALACAO. AF_08/2021 - SINAPI - 103049</t>
  </si>
  <si>
    <t>1736</t>
  </si>
  <si>
    <t>038</t>
  </si>
  <si>
    <t xml:space="preserve">REGISTRO GAVETA BRUTO EM LATAO FORJADO, BITOLA 1 1/2" - SINAPI - 00006010</t>
  </si>
  <si>
    <t>2403</t>
  </si>
  <si>
    <t xml:space="preserve">REGISTRO GAVETA BRUTO EM LATAO FORJADO, BITOLA 2 1/2" - SINAPI - 00006011</t>
  </si>
  <si>
    <t>2400</t>
  </si>
  <si>
    <t xml:space="preserve">REGISTRO GAVETA BRUTO EM LATAO FORJADO, BITOLA 3" - SINAPI - 00006012</t>
  </si>
  <si>
    <t>2401</t>
  </si>
  <si>
    <t xml:space="preserve">REGISTRO GAVETA COM ACABAMENTO E CANOPLA CROMADOS, SIMPLES, BITOLA 3/4" - SINAPI - 00006005</t>
  </si>
  <si>
    <t>2410</t>
  </si>
  <si>
    <t xml:space="preserve">REGISTRO OU VALVULA GLOBO ANGULAR EM LATAO, PARA HIDRANTES EM INSTALACAO PREDIAL DE INCENDIO, 45 GRAUS, DIAMETRO DE 2 1/2", COM VOLANTE, CLASSE DE PRESSAO DE ATE 200 PSI - SINAPI - 00010904</t>
  </si>
  <si>
    <t>8459</t>
  </si>
  <si>
    <t xml:space="preserve">REGISTRO PRESSAO COM ACABAMENTO E CANOPLA CROMADA, SIMPLES, BITOLA 3/4" - SINAPI - 00006024</t>
  </si>
  <si>
    <t>2414</t>
  </si>
  <si>
    <t xml:space="preserve">REGUA COM 12 TOMADAS 2P+T 250V., COM CABO TIPO FILTRO DE LINHA PARA RACK</t>
  </si>
  <si>
    <t>1704</t>
  </si>
  <si>
    <t xml:space="preserve">REGULARIZACAO DE SUPERFICIE, COM ARGAMASSA DE CIMENTO E AREIA NO TRACO 1:3, ESPESSURA 2 CM (COMP. 0701000102)</t>
  </si>
  <si>
    <t>6308</t>
  </si>
  <si>
    <t xml:space="preserve">REGULARIZACAO E COMPACTACAO MANUAL DE TERRENO COM SOQUETE (COMP. 0401001109)</t>
  </si>
  <si>
    <t>6303</t>
  </si>
  <si>
    <t xml:space="preserve">REJUNTE CIMENTICIO, QUALQUER COR - SINAPI - 00034357</t>
  </si>
  <si>
    <t>2730</t>
  </si>
  <si>
    <t>6063</t>
  </si>
  <si>
    <t xml:space="preserve">REJUNTE EPOXI, QUALQUER COR - SINAPI - 00037329</t>
  </si>
  <si>
    <t>2736</t>
  </si>
  <si>
    <t xml:space="preserve">RELE DE SOBRECORRENTE MOD. 3US50 DE (4 A 6,3)A SIEMENS, WEG OU SIMILAR</t>
  </si>
  <si>
    <t>6624</t>
  </si>
  <si>
    <t xml:space="preserve">RELE DE SOBRECORRENTE MOD. 3US55 DE (16 A 25)A SIEMENS, WEG OU SIMILAR</t>
  </si>
  <si>
    <t>6625</t>
  </si>
  <si>
    <t xml:space="preserve">RELE DE SOBRECORRENTE MOD. 3US55 DE (25 A 32)A SIEMENS OU SIMILAR</t>
  </si>
  <si>
    <t>6626</t>
  </si>
  <si>
    <t xml:space="preserve">RELE DE SOBRECORRENTE MOD. 3US56 DE (36 A 45)A SIEMENS, WEG OU SIMILAR</t>
  </si>
  <si>
    <t>6631</t>
  </si>
  <si>
    <t xml:space="preserve">RELE DE SOBRECORRENTE MOD. 3US58 DE (40 A 57)A SIEMENS, WEG OU SIMILAR</t>
  </si>
  <si>
    <t>6627</t>
  </si>
  <si>
    <t xml:space="preserve">RELE FALTA DE FASE SEM NEUTRO 220V - 50/60HZ - WEG OU SIMILAR</t>
  </si>
  <si>
    <t>6623</t>
  </si>
  <si>
    <t xml:space="preserve">RELE FOTOELETRICO INTERNO E EXTERNO BIVOLT 1000 W, DE CONECTOR, SEM BASE - SINAPI - 00002510</t>
  </si>
  <si>
    <t>7180</t>
  </si>
  <si>
    <t xml:space="preserve">RENOVADORES DE AR PARA BANHEIRO COM SENSOR, MOD. VENTOKIT 150, CAPACIDADE DE 150M/H, KIT COMPLETO</t>
  </si>
  <si>
    <t>1618</t>
  </si>
  <si>
    <t xml:space="preserve">REPARO PARA VALVULA HYDRA-DECA (REDONDA), REF. 4686884</t>
  </si>
  <si>
    <t>2415</t>
  </si>
  <si>
    <t xml:space="preserve">RESERVATORIO METALICO TIPO TACA C/ COLUNA SECA DE 10.000 LITROS - H=6,00M, INCLUSIVE CHUMBADOR, PROJ. P/ BASE E INSTALACAO (TRANSPORTE E ICAMENTO)</t>
  </si>
  <si>
    <t>8032</t>
  </si>
  <si>
    <t xml:space="preserve">RESERVATORIO METALICO TIPO TACA C/ COLUNA SECA DE 15.000 LITROS - H=6,00M, INCLUSIVE CHUMBADOR, PROJ. P/ BASE E INSTALACAO (TRANSPORTE E ICAMENTO)</t>
  </si>
  <si>
    <t>8033</t>
  </si>
  <si>
    <t xml:space="preserve">RESERVATORIO METALICO TIPO TACA C/ COLUNA SECA DE 20.000 LITROS - H=7,20M, INCLUSIVE CHUMBADOR, PROJ. P/ BASE E INSTALACAO (TRANSPORTE E ICAMENTO)</t>
  </si>
  <si>
    <t>8034</t>
  </si>
  <si>
    <t xml:space="preserve">RESERVATORIO METALICO TIPO TACA C/ COLUNA SECA DE 5.000 LITROS - H=4,50M, INCLUSIVE CHUMBADOR, PROJ. P/ BASE E INSTALACAO (TRANSPORTE E ICAMENTO)</t>
  </si>
  <si>
    <t>8031</t>
  </si>
  <si>
    <t xml:space="preserve">RESINA ACRILICA PREMIUM BASE AGUA - COR BRANCA - SINAPI - 00007353</t>
  </si>
  <si>
    <t>6532</t>
  </si>
  <si>
    <t xml:space="preserve">RETROESCAVADEIRA SOBRE RODAS COM CARREGADEIRA, TRACAO 4X4, POTENCIA LIQ. 88 HP, CACAMBA CARREG. CAP. MIN. 1 M3, CACAMBA RETRO CAP. 0,26 M3, PESO OPERACIONAL MIN. 6.674 KG, PROFUNDIDADE ESCAVACAO MAX. 4,37 M - CHI DIURNO. AF_06/2014 - SINAPI - 5679</t>
  </si>
  <si>
    <t>1594</t>
  </si>
  <si>
    <t xml:space="preserve">RETROESCAVADEIRA SOBRE RODAS COM CARREGADEIRA, TRACAO 4X4, POTENCIA LIQ. 88 HP, CACAMBA CARREG. CAP. MIN. 1 M3, CACAMBA RETRO CAP. 0,26 M3, PESO OPERACIONAL MIN. 6.674 KG, PROFUNDIDADE ESCAVACAO MAX. 4,37 M - CHP DIURNO. AF_06/2014 - SINAPI - 5678</t>
  </si>
  <si>
    <t>1593</t>
  </si>
  <si>
    <t xml:space="preserve">REVESTIMENTO CERAMICO BORDA BOLD (30 X 60)CM, LINHA WHITE PLAIN MATTE, DA PORTINARI</t>
  </si>
  <si>
    <t>2727</t>
  </si>
  <si>
    <t xml:space="preserve">REVESTIMENTO CERAMICO PARA PAREDES INTERNAS COM PLACAS TIPO ESMALTADA DE DIMENSOES 20X20 CM APLICADAS A MEIA ALTURA DAS PAREDES. AF_02/2023_PE - SINAPI - 87267</t>
  </si>
  <si>
    <t>1753</t>
  </si>
  <si>
    <t xml:space="preserve">REVESTIMENTO CERAMICO PARA PISO COM PLACAS TIPO ESMALTADA DE DIMENSOES 35X35 CM APLICADA EM AMBIENTES DE AREA MENOR QUE 5 M2. AF_02/2023_PE - SINAPI - 87246</t>
  </si>
  <si>
    <t>1823</t>
  </si>
  <si>
    <t xml:space="preserve">REVESTIMENTO DE ACABAMENTO ARRANHADO, VELUTEX 20KG</t>
  </si>
  <si>
    <t>1322</t>
  </si>
  <si>
    <t xml:space="preserve">REVESTIMENTO PARA PAREDE, EM CERAMICA ESMALTADA, FORMATO MENOR OU IGUAL A 2025 CM2 - SINAPI - 00000536</t>
  </si>
  <si>
    <t>6053</t>
  </si>
  <si>
    <t xml:space="preserve">REVESTIMENTO TIPO PORCELANATO ACETINADO, PLACAS DE (60 X 60)CM, TIPO A, BORDA RETIFICADO, LINHA CEMENTO GRIGIO DA BIANCOGRES</t>
  </si>
  <si>
    <t>2728</t>
  </si>
  <si>
    <t xml:space="preserve">REVESTIMENTO TIPO PORCELANATO ACETINADO, PLACAS DE (87 X 87)CM, TIPO A, LINHA YORK, COR SGR, REF. 59800, BORDA RETIFICADA DA PORTINARI OU SIMILAR</t>
  </si>
  <si>
    <t>1711</t>
  </si>
  <si>
    <t xml:space="preserve">RIPA NAO APARELHADA *1 X 3* CM, EM MACARANDUBA/MASSARANDUBA, ANGELIM OU EQUIVALENTE DA REGIAO - BRUTA - SINAPI - 00004412</t>
  </si>
  <si>
    <t>6403</t>
  </si>
  <si>
    <t xml:space="preserve">RIPA NAO APARELHADA, *1,5 X 5* CM, EM MACARANDUBA/MASSARANDUBA, ANGELIM OU EQUIVALENTE DA REGIAO - BRUTA - SINAPI - 00004408</t>
  </si>
  <si>
    <t>1145</t>
  </si>
  <si>
    <t xml:space="preserve">RODAPE OU RODABANCADA EM GRANITO, POLIDO, TIPO ANDORINHA/ QUARTZ/ CASTELO/ CORUMBA OU OUTROS EQUIVALENTES DA REGIAO, H= 10 CM, E= *2,0* CM - SINAPI - 00020231</t>
  </si>
  <si>
    <t>3510</t>
  </si>
  <si>
    <t xml:space="preserve">RODAPE PRE-MOLDADO DE GRANILITE, MARMORITE OU GRANITINA L = 10 CM - SINAPI - 00034680</t>
  </si>
  <si>
    <t>6025</t>
  </si>
  <si>
    <t xml:space="preserve">ROLO COMPACTADOR DE PNEUS ESTATICO, PRESSAO VARIAVEL, POTENCIA 111 HP, PESO SEM/COM LASTRO 9,5 / 26 T, LARGURA DE TRABALHO 1,90 M - CHP DIURNO. AF_07/2014 - SINAPI - 6879</t>
  </si>
  <si>
    <t>8514</t>
  </si>
  <si>
    <t xml:space="preserve">ROLO COMPACTADOR PE DE CARNEIRO VIBRATORIO, POTENCIA 125 HP, PESO OPERACIONAL SEM/COM LASTRO 11,95 / 13,30 T, IMPACTO DINAMICO 38,5 / 22,5 T, LARGURA DE TRABALHO 2,15 M - CHP DIURNO. AF_06/2014 - SINAPI - 7049</t>
  </si>
  <si>
    <t>6415</t>
  </si>
  <si>
    <t xml:space="preserve">RUFO EXTERNO/INTERNO EM CHAPA DE ACO GALVANIZADO NUMERO 26, CORTE DE 33 CM, INCLUSO ICAMENTO. AF_07/2019 - SINAPI - 100327</t>
  </si>
  <si>
    <t>1637</t>
  </si>
  <si>
    <t xml:space="preserve">RUFO INTERNO DE CHAPA DE ACO GALVANIZADA NUM 26, CORTE 50 CM - SINAPI - 00001114</t>
  </si>
  <si>
    <t>1626</t>
  </si>
  <si>
    <t xml:space="preserve">SABONETEIRA PLASTICA TIPO DISPENSER PARA SABONETE LIQUIDO COM RESERVATORIO 800 A 1500 ML - SINAPI - 00011758</t>
  </si>
  <si>
    <t>2416</t>
  </si>
  <si>
    <t xml:space="preserve">SAPATILHA EM ACO GALVANIZADO PARA CABOS COM DIAMETRO NOMINAL ATE 5/8" - SINAPI - 00007581</t>
  </si>
  <si>
    <t>6587</t>
  </si>
  <si>
    <t xml:space="preserve">SARRAFO *2,5 X 10* CM EM PINUS, MISTA OU EQUIVALENTE DA REGIAO - BRUTA - SINAPI - 00004509</t>
  </si>
  <si>
    <t>1148</t>
  </si>
  <si>
    <t>7431</t>
  </si>
  <si>
    <t xml:space="preserve">SARRAFO *2,5 X 5* CM EM PINUS, MISTA OU EQUIVALENTE DA REGIAO - BRUTA - SINAPI - 00004512</t>
  </si>
  <si>
    <t>1149</t>
  </si>
  <si>
    <t xml:space="preserve">SARRAFO *2,5 X 7,5* CM EM PINUS, MISTA OU EQUIVALENTE DA REGIAO - BRUTA - SINAPI - 00004517</t>
  </si>
  <si>
    <t>1241</t>
  </si>
  <si>
    <t xml:space="preserve">SARRAFO NAO APARELHADO *2,5 X 10* CM, EM MACARANDUBA/MASSARANDUBA, ANGELIM OU EQUIVALENTE DA REGIAO - BRUTA - SINAPI - 00004460</t>
  </si>
  <si>
    <t>1601</t>
  </si>
  <si>
    <t xml:space="preserve">SARRAFO NAO APARELHADO *2,5 X 5* CM, EM MACARANDUBA/MASSARANDUBA, ANGELIM, PEROBA-ROSA OU EQUIVALENTE DA REGIAO - BRUTA - SINAPI - 00004415</t>
  </si>
  <si>
    <t>1194</t>
  </si>
  <si>
    <t xml:space="preserve">SARRAFO NAO APARELHADO *2,5 X 7* CM, EM MACARANDUBA/MASSARANDUBA, ANGELIM, PEROBA-ROSA OU EQUIVALENTE DA REGIAO - BRUTA - SINAPI - 00004417</t>
  </si>
  <si>
    <t>1197</t>
  </si>
  <si>
    <t xml:space="preserve">SEGURO - HORISTA (COLETADO CAIXA - ENCARGOS COMPLEMENTARES) - SINAPI - 00037373</t>
  </si>
  <si>
    <t>1886</t>
  </si>
  <si>
    <t xml:space="preserve">SELADOR ACRILICO OPACO PREMIUM INTERIOR/EXTERIOR - SINAPI - 00006085</t>
  </si>
  <si>
    <t>6015</t>
  </si>
  <si>
    <t xml:space="preserve">SELADOR PARA REVESTIMENTO VELUTEX</t>
  </si>
  <si>
    <t>1320</t>
  </si>
  <si>
    <t xml:space="preserve">SELANTE ELASTICO MONOCOMPONENTE A BASE DE POLIURETANO (PU) PARA JUNTAS DIVERSAS - SINAPI - 00000142</t>
  </si>
  <si>
    <t>6404</t>
  </si>
  <si>
    <t xml:space="preserve">SERRA CIRCULAR DE BANCADA COM MOTOR ELETRICO POTENCIA DE 5HP, COM COIFA PARA DISCO 10" - CHI DIURNO. AF_08/2015 - SINAPI - 91693</t>
  </si>
  <si>
    <t>1631</t>
  </si>
  <si>
    <t xml:space="preserve">SERRA CIRCULAR DE BANCADA COM MOTOR ELETRICO POTENCIA DE 5HP, COM COIFA PARA DISCO 10" - CHP DIURNO. AF_08/2015 - SINAPI - 91692</t>
  </si>
  <si>
    <t>1630</t>
  </si>
  <si>
    <t xml:space="preserve">SERRALHEIRO COM ENCARGOS COMPLEMENTARES - SINAPI - 88315</t>
  </si>
  <si>
    <t>4024</t>
  </si>
  <si>
    <t xml:space="preserve">SERVENTE COM ENCARGOS COMPLEMENTARES - SINAPI - 88316</t>
  </si>
  <si>
    <t>4014</t>
  </si>
  <si>
    <t xml:space="preserve">SERVICO DE BOMBEAMENTO DE CONCRETO COM CONSUMO MINIMO DE 40 M3, (DISPONIBILIZACAO DE BOMBA), SEM O LANCAMENTO - SINAPI - 00044535</t>
  </si>
  <si>
    <t>2719</t>
  </si>
  <si>
    <t xml:space="preserve">SIFAO DO TIPO GARRAFA EM METAL CROMADO 1 X 1.1/2" - FORNECIMENTO E INSTALACAO. AF_01/2020 - SINAPI - 86881</t>
  </si>
  <si>
    <t>2565</t>
  </si>
  <si>
    <t xml:space="preserve">SIFAO EM METAL CROMADO PARA PIA AMERICANA, 1.1/2 X 2" - SINAPI - 00006150</t>
  </si>
  <si>
    <t>2419</t>
  </si>
  <si>
    <t xml:space="preserve">SIFAO EM METAL CROMADO PARA PIA OU LAVATORIO, 1 X 1.1/2" - SINAPI - 00006136</t>
  </si>
  <si>
    <t>2572</t>
  </si>
  <si>
    <t xml:space="preserve">SIFAO PLASTICO TIPO COPO PARA TANQUE, 1.1/4 X 1.1/2" - SINAPI - 00006146</t>
  </si>
  <si>
    <t>2573</t>
  </si>
  <si>
    <t xml:space="preserve">SIFAO TIPO COPO COM CORPO FLEXIVEL DE 1"X 11/2" EM PVC CROMADO</t>
  </si>
  <si>
    <t>1696</t>
  </si>
  <si>
    <t xml:space="preserve">SILICONE ACETICO USO GERAL INCOLOR 280 G - SINAPI - 00039961</t>
  </si>
  <si>
    <t>6470</t>
  </si>
  <si>
    <t xml:space="preserve">SINALIZACAO VISUAL VERTICAL DE VAGAS CADEIRANTES/IDOSO/GESTANTE COM PLACA EM ACO INOX 180 COM TAMANHO DE (50X70)CM COM ADESIVO REFLETIVO E SIMBOLO, POSTE DE ACO GALV. C/ 3,3M DE ALT. E 2" DE DIAM. AMBOS ANLIK OU SIMILAR</t>
  </si>
  <si>
    <t>2705</t>
  </si>
  <si>
    <t xml:space="preserve">SINALIZADOR DE TOPO SIMPLES COM RELE FOTOELETRICO REF. TEL 0590 YT DA TERMOTECNICA</t>
  </si>
  <si>
    <t>7058</t>
  </si>
  <si>
    <t xml:space="preserve">SINALIZADOR VISUAL DE DEGRAUS FOTOLUMINESCENTE 7X3CM, DA ANLIK OU SIMILAR</t>
  </si>
  <si>
    <t>6487</t>
  </si>
  <si>
    <t xml:space="preserve">SIRENE BITONAL AUDIOVISUAL 120DB, 24VOLTS PARA ALARME DE INCENDIO</t>
  </si>
  <si>
    <t>3470</t>
  </si>
  <si>
    <t xml:space="preserve">SIRENE MECANICA UNIDIRECIONAL 110DB, 127V</t>
  </si>
  <si>
    <t>3439</t>
  </si>
  <si>
    <t xml:space="preserve">SOLDA EM BARRA DE ESTANHO-CHUMBO 50/50 - SINAPI - 00013388</t>
  </si>
  <si>
    <t>1625</t>
  </si>
  <si>
    <t xml:space="preserve">SOLDADOR COM ENCARGOS COMPLEMENTARES - SINAPI - 88317</t>
  </si>
  <si>
    <t>4023</t>
  </si>
  <si>
    <t xml:space="preserve">SOLEIRA PRE-MOLDADA EM GRANILITE, MARMORITE OU GRANITINA, L = *15 CM - SINAPI - 00010856</t>
  </si>
  <si>
    <t>6028</t>
  </si>
  <si>
    <t xml:space="preserve">SOLUCAO PREPARADORA / LIMPADORA PARA PVC, FRASCO COM 1000 CM3 - SINAPI - 00020083</t>
  </si>
  <si>
    <t>8000</t>
  </si>
  <si>
    <t xml:space="preserve">SONDAGEM A PERCUSAO PARA RECONHECIMENTO DO TERRENO</t>
  </si>
  <si>
    <t>1086</t>
  </si>
  <si>
    <t xml:space="preserve">SOQUETE DE BAQUELITE BASE E27, PARA LAMPADAS - SINAPI - 00012295</t>
  </si>
  <si>
    <t>6451</t>
  </si>
  <si>
    <t xml:space="preserve">SOQUETE DE PORCELANA BASE E27, PARA USO AO TEMPO, PARA LAMPADAS - SINAPI - 00012294</t>
  </si>
  <si>
    <t>3360</t>
  </si>
  <si>
    <t xml:space="preserve">SUPORTE BALANCO VERTICAL 100X100MM</t>
  </si>
  <si>
    <t>6441</t>
  </si>
  <si>
    <t xml:space="preserve">SUPORTE BALANCO VERTICAL 100X200MM</t>
  </si>
  <si>
    <t>6443</t>
  </si>
  <si>
    <t xml:space="preserve">SUPORTE BALANCO VERTICAL 100X50MM</t>
  </si>
  <si>
    <t>1610</t>
  </si>
  <si>
    <t xml:space="preserve">SUPORTE BALANCO VERTICAL 50X50MM</t>
  </si>
  <si>
    <t>1607</t>
  </si>
  <si>
    <t>6607</t>
  </si>
  <si>
    <t>6606</t>
  </si>
  <si>
    <t xml:space="preserve">SUPORTE EM ACO GALVANIZADO PARA TRANSFORMADOR PARA POSTE DUPLO T 185 X 95 MM, CHAPA DE 5/16" - SINAPI - 00007576</t>
  </si>
  <si>
    <t>7210</t>
  </si>
  <si>
    <t xml:space="preserve">SUPORTE ISOLADOR PARA FIXACAO DA CORDOALHA DE COBRE EM ALVENARIA OU CONCRETO - FORNECIMENTO E INSTALACAO. AF_08/2023 - SINAPI - 98463</t>
  </si>
  <si>
    <t>6452</t>
  </si>
  <si>
    <t xml:space="preserve">SUPORTE ISOLADOR REFORCADO DIAMETRO NOMINAL 5/16", COM ROSCA SOBERBA E BUCHA - SINAPI - 00007572</t>
  </si>
  <si>
    <t>7064</t>
  </si>
  <si>
    <t xml:space="preserve">SUPORTE ISOLADOR REFORCADO PARA FIXACAO DE CANTO 90o., REF.PRT 218 DA PARATEC OU SIMILAR</t>
  </si>
  <si>
    <t>3482</t>
  </si>
  <si>
    <t xml:space="preserve">SUPORTE MAO-FRANCESA EM ACO, ABAS IGUAIS 40 CM, CAPACIDADE MINIMA 70 KG, BRANCO - SINAPI - 00037591</t>
  </si>
  <si>
    <t>1648</t>
  </si>
  <si>
    <t>1712</t>
  </si>
  <si>
    <t xml:space="preserve">SUPORTE PARA TRANSFORMADOR PARA POSTE CONCRETO CIRCULAR ATE 270MM</t>
  </si>
  <si>
    <t>6569</t>
  </si>
  <si>
    <t xml:space="preserve">SUPORTE PARA TRANSFORMADOR PARA POSTE DE CONCRETO DUPLO T, 195/100</t>
  </si>
  <si>
    <t>6571</t>
  </si>
  <si>
    <t xml:space="preserve">SWITCH 10/100 BASE TX 24 PORTAS</t>
  </si>
  <si>
    <t>1710</t>
  </si>
  <si>
    <t xml:space="preserve">SWITCH 10/100 BASE TX 48 PORTAS</t>
  </si>
  <si>
    <t>1709</t>
  </si>
  <si>
    <t xml:space="preserve">TABUA *2,5 X 15 CM EM PINUS, MISTA OU EQUIVALENTE DA REGIAO - BRUTA - SINAPI - 00006194</t>
  </si>
  <si>
    <t>1138</t>
  </si>
  <si>
    <t xml:space="preserve">TABUA *2,5 X 30 CM EM PINUS, MISTA OU EQUIVALENTE DA REGIAO - BRUTA - SINAPI - 00006212</t>
  </si>
  <si>
    <t>1664</t>
  </si>
  <si>
    <t xml:space="preserve">TABUA APARELHADA *2,5 X 15* CM, EM MACARANDUBA/MASSARANDUBA, ANGELIM OU EQUIVALENTE DA REGIAO - SINAPI - 00003993</t>
  </si>
  <si>
    <t>1211</t>
  </si>
  <si>
    <t xml:space="preserve">TABUA APARELHADA *2,5 X 25* CM, EM MACARANDUBA/MASSARANDUBA, ANGELIM OU EQUIVALENTE DA REGIAO - SINAPI - 00003990</t>
  </si>
  <si>
    <t>1212</t>
  </si>
  <si>
    <t xml:space="preserve">TABUA APARELHADA *2,5 X 30* CM, EM MACARANDUBA/MASSARANDUBA, ANGELIM OU EQUIVALENTE DA REGIAO - SINAPI - 00003992</t>
  </si>
  <si>
    <t>1214</t>
  </si>
  <si>
    <t xml:space="preserve">TABUA NAO APARELHADA *2,5 X 20* CM, EM MACARANDUBA/MASSARANDUBA, ANGELIM OU EQUIVALENTE DA REGIAO - BRUTA - SINAPI - 00006193</t>
  </si>
  <si>
    <t>1139</t>
  </si>
  <si>
    <t xml:space="preserve">TABUA NAO APARELHADA *2,5 X 30* CM, EM MACARANDUBA/MASSARANDUBA, ANGELIM OU EQUIVALENTE DA REGIAO - BRUTA - SINAPI - 00006189</t>
  </si>
  <si>
    <t>1151</t>
  </si>
  <si>
    <t>7432</t>
  </si>
  <si>
    <t xml:space="preserve">TAMPA DE CONCRETO ARMADO PARA FOSSA, D = *1,10* M, E = 0,05 M - SINAPI - 00041614</t>
  </si>
  <si>
    <t>1586</t>
  </si>
  <si>
    <t xml:space="preserve">TAMPA DE FERRO FUNDIDO (50 X 50)CM COM A INSCRICAO "ESGOTO"</t>
  </si>
  <si>
    <t>8002</t>
  </si>
  <si>
    <t xml:space="preserve">TAMPA DE FERRO FUNDIDO 40 X 60 CM COM A INSCRICAO INCENDIO</t>
  </si>
  <si>
    <t>8457</t>
  </si>
  <si>
    <t xml:space="preserve">TAMPA PARA CAIXA CHAPA 18 50MM PAULI (COD.6971)</t>
  </si>
  <si>
    <t>7528</t>
  </si>
  <si>
    <t xml:space="preserve">TAMPA PARA CAIXA TIPO R1, EM FERRO FUNDIDO, DIMENSOES INTERNAS: 0,40 X 0,60 M - FORNECIMENTO E INSTALACAO. AF_12/2020 - SINAPI - 101798</t>
  </si>
  <si>
    <t>6468</t>
  </si>
  <si>
    <t xml:space="preserve">TAMPA PARA CAIXA TIPO R2 E R3, EM FERRO FUNDIDO, DIMENSOES INTERNAS: 0,55 X 1,10 M - FORNECIMENTO E INSTALACAO. AF_12/2020 - SINAPI - 101799</t>
  </si>
  <si>
    <t>6465</t>
  </si>
  <si>
    <t xml:space="preserve">TAMPAO COM CORRENTE, EM LATAO, ENGATE RAPIDO 1 1/2", PARA INSTALACAO PREDIAL DE COMBATE A INCENDIO - SINAPI - 00020964</t>
  </si>
  <si>
    <t>6449</t>
  </si>
  <si>
    <t xml:space="preserve">TAMPAO COM CORRENTE, EM LATAO, ENGATE RAPIDO 2 1/2", PARA INSTALACAO PREDIAL DE COMBATE A INCENDIO - SINAPI - 00010905</t>
  </si>
  <si>
    <t>8462</t>
  </si>
  <si>
    <t>018</t>
  </si>
  <si>
    <t xml:space="preserve">TAMPAO FOFO ARTICULADO, COM BASE / REQUADRO, CLASSE D400 CARGA MAX 40 T, REDONDO, TAMPA 600 MM (COM INSCRICAO EM RELEVO DO TIPO DE REDE) - SINAPI - 00021090</t>
  </si>
  <si>
    <t>6539</t>
  </si>
  <si>
    <t xml:space="preserve">TAMPAO FOFO SIMPLES COM BASE / REQUADRO, CLASSE A15 CARGA MAX. 1,5 T, 300 X 300 MM (COM INSCRICAO EM RELEVO DO TIPO DE REDE) - SINAPI - 00011315</t>
  </si>
  <si>
    <t>1591</t>
  </si>
  <si>
    <t xml:space="preserve">TAMPAO FOFO SIMPLES COM BASE / REQUADRO, CLASSE A15 CARGA MAX. 1,5 T, 400 X 400 MM (COM INSCRICAO EM RELEVO DO TIPO DE REDE) - SINAPI - 00021071</t>
  </si>
  <si>
    <t>7178</t>
  </si>
  <si>
    <t xml:space="preserve">TAMPAO FOFO SIMPLES COM BASE / REQUADRO, CLASSE A15 CARGA MAX. 1,5 T, 400 X 600 MM (COM INSCRICAO EM RELEVO DO TIPO DE REDE) - SINAPI - 00014112</t>
  </si>
  <si>
    <t>7176</t>
  </si>
  <si>
    <t xml:space="preserve">TAMPAO FOFO SIMPLES COM BASE / REQUADRO, R-2, CLASSE A15 CARGA MAX. 1,5 T, 550 X 1100 MM (COM INSCRICAO EM RELEVO DO TIPO DE REDE) - SINAPI - 00011299</t>
  </si>
  <si>
    <t>7177</t>
  </si>
  <si>
    <t>6628</t>
  </si>
  <si>
    <t xml:space="preserve">TE DE REDUCAO, PVC, SOLDAVEL, DN 32MM X 25MM, INSTALADO EM RAMAL OU SUB-RAMAL DE AGUA - FORNECIMENTO E INSTALACAO. AF_06/2022 - SINAPI - 89400</t>
  </si>
  <si>
    <t>1763</t>
  </si>
  <si>
    <t xml:space="preserve">TE DE REDUCAO, PVC, SOLDAVEL, DN 40MM X 32MM, INSTALADO EM RAMAL DE DISTRIBUICAO DE AGUA - FORNECIMENTO E INSTALACAO. AF_06/2022 - SINAPI - 104012</t>
  </si>
  <si>
    <t>1738</t>
  </si>
  <si>
    <t xml:space="preserve">TE PVC, SOLDAVEL, COM BUCHA DE LATAO NA BOLSA CENTRAL, 90 GRAUS, 25 MM X 3/4", PARA AGUA FRIA PREDIAL - SINAPI - 00007122</t>
  </si>
  <si>
    <t>8025</t>
  </si>
  <si>
    <t xml:space="preserve">TE SANITARIO DE REDUCAO, PVC, DN 100 X 50 MM, SERIE NORMAL, PARA ESGOTO PREDIAL - SINAPI - 00011655</t>
  </si>
  <si>
    <t>2457</t>
  </si>
  <si>
    <t xml:space="preserve">TE SANITARIO DE REDUCAO, PVC, DN 100 X 75 MM, SERIE NORMAL PARA ESGOTO PREDIAL - SINAPI - 00011656</t>
  </si>
  <si>
    <t>2458</t>
  </si>
  <si>
    <t xml:space="preserve">TE SANITARIO, PVC, DN 100 X 100 MM, SERIE NORMAL, PARA ESGOTO PREDIAL - SINAPI - 00007091</t>
  </si>
  <si>
    <t>2456</t>
  </si>
  <si>
    <t xml:space="preserve">TE, PVC, SERIE NORMAL, ESGOTO PREDIAL, DN 100 X 50 MM, JUNTA ELASTICA, FORNECIDO E INSTALADO EM RAMAL DE DESCARGA OU RAMAL DE ESGOTO SANITARIO. AF_08/2022 - SINAPI - 104344</t>
  </si>
  <si>
    <t>1739</t>
  </si>
  <si>
    <t xml:space="preserve">TE, PVC, SERIE NORMAL, ESGOTO PREDIAL, DN 100 X 75 MM, JUNTA ELASTICA, FORNECIDO E INSTALADO EM RAMAL DE DESCARGA OU RAMAL DE ESGOTO SANITARIO. AF_08/2022 - SINAPI - 104346</t>
  </si>
  <si>
    <t>1741</t>
  </si>
  <si>
    <t xml:space="preserve">TE, PVC, SERIE NORMAL, ESGOTO PREDIAL, DN 50 X 50 MM, JUNTA ELASTICA, FORNECIDO E INSTALADO EM RAMAL DE DESCARGA OU RAMAL DE ESGOTO SANITARIO. AF_08/2022 - SINAPI - 89784</t>
  </si>
  <si>
    <t>1777</t>
  </si>
  <si>
    <t xml:space="preserve">TE, PVC, SERIE NORMAL, ESGOTO PREDIAL, DN 75 X 75 MM, JUNTA ELASTICA, FORNECIDO E INSTALADO EM RAMAL DE DESCARGA OU RAMAL DE ESGOTO SANITARIO. AF_08/2022 - SINAPI - 89786</t>
  </si>
  <si>
    <t>1779</t>
  </si>
  <si>
    <t xml:space="preserve">TE, PVC, SOLDAVEL, DN 25MM, INSTALADO EM DRENO DE AR-CONDICIONADO - FORNECIMENTO E INSTALACAO. AF_08/2022 - SINAPI - 89869</t>
  </si>
  <si>
    <t>1783</t>
  </si>
  <si>
    <t xml:space="preserve">TE, PVC, SOLDAVEL, DN 25MM, INSTALADO EM RAMAL OU SUB-RAMAL DE AGUA - FORNECIMENTO E INSTALACAO. AF_06/2022 - SINAPI - 89395</t>
  </si>
  <si>
    <t>1762</t>
  </si>
  <si>
    <t xml:space="preserve">TE, PVC, SOLDAVEL, DN 32 MM INSTALADO EM RESERVACAO PREDIAL DE AGUA - FORNECIMENTO E INSTALACAO. AF_04/2024 - SINAPI - 94690</t>
  </si>
  <si>
    <t>1841</t>
  </si>
  <si>
    <t xml:space="preserve">TE, PVC, SOLDAVEL, DN 40 MM INSTALADO EM RESERVACAO PREDIAL DE AGUA - FORNECIMENTO E INSTALACAO. AF_04/2024 - SINAPI - 94692</t>
  </si>
  <si>
    <t>1842</t>
  </si>
  <si>
    <t xml:space="preserve">TELA ARAME GALVANIZADO ONDULADA FIO 12 MALHA 20MM</t>
  </si>
  <si>
    <t>7634</t>
  </si>
  <si>
    <t xml:space="preserve">TELA ARAME GALVANIZADO ONDULADA FIO 14 MALHA 10MM</t>
  </si>
  <si>
    <t>7545</t>
  </si>
  <si>
    <t xml:space="preserve">TELA DE ACO SOLDADA GALVANIZADA/ZINCADA PARA ALVENARIA, FIO D = *1,24 MM, MALHA 25 X 25 MM - SINAPI - 00037411</t>
  </si>
  <si>
    <t>7546</t>
  </si>
  <si>
    <t>017</t>
  </si>
  <si>
    <t xml:space="preserve">TELA DE ACO SOLDADA NERVURADA, CA-60, Q-138, (2,20 KG/M2), DIAMETRO DO FIO = 4,2 MM, LARGURA = 2,45 M, ESPACAMENTO DA MALHA = 10 X 10 CM - SINAPI - 00007155</t>
  </si>
  <si>
    <t>3498</t>
  </si>
  <si>
    <t xml:space="preserve">TELA DE ACO SOLDADA NERVURADA, CA-60, Q-196, (3,11 KG/M2), DIAMETRO DO FIO = 5,0 MM, LARGURA = 2,45 M, ESPACAMENTO DA MALHA = 10 X 10 CM - SINAPI - 00007156</t>
  </si>
  <si>
    <t>3490</t>
  </si>
  <si>
    <t xml:space="preserve">TELA DE ACO SOLDADA NERVURADA, CA-60, Q-283 (4,48 KG/M2), DIAMETRO DO FIO = 6,0 MM, LARGURA = 2,45 X 6,00 M DE COMPRIMENTO, ESPACAMENTO DA MALHA = 10 X 10 CM - SINAPI - 00043127</t>
  </si>
  <si>
    <t>2750</t>
  </si>
  <si>
    <t xml:space="preserve">TELA DE ACO SOLDADA NERVURADA, CA-60, Q-92, (1,48 KG/M2), DIAMETRO DO FIO = 4,2 MM, LARGURA = 2,45 X 60 M DE COMPRIMENTO, ESPACAMENTO DA MALHA = 15 X 15 CM - SINAPI - 00021141</t>
  </si>
  <si>
    <t>1227</t>
  </si>
  <si>
    <t xml:space="preserve">TELA DE ARAME GALVANIZADA QUADRANGULAR / LOSANGULAR, FIO 2,77 MM (12 BWG), MALHA 5 X 5 CM, H = 2 M - SINAPI - 00007158</t>
  </si>
  <si>
    <t>1272</t>
  </si>
  <si>
    <t xml:space="preserve">TELA DE ARAME GALVANIZADA QUADRANGULAR / LOSANGULAR, FIO 3,4 MM (10 BWG), MALHA 5 X 5 CM, H = 2 M - SINAPI - 00007162</t>
  </si>
  <si>
    <t>7566</t>
  </si>
  <si>
    <t xml:space="preserve">TELA DE ARAME ONDULADA, FIO *2,77* MM (12 BWG), MALHA 5 X 5 CM, H = 2 M - SINAPI - 00007164</t>
  </si>
  <si>
    <t>6179</t>
  </si>
  <si>
    <t xml:space="preserve">TELHA DE BARRO / CERAMICA, NAO ESMALTADA, TIPO ROMANA, AMERICANA, PORTUGUESA, FRANCESA, COMPRIMENTO DE *41* CM, RENDIMENTO DE *16* TELHAS/M2 - SINAPI - 00007175</t>
  </si>
  <si>
    <t>1215</t>
  </si>
  <si>
    <t xml:space="preserve">TELHA DE FIBROCIMENTO ONDULADA E = 6 MM, DE 2,44 X 1,10 M (SEM AMIANTO) - SINAPI - 00007194</t>
  </si>
  <si>
    <t>1165</t>
  </si>
  <si>
    <t xml:space="preserve">TELHA ESTRUTURAL DE FIBROCIMENTO 1 ABA, DE 0,52 X 4,00 M (SEM AMIANTO) - SINAPI - 00007224</t>
  </si>
  <si>
    <t>1159</t>
  </si>
  <si>
    <t xml:space="preserve">TELHA ESTRUTURAL DE FIBROCIMENTO 2 ABAS, DE 1,00 X 6,00 M (SEM AMIANTO) - SINAPI - 00007231</t>
  </si>
  <si>
    <t>1160</t>
  </si>
  <si>
    <t xml:space="preserve">TELHA ONDULADA EM ACO ZINCADO, ALTURA DE 17 MM, ESPESSURA DE 0,50 MM, LARGURA UTIL DE APROXIMADAMENTE 985 MM, SEM PINTURA - SINAPI - 00025007</t>
  </si>
  <si>
    <t>8541</t>
  </si>
  <si>
    <t xml:space="preserve">TELHA TRAPEZOIDAL EM ACO ZINCADA, SEM PINTURA, MOD. RT 100/952, ESPESSURA DE 0,65 MM E LARGURA UTIL DE 952 MM, REGIONAL TELHAS OU SIMILAR</t>
  </si>
  <si>
    <t>1620</t>
  </si>
  <si>
    <t xml:space="preserve">TELHA TRAPEZOIDAL EM ACO ZINCADO, SEM PINTURA, ALTURA DE APROXIMADAMENTE 40 MM, ESPESSURA DE 0,50 MM E LARGURA UTIL DE 980 MM - SINAPI - 00007243</t>
  </si>
  <si>
    <t>6334</t>
  </si>
  <si>
    <t>8540</t>
  </si>
  <si>
    <t xml:space="preserve">TELHADISTA COM ENCARGOS COMPLEMENTARES - SINAPI - 88323</t>
  </si>
  <si>
    <t>4016</t>
  </si>
  <si>
    <t xml:space="preserve">TELHAMENTO COM TELHA ONDULADA DE FIBROCIMENTO E = 6 MM, COM RECOBRIMENTO LATERAL DE 1 1/4 DE ONDA PARA TELHADO COM INCLINACAO MAXIMA DE 10°, COM ATE 2 AGUAS, INCLUSO ICAMENTO. AF_07/2019 - SINAPI - 94210</t>
  </si>
  <si>
    <t>1831</t>
  </si>
  <si>
    <t xml:space="preserve">TERMINAL A COMPRESSAO EM COBRE ESTANHADO PARA CABO 2,5 MM2, 1 FURO E 1 COMPRESSAO, PARA PARAFUSO DE FIXACAO M5 - SINAPI - 00001570</t>
  </si>
  <si>
    <t>1645</t>
  </si>
  <si>
    <t xml:space="preserve">TERMINAL A COMPRESSAO EM COBRE ESTANHADO PARA CABO 25 MM2, 1 FURO E 1 COMPRESSAO, PARA PARAFUSO DE FIXACAO M8 - SINAPI - 00001576</t>
  </si>
  <si>
    <t>6455</t>
  </si>
  <si>
    <t xml:space="preserve">TERMINAL A COMPRESSAO EM COBRE ESTANHADO PARA CABO 35 MM2, 1 FURO E 1 COMPRESSAO, PARA PARAFUSO DE FIXACAO M8 - SINAPI - 00001577</t>
  </si>
  <si>
    <t>6456</t>
  </si>
  <si>
    <t xml:space="preserve">TERMINAL A COMPRESSAO EM COBRE ESTANHADO PARA CABO 4 MM2, 1 FURO E 1 COMPRESSAO, PARA PARAFUSO DE FIXACAO M5 - SINAPI - 00001571</t>
  </si>
  <si>
    <t>1611</t>
  </si>
  <si>
    <t>6583</t>
  </si>
  <si>
    <t xml:space="preserve">TERMINAL DE VENTILACAO, PVC, SERIE NORMAL, ESGOTO PREDIAL, DN 100 MM, JUNTA SOLDAVEL, FORNECIDO E INSTALADO EM PRUMADA DE ESGOTO SANITARIO OU VENTILACAO. AF_08/2022 - SINAPI - 104356</t>
  </si>
  <si>
    <t>1746</t>
  </si>
  <si>
    <t xml:space="preserve">TERMINAL DE VENTILACAO, PVC, SERIE NORMAL, ESGOTO PREDIAL, DN 50 MM, JUNTA SOLDAVEL, FORNECIDO E INSTALADO EM PRUMADA DE ESGOTO SANITARIO OU VENTILACAO. AF_08/2022 - SINAPI - 104348</t>
  </si>
  <si>
    <t>1743</t>
  </si>
  <si>
    <t xml:space="preserve">TERMINAL DE VENTILACAO, PVC, SERIE NORMAL, ESGOTO PREDIAL, DN 75 MM, JUNTA SOLDAVEL, FORNECIDO E INSTALADO EM PRUMADA DE ESGOTO SANITARIO OU VENTILACAO. AF_08/2022 - SINAPI - 104351</t>
  </si>
  <si>
    <t>1745</t>
  </si>
  <si>
    <t xml:space="preserve">TERMINAL METALICO A PRESSAO PARA 1 CABO DE 120 MM2, COM 1 FURO DE FIXACAO - SINAPI - 00001591</t>
  </si>
  <si>
    <t>3410</t>
  </si>
  <si>
    <t xml:space="preserve">TERMINAL METALICO A PRESSAO PARA 1 CABO DE 185 MM2, COM 1 FURO DE FIXACAO - SINAPI - 00001593</t>
  </si>
  <si>
    <t>3504</t>
  </si>
  <si>
    <t xml:space="preserve">TERMINAL METALICO A PRESSAO PARA 1 CABO DE 240 MM2, COM 1 FURO DE FIXACAO - SINAPI - 00011838</t>
  </si>
  <si>
    <t>3505</t>
  </si>
  <si>
    <t xml:space="preserve">TERMINAL METALICO A PRESSAO PARA 1 CABO DE 25 MM2, COM 1 FURO DE FIXACAO - SINAPI - 00001586</t>
  </si>
  <si>
    <t>7192</t>
  </si>
  <si>
    <t xml:space="preserve">TERMINAL METALICO A PRESSAO PARA 1 CABO DE 300 MM2, COM 1 FURO DE FIXACAO - SINAPI - 00011839</t>
  </si>
  <si>
    <t>3506</t>
  </si>
  <si>
    <t xml:space="preserve">TERMINAL METALICO A PRESSAO PARA 1 CABO DE 50 MM2, COM 1 FURO DE FIXACAO - SINAPI - 00001588</t>
  </si>
  <si>
    <t>3406</t>
  </si>
  <si>
    <t xml:space="preserve">TERMINAL METALICO A PRESSAO PARA 1 CABO DE 6 A 10 MM2, COM 1 FURO DE FIXACAO - SINAPI - 00001535</t>
  </si>
  <si>
    <t>3502</t>
  </si>
  <si>
    <t xml:space="preserve">TERMINAL METALICO A PRESSAO PARA 1 CABO DE 70 MM2, COM 1 FURO DE FIXACAO - SINAPI - 00001589</t>
  </si>
  <si>
    <t>3503</t>
  </si>
  <si>
    <t xml:space="preserve">TERMINAL METALICO A PRESSAO PARA 1 CABO DE 95 MM2, COM 1 FURO DE FIXACAO - SINAPI - 00001590</t>
  </si>
  <si>
    <t>3409</t>
  </si>
  <si>
    <t xml:space="preserve">TERRA/ARENITO PARA ATERRO COM FRETE</t>
  </si>
  <si>
    <t>6416</t>
  </si>
  <si>
    <t xml:space="preserve">TIJOLO CERAMICO LAMINADO DE *5,5 X 11 X 23* CM (L X A X C), COM 21 FUROS - SINAPI - 00034401</t>
  </si>
  <si>
    <t>1170</t>
  </si>
  <si>
    <t xml:space="preserve">TIJOLO CERAMICO MACICO COMUM DE *5 X 10 X 20* CM (L X A X C) - SINAPI - 00007258</t>
  </si>
  <si>
    <t>1172</t>
  </si>
  <si>
    <t xml:space="preserve">TINTA ACRILICA A BASE DE SOLVENTE, PARA SINALIZACAO HORIZONTAL VIARIA (NBR 11862) - SINAPI - 00007343</t>
  </si>
  <si>
    <t>6041</t>
  </si>
  <si>
    <t xml:space="preserve">TINTA ACRILICA PREMIUM PARA PISO - SINAPI - 00007348</t>
  </si>
  <si>
    <t>6535</t>
  </si>
  <si>
    <t xml:space="preserve">TINTA ASFALTICA IMPERMEABILIZANTE DILUIDA EM SOLVENTE, PARA MATERIAIS CIMENTICIOS, METAL E MADEIRA - SINAPI - 00007313</t>
  </si>
  <si>
    <t>6021</t>
  </si>
  <si>
    <t xml:space="preserve">TINTA ESMALTE SINTETICO PREMIUM BRILHANTE - SINAPI - 00007292</t>
  </si>
  <si>
    <t>6058</t>
  </si>
  <si>
    <t xml:space="preserve">TINTA ESMALTE SINTETICO PREMIUM DE DUPLA ACAO GRAFITE FOSCO PARA SUPERFICIES METALICAS FERROSAS - SINAPI - 00007293</t>
  </si>
  <si>
    <t>6039</t>
  </si>
  <si>
    <t xml:space="preserve">TINTA ESMALTE SINTETICO PREMIUM DE EFEITO PROTETOR DE SUPERFICIE METALICA ALUMINIO - SINAPI - 00007306</t>
  </si>
  <si>
    <t>6042</t>
  </si>
  <si>
    <t xml:space="preserve">TINTA ESMALTE SINTETICO PREMIUM FOSCO - SINAPI - 00007288</t>
  </si>
  <si>
    <t>7643</t>
  </si>
  <si>
    <t xml:space="preserve">TINTA LATEX ACRILICA ECONOMICA, COR BRANCA - SINAPI - 00035693</t>
  </si>
  <si>
    <t>6044</t>
  </si>
  <si>
    <t xml:space="preserve">TINTA LATEX ACRILICA PREMIUM, COR BRANCO FOSCO - SINAPI - 00007356</t>
  </si>
  <si>
    <t>6036</t>
  </si>
  <si>
    <t xml:space="preserve">TIRANTE EM FERRO GALVANIZADO PARA CONTRAVENTAMENTO DE TELHA CANALETE 90, 1/4" X 400 MM - SINAPI - 00011060</t>
  </si>
  <si>
    <t>1222</t>
  </si>
  <si>
    <t xml:space="preserve">TOALHEIRO PLASTICO TIPO DISPENSER PARA PAPEL TOALHA INTERFOLHADO - SINAPI - 00037401</t>
  </si>
  <si>
    <t>2074</t>
  </si>
  <si>
    <t xml:space="preserve">TOMADA 2P+T (10A) REF. 675060 SISTEMA X DA PIAL OU SIMILAR</t>
  </si>
  <si>
    <t>7187</t>
  </si>
  <si>
    <t xml:space="preserve">TOMADA 2P+T 10A, 250V, CONJUNTO MONTADO PARA EMBUTIR 4" X 2" (PLACA + SUPORTE + MODULO) - SINAPI - 00007528</t>
  </si>
  <si>
    <t>3372</t>
  </si>
  <si>
    <t xml:space="preserve">TOMADA ALTA DE EMBUTIR (1 MODULO), 2P+T 10 A, INCLUINDO SUPORTE E PLACA - FORNECIMENTO E INSTALACAO. AF_03/2023 - SINAPI - 91992</t>
  </si>
  <si>
    <t>1805</t>
  </si>
  <si>
    <t xml:space="preserve">TOMADA BAIXA DE EMBUTIR (1 MODULO), 2P+T 10 A, INCLUINDO SUPORTE E PLACA - FORNECIMENTO E INSTALACAO. AF_03/2023 - SINAPI - 92000</t>
  </si>
  <si>
    <t>1808</t>
  </si>
  <si>
    <t xml:space="preserve">TOMADA BAIXA DE EMBUTIR (1 MODULO), 2P+T 20 A, INCLUINDO SUPORTE E PLACA - FORNECIMENTO E INSTALACAO. AF_03/2023 - SINAPI - 92001</t>
  </si>
  <si>
    <t>1809</t>
  </si>
  <si>
    <t xml:space="preserve">TOMADA BAIXA DE EMBUTIR (2 MODULOS), 2P+T 10 A, INCLUINDO SUPORTE E PLACA - FORNECIMENTO E INSTALACAO. AF_03/2023 - SINAPI - 92008</t>
  </si>
  <si>
    <t>1874</t>
  </si>
  <si>
    <t xml:space="preserve">TOMADA DE REDE RJ45 - FORNECIMENTO E INSTALACAO. AF_11/2019 - SINAPI - 98307</t>
  </si>
  <si>
    <t>1858</t>
  </si>
  <si>
    <t xml:space="preserve">TOMADA INDUSTRIAL DE EMBUTIR 3P+T 30 A, 440 V, COM TRAVA, SEM PLACA - SINAPI - 00007524</t>
  </si>
  <si>
    <t>1665</t>
  </si>
  <si>
    <t xml:space="preserve">TOMADA MEDIA DE EMBUTIR (1 MODULO), 2P+T 10 A, INCLUINDO SUPORTE E PLACA - FORNECIMENTO E INSTALACAO. AF_03/2023 - SINAPI - 91996</t>
  </si>
  <si>
    <t>1806</t>
  </si>
  <si>
    <t xml:space="preserve">TOMADA MEDIA DE EMBUTIR (1 MODULO), 2P+T 20 A, INCLUINDO SUPORTE E PLACA - FORNECIMENTO E INSTALACAO. AF_03/2023 - SINAPI - 91997</t>
  </si>
  <si>
    <t>1807</t>
  </si>
  <si>
    <t xml:space="preserve">TOMADA MEDIA DE EMBUTIR (2 MODULOS), 2P+T 10 A, INCLUINDO SUPORTE E PLACA - FORNECIMENTO E INSTALACAO. AF_03/2023 - SINAPI - 92004</t>
  </si>
  <si>
    <t>1810</t>
  </si>
  <si>
    <t xml:space="preserve">TOMADA MEDIA DE EMBUTIR (2 MODULOS), 2P+T 20 A, INCLUINDO SUPORTE E PLACA - FORNECIMENTO E INSTALACAO. AF_03/2023 - SINAPI - 92005</t>
  </si>
  <si>
    <t>1811</t>
  </si>
  <si>
    <t xml:space="preserve">TOMADA PARA LOGICA RJ45, CATEGORIA 6 (COMPLETA)</t>
  </si>
  <si>
    <t>6482</t>
  </si>
  <si>
    <t xml:space="preserve">TOMADA PARA TELEFONE RJ-11 REF. 675017, SISTEMA X DA PIAL OU SIMILAR</t>
  </si>
  <si>
    <t>7188</t>
  </si>
  <si>
    <t xml:space="preserve">TOMADA RJ45, 8 FIOS, CAT 5E, CONJUNTO MONTADO PARA EMBUTIR 4" X 2" (PLACA + SUPORTE + MODULO) - SINAPI - 00038083</t>
  </si>
  <si>
    <t>3259</t>
  </si>
  <si>
    <t xml:space="preserve">TOPOGRAFO COM ENCARGOS COMPLEMENTARES - SINAPI - 90781</t>
  </si>
  <si>
    <t>4018</t>
  </si>
  <si>
    <t xml:space="preserve">TORNEIRA CROMADA 1/2" OU 3/4" PARA TANQUE, PADRAO POPULAR - FORNECIMENTO E INSTALACAO. AF_01/2020 - SINAPI - 86913</t>
  </si>
  <si>
    <t>1749</t>
  </si>
  <si>
    <t xml:space="preserve">TORNEIRA CROMADA PARA LAVATORIO DE MESA DOCOL ELETRIC COD. 00396706 (TS) DA DOCOL OU SIMILAR</t>
  </si>
  <si>
    <t>6577</t>
  </si>
  <si>
    <t xml:space="preserve">TORNEIRA CROMADA PARA USO GERAL/JARDIM REF. 1130 LINHA PERTUTTI REF. 00903706 DA DOCOL</t>
  </si>
  <si>
    <t>2683</t>
  </si>
  <si>
    <t xml:space="preserve">TORNEIRA DE BOIA PARA CAIXA D'AGUA, ROSCAVEL, 1" - FORNECIMENTO E INSTALACAO. AF_08/2021 - SINAPI - 94797</t>
  </si>
  <si>
    <t>1848</t>
  </si>
  <si>
    <t xml:space="preserve">TORNEIRA DE MESA PRESSMATIC PARA DEFICIENTE FISICO BENEFIT REF. 00490706 DA DOCOL OU SIMILAR</t>
  </si>
  <si>
    <t>2588</t>
  </si>
  <si>
    <t xml:space="preserve">TORNEIRA DE METAL AMARELO, PARA TANQUE / JARDIM, DE PAREDE, COM BICO PLASTICO, CANO CURTO, AREA EXTERNA, PADRAO POPULAR / USO GERAL, 1/2" OU 3/4" - SINAPI - 00007602</t>
  </si>
  <si>
    <t>2500</t>
  </si>
  <si>
    <t xml:space="preserve">TORNEIRA DE PAREDE PRESSMATIC ANTIVANDALISMO 135MM CICLO FIXO REF.00633206 DE 3/4" DA DOCOL</t>
  </si>
  <si>
    <t>2592</t>
  </si>
  <si>
    <t xml:space="preserve">TORNEIRA METALICA CROMADA DE MESA PARA LAVATORIO, BICA ALTA, COM AREJADOR - SINAPI - 00036791</t>
  </si>
  <si>
    <t>2660</t>
  </si>
  <si>
    <t xml:space="preserve">TORNEIRA METALICA CROMADA PARA JARDIM / TANQUE, COM BICO PLASTICO, CANO LONGO, DE PAREDE, PADRAO POPULAR / USO GERAL, 1/2" OU 3/4" - SINAPI - 00011762</t>
  </si>
  <si>
    <t>2672</t>
  </si>
  <si>
    <t>6578</t>
  </si>
  <si>
    <t xml:space="preserve">TORNEIRA PARA LAVATORIO DE MESA PRESSMATIC COMPACT REF. 17160606 - 1/2" DOCOL</t>
  </si>
  <si>
    <t>2590</t>
  </si>
  <si>
    <t xml:space="preserve">TORNEIRA PARA LAVATORIO DE PAREDE PRESSMATIC 120 REF. 17160706, 1/2" E 3/4" DA DOCOL</t>
  </si>
  <si>
    <t>2589</t>
  </si>
  <si>
    <t xml:space="preserve">TORNEIRA PLASTICA PARA TANQUE 1/2" OU 3/4" COM BICO PARA MANGUEIRA - SINAPI - 00011831</t>
  </si>
  <si>
    <t>1641</t>
  </si>
  <si>
    <t xml:space="preserve">TRAMA DE MADEIRA COMPOSTA POR TERCAS PARA TELHADOS DE ATE 2 AGUAS PARA TELHA ONDULADA DE FIBROCIMENTO, METALICA, PLASTICA OU TERMOACUSTICA, INCLUSO TRANSPORTE VERTICAL. AF_07/2019 - SINAPI - 92543</t>
  </si>
  <si>
    <t>1814</t>
  </si>
  <si>
    <t xml:space="preserve">TRANSFORMADOR TRIFASICO DE DISTRIBUICAO, POTENCIA DE 1000 KVA, TENSAO NOMINAL DE 15 KV, TENSAO SECUNDARIA DE 220/127V, EM OLEO ISOLANTE TIPO MINERAL - SINAPI - 00007613</t>
  </si>
  <si>
    <t>6466</t>
  </si>
  <si>
    <t xml:space="preserve">TRANSFORMADOR TRIFASICO DE DISTRIBUICAO, POTENCIA DE 112,5 KVA, TENSAO NOMINAL DE 15 KV, TENSAO SECUNDARIA DE 220/127V, EM OLEO ISOLANTE TIPO MINERAL - SINAPI - 00007619</t>
  </si>
  <si>
    <t>7222</t>
  </si>
  <si>
    <t xml:space="preserve">TRANSFORMADOR TRIFASICO DE DISTRIBUICAO, POTENCIA DE 15 KVA, TENSAO NOMINAL DE 15 KV, TENSAO SECUNDARIA DE 220/127V, EM OLEO ISOLANTE TIPO MINERAL - SINAPI - 00012076</t>
  </si>
  <si>
    <t>7012</t>
  </si>
  <si>
    <t xml:space="preserve">TRANSFORMADOR TRIFASICO DE DISTRIBUICAO, POTENCIA DE 150 KVA, TENSAO NOMINAL DE 15 KV, TENSAO SECUNDARIA DE 220/127V, EM OLEO ISOLANTE TIPO MINERAL - SINAPI - 00007614</t>
  </si>
  <si>
    <t>7230</t>
  </si>
  <si>
    <t xml:space="preserve">TRANSFORMADOR TRIFASICO DE DISTRIBUICAO, POTENCIA DE 225 KVA, TENSAO NOMINAL DE 15 KV, TENSAO SECUNDARIA DE 220/127V, EM OLEO ISOLANTE TIPO MINERAL - SINAPI - 00007620</t>
  </si>
  <si>
    <t>7017</t>
  </si>
  <si>
    <t xml:space="preserve">TRANSFORMADOR TRIFASICO DE DISTRIBUICAO, POTENCIA DE 30 KVA, TENSAO NOMINAL DE 15 KV, TENSAO SECUNDARIA DE 220/127V, EM OLEO ISOLANTE TIPO MINERAL - SINAPI - 00007610</t>
  </si>
  <si>
    <t>7196</t>
  </si>
  <si>
    <t xml:space="preserve">TRANSFORMADOR TRIFASICO DE DISTRIBUICAO, POTENCIA DE 300 KVA, TENSAO NOMINAL DE 15 KV, TENSAO SECUNDARIA DE 220/127V, EM OLEO ISOLANTE TIPO MINERAL - SINAPI - 00007615</t>
  </si>
  <si>
    <t>7013</t>
  </si>
  <si>
    <t xml:space="preserve">TRANSFORMADOR TRIFASICO DE DISTRIBUICAO, POTENCIA DE 45 KVA, TENSAO NOMINAL DE 15 KV, TENSAO SECUNDARIA DE 220/127V, EM OLEO ISOLANTE TIPO MINERAL - SINAPI - 00007617</t>
  </si>
  <si>
    <t>7205</t>
  </si>
  <si>
    <t xml:space="preserve">TRANSFORMADOR TRIFASICO DE DISTRIBUICAO, POTENCIA DE 500 KVA, TENSAO NOMINAL DE 15 KV, TENSAO SECUNDARIA DE 220/127V, EM OLEO ISOLANTE TIPO MINERAL - SINAPI - 00007616</t>
  </si>
  <si>
    <t>7014</t>
  </si>
  <si>
    <t xml:space="preserve">TRANSFORMADOR TRIFASICO DE DISTRIBUICAO, POTENCIA DE 75 KVA, TENSAO NOMINAL DE 15 KV, TENSAO SECUNDARIA DE 220/127V, EM OLEO ISOLANTE TIPO MINERAL - SINAPI - 00007611</t>
  </si>
  <si>
    <t>7215</t>
  </si>
  <si>
    <t xml:space="preserve">TRANSFORMADOR TRIFASICO DE DISTRIBUICAO, POTENCIA DE 750 KVA, TENSAO NOMINAL DE 15 KV, TENSAO SECUNDARIA DE 220/127V, EM OLEO ISOLANTE TIPO MINERAL - SINAPI - 00007612</t>
  </si>
  <si>
    <t>7015</t>
  </si>
  <si>
    <t xml:space="preserve">TRANSPORTE - HORISTA (COLETDO CAIXA - ENCARGOS COMPLEMENTARES) - SINAPI - 00037371</t>
  </si>
  <si>
    <t>1925</t>
  </si>
  <si>
    <t xml:space="preserve">TRANSPORTE COM CAMINHAO BASCULANTE DE 6 M3, EM VIA URBANA EM REVESTIMENTO PRIMARIO (UNIDADE: M3XKM). AF_07/2020 - SINAPI - 97913</t>
  </si>
  <si>
    <t>1548</t>
  </si>
  <si>
    <t xml:space="preserve">TRANSPORTE COM CAMINHAO CARROCERIA 9T, EM VIA URBANA PAVIMENTADA, ADICIONAL PARA DMT EXCEDENTE A 30 KM (UNIDADE: TXKM). AF_07/2020 - SINAPI - 100948</t>
  </si>
  <si>
    <t>1574</t>
  </si>
  <si>
    <t xml:space="preserve">TRANSPORTE HORIZONTAL MANUAL, DE TUBO DE ACO CARBONO LEVE OU MEDIO, PRETO OU GALVANIZADO, COM DIAMETRO MAIOR QUE 32 MM E MENOR OU IGUAL A 65 MM (UNIDADE: MXKM). AF_07/2019 - SINAPI - 100251</t>
  </si>
  <si>
    <t>2756</t>
  </si>
  <si>
    <t xml:space="preserve">TRATAMENTO DE JUNTA DE DILATACAO, COM TARUGO DE POLIETILENO E SELANTE PU, INCLUSO PREENCHIMENTO COM ESPUMA EXPANSIVA PU. AF_09/2023 - SINAPI - 98575</t>
  </si>
  <si>
    <t>1909</t>
  </si>
  <si>
    <t xml:space="preserve">TRATOR DE ESTEIRAS, POTENCIA 170 HP, PESO OPERACIONAL 19 T, CACAMBA 5,2 M3 - CHP DIURNO. AF_06/2014 - SINAPI - 5847</t>
  </si>
  <si>
    <t>6408</t>
  </si>
  <si>
    <t xml:space="preserve">TRAVA / PRENDEDOR DE PORTA, EM LATAO CROMADO, MONTADO EM PISO - SINAPI - 00011572</t>
  </si>
  <si>
    <t>6062</t>
  </si>
  <si>
    <t xml:space="preserve">TUBO ACO GALVANIZADO COM COSTURA, CLASSE LEVE, DN 100 MM (4"), E = 3,75 MM, *10,55* KG/M (NBR 5580) - SINAPI - 00021016</t>
  </si>
  <si>
    <t>2514</t>
  </si>
  <si>
    <t xml:space="preserve">TUBO ACO GALVANIZADO COM COSTURA, CLASSE LEVE, DN 65 MM (2 1/2"), E = 3,35 MM, * 6,23* KG/M (NBR 5580) - SINAPI - 00021014</t>
  </si>
  <si>
    <t>2513</t>
  </si>
  <si>
    <t xml:space="preserve">TUBO ACO GALVANIZADO COM COSTURA, CLASSE LEVE, DN 80 MM (3"), E = 3,35 MM, *7,32* KG/M (NBR 5580) - SINAPI - 00021015</t>
  </si>
  <si>
    <t>2505</t>
  </si>
  <si>
    <t xml:space="preserve">TUBO ACO GALVANIZADO COM COSTURA, CLASSE MEDIA, DN 2.1/2", E = *3,65* MM, PESO *6,51* KG/M (NBR 5580) - SINAPI - 00007701</t>
  </si>
  <si>
    <t>6479</t>
  </si>
  <si>
    <t xml:space="preserve">TUBO ACO GALVANIZADO COM COSTURA, CLASSE MEDIA, DN 3", E = *4,05* MM, PESO *8,47* KG/M (NBR 5580) - SINAPI - 00007694</t>
  </si>
  <si>
    <t>6133</t>
  </si>
  <si>
    <t xml:space="preserve">TUBO ACO GALVANIZADO COM COSTURA, CLASSE MEDIA, DN 4", E = 4,50* MM, PESO 12,10* KG/M (NBR 5580) - SINAPI - 00007693</t>
  </si>
  <si>
    <t>6159</t>
  </si>
  <si>
    <t xml:space="preserve">TUBO ACO INDUSTRIAL CHAPA 16 1 1/2"-6M (COD.7485)</t>
  </si>
  <si>
    <t>7567</t>
  </si>
  <si>
    <t xml:space="preserve">TUBO COLETOR DE ESGOTO PVC, JEI, DN 100 MM (NBR 7362) - SINAPI - 00036365</t>
  </si>
  <si>
    <t>8302</t>
  </si>
  <si>
    <t xml:space="preserve">TUBO COLETOR DE ESGOTO PVC, JEI, DN 200 MM (NBR 7362) - SINAPI - 00041930</t>
  </si>
  <si>
    <t>8304</t>
  </si>
  <si>
    <t xml:space="preserve">TUBO COLETOR DE ESGOTO PVC, JEI, DN 250 MM (NBR 7362) - SINAPI - 00041931</t>
  </si>
  <si>
    <t>8305</t>
  </si>
  <si>
    <t xml:space="preserve">TUBO COLETOR DE ESGOTO PVC, JEI, DN 300 MM (NBR 7362) - SINAPI - 00041932</t>
  </si>
  <si>
    <t>8306</t>
  </si>
  <si>
    <t xml:space="preserve">TUBO COLETOR DE ESGOTO, PVC, JEI, DN 150 MM (NBR 7362) - SINAPI - 00041936</t>
  </si>
  <si>
    <t>8303</t>
  </si>
  <si>
    <t xml:space="preserve">TUBO DE ACO GALVANIZADO 4 POLEGADA CH 3,75MM (SINAPI 21016)</t>
  </si>
  <si>
    <t>7350</t>
  </si>
  <si>
    <t xml:space="preserve">TUBO DE BORRACHA ELASTOMERICA FLEXIVEL, PRETA, PARA ISOLAMENTO TERMICO DE TUBULACAO, DN 7/8" (22 MM), E= 32 MM, COEFICIENTE DE CONDUTIVIDADE TERMICA 0,036W/MK, VAPOR DE AGUA MAIOR OU IGUAL A 10.000 - SINAPI - 00039742</t>
  </si>
  <si>
    <t>1653</t>
  </si>
  <si>
    <t xml:space="preserve">TUBO DE COBRE FLEXIVEL, D=7/8", PARA AR CONDICIONADO/INSTALACOES DE GASES RESIDENCIAIS E COMERCIAIS</t>
  </si>
  <si>
    <t>1692</t>
  </si>
  <si>
    <t>022</t>
  </si>
  <si>
    <t xml:space="preserve">TUBO DE CONCRETO SIMPLES POROSO PARA DRENAGEM (DRENO POROSO), COM ENCAIXE MACHO E FEMEA, DIAMETRO NOMINAL DE 200 MM - SINAPI - 00012583</t>
  </si>
  <si>
    <t>8620</t>
  </si>
  <si>
    <t xml:space="preserve">TUBO DE LIGACAO CROMADO, 25 CM PARA BACIA SANITARIA (ESTEVES)</t>
  </si>
  <si>
    <t>2574</t>
  </si>
  <si>
    <t xml:space="preserve">TUBO EM ACO GALVANIZADO MEDIO DIN 2440 DE 1" (ESP=3MM)-6M</t>
  </si>
  <si>
    <t>7636</t>
  </si>
  <si>
    <t xml:space="preserve">TUBO EM ACO INDUSTRIAL 1" CHAPA 18 - 5,47KG/6MTS (COD.7456)</t>
  </si>
  <si>
    <t>7638</t>
  </si>
  <si>
    <t xml:space="preserve">TUBO EM ACO INDUSTRIAL 1.1/2" CHAPA 18 - 8,382 KG/6MTS</t>
  </si>
  <si>
    <t>7554</t>
  </si>
  <si>
    <t xml:space="preserve">TUBO EM ACO INDUSTRIAL 2" CHAPA 18-6M (COD.7551)</t>
  </si>
  <si>
    <t>7573</t>
  </si>
  <si>
    <t xml:space="preserve">TUBO EM ACO INDUSTRIAL 2.1/2" CHAPA 18 - 14,207 KG/6MTS (COD.12322)</t>
  </si>
  <si>
    <t>7640</t>
  </si>
  <si>
    <t xml:space="preserve">TUBO PLASTICO POLYWEST 150MM</t>
  </si>
  <si>
    <t>1619</t>
  </si>
  <si>
    <t xml:space="preserve">TUBO PONTA AZUL PARA VALVULA DE DESCARGA 11/2"</t>
  </si>
  <si>
    <t>2575</t>
  </si>
  <si>
    <t xml:space="preserve">TUBO PVC SERIE NORMAL, DN 100 MM, PARA ESGOTO PREDIAL (NBR 5688) - SINAPI - 00009836</t>
  </si>
  <si>
    <t>2532</t>
  </si>
  <si>
    <t xml:space="preserve">TUBO PVC SERIE NORMAL, DN 150 MM, PARA ESGOTO PREDIAL (NBR 5688) - SINAPI - 00020065</t>
  </si>
  <si>
    <t>2531</t>
  </si>
  <si>
    <t xml:space="preserve">TUBO PVC SERIE NORMAL, DN 40 MM, PARA ESGOTO PREDIAL (NBR 5688) - SINAPI - 00009835</t>
  </si>
  <si>
    <t>2535</t>
  </si>
  <si>
    <t xml:space="preserve">TUBO PVC SERIE NORMAL, DN 50 MM, PARA ESGOTO PREDIAL (NBR 5688) - SINAPI - 00009838</t>
  </si>
  <si>
    <t>2533</t>
  </si>
  <si>
    <t xml:space="preserve">TUBO PVC SERIE NORMAL, DN 75 MM, PARA ESGOTO PREDIAL (NBR 5688) - SINAPI - 00009837</t>
  </si>
  <si>
    <t>2534</t>
  </si>
  <si>
    <t>8301</t>
  </si>
  <si>
    <t xml:space="preserve">TUBO PVC, SERIE NORMAL, ESGOTO PREDIAL, DN 100 MM, FORNECIDO E INSTALADO EM RAMAL DE DESCARGA OU RAMAL DE ESGOTO SANITARIO. AF_08/2022 - SINAPI - 89714</t>
  </si>
  <si>
    <t>1769</t>
  </si>
  <si>
    <t xml:space="preserve">TUBO PVC, SERIE NORMAL, ESGOTO PREDIAL, DN 40 MM, FORNECIDO E INSTALADO EM RAMAL DE DESCARGA OU RAMAL DE ESGOTO SANITARIO. AF_08/2022 - SINAPI - 89711</t>
  </si>
  <si>
    <t>1767</t>
  </si>
  <si>
    <t xml:space="preserve">TUBO PVC, SERIE NORMAL, ESGOTO PREDIAL, DN 50 MM, FORNECIDO E INSTALADO EM RAMAL DE DESCARGA OU RAMAL DE ESGOTO SANITARIO. AF_08/2022 - SINAPI - 89712</t>
  </si>
  <si>
    <t>1768</t>
  </si>
  <si>
    <t xml:space="preserve">TUBO PVC, SERIE NORMAL, ESGOTO PREDIAL, DN 75 MM, FORNECIDO E INSTALADO EM PRUMADA DE ESGOTO SANITARIO OU VENTILACAO. AF_08/2022 - SINAPI - 89799</t>
  </si>
  <si>
    <t>1780</t>
  </si>
  <si>
    <t xml:space="preserve">TUBO PVC, SOLDAVEL, DE 110 MM, AGUA FRIA (NBR-5648) - SINAPI - 00009870</t>
  </si>
  <si>
    <t>2920</t>
  </si>
  <si>
    <t xml:space="preserve">TUBO PVC, SOLDAVEL, DE 25 MM, AGUA FRIA (NBR-5648) - SINAPI - 00009868</t>
  </si>
  <si>
    <t>2913</t>
  </si>
  <si>
    <t xml:space="preserve">TUBO PVC, SOLDAVEL, DE 32 MM, AGUA FRIA (NBR-5648) - SINAPI - 00009869</t>
  </si>
  <si>
    <t>2914</t>
  </si>
  <si>
    <t xml:space="preserve">TUBO PVC, SOLDAVEL, DE 40 MM, AGUA FRIA (NBR-5648) - SINAPI - 00009874</t>
  </si>
  <si>
    <t>2915</t>
  </si>
  <si>
    <t xml:space="preserve">TUBO PVC, SOLDAVEL, DE 50 MM, AGUA FRIA (NBR-5648) - SINAPI - 00009875</t>
  </si>
  <si>
    <t>2916</t>
  </si>
  <si>
    <t xml:space="preserve">TUBO PVC, SOLDAVEL, DE 60 MM, AGUA FRIA (NBR-5648) - SINAPI - 00009873</t>
  </si>
  <si>
    <t>2917</t>
  </si>
  <si>
    <t xml:space="preserve">TUBO PVC, SOLDAVEL, DE 75 MM, AGUA FRIA (NBR-5648) - SINAPI - 00009871</t>
  </si>
  <si>
    <t>2918</t>
  </si>
  <si>
    <t xml:space="preserve">TUBO PVC, SOLDAVEL, DE 85 MM, AGUA FRIA (NBR-5648) - SINAPI - 00009872</t>
  </si>
  <si>
    <t>2919</t>
  </si>
  <si>
    <t xml:space="preserve">TUBO QUADRADO 80X80X1,50MM PAULI 23,03KG (COD.9702)</t>
  </si>
  <si>
    <t>7540</t>
  </si>
  <si>
    <t xml:space="preserve">TUBO RETANGULAR 20X30X1,20MM PAULI 5,424KG (COD.7723)</t>
  </si>
  <si>
    <t>7541</t>
  </si>
  <si>
    <t xml:space="preserve">TUBO RETANGULAR 30X50X1,20MM PAULI 9,10KG (COD.7812)</t>
  </si>
  <si>
    <t>7542</t>
  </si>
  <si>
    <t xml:space="preserve">TUBO, PVC, SOLDAVEL, DE 25MM, INSTALADO EM DRENO DE AR-CONDICIONADO - FORNECIMENTO E INSTALACAO. AF_08/2022 - SINAPI - 89865</t>
  </si>
  <si>
    <t>1781</t>
  </si>
  <si>
    <t xml:space="preserve">TUBO, PVC, SOLDAVEL, DE 25MM, INSTALADO EM RAMAL OU SUB-RAMAL DE AGUA - FORNECIMENTO E INSTALACAO. AF_06/2022 - SINAPI - 89356</t>
  </si>
  <si>
    <t>1756</t>
  </si>
  <si>
    <t xml:space="preserve">TUBO, PVC, SOLDAVEL, DE 25MM, INSTALADO EM RESERVACAO PREDIAL DE AGUA - FORNECIMENTO E INSTALACAO. AF_04/2024 - SINAPI - 94648</t>
  </si>
  <si>
    <t>1836</t>
  </si>
  <si>
    <t xml:space="preserve">TUBO, PVC, SOLDAVEL, DE 32MM, INSTALADO EM RAMAL OU SUB-RAMAL DE AGUA - FORNECIMENTO E INSTALACAO. AF_06/2022 - SINAPI - 89357</t>
  </si>
  <si>
    <t>1757</t>
  </si>
  <si>
    <t xml:space="preserve">TUBO, PVC, SOLDAVEL, DE 32MM, INSTALADO EM RESERVACAO PREDIAL DE AGUA - FORNECIMENTO E INSTALACAO. AF_04/2024 - SINAPI - 94649</t>
  </si>
  <si>
    <t>1837</t>
  </si>
  <si>
    <t xml:space="preserve">TUBO, PVC, SOLDAVEL, DE 40MM, INSTALADO EM RAMAL DE DISTRIBUICAO DE AGUA - FORNECIMENTO E INSTALACAO. AF_06/2022 - SINAPI - 103978</t>
  </si>
  <si>
    <t>1737</t>
  </si>
  <si>
    <t xml:space="preserve">TUBO, PVC, SOLDAVEL, DE 40MM, INSTALADO EM RESERVACAO PREDIAL DE AGUA - FORNECIMENTO E INSTALACAO. AF_04/2024 - SINAPI - 94650</t>
  </si>
  <si>
    <t>1838</t>
  </si>
  <si>
    <t xml:space="preserve">UNIAO PVC, SOLDAVEL, 60 MM, PARA AGUA FRIA PREDIAL - SINAPI - 00009910</t>
  </si>
  <si>
    <t>2554</t>
  </si>
  <si>
    <t xml:space="preserve">VALVULA DE DESCARGA 1 1/2" (BASE), DOCOL OU SIMILAR, REF. 01021500</t>
  </si>
  <si>
    <t>1027</t>
  </si>
  <si>
    <t xml:space="preserve">VALVULA DE DESCARGA METALICA, BASE 1 1/2" E ACABAMENTO METALICO CROMADO - SINAPI - 00010228</t>
  </si>
  <si>
    <t>2562</t>
  </si>
  <si>
    <t xml:space="preserve">VALVULA DE RETENCAO DE BRONZE, PE COM CRIVOS, EXTREMIDADE COM ROSCA, DE 1 1/2", PARA FUNDO DE POCO - SINAPI - 00010236</t>
  </si>
  <si>
    <t>2606</t>
  </si>
  <si>
    <t xml:space="preserve">VALVULA DE RETENCAO DE BRONZE, PE COM CRIVOS, EXTREMIDADE COM ROSCA, DE 1 1/4", PARA FUNDO DE POCO - SINAPI - 00010233</t>
  </si>
  <si>
    <t>2605</t>
  </si>
  <si>
    <t xml:space="preserve">VALVULA DE RETENCAO DE BRONZE, PE COM CRIVOS, EXTREMIDADE COM ROSCA, DE 1", PARA FUNDO DE POCO - SINAPI - 00010234</t>
  </si>
  <si>
    <t>2604</t>
  </si>
  <si>
    <t xml:space="preserve">VALVULA DE RETENCAO DE BRONZE, PE COM CRIVOS, EXTREMIDADE COM ROSCA, DE 2 1/2", PARA FUNDO DE POCO - SINAPI - 00010231</t>
  </si>
  <si>
    <t>2608</t>
  </si>
  <si>
    <t xml:space="preserve">VALVULA DE RETENCAO DE BRONZE, PE COM CRIVOS, EXTREMIDADE COM ROSCA, DE 2", PARA FUNDO DE POCO - SINAPI - 00010232</t>
  </si>
  <si>
    <t>2607</t>
  </si>
  <si>
    <t xml:space="preserve">VALVULA DE RETENCAO DE BRONZE, PE COM CRIVOS, EXTREMIDADE COM ROSCA, DE 3", PARA FUNDO DE POCO - SINAPI - 00010235</t>
  </si>
  <si>
    <t>2610</t>
  </si>
  <si>
    <t xml:space="preserve">VALVULA DE RETENCAO HORIZONTAL, DE BRONZE (PN-25), 2", 400 PSI, TAMPA DE PORCA DE UNIAO, EXTREMIDADES COM ROSCA - SINAPI - 00010408</t>
  </si>
  <si>
    <t>2580</t>
  </si>
  <si>
    <t xml:space="preserve">VALVULA DE RETENCAO VERTICAL, DE BRONZE (PN-16), 2 1/2", 200 PSI, EXTREMIDADES COM ROSCA - SINAPI - 00012657</t>
  </si>
  <si>
    <t>2584</t>
  </si>
  <si>
    <t xml:space="preserve">VALVULA DE RETENCAO VERTICAL, DE BRONZE (PN-16), 3", 200 PSI, EXTREMIDADES COM ROSCA - SINAPI - 00010414</t>
  </si>
  <si>
    <t>2585</t>
  </si>
  <si>
    <t xml:space="preserve">VALVULA EM METAL CROMADO 1.1/2" X 1.1/2" PARA TANQUE OU LAVATORIO, COM OU SEM LADRAO - FORNECIMENTO E INSTALACAO. AF_01/2020 - SINAPI - 86877</t>
  </si>
  <si>
    <t>2564</t>
  </si>
  <si>
    <t xml:space="preserve">VALVULA EM METAL CROMADO PARA PIA AMERICANA 3.1/2 X 1.1/2" - SINAPI - 00006157</t>
  </si>
  <si>
    <t>2560</t>
  </si>
  <si>
    <t xml:space="preserve">VALVULA P/ MICTORIO ANTIVANDALISMO FECHAMENTO AUTOMATICO, ACAB. LC, PRESSMATIC MICTORIO REF.17015006 DA DOCOL</t>
  </si>
  <si>
    <t>2591</t>
  </si>
  <si>
    <t xml:space="preserve">VALVULA PARA PIA ESTEVES 2" X 1"</t>
  </si>
  <si>
    <t>2452</t>
  </si>
  <si>
    <t xml:space="preserve">VASO SANITARIO REF. P.515.17 LINHA VOGUE PLUS CONFORTO BRANCO DA DECA</t>
  </si>
  <si>
    <t>6431</t>
  </si>
  <si>
    <t xml:space="preserve">VASO SANITARIO SIFONADO COM CAIXA ACOPLADA LOUCA BRANCA, INCLUSO ENGATE FLEXIVEL EM PLASTICO BRANCO, 1/2 X 40CM - FORNECIMENTO E INSTALACAO. AF_01/2020 - SINAPI - 86931</t>
  </si>
  <si>
    <t>1750</t>
  </si>
  <si>
    <t>3468</t>
  </si>
  <si>
    <t xml:space="preserve">VERGALHAO DE COBRE, REDONDO - 1/4", PARA 13,8 KV - (BARRA 3M)</t>
  </si>
  <si>
    <t>7055</t>
  </si>
  <si>
    <t xml:space="preserve">VERGALHAO DE COBRE, REDONDO - 3/8", PARA 15,0 KV - (BARRA 3M)</t>
  </si>
  <si>
    <t>7056</t>
  </si>
  <si>
    <t xml:space="preserve">VERGALHAO ZINCADO ROSCA TOTAL, 1/4" (6,3 MM) - SINAPI - 00039996</t>
  </si>
  <si>
    <t>6439</t>
  </si>
  <si>
    <t xml:space="preserve">VERNIZ A BASE RESINA ALQUIDICA COM POLIURETANO PARA MADEIRA, COM FILTRO SOLAR, BRILHANTE, USO INTERNO E EXTERNO - SINAPI - 00010478</t>
  </si>
  <si>
    <t>6045</t>
  </si>
  <si>
    <t xml:space="preserve">VERNIZ TIPO COPAL PARA MADEIRA, BRILHANTE, USO INTERNO - SINAPI - 00010475</t>
  </si>
  <si>
    <t>6043</t>
  </si>
  <si>
    <t xml:space="preserve">VEU DE POLIESTER PARA IMPERMEABILIZACAO - SINAPI - 00004030</t>
  </si>
  <si>
    <t>6396</t>
  </si>
  <si>
    <t xml:space="preserve">VIBRADOR DE IMERSAO, DIAMETRO DE PONTEIRA 45MM, MOTOR ELETRICO TRIFASICO POTENCIA DE 2 CV - CHI DIURNO. AF_06/2015 - SINAPI - 90587</t>
  </si>
  <si>
    <t>7430</t>
  </si>
  <si>
    <t xml:space="preserve">VIBRADOR DE IMERSAO, DIAMETRO DE PONTEIRA 45MM, MOTOR ELETRICO TRIFASICO POTENCIA DE 2 CV - CHP DIURNO. AF_06/2015 - SINAPI - 90586</t>
  </si>
  <si>
    <t>7429</t>
  </si>
  <si>
    <t xml:space="preserve">VIDRACEIRO COM ENCARGOS COMPLEMENTARES - SINAPI - 88325</t>
  </si>
  <si>
    <t>4061</t>
  </si>
  <si>
    <t>020</t>
  </si>
  <si>
    <t xml:space="preserve">VIDRO MARTELADO OU CANELADO, 4 MM - SEM COLOCACAO - SINAPI - 00010499</t>
  </si>
  <si>
    <t>6047</t>
  </si>
  <si>
    <t xml:space="preserve">VIGA APARELHADA *6 X 12* CM, EM MACARANDUBA/MASSARANDUBA, ANGELIM OU EQUIVALENTE DA REGIAO - SINAPI - 00020213</t>
  </si>
  <si>
    <t>1196</t>
  </si>
  <si>
    <t xml:space="preserve">VIGA APARELHADA *6 X 16* CM, EM MACARANDUBA/MASSARANDUBA, ANGELIM OU EQUIVALENTE DA REGIAO - SINAPI - 00020211</t>
  </si>
  <si>
    <t>1203</t>
  </si>
  <si>
    <t xml:space="preserve">VIGIA NOTURNO, HORA EFETIVAMENTE TRABALHADA DE 22H AS 5H (COM ADICIONAL NOTURNO)</t>
  </si>
  <si>
    <t>4050</t>
  </si>
  <si>
    <t xml:space="preserve">Memória de Cálculo: Bits/Blocos/Porta Bits</t>
  </si>
  <si>
    <t>Goldpav</t>
  </si>
  <si>
    <t>PAV</t>
  </si>
  <si>
    <t xml:space="preserve">COTAÇÃO 1</t>
  </si>
  <si>
    <t xml:space="preserve">BITS </t>
  </si>
  <si>
    <t xml:space="preserve">SUL PEÇAS</t>
  </si>
  <si>
    <t xml:space="preserve">Bits para Recicladora</t>
  </si>
  <si>
    <t>GOLDPAV</t>
  </si>
  <si>
    <t>REALPAV</t>
  </si>
  <si>
    <t xml:space="preserve">Média do Preço =</t>
  </si>
  <si>
    <t xml:space="preserve">COTAÇÃO 2</t>
  </si>
  <si>
    <t>BLOCOS</t>
  </si>
  <si>
    <t xml:space="preserve">Blocos para Recicladora</t>
  </si>
  <si>
    <t xml:space="preserve">COTAÇÃO 3</t>
  </si>
  <si>
    <t xml:space="preserve">PORTA BITS</t>
  </si>
  <si>
    <t xml:space="preserve">Porta Bits para Recicladora</t>
  </si>
  <si>
    <t xml:space="preserve">Memória de Cálculo: RC 1C - Micro</t>
  </si>
  <si>
    <t xml:space="preserve">COTAÇÃO 4</t>
  </si>
  <si>
    <t xml:space="preserve">RC 1C</t>
  </si>
  <si>
    <t xml:space="preserve">GRECA - PREÇO CIF DDS</t>
  </si>
  <si>
    <t xml:space="preserve">RC 1C - MICRO</t>
  </si>
  <si>
    <t>t</t>
  </si>
  <si>
    <t xml:space="preserve">BETUNEL - PREÇO CIF DDS</t>
  </si>
  <si>
    <t xml:space="preserve">RC 1C FLEX 55</t>
  </si>
  <si>
    <t xml:space="preserve">CASA DO ASFALTO - PREÇO CIF DDS</t>
  </si>
  <si>
    <t xml:space="preserve">RC 1C E</t>
  </si>
  <si>
    <t xml:space="preserve">Mediana =</t>
  </si>
  <si>
    <t xml:space="preserve">Para encontrar o valor da mediana é necessário colocar os valores em ordem crescente ou decrescente. Quando o número elementos de um conjunto é par, a mediana é encontrada pela média dos dois valores centrais. Assim, esses valores são somados e divididos por dois</t>
  </si>
  <si>
    <t xml:space="preserve">Memória de Cálculo: Cotação TARUGO Poliestireno</t>
  </si>
  <si>
    <t xml:space="preserve">COTAÇÃO 5</t>
  </si>
  <si>
    <r>
      <rPr>
        <b/>
        <sz val="10"/>
        <rFont val="Arial"/>
      </rPr>
      <t xml:space="preserve">Tarugo Poliestireno, </t>
    </r>
    <r>
      <rPr>
        <b/>
        <sz val="10"/>
        <rFont val="CommercialPi BT"/>
      </rPr>
      <t xml:space="preserve">E </t>
    </r>
    <r>
      <rPr>
        <b/>
        <sz val="10"/>
        <rFont val="Arial"/>
      </rPr>
      <t xml:space="preserve">= 30 mm</t>
    </r>
  </si>
  <si>
    <r>
      <rPr>
        <b/>
        <sz val="10"/>
        <rFont val="Arial"/>
      </rPr>
      <t xml:space="preserve">COTAÇÃO 44513287</t>
    </r>
    <r>
      <rPr>
        <b/>
        <sz val="10"/>
        <color indexed="2"/>
        <rFont val="Arial"/>
      </rPr>
      <t xml:space="preserve">            2,53</t>
    </r>
  </si>
  <si>
    <t xml:space="preserve">LEOLUD VENDEDOR SILVIA 23/08/2022 - INCLUSO DIFERENCIAL ICMS</t>
  </si>
  <si>
    <r>
      <rPr>
        <b/>
        <sz val="10"/>
        <rFont val="Arial"/>
      </rPr>
      <t xml:space="preserve">COTAÇÃO 33173</t>
    </r>
    <r>
      <rPr>
        <b/>
        <sz val="10"/>
        <color indexed="2"/>
        <rFont val="Arial"/>
      </rPr>
      <t xml:space="preserve">          1,71</t>
    </r>
  </si>
  <si>
    <t xml:space="preserve">PROESPUMA VENDEDOR LUCAS  16/02/2022 (R$273,90 /160 M) </t>
  </si>
  <si>
    <t xml:space="preserve">FRETE TRANSPORTADORA NACIONAL  (R$ 459,66 / 480 M)</t>
  </si>
  <si>
    <t xml:space="preserve">Incluindo R$ 1,43 de frete em cada preço, fica: </t>
  </si>
  <si>
    <t xml:space="preserve">LEOLUD (INCLUSO FRETE)</t>
  </si>
  <si>
    <t xml:space="preserve">PROESPUMA (INCLUSO FRETE)</t>
  </si>
  <si>
    <t xml:space="preserve">Média do Preço Tarugo = </t>
  </si>
  <si>
    <t xml:space="preserve"> (3,96 + 3,14) / 2</t>
  </si>
  <si>
    <t xml:space="preserve">Memória de Cálculo: Selante de Silicone</t>
  </si>
  <si>
    <t xml:space="preserve">COTAÇÃO 6</t>
  </si>
  <si>
    <t xml:space="preserve">Silicone selante</t>
  </si>
  <si>
    <t xml:space="preserve">un  </t>
  </si>
  <si>
    <t xml:space="preserve">COTAÇÃO DAYBRASIL</t>
  </si>
  <si>
    <t xml:space="preserve">Selante de silicone para juntas de pavimento concreto/asfalto - Cartucho 875 ml</t>
  </si>
  <si>
    <t xml:space="preserve">Cotação nº AAADOB - 23/08/2022</t>
  </si>
  <si>
    <t xml:space="preserve">Day Brasil - vendedor Alan Camargo - alan.camargo@daybrasil.com.br</t>
  </si>
  <si>
    <t xml:space="preserve">1 balde 22,2Kg R$ 2.980,90 - 1 balde 1,00 Kg R$ 134,27 - Cartucho 875ml R$ 117,49 </t>
  </si>
  <si>
    <t xml:space="preserve">COTAÇÃO ALUSUL</t>
  </si>
  <si>
    <t xml:space="preserve">Cotação 23/08/2022</t>
  </si>
  <si>
    <t xml:space="preserve">Alusul - Vendedora Andrea - andrea@alusul.com.br</t>
  </si>
  <si>
    <t xml:space="preserve">1 Sache 591 ml R$ 140,00  - 1 Sache 875ml R$ 207,28</t>
  </si>
  <si>
    <t xml:space="preserve">Média do Preço Silicone = </t>
  </si>
  <si>
    <t xml:space="preserve"> (117,49 + 207,28) / 2</t>
  </si>
  <si>
    <t>DREN</t>
  </si>
  <si>
    <t xml:space="preserve">Memória de Cálculo: TUBO PEAD 200 MM</t>
  </si>
  <si>
    <t xml:space="preserve">COTAÇÃO 7 </t>
  </si>
  <si>
    <t xml:space="preserve">TUBOS PEAD COM PAREDES ESTRUTURADAS PARA DRENAGEM - D=200 MM</t>
  </si>
  <si>
    <t xml:space="preserve">Cotação Tigre - Recebido 13/06/2025</t>
  </si>
  <si>
    <t xml:space="preserve">(Preço do Produto do PEAD / 6m) (Para o Preço ser em Metro)</t>
  </si>
  <si>
    <t xml:space="preserve">CALC SINAL</t>
  </si>
  <si>
    <t xml:space="preserve">Memória de Cálculo: PISO TÁTIL - 25X25</t>
  </si>
  <si>
    <t xml:space="preserve">COTAÇÃO 8</t>
  </si>
  <si>
    <t xml:space="preserve">Piso tátil Direcional/Alerta</t>
  </si>
  <si>
    <t xml:space="preserve">MS ARTEFATOS</t>
  </si>
  <si>
    <t xml:space="preserve">Piso tátil Direcional/Alerta 25x25 cm</t>
  </si>
  <si>
    <t xml:space="preserve">LA-J LUCAS</t>
  </si>
  <si>
    <t>CONCRETÁTIL</t>
  </si>
  <si>
    <t xml:space="preserve">Memória de Cálculo: CM - IMPRIMA</t>
  </si>
  <si>
    <t xml:space="preserve">COTAÇÃO 9</t>
  </si>
  <si>
    <t>IMPRIMA</t>
  </si>
  <si>
    <t xml:space="preserve">CM - IMPR - EAI</t>
  </si>
  <si>
    <t xml:space="preserve">Emulpen EAI</t>
  </si>
  <si>
    <t xml:space="preserve">PRIME - EAI </t>
  </si>
  <si>
    <t xml:space="preserve">Memória de Cálculo: RR - 1C</t>
  </si>
  <si>
    <t xml:space="preserve">COTAÇÃO 10</t>
  </si>
  <si>
    <t xml:space="preserve">RR - 1C</t>
  </si>
  <si>
    <t xml:space="preserve">Memória de Cálculo:TUBO PEAD 450 MM</t>
  </si>
  <si>
    <t xml:space="preserve">COTAÇÃO 11</t>
  </si>
  <si>
    <t xml:space="preserve">TUBOS PEAD COM PAREDES ESTRUTURADAS PARA DRENAGEM - D=450 MM</t>
  </si>
  <si>
    <t xml:space="preserve">(Preçodo Produto do PEAD / 6m) (Para o Preço ser em Metro)</t>
  </si>
  <si>
    <t xml:space="preserve">Memória de Cálculo:TUBO FOFO</t>
  </si>
  <si>
    <t xml:space="preserve">COTAÇÃO 12</t>
  </si>
  <si>
    <t xml:space="preserve">Tubo FoFo TCL 250 mm </t>
  </si>
  <si>
    <t xml:space="preserve">JV TUBOS  - PREÇO CIF DDS</t>
  </si>
  <si>
    <t xml:space="preserve">Cotação JV Tubos e Acabamentos - Recebido 08/02/2023 (Preço Tubo/ 2,30 m)</t>
  </si>
  <si>
    <t xml:space="preserve">COTAÇÃO 13</t>
  </si>
  <si>
    <t xml:space="preserve">Tubo FoFo TCL 150 mm </t>
  </si>
  <si>
    <t xml:space="preserve">COTAÇÃO 14</t>
  </si>
  <si>
    <r>
      <rPr>
        <b/>
        <sz val="10"/>
        <rFont val="Arial"/>
      </rPr>
      <t xml:space="preserve">Memória de Cálculo: TUBO DE AÇO INDUSTRIAL - </t>
    </r>
    <r>
      <rPr>
        <b/>
        <sz val="10"/>
        <rFont val="CommercialPi BT"/>
      </rPr>
      <t xml:space="preserve">E </t>
    </r>
    <r>
      <rPr>
        <b/>
        <sz val="10"/>
        <rFont val="Arial"/>
      </rPr>
      <t xml:space="preserve">2 1/2" - #18</t>
    </r>
  </si>
  <si>
    <r>
      <rPr>
        <b/>
        <sz val="10"/>
        <rFont val="Arial"/>
      </rPr>
      <t xml:space="preserve">TUBO DE AÇO INDUSTRIAL - </t>
    </r>
    <r>
      <rPr>
        <b/>
        <sz val="10"/>
        <rFont val="CommercialPi BT"/>
      </rPr>
      <t>E</t>
    </r>
    <r>
      <rPr>
        <b/>
        <sz val="10"/>
        <rFont val="Arial"/>
      </rPr>
      <t xml:space="preserve"> 2 1/2" - #18 - 1,2 mm</t>
    </r>
  </si>
  <si>
    <t xml:space="preserve">AÇOFORT Tony Veiga 67 3424 0909</t>
  </si>
  <si>
    <t xml:space="preserve">TUBO IND. 2 1/2" x 1,20 mm -  m </t>
  </si>
  <si>
    <t xml:space="preserve">ARCELORMITTAL tiago.costa@amdistribuicao.com.br 67 99658-8303 67 3424-8181</t>
  </si>
  <si>
    <t xml:space="preserve">DIVIDIR O VALOR DO TUBO PELO COMPRIMENTO TOTAL DO MESMO</t>
  </si>
  <si>
    <t xml:space="preserve">IMESUL Antônio Carlos 67 3427-5700 67 99972-1351</t>
  </si>
  <si>
    <t>SINAL</t>
  </si>
  <si>
    <t xml:space="preserve">Memória de Cálculo: SUPORTE PLACA DE SINALIZAÇÃO</t>
  </si>
  <si>
    <t xml:space="preserve">COTAÇÃO 15</t>
  </si>
  <si>
    <t xml:space="preserve">SUPORTE DE PLACA DE SINALIZAÇÃO:</t>
  </si>
  <si>
    <t xml:space="preserve">ECO BRASIL MADEIRA PLÁSTICA</t>
  </si>
  <si>
    <t xml:space="preserve">Tamanho 90x90mm com 3.0m com tratamento UV material reciclado revestido com polipropileno e polietileno na cor branca com tampa protendido com 4 fios de arame de aço carbono de acordo com a norma NBR 5589/82, com espessura mínima de 1,5mm.</t>
  </si>
  <si>
    <t xml:space="preserve">(Preço do suporte / 3,2m) </t>
  </si>
  <si>
    <t xml:space="preserve">ECOPEX MATERIAIS ECOLÓGICOS </t>
  </si>
  <si>
    <t xml:space="preserve">Suporte de placa 90x90mm até 4.0m - com arame recozido de 2,1mm coextrusado nas 4 paredes; cor branca; peso 3,9 kg por metro linear.</t>
  </si>
  <si>
    <t xml:space="preserve">março/2022 - felipe@ecopex.com.br</t>
  </si>
  <si>
    <t xml:space="preserve">Preço por metro linear</t>
  </si>
  <si>
    <t xml:space="preserve">Memória de Cálculo: BANHEIRO QUÍMICO</t>
  </si>
  <si>
    <t xml:space="preserve">COTAÇÃO 16</t>
  </si>
  <si>
    <t xml:space="preserve">BANHEIRO QUÍMICO</t>
  </si>
  <si>
    <t>un/mês</t>
  </si>
  <si>
    <t xml:space="preserve">INDUSTEC HIGIENIZAÇÃO</t>
  </si>
  <si>
    <t xml:space="preserve">Aluguel de banheiro químico, manutenção e higienização 3 vezes por semana.</t>
  </si>
  <si>
    <t xml:space="preserve">Marcos Antônio - atendimento@industec.org</t>
  </si>
  <si>
    <t xml:space="preserve">W SOM</t>
  </si>
  <si>
    <t xml:space="preserve">Wilson Diniz - wsomeventos@hotmail.com</t>
  </si>
  <si>
    <t xml:space="preserve">Memória de Cálculo: TAMPA 470X700 MM</t>
  </si>
  <si>
    <t xml:space="preserve">COTAÇÃO 17</t>
  </si>
  <si>
    <t xml:space="preserve">TAMPA COM BASE FOFO  SIMPLES 470 X 700 MM, CLASSE B125, CARGA MÁXIMA 12,5 T, COM SUPORTE EM FERRO FUNDIDO, NBR 10160 E NBR 6916 / FE 42012</t>
  </si>
  <si>
    <t xml:space="preserve">EDYP FUNDAÇÃO</t>
  </si>
  <si>
    <t xml:space="preserve">Tampa 47x70 cm com suporte </t>
  </si>
  <si>
    <t xml:space="preserve">FUNDIÇÃO IRMÃOS OLIVETTI</t>
  </si>
  <si>
    <t xml:space="preserve">Tampa em ferro fundido 470 x 700 mm com requadro cantoneiro de aço</t>
  </si>
  <si>
    <t xml:space="preserve">METALÚRGICA VOIGT</t>
  </si>
  <si>
    <t xml:space="preserve">Tampa 460x700mm com aro CL B 125, CL D 400</t>
  </si>
  <si>
    <t xml:space="preserve">Memória de Cálculo: SUPERESTRUTURA - PONTE HAYEL</t>
  </si>
  <si>
    <t xml:space="preserve">COTAÇÃO 18</t>
  </si>
  <si>
    <t xml:space="preserve">SUPERESTRUTURA (CONCRETO ARMADO PRÉ-MOLDADO - LAJE DE APROXIMAÇÃO VIGAMENTO E LAJE, JUNTAS DE ARTICULAÇÃO E INTERLIGAÇÕES, GUARD RAIL (NEW JERSEY)., GUARDA CORPO E CALÇAMENTO)</t>
  </si>
  <si>
    <t>MATPAR</t>
  </si>
  <si>
    <t xml:space="preserve">SUPERESTRUTURA - PONTE</t>
  </si>
  <si>
    <t>CONCRELAJE</t>
  </si>
  <si>
    <t>SOTEF</t>
  </si>
  <si>
    <t xml:space="preserve">Memória de Cálculo: LAJE PROTENDIDA</t>
  </si>
  <si>
    <t xml:space="preserve">COTAÇÃO 19</t>
  </si>
  <si>
    <t xml:space="preserve">LAJE PROTENDIDA</t>
  </si>
  <si>
    <t xml:space="preserve">SOLAR ENGENHARIA</t>
  </si>
  <si>
    <t xml:space="preserve">261,53 m² x R$ 127,17</t>
  </si>
  <si>
    <t xml:space="preserve">LAJES TAMOYO</t>
  </si>
  <si>
    <t xml:space="preserve">262,30 m² x R$ 143,00</t>
  </si>
  <si>
    <t xml:space="preserve">COTAÇÃO 20</t>
  </si>
  <si>
    <t xml:space="preserve">Memória de Cálculo: ARENITO</t>
  </si>
  <si>
    <t>ARENITO</t>
  </si>
  <si>
    <t xml:space="preserve">M.R - COMÉRCIO E SERVIÇOS</t>
  </si>
  <si>
    <t xml:space="preserve">I.M.R DA COSTA &amp; CIA LTDA</t>
  </si>
  <si>
    <r>
      <rPr>
        <b/>
        <sz val="10"/>
        <rFont val="Arial"/>
      </rPr>
      <t xml:space="preserve">Memória de Cálculo: TUBO DE AÇO INDUSTRIAL - </t>
    </r>
    <r>
      <rPr>
        <b/>
        <sz val="10"/>
        <rFont val="CommercialPi BT"/>
      </rPr>
      <t xml:space="preserve">E </t>
    </r>
    <r>
      <rPr>
        <b/>
        <sz val="10"/>
        <rFont val="Arial"/>
      </rPr>
      <t xml:space="preserve">2 1/2" - #14</t>
    </r>
  </si>
  <si>
    <t xml:space="preserve">COTAÇÃO 21</t>
  </si>
  <si>
    <r>
      <rPr>
        <b/>
        <sz val="10"/>
        <rFont val="Arial"/>
      </rPr>
      <t xml:space="preserve">TUBO DE AÇO INDUSTRIAL - </t>
    </r>
    <r>
      <rPr>
        <b/>
        <sz val="10"/>
        <rFont val="CommercialPi BT"/>
      </rPr>
      <t>E</t>
    </r>
    <r>
      <rPr>
        <b/>
        <sz val="10"/>
        <rFont val="Arial"/>
      </rPr>
      <t xml:space="preserve"> 2 1/2" - #14</t>
    </r>
  </si>
  <si>
    <t xml:space="preserve">BRAGANFER heleno@braganfer.com.br 011 98770-2844 011 4331-4441</t>
  </si>
  <si>
    <t xml:space="preserve">Tubo 2 1/2" x 2,0 - barra 6 m </t>
  </si>
  <si>
    <t xml:space="preserve">TUBO IND. 2 1/2" x 2,0 - barra 6 m</t>
  </si>
  <si>
    <t xml:space="preserve">AÇOTELHA jean@acotelha.com 67 99258-8679 67 3420-3200</t>
  </si>
  <si>
    <r>
      <rPr>
        <sz val="10"/>
        <rFont val="Arial"/>
      </rPr>
      <t xml:space="preserve">TUBO DE AÇO CARBONO COM COSTURA - </t>
    </r>
    <r>
      <rPr>
        <sz val="10"/>
        <rFont val="CommercialPi BT"/>
      </rPr>
      <t>E</t>
    </r>
    <r>
      <rPr>
        <sz val="10"/>
        <rFont val="Arial"/>
      </rPr>
      <t xml:space="preserve"> 2 1/2" - #14 - Tubo 6 m </t>
    </r>
  </si>
  <si>
    <t xml:space="preserve">Memória de Cálculo: GRELHA ARTICULADA</t>
  </si>
  <si>
    <t xml:space="preserve">COTAÇÃO 22</t>
  </si>
  <si>
    <t xml:space="preserve">GRELHA ARTICULADA FOFO</t>
  </si>
  <si>
    <t>SCHETTINI</t>
  </si>
  <si>
    <t xml:space="preserve">Memória de Cálculo: RR - 2C</t>
  </si>
  <si>
    <t xml:space="preserve">COTAÇÃO 23</t>
  </si>
  <si>
    <t xml:space="preserve">RR - 2C</t>
  </si>
  <si>
    <t xml:space="preserve">SERV PREL</t>
  </si>
  <si>
    <t xml:space="preserve">Memória de Cálculo: PLACA DE OBRA</t>
  </si>
  <si>
    <t xml:space="preserve">COTAÇÃO 24</t>
  </si>
  <si>
    <t xml:space="preserve">PLACA DE OBRA</t>
  </si>
  <si>
    <t xml:space="preserve">METAL PLACAS</t>
  </si>
  <si>
    <t xml:space="preserve">PLACA DE OBRA (PARA CONSTRUCAO CIVIL) EM CHAPA GALVANIZADA *N. 22*, ADESIVADA, DE *2,4 X 1,2* M (SEM POSTES PARA FIXACAO)                                                                                                                                                                                                                                                                                                                                                                                 </t>
  </si>
  <si>
    <t xml:space="preserve">(Preço do Produto (un) / 2,4 / 1,2 ) (Para o Preço ser em Metro Quadrado)</t>
  </si>
  <si>
    <t>SERLINC</t>
  </si>
  <si>
    <t>PLENILUX</t>
  </si>
  <si>
    <t xml:space="preserve">preço sinapi</t>
  </si>
  <si>
    <t xml:space="preserve">Memória de Cálculo: TUBO PS1 - 600 MM</t>
  </si>
  <si>
    <t xml:space="preserve">COTAÇÃO 25</t>
  </si>
  <si>
    <t xml:space="preserve">TUBO PS1 - 600 MM</t>
  </si>
  <si>
    <t xml:space="preserve">PAV TUBOS (CG) - SEM ENTREGA</t>
  </si>
  <si>
    <t xml:space="preserve">TUBO DE CONCRETO SIMPLES CLASSE PS-1 PB, DN=600 MM</t>
  </si>
  <si>
    <t xml:space="preserve">comprimento do tubo 2,00 e transporte 82,43</t>
  </si>
  <si>
    <t xml:space="preserve">RIO NILO CONSTRUTORA</t>
  </si>
  <si>
    <t>CONCREVALE</t>
  </si>
  <si>
    <t xml:space="preserve">Memória de Cálculo: TUBO PA2 - 600 MM</t>
  </si>
  <si>
    <t xml:space="preserve">COTAÇÃO 26</t>
  </si>
  <si>
    <t xml:space="preserve">TUBO PA2 - 600 MM</t>
  </si>
  <si>
    <t xml:space="preserve">TUBO DE CONCRETO ARMADO CLASSE PA-2 PB, DN=600 MM</t>
  </si>
  <si>
    <t xml:space="preserve">Memória de Cálculo:TUBO K7 FOFO</t>
  </si>
  <si>
    <t xml:space="preserve">COTAÇÃO 27</t>
  </si>
  <si>
    <t xml:space="preserve">Tubo K7 FoFo 250 mm </t>
  </si>
  <si>
    <t xml:space="preserve">Cotação JV Tubos e Acabamentos - Recebido 21/09/2023 </t>
  </si>
  <si>
    <t xml:space="preserve">Memória de Cálculo:TUBO PEAD 600 MM</t>
  </si>
  <si>
    <t xml:space="preserve">COTAÇÃO 28</t>
  </si>
  <si>
    <t xml:space="preserve">TUBOS PEAD COM PAREDES ESTRUTURADAS PARA DRENAGEM - D=600 MM</t>
  </si>
  <si>
    <t xml:space="preserve">Memória de Cálculo:TUBO PEAD 750 MM</t>
  </si>
  <si>
    <t xml:space="preserve">COTAÇÃO 29</t>
  </si>
  <si>
    <t xml:space="preserve">TUBOS PEAD COM PAREDES ESTRUTURADAS PARA DRENAGEM - D=750 MM</t>
  </si>
  <si>
    <t xml:space="preserve">Memória de Cálculo:TUBO PEAD 900 MM</t>
  </si>
  <si>
    <t xml:space="preserve">COTAÇÃO 30</t>
  </si>
  <si>
    <t xml:space="preserve">TUBOS PEAD COM PAREDES ESTRUTURADAS PARA DRENAGEM - D=900 MM</t>
  </si>
  <si>
    <t xml:space="preserve">Memória de Cálculo:TUBO PEAD 1050 MM</t>
  </si>
  <si>
    <t xml:space="preserve">COTAÇÃO 31</t>
  </si>
  <si>
    <t xml:space="preserve">TUBOS PEAD COM PAREDES ESTRUTURADAS PARA DRENAGEM - D=1050 MM</t>
  </si>
  <si>
    <t xml:space="preserve">Memória de Cálculo: ANEL DE VEDAÇÃO PARA FERRO FUNDIDO K7 - DN 250 MM</t>
  </si>
  <si>
    <t xml:space="preserve">COTAÇÃO 32</t>
  </si>
  <si>
    <t xml:space="preserve">ANEL DE VEDAÇÃO PARA FERRO FUNDIDO K7 - DN 250 MM</t>
  </si>
  <si>
    <t xml:space="preserve">UN </t>
  </si>
  <si>
    <t xml:space="preserve">JV ORÇAMENTO 568641</t>
  </si>
  <si>
    <t xml:space="preserve">ANEL DE VEDAÇÃO PARA FERRO FUNDIDO K7ANEL DE VEDAÇÃO PARA FERRO FUNDIDO K7 - DN 250 MM</t>
  </si>
  <si>
    <t xml:space="preserve">COTAÇÃO 33</t>
  </si>
  <si>
    <t xml:space="preserve">Memória de Cálculo:TUBO PEAD 1500 MM</t>
  </si>
  <si>
    <t xml:space="preserve">TUBOS PEAD COM PAREDES ESTRUTURADAS PARA DRENAGEM - D=1500 MM</t>
  </si>
  <si>
    <t xml:space="preserve">COTAÇÃO 34</t>
  </si>
  <si>
    <t xml:space="preserve">Memória de Cálculo: TAMPÃO</t>
  </si>
  <si>
    <t xml:space="preserve">TAMPÃO FOFO ARTICULADO 83 KG, CARGA MÁXIMA 40.000 KG, DIÂMETRO DE ABERTURA 600 MM, PARA POÇO DE VISITA</t>
  </si>
  <si>
    <t xml:space="preserve"> FUNDIÇÃO ÁLEA</t>
  </si>
  <si>
    <t xml:space="preserve">TAMPÃO ARTICULADO DN 600MM CLASSE D400</t>
  </si>
  <si>
    <t xml:space="preserve">TAMPÃO EM FERRO FUNDIDO TD600 ARTICULADO COM INSCRIÇÃO ÁGUAS PLUVIAIS</t>
  </si>
  <si>
    <t xml:space="preserve">TAMPÃO ARTICULADO DN 600MM D-400 USI - LISO</t>
  </si>
  <si>
    <t xml:space="preserve">Memória de Cálculo: TUBO PS1 - 400 MM</t>
  </si>
  <si>
    <t xml:space="preserve">COTAÇÃO 35</t>
  </si>
  <si>
    <t xml:space="preserve">TUBO PS1 - 400 MM</t>
  </si>
  <si>
    <t xml:space="preserve">TUBO DE CONCRETO SIMPLES CLASSE PS-1 PB, DN=400 MM</t>
  </si>
  <si>
    <t xml:space="preserve">comprimento do tubo 1,5 e transporte 155,70</t>
  </si>
  <si>
    <t xml:space="preserve">Memória de Cálculo: GRADIL</t>
  </si>
  <si>
    <t xml:space="preserve">COTAÇÃO 36</t>
  </si>
  <si>
    <t xml:space="preserve">GRADIL 5X20CM FIO 4,30MM, ALTURA 2,03M</t>
  </si>
  <si>
    <t xml:space="preserve">MS CERCAS E CIA</t>
  </si>
  <si>
    <t xml:space="preserve">GRADIL STANDART 5X20CM FIO 4,30MM, ALTURA 2,03M, REVESTIMENTO EM PVC COR VERDE</t>
  </si>
  <si>
    <t>COMTELAS</t>
  </si>
  <si>
    <t>SHOPTELAS</t>
  </si>
  <si>
    <t xml:space="preserve">GRADIL PVC VERDE 5X20X4,30MM - ALT. 2,03M</t>
  </si>
  <si>
    <t xml:space="preserve">Memória de Cálculo: POSTE METÁLICO</t>
  </si>
  <si>
    <t xml:space="preserve">COTAÇÃO 37</t>
  </si>
  <si>
    <t xml:space="preserve">POSTE METÁLICO 40X60MM - H=3,00M</t>
  </si>
  <si>
    <t xml:space="preserve">POSTE METÁLICO 40X60MM, REVESTIDO PVC, COM FIXADORES E PARAFUSOS=3,00M</t>
  </si>
  <si>
    <t xml:space="preserve">POSTE 1,5MM SEÇÃO 4X6CM, H=3,00M</t>
  </si>
  <si>
    <t xml:space="preserve">POSTE MONTANTE PVC VERDE 60X40X1,5MM - H=3,00M</t>
  </si>
  <si>
    <t xml:space="preserve">Memória de Cálculo: FIXADORES E PARAFUSOS POSTE</t>
  </si>
  <si>
    <t xml:space="preserve">COTAÇÃO 38</t>
  </si>
  <si>
    <t xml:space="preserve">FIXADORES E PARAFUSOS POSTE</t>
  </si>
  <si>
    <t xml:space="preserve">FIXADORES E PARAFUSOS /ACESSORIOS DE FIXAÇÃO</t>
  </si>
  <si>
    <t xml:space="preserve">CONJ. FIXADOR C/TAMPA E PARAFUSOS</t>
  </si>
  <si>
    <t xml:space="preserve">COTAÇÃO 39</t>
  </si>
  <si>
    <t xml:space="preserve">GEOGRELHA BIDIRECIONAL EM POLIÉSTER REVESTIDO COM PVC - RESISTÊNCIA À TRAÇÃO LONGITUDINAL/TRANSVERSAL DE 45 KN/M</t>
  </si>
  <si>
    <t xml:space="preserve">COTAÇÃO 40</t>
  </si>
  <si>
    <t xml:space="preserve">Memória de Cálculo: RESÍDUOS DESMATAMENTO</t>
  </si>
  <si>
    <t>VPAB</t>
  </si>
  <si>
    <t xml:space="preserve">TRATAMENTO E DISPOSIÇÃO FINAL DE RESÍDUOS GERADOS DO DESMATAMENTO (CLASSE II)</t>
  </si>
  <si>
    <t>COMPOSTRAT</t>
  </si>
  <si>
    <t xml:space="preserve">RESÍDUOS DESMATAMENTO</t>
  </si>
  <si>
    <t xml:space="preserve">OCA AMBIENTAL</t>
  </si>
  <si>
    <t xml:space="preserve">DOURADOS ENG. AMBIENTAL</t>
  </si>
  <si>
    <t xml:space="preserve">COTAÇÃO 41</t>
  </si>
  <si>
    <t xml:space="preserve">Memória de Cálculo: TUBO DE CONCRETO PA-2 DN 1.750 MM</t>
  </si>
  <si>
    <t xml:space="preserve">TUBO DE CONCRETO ARMADO CLASSE PA-2 PB, DN=1.750 MM PARA ÁGUAS PLUVIAIS</t>
  </si>
  <si>
    <t xml:space="preserve">MAGNA ENGENHARIA</t>
  </si>
  <si>
    <t xml:space="preserve">TUBO DE CONCRETO PA-2 DN 1.750 MM</t>
  </si>
  <si>
    <t xml:space="preserve">DECON ARTEFATOS</t>
  </si>
  <si>
    <t xml:space="preserve">ROCHA ARTEFATOS</t>
  </si>
  <si>
    <t xml:space="preserve">Memória de Cálculo: BICA CORRIDA</t>
  </si>
  <si>
    <t xml:space="preserve">COTAÇÃO 42</t>
  </si>
  <si>
    <t xml:space="preserve">BICA CORRIDA</t>
  </si>
  <si>
    <t xml:space="preserve">MINERAÇÃO SANTA MARIA LTDA</t>
  </si>
  <si>
    <t xml:space="preserve">DENSIDADE BRITA GRADUADA</t>
  </si>
  <si>
    <t xml:space="preserve">PEDREIRA VILA VARGAS</t>
  </si>
  <si>
    <t>PLANACON</t>
  </si>
  <si>
    <t xml:space="preserve">Memória de Cálculo:TUBO PEAD 300 MM</t>
  </si>
  <si>
    <t xml:space="preserve">COTAÇÃO 43</t>
  </si>
  <si>
    <t xml:space="preserve">TUBOS PEAD COM PAREDES ESTRUTURADAS PARA DRENAGEM - D=300 MM</t>
  </si>
  <si>
    <t xml:space="preserve">Cotação Tigre - Recebido 13/06/25</t>
  </si>
  <si>
    <t xml:space="preserve">COTAÇÃO 44</t>
  </si>
  <si>
    <t xml:space="preserve">BLOCO DE CONCRETO ESTRUTURAL 14X19X39 CM, FBK 8 MPA (NBR 6136)</t>
  </si>
  <si>
    <t xml:space="preserve">COTAÇÃO 45</t>
  </si>
  <si>
    <t xml:space="preserve">MEIO BLOCO DE CONCRETO ESTRUTURAL 14X19X39 CM, FBK 8 MPA (NBR 6136)</t>
  </si>
  <si>
    <t xml:space="preserve">COTAÇÃO 46</t>
  </si>
  <si>
    <t xml:space="preserve">CANALETA DE CONCRETO ESTRUTURAL 14X19X39 CM, FBK 8 MPA (NBR 6136)</t>
  </si>
  <si>
    <t xml:space="preserve">COTAÇÃO 47</t>
  </si>
  <si>
    <t xml:space="preserve">COTAÇÃO 47 - Ver Obs</t>
  </si>
  <si>
    <t xml:space="preserve">Aquisição de materiais para reservatório de detenção</t>
  </si>
  <si>
    <t xml:space="preserve">COTAÇÃO 48</t>
  </si>
  <si>
    <t xml:space="preserve">COTAÇÃO 48 - Ver  Obs</t>
  </si>
  <si>
    <t xml:space="preserve">Execução/instalação de reservatório de detenção</t>
  </si>
  <si>
    <t xml:space="preserve">COTAÇÃO 49</t>
  </si>
  <si>
    <t xml:space="preserve">Memória de Cálculo: RESÍDUOS ENTULHO E DESMATAMENTO</t>
  </si>
  <si>
    <t xml:space="preserve">TRATAMENTO E DISPOSIÇÃO FINAL DE RESÍDUOS GERADOS DE ENTULHOS DE MATERIAIS DE CONSTRUÇÃO CIVIL E DESMATAMENTO (CLASSE II)</t>
  </si>
  <si>
    <t xml:space="preserve">RESÍDUOS ENTULHO</t>
  </si>
  <si>
    <t xml:space="preserve">COTAÇÃO 50</t>
  </si>
  <si>
    <t xml:space="preserve">Memória de Cálculo: GRADIL - MÓDULO 01</t>
  </si>
  <si>
    <t xml:space="preserve">GRADIL - MÓDULO 01</t>
  </si>
  <si>
    <t xml:space="preserve">MET. GUARANI</t>
  </si>
  <si>
    <t xml:space="preserve">A3 ENGENHARIA</t>
  </si>
  <si>
    <t xml:space="preserve">NOVO HORIZONTE SOLDAS</t>
  </si>
  <si>
    <t xml:space="preserve">Memória de Cálculo: METALON 20x20#18</t>
  </si>
  <si>
    <t xml:space="preserve">COTAÇÃO 51</t>
  </si>
  <si>
    <t xml:space="preserve">METALON 20x20#18</t>
  </si>
  <si>
    <t xml:space="preserve">IMESUL N. 593.966 - 10/11/2025</t>
  </si>
  <si>
    <t xml:space="preserve">Antônio Carlos - 67 9 9935 7472</t>
  </si>
  <si>
    <t xml:space="preserve">CORTE E DOBRA DE AÇO</t>
  </si>
  <si>
    <t xml:space="preserve">PERFIL QUADRADO 20x20x1,20</t>
  </si>
  <si>
    <t xml:space="preserve">AÇO FORT</t>
  </si>
  <si>
    <t xml:space="preserve">Memória de Cálculo: METALON 40x40#14</t>
  </si>
  <si>
    <t xml:space="preserve">COTAÇÃO 52</t>
  </si>
  <si>
    <t xml:space="preserve">METALON 40x40#14</t>
  </si>
  <si>
    <t xml:space="preserve">PERFIL QUADRADO 40x40x2,00</t>
  </si>
  <si>
    <t xml:space="preserve">AÇO TELHA</t>
  </si>
  <si>
    <t xml:space="preserve">TUBO QUADRADO 40x40x2,00</t>
  </si>
  <si>
    <t xml:space="preserve">Memória de Cálculo: METALON 60x60#16</t>
  </si>
  <si>
    <t xml:space="preserve">COTAÇÃO 53</t>
  </si>
  <si>
    <t xml:space="preserve">METALON 60x60#16</t>
  </si>
  <si>
    <t xml:space="preserve">PERFIL QUADRADO 60x60x1,50</t>
  </si>
  <si>
    <t xml:space="preserve">Memória de Cálculo: CHAPA DE AÇO 1/8"</t>
  </si>
  <si>
    <t xml:space="preserve">COTAÇÃO 54</t>
  </si>
  <si>
    <t xml:space="preserve">CHAPA DE AÇO #11</t>
  </si>
  <si>
    <t xml:space="preserve">CORTE E DOBRA AÇO</t>
  </si>
  <si>
    <t xml:space="preserve">CHAPA PERFIL #11</t>
  </si>
  <si>
    <t xml:space="preserve">Memória de Cálculo: CHAPA DE AÇO #14</t>
  </si>
  <si>
    <t xml:space="preserve">COTAÇÃO 55</t>
  </si>
  <si>
    <t xml:space="preserve">CHAPA DE AÇO #14</t>
  </si>
  <si>
    <t xml:space="preserve">IMESUL - 30/09/2025</t>
  </si>
  <si>
    <t xml:space="preserve">CHAPA PERFIL #14</t>
  </si>
  <si>
    <t xml:space="preserve">Memória de Cálculo: ELABORAÇÃO PGAS</t>
  </si>
  <si>
    <t xml:space="preserve">COTAÇÃO 56</t>
  </si>
  <si>
    <t xml:space="preserve">ELABORAÇÃO PGAS</t>
  </si>
  <si>
    <t xml:space="preserve">VER ANEXO COTAÇÃO</t>
  </si>
  <si>
    <t xml:space="preserve">ARGOS ENGENHARIA</t>
  </si>
  <si>
    <t xml:space="preserve">PRIME ENGENHARIA</t>
  </si>
  <si>
    <t xml:space="preserve">TCRE ENGENHARIA</t>
  </si>
  <si>
    <t xml:space="preserve">Memória de Cálculo: ACOMPANHAMENTO PGAS</t>
  </si>
  <si>
    <t xml:space="preserve">COTAÇÃO 57</t>
  </si>
  <si>
    <t xml:space="preserve">ACOMPANHAMENTO PGAS</t>
  </si>
  <si>
    <t xml:space="preserve">Memória de Cálculo: Tubo FoFo Dúctil JGS JE K-7 para água DN 300 mm</t>
  </si>
  <si>
    <t xml:space="preserve">SBC 58</t>
  </si>
  <si>
    <t xml:space="preserve">Tubo FoFo Dúctil JGS JE K-7 para água DN 300 mm</t>
  </si>
  <si>
    <t>SBC</t>
  </si>
  <si>
    <t xml:space="preserve">Memória de Cálculo: Abraçadeira Aço Inox 12 Pol. 300mm</t>
  </si>
  <si>
    <t xml:space="preserve">COTAÇÃO 59</t>
  </si>
  <si>
    <t xml:space="preserve">Abraçadeira Aço Inox 12 Pol. 300mm</t>
  </si>
  <si>
    <t xml:space="preserve">un </t>
  </si>
  <si>
    <t>https://www.americanvek.com.br/products/abracadeira-metal-aco-inox-para-duto-tubo-300mm-12-polegadas?variant=45441267761398&amp;country=BR&amp;currency=BRL&amp;utm_medium=product_sync&amp;utm_source=google&amp;utm_content=sag_organic&amp;utm_campaign=sag_organic&amp;utm_source=vendas&amp;utm_medium=maximizar-+convercoes+&amp;utm_id=brasil&amp;gad_source=1&amp;gad_campaignid=22925829722&amp;gbraid=0AAAAADtOrSN0P3_rD1nv_SaXIHgzgUmpQ&amp;gclid=Cj0KCQiAo4TKBhDRARIsAGW29be6aqAEKJu_qfmFJG2URRkQHxgZ3CXDa6P8YLtOO79y3XcIC6v3Q_gaAr-qEALw_wcB</t>
  </si>
  <si>
    <t xml:space="preserve">Memória de Cálculo: GEOGRELHA 45 KN</t>
  </si>
  <si>
    <t xml:space="preserve">COTAÇÃO 60</t>
  </si>
  <si>
    <t xml:space="preserve">GEOGRELHA 45 KN</t>
  </si>
  <si>
    <t xml:space="preserve">BARBOSA E LUZ</t>
  </si>
  <si>
    <t xml:space="preserve">BRASIL GABIÕES</t>
  </si>
  <si>
    <t>MACCAFERRI</t>
  </si>
  <si>
    <t xml:space="preserve">Memória de Cálculo: GEOGRELHA 120 KN</t>
  </si>
  <si>
    <t xml:space="preserve">COTAÇÃO 61</t>
  </si>
  <si>
    <t xml:space="preserve">GEOGRELHA 120 KN</t>
  </si>
  <si>
    <t xml:space="preserve">Memória de Cálculo: GEOGRELHA 150 KN</t>
  </si>
  <si>
    <t xml:space="preserve">COTAÇÃO 62</t>
  </si>
  <si>
    <t xml:space="preserve">GEOGRELHA 150 KN</t>
  </si>
  <si>
    <t xml:space="preserve">AGESUL - CIVIL</t>
  </si>
  <si>
    <t xml:space="preserve">AG -2001003015</t>
  </si>
  <si>
    <t>SCO-RIO</t>
  </si>
  <si>
    <t>MAT109250</t>
  </si>
  <si>
    <t xml:space="preserve">POSTE DE ACO GALVANIZADO POR IMERSAO A QUENTE (NBR6323), PINTADO COM ESMALTE SINTETICO, NA COR VERDE, COLUNA COM DIAMETRO EXTERNO DE 50,8MM (2"), ESPESSURA DE 2,75MM, COMPRIMENTO DE: 3500MM</t>
  </si>
  <si>
    <t>MAT099600</t>
  </si>
  <si>
    <t xml:space="preserve">PLACA DE SINALIZACAO DE ALUMINIO, ESPESSURA 1,5MM, COM FUNDO, SIMBOLOS E TARJAS EM PELICULA REFLETIVA COM ESFERAS INCLUSAS TIPO I-A DA NBR 14644, INCLUSIVE ELEMENTOS DE FIXACAO, CONFORME ESPECIFICACAO DA CET-RIO</t>
  </si>
  <si>
    <t xml:space="preserve">TCPO - 15ª EDIÇÃO</t>
  </si>
  <si>
    <t xml:space="preserve">2N 36 16 25 12 04</t>
  </si>
  <si>
    <t xml:space="preserve">Operador de terraplenagem</t>
  </si>
  <si>
    <t xml:space="preserve">2C 07 14 06 32 05</t>
  </si>
  <si>
    <t xml:space="preserve">Óleo diesel</t>
  </si>
  <si>
    <t xml:space="preserve">2C 07 14 06 32 10</t>
  </si>
  <si>
    <t>Graxa</t>
  </si>
  <si>
    <t xml:space="preserve">2C 07 14 06 34 15</t>
  </si>
  <si>
    <t xml:space="preserve">Pneu 6x16x8 com câmara</t>
  </si>
  <si>
    <t xml:space="preserve">3R 50 50 44 20 00 00 10 05</t>
  </si>
  <si>
    <t xml:space="preserve">Taxa de manutenção do equipamento: Carregadeira sobre pneus, dumper, 13 hp - 9,6 kW, capacidade 0,85 m³</t>
  </si>
  <si>
    <t>EQM</t>
  </si>
  <si>
    <t xml:space="preserve">3R 50 50 44 20 00 00 10 10</t>
  </si>
  <si>
    <t xml:space="preserve">Taxa de depreciação do equipamento: Carregadeira sobre pneus, dumper, 13 hp - 9,6 kW, capacidade 0,85 m³</t>
  </si>
  <si>
    <t>EQD</t>
  </si>
  <si>
    <t xml:space="preserve">3R 50 50 44 20 00 00 10 15</t>
  </si>
  <si>
    <t xml:space="preserve">Taxa de juros sobre capital do equipamento: Carregadeira sobre pneus, dumper, 13 hp - 9,6 kW, capacidade 0,85 m³</t>
  </si>
  <si>
    <t>EQJ</t>
  </si>
  <si>
    <t xml:space="preserve">3R 50 50 44 20 00 00 10 20</t>
  </si>
  <si>
    <t xml:space="preserve">Taxa de seguro patrimonial do equipamento: Carregadeira sobre pneus, dumper, 13 hp - 9,6 kW, capacidade 0,85 m³</t>
  </si>
  <si>
    <t>EQS</t>
  </si>
  <si>
    <t xml:space="preserve">                           RESUMO</t>
  </si>
  <si>
    <t>ITEM</t>
  </si>
  <si>
    <t>%</t>
  </si>
  <si>
    <t xml:space="preserve">P. TOTAL</t>
  </si>
  <si>
    <t xml:space="preserve">TOTAL GERAL</t>
  </si>
  <si>
    <t xml:space="preserve">MARISTELA ISHIBASHI TOKO DE BARROS</t>
  </si>
  <si>
    <t xml:space="preserve">Engª Civil - CREA/MS nº 2258-D</t>
  </si>
  <si>
    <t xml:space="preserve">OBJETO: RESTAURAÇÃO FUNCIONAL DO PAVIMENTO E SINALIZAÇÃO VIÁRIA</t>
  </si>
  <si>
    <t xml:space="preserve">LOCAL: QUADRILÁTERO ENTRE AS RUAS JOSUÉ GARCIA PIRES, MANOEL RASSELEN, CAFELÂNDIA E AV. HAYEL BON FAKER / RUA ERNESTO M. DE CARVALHO E ADJACÊNCIAS</t>
  </si>
  <si>
    <t xml:space="preserve">MUNICÍPIO:  DOURADOS/MS</t>
  </si>
  <si>
    <t xml:space="preserve">DATA/BASE: SINAPI (S) = MARÇO/2026 ONERADO </t>
  </si>
  <si>
    <t xml:space="preserve">BDI ONERADO</t>
  </si>
  <si>
    <t xml:space="preserve">BDI DESONERADO</t>
  </si>
  <si>
    <t xml:space="preserve">BDI SERVIÇO = 23,73 % </t>
  </si>
  <si>
    <t xml:space="preserve">PLANILHA DE ORÇAMENTO</t>
  </si>
  <si>
    <t xml:space="preserve">CÓDIGO </t>
  </si>
  <si>
    <t>DMT</t>
  </si>
  <si>
    <t>UN.</t>
  </si>
  <si>
    <t>QUANT.</t>
  </si>
  <si>
    <t xml:space="preserve">CUSTO UNIT</t>
  </si>
  <si>
    <t xml:space="preserve">CUSTO TOTAL</t>
  </si>
  <si>
    <t>Km</t>
  </si>
  <si>
    <t xml:space="preserve">S/ BDI</t>
  </si>
  <si>
    <t xml:space="preserve">C/ BDI</t>
  </si>
  <si>
    <t/>
  </si>
  <si>
    <t>1.0</t>
  </si>
  <si>
    <t xml:space="preserve">SERVIÇOS PRELIMINARES</t>
  </si>
  <si>
    <t>UND</t>
  </si>
  <si>
    <t>PRÓPRIO</t>
  </si>
  <si>
    <t>1.1</t>
  </si>
  <si>
    <t xml:space="preserve">PAE 1201</t>
  </si>
  <si>
    <t xml:space="preserve">Placa de identificação de obra pública, inclusive pintura e adesivos, estrutura e suporte de madeira. incluso fornecimento de material e instalação. (REF SINAPI, CÓD 74209/1).</t>
  </si>
  <si>
    <t>1.2</t>
  </si>
  <si>
    <t xml:space="preserve">PAE 1253</t>
  </si>
  <si>
    <t xml:space="preserve">Ligação provisória de água (REF AGESUL, CÓD IUD20017).</t>
  </si>
  <si>
    <t>1.3</t>
  </si>
  <si>
    <t xml:space="preserve">PAE 1071</t>
  </si>
  <si>
    <t xml:space="preserve">Entrada provisória de energia elétrica aérea trifásica 40a em poste de concreto armado de secao duplo t </t>
  </si>
  <si>
    <t>INSINAPI</t>
  </si>
  <si>
    <t>1.4</t>
  </si>
  <si>
    <t xml:space="preserve">Locacao de container 2,30 x 6,00 m, alt. 2,50 m, com 1 sanitario</t>
  </si>
  <si>
    <t xml:space="preserve">SUBTOTAL ITEM 1.0</t>
  </si>
  <si>
    <t>2.0</t>
  </si>
  <si>
    <t xml:space="preserve">ADMINISTRAÇÃO DA OBRA</t>
  </si>
  <si>
    <t>2.1</t>
  </si>
  <si>
    <t xml:space="preserve">Topógrafo com encargos complementares</t>
  </si>
  <si>
    <t>2.2</t>
  </si>
  <si>
    <t xml:space="preserve">Auxiliar de topógrafo com encargos complementares</t>
  </si>
  <si>
    <t>2.3</t>
  </si>
  <si>
    <t xml:space="preserve">Engenheiro civil de obra junior com encargos complementares</t>
  </si>
  <si>
    <t>2.4</t>
  </si>
  <si>
    <t xml:space="preserve">Técnico de laboratório com encargos complementares</t>
  </si>
  <si>
    <t>2.5</t>
  </si>
  <si>
    <t xml:space="preserve">Auxiliar de laboratório com encargos complementares</t>
  </si>
  <si>
    <t>2.6</t>
  </si>
  <si>
    <t xml:space="preserve">Técnico em segurança do trabalho com encargos complementares</t>
  </si>
  <si>
    <t>2.7</t>
  </si>
  <si>
    <t xml:space="preserve">Encarregado geral de obras com encargos complementares</t>
  </si>
  <si>
    <t xml:space="preserve">SUBTOTAL ITEM 2.0</t>
  </si>
  <si>
    <t>3.0</t>
  </si>
  <si>
    <t xml:space="preserve">RECUPERAÇÃO DOS DEFEITOS DO PAVIMENTO</t>
  </si>
  <si>
    <t xml:space="preserve">Fresagem descontínua</t>
  </si>
  <si>
    <t>3.1</t>
  </si>
  <si>
    <t xml:space="preserve">PAE 1273</t>
  </si>
  <si>
    <t xml:space="preserve">Fresagem descontínua revestimento betuminoso </t>
  </si>
  <si>
    <t>3.2</t>
  </si>
  <si>
    <t xml:space="preserve">PAE 1092</t>
  </si>
  <si>
    <t xml:space="preserve">Carga e descarga mecanica de solo utilizando caminhao basculante 6,0 m³/16t e pá carregadeira sobre pneus 128 hp, capacidade da caçamba 1,7 a 2,8 m³, peso operacional 11632 kg (REF SINAPI, CÓD 74010/1).</t>
  </si>
  <si>
    <t>3.3</t>
  </si>
  <si>
    <t xml:space="preserve">Transporte com caminhão basculante de 10 m³, em via urbana pavimentada, dmt até 30 km (unidade: m3xkm). af_07/2020</t>
  </si>
  <si>
    <t>m³xkm</t>
  </si>
  <si>
    <t xml:space="preserve">Base Estabilizada granulometricamente e Capa Asfáltica</t>
  </si>
  <si>
    <t>3.4</t>
  </si>
  <si>
    <t xml:space="preserve">PAE 1036</t>
  </si>
  <si>
    <t xml:space="preserve">Demolição de pavimentação asfáltica com utilização de martelo perfurador, espessura até 15 cm, exclusive carga e transporte (REF SINAPI, CÓD 92970). </t>
  </si>
  <si>
    <t>3.5</t>
  </si>
  <si>
    <t>3.6</t>
  </si>
  <si>
    <t>3.7</t>
  </si>
  <si>
    <t xml:space="preserve">PAE 1258</t>
  </si>
  <si>
    <t xml:space="preserve">Regularização manual e compactação mecânica de terreno (REF AGESUL, CÓD IUD20075).</t>
  </si>
  <si>
    <t>3.8</t>
  </si>
  <si>
    <t xml:space="preserve">PAE 1274</t>
  </si>
  <si>
    <t xml:space="preserve">Execução de base estabilizada granulometricamente (para tapa buraco) (REF AGESUL, CÓD IUP30054).</t>
  </si>
  <si>
    <t>COTACAO</t>
  </si>
  <si>
    <t>3.9</t>
  </si>
  <si>
    <t xml:space="preserve">Pedra britada ou bica corrida, nao classificada (posto pedreira/fornecedor, sem frete)                                                                                                                                                                                                                                                                                                                                                                                                                    </t>
  </si>
  <si>
    <t>3.10</t>
  </si>
  <si>
    <t xml:space="preserve">PAE 1096</t>
  </si>
  <si>
    <t xml:space="preserve">Transporte comercial de brita em rodovia pavimentada (REF SINAPI, CÓD 83356).</t>
  </si>
  <si>
    <t>3.11</t>
  </si>
  <si>
    <t xml:space="preserve">Capa em CBUQ (Concreto Betuminoso Usinado a Quente e Preechimento Capa Asfáltica )</t>
  </si>
  <si>
    <t>3.12</t>
  </si>
  <si>
    <t xml:space="preserve">PAE 1278</t>
  </si>
  <si>
    <t xml:space="preserve">Execução de pintura de ligação manual com caneta (para tapa buracos) (REF AGESUL, CÓD IUP30055).</t>
  </si>
  <si>
    <t xml:space="preserve"> </t>
  </si>
  <si>
    <t>3.13</t>
  </si>
  <si>
    <t xml:space="preserve">Transporte com caminhão tanque de transporte de material asfáltico de 30000 l, em via urbana pavimentada, dmt até 30km (unidade: txkm). af_07/2020</t>
  </si>
  <si>
    <t>txkm</t>
  </si>
  <si>
    <t>3.14</t>
  </si>
  <si>
    <t xml:space="preserve">Transporte com caminhão tanque de transporte de material asfáltico de 30000 l, em via urbana pavimentada, adicional para dmt excedente a 30 km (unidade: txkm). af_07/2020</t>
  </si>
  <si>
    <t>3.15</t>
  </si>
  <si>
    <t xml:space="preserve">PAE 1272</t>
  </si>
  <si>
    <t xml:space="preserve">Execução de imprimação manual com caneta (para tapa buracos)</t>
  </si>
  <si>
    <t>3.16</t>
  </si>
  <si>
    <t>3.17</t>
  </si>
  <si>
    <t>3.18</t>
  </si>
  <si>
    <t xml:space="preserve">Concreto betuminoso usinado a quente (cbuq) para pavimentacao asfaltica, padrao dnit, faixa c, com cap 50/70 - aquisicao posto usina</t>
  </si>
  <si>
    <t>3.19</t>
  </si>
  <si>
    <t xml:space="preserve">PAE 1023</t>
  </si>
  <si>
    <t xml:space="preserve">Execução de capa asfáltica em cbuq, com produção da equipe de 2,25 m³/h </t>
  </si>
  <si>
    <t>3.20</t>
  </si>
  <si>
    <t xml:space="preserve">PAE 1091</t>
  </si>
  <si>
    <t xml:space="preserve">Transporte comercial de massa asfáltica com caminhão basculante 10 m³ em rodovia pavimentada (REF SINAPI, CÓD 95303).</t>
  </si>
  <si>
    <t>3.21</t>
  </si>
  <si>
    <t xml:space="preserve">Transporte com caminhão basculante de 10 m³, em via urbana pavimentada, dmt até 30 km (unidade: txkm). af_07/2020</t>
  </si>
  <si>
    <t xml:space="preserve">Remendo Profundo Tipo 1</t>
  </si>
  <si>
    <t>3.22</t>
  </si>
  <si>
    <t xml:space="preserve">PAE 1270</t>
  </si>
  <si>
    <t xml:space="preserve">Demolição de pavimento asfáltico com emprego de retro-escavadeira e serra de disco, exclusive bota-fora do material (REF AGESUL, CÓD IUP30005).</t>
  </si>
  <si>
    <t>3.23</t>
  </si>
  <si>
    <t>3.24</t>
  </si>
  <si>
    <t>3.25</t>
  </si>
  <si>
    <t xml:space="preserve">Remendo Profundo Tipo 2</t>
  </si>
  <si>
    <t>3.26</t>
  </si>
  <si>
    <t>3.27</t>
  </si>
  <si>
    <t>3.28</t>
  </si>
  <si>
    <t xml:space="preserve">Material para sub-leito - 1ª categoria</t>
  </si>
  <si>
    <t>3.29</t>
  </si>
  <si>
    <t xml:space="preserve">Escavação vertical para infraestrutura, com carga, descarga e transporte de solo de 1ª categoria, com escavadeira hidráulica (caçamba: 1,2 m³ / 155hp), frota de 4 caminhões basculantes de 10 m³, dmt até 1 km e velocidade média14 km/h. af_05/2020</t>
  </si>
  <si>
    <t>3.30</t>
  </si>
  <si>
    <t xml:space="preserve">Aquisição de material de 1ª categoria - Arenito (retirada na jazida, sem transporte)                                                                                                                                                                                                                                                                                                                                                                                                                            </t>
  </si>
  <si>
    <t>3.31</t>
  </si>
  <si>
    <t xml:space="preserve">PAE 1277</t>
  </si>
  <si>
    <t xml:space="preserve">Transporte de material em caminhão basculante, 10 m³, em rodovia pavimentada  (REF AGESUL, CÓD IUTR1003).</t>
  </si>
  <si>
    <t>3.32</t>
  </si>
  <si>
    <t>3.33</t>
  </si>
  <si>
    <t xml:space="preserve">Reaterro manual de valas com compactação mecanizada. AF_04/2016</t>
  </si>
  <si>
    <t>3.34</t>
  </si>
  <si>
    <t>3.35</t>
  </si>
  <si>
    <t>3.36</t>
  </si>
  <si>
    <t>3.37</t>
  </si>
  <si>
    <t xml:space="preserve">Capa Asfáltica</t>
  </si>
  <si>
    <t>3.38</t>
  </si>
  <si>
    <t xml:space="preserve">Execução de imprimação manual com caneta (para tapa buracos).</t>
  </si>
  <si>
    <t>3.39</t>
  </si>
  <si>
    <t>3.40</t>
  </si>
  <si>
    <t>3.41</t>
  </si>
  <si>
    <t>3.42</t>
  </si>
  <si>
    <t xml:space="preserve">Execução de capa asfáltica em cbuq, com produção da equipe de 2,25 m³/h</t>
  </si>
  <si>
    <t>3.43</t>
  </si>
  <si>
    <t>3.44</t>
  </si>
  <si>
    <t xml:space="preserve">SUB-TOTAL ITEM 3.0</t>
  </si>
  <si>
    <t>4.0</t>
  </si>
  <si>
    <t xml:space="preserve">RECAPEAMENTO ASFÁLTICO </t>
  </si>
  <si>
    <t>4.1</t>
  </si>
  <si>
    <t xml:space="preserve">Limpeza de superfície com jato de alta pressão. af_04/2019</t>
  </si>
  <si>
    <t>4.2</t>
  </si>
  <si>
    <t xml:space="preserve">PAE 1043</t>
  </si>
  <si>
    <t xml:space="preserve">Execução de pintura de ligação com emulsão asfáltica RR-1C (REF SINAPI, CÓD 96402).</t>
  </si>
  <si>
    <t>4.4</t>
  </si>
  <si>
    <t xml:space="preserve">Execução de pavimento com aplicação de concreto asfáltico, camada de rolamento - exclusive carga e transporte. af_11/2019</t>
  </si>
  <si>
    <t>4.7</t>
  </si>
  <si>
    <t>4.8</t>
  </si>
  <si>
    <t>4.9</t>
  </si>
  <si>
    <t xml:space="preserve">Transporte com caminhão tanque de transporte de material asfáltico de 30000 l, em via urbana pavimentada, dmt até 30km (unidade: txkm). af_07/2020 </t>
  </si>
  <si>
    <t>4.10</t>
  </si>
  <si>
    <t xml:space="preserve">SUB-TOTAL ITEM 4.0</t>
  </si>
  <si>
    <t>5.0</t>
  </si>
  <si>
    <t xml:space="preserve">RECONSTRUÇÃO PAVIMENTAÇÃO ASFÁLTICA</t>
  </si>
  <si>
    <t xml:space="preserve">Demolições e Terraplenagem</t>
  </si>
  <si>
    <t>5.1</t>
  </si>
  <si>
    <t xml:space="preserve">PAE 1267</t>
  </si>
  <si>
    <t xml:space="preserve">Recorte mecânico de pavimento asfáltico ou piso de concreto, com serra de disco diamantado para piso/asfalto (REF AGESUL, CÓD IUP30002).</t>
  </si>
  <si>
    <t>5.2</t>
  </si>
  <si>
    <t xml:space="preserve">PAE 1474</t>
  </si>
  <si>
    <t xml:space="preserve">Reciclagem simples com incorporação do revestimento asfáltico à base, inclusive sarjeta (REF SICRO, CÓD 4011481). </t>
  </si>
  <si>
    <t>5.3</t>
  </si>
  <si>
    <t>5.4</t>
  </si>
  <si>
    <t>5.5</t>
  </si>
  <si>
    <t xml:space="preserve">Demolição de pavimento asfáltico com emprego de retro-escavadeira e serra de disco, exclusive bota-fora do material (REF AGESUL, CÓD IUP30005)</t>
  </si>
  <si>
    <t>5.6</t>
  </si>
  <si>
    <t xml:space="preserve">Carga, manobra e descarga de entulho em caminhão basculante 10 m³ - carga com escavadeira hidráulica (caçamba de 0,80 m³ / 111 hp) e descarga livre (unidade: t). af_07/2020</t>
  </si>
  <si>
    <t>5.7</t>
  </si>
  <si>
    <t>5.8</t>
  </si>
  <si>
    <t xml:space="preserve">Regularização e compactação de subleito de solo  predominantemente argiloso. af_11/2019</t>
  </si>
  <si>
    <t>5.9</t>
  </si>
  <si>
    <t xml:space="preserve">PAE 1265</t>
  </si>
  <si>
    <t xml:space="preserve">Preparo do sub-leito, escavação e carga, exclusive transporte (REF AGESUL, CÓD IUP10002).</t>
  </si>
  <si>
    <t>5.10</t>
  </si>
  <si>
    <t>5.11</t>
  </si>
  <si>
    <t xml:space="preserve">PAE 1050</t>
  </si>
  <si>
    <t xml:space="preserve">Base estabilizada com mistura na pista, execução</t>
  </si>
  <si>
    <t>5.12</t>
  </si>
  <si>
    <t>5.13</t>
  </si>
  <si>
    <t>5.14</t>
  </si>
  <si>
    <t xml:space="preserve">Bica corrida - posto pedreira/fornecedor (sem frete)</t>
  </si>
  <si>
    <t>5.15</t>
  </si>
  <si>
    <t>5.16</t>
  </si>
  <si>
    <t>5.17</t>
  </si>
  <si>
    <t xml:space="preserve">PAE 1130</t>
  </si>
  <si>
    <t xml:space="preserve">Execução de imprimação com emulsão catiônica isento de solvente volátil - eai - emulsão asfáltica de imprimação (REF SINAPI, CÓD 96401). </t>
  </si>
  <si>
    <t>5.18</t>
  </si>
  <si>
    <t>5.19</t>
  </si>
  <si>
    <t>5.20</t>
  </si>
  <si>
    <t>5.21</t>
  </si>
  <si>
    <t>5.22</t>
  </si>
  <si>
    <t>5.23</t>
  </si>
  <si>
    <t xml:space="preserve">PAE 1440</t>
  </si>
  <si>
    <t xml:space="preserve">Meio-fio com sarjeta, concreto fck=20 mpa, seção 615 cm², moldado no local, inclusive escavação e pintura a cal em uma demão.</t>
  </si>
  <si>
    <t>5.24</t>
  </si>
  <si>
    <t>5.25</t>
  </si>
  <si>
    <t>5.26</t>
  </si>
  <si>
    <t xml:space="preserve">Execução de passeio (calçada) ou piso de concreto com concreto moldado in loco, feito em obra, acabamento convencional, não armado. af_08/2022</t>
  </si>
  <si>
    <t>5.27</t>
  </si>
  <si>
    <t>5.28</t>
  </si>
  <si>
    <t xml:space="preserve">SUB-TOTAL ITEM 5.0</t>
  </si>
  <si>
    <t>6.0</t>
  </si>
  <si>
    <t xml:space="preserve">RECICLAGEM DO PAVIMENTO</t>
  </si>
  <si>
    <t>6.1</t>
  </si>
  <si>
    <t xml:space="preserve">PAE 1045</t>
  </si>
  <si>
    <t xml:space="preserve">Fornecimento e instalação de manta bidim RT-14, incluindo 2 camadas de Ligante RR-1C e compactação - Juntas de Dilatação</t>
  </si>
  <si>
    <t>6.2</t>
  </si>
  <si>
    <t xml:space="preserve">PAE 1473</t>
  </si>
  <si>
    <t xml:space="preserve">Reciclagem com adição de 2% de cimento e incorporação do revestimento asfáltico à base (REF SICRO, CÓD 4011482). </t>
  </si>
  <si>
    <t>6.3</t>
  </si>
  <si>
    <t xml:space="preserve">Pedra britada n. 0, ou pedrisco (4,8 a 9,5 mm) posto pedreira/fornecedor, sem frete                                                                                                                                                                                                                                                                                                                                                                                                                       </t>
  </si>
  <si>
    <t>6.4</t>
  </si>
  <si>
    <t>6.5</t>
  </si>
  <si>
    <t>6.6</t>
  </si>
  <si>
    <t>6.7</t>
  </si>
  <si>
    <t xml:space="preserve">PAE 1475</t>
  </si>
  <si>
    <t xml:space="preserve">Reciclagem com adição de agregado (brita 0 / pedrisco) e incorporação do revestimento asfáltico à base.</t>
  </si>
  <si>
    <t>6.8</t>
  </si>
  <si>
    <t xml:space="preserve">Reciclagem simples com incorporação do revestimento asfáltico à base (REF SICRO, CÓD 4011481). </t>
  </si>
  <si>
    <t>6.9</t>
  </si>
  <si>
    <t xml:space="preserve">Execução de imprimação com emulsão catiônica isento de solvente volátil - eai - emulsão asfáltica de imprimação (REF SINAPI, CÓD 96401).  </t>
  </si>
  <si>
    <t>6.10</t>
  </si>
  <si>
    <t>6.11</t>
  </si>
  <si>
    <t>6.12</t>
  </si>
  <si>
    <t>6.13</t>
  </si>
  <si>
    <t>6.14</t>
  </si>
  <si>
    <t xml:space="preserve">SUB-TOTAL ITEM 6.0</t>
  </si>
  <si>
    <t>7.0</t>
  </si>
  <si>
    <t xml:space="preserve">SINALIZAÇÃO VIÁRIA</t>
  </si>
  <si>
    <t>7.1</t>
  </si>
  <si>
    <t xml:space="preserve">Pintura de faixa de pedestre ou zebrada tinta retrorrefletiva a base de resina acrílica com microesferas de vidro, aplicação manual. af_05/2021</t>
  </si>
  <si>
    <t>7.2</t>
  </si>
  <si>
    <t xml:space="preserve">Pintura de eixo viário sobre asfalto com tinta retrorrefletiva a base de resina acrílica com microesferas de vidro, aplicação mecânica com demarcadora autopropelida. af_05/2021</t>
  </si>
  <si>
    <t>7.5</t>
  </si>
  <si>
    <t xml:space="preserve">PAE 1403</t>
  </si>
  <si>
    <t xml:space="preserve">Fornecimento e instalação de placa de sinalização vertical com pintura retrorrefletiva (até 0,36 m²), incluindo suporte metálico galvanizado Φ 2".</t>
  </si>
  <si>
    <t xml:space="preserve">SUB-TOTAL ITEM 7.0</t>
  </si>
  <si>
    <t>8.0</t>
  </si>
  <si>
    <t xml:space="preserve">SERVIÇOS COMPLEMENTARES</t>
  </si>
  <si>
    <t>8.1</t>
  </si>
  <si>
    <t xml:space="preserve">PAE 1244</t>
  </si>
  <si>
    <t xml:space="preserve">Levantamento ou rebaixamento de tampão de poço de visita  (REF AGESUL, CÓD IUC10016).</t>
  </si>
  <si>
    <t xml:space="preserve">Meio - Fio</t>
  </si>
  <si>
    <t>8.2</t>
  </si>
  <si>
    <t>8.3</t>
  </si>
  <si>
    <t>8.4</t>
  </si>
  <si>
    <t>8.5</t>
  </si>
  <si>
    <t>8.6</t>
  </si>
  <si>
    <t xml:space="preserve">Meio-fio com sarjeta, concreto fck=20 MPa, seção 615 cm², moldado no local, inclusive escavação e pintura a cal em uma demão.</t>
  </si>
  <si>
    <t>8.7</t>
  </si>
  <si>
    <t>8.8</t>
  </si>
  <si>
    <t>8.9</t>
  </si>
  <si>
    <t xml:space="preserve">Execução de passeio (calçada) ou piso de concreto com concreto moldado in loco, feito em obra, acabamento convencional, não armado. af_07/2016</t>
  </si>
  <si>
    <t>8.10</t>
  </si>
  <si>
    <t>8.11</t>
  </si>
  <si>
    <t xml:space="preserve">SUB-TOTAL ITEM 8.0</t>
  </si>
  <si>
    <t xml:space="preserve">COMPOSIÇÃO DE CUSTOS</t>
  </si>
  <si>
    <t xml:space="preserve">PETTRA ENGENHARIA</t>
  </si>
  <si>
    <t>BDI</t>
  </si>
  <si>
    <t>SICRO</t>
  </si>
  <si>
    <t>cod1</t>
  </si>
  <si>
    <t>boletim</t>
  </si>
  <si>
    <t xml:space="preserve">UN    </t>
  </si>
  <si>
    <t>QUANT</t>
  </si>
  <si>
    <t>OBSERV</t>
  </si>
  <si>
    <t xml:space="preserve">PAE 1000</t>
  </si>
  <si>
    <t xml:space="preserve">LANÇAMENTO/APLICAÇÃO MANUAL DE CONCRETO EM FUNDAÇÕES (REF SINAPI, CÓD 74157/4).</t>
  </si>
  <si>
    <t xml:space="preserve">REFERÊNCIA SINAPI 74157/4 JAN/2020 ONERADO</t>
  </si>
  <si>
    <t xml:space="preserve">EXISTE CÓDIGO SINAPI 103670 - LANÇAMENTO EM ESTRUTURAS</t>
  </si>
  <si>
    <t xml:space="preserve">PAE 1001</t>
  </si>
  <si>
    <t xml:space="preserve">MASSA ÚNICA, COM ADITIVO IMPERMEABILIZANTE TRAÇO 1:3, PREPARO MECÂNICO COM BETONEIRA 400L, APLICADA MANUALMENTE EM FACES INTERNAS DE PAREDES, ESPESSURA DE 20MM (REF SINAPI, CÓD 87529).</t>
  </si>
  <si>
    <t xml:space="preserve">REFERÊNCIA SINAPI 87529 MARÇO/2020 ONERADO</t>
  </si>
  <si>
    <t xml:space="preserve">PAE 1002</t>
  </si>
  <si>
    <t xml:space="preserve">BLT CURVA - BOCA-DE-LOBO TRIPLA, EM ALVENARIA DE TIJOLOS MACIÇOS 1/2 VEZ E 1 VEZ , VIGAS E CHAMADAS D´ÁGUA EM CONCRETO SIMPLES FCK 20 MPA, INCLUINDO FORMA, ESCAVAÇÃO, CALÇAMENTO AO REDOR E GRELHAS EM AÇO CA-25, CONFORME PROJETO</t>
  </si>
  <si>
    <t xml:space="preserve">GRELHA EM AÇO CA-25 PARA BOCAS DE LOBO</t>
  </si>
  <si>
    <t xml:space="preserve">REGULARIZAÇÃO MANUAL E COMPACTAÇÃO MECÂNICA DE TERRENO (REF AGESUL, CÓD IUD20075).</t>
  </si>
  <si>
    <t xml:space="preserve">ESCAVAÇÃO MANUAL DE VALA COM PROFUNDIDADE MENOR OU IGUAL A 1,30 M. AF_02/2021</t>
  </si>
  <si>
    <t xml:space="preserve">RECORTE MECÂNICO DE PAVIMENTO ASFÁLTICO OU PISO DE CONCRETO, COM SERRA DE DISCO DIAMANTADO PARA PISO/ASFALTO (REF AGESUL, CÓD IUP30002).</t>
  </si>
  <si>
    <t>1.5</t>
  </si>
  <si>
    <t xml:space="preserve">DEMOLIÇÃO DE PAVIMENTO ASFÁLTICO COM EMPREGO DE RETRO-ESCAVADEIRA  E SERRA DE DISCO, EXCLUSIVE BOTA-FORA DO MATERIAL (REF AGESUL, CÓD IUP30005).</t>
  </si>
  <si>
    <t>1.6</t>
  </si>
  <si>
    <t xml:space="preserve">CARGA E DESCARGA MECANICA DE SOLO UTILIZANDO CAMINHAO BASCULANTE 6,0 M³/16T E PÁ CARREGADEIRA SOBRE PNEUS 128 HP, CAPACIDADE DA CAÇAMBA 1,7 A 2,8 M³, PESO OPERACIONAL 11632 KG (REF SINAPI, CÓD 74010/1).</t>
  </si>
  <si>
    <t>1.7</t>
  </si>
  <si>
    <t xml:space="preserve">TRANSPORTE COM CAMINHÃO BASCULANTE DE 10 M³, EM VIA URBANA PAVIMENTADA, DMT ATÉ 30 KM (UNIDADE: M3XKM). AF_07/2020</t>
  </si>
  <si>
    <t>M³xKM</t>
  </si>
  <si>
    <t xml:space="preserve">DMT CONSIDERADO 5 KM</t>
  </si>
  <si>
    <t>1.8</t>
  </si>
  <si>
    <t>1.9</t>
  </si>
  <si>
    <t>1.10</t>
  </si>
  <si>
    <t xml:space="preserve">MONTAGEM E DESMONTAGEM DE FÔRMA DE PILARES RETANGULARES E ESTRUTURAS SIMILARES COM ÁREA MÉDIA DAS SEÇÕES MAIOR QUE 0,25 M², PÉ-DIREITO SIMPLES, EM CHAPA DE MADEIRA COMPENSADA PLASTIFICADA, 10 UTILIZAÇÕES. AF_12/2015</t>
  </si>
  <si>
    <t>1.11</t>
  </si>
  <si>
    <t xml:space="preserve">ARMAÇÃO DE BLOCO, VIGA BALDRAME E SAPATA UTILIZANDO AÇO CA-60 DE 5 MM - MONTAGEM. AF_06/2017</t>
  </si>
  <si>
    <t>1.12</t>
  </si>
  <si>
    <t xml:space="preserve">ARMAÇÃO DE BLOCO, VIGA BALDRAME OU SAPATA UTILIZANDO AÇO CA-50 DE 8 MM - MONTAGEM. AF_06/2017</t>
  </si>
  <si>
    <t>1.13</t>
  </si>
  <si>
    <t xml:space="preserve">ALVENARIA EM TIJOLO CERÂMICO MACIÇO 5X10X20 CM 1 VEZ (ESPESSURA 20 CM), ASSENTADO COM ARGAMASSA TRAÇO 1:2:8 (CIMENTO, CAL E AREIA) (REF SINAPI, CÓD 72131).</t>
  </si>
  <si>
    <t>1.14</t>
  </si>
  <si>
    <t xml:space="preserve">ALVENARIA EM TIJOLO CERÂMICO MACIÇO 5X10X20 CM 1/2 VEZ (ESPESSURA 10 CM), ASSENTADO COM ARGAMASSA TRAÇO 1:2:8 (CIMENTO, CAL E AREIA) (REF SINAPI, CÓD 72132).</t>
  </si>
  <si>
    <t>1.15</t>
  </si>
  <si>
    <t xml:space="preserve">CONCRETO FCK = 15 MPA, TRAÇO 1:3,4:3,5 (CIMENTO/ AREIA MÉDIA/ BRITA 1) - PREPARO MECÂNICO COM BETONEIRA 400 L. AF_07/2016</t>
  </si>
  <si>
    <t>1.16</t>
  </si>
  <si>
    <t xml:space="preserve">CONCRETO FCK = 20MPA, TRAÇO 1:2,7:3 (CIMENTO/ AREIA MÉDIA/ BRITA 1) - PREPARO MECÂNICO COM BETONEIRA 400 L. AF_07/2016</t>
  </si>
  <si>
    <t>1.17</t>
  </si>
  <si>
    <t xml:space="preserve">CHAPISCO APLICADO EM ALVENARIAS E ESTRUTURAS DE CONCRETO INTERNAS, COM COLHER DE PEDREIRO. ARGAMASSA TRAÇO 1:3 COM PREPARO EM BETONEIRA 400 L. AF_06/2014</t>
  </si>
  <si>
    <t>1.18</t>
  </si>
  <si>
    <t xml:space="preserve">MASSA ÚNICA, COM ADITIVO IMPERMEABILIZANTE TRAÇO 1:3, PREPARO MECÂNICO COM BETONEIRA 400L, APLICADA MANUALMENTE EM FACES INTERNAS DE PAREDES, ESPESSURA DE 20MM.</t>
  </si>
  <si>
    <t xml:space="preserve">PAE 1003</t>
  </si>
  <si>
    <t xml:space="preserve">CANTONEIRA DE AÇO ABAS IGUAIS (QUALQUER BITOLA) 1.1/2" X 1/4"</t>
  </si>
  <si>
    <t xml:space="preserve">AÇO CA-25, 10,0 MM, OU 12,5 MM, OU 16,0 MM, OU 20 MM, OU 25,0 MM, VERGALHÃO</t>
  </si>
  <si>
    <t xml:space="preserve">BARRA DE FERRO RETANGULAR, BARRA CHATA (QUALQUER DIMENSAO) (CORRESPONDENTE A FERRO CHATO DE 1.1/4" X 1/2")</t>
  </si>
  <si>
    <t xml:space="preserve">AÇO CA-50, 10,0 MM, VERGALHÃO</t>
  </si>
  <si>
    <t xml:space="preserve">AJUDANTE COM ENCARGOS COMPLEMENTARES</t>
  </si>
  <si>
    <t xml:space="preserve">FUNDO ANTICORROSIVO TIPO ZARCÃO OU EQUIVALENTE</t>
  </si>
  <si>
    <t xml:space="preserve">ELETRODUTO AWS E-6013 (OK 46,00; WI 613)D=4,0MM (SOLDA ELÉTRICA)</t>
  </si>
  <si>
    <t xml:space="preserve">PAE 1004</t>
  </si>
  <si>
    <t xml:space="preserve">PLACA DE OBRA EM CHAPA DE AÇO GALVANIZADO (REF SINAPI, CÓD 74209/1).</t>
  </si>
  <si>
    <t xml:space="preserve">USAR COMP PAE 1201 - SÃO IGUAIS</t>
  </si>
  <si>
    <t xml:space="preserve">SARRAFO DE MADEIRA NAO APARELHADA *2,5 X 7* CM, MACARANDUBA, ANGELIM OU EQUIVALENTE DA REGIAO</t>
  </si>
  <si>
    <t xml:space="preserve">REFERENTE S 74209/1 - JAN/2020</t>
  </si>
  <si>
    <t xml:space="preserve">PONTALETE DE MADEIRA NAO APARELHADA *7,5 X 7,5* CM (3 X 3 ") PINUS, MISTA OU EQUIVALENTE DA REGIAO</t>
  </si>
  <si>
    <t xml:space="preserve">USAR COMP PAE 1201 - SÃO COMPOSIÇÕES IGUAIS</t>
  </si>
  <si>
    <t xml:space="preserve">PLACA DE OBRA (PARA CONSTRUCAO CIVIL) EM CHAPA GALVANIZADA *N. 22*, ADESIVADA, DE *2,0 X 1,125* M</t>
  </si>
  <si>
    <t xml:space="preserve">CONCRETO MAGRO PARA LASTRO, TRAÇO 1:4,5:4,5 (CIMENTO/ AREIA MÉDIA/ BRITA 1)  - PREPARO MECÂNICO COM BETONEIRA 400 L. AF_07/2016</t>
  </si>
  <si>
    <t xml:space="preserve">PAE 1005</t>
  </si>
  <si>
    <t xml:space="preserve">FORNECIMENTO E ASSENTAMENTO DE BRITA 2 E 3 - DRENOS E FILTROS  </t>
  </si>
  <si>
    <t xml:space="preserve">REFERÊNCIA S 88549 DEZ/2019</t>
  </si>
  <si>
    <t xml:space="preserve">PEDRA BRITADA N. 2 (19 A 38) MM POSTO PEDREIRA/FORNECEDOR, SEM FRETE</t>
  </si>
  <si>
    <t xml:space="preserve">EXISTE COMP SINAPI 102719</t>
  </si>
  <si>
    <t xml:space="preserve">PEDRA BRITADA N. 3 (38 A 50) MM POSTO PEDREIRA/FORNECEDOR, SEM FRETE</t>
  </si>
  <si>
    <t xml:space="preserve">PAE 1006</t>
  </si>
  <si>
    <t xml:space="preserve">FORNECIMENTO E INSTALAÇÃO DE MANTA BIDIM RT-14 (REF SINAPI, CÓD 83665)</t>
  </si>
  <si>
    <t xml:space="preserve">REFERENTE S 83665 - JAN/2020</t>
  </si>
  <si>
    <t xml:space="preserve">USAR COMP PAE 1183 REF SICRO 2003866</t>
  </si>
  <si>
    <t xml:space="preserve">PAE 1007</t>
  </si>
  <si>
    <t xml:space="preserve">TRINCHEIRA DRENANTE COM GEOCOMPOSTO H=1,00 E TUBO CORRUGADO PERFURADO EM PEAD D=230 MM  </t>
  </si>
  <si>
    <t xml:space="preserve">Baseado no Sicro 2004511</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</si>
  <si>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</si>
  <si>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 xml:space="preserve">REATERRO MANUAL DE VALAS COM COMPACTAÇÃO MECANIZADA. AF_04/2016</t>
  </si>
  <si>
    <t xml:space="preserve">GEOCOMPOSTO PARA DRENAGEM</t>
  </si>
  <si>
    <t xml:space="preserve">TUBO DRENO, CORRUGADO, ESPIRALADO, FLEXIVEL, PERFURADO, EM POLIETILENO DE  
ALTA DENSIDADE (PEAD), DN 200 MM, (8") PARA DRENAGEM - EM ROLO (NORMA DNIT
093/2006 - E.M)</t>
  </si>
  <si>
    <t xml:space="preserve">PAE 1008</t>
  </si>
  <si>
    <t xml:space="preserve">TRINCHEIRA DRENANTE COM GEOCOMPOSTO H=1,00 E TUBO CORRUGADO PERFURADO EM PEAD D=100 MM </t>
  </si>
  <si>
    <t xml:space="preserve">TUBO DRENO, CORRUGADO, ESPIRALADO, FLEXIVEL, PERFURADO, EM POLIETILENO DE  
ALTA DENSIDADE (PEAD), DN 100 MM, (4") PARA DRENAGEM - EM ROLO (NORMA DNIT
093/2006 - E.M)</t>
  </si>
  <si>
    <t xml:space="preserve">PAE 1009</t>
  </si>
  <si>
    <t xml:space="preserve">TUBO PEAD COM PAREDES ESTRUTURADAS PARA DRENAGEM D=450 MM. FORNECIMENTO E ASSENTAMENTO, NÍVEL BAIXO DE INTERFERÊNCIAS (REF SINAPI, CÓD 90706).</t>
  </si>
  <si>
    <t xml:space="preserve">REF SINAPI 90706 - JAN/2020</t>
  </si>
  <si>
    <t xml:space="preserve">ANEL BORRACHA, PARA TUBO PVC, REDE COLETOR ESGOTO, DN 450 MM (NBR 7362)</t>
  </si>
  <si>
    <t>0,1667000</t>
  </si>
  <si>
    <t xml:space="preserve">ADAPTADO PARA D=450 MM</t>
  </si>
  <si>
    <t>0,0649000</t>
  </si>
  <si>
    <t>0,0403000</t>
  </si>
  <si>
    <t xml:space="preserve">PASTA LUBRIFICANTE PARA TUBOS E CONEXOES COM JUNTA ELASTICA (USO EM PVC, ACO, POLIETILENO E OUTROS) ( DE *400* G)</t>
  </si>
  <si>
    <t>0,0250000</t>
  </si>
  <si>
    <t>1,0500000</t>
  </si>
  <si>
    <t>0,2002000</t>
  </si>
  <si>
    <t xml:space="preserve">PAE 1010</t>
  </si>
  <si>
    <t xml:space="preserve">TUBO PEAD COM PAREDES ESTRUTURADAS PARA DRENAGEM D=900 MM, JUNTA ELÁSTICA INTEGRADA. FORNECIMENTO E ASSENTAMENTO, NÍVEL BAIXO DE INTERFERÊNCIAS </t>
  </si>
  <si>
    <t xml:space="preserve">REF SINAPI 94878 - JAN/2020</t>
  </si>
  <si>
    <t>0,0749000</t>
  </si>
  <si>
    <t xml:space="preserve">INCLUSÃO TUBO, CÓDIGO ACIMA SOMENTE ASSENTAMENTO</t>
  </si>
  <si>
    <t>0,0466000</t>
  </si>
  <si>
    <t>0,2083000</t>
  </si>
  <si>
    <t xml:space="preserve">TUBOS PEAD CON PAREDES ESTRUTURADAS PARA DRENAGEM - D=900 MM</t>
  </si>
  <si>
    <t>0,2311000</t>
  </si>
  <si>
    <t xml:space="preserve">PAE 1011</t>
  </si>
  <si>
    <t xml:space="preserve">TUBO PEAD COM PAREDES ESTRUTURADAS PARA DRENAGEM D=1050 MM, JUNTA ELÁSTICA INTEGRADA. FORNECIMENTO E ASSENTAMENTO, NÍVEL BAIXO DE INTERFERÊNCIAS </t>
  </si>
  <si>
    <t xml:space="preserve">REF SINAPI 94879 - JAN/2020</t>
  </si>
  <si>
    <t xml:space="preserve">TUBO PEAD COM PAREDES ESTRUTURADAS PARA DRENAGEM D=1050 MM</t>
  </si>
  <si>
    <t xml:space="preserve">PAE 1012</t>
  </si>
  <si>
    <t xml:space="preserve">BLSC - BOCA-DE-LOBO SIMPLES, EM CONCRETO SIMPLES FCK 20 MPA, INCLUINDO FORMA, ESCAVAÇÃO, CALÇAMENTO AO REDOR E GRELHA EM AÇO CA-25, CONFORME PROJETO PADRÃO PMD - PREFEITURA MUNICIPAL DE DOURADOS</t>
  </si>
  <si>
    <t xml:space="preserve">OBS: FOI RETIRADO O SERVIÇO DE RECORTE, DEMOLIÇÃO E MASSA ÚNICA</t>
  </si>
  <si>
    <t xml:space="preserve">corrigidas quantificações conforme projeto em 06/05/2020, corrigida especificações de ferragem, incluído revestimento com impermeabilizante 1:3 conforme projeto detalhe 1</t>
  </si>
  <si>
    <t xml:space="preserve">REFERÊNCIA ESTADO - BLS IUD20006, BLD IUD20007, BLT IUD20008 ALTERADA A GRELHA CA25</t>
  </si>
  <si>
    <t xml:space="preserve">CORRIGIDO QUANT. FERRAGENS (JULHO 2025)</t>
  </si>
  <si>
    <t xml:space="preserve">ANTES CÓDIGO IUD20080</t>
  </si>
  <si>
    <t xml:space="preserve">ANTES CÓDIGO IUTR1003</t>
  </si>
  <si>
    <t xml:space="preserve">FABRICAÇÃO, MONTAGEM E DESMONTAGEM DE FÔRMA PARA VIGA BALDRAME, EM CHAPA DE MADEIRA COMPENSADA RESINADA, E=17 MM, 4 UTILIZAÇÕES. AF_06/2017</t>
  </si>
  <si>
    <t xml:space="preserve">ANTES CÓDIGO 92431</t>
  </si>
  <si>
    <t xml:space="preserve">ARMAÇÃO DE BLOCO, VIGA BALDRAME E SAPATA UTILIZANDO AÇO CA-50 DE 6,3 MM - MONTAGEM. AF_06/2017</t>
  </si>
  <si>
    <t xml:space="preserve">PAE 1013</t>
  </si>
  <si>
    <t xml:space="preserve">BLDC - BOCA-DE-LOBO DUPLA, EM CONCRETO SIMPLES FCK 20 MPA, INCLUINDO FORMA, ESCAVAÇÃO, CALÇAMENTO AO REDOR E GRELHAS EM AÇO CA-25, CONFORME PROJETO PADRÃO PMD - PREFEITURA MUNICIPAL DE DOURADOS</t>
  </si>
  <si>
    <t xml:space="preserve">PAE 1014</t>
  </si>
  <si>
    <t xml:space="preserve">BLTC - BOCA-DE-LOBO TRIPLA, EM CONCRETO SIMPLES FCK 20 MPA, INCLUINDO FORMA, ESCAVAÇÃO, CALÇAMENTO AO REDOR E GRELHAS EM AÇO CA-25, CONFORME PROJETO PADRÃO PMD - PREFEITURA MUNICIPAL DE DOURADOS</t>
  </si>
  <si>
    <t xml:space="preserve">ARMAÇÃO DE ESTRUTURAS DE CONCRETO ARMADO, EXCETO VIGAS, PILARES, LAJES E FUNDAÇÕES, UTILIZANDO AÇO CA-50 DE 8,0 MM - MONTAGEM. AF_12/2015</t>
  </si>
  <si>
    <t xml:space="preserve">PAE 1015</t>
  </si>
  <si>
    <t xml:space="preserve">PV-1B PARA TUBULAÇÃO PEAD - POÇO-DE-VISITA 2,30X2,30M, EM ALV. DE TIJ. COM. DE 1 VEZ ASS. E REV. INTERN. COM ARG. DE CIM. E AREIA 1:3, E=2CM, REVESTIMENTO EXTERNO COM CHAPISCO 1:3, E=0,5 CM, LAST. DE BRITA 5 CM, BERÇO 15CM EM CONC. FCK=15MPA, LAJE DE FUNDO E TAMPA DE 15CM E PILARES DE 20X20 CM EM CONC. ARMADO FCK=20MPA, INCL. FORMA, ESC. MANUAL E REAT. APILOADO. PARA E ATÉ 0,60  M</t>
  </si>
  <si>
    <t xml:space="preserve">ver DETALHE ao lado - detalhe do PV 1B
adotado-h=0,80 m H=1,24 m</t>
  </si>
  <si>
    <t xml:space="preserve">Alvenaria em tijolo cerâmico maciço 5x10x20cm 1 vez (espessura 20cm), assentado com argamassa traço 1:3 (cimento e areia) (REF AGESUL, CÓD IUD20068).</t>
  </si>
  <si>
    <t xml:space="preserve">Referente ao Detalhe Poço de Visita 1B PEAD v6</t>
  </si>
  <si>
    <t xml:space="preserve">Armação de bloco, viga baldrame ou sapata utilizando aço CA-50 de 8 mm - Montagem. AF 06/2017</t>
  </si>
  <si>
    <t xml:space="preserve">Armação de bloco, viga baldrame ou sapata utilizando aço CA-50 de 10 mm - Montagem. AF 06/2017</t>
  </si>
  <si>
    <t xml:space="preserve">CHAPISCO APLICADO EM ALVENARIAS E ESTRUTURAS DE CONCRETO INTERNAS, COM COLHER DE PEDREIRO.  ARGAMASSA TRAÇO 1:3 COM PREPARO MANUAL. AF_06/2014</t>
  </si>
  <si>
    <t xml:space="preserve">ARGAMASSA TRAÇO 1:2:8 (CIMENTO, CAL E AREIA MÉDIA) PARA EMBOÇO/MASSA ÚNICA/ASSENTAMENTO DE ALVENARIA DE VEDAÇÃO, PREPARO MECÂNICO COM MISTURADOR DE EIXO HORIZONTAL DE 300 KG. AF_06/2014</t>
  </si>
  <si>
    <t xml:space="preserve">Concreto fck = 15mpa, traço 1:3,4:3,5 (cimento/ areia média/ brita 1)  - preparo mecânico com betoneira 400 l. Af_07/2016</t>
  </si>
  <si>
    <t xml:space="preserve">Concreto fck = 20mpa, traço 1:2,7:3 (cimento/ areia média/ brita 1)  - preparo mecânico com betoneira 400 l. Af_07/2016</t>
  </si>
  <si>
    <t xml:space="preserve">ESCAVAÇÃO MECANIZADA DE VALA COM PROF. ATÉ 1,5 M(MÉDIA ENTRE MONTANTE E JUSANTE/UMA COMPOSIÇÃO POR TRECHO), COM ESCAVADEIRA HIDRÁULICA (0,8 M3/111 HP), LARG. DE 1,5M A 2,5 M, EM SOLO DE 1A CATEGORIA, LOCAIS COM BAIXO NÍVEL DE INTERFERÊNCIA. AF_01/2015</t>
  </si>
  <si>
    <t xml:space="preserve">Fabricação, montagem e desmontagem de fôrma para viga baldrame, em madeira serrada, e=25 mm, 2 utilizações. Af_06/2017</t>
  </si>
  <si>
    <t xml:space="preserve">Guindauto hidráulico, capacidade máxima de carga 6200 kg, momento máximo de carga 11,7 tm, alcance máximo horizontal 9,70 m, inclusive caminhão toco pbt 16.000 kg, potência de 189 cv - chp diurno. Af_06/2014</t>
  </si>
  <si>
    <t xml:space="preserve">Lançamento/aplicação manual de concreto em fundações (REF SINAPI, CÓD 74157/4).</t>
  </si>
  <si>
    <t xml:space="preserve">Lastro de brita (REF AGESUL, CÓD IUC10004).</t>
  </si>
  <si>
    <t xml:space="preserve">Reaterro manual de valas com compactação mecanizada. Af_04/2016</t>
  </si>
  <si>
    <t xml:space="preserve">PAE 1016</t>
  </si>
  <si>
    <t xml:space="preserve">CHAMINE P/ POCO DE VISITA EM ALVENARIA, EXCLUSOS TAMPAO E ANEL</t>
  </si>
  <si>
    <t xml:space="preserve">ALVENARIA EM TIJOLO CERAMICO MACICO 5X10X20CM 1 1/2 VEZ (ESPESSURA 30CM), ASSENTADO COM ARGAMASSA TRACO 1:2:8 (CIMENTO, CAL E AREIA) (REF. SINAPI 72133)</t>
  </si>
  <si>
    <t xml:space="preserve">EXISTE SINAPI 98051 - CONFERIR</t>
  </si>
  <si>
    <t xml:space="preserve">ARGAMASSA TRAÇO 1:3 (CIMENTO E AREIA MÉDIA) PARA CONTRAPISO, PREPARO MANUAL. AF_06/2014</t>
  </si>
  <si>
    <t xml:space="preserve">PAE 1017</t>
  </si>
  <si>
    <t xml:space="preserve">ASSENTAMENTO DE TAMPÃO DE FERRO FUNDIDO 600 MM (REF SINAPI, CÓD 73607).</t>
  </si>
  <si>
    <t xml:space="preserve">REFERENTE S 73607 - JAN/2020</t>
  </si>
  <si>
    <t xml:space="preserve">PAE 1018</t>
  </si>
  <si>
    <t xml:space="preserve">CXE - CAIXA DE ESPERA PARA CAPTAÇÃO (1,0 X 1,0 X 1,0)M EM ALVENARIA DE TIJOLOS MACIÇOS 1/2 VEZ (E=10 CM)</t>
  </si>
  <si>
    <t xml:space="preserve">ESCAVAÇÃO MANUAL EM SOLO-PROF. ATÉ 1,50 M (REF AGESUL, CÓD IUD20080).</t>
  </si>
  <si>
    <t xml:space="preserve">CONCRETO MAGRO PARA LASTRO, TRAÇO 1:4,5:4,5 (CIMENTO/AREIA MÉDIA/BRITA 1) - PREPARO MECÂNICO COM BETONEIRA 400 L. AF_07/2016</t>
  </si>
  <si>
    <t xml:space="preserve">REATERRO MECANIZADO DE VALA COM ESCAVADEIRA HIDRÁULICA (CAPACIDADE DA CAÇAMBA: 0,8 M³ / POTÊNCIA: 111 HP), LARGURA DE 1,5 A 2,5 M, PROFUNDIDADE ATÉ 1,50 M, COM SOLO (SEM SUBSTITUIÇÃO) DE 1ª CATEGORIA EM LOCAIS COM BAIXO NÍVEL DE INTERFERÊNCIA. AF_04/2016</t>
  </si>
  <si>
    <t xml:space="preserve">FABRICAÇÃO DE FORMA PARA LAJES, EM CHAPA DE MADEIRA COMPENSADA RESINADA, E=17 MM. AF_12/2015</t>
  </si>
  <si>
    <t xml:space="preserve">ALVENARIA EM TIJOLO CERAMICO MACICO 5X10X20CM 1/2 VEZ (ESPESSURA 10CM), ASSENTADO COM ARGAMASSA TRACO 1:2:8 (CIMENTO, CAL E AREIA) (REF SINAPI, CÓD 72132).</t>
  </si>
  <si>
    <t xml:space="preserve">PAE 1019</t>
  </si>
  <si>
    <t xml:space="preserve">EXECUÇÃO DE PASSEIO (CALÇADA) OU PISO DE CONCRETO, FCK=25 MPA, PREPARO MECÂNICO, ESPESSURA 10 CM, ARMADO (REF SINAPI, CÓD 94997).</t>
  </si>
  <si>
    <t xml:space="preserve">REFERÊNCIA S 94997</t>
  </si>
  <si>
    <t xml:space="preserve">LONA PLÁSTICA PRETA, E=150 MICRA</t>
  </si>
  <si>
    <t>1,1280000</t>
  </si>
  <si>
    <t xml:space="preserve">SARRAFO DE MADEIRA NÃO APARELHADA 2,5X10 CM, MAÇARANDUBA, ANGELIM OU EQUIVALENTE NA REGIÃO</t>
  </si>
  <si>
    <t xml:space="preserve">SARRAFO DE MADEIRA NÃO APARELHADA 2,5X7,5 CM(1X3"), PINUS, MISTA OU EQUIVALENTE NA REGIÃO</t>
  </si>
  <si>
    <t xml:space="preserve">TELA DE AÇO SOLDADA NERVURADA, CA-60, Q-138, (2,20 KG/M²), DIÂMETRO DO FIO=4,2 MM, LARGURA=2,45 M, ESPAÇAMENTO DA MALHA=10X10 CM</t>
  </si>
  <si>
    <t xml:space="preserve">CONCRETO USINADO BOMBEÁVEL, CLASSE DE RESISTÊNCIA C25, COM BRITA 0 E 1, SLUMP=130+/- 20 MM, EXCLUI SERVIÇO DE BOMBEAMENTO (NBR 8953)</t>
  </si>
  <si>
    <t xml:space="preserve">PAE 1020</t>
  </si>
  <si>
    <t xml:space="preserve">PISO EM CONCRETO 20 MPA PREPARO MECÂNICO, ESPESSURA 4,5 CM, INCLUSO LANÇAMENTO E APLICAÇÃO </t>
  </si>
  <si>
    <t xml:space="preserve">PAE 1021</t>
  </si>
  <si>
    <t xml:space="preserve">PISO PODOTÁTIL DE DIRECIONAL COM LADRILHO HIDRAULICO DE 25X25X2,5 CM, INCLUINDO FORNECIMENTO E ASSENTAMENTO COM CIMENTO COLANTE SOBRE CONTRAPISO OU PISO RÚSTICO </t>
  </si>
  <si>
    <t xml:space="preserve">AZULEJISTA OU LADRILHISTA COM ENCARGOS COMPLEMENTARES</t>
  </si>
  <si>
    <t xml:space="preserve">LADRILHO HIDRAULICO PODOTATIL DIRECIONAL/ALERTA COR (AMARELO/VERMELHO)NAS DIMENSÕES 25x25X2,5 CM</t>
  </si>
  <si>
    <t>1</t>
  </si>
  <si>
    <t xml:space="preserve">PAE 1022</t>
  </si>
  <si>
    <t xml:space="preserve">PISO PODOTÁTIL ALERTA COM LADRILHO HIDRAULICO DE 25X25X2,5 CM, INCLUINDO FORNECIMENTO E ASSENTAMENTO COM CIMENTO COLANTE SOBRE CONTRAPISO OU PISO RÚSTICO</t>
  </si>
  <si>
    <t xml:space="preserve">EXECUÇÃO DE CAPA ASFÁLTICA EM CBUQ, COM PRODUÇÃO DA EQUIPE DE 2,25 M³/H - PREÇO EM T</t>
  </si>
  <si>
    <t xml:space="preserve">ROLO COMPACTADOR VIBRATÓRIO DE UM CILINDRO AÇO LISO, POTÊNCIA 80 HP, PESO OPERACIONAL MÁXIMO 8,1 T, IMPACTO DINÂMICO 16,15 / 9,5 T, LARGURA DE TRABALHO 1,68 M - CHP DIURNO. AF 06/2014</t>
  </si>
  <si>
    <t xml:space="preserve">PRODUÇÃO DA EQUIPE DE 2,25 M³/H</t>
  </si>
  <si>
    <t xml:space="preserve">ROLO COMPACTADOR VIBRATÓRIO DE UM CILINDRO AÇO LISO, POTÊNCIA 80 HP, PESO OPERACIONAL MÁXIMO 8,1 T, IMPACTO DINÂMICO 16,15 / 9,5 T, LARGURA DE TRABALHO 1,68 M - CHI DIURNO. AF 06/2014</t>
  </si>
  <si>
    <t xml:space="preserve">Memória de Cálculo sem B.D.I</t>
  </si>
  <si>
    <t xml:space="preserve">ONDE (sem B.D.I):</t>
  </si>
  <si>
    <t xml:space="preserve">Preço por Metro Cúbico sem B.D.I</t>
  </si>
  <si>
    <t xml:space="preserve">CUSTO HORÁRIO DO EQUIPAMENTO</t>
  </si>
  <si>
    <t>Densidade</t>
  </si>
  <si>
    <t xml:space="preserve">CUSTO HORÁRIO DE MÃO DE OBRA</t>
  </si>
  <si>
    <t xml:space="preserve">CUSTO HORÁRIO TOTAL</t>
  </si>
  <si>
    <t xml:space="preserve">CUSTO UNITÁRIO DIRETO TOTAL</t>
  </si>
  <si>
    <t xml:space="preserve">PREÇO SEM B.D.I POR TONELADA:</t>
  </si>
  <si>
    <t xml:space="preserve">PAE 1024</t>
  </si>
  <si>
    <t xml:space="preserve">BLSC - BOCA-DE-LOBO SIMPLES ADJACENTE À BOCA DE LOBO EXISTENTE NA CALÇADA, EM CONCRETO SIMPLES FCK 20 MPA, INCLUINDO FORMA, ESCAVAÇÃO, CALÇAMENTO AO REDOR E GRELHA EM AÇO CA-25, CONFORME PROJETO</t>
  </si>
  <si>
    <t xml:space="preserve">PAE 1025</t>
  </si>
  <si>
    <t xml:space="preserve">BLDC - BOCA-DE-LOBO DUPLA ADJACENTE À BOCA DE LOBO EXISTENTE NA CALÇADA, EM CONCRETO SIMPLES FCK 20 MPA, INCLUINDO FORMA, ESCAVAÇÃO, CALÇAMENTO AO REDOR E GRELHAS EM AÇO CA-25, CONFORME PROJETO</t>
  </si>
  <si>
    <t xml:space="preserve">PAE 1026</t>
  </si>
  <si>
    <t xml:space="preserve">BLTC - BOCA-DE-LOBO TRIPLA ADJACENTE À BOCA DE LOBO EXISTENTE NA CALÇADA, EM CONCRETO SIMPLES FCK 20 MPA, INCLUINDO FORMA, ESCAVAÇÃO, CALÇAMENTO AO REDOR E GRELHAS EM AÇO CA-25, CONFORME PROJETO</t>
  </si>
  <si>
    <t xml:space="preserve">PAE 1027</t>
  </si>
  <si>
    <t xml:space="preserve">LAJE PARA TAMPA DE BOCA DE LOBO EXISTENTE (L1 X L2 X L3 X L4) EM CALÇADA COM ESPESSURA 10 CM, FCK= 30 MPA, INCLUINDO VIGA DE APOIO CONFORME PROJETO.</t>
  </si>
  <si>
    <t xml:space="preserve">ARMAÇÃO DE BLOCO, VIGA BALDRAME E SAPATA UTILIZANDO AÇO CA-60 DE 4.2 MM - MONTAGEM. </t>
  </si>
  <si>
    <t xml:space="preserve">ARMAÇÃO DE BLOCO, VIGA BALDRAME OU SAPATA UTILIZANDO AÇO CA-50 DE 6,3 MM - MONTAGEM.  AF_06/2017</t>
  </si>
  <si>
    <t xml:space="preserve">GUINDAUTO HIDRÁULICO, CAPACIDADE MÁXIMA DE CARGA 6200 KG, MOMENTO MÁXIMO DE CARGA 11,7 TM, ALCANCE MÁXIMO HORIZONTAL 9,70 M, INCLUSIVE CAMINHÃO TOCO PBT 16.000 KG, POTÊNCIA DE 189 CV - CHP DIURNO. AF_06/2014 - PARA RETIRADA LAJE EXISTENTE</t>
  </si>
  <si>
    <t xml:space="preserve">CONCRETO FCK = 30MPA, TRAÇO 1:2,1:2,5 (CIMENTO/ AREIA MÉDIA/ BRITA 1) - PREPARO MECÂNICO COM BETONEIRA 400 L.  AF_07/2016</t>
  </si>
  <si>
    <t xml:space="preserve">PAE 1028</t>
  </si>
  <si>
    <t xml:space="preserve">ARMAÇÃO DE BLOCO, VIGA BALDRAME E SAPATA UTILIZANDO AÇO CA-60 DE 4.2 MM - MONTAGEM </t>
  </si>
  <si>
    <t xml:space="preserve">ARAME RECOZIDO 16 BWG, D = 1,60 MM (0,016 KG/M) OU 18 BWG, D = 1,25 MM (0,01 KG/M)</t>
  </si>
  <si>
    <t xml:space="preserve">CORTE E DOBRA DE AÇO CA-60, DIÂMETRO DE 4,2 MM, UTILIZADO EM ESTRUTURAS DIVERSAS, EXCETO LAJES. </t>
  </si>
  <si>
    <t xml:space="preserve">PAE 1029</t>
  </si>
  <si>
    <t xml:space="preserve">BOCA DE BUEIRO QUÁDRULO TUBULAR DE PEAD - Φ 120 CM</t>
  </si>
  <si>
    <t xml:space="preserve">ESCAVACAO MECANICA CAMPO ABERTO EM SOLO EXCETO ROCHA ATE 2,00M PROFUNDIDADE (REF SINAPI, CÓD 79480).</t>
  </si>
  <si>
    <t xml:space="preserve">FORNECIMENTO E LANÇAMENTO MANUAL DE PEDRA DE MÃO (REF SINAPI, CÓD 6454).</t>
  </si>
  <si>
    <t xml:space="preserve">PAE 1030</t>
  </si>
  <si>
    <t xml:space="preserve">DISSIPADOR DE ENERGIA PARA BUEIRO QUÁDRUPLO TUBULAR DE PEAD - Φ 120 CM</t>
  </si>
  <si>
    <t xml:space="preserve">Referência SICRO 2003471 - Julho 2019</t>
  </si>
  <si>
    <t xml:space="preserve">ENROCAMENTO MANUAL, COM ARRUMACAO DO MATERIAL  (REF SINAPI, CÓD 73698).</t>
  </si>
  <si>
    <t xml:space="preserve">PAE 1031</t>
  </si>
  <si>
    <t xml:space="preserve">REFERÊNCIA SINAPI 6454 JAN/2020 ONERADO</t>
  </si>
  <si>
    <t xml:space="preserve">PAE 1032</t>
  </si>
  <si>
    <t xml:space="preserve">REFERÊNCIA SINAPI 73698 JAN/2020 ONERADO</t>
  </si>
  <si>
    <t xml:space="preserve">PAE 1033</t>
  </si>
  <si>
    <t xml:space="preserve">RECICLAGEM COM ADIÇÃO DE 3% DE CIMENTO E INCORPORAÇÃO DO REVESTIMENTO ASFÁLTICO À BASE (REF SICRO, CÓD 4011482). </t>
  </si>
  <si>
    <t xml:space="preserve">REFERENTE SICRO 4011482 - OUT/2019</t>
  </si>
  <si>
    <t xml:space="preserve">Cimento portland comum CP I-32</t>
  </si>
  <si>
    <t xml:space="preserve">PRODUÇÃO DE EQUIPE 36,94 M³ (40% DE 92,35)</t>
  </si>
  <si>
    <t xml:space="preserve">Bits para recicladora</t>
  </si>
  <si>
    <t xml:space="preserve">Blocos para recicladora</t>
  </si>
  <si>
    <t xml:space="preserve">Porta bits para recicladora</t>
  </si>
  <si>
    <t xml:space="preserve">Servente com encargos complementares</t>
  </si>
  <si>
    <t xml:space="preserve">Distribuidor de agregados autopropelido, cap 3 m3, a diesel, potência 176 cv - chp diurno. Af_07/2016</t>
  </si>
  <si>
    <t xml:space="preserve">Distribuidor de agregados autopropelido, cap 3 m3, a diesel, potência 176 cv - chi diurno. Af_07/2016</t>
  </si>
  <si>
    <t xml:space="preserve">Caminhão pipa 10.000 l trucado, peso bruto total 23.000 kg, carga útil máxima 15.935 kg, distância entre eixos 4,8m, potência 230 cv, inclusive tanque de aço para transporte de água - chp diurno, af 06/2014</t>
  </si>
  <si>
    <t xml:space="preserve">Caminhão pipa 10.000 l trucado, peso bruto total 23.000 kg, carga útil máxima 15.935 kg, distância entre eixos 4,8m, potência 230 cv, inclusive tanque de aço para transporte de água - chi diurno, af 06/2014</t>
  </si>
  <si>
    <t xml:space="preserve">Motoniveladora potência básica líquida (primeira marcha) 125 hp, peso bruto 13032 kg, largura da lâmina de 3,7 m - chp diurno. Af 06/2014</t>
  </si>
  <si>
    <t xml:space="preserve">Motoniveladora potência básica líquida (primeira marcha) 125 hp, peso bruto 13032 kg, largura da lâmina de 3,7 m - chi diurno. Af 06/2014</t>
  </si>
  <si>
    <t xml:space="preserve">Recicladora de asfalto a frio sobre rodas, largura fresagem de 2,0 m, potência 422 hp - chp diurno. Af_11/2014</t>
  </si>
  <si>
    <t xml:space="preserve">Recicladora de asfalto a frio sobre rodas, largura fresagem de 2,0 m, potência 422 hp - chi diurno. Af_11/2014</t>
  </si>
  <si>
    <t xml:space="preserve">Rolo compactador de pneus estático, pressão variável, potência 111 hp, peso sem/com lastro 9,5 / 26 t, largura de trabalho 1,90 m - chp diurno. Af_07/2014</t>
  </si>
  <si>
    <t xml:space="preserve">Rolo compactador de pneus estático, pressão variável, potência 111 hp, peso sem/com lastro 9,5 / 26 t, largura de trabalho 1,90 m - chi diurno. Af_07/2014</t>
  </si>
  <si>
    <t xml:space="preserve">Rolo compactador vibratório tandem, aço liso, potência 125 hp, peso sem/com lastro 10,20/11,65 t, largura de trabalho 1,73 m, chp diurno. Af_11/2016</t>
  </si>
  <si>
    <t xml:space="preserve">Rolo compactador vibratório tandem, aço liso, potência 125 hp, peso sem/com lastro 10,20/11,65 t, largura de trabalho 1,73 m, chi diurno. Af_11/2016</t>
  </si>
  <si>
    <t xml:space="preserve">Rolo compactador pé de carneiro vibratório, potencia 125 hp, peso operacional sem/com lastro 11,95 / 13,30 t, impacto dinâmico 38,5 / 22,5 t, largura de trabalho 2,15 m - chp diurno. Af_06/2014</t>
  </si>
  <si>
    <t>1.19</t>
  </si>
  <si>
    <t xml:space="preserve">Rolo compactador pé de carneiro vibratório, potencia 125 hp, peso operacional sem/com lastro 11,95 / 13,30 t, impacto dinâmico 38,5 / 22,5 t, largura de trabalho 2,15 m - chi diurno. Af_06/2014</t>
  </si>
  <si>
    <t xml:space="preserve">PAE 1034</t>
  </si>
  <si>
    <t xml:space="preserve">REATERRO E COMPACTAÇÃO COM SOQUETE VIBRATÓRIO </t>
  </si>
  <si>
    <t xml:space="preserve">REFERENTE SICRO 4915671</t>
  </si>
  <si>
    <t xml:space="preserve">COMPACTADOR DE SOLOS DE PERCUSSÃO (SOQUETE) COM MOTOR A GASOLINA 4 TEMPOS, POTÊNCIA 4 CV - CHP DIURNO. AF_08/2015
 </t>
  </si>
  <si>
    <t xml:space="preserve">PAE 1035</t>
  </si>
  <si>
    <t xml:space="preserve">EXECUÇÃO DE CANALETA DE CONCRETO DIMENSÕES DE (80X35X30) CM, FCK=30 MPA, Á=2.430 CM², INCLUI DEMOLIÇÃO DO PAVIMENTO COM MARTELETE</t>
  </si>
  <si>
    <t xml:space="preserve">Considerando canaleta com 8,00 m de comprimento</t>
  </si>
  <si>
    <t xml:space="preserve">DEMOLIÇÃO DE PAVIMENTAÇÃO ASFÁLTICA COM UTILIZAÇÃO DE MARTELO PERFURADOR, ESPESSURA ATÉ 15 CM, EXCLUSIVE CARGA E TRANSPORTE (REF SINAPI, CÓD 92970). </t>
  </si>
  <si>
    <t xml:space="preserve">ESCAVAÇÃO MANUAL DE VIGA DE BORDA PARA RADIER. AF_09/2017</t>
  </si>
  <si>
    <t xml:space="preserve">LASTRO COM MATERIAL GRANULAR, APLICAÇÃO EM PISOS OU RADIERS, ESPESSURA DE *5 CM*. AF_08/2017</t>
  </si>
  <si>
    <t xml:space="preserve">TRANSPORTE COMERCIAL DE BRITA DO LASTRO</t>
  </si>
  <si>
    <t xml:space="preserve">DMT CONSIDERADO 13,30 KM</t>
  </si>
  <si>
    <t xml:space="preserve">REFERENTE SINAPI 92970 - JAN/2020</t>
  </si>
  <si>
    <t xml:space="preserve">PAE 1037</t>
  </si>
  <si>
    <t xml:space="preserve">RECICLAGEM COM ADIÇÃO DE 2% CIMENTO E INCORPORAÇÃO DO REVESTIMENTO ASFÁLTICO À BASE </t>
  </si>
  <si>
    <t xml:space="preserve">PAE 1038</t>
  </si>
  <si>
    <t xml:space="preserve">FORNECIMENTO DE PEDRA BRITADA OU BICA CORRIDA, NÃO CLASSIFICADA, INCLUSIVE ESPALHAMENTO MECANIZADO EXCLUSIVE TRANSPORTE</t>
  </si>
  <si>
    <t xml:space="preserve">EM DESUSO!!! UTILIZAR PAE 1170</t>
  </si>
  <si>
    <t xml:space="preserve">PEDRA BRITADA OU BICA CORRIDA, NÃO CLASSIFICADA</t>
  </si>
  <si>
    <t xml:space="preserve">PAE 1039</t>
  </si>
  <si>
    <t xml:space="preserve">PV-3 - POÇO-DE-VISITA 1,90X3,40M(DIMENSÕES INTERNAS), EM ALV. DE TIJ. COM. DE 1 VEZ ASS. E REV. INTERN. COM ARG. DE CIM. E AREIA 1:3, LAST. DE BRITA 12CM, BERÇO 18CM EM CONC. FCK=15MPA, LAJE DE 12CM EM CONC. ARMADO FCK=20MPA, INCL. FORMA, ESC. MANUAL E REAT. APILOADO</t>
  </si>
  <si>
    <t xml:space="preserve">LASTRO DE BRITA (REF AGESUL, CÓD IUC10004).</t>
  </si>
  <si>
    <t xml:space="preserve">ALVENARIA EM TIJOLO CERÂMICO MACIÇO 5X10X20CM 1 VEZ (ESPESSURA 20CM), ASSENTADO COM ARGAMASSA TRAÇO 1:3 (CIMENTO E AREIA) (REF AGESUL, CÓD IUD20068).</t>
  </si>
  <si>
    <t xml:space="preserve">ESCAVAÇÃO MECANIZADA DE VALA COM PROFUNDIDADE MAIOR QUE 1,5 M ATÉ 3,0 M (MÉDIA MONTANTE E JUSANTE/UMA COMPOSIÇÃO POR TRECHO), RETROESCAV (0,26 M3), LARGURA DE 0,8 M A 1,5 M, EM SOLO DE 1A CATEGORIA, LOCAIS COM BAIXO NÍVEL DE INTERFERÊNCIA. AF_02/2021</t>
  </si>
  <si>
    <t xml:space="preserve">ANTES ERA CÓDIGO IUD20080</t>
  </si>
  <si>
    <t xml:space="preserve">ARGAMASSA TRAÇO 1:3 (CIMENTO E AREIA GROSSA) PARA CHAPISCO CONVENCIONAL, PREPARO MECÂNICO COM BETONEIRA 400 L. AF_06/2014</t>
  </si>
  <si>
    <t xml:space="preserve">CHAPISCO APLICADO EM ALVENARIAS E ESTRUTURAS DE CONCRETO INTERNAS, COM COLHER DE PEDREIRO. ARGAMASSA TRAÇO 1:3 COM PREPARO MANUAL. AF_06/2014</t>
  </si>
  <si>
    <t xml:space="preserve">CONCRETO FCK = 15MPA, TRAÇO 1:3,4:3,5 (CIMENTO/ AREIA MÉDIA/ BRITA 1) - PREPARO MECÂNICO COM BETONEIRA 400 L. AF_07/2016</t>
  </si>
  <si>
    <t xml:space="preserve">FABRICAÇÃO, MONTAGEM E DESMONTAGEM DE FÔRMA PARA VIGA BALDRAME, EM MADEIRA SERRADA, E=25 MM, 2 UTILIZAÇÕES. AF_06/2017</t>
  </si>
  <si>
    <t xml:space="preserve">PAE 1040</t>
  </si>
  <si>
    <t xml:space="preserve">PV-4 - POÇO-DE-VISITA 1,90X4,90M(DIMENSÕES INTERNAS), EM ALV. DE TIJ. COM. DE 1 VEZ ASS. E REV. INTERN. COM ARG. DE CIM. E AREIA 1:3, LAST. DE BRITA 12CM, BERÇO 18CM EM CONC. FCK=15MPA, LAJE DE 12CM EM CONC. ARMADO FCK=20MPA, INCL. FORMA, ESC. MANUAL E REAT. APILOADO</t>
  </si>
  <si>
    <t xml:space="preserve">PAE 1041</t>
  </si>
  <si>
    <t xml:space="preserve">PV-5 - POÇO-DE-VISITA 1,90X6,50M(DIMENSÕES INTERNAS), EM ALV. DE TIJ. COM. DE 1 VEZ ASS. E REV. INTERN. COM ARG. DE CIM. E AREIA 1:3, LAST. DE BRITA 12CM, BERÇO 18CM EM CONC. FCK=15MPA, LAJE DE 12CM EM CONC. ARMADO FCK=20MPA, INCL. FORMA, ESC. MANUAL E REAT. APILOADO</t>
  </si>
  <si>
    <t xml:space="preserve">PAE 1042</t>
  </si>
  <si>
    <t xml:space="preserve">PV-6 - POÇO-DE-VISITA 1,90X8,70M(DIMENSÕES INTERNAS), EM ALV. DE TIJ. COM. DE 1 VEZ ASS. E REV. INTERN. COM ARG. DE CIM. E AREIA 1:3, LAST. DE BRITA 12CM, BERÇO 18CM EM CONC. FCK=15MPA, LAJE DE 12CM EM CONC. ARMADO FCK=20MPA, INCL. FORMA, ESC. MANUAL E REAT. APILOADO</t>
  </si>
  <si>
    <t xml:space="preserve">EXECUÇÃO DE PINTURA DE LIGAÇÃO COM EMULSÃO ASFÁLTICA RR-1C (REF SINAPI, CÓD 96402).</t>
  </si>
  <si>
    <t xml:space="preserve">REFERENTE S 96402 MARÇO/2020</t>
  </si>
  <si>
    <t xml:space="preserve">EMULSAO ASFALTICA CATIONICA RR-1C PARA USO EM PAVIMENTACAO ASFALTICA (COLETADO CAIXA NA ANP ACRESCIDO DE ICMS)</t>
  </si>
  <si>
    <t xml:space="preserve">ESPARGIDOR DE ASFALTO PRESSURIZADO, TANQUE 6 M3 COM ISOLAÇÃO TÉRMICA, AQUECIDO COM 2 MAÇARICOS, COM BARRA ESPARGIDORA 3,60 M, MONTADO SOBRE CAMINHÃO  TOCO, PBT 14.300 KG, POTÊNCIA 185 CV - CHP DIURNO. AF_08/2015</t>
  </si>
  <si>
    <t xml:space="preserve">ESPARGIDOR DE ASFALTO PRESSURIZADO, TANQUE 6 M3 COM ISOLAÇÃO TÉRMICA, AQUECIDO COM 2 MAÇARICOS, COM BARRA ESPARGIDORA 3,60 M, MONTADO SOBRE CAMINHÃO  TOCO, PBT 14.300 KG, POTÊNCIA 185 CV - CHI DIURNO. AF_08/2015</t>
  </si>
  <si>
    <t xml:space="preserve">PAE 1044</t>
  </si>
  <si>
    <t xml:space="preserve">MURETA PARA CONTENÇÃO LATERAL DE RAMPA TIPO 03 EM ALVENARIA DE TIJOLOS MACIÇOS, E=15 CM (1/2 VEZ), ALTURA 25 CM, COMPRIMENTO 5,60 ,  SENDO 10 CM ENTERRADO. LATERAIS E TOPO CHAPISCADOS COM ARGAMASSA NO TRAÇO 1:3, E=0,5 CM E REBOCADOS COM ARGAMASSA NO TRAÇO 1:2:8, ESPESSURA=2 CM</t>
  </si>
  <si>
    <t xml:space="preserve">REFERENTE S 94097 JUNHO/2020</t>
  </si>
  <si>
    <t xml:space="preserve">ESCAVAÇÃO MANUAL DE VALA COM PROFUNDIDADE MENOR OU IGUAL A 1,30 M. AF_03/2016</t>
  </si>
  <si>
    <t xml:space="preserve">REATERRO MANUAL APILOADO COM SOQUETE (REF SINAPI, CÓD 96995). </t>
  </si>
  <si>
    <t xml:space="preserve">PREPARO DE FUNDO DE VALA COM LARGURA MENOR QUE 1,5 M (ACERTO DO SOLO NATURAL) AF_08/2020</t>
  </si>
  <si>
    <t xml:space="preserve">CHAPISCO APLICADO EM ALVENARIA (SEM PRESENÇA DE VÃOS) E ESTRUTURAS DE CONCRETO DE FACHADA, COM COLHER DE PEDREIRO.  ARGAMASSA TRAÇO 1:3 COM PREPARO EM BETONEIRA 400L. AF_06/2014</t>
  </si>
  <si>
    <t xml:space="preserve">MASSA ÚNICA, PARA RECEBIMENTO DE PINTURA, EM ARGAMASSA TRAÇO 1:2:8, PREPARO MECÂNICO COM BETONEIRA 400L, APLICADA MANUALMENTE EM FACES INTERNAS DE PAREDES, ESPESSURA DE 20MM, COM EXECUÇÃO DE TALISCAS. AF_06/2014</t>
  </si>
  <si>
    <t xml:space="preserve">FORNECIMENTO E INSTALAÇÃO DE MANTA BIDIM RT-14, INCLUINDO 2 CAMADAS DE LIGANTE RR-2C E COMPACTAÇÃO </t>
  </si>
  <si>
    <t xml:space="preserve">REFERENTE SICRO 4011490 OUT/19</t>
  </si>
  <si>
    <t xml:space="preserve">PRODUÇÃO DA EQUIPE 3486 M²</t>
  </si>
  <si>
    <t xml:space="preserve">REFERENTE CÓDIGO AG72945/001 - 01/12/2015 (AGESUL)</t>
  </si>
  <si>
    <t xml:space="preserve">EMULSÃO ASFÁLTICA CATIÔNICA RR-2C PARA USO EM PAVIMENTAÇÃO ASFÁLTICA</t>
  </si>
  <si>
    <t xml:space="preserve">PAE 1046</t>
  </si>
  <si>
    <t xml:space="preserve">PREPARO MANUAL DE TERRENO S/ RASPAGEM SUPERFICIAL (REF SINAPI, CÓD 85422).</t>
  </si>
  <si>
    <t xml:space="preserve">REFERENTE 85422 - SINAPI JAN/2020</t>
  </si>
  <si>
    <t xml:space="preserve">PAE 1047</t>
  </si>
  <si>
    <t xml:space="preserve">SINALIZACAO DE TRANSITO - NOTURNA (REF SINAPI, CÓD 74221/1).</t>
  </si>
  <si>
    <t xml:space="preserve">REFERENTE S 74221/1 JAN/2020</t>
  </si>
  <si>
    <t>KW/H</t>
  </si>
  <si>
    <t xml:space="preserve">LAMPADA FLUORESCENTE TUBULAR T10, DE 20 OU 40 W, BIVOLT</t>
  </si>
  <si>
    <t xml:space="preserve">PAE 1048</t>
  </si>
  <si>
    <t xml:space="preserve">FORNECIMENTO DE PEDRA BRITADA OU BICA CORRIDA, NÃO CLASSIFICADA, INCLUSIVE ESPALHAMENTO MANUAL EXCLUSIVE TRANSPORTE </t>
  </si>
  <si>
    <t xml:space="preserve">PAE 1049</t>
  </si>
  <si>
    <t xml:space="preserve">DEMOLIÇÃO DE PAVIMENTO INTERTRAVADO, DE FORMA MANUAL, SEM REAPROVEITAMENTO </t>
  </si>
  <si>
    <t xml:space="preserve">REFERENTE S 97635 MARÇO/2020</t>
  </si>
  <si>
    <t xml:space="preserve">CONSIDERADO 60% DO COEFICIENTE ORIGINAL</t>
  </si>
  <si>
    <t xml:space="preserve">BASE ESTABILIZADA COM MISTURA NA PISTA, EXECUÇÃO</t>
  </si>
  <si>
    <t xml:space="preserve">REFERÊNCIA SINAPI 77389 JAN/2013 GIDUR</t>
  </si>
  <si>
    <t xml:space="preserve">AJUDANTE DE OPERACAO EM GERAL</t>
  </si>
  <si>
    <t xml:space="preserve">PAE 1051</t>
  </si>
  <si>
    <t xml:space="preserve">FORNECIMENTO E INSTALAÇÃO DE MANTA BIDIM RT-9 (REF SINAPI, CÓD 83665).</t>
  </si>
  <si>
    <t xml:space="preserve">PAE 1052</t>
  </si>
  <si>
    <t xml:space="preserve">FORNECIMENTO E INSTALAÇÃO DE MANTA BIDIM RT-10  (REF SINAPI, CÓD 83665).</t>
  </si>
  <si>
    <t xml:space="preserve">PAE 1053</t>
  </si>
  <si>
    <t xml:space="preserve">BOCA DE DRAGÃO-6,00 M</t>
  </si>
  <si>
    <t xml:space="preserve">alterados todos os itens para baixo nível de interferência</t>
  </si>
  <si>
    <t xml:space="preserve">ESCAVAÇÃO MECANIZADA DE VALA COM PROF. ATÉ 1,5 M(MÉDIA ENTRE MONTANTE E JUSANTE/UMA COMPOSIÇÃO POR TRECHO), COM ESCAVADEIRA HIDRÁULICA (0,8 M³), LARG. DE 1,5 M A 2,5 M, EM SOLO DE 1º CATEGORIA, LOCAIS COM BAIXO NÍVEL DE INTERFERÊNCIA. AF_02/2021</t>
  </si>
  <si>
    <t xml:space="preserve">ESCAVAÇÃO MECANIZADA DE VALA COM PROF. MAIOR QUE 1,5 M ATÉ 3,0 M (MÉDIA ENTRE MONTANTE E JUSANTE/UMA COMPOSIÇÃO POR TRECHO), COM ESCAVADEIRA HIDRÁULICA (1,2 M³/155 HP), LARG. DE 1,5 M A 2,5 M, EM SOLO DE 1º CATEGORIA, LOCAIS COM BAIXO NÍVEL DE INTERFERÊNCIA. AF_02/2021</t>
  </si>
  <si>
    <t xml:space="preserve">PREPARO DE FUNDO DE VALA COM LARGURA MAIOR OU IGUAL A 1,5 M E MENOR QUE 2,5 M (ACERTO DO SOLO NATURAL) AF_08/2020 (REGULARIZAÇÃO)</t>
  </si>
  <si>
    <t xml:space="preserve">REATERRO E COMPACTAÇÃO MECÂNICO DE VALA COM COMPACTADOR MANUAL TIPO SOQUETE VIBRATÓRIO (REF AGESUL, CÓD IUD20058).</t>
  </si>
  <si>
    <t xml:space="preserve">CONCRETO NAO ESTRUTURAL, CONSUMO 210KG/M3, PREPARO COM BETONEIRA, SEM LANCAMENTO /M³  (REF SINAPI, CÓD 6042).</t>
  </si>
  <si>
    <t xml:space="preserve">FABRICAÇÃO, MONTAGEM E DESMONTAGEM DE FÔRMA PARA VIGA BALDRAME, EM MADEIRA SERRADA, E=25 MM, 1 UTILIZAÇÃO. AF_06/2017</t>
  </si>
  <si>
    <t xml:space="preserve">ALVENARIA EM TIJOLO CERAMICO MACICO 5X10X20CM 1 VEZ (ESPESSURA 20CM), ASSENTADO COM ARGAMASSA TRACO 1:2:8 (CIMENTO, CAL E AREIA) (REF SINAPI, CÓD 72131).</t>
  </si>
  <si>
    <t xml:space="preserve">IMPERMEABILIZAÇÃO DE PAREDES COM ARGAMASSA DE CIMENTO E AREIA, COM ADITIVO IMPERMEABILIZANTE, E= 2 CM.</t>
  </si>
  <si>
    <t xml:space="preserve">ARMAÇÃO DE ESTRUTURAS DE CONCRETO ARMADO, EXCETO VIGAS, PILARES, LAJES E FUNDAÇÕES, UTILIZANDO AÇO CA-50 DE 6,3 MM - MONTAGEM. AF_12/2015</t>
  </si>
  <si>
    <t xml:space="preserve">ARMAÇÃO DE ESTRUTURAS DE CONCRETO ARMADO, EXCETO VIGAS, PILARES, LAJES E FUNDAÇÕES, UTILIZANDO AÇO CA-60 DE 5,0 MM - MONTAGEM. AF_12/2015</t>
  </si>
  <si>
    <t xml:space="preserve">ARMAÇÃO DO SISTEMA DE PAREDES DE CONCRETO, EXECUTADA EM PAREDES DE EDIFICAÇÕES DE MÚLTIPLOS PAVIMENTOS, TELA Q-138.</t>
  </si>
  <si>
    <t xml:space="preserve">REGULARIZAÇÃO DE PISO/BASE EM ARGAMASSA TRAÇO 1:3 (CIMENTO E AREIA GROSSA SEM PENEIRAR) E=3,0 CM, PREPARO MECÂNICO / M2 - (REF. SINAPI, CÓD 73977/001)</t>
  </si>
  <si>
    <t xml:space="preserve">FORNECIMENTO E COLOCAÇÃO DE PERFIL AÇO ESTRUTURAL PARA BOCA DE DRAGÃO</t>
  </si>
  <si>
    <t xml:space="preserve">PAE 1054</t>
  </si>
  <si>
    <t xml:space="preserve">BOCA DE DRAGÃO-8,00 M</t>
  </si>
  <si>
    <t xml:space="preserve">LANÇAMENTO/APLICAÇÃO MANUAL DE CONCRETO EM FUNDAÇÕES</t>
  </si>
  <si>
    <t xml:space="preserve">PAE 1055</t>
  </si>
  <si>
    <t xml:space="preserve">BOCA DE DRAGÃO-10,00 M</t>
  </si>
  <si>
    <t xml:space="preserve">PAE 1056</t>
  </si>
  <si>
    <t xml:space="preserve">BOCA DE DRAGÃO-6,00 M COM CAIXA DE PASSAGEM Ø 0,60 M</t>
  </si>
  <si>
    <t xml:space="preserve">PAE 1057</t>
  </si>
  <si>
    <t xml:space="preserve">BOCA DE DRAGÃO-8,00 M COM CAIXA DE PASSAGEM Ø 1,00 M</t>
  </si>
  <si>
    <t xml:space="preserve">PAE 1078</t>
  </si>
  <si>
    <t xml:space="preserve">BOCA DE DRAGÃO-8,60 M</t>
  </si>
  <si>
    <t xml:space="preserve">ARMAÇÃO DE ESTRUTURAS DE CONCRETO ARMADO, EXCETO VIGAS, PILARES, LAJES E FUNDAÇÕES, UTILIZANDO AÇO CA-50 DE 10,0 MM - MONTAGEM. AF_12/2015</t>
  </si>
  <si>
    <t xml:space="preserve">PAE 1058</t>
  </si>
  <si>
    <t xml:space="preserve">REGULARIZAÇÃO DE PISO/BASE EM ARGAMASSA TRAÇO 1:3 (CIMENTO E AREIA GROSSA SEM PENEIRAR) E=3,0 CM, PREPARO MECÂNICO / M2 - </t>
  </si>
  <si>
    <t xml:space="preserve">REF SINAPI, CÓD 73977/1</t>
  </si>
  <si>
    <t xml:space="preserve">ARGAMASSA TRAÇO 1:3 (CIMENTO E AREIA MÉDIA), PREPARO MECÂNICO COM BETONEIRA 400 L. AF_08/2014</t>
  </si>
  <si>
    <t xml:space="preserve">PAE 1059</t>
  </si>
  <si>
    <t xml:space="preserve">CONCRETO NAO ESTRUTURAL, CONSUMO 210KG/M3, PREPARO COM BETONEIRA, SEM LANCAMENTO /M³  </t>
  </si>
  <si>
    <t xml:space="preserve">REFERÊNCIA S 6042 JUNHO/2016</t>
  </si>
  <si>
    <t xml:space="preserve">BETONEIRA CAPACIDADE NOMINAL DE 400 L, CAPACIDADE DE MISTURA 310 L, MOTOR ELÉTRICO TRIFÁSICO POTÊNCIA DE 2 HP, SEM CARREGADOR - CHP DIURNO. AF_10/2014</t>
  </si>
  <si>
    <t xml:space="preserve">AREIA GROSSA - POSTO JAZIDA/FORNECEDOR (SEM FRETE)</t>
  </si>
  <si>
    <t xml:space="preserve">PAE 1060</t>
  </si>
  <si>
    <t xml:space="preserve">PERFIS (PARA BOCA DE DRAGÃO - 6,0 M)</t>
  </si>
  <si>
    <t xml:space="preserve">BARRA DE FERRO CHATA, RETANGULAR (QUALQUER BITOLA)</t>
  </si>
  <si>
    <t xml:space="preserve">FUNDO ANTICORROSIVO, TIPO ZARCÃO OU EQUIVALENTE</t>
  </si>
  <si>
    <t xml:space="preserve">ELETRODO AWS E=6013 (OK 46.00; WI 613) D = 4,0 MM (SOLDA ELÉTRICA)</t>
  </si>
  <si>
    <t xml:space="preserve">FERRAMENTAS (5% DE M.D.O.)</t>
  </si>
  <si>
    <t xml:space="preserve">PAE 1061</t>
  </si>
  <si>
    <t xml:space="preserve">PERFIS (PARA BOCA DE DRAGÃO - 8,0 M)</t>
  </si>
  <si>
    <t xml:space="preserve">PAE 1062</t>
  </si>
  <si>
    <t xml:space="preserve">PERFIS (PARA BOCA DE DRAGÃO - 10,0 M)</t>
  </si>
  <si>
    <t xml:space="preserve">PAE 1063</t>
  </si>
  <si>
    <t xml:space="preserve">PERFIS (PARA BOCA DE DRAGÃO - 6,0 M COM CAIXA DE PASSAGEM)</t>
  </si>
  <si>
    <t xml:space="preserve">PAE 1079</t>
  </si>
  <si>
    <t xml:space="preserve">PERFIS (PARA BOCA DE DRAGÃO - 8,6 M)</t>
  </si>
  <si>
    <t xml:space="preserve">PAE 1064</t>
  </si>
  <si>
    <t xml:space="preserve">REFERENTE S 72131 ABRIL/2020</t>
  </si>
  <si>
    <t xml:space="preserve">TIJOLO CERAMICO MACICO *5 X 10 X 20* CM</t>
  </si>
  <si>
    <t xml:space="preserve">PAE 1065</t>
  </si>
  <si>
    <t xml:space="preserve">REFERENTE S 72132 ABRIL/2020</t>
  </si>
  <si>
    <t xml:space="preserve">PAE 1066</t>
  </si>
  <si>
    <t xml:space="preserve">REFERENTE S 72133 ABRIL/2020</t>
  </si>
  <si>
    <t xml:space="preserve">PAE 1067</t>
  </si>
  <si>
    <t xml:space="preserve">ALVENARIA DE EMBASAMENTO EM TIJOLOS CERAMICOS MACICOS 5X10X20CM, ASSENTADO  COM ARGAMASSA TRACO 1:2:8 (CIMENTO, CAL E AREIA) (REF SINAPI, CÓD 95474).</t>
  </si>
  <si>
    <t xml:space="preserve">REFERENTE S 95474 ABRIL/2020</t>
  </si>
  <si>
    <t xml:space="preserve">PAE 1068</t>
  </si>
  <si>
    <t xml:space="preserve">COMPACTAÇÃO MECÂNICA C/ CONTROLE DO GC&gt;=95% DO PN (AREAS)(C/ MOTONIVELADORA 140 HP E ROLO COMPRESSOR VIBRATÓRIO 80HP) (REF SINAPI, CÓD 74005/2).</t>
  </si>
  <si>
    <t xml:space="preserve">REF SINAPI 74005/2 OUT/19</t>
  </si>
  <si>
    <t xml:space="preserve">PAE 1069</t>
  </si>
  <si>
    <t xml:space="preserve">FORNECIMENTO/INSTALAÇÃO DE MANDA BIDIM RT-31 (REF SINAPI, CÓD 83729).</t>
  </si>
  <si>
    <t xml:space="preserve">REF SINAPI 83729 JANEIRO/2020</t>
  </si>
  <si>
    <t xml:space="preserve">PAE 1070</t>
  </si>
  <si>
    <t xml:space="preserve">COMPACTACAO MECANICA, SEM CONTROLE DO GC (C/COMPACTADOR PLACA 400 KG) (REF SINAPI, CÓD 74005/1).</t>
  </si>
  <si>
    <t xml:space="preserve">REFERENTE SINAPI  74005/001 JAN/2020</t>
  </si>
  <si>
    <t xml:space="preserve">ENTRADA PROVISÓRIA DE ENERGIA ELÉTRICA AÉREA TRIFÁSICA 40A EM POSTE DE CONCRETO ARMADO DE SECAO DUPLO T </t>
  </si>
  <si>
    <t xml:space="preserve">REF SINAPI 41598 JAN/2020</t>
  </si>
  <si>
    <t xml:space="preserve">ATUALIZADO O POSTE CONFORME NDU 000 V6.3 DA ENERGISA</t>
  </si>
  <si>
    <t xml:space="preserve">DISJUNTOR TIPO NEMA, TRIPOLAR 10  ATE  50A, TENSAO MAXIMA DE 415 V</t>
  </si>
  <si>
    <t xml:space="preserve">ELETRODUTO DE PVC RIGIDO ROSCAVEL DE 1 ", SEM LUVA</t>
  </si>
  <si>
    <t xml:space="preserve">ARRUELA REDONDA DE LATAO, DIAMETRO EXTERNO = 34 MM, ESPESSURA = 2,5 MM, DIAMETRO DO FURO = 17 MM</t>
  </si>
  <si>
    <t xml:space="preserve">PAE 1072</t>
  </si>
  <si>
    <t xml:space="preserve">RETIRADA E INSTALAÇÃO DE PLACA DE SINALIZAÇÃO VERTICAL (ATÉ 0,36 M²), INCLUINDO SUPORTE DE MADEIRA PINTADO A CAL E REAPROVEITAMENTO DE BASE DE CONCRETO.</t>
  </si>
  <si>
    <t xml:space="preserve">PINTURA A BASE DE CAL E FIXADOR A BASE DE COLA, DUAS DEMÃOS (REF AGESUL, CÓD IUC10009).</t>
  </si>
  <si>
    <t xml:space="preserve">PAE 1073</t>
  </si>
  <si>
    <t xml:space="preserve">RETIRADA E INSTALAÇÃO DE LIXEIRA COM REAPROVEITAMENTO DE BASE DE CONCRETO.</t>
  </si>
  <si>
    <t xml:space="preserve">PAE 1074</t>
  </si>
  <si>
    <t xml:space="preserve">FORNECIMENTO E INSTALAÇÃO DE GRELHA CA-25, CONFORME PROJETO </t>
  </si>
  <si>
    <t xml:space="preserve">REFERÊNCIA 73799/1- JUNHO/2020</t>
  </si>
  <si>
    <t xml:space="preserve">PAE 1075</t>
  </si>
  <si>
    <t xml:space="preserve">MEIO-FIO COM SARJETA, CONCRETO FCK = 15 MPA, SEÇÃO 556 CM², MOLDADO NO LOCAL, INCLUSIVE ESCAVAÇÃO E PINTURA A CAL EM UMA DEMÃO </t>
  </si>
  <si>
    <t xml:space="preserve">REFERÊNCIA MEIO FIO 615 CM² - IUP 30001</t>
  </si>
  <si>
    <t xml:space="preserve">PAE 1076</t>
  </si>
  <si>
    <t xml:space="preserve">MEIO-FIO COM SARJETA, CONCRETO FCK = 15 MPA, SEÇÃO 785 CM², MOLDADO NO LOCAL, INCLUSIVE ESCAVAÇÃO E PINTURA A CAL EM UMA DEMÃO </t>
  </si>
  <si>
    <t xml:space="preserve">PAE 1077</t>
  </si>
  <si>
    <t xml:space="preserve">PLACA ESMALTADA PARA IDENTIFICAÇÃO Nº DE RUA, DIMENSÕES 45X25CM (REF SINAPI, CÓD 73916/2).</t>
  </si>
  <si>
    <t xml:space="preserve">REFERÊNCIA S 73916/2 JANEIRO/2020</t>
  </si>
  <si>
    <t xml:space="preserve">PLACA DE ACO ESMALTADA PARA  IDENTIFICACAO DE RUA, *45 CM X 20* CM</t>
  </si>
  <si>
    <t xml:space="preserve">PAE 1080</t>
  </si>
  <si>
    <t xml:space="preserve">MICRO REVESTIMENTO A FRIO ESPESSURA DE 1,5 CM COM EMULSÃO MODIFICADA COM POLÍMERO.</t>
  </si>
  <si>
    <t xml:space="preserve">RC-1C FLEX</t>
  </si>
  <si>
    <t xml:space="preserve">CÓDIGO ANTERIOR - 5882</t>
  </si>
  <si>
    <t xml:space="preserve">TANQUE DE ASFALTO ESTACIONÁRIO COM SERPENTINA, CAPACIDADE 30.000 L - CHP DIURNO. AF_06/2014</t>
  </si>
  <si>
    <t xml:space="preserve">PAE 1081</t>
  </si>
  <si>
    <t xml:space="preserve">TACHÃO REFLETIVO BIDIRECIONAL, PADRÃO DNIT, FORNECIMENTO E FIXADO COM ADESIVO ADESIVO À BASE DE RESINA POLIÉSTER</t>
  </si>
  <si>
    <t xml:space="preserve">CAMINHÃO TOCO, 170CV - 11t(VU = 6ANOS)(NÃO INCLUI CARROCERIA) - CUSTO HORÁRIO PRODUTIVO DIURNO</t>
  </si>
  <si>
    <t xml:space="preserve">ADESIVO À BASE DE RESINA POLIÉSTER</t>
  </si>
  <si>
    <t xml:space="preserve">GRUPO GERADOR, POTÊNCIA 66 KVA, MOTOR A DIESEL - CHP DIURNO </t>
  </si>
  <si>
    <t xml:space="preserve">MARTELETE OU ROMPEDOR PNEUMÁTICO MANUAL 28 KG, FREQUÊNCIA DE IMPACTO 12 30/MINUTO - CHP DIURNO</t>
  </si>
  <si>
    <t xml:space="preserve">TACHÃO REFLETIVO EM PLÁSTICO INJETADO BIDIRECIONAL</t>
  </si>
  <si>
    <r>
      <rPr>
        <b/>
        <sz val="12"/>
        <rFont val="Arial"/>
      </rPr>
      <t xml:space="preserve">OBS: </t>
    </r>
    <r>
      <rPr>
        <sz val="12"/>
        <rFont val="Arial"/>
      </rPr>
      <t xml:space="preserve">Os itens M2041 e M3867 da composição (data/base Sicro Outubro/25) foram reajustados para Novembro/25.</t>
    </r>
  </si>
  <si>
    <r>
      <rPr>
        <sz val="12"/>
        <rFont val="Arial"/>
      </rPr>
      <t xml:space="preserve">IR = 465,569 / 463,229 = </t>
    </r>
    <r>
      <rPr>
        <b/>
        <sz val="12"/>
        <rFont val="Arial"/>
      </rPr>
      <t>1,00505150</t>
    </r>
  </si>
  <si>
    <t xml:space="preserve">PAE 1082</t>
  </si>
  <si>
    <t xml:space="preserve">FORNECIMENTO E INSTALAÇÃO DE MANTA BIDIM RT-10, INCLUINDO APLICAÇÃO 2 CAMADAS DE LIGANTE RR-2C E COMPACTAÇÃO  </t>
  </si>
  <si>
    <t xml:space="preserve">REFERENTE SICRO 4011490 OUT/19 - PRODUÇÃO DA EQUIPE 3486 M²</t>
  </si>
  <si>
    <t xml:space="preserve">vezes 2 por o equipamento dá 2 dois banhos de emulsão</t>
  </si>
  <si>
    <t xml:space="preserve">PAE 1083</t>
  </si>
  <si>
    <t xml:space="preserve">RECICLAGEM COM ADIÇÃO DE PÓ DE PEDRA E INCORPORAÇÃO DO REVESTIMENTO ASFÁLTICO À BASE  </t>
  </si>
  <si>
    <t>Pó-de-pedra</t>
  </si>
  <si>
    <t xml:space="preserve">20 % de Empolamento para o Pó de Pedra (Mário viu com o Gil)</t>
  </si>
  <si>
    <t xml:space="preserve">Transporte comercial de brita</t>
  </si>
  <si>
    <t xml:space="preserve">DMT 10 KM</t>
  </si>
  <si>
    <t xml:space="preserve">PAE 1084</t>
  </si>
  <si>
    <t xml:space="preserve">ESCORAMENTO COM PONTALETES D = 15 CM - UTILIZAÇÃO DE 1 VEZ - CONFECÇÃO E INSTALAÇÃO </t>
  </si>
  <si>
    <t xml:space="preserve">SICRO ABRIL/2020 - 2108169</t>
  </si>
  <si>
    <t xml:space="preserve">PRODUÇÃO DA EQUIPE 1 M³ - CÉLULA A111817</t>
  </si>
  <si>
    <t xml:space="preserve">MADEIRA ROLICA TRATADA, D = 12 A 15 CM, H = 3,00 M, EM EUCALIPTO OU EQUIVALENTE DA REGIÃO</t>
  </si>
  <si>
    <t xml:space="preserve">PRANCHAO DE MADEIRA APARELHADA *8 X 30* CM, MACARANDUBA, ANGELIM OU EQUIVALENTE DA REGIAO</t>
  </si>
  <si>
    <t xml:space="preserve">TABUA DE MADEIRA NAO APARELHADA *2,5 X 15 CM (1 X 6 ") PINUS, MISTA OU EQUIVALENTE DA REGIAO</t>
  </si>
  <si>
    <t xml:space="preserve">CARGA, MANOBRA E DESCARGA DE MATERIAIS DIVERSOS  - CAMINHÃO CARROCERIA 15 T - PONTALETE PARA ESCORAMENTO - D = 15 CM</t>
  </si>
  <si>
    <t xml:space="preserve">CARGA, MANOBRA E DESCARGA DE MATERIAIS DIVERSOS - CAMINHÃO CARROCERIA 15 T  - PRANCHÃO DE 7,5 X 30 CM </t>
  </si>
  <si>
    <t xml:space="preserve">CARGA, MANOBRA E DESCARGA DE MATERIAIS DIVERSOS - CAMINHÃO CARROCERIA 15 T  - PREGO DE FERRO </t>
  </si>
  <si>
    <t xml:space="preserve">CARGA, MANOBRA E DESCARGA DE MATERIAIS DIVERSOS  - CAMINHÃO CARROCERIA 15 T - TÁBUA DE 2,5 X 15 CM</t>
  </si>
  <si>
    <t xml:space="preserve">PAE 1085</t>
  </si>
  <si>
    <t xml:space="preserve">CARGA, MANOBRA E DESCARGA DE MATERIAIS DIVERSOS EM CAMINHÃO CARROCERIA DE 15 T - CARGA E DESCARGA MANUAIS  (REF SICRO, CÓD 5914655).</t>
  </si>
  <si>
    <t xml:space="preserve">SICRO ABRIL/2020 - 5914655</t>
  </si>
  <si>
    <t xml:space="preserve">PRODUÇÃO DA EQUIPE 11,84 t - CÉLULA A198427</t>
  </si>
  <si>
    <t xml:space="preserve">PAE 1086</t>
  </si>
  <si>
    <t xml:space="preserve">BOCA DE BUEIRO SIMPLES Ø 0,60 M (SEM DISSIPADOR) / UN.</t>
  </si>
  <si>
    <t xml:space="preserve">CONCRETO FCK = 15MPA, TRAÇO 1:3,4:3,5 (CIMENTO/ AREIA MÉDIA/ BRITA 1)  - PREPARO MECÂNICO COM BETONEIRA 400 L. AF_07/2016</t>
  </si>
  <si>
    <t xml:space="preserve">PREPARO DE FUNDO DE VALA COM LARGURA MENOR QUE 1,5 M (ACERTO DO SOLO NATURAL) AF 08/2020 (REGULARIZAÇÃO)</t>
  </si>
  <si>
    <t xml:space="preserve">PAE 1087</t>
  </si>
  <si>
    <t xml:space="preserve">BOCA DE BUEIRO SIMPLES Ø 0,80 M (SEM DISSIPADOR) / UN.</t>
  </si>
  <si>
    <t xml:space="preserve">PAE 1088</t>
  </si>
  <si>
    <t xml:space="preserve">RECICLAGEM SIMPLES COM INCORPORAÇÃO DO REVESTIMENTO ASFÁLTICO À BASE </t>
  </si>
  <si>
    <t xml:space="preserve">PAE 1089</t>
  </si>
  <si>
    <t xml:space="preserve">FORNECIMENTO DE PÓ DE PEDRA, NÃO CLASSIFICADA, INCLUSIVE ESPALHAMENTO MECANIZADO EXCLUSIVE TRANSPORTE</t>
  </si>
  <si>
    <t xml:space="preserve">PÓ DE PEDRA</t>
  </si>
  <si>
    <t xml:space="preserve">PAE 1090</t>
  </si>
  <si>
    <t xml:space="preserve">PISO EM CONCRETO 20 MPA PREPARO MECANICO, ESPESSURA 7CM, INCLUSO JUNTAS DE DILATACAO EM MADEIRA.(CALÇADA) (REF SINAPI, CÓD 68333)</t>
  </si>
  <si>
    <t xml:space="preserve">REFERÊNCIA S 68333 JUNHO/2020</t>
  </si>
  <si>
    <t xml:space="preserve">RIPA DE MADEIRA NAO APARELHADA *1,5 X 5* CM, MACARANDUBA, ANGELIM OU EQUIVALENTE DA REGIAO</t>
  </si>
  <si>
    <t xml:space="preserve">CONCRETO FCK = 20MPA, TRAÇO 1:2,7:3 (CIMENTO/ AREIA MÉDIA/ BRITA 1)  - PREPARO MECÂNICO COM BETONEIRA 600 L. AF_07/2016</t>
  </si>
  <si>
    <t xml:space="preserve">TRANSPORTE COMERCIAL DE MASSA ASFÁLTICA COM CAMINHÃO BASCULANTE 10 M³ EM RODOVIA PAVIMENTADA (REF SINAPI, CÓD 95303).</t>
  </si>
  <si>
    <t>M³XKM</t>
  </si>
  <si>
    <t xml:space="preserve">REFERÊNCIA S 95303 JUNHO/2020</t>
  </si>
  <si>
    <t xml:space="preserve">REFERÊNCIA S 74010/1 JUNHO/2020</t>
  </si>
  <si>
    <t xml:space="preserve">PAE 1093</t>
  </si>
  <si>
    <t xml:space="preserve">CARGA MANUAL DE ENTULHO EM CAMINHAO BASCULANTE 6 M³ (REF. SINAPI 72897)</t>
  </si>
  <si>
    <t xml:space="preserve">PAE 1094</t>
  </si>
  <si>
    <t xml:space="preserve">ESCAVACAO E CARGA MATERIAL 1A CATEGORIA, UTILIZANDO TRATOR DE ESTEIRAS DE 110 A 160HP COM LAMINA, PESO OPERACIONAL * 13T  E PA CARREGADEIRA COM 170 HP (REF SINAPI, CÓD 74151/1).</t>
  </si>
  <si>
    <t xml:space="preserve">REFERÊNCIA S 74151/001 JUNHO/2020</t>
  </si>
  <si>
    <t xml:space="preserve">PAE 1095</t>
  </si>
  <si>
    <t xml:space="preserve">REFERÊNCIA S 79480 JUNHO/2020</t>
  </si>
  <si>
    <t xml:space="preserve">TRANSPORTE COMERCIAL DE BRITA EM RODOVIA PAVIMENTADA (REF SINAPI, CÓD 83356).</t>
  </si>
  <si>
    <t xml:space="preserve">REFERÊNCIA S 83356 JUNHO/2020</t>
  </si>
  <si>
    <t xml:space="preserve">PAE 1097</t>
  </si>
  <si>
    <t xml:space="preserve">BLSC - BOCA-DE-LOBO SIMPLES, EM CONCRETO SIMPLES FCK 20 MPA, INCLUINDO FORMA, ESCAVAÇÃO, CALÇAMENTO AO REDOR E GRELHA EM AÇO CA-25, CONFORME PROJETO - SEM GUIA CHAPÉU</t>
  </si>
  <si>
    <t xml:space="preserve">PAE 1098</t>
  </si>
  <si>
    <t xml:space="preserve">TRAFFIC CALMING, ALTURA 15 CM,  LARGURA 2,00 + 4,00 + 2,00 = 8,00 M, LCAPA = 5,48 M, COM  LAJES DE CONCRETO SOBRE 02 SARJETAS, FCK = 35 Mpa - MARGINAL DIREITA</t>
  </si>
  <si>
    <t xml:space="preserve">ESCAVAÇÃO MANUAL EM SOLO-PROF. ATÉ 1,50 M (REF AGESUL, CÓD IUD20080, DB 12/2019).</t>
  </si>
  <si>
    <t xml:space="preserve">CONCRETO USINADO BOMBEAVEL, CLASSE DE RESISTENCIA C35, COM BRITA 0 E 1, SLUMP =  100 +/- 20 MM, INCLUI SERVICO DE BOMBEAMENTO (NBR 8953)</t>
  </si>
  <si>
    <t xml:space="preserve">ARMAÇÃO DO SISTEMA DE PAREDES DE CONCRETO, EXECUTADA EM PAREDES DE EDIFICAÇÕES DE MÚLTIPLOS PAVIMENTOS, TELA Q-138. AF_06/2015</t>
  </si>
  <si>
    <t>KG/M²</t>
  </si>
  <si>
    <t xml:space="preserve">PAE 1099</t>
  </si>
  <si>
    <t xml:space="preserve">TRAFFIC CALMING, ALTURA 15 CM,  LARGURA 2,00 + 4,00 + 2,00 = 8,00 M, LCAPA = 13,00 M, COM  LAJE DE CONCRETO SOBRE 01 SARJETA, FCK = 35 Mpa - PISTA DIREITA</t>
  </si>
  <si>
    <t xml:space="preserve">PAE 1100</t>
  </si>
  <si>
    <t xml:space="preserve">TRAFFIC CALMING, ALTURA 15 CM,  LARGURA 2,00 + 4,00 + 2,00 = 8,00 M, LCAPA = 9,50 M, COM  LAJE DE CONCRETO SOBRE 01 SARJETA, FCK = 35 Mpa - PISTA ESQUERDA</t>
  </si>
  <si>
    <t xml:space="preserve">PAE 1101</t>
  </si>
  <si>
    <t xml:space="preserve">BLSCP - BOCA DE LOBO SIMPLES COM CAIXA NO PASSEIO EM CONCRETO FCK 20 MPA</t>
  </si>
  <si>
    <t xml:space="preserve">ARMAÇÃO DE BLOCO, VIGA BALDRAME OU SAPATA UTILIZANDO AÇO CA-50 DE 10 MM - MONTAGEM. AF_06/2017</t>
  </si>
  <si>
    <t xml:space="preserve">TAMPAO FOFO ARTICULADO P/ REGISTRO, CLASSE A15 CARGA MAXIMA 1,5 T, *400 X 400* MM</t>
  </si>
  <si>
    <t xml:space="preserve">UN   </t>
  </si>
  <si>
    <t xml:space="preserve">PAE 1102</t>
  </si>
  <si>
    <t xml:space="preserve">BLDCP - BOCA DE LOBO DUPLA COM CAIXA NO PASSEIO EM CONCRETO FCK 20 MPA</t>
  </si>
  <si>
    <t xml:space="preserve">PAE 1103</t>
  </si>
  <si>
    <t xml:space="preserve">BLTCP - BOCA DE LOBO TRIPLA COM CAIXA NO PASSEIO EM CONCRETO FCK 20 MPA</t>
  </si>
  <si>
    <t xml:space="preserve">PAE 1104</t>
  </si>
  <si>
    <t xml:space="preserve">PONTO DE ÔNIBUS EM CONCRETO, espessura=20 cm - FCK 40 MPa, SUBBASE EM CONCRETO ROLADO FCK ≥ 5,0 MPa, Ltotal = 28,00 m, sendo: L=25,00 M + Ltransição = 1,50 x 2 = 3,00 m</t>
  </si>
  <si>
    <t xml:space="preserve">ARMAÇÃO UTILIZANDO AÇO CA-25 DE 25,0 MM - MONTAGEM. AF_12/2015</t>
  </si>
  <si>
    <t xml:space="preserve">ARMAÇÃO DO SISTEMA DE PAREDES DE CONCRETO, EXECUTADA COMO ARMADURA POSITIVA DE LAJES, TELA Q-113. AF_06/2019</t>
  </si>
  <si>
    <t>kg/m²</t>
  </si>
  <si>
    <t xml:space="preserve">CONCRETO FCK = 40MPA, TRAÇO 1:1,6:1,9 (CIMENTO/ AREIA MÉDIA/ BRITA 1)  - PREPARO MECÂNICO COM BETONEIRA 600 L. AF_07/2016</t>
  </si>
  <si>
    <t xml:space="preserve">TARUGO POLIESTIRENO, Φ = 30 MM - CORPO DE APOIO PARA JUNTA CONCRETO/ASFALTO</t>
  </si>
  <si>
    <t xml:space="preserve">SELANTE DE SILICONE PARA JUNTAS DE PAVIMENTO CONCRETO/ASFALTO - CARTUCHO 875 ML</t>
  </si>
  <si>
    <t xml:space="preserve">SUB-BASE DE CONCRETO COMPACTADO COM ROLO (REF SICRO, CÓD 4011214).</t>
  </si>
  <si>
    <t xml:space="preserve">PAE 1105</t>
  </si>
  <si>
    <t xml:space="preserve">Referência Sicro ABR/2020 - Código 4011214</t>
  </si>
  <si>
    <t xml:space="preserve">Produção em equipe - 124,5 m³</t>
  </si>
  <si>
    <t xml:space="preserve">USINAGEM DE CONCRETO PARA COMPACTAÇÃO COM ROLO. AF_03/2020</t>
  </si>
  <si>
    <t xml:space="preserve">CARGA, MANOBRA E DESCARGA DE CONCRETO DE CIMENTO EM CAMINHÃO BASCULANTE DE 7 M³ - CARGA EM CENTRAL DE CONCRETO DE 150 M³/H E DESCARGA EM VIBROACABADORA (REF SICRO, CÓD 5919540).</t>
  </si>
  <si>
    <t xml:space="preserve">TRANSPORTE COM CAMINHÃO BASCULANTE DE 6 M³, EM VIA URBANA PAVIMENTADA, DMT ATÉ 30 KM (UNIDADE: TXKM). AF_07/2020</t>
  </si>
  <si>
    <t xml:space="preserve">considerado 15 km</t>
  </si>
  <si>
    <t xml:space="preserve">PAE 1106</t>
  </si>
  <si>
    <t xml:space="preserve">Referência Sicro ABR/2020 - Código 5919540</t>
  </si>
  <si>
    <t xml:space="preserve">Produção em equipe - 298,80 m³</t>
  </si>
  <si>
    <t xml:space="preserve">PAE 1107</t>
  </si>
  <si>
    <t xml:space="preserve">CXP - CAIXA DE PASSAGEM (1,0 X 1,0 X 1,0)M EM ALVENARIA DE TIJOLOS MACIÇOS 1/2 VEZ (E=10 CM)</t>
  </si>
  <si>
    <t xml:space="preserve">PAE 1108</t>
  </si>
  <si>
    <t xml:space="preserve">MEIO-FIO , CONCRETO FCK = 15 MPA, SEÇÃO 875 CM², MOLDADO NO LOCAL, INCLUSIVE ESCAVAÇÃO - ROTATÓRIA </t>
  </si>
  <si>
    <t xml:space="preserve">PAE 1109</t>
  </si>
  <si>
    <t xml:space="preserve">PREPARAÇÃO DO TERRENO, ESCAVAÇÃO E CARGA MECÂNICA, EXCLUSIVE TRANSPORTE</t>
  </si>
  <si>
    <t xml:space="preserve">PAE 1110</t>
  </si>
  <si>
    <t xml:space="preserve">TACHÃO REFLETIVO MONODIRECIONAL, PADRÃO DNIT, FORNECIMENTO E FIXADO COM ADESIVO À BASE DE RESINA POLIÉSTER</t>
  </si>
  <si>
    <t xml:space="preserve">CAMINHÃO TOCO, 170CV - 11t (VU = 6ANOS) (NÃO INCLUI CARROCERIA) - CUSTO HORÁRIO PRODUTIVO DIURNO</t>
  </si>
  <si>
    <t xml:space="preserve">TACHÃO REFLETIVO EM PLÁSTICO INJETADO MONODIRECIONAL</t>
  </si>
  <si>
    <r>
      <rPr>
        <b/>
        <sz val="12"/>
        <rFont val="Arial"/>
      </rPr>
      <t xml:space="preserve">OBS: </t>
    </r>
    <r>
      <rPr>
        <sz val="12"/>
        <rFont val="Arial"/>
      </rPr>
      <t xml:space="preserve">Os itens M2041 e M3868 da composição (data/base Sicro Outubro/25) foram reajustados para Janeiro/26.</t>
    </r>
  </si>
  <si>
    <r>
      <rPr>
        <sz val="12"/>
        <rFont val="Arial"/>
      </rPr>
      <t xml:space="preserve">IR = 469,732 / 463,229 = </t>
    </r>
    <r>
      <rPr>
        <b/>
        <sz val="12"/>
        <rFont val="Arial"/>
      </rPr>
      <t>1,01403841</t>
    </r>
  </si>
  <si>
    <t xml:space="preserve">PAE 1111</t>
  </si>
  <si>
    <t xml:space="preserve">TACHA REFLETIVO BIDIRECIONAL, PADRÃO DNIT, FORNECIMENTO E FIXADO COM ADESIVO À BASE DE RESINA POLIÉSTER.</t>
  </si>
  <si>
    <t xml:space="preserve">TACHA REFLETIVA EM PLÁSTICO INJETADO BIDIRECIONAL COM UM PINO - TIPO I</t>
  </si>
  <si>
    <r>
      <rPr>
        <b/>
        <sz val="12"/>
        <rFont val="Arial"/>
      </rPr>
      <t xml:space="preserve">OBS: </t>
    </r>
    <r>
      <rPr>
        <sz val="12"/>
        <rFont val="Arial"/>
      </rPr>
      <t xml:space="preserve">Os itens M2041 e M2084 da composição (data/base Sicro Outubro/25) foram reajustados para Novembro/25.</t>
    </r>
  </si>
  <si>
    <t xml:space="preserve">PAE 1112</t>
  </si>
  <si>
    <t xml:space="preserve">ARRANCAMENTO E REMOÇÃO DE MEIOS-FIOS (REF SICRO, CÓD 5S0290900).</t>
  </si>
  <si>
    <t xml:space="preserve">REFERÊNCIA SICRO: 5S0290900 - NOVEMBRO/2010</t>
  </si>
  <si>
    <t xml:space="preserve">CAMINHÃO TOCO, PBT 14.300 KG, CARGA ÚTIL MÁX. 9.710 KG, DIST. ENTRE EIXOS 3,56 M, POTÊNCIA 185 CV, INCLUSIVE CARROCERIA FIXA ABERTA DE MADEIRA P/ TRANSPORTE GERAL DE CARGA SECA, DIMEN. APROX. 2,50 X 6,50 X 0,50M - CHP DIURNO. AF_06/2014</t>
  </si>
  <si>
    <t xml:space="preserve">PAE 1113</t>
  </si>
  <si>
    <t xml:space="preserve">FORNECIMENTO E INSTALAÇÃO DE PLACA DE ORIENTAÇÃO/TURÍSTICA, INCLUINDO SUPORTE EM PERFIL "I" PINTADO COM ESMALTE SINTÉTICO ACETINADO 2 DE MÃO E 01 DE MÃO DE PINTURA DE FUNDO (ZARCÃO). DIMENSÃO 1,40 X 0,70M. </t>
  </si>
  <si>
    <t xml:space="preserve">CONCRETO NÃO ESTRUTURAL, CONSUMO 210KG/M3, PREPARO COM BETONEIRA, SEM LANÇAMENTO (REF AGESUL, CÓD IUC10003).</t>
  </si>
  <si>
    <t xml:space="preserve">PERFIL "I" DE ACO LAMINADO, ABAS I PARALELAS, "W" QUALQUER BITOLA</t>
  </si>
  <si>
    <t xml:space="preserve">PARAFUSO, ASTM A307 - GRAU A, SEXTAVADO, ZINCADO, DIAMETRO 3/8" (9,52 MM), COMPRIMENTO 1 " (25,4 MM)</t>
  </si>
  <si>
    <t xml:space="preserve">PLACA DE SINALIZAÇÃO EM CHAPA DE AÇO NUM 16 COM PINTURA REFLETIVA</t>
  </si>
  <si>
    <t xml:space="preserve">MONTADOR DE ESTRUTURA METÁLICA COM ENCARGOS COMPLEMENTARES</t>
  </si>
  <si>
    <t xml:space="preserve">PINTURA COM TINTA ALQUÍDICA DE ACABAMENTO (ESMALTE SINTÉTICO ACETINADO) APLICADA A ROLO OU PINCEL SOBRE SUPERFÍCIES METÁLICAS EXECUTADO EM OBRA (02 DEMÃOS). AF_01/2020</t>
  </si>
  <si>
    <t xml:space="preserve">PINTURA COM TINTA ALQUÍDICA DE FUNDO (TIPO ZARCÃO) APLICADA A ROLO OU PINCEL SOBRE SUPERFÍCIES METÁLICAS EXECUTADO EM OBRA (POR DEMÃO). AF_01/2020</t>
  </si>
  <si>
    <t xml:space="preserve">PAE 1114</t>
  </si>
  <si>
    <t xml:space="preserve">FORNECIMENTO E INSTALAÇÃO DE PLACA DE ORIENTAÇÃO/TURÍSTICA, INCLUINDO SUPORTE EM PERFIL "I" PINTADO COM ESMALTE SINTÉTICO ACETINADO 2 DE MÃO E 01 DE MÃO DE PINTURA DE FUNDO (ZARCÃO). DIMENSÃO 1,90 X 0,70M. </t>
  </si>
  <si>
    <t xml:space="preserve">PAE 1115</t>
  </si>
  <si>
    <t xml:space="preserve">FORNECIMENTO E INSTALAÇÃO DE PLACA DE ORIENTAÇÃO/TURÍSTICA, INCLUINDO SUPORTE EM PERFIL "I" PINTADO COM ESMALTE SINTÉTICO ACETINADO 2 DE MÃO E 01 DE MÃO DE PINTURA DE FUNDO (ZARCÃO). DIMENSÃO 3,20 X 1,10M. </t>
  </si>
  <si>
    <t xml:space="preserve">PAE 1116</t>
  </si>
  <si>
    <t xml:space="preserve">FORNECIMENTO E INSTALAÇÃO DE PLACA DE ORIENTAÇÃO/TURÍSTICA, INCLUINDO SUPORTE EM PERFIL "I" PINTADO COM ESMALTE SINTÉTICO ACETINADO 2 DE MÃO E 01 DE MÃO DE PINTURA DE FUNDO (ZARCÃO). DIMENSÃO 3,15 X 0,70 M. </t>
  </si>
  <si>
    <t xml:space="preserve">PAE 1117</t>
  </si>
  <si>
    <t xml:space="preserve">FORNECIMENTO E INSTALAÇÃO DE PLACA DE ORIENTAÇÃO/TURÍSTICA, INCLUINDO SUPORTE EM PERFIL "I" PINTADO COM ESMALTE SINTÉTICO ACETINADO 2 DE MÃO E 01 DE MÃO DE PINTURA DE FUNDO (ZARCÃO). DIMENSÃO 3,00 X 0,70 M. </t>
  </si>
  <si>
    <t xml:space="preserve">PAE 1118</t>
  </si>
  <si>
    <t xml:space="preserve">FORNECIMENTO E INSTALAÇÃO DE PLACA DE ORIENTAÇÃO/TURÍSTICA, INCLUINDO SUPORTE EM PERFIL "I" PINTADO COM ESMALTE SINTÉTICO ACETINADO 2 DE MÃO E 01 DE MÃO DE PINTURA DE FUNDO (ZARCÃO). DIMENSÃO 2,10 X 0,70 M. </t>
  </si>
  <si>
    <t xml:space="preserve">PAE 1119</t>
  </si>
  <si>
    <t xml:space="preserve">FORNECIMENTO E INSTALAÇÃO DE PLACA DE ORIENTAÇÃO/TURÍSTICA, INCLUINDO SUPORTE EM PERFIL "I" PINTADO COM ESMALTE SINTÉTICO ACETINADO 2 DE MÃO E 01 DE MÃO DE PINTURA DE FUNDO (ZARCÃO). DIMENSÃO 1,80 X 0,70 M. </t>
  </si>
  <si>
    <t xml:space="preserve">PAE 1120</t>
  </si>
  <si>
    <t xml:space="preserve">FORNECIMENTO E INSTALAÇÃO DE PLACA MARCADORES DE PERIGO, INCLUINDO SUPORTE DE MADEIRA PINTADO A CAL FIXADO EM BASE DE CONCRETO NÃO ESTRUTURAL  </t>
  </si>
  <si>
    <t xml:space="preserve">PEÇA DE MADEIRA NÃO APARELHADA *7,5 X 7,5* CM (3 X 3") MAÇARANDUBA, ANGELIM OU EQUIVALENTE DA REGIÃO</t>
  </si>
  <si>
    <t xml:space="preserve">PAE 1121</t>
  </si>
  <si>
    <t xml:space="preserve">RETIRADA DE PISO SEXTAVADO, INCLUSIVE CARGA.</t>
  </si>
  <si>
    <t xml:space="preserve">PAE 1122</t>
  </si>
  <si>
    <t xml:space="preserve">TUBO PEAD COM PAREDES ESTRUTURADAS PARA DRENAGEM D=200 MM. FORNECIMENTO E ASSENTAMENTO, NÍVEL BAIXO DE INTERFERÊNCIAS (REF SINAPI, CÓD 94869).</t>
  </si>
  <si>
    <t xml:space="preserve">REF SINAPI 94869 - JAN/2021</t>
  </si>
  <si>
    <t>0,0379000</t>
  </si>
  <si>
    <t>0,0200000</t>
  </si>
  <si>
    <t xml:space="preserve">PAE 1123</t>
  </si>
  <si>
    <t xml:space="preserve">MEIO-FIO COM SARJETA, CONCRETO FCK = 15 MPA, SEÇÃO 450 CM², MOLDADO NO LOCAL, INCLUSIVE ESCAVAÇÃO E PINTURA A CAL EM UMA DEMÃO </t>
  </si>
  <si>
    <t xml:space="preserve">PAE 1124</t>
  </si>
  <si>
    <t xml:space="preserve">TRAFFIC CALMING, ALTURA 15 CM,  LARGURA 3,00 + 5,00 + 3,00 = 11,00 M, LCAPA = 5,48 M, COM  LAJES DE CONCRETO SOBRE 02 SARJETAS, FCK = 35 Mpa - MARGINAL DIREITA</t>
  </si>
  <si>
    <t xml:space="preserve">PAE 1125</t>
  </si>
  <si>
    <t xml:space="preserve">TRAFFIC CALMING, ALTURA 15 CM,  LARGURA 3,00 + 5,00 + 3,00 = 11,00 M, LCAPA = 13,00 M, COM  LAJE DE CONCRETO SOBRE 01 SARJETA, FCK = 35 Mpa - PISTA DIREITA</t>
  </si>
  <si>
    <t xml:space="preserve">PAE 1126</t>
  </si>
  <si>
    <t xml:space="preserve">TRAFFIC CALMING, ALTURA 15 CM,  LARGURA 3,00 +5,00 + 3,00 = 11,00 M, LCAPA = 9,50 M, COM  LAJE DE CONCRETO SOBRE 01 SARJETA, FCK = 35 Mpa - PISTA ESQUERDA</t>
  </si>
  <si>
    <t xml:space="preserve">PAE 1127</t>
  </si>
  <si>
    <t xml:space="preserve">TRAFFIC CALMING, ALTURA 15 CM,  LARGURA 3,00 +5,00 + 3,00 = 11,00 M, LCAPA = 8,20 M, COM  LAJE DE CONCRETO SOBRE 01 SARJETA, FCK = 35 Mpa - PISTA ESQUERDA</t>
  </si>
  <si>
    <t xml:space="preserve">PAE 1128</t>
  </si>
  <si>
    <t xml:space="preserve">TACHA REFLETIVO MONODIRECIONAL, PADRÃO DNIT, FORNECIMENTO E FIXADO COM ADESIVO À BASE DE RESINA POLIÉSTER.</t>
  </si>
  <si>
    <t xml:space="preserve">TACHA REFLETIVA EM PLÁSTICO INJETADO MONODIRECIONAL  COM UM PINO - TIPO I</t>
  </si>
  <si>
    <r>
      <rPr>
        <b/>
        <sz val="12"/>
        <rFont val="Arial"/>
      </rPr>
      <t xml:space="preserve">OBS: </t>
    </r>
    <r>
      <rPr>
        <sz val="12"/>
        <rFont val="Arial"/>
      </rPr>
      <t xml:space="preserve">Os itens M2041 e M2083 da composição (data/base Sicro Outubro/25) foram reajustados para Novembro/25.</t>
    </r>
  </si>
  <si>
    <t xml:space="preserve">PAE 1129</t>
  </si>
  <si>
    <t xml:space="preserve">MURETA EM ALVENARIA H = 27,50 CM TIJOLO COMUM 1/2 VEZ, COM CHAPISCO 1:3, ESPESSURA 0,50 CM E EMBOÇO 1:28 ESPESSURA 2,00 CM.</t>
  </si>
  <si>
    <t xml:space="preserve">ALVENARIA EM TIJOLO CERAMICO MACICO 5X10X20CM 1/2 VEZ (ESPESSURA 10CM), ASSENTADO COM ARGAMASSA TRACO 1:2:8 (CIMENTO, CAL E AREIA)</t>
  </si>
  <si>
    <t xml:space="preserve">EXECUÇÃO DE IMPRIMAÇÃO COM EMULSÃO CATIÔNICA ISENTO DE SOLVENTE VOLÁTIL - EAI - EMULSÃO ASFÁLTICA DE IMPRIMAÇÃO (REF SINAPI, CÓD 96401). </t>
  </si>
  <si>
    <t xml:space="preserve">REFERENTE S 96401 ABRIL/2021</t>
  </si>
  <si>
    <t>0,0020000</t>
  </si>
  <si>
    <t>0,0040000</t>
  </si>
  <si>
    <t xml:space="preserve">EMULSÃO ASFÁLTICA DE IMPRIMAÇÃO </t>
  </si>
  <si>
    <t>1,2000000</t>
  </si>
  <si>
    <t>0,0010000</t>
  </si>
  <si>
    <t>0,0058000</t>
  </si>
  <si>
    <t>0,0017000</t>
  </si>
  <si>
    <t>0,0041000</t>
  </si>
  <si>
    <t>0,0049000</t>
  </si>
  <si>
    <t xml:space="preserve">PAE 1131</t>
  </si>
  <si>
    <t xml:space="preserve">PERFIS (PARA BOCA DE DRAGÃO - 8,80 M, INCLUINDO TAMPA EM PERFIL I)</t>
  </si>
  <si>
    <t xml:space="preserve">PAE 1132</t>
  </si>
  <si>
    <t xml:space="preserve">PERFIS (PARA BOCA DE DRAGÃO - 11,57 M, INCLUINDO TAMPA EM PERFIL I)</t>
  </si>
  <si>
    <t xml:space="preserve">PAE 1133</t>
  </si>
  <si>
    <t xml:space="preserve">PERFIS (PARA BOCA DE DRAGÃO - 11,75 M, INCLUINDO TAMPA EM PERFIL I)</t>
  </si>
  <si>
    <t xml:space="preserve">PAE 1134</t>
  </si>
  <si>
    <t xml:space="preserve">TRINCHEIRA DRENANTE COM GEOCOMPOSTO H=0,60 E TUBO CORRUGADO PERFURADO EM PEAD D=100 MM</t>
  </si>
  <si>
    <t xml:space="preserve">Baseado no Sicro 2004517</t>
  </si>
  <si>
    <t xml:space="preserve">PAE 1135</t>
  </si>
  <si>
    <t xml:space="preserve">APLICAÇÃO MANUAL DE PINTURA COM TINTA RETRORREFLETIVA A BASE DE RESINA ACRÍLICA EM PAREDES, DUAS DEMÃOS. AF_06/2014 (REF SINAPI, CÓD 88489).</t>
  </si>
  <si>
    <t xml:space="preserve">REFERÊNCIA SINAPI 88489 MAIO/2021 ONERADO</t>
  </si>
  <si>
    <t xml:space="preserve">TINTA A BASE DE RESINA ACRILICA, PARA SINALIZACAO HORIZONTAL VIARIA (NBR 11862)</t>
  </si>
  <si>
    <t>0,3300000</t>
  </si>
  <si>
    <t>0,1870000</t>
  </si>
  <si>
    <t>0,0690000</t>
  </si>
  <si>
    <t xml:space="preserve">PAE 1136</t>
  </si>
  <si>
    <t xml:space="preserve">CONCRETO CICLÓPICO FCK = 18MPA, 30% PEDRA DE MÃO EM VOLUME REAL, INCLUSIVE LANÇAMENTO </t>
  </si>
  <si>
    <t xml:space="preserve">Baseado no SINAPI 102487 - MAIO/2021</t>
  </si>
  <si>
    <t xml:space="preserve">ANTIGA - MÁRIO PEDIU PRA FAZER A COMPOSIÇÃO DO CONCRETO 18 MPA SEPARADO</t>
  </si>
  <si>
    <t xml:space="preserve">CONCRETO 18 MPA ESTRUTURAL VIRADO EM OBRA, CONTROLE "B", CONSISTÊNCIA PRA VIBRAÇÃO, BRITAS 1 E 2 ( (REF TCPO, CÓD 310.8.1)</t>
  </si>
  <si>
    <t xml:space="preserve">TCPO 08 - PG 129</t>
  </si>
  <si>
    <t xml:space="preserve">PAE 1137</t>
  </si>
  <si>
    <t xml:space="preserve">TRANSPORTE DE ENTULHO COM CAMINHÃO BASCULANTE 6 M³, RODOVIA PAVIMENTADA, DMT 0,5 A 1,0 KM (REF SINAPI, CÓD 72900).</t>
  </si>
  <si>
    <t xml:space="preserve">REFERÊNCIA SINAPI 72900 ABRIL/2020 ONERADO</t>
  </si>
  <si>
    <t xml:space="preserve">PAE 1138</t>
  </si>
  <si>
    <t xml:space="preserve">CARGA E DESCARGA MECANIZADAS DE ENTULHO DE CAMINHÃO BASCULANTE 6 M³ (REF SINAPI, CÓD 72898).</t>
  </si>
  <si>
    <t xml:space="preserve">REFERÊNCIA SINAPI 72898 ABRIL/2020 ONERADO</t>
  </si>
  <si>
    <t xml:space="preserve">PAE 1139</t>
  </si>
  <si>
    <t xml:space="preserve">EXECUÇÃO DE BACIA DE RETENÇÃO TIPO A, INCLUSIVE FORNECIMENTO DE MATERIAIS / UN.</t>
  </si>
  <si>
    <t xml:space="preserve">ESCAVAÇÃO MECANIZADA DE VALA COM PROFUNDIDADE MAIOR QUE 1,5 M E ATÉ 3,0 M, COM ESCAVADEIRA HIDRÁULICA (CAPACIDADE DA CAÇAMBA: 0,8 M³/POTÊNCIA: 111 HP), LARGURA DE 1,5 A 2,5 M, EM SOLO DE 1ª CATEGORIA, EM VIAS URBANAS. LOCAIS COM BAIXO NÍVEL DE INTERFERÊNCIA.</t>
  </si>
  <si>
    <t xml:space="preserve">PREPARO DE FUNDO DE VALA COM LARGURA MENOR QUE 1,5 M, ACERTO DO SOLO NATURAL. AF_08/2020 (REGULARIZAÇÃO)</t>
  </si>
  <si>
    <t xml:space="preserve">PLANTIO DE GRAMA EM PLACAS</t>
  </si>
  <si>
    <t xml:space="preserve">TENTO  (ACABAMENTO DE LIMPA-RODAS), CONCRETO FCK = 15 MPA, SEÇÃO 330 CM², MOLDADO NO LOCAL, INCLUSIVE ESCAVAÇÃO (REF AGESUL, CÓD IUP30003).</t>
  </si>
  <si>
    <t xml:space="preserve">PAE 1140</t>
  </si>
  <si>
    <t xml:space="preserve">EXECUÇÃO DE BACIA DE RETENÇÃO TIPO B, INCLUSIVE FORNECIMENTO DE MATERIAIS / UN.</t>
  </si>
  <si>
    <t xml:space="preserve">PAE 1141</t>
  </si>
  <si>
    <t xml:space="preserve">BOCA DE DRAGÃO-8,80 M, INCLUINDO TAMPA</t>
  </si>
  <si>
    <t xml:space="preserve">h=1,18 m,  B=1,44 m, L=9,04-2,65 = 6,39 m</t>
  </si>
  <si>
    <t xml:space="preserve">REGULARIZAÇÃO DE PISO/BASE EM ARGAMASSA TRAÇO 1:3 (CIMENTO E AREIA GROSSA SEM PENEIRAR), ESPESSURA 3,0 CM, PREPARO MECÂNICO</t>
  </si>
  <si>
    <t xml:space="preserve">h=2,15 m, B=1,74 m, L = 2,65 m </t>
  </si>
  <si>
    <t xml:space="preserve">IMPERMEABILIZAÇÃO DE PAREDES COM ARGAMASSA DE CIMENTO E AREIA, COM ADITIVO IMPERMEABILIZANTE, E = 2,00 CM</t>
  </si>
  <si>
    <t xml:space="preserve">Lajes de fundo e chamadas d´água</t>
  </si>
  <si>
    <t xml:space="preserve">REGULARIZAÇÃO DE PISO/BASE EM ARGAMASSA TRAÇO 1:3 (CIMENTO E AREIA GROSSA SEM PENEIRAR) E=3,0 CM, PREPARO MECÂNICO / M2 - (REF SINAPI, CÓD 73977/1)</t>
  </si>
  <si>
    <t xml:space="preserve">PAE 1142</t>
  </si>
  <si>
    <t xml:space="preserve">BOCA DE DRAGÃO-11,57 M, INCLUINDO TAMPA</t>
  </si>
  <si>
    <t xml:space="preserve">h=1,18 m,  B=1,44 m, L=11,81-2,65 = 9,16 m</t>
  </si>
  <si>
    <t xml:space="preserve">PAE 1143</t>
  </si>
  <si>
    <t xml:space="preserve">BOCA DE DRAGÃO-11,75 M, INCLUINDO TAMPA</t>
  </si>
  <si>
    <t xml:space="preserve">h=1,18 m,  B=1,44 m, L=11,99-2,65 = 9,34 m</t>
  </si>
  <si>
    <t xml:space="preserve">PAE 1144</t>
  </si>
  <si>
    <t xml:space="preserve">TUBO DE FERRO FUNDIDO Φ 250 MM </t>
  </si>
  <si>
    <t xml:space="preserve">Referência 54.004.000004.SER TCPO INFRAESTRUTURA URBANA</t>
  </si>
  <si>
    <t xml:space="preserve">TUBO FOFO TCL 250 MM</t>
  </si>
  <si>
    <t xml:space="preserve">PAE 1145</t>
  </si>
  <si>
    <t xml:space="preserve">CP - 2 - CAIXA DE PASSAGEM 1,90 X 2,60M (DIMENSÕES INTERNAS), EM ALV. DE TIJ. COM. DE 1 VEZ ASS. E REV. INTERN. COM ARG. DE CIM. E AREIA 1:3, LAST. DE BRITA 5 CM, BERÇO 18CM EM CONC. FCK=15MPA, LAJE DE 12CM EM CONC. ARMADO FCK=20MPA, INCL. FORMA, ESC. MANUAL E REAT. APILOADO</t>
  </si>
  <si>
    <t xml:space="preserve">ESCAVAÇÃO MANUAL EM SOLO-PROF. ATÉ 1,50 M (REF AGESUL, CÓD IUD2008).</t>
  </si>
  <si>
    <t xml:space="preserve">PAE 1146</t>
  </si>
  <si>
    <t xml:space="preserve">CP - 3 - CAIXA DE PASSAGEM 1,90 X 3,40M (DIMENSÕES INTERNAS), EM ALV. DE TIJ. COM. DE 1 VEZ ASS. E REV. INTERN. COM ARG. DE CIM. E AREIA 1:3, LAST. DE BRITA 5 CM, BERÇO 18CM EM CONC. FCK=15MPA, LAJE DE 12CM EM CONC. ARMADO FCK=20MPA, INCL. FORMA, ESC. MANUAL E REAT. APILOADO</t>
  </si>
  <si>
    <t xml:space="preserve">PAE 1147</t>
  </si>
  <si>
    <t xml:space="preserve">CP-4 - CAIXA DE PASSAGEM 1,90X4,90M(DIMENSÕES INTERNAS), EM ALV. DE TIJ. COM. DE 1 VEZ ASS. E REV. INTERN. COM ARG. DE CIM. E AREIA 1:3, LAST. DE BRITA 5CM, BERÇO 18CM EM CONC. FCK=15MPA, LAJE DE 12CM EM CONC. ARMADO FCK=20MPA, INCL. FORMA, ESC. MANUAL E REAT. APILOADO</t>
  </si>
  <si>
    <t xml:space="preserve">PAE 1148</t>
  </si>
  <si>
    <t xml:space="preserve">CP-5 - CAIXA DE PASSAGEM 1,90X6,50M(DIMENSÕES INTERNAS), EM ALV. DE TIJ. COM. DE 1 VEZ ASS. E REV. INTERN. COM ARG. DE CIM. E AREIA 1:3, LAST. DE BRITA 5CM, BERÇO 18CM EM CONC. FCK=15MPA, LAJE DE 12CM EM CONC. ARMADO FCK=20MPA, INCL. FORMA, ESC. MANUAL E REAT. APILOADO</t>
  </si>
  <si>
    <t xml:space="preserve">PAE 1149</t>
  </si>
  <si>
    <t xml:space="preserve">CP-6 - CAIXA DE PASSAGEM 1,90X8,70M(DIMENSÕES INTERNAS), EM ALV. DE TIJ. COM. DE 1 VEZ ASS. E REV. INTERN. COM ARG. DE CIM. E AREIA 1:3, LAST. DE BRITA 5CM, BERÇO 18CM EM CONC. FCK=15MPA, LAJE DE 12CM EM CONC. ARMADO FCK=20MPA, INCL. FORMA, ESC. MANUAL E REAT. APILOADO</t>
  </si>
  <si>
    <t xml:space="preserve">PAE 1150</t>
  </si>
  <si>
    <t xml:space="preserve">PV-10 - POÇO-DE-VISITA 4,00X4,00M(DIMENSÕES INTERNAS), EM ALV. DE TIJ. COM. DE 1 VEZ ASS. E REV. INTERN. COM ARG. DE CIM. E AREIA 1:3, LAST. DE BRITA 12CM, BERÇO 18CM EM CONC. FCK=15MPA, LAJE DE 12CM EM CONC. ARMADO FCK=20MPA, INCL. FORMA, ESC. MANUAL E REAT. APILOADO</t>
  </si>
  <si>
    <t xml:space="preserve">PAE 1151</t>
  </si>
  <si>
    <t xml:space="preserve">ESCAVACAO MECANICA DE VALA EM MATERIAL 2A. CATEGORIA ATÉ 2,0 M DE PROFUNDIDADE COM UTILIZACAO DE ESCAVADEIRA HIDRAULICA  (REF SINAPI, CÓD 72915).</t>
  </si>
  <si>
    <t xml:space="preserve">REFERÊNCIA SINAPI 72915 SETEMBRO/2020 ONERADO</t>
  </si>
  <si>
    <t xml:space="preserve">PAE 1152</t>
  </si>
  <si>
    <t xml:space="preserve">ESCAVACAO MECANICA DE VALA EM MATERIAL 2A. CATEGORIA ATÉ 2,0 M ATÉ 4,0 M DE PROFUNDIDADE COM UTILIZACAO DE ESCAVADEIRA HIDRAULICA  (REF SINAPI, CÓD 72917).</t>
  </si>
  <si>
    <t xml:space="preserve">REFERÊNCIA SINAPI 72917 SETEMBRO/2020 ONERADO</t>
  </si>
  <si>
    <t xml:space="preserve">PAE 1153</t>
  </si>
  <si>
    <t xml:space="preserve">MEIO-FIO COM SARJETA, CONCRETO FCK=15 MPA, SEÇÃO 1050 CM², MOLDADO NO LOCAL, INCLUSIVE ESCAVAÇÃO  - ROTATÓRIA</t>
  </si>
  <si>
    <t xml:space="preserve">PAE 1154</t>
  </si>
  <si>
    <t xml:space="preserve">MEIO-FIO COM SARJETA, CONCRETO FCK = 15 MPA, SEÇÃO 780 CM², MOLDADO NO LOCAL, INCLUSIVE ESCAVAÇÃO E PINTURA A CAL EM UMA DEMÃO </t>
  </si>
  <si>
    <t xml:space="preserve">PAE 1155</t>
  </si>
  <si>
    <t xml:space="preserve">REFERÊNCIA TENTO 330 CM² - IUP 30003</t>
  </si>
  <si>
    <t xml:space="preserve">PAE 1156</t>
  </si>
  <si>
    <t xml:space="preserve">EXECUÇÃO DE PILAR (15X20 CM), FCK=20 MPA, INCLUSIVE FUNDAÇÃO EM BROCA Ø 30 CM, FCK = 20 MPA - VER DETALHE ANEXO 001</t>
  </si>
  <si>
    <t xml:space="preserve">VER DETALHE ANEXO 001 - PETTRA</t>
  </si>
  <si>
    <t xml:space="preserve">APLICAÇÃO MANUAL DE PINTURA COM TINTA LÁTEX ACRÍLICA EM PAREDES, DUAS DEMÃOS. AF_06/2014</t>
  </si>
  <si>
    <t xml:space="preserve">APLICAÇÃO DE FUNDO SELADOR ACRÍLICO EM PAREDES, UMA DEMÃO. AF_06/2014</t>
  </si>
  <si>
    <t xml:space="preserve">PAE 1157</t>
  </si>
  <si>
    <t xml:space="preserve">COLCHÃO DE RACHÃO E/OU PEDRA-DE-MÃO, COM CAMADA FINAL DE PEDRA BRITA. FORNECIMENTO E EXECUÇÃO. EXCLUSIVE TRANSPORTE DA PEDRA</t>
  </si>
  <si>
    <t xml:space="preserve">REF COMP SCHETTINI PA/0010</t>
  </si>
  <si>
    <t xml:space="preserve">PEDRA DE MAO OU PEDRA RACHAO PARA ARRIMO/FUNDACAO (POSTO PEDREIRA/FORNECEDOR, SEM FRETE)                                                                                                                                                                                                                                                                                                                                                                                                                  </t>
  </si>
  <si>
    <t xml:space="preserve">PEDRA BRITADA N. 2 (19 A 38 MM) POSTO PEDREIRA/FORNECEDOR, SEM FRETE                                                                                                                                                                                                                                                                                                                                                                                                                                      </t>
  </si>
  <si>
    <t xml:space="preserve">PAE 1158</t>
  </si>
  <si>
    <t xml:space="preserve">EXECUÇÃO DE PORTÃO DE FERRO COM DUAS FOLHAS DE (7,00X1,70)M COM TUBO INDUSTRIAL DE E 2 1/2" COM TELA DE ALAMBRADO COM FIO 12 MALHA 2" COM TRINCO E PORTA CADEADO - VER DETALHE ANEXO 002 </t>
  </si>
  <si>
    <t xml:space="preserve">SINAPI 03/2008 - 11517/1 - VER ANEXO 002 PETTRA</t>
  </si>
  <si>
    <t xml:space="preserve">TELA DE ARAME GALVANIZADA QUADRANGULAR / LOSANGULAR, FIO 2,77 MM (12 BWG), MALHA 5 X 5 CM, H = 2 M </t>
  </si>
  <si>
    <t xml:space="preserve">TUBO ACO INDUSTRIAL DN 2 1/2" (63,5 MM) E=1,50MM</t>
  </si>
  <si>
    <t xml:space="preserve">0,0025 x m²</t>
  </si>
  <si>
    <t xml:space="preserve">0,9774 x m131</t>
  </si>
  <si>
    <r>
      <rPr>
        <sz val="12"/>
        <rFont val="Arial"/>
      </rPr>
      <t xml:space="preserve">CORTE E DOBRA DE AÇO CA-25, DIÂMETRO DE 20,0 MM. AF_12/2015 - DOBRADIÇA PITO - </t>
    </r>
    <r>
      <rPr>
        <sz val="12"/>
        <rFont val="CommercialPi BT"/>
      </rPr>
      <t>E</t>
    </r>
    <r>
      <rPr>
        <sz val="12"/>
        <rFont val="Arial"/>
      </rPr>
      <t xml:space="preserve"> 3/4"</t>
    </r>
  </si>
  <si>
    <t xml:space="preserve">ACO CA-25, 10,0 MM, OU 12,5 MM, OU 16,0 MM, OU 20,0 MM, OU 25,0 MM, VERGALHAO - FERROLHO</t>
  </si>
  <si>
    <t xml:space="preserve">BARRA DE FERRO CHATA, RETANGULAR (QUALQUER BITOLA) - FERRO CHATO 5/8" X 1/8"</t>
  </si>
  <si>
    <t xml:space="preserve">CANTONEIRA ACO ABAS IGUAIS (QUALQUER BITOLA), ESPESSURA ENTRE 1/8" E 1/4" - CANTONEIRA 7/8" X 1/8"</t>
  </si>
  <si>
    <t xml:space="preserve">PAE 1159</t>
  </si>
  <si>
    <t xml:space="preserve">EXECUÇÃO DE PORTÃO DE FERRO COM DUAS FOLHAS DE (3,50X1,70)M COM TUBO INDUSTRIAL DE E 2" COM TELA DE ALAMBRADO COM FIO 12 MALHA 2" COM TRINCO E PORTA CADEADO - VER DETALHE ANEXO 003 </t>
  </si>
  <si>
    <t xml:space="preserve">SINAPI 03/2008 - 11517/1 - VER ANEXO 003 PETTRA</t>
  </si>
  <si>
    <t xml:space="preserve">PAE 1160</t>
  </si>
  <si>
    <t xml:space="preserve">DRENO LONGITUDINAL, ALTURA 1,00 M COM BRITA (20X20) CM, GEOCOMPOSTO DRENANTE E TUBO PEAD PERFURADO DN 100 MM, INCLUSIVE ESCAVAÇÃO E REATERRO</t>
  </si>
  <si>
    <t xml:space="preserve">REF LF/0025 SCHETTINI E 2004512 SICRO</t>
  </si>
  <si>
    <t xml:space="preserve">ESCAVAÇÃO MECÂNICA DE VALA PARA DRENAGEM COM MINIESCAVADEIRA EM MATERIAL DE 1ª CATEGORIA</t>
  </si>
  <si>
    <t xml:space="preserve">PAE 1161</t>
  </si>
  <si>
    <t xml:space="preserve">GALERIA CELULAR EM ADUELA PRÉ-MOLDADA EM CONCRETO ARMADO, 3,00M X 3,00M (6700KG/M), ASSENTAMENTO E REJUNTAMENTO. EXCLUSIVE AQUISIÇÃO E TRANSPORTE.</t>
  </si>
  <si>
    <t xml:space="preserve">REF DR/0106 SCHETTINI </t>
  </si>
  <si>
    <t xml:space="preserve">PAE 1162</t>
  </si>
  <si>
    <t xml:space="preserve">LIMPEZA MECANIZADA DA CAMADA VEGETAL (REF SICRO, CÓD 5502985).</t>
  </si>
  <si>
    <t xml:space="preserve">PRODUÇÃO DE EQUIPE 622,95000 m²</t>
  </si>
  <si>
    <t xml:space="preserve">REF SICRO 5502985 </t>
  </si>
  <si>
    <t xml:space="preserve">PAE 1163</t>
  </si>
  <si>
    <t xml:space="preserve">DESMATAMENTO, DESTOCAMENTO, LIMPEZA DE ÁREA E ESTOCAGEM DO MATERIAL DE LIMPEZA COM ÁRVORES DE DIÂMETRO ATÉ 0,15 M (REF SICRO, CÓD 5501700).</t>
  </si>
  <si>
    <t xml:space="preserve">PRODUÇÃO DE EQUIPE 1.532,91 m²</t>
  </si>
  <si>
    <t xml:space="preserve">REF SICRO 5501700</t>
  </si>
  <si>
    <t xml:space="preserve">PAE 1164</t>
  </si>
  <si>
    <t xml:space="preserve">DESTOCAMENTO DE ÁRVORES COM DIÂMETRO DE 0,15 A 0,30 M (REF SICRO, CÓD 5501701).</t>
  </si>
  <si>
    <t xml:space="preserve">PRODUÇÃO DE EQUIPE 20,75 un</t>
  </si>
  <si>
    <t xml:space="preserve">REF SICRO 5501701</t>
  </si>
  <si>
    <t xml:space="preserve">PAE 1165</t>
  </si>
  <si>
    <t xml:space="preserve">CORTE E REMOÇÃO DE ÁRVORES (REF SICRO, CÓD 4915768).</t>
  </si>
  <si>
    <t xml:space="preserve">PRODUÇÃO DE EQUIPE 5,51 m³</t>
  </si>
  <si>
    <t xml:space="preserve">MOTOSSERRA COM MOTOR A GASOLINA - 2,30 K2W</t>
  </si>
  <si>
    <t xml:space="preserve">REF SICRO 4915768</t>
  </si>
  <si>
    <r>
      <rPr>
        <b/>
        <sz val="12"/>
        <rFont val="Arial"/>
      </rPr>
      <t xml:space="preserve">OBS: </t>
    </r>
    <r>
      <rPr>
        <sz val="12"/>
        <rFont val="Arial"/>
      </rPr>
      <t xml:space="preserve">O item E9585 da composição (data/base Sicro Outubro/25) foi reajustado para Novembro/25.</t>
    </r>
  </si>
  <si>
    <r>
      <rPr>
        <sz val="12"/>
        <rFont val="Arial"/>
      </rPr>
      <t xml:space="preserve">IR = 503,834 / 503,483 = </t>
    </r>
    <r>
      <rPr>
        <b/>
        <sz val="12"/>
        <rFont val="Arial"/>
      </rPr>
      <t>1,00069714</t>
    </r>
  </si>
  <si>
    <t xml:space="preserve">PAE 1166</t>
  </si>
  <si>
    <t xml:space="preserve">APLICAÇÃO DE GEOTÊXTIL NÃO-TECIDO AGULHADO RT-10 (REF SICRO, CÓD 2003866).</t>
  </si>
  <si>
    <t xml:space="preserve">PRODUÇÃO DE EQUIPE 180 m²</t>
  </si>
  <si>
    <t xml:space="preserve">GEOTEXTIL NAO TECIDO AGULHADO DE FILAMENTOS CONTINUOS 100% POLIESTER, RESITENCIA A TRACAO = 10 KN/M                                                                                                                                                                                                                                                                                                                                                                                                       </t>
  </si>
  <si>
    <t xml:space="preserve">REF SICRO 2003866</t>
  </si>
  <si>
    <t xml:space="preserve">PAE 1167</t>
  </si>
  <si>
    <t xml:space="preserve">GEOGRELHA UNIDIRECIONAL EM POLIÉSTER - RESISTÊNCIA À TRAÇÃO LONGITUDINAL DE 150 KN/M - FORNECIMENTO E INSTALAÇÃO  (REF SICRO, CÓD 1516299).</t>
  </si>
  <si>
    <t xml:space="preserve">PRODUÇÃO DE EQUIPE 570 m²</t>
  </si>
  <si>
    <t xml:space="preserve">GEOGRELHA UNIDIRECIONAL EM POLIÉSTER - RESISTÊNCIA À TRAÇÃO LONGITUDINAL DE 150 KN/M</t>
  </si>
  <si>
    <t xml:space="preserve">REF SICRO 1516299</t>
  </si>
  <si>
    <r>
      <rPr>
        <b/>
        <sz val="12"/>
        <rFont val="Arial"/>
      </rPr>
      <t xml:space="preserve">OBS: </t>
    </r>
    <r>
      <rPr>
        <sz val="12"/>
        <rFont val="Arial"/>
      </rPr>
      <t xml:space="preserve">O item M1450 da composição (data/base Sicro Outubro/25) foi reajustado para Novembro/25.</t>
    </r>
  </si>
  <si>
    <t xml:space="preserve">PAE 1168</t>
  </si>
  <si>
    <t xml:space="preserve">GEOGRELHA UNIDIRECIONAL EM POLIÉSTER - RESISTÊNCIA À TRAÇÃO LONGITUDINAL DE 200 KN/M - FORNECIMENTO E INSTALAÇÃO (REF SICRO, CÓD 1516299).</t>
  </si>
  <si>
    <t xml:space="preserve">GEOGRELHA UNIDIRECIONAL EM POLIÉSTER - RESISTÊNCIA À TRAÇÃO LONGITUDINAL DE 200 KN/M</t>
  </si>
  <si>
    <r>
      <rPr>
        <b/>
        <sz val="12"/>
        <rFont val="Arial"/>
      </rPr>
      <t xml:space="preserve">OBS: </t>
    </r>
    <r>
      <rPr>
        <sz val="12"/>
        <rFont val="Arial"/>
      </rPr>
      <t xml:space="preserve">O item M1451 da composição (data/base Sicro Outubro/25) foi reajustado para Novembro/25.</t>
    </r>
  </si>
  <si>
    <t xml:space="preserve">PAE 1169</t>
  </si>
  <si>
    <t xml:space="preserve">PV-0 - POÇO DE VISITA CIRCULAR, COM DIMENSÃO INTERNA DE Ø 0,80M, EM ALVENARIA DE TIJOLO COMUM DE 1 VEZ ASSENTADA E REVESTIDA INTERNAMENTE COM ARGAMASSA DE CIMENTO E AREIA 1:3, CONFORME PROJETO TIPO. EXCLUSIVE TAMPÃO</t>
  </si>
  <si>
    <t xml:space="preserve">REF DR/0165 SCHETTINI</t>
  </si>
  <si>
    <t xml:space="preserve">PREPARO DE FUNDO DE VALA COM LARGURA MAIOR OU IGUAL A 1,5 M E MENOR QUE 2,5 M, COM CAMADA DE BRITA, LANÇAMENTO MECANIZADO. AF_08/2020</t>
  </si>
  <si>
    <t xml:space="preserve">TELA DE ACO SOLDADA NERVURADA, CA-60, Q-283 (4,48 KG/M2), DIAMETRO DO FIO = 6,0 MM, LARGURA = 2,45 X 6,00 M DE COMPRIMENTO, ESPACAMENTO DA MALHA = 10 X 10 CM                                                                                                                                                                                                                                                                                                                                             </t>
  </si>
  <si>
    <t xml:space="preserve">ARAME GALVANIZADO 18 BWG, D = 1,24MM (0,009 KG/M)                                                                                                                                                                                                                                                                                                                                                                                                                                                         </t>
  </si>
  <si>
    <t xml:space="preserve">TIJOLO CERAMICO MACICO COMUM *5 X 10 X 20* CM (L X A X C)                                                                                                                                                                                                                                                                                                                                                                                                                                                 </t>
  </si>
  <si>
    <t xml:space="preserve">CARGA E DESCARGA MECANICA DE SOLO UTILIZANDO CAMINHAO BASCULANTE 6,0M3/16T E PA CARREGADEIRA SOBRE PNEUS 128 HP, CAPACIDADE DA CAÇAMBA 1,7 A 2,8 M3, PESO OPERACIONAL 11632 KG</t>
  </si>
  <si>
    <t xml:space="preserve">TRANSPORTE COM CAMINHÃO BASCULANTE DE 6 M³, EM VIA URBANA PAVIMENTADA, DMT ATÉ 30 KM (UNIDADE: M3XKM). AF_07/2020</t>
  </si>
  <si>
    <t xml:space="preserve">PAE 1170</t>
  </si>
  <si>
    <t xml:space="preserve">FORNECIMENTO, ESPALHAMENTO E REGULARIZAÇÃO DE BICA CORRIDA, SEM FRETE</t>
  </si>
  <si>
    <t xml:space="preserve">TCPO 15 - 3R 32 24 00 00 00 00 10 17 - PG 45</t>
  </si>
  <si>
    <t xml:space="preserve">PEDRA BRITADA OU BICA CORRIDA, NAO CLASSIFICADA (POSTO PEDREIRA/FORNECEDOR, SEM FRETE)                                                                                                                                                                                                                                                                                                                                                                                                                    </t>
  </si>
  <si>
    <t xml:space="preserve">PAE 1171</t>
  </si>
  <si>
    <t xml:space="preserve">DEMOLIÇÃO DE MURO DE CONCRETO PRÉ MOLDADO, DE FORMA MECANIZADA, SEM REAPROVEITAMENTO (REF SINAPI, CÓD 97625).</t>
  </si>
  <si>
    <t xml:space="preserve">SINAPI 97625 - DEZ/2021</t>
  </si>
  <si>
    <t xml:space="preserve">PAE 1172</t>
  </si>
  <si>
    <t xml:space="preserve">REMOÇÃO DE CERCA COM ARAME FARPADO E MOURÕES DE CONCRETO, DE FORMA MANUAL, SEM REAPROVEITAMENTO </t>
  </si>
  <si>
    <t xml:space="preserve">SINAPI 97644 - DEZ/2021</t>
  </si>
  <si>
    <t xml:space="preserve">PAE 1173</t>
  </si>
  <si>
    <t xml:space="preserve">FORNECIMENTO E COLOCAÇÃO DE CHUMBADOR E 3/8", L=30 CM EM ESTRUTURA DE CONCRETO PRÉ MOLDADA</t>
  </si>
  <si>
    <t xml:space="preserve">ADITIVO ADESIVO LIQUIDO PARA ARGAMASSAS DE REVESTIMENTOS CIMENTICIOS                                                                                                                                                                                                                                                                                                                                                                                                                                      </t>
  </si>
  <si>
    <t xml:space="preserve">L     </t>
  </si>
  <si>
    <t xml:space="preserve">PAE 1174</t>
  </si>
  <si>
    <t xml:space="preserve">MEIO-FIO (GUIA), CONCRETO FCK = 15MPA, SEÇÃO 145 CM2, MOLDADO NO LOCAL, INCLUSIVE ESCAVAÇÃO E PINTURA A CAL EM UMA DEMÃO </t>
  </si>
  <si>
    <t xml:space="preserve">REF IUP30001 - 615 CM²</t>
  </si>
  <si>
    <t xml:space="preserve">PAE 1175</t>
  </si>
  <si>
    <t xml:space="preserve">MINIESCAVADEIRA SOBRE ESTEIRAS, POTENCIA LIQUIDA DE *30* HP, PESO OPERACIONAL DE *3.500* KG - CHP DIURNO. AF_04/2017</t>
  </si>
  <si>
    <t xml:space="preserve">MINIESCAVADEIRA SOBRE ESTEIRAS, POTENCIA LIQUIDA DE *30* HP, PESO OPERACIONAL DE *3.500* KG - CHI DIURNO. AF_04/2017</t>
  </si>
  <si>
    <t xml:space="preserve">PAE 1176</t>
  </si>
  <si>
    <t xml:space="preserve">CAIXA COLETORA DE SARJETA - CCS 02 - COM GRELHA DE CONCRETO - TCC 01 - AREIA E BRITA COMERCIAIS (REF SICRO, CÓD 2003479).</t>
  </si>
  <si>
    <t xml:space="preserve">REF 2003479 SICRO</t>
  </si>
  <si>
    <t xml:space="preserve">PREPARO DE FUNDO DE VALA COM LARGURA MENOR QUE 1,5 M (ACERTO DO SOLO NATURAL). AF_08/2020</t>
  </si>
  <si>
    <t xml:space="preserve">FABRICAÇÃO, MONTAGEM E DESMONTAGEM DE FÔRMA PARA VIGA BALDRAME, EM MADEIRA SERRADA, E=25 MM, 4 UTILIZAÇÕES. AF_06/2017</t>
  </si>
  <si>
    <t xml:space="preserve">PAE 1177</t>
  </si>
  <si>
    <t xml:space="preserve">SUPORTE METÁLICO GALVANIZADO E 2" PARA PLACA DE LOGRADOURO - FORNECIMENTO E IMPLANTAÇÃO </t>
  </si>
  <si>
    <t xml:space="preserve">SICRO OUT/2021 5213858 PROD EQUIPE - 4,20</t>
  </si>
  <si>
    <t xml:space="preserve">TUBO ACO GALVANIZADO COM COSTURA, CLASSE LEVE, DN 50 MM ( 2"),  E = 3,00 MM,  *4,40* KG/M (NBR 5580)</t>
  </si>
  <si>
    <t xml:space="preserve">M     </t>
  </si>
  <si>
    <t xml:space="preserve">PAE 1178</t>
  </si>
  <si>
    <t xml:space="preserve">PLACA DE SINALIZACAO (25X45) CM EM CHAPA DE ACO # 16 COM PINTURA REFLETIVA INCLUSIVA SUPORTES PARAFUSADOS </t>
  </si>
  <si>
    <t xml:space="preserve">SICRO OUT/2021 5213464 PROD EQUIPE - 3,0</t>
  </si>
  <si>
    <t xml:space="preserve">M2    </t>
  </si>
  <si>
    <t xml:space="preserve">PARAFUSO DE FERRO POLIDO, SEXTAVADO, COM ROSCA INTEIRA, DIAMETRO 5/16", COMPRIMENTO 3/4", COM PORCA E ARRUELA LISA LEVE</t>
  </si>
  <si>
    <t xml:space="preserve">PAE 1179</t>
  </si>
  <si>
    <t xml:space="preserve">GABIÃO COLCHÃO ESPESSURA 0,23 M - Zn/Al + PVC - D = 2,0 mm - FORNECIMENTO E ASSENTAMENTO (REF SICRO, CÓD 3205874).</t>
  </si>
  <si>
    <t xml:space="preserve">REF 3205874 SICRO</t>
  </si>
  <si>
    <t xml:space="preserve">PRODUÇÃO DE EQUIPE 12,50 M²</t>
  </si>
  <si>
    <t xml:space="preserve">GABIAO MANTA (COLCHAO) MALHA HEXAGONAL 6 X 8 CM (ZN/AL REVESTIDO COM POLIMERO), FIO 2,0 MM, DIMENSOES 5,0 X 2,0 X 0,23 M (C X L X A)                                                                                                                                                                                                                                                                                                                                                                      </t>
  </si>
  <si>
    <t xml:space="preserve">PAE 1180</t>
  </si>
  <si>
    <t xml:space="preserve">BOCA DE BUEIRO TRIPLA Ø 0,80 M (SEM DISSIPADOR) / UN. </t>
  </si>
  <si>
    <r>
      <rPr>
        <b/>
        <sz val="8"/>
        <color indexed="2"/>
        <rFont val="Arial"/>
      </rPr>
      <t xml:space="preserve">(ADOTADO BTTC </t>
    </r>
    <r>
      <rPr>
        <sz val="16"/>
        <color indexed="2"/>
        <rFont val="Arial"/>
      </rPr>
      <t>ø</t>
    </r>
    <r>
      <rPr>
        <b/>
        <sz val="12"/>
        <color indexed="2"/>
        <rFont val="Arial"/>
      </rPr>
      <t xml:space="preserve"> 100)</t>
    </r>
  </si>
  <si>
    <t xml:space="preserve">REF SICRO 0804377</t>
  </si>
  <si>
    <t xml:space="preserve">PAE 1181</t>
  </si>
  <si>
    <t xml:space="preserve">BOCA DE BUEIRO TRIPLA Ø 1,20 M (SEM DISSIPADOR) / UN. </t>
  </si>
  <si>
    <t xml:space="preserve">PAE 1182</t>
  </si>
  <si>
    <t xml:space="preserve">DEMOLIÇÃO DE CALÇAMENTO E MEIO-FIO COM EMPREGO DE RETRO-ESCAVADEIRA E SERRA DE DISCO, EXCLUSIVE BOTA-FORA DO MATERIAL (REF AGESUL, CÓD IUP30005).</t>
  </si>
  <si>
    <t xml:space="preserve">REF IUP30005 </t>
  </si>
  <si>
    <t xml:space="preserve">DISCO DE CORTE DIAMANTADO SEGMENTADO PARA CONCRETO, DIÂMETRO DE 350 MM, FURO DE 1" (14 X 1")</t>
  </si>
  <si>
    <t xml:space="preserve">PAE 1183</t>
  </si>
  <si>
    <t xml:space="preserve">APLICAÇÃO DE GEOTÊXTIL NÃO-TECIDO AGULHADO RT-14 (REF SICRO, CÓD 2003866).</t>
  </si>
  <si>
    <t xml:space="preserve">EXISTE COMP PAE 1006 REF SINAPI 83665 - JAN/2020</t>
  </si>
  <si>
    <t xml:space="preserve">PAE 1184</t>
  </si>
  <si>
    <t xml:space="preserve">REF SINAPI 100574 - DEZ/21</t>
  </si>
  <si>
    <t xml:space="preserve">PAE 1185</t>
  </si>
  <si>
    <t xml:space="preserve">VALETA DE PROTEÇÃO DE ATERROS COM REVESTIMENTO DE CONCRETO - VPA 03 (REF SICRO, CÓD 2003313).</t>
  </si>
  <si>
    <t xml:space="preserve">REF 2003313 SICRO</t>
  </si>
  <si>
    <t xml:space="preserve">ENCHIMENTO DE JUNTA DE CONCRETO COM ARGAMASSA ASFÁLTICA DE DENSIDADE 1.700 KG/M³ - ESPESSURA DE 1 CM</t>
  </si>
  <si>
    <t xml:space="preserve">GUIA DE MADEIRA DE 2,5 X 8,0 CM - CONFECCÇÃO E INSTALAÇÃO</t>
  </si>
  <si>
    <r>
      <rPr>
        <b/>
        <sz val="12"/>
        <rFont val="Arial"/>
      </rPr>
      <t xml:space="preserve">OBS: </t>
    </r>
    <r>
      <rPr>
        <sz val="12"/>
        <rFont val="Arial"/>
      </rPr>
      <t xml:space="preserve">Os itens 2003842 e 3108022 da composição (data/base Sicro Outubro/25) foram reajustados para Novembro/25.</t>
    </r>
  </si>
  <si>
    <r>
      <rPr>
        <sz val="12"/>
        <rFont val="Arial"/>
      </rPr>
      <t xml:space="preserve">IR = 492,689 / 491,278 = </t>
    </r>
    <r>
      <rPr>
        <b/>
        <sz val="12"/>
        <rFont val="Arial"/>
      </rPr>
      <t>1,00287210</t>
    </r>
  </si>
  <si>
    <t xml:space="preserve">PAE 1186</t>
  </si>
  <si>
    <t xml:space="preserve">APLICAÇÃO DE GEOTÊXTIL NÃO-TECIDO AGULHADO RT-31 (REF SICRO, CÓD 2003866).</t>
  </si>
  <si>
    <t xml:space="preserve">GEOTEXTIL NAO TECIDO AGULHADO DE FILAMENTOS CONTINUOS 100% POLIESTER, RESITENCIA A TRACAO = 31 KN/M                                                                                                                                                                                                                                                                                                                                                                                                       </t>
  </si>
  <si>
    <t xml:space="preserve">PAE 1187</t>
  </si>
  <si>
    <t xml:space="preserve">ARMAÇÃO DE PILAR OU VIGA DE UMA ESTRUTURA CONVENCIONAL DE CONCRETO ARMADO EM UMA EDIFICAÇÃO TÉRREA OU SOBRADO UTILIZANDO AÇO CA-60 DE 4,2 MM - MONTAGEM </t>
  </si>
  <si>
    <t xml:space="preserve">REF 92775  MARÇO/2020 SINAPI</t>
  </si>
  <si>
    <t xml:space="preserve">ESPACADOR / DISTANCIADOR CIRCULAR COM ENTRADA LATERAL, EM PLASTICO, PARA VERGALHAO *4,2 A 12,5* MM, COBRIMENTO 20 MM                                                                                                                                                                                                                                                                                                                                                                                      </t>
  </si>
  <si>
    <t xml:space="preserve">ARAME RECOZIDO 16 BWG, D = 1,65 MM (0,016 KG/M) OU 18 BWG, D = 1,25 MM (0,01 KG/M)                                                                                                                                                                                                                                                                                                                                                                                                                        </t>
  </si>
  <si>
    <t xml:space="preserve">ACO CA-60, 4,2 MM OU 5,0 MM, DOBRADO E CORTADO                                                                                                                                                                                                                                                                                                                                                                                                                                                            </t>
  </si>
  <si>
    <t xml:space="preserve">PAE 1188</t>
  </si>
  <si>
    <t xml:space="preserve">ESPALHAMENTO MECANIZADO COM RETROESCAVADEIRA MATERIAL DE 1ª CATEGORIA </t>
  </si>
  <si>
    <t xml:space="preserve">PAE 1189</t>
  </si>
  <si>
    <t xml:space="preserve">REMOÇÃO DE CANALIZAÇÃO Ø 60 INCLUSIVE ESCAVAÇÃO E REATERRO, EXCLUSIVE BOTA-FORA  </t>
  </si>
  <si>
    <t xml:space="preserve">REF AG IUD20082</t>
  </si>
  <si>
    <t xml:space="preserve">ESCAVAÇÃO MECANIZADA DE VALA COM PROF. MAIOR QUE 1,5 M E ATÉ 3,0 M(MÉDIA MONTANTE E JUSANTE/UMA COMPOSIÇÃO POR TRECHO), ESCAVADEIRA (0,8 M3), LARG. MENOR QUE 1,5 M, EM SOLO DE 1A CATEGORIA, LOCAIS COM BAIXO NÍVEL DE INTERFERÊNCIA. AF_02/2021</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</si>
  <si>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</si>
  <si>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PAE 1190</t>
  </si>
  <si>
    <t xml:space="preserve">REMOÇÃO DE CANALIZAÇÃO Ø 80 INCLUSIVE ESCAVAÇÃO E REATERRO, EXCLUSIVE BOTA-FORA  </t>
  </si>
  <si>
    <t xml:space="preserve">ESCAVAÇÃO MECANIZADA DE VALA COM PROF. MAIOR QUE 1,5 M ATÉ 3,0 M (MÉDIA ENTRE MONTANTE E JUSANTE/UMA COMPOSIÇÃO POR TRECHO), COM ESCAVADEIRA HIDRÁULICA (1,2 M³/155 HP), LARG. DE 1,5 M A 2,5 M, EM SOLO DE 1º CATEGORIA,LOCAIS COM BAIXO NÍVEL DE INTERFERÊNCIA. AF_02/2021</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</si>
  <si>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</si>
  <si>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PAE 1191</t>
  </si>
  <si>
    <t xml:space="preserve">REMOÇÃO DE CANALIZAÇÃO Ø 1,00 INCLUSIVE ESCAVAÇÃO E REATERRO, EXCLUSIVE BOTA-FORA </t>
  </si>
  <si>
    <t xml:space="preserve">PAE 1192</t>
  </si>
  <si>
    <t xml:space="preserve">REMOÇÃO DE CANALIZAÇÃO Ø 1,20 INCLUSIVE ESCAVAÇÃO E REATERRO, EXCLUSIVE BOTA-FORA </t>
  </si>
  <si>
    <t xml:space="preserve">PAE 1193</t>
  </si>
  <si>
    <t xml:space="preserve">REMOÇÃO DE CANALIZAÇÃO Ø 1,50 INCLUSIVE ESCAVAÇÃO E REATERRO, EXCLUSIVE BOTA-FORA</t>
  </si>
  <si>
    <t xml:space="preserve">PAE 1194</t>
  </si>
  <si>
    <t xml:space="preserve">REMOÇÃO DE CERCA TIPO ALAMBRADO (H=2,0M) COM TELA GALVANIZADA E MURETA EM ALVENARIA (H=0,55M) , SEM REAPROVEITAMENTO</t>
  </si>
  <si>
    <t xml:space="preserve">DEMOLIÇÃO DE ALVENARIA DE BLOCO FURADO, DE FORMA MANUAL, SEM REAPROVEITAMENTO. AF_12/2017</t>
  </si>
  <si>
    <t xml:space="preserve">PAE 1195</t>
  </si>
  <si>
    <t xml:space="preserve">DEMOLIÇÃO DE EDIFICAÇÕES SIMPLES DE ALVENARIA</t>
  </si>
  <si>
    <t xml:space="preserve">REF 3R 03 42 00 00 00 03 08 TCPO 15ª EDIÇÃO</t>
  </si>
  <si>
    <t xml:space="preserve">PAE 1196</t>
  </si>
  <si>
    <t xml:space="preserve">DEMOLIÇÃO DE CONCRETO SIMPLES COM MARTELETE (REF SICRO, CÓD 1600989).</t>
  </si>
  <si>
    <t xml:space="preserve">REF SICRO 1600989</t>
  </si>
  <si>
    <t xml:space="preserve">PRODUÇÃO DE EQUIPE 0,46704 M³</t>
  </si>
  <si>
    <t xml:space="preserve">TRANSPORTADOR MANUAL CARRINHO DE MÃO COM CAPACIDADE DE 80 L</t>
  </si>
  <si>
    <t xml:space="preserve">PONTEIRO PARA MARTELETE - D = 22 MM E C = 1,00 M</t>
  </si>
  <si>
    <r>
      <rPr>
        <b/>
        <sz val="12"/>
        <rFont val="Arial"/>
      </rPr>
      <t xml:space="preserve">OBS: </t>
    </r>
    <r>
      <rPr>
        <sz val="12"/>
        <rFont val="Arial"/>
      </rPr>
      <t xml:space="preserve">Os itens E9071 e M1391 da composição (data/base Sicro Outubro/25) foram reajustados para Novembro/25.</t>
    </r>
  </si>
  <si>
    <r>
      <rPr>
        <sz val="12"/>
        <rFont val="Arial"/>
      </rPr>
      <t xml:space="preserve">IR = 492,689 / 491,278 = </t>
    </r>
    <r>
      <rPr>
        <b/>
        <sz val="12"/>
        <rFont val="Arial"/>
      </rPr>
      <t>1,0028710</t>
    </r>
  </si>
  <si>
    <t xml:space="preserve">PAE 1197</t>
  </si>
  <si>
    <t xml:space="preserve">DEMOLIÇÃO MANUAL DE CONCRETO ARMADO </t>
  </si>
  <si>
    <t xml:space="preserve">REF SICRO 1600438</t>
  </si>
  <si>
    <t xml:space="preserve">PRODUÇÃO DE EQUIPE 0,04597 M³</t>
  </si>
  <si>
    <t xml:space="preserve">PAE 1198</t>
  </si>
  <si>
    <t xml:space="preserve">DEMOLIÇÃO MECÂNICA DE CONCRETO ARMADO, COM ESCAVADEIRA HIDRÁULICA COM MARTELO HIDRÁULICO - SEM REAPROVEITAMENTO </t>
  </si>
  <si>
    <t xml:space="preserve">PONTEIRO PARA ROMPEDOR HIDRÁULICO DE 520 KG</t>
  </si>
  <si>
    <r>
      <rPr>
        <b/>
        <sz val="12"/>
        <rFont val="Arial"/>
      </rPr>
      <t xml:space="preserve">OBS: </t>
    </r>
    <r>
      <rPr>
        <sz val="12"/>
        <rFont val="Arial"/>
      </rPr>
      <t xml:space="preserve">O item E9127 da composição (data/base Sicro Outubro/25) foi reajustado para Novembro/25.</t>
    </r>
  </si>
  <si>
    <t xml:space="preserve">PAE 1199</t>
  </si>
  <si>
    <t xml:space="preserve">VEÍCULO LEVE - 53 KW (SEM MOTORISTA) (116,49h CHI + 66h CHP - 182,49h MDO) </t>
  </si>
  <si>
    <t>UN/MÊS</t>
  </si>
  <si>
    <t xml:space="preserve">VEÍCULO LEVE - 53 KW</t>
  </si>
  <si>
    <t>MDO</t>
  </si>
  <si>
    <r>
      <rPr>
        <b/>
        <sz val="12"/>
        <rFont val="Arial"/>
      </rPr>
      <t xml:space="preserve">OBS: </t>
    </r>
    <r>
      <rPr>
        <sz val="12"/>
        <rFont val="Arial"/>
      </rPr>
      <t xml:space="preserve">O item E9512 da composição (data/base Sicro Outubro/25) foi reajustado para Novembro/25.</t>
    </r>
  </si>
  <si>
    <r>
      <rPr>
        <sz val="12"/>
        <rFont val="Arial"/>
      </rPr>
      <t xml:space="preserve">IR = 160,363 / 160,135 = </t>
    </r>
    <r>
      <rPr>
        <b/>
        <sz val="12"/>
        <rFont val="Arial"/>
      </rPr>
      <t>1,00142380</t>
    </r>
  </si>
  <si>
    <t xml:space="preserve">PAE 1200</t>
  </si>
  <si>
    <t xml:space="preserve">CAMINHONETE - 71 A 115 CV (SEM MOTORISTA) (116,49h CPI + 66h CHP - 182,49h MDO) </t>
  </si>
  <si>
    <t xml:space="preserve">REF COMP SCHETTINI AD/0003</t>
  </si>
  <si>
    <t xml:space="preserve">PLACA DE IDENTIFICAÇÃO DE OBRA PÚBLICA, INCLUSIVE PINTURA E ADESIVOS, ESTRUTURA E SUPORTE DE MADEIRA. INCLUSO FORNECIMENTO DE MATERIAL E INSTALAÇÃO. REF SINAPI, CÓD 74209/1)</t>
  </si>
  <si>
    <t xml:space="preserve">REF COMP SCHETTINI SP/0001</t>
  </si>
  <si>
    <t xml:space="preserve">SARRAFO NAO APARELHADO *2,5 X 7* CM, EM MACARANDUBA, ANGELIM OU EQUIVALENTE DA REGIAO -  BRUTA                                                                                                                                                                                                                                                                                                                                                                                                            </t>
  </si>
  <si>
    <t xml:space="preserve">PONTALETE *7,5 X 7,5* CM EM PINUS, MISTA OU EQUIVALENTE DA REGIAO - BRUTA                                                                                                                                                                                                                                                                                                                                                                                                                                 </t>
  </si>
  <si>
    <t xml:space="preserve">PREGO DE ACO POLIDO COM CABECA 18 X 30 (2 3/4 X 10)                                                                                                                                                                                                                                                                                                                                                                                                                                                       </t>
  </si>
  <si>
    <t xml:space="preserve">PAE 1202</t>
  </si>
  <si>
    <t xml:space="preserve">REVESTIMENTO DE PÁTIO COM BICA CORRIDA COM ESPESSURA DE 5 CM COM REGULARIZAÇÃO DO TERRENO COM MOTONIVELADORA. EXCLUSIVE TRANSPORTE. </t>
  </si>
  <si>
    <t xml:space="preserve">REF COMP SCHETTINI SC/0068</t>
  </si>
  <si>
    <t xml:space="preserve">PAE 1203</t>
  </si>
  <si>
    <t xml:space="preserve">CERCA COM MOURÕES DE MADEIRA ROLIÇA Ø 11CM, ESPAÇAMENTO DE 2,00M, ALTURA LIVRE DE 1,50M, CRAVADO 0,50M, COM 5 FIOS DE ARAME LISO OVALADO 15X17</t>
  </si>
  <si>
    <t xml:space="preserve">REF COMP SCHETTINI SC/0110</t>
  </si>
  <si>
    <t xml:space="preserve">ARAME DE ACO OVALADO 15 X 17 ( 45,7 KG, 700 KGF), ROLO 1000 M                                                                                                                                                                                                                                                                                                                                                                                                                                             </t>
  </si>
  <si>
    <t xml:space="preserve">MOURAO ROLICO DE MADEIRA TRATADA, D = 8 A 11 CM, H = 2,20 M, EM EUCALIPTO OU EQUIVALENTE DA REGIAO (PARA CERCA)                                                                                                                                                                                                                                                                                                                                                                                           </t>
  </si>
  <si>
    <t xml:space="preserve">PAE 1204</t>
  </si>
  <si>
    <t xml:space="preserve">PORTÃO PARA VEÍCULOS EM TELA ARAME GALVANIZADO N.12 MALHA 2" E MOLDURA EM TUBOS DE ACO COM DUAS FOLHAS DE ABRIR, INCLUSO FERRAGENS</t>
  </si>
  <si>
    <t xml:space="preserve">REF COMP SCHETTINI SC/0120</t>
  </si>
  <si>
    <t xml:space="preserve">INVERSOR DE SOLDA MONOFÁSICO DE 160 A, POTÊNCIA DE 5400 W, TENSÃO DE 220 V, PARA SOLDA COM ELETRODOS DE 2,0 A 4,0 MM E PROCESSO TIG - CHP DIURNO. AF_06/2018</t>
  </si>
  <si>
    <t xml:space="preserve">INVERSOR DE SOLDA MONOFÁSICO DE 160 A, POTÊNCIA DE 5400 W, TENSÃO DE 220 V, PARA SOLDA COM ELETRODOS DE 2,0 A 4,0 MM E PROCESSO TIG - CHI DIURNO. AF_06/2018</t>
  </si>
  <si>
    <t xml:space="preserve">TELA DE ARAME GALVANIZADA QUADRANGULAR / LOSANGULAR, FIO 2,11 MM (14 BWG), MALHA 5 X 5 CM, H = 2 M                                                                                                                                                                                                                                                                                                                                                                                                        </t>
  </si>
  <si>
    <t xml:space="preserve">TUBO ACO GALVANIZADO COM COSTURA, CLASSE MEDIA, DN 1.1/2", E = *3,25* MM, PESO *3,61* KG/M (NBR 5580)                                                                                                                                                                                                                                                                                                                                                                                                     </t>
  </si>
  <si>
    <t xml:space="preserve">ELETRODO REVESTIDO AWS - E7018, DIAMETRO IGUAL A 4,00 MM                                                                                                                                                                                                                                                                                                                                                                                                                                                  </t>
  </si>
  <si>
    <t xml:space="preserve">TUBO ACO GALVANIZADO COM COSTURA, CLASSE LEVE, DN 25 MM ( 1"),  E = 2,65 MM,  *2,11* KG/M (NBR 5580)                                                                                                                                                                                                                                                                                                                                                                                                      </t>
  </si>
  <si>
    <t xml:space="preserve">PAE 1205</t>
  </si>
  <si>
    <t xml:space="preserve">SEGURANÇA DE TRÂNSITO - SINALIZAÇÃO DE ADVERTÊNCIA DE OBRA COM ELEMENTO LUMINOSO (BALDE VERMELHO)</t>
  </si>
  <si>
    <t xml:space="preserve">REF COMP SCHETTINI SP/0025</t>
  </si>
  <si>
    <t xml:space="preserve">FIO DE COBRE, SOLIDO, CLASSE 1, ISOLACAO EM PVC/A, ANTICHAMA BWF-B, 450/750V, SECAO NOMINAL 2,5 MM2                                                                                                                                                                                                                                                                                                                                                                                                       </t>
  </si>
  <si>
    <t xml:space="preserve">ENERGIA ELETRICA ATE 2000 KWH INDUSTRIAL, SEM DEMANDA                                                                                                                                                                                                                                                                                                                                                                                                                                                     </t>
  </si>
  <si>
    <t xml:space="preserve">LAMPADA FLUORESCENTE TUBULAR T10, DE 20 OU 40 W, BIVOLT                                                                                                                                                                                                                                                                                                                                                                                                                                                   </t>
  </si>
  <si>
    <t xml:space="preserve">BALDE VERMELHO PARA SINALIZACAO DE VIAS                                                                                                                                                                                                                                                                                                                                                                                                                                                                   </t>
  </si>
  <si>
    <t xml:space="preserve">SOQUETE DE PORCELANA BASE E27, PARA USO AO TEMPO, PARA LAMPADAS                                                                                                                                                                                                                                                                                                                                                                                                                                           </t>
  </si>
  <si>
    <t xml:space="preserve">PAE 1206</t>
  </si>
  <si>
    <t xml:space="preserve">BOCA DE BUEIRO SIMPLES TUBULAR - BBST  D = 0,40M, EM CONCRETO CICLÓPICO COM 30% DE PEDRA DE MÃO, CONFORME PROJETO TIPO </t>
  </si>
  <si>
    <t xml:space="preserve">REF COMP SCHETTINI DR/0305</t>
  </si>
  <si>
    <t xml:space="preserve">FABRICAÇÃO, MONTAGEM E DESMONTAGEM DE FÔRMA PARA VIGA BALDRAME, EM CHAPA DE MADEIRA COMPENSADA RESINADA, E=17 MM, 2 UTILIZAÇÕES. AF_06/2017</t>
  </si>
  <si>
    <t xml:space="preserve">PAE 1207</t>
  </si>
  <si>
    <t xml:space="preserve">BOCA DE BUEIRO SIMPLES TUBULAR - BBST  D = 0,60M, EM CONCRETO CICLÓPICO COM 30% DE PEDRA DE MÃO, CONFORME PROJETO TIPO </t>
  </si>
  <si>
    <t xml:space="preserve">REF COMP SCHETTINI DR/0310</t>
  </si>
  <si>
    <t xml:space="preserve">PAE 1208</t>
  </si>
  <si>
    <t xml:space="preserve">BOCA DE BUEIRO SIMPLES TUBULAR - BBST  D = 0,80M, EM CONCRETO CICLÓPICO COM 30% DE PEDRA DE MÃO, CONFORME PROJETO TIPO </t>
  </si>
  <si>
    <t xml:space="preserve">REF COMP SCHETTINI DR/0315</t>
  </si>
  <si>
    <t xml:space="preserve">PAE 1209</t>
  </si>
  <si>
    <t xml:space="preserve">BOCA DE BUEIRO TRIPLO TUBULAR - BBTT  D = 1,00M, EM CONCRETO CICLÓPICO COM 30% DE PEDRA DE MÃO, CONFORME PROJETO TIPO </t>
  </si>
  <si>
    <t xml:space="preserve">PAE 1210</t>
  </si>
  <si>
    <t xml:space="preserve">VAN - 120 A 140 CV (COM MOTORISTA) (116,49h CPI + 66h CHP)</t>
  </si>
  <si>
    <t xml:space="preserve">VAN FURGÃO - 93 KW</t>
  </si>
  <si>
    <r>
      <rPr>
        <b/>
        <sz val="12"/>
        <rFont val="Arial"/>
      </rPr>
      <t xml:space="preserve">OBS: </t>
    </r>
    <r>
      <rPr>
        <sz val="12"/>
        <rFont val="Arial"/>
      </rPr>
      <t xml:space="preserve">O item E9125 da composição (data/base Sicro Outubro/25) foi reajustado para Novembro/25.</t>
    </r>
  </si>
  <si>
    <t xml:space="preserve">PAE 1211</t>
  </si>
  <si>
    <t xml:space="preserve">TUBO AÇO GALVANIZADO COM COSTURA PARA GUARDA-CORPO, CLASSE LEVE, DN 50 MM (2"),  DIN 2440 / NBR 5580 CLASSE LEVE, ESPESSURA 3,00 MM, *4,40* KG/M</t>
  </si>
  <si>
    <t xml:space="preserve">REF COMP SCHETTINI SC/0105</t>
  </si>
  <si>
    <t xml:space="preserve">TUBO ACO GALVANIZADO COM COSTURA, CLASSE LEVE, DN 50 MM ( 2"),  E = 3,00 MM,  *4,40* KG/M (NBR 5580)                                                                                                                                                                                                                                                                                                                                                                                                      </t>
  </si>
  <si>
    <t xml:space="preserve">LUVA DE FERRO GALVANIZADO, COM ROSCA BSP, DE 2"                                                                                                                                                                                                                                                                                                                                                                                                                                                           </t>
  </si>
  <si>
    <t xml:space="preserve">PAE 1212</t>
  </si>
  <si>
    <t xml:space="preserve">DEFENSA METÁLICA SEM IMALEÁVEL SIMPLES - FORNECIMENTO E IMPLANTAÇÃO (REF SICRO, CÓD 3713604).</t>
  </si>
  <si>
    <t xml:space="preserve">BATE-ESTACA HIDRÁULICO PARA DEFENSAS MONTADO EM CAMINHÃO GUINDAUTO COM CAPACIDADE DE 20 T.M E CARROCERIA DE 4 T - 136 KW</t>
  </si>
  <si>
    <t xml:space="preserve">AJUDANTE DE SERRALHEIRO                                                                                                                                                                                                                                                                                                                                                                                                                                                                                   </t>
  </si>
  <si>
    <t xml:space="preserve">DEFENSA METÁLICA SEMIMALEÁVEL SIMPLES</t>
  </si>
  <si>
    <r>
      <rPr>
        <b/>
        <sz val="12"/>
        <rFont val="Arial"/>
      </rPr>
      <t xml:space="preserve">OBS: </t>
    </r>
    <r>
      <rPr>
        <sz val="12"/>
        <rFont val="Arial"/>
      </rPr>
      <t xml:space="preserve">Os itens E9082 e M1968 da composição (data/base Sicro Outubro/25) foram reajustados para Novembro/25.</t>
    </r>
  </si>
  <si>
    <r>
      <rPr>
        <sz val="12"/>
        <rFont val="Arial"/>
      </rPr>
      <t xml:space="preserve">IR = 167,548 / 167,061 = </t>
    </r>
    <r>
      <rPr>
        <b/>
        <sz val="12"/>
        <rFont val="Arial"/>
      </rPr>
      <t>1,00291510</t>
    </r>
  </si>
  <si>
    <t xml:space="preserve">PAE 1213</t>
  </si>
  <si>
    <t xml:space="preserve">PLANTIO DE GRAMA ESMERALDA EM PLACAS.</t>
  </si>
  <si>
    <t xml:space="preserve">REF SINAPI 98504</t>
  </si>
  <si>
    <t xml:space="preserve">GRAMA ESMERALDA OU SAO CARLOS OU CURITIBANA, EM PLACAS, SEM PLANTIO                                                                                                                                                                                                                                                                                                                                                                                                                                       </t>
  </si>
  <si>
    <t xml:space="preserve">PAE 1214</t>
  </si>
  <si>
    <t xml:space="preserve">ESCAVAÇÃO DE VALA EM MATERIAL DE 3A CATEGORIA - RESISTÊNCIA A COMPRESSÃO DE 90 A 110 MPA - COM ESCAVADEIRA E ROMPEDOR HIDRÁULICO 1.700KG, INCLUSIVE CARGA </t>
  </si>
  <si>
    <t xml:space="preserve">REF SCHETTINI DR/0025 </t>
  </si>
  <si>
    <t xml:space="preserve">ESCAVADEIRA HIDRÁULICA COM MARTELO HIDRÁULICO DE 1.700 KG - 130 KW - CHP</t>
  </si>
  <si>
    <t xml:space="preserve">PRODUÇÃO DE EQUIPE 8,85 M³</t>
  </si>
  <si>
    <r>
      <rPr>
        <b/>
        <sz val="12"/>
        <rFont val="Arial"/>
      </rPr>
      <t xml:space="preserve">OBS: </t>
    </r>
    <r>
      <rPr>
        <sz val="12"/>
        <rFont val="Arial"/>
      </rPr>
      <t xml:space="preserve">O item E9775 da composição (data/base Sicro Outubro/25) foi reajustado para Novembro/25.</t>
    </r>
  </si>
  <si>
    <t xml:space="preserve">PAE 1215</t>
  </si>
  <si>
    <t xml:space="preserve">BOCA-DE-BUEIRO SIMPLES TUBULAR - BBST  D = 1,20M, EM CONCRETO CICLÓPICO COM 30% DE PEDRA-DE-MÃO, CONFORME PROJETO TIPO </t>
  </si>
  <si>
    <t xml:space="preserve">PAE 1216</t>
  </si>
  <si>
    <t xml:space="preserve">DEMOLIÇÃO DE BOCA DE LOBO, INCLUINDO CARGA E BOTA-FORA DO ENTULHO E REATERRO DA CAVA</t>
  </si>
  <si>
    <t xml:space="preserve">REF COMP SCHETTINI SR/0080</t>
  </si>
  <si>
    <t xml:space="preserve">DEMOLIÇÃO DE ALVENARIA DE TIJOLO MACIÇO, DE FORMA MANUAL, SEM REAPROVEITAMENTO. AF_12/2017</t>
  </si>
  <si>
    <t xml:space="preserve">ARGILA, ARGILA VERMELHA OU ARGILA ARENOSA (RETIRADA NA JAZIDA, SEM TRANSPORTE)                                                                                                                                                                                                                                                                                                                                                                                                                            </t>
  </si>
  <si>
    <t xml:space="preserve">DMT 15,00 Km</t>
  </si>
  <si>
    <t xml:space="preserve">PAE 1217</t>
  </si>
  <si>
    <t xml:space="preserve">ESGOTAMENTO DE ÁGUA COM BOMBA SUBMERSA</t>
  </si>
  <si>
    <t xml:space="preserve">REF COMP SCHETTINI DR/0050</t>
  </si>
  <si>
    <t xml:space="preserve">LOCACAO DE BOMBA SUBMERSIVEL PARA DRENAGEM E ESGOTAMENTO, MOTOR ELETRICO TRIFASICO, POTENCIA DE 3 CV, DIAMETRO DE RECALQUE DE 2". FAIXA DE OPERACAO: Q=84 M3/H (+ OU - 2,5 M3/H) E AMT=2 M; Q=9,1 M3/H (+ OU - 2 M3/H) E AMT = 12 M (+ OU - 2 M)                                                                                                                                                                                                                                                          </t>
  </si>
  <si>
    <t xml:space="preserve">GRUPO GERADOR - 13/14 KVA</t>
  </si>
  <si>
    <r>
      <rPr>
        <b/>
        <sz val="12"/>
        <rFont val="Arial"/>
      </rPr>
      <t xml:space="preserve">OBS: </t>
    </r>
    <r>
      <rPr>
        <sz val="12"/>
        <rFont val="Arial"/>
      </rPr>
      <t xml:space="preserve">O item E9066 da composição (data/base Sicro Outubro/25) foi reajustado para Novembro/25.</t>
    </r>
  </si>
  <si>
    <t xml:space="preserve">PAE 1218</t>
  </si>
  <si>
    <t xml:space="preserve">COLCHÃO DE RACHÃO E/OU PEDRA-DE-MÃO, FORNECIMENTO E ESPALHAMENTO MECANIZADO. EXCLUSIVE TRANSPORTE DA PEDRA </t>
  </si>
  <si>
    <t xml:space="preserve">REF IUD20012 - CONSUMO 1,10. MUDAMOS PARA CONSUMO 1,30</t>
  </si>
  <si>
    <t xml:space="preserve">PEDRA DE MÃO OU PEDRA RACHÃO PARA ARRIMO/FUNDAÇÃO (POSTO PEDREIRA/FORNECEDOR, SEM FRETE)</t>
  </si>
  <si>
    <t xml:space="preserve">PAE 1219</t>
  </si>
  <si>
    <t xml:space="preserve">BASE PARA PAVIMENTAÇÃO COM BRITA CORRIDA, INCLUSIVE COMPACTAÇÃO </t>
  </si>
  <si>
    <t xml:space="preserve">REF IUP30069 - CONSUMO 1,30. MUDAMOS PARA CONSUMO 1,375</t>
  </si>
  <si>
    <t xml:space="preserve">PEDRA BRITADA OU BICA CORRIDA, NÃO CLASSIFICADA (POSTO PEDREIRA/FORNECEDOR, SEM FRETE)</t>
  </si>
  <si>
    <t xml:space="preserve">PAE 1220</t>
  </si>
  <si>
    <t xml:space="preserve">DRENO LONGITUDINAL, ALTURA 1,50 M COM BRITA (20X20) CM, GEOCOMPOSTO DRENANTE E TUBO PEAD PERFURADO DN 100 MM, INCLUSIVE ESCAVAÇÃO E REATERRO</t>
  </si>
  <si>
    <t xml:space="preserve">REF LF/0025 SCHETTINI E 2004512 SICRO PRODUÇÃO DE EQUIPE 113,00</t>
  </si>
  <si>
    <t xml:space="preserve">PAE 1221</t>
  </si>
  <si>
    <t xml:space="preserve">BOCA-DE-BUEIRO SIMPLES TUBULAR - BBST  D = 1,00M, EM CONCRETO CICLÓPICO COM 30% DE PEDRA-DE-MÃO, CONFORME PROJETO TIPO </t>
  </si>
  <si>
    <t xml:space="preserve">REF COMP SCHETTINI DR/0320</t>
  </si>
  <si>
    <t xml:space="preserve">PAE 1222</t>
  </si>
  <si>
    <t xml:space="preserve">PINTURA DE FAIXA DE PEDESTRE/PISO PARA CICLOVIA COM TINTA RETRORREFLETIVA A BASE DE RESINA ACRÍLICA COM MICROESFERA DE VIDRO, APLICAÇÃO MANUAL</t>
  </si>
  <si>
    <t xml:space="preserve">FITA CREPE ROLO DE 25 MM X 50 M</t>
  </si>
  <si>
    <t xml:space="preserve">MICROESFERAS DE VIDRO PARA SINALIZACAO HORIZONTAL VIARIA, TIPO II-A (DROP-ON) - NBR  16184</t>
  </si>
  <si>
    <t xml:space="preserve">MICROESFERAS DE VIDRO PARA SINALIZACAO HORIZONTAL VIARIA, TIPO I-B (PREMIX) - NBR  16184</t>
  </si>
  <si>
    <t xml:space="preserve">PAE 1223</t>
  </si>
  <si>
    <t xml:space="preserve">PINTURA DE FAIXA (EIXO) PARA CICLOVIA COM TINTA RETRORREFLETIVA A BASE DE RESINA ACRÍLICA COM MICROESFERA DE VIDRO, APLICAÇÃO MECÂNICA COM DEMARCADORA AUTOPROPELIDA ESP=10 CM</t>
  </si>
  <si>
    <t xml:space="preserve">PAE 1224</t>
  </si>
  <si>
    <t xml:space="preserve">BARREIRA SIMPLES DE CONCRETO, NÃO ARMADA, MOLDADA NO LOCAL (PERFIL NEW JERSEY) - H = 810 + 100 MM</t>
  </si>
  <si>
    <t xml:space="preserve">REF COMP SCHETTINI SC/0240</t>
  </si>
  <si>
    <t xml:space="preserve">FÔRMA METÁLICA EM CHAPA 3/16" REFORÇADA COM NERVURAS DE 40 MM X 3/16" DISPOSTAS EM GRELHAS DE 40 X 60 CM - UTILIZAÇÃO DE 100 VEZES - CONFECÇÃO, INSTALAÇÃO E RETIRADA (REF SICRO, CÓD 3108072). </t>
  </si>
  <si>
    <t xml:space="preserve">PAE 1225</t>
  </si>
  <si>
    <t xml:space="preserve">REF COMP SCHETTINI EC/0130</t>
  </si>
  <si>
    <t xml:space="preserve">CHAPA DE ACO FINA A QUENTE BITOLA MSG 3/16 ", E = 4,75 MM (38,00 KG/M2)</t>
  </si>
  <si>
    <t xml:space="preserve">TUBO EM AÇO - E=3,00 MM E SEÇÃO DE 40 X 40 MM</t>
  </si>
  <si>
    <t xml:space="preserve">CORTE DE CHAPAS DE AÇO COM ESPESSURA DE 5 MM COM MAÇARICO OXIACETILENO (REF SICRO, CÓD 1400974).</t>
  </si>
  <si>
    <t xml:space="preserve">CORTE DE PERFIL METÁLICO COM MÁQUINA POLICORTE COM ESPESSURA DE ATÉ 1/8" (REF SICRO, CÓD 1419543).</t>
  </si>
  <si>
    <r>
      <rPr>
        <b/>
        <sz val="12"/>
        <rFont val="Arial"/>
      </rPr>
      <t xml:space="preserve">OBS: </t>
    </r>
    <r>
      <rPr>
        <sz val="12"/>
        <rFont val="Arial"/>
      </rPr>
      <t xml:space="preserve">O item M3947 da composição (data/base Sicro Outubro/25) foi reajustado para Novembro/25.</t>
    </r>
  </si>
  <si>
    <r>
      <rPr>
        <sz val="12"/>
        <rFont val="Arial"/>
      </rPr>
      <t xml:space="preserve">IR = 167,548 / 167,061 =</t>
    </r>
    <r>
      <rPr>
        <b/>
        <sz val="12"/>
        <rFont val="Arial"/>
      </rPr>
      <t xml:space="preserve"> 1,00291510</t>
    </r>
  </si>
  <si>
    <t xml:space="preserve">PAE 1226</t>
  </si>
  <si>
    <t xml:space="preserve">CORTE DE CHAPAS DE AÇO COM ESPESSURA DE 5 MM COM MAÇARICO OXIACETILENO (REF SICRO, CÓD 1400974). </t>
  </si>
  <si>
    <t xml:space="preserve">REF COMP SCHETTINI EC/0135</t>
  </si>
  <si>
    <t xml:space="preserve">APARELHO PARA CORTE E SOLDA OXI-ACETILENO SOBRE RODAS, INCLUSIVE CILINDROS E MAÇARICOS - CHP DIURNO. AF_12/2015</t>
  </si>
  <si>
    <t xml:space="preserve">PRODUÇÃO DE EQUIPE 41,55 M</t>
  </si>
  <si>
    <t xml:space="preserve">ACETILENO (RECARGA DE GAS ACETILENO PARA CILINDRO DE CONJUNTO OXICORTE GRANDE) NAO INCLUI TROCA/MANUTENCAO DO CILINDRO</t>
  </si>
  <si>
    <t xml:space="preserve">OXIGENIO, RECARGA PARA CILINDRO DE CONJUNTO OXICORTE GRANDE</t>
  </si>
  <si>
    <t xml:space="preserve">PAE 1227</t>
  </si>
  <si>
    <t xml:space="preserve">CORTE DE PERFIL METÁLICO COM MÁQUINA POLICORTE COM ESPESSURA DE ATÉ 1/8" (REF SICRO, CÓD 1419543).  </t>
  </si>
  <si>
    <t xml:space="preserve">REF COMP SCHETTINI SP/0115</t>
  </si>
  <si>
    <t xml:space="preserve">PRODUÇÃO DE EQUIPE 249,00 UN</t>
  </si>
  <si>
    <t xml:space="preserve">APARELHO PARA CORTE E SOLDA OXI-ACETILENO SOBRE RODAS, INCLUSIVE CILINDROS E MAÇARICOS - CHI DIURNO. AF_12/2015</t>
  </si>
  <si>
    <t xml:space="preserve">GRUPO GERADOR - 2,5/3 KVA</t>
  </si>
  <si>
    <t xml:space="preserve">DISCO DE CORTE ABRASIVO PARA POLICORTE - D = 300 MM</t>
  </si>
  <si>
    <r>
      <rPr>
        <b/>
        <sz val="12"/>
        <rFont val="Arial"/>
      </rPr>
      <t xml:space="preserve">OBS: </t>
    </r>
    <r>
      <rPr>
        <sz val="12"/>
        <rFont val="Arial"/>
      </rPr>
      <t xml:space="preserve">Os itens E9521 e M0076 da composição (data/base Sicro Outubro/25) foram reajustados para Novembro/25.</t>
    </r>
  </si>
  <si>
    <t xml:space="preserve">PAE 1228</t>
  </si>
  <si>
    <t xml:space="preserve">BLSP - BOCA-DE-LOBO SIMPLES COM CAIXA NO PASSEIO, EM CONCRETO SIMPLES FCK 20 MPA, INCLUINDO FORMA, ESCAVAÇÃO, LAJE E TAMPÃO EM F°F° PARA PASSEIO 47 X 70CM, CONFORME PROJETO </t>
  </si>
  <si>
    <t xml:space="preserve">REF COMP SCHETTINI DR/0250</t>
  </si>
  <si>
    <t xml:space="preserve">DMT 5,00 KM</t>
  </si>
  <si>
    <t xml:space="preserve">PAE 1229</t>
  </si>
  <si>
    <t xml:space="preserve">ALUGUEL DE BANHEIRO QUÍMICO, MANUTENÇÃO E HIGIENIZAÇÃO 3 VEZES POR SEMANA. </t>
  </si>
  <si>
    <t xml:space="preserve">ALUGUEL DE BANHEIRO QUÍMICO, MANUTENÇÃO E HIGIENIZAÇÃO 3 VEZES POR SEMANA.</t>
  </si>
  <si>
    <t xml:space="preserve">PAE 1230</t>
  </si>
  <si>
    <t xml:space="preserve">FABRICAÇÃO, MONTAGEM E DESMONTAGEM DE FÔRMA PARA CORTINA DE CONTENÇÃO EM CHAPA DE MADEIRA COMPENSADA RESINADA, E = 17 MM, 02 UTILIZAÇÕES </t>
  </si>
  <si>
    <t xml:space="preserve">REF SINAPI 100641 - ABRIL/2022</t>
  </si>
  <si>
    <t>MÊS</t>
  </si>
  <si>
    <t xml:space="preserve">CHAPA/PAINEL DE MADEIRA COMPENSADA RESINADA (MADEIRITE RESINADO ROSA) PARA FORMA DE CONCRETO, DE 2200 x 1100 MM, E = 17 MM</t>
  </si>
  <si>
    <t xml:space="preserve">PAE 1231</t>
  </si>
  <si>
    <t xml:space="preserve">BOCA DE BUEIRO DUPLO TUBULAR - BBDT  D = 1,20M, EM CONCRETO CICLÓPICO COM 30% DE PEDRA DE MÃO, CONFORME PROJETO TIPO </t>
  </si>
  <si>
    <t xml:space="preserve">PAE 1232</t>
  </si>
  <si>
    <t xml:space="preserve">EXECUÇÃO DE RIP-RAP COM SOLO LOCAL </t>
  </si>
  <si>
    <t xml:space="preserve">REF SINAPI 92123 E SICRO 1513941</t>
  </si>
  <si>
    <t xml:space="preserve">SACO DE RAFIA PARA ENTULHO, NOVO, LISO (SEM CLICHE), *60 x 90* CM</t>
  </si>
  <si>
    <t xml:space="preserve">PAE 1233</t>
  </si>
  <si>
    <t xml:space="preserve">PORTÃO DE MADEIRA EM CHAPA COMPENSADA PARA TAPUME, LARGURA 3 M E ALTURA 2 M</t>
  </si>
  <si>
    <t xml:space="preserve">REF TCPO INFRAESTRUTURA URBANA PÁG 21 - CÓD 50.002.000002.SER</t>
  </si>
  <si>
    <t xml:space="preserve">CAIBRO NAO APARELHADO  *7,5 X 7,5* CM, EM MACARANDUBA, ANGELIM OU EQUIVALENTE DA REGIAO -  BRUTA</t>
  </si>
  <si>
    <t xml:space="preserve">RIPA  APARELHADA *1,5 X 5* CM, EM MACARANDUBA, ANGELIM OU EQUIVALENTE DA REGIAO</t>
  </si>
  <si>
    <t xml:space="preserve">CHAPA/PAINEL DE MADEIRA COMPENSADA RESINADA (MADEIRITE RESINADO ROSA) PARA FORMA DE CONCRETO, DE 2200 x 1100 MM, E = 8 A 12 MM</t>
  </si>
  <si>
    <t xml:space="preserve">DOBRADICA EM ACO/FERRO, 3 1/2" X  3", E= 1,9  A 2 MM, COM ANEL,  CROMADO OU ZINCADO, TAMPA BOLA, COM PARAFUSOS</t>
  </si>
  <si>
    <t xml:space="preserve">FERROLHO COM FECHO CHATO E PORTA CADEADO , EM ACO GALVANIZADO / ZINCADO, DE SOBREPOR, COM COMPRIMENTO DE 6", CHAPA COM ESPESSURA MINIMA DE 1,70 MM E LARGURA /MINIMA DE 5,00 CM (FECHO REFORCADO) (INCLUI PARAFUSOS)</t>
  </si>
  <si>
    <t xml:space="preserve">PAE 1234</t>
  </si>
  <si>
    <t xml:space="preserve">LASTRO DE BRITA 1 </t>
  </si>
  <si>
    <t xml:space="preserve">PEDRA BRITADA N. 1 (9,5 a 19 MM) POSTO PEDREIRA/FORNECEDOR, SEM FRETE</t>
  </si>
  <si>
    <t xml:space="preserve">PAE 1235</t>
  </si>
  <si>
    <t xml:space="preserve">RETIRADA DE TRONCO E RAIZ DE ÁRVORE COM MOTOSSERRA COM DIÂMETRO &lt; 30CM, INCLUSIVE BOTA-FORA  (REF AGESUL, CÓD IUP30014).</t>
  </si>
  <si>
    <t xml:space="preserve">CONE DE SINALIZAÇÃO EM PVC RÍGIDO COM FAIXA REFLETIVA, H = 70/76 CM</t>
  </si>
  <si>
    <t xml:space="preserve">MOTOSSERRA COM MOTOR A GASOLINA - 2,30 K2W - CHP</t>
  </si>
  <si>
    <r>
      <rPr>
        <sz val="12"/>
        <rFont val="Arial"/>
      </rPr>
      <t xml:space="preserve">IR = 503,834 / 503,483 = </t>
    </r>
    <r>
      <rPr>
        <b/>
        <sz val="12"/>
        <rFont val="Arial"/>
      </rPr>
      <t>1,0069714</t>
    </r>
  </si>
  <si>
    <t xml:space="preserve">PAE 1236</t>
  </si>
  <si>
    <t xml:space="preserve">BLSP - BOCA-DE-LOBO SIMPLES COM CAIXA NO PASSEIO, EM CONCRETO SIMPLES FCK 20 MPA, INCLUINDO FORMA, LAJE E TAMPÃO EM F°F° PARA PASSEIO 47 X 70CM, CONFORME PROJETO, EXCETO SERVIÇOS EM TERRA</t>
  </si>
  <si>
    <t>PONTE</t>
  </si>
  <si>
    <t xml:space="preserve">LANÇAMENTO/APLICAÇÃO MANUAL DE CONCRETO EM FUNDAÇÕES (REF SINAPI, CÓD 74157/4.</t>
  </si>
  <si>
    <t xml:space="preserve">PAE 1237</t>
  </si>
  <si>
    <t xml:space="preserve">BLSC - BOCA-DE-LOBO SIMPLES, EM CONCRETO SIMPLES FCK 20 MPA, INCLUINDO FORMA, CALÇAMENTO AO REDOR E GRELHA EM AÇO CA-25, CONFORME PROJETO PADRÃO PMD - PREFEITURA MUNICIPAL DE DOURADOS, EXCETO SERVIÇOS EM TERRA</t>
  </si>
  <si>
    <t xml:space="preserve">PAE 1238</t>
  </si>
  <si>
    <t xml:space="preserve">BLDC - BOCA-DE-LOBO DUPLA, EM CONCRETO SIMPLES FCK 20 MPA, INCLUINDO FORMA,  CALÇAMENTO AO REDOR E GRELHAS EM AÇO CA-25, CONFORME PROJETO PADRÃO PMD - PREFEITURA MUNICIPAL DE DOURADOS, EXCETO SERVIÇOS EM TERRA</t>
  </si>
  <si>
    <t xml:space="preserve">PAE 1239</t>
  </si>
  <si>
    <t xml:space="preserve">BLTC - BOCA-DE-LOBO TRIPLA, EM CONCRETO SIMPLES FCK 20 MPA, INCLUINDO FORMA,  CALÇAMENTO AO REDOR E GRELHAS EM AÇO CA-25, CONFORME PROJETO PADRÃO PMD - PREFEITURA MUNICIPAL DE DOURADOS, EXCETO SERVIÇOS EM TERRA</t>
  </si>
  <si>
    <t xml:space="preserve">PAE 1240</t>
  </si>
  <si>
    <t xml:space="preserve">PV-1 - POÇO-DE-VISITA 2,32X2,32M, EM ALV. DE TIJ. COM. DE 1 VEZ ASS. E REV. INTERN. COM ARG. DE CIM. E AREIA 1:3, LAST. DE BRITA 12CM, BERÇO 18CM EM CONC. FCK=15MPA, LAJE DE 12CM EM CONC. ARMADO FCK=20MPA, INCL. FORMA, ESC. MANUAL E REAT. APILOADO, EXCETO SERVIÇOS EM TERRA</t>
  </si>
  <si>
    <t xml:space="preserve">PAE 1241</t>
  </si>
  <si>
    <t xml:space="preserve">BETONEIRA CAPACIDADE NOMINAL DE 400 L, CAPACIDADE DE MISTURA 280 L, MOTOR ELÉTRICO TRIFÁSICO POTÊNCIA DE 2 CV, SEM CARREGADOR - CHP DIURNO. AF_10/2014</t>
  </si>
  <si>
    <t xml:space="preserve">PAE 1242</t>
  </si>
  <si>
    <t xml:space="preserve">REF IUC10004</t>
  </si>
  <si>
    <t xml:space="preserve">PAE 1243</t>
  </si>
  <si>
    <t xml:space="preserve">LEVANTAMENTO OU REBAIXAMENTO DE TAMPÃO DE POÇO DE VISITA (REF AGESUL, CÓD IUC10016).</t>
  </si>
  <si>
    <t xml:space="preserve">PAE 1245</t>
  </si>
  <si>
    <t xml:space="preserve">DEMOLIÇÃO DE CONCRETO SIMPLES (REF AGESUL, CÓD IUC10026).</t>
  </si>
  <si>
    <t xml:space="preserve">PAE 1246</t>
  </si>
  <si>
    <t xml:space="preserve">ISOLAMENTO DE OBRA COM TELA PLÁSTICA LARANJA, ALTURA 1,20M, MALHA RETANGULAR E ESTRUTURA DE MADEIRA PONTALETEADA (REF AGESUL, CÓD IUC10027).</t>
  </si>
  <si>
    <t xml:space="preserve">TELA PLÁSTICA LARANJA, TIPO TAPUME PARA SINALIZAÇÃO, MALHA RETANGULAR, ROLO 1.20 X 50 M (LXC)</t>
  </si>
  <si>
    <t xml:space="preserve">TABUA DE MADEIRA NAO APARELHADA *2,5 X 10 CM (1 X 4 ") PINUS, MISTA OU EQUIVALENTE DA REGIAO</t>
  </si>
  <si>
    <t xml:space="preserve">PREGO DE AÇO POLIDO COM CABEÇA 18 X 27 (2 1/2 X 10)</t>
  </si>
  <si>
    <t xml:space="preserve">PAE 1247</t>
  </si>
  <si>
    <t xml:space="preserve">PV-1 - POÇO-DE-VISITA 2,32X2,32M, EM ALV. DE TIJ. COM. DE 1 VEZ ASS. E REV. INTERN. COM ARG. DE CIM. E AREIA 1:3, LAST. DE BRITA 12CM, BERÇO 18CM EM CONC. FCK=15MPA, LAJE DE 12CM EM CONC. ARMADO FCK=20MPA, INCL. FORMA, ESC. MANUAL E REAT. APILOADO  (REF AGESUL, CÓD IUD20013).</t>
  </si>
  <si>
    <t xml:space="preserve">REF IUD20013</t>
  </si>
  <si>
    <t xml:space="preserve">PAE 1248</t>
  </si>
  <si>
    <t xml:space="preserve">PV-2 - POÇO-DE-VISITA 2,32X2,95M, EM ALV. DE TIJ. COM. DE 1 VEZ ASS. E REV. INTERN. COM ARG. DE CIM. E AREIA 1:3, LAST. DE BRITA 12CM, BERÇO 18CM EM CONC. FCK=15MPA, LAJE DE 12CM EM CONC. ARMADO FCK=20MPA, INCL. FORMA, ESC. MANUAL E REAT. APILOADO (REF AGESUL, CÓD IUD20015).</t>
  </si>
  <si>
    <t xml:space="preserve">REF IUD20015</t>
  </si>
  <si>
    <t xml:space="preserve">PAE 1249</t>
  </si>
  <si>
    <t xml:space="preserve">PV-3-POÇO DE VIS. 2,32X3,95M, EM ALV. DE TIJ. COMUM DE 1 VEZ ASS. E REV. INTERN. COM ARG. DE CIM. E AREIA 1:3, LAST. DE BRITA 12CM, BERÇO 18CM EM CONC. 15MPA, LAJE DE 12CM EM CONC. ARM. 20MPA, INCL. FORMA, ESCAV. MANUAL E REAT. APILOADO. EXCL. PESC. E TAMP (REF AGESUL, CÓD IUD20054).</t>
  </si>
  <si>
    <t xml:space="preserve">REF IUD20054</t>
  </si>
  <si>
    <t xml:space="preserve">CONCRETO FCK = 20MPA, TRAÇO 1:2,7:3 (CIMENTO/ AREIA MÉDIA/ BRITA 1) - PREPARO MECÂNICO COM BETONEIRA 600 L. AF_07/2016</t>
  </si>
  <si>
    <t xml:space="preserve">PAE 1250</t>
  </si>
  <si>
    <t xml:space="preserve">PV-4 POÇO DE VISITA 2,32X5,42M, EM ALV. DE TIJ. COM. DE 1 VEZ ASS. E REV. INT C/ ARG. DE CIM./AREIA 1:3, LAST. DE BRITA 12CM, BERÇO 18CM EM CONC. 15MPA, LAJE DE 12CM EM CONC. ARM. 20MPA, INCL. FORMA, ESCAV. MANUAL E REAT. APILOADO, CONF. PROJ. TIPO (REF AGESUL, CÓD IUD20045).</t>
  </si>
  <si>
    <t xml:space="preserve">REF IUD20045</t>
  </si>
  <si>
    <t xml:space="preserve">PAE 1251</t>
  </si>
  <si>
    <t xml:space="preserve">PV-5 - POÇO DE VISITA 2,32X6,96M, EM ALVENARIA DE TIJOLO COMUM DE 1 VEZ ASSENTADA E REVESTIDA INTERNAMENTE COM ARGAMASSA DE CIMENTO E AREIA 1:3, LASTRO DE BRITA 12CM, BERÇO 18CM EM CONCRETO FCK = 15 MPA, LAJE DE 12CM EM CONCRETO ARMADO FCK = 20 MPA, INCLUINDO FORMA, ESCAVAÇÃO MANUAL E REATERRO APILOADO, CONFORME PROJETO TIPO. EXCLUSIVE PESCOÇO E TAMPÃO (REF AGESUL, CÓD IUD30006).</t>
  </si>
  <si>
    <t xml:space="preserve">REF IUD30006</t>
  </si>
  <si>
    <t xml:space="preserve">PREPARO DE FUNDO DE VALA COM LARGURA MAIOR OU IGUAL A 1,5 M E MENOR QUE 2,5 M, EM LOCAL COM NÍVEL ALTO DE INTERFERÊNCIA. AF_06/2016</t>
  </si>
  <si>
    <t xml:space="preserve">PREPARO DE FUNDO DE VALA COM LARGURA MAIOR OU IGUAL A 1,5 M E MENOR QUE 2,5 M, COM CAMADA DE BRITA, LANÇAMENTO MANUAL. AF_08/2020</t>
  </si>
  <si>
    <t xml:space="preserve">PAE 1252</t>
  </si>
  <si>
    <t xml:space="preserve">CP 1 - CAIXA DE PASSAGEM 2,32X2,32M, CONFORME PROJETO TIPO (REF AGESUL, CÓD IUD20016).</t>
  </si>
  <si>
    <t xml:space="preserve">REF IUD20016</t>
  </si>
  <si>
    <t xml:space="preserve">LIGAÇÃO PROVISÓRIA DE ÁGUA (REF AGESUL, CÓD IUD20017).</t>
  </si>
  <si>
    <t xml:space="preserve">KIT CAVALETE PVC COM REGISTRO 3/4" - FORNECIMENTO E INSTALAÇÃO (REF SINAPI, CÓD 74218/1).</t>
  </si>
  <si>
    <t xml:space="preserve">RAMAL PREDIAL EM TUBO PEAD 20MM - FORNECIMENTO, INSTALAÇÃO, ESCAVAÇÃO E REATERRO (REF SINAPI, CÓD 74253/1).</t>
  </si>
  <si>
    <t xml:space="preserve">LIGAÇÃO DA REDE 75MM AO RAMAL PREDIAL 1/2" (REF SINAPI, CÓD 83879).</t>
  </si>
  <si>
    <t xml:space="preserve">HIDRÔMETRO DN 20 (½), 3,0 M³/H ¿ FORNECIMENTO E INSTALAÇÃO. AF_11/2016</t>
  </si>
  <si>
    <t xml:space="preserve">CAIXA EM CONCRETO PRÉ-MOLDADO PARA ABRIGO DE HIDRÔMETRO COM DN 20 (½) ¿ FORNECIMENTO E INSTALAÇÃO. AF_11/2016</t>
  </si>
  <si>
    <t xml:space="preserve">PAE 1254</t>
  </si>
  <si>
    <t xml:space="preserve">REMOÇÃO DE CANALIZAÇÃO, Ø &lt;= 60 CM, EXCLUSIVE BOTA-FORA (REF AGESUL, CÓD IUD20055).</t>
  </si>
  <si>
    <t xml:space="preserve">PAE 1255</t>
  </si>
  <si>
    <t xml:space="preserve">REF IUD20058</t>
  </si>
  <si>
    <t xml:space="preserve">PAE 1256</t>
  </si>
  <si>
    <t xml:space="preserve">CP-1A - CAIXA DE PASSAGEM 1,70 X 1,70 M, EM ALVENARIA DE TIJOLO COMUM DE 1 VEZ ASSENTADA E REVESTIDA INTERNAMENTE COM ARGAMASSA DE CIMENTO E AREIA 1:3, LASTRO DE BRITA 12 CM, BERÇO DE 18 CM EM CONCRETO 15,0 MPA, LAJE DE 12 CM EM CONCRETO ARMADO 20,0 MPA (REF AGESUL, CÓD IUD20066).</t>
  </si>
  <si>
    <t xml:space="preserve">PROTEÇÃO MECÂNICA DE SUPERFÍCIE COM ARGAMASSA DE CIMENTO E AREIA, TRAÇO 1:3, E=2 CM (REF AGESUL, CÓD IUD10006).</t>
  </si>
  <si>
    <t xml:space="preserve">CHAPISCO APLICADO EM ALVENARIAS E ESTRUTURAS DE CONCRETO INTERNAS, COM COLHER DE PEDREIRO. ARGAMASSA TRAÇO 1:3 COM PREPARO EM BETONEIRA 400L. AF_06/2014</t>
  </si>
  <si>
    <t xml:space="preserve">PAE 1257</t>
  </si>
  <si>
    <t xml:space="preserve">REF IUD20068</t>
  </si>
  <si>
    <t xml:space="preserve">TIJOLO CERÂMICO MACIÇO *5 X 10 X 20* CM</t>
  </si>
  <si>
    <t xml:space="preserve">REF IUD20075</t>
  </si>
  <si>
    <t xml:space="preserve">PAE 1259</t>
  </si>
  <si>
    <t xml:space="preserve">REF IUD20080</t>
  </si>
  <si>
    <t xml:space="preserve">PAE 1260</t>
  </si>
  <si>
    <t xml:space="preserve">REMOÇÃO DE CANALIZAÇÃO Ø &gt; 0,60, EXCLUSIVE BOTA FORA (REF AGESUL, CÓD IUD20082).</t>
  </si>
  <si>
    <t xml:space="preserve">PAE 1261</t>
  </si>
  <si>
    <t xml:space="preserve">ESCAVAÇÃO MECÂNICA EM CAMPO ABERTO DE MATERIAL DE 1ª CATEGORIA, ATÉ 1,50M PROFUNDIDADE (REF AGESUL, CÓD IUD20085).</t>
  </si>
  <si>
    <t xml:space="preserve">códigos 84013 e 90991 foram substituídos - sumiram do sinapi</t>
  </si>
  <si>
    <t xml:space="preserve">PAE 1262</t>
  </si>
  <si>
    <t xml:space="preserve">CONCRETO CICLOPICO FCK=15MPA 30% PEDRA DE MAO INCLUSIVE LANCAMENTO (REF AGESUL, CÓD IUD20086).</t>
  </si>
  <si>
    <t xml:space="preserve">PAE 1263</t>
  </si>
  <si>
    <t xml:space="preserve">PV-1A - POÇO DE VISITA 1,70 X 1,70 M, EM ALVENARIA DE TIJOLO COMUM DE 1 VEZ ASSENTADA E REVESTIDA INTERNAMENTE COM ARGAMASSA DE CIMENTO E AREIA 1:3, LASTRO DE BRITA 12 CM, BERÇO DE 18 CM EM CONCRETO 15,0 MPA, LAJE DE 12 CM EM CONCRETO ARMADO 20,0 MPA  (REF AGESUL, CÓD IUD20093).</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</si>
  <si>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</si>
  <si>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PAE 1264</t>
  </si>
  <si>
    <t xml:space="preserve">SINALIZAÇÃO DE ADVERTÊNCIA DE OBRA COM PLACA (FUNDO LARANJA) SOBRE CAVALETE, CONFORME ABNT-NBR-7678 (REF AGESUL, CÓD IUI00003).</t>
  </si>
  <si>
    <t xml:space="preserve">PLACA DE OBRA (PARA CONSTRUÇÃO CIVIL) EM CHAPA GALVANIZADA *N. 22*, DE *2,0 X 1,125* M</t>
  </si>
  <si>
    <t xml:space="preserve">PREPARO DO SUB-LEITO, ESCAVAÇÃO E CARGA, EXCLUSIVE TRANSPORTE  (REF AGESUL, CÓD IUP10002).</t>
  </si>
  <si>
    <t xml:space="preserve">REF IUP10002</t>
  </si>
  <si>
    <t xml:space="preserve">PAE 1266</t>
  </si>
  <si>
    <t xml:space="preserve">MEIO-FIO COM SARJETA, CONCRETO FCK=15 MPA, SEÇÃO 615 CM², MOLDADO NO LOCAL, INCLUSIVE ESCAVAÇÃO E PINTURA A CAL EM UMA DEMÃO (REF AGESUL, CÓD IUP30001).</t>
  </si>
  <si>
    <t xml:space="preserve">REF IUP30001</t>
  </si>
  <si>
    <t xml:space="preserve">REF IUP30002</t>
  </si>
  <si>
    <t xml:space="preserve">PAE 1268</t>
  </si>
  <si>
    <t xml:space="preserve">REF IUP30003</t>
  </si>
  <si>
    <t xml:space="preserve">PAE 1269</t>
  </si>
  <si>
    <t xml:space="preserve">BASE ESTABILIZADA GRANULOMETRICAMENTE, COM MISTURA NA PISTA DE ATÉ TRÊS MATERIAIS - EXECUÇÃO (REF AGESUL, CÓD IUP30004).</t>
  </si>
  <si>
    <t xml:space="preserve">ROLO COMPACTADOR PÉ DE CARNEIRO VIBRATÓRIO, POTENCIA 125 HP, PESO OPERACIONAL SEM/COM LASTRO 11,95 / 13,30 T, IMPACTO DINÂMICO 38,5 / 22,5 T, LARGURA DE TRABALHO 2,15 M - CHP DIURNO. AF_06/2014</t>
  </si>
  <si>
    <t xml:space="preserve">ROLO COMPACTADOR PÉ DE CARNEIRO VIBRATÓRIO, POTENCIA 125 HP, PESO OPERACIONAL SEM/COM LASTRO 11,95 / 13,30 T, IMPACTO DINÂMICO 38,5 / 22,5 T, LARGURA DE TRABALHO 2,15 M - CHI DIURNO. AF_06/2014</t>
  </si>
  <si>
    <t xml:space="preserve">DEMOLIÇÃO DE PAVIMENTO ASFÁLTICO COM EMPREGO DE RETRO-ESCAVADEIRA E SERRA DE DISCO, EXCLUSIVE BOTA-FORA DO MATERIAL (REF AGESUL, CÓD IUP30005).</t>
  </si>
  <si>
    <t xml:space="preserve">REF IUP30005</t>
  </si>
  <si>
    <t xml:space="preserve">PAE 1271</t>
  </si>
  <si>
    <t xml:space="preserve">MEIO-FIO (GUIA), CONCRETO FCK = 15MPA, SEÇÃO 285CM2, MOLDADO NO LOCAL, INCLUSIVE ESCAVAÇÃO E PINTURA A CAL EM UMA DEMÃO (REF AGESUL, CÓD IUP30009).</t>
  </si>
  <si>
    <t xml:space="preserve">REF IUP30009</t>
  </si>
  <si>
    <t xml:space="preserve">TRANSPORTE COM CAMINHÃO BASCULANTE DE 10 M3, EM VIA URBANA PAVIMENTADA, DMT ACIMA DE 30KM (UNIDADE: M3XKM). AF_04/2016</t>
  </si>
  <si>
    <t xml:space="preserve">EXECUÇÃO DE IMPRIMAÇÃO MANUAL COM CANETA (PARA TAPA BURACOS) (REF AGESUL, CÓD IUP30026)</t>
  </si>
  <si>
    <t xml:space="preserve">FRESAGEM DESCONTÍNUA REVESTIMENTO BETUMINOSO (REF AGESUL, CÓD IUP30027).</t>
  </si>
  <si>
    <t xml:space="preserve">REF IUP30027</t>
  </si>
  <si>
    <t xml:space="preserve">EXECUÇÃO DE BASE ESTABILIZADA GRANULOMETRICAMENTE (PARA TAPA BURACO) (REF AGESUL, CÓD IUP30054).</t>
  </si>
  <si>
    <t xml:space="preserve">REF IUP30054</t>
  </si>
  <si>
    <t xml:space="preserve">PAE 1275</t>
  </si>
  <si>
    <t xml:space="preserve">BARRACÃO PARA DEPÓSITO EM TÁBUAS DE MADEIRA, COBERTURA EM FIBROCIMENTO 4MM,  INCLUSO PISO ARGAMASSA TRAÇO 1:6 (CIMENTO E AREIA) (REF AGESUL, CÓD IUSP00001).</t>
  </si>
  <si>
    <t xml:space="preserve">REF IUSP00001</t>
  </si>
  <si>
    <t xml:space="preserve">CONJUNTO DE FECHADURA DE SOBREPOR EM FERRO PINTADO, SEM MAÇANETA, COM CHAVE GRANDE (SEM CILINDRO) - TIPO CAIXÃO - COMPLETA</t>
  </si>
  <si>
    <t xml:space="preserve">DOBRADIÇA EM ACO/FERRO, 3" X 2 1/2", E= 1,2 A 1,8 MM, SEM ANEL, CROMADO OU ZINCADO, TAMPA BOLA, COM PARAFUSOS</t>
  </si>
  <si>
    <t xml:space="preserve">MADEIRA ROLIÇA SEM TRATAMENTO, EUCALIPTO OU EQUIVALENTE DA REGIÃO, H = 3 M, D = 8 A 11 CM (PARA ESCORAMENTO)</t>
  </si>
  <si>
    <t xml:space="preserve">RIPA DE MADEIRA NÃO APARELHADA *1,5 X 5* CM, MAÇARANDUBA, ANGELIM OU EQUIVALENTE DA REGIÃO</t>
  </si>
  <si>
    <t xml:space="preserve">TABUA DE MADEIRA NAO APARELHADA *2,5 X 30* CM, CEDRINHO OU EQUIVALENTE DA REGIAO</t>
  </si>
  <si>
    <t xml:space="preserve">PAE 1276</t>
  </si>
  <si>
    <t xml:space="preserve">FORNECIMENTO E INSTALAÇÃO DE PLACA DE SINALIZAÇÃO VERTICAL (ATÉ 0,36 M²), INCLUINDO SUPORTE DE MADEIRA FIXADO EM BASE DE CONCRETO NÃO ESTRUTURAL (REF AGESUL, CÓD IUS20001).</t>
  </si>
  <si>
    <t xml:space="preserve">REF IUS20001</t>
  </si>
  <si>
    <t xml:space="preserve">TRANSPORTE DE MATERIAL EM CAMINHÃO BASCULANTE, 10 M³, EM RODOVIA PAVIMENTADA (REF AGESUL, CÓD IUTR1003).</t>
  </si>
  <si>
    <t xml:space="preserve">REF IUTR1003</t>
  </si>
  <si>
    <t xml:space="preserve">EXECUÇÃO DE PINTURA DE LIGAÇÃO MANUAL COM CANETA (PARA TAPA BURACOS) (REF AGESUL, CÓD IUP30055).</t>
  </si>
  <si>
    <t xml:space="preserve">REF IUP30055</t>
  </si>
  <si>
    <t xml:space="preserve">PAE 1279</t>
  </si>
  <si>
    <t xml:space="preserve">LIMPEZA DE SUPERFICIES COM JATO DE AR COMPRIMIDO (REF AGESUL, CÓD IUC10044).</t>
  </si>
  <si>
    <t xml:space="preserve">REF IUC10044</t>
  </si>
  <si>
    <t xml:space="preserve">LAVADORA DE ALTA PRESSAO (LAVA-JATO) PARA AGUA FRIA, PRESSAO DE OPERACAO ENTRE 1400 E 1900 LIB/POL2, VAZAO MAXIMA ENTRE  400 E 700 L/H</t>
  </si>
  <si>
    <t>0,0000250</t>
  </si>
  <si>
    <t>0,1000000</t>
  </si>
  <si>
    <t xml:space="preserve">PAE 1280</t>
  </si>
  <si>
    <t xml:space="preserve"> ISOLAMENTO DE OBRA, COM TELA PLÁSTICA LARANJA TIPO TAPUME (REF AGESUL, CÓD IUSP0003).</t>
  </si>
  <si>
    <t xml:space="preserve">REF IUSP0003</t>
  </si>
  <si>
    <t xml:space="preserve">KG    </t>
  </si>
  <si>
    <t xml:space="preserve">PAE 1281</t>
  </si>
  <si>
    <t xml:space="preserve">CBUQ - APLICAÇÃO COM MOTONIVELADORA (REPERFILAMENTO). EXCLUSIVE FORNECIMENTO E TRANSPORTE (REF AGESUL, CÓD IUP30033).</t>
  </si>
  <si>
    <t xml:space="preserve">REF IUP30033</t>
  </si>
  <si>
    <t xml:space="preserve">PÁ CARREGADEIRA SOBRE RODAS, POTÊNCIA LÍQUIDA 128 HP, CAPACIDADE DA CAÇAMBA 1,7 A 2,8 M³, PESO OPERACIONAL 11632 KG - CHI DIURNO. AF_06/2014</t>
  </si>
  <si>
    <t xml:space="preserve">PÁ CARREGADEIRA SOBRE RODAS, POTÊNCIA LÍQUIDA 128 HP, CAPACIDADE DA CAÇAMBA 1,7 A 2,8 M³, PESO OPERACIONAL 11632 KG - CHP DIURNO. AF_06/2014</t>
  </si>
  <si>
    <t xml:space="preserve">PAE 1282</t>
  </si>
  <si>
    <t xml:space="preserve">REF 74218/1 - SINAPI JAN/2020</t>
  </si>
  <si>
    <t xml:space="preserve">FITA VEDA ROSCA EM ROLOS DE 18 MM X 10 M (L X C)</t>
  </si>
  <si>
    <t xml:space="preserve">PAE 1283</t>
  </si>
  <si>
    <t xml:space="preserve">REF 74253/1 - SINAPI JAN/2020</t>
  </si>
  <si>
    <t xml:space="preserve">PAE 1284</t>
  </si>
  <si>
    <t xml:space="preserve">REF 83879 - SINAPI JAN/2020</t>
  </si>
  <si>
    <t xml:space="preserve">FITA VEDA ROSCA EM ROLOS DE 18 MM X 50 M (L X C)</t>
  </si>
  <si>
    <t xml:space="preserve">PAE 1285</t>
  </si>
  <si>
    <t xml:space="preserve">ARGAMASSA TRAÇO 1:3 (CIMENTO E AREIA MÉDIA), PREPARO MANUAL. AF_08/2014</t>
  </si>
  <si>
    <t xml:space="preserve">PAE 1286</t>
  </si>
  <si>
    <t xml:space="preserve">PORTÃO DE MADEIRA EM CHAPA COMPENSADA PARA TAPUME, LARGURA 6 M E ALTURA 2 M</t>
  </si>
  <si>
    <t xml:space="preserve">PAE 1287</t>
  </si>
  <si>
    <t xml:space="preserve">FORNECIMENTO E INSTALAÇÃO DE PLACA MARCADORES DE PERIGO (0,20X0,60), INCLUINDO SUPORTE DE MADEIRA PINTADO A CAL FIXADO EM BASE DE CONCRETO NÃO ESTRUTURAL  </t>
  </si>
  <si>
    <t xml:space="preserve">PAE 1288</t>
  </si>
  <si>
    <t xml:space="preserve">REGULARIZAÇÃO DE FUNDO DE VALA, COM LARGURA MENOR QUE 1,50 M COM CAMADA DE BRITA 01, LANÇAMENTO MECANIZADO, EXCETO COMPACTAÇÃO.</t>
  </si>
  <si>
    <t xml:space="preserve">REFERENTE S 101616 - ABRIL/2021</t>
  </si>
  <si>
    <t xml:space="preserve">PAE 1289</t>
  </si>
  <si>
    <t xml:space="preserve">REGULARIZAÇÃO DE FUNDO DE VALA, COM LARGURA 1,50 M ≤ L ≤ 2,50 COM CAMADA DE BRITA 01, LANÇAMENTO MECANIZADO, EXCETO COMPACTAÇÃO.</t>
  </si>
  <si>
    <t xml:space="preserve">REFERENTE S 101617 - ABRIL/2021</t>
  </si>
  <si>
    <t xml:space="preserve">PAE 1290</t>
  </si>
  <si>
    <t xml:space="preserve">GEOGRELHA UNIDIRECIONAL EM POLIÉSTER - RESISTÊNCIA À TRAÇÃO LONGITUDINAL DE 90 KN/M - FORNECIMENTO E INSTALAÇÃO  (REF SICRO, CÓD 1516297).</t>
  </si>
  <si>
    <t xml:space="preserve">GEOGRELHA UNIDIRECIONAL EM POLIÉSTER - RESISTÊNCIA À TRAÇÃO LONGITUDINAL DE 90 KN/M</t>
  </si>
  <si>
    <t xml:space="preserve">REF SICRO 1516297</t>
  </si>
  <si>
    <r>
      <rPr>
        <b/>
        <sz val="12"/>
        <rFont val="Arial"/>
      </rPr>
      <t xml:space="preserve">OBS: </t>
    </r>
    <r>
      <rPr>
        <sz val="12"/>
        <rFont val="Arial"/>
      </rPr>
      <t xml:space="preserve">O item M1448 da composição (data/base Sicro Outubro/25) foi reajustado para Novembro/25.</t>
    </r>
  </si>
  <si>
    <t xml:space="preserve">PAE 1291</t>
  </si>
  <si>
    <t xml:space="preserve">GALERIA CELULAR EM ADUELA PRÉ-MOLDADA EM CONCRETO ARMADO, 2,50M X 2,50M (5000KG/M), ASSENTAMENTO E REJUNTAMENTO. EXCLUSIVE AQUISIÇÃO E TRANSPORTE.</t>
  </si>
  <si>
    <t xml:space="preserve">REF DR/0101 SCHETTINI </t>
  </si>
  <si>
    <t xml:space="preserve">PAE 1292</t>
  </si>
  <si>
    <t xml:space="preserve">BOCA DE BUEIRO DUPLO TUBULAR - BBDT  D = 1,50M, EM CONCRETO CICLÓPICO COM 30% DE PEDRA DE MÃO, CONFORME PROJETO TIPO </t>
  </si>
  <si>
    <t xml:space="preserve">PAE 1293</t>
  </si>
  <si>
    <t xml:space="preserve">REMOÇÃO DE CANALIZAÇÃO Ø 40 INCLUSIVE ESCAVAÇÃO E REATERRO, EXCLUSIVE BOTA-FORA  </t>
  </si>
  <si>
    <t xml:space="preserve">PAE 1294</t>
  </si>
  <si>
    <t xml:space="preserve">REMOÇÃO DE CERCA DE POSTES DE CONCRETO COM FECHAMENTO COM ARAME GALVANIZADO/ARAME FARPADO DE FORMA MANUAL, SEM REAPROVEITMENTO</t>
  </si>
  <si>
    <t xml:space="preserve">PAE 1295</t>
  </si>
  <si>
    <t xml:space="preserve">REMOÇÃO DE CERCA TIPO ALAMBRADO (H=2,0M) COM FECHAMENTO EM TELA METÁLICA E MURETA EM CONCRETO (H=0,30M) , SEM REAPROVEITAMENTO</t>
  </si>
  <si>
    <t xml:space="preserve">PAE 1296</t>
  </si>
  <si>
    <t xml:space="preserve">FORNECIMENTO E INSTALAÇÃO DE PLACA DE SINALIZAÇÃO VERTICAL (ATÉ 0,36 M²), INCLUINDO SUPORTE DE MATERIAL RECICLADO FIXADO EM BASE DE CONCRETO NÃO ESTRUTURAL</t>
  </si>
  <si>
    <t xml:space="preserve">SUPORTE PARA PLACA TAMANHO 90X90MM COM 3.0M COM TRATAMENTO UV MATERIAL RECICLADO REVESTIDO COM POLIPROPILENO E POLIETILENO NA COR BRANCA COM TAMPA PROTENDIDO COM 4 FIOS DE ARAME DE AÇO CARBONO DE ACORDO COM A NORMA NBR 5589/82, COM ESPESSURA MÍNIMA DE 1,5MM.</t>
  </si>
  <si>
    <t xml:space="preserve">PAE 1297</t>
  </si>
  <si>
    <t xml:space="preserve">TRANSPORTE COM CAMINHÃO CARROCERIA COM CAPACIDADE DE 11 T E COM GUINDAUTO DE 45 T.M - RODOVIA PAVIMENTADA (REF SICRO, CÓD 5915014).</t>
  </si>
  <si>
    <t>T.KM</t>
  </si>
  <si>
    <t xml:space="preserve">REF SICRO 5915014</t>
  </si>
  <si>
    <t xml:space="preserve">CAMINHÃO CARROCERIA COM GUINDAUTO  COM CAPACIDADE DE 45 T.M - 188 KW</t>
  </si>
  <si>
    <t xml:space="preserve">PRODUÇÃO DE EQUIPE 281,87 T.KM</t>
  </si>
  <si>
    <r>
      <rPr>
        <b/>
        <sz val="12"/>
        <rFont val="Arial"/>
      </rPr>
      <t xml:space="preserve">OBS: </t>
    </r>
    <r>
      <rPr>
        <sz val="12"/>
        <rFont val="Arial"/>
      </rPr>
      <t xml:space="preserve">O item E9041 da composição (data/base Sicro Outubro/25) foi reajustado para Novembro/25.</t>
    </r>
  </si>
  <si>
    <t xml:space="preserve">PAE 1298</t>
  </si>
  <si>
    <t xml:space="preserve">CAIXA EM ALVENARIA, DIMENSÃO INTERNA 1,20X1,20X1,00, PARA RECEBIMENTO DE ÁGUAS DE LENÇOL FREÁTICO COM EXECUÇÃO NO CALÇAMENTO, INCLUSIVE TAMPÃO</t>
  </si>
  <si>
    <t xml:space="preserve">ESCAVAÇÃO MECANIZADA DE VALA COM PROF. MAIOR QUE 1,5 M ATÉ 3,0 M (MÉDIA MONTANTE E JUSANTE/UMA COMPOSIÇÃO POR TRECHO),COM ESCAVADEIRA (1,2 M3),LARG. DE 1,5 M A 2,5 M, EM SOLO DE 1A CATEGORIA, LOCAIS COM BAIXO NÍVEL DE INTERFERÊNCIA. AF_02/2021</t>
  </si>
  <si>
    <t xml:space="preserve">ARMAÇÃO DE BLOCO, VIGA BALDRAME OU SAPATA UTILIZANDO AÇO CA-50 DE 6,3 MM - MONTAGEM. AF_06/2017</t>
  </si>
  <si>
    <t xml:space="preserve">TAMPAO FOFO SIMPLES COM BASE, CLASSE B125 CARGA MAX 12,5 T, REDONDO, TAMPA 600 MM (COM INSCRICAO EM RELEVO DO TIPO DE REDE)</t>
  </si>
  <si>
    <t xml:space="preserve">PAE 1299</t>
  </si>
  <si>
    <t xml:space="preserve">DRENO PROFUNDO CEGO DIMENSÃO 0,50X0,50, PROF. 1,20M COM MANTA GEOTÊXTIL RT-14 E BRITA 2+3</t>
  </si>
  <si>
    <t xml:space="preserve">ENCHIMENTO DE BRITA 2+3 PARA DRENO, LANÇAMENTO MANUAL</t>
  </si>
  <si>
    <t xml:space="preserve">PAE 1300</t>
  </si>
  <si>
    <t xml:space="preserve">DRENO PROFUNDO DIMENSÃO 0,50X0,50, PROF. 1,20M COM MANTA GEOTÊXTIL RT-14, BRITA 2+3 E TUBO POROSO Ø 200 M</t>
  </si>
  <si>
    <t xml:space="preserve">PAE 1301</t>
  </si>
  <si>
    <t xml:space="preserve">REF SINAPI 102719</t>
  </si>
  <si>
    <t xml:space="preserve">PAE 1302</t>
  </si>
  <si>
    <t xml:space="preserve">LAJE PROTENDIDA COM BLOCO DE POLIETILENO 25 CM, CAPEAMENTO DE 7,0 CM (FCK=25 MPA) COM MALHA Ø 6.3 MM ENTRE EIXOS DE 40 CM, DISTÂNCIA ENTRE EIXOS DAS VIGAS DE SUSTENTAÇÃO ATÉ 3,25 M.</t>
  </si>
  <si>
    <t xml:space="preserve">LAJE PROTENDIDA </t>
  </si>
  <si>
    <t xml:space="preserve">PAE 1303</t>
  </si>
  <si>
    <t xml:space="preserve">ALVENARIA DE BLOCOS DE CONCRETO 19 X 19 X 39 CM COM ESPESSURA DE 20 CM COM ARGAMASSA TRAÇO 1:3</t>
  </si>
  <si>
    <t xml:space="preserve">REF SICRO 0909620</t>
  </si>
  <si>
    <t xml:space="preserve">BLOCO DE CONCRETO ESTRUTURAL 19 X 19 X 39 CM, FBK 10 MPA (NBR 6136)                                                                                                                                                                                                                                                                                                                                                                                                                                       </t>
  </si>
  <si>
    <t xml:space="preserve">PRODUÇÃO DE EQUIPE 1,00000 M²</t>
  </si>
  <si>
    <t xml:space="preserve">ARGAMASSA TRAÇO 1:3 (EM VOLUME DE CIMENTO E AREIA GROSSA ÚMIDA), PREPARO MECÂNICO COM MISTURADOR DE EIXO HORIZONTAL DE 600 KG. AF_08/2019</t>
  </si>
  <si>
    <t xml:space="preserve">PAE 1304</t>
  </si>
  <si>
    <t xml:space="preserve">TENTO (ACABAMENTO DE LIMPA-RODAS), CONCRETO FCK = 20 MPA, SEÇÃO 1200 CM², MOLDADO NO LOCAL, INCLUSIVE ESCAVAÇÃO</t>
  </si>
  <si>
    <t xml:space="preserve">PAE 1305</t>
  </si>
  <si>
    <t xml:space="preserve">ENTRADA PARA DESCIDA D'ÁGUA - EDA 01 (REF SICRO, CÓD 2003385).</t>
  </si>
  <si>
    <t xml:space="preserve">PRODUÇÃO DE EQUIPE 1,00000 UN</t>
  </si>
  <si>
    <t xml:space="preserve">PAE 1306</t>
  </si>
  <si>
    <t xml:space="preserve">DESCIDA D'ÁGUA DE ATERROS TIPO RÁPIDO - DAR 02 (REF SICRO, CÓD 2003391).</t>
  </si>
  <si>
    <t xml:space="preserve">PAE 1307</t>
  </si>
  <si>
    <t xml:space="preserve">POÇO DE VISITA DE ALVENARIA EM TIJOLO CERÂMICO MACIÇO 5X10X20CM 1 VEZ (ESPESSURA 20 CM), ASSENTADO COM ARGAMASSA TRAÇO 1:3 (CIMENTO E AREIA), DIMENSÃO INTERNA 4,00x4,00x3,17 m</t>
  </si>
  <si>
    <t xml:space="preserve">CÁLCULO EM CIMA DO PROJETO ESTRUTURAL ANDRÉ</t>
  </si>
  <si>
    <t xml:space="preserve">Mário mudou para tijolo maciço 1 vez - 29/09/2022</t>
  </si>
  <si>
    <t>FORMA</t>
  </si>
  <si>
    <t>FUNDAÇÃO</t>
  </si>
  <si>
    <t>1.1.1</t>
  </si>
  <si>
    <t xml:space="preserve">FABRICAÇÃO, MONTAGEM E DESMONTAGEM DE FÔRMA PARA SAPATA, EM MADEIRA SERRADA, E=25 MM, 4 UTILIZAÇÕES. AF_06/2017</t>
  </si>
  <si>
    <t>1.1.2</t>
  </si>
  <si>
    <t>ESTRUTURA</t>
  </si>
  <si>
    <t>1.2.1</t>
  </si>
  <si>
    <t>1.2.2</t>
  </si>
  <si>
    <t>1.2.3</t>
  </si>
  <si>
    <t xml:space="preserve">CONCRETO FCK = 25,00 MPA</t>
  </si>
  <si>
    <t>2.1.1</t>
  </si>
  <si>
    <t>2.1.2</t>
  </si>
  <si>
    <t>2.2.1</t>
  </si>
  <si>
    <t>2.2.2</t>
  </si>
  <si>
    <t>FERRAGEM</t>
  </si>
  <si>
    <t>3.1.1</t>
  </si>
  <si>
    <t>3.1.2</t>
  </si>
  <si>
    <t>3.1.3</t>
  </si>
  <si>
    <t>3.2.1</t>
  </si>
  <si>
    <t>3.2.2</t>
  </si>
  <si>
    <t>3.2.4</t>
  </si>
  <si>
    <t>3.2.5</t>
  </si>
  <si>
    <t>CHAPISCO</t>
  </si>
  <si>
    <t xml:space="preserve">CHAPISCO APLICADO EM ALVENARIAS E ESTRUTURAS DE CONCRETO INTERNAS, COM COLHER DE PEDREIRO.  ARGAMASSA TRAÇO 1:3 COM PREPARO EM BETONEIRA 400L. AF_06/2014</t>
  </si>
  <si>
    <t>EMBOÇO</t>
  </si>
  <si>
    <t xml:space="preserve">6.1 </t>
  </si>
  <si>
    <t xml:space="preserve">PROTEÇÃO MECÂNICA DE SUPERFÍCIE COM ARGAMASSA DE CIMENTO E AREIA, TRAÇO 1:3, E=2 CM (REF SINAPI, CÓD 83748).</t>
  </si>
  <si>
    <t xml:space="preserve">PAE 1308</t>
  </si>
  <si>
    <t xml:space="preserve">REF SINAPI DEZEMBRO/2015 - CÓD. 83748</t>
  </si>
  <si>
    <t xml:space="preserve">PAE 1309</t>
  </si>
  <si>
    <t xml:space="preserve">SARJETÃO, CONCRETO FCK = 30 MPA, SEÇÃO 1140 CM², MOLDADO NO LOCAL.</t>
  </si>
  <si>
    <t xml:space="preserve">PAE 1310</t>
  </si>
  <si>
    <t xml:space="preserve">SARJETA TRAPEZOIDAL DE CONCRETO - SZC 02 (REF SICRO, CÓD 2003345).</t>
  </si>
  <si>
    <t xml:space="preserve">GUIA DE MADEIRA DE 2,5 X 7,0 CM - CONFECCÇÃO E INSTALAÇÃO</t>
  </si>
  <si>
    <r>
      <rPr>
        <b/>
        <sz val="12"/>
        <rFont val="Arial"/>
      </rPr>
      <t xml:space="preserve">OBS: </t>
    </r>
    <r>
      <rPr>
        <sz val="12"/>
        <rFont val="Arial"/>
      </rPr>
      <t xml:space="preserve">Os itens 2003842 e 3108018 da composição (data/base Sicro Outubro/25) foram reajustados para Novembro/25.</t>
    </r>
  </si>
  <si>
    <t xml:space="preserve">PAE 1311</t>
  </si>
  <si>
    <t xml:space="preserve">GALERIA CELULAR EM ADUELA PRÉ-MOLDADA EM CONCRETO ARMADO, 2,00M X 2,00M (4080KG/M), ASSENTAMENTO E REJUNTAMENTO. EXCLUSIVE AQUISIÇÃO E TRANSPORTE.</t>
  </si>
  <si>
    <t xml:space="preserve">REF DR/0096 SCHETTINI </t>
  </si>
  <si>
    <t xml:space="preserve">PAE 1312</t>
  </si>
  <si>
    <t xml:space="preserve">DRENO PROFUNDO EM REFORÇO DE PEDRA DE MÃO/RACHÃO COM DIMENSÃO 0,50X0,50, PROF. 1,20M COM MANTA GEOTÊXTIL RT-14, BRITA 2+3 E TUBO POROSO Ø 200 M - SEM ESCAVAÇÃO E REATERRO</t>
  </si>
  <si>
    <t xml:space="preserve">PAE 1313</t>
  </si>
  <si>
    <t xml:space="preserve">FORNECIMENTO E INSTALAÇÃO DE CONJUNTO DE PLACAS (PASSAGEM OBRIGATÓRIA E MARCADOR DE PERIGO) 0,30X0,90, INCLUINDO SUPORTE DE MADEIRA PINTADO A CAL FIXADO EM BASE DE CONCRETO NÃO ESTRUTURAL  </t>
  </si>
  <si>
    <t xml:space="preserve">PAE 1314</t>
  </si>
  <si>
    <t xml:space="preserve">CORTE RASO E RECORTE DE ÁRVORE COM DIÂMETRO DE TRONCO MENOR A 0,20 M.</t>
  </si>
  <si>
    <t xml:space="preserve">REFERÊNCIA CÓDIGO 98529 AGOSTO/2022</t>
  </si>
  <si>
    <t xml:space="preserve">PAE 1315</t>
  </si>
  <si>
    <t xml:space="preserve">REMOÇÃO DE RAÍZES REMANESCENTES DE TRONCO DE ÁRVORE COM DIÂMETRO MENOR A 0,20 M.</t>
  </si>
  <si>
    <t xml:space="preserve">REFERÊNCIA CÓDIGO 98526 AGOSTO/2022</t>
  </si>
  <si>
    <t xml:space="preserve">PAE 1316</t>
  </si>
  <si>
    <t xml:space="preserve">FORNECIMENTO E INSTALAÇÃO DE CONJUNTO DE PLACAS (ALARGAMENTO DE PISTA À ESQUERDA E INFORMAÇÕES COMPLEMENTARES) 0,50X0,25, INCLUINDO SUPORTE DE MADEIRA PINTADO A CAL FIXADO EM BASE DE CONCRETO NÃO ESTRUTURAL  </t>
  </si>
  <si>
    <t xml:space="preserve">PAE 1317</t>
  </si>
  <si>
    <t xml:space="preserve">TRANSPORTE COM CAMINHÃO BASCULANTE DE 10 M³ - RODOVIA PAVIMENTADA (REF SICRO, CÓD 5914389).</t>
  </si>
  <si>
    <t xml:space="preserve">PRODUÇÃO DE EQUIPE 373,50</t>
  </si>
  <si>
    <t xml:space="preserve">CAMINHÃO BASCULANTE COM CAPACIDADE DE 10 M³ - 188 KW</t>
  </si>
  <si>
    <r>
      <rPr>
        <b/>
        <sz val="12"/>
        <rFont val="Arial"/>
      </rPr>
      <t xml:space="preserve">OBS: </t>
    </r>
    <r>
      <rPr>
        <sz val="12"/>
        <rFont val="Arial"/>
      </rPr>
      <t xml:space="preserve">O item E9579 da composição (data/base Sicro Outubro/25) foi reajustado para Novembro/25.</t>
    </r>
  </si>
  <si>
    <r>
      <rPr>
        <sz val="12"/>
        <rFont val="Arial"/>
      </rPr>
      <t xml:space="preserve">IR = 590,669 / 590,239 = </t>
    </r>
    <r>
      <rPr>
        <b/>
        <sz val="12"/>
        <rFont val="Arial"/>
      </rPr>
      <t>1,00072852</t>
    </r>
  </si>
  <si>
    <t xml:space="preserve">PAE 1318</t>
  </si>
  <si>
    <t xml:space="preserve">TRANSPORTE DE MISTURA BETUMINOSA A QUENTE COM CAMINHÃO COM CAÇAMBA TÉRMICA DE 6 M³ - RODOVIA PAVIMENTADA (REF SICRO, CÓD 5914612).</t>
  </si>
  <si>
    <t xml:space="preserve">PRODUÇÃO DE EQUIPE 224,10</t>
  </si>
  <si>
    <t xml:space="preserve">CAMINHÃO COM CAÇAMBA TÉRMICA COM CAPACIDADE DE 6 M³ - 188 KW</t>
  </si>
  <si>
    <r>
      <rPr>
        <b/>
        <sz val="12"/>
        <rFont val="Arial"/>
      </rPr>
      <t xml:space="preserve">OBS: </t>
    </r>
    <r>
      <rPr>
        <sz val="12"/>
        <rFont val="Arial"/>
      </rPr>
      <t xml:space="preserve">O item E9520 da composição (data/base Sicro Outubro/25) foi reajustado para Novembro/25.</t>
    </r>
  </si>
  <si>
    <t xml:space="preserve">PAE 1320</t>
  </si>
  <si>
    <t xml:space="preserve">BLSCS - BOCA-DE-LOBO SIMPLES, EM CONCRETO SIMPLES FCK 20 MPA PARA SARJETÃO, INCLUINDO FORMA, ESCAVAÇÃO E GRELHA EM AÇO CA-25, CONFORME PROJETO PADRÃO PMD - PREFEITURA MUNICIPAL DE DOURADOS</t>
  </si>
  <si>
    <t>M³xKm</t>
  </si>
  <si>
    <t xml:space="preserve">PAE 1321</t>
  </si>
  <si>
    <t xml:space="preserve">GRELHA EM AÇO CA-25 PARA BOCAS DE LOBO - LARGURA 60 CM</t>
  </si>
  <si>
    <t xml:space="preserve">PAE 1322</t>
  </si>
  <si>
    <t xml:space="preserve">FORNECIMENTO E EXECUÇÃO DE TUBOS DE AÇO INDUSTRIAL - E 2 1/2" #14 PARA GUARDA CORPO (H=1,25M) - VÃO DE 1,50 M</t>
  </si>
  <si>
    <t xml:space="preserve">TUBO DE AÇO INDUSTRIAL - Ø 2 1/2" - #14</t>
  </si>
  <si>
    <t xml:space="preserve">PINTURA COM TINTA ALQUÍDICA DE ACABAMENTO (ESMALTE SINTÉTICO ACETINADO) PULVERIZADA SOBRE SUPERFÍCIES METÁLICAS (EXCETO PERFIL) EXECUTADO EM OBRA (POR DEMÃO). AF_01/2020_P</t>
  </si>
  <si>
    <t xml:space="preserve">ELETRODO REVESTIDO AWS - E-6013</t>
  </si>
  <si>
    <t xml:space="preserve">DISCO DE DESBASTE PARA METAL FERROSO EM GERAL, COM TRÊS TELAS, 9 X 1/4 X 7/8" (228,6 X 6,4 X 22,2 MM)</t>
  </si>
  <si>
    <t xml:space="preserve">PAE 1323</t>
  </si>
  <si>
    <t xml:space="preserve">FORNECIMENTO E EXECUÇÃO DE PILARETES METÁLICOS COM SEÇÃO DE 40X80#14 PARA  GUARDA CORPO(H=1,25 M) - VÃO DE 1,50 M, INCLUSIVE FUNDAÇÕES</t>
  </si>
  <si>
    <t xml:space="preserve">CHAPA DE AÇO FINA A QUENTE, BITOLA MSG 14  OU E=2 MM (16 KG/M²) - PARA PILARETES SEÇÃO (400 MM X 800 MM #14)</t>
  </si>
  <si>
    <t xml:space="preserve">CORTE DE CHAPA DE AÇO COM GUILHOTINA HIDRÁULICA</t>
  </si>
  <si>
    <t xml:space="preserve">DOBRAMENTO DE CHAPAS METÁLICAS COM ESPESSURAS DE 6,3 A 10 MM</t>
  </si>
  <si>
    <t xml:space="preserve">ELETRODO REVESTIDO AWS - E6013, DIAMETRO IGUAL A 2,50 MM                                                                                                                                                                                                                                                                                                                                                                                                                                                  </t>
  </si>
  <si>
    <t xml:space="preserve">DISCO DE DESBASTE PARA METAL FERROSO EM GERAL, COM TRES TELAS,  9 X 1/4 X 7/8 " ( 228,6 X 6,4 X 22,2 MM)                                                                                                                                                                                                                                                                                                                                                                                                  </t>
  </si>
  <si>
    <t xml:space="preserve">CONCRETAGEM DE BLOCOS DE COROAMENTO E VIGAS BALDRAMES, FCK 30 MPA, COM USO DE BOMBA  LANÇAMENTO, ADENSAMENTO E ACABAMENTO. AF_06/2017</t>
  </si>
  <si>
    <r>
      <rPr>
        <b/>
        <sz val="12"/>
        <rFont val="Arial"/>
      </rPr>
      <t xml:space="preserve">OBS: </t>
    </r>
    <r>
      <rPr>
        <sz val="12"/>
        <rFont val="Arial"/>
      </rPr>
      <t xml:space="preserve">Os itens 1400975 e 1400977 da composição (data/base Sicro Outubro/25) foram reajustados para Novembro/25.</t>
    </r>
  </si>
  <si>
    <r>
      <rPr>
        <sz val="12"/>
        <rFont val="Arial"/>
      </rPr>
      <t xml:space="preserve">IR = 167,548 / 167,061 = </t>
    </r>
    <r>
      <rPr>
        <b/>
        <sz val="12"/>
        <rFont val="Arial"/>
      </rPr>
      <t>100291510</t>
    </r>
  </si>
  <si>
    <t xml:space="preserve">PAE 1324</t>
  </si>
  <si>
    <t xml:space="preserve"> CBUQ - APLICAÇÃO MANUAL EM FECHAMENTO DE VALA E REMENDOS. INCLUINDO FORNECIMENTO DOS MATERIAIS E COMPACTAÇÃO COM ROLO TANDEM COMPACTO. EXCLUSIVE TRANSPORTE. (REF AGESUL, CÓD IUP30078)</t>
  </si>
  <si>
    <t xml:space="preserve">CONCRETO BETUMINOSO USINADO A QUENTE (CBUQ) PARA PAVIMENTAÇÃO ASFÁLTICA, PADRÃO DNIT, FAIXA C, COM CAP 50/70 - AQUISIÇÃO POSTO USINA</t>
  </si>
  <si>
    <t xml:space="preserve">PAE 1325</t>
  </si>
  <si>
    <t xml:space="preserve">BLSR - BOCA-DE-LOBO SIMPLES, EM CONCRETO SIMPLES FCK 20 MPA, INCLUINDO FORMA, ESCAVAÇÃO, CALÇAMENTO AO REDOR E GRELHA EM AÇO CA-25 (55X100)CM, CONFORME PROJETO - SEM GUIA CHAPÉU</t>
  </si>
  <si>
    <t xml:space="preserve">UTILIZADO NO RECAP</t>
  </si>
  <si>
    <t xml:space="preserve">Hmédia = 1,5 m</t>
  </si>
  <si>
    <t xml:space="preserve">PAE 1326</t>
  </si>
  <si>
    <t xml:space="preserve">BLDR - BOCA-DE-LOBO DUPLA, EM CONCRETO SIMPLES FCK 20 MPA, INCLUINDO FORMA, ESCAVAÇÃO, CALÇAMENTO AO REDOR E GRELHA EM AÇO CA-25 - (55X100)CM, CONFORME PROJETO - SEM GUIA CHAPÉU</t>
  </si>
  <si>
    <t xml:space="preserve">PAE 1327</t>
  </si>
  <si>
    <t xml:space="preserve">BLTR - BOCA-DE-LOBO TRIPLA, EM CONCRETO SIMPLES FCK 20 MPA, INCLUINDO FORMA, ESCAVAÇÃO, CALÇAMENTO AO REDOR E GRELHA EM AÇO CA-25 - (55X100)CM, CONFORME PROJETO - SEM GUIA CHAPÉU</t>
  </si>
  <si>
    <t xml:space="preserve">PAE 1328</t>
  </si>
  <si>
    <t xml:space="preserve">GRELHA (55 x 100) CM  EM AÇO CA-25 PARA BOCAS DE LOBO</t>
  </si>
  <si>
    <t xml:space="preserve">CANTONEIRA ACO ABAS IGUAIS (QUALQUER BITOLA), ESPESSURA ENTRE 1/8" E 1/4" - CHUMBADOR                                                                                                                                                                                                                                                                                                                                                                                                                                </t>
  </si>
  <si>
    <t xml:space="preserve">PAE 1329</t>
  </si>
  <si>
    <t xml:space="preserve">ENVELOPAMENTO COM TUBO DEFOFO  E 200 MM PARA DE REDE DE ESGOTO - FORNECIMENTO E EXECUÇÃO</t>
  </si>
  <si>
    <t xml:space="preserve">TUBO PVC DEFOFO, JEI, 1 MPA, DN 200 MM</t>
  </si>
  <si>
    <t xml:space="preserve">LIXA D'AGUA EM FOLHA, GRAO 100</t>
  </si>
  <si>
    <t xml:space="preserve">PAE 1330</t>
  </si>
  <si>
    <t xml:space="preserve">FORNECIMENTO E INSTALAÇÃO DE CONJUNTO DE PLACAS (ALARGAMENTO DE PISTA À ESQUERDA/DIREITA E INFORMAÇÕES COMPLEMENTARES) 0,50X0,25, INCLUINDO SUPORTE DE MATERIAL RECICLADO FIXADO EM BASE DE CONCRETO NÃO ESTRUTURAL  </t>
  </si>
  <si>
    <t xml:space="preserve">COMP PARA LOTEAMENTO - SUPORTE MATERIAL RECICLADO</t>
  </si>
  <si>
    <t xml:space="preserve">SUPORTE PARA PLACA TAMANHO 90X90MM COM 3.20M COM TRATAMENTO UV MATERIAL RECICLADO REVESTIDO COM POLIPROPILENO E POLIETILENO NA COR BRANCA COM TAMPA PROTENDIDO COM 4 FIOS DE ARAME DE AÇO CARBONO DE ACORDO COM A NORMA NBR 5589/82, COM ESPESSURA MÍNIMA DE 1,5MM.</t>
  </si>
  <si>
    <t xml:space="preserve">PAE 1331</t>
  </si>
  <si>
    <t xml:space="preserve">LASTRO OU ENROCAMENTO COM PEDRA DE MÃO OU RACHÃO COM FECHAMENTO EM BRITA 02 (ESP=10 CM), LANÇAMENTO MECANIZADO, LARGURA MENOR QUE 1,50 M.</t>
  </si>
  <si>
    <t xml:space="preserve">PAE 1332</t>
  </si>
  <si>
    <t xml:space="preserve">LASTRO OU ENROCAMENTO COM PEDRA DE MÃO OU RACHÃO COM FECHAMENTO EM BRITA 02 (ESP=10 CM), LANÇAMENTO MECANIZADO, LARGURA MAIOR OU IGUAL A 1,50 M E MENOR QUE 2,50 M.</t>
  </si>
  <si>
    <t xml:space="preserve">PAE 1333</t>
  </si>
  <si>
    <t xml:space="preserve">PV-1 - POÇO DE VISITA, COM DIMENSÕES INTERNAS DE 1,98M X 1,98M X 1,50M (BXBXH), EM ALVENARIA DE BLOCO DE CONCRETO ESTRUTURAL FBK 14MPA, CONFORME PROJETO TIPO. EXCLUSIVE PESCOÇO E TAMPÃO</t>
  </si>
  <si>
    <t xml:space="preserve">REF DR/0135 SCHETTINI</t>
  </si>
  <si>
    <t xml:space="preserve">LASTRO COM MATERIAL GRANULAR (PEDRA BRITADA N.1 E PEDRA BRITADA N.2), APLICADO EM PISOS OU LAJES SOBRE SOLO, ESPESSURA DE *10 CM*. AF_07/2019</t>
  </si>
  <si>
    <t xml:space="preserve">LASTRO DE CONCRETO MAGRO, APLICADO EM PISOS, LAJES SOBRE SOLO OU RADIERS. AF_08/2017</t>
  </si>
  <si>
    <t xml:space="preserve">BLOCO DE CONCRETO ESTRUTURAL 14 X 19 X 29 CM, FBK 14 MPA (NBR 6136)                                                                                                                                                                                                                                                                                                                                                                                                                                       </t>
  </si>
  <si>
    <t xml:space="preserve">MEIO BLOCO DE CONCRETO ESTRUTURAL 14 X 19 X 14 CM, FBK 14 MPA (NBR 6136)                                                                                                                                                                                                                                                                                                                                                                                                                                  </t>
  </si>
  <si>
    <t xml:space="preserve">CANALETA DE CONCRETO ESTRUTURAL 14 X 19 X 29 CM, FBK 14 MPA (NBR 6136)                                                                                                                                                                                                                                                                                                                                                                                                                                    </t>
  </si>
  <si>
    <t xml:space="preserve">TRELICA NERVURADA (ESPACADOR), ALTURA = 120,0 MM, DIAMETRO DOS BANZOS INFERIORES E SUPERIOR = 6,0 MM, DIAMETRO DA DIAGONAL = 4,2 MM                                                                                                                                                                                                                                                                                                                                                                       </t>
  </si>
  <si>
    <t>1.20</t>
  </si>
  <si>
    <t>1.21</t>
  </si>
  <si>
    <t xml:space="preserve">PAE 1334</t>
  </si>
  <si>
    <t xml:space="preserve">EXECUÇÃO E COMPACTAÇÃO DE BASE E OU SUB-BASE, ESTABILIZADO GRANULOMETRICAMENTE, SEM MISTURA, COM MATERIAL DE JAZIDA. EXCLUSIVE FORNECIMENTO E TRANSPORTE </t>
  </si>
  <si>
    <t xml:space="preserve">REF PA/0021 SCHETTINI</t>
  </si>
  <si>
    <t xml:space="preserve">PRODUÇÃO DE EQUIPE 28,75 m³</t>
  </si>
  <si>
    <t xml:space="preserve">ROLO COMPACTADOR DE PNEUS, ESTATICO, PRESSAO VARIAVEL, POTENCIA 110 HP, PESO SEM/COM LASTRO 10,8/27 T, LARGURA DE ROLAGEM 2,30 M - CHP DIURNO. AF_06/2017</t>
  </si>
  <si>
    <t xml:space="preserve">ROLO COMPACTADOR DE PNEUS, ESTATICO, PRESSAO VARIAVEL, POTENCIA 110 HP, PESO SEM/COM LASTRO 10,8/27 T, LARGURA DE ROLAGEM 2,30 M - CHI DIURNO. AF_06/2017</t>
  </si>
  <si>
    <t xml:space="preserve">PAE 1335</t>
  </si>
  <si>
    <t xml:space="preserve">SONDAGEM DE INVESTIGAÇÃO DE INTERFERÊNCIAS SUBTERRÂNEAS, INCLUINDO ESCAVAÇÕES MECÂNICA E MANUAL E REATERRO</t>
  </si>
  <si>
    <t xml:space="preserve">REF SP/0050 SCHETTINI</t>
  </si>
  <si>
    <t xml:space="preserve">ESCAVAÇÃO MECANIZADA DE VALA COM PROF. ATÉ 1,5 M (MÉDIA MONTANTE E JUSANTE/UMA COMPOSIÇÃO POR TRECHO), RETROESCAV. (0,26 M3), LARG. MENOR QUE 0,8 M, EM SOLO DE 1A CATEGORIA, EM LOCAIS COM ALTO NÍVEL DE INTERFERÊNCIA. AF_02/2021</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</si>
  <si>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</si>
  <si>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PAE 1336</t>
  </si>
  <si>
    <t xml:space="preserve">REPARO EM RAMAL DE LIGAÇÃO PREDIAL DE ÁGUA</t>
  </si>
  <si>
    <t xml:space="preserve">REF SP/0060 SCHETTINI</t>
  </si>
  <si>
    <t xml:space="preserve">TUBO DE POLIETILENO DE ALTA DENSIDADE (PEAD), PE-80, DE = 20 MM X 2,3 MM DE PAREDE, PARA LIGACAO DE AGUA PREDIAL (NBR 15561)                                                                                                                                                                                                                                                                                                                                                                              </t>
  </si>
  <si>
    <t xml:space="preserve">UNIAO EM POLIPROPILENO (PP), PARA TUBO EM PEAD, 20 MM - LIGACAO PREDIAL DE AGUA                                                                                                                                                                                                                                                                                                                                                                                                                           </t>
  </si>
  <si>
    <t xml:space="preserve">PAE 1337</t>
  </si>
  <si>
    <t xml:space="preserve">COLUNA SIMPLES DE 50,8 MM (2") DE DIÂMETRO, ESPESSURA DA PAREDE 2,75MM, ALTURA TOTAL DE 3500MM, EM AÇO GALVANIZADO POR IMERSÃO À QUENTE PARA SUPORTE DE PLACA DE SINALIZAÇÃO E FIXADO EM BASE DE CONCRETO ESTRUTURAL  - FORNECIMENTO E IMPLANTAÇÃO. INCLUSIVE SERVIÇO DE IMPLANTAÇÃO DA PLACA DE SINALIZAÇÃO</t>
  </si>
  <si>
    <t xml:space="preserve">REF SV/0090 SCHETTINI</t>
  </si>
  <si>
    <t xml:space="preserve">PAE 1338</t>
  </si>
  <si>
    <t xml:space="preserve">PLACA DE SINALIZAÇÃO DE ALUMÍNIO, ESPESSURA 1,5 MM, COM FUNDO, SÍMBOLOS E TARJAS EM PELÍCULA REFLETIVA COM ESFERAS INCLUSAS TIPO I-A DA NBR 14644 (GT/GT), INCLUSIVE ELEMENTOS DE FIXAÇÃO, CONFORME ESPECIFICAÇÃO AGETRAN/PMCG - INCLUSO FORNECIMENTO</t>
  </si>
  <si>
    <t xml:space="preserve">REF SV/0105 SCHETTINI</t>
  </si>
  <si>
    <t xml:space="preserve">PAE 1339</t>
  </si>
  <si>
    <t xml:space="preserve">PISO TÁTIL DE ALERTA OU DIRECIONAL COM LAJOTA CIMENTÍCIA  40X40X2,5CM, NAS CORES DA NBR 16537, ASSENTADO COM ARGAMASSA DE CIMENTO E AREIA 1:3</t>
  </si>
  <si>
    <t xml:space="preserve">REF SC/0080 SCHETTINI</t>
  </si>
  <si>
    <t xml:space="preserve">PISO PODOTATIL DE CONCRETO - DIRECIONAL E ALERTA, *40 X 40 X 2,5* CM                                                                                                                                                                                                                                                                                                                                                                                                                                      </t>
  </si>
  <si>
    <t xml:space="preserve">PAE 1340</t>
  </si>
  <si>
    <t xml:space="preserve">BOCA DE BSTC D = 1,00 M - ESCONSIDADE 0° - AREIA E BRITA COMERCIAIS - ALAS ESCONSAS (REF SICRO, CÓD 0804393).</t>
  </si>
  <si>
    <t xml:space="preserve">PAE 1341</t>
  </si>
  <si>
    <t xml:space="preserve">DISSIPADOR DE ENERGIA - DEB 05 - AREIA, BRITA E PEDRA DE MÃO COMERCIAIS (REF SICRO, CÓD 2003457).</t>
  </si>
  <si>
    <t xml:space="preserve">M³    </t>
  </si>
  <si>
    <t xml:space="preserve">PAE 1342</t>
  </si>
  <si>
    <t xml:space="preserve">ENTRADA PARA DESCIDA D'ÁGUA - EDA 02 (REF SICRO, CÓD 2003387).</t>
  </si>
  <si>
    <t xml:space="preserve">PAE 1343</t>
  </si>
  <si>
    <t xml:space="preserve">CONFECÇÃO E FIXAÇÃO DE SUPORTE E TRAVESSA PARA PLACA DE SINALIZAÇÃO (REF AGESUL, CÓD IUS20003).</t>
  </si>
  <si>
    <t xml:space="preserve">SARRAFO DE MADEIRA NÃO APARELHADA *2,5 X 10 CM, MAÇARANDUBA, ANGELIM OU EQUIVALENTE DA REGIÃO</t>
  </si>
  <si>
    <t xml:space="preserve">LANCAMENTO/APLICAÇÃO MANUAL DE CONCRETO EM FUNDAÇÕES (REF. SINAPI 74157/4)</t>
  </si>
  <si>
    <t xml:space="preserve">TINTA ESMALTE SINTÉTICO PREMIUM FOSCO</t>
  </si>
  <si>
    <t xml:space="preserve">PAE 1344</t>
  </si>
  <si>
    <t xml:space="preserve">PISO TÁTIL DE ALERTA OU DIRECIONAL COM LAJOTA  20X20X2,0CM, ASSENTADO COM ARGAMASSA DE CIMENTO E AREIA 1:3</t>
  </si>
  <si>
    <t xml:space="preserve">LADRILHO HIDRAULICO, *20 X 20* CM, E= 2 CM, TATIL ALERTA OU DIRECIONAL, AMARELO                                                                                                                                                                                                                                                                                                                                                                                                                           </t>
  </si>
  <si>
    <t xml:space="preserve">PAE 1345</t>
  </si>
  <si>
    <t xml:space="preserve">FORNECIMENTO E INSTALAÇÃO DE CONJUNTO DE PLACAS (PASSAGEM OBRIGATÓRIA E MARCADOR DE PERIGO) 0,20X0,60, INCLUINDO SUPORTE EM AÇO GALVANIZADO FIXADO EM BASE DE CONCRETO ESTRUTURAL</t>
  </si>
  <si>
    <t xml:space="preserve">REF SV/0090 SCHETTINI - USADO EM IVINHEMA</t>
  </si>
  <si>
    <t xml:space="preserve">PAE 1346</t>
  </si>
  <si>
    <t xml:space="preserve">BLSC - BOCA-DE-LOBO SIMPLES EM CONCRETO SIMPLES FCK 20 MPA, INCLUINDO FORMA, ESCAVAÇÃO, SARJETA DE CONTORNO (CHAMA) EM CONCRETO E GRELHA EM F°F° TIPO PESADA, CONFORME PROJETO </t>
  </si>
  <si>
    <t xml:space="preserve">REF DR/0265 SCHETTINI</t>
  </si>
  <si>
    <t xml:space="preserve">COMPACTAÇÃO MECÂNICA DE SOLO PARA EXECUÇÃO DE RADIER, COM COMPACTADOR DE SOLOS A PERCUSSÃO. AF_09/2017</t>
  </si>
  <si>
    <t xml:space="preserve">GRELHA FOFO ARTICULADA, CARGA MÁXIMA 40 T, 415 X 955 MM, PARA BOCA DE LOBO, NBR 10160 E NBR 6916 / FE 42012                                                                                                                                                                                                                                                                                                                                                                                                                            </t>
  </si>
  <si>
    <t xml:space="preserve">PAE 1347</t>
  </si>
  <si>
    <t xml:space="preserve">BLDC - BOCA-DE-LOBO DUPLA EM CONCRETO SIMPLES FCK 20 MPA, INCLUINDO FORMA, ESCAVAÇÃO, SARJETA DE CONTORNO (CHAMA) EM CONCRETO E GRELHAS EM F°F° TIPO PESADA, CONFORME PROJETO </t>
  </si>
  <si>
    <t xml:space="preserve">REF DR/0270 SCHETTINI</t>
  </si>
  <si>
    <t xml:space="preserve">PAE 1348</t>
  </si>
  <si>
    <t xml:space="preserve">BLTC - BOCA-DE-LOBO TRIPLA EM CONCRETO SIMPLES FCK 20 MPA, INCLUINDO FORMA, ESCAVAÇÃO, SARJETA DE CONTORNO (CHAMA) EM CONCRETO E GRELHAS EM F°F° TIPO PESADA, CONFORME PROJETO </t>
  </si>
  <si>
    <t xml:space="preserve">REF DR/0275 SCHETTINI</t>
  </si>
  <si>
    <t xml:space="preserve">PAE 1349</t>
  </si>
  <si>
    <t xml:space="preserve">FORNECIMENTO E INSTALAÇÃO DE PLACA DE SINALIZAÇÃO VERTICAL COM PINTURA REFLETIVA (ATÉ 0,36 M²), INCLUINDO SUPORTE METÁLICO GALVANIZADO Φ 2".</t>
  </si>
  <si>
    <t xml:space="preserve">REF COMP PAE 1177</t>
  </si>
  <si>
    <t xml:space="preserve">TUBO ACO GALVANIZADO COM COSTURA, CLASSE LEVE, DN 50 MM ( 2"),  E = 3,00 MM,  *4,40* KG/M (NBR 5580) - H MÉDIO = 3,20M</t>
  </si>
  <si>
    <t xml:space="preserve">PAE 1350</t>
  </si>
  <si>
    <t xml:space="preserve">EXECUÇÃO DE ONDULAÇÃO TRANSVERSAL TIPO B EM CBUQ -  LARGURA 7,40 M, COMPRIMENTO 1,50 M E ALTURA 0,08 M.</t>
  </si>
  <si>
    <t xml:space="preserve">REF SINAPI 95995</t>
  </si>
  <si>
    <t xml:space="preserve">PAE 1351</t>
  </si>
  <si>
    <t xml:space="preserve">EXECUÇÃO DE ONDULAÇÃO TRANSVERSAL TIPO B EM CBUQ -  LARGURA 11,40 M, COMPRIMENTO 1,50 M E ALTURA 0,08 M.</t>
  </si>
  <si>
    <t xml:space="preserve">PAE 1352</t>
  </si>
  <si>
    <t xml:space="preserve">FORNECIMENTO E INSTALAÇÃO DE CONJUNTO DE PLACAS (VELOCIDADE MÁXIMA PERMITIDA E LOMBADA),   INCLUINDO SUPORTE METÁLICO GALVANIZADO Φ 2".</t>
  </si>
  <si>
    <t xml:space="preserve">PAE 1353</t>
  </si>
  <si>
    <t xml:space="preserve">FORNECIMENTO E INSTALAÇÃO DE CONJUNTO DE PLACAS (PASSAGEM
OBRIGATÓRIA E MARCADOR DE PERIGO
0,20X0,60),   INCLUINDO SUPORTE METÁLICO GALVANIZADO Φ 2".</t>
  </si>
  <si>
    <t xml:space="preserve">PAE 1354</t>
  </si>
  <si>
    <t xml:space="preserve">BASE PARA PAVIMENTAÇÃO, INCLUSIVE COMPACTAÇÃO, EXCETO AQUISIÇÃO DE BICA CORRIDA.</t>
  </si>
  <si>
    <t xml:space="preserve">REF IUP30069</t>
  </si>
  <si>
    <t xml:space="preserve">PAE 1355</t>
  </si>
  <si>
    <t xml:space="preserve">BLTP - BOCA-DE-LOBO TRIPLA COM CAIXA NO PASSEIO, EM CONCRETO SIMPLES FCK 20 MPA, INCLUINDO FORMA, ESCAVAÇÃO, LAJE E TAMPÃO EM F°F° PARA PASSEIO 47 X 70CM, CONFORME PROJETO </t>
  </si>
  <si>
    <t xml:space="preserve">REF COMP SCHETTINI DR/0260</t>
  </si>
  <si>
    <t xml:space="preserve">PAE 1356</t>
  </si>
  <si>
    <t xml:space="preserve">FORNECIMENTO E INSTALAÇÃO DE CONJUNTO DE PLACAS (PROIBIDO PARAR E ESTACIONAR E VELOCIDADE MÁXIMA PERMITIDA),   INCLUINDO SUPORTE METÁLICO GALVANIZADO Φ 2".</t>
  </si>
  <si>
    <t xml:space="preserve">PAE 1357</t>
  </si>
  <si>
    <t xml:space="preserve">CARREGADEIRA SOBRE PNEU, DUMPER, 13 HP - 9,6 kW, CAPACIDADE 0,85 M³</t>
  </si>
  <si>
    <t xml:space="preserve">REF TCPO 15ª EDIÇÃO - FEV/2023</t>
  </si>
  <si>
    <t xml:space="preserve">OLEO DIESEL COMBUSTIVEL COMUM                                                                                                                                                                                                                                                                                                                                                                                                                                                                             </t>
  </si>
  <si>
    <t xml:space="preserve">GRAXA LUBRIFICANTE                                                                                                                                                                                                                                                                                                                                                                                                                                                                                        </t>
  </si>
  <si>
    <t xml:space="preserve">PNEU 6X16X8 COM CÂMARA</t>
  </si>
  <si>
    <t xml:space="preserve">TAXA DE MANUTENÇÃO DO EQUIPAMENTO: CARREGADEIRA SOBRE PNEUS, DUMPER, 13 HP - 9,6 KW, CAPACIDADE 0,85 M³</t>
  </si>
  <si>
    <t xml:space="preserve">TAXA DE DEPRECIAÇÃO DO EQUIPAMENTO: CARREGADEIRA SOBRE PNEUS, DUMPER, 13 HP - 9,6 KW, CAPACIDADE 0,85 M³</t>
  </si>
  <si>
    <t xml:space="preserve">TAXA DE JUROS SOBRE CAPITAL DO EQUIPAMENTO: CARREGADEIRA SOBRE PNEUS, DUMPER, 13 HP - 9,6 KW, CAPACIDADE 0,85 M³</t>
  </si>
  <si>
    <t xml:space="preserve">TAXA DE SEGURO PATRIMONIAL DO EQUIPAMENTO: CARREGADEIRA SOBRE PNEUS, DUMPER, 13 HP - 9,6 KW, CAPACIDADE 0,85 M³</t>
  </si>
  <si>
    <t xml:space="preserve">PAE 1358</t>
  </si>
  <si>
    <t xml:space="preserve">PAE 1359</t>
  </si>
  <si>
    <t xml:space="preserve">FORNECIMENTO E INSTALAÇÃO DE CONJUNTO DE PLACAS (DÊ A PREFERÊNCIA E SENTIDO DE CIRCULAÇÃO NA ROTATÓRIA),   INCLUINDO SUPORTE METÁLICO GALVANIZADO Φ 2".</t>
  </si>
  <si>
    <t xml:space="preserve">PAE 1360</t>
  </si>
  <si>
    <t xml:space="preserve">LASTRO OU ENROCAMENTO COM PEDRA DE MÃO OU RACHÃO COM FECHAMENTO EM BRITA 02 (ESP=10 CM), LANÇAMENTO MECANIZADO, LARGURA MENOR QUE 1,50 M, COM RETROESCAVADEIRA</t>
  </si>
  <si>
    <t xml:space="preserve">PAE 1361</t>
  </si>
  <si>
    <t xml:space="preserve">LASTRO OU ENROCAMENTO COM PEDRA DE MÃO OU RACHÃO COM FECHAMENTO EM BRITA 02 (ESP=10 CM), LANÇAMENTO MECANIZADO, LARGURA MAIOR OU IGUAL A 1,50 M E MENOR QUE 2,50 M, COM RETROESCAVADEIRA</t>
  </si>
  <si>
    <t xml:space="preserve">PAE 1362</t>
  </si>
  <si>
    <t xml:space="preserve">MURETA PARA CONTENÇÃO LATERAL DE RAMPA EM ALVENARIA DE TIJOLOS MACIÇOS, ALTURA 25 CM, COMPRIMENTO 4,30M, COM CHAPISCO NO TRAÇO 1:3 E EMBOÇO NO TRAÇO 1:2:8, CONFORME DETALHE</t>
  </si>
  <si>
    <t>(0,125+0,20)x0,25x4,30</t>
  </si>
  <si>
    <t>(0,125+0,20)x0,25x4,30-0,25x0,12x4,30</t>
  </si>
  <si>
    <t>0,125x4,30</t>
  </si>
  <si>
    <t>0,25x4,30</t>
  </si>
  <si>
    <t>0,10x4,30+(0,085/2)x2,80+0,085*1,50</t>
  </si>
  <si>
    <t xml:space="preserve">PAE 1363</t>
  </si>
  <si>
    <t xml:space="preserve">FORNECIMENTO E INSTALAÇÃO DE CONJUNTO DE PLACAS (PARADA OBRIGATÓRIA E RUA SEM SAIDA),   INCLUINDO SUPORTE METÁLICO GALVANIZADO Φ 2".</t>
  </si>
  <si>
    <t xml:space="preserve">PAE 1364</t>
  </si>
  <si>
    <t xml:space="preserve">REFERENTE SICRO 4011482 - JAN/2023</t>
  </si>
  <si>
    <t xml:space="preserve">CIMENTO PORTLAND COMUM CP I-32</t>
  </si>
  <si>
    <t xml:space="preserve">PRODUÇÃO DE EQUIPE 36,34 M³ (40% DE 90,84)</t>
  </si>
  <si>
    <t xml:space="preserve">DENTE DE CORTE PARA RECICLADORA</t>
  </si>
  <si>
    <t xml:space="preserve">PORTA DENTE DE CORTE PARA FRESADORA E RECICLADORA A FRIO</t>
  </si>
  <si>
    <t xml:space="preserve">DISTRIBUIDOR DE AGREGADOS AUTOPROPELIDO, CAP 3 M3, A DIESEL, POTÊNCIA 176 CV - CHP DIURNO. AF_07/2016</t>
  </si>
  <si>
    <t xml:space="preserve">DISTRIBUIDOR DE AGREGADOS AUTOPROPELIDO, CAP 3 M3, A DIESEL, POTÊNCIA 176 CV - CHI DIURNO. AF_07/2016</t>
  </si>
  <si>
    <t xml:space="preserve">CAMINHÃO PIPA 10.000 L TRUCADO, PESO BRUTO TOTAL 23.000 KG, CARGA ÚTIL MÁXIMA 15.935 KG, DISTÂNCIA ENTRE EIXOS 4,8M, POTÊNCIA 230 CV, INCLUSIVE TANQUE DE AÇO PARA TRANSPORTE DE ÁGUA - CHP DIURNO, AF 06/2014</t>
  </si>
  <si>
    <t xml:space="preserve">CAMINHÃO PIPA 10.000 L TRUCADO, PESO BRUTO TOTAL 23.000 KG, CARGA ÚTIL MÁXIMA 15.935 KG, DISTÂNCIA ENTRE EIXOS 4,8M, POTÊNCIA 230 CV, INCLUSIVE TANQUE DE AÇO PARA TRANSPORTE DE ÁGUA - CHI DIURNO, AF 06/2014</t>
  </si>
  <si>
    <t xml:space="preserve">PAE 1365</t>
  </si>
  <si>
    <t xml:space="preserve">RECICLAGEM COM ADIÇÃO DE 2% DE CIMENTO E INCORPORAÇÃO DO REVESTIMENTO ASFÁLTICO À BASE (REF SICRO, CÓD 4011482). </t>
  </si>
  <si>
    <t xml:space="preserve">PAE 1366</t>
  </si>
  <si>
    <t xml:space="preserve">RECICLAGEM COM ADIÇÃO DE PÓ DE PEDRA E INCORPORAÇÃO DO REVESTIMENTO ASFÁLTICO À BASE (REF SICRO, CÓD 4011484). </t>
  </si>
  <si>
    <t>PÓ-DE-PEDRA</t>
  </si>
  <si>
    <t xml:space="preserve">PAE 1367</t>
  </si>
  <si>
    <t xml:space="preserve">RECICLAGEM SIMPLES COM INCORPORAÇÃO DO REVESTIMENTO ASFÁLTICO À BASE (REF SICRO, CÓD 4011481). </t>
  </si>
  <si>
    <t xml:space="preserve">PAE 1368</t>
  </si>
  <si>
    <t xml:space="preserve">FRESAGEM DESCONTÍNUA DE REVESTIMENTO ASFÁLTICO (REF SICRO, CÓD 4011480).</t>
  </si>
  <si>
    <t xml:space="preserve">REF SICRO 4011480 </t>
  </si>
  <si>
    <t xml:space="preserve">PRODUÇÃO DE EQUIPE 49,20 M³</t>
  </si>
  <si>
    <t xml:space="preserve">SOPRADOR DE AR COSTAL - 2,6 KW</t>
  </si>
  <si>
    <t xml:space="preserve">PAE 1369</t>
  </si>
  <si>
    <t xml:space="preserve">FRESAGEM CONTÍNUA DE REVESTIMENTO ASFÁLTICO (REF SICRO, CÓD 4011479).</t>
  </si>
  <si>
    <t xml:space="preserve">REF SICRO 4011479</t>
  </si>
  <si>
    <t xml:space="preserve">PRODUÇÃO DE EQUIPE 99,60 M³</t>
  </si>
  <si>
    <t xml:space="preserve">PAE 1370</t>
  </si>
  <si>
    <t xml:space="preserve">REMENDO PROFUNDO 1 - ESPESSURA BASE = 15 CM E CAPA = 3,00  CM</t>
  </si>
  <si>
    <t xml:space="preserve">EXECUÇÃO DE IMPRIMAÇÃO MANUAL COM CANETA (PARA TAPA BURACOS).</t>
  </si>
  <si>
    <t xml:space="preserve">TRANSPORTE COM CAMINHÃO TANQUE DE TRANSPORTE DE MATERIAL ASFÁLTICO DE 30000 L, EM VIA URBANA PAVIMENTADA, DMT ATÉ 30KM (UNIDADE: TXKM). AF_07/2020</t>
  </si>
  <si>
    <t xml:space="preserve">TRANSPORTE COM CAMINHÃO TANQUE DE TRANSPORTE DE MATERIAL ASFÁLTICO DE 30000 L, EM VIA URBANA PAVIMENTADA, ADICIONAL PARA DMT EXCEDENTE A 30 KM (UNIDADE: TXKM). AF_07/2020</t>
  </si>
  <si>
    <t xml:space="preserve">T     </t>
  </si>
  <si>
    <t xml:space="preserve">EXECUÇÃO DE CAPA ASFÁLTICA EM CBUQ, COM PRODUÇÃO DA EQUIPE DE 2,25 M³/H</t>
  </si>
  <si>
    <t xml:space="preserve">TRANSPORTE COM CAMINHÃO BASCULANTE DE 10 M³, EM VIA URBANA PAVIMENTADA, DMT ATÉ 30 KM (UNIDADE: TXKM). AF_07/2020</t>
  </si>
  <si>
    <t xml:space="preserve">PAE 1371</t>
  </si>
  <si>
    <t xml:space="preserve">REMENDO PROFUNDO 2 - ESCAVAÇÃO = 0,50 M, ESPESSURA BASE = 15 CM E CAPA = 3,00  CM</t>
  </si>
  <si>
    <t xml:space="preserve">Obs: Não está considerado a aquisição e o transporte de material de aterro.</t>
  </si>
  <si>
    <t xml:space="preserve">ESCAVAÇÃO MECANIZADA DE VALA COM PROF. ATÉ 1,5 M (MÉDIA MONTANTE E JUSANTE/UMA COMPOSIÇÃO POR TRECHO), RETROESCAV. (0,26 M3), LARG. DE 0,8 M A 1,5 M, EM SOLO DE 1A CATEGORIA, EM LOCAIS COM ALTO NÍVEL DE INTERFERÊNCIA. AF_02/2021</t>
  </si>
  <si>
    <t xml:space="preserve">PAE 1372</t>
  </si>
  <si>
    <t xml:space="preserve">CORREÇÃO DE DEFEITOS POR FRESAGEM DESCONTÍNUA DO REVESTIMENTO ASFÁLTICO (REF SICRO, CÓD 4915705).</t>
  </si>
  <si>
    <t xml:space="preserve">REF SICRO 4915705</t>
  </si>
  <si>
    <t xml:space="preserve">PRODUÇÃO DE EQUIPE 14,76 M³</t>
  </si>
  <si>
    <t xml:space="preserve">PAE 1373</t>
  </si>
  <si>
    <t xml:space="preserve">CORREÇÃO DE DEFEITOS POR FRESAGEM DESCONTÍNUA DO REVESTIMENTO ASFÁLTICO (REF SICRO, CÓD 4915705). (40% PRODUÇÃO DE EQUIPE)</t>
  </si>
  <si>
    <t xml:space="preserve">PRODUÇÃO DE EQUIPE 5,90 M³ (40% DE 14,76 M³)</t>
  </si>
  <si>
    <t xml:space="preserve">PAE 1374</t>
  </si>
  <si>
    <t xml:space="preserve">FRESAGEM DESCONTÍNUA DE REVESTIMENTO ASFÁLTICO (REF SICRO, CÓD 4011480). (40% PRODUÇÃO DE EQUIPE)</t>
  </si>
  <si>
    <t xml:space="preserve">PRODUÇÃO DE EQUIPE 19,68 M³ (40 % DE 49,20 M³)</t>
  </si>
  <si>
    <t xml:space="preserve">PAE 1375</t>
  </si>
  <si>
    <t xml:space="preserve">FRESAGEM CONTÍNUA DE REVESTIMENTO ASFÁLTICO (REF SICRO, CÓD 4011479). (40% PRODUÇÃO DE EQUIPE)</t>
  </si>
  <si>
    <t xml:space="preserve">PRODUÇÃO DE EQUIPE 39,84 M³ (40% DE 99,60 M³)</t>
  </si>
  <si>
    <t xml:space="preserve">PAE 1376</t>
  </si>
  <si>
    <t xml:space="preserve">PAE 1377</t>
  </si>
  <si>
    <t xml:space="preserve">TUBO PEAD COM PAREDES ESTRUTURADAS PARA DRENAGEM D=600 MM, JUNTA ELÁSTICA INTEGRADA. FORNECIMENTO E ASSENTAMENTO, NÍVEL BAIXO DE INTERFERÊNCIAS </t>
  </si>
  <si>
    <t xml:space="preserve">REF SINAPI 90747</t>
  </si>
  <si>
    <t xml:space="preserve">PAE 1378</t>
  </si>
  <si>
    <t xml:space="preserve">TUBO PEAD COM PAREDES ESTRUTURADAS PARA DRENAGEM D=750 MM, JUNTA ELÁSTICA INTEGRADA. FORNECIMENTO E ASSENTAMENTO, NÍVEL BAIXO DE INTERFERÊNCIAS </t>
  </si>
  <si>
    <t xml:space="preserve">REF SINAPI 94876 </t>
  </si>
  <si>
    <t xml:space="preserve">PAE 1379</t>
  </si>
  <si>
    <t xml:space="preserve">PV-0 - POÇO DE VISITA CIRCULAR, H MÉDIO = 2,00M, EM ALVENARIA DE TIJOLO COMUM DE 1 VEZ ASSENTADA E REVESTIDA INTERNAMENTE COM ARGAMASSA DE CIMENTO E AREIA 1:3, CONFORME PROJETO TIPO. EXCLUSIVE TAMPÃO</t>
  </si>
  <si>
    <t xml:space="preserve">PREPARO DE FUNDO DE VALA COM LARGURA MAIOR OU IGUAL A 1,5 M E MENOR QUE 2,5 M, COM CAMADA DE BRITA, LANÇAMENTO MANUAL (REF SINAPI, CÓD 101621).</t>
  </si>
  <si>
    <t xml:space="preserve">FABRICAÇÃO, MONTAGEM E DESMONTAGEM DE FÔRMA PARA BLOCO DE COROAMENTO, EM MADEIRA SERRADA, E=25 MM, 2 UTILIZAÇÕES. AF_06/2017</t>
  </si>
  <si>
    <t xml:space="preserve">CHAPISCO APLICADO EM ALVENARIAS E ESTRUTURAS DE CONCRETO INTERNAS, COM COLHER DE PEDREIRO.  ARGAMASSA TRAÇO 1:3 COM PREPARO EM BETONEIRA 400L. AF_10/2022</t>
  </si>
  <si>
    <t xml:space="preserve">PAE 1380</t>
  </si>
  <si>
    <t xml:space="preserve">REF 101621 - SINAPI AGO/2023</t>
  </si>
  <si>
    <t xml:space="preserve">PAE 1381</t>
  </si>
  <si>
    <t xml:space="preserve">MASSA ÚNICA, EM ARGAMASSA TRAÇO 1:3, PREPARO MECÂNICO COM BETONEIRA 400L, COM EXECUÇÃO DE TALISCAS (REF SINAPI, CÓD 87529).</t>
  </si>
  <si>
    <t xml:space="preserve">REF 87529 - SINAPI AGO/2023</t>
  </si>
  <si>
    <t xml:space="preserve">PAE 1382</t>
  </si>
  <si>
    <t xml:space="preserve">TUBO DE FERRO FUNDIDO Ø 250 MM - FORNECIMENTO E ASSENTAMENTO</t>
  </si>
  <si>
    <t xml:space="preserve">ADAPTADO PINI 3R 23 12 00 00 23 10 01 04</t>
  </si>
  <si>
    <t xml:space="preserve">ANEL DE BORRACHA PARA FERRO FUNDIDO 250 MM </t>
  </si>
  <si>
    <t xml:space="preserve">TUBO DE FERRO FUNDIDO K7 JGS PP 250 MM</t>
  </si>
  <si>
    <t xml:space="preserve">MDO SINAPI 103093</t>
  </si>
  <si>
    <t xml:space="preserve">PAE 1383</t>
  </si>
  <si>
    <t xml:space="preserve">PAE 1384</t>
  </si>
  <si>
    <t xml:space="preserve">TUBO PEAD COM PAREDES ESTRUTURADAS PARA DRENAGEM D=1500 MM, JUNTA ELÁSTICA INTEGRADA. FORNECIMENTO E ASSENTAMENTO, NÍVEL BAIXO DE INTERFERÊNCIAS </t>
  </si>
  <si>
    <t xml:space="preserve">REF SINAPI 94882</t>
  </si>
  <si>
    <t xml:space="preserve">PAE 1385</t>
  </si>
  <si>
    <t xml:space="preserve">TRATAMENTO SUPERFICIAL SIMPLES COM EMULSÃO </t>
  </si>
  <si>
    <t xml:space="preserve">REFERENTE TCPO WEB 3R 32 13 17 00 00 00 00 15 E TCPO 15ª EDIÇÃO PAG. 316</t>
  </si>
  <si>
    <t xml:space="preserve">COEF. DOS EQUIPAMENTOS TCPO 15ª EDIÇÃO</t>
  </si>
  <si>
    <t xml:space="preserve">3R 50 50 15 13 00 00 12 01</t>
  </si>
  <si>
    <t xml:space="preserve">CAMINHÃO BASCULANTE 5 M³ 182 HP - 136 KW, 4 X 2</t>
  </si>
  <si>
    <t xml:space="preserve">3R 50 50 46 12 00 00 16 01</t>
  </si>
  <si>
    <t xml:space="preserve">CARREGADEIRA SOBRE PNEUS 129 HP - 96 KW, CAPACIDADE 1,7 M³,</t>
  </si>
  <si>
    <t xml:space="preserve">3R 50 50 46 22 20 00 18 01</t>
  </si>
  <si>
    <t xml:space="preserve">TRATOR SOBRE PNEUS 105 HP - 77 KW</t>
  </si>
  <si>
    <t xml:space="preserve">3R 50 50 46 30 12 12 30 01</t>
  </si>
  <si>
    <t xml:space="preserve">ROLO COMPACTADOR COM PNEUS, LARGURA 2,28 M 130 HP - 98 KW, PESO OPERACIONAL COM LASTRO 25 T</t>
  </si>
  <si>
    <t xml:space="preserve">3R 50 50 46 32 20 00 52 01</t>
  </si>
  <si>
    <t xml:space="preserve">DISTRIBUIDOR PARA AGREGADOS SOBRE PNEUS 138 HP - 103 KW, LARGURA DE TRABALHO 3,66 M</t>
  </si>
  <si>
    <t xml:space="preserve">3R 50 50 46 32 21 00 24 01</t>
  </si>
  <si>
    <t xml:space="preserve">DISTRIBUIDOR PARA BETUME, REBOCÁVEL, COM AQUECEDOR E DESCARGA POR BOMBA, 10 HP, CAPACIDADE 2.400 L</t>
  </si>
  <si>
    <t xml:space="preserve">3R 50 50 46 32 21 00 30 01</t>
  </si>
  <si>
    <t xml:space="preserve">CAMINHÃO ESPARGIDOR DE ASFALTO, 6.000 L, 182 HP - 136 KW, 4 X 2 INCLUSIVE BOMBA E BARRA ESPARGIDORA</t>
  </si>
  <si>
    <t xml:space="preserve">3R 50 50 46 38 00 00 10 01</t>
  </si>
  <si>
    <t xml:space="preserve">VASSOURA MECÂNICA REBOCÁVEL, FAIXA DE TRABALHO 2,44 M</t>
  </si>
  <si>
    <t xml:space="preserve">PAE 1386</t>
  </si>
  <si>
    <t xml:space="preserve">PRODUÇÃO DE EQUIPE 36,94 M³ (40% DE 90,84)</t>
  </si>
  <si>
    <t xml:space="preserve">PAE 1387</t>
  </si>
  <si>
    <t xml:space="preserve">VIGIA NOTURNO COM ENCARGOS COMPLEMENTARES</t>
  </si>
  <si>
    <t xml:space="preserve">REFERENTE S 88326 - NOV/2023</t>
  </si>
  <si>
    <t xml:space="preserve">ALIMENTACAO - HORISTA (COLETADO CAIXA - ENCARGOS COMPLEMENTARES)                                                                                                                                                                                                                                                                                                                                                                                                                                          </t>
  </si>
  <si>
    <t xml:space="preserve">H     </t>
  </si>
  <si>
    <t xml:space="preserve">TRANSPORTE - HORISTA (COLETADO CAIXA - ENCARGOS COMPLEMENTARES)                                                                                                                                                                                                                                                                                                                                                                                                                                           </t>
  </si>
  <si>
    <t xml:space="preserve">EXAMES - HORISTA (COLETADO CAIXA - ENCARGOS COMPLEMENTARES)                                                                                                                                                                                                                                                                                                                                                                                                                                               </t>
  </si>
  <si>
    <t xml:space="preserve">SEGURO - HORISTA (COLETADO CAIXA - ENCARGOS COMPLEMENTARES)                                                                                                                                                                                                                                                                                                                                                                                                                                               </t>
  </si>
  <si>
    <t xml:space="preserve">VIGIA NOTURNO, HORA EFETIVAMENTE TRABALHADA DE 22 H AS 5 H (COM ADICIONAL NOTURNO)                                                                                                                                                                                                                                                                                                                                                                                                                        </t>
  </si>
  <si>
    <t xml:space="preserve">FERRAMENTAS - FAMILIA SERVENTE - HORISTA (ENCARGOS COMPLEMENTARES - COLETADO CAIXA)                                                                                                                                                                                                                                                                                                                                                                                                                       </t>
  </si>
  <si>
    <t xml:space="preserve">EPI - FAMILIA SERVENTE - HORISTA (ENCARGOS COMPLEMENTARES - COLETADO CAIXA)                                                                                                                                                                                                                                                                                                                                                                                                                               </t>
  </si>
  <si>
    <t xml:space="preserve">CURSO DE CAPACITAÇÃO PARA VIGIA NOTURNO (ENCARGOS COMPLEMENTARES) - HORISTA</t>
  </si>
  <si>
    <t xml:space="preserve">PAE 1388</t>
  </si>
  <si>
    <t xml:space="preserve">REFERENTE S 95388 - NOV/2023</t>
  </si>
  <si>
    <t xml:space="preserve">PAE 1389</t>
  </si>
  <si>
    <t xml:space="preserve">GRADIL COM TELA AÇO GALVANIZADO, ARAME Ø 4,30MM, MALHA (5x20) CM, REVESTIDA EM PINTURA ELETROSTÁTICA PVC, FIXADO EM POSTE GALVANIZADO 40x60MM, CHAPA 1,25MM, CADA 2,50M, H = 2,03M.</t>
  </si>
  <si>
    <t xml:space="preserve">ESTACA BROCA DE CONCRETO, DIÂMETRO DE 30CM, ESCAVAÇÃO MANUAL COM TRADO CONCHA, INTEIRAMENTE ARMADA. AF_05/2020_PA</t>
  </si>
  <si>
    <t xml:space="preserve">GRADIL COM TELA AÇO GALVANIZADO, ARAME Ø 4,30MM, MALHA 5x20 CM, REVESTIDA EM PINTURA ELETROSTÁTICA PVC, FIXADO EM POSTE GALVANIZADO 40x60MM, CHAPA 1,25MM, CADA 2,50M, H = 2,03M.</t>
  </si>
  <si>
    <t xml:space="preserve">POSTE METÁLICO 40x60MM, H=3,00M</t>
  </si>
  <si>
    <t xml:space="preserve">FIXADORES E PARAFUSOS/ACESSÓRIOS DE FIXAÇÃO</t>
  </si>
  <si>
    <t xml:space="preserve">PAE 1390</t>
  </si>
  <si>
    <t xml:space="preserve">RECICLAGEM COM ADIÇÃO DE AGREGADO (BRITA 0 / PEDRISCO) E INCORPORAÇÃO DO REVESTIMENTO ASFÁLTICO À BASE.</t>
  </si>
  <si>
    <t xml:space="preserve">REFERENTE SICRO 4011484 - JAN/2023</t>
  </si>
  <si>
    <t xml:space="preserve">PAE 1391</t>
  </si>
  <si>
    <t xml:space="preserve">FORNECIMENTO E INSTALAÇÃO DE CONJUNTO DE PLACAS (PARADA OBRIGATÓRIA E SENTIDO PROIBIDO),   INCLUINDO SUPORTE METÁLICO GALVANIZADO Φ 2".</t>
  </si>
  <si>
    <t xml:space="preserve">PAE 1392</t>
  </si>
  <si>
    <t xml:space="preserve">MURETA PARA CONTENÇÃO LATERAL DE RAMPA EM ALVENARIA DE TIJOLOS MACIÇOS, E=10CM, COM CHAPISCO NO TRAÇO 1:3 E EMBOÇO NO TRAÇO 1:2:8, CONFORME DETALHE</t>
  </si>
  <si>
    <t xml:space="preserve">altura 26 cm, comprimento 168 cm</t>
  </si>
  <si>
    <t>(0,125+0,20)x0,26x1,68</t>
  </si>
  <si>
    <t>(0,125+0,20)x0,25x1,68-0,25x0,12x1,68</t>
  </si>
  <si>
    <t>0,125x1,68</t>
  </si>
  <si>
    <t>0,26x1,68</t>
  </si>
  <si>
    <t>0,10x1,68+(0,15/2)x1,68+0,26*1,68</t>
  </si>
  <si>
    <t xml:space="preserve">PAE 1393</t>
  </si>
  <si>
    <t xml:space="preserve">EXECUÇÃO  DE SUBBASE PARA PAVIMENTAÇÃO</t>
  </si>
  <si>
    <t xml:space="preserve">REF IUP30069 </t>
  </si>
  <si>
    <t xml:space="preserve">PAE 1394</t>
  </si>
  <si>
    <t xml:space="preserve">FORNECIMENTO E INSTALAÇÃO DE CONJUNTO DE PLACAS (PARADA OBRIGATÓRIA E SINAL DE FORMA REGULAR - MARCADOR DE PERIGO),   INCLUINDO SUPORTE METÁLICO GALVANIZADO Φ 2".</t>
  </si>
  <si>
    <t xml:space="preserve">JÁ TEM COMPOSIÇÃO IGUAL - CANCELADA</t>
  </si>
  <si>
    <t xml:space="preserve">PAE 1395</t>
  </si>
  <si>
    <t xml:space="preserve">FORNECIMENTO E INSTALAÇÃO DE CONJUNTO DE PLACAS (PASSAGEM OBRIGATÓRIA E MARCADOR DE PERIGO), INCLUINDO SUPORTE METÁLICO GALVANIZADO Φ 2".</t>
  </si>
  <si>
    <t xml:space="preserve">PAE 1396</t>
  </si>
  <si>
    <t xml:space="preserve">CAIXA COLETORA DE SARJETA - CCS 01 - COM GRELHA DE CONCRETO - TCC 01 - AREIA E BRITA COMERCIAIS (REF SICRO, CÓD 2003477).</t>
  </si>
  <si>
    <t xml:space="preserve">REF 2003477 SICRO</t>
  </si>
  <si>
    <t xml:space="preserve">PAE 1398</t>
  </si>
  <si>
    <t xml:space="preserve">FORNECIMENTO E INSTALAÇÃO DE PLACA DE SINALIZAÇÃO VERTICAL (ATÉ 0,36 M²), INCLUINDO SUPORTE 3,60 m METÁLICO GALVANIZADO E 2".</t>
  </si>
  <si>
    <t xml:space="preserve">PAE 1399</t>
  </si>
  <si>
    <t xml:space="preserve">FORNECIMENTO E INSTALAÇÃO DE CONJUNTO DE PLACAS (PARADA OBRIGATÓRIA E SENTIDO PROIBIDO), INCLUINDO SUPORTE METÁLICO 3,60 m GALVANIZADO Φ 2".</t>
  </si>
  <si>
    <t xml:space="preserve">PAE 1400</t>
  </si>
  <si>
    <t xml:space="preserve">FORNECIMENTO E INSTALAÇÃO DE CONJUNTO DE PLACAS (PROIBIDO CONVERSÃO/RETORNAR À ESQUERDA), INCLUINDO SUPORTE METÁLICO 3,60 m GALVANIZADO Φ 2".</t>
  </si>
  <si>
    <t xml:space="preserve">PAE 1401</t>
  </si>
  <si>
    <t xml:space="preserve">FORNECIMENTO E INSTALAÇÃO DE PLACA DE SINALIZAÇÃO VERTICAL (0,48 M²), INCLUINDO SUPORTE 3,20 m METÁLICO GALVANIZADO E 2".</t>
  </si>
  <si>
    <t xml:space="preserve">PAE 1402</t>
  </si>
  <si>
    <t xml:space="preserve">CARGA, MANOBRA E DESCARGA DE MATERIAIS DIVERSOS EM CAMINHÃO CARROCERIA DE 15 T - CARGA E DESCARGA MANUAIS</t>
  </si>
  <si>
    <r>
      <rPr>
        <b/>
        <sz val="12"/>
        <rFont val="Arial"/>
      </rPr>
      <t xml:space="preserve">FORNECIMENTO E INSTALAÇÃO DE PLACA DE SINALIZAÇÃO VERTICAL COM PINTURA RETRORREFLETIVA (ATÉ 0,36 M²), INCLUINDO SUPORTE METÁLICO GALVANIZADO </t>
    </r>
    <r>
      <rPr>
        <b/>
        <sz val="12"/>
        <rFont val="CommercialPi BT"/>
      </rPr>
      <t>E</t>
    </r>
    <r>
      <rPr>
        <b/>
        <sz val="12"/>
        <rFont val="Arial"/>
      </rPr>
      <t xml:space="preserve"> 2".</t>
    </r>
  </si>
  <si>
    <t xml:space="preserve">REF COMP PAE 1177 / REF SICRO 5213414 - JAN/24</t>
  </si>
  <si>
    <t>conferir</t>
  </si>
  <si>
    <t xml:space="preserve">CHAPA FINA EM AÇO GALVANIZADO - ESPESSURA = 16MM</t>
  </si>
  <si>
    <t xml:space="preserve">PELÍCULA RETRORREFLETIVA TIPO I + SI (SINAL IMPRESSO COM PELÍCULA DE SOBREPOSIÇÃO TIPO V)</t>
  </si>
  <si>
    <t xml:space="preserve">PINTURA ELETROSTÁTICA A PÓ COM TINTA POLIÉSTER EM CHAPA DE AÇO</t>
  </si>
  <si>
    <r>
      <rPr>
        <b/>
        <sz val="12"/>
        <rFont val="Arial"/>
      </rPr>
      <t xml:space="preserve">OBS: </t>
    </r>
    <r>
      <rPr>
        <sz val="12"/>
        <rFont val="Arial"/>
      </rPr>
      <t xml:space="preserve">Os itens M1367, M3229 e 5212552 da composição (data/base Sicro Outubro/2025) foram reajustados para Janeiro/26.</t>
    </r>
  </si>
  <si>
    <r>
      <rPr>
        <sz val="12"/>
        <rFont val="Arial"/>
      </rPr>
      <t xml:space="preserve">IR = 274,023 / 272,130 = </t>
    </r>
    <r>
      <rPr>
        <b/>
        <sz val="12"/>
        <rFont val="Arial"/>
      </rPr>
      <t>1,00695623</t>
    </r>
  </si>
  <si>
    <t xml:space="preserve">PAE 1404</t>
  </si>
  <si>
    <t xml:space="preserve">PAE 1405</t>
  </si>
  <si>
    <t xml:space="preserve">PAE 1406</t>
  </si>
  <si>
    <t xml:space="preserve">ESCAVAÇÃO DE VALA EM MATERIAL DE 3ª CATEGORIA - RESISTÊNCIA À COMPRESSÃO DE 70 A 90 MPA - COM ESCAVADEIRA E ROMPEDOR HIDRÁULICO 1.700 KG (REF SICRO, CÓD 5502970). </t>
  </si>
  <si>
    <t xml:space="preserve">REF SICRO 5502970</t>
  </si>
  <si>
    <t xml:space="preserve">PONTEIRO PARA ROMPEDOR HIDRÁULICO DE 1.700 KG</t>
  </si>
  <si>
    <t xml:space="preserve">PRODUÇÃO DE EQUIPE </t>
  </si>
  <si>
    <r>
      <rPr>
        <b/>
        <sz val="12"/>
        <rFont val="Arial"/>
      </rPr>
      <t xml:space="preserve">OBS: </t>
    </r>
    <r>
      <rPr>
        <sz val="12"/>
        <rFont val="Arial"/>
      </rPr>
      <t xml:space="preserve">Os itens E9775 e M0602 da composição (data/base Sicro Outubro/25) foram reajustados para Novembro/25.</t>
    </r>
  </si>
  <si>
    <t xml:space="preserve">PAE 1407</t>
  </si>
  <si>
    <t xml:space="preserve">DISSIPADOR DE ENERGIA - DEB 03 - AREIA, BRITA E PEDRA DE MÃO COMERCIAIS (REF SICRO, CÓD 2003453).</t>
  </si>
  <si>
    <t xml:space="preserve">PAE 1408</t>
  </si>
  <si>
    <t xml:space="preserve">DESTOCAMENTO DE ÁRVORES COM DIÂMETRO MAIOR QUE 0,30 M (REF SICRO, CÓD 5501702).</t>
  </si>
  <si>
    <t xml:space="preserve">PRODUÇÃO DE EQUIPE 8,30 un</t>
  </si>
  <si>
    <t xml:space="preserve">REF SICRO 5501702</t>
  </si>
  <si>
    <t xml:space="preserve">PAE 1409</t>
  </si>
  <si>
    <t xml:space="preserve">TUBO DE PEAD CORRUGADO PERFURADO, DN 230 MM, PARA DRENO - FORNECIMENTO E ASSENTAMENTO  (REF SINAPI, CÓD 102704).</t>
  </si>
  <si>
    <t xml:space="preserve">TUBO PEAD CORRUGADO PERFURADO PARA DRENAGEM - D = 230 MM</t>
  </si>
  <si>
    <t xml:space="preserve">PAE 1410</t>
  </si>
  <si>
    <t xml:space="preserve">ASSENTAMENTO DE TUBO DE CONCRETO PARA REDES COLETORAS DE ÁGUAS PLUVIAIS, DIÂMETRO DE 1750 MM, JUNTA RÍGIDA, INSTALADO EM LOCAL COM BAIXO NÍVEL DE INTERFERÊNCIAS. (REF SINAPI, CÓD 92819).</t>
  </si>
  <si>
    <t xml:space="preserve">PAE 1411</t>
  </si>
  <si>
    <t xml:space="preserve">MURETA PARA CONTENÇÃO LATERAL DE RAMPA EM ALVENARIA DE TIJOLOS MACIÇOS, E=10CM, COM CHAPISCO NO TRAÇO 1:3 E EMBOÇO NO TRAÇO 1:2:8 PARA RAMPA DE ACESSSIBILIDADE RETANGULAR TIPO 1 - VIA PARQUE ÁGUA BOA</t>
  </si>
  <si>
    <t xml:space="preserve">REFERÊNCIA COMP AGESUL CIVIL 2001003015</t>
  </si>
  <si>
    <t xml:space="preserve">PRANCHA 101/104 - VIA PARQUE ÁGUA BOA - DETALHE RAMPA DE ACESSIBILIDADE RETANGULAR TIPO 1</t>
  </si>
  <si>
    <t xml:space="preserve">PAE 1412</t>
  </si>
  <si>
    <t xml:space="preserve">EXECUÇÃO DE BACIA DE AMORTECIMENTO COM TUBO PEAD DN 1.500MM</t>
  </si>
  <si>
    <t xml:space="preserve">PAE 1413</t>
  </si>
  <si>
    <t xml:space="preserve">BOCA DE BSTC D = 0,60 M - ESCONSIDADE 0° - AREIA E BRITA COMERCIAIS - ALAS RETAS (REF SICRO, CÓD 0804081).</t>
  </si>
  <si>
    <t xml:space="preserve">PAE 1414</t>
  </si>
  <si>
    <t xml:space="preserve">TUBO PEAD COM PAREDES ESTRUTURADAS PARA DRENAGEM D=300 MM. FORNECIMENTO E ASSENTAMENTO, NÍVEL BAIXO DE INTERFERÊNCIAS (REF SINAPI, CÓD 94871).</t>
  </si>
  <si>
    <t xml:space="preserve">REF SINAPI 94871 - JAN/2021</t>
  </si>
  <si>
    <t xml:space="preserve">PAE 1415</t>
  </si>
  <si>
    <t xml:space="preserve">PVBC-0 - POÇO DE VISITA, COM DIMENSÕES INTERNAS DE 1,20M X 1,40M X 1,40M (bxbxh), EM ALVENARIA DE BLOCO DE CONCRETO ESTRUTURAL FBK 8 MPA, CONFORME PROJETO TIPO. EXCLUSIVE PESCOÇO E TAMPÃO</t>
  </si>
  <si>
    <t xml:space="preserve">REF DR/0166 - SCHETTINI</t>
  </si>
  <si>
    <t>MARIALVA/PR</t>
  </si>
  <si>
    <t>1.22</t>
  </si>
  <si>
    <t xml:space="preserve">PAE 1416</t>
  </si>
  <si>
    <t xml:space="preserve">PVBC-1 - POÇO DE VISITA, COM DIMENSÕES INTERNAS DE 2,02M X 2,12M X 1,40M (bxbxh), EM ALVENARIA DE BLOCO DE CONCRETO ESTRUTURAL FBK 8 MPA, CONFORME PROJETO TIPO. EXCLUSIVE PESCOÇO E TAMPÃO</t>
  </si>
  <si>
    <t>1.23</t>
  </si>
  <si>
    <t>1.24</t>
  </si>
  <si>
    <t xml:space="preserve">PAE 1417</t>
  </si>
  <si>
    <t xml:space="preserve">PVBC-2 - POÇO DE VISITA, COM DIMENSÕES INTERNAS DE 3,22M X 2,12M X 2,00M (bxbxh), EM ALVENARIA DE BLOCO DE CONCRETO ESTRUTURAL FBK 8 MPA, CONFORME PROJETO TIPO. EXCLUSIVE PESCOÇO E TAMPÃO</t>
  </si>
  <si>
    <t xml:space="preserve">PAE 1418</t>
  </si>
  <si>
    <t xml:space="preserve">FORNECIMENTO E INSTALAÇÃO DE PLACA DE ORIENTAÇÃO/TURÍSTICA, INCLUINDO SUPORTE EM PERFIL "I" PINTADO COM ESMALTE SINTÉTICO ACETINADO 2 DEMÃOS E 01 DEMÃO DE PINTURA DE FUNDO (ZARCÃO), COM CHAPA REVESTIDA DE PELÍCULA RETRORREFLETIVA TIPO III. DIMENSÃO 2,14 X 0,70M. </t>
  </si>
  <si>
    <t xml:space="preserve">CHAPA FINA EM AÇO GALVANIZADO</t>
  </si>
  <si>
    <t xml:space="preserve">PINTURA COM TINTA ALQUÍDICA DE ACABAMENTO (ESMALTE SINTÉTICO FOSCO) APLICADA A ROLO OU PINCEL SOBRE SUPERFÍCIES METÁLICAS EXECUTADO EM OBRA (POR DEMÃO). AF_01/2020_PE</t>
  </si>
  <si>
    <t xml:space="preserve">PINTURA COM TINTA ALQUÍDICA DE ACABAMENTO (ESMALTE SINTÉTICO ACETINADO) APLICADA A ROLO OU PINCEL SOBRE SUPERFÍCIES METÁLICAS EXECUTADO EM OBRA (DUAS DEMÃOS). AF_01/2020</t>
  </si>
  <si>
    <t xml:space="preserve">PAE 1419</t>
  </si>
  <si>
    <t xml:space="preserve">FORNECIMENTO E INSTALAÇÃO DE PLACA DE ORIENTAÇÃO/TURÍSTICA, INCLUINDO SUPORTE EM PERFIL "I" PINTADO COM ESMALTE SINTÉTICO ACETINADO 2 DEMÃOS E 01 DEMÃO DE PINTURA DE FUNDO (ZARCÃO), COM CHAPA REVESTIDA DE PELÍCULA RETRORREFLETIVA TIPO III. DIMENSÃO 2,723 X 0,828M. </t>
  </si>
  <si>
    <t xml:space="preserve">PAE 1420</t>
  </si>
  <si>
    <t xml:space="preserve">FORNECIMENTO E INSTALAÇÃO DE PLACA DE ORIENTAÇÃO/TURÍSTICA, INCLUINDO SUPORTE EM PERFIL "I" PINTADO COM ESMALTE SINTÉTICO ACETINADO 2 DEMÃOS E 01 DEMÃO DE PINTURA DE FUNDO (ZARCÃO), COM CHAPA REVESTIDA DE PELÍCULA RETRORREFLETIVA TIPO III. DIMENSÃO 1,71 X 1,22M. </t>
  </si>
  <si>
    <r>
      <rPr>
        <b/>
        <sz val="12"/>
        <rFont val="Arial"/>
      </rPr>
      <t xml:space="preserve">OBS: </t>
    </r>
    <r>
      <rPr>
        <sz val="12"/>
        <rFont val="Arial"/>
      </rPr>
      <t xml:space="preserve">Os itens M1367, M3237, E9568, E9753, E9623, E9622 e E9507 da composição (data/base Sicro Outubro/25) foram reajustados para Novembro/25.</t>
    </r>
  </si>
  <si>
    <t xml:space="preserve">IR = 272,973 / 272,130 = 1,00309778</t>
  </si>
  <si>
    <t xml:space="preserve">PAE 1421</t>
  </si>
  <si>
    <t xml:space="preserve">ADITIVO IMPERMEABILIZANTE DE PEGA NORMAL PARA ARGAMASSAS E CONCRETOS SEM ARMACAO, LIQUIDO E ISENTO DE CLORETOS                                                                                                                                                                                                                                                                                                                                                                                            </t>
  </si>
  <si>
    <t xml:space="preserve">PAE 1422</t>
  </si>
  <si>
    <t xml:space="preserve">MURETA PARA CONTENÇÃO LATERAL DE RAMPA EM ALVENARIA DE TIJOLOS MACIÇOS, E=15 CM (1/2 VEZ), ALTURA 25 CM, COMPRIMENTO 5,00 M,   LATERAIS E TOPO CHAPISCADOS COM ARGAMASSA NO TRAÇO 1:3, E=0,5 CM E REBOCADOS COM ARGAMASSA NO TRAÇO 1:2:8, ESPESSURA=2 CM</t>
  </si>
  <si>
    <t>(0,15+0,20)x0,25x5,0-0,25x0,15x5,0</t>
  </si>
  <si>
    <t>5,0x0,15</t>
  </si>
  <si>
    <t>5,0x0,25</t>
  </si>
  <si>
    <t>5,0x0,25+5,0*0,15+1,50x0,15+1,8x0,15/2x2</t>
  </si>
  <si>
    <t xml:space="preserve">PAE 1423</t>
  </si>
  <si>
    <t xml:space="preserve">BOCA DE BSTC D = 0,60 M - ESCONSIDADE 0° - AREIA E BRITA COMERCIAIS - ALAS ESCONSAS (REF SICRO, CÓD 0804377).</t>
  </si>
  <si>
    <t xml:space="preserve">PAE 1424</t>
  </si>
  <si>
    <r>
      <rPr>
        <b/>
        <sz val="12"/>
        <rFont val="Arial"/>
      </rPr>
      <t xml:space="preserve">FORNECIMENTO E INSTALAÇÃO DE PLACA DE SINALIZAÇÃO VERTICAL COM PINTURA RETRORREFLETIVA (ATÉ 0,48 M²), INCLUINDO SUPORTE METÁLICO GALVANIZADO </t>
    </r>
    <r>
      <rPr>
        <b/>
        <sz val="12"/>
        <rFont val="CommercialPi BT"/>
      </rPr>
      <t>E</t>
    </r>
    <r>
      <rPr>
        <b/>
        <sz val="12"/>
        <rFont val="Arial"/>
      </rPr>
      <t xml:space="preserve"> 2".</t>
    </r>
  </si>
  <si>
    <r>
      <rPr>
        <b/>
        <sz val="12"/>
        <rFont val="Arial"/>
      </rPr>
      <t xml:space="preserve">OBS: </t>
    </r>
    <r>
      <rPr>
        <sz val="12"/>
        <rFont val="Arial"/>
      </rPr>
      <t xml:space="preserve">Os itens M1367, M3229 e 5212552 da composição (data/base Sicro Outubro/25) foram reajustados para Novembro/25.</t>
    </r>
  </si>
  <si>
    <t xml:space="preserve">PAE 1425</t>
  </si>
  <si>
    <t xml:space="preserve">CAIXA COLETORA DE SARJETA - CCS 200-60 B - COM GRELHA DE AÇO - AREIA E BRITA COMERCIAIS</t>
  </si>
  <si>
    <t xml:space="preserve">REF. SICRO 2003517</t>
  </si>
  <si>
    <t xml:space="preserve">568 (1)</t>
  </si>
  <si>
    <t xml:space="preserve">CANTONEIRA (ABAS IGUAIS) EM ACO CARBONO, 63,50 MM X 9,53 MM (L X E), 6,99 KG/M</t>
  </si>
  <si>
    <t xml:space="preserve">Obs (1) : Foi adotado o preço por kilo da cantoneira em aço carbono 50,8 mm x 9,53 mm</t>
  </si>
  <si>
    <t xml:space="preserve">PAE 1426</t>
  </si>
  <si>
    <t xml:space="preserve">PV - POÇO-DE-VISITA - 4,00X7,72M (DIMENSÕES INTERNAS), EM ALV. DE TIJ. COM. DE 1 VEZ E BLOCO ESTRUTURAL DE CONCRETO ASS. E REV. INTERN. COM ARG. DE CIM. E AREIA 1:3, LAST. DE BRITA 5CM, BERÇO 18CM EM CONC. FCK=20MPA, LAJE DE 20CM EM CONC. ARMADO FCK=20MPA, INCL. FORMA, ESC. MANUAL E REAT. APILOADO</t>
  </si>
  <si>
    <t xml:space="preserve">PV JEQUITIBÁS</t>
  </si>
  <si>
    <t xml:space="preserve">ø (m)</t>
  </si>
  <si>
    <t xml:space="preserve">H (m)</t>
  </si>
  <si>
    <t xml:space="preserve">h (m)</t>
  </si>
  <si>
    <t xml:space="preserve">altura chaminé (m)</t>
  </si>
  <si>
    <t xml:space="preserve">ARMAÇÃO DE BLOCO, VIGA BALDRAME E SAPATA UTILIZANDO AÇO CA-50 DE 8,0 MM - MONTAGEM. AF_06/2017</t>
  </si>
  <si>
    <t xml:space="preserve">ARMAÇÃO DE BLOCO, VIGA BALDRAME E SAPATA UTILIZANDO AÇO CA-50 DE 10 MM - MONTAGEM. AF_06/2017</t>
  </si>
  <si>
    <t xml:space="preserve">PAE 1427</t>
  </si>
  <si>
    <t xml:space="preserve">PV- POÇO-DE-VISITA - 3,00X5,28M (DIMENSÕES INTERNAS), EM ALV. DE TIJ. COM. DE 1 VEZ ASS. E REV. INTERN. COM ARG. DE CIM. E AREIA 1:3, LAST. DE BRITA 5CM, BERÇO 18CM EM CONC. FCK=20MPA, LAJE DE 20CM EM CONC. ARMADO FCK=20MPA, INCL. FORMA, ESC. MANUAL E REAT. APILOADO</t>
  </si>
  <si>
    <t xml:space="preserve">ARMAÇÃO DE BLOCO, VIGA BALDRAME E SAPATA UTILIZANDO AÇO CA-50 DE 8 MM - MONTAGEM. AF_06/2017</t>
  </si>
  <si>
    <t xml:space="preserve">PAE 1428</t>
  </si>
  <si>
    <t xml:space="preserve">CONCRETO CICLÓPICO FCK = 18MPA, INCLUSIVE LANÇAMENTO </t>
  </si>
  <si>
    <t xml:space="preserve">CONCRETO ESTRUTURAL, COM BETONEIRA, CONTROLE TIPO B, FCK=18 MPA</t>
  </si>
  <si>
    <t xml:space="preserve">PAE 1429</t>
  </si>
  <si>
    <r>
      <rPr>
        <b/>
        <sz val="12"/>
        <rFont val="Arial"/>
      </rPr>
      <t xml:space="preserve">FORNECIMENTO E INSTALAÇÃO DE CONJUNTO DE PLACAS DE SINALIZAÇÃO  VERTICAL COM PINTURA RETRORREFLETIVA (ATÉ 0,72 M²), INCLUINDO SUPORTE METÁLICO GALVANIZADO </t>
    </r>
    <r>
      <rPr>
        <b/>
        <sz val="12"/>
        <rFont val="CommercialPi BT"/>
      </rPr>
      <t>E</t>
    </r>
    <r>
      <rPr>
        <b/>
        <sz val="12"/>
        <rFont val="Arial"/>
      </rPr>
      <t xml:space="preserve"> 2".</t>
    </r>
  </si>
  <si>
    <t xml:space="preserve">PAE 1430</t>
  </si>
  <si>
    <t xml:space="preserve">PISO DE CONCRETO FCK=20 MPA, VIBRADO EM OBRA, CONTROLE B, ESPESSURA 10 CM, ARMADO, ACABAMENTO POLIDO COM ACABADORA DE SUPERFICIE, JUNTA SERRADA</t>
  </si>
  <si>
    <t xml:space="preserve">REF. AGESUL 1701000148</t>
  </si>
  <si>
    <t xml:space="preserve">PAE 1431</t>
  </si>
  <si>
    <t xml:space="preserve">PV-1 - POÇO-DE-VISITA 1,90X1,90M(DIMENSÕES INTERNAS), EM ALV. DE TIJ. COM. DE 1 VEZ ASS. E REV. INTERN. COM ARG. DE CIM. E AREIA 1:3, LAST. DE BRITA 5CM, BERÇO 18CM EM CONC. FCK=20MPA, LAJE DE 12CM EM CONC. ARMADO FCK=20MPA, INCL. FORMA, ESC. MANUAL E REAT. APILOADO</t>
  </si>
  <si>
    <t xml:space="preserve">PAE 1432</t>
  </si>
  <si>
    <t xml:space="preserve">PV-2 - POÇO-DE-VISITA 1,90X2,60M(DIMENSÕES INTERNAS), EM ALV. DE TIJ. COM. DE 1 VEZ ASS. E REV. INTERN. COM ARG. DE CIM. E AREIA 1:3, LAST. DE BRITA 5CM, BERÇO 18CM EM CONC. FCK=20MPA, LAJE DE 12CM EM CONC. ARMADO FCK=20MPA, INCL. FORMA, ESC. MANUAL E REAT. APILOADO</t>
  </si>
  <si>
    <t xml:space="preserve">PAE 1433</t>
  </si>
  <si>
    <t xml:space="preserve">PV-3 - POÇO-DE-VISITA 1,90X3,40M(DIMENSÕES INTERNAS), EM ALV. DE TIJ. COM. DE 1 VEZ ASS. E REV. INTERN. COM ARG. DE CIM. E AREIA 1:3, LAST. DE BRITA 5CM, BERÇO 18CM EM CONC. FCK=20MPA, LAJE DE 12CM EM CONC. ARMADO FCK=20MPA, INCL. FORMA, ESC. MANUAL E REAT. APILOADO</t>
  </si>
  <si>
    <t xml:space="preserve">PAE 1434</t>
  </si>
  <si>
    <t xml:space="preserve">PV-4 - POÇO-DE-VISITA 1,90X4,90M(DIMENSÕES INTERNAS), EM ALV. DE TIJ. COM. DE 1 VEZ ASS. E REV. INTERN. COM ARG. DE CIM. E AREIA 1:3, LAST. DE BRITA 5CM, BERÇO 18CM EM CONC. FCK=20MPA, LAJE DE 12CM EM CONC. ARMADO FCK=20MPA, INCL. FORMA, ESC. MANUAL E REAT. APILOADO</t>
  </si>
  <si>
    <t xml:space="preserve">PAE 1435</t>
  </si>
  <si>
    <t xml:space="preserve">PV-5 - POÇO-DE-VISITA 1,90X6,50M(DIMENSÕES INTERNAS), EM ALV. DE TIJ. COM. DE 1 VEZ ASS. E REV. INTERN. COM ARG. DE CIM. E AREIA 1:3, LAST. DE BRITA 5CM, BERÇO 18CM EM CONC. FCK=20MPA, LAJE DE 12CM EM CONC. ARMADO FCK=20MPA, INCL. FORMA, ESC. MANUAL E REAT. APILOADO</t>
  </si>
  <si>
    <t xml:space="preserve">PAE 1436</t>
  </si>
  <si>
    <t xml:space="preserve">PV-6 - POÇO-DE-VISITA 1,90X8,70M(DIMENSÕES INTERNAS), EM ALV. DE TIJ. COM. DE 1 VEZ ASS. E REV. INTERN. COM ARG. DE CIM. E AREIA 1:3, LAST. DE BRITA 5CM, BERÇO 18CM EM CONC. FCK=20MPA, LAJE DE 12CM EM CONC. ARMADO FCK=20MPA, INCL. FORMA, ESC. MANUAL E REAT. APILOADO</t>
  </si>
  <si>
    <t xml:space="preserve">PAE 1437</t>
  </si>
  <si>
    <t xml:space="preserve">CHAMINE P/ POCO DE VISITA EM ALVENARIA, EXCLUSOS TAMPÃO E ANEL</t>
  </si>
  <si>
    <t xml:space="preserve">PAE 1438</t>
  </si>
  <si>
    <t xml:space="preserve">ASSENTAMENTO DE TAMPÃO DE FERRO FUNDIDO 600 MM COM CONCRETO DE CONTORNO</t>
  </si>
  <si>
    <t xml:space="preserve">PAE 1439</t>
  </si>
  <si>
    <t xml:space="preserve">MEIO-FIO COM SARJETA, CONCRETO FCK = 20 MPA, SEÇÃO 780 CM², MOLDADO NO LOCAL, INCLUSIVE ESCAVAÇÃO E PINTURA A CAL EM UMA DEMÃO </t>
  </si>
  <si>
    <t xml:space="preserve">MEIO-FIO COM SARJETA, CONCRETO FCK=20 MPA, SEÇÃO 615 CM², MOLDADO NO LOCAL, INCLUSIVE ESCAVAÇÃO E PINTURA A CAL EM UMA DEMÃO.</t>
  </si>
  <si>
    <t xml:space="preserve">PAE 1441</t>
  </si>
  <si>
    <t xml:space="preserve">TENTO  (ACABAMENTO DE LIMPA-RODAS), CONCRETO FCK = 20 MPA, SEÇÃO 330 CM², MOLDADO NO LOCAL, INCLUSIVE ESCAVAÇÃO.</t>
  </si>
  <si>
    <t xml:space="preserve">PAE 1442</t>
  </si>
  <si>
    <t xml:space="preserve">MEIO-FIO (GUIA), CONCRETO FCK = 20MPA, SEÇÃO 285 CM², MOLDADO NO LOCAL, INCLUSIVE ESCAVAÇÃO E PINTURA A CAL EM UMA DEMÃO.</t>
  </si>
  <si>
    <t xml:space="preserve">PAE 1443</t>
  </si>
  <si>
    <t xml:space="preserve">SARJETA TRIANGULAR, CONCRETO FCK = 20 MPA, SEÇÃO 780 CM², MOLDADO NO LOCAL.</t>
  </si>
  <si>
    <t xml:space="preserve">PAE 1444</t>
  </si>
  <si>
    <t xml:space="preserve">CANALETA, CONCRETO FCK = 30 MPA, SEÇÃO 1950 CM², MOLDADO NO LOCAL.</t>
  </si>
  <si>
    <t xml:space="preserve">PAE 1446</t>
  </si>
  <si>
    <t xml:space="preserve">BARREIRA SIMPLES DE CONCRETO, ARMADA, MOLDADA NO LOCAL (PERFIL NEW JERSEY) - H = 810 + 300 MM, FÔRMA DE MADEIRA RESINADA</t>
  </si>
  <si>
    <t xml:space="preserve">CHAPA/PAINEL DE MADEIRA COMPENSADA RESINADA (MADEIRITE RESINADO ROSA) PARA FORMA DE CONCRETO, DE 2200 X 1100 MM, E = 8 A 12 MM  </t>
  </si>
  <si>
    <t xml:space="preserve">PAE 1447</t>
  </si>
  <si>
    <t xml:space="preserve">MEIO-FIO (GUIA), CONCRETO FCK = 20MPA, SEÇÃO 145 CM², MOLDADO NO LOCAL, INCLUSIVE ESCAVAÇÃO E PINTURA A CAL EM UMA DEMÃO </t>
  </si>
  <si>
    <t xml:space="preserve">PAE 1448</t>
  </si>
  <si>
    <t xml:space="preserve">MEIO-FIO CONCRETO FCK = 20MPA, SEÇÃO 512 CM², MOLDADO NO LOCAL, INCLUSIVE ESCAVAÇÃO E PINTURA A CAL EM UMA DEMÃO </t>
  </si>
  <si>
    <t xml:space="preserve">20 Mpa</t>
  </si>
  <si>
    <t xml:space="preserve">PAE 1450</t>
  </si>
  <si>
    <t xml:space="preserve">BOCA DE BSTC D = 0,40 M - ESCONSIDADE 0° - AREIA E BRITA COMERCIAIS - ALAS RETAS (REF SICRO, CÓD 0804061).</t>
  </si>
  <si>
    <t xml:space="preserve">PAE 1451</t>
  </si>
  <si>
    <t xml:space="preserve">MEIO-FIO CONCRETO FCK = 15MPA, SEÇÃO 512 CM², MOLDADO NO LOCAL, INCLUSIVE ESCAVAÇÃO E PINTURA A CAL EM UMA DEMÃO </t>
  </si>
  <si>
    <t xml:space="preserve">15 Mpa</t>
  </si>
  <si>
    <t xml:space="preserve">PAE 1452</t>
  </si>
  <si>
    <r>
      <rPr>
        <b/>
        <sz val="12"/>
        <rFont val="Arial"/>
      </rPr>
      <t xml:space="preserve">OBS: </t>
    </r>
    <r>
      <rPr>
        <sz val="12"/>
        <rFont val="Arial"/>
      </rPr>
      <t xml:space="preserve">O item M0107 da composição (data/base Sicro Outubro/25) foram reajustados para Novembro/25.</t>
    </r>
  </si>
  <si>
    <t xml:space="preserve">PAE 1453</t>
  </si>
  <si>
    <t xml:space="preserve">PRODUÇÃO DE EQUIPE - 664 m²</t>
  </si>
  <si>
    <t xml:space="preserve">TANQUE DE ESTOCAGEM</t>
  </si>
  <si>
    <t xml:space="preserve">USINA DE LAMA ASFÁLTICA, PROD 30 A 50 T/H, SILO DE AGREGADO 7 M3, RESERVATÓRIOS PARA EMULSÃO E ÁGUA DE 2,3 M3 CADA, MISTURADOR TIPO PUG MILL A SER MONTADO SOBRE CAMINHÃO - CHP DIURNO. AF_10/2014</t>
  </si>
  <si>
    <t xml:space="preserve">PAE 1454</t>
  </si>
  <si>
    <t xml:space="preserve">FORNECIMENTO E INSTALAÇÃO DE PLACA E CONJUNTO DE PLACAS DE SINALIZAÇÃO VERTICAL (ATÉ 0,72 M²), INCLUINDO SUPORTE DE MADEIRA FIXADO EM BASE DE CONCRETO NÃO ESTRUTURAL.</t>
  </si>
  <si>
    <t xml:space="preserve">PEÇA DE MADEIRA NÃO APARELHADA *7,5 X 7,5* CM (3 X 3") MAÇARANDUBA, ANGELIM OU EQUIVALENTE DA REGIÃO (H MÉDIO = 3,20M)</t>
  </si>
  <si>
    <t xml:space="preserve">PAE 1455</t>
  </si>
  <si>
    <t xml:space="preserve">MEIO-FIO COM SARJETA, CONCRETO FCK=20 MPA, SEÇÃO 505 CM², MOLDADO NO LOCAL, INCLUSIVE ESCAVAÇÃO E PINTURA A CAL EM UMA DEMÃO.</t>
  </si>
  <si>
    <t xml:space="preserve">PAE 1456</t>
  </si>
  <si>
    <t xml:space="preserve">VALETA DE PROTEÇÃO DE ATERROS COM REVESTIMENTO DE CONCRETO - VPAC 120-30 - AREIA E BRITA COMERCIAIS (REF SICRO, CÓD 2003315).</t>
  </si>
  <si>
    <t xml:space="preserve">REF 2003315 SICRO ABRIL/25</t>
  </si>
  <si>
    <t xml:space="preserve">ESCAVAÇÃO MECANIZADA DE VALA COM PROFUNDIDADE ATÉ 1,5 M (MÉDIA MONTANTE E JUSANTE/UMA COMPOSIÇÃO POR TRECHO), RETROESCAV. (0,26 M3), LARGURA DE 0,8 M A 1,5 M, EM SOLO DE 1A CATEGORIA, LOCAIS COM BAIXO NÍVEL DE INTERFERÊNCIA. AF_02/2021</t>
  </si>
  <si>
    <r>
      <rPr>
        <b/>
        <sz val="12"/>
        <rFont val="Arial"/>
      </rPr>
      <t xml:space="preserve">OBS: </t>
    </r>
    <r>
      <rPr>
        <sz val="12"/>
        <rFont val="Arial"/>
      </rPr>
      <t xml:space="preserve">O item 3108022 da composição (data/base Sicro Outubro/25) foi reajustado para Novembro/25.</t>
    </r>
  </si>
  <si>
    <t xml:space="preserve">PAE 1457</t>
  </si>
  <si>
    <t xml:space="preserve">MEIO-FIO COM SARJETA, CONCRETO FCK=20 MPA, SEÇÃO 1050 CM², MOLDADO NO LOCAL, INCLUSIVE ESCAVAÇÃO  - ROTATÓRIA</t>
  </si>
  <si>
    <t xml:space="preserve">PAE 1458</t>
  </si>
  <si>
    <t xml:space="preserve">EXECUÇÃO DE PORTÃO DE FERRO COM DUAS FOLHAS DE (5,00X1,70)M COM TUBO INDUSTRIAL DE E 2 1/2" COM TELA DE ALAMBRADO COM FIO 12 MALHA 2" COM TRINCO E PORTA CADEADO - VER DETALHE ANEXO 003</t>
  </si>
  <si>
    <t xml:space="preserve">SINAPI 03/2008 - 11517/1 - VER ANEXO  PETTRA</t>
  </si>
  <si>
    <t xml:space="preserve">TUBO DE AÇO INDUSTRIAL - Φ   2 1/2" - #18 - 1,2 mm</t>
  </si>
  <si>
    <t xml:space="preserve">PAE 1459</t>
  </si>
  <si>
    <t xml:space="preserve">EXECUÇÃO DE PORTÃO DE FERRO PARA PEDESTRES DE (1,00X1,70)M COM TUBO INDUSTRIAL DE E 2" COM TELA DE ALAMBRADO COM FIO 12 MALHA 2" COM TRINCO E PORTA CADEADO - VER DETALHE ANEXO 004</t>
  </si>
  <si>
    <t xml:space="preserve">PAE 1460</t>
  </si>
  <si>
    <t xml:space="preserve">EXECUÇÃO DE PILAR EM CONCRETO ARMADO (P1), INCLUSIVE FUNDAÇÃO PARA SUPORTE DE GRADE METÁLICA </t>
  </si>
  <si>
    <t xml:space="preserve">PAE 1461</t>
  </si>
  <si>
    <t xml:space="preserve">EXECUÇÃO DE PILAR EM CONCRETO ARMADO (P2), INCLUSIVE FUNDAÇÃO PARA SUPORTE DE GRADE METÁLICA </t>
  </si>
  <si>
    <t xml:space="preserve">PAE 1462</t>
  </si>
  <si>
    <t xml:space="preserve">DISSIPADOR DE ENERGIA - (DEB 180-263)  - AREIA, BRITA E PEDRA DE MÃO COMERCIAIS (REF SICRO, CÓD 2003453).</t>
  </si>
  <si>
    <t xml:space="preserve">REFERÊNCIA SICRO ABRIL/2025 - CÓDIGO 2003453</t>
  </si>
  <si>
    <t xml:space="preserve">PAE 1463</t>
  </si>
  <si>
    <t xml:space="preserve">BOCA DE BSTC D = 0,60 M - ESCONSIDADE 0° - AREIA E BRITA COMERCIAIS - ALAS ESCONSAS (REF SICRO, CÓD 0804377) - DETALHE DNIT BNAA 01.</t>
  </si>
  <si>
    <t xml:space="preserve">PRODUÇÃO DE EQUIPE 1,00000 UM - QUANTITATIVOS CONFORME DETALHE BNNA 01</t>
  </si>
  <si>
    <t xml:space="preserve">PAE 1464</t>
  </si>
  <si>
    <t xml:space="preserve">EXECUÇÃO DE CANALETA DE CONCRETO DIMENSÕES DE (130X30X28) CM, FCK=30 MPA, Á=0,363 m², INCLUI DEMOLIÇÃO DO PAVIMENTO COM MARTELETE</t>
  </si>
  <si>
    <t xml:space="preserve">VIA PARQUE PARAGEM - EXECUTIVO</t>
  </si>
  <si>
    <t xml:space="preserve">DMT = 10,60 KM</t>
  </si>
  <si>
    <t xml:space="preserve">DMT = 2,70 KM</t>
  </si>
  <si>
    <t xml:space="preserve">REGULARIZAÇÃO E COMPACTAÇÃO DE SUBLEITO DE SOLO PREDOMINANTEMENTE ARGILOSO.  AF_11/2019</t>
  </si>
  <si>
    <t xml:space="preserve">DMT = 13,30 KM</t>
  </si>
  <si>
    <t xml:space="preserve">PAE 1465</t>
  </si>
  <si>
    <t xml:space="preserve">BOCA DE DRAGÃO-8,70 M, INCLUINDO GRELHA</t>
  </si>
  <si>
    <t xml:space="preserve">h=0,90 m,  B=1,75 m, L=9,10 m</t>
  </si>
  <si>
    <t xml:space="preserve">h=0,66 m, B=1,75 m, L=2,35m</t>
  </si>
  <si>
    <t xml:space="preserve">L=9,1-1,90=7,20m e 2,35m(laje inferior)</t>
  </si>
  <si>
    <t xml:space="preserve">VC1 (20X40) L=145CM - 2X
VC2 (20X40) L=910 CM - 2X
VC3 (15X32,50) L =145 CM - 2X</t>
  </si>
  <si>
    <t>e=11cm</t>
  </si>
  <si>
    <t xml:space="preserve">SOBRE LAJE DE FUNDO CX PASSAGEM</t>
  </si>
  <si>
    <t xml:space="preserve">Lajes de fundo </t>
  </si>
  <si>
    <t xml:space="preserve">SARJETÃO 120CM-2X E VIGAS</t>
  </si>
  <si>
    <t xml:space="preserve">PERFIS (PARA BOCA DE DRAGÃO - 8,70 M)</t>
  </si>
  <si>
    <t xml:space="preserve">PAE 1466</t>
  </si>
  <si>
    <t xml:space="preserve">E=4,30 MM</t>
  </si>
  <si>
    <t xml:space="preserve">2 1/2" x 1/4"</t>
  </si>
  <si>
    <t>1/2"</t>
  </si>
  <si>
    <t xml:space="preserve">1 L RENDE=</t>
  </si>
  <si>
    <t>SUBTOTAL</t>
  </si>
  <si>
    <t xml:space="preserve">PAE 1467</t>
  </si>
  <si>
    <t>TCPO</t>
  </si>
  <si>
    <t xml:space="preserve">PAE 1468</t>
  </si>
  <si>
    <r>
      <rPr>
        <b/>
        <sz val="12"/>
        <color theme="1"/>
        <rFont val="Arial"/>
      </rPr>
      <t xml:space="preserve">MÓDULO UNITÁRIO - GRADIL CURVO EM METALON, Hmédia=2,66 m, INCLUSIVE PINTURA EM FUNDO ANTICORROSIVO (2 DEMAOS) E ESMALTE EM 2 DEMAOS, CONFORME </t>
    </r>
    <r>
      <rPr>
        <b/>
        <sz val="12"/>
        <color indexed="2"/>
        <rFont val="Arial"/>
      </rPr>
      <t xml:space="preserve">DETALHE PETTRA XXXXX</t>
    </r>
  </si>
  <si>
    <t xml:space="preserve">BASEADO COMP AGESUL CIVIL 2001004041 - VER ANEXOXXXXXXPETTRA</t>
  </si>
  <si>
    <t xml:space="preserve">10,99 M² 1 MÓDULO</t>
  </si>
  <si>
    <t xml:space="preserve">CONSUMO 1 L/M²</t>
  </si>
  <si>
    <t xml:space="preserve">CHAPA DE ACO FINA A QUENTE BITOLA MSG 11, E = 3,00 MM (24,0 KG/M2)</t>
  </si>
  <si>
    <t xml:space="preserve">PAE 1470</t>
  </si>
  <si>
    <t xml:space="preserve">TRAFFIC CALMING, ALTURA 15 CM,  LARGURA 1,50 + 5,00 + 1,50 = 8,00 M, LCAPA = 17,70 M, COM  LAJES DE CONCRETO SOBRE 02 SARJETAS, FCK = 35 Mpa</t>
  </si>
  <si>
    <t>KG/m²</t>
  </si>
  <si>
    <t xml:space="preserve">PAE 1471</t>
  </si>
  <si>
    <t xml:space="preserve">TRAFFIC CALMING, ALTURA 15 CM,  LARGURA 1,50 + 5,00 + 1,50 = 8,00 M, LCAPA = 18,20 M, COM  LAJES DE CONCRETO SOBRE 02 SARJETAS, FCK = 35 Mpa</t>
  </si>
  <si>
    <t xml:space="preserve">PAE 1472</t>
  </si>
  <si>
    <t xml:space="preserve">CXP - CAIXA DE PASSAGEM (1,0 X 1,0 X 1,20) M EM ALVENARIA DE TIJOLOS MACIÇOS 1 VEZ (E=10 CM)</t>
  </si>
  <si>
    <t xml:space="preserve">PRODUÇÃO DE EQUIPE 72,67 M³ (80% DE 90,84)</t>
  </si>
  <si>
    <t xml:space="preserve">PRODUÇÃO DE EQUIPE ALTERADA A PARTIR DO DIA 29/10/2025</t>
  </si>
  <si>
    <t xml:space="preserve">PAE 1476</t>
  </si>
  <si>
    <t xml:space="preserve">PAE 1477</t>
  </si>
  <si>
    <t xml:space="preserve">PAE 1478</t>
  </si>
  <si>
    <t xml:space="preserve">SARJETA TRAPEZOIDAL DE CANTEIRO CENTRAL DE CONCRETO - SZCC 140-35 (REF SICRO, CÓD 2003355).</t>
  </si>
  <si>
    <r>
      <rPr>
        <b/>
        <sz val="12"/>
        <rFont val="Arial"/>
      </rPr>
      <t xml:space="preserve">OBS: </t>
    </r>
    <r>
      <rPr>
        <sz val="12"/>
        <rFont val="Arial"/>
      </rPr>
      <t xml:space="preserve">O item 3108018 da composição (data/base Sicro Abril/25) foi reajustado para Agosto/25.</t>
    </r>
  </si>
  <si>
    <r>
      <rPr>
        <sz val="12"/>
        <rFont val="Arial"/>
      </rPr>
      <t xml:space="preserve">IR = 487,228 / 482,299 = </t>
    </r>
    <r>
      <rPr>
        <b/>
        <sz val="12"/>
        <rFont val="Arial"/>
      </rPr>
      <t>1,01021980</t>
    </r>
  </si>
  <si>
    <t xml:space="preserve">PAE 1479</t>
  </si>
  <si>
    <t xml:space="preserve">BOCA DE BSTC D = 0,80 M - ESCONSIDADE 0° - AREIA E BRITA COMERCIAIS - ALAS ESCONSAS - DETALHE DNIT BNAA 02.</t>
  </si>
  <si>
    <t xml:space="preserve">PAE 1480</t>
  </si>
  <si>
    <t xml:space="preserve">CAIXA COLETORA DE SARJETA - CCS 200-60 A - COM GRELHA DE CONCRETO - AREIA E BRITA COMERCIAIS (REF SICRO, CÓD 2003477).</t>
  </si>
  <si>
    <t xml:space="preserve">PAE 1481</t>
  </si>
  <si>
    <t xml:space="preserve">LIMPEZA DE BOCA DE BUEIRO </t>
  </si>
  <si>
    <t xml:space="preserve">REF SICRO 4915712</t>
  </si>
  <si>
    <t xml:space="preserve">PRODUÇÃO DE EQUIPE 5,00000 M³</t>
  </si>
  <si>
    <t xml:space="preserve">PAE 1482</t>
  </si>
  <si>
    <t xml:space="preserve">PV-3 - POÇO-DE-VISITA 4,00X3,00M(DIMENSÕES INTERNAS), EM ALV. DE TIJ. COM. DE 1 VEZ ASS. E REV. INTERN. COM ARG. DE CIM. E AREIA 1:3, LAST. DE BRITA 10CM, BERÇO H VAR. EM CONC. FCK=20MPA, LAJE DE 30CM EM CONC. ARMADO FCK=20MPA, INCL. FORMA, ESC. MANUAL E REAT. APILOADO</t>
  </si>
  <si>
    <t xml:space="preserve">PAE 1483</t>
  </si>
  <si>
    <t xml:space="preserve">PAE 1484</t>
  </si>
  <si>
    <t xml:space="preserve">PVBC-4 - POÇO DE VISITA, COM DIMENSÕES INTERNAS DE 5,62M X 2,12M X 2,00M (bxbxh), EM ALVENARIA DE BLOCO DE CONCRETO ESTRUTURAL FBK 8 MPA, CONFORME PROJETO TIPO. EXCLUSIVE PESCOÇO E TAMPÃO</t>
  </si>
  <si>
    <t xml:space="preserve">REF DR/0151 SCHETTINI</t>
  </si>
  <si>
    <t xml:space="preserve">PREÇO PROPORCIONAL</t>
  </si>
  <si>
    <t xml:space="preserve">PAE 1485</t>
  </si>
  <si>
    <t xml:space="preserve">PVBC-5 - POÇO DE VISITA, COM DIMENSÕES INTERNAS DE 8,02M X 2,12M X 2,00M (bxbxh), EM ALVENARIA DE BLOCO DE CONCRETO ESTRUTURAL FBK 8 MPA, CONFORME PROJETO TIPO. EXCLUSIVE PESCOÇO E TAMPÃO</t>
  </si>
  <si>
    <t xml:space="preserve">PAE 1486</t>
  </si>
  <si>
    <t xml:space="preserve">BOCA DE BSTC D = 1,00 M - ESCONSIDADE 0° - AREIA E BRITA COMERCIAIS - ALAS ESCONSAS (REF SICRO, CÓD 0804393) - DETALHE DNIT BNAA 03.</t>
  </si>
  <si>
    <t xml:space="preserve">PRODUÇÃO DE EQUIPE 1,00000 UM - QUANTITATIVOS CONFORME DETALHE BNNA 03</t>
  </si>
  <si>
    <t xml:space="preserve">PAE 1487</t>
  </si>
  <si>
    <t xml:space="preserve">BOCA DE BSTC D = 1,20 M - ESCONSIDADE 0° - AREIA E BRITA COMERCIAIS - ALAS ESCONSAS (REF SICRO, CÓD 0804401) - DETALHE DNIT BNAA 04.</t>
  </si>
  <si>
    <t xml:space="preserve">PRODUÇÃO DE EQUIPE 1,00000 UM - QUANTITATIVOS CONFORME DETALHE BNNA 04</t>
  </si>
  <si>
    <t xml:space="preserve">PAE 1488</t>
  </si>
  <si>
    <t xml:space="preserve">EXECUÇÃO DE PORTÃO DE FERRO COM DUAS FOLHAS DE (1,80X4,13)M COM TUBO INDUSTRIAL DE Φ 2" COM TELA DE ALAMBRADO COM FIO 12 MALHA 2" COM TRINCO E PORTA CADEADO - VER DETALHE ANEXO 003</t>
  </si>
  <si>
    <t xml:space="preserve">SINAPI 03/2008 - 11517/1</t>
  </si>
  <si>
    <t xml:space="preserve">PAE 1489</t>
  </si>
  <si>
    <t xml:space="preserve">PVBC-3 - POÇO DE VISITA, COM DIMENSÕES INTERNAS DE 4,02M X 2,12M X 2,00M (bxbxh), EM ALVENARIA DE BLOCO DE CONCRETO ESTRUTURAL FBK 8 MPA, CONFORME PROJETO TIPO. EXCLUSIVE PESCOÇO E TAMPÃO</t>
  </si>
  <si>
    <t xml:space="preserve">REF DR/0146 SCHETTINI</t>
  </si>
  <si>
    <t xml:space="preserve">PAE 1490</t>
  </si>
  <si>
    <t xml:space="preserve">PVBC-1 - POÇO DE VISITA, COM DIMENSÕES INTERNAS DE 1,81M X 1,81M, EM ALVENARIA DE BLOCO DE CONCRETO ESTRUTURAL FBK 8 MPA, CONFORME PROJETO TIPO. EXCLUSIVE PESCOÇO E TAMPÃO</t>
  </si>
  <si>
    <t xml:space="preserve">PAE 1491</t>
  </si>
  <si>
    <t xml:space="preserve">TUBO DE FERRO FUNDIDO Ø 300 MM PARA ENVELOPAMENTO - FORNECIMENTO E ASSENTAMENTO</t>
  </si>
  <si>
    <t xml:space="preserve">TUBO FOFO DÚCTIL JGS JE K-7 PARA ÁGUA DN 300 MM</t>
  </si>
  <si>
    <t xml:space="preserve">ABRAÇADEIRA AÇO INOX 12 POL. 300MM</t>
  </si>
  <si>
    <t xml:space="preserve">PAE 1492</t>
  </si>
  <si>
    <t xml:space="preserve">CAIXA EXTRAVASORA COM GUARDA-CORPO 2,25m x 2,25m x 2,10m</t>
  </si>
  <si>
    <t xml:space="preserve">PAE 1493</t>
  </si>
  <si>
    <t xml:space="preserve">LAJE PARA TAMPA DE BOCA DE LOBO EXISTENTE (L1 X L2 X L3 X L4) EM CALÇADA COM ESPESSURA 10 CM, FCK= 30 MPA,CONFORME PROJETO, EXCLUSO TAMPÃO.</t>
  </si>
  <si>
    <t xml:space="preserve">PAE 1494</t>
  </si>
  <si>
    <t xml:space="preserve">BLT CURVA - BOCA-DE-LOBO TRIPLA, EM ALVENARIA DE TIJOLOS MACIÇOS 1/2 VEZ E 1 VEZ , VIGAS E CHAMADAS D´ÁGUA EM CONCRETO SIMPLES FCK 20 MPA, INCLUINDO FORMA, ESCAVAÇÃO, CALÇAMENTO AO REDOR, VL1 E GRELHAS EM AÇO CA-25, CONFORME PROJETO</t>
  </si>
  <si>
    <t xml:space="preserve">PAE 1495</t>
  </si>
  <si>
    <t xml:space="preserve">BOCA DE BSCC 3,00 x 3,00 M - ESCONSIDADE 0° - AREIA E BRITA COMERCIAIS (REF SICRO, CÓD 0705249) - DETALHE DNIT BNAA 21</t>
  </si>
  <si>
    <t xml:space="preserve">PAE 1496</t>
  </si>
  <si>
    <t xml:space="preserve">GALERIA CELULAR EM ADUELA PRÉ-MOLDADA EM CONCRETO ARMADO, 3,00M X 3,00M (6340KG/M), ASSENTAMENTO E REJUNTAMENTO. EXCLUSIVE AQUISIÇÃO E TRANSPORTE.</t>
  </si>
  <si>
    <t xml:space="preserve">APLICAÇÃO DE GEOTÊXTIL NÃO-TECIDO AGULHADO RT-14</t>
  </si>
  <si>
    <t xml:space="preserve">PAE 1497</t>
  </si>
  <si>
    <t xml:space="preserve">CAIXA VERTEDOURA COM GUARDA-CORPO 2,25m x 2,25m x 2,50m</t>
  </si>
  <si>
    <t xml:space="preserve">PAE 1498</t>
  </si>
  <si>
    <t xml:space="preserve">CAIXA VERTEDOURA COM GUARDA-CORPO 11,00m x 11,00m x 2,50m</t>
  </si>
  <si>
    <t xml:space="preserve">PAE 1499</t>
  </si>
  <si>
    <t xml:space="preserve">BOCA DE DRAGÃO-8,00 M COM CAIXA DE PASSAGEM Ø 0,60 M</t>
  </si>
  <si>
    <t xml:space="preserve">PREPARO DE FUNDO DE VALA COM LARGURA MAIOR OU IGUAL A 1,5 M E MENOR QUE 2,5 M (ACERTO DO SOLO NATURAL). AF_08/2020</t>
  </si>
  <si>
    <t xml:space="preserve">CHAPISCO APLICADO EM ALVENARIAS E ESTRUTURAS DE CONCRETO INTERNAS, COM COLHER DE PEDREIRO.  ARGAMASSA TRAÇO 1:3 COM PREPARO MANUAL. AF_10/2022</t>
  </si>
  <si>
    <t xml:space="preserve">PAE 1501</t>
  </si>
  <si>
    <t xml:space="preserve">MURETA PARA CONTENÇÃO LATERAL DE RAMPA EM ALVENARIA DE TIJOLOS MACIÇOS, E=15 CM (1/2 VEZ), ALTURA 25 CM, COMPRIMENTO 5,50 M,   LATERAIS E TOPO CHAPISCADOS COM ARGAMASSA NO TRAÇO 1:3, E=0,5 CM E REBOCADOS COM ARGAMASSA NO TRAÇO 1:2:8, ESPESSURA=2 CM</t>
  </si>
  <si>
    <t xml:space="preserve">PAE 1502</t>
  </si>
  <si>
    <t xml:space="preserve">PAE 1503</t>
  </si>
  <si>
    <t xml:space="preserve">MEIO-FIO COM SARJETA, CONCRETO FCK=20 MPA, SEÇÃO 508 CM², MOLDADO NO LOCAL, INCLUSIVE ESCAVAÇÃO E PINTURA A CAL EM UMA DEMÃO.</t>
  </si>
  <si>
    <t xml:space="preserve">PAE 1504</t>
  </si>
  <si>
    <t xml:space="preserve">PV ESPECÍFICO TIPO EII - POÇO-DE-VISITA 3,00X6,00M (DIMENSÕES INTERNAS), EM ALV. DE TIJ. COM. DE 1 VEZ ASS. E REV. INTERN. COM ARG. DE CIM. E AREIA 1:3, EM ESTRUTURA DE CONC. ARMADO FCK = 25MPA, INCL. FORMA, ESC. MANUAL E REAT. APILOADO</t>
  </si>
  <si>
    <t>VPPII</t>
  </si>
  <si>
    <t xml:space="preserve">PAE 1505</t>
  </si>
  <si>
    <t xml:space="preserve">MICROGRELHA UNIDIRECIONAL EM POLIÉSTER - RESISTÊNCIA À TRAÇÃO LONGITUDINAL DE 45 KN/M - FORNECIMENTO E INSTALAÇÃO </t>
  </si>
  <si>
    <t xml:space="preserve">MICROGRELHA UNIDIRECIONAL EM POLIÉSTER - RESISTÊNCIA À TRAÇÃO LONGITUDINAL DE 45 KN/M</t>
  </si>
  <si>
    <t xml:space="preserve">PAE 1506</t>
  </si>
  <si>
    <t xml:space="preserve">GEOGRELHA UNIDIRECIONAL EM POLIÉSTER - RESISTÊNCIA À TRAÇÃO LONGITUDINAL DE 120 KN/M - FORNECIMENTO E INSTALAÇÃO </t>
  </si>
  <si>
    <t xml:space="preserve">GEOGRELHA UNIDIRECIONAL EM POLIÉSTER - RESISTÊNCIA À TRAÇÃO LONGITUDINAL DE 120 KN/M</t>
  </si>
  <si>
    <t xml:space="preserve">PAE 1507</t>
  </si>
  <si>
    <t xml:space="preserve">GEOGRELHA UNIDIRECIONAL EM POLIÉSTER - RESISTÊNCIA À TRAÇÃO LONGITUDINAL DE 150 KN/M - FORNECIMENTO E INSTALAÇÃO </t>
  </si>
  <si>
    <t xml:space="preserve">PAE 1508</t>
  </si>
  <si>
    <t xml:space="preserve">GEOGRELHA UNIDIRECIONAL EM POLIÉSTER - RESISTÊNCIA À TRAÇÃO LONGITUDINAL DE 300 KN/M - FORNECIMENTO E INSTALAÇÃO (REF SICRO, CÓD 1516301).</t>
  </si>
  <si>
    <t xml:space="preserve">GEOGRELHA UNIDIRECIONAL EM POLIÉSTER - RESISTÊNCIA À TRAÇÃO LONGITUDINAL DE 300 KN/M</t>
  </si>
  <si>
    <t xml:space="preserve">REF SICRO 1516301</t>
  </si>
  <si>
    <t xml:space="preserve">PAE 1509</t>
  </si>
  <si>
    <t xml:space="preserve">PV ESPECÍFICO TIPO EI - POÇO-DE-VISITA 3,00X6,00M (DIMENSÕES INTERNAS), EM ALV. DE TIJ. COM. DE 1 VEZ ASS. E REV. INTERN. COM ARG. DE CIM. E AREIA 1:3, EM ESTRUTURA DE CONC. ARMADO FCK = 25MPA, INCL. FORMA, ESC. MANUAL E REAT. APILOADO</t>
  </si>
  <si>
    <t xml:space="preserve">CERCA DE FECHAMENTO COM TELA E MURETA, INCLUSO CAIACAO - VER DETALHE ANEXO A-121</t>
  </si>
  <si>
    <t xml:space="preserve"> COMP AGESUL CIVIL - VER ANEXO A-121 PETTRA</t>
  </si>
  <si>
    <t>3,7000000</t>
  </si>
  <si>
    <t>0,0541000</t>
  </si>
  <si>
    <t>0,0038000</t>
  </si>
  <si>
    <t>5,3530000</t>
  </si>
  <si>
    <t>0,3400000</t>
  </si>
  <si>
    <t>8,7730000</t>
  </si>
  <si>
    <t>0,4000000</t>
  </si>
  <si>
    <t>0,0276000</t>
  </si>
  <si>
    <t xml:space="preserve">TIJOLO CERAMICO MACICO COMUM *5 X 10 X 20* CM (L X A X C)</t>
  </si>
  <si>
    <t>42,0000000</t>
  </si>
  <si>
    <t xml:space="preserve">SARRAFO NAO APARELHADO 2,5 X 5 CM, EM MACARANDUBA, ANGELIM OU EQUIVALENTE DA REGIAO -  BRUTA</t>
  </si>
  <si>
    <t>0,7000000</t>
  </si>
  <si>
    <t>1,4500000</t>
  </si>
  <si>
    <t>1,5290000</t>
  </si>
  <si>
    <t>0,0950000</t>
  </si>
  <si>
    <t>1,9440000</t>
  </si>
  <si>
    <t>0,2500000</t>
  </si>
  <si>
    <t xml:space="preserve">MEMÓRIA DE CÁLCULO</t>
  </si>
  <si>
    <t xml:space="preserve">A =  Largura x Comprimento x Quantidade</t>
  </si>
  <si>
    <t xml:space="preserve">A = 2,00 x 4,00 x 1,00</t>
  </si>
  <si>
    <t xml:space="preserve">A = 8,00 m²</t>
  </si>
  <si>
    <t xml:space="preserve">Q = 1,00 Unidade</t>
  </si>
  <si>
    <t xml:space="preserve">Q = 6,00 meses</t>
  </si>
  <si>
    <t xml:space="preserve">H = H/Mês x Quantidade de meses</t>
  </si>
  <si>
    <t xml:space="preserve">H = 90,00 x 6,00</t>
  </si>
  <si>
    <t xml:space="preserve">H = 540,00</t>
  </si>
  <si>
    <t xml:space="preserve">H = 60,00 x 6,00</t>
  </si>
  <si>
    <t xml:space="preserve">H = 360,00</t>
  </si>
  <si>
    <t xml:space="preserve">H = 70,00 x 6,00</t>
  </si>
  <si>
    <t xml:space="preserve">H = 420,00</t>
  </si>
  <si>
    <t>Considerações:</t>
  </si>
  <si>
    <t xml:space="preserve">Será considerado que 30% da área de fresagem com remoção de capa será também necessária a recomposição da base.</t>
  </si>
  <si>
    <t xml:space="preserve">V = 1,60 m³ (Ver Anexo MC 01)</t>
  </si>
  <si>
    <t xml:space="preserve">V = V.Item Anterior x Fator de consumo material solto (Material a ser transportado ao depósito da PMD.)</t>
  </si>
  <si>
    <t xml:space="preserve">V = 1,60 m³ x 1,05</t>
  </si>
  <si>
    <t xml:space="preserve">V = 1,68 m³</t>
  </si>
  <si>
    <t xml:space="preserve">M³xKm = V.Item Anterior x DMT</t>
  </si>
  <si>
    <t xml:space="preserve">M³xKm = 1,68 m³ x 2,30 Km</t>
  </si>
  <si>
    <t xml:space="preserve">M³xKm = 3,86</t>
  </si>
  <si>
    <t xml:space="preserve">A = Área Fresagem x Percentual Item 3.0</t>
  </si>
  <si>
    <t xml:space="preserve">A = 52,03 m² (Ver Anexo MC 01) x 0,30</t>
  </si>
  <si>
    <t xml:space="preserve">A = 15,61 m²</t>
  </si>
  <si>
    <t xml:space="preserve">V = A.Item Anterior x Espessura Média x Empolamento (Material a ser transportado ao depósito da PMD.)</t>
  </si>
  <si>
    <t xml:space="preserve">V = 15,61 m³ x 0,19 x 1,25</t>
  </si>
  <si>
    <t xml:space="preserve">V = 3,71 m³</t>
  </si>
  <si>
    <t xml:space="preserve">M³xKm = V.Item Anterior x DMT </t>
  </si>
  <si>
    <t xml:space="preserve">M³xKm = 3,71 m³ x 2,30 Km</t>
  </si>
  <si>
    <t xml:space="preserve">M³xKm = 8,53</t>
  </si>
  <si>
    <t xml:space="preserve">A = 15,61 m² (Ver Item 3.4)</t>
  </si>
  <si>
    <t xml:space="preserve">V = Área Fresagem x Espessura x Percentual Item 3.0</t>
  </si>
  <si>
    <t xml:space="preserve">V = 52,03 (Ver Anexo MC 01) x 0,15 x 0,30</t>
  </si>
  <si>
    <t xml:space="preserve">V = 2,34 m³</t>
  </si>
  <si>
    <t xml:space="preserve">V = V.Item Anterior x 1,375</t>
  </si>
  <si>
    <t xml:space="preserve">V = 2,34 m³ x 1,375</t>
  </si>
  <si>
    <t xml:space="preserve">V = 3,22 m³</t>
  </si>
  <si>
    <t xml:space="preserve">M³xKm = 3,22 m³ x 6,30 Km</t>
  </si>
  <si>
    <t xml:space="preserve">M³xKm = 20,29</t>
  </si>
  <si>
    <t xml:space="preserve">M³xKm = V.Item 3.9 x DMT</t>
  </si>
  <si>
    <t xml:space="preserve">M³xKm = 3,22 m³ x 12,00 Km</t>
  </si>
  <si>
    <t xml:space="preserve">M³xKm = 38,64</t>
  </si>
  <si>
    <t xml:space="preserve">A = Área de Fresagem x 0,70</t>
  </si>
  <si>
    <t xml:space="preserve">A = 52,03 m² (Ver Anexo MC 01) x 0,70</t>
  </si>
  <si>
    <t xml:space="preserve">A = 36,42 m²</t>
  </si>
  <si>
    <t xml:space="preserve">TxKm = A.Item Anterior x Consumo X DMT / Fator de Conversão para Tonelada</t>
  </si>
  <si>
    <t xml:space="preserve">TxKm = 36,42 m² x 0,50 x 30,00/1000</t>
  </si>
  <si>
    <t xml:space="preserve">TxKm = 0,55</t>
  </si>
  <si>
    <t xml:space="preserve">TxKm = A.Item 3.12 x Consumo X DMT / Fator de Conversão para Tonelada</t>
  </si>
  <si>
    <t xml:space="preserve">TxKm = 36,42 m² x 0,50 x 171,00/1000</t>
  </si>
  <si>
    <t xml:space="preserve">TxKm = 3,11</t>
  </si>
  <si>
    <t xml:space="preserve">TxKm = A.Item Anterior x Consumo x DMT / Fator de Conversão para Tonelada</t>
  </si>
  <si>
    <t xml:space="preserve">TxKm = 15,61 m² x 1,20 x 30,00/1000</t>
  </si>
  <si>
    <t xml:space="preserve">TxKm = 0,56</t>
  </si>
  <si>
    <t xml:space="preserve">TxKm = A.Item 3.15 x Consumo x DMT / Fator de Conversão para Tonelada</t>
  </si>
  <si>
    <t xml:space="preserve">TxKm = 15,61 m² x 1,20 x 171,00/1000</t>
  </si>
  <si>
    <t xml:space="preserve">TxKm = 3,20</t>
  </si>
  <si>
    <t xml:space="preserve">Kg = V. Fresagem x Densidade CBUQ</t>
  </si>
  <si>
    <t xml:space="preserve">Kg = 1,60 m³ (Ver Anexo MC 01) x 2,5548</t>
  </si>
  <si>
    <t xml:space="preserve">Kg = 4,09 t</t>
  </si>
  <si>
    <t xml:space="preserve">Kg = 4,09 t (Ver Item Anterior)</t>
  </si>
  <si>
    <t xml:space="preserve">M³xKm = (Kg.CBUQ /Densidade) x DMT</t>
  </si>
  <si>
    <t xml:space="preserve">M³xKm = 4,09 t /2,5548 x 6,30 Km</t>
  </si>
  <si>
    <t xml:space="preserve">M³xKm = 10,09</t>
  </si>
  <si>
    <t xml:space="preserve">TxKm = Kg.CBUQ x DMT</t>
  </si>
  <si>
    <t xml:space="preserve">TxKm = 4,09 t x 12,00 Km</t>
  </si>
  <si>
    <t xml:space="preserve">TxKm = 49,08</t>
  </si>
  <si>
    <t xml:space="preserve">V = V.Remendo Profundo Tipo 1 (Ver Anexo MC 01)</t>
  </si>
  <si>
    <t xml:space="preserve">V = 15,03 m³</t>
  </si>
  <si>
    <t xml:space="preserve">V = V.Item Anterior x Empolamento (Material a ser transportado ao depósito da PMD)</t>
  </si>
  <si>
    <t xml:space="preserve">V = 15,03 m³ x 1,25</t>
  </si>
  <si>
    <t xml:space="preserve">V = 18,79 m³</t>
  </si>
  <si>
    <t xml:space="preserve">M³xKm = 18,79 m³ x 2,30 Km</t>
  </si>
  <si>
    <t xml:space="preserve">M³xKm = 43,22</t>
  </si>
  <si>
    <t xml:space="preserve">A = 58,29 m² (Ver Anexo MC 01)</t>
  </si>
  <si>
    <t xml:space="preserve">V = V.Remendo Profundo Tipo 2 (Ver Anexo MC 01)</t>
  </si>
  <si>
    <t xml:space="preserve">V = 948,68 m³</t>
  </si>
  <si>
    <t xml:space="preserve">V = V. Item Anterior x Empolamento (Material a ser transportado ao depósito da PMD)</t>
  </si>
  <si>
    <t xml:space="preserve">V = 948,68 m³ x 1,25</t>
  </si>
  <si>
    <t xml:space="preserve">V = 1.185,85 m³</t>
  </si>
  <si>
    <t xml:space="preserve">M³xKm = 1.185,85 m³ x 2,30 Km</t>
  </si>
  <si>
    <t xml:space="preserve">M³xKm = 2.727,46</t>
  </si>
  <si>
    <t xml:space="preserve">V = 4.460,28 m³ (Ver Item 3.30)</t>
  </si>
  <si>
    <t xml:space="preserve">* Será utilizado 90% do material de corte do sub-leito.</t>
  </si>
  <si>
    <t xml:space="preserve">V Reap. = 607,62 m³ (Ver Anexo MC 04) x 0,90 %</t>
  </si>
  <si>
    <t xml:space="preserve">V Reap. = 546,86 m³</t>
  </si>
  <si>
    <t xml:space="preserve">V = (V. Item 3.33 - V. Reap) x Empolamento</t>
  </si>
  <si>
    <t xml:space="preserve">V = (4.601,66 m³ - 546,86 m³) x 1,10</t>
  </si>
  <si>
    <t xml:space="preserve">V = 4.460,28 m³</t>
  </si>
  <si>
    <t xml:space="preserve">M³xKm = (V.Item 3.33 - V. Reap) x DMT x Empolamento</t>
  </si>
  <si>
    <t xml:space="preserve">M³xKm = (4.601,66 m³ - 546,86 m³) x 17,10 Km x 1,30</t>
  </si>
  <si>
    <t xml:space="preserve">M³xKm = 90.138,20</t>
  </si>
  <si>
    <t xml:space="preserve">M³xKm = (4.601,66 m³ - 546,86 m³) x 11,70 Km x 1,30</t>
  </si>
  <si>
    <t xml:space="preserve">M³xKm = 61.673,51</t>
  </si>
  <si>
    <t xml:space="preserve">* Será considerado além da área de remendo tipo II (Anexo MC 01) + 12% da área de regularização + reciclagem</t>
  </si>
  <si>
    <t xml:space="preserve">A = A. Remendo Tipo II + 0,10 x (A. Regularização + A. Reciclagem - A. Remendo Tipo II)</t>
  </si>
  <si>
    <t xml:space="preserve">A = 6.117,12 m² + 0,12 x (8.734,52 m² + 23.100,85 m² - 6.117,12 m²)</t>
  </si>
  <si>
    <t xml:space="preserve">A = 9.203,31 m²</t>
  </si>
  <si>
    <t xml:space="preserve">V. Reaterro = 9.203,31 m² x 0,50</t>
  </si>
  <si>
    <t xml:space="preserve">V. Reaterro = 4.601,66 m³</t>
  </si>
  <si>
    <t xml:space="preserve">* Obs: Será executado na área de recapeamento.</t>
  </si>
  <si>
    <t xml:space="preserve">V = (V.Base + Capa - V.Capa) Remendo Profundo I e II</t>
  </si>
  <si>
    <t xml:space="preserve">V = (15,03 m³ - 2,65 m³) + (1,66 m³ - 0,17 m³) (Ver Anexo MC 01)</t>
  </si>
  <si>
    <t xml:space="preserve">V = 13,87 m³</t>
  </si>
  <si>
    <t xml:space="preserve">V = V.Item Anterior x Consumo</t>
  </si>
  <si>
    <t xml:space="preserve">V = 13,87 m³ x 1,375</t>
  </si>
  <si>
    <t xml:space="preserve">V = 19,07 m³</t>
  </si>
  <si>
    <t xml:space="preserve">M³xKm = 19,07 m³ x 6,30 Km</t>
  </si>
  <si>
    <t xml:space="preserve">M³xKm = 120,14</t>
  </si>
  <si>
    <t xml:space="preserve">M³xKm = V.Item 3.35 x DMT</t>
  </si>
  <si>
    <t xml:space="preserve">M³xKm = 19,07 m³ x 12,00 Km</t>
  </si>
  <si>
    <t xml:space="preserve">M³xKm = 228,84</t>
  </si>
  <si>
    <t xml:space="preserve">A = A.Remendo Tipo I e II</t>
  </si>
  <si>
    <t xml:space="preserve">A = 58,29 m² + 5,52 m² (Ver Anexo MC 01)</t>
  </si>
  <si>
    <t xml:space="preserve">A = 63,81 m²</t>
  </si>
  <si>
    <t xml:space="preserve">TxKm = Consumo x A.Item Anterior x DMT / Fator de Conversão para Tonelada</t>
  </si>
  <si>
    <t xml:space="preserve">TxKm = 1,20 x 63,81 m² x 30,00/1000</t>
  </si>
  <si>
    <t xml:space="preserve">TxKm = 2,30</t>
  </si>
  <si>
    <t xml:space="preserve">TxKm = Consumo x A.Item 3.38 x DMT / Fator de Conversão para Tonelada</t>
  </si>
  <si>
    <t xml:space="preserve">TxKm = 1,20 x 63,81 m² x 171,00/1000</t>
  </si>
  <si>
    <t xml:space="preserve">TxKm = 13,09</t>
  </si>
  <si>
    <t xml:space="preserve">Kg = V.Capa Remendo Tipo I e II x Densidade CBUQ</t>
  </si>
  <si>
    <t xml:space="preserve">Kg = (2,65 m³ + 0,17 m³) (Ver Anexo MC 01) x 2,5548</t>
  </si>
  <si>
    <t xml:space="preserve">Kg = 7,20 t</t>
  </si>
  <si>
    <t xml:space="preserve">Kg = 7,20 t (Ver Item Anterior)</t>
  </si>
  <si>
    <t xml:space="preserve">M³xKm = (Kg.CBUQ/Densidade) x DMT</t>
  </si>
  <si>
    <t xml:space="preserve">M³xKm = (7,20 t /2,5548) x 6,30 Km</t>
  </si>
  <si>
    <t xml:space="preserve">M³xKm = 17,75</t>
  </si>
  <si>
    <t xml:space="preserve">TxKm = 7,20 t x 12,00 Km</t>
  </si>
  <si>
    <t xml:space="preserve">TxKm = 86,40</t>
  </si>
  <si>
    <t xml:space="preserve">A = A.Recapeamento </t>
  </si>
  <si>
    <t xml:space="preserve">A = 2.925,23 m² (Ver Item 4.2) </t>
  </si>
  <si>
    <t xml:space="preserve">A = 2.925,23 m² (Ver Anexo MC 02)</t>
  </si>
  <si>
    <t xml:space="preserve">V = 93,60 m³ (Ver Anexo MC 02) </t>
  </si>
  <si>
    <t xml:space="preserve">M³xKm = V.CBUQ Item Anterior x DMT</t>
  </si>
  <si>
    <t xml:space="preserve">M³xKm = 93,60 m³ x 6,30 Km</t>
  </si>
  <si>
    <t xml:space="preserve">M³xKm = 589,68</t>
  </si>
  <si>
    <t xml:space="preserve">TxKm =  (V.Item 4.4 x Densidade) x DMT</t>
  </si>
  <si>
    <t xml:space="preserve">TxKm = (93,60 m³ x 2,5548) x 12,00 Km</t>
  </si>
  <si>
    <t xml:space="preserve">TxKm = 2.869,55</t>
  </si>
  <si>
    <t xml:space="preserve">TxKm = Consumo x Área Pintura de Ligação x DMT / Fator de Conversão para Tonelada</t>
  </si>
  <si>
    <t xml:space="preserve">TxKm = 0,50 x 2.925,23 x 30,00 / 1000</t>
  </si>
  <si>
    <t xml:space="preserve">TxKm = 43,88</t>
  </si>
  <si>
    <t xml:space="preserve">TxKm = 0,50 x 2.925,23 x 171,00 / 1000</t>
  </si>
  <si>
    <t xml:space="preserve">TxKm = 250,11</t>
  </si>
  <si>
    <t xml:space="preserve">L = 1.665,02 m (Ver Anexo MC 05)</t>
  </si>
  <si>
    <t xml:space="preserve">* Material a ser reaproveitado na reconstrução da base</t>
  </si>
  <si>
    <t xml:space="preserve">V = V. Base Reciclada + L. Meio-fio x H médio Meio-fio x  L. Sarjeta</t>
  </si>
  <si>
    <t xml:space="preserve">V = 1.180,21 m³ + (1.665,02 m + 145,31 m) x 0,11 x 0,30 (Ver Anexo MC 04)</t>
  </si>
  <si>
    <t xml:space="preserve">V = 1.239,95 m³</t>
  </si>
  <si>
    <t xml:space="preserve">V = V. Item Anterior x Empolamento</t>
  </si>
  <si>
    <t xml:space="preserve">V = 1.239,95 m³ x 1,25</t>
  </si>
  <si>
    <t xml:space="preserve">V = 1.549,94 m³</t>
  </si>
  <si>
    <t xml:space="preserve">M³xKm = V.Item Anterior x DMT (Material a ser transportado ao depósito da PMD)</t>
  </si>
  <si>
    <t xml:space="preserve">M³xKm = 1.549,94 m³ x 2,30 Km</t>
  </si>
  <si>
    <t xml:space="preserve">M³xKm = 3.564,86</t>
  </si>
  <si>
    <t xml:space="preserve">V = V. Demolição Calçada + V. Meio-fio (Ver Anexo MC 04)</t>
  </si>
  <si>
    <t xml:space="preserve">V = 46,61 m³ + (1.665,02 m + 145,31 m) x 0,0285</t>
  </si>
  <si>
    <t xml:space="preserve">V = 98,20 m³</t>
  </si>
  <si>
    <t xml:space="preserve">T = V. Item Anterior x Peso</t>
  </si>
  <si>
    <t xml:space="preserve">T = 98,20 m³ x 2,40</t>
  </si>
  <si>
    <t xml:space="preserve">T = 235,68 t</t>
  </si>
  <si>
    <t xml:space="preserve">TxKm = Peso Item Anterior x DMT</t>
  </si>
  <si>
    <t xml:space="preserve">TxKm = 235,68 t x 5,00 Km</t>
  </si>
  <si>
    <t xml:space="preserve">TxKm = 1.178,40</t>
  </si>
  <si>
    <t xml:space="preserve">A = 8.734,52 m² (Ver Anexo MC 04)</t>
  </si>
  <si>
    <t xml:space="preserve">V = 607,62 m³ (Ver anexo MC 04)</t>
  </si>
  <si>
    <t xml:space="preserve">* Será utilizado 90% do material de corte do sub-leito para reaterro do remendo tipo II.</t>
  </si>
  <si>
    <t xml:space="preserve">M³xKm = V. Item Anterior x 10 % x DMT x Empolamento</t>
  </si>
  <si>
    <t xml:space="preserve">M³xKm = (607,62 m³ x 0,10) x 5,00 Km x 1,30</t>
  </si>
  <si>
    <t xml:space="preserve">M³xKm = 394,95</t>
  </si>
  <si>
    <t xml:space="preserve">Será considerada um reaproveitamento de 90% da base reciclada que deverá ser misturada com bica corrida para se atingir os padrões exigidos pelas especificações técnicas.</t>
  </si>
  <si>
    <t xml:space="preserve">V = 1.572,00 m³ (Ver Anexo MC 04)</t>
  </si>
  <si>
    <t xml:space="preserve">V = V. Item 5.2 x 90% x Empolamento</t>
  </si>
  <si>
    <t xml:space="preserve">V = 1.239,95 m³ x 0,90 x 1,25</t>
  </si>
  <si>
    <t xml:space="preserve">V = 1.394,94 m³</t>
  </si>
  <si>
    <t xml:space="preserve">M³xKm = V. Item Anterior x DMT (Material a ser transportado do depósito da PMD)</t>
  </si>
  <si>
    <t xml:space="preserve">M³xKm  = 1.394,94 m³ x 2,30 Km</t>
  </si>
  <si>
    <t xml:space="preserve">M³xKm = 3.208,36</t>
  </si>
  <si>
    <t xml:space="preserve">V = (V.Base (Ver Item 5.11) - (V.Base reciclada (Ver Item 5.2) x Coef. Material Solto x % item 5.13)) x Consumo</t>
  </si>
  <si>
    <t xml:space="preserve">V = (1.572,00 m³ - (1.239,95 m³ x 0,90 x 1,25)) x 1,375</t>
  </si>
  <si>
    <t xml:space="preserve">V = 243,45 m³</t>
  </si>
  <si>
    <t xml:space="preserve">M³xKm = 243,45 m³ x 6,30 Km </t>
  </si>
  <si>
    <t xml:space="preserve">M³xKm = 1.533,74</t>
  </si>
  <si>
    <t xml:space="preserve">M³xKm = V.Item 5.14 x DMT</t>
  </si>
  <si>
    <t xml:space="preserve">M³xKm = 243,45 m³ x 12,00 Km </t>
  </si>
  <si>
    <t xml:space="preserve">M³xKm = 2.921,40</t>
  </si>
  <si>
    <t xml:space="preserve">A = 7.612,11 m² (Ver Anexo MC 04)</t>
  </si>
  <si>
    <t xml:space="preserve">TxKm = 1,20 x 7.612,11 m² x 30,00 / 1000</t>
  </si>
  <si>
    <t xml:space="preserve">TxKm = 274,04</t>
  </si>
  <si>
    <t xml:space="preserve">TxKm = Consumo x A. Item 5.17 x DMT / Fator de Conversão para Tonelada</t>
  </si>
  <si>
    <t xml:space="preserve">TxKm = 1,20 x 7.612,11 m² x 171,00/1000</t>
  </si>
  <si>
    <t xml:space="preserve">TxKm = 1.562,00</t>
  </si>
  <si>
    <t xml:space="preserve">V = 280,83 m³ (Ver Anexo MC 04)</t>
  </si>
  <si>
    <t xml:space="preserve">M³xKm = V. Item Anterior x DMT</t>
  </si>
  <si>
    <t xml:space="preserve">M³xKm = 280,83 m³ x 6,30 Km</t>
  </si>
  <si>
    <t xml:space="preserve">M³xKm = 1.769,23</t>
  </si>
  <si>
    <t xml:space="preserve">TxKm = (V.Item 5.20 x Densidade CBUQ) x DMT</t>
  </si>
  <si>
    <t xml:space="preserve">TxKm = (280,83 m³ x 2,5548) x 12,00 Km</t>
  </si>
  <si>
    <t xml:space="preserve">TxKm = 8.609,57</t>
  </si>
  <si>
    <t xml:space="preserve">L = L. Meio-fio com calçada + L. Meio-fio sem calçada</t>
  </si>
  <si>
    <t xml:space="preserve">L = 1.665,02 m + 145,31 m (Ver Anexo MC 04)</t>
  </si>
  <si>
    <t xml:space="preserve">L = 1.810,33 m</t>
  </si>
  <si>
    <t xml:space="preserve">M³xKm = Fator de Consumo de Material x (Comprimento do Meio-fio 615 cm² x Área de Seção do Meio-fio) x DMT x Consumo</t>
  </si>
  <si>
    <t xml:space="preserve">M³xKm = 0,5872 x (1.810,33 m (Ver Item Anterior) x 0,0615)  x 6,30 Km x 1,10</t>
  </si>
  <si>
    <t xml:space="preserve">M³xKm = 453,06</t>
  </si>
  <si>
    <t xml:space="preserve">M³xKm = 0,5872 x (1.810,33 m (Ver Item 5.23)  x 0,0615) x 12,00 Km x 1,10</t>
  </si>
  <si>
    <t xml:space="preserve">M³xKm = 862,96</t>
  </si>
  <si>
    <t xml:space="preserve">V = 46,61 m³ (Ver Anexo MC 04)</t>
  </si>
  <si>
    <t xml:space="preserve">M³xKm = Fator de Consumo de Material x V. Item Anterior x DMT x Consumo</t>
  </si>
  <si>
    <t xml:space="preserve">M³xKm = 0,5872 x 46,61 m³ x 6,30 Km x 1,10</t>
  </si>
  <si>
    <t xml:space="preserve">M³xKm = 189,67</t>
  </si>
  <si>
    <t xml:space="preserve">M³xKm = Fator de Consumo de Material x V. Item 5.28 x DMT x Consumo</t>
  </si>
  <si>
    <t xml:space="preserve">M³xKm = 0,5872 x 46,61 m³ x 12,00 Km x 1,10</t>
  </si>
  <si>
    <t xml:space="preserve">M³xKm = 361,28</t>
  </si>
  <si>
    <t xml:space="preserve">L = 275,47 m (Ver Anexo MC 01)</t>
  </si>
  <si>
    <t xml:space="preserve">* Será adotado nas bases de solo laterítico e seixo argiloso</t>
  </si>
  <si>
    <t xml:space="preserve">V = V. Solo Laterítico + V Solo Seixo Argiloso</t>
  </si>
  <si>
    <t xml:space="preserve">V = 1.668,57 + 854,09 (Ver Anexo MC 03)</t>
  </si>
  <si>
    <t xml:space="preserve">V = 2.522,66 m³ </t>
  </si>
  <si>
    <t xml:space="preserve">* Será considerado que em 30% da base com adição de cimento e 50% da base com bica corrida será adicionado 20% de agregado.</t>
  </si>
  <si>
    <t xml:space="preserve">V = Percentual adotado x V. Base reciclada </t>
  </si>
  <si>
    <t xml:space="preserve">V = 0,20 x (0,30 x V. Item 6.2 + V. Item 6.7)</t>
  </si>
  <si>
    <t xml:space="preserve">V = 0,20 x (0,30 x 2.522,66 m³ + 578,09 m³)</t>
  </si>
  <si>
    <t xml:space="preserve">V = 266,98 m³</t>
  </si>
  <si>
    <t xml:space="preserve">* Será considerado a aplicação de bica corrida para diferença de altura entre a base existente e a base reciclada.</t>
  </si>
  <si>
    <t xml:space="preserve">V = (V. Base Existente - V. Base Reciclada) x 1,375</t>
  </si>
  <si>
    <t xml:space="preserve">V = (3.753,96 m³ - 3.678,84 m³) x 1,375</t>
  </si>
  <si>
    <t xml:space="preserve">V = 103,29 m³</t>
  </si>
  <si>
    <t xml:space="preserve">M³xkm = (V.Item 6.3 x DMT x Consumo) + (V. Item 6.4 x DMT)</t>
  </si>
  <si>
    <t xml:space="preserve">M³xkm = (266,98 m³ x 6,30 Km x 1,10) + (103,29 m³ x 6,30 Km)</t>
  </si>
  <si>
    <t xml:space="preserve">M³xkm = 2.500,90</t>
  </si>
  <si>
    <t xml:space="preserve">M³xkm = (266,98 m³ x 12,00 Km x 1,10) + (103,29 m³ x 12,00 Km)</t>
  </si>
  <si>
    <t xml:space="preserve">M³xkm = 4.763,62</t>
  </si>
  <si>
    <t xml:space="preserve">V = 1.156,18 m³ (Ver Anexo MC 03) x 0,50 </t>
  </si>
  <si>
    <t xml:space="preserve">V = 578,09 m³</t>
  </si>
  <si>
    <t xml:space="preserve">* Considerado 50% do pavimento com base de bica corrida.</t>
  </si>
  <si>
    <t xml:space="preserve">A = 23.100,85 m² (Ver Anexo MC 03)</t>
  </si>
  <si>
    <t xml:space="preserve">TxKm = 1,20 x  23.100,85 m² x 30,00/1000</t>
  </si>
  <si>
    <t xml:space="preserve">TxKm = 831,63</t>
  </si>
  <si>
    <t xml:space="preserve">TxKm = Consumo x A.Item 6.9 x DMT / Fator de Conversão para Tonelada</t>
  </si>
  <si>
    <t xml:space="preserve">TxKm = 1,20 x  23.100,85 m² x 171,00/1000</t>
  </si>
  <si>
    <t xml:space="preserve">TxKm = 4.740,29</t>
  </si>
  <si>
    <t xml:space="preserve">V = 776,22 m³ (Ver Anexo MC 03)</t>
  </si>
  <si>
    <t xml:space="preserve">M³xKm = 776,22 m³ x 6,30 Km</t>
  </si>
  <si>
    <t xml:space="preserve">M³xKm = 4.890,19</t>
  </si>
  <si>
    <t xml:space="preserve">TxKm = (V.Item 6.12 x Densidade CBUQ) x DMT </t>
  </si>
  <si>
    <t xml:space="preserve">TxKm = (776,22 m³ x 2,5548) x 12,00 Km</t>
  </si>
  <si>
    <t xml:space="preserve">TxKm = 23.797,04</t>
  </si>
  <si>
    <t xml:space="preserve">A = A. Linha de Retenção + A. Escrita Parada Obrigatória + A. Pintura Meio-fio</t>
  </si>
  <si>
    <t xml:space="preserve">A = 53,96 m² + 70,08 m² + 225,48 m² (Ver Anexo MC 05)</t>
  </si>
  <si>
    <t xml:space="preserve">A = 349,52 m² </t>
  </si>
  <si>
    <t xml:space="preserve">L = L. Linha Dupla Contínua + L. Linha Simples Seccionada +L. Marca Delimitadora de Estacionamento Regulamentado</t>
  </si>
  <si>
    <t xml:space="preserve">L = 720,00 m + 1.816,00 + 520,00 m (Ver Anexo MC 05)</t>
  </si>
  <si>
    <t xml:space="preserve">L = 3.056,00 m</t>
  </si>
  <si>
    <t xml:space="preserve">Q = Q. Placa Parada Obrigatória + Q. Placa Proibido Conversão a Direita + Q. Placa Velocidade Máxima Permitida 50 Km/H </t>
  </si>
  <si>
    <t xml:space="preserve">Q = 25,00 + 1,00 + 33,00 (Ver Anexo MC 06)</t>
  </si>
  <si>
    <t xml:space="preserve">Q = 59,00 Unidades</t>
  </si>
  <si>
    <t xml:space="preserve">Q = 7,00 Unidades (Ver Anexo MC 01)</t>
  </si>
  <si>
    <t xml:space="preserve">V = L.Meio Fio x Área de Seção + V. Calçada</t>
  </si>
  <si>
    <t xml:space="preserve">V = ((1.457,65 m + 130,40 m) x 0,0615) + 40,83 m³ (Ver Anexo MC 01)</t>
  </si>
  <si>
    <t xml:space="preserve">V = 138,50 m³</t>
  </si>
  <si>
    <t xml:space="preserve">T = 138,50 m³ x 2,40</t>
  </si>
  <si>
    <t xml:space="preserve">T = 332,40 t</t>
  </si>
  <si>
    <t xml:space="preserve">TxKm = 332,40 t x 5,00 Km</t>
  </si>
  <si>
    <t xml:space="preserve">TxKm = 1.662,00</t>
  </si>
  <si>
    <t xml:space="preserve">A = (L. Meio Fio com calçamento Tipo 01 + L.Meio Fio sem calçamento Tipo 01) x Largura de Sarjeta  + A.Calçada</t>
  </si>
  <si>
    <t xml:space="preserve">A = (1.457,65 m +130,40 m)  x 0,42 + (40,83 m³ / 0,07) (Ver Anexo MC 01) </t>
  </si>
  <si>
    <t xml:space="preserve">A = 1.250,27 m²</t>
  </si>
  <si>
    <t xml:space="preserve">L =  L.Meio Fio à reconstruir com Calçamento + L.Meio à reconstruir sem Calçamento</t>
  </si>
  <si>
    <t xml:space="preserve">L = 1.457,65 m + 130,40 m (Ver Anexo MC 01)</t>
  </si>
  <si>
    <t xml:space="preserve">L = 1.588,05 m </t>
  </si>
  <si>
    <t xml:space="preserve">M³xKm = 0,5872 x (1.588,05 m (Ver Item Anterior) x 0,0615)  x 6,30 Km x 1,10</t>
  </si>
  <si>
    <t xml:space="preserve">M³xKm = 391,88</t>
  </si>
  <si>
    <t xml:space="preserve">M³xKm = 0,5872 x (1.588,05 m (Ver Item 8.6) x 0,0615)  x 12,00 Km x 1,10</t>
  </si>
  <si>
    <t xml:space="preserve">M³xKm = 746,43</t>
  </si>
  <si>
    <t xml:space="preserve">V = 40,83 m³ (Ver Anexo MC 01)</t>
  </si>
  <si>
    <t xml:space="preserve">M³xKm = 0,5872 x 40,83 m³ x 6,30 Km x 1,10</t>
  </si>
  <si>
    <t xml:space="preserve">M³xKm = 166,15</t>
  </si>
  <si>
    <t xml:space="preserve">M³xKm = Fator de Consumo de Material x V. Item 8.9 x DMT x Consumo</t>
  </si>
  <si>
    <t xml:space="preserve">M³xKm = 0,5872 x 40,83 m³ x 12,00 Km x 1,10</t>
  </si>
  <si>
    <t xml:space="preserve">M³xKm = 316,47</t>
  </si>
  <si>
    <t xml:space="preserve">CRONOGRAMA GERAL</t>
  </si>
  <si>
    <t>PESO</t>
  </si>
  <si>
    <t>VALOR</t>
  </si>
  <si>
    <t xml:space="preserve">1 ° MÊS</t>
  </si>
  <si>
    <t xml:space="preserve">2 ° MÊS</t>
  </si>
  <si>
    <t xml:space="preserve">3 ° MÊS</t>
  </si>
  <si>
    <t xml:space="preserve">4 ° MÊS</t>
  </si>
  <si>
    <t xml:space="preserve">5 ° MÊS</t>
  </si>
  <si>
    <t xml:space="preserve">6 ° MÊS</t>
  </si>
  <si>
    <t xml:space="preserve">% Simples</t>
  </si>
  <si>
    <t xml:space="preserve">% Acumulada</t>
  </si>
  <si>
    <t xml:space="preserve">Total Simples (R$)</t>
  </si>
  <si>
    <t xml:space="preserve">Total Acumulado (R$)</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</si>
</sst>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8">
    <numFmt numFmtId="160" formatCode="#,##0.000_);\(#,##0.000\)"/>
    <numFmt numFmtId="161" formatCode="_-* #,##0.00_-;\-* #,##0.00_-;_-* &quot;-&quot;??_-;_-@_-"/>
    <numFmt numFmtId="162" formatCode="#,##0.00;\-\ #,##0.00;\-"/>
    <numFmt numFmtId="163" formatCode="0%;\-0%;\-"/>
    <numFmt numFmtId="164" formatCode="_-* #,##0.00000000_-;\-* #,##0.00000000_-;_-* &quot;-&quot;??.000000_-;_-@_-"/>
    <numFmt numFmtId="165" formatCode="0.00000000"/>
    <numFmt numFmtId="166" formatCode="0.000"/>
    <numFmt numFmtId="167" formatCode="#,##0.000"/>
    <numFmt numFmtId="168" formatCode="_-* #,##0.0000_-;\-* #,##0.0000_-;_-* &quot;-&quot;??.00_-;_-@_-"/>
    <numFmt numFmtId="169" formatCode="_(* #,##0.000_);_(* \(#,##0.000\);_(* &quot;-&quot;??_);_(@_)"/>
    <numFmt numFmtId="170" formatCode="0.000%"/>
    <numFmt numFmtId="171" formatCode="###,##0.00"/>
    <numFmt numFmtId="172" formatCode="_(* #,##0.00_);_(* \(#,##0.00\);_(* &quot;-&quot;??_);_(@_)"/>
    <numFmt numFmtId="173" formatCode="#,##0.0000000"/>
    <numFmt numFmtId="174" formatCode="0.0000000"/>
    <numFmt numFmtId="175" formatCode="#,##0.000000"/>
    <numFmt numFmtId="176" formatCode="0.00000"/>
    <numFmt numFmtId="177" formatCode="0.000000000"/>
  </numFmts>
  <fonts count="78">
    <font>
      <name val="Calibri"/>
      <color theme="1"/>
      <sz val="10.000000"/>
      <scheme val="minor"/>
    </font>
    <font>
      <name val="Calibri"/>
      <color indexed="4"/>
      <sz val="11.000000"/>
      <u/>
      <scheme val="minor"/>
    </font>
    <font>
      <name val="Arial"/>
      <sz val="10.000000"/>
    </font>
    <font>
      <name val="Calibri"/>
      <color theme="1"/>
      <sz val="11.000000"/>
      <scheme val="minor"/>
    </font>
    <font>
      <name val="Calibri"/>
      <sz val="11.000000"/>
      <scheme val="minor"/>
    </font>
    <font>
      <name val="Courier"/>
      <sz val="10.000000"/>
    </font>
    <font>
      <name val="Courier"/>
      <sz val="18.000000"/>
    </font>
    <font>
      <name val="Calibri"/>
      <sz val="11.000000"/>
    </font>
    <font>
      <name val="MS Sans Serif"/>
      <sz val="10.000000"/>
    </font>
    <font>
      <name val="Arial"/>
      <b/>
      <color theme="1"/>
      <sz val="10.000000"/>
    </font>
    <font>
      <name val="Arial"/>
      <color theme="1"/>
      <sz val="10.000000"/>
    </font>
    <font>
      <name val="Calibri"/>
      <b/>
      <color theme="1"/>
      <sz val="11.000000"/>
      <scheme val="minor"/>
    </font>
    <font>
      <name val="Arial"/>
      <b/>
      <color indexed="65"/>
      <sz val="10.000000"/>
    </font>
    <font>
      <name val="Arial"/>
      <b/>
      <color rgb="FF005CA9"/>
      <sz val="10.000000"/>
    </font>
    <font>
      <name val="Calibri"/>
      <b/>
      <color indexed="2"/>
      <sz val="10.000000"/>
      <scheme val="minor"/>
    </font>
    <font>
      <name val="Arial"/>
      <b/>
      <color indexed="2"/>
      <sz val="10.000000"/>
    </font>
    <font>
      <name val="Arial"/>
      <b/>
      <sz val="10.000000"/>
    </font>
    <font>
      <name val="Calibri"/>
      <b/>
      <color indexed="2"/>
      <sz val="11.000000"/>
      <scheme val="minor"/>
    </font>
    <font>
      <name val="Arial"/>
      <b/>
      <sz val="8.000000"/>
    </font>
    <font>
      <name val="Arial"/>
      <b/>
      <sz val="10.000000"/>
      <u/>
    </font>
    <font>
      <name val="Calibri"/>
      <b/>
      <sz val="11.000000"/>
      <scheme val="minor"/>
    </font>
    <font>
      <name val="Arial"/>
      <color indexed="2"/>
      <sz val="10.000000"/>
    </font>
    <font>
      <name val="Arial"/>
      <color rgb="FF0070C0"/>
      <sz val="10.000000"/>
    </font>
    <font>
      <name val="Arial"/>
      <b/>
      <color indexed="2"/>
      <sz val="10.000000"/>
      <u/>
    </font>
    <font>
      <name val="Arial"/>
      <color indexed="2"/>
      <sz val="12.000000"/>
    </font>
    <font>
      <name val="Arial"/>
      <b/>
      <color indexed="2"/>
      <sz val="9.000000"/>
    </font>
    <font>
      <name val="Arial Narrow"/>
      <b/>
      <color theme="1"/>
      <sz val="10.000000"/>
    </font>
    <font>
      <name val="Calibri"/>
      <color indexed="2"/>
      <sz val="10.000000"/>
      <scheme val="minor"/>
    </font>
    <font>
      <name val="Calibri"/>
      <b/>
      <color theme="1"/>
      <sz val="10.000000"/>
      <scheme val="minor"/>
    </font>
    <font>
      <name val="Arial"/>
      <sz val="12.000000"/>
    </font>
    <font>
      <name val="Arial"/>
      <b/>
      <sz val="12.000000"/>
    </font>
    <font>
      <name val="Calibri"/>
      <color theme="8" tint="-0.249977111117893"/>
      <sz val="12.000000"/>
      <scheme val="minor"/>
    </font>
    <font>
      <name val="Calibri"/>
      <color theme="1"/>
      <sz val="9.000000"/>
      <scheme val="minor"/>
    </font>
    <font>
      <name val="Arial"/>
      <b/>
      <color theme="1"/>
      <sz val="14.000000"/>
    </font>
    <font>
      <name val="Arial"/>
      <b/>
      <sz val="14.000000"/>
    </font>
    <font>
      <name val="Arial"/>
      <color theme="8" tint="-0.249977111117893"/>
      <sz val="12.000000"/>
    </font>
    <font>
      <name val="Arial"/>
      <b/>
      <sz val="9.000000"/>
    </font>
    <font>
      <name val="Arial"/>
      <sz val="9.000000"/>
    </font>
    <font>
      <name val="Arial"/>
      <b/>
      <color theme="8" tint="-0.249977111117893"/>
      <sz val="12.000000"/>
    </font>
    <font>
      <name val="Arial Narrow"/>
      <sz val="11.000000"/>
    </font>
    <font>
      <name val="Arial Narrow"/>
      <b/>
      <color theme="1"/>
      <sz val="11.000000"/>
    </font>
    <font>
      <name val="Arial Narrow"/>
      <b/>
      <sz val="11.000000"/>
    </font>
    <font>
      <name val="Arial"/>
      <b/>
      <color theme="8" tint="-0.249977111117893"/>
      <sz val="11.000000"/>
    </font>
    <font>
      <name val="Arial Narrow"/>
      <b/>
      <sz val="10.000000"/>
    </font>
    <font>
      <name val="Arial Narrow"/>
      <sz val="9.000000"/>
    </font>
    <font>
      <name val="Arial Narrow"/>
      <color theme="1"/>
      <sz val="11.000000"/>
    </font>
    <font>
      <name val="Arial Narrow"/>
      <sz val="10.000000"/>
    </font>
    <font>
      <name val="Arial"/>
      <b/>
      <sz val="11.000000"/>
    </font>
    <font>
      <name val="Calibri"/>
      <color theme="8" tint="-0.249977111117893"/>
      <sz val="11.000000"/>
      <scheme val="minor"/>
    </font>
    <font>
      <name val="Heveltica"/>
      <sz val="8.000000"/>
    </font>
    <font>
      <name val="Calibri"/>
      <color indexed="2"/>
      <sz val="11.000000"/>
      <scheme val="minor"/>
    </font>
    <font>
      <name val="Arial"/>
      <color indexed="56"/>
      <sz val="10.000000"/>
    </font>
    <font>
      <name val="Arial"/>
      <b/>
      <color indexed="56"/>
      <sz val="10.000000"/>
    </font>
    <font>
      <name val="Calibri"/>
      <color theme="1"/>
      <sz val="8.000000"/>
      <scheme val="minor"/>
    </font>
    <font>
      <name val="Calibri"/>
      <color theme="1"/>
      <sz val="12.000000"/>
      <scheme val="minor"/>
    </font>
    <font>
      <name val="Arial"/>
      <sz val="8.000000"/>
    </font>
    <font>
      <name val="Arial"/>
      <b/>
      <color theme="1"/>
      <sz val="12.000000"/>
    </font>
    <font>
      <name val="Arial"/>
      <b/>
      <color indexed="2"/>
      <sz val="8.000000"/>
    </font>
    <font>
      <name val="Arial"/>
      <color theme="1"/>
      <sz val="12.000000"/>
    </font>
    <font>
      <name val="Arial"/>
      <b/>
      <color indexed="2"/>
      <sz val="12.000000"/>
    </font>
    <font>
      <name val="Calibri"/>
      <b/>
      <color indexed="2"/>
      <sz val="16.000000"/>
      <scheme val="minor"/>
    </font>
    <font>
      <name val="Calibri"/>
      <b/>
      <color indexed="2"/>
      <sz val="14.000000"/>
      <scheme val="minor"/>
    </font>
    <font>
      <name val="Arial"/>
      <b/>
      <color indexed="2"/>
      <sz val="14.000000"/>
    </font>
    <font>
      <name val="Arial"/>
      <sz val="11.000000"/>
    </font>
    <font>
      <name val="Arial"/>
      <b/>
      <color rgb="FFED0000"/>
      <sz val="12.000000"/>
    </font>
    <font>
      <name val="Calibri"/>
      <b/>
      <color indexed="2"/>
      <sz val="8.000000"/>
      <scheme val="minor"/>
    </font>
    <font>
      <name val="Calibri"/>
      <b/>
      <color theme="1"/>
      <sz val="8.000000"/>
      <scheme val="minor"/>
    </font>
    <font>
      <name val="Arial"/>
      <b/>
      <color indexed="2"/>
      <sz val="16.000000"/>
    </font>
    <font>
      <name val="Calibri"/>
      <color indexed="2"/>
      <sz val="8.000000"/>
      <scheme val="minor"/>
    </font>
    <font>
      <name val="Calibri"/>
      <b/>
      <color indexed="2"/>
      <sz val="9.000000"/>
      <scheme val="minor"/>
    </font>
    <font>
      <name val="Calibri"/>
      <color indexed="2"/>
      <sz val="12.000000"/>
      <scheme val="minor"/>
    </font>
    <font>
      <name val="Calibri"/>
      <sz val="10.000000"/>
      <scheme val="minor"/>
    </font>
    <font>
      <name val="Times New Roman"/>
      <b/>
      <i/>
      <sz val="12.000000"/>
    </font>
    <font>
      <name val="Tahoma"/>
      <sz val="11.000000"/>
    </font>
    <font>
      <name val="Arial"/>
      <color indexed="4"/>
      <sz val="11.000000"/>
    </font>
    <font>
      <name val="Arial"/>
      <b/>
      <color indexed="4"/>
      <sz val="11.000000"/>
    </font>
    <font>
      <name val="Arial"/>
      <b/>
      <color indexed="2"/>
      <sz val="11.000000"/>
    </font>
    <font>
      <name val="Arial"/>
      <color indexed="2"/>
      <sz val="11.000000"/>
    </font>
  </fonts>
  <fills count="33">
    <fill>
      <patternFill patternType="none"/>
    </fill>
    <fill>
      <patternFill patternType="gray125"/>
    </fill>
    <fill>
      <patternFill patternType="solid">
        <fgColor theme="3" tint="0.59999389629810485"/>
        <bgColor theme="3" tint="0.59999389629810485"/>
      </patternFill>
    </fill>
    <fill>
      <patternFill patternType="solid">
        <fgColor theme="9" tint="0.79989013336588644"/>
        <bgColor theme="9" tint="0.79989013336588644"/>
      </patternFill>
    </fill>
    <fill>
      <patternFill patternType="solid">
        <fgColor rgb="FF005CA9"/>
        <bgColor rgb="FF005CA9"/>
      </patternFill>
    </fill>
    <fill>
      <patternFill patternType="solid">
        <fgColor theme="0" tint="-0.14990691854609822"/>
        <bgColor theme="0" tint="-0.14990691854609822"/>
      </patternFill>
    </fill>
    <fill>
      <patternFill patternType="solid">
        <fgColor theme="0"/>
        <bgColor theme="0"/>
      </patternFill>
    </fill>
    <fill>
      <patternFill patternType="gray0625"/>
    </fill>
    <fill>
      <patternFill patternType="solid">
        <fgColor theme="3" tint="0.79985961485641044"/>
        <bgColor theme="3" tint="0.79985961485641044"/>
      </patternFill>
    </fill>
    <fill>
      <patternFill patternType="solid">
        <fgColor rgb="FFFFC000"/>
        <bgColor rgb="FFFFC000"/>
      </patternFill>
    </fill>
    <fill>
      <patternFill patternType="solid">
        <fgColor indexed="65"/>
        <bgColor indexed="65"/>
      </patternFill>
    </fill>
    <fill>
      <patternFill patternType="gray0625">
        <fgColor indexed="65"/>
        <bgColor indexed="65"/>
      </patternFill>
    </fill>
    <fill>
      <patternFill patternType="solid">
        <fgColor theme="6" tint="0.79995117038483843"/>
        <bgColor theme="6" tint="0.79995117038483843"/>
      </patternFill>
    </fill>
    <fill>
      <patternFill patternType="solid">
        <fgColor indexed="5"/>
        <bgColor indexed="5"/>
      </patternFill>
    </fill>
    <fill>
      <patternFill patternType="solid">
        <fgColor theme="0" tint="-0.249977111117893"/>
        <bgColor theme="0" tint="-0.249977111117893"/>
      </patternFill>
    </fill>
    <fill>
      <patternFill patternType="solid">
        <fgColor theme="6" tint="0.59999389629810485"/>
        <bgColor theme="6" tint="0.59999389629810485"/>
      </patternFill>
    </fill>
    <fill>
      <patternFill patternType="solid">
        <fgColor theme="5" tint="0.79995117038483843"/>
        <bgColor theme="5" tint="0.79995117038483843"/>
      </patternFill>
    </fill>
    <fill>
      <patternFill patternType="solid">
        <fgColor indexed="22"/>
        <bgColor indexed="22"/>
      </patternFill>
    </fill>
    <fill>
      <patternFill patternType="solid">
        <fgColor theme="9" tint="0.39991454817346722"/>
        <bgColor theme="9" tint="0.39991454817346722"/>
      </patternFill>
    </fill>
    <fill>
      <patternFill patternType="solid">
        <fgColor theme="9" tint="0.39994506668294322"/>
        <bgColor theme="9" tint="0.39994506668294322"/>
      </patternFill>
    </fill>
    <fill>
      <patternFill patternType="solid">
        <fgColor theme="8" tint="0.59999389629810485"/>
        <bgColor theme="8" tint="0.59999389629810485"/>
      </patternFill>
    </fill>
    <fill>
      <patternFill patternType="solid">
        <fgColor theme="9" tint="0.59999389629810485"/>
        <bgColor theme="9" tint="0.59999389629810485"/>
      </patternFill>
    </fill>
    <fill>
      <patternFill patternType="solid">
        <fgColor theme="3" tint="0.79992065187536243"/>
        <bgColor theme="3" tint="0.79992065187536243"/>
      </patternFill>
    </fill>
    <fill>
      <patternFill patternType="solid">
        <fgColor theme="4" tint="0.59999389629810485"/>
        <bgColor theme="4" tint="0.59999389629810485"/>
      </patternFill>
    </fill>
    <fill>
      <patternFill patternType="solid">
        <fgColor theme="0" tint="-0.14996795556505021"/>
        <bgColor rgb="FFD8ECF6"/>
      </patternFill>
    </fill>
    <fill>
      <patternFill patternType="solid">
        <fgColor rgb="FFD8ECF6"/>
        <bgColor rgb="FFD8ECF6"/>
      </patternFill>
    </fill>
    <fill>
      <patternFill patternType="solid">
        <fgColor theme="9" tint="0.79992065187536243"/>
        <bgColor theme="9" tint="0.79992065187536243"/>
      </patternFill>
    </fill>
    <fill>
      <patternFill patternType="solid">
        <fgColor theme="3" tint="0.79995117038483843"/>
        <bgColor theme="3" tint="0.79995117038483843"/>
      </patternFill>
    </fill>
    <fill>
      <patternFill patternType="solid">
        <fgColor theme="9" tint="0.79995117038483843"/>
        <bgColor theme="9" tint="0.79995117038483843"/>
      </patternFill>
    </fill>
    <fill>
      <patternFill patternType="solid">
        <fgColor theme="0" tint="-0.049989318521683403"/>
        <bgColor theme="0" tint="-0.049989318521683403"/>
      </patternFill>
    </fill>
    <fill>
      <patternFill patternType="solid">
        <fgColor theme="7" tint="0.59999389629810485"/>
        <bgColor theme="7" tint="0.59999389629810485"/>
      </patternFill>
    </fill>
    <fill>
      <patternFill patternType="solid">
        <fgColor theme="7" tint="0.79995117038483843"/>
        <bgColor theme="7" tint="0.79995117038483843"/>
      </patternFill>
    </fill>
    <fill>
      <patternFill patternType="solid">
        <fgColor indexed="47"/>
        <bgColor indexed="47"/>
      </patternFill>
    </fill>
  </fills>
  <borders count="2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hair">
        <color auto="1"/>
      </top>
      <bottom style="hair">
        <color auto="1"/>
      </bottom>
      <diagonal/>
    </border>
    <border>
      <left/>
      <right/>
      <top/>
      <bottom style="hair">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style="thin">
        <color theme="1"/>
      </top>
      <bottom style="thin">
        <color theme="1"/>
      </bottom>
      <diagonal/>
    </border>
    <border>
      <left style="thin">
        <color auto="1"/>
      </left>
      <right/>
      <top/>
      <bottom/>
      <diagonal/>
    </border>
  </borders>
  <cellStyleXfs count="17">
    <xf fontId="0" fillId="0" borderId="0" numFmtId="0" applyNumberFormat="1" applyFont="1" applyFill="1" applyBorder="1">
      <alignment vertical="center"/>
    </xf>
    <xf fontId="1" fillId="0" borderId="0" numFmtId="0" applyNumberFormat="0" applyFont="1" applyFill="0" applyBorder="0" applyProtection="0">
      <alignment vertical="center"/>
    </xf>
    <xf fontId="2" fillId="0" borderId="0" numFmtId="0" applyNumberFormat="1" applyFont="1" applyFill="1" applyBorder="1"/>
    <xf fontId="2" fillId="0" borderId="0" numFmtId="0" applyNumberFormat="1" applyFont="1" applyFill="1" applyBorder="1"/>
    <xf fontId="2" fillId="0" borderId="0" numFmtId="0" applyNumberFormat="1" applyFont="1" applyFill="1" applyBorder="1"/>
    <xf fontId="3" fillId="0" borderId="0" numFmtId="0" applyNumberFormat="1" applyFont="1" applyFill="1" applyBorder="1"/>
    <xf fontId="4" fillId="0" borderId="0" numFmtId="0" applyNumberFormat="1" applyFont="1" applyFill="1" applyBorder="1"/>
    <xf fontId="2" fillId="0" borderId="0" numFmtId="0" applyNumberFormat="1" applyFont="1" applyFill="1" applyBorder="1"/>
    <xf fontId="2" fillId="0" borderId="0" numFmtId="0" applyNumberFormat="1" applyFont="1" applyFill="1" applyBorder="1"/>
    <xf fontId="2" fillId="0" borderId="0" numFmtId="0" applyNumberFormat="1" applyFont="1" applyFill="1" applyBorder="1"/>
    <xf fontId="5" fillId="0" borderId="0" numFmtId="160" applyNumberFormat="1" applyFont="1" applyFill="1" applyBorder="1"/>
    <xf fontId="6" fillId="0" borderId="0" numFmtId="0" applyNumberFormat="1" applyFont="1" applyFill="1" applyBorder="1"/>
    <xf fontId="7" fillId="0" borderId="0" numFmtId="0" applyNumberFormat="1" applyFont="1" applyFill="1" applyBorder="1"/>
    <xf fontId="2" fillId="0" borderId="0" numFmtId="0" applyNumberFormat="1" applyFont="1" applyFill="1" applyBorder="1"/>
    <xf fontId="0" fillId="0" borderId="0" numFmtId="9" applyNumberFormat="1" applyFont="0" applyFill="0" applyBorder="0" applyProtection="0"/>
    <xf fontId="8" fillId="0" borderId="0" numFmtId="40" applyNumberFormat="1" applyFont="0" applyFill="0" applyBorder="0" applyProtection="0"/>
    <xf fontId="0" fillId="0" borderId="0" numFmtId="161" applyNumberFormat="1" applyFont="0" applyFill="0" applyBorder="0" applyProtection="0">
      <alignment vertical="center"/>
    </xf>
  </cellStyleXfs>
  <cellXfs count="753">
    <xf fontId="0" fillId="0" borderId="0" numFmtId="0" xfId="0" applyAlignment="1">
      <alignment vertical="center"/>
    </xf>
    <xf fontId="3" fillId="0" borderId="0" numFmtId="0" xfId="0" applyFont="1"/>
    <xf fontId="3" fillId="0" borderId="0" numFmtId="0" xfId="0" applyFont="1" applyAlignment="1">
      <alignment wrapText="1"/>
    </xf>
    <xf fontId="9" fillId="0" borderId="0" numFmtId="0" xfId="0" applyFont="1"/>
    <xf fontId="0" fillId="0" borderId="0" numFmtId="0" xfId="0"/>
    <xf fontId="10" fillId="0" borderId="0" numFmtId="0" xfId="0" applyFont="1"/>
    <xf fontId="9" fillId="0" borderId="0" numFmtId="0" xfId="0" applyFont="1" applyAlignment="1">
      <alignment horizontal="center"/>
    </xf>
    <xf fontId="10" fillId="0" borderId="0" numFmtId="0" xfId="0" applyFont="1" applyAlignment="1">
      <alignment horizontal="right"/>
    </xf>
    <xf fontId="11" fillId="2" borderId="0" numFmtId="0" xfId="0" applyFont="1" applyFill="1" applyAlignment="1">
      <alignment horizontal="center"/>
    </xf>
    <xf fontId="3" fillId="2" borderId="0" numFmtId="0" xfId="0" applyFont="1" applyFill="1"/>
    <xf fontId="11" fillId="3" borderId="0" numFmtId="0" xfId="0" applyFont="1" applyFill="1" applyAlignment="1">
      <alignment horizontal="center"/>
    </xf>
    <xf fontId="3" fillId="3" borderId="0" numFmtId="0" xfId="0" applyFont="1" applyFill="1"/>
    <xf fontId="9" fillId="0" borderId="0" numFmtId="0" xfId="0" applyFont="1" applyAlignment="1">
      <alignment horizontal="right"/>
    </xf>
    <xf fontId="12" fillId="4" borderId="1" numFmtId="0" xfId="0" applyFont="1" applyFill="1" applyBorder="1" applyAlignment="1">
      <alignment horizontal="centerContinuous" vertical="center" wrapText="1"/>
    </xf>
    <xf fontId="12" fillId="4" borderId="1" numFmtId="0" xfId="0" applyFont="1" applyFill="1" applyBorder="1" applyAlignment="1">
      <alignment horizontal="centerContinuous" vertical="center"/>
    </xf>
    <xf fontId="10" fillId="0" borderId="0" numFmtId="0" xfId="0" applyFont="1" applyAlignment="1">
      <alignment horizontal="centerContinuous"/>
    </xf>
    <xf fontId="10" fillId="0" borderId="0" numFmtId="10" xfId="0" applyNumberFormat="1" applyFont="1" applyAlignment="1">
      <alignment horizontal="centerContinuous"/>
    </xf>
    <xf fontId="12" fillId="4" borderId="1" numFmtId="0" xfId="0" applyFont="1" applyFill="1" applyBorder="1" applyAlignment="1">
      <alignment horizontal="left" vertical="center" wrapText="1"/>
    </xf>
    <xf fontId="12" fillId="0" borderId="0" numFmtId="0" xfId="0" applyFont="1" applyAlignment="1">
      <alignment horizontal="centerContinuous" vertical="center" wrapText="1"/>
    </xf>
    <xf fontId="10" fillId="0" borderId="0" numFmtId="0" xfId="0" applyFont="1" applyAlignment="1">
      <alignment horizontal="center"/>
    </xf>
    <xf fontId="10" fillId="0" borderId="0" numFmtId="0" xfId="0" applyFont="1" applyAlignment="1">
      <alignment wrapText="1"/>
    </xf>
    <xf fontId="10" fillId="0" borderId="0" numFmtId="162" xfId="0" applyNumberFormat="1" applyFont="1"/>
    <xf fontId="10" fillId="0" borderId="0" numFmtId="163" xfId="0" applyNumberFormat="1" applyFont="1" applyAlignment="1">
      <alignment horizontal="left"/>
    </xf>
    <xf fontId="0" fillId="0" borderId="0" numFmtId="162" xfId="0" applyNumberFormat="1" applyAlignment="1">
      <alignment vertical="center"/>
    </xf>
    <xf fontId="0" fillId="0" borderId="0" numFmtId="0" xfId="0" applyAlignment="1">
      <alignment horizontal="center" vertical="center"/>
    </xf>
    <xf fontId="3" fillId="5" borderId="0" numFmtId="0" xfId="0" applyFont="1" applyFill="1"/>
    <xf fontId="3" fillId="2" borderId="0" numFmtId="0" xfId="0" applyFont="1" applyFill="1" applyAlignment="1">
      <alignment wrapText="1"/>
    </xf>
    <xf fontId="3" fillId="5" borderId="0" numFmtId="0" xfId="0" applyFont="1" applyFill="1" applyAlignment="1">
      <alignment wrapText="1"/>
    </xf>
    <xf fontId="12" fillId="5" borderId="1" numFmtId="0" xfId="0" applyFont="1" applyFill="1" applyBorder="1" applyAlignment="1">
      <alignment horizontal="centerContinuous" vertical="center" wrapText="1"/>
    </xf>
    <xf fontId="12" fillId="2" borderId="1" numFmtId="0" xfId="0" applyFont="1" applyFill="1" applyBorder="1" applyAlignment="1">
      <alignment horizontal="centerContinuous" vertical="center" wrapText="1"/>
    </xf>
    <xf fontId="10" fillId="5" borderId="0" numFmtId="0" xfId="0" applyFont="1" applyFill="1" applyAlignment="1">
      <alignment horizontal="centerContinuous"/>
    </xf>
    <xf fontId="10" fillId="2" borderId="0" numFmtId="0" xfId="0" applyFont="1" applyFill="1" applyAlignment="1">
      <alignment horizontal="centerContinuous"/>
    </xf>
    <xf fontId="10" fillId="5" borderId="0" numFmtId="10" xfId="0" applyNumberFormat="1" applyFont="1" applyFill="1" applyAlignment="1">
      <alignment horizontal="centerContinuous"/>
    </xf>
    <xf fontId="10" fillId="2" borderId="0" numFmtId="10" xfId="0" applyNumberFormat="1" applyFont="1" applyFill="1" applyAlignment="1">
      <alignment horizontal="centerContinuous"/>
    </xf>
    <xf fontId="13" fillId="0" borderId="0" numFmtId="0" xfId="0" applyFont="1"/>
    <xf fontId="1" fillId="0" borderId="0" numFmtId="0" xfId="1" applyFont="1" applyProtection="1"/>
    <xf fontId="10" fillId="5" borderId="0" numFmtId="162" xfId="0" applyNumberFormat="1" applyFont="1" applyFill="1"/>
    <xf fontId="10" fillId="2" borderId="0" numFmtId="162" xfId="0" applyNumberFormat="1" applyFont="1" applyFill="1"/>
    <xf fontId="14" fillId="0" borderId="0" numFmtId="0" xfId="0" applyFont="1" applyAlignment="1">
      <alignment vertical="center"/>
    </xf>
    <xf fontId="15" fillId="0" borderId="0" numFmtId="0" xfId="3" applyFont="1"/>
    <xf fontId="2" fillId="6" borderId="0" numFmtId="2" xfId="3" applyNumberFormat="1" applyFont="1" applyFill="1" applyAlignment="1">
      <alignment horizontal="center"/>
    </xf>
    <xf fontId="0" fillId="0" borderId="0" numFmtId="161" xfId="16" applyNumberFormat="1" applyAlignment="1">
      <alignment vertical="center"/>
    </xf>
    <xf fontId="16" fillId="2" borderId="0" numFmtId="0" xfId="0" applyFont="1" applyFill="1" applyAlignment="1">
      <alignment horizontal="center"/>
    </xf>
    <xf fontId="17" fillId="0" borderId="0" numFmtId="0" xfId="0" applyFont="1" applyAlignment="1">
      <alignment vertical="center"/>
    </xf>
    <xf fontId="2" fillId="7" borderId="0" numFmtId="0" xfId="0" applyFont="1" applyFill="1" applyAlignment="1">
      <alignment wrapText="1"/>
    </xf>
    <xf fontId="2" fillId="6" borderId="0" numFmtId="0" xfId="3" applyFont="1" applyFill="1" applyAlignment="1">
      <alignment horizontal="center" vertical="top"/>
    </xf>
    <xf fontId="2" fillId="6" borderId="0" numFmtId="0" xfId="3" applyFont="1" applyFill="1" applyAlignment="1">
      <alignment horizontal="justify" vertical="center" wrapText="1"/>
    </xf>
    <xf fontId="2" fillId="6" borderId="0" numFmtId="0" xfId="3" applyFont="1" applyFill="1" applyAlignment="1">
      <alignment horizontal="center"/>
    </xf>
    <xf fontId="2" fillId="6" borderId="0" numFmtId="0" xfId="3" applyFont="1" applyFill="1"/>
    <xf fontId="2" fillId="8" borderId="0" numFmtId="4" xfId="3" applyNumberFormat="1" applyFont="1" applyFill="1" applyAlignment="1">
      <alignment horizontal="center"/>
    </xf>
    <xf fontId="2" fillId="0" borderId="0" numFmtId="0" xfId="0" applyFont="1"/>
    <xf fontId="2" fillId="7" borderId="0" numFmtId="164" xfId="16" applyNumberFormat="1" applyFont="1" applyFill="1"/>
    <xf fontId="2" fillId="0" borderId="0" numFmtId="0" xfId="3" applyFont="1" applyAlignment="1">
      <alignment horizontal="center" vertical="top"/>
    </xf>
    <xf fontId="15" fillId="0" borderId="2" numFmtId="0" xfId="0" applyFont="1" applyBorder="1"/>
    <xf fontId="2" fillId="0" borderId="3" numFmtId="0" xfId="0" applyFont="1" applyBorder="1"/>
    <xf fontId="0" fillId="0" borderId="4" numFmtId="0" xfId="0" applyBorder="1" applyAlignment="1">
      <alignment vertical="center"/>
    </xf>
    <xf fontId="16" fillId="7" borderId="5" numFmtId="0" xfId="0" applyFont="1" applyFill="1" applyBorder="1" applyAlignment="1">
      <alignment horizontal="center" vertical="center" wrapText="1"/>
    </xf>
    <xf fontId="16" fillId="7" borderId="0" numFmtId="17" xfId="0" applyNumberFormat="1" applyFont="1" applyFill="1" applyAlignment="1">
      <alignment horizontal="center" vertical="center"/>
    </xf>
    <xf fontId="16" fillId="7" borderId="0" numFmtId="0" xfId="0" applyFont="1" applyFill="1" applyAlignment="1">
      <alignment horizontal="center" vertical="center"/>
    </xf>
    <xf fontId="0" fillId="0" borderId="6" numFmtId="0" xfId="0" applyBorder="1" applyAlignment="1">
      <alignment vertical="center"/>
    </xf>
    <xf fontId="2" fillId="0" borderId="5" numFmtId="0" xfId="0" applyFont="1" applyBorder="1" applyAlignment="1">
      <alignment horizontal="justify" wrapText="1"/>
    </xf>
    <xf fontId="16" fillId="9" borderId="0" numFmtId="165" xfId="0" applyNumberFormat="1" applyFont="1" applyFill="1"/>
    <xf fontId="2" fillId="0" borderId="0" numFmtId="166" xfId="0" applyNumberFormat="1" applyFont="1"/>
    <xf fontId="10" fillId="0" borderId="0" numFmtId="166" xfId="0" applyNumberFormat="1" applyFont="1"/>
    <xf fontId="2" fillId="0" borderId="7" numFmtId="0" xfId="0" applyFont="1" applyBorder="1" applyAlignment="1">
      <alignment horizontal="justify" wrapText="1"/>
    </xf>
    <xf fontId="10" fillId="0" borderId="8" numFmtId="166" xfId="0" applyNumberFormat="1" applyFont="1" applyBorder="1"/>
    <xf fontId="16" fillId="9" borderId="8" numFmtId="165" xfId="0" applyNumberFormat="1" applyFont="1" applyFill="1" applyBorder="1"/>
    <xf fontId="0" fillId="0" borderId="9" numFmtId="0" xfId="0" applyBorder="1" applyAlignment="1">
      <alignment vertical="center"/>
    </xf>
    <xf fontId="2" fillId="0" borderId="0" numFmtId="0" xfId="3" applyFont="1" applyAlignment="1">
      <alignment horizontal="center" vertical="center"/>
    </xf>
    <xf fontId="2" fillId="0" borderId="0" numFmtId="0" xfId="0" applyFont="1" applyAlignment="1">
      <alignment vertical="center"/>
    </xf>
    <xf fontId="2" fillId="0" borderId="0" numFmtId="0" xfId="0" applyFont="1" applyAlignment="1">
      <alignment horizontal="center"/>
    </xf>
    <xf fontId="2" fillId="10" borderId="0" numFmtId="0" xfId="3" applyFont="1" applyFill="1" applyAlignment="1">
      <alignment horizontal="center" vertical="top"/>
    </xf>
    <xf fontId="2" fillId="11" borderId="0" numFmtId="164" xfId="16" applyNumberFormat="1" applyFont="1" applyFill="1"/>
    <xf fontId="10" fillId="0" borderId="0" numFmtId="0" xfId="3" applyFont="1" applyAlignment="1">
      <alignment horizontal="center" vertical="top"/>
    </xf>
    <xf fontId="2" fillId="0" borderId="0" numFmtId="0" xfId="3" applyFont="1" applyAlignment="1">
      <alignment horizontal="center"/>
    </xf>
    <xf fontId="2" fillId="0" borderId="0" numFmtId="0" xfId="3" applyFont="1"/>
    <xf fontId="2" fillId="6" borderId="0" numFmtId="2" xfId="3" applyNumberFormat="1" applyFont="1" applyFill="1"/>
    <xf fontId="2" fillId="0" borderId="0" numFmtId="0" xfId="3" applyFont="1" applyAlignment="1">
      <alignment vertical="center" wrapText="1"/>
    </xf>
    <xf fontId="2" fillId="0" borderId="0" numFmtId="0" xfId="0" applyFont="1" applyAlignment="1">
      <alignment vertical="center" wrapText="1"/>
    </xf>
    <xf fontId="2" fillId="0" borderId="0" numFmtId="0" xfId="0" applyFont="1" applyAlignment="1">
      <alignment horizontal="center" vertical="center"/>
    </xf>
    <xf fontId="2" fillId="0" borderId="0" numFmtId="0" xfId="0" applyFont="1" applyAlignment="1">
      <alignment horizontal="left" vertical="center"/>
    </xf>
    <xf fontId="2" fillId="0" borderId="0" numFmtId="0" xfId="0" applyFont="1" applyAlignment="1">
      <alignment wrapText="1"/>
    </xf>
    <xf fontId="2" fillId="0" borderId="0" numFmtId="4" xfId="3" applyNumberFormat="1" applyFont="1" applyAlignment="1">
      <alignment horizontal="center"/>
    </xf>
    <xf fontId="0" fillId="7" borderId="0" numFmtId="0" xfId="0" applyFill="1" applyAlignment="1">
      <alignment vertical="center" wrapText="1"/>
    </xf>
    <xf fontId="2" fillId="6" borderId="0" numFmtId="4" xfId="3" applyNumberFormat="1" applyFont="1" applyFill="1" applyAlignment="1">
      <alignment horizontal="center"/>
    </xf>
    <xf fontId="15" fillId="0" borderId="0" numFmtId="0" xfId="0" applyFont="1" applyAlignment="1">
      <alignment horizontal="left"/>
    </xf>
    <xf fontId="2" fillId="0" borderId="0" numFmtId="2" xfId="0" applyNumberFormat="1" applyFont="1" applyAlignment="1">
      <alignment horizontal="center"/>
    </xf>
    <xf fontId="0" fillId="7" borderId="0" numFmtId="0" xfId="0" applyFill="1" applyAlignment="1">
      <alignment vertical="center"/>
    </xf>
    <xf fontId="2" fillId="0" borderId="0" numFmtId="1" xfId="0" applyNumberFormat="1" applyFont="1" applyAlignment="1">
      <alignment vertical="center"/>
    </xf>
    <xf fontId="2" fillId="0" borderId="0" numFmtId="1" xfId="0" applyNumberFormat="1" applyFont="1" applyAlignment="1">
      <alignment vertical="center" wrapText="1"/>
    </xf>
    <xf fontId="2" fillId="0" borderId="0" numFmtId="1" xfId="0" applyNumberFormat="1" applyFont="1" applyAlignment="1">
      <alignment horizontal="right" vertical="center"/>
    </xf>
    <xf fontId="2" fillId="12" borderId="0" numFmtId="1" xfId="0" applyNumberFormat="1" applyFont="1" applyFill="1" applyAlignment="1">
      <alignment horizontal="right" vertical="center"/>
    </xf>
    <xf fontId="2" fillId="12" borderId="0" numFmtId="0" xfId="0" applyFont="1" applyFill="1" applyAlignment="1">
      <alignment vertical="center"/>
    </xf>
    <xf fontId="18" fillId="13" borderId="0" numFmtId="1" xfId="0" applyNumberFormat="1" applyFont="1" applyFill="1" applyAlignment="1">
      <alignment horizontal="center" vertical="center"/>
    </xf>
    <xf fontId="18" fillId="12" borderId="0" numFmtId="1" xfId="0" applyNumberFormat="1" applyFont="1" applyFill="1" applyAlignment="1">
      <alignment vertical="center"/>
    </xf>
    <xf fontId="18" fillId="13" borderId="0" numFmtId="1" xfId="0" applyNumberFormat="1" applyFont="1" applyFill="1" applyAlignment="1">
      <alignment vertical="center"/>
    </xf>
    <xf fontId="18" fillId="13" borderId="0" numFmtId="1" xfId="0" applyNumberFormat="1" applyFont="1" applyFill="1" applyAlignment="1">
      <alignment horizontal="right" vertical="center"/>
    </xf>
    <xf fontId="2" fillId="13" borderId="0" numFmtId="4" xfId="0" applyNumberFormat="1" applyFont="1" applyFill="1" applyAlignment="1">
      <alignment horizontal="right" vertical="center"/>
    </xf>
    <xf fontId="2" fillId="0" borderId="0" numFmtId="4" xfId="0" applyNumberFormat="1" applyFont="1" applyAlignment="1">
      <alignment horizontal="right" vertical="center"/>
    </xf>
    <xf fontId="18" fillId="12" borderId="0" numFmtId="1" xfId="0" applyNumberFormat="1" applyFont="1" applyFill="1" applyAlignment="1">
      <alignment horizontal="right" vertical="center"/>
    </xf>
    <xf fontId="18" fillId="0" borderId="0" numFmtId="0" xfId="0" applyFont="1" applyAlignment="1">
      <alignment horizontal="right" vertical="center"/>
    </xf>
    <xf fontId="15" fillId="13" borderId="0" numFmtId="1" xfId="0" applyNumberFormat="1" applyFont="1" applyFill="1" applyAlignment="1">
      <alignment horizontal="right" vertical="center"/>
    </xf>
    <xf fontId="19" fillId="0" borderId="0" numFmtId="1" xfId="0" applyNumberFormat="1" applyFont="1" applyAlignment="1">
      <alignment horizontal="center" vertical="center" wrapText="1"/>
    </xf>
    <xf fontId="2" fillId="14" borderId="0" numFmtId="1" xfId="0" applyNumberFormat="1" applyFont="1" applyFill="1" applyAlignment="1">
      <alignment vertical="center"/>
    </xf>
    <xf fontId="2" fillId="14" borderId="0" numFmtId="1" xfId="0" applyNumberFormat="1" applyFont="1" applyFill="1" applyAlignment="1">
      <alignment vertical="center" wrapText="1"/>
    </xf>
    <xf fontId="2" fillId="14" borderId="0" numFmtId="161" xfId="16" applyNumberFormat="1" applyFont="1" applyFill="1" applyAlignment="1">
      <alignment horizontal="right" vertical="center"/>
    </xf>
    <xf fontId="2" fillId="14" borderId="0" numFmtId="0" xfId="0" applyFont="1" applyFill="1" applyAlignment="1">
      <alignment vertical="center"/>
    </xf>
    <xf fontId="2" fillId="0" borderId="0" numFmtId="2" xfId="0" applyNumberFormat="1" applyFont="1" applyAlignment="1">
      <alignment horizontal="right" vertical="center"/>
    </xf>
    <xf fontId="2" fillId="0" borderId="10" numFmtId="0" xfId="0" applyFont="1" applyBorder="1" applyAlignment="1">
      <alignment vertical="center"/>
    </xf>
    <xf fontId="2" fillId="0" borderId="10" numFmtId="1" xfId="0" applyNumberFormat="1" applyFont="1" applyBorder="1" applyAlignment="1">
      <alignment vertical="center" wrapText="1"/>
    </xf>
    <xf fontId="2" fillId="0" borderId="10" numFmtId="1" xfId="0" applyNumberFormat="1" applyFont="1" applyBorder="1" applyAlignment="1">
      <alignment vertical="center"/>
    </xf>
    <xf fontId="2" fillId="0" borderId="10" numFmtId="161" xfId="16" applyNumberFormat="1" applyFont="1" applyBorder="1" applyAlignment="1">
      <alignment horizontal="right" vertical="center"/>
    </xf>
    <xf fontId="2" fillId="12" borderId="10" numFmtId="161" xfId="16" applyNumberFormat="1" applyFont="1" applyFill="1" applyBorder="1" applyAlignment="1">
      <alignment horizontal="right" vertical="center"/>
    </xf>
    <xf fontId="2" fillId="0" borderId="0" numFmtId="161" xfId="16" applyNumberFormat="1" applyFont="1" applyAlignment="1">
      <alignment horizontal="right" vertical="center"/>
    </xf>
    <xf fontId="2" fillId="12" borderId="0" numFmtId="161" xfId="16" applyNumberFormat="1" applyFont="1" applyFill="1" applyAlignment="1">
      <alignment horizontal="right" vertical="center"/>
    </xf>
    <xf fontId="2" fillId="0" borderId="11" numFmtId="1" xfId="0" applyNumberFormat="1" applyFont="1" applyBorder="1" applyAlignment="1">
      <alignment vertical="center" wrapText="1"/>
    </xf>
    <xf fontId="2" fillId="0" borderId="0" numFmtId="1" xfId="0" applyNumberFormat="1" applyFont="1" applyAlignment="1">
      <alignment horizontal="center" vertical="center"/>
    </xf>
    <xf fontId="2" fillId="15" borderId="0" numFmtId="166" xfId="0" applyNumberFormat="1" applyFont="1" applyFill="1" applyAlignment="1">
      <alignment vertical="center"/>
    </xf>
    <xf fontId="2" fillId="16" borderId="0" numFmtId="166" xfId="0" applyNumberFormat="1" applyFont="1" applyFill="1" applyAlignment="1">
      <alignment vertical="center"/>
    </xf>
    <xf fontId="9" fillId="13" borderId="0" numFmtId="1" xfId="2" applyNumberFormat="1" applyFont="1" applyFill="1" applyAlignment="1">
      <alignment horizontal="center" vertical="center"/>
    </xf>
    <xf fontId="9" fillId="13" borderId="0" numFmtId="1" xfId="2" applyNumberFormat="1" applyFont="1" applyFill="1" applyAlignment="1">
      <alignment vertical="center"/>
    </xf>
    <xf fontId="15" fillId="13" borderId="0" numFmtId="1" xfId="2" applyNumberFormat="1" applyFont="1" applyFill="1" applyAlignment="1">
      <alignment horizontal="left" vertical="center"/>
    </xf>
    <xf fontId="9" fillId="15" borderId="0" numFmtId="4" xfId="2" applyNumberFormat="1" applyFont="1" applyFill="1" applyAlignment="1">
      <alignment vertical="center"/>
    </xf>
    <xf fontId="9" fillId="16" borderId="0" numFmtId="4" xfId="2" applyNumberFormat="1" applyFont="1" applyFill="1" applyAlignment="1">
      <alignment horizontal="center" vertical="center"/>
    </xf>
    <xf fontId="9" fillId="13" borderId="0" numFmtId="166" xfId="2" applyNumberFormat="1" applyFont="1" applyFill="1" applyAlignment="1">
      <alignment horizontal="center" vertical="center"/>
    </xf>
    <xf fontId="15" fillId="13" borderId="0" numFmtId="49" xfId="2" applyNumberFormat="1" applyFont="1" applyFill="1" applyAlignment="1">
      <alignment horizontal="left" vertical="center"/>
    </xf>
    <xf fontId="9" fillId="13" borderId="0" numFmtId="1" xfId="2" applyNumberFormat="1" applyFont="1" applyFill="1" applyAlignment="1">
      <alignment horizontal="center" vertical="center" wrapText="1"/>
    </xf>
    <xf fontId="2" fillId="9" borderId="0" numFmtId="1" xfId="0" applyNumberFormat="1" applyFont="1" applyFill="1" applyAlignment="1">
      <alignment horizontal="center" vertical="center"/>
    </xf>
    <xf fontId="20" fillId="17" borderId="10" numFmtId="1" xfId="2" applyNumberFormat="1" applyFont="1" applyFill="1" applyBorder="1" applyAlignment="1">
      <alignment horizontal="center" vertical="center" wrapText="1"/>
    </xf>
    <xf fontId="20" fillId="15" borderId="10" numFmtId="167" xfId="2" applyNumberFormat="1" applyFont="1" applyFill="1" applyBorder="1" applyAlignment="1">
      <alignment horizontal="center" vertical="center" wrapText="1"/>
    </xf>
    <xf fontId="20" fillId="16" borderId="10" numFmtId="167" xfId="2" applyNumberFormat="1" applyFont="1" applyFill="1" applyBorder="1" applyAlignment="1">
      <alignment horizontal="center" vertical="center" wrapText="1"/>
    </xf>
    <xf fontId="2" fillId="0" borderId="10" numFmtId="1" xfId="0" applyNumberFormat="1" applyFont="1" applyBorder="1" applyAlignment="1">
      <alignment horizontal="center" vertical="center"/>
    </xf>
    <xf fontId="2" fillId="0" borderId="10" numFmtId="0" xfId="0" applyFont="1" applyBorder="1" applyAlignment="1">
      <alignment vertical="center" wrapText="1"/>
    </xf>
    <xf fontId="2" fillId="15" borderId="10" numFmtId="167" xfId="0" applyNumberFormat="1" applyFont="1" applyFill="1" applyBorder="1" applyAlignment="1">
      <alignment vertical="center"/>
    </xf>
    <xf fontId="2" fillId="16" borderId="10" numFmtId="167" xfId="0" applyNumberFormat="1" applyFont="1" applyFill="1" applyBorder="1" applyAlignment="1">
      <alignment vertical="center"/>
    </xf>
    <xf fontId="16" fillId="18" borderId="1" numFmtId="0" xfId="3" applyFont="1" applyFill="1" applyBorder="1" applyAlignment="1">
      <alignment vertical="top"/>
    </xf>
    <xf fontId="16" fillId="6" borderId="0" numFmtId="0" xfId="3" applyFont="1" applyFill="1" applyAlignment="1">
      <alignment horizontal="center" vertical="top"/>
    </xf>
    <xf fontId="15" fillId="0" borderId="0" numFmtId="17" xfId="0" applyNumberFormat="1" applyFont="1" applyAlignment="1">
      <alignment vertical="center"/>
    </xf>
    <xf fontId="15" fillId="0" borderId="0" numFmtId="0" xfId="0" applyFont="1" applyAlignment="1">
      <alignment horizontal="justify" wrapText="1"/>
    </xf>
    <xf fontId="16" fillId="6" borderId="1" numFmtId="0" xfId="3" applyFont="1" applyFill="1" applyBorder="1" applyAlignment="1">
      <alignment horizontal="justify" vertical="top" wrapText="1"/>
    </xf>
    <xf fontId="16" fillId="6" borderId="1" numFmtId="0" xfId="3" applyFont="1" applyFill="1" applyBorder="1" applyAlignment="1">
      <alignment horizontal="center"/>
    </xf>
    <xf fontId="16" fillId="6" borderId="1" numFmtId="0" xfId="3" applyFont="1" applyFill="1" applyBorder="1"/>
    <xf fontId="16" fillId="6" borderId="1" numFmtId="4" xfId="3" applyNumberFormat="1" applyFont="1" applyFill="1" applyBorder="1" applyAlignment="1">
      <alignment horizontal="center"/>
    </xf>
    <xf fontId="15" fillId="0" borderId="0" numFmtId="0" xfId="0" applyFont="1" applyAlignment="1">
      <alignment vertical="center"/>
    </xf>
    <xf fontId="21" fillId="0" borderId="0" numFmtId="0" xfId="0" applyFont="1" applyAlignment="1">
      <alignment horizontal="justify" wrapText="1"/>
    </xf>
    <xf fontId="21" fillId="0" borderId="0" numFmtId="4" xfId="0" applyNumberFormat="1" applyFont="1" applyAlignment="1">
      <alignment vertical="center"/>
    </xf>
    <xf fontId="21" fillId="0" borderId="0" numFmtId="0" xfId="0" applyFont="1"/>
    <xf fontId="21" fillId="0" borderId="1" numFmtId="0" xfId="3" applyFont="1" applyBorder="1" applyAlignment="1">
      <alignment horizontal="center" vertical="top"/>
    </xf>
    <xf fontId="2" fillId="0" borderId="1" numFmtId="0" xfId="3" applyFont="1" applyBorder="1" applyAlignment="1">
      <alignment horizontal="justify" vertical="top" wrapText="1"/>
    </xf>
    <xf fontId="2" fillId="0" borderId="1" numFmtId="0" xfId="3" applyFont="1" applyBorder="1" applyAlignment="1">
      <alignment horizontal="center"/>
    </xf>
    <xf fontId="2" fillId="0" borderId="1" numFmtId="0" xfId="0" applyFont="1" applyBorder="1"/>
    <xf fontId="2" fillId="0" borderId="1" numFmtId="4" xfId="3" applyNumberFormat="1" applyFont="1" applyBorder="1" applyAlignment="1">
      <alignment horizontal="center"/>
    </xf>
    <xf fontId="2" fillId="6" borderId="1" numFmtId="0" xfId="3" applyFont="1" applyFill="1" applyBorder="1" applyAlignment="1">
      <alignment horizontal="center" vertical="top"/>
    </xf>
    <xf fontId="2" fillId="6" borderId="1" numFmtId="0" xfId="3" applyFont="1" applyFill="1" applyBorder="1" applyAlignment="1">
      <alignment horizontal="justify" vertical="top" wrapText="1"/>
    </xf>
    <xf fontId="2" fillId="6" borderId="1" numFmtId="0" xfId="3" applyFont="1" applyFill="1" applyBorder="1" applyAlignment="1">
      <alignment horizontal="center"/>
    </xf>
    <xf fontId="2" fillId="6" borderId="1" numFmtId="4" xfId="3" applyNumberFormat="1" applyFont="1" applyFill="1" applyBorder="1" applyAlignment="1">
      <alignment horizontal="center"/>
    </xf>
    <xf fontId="2" fillId="6" borderId="12" numFmtId="4" xfId="3" applyNumberFormat="1" applyFont="1" applyFill="1" applyBorder="1" applyAlignment="1">
      <alignment horizontal="center"/>
    </xf>
    <xf fontId="16" fillId="6" borderId="1" numFmtId="0" xfId="3" applyFont="1" applyFill="1" applyBorder="1" applyAlignment="1">
      <alignment horizontal="center" vertical="top"/>
    </xf>
    <xf fontId="16" fillId="6" borderId="13" numFmtId="4" xfId="3" applyNumberFormat="1" applyFont="1" applyFill="1" applyBorder="1" applyAlignment="1">
      <alignment horizontal="center"/>
    </xf>
    <xf fontId="16" fillId="6" borderId="14" numFmtId="0" xfId="3" applyFont="1" applyFill="1" applyBorder="1" applyAlignment="1">
      <alignment horizontal="center"/>
    </xf>
    <xf fontId="16" fillId="6" borderId="12" numFmtId="0" xfId="3" applyFont="1" applyFill="1" applyBorder="1" applyAlignment="1">
      <alignment horizontal="center"/>
    </xf>
    <xf fontId="15" fillId="0" borderId="0" numFmtId="4" xfId="0" applyNumberFormat="1" applyFont="1" applyAlignment="1">
      <alignment vertical="center"/>
    </xf>
    <xf fontId="2" fillId="6" borderId="1" numFmtId="0" xfId="3" applyFont="1" applyFill="1" applyBorder="1"/>
    <xf fontId="16" fillId="6" borderId="12" numFmtId="4" xfId="3" applyNumberFormat="1" applyFont="1" applyFill="1" applyBorder="1" applyAlignment="1">
      <alignment horizontal="center"/>
    </xf>
    <xf fontId="2" fillId="0" borderId="12" numFmtId="4" xfId="3" applyNumberFormat="1" applyFont="1" applyBorder="1" applyAlignment="1">
      <alignment horizontal="center"/>
    </xf>
    <xf fontId="2" fillId="0" borderId="0" numFmtId="0" xfId="0" applyFont="1" applyAlignment="1">
      <alignment horizontal="justify" wrapText="1"/>
    </xf>
    <xf fontId="15" fillId="0" borderId="0" numFmtId="14" xfId="0" applyNumberFormat="1" applyFont="1"/>
    <xf fontId="15" fillId="0" borderId="0" numFmtId="0" xfId="0" applyFont="1"/>
    <xf fontId="15" fillId="0" borderId="1" numFmtId="0" xfId="0" applyFont="1" applyBorder="1"/>
    <xf fontId="16" fillId="0" borderId="1" numFmtId="0" xfId="0" applyFont="1" applyBorder="1" applyAlignment="1">
      <alignment horizontal="left" vertical="center"/>
    </xf>
    <xf fontId="16" fillId="0" borderId="13" numFmtId="0" xfId="0" applyFont="1" applyBorder="1" applyAlignment="1">
      <alignment horizontal="left"/>
    </xf>
    <xf fontId="16" fillId="0" borderId="14" numFmtId="0" xfId="0" applyFont="1" applyBorder="1" applyAlignment="1">
      <alignment horizontal="left"/>
    </xf>
    <xf fontId="16" fillId="0" borderId="12" numFmtId="0" xfId="0" applyFont="1" applyBorder="1" applyAlignment="1">
      <alignment horizontal="left"/>
    </xf>
    <xf fontId="15" fillId="0" borderId="0" numFmtId="2" xfId="0" applyNumberFormat="1" applyFont="1"/>
    <xf fontId="15" fillId="0" borderId="1" numFmtId="2" xfId="0" applyNumberFormat="1" applyFont="1" applyBorder="1" applyAlignment="1">
      <alignment horizontal="right" vertical="center"/>
    </xf>
    <xf fontId="2" fillId="6" borderId="1" numFmtId="0" xfId="3" applyFont="1" applyFill="1" applyBorder="1" applyAlignment="1">
      <alignment horizontal="left" vertical="top"/>
    </xf>
    <xf fontId="2" fillId="0" borderId="1" numFmtId="2" xfId="0" applyNumberFormat="1" applyFont="1" applyBorder="1" applyAlignment="1">
      <alignment horizontal="center"/>
    </xf>
    <xf fontId="15" fillId="0" borderId="0" numFmtId="0" xfId="0" applyFont="1" applyAlignment="1">
      <alignment horizontal="left" vertical="center"/>
    </xf>
    <xf fontId="16" fillId="6" borderId="13" numFmtId="0" xfId="3" applyFont="1" applyFill="1" applyBorder="1" applyAlignment="1">
      <alignment horizontal="justify" vertical="top" wrapText="1"/>
    </xf>
    <xf fontId="2" fillId="6" borderId="13" numFmtId="0" xfId="3" applyFont="1" applyFill="1" applyBorder="1" applyAlignment="1">
      <alignment horizontal="center" vertical="top"/>
    </xf>
    <xf fontId="2" fillId="0" borderId="13" numFmtId="0" xfId="0" applyFont="1" applyBorder="1"/>
    <xf fontId="16" fillId="6" borderId="0" numFmtId="4" xfId="3" applyNumberFormat="1" applyFont="1" applyFill="1" applyAlignment="1">
      <alignment horizontal="center"/>
    </xf>
    <xf fontId="22" fillId="6" borderId="1" numFmtId="0" xfId="3" applyFont="1" applyFill="1" applyBorder="1" applyAlignment="1">
      <alignment horizontal="center" vertical="top"/>
    </xf>
    <xf fontId="2" fillId="6" borderId="13" numFmtId="0" xfId="3" applyFont="1" applyFill="1" applyBorder="1" applyAlignment="1">
      <alignment horizontal="justify" vertical="top" wrapText="1"/>
    </xf>
    <xf fontId="16" fillId="6" borderId="12" numFmtId="0" xfId="3" applyFont="1" applyFill="1" applyBorder="1" applyAlignment="1">
      <alignment horizontal="center" vertical="top"/>
    </xf>
    <xf fontId="16" fillId="18" borderId="1" numFmtId="0" xfId="3" applyFont="1" applyFill="1" applyBorder="1" applyAlignment="1">
      <alignment horizontal="center" vertical="top"/>
    </xf>
    <xf fontId="16" fillId="6" borderId="13" numFmtId="0" xfId="3" applyFont="1" applyFill="1" applyBorder="1" applyAlignment="1">
      <alignment horizontal="center" vertical="top"/>
    </xf>
    <xf fontId="2" fillId="6" borderId="1" numFmtId="0" xfId="3" applyFont="1" applyFill="1" applyBorder="1" applyAlignment="1">
      <alignment horizontal="justify" vertical="center" wrapText="1"/>
    </xf>
    <xf fontId="16" fillId="6" borderId="14" numFmtId="4" xfId="3" applyNumberFormat="1" applyFont="1" applyFill="1" applyBorder="1" applyAlignment="1">
      <alignment horizontal="center"/>
    </xf>
    <xf fontId="16" fillId="6" borderId="1" numFmtId="2" xfId="3" applyNumberFormat="1" applyFont="1" applyFill="1" applyBorder="1" applyAlignment="1">
      <alignment horizontal="center"/>
    </xf>
    <xf fontId="16" fillId="0" borderId="1" numFmtId="0" xfId="0" applyFont="1" applyBorder="1" applyAlignment="1">
      <alignment horizontal="center" vertical="center"/>
    </xf>
    <xf fontId="15" fillId="0" borderId="0" numFmtId="17" xfId="0" applyNumberFormat="1" applyFont="1"/>
    <xf fontId="23" fillId="0" borderId="0" numFmtId="0" xfId="1" applyFont="1" applyAlignment="1">
      <alignment vertical="center"/>
    </xf>
    <xf fontId="15" fillId="6" borderId="0" numFmtId="17" xfId="3" applyNumberFormat="1" applyFont="1" applyFill="1"/>
    <xf fontId="2" fillId="6" borderId="15" numFmtId="4" xfId="3" applyNumberFormat="1" applyFont="1" applyFill="1" applyBorder="1" applyAlignment="1">
      <alignment horizontal="center"/>
    </xf>
    <xf fontId="15" fillId="0" borderId="0" numFmtId="0" xfId="1" applyFont="1" applyAlignment="1">
      <alignment vertical="center"/>
    </xf>
    <xf fontId="15" fillId="0" borderId="0" numFmtId="17" xfId="1" applyNumberFormat="1" applyFont="1" applyAlignment="1">
      <alignment vertical="center"/>
    </xf>
    <xf fontId="16" fillId="6" borderId="1" numFmtId="0" xfId="3" applyFont="1" applyFill="1" applyBorder="1" applyAlignment="1">
      <alignment horizontal="justify" vertical="center" wrapText="1"/>
    </xf>
    <xf fontId="15" fillId="0" borderId="0" numFmtId="17" xfId="1" applyNumberFormat="1" applyFont="1" applyAlignment="1">
      <alignment horizontal="left" vertical="center"/>
    </xf>
    <xf fontId="2" fillId="6" borderId="1" numFmtId="2" xfId="3" applyNumberFormat="1" applyFont="1" applyFill="1" applyBorder="1" applyAlignment="1">
      <alignment horizontal="center"/>
    </xf>
    <xf fontId="2" fillId="6" borderId="1" numFmtId="0" xfId="3" applyFont="1" applyFill="1" applyBorder="1" applyAlignment="1">
      <alignment horizontal="center" vertical="top" wrapText="1"/>
    </xf>
    <xf fontId="24" fillId="0" borderId="0" numFmtId="0" xfId="0" applyFont="1"/>
    <xf fontId="21" fillId="0" borderId="0" numFmtId="4" xfId="0" applyNumberFormat="1" applyFont="1"/>
    <xf fontId="2" fillId="0" borderId="1" numFmtId="0" xfId="3" applyFont="1" applyBorder="1" applyAlignment="1">
      <alignment horizontal="center" vertical="top"/>
    </xf>
    <xf fontId="2" fillId="0" borderId="1" numFmtId="0" xfId="0" applyFont="1" applyBorder="1" applyAlignment="1">
      <alignment horizontal="center" vertical="center"/>
    </xf>
    <xf fontId="16" fillId="6" borderId="1" numFmtId="0" xfId="3" applyFont="1" applyFill="1" applyBorder="1" applyAlignment="1">
      <alignment horizontal="center" vertical="center"/>
    </xf>
    <xf fontId="2" fillId="6" borderId="1" numFmtId="0" xfId="3" applyFont="1" applyFill="1" applyBorder="1" applyAlignment="1">
      <alignment horizontal="center" vertical="center"/>
    </xf>
    <xf fontId="16" fillId="19" borderId="1" numFmtId="0" xfId="3" applyFont="1" applyFill="1" applyBorder="1" applyAlignment="1">
      <alignment horizontal="center" vertical="top"/>
    </xf>
    <xf fontId="25" fillId="0" borderId="0" numFmtId="0" xfId="0" applyFont="1" applyAlignment="1">
      <alignment vertical="center"/>
    </xf>
    <xf fontId="16" fillId="0" borderId="1" numFmtId="2" xfId="0" applyNumberFormat="1" applyFont="1" applyBorder="1" applyAlignment="1">
      <alignment horizontal="center"/>
    </xf>
    <xf fontId="2" fillId="6" borderId="13" numFmtId="0" xfId="3" applyFont="1" applyFill="1" applyBorder="1" applyAlignment="1">
      <alignment horizontal="center"/>
    </xf>
    <xf fontId="2" fillId="0" borderId="14" numFmtId="0" xfId="0" applyFont="1" applyBorder="1"/>
    <xf fontId="16" fillId="0" borderId="0" numFmtId="0" xfId="0" applyFont="1"/>
    <xf fontId="16" fillId="0" borderId="13" numFmtId="4" xfId="3" applyNumberFormat="1" applyFont="1" applyBorder="1" applyAlignment="1">
      <alignment horizontal="center"/>
    </xf>
    <xf fontId="16" fillId="0" borderId="14" numFmtId="0" xfId="3" applyFont="1" applyBorder="1" applyAlignment="1">
      <alignment horizontal="center"/>
    </xf>
    <xf fontId="16" fillId="0" borderId="12" numFmtId="0" xfId="3" applyFont="1" applyBorder="1" applyAlignment="1">
      <alignment horizontal="center"/>
    </xf>
    <xf fontId="26" fillId="0" borderId="1" numFmtId="0" xfId="0" applyFont="1" applyBorder="1" applyAlignment="1">
      <alignment horizontal="center" vertical="top" wrapText="1"/>
    </xf>
    <xf fontId="0" fillId="0" borderId="1" numFmtId="0" xfId="0" applyBorder="1" applyAlignment="1">
      <alignment vertical="center"/>
    </xf>
    <xf fontId="27" fillId="0" borderId="0" numFmtId="0" xfId="0" applyFont="1" applyAlignment="1">
      <alignment vertical="center"/>
    </xf>
    <xf fontId="2" fillId="6" borderId="16" numFmtId="0" xfId="3" applyFont="1" applyFill="1" applyBorder="1" applyAlignment="1">
      <alignment horizontal="justify" vertical="center" wrapText="1"/>
    </xf>
    <xf fontId="28" fillId="0" borderId="1" numFmtId="0" xfId="0" applyFont="1" applyBorder="1" applyAlignment="1">
      <alignment vertical="center"/>
    </xf>
    <xf fontId="16" fillId="6" borderId="14" numFmtId="0" xfId="3" applyFont="1" applyFill="1" applyBorder="1"/>
    <xf fontId="2" fillId="6" borderId="0" numFmtId="0" xfId="3" applyFont="1" applyFill="1" applyAlignment="1">
      <alignment horizontal="justify" vertical="top" wrapText="1"/>
    </xf>
    <xf fontId="16" fillId="6" borderId="0" numFmtId="0" xfId="3" applyFont="1" applyFill="1" applyAlignment="1">
      <alignment horizontal="center"/>
    </xf>
    <xf fontId="1" fillId="0" borderId="0" numFmtId="14" xfId="1" applyNumberFormat="1" applyFont="1"/>
    <xf fontId="16" fillId="0" borderId="0" numFmtId="0" xfId="0" applyFont="1" applyAlignment="1">
      <alignment horizontal="center" wrapText="1"/>
    </xf>
    <xf fontId="2" fillId="0" borderId="0" numFmtId="4" xfId="0" applyNumberFormat="1" applyFont="1"/>
    <xf fontId="2" fillId="0" borderId="0" numFmtId="2" xfId="0" applyNumberFormat="1" applyFont="1"/>
    <xf fontId="15" fillId="2" borderId="0" numFmtId="17" xfId="0" applyNumberFormat="1" applyFont="1" applyFill="1" applyAlignment="1">
      <alignment horizontal="center"/>
    </xf>
    <xf fontId="15" fillId="0" borderId="0" numFmtId="0" xfId="0" applyFont="1" applyAlignment="1">
      <alignment horizontal="center" wrapText="1"/>
    </xf>
    <xf fontId="2" fillId="0" borderId="0" numFmtId="0" xfId="0" applyFont="1" applyAlignment="1">
      <alignment horizontal="center" wrapText="1"/>
    </xf>
    <xf fontId="29" fillId="0" borderId="0" numFmtId="0" xfId="0" applyFont="1"/>
    <xf fontId="30" fillId="0" borderId="0" numFmtId="0" xfId="10" applyFont="1" applyAlignment="1">
      <alignment horizontal="justify" vertical="center" wrapText="1"/>
    </xf>
    <xf fontId="29" fillId="0" borderId="0" numFmtId="0" xfId="0" applyFont="1" applyAlignment="1">
      <alignment vertical="center"/>
    </xf>
    <xf fontId="30" fillId="0" borderId="0" numFmtId="0" xfId="10" applyFont="1" applyAlignment="1">
      <alignment horizontal="left" vertical="justify" wrapText="1"/>
    </xf>
    <xf fontId="30" fillId="0" borderId="0" numFmtId="0" xfId="10" applyFont="1" applyAlignment="1">
      <alignment horizontal="left" vertical="center" wrapText="1"/>
    </xf>
    <xf fontId="30" fillId="0" borderId="0" numFmtId="0" xfId="10" applyFont="1" applyAlignment="1">
      <alignment vertical="center"/>
    </xf>
    <xf fontId="30" fillId="0" borderId="0" numFmtId="0" xfId="0" applyFont="1" applyAlignment="1">
      <alignment horizontal="left"/>
    </xf>
    <xf fontId="30" fillId="0" borderId="0" numFmtId="0" xfId="10" applyFont="1" applyAlignment="1">
      <alignment horizontal="left" vertical="center"/>
    </xf>
    <xf fontId="24" fillId="0" borderId="0" numFmtId="0" xfId="10" applyFont="1" applyAlignment="1">
      <alignment horizontal="left" vertical="center"/>
    </xf>
    <xf fontId="30" fillId="0" borderId="1" numFmtId="0" xfId="0" applyFont="1" applyBorder="1" applyAlignment="1">
      <alignment horizontal="center"/>
    </xf>
    <xf fontId="30" fillId="0" borderId="1" numFmtId="161" xfId="16" applyNumberFormat="1" applyFont="1" applyBorder="1" applyAlignment="1">
      <alignment horizontal="center"/>
    </xf>
    <xf fontId="30" fillId="0" borderId="1" numFmtId="9" xfId="14" applyNumberFormat="1" applyFont="1" applyBorder="1" applyAlignment="1">
      <alignment horizontal="center"/>
    </xf>
    <xf fontId="29" fillId="0" borderId="1" numFmtId="0" xfId="0" applyFont="1" applyBorder="1" applyAlignment="1">
      <alignment horizontal="center"/>
    </xf>
    <xf fontId="29" fillId="0" borderId="1" numFmtId="161" xfId="16" applyNumberFormat="1" applyFont="1" applyBorder="1" applyAlignment="1">
      <alignment vertical="center"/>
    </xf>
    <xf fontId="29" fillId="0" borderId="1" numFmtId="10" xfId="16" applyNumberFormat="1" applyFont="1" applyBorder="1"/>
    <xf fontId="29" fillId="0" borderId="1" numFmtId="4" xfId="0" applyNumberFormat="1" applyFont="1" applyBorder="1"/>
    <xf fontId="29" fillId="0" borderId="1" numFmtId="161" xfId="16" applyNumberFormat="1" applyFont="1" applyBorder="1" applyAlignment="1">
      <alignment vertical="center" wrapText="1"/>
    </xf>
    <xf fontId="24" fillId="0" borderId="1" numFmtId="0" xfId="0" applyFont="1" applyBorder="1"/>
    <xf fontId="30" fillId="0" borderId="1" numFmtId="161" xfId="16" applyNumberFormat="1" applyFont="1" applyBorder="1"/>
    <xf fontId="30" fillId="0" borderId="1" numFmtId="10" xfId="14" applyNumberFormat="1" applyFont="1" applyBorder="1"/>
    <xf fontId="30" fillId="0" borderId="1" numFmtId="4" xfId="0" applyNumberFormat="1" applyFont="1" applyBorder="1"/>
    <xf fontId="29" fillId="0" borderId="0" numFmtId="4" xfId="0" applyNumberFormat="1" applyFont="1"/>
    <xf fontId="30" fillId="0" borderId="0" numFmtId="161" xfId="16" applyNumberFormat="1" applyFont="1"/>
    <xf fontId="30" fillId="0" borderId="0" numFmtId="10" xfId="14" applyNumberFormat="1" applyFont="1"/>
    <xf fontId="30" fillId="0" borderId="0" numFmtId="4" xfId="0" applyNumberFormat="1" applyFont="1"/>
    <xf fontId="29" fillId="0" borderId="0" numFmtId="0" xfId="0" applyFont="1" applyAlignment="1">
      <alignment horizontal="center"/>
    </xf>
    <xf fontId="29" fillId="0" borderId="0" numFmtId="0" xfId="10" applyFont="1" applyAlignment="1">
      <alignment vertical="center" wrapText="1"/>
    </xf>
    <xf fontId="29" fillId="0" borderId="0" numFmtId="0" xfId="0" applyFont="1" applyAlignment="1">
      <alignment horizontal="center" vertical="center"/>
    </xf>
    <xf fontId="29" fillId="0" borderId="0" numFmtId="4" xfId="0" applyNumberFormat="1" applyFont="1" applyAlignment="1">
      <alignment vertical="top"/>
    </xf>
    <xf fontId="2" fillId="0" borderId="0" numFmtId="0" xfId="10" applyFont="1" applyAlignment="1">
      <alignment horizontal="center" vertical="center"/>
    </xf>
    <xf fontId="2" fillId="0" borderId="0" numFmtId="0" xfId="10" applyFont="1" applyAlignment="1">
      <alignment horizontal="justify" vertical="center"/>
    </xf>
    <xf fontId="2" fillId="0" borderId="0" numFmtId="4" xfId="15" applyNumberFormat="1" applyFont="1" applyAlignment="1">
      <alignment horizontal="right"/>
    </xf>
    <xf fontId="21" fillId="0" borderId="0" numFmtId="40" xfId="15" applyNumberFormat="1" applyFont="1" applyAlignment="1">
      <alignment vertical="center"/>
    </xf>
    <xf fontId="2" fillId="0" borderId="0" numFmtId="40" xfId="15" applyNumberFormat="1" applyFont="1" applyAlignment="1">
      <alignment vertical="center"/>
    </xf>
    <xf fontId="2" fillId="0" borderId="0" numFmtId="0" xfId="10" applyFont="1" applyAlignment="1">
      <alignment horizontal="center"/>
    </xf>
    <xf fontId="2" fillId="0" borderId="0" numFmtId="0" xfId="10" applyFont="1" applyAlignment="1">
      <alignment vertical="center"/>
    </xf>
    <xf fontId="31" fillId="0" borderId="0" numFmtId="0" xfId="0" applyFont="1" applyAlignment="1">
      <alignment vertical="center" wrapText="1"/>
    </xf>
    <xf fontId="32" fillId="20" borderId="0" numFmtId="161" xfId="16" applyNumberFormat="1" applyFont="1" applyFill="1" applyAlignment="1">
      <alignment vertical="center"/>
    </xf>
    <xf fontId="0" fillId="21" borderId="0" numFmtId="161" xfId="16" applyNumberFormat="1" applyFill="1" applyAlignment="1">
      <alignment vertical="center"/>
    </xf>
    <xf fontId="0" fillId="16" borderId="0" numFmtId="0" xfId="0" applyFill="1" applyAlignment="1">
      <alignment vertical="center"/>
    </xf>
    <xf fontId="33" fillId="0" borderId="0" numFmtId="0" xfId="0" applyFont="1" applyAlignment="1">
      <alignment horizontal="justify" vertical="center" wrapText="1"/>
    </xf>
    <xf fontId="15" fillId="0" borderId="0" numFmtId="160" xfId="10" applyNumberFormat="1" applyFont="1" applyAlignment="1">
      <alignment vertical="center"/>
    </xf>
    <xf fontId="25" fillId="0" borderId="0" numFmtId="160" xfId="10" applyNumberFormat="1" applyFont="1" applyAlignment="1">
      <alignment vertical="center"/>
    </xf>
    <xf fontId="34" fillId="0" borderId="0" numFmtId="0" xfId="0" applyFont="1" applyAlignment="1">
      <alignment horizontal="left" vertical="top" wrapText="1"/>
    </xf>
    <xf fontId="16" fillId="0" borderId="0" numFmtId="160" xfId="10" applyNumberFormat="1" applyFont="1" applyAlignment="1">
      <alignment horizontal="center"/>
    </xf>
    <xf fontId="16" fillId="0" borderId="0" numFmtId="160" xfId="10" applyNumberFormat="1" applyFont="1" applyAlignment="1">
      <alignment vertical="center"/>
    </xf>
    <xf fontId="35" fillId="0" borderId="0" numFmtId="0" xfId="6" applyFont="1" applyAlignment="1">
      <alignment vertical="center" wrapText="1"/>
    </xf>
    <xf fontId="34" fillId="0" borderId="0" numFmtId="0" xfId="0" applyFont="1" applyAlignment="1">
      <alignment vertical="top"/>
    </xf>
    <xf fontId="34" fillId="0" borderId="0" numFmtId="0" xfId="0" applyFont="1"/>
    <xf fontId="34" fillId="0" borderId="0" numFmtId="0" xfId="0" applyFont="1" applyAlignment="1">
      <alignment vertical="justify" wrapText="1"/>
    </xf>
    <xf fontId="34" fillId="0" borderId="0" numFmtId="0" xfId="0" applyFont="1" applyAlignment="1">
      <alignment vertical="center"/>
    </xf>
    <xf fontId="34" fillId="0" borderId="0" numFmtId="0" xfId="0" applyFont="1" applyAlignment="1">
      <alignment vertical="center" wrapText="1"/>
    </xf>
    <xf fontId="18" fillId="22" borderId="0" numFmtId="0" xfId="6" applyFont="1" applyFill="1" applyAlignment="1">
      <alignment horizontal="center" vertical="center" wrapText="1"/>
    </xf>
    <xf fontId="36" fillId="16" borderId="0" numFmtId="0" xfId="6" applyFont="1" applyFill="1" applyAlignment="1">
      <alignment horizontal="center" vertical="center"/>
    </xf>
    <xf fontId="15" fillId="23" borderId="0" numFmtId="168" xfId="16" applyNumberFormat="1" applyFont="1" applyFill="1" applyAlignment="1" applyProtection="1">
      <alignment horizontal="center" vertical="center"/>
    </xf>
    <xf fontId="37" fillId="23" borderId="0" numFmtId="168" xfId="16" applyNumberFormat="1" applyFont="1" applyFill="1" applyAlignment="1" applyProtection="1">
      <alignment horizontal="center" vertical="center"/>
    </xf>
    <xf fontId="30" fillId="0" borderId="0" numFmtId="0" xfId="0" applyFont="1" applyAlignment="1">
      <alignment horizontal="center" vertical="top"/>
    </xf>
    <xf fontId="29" fillId="0" borderId="0" numFmtId="168" xfId="16" applyNumberFormat="1" applyFont="1" applyAlignment="1" applyProtection="1">
      <alignment horizontal="center" vertical="center"/>
    </xf>
    <xf fontId="29" fillId="0" borderId="0" numFmtId="0" xfId="0" applyFont="1" applyAlignment="1">
      <alignment vertical="top"/>
    </xf>
    <xf fontId="29" fillId="0" borderId="0" numFmtId="4" xfId="0" applyNumberFormat="1" applyFont="1" applyAlignment="1">
      <alignment horizontal="right"/>
    </xf>
    <xf fontId="38" fillId="0" borderId="0" numFmtId="4" xfId="12" applyNumberFormat="1" applyFont="1" applyAlignment="1">
      <alignment horizontal="center" vertical="center" wrapText="1"/>
    </xf>
    <xf fontId="39" fillId="0" borderId="1" numFmtId="0" xfId="0" applyFont="1" applyBorder="1"/>
    <xf fontId="40" fillId="0" borderId="1" numFmtId="0" xfId="0" applyFont="1" applyBorder="1" applyAlignment="1">
      <alignment horizontal="center" vertical="center" wrapText="1"/>
    </xf>
    <xf fontId="40" fillId="0" borderId="1" numFmtId="169" xfId="16" applyNumberFormat="1" applyFont="1" applyBorder="1" applyAlignment="1">
      <alignment horizontal="center" vertical="center" wrapText="1"/>
    </xf>
    <xf fontId="40" fillId="0" borderId="1" numFmtId="169" xfId="16" applyNumberFormat="1" applyFont="1" applyBorder="1" applyAlignment="1">
      <alignment horizontal="center" vertical="center"/>
    </xf>
    <xf fontId="41" fillId="0" borderId="1" numFmtId="161" xfId="16" applyNumberFormat="1" applyFont="1" applyBorder="1" applyAlignment="1">
      <alignment horizontal="center" vertical="center"/>
    </xf>
    <xf fontId="41" fillId="0" borderId="1" numFmtId="4" xfId="16" applyNumberFormat="1" applyFont="1" applyBorder="1" applyAlignment="1">
      <alignment horizontal="center" vertical="center"/>
    </xf>
    <xf fontId="40" fillId="0" borderId="1" numFmtId="0" xfId="11" applyFont="1" applyBorder="1" applyAlignment="1">
      <alignment vertical="center"/>
    </xf>
    <xf fontId="16" fillId="0" borderId="17" numFmtId="0" xfId="10" applyFont="1" applyBorder="1" applyAlignment="1">
      <alignment horizontal="center"/>
    </xf>
    <xf fontId="16" fillId="0" borderId="18" numFmtId="0" xfId="10" applyFont="1" applyBorder="1" applyAlignment="1">
      <alignment horizontal="center" vertical="center"/>
    </xf>
    <xf fontId="42" fillId="24" borderId="0" numFmtId="161" xfId="16" applyNumberFormat="1" applyFont="1" applyFill="1" applyAlignment="1">
      <alignment horizontal="left" vertical="center" wrapText="1"/>
    </xf>
    <xf fontId="40" fillId="0" borderId="1" numFmtId="0" xfId="0" applyFont="1" applyBorder="1" applyAlignment="1">
      <alignment horizontal="center" vertical="center"/>
    </xf>
    <xf fontId="41" fillId="0" borderId="1" numFmtId="4" xfId="0" applyNumberFormat="1" applyFont="1" applyBorder="1" applyAlignment="1">
      <alignment horizontal="center" vertical="center"/>
    </xf>
    <xf fontId="40" fillId="0" borderId="1" numFmtId="0" xfId="11" applyFont="1" applyBorder="1" applyAlignment="1">
      <alignment horizontal="center" vertical="center"/>
    </xf>
    <xf fontId="43" fillId="0" borderId="15" numFmtId="4" xfId="16" applyNumberFormat="1" applyFont="1" applyBorder="1" applyAlignment="1">
      <alignment horizontal="center" vertical="center"/>
    </xf>
    <xf fontId="43" fillId="0" borderId="19" numFmtId="4" xfId="16" applyNumberFormat="1" applyFont="1" applyBorder="1" applyAlignment="1">
      <alignment horizontal="center" vertical="center"/>
    </xf>
    <xf fontId="42" fillId="25" borderId="0" numFmtId="161" xfId="16" applyNumberFormat="1" applyFont="1" applyFill="1" applyAlignment="1">
      <alignment horizontal="right" vertical="center" wrapText="1"/>
    </xf>
    <xf fontId="0" fillId="16" borderId="0" numFmtId="0" xfId="0" applyFill="1" applyAlignment="1">
      <alignment vertical="center" wrapText="1"/>
    </xf>
    <xf fontId="41" fillId="0" borderId="1" numFmtId="0" xfId="0" applyFont="1" applyBorder="1" applyAlignment="1">
      <alignment horizontal="center" vertical="center"/>
    </xf>
    <xf fontId="41" fillId="0" borderId="1" numFmtId="0" xfId="0" applyFont="1" applyBorder="1" applyAlignment="1">
      <alignment horizontal="justify" vertical="center"/>
    </xf>
    <xf fontId="41" fillId="0" borderId="1" numFmtId="4" xfId="16" applyNumberFormat="1" applyFont="1" applyBorder="1" applyAlignment="1">
      <alignment horizontal="right"/>
    </xf>
    <xf fontId="41" fillId="0" borderId="1" numFmtId="161" xfId="16" applyNumberFormat="1" applyFont="1" applyBorder="1" applyAlignment="1">
      <alignment vertical="center"/>
    </xf>
    <xf fontId="16" fillId="0" borderId="0" numFmtId="0" xfId="10" applyFont="1" applyAlignment="1">
      <alignment horizontal="center" wrapText="1"/>
    </xf>
    <xf fontId="16" fillId="0" borderId="0" numFmtId="0" xfId="10" applyFont="1" applyAlignment="1">
      <alignment vertical="center" wrapText="1"/>
    </xf>
    <xf fontId="36" fillId="22" borderId="1" numFmtId="0" xfId="6" applyFont="1" applyFill="1" applyBorder="1" applyAlignment="1">
      <alignment horizontal="center"/>
    </xf>
    <xf fontId="16" fillId="26" borderId="1" numFmtId="0" xfId="6" applyFont="1" applyFill="1" applyBorder="1" applyAlignment="1">
      <alignment horizontal="center"/>
    </xf>
    <xf fontId="0" fillId="16" borderId="1" numFmtId="0" xfId="0" applyFill="1" applyBorder="1" applyAlignment="1">
      <alignment vertical="center"/>
    </xf>
    <xf fontId="44" fillId="0" borderId="1" numFmtId="0" xfId="0" applyFont="1" applyBorder="1" applyAlignment="1">
      <alignment horizontal="center" vertical="center"/>
    </xf>
    <xf fontId="39" fillId="0" borderId="1" numFmtId="0" xfId="0" applyFont="1" applyBorder="1" applyAlignment="1">
      <alignment horizontal="center" vertical="center"/>
    </xf>
    <xf fontId="39" fillId="0" borderId="1" numFmtId="0" xfId="4" applyFont="1" applyBorder="1" applyAlignment="1">
      <alignment horizontal="center" vertical="center"/>
    </xf>
    <xf fontId="39" fillId="0" borderId="1" numFmtId="0" xfId="4" applyFont="1" applyBorder="1" applyAlignment="1">
      <alignment horizontal="justify" vertical="center"/>
    </xf>
    <xf fontId="45" fillId="0" borderId="1" numFmtId="0" xfId="0" applyFont="1" applyBorder="1" applyAlignment="1">
      <alignment horizontal="center"/>
    </xf>
    <xf fontId="39" fillId="0" borderId="1" numFmtId="4" xfId="16" applyNumberFormat="1" applyFont="1" applyBorder="1" applyAlignment="1">
      <alignment horizontal="right"/>
    </xf>
    <xf fontId="46" fillId="6" borderId="1" numFmtId="4" xfId="16" applyNumberFormat="1" applyFont="1" applyFill="1" applyBorder="1" applyAlignment="1">
      <alignment horizontal="right"/>
    </xf>
    <xf fontId="39" fillId="0" borderId="1" numFmtId="0" xfId="4" applyFont="1" applyBorder="1" applyAlignment="1">
      <alignment horizontal="center"/>
    </xf>
    <xf fontId="45" fillId="0" borderId="1" numFmtId="0" xfId="0" applyFont="1" applyBorder="1" applyAlignment="1">
      <alignment horizontal="center" vertical="top" wrapText="1"/>
    </xf>
    <xf fontId="45" fillId="0" borderId="1" numFmtId="0" xfId="0" applyFont="1" applyBorder="1" applyAlignment="1">
      <alignment horizontal="justify" vertical="center"/>
    </xf>
    <xf fontId="46" fillId="6" borderId="17" numFmtId="4" xfId="16" applyNumberFormat="1" applyFont="1" applyFill="1" applyBorder="1" applyAlignment="1">
      <alignment horizontal="right"/>
    </xf>
    <xf fontId="41" fillId="0" borderId="1" numFmtId="0" xfId="0" applyFont="1" applyBorder="1"/>
    <xf fontId="41" fillId="0" borderId="1" numFmtId="0" xfId="0" applyFont="1" applyBorder="1" applyAlignment="1">
      <alignment horizontal="center" vertical="top"/>
    </xf>
    <xf fontId="41" fillId="0" borderId="1" numFmtId="0" xfId="0" applyFont="1" applyBorder="1" applyAlignment="1">
      <alignment horizontal="left" vertical="top"/>
    </xf>
    <xf fontId="41" fillId="0" borderId="1" numFmtId="0" xfId="0" applyFont="1" applyBorder="1" applyAlignment="1">
      <alignment horizontal="center"/>
    </xf>
    <xf fontId="39" fillId="0" borderId="1" numFmtId="161" xfId="16" applyNumberFormat="1" applyFont="1" applyBorder="1"/>
    <xf fontId="41" fillId="0" borderId="1" numFmtId="161" xfId="16" applyNumberFormat="1" applyFont="1" applyBorder="1"/>
    <xf fontId="16" fillId="0" borderId="1" numFmtId="170" xfId="14" applyNumberFormat="1" applyFont="1" applyBorder="1" applyAlignment="1">
      <alignment horizontal="center" wrapText="1"/>
    </xf>
    <xf fontId="43" fillId="6" borderId="1" numFmtId="161" xfId="16" applyNumberFormat="1" applyFont="1" applyFill="1" applyBorder="1"/>
    <xf fontId="47" fillId="0" borderId="0" numFmtId="10" xfId="14" applyNumberFormat="1" applyFont="1" applyAlignment="1">
      <alignment horizontal="center" wrapText="1"/>
    </xf>
    <xf fontId="40" fillId="0" borderId="1" numFmtId="0" xfId="0" applyFont="1" applyBorder="1" applyAlignment="1">
      <alignment horizontal="justify" vertical="center"/>
    </xf>
    <xf fontId="45" fillId="0" borderId="1" numFmtId="161" xfId="16" applyNumberFormat="1" applyFont="1" applyBorder="1"/>
    <xf fontId="9" fillId="0" borderId="1" numFmtId="0" xfId="10" applyFont="1" applyBorder="1" applyAlignment="1">
      <alignment vertical="center" wrapText="1"/>
    </xf>
    <xf fontId="48" fillId="0" borderId="0" numFmtId="10" xfId="0" applyNumberFormat="1" applyFont="1" applyAlignment="1">
      <alignment vertical="center" wrapText="1"/>
    </xf>
    <xf fontId="39" fillId="0" borderId="1" numFmtId="0" xfId="0" applyFont="1" applyBorder="1" applyAlignment="1">
      <alignment horizontal="center" vertical="center" wrapText="1"/>
    </xf>
    <xf fontId="39" fillId="0" borderId="1" numFmtId="0" xfId="10" applyFont="1" applyBorder="1" applyAlignment="1">
      <alignment horizontal="center" vertical="center" wrapText="1"/>
    </xf>
    <xf fontId="39" fillId="0" borderId="1" numFmtId="0" xfId="10" applyFont="1" applyBorder="1" applyAlignment="1">
      <alignment horizontal="justify" vertical="center" wrapText="1"/>
    </xf>
    <xf fontId="39" fillId="0" borderId="1" numFmtId="0" xfId="10" applyFont="1" applyBorder="1" applyAlignment="1">
      <alignment horizontal="center" wrapText="1"/>
    </xf>
    <xf fontId="39" fillId="0" borderId="1" numFmtId="0" xfId="0" applyFont="1" applyBorder="1" applyAlignment="1">
      <alignment horizontal="center" vertical="top" wrapText="1"/>
    </xf>
    <xf fontId="39" fillId="0" borderId="1" numFmtId="0" xfId="0" applyFont="1" applyBorder="1" applyAlignment="1">
      <alignment horizontal="justify" vertical="center"/>
    </xf>
    <xf fontId="39" fillId="0" borderId="1" numFmtId="0" xfId="0" applyFont="1" applyBorder="1" applyAlignment="1">
      <alignment horizontal="center"/>
    </xf>
    <xf fontId="45" fillId="0" borderId="1" numFmtId="0" xfId="0" applyFont="1" applyBorder="1" applyAlignment="1">
      <alignment horizontal="center" vertical="center"/>
    </xf>
    <xf fontId="40" fillId="0" borderId="1" numFmtId="161" xfId="16" applyNumberFormat="1" applyFont="1" applyBorder="1"/>
    <xf fontId="26" fillId="0" borderId="1" numFmtId="161" xfId="16" applyNumberFormat="1" applyFont="1" applyBorder="1"/>
    <xf fontId="41" fillId="0" borderId="1" numFmtId="0" xfId="10" applyFont="1" applyBorder="1" applyAlignment="1">
      <alignment horizontal="justify" vertical="center" wrapText="1"/>
    </xf>
    <xf fontId="16" fillId="0" borderId="15" numFmtId="170" xfId="14" applyNumberFormat="1" applyFont="1" applyBorder="1" applyAlignment="1">
      <alignment horizontal="center" wrapText="1"/>
    </xf>
    <xf fontId="9" fillId="0" borderId="15" numFmtId="0" xfId="10" applyFont="1" applyBorder="1" applyAlignment="1">
      <alignment vertical="center" wrapText="1"/>
    </xf>
    <xf fontId="39" fillId="0" borderId="1" numFmtId="4" xfId="10" applyNumberFormat="1" applyFont="1" applyBorder="1" applyAlignment="1">
      <alignment horizontal="right" wrapText="1"/>
    </xf>
    <xf fontId="39" fillId="0" borderId="1" numFmtId="2" xfId="10" applyNumberFormat="1" applyFont="1" applyBorder="1" applyAlignment="1">
      <alignment horizontal="center" wrapText="1"/>
    </xf>
    <xf fontId="39" fillId="0" borderId="1" numFmtId="4" xfId="16" applyNumberFormat="1" applyFont="1" applyBorder="1" applyAlignment="1">
      <alignment horizontal="right" wrapText="1"/>
    </xf>
    <xf fontId="39" fillId="0" borderId="1" numFmtId="0" xfId="0" applyFont="1" applyBorder="1" applyAlignment="1">
      <alignment horizontal="justify" vertical="center" wrapText="1"/>
    </xf>
    <xf fontId="39" fillId="0" borderId="1" numFmtId="2" xfId="0" applyNumberFormat="1" applyFont="1" applyBorder="1" applyAlignment="1">
      <alignment horizontal="center" vertical="center"/>
    </xf>
    <xf fontId="39" fillId="0" borderId="1" numFmtId="2" xfId="0" applyNumberFormat="1" applyFont="1" applyBorder="1" applyAlignment="1">
      <alignment horizontal="center"/>
    </xf>
    <xf fontId="39" fillId="0" borderId="1" numFmtId="2" xfId="10" applyNumberFormat="1" applyFont="1" applyBorder="1" applyAlignment="1">
      <alignment horizontal="center" vertical="center" wrapText="1"/>
    </xf>
    <xf fontId="21" fillId="0" borderId="1" numFmtId="170" xfId="14" applyNumberFormat="1" applyFont="1" applyBorder="1" applyAlignment="1">
      <alignment horizontal="center" wrapText="1"/>
    </xf>
    <xf fontId="39" fillId="0" borderId="1" numFmtId="4" xfId="16" applyNumberFormat="1" applyFont="1" applyBorder="1"/>
    <xf fontId="45" fillId="0" borderId="1" numFmtId="0" xfId="10" applyFont="1" applyBorder="1" applyAlignment="1">
      <alignment horizontal="center" vertical="center" wrapText="1"/>
    </xf>
    <xf fontId="39" fillId="0" borderId="1" numFmtId="0" xfId="7" applyFont="1" applyBorder="1" applyAlignment="1">
      <alignment horizontal="center" vertical="center"/>
    </xf>
    <xf fontId="41" fillId="0" borderId="1" numFmtId="0" xfId="10" applyFont="1" applyBorder="1" applyAlignment="1">
      <alignment horizontal="center" vertical="center"/>
    </xf>
    <xf fontId="39" fillId="0" borderId="1" numFmtId="0" xfId="8" applyFont="1" applyBorder="1" applyAlignment="1">
      <alignment horizontal="center"/>
    </xf>
    <xf fontId="39" fillId="0" borderId="1" numFmtId="0" xfId="10" applyFont="1" applyBorder="1" applyAlignment="1">
      <alignment horizontal="center" vertical="center"/>
    </xf>
    <xf fontId="39" fillId="0" borderId="1" numFmtId="0" xfId="10" applyFont="1" applyBorder="1" applyAlignment="1">
      <alignment horizontal="justify" vertical="center"/>
    </xf>
    <xf fontId="41" fillId="0" borderId="1" numFmtId="0" xfId="0" applyFont="1" applyBorder="1" applyAlignment="1">
      <alignment vertical="center" wrapText="1"/>
    </xf>
    <xf fontId="41" fillId="0" borderId="1" numFmtId="0" xfId="10" applyFont="1" applyBorder="1" applyAlignment="1">
      <alignment horizontal="justify" vertical="top" wrapText="1"/>
    </xf>
    <xf fontId="43" fillId="6" borderId="1" numFmtId="4" xfId="16" applyNumberFormat="1" applyFont="1" applyFill="1" applyBorder="1" applyAlignment="1">
      <alignment horizontal="right"/>
    </xf>
    <xf fontId="39" fillId="0" borderId="1" numFmtId="0" xfId="4" applyFont="1" applyBorder="1" applyAlignment="1">
      <alignment horizontal="center" vertical="top" wrapText="1"/>
    </xf>
    <xf fontId="45" fillId="0" borderId="1" numFmtId="49" xfId="0" applyNumberFormat="1" applyFont="1" applyBorder="1" applyAlignment="1">
      <alignment horizontal="center"/>
    </xf>
    <xf fontId="46" fillId="6" borderId="16" numFmtId="4" xfId="16" applyNumberFormat="1" applyFont="1" applyFill="1" applyBorder="1" applyAlignment="1">
      <alignment horizontal="right"/>
    </xf>
    <xf fontId="39" fillId="0" borderId="1" numFmtId="161" xfId="16" applyNumberFormat="1" applyFont="1" applyBorder="1" applyAlignment="1">
      <alignment horizontal="right" wrapText="1"/>
    </xf>
    <xf fontId="41" fillId="0" borderId="1" numFmtId="0" xfId="3" applyFont="1" applyBorder="1" applyAlignment="1">
      <alignment horizontal="center"/>
    </xf>
    <xf fontId="49" fillId="0" borderId="20" numFmtId="171" xfId="0" applyNumberFormat="1" applyFont="1" applyBorder="1" applyAlignment="1">
      <alignment horizontal="right" vertical="center" wrapText="1"/>
    </xf>
    <xf fontId="49" fillId="0" borderId="0" numFmtId="171" xfId="0" applyNumberFormat="1" applyFont="1" applyAlignment="1">
      <alignment horizontal="right" vertical="center" wrapText="1"/>
    </xf>
    <xf fontId="39" fillId="0" borderId="1" numFmtId="0" xfId="4" applyFont="1" applyBorder="1" applyAlignment="1">
      <alignment horizontal="justify" vertical="center" wrapText="1"/>
    </xf>
    <xf fontId="26" fillId="0" borderId="13" numFmtId="161" xfId="16" applyNumberFormat="1" applyFont="1" applyBorder="1"/>
    <xf fontId="39" fillId="0" borderId="0" numFmtId="161" xfId="16" applyNumberFormat="1" applyFont="1" applyAlignment="1">
      <alignment horizontal="right" wrapText="1"/>
    </xf>
    <xf fontId="16" fillId="0" borderId="0" numFmtId="2" xfId="0" applyNumberFormat="1" applyFont="1"/>
    <xf fontId="41" fillId="0" borderId="1" numFmtId="0" xfId="0" applyFont="1" applyBorder="1" applyAlignment="1">
      <alignment horizontal="center" vertical="center" wrapText="1"/>
    </xf>
    <xf fontId="39" fillId="0" borderId="1" numFmtId="0" xfId="3" applyFont="1" applyBorder="1" applyAlignment="1">
      <alignment horizontal="center" vertical="center" wrapText="1"/>
    </xf>
    <xf fontId="40" fillId="0" borderId="1" numFmtId="0" xfId="0" applyFont="1" applyBorder="1" applyAlignment="1">
      <alignment horizontal="center"/>
    </xf>
    <xf fontId="39" fillId="0" borderId="1" numFmtId="0" xfId="0" applyFont="1" applyBorder="1" applyAlignment="1">
      <alignment horizontal="center" vertical="top"/>
    </xf>
    <xf fontId="39" fillId="0" borderId="1" numFmtId="3" xfId="0" applyNumberFormat="1" applyFont="1" applyBorder="1" applyAlignment="1">
      <alignment horizontal="center" vertical="center"/>
    </xf>
    <xf fontId="41" fillId="0" borderId="1" numFmtId="0" xfId="3" applyFont="1" applyBorder="1" applyAlignment="1">
      <alignment horizontal="center" vertical="top" wrapText="1"/>
    </xf>
    <xf fontId="41" fillId="0" borderId="1" numFmtId="0" xfId="3" applyFont="1" applyBorder="1" applyAlignment="1">
      <alignment horizontal="justify" vertical="top"/>
    </xf>
    <xf fontId="39" fillId="0" borderId="1" numFmtId="161" xfId="16" applyNumberFormat="1" applyFont="1" applyBorder="1" applyAlignment="1">
      <alignment horizontal="right"/>
    </xf>
    <xf fontId="41" fillId="0" borderId="1" numFmtId="161" xfId="16" applyNumberFormat="1" applyFont="1" applyBorder="1" applyAlignment="1">
      <alignment horizontal="right" wrapText="1"/>
    </xf>
    <xf fontId="16" fillId="0" borderId="1" numFmtId="0" xfId="0" applyFont="1" applyBorder="1"/>
    <xf fontId="39" fillId="0" borderId="1" numFmtId="0" xfId="3" applyFont="1" applyBorder="1" applyAlignment="1">
      <alignment horizontal="center" vertical="top" wrapText="1"/>
    </xf>
    <xf fontId="39" fillId="0" borderId="1" numFmtId="0" xfId="3" applyFont="1" applyBorder="1" applyAlignment="1">
      <alignment horizontal="justify" vertical="center"/>
    </xf>
    <xf fontId="39" fillId="0" borderId="1" numFmtId="0" xfId="3" applyFont="1" applyBorder="1" applyAlignment="1">
      <alignment horizontal="center"/>
    </xf>
    <xf fontId="40" fillId="0" borderId="1" numFmtId="0" xfId="0" applyFont="1" applyBorder="1" applyAlignment="1">
      <alignment horizontal="justify" vertical="top"/>
    </xf>
    <xf fontId="26" fillId="6" borderId="1" numFmtId="161" xfId="16" applyNumberFormat="1" applyFont="1" applyFill="1" applyBorder="1"/>
    <xf fontId="16" fillId="0" borderId="15" numFmtId="0" xfId="0" applyFont="1" applyBorder="1"/>
    <xf fontId="50" fillId="0" borderId="1" numFmtId="4" xfId="0" applyNumberFormat="1" applyFont="1" applyBorder="1" applyAlignment="1">
      <alignment horizontal="center"/>
    </xf>
    <xf fontId="39" fillId="0" borderId="1" numFmtId="0" xfId="9" applyFont="1" applyBorder="1" applyAlignment="1">
      <alignment horizontal="center" vertical="top" wrapText="1"/>
    </xf>
    <xf fontId="40" fillId="0" borderId="1" numFmtId="161" xfId="16" applyNumberFormat="1" applyFont="1" applyBorder="1" applyAlignment="1">
      <alignment vertical="center"/>
    </xf>
    <xf fontId="16" fillId="0" borderId="1" numFmtId="10" xfId="16" applyNumberFormat="1" applyFont="1" applyBorder="1" applyAlignment="1">
      <alignment horizontal="center"/>
    </xf>
    <xf fontId="26" fillId="6" borderId="1" numFmtId="161" xfId="16" applyNumberFormat="1" applyFont="1" applyFill="1" applyBorder="1" applyAlignment="1">
      <alignment vertical="center"/>
    </xf>
    <xf fontId="26" fillId="0" borderId="0" numFmtId="0" xfId="0" applyFont="1" applyAlignment="1">
      <alignment horizontal="center" vertical="center"/>
    </xf>
    <xf fontId="26" fillId="0" borderId="0" numFmtId="0" xfId="0" applyFont="1" applyAlignment="1">
      <alignment horizontal="justify" vertical="center"/>
    </xf>
    <xf fontId="43" fillId="0" borderId="0" numFmtId="0" xfId="0" applyFont="1" applyAlignment="1">
      <alignment horizontal="center" vertical="center"/>
    </xf>
    <xf fontId="43" fillId="0" borderId="0" numFmtId="4" xfId="16" applyNumberFormat="1" applyFont="1" applyAlignment="1">
      <alignment horizontal="right"/>
    </xf>
    <xf fontId="26" fillId="0" borderId="0" numFmtId="161" xfId="16" applyNumberFormat="1" applyFont="1" applyAlignment="1">
      <alignment vertical="center"/>
    </xf>
    <xf fontId="16" fillId="0" borderId="0" numFmtId="10" xfId="16" applyNumberFormat="1" applyFont="1" applyAlignment="1">
      <alignment horizontal="center"/>
    </xf>
    <xf fontId="15" fillId="0" borderId="0" numFmtId="0" xfId="10" applyFont="1" applyAlignment="1">
      <alignment vertical="center" wrapText="1"/>
    </xf>
    <xf fontId="2" fillId="0" borderId="0" numFmtId="0" xfId="0" applyFont="1" applyAlignment="1">
      <alignment horizontal="right"/>
    </xf>
    <xf fontId="43" fillId="0" borderId="0" numFmtId="10" xfId="16" applyNumberFormat="1" applyFont="1" applyAlignment="1">
      <alignment horizontal="center"/>
    </xf>
    <xf fontId="26" fillId="6" borderId="0" numFmtId="161" xfId="16" applyNumberFormat="1" applyFont="1" applyFill="1" applyAlignment="1">
      <alignment vertical="center"/>
    </xf>
    <xf fontId="15" fillId="0" borderId="0" numFmtId="161" xfId="10" applyNumberFormat="1" applyFont="1" applyAlignment="1">
      <alignment vertical="center" wrapText="1"/>
    </xf>
    <xf fontId="15" fillId="0" borderId="0" numFmtId="172" xfId="10" applyNumberFormat="1" applyFont="1" applyAlignment="1">
      <alignment vertical="center" wrapText="1"/>
    </xf>
    <xf fontId="46" fillId="0" borderId="0" numFmtId="0" xfId="0" applyFont="1" applyAlignment="1">
      <alignment vertical="center" wrapText="1"/>
    </xf>
    <xf fontId="46" fillId="0" borderId="0" numFmtId="0" xfId="0" applyFont="1" applyAlignment="1">
      <alignment horizontal="right" wrapText="1"/>
    </xf>
    <xf fontId="2" fillId="0" borderId="0" numFmtId="0" xfId="10" applyFont="1" applyAlignment="1">
      <alignment horizontal="center" wrapText="1"/>
    </xf>
    <xf fontId="51" fillId="0" borderId="0" numFmtId="0" xfId="10" applyFont="1" applyAlignment="1">
      <alignment vertical="center" wrapText="1"/>
    </xf>
    <xf fontId="2" fillId="0" borderId="0" numFmtId="4" xfId="10" applyNumberFormat="1" applyFont="1" applyAlignment="1">
      <alignment vertical="center" wrapText="1"/>
    </xf>
    <xf fontId="2" fillId="0" borderId="0" numFmtId="4" xfId="0" applyNumberFormat="1" applyFont="1" applyAlignment="1">
      <alignment vertical="center" wrapText="1"/>
    </xf>
    <xf fontId="52" fillId="0" borderId="0" numFmtId="161" xfId="10" applyNumberFormat="1" applyFont="1" applyAlignment="1">
      <alignment vertical="center"/>
    </xf>
    <xf fontId="16" fillId="0" borderId="0" numFmtId="0" xfId="10" applyFont="1" applyAlignment="1">
      <alignment vertical="center"/>
    </xf>
    <xf fontId="2" fillId="0" borderId="0" numFmtId="161" xfId="10" applyNumberFormat="1" applyFont="1" applyAlignment="1">
      <alignment vertical="center"/>
    </xf>
    <xf fontId="2" fillId="0" borderId="0" numFmtId="161" xfId="10" applyNumberFormat="1" applyFont="1" applyAlignment="1">
      <alignment horizontal="center"/>
    </xf>
    <xf fontId="2" fillId="0" borderId="0" numFmtId="4" xfId="10" applyNumberFormat="1" applyFont="1" applyAlignment="1">
      <alignment vertical="center"/>
    </xf>
    <xf fontId="21" fillId="0" borderId="0" numFmtId="4" xfId="10" applyNumberFormat="1" applyFont="1" applyAlignment="1">
      <alignment vertical="center"/>
    </xf>
    <xf fontId="15" fillId="0" borderId="0" numFmtId="4" xfId="0" applyNumberFormat="1" applyFont="1"/>
    <xf fontId="2" fillId="0" borderId="0" numFmtId="4" xfId="15" applyNumberFormat="1" applyFont="1" applyAlignment="1">
      <alignment horizontal="center" vertical="center"/>
    </xf>
    <xf fontId="43" fillId="0" borderId="0" numFmtId="161" xfId="16" applyNumberFormat="1" applyFont="1" applyAlignment="1">
      <alignment horizontal="right"/>
    </xf>
    <xf fontId="2" fillId="0" borderId="0" numFmtId="161" xfId="10" applyNumberFormat="1" applyFont="1" applyAlignment="1">
      <alignment horizontal="right"/>
    </xf>
    <xf fontId="53" fillId="0" borderId="0" numFmtId="0" xfId="0" applyFont="1" applyAlignment="1">
      <alignment vertical="center" wrapText="1"/>
    </xf>
    <xf fontId="54" fillId="20" borderId="0" numFmtId="161" xfId="16" applyNumberFormat="1" applyFont="1" applyFill="1" applyAlignment="1">
      <alignment vertical="center"/>
    </xf>
    <xf fontId="54" fillId="21" borderId="0" numFmtId="161" xfId="16" applyNumberFormat="1" applyFont="1" applyFill="1" applyAlignment="1">
      <alignment vertical="center"/>
    </xf>
    <xf fontId="30" fillId="0" borderId="0" numFmtId="0" xfId="6" applyFont="1" applyAlignment="1">
      <alignment horizontal="left" vertical="center"/>
    </xf>
    <xf fontId="29" fillId="0" borderId="0" numFmtId="0" xfId="6" applyFont="1" applyAlignment="1">
      <alignment vertical="center"/>
    </xf>
    <xf fontId="30" fillId="0" borderId="0" numFmtId="0" xfId="6" applyFont="1" applyAlignment="1">
      <alignment vertical="center" wrapText="1"/>
    </xf>
    <xf fontId="29" fillId="0" borderId="0" numFmtId="0" xfId="6" applyFont="1" applyAlignment="1">
      <alignment horizontal="center" vertical="center"/>
    </xf>
    <xf fontId="29" fillId="0" borderId="0" numFmtId="173" xfId="6" applyNumberFormat="1" applyFont="1" applyAlignment="1">
      <alignment horizontal="center" vertical="center"/>
    </xf>
    <xf fontId="29" fillId="0" borderId="0" numFmtId="0" xfId="6" applyFont="1" applyAlignment="1">
      <alignment horizontal="center"/>
    </xf>
    <xf fontId="55" fillId="0" borderId="0" numFmtId="0" xfId="6" applyFont="1" applyAlignment="1">
      <alignment vertical="center" wrapText="1"/>
    </xf>
    <xf fontId="30" fillId="0" borderId="0" numFmtId="0" xfId="6" applyFont="1" applyAlignment="1">
      <alignment vertical="center"/>
    </xf>
    <xf fontId="30" fillId="0" borderId="0" numFmtId="0" xfId="6" applyFont="1" applyAlignment="1">
      <alignment horizontal="left" vertical="center" wrapText="1"/>
    </xf>
    <xf fontId="29" fillId="27" borderId="0" numFmtId="0" xfId="6" applyFont="1" applyFill="1" applyAlignment="1">
      <alignment horizontal="center"/>
    </xf>
    <xf fontId="29" fillId="28" borderId="0" numFmtId="0" xfId="6" applyFont="1" applyFill="1" applyAlignment="1">
      <alignment horizontal="left"/>
    </xf>
    <xf fontId="29" fillId="0" borderId="0" numFmtId="0" xfId="6" applyFont="1" applyAlignment="1">
      <alignment horizontal="right" vertical="center" wrapText="1"/>
    </xf>
    <xf fontId="29" fillId="0" borderId="0" numFmtId="0" xfId="6" applyFont="1" applyAlignment="1">
      <alignment vertical="center" wrapText="1"/>
    </xf>
    <xf fontId="30" fillId="0" borderId="0" numFmtId="173" xfId="6" applyNumberFormat="1" applyFont="1" applyAlignment="1">
      <alignment horizontal="center" vertical="center"/>
    </xf>
    <xf fontId="29" fillId="23" borderId="0" numFmtId="161" xfId="16" applyNumberFormat="1" applyFont="1" applyFill="1" applyAlignment="1" applyProtection="1">
      <alignment horizontal="center"/>
    </xf>
    <xf fontId="30" fillId="0" borderId="1" numFmtId="2" xfId="12" applyNumberFormat="1" applyFont="1" applyBorder="1" applyAlignment="1">
      <alignment horizontal="center" vertical="center" wrapText="1"/>
    </xf>
    <xf fontId="30" fillId="0" borderId="1" numFmtId="0" xfId="12" applyFont="1" applyBorder="1" applyAlignment="1">
      <alignment horizontal="center" vertical="center" wrapText="1"/>
    </xf>
    <xf fontId="30" fillId="0" borderId="1" numFmtId="173" xfId="12" applyNumberFormat="1" applyFont="1" applyBorder="1" applyAlignment="1">
      <alignment horizontal="center" vertical="center"/>
    </xf>
    <xf fontId="30" fillId="0" borderId="1" numFmtId="173" xfId="12" applyNumberFormat="1" applyFont="1" applyBorder="1" applyAlignment="1">
      <alignment vertical="center"/>
    </xf>
    <xf fontId="30" fillId="0" borderId="1" numFmtId="4" xfId="12" applyNumberFormat="1" applyFont="1" applyBorder="1" applyAlignment="1">
      <alignment vertical="center"/>
    </xf>
    <xf fontId="30" fillId="0" borderId="13" numFmtId="4" xfId="12" applyNumberFormat="1" applyFont="1" applyBorder="1" applyAlignment="1">
      <alignment horizontal="center" vertical="center"/>
    </xf>
    <xf fontId="30" fillId="0" borderId="12" numFmtId="4" xfId="12" applyNumberFormat="1" applyFont="1" applyBorder="1" applyAlignment="1">
      <alignment vertical="center"/>
    </xf>
    <xf fontId="30" fillId="0" borderId="1" numFmtId="4" xfId="12" applyNumberFormat="1" applyFont="1" applyBorder="1" applyAlignment="1">
      <alignment horizontal="center" vertical="center"/>
    </xf>
    <xf fontId="30" fillId="0" borderId="1" numFmtId="4" xfId="12" applyNumberFormat="1" applyFont="1" applyBorder="1" applyAlignment="1">
      <alignment horizontal="center" vertical="center" wrapText="1"/>
    </xf>
    <xf fontId="0" fillId="29" borderId="1" numFmtId="0" xfId="0" applyFill="1" applyBorder="1" applyAlignment="1">
      <alignment vertical="center"/>
    </xf>
    <xf fontId="30" fillId="29" borderId="1" numFmtId="0" xfId="6" applyFont="1" applyFill="1" applyBorder="1" applyAlignment="1">
      <alignment horizontal="center" vertical="center"/>
    </xf>
    <xf fontId="56" fillId="29" borderId="1" numFmtId="0" xfId="6" applyFont="1" applyFill="1" applyBorder="1" applyAlignment="1">
      <alignment horizontal="center" vertical="center" wrapText="1"/>
    </xf>
    <xf fontId="30" fillId="29" borderId="1" numFmtId="0" xfId="6" applyFont="1" applyFill="1" applyBorder="1" applyAlignment="1">
      <alignment horizontal="justify" vertical="center" wrapText="1"/>
    </xf>
    <xf fontId="30" fillId="29" borderId="1" numFmtId="173" xfId="12" applyNumberFormat="1" applyFont="1" applyFill="1" applyBorder="1" applyAlignment="1">
      <alignment horizontal="center" vertical="center"/>
    </xf>
    <xf fontId="30" fillId="29" borderId="1" numFmtId="4" xfId="12" applyNumberFormat="1" applyFont="1" applyFill="1" applyBorder="1" applyAlignment="1">
      <alignment horizontal="center" vertical="center"/>
    </xf>
    <xf fontId="30" fillId="29" borderId="1" numFmtId="4" xfId="6" applyNumberFormat="1" applyFont="1" applyFill="1" applyBorder="1" applyAlignment="1">
      <alignment horizontal="center" vertical="center"/>
    </xf>
    <xf fontId="57" fillId="0" borderId="0" numFmtId="0" xfId="6" applyFont="1" applyAlignment="1">
      <alignment vertical="center" wrapText="1"/>
    </xf>
    <xf fontId="29" fillId="0" borderId="1" numFmtId="0" xfId="6" applyFont="1" applyBorder="1" applyAlignment="1">
      <alignment horizontal="center" vertical="top"/>
    </xf>
    <xf fontId="58" fillId="0" borderId="1" numFmtId="0" xfId="6" applyFont="1" applyBorder="1" applyAlignment="1">
      <alignment horizontal="center" vertical="top" wrapText="1"/>
    </xf>
    <xf fontId="29" fillId="0" borderId="1" numFmtId="0" xfId="6" applyFont="1" applyBorder="1" applyAlignment="1">
      <alignment horizontal="justify" vertical="top" wrapText="1"/>
    </xf>
    <xf fontId="29" fillId="0" borderId="1" numFmtId="0" xfId="6" applyFont="1" applyBorder="1" applyAlignment="1">
      <alignment horizontal="center" vertical="center"/>
    </xf>
    <xf fontId="29" fillId="0" borderId="1" numFmtId="173" xfId="6" applyNumberFormat="1" applyFont="1" applyBorder="1" applyAlignment="1">
      <alignment horizontal="center" vertical="center"/>
    </xf>
    <xf fontId="29" fillId="0" borderId="1" numFmtId="2" xfId="6" applyNumberFormat="1" applyFont="1" applyBorder="1" applyAlignment="1">
      <alignment horizontal="center" vertical="center"/>
    </xf>
    <xf fontId="29" fillId="0" borderId="1" numFmtId="4" xfId="6" applyNumberFormat="1" applyFont="1" applyBorder="1" applyAlignment="1">
      <alignment horizontal="center" vertical="center"/>
    </xf>
    <xf fontId="29" fillId="0" borderId="12" numFmtId="2" xfId="6" applyNumberFormat="1" applyFont="1" applyBorder="1" applyAlignment="1">
      <alignment horizontal="center" vertical="center"/>
    </xf>
    <xf fontId="59" fillId="0" borderId="0" numFmtId="0" xfId="6" applyFont="1" applyAlignment="1">
      <alignment vertical="center" wrapText="1"/>
    </xf>
    <xf fontId="56" fillId="29" borderId="1" numFmtId="0" xfId="6" applyFont="1" applyFill="1" applyBorder="1" applyAlignment="1">
      <alignment horizontal="justify" vertical="center" wrapText="1"/>
    </xf>
    <xf fontId="30" fillId="29" borderId="17" numFmtId="0" xfId="6" applyFont="1" applyFill="1" applyBorder="1" applyAlignment="1">
      <alignment horizontal="center" vertical="center" wrapText="1"/>
    </xf>
    <xf fontId="30" fillId="29" borderId="1" numFmtId="173" xfId="12" applyNumberFormat="1" applyFont="1" applyFill="1" applyBorder="1" applyAlignment="1">
      <alignment vertical="center"/>
    </xf>
    <xf fontId="30" fillId="29" borderId="1" numFmtId="4" xfId="12" applyNumberFormat="1" applyFont="1" applyFill="1" applyBorder="1" applyAlignment="1">
      <alignment vertical="center"/>
    </xf>
    <xf fontId="29" fillId="29" borderId="12" numFmtId="2" xfId="6" applyNumberFormat="1" applyFont="1" applyFill="1" applyBorder="1" applyAlignment="1">
      <alignment horizontal="center" vertical="center"/>
    </xf>
    <xf fontId="29" fillId="0" borderId="1" numFmtId="0" xfId="6" applyFont="1" applyBorder="1" applyAlignment="1">
      <alignment horizontal="center" vertical="center" wrapText="1"/>
    </xf>
    <xf fontId="29" fillId="0" borderId="1" numFmtId="173" xfId="12" applyNumberFormat="1" applyFont="1" applyBorder="1" applyAlignment="1">
      <alignment horizontal="center" vertical="center"/>
    </xf>
    <xf fontId="60" fillId="0" borderId="0" numFmtId="0" xfId="0" applyFont="1" applyAlignment="1">
      <alignment vertical="center"/>
    </xf>
    <xf fontId="59" fillId="0" borderId="0" numFmtId="4" xfId="6" applyNumberFormat="1" applyFont="1" applyAlignment="1">
      <alignment vertical="center" wrapText="1"/>
    </xf>
    <xf fontId="29" fillId="0" borderId="1" numFmtId="0" xfId="6" applyFont="1" applyBorder="1" applyAlignment="1">
      <alignment horizontal="center" vertical="top" wrapText="1"/>
    </xf>
    <xf fontId="57" fillId="0" borderId="0" numFmtId="0" xfId="6" applyFont="1" applyAlignment="1">
      <alignment vertical="center"/>
    </xf>
    <xf fontId="29" fillId="0" borderId="1" numFmtId="0" xfId="6" applyFont="1" applyBorder="1" applyAlignment="1">
      <alignment horizontal="justify" vertical="center" wrapText="1"/>
    </xf>
    <xf fontId="58" fillId="0" borderId="1" numFmtId="0" xfId="6" applyFont="1" applyBorder="1" applyAlignment="1">
      <alignment horizontal="center" vertical="center" wrapText="1"/>
    </xf>
    <xf fontId="0" fillId="30" borderId="1" numFmtId="0" xfId="0" applyFill="1" applyBorder="1" applyAlignment="1">
      <alignment vertical="center"/>
    </xf>
    <xf fontId="30" fillId="30" borderId="1" numFmtId="4" xfId="12" applyNumberFormat="1" applyFont="1" applyFill="1" applyBorder="1" applyAlignment="1">
      <alignment vertical="center"/>
    </xf>
    <xf fontId="30" fillId="30" borderId="1" numFmtId="4" xfId="6" applyNumberFormat="1" applyFont="1" applyFill="1" applyBorder="1" applyAlignment="1">
      <alignment horizontal="center" vertical="center"/>
    </xf>
    <xf fontId="61" fillId="0" borderId="0" numFmtId="0" xfId="0" applyFont="1" applyAlignment="1">
      <alignment vertical="center" wrapText="1"/>
    </xf>
    <xf fontId="58" fillId="0" borderId="0" numFmtId="0" xfId="5" applyFont="1"/>
    <xf fontId="58" fillId="0" borderId="0" numFmtId="0" xfId="5" applyFont="1" applyAlignment="1">
      <alignment wrapText="1"/>
    </xf>
    <xf fontId="58" fillId="0" borderId="0" numFmtId="2" xfId="5" applyNumberFormat="1" applyFont="1"/>
    <xf fontId="58" fillId="0" borderId="0" numFmtId="2" xfId="5" applyNumberFormat="1" applyFont="1" applyAlignment="1">
      <alignment horizontal="center"/>
    </xf>
    <xf fontId="58" fillId="0" borderId="1" numFmtId="0" xfId="5" applyFont="1" applyBorder="1" applyAlignment="1">
      <alignment vertical="center" wrapText="1"/>
    </xf>
    <xf fontId="29" fillId="0" borderId="17" numFmtId="0" xfId="6" applyFont="1" applyBorder="1" applyAlignment="1">
      <alignment horizontal="center" vertical="center" wrapText="1"/>
    </xf>
    <xf fontId="58" fillId="0" borderId="0" numFmtId="2" xfId="5" applyNumberFormat="1" applyFont="1" applyAlignment="1">
      <alignment horizontal="center" vertical="center"/>
    </xf>
    <xf fontId="56" fillId="0" borderId="13" numFmtId="0" xfId="5" applyFont="1" applyBorder="1"/>
    <xf fontId="30" fillId="0" borderId="1" numFmtId="4" xfId="6" applyNumberFormat="1" applyFont="1" applyBorder="1" applyAlignment="1">
      <alignment horizontal="center" vertical="center"/>
    </xf>
    <xf fontId="29" fillId="29" borderId="1" numFmtId="0" xfId="6" applyFont="1" applyFill="1" applyBorder="1" applyAlignment="1">
      <alignment horizontal="center" vertical="center"/>
    </xf>
    <xf fontId="29" fillId="29" borderId="1" numFmtId="0" xfId="6" applyFont="1" applyFill="1" applyBorder="1" applyAlignment="1">
      <alignment horizontal="center" vertical="center" wrapText="1"/>
    </xf>
    <xf fontId="30" fillId="29" borderId="1" numFmtId="0" xfId="6" applyFont="1" applyFill="1" applyBorder="1" applyAlignment="1">
      <alignment horizontal="justify" vertical="top" wrapText="1"/>
    </xf>
    <xf fontId="29" fillId="29" borderId="1" numFmtId="173" xfId="12" applyNumberFormat="1" applyFont="1" applyFill="1" applyBorder="1" applyAlignment="1">
      <alignment horizontal="center" vertical="center"/>
    </xf>
    <xf fontId="29" fillId="29" borderId="1" numFmtId="2" xfId="6" applyNumberFormat="1" applyFont="1" applyFill="1" applyBorder="1" applyAlignment="1">
      <alignment horizontal="center" vertical="center"/>
    </xf>
    <xf fontId="29" fillId="29" borderId="1" numFmtId="4" xfId="6" applyNumberFormat="1" applyFont="1" applyFill="1" applyBorder="1" applyAlignment="1">
      <alignment horizontal="center" vertical="center"/>
    </xf>
    <xf fontId="29" fillId="0" borderId="1" numFmtId="174" xfId="6" applyNumberFormat="1" applyFont="1" applyBorder="1" applyAlignment="1">
      <alignment horizontal="center" vertical="center"/>
    </xf>
    <xf fontId="59" fillId="0" borderId="0" numFmtId="0" xfId="6" applyFont="1" applyAlignment="1">
      <alignment vertical="center"/>
    </xf>
    <xf fontId="27" fillId="29" borderId="1" numFmtId="0" xfId="0" applyFont="1" applyFill="1" applyBorder="1" applyAlignment="1">
      <alignment vertical="center"/>
    </xf>
    <xf fontId="59" fillId="29" borderId="1" numFmtId="0" xfId="6" applyFont="1" applyFill="1" applyBorder="1" applyAlignment="1">
      <alignment horizontal="center" vertical="center"/>
    </xf>
    <xf fontId="59" fillId="29" borderId="1" numFmtId="0" xfId="6" applyFont="1" applyFill="1" applyBorder="1" applyAlignment="1">
      <alignment horizontal="center" vertical="center" wrapText="1"/>
    </xf>
    <xf fontId="59" fillId="29" borderId="1" numFmtId="0" xfId="6" applyFont="1" applyFill="1" applyBorder="1" applyAlignment="1">
      <alignment horizontal="justify" vertical="center" wrapText="1"/>
    </xf>
    <xf fontId="59" fillId="29" borderId="17" numFmtId="0" xfId="6" applyFont="1" applyFill="1" applyBorder="1" applyAlignment="1">
      <alignment horizontal="center" vertical="center" wrapText="1"/>
    </xf>
    <xf fontId="59" fillId="29" borderId="1" numFmtId="173" xfId="12" applyNumberFormat="1" applyFont="1" applyFill="1" applyBorder="1" applyAlignment="1">
      <alignment vertical="center"/>
    </xf>
    <xf fontId="59" fillId="29" borderId="1" numFmtId="4" xfId="12" applyNumberFormat="1" applyFont="1" applyFill="1" applyBorder="1" applyAlignment="1">
      <alignment vertical="center"/>
    </xf>
    <xf fontId="59" fillId="29" borderId="1" numFmtId="4" xfId="6" applyNumberFormat="1" applyFont="1" applyFill="1" applyBorder="1" applyAlignment="1">
      <alignment horizontal="center" vertical="center"/>
    </xf>
    <xf fontId="62" fillId="0" borderId="0" numFmtId="0" xfId="6" applyFont="1" applyAlignment="1">
      <alignment vertical="center"/>
    </xf>
    <xf fontId="29" fillId="0" borderId="0" numFmtId="0" xfId="6" applyFont="1" applyAlignment="1">
      <alignment horizontal="justify" vertical="top" wrapText="1"/>
    </xf>
    <xf fontId="29" fillId="0" borderId="1" numFmtId="0" xfId="6" applyFont="1" applyBorder="1" applyAlignment="1">
      <alignment horizontal="center"/>
    </xf>
    <xf fontId="29" fillId="0" borderId="1" numFmtId="174" xfId="6" applyNumberFormat="1" applyFont="1" applyBorder="1" applyAlignment="1">
      <alignment horizontal="center"/>
    </xf>
    <xf fontId="17" fillId="0" borderId="0" numFmtId="0" xfId="0" applyFont="1" applyAlignment="1">
      <alignment vertical="center" wrapText="1"/>
    </xf>
    <xf fontId="29" fillId="0" borderId="1" numFmtId="4" xfId="0" applyNumberFormat="1" applyFont="1" applyBorder="1" applyAlignment="1">
      <alignment horizontal="center" vertical="center" wrapText="1"/>
    </xf>
    <xf fontId="29" fillId="0" borderId="1" numFmtId="4" xfId="0" applyNumberFormat="1" applyFont="1" applyBorder="1" applyAlignment="1">
      <alignment horizontal="justify" vertical="center" wrapText="1"/>
    </xf>
    <xf fontId="29" fillId="0" borderId="1" numFmtId="0" xfId="0" applyFont="1" applyBorder="1" applyAlignment="1">
      <alignment horizontal="center" vertical="center" wrapText="1"/>
    </xf>
    <xf fontId="29" fillId="0" borderId="1" numFmtId="173" xfId="6" applyNumberFormat="1" applyFont="1" applyBorder="1" applyAlignment="1">
      <alignment horizontal="center"/>
    </xf>
    <xf fontId="29" fillId="0" borderId="1" numFmtId="4" xfId="6" applyNumberFormat="1" applyFont="1" applyBorder="1" applyAlignment="1">
      <alignment horizontal="center"/>
    </xf>
    <xf fontId="29" fillId="0" borderId="1" numFmtId="2" xfId="6" applyNumberFormat="1" applyFont="1" applyBorder="1" applyAlignment="1">
      <alignment horizontal="center"/>
    </xf>
    <xf fontId="0" fillId="29" borderId="15" numFmtId="0" xfId="0" applyFill="1" applyBorder="1" applyAlignment="1">
      <alignment vertical="center"/>
    </xf>
    <xf fontId="29" fillId="0" borderId="1" numFmtId="0" xfId="3" applyFont="1" applyBorder="1" applyAlignment="1">
      <alignment horizontal="center" vertical="center"/>
    </xf>
    <xf fontId="29" fillId="0" borderId="1" numFmtId="173" xfId="3" applyNumberFormat="1" applyFont="1" applyBorder="1" applyAlignment="1">
      <alignment horizontal="center" vertical="center"/>
    </xf>
    <xf fontId="29" fillId="0" borderId="1" numFmtId="0" xfId="3" applyFont="1" applyBorder="1" applyAlignment="1">
      <alignment horizontal="center" vertical="center" wrapText="1"/>
    </xf>
    <xf fontId="29" fillId="6" borderId="1" numFmtId="0" xfId="3" applyFont="1" applyFill="1" applyBorder="1" applyAlignment="1">
      <alignment horizontal="center" vertical="center" wrapText="1"/>
    </xf>
    <xf fontId="29" fillId="0" borderId="1" numFmtId="0" xfId="6" applyFont="1" applyBorder="1" applyAlignment="1">
      <alignment horizontal="justify" wrapText="1"/>
    </xf>
    <xf fontId="29" fillId="6" borderId="1" numFmtId="0" xfId="3" applyFont="1" applyFill="1" applyBorder="1" applyAlignment="1">
      <alignment horizontal="center" vertical="top"/>
    </xf>
    <xf fontId="29" fillId="6" borderId="0" numFmtId="0" xfId="3" applyFont="1" applyFill="1" applyAlignment="1">
      <alignment horizontal="justify" vertical="top" wrapText="1"/>
    </xf>
    <xf fontId="29" fillId="0" borderId="1" numFmtId="174" xfId="0" applyNumberFormat="1" applyFont="1" applyBorder="1" applyAlignment="1">
      <alignment horizontal="center" vertical="center" wrapText="1"/>
    </xf>
    <xf fontId="29" fillId="6" borderId="1" numFmtId="0" xfId="3" applyFont="1" applyFill="1" applyBorder="1" applyAlignment="1">
      <alignment horizontal="justify" vertical="top" wrapText="1"/>
    </xf>
    <xf fontId="58" fillId="0" borderId="1" numFmtId="0" xfId="0" applyFont="1" applyBorder="1" applyAlignment="1">
      <alignment horizontal="center" vertical="center" wrapText="1"/>
    </xf>
    <xf fontId="58" fillId="0" borderId="1" numFmtId="0" xfId="0" applyFont="1" applyBorder="1" applyAlignment="1">
      <alignment vertical="top" wrapText="1"/>
    </xf>
    <xf fontId="29" fillId="0" borderId="1" numFmtId="0" xfId="0" applyFont="1" applyBorder="1" applyAlignment="1">
      <alignment horizontal="center" vertical="center"/>
    </xf>
    <xf fontId="58" fillId="0" borderId="1" numFmtId="0" xfId="0" applyFont="1" applyBorder="1" applyAlignment="1">
      <alignment horizontal="left" wrapText="1"/>
    </xf>
    <xf fontId="0" fillId="31" borderId="1" numFmtId="0" xfId="0" applyFill="1" applyBorder="1" applyAlignment="1">
      <alignment vertical="center"/>
    </xf>
    <xf fontId="30" fillId="31" borderId="1" numFmtId="4" xfId="12" applyNumberFormat="1" applyFont="1" applyFill="1" applyBorder="1" applyAlignment="1">
      <alignment vertical="center"/>
    </xf>
    <xf fontId="30" fillId="31" borderId="1" numFmtId="4" xfId="6" applyNumberFormat="1" applyFont="1" applyFill="1" applyBorder="1" applyAlignment="1">
      <alignment horizontal="center" vertical="center"/>
    </xf>
    <xf fontId="58" fillId="0" borderId="1" numFmtId="0" xfId="0" applyFont="1" applyBorder="1" applyAlignment="1">
      <alignment vertical="center" wrapText="1"/>
    </xf>
    <xf fontId="29" fillId="0" borderId="1" numFmtId="0" xfId="0" applyFont="1" applyBorder="1" applyAlignment="1">
      <alignment vertical="top" wrapText="1"/>
    </xf>
    <xf fontId="21" fillId="0" borderId="0" numFmtId="0" xfId="0" applyFont="1" applyAlignment="1">
      <alignment horizontal="center" wrapText="1"/>
    </xf>
    <xf fontId="21" fillId="0" borderId="0" numFmtId="0" xfId="0" applyFont="1" applyAlignment="1">
      <alignment wrapText="1"/>
    </xf>
    <xf fontId="21" fillId="0" borderId="0" numFmtId="0" xfId="6" applyFont="1" applyAlignment="1">
      <alignment vertical="center"/>
    </xf>
    <xf fontId="29" fillId="0" borderId="1" numFmtId="0" xfId="0" applyFont="1" applyBorder="1" applyAlignment="1">
      <alignment horizontal="justify" vertical="center" wrapText="1"/>
    </xf>
    <xf fontId="29" fillId="0" borderId="1" numFmtId="0" xfId="0" applyFont="1" applyBorder="1" applyAlignment="1">
      <alignment horizontal="center" wrapText="1"/>
    </xf>
    <xf fontId="59" fillId="0" borderId="0" numFmtId="0" xfId="0" applyFont="1" applyAlignment="1">
      <alignment wrapText="1"/>
    </xf>
    <xf fontId="57" fillId="0" borderId="0" numFmtId="0" xfId="0" applyFont="1" applyAlignment="1">
      <alignment wrapText="1"/>
    </xf>
    <xf fontId="57" fillId="0" borderId="0" numFmtId="0" xfId="0" applyFont="1" applyAlignment="1">
      <alignment vertical="center"/>
    </xf>
    <xf fontId="29" fillId="0" borderId="1" numFmtId="0" xfId="0" applyFont="1" applyBorder="1" applyAlignment="1">
      <alignment vertical="center" wrapText="1"/>
    </xf>
    <xf fontId="29" fillId="0" borderId="1" numFmtId="173" xfId="0" applyNumberFormat="1" applyFont="1" applyBorder="1" applyAlignment="1">
      <alignment horizontal="center" vertical="center"/>
    </xf>
    <xf fontId="29" fillId="6" borderId="1" numFmtId="173" xfId="0" applyNumberFormat="1" applyFont="1" applyFill="1" applyBorder="1" applyAlignment="1">
      <alignment horizontal="center" vertical="center"/>
    </xf>
    <xf fontId="58" fillId="6" borderId="1" numFmtId="0" xfId="0" applyFont="1" applyFill="1" applyBorder="1" applyAlignment="1">
      <alignment horizontal="center" vertical="center" wrapText="1"/>
    </xf>
    <xf fontId="29" fillId="6" borderId="1" numFmtId="0" xfId="0" applyFont="1" applyFill="1" applyBorder="1" applyAlignment="1">
      <alignment horizontal="center" vertical="center"/>
    </xf>
    <xf fontId="29" fillId="6" borderId="1" numFmtId="0" xfId="3" applyFont="1" applyFill="1" applyBorder="1" applyAlignment="1">
      <alignment horizontal="center" vertical="center"/>
    </xf>
    <xf fontId="63" fillId="0" borderId="1" numFmtId="4" xfId="0" applyNumberFormat="1" applyFont="1" applyBorder="1" applyAlignment="1">
      <alignment horizontal="justify" vertical="center" wrapText="1"/>
    </xf>
    <xf fontId="29" fillId="6" borderId="1" numFmtId="0" xfId="6" applyFont="1" applyFill="1" applyBorder="1" applyAlignment="1">
      <alignment horizontal="center" vertical="center" wrapText="1"/>
    </xf>
    <xf fontId="63" fillId="0" borderId="0" numFmtId="0" xfId="0" applyFont="1"/>
    <xf fontId="64" fillId="0" borderId="0" numFmtId="0" xfId="6" applyFont="1" applyAlignment="1">
      <alignment vertical="center"/>
    </xf>
    <xf fontId="58" fillId="0" borderId="1" numFmtId="4" xfId="0" applyNumberFormat="1" applyFont="1" applyBorder="1" applyAlignment="1">
      <alignment horizontal="justify" vertical="center" wrapText="1"/>
    </xf>
    <xf fontId="58" fillId="0" borderId="1" numFmtId="0" xfId="0" applyFont="1" applyBorder="1" applyAlignment="1">
      <alignment horizontal="justify" vertical="center" wrapText="1"/>
    </xf>
    <xf fontId="58" fillId="0" borderId="1" numFmtId="2" xfId="6" applyNumberFormat="1" applyFont="1" applyBorder="1" applyAlignment="1">
      <alignment horizontal="center" vertical="center" wrapText="1"/>
    </xf>
    <xf fontId="2" fillId="0" borderId="0" numFmtId="2" xfId="0" applyNumberFormat="1" applyFont="1" applyAlignment="1">
      <alignment wrapText="1"/>
    </xf>
    <xf fontId="2" fillId="0" borderId="0" numFmtId="0" xfId="0" applyFont="1" applyAlignment="1">
      <alignment horizontal="center" vertical="center" wrapText="1"/>
    </xf>
    <xf fontId="58" fillId="0" borderId="1" numFmtId="0" xfId="6" applyFont="1" applyBorder="1" applyAlignment="1">
      <alignment horizontal="justify" vertical="center" wrapText="1"/>
    </xf>
    <xf fontId="58" fillId="0" borderId="1" numFmtId="0" xfId="6" applyFont="1" applyBorder="1" applyAlignment="1">
      <alignment horizontal="left" vertical="top" wrapText="1"/>
    </xf>
    <xf fontId="29" fillId="13" borderId="1" numFmtId="0" xfId="6" applyFont="1" applyFill="1" applyBorder="1" applyAlignment="1">
      <alignment horizontal="center" vertical="top" wrapText="1"/>
    </xf>
    <xf fontId="30" fillId="29" borderId="17" numFmtId="173" xfId="12" applyNumberFormat="1" applyFont="1" applyFill="1" applyBorder="1" applyAlignment="1">
      <alignment horizontal="center" vertical="center"/>
    </xf>
    <xf fontId="57" fillId="0" borderId="0" numFmtId="4" xfId="6" applyNumberFormat="1" applyFont="1" applyAlignment="1">
      <alignment vertical="center" wrapText="1"/>
    </xf>
    <xf fontId="29" fillId="0" borderId="1" numFmtId="4" xfId="12" applyNumberFormat="1" applyFont="1" applyBorder="1" applyAlignment="1">
      <alignment horizontal="center" vertical="center"/>
    </xf>
    <xf fontId="29" fillId="0" borderId="1" numFmtId="174" xfId="12" applyNumberFormat="1" applyFont="1" applyBorder="1" applyAlignment="1">
      <alignment horizontal="center" vertical="center"/>
    </xf>
    <xf fontId="30" fillId="29" borderId="1" numFmtId="0" xfId="6" applyFont="1" applyFill="1" applyBorder="1" applyAlignment="1">
      <alignment horizontal="center" vertical="center" wrapText="1"/>
    </xf>
    <xf fontId="29" fillId="0" borderId="15" numFmtId="173" xfId="12" applyNumberFormat="1" applyFont="1" applyBorder="1" applyAlignment="1">
      <alignment horizontal="center" vertical="center"/>
    </xf>
    <xf fontId="30" fillId="29" borderId="13" numFmtId="4" xfId="6" applyNumberFormat="1" applyFont="1" applyFill="1" applyBorder="1" applyAlignment="1">
      <alignment horizontal="center" vertical="center"/>
    </xf>
    <xf fontId="30" fillId="29" borderId="12" numFmtId="4" xfId="12" applyNumberFormat="1" applyFont="1" applyFill="1" applyBorder="1" applyAlignment="1">
      <alignment vertical="center"/>
    </xf>
    <xf fontId="29" fillId="0" borderId="13" numFmtId="4" xfId="6" applyNumberFormat="1" applyFont="1" applyBorder="1" applyAlignment="1">
      <alignment horizontal="center" vertical="center"/>
    </xf>
    <xf fontId="29" fillId="0" borderId="12" numFmtId="4" xfId="12" applyNumberFormat="1" applyFont="1" applyBorder="1" applyAlignment="1">
      <alignment horizontal="center" vertical="center"/>
    </xf>
    <xf fontId="56" fillId="29" borderId="1" numFmtId="0" xfId="6" applyFont="1" applyFill="1" applyBorder="1" applyAlignment="1">
      <alignment vertical="center" wrapText="1"/>
    </xf>
    <xf fontId="29" fillId="0" borderId="1" numFmtId="0" xfId="6" applyFont="1" applyBorder="1" applyAlignment="1">
      <alignment horizontal="left" vertical="center" wrapText="1"/>
    </xf>
    <xf fontId="0" fillId="0" borderId="13" numFmtId="0" xfId="0" applyBorder="1" applyAlignment="1">
      <alignment vertical="center"/>
    </xf>
    <xf fontId="0" fillId="0" borderId="12" numFmtId="0" xfId="0" applyBorder="1" applyAlignment="1">
      <alignment vertical="center"/>
    </xf>
    <xf fontId="65" fillId="0" borderId="0" numFmtId="0" xfId="0" applyFont="1" applyAlignment="1">
      <alignment vertical="center" wrapText="1"/>
    </xf>
    <xf fontId="56" fillId="29" borderId="1" numFmtId="0" xfId="6" applyFont="1" applyFill="1" applyBorder="1" applyAlignment="1">
      <alignment horizontal="left" vertical="center" wrapText="1"/>
    </xf>
    <xf fontId="29" fillId="0" borderId="14" numFmtId="0" xfId="0" applyFont="1" applyBorder="1" applyAlignment="1">
      <alignment horizontal="center" vertical="center"/>
    </xf>
    <xf fontId="29" fillId="6" borderId="14" numFmtId="0" xfId="0" applyFont="1" applyFill="1" applyBorder="1" applyAlignment="1">
      <alignment horizontal="center" vertical="center"/>
    </xf>
    <xf fontId="29" fillId="0" borderId="17" numFmtId="173" xfId="12" applyNumberFormat="1" applyFont="1" applyBorder="1" applyAlignment="1">
      <alignment horizontal="center" vertical="center"/>
    </xf>
    <xf fontId="59" fillId="0" borderId="0" numFmtId="0" xfId="6" applyFont="1" applyAlignment="1">
      <alignment horizontal="center" vertical="center" wrapText="1"/>
    </xf>
    <xf fontId="30" fillId="0" borderId="1" numFmtId="0" xfId="6" applyFont="1" applyBorder="1" applyAlignment="1">
      <alignment horizontal="center" vertical="center"/>
    </xf>
    <xf fontId="56" fillId="0" borderId="13" numFmtId="0" xfId="6" applyFont="1" applyBorder="1" applyAlignment="1">
      <alignment horizontal="left" vertical="center" wrapText="1"/>
    </xf>
    <xf fontId="56" fillId="0" borderId="12" numFmtId="0" xfId="6" applyFont="1" applyBorder="1" applyAlignment="1">
      <alignment horizontal="left" vertical="center" wrapText="1"/>
    </xf>
    <xf fontId="56" fillId="0" borderId="13" numFmtId="0" xfId="6" applyFont="1" applyBorder="1" applyAlignment="1">
      <alignment horizontal="left" vertical="top" wrapText="1"/>
    </xf>
    <xf fontId="56" fillId="0" borderId="12" numFmtId="0" xfId="6" applyFont="1" applyBorder="1" applyAlignment="1">
      <alignment horizontal="left" vertical="top" wrapText="1"/>
    </xf>
    <xf fontId="56" fillId="0" borderId="1" numFmtId="0" xfId="6" applyFont="1" applyBorder="1" applyAlignment="1">
      <alignment horizontal="center" vertical="top" wrapText="1"/>
    </xf>
    <xf fontId="29" fillId="0" borderId="1" numFmtId="0" xfId="4" applyFont="1" applyBorder="1" applyAlignment="1">
      <alignment horizontal="center" vertical="center"/>
    </xf>
    <xf fontId="29" fillId="0" borderId="1" numFmtId="0" xfId="3" applyFont="1" applyBorder="1" applyAlignment="1">
      <alignment horizontal="justify" vertical="top" wrapText="1"/>
    </xf>
    <xf fontId="29" fillId="0" borderId="17" numFmtId="0" xfId="4" applyFont="1" applyBorder="1" applyAlignment="1">
      <alignment horizontal="center" vertical="center"/>
    </xf>
    <xf fontId="29" fillId="0" borderId="17" numFmtId="0" xfId="3" applyFont="1" applyBorder="1" applyAlignment="1">
      <alignment horizontal="justify" vertical="top" wrapText="1"/>
    </xf>
    <xf fontId="58" fillId="6" borderId="1" numFmtId="0" xfId="6" applyFont="1" applyFill="1" applyBorder="1" applyAlignment="1">
      <alignment horizontal="center" vertical="top" wrapText="1"/>
    </xf>
    <xf fontId="29" fillId="0" borderId="1" numFmtId="0" xfId="4" applyFont="1" applyBorder="1" applyAlignment="1">
      <alignment horizontal="center" vertical="top"/>
    </xf>
    <xf fontId="29" fillId="0" borderId="17" numFmtId="0" xfId="4" applyFont="1" applyBorder="1" applyAlignment="1">
      <alignment horizontal="center" vertical="top"/>
    </xf>
    <xf fontId="29" fillId="0" borderId="1" numFmtId="0" xfId="3" applyFont="1" applyBorder="1" applyAlignment="1">
      <alignment horizontal="center" wrapText="1"/>
    </xf>
    <xf fontId="58" fillId="6" borderId="1" numFmtId="0" xfId="6" applyFont="1" applyFill="1" applyBorder="1" applyAlignment="1">
      <alignment horizontal="center" vertical="center" wrapText="1"/>
    </xf>
    <xf fontId="29" fillId="0" borderId="1" numFmtId="0" xfId="3" applyFont="1" applyBorder="1" applyAlignment="1">
      <alignment horizontal="justify" vertical="center" wrapText="1"/>
    </xf>
    <xf fontId="24" fillId="0" borderId="0" numFmtId="0" xfId="6" applyFont="1" applyAlignment="1">
      <alignment vertical="center"/>
    </xf>
    <xf fontId="0" fillId="13" borderId="1" numFmtId="0" xfId="0" applyFill="1" applyBorder="1" applyAlignment="1">
      <alignment vertical="center"/>
    </xf>
    <xf fontId="29" fillId="0" borderId="1" numFmtId="173" xfId="0" applyNumberFormat="1" applyFont="1" applyBorder="1" applyAlignment="1">
      <alignment horizontal="right" vertical="center"/>
    </xf>
    <xf fontId="29" fillId="0" borderId="13" numFmtId="174" xfId="12" applyNumberFormat="1" applyFont="1" applyBorder="1" applyAlignment="1">
      <alignment horizontal="center" vertical="center"/>
    </xf>
    <xf fontId="24" fillId="0" borderId="0" numFmtId="0" xfId="0" applyFont="1" applyAlignment="1">
      <alignment vertical="center"/>
    </xf>
    <xf fontId="18" fillId="0" borderId="0" numFmtId="0" xfId="6" applyFont="1" applyAlignment="1">
      <alignment vertical="center" wrapText="1"/>
    </xf>
    <xf fontId="63" fillId="0" borderId="0" numFmtId="0" xfId="6" applyFont="1" applyAlignment="1">
      <alignment vertical="center"/>
    </xf>
    <xf fontId="63" fillId="0" borderId="0" numFmtId="2" xfId="6" applyNumberFormat="1" applyFont="1" applyAlignment="1">
      <alignment vertical="center"/>
    </xf>
    <xf fontId="2" fillId="0" borderId="0" numFmtId="0" xfId="6" applyFont="1" applyAlignment="1">
      <alignment vertical="center"/>
    </xf>
    <xf fontId="2" fillId="0" borderId="0" numFmtId="2" xfId="6" applyNumberFormat="1" applyFont="1" applyAlignment="1">
      <alignment vertical="center"/>
    </xf>
    <xf fontId="18" fillId="0" borderId="0" numFmtId="2" xfId="6" applyNumberFormat="1" applyFont="1" applyAlignment="1">
      <alignment vertical="center" wrapText="1"/>
    </xf>
    <xf fontId="25" fillId="0" borderId="0" numFmtId="0" xfId="6" applyFont="1" applyAlignment="1">
      <alignment vertical="center" wrapText="1"/>
    </xf>
    <xf fontId="29" fillId="0" borderId="1" numFmtId="175" xfId="12" applyNumberFormat="1" applyFont="1" applyBorder="1" applyAlignment="1">
      <alignment horizontal="center" vertical="center"/>
    </xf>
    <xf fontId="59" fillId="0" borderId="0" numFmtId="4" xfId="6" applyNumberFormat="1" applyFont="1" applyAlignment="1">
      <alignment vertical="center"/>
    </xf>
    <xf fontId="66" fillId="0" borderId="0" numFmtId="0" xfId="0" applyFont="1" applyAlignment="1">
      <alignment vertical="center" wrapText="1"/>
    </xf>
    <xf fontId="29" fillId="0" borderId="14" numFmtId="173" xfId="12" applyNumberFormat="1" applyFont="1" applyBorder="1" applyAlignment="1">
      <alignment horizontal="center" vertical="center"/>
    </xf>
    <xf fontId="29" fillId="0" borderId="0" numFmtId="2" xfId="6" applyNumberFormat="1" applyFont="1" applyAlignment="1">
      <alignment vertical="center"/>
    </xf>
    <xf fontId="67" fillId="0" borderId="0" numFmtId="0" xfId="6" applyFont="1" applyAlignment="1">
      <alignment vertical="center"/>
    </xf>
    <xf fontId="57" fillId="0" borderId="0" numFmtId="2" xfId="6" applyNumberFormat="1" applyFont="1" applyAlignment="1">
      <alignment vertical="center" wrapText="1"/>
    </xf>
    <xf fontId="57" fillId="0" borderId="0" numFmtId="0" xfId="6" applyFont="1" applyAlignment="1">
      <alignment horizontal="left" vertical="center" wrapText="1"/>
    </xf>
    <xf fontId="29" fillId="0" borderId="1" numFmtId="0" xfId="6" applyFont="1" applyBorder="1" applyAlignment="1">
      <alignment horizontal="right" vertical="center" wrapText="1"/>
    </xf>
    <xf fontId="29" fillId="13" borderId="1" numFmtId="0" xfId="6" applyFont="1" applyFill="1" applyBorder="1" applyAlignment="1">
      <alignment horizontal="center" vertical="center" wrapText="1"/>
    </xf>
    <xf fontId="29" fillId="0" borderId="1" numFmtId="0" xfId="6" applyFont="1" applyBorder="1" applyAlignment="1">
      <alignment vertical="center"/>
    </xf>
    <xf fontId="29" fillId="0" borderId="1" numFmtId="2" xfId="6" applyNumberFormat="1" applyFont="1" applyBorder="1" applyAlignment="1">
      <alignment vertical="center"/>
    </xf>
    <xf fontId="58" fillId="0" borderId="1" numFmtId="0" xfId="6" applyFont="1" applyBorder="1" applyAlignment="1">
      <alignment horizontal="justify" vertical="top" wrapText="1"/>
    </xf>
    <xf fontId="30" fillId="0" borderId="1" numFmtId="0" xfId="6" applyFont="1" applyBorder="1" applyAlignment="1">
      <alignment horizontal="justify" vertical="top" wrapText="1"/>
    </xf>
    <xf fontId="30" fillId="0" borderId="1" numFmtId="174" xfId="6" applyNumberFormat="1" applyFont="1" applyBorder="1" applyAlignment="1">
      <alignment horizontal="center" vertical="center"/>
    </xf>
    <xf fontId="29" fillId="6" borderId="1" numFmtId="0" xfId="6" applyFont="1" applyFill="1" applyBorder="1" applyAlignment="1">
      <alignment horizontal="justify" vertical="top" wrapText="1"/>
    </xf>
    <xf fontId="29" fillId="6" borderId="1" numFmtId="0" xfId="6" applyFont="1" applyFill="1" applyBorder="1" applyAlignment="1">
      <alignment horizontal="center" vertical="center"/>
    </xf>
    <xf fontId="29" fillId="6" borderId="1" numFmtId="173" xfId="6" applyNumberFormat="1" applyFont="1" applyFill="1" applyBorder="1" applyAlignment="1">
      <alignment horizontal="center" vertical="center"/>
    </xf>
    <xf fontId="0" fillId="0" borderId="1" numFmtId="0" xfId="0" applyBorder="1" applyAlignment="1">
      <alignment horizontal="center" vertical="center"/>
    </xf>
    <xf fontId="29" fillId="6" borderId="1" numFmtId="4" xfId="3" applyNumberFormat="1" applyFont="1" applyFill="1" applyBorder="1" applyAlignment="1">
      <alignment horizontal="center" vertical="center"/>
    </xf>
    <xf fontId="17" fillId="0" borderId="0" numFmtId="0" xfId="6" applyFont="1" applyAlignment="1">
      <alignment vertical="center"/>
    </xf>
    <xf fontId="58" fillId="0" borderId="1" numFmtId="173" xfId="12" applyNumberFormat="1" applyFont="1" applyBorder="1" applyAlignment="1">
      <alignment horizontal="center" vertical="center"/>
    </xf>
    <xf fontId="14" fillId="0" borderId="0" numFmtId="0" xfId="0" applyFont="1" applyAlignment="1">
      <alignment vertical="center" wrapText="1"/>
    </xf>
    <xf fontId="29" fillId="0" borderId="1" numFmtId="176" xfId="0" applyNumberFormat="1" applyFont="1" applyBorder="1" applyAlignment="1">
      <alignment horizontal="center" vertical="center" wrapText="1"/>
    </xf>
    <xf fontId="15" fillId="0" borderId="0" numFmtId="0" xfId="0" applyFont="1" applyAlignment="1">
      <alignment vertical="center" wrapText="1"/>
    </xf>
    <xf fontId="57" fillId="0" borderId="0" numFmtId="0" xfId="0" applyFont="1" applyAlignment="1">
      <alignment vertical="center" wrapText="1"/>
    </xf>
    <xf fontId="15" fillId="0" borderId="0" numFmtId="0" xfId="0" applyFont="1" applyAlignment="1">
      <alignment wrapText="1"/>
    </xf>
    <xf fontId="29" fillId="6" borderId="0" numFmtId="0" xfId="3" applyFont="1" applyFill="1" applyAlignment="1">
      <alignment horizontal="center" vertical="center"/>
    </xf>
    <xf fontId="58" fillId="0" borderId="1" numFmtId="0" xfId="0" applyFont="1" applyBorder="1" applyAlignment="1">
      <alignment horizontal="left" vertical="center" wrapText="1"/>
    </xf>
    <xf fontId="29" fillId="0" borderId="1" numFmtId="166" xfId="0" applyNumberFormat="1" applyFont="1" applyBorder="1" applyAlignment="1">
      <alignment horizontal="right" vertical="center"/>
    </xf>
    <xf fontId="58" fillId="0" borderId="1" numFmtId="0" xfId="0" applyFont="1" applyBorder="1" applyAlignment="1">
      <alignment horizontal="center" vertical="center"/>
    </xf>
    <xf fontId="29" fillId="0" borderId="1" numFmtId="0" xfId="0" applyFont="1" applyBorder="1" applyAlignment="1">
      <alignment horizontal="left" vertical="center" wrapText="1"/>
    </xf>
    <xf fontId="29" fillId="0" borderId="1" numFmtId="1" xfId="0" applyNumberFormat="1" applyFont="1" applyBorder="1" applyAlignment="1">
      <alignment horizontal="center" vertical="center"/>
    </xf>
    <xf fontId="29" fillId="0" borderId="1" numFmtId="1" xfId="0" applyNumberFormat="1" applyFont="1" applyBorder="1" applyAlignment="1">
      <alignment horizontal="left" vertical="center" wrapText="1"/>
    </xf>
    <xf fontId="29" fillId="0" borderId="1" numFmtId="2" xfId="0" applyNumberFormat="1" applyFont="1" applyBorder="1" applyAlignment="1">
      <alignment horizontal="right" vertical="center"/>
    </xf>
    <xf fontId="30" fillId="0" borderId="12" numFmtId="4" xfId="0" applyNumberFormat="1" applyFont="1" applyBorder="1" applyAlignment="1">
      <alignment horizontal="right" vertical="center" wrapText="1"/>
    </xf>
    <xf fontId="29" fillId="0" borderId="16" numFmtId="0" xfId="0" applyFont="1" applyBorder="1" applyAlignment="1">
      <alignment horizontal="right" vertical="center" wrapText="1"/>
    </xf>
    <xf fontId="68" fillId="0" borderId="0" numFmtId="0" xfId="0" applyFont="1" applyAlignment="1">
      <alignment vertical="center" wrapText="1"/>
    </xf>
    <xf fontId="29" fillId="0" borderId="17" numFmtId="173" xfId="6" applyNumberFormat="1" applyFont="1" applyBorder="1" applyAlignment="1">
      <alignment horizontal="center" vertical="center"/>
    </xf>
    <xf fontId="59" fillId="0" borderId="21" numFmtId="0" xfId="6" applyFont="1" applyBorder="1" applyAlignment="1">
      <alignment vertical="center"/>
    </xf>
    <xf fontId="69" fillId="0" borderId="0" numFmtId="0" xfId="0" applyFont="1" applyAlignment="1">
      <alignment vertical="center" wrapText="1"/>
    </xf>
    <xf fontId="65" fillId="0" borderId="0" numFmtId="2" xfId="0" applyNumberFormat="1" applyFont="1" applyAlignment="1">
      <alignment vertical="center" wrapText="1"/>
    </xf>
    <xf fontId="56" fillId="29" borderId="1" numFmtId="0" xfId="6" applyFont="1" applyFill="1" applyBorder="1" applyAlignment="1">
      <alignment horizontal="center" vertical="center"/>
    </xf>
    <xf fontId="56" fillId="29" borderId="17" numFmtId="0" xfId="6" applyFont="1" applyFill="1" applyBorder="1" applyAlignment="1">
      <alignment horizontal="center" vertical="center" wrapText="1"/>
    </xf>
    <xf fontId="56" fillId="29" borderId="1" numFmtId="173" xfId="12" applyNumberFormat="1" applyFont="1" applyFill="1" applyBorder="1" applyAlignment="1">
      <alignment vertical="center"/>
    </xf>
    <xf fontId="56" fillId="29" borderId="1" numFmtId="4" xfId="12" applyNumberFormat="1" applyFont="1" applyFill="1" applyBorder="1" applyAlignment="1">
      <alignment vertical="center"/>
    </xf>
    <xf fontId="56" fillId="29" borderId="1" numFmtId="4" xfId="6" applyNumberFormat="1" applyFont="1" applyFill="1" applyBorder="1" applyAlignment="1">
      <alignment horizontal="center" vertical="center"/>
    </xf>
    <xf fontId="65" fillId="0" borderId="0" numFmtId="2" xfId="0" applyNumberFormat="1" applyFont="1" applyAlignment="1">
      <alignment horizontal="left" vertical="center" wrapText="1"/>
    </xf>
    <xf fontId="70" fillId="20" borderId="0" numFmtId="161" xfId="16" applyNumberFormat="1" applyFont="1" applyFill="1" applyAlignment="1">
      <alignment horizontal="left" vertical="center"/>
    </xf>
    <xf fontId="71" fillId="29" borderId="1" numFmtId="0" xfId="0" applyFont="1" applyFill="1" applyBorder="1" applyAlignment="1">
      <alignment vertical="center"/>
    </xf>
    <xf fontId="27" fillId="0" borderId="0" numFmtId="0" xfId="0" applyFont="1" applyAlignment="1">
      <alignment vertical="center" wrapText="1"/>
    </xf>
    <xf fontId="60" fillId="0" borderId="0" numFmtId="0" xfId="0" applyFont="1" applyAlignment="1">
      <alignment vertical="center" wrapText="1"/>
    </xf>
    <xf fontId="71" fillId="0" borderId="1" numFmtId="0" xfId="0" applyFont="1" applyBorder="1" applyAlignment="1">
      <alignment vertical="center"/>
    </xf>
    <xf fontId="29" fillId="0" borderId="0" numFmtId="0" xfId="6" applyFont="1" applyAlignment="1">
      <alignment horizontal="center" vertical="center" wrapText="1"/>
    </xf>
    <xf fontId="29" fillId="0" borderId="0" numFmtId="0" xfId="6" applyFont="1" applyAlignment="1">
      <alignment horizontal="justify" vertical="center" wrapText="1"/>
    </xf>
    <xf fontId="29" fillId="0" borderId="0" numFmtId="173" xfId="6" applyNumberFormat="1" applyFont="1" applyAlignment="1">
      <alignment horizontal="center"/>
    </xf>
    <xf fontId="29" fillId="0" borderId="0" numFmtId="2" xfId="6" applyNumberFormat="1" applyFont="1" applyAlignment="1">
      <alignment horizontal="center" vertical="center"/>
    </xf>
    <xf fontId="29" fillId="0" borderId="0" numFmtId="4" xfId="6" applyNumberFormat="1" applyFont="1" applyAlignment="1">
      <alignment horizontal="center" vertical="center"/>
    </xf>
    <xf fontId="2" fillId="0" borderId="0" numFmtId="0" xfId="0" applyFont="1" applyAlignment="1">
      <alignment vertical="top"/>
    </xf>
    <xf fontId="2" fillId="0" borderId="0" numFmtId="0" xfId="0" applyFont="1" applyAlignment="1">
      <alignment horizontal="justify"/>
    </xf>
    <xf fontId="30" fillId="0" borderId="0" numFmtId="0" xfId="0" applyFont="1" applyAlignment="1">
      <alignment horizontal="justify" vertical="center" wrapText="1"/>
    </xf>
    <xf fontId="29" fillId="0" borderId="0" numFmtId="0" xfId="0" applyFont="1" applyAlignment="1">
      <alignment horizontal="justify" vertical="center" wrapText="1"/>
    </xf>
    <xf fontId="30" fillId="0" borderId="0" numFmtId="0" xfId="0" applyFont="1" applyAlignment="1">
      <alignment vertical="center" wrapText="1"/>
    </xf>
    <xf fontId="29" fillId="0" borderId="0" numFmtId="0" xfId="0" applyFont="1" applyAlignment="1">
      <alignment vertical="center" wrapText="1"/>
    </xf>
    <xf fontId="16" fillId="0" borderId="0" numFmtId="0" xfId="0" applyFont="1" applyAlignment="1">
      <alignment horizontal="justify" vertical="center" wrapText="1"/>
    </xf>
    <xf fontId="16" fillId="0" borderId="0" numFmtId="0" xfId="0" applyFont="1" applyAlignment="1">
      <alignment horizontal="center" vertical="center" wrapText="1"/>
    </xf>
    <xf fontId="16" fillId="0" borderId="0" numFmtId="0" xfId="0" applyFont="1" applyAlignment="1">
      <alignment horizontal="center" vertical="top"/>
    </xf>
    <xf fontId="2" fillId="0" borderId="0" numFmtId="0" xfId="0" applyFont="1" applyAlignment="1">
      <alignment horizontal="justify" vertical="center" wrapText="1"/>
    </xf>
    <xf fontId="2" fillId="0" borderId="0" numFmtId="0" xfId="0" applyFont="1" applyAlignment="1">
      <alignment horizontal="center" vertical="top"/>
    </xf>
    <xf fontId="2" fillId="0" borderId="0" numFmtId="0" xfId="0" applyFont="1" applyAlignment="1">
      <alignment horizontal="justify" vertical="justify" wrapText="1"/>
    </xf>
    <xf fontId="16" fillId="0" borderId="0" numFmtId="0" xfId="0" applyFont="1" applyAlignment="1">
      <alignment horizontal="justify" wrapText="1"/>
    </xf>
    <xf fontId="2" fillId="0" borderId="0" numFmtId="2" xfId="0" applyNumberFormat="1" applyFont="1" applyAlignment="1">
      <alignment vertical="center"/>
    </xf>
    <xf fontId="10" fillId="0" borderId="0" numFmtId="0" xfId="0" applyFont="1" applyAlignment="1">
      <alignment horizontal="justify" vertical="center" wrapText="1"/>
    </xf>
    <xf fontId="2" fillId="0" borderId="0" numFmtId="2" xfId="0" applyNumberFormat="1" applyFont="1" applyAlignment="1">
      <alignment horizontal="left" vertical="center"/>
    </xf>
    <xf fontId="16" fillId="0" borderId="0" numFmtId="0" xfId="0" applyFont="1" applyAlignment="1">
      <alignment horizontal="justify" vertical="justify" wrapText="1"/>
    </xf>
    <xf fontId="16" fillId="0" borderId="0" numFmtId="0" xfId="0" applyFont="1" applyAlignment="1">
      <alignment vertical="center"/>
    </xf>
    <xf fontId="2" fillId="0" borderId="0" numFmtId="0" xfId="0" applyFont="1" applyAlignment="1">
      <alignment horizontal="justify" vertical="center"/>
    </xf>
    <xf fontId="2" fillId="0" borderId="0" numFmtId="0" xfId="3" applyFont="1" applyAlignment="1">
      <alignment wrapText="1"/>
    </xf>
    <xf fontId="16" fillId="0" borderId="0" numFmtId="0" xfId="0" applyFont="1" applyAlignment="1">
      <alignment horizontal="justify" vertical="top" wrapText="1"/>
    </xf>
    <xf fontId="16" fillId="0" borderId="0" numFmtId="0" xfId="3" applyFont="1" applyAlignment="1">
      <alignment horizontal="justify" vertical="center" wrapText="1"/>
    </xf>
    <xf fontId="16" fillId="0" borderId="0" numFmtId="0" xfId="3" applyFont="1" applyAlignment="1">
      <alignment horizontal="justify" vertical="justify" wrapText="1"/>
    </xf>
    <xf fontId="9" fillId="0" borderId="0" numFmtId="0" xfId="3" applyFont="1" applyAlignment="1">
      <alignment horizontal="justify" vertical="justify" wrapText="1"/>
    </xf>
    <xf fontId="16" fillId="0" borderId="0" numFmtId="0" xfId="10" applyFont="1" applyAlignment="1">
      <alignment horizontal="justify" vertical="center" wrapText="1"/>
    </xf>
    <xf fontId="16" fillId="0" borderId="0" numFmtId="0" xfId="0" applyFont="1" applyAlignment="1">
      <alignment horizontal="center" vertical="center"/>
    </xf>
    <xf fontId="16" fillId="0" borderId="0" numFmtId="0" xfId="3" applyFont="1" applyAlignment="1">
      <alignment horizontal="justify"/>
    </xf>
    <xf fontId="16" fillId="0" borderId="0" numFmtId="0" xfId="0" applyFont="1" applyAlignment="1">
      <alignment wrapText="1"/>
    </xf>
    <xf fontId="16" fillId="0" borderId="0" numFmtId="3" xfId="0" applyNumberFormat="1" applyFont="1" applyAlignment="1">
      <alignment horizontal="center" vertical="top"/>
    </xf>
    <xf fontId="16" fillId="0" borderId="0" numFmtId="4" xfId="0" applyNumberFormat="1" applyFont="1" applyAlignment="1">
      <alignment horizontal="justify" vertical="center" wrapText="1"/>
    </xf>
    <xf fontId="30" fillId="0" borderId="0" numFmtId="0" xfId="0" applyFont="1" applyAlignment="1">
      <alignment horizontal="left" vertical="center" wrapText="1"/>
    </xf>
    <xf fontId="30" fillId="0" borderId="0" numFmtId="0" xfId="0" applyFont="1" applyAlignment="1">
      <alignment wrapText="1"/>
    </xf>
    <xf fontId="30" fillId="0" borderId="0" numFmtId="0" xfId="0" applyFont="1" applyAlignment="1">
      <alignment horizontal="left" wrapText="1"/>
    </xf>
    <xf fontId="0" fillId="0" borderId="0" numFmtId="0" xfId="0" applyAlignment="1">
      <alignment vertical="center" wrapText="1"/>
    </xf>
    <xf fontId="0" fillId="0" borderId="0" numFmtId="0" xfId="0" applyAlignment="1">
      <alignment horizontal="justify" vertical="center" wrapText="1"/>
    </xf>
    <xf fontId="30" fillId="0" borderId="0" numFmtId="0" xfId="0" applyFont="1"/>
    <xf fontId="30" fillId="0" borderId="0" numFmtId="0" xfId="0" applyFont="1" applyAlignment="1">
      <alignment horizontal="center"/>
    </xf>
    <xf fontId="30" fillId="0" borderId="0" numFmtId="161" xfId="16" applyNumberFormat="1" applyFont="1" applyAlignment="1">
      <alignment horizontal="center"/>
    </xf>
    <xf fontId="59" fillId="0" borderId="0" numFmtId="161" xfId="16" applyNumberFormat="1" applyFont="1"/>
    <xf fontId="29" fillId="0" borderId="0" numFmtId="172" xfId="0" applyNumberFormat="1" applyFont="1"/>
    <xf fontId="72" fillId="0" borderId="0" numFmtId="0" xfId="13" applyFont="1" applyAlignment="1">
      <alignment horizontal="center" wrapText="1"/>
    </xf>
    <xf fontId="47" fillId="17" borderId="1" numFmtId="0" xfId="13" applyFont="1" applyFill="1" applyBorder="1" applyAlignment="1">
      <alignment horizontal="center" vertical="center" wrapText="1"/>
    </xf>
    <xf fontId="47" fillId="17" borderId="1" numFmtId="4" xfId="13" applyNumberFormat="1" applyFont="1" applyFill="1" applyBorder="1" applyAlignment="1">
      <alignment horizontal="center" vertical="center" wrapText="1"/>
    </xf>
    <xf fontId="0" fillId="0" borderId="0" numFmtId="4" xfId="0" applyNumberFormat="1"/>
    <xf fontId="73" fillId="0" borderId="1" numFmtId="172" xfId="0" applyNumberFormat="1" applyFont="1" applyBorder="1" applyAlignment="1">
      <alignment horizontal="center" vertical="top"/>
    </xf>
    <xf fontId="73" fillId="0" borderId="1" numFmtId="172" xfId="0" applyNumberFormat="1" applyFont="1" applyBorder="1" applyAlignment="1">
      <alignment vertical="top"/>
    </xf>
    <xf fontId="63" fillId="0" borderId="1" numFmtId="10" xfId="14" applyNumberFormat="1" applyFont="1" applyBorder="1"/>
    <xf fontId="63" fillId="0" borderId="1" numFmtId="172" xfId="0" applyNumberFormat="1" applyFont="1" applyBorder="1" applyAlignment="1">
      <alignment horizontal="center"/>
    </xf>
    <xf fontId="63" fillId="7" borderId="1" numFmtId="10" xfId="13" applyNumberFormat="1" applyFont="1" applyFill="1" applyBorder="1" applyAlignment="1">
      <alignment horizontal="center"/>
    </xf>
    <xf fontId="63" fillId="0" borderId="1" numFmtId="4" xfId="13" applyNumberFormat="1" applyFont="1" applyBorder="1"/>
    <xf fontId="0" fillId="0" borderId="0" numFmtId="10" xfId="0" applyNumberFormat="1"/>
    <xf fontId="0" fillId="0" borderId="0" numFmtId="161" xfId="0" applyNumberFormat="1" applyAlignment="1">
      <alignment horizontal="left"/>
    </xf>
    <xf fontId="73" fillId="0" borderId="1" numFmtId="172" xfId="0" applyNumberFormat="1" applyFont="1" applyBorder="1" applyAlignment="1" quotePrefix="1">
      <alignment vertical="top"/>
    </xf>
    <xf fontId="73" fillId="0" borderId="1" numFmtId="172" xfId="0" applyNumberFormat="1" applyFont="1" applyBorder="1" applyAlignment="1">
      <alignment vertical="top" wrapText="1"/>
    </xf>
    <xf fontId="0" fillId="0" borderId="0" numFmtId="177" xfId="0" applyNumberFormat="1"/>
    <xf fontId="74" fillId="32" borderId="1" numFmtId="0" xfId="13" applyFont="1" applyFill="1" applyBorder="1" applyAlignment="1">
      <alignment horizontal="left" vertical="top"/>
    </xf>
    <xf fontId="75" fillId="0" borderId="1" numFmtId="0" xfId="13" applyFont="1" applyBorder="1" applyAlignment="1">
      <alignment horizontal="right" wrapText="1"/>
    </xf>
    <xf fontId="75" fillId="32" borderId="1" numFmtId="10" xfId="14" applyNumberFormat="1" applyFont="1" applyFill="1" applyBorder="1" applyAlignment="1">
      <alignment horizontal="center"/>
    </xf>
    <xf fontId="75" fillId="32" borderId="1" numFmtId="4" xfId="13" applyNumberFormat="1" applyFont="1" applyFill="1" applyBorder="1" applyAlignment="1">
      <alignment horizontal="center"/>
    </xf>
    <xf fontId="74" fillId="0" borderId="1" numFmtId="10" xfId="14" applyNumberFormat="1" applyFont="1" applyBorder="1"/>
    <xf fontId="74" fillId="32" borderId="1" numFmtId="10" xfId="16" applyNumberFormat="1" applyFont="1" applyFill="1" applyBorder="1"/>
    <xf fontId="74" fillId="32" borderId="1" numFmtId="161" xfId="16" applyNumberFormat="1" applyFont="1" applyFill="1" applyBorder="1"/>
    <xf fontId="74" fillId="32" borderId="1" numFmtId="4" xfId="13" applyNumberFormat="1" applyFont="1" applyFill="1" applyBorder="1" applyAlignment="1">
      <alignment horizontal="center"/>
    </xf>
    <xf fontId="74" fillId="32" borderId="1" numFmtId="4" xfId="13" applyNumberFormat="1" applyFont="1" applyFill="1" applyBorder="1"/>
    <xf fontId="76" fillId="32" borderId="1" numFmtId="0" xfId="13" applyFont="1" applyFill="1" applyBorder="1"/>
    <xf fontId="47" fillId="0" borderId="1" numFmtId="0" xfId="13" applyFont="1" applyBorder="1" applyAlignment="1">
      <alignment horizontal="right"/>
    </xf>
    <xf fontId="77" fillId="32" borderId="1" numFmtId="4" xfId="13" applyNumberFormat="1" applyFont="1" applyFill="1" applyBorder="1"/>
    <xf fontId="47" fillId="0" borderId="1" numFmtId="4" xfId="13" applyNumberFormat="1" applyFont="1" applyBorder="1"/>
    <xf fontId="0" fillId="0" borderId="0" numFmtId="2" xfId="0" applyNumberFormat="1"/>
    <xf fontId="29" fillId="0" borderId="0" numFmtId="161" xfId="16" applyNumberFormat="1" applyFont="1"/>
    <xf fontId="0" fillId="0" borderId="0" numFmtId="0" xfId="0" applyAlignment="1">
      <alignment horizontal="center" vertical="center" wrapText="1"/>
    </xf>
    <xf fontId="63" fillId="0" borderId="0" numFmtId="0" xfId="0" applyFont="1" applyAlignment="1">
      <alignment horizontal="center"/>
    </xf>
  </cellXfs>
  <cellStyles count="17">
    <cellStyle name="Hiperlink" xfId="1" builtinId="8"/>
    <cellStyle name="Normal" xfId="0" builtinId="0"/>
    <cellStyle name="Normal 2" xfId="2"/>
    <cellStyle name="Normal 2 2" xfId="3"/>
    <cellStyle name="Normal 3" xfId="4"/>
    <cellStyle name="Normal 4" xfId="5"/>
    <cellStyle name="Normal 43" xfId="6"/>
    <cellStyle name="Normal 5" xfId="7"/>
    <cellStyle name="Normal 7 2" xfId="8"/>
    <cellStyle name="Normal_Composições CEF - Emergencia" xfId="9"/>
    <cellStyle name="Normal_Estudo Sidrolândia" xfId="10"/>
    <cellStyle name="Normal_LOTE-9" xfId="11"/>
    <cellStyle name="Normal_Pesquisa no referencial 10 de maio de 2013" xfId="12"/>
    <cellStyle name="Normal_PLANLIHA-REGODAGUA" xfId="13"/>
    <cellStyle name="Porcentagem" xfId="14" builtinId="5"/>
    <cellStyle name="Separador de milhares_Estudo Sidrolândia" xfId="15"/>
    <cellStyle name="Vírgula" xfId="16" builtinId="3"/>
  </cellStyles>
  <dxfs count="17">
    <dxf>
      <font>
        <b/>
        <color theme="1"/>
      </font>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0"/>
      </font>
      <fill>
        <patternFill patternType="solid">
          <fgColor theme="4"/>
          <bgColor theme="4"/>
        </patternFill>
      </fill>
    </dxf>
    <dxf>
      <font>
        <b/>
        <color theme="1"/>
      </font>
    </dxf>
    <dxf>
      <font>
        <b/>
        <color theme="1"/>
      </font>
      <border>
        <left style="none"/>
        <right style="none"/>
        <top style="double">
          <color theme="4"/>
        </top>
        <bottom style="none"/>
        <diagonal style="none"/>
        <vertical style="none"/>
        <horizontal style="none"/>
      </border>
    </dxf>
    <dxf>
      <font>
        <color theme="1"/>
      </font>
      <border>
        <left style="thin">
          <color theme="4"/>
        </left>
        <right style="thin">
          <color theme="4"/>
        </right>
        <top style="thin">
          <color theme="4"/>
        </top>
        <bottom style="thin">
          <color theme="4"/>
        </bottom>
        <diagonal style="none"/>
        <vertical style="none"/>
        <horizontal style="thin">
          <color theme="4" tint="0.39994506668294322"/>
        </horizontal>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color theme="1"/>
      </font>
      <border>
        <left style="none"/>
        <right style="none"/>
        <top style="none"/>
        <bottom style="thin">
          <color theme="4" tint="0.39994506668294322"/>
        </bottom>
        <diagonal style="none"/>
        <vertical style="none"/>
        <horizontal style="none"/>
      </border>
    </dxf>
    <dxf>
      <font>
        <b/>
        <color theme="1"/>
      </font>
      <border>
        <left style="none"/>
        <right style="none"/>
        <top style="thin">
          <color theme="4"/>
        </top>
        <bottom style="thin">
          <color theme="4"/>
        </bottom>
        <diagonal style="none"/>
        <vertical style="none"/>
        <horizontal style="none"/>
      </border>
    </dxf>
    <dxf>
      <font>
        <b/>
        <color theme="1"/>
      </font>
      <fill>
        <patternFill patternType="solid">
          <fgColor theme="4" tint="0.79995117038483843"/>
          <bgColor theme="4" tint="0.79995117038483843"/>
        </patternFill>
      </fill>
      <border>
        <left style="none"/>
        <right style="none"/>
        <top style="none"/>
        <bottom style="thin">
          <color theme="4" tint="0.39994506668294322"/>
        </bottom>
        <diagonal style="none"/>
        <vertical style="none"/>
        <horizontal style="none"/>
      </border>
    </dxf>
    <dxf>
      <font>
        <b/>
      </font>
      <fill>
        <patternFill patternType="solid">
          <fgColor theme="4" tint="0.79995117038483843"/>
          <bgColor theme="4" tint="0.79995117038483843"/>
        </patternFill>
      </fill>
      <border>
        <left style="none"/>
        <right style="none"/>
        <top style="none"/>
        <bottom style="thin">
          <color theme="4" tint="0.39994506668294322"/>
        </bottom>
        <diagonal style="none"/>
        <vertical style="none"/>
        <horizontal style="none"/>
      </border>
    </dxf>
    <dxf>
      <fill>
        <patternFill patternType="solid">
          <fgColor theme="4" tint="0.79995117038483843"/>
          <bgColor theme="4" tint="0.79995117038483843"/>
        </patternFill>
      </fill>
      <border>
        <left style="none"/>
        <right style="none"/>
        <top style="none"/>
        <bottom style="thin">
          <color theme="4" tint="0.39994506668294322"/>
        </bottom>
        <diagonal style="none"/>
        <vertical style="none"/>
        <horizontal style="none"/>
      </border>
    </dxf>
    <dxf>
      <font>
        <color theme="1"/>
      </font>
    </dxf>
    <dxf>
      <font>
        <b/>
        <color theme="1"/>
      </font>
    </dxf>
    <dxf>
      <font>
        <b/>
        <color theme="1"/>
      </font>
      <fill>
        <patternFill patternType="solid">
          <fgColor theme="4" tint="0.79995117038483843"/>
          <bgColor theme="4" tint="0.79995117038483843"/>
        </patternFill>
      </fill>
      <border>
        <left style="none"/>
        <right style="none"/>
        <top style="thin">
          <color theme="4" tint="0.39994506668294322"/>
        </top>
        <bottom style="thin">
          <color theme="4" tint="0.39994506668294322"/>
        </bottom>
        <diagonal style="none"/>
        <vertical style="none"/>
        <horizontal style="none"/>
      </border>
    </dxf>
  </dxfs>
  <tableStyles count="2" defaultTableStyle="TableStyleMedium2" defaultPivotStyle="PivotStyleLight16">
    <tableStyle name="TableStylePreset3_Accent1" pivot="0" count="7">
      <tableStyleElement type="firstColumn" size="1" dxfId="0"/>
      <tableStyleElement type="firstColumnStripe" size="1" dxfId="1"/>
      <tableStyleElement type="firstRowStripe" size="1" dxfId="2"/>
      <tableStyleElement type="headerRow" size="1" dxfId="3"/>
      <tableStyleElement type="lastColumn" size="1" dxfId="4"/>
      <tableStyleElement type="totalRow" size="1" dxfId="5"/>
      <tableStyleElement type="wholeTable" size="1" dxfId="6"/>
    </tableStyle>
    <tableStyle name="PivotStylePreset2_Accent1" table="0" count="10">
      <tableStyleElement type="firstColumnStripe" size="1" dxfId="7"/>
      <tableStyleElement type="firstRowStripe" size="1" dxfId="8"/>
      <tableStyleElement type="firstRowSubheading" size="1" dxfId="9"/>
      <tableStyleElement type="firstSubtotalRow" size="1" dxfId="10"/>
      <tableStyleElement type="headerRow" size="1" dxfId="11"/>
      <tableStyleElement type="pageFieldLabels" size="1" dxfId="12"/>
      <tableStyleElement type="pageFieldValues" size="1" dxfId="13"/>
      <tableStyleElement type="secondRowSubheading" size="1" dxfId="14"/>
      <tableStyleElement type="secondSubtotalRow" size="1" dxfId="15"/>
      <tableStyleElement type="totalRow" size="1" dxfId="16"/>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3" Type="http://schemas.openxmlformats.org/officeDocument/2006/relationships/worksheet" Target="worksheets/sheet12.xml"/><Relationship  Id="rId11" Type="http://schemas.openxmlformats.org/officeDocument/2006/relationships/worksheet" Target="worksheets/sheet10.xml"/><Relationship  Id="rId10" Type="http://schemas.openxmlformats.org/officeDocument/2006/relationships/worksheet" Target="worksheets/sheet9.xml"/><Relationship  Id="rId15" Type="http://schemas.openxmlformats.org/officeDocument/2006/relationships/sharedStrings" Target="sharedStrings.xml"/><Relationship  Id="rId9" Type="http://schemas.openxmlformats.org/officeDocument/2006/relationships/worksheet" Target="worksheets/sheet8.xml"/><Relationship  Id="rId8" Type="http://schemas.openxmlformats.org/officeDocument/2006/relationships/worksheet" Target="worksheets/sheet7.xml"/><Relationship  Id="rId7" Type="http://schemas.openxmlformats.org/officeDocument/2006/relationships/worksheet" Target="worksheets/sheet6.xml"/><Relationship  Id="rId14" Type="http://schemas.openxmlformats.org/officeDocument/2006/relationships/theme" Target="theme/theme1.xml"/><Relationship  Id="rId6" Type="http://schemas.openxmlformats.org/officeDocument/2006/relationships/worksheet" Target="worksheets/sheet5.xml"/><Relationship  Id="rId5" Type="http://schemas.openxmlformats.org/officeDocument/2006/relationships/worksheet" Target="worksheets/sheet4.xml"/><Relationship  Id="rId16" Type="http://schemas.openxmlformats.org/officeDocument/2006/relationships/styles" Target="styles.xml"/><Relationship  Id="rId4" Type="http://schemas.openxmlformats.org/officeDocument/2006/relationships/worksheet" Target="worksheets/sheet3.xml"/><Relationship  Id="rId12" Type="http://schemas.openxmlformats.org/officeDocument/2006/relationships/worksheet" Target="worksheets/sheet11.xml"/><Relationship  Id="rId3" Type="http://schemas.openxmlformats.org/officeDocument/2006/relationships/worksheet" Target="worksheets/sheet2.xml"/><Relationship  Id="rId2" Type="http://schemas.openxmlformats.org/officeDocument/2006/relationships/worksheet" Target="worksheets/sheet1.xml"/><Relationship  Id="rId1" Type="http://schemas.microsoft.com/office/2017/10/relationships/person" Target="persons/person.xml"/></Relationships>
</file>

<file path=xl/drawings/_rels/drawing1.xml.rels><?xml version="1.0" encoding="UTF-8" standalone="yes"?><Relationships xmlns="http://schemas.openxmlformats.org/package/2006/relationships"><Relationship Id="rId1" Type="http://schemas.openxmlformats.org/officeDocument/2006/relationships/image" Target="../media/image1.png"/></Relationships>
</file>

<file path=xl/drawings/_rels/drawing2.xml.rels><?xml version="1.0" encoding="UTF-8" standalone="yes"?><Relationships xmlns="http://schemas.openxmlformats.org/package/2006/relationships"><Relationship Id="rId1" Type="http://schemas.openxmlformats.org/officeDocument/2006/relationships/image" Target="../media/image1.png"/></Relationships>
</file>

<file path=xl/drawings/_rels/drawing3.xml.rels><?xml version="1.0" encoding="UTF-8" standalone="yes"?><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emf"/><Relationship Id="rId3" Type="http://schemas.openxmlformats.org/officeDocument/2006/relationships/image" Target="../media/image3.png"/></Relationships>
</file>

<file path=xl/drawings/_rels/drawing4.xml.rels><?xml version="1.0" encoding="UTF-8" standalone="yes"?><Relationships xmlns="http://schemas.openxmlformats.org/package/2006/relationships"><Relationship Id="rId1" Type="http://schemas.openxmlformats.org/officeDocument/2006/relationships/image" Target="../media/image1.png"/></Relationships>
</file>

<file path=xl/drawings/_rels/drawing5.xml.rels><?xml version="1.0" encoding="UTF-8" standalone="yes"?><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2</xdr:col>
      <xdr:colOff>247649</xdr:colOff>
      <xdr:row>17</xdr:row>
      <xdr:rowOff>190499</xdr:rowOff>
    </xdr:from>
    <xdr:to>
      <xdr:col>2</xdr:col>
      <xdr:colOff>884738</xdr:colOff>
      <xdr:row>22</xdr:row>
      <xdr:rowOff>100499</xdr:rowOff>
    </xdr:to>
    <xdr:pic>
      <xdr:nvPicPr>
        <xdr:cNvPr id="2" name="Imagem 1" hidden="0"/>
        <xdr:cNvPicPr>
          <a:picLocks noChangeAspect="1"/>
        </xdr:cNvPicPr>
      </xdr:nvPicPr>
      <xdr:blipFill>
        <a:blip r:embed="rId1"/>
        <a:stretch/>
      </xdr:blipFill>
      <xdr:spPr bwMode="auto">
        <a:xfrm>
          <a:off x="3676650" y="4485640"/>
          <a:ext cx="636905" cy="8724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oneCellAnchor>
    <xdr:from>
      <xdr:col>16</xdr:col>
      <xdr:colOff>546651</xdr:colOff>
      <xdr:row>138</xdr:row>
      <xdr:rowOff>0</xdr:rowOff>
    </xdr:from>
    <xdr:ext cx="1278034" cy="264559"/>
    <xdr:sp>
      <xdr:nvSpPr>
        <xdr:cNvPr id="2" name="CaixaDeTexto 1" hidden="0"/>
        <xdr:cNvSpPr txBox="1"/>
      </xdr:nvSpPr>
      <xdr:spPr bwMode="auto">
        <a:xfrm>
          <a:off x="14382749" y="107022899"/>
          <a:ext cx="1278034" cy="264559"/>
        </a:xfrm>
        <a:prstGeom prst="rect">
          <a:avLst/>
        </a:prstGeom>
        <a:noFill/>
      </xdr:spPr>
      <xdr:style>
        <a:lnRef idx="0">
          <a:srgbClr val="000000"/>
        </a:lnRef>
        <a:fillRef idx="0">
          <a:srgbClr val="000000"/>
        </a:fillRef>
        <a:effectRef idx="0">
          <a:srgbClr val="000000"/>
        </a:effectRef>
        <a:fontRef idx="minor">
          <a:schemeClr val="tx1"/>
        </a:fontRef>
      </xdr:style>
      <xdr:txBody>
        <a:bodyPr wrap="none" rtlCol="0" anchor="t">
          <a:spAutoFit/>
        </a:bodyPr>
        <a:lstStyle/>
        <a:p>
          <a:pPr>
            <a:defRPr/>
          </a:pPr>
          <a:endParaRPr lang="pt-BR"/>
        </a:p>
      </xdr:txBody>
    </xdr:sp>
    <xdr:clientData/>
  </xdr:oneCellAnchor>
  <xdr:oneCellAnchor>
    <xdr:from>
      <xdr:col>16</xdr:col>
      <xdr:colOff>500932</xdr:colOff>
      <xdr:row>138</xdr:row>
      <xdr:rowOff>0</xdr:rowOff>
    </xdr:from>
    <xdr:ext cx="1047584" cy="264559"/>
    <xdr:sp>
      <xdr:nvSpPr>
        <xdr:cNvPr id="3" name="CaixaDeTexto 2" hidden="0"/>
        <xdr:cNvSpPr txBox="1"/>
      </xdr:nvSpPr>
      <xdr:spPr bwMode="auto">
        <a:xfrm flipH="1">
          <a:off x="14382749" y="107022899"/>
          <a:ext cx="1047584" cy="264559"/>
        </a:xfrm>
        <a:prstGeom prst="rect">
          <a:avLst/>
        </a:prstGeom>
        <a:noFill/>
      </xdr:spPr>
      <xdr:style>
        <a:lnRef idx="0">
          <a:srgbClr val="000000"/>
        </a:lnRef>
        <a:fillRef idx="0">
          <a:srgbClr val="000000"/>
        </a:fillRef>
        <a:effectRef idx="0">
          <a:srgbClr val="000000"/>
        </a:effectRef>
        <a:fontRef idx="minor">
          <a:schemeClr val="tx1"/>
        </a:fontRef>
      </xdr:style>
      <xdr:txBody>
        <a:bodyPr wrap="square" rtlCol="0" anchor="t">
          <a:spAutoFit/>
        </a:bodyPr>
        <a:lstStyle/>
        <a:p>
          <a:pPr>
            <a:defRPr/>
          </a:pPr>
          <a:endParaRPr lang="pt-BR"/>
        </a:p>
      </xdr:txBody>
    </xdr:sp>
    <xdr:clientData/>
  </xdr:oneCellAnchor>
  <xdr:oneCellAnchor>
    <xdr:from>
      <xdr:col>16</xdr:col>
      <xdr:colOff>546651</xdr:colOff>
      <xdr:row>138</xdr:row>
      <xdr:rowOff>0</xdr:rowOff>
    </xdr:from>
    <xdr:ext cx="1278034" cy="264559"/>
    <xdr:sp>
      <xdr:nvSpPr>
        <xdr:cNvPr id="4" name="CaixaDeTexto 3" hidden="0"/>
        <xdr:cNvSpPr txBox="1"/>
      </xdr:nvSpPr>
      <xdr:spPr bwMode="auto">
        <a:xfrm>
          <a:off x="14382749" y="107022899"/>
          <a:ext cx="1278034" cy="264559"/>
        </a:xfrm>
        <a:prstGeom prst="rect">
          <a:avLst/>
        </a:prstGeom>
        <a:noFill/>
      </xdr:spPr>
      <xdr:style>
        <a:lnRef idx="0">
          <a:srgbClr val="000000"/>
        </a:lnRef>
        <a:fillRef idx="0">
          <a:srgbClr val="000000"/>
        </a:fillRef>
        <a:effectRef idx="0">
          <a:srgbClr val="000000"/>
        </a:effectRef>
        <a:fontRef idx="minor">
          <a:schemeClr val="tx1"/>
        </a:fontRef>
      </xdr:style>
      <xdr:txBody>
        <a:bodyPr wrap="none" rtlCol="0" anchor="t">
          <a:spAutoFit/>
        </a:bodyPr>
        <a:lstStyle/>
        <a:p>
          <a:pPr>
            <a:defRPr/>
          </a:pPr>
          <a:endParaRPr lang="pt-BR"/>
        </a:p>
      </xdr:txBody>
    </xdr:sp>
    <xdr:clientData/>
  </xdr:oneCellAnchor>
  <xdr:twoCellAnchor editAs="oneCell">
    <xdr:from>
      <xdr:col>6</xdr:col>
      <xdr:colOff>142875</xdr:colOff>
      <xdr:row>154</xdr:row>
      <xdr:rowOff>133350</xdr:rowOff>
    </xdr:from>
    <xdr:to>
      <xdr:col>6</xdr:col>
      <xdr:colOff>708214</xdr:colOff>
      <xdr:row>159</xdr:row>
      <xdr:rowOff>24300</xdr:rowOff>
    </xdr:to>
    <xdr:pic>
      <xdr:nvPicPr>
        <xdr:cNvPr id="5" name="Imagem 4" hidden="0"/>
        <xdr:cNvPicPr>
          <a:picLocks noChangeAspect="1"/>
        </xdr:cNvPicPr>
      </xdr:nvPicPr>
      <xdr:blipFill>
        <a:blip r:embed="rId1"/>
        <a:stretch/>
      </xdr:blipFill>
      <xdr:spPr bwMode="auto">
        <a:xfrm>
          <a:off x="5562600" y="100336350"/>
          <a:ext cx="565150" cy="8623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9</xdr:col>
      <xdr:colOff>260535</xdr:colOff>
      <xdr:row>4439</xdr:row>
      <xdr:rowOff>95250</xdr:rowOff>
    </xdr:from>
    <xdr:to>
      <xdr:col>9</xdr:col>
      <xdr:colOff>825685</xdr:colOff>
      <xdr:row>4443</xdr:row>
      <xdr:rowOff>119381</xdr:rowOff>
    </xdr:to>
    <xdr:pic>
      <xdr:nvPicPr>
        <xdr:cNvPr id="2" name="Imagem 1" hidden="0"/>
        <xdr:cNvPicPr>
          <a:picLocks noChangeAspect="1"/>
        </xdr:cNvPicPr>
      </xdr:nvPicPr>
      <xdr:blipFill>
        <a:blip r:embed="rId1"/>
        <a:stretch/>
      </xdr:blipFill>
      <xdr:spPr bwMode="auto">
        <a:xfrm>
          <a:off x="9671050" y="191519175"/>
          <a:ext cx="565150" cy="824230"/>
        </a:xfrm>
        <a:prstGeom prst="rect">
          <a:avLst/>
        </a:prstGeom>
      </xdr:spPr>
    </xdr:pic>
    <xdr:clientData/>
  </xdr:twoCellAnchor>
  <xdr:twoCellAnchor editAs="oneCell">
    <xdr:from>
      <xdr:col>28</xdr:col>
      <xdr:colOff>108857</xdr:colOff>
      <xdr:row>137</xdr:row>
      <xdr:rowOff>884464</xdr:rowOff>
    </xdr:from>
    <xdr:to>
      <xdr:col>31</xdr:col>
      <xdr:colOff>146957</xdr:colOff>
      <xdr:row>331</xdr:row>
      <xdr:rowOff>371473</xdr:rowOff>
    </xdr:to>
    <xdr:pic>
      <xdr:nvPicPr>
        <xdr:cNvPr id="9" name="Imagem 8" hidden="0"/>
        <xdr:cNvPicPr>
          <a:picLocks noChangeAspect="1" noChangeArrowheads="1"/>
        </xdr:cNvPicPr>
      </xdr:nvPicPr>
      <xdr:blipFill>
        <a:blip r:embed="rId2"/>
        <a:stretch/>
      </xdr:blipFill>
      <xdr:spPr bwMode="auto">
        <a:xfrm>
          <a:off x="26026110" y="3162300"/>
          <a:ext cx="1866900" cy="7076440"/>
        </a:xfrm>
        <a:prstGeom prst="rect">
          <a:avLst/>
        </a:prstGeom>
        <a:noFill/>
      </xdr:spPr>
    </xdr:pic>
    <xdr:clientData/>
  </xdr:twoCellAnchor>
  <xdr:twoCellAnchor editAs="oneCell">
    <xdr:from>
      <xdr:col>53</xdr:col>
      <xdr:colOff>47623</xdr:colOff>
      <xdr:row>3308</xdr:row>
      <xdr:rowOff>209549</xdr:rowOff>
    </xdr:from>
    <xdr:to>
      <xdr:col>63</xdr:col>
      <xdr:colOff>48501</xdr:colOff>
      <xdr:row>3992</xdr:row>
      <xdr:rowOff>53130</xdr:rowOff>
    </xdr:to>
    <xdr:pic>
      <xdr:nvPicPr>
        <xdr:cNvPr id="66" name="Imagem 65" hidden="0"/>
        <xdr:cNvPicPr>
          <a:picLocks noChangeAspect="1"/>
        </xdr:cNvPicPr>
      </xdr:nvPicPr>
      <xdr:blipFill>
        <a:blip r:embed="rId3"/>
        <a:stretch/>
      </xdr:blipFill>
      <xdr:spPr bwMode="auto">
        <a:xfrm>
          <a:off x="41205150" y="152533350"/>
          <a:ext cx="6096635" cy="53200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1</xdr:col>
      <xdr:colOff>2550583</xdr:colOff>
      <xdr:row>473</xdr:row>
      <xdr:rowOff>52917</xdr:rowOff>
    </xdr:from>
    <xdr:to>
      <xdr:col>1</xdr:col>
      <xdr:colOff>3115922</xdr:colOff>
      <xdr:row>478</xdr:row>
      <xdr:rowOff>80392</xdr:rowOff>
    </xdr:to>
    <xdr:pic>
      <xdr:nvPicPr>
        <xdr:cNvPr id="2" name="Imagem 1" hidden="0"/>
        <xdr:cNvPicPr>
          <a:picLocks noChangeAspect="1"/>
        </xdr:cNvPicPr>
      </xdr:nvPicPr>
      <xdr:blipFill>
        <a:blip r:embed="rId1"/>
        <a:stretch/>
      </xdr:blipFill>
      <xdr:spPr bwMode="auto">
        <a:xfrm>
          <a:off x="3159760" y="101951155"/>
          <a:ext cx="565150" cy="8655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twoCellAnchor editAs="oneCell">
    <xdr:from>
      <xdr:col>14</xdr:col>
      <xdr:colOff>202406</xdr:colOff>
      <xdr:row>22</xdr:row>
      <xdr:rowOff>95250</xdr:rowOff>
    </xdr:from>
    <xdr:to>
      <xdr:col>14</xdr:col>
      <xdr:colOff>839494</xdr:colOff>
      <xdr:row>27</xdr:row>
      <xdr:rowOff>98118</xdr:rowOff>
    </xdr:to>
    <xdr:pic>
      <xdr:nvPicPr>
        <xdr:cNvPr id="4" name="Imagem 3" hidden="0"/>
        <xdr:cNvPicPr>
          <a:picLocks noChangeAspect="1"/>
        </xdr:cNvPicPr>
      </xdr:nvPicPr>
      <xdr:blipFill>
        <a:blip r:embed="rId1"/>
        <a:stretch/>
      </xdr:blipFill>
      <xdr:spPr bwMode="auto">
        <a:xfrm>
          <a:off x="16813530" y="4200525"/>
          <a:ext cx="637540" cy="85979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stela" id="{2B397394-BFAD-8867-C6B6-1BBCF13275CB}"/>
  <person displayName="Bruno" id="{A2E67CE0-F4D9-485A-097B-B35F3C335889}"/>
  <person displayName="Luana" id="{FA3E6953-B601-3661-CDAE-8439313A196D}"/>
  <person displayName="Isabela" id="{C2E6AC8A-FCE9-1630-F53E-F687665DB552}"/>
</personList>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threadedComments/threadedComment1.xml><?xml version="1.0" encoding="utf-8"?>
<ThreadedComments xmlns="http://schemas.microsoft.com/office/spreadsheetml/2018/threadedcomments" xmlns:x="http://schemas.openxmlformats.org/spreadsheetml/2006/main">
  <threadedComment ref="F2" personId="{2B397394-BFAD-8867-C6B6-1BBCF13275CB}" id="{009B007E-0097-4DE7-94BF-00210090007D}" done="0">
    <text xml:space="preserve">Esta coluna tem fórmula, não preencher!!!
</text>
  </threadedComment>
  <threadedComment ref="P5" personId="{2B397394-BFAD-8867-C6B6-1BBCF13275CB}" id="{00FF00C2-0033-4B14-B211-009F007B0053}" done="0">
    <text xml:space="preserve">Atualizar Data Base utilizada nos preços unitários SICRO
</text>
  </threadedComment>
  <threadedComment ref="Q5" personId="{2B397394-BFAD-8867-C6B6-1BBCF13275CB}" id="{009E004E-0099-41CE-8F5E-00BA00A70024}" done="0">
    <text xml:space="preserve">Atualizar Data Base utilizada nos preços unitários SINAPI
</text>
  </threadedComment>
</ThreadedComments>
</file>

<file path=xl/threadedComments/threadedComment2.xml><?xml version="1.0" encoding="utf-8"?>
<ThreadedComments xmlns="http://schemas.microsoft.com/office/spreadsheetml/2018/threadedcomments" xmlns:x="http://schemas.openxmlformats.org/spreadsheetml/2006/main">
  <threadedComment ref="I2706" personId="{C2E6AC8A-FCE9-1630-F53E-F687665DB552}" id="{0078000A-0084-4E0F-83B6-004E00F400B6}" done="0">
    <text xml:space="preserve">produção escav + reaterro considerando 3 homens
</text>
  </threadedComment>
  <threadedComment ref="I2714" personId="{C2E6AC8A-FCE9-1630-F53E-F687665DB552}" id="{0015002D-004D-403E-ABC6-00680060005C}" done="0">
    <text xml:space="preserve">produção escav + reaterro considerando 3 homens
</text>
  </threadedComment>
  <threadedComment ref="I3501" personId="{FA3E6953-B601-3661-CDAE-8439313A196D}" id="{00C500D0-004D-4DAC-BE70-00C000AF0049}" done="0">
    <text xml:space="preserve">Cálculo de área feito no https://dmquimica.com.br/calc_metal/
</text>
  </threadedComment>
  <threadedComment ref="I3451" personId="{FA3E6953-B601-3661-CDAE-8439313A196D}" id="{004900DD-000B-4FAC-9112-000C007800C8}" done="0">
    <text xml:space="preserve">Cálculo de área feito no https://dmquimica.com.br/calc_metal/
</text>
  </threadedComment>
  <threadedComment ref="I4277" personId="{A2E67CE0-F4D9-485A-097B-B35F3C335889}" id="{000900B3-0091-4F65-AE7A-0033009A00BB}" done="0">
    <text xml:space="preserve">
Ver Cotas Recorte em  Projeto
</text>
  </threadedComment>
  <threadedComment ref="I4285" personId="{A2E67CE0-F4D9-485A-097B-B35F3C335889}" id="{008D00A3-00F1-4D52-8451-00D000B60017}" done="0">
    <text xml:space="preserve">Ver Resumo Aço  em Projeto
</text>
  </threadedComment>
  <threadedComment ref="I4286" personId="{A2E67CE0-F4D9-485A-097B-B35F3C335889}" id="{00060073-00BC-48C1-A0A9-00B300B10065}" done="0">
    <text xml:space="preserve">Ver Resumo Aço  em Projeto
</text>
  </threadedComment>
  <threadedComment ref="I3453" personId="{FA3E6953-B601-3661-CDAE-8439313A196D}" id="{00C400DD-008B-4756-BF77-006100350041}" done="0">
    <text xml:space="preserve">Cálculo de área feito no https://dmquimica.com.br/calc_metal/
</text>
  </threadedComment>
  <threadedComment ref="I4284" personId="{A2E67CE0-F4D9-485A-097B-B35F3C335889}" id="{00C0000F-0078-4C88-A810-0092002E00DD}" done="0">
    <text xml:space="preserve">Ver Resumo Aço  em Projeto
</text>
  </threadedComment>
  <threadedComment ref="I4291" personId="{A2E67CE0-F4D9-485A-097B-B35F3C335889}" id="{0011002B-00A4-4120-9AB5-00B0004F007C}" done="0">
    <text xml:space="preserve">Chamada D'agua  + Vigas Internas conforme Projeto
</text>
  </threadedComment>
  <threadedComment ref="I3476" personId="{FA3E6953-B601-3661-CDAE-8439313A196D}" id="{007900C6-00B1-4ABF-8E02-005D008C00F9}" done="0">
    <text xml:space="preserve">Cálculo de área feito no https://dmquimica.com.br/calc_metal/
</text>
  </threadedComment>
  <threadedComment ref="I4278" personId="{A2E67CE0-F4D9-485A-097B-B35F3C335889}" id="{00D8006B-0047-4357-BC7E-00EB009F0040}" done="0">
    <text xml:space="preserve">
Ver Area da chamada bl em projeto.
</text>
  </threadedComment>
  <threadedComment ref="I4283" personId="{A2E67CE0-F4D9-485A-097B-B35F3C335889}" id="{00B40017-0091-40AF-820F-00E3008600D2}" done="0">
    <text xml:space="preserve">Radier, Vigas Internas e Viga VL1
</text>
  </threadedComment>
  <threadedComment ref="I4287" personId="{A2E67CE0-F4D9-485A-097B-B35F3C335889}" id="{00BA00BC-00BF-4BE2-8985-008100010043}" done="0">
    <text xml:space="preserve">Ver Resumo Aço  em Projeto
</text>
  </threadedComment>
  <threadedComment ref="I4290" personId="{A2E67CE0-F4D9-485A-097B-B35F3C335889}" id="{003600C0-0084-48DE-8A0F-0034001700BD}" done="0">
    <text xml:space="preserve">Base BLT  conforme Projeto
</text>
  </threadedComment>
</ThreadedComments>
</file>

<file path=xl/worksheets/_rels/sheet1.xml.rels><?xml version="1.0" encoding="UTF-8" standalone="yes"?><Relationships xmlns="http://schemas.openxmlformats.org/package/2006/relationships"><Relationship  Id="rId169" Type="http://schemas.openxmlformats.org/officeDocument/2006/relationships/hyperlink" Target="https://www.caixa.gov.br/Downloads/sinapi-cadernos-tecnicos/SINAPI-CT-VALVULAS-PARA-REDES-DE-SANEAMENTO.pdf" TargetMode="External"/><Relationship  Id="rId168" Type="http://schemas.openxmlformats.org/officeDocument/2006/relationships/hyperlink" Target="https://www.caixa.gov.br/Downloads/sinapi-cadernos-tecnicos/SINAPI-CT-VALVULAS-E-REGISTROS-PARA-SISTEMAS-PREDIAIS.pdf" TargetMode="External"/><Relationship  Id="rId165" Type="http://schemas.openxmlformats.org/officeDocument/2006/relationships/hyperlink" Target="https://www.caixa.gov.br/Downloads/sinapi-cadernos-tecnicos/SINAPI-CT-USINAGENS.pdf" TargetMode="External"/><Relationship  Id="rId159" Type="http://schemas.openxmlformats.org/officeDocument/2006/relationships/hyperlink" Target="https://www.caixa.gov.br/Downloads/sinapi-cadernos-tecnicos/SINAPI-CT-TRANSPORTE-DE-MATERIAIS-DENTRO-DO-CANTEIRO-DE-OBRAS.pdf" TargetMode="External"/><Relationship  Id="rId157" Type="http://schemas.openxmlformats.org/officeDocument/2006/relationships/hyperlink" Target="https://www.caixa.gov.br/Downloads/sinapi-cadernos-tecnicos/SINAPI-CT-TRANSPORTE-FLUVIAL-CARGA-E-DESCARGA.pdf" TargetMode="External"/><Relationship  Id="rId166" Type="http://schemas.openxmlformats.org/officeDocument/2006/relationships/hyperlink" Target="https://www.caixa.gov.br/Downloads/sinapi-cadernos-tecnicos/SINAPI-CT-VERGAS-CONTRAVERGAS-E-FIXACAO-DE-ALVENARIA.pdf" TargetMode="External"/><Relationship  Id="rId155" Type="http://schemas.openxmlformats.org/officeDocument/2006/relationships/hyperlink" Target="https://www.caixa.gov.br/Downloads/sinapi-cadernos-tecnicos/SINAPI-CT-TELHAMENTO-PARA-COBERTURA.pdf" TargetMode="External"/><Relationship  Id="rId154" Type="http://schemas.openxmlformats.org/officeDocument/2006/relationships/hyperlink" Target="https://www.caixa.gov.br/Downloads/sinapi-cadernos-tecnicos/SINAPI-CT-SUPRESSAO-VEGETAL.pdf" TargetMode="External"/><Relationship  Id="rId148" Type="http://schemas.openxmlformats.org/officeDocument/2006/relationships/hyperlink" Target="https://www.caixa.gov.br/Downloads/sinapi-cadernos-tecnicos/SINAPI-CT-SINALIZACAO-HORIZONTAL-VIARIA.pdf" TargetMode="External"/><Relationship  Id="rId147" Type="http://schemas.openxmlformats.org/officeDocument/2006/relationships/hyperlink" Target="https://www.caixa.gov.br/Downloads/sinapi-cadernos-tecnicos/SINAPI-CT-REVESTIMENTOS-CERAMICOS-INTERNOS.pdf" TargetMode="External"/><Relationship  Id="rId146" Type="http://schemas.openxmlformats.org/officeDocument/2006/relationships/hyperlink" Target="https://www.caixa.gov.br/Downloads/sinapi-cadernos-tecnicos/SINAPI-CT-REVESTIMENTOS-CERAMICOS-EXTERNOS.pdf" TargetMode="External"/><Relationship  Id="rId145" Type="http://schemas.openxmlformats.org/officeDocument/2006/relationships/hyperlink" Target="https://www.caixa.gov.br/Downloads/sinapi-cadernos-tecnicos/SINAPI-CT-RESERVATORIOS-DE-CONCRETO-E-METALICOS.pdf" TargetMode="External"/><Relationship  Id="rId144" Type="http://schemas.openxmlformats.org/officeDocument/2006/relationships/hyperlink" Target="https://www.caixa.gov.br/Downloads/sinapi-cadernos-tecnicos/SINAPI-CT-REMOCAO-DE-ENTULHO-E-DESCARTE.pdf" TargetMode="External"/><Relationship  Id="rId143" Type="http://schemas.openxmlformats.org/officeDocument/2006/relationships/hyperlink" Target="https://www.caixa.gov.br/Downloads/sinapi-cadernos-tecnicos/SINAPI-CT-REDES-DE-AGUA-E-ESGOTO-EM-PEAD-LISO-(TUBOS-E-CONEXOES).pdf" TargetMode="External"/><Relationship  Id="rId142" Type="http://schemas.openxmlformats.org/officeDocument/2006/relationships/hyperlink" Target="https://www.caixa.gov.br/Downloads/sinapi-cadernos-tecnicos/SINAPI-CT-REDES-DE-LOGICA-TELEFONIA-E-IMAGEM.pdf" TargetMode="External"/><Relationship  Id="rId141" Type="http://schemas.openxmlformats.org/officeDocument/2006/relationships/hyperlink" Target="https://www.caixa.gov.br/Downloads/sinapi-cadernos-tecnicos/SINAPI-CT-REDES-ENTERRADAS-DE-DISTRIBUICAO-ELETRICA.pdf" TargetMode="External"/><Relationship  Id="rId138" Type="http://schemas.openxmlformats.org/officeDocument/2006/relationships/hyperlink" Target="https://www.caixa.gov.br/Downloads/sinapi-cadernos-tecnicos/SINAPI-CT-RADIER-PISO-DE-CONCRETO-E-LAJE-SOBRE-SOLO.pdf" TargetMode="External"/><Relationship  Id="rId135" Type="http://schemas.openxmlformats.org/officeDocument/2006/relationships/hyperlink" Target="https://www.caixa.gov.br/Downloads/sinapi-cadernos-tecnicos/SINAPI-CT-PRODUCAO-DE-CONCRETOS-E-ARGAMASSAS-UTILIZANDO-AGREGADO-RECICLADO.pdf" TargetMode="External"/><Relationship  Id="rId153" Type="http://schemas.openxmlformats.org/officeDocument/2006/relationships/hyperlink" Target="https://www.caixa.gov.br/Downloads/sinapi-cadernos-tecnicos/SINAPI-CT-SOLDA-DE-TOPO-EM-ELEMENTOS-DE-ACO.pdf" TargetMode="External"/><Relationship  Id="rId132" Type="http://schemas.openxmlformats.org/officeDocument/2006/relationships/hyperlink" Target="https://www.caixa.gov.br/Downloads/sinapi-cadernos-tecnicos/SINAPI-CT-POSTES-DE-CONCRETO-E-METALICOS.pdf" TargetMode="External"/><Relationship  Id="rId131" Type="http://schemas.openxmlformats.org/officeDocument/2006/relationships/hyperlink" Target="https://www.caixa.gov.br/Downloads/sinapi-cadernos-tecnicos/SINAPI-CT-PISOS.pdf" TargetMode="External"/><Relationship  Id="rId130" Type="http://schemas.openxmlformats.org/officeDocument/2006/relationships/hyperlink" Target="https://www.caixa.gov.br/Downloads/sinapi-cadernos-tecnicos/SINAPI-CT-PINTURA-PARA-PISOS-E-PARA-SINALIZACAO-HORIZONTAL-E-VERTICAL.pdf" TargetMode="External"/><Relationship  Id="rId161" Type="http://schemas.openxmlformats.org/officeDocument/2006/relationships/hyperlink" Target="https://www.caixa.gov.br/Downloads/sinapi-cadernos-tecnicos/SINAPI-CT-TRATAMENTOS-SUPERFICIAIS.pdf" TargetMode="External"/><Relationship  Id="rId129" Type="http://schemas.openxmlformats.org/officeDocument/2006/relationships/hyperlink" Target="https://www.caixa.gov.br/Downloads/sinapi-cadernos-tecnicos/SINAPI-CT-PINTURA-EM-SUPERFICIES-METALICAS.pdf" TargetMode="External"/><Relationship  Id="rId123" Type="http://schemas.openxmlformats.org/officeDocument/2006/relationships/hyperlink" Target="https://www.caixa.gov.br/Downloads/sinapi-cadernos-tecnicos/SINAPI-CT-PELE-DE-VIDRO-EM-FACHADAS.pdf" TargetMode="External"/><Relationship  Id="rId122" Type="http://schemas.openxmlformats.org/officeDocument/2006/relationships/hyperlink" Target="https://www.caixa.gov.br/Downloads/sinapi-cadernos-tecnicos/SINAPI-CT-PEITORIS-E-CHAPINS.pdf" TargetMode="External"/><Relationship  Id="rId120" Type="http://schemas.openxmlformats.org/officeDocument/2006/relationships/hyperlink" Target="https://www.caixa.gov.br/Downloads/sinapi-cadernos-tecnicos/SINAPI-CT-PAVIMENTO-INTERTRAVADO.pdf" TargetMode="External"/><Relationship  Id="rId115" Type="http://schemas.openxmlformats.org/officeDocument/2006/relationships/hyperlink" Target="https://www.caixa.gov.br/Downloads/sinapi-cadernos-tecnicos/SINAPI-CT-PAREDES-DE-CONCRETO-FORMAS.pdf" TargetMode="External"/><Relationship  Id="rId113" Type="http://schemas.openxmlformats.org/officeDocument/2006/relationships/hyperlink" Target="https://www.caixa.gov.br/Downloads/sinapi-cadernos-tecnicos/SINAPI-CT-PAREDES-DE-CONCRETO-CONCRETAGEM.pdf" TargetMode="External"/><Relationship  Id="rId112" Type="http://schemas.openxmlformats.org/officeDocument/2006/relationships/hyperlink" Target="https://www.caixa.gov.br/Downloads/sinapi-cadernos-tecnicos/SINAPI-CT-PAREDES-DE-CONCRETO-ARMACAO.pdf" TargetMode="External"/><Relationship  Id="rId134" Type="http://schemas.openxmlformats.org/officeDocument/2006/relationships/hyperlink" Target="https://www.caixa.gov.br/Downloads/sinapi-cadernos-tecnicos/SINAPI-CT-PRODUCAO-DE-CONCRETO.pdf" TargetMode="External"/><Relationship  Id="rId106" Type="http://schemas.openxmlformats.org/officeDocument/2006/relationships/hyperlink" Target="https://www.caixa.gov.br/Downloads/sinapi-cadernos-tecnicos/SINAPI-CT-MASSA-UNICA-INTERNA.pdf" TargetMode="External"/><Relationship  Id="rId116" Type="http://schemas.openxmlformats.org/officeDocument/2006/relationships/hyperlink" Target="https://www.caixa.gov.br/Downloads/sinapi-cadernos-tecnicos/SINAPI-CT-PAREDES-EM-DRYWALL.pdf" TargetMode="External"/><Relationship  Id="rId102" Type="http://schemas.openxmlformats.org/officeDocument/2006/relationships/hyperlink" Target="https://www.caixa.gov.br/Downloads/sinapi-cadernos-tecnicos/SINAPI-CT-LOCACAO-DE-OBRAS.pdf" TargetMode="External"/><Relationship  Id="rId101" Type="http://schemas.openxmlformats.org/officeDocument/2006/relationships/hyperlink" Target="https://www.caixa.gov.br/Downloads/sinapi-metodologia/Livro_SINAPI_Calculos_Parametros.pdf" TargetMode="External"/><Relationship  Id="rId100" Type="http://schemas.openxmlformats.org/officeDocument/2006/relationships/hyperlink" Target="https://www.caixa.gov.br/Downloads/sinapi-cadernos-tecnicos/SINAPI-CT-LIMPEZA-DE-OBRA.pdf" TargetMode="External"/><Relationship  Id="rId99" Type="http://schemas.openxmlformats.org/officeDocument/2006/relationships/hyperlink" Target="https://www.caixa.gov.br/Downloads/sinapi-cadernos-tecnicos/SINAPI-CT-LIGACOES-PREDIAIS-DE-AGUA-E-ESGOTO.pdf" TargetMode="External"/><Relationship  Id="rId98" Type="http://schemas.openxmlformats.org/officeDocument/2006/relationships/hyperlink" Target="https://www.caixa.gov.br/Downloads/sinapi-cadernos-tecnicos/SINAPI-CT-LASTRO.pdf" TargetMode="External"/><Relationship  Id="rId97" Type="http://schemas.openxmlformats.org/officeDocument/2006/relationships/hyperlink" Target="https://www.caixa.gov.br/Downloads/sinapi-cadernos-tecnicos/SINAPI-CT-LAJES-PRE-MOLDADAS.pdf" TargetMode="External"/><Relationship  Id="rId96" Type="http://schemas.openxmlformats.org/officeDocument/2006/relationships/hyperlink" Target="https://www.caixa.gov.br/Downloads/sinapi-cadernos-tecnicos/SINAPI-CT-INSTALACOES-PARA-CANTEIROS-DE-OBRAS.pdf" TargetMode="External"/><Relationship  Id="rId95" Type="http://schemas.openxmlformats.org/officeDocument/2006/relationships/hyperlink" Target="https://www.caixa.gov.br/Downloads/sinapi-cadernos-tecnicos/SINAPI-CT-INSTALACOES-EM-COBRE.pdf" TargetMode="External"/><Relationship  Id="rId93" Type="http://schemas.openxmlformats.org/officeDocument/2006/relationships/hyperlink" Target="https://www.caixa.gov.br/Downloads/sinapi-cadernos-tecnicos/SINAPI-CT-INSTALACOES-DE-AR-CONDICIONADO.pdf" TargetMode="External"/><Relationship  Id="rId124" Type="http://schemas.openxmlformats.org/officeDocument/2006/relationships/hyperlink" Target="https://www.caixa.gov.br/Downloads/sinapi-cadernos-tecnicos/SINAPI-CT-PENEIRAMENTO-E-ENSACAMENTO-DE-AREIA-EM-OBRA.pdf" TargetMode="External"/><Relationship  Id="rId89" Type="http://schemas.openxmlformats.org/officeDocument/2006/relationships/hyperlink" Target="https://www.caixa.gov.br/Downloads/sinapi-cadernos-tecnicos/SINAPI-CT-INSTALACOES-PREDIAIS-DE-AGUAS-PLUVIAIS-TUBOS-CONEXOES-CAIXAS-E-RALOS.pdf" TargetMode="External"/><Relationship  Id="rId88" Type="http://schemas.openxmlformats.org/officeDocument/2006/relationships/hyperlink" Target="https://www.caixa.gov.br/Downloads/sinapi-cadernos-tecnicos/SINAPI-CT-INSTALACOES-PREDIAIS-DE-AGUA-QUENTE-EM-CPVC.pdf" TargetMode="External"/><Relationship  Id="rId87" Type="http://schemas.openxmlformats.org/officeDocument/2006/relationships/hyperlink" Target="https://www.caixa.gov.br/Downloads/sinapi-cadernos-tecnicos/SINAPI-CT-INSTALACOES-PREDIAIS-DE-AGUA-FRIA-EM-PVC.pdf" TargetMode="External"/><Relationship  Id="rId84" Type="http://schemas.openxmlformats.org/officeDocument/2006/relationships/hyperlink" Target="https://www.caixa.gov.br/Downloads/sinapi-cadernos-tecnicos/SINAPI-CT-INSTALACOES-HIDRAULICAS-EM-PPR.pdf" TargetMode="External"/><Relationship  Id="rId82" Type="http://schemas.openxmlformats.org/officeDocument/2006/relationships/hyperlink" Target="https://www.caixa.gov.br/Downloads/sinapi-cadernos-tecnicos/SINAPI-CT-INSTALACOES-HIDRAULICAS-RESERVACAO-E-BOMBAS-DE-RECALQUE.pdf" TargetMode="External"/><Relationship  Id="rId81" Type="http://schemas.openxmlformats.org/officeDocument/2006/relationships/hyperlink" Target="https://www.caixa.gov.br/Downloads/sinapi-cadernos-tecnicos/SINAPI-CT-INSTALACOES-ELETRICAS-REDE-DE-DISTRIBUICAO.pdf" TargetMode="External"/><Relationship  Id="rId75" Type="http://schemas.openxmlformats.org/officeDocument/2006/relationships/hyperlink" Target="https://www.caixa.gov.br/Downloads/sinapi-cadernos-tecnicos/SINAPI-CT-GUIAS-E-SARJETAS.pdf" TargetMode="External"/><Relationship  Id="rId71" Type="http://schemas.openxmlformats.org/officeDocument/2006/relationships/hyperlink" Target="https://www.caixa.gov.br/Downloads/sinapi-cadernos-tecnicos/SINAPI-CT-GEODRENOS-VERTICAIS.pdf" TargetMode="External"/><Relationship  Id="rId69" Type="http://schemas.openxmlformats.org/officeDocument/2006/relationships/hyperlink" Target="https://www.caixa.gov.br/Downloads/sinapi-cadernos-tecnicos/SINAPI-CT-GABIOES-EXECUCAO-DE-MURO-E-PROTECAO-SUPERFICIAL.pdf" TargetMode="External"/><Relationship  Id="rId104" Type="http://schemas.openxmlformats.org/officeDocument/2006/relationships/hyperlink" Target="https://www.caixa.gov.br/Downloads/sinapi-cadernos-tecnicos/SINAPI-CT-LUMINARIAS-EXTERNAS.pdf" TargetMode="External"/><Relationship  Id="rId68" Type="http://schemas.openxmlformats.org/officeDocument/2006/relationships/hyperlink" Target="https://www.caixa.gov.br/Downloads/sinapi-cadernos-tecnicos/SINAPI-CT-FORMAS-PARA-PILARES-CIRCULARES.pdf" TargetMode="External"/><Relationship  Id="rId67" Type="http://schemas.openxmlformats.org/officeDocument/2006/relationships/hyperlink" Target="https://www.caixa.gov.br/Downloads/sinapi-cadernos-tecnicos/SINAPI-CT-FORMAS-PARA-ESTRUTURAS-DE-CONCRETO-ARMADO.pdf" TargetMode="External"/><Relationship  Id="rId66" Type="http://schemas.openxmlformats.org/officeDocument/2006/relationships/hyperlink" Target="https://www.caixa.gov.br/Downloads/sinapi-cadernos-tecnicos/SINAPI-CT-FORMAS-CURVAS-PARA-PAREDES-DE-RESERVATORIOS-DE-CONCRETO.pdf" TargetMode="External"/><Relationship  Id="rId119" Type="http://schemas.openxmlformats.org/officeDocument/2006/relationships/hyperlink" Target="https://www.caixa.gov.br/Downloads/sinapi-cadernos-tecnicos/SINAPI-CT-PAVIMENTACOES-DIVERSAS-PARALELEPIPEDOS-E-PEDRAS-POLIEDRICAS.pdf" TargetMode="External"/><Relationship  Id="rId85" Type="http://schemas.openxmlformats.org/officeDocument/2006/relationships/hyperlink" Target="https://www.caixa.gov.br/Downloads/sinapi-cadernos-tecnicos/SINAPI-CT-INSTALACOES-PREDIAIS-DE-ESGOTO-CAIXAS-E-RALOS.pdf" TargetMode="External"/><Relationship  Id="rId65" Type="http://schemas.openxmlformats.org/officeDocument/2006/relationships/hyperlink" Target="https://www.caixa.gov.br/Downloads/sinapi-cadernos-tecnicos/SINAPI-CT-FUNDACOES-RASAS-(BLOCOS-SAPATAS-VIGAS-BALDRAME).pdf" TargetMode="External"/><Relationship  Id="rId60" Type="http://schemas.openxmlformats.org/officeDocument/2006/relationships/hyperlink" Target="https://www.caixa.gov.br/Downloads/sinapi-cadernos-tecnicos/SINAPI-CT-EXECUCAO-DE-GRAMPO-PARA-SOLO-GRAMPEADO.pdf" TargetMode="External"/><Relationship  Id="rId128" Type="http://schemas.openxmlformats.org/officeDocument/2006/relationships/hyperlink" Target="https://www.caixa.gov.br/Downloads/sinapi-cadernos-tecnicos/SINAPI-CT-PINTURA-EM-MADEIRA.pdf" TargetMode="External"/><Relationship  Id="rId162" Type="http://schemas.openxmlformats.org/officeDocument/2006/relationships/hyperlink" Target="https://www.caixa.gov.br/Downloads/sinapi-cadernos-tecnicos/SINAPI-CT-TUBULACAO-FLANGEADA-PARA-REDES-DE-AGUA.pdf" TargetMode="External"/><Relationship  Id="rId83" Type="http://schemas.openxmlformats.org/officeDocument/2006/relationships/hyperlink" Target="https://www.caixa.gov.br/Downloads/sinapi-cadernos-tecnicos/SINAPI-CT-INSTALACOES-HIDRAULICAS-EM-PEX.pdf" TargetMode="External"/><Relationship  Id="rId126" Type="http://schemas.openxmlformats.org/officeDocument/2006/relationships/hyperlink" Target="https://www.caixa.gov.br/Downloads/sinapi-cadernos-tecnicos/SINAPI-CT-PINTURA-EXTERNA.pdf" TargetMode="External"/><Relationship  Id="rId59" Type="http://schemas.openxmlformats.org/officeDocument/2006/relationships/hyperlink" Target="https://www.caixa.gov.br/Downloads/sinapi-cadernos-tecnicos/SINAPI-CT-ESTRUTURAS-DE-MADEIRA.pdf" TargetMode="External"/><Relationship  Id="rId63" Type="http://schemas.openxmlformats.org/officeDocument/2006/relationships/hyperlink" Target="https://www.caixa.gov.br/Downloads/sinapi-cadernos-tecnicos/SINAPI-CT-FORROS.pdf" TargetMode="External"/><Relationship  Id="rId57" Type="http://schemas.openxmlformats.org/officeDocument/2006/relationships/hyperlink" Target="https://www.caixa.gov.br/Downloads/sinapi-cadernos-tecnicos/SINAPI-CT-ESTRUTURAS-DE-CONTENCAO-ESTACAS-PAREDES-DIAFRAGMA-E-MURETA-GUIA.pdf" TargetMode="External"/><Relationship  Id="rId56" Type="http://schemas.openxmlformats.org/officeDocument/2006/relationships/hyperlink" Target="https://www.caixa.gov.br/Downloads/sinapi-cadernos-tecnicos/SINAPI-CT-ESTRUTURAS-PRE-FABRICADAS-E-PRE-MOLDADAS.pdf" TargetMode="External"/><Relationship  Id="rId91" Type="http://schemas.openxmlformats.org/officeDocument/2006/relationships/hyperlink" Target="https://www.caixa.gov.br/Downloads/sinapi-cadernos-tecnicos/SINAPI-CT-INSTALACOES-DE-GAS-E-INCENDIO-EM-ACO-E-FERRO-GALVANIZADO.pdf" TargetMode="External"/><Relationship  Id="rId51" Type="http://schemas.openxmlformats.org/officeDocument/2006/relationships/hyperlink" Target="https://www.caixa.gov.br/Downloads/sinapi-cadernos-tecnicos/SINAPI-CT-ESTACAS-METALICAS.pdf" TargetMode="External"/><Relationship  Id="rId55" Type="http://schemas.openxmlformats.org/officeDocument/2006/relationships/hyperlink" Target="https://www.caixa.gov.br/Downloads/sinapi-cadernos-tecnicos/SINAPI-CT-ESTRUTURA-E-TRAMA-PARA-COBERTURA.pdf" TargetMode="External"/><Relationship  Id="rId48" Type="http://schemas.openxmlformats.org/officeDocument/2006/relationships/hyperlink" Target="https://www.caixa.gov.br/Downloads/sinapi-cadernos-tecnicos/SINAPI-CT-ESQUADRIAS-PORTAS.pdf" TargetMode="External"/><Relationship  Id="rId103" Type="http://schemas.openxmlformats.org/officeDocument/2006/relationships/hyperlink" Target="https://www.caixa.gov.br/Downloads/sinapi-cadernos-tecnicos/SINAPI-CT-LOUCAS-E-METAIS.pdf" TargetMode="External"/><Relationship  Id="rId47" Type="http://schemas.openxmlformats.org/officeDocument/2006/relationships/hyperlink" Target="https://www.caixa.gov.br/Downloads/sinapi-cadernos-tecnicos/SINAPI-CT-ESQUADRIAS-JANELAS.pdf" TargetMode="External"/><Relationship  Id="rId78" Type="http://schemas.openxmlformats.org/officeDocument/2006/relationships/hyperlink" Target="https://www.caixa.gov.br/Downloads/sinapi-cadernos-tecnicos/SINAPI-CT-INSTALACOES-ELETRICAS-ELETRODUTOS-EMBUTIDOS-CABOS-CAIXAS-TOMADAS-E-INTERRUPTORES.pdf" TargetMode="External"/><Relationship  Id="rId45" Type="http://schemas.openxmlformats.org/officeDocument/2006/relationships/hyperlink" Target="https://www.caixa.gov.br/Downloads/sinapi-cadernos-tecnicos/SINAPI-CT-ESCORAMENTO-E-PREPARO-DE-FUNDO-DE-VALAS.pdf" TargetMode="External"/><Relationship  Id="rId64" Type="http://schemas.openxmlformats.org/officeDocument/2006/relationships/hyperlink" Target="https://www.caixa.gov.br/Downloads/sinapi-cadernos-tecnicos/SINAPI-CT-FOSSAS-E-SUMIDOUROS.pdf" TargetMode="External"/><Relationship  Id="rId44" Type="http://schemas.openxmlformats.org/officeDocument/2006/relationships/hyperlink" Target="https://www.caixa.gov.br/Downloads/sinapi-cadernos-tecnicos/SINAPI-CT-ESCAVACAO-EM-MATERIAL-DE-3&#170;-CATEGORIA.pdf" TargetMode="External"/><Relationship  Id="rId70" Type="http://schemas.openxmlformats.org/officeDocument/2006/relationships/hyperlink" Target="https://www.caixa.gov.br/Downloads/sinapi-cadernos-tecnicos/SINAPI-CT-GALERIAS-COM-ADUELAS-DE-CONCRETO.pdf" TargetMode="External"/><Relationship  Id="rId118" Type="http://schemas.openxmlformats.org/officeDocument/2006/relationships/hyperlink" Target="https://www.caixa.gov.br/Downloads/sinapi-cadernos-tecnicos/SINAPI-CT-PASSEIOS-DE-CONCRETO.pdf" TargetMode="External"/><Relationship  Id="rId62" Type="http://schemas.openxmlformats.org/officeDocument/2006/relationships/hyperlink" Target="https://www.caixa.gov.br/Downloads/sinapi-cadernos-tecnicos/SINAPI-CT-FACHADAS-COM-PLACAS-CERAMICAS-E-GRANITO-INSERTADAS.pdf" TargetMode="External"/><Relationship  Id="rId74" Type="http://schemas.openxmlformats.org/officeDocument/2006/relationships/hyperlink" Target="https://www.caixa.gov.br/Downloads/sinapi-cadernos-tecnicos/SINAPI-CT-GUARDA-CORPO-CORRIMAO-E-GRADE-PARA-ESQUADRIAS.pdf" TargetMode="External"/><Relationship  Id="rId49" Type="http://schemas.openxmlformats.org/officeDocument/2006/relationships/hyperlink" Target="https://www.caixa.gov.br/Downloads/sinapi-cadernos-tecnicos/SINAPI-CT-ESTACAS-BROCA-STRAUSS-E-ESCAVADA-COM-FLUIDO-ESTABILIZANTE.pdf" TargetMode="External"/><Relationship  Id="rId127" Type="http://schemas.openxmlformats.org/officeDocument/2006/relationships/hyperlink" Target="https://www.caixa.gov.br/Downloads/sinapi-cadernos-tecnicos/SINAPI-CT-PINTURA-INTERNA.pdf" TargetMode="External"/><Relationship  Id="rId43" Type="http://schemas.openxmlformats.org/officeDocument/2006/relationships/hyperlink" Target="https://www.caixa.gov.br/Downloads/sinapi-cadernos-tecnicos/SINAPI-CT-ESCAVACAO-DE-VALAS.pdf" TargetMode="External"/><Relationship  Id="rId167" Type="http://schemas.openxmlformats.org/officeDocument/2006/relationships/hyperlink" Target="https://www.caixa.gov.br/Downloads/sinapi-cadernos-tecnicos/SINAPI-CT-VIDROS-E-ESPELHOS.pdf" TargetMode="External"/><Relationship  Id="rId42" Type="http://schemas.openxmlformats.org/officeDocument/2006/relationships/hyperlink" Target="https://www.caixa.gov.br/Downloads/sinapi-cadernos-tecnicos/SINAPI-CT-ESCAVACAO-VERTICAL-A-CEU-ABERTO.pdf" TargetMode="External"/><Relationship  Id="rId133" Type="http://schemas.openxmlformats.org/officeDocument/2006/relationships/hyperlink" Target="https://www.caixa.gov.br/Downloads/sinapi-cadernos-tecnicos/SINAPI-CT-POCOS-DE-VISITA-E-CAIXAS-PARA-BOCAS-DE-LOBO.pdf" TargetMode="External"/><Relationship  Id="rId40" Type="http://schemas.openxmlformats.org/officeDocument/2006/relationships/hyperlink" Target="https://www.caixa.gov.br/Downloads/sinapi-cadernos-tecnicos/SINAPI-CT-ESCADAS.pdf" TargetMode="External"/><Relationship  Id="rId90" Type="http://schemas.openxmlformats.org/officeDocument/2006/relationships/hyperlink" Target="https://www.caixa.gov.br/Downloads/sinapi-cadernos-tecnicos/SINAPI-CT-INSTALACOES-DE-DIVISORIAS-DIVERSAS.pdf" TargetMode="External"/><Relationship  Id="rId94" Type="http://schemas.openxmlformats.org/officeDocument/2006/relationships/hyperlink" Target="https://www.caixa.gov.br/Downloads/sinapi-cadernos-tecnicos/SINAPI-CT-INSTALACOES-DE-AR-CONDICIONADO-EM-COBRE.pdf" TargetMode="External"/><Relationship  Id="rId39" Type="http://schemas.openxmlformats.org/officeDocument/2006/relationships/hyperlink" Target="https://www.caixa.gov.br/Downloads/sinapi-cadernos-tecnicos/SINAPI-CT-EQUIPAMENTOS-DE-PROTECAO-COLETIVA.pdf" TargetMode="External"/><Relationship  Id="rId79" Type="http://schemas.openxmlformats.org/officeDocument/2006/relationships/hyperlink" Target="https://www.caixa.gov.br/Downloads/sinapi-cadernos-tecnicos/SINAPI-CT-INSTALACOES-ELETRICAS-ELETRODUTOS-CONEXOES-E-CONDULETES-APARENTES.pdf" TargetMode="External"/><Relationship  Id="rId38" Type="http://schemas.openxmlformats.org/officeDocument/2006/relationships/hyperlink" Target="https://www.caixa.gov.br/Downloads/sinapi-cadernos-tecnicos/SINAPI-CT-ENERGIA-SOLAR-PARA-EDIFICACOES.pdf" TargetMode="External"/><Relationship  Id="rId54" Type="http://schemas.openxmlformats.org/officeDocument/2006/relationships/hyperlink" Target="https://www.caixa.gov.br/Downloads/sinapi-cadernos-tecnicos/SINAPI-CT-ESTACAS-EM-HELICE-CONTINUA.pdf" TargetMode="External"/><Relationship  Id="rId41" Type="http://schemas.openxmlformats.org/officeDocument/2006/relationships/hyperlink" Target="https://www.caixa.gov.br/Downloads/sinapi-cadernos-tecnicos/SINAPI-CT-ESCAVACAO-HORIZONTAL.pdf" TargetMode="External"/><Relationship  Id="rId36" Type="http://schemas.openxmlformats.org/officeDocument/2006/relationships/hyperlink" Target="https://www.caixa.gov.br/Downloads/sinapi-cadernos-tecnicos/SINAPI-CT-DRENOS.pdf" TargetMode="External"/><Relationship  Id="rId139" Type="http://schemas.openxmlformats.org/officeDocument/2006/relationships/hyperlink" Target="https://www.caixa.gov.br/Downloads/sinapi-cadernos-tecnicos/SINAPI-CT-RASGOS-E-FIXACOES.pdf" TargetMode="External"/><Relationship  Id="rId35" Type="http://schemas.openxmlformats.org/officeDocument/2006/relationships/hyperlink" Target="https://www.caixa.gov.br/Downloads/sinapi-cadernos-tecnicos/SINAPI-CT-DRENAGEM-DE-AR-CONDICIONADO.pdf" TargetMode="External"/><Relationship  Id="rId80" Type="http://schemas.openxmlformats.org/officeDocument/2006/relationships/hyperlink" Target="https://www.caixa.gov.br/Downloads/sinapi-cadernos-tecnicos/SINAPI-CT-INSTALACOES-ELETRICAS-QUADROS-CABOS-DISJUNTORES-CONTATORES-E-BARRAMENTOS-BLINDADOS.pdf" TargetMode="External"/><Relationship  Id="rId107" Type="http://schemas.openxmlformats.org/officeDocument/2006/relationships/hyperlink" Target="https://www.caixa.gov.br/Downloads/sinapi-cadernos-tecnicos/SINAPI-CT-MOBILIZACAO-E-DESMOBILIZACAO-DE-EQUIPAMENTOS-PESADOS.pdf" TargetMode="External"/><Relationship  Id="rId137" Type="http://schemas.openxmlformats.org/officeDocument/2006/relationships/hyperlink" Target="https://www.caixa.gov.br/Downloads/sinapi-cadernos-tecnicos/SINAPI-CT-QUADROS-DE-AUTOMACAO-DE-BOMBAS.pdf" TargetMode="External"/><Relationship  Id="rId34" Type="http://schemas.openxmlformats.org/officeDocument/2006/relationships/hyperlink" Target="https://www.caixa.gov.br/Downloads/sinapi-cadernos-tecnicos/SINAPI-CT-DRENAGEM-COM-GEOCOMPOSTOS.pdf" TargetMode="External"/><Relationship  Id="rId58" Type="http://schemas.openxmlformats.org/officeDocument/2006/relationships/hyperlink" Target="https://www.caixa.gov.br/Downloads/sinapi-cadernos-tecnicos/SINAPI-CT-ESTRUTURAS-DE-CONTENCAO-PERFIS-PRANCHADOS-CORTINAS-E-MUROS-DE-ARRIMO.pdf" TargetMode="External"/><Relationship  Id="rId33" Type="http://schemas.openxmlformats.org/officeDocument/2006/relationships/hyperlink" Target="https://www.caixa.gov.br/Downloads/sinapi-cadernos-tecnicos/SINAPI-CT-DRAGAGEM.pdf" TargetMode="External"/><Relationship  Id="rId29" Type="http://schemas.openxmlformats.org/officeDocument/2006/relationships/hyperlink" Target="https://www.caixa.gov.br/Downloads/sinapi-cadernos-tecnicos/SINAPI-CT-DEMOLICOES-E-REMOCOES.pdf" TargetMode="External"/><Relationship  Id="rId28" Type="http://schemas.openxmlformats.org/officeDocument/2006/relationships/hyperlink" Target="https://www.caixa.gov.br/Downloads/sinapi-cadernos-tecnicos/SINAPI-CT-CUSTOS-HORARIOS-PRODUTIVO-E-IMPRODUTIVO-DOS-EQUIPAMENTOS.pdf" TargetMode="External"/><Relationship  Id="rId27" Type="http://schemas.openxmlformats.org/officeDocument/2006/relationships/hyperlink" Target="https://www.caixa.gov.br/Downloads/sinapi-cadernos-tecnicos/SINAPI-CT-CONTRAPISO.pdf" TargetMode="External"/><Relationship  Id="rId52" Type="http://schemas.openxmlformats.org/officeDocument/2006/relationships/hyperlink" Target="https://www.caixa.gov.br/Downloads/sinapi-cadernos-tecnicos/SINAPI-CT-ESTACAS-PRE-MOLDADAS.pdf" TargetMode="External"/><Relationship  Id="rId23" Type="http://schemas.openxmlformats.org/officeDocument/2006/relationships/hyperlink" Target="https://www.caixa.gov.br/Downloads/sinapi-cadernos-tecnicos/SINAPI-CT-CHAPISCO.pdf" TargetMode="External"/><Relationship  Id="rId149" Type="http://schemas.openxmlformats.org/officeDocument/2006/relationships/hyperlink" Target="https://www.caixa.gov.br/Downloads/sinapi-cadernos-tecnicos/SINAPI-CT-SINALIZACAO-VERTICAL-VIARIA.pdf" TargetMode="External"/><Relationship  Id="rId61" Type="http://schemas.openxmlformats.org/officeDocument/2006/relationships/hyperlink" Target="https://www.caixa.gov.br/Downloads/sinapi-cadernos-tecnicos/SINAPI-CT-EXECUCAO-DE-TIRANTES.pdf" TargetMode="External"/><Relationship  Id="rId22" Type="http://schemas.openxmlformats.org/officeDocument/2006/relationships/hyperlink" Target="https://www.caixa.gov.br/Downloads/sinapi-cadernos-tecnicos/SINAPI-CT-CERCAS-PROTETORES-E-ALAMBRADOS.pdf" TargetMode="External"/><Relationship  Id="rId76" Type="http://schemas.openxmlformats.org/officeDocument/2006/relationships/hyperlink" Target="https://www.caixa.gov.br/Downloads/sinapi-cadernos-tecnicos/SINAPI-CT-ILUMINACAO-PREDIAL-E-MONITORAMENTO.pdf" TargetMode="External"/><Relationship  Id="rId21" Type="http://schemas.openxmlformats.org/officeDocument/2006/relationships/hyperlink" Target="https://www.caixa.gov.br/Downloads/sinapi-cadernos-tecnicos/SINAPI-CT-CANALETAS-GRELHAS-E-CAIXAS-COM-GRELHA-PARA-DRENAGEM.pdf" TargetMode="External"/><Relationship  Id="rId25" Type="http://schemas.openxmlformats.org/officeDocument/2006/relationships/hyperlink" Target="https://www.caixa.gov.br/Downloads/sinapi-cadernos-tecnicos/SINAPI-CT-CONCRETO-PROJETADO.pdf" TargetMode="External"/><Relationship  Id="rId13" Type="http://schemas.openxmlformats.org/officeDocument/2006/relationships/hyperlink" Target="https://www.caixa.gov.br/Downloads/sinapi-cadernos-tecnicos/SINAPI-CT-ASSENTAMENTO-DE-TUBOS-DE-ESGOTO-OU-DRENAGEM-PLUVIAL-EM-CONCRETO.pdf" TargetMode="External"/><Relationship  Id="rId50" Type="http://schemas.openxmlformats.org/officeDocument/2006/relationships/hyperlink" Target="https://www.caixa.gov.br/Downloads/sinapi-cadernos-tecnicos/SINAPI-CT-ESTACAS-ESCAVADAS-SEM-FLUIDO-ESTABILIZANTE.pdf" TargetMode="External"/><Relationship  Id="rId11" Type="http://schemas.openxmlformats.org/officeDocument/2006/relationships/hyperlink" Target="https://www.caixa.gov.br/Downloads/sinapi-cadernos-tecnicos/SINAPI-CT-ASSENTAMENTO-DE-TUBOS-DE-ESGOTO-EM-PVC-E-PEAD.pdf" TargetMode="External"/><Relationship  Id="rId24" Type="http://schemas.openxmlformats.org/officeDocument/2006/relationships/hyperlink" Target="https://www.caixa.gov.br/Downloads/sinapi-cadernos-tecnicos/SINAPI-CT-CONCRETAGEM-PARA-ESTRUTURAS-DE-CONCRETO-ARMADO.pdf" TargetMode="External"/><Relationship  Id="rId164" Type="http://schemas.openxmlformats.org/officeDocument/2006/relationships/hyperlink" Target="https://www.caixa.gov.br/Downloads/sinapi-cadernos-tecnicos/SINAPI-CT-TUNNEL-LINER.pdf" TargetMode="External"/><Relationship  Id="rId17" Type="http://schemas.openxmlformats.org/officeDocument/2006/relationships/hyperlink" Target="https://www.caixa.gov.br/Downloads/sinapi-cadernos-tecnicos/SINAPI-CT-BOMBAS-HIDRAULICAS-CENTRIFUGAS-HORIZONTAIS-E-SUBMERSIVEIS.pdf" TargetMode="External"/><Relationship  Id="rId10" Type="http://schemas.openxmlformats.org/officeDocument/2006/relationships/hyperlink" Target="https://www.caixa.gov.br/Downloads/sinapi-cadernos-tecnicos/SINAPI-CT-ASFALTO.pdf" TargetMode="External"/><Relationship  Id="rId151" Type="http://schemas.openxmlformats.org/officeDocument/2006/relationships/hyperlink" Target="https://www.caixa.gov.br/Downloads/sinapi-cadernos-tecnicos/SINAPI-CT-SISTEMAS-HOSPITALARES-PONTOS-DE-CONSUMO.pdf" TargetMode="External"/><Relationship  Id="rId18" Type="http://schemas.openxmlformats.org/officeDocument/2006/relationships/hyperlink" Target="https://www.caixa.gov.br/Downloads/sinapi-cadernos-tecnicos/SINAPI-CT-BRISES.pdf" TargetMode="External"/><Relationship  Id="rId26" Type="http://schemas.openxmlformats.org/officeDocument/2006/relationships/hyperlink" Target="https://www.caixa.gov.br/Downloads/sinapi-cadernos-tecnicos/SINAPI-CT-CONCRETO-PROTENDIDO.pdf" TargetMode="External"/><Relationship  Id="rId86" Type="http://schemas.openxmlformats.org/officeDocument/2006/relationships/hyperlink" Target="https://www.caixa.gov.br/Downloads/sinapi-cadernos-tecnicos/SINAPI-CT-INSTALACOES-PREDIAIS-DE-ESGOTO-TUBOS-E-CONEXOES.pdf" TargetMode="External"/><Relationship  Id="rId156" Type="http://schemas.openxmlformats.org/officeDocument/2006/relationships/hyperlink" Target="https://www.caixa.gov.br/Downloads/sinapi-cadernos-tecnicos/SINAPI-CT-TRANSFORMADORES.pdf" TargetMode="External"/><Relationship  Id="rId53" Type="http://schemas.openxmlformats.org/officeDocument/2006/relationships/hyperlink" Target="https://www.caixa.gov.br/Downloads/sinapi-cadernos-tecnicos/SINAPI-CT-ESTACAS-RAIZ.pdf" TargetMode="External"/><Relationship  Id="rId111" Type="http://schemas.openxmlformats.org/officeDocument/2006/relationships/hyperlink" Target="https://www.caixa.gov.br/Downloads/sinapi-cadernos-tecnicos/SINAPI-CT-PAISAGISMO-PLANTIO.pdf" TargetMode="External"/><Relationship  Id="rId15" Type="http://schemas.openxmlformats.org/officeDocument/2006/relationships/hyperlink" Target="https://www.caixa.gov.br/Downloads/sinapi-cadernos-tecnicos/SINAPI-CT-ATERROS-BASES-SUB-BASES-E-IMPRIMACOES.pdf" TargetMode="External"/><Relationship  Id="rId9" Type="http://schemas.openxmlformats.org/officeDocument/2006/relationships/hyperlink" Target="https://www.caixa.gov.br/Downloads/sinapi-cadernos-tecnicos/SINAPI-CT-ARRASAMENTO-DE-ESTACAS.pdf" TargetMode="External"/><Relationship  Id="rId152" Type="http://schemas.openxmlformats.org/officeDocument/2006/relationships/hyperlink" Target="https://www.caixa.gov.br/Downloads/sinapi-cadernos-tecnicos/SINAPI-CT-SISTEMAS-DE-MEDICAO.pdf" TargetMode="External"/><Relationship  Id="rId8" Type="http://schemas.openxmlformats.org/officeDocument/2006/relationships/hyperlink" Target="https://www.caixa.gov.br/Downloads/sinapi-cadernos-tecnicos/SINAPI-CT-ARMACAO-PARA-ESTRUTURAS-DE-CONCRETO-ARMADO.pdf" TargetMode="External"/><Relationship  Id="rId20" Type="http://schemas.openxmlformats.org/officeDocument/2006/relationships/hyperlink" Target="https://www.caixa.gov.br/Downloads/sinapi-cadernos-tecnicos/SINAPI-CT-CAIXAS-DE-AGUA-PARA-EDIFICACOES.pdf" TargetMode="External"/><Relationship  Id="rId136" Type="http://schemas.openxmlformats.org/officeDocument/2006/relationships/hyperlink" Target="https://www.caixa.gov.br/Downloads/sinapi-cadernos-tecnicos/SINAPI-CT-QUADRAS-E-SEUS-EQUIPAMENTOS.pdf" TargetMode="External"/><Relationship  Id="rId31" Type="http://schemas.openxmlformats.org/officeDocument/2006/relationships/hyperlink" Target="https://www.caixa.gov.br/Downloads/sinapi-cadernos-tecnicos/SINAPI-CT-DETECCAO-DE-INCENDIO-E-ALARME.pdf" TargetMode="External"/><Relationship  Id="rId37" Type="http://schemas.openxmlformats.org/officeDocument/2006/relationships/hyperlink" Target="https://www.caixa.gov.br/Downloads/sinapi-cadernos-tecnicos/SINAPI-CT-DUTOS-PARA-AR-CONDICIONADO.pdf" TargetMode="External"/><Relationship  Id="rId19" Type="http://schemas.openxmlformats.org/officeDocument/2006/relationships/hyperlink" Target="https://www.caixa.gov.br/Downloads/sinapi-cadernos-tecnicos/SINAPI-CT-CAIXAS-ENTERRADAS.pdf" TargetMode="External"/><Relationship  Id="rId117" Type="http://schemas.openxmlformats.org/officeDocument/2006/relationships/hyperlink" Target="https://www.caixa.gov.br/Downloads/sinapi-cadernos-tecnicos/SINAPI-CT-PARQUINHOS-E-EQUIPAMENTOS-DE-GINASTICA-AO-AR-LIVRE.pdf" TargetMode="External"/><Relationship  Id="rId46" Type="http://schemas.openxmlformats.org/officeDocument/2006/relationships/hyperlink" Target="https://www.caixa.gov.br/Downloads/sinapi-cadernos-tecnicos/SINAPI-CT-ESGOTAMENTO-DE-VALA-E-REBAIXAMENTO-DO-LENCOL-FREATICO.pdf" TargetMode="External"/><Relationship  Id="rId7" Type="http://schemas.openxmlformats.org/officeDocument/2006/relationships/hyperlink" Target="https://www.caixa.gov.br/Downloads/sinapi-cadernos-tecnicos/SINAPI-CT-ARMACAO-DE-ESTACAS.pdf" TargetMode="External"/><Relationship  Id="rId114" Type="http://schemas.openxmlformats.org/officeDocument/2006/relationships/hyperlink" Target="https://www.caixa.gov.br/Downloads/sinapi-cadernos-tecnicos/SINAPI-CT-PAREDES-DE-CONCRETO-ESTUCAMENTO.pdf" TargetMode="External"/><Relationship  Id="rId163" Type="http://schemas.openxmlformats.org/officeDocument/2006/relationships/hyperlink" Target="https://www.caixa.gov.br/Downloads/sinapi-cadernos-tecnicos/SINAPI-CT-TUBULOES.pdf" TargetMode="External"/><Relationship  Id="rId14" Type="http://schemas.openxmlformats.org/officeDocument/2006/relationships/hyperlink" Target="https://www.caixa.gov.br/Downloads/sinapi-cadernos-tecnicos/SINAPI-CT-ATERRO-E-REATERRO-DE-VALAS.pdf" TargetMode="External"/><Relationship  Id="rId73" Type="http://schemas.openxmlformats.org/officeDocument/2006/relationships/hyperlink" Target="https://www.caixa.gov.br/Downloads/sinapi-cadernos-tecnicos/SINAPI-CT-GRAUTE-E-ARMACAO.pdf" TargetMode="External"/><Relationship  Id="rId125" Type="http://schemas.openxmlformats.org/officeDocument/2006/relationships/hyperlink" Target="https://www.caixa.gov.br/Downloads/sinapi-cadernos-tecnicos/SINAPI-CT-PERFURACAO-HORIZONTAL-DIRECIONAL-HDD.pdf" TargetMode="External"/><Relationship  Id="rId6" Type="http://schemas.openxmlformats.org/officeDocument/2006/relationships/hyperlink" Target="https://www.caixa.gov.br/Downloads/sinapi-cadernos-tecnicos/SINAPI-CT-ARGAMASSAS.pdf" TargetMode="External"/><Relationship  Id="rId77" Type="http://schemas.openxmlformats.org/officeDocument/2006/relationships/hyperlink" Target="https://www.caixa.gov.br/Downloads/sinapi-cadernos-tecnicos/SINAPI-CT-IMPERMEABILIZACAO-PROTECAO-MECANICA-E-TRATAMENTO-DE-JUNTA.pdf" TargetMode="External"/><Relationship  Id="rId109" Type="http://schemas.openxmlformats.org/officeDocument/2006/relationships/hyperlink" Target="https://www.caixa.gov.br/Downloads/sinapi-cadernos-tecnicos/SINAPI-CT-MONOCAPA.pdf" TargetMode="External"/><Relationship  Id="rId158" Type="http://schemas.openxmlformats.org/officeDocument/2006/relationships/hyperlink" Target="https://www.caixa.gov.br/Downloads/sinapi-cadernos-tecnicos/SINAPI-CT-TRANSPORTE-FLUVIAL-MOMENTO-DE-TRANSPORTE.pdf" TargetMode="External"/><Relationship  Id="rId5" Type="http://schemas.openxmlformats.org/officeDocument/2006/relationships/hyperlink" Target="https://www.caixa.gov.br/Downloads/sinapi-cadernos-tecnicos/SINAPI-CT-ALVENARIAS-DIVERSAS.pdf" TargetMode="External"/><Relationship  Id="rId16" Type="http://schemas.openxmlformats.org/officeDocument/2006/relationships/hyperlink" Target="https://www.caixa.gov.br/Downloads/sinapi-cadernos-tecnicos/SINAPI-CT-BOCAS-PARA-BUEIROS.pdf" TargetMode="External"/><Relationship  Id="rId4" Type="http://schemas.openxmlformats.org/officeDocument/2006/relationships/hyperlink" Target="https://www.caixa.gov.br/Downloads/sinapi-cadernos-tecnicos/SINAPI-CT-ALVENARIA-DE-VEDACAO.pdf" TargetMode="External"/><Relationship  Id="rId110" Type="http://schemas.openxmlformats.org/officeDocument/2006/relationships/hyperlink" Target="https://www.caixa.gov.br/Downloads/sinapi-cadernos-tecnicos/SINAPI-CT-MONTAGEM-DE-GRUAS-E-CREMALHEIRAS.pdf" TargetMode="External"/><Relationship  Id="rId12" Type="http://schemas.openxmlformats.org/officeDocument/2006/relationships/hyperlink" Target="https://www.caixa.gov.br/Downloads/sinapi-cadernos-tecnicos/SINAPI-CT-ASSENTAMENTO-DE-TUBOS-DE-PVC-E-METALICOS-EM-REDES-DE-AGUA.pdf" TargetMode="External"/><Relationship  Id="rId105" Type="http://schemas.openxmlformats.org/officeDocument/2006/relationships/hyperlink" Target="https://www.caixa.gov.br/Downloads/sinapi-cadernos-tecnicos/SINAPI-CT-MASSA-UNICA-EXTERNA.pdf" TargetMode="External"/><Relationship  Id="rId32" Type="http://schemas.openxmlformats.org/officeDocument/2006/relationships/hyperlink" Target="https://www.caixa.gov.br/Downloads/sinapi-cadernos-tecnicos/SINAPI-CT-DISSIPADORES-DE-ENERGIA.pdf" TargetMode="External"/><Relationship  Id="rId72" Type="http://schemas.openxmlformats.org/officeDocument/2006/relationships/hyperlink" Target="https://www.caixa.gov.br/Downloads/sinapi-cadernos-tecnicos/SINAPI-CT-GESSO.pdf" TargetMode="External"/><Relationship  Id="rId3" Type="http://schemas.openxmlformats.org/officeDocument/2006/relationships/hyperlink" Target="https://www.caixa.gov.br/Downloads/sinapi-cadernos-tecnicos/SINAPI-CT-ALVENARIA-ESTRUTURAL-BLOCOS-DE-CONCRETO.pdf" TargetMode="External"/><Relationship  Id="rId30" Type="http://schemas.openxmlformats.org/officeDocument/2006/relationships/hyperlink" Target="https://www.caixa.gov.br/Downloads/sinapi-cadernos-tecnicos/SINAPI-CT-DEPRECIACAO-JUROS-IMPOSTOS-E-SEGUROS-MANUTENCAO-E-MATERIAIS-NA-OPERACAO-DOS-EQUIPAMENTOS.pdf" TargetMode="External"/><Relationship  Id="rId121" Type="http://schemas.openxmlformats.org/officeDocument/2006/relationships/hyperlink" Target="https://www.caixa.gov.br/Downloads/sinapi-cadernos-tecnicos/SINAPI-CT-PAVIMENTO-RIGIDO-DE-CONCRETO.pdf" TargetMode="External"/><Relationship  Id="rId150" Type="http://schemas.openxmlformats.org/officeDocument/2006/relationships/hyperlink" Target="https://www.caixa.gov.br/Downloads/sinapi-cadernos-tecnicos/SINAPI-CT-SISTEMA-DE-PROTECAO-CONTRA-DESCARGAS-ATMOSFERICAS-SPDA.pdf" TargetMode="External"/><Relationship  Id="rId2" Type="http://schemas.openxmlformats.org/officeDocument/2006/relationships/hyperlink" Target="https://www.caixa.gov.br/Downloads/sinapi-cadernos-tecnicos/SINAPI-CT-ALVENARIA-ESTRUTURAL-BLOCOS-CERAMICOS.pdf" TargetMode="External"/><Relationship  Id="rId160" Type="http://schemas.openxmlformats.org/officeDocument/2006/relationships/hyperlink" Target="https://www.caixa.gov.br/Downloads/sinapi-cadernos-tecnicos/SINAPI-CT-TRANSPORTE-CARGA-E-DESCARGA-DE-MATERIAIS.pdf" TargetMode="External"/><Relationship  Id="rId108" Type="http://schemas.openxmlformats.org/officeDocument/2006/relationships/hyperlink" Target="https://www.caixa.gov.br/Downloads/sinapi-cadernos-tecnicos/SINAPI-CT-MOBILIARIO-URBANO.pdf" TargetMode="External"/><Relationship  Id="rId140" Type="http://schemas.openxmlformats.org/officeDocument/2006/relationships/hyperlink" Target="https://www.caixa.gov.br/Downloads/sinapi-cadernos-tecnicos/SINAPI-CT-RECOMPOSICAO-DE-PAVIMENTOS.pdf" TargetMode="External"/><Relationship  Id="rId1" Type="http://schemas.openxmlformats.org/officeDocument/2006/relationships/hyperlink" Target="https://www.caixa.gov.br/Downloads/sinapi-cadernos-tecnicos/SINAPI-CT-ACESSIBILIDADE.pdf" TargetMode="External"/><Relationship  Id="rId92" Type="http://schemas.openxmlformats.org/officeDocument/2006/relationships/hyperlink" Target="https://www.caixa.gov.br/Downloads/sinapi-cadernos-tecnicos/SINAPI-CT-INSTALACOES-DE-GAS-EM-PEX-MULTICAMADAS.pdf" TargetMode="External"/></Relationships>
</file>

<file path=xl/worksheets/_rels/sheet2.xml.rels><?xml version="1.0" encoding="UTF-8" standalone="yes"?><Relationships xmlns="http://schemas.openxmlformats.org/package/2006/relationships"><Relationship  Id="rId1" Type="http://schemas.openxmlformats.org/officeDocument/2006/relationships/hyperlink" Target="https://www.caixa.gov.br/Downloads/sinapi-especificacoes-tecnicas-de-insumos/SINAPI_Fichas_Especificacao_Tecnica_Insumos.pdf" TargetMode="External"/></Relationships>
</file>

<file path=xl/worksheets/_rels/sheet3.xml.rels><?xml version="1.0" encoding="UTF-8" standalone="yes"?><Relationships xmlns="http://schemas.openxmlformats.org/package/2006/relationships"><Relationship  Id="rId3" Type="http://schemas.openxmlformats.org/officeDocument/2006/relationships/vmlDrawing" Target="../drawings/vmlDrawing1.vml"/><Relationship  Id="rId2" Type="http://schemas.openxmlformats.org/officeDocument/2006/relationships/comments" Target="../comments1.xml"/><Relationship  Id="rId1" Type="http://schemas.microsoft.com/office/2017/10/relationships/threadedComment" Target="../threadedComments/threadedComment1.xml"/></Relationships>
</file>

<file path=xl/worksheets/_rels/sheet6.xml.rels><?xml version="1.0" encoding="UTF-8" standalone="yes"?><Relationships xmlns="http://schemas.openxmlformats.org/package/2006/relationships"><Relationship  Id="rId1" Type="http://schemas.openxmlformats.org/officeDocument/2006/relationships/hyperlink" Target="https://www.americanvek.com.br/products/abracadeira-metal-aco-inox-para-duto-tubo-300mm-12-polegadas?variant=45441267761398&amp;country=BR&amp;currency=BRL&amp;utm_medium=product_sync&amp;utm_source=google&amp;utm_content=sag_organic&amp;utm_campaign=sag_organic&amp;utm_source=vendas&amp;utm_medium=maximizar-+convercoes+&amp;utm_id=brasil&amp;gad_source=1&amp;gad_campaignid=22925829722&amp;gbraid=0AAAAADtOrSN0P3_rD1nv_SaXIHgzgUmpQ&amp;gclid=Cj0KCQiAo4TKBhDRARIsAGW29be6aqAEKJu_qfmFJG2URRkQHxgZ3CXDa6P8YLtOO79y3XcIC6v3Q_gaAr-qEALw_wcB" TargetMode="External"/></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Relationships xmlns="http://schemas.openxmlformats.org/package/2006/relationships"><Relationship  Id="rId4" Type="http://schemas.openxmlformats.org/officeDocument/2006/relationships/vmlDrawing" Target="../drawings/vmlDrawing2.vml"/><Relationship  Id="rId3" Type="http://schemas.openxmlformats.org/officeDocument/2006/relationships/drawing" Target="../drawings/drawing3.xml"/><Relationship  Id="rId2" Type="http://schemas.openxmlformats.org/officeDocument/2006/relationships/comments" Target="../comments2.xml"/><Relationship  Id="rId1" Type="http://schemas.microsoft.com/office/2017/10/relationships/threadedComment" Target="../threadedComments/threadedComment2.xml"/></Relationships>
</file>

<file path=xl/worksheets/_rels/sheet11.xml.rels><?xml version="1.0" encoding="UTF-8" standalone="yes"?><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1">
    <tabColor theme="7" tint="-0.249977111117893"/>
    <outlinePr applyStyles="0" summaryBelow="1" summaryRight="1" showOutlineSymbols="1"/>
    <pageSetUpPr autoPageBreaks="1" fitToPage="0"/>
  </sheetPr>
  <sheetViews>
    <sheetView zoomScale="100" workbookViewId="0">
      <selection activeCell="I116" activeCellId="0" sqref="I116"/>
    </sheetView>
  </sheetViews>
  <sheetFormatPr defaultColWidth="9.140625" defaultRowHeight="13.5"/>
  <cols>
    <col customWidth="1" min="1" max="1" style="1" width="17.7109375"/>
    <col customWidth="1" min="2" max="2" style="1" width="14.7109375"/>
    <col customWidth="1" min="3" max="3" style="2" width="70.7109375"/>
    <col customWidth="1" min="4" max="5" style="1" width="11.7109375"/>
    <col customWidth="1" min="6" max="6" style="1" width="5.7109375"/>
    <col customWidth="1" min="7" max="7" style="1" width="12.85546875"/>
    <col customWidth="1" min="8" max="8" style="1" width="5.7109375"/>
    <col customWidth="1" min="9" max="9" width="13.42578125"/>
    <col customWidth="1" min="10" max="10" style="1" width="14.7109375"/>
    <col customWidth="1" min="12" max="12" style="1" width="11.7109375"/>
    <col customWidth="1" min="13" max="13" style="1" width="5.7109375"/>
    <col customWidth="1" min="14" max="14" style="1" width="11.7109375"/>
    <col customWidth="1" min="15" max="15" style="1" width="5.7109375"/>
  </cols>
  <sheetData>
    <row r="1">
      <c r="A1" s="3" t="s">
        <v>0</v>
      </c>
      <c r="B1" s="4"/>
      <c r="C1" s="4"/>
      <c r="D1" s="4"/>
    </row>
    <row r="2">
      <c r="A2" s="5" t="s">
        <v>1</v>
      </c>
      <c r="B2" s="4"/>
      <c r="C2" s="4"/>
      <c r="D2" s="4"/>
    </row>
    <row r="3" ht="14.25">
      <c r="A3" s="5" t="s">
        <v>2</v>
      </c>
      <c r="B3" s="6" t="s">
        <v>3</v>
      </c>
      <c r="C3" s="4"/>
      <c r="D3" s="7" t="s">
        <v>4</v>
      </c>
      <c r="E3" s="8" t="s">
        <v>5</v>
      </c>
      <c r="F3" s="9"/>
      <c r="G3" s="10" t="s">
        <v>6</v>
      </c>
      <c r="H3" s="11"/>
      <c r="J3" s="6"/>
      <c r="L3" s="8" t="s">
        <v>5</v>
      </c>
      <c r="M3" s="9"/>
      <c r="N3" s="10" t="s">
        <v>6</v>
      </c>
      <c r="O3" s="11"/>
    </row>
    <row r="4" ht="12.75">
      <c r="A4" s="5" t="s">
        <v>7</v>
      </c>
      <c r="B4" s="6" t="s">
        <v>8</v>
      </c>
      <c r="C4" s="4"/>
      <c r="D4" s="12" t="s">
        <v>9</v>
      </c>
      <c r="E4" s="13" t="s">
        <v>10</v>
      </c>
      <c r="F4" s="13"/>
      <c r="G4" s="14" t="s">
        <v>10</v>
      </c>
      <c r="H4" s="13"/>
      <c r="J4" s="6"/>
      <c r="L4" s="13" t="s">
        <v>10</v>
      </c>
      <c r="M4" s="13"/>
      <c r="N4" s="14" t="s">
        <v>10</v>
      </c>
      <c r="O4" s="13"/>
    </row>
    <row r="5">
      <c r="D5" s="13" t="s">
        <v>11</v>
      </c>
      <c r="E5" s="15" t="s">
        <v>12</v>
      </c>
      <c r="F5" s="15"/>
      <c r="G5" s="15" t="s">
        <v>12</v>
      </c>
      <c r="H5" s="15"/>
      <c r="L5" s="15" t="s">
        <v>12</v>
      </c>
      <c r="M5" s="15"/>
      <c r="N5" s="15" t="s">
        <v>12</v>
      </c>
      <c r="O5" s="15"/>
    </row>
    <row r="6">
      <c r="A6" s="3" t="s">
        <v>13</v>
      </c>
      <c r="B6" s="5" t="s">
        <v>14</v>
      </c>
      <c r="D6" s="13" t="s">
        <v>15</v>
      </c>
      <c r="E6" s="16">
        <v>1.1571</v>
      </c>
      <c r="F6" s="16"/>
      <c r="G6" s="16">
        <v>0.99560000000000004</v>
      </c>
      <c r="H6" s="16"/>
      <c r="J6" s="5"/>
      <c r="L6" s="16">
        <v>1.0751999999999999</v>
      </c>
      <c r="M6" s="16"/>
      <c r="N6" s="16">
        <v>0.99560000000000004</v>
      </c>
      <c r="O6" s="16"/>
    </row>
    <row r="7">
      <c r="B7" s="5" t="s">
        <v>16</v>
      </c>
      <c r="D7" s="13" t="s">
        <v>17</v>
      </c>
      <c r="E7" s="16">
        <v>0.7157</v>
      </c>
      <c r="F7" s="16"/>
      <c r="G7" s="16">
        <v>0.58740000000000003</v>
      </c>
      <c r="H7" s="16"/>
      <c r="J7" s="5"/>
      <c r="L7" s="16">
        <v>0.64800000000000002</v>
      </c>
      <c r="M7" s="16"/>
      <c r="N7" s="16">
        <v>0.58740000000000003</v>
      </c>
      <c r="O7" s="16"/>
    </row>
    <row r="8">
      <c r="B8" s="5" t="s">
        <v>18</v>
      </c>
      <c r="J8" s="5"/>
    </row>
    <row r="9">
      <c r="B9" s="5" t="s">
        <v>19</v>
      </c>
      <c r="E9" s="13" t="s">
        <v>10</v>
      </c>
      <c r="F9" s="13"/>
      <c r="G9" s="13" t="s">
        <v>10</v>
      </c>
      <c r="H9" s="13"/>
      <c r="J9" s="5"/>
      <c r="L9" s="13" t="s">
        <v>10</v>
      </c>
      <c r="M9" s="13"/>
      <c r="N9" s="13" t="s">
        <v>10</v>
      </c>
      <c r="O9" s="13"/>
    </row>
    <row r="10" ht="25.5">
      <c r="A10" s="13" t="s">
        <v>20</v>
      </c>
      <c r="B10" s="13" t="s">
        <v>21</v>
      </c>
      <c r="C10" s="13" t="s">
        <v>22</v>
      </c>
      <c r="D10" s="13" t="s">
        <v>23</v>
      </c>
      <c r="E10" s="13" t="s">
        <v>24</v>
      </c>
      <c r="F10" s="13" t="s">
        <v>25</v>
      </c>
      <c r="G10" s="13" t="s">
        <v>24</v>
      </c>
      <c r="H10" s="13" t="s">
        <v>25</v>
      </c>
      <c r="I10" s="17" t="s">
        <v>26</v>
      </c>
      <c r="J10" s="18"/>
      <c r="L10" s="13" t="s">
        <v>24</v>
      </c>
      <c r="M10" s="13" t="s">
        <v>25</v>
      </c>
      <c r="N10" s="13" t="s">
        <v>24</v>
      </c>
      <c r="O10" s="13" t="s">
        <v>25</v>
      </c>
    </row>
    <row r="11" ht="25.5">
      <c r="A11" t="s">
        <v>27</v>
      </c>
      <c r="B11" s="19">
        <v>104658</v>
      </c>
      <c r="C11" s="20" t="s">
        <v>28</v>
      </c>
      <c r="D11" s="19" t="s">
        <v>29</v>
      </c>
      <c r="E11" s="21">
        <f t="shared" ref="E11:G74" si="0">IF(L11=0,"VERIFICAR",L11)</f>
        <v>176.05000000000001</v>
      </c>
      <c r="F11" s="22">
        <v>0</v>
      </c>
      <c r="G11" s="21">
        <f t="shared" si="0"/>
        <v>173.44999999999999</v>
      </c>
      <c r="H11" s="22">
        <v>0</v>
      </c>
      <c r="I11" s="23" t="str">
        <f t="shared" ref="I11:I74" si="1">IF(OR(E11=0,G11=0),"SEM VALOR","COM VALOR")</f>
        <v xml:space="preserve">COM VALOR</v>
      </c>
      <c r="J11" s="19"/>
      <c r="L11" s="21">
        <v>176.05000000000001</v>
      </c>
      <c r="M11" s="22">
        <v>0</v>
      </c>
      <c r="N11" s="21">
        <v>173.44999999999999</v>
      </c>
      <c r="O11" s="22">
        <v>0</v>
      </c>
    </row>
    <row r="12" ht="38.25">
      <c r="A12" t="s">
        <v>27</v>
      </c>
      <c r="B12" s="19">
        <v>105002</v>
      </c>
      <c r="C12" s="20" t="s">
        <v>30</v>
      </c>
      <c r="D12" s="19" t="s">
        <v>31</v>
      </c>
      <c r="E12" s="21">
        <f t="shared" si="0"/>
        <v>720.14999999999998</v>
      </c>
      <c r="F12" s="22">
        <v>0</v>
      </c>
      <c r="G12" s="21">
        <f t="shared" si="0"/>
        <v>700.80999999999995</v>
      </c>
      <c r="H12" s="22">
        <v>0</v>
      </c>
      <c r="I12" s="23" t="str">
        <f t="shared" si="1"/>
        <v xml:space="preserve">COM VALOR</v>
      </c>
      <c r="J12" s="19"/>
      <c r="L12" s="21">
        <v>720.14999999999998</v>
      </c>
      <c r="M12" s="22">
        <v>0</v>
      </c>
      <c r="N12" s="21">
        <v>700.80999999999995</v>
      </c>
      <c r="O12" s="22">
        <v>0</v>
      </c>
    </row>
    <row r="13" ht="38.25">
      <c r="A13" t="s">
        <v>27</v>
      </c>
      <c r="B13" s="19">
        <v>105004</v>
      </c>
      <c r="C13" s="20" t="s">
        <v>32</v>
      </c>
      <c r="D13" s="19" t="s">
        <v>29</v>
      </c>
      <c r="E13" s="21">
        <f t="shared" si="0"/>
        <v>122.8</v>
      </c>
      <c r="F13" s="22">
        <v>0</v>
      </c>
      <c r="G13" s="21">
        <f t="shared" si="0"/>
        <v>119.45</v>
      </c>
      <c r="H13" s="22">
        <v>0</v>
      </c>
      <c r="I13" s="23" t="str">
        <f t="shared" si="1"/>
        <v xml:space="preserve">COM VALOR</v>
      </c>
      <c r="J13" s="19"/>
      <c r="L13" s="21">
        <v>122.8</v>
      </c>
      <c r="M13" s="22">
        <v>0</v>
      </c>
      <c r="N13" s="21">
        <v>119.45</v>
      </c>
      <c r="O13" s="22">
        <v>0</v>
      </c>
    </row>
    <row r="14" ht="38.25">
      <c r="A14" t="s">
        <v>27</v>
      </c>
      <c r="B14" s="19">
        <v>105003</v>
      </c>
      <c r="C14" s="20" t="s">
        <v>33</v>
      </c>
      <c r="D14" s="19" t="s">
        <v>31</v>
      </c>
      <c r="E14" s="21">
        <f t="shared" si="0"/>
        <v>1173.71</v>
      </c>
      <c r="F14" s="22">
        <v>5.0000000000000003e-002</v>
      </c>
      <c r="G14" s="21">
        <f t="shared" si="0"/>
        <v>1134.77</v>
      </c>
      <c r="H14" s="22">
        <v>5.9999999999999998e-002</v>
      </c>
      <c r="I14" s="23" t="str">
        <f t="shared" si="1"/>
        <v xml:space="preserve">COM VALOR</v>
      </c>
      <c r="J14" s="19"/>
      <c r="L14" s="21">
        <v>1173.71</v>
      </c>
      <c r="M14" s="22">
        <v>5.0000000000000003e-002</v>
      </c>
      <c r="N14" s="21">
        <v>1134.77</v>
      </c>
      <c r="O14" s="22">
        <v>5.9999999999999998e-002</v>
      </c>
    </row>
    <row r="15" ht="38.25">
      <c r="A15" t="s">
        <v>27</v>
      </c>
      <c r="B15" s="19">
        <v>105005</v>
      </c>
      <c r="C15" s="20" t="s">
        <v>34</v>
      </c>
      <c r="D15" s="19" t="s">
        <v>29</v>
      </c>
      <c r="E15" s="21">
        <f t="shared" si="0"/>
        <v>206.77000000000001</v>
      </c>
      <c r="F15" s="22">
        <v>5.9999999999999998e-002</v>
      </c>
      <c r="G15" s="21">
        <f t="shared" si="0"/>
        <v>199.80000000000001</v>
      </c>
      <c r="H15" s="22">
        <v>5.9999999999999998e-002</v>
      </c>
      <c r="I15" s="23" t="str">
        <f t="shared" si="1"/>
        <v xml:space="preserve">COM VALOR</v>
      </c>
      <c r="J15" s="19"/>
      <c r="L15" s="21">
        <v>206.77000000000001</v>
      </c>
      <c r="M15" s="22">
        <v>5.9999999999999998e-002</v>
      </c>
      <c r="N15" s="21">
        <v>199.80000000000001</v>
      </c>
      <c r="O15" s="22">
        <v>5.9999999999999998e-002</v>
      </c>
    </row>
    <row r="16" ht="38.25">
      <c r="A16" t="s">
        <v>27</v>
      </c>
      <c r="B16" s="19">
        <v>105006</v>
      </c>
      <c r="C16" s="20" t="s">
        <v>35</v>
      </c>
      <c r="D16" s="19" t="s">
        <v>31</v>
      </c>
      <c r="E16" s="21" t="str">
        <f t="shared" si="0"/>
        <v>VERIFICAR</v>
      </c>
      <c r="F16" s="22"/>
      <c r="G16" s="21" t="str">
        <f t="shared" si="0"/>
        <v>VERIFICAR</v>
      </c>
      <c r="H16" s="22"/>
      <c r="I16" s="23" t="str">
        <f t="shared" si="1"/>
        <v xml:space="preserve">COM VALOR</v>
      </c>
      <c r="J16" s="19"/>
      <c r="L16" s="21">
        <v>0</v>
      </c>
      <c r="M16" s="22"/>
      <c r="N16" s="21">
        <v>0</v>
      </c>
      <c r="O16" s="22"/>
    </row>
    <row r="17" ht="38.25">
      <c r="A17" t="s">
        <v>27</v>
      </c>
      <c r="B17" s="19">
        <v>104999</v>
      </c>
      <c r="C17" s="20" t="s">
        <v>36</v>
      </c>
      <c r="D17" s="19" t="s">
        <v>31</v>
      </c>
      <c r="E17" s="21" t="str">
        <f t="shared" si="0"/>
        <v>VERIFICAR</v>
      </c>
      <c r="F17" s="22"/>
      <c r="G17" s="21" t="str">
        <f t="shared" si="0"/>
        <v>VERIFICAR</v>
      </c>
      <c r="H17" s="22"/>
      <c r="I17" s="23" t="str">
        <f t="shared" si="1"/>
        <v xml:space="preserve">COM VALOR</v>
      </c>
      <c r="J17" s="19"/>
      <c r="L17" s="21">
        <v>0</v>
      </c>
      <c r="M17" s="22"/>
      <c r="N17" s="21">
        <v>0</v>
      </c>
      <c r="O17" s="22"/>
    </row>
    <row r="18" ht="51">
      <c r="A18" t="s">
        <v>27</v>
      </c>
      <c r="B18" s="19">
        <v>105000</v>
      </c>
      <c r="C18" s="20" t="s">
        <v>37</v>
      </c>
      <c r="D18" s="19" t="s">
        <v>38</v>
      </c>
      <c r="E18" s="21">
        <f t="shared" si="0"/>
        <v>1211.9300000000001</v>
      </c>
      <c r="F18" s="22">
        <v>0.46999999999999997</v>
      </c>
      <c r="G18" s="21">
        <f t="shared" si="0"/>
        <v>1189.4100000000001</v>
      </c>
      <c r="H18" s="22">
        <v>0.48999999999999999</v>
      </c>
      <c r="I18" s="23" t="str">
        <f t="shared" si="1"/>
        <v xml:space="preserve">COM VALOR</v>
      </c>
      <c r="J18" s="19"/>
      <c r="L18" s="21">
        <v>1211.9300000000001</v>
      </c>
      <c r="M18" s="22">
        <v>0.52000000000000002</v>
      </c>
      <c r="N18" s="21">
        <v>1189.4100000000001</v>
      </c>
      <c r="O18" s="22">
        <v>0.53000000000000003</v>
      </c>
    </row>
    <row r="19" ht="51">
      <c r="A19" t="s">
        <v>27</v>
      </c>
      <c r="B19" s="19">
        <v>105001</v>
      </c>
      <c r="C19" s="20" t="s">
        <v>39</v>
      </c>
      <c r="D19" s="19" t="s">
        <v>38</v>
      </c>
      <c r="E19" s="21">
        <f t="shared" si="0"/>
        <v>1246.4000000000001</v>
      </c>
      <c r="F19" s="22">
        <v>0.46000000000000002</v>
      </c>
      <c r="G19" s="21">
        <f t="shared" si="0"/>
        <v>1223.5599999999999</v>
      </c>
      <c r="H19" s="22">
        <v>0.47999999999999998</v>
      </c>
      <c r="I19" s="23" t="str">
        <f t="shared" si="1"/>
        <v xml:space="preserve">COM VALOR</v>
      </c>
      <c r="J19" s="19"/>
      <c r="L19" s="21">
        <v>1246.4000000000001</v>
      </c>
      <c r="M19" s="22">
        <v>0.51000000000000001</v>
      </c>
      <c r="N19" s="21">
        <v>1223.5599999999999</v>
      </c>
      <c r="O19" s="22">
        <v>0.52000000000000002</v>
      </c>
    </row>
    <row r="20" ht="51">
      <c r="A20" t="s">
        <v>40</v>
      </c>
      <c r="B20" s="19">
        <v>89306</v>
      </c>
      <c r="C20" s="20" t="s">
        <v>41</v>
      </c>
      <c r="D20" s="19" t="s">
        <v>29</v>
      </c>
      <c r="E20" s="21">
        <f t="shared" si="0"/>
        <v>102.34999999999999</v>
      </c>
      <c r="F20" s="22">
        <v>0</v>
      </c>
      <c r="G20" s="21">
        <f t="shared" si="0"/>
        <v>99.5</v>
      </c>
      <c r="H20" s="22">
        <v>0</v>
      </c>
      <c r="I20" s="23" t="str">
        <f t="shared" si="1"/>
        <v xml:space="preserve">COM VALOR</v>
      </c>
      <c r="J20" s="19"/>
      <c r="L20" s="21">
        <v>102.34999999999999</v>
      </c>
      <c r="M20" s="22">
        <v>0</v>
      </c>
      <c r="N20" s="21">
        <v>99.5</v>
      </c>
      <c r="O20" s="22">
        <v>0</v>
      </c>
    </row>
    <row r="21" ht="38.25">
      <c r="A21" t="s">
        <v>40</v>
      </c>
      <c r="B21" s="19">
        <v>89307</v>
      </c>
      <c r="C21" s="20" t="s">
        <v>42</v>
      </c>
      <c r="D21" s="19" t="s">
        <v>29</v>
      </c>
      <c r="E21" s="21">
        <f t="shared" si="0"/>
        <v>104.38</v>
      </c>
      <c r="F21" s="22">
        <v>0</v>
      </c>
      <c r="G21" s="21">
        <f t="shared" si="0"/>
        <v>101.44</v>
      </c>
      <c r="H21" s="22">
        <v>0</v>
      </c>
      <c r="I21" s="23" t="str">
        <f t="shared" si="1"/>
        <v xml:space="preserve">COM VALOR</v>
      </c>
      <c r="J21" s="19"/>
      <c r="L21" s="21">
        <v>104.38</v>
      </c>
      <c r="M21" s="22">
        <v>0</v>
      </c>
      <c r="N21" s="21">
        <v>101.44</v>
      </c>
      <c r="O21" s="22">
        <v>0</v>
      </c>
    </row>
    <row r="22" ht="38.25">
      <c r="A22" t="s">
        <v>40</v>
      </c>
      <c r="B22" s="19">
        <v>89290</v>
      </c>
      <c r="C22" s="20" t="s">
        <v>43</v>
      </c>
      <c r="D22" s="19" t="s">
        <v>29</v>
      </c>
      <c r="E22" s="21">
        <f t="shared" si="0"/>
        <v>85.810000000000002</v>
      </c>
      <c r="F22" s="22">
        <v>0</v>
      </c>
      <c r="G22" s="21">
        <f t="shared" si="0"/>
        <v>83.760000000000005</v>
      </c>
      <c r="H22" s="22">
        <v>0</v>
      </c>
      <c r="I22" s="23" t="str">
        <f t="shared" si="1"/>
        <v xml:space="preserve">COM VALOR</v>
      </c>
      <c r="J22" s="19"/>
      <c r="L22" s="21">
        <v>85.810000000000002</v>
      </c>
      <c r="M22" s="22">
        <v>0</v>
      </c>
      <c r="N22" s="21">
        <v>83.760000000000005</v>
      </c>
      <c r="O22" s="22">
        <v>0</v>
      </c>
    </row>
    <row r="23" ht="38.25">
      <c r="A23" t="s">
        <v>40</v>
      </c>
      <c r="B23" s="19">
        <v>89291</v>
      </c>
      <c r="C23" s="20" t="s">
        <v>44</v>
      </c>
      <c r="D23" s="19" t="s">
        <v>29</v>
      </c>
      <c r="E23" s="21">
        <f t="shared" si="0"/>
        <v>87.319999999999993</v>
      </c>
      <c r="F23" s="22">
        <v>0</v>
      </c>
      <c r="G23" s="21">
        <f t="shared" si="0"/>
        <v>85.200000000000003</v>
      </c>
      <c r="H23" s="22">
        <v>0</v>
      </c>
      <c r="I23" s="23" t="str">
        <f t="shared" si="1"/>
        <v xml:space="preserve">COM VALOR</v>
      </c>
      <c r="J23" s="19"/>
      <c r="L23" s="21">
        <v>87.319999999999993</v>
      </c>
      <c r="M23" s="22">
        <v>0</v>
      </c>
      <c r="N23" s="21">
        <v>85.200000000000003</v>
      </c>
      <c r="O23" s="22">
        <v>0</v>
      </c>
    </row>
    <row r="24" ht="51">
      <c r="A24" t="s">
        <v>40</v>
      </c>
      <c r="B24" s="19">
        <v>89298</v>
      </c>
      <c r="C24" s="20" t="s">
        <v>45</v>
      </c>
      <c r="D24" s="19" t="s">
        <v>29</v>
      </c>
      <c r="E24" s="21">
        <f t="shared" si="0"/>
        <v>89.510000000000005</v>
      </c>
      <c r="F24" s="22">
        <v>0</v>
      </c>
      <c r="G24" s="21">
        <f t="shared" si="0"/>
        <v>87.390000000000001</v>
      </c>
      <c r="H24" s="22">
        <v>0</v>
      </c>
      <c r="I24" s="23" t="str">
        <f t="shared" si="1"/>
        <v xml:space="preserve">COM VALOR</v>
      </c>
      <c r="J24" s="19"/>
      <c r="L24" s="21">
        <v>89.510000000000005</v>
      </c>
      <c r="M24" s="22">
        <v>0</v>
      </c>
      <c r="N24" s="21">
        <v>87.390000000000001</v>
      </c>
      <c r="O24" s="22">
        <v>0</v>
      </c>
    </row>
    <row r="25" ht="38.25">
      <c r="A25" t="s">
        <v>40</v>
      </c>
      <c r="B25" s="19">
        <v>89299</v>
      </c>
      <c r="C25" s="20" t="s">
        <v>46</v>
      </c>
      <c r="D25" s="19" t="s">
        <v>29</v>
      </c>
      <c r="E25" s="21">
        <f t="shared" si="0"/>
        <v>91.329999999999998</v>
      </c>
      <c r="F25" s="22">
        <v>0</v>
      </c>
      <c r="G25" s="21">
        <f t="shared" si="0"/>
        <v>89.129999999999995</v>
      </c>
      <c r="H25" s="22">
        <v>0</v>
      </c>
      <c r="I25" s="23" t="str">
        <f t="shared" si="1"/>
        <v xml:space="preserve">COM VALOR</v>
      </c>
      <c r="J25" s="19"/>
      <c r="L25" s="21">
        <v>91.329999999999998</v>
      </c>
      <c r="M25" s="22">
        <v>0</v>
      </c>
      <c r="N25" s="21">
        <v>89.129999999999995</v>
      </c>
      <c r="O25" s="22">
        <v>0</v>
      </c>
    </row>
    <row r="26" ht="38.25">
      <c r="A26" t="s">
        <v>40</v>
      </c>
      <c r="B26" s="19">
        <v>89282</v>
      </c>
      <c r="C26" s="20" t="s">
        <v>47</v>
      </c>
      <c r="D26" s="19" t="s">
        <v>29</v>
      </c>
      <c r="E26" s="21">
        <f t="shared" si="0"/>
        <v>77.840000000000003</v>
      </c>
      <c r="F26" s="22">
        <v>0</v>
      </c>
      <c r="G26" s="21">
        <f t="shared" si="0"/>
        <v>76.269999999999996</v>
      </c>
      <c r="H26" s="22">
        <v>0</v>
      </c>
      <c r="I26" s="23" t="str">
        <f t="shared" si="1"/>
        <v xml:space="preserve">COM VALOR</v>
      </c>
      <c r="J26" s="19"/>
      <c r="L26" s="21">
        <v>77.840000000000003</v>
      </c>
      <c r="M26" s="22">
        <v>0</v>
      </c>
      <c r="N26" s="21">
        <v>76.269999999999996</v>
      </c>
      <c r="O26" s="22">
        <v>0</v>
      </c>
    </row>
    <row r="27" ht="38.25">
      <c r="A27" t="s">
        <v>40</v>
      </c>
      <c r="B27" s="19">
        <v>89283</v>
      </c>
      <c r="C27" s="20" t="s">
        <v>48</v>
      </c>
      <c r="D27" s="19" t="s">
        <v>29</v>
      </c>
      <c r="E27" s="21">
        <f t="shared" si="0"/>
        <v>79.200000000000003</v>
      </c>
      <c r="F27" s="22">
        <v>0</v>
      </c>
      <c r="G27" s="21">
        <f t="shared" si="0"/>
        <v>77.569999999999993</v>
      </c>
      <c r="H27" s="22">
        <v>0</v>
      </c>
      <c r="I27" s="23" t="str">
        <f t="shared" si="1"/>
        <v xml:space="preserve">COM VALOR</v>
      </c>
      <c r="J27" s="19"/>
      <c r="L27" s="21">
        <v>79.200000000000003</v>
      </c>
      <c r="M27" s="22">
        <v>0</v>
      </c>
      <c r="N27" s="21">
        <v>77.569999999999993</v>
      </c>
      <c r="O27" s="22">
        <v>0</v>
      </c>
    </row>
    <row r="28" ht="38.25">
      <c r="A28" t="s">
        <v>49</v>
      </c>
      <c r="B28" s="19">
        <v>89480</v>
      </c>
      <c r="C28" s="20" t="s">
        <v>50</v>
      </c>
      <c r="D28" s="19" t="s">
        <v>29</v>
      </c>
      <c r="E28" s="21">
        <f t="shared" si="0"/>
        <v>173.19</v>
      </c>
      <c r="F28" s="22">
        <v>0</v>
      </c>
      <c r="G28" s="21">
        <f t="shared" si="0"/>
        <v>169.87</v>
      </c>
      <c r="H28" s="22">
        <v>0</v>
      </c>
      <c r="I28" s="23" t="str">
        <f t="shared" si="1"/>
        <v xml:space="preserve">COM VALOR</v>
      </c>
      <c r="J28" s="19"/>
      <c r="L28" s="21">
        <v>173.19</v>
      </c>
      <c r="M28" s="22">
        <v>0</v>
      </c>
      <c r="N28" s="21">
        <v>169.87</v>
      </c>
      <c r="O28" s="22">
        <v>0</v>
      </c>
    </row>
    <row r="29" ht="25.5">
      <c r="A29" t="s">
        <v>49</v>
      </c>
      <c r="B29" s="19">
        <v>89464</v>
      </c>
      <c r="C29" s="20" t="s">
        <v>51</v>
      </c>
      <c r="D29" s="19" t="s">
        <v>29</v>
      </c>
      <c r="E29" s="21">
        <f t="shared" si="0"/>
        <v>152.71000000000001</v>
      </c>
      <c r="F29" s="22">
        <v>0</v>
      </c>
      <c r="G29" s="21">
        <f t="shared" si="0"/>
        <v>150.34999999999999</v>
      </c>
      <c r="H29" s="22">
        <v>0</v>
      </c>
      <c r="I29" s="23" t="str">
        <f t="shared" si="1"/>
        <v xml:space="preserve">COM VALOR</v>
      </c>
      <c r="J29" s="19"/>
      <c r="L29" s="21">
        <v>152.71000000000001</v>
      </c>
      <c r="M29" s="22">
        <v>0</v>
      </c>
      <c r="N29" s="21">
        <v>150.34999999999999</v>
      </c>
      <c r="O29" s="22">
        <v>0</v>
      </c>
    </row>
    <row r="30" ht="38.25">
      <c r="A30" t="s">
        <v>49</v>
      </c>
      <c r="B30" s="19">
        <v>89478</v>
      </c>
      <c r="C30" s="20" t="s">
        <v>52</v>
      </c>
      <c r="D30" s="19" t="s">
        <v>29</v>
      </c>
      <c r="E30" s="21">
        <f t="shared" si="0"/>
        <v>148.30000000000001</v>
      </c>
      <c r="F30" s="22">
        <v>0</v>
      </c>
      <c r="G30" s="21">
        <f t="shared" si="0"/>
        <v>145.19</v>
      </c>
      <c r="H30" s="22">
        <v>0</v>
      </c>
      <c r="I30" s="23" t="str">
        <f t="shared" si="1"/>
        <v xml:space="preserve">COM VALOR</v>
      </c>
      <c r="J30" s="19"/>
      <c r="L30" s="21">
        <v>148.30000000000001</v>
      </c>
      <c r="M30" s="22">
        <v>0</v>
      </c>
      <c r="N30" s="21">
        <v>145.19</v>
      </c>
      <c r="O30" s="22">
        <v>0</v>
      </c>
    </row>
    <row r="31" ht="25.5">
      <c r="A31" t="s">
        <v>49</v>
      </c>
      <c r="B31" s="19">
        <v>89462</v>
      </c>
      <c r="C31" s="20" t="s">
        <v>53</v>
      </c>
      <c r="D31" s="19" t="s">
        <v>29</v>
      </c>
      <c r="E31" s="21">
        <f t="shared" si="0"/>
        <v>128.90000000000001</v>
      </c>
      <c r="F31" s="22">
        <v>0</v>
      </c>
      <c r="G31" s="21">
        <f t="shared" si="0"/>
        <v>126.7</v>
      </c>
      <c r="H31" s="22">
        <v>0</v>
      </c>
      <c r="I31" s="23" t="str">
        <f t="shared" si="1"/>
        <v xml:space="preserve">COM VALOR</v>
      </c>
      <c r="J31" s="19"/>
      <c r="L31" s="21">
        <v>128.90000000000001</v>
      </c>
      <c r="M31" s="22">
        <v>0</v>
      </c>
      <c r="N31" s="21">
        <v>126.7</v>
      </c>
      <c r="O31" s="22">
        <v>0</v>
      </c>
    </row>
    <row r="32" ht="38.25">
      <c r="A32" t="s">
        <v>49</v>
      </c>
      <c r="B32" s="19">
        <v>104444</v>
      </c>
      <c r="C32" s="20" t="s">
        <v>54</v>
      </c>
      <c r="D32" s="19" t="s">
        <v>29</v>
      </c>
      <c r="E32" s="21" t="str">
        <f t="shared" si="0"/>
        <v>VERIFICAR</v>
      </c>
      <c r="F32" s="22"/>
      <c r="G32" s="21" t="str">
        <f t="shared" si="0"/>
        <v>VERIFICAR</v>
      </c>
      <c r="H32" s="22"/>
      <c r="I32" s="23" t="str">
        <f t="shared" si="1"/>
        <v xml:space="preserve">COM VALOR</v>
      </c>
      <c r="J32" s="19"/>
      <c r="L32" s="21">
        <v>0</v>
      </c>
      <c r="M32" s="22"/>
      <c r="N32" s="21">
        <v>0</v>
      </c>
      <c r="O32" s="22"/>
    </row>
    <row r="33" ht="25.5">
      <c r="A33" t="s">
        <v>49</v>
      </c>
      <c r="B33" s="19">
        <v>104442</v>
      </c>
      <c r="C33" s="20" t="s">
        <v>55</v>
      </c>
      <c r="D33" s="19" t="s">
        <v>29</v>
      </c>
      <c r="E33" s="21" t="str">
        <f t="shared" si="0"/>
        <v>VERIFICAR</v>
      </c>
      <c r="F33" s="22"/>
      <c r="G33" s="21" t="str">
        <f t="shared" si="0"/>
        <v>VERIFICAR</v>
      </c>
      <c r="H33" s="22"/>
      <c r="I33" s="23" t="str">
        <f t="shared" si="1"/>
        <v xml:space="preserve">COM VALOR</v>
      </c>
      <c r="J33" s="19"/>
      <c r="L33" s="21">
        <v>0</v>
      </c>
      <c r="M33" s="22"/>
      <c r="N33" s="21">
        <v>0</v>
      </c>
      <c r="O33" s="22"/>
    </row>
    <row r="34" ht="38.25">
      <c r="A34" t="s">
        <v>49</v>
      </c>
      <c r="B34" s="19">
        <v>89472</v>
      </c>
      <c r="C34" s="20" t="s">
        <v>56</v>
      </c>
      <c r="D34" s="19" t="s">
        <v>29</v>
      </c>
      <c r="E34" s="21">
        <f t="shared" si="0"/>
        <v>133.43000000000001</v>
      </c>
      <c r="F34" s="22">
        <v>0</v>
      </c>
      <c r="G34" s="21">
        <f t="shared" si="0"/>
        <v>131.41999999999999</v>
      </c>
      <c r="H34" s="22">
        <v>0</v>
      </c>
      <c r="I34" s="23" t="str">
        <f t="shared" si="1"/>
        <v xml:space="preserve">COM VALOR</v>
      </c>
      <c r="J34" s="19"/>
      <c r="L34" s="21">
        <v>133.43000000000001</v>
      </c>
      <c r="M34" s="22">
        <v>0</v>
      </c>
      <c r="N34" s="21">
        <v>131.41999999999999</v>
      </c>
      <c r="O34" s="22">
        <v>0</v>
      </c>
    </row>
    <row r="35" ht="25.5">
      <c r="A35" t="s">
        <v>49</v>
      </c>
      <c r="B35" s="19">
        <v>89455</v>
      </c>
      <c r="C35" s="20" t="s">
        <v>57</v>
      </c>
      <c r="D35" s="19" t="s">
        <v>29</v>
      </c>
      <c r="E35" s="21">
        <f t="shared" si="0"/>
        <v>120.52</v>
      </c>
      <c r="F35" s="22">
        <v>0</v>
      </c>
      <c r="G35" s="21">
        <f t="shared" si="0"/>
        <v>119.08</v>
      </c>
      <c r="H35" s="22">
        <v>0</v>
      </c>
      <c r="I35" s="23" t="str">
        <f t="shared" si="1"/>
        <v xml:space="preserve">COM VALOR</v>
      </c>
      <c r="J35" s="19"/>
      <c r="L35" s="21">
        <v>120.52</v>
      </c>
      <c r="M35" s="22">
        <v>0</v>
      </c>
      <c r="N35" s="21">
        <v>119.08</v>
      </c>
      <c r="O35" s="22">
        <v>0</v>
      </c>
    </row>
    <row r="36" ht="38.25">
      <c r="A36" t="s">
        <v>49</v>
      </c>
      <c r="B36" s="19">
        <v>89470</v>
      </c>
      <c r="C36" s="20" t="s">
        <v>58</v>
      </c>
      <c r="D36" s="19" t="s">
        <v>29</v>
      </c>
      <c r="E36" s="21">
        <f t="shared" si="0"/>
        <v>110.5</v>
      </c>
      <c r="F36" s="22">
        <v>0</v>
      </c>
      <c r="G36" s="21">
        <f t="shared" si="0"/>
        <v>108.61</v>
      </c>
      <c r="H36" s="22">
        <v>0</v>
      </c>
      <c r="I36" s="23" t="str">
        <f t="shared" si="1"/>
        <v xml:space="preserve">COM VALOR</v>
      </c>
      <c r="J36" s="19"/>
      <c r="L36" s="21">
        <v>110.5</v>
      </c>
      <c r="M36" s="22">
        <v>0</v>
      </c>
      <c r="N36" s="21">
        <v>108.61</v>
      </c>
      <c r="O36" s="22">
        <v>0</v>
      </c>
    </row>
    <row r="37" ht="25.5">
      <c r="A37" t="s">
        <v>49</v>
      </c>
      <c r="B37" s="19">
        <v>89453</v>
      </c>
      <c r="C37" s="20" t="s">
        <v>59</v>
      </c>
      <c r="D37" s="19" t="s">
        <v>29</v>
      </c>
      <c r="E37" s="21">
        <f t="shared" si="0"/>
        <v>98.650000000000006</v>
      </c>
      <c r="F37" s="22">
        <v>0</v>
      </c>
      <c r="G37" s="21">
        <f t="shared" si="0"/>
        <v>97.290000000000006</v>
      </c>
      <c r="H37" s="22">
        <v>0</v>
      </c>
      <c r="I37" s="23" t="str">
        <f t="shared" si="1"/>
        <v xml:space="preserve">COM VALOR</v>
      </c>
      <c r="J37" s="19"/>
      <c r="L37" s="21">
        <v>98.650000000000006</v>
      </c>
      <c r="M37" s="22">
        <v>0</v>
      </c>
      <c r="N37" s="21">
        <v>97.290000000000006</v>
      </c>
      <c r="O37" s="22">
        <v>0</v>
      </c>
    </row>
    <row r="38" ht="38.25">
      <c r="A38" t="s">
        <v>49</v>
      </c>
      <c r="B38" s="19">
        <v>104443</v>
      </c>
      <c r="C38" s="20" t="s">
        <v>60</v>
      </c>
      <c r="D38" s="19" t="s">
        <v>29</v>
      </c>
      <c r="E38" s="21" t="str">
        <f t="shared" si="0"/>
        <v>VERIFICAR</v>
      </c>
      <c r="F38" s="22"/>
      <c r="G38" s="21" t="str">
        <f t="shared" si="0"/>
        <v>VERIFICAR</v>
      </c>
      <c r="H38" s="22"/>
      <c r="I38" s="23" t="str">
        <f t="shared" si="1"/>
        <v xml:space="preserve">COM VALOR</v>
      </c>
      <c r="J38" s="19"/>
      <c r="L38" s="21">
        <v>0</v>
      </c>
      <c r="M38" s="22"/>
      <c r="N38" s="21">
        <v>0</v>
      </c>
      <c r="O38" s="22"/>
    </row>
    <row r="39" ht="25.5">
      <c r="A39" t="s">
        <v>49</v>
      </c>
      <c r="B39" s="19">
        <v>104441</v>
      </c>
      <c r="C39" s="20" t="s">
        <v>61</v>
      </c>
      <c r="D39" s="19" t="s">
        <v>29</v>
      </c>
      <c r="E39" s="21" t="str">
        <f t="shared" si="0"/>
        <v>VERIFICAR</v>
      </c>
      <c r="F39" s="22"/>
      <c r="G39" s="21" t="str">
        <f t="shared" si="0"/>
        <v>VERIFICAR</v>
      </c>
      <c r="H39" s="22"/>
      <c r="I39" s="23" t="str">
        <f t="shared" si="1"/>
        <v xml:space="preserve">COM VALOR</v>
      </c>
      <c r="J39" s="19"/>
      <c r="L39" s="21">
        <v>0</v>
      </c>
      <c r="M39" s="22"/>
      <c r="N39" s="21">
        <v>0</v>
      </c>
      <c r="O39" s="22"/>
    </row>
    <row r="40" ht="38.25">
      <c r="A40" t="s">
        <v>62</v>
      </c>
      <c r="B40" s="19">
        <v>103354</v>
      </c>
      <c r="C40" s="20" t="s">
        <v>63</v>
      </c>
      <c r="D40" s="19" t="s">
        <v>29</v>
      </c>
      <c r="E40" s="21">
        <f t="shared" si="0"/>
        <v>93.180000000000007</v>
      </c>
      <c r="F40" s="22">
        <v>1.e-002</v>
      </c>
      <c r="G40" s="21">
        <f t="shared" si="0"/>
        <v>90.019999999999996</v>
      </c>
      <c r="H40" s="22">
        <v>1.e-002</v>
      </c>
      <c r="I40" s="23" t="str">
        <f t="shared" si="1"/>
        <v xml:space="preserve">COM VALOR</v>
      </c>
      <c r="J40" s="19"/>
      <c r="L40" s="21">
        <v>93.180000000000007</v>
      </c>
      <c r="M40" s="22">
        <v>1.e-002</v>
      </c>
      <c r="N40" s="21">
        <v>90.019999999999996</v>
      </c>
      <c r="O40" s="22">
        <v>1.e-002</v>
      </c>
    </row>
    <row r="41" ht="38.25">
      <c r="A41" t="s">
        <v>62</v>
      </c>
      <c r="B41" s="19">
        <v>103355</v>
      </c>
      <c r="C41" s="20" t="s">
        <v>64</v>
      </c>
      <c r="D41" s="19" t="s">
        <v>29</v>
      </c>
      <c r="E41" s="21">
        <f t="shared" si="0"/>
        <v>94.400000000000006</v>
      </c>
      <c r="F41" s="22">
        <v>1.e-002</v>
      </c>
      <c r="G41" s="21">
        <f t="shared" si="0"/>
        <v>91.170000000000002</v>
      </c>
      <c r="H41" s="22">
        <v>1.e-002</v>
      </c>
      <c r="I41" s="23" t="str">
        <f t="shared" si="1"/>
        <v xml:space="preserve">COM VALOR</v>
      </c>
      <c r="J41" s="19"/>
      <c r="L41" s="21">
        <v>94.400000000000006</v>
      </c>
      <c r="M41" s="22">
        <v>1.e-002</v>
      </c>
      <c r="N41" s="21">
        <v>91.170000000000002</v>
      </c>
      <c r="O41" s="22">
        <v>1.e-002</v>
      </c>
    </row>
    <row r="42" ht="38.25">
      <c r="A42" t="s">
        <v>62</v>
      </c>
      <c r="B42" s="19">
        <v>103330</v>
      </c>
      <c r="C42" s="20" t="s">
        <v>65</v>
      </c>
      <c r="D42" s="19" t="s">
        <v>29</v>
      </c>
      <c r="E42" s="21">
        <f t="shared" si="0"/>
        <v>86.840000000000003</v>
      </c>
      <c r="F42" s="22">
        <v>1.e-002</v>
      </c>
      <c r="G42" s="21">
        <f t="shared" si="0"/>
        <v>84.090000000000003</v>
      </c>
      <c r="H42" s="22">
        <v>1.e-002</v>
      </c>
      <c r="I42" s="23" t="str">
        <f t="shared" si="1"/>
        <v xml:space="preserve">COM VALOR</v>
      </c>
      <c r="J42" s="19"/>
      <c r="L42" s="21">
        <v>86.840000000000003</v>
      </c>
      <c r="M42" s="22">
        <v>0</v>
      </c>
      <c r="N42" s="21">
        <v>84.090000000000003</v>
      </c>
      <c r="O42" s="22">
        <v>0</v>
      </c>
    </row>
    <row r="43" ht="38.25">
      <c r="A43" t="s">
        <v>62</v>
      </c>
      <c r="B43" s="19">
        <v>103331</v>
      </c>
      <c r="C43" s="20" t="s">
        <v>66</v>
      </c>
      <c r="D43" s="19" t="s">
        <v>29</v>
      </c>
      <c r="E43" s="21">
        <f t="shared" si="0"/>
        <v>87.980000000000004</v>
      </c>
      <c r="F43" s="22">
        <v>1.e-002</v>
      </c>
      <c r="G43" s="21">
        <f t="shared" si="0"/>
        <v>85.170000000000002</v>
      </c>
      <c r="H43" s="22">
        <v>1.e-002</v>
      </c>
      <c r="I43" s="23" t="str">
        <f t="shared" si="1"/>
        <v xml:space="preserve">COM VALOR</v>
      </c>
      <c r="J43" s="19"/>
      <c r="L43" s="21">
        <v>87.980000000000004</v>
      </c>
      <c r="M43" s="22">
        <v>0</v>
      </c>
      <c r="N43" s="21">
        <v>85.170000000000002</v>
      </c>
      <c r="O43" s="22">
        <v>0</v>
      </c>
    </row>
    <row r="44" ht="38.25">
      <c r="A44" t="s">
        <v>62</v>
      </c>
      <c r="B44" s="19">
        <v>103358</v>
      </c>
      <c r="C44" s="20" t="s">
        <v>67</v>
      </c>
      <c r="D44" s="19" t="s">
        <v>29</v>
      </c>
      <c r="E44" s="21">
        <f t="shared" si="0"/>
        <v>73.620000000000005</v>
      </c>
      <c r="F44" s="22">
        <v>1.e-002</v>
      </c>
      <c r="G44" s="21">
        <f t="shared" si="0"/>
        <v>71.409999999999997</v>
      </c>
      <c r="H44" s="22">
        <v>1.e-002</v>
      </c>
      <c r="I44" s="23" t="str">
        <f t="shared" si="1"/>
        <v xml:space="preserve">COM VALOR</v>
      </c>
      <c r="J44" s="19"/>
      <c r="L44" s="21">
        <v>73.620000000000005</v>
      </c>
      <c r="M44" s="22">
        <v>1.e-002</v>
      </c>
      <c r="N44" s="21">
        <v>71.409999999999997</v>
      </c>
      <c r="O44" s="22">
        <v>1.e-002</v>
      </c>
    </row>
    <row r="45" ht="38.25">
      <c r="A45" t="s">
        <v>62</v>
      </c>
      <c r="B45" s="19">
        <v>103359</v>
      </c>
      <c r="C45" s="20" t="s">
        <v>68</v>
      </c>
      <c r="D45" s="19" t="s">
        <v>29</v>
      </c>
      <c r="E45" s="21">
        <f t="shared" si="0"/>
        <v>74.590000000000003</v>
      </c>
      <c r="F45" s="22">
        <v>1.e-002</v>
      </c>
      <c r="G45" s="21">
        <f t="shared" si="0"/>
        <v>72.329999999999998</v>
      </c>
      <c r="H45" s="22">
        <v>1.e-002</v>
      </c>
      <c r="I45" s="23" t="str">
        <f t="shared" si="1"/>
        <v xml:space="preserve">COM VALOR</v>
      </c>
      <c r="J45" s="19"/>
      <c r="L45" s="21">
        <v>74.590000000000003</v>
      </c>
      <c r="M45" s="22">
        <v>1.e-002</v>
      </c>
      <c r="N45" s="21">
        <v>72.329999999999998</v>
      </c>
      <c r="O45" s="22">
        <v>1.e-002</v>
      </c>
    </row>
    <row r="46" ht="38.25">
      <c r="A46" t="s">
        <v>62</v>
      </c>
      <c r="B46" s="19">
        <v>103366</v>
      </c>
      <c r="C46" s="20" t="s">
        <v>69</v>
      </c>
      <c r="D46" s="19" t="s">
        <v>29</v>
      </c>
      <c r="E46" s="21">
        <f t="shared" si="0"/>
        <v>65.109999999999999</v>
      </c>
      <c r="F46" s="22">
        <v>1.e-002</v>
      </c>
      <c r="G46" s="21">
        <f t="shared" si="0"/>
        <v>63.399999999999999</v>
      </c>
      <c r="H46" s="22">
        <v>1.e-002</v>
      </c>
      <c r="I46" s="23" t="str">
        <f t="shared" si="1"/>
        <v xml:space="preserve">COM VALOR</v>
      </c>
      <c r="J46" s="19"/>
      <c r="L46" s="21">
        <v>65.109999999999999</v>
      </c>
      <c r="M46" s="22">
        <v>1.e-002</v>
      </c>
      <c r="N46" s="21">
        <v>63.399999999999999</v>
      </c>
      <c r="O46" s="22">
        <v>1.e-002</v>
      </c>
    </row>
    <row r="47" ht="38.25">
      <c r="A47" t="s">
        <v>62</v>
      </c>
      <c r="B47" s="19">
        <v>103367</v>
      </c>
      <c r="C47" s="20" t="s">
        <v>70</v>
      </c>
      <c r="D47" s="19" t="s">
        <v>29</v>
      </c>
      <c r="E47" s="21">
        <f t="shared" si="0"/>
        <v>65.989999999999995</v>
      </c>
      <c r="F47" s="22">
        <v>1.e-002</v>
      </c>
      <c r="G47" s="21">
        <f t="shared" si="0"/>
        <v>64.230000000000004</v>
      </c>
      <c r="H47" s="22">
        <v>1.e-002</v>
      </c>
      <c r="I47" s="23" t="str">
        <f t="shared" si="1"/>
        <v xml:space="preserve">COM VALOR</v>
      </c>
      <c r="J47" s="19"/>
      <c r="L47" s="21">
        <v>65.989999999999995</v>
      </c>
      <c r="M47" s="22">
        <v>1.e-002</v>
      </c>
      <c r="N47" s="21">
        <v>64.230000000000004</v>
      </c>
      <c r="O47" s="22">
        <v>1.e-002</v>
      </c>
    </row>
    <row r="48" ht="38.25">
      <c r="A48" t="s">
        <v>62</v>
      </c>
      <c r="B48" s="19">
        <v>103360</v>
      </c>
      <c r="C48" s="20" t="s">
        <v>71</v>
      </c>
      <c r="D48" s="19" t="s">
        <v>29</v>
      </c>
      <c r="E48" s="21">
        <f t="shared" si="0"/>
        <v>85.959999999999994</v>
      </c>
      <c r="F48" s="22">
        <v>1.e-002</v>
      </c>
      <c r="G48" s="21">
        <f t="shared" si="0"/>
        <v>83.370000000000005</v>
      </c>
      <c r="H48" s="22">
        <v>1.e-002</v>
      </c>
      <c r="I48" s="23" t="str">
        <f t="shared" si="1"/>
        <v xml:space="preserve">COM VALOR</v>
      </c>
      <c r="J48" s="19"/>
      <c r="L48" s="21">
        <v>85.959999999999994</v>
      </c>
      <c r="M48" s="22">
        <v>0</v>
      </c>
      <c r="N48" s="21">
        <v>83.370000000000005</v>
      </c>
      <c r="O48" s="22">
        <v>0</v>
      </c>
    </row>
    <row r="49" ht="38.25">
      <c r="A49" t="s">
        <v>62</v>
      </c>
      <c r="B49" s="19">
        <v>103361</v>
      </c>
      <c r="C49" s="20" t="s">
        <v>72</v>
      </c>
      <c r="D49" s="19" t="s">
        <v>29</v>
      </c>
      <c r="E49" s="21">
        <f t="shared" si="0"/>
        <v>87.189999999999998</v>
      </c>
      <c r="F49" s="22">
        <v>1.e-002</v>
      </c>
      <c r="G49" s="21">
        <f t="shared" si="0"/>
        <v>84.530000000000001</v>
      </c>
      <c r="H49" s="22">
        <v>1.e-002</v>
      </c>
      <c r="I49" s="23" t="str">
        <f t="shared" si="1"/>
        <v xml:space="preserve">COM VALOR</v>
      </c>
      <c r="J49" s="19"/>
      <c r="L49" s="21">
        <v>87.189999999999998</v>
      </c>
      <c r="M49" s="22">
        <v>0</v>
      </c>
      <c r="N49" s="21">
        <v>84.530000000000001</v>
      </c>
      <c r="O49" s="22">
        <v>0</v>
      </c>
    </row>
    <row r="50" ht="38.25">
      <c r="A50" t="s">
        <v>62</v>
      </c>
      <c r="B50" s="19">
        <v>103368</v>
      </c>
      <c r="C50" s="20" t="s">
        <v>73</v>
      </c>
      <c r="D50" s="19" t="s">
        <v>29</v>
      </c>
      <c r="E50" s="21">
        <f t="shared" si="0"/>
        <v>73.510000000000005</v>
      </c>
      <c r="F50" s="22">
        <v>1.e-002</v>
      </c>
      <c r="G50" s="21">
        <f t="shared" si="0"/>
        <v>71.510000000000005</v>
      </c>
      <c r="H50" s="22">
        <v>1.e-002</v>
      </c>
      <c r="I50" s="23" t="str">
        <f t="shared" si="1"/>
        <v xml:space="preserve">COM VALOR</v>
      </c>
      <c r="J50" s="19"/>
      <c r="L50" s="21">
        <v>73.510000000000005</v>
      </c>
      <c r="M50" s="22">
        <v>1.e-002</v>
      </c>
      <c r="N50" s="21">
        <v>71.510000000000005</v>
      </c>
      <c r="O50" s="22">
        <v>1.e-002</v>
      </c>
    </row>
    <row r="51" ht="38.25">
      <c r="A51" t="s">
        <v>62</v>
      </c>
      <c r="B51" s="19">
        <v>103369</v>
      </c>
      <c r="C51" s="20" t="s">
        <v>74</v>
      </c>
      <c r="D51" s="19" t="s">
        <v>29</v>
      </c>
      <c r="E51" s="21">
        <f t="shared" si="0"/>
        <v>74.620000000000005</v>
      </c>
      <c r="F51" s="22">
        <v>1.e-002</v>
      </c>
      <c r="G51" s="21">
        <f t="shared" si="0"/>
        <v>72.560000000000002</v>
      </c>
      <c r="H51" s="22">
        <v>1.e-002</v>
      </c>
      <c r="I51" s="23" t="str">
        <f t="shared" si="1"/>
        <v xml:space="preserve">COM VALOR</v>
      </c>
      <c r="J51" s="19"/>
      <c r="L51" s="21">
        <v>74.620000000000005</v>
      </c>
      <c r="M51" s="22">
        <v>1.e-002</v>
      </c>
      <c r="N51" s="21">
        <v>72.560000000000002</v>
      </c>
      <c r="O51" s="22">
        <v>1.e-002</v>
      </c>
    </row>
    <row r="52" ht="51">
      <c r="A52" t="s">
        <v>62</v>
      </c>
      <c r="B52" s="19">
        <v>103334</v>
      </c>
      <c r="C52" s="20" t="s">
        <v>75</v>
      </c>
      <c r="D52" s="19" t="s">
        <v>29</v>
      </c>
      <c r="E52" s="21">
        <f t="shared" si="0"/>
        <v>150.33000000000001</v>
      </c>
      <c r="F52" s="22">
        <v>1.e-002</v>
      </c>
      <c r="G52" s="21">
        <f t="shared" si="0"/>
        <v>144.99000000000001</v>
      </c>
      <c r="H52" s="22">
        <v>1.e-002</v>
      </c>
      <c r="I52" s="23" t="str">
        <f t="shared" si="1"/>
        <v xml:space="preserve">COM VALOR</v>
      </c>
      <c r="J52" s="19"/>
      <c r="L52" s="21">
        <v>150.33000000000001</v>
      </c>
      <c r="M52" s="22">
        <v>1.e-002</v>
      </c>
      <c r="N52" s="21">
        <v>144.99000000000001</v>
      </c>
      <c r="O52" s="22">
        <v>1.e-002</v>
      </c>
    </row>
    <row r="53" ht="38.25">
      <c r="A53" t="s">
        <v>62</v>
      </c>
      <c r="B53" s="19">
        <v>103335</v>
      </c>
      <c r="C53" s="20" t="s">
        <v>76</v>
      </c>
      <c r="D53" s="19" t="s">
        <v>29</v>
      </c>
      <c r="E53" s="21">
        <f t="shared" si="0"/>
        <v>152.46000000000001</v>
      </c>
      <c r="F53" s="22">
        <v>1.e-002</v>
      </c>
      <c r="G53" s="21">
        <f t="shared" si="0"/>
        <v>147.00999999999999</v>
      </c>
      <c r="H53" s="22">
        <v>1.e-002</v>
      </c>
      <c r="I53" s="23" t="str">
        <f t="shared" si="1"/>
        <v xml:space="preserve">COM VALOR</v>
      </c>
      <c r="J53" s="19"/>
      <c r="L53" s="21">
        <v>152.46000000000001</v>
      </c>
      <c r="M53" s="22">
        <v>1.e-002</v>
      </c>
      <c r="N53" s="21">
        <v>147.00999999999999</v>
      </c>
      <c r="O53" s="22">
        <v>1.e-002</v>
      </c>
    </row>
    <row r="54" ht="38.25">
      <c r="A54" t="s">
        <v>62</v>
      </c>
      <c r="B54" s="19">
        <v>103362</v>
      </c>
      <c r="C54" s="20" t="s">
        <v>77</v>
      </c>
      <c r="D54" s="19" t="s">
        <v>29</v>
      </c>
      <c r="E54" s="21">
        <f t="shared" si="0"/>
        <v>105.05</v>
      </c>
      <c r="F54" s="22">
        <v>0</v>
      </c>
      <c r="G54" s="21">
        <f t="shared" si="0"/>
        <v>102.06999999999999</v>
      </c>
      <c r="H54" s="22">
        <v>0</v>
      </c>
      <c r="I54" s="23" t="str">
        <f t="shared" si="1"/>
        <v xml:space="preserve">COM VALOR</v>
      </c>
      <c r="J54" s="19"/>
      <c r="L54" s="21">
        <v>105.05</v>
      </c>
      <c r="M54" s="22">
        <v>0</v>
      </c>
      <c r="N54" s="21">
        <v>102.06999999999999</v>
      </c>
      <c r="O54" s="22">
        <v>0</v>
      </c>
    </row>
    <row r="55" ht="38.25">
      <c r="A55" t="s">
        <v>62</v>
      </c>
      <c r="B55" s="19">
        <v>103363</v>
      </c>
      <c r="C55" s="20" t="s">
        <v>78</v>
      </c>
      <c r="D55" s="19" t="s">
        <v>29</v>
      </c>
      <c r="E55" s="21">
        <f t="shared" si="0"/>
        <v>106.43000000000001</v>
      </c>
      <c r="F55" s="22">
        <v>0</v>
      </c>
      <c r="G55" s="21">
        <f t="shared" si="0"/>
        <v>103.38</v>
      </c>
      <c r="H55" s="22">
        <v>0</v>
      </c>
      <c r="I55" s="23" t="str">
        <f t="shared" si="1"/>
        <v xml:space="preserve">COM VALOR</v>
      </c>
      <c r="J55" s="19"/>
      <c r="L55" s="21">
        <v>106.43000000000001</v>
      </c>
      <c r="M55" s="22">
        <v>0</v>
      </c>
      <c r="N55" s="21">
        <v>103.38</v>
      </c>
      <c r="O55" s="22">
        <v>0</v>
      </c>
    </row>
    <row r="56" ht="38.25">
      <c r="A56" t="s">
        <v>62</v>
      </c>
      <c r="B56" s="19">
        <v>103370</v>
      </c>
      <c r="C56" s="20" t="s">
        <v>79</v>
      </c>
      <c r="D56" s="19" t="s">
        <v>29</v>
      </c>
      <c r="E56" s="21">
        <f t="shared" si="0"/>
        <v>93.689999999999998</v>
      </c>
      <c r="F56" s="22">
        <v>0</v>
      </c>
      <c r="G56" s="21">
        <f t="shared" si="0"/>
        <v>91.400000000000006</v>
      </c>
      <c r="H56" s="22">
        <v>1.e-002</v>
      </c>
      <c r="I56" s="23" t="str">
        <f t="shared" si="1"/>
        <v xml:space="preserve">COM VALOR</v>
      </c>
      <c r="J56" s="19"/>
      <c r="L56" s="21">
        <v>93.689999999999998</v>
      </c>
      <c r="M56" s="22">
        <v>0</v>
      </c>
      <c r="N56" s="21">
        <v>91.400000000000006</v>
      </c>
      <c r="O56" s="22">
        <v>0</v>
      </c>
    </row>
    <row r="57" ht="38.25">
      <c r="A57" t="s">
        <v>62</v>
      </c>
      <c r="B57" s="19">
        <v>103371</v>
      </c>
      <c r="C57" s="20" t="s">
        <v>80</v>
      </c>
      <c r="D57" s="19" t="s">
        <v>29</v>
      </c>
      <c r="E57" s="21">
        <f t="shared" si="0"/>
        <v>94.930000000000007</v>
      </c>
      <c r="F57" s="22">
        <v>0</v>
      </c>
      <c r="G57" s="21">
        <f t="shared" si="0"/>
        <v>92.579999999999998</v>
      </c>
      <c r="H57" s="22">
        <v>0</v>
      </c>
      <c r="I57" s="23" t="str">
        <f t="shared" si="1"/>
        <v xml:space="preserve">COM VALOR</v>
      </c>
      <c r="J57" s="19"/>
      <c r="L57" s="21">
        <v>94.930000000000007</v>
      </c>
      <c r="M57" s="22">
        <v>0</v>
      </c>
      <c r="N57" s="21">
        <v>92.579999999999998</v>
      </c>
      <c r="O57" s="22">
        <v>0</v>
      </c>
    </row>
    <row r="58" ht="38.25">
      <c r="A58" t="s">
        <v>62</v>
      </c>
      <c r="B58" s="19">
        <v>103332</v>
      </c>
      <c r="C58" s="20" t="s">
        <v>81</v>
      </c>
      <c r="D58" s="19" t="s">
        <v>29</v>
      </c>
      <c r="E58" s="21">
        <f t="shared" si="0"/>
        <v>124.36</v>
      </c>
      <c r="F58" s="22">
        <v>0</v>
      </c>
      <c r="G58" s="21">
        <f t="shared" si="0"/>
        <v>119.37</v>
      </c>
      <c r="H58" s="22">
        <v>0</v>
      </c>
      <c r="I58" s="23" t="str">
        <f t="shared" si="1"/>
        <v xml:space="preserve">COM VALOR</v>
      </c>
      <c r="J58" s="19"/>
      <c r="L58" s="21">
        <v>124.36</v>
      </c>
      <c r="M58" s="22">
        <v>0</v>
      </c>
      <c r="N58" s="21">
        <v>119.37</v>
      </c>
      <c r="O58" s="22">
        <v>0</v>
      </c>
    </row>
    <row r="59" ht="38.25">
      <c r="A59" t="s">
        <v>62</v>
      </c>
      <c r="B59" s="19">
        <v>103333</v>
      </c>
      <c r="C59" s="20" t="s">
        <v>82</v>
      </c>
      <c r="D59" s="19" t="s">
        <v>29</v>
      </c>
      <c r="E59" s="21">
        <f t="shared" si="0"/>
        <v>125.59</v>
      </c>
      <c r="F59" s="22">
        <v>0</v>
      </c>
      <c r="G59" s="21">
        <f t="shared" si="0"/>
        <v>120.53</v>
      </c>
      <c r="H59" s="22">
        <v>0</v>
      </c>
      <c r="I59" s="23" t="str">
        <f t="shared" si="1"/>
        <v xml:space="preserve">COM VALOR</v>
      </c>
      <c r="J59" s="19"/>
      <c r="L59" s="21">
        <v>125.59</v>
      </c>
      <c r="M59" s="22">
        <v>0</v>
      </c>
      <c r="N59" s="21">
        <v>120.53</v>
      </c>
      <c r="O59" s="22">
        <v>0</v>
      </c>
    </row>
    <row r="60" ht="38.25">
      <c r="A60" t="s">
        <v>62</v>
      </c>
      <c r="B60" s="19">
        <v>103352</v>
      </c>
      <c r="C60" s="20" t="s">
        <v>83</v>
      </c>
      <c r="D60" s="19" t="s">
        <v>29</v>
      </c>
      <c r="E60" s="21">
        <f t="shared" si="0"/>
        <v>107.31999999999999</v>
      </c>
      <c r="F60" s="22">
        <v>0</v>
      </c>
      <c r="G60" s="21">
        <f t="shared" si="0"/>
        <v>103.22</v>
      </c>
      <c r="H60" s="22">
        <v>0</v>
      </c>
      <c r="I60" s="23" t="str">
        <f t="shared" si="1"/>
        <v xml:space="preserve">COM VALOR</v>
      </c>
      <c r="J60" s="19"/>
      <c r="L60" s="21">
        <v>107.31999999999999</v>
      </c>
      <c r="M60" s="22">
        <v>0</v>
      </c>
      <c r="N60" s="21">
        <v>103.22</v>
      </c>
      <c r="O60" s="22">
        <v>0</v>
      </c>
    </row>
    <row r="61" ht="38.25">
      <c r="A61" t="s">
        <v>62</v>
      </c>
      <c r="B61" s="19">
        <v>103353</v>
      </c>
      <c r="C61" s="20" t="s">
        <v>84</v>
      </c>
      <c r="D61" s="19" t="s">
        <v>29</v>
      </c>
      <c r="E61" s="21">
        <f t="shared" si="0"/>
        <v>108.45</v>
      </c>
      <c r="F61" s="22">
        <v>0</v>
      </c>
      <c r="G61" s="21">
        <f t="shared" si="0"/>
        <v>104.29000000000001</v>
      </c>
      <c r="H61" s="22">
        <v>0</v>
      </c>
      <c r="I61" s="23" t="str">
        <f t="shared" si="1"/>
        <v xml:space="preserve">COM VALOR</v>
      </c>
      <c r="J61" s="19"/>
      <c r="L61" s="21">
        <v>108.45</v>
      </c>
      <c r="M61" s="22">
        <v>0</v>
      </c>
      <c r="N61" s="21">
        <v>104.29000000000001</v>
      </c>
      <c r="O61" s="22">
        <v>0</v>
      </c>
    </row>
    <row r="62" ht="38.25">
      <c r="A62" t="s">
        <v>62</v>
      </c>
      <c r="B62" s="19">
        <v>103328</v>
      </c>
      <c r="C62" s="20" t="s">
        <v>85</v>
      </c>
      <c r="D62" s="19" t="s">
        <v>29</v>
      </c>
      <c r="E62" s="21">
        <f t="shared" si="0"/>
        <v>98.329999999999998</v>
      </c>
      <c r="F62" s="22">
        <v>0</v>
      </c>
      <c r="G62" s="21">
        <f t="shared" si="0"/>
        <v>94.659999999999997</v>
      </c>
      <c r="H62" s="22">
        <v>0</v>
      </c>
      <c r="I62" s="23" t="str">
        <f t="shared" si="1"/>
        <v xml:space="preserve">COM VALOR</v>
      </c>
      <c r="J62" s="19"/>
      <c r="L62" s="21">
        <v>98.329999999999998</v>
      </c>
      <c r="M62" s="22">
        <v>0</v>
      </c>
      <c r="N62" s="21">
        <v>94.659999999999997</v>
      </c>
      <c r="O62" s="22">
        <v>0</v>
      </c>
    </row>
    <row r="63" ht="38.25">
      <c r="A63" t="s">
        <v>62</v>
      </c>
      <c r="B63" s="19">
        <v>103329</v>
      </c>
      <c r="C63" s="20" t="s">
        <v>86</v>
      </c>
      <c r="D63" s="19" t="s">
        <v>29</v>
      </c>
      <c r="E63" s="21">
        <f t="shared" si="0"/>
        <v>99.390000000000001</v>
      </c>
      <c r="F63" s="22">
        <v>0</v>
      </c>
      <c r="G63" s="21">
        <f t="shared" si="0"/>
        <v>95.659999999999997</v>
      </c>
      <c r="H63" s="22">
        <v>0</v>
      </c>
      <c r="I63" s="23" t="str">
        <f t="shared" si="1"/>
        <v xml:space="preserve">COM VALOR</v>
      </c>
      <c r="J63" s="19"/>
      <c r="L63" s="21">
        <v>99.390000000000001</v>
      </c>
      <c r="M63" s="22">
        <v>0</v>
      </c>
      <c r="N63" s="21">
        <v>95.659999999999997</v>
      </c>
      <c r="O63" s="22">
        <v>0</v>
      </c>
    </row>
    <row r="64" ht="38.25">
      <c r="A64" t="s">
        <v>62</v>
      </c>
      <c r="B64" s="19">
        <v>103356</v>
      </c>
      <c r="C64" s="20" t="s">
        <v>87</v>
      </c>
      <c r="D64" s="19" t="s">
        <v>29</v>
      </c>
      <c r="E64" s="21">
        <f t="shared" si="0"/>
        <v>65.010000000000005</v>
      </c>
      <c r="F64" s="22">
        <v>0</v>
      </c>
      <c r="G64" s="21">
        <f t="shared" si="0"/>
        <v>63.219999999999999</v>
      </c>
      <c r="H64" s="22">
        <v>0</v>
      </c>
      <c r="I64" s="23" t="str">
        <f t="shared" si="1"/>
        <v xml:space="preserve">COM VALOR</v>
      </c>
      <c r="J64" s="19"/>
      <c r="L64" s="21">
        <v>65.010000000000005</v>
      </c>
      <c r="M64" s="22">
        <v>0</v>
      </c>
      <c r="N64" s="21">
        <v>63.219999999999999</v>
      </c>
      <c r="O64" s="22">
        <v>0</v>
      </c>
    </row>
    <row r="65" ht="38.25">
      <c r="A65" t="s">
        <v>62</v>
      </c>
      <c r="B65" s="19">
        <v>103357</v>
      </c>
      <c r="C65" s="20" t="s">
        <v>88</v>
      </c>
      <c r="D65" s="19" t="s">
        <v>29</v>
      </c>
      <c r="E65" s="21">
        <f t="shared" si="0"/>
        <v>65.900000000000006</v>
      </c>
      <c r="F65" s="22">
        <v>0</v>
      </c>
      <c r="G65" s="21">
        <f t="shared" si="0"/>
        <v>64.069999999999993</v>
      </c>
      <c r="H65" s="22">
        <v>0</v>
      </c>
      <c r="I65" s="23" t="str">
        <f t="shared" si="1"/>
        <v xml:space="preserve">COM VALOR</v>
      </c>
      <c r="J65" s="19"/>
      <c r="L65" s="21">
        <v>65.900000000000006</v>
      </c>
      <c r="M65" s="22">
        <v>0</v>
      </c>
      <c r="N65" s="21">
        <v>64.069999999999993</v>
      </c>
      <c r="O65" s="22">
        <v>0</v>
      </c>
    </row>
    <row r="66" ht="38.25">
      <c r="A66" t="s">
        <v>62</v>
      </c>
      <c r="B66" s="19">
        <v>103364</v>
      </c>
      <c r="C66" s="20" t="s">
        <v>89</v>
      </c>
      <c r="D66" s="19" t="s">
        <v>29</v>
      </c>
      <c r="E66" s="21">
        <f t="shared" si="0"/>
        <v>54.380000000000003</v>
      </c>
      <c r="F66" s="22">
        <v>1.e-002</v>
      </c>
      <c r="G66" s="21">
        <f t="shared" si="0"/>
        <v>53.009999999999998</v>
      </c>
      <c r="H66" s="22">
        <v>1.e-002</v>
      </c>
      <c r="I66" s="23" t="str">
        <f t="shared" si="1"/>
        <v xml:space="preserve">COM VALOR</v>
      </c>
      <c r="J66" s="19"/>
      <c r="L66" s="21">
        <v>54.380000000000003</v>
      </c>
      <c r="M66" s="22">
        <v>7.4999999999999997e-003</v>
      </c>
      <c r="N66" s="21">
        <v>53.009999999999998</v>
      </c>
      <c r="O66" s="22">
        <v>1.e-002</v>
      </c>
    </row>
    <row r="67" ht="38.25">
      <c r="A67" t="s">
        <v>62</v>
      </c>
      <c r="B67" s="19">
        <v>103365</v>
      </c>
      <c r="C67" s="20" t="s">
        <v>90</v>
      </c>
      <c r="D67" s="19" t="s">
        <v>29</v>
      </c>
      <c r="E67" s="21">
        <f t="shared" si="0"/>
        <v>54.979999999999997</v>
      </c>
      <c r="F67" s="22">
        <v>0</v>
      </c>
      <c r="G67" s="21">
        <f t="shared" si="0"/>
        <v>53.560000000000002</v>
      </c>
      <c r="H67" s="22">
        <v>0</v>
      </c>
      <c r="I67" s="23" t="str">
        <f t="shared" si="1"/>
        <v xml:space="preserve">COM VALOR</v>
      </c>
      <c r="J67" s="19"/>
      <c r="L67" s="21">
        <v>54.979999999999997</v>
      </c>
      <c r="M67" s="22">
        <v>0</v>
      </c>
      <c r="N67" s="21">
        <v>53.560000000000002</v>
      </c>
      <c r="O67" s="22">
        <v>0</v>
      </c>
    </row>
    <row r="68" ht="38.25">
      <c r="A68" t="s">
        <v>62</v>
      </c>
      <c r="B68" s="19">
        <v>103350</v>
      </c>
      <c r="C68" s="20" t="s">
        <v>91</v>
      </c>
      <c r="D68" s="19" t="s">
        <v>29</v>
      </c>
      <c r="E68" s="21">
        <f t="shared" si="0"/>
        <v>182.69</v>
      </c>
      <c r="F68" s="22">
        <v>0</v>
      </c>
      <c r="G68" s="21">
        <f t="shared" si="0"/>
        <v>175.81</v>
      </c>
      <c r="H68" s="22">
        <v>0</v>
      </c>
      <c r="I68" s="23" t="str">
        <f t="shared" si="1"/>
        <v xml:space="preserve">COM VALOR</v>
      </c>
      <c r="J68" s="19"/>
      <c r="L68" s="21">
        <v>182.69</v>
      </c>
      <c r="M68" s="22">
        <v>0</v>
      </c>
      <c r="N68" s="21">
        <v>175.81</v>
      </c>
      <c r="O68" s="22">
        <v>0</v>
      </c>
    </row>
    <row r="69" ht="38.25">
      <c r="A69" t="s">
        <v>62</v>
      </c>
      <c r="B69" s="19">
        <v>103351</v>
      </c>
      <c r="C69" s="20" t="s">
        <v>92</v>
      </c>
      <c r="D69" s="19" t="s">
        <v>29</v>
      </c>
      <c r="E69" s="21">
        <f t="shared" si="0"/>
        <v>184.25999999999999</v>
      </c>
      <c r="F69" s="22">
        <v>0</v>
      </c>
      <c r="G69" s="21">
        <f t="shared" si="0"/>
        <v>177.30000000000001</v>
      </c>
      <c r="H69" s="22">
        <v>0</v>
      </c>
      <c r="I69" s="23" t="str">
        <f t="shared" si="1"/>
        <v xml:space="preserve">COM VALOR</v>
      </c>
      <c r="J69" s="19"/>
      <c r="L69" s="21">
        <v>184.25999999999999</v>
      </c>
      <c r="M69" s="22">
        <v>0</v>
      </c>
      <c r="N69" s="21">
        <v>177.30000000000001</v>
      </c>
      <c r="O69" s="22">
        <v>0</v>
      </c>
    </row>
    <row r="70" ht="38.25">
      <c r="A70" t="s">
        <v>62</v>
      </c>
      <c r="B70" s="19">
        <v>103344</v>
      </c>
      <c r="C70" s="20" t="s">
        <v>93</v>
      </c>
      <c r="D70" s="19" t="s">
        <v>29</v>
      </c>
      <c r="E70" s="21">
        <f t="shared" si="0"/>
        <v>88.120000000000005</v>
      </c>
      <c r="F70" s="22">
        <v>1.e-002</v>
      </c>
      <c r="G70" s="21">
        <f t="shared" si="0"/>
        <v>85.870000000000005</v>
      </c>
      <c r="H70" s="22">
        <v>1.e-002</v>
      </c>
      <c r="I70" s="23" t="str">
        <f t="shared" si="1"/>
        <v xml:space="preserve">COM VALOR</v>
      </c>
      <c r="J70" s="19"/>
      <c r="L70" s="21">
        <v>88.120000000000005</v>
      </c>
      <c r="M70" s="22">
        <v>0</v>
      </c>
      <c r="N70" s="21">
        <v>85.870000000000005</v>
      </c>
      <c r="O70" s="22">
        <v>0</v>
      </c>
    </row>
    <row r="71" ht="38.25">
      <c r="A71" t="s">
        <v>62</v>
      </c>
      <c r="B71" s="19">
        <v>103345</v>
      </c>
      <c r="C71" s="20" t="s">
        <v>94</v>
      </c>
      <c r="D71" s="19" t="s">
        <v>29</v>
      </c>
      <c r="E71" s="21">
        <f t="shared" si="0"/>
        <v>89.540000000000006</v>
      </c>
      <c r="F71" s="22">
        <v>1.e-002</v>
      </c>
      <c r="G71" s="21">
        <f t="shared" si="0"/>
        <v>87.219999999999999</v>
      </c>
      <c r="H71" s="22">
        <v>1.e-002</v>
      </c>
      <c r="I71" s="23" t="str">
        <f t="shared" si="1"/>
        <v xml:space="preserve">COM VALOR</v>
      </c>
      <c r="J71" s="19"/>
      <c r="L71" s="21">
        <v>89.540000000000006</v>
      </c>
      <c r="M71" s="22">
        <v>0</v>
      </c>
      <c r="N71" s="21">
        <v>87.219999999999999</v>
      </c>
      <c r="O71" s="22">
        <v>0</v>
      </c>
    </row>
    <row r="72" ht="38.25">
      <c r="A72" t="s">
        <v>62</v>
      </c>
      <c r="B72" s="19">
        <v>103348</v>
      </c>
      <c r="C72" s="20" t="s">
        <v>95</v>
      </c>
      <c r="D72" s="19" t="s">
        <v>29</v>
      </c>
      <c r="E72" s="21">
        <f t="shared" si="0"/>
        <v>74.719999999999999</v>
      </c>
      <c r="F72" s="22">
        <v>1.e-002</v>
      </c>
      <c r="G72" s="21">
        <f t="shared" si="0"/>
        <v>72.980000000000004</v>
      </c>
      <c r="H72" s="22">
        <v>1.e-002</v>
      </c>
      <c r="I72" s="23" t="str">
        <f t="shared" si="1"/>
        <v xml:space="preserve">COM VALOR</v>
      </c>
      <c r="J72" s="19"/>
      <c r="L72" s="21">
        <v>74.719999999999999</v>
      </c>
      <c r="M72" s="22">
        <v>1.e-002</v>
      </c>
      <c r="N72" s="21">
        <v>72.980000000000004</v>
      </c>
      <c r="O72" s="22">
        <v>1.e-002</v>
      </c>
    </row>
    <row r="73" ht="38.25">
      <c r="A73" t="s">
        <v>62</v>
      </c>
      <c r="B73" s="19">
        <v>103349</v>
      </c>
      <c r="C73" s="20" t="s">
        <v>96</v>
      </c>
      <c r="D73" s="19" t="s">
        <v>29</v>
      </c>
      <c r="E73" s="21">
        <f t="shared" si="0"/>
        <v>76.010000000000005</v>
      </c>
      <c r="F73" s="22">
        <v>1.e-002</v>
      </c>
      <c r="G73" s="21">
        <f t="shared" si="0"/>
        <v>74.200000000000003</v>
      </c>
      <c r="H73" s="22">
        <v>1.e-002</v>
      </c>
      <c r="I73" s="23" t="str">
        <f t="shared" si="1"/>
        <v xml:space="preserve">COM VALOR</v>
      </c>
      <c r="J73" s="19"/>
      <c r="L73" s="21">
        <v>76.010000000000005</v>
      </c>
      <c r="M73" s="22">
        <v>1.e-002</v>
      </c>
      <c r="N73" s="21">
        <v>74.200000000000003</v>
      </c>
      <c r="O73" s="22">
        <v>1.e-002</v>
      </c>
    </row>
    <row r="74" ht="38.25">
      <c r="A74" t="s">
        <v>62</v>
      </c>
      <c r="B74" s="19">
        <v>103346</v>
      </c>
      <c r="C74" s="20" t="s">
        <v>97</v>
      </c>
      <c r="D74" s="19" t="s">
        <v>29</v>
      </c>
      <c r="E74" s="21">
        <f t="shared" si="0"/>
        <v>97.459999999999994</v>
      </c>
      <c r="F74" s="22">
        <v>0</v>
      </c>
      <c r="G74" s="21">
        <f t="shared" si="0"/>
        <v>94.840000000000003</v>
      </c>
      <c r="H74" s="22">
        <v>0</v>
      </c>
      <c r="I74" s="23" t="str">
        <f t="shared" si="1"/>
        <v xml:space="preserve">COM VALOR</v>
      </c>
      <c r="J74" s="19"/>
      <c r="L74" s="21">
        <v>97.459999999999994</v>
      </c>
      <c r="M74" s="22">
        <v>0</v>
      </c>
      <c r="N74" s="21">
        <v>94.840000000000003</v>
      </c>
      <c r="O74" s="22">
        <v>0</v>
      </c>
    </row>
    <row r="75" ht="38.25">
      <c r="A75" t="s">
        <v>62</v>
      </c>
      <c r="B75" s="19">
        <v>103347</v>
      </c>
      <c r="C75" s="20" t="s">
        <v>98</v>
      </c>
      <c r="D75" s="19" t="s">
        <v>29</v>
      </c>
      <c r="E75" s="21">
        <f t="shared" ref="E75:G138" si="2">IF(L75=0,"VERIFICAR",L75)</f>
        <v>98.980000000000004</v>
      </c>
      <c r="F75" s="22">
        <v>0</v>
      </c>
      <c r="G75" s="21">
        <f t="shared" ref="G75:G138" si="3">IF(N75=0,"VERIFICAR",N75)</f>
        <v>96.280000000000001</v>
      </c>
      <c r="H75" s="22">
        <v>0</v>
      </c>
      <c r="I75" s="23" t="str">
        <f t="shared" ref="I75:I138" si="4">IF(OR(E75=0,G75=0),"SEM VALOR","COM VALOR")</f>
        <v xml:space="preserve">COM VALOR</v>
      </c>
      <c r="J75" s="19"/>
      <c r="L75" s="21">
        <v>98.980000000000004</v>
      </c>
      <c r="M75" s="22">
        <v>0</v>
      </c>
      <c r="N75" s="21">
        <v>96.280000000000001</v>
      </c>
      <c r="O75" s="22">
        <v>0</v>
      </c>
    </row>
    <row r="76" ht="38.25">
      <c r="A76" t="s">
        <v>62</v>
      </c>
      <c r="B76" s="19">
        <v>103324</v>
      </c>
      <c r="C76" s="20" t="s">
        <v>99</v>
      </c>
      <c r="D76" s="19" t="s">
        <v>29</v>
      </c>
      <c r="E76" s="21">
        <f t="shared" si="2"/>
        <v>84.420000000000002</v>
      </c>
      <c r="F76" s="22">
        <v>1.e-002</v>
      </c>
      <c r="G76" s="21">
        <f t="shared" si="3"/>
        <v>82.400000000000006</v>
      </c>
      <c r="H76" s="22">
        <v>1.e-002</v>
      </c>
      <c r="I76" s="23" t="str">
        <f t="shared" si="4"/>
        <v xml:space="preserve">COM VALOR</v>
      </c>
      <c r="J76" s="19"/>
      <c r="L76" s="21">
        <v>84.420000000000002</v>
      </c>
      <c r="M76" s="22">
        <v>0</v>
      </c>
      <c r="N76" s="21">
        <v>82.400000000000006</v>
      </c>
      <c r="O76" s="22">
        <v>5.0000000000000001e-003</v>
      </c>
    </row>
    <row r="77" ht="38.25">
      <c r="A77" t="s">
        <v>62</v>
      </c>
      <c r="B77" s="19">
        <v>103325</v>
      </c>
      <c r="C77" s="20" t="s">
        <v>100</v>
      </c>
      <c r="D77" s="19" t="s">
        <v>29</v>
      </c>
      <c r="E77" s="21">
        <f t="shared" si="2"/>
        <v>85.799999999999997</v>
      </c>
      <c r="F77" s="22">
        <v>1.e-002</v>
      </c>
      <c r="G77" s="21">
        <f t="shared" si="3"/>
        <v>83.709999999999994</v>
      </c>
      <c r="H77" s="22">
        <v>1.e-002</v>
      </c>
      <c r="I77" s="23" t="str">
        <f t="shared" si="4"/>
        <v xml:space="preserve">COM VALOR</v>
      </c>
      <c r="J77" s="19"/>
      <c r="L77" s="21">
        <v>85.799999999999997</v>
      </c>
      <c r="M77" s="22">
        <v>0</v>
      </c>
      <c r="N77" s="21">
        <v>83.709999999999994</v>
      </c>
      <c r="O77" s="22">
        <v>0</v>
      </c>
    </row>
    <row r="78" ht="38.25">
      <c r="A78" t="s">
        <v>62</v>
      </c>
      <c r="B78" s="19">
        <v>103326</v>
      </c>
      <c r="C78" s="20" t="s">
        <v>101</v>
      </c>
      <c r="D78" s="19" t="s">
        <v>29</v>
      </c>
      <c r="E78" s="21">
        <f t="shared" si="2"/>
        <v>99.540000000000006</v>
      </c>
      <c r="F78" s="22">
        <v>0</v>
      </c>
      <c r="G78" s="21">
        <f t="shared" si="3"/>
        <v>97.219999999999999</v>
      </c>
      <c r="H78" s="22">
        <v>0</v>
      </c>
      <c r="I78" s="23" t="str">
        <f t="shared" si="4"/>
        <v xml:space="preserve">COM VALOR</v>
      </c>
      <c r="J78" s="19"/>
      <c r="L78" s="21">
        <v>99.540000000000006</v>
      </c>
      <c r="M78" s="22">
        <v>0</v>
      </c>
      <c r="N78" s="21">
        <v>97.219999999999999</v>
      </c>
      <c r="O78" s="22">
        <v>0</v>
      </c>
    </row>
    <row r="79" ht="38.25">
      <c r="A79" t="s">
        <v>62</v>
      </c>
      <c r="B79" s="19">
        <v>103327</v>
      </c>
      <c r="C79" s="20" t="s">
        <v>102</v>
      </c>
      <c r="D79" s="19" t="s">
        <v>29</v>
      </c>
      <c r="E79" s="21">
        <f t="shared" si="2"/>
        <v>101.15000000000001</v>
      </c>
      <c r="F79" s="22">
        <v>0</v>
      </c>
      <c r="G79" s="21">
        <f t="shared" si="3"/>
        <v>98.75</v>
      </c>
      <c r="H79" s="22">
        <v>0</v>
      </c>
      <c r="I79" s="23" t="str">
        <f t="shared" si="4"/>
        <v xml:space="preserve">COM VALOR</v>
      </c>
      <c r="J79" s="19"/>
      <c r="L79" s="21">
        <v>101.15000000000001</v>
      </c>
      <c r="M79" s="22">
        <v>0</v>
      </c>
      <c r="N79" s="21">
        <v>98.75</v>
      </c>
      <c r="O79" s="22">
        <v>0</v>
      </c>
    </row>
    <row r="80" ht="38.25">
      <c r="A80" t="s">
        <v>62</v>
      </c>
      <c r="B80" s="19">
        <v>103322</v>
      </c>
      <c r="C80" s="20" t="s">
        <v>103</v>
      </c>
      <c r="D80" s="19" t="s">
        <v>29</v>
      </c>
      <c r="E80" s="21">
        <f t="shared" si="2"/>
        <v>63.469999999999999</v>
      </c>
      <c r="F80" s="22">
        <v>0</v>
      </c>
      <c r="G80" s="21">
        <f t="shared" si="3"/>
        <v>62.079999999999998</v>
      </c>
      <c r="H80" s="22">
        <v>0</v>
      </c>
      <c r="I80" s="23" t="str">
        <f t="shared" si="4"/>
        <v xml:space="preserve">COM VALOR</v>
      </c>
      <c r="J80" s="19"/>
      <c r="L80" s="21">
        <v>63.469999999999999</v>
      </c>
      <c r="M80" s="22">
        <v>0</v>
      </c>
      <c r="N80" s="21">
        <v>62.079999999999998</v>
      </c>
      <c r="O80" s="22">
        <v>0</v>
      </c>
    </row>
    <row r="81" ht="38.25">
      <c r="A81" t="s">
        <v>62</v>
      </c>
      <c r="B81" s="19">
        <v>103323</v>
      </c>
      <c r="C81" s="20" t="s">
        <v>104</v>
      </c>
      <c r="D81" s="19" t="s">
        <v>29</v>
      </c>
      <c r="E81" s="21">
        <f t="shared" si="2"/>
        <v>64.689999999999998</v>
      </c>
      <c r="F81" s="22">
        <v>0</v>
      </c>
      <c r="G81" s="21">
        <f t="shared" si="3"/>
        <v>63.229999999999997</v>
      </c>
      <c r="H81" s="22">
        <v>0</v>
      </c>
      <c r="I81" s="23" t="str">
        <f t="shared" si="4"/>
        <v xml:space="preserve">COM VALOR</v>
      </c>
      <c r="J81" s="19"/>
      <c r="L81" s="21">
        <v>64.689999999999998</v>
      </c>
      <c r="M81" s="22">
        <v>0</v>
      </c>
      <c r="N81" s="21">
        <v>63.229999999999997</v>
      </c>
      <c r="O81" s="22">
        <v>0</v>
      </c>
    </row>
    <row r="82" ht="38.25">
      <c r="A82" t="s">
        <v>62</v>
      </c>
      <c r="B82" s="19">
        <v>103338</v>
      </c>
      <c r="C82" s="20" t="s">
        <v>105</v>
      </c>
      <c r="D82" s="19" t="s">
        <v>29</v>
      </c>
      <c r="E82" s="21">
        <f t="shared" si="2"/>
        <v>123.44</v>
      </c>
      <c r="F82" s="22">
        <v>0</v>
      </c>
      <c r="G82" s="21">
        <f t="shared" si="3"/>
        <v>120.45999999999999</v>
      </c>
      <c r="H82" s="22">
        <v>0</v>
      </c>
      <c r="I82" s="23" t="str">
        <f t="shared" si="4"/>
        <v xml:space="preserve">COM VALOR</v>
      </c>
      <c r="J82" s="19"/>
      <c r="L82" s="21">
        <v>123.44</v>
      </c>
      <c r="M82" s="22">
        <v>0</v>
      </c>
      <c r="N82" s="21">
        <v>120.45999999999999</v>
      </c>
      <c r="O82" s="22">
        <v>0</v>
      </c>
    </row>
    <row r="83" ht="38.25">
      <c r="A83" t="s">
        <v>62</v>
      </c>
      <c r="B83" s="19">
        <v>103339</v>
      </c>
      <c r="C83" s="20" t="s">
        <v>106</v>
      </c>
      <c r="D83" s="19" t="s">
        <v>29</v>
      </c>
      <c r="E83" s="21">
        <f t="shared" si="2"/>
        <v>124.63</v>
      </c>
      <c r="F83" s="22">
        <v>0</v>
      </c>
      <c r="G83" s="21">
        <f t="shared" si="3"/>
        <v>121.59</v>
      </c>
      <c r="H83" s="22">
        <v>0</v>
      </c>
      <c r="I83" s="23" t="str">
        <f t="shared" si="4"/>
        <v xml:space="preserve">COM VALOR</v>
      </c>
      <c r="J83" s="19"/>
      <c r="L83" s="21">
        <v>124.63</v>
      </c>
      <c r="M83" s="22">
        <v>0</v>
      </c>
      <c r="N83" s="21">
        <v>121.59</v>
      </c>
      <c r="O83" s="22">
        <v>0</v>
      </c>
    </row>
    <row r="84" ht="38.25">
      <c r="A84" t="s">
        <v>62</v>
      </c>
      <c r="B84" s="19">
        <v>103340</v>
      </c>
      <c r="C84" s="20" t="s">
        <v>107</v>
      </c>
      <c r="D84" s="19" t="s">
        <v>29</v>
      </c>
      <c r="E84" s="21">
        <f t="shared" si="2"/>
        <v>149.88999999999999</v>
      </c>
      <c r="F84" s="22">
        <v>0</v>
      </c>
      <c r="G84" s="21">
        <f t="shared" si="3"/>
        <v>146.5</v>
      </c>
      <c r="H84" s="22">
        <v>0</v>
      </c>
      <c r="I84" s="23" t="str">
        <f t="shared" si="4"/>
        <v xml:space="preserve">COM VALOR</v>
      </c>
      <c r="J84" s="19"/>
      <c r="L84" s="21">
        <v>149.88999999999999</v>
      </c>
      <c r="M84" s="22">
        <v>0</v>
      </c>
      <c r="N84" s="21">
        <v>146.5</v>
      </c>
      <c r="O84" s="22">
        <v>0</v>
      </c>
    </row>
    <row r="85" ht="38.25">
      <c r="A85" t="s">
        <v>62</v>
      </c>
      <c r="B85" s="19">
        <v>103341</v>
      </c>
      <c r="C85" s="20" t="s">
        <v>108</v>
      </c>
      <c r="D85" s="19" t="s">
        <v>29</v>
      </c>
      <c r="E85" s="21">
        <f t="shared" si="2"/>
        <v>151.38</v>
      </c>
      <c r="F85" s="22">
        <v>0</v>
      </c>
      <c r="G85" s="21">
        <f t="shared" si="3"/>
        <v>147.91999999999999</v>
      </c>
      <c r="H85" s="22">
        <v>0</v>
      </c>
      <c r="I85" s="23" t="str">
        <f t="shared" si="4"/>
        <v xml:space="preserve">COM VALOR</v>
      </c>
      <c r="J85" s="19"/>
      <c r="L85" s="21">
        <v>151.38</v>
      </c>
      <c r="M85" s="22">
        <v>0</v>
      </c>
      <c r="N85" s="21">
        <v>147.91999999999999</v>
      </c>
      <c r="O85" s="22">
        <v>0</v>
      </c>
    </row>
    <row r="86" ht="38.25">
      <c r="A86" t="s">
        <v>62</v>
      </c>
      <c r="B86" s="19">
        <v>103336</v>
      </c>
      <c r="C86" s="20" t="s">
        <v>109</v>
      </c>
      <c r="D86" s="19" t="s">
        <v>29</v>
      </c>
      <c r="E86" s="21">
        <f t="shared" si="2"/>
        <v>94.209999999999994</v>
      </c>
      <c r="F86" s="22">
        <v>0</v>
      </c>
      <c r="G86" s="21">
        <f t="shared" si="3"/>
        <v>92.019999999999996</v>
      </c>
      <c r="H86" s="22">
        <v>0</v>
      </c>
      <c r="I86" s="23" t="str">
        <f t="shared" si="4"/>
        <v xml:space="preserve">COM VALOR</v>
      </c>
      <c r="J86" s="19"/>
      <c r="L86" s="21">
        <v>94.209999999999994</v>
      </c>
      <c r="M86" s="22">
        <v>0</v>
      </c>
      <c r="N86" s="21">
        <v>92.019999999999996</v>
      </c>
      <c r="O86" s="22">
        <v>0</v>
      </c>
    </row>
    <row r="87" ht="38.25">
      <c r="A87" t="s">
        <v>62</v>
      </c>
      <c r="B87" s="19">
        <v>103337</v>
      </c>
      <c r="C87" s="20" t="s">
        <v>110</v>
      </c>
      <c r="D87" s="19" t="s">
        <v>29</v>
      </c>
      <c r="E87" s="21">
        <f t="shared" si="2"/>
        <v>95.230000000000004</v>
      </c>
      <c r="F87" s="22">
        <v>0</v>
      </c>
      <c r="G87" s="21">
        <f t="shared" si="3"/>
        <v>92.980000000000004</v>
      </c>
      <c r="H87" s="22">
        <v>0</v>
      </c>
      <c r="I87" s="23" t="str">
        <f t="shared" si="4"/>
        <v xml:space="preserve">COM VALOR</v>
      </c>
      <c r="J87" s="19"/>
      <c r="L87" s="21">
        <v>95.230000000000004</v>
      </c>
      <c r="M87" s="22">
        <v>0</v>
      </c>
      <c r="N87" s="21">
        <v>92.980000000000004</v>
      </c>
      <c r="O87" s="22">
        <v>0</v>
      </c>
    </row>
    <row r="88" ht="38.25">
      <c r="A88" t="s">
        <v>62</v>
      </c>
      <c r="B88" s="19">
        <v>103342</v>
      </c>
      <c r="C88" s="20" t="s">
        <v>111</v>
      </c>
      <c r="D88" s="19" t="s">
        <v>29</v>
      </c>
      <c r="E88" s="21">
        <f t="shared" si="2"/>
        <v>127.81999999999999</v>
      </c>
      <c r="F88" s="22">
        <v>0</v>
      </c>
      <c r="G88" s="21">
        <f t="shared" si="3"/>
        <v>125.22</v>
      </c>
      <c r="H88" s="22">
        <v>0</v>
      </c>
      <c r="I88" s="23" t="str">
        <f t="shared" si="4"/>
        <v xml:space="preserve">COM VALOR</v>
      </c>
      <c r="J88" s="19"/>
      <c r="L88" s="21">
        <v>127.81999999999999</v>
      </c>
      <c r="M88" s="22">
        <v>0</v>
      </c>
      <c r="N88" s="21">
        <v>125.22</v>
      </c>
      <c r="O88" s="22">
        <v>0</v>
      </c>
    </row>
    <row r="89" ht="38.25">
      <c r="A89" t="s">
        <v>62</v>
      </c>
      <c r="B89" s="19">
        <v>103343</v>
      </c>
      <c r="C89" s="20" t="s">
        <v>112</v>
      </c>
      <c r="D89" s="19" t="s">
        <v>29</v>
      </c>
      <c r="E89" s="21">
        <f t="shared" si="2"/>
        <v>129.13999999999999</v>
      </c>
      <c r="F89" s="22">
        <v>0</v>
      </c>
      <c r="G89" s="21">
        <f t="shared" si="3"/>
        <v>126.47</v>
      </c>
      <c r="H89" s="22">
        <v>0</v>
      </c>
      <c r="I89" s="23" t="str">
        <f t="shared" si="4"/>
        <v xml:space="preserve">COM VALOR</v>
      </c>
      <c r="J89" s="19"/>
      <c r="L89" s="21">
        <v>129.13999999999999</v>
      </c>
      <c r="M89" s="22">
        <v>0</v>
      </c>
      <c r="N89" s="21">
        <v>126.47</v>
      </c>
      <c r="O89" s="22">
        <v>0</v>
      </c>
    </row>
    <row r="90" ht="38.25">
      <c r="A90" t="s">
        <v>62</v>
      </c>
      <c r="B90" s="19">
        <v>103318</v>
      </c>
      <c r="C90" s="20" t="s">
        <v>113</v>
      </c>
      <c r="D90" s="19" t="s">
        <v>29</v>
      </c>
      <c r="E90" s="21">
        <f t="shared" si="2"/>
        <v>109.17</v>
      </c>
      <c r="F90" s="22">
        <v>0</v>
      </c>
      <c r="G90" s="21">
        <f t="shared" si="3"/>
        <v>106.86</v>
      </c>
      <c r="H90" s="22">
        <v>0</v>
      </c>
      <c r="I90" s="23" t="str">
        <f t="shared" si="4"/>
        <v xml:space="preserve">COM VALOR</v>
      </c>
      <c r="J90" s="19"/>
      <c r="L90" s="21">
        <v>109.17</v>
      </c>
      <c r="M90" s="22">
        <v>0</v>
      </c>
      <c r="N90" s="21">
        <v>106.86</v>
      </c>
      <c r="O90" s="22">
        <v>0</v>
      </c>
    </row>
    <row r="91" ht="38.25">
      <c r="A91" t="s">
        <v>62</v>
      </c>
      <c r="B91" s="19">
        <v>103319</v>
      </c>
      <c r="C91" s="20" t="s">
        <v>114</v>
      </c>
      <c r="D91" s="19" t="s">
        <v>29</v>
      </c>
      <c r="E91" s="21">
        <f t="shared" si="2"/>
        <v>110.36</v>
      </c>
      <c r="F91" s="22">
        <v>0</v>
      </c>
      <c r="G91" s="21">
        <f t="shared" si="3"/>
        <v>107.98999999999999</v>
      </c>
      <c r="H91" s="22">
        <v>0</v>
      </c>
      <c r="I91" s="23" t="str">
        <f t="shared" si="4"/>
        <v xml:space="preserve">COM VALOR</v>
      </c>
      <c r="J91" s="19"/>
      <c r="L91" s="21">
        <v>110.36</v>
      </c>
      <c r="M91" s="22">
        <v>0</v>
      </c>
      <c r="N91" s="21">
        <v>107.98999999999999</v>
      </c>
      <c r="O91" s="22">
        <v>0</v>
      </c>
    </row>
    <row r="92" ht="38.25">
      <c r="A92" t="s">
        <v>62</v>
      </c>
      <c r="B92" s="19">
        <v>103320</v>
      </c>
      <c r="C92" s="20" t="s">
        <v>115</v>
      </c>
      <c r="D92" s="19" t="s">
        <v>29</v>
      </c>
      <c r="E92" s="21">
        <f t="shared" si="2"/>
        <v>131.56999999999999</v>
      </c>
      <c r="F92" s="22">
        <v>0</v>
      </c>
      <c r="G92" s="21">
        <f t="shared" si="3"/>
        <v>128.94999999999999</v>
      </c>
      <c r="H92" s="22">
        <v>0</v>
      </c>
      <c r="I92" s="23" t="str">
        <f t="shared" si="4"/>
        <v xml:space="preserve">COM VALOR</v>
      </c>
      <c r="J92" s="19"/>
      <c r="L92" s="21">
        <v>131.56999999999999</v>
      </c>
      <c r="M92" s="22">
        <v>0</v>
      </c>
      <c r="N92" s="21">
        <v>128.94999999999999</v>
      </c>
      <c r="O92" s="22">
        <v>0</v>
      </c>
    </row>
    <row r="93" ht="38.25">
      <c r="A93" t="s">
        <v>62</v>
      </c>
      <c r="B93" s="19">
        <v>103321</v>
      </c>
      <c r="C93" s="20" t="s">
        <v>116</v>
      </c>
      <c r="D93" s="19" t="s">
        <v>29</v>
      </c>
      <c r="E93" s="21">
        <f t="shared" si="2"/>
        <v>133.06</v>
      </c>
      <c r="F93" s="22">
        <v>0</v>
      </c>
      <c r="G93" s="21">
        <f t="shared" si="3"/>
        <v>130.37</v>
      </c>
      <c r="H93" s="22">
        <v>0</v>
      </c>
      <c r="I93" s="23" t="str">
        <f t="shared" si="4"/>
        <v xml:space="preserve">COM VALOR</v>
      </c>
      <c r="J93" s="19"/>
      <c r="L93" s="21">
        <v>133.06</v>
      </c>
      <c r="M93" s="22">
        <v>0</v>
      </c>
      <c r="N93" s="21">
        <v>130.37</v>
      </c>
      <c r="O93" s="22">
        <v>0</v>
      </c>
    </row>
    <row r="94" ht="38.25">
      <c r="A94" t="s">
        <v>62</v>
      </c>
      <c r="B94" s="19">
        <v>103316</v>
      </c>
      <c r="C94" s="20" t="s">
        <v>117</v>
      </c>
      <c r="D94" s="19" t="s">
        <v>29</v>
      </c>
      <c r="E94" s="21">
        <f t="shared" si="2"/>
        <v>84.480000000000004</v>
      </c>
      <c r="F94" s="22">
        <v>0</v>
      </c>
      <c r="G94" s="21">
        <f t="shared" si="3"/>
        <v>82.790000000000006</v>
      </c>
      <c r="H94" s="22">
        <v>0</v>
      </c>
      <c r="I94" s="23" t="str">
        <f t="shared" si="4"/>
        <v xml:space="preserve">COM VALOR</v>
      </c>
      <c r="J94" s="19"/>
      <c r="L94" s="21">
        <v>84.480000000000004</v>
      </c>
      <c r="M94" s="22">
        <v>0</v>
      </c>
      <c r="N94" s="21">
        <v>82.790000000000006</v>
      </c>
      <c r="O94" s="22">
        <v>0</v>
      </c>
    </row>
    <row r="95" ht="38.25">
      <c r="A95" t="s">
        <v>62</v>
      </c>
      <c r="B95" s="19">
        <v>103317</v>
      </c>
      <c r="C95" s="20" t="s">
        <v>118</v>
      </c>
      <c r="D95" s="19" t="s">
        <v>29</v>
      </c>
      <c r="E95" s="21">
        <f t="shared" si="2"/>
        <v>85.5</v>
      </c>
      <c r="F95" s="22">
        <v>0</v>
      </c>
      <c r="G95" s="21">
        <f t="shared" si="3"/>
        <v>83.75</v>
      </c>
      <c r="H95" s="22">
        <v>0</v>
      </c>
      <c r="I95" s="23" t="str">
        <f t="shared" si="4"/>
        <v xml:space="preserve">COM VALOR</v>
      </c>
      <c r="J95" s="19"/>
      <c r="L95" s="21">
        <v>85.5</v>
      </c>
      <c r="M95" s="22">
        <v>0</v>
      </c>
      <c r="N95" s="21">
        <v>83.75</v>
      </c>
      <c r="O95" s="22">
        <v>0</v>
      </c>
    </row>
    <row r="96" ht="38.25">
      <c r="A96" t="s">
        <v>119</v>
      </c>
      <c r="B96" s="19">
        <v>101166</v>
      </c>
      <c r="C96" s="20" t="s">
        <v>120</v>
      </c>
      <c r="D96" s="19" t="s">
        <v>121</v>
      </c>
      <c r="E96" s="21">
        <f t="shared" si="2"/>
        <v>703.83000000000004</v>
      </c>
      <c r="F96" s="22">
        <v>0</v>
      </c>
      <c r="G96" s="21">
        <f t="shared" si="3"/>
        <v>684.20000000000005</v>
      </c>
      <c r="H96" s="22">
        <v>0</v>
      </c>
      <c r="I96" s="23" t="str">
        <f t="shared" si="4"/>
        <v xml:space="preserve">COM VALOR</v>
      </c>
      <c r="J96" s="19"/>
      <c r="L96" s="21">
        <v>703.83000000000004</v>
      </c>
      <c r="M96" s="22">
        <v>0</v>
      </c>
      <c r="N96" s="21">
        <v>684.20000000000005</v>
      </c>
      <c r="O96" s="22">
        <v>0</v>
      </c>
    </row>
    <row r="97" ht="38.25">
      <c r="A97" t="s">
        <v>119</v>
      </c>
      <c r="B97" s="19">
        <v>101165</v>
      </c>
      <c r="C97" s="20" t="s">
        <v>122</v>
      </c>
      <c r="D97" s="19" t="s">
        <v>121</v>
      </c>
      <c r="E97" s="21">
        <f t="shared" si="2"/>
        <v>1084.8199999999999</v>
      </c>
      <c r="F97" s="22">
        <v>0</v>
      </c>
      <c r="G97" s="21">
        <f t="shared" si="3"/>
        <v>1060.9000000000001</v>
      </c>
      <c r="H97" s="22">
        <v>0</v>
      </c>
      <c r="I97" s="23" t="str">
        <f t="shared" si="4"/>
        <v xml:space="preserve">COM VALOR</v>
      </c>
      <c r="J97" s="19"/>
      <c r="L97" s="21">
        <v>1084.8199999999999</v>
      </c>
      <c r="M97" s="22">
        <v>0</v>
      </c>
      <c r="N97" s="21">
        <v>1060.9000000000001</v>
      </c>
      <c r="O97" s="22">
        <v>0</v>
      </c>
    </row>
    <row r="98" ht="38.25">
      <c r="A98" t="s">
        <v>119</v>
      </c>
      <c r="B98" s="19">
        <v>101163</v>
      </c>
      <c r="C98" s="20" t="s">
        <v>123</v>
      </c>
      <c r="D98" s="19" t="s">
        <v>29</v>
      </c>
      <c r="E98" s="21">
        <f t="shared" si="2"/>
        <v>685.48000000000002</v>
      </c>
      <c r="F98" s="22">
        <v>0.75</v>
      </c>
      <c r="G98" s="21">
        <f t="shared" si="3"/>
        <v>676.01999999999998</v>
      </c>
      <c r="H98" s="22">
        <v>0.77000000000000002</v>
      </c>
      <c r="I98" s="23" t="str">
        <f t="shared" si="4"/>
        <v xml:space="preserve">COM VALOR</v>
      </c>
      <c r="J98" s="19"/>
      <c r="L98" s="21">
        <v>685.48000000000002</v>
      </c>
      <c r="M98" s="22">
        <v>0.73999999999999999</v>
      </c>
      <c r="N98" s="21">
        <v>676.01999999999998</v>
      </c>
      <c r="O98" s="22">
        <v>0.75</v>
      </c>
    </row>
    <row r="99" ht="38.25">
      <c r="A99" t="s">
        <v>119</v>
      </c>
      <c r="B99" s="19">
        <v>101164</v>
      </c>
      <c r="C99" s="20" t="s">
        <v>124</v>
      </c>
      <c r="D99" s="19" t="s">
        <v>29</v>
      </c>
      <c r="E99" s="21">
        <f t="shared" si="2"/>
        <v>695.88999999999999</v>
      </c>
      <c r="F99" s="22">
        <v>0.75</v>
      </c>
      <c r="G99" s="21">
        <f t="shared" si="3"/>
        <v>686.37</v>
      </c>
      <c r="H99" s="22">
        <v>0.77000000000000002</v>
      </c>
      <c r="I99" s="23" t="str">
        <f t="shared" si="4"/>
        <v xml:space="preserve">COM VALOR</v>
      </c>
      <c r="J99" s="19"/>
      <c r="L99" s="21">
        <v>695.88999999999999</v>
      </c>
      <c r="M99" s="22">
        <v>0.73999999999999999</v>
      </c>
      <c r="N99" s="21">
        <v>686.37</v>
      </c>
      <c r="O99" s="22">
        <v>0.75</v>
      </c>
    </row>
    <row r="100" ht="38.25">
      <c r="A100" t="s">
        <v>119</v>
      </c>
      <c r="B100" s="19">
        <v>101162</v>
      </c>
      <c r="C100" s="20" t="s">
        <v>125</v>
      </c>
      <c r="D100" s="19" t="s">
        <v>29</v>
      </c>
      <c r="E100" s="21">
        <f t="shared" si="2"/>
        <v>164.37</v>
      </c>
      <c r="F100" s="22">
        <v>0</v>
      </c>
      <c r="G100" s="21">
        <f t="shared" si="3"/>
        <v>159.28999999999999</v>
      </c>
      <c r="H100" s="22">
        <v>0</v>
      </c>
      <c r="I100" s="23" t="str">
        <f t="shared" si="4"/>
        <v xml:space="preserve">COM VALOR</v>
      </c>
      <c r="J100" s="19"/>
      <c r="L100" s="21">
        <v>164.37</v>
      </c>
      <c r="M100" s="22">
        <v>0</v>
      </c>
      <c r="N100" s="21">
        <v>159.28999999999999</v>
      </c>
      <c r="O100" s="22">
        <v>0</v>
      </c>
    </row>
    <row r="101" ht="38.25">
      <c r="A101" t="s">
        <v>119</v>
      </c>
      <c r="B101" s="19">
        <v>101161</v>
      </c>
      <c r="C101" s="20" t="s">
        <v>126</v>
      </c>
      <c r="D101" s="19" t="s">
        <v>29</v>
      </c>
      <c r="E101" s="21">
        <f t="shared" si="2"/>
        <v>254.52000000000001</v>
      </c>
      <c r="F101" s="22">
        <v>0</v>
      </c>
      <c r="G101" s="21">
        <f t="shared" si="3"/>
        <v>249.88</v>
      </c>
      <c r="H101" s="22">
        <v>0</v>
      </c>
      <c r="I101" s="23" t="str">
        <f t="shared" si="4"/>
        <v xml:space="preserve">COM VALOR</v>
      </c>
      <c r="J101" s="19"/>
      <c r="L101" s="21">
        <v>254.52000000000001</v>
      </c>
      <c r="M101" s="22">
        <v>0</v>
      </c>
      <c r="N101" s="21">
        <v>249.88</v>
      </c>
      <c r="O101" s="22">
        <v>0</v>
      </c>
    </row>
    <row r="102" ht="25.5">
      <c r="A102" t="s">
        <v>119</v>
      </c>
      <c r="B102" s="19">
        <v>101160</v>
      </c>
      <c r="C102" s="20" t="s">
        <v>127</v>
      </c>
      <c r="D102" s="19" t="s">
        <v>29</v>
      </c>
      <c r="E102" s="21" t="str">
        <f t="shared" si="2"/>
        <v>VERIFICAR</v>
      </c>
      <c r="F102" s="22"/>
      <c r="G102" s="21" t="str">
        <f t="shared" si="3"/>
        <v>VERIFICAR</v>
      </c>
      <c r="H102" s="22"/>
      <c r="I102" s="23" t="str">
        <f t="shared" si="4"/>
        <v xml:space="preserve">COM VALOR</v>
      </c>
      <c r="J102" s="19"/>
      <c r="L102" s="21">
        <v>0</v>
      </c>
      <c r="M102" s="22"/>
      <c r="N102" s="21">
        <v>0</v>
      </c>
      <c r="O102" s="22"/>
    </row>
    <row r="103" ht="38.25">
      <c r="A103" t="s">
        <v>119</v>
      </c>
      <c r="B103" s="19">
        <v>101159</v>
      </c>
      <c r="C103" s="20" t="s">
        <v>128</v>
      </c>
      <c r="D103" s="19" t="s">
        <v>29</v>
      </c>
      <c r="E103" s="21">
        <f t="shared" si="2"/>
        <v>142.81</v>
      </c>
      <c r="F103" s="22">
        <v>0</v>
      </c>
      <c r="G103" s="21">
        <f t="shared" si="3"/>
        <v>138.27000000000001</v>
      </c>
      <c r="H103" s="22">
        <v>0</v>
      </c>
      <c r="I103" s="23" t="str">
        <f t="shared" si="4"/>
        <v xml:space="preserve">COM VALOR</v>
      </c>
      <c r="J103" s="19"/>
      <c r="L103" s="21">
        <v>142.81</v>
      </c>
      <c r="M103" s="22">
        <v>0</v>
      </c>
      <c r="N103" s="21">
        <v>138.27000000000001</v>
      </c>
      <c r="O103" s="22">
        <v>0</v>
      </c>
    </row>
    <row r="104" ht="38.25">
      <c r="A104" t="s">
        <v>119</v>
      </c>
      <c r="B104" s="19">
        <v>101154</v>
      </c>
      <c r="C104" s="20" t="s">
        <v>129</v>
      </c>
      <c r="D104" s="19" t="s">
        <v>29</v>
      </c>
      <c r="E104" s="21">
        <f t="shared" si="2"/>
        <v>149.28</v>
      </c>
      <c r="F104" s="22">
        <v>0.70999999999999996</v>
      </c>
      <c r="G104" s="21">
        <f t="shared" si="3"/>
        <v>147.37</v>
      </c>
      <c r="H104" s="22">
        <v>0.71999999999999997</v>
      </c>
      <c r="I104" s="23" t="str">
        <f t="shared" si="4"/>
        <v xml:space="preserve">COM VALOR</v>
      </c>
      <c r="J104" s="19"/>
      <c r="L104" s="21">
        <v>149.28</v>
      </c>
      <c r="M104" s="22">
        <v>0.70999999999999996</v>
      </c>
      <c r="N104" s="21">
        <v>147.37</v>
      </c>
      <c r="O104" s="22">
        <v>0.71999999999999997</v>
      </c>
    </row>
    <row r="105" ht="38.25">
      <c r="A105" t="s">
        <v>119</v>
      </c>
      <c r="B105" s="19">
        <v>101155</v>
      </c>
      <c r="C105" s="20" t="s">
        <v>130</v>
      </c>
      <c r="D105" s="19" t="s">
        <v>29</v>
      </c>
      <c r="E105" s="21">
        <f t="shared" si="2"/>
        <v>210.68000000000001</v>
      </c>
      <c r="F105" s="22">
        <v>0.73999999999999999</v>
      </c>
      <c r="G105" s="21">
        <f t="shared" si="3"/>
        <v>208.16</v>
      </c>
      <c r="H105" s="22">
        <v>0.75</v>
      </c>
      <c r="I105" s="23" t="str">
        <f t="shared" si="4"/>
        <v xml:space="preserve">COM VALOR</v>
      </c>
      <c r="J105" s="19"/>
      <c r="L105" s="21">
        <v>210.68000000000001</v>
      </c>
      <c r="M105" s="22">
        <v>0.73999999999999999</v>
      </c>
      <c r="N105" s="21">
        <v>208.16</v>
      </c>
      <c r="O105" s="22">
        <v>0.75</v>
      </c>
    </row>
    <row r="106" ht="38.25">
      <c r="A106" t="s">
        <v>119</v>
      </c>
      <c r="B106" s="19">
        <v>101156</v>
      </c>
      <c r="C106" s="20" t="s">
        <v>131</v>
      </c>
      <c r="D106" s="19" t="s">
        <v>29</v>
      </c>
      <c r="E106" s="21">
        <f t="shared" si="2"/>
        <v>310.68000000000001</v>
      </c>
      <c r="F106" s="22">
        <v>0.77000000000000002</v>
      </c>
      <c r="G106" s="21">
        <f t="shared" si="3"/>
        <v>307.25999999999999</v>
      </c>
      <c r="H106" s="22">
        <v>0.78000000000000003</v>
      </c>
      <c r="I106" s="23" t="str">
        <f t="shared" si="4"/>
        <v xml:space="preserve">COM VALOR</v>
      </c>
      <c r="J106" s="19"/>
      <c r="L106" s="21">
        <v>310.68000000000001</v>
      </c>
      <c r="M106" s="22">
        <v>0.77000000000000002</v>
      </c>
      <c r="N106" s="21">
        <v>307.25999999999999</v>
      </c>
      <c r="O106" s="22">
        <v>0.78000000000000003</v>
      </c>
    </row>
    <row r="107" ht="25.5">
      <c r="A107" t="s">
        <v>119</v>
      </c>
      <c r="B107" s="19">
        <v>101158</v>
      </c>
      <c r="C107" s="20" t="s">
        <v>132</v>
      </c>
      <c r="D107" s="19" t="s">
        <v>29</v>
      </c>
      <c r="E107" s="21">
        <f t="shared" si="2"/>
        <v>82.840000000000003</v>
      </c>
      <c r="F107" s="22">
        <v>0</v>
      </c>
      <c r="G107" s="21">
        <f t="shared" si="3"/>
        <v>81.579999999999998</v>
      </c>
      <c r="H107" s="22">
        <v>0</v>
      </c>
      <c r="I107" s="23" t="str">
        <f t="shared" si="4"/>
        <v xml:space="preserve">COM VALOR</v>
      </c>
      <c r="J107" s="19"/>
      <c r="L107" s="21">
        <v>82.840000000000003</v>
      </c>
      <c r="M107" s="22">
        <v>0</v>
      </c>
      <c r="N107" s="21">
        <v>81.579999999999998</v>
      </c>
      <c r="O107" s="22">
        <v>0</v>
      </c>
    </row>
    <row r="108" ht="25.5">
      <c r="A108" t="s">
        <v>119</v>
      </c>
      <c r="B108" s="19">
        <v>101157</v>
      </c>
      <c r="C108" s="20" t="s">
        <v>133</v>
      </c>
      <c r="D108" s="19" t="s">
        <v>29</v>
      </c>
      <c r="E108" s="21">
        <f t="shared" si="2"/>
        <v>63.469999999999999</v>
      </c>
      <c r="F108" s="22">
        <v>0</v>
      </c>
      <c r="G108" s="21">
        <f t="shared" si="3"/>
        <v>62.390000000000001</v>
      </c>
      <c r="H108" s="22">
        <v>0</v>
      </c>
      <c r="I108" s="23" t="str">
        <f t="shared" si="4"/>
        <v xml:space="preserve">COM VALOR</v>
      </c>
      <c r="J108" s="19"/>
      <c r="L108" s="21">
        <v>63.469999999999999</v>
      </c>
      <c r="M108" s="22">
        <v>0</v>
      </c>
      <c r="N108" s="21">
        <v>62.390000000000001</v>
      </c>
      <c r="O108" s="22">
        <v>0</v>
      </c>
    </row>
    <row r="109" ht="38.25">
      <c r="A109" t="s">
        <v>134</v>
      </c>
      <c r="B109" s="19">
        <v>87382</v>
      </c>
      <c r="C109" s="20" t="s">
        <v>135</v>
      </c>
      <c r="D109" s="19" t="s">
        <v>121</v>
      </c>
      <c r="E109" s="21">
        <f t="shared" si="2"/>
        <v>2135.8899999999999</v>
      </c>
      <c r="F109" s="22">
        <v>0</v>
      </c>
      <c r="G109" s="21">
        <f t="shared" si="3"/>
        <v>2128.4499999999998</v>
      </c>
      <c r="H109" s="22">
        <v>0</v>
      </c>
      <c r="I109" s="23" t="str">
        <f t="shared" si="4"/>
        <v xml:space="preserve">COM VALOR</v>
      </c>
      <c r="J109" s="19"/>
      <c r="L109" s="21">
        <v>2135.8899999999999</v>
      </c>
      <c r="M109" s="22">
        <v>0</v>
      </c>
      <c r="N109" s="21">
        <v>2128.4499999999998</v>
      </c>
      <c r="O109" s="22">
        <v>0</v>
      </c>
    </row>
    <row r="110" ht="38.25">
      <c r="A110" t="s">
        <v>134</v>
      </c>
      <c r="B110" s="19">
        <v>87383</v>
      </c>
      <c r="C110" s="20" t="s">
        <v>136</v>
      </c>
      <c r="D110" s="19" t="s">
        <v>121</v>
      </c>
      <c r="E110" s="21">
        <f t="shared" si="2"/>
        <v>2129.4899999999998</v>
      </c>
      <c r="F110" s="22">
        <v>0</v>
      </c>
      <c r="G110" s="21">
        <f t="shared" si="3"/>
        <v>2123.6500000000001</v>
      </c>
      <c r="H110" s="22">
        <v>0</v>
      </c>
      <c r="I110" s="23" t="str">
        <f t="shared" si="4"/>
        <v xml:space="preserve">COM VALOR</v>
      </c>
      <c r="J110" s="19"/>
      <c r="L110" s="21">
        <v>2129.4899999999998</v>
      </c>
      <c r="M110" s="22">
        <v>0</v>
      </c>
      <c r="N110" s="21">
        <v>2123.6500000000001</v>
      </c>
      <c r="O110" s="22">
        <v>0</v>
      </c>
    </row>
    <row r="111" ht="38.25">
      <c r="A111" t="s">
        <v>134</v>
      </c>
      <c r="B111" s="19">
        <v>87384</v>
      </c>
      <c r="C111" s="20" t="s">
        <v>137</v>
      </c>
      <c r="D111" s="19" t="s">
        <v>121</v>
      </c>
      <c r="E111" s="21">
        <f t="shared" si="2"/>
        <v>2116.4699999999998</v>
      </c>
      <c r="F111" s="22">
        <v>0</v>
      </c>
      <c r="G111" s="21">
        <f t="shared" si="3"/>
        <v>2112.27</v>
      </c>
      <c r="H111" s="22">
        <v>0</v>
      </c>
      <c r="I111" s="23" t="str">
        <f t="shared" si="4"/>
        <v xml:space="preserve">COM VALOR</v>
      </c>
      <c r="J111" s="19"/>
      <c r="L111" s="21">
        <v>2116.4699999999998</v>
      </c>
      <c r="M111" s="22">
        <v>0</v>
      </c>
      <c r="N111" s="21">
        <v>2112.27</v>
      </c>
      <c r="O111" s="22">
        <v>0</v>
      </c>
    </row>
    <row r="112" ht="25.5">
      <c r="A112" t="s">
        <v>134</v>
      </c>
      <c r="B112" s="19">
        <v>87398</v>
      </c>
      <c r="C112" s="20" t="s">
        <v>138</v>
      </c>
      <c r="D112" s="19" t="s">
        <v>121</v>
      </c>
      <c r="E112" s="21">
        <f t="shared" si="2"/>
        <v>2346.6399999999999</v>
      </c>
      <c r="F112" s="22">
        <v>0</v>
      </c>
      <c r="G112" s="21">
        <f t="shared" si="3"/>
        <v>2331.4099999999999</v>
      </c>
      <c r="H112" s="22">
        <v>0</v>
      </c>
      <c r="I112" s="23" t="str">
        <f t="shared" si="4"/>
        <v xml:space="preserve">COM VALOR</v>
      </c>
      <c r="J112" s="19"/>
      <c r="L112" s="21">
        <v>2346.6399999999999</v>
      </c>
      <c r="M112" s="22">
        <v>0</v>
      </c>
      <c r="N112" s="21">
        <v>2331.4099999999999</v>
      </c>
      <c r="O112" s="22">
        <v>0</v>
      </c>
    </row>
    <row r="113" ht="25.5">
      <c r="A113" t="s">
        <v>134</v>
      </c>
      <c r="B113" s="19">
        <v>87395</v>
      </c>
      <c r="C113" s="20" t="s">
        <v>139</v>
      </c>
      <c r="D113" s="19" t="s">
        <v>121</v>
      </c>
      <c r="E113" s="21">
        <f t="shared" si="2"/>
        <v>4158.6899999999996</v>
      </c>
      <c r="F113" s="22">
        <v>0</v>
      </c>
      <c r="G113" s="21">
        <f t="shared" si="3"/>
        <v>4148.9700000000003</v>
      </c>
      <c r="H113" s="22">
        <v>0</v>
      </c>
      <c r="I113" s="23" t="str">
        <f t="shared" si="4"/>
        <v xml:space="preserve">COM VALOR</v>
      </c>
      <c r="J113" s="19"/>
      <c r="L113" s="21">
        <v>4158.6899999999996</v>
      </c>
      <c r="M113" s="22">
        <v>0</v>
      </c>
      <c r="N113" s="21">
        <v>4148.9700000000003</v>
      </c>
      <c r="O113" s="22">
        <v>0</v>
      </c>
    </row>
    <row r="114" ht="25.5">
      <c r="A114" t="s">
        <v>134</v>
      </c>
      <c r="B114" s="19">
        <v>87396</v>
      </c>
      <c r="C114" s="20" t="s">
        <v>140</v>
      </c>
      <c r="D114" s="19" t="s">
        <v>121</v>
      </c>
      <c r="E114" s="21">
        <f t="shared" si="2"/>
        <v>4181.8500000000004</v>
      </c>
      <c r="F114" s="22">
        <v>0</v>
      </c>
      <c r="G114" s="21">
        <f t="shared" si="3"/>
        <v>4173.9700000000003</v>
      </c>
      <c r="H114" s="22">
        <v>0</v>
      </c>
      <c r="I114" s="23" t="str">
        <f t="shared" si="4"/>
        <v xml:space="preserve">COM VALOR</v>
      </c>
      <c r="J114" s="19"/>
      <c r="L114" s="21">
        <v>4181.8500000000004</v>
      </c>
      <c r="M114" s="22">
        <v>0</v>
      </c>
      <c r="N114" s="21">
        <v>4173.9700000000003</v>
      </c>
      <c r="O114" s="22">
        <v>0</v>
      </c>
    </row>
    <row r="115" ht="25.5">
      <c r="A115" t="s">
        <v>134</v>
      </c>
      <c r="B115" s="19">
        <v>87397</v>
      </c>
      <c r="C115" s="20" t="s">
        <v>141</v>
      </c>
      <c r="D115" s="19" t="s">
        <v>121</v>
      </c>
      <c r="E115" s="21">
        <f t="shared" si="2"/>
        <v>4203.1899999999996</v>
      </c>
      <c r="F115" s="22">
        <v>0</v>
      </c>
      <c r="G115" s="21">
        <f t="shared" si="3"/>
        <v>4197.1599999999999</v>
      </c>
      <c r="H115" s="22">
        <v>0</v>
      </c>
      <c r="I115" s="23" t="str">
        <f t="shared" si="4"/>
        <v xml:space="preserve">COM VALOR</v>
      </c>
      <c r="J115" s="19"/>
      <c r="L115" s="21">
        <v>4203.1899999999996</v>
      </c>
      <c r="M115" s="22">
        <v>0</v>
      </c>
      <c r="N115" s="21">
        <v>4197.1599999999999</v>
      </c>
      <c r="O115" s="22">
        <v>0</v>
      </c>
    </row>
    <row r="116" ht="25.5">
      <c r="A116" t="s">
        <v>134</v>
      </c>
      <c r="B116" s="19">
        <v>87402</v>
      </c>
      <c r="C116" s="20" t="s">
        <v>142</v>
      </c>
      <c r="D116" s="19" t="s">
        <v>121</v>
      </c>
      <c r="E116" s="21">
        <f t="shared" si="2"/>
        <v>4428.9499999999998</v>
      </c>
      <c r="F116" s="22">
        <v>0</v>
      </c>
      <c r="G116" s="21">
        <f t="shared" si="3"/>
        <v>4409.8500000000004</v>
      </c>
      <c r="H116" s="22">
        <v>0</v>
      </c>
      <c r="I116" s="23" t="str">
        <f t="shared" si="4"/>
        <v xml:space="preserve">COM VALOR</v>
      </c>
      <c r="J116" s="19"/>
      <c r="L116" s="21">
        <v>4428.9499999999998</v>
      </c>
      <c r="M116" s="22">
        <v>0</v>
      </c>
      <c r="N116" s="21">
        <v>4409.8500000000004</v>
      </c>
      <c r="O116" s="22">
        <v>0</v>
      </c>
    </row>
    <row r="117" ht="25.5">
      <c r="A117" t="s">
        <v>134</v>
      </c>
      <c r="B117" s="19">
        <v>87391</v>
      </c>
      <c r="C117" s="20" t="s">
        <v>143</v>
      </c>
      <c r="D117" s="19" t="s">
        <v>121</v>
      </c>
      <c r="E117" s="21">
        <f t="shared" si="2"/>
        <v>6582.8599999999997</v>
      </c>
      <c r="F117" s="22">
        <v>0</v>
      </c>
      <c r="G117" s="21">
        <f t="shared" si="3"/>
        <v>6573.1400000000003</v>
      </c>
      <c r="H117" s="22">
        <v>0</v>
      </c>
      <c r="I117" s="23" t="str">
        <f t="shared" si="4"/>
        <v xml:space="preserve">COM VALOR</v>
      </c>
      <c r="J117" s="19"/>
      <c r="L117" s="21">
        <v>6582.8599999999997</v>
      </c>
      <c r="M117" s="22">
        <v>0</v>
      </c>
      <c r="N117" s="21">
        <v>6573.1400000000003</v>
      </c>
      <c r="O117" s="22">
        <v>0</v>
      </c>
    </row>
    <row r="118" ht="25.5">
      <c r="A118" t="s">
        <v>134</v>
      </c>
      <c r="B118" s="19">
        <v>87393</v>
      </c>
      <c r="C118" s="20" t="s">
        <v>144</v>
      </c>
      <c r="D118" s="19" t="s">
        <v>121</v>
      </c>
      <c r="E118" s="21">
        <f t="shared" si="2"/>
        <v>6638.5799999999999</v>
      </c>
      <c r="F118" s="22">
        <v>0</v>
      </c>
      <c r="G118" s="21">
        <f t="shared" si="3"/>
        <v>6630.6999999999998</v>
      </c>
      <c r="H118" s="22">
        <v>0</v>
      </c>
      <c r="I118" s="23" t="str">
        <f t="shared" si="4"/>
        <v xml:space="preserve">COM VALOR</v>
      </c>
      <c r="J118" s="19"/>
      <c r="L118" s="21">
        <v>6638.5799999999999</v>
      </c>
      <c r="M118" s="22">
        <v>0</v>
      </c>
      <c r="N118" s="21">
        <v>6630.6999999999998</v>
      </c>
      <c r="O118" s="22">
        <v>0</v>
      </c>
    </row>
    <row r="119" ht="25.5">
      <c r="A119" t="s">
        <v>134</v>
      </c>
      <c r="B119" s="19">
        <v>87394</v>
      </c>
      <c r="C119" s="20" t="s">
        <v>145</v>
      </c>
      <c r="D119" s="19" t="s">
        <v>121</v>
      </c>
      <c r="E119" s="21">
        <f t="shared" si="2"/>
        <v>6691.0100000000002</v>
      </c>
      <c r="F119" s="22">
        <v>0</v>
      </c>
      <c r="G119" s="21">
        <f t="shared" si="3"/>
        <v>6684.9799999999996</v>
      </c>
      <c r="H119" s="22">
        <v>0</v>
      </c>
      <c r="I119" s="23" t="str">
        <f t="shared" si="4"/>
        <v xml:space="preserve">COM VALOR</v>
      </c>
      <c r="J119" s="19"/>
      <c r="L119" s="21">
        <v>6691.0100000000002</v>
      </c>
      <c r="M119" s="22">
        <v>0</v>
      </c>
      <c r="N119" s="21">
        <v>6684.9799999999996</v>
      </c>
      <c r="O119" s="22">
        <v>0</v>
      </c>
    </row>
    <row r="120" ht="25.5">
      <c r="A120" t="s">
        <v>134</v>
      </c>
      <c r="B120" s="19">
        <v>87401</v>
      </c>
      <c r="C120" s="20" t="s">
        <v>146</v>
      </c>
      <c r="D120" s="19" t="s">
        <v>121</v>
      </c>
      <c r="E120" s="21">
        <f t="shared" si="2"/>
        <v>6902.75</v>
      </c>
      <c r="F120" s="22">
        <v>0</v>
      </c>
      <c r="G120" s="21">
        <f t="shared" si="3"/>
        <v>6883.6499999999996</v>
      </c>
      <c r="H120" s="22">
        <v>0</v>
      </c>
      <c r="I120" s="23" t="str">
        <f t="shared" si="4"/>
        <v xml:space="preserve">COM VALOR</v>
      </c>
      <c r="J120" s="19"/>
      <c r="L120" s="21">
        <v>6902.75</v>
      </c>
      <c r="M120" s="22">
        <v>0</v>
      </c>
      <c r="N120" s="21">
        <v>6883.6499999999996</v>
      </c>
      <c r="O120" s="22">
        <v>0</v>
      </c>
    </row>
    <row r="121" ht="25.5">
      <c r="A121" t="s">
        <v>134</v>
      </c>
      <c r="B121" s="19">
        <v>87407</v>
      </c>
      <c r="C121" s="20" t="s">
        <v>147</v>
      </c>
      <c r="D121" s="19" t="s">
        <v>121</v>
      </c>
      <c r="E121" s="21">
        <f t="shared" si="2"/>
        <v>2173.6199999999999</v>
      </c>
      <c r="F121" s="22">
        <v>0</v>
      </c>
      <c r="G121" s="21">
        <f t="shared" si="3"/>
        <v>2166.54</v>
      </c>
      <c r="H121" s="22">
        <v>0</v>
      </c>
      <c r="I121" s="23" t="str">
        <f t="shared" si="4"/>
        <v xml:space="preserve">COM VALOR</v>
      </c>
      <c r="J121" s="19"/>
      <c r="L121" s="21">
        <v>2173.6199999999999</v>
      </c>
      <c r="M121" s="22">
        <v>0</v>
      </c>
      <c r="N121" s="21">
        <v>2166.54</v>
      </c>
      <c r="O121" s="22">
        <v>0</v>
      </c>
    </row>
    <row r="122" ht="25.5">
      <c r="A122" t="s">
        <v>134</v>
      </c>
      <c r="B122" s="19">
        <v>87408</v>
      </c>
      <c r="C122" s="20" t="s">
        <v>148</v>
      </c>
      <c r="D122" s="19" t="s">
        <v>121</v>
      </c>
      <c r="E122" s="21">
        <f t="shared" si="2"/>
        <v>2156.6599999999999</v>
      </c>
      <c r="F122" s="22">
        <v>0</v>
      </c>
      <c r="G122" s="21">
        <f t="shared" si="3"/>
        <v>2151.3499999999999</v>
      </c>
      <c r="H122" s="22">
        <v>0</v>
      </c>
      <c r="I122" s="23" t="str">
        <f t="shared" si="4"/>
        <v xml:space="preserve">COM VALOR</v>
      </c>
      <c r="J122" s="19"/>
      <c r="L122" s="21">
        <v>2156.6599999999999</v>
      </c>
      <c r="M122" s="22">
        <v>0</v>
      </c>
      <c r="N122" s="21">
        <v>2151.3499999999999</v>
      </c>
      <c r="O122" s="22">
        <v>0</v>
      </c>
    </row>
    <row r="123" ht="38.25">
      <c r="A123" t="s">
        <v>134</v>
      </c>
      <c r="B123" s="19">
        <v>87404</v>
      </c>
      <c r="C123" s="20" t="s">
        <v>149</v>
      </c>
      <c r="D123" s="19" t="s">
        <v>121</v>
      </c>
      <c r="E123" s="21">
        <f t="shared" si="2"/>
        <v>6146.1099999999997</v>
      </c>
      <c r="F123" s="22">
        <v>0</v>
      </c>
      <c r="G123" s="21">
        <f t="shared" si="3"/>
        <v>6135.6199999999999</v>
      </c>
      <c r="H123" s="22">
        <v>0</v>
      </c>
      <c r="I123" s="23" t="str">
        <f t="shared" si="4"/>
        <v xml:space="preserve">COM VALOR</v>
      </c>
      <c r="J123" s="19"/>
      <c r="L123" s="21">
        <v>6146.1099999999997</v>
      </c>
      <c r="M123" s="22">
        <v>0</v>
      </c>
      <c r="N123" s="21">
        <v>6135.6199999999999</v>
      </c>
      <c r="O123" s="22">
        <v>0</v>
      </c>
    </row>
    <row r="124" ht="38.25">
      <c r="A124" t="s">
        <v>134</v>
      </c>
      <c r="B124" s="19">
        <v>87405</v>
      </c>
      <c r="C124" s="20" t="s">
        <v>150</v>
      </c>
      <c r="D124" s="19" t="s">
        <v>121</v>
      </c>
      <c r="E124" s="21">
        <f t="shared" si="2"/>
        <v>6156.6300000000001</v>
      </c>
      <c r="F124" s="22">
        <v>0</v>
      </c>
      <c r="G124" s="21">
        <f t="shared" si="3"/>
        <v>6148.7700000000004</v>
      </c>
      <c r="H124" s="22">
        <v>0</v>
      </c>
      <c r="I124" s="23" t="str">
        <f t="shared" si="4"/>
        <v xml:space="preserve">COM VALOR</v>
      </c>
      <c r="J124" s="19"/>
      <c r="L124" s="21">
        <v>6156.6300000000001</v>
      </c>
      <c r="M124" s="22">
        <v>0</v>
      </c>
      <c r="N124" s="21">
        <v>6148.7700000000004</v>
      </c>
      <c r="O124" s="22">
        <v>0</v>
      </c>
    </row>
    <row r="125" ht="38.25">
      <c r="A125" t="s">
        <v>134</v>
      </c>
      <c r="B125" s="19">
        <v>87388</v>
      </c>
      <c r="C125" s="20" t="s">
        <v>151</v>
      </c>
      <c r="D125" s="19" t="s">
        <v>121</v>
      </c>
      <c r="E125" s="21">
        <f t="shared" si="2"/>
        <v>5917.25</v>
      </c>
      <c r="F125" s="22">
        <v>0</v>
      </c>
      <c r="G125" s="21">
        <f t="shared" si="3"/>
        <v>5909.7600000000002</v>
      </c>
      <c r="H125" s="22">
        <v>0</v>
      </c>
      <c r="I125" s="23" t="str">
        <f t="shared" si="4"/>
        <v xml:space="preserve">COM VALOR</v>
      </c>
      <c r="J125" s="19"/>
      <c r="L125" s="21">
        <v>5917.25</v>
      </c>
      <c r="M125" s="22">
        <v>0</v>
      </c>
      <c r="N125" s="21">
        <v>5909.7600000000002</v>
      </c>
      <c r="O125" s="22">
        <v>0</v>
      </c>
    </row>
    <row r="126" ht="38.25">
      <c r="A126" t="s">
        <v>134</v>
      </c>
      <c r="B126" s="19">
        <v>87389</v>
      </c>
      <c r="C126" s="20" t="s">
        <v>152</v>
      </c>
      <c r="D126" s="19" t="s">
        <v>121</v>
      </c>
      <c r="E126" s="21">
        <f t="shared" si="2"/>
        <v>5937.5799999999999</v>
      </c>
      <c r="F126" s="22">
        <v>0</v>
      </c>
      <c r="G126" s="21">
        <f t="shared" si="3"/>
        <v>5931.79</v>
      </c>
      <c r="H126" s="22">
        <v>0</v>
      </c>
      <c r="I126" s="23" t="str">
        <f t="shared" si="4"/>
        <v xml:space="preserve">COM VALOR</v>
      </c>
      <c r="J126" s="19"/>
      <c r="L126" s="21">
        <v>5937.5799999999999</v>
      </c>
      <c r="M126" s="22">
        <v>0</v>
      </c>
      <c r="N126" s="21">
        <v>5931.79</v>
      </c>
      <c r="O126" s="22">
        <v>0</v>
      </c>
    </row>
    <row r="127" ht="38.25">
      <c r="A127" t="s">
        <v>134</v>
      </c>
      <c r="B127" s="19">
        <v>87390</v>
      </c>
      <c r="C127" s="20" t="s">
        <v>153</v>
      </c>
      <c r="D127" s="19" t="s">
        <v>121</v>
      </c>
      <c r="E127" s="21">
        <f t="shared" si="2"/>
        <v>5963.71</v>
      </c>
      <c r="F127" s="22">
        <v>0</v>
      </c>
      <c r="G127" s="21">
        <f t="shared" si="3"/>
        <v>5959.5100000000002</v>
      </c>
      <c r="H127" s="22">
        <v>0</v>
      </c>
      <c r="I127" s="23" t="str">
        <f t="shared" si="4"/>
        <v xml:space="preserve">COM VALOR</v>
      </c>
      <c r="J127" s="19"/>
      <c r="L127" s="21">
        <v>5963.71</v>
      </c>
      <c r="M127" s="22">
        <v>0</v>
      </c>
      <c r="N127" s="21">
        <v>5959.5100000000002</v>
      </c>
      <c r="O127" s="22">
        <v>0</v>
      </c>
    </row>
    <row r="128" ht="25.5">
      <c r="A128" t="s">
        <v>134</v>
      </c>
      <c r="B128" s="19">
        <v>87385</v>
      </c>
      <c r="C128" s="20" t="s">
        <v>154</v>
      </c>
      <c r="D128" s="19" t="s">
        <v>121</v>
      </c>
      <c r="E128" s="21">
        <f t="shared" si="2"/>
        <v>2476.6900000000001</v>
      </c>
      <c r="F128" s="22">
        <v>0</v>
      </c>
      <c r="G128" s="21">
        <f t="shared" si="3"/>
        <v>2467.8000000000002</v>
      </c>
      <c r="H128" s="22">
        <v>0</v>
      </c>
      <c r="I128" s="23" t="str">
        <f t="shared" si="4"/>
        <v xml:space="preserve">COM VALOR</v>
      </c>
      <c r="J128" s="19"/>
      <c r="L128" s="21">
        <v>2476.6900000000001</v>
      </c>
      <c r="M128" s="22">
        <v>0</v>
      </c>
      <c r="N128" s="21">
        <v>2467.8000000000002</v>
      </c>
      <c r="O128" s="22">
        <v>0</v>
      </c>
    </row>
    <row r="129" ht="25.5">
      <c r="A129" t="s">
        <v>134</v>
      </c>
      <c r="B129" s="19">
        <v>87386</v>
      </c>
      <c r="C129" s="20" t="s">
        <v>155</v>
      </c>
      <c r="D129" s="19" t="s">
        <v>121</v>
      </c>
      <c r="E129" s="21">
        <f t="shared" si="2"/>
        <v>2463.6700000000001</v>
      </c>
      <c r="F129" s="22">
        <v>0</v>
      </c>
      <c r="G129" s="21">
        <f t="shared" si="3"/>
        <v>2456.9499999999998</v>
      </c>
      <c r="H129" s="22">
        <v>0</v>
      </c>
      <c r="I129" s="23" t="str">
        <f t="shared" si="4"/>
        <v xml:space="preserve">COM VALOR</v>
      </c>
      <c r="J129" s="19"/>
      <c r="L129" s="21">
        <v>2463.6700000000001</v>
      </c>
      <c r="M129" s="22">
        <v>0</v>
      </c>
      <c r="N129" s="21">
        <v>2456.9499999999998</v>
      </c>
      <c r="O129" s="22">
        <v>0</v>
      </c>
    </row>
    <row r="130" ht="25.5">
      <c r="A130" t="s">
        <v>134</v>
      </c>
      <c r="B130" s="19">
        <v>87387</v>
      </c>
      <c r="C130" s="20" t="s">
        <v>156</v>
      </c>
      <c r="D130" s="19" t="s">
        <v>121</v>
      </c>
      <c r="E130" s="21">
        <f t="shared" si="2"/>
        <v>2452.5999999999999</v>
      </c>
      <c r="F130" s="22">
        <v>0</v>
      </c>
      <c r="G130" s="21">
        <f t="shared" si="3"/>
        <v>2447.6900000000001</v>
      </c>
      <c r="H130" s="22">
        <v>0</v>
      </c>
      <c r="I130" s="23" t="str">
        <f t="shared" si="4"/>
        <v xml:space="preserve">COM VALOR</v>
      </c>
      <c r="J130" s="19"/>
      <c r="L130" s="21">
        <v>2452.5999999999999</v>
      </c>
      <c r="M130" s="22">
        <v>0</v>
      </c>
      <c r="N130" s="21">
        <v>2447.6900000000001</v>
      </c>
      <c r="O130" s="22">
        <v>0</v>
      </c>
    </row>
    <row r="131" ht="25.5">
      <c r="A131" t="s">
        <v>134</v>
      </c>
      <c r="B131" s="19">
        <v>87399</v>
      </c>
      <c r="C131" s="20" t="s">
        <v>157</v>
      </c>
      <c r="D131" s="19" t="s">
        <v>121</v>
      </c>
      <c r="E131" s="21">
        <f t="shared" si="2"/>
        <v>2687.2399999999998</v>
      </c>
      <c r="F131" s="22">
        <v>0</v>
      </c>
      <c r="G131" s="21">
        <f t="shared" si="3"/>
        <v>2670.8699999999999</v>
      </c>
      <c r="H131" s="22">
        <v>0</v>
      </c>
      <c r="I131" s="23" t="str">
        <f t="shared" si="4"/>
        <v xml:space="preserve">COM VALOR</v>
      </c>
      <c r="J131" s="19"/>
      <c r="L131" s="21">
        <v>2687.2399999999998</v>
      </c>
      <c r="M131" s="22">
        <v>0</v>
      </c>
      <c r="N131" s="21">
        <v>2670.8699999999999</v>
      </c>
      <c r="O131" s="22">
        <v>0</v>
      </c>
    </row>
    <row r="132" ht="38.25">
      <c r="A132" t="s">
        <v>134</v>
      </c>
      <c r="B132" s="19">
        <v>88627</v>
      </c>
      <c r="C132" s="20" t="s">
        <v>158</v>
      </c>
      <c r="D132" s="19" t="s">
        <v>121</v>
      </c>
      <c r="E132" s="21">
        <f t="shared" si="2"/>
        <v>666.45000000000005</v>
      </c>
      <c r="F132" s="22">
        <v>0</v>
      </c>
      <c r="G132" s="21">
        <f t="shared" si="3"/>
        <v>655.82000000000005</v>
      </c>
      <c r="H132" s="22">
        <v>0</v>
      </c>
      <c r="I132" s="23" t="str">
        <f t="shared" si="4"/>
        <v xml:space="preserve">COM VALOR</v>
      </c>
      <c r="J132" s="19"/>
      <c r="L132" s="21">
        <v>666.45000000000005</v>
      </c>
      <c r="M132" s="22">
        <v>0</v>
      </c>
      <c r="N132" s="21">
        <v>655.82000000000005</v>
      </c>
      <c r="O132" s="22">
        <v>0</v>
      </c>
    </row>
    <row r="133" ht="25.5">
      <c r="A133" t="s">
        <v>134</v>
      </c>
      <c r="B133" s="19">
        <v>100463</v>
      </c>
      <c r="C133" s="20" t="s">
        <v>159</v>
      </c>
      <c r="D133" s="19" t="s">
        <v>121</v>
      </c>
      <c r="E133" s="21" t="str">
        <f t="shared" si="2"/>
        <v>VERIFICAR</v>
      </c>
      <c r="F133" s="22"/>
      <c r="G133" s="21" t="str">
        <f t="shared" si="3"/>
        <v>VERIFICAR</v>
      </c>
      <c r="H133" s="22"/>
      <c r="I133" s="23" t="str">
        <f t="shared" si="4"/>
        <v xml:space="preserve">COM VALOR</v>
      </c>
      <c r="J133" s="19"/>
      <c r="L133" s="21">
        <v>0</v>
      </c>
      <c r="M133" s="22"/>
      <c r="N133" s="21">
        <v>0</v>
      </c>
      <c r="O133" s="22"/>
    </row>
    <row r="134" ht="25.5">
      <c r="A134" t="s">
        <v>134</v>
      </c>
      <c r="B134" s="19">
        <v>88626</v>
      </c>
      <c r="C134" s="20" t="s">
        <v>160</v>
      </c>
      <c r="D134" s="19" t="s">
        <v>121</v>
      </c>
      <c r="E134" s="21">
        <f t="shared" si="2"/>
        <v>576.84000000000003</v>
      </c>
      <c r="F134" s="22">
        <v>0</v>
      </c>
      <c r="G134" s="21">
        <f t="shared" si="3"/>
        <v>570.36000000000001</v>
      </c>
      <c r="H134" s="22">
        <v>0</v>
      </c>
      <c r="I134" s="23" t="str">
        <f t="shared" si="4"/>
        <v xml:space="preserve">COM VALOR</v>
      </c>
      <c r="J134" s="19"/>
      <c r="L134" s="21">
        <v>576.84000000000003</v>
      </c>
      <c r="M134" s="22">
        <v>0</v>
      </c>
      <c r="N134" s="21">
        <v>570.36000000000001</v>
      </c>
      <c r="O134" s="22">
        <v>0</v>
      </c>
    </row>
    <row r="135" ht="25.5">
      <c r="A135" t="s">
        <v>134</v>
      </c>
      <c r="B135" s="19">
        <v>100488</v>
      </c>
      <c r="C135" s="20" t="s">
        <v>161</v>
      </c>
      <c r="D135" s="19" t="s">
        <v>121</v>
      </c>
      <c r="E135" s="21">
        <f t="shared" si="2"/>
        <v>561.25999999999999</v>
      </c>
      <c r="F135" s="22">
        <v>0</v>
      </c>
      <c r="G135" s="21">
        <f t="shared" si="3"/>
        <v>556.16999999999996</v>
      </c>
      <c r="H135" s="22">
        <v>0</v>
      </c>
      <c r="I135" s="23" t="str">
        <f t="shared" si="4"/>
        <v xml:space="preserve">COM VALOR</v>
      </c>
      <c r="J135" s="19"/>
      <c r="L135" s="21">
        <v>561.25999999999999</v>
      </c>
      <c r="M135" s="22">
        <v>0</v>
      </c>
      <c r="N135" s="21">
        <v>556.16999999999996</v>
      </c>
      <c r="O135" s="22">
        <v>0</v>
      </c>
    </row>
    <row r="136" ht="38.25">
      <c r="A136" t="s">
        <v>134</v>
      </c>
      <c r="B136" s="19">
        <v>100464</v>
      </c>
      <c r="C136" s="20" t="s">
        <v>162</v>
      </c>
      <c r="D136" s="19" t="s">
        <v>121</v>
      </c>
      <c r="E136" s="21">
        <f t="shared" si="2"/>
        <v>610.38999999999999</v>
      </c>
      <c r="F136" s="22">
        <v>0</v>
      </c>
      <c r="G136" s="21">
        <f t="shared" si="3"/>
        <v>601.5</v>
      </c>
      <c r="H136" s="22">
        <v>0</v>
      </c>
      <c r="I136" s="23" t="str">
        <f t="shared" si="4"/>
        <v xml:space="preserve">COM VALOR</v>
      </c>
      <c r="J136" s="19"/>
      <c r="L136" s="21">
        <v>610.38999999999999</v>
      </c>
      <c r="M136" s="22">
        <v>0</v>
      </c>
      <c r="N136" s="21">
        <v>601.5</v>
      </c>
      <c r="O136" s="22">
        <v>0</v>
      </c>
    </row>
    <row r="137" ht="38.25">
      <c r="A137" t="s">
        <v>134</v>
      </c>
      <c r="B137" s="19">
        <v>100465</v>
      </c>
      <c r="C137" s="20" t="s">
        <v>163</v>
      </c>
      <c r="D137" s="19" t="s">
        <v>121</v>
      </c>
      <c r="E137" s="21">
        <f t="shared" si="2"/>
        <v>562.12</v>
      </c>
      <c r="F137" s="22">
        <v>0</v>
      </c>
      <c r="G137" s="21">
        <f t="shared" si="3"/>
        <v>556.25</v>
      </c>
      <c r="H137" s="22">
        <v>0</v>
      </c>
      <c r="I137" s="23" t="str">
        <f t="shared" si="4"/>
        <v xml:space="preserve">COM VALOR</v>
      </c>
      <c r="J137" s="19"/>
      <c r="L137" s="21">
        <v>562.12</v>
      </c>
      <c r="M137" s="22">
        <v>0</v>
      </c>
      <c r="N137" s="21">
        <v>556.25</v>
      </c>
      <c r="O137" s="22">
        <v>0</v>
      </c>
    </row>
    <row r="138" ht="38.25">
      <c r="A138" t="s">
        <v>134</v>
      </c>
      <c r="B138" s="19">
        <v>100466</v>
      </c>
      <c r="C138" s="20" t="s">
        <v>164</v>
      </c>
      <c r="D138" s="19" t="s">
        <v>121</v>
      </c>
      <c r="E138" s="21">
        <f t="shared" si="2"/>
        <v>535.53999999999996</v>
      </c>
      <c r="F138" s="22">
        <v>0</v>
      </c>
      <c r="G138" s="21">
        <f t="shared" si="3"/>
        <v>531.41999999999996</v>
      </c>
      <c r="H138" s="22">
        <v>0</v>
      </c>
      <c r="I138" s="23" t="str">
        <f t="shared" si="4"/>
        <v xml:space="preserve">COM VALOR</v>
      </c>
      <c r="J138" s="19"/>
      <c r="L138" s="21">
        <v>535.53999999999996</v>
      </c>
      <c r="M138" s="22">
        <v>0</v>
      </c>
      <c r="N138" s="21">
        <v>531.41999999999996</v>
      </c>
      <c r="O138" s="22">
        <v>0</v>
      </c>
    </row>
    <row r="139" ht="38.25">
      <c r="A139" t="s">
        <v>134</v>
      </c>
      <c r="B139" s="19">
        <v>87368</v>
      </c>
      <c r="C139" s="20" t="s">
        <v>165</v>
      </c>
      <c r="D139" s="19" t="s">
        <v>121</v>
      </c>
      <c r="E139" s="21">
        <f t="shared" ref="E139:E202" si="5">IF(L139=0,"VERIFICAR",L139)</f>
        <v>700.09000000000003</v>
      </c>
      <c r="F139" s="22">
        <v>0</v>
      </c>
      <c r="G139" s="21">
        <f t="shared" ref="G139:G202" si="6">IF(N139=0,"VERIFICAR",N139)</f>
        <v>686.38999999999999</v>
      </c>
      <c r="H139" s="22">
        <v>0</v>
      </c>
      <c r="I139" s="23" t="str">
        <f t="shared" ref="I139:I202" si="7">IF(OR(E139=0,G139=0),"SEM VALOR","COM VALOR")</f>
        <v xml:space="preserve">COM VALOR</v>
      </c>
      <c r="J139" s="19"/>
      <c r="L139" s="21">
        <v>700.09000000000003</v>
      </c>
      <c r="M139" s="22">
        <v>0</v>
      </c>
      <c r="N139" s="21">
        <v>686.38999999999999</v>
      </c>
      <c r="O139" s="22">
        <v>0</v>
      </c>
    </row>
    <row r="140" ht="51">
      <c r="A140" t="s">
        <v>134</v>
      </c>
      <c r="B140" s="19">
        <v>100450</v>
      </c>
      <c r="C140" s="20" t="s">
        <v>166</v>
      </c>
      <c r="D140" s="19" t="s">
        <v>121</v>
      </c>
      <c r="E140" s="21" t="str">
        <f t="shared" si="5"/>
        <v>VERIFICAR</v>
      </c>
      <c r="F140" s="22"/>
      <c r="G140" s="21" t="str">
        <f t="shared" si="6"/>
        <v>VERIFICAR</v>
      </c>
      <c r="H140" s="22"/>
      <c r="I140" s="23" t="str">
        <f t="shared" si="7"/>
        <v xml:space="preserve">COM VALOR</v>
      </c>
      <c r="J140" s="19"/>
      <c r="L140" s="21">
        <v>0</v>
      </c>
      <c r="M140" s="22"/>
      <c r="N140" s="21">
        <v>0</v>
      </c>
      <c r="O140" s="22"/>
    </row>
    <row r="141" ht="51">
      <c r="A141" t="s">
        <v>134</v>
      </c>
      <c r="B141" s="19">
        <v>87289</v>
      </c>
      <c r="C141" s="20" t="s">
        <v>167</v>
      </c>
      <c r="D141" s="19" t="s">
        <v>121</v>
      </c>
      <c r="E141" s="21">
        <f t="shared" si="5"/>
        <v>588.48000000000002</v>
      </c>
      <c r="F141" s="22">
        <v>0</v>
      </c>
      <c r="G141" s="21">
        <f t="shared" si="6"/>
        <v>580.35000000000002</v>
      </c>
      <c r="H141" s="22">
        <v>0</v>
      </c>
      <c r="I141" s="23" t="str">
        <f t="shared" si="7"/>
        <v xml:space="preserve">COM VALOR</v>
      </c>
      <c r="J141" s="19"/>
      <c r="L141" s="21">
        <v>588.48000000000002</v>
      </c>
      <c r="M141" s="22">
        <v>0</v>
      </c>
      <c r="N141" s="21">
        <v>580.35000000000002</v>
      </c>
      <c r="O141" s="22">
        <v>0</v>
      </c>
    </row>
    <row r="142" ht="51">
      <c r="A142" t="s">
        <v>134</v>
      </c>
      <c r="B142" s="19">
        <v>87290</v>
      </c>
      <c r="C142" s="20" t="s">
        <v>168</v>
      </c>
      <c r="D142" s="19" t="s">
        <v>121</v>
      </c>
      <c r="E142" s="21">
        <f t="shared" si="5"/>
        <v>571.85000000000002</v>
      </c>
      <c r="F142" s="22">
        <v>0</v>
      </c>
      <c r="G142" s="21">
        <f t="shared" si="6"/>
        <v>565.22000000000003</v>
      </c>
      <c r="H142" s="22">
        <v>0</v>
      </c>
      <c r="I142" s="23" t="str">
        <f t="shared" si="7"/>
        <v xml:space="preserve">COM VALOR</v>
      </c>
      <c r="J142" s="19"/>
      <c r="L142" s="21">
        <v>571.85000000000002</v>
      </c>
      <c r="M142" s="22">
        <v>0</v>
      </c>
      <c r="N142" s="21">
        <v>565.22000000000003</v>
      </c>
      <c r="O142" s="22">
        <v>0</v>
      </c>
    </row>
    <row r="143" ht="51">
      <c r="A143" t="s">
        <v>134</v>
      </c>
      <c r="B143" s="19">
        <v>87333</v>
      </c>
      <c r="C143" s="20" t="s">
        <v>169</v>
      </c>
      <c r="D143" s="19" t="s">
        <v>121</v>
      </c>
      <c r="E143" s="21">
        <f t="shared" si="5"/>
        <v>595.89999999999998</v>
      </c>
      <c r="F143" s="22">
        <v>0</v>
      </c>
      <c r="G143" s="21">
        <f t="shared" si="6"/>
        <v>586.95000000000005</v>
      </c>
      <c r="H143" s="22">
        <v>0</v>
      </c>
      <c r="I143" s="23" t="str">
        <f t="shared" si="7"/>
        <v xml:space="preserve">COM VALOR</v>
      </c>
      <c r="J143" s="19"/>
      <c r="L143" s="21">
        <v>595.89999999999998</v>
      </c>
      <c r="M143" s="22">
        <v>0</v>
      </c>
      <c r="N143" s="21">
        <v>586.95000000000005</v>
      </c>
      <c r="O143" s="22">
        <v>0</v>
      </c>
    </row>
    <row r="144" ht="51">
      <c r="A144" t="s">
        <v>134</v>
      </c>
      <c r="B144" s="19">
        <v>87334</v>
      </c>
      <c r="C144" s="20" t="s">
        <v>170</v>
      </c>
      <c r="D144" s="19" t="s">
        <v>121</v>
      </c>
      <c r="E144" s="21">
        <f t="shared" si="5"/>
        <v>546.46000000000004</v>
      </c>
      <c r="F144" s="22">
        <v>0</v>
      </c>
      <c r="G144" s="21">
        <f t="shared" si="6"/>
        <v>540.59000000000003</v>
      </c>
      <c r="H144" s="22">
        <v>0</v>
      </c>
      <c r="I144" s="23" t="str">
        <f t="shared" si="7"/>
        <v xml:space="preserve">COM VALOR</v>
      </c>
      <c r="J144" s="19"/>
      <c r="L144" s="21">
        <v>546.46000000000004</v>
      </c>
      <c r="M144" s="22">
        <v>0</v>
      </c>
      <c r="N144" s="21">
        <v>540.59000000000003</v>
      </c>
      <c r="O144" s="22">
        <v>0</v>
      </c>
    </row>
    <row r="145" ht="38.25">
      <c r="A145" t="s">
        <v>134</v>
      </c>
      <c r="B145" s="19">
        <v>105515</v>
      </c>
      <c r="C145" s="20" t="s">
        <v>171</v>
      </c>
      <c r="D145" s="19" t="s">
        <v>121</v>
      </c>
      <c r="E145" s="21">
        <f t="shared" si="5"/>
        <v>863.54999999999995</v>
      </c>
      <c r="F145" s="22">
        <v>0</v>
      </c>
      <c r="G145" s="21">
        <f t="shared" si="6"/>
        <v>852.29999999999995</v>
      </c>
      <c r="H145" s="22">
        <v>0</v>
      </c>
      <c r="I145" s="23" t="str">
        <f t="shared" si="7"/>
        <v xml:space="preserve">COM VALOR</v>
      </c>
      <c r="J145" s="19"/>
      <c r="L145" s="21">
        <v>863.54999999999995</v>
      </c>
      <c r="M145" s="22">
        <v>0</v>
      </c>
      <c r="N145" s="21">
        <v>852.29999999999995</v>
      </c>
      <c r="O145" s="22">
        <v>0</v>
      </c>
    </row>
    <row r="146" ht="38.25">
      <c r="A146" t="s">
        <v>134</v>
      </c>
      <c r="B146" s="19">
        <v>87367</v>
      </c>
      <c r="C146" s="20" t="s">
        <v>172</v>
      </c>
      <c r="D146" s="19" t="s">
        <v>121</v>
      </c>
      <c r="E146" s="21">
        <f t="shared" si="5"/>
        <v>713.59000000000003</v>
      </c>
      <c r="F146" s="22">
        <v>0</v>
      </c>
      <c r="G146" s="21">
        <f t="shared" si="6"/>
        <v>700</v>
      </c>
      <c r="H146" s="22">
        <v>0</v>
      </c>
      <c r="I146" s="23" t="str">
        <f t="shared" si="7"/>
        <v xml:space="preserve">COM VALOR</v>
      </c>
      <c r="J146" s="19"/>
      <c r="L146" s="21">
        <v>713.59000000000003</v>
      </c>
      <c r="M146" s="22">
        <v>0</v>
      </c>
      <c r="N146" s="21">
        <v>700</v>
      </c>
      <c r="O146" s="22">
        <v>0</v>
      </c>
    </row>
    <row r="147" ht="38.25">
      <c r="A147" t="s">
        <v>134</v>
      </c>
      <c r="B147" s="19">
        <v>100449</v>
      </c>
      <c r="C147" s="20" t="s">
        <v>173</v>
      </c>
      <c r="D147" s="19" t="s">
        <v>121</v>
      </c>
      <c r="E147" s="21" t="str">
        <f t="shared" si="5"/>
        <v>VERIFICAR</v>
      </c>
      <c r="F147" s="22"/>
      <c r="G147" s="21" t="str">
        <f t="shared" si="6"/>
        <v>VERIFICAR</v>
      </c>
      <c r="H147" s="22"/>
      <c r="I147" s="23" t="str">
        <f t="shared" si="7"/>
        <v xml:space="preserve">COM VALOR</v>
      </c>
      <c r="J147" s="19"/>
      <c r="L147" s="21">
        <v>0</v>
      </c>
      <c r="M147" s="22"/>
      <c r="N147" s="21">
        <v>0</v>
      </c>
      <c r="O147" s="22"/>
    </row>
    <row r="148" ht="38.25">
      <c r="A148" t="s">
        <v>134</v>
      </c>
      <c r="B148" s="19">
        <v>87286</v>
      </c>
      <c r="C148" s="20" t="s">
        <v>174</v>
      </c>
      <c r="D148" s="19" t="s">
        <v>121</v>
      </c>
      <c r="E148" s="21">
        <f t="shared" si="5"/>
        <v>607.99000000000001</v>
      </c>
      <c r="F148" s="22">
        <v>0</v>
      </c>
      <c r="G148" s="21">
        <f t="shared" si="6"/>
        <v>599.37</v>
      </c>
      <c r="H148" s="22">
        <v>0</v>
      </c>
      <c r="I148" s="23" t="str">
        <f t="shared" si="7"/>
        <v xml:space="preserve">COM VALOR</v>
      </c>
      <c r="J148" s="19"/>
      <c r="L148" s="21">
        <v>607.99000000000001</v>
      </c>
      <c r="M148" s="22">
        <v>0</v>
      </c>
      <c r="N148" s="21">
        <v>599.37</v>
      </c>
      <c r="O148" s="22">
        <v>0</v>
      </c>
    </row>
    <row r="149" ht="38.25">
      <c r="A149" t="s">
        <v>134</v>
      </c>
      <c r="B149" s="19">
        <v>87287</v>
      </c>
      <c r="C149" s="20" t="s">
        <v>175</v>
      </c>
      <c r="D149" s="19" t="s">
        <v>121</v>
      </c>
      <c r="E149" s="21">
        <f t="shared" si="5"/>
        <v>579.39999999999998</v>
      </c>
      <c r="F149" s="22">
        <v>0</v>
      </c>
      <c r="G149" s="21">
        <f t="shared" si="6"/>
        <v>573.24000000000001</v>
      </c>
      <c r="H149" s="22">
        <v>0</v>
      </c>
      <c r="I149" s="23" t="str">
        <f t="shared" si="7"/>
        <v xml:space="preserve">COM VALOR</v>
      </c>
      <c r="J149" s="19"/>
      <c r="L149" s="21">
        <v>579.39999999999998</v>
      </c>
      <c r="M149" s="22">
        <v>0</v>
      </c>
      <c r="N149" s="21">
        <v>573.24000000000001</v>
      </c>
      <c r="O149" s="22">
        <v>0</v>
      </c>
    </row>
    <row r="150" ht="51">
      <c r="A150" t="s">
        <v>134</v>
      </c>
      <c r="B150" s="19">
        <v>87331</v>
      </c>
      <c r="C150" s="20" t="s">
        <v>176</v>
      </c>
      <c r="D150" s="19" t="s">
        <v>121</v>
      </c>
      <c r="E150" s="21">
        <f t="shared" si="5"/>
        <v>635.92999999999995</v>
      </c>
      <c r="F150" s="22">
        <v>0</v>
      </c>
      <c r="G150" s="21">
        <f t="shared" si="6"/>
        <v>625.58000000000004</v>
      </c>
      <c r="H150" s="22">
        <v>0</v>
      </c>
      <c r="I150" s="23" t="str">
        <f t="shared" si="7"/>
        <v xml:space="preserve">COM VALOR</v>
      </c>
      <c r="J150" s="19"/>
      <c r="L150" s="21">
        <v>635.92999999999995</v>
      </c>
      <c r="M150" s="22">
        <v>0</v>
      </c>
      <c r="N150" s="21">
        <v>625.58000000000004</v>
      </c>
      <c r="O150" s="22">
        <v>0</v>
      </c>
    </row>
    <row r="151" ht="51">
      <c r="A151" t="s">
        <v>134</v>
      </c>
      <c r="B151" s="19">
        <v>87332</v>
      </c>
      <c r="C151" s="20" t="s">
        <v>177</v>
      </c>
      <c r="D151" s="19" t="s">
        <v>121</v>
      </c>
      <c r="E151" s="21">
        <f t="shared" si="5"/>
        <v>556.54999999999995</v>
      </c>
      <c r="F151" s="22">
        <v>0</v>
      </c>
      <c r="G151" s="21">
        <f t="shared" si="6"/>
        <v>551.09000000000003</v>
      </c>
      <c r="H151" s="22">
        <v>0</v>
      </c>
      <c r="I151" s="23" t="str">
        <f t="shared" si="7"/>
        <v xml:space="preserve">COM VALOR</v>
      </c>
      <c r="J151" s="19"/>
      <c r="L151" s="21">
        <v>556.54999999999995</v>
      </c>
      <c r="M151" s="22">
        <v>0</v>
      </c>
      <c r="N151" s="21">
        <v>551.09000000000003</v>
      </c>
      <c r="O151" s="22">
        <v>0</v>
      </c>
    </row>
    <row r="152" ht="38.25">
      <c r="A152" t="s">
        <v>134</v>
      </c>
      <c r="B152" s="19">
        <v>87369</v>
      </c>
      <c r="C152" s="20" t="s">
        <v>178</v>
      </c>
      <c r="D152" s="19" t="s">
        <v>121</v>
      </c>
      <c r="E152" s="21">
        <f t="shared" si="5"/>
        <v>723.24000000000001</v>
      </c>
      <c r="F152" s="22">
        <v>0</v>
      </c>
      <c r="G152" s="21">
        <f t="shared" si="6"/>
        <v>709.80999999999995</v>
      </c>
      <c r="H152" s="22">
        <v>0</v>
      </c>
      <c r="I152" s="23" t="str">
        <f t="shared" si="7"/>
        <v xml:space="preserve">COM VALOR</v>
      </c>
      <c r="J152" s="19"/>
      <c r="L152" s="21">
        <v>723.24000000000001</v>
      </c>
      <c r="M152" s="22">
        <v>0</v>
      </c>
      <c r="N152" s="21">
        <v>709.80999999999995</v>
      </c>
      <c r="O152" s="22">
        <v>0</v>
      </c>
    </row>
    <row r="153" ht="38.25">
      <c r="A153" t="s">
        <v>134</v>
      </c>
      <c r="B153" s="19">
        <v>100451</v>
      </c>
      <c r="C153" s="20" t="s">
        <v>179</v>
      </c>
      <c r="D153" s="19" t="s">
        <v>121</v>
      </c>
      <c r="E153" s="21" t="str">
        <f t="shared" si="5"/>
        <v>VERIFICAR</v>
      </c>
      <c r="F153" s="22"/>
      <c r="G153" s="21" t="str">
        <f t="shared" si="6"/>
        <v>VERIFICAR</v>
      </c>
      <c r="H153" s="22"/>
      <c r="I153" s="23" t="str">
        <f t="shared" si="7"/>
        <v xml:space="preserve">COM VALOR</v>
      </c>
      <c r="J153" s="19"/>
      <c r="L153" s="21">
        <v>0</v>
      </c>
      <c r="M153" s="22"/>
      <c r="N153" s="21">
        <v>0</v>
      </c>
      <c r="O153" s="22"/>
    </row>
    <row r="154" ht="38.25">
      <c r="A154" t="s">
        <v>134</v>
      </c>
      <c r="B154" s="19">
        <v>87292</v>
      </c>
      <c r="C154" s="20" t="s">
        <v>180</v>
      </c>
      <c r="D154" s="19" t="s">
        <v>121</v>
      </c>
      <c r="E154" s="21">
        <f t="shared" si="5"/>
        <v>606.65999999999997</v>
      </c>
      <c r="F154" s="22">
        <v>0</v>
      </c>
      <c r="G154" s="21">
        <f t="shared" si="6"/>
        <v>599.14999999999998</v>
      </c>
      <c r="H154" s="22">
        <v>0</v>
      </c>
      <c r="I154" s="23" t="str">
        <f t="shared" si="7"/>
        <v xml:space="preserve">COM VALOR</v>
      </c>
      <c r="J154" s="19"/>
      <c r="L154" s="21">
        <v>606.65999999999997</v>
      </c>
      <c r="M154" s="22">
        <v>0</v>
      </c>
      <c r="N154" s="21">
        <v>599.14999999999998</v>
      </c>
      <c r="O154" s="22">
        <v>0</v>
      </c>
    </row>
    <row r="155" ht="51">
      <c r="A155" t="s">
        <v>134</v>
      </c>
      <c r="B155" s="19">
        <v>87335</v>
      </c>
      <c r="C155" s="20" t="s">
        <v>181</v>
      </c>
      <c r="D155" s="19" t="s">
        <v>121</v>
      </c>
      <c r="E155" s="21">
        <f t="shared" si="5"/>
        <v>586.27999999999997</v>
      </c>
      <c r="F155" s="22">
        <v>0</v>
      </c>
      <c r="G155" s="21">
        <f t="shared" si="6"/>
        <v>578</v>
      </c>
      <c r="H155" s="22">
        <v>0</v>
      </c>
      <c r="I155" s="23" t="str">
        <f t="shared" si="7"/>
        <v xml:space="preserve">COM VALOR</v>
      </c>
      <c r="J155" s="19"/>
      <c r="L155" s="21">
        <v>586.27999999999997</v>
      </c>
      <c r="M155" s="22">
        <v>0</v>
      </c>
      <c r="N155" s="21">
        <v>578</v>
      </c>
      <c r="O155" s="22">
        <v>0</v>
      </c>
    </row>
    <row r="156" ht="51">
      <c r="A156" t="s">
        <v>134</v>
      </c>
      <c r="B156" s="19">
        <v>87336</v>
      </c>
      <c r="C156" s="20" t="s">
        <v>182</v>
      </c>
      <c r="D156" s="19" t="s">
        <v>121</v>
      </c>
      <c r="E156" s="21">
        <f t="shared" si="5"/>
        <v>570.41999999999996</v>
      </c>
      <c r="F156" s="22">
        <v>0</v>
      </c>
      <c r="G156" s="21">
        <f t="shared" si="6"/>
        <v>564.79999999999995</v>
      </c>
      <c r="H156" s="22">
        <v>0</v>
      </c>
      <c r="I156" s="23" t="str">
        <f t="shared" si="7"/>
        <v xml:space="preserve">COM VALOR</v>
      </c>
      <c r="J156" s="19"/>
      <c r="L156" s="21">
        <v>570.41999999999996</v>
      </c>
      <c r="M156" s="22">
        <v>0</v>
      </c>
      <c r="N156" s="21">
        <v>564.79999999999995</v>
      </c>
      <c r="O156" s="22">
        <v>0</v>
      </c>
    </row>
    <row r="157" ht="38.25">
      <c r="A157" t="s">
        <v>134</v>
      </c>
      <c r="B157" s="19">
        <v>87370</v>
      </c>
      <c r="C157" s="20" t="s">
        <v>183</v>
      </c>
      <c r="D157" s="19" t="s">
        <v>121</v>
      </c>
      <c r="E157" s="21">
        <f t="shared" si="5"/>
        <v>692.84000000000003</v>
      </c>
      <c r="F157" s="22">
        <v>0</v>
      </c>
      <c r="G157" s="21">
        <f t="shared" si="6"/>
        <v>679.33000000000004</v>
      </c>
      <c r="H157" s="22">
        <v>0</v>
      </c>
      <c r="I157" s="23" t="str">
        <f t="shared" si="7"/>
        <v xml:space="preserve">COM VALOR</v>
      </c>
      <c r="J157" s="19"/>
      <c r="L157" s="21">
        <v>692.84000000000003</v>
      </c>
      <c r="M157" s="22">
        <v>0</v>
      </c>
      <c r="N157" s="21">
        <v>679.33000000000004</v>
      </c>
      <c r="O157" s="22">
        <v>0</v>
      </c>
    </row>
    <row r="158" ht="38.25">
      <c r="A158" t="s">
        <v>134</v>
      </c>
      <c r="B158" s="19">
        <v>100452</v>
      </c>
      <c r="C158" s="20" t="s">
        <v>184</v>
      </c>
      <c r="D158" s="19" t="s">
        <v>121</v>
      </c>
      <c r="E158" s="21" t="str">
        <f t="shared" si="5"/>
        <v>VERIFICAR</v>
      </c>
      <c r="F158" s="22"/>
      <c r="G158" s="21" t="str">
        <f t="shared" si="6"/>
        <v>VERIFICAR</v>
      </c>
      <c r="H158" s="22"/>
      <c r="I158" s="23" t="str">
        <f t="shared" si="7"/>
        <v xml:space="preserve">COM VALOR</v>
      </c>
      <c r="J158" s="19"/>
      <c r="L158" s="21">
        <v>0</v>
      </c>
      <c r="M158" s="22"/>
      <c r="N158" s="21">
        <v>0</v>
      </c>
      <c r="O158" s="22"/>
    </row>
    <row r="159" ht="38.25">
      <c r="A159" t="s">
        <v>134</v>
      </c>
      <c r="B159" s="19">
        <v>88715</v>
      </c>
      <c r="C159" s="20" t="s">
        <v>185</v>
      </c>
      <c r="D159" s="19" t="s">
        <v>121</v>
      </c>
      <c r="E159" s="21">
        <f t="shared" si="5"/>
        <v>568.12</v>
      </c>
      <c r="F159" s="22">
        <v>0</v>
      </c>
      <c r="G159" s="21">
        <f t="shared" si="6"/>
        <v>561</v>
      </c>
      <c r="H159" s="22">
        <v>0</v>
      </c>
      <c r="I159" s="23" t="str">
        <f t="shared" si="7"/>
        <v xml:space="preserve">COM VALOR</v>
      </c>
      <c r="J159" s="19"/>
      <c r="L159" s="21">
        <v>568.12</v>
      </c>
      <c r="M159" s="22">
        <v>0</v>
      </c>
      <c r="N159" s="21">
        <v>561</v>
      </c>
      <c r="O159" s="22">
        <v>0</v>
      </c>
    </row>
    <row r="160" ht="38.25">
      <c r="A160" t="s">
        <v>134</v>
      </c>
      <c r="B160" s="19">
        <v>87294</v>
      </c>
      <c r="C160" s="20" t="s">
        <v>186</v>
      </c>
      <c r="D160" s="19" t="s">
        <v>121</v>
      </c>
      <c r="E160" s="21">
        <f t="shared" si="5"/>
        <v>571.13999999999999</v>
      </c>
      <c r="F160" s="22">
        <v>0</v>
      </c>
      <c r="G160" s="21">
        <f t="shared" si="6"/>
        <v>564.09000000000003</v>
      </c>
      <c r="H160" s="22">
        <v>0</v>
      </c>
      <c r="I160" s="23" t="str">
        <f t="shared" si="7"/>
        <v xml:space="preserve">COM VALOR</v>
      </c>
      <c r="J160" s="19"/>
      <c r="L160" s="21">
        <v>571.13999999999999</v>
      </c>
      <c r="M160" s="22">
        <v>0</v>
      </c>
      <c r="N160" s="21">
        <v>564.09000000000003</v>
      </c>
      <c r="O160" s="22">
        <v>0</v>
      </c>
    </row>
    <row r="161" ht="51">
      <c r="A161" t="s">
        <v>134</v>
      </c>
      <c r="B161" s="19">
        <v>87337</v>
      </c>
      <c r="C161" s="20" t="s">
        <v>187</v>
      </c>
      <c r="D161" s="19" t="s">
        <v>121</v>
      </c>
      <c r="E161" s="21">
        <f t="shared" si="5"/>
        <v>579.63999999999999</v>
      </c>
      <c r="F161" s="22">
        <v>0</v>
      </c>
      <c r="G161" s="21">
        <f t="shared" si="6"/>
        <v>571.49000000000001</v>
      </c>
      <c r="H161" s="22">
        <v>0</v>
      </c>
      <c r="I161" s="23" t="str">
        <f t="shared" si="7"/>
        <v xml:space="preserve">COM VALOR</v>
      </c>
      <c r="J161" s="19"/>
      <c r="L161" s="21">
        <v>579.63999999999999</v>
      </c>
      <c r="M161" s="22">
        <v>0</v>
      </c>
      <c r="N161" s="21">
        <v>571.49000000000001</v>
      </c>
      <c r="O161" s="22">
        <v>0</v>
      </c>
    </row>
    <row r="162" ht="51">
      <c r="A162" t="s">
        <v>134</v>
      </c>
      <c r="B162" s="19">
        <v>100487</v>
      </c>
      <c r="C162" s="20" t="s">
        <v>188</v>
      </c>
      <c r="D162" s="19" t="s">
        <v>121</v>
      </c>
      <c r="E162" s="21">
        <f t="shared" si="5"/>
        <v>535.40999999999997</v>
      </c>
      <c r="F162" s="22">
        <v>0</v>
      </c>
      <c r="G162" s="21">
        <f t="shared" si="6"/>
        <v>530</v>
      </c>
      <c r="H162" s="22">
        <v>0</v>
      </c>
      <c r="I162" s="23" t="str">
        <f t="shared" si="7"/>
        <v xml:space="preserve">COM VALOR</v>
      </c>
      <c r="J162" s="19"/>
      <c r="L162" s="21">
        <v>535.40999999999997</v>
      </c>
      <c r="M162" s="22">
        <v>0</v>
      </c>
      <c r="N162" s="21">
        <v>530</v>
      </c>
      <c r="O162" s="22">
        <v>0</v>
      </c>
    </row>
    <row r="163" ht="38.25">
      <c r="A163" t="s">
        <v>134</v>
      </c>
      <c r="B163" s="19">
        <v>87380</v>
      </c>
      <c r="C163" s="20" t="s">
        <v>189</v>
      </c>
      <c r="D163" s="19" t="s">
        <v>121</v>
      </c>
      <c r="E163" s="21">
        <f t="shared" si="5"/>
        <v>3013.3699999999999</v>
      </c>
      <c r="F163" s="22">
        <v>0.82999999999999996</v>
      </c>
      <c r="G163" s="21">
        <f t="shared" si="6"/>
        <v>3000.21</v>
      </c>
      <c r="H163" s="22">
        <v>0.83999999999999997</v>
      </c>
      <c r="I163" s="23" t="str">
        <f t="shared" si="7"/>
        <v xml:space="preserve">COM VALOR</v>
      </c>
      <c r="J163" s="19"/>
      <c r="L163" s="21">
        <v>3013.3699999999999</v>
      </c>
      <c r="M163" s="22">
        <v>0.81000000000000005</v>
      </c>
      <c r="N163" s="21">
        <v>3000.21</v>
      </c>
      <c r="O163" s="22">
        <v>0.8125</v>
      </c>
    </row>
    <row r="164" ht="38.25">
      <c r="A164" t="s">
        <v>134</v>
      </c>
      <c r="B164" s="19">
        <v>100461</v>
      </c>
      <c r="C164" s="20" t="s">
        <v>190</v>
      </c>
      <c r="D164" s="19" t="s">
        <v>121</v>
      </c>
      <c r="E164" s="21" t="str">
        <f t="shared" si="5"/>
        <v>VERIFICAR</v>
      </c>
      <c r="F164" s="22"/>
      <c r="G164" s="21" t="str">
        <f t="shared" si="6"/>
        <v>VERIFICAR</v>
      </c>
      <c r="H164" s="22"/>
      <c r="I164" s="23" t="str">
        <f t="shared" si="7"/>
        <v xml:space="preserve">COM VALOR</v>
      </c>
      <c r="J164" s="19"/>
      <c r="L164" s="21">
        <v>0</v>
      </c>
      <c r="M164" s="22"/>
      <c r="N164" s="21">
        <v>0</v>
      </c>
      <c r="O164" s="22"/>
    </row>
    <row r="165" ht="38.25">
      <c r="A165" t="s">
        <v>134</v>
      </c>
      <c r="B165" s="19">
        <v>87322</v>
      </c>
      <c r="C165" s="20" t="s">
        <v>191</v>
      </c>
      <c r="D165" s="19" t="s">
        <v>121</v>
      </c>
      <c r="E165" s="21">
        <f t="shared" si="5"/>
        <v>2924.4400000000001</v>
      </c>
      <c r="F165" s="22">
        <v>0.85999999999999999</v>
      </c>
      <c r="G165" s="21">
        <f t="shared" si="6"/>
        <v>2916.8200000000002</v>
      </c>
      <c r="H165" s="22">
        <v>0.85999999999999999</v>
      </c>
      <c r="I165" s="23" t="str">
        <f t="shared" si="7"/>
        <v xml:space="preserve">COM VALOR</v>
      </c>
      <c r="J165" s="19"/>
      <c r="L165" s="21">
        <v>2924.4400000000001</v>
      </c>
      <c r="M165" s="22">
        <v>0.83999999999999997</v>
      </c>
      <c r="N165" s="21">
        <v>2916.8200000000002</v>
      </c>
      <c r="O165" s="22">
        <v>0.83999999999999997</v>
      </c>
    </row>
    <row r="166" ht="38.25">
      <c r="A166" t="s">
        <v>134</v>
      </c>
      <c r="B166" s="19">
        <v>87323</v>
      </c>
      <c r="C166" s="20" t="s">
        <v>192</v>
      </c>
      <c r="D166" s="19" t="s">
        <v>121</v>
      </c>
      <c r="E166" s="21">
        <f t="shared" si="5"/>
        <v>2911.5999999999999</v>
      </c>
      <c r="F166" s="22">
        <v>0.87</v>
      </c>
      <c r="G166" s="21">
        <f t="shared" si="6"/>
        <v>2905.8600000000001</v>
      </c>
      <c r="H166" s="22">
        <v>0.87</v>
      </c>
      <c r="I166" s="23" t="str">
        <f t="shared" si="7"/>
        <v xml:space="preserve">COM VALOR</v>
      </c>
      <c r="J166" s="19"/>
      <c r="L166" s="21">
        <v>2911.5999999999999</v>
      </c>
      <c r="M166" s="22">
        <v>0.84999999999999998</v>
      </c>
      <c r="N166" s="21">
        <v>2905.8600000000001</v>
      </c>
      <c r="O166" s="22">
        <v>0.84999999999999998</v>
      </c>
    </row>
    <row r="167" ht="51">
      <c r="A167" t="s">
        <v>134</v>
      </c>
      <c r="B167" s="19">
        <v>87360</v>
      </c>
      <c r="C167" s="20" t="s">
        <v>193</v>
      </c>
      <c r="D167" s="19" t="s">
        <v>121</v>
      </c>
      <c r="E167" s="21">
        <f t="shared" si="5"/>
        <v>2916.5100000000002</v>
      </c>
      <c r="F167" s="22">
        <v>0.83999999999999997</v>
      </c>
      <c r="G167" s="21">
        <f t="shared" si="6"/>
        <v>2905</v>
      </c>
      <c r="H167" s="22">
        <v>0.84999999999999998</v>
      </c>
      <c r="I167" s="23" t="str">
        <f t="shared" si="7"/>
        <v xml:space="preserve">COM VALOR</v>
      </c>
      <c r="J167" s="19"/>
      <c r="L167" s="21">
        <v>2916.5100000000002</v>
      </c>
      <c r="M167" s="22">
        <v>0.81999999999999995</v>
      </c>
      <c r="N167" s="21">
        <v>2905</v>
      </c>
      <c r="O167" s="22">
        <v>0.81999999999999995</v>
      </c>
    </row>
    <row r="168" ht="51">
      <c r="A168" t="s">
        <v>134</v>
      </c>
      <c r="B168" s="19">
        <v>87361</v>
      </c>
      <c r="C168" s="20" t="s">
        <v>194</v>
      </c>
      <c r="D168" s="19" t="s">
        <v>121</v>
      </c>
      <c r="E168" s="21">
        <f t="shared" si="5"/>
        <v>2853.2600000000002</v>
      </c>
      <c r="F168" s="22">
        <v>0.85999999999999999</v>
      </c>
      <c r="G168" s="21">
        <f t="shared" si="6"/>
        <v>2846.3800000000001</v>
      </c>
      <c r="H168" s="22">
        <v>0.85999999999999999</v>
      </c>
      <c r="I168" s="23" t="str">
        <f t="shared" si="7"/>
        <v xml:space="preserve">COM VALOR</v>
      </c>
      <c r="J168" s="19"/>
      <c r="L168" s="21">
        <v>2853.2600000000002</v>
      </c>
      <c r="M168" s="22">
        <v>0.83999999999999997</v>
      </c>
      <c r="N168" s="21">
        <v>2846.3800000000001</v>
      </c>
      <c r="O168" s="22">
        <v>0.84999999999999998</v>
      </c>
    </row>
    <row r="169" ht="51">
      <c r="A169" t="s">
        <v>134</v>
      </c>
      <c r="B169" s="19">
        <v>87362</v>
      </c>
      <c r="C169" s="20" t="s">
        <v>195</v>
      </c>
      <c r="D169" s="19" t="s">
        <v>121</v>
      </c>
      <c r="E169" s="21">
        <f t="shared" si="5"/>
        <v>2838.8299999999999</v>
      </c>
      <c r="F169" s="22">
        <v>0.87</v>
      </c>
      <c r="G169" s="21">
        <f t="shared" si="6"/>
        <v>2834.02</v>
      </c>
      <c r="H169" s="22">
        <v>0.87</v>
      </c>
      <c r="I169" s="23" t="str">
        <f t="shared" si="7"/>
        <v xml:space="preserve">COM VALOR</v>
      </c>
      <c r="J169" s="19"/>
      <c r="L169" s="21">
        <v>2838.8299999999999</v>
      </c>
      <c r="M169" s="22">
        <v>0.84999999999999998</v>
      </c>
      <c r="N169" s="21">
        <v>2834.02</v>
      </c>
      <c r="O169" s="22">
        <v>0.85999999999999999</v>
      </c>
    </row>
    <row r="170" ht="25.5">
      <c r="A170" t="s">
        <v>134</v>
      </c>
      <c r="B170" s="19">
        <v>87377</v>
      </c>
      <c r="C170" s="20" t="s">
        <v>196</v>
      </c>
      <c r="D170" s="19" t="s">
        <v>121</v>
      </c>
      <c r="E170" s="21">
        <f t="shared" si="5"/>
        <v>673.96000000000004</v>
      </c>
      <c r="F170" s="22">
        <v>0</v>
      </c>
      <c r="G170" s="21">
        <f t="shared" si="6"/>
        <v>660.63</v>
      </c>
      <c r="H170" s="22">
        <v>0</v>
      </c>
      <c r="I170" s="23" t="str">
        <f t="shared" si="7"/>
        <v xml:space="preserve">COM VALOR</v>
      </c>
      <c r="J170" s="19"/>
      <c r="L170" s="21">
        <v>673.96000000000004</v>
      </c>
      <c r="M170" s="22">
        <v>0</v>
      </c>
      <c r="N170" s="21">
        <v>660.63</v>
      </c>
      <c r="O170" s="22">
        <v>0</v>
      </c>
    </row>
    <row r="171" ht="38.25">
      <c r="A171" t="s">
        <v>134</v>
      </c>
      <c r="B171" s="19">
        <v>100458</v>
      </c>
      <c r="C171" s="20" t="s">
        <v>197</v>
      </c>
      <c r="D171" s="19" t="s">
        <v>121</v>
      </c>
      <c r="E171" s="21" t="str">
        <f t="shared" si="5"/>
        <v>VERIFICAR</v>
      </c>
      <c r="F171" s="22"/>
      <c r="G171" s="21" t="str">
        <f t="shared" si="6"/>
        <v>VERIFICAR</v>
      </c>
      <c r="H171" s="22"/>
      <c r="I171" s="23" t="str">
        <f t="shared" si="7"/>
        <v xml:space="preserve">COM VALOR</v>
      </c>
      <c r="J171" s="19"/>
      <c r="L171" s="21">
        <v>0</v>
      </c>
      <c r="M171" s="22"/>
      <c r="N171" s="21">
        <v>0</v>
      </c>
      <c r="O171" s="22"/>
    </row>
    <row r="172" ht="38.25">
      <c r="A172" t="s">
        <v>134</v>
      </c>
      <c r="B172" s="19">
        <v>87313</v>
      </c>
      <c r="C172" s="20" t="s">
        <v>198</v>
      </c>
      <c r="D172" s="19" t="s">
        <v>121</v>
      </c>
      <c r="E172" s="21">
        <f t="shared" si="5"/>
        <v>549.88</v>
      </c>
      <c r="F172" s="22">
        <v>0</v>
      </c>
      <c r="G172" s="21">
        <f t="shared" si="6"/>
        <v>542.65999999999997</v>
      </c>
      <c r="H172" s="22">
        <v>0</v>
      </c>
      <c r="I172" s="23" t="str">
        <f t="shared" si="7"/>
        <v xml:space="preserve">COM VALOR</v>
      </c>
      <c r="J172" s="19"/>
      <c r="L172" s="21">
        <v>549.88</v>
      </c>
      <c r="M172" s="22">
        <v>0</v>
      </c>
      <c r="N172" s="21">
        <v>542.65999999999997</v>
      </c>
      <c r="O172" s="22">
        <v>0</v>
      </c>
    </row>
    <row r="173" ht="38.25">
      <c r="A173" t="s">
        <v>134</v>
      </c>
      <c r="B173" s="19">
        <v>87314</v>
      </c>
      <c r="C173" s="20" t="s">
        <v>199</v>
      </c>
      <c r="D173" s="19" t="s">
        <v>121</v>
      </c>
      <c r="E173" s="21">
        <f t="shared" si="5"/>
        <v>535.17999999999995</v>
      </c>
      <c r="F173" s="22">
        <v>0</v>
      </c>
      <c r="G173" s="21">
        <f t="shared" si="6"/>
        <v>529.29999999999995</v>
      </c>
      <c r="H173" s="22">
        <v>0</v>
      </c>
      <c r="I173" s="23" t="str">
        <f t="shared" si="7"/>
        <v xml:space="preserve">COM VALOR</v>
      </c>
      <c r="J173" s="19"/>
      <c r="L173" s="21">
        <v>535.17999999999995</v>
      </c>
      <c r="M173" s="22">
        <v>0</v>
      </c>
      <c r="N173" s="21">
        <v>529.29999999999995</v>
      </c>
      <c r="O173" s="22">
        <v>0</v>
      </c>
    </row>
    <row r="174" ht="38.25">
      <c r="A174" t="s">
        <v>134</v>
      </c>
      <c r="B174" s="19">
        <v>87352</v>
      </c>
      <c r="C174" s="20" t="s">
        <v>200</v>
      </c>
      <c r="D174" s="19" t="s">
        <v>121</v>
      </c>
      <c r="E174" s="21">
        <f t="shared" si="5"/>
        <v>652.54999999999995</v>
      </c>
      <c r="F174" s="22">
        <v>0</v>
      </c>
      <c r="G174" s="21">
        <f t="shared" si="6"/>
        <v>638.97000000000003</v>
      </c>
      <c r="H174" s="22">
        <v>0</v>
      </c>
      <c r="I174" s="23" t="str">
        <f t="shared" si="7"/>
        <v xml:space="preserve">COM VALOR</v>
      </c>
      <c r="J174" s="19"/>
      <c r="L174" s="21">
        <v>652.54999999999995</v>
      </c>
      <c r="M174" s="22">
        <v>0</v>
      </c>
      <c r="N174" s="21">
        <v>638.97000000000003</v>
      </c>
      <c r="O174" s="22">
        <v>0</v>
      </c>
    </row>
    <row r="175" ht="38.25">
      <c r="A175" t="s">
        <v>134</v>
      </c>
      <c r="B175" s="19">
        <v>87353</v>
      </c>
      <c r="C175" s="20" t="s">
        <v>201</v>
      </c>
      <c r="D175" s="19" t="s">
        <v>121</v>
      </c>
      <c r="E175" s="21">
        <f t="shared" si="5"/>
        <v>557.20000000000005</v>
      </c>
      <c r="F175" s="22">
        <v>0</v>
      </c>
      <c r="G175" s="21">
        <f t="shared" si="6"/>
        <v>549.25</v>
      </c>
      <c r="H175" s="22">
        <v>0</v>
      </c>
      <c r="I175" s="23" t="str">
        <f t="shared" si="7"/>
        <v xml:space="preserve">COM VALOR</v>
      </c>
      <c r="J175" s="19"/>
      <c r="L175" s="21">
        <v>557.20000000000005</v>
      </c>
      <c r="M175" s="22">
        <v>0</v>
      </c>
      <c r="N175" s="21">
        <v>549.25</v>
      </c>
      <c r="O175" s="22">
        <v>0</v>
      </c>
    </row>
    <row r="176" ht="38.25">
      <c r="A176" t="s">
        <v>134</v>
      </c>
      <c r="B176" s="19">
        <v>87354</v>
      </c>
      <c r="C176" s="20" t="s">
        <v>202</v>
      </c>
      <c r="D176" s="19" t="s">
        <v>121</v>
      </c>
      <c r="E176" s="21">
        <f t="shared" si="5"/>
        <v>511.32999999999998</v>
      </c>
      <c r="F176" s="22">
        <v>0</v>
      </c>
      <c r="G176" s="21">
        <f t="shared" si="6"/>
        <v>506.36000000000001</v>
      </c>
      <c r="H176" s="22">
        <v>0</v>
      </c>
      <c r="I176" s="23" t="str">
        <f t="shared" si="7"/>
        <v xml:space="preserve">COM VALOR</v>
      </c>
      <c r="J176" s="19"/>
      <c r="L176" s="21">
        <v>511.32999999999998</v>
      </c>
      <c r="M176" s="22">
        <v>0</v>
      </c>
      <c r="N176" s="21">
        <v>506.36000000000001</v>
      </c>
      <c r="O176" s="22">
        <v>0</v>
      </c>
    </row>
    <row r="177" ht="38.25">
      <c r="A177" t="s">
        <v>134</v>
      </c>
      <c r="B177" s="19">
        <v>100480</v>
      </c>
      <c r="C177" s="20" t="s">
        <v>203</v>
      </c>
      <c r="D177" s="19" t="s">
        <v>121</v>
      </c>
      <c r="E177" s="21">
        <f t="shared" si="5"/>
        <v>820.30999999999995</v>
      </c>
      <c r="F177" s="22">
        <v>0</v>
      </c>
      <c r="G177" s="21">
        <f t="shared" si="6"/>
        <v>809.53999999999996</v>
      </c>
      <c r="H177" s="22">
        <v>0</v>
      </c>
      <c r="I177" s="23" t="str">
        <f t="shared" si="7"/>
        <v xml:space="preserve">COM VALOR</v>
      </c>
      <c r="J177" s="19"/>
      <c r="L177" s="21">
        <v>820.30999999999995</v>
      </c>
      <c r="M177" s="22">
        <v>0</v>
      </c>
      <c r="N177" s="21">
        <v>809.53999999999996</v>
      </c>
      <c r="O177" s="22">
        <v>0</v>
      </c>
    </row>
    <row r="178" ht="38.25">
      <c r="A178" t="s">
        <v>134</v>
      </c>
      <c r="B178" s="19">
        <v>100476</v>
      </c>
      <c r="C178" s="20" t="s">
        <v>204</v>
      </c>
      <c r="D178" s="19" t="s">
        <v>121</v>
      </c>
      <c r="E178" s="21" t="str">
        <f t="shared" si="5"/>
        <v>VERIFICAR</v>
      </c>
      <c r="F178" s="22"/>
      <c r="G178" s="21" t="str">
        <f t="shared" si="6"/>
        <v>VERIFICAR</v>
      </c>
      <c r="H178" s="22"/>
      <c r="I178" s="23" t="str">
        <f t="shared" si="7"/>
        <v xml:space="preserve">COM VALOR</v>
      </c>
      <c r="J178" s="19"/>
      <c r="L178" s="21">
        <v>0</v>
      </c>
      <c r="M178" s="22"/>
      <c r="N178" s="21">
        <v>0</v>
      </c>
      <c r="O178" s="22"/>
    </row>
    <row r="179" ht="38.25">
      <c r="A179" t="s">
        <v>134</v>
      </c>
      <c r="B179" s="19">
        <v>100475</v>
      </c>
      <c r="C179" s="20" t="s">
        <v>205</v>
      </c>
      <c r="D179" s="19" t="s">
        <v>121</v>
      </c>
      <c r="E179" s="21">
        <f t="shared" si="5"/>
        <v>725.75</v>
      </c>
      <c r="F179" s="22">
        <v>0</v>
      </c>
      <c r="G179" s="21">
        <f t="shared" si="6"/>
        <v>719.49000000000001</v>
      </c>
      <c r="H179" s="22">
        <v>0</v>
      </c>
      <c r="I179" s="23" t="str">
        <f t="shared" si="7"/>
        <v xml:space="preserve">COM VALOR</v>
      </c>
      <c r="J179" s="19"/>
      <c r="L179" s="21">
        <v>725.75</v>
      </c>
      <c r="M179" s="22">
        <v>0</v>
      </c>
      <c r="N179" s="21">
        <v>719.49000000000001</v>
      </c>
      <c r="O179" s="22">
        <v>0</v>
      </c>
    </row>
    <row r="180" ht="38.25">
      <c r="A180" t="s">
        <v>134</v>
      </c>
      <c r="B180" s="19">
        <v>100491</v>
      </c>
      <c r="C180" s="20" t="s">
        <v>206</v>
      </c>
      <c r="D180" s="19" t="s">
        <v>121</v>
      </c>
      <c r="E180" s="21">
        <f t="shared" si="5"/>
        <v>720.13999999999999</v>
      </c>
      <c r="F180" s="22">
        <v>0</v>
      </c>
      <c r="G180" s="21">
        <f t="shared" si="6"/>
        <v>714.61000000000001</v>
      </c>
      <c r="H180" s="22">
        <v>0</v>
      </c>
      <c r="I180" s="23" t="str">
        <f t="shared" si="7"/>
        <v xml:space="preserve">COM VALOR</v>
      </c>
      <c r="J180" s="19"/>
      <c r="L180" s="21">
        <v>720.13999999999999</v>
      </c>
      <c r="M180" s="22">
        <v>0</v>
      </c>
      <c r="N180" s="21">
        <v>714.61000000000001</v>
      </c>
      <c r="O180" s="22">
        <v>0</v>
      </c>
    </row>
    <row r="181" ht="38.25">
      <c r="A181" t="s">
        <v>134</v>
      </c>
      <c r="B181" s="19">
        <v>100477</v>
      </c>
      <c r="C181" s="20" t="s">
        <v>207</v>
      </c>
      <c r="D181" s="19" t="s">
        <v>121</v>
      </c>
      <c r="E181" s="21">
        <f t="shared" si="5"/>
        <v>806.94000000000005</v>
      </c>
      <c r="F181" s="22">
        <v>0</v>
      </c>
      <c r="G181" s="21">
        <f t="shared" si="6"/>
        <v>795.04999999999995</v>
      </c>
      <c r="H181" s="22">
        <v>0</v>
      </c>
      <c r="I181" s="23" t="str">
        <f t="shared" si="7"/>
        <v xml:space="preserve">COM VALOR</v>
      </c>
      <c r="J181" s="19"/>
      <c r="L181" s="21">
        <v>806.94000000000005</v>
      </c>
      <c r="M181" s="22">
        <v>0</v>
      </c>
      <c r="N181" s="21">
        <v>795.04999999999995</v>
      </c>
      <c r="O181" s="22">
        <v>0</v>
      </c>
    </row>
    <row r="182" ht="38.25">
      <c r="A182" t="s">
        <v>134</v>
      </c>
      <c r="B182" s="19">
        <v>100478</v>
      </c>
      <c r="C182" s="20" t="s">
        <v>208</v>
      </c>
      <c r="D182" s="19" t="s">
        <v>121</v>
      </c>
      <c r="E182" s="21">
        <f t="shared" si="5"/>
        <v>711.63</v>
      </c>
      <c r="F182" s="22">
        <v>0</v>
      </c>
      <c r="G182" s="21">
        <f t="shared" si="6"/>
        <v>705.64999999999998</v>
      </c>
      <c r="H182" s="22">
        <v>0</v>
      </c>
      <c r="I182" s="23" t="str">
        <f t="shared" si="7"/>
        <v xml:space="preserve">COM VALOR</v>
      </c>
      <c r="J182" s="19"/>
      <c r="L182" s="21">
        <v>711.63</v>
      </c>
      <c r="M182" s="22">
        <v>0</v>
      </c>
      <c r="N182" s="21">
        <v>705.64999999999998</v>
      </c>
      <c r="O182" s="22">
        <v>0</v>
      </c>
    </row>
    <row r="183" ht="38.25">
      <c r="A183" t="s">
        <v>134</v>
      </c>
      <c r="B183" s="19">
        <v>100479</v>
      </c>
      <c r="C183" s="20" t="s">
        <v>209</v>
      </c>
      <c r="D183" s="19" t="s">
        <v>121</v>
      </c>
      <c r="E183" s="21">
        <f t="shared" si="5"/>
        <v>688.57000000000005</v>
      </c>
      <c r="F183" s="22">
        <v>0</v>
      </c>
      <c r="G183" s="21">
        <f t="shared" si="6"/>
        <v>684.20000000000005</v>
      </c>
      <c r="H183" s="22">
        <v>0</v>
      </c>
      <c r="I183" s="23" t="str">
        <f t="shared" si="7"/>
        <v xml:space="preserve">COM VALOR</v>
      </c>
      <c r="J183" s="19"/>
      <c r="L183" s="21">
        <v>688.57000000000005</v>
      </c>
      <c r="M183" s="22">
        <v>0</v>
      </c>
      <c r="N183" s="21">
        <v>684.20000000000005</v>
      </c>
      <c r="O183" s="22">
        <v>0</v>
      </c>
    </row>
    <row r="184" ht="25.5">
      <c r="A184" t="s">
        <v>134</v>
      </c>
      <c r="B184" s="19">
        <v>87372</v>
      </c>
      <c r="C184" s="20" t="s">
        <v>210</v>
      </c>
      <c r="D184" s="19" t="s">
        <v>121</v>
      </c>
      <c r="E184" s="21">
        <f t="shared" si="5"/>
        <v>827.91999999999996</v>
      </c>
      <c r="F184" s="22">
        <v>0</v>
      </c>
      <c r="G184" s="21">
        <f t="shared" si="6"/>
        <v>813.82000000000005</v>
      </c>
      <c r="H184" s="22">
        <v>0</v>
      </c>
      <c r="I184" s="23" t="str">
        <f t="shared" si="7"/>
        <v xml:space="preserve">COM VALOR</v>
      </c>
      <c r="J184" s="19"/>
      <c r="L184" s="21">
        <v>827.91999999999996</v>
      </c>
      <c r="M184" s="22">
        <v>0</v>
      </c>
      <c r="N184" s="21">
        <v>813.82000000000005</v>
      </c>
      <c r="O184" s="22">
        <v>0</v>
      </c>
    </row>
    <row r="185" ht="38.25">
      <c r="A185" t="s">
        <v>134</v>
      </c>
      <c r="B185" s="19">
        <v>100453</v>
      </c>
      <c r="C185" s="20" t="s">
        <v>211</v>
      </c>
      <c r="D185" s="19" t="s">
        <v>121</v>
      </c>
      <c r="E185" s="21" t="str">
        <f t="shared" si="5"/>
        <v>VERIFICAR</v>
      </c>
      <c r="F185" s="22"/>
      <c r="G185" s="21" t="str">
        <f t="shared" si="6"/>
        <v>VERIFICAR</v>
      </c>
      <c r="H185" s="22"/>
      <c r="I185" s="23" t="str">
        <f t="shared" si="7"/>
        <v xml:space="preserve">COM VALOR</v>
      </c>
      <c r="J185" s="19"/>
      <c r="L185" s="21">
        <v>0</v>
      </c>
      <c r="M185" s="22"/>
      <c r="N185" s="21">
        <v>0</v>
      </c>
      <c r="O185" s="22"/>
    </row>
    <row r="186" ht="38.25">
      <c r="A186" t="s">
        <v>134</v>
      </c>
      <c r="B186" s="19">
        <v>87298</v>
      </c>
      <c r="C186" s="20" t="s">
        <v>212</v>
      </c>
      <c r="D186" s="19" t="s">
        <v>121</v>
      </c>
      <c r="E186" s="21">
        <f t="shared" si="5"/>
        <v>698.20000000000005</v>
      </c>
      <c r="F186" s="22">
        <v>0</v>
      </c>
      <c r="G186" s="21">
        <f t="shared" si="6"/>
        <v>690.82000000000005</v>
      </c>
      <c r="H186" s="22">
        <v>0</v>
      </c>
      <c r="I186" s="23" t="str">
        <f t="shared" si="7"/>
        <v xml:space="preserve">COM VALOR</v>
      </c>
      <c r="J186" s="19"/>
      <c r="L186" s="21">
        <v>698.20000000000005</v>
      </c>
      <c r="M186" s="22">
        <v>0</v>
      </c>
      <c r="N186" s="21">
        <v>690.82000000000005</v>
      </c>
      <c r="O186" s="22">
        <v>0</v>
      </c>
    </row>
    <row r="187" ht="38.25">
      <c r="A187" t="s">
        <v>134</v>
      </c>
      <c r="B187" s="19">
        <v>87299</v>
      </c>
      <c r="C187" s="20" t="s">
        <v>213</v>
      </c>
      <c r="D187" s="19" t="s">
        <v>121</v>
      </c>
      <c r="E187" s="21">
        <f t="shared" si="5"/>
        <v>441.12</v>
      </c>
      <c r="F187" s="22">
        <v>0</v>
      </c>
      <c r="G187" s="21">
        <f t="shared" si="6"/>
        <v>434.64999999999998</v>
      </c>
      <c r="H187" s="22">
        <v>0</v>
      </c>
      <c r="I187" s="23" t="str">
        <f t="shared" si="7"/>
        <v xml:space="preserve">COM VALOR</v>
      </c>
      <c r="J187" s="19"/>
      <c r="L187" s="21">
        <v>441.12</v>
      </c>
      <c r="M187" s="22">
        <v>0</v>
      </c>
      <c r="N187" s="21">
        <v>434.64999999999998</v>
      </c>
      <c r="O187" s="22">
        <v>0</v>
      </c>
    </row>
    <row r="188" ht="38.25">
      <c r="A188" t="s">
        <v>134</v>
      </c>
      <c r="B188" s="19">
        <v>87339</v>
      </c>
      <c r="C188" s="20" t="s">
        <v>214</v>
      </c>
      <c r="D188" s="19" t="s">
        <v>121</v>
      </c>
      <c r="E188" s="21">
        <f t="shared" si="5"/>
        <v>853.45000000000005</v>
      </c>
      <c r="F188" s="22">
        <v>0</v>
      </c>
      <c r="G188" s="21">
        <f t="shared" si="6"/>
        <v>836.15999999999997</v>
      </c>
      <c r="H188" s="22">
        <v>0</v>
      </c>
      <c r="I188" s="23" t="str">
        <f t="shared" si="7"/>
        <v xml:space="preserve">COM VALOR</v>
      </c>
      <c r="J188" s="19"/>
      <c r="L188" s="21">
        <v>853.45000000000005</v>
      </c>
      <c r="M188" s="22">
        <v>0</v>
      </c>
      <c r="N188" s="21">
        <v>836.15999999999997</v>
      </c>
      <c r="O188" s="22">
        <v>0</v>
      </c>
    </row>
    <row r="189" ht="38.25">
      <c r="A189" t="s">
        <v>134</v>
      </c>
      <c r="B189" s="19">
        <v>87340</v>
      </c>
      <c r="C189" s="20" t="s">
        <v>215</v>
      </c>
      <c r="D189" s="19" t="s">
        <v>121</v>
      </c>
      <c r="E189" s="21">
        <f t="shared" si="5"/>
        <v>698.25</v>
      </c>
      <c r="F189" s="22">
        <v>0</v>
      </c>
      <c r="G189" s="21">
        <f t="shared" si="6"/>
        <v>690.25999999999999</v>
      </c>
      <c r="H189" s="22">
        <v>0</v>
      </c>
      <c r="I189" s="23" t="str">
        <f t="shared" si="7"/>
        <v xml:space="preserve">COM VALOR</v>
      </c>
      <c r="J189" s="19"/>
      <c r="L189" s="21">
        <v>698.25</v>
      </c>
      <c r="M189" s="22">
        <v>0</v>
      </c>
      <c r="N189" s="21">
        <v>690.25999999999999</v>
      </c>
      <c r="O189" s="22">
        <v>0</v>
      </c>
    </row>
    <row r="190" ht="38.25">
      <c r="A190" t="s">
        <v>134</v>
      </c>
      <c r="B190" s="19">
        <v>87341</v>
      </c>
      <c r="C190" s="20" t="s">
        <v>216</v>
      </c>
      <c r="D190" s="19" t="s">
        <v>121</v>
      </c>
      <c r="E190" s="21">
        <f t="shared" si="5"/>
        <v>656.87</v>
      </c>
      <c r="F190" s="22">
        <v>0</v>
      </c>
      <c r="G190" s="21">
        <f t="shared" si="6"/>
        <v>651.5</v>
      </c>
      <c r="H190" s="22">
        <v>0</v>
      </c>
      <c r="I190" s="23" t="str">
        <f t="shared" si="7"/>
        <v xml:space="preserve">COM VALOR</v>
      </c>
      <c r="J190" s="19"/>
      <c r="L190" s="21">
        <v>656.87</v>
      </c>
      <c r="M190" s="22">
        <v>0</v>
      </c>
      <c r="N190" s="21">
        <v>651.5</v>
      </c>
      <c r="O190" s="22">
        <v>0</v>
      </c>
    </row>
    <row r="191" ht="25.5">
      <c r="A191" t="s">
        <v>134</v>
      </c>
      <c r="B191" s="19">
        <v>88629</v>
      </c>
      <c r="C191" s="20" t="s">
        <v>217</v>
      </c>
      <c r="D191" s="19" t="s">
        <v>121</v>
      </c>
      <c r="E191" s="21">
        <f t="shared" si="5"/>
        <v>677.22000000000003</v>
      </c>
      <c r="F191" s="22">
        <v>0</v>
      </c>
      <c r="G191" s="21">
        <f t="shared" si="6"/>
        <v>666.85000000000002</v>
      </c>
      <c r="H191" s="22">
        <v>0</v>
      </c>
      <c r="I191" s="23" t="str">
        <f t="shared" si="7"/>
        <v xml:space="preserve">COM VALOR</v>
      </c>
      <c r="J191" s="19"/>
      <c r="L191" s="21">
        <v>677.22000000000003</v>
      </c>
      <c r="M191" s="22">
        <v>0</v>
      </c>
      <c r="N191" s="21">
        <v>666.85000000000002</v>
      </c>
      <c r="O191" s="22">
        <v>0</v>
      </c>
    </row>
    <row r="192" ht="25.5">
      <c r="A192" t="s">
        <v>134</v>
      </c>
      <c r="B192" s="19">
        <v>100467</v>
      </c>
      <c r="C192" s="20" t="s">
        <v>218</v>
      </c>
      <c r="D192" s="19" t="s">
        <v>121</v>
      </c>
      <c r="E192" s="21" t="str">
        <f t="shared" si="5"/>
        <v>VERIFICAR</v>
      </c>
      <c r="F192" s="22"/>
      <c r="G192" s="21" t="str">
        <f t="shared" si="6"/>
        <v>VERIFICAR</v>
      </c>
      <c r="H192" s="22"/>
      <c r="I192" s="23" t="str">
        <f t="shared" si="7"/>
        <v xml:space="preserve">COM VALOR</v>
      </c>
      <c r="J192" s="19"/>
      <c r="L192" s="21">
        <v>0</v>
      </c>
      <c r="M192" s="22"/>
      <c r="N192" s="21">
        <v>0</v>
      </c>
      <c r="O192" s="22"/>
    </row>
    <row r="193" ht="25.5">
      <c r="A193" t="s">
        <v>134</v>
      </c>
      <c r="B193" s="19">
        <v>88628</v>
      </c>
      <c r="C193" s="20" t="s">
        <v>219</v>
      </c>
      <c r="D193" s="19" t="s">
        <v>121</v>
      </c>
      <c r="E193" s="21">
        <f t="shared" si="5"/>
        <v>579.97000000000003</v>
      </c>
      <c r="F193" s="22">
        <v>0</v>
      </c>
      <c r="G193" s="21">
        <f t="shared" si="6"/>
        <v>574.25999999999999</v>
      </c>
      <c r="H193" s="22">
        <v>0</v>
      </c>
      <c r="I193" s="23" t="str">
        <f t="shared" si="7"/>
        <v xml:space="preserve">COM VALOR</v>
      </c>
      <c r="J193" s="19"/>
      <c r="L193" s="21">
        <v>579.97000000000003</v>
      </c>
      <c r="M193" s="22">
        <v>0</v>
      </c>
      <c r="N193" s="21">
        <v>574.25999999999999</v>
      </c>
      <c r="O193" s="22">
        <v>0</v>
      </c>
    </row>
    <row r="194" ht="25.5">
      <c r="A194" t="s">
        <v>134</v>
      </c>
      <c r="B194" s="19">
        <v>100489</v>
      </c>
      <c r="C194" s="20" t="s">
        <v>220</v>
      </c>
      <c r="D194" s="19" t="s">
        <v>121</v>
      </c>
      <c r="E194" s="21">
        <f t="shared" si="5"/>
        <v>573.57000000000005</v>
      </c>
      <c r="F194" s="22">
        <v>0</v>
      </c>
      <c r="G194" s="21">
        <f t="shared" si="6"/>
        <v>568.59000000000003</v>
      </c>
      <c r="H194" s="22">
        <v>0</v>
      </c>
      <c r="I194" s="23" t="str">
        <f t="shared" si="7"/>
        <v xml:space="preserve">COM VALOR</v>
      </c>
      <c r="J194" s="19"/>
      <c r="L194" s="21">
        <v>573.57000000000005</v>
      </c>
      <c r="M194" s="22">
        <v>0</v>
      </c>
      <c r="N194" s="21">
        <v>568.59000000000003</v>
      </c>
      <c r="O194" s="22">
        <v>0</v>
      </c>
    </row>
    <row r="195" ht="38.25">
      <c r="A195" t="s">
        <v>134</v>
      </c>
      <c r="B195" s="19">
        <v>100468</v>
      </c>
      <c r="C195" s="20" t="s">
        <v>221</v>
      </c>
      <c r="D195" s="19" t="s">
        <v>121</v>
      </c>
      <c r="E195" s="21">
        <f t="shared" si="5"/>
        <v>713.54999999999995</v>
      </c>
      <c r="F195" s="22">
        <v>0</v>
      </c>
      <c r="G195" s="21">
        <f t="shared" si="6"/>
        <v>702.21000000000004</v>
      </c>
      <c r="H195" s="22">
        <v>0</v>
      </c>
      <c r="I195" s="23" t="str">
        <f t="shared" si="7"/>
        <v xml:space="preserve">COM VALOR</v>
      </c>
      <c r="J195" s="19"/>
      <c r="L195" s="21">
        <v>713.54999999999995</v>
      </c>
      <c r="M195" s="22">
        <v>0</v>
      </c>
      <c r="N195" s="21">
        <v>702.21000000000004</v>
      </c>
      <c r="O195" s="22">
        <v>0</v>
      </c>
    </row>
    <row r="196" ht="38.25">
      <c r="A196" t="s">
        <v>134</v>
      </c>
      <c r="B196" s="19">
        <v>100469</v>
      </c>
      <c r="C196" s="20" t="s">
        <v>222</v>
      </c>
      <c r="D196" s="19" t="s">
        <v>121</v>
      </c>
      <c r="E196" s="21">
        <f t="shared" si="5"/>
        <v>569.30999999999995</v>
      </c>
      <c r="F196" s="22">
        <v>0</v>
      </c>
      <c r="G196" s="21">
        <f t="shared" si="6"/>
        <v>563.88999999999999</v>
      </c>
      <c r="H196" s="22">
        <v>0</v>
      </c>
      <c r="I196" s="23" t="str">
        <f t="shared" si="7"/>
        <v xml:space="preserve">COM VALOR</v>
      </c>
      <c r="J196" s="19"/>
      <c r="L196" s="21">
        <v>569.30999999999995</v>
      </c>
      <c r="M196" s="22">
        <v>0</v>
      </c>
      <c r="N196" s="21">
        <v>563.88999999999999</v>
      </c>
      <c r="O196" s="22">
        <v>0</v>
      </c>
    </row>
    <row r="197" ht="38.25">
      <c r="A197" t="s">
        <v>134</v>
      </c>
      <c r="B197" s="19">
        <v>100470</v>
      </c>
      <c r="C197" s="20" t="s">
        <v>223</v>
      </c>
      <c r="D197" s="19" t="s">
        <v>121</v>
      </c>
      <c r="E197" s="21">
        <f t="shared" si="5"/>
        <v>508.93000000000001</v>
      </c>
      <c r="F197" s="22">
        <v>0</v>
      </c>
      <c r="G197" s="21">
        <f t="shared" si="6"/>
        <v>503.50999999999999</v>
      </c>
      <c r="H197" s="22">
        <v>0</v>
      </c>
      <c r="I197" s="23" t="str">
        <f t="shared" si="7"/>
        <v xml:space="preserve">COM VALOR</v>
      </c>
      <c r="J197" s="19"/>
      <c r="L197" s="21">
        <v>508.93000000000001</v>
      </c>
      <c r="M197" s="22">
        <v>0</v>
      </c>
      <c r="N197" s="21">
        <v>503.50999999999999</v>
      </c>
      <c r="O197" s="22">
        <v>0</v>
      </c>
    </row>
    <row r="198" ht="38.25">
      <c r="A198" t="s">
        <v>134</v>
      </c>
      <c r="B198" s="19">
        <v>87371</v>
      </c>
      <c r="C198" s="20" t="s">
        <v>224</v>
      </c>
      <c r="D198" s="19" t="s">
        <v>121</v>
      </c>
      <c r="E198" s="21">
        <f t="shared" si="5"/>
        <v>681.88</v>
      </c>
      <c r="F198" s="22">
        <v>0</v>
      </c>
      <c r="G198" s="21">
        <f t="shared" si="6"/>
        <v>668.72000000000003</v>
      </c>
      <c r="H198" s="22">
        <v>0</v>
      </c>
      <c r="I198" s="23" t="str">
        <f t="shared" si="7"/>
        <v xml:space="preserve">COM VALOR</v>
      </c>
      <c r="J198" s="19"/>
      <c r="L198" s="21">
        <v>681.88</v>
      </c>
      <c r="M198" s="22">
        <v>0</v>
      </c>
      <c r="N198" s="21">
        <v>668.72000000000003</v>
      </c>
      <c r="O198" s="22">
        <v>0</v>
      </c>
    </row>
    <row r="199" ht="51">
      <c r="A199" t="s">
        <v>134</v>
      </c>
      <c r="B199" s="19">
        <v>87295</v>
      </c>
      <c r="C199" s="20" t="s">
        <v>225</v>
      </c>
      <c r="D199" s="19" t="s">
        <v>121</v>
      </c>
      <c r="E199" s="21">
        <f t="shared" si="5"/>
        <v>595.58000000000004</v>
      </c>
      <c r="F199" s="22">
        <v>0</v>
      </c>
      <c r="G199" s="21">
        <f t="shared" si="6"/>
        <v>586.34000000000003</v>
      </c>
      <c r="H199" s="22">
        <v>0</v>
      </c>
      <c r="I199" s="23" t="str">
        <f t="shared" si="7"/>
        <v xml:space="preserve">COM VALOR</v>
      </c>
      <c r="J199" s="19"/>
      <c r="L199" s="21">
        <v>595.58000000000004</v>
      </c>
      <c r="M199" s="22">
        <v>0</v>
      </c>
      <c r="N199" s="21">
        <v>586.34000000000003</v>
      </c>
      <c r="O199" s="22">
        <v>0</v>
      </c>
    </row>
    <row r="200" ht="51">
      <c r="A200" t="s">
        <v>134</v>
      </c>
      <c r="B200" s="19">
        <v>87296</v>
      </c>
      <c r="C200" s="20" t="s">
        <v>226</v>
      </c>
      <c r="D200" s="19" t="s">
        <v>121</v>
      </c>
      <c r="E200" s="21">
        <f t="shared" si="5"/>
        <v>555.13</v>
      </c>
      <c r="F200" s="22">
        <v>0</v>
      </c>
      <c r="G200" s="21">
        <f t="shared" si="6"/>
        <v>548.91999999999996</v>
      </c>
      <c r="H200" s="22">
        <v>0</v>
      </c>
      <c r="I200" s="23" t="str">
        <f t="shared" si="7"/>
        <v xml:space="preserve">COM VALOR</v>
      </c>
      <c r="J200" s="19"/>
      <c r="L200" s="21">
        <v>555.13</v>
      </c>
      <c r="M200" s="22">
        <v>0</v>
      </c>
      <c r="N200" s="21">
        <v>548.91999999999996</v>
      </c>
      <c r="O200" s="22">
        <v>0</v>
      </c>
    </row>
    <row r="201" ht="51">
      <c r="A201" t="s">
        <v>134</v>
      </c>
      <c r="B201" s="19">
        <v>87338</v>
      </c>
      <c r="C201" s="20" t="s">
        <v>227</v>
      </c>
      <c r="D201" s="19" t="s">
        <v>121</v>
      </c>
      <c r="E201" s="21">
        <f t="shared" si="5"/>
        <v>556.10000000000002</v>
      </c>
      <c r="F201" s="22">
        <v>0</v>
      </c>
      <c r="G201" s="21">
        <f t="shared" si="6"/>
        <v>549.15999999999997</v>
      </c>
      <c r="H201" s="22">
        <v>0</v>
      </c>
      <c r="I201" s="23" t="str">
        <f t="shared" si="7"/>
        <v xml:space="preserve">COM VALOR</v>
      </c>
      <c r="J201" s="19"/>
      <c r="L201" s="21">
        <v>556.10000000000002</v>
      </c>
      <c r="M201" s="22">
        <v>0</v>
      </c>
      <c r="N201" s="21">
        <v>549.15999999999997</v>
      </c>
      <c r="O201" s="22">
        <v>0</v>
      </c>
    </row>
    <row r="202" ht="25.5">
      <c r="A202" t="s">
        <v>134</v>
      </c>
      <c r="B202" s="19">
        <v>88630</v>
      </c>
      <c r="C202" s="20" t="s">
        <v>228</v>
      </c>
      <c r="D202" s="19" t="s">
        <v>121</v>
      </c>
      <c r="E202" s="21">
        <f t="shared" si="5"/>
        <v>483.63</v>
      </c>
      <c r="F202" s="22">
        <v>0</v>
      </c>
      <c r="G202" s="21">
        <f t="shared" si="6"/>
        <v>478.01999999999998</v>
      </c>
      <c r="H202" s="22">
        <v>0</v>
      </c>
      <c r="I202" s="23" t="str">
        <f t="shared" si="7"/>
        <v xml:space="preserve">COM VALOR</v>
      </c>
      <c r="J202" s="19"/>
      <c r="L202" s="21">
        <v>483.63</v>
      </c>
      <c r="M202" s="22">
        <v>0</v>
      </c>
      <c r="N202" s="21">
        <v>478.01999999999998</v>
      </c>
      <c r="O202" s="22">
        <v>0</v>
      </c>
    </row>
    <row r="203" ht="38.25">
      <c r="A203" t="s">
        <v>134</v>
      </c>
      <c r="B203" s="19">
        <v>87381</v>
      </c>
      <c r="C203" s="20" t="s">
        <v>229</v>
      </c>
      <c r="D203" s="19" t="s">
        <v>121</v>
      </c>
      <c r="E203" s="21">
        <f t="shared" ref="E203:E266" si="8">IF(L203=0,"VERIFICAR",L203)</f>
        <v>2947.8800000000001</v>
      </c>
      <c r="F203" s="22">
        <v>0.84999999999999998</v>
      </c>
      <c r="G203" s="21">
        <f t="shared" ref="G203:G266" si="9">IF(N203=0,"VERIFICAR",N203)</f>
        <v>2935.1700000000001</v>
      </c>
      <c r="H203" s="22">
        <v>0.84999999999999998</v>
      </c>
      <c r="I203" s="23" t="str">
        <f t="shared" ref="I203:I266" si="10">IF(OR(E203=0,G203=0),"SEM VALOR","COM VALOR")</f>
        <v xml:space="preserve">COM VALOR</v>
      </c>
      <c r="J203" s="19"/>
      <c r="L203" s="21">
        <v>2947.8800000000001</v>
      </c>
      <c r="M203" s="22">
        <v>0.81999999999999995</v>
      </c>
      <c r="N203" s="21">
        <v>2935.1700000000001</v>
      </c>
      <c r="O203" s="22">
        <v>0.82999999999999996</v>
      </c>
    </row>
    <row r="204" ht="38.25">
      <c r="A204" t="s">
        <v>134</v>
      </c>
      <c r="B204" s="19">
        <v>100462</v>
      </c>
      <c r="C204" s="20" t="s">
        <v>230</v>
      </c>
      <c r="D204" s="19" t="s">
        <v>121</v>
      </c>
      <c r="E204" s="21" t="str">
        <f t="shared" si="8"/>
        <v>VERIFICAR</v>
      </c>
      <c r="F204" s="22"/>
      <c r="G204" s="21" t="str">
        <f t="shared" si="9"/>
        <v>VERIFICAR</v>
      </c>
      <c r="H204" s="22"/>
      <c r="I204" s="23" t="str">
        <f t="shared" si="10"/>
        <v xml:space="preserve">COM VALOR</v>
      </c>
      <c r="J204" s="19"/>
      <c r="L204" s="21">
        <v>0</v>
      </c>
      <c r="M204" s="22"/>
      <c r="N204" s="21">
        <v>0</v>
      </c>
      <c r="O204" s="22"/>
    </row>
    <row r="205" ht="38.25">
      <c r="A205" t="s">
        <v>134</v>
      </c>
      <c r="B205" s="19">
        <v>87325</v>
      </c>
      <c r="C205" s="20" t="s">
        <v>231</v>
      </c>
      <c r="D205" s="19" t="s">
        <v>121</v>
      </c>
      <c r="E205" s="21">
        <f t="shared" si="8"/>
        <v>2846.5599999999999</v>
      </c>
      <c r="F205" s="22">
        <v>0.87</v>
      </c>
      <c r="G205" s="21">
        <f t="shared" si="9"/>
        <v>2838.73</v>
      </c>
      <c r="H205" s="22">
        <v>0.87</v>
      </c>
      <c r="I205" s="23" t="str">
        <f t="shared" si="10"/>
        <v xml:space="preserve">COM VALOR</v>
      </c>
      <c r="J205" s="19"/>
      <c r="L205" s="21">
        <v>2846.5599999999999</v>
      </c>
      <c r="M205" s="22">
        <v>0.85499999999999998</v>
      </c>
      <c r="N205" s="21">
        <v>2838.73</v>
      </c>
      <c r="O205" s="22">
        <v>0.85999999999999999</v>
      </c>
    </row>
    <row r="206" ht="38.25">
      <c r="A206" t="s">
        <v>134</v>
      </c>
      <c r="B206" s="19">
        <v>87326</v>
      </c>
      <c r="C206" s="20" t="s">
        <v>232</v>
      </c>
      <c r="D206" s="19" t="s">
        <v>121</v>
      </c>
      <c r="E206" s="21">
        <f t="shared" si="8"/>
        <v>2838.0799999999999</v>
      </c>
      <c r="F206" s="22">
        <v>0.88</v>
      </c>
      <c r="G206" s="21">
        <f t="shared" si="9"/>
        <v>2832.6500000000001</v>
      </c>
      <c r="H206" s="22">
        <v>0.88</v>
      </c>
      <c r="I206" s="23" t="str">
        <f t="shared" si="10"/>
        <v xml:space="preserve">COM VALOR</v>
      </c>
      <c r="J206" s="19"/>
      <c r="L206" s="21">
        <v>2838.0799999999999</v>
      </c>
      <c r="M206" s="22">
        <v>0.87</v>
      </c>
      <c r="N206" s="21">
        <v>2832.6500000000001</v>
      </c>
      <c r="O206" s="22">
        <v>0.87</v>
      </c>
    </row>
    <row r="207" ht="51">
      <c r="A207" t="s">
        <v>134</v>
      </c>
      <c r="B207" s="19">
        <v>87363</v>
      </c>
      <c r="C207" s="20" t="s">
        <v>233</v>
      </c>
      <c r="D207" s="19" t="s">
        <v>121</v>
      </c>
      <c r="E207" s="21">
        <f t="shared" si="8"/>
        <v>2837.5300000000002</v>
      </c>
      <c r="F207" s="22">
        <v>0.85999999999999999</v>
      </c>
      <c r="G207" s="21">
        <f t="shared" si="9"/>
        <v>2827.7399999999998</v>
      </c>
      <c r="H207" s="22">
        <v>0.85999999999999999</v>
      </c>
      <c r="I207" s="23" t="str">
        <f t="shared" si="10"/>
        <v xml:space="preserve">COM VALOR</v>
      </c>
      <c r="J207" s="19"/>
      <c r="L207" s="21">
        <v>2837.5300000000002</v>
      </c>
      <c r="M207" s="22">
        <v>0.83999999999999997</v>
      </c>
      <c r="N207" s="21">
        <v>2827.7399999999998</v>
      </c>
      <c r="O207" s="22">
        <v>0.83999999999999997</v>
      </c>
    </row>
    <row r="208" ht="51">
      <c r="A208" t="s">
        <v>134</v>
      </c>
      <c r="B208" s="19">
        <v>87364</v>
      </c>
      <c r="C208" s="20" t="s">
        <v>234</v>
      </c>
      <c r="D208" s="19" t="s">
        <v>121</v>
      </c>
      <c r="E208" s="21">
        <f t="shared" si="8"/>
        <v>2784.73</v>
      </c>
      <c r="F208" s="22">
        <v>0.88</v>
      </c>
      <c r="G208" s="21">
        <f t="shared" si="9"/>
        <v>2779.6799999999998</v>
      </c>
      <c r="H208" s="22">
        <v>0.88</v>
      </c>
      <c r="I208" s="23" t="str">
        <f t="shared" si="10"/>
        <v xml:space="preserve">COM VALOR</v>
      </c>
      <c r="J208" s="19"/>
      <c r="L208" s="21">
        <v>2784.73</v>
      </c>
      <c r="M208" s="22">
        <v>0.87</v>
      </c>
      <c r="N208" s="21">
        <v>2779.6799999999998</v>
      </c>
      <c r="O208" s="22">
        <v>0.87</v>
      </c>
    </row>
    <row r="209" ht="25.5">
      <c r="A209" t="s">
        <v>134</v>
      </c>
      <c r="B209" s="19">
        <v>87378</v>
      </c>
      <c r="C209" s="20" t="s">
        <v>235</v>
      </c>
      <c r="D209" s="19" t="s">
        <v>121</v>
      </c>
      <c r="E209" s="21">
        <f t="shared" si="8"/>
        <v>602.90999999999997</v>
      </c>
      <c r="F209" s="22">
        <v>0</v>
      </c>
      <c r="G209" s="21">
        <f t="shared" si="9"/>
        <v>590.00999999999999</v>
      </c>
      <c r="H209" s="22">
        <v>0</v>
      </c>
      <c r="I209" s="23" t="str">
        <f t="shared" si="10"/>
        <v xml:space="preserve">COM VALOR</v>
      </c>
      <c r="J209" s="19"/>
      <c r="L209" s="21">
        <v>602.90999999999997</v>
      </c>
      <c r="M209" s="22">
        <v>0</v>
      </c>
      <c r="N209" s="21">
        <v>590.00999999999999</v>
      </c>
      <c r="O209" s="22">
        <v>0</v>
      </c>
    </row>
    <row r="210" ht="38.25">
      <c r="A210" t="s">
        <v>134</v>
      </c>
      <c r="B210" s="19">
        <v>100459</v>
      </c>
      <c r="C210" s="20" t="s">
        <v>236</v>
      </c>
      <c r="D210" s="19" t="s">
        <v>121</v>
      </c>
      <c r="E210" s="21" t="str">
        <f t="shared" si="8"/>
        <v>VERIFICAR</v>
      </c>
      <c r="F210" s="22"/>
      <c r="G210" s="21" t="str">
        <f t="shared" si="9"/>
        <v>VERIFICAR</v>
      </c>
      <c r="H210" s="22"/>
      <c r="I210" s="23" t="str">
        <f t="shared" si="10"/>
        <v xml:space="preserve">COM VALOR</v>
      </c>
      <c r="J210" s="19"/>
      <c r="L210" s="21">
        <v>0</v>
      </c>
      <c r="M210" s="22"/>
      <c r="N210" s="21">
        <v>0</v>
      </c>
      <c r="O210" s="22"/>
    </row>
    <row r="211" ht="38.25">
      <c r="A211" t="s">
        <v>134</v>
      </c>
      <c r="B211" s="19">
        <v>87316</v>
      </c>
      <c r="C211" s="20" t="s">
        <v>237</v>
      </c>
      <c r="D211" s="19" t="s">
        <v>121</v>
      </c>
      <c r="E211" s="21">
        <f t="shared" si="8"/>
        <v>495.49000000000001</v>
      </c>
      <c r="F211" s="22">
        <v>0</v>
      </c>
      <c r="G211" s="21">
        <f t="shared" si="9"/>
        <v>487.74000000000001</v>
      </c>
      <c r="H211" s="22">
        <v>0</v>
      </c>
      <c r="I211" s="23" t="str">
        <f t="shared" si="10"/>
        <v xml:space="preserve">COM VALOR</v>
      </c>
      <c r="J211" s="19"/>
      <c r="L211" s="21">
        <v>495.49000000000001</v>
      </c>
      <c r="M211" s="22">
        <v>0</v>
      </c>
      <c r="N211" s="21">
        <v>487.74000000000001</v>
      </c>
      <c r="O211" s="22">
        <v>0</v>
      </c>
    </row>
    <row r="212" ht="38.25">
      <c r="A212" t="s">
        <v>134</v>
      </c>
      <c r="B212" s="19">
        <v>87317</v>
      </c>
      <c r="C212" s="20" t="s">
        <v>238</v>
      </c>
      <c r="D212" s="19" t="s">
        <v>121</v>
      </c>
      <c r="E212" s="21">
        <f t="shared" si="8"/>
        <v>471.89999999999998</v>
      </c>
      <c r="F212" s="22">
        <v>0</v>
      </c>
      <c r="G212" s="21">
        <f t="shared" si="9"/>
        <v>466.00999999999999</v>
      </c>
      <c r="H212" s="22">
        <v>0</v>
      </c>
      <c r="I212" s="23" t="str">
        <f t="shared" si="10"/>
        <v xml:space="preserve">COM VALOR</v>
      </c>
      <c r="J212" s="19"/>
      <c r="L212" s="21">
        <v>471.89999999999998</v>
      </c>
      <c r="M212" s="22">
        <v>0</v>
      </c>
      <c r="N212" s="21">
        <v>466.00999999999999</v>
      </c>
      <c r="O212" s="22">
        <v>0</v>
      </c>
    </row>
    <row r="213" ht="38.25">
      <c r="A213" t="s">
        <v>134</v>
      </c>
      <c r="B213" s="19">
        <v>87355</v>
      </c>
      <c r="C213" s="20" t="s">
        <v>239</v>
      </c>
      <c r="D213" s="19" t="s">
        <v>121</v>
      </c>
      <c r="E213" s="21">
        <f t="shared" si="8"/>
        <v>544.79999999999995</v>
      </c>
      <c r="F213" s="22">
        <v>0</v>
      </c>
      <c r="G213" s="21">
        <f t="shared" si="9"/>
        <v>533.86000000000001</v>
      </c>
      <c r="H213" s="22">
        <v>0</v>
      </c>
      <c r="I213" s="23" t="str">
        <f t="shared" si="10"/>
        <v xml:space="preserve">COM VALOR</v>
      </c>
      <c r="J213" s="19"/>
      <c r="L213" s="21">
        <v>544.79999999999995</v>
      </c>
      <c r="M213" s="22">
        <v>0</v>
      </c>
      <c r="N213" s="21">
        <v>533.86000000000001</v>
      </c>
      <c r="O213" s="22">
        <v>0</v>
      </c>
    </row>
    <row r="214" ht="38.25">
      <c r="A214" t="s">
        <v>134</v>
      </c>
      <c r="B214" s="19">
        <v>87356</v>
      </c>
      <c r="C214" s="20" t="s">
        <v>240</v>
      </c>
      <c r="D214" s="19" t="s">
        <v>121</v>
      </c>
      <c r="E214" s="21">
        <f t="shared" si="8"/>
        <v>479.87</v>
      </c>
      <c r="F214" s="22">
        <v>0</v>
      </c>
      <c r="G214" s="21">
        <f t="shared" si="9"/>
        <v>472.88999999999999</v>
      </c>
      <c r="H214" s="22">
        <v>0</v>
      </c>
      <c r="I214" s="23" t="str">
        <f t="shared" si="10"/>
        <v xml:space="preserve">COM VALOR</v>
      </c>
      <c r="J214" s="19"/>
      <c r="L214" s="21">
        <v>479.87</v>
      </c>
      <c r="M214" s="22">
        <v>0</v>
      </c>
      <c r="N214" s="21">
        <v>472.88999999999999</v>
      </c>
      <c r="O214" s="22">
        <v>0</v>
      </c>
    </row>
    <row r="215" ht="38.25">
      <c r="A215" t="s">
        <v>134</v>
      </c>
      <c r="B215" s="19">
        <v>87357</v>
      </c>
      <c r="C215" s="20" t="s">
        <v>241</v>
      </c>
      <c r="D215" s="19" t="s">
        <v>121</v>
      </c>
      <c r="E215" s="21">
        <f t="shared" si="8"/>
        <v>446.25</v>
      </c>
      <c r="F215" s="22">
        <v>0</v>
      </c>
      <c r="G215" s="21">
        <f t="shared" si="9"/>
        <v>441.39999999999998</v>
      </c>
      <c r="H215" s="22">
        <v>0</v>
      </c>
      <c r="I215" s="23" t="str">
        <f t="shared" si="10"/>
        <v xml:space="preserve">COM VALOR</v>
      </c>
      <c r="J215" s="19"/>
      <c r="L215" s="21">
        <v>446.25</v>
      </c>
      <c r="M215" s="22">
        <v>0</v>
      </c>
      <c r="N215" s="21">
        <v>441.39999999999998</v>
      </c>
      <c r="O215" s="22">
        <v>0</v>
      </c>
    </row>
    <row r="216" ht="38.25">
      <c r="A216" t="s">
        <v>134</v>
      </c>
      <c r="B216" s="19">
        <v>100486</v>
      </c>
      <c r="C216" s="20" t="s">
        <v>242</v>
      </c>
      <c r="D216" s="19" t="s">
        <v>121</v>
      </c>
      <c r="E216" s="21">
        <f t="shared" si="8"/>
        <v>719.77999999999997</v>
      </c>
      <c r="F216" s="22">
        <v>0</v>
      </c>
      <c r="G216" s="21">
        <f t="shared" si="9"/>
        <v>709.44000000000005</v>
      </c>
      <c r="H216" s="22">
        <v>0</v>
      </c>
      <c r="I216" s="23" t="str">
        <f t="shared" si="10"/>
        <v xml:space="preserve">COM VALOR</v>
      </c>
      <c r="J216" s="19"/>
      <c r="L216" s="21">
        <v>719.77999999999997</v>
      </c>
      <c r="M216" s="22">
        <v>0</v>
      </c>
      <c r="N216" s="21">
        <v>709.44000000000005</v>
      </c>
      <c r="O216" s="22">
        <v>0</v>
      </c>
    </row>
    <row r="217" ht="38.25">
      <c r="A217" t="s">
        <v>134</v>
      </c>
      <c r="B217" s="19">
        <v>100482</v>
      </c>
      <c r="C217" s="20" t="s">
        <v>243</v>
      </c>
      <c r="D217" s="19" t="s">
        <v>121</v>
      </c>
      <c r="E217" s="21" t="str">
        <f t="shared" si="8"/>
        <v>VERIFICAR</v>
      </c>
      <c r="F217" s="22"/>
      <c r="G217" s="21" t="str">
        <f t="shared" si="9"/>
        <v>VERIFICAR</v>
      </c>
      <c r="H217" s="22"/>
      <c r="I217" s="23" t="str">
        <f t="shared" si="10"/>
        <v xml:space="preserve">COM VALOR</v>
      </c>
      <c r="J217" s="19"/>
      <c r="L217" s="21">
        <v>0</v>
      </c>
      <c r="M217" s="22"/>
      <c r="N217" s="21">
        <v>0</v>
      </c>
      <c r="O217" s="22"/>
    </row>
    <row r="218" ht="38.25">
      <c r="A218" t="s">
        <v>134</v>
      </c>
      <c r="B218" s="19">
        <v>100481</v>
      </c>
      <c r="C218" s="20" t="s">
        <v>244</v>
      </c>
      <c r="D218" s="19" t="s">
        <v>121</v>
      </c>
      <c r="E218" s="21">
        <f t="shared" si="8"/>
        <v>619.48000000000002</v>
      </c>
      <c r="F218" s="22">
        <v>0</v>
      </c>
      <c r="G218" s="21">
        <f t="shared" si="9"/>
        <v>613.61000000000001</v>
      </c>
      <c r="H218" s="22">
        <v>0</v>
      </c>
      <c r="I218" s="23" t="str">
        <f t="shared" si="10"/>
        <v xml:space="preserve">COM VALOR</v>
      </c>
      <c r="J218" s="19"/>
      <c r="L218" s="21">
        <v>619.48000000000002</v>
      </c>
      <c r="M218" s="22">
        <v>0</v>
      </c>
      <c r="N218" s="21">
        <v>613.61000000000001</v>
      </c>
      <c r="O218" s="22">
        <v>0</v>
      </c>
    </row>
    <row r="219" ht="38.25">
      <c r="A219" t="s">
        <v>134</v>
      </c>
      <c r="B219" s="19">
        <v>100492</v>
      </c>
      <c r="C219" s="20" t="s">
        <v>245</v>
      </c>
      <c r="D219" s="19" t="s">
        <v>121</v>
      </c>
      <c r="E219" s="21">
        <f t="shared" si="8"/>
        <v>614.65999999999997</v>
      </c>
      <c r="F219" s="22">
        <v>0</v>
      </c>
      <c r="G219" s="21">
        <f t="shared" si="9"/>
        <v>609.52999999999997</v>
      </c>
      <c r="H219" s="22">
        <v>0</v>
      </c>
      <c r="I219" s="23" t="str">
        <f t="shared" si="10"/>
        <v xml:space="preserve">COM VALOR</v>
      </c>
      <c r="J219" s="19"/>
      <c r="L219" s="21">
        <v>614.65999999999997</v>
      </c>
      <c r="M219" s="22">
        <v>0</v>
      </c>
      <c r="N219" s="21">
        <v>609.52999999999997</v>
      </c>
      <c r="O219" s="22">
        <v>0</v>
      </c>
    </row>
    <row r="220" ht="38.25">
      <c r="A220" t="s">
        <v>134</v>
      </c>
      <c r="B220" s="19">
        <v>100483</v>
      </c>
      <c r="C220" s="20" t="s">
        <v>246</v>
      </c>
      <c r="D220" s="19" t="s">
        <v>121</v>
      </c>
      <c r="E220" s="21">
        <f t="shared" si="8"/>
        <v>680.44000000000005</v>
      </c>
      <c r="F220" s="22">
        <v>0</v>
      </c>
      <c r="G220" s="21">
        <f t="shared" si="9"/>
        <v>670.39999999999998</v>
      </c>
      <c r="H220" s="22">
        <v>0</v>
      </c>
      <c r="I220" s="23" t="str">
        <f t="shared" si="10"/>
        <v xml:space="preserve">COM VALOR</v>
      </c>
      <c r="J220" s="19"/>
      <c r="L220" s="21">
        <v>680.44000000000005</v>
      </c>
      <c r="M220" s="22">
        <v>0</v>
      </c>
      <c r="N220" s="21">
        <v>670.39999999999998</v>
      </c>
      <c r="O220" s="22">
        <v>0</v>
      </c>
    </row>
    <row r="221" ht="38.25">
      <c r="A221" t="s">
        <v>134</v>
      </c>
      <c r="B221" s="19">
        <v>100484</v>
      </c>
      <c r="C221" s="20" t="s">
        <v>247</v>
      </c>
      <c r="D221" s="19" t="s">
        <v>121</v>
      </c>
      <c r="E221" s="21">
        <f t="shared" si="8"/>
        <v>620.38999999999999</v>
      </c>
      <c r="F221" s="22">
        <v>0</v>
      </c>
      <c r="G221" s="21">
        <f t="shared" si="9"/>
        <v>614.03999999999996</v>
      </c>
      <c r="H221" s="22">
        <v>0</v>
      </c>
      <c r="I221" s="23" t="str">
        <f t="shared" si="10"/>
        <v xml:space="preserve">COM VALOR</v>
      </c>
      <c r="J221" s="19"/>
      <c r="L221" s="21">
        <v>620.38999999999999</v>
      </c>
      <c r="M221" s="22">
        <v>0</v>
      </c>
      <c r="N221" s="21">
        <v>614.03999999999996</v>
      </c>
      <c r="O221" s="22">
        <v>0</v>
      </c>
    </row>
    <row r="222" ht="38.25">
      <c r="A222" t="s">
        <v>134</v>
      </c>
      <c r="B222" s="19">
        <v>100485</v>
      </c>
      <c r="C222" s="20" t="s">
        <v>248</v>
      </c>
      <c r="D222" s="19" t="s">
        <v>121</v>
      </c>
      <c r="E222" s="21">
        <f t="shared" si="8"/>
        <v>592.55999999999995</v>
      </c>
      <c r="F222" s="22">
        <v>0</v>
      </c>
      <c r="G222" s="21">
        <f t="shared" si="9"/>
        <v>588.21000000000004</v>
      </c>
      <c r="H222" s="22">
        <v>0</v>
      </c>
      <c r="I222" s="23" t="str">
        <f t="shared" si="10"/>
        <v xml:space="preserve">COM VALOR</v>
      </c>
      <c r="J222" s="19"/>
      <c r="L222" s="21">
        <v>592.55999999999995</v>
      </c>
      <c r="M222" s="22">
        <v>0</v>
      </c>
      <c r="N222" s="21">
        <v>588.21000000000004</v>
      </c>
      <c r="O222" s="22">
        <v>0</v>
      </c>
    </row>
    <row r="223" ht="25.5">
      <c r="A223" t="s">
        <v>134</v>
      </c>
      <c r="B223" s="19">
        <v>87373</v>
      </c>
      <c r="C223" s="20" t="s">
        <v>249</v>
      </c>
      <c r="D223" s="19" t="s">
        <v>121</v>
      </c>
      <c r="E223" s="21">
        <f t="shared" si="8"/>
        <v>730.71000000000004</v>
      </c>
      <c r="F223" s="22">
        <v>0</v>
      </c>
      <c r="G223" s="21">
        <f t="shared" si="9"/>
        <v>717.38</v>
      </c>
      <c r="H223" s="22">
        <v>0</v>
      </c>
      <c r="I223" s="23" t="str">
        <f t="shared" si="10"/>
        <v xml:space="preserve">COM VALOR</v>
      </c>
      <c r="J223" s="19"/>
      <c r="L223" s="21">
        <v>730.71000000000004</v>
      </c>
      <c r="M223" s="22">
        <v>0</v>
      </c>
      <c r="N223" s="21">
        <v>717.38</v>
      </c>
      <c r="O223" s="22">
        <v>0</v>
      </c>
    </row>
    <row r="224" ht="38.25">
      <c r="A224" t="s">
        <v>134</v>
      </c>
      <c r="B224" s="19">
        <v>100454</v>
      </c>
      <c r="C224" s="20" t="s">
        <v>250</v>
      </c>
      <c r="D224" s="19" t="s">
        <v>121</v>
      </c>
      <c r="E224" s="21" t="str">
        <f t="shared" si="8"/>
        <v>VERIFICAR</v>
      </c>
      <c r="F224" s="22"/>
      <c r="G224" s="21" t="str">
        <f t="shared" si="9"/>
        <v>VERIFICAR</v>
      </c>
      <c r="H224" s="22"/>
      <c r="I224" s="23" t="str">
        <f t="shared" si="10"/>
        <v xml:space="preserve">COM VALOR</v>
      </c>
      <c r="J224" s="19"/>
      <c r="L224" s="21">
        <v>0</v>
      </c>
      <c r="M224" s="22"/>
      <c r="N224" s="21">
        <v>0</v>
      </c>
      <c r="O224" s="22"/>
    </row>
    <row r="225" ht="38.25">
      <c r="A225" t="s">
        <v>134</v>
      </c>
      <c r="B225" s="19">
        <v>87301</v>
      </c>
      <c r="C225" s="20" t="s">
        <v>251</v>
      </c>
      <c r="D225" s="19" t="s">
        <v>121</v>
      </c>
      <c r="E225" s="21">
        <f t="shared" si="8"/>
        <v>622.84000000000003</v>
      </c>
      <c r="F225" s="22">
        <v>0</v>
      </c>
      <c r="G225" s="21">
        <f t="shared" si="9"/>
        <v>614.74000000000001</v>
      </c>
      <c r="H225" s="22">
        <v>0</v>
      </c>
      <c r="I225" s="23" t="str">
        <f t="shared" si="10"/>
        <v xml:space="preserve">COM VALOR</v>
      </c>
      <c r="J225" s="19"/>
      <c r="L225" s="21">
        <v>622.84000000000003</v>
      </c>
      <c r="M225" s="22">
        <v>0</v>
      </c>
      <c r="N225" s="21">
        <v>614.74000000000001</v>
      </c>
      <c r="O225" s="22">
        <v>0</v>
      </c>
    </row>
    <row r="226" ht="38.25">
      <c r="A226" t="s">
        <v>134</v>
      </c>
      <c r="B226" s="19">
        <v>87302</v>
      </c>
      <c r="C226" s="20" t="s">
        <v>252</v>
      </c>
      <c r="D226" s="19" t="s">
        <v>121</v>
      </c>
      <c r="E226" s="21">
        <f t="shared" si="8"/>
        <v>605.66999999999996</v>
      </c>
      <c r="F226" s="22">
        <v>0</v>
      </c>
      <c r="G226" s="21">
        <f t="shared" si="9"/>
        <v>599.13</v>
      </c>
      <c r="H226" s="22">
        <v>0</v>
      </c>
      <c r="I226" s="23" t="str">
        <f t="shared" si="10"/>
        <v xml:space="preserve">COM VALOR</v>
      </c>
      <c r="J226" s="19"/>
      <c r="L226" s="21">
        <v>605.66999999999996</v>
      </c>
      <c r="M226" s="22">
        <v>0</v>
      </c>
      <c r="N226" s="21">
        <v>599.13</v>
      </c>
      <c r="O226" s="22">
        <v>0</v>
      </c>
    </row>
    <row r="227" ht="38.25">
      <c r="A227" t="s">
        <v>134</v>
      </c>
      <c r="B227" s="19">
        <v>87342</v>
      </c>
      <c r="C227" s="20" t="s">
        <v>253</v>
      </c>
      <c r="D227" s="19" t="s">
        <v>121</v>
      </c>
      <c r="E227" s="21">
        <f t="shared" si="8"/>
        <v>713.99000000000001</v>
      </c>
      <c r="F227" s="22">
        <v>0</v>
      </c>
      <c r="G227" s="21">
        <f t="shared" si="9"/>
        <v>700.03999999999996</v>
      </c>
      <c r="H227" s="22">
        <v>0</v>
      </c>
      <c r="I227" s="23" t="str">
        <f t="shared" si="10"/>
        <v xml:space="preserve">COM VALOR</v>
      </c>
      <c r="J227" s="19"/>
      <c r="L227" s="21">
        <v>713.99000000000001</v>
      </c>
      <c r="M227" s="22">
        <v>0</v>
      </c>
      <c r="N227" s="21">
        <v>700.03999999999996</v>
      </c>
      <c r="O227" s="22">
        <v>0</v>
      </c>
    </row>
    <row r="228" ht="38.25">
      <c r="A228" t="s">
        <v>134</v>
      </c>
      <c r="B228" s="19">
        <v>87343</v>
      </c>
      <c r="C228" s="20" t="s">
        <v>254</v>
      </c>
      <c r="D228" s="19" t="s">
        <v>121</v>
      </c>
      <c r="E228" s="21">
        <f t="shared" si="8"/>
        <v>626.19000000000005</v>
      </c>
      <c r="F228" s="22">
        <v>0</v>
      </c>
      <c r="G228" s="21">
        <f t="shared" si="9"/>
        <v>617.53999999999996</v>
      </c>
      <c r="H228" s="22">
        <v>0</v>
      </c>
      <c r="I228" s="23" t="str">
        <f t="shared" si="10"/>
        <v xml:space="preserve">COM VALOR</v>
      </c>
      <c r="J228" s="19"/>
      <c r="L228" s="21">
        <v>626.19000000000005</v>
      </c>
      <c r="M228" s="22">
        <v>0</v>
      </c>
      <c r="N228" s="21">
        <v>617.53999999999996</v>
      </c>
      <c r="O228" s="22">
        <v>0</v>
      </c>
    </row>
    <row r="229" ht="38.25">
      <c r="A229" t="s">
        <v>134</v>
      </c>
      <c r="B229" s="19">
        <v>87344</v>
      </c>
      <c r="C229" s="20" t="s">
        <v>255</v>
      </c>
      <c r="D229" s="19" t="s">
        <v>121</v>
      </c>
      <c r="E229" s="21">
        <f t="shared" si="8"/>
        <v>574.64999999999998</v>
      </c>
      <c r="F229" s="22">
        <v>0</v>
      </c>
      <c r="G229" s="21">
        <f t="shared" si="9"/>
        <v>569.30999999999995</v>
      </c>
      <c r="H229" s="22">
        <v>0</v>
      </c>
      <c r="I229" s="23" t="str">
        <f t="shared" si="10"/>
        <v xml:space="preserve">COM VALOR</v>
      </c>
      <c r="J229" s="19"/>
      <c r="L229" s="21">
        <v>574.64999999999998</v>
      </c>
      <c r="M229" s="22">
        <v>0</v>
      </c>
      <c r="N229" s="21">
        <v>569.30999999999995</v>
      </c>
      <c r="O229" s="22">
        <v>0</v>
      </c>
    </row>
    <row r="230" ht="25.5">
      <c r="A230" t="s">
        <v>134</v>
      </c>
      <c r="B230" s="19">
        <v>88631</v>
      </c>
      <c r="C230" s="20" t="s">
        <v>256</v>
      </c>
      <c r="D230" s="19" t="s">
        <v>121</v>
      </c>
      <c r="E230" s="21">
        <f t="shared" si="8"/>
        <v>599.38999999999999</v>
      </c>
      <c r="F230" s="22">
        <v>0</v>
      </c>
      <c r="G230" s="21">
        <f t="shared" si="9"/>
        <v>589.35000000000002</v>
      </c>
      <c r="H230" s="22">
        <v>0</v>
      </c>
      <c r="I230" s="23" t="str">
        <f t="shared" si="10"/>
        <v xml:space="preserve">COM VALOR</v>
      </c>
      <c r="J230" s="19"/>
      <c r="L230" s="21">
        <v>599.38999999999999</v>
      </c>
      <c r="M230" s="22">
        <v>0</v>
      </c>
      <c r="N230" s="21">
        <v>589.35000000000002</v>
      </c>
      <c r="O230" s="22">
        <v>0</v>
      </c>
    </row>
    <row r="231" ht="25.5">
      <c r="A231" t="s">
        <v>134</v>
      </c>
      <c r="B231" s="19">
        <v>100471</v>
      </c>
      <c r="C231" s="20" t="s">
        <v>257</v>
      </c>
      <c r="D231" s="19" t="s">
        <v>121</v>
      </c>
      <c r="E231" s="21" t="str">
        <f t="shared" si="8"/>
        <v>VERIFICAR</v>
      </c>
      <c r="F231" s="22"/>
      <c r="G231" s="21" t="str">
        <f t="shared" si="9"/>
        <v>VERIFICAR</v>
      </c>
      <c r="H231" s="22"/>
      <c r="I231" s="23" t="str">
        <f t="shared" si="10"/>
        <v xml:space="preserve">COM VALOR</v>
      </c>
      <c r="J231" s="19"/>
      <c r="L231" s="21">
        <v>0</v>
      </c>
      <c r="M231" s="22"/>
      <c r="N231" s="21">
        <v>0</v>
      </c>
      <c r="O231" s="22"/>
    </row>
    <row r="232" ht="25.5">
      <c r="A232" t="s">
        <v>134</v>
      </c>
      <c r="B232" s="19">
        <v>100490</v>
      </c>
      <c r="C232" s="20" t="s">
        <v>258</v>
      </c>
      <c r="D232" s="19" t="s">
        <v>121</v>
      </c>
      <c r="E232" s="21">
        <f t="shared" si="8"/>
        <v>497.61000000000001</v>
      </c>
      <c r="F232" s="22">
        <v>0</v>
      </c>
      <c r="G232" s="21">
        <f t="shared" si="9"/>
        <v>492.92000000000002</v>
      </c>
      <c r="H232" s="22">
        <v>0</v>
      </c>
      <c r="I232" s="23" t="str">
        <f t="shared" si="10"/>
        <v xml:space="preserve">COM VALOR</v>
      </c>
      <c r="J232" s="19"/>
      <c r="L232" s="21">
        <v>497.61000000000001</v>
      </c>
      <c r="M232" s="22">
        <v>0</v>
      </c>
      <c r="N232" s="21">
        <v>492.92000000000002</v>
      </c>
      <c r="O232" s="22">
        <v>0</v>
      </c>
    </row>
    <row r="233" ht="38.25">
      <c r="A233" t="s">
        <v>134</v>
      </c>
      <c r="B233" s="19">
        <v>100472</v>
      </c>
      <c r="C233" s="20" t="s">
        <v>259</v>
      </c>
      <c r="D233" s="19" t="s">
        <v>121</v>
      </c>
      <c r="E233" s="21">
        <f t="shared" si="8"/>
        <v>567.87</v>
      </c>
      <c r="F233" s="22">
        <v>0</v>
      </c>
      <c r="G233" s="21">
        <f t="shared" si="9"/>
        <v>558.28999999999996</v>
      </c>
      <c r="H233" s="22">
        <v>0</v>
      </c>
      <c r="I233" s="23" t="str">
        <f t="shared" si="10"/>
        <v xml:space="preserve">COM VALOR</v>
      </c>
      <c r="J233" s="19"/>
      <c r="L233" s="21">
        <v>567.87</v>
      </c>
      <c r="M233" s="22">
        <v>0</v>
      </c>
      <c r="N233" s="21">
        <v>558.28999999999996</v>
      </c>
      <c r="O233" s="22">
        <v>0</v>
      </c>
    </row>
    <row r="234" ht="38.25">
      <c r="A234" t="s">
        <v>134</v>
      </c>
      <c r="B234" s="19">
        <v>100473</v>
      </c>
      <c r="C234" s="20" t="s">
        <v>260</v>
      </c>
      <c r="D234" s="19" t="s">
        <v>121</v>
      </c>
      <c r="E234" s="21">
        <f t="shared" si="8"/>
        <v>506.75999999999999</v>
      </c>
      <c r="F234" s="22">
        <v>0</v>
      </c>
      <c r="G234" s="21">
        <f t="shared" si="9"/>
        <v>500.86000000000001</v>
      </c>
      <c r="H234" s="22">
        <v>0</v>
      </c>
      <c r="I234" s="23" t="str">
        <f t="shared" si="10"/>
        <v xml:space="preserve">COM VALOR</v>
      </c>
      <c r="J234" s="19"/>
      <c r="L234" s="21">
        <v>506.75999999999999</v>
      </c>
      <c r="M234" s="22">
        <v>0</v>
      </c>
      <c r="N234" s="21">
        <v>500.86000000000001</v>
      </c>
      <c r="O234" s="22">
        <v>0</v>
      </c>
    </row>
    <row r="235" ht="38.25">
      <c r="A235" t="s">
        <v>134</v>
      </c>
      <c r="B235" s="19">
        <v>100474</v>
      </c>
      <c r="C235" s="20" t="s">
        <v>261</v>
      </c>
      <c r="D235" s="19" t="s">
        <v>121</v>
      </c>
      <c r="E235" s="21">
        <f t="shared" si="8"/>
        <v>477.23000000000002</v>
      </c>
      <c r="F235" s="22">
        <v>0</v>
      </c>
      <c r="G235" s="21">
        <f t="shared" si="9"/>
        <v>473.31999999999999</v>
      </c>
      <c r="H235" s="22">
        <v>0</v>
      </c>
      <c r="I235" s="23" t="str">
        <f t="shared" si="10"/>
        <v xml:space="preserve">COM VALOR</v>
      </c>
      <c r="J235" s="19"/>
      <c r="L235" s="21">
        <v>477.23000000000002</v>
      </c>
      <c r="M235" s="22">
        <v>0</v>
      </c>
      <c r="N235" s="21">
        <v>473.31999999999999</v>
      </c>
      <c r="O235" s="22">
        <v>0</v>
      </c>
    </row>
    <row r="236" ht="38.25">
      <c r="A236" t="s">
        <v>134</v>
      </c>
      <c r="B236" s="19">
        <v>87379</v>
      </c>
      <c r="C236" s="20" t="s">
        <v>262</v>
      </c>
      <c r="D236" s="19" t="s">
        <v>121</v>
      </c>
      <c r="E236" s="21">
        <f t="shared" si="8"/>
        <v>2912.9499999999998</v>
      </c>
      <c r="F236" s="22">
        <v>0.84999999999999998</v>
      </c>
      <c r="G236" s="21">
        <f t="shared" si="9"/>
        <v>2900.0599999999999</v>
      </c>
      <c r="H236" s="22">
        <v>0.85999999999999999</v>
      </c>
      <c r="I236" s="23" t="str">
        <f t="shared" si="10"/>
        <v xml:space="preserve">COM VALOR</v>
      </c>
      <c r="J236" s="19"/>
      <c r="L236" s="21">
        <v>2912.9499999999998</v>
      </c>
      <c r="M236" s="22">
        <v>0.82999999999999996</v>
      </c>
      <c r="N236" s="21">
        <v>2900.0599999999999</v>
      </c>
      <c r="O236" s="22">
        <v>0.83999999999999997</v>
      </c>
    </row>
    <row r="237" ht="38.25">
      <c r="A237" t="s">
        <v>134</v>
      </c>
      <c r="B237" s="19">
        <v>100460</v>
      </c>
      <c r="C237" s="20" t="s">
        <v>263</v>
      </c>
      <c r="D237" s="19" t="s">
        <v>121</v>
      </c>
      <c r="E237" s="21" t="str">
        <f t="shared" si="8"/>
        <v>VERIFICAR</v>
      </c>
      <c r="F237" s="22"/>
      <c r="G237" s="21" t="str">
        <f t="shared" si="9"/>
        <v>VERIFICAR</v>
      </c>
      <c r="H237" s="22"/>
      <c r="I237" s="23" t="str">
        <f t="shared" si="10"/>
        <v xml:space="preserve">COM VALOR</v>
      </c>
      <c r="J237" s="19"/>
      <c r="L237" s="21">
        <v>0</v>
      </c>
      <c r="M237" s="22"/>
      <c r="N237" s="21">
        <v>0</v>
      </c>
      <c r="O237" s="22"/>
    </row>
    <row r="238" ht="38.25">
      <c r="A238" t="s">
        <v>134</v>
      </c>
      <c r="B238" s="19">
        <v>87319</v>
      </c>
      <c r="C238" s="20" t="s">
        <v>264</v>
      </c>
      <c r="D238" s="19" t="s">
        <v>121</v>
      </c>
      <c r="E238" s="21">
        <f t="shared" si="8"/>
        <v>2810.73</v>
      </c>
      <c r="F238" s="22">
        <v>0.88</v>
      </c>
      <c r="G238" s="21">
        <f t="shared" si="9"/>
        <v>2803.5100000000002</v>
      </c>
      <c r="H238" s="22">
        <v>0.89000000000000001</v>
      </c>
      <c r="I238" s="23" t="str">
        <f t="shared" si="10"/>
        <v xml:space="preserve">COM VALOR</v>
      </c>
      <c r="J238" s="19"/>
      <c r="L238" s="21">
        <v>2810.73</v>
      </c>
      <c r="M238" s="22">
        <v>0.87</v>
      </c>
      <c r="N238" s="21">
        <v>2803.5100000000002</v>
      </c>
      <c r="O238" s="22">
        <v>0.87</v>
      </c>
    </row>
    <row r="239" ht="38.25">
      <c r="A239" t="s">
        <v>134</v>
      </c>
      <c r="B239" s="19">
        <v>87320</v>
      </c>
      <c r="C239" s="20" t="s">
        <v>265</v>
      </c>
      <c r="D239" s="19" t="s">
        <v>121</v>
      </c>
      <c r="E239" s="21">
        <f t="shared" si="8"/>
        <v>2806.8600000000001</v>
      </c>
      <c r="F239" s="22">
        <v>0.89000000000000001</v>
      </c>
      <c r="G239" s="21">
        <f t="shared" si="9"/>
        <v>2800.9000000000001</v>
      </c>
      <c r="H239" s="22">
        <v>0.89000000000000001</v>
      </c>
      <c r="I239" s="23" t="str">
        <f t="shared" si="10"/>
        <v xml:space="preserve">COM VALOR</v>
      </c>
      <c r="J239" s="19"/>
      <c r="L239" s="21">
        <v>2806.8600000000001</v>
      </c>
      <c r="M239" s="22">
        <v>0.87</v>
      </c>
      <c r="N239" s="21">
        <v>2800.9000000000001</v>
      </c>
      <c r="O239" s="22">
        <v>0.87</v>
      </c>
    </row>
    <row r="240" ht="51">
      <c r="A240" t="s">
        <v>134</v>
      </c>
      <c r="B240" s="19">
        <v>87358</v>
      </c>
      <c r="C240" s="20" t="s">
        <v>266</v>
      </c>
      <c r="D240" s="19" t="s">
        <v>121</v>
      </c>
      <c r="E240" s="21">
        <f t="shared" si="8"/>
        <v>2793.0300000000002</v>
      </c>
      <c r="F240" s="22">
        <v>0.87</v>
      </c>
      <c r="G240" s="21">
        <f t="shared" si="9"/>
        <v>2784.0599999999999</v>
      </c>
      <c r="H240" s="22">
        <v>0.88</v>
      </c>
      <c r="I240" s="23" t="str">
        <f t="shared" si="10"/>
        <v xml:space="preserve">COM VALOR</v>
      </c>
      <c r="J240" s="19"/>
      <c r="L240" s="21">
        <v>2793.0300000000002</v>
      </c>
      <c r="M240" s="22">
        <v>0.85999999999999999</v>
      </c>
      <c r="N240" s="21">
        <v>2784.0599999999999</v>
      </c>
      <c r="O240" s="22">
        <v>0.85999999999999999</v>
      </c>
    </row>
    <row r="241" ht="51">
      <c r="A241" t="s">
        <v>134</v>
      </c>
      <c r="B241" s="19">
        <v>87359</v>
      </c>
      <c r="C241" s="20" t="s">
        <v>267</v>
      </c>
      <c r="D241" s="19" t="s">
        <v>121</v>
      </c>
      <c r="E241" s="21">
        <f t="shared" si="8"/>
        <v>2749.4400000000001</v>
      </c>
      <c r="F241" s="22">
        <v>0.89000000000000001</v>
      </c>
      <c r="G241" s="21">
        <f t="shared" si="9"/>
        <v>2743.6799999999998</v>
      </c>
      <c r="H241" s="22">
        <v>0.89000000000000001</v>
      </c>
      <c r="I241" s="23" t="str">
        <f t="shared" si="10"/>
        <v xml:space="preserve">COM VALOR</v>
      </c>
      <c r="J241" s="19"/>
      <c r="L241" s="21">
        <v>2749.4400000000001</v>
      </c>
      <c r="M241" s="22">
        <v>0.87</v>
      </c>
      <c r="N241" s="21">
        <v>2743.6799999999998</v>
      </c>
      <c r="O241" s="22">
        <v>0.875</v>
      </c>
    </row>
    <row r="242" ht="25.5">
      <c r="A242" t="s">
        <v>134</v>
      </c>
      <c r="B242" s="19">
        <v>87376</v>
      </c>
      <c r="C242" s="20" t="s">
        <v>268</v>
      </c>
      <c r="D242" s="19" t="s">
        <v>121</v>
      </c>
      <c r="E242" s="21">
        <f t="shared" si="8"/>
        <v>563.91999999999996</v>
      </c>
      <c r="F242" s="22">
        <v>0</v>
      </c>
      <c r="G242" s="21">
        <f t="shared" si="9"/>
        <v>550.86000000000001</v>
      </c>
      <c r="H242" s="22">
        <v>0</v>
      </c>
      <c r="I242" s="23" t="str">
        <f t="shared" si="10"/>
        <v xml:space="preserve">COM VALOR</v>
      </c>
      <c r="J242" s="19"/>
      <c r="L242" s="21">
        <v>563.91999999999996</v>
      </c>
      <c r="M242" s="22">
        <v>0</v>
      </c>
      <c r="N242" s="21">
        <v>550.86000000000001</v>
      </c>
      <c r="O242" s="22">
        <v>0</v>
      </c>
    </row>
    <row r="243" ht="38.25">
      <c r="A243" t="s">
        <v>134</v>
      </c>
      <c r="B243" s="19">
        <v>100457</v>
      </c>
      <c r="C243" s="20" t="s">
        <v>269</v>
      </c>
      <c r="D243" s="19" t="s">
        <v>121</v>
      </c>
      <c r="E243" s="21" t="str">
        <f t="shared" si="8"/>
        <v>VERIFICAR</v>
      </c>
      <c r="F243" s="22"/>
      <c r="G243" s="21" t="str">
        <f t="shared" si="9"/>
        <v>VERIFICAR</v>
      </c>
      <c r="H243" s="22"/>
      <c r="I243" s="23" t="str">
        <f t="shared" si="10"/>
        <v xml:space="preserve">COM VALOR</v>
      </c>
      <c r="J243" s="19"/>
      <c r="L243" s="21">
        <v>0</v>
      </c>
      <c r="M243" s="22"/>
      <c r="N243" s="21">
        <v>0</v>
      </c>
      <c r="O243" s="22"/>
    </row>
    <row r="244" ht="38.25">
      <c r="A244" t="s">
        <v>134</v>
      </c>
      <c r="B244" s="19">
        <v>87310</v>
      </c>
      <c r="C244" s="20" t="s">
        <v>270</v>
      </c>
      <c r="D244" s="19" t="s">
        <v>121</v>
      </c>
      <c r="E244" s="21">
        <f t="shared" si="8"/>
        <v>444.69</v>
      </c>
      <c r="F244" s="22">
        <v>0</v>
      </c>
      <c r="G244" s="21">
        <f t="shared" si="9"/>
        <v>437.50999999999999</v>
      </c>
      <c r="H244" s="22">
        <v>0</v>
      </c>
      <c r="I244" s="23" t="str">
        <f t="shared" si="10"/>
        <v xml:space="preserve">COM VALOR</v>
      </c>
      <c r="J244" s="19"/>
      <c r="L244" s="21">
        <v>444.69</v>
      </c>
      <c r="M244" s="22">
        <v>0</v>
      </c>
      <c r="N244" s="21">
        <v>437.50999999999999</v>
      </c>
      <c r="O244" s="22">
        <v>0</v>
      </c>
    </row>
    <row r="245" ht="38.25">
      <c r="A245" t="s">
        <v>134</v>
      </c>
      <c r="B245" s="19">
        <v>87311</v>
      </c>
      <c r="C245" s="20" t="s">
        <v>271</v>
      </c>
      <c r="D245" s="19" t="s">
        <v>121</v>
      </c>
      <c r="E245" s="21">
        <f t="shared" si="8"/>
        <v>428.04000000000002</v>
      </c>
      <c r="F245" s="22">
        <v>0</v>
      </c>
      <c r="G245" s="21">
        <f t="shared" si="9"/>
        <v>422.18000000000001</v>
      </c>
      <c r="H245" s="22">
        <v>0</v>
      </c>
      <c r="I245" s="23" t="str">
        <f t="shared" si="10"/>
        <v xml:space="preserve">COM VALOR</v>
      </c>
      <c r="J245" s="19"/>
      <c r="L245" s="21">
        <v>428.04000000000002</v>
      </c>
      <c r="M245" s="22">
        <v>0</v>
      </c>
      <c r="N245" s="21">
        <v>422.18000000000001</v>
      </c>
      <c r="O245" s="22">
        <v>0</v>
      </c>
    </row>
    <row r="246" ht="38.25">
      <c r="A246" t="s">
        <v>134</v>
      </c>
      <c r="B246" s="19">
        <v>87350</v>
      </c>
      <c r="C246" s="20" t="s">
        <v>272</v>
      </c>
      <c r="D246" s="19" t="s">
        <v>121</v>
      </c>
      <c r="E246" s="21">
        <f t="shared" si="8"/>
        <v>503.07999999999998</v>
      </c>
      <c r="F246" s="22">
        <v>0</v>
      </c>
      <c r="G246" s="21">
        <f t="shared" si="9"/>
        <v>492.38</v>
      </c>
      <c r="H246" s="22">
        <v>0</v>
      </c>
      <c r="I246" s="23" t="str">
        <f t="shared" si="10"/>
        <v xml:space="preserve">COM VALOR</v>
      </c>
      <c r="J246" s="19"/>
      <c r="L246" s="21">
        <v>503.07999999999998</v>
      </c>
      <c r="M246" s="22">
        <v>0</v>
      </c>
      <c r="N246" s="21">
        <v>492.38</v>
      </c>
      <c r="O246" s="22">
        <v>0</v>
      </c>
    </row>
    <row r="247" ht="38.25">
      <c r="A247" t="s">
        <v>134</v>
      </c>
      <c r="B247" s="19">
        <v>87351</v>
      </c>
      <c r="C247" s="20" t="s">
        <v>273</v>
      </c>
      <c r="D247" s="19" t="s">
        <v>121</v>
      </c>
      <c r="E247" s="21">
        <f t="shared" si="8"/>
        <v>410.98000000000002</v>
      </c>
      <c r="F247" s="22">
        <v>0</v>
      </c>
      <c r="G247" s="21">
        <f t="shared" si="9"/>
        <v>405.75</v>
      </c>
      <c r="H247" s="22">
        <v>0</v>
      </c>
      <c r="I247" s="23" t="str">
        <f t="shared" si="10"/>
        <v xml:space="preserve">COM VALOR</v>
      </c>
      <c r="J247" s="19"/>
      <c r="L247" s="21">
        <v>410.98000000000002</v>
      </c>
      <c r="M247" s="22">
        <v>0</v>
      </c>
      <c r="N247" s="21">
        <v>405.75</v>
      </c>
      <c r="O247" s="22">
        <v>0</v>
      </c>
    </row>
    <row r="248" ht="25.5">
      <c r="A248" t="s">
        <v>134</v>
      </c>
      <c r="B248" s="19">
        <v>87374</v>
      </c>
      <c r="C248" s="20" t="s">
        <v>274</v>
      </c>
      <c r="D248" s="19" t="s">
        <v>121</v>
      </c>
      <c r="E248" s="21">
        <f t="shared" si="8"/>
        <v>675.92999999999995</v>
      </c>
      <c r="F248" s="22">
        <v>0</v>
      </c>
      <c r="G248" s="21">
        <f t="shared" si="9"/>
        <v>662.5</v>
      </c>
      <c r="H248" s="22">
        <v>0</v>
      </c>
      <c r="I248" s="23" t="str">
        <f t="shared" si="10"/>
        <v xml:space="preserve">COM VALOR</v>
      </c>
      <c r="J248" s="19"/>
      <c r="L248" s="21">
        <v>675.92999999999995</v>
      </c>
      <c r="M248" s="22">
        <v>0</v>
      </c>
      <c r="N248" s="21">
        <v>662.5</v>
      </c>
      <c r="O248" s="22">
        <v>0</v>
      </c>
    </row>
    <row r="249" ht="38.25">
      <c r="A249" t="s">
        <v>134</v>
      </c>
      <c r="B249" s="19">
        <v>100455</v>
      </c>
      <c r="C249" s="20" t="s">
        <v>275</v>
      </c>
      <c r="D249" s="19" t="s">
        <v>121</v>
      </c>
      <c r="E249" s="21" t="str">
        <f t="shared" si="8"/>
        <v>VERIFICAR</v>
      </c>
      <c r="F249" s="22"/>
      <c r="G249" s="21" t="str">
        <f t="shared" si="9"/>
        <v>VERIFICAR</v>
      </c>
      <c r="H249" s="22"/>
      <c r="I249" s="23" t="str">
        <f t="shared" si="10"/>
        <v xml:space="preserve">COM VALOR</v>
      </c>
      <c r="J249" s="19"/>
      <c r="L249" s="21">
        <v>0</v>
      </c>
      <c r="M249" s="22"/>
      <c r="N249" s="21">
        <v>0</v>
      </c>
      <c r="O249" s="22"/>
    </row>
    <row r="250" ht="38.25">
      <c r="A250" t="s">
        <v>134</v>
      </c>
      <c r="B250" s="19">
        <v>87304</v>
      </c>
      <c r="C250" s="20" t="s">
        <v>276</v>
      </c>
      <c r="D250" s="19" t="s">
        <v>121</v>
      </c>
      <c r="E250" s="21">
        <f t="shared" si="8"/>
        <v>555.09000000000003</v>
      </c>
      <c r="F250" s="22">
        <v>0</v>
      </c>
      <c r="G250" s="21">
        <f t="shared" si="9"/>
        <v>547.74000000000001</v>
      </c>
      <c r="H250" s="22">
        <v>0</v>
      </c>
      <c r="I250" s="23" t="str">
        <f t="shared" si="10"/>
        <v xml:space="preserve">COM VALOR</v>
      </c>
      <c r="J250" s="19"/>
      <c r="L250" s="21">
        <v>555.09000000000003</v>
      </c>
      <c r="M250" s="22">
        <v>0</v>
      </c>
      <c r="N250" s="21">
        <v>547.74000000000001</v>
      </c>
      <c r="O250" s="22">
        <v>0</v>
      </c>
    </row>
    <row r="251" ht="38.25">
      <c r="A251" t="s">
        <v>134</v>
      </c>
      <c r="B251" s="19">
        <v>87305</v>
      </c>
      <c r="C251" s="20" t="s">
        <v>277</v>
      </c>
      <c r="D251" s="19" t="s">
        <v>121</v>
      </c>
      <c r="E251" s="21">
        <f t="shared" si="8"/>
        <v>553.02999999999997</v>
      </c>
      <c r="F251" s="22">
        <v>0</v>
      </c>
      <c r="G251" s="21">
        <f t="shared" si="9"/>
        <v>546.25999999999999</v>
      </c>
      <c r="H251" s="22">
        <v>0</v>
      </c>
      <c r="I251" s="23" t="str">
        <f t="shared" si="10"/>
        <v xml:space="preserve">COM VALOR</v>
      </c>
      <c r="J251" s="19"/>
      <c r="L251" s="21">
        <v>553.02999999999997</v>
      </c>
      <c r="M251" s="22">
        <v>0</v>
      </c>
      <c r="N251" s="21">
        <v>546.25999999999999</v>
      </c>
      <c r="O251" s="22">
        <v>0</v>
      </c>
    </row>
    <row r="252" ht="38.25">
      <c r="A252" t="s">
        <v>134</v>
      </c>
      <c r="B252" s="19">
        <v>87345</v>
      </c>
      <c r="C252" s="20" t="s">
        <v>278</v>
      </c>
      <c r="D252" s="19" t="s">
        <v>121</v>
      </c>
      <c r="E252" s="21">
        <f t="shared" si="8"/>
        <v>632.59000000000003</v>
      </c>
      <c r="F252" s="22">
        <v>0</v>
      </c>
      <c r="G252" s="21">
        <f t="shared" si="9"/>
        <v>620.16999999999996</v>
      </c>
      <c r="H252" s="22">
        <v>0</v>
      </c>
      <c r="I252" s="23" t="str">
        <f t="shared" si="10"/>
        <v xml:space="preserve">COM VALOR</v>
      </c>
      <c r="J252" s="19"/>
      <c r="L252" s="21">
        <v>632.59000000000003</v>
      </c>
      <c r="M252" s="22">
        <v>0</v>
      </c>
      <c r="N252" s="21">
        <v>620.16999999999996</v>
      </c>
      <c r="O252" s="22">
        <v>0</v>
      </c>
    </row>
    <row r="253" ht="38.25">
      <c r="A253" t="s">
        <v>134</v>
      </c>
      <c r="B253" s="19">
        <v>87346</v>
      </c>
      <c r="C253" s="20" t="s">
        <v>279</v>
      </c>
      <c r="D253" s="19" t="s">
        <v>121</v>
      </c>
      <c r="E253" s="21">
        <f t="shared" si="8"/>
        <v>560.02999999999997</v>
      </c>
      <c r="F253" s="22">
        <v>0</v>
      </c>
      <c r="G253" s="21">
        <f t="shared" si="9"/>
        <v>552.02999999999997</v>
      </c>
      <c r="H253" s="22">
        <v>0</v>
      </c>
      <c r="I253" s="23" t="str">
        <f t="shared" si="10"/>
        <v xml:space="preserve">COM VALOR</v>
      </c>
      <c r="J253" s="19"/>
      <c r="L253" s="21">
        <v>560.02999999999997</v>
      </c>
      <c r="M253" s="22">
        <v>0</v>
      </c>
      <c r="N253" s="21">
        <v>552.02999999999997</v>
      </c>
      <c r="O253" s="22">
        <v>0</v>
      </c>
    </row>
    <row r="254" ht="38.25">
      <c r="A254" t="s">
        <v>134</v>
      </c>
      <c r="B254" s="19">
        <v>87347</v>
      </c>
      <c r="C254" s="20" t="s">
        <v>280</v>
      </c>
      <c r="D254" s="19" t="s">
        <v>121</v>
      </c>
      <c r="E254" s="21">
        <f t="shared" si="8"/>
        <v>518.57000000000005</v>
      </c>
      <c r="F254" s="22">
        <v>0</v>
      </c>
      <c r="G254" s="21">
        <f t="shared" si="9"/>
        <v>513.17999999999995</v>
      </c>
      <c r="H254" s="22">
        <v>0</v>
      </c>
      <c r="I254" s="23" t="str">
        <f t="shared" si="10"/>
        <v xml:space="preserve">COM VALOR</v>
      </c>
      <c r="J254" s="19"/>
      <c r="L254" s="21">
        <v>518.57000000000005</v>
      </c>
      <c r="M254" s="22">
        <v>0</v>
      </c>
      <c r="N254" s="21">
        <v>513.17999999999995</v>
      </c>
      <c r="O254" s="22">
        <v>0</v>
      </c>
    </row>
    <row r="255" ht="51">
      <c r="A255" t="s">
        <v>134</v>
      </c>
      <c r="B255" s="19">
        <v>87366</v>
      </c>
      <c r="C255" s="20" t="s">
        <v>281</v>
      </c>
      <c r="D255" s="19" t="s">
        <v>121</v>
      </c>
      <c r="E255" s="21">
        <f t="shared" si="8"/>
        <v>582.13999999999999</v>
      </c>
      <c r="F255" s="22">
        <v>0</v>
      </c>
      <c r="G255" s="21">
        <f t="shared" si="9"/>
        <v>568.65999999999997</v>
      </c>
      <c r="H255" s="22">
        <v>0</v>
      </c>
      <c r="I255" s="23" t="str">
        <f t="shared" si="10"/>
        <v xml:space="preserve">COM VALOR</v>
      </c>
      <c r="J255" s="19"/>
      <c r="L255" s="21">
        <v>582.13999999999999</v>
      </c>
      <c r="M255" s="22">
        <v>0</v>
      </c>
      <c r="N255" s="21">
        <v>568.65999999999997</v>
      </c>
      <c r="O255" s="22">
        <v>0</v>
      </c>
    </row>
    <row r="256" ht="51">
      <c r="A256" t="s">
        <v>134</v>
      </c>
      <c r="B256" s="19">
        <v>100448</v>
      </c>
      <c r="C256" s="20" t="s">
        <v>282</v>
      </c>
      <c r="D256" s="19" t="s">
        <v>121</v>
      </c>
      <c r="E256" s="21" t="str">
        <f t="shared" si="8"/>
        <v>VERIFICAR</v>
      </c>
      <c r="F256" s="22"/>
      <c r="G256" s="21" t="str">
        <f t="shared" si="9"/>
        <v>VERIFICAR</v>
      </c>
      <c r="H256" s="22"/>
      <c r="I256" s="23" t="str">
        <f t="shared" si="10"/>
        <v xml:space="preserve">COM VALOR</v>
      </c>
      <c r="J256" s="19"/>
      <c r="L256" s="21">
        <v>0</v>
      </c>
      <c r="M256" s="22"/>
      <c r="N256" s="21">
        <v>0</v>
      </c>
      <c r="O256" s="22"/>
    </row>
    <row r="257" ht="51">
      <c r="A257" t="s">
        <v>134</v>
      </c>
      <c r="B257" s="19">
        <v>87283</v>
      </c>
      <c r="C257" s="20" t="s">
        <v>283</v>
      </c>
      <c r="D257" s="19" t="s">
        <v>121</v>
      </c>
      <c r="E257" s="21">
        <f t="shared" si="8"/>
        <v>457.75999999999999</v>
      </c>
      <c r="F257" s="22">
        <v>0</v>
      </c>
      <c r="G257" s="21">
        <f t="shared" si="9"/>
        <v>450.52999999999997</v>
      </c>
      <c r="H257" s="22">
        <v>0</v>
      </c>
      <c r="I257" s="23" t="str">
        <f t="shared" si="10"/>
        <v xml:space="preserve">COM VALOR</v>
      </c>
      <c r="J257" s="19"/>
      <c r="L257" s="21">
        <v>457.75999999999999</v>
      </c>
      <c r="M257" s="22">
        <v>0</v>
      </c>
      <c r="N257" s="21">
        <v>450.52999999999997</v>
      </c>
      <c r="O257" s="22">
        <v>0</v>
      </c>
    </row>
    <row r="258" ht="51">
      <c r="A258" t="s">
        <v>134</v>
      </c>
      <c r="B258" s="19">
        <v>87284</v>
      </c>
      <c r="C258" s="20" t="s">
        <v>284</v>
      </c>
      <c r="D258" s="19" t="s">
        <v>121</v>
      </c>
      <c r="E258" s="21">
        <f t="shared" si="8"/>
        <v>443.48000000000002</v>
      </c>
      <c r="F258" s="22">
        <v>0</v>
      </c>
      <c r="G258" s="21">
        <f t="shared" si="9"/>
        <v>437.44</v>
      </c>
      <c r="H258" s="22">
        <v>0</v>
      </c>
      <c r="I258" s="23" t="str">
        <f t="shared" si="10"/>
        <v xml:space="preserve">COM VALOR</v>
      </c>
      <c r="J258" s="19"/>
      <c r="L258" s="21">
        <v>443.48000000000002</v>
      </c>
      <c r="M258" s="22">
        <v>0</v>
      </c>
      <c r="N258" s="21">
        <v>437.44</v>
      </c>
      <c r="O258" s="22">
        <v>0</v>
      </c>
    </row>
    <row r="259" ht="63.75">
      <c r="A259" t="s">
        <v>134</v>
      </c>
      <c r="B259" s="19">
        <v>87329</v>
      </c>
      <c r="C259" s="20" t="s">
        <v>285</v>
      </c>
      <c r="D259" s="19" t="s">
        <v>121</v>
      </c>
      <c r="E259" s="21">
        <f t="shared" si="8"/>
        <v>510.92000000000002</v>
      </c>
      <c r="F259" s="22">
        <v>0</v>
      </c>
      <c r="G259" s="21">
        <f t="shared" si="9"/>
        <v>500.36000000000001</v>
      </c>
      <c r="H259" s="22">
        <v>0</v>
      </c>
      <c r="I259" s="23" t="str">
        <f t="shared" si="10"/>
        <v xml:space="preserve">COM VALOR</v>
      </c>
      <c r="J259" s="19"/>
      <c r="L259" s="21">
        <v>510.92000000000002</v>
      </c>
      <c r="M259" s="22">
        <v>0</v>
      </c>
      <c r="N259" s="21">
        <v>500.36000000000001</v>
      </c>
      <c r="O259" s="22">
        <v>0</v>
      </c>
    </row>
    <row r="260" ht="63.75">
      <c r="A260" t="s">
        <v>134</v>
      </c>
      <c r="B260" s="19">
        <v>87330</v>
      </c>
      <c r="C260" s="20" t="s">
        <v>286</v>
      </c>
      <c r="D260" s="19" t="s">
        <v>121</v>
      </c>
      <c r="E260" s="21">
        <f t="shared" si="8"/>
        <v>424.77999999999997</v>
      </c>
      <c r="F260" s="22">
        <v>0</v>
      </c>
      <c r="G260" s="21">
        <f t="shared" si="9"/>
        <v>419.38999999999999</v>
      </c>
      <c r="H260" s="22">
        <v>0</v>
      </c>
      <c r="I260" s="23" t="str">
        <f t="shared" si="10"/>
        <v xml:space="preserve">COM VALOR</v>
      </c>
      <c r="J260" s="19"/>
      <c r="L260" s="21">
        <v>424.77999999999997</v>
      </c>
      <c r="M260" s="22">
        <v>0</v>
      </c>
      <c r="N260" s="21">
        <v>419.38999999999999</v>
      </c>
      <c r="O260" s="22">
        <v>0</v>
      </c>
    </row>
    <row r="261" ht="25.5">
      <c r="A261" t="s">
        <v>134</v>
      </c>
      <c r="B261" s="19">
        <v>87375</v>
      </c>
      <c r="C261" s="20" t="s">
        <v>287</v>
      </c>
      <c r="D261" s="19" t="s">
        <v>121</v>
      </c>
      <c r="E261" s="21">
        <f t="shared" si="8"/>
        <v>640.41999999999996</v>
      </c>
      <c r="F261" s="22">
        <v>0</v>
      </c>
      <c r="G261" s="21">
        <f t="shared" si="9"/>
        <v>626.74000000000001</v>
      </c>
      <c r="H261" s="22">
        <v>0</v>
      </c>
      <c r="I261" s="23" t="str">
        <f t="shared" si="10"/>
        <v xml:space="preserve">COM VALOR</v>
      </c>
      <c r="J261" s="19"/>
      <c r="L261" s="21">
        <v>640.41999999999996</v>
      </c>
      <c r="M261" s="22">
        <v>0</v>
      </c>
      <c r="N261" s="21">
        <v>626.74000000000001</v>
      </c>
      <c r="O261" s="22">
        <v>0</v>
      </c>
    </row>
    <row r="262" ht="38.25">
      <c r="A262" t="s">
        <v>134</v>
      </c>
      <c r="B262" s="19">
        <v>100456</v>
      </c>
      <c r="C262" s="20" t="s">
        <v>288</v>
      </c>
      <c r="D262" s="19" t="s">
        <v>121</v>
      </c>
      <c r="E262" s="21" t="str">
        <f t="shared" si="8"/>
        <v>VERIFICAR</v>
      </c>
      <c r="F262" s="22"/>
      <c r="G262" s="21" t="str">
        <f t="shared" si="9"/>
        <v>VERIFICAR</v>
      </c>
      <c r="H262" s="22"/>
      <c r="I262" s="23" t="str">
        <f t="shared" si="10"/>
        <v xml:space="preserve">COM VALOR</v>
      </c>
      <c r="J262" s="19"/>
      <c r="L262" s="21">
        <v>0</v>
      </c>
      <c r="M262" s="22"/>
      <c r="N262" s="21">
        <v>0</v>
      </c>
      <c r="O262" s="22"/>
    </row>
    <row r="263" ht="38.25">
      <c r="A263" t="s">
        <v>134</v>
      </c>
      <c r="B263" s="19">
        <v>87307</v>
      </c>
      <c r="C263" s="20" t="s">
        <v>289</v>
      </c>
      <c r="D263" s="19" t="s">
        <v>121</v>
      </c>
      <c r="E263" s="21">
        <f t="shared" si="8"/>
        <v>526.16999999999996</v>
      </c>
      <c r="F263" s="22">
        <v>0</v>
      </c>
      <c r="G263" s="21">
        <f t="shared" si="9"/>
        <v>518.07000000000005</v>
      </c>
      <c r="H263" s="22">
        <v>0</v>
      </c>
      <c r="I263" s="23" t="str">
        <f t="shared" si="10"/>
        <v xml:space="preserve">COM VALOR</v>
      </c>
      <c r="J263" s="19"/>
      <c r="L263" s="21">
        <v>526.16999999999996</v>
      </c>
      <c r="M263" s="22">
        <v>0</v>
      </c>
      <c r="N263" s="21">
        <v>518.07000000000005</v>
      </c>
      <c r="O263" s="22">
        <v>0</v>
      </c>
    </row>
    <row r="264" ht="38.25">
      <c r="A264" t="s">
        <v>134</v>
      </c>
      <c r="B264" s="19">
        <v>87308</v>
      </c>
      <c r="C264" s="20" t="s">
        <v>290</v>
      </c>
      <c r="D264" s="19" t="s">
        <v>121</v>
      </c>
      <c r="E264" s="21">
        <f t="shared" si="8"/>
        <v>509.48000000000002</v>
      </c>
      <c r="F264" s="22">
        <v>0</v>
      </c>
      <c r="G264" s="21">
        <f t="shared" si="9"/>
        <v>502.74000000000001</v>
      </c>
      <c r="H264" s="22">
        <v>0</v>
      </c>
      <c r="I264" s="23" t="str">
        <f t="shared" si="10"/>
        <v xml:space="preserve">COM VALOR</v>
      </c>
      <c r="J264" s="19"/>
      <c r="L264" s="21">
        <v>509.48000000000002</v>
      </c>
      <c r="M264" s="22">
        <v>0</v>
      </c>
      <c r="N264" s="21">
        <v>502.74000000000001</v>
      </c>
      <c r="O264" s="22">
        <v>0</v>
      </c>
    </row>
    <row r="265" ht="38.25">
      <c r="A265" t="s">
        <v>134</v>
      </c>
      <c r="B265" s="19">
        <v>87348</v>
      </c>
      <c r="C265" s="20" t="s">
        <v>291</v>
      </c>
      <c r="D265" s="19" t="s">
        <v>121</v>
      </c>
      <c r="E265" s="21">
        <f t="shared" si="8"/>
        <v>571.5</v>
      </c>
      <c r="F265" s="22">
        <v>0</v>
      </c>
      <c r="G265" s="21">
        <f t="shared" si="9"/>
        <v>560.30999999999995</v>
      </c>
      <c r="H265" s="22">
        <v>0</v>
      </c>
      <c r="I265" s="23" t="str">
        <f t="shared" si="10"/>
        <v xml:space="preserve">COM VALOR</v>
      </c>
      <c r="J265" s="19"/>
      <c r="L265" s="21">
        <v>571.5</v>
      </c>
      <c r="M265" s="22">
        <v>0</v>
      </c>
      <c r="N265" s="21">
        <v>560.30999999999995</v>
      </c>
      <c r="O265" s="22">
        <v>0</v>
      </c>
    </row>
    <row r="266" ht="38.25">
      <c r="A266" t="s">
        <v>134</v>
      </c>
      <c r="B266" s="19">
        <v>87349</v>
      </c>
      <c r="C266" s="20" t="s">
        <v>292</v>
      </c>
      <c r="D266" s="19" t="s">
        <v>121</v>
      </c>
      <c r="E266" s="21">
        <f t="shared" si="8"/>
        <v>473.41000000000003</v>
      </c>
      <c r="F266" s="22">
        <v>0</v>
      </c>
      <c r="G266" s="21">
        <f t="shared" si="9"/>
        <v>468.36000000000001</v>
      </c>
      <c r="H266" s="22">
        <v>0</v>
      </c>
      <c r="I266" s="23" t="str">
        <f t="shared" si="10"/>
        <v xml:space="preserve">COM VALOR</v>
      </c>
      <c r="J266" s="19"/>
      <c r="L266" s="21">
        <v>473.41000000000003</v>
      </c>
      <c r="M266" s="22">
        <v>0</v>
      </c>
      <c r="N266" s="21">
        <v>468.36000000000001</v>
      </c>
      <c r="O266" s="22">
        <v>0</v>
      </c>
    </row>
    <row r="267" ht="51">
      <c r="A267" t="s">
        <v>134</v>
      </c>
      <c r="B267" s="19">
        <v>87365</v>
      </c>
      <c r="C267" s="20" t="s">
        <v>293</v>
      </c>
      <c r="D267" s="19" t="s">
        <v>121</v>
      </c>
      <c r="E267" s="21">
        <f t="shared" ref="E267:E330" si="11">IF(L267=0,"VERIFICAR",L267)</f>
        <v>548.08000000000004</v>
      </c>
      <c r="F267" s="22">
        <v>0</v>
      </c>
      <c r="G267" s="21">
        <f t="shared" ref="G267:G330" si="12">IF(N267=0,"VERIFICAR",N267)</f>
        <v>535.01999999999998</v>
      </c>
      <c r="H267" s="22">
        <v>0</v>
      </c>
      <c r="I267" s="23" t="str">
        <f t="shared" ref="I267:I330" si="13">IF(OR(E267=0,G267=0),"SEM VALOR","COM VALOR")</f>
        <v xml:space="preserve">COM VALOR</v>
      </c>
      <c r="J267" s="19"/>
      <c r="L267" s="21">
        <v>548.08000000000004</v>
      </c>
      <c r="M267" s="22">
        <v>0</v>
      </c>
      <c r="N267" s="21">
        <v>535.01999999999998</v>
      </c>
      <c r="O267" s="22">
        <v>0</v>
      </c>
    </row>
    <row r="268" ht="51">
      <c r="A268" t="s">
        <v>134</v>
      </c>
      <c r="B268" s="19">
        <v>100447</v>
      </c>
      <c r="C268" s="20" t="s">
        <v>294</v>
      </c>
      <c r="D268" s="19" t="s">
        <v>121</v>
      </c>
      <c r="E268" s="21" t="str">
        <f t="shared" si="11"/>
        <v>VERIFICAR</v>
      </c>
      <c r="F268" s="22"/>
      <c r="G268" s="21" t="str">
        <f t="shared" si="12"/>
        <v>VERIFICAR</v>
      </c>
      <c r="H268" s="22"/>
      <c r="I268" s="23" t="str">
        <f t="shared" si="13"/>
        <v xml:space="preserve">COM VALOR</v>
      </c>
      <c r="J268" s="19"/>
      <c r="L268" s="21">
        <v>0</v>
      </c>
      <c r="M268" s="22"/>
      <c r="N268" s="21">
        <v>0</v>
      </c>
      <c r="O268" s="22"/>
    </row>
    <row r="269" ht="51">
      <c r="A269" t="s">
        <v>134</v>
      </c>
      <c r="B269" s="19">
        <v>87280</v>
      </c>
      <c r="C269" s="20" t="s">
        <v>295</v>
      </c>
      <c r="D269" s="19" t="s">
        <v>121</v>
      </c>
      <c r="E269" s="21">
        <f t="shared" si="11"/>
        <v>441.36000000000001</v>
      </c>
      <c r="F269" s="22">
        <v>0</v>
      </c>
      <c r="G269" s="21">
        <f t="shared" si="12"/>
        <v>433.31</v>
      </c>
      <c r="H269" s="22">
        <v>0</v>
      </c>
      <c r="I269" s="23" t="str">
        <f t="shared" si="13"/>
        <v xml:space="preserve">COM VALOR</v>
      </c>
      <c r="J269" s="19"/>
      <c r="L269" s="21">
        <v>441.36000000000001</v>
      </c>
      <c r="M269" s="22">
        <v>0</v>
      </c>
      <c r="N269" s="21">
        <v>433.31</v>
      </c>
      <c r="O269" s="22">
        <v>0</v>
      </c>
    </row>
    <row r="270" ht="51">
      <c r="A270" t="s">
        <v>134</v>
      </c>
      <c r="B270" s="19">
        <v>87281</v>
      </c>
      <c r="C270" s="20" t="s">
        <v>296</v>
      </c>
      <c r="D270" s="19" t="s">
        <v>121</v>
      </c>
      <c r="E270" s="21">
        <f t="shared" si="11"/>
        <v>428.27999999999997</v>
      </c>
      <c r="F270" s="22">
        <v>0</v>
      </c>
      <c r="G270" s="21">
        <f t="shared" si="12"/>
        <v>421.52999999999997</v>
      </c>
      <c r="H270" s="22">
        <v>0</v>
      </c>
      <c r="I270" s="23" t="str">
        <f t="shared" si="13"/>
        <v xml:space="preserve">COM VALOR</v>
      </c>
      <c r="J270" s="19"/>
      <c r="L270" s="21">
        <v>428.27999999999997</v>
      </c>
      <c r="M270" s="22">
        <v>0</v>
      </c>
      <c r="N270" s="21">
        <v>421.52999999999997</v>
      </c>
      <c r="O270" s="22">
        <v>0</v>
      </c>
    </row>
    <row r="271" ht="63.75">
      <c r="A271" t="s">
        <v>134</v>
      </c>
      <c r="B271" s="19">
        <v>87327</v>
      </c>
      <c r="C271" s="20" t="s">
        <v>297</v>
      </c>
      <c r="D271" s="19" t="s">
        <v>121</v>
      </c>
      <c r="E271" s="21">
        <f t="shared" si="11"/>
        <v>471.17000000000002</v>
      </c>
      <c r="F271" s="22">
        <v>0</v>
      </c>
      <c r="G271" s="21">
        <f t="shared" si="12"/>
        <v>461.42000000000002</v>
      </c>
      <c r="H271" s="22">
        <v>0</v>
      </c>
      <c r="I271" s="23" t="str">
        <f t="shared" si="13"/>
        <v xml:space="preserve">COM VALOR</v>
      </c>
      <c r="J271" s="19"/>
      <c r="L271" s="21">
        <v>471.17000000000002</v>
      </c>
      <c r="M271" s="22">
        <v>0</v>
      </c>
      <c r="N271" s="21">
        <v>461.42000000000002</v>
      </c>
      <c r="O271" s="22">
        <v>0</v>
      </c>
    </row>
    <row r="272" ht="63.75">
      <c r="A272" t="s">
        <v>134</v>
      </c>
      <c r="B272" s="19">
        <v>87328</v>
      </c>
      <c r="C272" s="20" t="s">
        <v>298</v>
      </c>
      <c r="D272" s="19" t="s">
        <v>121</v>
      </c>
      <c r="E272" s="21">
        <f t="shared" si="11"/>
        <v>394.76999999999998</v>
      </c>
      <c r="F272" s="22">
        <v>0</v>
      </c>
      <c r="G272" s="21">
        <f t="shared" si="12"/>
        <v>389.63999999999999</v>
      </c>
      <c r="H272" s="22">
        <v>0</v>
      </c>
      <c r="I272" s="23" t="str">
        <f t="shared" si="13"/>
        <v xml:space="preserve">COM VALOR</v>
      </c>
      <c r="J272" s="19"/>
      <c r="L272" s="21">
        <v>394.76999999999998</v>
      </c>
      <c r="M272" s="22">
        <v>0</v>
      </c>
      <c r="N272" s="21">
        <v>389.63999999999999</v>
      </c>
      <c r="O272" s="22">
        <v>0</v>
      </c>
    </row>
    <row r="273" ht="25.5">
      <c r="A273" t="s">
        <v>134</v>
      </c>
      <c r="B273" s="19">
        <v>87410</v>
      </c>
      <c r="C273" s="20" t="s">
        <v>299</v>
      </c>
      <c r="D273" s="19" t="s">
        <v>121</v>
      </c>
      <c r="E273" s="21">
        <f t="shared" si="11"/>
        <v>895.82000000000005</v>
      </c>
      <c r="F273" s="22">
        <v>0</v>
      </c>
      <c r="G273" s="21">
        <f t="shared" si="12"/>
        <v>885.95000000000005</v>
      </c>
      <c r="H273" s="22">
        <v>0</v>
      </c>
      <c r="I273" s="23" t="str">
        <f t="shared" si="13"/>
        <v xml:space="preserve">COM VALOR</v>
      </c>
      <c r="J273" s="19"/>
      <c r="L273" s="21">
        <v>895.82000000000005</v>
      </c>
      <c r="M273" s="22">
        <v>0</v>
      </c>
      <c r="N273" s="21">
        <v>885.95000000000005</v>
      </c>
      <c r="O273" s="22">
        <v>0</v>
      </c>
    </row>
    <row r="274" ht="25.5">
      <c r="A274" t="s">
        <v>300</v>
      </c>
      <c r="B274" s="19">
        <v>95577</v>
      </c>
      <c r="C274" s="20" t="s">
        <v>301</v>
      </c>
      <c r="D274" s="19" t="s">
        <v>302</v>
      </c>
      <c r="E274" s="21">
        <f t="shared" si="11"/>
        <v>10.380000000000001</v>
      </c>
      <c r="F274" s="22">
        <v>1.e-002</v>
      </c>
      <c r="G274" s="21">
        <f t="shared" si="12"/>
        <v>10.31</v>
      </c>
      <c r="H274" s="22">
        <v>1.e-002</v>
      </c>
      <c r="I274" s="23" t="str">
        <f t="shared" si="13"/>
        <v xml:space="preserve">COM VALOR</v>
      </c>
      <c r="J274" s="19"/>
      <c r="L274" s="21">
        <v>10.380000000000001</v>
      </c>
      <c r="M274" s="22">
        <v>1.e-002</v>
      </c>
      <c r="N274" s="21">
        <v>10.31</v>
      </c>
      <c r="O274" s="22">
        <v>1.e-002</v>
      </c>
    </row>
    <row r="275" ht="25.5">
      <c r="A275" t="s">
        <v>300</v>
      </c>
      <c r="B275" s="19">
        <v>95578</v>
      </c>
      <c r="C275" s="20" t="s">
        <v>303</v>
      </c>
      <c r="D275" s="19" t="s">
        <v>302</v>
      </c>
      <c r="E275" s="21">
        <f t="shared" si="11"/>
        <v>8.6099999999999994</v>
      </c>
      <c r="F275" s="22">
        <v>1.e-002</v>
      </c>
      <c r="G275" s="21">
        <f t="shared" si="12"/>
        <v>8.5700000000000003</v>
      </c>
      <c r="H275" s="22">
        <v>1.e-002</v>
      </c>
      <c r="I275" s="23" t="str">
        <f t="shared" si="13"/>
        <v xml:space="preserve">COM VALOR</v>
      </c>
      <c r="J275" s="19"/>
      <c r="L275" s="21">
        <v>8.6099999999999994</v>
      </c>
      <c r="M275" s="22">
        <v>1.e-002</v>
      </c>
      <c r="N275" s="21">
        <v>8.5700000000000003</v>
      </c>
      <c r="O275" s="22">
        <v>1.e-002</v>
      </c>
    </row>
    <row r="276" ht="25.5">
      <c r="A276" t="s">
        <v>300</v>
      </c>
      <c r="B276" s="19">
        <v>95579</v>
      </c>
      <c r="C276" s="20" t="s">
        <v>304</v>
      </c>
      <c r="D276" s="19" t="s">
        <v>302</v>
      </c>
      <c r="E276" s="21">
        <f t="shared" si="11"/>
        <v>8.2899999999999991</v>
      </c>
      <c r="F276" s="22">
        <v>0</v>
      </c>
      <c r="G276" s="21">
        <f t="shared" si="12"/>
        <v>8.2699999999999996</v>
      </c>
      <c r="H276" s="22">
        <v>0</v>
      </c>
      <c r="I276" s="23" t="str">
        <f t="shared" si="13"/>
        <v xml:space="preserve">COM VALOR</v>
      </c>
      <c r="J276" s="19"/>
      <c r="L276" s="21">
        <v>8.2899999999999991</v>
      </c>
      <c r="M276" s="22">
        <v>0</v>
      </c>
      <c r="N276" s="21">
        <v>8.2699999999999996</v>
      </c>
      <c r="O276" s="22">
        <v>0</v>
      </c>
    </row>
    <row r="277" ht="25.5">
      <c r="A277" t="s">
        <v>300</v>
      </c>
      <c r="B277" s="19">
        <v>95580</v>
      </c>
      <c r="C277" s="20" t="s">
        <v>305</v>
      </c>
      <c r="D277" s="19" t="s">
        <v>302</v>
      </c>
      <c r="E277" s="21">
        <f t="shared" si="11"/>
        <v>9.5399999999999991</v>
      </c>
      <c r="F277" s="22">
        <v>0</v>
      </c>
      <c r="G277" s="21">
        <f t="shared" si="12"/>
        <v>9.5199999999999996</v>
      </c>
      <c r="H277" s="22">
        <v>0</v>
      </c>
      <c r="I277" s="23" t="str">
        <f t="shared" si="13"/>
        <v xml:space="preserve">COM VALOR</v>
      </c>
      <c r="J277" s="19"/>
      <c r="L277" s="21">
        <v>9.5399999999999991</v>
      </c>
      <c r="M277" s="22">
        <v>0</v>
      </c>
      <c r="N277" s="21">
        <v>9.5199999999999996</v>
      </c>
      <c r="O277" s="22">
        <v>0</v>
      </c>
    </row>
    <row r="278" ht="25.5">
      <c r="A278" t="s">
        <v>300</v>
      </c>
      <c r="B278" s="19">
        <v>95581</v>
      </c>
      <c r="C278" s="20" t="s">
        <v>306</v>
      </c>
      <c r="D278" s="19" t="s">
        <v>302</v>
      </c>
      <c r="E278" s="21">
        <f t="shared" si="11"/>
        <v>9.5</v>
      </c>
      <c r="F278" s="22">
        <v>0</v>
      </c>
      <c r="G278" s="21">
        <f t="shared" si="12"/>
        <v>9.4800000000000004</v>
      </c>
      <c r="H278" s="22">
        <v>0</v>
      </c>
      <c r="I278" s="23" t="str">
        <f t="shared" si="13"/>
        <v xml:space="preserve">COM VALOR</v>
      </c>
      <c r="J278" s="19"/>
      <c r="L278" s="21">
        <v>9.5</v>
      </c>
      <c r="M278" s="22">
        <v>0</v>
      </c>
      <c r="N278" s="21">
        <v>9.4800000000000004</v>
      </c>
      <c r="O278" s="22">
        <v>0</v>
      </c>
    </row>
    <row r="279" ht="25.5">
      <c r="A279" t="s">
        <v>300</v>
      </c>
      <c r="B279" s="19">
        <v>95582</v>
      </c>
      <c r="C279" s="20" t="s">
        <v>307</v>
      </c>
      <c r="D279" s="19" t="s">
        <v>302</v>
      </c>
      <c r="E279" s="21">
        <f t="shared" si="11"/>
        <v>10.34</v>
      </c>
      <c r="F279" s="22">
        <v>0</v>
      </c>
      <c r="G279" s="21">
        <f t="shared" si="12"/>
        <v>10.33</v>
      </c>
      <c r="H279" s="22">
        <v>0</v>
      </c>
      <c r="I279" s="23" t="str">
        <f t="shared" si="13"/>
        <v xml:space="preserve">COM VALOR</v>
      </c>
      <c r="J279" s="19"/>
      <c r="L279" s="21">
        <v>10.34</v>
      </c>
      <c r="M279" s="22">
        <v>0</v>
      </c>
      <c r="N279" s="21">
        <v>10.33</v>
      </c>
      <c r="O279" s="22">
        <v>0</v>
      </c>
    </row>
    <row r="280" ht="25.5">
      <c r="A280" t="s">
        <v>300</v>
      </c>
      <c r="B280" s="19">
        <v>95576</v>
      </c>
      <c r="C280" s="20" t="s">
        <v>308</v>
      </c>
      <c r="D280" s="19" t="s">
        <v>302</v>
      </c>
      <c r="E280" s="21">
        <f t="shared" si="11"/>
        <v>12.31</v>
      </c>
      <c r="F280" s="22">
        <v>1.e-002</v>
      </c>
      <c r="G280" s="21">
        <f t="shared" si="12"/>
        <v>12.16</v>
      </c>
      <c r="H280" s="22">
        <v>1.e-002</v>
      </c>
      <c r="I280" s="23" t="str">
        <f t="shared" si="13"/>
        <v xml:space="preserve">COM VALOR</v>
      </c>
      <c r="J280" s="19"/>
      <c r="L280" s="21">
        <v>12.31</v>
      </c>
      <c r="M280" s="22">
        <v>1.e-002</v>
      </c>
      <c r="N280" s="21">
        <v>12.16</v>
      </c>
      <c r="O280" s="22">
        <v>1.e-002</v>
      </c>
    </row>
    <row r="281" ht="25.5">
      <c r="A281" t="s">
        <v>300</v>
      </c>
      <c r="B281" s="19">
        <v>95583</v>
      </c>
      <c r="C281" s="20" t="s">
        <v>309</v>
      </c>
      <c r="D281" s="19" t="s">
        <v>302</v>
      </c>
      <c r="E281" s="21">
        <f t="shared" si="11"/>
        <v>15.800000000000001</v>
      </c>
      <c r="F281" s="22">
        <v>2.e-002</v>
      </c>
      <c r="G281" s="21">
        <f t="shared" si="12"/>
        <v>15.390000000000001</v>
      </c>
      <c r="H281" s="22">
        <v>2.e-002</v>
      </c>
      <c r="I281" s="23" t="str">
        <f t="shared" si="13"/>
        <v xml:space="preserve">COM VALOR</v>
      </c>
      <c r="J281" s="19"/>
      <c r="L281" s="21">
        <v>15.800000000000001</v>
      </c>
      <c r="M281" s="22">
        <v>2.e-002</v>
      </c>
      <c r="N281" s="21">
        <v>15.390000000000001</v>
      </c>
      <c r="O281" s="22">
        <v>2.e-002</v>
      </c>
    </row>
    <row r="282" ht="25.5">
      <c r="A282" t="s">
        <v>300</v>
      </c>
      <c r="B282" s="19">
        <v>95584</v>
      </c>
      <c r="C282" s="20" t="s">
        <v>310</v>
      </c>
      <c r="D282" s="19" t="s">
        <v>302</v>
      </c>
      <c r="E282" s="21">
        <f t="shared" si="11"/>
        <v>13.76</v>
      </c>
      <c r="F282" s="22">
        <v>2.e-002</v>
      </c>
      <c r="G282" s="21">
        <f t="shared" si="12"/>
        <v>13.52</v>
      </c>
      <c r="H282" s="22">
        <v>2.e-002</v>
      </c>
      <c r="I282" s="23" t="str">
        <f t="shared" si="13"/>
        <v xml:space="preserve">COM VALOR</v>
      </c>
      <c r="J282" s="19"/>
      <c r="L282" s="21">
        <v>13.76</v>
      </c>
      <c r="M282" s="22">
        <v>2.e-002</v>
      </c>
      <c r="N282" s="21">
        <v>13.52</v>
      </c>
      <c r="O282" s="22">
        <v>2.e-002</v>
      </c>
    </row>
    <row r="283" ht="25.5">
      <c r="A283" t="s">
        <v>300</v>
      </c>
      <c r="B283" s="19">
        <v>95593</v>
      </c>
      <c r="C283" s="20" t="s">
        <v>311</v>
      </c>
      <c r="D283" s="19" t="s">
        <v>302</v>
      </c>
      <c r="E283" s="21">
        <f t="shared" si="11"/>
        <v>13.76</v>
      </c>
      <c r="F283" s="22">
        <v>2.e-002</v>
      </c>
      <c r="G283" s="21">
        <f t="shared" si="12"/>
        <v>13.52</v>
      </c>
      <c r="H283" s="22">
        <v>2.e-002</v>
      </c>
      <c r="I283" s="23" t="str">
        <f t="shared" si="13"/>
        <v xml:space="preserve">COM VALOR</v>
      </c>
      <c r="J283" s="19"/>
      <c r="L283" s="21">
        <v>13.76</v>
      </c>
      <c r="M283" s="22">
        <v>2.e-002</v>
      </c>
      <c r="N283" s="21">
        <v>13.52</v>
      </c>
      <c r="O283" s="22">
        <v>2.e-002</v>
      </c>
    </row>
    <row r="284" ht="25.5">
      <c r="A284" t="s">
        <v>300</v>
      </c>
      <c r="B284" s="19">
        <v>95592</v>
      </c>
      <c r="C284" s="20" t="s">
        <v>312</v>
      </c>
      <c r="D284" s="19" t="s">
        <v>302</v>
      </c>
      <c r="E284" s="21">
        <f t="shared" si="11"/>
        <v>15.800000000000001</v>
      </c>
      <c r="F284" s="22">
        <v>2.e-002</v>
      </c>
      <c r="G284" s="21">
        <f t="shared" si="12"/>
        <v>15.390000000000001</v>
      </c>
      <c r="H284" s="22">
        <v>2.e-002</v>
      </c>
      <c r="I284" s="23" t="str">
        <f t="shared" si="13"/>
        <v xml:space="preserve">COM VALOR</v>
      </c>
      <c r="J284" s="19"/>
      <c r="L284" s="21">
        <v>15.800000000000001</v>
      </c>
      <c r="M284" s="22">
        <v>2.e-002</v>
      </c>
      <c r="N284" s="21">
        <v>15.390000000000001</v>
      </c>
      <c r="O284" s="22">
        <v>2.e-002</v>
      </c>
    </row>
    <row r="285" ht="38.25">
      <c r="A285" t="s">
        <v>313</v>
      </c>
      <c r="B285" s="19">
        <v>92919</v>
      </c>
      <c r="C285" s="20" t="s">
        <v>314</v>
      </c>
      <c r="D285" s="19" t="s">
        <v>302</v>
      </c>
      <c r="E285" s="21">
        <f t="shared" si="11"/>
        <v>11.74</v>
      </c>
      <c r="F285" s="22">
        <v>1.e-002</v>
      </c>
      <c r="G285" s="21">
        <f t="shared" si="12"/>
        <v>11.6</v>
      </c>
      <c r="H285" s="22">
        <v>1.e-002</v>
      </c>
      <c r="I285" s="23" t="str">
        <f t="shared" si="13"/>
        <v xml:space="preserve">COM VALOR</v>
      </c>
      <c r="J285" s="19"/>
      <c r="L285" s="21">
        <v>11.74</v>
      </c>
      <c r="M285" s="22">
        <v>1.e-002</v>
      </c>
      <c r="N285" s="21">
        <v>11.6</v>
      </c>
      <c r="O285" s="22">
        <v>1.e-002</v>
      </c>
    </row>
    <row r="286" ht="38.25">
      <c r="A286" t="s">
        <v>313</v>
      </c>
      <c r="B286" s="19">
        <v>92921</v>
      </c>
      <c r="C286" s="20" t="s">
        <v>315</v>
      </c>
      <c r="D286" s="19" t="s">
        <v>302</v>
      </c>
      <c r="E286" s="21">
        <f t="shared" si="11"/>
        <v>9.6400000000000006</v>
      </c>
      <c r="F286" s="22">
        <v>1.e-002</v>
      </c>
      <c r="G286" s="21">
        <f t="shared" si="12"/>
        <v>9.5399999999999991</v>
      </c>
      <c r="H286" s="22">
        <v>1.e-002</v>
      </c>
      <c r="I286" s="23" t="str">
        <f t="shared" si="13"/>
        <v xml:space="preserve">COM VALOR</v>
      </c>
      <c r="J286" s="19"/>
      <c r="L286" s="21">
        <v>9.6400000000000006</v>
      </c>
      <c r="M286" s="22">
        <v>1.e-002</v>
      </c>
      <c r="N286" s="21">
        <v>9.5399999999999991</v>
      </c>
      <c r="O286" s="22">
        <v>1.e-002</v>
      </c>
    </row>
    <row r="287" ht="38.25">
      <c r="A287" t="s">
        <v>313</v>
      </c>
      <c r="B287" s="19">
        <v>92922</v>
      </c>
      <c r="C287" s="20" t="s">
        <v>316</v>
      </c>
      <c r="D287" s="19" t="s">
        <v>302</v>
      </c>
      <c r="E287" s="21">
        <f t="shared" si="11"/>
        <v>9.1699999999999999</v>
      </c>
      <c r="F287" s="22">
        <v>0</v>
      </c>
      <c r="G287" s="21">
        <f t="shared" si="12"/>
        <v>9.0899999999999999</v>
      </c>
      <c r="H287" s="22">
        <v>0</v>
      </c>
      <c r="I287" s="23" t="str">
        <f t="shared" si="13"/>
        <v xml:space="preserve">COM VALOR</v>
      </c>
      <c r="J287" s="19"/>
      <c r="L287" s="21">
        <v>9.1699999999999999</v>
      </c>
      <c r="M287" s="22">
        <v>0</v>
      </c>
      <c r="N287" s="21">
        <v>9.0899999999999999</v>
      </c>
      <c r="O287" s="22">
        <v>0</v>
      </c>
    </row>
    <row r="288" ht="38.25">
      <c r="A288" t="s">
        <v>313</v>
      </c>
      <c r="B288" s="19">
        <v>92923</v>
      </c>
      <c r="C288" s="20" t="s">
        <v>317</v>
      </c>
      <c r="D288" s="19" t="s">
        <v>302</v>
      </c>
      <c r="E288" s="21">
        <f t="shared" si="11"/>
        <v>10.23</v>
      </c>
      <c r="F288" s="22">
        <v>0</v>
      </c>
      <c r="G288" s="21">
        <f t="shared" si="12"/>
        <v>10.18</v>
      </c>
      <c r="H288" s="22">
        <v>0</v>
      </c>
      <c r="I288" s="23" t="str">
        <f t="shared" si="13"/>
        <v xml:space="preserve">COM VALOR</v>
      </c>
      <c r="J288" s="19"/>
      <c r="L288" s="21">
        <v>10.23</v>
      </c>
      <c r="M288" s="22">
        <v>0</v>
      </c>
      <c r="N288" s="21">
        <v>10.18</v>
      </c>
      <c r="O288" s="22">
        <v>0</v>
      </c>
    </row>
    <row r="289" ht="38.25">
      <c r="A289" t="s">
        <v>313</v>
      </c>
      <c r="B289" s="19">
        <v>92924</v>
      </c>
      <c r="C289" s="20" t="s">
        <v>318</v>
      </c>
      <c r="D289" s="19" t="s">
        <v>302</v>
      </c>
      <c r="E289" s="21">
        <f t="shared" si="11"/>
        <v>10.039999999999999</v>
      </c>
      <c r="F289" s="22">
        <v>0</v>
      </c>
      <c r="G289" s="21">
        <f t="shared" si="12"/>
        <v>9.9800000000000004</v>
      </c>
      <c r="H289" s="22">
        <v>0</v>
      </c>
      <c r="I289" s="23" t="str">
        <f t="shared" si="13"/>
        <v xml:space="preserve">COM VALOR</v>
      </c>
      <c r="J289" s="19"/>
      <c r="L289" s="21">
        <v>10.039999999999999</v>
      </c>
      <c r="M289" s="22">
        <v>0</v>
      </c>
      <c r="N289" s="21">
        <v>9.9800000000000004</v>
      </c>
      <c r="O289" s="22">
        <v>0</v>
      </c>
    </row>
    <row r="290" ht="38.25">
      <c r="A290" t="s">
        <v>313</v>
      </c>
      <c r="B290" s="19">
        <v>104104</v>
      </c>
      <c r="C290" s="20" t="s">
        <v>319</v>
      </c>
      <c r="D290" s="19" t="s">
        <v>302</v>
      </c>
      <c r="E290" s="21">
        <f t="shared" si="11"/>
        <v>10.48</v>
      </c>
      <c r="F290" s="22">
        <v>0</v>
      </c>
      <c r="G290" s="21">
        <f t="shared" si="12"/>
        <v>10.470000000000001</v>
      </c>
      <c r="H290" s="22">
        <v>0</v>
      </c>
      <c r="I290" s="23" t="str">
        <f t="shared" si="13"/>
        <v xml:space="preserve">COM VALOR</v>
      </c>
      <c r="J290" s="19"/>
      <c r="L290" s="21">
        <v>10.48</v>
      </c>
      <c r="M290" s="22">
        <v>0</v>
      </c>
      <c r="N290" s="21">
        <v>10.470000000000001</v>
      </c>
      <c r="O290" s="22">
        <v>0</v>
      </c>
    </row>
    <row r="291" ht="38.25">
      <c r="A291" t="s">
        <v>313</v>
      </c>
      <c r="B291" s="19">
        <v>92916</v>
      </c>
      <c r="C291" s="20" t="s">
        <v>320</v>
      </c>
      <c r="D291" s="19" t="s">
        <v>302</v>
      </c>
      <c r="E291" s="21">
        <f t="shared" si="11"/>
        <v>15</v>
      </c>
      <c r="F291" s="22">
        <v>1.e-002</v>
      </c>
      <c r="G291" s="21">
        <f t="shared" si="12"/>
        <v>14.69</v>
      </c>
      <c r="H291" s="22">
        <v>1.e-002</v>
      </c>
      <c r="I291" s="23" t="str">
        <f t="shared" si="13"/>
        <v xml:space="preserve">COM VALOR</v>
      </c>
      <c r="J291" s="19"/>
      <c r="L291" s="21">
        <v>15</v>
      </c>
      <c r="M291" s="22">
        <v>1.e-002</v>
      </c>
      <c r="N291" s="21">
        <v>14.69</v>
      </c>
      <c r="O291" s="22">
        <v>1.e-002</v>
      </c>
    </row>
    <row r="292" ht="38.25">
      <c r="A292" t="s">
        <v>313</v>
      </c>
      <c r="B292" s="19">
        <v>92917</v>
      </c>
      <c r="C292" s="20" t="s">
        <v>321</v>
      </c>
      <c r="D292" s="19" t="s">
        <v>302</v>
      </c>
      <c r="E292" s="21">
        <f t="shared" si="11"/>
        <v>13.529999999999999</v>
      </c>
      <c r="F292" s="22">
        <v>1.e-002</v>
      </c>
      <c r="G292" s="21">
        <f t="shared" si="12"/>
        <v>13.31</v>
      </c>
      <c r="H292" s="22">
        <v>1.e-002</v>
      </c>
      <c r="I292" s="23" t="str">
        <f t="shared" si="13"/>
        <v xml:space="preserve">COM VALOR</v>
      </c>
      <c r="J292" s="19"/>
      <c r="L292" s="21">
        <v>13.529999999999999</v>
      </c>
      <c r="M292" s="22">
        <v>1.e-002</v>
      </c>
      <c r="N292" s="21">
        <v>13.31</v>
      </c>
      <c r="O292" s="22">
        <v>1.e-002</v>
      </c>
    </row>
    <row r="293" ht="38.25">
      <c r="A293" t="s">
        <v>313</v>
      </c>
      <c r="B293" s="19">
        <v>92915</v>
      </c>
      <c r="C293" s="20" t="s">
        <v>322</v>
      </c>
      <c r="D293" s="19" t="s">
        <v>302</v>
      </c>
      <c r="E293" s="21">
        <f t="shared" si="11"/>
        <v>16.649999999999999</v>
      </c>
      <c r="F293" s="22">
        <v>2.e-002</v>
      </c>
      <c r="G293" s="21">
        <f t="shared" si="12"/>
        <v>16.199999999999999</v>
      </c>
      <c r="H293" s="22">
        <v>2.e-002</v>
      </c>
      <c r="I293" s="23" t="str">
        <f t="shared" si="13"/>
        <v xml:space="preserve">COM VALOR</v>
      </c>
      <c r="J293" s="19"/>
      <c r="L293" s="21">
        <v>16.649999999999999</v>
      </c>
      <c r="M293" s="22">
        <v>2.e-002</v>
      </c>
      <c r="N293" s="21">
        <v>16.199999999999999</v>
      </c>
      <c r="O293" s="22">
        <v>2.e-002</v>
      </c>
    </row>
    <row r="294" ht="25.5">
      <c r="A294" t="s">
        <v>313</v>
      </c>
      <c r="B294" s="19">
        <v>92771</v>
      </c>
      <c r="C294" s="20" t="s">
        <v>323</v>
      </c>
      <c r="D294" s="19" t="s">
        <v>302</v>
      </c>
      <c r="E294" s="21">
        <f t="shared" si="11"/>
        <v>10.25</v>
      </c>
      <c r="F294" s="22">
        <v>1.e-002</v>
      </c>
      <c r="G294" s="21">
        <f t="shared" si="12"/>
        <v>10.199999999999999</v>
      </c>
      <c r="H294" s="22">
        <v>1.e-002</v>
      </c>
      <c r="I294" s="23" t="str">
        <f t="shared" si="13"/>
        <v xml:space="preserve">COM VALOR</v>
      </c>
      <c r="J294" s="19"/>
      <c r="L294" s="21">
        <v>10.25</v>
      </c>
      <c r="M294" s="22">
        <v>1.e-002</v>
      </c>
      <c r="N294" s="21">
        <v>10.199999999999999</v>
      </c>
      <c r="O294" s="22">
        <v>1.e-002</v>
      </c>
    </row>
    <row r="295" ht="25.5">
      <c r="A295" t="s">
        <v>313</v>
      </c>
      <c r="B295" s="19">
        <v>92772</v>
      </c>
      <c r="C295" s="20" t="s">
        <v>324</v>
      </c>
      <c r="D295" s="19" t="s">
        <v>302</v>
      </c>
      <c r="E295" s="21">
        <f t="shared" si="11"/>
        <v>8.5600000000000005</v>
      </c>
      <c r="F295" s="22">
        <v>0</v>
      </c>
      <c r="G295" s="21">
        <f t="shared" si="12"/>
        <v>8.5299999999999994</v>
      </c>
      <c r="H295" s="22">
        <v>0</v>
      </c>
      <c r="I295" s="23" t="str">
        <f t="shared" si="13"/>
        <v xml:space="preserve">COM VALOR</v>
      </c>
      <c r="J295" s="19"/>
      <c r="L295" s="21">
        <v>8.5600000000000005</v>
      </c>
      <c r="M295" s="22">
        <v>0</v>
      </c>
      <c r="N295" s="21">
        <v>8.5299999999999994</v>
      </c>
      <c r="O295" s="22">
        <v>0</v>
      </c>
    </row>
    <row r="296" ht="25.5">
      <c r="A296" t="s">
        <v>313</v>
      </c>
      <c r="B296" s="19">
        <v>92773</v>
      </c>
      <c r="C296" s="20" t="s">
        <v>325</v>
      </c>
      <c r="D296" s="19" t="s">
        <v>302</v>
      </c>
      <c r="E296" s="21">
        <f t="shared" si="11"/>
        <v>8.3900000000000006</v>
      </c>
      <c r="F296" s="22">
        <v>0</v>
      </c>
      <c r="G296" s="21">
        <f t="shared" si="12"/>
        <v>8.3599999999999994</v>
      </c>
      <c r="H296" s="22">
        <v>0</v>
      </c>
      <c r="I296" s="23" t="str">
        <f t="shared" si="13"/>
        <v xml:space="preserve">COM VALOR</v>
      </c>
      <c r="J296" s="19"/>
      <c r="L296" s="21">
        <v>8.3900000000000006</v>
      </c>
      <c r="M296" s="22">
        <v>0</v>
      </c>
      <c r="N296" s="21">
        <v>8.3599999999999994</v>
      </c>
      <c r="O296" s="22">
        <v>0</v>
      </c>
    </row>
    <row r="297" ht="25.5">
      <c r="A297" t="s">
        <v>313</v>
      </c>
      <c r="B297" s="19">
        <v>92774</v>
      </c>
      <c r="C297" s="20" t="s">
        <v>326</v>
      </c>
      <c r="D297" s="19" t="s">
        <v>302</v>
      </c>
      <c r="E297" s="21">
        <f t="shared" si="11"/>
        <v>9.6799999999999997</v>
      </c>
      <c r="F297" s="22">
        <v>0</v>
      </c>
      <c r="G297" s="21">
        <f t="shared" si="12"/>
        <v>9.6500000000000004</v>
      </c>
      <c r="H297" s="22">
        <v>0</v>
      </c>
      <c r="I297" s="23" t="str">
        <f t="shared" si="13"/>
        <v xml:space="preserve">COM VALOR</v>
      </c>
      <c r="J297" s="19"/>
      <c r="L297" s="21">
        <v>9.6799999999999997</v>
      </c>
      <c r="M297" s="22">
        <v>0</v>
      </c>
      <c r="N297" s="21">
        <v>9.6500000000000004</v>
      </c>
      <c r="O297" s="22">
        <v>0</v>
      </c>
    </row>
    <row r="298" ht="25.5">
      <c r="A298" t="s">
        <v>313</v>
      </c>
      <c r="B298" s="19">
        <v>92769</v>
      </c>
      <c r="C298" s="20" t="s">
        <v>327</v>
      </c>
      <c r="D298" s="19" t="s">
        <v>302</v>
      </c>
      <c r="E298" s="21">
        <f t="shared" si="11"/>
        <v>12.42</v>
      </c>
      <c r="F298" s="22">
        <v>2.e-002</v>
      </c>
      <c r="G298" s="21">
        <f t="shared" si="12"/>
        <v>12.26</v>
      </c>
      <c r="H298" s="22">
        <v>2.e-002</v>
      </c>
      <c r="I298" s="23" t="str">
        <f t="shared" si="13"/>
        <v xml:space="preserve">COM VALOR</v>
      </c>
      <c r="J298" s="19"/>
      <c r="L298" s="21">
        <v>12.42</v>
      </c>
      <c r="M298" s="22">
        <v>2.e-002</v>
      </c>
      <c r="N298" s="21">
        <v>12.26</v>
      </c>
      <c r="O298" s="22">
        <v>2.e-002</v>
      </c>
    </row>
    <row r="299" ht="25.5">
      <c r="A299" t="s">
        <v>313</v>
      </c>
      <c r="B299" s="19">
        <v>92770</v>
      </c>
      <c r="C299" s="20" t="s">
        <v>328</v>
      </c>
      <c r="D299" s="19" t="s">
        <v>302</v>
      </c>
      <c r="E299" s="21">
        <f t="shared" si="11"/>
        <v>11.57</v>
      </c>
      <c r="F299" s="22">
        <v>1.e-002</v>
      </c>
      <c r="G299" s="21">
        <f t="shared" si="12"/>
        <v>11.460000000000001</v>
      </c>
      <c r="H299" s="22">
        <v>1.e-002</v>
      </c>
      <c r="I299" s="23" t="str">
        <f t="shared" si="13"/>
        <v xml:space="preserve">COM VALOR</v>
      </c>
      <c r="J299" s="19"/>
      <c r="L299" s="21">
        <v>11.57</v>
      </c>
      <c r="M299" s="22">
        <v>1.e-002</v>
      </c>
      <c r="N299" s="21">
        <v>11.460000000000001</v>
      </c>
      <c r="O299" s="22">
        <v>1.e-002</v>
      </c>
    </row>
    <row r="300" ht="25.5">
      <c r="A300" t="s">
        <v>313</v>
      </c>
      <c r="B300" s="19">
        <v>92767</v>
      </c>
      <c r="C300" s="20" t="s">
        <v>329</v>
      </c>
      <c r="D300" s="19" t="s">
        <v>302</v>
      </c>
      <c r="E300" s="21">
        <f t="shared" si="11"/>
        <v>15.300000000000001</v>
      </c>
      <c r="F300" s="22">
        <v>4.0000000000000001e-002</v>
      </c>
      <c r="G300" s="21">
        <f t="shared" si="12"/>
        <v>14.94</v>
      </c>
      <c r="H300" s="22">
        <v>4.0000000000000001e-002</v>
      </c>
      <c r="I300" s="23" t="str">
        <f t="shared" si="13"/>
        <v xml:space="preserve">COM VALOR</v>
      </c>
      <c r="J300" s="19"/>
      <c r="L300" s="21">
        <v>15.300000000000001</v>
      </c>
      <c r="M300" s="22">
        <v>4.0000000000000001e-002</v>
      </c>
      <c r="N300" s="21">
        <v>14.94</v>
      </c>
      <c r="O300" s="22">
        <v>4.0000000000000001e-002</v>
      </c>
    </row>
    <row r="301" ht="25.5">
      <c r="A301" t="s">
        <v>313</v>
      </c>
      <c r="B301" s="19">
        <v>92768</v>
      </c>
      <c r="C301" s="20" t="s">
        <v>330</v>
      </c>
      <c r="D301" s="19" t="s">
        <v>302</v>
      </c>
      <c r="E301" s="21">
        <f t="shared" si="11"/>
        <v>13.32</v>
      </c>
      <c r="F301" s="22">
        <v>2.9999999999999999e-002</v>
      </c>
      <c r="G301" s="21">
        <f t="shared" si="12"/>
        <v>13.08</v>
      </c>
      <c r="H301" s="22">
        <v>4.0000000000000001e-002</v>
      </c>
      <c r="I301" s="23" t="str">
        <f t="shared" si="13"/>
        <v xml:space="preserve">COM VALOR</v>
      </c>
      <c r="J301" s="19"/>
      <c r="L301" s="21">
        <v>13.32</v>
      </c>
      <c r="M301" s="22">
        <v>2.9999999999999999e-002</v>
      </c>
      <c r="N301" s="21">
        <v>13.08</v>
      </c>
      <c r="O301" s="22">
        <v>4.0000000000000001e-002</v>
      </c>
    </row>
    <row r="302" ht="38.25">
      <c r="A302" t="s">
        <v>313</v>
      </c>
      <c r="B302" s="19">
        <v>92762</v>
      </c>
      <c r="C302" s="20" t="s">
        <v>331</v>
      </c>
      <c r="D302" s="19" t="s">
        <v>302</v>
      </c>
      <c r="E302" s="21">
        <f t="shared" si="11"/>
        <v>10.720000000000001</v>
      </c>
      <c r="F302" s="22">
        <v>1.e-002</v>
      </c>
      <c r="G302" s="21">
        <f t="shared" si="12"/>
        <v>10.640000000000001</v>
      </c>
      <c r="H302" s="22">
        <v>1.e-002</v>
      </c>
      <c r="I302" s="23" t="str">
        <f t="shared" si="13"/>
        <v xml:space="preserve">COM VALOR</v>
      </c>
      <c r="J302" s="19"/>
      <c r="L302" s="21">
        <v>10.720000000000001</v>
      </c>
      <c r="M302" s="22">
        <v>1.e-002</v>
      </c>
      <c r="N302" s="21">
        <v>10.640000000000001</v>
      </c>
      <c r="O302" s="22">
        <v>1.e-002</v>
      </c>
    </row>
    <row r="303" ht="38.25">
      <c r="A303" t="s">
        <v>313</v>
      </c>
      <c r="B303" s="19">
        <v>92763</v>
      </c>
      <c r="C303" s="20" t="s">
        <v>332</v>
      </c>
      <c r="D303" s="19" t="s">
        <v>302</v>
      </c>
      <c r="E303" s="21">
        <f t="shared" si="11"/>
        <v>8.9700000000000006</v>
      </c>
      <c r="F303" s="22">
        <v>1.e-002</v>
      </c>
      <c r="G303" s="21">
        <f t="shared" si="12"/>
        <v>8.9199999999999999</v>
      </c>
      <c r="H303" s="22">
        <v>1.e-002</v>
      </c>
      <c r="I303" s="23" t="str">
        <f t="shared" si="13"/>
        <v xml:space="preserve">COM VALOR</v>
      </c>
      <c r="J303" s="19"/>
      <c r="L303" s="21">
        <v>8.9700000000000006</v>
      </c>
      <c r="M303" s="22">
        <v>1.e-002</v>
      </c>
      <c r="N303" s="21">
        <v>8.9199999999999999</v>
      </c>
      <c r="O303" s="22">
        <v>1.e-002</v>
      </c>
    </row>
    <row r="304" ht="38.25">
      <c r="A304" t="s">
        <v>313</v>
      </c>
      <c r="B304" s="19">
        <v>92764</v>
      </c>
      <c r="C304" s="20" t="s">
        <v>333</v>
      </c>
      <c r="D304" s="19" t="s">
        <v>302</v>
      </c>
      <c r="E304" s="21">
        <f t="shared" si="11"/>
        <v>8.6600000000000001</v>
      </c>
      <c r="F304" s="22">
        <v>0</v>
      </c>
      <c r="G304" s="21">
        <f t="shared" si="12"/>
        <v>8.6199999999999992</v>
      </c>
      <c r="H304" s="22">
        <v>0</v>
      </c>
      <c r="I304" s="23" t="str">
        <f t="shared" si="13"/>
        <v xml:space="preserve">COM VALOR</v>
      </c>
      <c r="J304" s="19"/>
      <c r="L304" s="21">
        <v>8.6600000000000001</v>
      </c>
      <c r="M304" s="22">
        <v>0</v>
      </c>
      <c r="N304" s="21">
        <v>8.6199999999999992</v>
      </c>
      <c r="O304" s="22">
        <v>0</v>
      </c>
    </row>
    <row r="305" ht="38.25">
      <c r="A305" t="s">
        <v>313</v>
      </c>
      <c r="B305" s="19">
        <v>92765</v>
      </c>
      <c r="C305" s="20" t="s">
        <v>334</v>
      </c>
      <c r="D305" s="19" t="s">
        <v>302</v>
      </c>
      <c r="E305" s="21">
        <f t="shared" si="11"/>
        <v>9.8399999999999999</v>
      </c>
      <c r="F305" s="22">
        <v>0</v>
      </c>
      <c r="G305" s="21">
        <f t="shared" si="12"/>
        <v>9.8100000000000005</v>
      </c>
      <c r="H305" s="22">
        <v>0</v>
      </c>
      <c r="I305" s="23" t="str">
        <f t="shared" si="13"/>
        <v xml:space="preserve">COM VALOR</v>
      </c>
      <c r="J305" s="19"/>
      <c r="L305" s="21">
        <v>9.8399999999999999</v>
      </c>
      <c r="M305" s="22">
        <v>0</v>
      </c>
      <c r="N305" s="21">
        <v>9.8100000000000005</v>
      </c>
      <c r="O305" s="22">
        <v>0</v>
      </c>
    </row>
    <row r="306" ht="38.25">
      <c r="A306" t="s">
        <v>313</v>
      </c>
      <c r="B306" s="19">
        <v>92766</v>
      </c>
      <c r="C306" s="20" t="s">
        <v>335</v>
      </c>
      <c r="D306" s="19" t="s">
        <v>302</v>
      </c>
      <c r="E306" s="21">
        <f t="shared" si="11"/>
        <v>9.7200000000000006</v>
      </c>
      <c r="F306" s="22">
        <v>0</v>
      </c>
      <c r="G306" s="21">
        <f t="shared" si="12"/>
        <v>9.6999999999999993</v>
      </c>
      <c r="H306" s="22">
        <v>0</v>
      </c>
      <c r="I306" s="23" t="str">
        <f t="shared" si="13"/>
        <v xml:space="preserve">COM VALOR</v>
      </c>
      <c r="J306" s="19"/>
      <c r="L306" s="21">
        <v>9.7200000000000006</v>
      </c>
      <c r="M306" s="22">
        <v>0</v>
      </c>
      <c r="N306" s="21">
        <v>9.6999999999999993</v>
      </c>
      <c r="O306" s="22">
        <v>0</v>
      </c>
    </row>
    <row r="307" ht="25.5">
      <c r="A307" t="s">
        <v>313</v>
      </c>
      <c r="B307" s="19">
        <v>104105</v>
      </c>
      <c r="C307" s="20" t="s">
        <v>336</v>
      </c>
      <c r="D307" s="19" t="s">
        <v>302</v>
      </c>
      <c r="E307" s="21">
        <f t="shared" si="11"/>
        <v>10.49</v>
      </c>
      <c r="F307" s="22">
        <v>0</v>
      </c>
      <c r="G307" s="21">
        <f t="shared" si="12"/>
        <v>10.470000000000001</v>
      </c>
      <c r="H307" s="22">
        <v>0</v>
      </c>
      <c r="I307" s="23" t="str">
        <f t="shared" si="13"/>
        <v xml:space="preserve">COM VALOR</v>
      </c>
      <c r="J307" s="19"/>
      <c r="L307" s="21">
        <v>10.49</v>
      </c>
      <c r="M307" s="22">
        <v>0</v>
      </c>
      <c r="N307" s="21">
        <v>10.470000000000001</v>
      </c>
      <c r="O307" s="22">
        <v>0</v>
      </c>
    </row>
    <row r="308" ht="38.25">
      <c r="A308" t="s">
        <v>313</v>
      </c>
      <c r="B308" s="19">
        <v>92760</v>
      </c>
      <c r="C308" s="20" t="s">
        <v>337</v>
      </c>
      <c r="D308" s="19" t="s">
        <v>302</v>
      </c>
      <c r="E308" s="21">
        <f t="shared" si="11"/>
        <v>12.960000000000001</v>
      </c>
      <c r="F308" s="22">
        <v>2.e-002</v>
      </c>
      <c r="G308" s="21">
        <f t="shared" si="12"/>
        <v>12.76</v>
      </c>
      <c r="H308" s="22">
        <v>2.e-002</v>
      </c>
      <c r="I308" s="23" t="str">
        <f t="shared" si="13"/>
        <v xml:space="preserve">COM VALOR</v>
      </c>
      <c r="J308" s="19"/>
      <c r="L308" s="21">
        <v>12.960000000000001</v>
      </c>
      <c r="M308" s="22">
        <v>2.e-002</v>
      </c>
      <c r="N308" s="21">
        <v>12.76</v>
      </c>
      <c r="O308" s="22">
        <v>2.e-002</v>
      </c>
    </row>
    <row r="309" ht="38.25">
      <c r="A309" t="s">
        <v>313</v>
      </c>
      <c r="B309" s="19">
        <v>92761</v>
      </c>
      <c r="C309" s="20" t="s">
        <v>338</v>
      </c>
      <c r="D309" s="19" t="s">
        <v>302</v>
      </c>
      <c r="E309" s="21">
        <f t="shared" si="11"/>
        <v>12.07</v>
      </c>
      <c r="F309" s="22">
        <v>1.e-002</v>
      </c>
      <c r="G309" s="21">
        <f t="shared" si="12"/>
        <v>11.94</v>
      </c>
      <c r="H309" s="22">
        <v>1.e-002</v>
      </c>
      <c r="I309" s="23" t="str">
        <f t="shared" si="13"/>
        <v xml:space="preserve">COM VALOR</v>
      </c>
      <c r="J309" s="19"/>
      <c r="L309" s="21">
        <v>12.07</v>
      </c>
      <c r="M309" s="22">
        <v>1.e-002</v>
      </c>
      <c r="N309" s="21">
        <v>11.94</v>
      </c>
      <c r="O309" s="22">
        <v>1.e-002</v>
      </c>
    </row>
    <row r="310" ht="38.25">
      <c r="A310" t="s">
        <v>313</v>
      </c>
      <c r="B310" s="19">
        <v>92759</v>
      </c>
      <c r="C310" s="20" t="s">
        <v>339</v>
      </c>
      <c r="D310" s="19" t="s">
        <v>302</v>
      </c>
      <c r="E310" s="21">
        <f t="shared" si="11"/>
        <v>13.880000000000001</v>
      </c>
      <c r="F310" s="22">
        <v>2.e-002</v>
      </c>
      <c r="G310" s="21">
        <f t="shared" si="12"/>
        <v>13.58</v>
      </c>
      <c r="H310" s="22">
        <v>2.e-002</v>
      </c>
      <c r="I310" s="23" t="str">
        <f t="shared" si="13"/>
        <v xml:space="preserve">COM VALOR</v>
      </c>
      <c r="J310" s="19"/>
      <c r="L310" s="21">
        <v>13.880000000000001</v>
      </c>
      <c r="M310" s="22">
        <v>2.e-002</v>
      </c>
      <c r="N310" s="21">
        <v>13.58</v>
      </c>
      <c r="O310" s="22">
        <v>2.e-002</v>
      </c>
    </row>
    <row r="311" ht="38.25">
      <c r="A311" t="s">
        <v>313</v>
      </c>
      <c r="B311" s="19">
        <v>104108</v>
      </c>
      <c r="C311" s="20" t="s">
        <v>340</v>
      </c>
      <c r="D311" s="19" t="s">
        <v>302</v>
      </c>
      <c r="E311" s="21">
        <f t="shared" si="11"/>
        <v>12.529999999999999</v>
      </c>
      <c r="F311" s="22">
        <v>1.e-002</v>
      </c>
      <c r="G311" s="21">
        <f t="shared" si="12"/>
        <v>12.35</v>
      </c>
      <c r="H311" s="22">
        <v>1.e-002</v>
      </c>
      <c r="I311" s="23" t="str">
        <f t="shared" si="13"/>
        <v xml:space="preserve">COM VALOR</v>
      </c>
      <c r="J311" s="19"/>
      <c r="L311" s="21">
        <v>12.529999999999999</v>
      </c>
      <c r="M311" s="22">
        <v>1.e-002</v>
      </c>
      <c r="N311" s="21">
        <v>12.35</v>
      </c>
      <c r="O311" s="22">
        <v>1.e-002</v>
      </c>
    </row>
    <row r="312" ht="38.25">
      <c r="A312" t="s">
        <v>313</v>
      </c>
      <c r="B312" s="19">
        <v>104107</v>
      </c>
      <c r="C312" s="20" t="s">
        <v>341</v>
      </c>
      <c r="D312" s="19" t="s">
        <v>302</v>
      </c>
      <c r="E312" s="21">
        <f t="shared" si="11"/>
        <v>10.539999999999999</v>
      </c>
      <c r="F312" s="22">
        <v>1.e-002</v>
      </c>
      <c r="G312" s="21">
        <f t="shared" si="12"/>
        <v>10.390000000000001</v>
      </c>
      <c r="H312" s="22">
        <v>1.e-002</v>
      </c>
      <c r="I312" s="23" t="str">
        <f t="shared" si="13"/>
        <v xml:space="preserve">COM VALOR</v>
      </c>
      <c r="J312" s="19"/>
      <c r="L312" s="21">
        <v>10.539999999999999</v>
      </c>
      <c r="M312" s="22">
        <v>1.e-002</v>
      </c>
      <c r="N312" s="21">
        <v>10.390000000000001</v>
      </c>
      <c r="O312" s="22">
        <v>1.e-002</v>
      </c>
    </row>
    <row r="313" ht="38.25">
      <c r="A313" t="s">
        <v>313</v>
      </c>
      <c r="B313" s="19">
        <v>104106</v>
      </c>
      <c r="C313" s="20" t="s">
        <v>342</v>
      </c>
      <c r="D313" s="19" t="s">
        <v>302</v>
      </c>
      <c r="E313" s="21">
        <f t="shared" si="11"/>
        <v>9.8399999999999999</v>
      </c>
      <c r="F313" s="22">
        <v>0</v>
      </c>
      <c r="G313" s="21">
        <f t="shared" si="12"/>
        <v>9.7300000000000004</v>
      </c>
      <c r="H313" s="22">
        <v>0</v>
      </c>
      <c r="I313" s="23" t="str">
        <f t="shared" si="13"/>
        <v xml:space="preserve">COM VALOR</v>
      </c>
      <c r="J313" s="19"/>
      <c r="L313" s="21">
        <v>9.8399999999999999</v>
      </c>
      <c r="M313" s="22">
        <v>0</v>
      </c>
      <c r="N313" s="21">
        <v>9.7300000000000004</v>
      </c>
      <c r="O313" s="22">
        <v>0</v>
      </c>
    </row>
    <row r="314" ht="38.25">
      <c r="A314" t="s">
        <v>313</v>
      </c>
      <c r="B314" s="19">
        <v>104110</v>
      </c>
      <c r="C314" s="20" t="s">
        <v>343</v>
      </c>
      <c r="D314" s="19" t="s">
        <v>302</v>
      </c>
      <c r="E314" s="21">
        <f t="shared" si="11"/>
        <v>17.760000000000002</v>
      </c>
      <c r="F314" s="22">
        <v>1.e-002</v>
      </c>
      <c r="G314" s="21">
        <f t="shared" si="12"/>
        <v>17.289999999999999</v>
      </c>
      <c r="H314" s="22">
        <v>1.e-002</v>
      </c>
      <c r="I314" s="23" t="str">
        <f t="shared" si="13"/>
        <v xml:space="preserve">COM VALOR</v>
      </c>
      <c r="J314" s="19"/>
      <c r="L314" s="21">
        <v>17.760000000000002</v>
      </c>
      <c r="M314" s="22">
        <v>1.e-002</v>
      </c>
      <c r="N314" s="21">
        <v>17.289999999999999</v>
      </c>
      <c r="O314" s="22">
        <v>1.e-002</v>
      </c>
    </row>
    <row r="315" ht="38.25">
      <c r="A315" t="s">
        <v>313</v>
      </c>
      <c r="B315" s="19">
        <v>104109</v>
      </c>
      <c r="C315" s="20" t="s">
        <v>344</v>
      </c>
      <c r="D315" s="19" t="s">
        <v>302</v>
      </c>
      <c r="E315" s="21">
        <f t="shared" si="11"/>
        <v>15.49</v>
      </c>
      <c r="F315" s="22">
        <v>1.e-002</v>
      </c>
      <c r="G315" s="21">
        <f t="shared" si="12"/>
        <v>15.16</v>
      </c>
      <c r="H315" s="22">
        <v>1.e-002</v>
      </c>
      <c r="I315" s="23" t="str">
        <f t="shared" si="13"/>
        <v xml:space="preserve">COM VALOR</v>
      </c>
      <c r="J315" s="19"/>
      <c r="L315" s="21">
        <v>15.49</v>
      </c>
      <c r="M315" s="22">
        <v>1.e-002</v>
      </c>
      <c r="N315" s="21">
        <v>15.16</v>
      </c>
      <c r="O315" s="22">
        <v>1.e-002</v>
      </c>
    </row>
    <row r="316" ht="38.25">
      <c r="A316" t="s">
        <v>313</v>
      </c>
      <c r="B316" s="19">
        <v>104111</v>
      </c>
      <c r="C316" s="20" t="s">
        <v>345</v>
      </c>
      <c r="D316" s="19" t="s">
        <v>302</v>
      </c>
      <c r="E316" s="21">
        <f t="shared" si="11"/>
        <v>20.379999999999999</v>
      </c>
      <c r="F316" s="22">
        <v>1.e-002</v>
      </c>
      <c r="G316" s="21">
        <f t="shared" si="12"/>
        <v>19.719999999999999</v>
      </c>
      <c r="H316" s="22">
        <v>1.e-002</v>
      </c>
      <c r="I316" s="23" t="str">
        <f t="shared" si="13"/>
        <v xml:space="preserve">COM VALOR</v>
      </c>
      <c r="J316" s="19"/>
      <c r="L316" s="21">
        <v>20.379999999999999</v>
      </c>
      <c r="M316" s="22">
        <v>1.e-002</v>
      </c>
      <c r="N316" s="21">
        <v>19.719999999999999</v>
      </c>
      <c r="O316" s="22">
        <v>1.e-002</v>
      </c>
    </row>
    <row r="317" ht="12.75">
      <c r="A317" t="s">
        <v>313</v>
      </c>
      <c r="B317" s="19">
        <v>92884</v>
      </c>
      <c r="C317" s="20" t="s">
        <v>346</v>
      </c>
      <c r="D317" s="19" t="s">
        <v>302</v>
      </c>
      <c r="E317" s="21">
        <f t="shared" si="11"/>
        <v>11.92</v>
      </c>
      <c r="F317" s="22">
        <v>1.e-002</v>
      </c>
      <c r="G317" s="21">
        <f t="shared" si="12"/>
        <v>11.800000000000001</v>
      </c>
      <c r="H317" s="22">
        <v>1.e-002</v>
      </c>
      <c r="I317" s="23" t="str">
        <f t="shared" si="13"/>
        <v xml:space="preserve">COM VALOR</v>
      </c>
      <c r="J317" s="19"/>
      <c r="L317" s="21">
        <v>11.92</v>
      </c>
      <c r="M317" s="22">
        <v>1.e-002</v>
      </c>
      <c r="N317" s="21">
        <v>11.800000000000001</v>
      </c>
      <c r="O317" s="22">
        <v>1.e-002</v>
      </c>
    </row>
    <row r="318" ht="12.75">
      <c r="A318" t="s">
        <v>313</v>
      </c>
      <c r="B318" s="19">
        <v>92885</v>
      </c>
      <c r="C318" s="20" t="s">
        <v>347</v>
      </c>
      <c r="D318" s="19" t="s">
        <v>302</v>
      </c>
      <c r="E318" s="21">
        <f t="shared" si="11"/>
        <v>11.25</v>
      </c>
      <c r="F318" s="22">
        <v>1.e-002</v>
      </c>
      <c r="G318" s="21">
        <f t="shared" si="12"/>
        <v>11.16</v>
      </c>
      <c r="H318" s="22">
        <v>1.e-002</v>
      </c>
      <c r="I318" s="23" t="str">
        <f t="shared" si="13"/>
        <v xml:space="preserve">COM VALOR</v>
      </c>
      <c r="J318" s="19"/>
      <c r="L318" s="21">
        <v>11.25</v>
      </c>
      <c r="M318" s="22">
        <v>1.e-002</v>
      </c>
      <c r="N318" s="21">
        <v>11.16</v>
      </c>
      <c r="O318" s="22">
        <v>1.e-002</v>
      </c>
    </row>
    <row r="319" ht="12.75">
      <c r="A319" t="s">
        <v>313</v>
      </c>
      <c r="B319" s="19">
        <v>92886</v>
      </c>
      <c r="C319" s="20" t="s">
        <v>348</v>
      </c>
      <c r="D319" s="19" t="s">
        <v>302</v>
      </c>
      <c r="E319" s="21">
        <f t="shared" si="11"/>
        <v>10.699999999999999</v>
      </c>
      <c r="F319" s="22">
        <v>0</v>
      </c>
      <c r="G319" s="21">
        <f t="shared" si="12"/>
        <v>10.640000000000001</v>
      </c>
      <c r="H319" s="22">
        <v>0</v>
      </c>
      <c r="I319" s="23" t="str">
        <f t="shared" si="13"/>
        <v xml:space="preserve">COM VALOR</v>
      </c>
      <c r="J319" s="19"/>
      <c r="L319" s="21">
        <v>10.699999999999999</v>
      </c>
      <c r="M319" s="22">
        <v>0</v>
      </c>
      <c r="N319" s="21">
        <v>10.640000000000001</v>
      </c>
      <c r="O319" s="22">
        <v>0</v>
      </c>
    </row>
    <row r="320" ht="12.75">
      <c r="A320" t="s">
        <v>313</v>
      </c>
      <c r="B320" s="19">
        <v>92887</v>
      </c>
      <c r="C320" s="20" t="s">
        <v>349</v>
      </c>
      <c r="D320" s="19" t="s">
        <v>302</v>
      </c>
      <c r="E320" s="21">
        <f t="shared" si="11"/>
        <v>10.6</v>
      </c>
      <c r="F320" s="22">
        <v>0</v>
      </c>
      <c r="G320" s="21">
        <f t="shared" si="12"/>
        <v>10.57</v>
      </c>
      <c r="H320" s="22">
        <v>0</v>
      </c>
      <c r="I320" s="23" t="str">
        <f t="shared" si="13"/>
        <v xml:space="preserve">COM VALOR</v>
      </c>
      <c r="J320" s="19"/>
      <c r="L320" s="21">
        <v>10.6</v>
      </c>
      <c r="M320" s="22">
        <v>0</v>
      </c>
      <c r="N320" s="21">
        <v>10.57</v>
      </c>
      <c r="O320" s="22">
        <v>0</v>
      </c>
    </row>
    <row r="321" ht="12.75">
      <c r="A321" t="s">
        <v>313</v>
      </c>
      <c r="B321" s="19">
        <v>92888</v>
      </c>
      <c r="C321" s="20" t="s">
        <v>350</v>
      </c>
      <c r="D321" s="19" t="s">
        <v>302</v>
      </c>
      <c r="E321" s="21">
        <f t="shared" si="11"/>
        <v>10.33</v>
      </c>
      <c r="F321" s="22">
        <v>0</v>
      </c>
      <c r="G321" s="21">
        <f t="shared" si="12"/>
        <v>10.300000000000001</v>
      </c>
      <c r="H321" s="22">
        <v>0</v>
      </c>
      <c r="I321" s="23" t="str">
        <f t="shared" si="13"/>
        <v xml:space="preserve">COM VALOR</v>
      </c>
      <c r="J321" s="19"/>
      <c r="L321" s="21">
        <v>10.33</v>
      </c>
      <c r="M321" s="22">
        <v>0</v>
      </c>
      <c r="N321" s="21">
        <v>10.300000000000001</v>
      </c>
      <c r="O321" s="22">
        <v>0</v>
      </c>
    </row>
    <row r="322" ht="12.75">
      <c r="A322" t="s">
        <v>313</v>
      </c>
      <c r="B322" s="19">
        <v>92882</v>
      </c>
      <c r="C322" s="20" t="s">
        <v>351</v>
      </c>
      <c r="D322" s="19" t="s">
        <v>302</v>
      </c>
      <c r="E322" s="21">
        <f t="shared" si="11"/>
        <v>13</v>
      </c>
      <c r="F322" s="22">
        <v>2.e-002</v>
      </c>
      <c r="G322" s="21">
        <f t="shared" si="12"/>
        <v>12.77</v>
      </c>
      <c r="H322" s="22">
        <v>2.e-002</v>
      </c>
      <c r="I322" s="23" t="str">
        <f t="shared" si="13"/>
        <v xml:space="preserve">COM VALOR</v>
      </c>
      <c r="J322" s="19"/>
      <c r="L322" s="21">
        <v>13</v>
      </c>
      <c r="M322" s="22">
        <v>2.e-002</v>
      </c>
      <c r="N322" s="21">
        <v>12.77</v>
      </c>
      <c r="O322" s="22">
        <v>2.e-002</v>
      </c>
    </row>
    <row r="323" ht="12.75">
      <c r="A323" t="s">
        <v>313</v>
      </c>
      <c r="B323" s="19">
        <v>92883</v>
      </c>
      <c r="C323" s="20" t="s">
        <v>352</v>
      </c>
      <c r="D323" s="19" t="s">
        <v>302</v>
      </c>
      <c r="E323" s="21">
        <f t="shared" si="11"/>
        <v>11.880000000000001</v>
      </c>
      <c r="F323" s="22">
        <v>1.e-002</v>
      </c>
      <c r="G323" s="21">
        <f t="shared" si="12"/>
        <v>11.699999999999999</v>
      </c>
      <c r="H323" s="22">
        <v>1.e-002</v>
      </c>
      <c r="I323" s="23" t="str">
        <f t="shared" si="13"/>
        <v xml:space="preserve">COM VALOR</v>
      </c>
      <c r="J323" s="19"/>
      <c r="L323" s="21">
        <v>11.880000000000001</v>
      </c>
      <c r="M323" s="22">
        <v>1.e-002</v>
      </c>
      <c r="N323" s="21">
        <v>11.699999999999999</v>
      </c>
      <c r="O323" s="22">
        <v>1.e-002</v>
      </c>
    </row>
    <row r="324" ht="12.75">
      <c r="A324" t="s">
        <v>313</v>
      </c>
      <c r="B324" s="19">
        <v>92877</v>
      </c>
      <c r="C324" s="20" t="s">
        <v>353</v>
      </c>
      <c r="D324" s="19" t="s">
        <v>302</v>
      </c>
      <c r="E324" s="21">
        <f t="shared" si="11"/>
        <v>9.6600000000000001</v>
      </c>
      <c r="F324" s="22">
        <v>0</v>
      </c>
      <c r="G324" s="21">
        <f t="shared" si="12"/>
        <v>9.6300000000000008</v>
      </c>
      <c r="H324" s="22">
        <v>0</v>
      </c>
      <c r="I324" s="23" t="str">
        <f t="shared" si="13"/>
        <v xml:space="preserve">COM VALOR</v>
      </c>
      <c r="J324" s="19"/>
      <c r="L324" s="21">
        <v>9.6600000000000001</v>
      </c>
      <c r="M324" s="22">
        <v>0</v>
      </c>
      <c r="N324" s="21">
        <v>9.6300000000000008</v>
      </c>
      <c r="O324" s="22">
        <v>0</v>
      </c>
    </row>
    <row r="325" ht="12.75">
      <c r="A325" t="s">
        <v>313</v>
      </c>
      <c r="B325" s="19">
        <v>92878</v>
      </c>
      <c r="C325" s="20" t="s">
        <v>354</v>
      </c>
      <c r="D325" s="19" t="s">
        <v>302</v>
      </c>
      <c r="E325" s="21">
        <f t="shared" si="11"/>
        <v>9.4800000000000004</v>
      </c>
      <c r="F325" s="22">
        <v>0</v>
      </c>
      <c r="G325" s="21">
        <f t="shared" si="12"/>
        <v>9.4700000000000006</v>
      </c>
      <c r="H325" s="22">
        <v>0</v>
      </c>
      <c r="I325" s="23" t="str">
        <f t="shared" si="13"/>
        <v xml:space="preserve">COM VALOR</v>
      </c>
      <c r="J325" s="19"/>
      <c r="L325" s="21">
        <v>9.4800000000000004</v>
      </c>
      <c r="M325" s="22">
        <v>0</v>
      </c>
      <c r="N325" s="21">
        <v>9.4700000000000006</v>
      </c>
      <c r="O325" s="22">
        <v>0</v>
      </c>
    </row>
    <row r="326" ht="12.75">
      <c r="A326" t="s">
        <v>313</v>
      </c>
      <c r="B326" s="19">
        <v>92879</v>
      </c>
      <c r="C326" s="20" t="s">
        <v>355</v>
      </c>
      <c r="D326" s="19" t="s">
        <v>302</v>
      </c>
      <c r="E326" s="21">
        <f t="shared" si="11"/>
        <v>9.3699999999999992</v>
      </c>
      <c r="F326" s="22">
        <v>0</v>
      </c>
      <c r="G326" s="21">
        <f t="shared" si="12"/>
        <v>9.3599999999999994</v>
      </c>
      <c r="H326" s="22">
        <v>0</v>
      </c>
      <c r="I326" s="23" t="str">
        <f t="shared" si="13"/>
        <v xml:space="preserve">COM VALOR</v>
      </c>
      <c r="J326" s="19"/>
      <c r="L326" s="21">
        <v>9.3699999999999992</v>
      </c>
      <c r="M326" s="22">
        <v>0</v>
      </c>
      <c r="N326" s="21">
        <v>9.3599999999999994</v>
      </c>
      <c r="O326" s="22">
        <v>0</v>
      </c>
    </row>
    <row r="327" ht="12.75">
      <c r="A327" t="s">
        <v>313</v>
      </c>
      <c r="B327" s="19">
        <v>92880</v>
      </c>
      <c r="C327" s="20" t="s">
        <v>356</v>
      </c>
      <c r="D327" s="19" t="s">
        <v>302</v>
      </c>
      <c r="E327" s="21">
        <f t="shared" si="11"/>
        <v>9.5800000000000001</v>
      </c>
      <c r="F327" s="22">
        <v>0</v>
      </c>
      <c r="G327" s="21">
        <f t="shared" si="12"/>
        <v>9.5800000000000001</v>
      </c>
      <c r="H327" s="22">
        <v>0</v>
      </c>
      <c r="I327" s="23" t="str">
        <f t="shared" si="13"/>
        <v xml:space="preserve">COM VALOR</v>
      </c>
      <c r="J327" s="19"/>
      <c r="L327" s="21">
        <v>9.5800000000000001</v>
      </c>
      <c r="M327" s="22">
        <v>0</v>
      </c>
      <c r="N327" s="21">
        <v>9.5800000000000001</v>
      </c>
      <c r="O327" s="22">
        <v>0</v>
      </c>
    </row>
    <row r="328" ht="12.75">
      <c r="A328" t="s">
        <v>313</v>
      </c>
      <c r="B328" s="19">
        <v>92881</v>
      </c>
      <c r="C328" s="20" t="s">
        <v>357</v>
      </c>
      <c r="D328" s="19" t="s">
        <v>302</v>
      </c>
      <c r="E328" s="21">
        <f t="shared" si="11"/>
        <v>9.5600000000000005</v>
      </c>
      <c r="F328" s="22">
        <v>0</v>
      </c>
      <c r="G328" s="21">
        <f t="shared" si="12"/>
        <v>9.5500000000000007</v>
      </c>
      <c r="H328" s="22">
        <v>0</v>
      </c>
      <c r="I328" s="23" t="str">
        <f t="shared" si="13"/>
        <v xml:space="preserve">COM VALOR</v>
      </c>
      <c r="J328" s="19"/>
      <c r="L328" s="21">
        <v>9.5600000000000005</v>
      </c>
      <c r="M328" s="22">
        <v>0</v>
      </c>
      <c r="N328" s="21">
        <v>9.5500000000000007</v>
      </c>
      <c r="O328" s="22">
        <v>0</v>
      </c>
    </row>
    <row r="329" ht="12.75">
      <c r="A329" t="s">
        <v>313</v>
      </c>
      <c r="B329" s="19">
        <v>92875</v>
      </c>
      <c r="C329" s="20" t="s">
        <v>358</v>
      </c>
      <c r="D329" s="19" t="s">
        <v>302</v>
      </c>
      <c r="E329" s="21">
        <f t="shared" si="11"/>
        <v>9.3000000000000007</v>
      </c>
      <c r="F329" s="22">
        <v>0</v>
      </c>
      <c r="G329" s="21">
        <f t="shared" si="12"/>
        <v>9.2400000000000002</v>
      </c>
      <c r="H329" s="22">
        <v>0</v>
      </c>
      <c r="I329" s="23" t="str">
        <f t="shared" si="13"/>
        <v xml:space="preserve">COM VALOR</v>
      </c>
      <c r="J329" s="19"/>
      <c r="L329" s="21">
        <v>9.3000000000000007</v>
      </c>
      <c r="M329" s="22">
        <v>0</v>
      </c>
      <c r="N329" s="21">
        <v>9.2400000000000002</v>
      </c>
      <c r="O329" s="22">
        <v>0</v>
      </c>
    </row>
    <row r="330" ht="12.75">
      <c r="A330" t="s">
        <v>313</v>
      </c>
      <c r="B330" s="19">
        <v>92876</v>
      </c>
      <c r="C330" s="20" t="s">
        <v>359</v>
      </c>
      <c r="D330" s="19" t="s">
        <v>302</v>
      </c>
      <c r="E330" s="21">
        <f t="shared" si="11"/>
        <v>8.9900000000000002</v>
      </c>
      <c r="F330" s="22">
        <v>0</v>
      </c>
      <c r="G330" s="21">
        <f t="shared" si="12"/>
        <v>8.9499999999999993</v>
      </c>
      <c r="H330" s="22">
        <v>0</v>
      </c>
      <c r="I330" s="23" t="str">
        <f t="shared" si="13"/>
        <v xml:space="preserve">COM VALOR</v>
      </c>
      <c r="J330" s="19"/>
      <c r="L330" s="21">
        <v>8.9900000000000002</v>
      </c>
      <c r="M330" s="22">
        <v>0</v>
      </c>
      <c r="N330" s="21">
        <v>8.9499999999999993</v>
      </c>
      <c r="O330" s="22">
        <v>0</v>
      </c>
    </row>
    <row r="331" ht="12.75">
      <c r="A331" t="s">
        <v>313</v>
      </c>
      <c r="B331" s="19">
        <v>92803</v>
      </c>
      <c r="C331" s="20" t="s">
        <v>360</v>
      </c>
      <c r="D331" s="19" t="s">
        <v>302</v>
      </c>
      <c r="E331" s="21">
        <f t="shared" ref="E331:E394" si="14">IF(L331=0,"VERIFICAR",L331)</f>
        <v>8.9000000000000004</v>
      </c>
      <c r="F331" s="22">
        <v>0</v>
      </c>
      <c r="G331" s="21">
        <f t="shared" ref="G331:G394" si="15">IF(N331=0,"VERIFICAR",N331)</f>
        <v>8.8900000000000006</v>
      </c>
      <c r="H331" s="22">
        <v>0</v>
      </c>
      <c r="I331" s="23" t="str">
        <f t="shared" ref="I331:I394" si="16">IF(OR(E331=0,G331=0),"SEM VALOR","COM VALOR")</f>
        <v xml:space="preserve">COM VALOR</v>
      </c>
      <c r="J331" s="19"/>
      <c r="L331" s="21">
        <v>8.9000000000000004</v>
      </c>
      <c r="M331" s="22">
        <v>0</v>
      </c>
      <c r="N331" s="21">
        <v>8.8900000000000006</v>
      </c>
      <c r="O331" s="22">
        <v>0</v>
      </c>
    </row>
    <row r="332" ht="12.75">
      <c r="A332" t="s">
        <v>313</v>
      </c>
      <c r="B332" s="19">
        <v>92804</v>
      </c>
      <c r="C332" s="20" t="s">
        <v>361</v>
      </c>
      <c r="D332" s="19" t="s">
        <v>302</v>
      </c>
      <c r="E332" s="21">
        <f t="shared" si="14"/>
        <v>7.6200000000000001</v>
      </c>
      <c r="F332" s="22">
        <v>0</v>
      </c>
      <c r="G332" s="21">
        <f t="shared" si="15"/>
        <v>7.6100000000000003</v>
      </c>
      <c r="H332" s="22">
        <v>0</v>
      </c>
      <c r="I332" s="23" t="str">
        <f t="shared" si="16"/>
        <v xml:space="preserve">COM VALOR</v>
      </c>
      <c r="J332" s="19"/>
      <c r="L332" s="21">
        <v>7.6200000000000001</v>
      </c>
      <c r="M332" s="22">
        <v>0</v>
      </c>
      <c r="N332" s="21">
        <v>7.6100000000000003</v>
      </c>
      <c r="O332" s="22">
        <v>0</v>
      </c>
    </row>
    <row r="333" ht="12.75">
      <c r="A333" t="s">
        <v>313</v>
      </c>
      <c r="B333" s="19">
        <v>92805</v>
      </c>
      <c r="C333" s="20" t="s">
        <v>362</v>
      </c>
      <c r="D333" s="19" t="s">
        <v>302</v>
      </c>
      <c r="E333" s="21">
        <f t="shared" si="14"/>
        <v>7.5499999999999998</v>
      </c>
      <c r="F333" s="22">
        <v>0</v>
      </c>
      <c r="G333" s="21">
        <f t="shared" si="15"/>
        <v>7.54</v>
      </c>
      <c r="H333" s="22">
        <v>0</v>
      </c>
      <c r="I333" s="23" t="str">
        <f t="shared" si="16"/>
        <v xml:space="preserve">COM VALOR</v>
      </c>
      <c r="J333" s="19"/>
      <c r="L333" s="21">
        <v>7.5499999999999998</v>
      </c>
      <c r="M333" s="22">
        <v>0</v>
      </c>
      <c r="N333" s="21">
        <v>7.54</v>
      </c>
      <c r="O333" s="22">
        <v>0</v>
      </c>
    </row>
    <row r="334" ht="12.75">
      <c r="A334" t="s">
        <v>313</v>
      </c>
      <c r="B334" s="19">
        <v>92806</v>
      </c>
      <c r="C334" s="20" t="s">
        <v>363</v>
      </c>
      <c r="D334" s="19" t="s">
        <v>302</v>
      </c>
      <c r="E334" s="21">
        <f t="shared" si="14"/>
        <v>8.8800000000000008</v>
      </c>
      <c r="F334" s="22">
        <v>0</v>
      </c>
      <c r="G334" s="21">
        <f t="shared" si="15"/>
        <v>8.8800000000000008</v>
      </c>
      <c r="H334" s="22">
        <v>0</v>
      </c>
      <c r="I334" s="23" t="str">
        <f t="shared" si="16"/>
        <v xml:space="preserve">COM VALOR</v>
      </c>
      <c r="J334" s="19"/>
      <c r="L334" s="21">
        <v>8.8800000000000008</v>
      </c>
      <c r="M334" s="22">
        <v>0</v>
      </c>
      <c r="N334" s="21">
        <v>8.8800000000000008</v>
      </c>
      <c r="O334" s="22">
        <v>0</v>
      </c>
    </row>
    <row r="335" ht="12.75">
      <c r="A335" t="s">
        <v>313</v>
      </c>
      <c r="B335" s="19">
        <v>92798</v>
      </c>
      <c r="C335" s="20" t="s">
        <v>364</v>
      </c>
      <c r="D335" s="19" t="s">
        <v>302</v>
      </c>
      <c r="E335" s="21">
        <f t="shared" si="14"/>
        <v>8.8800000000000008</v>
      </c>
      <c r="F335" s="22">
        <v>0</v>
      </c>
      <c r="G335" s="21">
        <f t="shared" si="15"/>
        <v>8.8699999999999992</v>
      </c>
      <c r="H335" s="22">
        <v>0</v>
      </c>
      <c r="I335" s="23" t="str">
        <f t="shared" si="16"/>
        <v xml:space="preserve">COM VALOR</v>
      </c>
      <c r="J335" s="19"/>
      <c r="L335" s="21">
        <v>8.8800000000000008</v>
      </c>
      <c r="M335" s="22">
        <v>0</v>
      </c>
      <c r="N335" s="21">
        <v>8.8699999999999992</v>
      </c>
      <c r="O335" s="22">
        <v>0</v>
      </c>
    </row>
    <row r="336" ht="12.75">
      <c r="A336" t="s">
        <v>313</v>
      </c>
      <c r="B336" s="19">
        <v>95448</v>
      </c>
      <c r="C336" s="20" t="s">
        <v>365</v>
      </c>
      <c r="D336" s="19" t="s">
        <v>302</v>
      </c>
      <c r="E336" s="21">
        <f t="shared" si="14"/>
        <v>9.7400000000000002</v>
      </c>
      <c r="F336" s="22">
        <v>0</v>
      </c>
      <c r="G336" s="21">
        <f t="shared" si="15"/>
        <v>9.7400000000000002</v>
      </c>
      <c r="H336" s="22">
        <v>0</v>
      </c>
      <c r="I336" s="23" t="str">
        <f t="shared" si="16"/>
        <v xml:space="preserve">COM VALOR</v>
      </c>
      <c r="J336" s="19"/>
      <c r="L336" s="21">
        <v>9.7400000000000002</v>
      </c>
      <c r="M336" s="22">
        <v>0</v>
      </c>
      <c r="N336" s="21">
        <v>9.7400000000000002</v>
      </c>
      <c r="O336" s="22">
        <v>0</v>
      </c>
    </row>
    <row r="337" ht="12.75">
      <c r="A337" t="s">
        <v>313</v>
      </c>
      <c r="B337" s="19">
        <v>92801</v>
      </c>
      <c r="C337" s="20" t="s">
        <v>366</v>
      </c>
      <c r="D337" s="19" t="s">
        <v>302</v>
      </c>
      <c r="E337" s="21">
        <f t="shared" si="14"/>
        <v>9.7599999999999998</v>
      </c>
      <c r="F337" s="22">
        <v>0</v>
      </c>
      <c r="G337" s="21">
        <f t="shared" si="15"/>
        <v>9.7100000000000009</v>
      </c>
      <c r="H337" s="22">
        <v>0</v>
      </c>
      <c r="I337" s="23" t="str">
        <f t="shared" si="16"/>
        <v xml:space="preserve">COM VALOR</v>
      </c>
      <c r="J337" s="19"/>
      <c r="L337" s="21">
        <v>9.7599999999999998</v>
      </c>
      <c r="M337" s="22">
        <v>0</v>
      </c>
      <c r="N337" s="21">
        <v>9.7100000000000009</v>
      </c>
      <c r="O337" s="22">
        <v>0</v>
      </c>
    </row>
    <row r="338" ht="12.75">
      <c r="A338" t="s">
        <v>313</v>
      </c>
      <c r="B338" s="19">
        <v>92802</v>
      </c>
      <c r="C338" s="20" t="s">
        <v>367</v>
      </c>
      <c r="D338" s="19" t="s">
        <v>302</v>
      </c>
      <c r="E338" s="21">
        <f t="shared" si="14"/>
        <v>9.6600000000000001</v>
      </c>
      <c r="F338" s="22">
        <v>0</v>
      </c>
      <c r="G338" s="21">
        <f t="shared" si="15"/>
        <v>9.6300000000000008</v>
      </c>
      <c r="H338" s="22">
        <v>0</v>
      </c>
      <c r="I338" s="23" t="str">
        <f t="shared" si="16"/>
        <v xml:space="preserve">COM VALOR</v>
      </c>
      <c r="J338" s="19"/>
      <c r="L338" s="21">
        <v>9.6600000000000001</v>
      </c>
      <c r="M338" s="22">
        <v>0</v>
      </c>
      <c r="N338" s="21">
        <v>9.6300000000000008</v>
      </c>
      <c r="O338" s="22">
        <v>0</v>
      </c>
    </row>
    <row r="339" ht="12.75">
      <c r="A339" t="s">
        <v>313</v>
      </c>
      <c r="B339" s="19">
        <v>92799</v>
      </c>
      <c r="C339" s="20" t="s">
        <v>368</v>
      </c>
      <c r="D339" s="19" t="s">
        <v>302</v>
      </c>
      <c r="E339" s="21">
        <f t="shared" si="14"/>
        <v>10.85</v>
      </c>
      <c r="F339" s="22">
        <v>0</v>
      </c>
      <c r="G339" s="21">
        <f t="shared" si="15"/>
        <v>10.68</v>
      </c>
      <c r="H339" s="22">
        <v>0</v>
      </c>
      <c r="I339" s="23" t="str">
        <f t="shared" si="16"/>
        <v xml:space="preserve">COM VALOR</v>
      </c>
      <c r="J339" s="19"/>
      <c r="L339" s="21">
        <v>10.85</v>
      </c>
      <c r="M339" s="22">
        <v>0</v>
      </c>
      <c r="N339" s="21">
        <v>10.68</v>
      </c>
      <c r="O339" s="22">
        <v>0</v>
      </c>
    </row>
    <row r="340" ht="12.75">
      <c r="A340" t="s">
        <v>313</v>
      </c>
      <c r="B340" s="19">
        <v>92800</v>
      </c>
      <c r="C340" s="20" t="s">
        <v>369</v>
      </c>
      <c r="D340" s="19" t="s">
        <v>302</v>
      </c>
      <c r="E340" s="21">
        <f t="shared" si="14"/>
        <v>9.7300000000000004</v>
      </c>
      <c r="F340" s="22">
        <v>0</v>
      </c>
      <c r="G340" s="21">
        <f t="shared" si="15"/>
        <v>9.6300000000000008</v>
      </c>
      <c r="H340" s="22">
        <v>0</v>
      </c>
      <c r="I340" s="23" t="str">
        <f t="shared" si="16"/>
        <v xml:space="preserve">COM VALOR</v>
      </c>
      <c r="J340" s="19"/>
      <c r="L340" s="21">
        <v>9.7300000000000004</v>
      </c>
      <c r="M340" s="22">
        <v>0</v>
      </c>
      <c r="N340" s="21">
        <v>9.6300000000000008</v>
      </c>
      <c r="O340" s="22">
        <v>0</v>
      </c>
    </row>
    <row r="341" ht="25.5">
      <c r="A341" t="s">
        <v>370</v>
      </c>
      <c r="B341" s="19">
        <v>95605</v>
      </c>
      <c r="C341" s="20" t="s">
        <v>371</v>
      </c>
      <c r="D341" s="19" t="s">
        <v>31</v>
      </c>
      <c r="E341" s="21">
        <f t="shared" si="14"/>
        <v>146.58000000000001</v>
      </c>
      <c r="F341" s="22">
        <v>0</v>
      </c>
      <c r="G341" s="21">
        <f t="shared" si="15"/>
        <v>138.68000000000001</v>
      </c>
      <c r="H341" s="22">
        <v>0</v>
      </c>
      <c r="I341" s="23" t="str">
        <f t="shared" si="16"/>
        <v xml:space="preserve">COM VALOR</v>
      </c>
      <c r="J341" s="19"/>
      <c r="L341" s="21">
        <v>146.58000000000001</v>
      </c>
      <c r="M341" s="22">
        <v>0</v>
      </c>
      <c r="N341" s="21">
        <v>138.68000000000001</v>
      </c>
      <c r="O341" s="22">
        <v>0</v>
      </c>
    </row>
    <row r="342" ht="25.5">
      <c r="A342" t="s">
        <v>370</v>
      </c>
      <c r="B342" s="19">
        <v>95602</v>
      </c>
      <c r="C342" s="20" t="s">
        <v>372</v>
      </c>
      <c r="D342" s="19" t="s">
        <v>31</v>
      </c>
      <c r="E342" s="21">
        <f t="shared" si="14"/>
        <v>30.140000000000001</v>
      </c>
      <c r="F342" s="22">
        <v>0</v>
      </c>
      <c r="G342" s="21">
        <f t="shared" si="15"/>
        <v>28.52</v>
      </c>
      <c r="H342" s="22">
        <v>0</v>
      </c>
      <c r="I342" s="23" t="str">
        <f t="shared" si="16"/>
        <v xml:space="preserve">COM VALOR</v>
      </c>
      <c r="J342" s="19"/>
      <c r="L342" s="21">
        <v>30.140000000000001</v>
      </c>
      <c r="M342" s="22">
        <v>0</v>
      </c>
      <c r="N342" s="21">
        <v>28.52</v>
      </c>
      <c r="O342" s="22">
        <v>0</v>
      </c>
    </row>
    <row r="343" ht="25.5">
      <c r="A343" t="s">
        <v>370</v>
      </c>
      <c r="B343" s="19">
        <v>95603</v>
      </c>
      <c r="C343" s="20" t="s">
        <v>373</v>
      </c>
      <c r="D343" s="19" t="s">
        <v>31</v>
      </c>
      <c r="E343" s="21">
        <f t="shared" si="14"/>
        <v>51.439999999999998</v>
      </c>
      <c r="F343" s="22">
        <v>0</v>
      </c>
      <c r="G343" s="21">
        <f t="shared" si="15"/>
        <v>48.670000000000002</v>
      </c>
      <c r="H343" s="22">
        <v>0</v>
      </c>
      <c r="I343" s="23" t="str">
        <f t="shared" si="16"/>
        <v xml:space="preserve">COM VALOR</v>
      </c>
      <c r="J343" s="19"/>
      <c r="L343" s="21">
        <v>51.439999999999998</v>
      </c>
      <c r="M343" s="22">
        <v>0</v>
      </c>
      <c r="N343" s="21">
        <v>48.670000000000002</v>
      </c>
      <c r="O343" s="22">
        <v>0</v>
      </c>
    </row>
    <row r="344" ht="25.5">
      <c r="A344" t="s">
        <v>370</v>
      </c>
      <c r="B344" s="19">
        <v>95604</v>
      </c>
      <c r="C344" s="20" t="s">
        <v>374</v>
      </c>
      <c r="D344" s="19" t="s">
        <v>31</v>
      </c>
      <c r="E344" s="21">
        <f t="shared" si="14"/>
        <v>79.840000000000003</v>
      </c>
      <c r="F344" s="22">
        <v>0</v>
      </c>
      <c r="G344" s="21">
        <f t="shared" si="15"/>
        <v>75.530000000000001</v>
      </c>
      <c r="H344" s="22">
        <v>0</v>
      </c>
      <c r="I344" s="23" t="str">
        <f t="shared" si="16"/>
        <v xml:space="preserve">COM VALOR</v>
      </c>
      <c r="J344" s="19"/>
      <c r="L344" s="21">
        <v>79.840000000000003</v>
      </c>
      <c r="M344" s="22">
        <v>0</v>
      </c>
      <c r="N344" s="21">
        <v>75.530000000000001</v>
      </c>
      <c r="O344" s="22">
        <v>0</v>
      </c>
    </row>
    <row r="345" ht="25.5">
      <c r="A345" t="s">
        <v>370</v>
      </c>
      <c r="B345" s="19">
        <v>95601</v>
      </c>
      <c r="C345" s="20" t="s">
        <v>375</v>
      </c>
      <c r="D345" s="19" t="s">
        <v>31</v>
      </c>
      <c r="E345" s="21">
        <f t="shared" si="14"/>
        <v>18.84</v>
      </c>
      <c r="F345" s="22">
        <v>0</v>
      </c>
      <c r="G345" s="21">
        <f t="shared" si="15"/>
        <v>17.82</v>
      </c>
      <c r="H345" s="22">
        <v>0</v>
      </c>
      <c r="I345" s="23" t="str">
        <f t="shared" si="16"/>
        <v xml:space="preserve">COM VALOR</v>
      </c>
      <c r="J345" s="19"/>
      <c r="L345" s="21">
        <v>18.84</v>
      </c>
      <c r="M345" s="22">
        <v>0</v>
      </c>
      <c r="N345" s="21">
        <v>17.82</v>
      </c>
      <c r="O345" s="22">
        <v>0</v>
      </c>
    </row>
    <row r="346" ht="25.5">
      <c r="A346" t="s">
        <v>370</v>
      </c>
      <c r="B346" s="19">
        <v>102521</v>
      </c>
      <c r="C346" s="20" t="s">
        <v>376</v>
      </c>
      <c r="D346" s="19" t="s">
        <v>31</v>
      </c>
      <c r="E346" s="21">
        <f t="shared" si="14"/>
        <v>120.93000000000001</v>
      </c>
      <c r="F346" s="22">
        <v>0</v>
      </c>
      <c r="G346" s="21">
        <f t="shared" si="15"/>
        <v>114.41</v>
      </c>
      <c r="H346" s="22">
        <v>0</v>
      </c>
      <c r="I346" s="23" t="str">
        <f t="shared" si="16"/>
        <v xml:space="preserve">COM VALOR</v>
      </c>
      <c r="J346" s="19"/>
      <c r="L346" s="21">
        <v>120.93000000000001</v>
      </c>
      <c r="M346" s="22">
        <v>0</v>
      </c>
      <c r="N346" s="21">
        <v>114.41</v>
      </c>
      <c r="O346" s="22">
        <v>0</v>
      </c>
    </row>
    <row r="347" ht="25.5">
      <c r="A347" t="s">
        <v>370</v>
      </c>
      <c r="B347" s="19">
        <v>102522</v>
      </c>
      <c r="C347" s="20" t="s">
        <v>377</v>
      </c>
      <c r="D347" s="19" t="s">
        <v>31</v>
      </c>
      <c r="E347" s="21">
        <f t="shared" si="14"/>
        <v>177.41</v>
      </c>
      <c r="F347" s="22">
        <v>0</v>
      </c>
      <c r="G347" s="21">
        <f t="shared" si="15"/>
        <v>167.84</v>
      </c>
      <c r="H347" s="22">
        <v>0</v>
      </c>
      <c r="I347" s="23" t="str">
        <f t="shared" si="16"/>
        <v xml:space="preserve">COM VALOR</v>
      </c>
      <c r="J347" s="19"/>
      <c r="L347" s="21">
        <v>177.41</v>
      </c>
      <c r="M347" s="22">
        <v>0</v>
      </c>
      <c r="N347" s="21">
        <v>167.84</v>
      </c>
      <c r="O347" s="22">
        <v>0</v>
      </c>
    </row>
    <row r="348" ht="25.5">
      <c r="A348" t="s">
        <v>370</v>
      </c>
      <c r="B348" s="19">
        <v>102523</v>
      </c>
      <c r="C348" s="20" t="s">
        <v>378</v>
      </c>
      <c r="D348" s="19" t="s">
        <v>31</v>
      </c>
      <c r="E348" s="21">
        <f t="shared" si="14"/>
        <v>233.88</v>
      </c>
      <c r="F348" s="22">
        <v>0</v>
      </c>
      <c r="G348" s="21">
        <f t="shared" si="15"/>
        <v>221.27000000000001</v>
      </c>
      <c r="H348" s="22">
        <v>0</v>
      </c>
      <c r="I348" s="23" t="str">
        <f t="shared" si="16"/>
        <v xml:space="preserve">COM VALOR</v>
      </c>
      <c r="J348" s="19"/>
      <c r="L348" s="21">
        <v>233.88</v>
      </c>
      <c r="M348" s="22">
        <v>0</v>
      </c>
      <c r="N348" s="21">
        <v>221.27000000000001</v>
      </c>
      <c r="O348" s="22">
        <v>0</v>
      </c>
    </row>
    <row r="349" ht="25.5">
      <c r="A349" t="s">
        <v>370</v>
      </c>
      <c r="B349" s="19">
        <v>95608</v>
      </c>
      <c r="C349" s="20" t="s">
        <v>379</v>
      </c>
      <c r="D349" s="19" t="s">
        <v>31</v>
      </c>
      <c r="E349" s="21">
        <f t="shared" si="14"/>
        <v>36.68</v>
      </c>
      <c r="F349" s="22">
        <v>0</v>
      </c>
      <c r="G349" s="21">
        <f t="shared" si="15"/>
        <v>35.689999999999998</v>
      </c>
      <c r="H349" s="22">
        <v>0</v>
      </c>
      <c r="I349" s="23" t="str">
        <f t="shared" si="16"/>
        <v xml:space="preserve">COM VALOR</v>
      </c>
      <c r="J349" s="19"/>
      <c r="L349" s="21">
        <v>36.68</v>
      </c>
      <c r="M349" s="22">
        <v>0</v>
      </c>
      <c r="N349" s="21">
        <v>35.689999999999998</v>
      </c>
      <c r="O349" s="22">
        <v>0</v>
      </c>
    </row>
    <row r="350" ht="25.5">
      <c r="A350" t="s">
        <v>370</v>
      </c>
      <c r="B350" s="19">
        <v>95609</v>
      </c>
      <c r="C350" s="20" t="s">
        <v>380</v>
      </c>
      <c r="D350" s="19" t="s">
        <v>31</v>
      </c>
      <c r="E350" s="21">
        <f t="shared" si="14"/>
        <v>46.530000000000001</v>
      </c>
      <c r="F350" s="22">
        <v>0</v>
      </c>
      <c r="G350" s="21">
        <f t="shared" si="15"/>
        <v>45.270000000000003</v>
      </c>
      <c r="H350" s="22">
        <v>0</v>
      </c>
      <c r="I350" s="23" t="str">
        <f t="shared" si="16"/>
        <v xml:space="preserve">COM VALOR</v>
      </c>
      <c r="J350" s="19"/>
      <c r="L350" s="21">
        <v>46.530000000000001</v>
      </c>
      <c r="M350" s="22">
        <v>0</v>
      </c>
      <c r="N350" s="21">
        <v>45.270000000000003</v>
      </c>
      <c r="O350" s="22">
        <v>0</v>
      </c>
    </row>
    <row r="351" ht="25.5">
      <c r="A351" t="s">
        <v>370</v>
      </c>
      <c r="B351" s="19">
        <v>95607</v>
      </c>
      <c r="C351" s="20" t="s">
        <v>381</v>
      </c>
      <c r="D351" s="19" t="s">
        <v>31</v>
      </c>
      <c r="E351" s="21">
        <f t="shared" si="14"/>
        <v>25.289999999999999</v>
      </c>
      <c r="F351" s="22">
        <v>0</v>
      </c>
      <c r="G351" s="21">
        <f t="shared" si="15"/>
        <v>24.609999999999999</v>
      </c>
      <c r="H351" s="22">
        <v>0</v>
      </c>
      <c r="I351" s="23" t="str">
        <f t="shared" si="16"/>
        <v xml:space="preserve">COM VALOR</v>
      </c>
      <c r="J351" s="19"/>
      <c r="L351" s="21">
        <v>25.289999999999999</v>
      </c>
      <c r="M351" s="22">
        <v>0</v>
      </c>
      <c r="N351" s="21">
        <v>24.609999999999999</v>
      </c>
      <c r="O351" s="22">
        <v>0</v>
      </c>
    </row>
    <row r="352" ht="12.75">
      <c r="A352" t="s">
        <v>382</v>
      </c>
      <c r="B352" s="19">
        <v>106132</v>
      </c>
      <c r="C352" s="20" t="s">
        <v>383</v>
      </c>
      <c r="D352" s="19" t="s">
        <v>121</v>
      </c>
      <c r="E352" s="21" t="str">
        <f t="shared" si="14"/>
        <v>VERIFICAR</v>
      </c>
      <c r="F352" s="22">
        <v>2.9999999999999999e-002</v>
      </c>
      <c r="G352" s="21" t="str">
        <f t="shared" si="15"/>
        <v>VERIFICAR</v>
      </c>
      <c r="H352" s="22">
        <v>2.9999999999999999e-002</v>
      </c>
      <c r="I352" s="23" t="str">
        <f t="shared" si="16"/>
        <v xml:space="preserve">COM VALOR</v>
      </c>
      <c r="J352" s="19"/>
      <c r="L352" s="21">
        <v>0</v>
      </c>
      <c r="M352" s="22"/>
      <c r="N352" s="21">
        <v>0</v>
      </c>
      <c r="O352" s="22"/>
    </row>
    <row r="353" ht="12.75">
      <c r="A353" t="s">
        <v>382</v>
      </c>
      <c r="B353" s="19">
        <v>106133</v>
      </c>
      <c r="C353" s="20" t="s">
        <v>384</v>
      </c>
      <c r="D353" s="19" t="s">
        <v>121</v>
      </c>
      <c r="E353" s="21" t="str">
        <f t="shared" si="14"/>
        <v>VERIFICAR</v>
      </c>
      <c r="F353" s="22">
        <v>2.9999999999999999e-002</v>
      </c>
      <c r="G353" s="21" t="str">
        <f t="shared" si="15"/>
        <v>VERIFICAR</v>
      </c>
      <c r="H353" s="22">
        <v>2.9999999999999999e-002</v>
      </c>
      <c r="I353" s="23" t="str">
        <f t="shared" si="16"/>
        <v xml:space="preserve">COM VALOR</v>
      </c>
      <c r="J353" s="19"/>
      <c r="L353" s="21">
        <v>0</v>
      </c>
      <c r="M353" s="22"/>
      <c r="N353" s="21">
        <v>0</v>
      </c>
      <c r="O353" s="22"/>
    </row>
    <row r="354" ht="25.5">
      <c r="A354" t="s">
        <v>382</v>
      </c>
      <c r="B354" s="19">
        <v>95996</v>
      </c>
      <c r="C354" s="20" t="s">
        <v>385</v>
      </c>
      <c r="D354" s="19" t="s">
        <v>121</v>
      </c>
      <c r="E354" s="21">
        <f t="shared" si="14"/>
        <v>1549.1600000000001</v>
      </c>
      <c r="F354" s="22"/>
      <c r="G354" s="21">
        <f t="shared" si="15"/>
        <v>1547.1300000000001</v>
      </c>
      <c r="H354" s="22"/>
      <c r="I354" s="23" t="str">
        <f t="shared" si="16"/>
        <v xml:space="preserve">COM VALOR</v>
      </c>
      <c r="J354" s="19"/>
      <c r="L354" s="21">
        <v>1549.1600000000001</v>
      </c>
      <c r="M354" s="22">
        <v>2.9999999999999999e-002</v>
      </c>
      <c r="N354" s="21">
        <v>1547.1300000000001</v>
      </c>
      <c r="O354" s="22">
        <v>2.9999999999999999e-002</v>
      </c>
    </row>
    <row r="355" ht="38.25">
      <c r="A355" t="s">
        <v>382</v>
      </c>
      <c r="B355" s="19">
        <v>95995</v>
      </c>
      <c r="C355" s="20" t="s">
        <v>386</v>
      </c>
      <c r="D355" s="19" t="s">
        <v>121</v>
      </c>
      <c r="E355" s="21">
        <f t="shared" si="14"/>
        <v>1791.9100000000001</v>
      </c>
      <c r="F355" s="22"/>
      <c r="G355" s="21">
        <f t="shared" si="15"/>
        <v>1789.0699999999999</v>
      </c>
      <c r="H355" s="22"/>
      <c r="I355" s="23" t="str">
        <f t="shared" si="16"/>
        <v xml:space="preserve">COM VALOR</v>
      </c>
      <c r="J355" s="19"/>
      <c r="L355" s="21">
        <v>1791.9100000000001</v>
      </c>
      <c r="M355" s="22">
        <v>4.0000000000000001e-002</v>
      </c>
      <c r="N355" s="21">
        <v>1789.0699999999999</v>
      </c>
      <c r="O355" s="22">
        <v>4.0000000000000001e-002</v>
      </c>
    </row>
    <row r="356" ht="25.5">
      <c r="A356" t="s">
        <v>382</v>
      </c>
      <c r="B356" s="19">
        <v>104372</v>
      </c>
      <c r="C356" s="20" t="s">
        <v>387</v>
      </c>
      <c r="D356" s="19" t="s">
        <v>121</v>
      </c>
      <c r="E356" s="21" t="str">
        <f t="shared" si="14"/>
        <v>VERIFICAR</v>
      </c>
      <c r="F356" s="22">
        <v>0.63</v>
      </c>
      <c r="G356" s="21" t="str">
        <f t="shared" si="15"/>
        <v>VERIFICAR</v>
      </c>
      <c r="H356" s="22">
        <v>0.63</v>
      </c>
      <c r="I356" s="23" t="str">
        <f t="shared" si="16"/>
        <v xml:space="preserve">COM VALOR</v>
      </c>
      <c r="J356" s="19"/>
      <c r="L356" s="21">
        <v>0</v>
      </c>
      <c r="M356" s="22"/>
      <c r="N356" s="21">
        <v>0</v>
      </c>
      <c r="O356" s="22"/>
    </row>
    <row r="357" ht="38.25">
      <c r="A357" t="s">
        <v>382</v>
      </c>
      <c r="B357" s="19">
        <v>104371</v>
      </c>
      <c r="C357" s="20" t="s">
        <v>388</v>
      </c>
      <c r="D357" s="19" t="s">
        <v>121</v>
      </c>
      <c r="E357" s="21" t="str">
        <f t="shared" si="14"/>
        <v>VERIFICAR</v>
      </c>
      <c r="F357" s="22">
        <v>0</v>
      </c>
      <c r="G357" s="21" t="str">
        <f t="shared" si="15"/>
        <v>VERIFICAR</v>
      </c>
      <c r="H357" s="22">
        <v>0</v>
      </c>
      <c r="I357" s="23" t="str">
        <f t="shared" si="16"/>
        <v xml:space="preserve">COM VALOR</v>
      </c>
      <c r="J357" s="19"/>
      <c r="L357" s="21">
        <v>0</v>
      </c>
      <c r="M357" s="22"/>
      <c r="N357" s="21">
        <v>0</v>
      </c>
      <c r="O357" s="22"/>
    </row>
    <row r="358" ht="38.25">
      <c r="A358" t="s">
        <v>382</v>
      </c>
      <c r="B358" s="19">
        <v>106138</v>
      </c>
      <c r="C358" s="20" t="s">
        <v>389</v>
      </c>
      <c r="D358" s="19" t="s">
        <v>29</v>
      </c>
      <c r="E358" s="21">
        <f t="shared" si="14"/>
        <v>8.6400000000000006</v>
      </c>
      <c r="F358" s="22">
        <v>0</v>
      </c>
      <c r="G358" s="21">
        <f t="shared" si="15"/>
        <v>8.5500000000000007</v>
      </c>
      <c r="H358" s="22">
        <v>0</v>
      </c>
      <c r="I358" s="23" t="str">
        <f t="shared" si="16"/>
        <v xml:space="preserve">COM VALOR</v>
      </c>
      <c r="J358" s="19"/>
      <c r="L358" s="21">
        <v>8.6400000000000006</v>
      </c>
      <c r="M358" s="22">
        <v>0.63</v>
      </c>
      <c r="N358" s="21">
        <v>8.5500000000000007</v>
      </c>
      <c r="O358" s="22">
        <v>0.64000000000000001</v>
      </c>
    </row>
    <row r="359" ht="38.25">
      <c r="A359" t="s">
        <v>382</v>
      </c>
      <c r="B359" s="19">
        <v>106135</v>
      </c>
      <c r="C359" s="20" t="s">
        <v>390</v>
      </c>
      <c r="D359" s="19" t="s">
        <v>29</v>
      </c>
      <c r="E359" s="21">
        <f t="shared" si="14"/>
        <v>7.4100000000000001</v>
      </c>
      <c r="F359" s="22">
        <v>0</v>
      </c>
      <c r="G359" s="21">
        <f t="shared" si="15"/>
        <v>7.3499999999999996</v>
      </c>
      <c r="H359" s="22">
        <v>0</v>
      </c>
      <c r="I359" s="23" t="str">
        <f t="shared" si="16"/>
        <v xml:space="preserve">COM VALOR</v>
      </c>
      <c r="J359" s="19"/>
      <c r="L359" s="21">
        <v>7.4100000000000001</v>
      </c>
      <c r="M359" s="22">
        <v>0.65000000000000002</v>
      </c>
      <c r="N359" s="21">
        <v>7.3499999999999996</v>
      </c>
      <c r="O359" s="22">
        <v>0.65000000000000002</v>
      </c>
    </row>
    <row r="360" ht="38.25">
      <c r="A360" t="s">
        <v>382</v>
      </c>
      <c r="B360" s="19">
        <v>106137</v>
      </c>
      <c r="C360" s="20" t="s">
        <v>391</v>
      </c>
      <c r="D360" s="19" t="s">
        <v>29</v>
      </c>
      <c r="E360" s="21">
        <f t="shared" si="14"/>
        <v>9.9900000000000002</v>
      </c>
      <c r="F360" s="22">
        <v>0</v>
      </c>
      <c r="G360" s="21">
        <f t="shared" si="15"/>
        <v>9.8599999999999994</v>
      </c>
      <c r="H360" s="22">
        <v>0</v>
      </c>
      <c r="I360" s="23" t="str">
        <f t="shared" si="16"/>
        <v xml:space="preserve">COM VALOR</v>
      </c>
      <c r="J360" s="19"/>
      <c r="L360" s="21">
        <v>9.9900000000000002</v>
      </c>
      <c r="M360" s="22">
        <v>0.62</v>
      </c>
      <c r="N360" s="21">
        <v>9.8599999999999994</v>
      </c>
      <c r="O360" s="22">
        <v>0.63</v>
      </c>
    </row>
    <row r="361" ht="38.25">
      <c r="A361" t="s">
        <v>382</v>
      </c>
      <c r="B361" s="19">
        <v>96001</v>
      </c>
      <c r="C361" s="20" t="s">
        <v>392</v>
      </c>
      <c r="D361" s="19" t="s">
        <v>29</v>
      </c>
      <c r="E361" s="21">
        <f t="shared" si="14"/>
        <v>8.5099999999999998</v>
      </c>
      <c r="F361" s="22">
        <v>0</v>
      </c>
      <c r="G361" s="21">
        <f t="shared" si="15"/>
        <v>8.4100000000000001</v>
      </c>
      <c r="H361" s="22">
        <v>0</v>
      </c>
      <c r="I361" s="23" t="str">
        <f t="shared" si="16"/>
        <v xml:space="preserve">COM VALOR</v>
      </c>
      <c r="J361" s="19"/>
      <c r="L361" s="21">
        <v>8.5099999999999998</v>
      </c>
      <c r="M361" s="22">
        <v>0.63</v>
      </c>
      <c r="N361" s="21">
        <v>8.4100000000000001</v>
      </c>
      <c r="O361" s="22">
        <v>0.64000000000000001</v>
      </c>
    </row>
    <row r="362" ht="38.25">
      <c r="A362" t="s">
        <v>382</v>
      </c>
      <c r="B362" s="19">
        <v>106136</v>
      </c>
      <c r="C362" s="20" t="s">
        <v>393</v>
      </c>
      <c r="D362" s="19" t="s">
        <v>29</v>
      </c>
      <c r="E362" s="21">
        <f t="shared" si="14"/>
        <v>11.67</v>
      </c>
      <c r="F362" s="22">
        <v>0</v>
      </c>
      <c r="G362" s="21">
        <f t="shared" si="15"/>
        <v>11.52</v>
      </c>
      <c r="H362" s="22">
        <v>0</v>
      </c>
      <c r="I362" s="23" t="str">
        <f t="shared" si="16"/>
        <v xml:space="preserve">COM VALOR</v>
      </c>
      <c r="J362" s="19"/>
      <c r="L362" s="21">
        <v>11.67</v>
      </c>
      <c r="M362" s="22">
        <v>0.60999999999999999</v>
      </c>
      <c r="N362" s="21">
        <v>11.52</v>
      </c>
      <c r="O362" s="22">
        <v>0.60999999999999999</v>
      </c>
    </row>
    <row r="363" ht="38.25">
      <c r="A363" t="s">
        <v>382</v>
      </c>
      <c r="B363" s="19">
        <v>106134</v>
      </c>
      <c r="C363" s="20" t="s">
        <v>394</v>
      </c>
      <c r="D363" s="19" t="s">
        <v>29</v>
      </c>
      <c r="E363" s="21">
        <f t="shared" si="14"/>
        <v>9.8499999999999996</v>
      </c>
      <c r="F363" s="22">
        <v>0</v>
      </c>
      <c r="G363" s="21">
        <f t="shared" si="15"/>
        <v>9.75</v>
      </c>
      <c r="H363" s="22">
        <v>0</v>
      </c>
      <c r="I363" s="23" t="str">
        <f t="shared" si="16"/>
        <v xml:space="preserve">COM VALOR</v>
      </c>
      <c r="J363" s="19"/>
      <c r="L363" s="21">
        <v>9.8499999999999996</v>
      </c>
      <c r="M363" s="22">
        <v>0.62</v>
      </c>
      <c r="N363" s="21">
        <v>9.75</v>
      </c>
      <c r="O363" s="22">
        <v>0.62</v>
      </c>
    </row>
    <row r="364" ht="38.25">
      <c r="A364" t="s">
        <v>395</v>
      </c>
      <c r="B364" s="19">
        <v>94880</v>
      </c>
      <c r="C364" s="20" t="s">
        <v>396</v>
      </c>
      <c r="D364" s="19" t="s">
        <v>38</v>
      </c>
      <c r="E364" s="21">
        <f t="shared" si="14"/>
        <v>44.079999999999998</v>
      </c>
      <c r="F364" s="22">
        <v>0</v>
      </c>
      <c r="G364" s="21">
        <f t="shared" si="15"/>
        <v>43.119999999999997</v>
      </c>
      <c r="H364" s="22">
        <v>0</v>
      </c>
      <c r="I364" s="23" t="str">
        <f t="shared" si="16"/>
        <v xml:space="preserve">COM VALOR</v>
      </c>
      <c r="J364" s="19"/>
      <c r="L364" s="21">
        <v>44.079999999999998</v>
      </c>
      <c r="M364" s="22">
        <v>0</v>
      </c>
      <c r="N364" s="21">
        <v>43.119999999999997</v>
      </c>
      <c r="O364" s="22">
        <v>0</v>
      </c>
    </row>
    <row r="365" ht="38.25">
      <c r="A365" t="s">
        <v>395</v>
      </c>
      <c r="B365" s="19">
        <v>94882</v>
      </c>
      <c r="C365" s="20" t="s">
        <v>397</v>
      </c>
      <c r="D365" s="19" t="s">
        <v>38</v>
      </c>
      <c r="E365" s="21">
        <f t="shared" si="14"/>
        <v>51.07</v>
      </c>
      <c r="F365" s="22">
        <v>0</v>
      </c>
      <c r="G365" s="21">
        <f t="shared" si="15"/>
        <v>49.920000000000002</v>
      </c>
      <c r="H365" s="22">
        <v>0</v>
      </c>
      <c r="I365" s="23" t="str">
        <f t="shared" si="16"/>
        <v xml:space="preserve">COM VALOR</v>
      </c>
      <c r="J365" s="19"/>
      <c r="L365" s="21">
        <v>51.07</v>
      </c>
      <c r="M365" s="22">
        <v>0</v>
      </c>
      <c r="N365" s="21">
        <v>49.920000000000002</v>
      </c>
      <c r="O365" s="22">
        <v>0</v>
      </c>
    </row>
    <row r="366" ht="38.25">
      <c r="A366" t="s">
        <v>395</v>
      </c>
      <c r="B366" s="19">
        <v>94884</v>
      </c>
      <c r="C366" s="20" t="s">
        <v>398</v>
      </c>
      <c r="D366" s="19" t="s">
        <v>38</v>
      </c>
      <c r="E366" s="21">
        <f t="shared" si="14"/>
        <v>65.219999999999999</v>
      </c>
      <c r="F366" s="22">
        <v>0</v>
      </c>
      <c r="G366" s="21">
        <f t="shared" si="15"/>
        <v>63.710000000000001</v>
      </c>
      <c r="H366" s="22">
        <v>0</v>
      </c>
      <c r="I366" s="23" t="str">
        <f t="shared" si="16"/>
        <v xml:space="preserve">COM VALOR</v>
      </c>
      <c r="J366" s="19"/>
      <c r="L366" s="21">
        <v>65.219999999999999</v>
      </c>
      <c r="M366" s="22">
        <v>0</v>
      </c>
      <c r="N366" s="21">
        <v>63.710000000000001</v>
      </c>
      <c r="O366" s="22">
        <v>0</v>
      </c>
    </row>
    <row r="367" ht="38.25">
      <c r="A367" t="s">
        <v>395</v>
      </c>
      <c r="B367" s="19">
        <v>94870</v>
      </c>
      <c r="C367" s="20" t="s">
        <v>399</v>
      </c>
      <c r="D367" s="19" t="s">
        <v>38</v>
      </c>
      <c r="E367" s="21">
        <f t="shared" si="14"/>
        <v>2.04</v>
      </c>
      <c r="F367" s="22">
        <v>0</v>
      </c>
      <c r="G367" s="21">
        <f t="shared" si="15"/>
        <v>2</v>
      </c>
      <c r="H367" s="22">
        <v>0</v>
      </c>
      <c r="I367" s="23" t="str">
        <f t="shared" si="16"/>
        <v xml:space="preserve">COM VALOR</v>
      </c>
      <c r="J367" s="19"/>
      <c r="L367" s="21">
        <v>2.04</v>
      </c>
      <c r="M367" s="22">
        <v>0</v>
      </c>
      <c r="N367" s="21">
        <v>2</v>
      </c>
      <c r="O367" s="22">
        <v>0</v>
      </c>
    </row>
    <row r="368" ht="38.25">
      <c r="A368" t="s">
        <v>395</v>
      </c>
      <c r="B368" s="19">
        <v>94872</v>
      </c>
      <c r="C368" s="20" t="s">
        <v>400</v>
      </c>
      <c r="D368" s="19" t="s">
        <v>38</v>
      </c>
      <c r="E368" s="21">
        <f t="shared" si="14"/>
        <v>2.7999999999999998</v>
      </c>
      <c r="F368" s="22">
        <v>0</v>
      </c>
      <c r="G368" s="21">
        <f t="shared" si="15"/>
        <v>2.7200000000000002</v>
      </c>
      <c r="H368" s="22">
        <v>0</v>
      </c>
      <c r="I368" s="23" t="str">
        <f t="shared" si="16"/>
        <v xml:space="preserve">COM VALOR</v>
      </c>
      <c r="J368" s="19"/>
      <c r="L368" s="21">
        <v>2.7999999999999998</v>
      </c>
      <c r="M368" s="22">
        <v>0</v>
      </c>
      <c r="N368" s="21">
        <v>2.7200000000000002</v>
      </c>
      <c r="O368" s="22">
        <v>0</v>
      </c>
    </row>
    <row r="369" ht="38.25">
      <c r="A369" t="s">
        <v>395</v>
      </c>
      <c r="B369" s="19">
        <v>90746</v>
      </c>
      <c r="C369" s="20" t="s">
        <v>401</v>
      </c>
      <c r="D369" s="19" t="s">
        <v>38</v>
      </c>
      <c r="E369" s="21">
        <f t="shared" si="14"/>
        <v>3.4700000000000002</v>
      </c>
      <c r="F369" s="22">
        <v>0</v>
      </c>
      <c r="G369" s="21">
        <f t="shared" si="15"/>
        <v>3.2799999999999998</v>
      </c>
      <c r="H369" s="22">
        <v>0</v>
      </c>
      <c r="I369" s="23" t="str">
        <f t="shared" si="16"/>
        <v xml:space="preserve">COM VALOR</v>
      </c>
      <c r="J369" s="19"/>
      <c r="L369" s="21">
        <v>3.4700000000000002</v>
      </c>
      <c r="M369" s="22">
        <v>0</v>
      </c>
      <c r="N369" s="21">
        <v>3.2799999999999998</v>
      </c>
      <c r="O369" s="22">
        <v>0</v>
      </c>
    </row>
    <row r="370" ht="38.25">
      <c r="A370" t="s">
        <v>395</v>
      </c>
      <c r="B370" s="19">
        <v>90747</v>
      </c>
      <c r="C370" s="20" t="s">
        <v>402</v>
      </c>
      <c r="D370" s="19" t="s">
        <v>38</v>
      </c>
      <c r="E370" s="21">
        <f t="shared" si="14"/>
        <v>17.23</v>
      </c>
      <c r="F370" s="22">
        <v>0</v>
      </c>
      <c r="G370" s="21">
        <f t="shared" si="15"/>
        <v>16.780000000000001</v>
      </c>
      <c r="H370" s="22">
        <v>0</v>
      </c>
      <c r="I370" s="23" t="str">
        <f t="shared" si="16"/>
        <v xml:space="preserve">COM VALOR</v>
      </c>
      <c r="J370" s="19"/>
      <c r="L370" s="21">
        <v>17.23</v>
      </c>
      <c r="M370" s="22">
        <v>0</v>
      </c>
      <c r="N370" s="21">
        <v>16.780000000000001</v>
      </c>
      <c r="O370" s="22">
        <v>0</v>
      </c>
    </row>
    <row r="371" ht="38.25">
      <c r="A371" t="s">
        <v>395</v>
      </c>
      <c r="B371" s="19">
        <v>94876</v>
      </c>
      <c r="C371" s="20" t="s">
        <v>403</v>
      </c>
      <c r="D371" s="19" t="s">
        <v>38</v>
      </c>
      <c r="E371" s="21">
        <f t="shared" si="14"/>
        <v>29.379999999999999</v>
      </c>
      <c r="F371" s="22">
        <v>0</v>
      </c>
      <c r="G371" s="21">
        <f t="shared" si="15"/>
        <v>28.699999999999999</v>
      </c>
      <c r="H371" s="22">
        <v>0</v>
      </c>
      <c r="I371" s="23" t="str">
        <f t="shared" si="16"/>
        <v xml:space="preserve">COM VALOR</v>
      </c>
      <c r="J371" s="19"/>
      <c r="L371" s="21">
        <v>29.379999999999999</v>
      </c>
      <c r="M371" s="22">
        <v>0</v>
      </c>
      <c r="N371" s="21">
        <v>28.699999999999999</v>
      </c>
      <c r="O371" s="22">
        <v>0</v>
      </c>
    </row>
    <row r="372" ht="38.25">
      <c r="A372" t="s">
        <v>395</v>
      </c>
      <c r="B372" s="19">
        <v>94878</v>
      </c>
      <c r="C372" s="20" t="s">
        <v>404</v>
      </c>
      <c r="D372" s="19" t="s">
        <v>38</v>
      </c>
      <c r="E372" s="21">
        <f t="shared" si="14"/>
        <v>33.909999999999997</v>
      </c>
      <c r="F372" s="22">
        <v>0</v>
      </c>
      <c r="G372" s="21">
        <f t="shared" si="15"/>
        <v>33.130000000000003</v>
      </c>
      <c r="H372" s="22">
        <v>0</v>
      </c>
      <c r="I372" s="23" t="str">
        <f t="shared" si="16"/>
        <v xml:space="preserve">COM VALOR</v>
      </c>
      <c r="J372" s="19"/>
      <c r="L372" s="21">
        <v>33.909999999999997</v>
      </c>
      <c r="M372" s="22">
        <v>0</v>
      </c>
      <c r="N372" s="21">
        <v>33.130000000000003</v>
      </c>
      <c r="O372" s="22">
        <v>0</v>
      </c>
    </row>
    <row r="373" ht="38.25">
      <c r="A373" t="s">
        <v>395</v>
      </c>
      <c r="B373" s="19">
        <v>90740</v>
      </c>
      <c r="C373" s="20" t="s">
        <v>405</v>
      </c>
      <c r="D373" s="19" t="s">
        <v>38</v>
      </c>
      <c r="E373" s="21">
        <f t="shared" si="14"/>
        <v>4.2400000000000002</v>
      </c>
      <c r="F373" s="22">
        <v>0</v>
      </c>
      <c r="G373" s="21">
        <f t="shared" si="15"/>
        <v>4</v>
      </c>
      <c r="H373" s="22">
        <v>0</v>
      </c>
      <c r="I373" s="23" t="str">
        <f t="shared" si="16"/>
        <v xml:space="preserve">COM VALOR</v>
      </c>
      <c r="J373" s="19"/>
      <c r="L373" s="21">
        <v>4.2400000000000002</v>
      </c>
      <c r="M373" s="22">
        <v>0</v>
      </c>
      <c r="N373" s="21">
        <v>4</v>
      </c>
      <c r="O373" s="22">
        <v>0</v>
      </c>
    </row>
    <row r="374" ht="38.25">
      <c r="A374" t="s">
        <v>395</v>
      </c>
      <c r="B374" s="19">
        <v>90741</v>
      </c>
      <c r="C374" s="20" t="s">
        <v>406</v>
      </c>
      <c r="D374" s="19" t="s">
        <v>38</v>
      </c>
      <c r="E374" s="21">
        <f t="shared" si="14"/>
        <v>4.8200000000000003</v>
      </c>
      <c r="F374" s="22">
        <v>0</v>
      </c>
      <c r="G374" s="21">
        <f t="shared" si="15"/>
        <v>4.5599999999999996</v>
      </c>
      <c r="H374" s="22">
        <v>0</v>
      </c>
      <c r="I374" s="23" t="str">
        <f t="shared" si="16"/>
        <v xml:space="preserve">COM VALOR</v>
      </c>
      <c r="J374" s="19"/>
      <c r="L374" s="21">
        <v>4.8200000000000003</v>
      </c>
      <c r="M374" s="22">
        <v>0</v>
      </c>
      <c r="N374" s="21">
        <v>4.5599999999999996</v>
      </c>
      <c r="O374" s="22">
        <v>0</v>
      </c>
    </row>
    <row r="375" ht="38.25">
      <c r="A375" t="s">
        <v>395</v>
      </c>
      <c r="B375" s="19">
        <v>90742</v>
      </c>
      <c r="C375" s="20" t="s">
        <v>407</v>
      </c>
      <c r="D375" s="19" t="s">
        <v>38</v>
      </c>
      <c r="E375" s="21">
        <f t="shared" si="14"/>
        <v>5.4199999999999999</v>
      </c>
      <c r="F375" s="22">
        <v>0</v>
      </c>
      <c r="G375" s="21">
        <f t="shared" si="15"/>
        <v>5.1200000000000001</v>
      </c>
      <c r="H375" s="22">
        <v>0</v>
      </c>
      <c r="I375" s="23" t="str">
        <f t="shared" si="16"/>
        <v xml:space="preserve">COM VALOR</v>
      </c>
      <c r="J375" s="19"/>
      <c r="L375" s="21">
        <v>5.4199999999999999</v>
      </c>
      <c r="M375" s="22">
        <v>0</v>
      </c>
      <c r="N375" s="21">
        <v>5.1200000000000001</v>
      </c>
      <c r="O375" s="22">
        <v>0</v>
      </c>
    </row>
    <row r="376" ht="38.25">
      <c r="A376" t="s">
        <v>395</v>
      </c>
      <c r="B376" s="19">
        <v>90743</v>
      </c>
      <c r="C376" s="20" t="s">
        <v>408</v>
      </c>
      <c r="D376" s="19" t="s">
        <v>38</v>
      </c>
      <c r="E376" s="21">
        <f t="shared" si="14"/>
        <v>6.0099999999999998</v>
      </c>
      <c r="F376" s="22">
        <v>0</v>
      </c>
      <c r="G376" s="21">
        <f t="shared" si="15"/>
        <v>5.6900000000000004</v>
      </c>
      <c r="H376" s="22">
        <v>0</v>
      </c>
      <c r="I376" s="23" t="str">
        <f t="shared" si="16"/>
        <v xml:space="preserve">COM VALOR</v>
      </c>
      <c r="J376" s="19"/>
      <c r="L376" s="21">
        <v>6.0099999999999998</v>
      </c>
      <c r="M376" s="22">
        <v>0</v>
      </c>
      <c r="N376" s="21">
        <v>5.6900000000000004</v>
      </c>
      <c r="O376" s="22">
        <v>0</v>
      </c>
    </row>
    <row r="377" ht="38.25">
      <c r="A377" t="s">
        <v>395</v>
      </c>
      <c r="B377" s="19">
        <v>90744</v>
      </c>
      <c r="C377" s="20" t="s">
        <v>409</v>
      </c>
      <c r="D377" s="19" t="s">
        <v>38</v>
      </c>
      <c r="E377" s="21">
        <f t="shared" si="14"/>
        <v>6.6100000000000003</v>
      </c>
      <c r="F377" s="22">
        <v>0</v>
      </c>
      <c r="G377" s="21">
        <f t="shared" si="15"/>
        <v>6.25</v>
      </c>
      <c r="H377" s="22">
        <v>0</v>
      </c>
      <c r="I377" s="23" t="str">
        <f t="shared" si="16"/>
        <v xml:space="preserve">COM VALOR</v>
      </c>
      <c r="J377" s="19"/>
      <c r="L377" s="21">
        <v>6.6100000000000003</v>
      </c>
      <c r="M377" s="22">
        <v>0</v>
      </c>
      <c r="N377" s="21">
        <v>6.25</v>
      </c>
      <c r="O377" s="22">
        <v>0</v>
      </c>
    </row>
    <row r="378" ht="38.25">
      <c r="A378" t="s">
        <v>395</v>
      </c>
      <c r="B378" s="19">
        <v>90745</v>
      </c>
      <c r="C378" s="20" t="s">
        <v>410</v>
      </c>
      <c r="D378" s="19" t="s">
        <v>38</v>
      </c>
      <c r="E378" s="21">
        <f t="shared" si="14"/>
        <v>10.44</v>
      </c>
      <c r="F378" s="22">
        <v>0</v>
      </c>
      <c r="G378" s="21">
        <f t="shared" si="15"/>
        <v>10.109999999999999</v>
      </c>
      <c r="H378" s="22">
        <v>0</v>
      </c>
      <c r="I378" s="23" t="str">
        <f t="shared" si="16"/>
        <v xml:space="preserve">COM VALOR</v>
      </c>
      <c r="J378" s="19"/>
      <c r="L378" s="21">
        <v>10.44</v>
      </c>
      <c r="M378" s="22">
        <v>0</v>
      </c>
      <c r="N378" s="21">
        <v>10.109999999999999</v>
      </c>
      <c r="O378" s="22">
        <v>0</v>
      </c>
    </row>
    <row r="379" ht="38.25">
      <c r="A379" t="s">
        <v>395</v>
      </c>
      <c r="B379" s="19">
        <v>90733</v>
      </c>
      <c r="C379" s="20" t="s">
        <v>411</v>
      </c>
      <c r="D379" s="19" t="s">
        <v>38</v>
      </c>
      <c r="E379" s="21">
        <f t="shared" si="14"/>
        <v>3.21</v>
      </c>
      <c r="F379" s="22">
        <v>0</v>
      </c>
      <c r="G379" s="21">
        <f t="shared" si="15"/>
        <v>3.04</v>
      </c>
      <c r="H379" s="22">
        <v>0</v>
      </c>
      <c r="I379" s="23" t="str">
        <f t="shared" si="16"/>
        <v xml:space="preserve">COM VALOR</v>
      </c>
      <c r="J379" s="19"/>
      <c r="L379" s="21">
        <v>3.21</v>
      </c>
      <c r="M379" s="22">
        <v>0</v>
      </c>
      <c r="N379" s="21">
        <v>3.04</v>
      </c>
      <c r="O379" s="22">
        <v>0</v>
      </c>
    </row>
    <row r="380" ht="38.25">
      <c r="A380" t="s">
        <v>395</v>
      </c>
      <c r="B380" s="19">
        <v>90734</v>
      </c>
      <c r="C380" s="20" t="s">
        <v>412</v>
      </c>
      <c r="D380" s="19" t="s">
        <v>38</v>
      </c>
      <c r="E380" s="21">
        <f t="shared" si="14"/>
        <v>3.8100000000000001</v>
      </c>
      <c r="F380" s="22">
        <v>0</v>
      </c>
      <c r="G380" s="21">
        <f t="shared" si="15"/>
        <v>3.6000000000000001</v>
      </c>
      <c r="H380" s="22">
        <v>0</v>
      </c>
      <c r="I380" s="23" t="str">
        <f t="shared" si="16"/>
        <v xml:space="preserve">COM VALOR</v>
      </c>
      <c r="J380" s="19"/>
      <c r="L380" s="21">
        <v>3.8100000000000001</v>
      </c>
      <c r="M380" s="22">
        <v>0</v>
      </c>
      <c r="N380" s="21">
        <v>3.6000000000000001</v>
      </c>
      <c r="O380" s="22">
        <v>0</v>
      </c>
    </row>
    <row r="381" ht="38.25">
      <c r="A381" t="s">
        <v>395</v>
      </c>
      <c r="B381" s="19">
        <v>90735</v>
      </c>
      <c r="C381" s="20" t="s">
        <v>413</v>
      </c>
      <c r="D381" s="19" t="s">
        <v>38</v>
      </c>
      <c r="E381" s="21">
        <f t="shared" si="14"/>
        <v>4.3899999999999997</v>
      </c>
      <c r="F381" s="22">
        <v>0</v>
      </c>
      <c r="G381" s="21">
        <f t="shared" si="15"/>
        <v>4.1500000000000004</v>
      </c>
      <c r="H381" s="22">
        <v>0</v>
      </c>
      <c r="I381" s="23" t="str">
        <f t="shared" si="16"/>
        <v xml:space="preserve">COM VALOR</v>
      </c>
      <c r="J381" s="19"/>
      <c r="L381" s="21">
        <v>4.3899999999999997</v>
      </c>
      <c r="M381" s="22">
        <v>0</v>
      </c>
      <c r="N381" s="21">
        <v>4.1500000000000004</v>
      </c>
      <c r="O381" s="22">
        <v>0</v>
      </c>
    </row>
    <row r="382" ht="38.25">
      <c r="A382" t="s">
        <v>395</v>
      </c>
      <c r="B382" s="19">
        <v>90736</v>
      </c>
      <c r="C382" s="20" t="s">
        <v>414</v>
      </c>
      <c r="D382" s="19" t="s">
        <v>38</v>
      </c>
      <c r="E382" s="21">
        <f t="shared" si="14"/>
        <v>4.9900000000000002</v>
      </c>
      <c r="F382" s="22">
        <v>0</v>
      </c>
      <c r="G382" s="21">
        <f t="shared" si="15"/>
        <v>4.71</v>
      </c>
      <c r="H382" s="22">
        <v>0</v>
      </c>
      <c r="I382" s="23" t="str">
        <f t="shared" si="16"/>
        <v xml:space="preserve">COM VALOR</v>
      </c>
      <c r="J382" s="19"/>
      <c r="L382" s="21">
        <v>4.9900000000000002</v>
      </c>
      <c r="M382" s="22">
        <v>0</v>
      </c>
      <c r="N382" s="21">
        <v>4.71</v>
      </c>
      <c r="O382" s="22">
        <v>0</v>
      </c>
    </row>
    <row r="383" ht="38.25">
      <c r="A383" t="s">
        <v>395</v>
      </c>
      <c r="B383" s="19">
        <v>90737</v>
      </c>
      <c r="C383" s="20" t="s">
        <v>415</v>
      </c>
      <c r="D383" s="19" t="s">
        <v>38</v>
      </c>
      <c r="E383" s="21">
        <f t="shared" si="14"/>
        <v>5.5800000000000001</v>
      </c>
      <c r="F383" s="22">
        <v>0</v>
      </c>
      <c r="G383" s="21">
        <f t="shared" si="15"/>
        <v>5.2699999999999996</v>
      </c>
      <c r="H383" s="22">
        <v>0</v>
      </c>
      <c r="I383" s="23" t="str">
        <f t="shared" si="16"/>
        <v xml:space="preserve">COM VALOR</v>
      </c>
      <c r="J383" s="19"/>
      <c r="L383" s="21">
        <v>5.5800000000000001</v>
      </c>
      <c r="M383" s="22">
        <v>0</v>
      </c>
      <c r="N383" s="21">
        <v>5.2699999999999996</v>
      </c>
      <c r="O383" s="22">
        <v>0</v>
      </c>
    </row>
    <row r="384" ht="38.25">
      <c r="A384" t="s">
        <v>395</v>
      </c>
      <c r="B384" s="19">
        <v>90738</v>
      </c>
      <c r="C384" s="20" t="s">
        <v>416</v>
      </c>
      <c r="D384" s="19" t="s">
        <v>38</v>
      </c>
      <c r="E384" s="21">
        <f t="shared" si="14"/>
        <v>6.1699999999999999</v>
      </c>
      <c r="F384" s="22">
        <v>0</v>
      </c>
      <c r="G384" s="21">
        <f t="shared" si="15"/>
        <v>5.8399999999999999</v>
      </c>
      <c r="H384" s="22">
        <v>0</v>
      </c>
      <c r="I384" s="23" t="str">
        <f t="shared" si="16"/>
        <v xml:space="preserve">COM VALOR</v>
      </c>
      <c r="J384" s="19"/>
      <c r="L384" s="21">
        <v>6.1699999999999999</v>
      </c>
      <c r="M384" s="22">
        <v>0</v>
      </c>
      <c r="N384" s="21">
        <v>5.8399999999999999</v>
      </c>
      <c r="O384" s="22">
        <v>0</v>
      </c>
    </row>
    <row r="385" ht="38.25">
      <c r="A385" t="s">
        <v>395</v>
      </c>
      <c r="B385" s="19">
        <v>90739</v>
      </c>
      <c r="C385" s="20" t="s">
        <v>417</v>
      </c>
      <c r="D385" s="19" t="s">
        <v>38</v>
      </c>
      <c r="E385" s="21">
        <f t="shared" si="14"/>
        <v>9.3599999999999994</v>
      </c>
      <c r="F385" s="22">
        <v>0</v>
      </c>
      <c r="G385" s="21">
        <f t="shared" si="15"/>
        <v>9.0600000000000005</v>
      </c>
      <c r="H385" s="22">
        <v>0</v>
      </c>
      <c r="I385" s="23" t="str">
        <f t="shared" si="16"/>
        <v xml:space="preserve">COM VALOR</v>
      </c>
      <c r="J385" s="19"/>
      <c r="L385" s="21">
        <v>9.3599999999999994</v>
      </c>
      <c r="M385" s="22">
        <v>0</v>
      </c>
      <c r="N385" s="21">
        <v>9.0600000000000005</v>
      </c>
      <c r="O385" s="22">
        <v>0</v>
      </c>
    </row>
    <row r="386" ht="25.5">
      <c r="A386" t="s">
        <v>395</v>
      </c>
      <c r="B386" s="19">
        <v>90724</v>
      </c>
      <c r="C386" s="20" t="s">
        <v>418</v>
      </c>
      <c r="D386" s="19" t="s">
        <v>31</v>
      </c>
      <c r="E386" s="21">
        <f t="shared" si="14"/>
        <v>22.93</v>
      </c>
      <c r="F386" s="22">
        <v>0</v>
      </c>
      <c r="G386" s="21">
        <f t="shared" si="15"/>
        <v>21.75</v>
      </c>
      <c r="H386" s="22">
        <v>0</v>
      </c>
      <c r="I386" s="23" t="str">
        <f t="shared" si="16"/>
        <v xml:space="preserve">COM VALOR</v>
      </c>
      <c r="J386" s="19"/>
      <c r="L386" s="21">
        <v>22.93</v>
      </c>
      <c r="M386" s="22">
        <v>0</v>
      </c>
      <c r="N386" s="21">
        <v>21.75</v>
      </c>
      <c r="O386" s="22">
        <v>0</v>
      </c>
    </row>
    <row r="387" ht="25.5">
      <c r="A387" t="s">
        <v>395</v>
      </c>
      <c r="B387" s="19">
        <v>102267</v>
      </c>
      <c r="C387" s="20" t="s">
        <v>419</v>
      </c>
      <c r="D387" s="19" t="s">
        <v>31</v>
      </c>
      <c r="E387" s="21">
        <f t="shared" si="14"/>
        <v>123.88</v>
      </c>
      <c r="F387" s="22">
        <v>0</v>
      </c>
      <c r="G387" s="21">
        <f t="shared" si="15"/>
        <v>117.59999999999999</v>
      </c>
      <c r="H387" s="22">
        <v>0</v>
      </c>
      <c r="I387" s="23" t="str">
        <f t="shared" si="16"/>
        <v xml:space="preserve">COM VALOR</v>
      </c>
      <c r="J387" s="19"/>
      <c r="L387" s="21">
        <v>123.88</v>
      </c>
      <c r="M387" s="22">
        <v>0</v>
      </c>
      <c r="N387" s="21">
        <v>117.59999999999999</v>
      </c>
      <c r="O387" s="22">
        <v>0</v>
      </c>
    </row>
    <row r="388" ht="25.5">
      <c r="A388" t="s">
        <v>395</v>
      </c>
      <c r="B388" s="19">
        <v>102268</v>
      </c>
      <c r="C388" s="20" t="s">
        <v>420</v>
      </c>
      <c r="D388" s="19" t="s">
        <v>31</v>
      </c>
      <c r="E388" s="21">
        <f t="shared" si="14"/>
        <v>139.78999999999999</v>
      </c>
      <c r="F388" s="22">
        <v>0</v>
      </c>
      <c r="G388" s="21">
        <f t="shared" si="15"/>
        <v>132.72</v>
      </c>
      <c r="H388" s="22">
        <v>0</v>
      </c>
      <c r="I388" s="23" t="str">
        <f t="shared" si="16"/>
        <v xml:space="preserve">COM VALOR</v>
      </c>
      <c r="J388" s="19"/>
      <c r="L388" s="21">
        <v>139.78999999999999</v>
      </c>
      <c r="M388" s="22">
        <v>0</v>
      </c>
      <c r="N388" s="21">
        <v>132.72</v>
      </c>
      <c r="O388" s="22">
        <v>0</v>
      </c>
    </row>
    <row r="389" ht="25.5">
      <c r="A389" t="s">
        <v>395</v>
      </c>
      <c r="B389" s="19">
        <v>90725</v>
      </c>
      <c r="C389" s="20" t="s">
        <v>421</v>
      </c>
      <c r="D389" s="19" t="s">
        <v>31</v>
      </c>
      <c r="E389" s="21">
        <f t="shared" si="14"/>
        <v>28.23</v>
      </c>
      <c r="F389" s="22">
        <v>0</v>
      </c>
      <c r="G389" s="21">
        <f t="shared" si="15"/>
        <v>26.780000000000001</v>
      </c>
      <c r="H389" s="22">
        <v>0</v>
      </c>
      <c r="I389" s="23" t="str">
        <f t="shared" si="16"/>
        <v xml:space="preserve">COM VALOR</v>
      </c>
      <c r="J389" s="19"/>
      <c r="L389" s="21">
        <v>28.23</v>
      </c>
      <c r="M389" s="22">
        <v>0</v>
      </c>
      <c r="N389" s="21">
        <v>26.780000000000001</v>
      </c>
      <c r="O389" s="22">
        <v>0</v>
      </c>
    </row>
    <row r="390" ht="25.5">
      <c r="A390" t="s">
        <v>395</v>
      </c>
      <c r="B390" s="19">
        <v>102269</v>
      </c>
      <c r="C390" s="20" t="s">
        <v>422</v>
      </c>
      <c r="D390" s="19" t="s">
        <v>31</v>
      </c>
      <c r="E390" s="21">
        <f t="shared" si="14"/>
        <v>171.63</v>
      </c>
      <c r="F390" s="22">
        <v>0</v>
      </c>
      <c r="G390" s="21">
        <f t="shared" si="15"/>
        <v>162.94999999999999</v>
      </c>
      <c r="H390" s="22">
        <v>0</v>
      </c>
      <c r="I390" s="23" t="str">
        <f t="shared" si="16"/>
        <v xml:space="preserve">COM VALOR</v>
      </c>
      <c r="J390" s="19"/>
      <c r="L390" s="21">
        <v>171.63</v>
      </c>
      <c r="M390" s="22">
        <v>0</v>
      </c>
      <c r="N390" s="21">
        <v>162.94999999999999</v>
      </c>
      <c r="O390" s="22">
        <v>0</v>
      </c>
    </row>
    <row r="391" ht="25.5">
      <c r="A391" t="s">
        <v>395</v>
      </c>
      <c r="B391" s="19">
        <v>90726</v>
      </c>
      <c r="C391" s="20" t="s">
        <v>423</v>
      </c>
      <c r="D391" s="19" t="s">
        <v>31</v>
      </c>
      <c r="E391" s="21">
        <f t="shared" si="14"/>
        <v>33.609999999999999</v>
      </c>
      <c r="F391" s="22">
        <v>0</v>
      </c>
      <c r="G391" s="21">
        <f t="shared" si="15"/>
        <v>31.890000000000001</v>
      </c>
      <c r="H391" s="22">
        <v>0</v>
      </c>
      <c r="I391" s="23" t="str">
        <f t="shared" si="16"/>
        <v xml:space="preserve">COM VALOR</v>
      </c>
      <c r="J391" s="19"/>
      <c r="L391" s="21">
        <v>33.609999999999999</v>
      </c>
      <c r="M391" s="22">
        <v>0</v>
      </c>
      <c r="N391" s="21">
        <v>31.890000000000001</v>
      </c>
      <c r="O391" s="22">
        <v>0</v>
      </c>
    </row>
    <row r="392" ht="25.5">
      <c r="A392" t="s">
        <v>395</v>
      </c>
      <c r="B392" s="19">
        <v>90727</v>
      </c>
      <c r="C392" s="20" t="s">
        <v>424</v>
      </c>
      <c r="D392" s="19" t="s">
        <v>31</v>
      </c>
      <c r="E392" s="21">
        <f t="shared" si="14"/>
        <v>38.909999999999997</v>
      </c>
      <c r="F392" s="22">
        <v>0</v>
      </c>
      <c r="G392" s="21">
        <f t="shared" si="15"/>
        <v>36.920000000000002</v>
      </c>
      <c r="H392" s="22">
        <v>0</v>
      </c>
      <c r="I392" s="23" t="str">
        <f t="shared" si="16"/>
        <v xml:space="preserve">COM VALOR</v>
      </c>
      <c r="J392" s="19"/>
      <c r="L392" s="21">
        <v>38.909999999999997</v>
      </c>
      <c r="M392" s="22">
        <v>0</v>
      </c>
      <c r="N392" s="21">
        <v>36.920000000000002</v>
      </c>
      <c r="O392" s="22">
        <v>0</v>
      </c>
    </row>
    <row r="393" ht="25.5">
      <c r="A393" t="s">
        <v>395</v>
      </c>
      <c r="B393" s="19">
        <v>90728</v>
      </c>
      <c r="C393" s="20" t="s">
        <v>425</v>
      </c>
      <c r="D393" s="19" t="s">
        <v>31</v>
      </c>
      <c r="E393" s="21">
        <f t="shared" si="14"/>
        <v>44.229999999999997</v>
      </c>
      <c r="F393" s="22">
        <v>0</v>
      </c>
      <c r="G393" s="21">
        <f t="shared" si="15"/>
        <v>41.960000000000001</v>
      </c>
      <c r="H393" s="22">
        <v>0</v>
      </c>
      <c r="I393" s="23" t="str">
        <f t="shared" si="16"/>
        <v xml:space="preserve">COM VALOR</v>
      </c>
      <c r="J393" s="19"/>
      <c r="L393" s="21">
        <v>44.229999999999997</v>
      </c>
      <c r="M393" s="22">
        <v>0</v>
      </c>
      <c r="N393" s="21">
        <v>41.960000000000001</v>
      </c>
      <c r="O393" s="22">
        <v>0</v>
      </c>
    </row>
    <row r="394" ht="25.5">
      <c r="A394" t="s">
        <v>395</v>
      </c>
      <c r="B394" s="19">
        <v>90729</v>
      </c>
      <c r="C394" s="20" t="s">
        <v>426</v>
      </c>
      <c r="D394" s="19" t="s">
        <v>31</v>
      </c>
      <c r="E394" s="21">
        <f t="shared" si="14"/>
        <v>49.520000000000003</v>
      </c>
      <c r="F394" s="22">
        <v>0</v>
      </c>
      <c r="G394" s="21">
        <f t="shared" si="15"/>
        <v>47</v>
      </c>
      <c r="H394" s="22">
        <v>0</v>
      </c>
      <c r="I394" s="23" t="str">
        <f t="shared" si="16"/>
        <v xml:space="preserve">COM VALOR</v>
      </c>
      <c r="J394" s="19"/>
      <c r="L394" s="21">
        <v>49.520000000000003</v>
      </c>
      <c r="M394" s="22">
        <v>0</v>
      </c>
      <c r="N394" s="21">
        <v>47</v>
      </c>
      <c r="O394" s="22">
        <v>0</v>
      </c>
    </row>
    <row r="395" ht="25.5">
      <c r="A395" t="s">
        <v>395</v>
      </c>
      <c r="B395" s="19">
        <v>90730</v>
      </c>
      <c r="C395" s="20" t="s">
        <v>427</v>
      </c>
      <c r="D395" s="19" t="s">
        <v>31</v>
      </c>
      <c r="E395" s="21">
        <f t="shared" ref="E395:E458" si="17">IF(L395=0,"VERIFICAR",L395)</f>
        <v>54.840000000000003</v>
      </c>
      <c r="F395" s="22">
        <v>0</v>
      </c>
      <c r="G395" s="21">
        <f t="shared" ref="G395:G458" si="18">IF(N395=0,"VERIFICAR",N395)</f>
        <v>52.039999999999999</v>
      </c>
      <c r="H395" s="22">
        <v>0</v>
      </c>
      <c r="I395" s="23" t="str">
        <f t="shared" ref="I395:I458" si="19">IF(OR(E395=0,G395=0),"SEM VALOR","COM VALOR")</f>
        <v xml:space="preserve">COM VALOR</v>
      </c>
      <c r="J395" s="19"/>
      <c r="L395" s="21">
        <v>54.840000000000003</v>
      </c>
      <c r="M395" s="22">
        <v>0</v>
      </c>
      <c r="N395" s="21">
        <v>52.039999999999999</v>
      </c>
      <c r="O395" s="22">
        <v>0</v>
      </c>
    </row>
    <row r="396" ht="25.5">
      <c r="A396" t="s">
        <v>395</v>
      </c>
      <c r="B396" s="19">
        <v>90731</v>
      </c>
      <c r="C396" s="20" t="s">
        <v>428</v>
      </c>
      <c r="D396" s="19" t="s">
        <v>31</v>
      </c>
      <c r="E396" s="21">
        <f t="shared" si="17"/>
        <v>60.140000000000001</v>
      </c>
      <c r="F396" s="22">
        <v>0</v>
      </c>
      <c r="G396" s="21">
        <f t="shared" si="18"/>
        <v>57.079999999999998</v>
      </c>
      <c r="H396" s="22">
        <v>0</v>
      </c>
      <c r="I396" s="23" t="str">
        <f t="shared" si="19"/>
        <v xml:space="preserve">COM VALOR</v>
      </c>
      <c r="J396" s="19"/>
      <c r="L396" s="21">
        <v>60.140000000000001</v>
      </c>
      <c r="M396" s="22">
        <v>0</v>
      </c>
      <c r="N396" s="21">
        <v>57.079999999999998</v>
      </c>
      <c r="O396" s="22">
        <v>0</v>
      </c>
    </row>
    <row r="397" ht="25.5">
      <c r="A397" t="s">
        <v>395</v>
      </c>
      <c r="B397" s="19">
        <v>90732</v>
      </c>
      <c r="C397" s="20" t="s">
        <v>429</v>
      </c>
      <c r="D397" s="19" t="s">
        <v>31</v>
      </c>
      <c r="E397" s="21">
        <f t="shared" si="17"/>
        <v>76.049999999999997</v>
      </c>
      <c r="F397" s="22">
        <v>0</v>
      </c>
      <c r="G397" s="21">
        <f t="shared" si="18"/>
        <v>72.189999999999998</v>
      </c>
      <c r="H397" s="22">
        <v>0</v>
      </c>
      <c r="I397" s="23" t="str">
        <f t="shared" si="19"/>
        <v xml:space="preserve">COM VALOR</v>
      </c>
      <c r="J397" s="19"/>
      <c r="L397" s="21">
        <v>76.049999999999997</v>
      </c>
      <c r="M397" s="22">
        <v>0</v>
      </c>
      <c r="N397" s="21">
        <v>72.189999999999998</v>
      </c>
      <c r="O397" s="22">
        <v>0</v>
      </c>
    </row>
    <row r="398" ht="25.5">
      <c r="A398" t="s">
        <v>395</v>
      </c>
      <c r="B398" s="19">
        <v>102265</v>
      </c>
      <c r="C398" s="20" t="s">
        <v>430</v>
      </c>
      <c r="D398" s="19" t="s">
        <v>31</v>
      </c>
      <c r="E398" s="21">
        <f t="shared" si="17"/>
        <v>97.280000000000001</v>
      </c>
      <c r="F398" s="22">
        <v>0</v>
      </c>
      <c r="G398" s="21">
        <f t="shared" si="18"/>
        <v>92.349999999999994</v>
      </c>
      <c r="H398" s="22">
        <v>0</v>
      </c>
      <c r="I398" s="23" t="str">
        <f t="shared" si="19"/>
        <v xml:space="preserve">COM VALOR</v>
      </c>
      <c r="J398" s="19"/>
      <c r="L398" s="21">
        <v>97.280000000000001</v>
      </c>
      <c r="M398" s="22">
        <v>0</v>
      </c>
      <c r="N398" s="21">
        <v>92.349999999999994</v>
      </c>
      <c r="O398" s="22">
        <v>0</v>
      </c>
    </row>
    <row r="399" ht="25.5">
      <c r="A399" t="s">
        <v>395</v>
      </c>
      <c r="B399" s="19">
        <v>102266</v>
      </c>
      <c r="C399" s="20" t="s">
        <v>431</v>
      </c>
      <c r="D399" s="19" t="s">
        <v>31</v>
      </c>
      <c r="E399" s="21">
        <f t="shared" si="17"/>
        <v>107.90000000000001</v>
      </c>
      <c r="F399" s="22">
        <v>0</v>
      </c>
      <c r="G399" s="21">
        <f t="shared" si="18"/>
        <v>102.42</v>
      </c>
      <c r="H399" s="22">
        <v>0</v>
      </c>
      <c r="I399" s="23" t="str">
        <f t="shared" si="19"/>
        <v xml:space="preserve">COM VALOR</v>
      </c>
      <c r="J399" s="19"/>
      <c r="L399" s="21">
        <v>107.90000000000001</v>
      </c>
      <c r="M399" s="22">
        <v>0</v>
      </c>
      <c r="N399" s="21">
        <v>102.42</v>
      </c>
      <c r="O399" s="22">
        <v>0</v>
      </c>
    </row>
    <row r="400" ht="38.25">
      <c r="A400" t="s">
        <v>395</v>
      </c>
      <c r="B400" s="19">
        <v>94879</v>
      </c>
      <c r="C400" s="20" t="s">
        <v>432</v>
      </c>
      <c r="D400" s="19" t="s">
        <v>38</v>
      </c>
      <c r="E400" s="21">
        <f t="shared" si="17"/>
        <v>2087.02</v>
      </c>
      <c r="F400" s="22">
        <v>0</v>
      </c>
      <c r="G400" s="21">
        <f t="shared" si="18"/>
        <v>2086.0599999999999</v>
      </c>
      <c r="H400" s="22">
        <v>0</v>
      </c>
      <c r="I400" s="23" t="str">
        <f t="shared" si="19"/>
        <v xml:space="preserve">COM VALOR</v>
      </c>
      <c r="J400" s="19"/>
      <c r="L400" s="21">
        <v>2087.02</v>
      </c>
      <c r="M400" s="22">
        <v>0</v>
      </c>
      <c r="N400" s="21">
        <v>2086.0599999999999</v>
      </c>
      <c r="O400" s="22">
        <v>0</v>
      </c>
    </row>
    <row r="401" ht="38.25">
      <c r="A401" t="s">
        <v>395</v>
      </c>
      <c r="B401" s="19">
        <v>94881</v>
      </c>
      <c r="C401" s="20" t="s">
        <v>433</v>
      </c>
      <c r="D401" s="19" t="s">
        <v>38</v>
      </c>
      <c r="E401" s="21">
        <f t="shared" si="17"/>
        <v>2874.54</v>
      </c>
      <c r="F401" s="22">
        <v>0</v>
      </c>
      <c r="G401" s="21">
        <f t="shared" si="18"/>
        <v>2873.3899999999999</v>
      </c>
      <c r="H401" s="22">
        <v>0</v>
      </c>
      <c r="I401" s="23" t="str">
        <f t="shared" si="19"/>
        <v xml:space="preserve">COM VALOR</v>
      </c>
      <c r="J401" s="19"/>
      <c r="L401" s="21">
        <v>2874.54</v>
      </c>
      <c r="M401" s="22">
        <v>0</v>
      </c>
      <c r="N401" s="21">
        <v>2873.3899999999999</v>
      </c>
      <c r="O401" s="22">
        <v>0</v>
      </c>
    </row>
    <row r="402" ht="38.25">
      <c r="A402" t="s">
        <v>395</v>
      </c>
      <c r="B402" s="19">
        <v>94869</v>
      </c>
      <c r="C402" s="20" t="s">
        <v>434</v>
      </c>
      <c r="D402" s="19" t="s">
        <v>38</v>
      </c>
      <c r="E402" s="21">
        <f t="shared" si="17"/>
        <v>147.31</v>
      </c>
      <c r="F402" s="22">
        <v>0</v>
      </c>
      <c r="G402" s="21">
        <f t="shared" si="18"/>
        <v>147.27000000000001</v>
      </c>
      <c r="H402" s="22">
        <v>0</v>
      </c>
      <c r="I402" s="23" t="str">
        <f t="shared" si="19"/>
        <v xml:space="preserve">COM VALOR</v>
      </c>
      <c r="J402" s="19"/>
      <c r="L402" s="21">
        <v>147.31</v>
      </c>
      <c r="M402" s="22">
        <v>0</v>
      </c>
      <c r="N402" s="21">
        <v>147.27000000000001</v>
      </c>
      <c r="O402" s="22">
        <v>0</v>
      </c>
    </row>
    <row r="403" ht="38.25">
      <c r="A403" t="s">
        <v>395</v>
      </c>
      <c r="B403" s="19">
        <v>94871</v>
      </c>
      <c r="C403" s="20" t="s">
        <v>435</v>
      </c>
      <c r="D403" s="19" t="s">
        <v>38</v>
      </c>
      <c r="E403" s="21">
        <f t="shared" si="17"/>
        <v>230.40000000000001</v>
      </c>
      <c r="F403" s="22">
        <v>0</v>
      </c>
      <c r="G403" s="21">
        <f t="shared" si="18"/>
        <v>230.31999999999999</v>
      </c>
      <c r="H403" s="22">
        <v>0</v>
      </c>
      <c r="I403" s="23" t="str">
        <f t="shared" si="19"/>
        <v xml:space="preserve">COM VALOR</v>
      </c>
      <c r="J403" s="19"/>
      <c r="L403" s="21">
        <v>230.40000000000001</v>
      </c>
      <c r="M403" s="22">
        <v>0</v>
      </c>
      <c r="N403" s="21">
        <v>230.31999999999999</v>
      </c>
      <c r="O403" s="22">
        <v>0</v>
      </c>
    </row>
    <row r="404" ht="38.25">
      <c r="A404" t="s">
        <v>395</v>
      </c>
      <c r="B404" s="19">
        <v>90708</v>
      </c>
      <c r="C404" s="20" t="s">
        <v>436</v>
      </c>
      <c r="D404" s="19" t="s">
        <v>38</v>
      </c>
      <c r="E404" s="21">
        <f t="shared" si="17"/>
        <v>834.75999999999999</v>
      </c>
      <c r="F404" s="22">
        <v>0</v>
      </c>
      <c r="G404" s="21">
        <f t="shared" si="18"/>
        <v>834.30999999999995</v>
      </c>
      <c r="H404" s="22">
        <v>0</v>
      </c>
      <c r="I404" s="23" t="str">
        <f t="shared" si="19"/>
        <v xml:space="preserve">COM VALOR</v>
      </c>
      <c r="J404" s="19"/>
      <c r="L404" s="21">
        <v>834.75999999999999</v>
      </c>
      <c r="M404" s="22">
        <v>0</v>
      </c>
      <c r="N404" s="21">
        <v>834.30999999999995</v>
      </c>
      <c r="O404" s="22">
        <v>0</v>
      </c>
    </row>
    <row r="405" ht="38.25">
      <c r="A405" t="s">
        <v>395</v>
      </c>
      <c r="B405" s="19">
        <v>94875</v>
      </c>
      <c r="C405" s="20" t="s">
        <v>437</v>
      </c>
      <c r="D405" s="19" t="s">
        <v>38</v>
      </c>
      <c r="E405" s="21">
        <f t="shared" si="17"/>
        <v>1355.55</v>
      </c>
      <c r="F405" s="22">
        <v>0</v>
      </c>
      <c r="G405" s="21">
        <f t="shared" si="18"/>
        <v>1354.8699999999999</v>
      </c>
      <c r="H405" s="22">
        <v>0</v>
      </c>
      <c r="I405" s="23" t="str">
        <f t="shared" si="19"/>
        <v xml:space="preserve">COM VALOR</v>
      </c>
      <c r="J405" s="19"/>
      <c r="L405" s="21">
        <v>1355.55</v>
      </c>
      <c r="M405" s="22">
        <v>0</v>
      </c>
      <c r="N405" s="21">
        <v>1354.8699999999999</v>
      </c>
      <c r="O405" s="22">
        <v>0</v>
      </c>
    </row>
    <row r="406" ht="38.25">
      <c r="A406" t="s">
        <v>395</v>
      </c>
      <c r="B406" s="19">
        <v>102264</v>
      </c>
      <c r="C406" s="20" t="s">
        <v>438</v>
      </c>
      <c r="D406" s="19" t="s">
        <v>38</v>
      </c>
      <c r="E406" s="21">
        <f t="shared" si="17"/>
        <v>21.670000000000002</v>
      </c>
      <c r="F406" s="22">
        <v>0</v>
      </c>
      <c r="G406" s="21">
        <f t="shared" si="18"/>
        <v>21.5</v>
      </c>
      <c r="H406" s="22">
        <v>0</v>
      </c>
      <c r="I406" s="23" t="str">
        <f t="shared" si="19"/>
        <v xml:space="preserve">COM VALOR</v>
      </c>
      <c r="J406" s="19"/>
      <c r="L406" s="21">
        <v>21.670000000000002</v>
      </c>
      <c r="M406" s="22">
        <v>0</v>
      </c>
      <c r="N406" s="21">
        <v>21.5</v>
      </c>
      <c r="O406" s="22">
        <v>0</v>
      </c>
    </row>
    <row r="407" ht="38.25">
      <c r="A407" t="s">
        <v>395</v>
      </c>
      <c r="B407" s="19">
        <v>90701</v>
      </c>
      <c r="C407" s="20" t="s">
        <v>439</v>
      </c>
      <c r="D407" s="19" t="s">
        <v>38</v>
      </c>
      <c r="E407" s="21">
        <f t="shared" si="17"/>
        <v>75.930000000000007</v>
      </c>
      <c r="F407" s="22">
        <v>0</v>
      </c>
      <c r="G407" s="21">
        <f t="shared" si="18"/>
        <v>75.689999999999998</v>
      </c>
      <c r="H407" s="22">
        <v>0</v>
      </c>
      <c r="I407" s="23" t="str">
        <f t="shared" si="19"/>
        <v xml:space="preserve">COM VALOR</v>
      </c>
      <c r="J407" s="19"/>
      <c r="L407" s="21">
        <v>75.930000000000007</v>
      </c>
      <c r="M407" s="22">
        <v>0</v>
      </c>
      <c r="N407" s="21">
        <v>75.689999999999998</v>
      </c>
      <c r="O407" s="22">
        <v>0</v>
      </c>
    </row>
    <row r="408" ht="38.25">
      <c r="A408" t="s">
        <v>395</v>
      </c>
      <c r="B408" s="19">
        <v>90702</v>
      </c>
      <c r="C408" s="20" t="s">
        <v>440</v>
      </c>
      <c r="D408" s="19" t="s">
        <v>38</v>
      </c>
      <c r="E408" s="21">
        <f t="shared" si="17"/>
        <v>126.12</v>
      </c>
      <c r="F408" s="22">
        <v>0</v>
      </c>
      <c r="G408" s="21">
        <f t="shared" si="18"/>
        <v>125.86</v>
      </c>
      <c r="H408" s="22">
        <v>0</v>
      </c>
      <c r="I408" s="23" t="str">
        <f t="shared" si="19"/>
        <v xml:space="preserve">COM VALOR</v>
      </c>
      <c r="J408" s="19"/>
      <c r="L408" s="21">
        <v>126.12</v>
      </c>
      <c r="M408" s="22">
        <v>0</v>
      </c>
      <c r="N408" s="21">
        <v>125.86</v>
      </c>
      <c r="O408" s="22">
        <v>0</v>
      </c>
    </row>
    <row r="409" ht="38.25">
      <c r="A409" t="s">
        <v>395</v>
      </c>
      <c r="B409" s="19">
        <v>90703</v>
      </c>
      <c r="C409" s="20" t="s">
        <v>441</v>
      </c>
      <c r="D409" s="19" t="s">
        <v>38</v>
      </c>
      <c r="E409" s="21">
        <f t="shared" si="17"/>
        <v>197.72999999999999</v>
      </c>
      <c r="F409" s="22">
        <v>0</v>
      </c>
      <c r="G409" s="21">
        <f t="shared" si="18"/>
        <v>197.43000000000001</v>
      </c>
      <c r="H409" s="22">
        <v>0</v>
      </c>
      <c r="I409" s="23" t="str">
        <f t="shared" si="19"/>
        <v xml:space="preserve">COM VALOR</v>
      </c>
      <c r="J409" s="19"/>
      <c r="L409" s="21">
        <v>197.72999999999999</v>
      </c>
      <c r="M409" s="22">
        <v>0</v>
      </c>
      <c r="N409" s="21">
        <v>197.43000000000001</v>
      </c>
      <c r="O409" s="22">
        <v>0</v>
      </c>
    </row>
    <row r="410" ht="38.25">
      <c r="A410" t="s">
        <v>395</v>
      </c>
      <c r="B410" s="19">
        <v>90704</v>
      </c>
      <c r="C410" s="20" t="s">
        <v>442</v>
      </c>
      <c r="D410" s="19" t="s">
        <v>38</v>
      </c>
      <c r="E410" s="21">
        <f t="shared" si="17"/>
        <v>293.81</v>
      </c>
      <c r="F410" s="22">
        <v>0</v>
      </c>
      <c r="G410" s="21">
        <f t="shared" si="18"/>
        <v>293.49000000000001</v>
      </c>
      <c r="H410" s="22">
        <v>0</v>
      </c>
      <c r="I410" s="23" t="str">
        <f t="shared" si="19"/>
        <v xml:space="preserve">COM VALOR</v>
      </c>
      <c r="J410" s="19"/>
      <c r="L410" s="21">
        <v>293.81</v>
      </c>
      <c r="M410" s="22">
        <v>0</v>
      </c>
      <c r="N410" s="21">
        <v>293.49000000000001</v>
      </c>
      <c r="O410" s="22">
        <v>0</v>
      </c>
    </row>
    <row r="411" ht="38.25">
      <c r="A411" t="s">
        <v>395</v>
      </c>
      <c r="B411" s="19">
        <v>90705</v>
      </c>
      <c r="C411" s="20" t="s">
        <v>443</v>
      </c>
      <c r="D411" s="19" t="s">
        <v>38</v>
      </c>
      <c r="E411" s="21">
        <f t="shared" si="17"/>
        <v>385</v>
      </c>
      <c r="F411" s="22">
        <v>0</v>
      </c>
      <c r="G411" s="21">
        <f t="shared" si="18"/>
        <v>384.63999999999999</v>
      </c>
      <c r="H411" s="22">
        <v>0</v>
      </c>
      <c r="I411" s="23" t="str">
        <f t="shared" si="19"/>
        <v xml:space="preserve">COM VALOR</v>
      </c>
      <c r="J411" s="19"/>
      <c r="L411" s="21">
        <v>385</v>
      </c>
      <c r="M411" s="22">
        <v>0</v>
      </c>
      <c r="N411" s="21">
        <v>384.63999999999999</v>
      </c>
      <c r="O411" s="22">
        <v>0</v>
      </c>
    </row>
    <row r="412" ht="38.25">
      <c r="A412" t="s">
        <v>395</v>
      </c>
      <c r="B412" s="19">
        <v>90706</v>
      </c>
      <c r="C412" s="20" t="s">
        <v>444</v>
      </c>
      <c r="D412" s="19" t="s">
        <v>38</v>
      </c>
      <c r="E412" s="21">
        <f t="shared" si="17"/>
        <v>510.80000000000001</v>
      </c>
      <c r="F412" s="22">
        <v>0</v>
      </c>
      <c r="G412" s="21">
        <f t="shared" si="18"/>
        <v>510.47000000000003</v>
      </c>
      <c r="H412" s="22">
        <v>0</v>
      </c>
      <c r="I412" s="23" t="str">
        <f t="shared" si="19"/>
        <v xml:space="preserve">COM VALOR</v>
      </c>
      <c r="J412" s="19"/>
      <c r="L412" s="21">
        <v>510.80000000000001</v>
      </c>
      <c r="M412" s="22">
        <v>0</v>
      </c>
      <c r="N412" s="21">
        <v>510.47000000000003</v>
      </c>
      <c r="O412" s="22">
        <v>0</v>
      </c>
    </row>
    <row r="413" ht="38.25">
      <c r="A413" t="s">
        <v>395</v>
      </c>
      <c r="B413" s="19">
        <v>90694</v>
      </c>
      <c r="C413" s="20" t="s">
        <v>445</v>
      </c>
      <c r="D413" s="19" t="s">
        <v>38</v>
      </c>
      <c r="E413" s="21">
        <f t="shared" si="17"/>
        <v>50.899999999999999</v>
      </c>
      <c r="F413" s="22">
        <v>0</v>
      </c>
      <c r="G413" s="21">
        <f t="shared" si="18"/>
        <v>50.729999999999997</v>
      </c>
      <c r="H413" s="22">
        <v>0</v>
      </c>
      <c r="I413" s="23" t="str">
        <f t="shared" si="19"/>
        <v xml:space="preserve">COM VALOR</v>
      </c>
      <c r="J413" s="19"/>
      <c r="L413" s="21">
        <v>50.899999999999999</v>
      </c>
      <c r="M413" s="22">
        <v>0</v>
      </c>
      <c r="N413" s="21">
        <v>50.729999999999997</v>
      </c>
      <c r="O413" s="22">
        <v>0</v>
      </c>
    </row>
    <row r="414" ht="38.25">
      <c r="A414" t="s">
        <v>395</v>
      </c>
      <c r="B414" s="19">
        <v>90695</v>
      </c>
      <c r="C414" s="20" t="s">
        <v>446</v>
      </c>
      <c r="D414" s="19" t="s">
        <v>38</v>
      </c>
      <c r="E414" s="21">
        <f t="shared" si="17"/>
        <v>97.159999999999997</v>
      </c>
      <c r="F414" s="22">
        <v>0</v>
      </c>
      <c r="G414" s="21">
        <f t="shared" si="18"/>
        <v>96.950000000000003</v>
      </c>
      <c r="H414" s="22">
        <v>0</v>
      </c>
      <c r="I414" s="23" t="str">
        <f t="shared" si="19"/>
        <v xml:space="preserve">COM VALOR</v>
      </c>
      <c r="J414" s="19"/>
      <c r="L414" s="21">
        <v>97.159999999999997</v>
      </c>
      <c r="M414" s="22">
        <v>0</v>
      </c>
      <c r="N414" s="21">
        <v>96.950000000000003</v>
      </c>
      <c r="O414" s="22">
        <v>0</v>
      </c>
    </row>
    <row r="415" ht="38.25">
      <c r="A415" t="s">
        <v>395</v>
      </c>
      <c r="B415" s="19">
        <v>90696</v>
      </c>
      <c r="C415" s="20" t="s">
        <v>447</v>
      </c>
      <c r="D415" s="19" t="s">
        <v>38</v>
      </c>
      <c r="E415" s="21">
        <f t="shared" si="17"/>
        <v>162.68000000000001</v>
      </c>
      <c r="F415" s="22">
        <v>0</v>
      </c>
      <c r="G415" s="21">
        <f t="shared" si="18"/>
        <v>162.44</v>
      </c>
      <c r="H415" s="22">
        <v>0</v>
      </c>
      <c r="I415" s="23" t="str">
        <f t="shared" si="19"/>
        <v xml:space="preserve">COM VALOR</v>
      </c>
      <c r="J415" s="19"/>
      <c r="L415" s="21">
        <v>162.68000000000001</v>
      </c>
      <c r="M415" s="22">
        <v>0</v>
      </c>
      <c r="N415" s="21">
        <v>162.44</v>
      </c>
      <c r="O415" s="22">
        <v>0</v>
      </c>
    </row>
    <row r="416" ht="38.25">
      <c r="A416" t="s">
        <v>395</v>
      </c>
      <c r="B416" s="19">
        <v>90697</v>
      </c>
      <c r="C416" s="20" t="s">
        <v>448</v>
      </c>
      <c r="D416" s="19" t="s">
        <v>38</v>
      </c>
      <c r="E416" s="21">
        <f t="shared" si="17"/>
        <v>252.74000000000001</v>
      </c>
      <c r="F416" s="22">
        <v>0</v>
      </c>
      <c r="G416" s="21">
        <f t="shared" si="18"/>
        <v>252.46000000000001</v>
      </c>
      <c r="H416" s="22">
        <v>0</v>
      </c>
      <c r="I416" s="23" t="str">
        <f t="shared" si="19"/>
        <v xml:space="preserve">COM VALOR</v>
      </c>
      <c r="J416" s="19"/>
      <c r="L416" s="21">
        <v>252.74000000000001</v>
      </c>
      <c r="M416" s="22">
        <v>0</v>
      </c>
      <c r="N416" s="21">
        <v>252.46000000000001</v>
      </c>
      <c r="O416" s="22">
        <v>0</v>
      </c>
    </row>
    <row r="417" ht="38.25">
      <c r="A417" t="s">
        <v>395</v>
      </c>
      <c r="B417" s="19">
        <v>90698</v>
      </c>
      <c r="C417" s="20" t="s">
        <v>449</v>
      </c>
      <c r="D417" s="19" t="s">
        <v>38</v>
      </c>
      <c r="E417" s="21">
        <f t="shared" si="17"/>
        <v>386.69</v>
      </c>
      <c r="F417" s="22">
        <v>0</v>
      </c>
      <c r="G417" s="21">
        <f t="shared" si="18"/>
        <v>386.38</v>
      </c>
      <c r="H417" s="22">
        <v>0</v>
      </c>
      <c r="I417" s="23" t="str">
        <f t="shared" si="19"/>
        <v xml:space="preserve">COM VALOR</v>
      </c>
      <c r="J417" s="19"/>
      <c r="L417" s="21">
        <v>386.69</v>
      </c>
      <c r="M417" s="22">
        <v>0</v>
      </c>
      <c r="N417" s="21">
        <v>386.38</v>
      </c>
      <c r="O417" s="22">
        <v>0</v>
      </c>
    </row>
    <row r="418" ht="38.25">
      <c r="A418" t="s">
        <v>395</v>
      </c>
      <c r="B418" s="19">
        <v>90699</v>
      </c>
      <c r="C418" s="20" t="s">
        <v>450</v>
      </c>
      <c r="D418" s="19" t="s">
        <v>38</v>
      </c>
      <c r="E418" s="21">
        <f t="shared" si="17"/>
        <v>544.57000000000005</v>
      </c>
      <c r="F418" s="22">
        <v>0</v>
      </c>
      <c r="G418" s="21">
        <f t="shared" si="18"/>
        <v>544.24000000000001</v>
      </c>
      <c r="H418" s="22">
        <v>0</v>
      </c>
      <c r="I418" s="23" t="str">
        <f t="shared" si="19"/>
        <v xml:space="preserve">COM VALOR</v>
      </c>
      <c r="J418" s="19"/>
      <c r="L418" s="21">
        <v>544.57000000000005</v>
      </c>
      <c r="M418" s="22">
        <v>0</v>
      </c>
      <c r="N418" s="21">
        <v>544.24000000000001</v>
      </c>
      <c r="O418" s="22">
        <v>0</v>
      </c>
    </row>
    <row r="419" ht="38.25">
      <c r="A419" t="s">
        <v>395</v>
      </c>
      <c r="B419" s="19">
        <v>90700</v>
      </c>
      <c r="C419" s="20" t="s">
        <v>451</v>
      </c>
      <c r="D419" s="19" t="s">
        <v>38</v>
      </c>
      <c r="E419" s="21">
        <f t="shared" si="17"/>
        <v>636.37</v>
      </c>
      <c r="F419" s="22">
        <v>0</v>
      </c>
      <c r="G419" s="21">
        <f t="shared" si="18"/>
        <v>636.07000000000005</v>
      </c>
      <c r="H419" s="22">
        <v>0</v>
      </c>
      <c r="I419" s="23" t="str">
        <f t="shared" si="19"/>
        <v xml:space="preserve">COM VALOR</v>
      </c>
      <c r="J419" s="19"/>
      <c r="L419" s="21">
        <v>636.37</v>
      </c>
      <c r="M419" s="22">
        <v>0</v>
      </c>
      <c r="N419" s="21">
        <v>636.07000000000005</v>
      </c>
      <c r="O419" s="22">
        <v>0</v>
      </c>
    </row>
    <row r="420" ht="51">
      <c r="A420" t="s">
        <v>452</v>
      </c>
      <c r="B420" s="19">
        <v>105378</v>
      </c>
      <c r="C420" s="20" t="s">
        <v>453</v>
      </c>
      <c r="D420" s="19" t="s">
        <v>31</v>
      </c>
      <c r="E420" s="21">
        <f t="shared" si="17"/>
        <v>12.130000000000001</v>
      </c>
      <c r="F420" s="22">
        <v>0</v>
      </c>
      <c r="G420" s="21">
        <f t="shared" si="18"/>
        <v>11.720000000000001</v>
      </c>
      <c r="H420" s="22">
        <v>0</v>
      </c>
      <c r="I420" s="23" t="str">
        <f t="shared" si="19"/>
        <v xml:space="preserve">COM VALOR</v>
      </c>
      <c r="J420" s="19"/>
      <c r="L420" s="21">
        <v>12.130000000000001</v>
      </c>
      <c r="M420" s="22">
        <v>0</v>
      </c>
      <c r="N420" s="21">
        <v>11.720000000000001</v>
      </c>
      <c r="O420" s="22">
        <v>0</v>
      </c>
    </row>
    <row r="421" ht="51">
      <c r="A421" t="s">
        <v>452</v>
      </c>
      <c r="B421" s="19">
        <v>105373</v>
      </c>
      <c r="C421" s="20" t="s">
        <v>454</v>
      </c>
      <c r="D421" s="19" t="s">
        <v>31</v>
      </c>
      <c r="E421" s="21">
        <f t="shared" si="17"/>
        <v>9.4700000000000006</v>
      </c>
      <c r="F421" s="22">
        <v>0</v>
      </c>
      <c r="G421" s="21">
        <f t="shared" si="18"/>
        <v>9.1400000000000006</v>
      </c>
      <c r="H421" s="22">
        <v>0</v>
      </c>
      <c r="I421" s="23" t="str">
        <f t="shared" si="19"/>
        <v xml:space="preserve">COM VALOR</v>
      </c>
      <c r="J421" s="19"/>
      <c r="L421" s="21">
        <v>9.4700000000000006</v>
      </c>
      <c r="M421" s="22">
        <v>0</v>
      </c>
      <c r="N421" s="21">
        <v>9.1400000000000006</v>
      </c>
      <c r="O421" s="22">
        <v>0</v>
      </c>
    </row>
    <row r="422" ht="51">
      <c r="A422" t="s">
        <v>452</v>
      </c>
      <c r="B422" s="19">
        <v>105380</v>
      </c>
      <c r="C422" s="20" t="s">
        <v>455</v>
      </c>
      <c r="D422" s="19" t="s">
        <v>31</v>
      </c>
      <c r="E422" s="21">
        <f t="shared" si="17"/>
        <v>94.920000000000002</v>
      </c>
      <c r="F422" s="22">
        <v>0</v>
      </c>
      <c r="G422" s="21">
        <f t="shared" si="18"/>
        <v>91.719999999999999</v>
      </c>
      <c r="H422" s="22">
        <v>0</v>
      </c>
      <c r="I422" s="23" t="str">
        <f t="shared" si="19"/>
        <v xml:space="preserve">COM VALOR</v>
      </c>
      <c r="J422" s="19"/>
      <c r="L422" s="21">
        <v>94.920000000000002</v>
      </c>
      <c r="M422" s="22">
        <v>0</v>
      </c>
      <c r="N422" s="21">
        <v>91.719999999999999</v>
      </c>
      <c r="O422" s="22">
        <v>0</v>
      </c>
    </row>
    <row r="423" ht="51">
      <c r="A423" t="s">
        <v>452</v>
      </c>
      <c r="B423" s="19">
        <v>105267</v>
      </c>
      <c r="C423" s="20" t="s">
        <v>456</v>
      </c>
      <c r="D423" s="19" t="s">
        <v>31</v>
      </c>
      <c r="E423" s="21">
        <f t="shared" si="17"/>
        <v>77.129999999999995</v>
      </c>
      <c r="F423" s="22">
        <v>0</v>
      </c>
      <c r="G423" s="21">
        <f t="shared" si="18"/>
        <v>74.469999999999999</v>
      </c>
      <c r="H423" s="22">
        <v>0</v>
      </c>
      <c r="I423" s="23" t="str">
        <f t="shared" si="19"/>
        <v xml:space="preserve">COM VALOR</v>
      </c>
      <c r="J423" s="19"/>
      <c r="L423" s="21">
        <v>77.129999999999995</v>
      </c>
      <c r="M423" s="22">
        <v>0</v>
      </c>
      <c r="N423" s="21">
        <v>74.469999999999999</v>
      </c>
      <c r="O423" s="22">
        <v>0</v>
      </c>
    </row>
    <row r="424" ht="51">
      <c r="A424" t="s">
        <v>452</v>
      </c>
      <c r="B424" s="19">
        <v>105249</v>
      </c>
      <c r="C424" s="20" t="s">
        <v>457</v>
      </c>
      <c r="D424" s="19" t="s">
        <v>31</v>
      </c>
      <c r="E424" s="21">
        <f t="shared" si="17"/>
        <v>116.42</v>
      </c>
      <c r="F424" s="22">
        <v>0</v>
      </c>
      <c r="G424" s="21">
        <f t="shared" si="18"/>
        <v>112.59999999999999</v>
      </c>
      <c r="H424" s="22">
        <v>0</v>
      </c>
      <c r="I424" s="23" t="str">
        <f t="shared" si="19"/>
        <v xml:space="preserve">COM VALOR</v>
      </c>
      <c r="J424" s="19"/>
      <c r="L424" s="21">
        <v>116.42</v>
      </c>
      <c r="M424" s="22">
        <v>0</v>
      </c>
      <c r="N424" s="21">
        <v>112.59999999999999</v>
      </c>
      <c r="O424" s="22">
        <v>0</v>
      </c>
    </row>
    <row r="425" ht="51">
      <c r="A425" t="s">
        <v>452</v>
      </c>
      <c r="B425" s="19">
        <v>105268</v>
      </c>
      <c r="C425" s="20" t="s">
        <v>458</v>
      </c>
      <c r="D425" s="19" t="s">
        <v>31</v>
      </c>
      <c r="E425" s="21">
        <f t="shared" si="17"/>
        <v>95.450000000000003</v>
      </c>
      <c r="F425" s="22">
        <v>0</v>
      </c>
      <c r="G425" s="21">
        <f t="shared" si="18"/>
        <v>92.260000000000005</v>
      </c>
      <c r="H425" s="22">
        <v>0</v>
      </c>
      <c r="I425" s="23" t="str">
        <f t="shared" si="19"/>
        <v xml:space="preserve">COM VALOR</v>
      </c>
      <c r="J425" s="19"/>
      <c r="L425" s="21">
        <v>95.450000000000003</v>
      </c>
      <c r="M425" s="22">
        <v>0</v>
      </c>
      <c r="N425" s="21">
        <v>92.260000000000005</v>
      </c>
      <c r="O425" s="22">
        <v>0</v>
      </c>
    </row>
    <row r="426" ht="51">
      <c r="A426" t="s">
        <v>452</v>
      </c>
      <c r="B426" s="19">
        <v>105379</v>
      </c>
      <c r="C426" s="20" t="s">
        <v>459</v>
      </c>
      <c r="D426" s="19" t="s">
        <v>31</v>
      </c>
      <c r="E426" s="21">
        <f t="shared" si="17"/>
        <v>15.98</v>
      </c>
      <c r="F426" s="22">
        <v>0</v>
      </c>
      <c r="G426" s="21">
        <f t="shared" si="18"/>
        <v>15.41</v>
      </c>
      <c r="H426" s="22">
        <v>0</v>
      </c>
      <c r="I426" s="23" t="str">
        <f t="shared" si="19"/>
        <v xml:space="preserve">COM VALOR</v>
      </c>
      <c r="J426" s="19"/>
      <c r="L426" s="21">
        <v>15.98</v>
      </c>
      <c r="M426" s="22">
        <v>0</v>
      </c>
      <c r="N426" s="21">
        <v>15.41</v>
      </c>
      <c r="O426" s="22">
        <v>0</v>
      </c>
    </row>
    <row r="427" ht="51">
      <c r="A427" t="s">
        <v>452</v>
      </c>
      <c r="B427" s="19">
        <v>105388</v>
      </c>
      <c r="C427" s="20" t="s">
        <v>460</v>
      </c>
      <c r="D427" s="19" t="s">
        <v>31</v>
      </c>
      <c r="E427" s="21">
        <f t="shared" si="17"/>
        <v>12.66</v>
      </c>
      <c r="F427" s="22">
        <v>0</v>
      </c>
      <c r="G427" s="21">
        <f t="shared" si="18"/>
        <v>12.210000000000001</v>
      </c>
      <c r="H427" s="22">
        <v>0</v>
      </c>
      <c r="I427" s="23" t="str">
        <f t="shared" si="19"/>
        <v xml:space="preserve">COM VALOR</v>
      </c>
      <c r="J427" s="19"/>
      <c r="L427" s="21">
        <v>12.66</v>
      </c>
      <c r="M427" s="22">
        <v>0</v>
      </c>
      <c r="N427" s="21">
        <v>12.210000000000001</v>
      </c>
      <c r="O427" s="22">
        <v>0</v>
      </c>
    </row>
    <row r="428" ht="51">
      <c r="A428" t="s">
        <v>452</v>
      </c>
      <c r="B428" s="19">
        <v>105392</v>
      </c>
      <c r="C428" s="20" t="s">
        <v>461</v>
      </c>
      <c r="D428" s="19" t="s">
        <v>31</v>
      </c>
      <c r="E428" s="21">
        <f t="shared" si="17"/>
        <v>19.84</v>
      </c>
      <c r="F428" s="22">
        <v>0</v>
      </c>
      <c r="G428" s="21">
        <f t="shared" si="18"/>
        <v>19.120000000000001</v>
      </c>
      <c r="H428" s="22">
        <v>0</v>
      </c>
      <c r="I428" s="23" t="str">
        <f t="shared" si="19"/>
        <v xml:space="preserve">COM VALOR</v>
      </c>
      <c r="J428" s="19"/>
      <c r="L428" s="21">
        <v>19.84</v>
      </c>
      <c r="M428" s="22">
        <v>0</v>
      </c>
      <c r="N428" s="21">
        <v>19.120000000000001</v>
      </c>
      <c r="O428" s="22">
        <v>0</v>
      </c>
    </row>
    <row r="429" ht="51">
      <c r="A429" t="s">
        <v>452</v>
      </c>
      <c r="B429" s="19">
        <v>105389</v>
      </c>
      <c r="C429" s="20" t="s">
        <v>462</v>
      </c>
      <c r="D429" s="19" t="s">
        <v>31</v>
      </c>
      <c r="E429" s="21">
        <f t="shared" si="17"/>
        <v>15.880000000000001</v>
      </c>
      <c r="F429" s="22">
        <v>0</v>
      </c>
      <c r="G429" s="21">
        <f t="shared" si="18"/>
        <v>15.300000000000001</v>
      </c>
      <c r="H429" s="22">
        <v>0</v>
      </c>
      <c r="I429" s="23" t="str">
        <f t="shared" si="19"/>
        <v xml:space="preserve">COM VALOR</v>
      </c>
      <c r="J429" s="19"/>
      <c r="L429" s="21">
        <v>15.880000000000001</v>
      </c>
      <c r="M429" s="22">
        <v>0</v>
      </c>
      <c r="N429" s="21">
        <v>15.300000000000001</v>
      </c>
      <c r="O429" s="22">
        <v>0</v>
      </c>
    </row>
    <row r="430" ht="51">
      <c r="A430" t="s">
        <v>452</v>
      </c>
      <c r="B430" s="19">
        <v>105393</v>
      </c>
      <c r="C430" s="20" t="s">
        <v>463</v>
      </c>
      <c r="D430" s="19" t="s">
        <v>31</v>
      </c>
      <c r="E430" s="21">
        <f t="shared" si="17"/>
        <v>23.890000000000001</v>
      </c>
      <c r="F430" s="22">
        <v>0</v>
      </c>
      <c r="G430" s="21">
        <f t="shared" si="18"/>
        <v>23.010000000000002</v>
      </c>
      <c r="H430" s="22">
        <v>0</v>
      </c>
      <c r="I430" s="23" t="str">
        <f t="shared" si="19"/>
        <v xml:space="preserve">COM VALOR</v>
      </c>
      <c r="J430" s="19"/>
      <c r="L430" s="21">
        <v>23.890000000000001</v>
      </c>
      <c r="M430" s="22">
        <v>0</v>
      </c>
      <c r="N430" s="21">
        <v>23.010000000000002</v>
      </c>
      <c r="O430" s="22">
        <v>0</v>
      </c>
    </row>
    <row r="431" ht="51">
      <c r="A431" t="s">
        <v>452</v>
      </c>
      <c r="B431" s="19">
        <v>105316</v>
      </c>
      <c r="C431" s="20" t="s">
        <v>464</v>
      </c>
      <c r="D431" s="19" t="s">
        <v>31</v>
      </c>
      <c r="E431" s="21">
        <f t="shared" si="17"/>
        <v>19.289999999999999</v>
      </c>
      <c r="F431" s="22">
        <v>0</v>
      </c>
      <c r="G431" s="21">
        <f t="shared" si="18"/>
        <v>18.579999999999998</v>
      </c>
      <c r="H431" s="22">
        <v>0</v>
      </c>
      <c r="I431" s="23" t="str">
        <f t="shared" si="19"/>
        <v xml:space="preserve">COM VALOR</v>
      </c>
      <c r="J431" s="19"/>
      <c r="L431" s="21">
        <v>19.289999999999999</v>
      </c>
      <c r="M431" s="22">
        <v>0</v>
      </c>
      <c r="N431" s="21">
        <v>18.579999999999998</v>
      </c>
      <c r="O431" s="22">
        <v>0</v>
      </c>
    </row>
    <row r="432" ht="51">
      <c r="A432" t="s">
        <v>452</v>
      </c>
      <c r="B432" s="19">
        <v>105394</v>
      </c>
      <c r="C432" s="20" t="s">
        <v>465</v>
      </c>
      <c r="D432" s="19" t="s">
        <v>31</v>
      </c>
      <c r="E432" s="21">
        <f t="shared" si="17"/>
        <v>27.91</v>
      </c>
      <c r="F432" s="22">
        <v>0</v>
      </c>
      <c r="G432" s="21">
        <f t="shared" si="18"/>
        <v>26.870000000000001</v>
      </c>
      <c r="H432" s="22">
        <v>0</v>
      </c>
      <c r="I432" s="23" t="str">
        <f t="shared" si="19"/>
        <v xml:space="preserve">COM VALOR</v>
      </c>
      <c r="J432" s="19"/>
      <c r="L432" s="21">
        <v>27.91</v>
      </c>
      <c r="M432" s="22">
        <v>0</v>
      </c>
      <c r="N432" s="21">
        <v>26.870000000000001</v>
      </c>
      <c r="O432" s="22">
        <v>0</v>
      </c>
    </row>
    <row r="433" ht="51">
      <c r="A433" t="s">
        <v>452</v>
      </c>
      <c r="B433" s="19">
        <v>105317</v>
      </c>
      <c r="C433" s="20" t="s">
        <v>466</v>
      </c>
      <c r="D433" s="19" t="s">
        <v>31</v>
      </c>
      <c r="E433" s="21">
        <f t="shared" si="17"/>
        <v>22.66</v>
      </c>
      <c r="F433" s="22">
        <v>0</v>
      </c>
      <c r="G433" s="21">
        <f t="shared" si="18"/>
        <v>21.829999999999998</v>
      </c>
      <c r="H433" s="22">
        <v>0</v>
      </c>
      <c r="I433" s="23" t="str">
        <f t="shared" si="19"/>
        <v xml:space="preserve">COM VALOR</v>
      </c>
      <c r="J433" s="19"/>
      <c r="L433" s="21">
        <v>22.66</v>
      </c>
      <c r="M433" s="22">
        <v>0</v>
      </c>
      <c r="N433" s="21">
        <v>21.829999999999998</v>
      </c>
      <c r="O433" s="22">
        <v>0</v>
      </c>
    </row>
    <row r="434" ht="51">
      <c r="A434" t="s">
        <v>452</v>
      </c>
      <c r="B434" s="19">
        <v>105395</v>
      </c>
      <c r="C434" s="20" t="s">
        <v>467</v>
      </c>
      <c r="D434" s="19" t="s">
        <v>31</v>
      </c>
      <c r="E434" s="21">
        <f t="shared" si="17"/>
        <v>31.920000000000002</v>
      </c>
      <c r="F434" s="22">
        <v>0</v>
      </c>
      <c r="G434" s="21">
        <f t="shared" si="18"/>
        <v>30.739999999999998</v>
      </c>
      <c r="H434" s="22">
        <v>0</v>
      </c>
      <c r="I434" s="23" t="str">
        <f t="shared" si="19"/>
        <v xml:space="preserve">COM VALOR</v>
      </c>
      <c r="J434" s="19"/>
      <c r="L434" s="21">
        <v>31.920000000000002</v>
      </c>
      <c r="M434" s="22">
        <v>0</v>
      </c>
      <c r="N434" s="21">
        <v>30.739999999999998</v>
      </c>
      <c r="O434" s="22">
        <v>0</v>
      </c>
    </row>
    <row r="435" ht="51">
      <c r="A435" t="s">
        <v>452</v>
      </c>
      <c r="B435" s="19">
        <v>105318</v>
      </c>
      <c r="C435" s="20" t="s">
        <v>468</v>
      </c>
      <c r="D435" s="19" t="s">
        <v>31</v>
      </c>
      <c r="E435" s="21">
        <f t="shared" si="17"/>
        <v>26.030000000000001</v>
      </c>
      <c r="F435" s="22">
        <v>0</v>
      </c>
      <c r="G435" s="21">
        <f t="shared" si="18"/>
        <v>25.079999999999998</v>
      </c>
      <c r="H435" s="22">
        <v>0</v>
      </c>
      <c r="I435" s="23" t="str">
        <f t="shared" si="19"/>
        <v xml:space="preserve">COM VALOR</v>
      </c>
      <c r="J435" s="19"/>
      <c r="L435" s="21">
        <v>26.030000000000001</v>
      </c>
      <c r="M435" s="22">
        <v>0</v>
      </c>
      <c r="N435" s="21">
        <v>25.079999999999998</v>
      </c>
      <c r="O435" s="22">
        <v>0</v>
      </c>
    </row>
    <row r="436" ht="51">
      <c r="A436" t="s">
        <v>452</v>
      </c>
      <c r="B436" s="19">
        <v>105396</v>
      </c>
      <c r="C436" s="20" t="s">
        <v>469</v>
      </c>
      <c r="D436" s="19" t="s">
        <v>31</v>
      </c>
      <c r="E436" s="21">
        <f t="shared" si="17"/>
        <v>35.950000000000003</v>
      </c>
      <c r="F436" s="22">
        <v>0</v>
      </c>
      <c r="G436" s="21">
        <f t="shared" si="18"/>
        <v>34.609999999999999</v>
      </c>
      <c r="H436" s="22">
        <v>0</v>
      </c>
      <c r="I436" s="23" t="str">
        <f t="shared" si="19"/>
        <v xml:space="preserve">COM VALOR</v>
      </c>
      <c r="J436" s="19"/>
      <c r="L436" s="21">
        <v>35.950000000000003</v>
      </c>
      <c r="M436" s="22">
        <v>0</v>
      </c>
      <c r="N436" s="21">
        <v>34.609999999999999</v>
      </c>
      <c r="O436" s="22">
        <v>0</v>
      </c>
    </row>
    <row r="437" ht="51">
      <c r="A437" t="s">
        <v>452</v>
      </c>
      <c r="B437" s="19">
        <v>105258</v>
      </c>
      <c r="C437" s="20" t="s">
        <v>470</v>
      </c>
      <c r="D437" s="19" t="s">
        <v>31</v>
      </c>
      <c r="E437" s="21">
        <f t="shared" si="17"/>
        <v>29.420000000000002</v>
      </c>
      <c r="F437" s="22">
        <v>0</v>
      </c>
      <c r="G437" s="21">
        <f t="shared" si="18"/>
        <v>28.329999999999998</v>
      </c>
      <c r="H437" s="22">
        <v>0</v>
      </c>
      <c r="I437" s="23" t="str">
        <f t="shared" si="19"/>
        <v xml:space="preserve">COM VALOR</v>
      </c>
      <c r="J437" s="19"/>
      <c r="L437" s="21">
        <v>29.420000000000002</v>
      </c>
      <c r="M437" s="22">
        <v>0</v>
      </c>
      <c r="N437" s="21">
        <v>28.329999999999998</v>
      </c>
      <c r="O437" s="22">
        <v>0</v>
      </c>
    </row>
    <row r="438" ht="51">
      <c r="A438" t="s">
        <v>452</v>
      </c>
      <c r="B438" s="19">
        <v>105397</v>
      </c>
      <c r="C438" s="20" t="s">
        <v>471</v>
      </c>
      <c r="D438" s="19" t="s">
        <v>31</v>
      </c>
      <c r="E438" s="21">
        <f t="shared" si="17"/>
        <v>40.119999999999997</v>
      </c>
      <c r="F438" s="22">
        <v>0</v>
      </c>
      <c r="G438" s="21">
        <f t="shared" si="18"/>
        <v>38.619999999999997</v>
      </c>
      <c r="H438" s="22">
        <v>0</v>
      </c>
      <c r="I438" s="23" t="str">
        <f t="shared" si="19"/>
        <v xml:space="preserve">COM VALOR</v>
      </c>
      <c r="J438" s="19"/>
      <c r="L438" s="21">
        <v>40.119999999999997</v>
      </c>
      <c r="M438" s="22">
        <v>0</v>
      </c>
      <c r="N438" s="21">
        <v>38.619999999999997</v>
      </c>
      <c r="O438" s="22">
        <v>0</v>
      </c>
    </row>
    <row r="439" ht="51">
      <c r="A439" t="s">
        <v>452</v>
      </c>
      <c r="B439" s="19">
        <v>105261</v>
      </c>
      <c r="C439" s="20" t="s">
        <v>472</v>
      </c>
      <c r="D439" s="19" t="s">
        <v>31</v>
      </c>
      <c r="E439" s="21">
        <f t="shared" si="17"/>
        <v>32.939999999999998</v>
      </c>
      <c r="F439" s="22">
        <v>0</v>
      </c>
      <c r="G439" s="21">
        <f t="shared" si="18"/>
        <v>31.710000000000001</v>
      </c>
      <c r="H439" s="22">
        <v>0</v>
      </c>
      <c r="I439" s="23" t="str">
        <f t="shared" si="19"/>
        <v xml:space="preserve">COM VALOR</v>
      </c>
      <c r="J439" s="19"/>
      <c r="L439" s="21">
        <v>32.939999999999998</v>
      </c>
      <c r="M439" s="22">
        <v>0</v>
      </c>
      <c r="N439" s="21">
        <v>31.710000000000001</v>
      </c>
      <c r="O439" s="22">
        <v>0</v>
      </c>
    </row>
    <row r="440" ht="51">
      <c r="A440" t="s">
        <v>452</v>
      </c>
      <c r="B440" s="19">
        <v>105398</v>
      </c>
      <c r="C440" s="20" t="s">
        <v>473</v>
      </c>
      <c r="D440" s="19" t="s">
        <v>31</v>
      </c>
      <c r="E440" s="21">
        <f t="shared" si="17"/>
        <v>50.479999999999997</v>
      </c>
      <c r="F440" s="22">
        <v>0</v>
      </c>
      <c r="G440" s="21">
        <f t="shared" si="18"/>
        <v>48.840000000000003</v>
      </c>
      <c r="H440" s="22">
        <v>0</v>
      </c>
      <c r="I440" s="23" t="str">
        <f t="shared" si="19"/>
        <v xml:space="preserve">COM VALOR</v>
      </c>
      <c r="J440" s="19"/>
      <c r="L440" s="21">
        <v>50.479999999999997</v>
      </c>
      <c r="M440" s="22">
        <v>0</v>
      </c>
      <c r="N440" s="21">
        <v>48.840000000000003</v>
      </c>
      <c r="O440" s="22">
        <v>0</v>
      </c>
    </row>
    <row r="441" ht="51">
      <c r="A441" t="s">
        <v>452</v>
      </c>
      <c r="B441" s="19">
        <v>105262</v>
      </c>
      <c r="C441" s="20" t="s">
        <v>474</v>
      </c>
      <c r="D441" s="19" t="s">
        <v>31</v>
      </c>
      <c r="E441" s="21">
        <f t="shared" si="17"/>
        <v>40.649999999999999</v>
      </c>
      <c r="F441" s="22">
        <v>0</v>
      </c>
      <c r="G441" s="21">
        <f t="shared" si="18"/>
        <v>39.289999999999999</v>
      </c>
      <c r="H441" s="22">
        <v>0</v>
      </c>
      <c r="I441" s="23" t="str">
        <f t="shared" si="19"/>
        <v xml:space="preserve">COM VALOR</v>
      </c>
      <c r="J441" s="19"/>
      <c r="L441" s="21">
        <v>40.649999999999999</v>
      </c>
      <c r="M441" s="22">
        <v>0</v>
      </c>
      <c r="N441" s="21">
        <v>39.289999999999999</v>
      </c>
      <c r="O441" s="22">
        <v>0</v>
      </c>
    </row>
    <row r="442" ht="51">
      <c r="A442" t="s">
        <v>452</v>
      </c>
      <c r="B442" s="19">
        <v>105399</v>
      </c>
      <c r="C442" s="20" t="s">
        <v>475</v>
      </c>
      <c r="D442" s="19" t="s">
        <v>31</v>
      </c>
      <c r="E442" s="21">
        <f t="shared" si="17"/>
        <v>59.75</v>
      </c>
      <c r="F442" s="22">
        <v>0</v>
      </c>
      <c r="G442" s="21">
        <f t="shared" si="18"/>
        <v>57.770000000000003</v>
      </c>
      <c r="H442" s="22">
        <v>0</v>
      </c>
      <c r="I442" s="23" t="str">
        <f t="shared" si="19"/>
        <v xml:space="preserve">COM VALOR</v>
      </c>
      <c r="J442" s="19"/>
      <c r="L442" s="21">
        <v>59.75</v>
      </c>
      <c r="M442" s="22">
        <v>0</v>
      </c>
      <c r="N442" s="21">
        <v>57.770000000000003</v>
      </c>
      <c r="O442" s="22">
        <v>0</v>
      </c>
    </row>
    <row r="443" ht="51">
      <c r="A443" t="s">
        <v>452</v>
      </c>
      <c r="B443" s="19">
        <v>105263</v>
      </c>
      <c r="C443" s="20" t="s">
        <v>476</v>
      </c>
      <c r="D443" s="19" t="s">
        <v>31</v>
      </c>
      <c r="E443" s="21">
        <f t="shared" si="17"/>
        <v>48.32</v>
      </c>
      <c r="F443" s="22">
        <v>0</v>
      </c>
      <c r="G443" s="21">
        <f t="shared" si="18"/>
        <v>46.700000000000003</v>
      </c>
      <c r="H443" s="22">
        <v>0</v>
      </c>
      <c r="I443" s="23" t="str">
        <f t="shared" si="19"/>
        <v xml:space="preserve">COM VALOR</v>
      </c>
      <c r="J443" s="19"/>
      <c r="L443" s="21">
        <v>48.32</v>
      </c>
      <c r="M443" s="22">
        <v>0</v>
      </c>
      <c r="N443" s="21">
        <v>46.700000000000003</v>
      </c>
      <c r="O443" s="22">
        <v>0</v>
      </c>
    </row>
    <row r="444" ht="51">
      <c r="A444" t="s">
        <v>452</v>
      </c>
      <c r="B444" s="19">
        <v>105400</v>
      </c>
      <c r="C444" s="20" t="s">
        <v>477</v>
      </c>
      <c r="D444" s="19" t="s">
        <v>31</v>
      </c>
      <c r="E444" s="21">
        <f t="shared" si="17"/>
        <v>68.159999999999997</v>
      </c>
      <c r="F444" s="22">
        <v>0</v>
      </c>
      <c r="G444" s="21">
        <f t="shared" si="18"/>
        <v>65.879999999999995</v>
      </c>
      <c r="H444" s="22">
        <v>0</v>
      </c>
      <c r="I444" s="23" t="str">
        <f t="shared" si="19"/>
        <v xml:space="preserve">COM VALOR</v>
      </c>
      <c r="J444" s="19"/>
      <c r="L444" s="21">
        <v>68.159999999999997</v>
      </c>
      <c r="M444" s="22">
        <v>0</v>
      </c>
      <c r="N444" s="21">
        <v>65.879999999999995</v>
      </c>
      <c r="O444" s="22">
        <v>0</v>
      </c>
    </row>
    <row r="445" ht="51">
      <c r="A445" t="s">
        <v>452</v>
      </c>
      <c r="B445" s="19">
        <v>105264</v>
      </c>
      <c r="C445" s="20" t="s">
        <v>478</v>
      </c>
      <c r="D445" s="19" t="s">
        <v>31</v>
      </c>
      <c r="E445" s="21">
        <f t="shared" si="17"/>
        <v>55.130000000000003</v>
      </c>
      <c r="F445" s="22">
        <v>0</v>
      </c>
      <c r="G445" s="21">
        <f t="shared" si="18"/>
        <v>53.25</v>
      </c>
      <c r="H445" s="22">
        <v>0</v>
      </c>
      <c r="I445" s="23" t="str">
        <f t="shared" si="19"/>
        <v xml:space="preserve">COM VALOR</v>
      </c>
      <c r="J445" s="19"/>
      <c r="L445" s="21">
        <v>55.130000000000003</v>
      </c>
      <c r="M445" s="22">
        <v>0</v>
      </c>
      <c r="N445" s="21">
        <v>53.25</v>
      </c>
      <c r="O445" s="22">
        <v>0</v>
      </c>
    </row>
    <row r="446" ht="51">
      <c r="A446" t="s">
        <v>452</v>
      </c>
      <c r="B446" s="19">
        <v>105297</v>
      </c>
      <c r="C446" s="20" t="s">
        <v>479</v>
      </c>
      <c r="D446" s="19" t="s">
        <v>31</v>
      </c>
      <c r="E446" s="21">
        <f t="shared" si="17"/>
        <v>10.539999999999999</v>
      </c>
      <c r="F446" s="22">
        <v>0</v>
      </c>
      <c r="G446" s="21">
        <f t="shared" si="18"/>
        <v>10.199999999999999</v>
      </c>
      <c r="H446" s="22">
        <v>0</v>
      </c>
      <c r="I446" s="23" t="str">
        <f t="shared" si="19"/>
        <v xml:space="preserve">COM VALOR</v>
      </c>
      <c r="J446" s="19"/>
      <c r="L446" s="21">
        <v>10.539999999999999</v>
      </c>
      <c r="M446" s="22">
        <v>0</v>
      </c>
      <c r="N446" s="21">
        <v>10.199999999999999</v>
      </c>
      <c r="O446" s="22">
        <v>0</v>
      </c>
    </row>
    <row r="447" ht="51">
      <c r="A447" t="s">
        <v>452</v>
      </c>
      <c r="B447" s="19">
        <v>105372</v>
      </c>
      <c r="C447" s="20" t="s">
        <v>480</v>
      </c>
      <c r="D447" s="19" t="s">
        <v>31</v>
      </c>
      <c r="E447" s="21">
        <f t="shared" si="17"/>
        <v>8.1300000000000008</v>
      </c>
      <c r="F447" s="22">
        <v>0</v>
      </c>
      <c r="G447" s="21">
        <f t="shared" si="18"/>
        <v>7.8700000000000001</v>
      </c>
      <c r="H447" s="22">
        <v>0</v>
      </c>
      <c r="I447" s="23" t="str">
        <f t="shared" si="19"/>
        <v xml:space="preserve">COM VALOR</v>
      </c>
      <c r="J447" s="19"/>
      <c r="L447" s="21">
        <v>8.1300000000000008</v>
      </c>
      <c r="M447" s="22">
        <v>0</v>
      </c>
      <c r="N447" s="21">
        <v>7.8700000000000001</v>
      </c>
      <c r="O447" s="22">
        <v>0</v>
      </c>
    </row>
    <row r="448" ht="51">
      <c r="A448" t="s">
        <v>452</v>
      </c>
      <c r="B448" s="19">
        <v>105401</v>
      </c>
      <c r="C448" s="20" t="s">
        <v>481</v>
      </c>
      <c r="D448" s="19" t="s">
        <v>31</v>
      </c>
      <c r="E448" s="21">
        <f t="shared" si="17"/>
        <v>76.870000000000005</v>
      </c>
      <c r="F448" s="22">
        <v>0</v>
      </c>
      <c r="G448" s="21">
        <f t="shared" si="18"/>
        <v>74.299999999999997</v>
      </c>
      <c r="H448" s="22">
        <v>0</v>
      </c>
      <c r="I448" s="23" t="str">
        <f t="shared" si="19"/>
        <v xml:space="preserve">COM VALOR</v>
      </c>
      <c r="J448" s="19"/>
      <c r="L448" s="21">
        <v>76.870000000000005</v>
      </c>
      <c r="M448" s="22">
        <v>0</v>
      </c>
      <c r="N448" s="21">
        <v>74.299999999999997</v>
      </c>
      <c r="O448" s="22">
        <v>0</v>
      </c>
    </row>
    <row r="449" ht="51">
      <c r="A449" t="s">
        <v>452</v>
      </c>
      <c r="B449" s="19">
        <v>105265</v>
      </c>
      <c r="C449" s="20" t="s">
        <v>482</v>
      </c>
      <c r="D449" s="19" t="s">
        <v>31</v>
      </c>
      <c r="E449" s="21">
        <f t="shared" si="17"/>
        <v>62.25</v>
      </c>
      <c r="F449" s="22">
        <v>0</v>
      </c>
      <c r="G449" s="21">
        <f t="shared" si="18"/>
        <v>60.109999999999999</v>
      </c>
      <c r="H449" s="22">
        <v>0</v>
      </c>
      <c r="I449" s="23" t="str">
        <f t="shared" si="19"/>
        <v xml:space="preserve">COM VALOR</v>
      </c>
      <c r="J449" s="19"/>
      <c r="L449" s="21">
        <v>62.25</v>
      </c>
      <c r="M449" s="22">
        <v>0</v>
      </c>
      <c r="N449" s="21">
        <v>60.109999999999999</v>
      </c>
      <c r="O449" s="22">
        <v>0</v>
      </c>
    </row>
    <row r="450" ht="51">
      <c r="A450" t="s">
        <v>452</v>
      </c>
      <c r="B450" s="19">
        <v>105402</v>
      </c>
      <c r="C450" s="20" t="s">
        <v>483</v>
      </c>
      <c r="D450" s="19" t="s">
        <v>31</v>
      </c>
      <c r="E450" s="21">
        <f t="shared" si="17"/>
        <v>85.829999999999998</v>
      </c>
      <c r="F450" s="22">
        <v>0</v>
      </c>
      <c r="G450" s="21">
        <f t="shared" si="18"/>
        <v>82.939999999999998</v>
      </c>
      <c r="H450" s="22">
        <v>0</v>
      </c>
      <c r="I450" s="23" t="str">
        <f t="shared" si="19"/>
        <v xml:space="preserve">COM VALOR</v>
      </c>
      <c r="J450" s="19"/>
      <c r="L450" s="21">
        <v>85.829999999999998</v>
      </c>
      <c r="M450" s="22">
        <v>0</v>
      </c>
      <c r="N450" s="21">
        <v>82.939999999999998</v>
      </c>
      <c r="O450" s="22">
        <v>0</v>
      </c>
    </row>
    <row r="451" ht="51">
      <c r="A451" t="s">
        <v>452</v>
      </c>
      <c r="B451" s="19">
        <v>105266</v>
      </c>
      <c r="C451" s="20" t="s">
        <v>484</v>
      </c>
      <c r="D451" s="19" t="s">
        <v>31</v>
      </c>
      <c r="E451" s="21">
        <f t="shared" si="17"/>
        <v>69.620000000000005</v>
      </c>
      <c r="F451" s="22">
        <v>0</v>
      </c>
      <c r="G451" s="21">
        <f t="shared" si="18"/>
        <v>67.230000000000004</v>
      </c>
      <c r="H451" s="22">
        <v>0</v>
      </c>
      <c r="I451" s="23" t="str">
        <f t="shared" si="19"/>
        <v xml:space="preserve">COM VALOR</v>
      </c>
      <c r="J451" s="19"/>
      <c r="L451" s="21">
        <v>69.620000000000005</v>
      </c>
      <c r="M451" s="22">
        <v>0</v>
      </c>
      <c r="N451" s="21">
        <v>67.230000000000004</v>
      </c>
      <c r="O451" s="22">
        <v>0</v>
      </c>
    </row>
    <row r="452" ht="51">
      <c r="A452" t="s">
        <v>452</v>
      </c>
      <c r="B452" s="19">
        <v>105361</v>
      </c>
      <c r="C452" s="20" t="s">
        <v>485</v>
      </c>
      <c r="D452" s="19" t="s">
        <v>31</v>
      </c>
      <c r="E452" s="21">
        <f t="shared" si="17"/>
        <v>16.82</v>
      </c>
      <c r="F452" s="22">
        <v>0</v>
      </c>
      <c r="G452" s="21">
        <f t="shared" si="18"/>
        <v>16.010000000000002</v>
      </c>
      <c r="H452" s="22">
        <v>0</v>
      </c>
      <c r="I452" s="23" t="str">
        <f t="shared" si="19"/>
        <v xml:space="preserve">COM VALOR</v>
      </c>
      <c r="J452" s="19"/>
      <c r="L452" s="21">
        <v>16.82</v>
      </c>
      <c r="M452" s="22">
        <v>0</v>
      </c>
      <c r="N452" s="21">
        <v>16.010000000000002</v>
      </c>
      <c r="O452" s="22">
        <v>0</v>
      </c>
    </row>
    <row r="453" ht="51">
      <c r="A453" t="s">
        <v>452</v>
      </c>
      <c r="B453" s="19">
        <v>105382</v>
      </c>
      <c r="C453" s="20" t="s">
        <v>486</v>
      </c>
      <c r="D453" s="19" t="s">
        <v>31</v>
      </c>
      <c r="E453" s="21">
        <f t="shared" si="17"/>
        <v>13.98</v>
      </c>
      <c r="F453" s="22">
        <v>0</v>
      </c>
      <c r="G453" s="21">
        <f t="shared" si="18"/>
        <v>13.32</v>
      </c>
      <c r="H453" s="22">
        <v>0</v>
      </c>
      <c r="I453" s="23" t="str">
        <f t="shared" si="19"/>
        <v xml:space="preserve">COM VALOR</v>
      </c>
      <c r="J453" s="19"/>
      <c r="L453" s="21">
        <v>13.98</v>
      </c>
      <c r="M453" s="22">
        <v>0</v>
      </c>
      <c r="N453" s="21">
        <v>13.32</v>
      </c>
      <c r="O453" s="22">
        <v>0</v>
      </c>
    </row>
    <row r="454" ht="51">
      <c r="A454" t="s">
        <v>452</v>
      </c>
      <c r="B454" s="19">
        <v>105359</v>
      </c>
      <c r="C454" s="20" t="s">
        <v>487</v>
      </c>
      <c r="D454" s="19" t="s">
        <v>31</v>
      </c>
      <c r="E454" s="21">
        <f t="shared" si="17"/>
        <v>11.82</v>
      </c>
      <c r="F454" s="22">
        <v>0</v>
      </c>
      <c r="G454" s="21">
        <f t="shared" si="18"/>
        <v>11.23</v>
      </c>
      <c r="H454" s="22">
        <v>0</v>
      </c>
      <c r="I454" s="23" t="str">
        <f t="shared" si="19"/>
        <v xml:space="preserve">COM VALOR</v>
      </c>
      <c r="J454" s="19"/>
      <c r="L454" s="21">
        <v>11.82</v>
      </c>
      <c r="M454" s="22">
        <v>0</v>
      </c>
      <c r="N454" s="21">
        <v>11.23</v>
      </c>
      <c r="O454" s="22">
        <v>0</v>
      </c>
    </row>
    <row r="455" ht="51">
      <c r="A455" t="s">
        <v>452</v>
      </c>
      <c r="B455" s="19">
        <v>105315</v>
      </c>
      <c r="C455" s="20" t="s">
        <v>488</v>
      </c>
      <c r="D455" s="19" t="s">
        <v>31</v>
      </c>
      <c r="E455" s="21">
        <f t="shared" si="17"/>
        <v>9.7400000000000002</v>
      </c>
      <c r="F455" s="22">
        <v>0</v>
      </c>
      <c r="G455" s="21">
        <f t="shared" si="18"/>
        <v>9.25</v>
      </c>
      <c r="H455" s="22">
        <v>0</v>
      </c>
      <c r="I455" s="23" t="str">
        <f t="shared" si="19"/>
        <v xml:space="preserve">COM VALOR</v>
      </c>
      <c r="J455" s="19"/>
      <c r="L455" s="21">
        <v>9.7400000000000002</v>
      </c>
      <c r="M455" s="22">
        <v>0</v>
      </c>
      <c r="N455" s="21">
        <v>9.25</v>
      </c>
      <c r="O455" s="22">
        <v>0</v>
      </c>
    </row>
    <row r="456" ht="51">
      <c r="A456" t="s">
        <v>452</v>
      </c>
      <c r="B456" s="19">
        <v>105360</v>
      </c>
      <c r="C456" s="20" t="s">
        <v>489</v>
      </c>
      <c r="D456" s="19" t="s">
        <v>31</v>
      </c>
      <c r="E456" s="21">
        <f t="shared" si="17"/>
        <v>14.43</v>
      </c>
      <c r="F456" s="22">
        <v>0</v>
      </c>
      <c r="G456" s="21">
        <f t="shared" si="18"/>
        <v>13.73</v>
      </c>
      <c r="H456" s="22">
        <v>0</v>
      </c>
      <c r="I456" s="23" t="str">
        <f t="shared" si="19"/>
        <v xml:space="preserve">COM VALOR</v>
      </c>
      <c r="J456" s="19"/>
      <c r="L456" s="21">
        <v>14.43</v>
      </c>
      <c r="M456" s="22">
        <v>0</v>
      </c>
      <c r="N456" s="21">
        <v>13.73</v>
      </c>
      <c r="O456" s="22">
        <v>0</v>
      </c>
    </row>
    <row r="457" ht="51">
      <c r="A457" t="s">
        <v>452</v>
      </c>
      <c r="B457" s="19">
        <v>105381</v>
      </c>
      <c r="C457" s="20" t="s">
        <v>490</v>
      </c>
      <c r="D457" s="19" t="s">
        <v>31</v>
      </c>
      <c r="E457" s="21">
        <f t="shared" si="17"/>
        <v>11.960000000000001</v>
      </c>
      <c r="F457" s="22">
        <v>0</v>
      </c>
      <c r="G457" s="21">
        <f t="shared" si="18"/>
        <v>11.4</v>
      </c>
      <c r="H457" s="22">
        <v>0</v>
      </c>
      <c r="I457" s="23" t="str">
        <f t="shared" si="19"/>
        <v xml:space="preserve">COM VALOR</v>
      </c>
      <c r="J457" s="19"/>
      <c r="L457" s="21">
        <v>11.960000000000001</v>
      </c>
      <c r="M457" s="22">
        <v>0</v>
      </c>
      <c r="N457" s="21">
        <v>11.4</v>
      </c>
      <c r="O457" s="22">
        <v>0</v>
      </c>
    </row>
    <row r="458" ht="51">
      <c r="A458" t="s">
        <v>452</v>
      </c>
      <c r="B458" s="19">
        <v>105251</v>
      </c>
      <c r="C458" s="20" t="s">
        <v>491</v>
      </c>
      <c r="D458" s="19" t="s">
        <v>31</v>
      </c>
      <c r="E458" s="21">
        <f t="shared" si="17"/>
        <v>17.68</v>
      </c>
      <c r="F458" s="22">
        <v>0</v>
      </c>
      <c r="G458" s="21">
        <f t="shared" si="18"/>
        <v>17.059999999999999</v>
      </c>
      <c r="H458" s="22">
        <v>0</v>
      </c>
      <c r="I458" s="23" t="str">
        <f t="shared" si="19"/>
        <v xml:space="preserve">COM VALOR</v>
      </c>
      <c r="J458" s="19"/>
      <c r="L458" s="21">
        <v>17.68</v>
      </c>
      <c r="M458" s="22">
        <v>0</v>
      </c>
      <c r="N458" s="21">
        <v>17.059999999999999</v>
      </c>
      <c r="O458" s="22">
        <v>0</v>
      </c>
    </row>
    <row r="459" ht="51">
      <c r="A459" t="s">
        <v>452</v>
      </c>
      <c r="B459" s="19">
        <v>105282</v>
      </c>
      <c r="C459" s="20" t="s">
        <v>492</v>
      </c>
      <c r="D459" s="19" t="s">
        <v>31</v>
      </c>
      <c r="E459" s="21">
        <f t="shared" ref="E459:E522" si="20">IF(L459=0,"VERIFICAR",L459)</f>
        <v>13.68</v>
      </c>
      <c r="F459" s="22">
        <v>0</v>
      </c>
      <c r="G459" s="21">
        <f t="shared" ref="G459:G522" si="21">IF(N459=0,"VERIFICAR",N459)</f>
        <v>13.210000000000001</v>
      </c>
      <c r="H459" s="22">
        <v>0</v>
      </c>
      <c r="I459" s="23" t="str">
        <f t="shared" ref="I459:I522" si="22">IF(OR(E459=0,G459=0),"SEM VALOR","COM VALOR")</f>
        <v xml:space="preserve">COM VALOR</v>
      </c>
      <c r="J459" s="19"/>
      <c r="L459" s="21">
        <v>13.68</v>
      </c>
      <c r="M459" s="22">
        <v>0</v>
      </c>
      <c r="N459" s="21">
        <v>13.210000000000001</v>
      </c>
      <c r="O459" s="22">
        <v>0</v>
      </c>
    </row>
    <row r="460" ht="51">
      <c r="A460" t="s">
        <v>452</v>
      </c>
      <c r="B460" s="19">
        <v>105276</v>
      </c>
      <c r="C460" s="20" t="s">
        <v>493</v>
      </c>
      <c r="D460" s="19" t="s">
        <v>31</v>
      </c>
      <c r="E460" s="21">
        <f t="shared" si="20"/>
        <v>137.91999999999999</v>
      </c>
      <c r="F460" s="22">
        <v>0</v>
      </c>
      <c r="G460" s="21">
        <f t="shared" si="21"/>
        <v>133.11000000000001</v>
      </c>
      <c r="H460" s="22">
        <v>0</v>
      </c>
      <c r="I460" s="23" t="str">
        <f t="shared" si="22"/>
        <v xml:space="preserve">COM VALOR</v>
      </c>
      <c r="J460" s="19"/>
      <c r="L460" s="21">
        <v>137.91999999999999</v>
      </c>
      <c r="M460" s="22">
        <v>0</v>
      </c>
      <c r="N460" s="21">
        <v>133.11000000000001</v>
      </c>
      <c r="O460" s="22">
        <v>0</v>
      </c>
    </row>
    <row r="461" ht="51">
      <c r="A461" t="s">
        <v>452</v>
      </c>
      <c r="B461" s="19">
        <v>105341</v>
      </c>
      <c r="C461" s="20" t="s">
        <v>494</v>
      </c>
      <c r="D461" s="19" t="s">
        <v>31</v>
      </c>
      <c r="E461" s="21">
        <f t="shared" si="20"/>
        <v>111.2</v>
      </c>
      <c r="F461" s="22">
        <v>0</v>
      </c>
      <c r="G461" s="21">
        <f t="shared" si="21"/>
        <v>107.23</v>
      </c>
      <c r="H461" s="22">
        <v>0</v>
      </c>
      <c r="I461" s="23" t="str">
        <f t="shared" si="22"/>
        <v xml:space="preserve">COM VALOR</v>
      </c>
      <c r="J461" s="19"/>
      <c r="L461" s="21">
        <v>111.2</v>
      </c>
      <c r="M461" s="22">
        <v>0</v>
      </c>
      <c r="N461" s="21">
        <v>107.23</v>
      </c>
      <c r="O461" s="22">
        <v>0</v>
      </c>
    </row>
    <row r="462" ht="51">
      <c r="A462" t="s">
        <v>452</v>
      </c>
      <c r="B462" s="19">
        <v>105277</v>
      </c>
      <c r="C462" s="20" t="s">
        <v>495</v>
      </c>
      <c r="D462" s="19" t="s">
        <v>31</v>
      </c>
      <c r="E462" s="21">
        <f t="shared" si="20"/>
        <v>167.44999999999999</v>
      </c>
      <c r="F462" s="22">
        <v>0</v>
      </c>
      <c r="G462" s="21">
        <f t="shared" si="21"/>
        <v>161.69999999999999</v>
      </c>
      <c r="H462" s="22">
        <v>0</v>
      </c>
      <c r="I462" s="23" t="str">
        <f t="shared" si="22"/>
        <v xml:space="preserve">COM VALOR</v>
      </c>
      <c r="J462" s="19"/>
      <c r="L462" s="21">
        <v>167.44999999999999</v>
      </c>
      <c r="M462" s="22">
        <v>0</v>
      </c>
      <c r="N462" s="21">
        <v>161.69999999999999</v>
      </c>
      <c r="O462" s="22">
        <v>0</v>
      </c>
    </row>
    <row r="463" ht="51">
      <c r="A463" t="s">
        <v>452</v>
      </c>
      <c r="B463" s="19">
        <v>105342</v>
      </c>
      <c r="C463" s="20" t="s">
        <v>496</v>
      </c>
      <c r="D463" s="19" t="s">
        <v>31</v>
      </c>
      <c r="E463" s="21">
        <f t="shared" si="20"/>
        <v>135.96000000000001</v>
      </c>
      <c r="F463" s="22">
        <v>0</v>
      </c>
      <c r="G463" s="21">
        <f t="shared" si="21"/>
        <v>131.19999999999999</v>
      </c>
      <c r="H463" s="22">
        <v>0</v>
      </c>
      <c r="I463" s="23" t="str">
        <f t="shared" si="22"/>
        <v xml:space="preserve">COM VALOR</v>
      </c>
      <c r="J463" s="19"/>
      <c r="L463" s="21">
        <v>135.96000000000001</v>
      </c>
      <c r="M463" s="22">
        <v>0</v>
      </c>
      <c r="N463" s="21">
        <v>131.19999999999999</v>
      </c>
      <c r="O463" s="22">
        <v>0</v>
      </c>
    </row>
    <row r="464" ht="51">
      <c r="A464" t="s">
        <v>452</v>
      </c>
      <c r="B464" s="19">
        <v>105252</v>
      </c>
      <c r="C464" s="20" t="s">
        <v>497</v>
      </c>
      <c r="D464" s="19" t="s">
        <v>31</v>
      </c>
      <c r="E464" s="21">
        <f t="shared" si="20"/>
        <v>23.309999999999999</v>
      </c>
      <c r="F464" s="22">
        <v>0</v>
      </c>
      <c r="G464" s="21">
        <f t="shared" si="21"/>
        <v>22.469999999999999</v>
      </c>
      <c r="H464" s="22">
        <v>0</v>
      </c>
      <c r="I464" s="23" t="str">
        <f t="shared" si="22"/>
        <v xml:space="preserve">COM VALOR</v>
      </c>
      <c r="J464" s="19"/>
      <c r="L464" s="21">
        <v>23.309999999999999</v>
      </c>
      <c r="M464" s="22">
        <v>0</v>
      </c>
      <c r="N464" s="21">
        <v>22.469999999999999</v>
      </c>
      <c r="O464" s="22">
        <v>0</v>
      </c>
    </row>
    <row r="465" ht="51">
      <c r="A465" t="s">
        <v>452</v>
      </c>
      <c r="B465" s="19">
        <v>105298</v>
      </c>
      <c r="C465" s="20" t="s">
        <v>498</v>
      </c>
      <c r="D465" s="19" t="s">
        <v>31</v>
      </c>
      <c r="E465" s="21">
        <f t="shared" si="20"/>
        <v>18.34</v>
      </c>
      <c r="F465" s="22">
        <v>0</v>
      </c>
      <c r="G465" s="21">
        <f t="shared" si="21"/>
        <v>17.670000000000002</v>
      </c>
      <c r="H465" s="22">
        <v>0</v>
      </c>
      <c r="I465" s="23" t="str">
        <f t="shared" si="22"/>
        <v xml:space="preserve">COM VALOR</v>
      </c>
      <c r="J465" s="19"/>
      <c r="L465" s="21">
        <v>18.34</v>
      </c>
      <c r="M465" s="22">
        <v>0</v>
      </c>
      <c r="N465" s="21">
        <v>17.670000000000002</v>
      </c>
      <c r="O465" s="22">
        <v>0</v>
      </c>
    </row>
    <row r="466" ht="51">
      <c r="A466" t="s">
        <v>452</v>
      </c>
      <c r="B466" s="19">
        <v>105253</v>
      </c>
      <c r="C466" s="20" t="s">
        <v>499</v>
      </c>
      <c r="D466" s="19" t="s">
        <v>31</v>
      </c>
      <c r="E466" s="21">
        <f t="shared" si="20"/>
        <v>28.940000000000001</v>
      </c>
      <c r="F466" s="22">
        <v>0</v>
      </c>
      <c r="G466" s="21">
        <f t="shared" si="21"/>
        <v>27.879999999999999</v>
      </c>
      <c r="H466" s="22">
        <v>0</v>
      </c>
      <c r="I466" s="23" t="str">
        <f t="shared" si="22"/>
        <v xml:space="preserve">COM VALOR</v>
      </c>
      <c r="J466" s="19"/>
      <c r="L466" s="21">
        <v>28.940000000000001</v>
      </c>
      <c r="M466" s="22">
        <v>0</v>
      </c>
      <c r="N466" s="21">
        <v>27.879999999999999</v>
      </c>
      <c r="O466" s="22">
        <v>0</v>
      </c>
    </row>
    <row r="467" ht="51">
      <c r="A467" t="s">
        <v>452</v>
      </c>
      <c r="B467" s="19">
        <v>105299</v>
      </c>
      <c r="C467" s="20" t="s">
        <v>500</v>
      </c>
      <c r="D467" s="19" t="s">
        <v>31</v>
      </c>
      <c r="E467" s="21">
        <f t="shared" si="20"/>
        <v>23.010000000000002</v>
      </c>
      <c r="F467" s="22">
        <v>0</v>
      </c>
      <c r="G467" s="21">
        <f t="shared" si="21"/>
        <v>22.149999999999999</v>
      </c>
      <c r="H467" s="22">
        <v>0</v>
      </c>
      <c r="I467" s="23" t="str">
        <f t="shared" si="22"/>
        <v xml:space="preserve">COM VALOR</v>
      </c>
      <c r="J467" s="19"/>
      <c r="L467" s="21">
        <v>23.010000000000002</v>
      </c>
      <c r="M467" s="22">
        <v>0</v>
      </c>
      <c r="N467" s="21">
        <v>22.149999999999999</v>
      </c>
      <c r="O467" s="22">
        <v>0</v>
      </c>
    </row>
    <row r="468" ht="51">
      <c r="A468" t="s">
        <v>452</v>
      </c>
      <c r="B468" s="19">
        <v>105254</v>
      </c>
      <c r="C468" s="20" t="s">
        <v>501</v>
      </c>
      <c r="D468" s="19" t="s">
        <v>31</v>
      </c>
      <c r="E468" s="21">
        <f t="shared" si="20"/>
        <v>34.75</v>
      </c>
      <c r="F468" s="22">
        <v>0</v>
      </c>
      <c r="G468" s="21">
        <f t="shared" si="21"/>
        <v>33.439999999999998</v>
      </c>
      <c r="H468" s="22">
        <v>0</v>
      </c>
      <c r="I468" s="23" t="str">
        <f t="shared" si="22"/>
        <v xml:space="preserve">COM VALOR</v>
      </c>
      <c r="J468" s="19"/>
      <c r="L468" s="21">
        <v>34.75</v>
      </c>
      <c r="M468" s="22">
        <v>0</v>
      </c>
      <c r="N468" s="21">
        <v>33.439999999999998</v>
      </c>
      <c r="O468" s="22">
        <v>0</v>
      </c>
    </row>
    <row r="469" ht="51">
      <c r="A469" t="s">
        <v>452</v>
      </c>
      <c r="B469" s="19">
        <v>105300</v>
      </c>
      <c r="C469" s="20" t="s">
        <v>502</v>
      </c>
      <c r="D469" s="19" t="s">
        <v>31</v>
      </c>
      <c r="E469" s="21">
        <f t="shared" si="20"/>
        <v>27.859999999999999</v>
      </c>
      <c r="F469" s="22">
        <v>0</v>
      </c>
      <c r="G469" s="21">
        <f t="shared" si="21"/>
        <v>26.809999999999999</v>
      </c>
      <c r="H469" s="22">
        <v>0</v>
      </c>
      <c r="I469" s="23" t="str">
        <f t="shared" si="22"/>
        <v xml:space="preserve">COM VALOR</v>
      </c>
      <c r="J469" s="19"/>
      <c r="L469" s="21">
        <v>27.859999999999999</v>
      </c>
      <c r="M469" s="22">
        <v>0</v>
      </c>
      <c r="N469" s="21">
        <v>26.809999999999999</v>
      </c>
      <c r="O469" s="22">
        <v>0</v>
      </c>
    </row>
    <row r="470" ht="51">
      <c r="A470" t="s">
        <v>452</v>
      </c>
      <c r="B470" s="19">
        <v>105255</v>
      </c>
      <c r="C470" s="20" t="s">
        <v>503</v>
      </c>
      <c r="D470" s="19" t="s">
        <v>31</v>
      </c>
      <c r="E470" s="21">
        <f t="shared" si="20"/>
        <v>40.560000000000002</v>
      </c>
      <c r="F470" s="22">
        <v>0</v>
      </c>
      <c r="G470" s="21">
        <f t="shared" si="21"/>
        <v>39.009999999999998</v>
      </c>
      <c r="H470" s="22">
        <v>0</v>
      </c>
      <c r="I470" s="23" t="str">
        <f t="shared" si="22"/>
        <v xml:space="preserve">COM VALOR</v>
      </c>
      <c r="J470" s="19"/>
      <c r="L470" s="21">
        <v>40.560000000000002</v>
      </c>
      <c r="M470" s="22">
        <v>0</v>
      </c>
      <c r="N470" s="21">
        <v>39.009999999999998</v>
      </c>
      <c r="O470" s="22">
        <v>0</v>
      </c>
    </row>
    <row r="471" ht="51">
      <c r="A471" t="s">
        <v>452</v>
      </c>
      <c r="B471" s="19">
        <v>105301</v>
      </c>
      <c r="C471" s="20" t="s">
        <v>504</v>
      </c>
      <c r="D471" s="19" t="s">
        <v>31</v>
      </c>
      <c r="E471" s="21">
        <f t="shared" si="20"/>
        <v>32.689999999999998</v>
      </c>
      <c r="F471" s="22">
        <v>0</v>
      </c>
      <c r="G471" s="21">
        <f t="shared" si="21"/>
        <v>31.440000000000001</v>
      </c>
      <c r="H471" s="22">
        <v>0</v>
      </c>
      <c r="I471" s="23" t="str">
        <f t="shared" si="22"/>
        <v xml:space="preserve">COM VALOR</v>
      </c>
      <c r="J471" s="19"/>
      <c r="L471" s="21">
        <v>32.689999999999998</v>
      </c>
      <c r="M471" s="22">
        <v>0</v>
      </c>
      <c r="N471" s="21">
        <v>31.440000000000001</v>
      </c>
      <c r="O471" s="22">
        <v>0</v>
      </c>
    </row>
    <row r="472" ht="51">
      <c r="A472" t="s">
        <v>452</v>
      </c>
      <c r="B472" s="19">
        <v>105256</v>
      </c>
      <c r="C472" s="20" t="s">
        <v>505</v>
      </c>
      <c r="D472" s="19" t="s">
        <v>31</v>
      </c>
      <c r="E472" s="21">
        <f t="shared" si="20"/>
        <v>46.350000000000001</v>
      </c>
      <c r="F472" s="22">
        <v>0</v>
      </c>
      <c r="G472" s="21">
        <f t="shared" si="21"/>
        <v>44.579999999999998</v>
      </c>
      <c r="H472" s="22">
        <v>0</v>
      </c>
      <c r="I472" s="23" t="str">
        <f t="shared" si="22"/>
        <v xml:space="preserve">COM VALOR</v>
      </c>
      <c r="J472" s="19"/>
      <c r="L472" s="21">
        <v>46.350000000000001</v>
      </c>
      <c r="M472" s="22">
        <v>0</v>
      </c>
      <c r="N472" s="21">
        <v>44.579999999999998</v>
      </c>
      <c r="O472" s="22">
        <v>0</v>
      </c>
    </row>
    <row r="473" ht="51">
      <c r="A473" t="s">
        <v>452</v>
      </c>
      <c r="B473" s="19">
        <v>105302</v>
      </c>
      <c r="C473" s="20" t="s">
        <v>506</v>
      </c>
      <c r="D473" s="19" t="s">
        <v>31</v>
      </c>
      <c r="E473" s="21">
        <f t="shared" si="20"/>
        <v>37.520000000000003</v>
      </c>
      <c r="F473" s="22">
        <v>0</v>
      </c>
      <c r="G473" s="21">
        <f t="shared" si="21"/>
        <v>36.079999999999998</v>
      </c>
      <c r="H473" s="22">
        <v>0</v>
      </c>
      <c r="I473" s="23" t="str">
        <f t="shared" si="22"/>
        <v xml:space="preserve">COM VALOR</v>
      </c>
      <c r="J473" s="19"/>
      <c r="L473" s="21">
        <v>37.520000000000003</v>
      </c>
      <c r="M473" s="22">
        <v>0</v>
      </c>
      <c r="N473" s="21">
        <v>36.079999999999998</v>
      </c>
      <c r="O473" s="22">
        <v>0</v>
      </c>
    </row>
    <row r="474" ht="51">
      <c r="A474" t="s">
        <v>452</v>
      </c>
      <c r="B474" s="19">
        <v>105257</v>
      </c>
      <c r="C474" s="20" t="s">
        <v>507</v>
      </c>
      <c r="D474" s="19" t="s">
        <v>31</v>
      </c>
      <c r="E474" s="21">
        <f t="shared" si="20"/>
        <v>52.130000000000003</v>
      </c>
      <c r="F474" s="22">
        <v>0</v>
      </c>
      <c r="G474" s="21">
        <f t="shared" si="21"/>
        <v>50.130000000000003</v>
      </c>
      <c r="H474" s="22">
        <v>0</v>
      </c>
      <c r="I474" s="23" t="str">
        <f t="shared" si="22"/>
        <v xml:space="preserve">COM VALOR</v>
      </c>
      <c r="J474" s="19"/>
      <c r="L474" s="21">
        <v>52.130000000000003</v>
      </c>
      <c r="M474" s="22">
        <v>0</v>
      </c>
      <c r="N474" s="21">
        <v>50.130000000000003</v>
      </c>
      <c r="O474" s="22">
        <v>0</v>
      </c>
    </row>
    <row r="475" ht="51">
      <c r="A475" t="s">
        <v>452</v>
      </c>
      <c r="B475" s="19">
        <v>105303</v>
      </c>
      <c r="C475" s="20" t="s">
        <v>508</v>
      </c>
      <c r="D475" s="19" t="s">
        <v>31</v>
      </c>
      <c r="E475" s="21">
        <f t="shared" si="20"/>
        <v>42.329999999999998</v>
      </c>
      <c r="F475" s="22">
        <v>0</v>
      </c>
      <c r="G475" s="21">
        <f t="shared" si="21"/>
        <v>40.700000000000003</v>
      </c>
      <c r="H475" s="22">
        <v>0</v>
      </c>
      <c r="I475" s="23" t="str">
        <f t="shared" si="22"/>
        <v xml:space="preserve">COM VALOR</v>
      </c>
      <c r="J475" s="19"/>
      <c r="L475" s="21">
        <v>42.329999999999998</v>
      </c>
      <c r="M475" s="22">
        <v>0</v>
      </c>
      <c r="N475" s="21">
        <v>40.700000000000003</v>
      </c>
      <c r="O475" s="22">
        <v>0</v>
      </c>
    </row>
    <row r="476" ht="51">
      <c r="A476" t="s">
        <v>452</v>
      </c>
      <c r="B476" s="19">
        <v>105270</v>
      </c>
      <c r="C476" s="20" t="s">
        <v>509</v>
      </c>
      <c r="D476" s="19" t="s">
        <v>31</v>
      </c>
      <c r="E476" s="21">
        <f t="shared" si="20"/>
        <v>58.079999999999998</v>
      </c>
      <c r="F476" s="22">
        <v>0</v>
      </c>
      <c r="G476" s="21">
        <f t="shared" si="21"/>
        <v>55.829999999999998</v>
      </c>
      <c r="H476" s="22">
        <v>0</v>
      </c>
      <c r="I476" s="23" t="str">
        <f t="shared" si="22"/>
        <v xml:space="preserve">COM VALOR</v>
      </c>
      <c r="J476" s="19"/>
      <c r="L476" s="21">
        <v>58.079999999999998</v>
      </c>
      <c r="M476" s="22">
        <v>0</v>
      </c>
      <c r="N476" s="21">
        <v>55.829999999999998</v>
      </c>
      <c r="O476" s="22">
        <v>0</v>
      </c>
    </row>
    <row r="477" ht="51">
      <c r="A477" t="s">
        <v>452</v>
      </c>
      <c r="B477" s="19">
        <v>105304</v>
      </c>
      <c r="C477" s="20" t="s">
        <v>510</v>
      </c>
      <c r="D477" s="19" t="s">
        <v>31</v>
      </c>
      <c r="E477" s="21">
        <f t="shared" si="20"/>
        <v>47.310000000000002</v>
      </c>
      <c r="F477" s="22">
        <v>0</v>
      </c>
      <c r="G477" s="21">
        <f t="shared" si="21"/>
        <v>45.479999999999997</v>
      </c>
      <c r="H477" s="22">
        <v>0</v>
      </c>
      <c r="I477" s="23" t="str">
        <f t="shared" si="22"/>
        <v xml:space="preserve">COM VALOR</v>
      </c>
      <c r="J477" s="19"/>
      <c r="L477" s="21">
        <v>47.310000000000002</v>
      </c>
      <c r="M477" s="22">
        <v>0</v>
      </c>
      <c r="N477" s="21">
        <v>45.479999999999997</v>
      </c>
      <c r="O477" s="22">
        <v>0</v>
      </c>
    </row>
    <row r="478" ht="51">
      <c r="A478" t="s">
        <v>452</v>
      </c>
      <c r="B478" s="19">
        <v>105271</v>
      </c>
      <c r="C478" s="20" t="s">
        <v>511</v>
      </c>
      <c r="D478" s="19" t="s">
        <v>31</v>
      </c>
      <c r="E478" s="21">
        <f t="shared" si="20"/>
        <v>73.370000000000005</v>
      </c>
      <c r="F478" s="22">
        <v>0</v>
      </c>
      <c r="G478" s="21">
        <f t="shared" si="21"/>
        <v>70.890000000000001</v>
      </c>
      <c r="H478" s="22">
        <v>0</v>
      </c>
      <c r="I478" s="23" t="str">
        <f t="shared" si="22"/>
        <v xml:space="preserve">COM VALOR</v>
      </c>
      <c r="J478" s="19"/>
      <c r="L478" s="21">
        <v>73.370000000000005</v>
      </c>
      <c r="M478" s="22">
        <v>0</v>
      </c>
      <c r="N478" s="21">
        <v>70.890000000000001</v>
      </c>
      <c r="O478" s="22">
        <v>0</v>
      </c>
    </row>
    <row r="479" ht="51">
      <c r="A479" t="s">
        <v>452</v>
      </c>
      <c r="B479" s="19">
        <v>105305</v>
      </c>
      <c r="C479" s="20" t="s">
        <v>512</v>
      </c>
      <c r="D479" s="19" t="s">
        <v>31</v>
      </c>
      <c r="E479" s="21">
        <f t="shared" si="20"/>
        <v>58.609999999999999</v>
      </c>
      <c r="F479" s="22">
        <v>0</v>
      </c>
      <c r="G479" s="21">
        <f t="shared" si="21"/>
        <v>56.579999999999998</v>
      </c>
      <c r="H479" s="22">
        <v>0</v>
      </c>
      <c r="I479" s="23" t="str">
        <f t="shared" si="22"/>
        <v xml:space="preserve">COM VALOR</v>
      </c>
      <c r="J479" s="19"/>
      <c r="L479" s="21">
        <v>58.609999999999999</v>
      </c>
      <c r="M479" s="22">
        <v>0</v>
      </c>
      <c r="N479" s="21">
        <v>56.579999999999998</v>
      </c>
      <c r="O479" s="22">
        <v>0</v>
      </c>
    </row>
    <row r="480" ht="51">
      <c r="A480" t="s">
        <v>452</v>
      </c>
      <c r="B480" s="19">
        <v>105272</v>
      </c>
      <c r="C480" s="20" t="s">
        <v>513</v>
      </c>
      <c r="D480" s="19" t="s">
        <v>31</v>
      </c>
      <c r="E480" s="21">
        <f t="shared" si="20"/>
        <v>86.659999999999997</v>
      </c>
      <c r="F480" s="22">
        <v>0</v>
      </c>
      <c r="G480" s="21">
        <f t="shared" si="21"/>
        <v>83.730000000000004</v>
      </c>
      <c r="H480" s="22">
        <v>0</v>
      </c>
      <c r="I480" s="23" t="str">
        <f t="shared" si="22"/>
        <v xml:space="preserve">COM VALOR</v>
      </c>
      <c r="J480" s="19"/>
      <c r="L480" s="21">
        <v>86.659999999999997</v>
      </c>
      <c r="M480" s="22">
        <v>0</v>
      </c>
      <c r="N480" s="21">
        <v>83.730000000000004</v>
      </c>
      <c r="O480" s="22">
        <v>0</v>
      </c>
    </row>
    <row r="481" ht="51">
      <c r="A481" t="s">
        <v>452</v>
      </c>
      <c r="B481" s="19">
        <v>105306</v>
      </c>
      <c r="C481" s="20" t="s">
        <v>514</v>
      </c>
      <c r="D481" s="19" t="s">
        <v>31</v>
      </c>
      <c r="E481" s="21">
        <f t="shared" si="20"/>
        <v>69.510000000000005</v>
      </c>
      <c r="F481" s="22">
        <v>0</v>
      </c>
      <c r="G481" s="21">
        <f t="shared" si="21"/>
        <v>67.079999999999998</v>
      </c>
      <c r="H481" s="22">
        <v>0</v>
      </c>
      <c r="I481" s="23" t="str">
        <f t="shared" si="22"/>
        <v xml:space="preserve">COM VALOR</v>
      </c>
      <c r="J481" s="19"/>
      <c r="L481" s="21">
        <v>69.510000000000005</v>
      </c>
      <c r="M481" s="22">
        <v>0</v>
      </c>
      <c r="N481" s="21">
        <v>67.079999999999998</v>
      </c>
      <c r="O481" s="22">
        <v>0</v>
      </c>
    </row>
    <row r="482" ht="51">
      <c r="A482" t="s">
        <v>452</v>
      </c>
      <c r="B482" s="19">
        <v>105273</v>
      </c>
      <c r="C482" s="20" t="s">
        <v>515</v>
      </c>
      <c r="D482" s="19" t="s">
        <v>31</v>
      </c>
      <c r="E482" s="21">
        <f t="shared" si="20"/>
        <v>99.079999999999998</v>
      </c>
      <c r="F482" s="22">
        <v>0</v>
      </c>
      <c r="G482" s="21">
        <f t="shared" si="21"/>
        <v>95.659999999999997</v>
      </c>
      <c r="H482" s="22">
        <v>0</v>
      </c>
      <c r="I482" s="23" t="str">
        <f t="shared" si="22"/>
        <v xml:space="preserve">COM VALOR</v>
      </c>
      <c r="J482" s="19"/>
      <c r="L482" s="21">
        <v>99.079999999999998</v>
      </c>
      <c r="M482" s="22">
        <v>0</v>
      </c>
      <c r="N482" s="21">
        <v>95.659999999999997</v>
      </c>
      <c r="O482" s="22">
        <v>0</v>
      </c>
    </row>
    <row r="483" ht="51">
      <c r="A483" t="s">
        <v>452</v>
      </c>
      <c r="B483" s="19">
        <v>105307</v>
      </c>
      <c r="C483" s="20" t="s">
        <v>516</v>
      </c>
      <c r="D483" s="19" t="s">
        <v>31</v>
      </c>
      <c r="E483" s="21">
        <f t="shared" si="20"/>
        <v>79.540000000000006</v>
      </c>
      <c r="F483" s="22">
        <v>0</v>
      </c>
      <c r="G483" s="21">
        <f t="shared" si="21"/>
        <v>76.719999999999999</v>
      </c>
      <c r="H483" s="22">
        <v>0</v>
      </c>
      <c r="I483" s="23" t="str">
        <f t="shared" si="22"/>
        <v xml:space="preserve">COM VALOR</v>
      </c>
      <c r="J483" s="19"/>
      <c r="L483" s="21">
        <v>79.540000000000006</v>
      </c>
      <c r="M483" s="22">
        <v>0</v>
      </c>
      <c r="N483" s="21">
        <v>76.719999999999999</v>
      </c>
      <c r="O483" s="22">
        <v>0</v>
      </c>
    </row>
    <row r="484" ht="51">
      <c r="A484" t="s">
        <v>452</v>
      </c>
      <c r="B484" s="19">
        <v>105250</v>
      </c>
      <c r="C484" s="20" t="s">
        <v>517</v>
      </c>
      <c r="D484" s="19" t="s">
        <v>31</v>
      </c>
      <c r="E484" s="21">
        <f t="shared" si="20"/>
        <v>15.390000000000001</v>
      </c>
      <c r="F484" s="22">
        <v>0</v>
      </c>
      <c r="G484" s="21">
        <f t="shared" si="21"/>
        <v>14.869999999999999</v>
      </c>
      <c r="H484" s="22">
        <v>0</v>
      </c>
      <c r="I484" s="23" t="str">
        <f t="shared" si="22"/>
        <v xml:space="preserve">COM VALOR</v>
      </c>
      <c r="J484" s="19"/>
      <c r="L484" s="21">
        <v>15.390000000000001</v>
      </c>
      <c r="M484" s="22">
        <v>0</v>
      </c>
      <c r="N484" s="21">
        <v>14.869999999999999</v>
      </c>
      <c r="O484" s="22">
        <v>0</v>
      </c>
    </row>
    <row r="485" ht="51">
      <c r="A485" t="s">
        <v>452</v>
      </c>
      <c r="B485" s="19">
        <v>105269</v>
      </c>
      <c r="C485" s="20" t="s">
        <v>518</v>
      </c>
      <c r="D485" s="19" t="s">
        <v>31</v>
      </c>
      <c r="E485" s="21">
        <f t="shared" si="20"/>
        <v>11.779999999999999</v>
      </c>
      <c r="F485" s="22">
        <v>0</v>
      </c>
      <c r="G485" s="21">
        <f t="shared" si="21"/>
        <v>11.380000000000001</v>
      </c>
      <c r="H485" s="22">
        <v>0</v>
      </c>
      <c r="I485" s="23" t="str">
        <f t="shared" si="22"/>
        <v xml:space="preserve">COM VALOR</v>
      </c>
      <c r="J485" s="19"/>
      <c r="L485" s="21">
        <v>11.779999999999999</v>
      </c>
      <c r="M485" s="22">
        <v>0</v>
      </c>
      <c r="N485" s="21">
        <v>11.380000000000001</v>
      </c>
      <c r="O485" s="22">
        <v>0</v>
      </c>
    </row>
    <row r="486" ht="51">
      <c r="A486" t="s">
        <v>452</v>
      </c>
      <c r="B486" s="19">
        <v>105274</v>
      </c>
      <c r="C486" s="20" t="s">
        <v>519</v>
      </c>
      <c r="D486" s="19" t="s">
        <v>31</v>
      </c>
      <c r="E486" s="21">
        <f t="shared" si="20"/>
        <v>111.83</v>
      </c>
      <c r="F486" s="22">
        <v>0</v>
      </c>
      <c r="G486" s="21">
        <f t="shared" si="21"/>
        <v>107.94</v>
      </c>
      <c r="H486" s="22">
        <v>0</v>
      </c>
      <c r="I486" s="23" t="str">
        <f t="shared" si="22"/>
        <v xml:space="preserve">COM VALOR</v>
      </c>
      <c r="J486" s="19"/>
      <c r="L486" s="21">
        <v>111.83</v>
      </c>
      <c r="M486" s="22">
        <v>0</v>
      </c>
      <c r="N486" s="21">
        <v>107.94</v>
      </c>
      <c r="O486" s="22">
        <v>0</v>
      </c>
    </row>
    <row r="487" ht="51">
      <c r="A487" t="s">
        <v>452</v>
      </c>
      <c r="B487" s="19">
        <v>105340</v>
      </c>
      <c r="C487" s="20" t="s">
        <v>520</v>
      </c>
      <c r="D487" s="19" t="s">
        <v>31</v>
      </c>
      <c r="E487" s="21">
        <f t="shared" si="20"/>
        <v>89.890000000000001</v>
      </c>
      <c r="F487" s="22">
        <v>0</v>
      </c>
      <c r="G487" s="21">
        <f t="shared" si="21"/>
        <v>86.680000000000007</v>
      </c>
      <c r="H487" s="22">
        <v>0</v>
      </c>
      <c r="I487" s="23" t="str">
        <f t="shared" si="22"/>
        <v xml:space="preserve">COM VALOR</v>
      </c>
      <c r="J487" s="19"/>
      <c r="L487" s="21">
        <v>89.890000000000001</v>
      </c>
      <c r="M487" s="22">
        <v>0</v>
      </c>
      <c r="N487" s="21">
        <v>86.680000000000007</v>
      </c>
      <c r="O487" s="22">
        <v>0</v>
      </c>
    </row>
    <row r="488" ht="51">
      <c r="A488" t="s">
        <v>452</v>
      </c>
      <c r="B488" s="19">
        <v>105275</v>
      </c>
      <c r="C488" s="20" t="s">
        <v>521</v>
      </c>
      <c r="D488" s="19" t="s">
        <v>31</v>
      </c>
      <c r="E488" s="21">
        <f t="shared" si="20"/>
        <v>124.79000000000001</v>
      </c>
      <c r="F488" s="22">
        <v>0</v>
      </c>
      <c r="G488" s="21">
        <f t="shared" si="21"/>
        <v>120.45</v>
      </c>
      <c r="H488" s="22">
        <v>0</v>
      </c>
      <c r="I488" s="23" t="str">
        <f t="shared" si="22"/>
        <v xml:space="preserve">COM VALOR</v>
      </c>
      <c r="J488" s="19"/>
      <c r="L488" s="21">
        <v>124.79000000000001</v>
      </c>
      <c r="M488" s="22">
        <v>0</v>
      </c>
      <c r="N488" s="21">
        <v>120.45</v>
      </c>
      <c r="O488" s="22">
        <v>0</v>
      </c>
    </row>
    <row r="489" ht="51">
      <c r="A489" t="s">
        <v>452</v>
      </c>
      <c r="B489" s="19">
        <v>105390</v>
      </c>
      <c r="C489" s="20" t="s">
        <v>522</v>
      </c>
      <c r="D489" s="19" t="s">
        <v>31</v>
      </c>
      <c r="E489" s="21">
        <f t="shared" si="20"/>
        <v>100.48</v>
      </c>
      <c r="F489" s="22">
        <v>0</v>
      </c>
      <c r="G489" s="21">
        <f t="shared" si="21"/>
        <v>96.890000000000001</v>
      </c>
      <c r="H489" s="22">
        <v>0</v>
      </c>
      <c r="I489" s="23" t="str">
        <f t="shared" si="22"/>
        <v xml:space="preserve">COM VALOR</v>
      </c>
      <c r="J489" s="19"/>
      <c r="L489" s="21">
        <v>100.48</v>
      </c>
      <c r="M489" s="22">
        <v>0</v>
      </c>
      <c r="N489" s="21">
        <v>96.890000000000001</v>
      </c>
      <c r="O489" s="22">
        <v>0</v>
      </c>
    </row>
    <row r="490" ht="51">
      <c r="A490" t="s">
        <v>452</v>
      </c>
      <c r="B490" s="19">
        <v>105364</v>
      </c>
      <c r="C490" s="20" t="s">
        <v>523</v>
      </c>
      <c r="D490" s="19" t="s">
        <v>31</v>
      </c>
      <c r="E490" s="21">
        <f t="shared" si="20"/>
        <v>24.34</v>
      </c>
      <c r="F490" s="22">
        <v>0</v>
      </c>
      <c r="G490" s="21">
        <f t="shared" si="21"/>
        <v>23.129999999999999</v>
      </c>
      <c r="H490" s="22">
        <v>0</v>
      </c>
      <c r="I490" s="23" t="str">
        <f t="shared" si="22"/>
        <v xml:space="preserve">COM VALOR</v>
      </c>
      <c r="J490" s="19"/>
      <c r="L490" s="21">
        <v>24.34</v>
      </c>
      <c r="M490" s="22">
        <v>0</v>
      </c>
      <c r="N490" s="21">
        <v>23.129999999999999</v>
      </c>
      <c r="O490" s="22">
        <v>0</v>
      </c>
    </row>
    <row r="491" ht="51">
      <c r="A491" t="s">
        <v>452</v>
      </c>
      <c r="B491" s="19">
        <v>105385</v>
      </c>
      <c r="C491" s="20" t="s">
        <v>524</v>
      </c>
      <c r="D491" s="19" t="s">
        <v>31</v>
      </c>
      <c r="E491" s="21">
        <f t="shared" si="20"/>
        <v>20.079999999999998</v>
      </c>
      <c r="F491" s="22">
        <v>0</v>
      </c>
      <c r="G491" s="21">
        <f t="shared" si="21"/>
        <v>19.09</v>
      </c>
      <c r="H491" s="22">
        <v>0</v>
      </c>
      <c r="I491" s="23" t="str">
        <f t="shared" si="22"/>
        <v xml:space="preserve">COM VALOR</v>
      </c>
      <c r="J491" s="19"/>
      <c r="L491" s="21">
        <v>20.079999999999998</v>
      </c>
      <c r="M491" s="22">
        <v>0</v>
      </c>
      <c r="N491" s="21">
        <v>19.09</v>
      </c>
      <c r="O491" s="22">
        <v>0</v>
      </c>
    </row>
    <row r="492" ht="51">
      <c r="A492" t="s">
        <v>452</v>
      </c>
      <c r="B492" s="19">
        <v>105362</v>
      </c>
      <c r="C492" s="20" t="s">
        <v>525</v>
      </c>
      <c r="D492" s="19" t="s">
        <v>31</v>
      </c>
      <c r="E492" s="21">
        <f t="shared" si="20"/>
        <v>17.34</v>
      </c>
      <c r="F492" s="22">
        <v>0</v>
      </c>
      <c r="G492" s="21">
        <f t="shared" si="21"/>
        <v>16.449999999999999</v>
      </c>
      <c r="H492" s="22">
        <v>0</v>
      </c>
      <c r="I492" s="23" t="str">
        <f t="shared" si="22"/>
        <v xml:space="preserve">COM VALOR</v>
      </c>
      <c r="J492" s="19"/>
      <c r="L492" s="21">
        <v>17.34</v>
      </c>
      <c r="M492" s="22">
        <v>0</v>
      </c>
      <c r="N492" s="21">
        <v>16.449999999999999</v>
      </c>
      <c r="O492" s="22">
        <v>0</v>
      </c>
    </row>
    <row r="493" ht="51">
      <c r="A493" t="s">
        <v>452</v>
      </c>
      <c r="B493" s="19">
        <v>105383</v>
      </c>
      <c r="C493" s="20" t="s">
        <v>526</v>
      </c>
      <c r="D493" s="19" t="s">
        <v>31</v>
      </c>
      <c r="E493" s="21">
        <f t="shared" si="20"/>
        <v>14.220000000000001</v>
      </c>
      <c r="F493" s="22">
        <v>0</v>
      </c>
      <c r="G493" s="21">
        <f t="shared" si="21"/>
        <v>13.49</v>
      </c>
      <c r="H493" s="22">
        <v>0</v>
      </c>
      <c r="I493" s="23" t="str">
        <f t="shared" si="22"/>
        <v xml:space="preserve">COM VALOR</v>
      </c>
      <c r="J493" s="19"/>
      <c r="L493" s="21">
        <v>14.220000000000001</v>
      </c>
      <c r="M493" s="22">
        <v>0</v>
      </c>
      <c r="N493" s="21">
        <v>13.49</v>
      </c>
      <c r="O493" s="22">
        <v>0</v>
      </c>
    </row>
    <row r="494" ht="51">
      <c r="A494" t="s">
        <v>452</v>
      </c>
      <c r="B494" s="19">
        <v>105363</v>
      </c>
      <c r="C494" s="20" t="s">
        <v>527</v>
      </c>
      <c r="D494" s="19" t="s">
        <v>31</v>
      </c>
      <c r="E494" s="21">
        <f t="shared" si="20"/>
        <v>20.949999999999999</v>
      </c>
      <c r="F494" s="22">
        <v>0</v>
      </c>
      <c r="G494" s="21">
        <f t="shared" si="21"/>
        <v>19.890000000000001</v>
      </c>
      <c r="H494" s="22">
        <v>0</v>
      </c>
      <c r="I494" s="23" t="str">
        <f t="shared" si="22"/>
        <v xml:space="preserve">COM VALOR</v>
      </c>
      <c r="J494" s="19"/>
      <c r="L494" s="21">
        <v>20.949999999999999</v>
      </c>
      <c r="M494" s="22">
        <v>0</v>
      </c>
      <c r="N494" s="21">
        <v>19.890000000000001</v>
      </c>
      <c r="O494" s="22">
        <v>0</v>
      </c>
    </row>
    <row r="495" ht="51">
      <c r="A495" t="s">
        <v>452</v>
      </c>
      <c r="B495" s="19">
        <v>105384</v>
      </c>
      <c r="C495" s="20" t="s">
        <v>528</v>
      </c>
      <c r="D495" s="19" t="s">
        <v>31</v>
      </c>
      <c r="E495" s="21">
        <f t="shared" si="20"/>
        <v>17.25</v>
      </c>
      <c r="F495" s="22">
        <v>0</v>
      </c>
      <c r="G495" s="21">
        <f t="shared" si="21"/>
        <v>16.399999999999999</v>
      </c>
      <c r="H495" s="22">
        <v>0</v>
      </c>
      <c r="I495" s="23" t="str">
        <f t="shared" si="22"/>
        <v xml:space="preserve">COM VALOR</v>
      </c>
      <c r="J495" s="19"/>
      <c r="L495" s="21">
        <v>17.25</v>
      </c>
      <c r="M495" s="22">
        <v>0</v>
      </c>
      <c r="N495" s="21">
        <v>16.399999999999999</v>
      </c>
      <c r="O495" s="22">
        <v>0</v>
      </c>
    </row>
    <row r="496" ht="51">
      <c r="A496" t="s">
        <v>452</v>
      </c>
      <c r="B496" s="19">
        <v>105279</v>
      </c>
      <c r="C496" s="20" t="s">
        <v>529</v>
      </c>
      <c r="D496" s="19" t="s">
        <v>31</v>
      </c>
      <c r="E496" s="21">
        <f t="shared" si="20"/>
        <v>24.280000000000001</v>
      </c>
      <c r="F496" s="22">
        <v>0</v>
      </c>
      <c r="G496" s="21">
        <f t="shared" si="21"/>
        <v>23.460000000000001</v>
      </c>
      <c r="H496" s="22">
        <v>0</v>
      </c>
      <c r="I496" s="23" t="str">
        <f t="shared" si="22"/>
        <v xml:space="preserve">COM VALOR</v>
      </c>
      <c r="J496" s="19"/>
      <c r="L496" s="21">
        <v>24.280000000000001</v>
      </c>
      <c r="M496" s="22">
        <v>0</v>
      </c>
      <c r="N496" s="21">
        <v>23.460000000000001</v>
      </c>
      <c r="O496" s="22">
        <v>0</v>
      </c>
    </row>
    <row r="497" ht="51">
      <c r="A497" t="s">
        <v>452</v>
      </c>
      <c r="B497" s="19">
        <v>105259</v>
      </c>
      <c r="C497" s="20" t="s">
        <v>530</v>
      </c>
      <c r="D497" s="19" t="s">
        <v>31</v>
      </c>
      <c r="E497" s="21">
        <f t="shared" si="20"/>
        <v>18.940000000000001</v>
      </c>
      <c r="F497" s="22">
        <v>0</v>
      </c>
      <c r="G497" s="21">
        <f t="shared" si="21"/>
        <v>18.309999999999999</v>
      </c>
      <c r="H497" s="22">
        <v>0</v>
      </c>
      <c r="I497" s="23" t="str">
        <f t="shared" si="22"/>
        <v xml:space="preserve">COM VALOR</v>
      </c>
      <c r="J497" s="19"/>
      <c r="L497" s="21">
        <v>18.940000000000001</v>
      </c>
      <c r="M497" s="22">
        <v>0</v>
      </c>
      <c r="N497" s="21">
        <v>18.309999999999999</v>
      </c>
      <c r="O497" s="22">
        <v>0</v>
      </c>
    </row>
    <row r="498" ht="51">
      <c r="A498" t="s">
        <v>452</v>
      </c>
      <c r="B498" s="19">
        <v>105357</v>
      </c>
      <c r="C498" s="20" t="s">
        <v>531</v>
      </c>
      <c r="D498" s="19" t="s">
        <v>31</v>
      </c>
      <c r="E498" s="21">
        <f t="shared" si="20"/>
        <v>189.87</v>
      </c>
      <c r="F498" s="22">
        <v>0</v>
      </c>
      <c r="G498" s="21">
        <f t="shared" si="21"/>
        <v>183.47</v>
      </c>
      <c r="H498" s="22">
        <v>0</v>
      </c>
      <c r="I498" s="23" t="str">
        <f t="shared" si="22"/>
        <v xml:space="preserve">COM VALOR</v>
      </c>
      <c r="J498" s="19"/>
      <c r="L498" s="21">
        <v>189.87</v>
      </c>
      <c r="M498" s="22">
        <v>0</v>
      </c>
      <c r="N498" s="21">
        <v>183.47</v>
      </c>
      <c r="O498" s="22">
        <v>0</v>
      </c>
    </row>
    <row r="499" ht="51">
      <c r="A499" t="s">
        <v>452</v>
      </c>
      <c r="B499" s="19">
        <v>105346</v>
      </c>
      <c r="C499" s="20" t="s">
        <v>532</v>
      </c>
      <c r="D499" s="19" t="s">
        <v>31</v>
      </c>
      <c r="E499" s="21">
        <f t="shared" si="20"/>
        <v>154.27000000000001</v>
      </c>
      <c r="F499" s="22">
        <v>0</v>
      </c>
      <c r="G499" s="21">
        <f t="shared" si="21"/>
        <v>148.96000000000001</v>
      </c>
      <c r="H499" s="22">
        <v>0</v>
      </c>
      <c r="I499" s="23" t="str">
        <f t="shared" si="22"/>
        <v xml:space="preserve">COM VALOR</v>
      </c>
      <c r="J499" s="19"/>
      <c r="L499" s="21">
        <v>154.27000000000001</v>
      </c>
      <c r="M499" s="22">
        <v>0</v>
      </c>
      <c r="N499" s="21">
        <v>148.96000000000001</v>
      </c>
      <c r="O499" s="22">
        <v>0</v>
      </c>
    </row>
    <row r="500" ht="51">
      <c r="A500" t="s">
        <v>452</v>
      </c>
      <c r="B500" s="19">
        <v>105358</v>
      </c>
      <c r="C500" s="20" t="s">
        <v>533</v>
      </c>
      <c r="D500" s="19" t="s">
        <v>31</v>
      </c>
      <c r="E500" s="21">
        <f t="shared" si="20"/>
        <v>232.86000000000001</v>
      </c>
      <c r="F500" s="22">
        <v>0</v>
      </c>
      <c r="G500" s="21">
        <f t="shared" si="21"/>
        <v>225.21000000000001</v>
      </c>
      <c r="H500" s="22">
        <v>0</v>
      </c>
      <c r="I500" s="23" t="str">
        <f t="shared" si="22"/>
        <v xml:space="preserve">COM VALOR</v>
      </c>
      <c r="J500" s="19"/>
      <c r="L500" s="21">
        <v>232.86000000000001</v>
      </c>
      <c r="M500" s="22">
        <v>0</v>
      </c>
      <c r="N500" s="21">
        <v>225.21000000000001</v>
      </c>
      <c r="O500" s="22">
        <v>0</v>
      </c>
    </row>
    <row r="501" ht="51">
      <c r="A501" t="s">
        <v>452</v>
      </c>
      <c r="B501" s="19">
        <v>105347</v>
      </c>
      <c r="C501" s="20" t="s">
        <v>534</v>
      </c>
      <c r="D501" s="19" t="s">
        <v>31</v>
      </c>
      <c r="E501" s="21">
        <f t="shared" si="20"/>
        <v>190.88999999999999</v>
      </c>
      <c r="F501" s="22">
        <v>0</v>
      </c>
      <c r="G501" s="21">
        <f t="shared" si="21"/>
        <v>184.53999999999999</v>
      </c>
      <c r="H501" s="22">
        <v>0</v>
      </c>
      <c r="I501" s="23" t="str">
        <f t="shared" si="22"/>
        <v xml:space="preserve">COM VALOR</v>
      </c>
      <c r="J501" s="19"/>
      <c r="L501" s="21">
        <v>190.88999999999999</v>
      </c>
      <c r="M501" s="22">
        <v>0</v>
      </c>
      <c r="N501" s="21">
        <v>184.53999999999999</v>
      </c>
      <c r="O501" s="22">
        <v>0</v>
      </c>
    </row>
    <row r="502" ht="51">
      <c r="A502" t="s">
        <v>452</v>
      </c>
      <c r="B502" s="19">
        <v>105280</v>
      </c>
      <c r="C502" s="20" t="s">
        <v>535</v>
      </c>
      <c r="D502" s="19" t="s">
        <v>31</v>
      </c>
      <c r="E502" s="21">
        <f t="shared" si="20"/>
        <v>31.989999999999998</v>
      </c>
      <c r="F502" s="22">
        <v>0</v>
      </c>
      <c r="G502" s="21">
        <f t="shared" si="21"/>
        <v>30.850000000000001</v>
      </c>
      <c r="H502" s="22">
        <v>0</v>
      </c>
      <c r="I502" s="23" t="str">
        <f t="shared" si="22"/>
        <v xml:space="preserve">COM VALOR</v>
      </c>
      <c r="J502" s="19"/>
      <c r="L502" s="21">
        <v>31.989999999999998</v>
      </c>
      <c r="M502" s="22">
        <v>0</v>
      </c>
      <c r="N502" s="21">
        <v>30.850000000000001</v>
      </c>
      <c r="O502" s="22">
        <v>0</v>
      </c>
    </row>
    <row r="503" ht="51">
      <c r="A503" t="s">
        <v>452</v>
      </c>
      <c r="B503" s="19">
        <v>105283</v>
      </c>
      <c r="C503" s="20" t="s">
        <v>536</v>
      </c>
      <c r="D503" s="19" t="s">
        <v>31</v>
      </c>
      <c r="E503" s="21">
        <f t="shared" si="20"/>
        <v>25.379999999999999</v>
      </c>
      <c r="F503" s="22">
        <v>0</v>
      </c>
      <c r="G503" s="21">
        <f t="shared" si="21"/>
        <v>24.469999999999999</v>
      </c>
      <c r="H503" s="22">
        <v>0</v>
      </c>
      <c r="I503" s="23" t="str">
        <f t="shared" si="22"/>
        <v xml:space="preserve">COM VALOR</v>
      </c>
      <c r="J503" s="19"/>
      <c r="L503" s="21">
        <v>25.379999999999999</v>
      </c>
      <c r="M503" s="22">
        <v>0</v>
      </c>
      <c r="N503" s="21">
        <v>24.469999999999999</v>
      </c>
      <c r="O503" s="22">
        <v>0</v>
      </c>
    </row>
    <row r="504" ht="51">
      <c r="A504" t="s">
        <v>452</v>
      </c>
      <c r="B504" s="19">
        <v>105281</v>
      </c>
      <c r="C504" s="20" t="s">
        <v>537</v>
      </c>
      <c r="D504" s="19" t="s">
        <v>31</v>
      </c>
      <c r="E504" s="21">
        <f t="shared" si="20"/>
        <v>39.710000000000001</v>
      </c>
      <c r="F504" s="22">
        <v>0</v>
      </c>
      <c r="G504" s="21">
        <f t="shared" si="21"/>
        <v>38.270000000000003</v>
      </c>
      <c r="H504" s="22">
        <v>0</v>
      </c>
      <c r="I504" s="23" t="str">
        <f t="shared" si="22"/>
        <v xml:space="preserve">COM VALOR</v>
      </c>
      <c r="J504" s="19"/>
      <c r="L504" s="21">
        <v>39.710000000000001</v>
      </c>
      <c r="M504" s="22">
        <v>0</v>
      </c>
      <c r="N504" s="21">
        <v>38.270000000000003</v>
      </c>
      <c r="O504" s="22">
        <v>0</v>
      </c>
    </row>
    <row r="505" ht="51">
      <c r="A505" t="s">
        <v>452</v>
      </c>
      <c r="B505" s="19">
        <v>105319</v>
      </c>
      <c r="C505" s="20" t="s">
        <v>538</v>
      </c>
      <c r="D505" s="19" t="s">
        <v>31</v>
      </c>
      <c r="E505" s="21">
        <f t="shared" si="20"/>
        <v>31.789999999999999</v>
      </c>
      <c r="F505" s="22">
        <v>0</v>
      </c>
      <c r="G505" s="21">
        <f t="shared" si="21"/>
        <v>30.649999999999999</v>
      </c>
      <c r="H505" s="22">
        <v>0</v>
      </c>
      <c r="I505" s="23" t="str">
        <f t="shared" si="22"/>
        <v xml:space="preserve">COM VALOR</v>
      </c>
      <c r="J505" s="19"/>
      <c r="L505" s="21">
        <v>31.789999999999999</v>
      </c>
      <c r="M505" s="22">
        <v>0</v>
      </c>
      <c r="N505" s="21">
        <v>30.649999999999999</v>
      </c>
      <c r="O505" s="22">
        <v>0</v>
      </c>
    </row>
    <row r="506" ht="51">
      <c r="A506" t="s">
        <v>452</v>
      </c>
      <c r="B506" s="19">
        <v>105284</v>
      </c>
      <c r="C506" s="20" t="s">
        <v>539</v>
      </c>
      <c r="D506" s="19" t="s">
        <v>31</v>
      </c>
      <c r="E506" s="21">
        <f t="shared" si="20"/>
        <v>47.799999999999997</v>
      </c>
      <c r="F506" s="22">
        <v>0</v>
      </c>
      <c r="G506" s="21">
        <f t="shared" si="21"/>
        <v>46.039999999999999</v>
      </c>
      <c r="H506" s="22">
        <v>0</v>
      </c>
      <c r="I506" s="23" t="str">
        <f t="shared" si="22"/>
        <v xml:space="preserve">COM VALOR</v>
      </c>
      <c r="J506" s="19"/>
      <c r="L506" s="21">
        <v>47.799999999999997</v>
      </c>
      <c r="M506" s="22">
        <v>0</v>
      </c>
      <c r="N506" s="21">
        <v>46.039999999999999</v>
      </c>
      <c r="O506" s="22">
        <v>0</v>
      </c>
    </row>
    <row r="507" ht="51">
      <c r="A507" t="s">
        <v>452</v>
      </c>
      <c r="B507" s="19">
        <v>105320</v>
      </c>
      <c r="C507" s="20" t="s">
        <v>540</v>
      </c>
      <c r="D507" s="19" t="s">
        <v>31</v>
      </c>
      <c r="E507" s="21">
        <f t="shared" si="20"/>
        <v>38.590000000000003</v>
      </c>
      <c r="F507" s="22">
        <v>0</v>
      </c>
      <c r="G507" s="21">
        <f t="shared" si="21"/>
        <v>37.189999999999998</v>
      </c>
      <c r="H507" s="22">
        <v>0</v>
      </c>
      <c r="I507" s="23" t="str">
        <f t="shared" si="22"/>
        <v xml:space="preserve">COM VALOR</v>
      </c>
      <c r="J507" s="19"/>
      <c r="L507" s="21">
        <v>38.590000000000003</v>
      </c>
      <c r="M507" s="22">
        <v>0</v>
      </c>
      <c r="N507" s="21">
        <v>37.189999999999998</v>
      </c>
      <c r="O507" s="22">
        <v>0</v>
      </c>
    </row>
    <row r="508" ht="51">
      <c r="A508" t="s">
        <v>452</v>
      </c>
      <c r="B508" s="19">
        <v>105348</v>
      </c>
      <c r="C508" s="20" t="s">
        <v>541</v>
      </c>
      <c r="D508" s="19" t="s">
        <v>31</v>
      </c>
      <c r="E508" s="21">
        <f t="shared" si="20"/>
        <v>55.840000000000003</v>
      </c>
      <c r="F508" s="22">
        <v>0</v>
      </c>
      <c r="G508" s="21">
        <f t="shared" si="21"/>
        <v>53.780000000000001</v>
      </c>
      <c r="H508" s="22">
        <v>0</v>
      </c>
      <c r="I508" s="23" t="str">
        <f t="shared" si="22"/>
        <v xml:space="preserve">COM VALOR</v>
      </c>
      <c r="J508" s="19"/>
      <c r="L508" s="21">
        <v>55.840000000000003</v>
      </c>
      <c r="M508" s="22">
        <v>0</v>
      </c>
      <c r="N508" s="21">
        <v>53.780000000000001</v>
      </c>
      <c r="O508" s="22">
        <v>0</v>
      </c>
    </row>
    <row r="509" ht="51">
      <c r="A509" t="s">
        <v>452</v>
      </c>
      <c r="B509" s="19">
        <v>105321</v>
      </c>
      <c r="C509" s="20" t="s">
        <v>542</v>
      </c>
      <c r="D509" s="19" t="s">
        <v>31</v>
      </c>
      <c r="E509" s="21">
        <f t="shared" si="20"/>
        <v>45.350000000000001</v>
      </c>
      <c r="F509" s="22">
        <v>0</v>
      </c>
      <c r="G509" s="21">
        <f t="shared" si="21"/>
        <v>43.689999999999998</v>
      </c>
      <c r="H509" s="22">
        <v>0</v>
      </c>
      <c r="I509" s="23" t="str">
        <f t="shared" si="22"/>
        <v xml:space="preserve">COM VALOR</v>
      </c>
      <c r="J509" s="19"/>
      <c r="L509" s="21">
        <v>45.350000000000001</v>
      </c>
      <c r="M509" s="22">
        <v>0</v>
      </c>
      <c r="N509" s="21">
        <v>43.689999999999998</v>
      </c>
      <c r="O509" s="22">
        <v>0</v>
      </c>
    </row>
    <row r="510" ht="51">
      <c r="A510" t="s">
        <v>452</v>
      </c>
      <c r="B510" s="19">
        <v>105349</v>
      </c>
      <c r="C510" s="20" t="s">
        <v>543</v>
      </c>
      <c r="D510" s="19" t="s">
        <v>31</v>
      </c>
      <c r="E510" s="21">
        <f t="shared" si="20"/>
        <v>63.869999999999997</v>
      </c>
      <c r="F510" s="22">
        <v>0</v>
      </c>
      <c r="G510" s="21">
        <f t="shared" si="21"/>
        <v>61.509999999999998</v>
      </c>
      <c r="H510" s="22">
        <v>0</v>
      </c>
      <c r="I510" s="23" t="str">
        <f t="shared" si="22"/>
        <v xml:space="preserve">COM VALOR</v>
      </c>
      <c r="J510" s="19"/>
      <c r="L510" s="21">
        <v>63.869999999999997</v>
      </c>
      <c r="M510" s="22">
        <v>0</v>
      </c>
      <c r="N510" s="21">
        <v>61.509999999999998</v>
      </c>
      <c r="O510" s="22">
        <v>0</v>
      </c>
    </row>
    <row r="511" ht="51">
      <c r="A511" t="s">
        <v>452</v>
      </c>
      <c r="B511" s="19">
        <v>105322</v>
      </c>
      <c r="C511" s="20" t="s">
        <v>544</v>
      </c>
      <c r="D511" s="19" t="s">
        <v>31</v>
      </c>
      <c r="E511" s="21">
        <f t="shared" si="20"/>
        <v>52.100000000000001</v>
      </c>
      <c r="F511" s="22">
        <v>0</v>
      </c>
      <c r="G511" s="21">
        <f t="shared" si="21"/>
        <v>50.170000000000002</v>
      </c>
      <c r="H511" s="22">
        <v>0</v>
      </c>
      <c r="I511" s="23" t="str">
        <f t="shared" si="22"/>
        <v xml:space="preserve">COM VALOR</v>
      </c>
      <c r="J511" s="19"/>
      <c r="L511" s="21">
        <v>52.100000000000001</v>
      </c>
      <c r="M511" s="22">
        <v>0</v>
      </c>
      <c r="N511" s="21">
        <v>50.170000000000002</v>
      </c>
      <c r="O511" s="22">
        <v>0</v>
      </c>
    </row>
    <row r="512" ht="51">
      <c r="A512" t="s">
        <v>452</v>
      </c>
      <c r="B512" s="19">
        <v>105350</v>
      </c>
      <c r="C512" s="20" t="s">
        <v>545</v>
      </c>
      <c r="D512" s="19" t="s">
        <v>31</v>
      </c>
      <c r="E512" s="21">
        <f t="shared" si="20"/>
        <v>71.909999999999997</v>
      </c>
      <c r="F512" s="22">
        <v>0</v>
      </c>
      <c r="G512" s="21">
        <f t="shared" si="21"/>
        <v>69.230000000000004</v>
      </c>
      <c r="H512" s="22">
        <v>0</v>
      </c>
      <c r="I512" s="23" t="str">
        <f t="shared" si="22"/>
        <v xml:space="preserve">COM VALOR</v>
      </c>
      <c r="J512" s="19"/>
      <c r="L512" s="21">
        <v>71.909999999999997</v>
      </c>
      <c r="M512" s="22">
        <v>0</v>
      </c>
      <c r="N512" s="21">
        <v>69.230000000000004</v>
      </c>
      <c r="O512" s="22">
        <v>0</v>
      </c>
    </row>
    <row r="513" ht="51">
      <c r="A513" t="s">
        <v>452</v>
      </c>
      <c r="B513" s="19">
        <v>105323</v>
      </c>
      <c r="C513" s="20" t="s">
        <v>546</v>
      </c>
      <c r="D513" s="19" t="s">
        <v>31</v>
      </c>
      <c r="E513" s="21">
        <f t="shared" si="20"/>
        <v>58.840000000000003</v>
      </c>
      <c r="F513" s="22">
        <v>0</v>
      </c>
      <c r="G513" s="21">
        <f t="shared" si="21"/>
        <v>56.659999999999997</v>
      </c>
      <c r="H513" s="22">
        <v>0</v>
      </c>
      <c r="I513" s="23" t="str">
        <f t="shared" si="22"/>
        <v xml:space="preserve">COM VALOR</v>
      </c>
      <c r="J513" s="19"/>
      <c r="L513" s="21">
        <v>58.840000000000003</v>
      </c>
      <c r="M513" s="22">
        <v>0</v>
      </c>
      <c r="N513" s="21">
        <v>56.659999999999997</v>
      </c>
      <c r="O513" s="22">
        <v>0</v>
      </c>
    </row>
    <row r="514" ht="51">
      <c r="A514" t="s">
        <v>452</v>
      </c>
      <c r="B514" s="19">
        <v>105351</v>
      </c>
      <c r="C514" s="20" t="s">
        <v>547</v>
      </c>
      <c r="D514" s="19" t="s">
        <v>31</v>
      </c>
      <c r="E514" s="21">
        <f t="shared" si="20"/>
        <v>80.269999999999996</v>
      </c>
      <c r="F514" s="22">
        <v>0</v>
      </c>
      <c r="G514" s="21">
        <f t="shared" si="21"/>
        <v>77.269999999999996</v>
      </c>
      <c r="H514" s="22">
        <v>0</v>
      </c>
      <c r="I514" s="23" t="str">
        <f t="shared" si="22"/>
        <v xml:space="preserve">COM VALOR</v>
      </c>
      <c r="J514" s="19"/>
      <c r="L514" s="21">
        <v>80.269999999999996</v>
      </c>
      <c r="M514" s="22">
        <v>0</v>
      </c>
      <c r="N514" s="21">
        <v>77.269999999999996</v>
      </c>
      <c r="O514" s="22">
        <v>0</v>
      </c>
    </row>
    <row r="515" ht="51">
      <c r="A515" t="s">
        <v>452</v>
      </c>
      <c r="B515" s="19">
        <v>105324</v>
      </c>
      <c r="C515" s="20" t="s">
        <v>548</v>
      </c>
      <c r="D515" s="19" t="s">
        <v>31</v>
      </c>
      <c r="E515" s="21">
        <f t="shared" si="20"/>
        <v>65.909999999999997</v>
      </c>
      <c r="F515" s="22">
        <v>0</v>
      </c>
      <c r="G515" s="21">
        <f t="shared" si="21"/>
        <v>63.450000000000003</v>
      </c>
      <c r="H515" s="22">
        <v>0</v>
      </c>
      <c r="I515" s="23" t="str">
        <f t="shared" si="22"/>
        <v xml:space="preserve">COM VALOR</v>
      </c>
      <c r="J515" s="19"/>
      <c r="L515" s="21">
        <v>65.909999999999997</v>
      </c>
      <c r="M515" s="22">
        <v>0</v>
      </c>
      <c r="N515" s="21">
        <v>63.450000000000003</v>
      </c>
      <c r="O515" s="22">
        <v>0</v>
      </c>
    </row>
    <row r="516" ht="51">
      <c r="A516" t="s">
        <v>452</v>
      </c>
      <c r="B516" s="19">
        <v>105352</v>
      </c>
      <c r="C516" s="20" t="s">
        <v>549</v>
      </c>
      <c r="D516" s="19" t="s">
        <v>31</v>
      </c>
      <c r="E516" s="21">
        <f t="shared" si="20"/>
        <v>100.98999999999999</v>
      </c>
      <c r="F516" s="22">
        <v>0</v>
      </c>
      <c r="G516" s="21">
        <f t="shared" si="21"/>
        <v>97.689999999999998</v>
      </c>
      <c r="H516" s="22">
        <v>0</v>
      </c>
      <c r="I516" s="23" t="str">
        <f t="shared" si="22"/>
        <v xml:space="preserve">COM VALOR</v>
      </c>
      <c r="J516" s="19"/>
      <c r="L516" s="21">
        <v>100.98999999999999</v>
      </c>
      <c r="M516" s="22">
        <v>0</v>
      </c>
      <c r="N516" s="21">
        <v>97.689999999999998</v>
      </c>
      <c r="O516" s="22">
        <v>0</v>
      </c>
    </row>
    <row r="517" ht="51">
      <c r="A517" t="s">
        <v>452</v>
      </c>
      <c r="B517" s="19">
        <v>105325</v>
      </c>
      <c r="C517" s="20" t="s">
        <v>550</v>
      </c>
      <c r="D517" s="19" t="s">
        <v>31</v>
      </c>
      <c r="E517" s="21">
        <f t="shared" si="20"/>
        <v>81.299999999999997</v>
      </c>
      <c r="F517" s="22">
        <v>0</v>
      </c>
      <c r="G517" s="21">
        <f t="shared" si="21"/>
        <v>78.590000000000003</v>
      </c>
      <c r="H517" s="22">
        <v>0</v>
      </c>
      <c r="I517" s="23" t="str">
        <f t="shared" si="22"/>
        <v xml:space="preserve">COM VALOR</v>
      </c>
      <c r="J517" s="19"/>
      <c r="L517" s="21">
        <v>81.299999999999997</v>
      </c>
      <c r="M517" s="22">
        <v>0</v>
      </c>
      <c r="N517" s="21">
        <v>78.590000000000003</v>
      </c>
      <c r="O517" s="22">
        <v>0</v>
      </c>
    </row>
    <row r="518" ht="51">
      <c r="A518" t="s">
        <v>452</v>
      </c>
      <c r="B518" s="19">
        <v>105353</v>
      </c>
      <c r="C518" s="20" t="s">
        <v>551</v>
      </c>
      <c r="D518" s="19" t="s">
        <v>31</v>
      </c>
      <c r="E518" s="21">
        <f t="shared" si="20"/>
        <v>119.55</v>
      </c>
      <c r="F518" s="22">
        <v>0</v>
      </c>
      <c r="G518" s="21">
        <f t="shared" si="21"/>
        <v>115.61</v>
      </c>
      <c r="H518" s="22">
        <v>0</v>
      </c>
      <c r="I518" s="23" t="str">
        <f t="shared" si="22"/>
        <v xml:space="preserve">COM VALOR</v>
      </c>
      <c r="J518" s="19"/>
      <c r="L518" s="21">
        <v>119.55</v>
      </c>
      <c r="M518" s="22">
        <v>0</v>
      </c>
      <c r="N518" s="21">
        <v>115.61</v>
      </c>
      <c r="O518" s="22">
        <v>0</v>
      </c>
    </row>
    <row r="519" ht="51">
      <c r="A519" t="s">
        <v>452</v>
      </c>
      <c r="B519" s="19">
        <v>105326</v>
      </c>
      <c r="C519" s="20" t="s">
        <v>552</v>
      </c>
      <c r="D519" s="19" t="s">
        <v>31</v>
      </c>
      <c r="E519" s="21">
        <f t="shared" si="20"/>
        <v>96.670000000000002</v>
      </c>
      <c r="F519" s="22">
        <v>0</v>
      </c>
      <c r="G519" s="21">
        <f t="shared" si="21"/>
        <v>93.430000000000007</v>
      </c>
      <c r="H519" s="22">
        <v>0</v>
      </c>
      <c r="I519" s="23" t="str">
        <f t="shared" si="22"/>
        <v xml:space="preserve">COM VALOR</v>
      </c>
      <c r="J519" s="19"/>
      <c r="L519" s="21">
        <v>96.670000000000002</v>
      </c>
      <c r="M519" s="22">
        <v>0</v>
      </c>
      <c r="N519" s="21">
        <v>93.430000000000007</v>
      </c>
      <c r="O519" s="22">
        <v>0</v>
      </c>
    </row>
    <row r="520" ht="51">
      <c r="A520" t="s">
        <v>452</v>
      </c>
      <c r="B520" s="19">
        <v>105354</v>
      </c>
      <c r="C520" s="20" t="s">
        <v>553</v>
      </c>
      <c r="D520" s="19" t="s">
        <v>31</v>
      </c>
      <c r="E520" s="21">
        <f t="shared" si="20"/>
        <v>136.33000000000001</v>
      </c>
      <c r="F520" s="22">
        <v>0</v>
      </c>
      <c r="G520" s="21">
        <f t="shared" si="21"/>
        <v>131.77000000000001</v>
      </c>
      <c r="H520" s="22">
        <v>0</v>
      </c>
      <c r="I520" s="23" t="str">
        <f t="shared" si="22"/>
        <v xml:space="preserve">COM VALOR</v>
      </c>
      <c r="J520" s="19"/>
      <c r="L520" s="21">
        <v>136.33000000000001</v>
      </c>
      <c r="M520" s="22">
        <v>0</v>
      </c>
      <c r="N520" s="21">
        <v>131.77000000000001</v>
      </c>
      <c r="O520" s="22">
        <v>0</v>
      </c>
    </row>
    <row r="521" ht="51">
      <c r="A521" t="s">
        <v>452</v>
      </c>
      <c r="B521" s="19">
        <v>105344</v>
      </c>
      <c r="C521" s="20" t="s">
        <v>554</v>
      </c>
      <c r="D521" s="19" t="s">
        <v>31</v>
      </c>
      <c r="E521" s="21">
        <f t="shared" si="20"/>
        <v>110.28</v>
      </c>
      <c r="F521" s="22">
        <v>0</v>
      </c>
      <c r="G521" s="21">
        <f t="shared" si="21"/>
        <v>106.52</v>
      </c>
      <c r="H521" s="22">
        <v>0</v>
      </c>
      <c r="I521" s="23" t="str">
        <f t="shared" si="22"/>
        <v xml:space="preserve">COM VALOR</v>
      </c>
      <c r="J521" s="19"/>
      <c r="L521" s="21">
        <v>110.28</v>
      </c>
      <c r="M521" s="22">
        <v>0</v>
      </c>
      <c r="N521" s="21">
        <v>106.52</v>
      </c>
      <c r="O521" s="22">
        <v>0</v>
      </c>
    </row>
    <row r="522" ht="51">
      <c r="A522" t="s">
        <v>452</v>
      </c>
      <c r="B522" s="19">
        <v>105278</v>
      </c>
      <c r="C522" s="20" t="s">
        <v>555</v>
      </c>
      <c r="D522" s="19" t="s">
        <v>31</v>
      </c>
      <c r="E522" s="21">
        <f t="shared" si="20"/>
        <v>21.100000000000001</v>
      </c>
      <c r="F522" s="22">
        <v>0</v>
      </c>
      <c r="G522" s="21">
        <f t="shared" si="21"/>
        <v>20.41</v>
      </c>
      <c r="H522" s="22">
        <v>0</v>
      </c>
      <c r="I522" s="23" t="str">
        <f t="shared" si="22"/>
        <v xml:space="preserve">COM VALOR</v>
      </c>
      <c r="J522" s="19"/>
      <c r="L522" s="21">
        <v>21.100000000000001</v>
      </c>
      <c r="M522" s="22">
        <v>0</v>
      </c>
      <c r="N522" s="21">
        <v>20.41</v>
      </c>
      <c r="O522" s="22">
        <v>0</v>
      </c>
    </row>
    <row r="523" ht="51">
      <c r="A523" t="s">
        <v>452</v>
      </c>
      <c r="B523" s="19">
        <v>105343</v>
      </c>
      <c r="C523" s="20" t="s">
        <v>556</v>
      </c>
      <c r="D523" s="19" t="s">
        <v>31</v>
      </c>
      <c r="E523" s="21">
        <f t="shared" ref="E523:E586" si="23">IF(L523=0,"VERIFICAR",L523)</f>
        <v>16.280000000000001</v>
      </c>
      <c r="F523" s="22">
        <v>0</v>
      </c>
      <c r="G523" s="21">
        <f t="shared" ref="G523:G586" si="24">IF(N523=0,"VERIFICAR",N523)</f>
        <v>15.76</v>
      </c>
      <c r="H523" s="22">
        <v>0</v>
      </c>
      <c r="I523" s="23" t="str">
        <f t="shared" ref="I523:I586" si="25">IF(OR(E523=0,G523=0),"SEM VALOR","COM VALOR")</f>
        <v xml:space="preserve">COM VALOR</v>
      </c>
      <c r="J523" s="19"/>
      <c r="L523" s="21">
        <v>16.280000000000001</v>
      </c>
      <c r="M523" s="22">
        <v>0</v>
      </c>
      <c r="N523" s="21">
        <v>15.76</v>
      </c>
      <c r="O523" s="22">
        <v>0</v>
      </c>
    </row>
    <row r="524" ht="51">
      <c r="A524" t="s">
        <v>452</v>
      </c>
      <c r="B524" s="19">
        <v>105355</v>
      </c>
      <c r="C524" s="20" t="s">
        <v>557</v>
      </c>
      <c r="D524" s="19" t="s">
        <v>31</v>
      </c>
      <c r="E524" s="21">
        <f t="shared" si="23"/>
        <v>153.75</v>
      </c>
      <c r="F524" s="22">
        <v>0</v>
      </c>
      <c r="G524" s="21">
        <f t="shared" si="24"/>
        <v>148.59</v>
      </c>
      <c r="H524" s="22">
        <v>0</v>
      </c>
      <c r="I524" s="23" t="str">
        <f t="shared" si="25"/>
        <v xml:space="preserve">COM VALOR</v>
      </c>
      <c r="J524" s="19"/>
      <c r="L524" s="21">
        <v>153.75</v>
      </c>
      <c r="M524" s="22">
        <v>0</v>
      </c>
      <c r="N524" s="21">
        <v>148.59</v>
      </c>
      <c r="O524" s="22">
        <v>0</v>
      </c>
    </row>
    <row r="525" ht="51">
      <c r="A525" t="s">
        <v>452</v>
      </c>
      <c r="B525" s="19">
        <v>105391</v>
      </c>
      <c r="C525" s="20" t="s">
        <v>558</v>
      </c>
      <c r="D525" s="19" t="s">
        <v>31</v>
      </c>
      <c r="E525" s="21">
        <f t="shared" si="23"/>
        <v>124.51000000000001</v>
      </c>
      <c r="F525" s="22">
        <v>0</v>
      </c>
      <c r="G525" s="21">
        <f t="shared" si="24"/>
        <v>120.23999999999999</v>
      </c>
      <c r="H525" s="22">
        <v>0</v>
      </c>
      <c r="I525" s="23" t="str">
        <f t="shared" si="25"/>
        <v xml:space="preserve">COM VALOR</v>
      </c>
      <c r="J525" s="19"/>
      <c r="L525" s="21">
        <v>124.51000000000001</v>
      </c>
      <c r="M525" s="22">
        <v>0</v>
      </c>
      <c r="N525" s="21">
        <v>120.23999999999999</v>
      </c>
      <c r="O525" s="22">
        <v>0</v>
      </c>
    </row>
    <row r="526" ht="51">
      <c r="A526" t="s">
        <v>452</v>
      </c>
      <c r="B526" s="19">
        <v>105356</v>
      </c>
      <c r="C526" s="20" t="s">
        <v>559</v>
      </c>
      <c r="D526" s="19" t="s">
        <v>31</v>
      </c>
      <c r="E526" s="21">
        <f t="shared" si="23"/>
        <v>171.66999999999999</v>
      </c>
      <c r="F526" s="22">
        <v>0</v>
      </c>
      <c r="G526" s="21">
        <f t="shared" si="24"/>
        <v>165.88</v>
      </c>
      <c r="H526" s="22">
        <v>0</v>
      </c>
      <c r="I526" s="23" t="str">
        <f t="shared" si="25"/>
        <v xml:space="preserve">COM VALOR</v>
      </c>
      <c r="J526" s="19"/>
      <c r="L526" s="21">
        <v>171.66999999999999</v>
      </c>
      <c r="M526" s="22">
        <v>0</v>
      </c>
      <c r="N526" s="21">
        <v>165.88</v>
      </c>
      <c r="O526" s="22">
        <v>0</v>
      </c>
    </row>
    <row r="527" ht="51">
      <c r="A527" t="s">
        <v>452</v>
      </c>
      <c r="B527" s="19">
        <v>105345</v>
      </c>
      <c r="C527" s="20" t="s">
        <v>560</v>
      </c>
      <c r="D527" s="19" t="s">
        <v>31</v>
      </c>
      <c r="E527" s="21">
        <f t="shared" si="23"/>
        <v>139.25</v>
      </c>
      <c r="F527" s="22">
        <v>0</v>
      </c>
      <c r="G527" s="21">
        <f t="shared" si="24"/>
        <v>134.46000000000001</v>
      </c>
      <c r="H527" s="22">
        <v>0</v>
      </c>
      <c r="I527" s="23" t="str">
        <f t="shared" si="25"/>
        <v xml:space="preserve">COM VALOR</v>
      </c>
      <c r="J527" s="19"/>
      <c r="L527" s="21">
        <v>139.25</v>
      </c>
      <c r="M527" s="22">
        <v>0</v>
      </c>
      <c r="N527" s="21">
        <v>134.46000000000001</v>
      </c>
      <c r="O527" s="22">
        <v>0</v>
      </c>
    </row>
    <row r="528" ht="51">
      <c r="A528" t="s">
        <v>452</v>
      </c>
      <c r="B528" s="19">
        <v>105367</v>
      </c>
      <c r="C528" s="20" t="s">
        <v>561</v>
      </c>
      <c r="D528" s="19" t="s">
        <v>31</v>
      </c>
      <c r="E528" s="21">
        <f t="shared" si="23"/>
        <v>33.659999999999997</v>
      </c>
      <c r="F528" s="22">
        <v>0</v>
      </c>
      <c r="G528" s="21">
        <f t="shared" si="24"/>
        <v>32.039999999999999</v>
      </c>
      <c r="H528" s="22">
        <v>0</v>
      </c>
      <c r="I528" s="23" t="str">
        <f t="shared" si="25"/>
        <v xml:space="preserve">COM VALOR</v>
      </c>
      <c r="J528" s="19"/>
      <c r="L528" s="21">
        <v>33.659999999999997</v>
      </c>
      <c r="M528" s="22">
        <v>0</v>
      </c>
      <c r="N528" s="21">
        <v>32.039999999999999</v>
      </c>
      <c r="O528" s="22">
        <v>0</v>
      </c>
    </row>
    <row r="529" ht="51">
      <c r="A529" t="s">
        <v>452</v>
      </c>
      <c r="B529" s="19">
        <v>105371</v>
      </c>
      <c r="C529" s="20" t="s">
        <v>562</v>
      </c>
      <c r="D529" s="19" t="s">
        <v>31</v>
      </c>
      <c r="E529" s="21">
        <f t="shared" si="23"/>
        <v>27.969999999999999</v>
      </c>
      <c r="F529" s="22">
        <v>0</v>
      </c>
      <c r="G529" s="21">
        <f t="shared" si="24"/>
        <v>26.66</v>
      </c>
      <c r="H529" s="22">
        <v>0</v>
      </c>
      <c r="I529" s="23" t="str">
        <f t="shared" si="25"/>
        <v xml:space="preserve">COM VALOR</v>
      </c>
      <c r="J529" s="19"/>
      <c r="L529" s="21">
        <v>27.969999999999999</v>
      </c>
      <c r="M529" s="22">
        <v>0</v>
      </c>
      <c r="N529" s="21">
        <v>26.66</v>
      </c>
      <c r="O529" s="22">
        <v>0</v>
      </c>
    </row>
    <row r="530" ht="51">
      <c r="A530" t="s">
        <v>452</v>
      </c>
      <c r="B530" s="19">
        <v>105365</v>
      </c>
      <c r="C530" s="20" t="s">
        <v>563</v>
      </c>
      <c r="D530" s="19" t="s">
        <v>31</v>
      </c>
      <c r="E530" s="21">
        <f t="shared" si="23"/>
        <v>23.649999999999999</v>
      </c>
      <c r="F530" s="22">
        <v>0</v>
      </c>
      <c r="G530" s="21">
        <f t="shared" si="24"/>
        <v>22.460000000000001</v>
      </c>
      <c r="H530" s="22">
        <v>0</v>
      </c>
      <c r="I530" s="23" t="str">
        <f t="shared" si="25"/>
        <v xml:space="preserve">COM VALOR</v>
      </c>
      <c r="J530" s="19"/>
      <c r="L530" s="21">
        <v>23.649999999999999</v>
      </c>
      <c r="M530" s="22">
        <v>0</v>
      </c>
      <c r="N530" s="21">
        <v>22.460000000000001</v>
      </c>
      <c r="O530" s="22">
        <v>0</v>
      </c>
    </row>
    <row r="531" ht="51">
      <c r="A531" t="s">
        <v>452</v>
      </c>
      <c r="B531" s="19">
        <v>105386</v>
      </c>
      <c r="C531" s="20" t="s">
        <v>564</v>
      </c>
      <c r="D531" s="19" t="s">
        <v>31</v>
      </c>
      <c r="E531" s="21">
        <f t="shared" si="23"/>
        <v>19.489999999999998</v>
      </c>
      <c r="F531" s="22">
        <v>0</v>
      </c>
      <c r="G531" s="21">
        <f t="shared" si="24"/>
        <v>18.52</v>
      </c>
      <c r="H531" s="22">
        <v>0</v>
      </c>
      <c r="I531" s="23" t="str">
        <f t="shared" si="25"/>
        <v xml:space="preserve">COM VALOR</v>
      </c>
      <c r="J531" s="19"/>
      <c r="L531" s="21">
        <v>19.489999999999998</v>
      </c>
      <c r="M531" s="22">
        <v>0</v>
      </c>
      <c r="N531" s="21">
        <v>18.52</v>
      </c>
      <c r="O531" s="22">
        <v>0</v>
      </c>
    </row>
    <row r="532" ht="51">
      <c r="A532" t="s">
        <v>452</v>
      </c>
      <c r="B532" s="19">
        <v>105366</v>
      </c>
      <c r="C532" s="20" t="s">
        <v>565</v>
      </c>
      <c r="D532" s="19" t="s">
        <v>31</v>
      </c>
      <c r="E532" s="21">
        <f t="shared" si="23"/>
        <v>28.84</v>
      </c>
      <c r="F532" s="22">
        <v>0</v>
      </c>
      <c r="G532" s="21">
        <f t="shared" si="24"/>
        <v>27.449999999999999</v>
      </c>
      <c r="H532" s="22">
        <v>0</v>
      </c>
      <c r="I532" s="23" t="str">
        <f t="shared" si="25"/>
        <v xml:space="preserve">COM VALOR</v>
      </c>
      <c r="J532" s="19"/>
      <c r="L532" s="21">
        <v>28.84</v>
      </c>
      <c r="M532" s="22">
        <v>0</v>
      </c>
      <c r="N532" s="21">
        <v>27.449999999999999</v>
      </c>
      <c r="O532" s="22">
        <v>0</v>
      </c>
    </row>
    <row r="533" ht="51">
      <c r="A533" t="s">
        <v>452</v>
      </c>
      <c r="B533" s="19">
        <v>105387</v>
      </c>
      <c r="C533" s="20" t="s">
        <v>566</v>
      </c>
      <c r="D533" s="19" t="s">
        <v>31</v>
      </c>
      <c r="E533" s="21">
        <f t="shared" si="23"/>
        <v>23.93</v>
      </c>
      <c r="F533" s="22">
        <v>0</v>
      </c>
      <c r="G533" s="21">
        <f t="shared" si="24"/>
        <v>22.789999999999999</v>
      </c>
      <c r="H533" s="22">
        <v>0</v>
      </c>
      <c r="I533" s="23" t="str">
        <f t="shared" si="25"/>
        <v xml:space="preserve">COM VALOR</v>
      </c>
      <c r="J533" s="19"/>
      <c r="L533" s="21">
        <v>23.93</v>
      </c>
      <c r="M533" s="22">
        <v>0</v>
      </c>
      <c r="N533" s="21">
        <v>22.789999999999999</v>
      </c>
      <c r="O533" s="22">
        <v>0</v>
      </c>
    </row>
    <row r="534" ht="51">
      <c r="A534" t="s">
        <v>452</v>
      </c>
      <c r="B534" s="19">
        <v>97177</v>
      </c>
      <c r="C534" s="20" t="s">
        <v>567</v>
      </c>
      <c r="D534" s="19" t="s">
        <v>38</v>
      </c>
      <c r="E534" s="21">
        <f t="shared" si="23"/>
        <v>72.200000000000003</v>
      </c>
      <c r="F534" s="22">
        <v>0</v>
      </c>
      <c r="G534" s="21">
        <f t="shared" si="24"/>
        <v>69.530000000000001</v>
      </c>
      <c r="H534" s="22">
        <v>0</v>
      </c>
      <c r="I534" s="23" t="str">
        <f t="shared" si="25"/>
        <v xml:space="preserve">COM VALOR</v>
      </c>
      <c r="J534" s="19"/>
      <c r="L534" s="21">
        <v>72.200000000000003</v>
      </c>
      <c r="M534" s="22">
        <v>0</v>
      </c>
      <c r="N534" s="21">
        <v>69.530000000000001</v>
      </c>
      <c r="O534" s="22">
        <v>0</v>
      </c>
    </row>
    <row r="535" ht="51">
      <c r="A535" t="s">
        <v>452</v>
      </c>
      <c r="B535" s="19">
        <v>97187</v>
      </c>
      <c r="C535" s="20" t="s">
        <v>568</v>
      </c>
      <c r="D535" s="19" t="s">
        <v>38</v>
      </c>
      <c r="E535" s="21">
        <f t="shared" si="23"/>
        <v>64.560000000000002</v>
      </c>
      <c r="F535" s="22">
        <v>0</v>
      </c>
      <c r="G535" s="21">
        <f t="shared" si="24"/>
        <v>62.119999999999997</v>
      </c>
      <c r="H535" s="22">
        <v>0</v>
      </c>
      <c r="I535" s="23" t="str">
        <f t="shared" si="25"/>
        <v xml:space="preserve">COM VALOR</v>
      </c>
      <c r="J535" s="19"/>
      <c r="L535" s="21">
        <v>64.560000000000002</v>
      </c>
      <c r="M535" s="22">
        <v>0</v>
      </c>
      <c r="N535" s="21">
        <v>62.119999999999997</v>
      </c>
      <c r="O535" s="22">
        <v>0</v>
      </c>
    </row>
    <row r="536" ht="51">
      <c r="A536" t="s">
        <v>452</v>
      </c>
      <c r="B536" s="19">
        <v>97178</v>
      </c>
      <c r="C536" s="20" t="s">
        <v>569</v>
      </c>
      <c r="D536" s="19" t="s">
        <v>38</v>
      </c>
      <c r="E536" s="21">
        <f t="shared" si="23"/>
        <v>87.780000000000001</v>
      </c>
      <c r="F536" s="22">
        <v>0</v>
      </c>
      <c r="G536" s="21">
        <f t="shared" si="24"/>
        <v>84.530000000000001</v>
      </c>
      <c r="H536" s="22">
        <v>0</v>
      </c>
      <c r="I536" s="23" t="str">
        <f t="shared" si="25"/>
        <v xml:space="preserve">COM VALOR</v>
      </c>
      <c r="J536" s="19"/>
      <c r="L536" s="21">
        <v>87.780000000000001</v>
      </c>
      <c r="M536" s="22">
        <v>0</v>
      </c>
      <c r="N536" s="21">
        <v>84.530000000000001</v>
      </c>
      <c r="O536" s="22">
        <v>0</v>
      </c>
    </row>
    <row r="537" ht="51">
      <c r="A537" t="s">
        <v>452</v>
      </c>
      <c r="B537" s="19">
        <v>97188</v>
      </c>
      <c r="C537" s="20" t="s">
        <v>570</v>
      </c>
      <c r="D537" s="19" t="s">
        <v>38</v>
      </c>
      <c r="E537" s="21">
        <f t="shared" si="23"/>
        <v>78.609999999999999</v>
      </c>
      <c r="F537" s="22">
        <v>0</v>
      </c>
      <c r="G537" s="21">
        <f t="shared" si="24"/>
        <v>75.620000000000005</v>
      </c>
      <c r="H537" s="22">
        <v>0</v>
      </c>
      <c r="I537" s="23" t="str">
        <f t="shared" si="25"/>
        <v xml:space="preserve">COM VALOR</v>
      </c>
      <c r="J537" s="19"/>
      <c r="L537" s="21">
        <v>78.609999999999999</v>
      </c>
      <c r="M537" s="22">
        <v>0</v>
      </c>
      <c r="N537" s="21">
        <v>75.620000000000005</v>
      </c>
      <c r="O537" s="22">
        <v>0</v>
      </c>
    </row>
    <row r="538" ht="51">
      <c r="A538" t="s">
        <v>452</v>
      </c>
      <c r="B538" s="19">
        <v>97179</v>
      </c>
      <c r="C538" s="20" t="s">
        <v>571</v>
      </c>
      <c r="D538" s="19" t="s">
        <v>38</v>
      </c>
      <c r="E538" s="21">
        <f t="shared" si="23"/>
        <v>103.40000000000001</v>
      </c>
      <c r="F538" s="22">
        <v>0</v>
      </c>
      <c r="G538" s="21">
        <f t="shared" si="24"/>
        <v>99.540000000000006</v>
      </c>
      <c r="H538" s="22">
        <v>0</v>
      </c>
      <c r="I538" s="23" t="str">
        <f t="shared" si="25"/>
        <v xml:space="preserve">COM VALOR</v>
      </c>
      <c r="J538" s="19"/>
      <c r="L538" s="21">
        <v>103.40000000000001</v>
      </c>
      <c r="M538" s="22">
        <v>0</v>
      </c>
      <c r="N538" s="21">
        <v>99.540000000000006</v>
      </c>
      <c r="O538" s="22">
        <v>0</v>
      </c>
    </row>
    <row r="539" ht="51">
      <c r="A539" t="s">
        <v>452</v>
      </c>
      <c r="B539" s="19">
        <v>97189</v>
      </c>
      <c r="C539" s="20" t="s">
        <v>572</v>
      </c>
      <c r="D539" s="19" t="s">
        <v>38</v>
      </c>
      <c r="E539" s="21">
        <f t="shared" si="23"/>
        <v>92.659999999999997</v>
      </c>
      <c r="F539" s="22">
        <v>0</v>
      </c>
      <c r="G539" s="21">
        <f t="shared" si="24"/>
        <v>89.120000000000005</v>
      </c>
      <c r="H539" s="22">
        <v>0</v>
      </c>
      <c r="I539" s="23" t="str">
        <f t="shared" si="25"/>
        <v xml:space="preserve">COM VALOR</v>
      </c>
      <c r="J539" s="19"/>
      <c r="L539" s="21">
        <v>92.659999999999997</v>
      </c>
      <c r="M539" s="22">
        <v>0</v>
      </c>
      <c r="N539" s="21">
        <v>89.120000000000005</v>
      </c>
      <c r="O539" s="22">
        <v>0</v>
      </c>
    </row>
    <row r="540" ht="51">
      <c r="A540" t="s">
        <v>452</v>
      </c>
      <c r="B540" s="19">
        <v>97180</v>
      </c>
      <c r="C540" s="20" t="s">
        <v>573</v>
      </c>
      <c r="D540" s="19" t="s">
        <v>38</v>
      </c>
      <c r="E540" s="21">
        <f t="shared" si="23"/>
        <v>119.01000000000001</v>
      </c>
      <c r="F540" s="22">
        <v>0</v>
      </c>
      <c r="G540" s="21">
        <f t="shared" si="24"/>
        <v>114.52</v>
      </c>
      <c r="H540" s="22">
        <v>0</v>
      </c>
      <c r="I540" s="23" t="str">
        <f t="shared" si="25"/>
        <v xml:space="preserve">COM VALOR</v>
      </c>
      <c r="J540" s="19"/>
      <c r="L540" s="21">
        <v>119.01000000000001</v>
      </c>
      <c r="M540" s="22">
        <v>0</v>
      </c>
      <c r="N540" s="21">
        <v>114.52</v>
      </c>
      <c r="O540" s="22">
        <v>0</v>
      </c>
    </row>
    <row r="541" ht="51">
      <c r="A541" t="s">
        <v>452</v>
      </c>
      <c r="B541" s="19">
        <v>97190</v>
      </c>
      <c r="C541" s="20" t="s">
        <v>574</v>
      </c>
      <c r="D541" s="19" t="s">
        <v>38</v>
      </c>
      <c r="E541" s="21">
        <f t="shared" si="23"/>
        <v>106.7</v>
      </c>
      <c r="F541" s="22">
        <v>0</v>
      </c>
      <c r="G541" s="21">
        <f t="shared" si="24"/>
        <v>102.59999999999999</v>
      </c>
      <c r="H541" s="22">
        <v>0</v>
      </c>
      <c r="I541" s="23" t="str">
        <f t="shared" si="25"/>
        <v xml:space="preserve">COM VALOR</v>
      </c>
      <c r="J541" s="19"/>
      <c r="L541" s="21">
        <v>106.7</v>
      </c>
      <c r="M541" s="22">
        <v>0</v>
      </c>
      <c r="N541" s="21">
        <v>102.59999999999999</v>
      </c>
      <c r="O541" s="22">
        <v>0</v>
      </c>
    </row>
    <row r="542" ht="51">
      <c r="A542" t="s">
        <v>452</v>
      </c>
      <c r="B542" s="19">
        <v>97181</v>
      </c>
      <c r="C542" s="20" t="s">
        <v>575</v>
      </c>
      <c r="D542" s="19" t="s">
        <v>38</v>
      </c>
      <c r="E542" s="21">
        <f t="shared" si="23"/>
        <v>134.59</v>
      </c>
      <c r="F542" s="22">
        <v>0</v>
      </c>
      <c r="G542" s="21">
        <f t="shared" si="24"/>
        <v>129.53</v>
      </c>
      <c r="H542" s="22">
        <v>0</v>
      </c>
      <c r="I542" s="23" t="str">
        <f t="shared" si="25"/>
        <v xml:space="preserve">COM VALOR</v>
      </c>
      <c r="J542" s="19"/>
      <c r="L542" s="21">
        <v>134.59</v>
      </c>
      <c r="M542" s="22">
        <v>0</v>
      </c>
      <c r="N542" s="21">
        <v>129.53</v>
      </c>
      <c r="O542" s="22">
        <v>0</v>
      </c>
    </row>
    <row r="543" ht="51">
      <c r="A543" t="s">
        <v>452</v>
      </c>
      <c r="B543" s="19">
        <v>97191</v>
      </c>
      <c r="C543" s="20" t="s">
        <v>576</v>
      </c>
      <c r="D543" s="19" t="s">
        <v>38</v>
      </c>
      <c r="E543" s="21">
        <f t="shared" si="23"/>
        <v>120.73999999999999</v>
      </c>
      <c r="F543" s="22">
        <v>0</v>
      </c>
      <c r="G543" s="21">
        <f t="shared" si="24"/>
        <v>116.09999999999999</v>
      </c>
      <c r="H543" s="22">
        <v>0</v>
      </c>
      <c r="I543" s="23" t="str">
        <f t="shared" si="25"/>
        <v xml:space="preserve">COM VALOR</v>
      </c>
      <c r="J543" s="19"/>
      <c r="L543" s="21">
        <v>120.73999999999999</v>
      </c>
      <c r="M543" s="22">
        <v>0</v>
      </c>
      <c r="N543" s="21">
        <v>116.09999999999999</v>
      </c>
      <c r="O543" s="22">
        <v>0</v>
      </c>
    </row>
    <row r="544" ht="51">
      <c r="A544" t="s">
        <v>452</v>
      </c>
      <c r="B544" s="19">
        <v>97182</v>
      </c>
      <c r="C544" s="20" t="s">
        <v>577</v>
      </c>
      <c r="D544" s="19" t="s">
        <v>38</v>
      </c>
      <c r="E544" s="21">
        <f t="shared" si="23"/>
        <v>154.56</v>
      </c>
      <c r="F544" s="22">
        <v>0</v>
      </c>
      <c r="G544" s="21">
        <f t="shared" si="24"/>
        <v>148.88999999999999</v>
      </c>
      <c r="H544" s="22">
        <v>0</v>
      </c>
      <c r="I544" s="23" t="str">
        <f t="shared" si="25"/>
        <v xml:space="preserve">COM VALOR</v>
      </c>
      <c r="J544" s="19"/>
      <c r="L544" s="21">
        <v>154.56</v>
      </c>
      <c r="M544" s="22">
        <v>0</v>
      </c>
      <c r="N544" s="21">
        <v>148.88999999999999</v>
      </c>
      <c r="O544" s="22">
        <v>0</v>
      </c>
    </row>
    <row r="545" ht="51">
      <c r="A545" t="s">
        <v>452</v>
      </c>
      <c r="B545" s="19">
        <v>97192</v>
      </c>
      <c r="C545" s="20" t="s">
        <v>578</v>
      </c>
      <c r="D545" s="19" t="s">
        <v>38</v>
      </c>
      <c r="E545" s="21">
        <f t="shared" si="23"/>
        <v>138.19</v>
      </c>
      <c r="F545" s="22">
        <v>0</v>
      </c>
      <c r="G545" s="21">
        <f t="shared" si="24"/>
        <v>132.99000000000001</v>
      </c>
      <c r="H545" s="22">
        <v>0</v>
      </c>
      <c r="I545" s="23" t="str">
        <f t="shared" si="25"/>
        <v xml:space="preserve">COM VALOR</v>
      </c>
      <c r="J545" s="19"/>
      <c r="L545" s="21">
        <v>138.19</v>
      </c>
      <c r="M545" s="22">
        <v>0</v>
      </c>
      <c r="N545" s="21">
        <v>132.99000000000001</v>
      </c>
      <c r="O545" s="22">
        <v>0</v>
      </c>
    </row>
    <row r="546" ht="38.25">
      <c r="A546" t="s">
        <v>452</v>
      </c>
      <c r="B546" s="19">
        <v>97173</v>
      </c>
      <c r="C546" s="20" t="s">
        <v>579</v>
      </c>
      <c r="D546" s="19" t="s">
        <v>38</v>
      </c>
      <c r="E546" s="21">
        <f t="shared" si="23"/>
        <v>40.990000000000002</v>
      </c>
      <c r="F546" s="22">
        <v>0</v>
      </c>
      <c r="G546" s="21">
        <f t="shared" si="24"/>
        <v>39.549999999999997</v>
      </c>
      <c r="H546" s="22">
        <v>0</v>
      </c>
      <c r="I546" s="23" t="str">
        <f t="shared" si="25"/>
        <v xml:space="preserve">COM VALOR</v>
      </c>
      <c r="J546" s="19"/>
      <c r="L546" s="21">
        <v>40.990000000000002</v>
      </c>
      <c r="M546" s="22">
        <v>0</v>
      </c>
      <c r="N546" s="21">
        <v>39.549999999999997</v>
      </c>
      <c r="O546" s="22">
        <v>0</v>
      </c>
    </row>
    <row r="547" ht="38.25">
      <c r="A547" t="s">
        <v>452</v>
      </c>
      <c r="B547" s="19">
        <v>97183</v>
      </c>
      <c r="C547" s="20" t="s">
        <v>580</v>
      </c>
      <c r="D547" s="19" t="s">
        <v>38</v>
      </c>
      <c r="E547" s="21">
        <f t="shared" si="23"/>
        <v>36.469999999999999</v>
      </c>
      <c r="F547" s="22">
        <v>0</v>
      </c>
      <c r="G547" s="21">
        <f t="shared" si="24"/>
        <v>35.149999999999999</v>
      </c>
      <c r="H547" s="22">
        <v>0</v>
      </c>
      <c r="I547" s="23" t="str">
        <f t="shared" si="25"/>
        <v xml:space="preserve">COM VALOR</v>
      </c>
      <c r="J547" s="19"/>
      <c r="L547" s="21">
        <v>36.469999999999999</v>
      </c>
      <c r="M547" s="22">
        <v>0</v>
      </c>
      <c r="N547" s="21">
        <v>35.149999999999999</v>
      </c>
      <c r="O547" s="22">
        <v>0</v>
      </c>
    </row>
    <row r="548" ht="38.25">
      <c r="A548" t="s">
        <v>452</v>
      </c>
      <c r="B548" s="19">
        <v>97174</v>
      </c>
      <c r="C548" s="20" t="s">
        <v>581</v>
      </c>
      <c r="D548" s="19" t="s">
        <v>38</v>
      </c>
      <c r="E548" s="21">
        <f t="shared" si="23"/>
        <v>48.780000000000001</v>
      </c>
      <c r="F548" s="22">
        <v>0</v>
      </c>
      <c r="G548" s="21">
        <f t="shared" si="24"/>
        <v>47.039999999999999</v>
      </c>
      <c r="H548" s="22">
        <v>0</v>
      </c>
      <c r="I548" s="23" t="str">
        <f t="shared" si="25"/>
        <v xml:space="preserve">COM VALOR</v>
      </c>
      <c r="J548" s="19"/>
      <c r="L548" s="21">
        <v>48.780000000000001</v>
      </c>
      <c r="M548" s="22">
        <v>0</v>
      </c>
      <c r="N548" s="21">
        <v>47.039999999999999</v>
      </c>
      <c r="O548" s="22">
        <v>0</v>
      </c>
    </row>
    <row r="549" ht="38.25">
      <c r="A549" t="s">
        <v>452</v>
      </c>
      <c r="B549" s="19">
        <v>97184</v>
      </c>
      <c r="C549" s="20" t="s">
        <v>582</v>
      </c>
      <c r="D549" s="19" t="s">
        <v>38</v>
      </c>
      <c r="E549" s="21">
        <f t="shared" si="23"/>
        <v>43.490000000000002</v>
      </c>
      <c r="F549" s="22">
        <v>0</v>
      </c>
      <c r="G549" s="21">
        <f t="shared" si="24"/>
        <v>41.880000000000003</v>
      </c>
      <c r="H549" s="22">
        <v>0</v>
      </c>
      <c r="I549" s="23" t="str">
        <f t="shared" si="25"/>
        <v xml:space="preserve">COM VALOR</v>
      </c>
      <c r="J549" s="19"/>
      <c r="L549" s="21">
        <v>43.490000000000002</v>
      </c>
      <c r="M549" s="22">
        <v>0</v>
      </c>
      <c r="N549" s="21">
        <v>41.880000000000003</v>
      </c>
      <c r="O549" s="22">
        <v>0</v>
      </c>
    </row>
    <row r="550" ht="38.25">
      <c r="A550" t="s">
        <v>452</v>
      </c>
      <c r="B550" s="19">
        <v>97175</v>
      </c>
      <c r="C550" s="20" t="s">
        <v>583</v>
      </c>
      <c r="D550" s="19" t="s">
        <v>38</v>
      </c>
      <c r="E550" s="21">
        <f t="shared" si="23"/>
        <v>56.579999999999998</v>
      </c>
      <c r="F550" s="22">
        <v>0</v>
      </c>
      <c r="G550" s="21">
        <f t="shared" si="24"/>
        <v>54.539999999999999</v>
      </c>
      <c r="H550" s="22">
        <v>0</v>
      </c>
      <c r="I550" s="23" t="str">
        <f t="shared" si="25"/>
        <v xml:space="preserve">COM VALOR</v>
      </c>
      <c r="J550" s="19"/>
      <c r="L550" s="21">
        <v>56.579999999999998</v>
      </c>
      <c r="M550" s="22">
        <v>0</v>
      </c>
      <c r="N550" s="21">
        <v>54.539999999999999</v>
      </c>
      <c r="O550" s="22">
        <v>0</v>
      </c>
    </row>
    <row r="551" ht="38.25">
      <c r="A551" t="s">
        <v>452</v>
      </c>
      <c r="B551" s="19">
        <v>97185</v>
      </c>
      <c r="C551" s="20" t="s">
        <v>584</v>
      </c>
      <c r="D551" s="19" t="s">
        <v>38</v>
      </c>
      <c r="E551" s="21">
        <f t="shared" si="23"/>
        <v>50.5</v>
      </c>
      <c r="F551" s="22">
        <v>0</v>
      </c>
      <c r="G551" s="21">
        <f t="shared" si="24"/>
        <v>48.619999999999997</v>
      </c>
      <c r="H551" s="22">
        <v>0</v>
      </c>
      <c r="I551" s="23" t="str">
        <f t="shared" si="25"/>
        <v xml:space="preserve">COM VALOR</v>
      </c>
      <c r="J551" s="19"/>
      <c r="L551" s="21">
        <v>50.5</v>
      </c>
      <c r="M551" s="22">
        <v>0</v>
      </c>
      <c r="N551" s="21">
        <v>48.619999999999997</v>
      </c>
      <c r="O551" s="22">
        <v>0</v>
      </c>
    </row>
    <row r="552" ht="38.25">
      <c r="A552" t="s">
        <v>452</v>
      </c>
      <c r="B552" s="19">
        <v>97176</v>
      </c>
      <c r="C552" s="20" t="s">
        <v>585</v>
      </c>
      <c r="D552" s="19" t="s">
        <v>38</v>
      </c>
      <c r="E552" s="21">
        <f t="shared" si="23"/>
        <v>64.379999999999995</v>
      </c>
      <c r="F552" s="22">
        <v>0</v>
      </c>
      <c r="G552" s="21">
        <f t="shared" si="24"/>
        <v>62.030000000000001</v>
      </c>
      <c r="H552" s="22">
        <v>0</v>
      </c>
      <c r="I552" s="23" t="str">
        <f t="shared" si="25"/>
        <v xml:space="preserve">COM VALOR</v>
      </c>
      <c r="J552" s="19"/>
      <c r="L552" s="21">
        <v>64.379999999999995</v>
      </c>
      <c r="M552" s="22">
        <v>0</v>
      </c>
      <c r="N552" s="21">
        <v>62.030000000000001</v>
      </c>
      <c r="O552" s="22">
        <v>0</v>
      </c>
    </row>
    <row r="553" ht="38.25">
      <c r="A553" t="s">
        <v>452</v>
      </c>
      <c r="B553" s="19">
        <v>97186</v>
      </c>
      <c r="C553" s="20" t="s">
        <v>586</v>
      </c>
      <c r="D553" s="19" t="s">
        <v>38</v>
      </c>
      <c r="E553" s="21">
        <f t="shared" si="23"/>
        <v>57.520000000000003</v>
      </c>
      <c r="F553" s="22">
        <v>0</v>
      </c>
      <c r="G553" s="21">
        <f t="shared" si="24"/>
        <v>55.380000000000003</v>
      </c>
      <c r="H553" s="22">
        <v>0</v>
      </c>
      <c r="I553" s="23" t="str">
        <f t="shared" si="25"/>
        <v xml:space="preserve">COM VALOR</v>
      </c>
      <c r="J553" s="19"/>
      <c r="L553" s="21">
        <v>57.520000000000003</v>
      </c>
      <c r="M553" s="22">
        <v>0</v>
      </c>
      <c r="N553" s="21">
        <v>55.380000000000003</v>
      </c>
      <c r="O553" s="22">
        <v>0</v>
      </c>
    </row>
    <row r="554" ht="38.25">
      <c r="A554" t="s">
        <v>452</v>
      </c>
      <c r="B554" s="19">
        <v>97142</v>
      </c>
      <c r="C554" s="20" t="s">
        <v>587</v>
      </c>
      <c r="D554" s="19" t="s">
        <v>38</v>
      </c>
      <c r="E554" s="21">
        <f t="shared" si="23"/>
        <v>5.5599999999999996</v>
      </c>
      <c r="F554" s="22">
        <v>0</v>
      </c>
      <c r="G554" s="21">
        <f t="shared" si="24"/>
        <v>5.3799999999999999</v>
      </c>
      <c r="H554" s="22">
        <v>0</v>
      </c>
      <c r="I554" s="23" t="str">
        <f t="shared" si="25"/>
        <v xml:space="preserve">COM VALOR</v>
      </c>
      <c r="J554" s="19"/>
      <c r="L554" s="21">
        <v>5.5599999999999996</v>
      </c>
      <c r="M554" s="22">
        <v>0</v>
      </c>
      <c r="N554" s="21">
        <v>5.3799999999999999</v>
      </c>
      <c r="O554" s="22">
        <v>0</v>
      </c>
    </row>
    <row r="555" ht="38.25">
      <c r="A555" t="s">
        <v>452</v>
      </c>
      <c r="B555" s="19">
        <v>97158</v>
      </c>
      <c r="C555" s="20" t="s">
        <v>588</v>
      </c>
      <c r="D555" s="19" t="s">
        <v>38</v>
      </c>
      <c r="E555" s="21">
        <f t="shared" si="23"/>
        <v>4.2800000000000002</v>
      </c>
      <c r="F555" s="22">
        <v>0</v>
      </c>
      <c r="G555" s="21">
        <f t="shared" si="24"/>
        <v>4.1200000000000001</v>
      </c>
      <c r="H555" s="22">
        <v>0</v>
      </c>
      <c r="I555" s="23" t="str">
        <f t="shared" si="25"/>
        <v xml:space="preserve">COM VALOR</v>
      </c>
      <c r="J555" s="19"/>
      <c r="L555" s="21">
        <v>4.2800000000000002</v>
      </c>
      <c r="M555" s="22">
        <v>0</v>
      </c>
      <c r="N555" s="21">
        <v>4.1200000000000001</v>
      </c>
      <c r="O555" s="22">
        <v>0</v>
      </c>
    </row>
    <row r="556" ht="38.25">
      <c r="A556" t="s">
        <v>452</v>
      </c>
      <c r="B556" s="19">
        <v>97155</v>
      </c>
      <c r="C556" s="20" t="s">
        <v>589</v>
      </c>
      <c r="D556" s="19" t="s">
        <v>38</v>
      </c>
      <c r="E556" s="21">
        <f t="shared" si="23"/>
        <v>43.18</v>
      </c>
      <c r="F556" s="22">
        <v>0</v>
      </c>
      <c r="G556" s="21">
        <f t="shared" si="24"/>
        <v>41.600000000000001</v>
      </c>
      <c r="H556" s="22">
        <v>0</v>
      </c>
      <c r="I556" s="23" t="str">
        <f t="shared" si="25"/>
        <v xml:space="preserve">COM VALOR</v>
      </c>
      <c r="J556" s="19"/>
      <c r="L556" s="21">
        <v>43.18</v>
      </c>
      <c r="M556" s="22">
        <v>0</v>
      </c>
      <c r="N556" s="21">
        <v>41.600000000000001</v>
      </c>
      <c r="O556" s="22">
        <v>0</v>
      </c>
    </row>
    <row r="557" ht="38.25">
      <c r="A557" t="s">
        <v>452</v>
      </c>
      <c r="B557" s="19">
        <v>97171</v>
      </c>
      <c r="C557" s="20" t="s">
        <v>590</v>
      </c>
      <c r="D557" s="19" t="s">
        <v>38</v>
      </c>
      <c r="E557" s="21">
        <f t="shared" si="23"/>
        <v>34.5</v>
      </c>
      <c r="F557" s="22">
        <v>0</v>
      </c>
      <c r="G557" s="21">
        <f t="shared" si="24"/>
        <v>33.189999999999998</v>
      </c>
      <c r="H557" s="22">
        <v>0</v>
      </c>
      <c r="I557" s="23" t="str">
        <f t="shared" si="25"/>
        <v xml:space="preserve">COM VALOR</v>
      </c>
      <c r="J557" s="19"/>
      <c r="L557" s="21">
        <v>34.5</v>
      </c>
      <c r="M557" s="22">
        <v>0</v>
      </c>
      <c r="N557" s="21">
        <v>33.189999999999998</v>
      </c>
      <c r="O557" s="22">
        <v>0</v>
      </c>
    </row>
    <row r="558" ht="38.25">
      <c r="A558" t="s">
        <v>452</v>
      </c>
      <c r="B558" s="19">
        <v>97156</v>
      </c>
      <c r="C558" s="20" t="s">
        <v>591</v>
      </c>
      <c r="D558" s="19" t="s">
        <v>38</v>
      </c>
      <c r="E558" s="21">
        <f t="shared" si="23"/>
        <v>51.789999999999999</v>
      </c>
      <c r="F558" s="22">
        <v>0</v>
      </c>
      <c r="G558" s="21">
        <f t="shared" si="24"/>
        <v>49.93</v>
      </c>
      <c r="H558" s="22">
        <v>0</v>
      </c>
      <c r="I558" s="23" t="str">
        <f t="shared" si="25"/>
        <v xml:space="preserve">COM VALOR</v>
      </c>
      <c r="J558" s="19"/>
      <c r="L558" s="21">
        <v>51.789999999999999</v>
      </c>
      <c r="M558" s="22">
        <v>0</v>
      </c>
      <c r="N558" s="21">
        <v>49.93</v>
      </c>
      <c r="O558" s="22">
        <v>0</v>
      </c>
    </row>
    <row r="559" ht="38.25">
      <c r="A559" t="s">
        <v>452</v>
      </c>
      <c r="B559" s="19">
        <v>97172</v>
      </c>
      <c r="C559" s="20" t="s">
        <v>592</v>
      </c>
      <c r="D559" s="19" t="s">
        <v>38</v>
      </c>
      <c r="E559" s="21">
        <f t="shared" si="23"/>
        <v>41.560000000000002</v>
      </c>
      <c r="F559" s="22">
        <v>0</v>
      </c>
      <c r="G559" s="21">
        <f t="shared" si="24"/>
        <v>40.020000000000003</v>
      </c>
      <c r="H559" s="22">
        <v>0</v>
      </c>
      <c r="I559" s="23" t="str">
        <f t="shared" si="25"/>
        <v xml:space="preserve">COM VALOR</v>
      </c>
      <c r="J559" s="19"/>
      <c r="L559" s="21">
        <v>41.560000000000002</v>
      </c>
      <c r="M559" s="22">
        <v>0</v>
      </c>
      <c r="N559" s="21">
        <v>40.020000000000003</v>
      </c>
      <c r="O559" s="22">
        <v>0</v>
      </c>
    </row>
    <row r="560" ht="38.25">
      <c r="A560" t="s">
        <v>452</v>
      </c>
      <c r="B560" s="19">
        <v>97143</v>
      </c>
      <c r="C560" s="20" t="s">
        <v>593</v>
      </c>
      <c r="D560" s="19" t="s">
        <v>38</v>
      </c>
      <c r="E560" s="21">
        <f t="shared" si="23"/>
        <v>7.3499999999999996</v>
      </c>
      <c r="F560" s="22">
        <v>0</v>
      </c>
      <c r="G560" s="21">
        <f t="shared" si="24"/>
        <v>7.0700000000000003</v>
      </c>
      <c r="H560" s="22">
        <v>0</v>
      </c>
      <c r="I560" s="23" t="str">
        <f t="shared" si="25"/>
        <v xml:space="preserve">COM VALOR</v>
      </c>
      <c r="J560" s="19"/>
      <c r="L560" s="21">
        <v>7.3499999999999996</v>
      </c>
      <c r="M560" s="22">
        <v>0</v>
      </c>
      <c r="N560" s="21">
        <v>7.0700000000000003</v>
      </c>
      <c r="O560" s="22">
        <v>0</v>
      </c>
    </row>
    <row r="561" ht="38.25">
      <c r="A561" t="s">
        <v>452</v>
      </c>
      <c r="B561" s="19">
        <v>97159</v>
      </c>
      <c r="C561" s="20" t="s">
        <v>594</v>
      </c>
      <c r="D561" s="19" t="s">
        <v>38</v>
      </c>
      <c r="E561" s="21">
        <f t="shared" si="23"/>
        <v>5.75</v>
      </c>
      <c r="F561" s="22">
        <v>0</v>
      </c>
      <c r="G561" s="21">
        <f t="shared" si="24"/>
        <v>5.5099999999999998</v>
      </c>
      <c r="H561" s="22">
        <v>0</v>
      </c>
      <c r="I561" s="23" t="str">
        <f t="shared" si="25"/>
        <v xml:space="preserve">COM VALOR</v>
      </c>
      <c r="J561" s="19"/>
      <c r="L561" s="21">
        <v>5.75</v>
      </c>
      <c r="M561" s="22">
        <v>0</v>
      </c>
      <c r="N561" s="21">
        <v>5.5099999999999998</v>
      </c>
      <c r="O561" s="22">
        <v>0</v>
      </c>
    </row>
    <row r="562" ht="38.25">
      <c r="A562" t="s">
        <v>452</v>
      </c>
      <c r="B562" s="19">
        <v>97144</v>
      </c>
      <c r="C562" s="20" t="s">
        <v>595</v>
      </c>
      <c r="D562" s="19" t="s">
        <v>38</v>
      </c>
      <c r="E562" s="21">
        <f t="shared" si="23"/>
        <v>9.1300000000000008</v>
      </c>
      <c r="F562" s="22">
        <v>0</v>
      </c>
      <c r="G562" s="21">
        <f t="shared" si="24"/>
        <v>8.7799999999999994</v>
      </c>
      <c r="H562" s="22">
        <v>0</v>
      </c>
      <c r="I562" s="23" t="str">
        <f t="shared" si="25"/>
        <v xml:space="preserve">COM VALOR</v>
      </c>
      <c r="J562" s="19"/>
      <c r="L562" s="21">
        <v>9.1300000000000008</v>
      </c>
      <c r="M562" s="22">
        <v>0</v>
      </c>
      <c r="N562" s="21">
        <v>8.7799999999999994</v>
      </c>
      <c r="O562" s="22">
        <v>0</v>
      </c>
    </row>
    <row r="563" ht="38.25">
      <c r="A563" t="s">
        <v>452</v>
      </c>
      <c r="B563" s="19">
        <v>97160</v>
      </c>
      <c r="C563" s="20" t="s">
        <v>596</v>
      </c>
      <c r="D563" s="19" t="s">
        <v>38</v>
      </c>
      <c r="E563" s="21">
        <f t="shared" si="23"/>
        <v>7.2000000000000002</v>
      </c>
      <c r="F563" s="22">
        <v>0</v>
      </c>
      <c r="G563" s="21">
        <f t="shared" si="24"/>
        <v>6.9199999999999999</v>
      </c>
      <c r="H563" s="22">
        <v>0</v>
      </c>
      <c r="I563" s="23" t="str">
        <f t="shared" si="25"/>
        <v xml:space="preserve">COM VALOR</v>
      </c>
      <c r="J563" s="19"/>
      <c r="L563" s="21">
        <v>7.2000000000000002</v>
      </c>
      <c r="M563" s="22">
        <v>0</v>
      </c>
      <c r="N563" s="21">
        <v>6.9199999999999999</v>
      </c>
      <c r="O563" s="22">
        <v>0</v>
      </c>
    </row>
    <row r="564" ht="38.25">
      <c r="A564" t="s">
        <v>452</v>
      </c>
      <c r="B564" s="19">
        <v>97145</v>
      </c>
      <c r="C564" s="20" t="s">
        <v>597</v>
      </c>
      <c r="D564" s="19" t="s">
        <v>38</v>
      </c>
      <c r="E564" s="21">
        <f t="shared" si="23"/>
        <v>10.949999999999999</v>
      </c>
      <c r="F564" s="22">
        <v>0</v>
      </c>
      <c r="G564" s="21">
        <f t="shared" si="24"/>
        <v>10.51</v>
      </c>
      <c r="H564" s="22">
        <v>0</v>
      </c>
      <c r="I564" s="23" t="str">
        <f t="shared" si="25"/>
        <v xml:space="preserve">COM VALOR</v>
      </c>
      <c r="J564" s="19"/>
      <c r="L564" s="21">
        <v>10.949999999999999</v>
      </c>
      <c r="M564" s="22">
        <v>0</v>
      </c>
      <c r="N564" s="21">
        <v>10.51</v>
      </c>
      <c r="O564" s="22">
        <v>0</v>
      </c>
    </row>
    <row r="565" ht="38.25">
      <c r="A565" t="s">
        <v>452</v>
      </c>
      <c r="B565" s="19">
        <v>97161</v>
      </c>
      <c r="C565" s="20" t="s">
        <v>598</v>
      </c>
      <c r="D565" s="19" t="s">
        <v>38</v>
      </c>
      <c r="E565" s="21">
        <f t="shared" si="23"/>
        <v>8.6999999999999993</v>
      </c>
      <c r="F565" s="22">
        <v>0</v>
      </c>
      <c r="G565" s="21">
        <f t="shared" si="24"/>
        <v>8.3499999999999996</v>
      </c>
      <c r="H565" s="22">
        <v>0</v>
      </c>
      <c r="I565" s="23" t="str">
        <f t="shared" si="25"/>
        <v xml:space="preserve">COM VALOR</v>
      </c>
      <c r="J565" s="19"/>
      <c r="L565" s="21">
        <v>8.6999999999999993</v>
      </c>
      <c r="M565" s="22">
        <v>0</v>
      </c>
      <c r="N565" s="21">
        <v>8.3499999999999996</v>
      </c>
      <c r="O565" s="22">
        <v>0</v>
      </c>
    </row>
    <row r="566" ht="38.25">
      <c r="A566" t="s">
        <v>452</v>
      </c>
      <c r="B566" s="19">
        <v>97146</v>
      </c>
      <c r="C566" s="20" t="s">
        <v>599</v>
      </c>
      <c r="D566" s="19" t="s">
        <v>38</v>
      </c>
      <c r="E566" s="21">
        <f t="shared" si="23"/>
        <v>12.75</v>
      </c>
      <c r="F566" s="22">
        <v>0</v>
      </c>
      <c r="G566" s="21">
        <f t="shared" si="24"/>
        <v>12.24</v>
      </c>
      <c r="H566" s="22">
        <v>0</v>
      </c>
      <c r="I566" s="23" t="str">
        <f t="shared" si="25"/>
        <v xml:space="preserve">COM VALOR</v>
      </c>
      <c r="J566" s="19"/>
      <c r="L566" s="21">
        <v>12.75</v>
      </c>
      <c r="M566" s="22">
        <v>0</v>
      </c>
      <c r="N566" s="21">
        <v>12.24</v>
      </c>
      <c r="O566" s="22">
        <v>0</v>
      </c>
    </row>
    <row r="567" ht="38.25">
      <c r="A567" t="s">
        <v>452</v>
      </c>
      <c r="B567" s="19">
        <v>97162</v>
      </c>
      <c r="C567" s="20" t="s">
        <v>600</v>
      </c>
      <c r="D567" s="19" t="s">
        <v>38</v>
      </c>
      <c r="E567" s="21">
        <f t="shared" si="23"/>
        <v>10.19</v>
      </c>
      <c r="F567" s="22">
        <v>0</v>
      </c>
      <c r="G567" s="21">
        <f t="shared" si="24"/>
        <v>9.7899999999999991</v>
      </c>
      <c r="H567" s="22">
        <v>0</v>
      </c>
      <c r="I567" s="23" t="str">
        <f t="shared" si="25"/>
        <v xml:space="preserve">COM VALOR</v>
      </c>
      <c r="J567" s="19"/>
      <c r="L567" s="21">
        <v>10.19</v>
      </c>
      <c r="M567" s="22">
        <v>0</v>
      </c>
      <c r="N567" s="21">
        <v>9.7899999999999991</v>
      </c>
      <c r="O567" s="22">
        <v>0</v>
      </c>
    </row>
    <row r="568" ht="38.25">
      <c r="A568" t="s">
        <v>452</v>
      </c>
      <c r="B568" s="19">
        <v>97147</v>
      </c>
      <c r="C568" s="20" t="s">
        <v>601</v>
      </c>
      <c r="D568" s="19" t="s">
        <v>38</v>
      </c>
      <c r="E568" s="21">
        <f t="shared" si="23"/>
        <v>14.550000000000001</v>
      </c>
      <c r="F568" s="22">
        <v>0</v>
      </c>
      <c r="G568" s="21">
        <f t="shared" si="24"/>
        <v>13.99</v>
      </c>
      <c r="H568" s="22">
        <v>0</v>
      </c>
      <c r="I568" s="23" t="str">
        <f t="shared" si="25"/>
        <v xml:space="preserve">COM VALOR</v>
      </c>
      <c r="J568" s="19"/>
      <c r="L568" s="21">
        <v>14.550000000000001</v>
      </c>
      <c r="M568" s="22">
        <v>0</v>
      </c>
      <c r="N568" s="21">
        <v>13.99</v>
      </c>
      <c r="O568" s="22">
        <v>0</v>
      </c>
    </row>
    <row r="569" ht="38.25">
      <c r="A569" t="s">
        <v>452</v>
      </c>
      <c r="B569" s="19">
        <v>97163</v>
      </c>
      <c r="C569" s="20" t="s">
        <v>602</v>
      </c>
      <c r="D569" s="19" t="s">
        <v>38</v>
      </c>
      <c r="E569" s="21">
        <f t="shared" si="23"/>
        <v>11.69</v>
      </c>
      <c r="F569" s="22">
        <v>0</v>
      </c>
      <c r="G569" s="21">
        <f t="shared" si="24"/>
        <v>11.210000000000001</v>
      </c>
      <c r="H569" s="22">
        <v>0</v>
      </c>
      <c r="I569" s="23" t="str">
        <f t="shared" si="25"/>
        <v xml:space="preserve">COM VALOR</v>
      </c>
      <c r="J569" s="19"/>
      <c r="L569" s="21">
        <v>11.69</v>
      </c>
      <c r="M569" s="22">
        <v>0</v>
      </c>
      <c r="N569" s="21">
        <v>11.210000000000001</v>
      </c>
      <c r="O569" s="22">
        <v>0</v>
      </c>
    </row>
    <row r="570" ht="38.25">
      <c r="A570" t="s">
        <v>452</v>
      </c>
      <c r="B570" s="19">
        <v>97148</v>
      </c>
      <c r="C570" s="20" t="s">
        <v>603</v>
      </c>
      <c r="D570" s="19" t="s">
        <v>38</v>
      </c>
      <c r="E570" s="21">
        <f t="shared" si="23"/>
        <v>16.359999999999999</v>
      </c>
      <c r="F570" s="22">
        <v>0</v>
      </c>
      <c r="G570" s="21">
        <f t="shared" si="24"/>
        <v>15.710000000000001</v>
      </c>
      <c r="H570" s="22">
        <v>0</v>
      </c>
      <c r="I570" s="23" t="str">
        <f t="shared" si="25"/>
        <v xml:space="preserve">COM VALOR</v>
      </c>
      <c r="J570" s="19"/>
      <c r="L570" s="21">
        <v>16.359999999999999</v>
      </c>
      <c r="M570" s="22">
        <v>0</v>
      </c>
      <c r="N570" s="21">
        <v>15.710000000000001</v>
      </c>
      <c r="O570" s="22">
        <v>0</v>
      </c>
    </row>
    <row r="571" ht="38.25">
      <c r="A571" t="s">
        <v>452</v>
      </c>
      <c r="B571" s="19">
        <v>97164</v>
      </c>
      <c r="C571" s="20" t="s">
        <v>604</v>
      </c>
      <c r="D571" s="19" t="s">
        <v>38</v>
      </c>
      <c r="E571" s="21">
        <f t="shared" si="23"/>
        <v>13.18</v>
      </c>
      <c r="F571" s="22">
        <v>0</v>
      </c>
      <c r="G571" s="21">
        <f t="shared" si="24"/>
        <v>12.65</v>
      </c>
      <c r="H571" s="22">
        <v>0</v>
      </c>
      <c r="I571" s="23" t="str">
        <f t="shared" si="25"/>
        <v xml:space="preserve">COM VALOR</v>
      </c>
      <c r="J571" s="19"/>
      <c r="L571" s="21">
        <v>13.18</v>
      </c>
      <c r="M571" s="22">
        <v>0</v>
      </c>
      <c r="N571" s="21">
        <v>12.65</v>
      </c>
      <c r="O571" s="22">
        <v>0</v>
      </c>
    </row>
    <row r="572" ht="38.25">
      <c r="A572" t="s">
        <v>452</v>
      </c>
      <c r="B572" s="19">
        <v>97149</v>
      </c>
      <c r="C572" s="20" t="s">
        <v>605</v>
      </c>
      <c r="D572" s="19" t="s">
        <v>38</v>
      </c>
      <c r="E572" s="21">
        <f t="shared" si="23"/>
        <v>18.210000000000001</v>
      </c>
      <c r="F572" s="22">
        <v>0</v>
      </c>
      <c r="G572" s="21">
        <f t="shared" si="24"/>
        <v>17.469999999999999</v>
      </c>
      <c r="H572" s="22">
        <v>0</v>
      </c>
      <c r="I572" s="23" t="str">
        <f t="shared" si="25"/>
        <v xml:space="preserve">COM VALOR</v>
      </c>
      <c r="J572" s="19"/>
      <c r="L572" s="21">
        <v>18.210000000000001</v>
      </c>
      <c r="M572" s="22">
        <v>0</v>
      </c>
      <c r="N572" s="21">
        <v>17.469999999999999</v>
      </c>
      <c r="O572" s="22">
        <v>0</v>
      </c>
    </row>
    <row r="573" ht="38.25">
      <c r="A573" t="s">
        <v>452</v>
      </c>
      <c r="B573" s="19">
        <v>97165</v>
      </c>
      <c r="C573" s="20" t="s">
        <v>606</v>
      </c>
      <c r="D573" s="19" t="s">
        <v>38</v>
      </c>
      <c r="E573" s="21">
        <f t="shared" si="23"/>
        <v>14.699999999999999</v>
      </c>
      <c r="F573" s="22">
        <v>0</v>
      </c>
      <c r="G573" s="21">
        <f t="shared" si="24"/>
        <v>14.1</v>
      </c>
      <c r="H573" s="22">
        <v>0</v>
      </c>
      <c r="I573" s="23" t="str">
        <f t="shared" si="25"/>
        <v xml:space="preserve">COM VALOR</v>
      </c>
      <c r="J573" s="19"/>
      <c r="L573" s="21">
        <v>14.699999999999999</v>
      </c>
      <c r="M573" s="22">
        <v>0</v>
      </c>
      <c r="N573" s="21">
        <v>14.1</v>
      </c>
      <c r="O573" s="22">
        <v>0</v>
      </c>
    </row>
    <row r="574" ht="38.25">
      <c r="A574" t="s">
        <v>452</v>
      </c>
      <c r="B574" s="19">
        <v>97150</v>
      </c>
      <c r="C574" s="20" t="s">
        <v>607</v>
      </c>
      <c r="D574" s="19" t="s">
        <v>38</v>
      </c>
      <c r="E574" s="21">
        <f t="shared" si="23"/>
        <v>23.079999999999998</v>
      </c>
      <c r="F574" s="22">
        <v>0</v>
      </c>
      <c r="G574" s="21">
        <f t="shared" si="24"/>
        <v>22.280000000000001</v>
      </c>
      <c r="H574" s="22">
        <v>0</v>
      </c>
      <c r="I574" s="23" t="str">
        <f t="shared" si="25"/>
        <v xml:space="preserve">COM VALOR</v>
      </c>
      <c r="J574" s="19"/>
      <c r="L574" s="21">
        <v>23.079999999999998</v>
      </c>
      <c r="M574" s="22">
        <v>0</v>
      </c>
      <c r="N574" s="21">
        <v>22.280000000000001</v>
      </c>
      <c r="O574" s="22">
        <v>0</v>
      </c>
    </row>
    <row r="575" ht="38.25">
      <c r="A575" t="s">
        <v>452</v>
      </c>
      <c r="B575" s="19">
        <v>97166</v>
      </c>
      <c r="C575" s="20" t="s">
        <v>608</v>
      </c>
      <c r="D575" s="19" t="s">
        <v>38</v>
      </c>
      <c r="E575" s="21">
        <f t="shared" si="23"/>
        <v>18.289999999999999</v>
      </c>
      <c r="F575" s="22">
        <v>0</v>
      </c>
      <c r="G575" s="21">
        <f t="shared" si="24"/>
        <v>17.620000000000001</v>
      </c>
      <c r="H575" s="22">
        <v>0</v>
      </c>
      <c r="I575" s="23" t="str">
        <f t="shared" si="25"/>
        <v xml:space="preserve">COM VALOR</v>
      </c>
      <c r="J575" s="19"/>
      <c r="L575" s="21">
        <v>18.289999999999999</v>
      </c>
      <c r="M575" s="22">
        <v>0</v>
      </c>
      <c r="N575" s="21">
        <v>17.620000000000001</v>
      </c>
      <c r="O575" s="22">
        <v>0</v>
      </c>
    </row>
    <row r="576" ht="38.25">
      <c r="A576" t="s">
        <v>452</v>
      </c>
      <c r="B576" s="19">
        <v>97151</v>
      </c>
      <c r="C576" s="20" t="s">
        <v>609</v>
      </c>
      <c r="D576" s="19" t="s">
        <v>38</v>
      </c>
      <c r="E576" s="21">
        <f t="shared" si="23"/>
        <v>27.210000000000001</v>
      </c>
      <c r="F576" s="22">
        <v>0</v>
      </c>
      <c r="G576" s="21">
        <f t="shared" si="24"/>
        <v>26.260000000000002</v>
      </c>
      <c r="H576" s="22">
        <v>0</v>
      </c>
      <c r="I576" s="23" t="str">
        <f t="shared" si="25"/>
        <v xml:space="preserve">COM VALOR</v>
      </c>
      <c r="J576" s="19"/>
      <c r="L576" s="21">
        <v>27.210000000000001</v>
      </c>
      <c r="M576" s="22">
        <v>0</v>
      </c>
      <c r="N576" s="21">
        <v>26.260000000000002</v>
      </c>
      <c r="O576" s="22">
        <v>0</v>
      </c>
    </row>
    <row r="577" ht="38.25">
      <c r="A577" t="s">
        <v>452</v>
      </c>
      <c r="B577" s="19">
        <v>97167</v>
      </c>
      <c r="C577" s="20" t="s">
        <v>610</v>
      </c>
      <c r="D577" s="19" t="s">
        <v>38</v>
      </c>
      <c r="E577" s="21">
        <f t="shared" si="23"/>
        <v>21.629999999999999</v>
      </c>
      <c r="F577" s="22">
        <v>0</v>
      </c>
      <c r="G577" s="21">
        <f t="shared" si="24"/>
        <v>20.850000000000001</v>
      </c>
      <c r="H577" s="22">
        <v>0</v>
      </c>
      <c r="I577" s="23" t="str">
        <f t="shared" si="25"/>
        <v xml:space="preserve">COM VALOR</v>
      </c>
      <c r="J577" s="19"/>
      <c r="L577" s="21">
        <v>21.629999999999999</v>
      </c>
      <c r="M577" s="22">
        <v>0</v>
      </c>
      <c r="N577" s="21">
        <v>20.850000000000001</v>
      </c>
      <c r="O577" s="22">
        <v>0</v>
      </c>
    </row>
    <row r="578" ht="38.25">
      <c r="A578" t="s">
        <v>452</v>
      </c>
      <c r="B578" s="19">
        <v>97152</v>
      </c>
      <c r="C578" s="20" t="s">
        <v>611</v>
      </c>
      <c r="D578" s="19" t="s">
        <v>38</v>
      </c>
      <c r="E578" s="21">
        <f t="shared" si="23"/>
        <v>31.039999999999999</v>
      </c>
      <c r="F578" s="22">
        <v>0</v>
      </c>
      <c r="G578" s="21">
        <f t="shared" si="24"/>
        <v>29.93</v>
      </c>
      <c r="H578" s="22">
        <v>0</v>
      </c>
      <c r="I578" s="23" t="str">
        <f t="shared" si="25"/>
        <v xml:space="preserve">COM VALOR</v>
      </c>
      <c r="J578" s="19"/>
      <c r="L578" s="21">
        <v>31.039999999999999</v>
      </c>
      <c r="M578" s="22">
        <v>0</v>
      </c>
      <c r="N578" s="21">
        <v>29.93</v>
      </c>
      <c r="O578" s="22">
        <v>0</v>
      </c>
    </row>
    <row r="579" ht="38.25">
      <c r="A579" t="s">
        <v>452</v>
      </c>
      <c r="B579" s="19">
        <v>97168</v>
      </c>
      <c r="C579" s="20" t="s">
        <v>612</v>
      </c>
      <c r="D579" s="19" t="s">
        <v>38</v>
      </c>
      <c r="E579" s="21">
        <f t="shared" si="23"/>
        <v>24.699999999999999</v>
      </c>
      <c r="F579" s="22">
        <v>0</v>
      </c>
      <c r="G579" s="21">
        <f t="shared" si="24"/>
        <v>23.77</v>
      </c>
      <c r="H579" s="22">
        <v>0</v>
      </c>
      <c r="I579" s="23" t="str">
        <f t="shared" si="25"/>
        <v xml:space="preserve">COM VALOR</v>
      </c>
      <c r="J579" s="19"/>
      <c r="L579" s="21">
        <v>24.699999999999999</v>
      </c>
      <c r="M579" s="22">
        <v>0</v>
      </c>
      <c r="N579" s="21">
        <v>23.77</v>
      </c>
      <c r="O579" s="22">
        <v>0</v>
      </c>
    </row>
    <row r="580" ht="38.25">
      <c r="A580" t="s">
        <v>452</v>
      </c>
      <c r="B580" s="19">
        <v>97141</v>
      </c>
      <c r="C580" s="20" t="s">
        <v>613</v>
      </c>
      <c r="D580" s="19" t="s">
        <v>38</v>
      </c>
      <c r="E580" s="21">
        <f t="shared" si="23"/>
        <v>4.8300000000000001</v>
      </c>
      <c r="F580" s="22">
        <v>0</v>
      </c>
      <c r="G580" s="21">
        <f t="shared" si="24"/>
        <v>4.6600000000000001</v>
      </c>
      <c r="H580" s="22">
        <v>0</v>
      </c>
      <c r="I580" s="23" t="str">
        <f t="shared" si="25"/>
        <v xml:space="preserve">COM VALOR</v>
      </c>
      <c r="J580" s="19"/>
      <c r="L580" s="21">
        <v>4.8300000000000001</v>
      </c>
      <c r="M580" s="22">
        <v>0</v>
      </c>
      <c r="N580" s="21">
        <v>4.6600000000000001</v>
      </c>
      <c r="O580" s="22">
        <v>0</v>
      </c>
    </row>
    <row r="581" ht="38.25">
      <c r="A581" t="s">
        <v>452</v>
      </c>
      <c r="B581" s="19">
        <v>97157</v>
      </c>
      <c r="C581" s="20" t="s">
        <v>614</v>
      </c>
      <c r="D581" s="19" t="s">
        <v>38</v>
      </c>
      <c r="E581" s="21">
        <f t="shared" si="23"/>
        <v>3.6600000000000001</v>
      </c>
      <c r="F581" s="22">
        <v>0</v>
      </c>
      <c r="G581" s="21">
        <f t="shared" si="24"/>
        <v>3.5299999999999998</v>
      </c>
      <c r="H581" s="22">
        <v>0</v>
      </c>
      <c r="I581" s="23" t="str">
        <f t="shared" si="25"/>
        <v xml:space="preserve">COM VALOR</v>
      </c>
      <c r="J581" s="19"/>
      <c r="L581" s="21">
        <v>3.6600000000000001</v>
      </c>
      <c r="M581" s="22">
        <v>0</v>
      </c>
      <c r="N581" s="21">
        <v>3.5299999999999998</v>
      </c>
      <c r="O581" s="22">
        <v>0</v>
      </c>
    </row>
    <row r="582" ht="38.25">
      <c r="A582" t="s">
        <v>452</v>
      </c>
      <c r="B582" s="19">
        <v>97153</v>
      </c>
      <c r="C582" s="20" t="s">
        <v>615</v>
      </c>
      <c r="D582" s="19" t="s">
        <v>38</v>
      </c>
      <c r="E582" s="21">
        <f t="shared" si="23"/>
        <v>35.060000000000002</v>
      </c>
      <c r="F582" s="22">
        <v>0</v>
      </c>
      <c r="G582" s="21">
        <f t="shared" si="24"/>
        <v>33.789999999999999</v>
      </c>
      <c r="H582" s="22">
        <v>0</v>
      </c>
      <c r="I582" s="23" t="str">
        <f t="shared" si="25"/>
        <v xml:space="preserve">COM VALOR</v>
      </c>
      <c r="J582" s="19"/>
      <c r="L582" s="21">
        <v>35.060000000000002</v>
      </c>
      <c r="M582" s="22">
        <v>0</v>
      </c>
      <c r="N582" s="21">
        <v>33.789999999999999</v>
      </c>
      <c r="O582" s="22">
        <v>0</v>
      </c>
    </row>
    <row r="583" ht="38.25">
      <c r="A583" t="s">
        <v>452</v>
      </c>
      <c r="B583" s="19">
        <v>97169</v>
      </c>
      <c r="C583" s="20" t="s">
        <v>616</v>
      </c>
      <c r="D583" s="19" t="s">
        <v>38</v>
      </c>
      <c r="E583" s="21">
        <f t="shared" si="23"/>
        <v>27.920000000000002</v>
      </c>
      <c r="F583" s="22">
        <v>0</v>
      </c>
      <c r="G583" s="21">
        <f t="shared" si="24"/>
        <v>26.890000000000001</v>
      </c>
      <c r="H583" s="22">
        <v>0</v>
      </c>
      <c r="I583" s="23" t="str">
        <f t="shared" si="25"/>
        <v xml:space="preserve">COM VALOR</v>
      </c>
      <c r="J583" s="19"/>
      <c r="L583" s="21">
        <v>27.920000000000002</v>
      </c>
      <c r="M583" s="22">
        <v>0</v>
      </c>
      <c r="N583" s="21">
        <v>26.890000000000001</v>
      </c>
      <c r="O583" s="22">
        <v>0</v>
      </c>
    </row>
    <row r="584" ht="38.25">
      <c r="A584" t="s">
        <v>452</v>
      </c>
      <c r="B584" s="19">
        <v>97154</v>
      </c>
      <c r="C584" s="20" t="s">
        <v>617</v>
      </c>
      <c r="D584" s="19" t="s">
        <v>38</v>
      </c>
      <c r="E584" s="21">
        <f t="shared" si="23"/>
        <v>39.090000000000003</v>
      </c>
      <c r="F584" s="22">
        <v>0</v>
      </c>
      <c r="G584" s="21">
        <f t="shared" si="24"/>
        <v>37.689999999999998</v>
      </c>
      <c r="H584" s="22">
        <v>0</v>
      </c>
      <c r="I584" s="23" t="str">
        <f t="shared" si="25"/>
        <v xml:space="preserve">COM VALOR</v>
      </c>
      <c r="J584" s="19"/>
      <c r="L584" s="21">
        <v>39.090000000000003</v>
      </c>
      <c r="M584" s="22">
        <v>0</v>
      </c>
      <c r="N584" s="21">
        <v>37.689999999999998</v>
      </c>
      <c r="O584" s="22">
        <v>0</v>
      </c>
    </row>
    <row r="585" ht="38.25">
      <c r="A585" t="s">
        <v>452</v>
      </c>
      <c r="B585" s="19">
        <v>97170</v>
      </c>
      <c r="C585" s="20" t="s">
        <v>618</v>
      </c>
      <c r="D585" s="19" t="s">
        <v>38</v>
      </c>
      <c r="E585" s="21">
        <f t="shared" si="23"/>
        <v>31.190000000000001</v>
      </c>
      <c r="F585" s="22">
        <v>0</v>
      </c>
      <c r="G585" s="21">
        <f t="shared" si="24"/>
        <v>30.030000000000001</v>
      </c>
      <c r="H585" s="22">
        <v>0</v>
      </c>
      <c r="I585" s="23" t="str">
        <f t="shared" si="25"/>
        <v xml:space="preserve">COM VALOR</v>
      </c>
      <c r="J585" s="19"/>
      <c r="L585" s="21">
        <v>31.190000000000001</v>
      </c>
      <c r="M585" s="22">
        <v>0</v>
      </c>
      <c r="N585" s="21">
        <v>30.030000000000001</v>
      </c>
      <c r="O585" s="22">
        <v>0</v>
      </c>
    </row>
    <row r="586" ht="51">
      <c r="A586" t="s">
        <v>452</v>
      </c>
      <c r="B586" s="19">
        <v>105311</v>
      </c>
      <c r="C586" s="20" t="s">
        <v>619</v>
      </c>
      <c r="D586" s="19" t="s">
        <v>38</v>
      </c>
      <c r="E586" s="21">
        <f t="shared" si="23"/>
        <v>3.7200000000000002</v>
      </c>
      <c r="F586" s="22">
        <v>0</v>
      </c>
      <c r="G586" s="21">
        <f t="shared" si="24"/>
        <v>3.54</v>
      </c>
      <c r="H586" s="22">
        <v>0</v>
      </c>
      <c r="I586" s="23" t="str">
        <f t="shared" si="25"/>
        <v xml:space="preserve">COM VALOR</v>
      </c>
      <c r="J586" s="19"/>
      <c r="L586" s="21">
        <v>3.7200000000000002</v>
      </c>
      <c r="M586" s="22">
        <v>0</v>
      </c>
      <c r="N586" s="21">
        <v>3.54</v>
      </c>
      <c r="O586" s="22">
        <v>0</v>
      </c>
    </row>
    <row r="587" ht="51">
      <c r="A587" t="s">
        <v>452</v>
      </c>
      <c r="B587" s="19">
        <v>105339</v>
      </c>
      <c r="C587" s="20" t="s">
        <v>620</v>
      </c>
      <c r="D587" s="19" t="s">
        <v>38</v>
      </c>
      <c r="E587" s="21">
        <f t="shared" ref="E587:E650" si="26">IF(L587=0,"VERIFICAR",L587)</f>
        <v>3.0699999999999998</v>
      </c>
      <c r="F587" s="22">
        <v>0</v>
      </c>
      <c r="G587" s="21">
        <f t="shared" ref="G587:G650" si="27">IF(N587=0,"VERIFICAR",N587)</f>
        <v>2.9199999999999999</v>
      </c>
      <c r="H587" s="22">
        <v>0</v>
      </c>
      <c r="I587" s="23" t="str">
        <f t="shared" ref="I587:I650" si="28">IF(OR(E587=0,G587=0),"SEM VALOR","COM VALOR")</f>
        <v xml:space="preserve">COM VALOR</v>
      </c>
      <c r="J587" s="19"/>
      <c r="L587" s="21">
        <v>3.0699999999999998</v>
      </c>
      <c r="M587" s="22">
        <v>0</v>
      </c>
      <c r="N587" s="21">
        <v>2.9199999999999999</v>
      </c>
      <c r="O587" s="22">
        <v>0</v>
      </c>
    </row>
    <row r="588" ht="51">
      <c r="A588" t="s">
        <v>452</v>
      </c>
      <c r="B588" s="19">
        <v>97127</v>
      </c>
      <c r="C588" s="20" t="s">
        <v>621</v>
      </c>
      <c r="D588" s="19" t="s">
        <v>38</v>
      </c>
      <c r="E588" s="21">
        <f t="shared" si="26"/>
        <v>4.8899999999999997</v>
      </c>
      <c r="F588" s="22">
        <v>0</v>
      </c>
      <c r="G588" s="21">
        <f t="shared" si="27"/>
        <v>4.6399999999999997</v>
      </c>
      <c r="H588" s="22">
        <v>0</v>
      </c>
      <c r="I588" s="23" t="str">
        <f t="shared" si="28"/>
        <v xml:space="preserve">COM VALOR</v>
      </c>
      <c r="J588" s="19"/>
      <c r="L588" s="21">
        <v>4.8899999999999997</v>
      </c>
      <c r="M588" s="22">
        <v>0</v>
      </c>
      <c r="N588" s="21">
        <v>4.6399999999999997</v>
      </c>
      <c r="O588" s="22">
        <v>0</v>
      </c>
    </row>
    <row r="589" ht="51">
      <c r="A589" t="s">
        <v>452</v>
      </c>
      <c r="B589" s="19">
        <v>97134</v>
      </c>
      <c r="C589" s="20" t="s">
        <v>622</v>
      </c>
      <c r="D589" s="19" t="s">
        <v>38</v>
      </c>
      <c r="E589" s="21">
        <f t="shared" si="26"/>
        <v>4.0499999999999998</v>
      </c>
      <c r="F589" s="22">
        <v>0</v>
      </c>
      <c r="G589" s="21">
        <f t="shared" si="27"/>
        <v>3.8500000000000001</v>
      </c>
      <c r="H589" s="22">
        <v>0</v>
      </c>
      <c r="I589" s="23" t="str">
        <f t="shared" si="28"/>
        <v xml:space="preserve">COM VALOR</v>
      </c>
      <c r="J589" s="19"/>
      <c r="L589" s="21">
        <v>4.0499999999999998</v>
      </c>
      <c r="M589" s="22">
        <v>0</v>
      </c>
      <c r="N589" s="21">
        <v>3.8500000000000001</v>
      </c>
      <c r="O589" s="22">
        <v>0</v>
      </c>
    </row>
    <row r="590" ht="51">
      <c r="A590" t="s">
        <v>452</v>
      </c>
      <c r="B590" s="19">
        <v>97128</v>
      </c>
      <c r="C590" s="20" t="s">
        <v>623</v>
      </c>
      <c r="D590" s="19" t="s">
        <v>38</v>
      </c>
      <c r="E590" s="21">
        <f t="shared" si="26"/>
        <v>9.8699999999999992</v>
      </c>
      <c r="F590" s="22">
        <v>0</v>
      </c>
      <c r="G590" s="21">
        <f t="shared" si="27"/>
        <v>9.4700000000000006</v>
      </c>
      <c r="H590" s="22">
        <v>0</v>
      </c>
      <c r="I590" s="23" t="str">
        <f t="shared" si="28"/>
        <v xml:space="preserve">COM VALOR</v>
      </c>
      <c r="J590" s="19"/>
      <c r="L590" s="21">
        <v>9.8699999999999992</v>
      </c>
      <c r="M590" s="22">
        <v>0</v>
      </c>
      <c r="N590" s="21">
        <v>9.4700000000000006</v>
      </c>
      <c r="O590" s="22">
        <v>0</v>
      </c>
    </row>
    <row r="591" ht="51">
      <c r="A591" t="s">
        <v>452</v>
      </c>
      <c r="B591" s="19">
        <v>97135</v>
      </c>
      <c r="C591" s="20" t="s">
        <v>624</v>
      </c>
      <c r="D591" s="19" t="s">
        <v>38</v>
      </c>
      <c r="E591" s="21">
        <f t="shared" si="26"/>
        <v>7.5499999999999998</v>
      </c>
      <c r="F591" s="22">
        <v>0</v>
      </c>
      <c r="G591" s="21">
        <f t="shared" si="27"/>
        <v>7.25</v>
      </c>
      <c r="H591" s="22">
        <v>0</v>
      </c>
      <c r="I591" s="23" t="str">
        <f t="shared" si="28"/>
        <v xml:space="preserve">COM VALOR</v>
      </c>
      <c r="J591" s="19"/>
      <c r="L591" s="21">
        <v>7.5499999999999998</v>
      </c>
      <c r="M591" s="22">
        <v>0</v>
      </c>
      <c r="N591" s="21">
        <v>7.25</v>
      </c>
      <c r="O591" s="22">
        <v>0</v>
      </c>
    </row>
    <row r="592" ht="51">
      <c r="A592" t="s">
        <v>452</v>
      </c>
      <c r="B592" s="19">
        <v>97129</v>
      </c>
      <c r="C592" s="20" t="s">
        <v>625</v>
      </c>
      <c r="D592" s="19" t="s">
        <v>38</v>
      </c>
      <c r="E592" s="21">
        <f t="shared" si="26"/>
        <v>11.68</v>
      </c>
      <c r="F592" s="22">
        <v>0</v>
      </c>
      <c r="G592" s="21">
        <f t="shared" si="27"/>
        <v>11.220000000000001</v>
      </c>
      <c r="H592" s="22">
        <v>0</v>
      </c>
      <c r="I592" s="23" t="str">
        <f t="shared" si="28"/>
        <v xml:space="preserve">COM VALOR</v>
      </c>
      <c r="J592" s="19"/>
      <c r="L592" s="21">
        <v>11.68</v>
      </c>
      <c r="M592" s="22">
        <v>0</v>
      </c>
      <c r="N592" s="21">
        <v>11.220000000000001</v>
      </c>
      <c r="O592" s="22">
        <v>0</v>
      </c>
    </row>
    <row r="593" ht="51">
      <c r="A593" t="s">
        <v>452</v>
      </c>
      <c r="B593" s="19">
        <v>97136</v>
      </c>
      <c r="C593" s="20" t="s">
        <v>626</v>
      </c>
      <c r="D593" s="19" t="s">
        <v>38</v>
      </c>
      <c r="E593" s="21">
        <f t="shared" si="26"/>
        <v>8.9499999999999993</v>
      </c>
      <c r="F593" s="22">
        <v>0</v>
      </c>
      <c r="G593" s="21">
        <f t="shared" si="27"/>
        <v>8.5999999999999996</v>
      </c>
      <c r="H593" s="22">
        <v>0</v>
      </c>
      <c r="I593" s="23" t="str">
        <f t="shared" si="28"/>
        <v xml:space="preserve">COM VALOR</v>
      </c>
      <c r="J593" s="19"/>
      <c r="L593" s="21">
        <v>8.9499999999999993</v>
      </c>
      <c r="M593" s="22">
        <v>0</v>
      </c>
      <c r="N593" s="21">
        <v>8.5999999999999996</v>
      </c>
      <c r="O593" s="22">
        <v>0</v>
      </c>
    </row>
    <row r="594" ht="51">
      <c r="A594" t="s">
        <v>452</v>
      </c>
      <c r="B594" s="19">
        <v>97130</v>
      </c>
      <c r="C594" s="20" t="s">
        <v>627</v>
      </c>
      <c r="D594" s="19" t="s">
        <v>38</v>
      </c>
      <c r="E594" s="21">
        <f t="shared" si="26"/>
        <v>13.529999999999999</v>
      </c>
      <c r="F594" s="22">
        <v>0</v>
      </c>
      <c r="G594" s="21">
        <f t="shared" si="27"/>
        <v>13</v>
      </c>
      <c r="H594" s="22">
        <v>0</v>
      </c>
      <c r="I594" s="23" t="str">
        <f t="shared" si="28"/>
        <v xml:space="preserve">COM VALOR</v>
      </c>
      <c r="J594" s="19"/>
      <c r="L594" s="21">
        <v>13.529999999999999</v>
      </c>
      <c r="M594" s="22">
        <v>0</v>
      </c>
      <c r="N594" s="21">
        <v>13</v>
      </c>
      <c r="O594" s="22">
        <v>0</v>
      </c>
    </row>
    <row r="595" ht="51">
      <c r="A595" t="s">
        <v>452</v>
      </c>
      <c r="B595" s="19">
        <v>97137</v>
      </c>
      <c r="C595" s="20" t="s">
        <v>628</v>
      </c>
      <c r="D595" s="19" t="s">
        <v>38</v>
      </c>
      <c r="E595" s="21">
        <f t="shared" si="26"/>
        <v>10.380000000000001</v>
      </c>
      <c r="F595" s="22">
        <v>0</v>
      </c>
      <c r="G595" s="21">
        <f t="shared" si="27"/>
        <v>9.9800000000000004</v>
      </c>
      <c r="H595" s="22">
        <v>0</v>
      </c>
      <c r="I595" s="23" t="str">
        <f t="shared" si="28"/>
        <v xml:space="preserve">COM VALOR</v>
      </c>
      <c r="J595" s="19"/>
      <c r="L595" s="21">
        <v>10.380000000000001</v>
      </c>
      <c r="M595" s="22">
        <v>0</v>
      </c>
      <c r="N595" s="21">
        <v>9.9800000000000004</v>
      </c>
      <c r="O595" s="22">
        <v>0</v>
      </c>
    </row>
    <row r="596" ht="51">
      <c r="A596" t="s">
        <v>452</v>
      </c>
      <c r="B596" s="19">
        <v>97131</v>
      </c>
      <c r="C596" s="20" t="s">
        <v>629</v>
      </c>
      <c r="D596" s="19" t="s">
        <v>38</v>
      </c>
      <c r="E596" s="21">
        <f t="shared" si="26"/>
        <v>15.359999999999999</v>
      </c>
      <c r="F596" s="22">
        <v>0</v>
      </c>
      <c r="G596" s="21">
        <f t="shared" si="27"/>
        <v>14.74</v>
      </c>
      <c r="H596" s="22">
        <v>0</v>
      </c>
      <c r="I596" s="23" t="str">
        <f t="shared" si="28"/>
        <v xml:space="preserve">COM VALOR</v>
      </c>
      <c r="J596" s="19"/>
      <c r="L596" s="21">
        <v>15.359999999999999</v>
      </c>
      <c r="M596" s="22">
        <v>0</v>
      </c>
      <c r="N596" s="21">
        <v>14.74</v>
      </c>
      <c r="O596" s="22">
        <v>0</v>
      </c>
    </row>
    <row r="597" ht="51">
      <c r="A597" t="s">
        <v>452</v>
      </c>
      <c r="B597" s="19">
        <v>97138</v>
      </c>
      <c r="C597" s="20" t="s">
        <v>630</v>
      </c>
      <c r="D597" s="19" t="s">
        <v>38</v>
      </c>
      <c r="E597" s="21">
        <f t="shared" si="26"/>
        <v>11.789999999999999</v>
      </c>
      <c r="F597" s="22">
        <v>0</v>
      </c>
      <c r="G597" s="21">
        <f t="shared" si="27"/>
        <v>11.32</v>
      </c>
      <c r="H597" s="22">
        <v>0</v>
      </c>
      <c r="I597" s="23" t="str">
        <f t="shared" si="28"/>
        <v xml:space="preserve">COM VALOR</v>
      </c>
      <c r="J597" s="19"/>
      <c r="L597" s="21">
        <v>11.789999999999999</v>
      </c>
      <c r="M597" s="22">
        <v>0</v>
      </c>
      <c r="N597" s="21">
        <v>11.32</v>
      </c>
      <c r="O597" s="22">
        <v>0</v>
      </c>
    </row>
    <row r="598" ht="51">
      <c r="A598" t="s">
        <v>452</v>
      </c>
      <c r="B598" s="19">
        <v>97132</v>
      </c>
      <c r="C598" s="20" t="s">
        <v>631</v>
      </c>
      <c r="D598" s="19" t="s">
        <v>38</v>
      </c>
      <c r="E598" s="21">
        <f t="shared" si="26"/>
        <v>17.190000000000001</v>
      </c>
      <c r="F598" s="22">
        <v>0</v>
      </c>
      <c r="G598" s="21">
        <f t="shared" si="27"/>
        <v>16.510000000000002</v>
      </c>
      <c r="H598" s="22">
        <v>0</v>
      </c>
      <c r="I598" s="23" t="str">
        <f t="shared" si="28"/>
        <v xml:space="preserve">COM VALOR</v>
      </c>
      <c r="J598" s="19"/>
      <c r="L598" s="21">
        <v>17.190000000000001</v>
      </c>
      <c r="M598" s="22">
        <v>0</v>
      </c>
      <c r="N598" s="21">
        <v>16.510000000000002</v>
      </c>
      <c r="O598" s="22">
        <v>0</v>
      </c>
    </row>
    <row r="599" ht="51">
      <c r="A599" t="s">
        <v>452</v>
      </c>
      <c r="B599" s="19">
        <v>97139</v>
      </c>
      <c r="C599" s="20" t="s">
        <v>632</v>
      </c>
      <c r="D599" s="19" t="s">
        <v>38</v>
      </c>
      <c r="E599" s="21">
        <f t="shared" si="26"/>
        <v>13.199999999999999</v>
      </c>
      <c r="F599" s="22">
        <v>0</v>
      </c>
      <c r="G599" s="21">
        <f t="shared" si="27"/>
        <v>12.68</v>
      </c>
      <c r="H599" s="22">
        <v>0</v>
      </c>
      <c r="I599" s="23" t="str">
        <f t="shared" si="28"/>
        <v xml:space="preserve">COM VALOR</v>
      </c>
      <c r="J599" s="19"/>
      <c r="L599" s="21">
        <v>13.199999999999999</v>
      </c>
      <c r="M599" s="22">
        <v>0</v>
      </c>
      <c r="N599" s="21">
        <v>12.68</v>
      </c>
      <c r="O599" s="22">
        <v>0</v>
      </c>
    </row>
    <row r="600" ht="51">
      <c r="A600" t="s">
        <v>452</v>
      </c>
      <c r="B600" s="19">
        <v>97133</v>
      </c>
      <c r="C600" s="20" t="s">
        <v>633</v>
      </c>
      <c r="D600" s="19" t="s">
        <v>38</v>
      </c>
      <c r="E600" s="21">
        <f t="shared" si="26"/>
        <v>20.859999999999999</v>
      </c>
      <c r="F600" s="22">
        <v>0</v>
      </c>
      <c r="G600" s="21">
        <f t="shared" si="27"/>
        <v>20.030000000000001</v>
      </c>
      <c r="H600" s="22">
        <v>0</v>
      </c>
      <c r="I600" s="23" t="str">
        <f t="shared" si="28"/>
        <v xml:space="preserve">COM VALOR</v>
      </c>
      <c r="J600" s="19"/>
      <c r="L600" s="21">
        <v>20.859999999999999</v>
      </c>
      <c r="M600" s="22">
        <v>0</v>
      </c>
      <c r="N600" s="21">
        <v>20.030000000000001</v>
      </c>
      <c r="O600" s="22">
        <v>0</v>
      </c>
    </row>
    <row r="601" ht="51">
      <c r="A601" t="s">
        <v>452</v>
      </c>
      <c r="B601" s="19">
        <v>97140</v>
      </c>
      <c r="C601" s="20" t="s">
        <v>634</v>
      </c>
      <c r="D601" s="19" t="s">
        <v>38</v>
      </c>
      <c r="E601" s="21">
        <f t="shared" si="26"/>
        <v>16.010000000000002</v>
      </c>
      <c r="F601" s="22">
        <v>0</v>
      </c>
      <c r="G601" s="21">
        <f t="shared" si="27"/>
        <v>15.380000000000001</v>
      </c>
      <c r="H601" s="22">
        <v>0</v>
      </c>
      <c r="I601" s="23" t="str">
        <f t="shared" si="28"/>
        <v xml:space="preserve">COM VALOR</v>
      </c>
      <c r="J601" s="19"/>
      <c r="L601" s="21">
        <v>16.010000000000002</v>
      </c>
      <c r="M601" s="22">
        <v>0</v>
      </c>
      <c r="N601" s="21">
        <v>15.380000000000001</v>
      </c>
      <c r="O601" s="22">
        <v>0</v>
      </c>
    </row>
    <row r="602" ht="38.25">
      <c r="A602" t="s">
        <v>452</v>
      </c>
      <c r="B602" s="19">
        <v>97123</v>
      </c>
      <c r="C602" s="20" t="s">
        <v>635</v>
      </c>
      <c r="D602" s="19" t="s">
        <v>38</v>
      </c>
      <c r="E602" s="21">
        <f t="shared" si="26"/>
        <v>4.0099999999999998</v>
      </c>
      <c r="F602" s="22">
        <v>0</v>
      </c>
      <c r="G602" s="21">
        <f t="shared" si="27"/>
        <v>3.7999999999999998</v>
      </c>
      <c r="H602" s="22">
        <v>0</v>
      </c>
      <c r="I602" s="23" t="str">
        <f t="shared" si="28"/>
        <v xml:space="preserve">COM VALOR</v>
      </c>
      <c r="J602" s="19"/>
      <c r="L602" s="21">
        <v>4.0099999999999998</v>
      </c>
      <c r="M602" s="22">
        <v>0</v>
      </c>
      <c r="N602" s="21">
        <v>3.7999999999999998</v>
      </c>
      <c r="O602" s="22">
        <v>0</v>
      </c>
    </row>
    <row r="603" ht="38.25">
      <c r="A603" t="s">
        <v>452</v>
      </c>
      <c r="B603" s="19">
        <v>97126</v>
      </c>
      <c r="C603" s="20" t="s">
        <v>636</v>
      </c>
      <c r="D603" s="19" t="s">
        <v>38</v>
      </c>
      <c r="E603" s="21">
        <f t="shared" si="26"/>
        <v>3.2999999999999998</v>
      </c>
      <c r="F603" s="22">
        <v>0</v>
      </c>
      <c r="G603" s="21">
        <f t="shared" si="27"/>
        <v>3.1400000000000001</v>
      </c>
      <c r="H603" s="22">
        <v>0</v>
      </c>
      <c r="I603" s="23" t="str">
        <f t="shared" si="28"/>
        <v xml:space="preserve">COM VALOR</v>
      </c>
      <c r="J603" s="19"/>
      <c r="L603" s="21">
        <v>3.2999999999999998</v>
      </c>
      <c r="M603" s="22">
        <v>0</v>
      </c>
      <c r="N603" s="21">
        <v>3.1400000000000001</v>
      </c>
      <c r="O603" s="22">
        <v>0</v>
      </c>
    </row>
    <row r="604" ht="38.25">
      <c r="A604" t="s">
        <v>452</v>
      </c>
      <c r="B604" s="19">
        <v>105308</v>
      </c>
      <c r="C604" s="20" t="s">
        <v>637</v>
      </c>
      <c r="D604" s="19" t="s">
        <v>38</v>
      </c>
      <c r="E604" s="21">
        <f t="shared" si="26"/>
        <v>4.6399999999999997</v>
      </c>
      <c r="F604" s="22">
        <v>0</v>
      </c>
      <c r="G604" s="21">
        <f t="shared" si="27"/>
        <v>4.4100000000000001</v>
      </c>
      <c r="H604" s="22">
        <v>0</v>
      </c>
      <c r="I604" s="23" t="str">
        <f t="shared" si="28"/>
        <v xml:space="preserve">COM VALOR</v>
      </c>
      <c r="J604" s="19"/>
      <c r="L604" s="21">
        <v>4.6399999999999997</v>
      </c>
      <c r="M604" s="22">
        <v>0</v>
      </c>
      <c r="N604" s="21">
        <v>4.4100000000000001</v>
      </c>
      <c r="O604" s="22">
        <v>0</v>
      </c>
    </row>
    <row r="605" ht="38.25">
      <c r="A605" t="s">
        <v>452</v>
      </c>
      <c r="B605" s="19">
        <v>105312</v>
      </c>
      <c r="C605" s="20" t="s">
        <v>638</v>
      </c>
      <c r="D605" s="19" t="s">
        <v>38</v>
      </c>
      <c r="E605" s="21">
        <f t="shared" si="26"/>
        <v>3.8500000000000001</v>
      </c>
      <c r="F605" s="22">
        <v>0</v>
      </c>
      <c r="G605" s="21">
        <f t="shared" si="27"/>
        <v>3.6600000000000001</v>
      </c>
      <c r="H605" s="22">
        <v>0</v>
      </c>
      <c r="I605" s="23" t="str">
        <f t="shared" si="28"/>
        <v xml:space="preserve">COM VALOR</v>
      </c>
      <c r="J605" s="19"/>
      <c r="L605" s="21">
        <v>3.8500000000000001</v>
      </c>
      <c r="M605" s="22">
        <v>0</v>
      </c>
      <c r="N605" s="21">
        <v>3.6600000000000001</v>
      </c>
      <c r="O605" s="22">
        <v>0</v>
      </c>
    </row>
    <row r="606" ht="38.25">
      <c r="A606" t="s">
        <v>452</v>
      </c>
      <c r="B606" s="19">
        <v>105309</v>
      </c>
      <c r="C606" s="20" t="s">
        <v>639</v>
      </c>
      <c r="D606" s="19" t="s">
        <v>38</v>
      </c>
      <c r="E606" s="21">
        <f t="shared" si="26"/>
        <v>5</v>
      </c>
      <c r="F606" s="22">
        <v>0</v>
      </c>
      <c r="G606" s="21">
        <f t="shared" si="27"/>
        <v>4.75</v>
      </c>
      <c r="H606" s="22">
        <v>0</v>
      </c>
      <c r="I606" s="23" t="str">
        <f t="shared" si="28"/>
        <v xml:space="preserve">COM VALOR</v>
      </c>
      <c r="J606" s="19"/>
      <c r="L606" s="21">
        <v>5</v>
      </c>
      <c r="M606" s="22">
        <v>0</v>
      </c>
      <c r="N606" s="21">
        <v>4.75</v>
      </c>
      <c r="O606" s="22">
        <v>0</v>
      </c>
    </row>
    <row r="607" ht="38.25">
      <c r="A607" t="s">
        <v>452</v>
      </c>
      <c r="B607" s="19">
        <v>105313</v>
      </c>
      <c r="C607" s="20" t="s">
        <v>640</v>
      </c>
      <c r="D607" s="19" t="s">
        <v>38</v>
      </c>
      <c r="E607" s="21">
        <f t="shared" si="26"/>
        <v>4.1500000000000004</v>
      </c>
      <c r="F607" s="22">
        <v>0</v>
      </c>
      <c r="G607" s="21">
        <f t="shared" si="27"/>
        <v>3.9399999999999999</v>
      </c>
      <c r="H607" s="22">
        <v>0</v>
      </c>
      <c r="I607" s="23" t="str">
        <f t="shared" si="28"/>
        <v xml:space="preserve">COM VALOR</v>
      </c>
      <c r="J607" s="19"/>
      <c r="L607" s="21">
        <v>4.1500000000000004</v>
      </c>
      <c r="M607" s="22">
        <v>0</v>
      </c>
      <c r="N607" s="21">
        <v>3.9399999999999999</v>
      </c>
      <c r="O607" s="22">
        <v>0</v>
      </c>
    </row>
    <row r="608" ht="38.25">
      <c r="A608" t="s">
        <v>452</v>
      </c>
      <c r="B608" s="19">
        <v>105310</v>
      </c>
      <c r="C608" s="20" t="s">
        <v>641</v>
      </c>
      <c r="D608" s="19" t="s">
        <v>38</v>
      </c>
      <c r="E608" s="21">
        <f t="shared" si="26"/>
        <v>5.8899999999999997</v>
      </c>
      <c r="F608" s="22">
        <v>0</v>
      </c>
      <c r="G608" s="21">
        <f t="shared" si="27"/>
        <v>5.5999999999999996</v>
      </c>
      <c r="H608" s="22">
        <v>0</v>
      </c>
      <c r="I608" s="23" t="str">
        <f t="shared" si="28"/>
        <v xml:space="preserve">COM VALOR</v>
      </c>
      <c r="J608" s="19"/>
      <c r="L608" s="21">
        <v>5.8899999999999997</v>
      </c>
      <c r="M608" s="22">
        <v>0</v>
      </c>
      <c r="N608" s="21">
        <v>5.5999999999999996</v>
      </c>
      <c r="O608" s="22">
        <v>0</v>
      </c>
    </row>
    <row r="609" ht="38.25">
      <c r="A609" t="s">
        <v>452</v>
      </c>
      <c r="B609" s="19">
        <v>105314</v>
      </c>
      <c r="C609" s="20" t="s">
        <v>642</v>
      </c>
      <c r="D609" s="19" t="s">
        <v>38</v>
      </c>
      <c r="E609" s="21">
        <f t="shared" si="26"/>
        <v>4.8899999999999997</v>
      </c>
      <c r="F609" s="22">
        <v>0</v>
      </c>
      <c r="G609" s="21">
        <f t="shared" si="27"/>
        <v>4.6600000000000001</v>
      </c>
      <c r="H609" s="22">
        <v>0</v>
      </c>
      <c r="I609" s="23" t="str">
        <f t="shared" si="28"/>
        <v xml:space="preserve">COM VALOR</v>
      </c>
      <c r="J609" s="19"/>
      <c r="L609" s="21">
        <v>4.8899999999999997</v>
      </c>
      <c r="M609" s="22">
        <v>0</v>
      </c>
      <c r="N609" s="21">
        <v>4.6600000000000001</v>
      </c>
      <c r="O609" s="22">
        <v>0</v>
      </c>
    </row>
    <row r="610" ht="38.25">
      <c r="A610" t="s">
        <v>452</v>
      </c>
      <c r="B610" s="19">
        <v>97121</v>
      </c>
      <c r="C610" s="20" t="s">
        <v>643</v>
      </c>
      <c r="D610" s="19" t="s">
        <v>38</v>
      </c>
      <c r="E610" s="21">
        <f t="shared" si="26"/>
        <v>2.8500000000000001</v>
      </c>
      <c r="F610" s="22">
        <v>0</v>
      </c>
      <c r="G610" s="21">
        <f t="shared" si="27"/>
        <v>2.7000000000000002</v>
      </c>
      <c r="H610" s="22">
        <v>0</v>
      </c>
      <c r="I610" s="23" t="str">
        <f t="shared" si="28"/>
        <v xml:space="preserve">COM VALOR</v>
      </c>
      <c r="J610" s="19"/>
      <c r="L610" s="21">
        <v>2.8500000000000001</v>
      </c>
      <c r="M610" s="22">
        <v>0</v>
      </c>
      <c r="N610" s="21">
        <v>2.7000000000000002</v>
      </c>
      <c r="O610" s="22">
        <v>0</v>
      </c>
    </row>
    <row r="611" ht="38.25">
      <c r="A611" t="s">
        <v>452</v>
      </c>
      <c r="B611" s="19">
        <v>97124</v>
      </c>
      <c r="C611" s="20" t="s">
        <v>644</v>
      </c>
      <c r="D611" s="19" t="s">
        <v>38</v>
      </c>
      <c r="E611" s="21">
        <f t="shared" si="26"/>
        <v>2.3399999999999999</v>
      </c>
      <c r="F611" s="22">
        <v>0</v>
      </c>
      <c r="G611" s="21">
        <f t="shared" si="27"/>
        <v>2.21</v>
      </c>
      <c r="H611" s="22">
        <v>0</v>
      </c>
      <c r="I611" s="23" t="str">
        <f t="shared" si="28"/>
        <v xml:space="preserve">COM VALOR</v>
      </c>
      <c r="J611" s="19"/>
      <c r="L611" s="21">
        <v>2.3399999999999999</v>
      </c>
      <c r="M611" s="22">
        <v>0</v>
      </c>
      <c r="N611" s="21">
        <v>2.21</v>
      </c>
      <c r="O611" s="22">
        <v>0</v>
      </c>
    </row>
    <row r="612" ht="38.25">
      <c r="A612" t="s">
        <v>452</v>
      </c>
      <c r="B612" s="19">
        <v>97122</v>
      </c>
      <c r="C612" s="20" t="s">
        <v>645</v>
      </c>
      <c r="D612" s="19" t="s">
        <v>38</v>
      </c>
      <c r="E612" s="21">
        <f t="shared" si="26"/>
        <v>3.4500000000000002</v>
      </c>
      <c r="F612" s="22">
        <v>0</v>
      </c>
      <c r="G612" s="21">
        <f t="shared" si="27"/>
        <v>3.27</v>
      </c>
      <c r="H612" s="22">
        <v>0</v>
      </c>
      <c r="I612" s="23" t="str">
        <f t="shared" si="28"/>
        <v xml:space="preserve">COM VALOR</v>
      </c>
      <c r="J612" s="19"/>
      <c r="L612" s="21">
        <v>3.4500000000000002</v>
      </c>
      <c r="M612" s="22">
        <v>0</v>
      </c>
      <c r="N612" s="21">
        <v>3.27</v>
      </c>
      <c r="O612" s="22">
        <v>0</v>
      </c>
    </row>
    <row r="613" ht="38.25">
      <c r="A613" t="s">
        <v>452</v>
      </c>
      <c r="B613" s="19">
        <v>97125</v>
      </c>
      <c r="C613" s="20" t="s">
        <v>646</v>
      </c>
      <c r="D613" s="19" t="s">
        <v>38</v>
      </c>
      <c r="E613" s="21">
        <f t="shared" si="26"/>
        <v>2.8399999999999999</v>
      </c>
      <c r="F613" s="22">
        <v>0</v>
      </c>
      <c r="G613" s="21">
        <f t="shared" si="27"/>
        <v>2.7000000000000002</v>
      </c>
      <c r="H613" s="22">
        <v>0</v>
      </c>
      <c r="I613" s="23" t="str">
        <f t="shared" si="28"/>
        <v xml:space="preserve">COM VALOR</v>
      </c>
      <c r="J613" s="19"/>
      <c r="L613" s="21">
        <v>2.8399999999999999</v>
      </c>
      <c r="M613" s="22">
        <v>0</v>
      </c>
      <c r="N613" s="21">
        <v>2.7000000000000002</v>
      </c>
      <c r="O613" s="22">
        <v>0</v>
      </c>
    </row>
    <row r="614" ht="51">
      <c r="A614" t="s">
        <v>452</v>
      </c>
      <c r="B614" s="19">
        <v>105296</v>
      </c>
      <c r="C614" s="20" t="s">
        <v>647</v>
      </c>
      <c r="D614" s="19" t="s">
        <v>31</v>
      </c>
      <c r="E614" s="21">
        <f t="shared" si="26"/>
        <v>136.41</v>
      </c>
      <c r="F614" s="22">
        <v>0</v>
      </c>
      <c r="G614" s="21">
        <f t="shared" si="27"/>
        <v>135.19999999999999</v>
      </c>
      <c r="H614" s="22">
        <v>0</v>
      </c>
      <c r="I614" s="23" t="str">
        <f t="shared" si="28"/>
        <v xml:space="preserve">COM VALOR</v>
      </c>
      <c r="J614" s="19"/>
      <c r="L614" s="21">
        <v>136.41</v>
      </c>
      <c r="M614" s="22">
        <v>0</v>
      </c>
      <c r="N614" s="21">
        <v>135.19999999999999</v>
      </c>
      <c r="O614" s="22">
        <v>0</v>
      </c>
    </row>
    <row r="615" ht="51">
      <c r="A615" t="s">
        <v>452</v>
      </c>
      <c r="B615" s="19">
        <v>105374</v>
      </c>
      <c r="C615" s="20" t="s">
        <v>648</v>
      </c>
      <c r="D615" s="19" t="s">
        <v>31</v>
      </c>
      <c r="E615" s="21">
        <f t="shared" si="26"/>
        <v>132.15000000000001</v>
      </c>
      <c r="F615" s="22">
        <v>0</v>
      </c>
      <c r="G615" s="21">
        <f t="shared" si="27"/>
        <v>131.16</v>
      </c>
      <c r="H615" s="22">
        <v>0</v>
      </c>
      <c r="I615" s="23" t="str">
        <f t="shared" si="28"/>
        <v xml:space="preserve">COM VALOR</v>
      </c>
      <c r="J615" s="19"/>
      <c r="L615" s="21">
        <v>132.15000000000001</v>
      </c>
      <c r="M615" s="22">
        <v>0</v>
      </c>
      <c r="N615" s="21">
        <v>131.16</v>
      </c>
      <c r="O615" s="22">
        <v>0</v>
      </c>
    </row>
    <row r="616" ht="51">
      <c r="A616" t="s">
        <v>452</v>
      </c>
      <c r="B616" s="19">
        <v>105292</v>
      </c>
      <c r="C616" s="20" t="s">
        <v>649</v>
      </c>
      <c r="D616" s="19" t="s">
        <v>31</v>
      </c>
      <c r="E616" s="21">
        <f t="shared" si="26"/>
        <v>41.799999999999997</v>
      </c>
      <c r="F616" s="22">
        <v>0</v>
      </c>
      <c r="G616" s="21">
        <f t="shared" si="27"/>
        <v>40.909999999999997</v>
      </c>
      <c r="H616" s="22">
        <v>0</v>
      </c>
      <c r="I616" s="23" t="str">
        <f t="shared" si="28"/>
        <v xml:space="preserve">COM VALOR</v>
      </c>
      <c r="J616" s="19"/>
      <c r="L616" s="21">
        <v>41.799999999999997</v>
      </c>
      <c r="M616" s="22">
        <v>0</v>
      </c>
      <c r="N616" s="21">
        <v>40.909999999999997</v>
      </c>
      <c r="O616" s="22">
        <v>0</v>
      </c>
    </row>
    <row r="617" ht="51">
      <c r="A617" t="s">
        <v>452</v>
      </c>
      <c r="B617" s="19">
        <v>105293</v>
      </c>
      <c r="C617" s="20" t="s">
        <v>650</v>
      </c>
      <c r="D617" s="19" t="s">
        <v>31</v>
      </c>
      <c r="E617" s="21">
        <f t="shared" si="26"/>
        <v>38.68</v>
      </c>
      <c r="F617" s="22">
        <v>0</v>
      </c>
      <c r="G617" s="21">
        <f t="shared" si="27"/>
        <v>37.950000000000003</v>
      </c>
      <c r="H617" s="22">
        <v>0</v>
      </c>
      <c r="I617" s="23" t="str">
        <f t="shared" si="28"/>
        <v xml:space="preserve">COM VALOR</v>
      </c>
      <c r="J617" s="19"/>
      <c r="L617" s="21">
        <v>38.68</v>
      </c>
      <c r="M617" s="22">
        <v>0</v>
      </c>
      <c r="N617" s="21">
        <v>37.950000000000003</v>
      </c>
      <c r="O617" s="22">
        <v>0</v>
      </c>
    </row>
    <row r="618" ht="51">
      <c r="A618" t="s">
        <v>452</v>
      </c>
      <c r="B618" s="19">
        <v>105294</v>
      </c>
      <c r="C618" s="20" t="s">
        <v>651</v>
      </c>
      <c r="D618" s="19" t="s">
        <v>31</v>
      </c>
      <c r="E618" s="21">
        <f t="shared" si="26"/>
        <v>81.329999999999998</v>
      </c>
      <c r="F618" s="22">
        <v>0</v>
      </c>
      <c r="G618" s="21">
        <f t="shared" si="27"/>
        <v>80.269999999999996</v>
      </c>
      <c r="H618" s="22">
        <v>0</v>
      </c>
      <c r="I618" s="23" t="str">
        <f t="shared" si="28"/>
        <v xml:space="preserve">COM VALOR</v>
      </c>
      <c r="J618" s="19"/>
      <c r="L618" s="21">
        <v>81.329999999999998</v>
      </c>
      <c r="M618" s="22">
        <v>0</v>
      </c>
      <c r="N618" s="21">
        <v>80.269999999999996</v>
      </c>
      <c r="O618" s="22">
        <v>0</v>
      </c>
    </row>
    <row r="619" ht="51">
      <c r="A619" t="s">
        <v>452</v>
      </c>
      <c r="B619" s="19">
        <v>105295</v>
      </c>
      <c r="C619" s="20" t="s">
        <v>652</v>
      </c>
      <c r="D619" s="19" t="s">
        <v>31</v>
      </c>
      <c r="E619" s="21">
        <f t="shared" si="26"/>
        <v>77.629999999999995</v>
      </c>
      <c r="F619" s="22">
        <v>0</v>
      </c>
      <c r="G619" s="21">
        <f t="shared" si="27"/>
        <v>76.780000000000001</v>
      </c>
      <c r="H619" s="22">
        <v>0</v>
      </c>
      <c r="I619" s="23" t="str">
        <f t="shared" si="28"/>
        <v xml:space="preserve">COM VALOR</v>
      </c>
      <c r="J619" s="19"/>
      <c r="L619" s="21">
        <v>77.629999999999995</v>
      </c>
      <c r="M619" s="22">
        <v>0</v>
      </c>
      <c r="N619" s="21">
        <v>76.780000000000001</v>
      </c>
      <c r="O619" s="22">
        <v>0</v>
      </c>
    </row>
    <row r="620" ht="51">
      <c r="A620" t="s">
        <v>452</v>
      </c>
      <c r="B620" s="19">
        <v>105290</v>
      </c>
      <c r="C620" s="20" t="s">
        <v>653</v>
      </c>
      <c r="D620" s="19" t="s">
        <v>31</v>
      </c>
      <c r="E620" s="21">
        <f t="shared" si="26"/>
        <v>54.140000000000001</v>
      </c>
      <c r="F620" s="22">
        <v>0</v>
      </c>
      <c r="G620" s="21">
        <f t="shared" si="27"/>
        <v>53.329999999999998</v>
      </c>
      <c r="H620" s="22">
        <v>0</v>
      </c>
      <c r="I620" s="23" t="str">
        <f t="shared" si="28"/>
        <v xml:space="preserve">COM VALOR</v>
      </c>
      <c r="J620" s="19"/>
      <c r="L620" s="21">
        <v>54.140000000000001</v>
      </c>
      <c r="M620" s="22">
        <v>0</v>
      </c>
      <c r="N620" s="21">
        <v>53.329999999999998</v>
      </c>
      <c r="O620" s="22">
        <v>0</v>
      </c>
    </row>
    <row r="621" ht="51">
      <c r="A621" t="s">
        <v>452</v>
      </c>
      <c r="B621" s="19">
        <v>105291</v>
      </c>
      <c r="C621" s="20" t="s">
        <v>654</v>
      </c>
      <c r="D621" s="19" t="s">
        <v>31</v>
      </c>
      <c r="E621" s="21">
        <f t="shared" si="26"/>
        <v>51.299999999999997</v>
      </c>
      <c r="F621" s="22">
        <v>0</v>
      </c>
      <c r="G621" s="21">
        <f t="shared" si="27"/>
        <v>50.640000000000001</v>
      </c>
      <c r="H621" s="22">
        <v>0</v>
      </c>
      <c r="I621" s="23" t="str">
        <f t="shared" si="28"/>
        <v xml:space="preserve">COM VALOR</v>
      </c>
      <c r="J621" s="19"/>
      <c r="L621" s="21">
        <v>51.299999999999997</v>
      </c>
      <c r="M621" s="22">
        <v>0</v>
      </c>
      <c r="N621" s="21">
        <v>50.640000000000001</v>
      </c>
      <c r="O621" s="22">
        <v>0</v>
      </c>
    </row>
    <row r="622" ht="51">
      <c r="A622" t="s">
        <v>452</v>
      </c>
      <c r="B622" s="19">
        <v>105286</v>
      </c>
      <c r="C622" s="20" t="s">
        <v>655</v>
      </c>
      <c r="D622" s="19" t="s">
        <v>31</v>
      </c>
      <c r="E622" s="21">
        <f t="shared" si="26"/>
        <v>25.449999999999999</v>
      </c>
      <c r="F622" s="22">
        <v>0</v>
      </c>
      <c r="G622" s="21">
        <f t="shared" si="27"/>
        <v>24.859999999999999</v>
      </c>
      <c r="H622" s="22">
        <v>0</v>
      </c>
      <c r="I622" s="23" t="str">
        <f t="shared" si="28"/>
        <v xml:space="preserve">COM VALOR</v>
      </c>
      <c r="J622" s="19"/>
      <c r="L622" s="21">
        <v>25.449999999999999</v>
      </c>
      <c r="M622" s="22">
        <v>0</v>
      </c>
      <c r="N622" s="21">
        <v>24.859999999999999</v>
      </c>
      <c r="O622" s="22">
        <v>0</v>
      </c>
    </row>
    <row r="623" ht="51">
      <c r="A623" t="s">
        <v>452</v>
      </c>
      <c r="B623" s="19">
        <v>105287</v>
      </c>
      <c r="C623" s="20" t="s">
        <v>656</v>
      </c>
      <c r="D623" s="19" t="s">
        <v>31</v>
      </c>
      <c r="E623" s="21">
        <f t="shared" si="26"/>
        <v>23.370000000000001</v>
      </c>
      <c r="F623" s="22">
        <v>0</v>
      </c>
      <c r="G623" s="21">
        <f t="shared" si="27"/>
        <v>22.879999999999999</v>
      </c>
      <c r="H623" s="22">
        <v>0</v>
      </c>
      <c r="I623" s="23" t="str">
        <f t="shared" si="28"/>
        <v xml:space="preserve">COM VALOR</v>
      </c>
      <c r="J623" s="19"/>
      <c r="L623" s="21">
        <v>23.370000000000001</v>
      </c>
      <c r="M623" s="22">
        <v>0</v>
      </c>
      <c r="N623" s="21">
        <v>22.879999999999999</v>
      </c>
      <c r="O623" s="22">
        <v>0</v>
      </c>
    </row>
    <row r="624" ht="51">
      <c r="A624" t="s">
        <v>452</v>
      </c>
      <c r="B624" s="19">
        <v>105288</v>
      </c>
      <c r="C624" s="20" t="s">
        <v>657</v>
      </c>
      <c r="D624" s="19" t="s">
        <v>31</v>
      </c>
      <c r="E624" s="21">
        <f t="shared" si="26"/>
        <v>40.729999999999997</v>
      </c>
      <c r="F624" s="22">
        <v>0</v>
      </c>
      <c r="G624" s="21">
        <f t="shared" si="27"/>
        <v>40.030000000000001</v>
      </c>
      <c r="H624" s="22">
        <v>0</v>
      </c>
      <c r="I624" s="23" t="str">
        <f t="shared" si="28"/>
        <v xml:space="preserve">COM VALOR</v>
      </c>
      <c r="J624" s="19"/>
      <c r="L624" s="21">
        <v>40.729999999999997</v>
      </c>
      <c r="M624" s="22">
        <v>0</v>
      </c>
      <c r="N624" s="21">
        <v>40.030000000000001</v>
      </c>
      <c r="O624" s="22">
        <v>0</v>
      </c>
    </row>
    <row r="625" ht="51">
      <c r="A625" t="s">
        <v>452</v>
      </c>
      <c r="B625" s="19">
        <v>105289</v>
      </c>
      <c r="C625" s="20" t="s">
        <v>658</v>
      </c>
      <c r="D625" s="19" t="s">
        <v>31</v>
      </c>
      <c r="E625" s="21">
        <f t="shared" si="26"/>
        <v>38.259999999999998</v>
      </c>
      <c r="F625" s="22">
        <v>0</v>
      </c>
      <c r="G625" s="21">
        <f t="shared" si="27"/>
        <v>37.700000000000003</v>
      </c>
      <c r="H625" s="22">
        <v>0</v>
      </c>
      <c r="I625" s="23" t="str">
        <f t="shared" si="28"/>
        <v xml:space="preserve">COM VALOR</v>
      </c>
      <c r="J625" s="19"/>
      <c r="L625" s="21">
        <v>38.259999999999998</v>
      </c>
      <c r="M625" s="22">
        <v>0</v>
      </c>
      <c r="N625" s="21">
        <v>37.700000000000003</v>
      </c>
      <c r="O625" s="22">
        <v>0</v>
      </c>
    </row>
    <row r="626" ht="51">
      <c r="A626" t="s">
        <v>452</v>
      </c>
      <c r="B626" s="19">
        <v>105375</v>
      </c>
      <c r="C626" s="20" t="s">
        <v>659</v>
      </c>
      <c r="D626" s="19" t="s">
        <v>31</v>
      </c>
      <c r="E626" s="21">
        <f t="shared" si="26"/>
        <v>109.54000000000001</v>
      </c>
      <c r="F626" s="22">
        <v>0</v>
      </c>
      <c r="G626" s="21">
        <f t="shared" si="27"/>
        <v>107.92</v>
      </c>
      <c r="H626" s="22">
        <v>0</v>
      </c>
      <c r="I626" s="23" t="str">
        <f t="shared" si="28"/>
        <v xml:space="preserve">COM VALOR</v>
      </c>
      <c r="J626" s="19"/>
      <c r="L626" s="21">
        <v>109.54000000000001</v>
      </c>
      <c r="M626" s="22">
        <v>0</v>
      </c>
      <c r="N626" s="21">
        <v>107.92</v>
      </c>
      <c r="O626" s="22">
        <v>0</v>
      </c>
    </row>
    <row r="627" ht="51">
      <c r="A627" t="s">
        <v>452</v>
      </c>
      <c r="B627" s="19">
        <v>105376</v>
      </c>
      <c r="C627" s="20" t="s">
        <v>660</v>
      </c>
      <c r="D627" s="19" t="s">
        <v>31</v>
      </c>
      <c r="E627" s="21">
        <f t="shared" si="26"/>
        <v>103.84999999999999</v>
      </c>
      <c r="F627" s="22">
        <v>0</v>
      </c>
      <c r="G627" s="21">
        <f t="shared" si="27"/>
        <v>102.54000000000001</v>
      </c>
      <c r="H627" s="22">
        <v>0</v>
      </c>
      <c r="I627" s="23" t="str">
        <f t="shared" si="28"/>
        <v xml:space="preserve">COM VALOR</v>
      </c>
      <c r="J627" s="19"/>
      <c r="L627" s="21">
        <v>103.84999999999999</v>
      </c>
      <c r="M627" s="22">
        <v>0</v>
      </c>
      <c r="N627" s="21">
        <v>102.54000000000001</v>
      </c>
      <c r="O627" s="22">
        <v>0</v>
      </c>
    </row>
    <row r="628" ht="51">
      <c r="A628" t="s">
        <v>452</v>
      </c>
      <c r="B628" s="19">
        <v>105331</v>
      </c>
      <c r="C628" s="20" t="s">
        <v>661</v>
      </c>
      <c r="D628" s="19" t="s">
        <v>38</v>
      </c>
      <c r="E628" s="21">
        <f t="shared" si="26"/>
        <v>43.380000000000003</v>
      </c>
      <c r="F628" s="22">
        <v>0</v>
      </c>
      <c r="G628" s="21">
        <f t="shared" si="27"/>
        <v>43.200000000000003</v>
      </c>
      <c r="H628" s="22">
        <v>0</v>
      </c>
      <c r="I628" s="23" t="str">
        <f t="shared" si="28"/>
        <v xml:space="preserve">COM VALOR</v>
      </c>
      <c r="J628" s="19"/>
      <c r="L628" s="21">
        <v>43.380000000000003</v>
      </c>
      <c r="M628" s="22">
        <v>0</v>
      </c>
      <c r="N628" s="21">
        <v>43.200000000000003</v>
      </c>
      <c r="O628" s="22">
        <v>0</v>
      </c>
    </row>
    <row r="629" ht="51">
      <c r="A629" t="s">
        <v>452</v>
      </c>
      <c r="B629" s="19">
        <v>105332</v>
      </c>
      <c r="C629" s="20" t="s">
        <v>662</v>
      </c>
      <c r="D629" s="19" t="s">
        <v>38</v>
      </c>
      <c r="E629" s="21">
        <f t="shared" si="26"/>
        <v>42.729999999999997</v>
      </c>
      <c r="F629" s="22">
        <v>0</v>
      </c>
      <c r="G629" s="21">
        <f t="shared" si="27"/>
        <v>42.579999999999998</v>
      </c>
      <c r="H629" s="22">
        <v>0</v>
      </c>
      <c r="I629" s="23" t="str">
        <f t="shared" si="28"/>
        <v xml:space="preserve">COM VALOR</v>
      </c>
      <c r="J629" s="19"/>
      <c r="L629" s="21">
        <v>42.729999999999997</v>
      </c>
      <c r="M629" s="22">
        <v>0</v>
      </c>
      <c r="N629" s="21">
        <v>42.579999999999998</v>
      </c>
      <c r="O629" s="22">
        <v>0</v>
      </c>
    </row>
    <row r="630" ht="51">
      <c r="A630" t="s">
        <v>452</v>
      </c>
      <c r="B630" s="19">
        <v>105333</v>
      </c>
      <c r="C630" s="20" t="s">
        <v>663</v>
      </c>
      <c r="D630" s="19" t="s">
        <v>38</v>
      </c>
      <c r="E630" s="21">
        <f t="shared" si="26"/>
        <v>190.77000000000001</v>
      </c>
      <c r="F630" s="22">
        <v>0</v>
      </c>
      <c r="G630" s="21">
        <f t="shared" si="27"/>
        <v>190.37</v>
      </c>
      <c r="H630" s="22">
        <v>0</v>
      </c>
      <c r="I630" s="23" t="str">
        <f t="shared" si="28"/>
        <v xml:space="preserve">COM VALOR</v>
      </c>
      <c r="J630" s="19"/>
      <c r="L630" s="21">
        <v>190.77000000000001</v>
      </c>
      <c r="M630" s="22">
        <v>0</v>
      </c>
      <c r="N630" s="21">
        <v>190.37</v>
      </c>
      <c r="O630" s="22">
        <v>0</v>
      </c>
    </row>
    <row r="631" ht="51">
      <c r="A631" t="s">
        <v>452</v>
      </c>
      <c r="B631" s="19">
        <v>105334</v>
      </c>
      <c r="C631" s="20" t="s">
        <v>664</v>
      </c>
      <c r="D631" s="19" t="s">
        <v>38</v>
      </c>
      <c r="E631" s="21">
        <f t="shared" si="26"/>
        <v>188.44999999999999</v>
      </c>
      <c r="F631" s="22">
        <v>0</v>
      </c>
      <c r="G631" s="21">
        <f t="shared" si="27"/>
        <v>188.15000000000001</v>
      </c>
      <c r="H631" s="22">
        <v>0</v>
      </c>
      <c r="I631" s="23" t="str">
        <f t="shared" si="28"/>
        <v xml:space="preserve">COM VALOR</v>
      </c>
      <c r="J631" s="19"/>
      <c r="L631" s="21">
        <v>188.44999999999999</v>
      </c>
      <c r="M631" s="22">
        <v>0</v>
      </c>
      <c r="N631" s="21">
        <v>188.15000000000001</v>
      </c>
      <c r="O631" s="22">
        <v>0</v>
      </c>
    </row>
    <row r="632" ht="51">
      <c r="A632" t="s">
        <v>452</v>
      </c>
      <c r="B632" s="19">
        <v>105335</v>
      </c>
      <c r="C632" s="20" t="s">
        <v>665</v>
      </c>
      <c r="D632" s="19" t="s">
        <v>38</v>
      </c>
      <c r="E632" s="21">
        <f t="shared" si="26"/>
        <v>287.06999999999999</v>
      </c>
      <c r="F632" s="22">
        <v>0</v>
      </c>
      <c r="G632" s="21">
        <f t="shared" si="27"/>
        <v>286.61000000000001</v>
      </c>
      <c r="H632" s="22">
        <v>0</v>
      </c>
      <c r="I632" s="23" t="str">
        <f t="shared" si="28"/>
        <v xml:space="preserve">COM VALOR</v>
      </c>
      <c r="J632" s="19"/>
      <c r="L632" s="21">
        <v>287.06999999999999</v>
      </c>
      <c r="M632" s="22">
        <v>0</v>
      </c>
      <c r="N632" s="21">
        <v>286.61000000000001</v>
      </c>
      <c r="O632" s="22">
        <v>0</v>
      </c>
    </row>
    <row r="633" ht="51">
      <c r="A633" t="s">
        <v>452</v>
      </c>
      <c r="B633" s="19">
        <v>105336</v>
      </c>
      <c r="C633" s="20" t="s">
        <v>666</v>
      </c>
      <c r="D633" s="19" t="s">
        <v>38</v>
      </c>
      <c r="E633" s="21">
        <f t="shared" si="26"/>
        <v>284.33999999999997</v>
      </c>
      <c r="F633" s="22">
        <v>0</v>
      </c>
      <c r="G633" s="21">
        <f t="shared" si="27"/>
        <v>283.99000000000001</v>
      </c>
      <c r="H633" s="22">
        <v>0</v>
      </c>
      <c r="I633" s="23" t="str">
        <f t="shared" si="28"/>
        <v xml:space="preserve">COM VALOR</v>
      </c>
      <c r="J633" s="19"/>
      <c r="L633" s="21">
        <v>284.33999999999997</v>
      </c>
      <c r="M633" s="22">
        <v>0</v>
      </c>
      <c r="N633" s="21">
        <v>283.99000000000001</v>
      </c>
      <c r="O633" s="22">
        <v>0</v>
      </c>
    </row>
    <row r="634" ht="51">
      <c r="A634" t="s">
        <v>452</v>
      </c>
      <c r="B634" s="19">
        <v>105337</v>
      </c>
      <c r="C634" s="20" t="s">
        <v>667</v>
      </c>
      <c r="D634" s="19" t="s">
        <v>38</v>
      </c>
      <c r="E634" s="21">
        <f t="shared" si="26"/>
        <v>404.58999999999997</v>
      </c>
      <c r="F634" s="22">
        <v>0</v>
      </c>
      <c r="G634" s="21">
        <f t="shared" si="27"/>
        <v>404.06</v>
      </c>
      <c r="H634" s="22">
        <v>0</v>
      </c>
      <c r="I634" s="23" t="str">
        <f t="shared" si="28"/>
        <v xml:space="preserve">COM VALOR</v>
      </c>
      <c r="J634" s="19"/>
      <c r="L634" s="21">
        <v>404.58999999999997</v>
      </c>
      <c r="M634" s="22">
        <v>0</v>
      </c>
      <c r="N634" s="21">
        <v>404.06</v>
      </c>
      <c r="O634" s="22">
        <v>0</v>
      </c>
    </row>
    <row r="635" ht="51">
      <c r="A635" t="s">
        <v>452</v>
      </c>
      <c r="B635" s="19">
        <v>105338</v>
      </c>
      <c r="C635" s="20" t="s">
        <v>668</v>
      </c>
      <c r="D635" s="19" t="s">
        <v>38</v>
      </c>
      <c r="E635" s="21">
        <f t="shared" si="26"/>
        <v>401.44</v>
      </c>
      <c r="F635" s="22">
        <v>0.67000000000000004</v>
      </c>
      <c r="G635" s="21">
        <f t="shared" si="27"/>
        <v>401.04000000000002</v>
      </c>
      <c r="H635" s="22">
        <v>0.68000000000000005</v>
      </c>
      <c r="I635" s="23" t="str">
        <f t="shared" si="28"/>
        <v xml:space="preserve">COM VALOR</v>
      </c>
      <c r="J635" s="19"/>
      <c r="L635" s="21">
        <v>401.44</v>
      </c>
      <c r="M635" s="22">
        <v>0</v>
      </c>
      <c r="N635" s="21">
        <v>401.04000000000002</v>
      </c>
      <c r="O635" s="22">
        <v>0</v>
      </c>
    </row>
    <row r="636" ht="38.25">
      <c r="A636" t="s">
        <v>452</v>
      </c>
      <c r="B636" s="19">
        <v>106108</v>
      </c>
      <c r="C636" s="20" t="s">
        <v>669</v>
      </c>
      <c r="D636" s="19" t="s">
        <v>38</v>
      </c>
      <c r="E636" s="21">
        <f t="shared" si="26"/>
        <v>61.030000000000001</v>
      </c>
      <c r="F636" s="22">
        <v>0.72999999999999998</v>
      </c>
      <c r="G636" s="21">
        <f t="shared" si="27"/>
        <v>60.82</v>
      </c>
      <c r="H636" s="22">
        <v>0.72999999999999998</v>
      </c>
      <c r="I636" s="23" t="str">
        <f t="shared" si="28"/>
        <v xml:space="preserve">COM VALOR</v>
      </c>
      <c r="J636" s="19"/>
      <c r="L636" s="21">
        <v>61.030000000000001</v>
      </c>
      <c r="M636" s="22">
        <v>0</v>
      </c>
      <c r="N636" s="21">
        <v>60.82</v>
      </c>
      <c r="O636" s="22">
        <v>0</v>
      </c>
    </row>
    <row r="637" ht="38.25">
      <c r="A637" t="s">
        <v>452</v>
      </c>
      <c r="B637" s="19">
        <v>106109</v>
      </c>
      <c r="C637" s="20" t="s">
        <v>670</v>
      </c>
      <c r="D637" s="19" t="s">
        <v>38</v>
      </c>
      <c r="E637" s="21">
        <f t="shared" si="26"/>
        <v>60.32</v>
      </c>
      <c r="F637" s="22">
        <v>0.70999999999999996</v>
      </c>
      <c r="G637" s="21">
        <f t="shared" si="27"/>
        <v>60.159999999999997</v>
      </c>
      <c r="H637" s="22">
        <v>0.71999999999999997</v>
      </c>
      <c r="I637" s="23" t="str">
        <f t="shared" si="28"/>
        <v xml:space="preserve">COM VALOR</v>
      </c>
      <c r="J637" s="19"/>
      <c r="L637" s="21">
        <v>60.32</v>
      </c>
      <c r="M637" s="22">
        <v>0</v>
      </c>
      <c r="N637" s="21">
        <v>60.159999999999997</v>
      </c>
      <c r="O637" s="22">
        <v>0</v>
      </c>
    </row>
    <row r="638" ht="38.25">
      <c r="A638" t="s">
        <v>452</v>
      </c>
      <c r="B638" s="19">
        <v>106104</v>
      </c>
      <c r="C638" s="20" t="s">
        <v>671</v>
      </c>
      <c r="D638" s="19" t="s">
        <v>38</v>
      </c>
      <c r="E638" s="21">
        <f t="shared" si="26"/>
        <v>20.219999999999999</v>
      </c>
      <c r="F638" s="22">
        <v>0.76000000000000001</v>
      </c>
      <c r="G638" s="21">
        <f t="shared" si="27"/>
        <v>20.07</v>
      </c>
      <c r="H638" s="22">
        <v>0.77000000000000002</v>
      </c>
      <c r="I638" s="23" t="str">
        <f t="shared" si="28"/>
        <v xml:space="preserve">COM VALOR</v>
      </c>
      <c r="J638" s="19"/>
      <c r="L638" s="21">
        <v>20.219999999999999</v>
      </c>
      <c r="M638" s="22">
        <v>0</v>
      </c>
      <c r="N638" s="21">
        <v>20.07</v>
      </c>
      <c r="O638" s="22">
        <v>0</v>
      </c>
    </row>
    <row r="639" ht="38.25">
      <c r="A639" t="s">
        <v>452</v>
      </c>
      <c r="B639" s="19">
        <v>106105</v>
      </c>
      <c r="C639" s="20" t="s">
        <v>672</v>
      </c>
      <c r="D639" s="19" t="s">
        <v>38</v>
      </c>
      <c r="E639" s="21">
        <f t="shared" si="26"/>
        <v>19.710000000000001</v>
      </c>
      <c r="F639" s="22">
        <v>0</v>
      </c>
      <c r="G639" s="21">
        <f t="shared" si="27"/>
        <v>19.579999999999998</v>
      </c>
      <c r="H639" s="22">
        <v>0</v>
      </c>
      <c r="I639" s="23" t="str">
        <f t="shared" si="28"/>
        <v xml:space="preserve">COM VALOR</v>
      </c>
      <c r="J639" s="19"/>
      <c r="L639" s="21">
        <v>19.710000000000001</v>
      </c>
      <c r="M639" s="22">
        <v>0</v>
      </c>
      <c r="N639" s="21">
        <v>19.579999999999998</v>
      </c>
      <c r="O639" s="22">
        <v>0</v>
      </c>
    </row>
    <row r="640" ht="38.25">
      <c r="A640" t="s">
        <v>452</v>
      </c>
      <c r="B640" s="19">
        <v>106106</v>
      </c>
      <c r="C640" s="20" t="s">
        <v>673</v>
      </c>
      <c r="D640" s="19" t="s">
        <v>38</v>
      </c>
      <c r="E640" s="21">
        <f t="shared" si="26"/>
        <v>37.579999999999998</v>
      </c>
      <c r="F640" s="22">
        <v>0</v>
      </c>
      <c r="G640" s="21">
        <f t="shared" si="27"/>
        <v>37.399999999999999</v>
      </c>
      <c r="H640" s="22">
        <v>0</v>
      </c>
      <c r="I640" s="23" t="str">
        <f t="shared" si="28"/>
        <v xml:space="preserve">COM VALOR</v>
      </c>
      <c r="J640" s="19"/>
      <c r="L640" s="21">
        <v>37.579999999999998</v>
      </c>
      <c r="M640" s="22">
        <v>0</v>
      </c>
      <c r="N640" s="21">
        <v>37.399999999999999</v>
      </c>
      <c r="O640" s="22">
        <v>0</v>
      </c>
    </row>
    <row r="641" ht="38.25">
      <c r="A641" t="s">
        <v>452</v>
      </c>
      <c r="B641" s="19">
        <v>106107</v>
      </c>
      <c r="C641" s="20" t="s">
        <v>674</v>
      </c>
      <c r="D641" s="19" t="s">
        <v>38</v>
      </c>
      <c r="E641" s="21">
        <f t="shared" si="26"/>
        <v>36.969999999999999</v>
      </c>
      <c r="F641" s="22"/>
      <c r="G641" s="21">
        <f t="shared" si="27"/>
        <v>36.829999999999998</v>
      </c>
      <c r="H641" s="22"/>
      <c r="I641" s="23" t="str">
        <f t="shared" si="28"/>
        <v xml:space="preserve">COM VALOR</v>
      </c>
      <c r="J641" s="19"/>
      <c r="L641" s="21">
        <v>36.969999999999999</v>
      </c>
      <c r="M641" s="22">
        <v>0</v>
      </c>
      <c r="N641" s="21">
        <v>36.829999999999998</v>
      </c>
      <c r="O641" s="22">
        <v>0</v>
      </c>
    </row>
    <row r="642" ht="51">
      <c r="A642" t="s">
        <v>452</v>
      </c>
      <c r="B642" s="19">
        <v>105377</v>
      </c>
      <c r="C642" s="20" t="s">
        <v>675</v>
      </c>
      <c r="D642" s="19" t="s">
        <v>31</v>
      </c>
      <c r="E642" s="21">
        <f t="shared" si="26"/>
        <v>48.640000000000001</v>
      </c>
      <c r="F642" s="22"/>
      <c r="G642" s="21">
        <f t="shared" si="27"/>
        <v>48.119999999999997</v>
      </c>
      <c r="H642" s="22"/>
      <c r="I642" s="23" t="str">
        <f t="shared" si="28"/>
        <v xml:space="preserve">COM VALOR</v>
      </c>
      <c r="J642" s="19"/>
      <c r="L642" s="21">
        <v>48.640000000000001</v>
      </c>
      <c r="M642" s="22">
        <v>0.68000000000000005</v>
      </c>
      <c r="N642" s="21">
        <v>48.119999999999997</v>
      </c>
      <c r="O642" s="22">
        <v>0.68999999999999995</v>
      </c>
    </row>
    <row r="643" ht="51">
      <c r="A643" t="s">
        <v>452</v>
      </c>
      <c r="B643" s="19">
        <v>105368</v>
      </c>
      <c r="C643" s="20" t="s">
        <v>676</v>
      </c>
      <c r="D643" s="19" t="s">
        <v>31</v>
      </c>
      <c r="E643" s="21">
        <f t="shared" si="26"/>
        <v>45.030000000000001</v>
      </c>
      <c r="F643" s="22"/>
      <c r="G643" s="21">
        <f t="shared" si="27"/>
        <v>44.630000000000003</v>
      </c>
      <c r="H643" s="22"/>
      <c r="I643" s="23" t="str">
        <f t="shared" si="28"/>
        <v xml:space="preserve">COM VALOR</v>
      </c>
      <c r="J643" s="19"/>
      <c r="L643" s="21">
        <v>45.030000000000001</v>
      </c>
      <c r="M643" s="22">
        <v>0.73999999999999999</v>
      </c>
      <c r="N643" s="21">
        <v>44.630000000000003</v>
      </c>
      <c r="O643" s="22">
        <v>0.745</v>
      </c>
    </row>
    <row r="644" ht="38.25">
      <c r="A644" t="s">
        <v>452</v>
      </c>
      <c r="B644" s="19">
        <v>105369</v>
      </c>
      <c r="C644" s="20" t="s">
        <v>677</v>
      </c>
      <c r="D644" s="19" t="s">
        <v>31</v>
      </c>
      <c r="E644" s="21">
        <f t="shared" si="26"/>
        <v>76.840000000000003</v>
      </c>
      <c r="F644" s="22"/>
      <c r="G644" s="21">
        <f t="shared" si="27"/>
        <v>76.150000000000006</v>
      </c>
      <c r="H644" s="22"/>
      <c r="I644" s="23" t="str">
        <f t="shared" si="28"/>
        <v xml:space="preserve">COM VALOR</v>
      </c>
      <c r="J644" s="19"/>
      <c r="L644" s="21">
        <v>76.840000000000003</v>
      </c>
      <c r="M644" s="22">
        <v>0.72999999999999998</v>
      </c>
      <c r="N644" s="21">
        <v>76.150000000000006</v>
      </c>
      <c r="O644" s="22">
        <v>0.72999999999999998</v>
      </c>
    </row>
    <row r="645" ht="38.25">
      <c r="A645" t="s">
        <v>452</v>
      </c>
      <c r="B645" s="19">
        <v>105370</v>
      </c>
      <c r="C645" s="20" t="s">
        <v>678</v>
      </c>
      <c r="D645" s="19" t="s">
        <v>31</v>
      </c>
      <c r="E645" s="21">
        <f t="shared" si="26"/>
        <v>72.019999999999996</v>
      </c>
      <c r="F645" s="22">
        <v>0</v>
      </c>
      <c r="G645" s="21">
        <f t="shared" si="27"/>
        <v>71.5</v>
      </c>
      <c r="H645" s="22">
        <v>0</v>
      </c>
      <c r="I645" s="23" t="str">
        <f t="shared" si="28"/>
        <v xml:space="preserve">COM VALOR</v>
      </c>
      <c r="J645" s="19"/>
      <c r="L645" s="21">
        <v>72.019999999999996</v>
      </c>
      <c r="M645" s="22">
        <v>0.77000000000000002</v>
      </c>
      <c r="N645" s="21">
        <v>71.5</v>
      </c>
      <c r="O645" s="22">
        <v>0.78000000000000003</v>
      </c>
    </row>
    <row r="646" ht="51">
      <c r="A646" t="s">
        <v>679</v>
      </c>
      <c r="B646" s="19">
        <v>92864</v>
      </c>
      <c r="C646" s="20" t="s">
        <v>680</v>
      </c>
      <c r="D646" s="19" t="s">
        <v>38</v>
      </c>
      <c r="E646" s="21">
        <f t="shared" si="26"/>
        <v>90.290000000000006</v>
      </c>
      <c r="F646" s="22">
        <v>0</v>
      </c>
      <c r="G646" s="21">
        <f t="shared" si="27"/>
        <v>88.579999999999998</v>
      </c>
      <c r="H646" s="22">
        <v>0</v>
      </c>
      <c r="I646" s="23" t="str">
        <f t="shared" si="28"/>
        <v xml:space="preserve">COM VALOR</v>
      </c>
      <c r="J646" s="19"/>
      <c r="L646" s="21">
        <v>90.290000000000006</v>
      </c>
      <c r="M646" s="22">
        <v>0</v>
      </c>
      <c r="N646" s="21">
        <v>88.579999999999998</v>
      </c>
      <c r="O646" s="22">
        <v>0</v>
      </c>
    </row>
    <row r="647" ht="51">
      <c r="A647" t="s">
        <v>679</v>
      </c>
      <c r="B647" s="19">
        <v>92848</v>
      </c>
      <c r="C647" s="20" t="s">
        <v>681</v>
      </c>
      <c r="D647" s="19" t="s">
        <v>38</v>
      </c>
      <c r="E647" s="21">
        <f t="shared" si="26"/>
        <v>80.469999999999999</v>
      </c>
      <c r="F647" s="22">
        <v>0</v>
      </c>
      <c r="G647" s="21">
        <f t="shared" si="27"/>
        <v>79.060000000000002</v>
      </c>
      <c r="H647" s="22">
        <v>0</v>
      </c>
      <c r="I647" s="23" t="str">
        <f t="shared" si="28"/>
        <v xml:space="preserve">COM VALOR</v>
      </c>
      <c r="J647" s="19"/>
      <c r="L647" s="21">
        <v>80.469999999999999</v>
      </c>
      <c r="M647" s="22">
        <v>0</v>
      </c>
      <c r="N647" s="21">
        <v>79.060000000000002</v>
      </c>
      <c r="O647" s="22">
        <v>0</v>
      </c>
    </row>
    <row r="648" ht="51">
      <c r="A648" t="s">
        <v>679</v>
      </c>
      <c r="B648" s="19">
        <v>104937</v>
      </c>
      <c r="C648" s="20" t="s">
        <v>682</v>
      </c>
      <c r="D648" s="19" t="s">
        <v>38</v>
      </c>
      <c r="E648" s="21" t="str">
        <f t="shared" si="26"/>
        <v>VERIFICAR</v>
      </c>
      <c r="F648" s="22">
        <v>0</v>
      </c>
      <c r="G648" s="21" t="str">
        <f t="shared" si="27"/>
        <v>VERIFICAR</v>
      </c>
      <c r="H648" s="22">
        <v>0</v>
      </c>
      <c r="I648" s="23" t="str">
        <f t="shared" si="28"/>
        <v xml:space="preserve">COM VALOR</v>
      </c>
      <c r="J648" s="19"/>
      <c r="L648" s="21">
        <v>0</v>
      </c>
      <c r="M648" s="22"/>
      <c r="N648" s="21">
        <v>0</v>
      </c>
      <c r="O648" s="22"/>
    </row>
    <row r="649" ht="51">
      <c r="A649" t="s">
        <v>679</v>
      </c>
      <c r="B649" s="19">
        <v>104933</v>
      </c>
      <c r="C649" s="20" t="s">
        <v>683</v>
      </c>
      <c r="D649" s="19" t="s">
        <v>38</v>
      </c>
      <c r="E649" s="21" t="str">
        <f t="shared" si="26"/>
        <v>VERIFICAR</v>
      </c>
      <c r="F649" s="22">
        <v>0</v>
      </c>
      <c r="G649" s="21" t="str">
        <f t="shared" si="27"/>
        <v>VERIFICAR</v>
      </c>
      <c r="H649" s="22">
        <v>0</v>
      </c>
      <c r="I649" s="23" t="str">
        <f t="shared" si="28"/>
        <v xml:space="preserve">COM VALOR</v>
      </c>
      <c r="J649" s="19"/>
      <c r="L649" s="21">
        <v>0</v>
      </c>
      <c r="M649" s="22"/>
      <c r="N649" s="21">
        <v>0</v>
      </c>
      <c r="O649" s="22"/>
    </row>
    <row r="650" ht="51">
      <c r="A650" t="s">
        <v>679</v>
      </c>
      <c r="B650" s="19">
        <v>104939</v>
      </c>
      <c r="C650" s="20" t="s">
        <v>684</v>
      </c>
      <c r="D650" s="19" t="s">
        <v>38</v>
      </c>
      <c r="E650" s="21" t="str">
        <f t="shared" si="26"/>
        <v>VERIFICAR</v>
      </c>
      <c r="F650" s="22">
        <v>0</v>
      </c>
      <c r="G650" s="21" t="str">
        <f t="shared" si="27"/>
        <v>VERIFICAR</v>
      </c>
      <c r="H650" s="22">
        <v>0</v>
      </c>
      <c r="I650" s="23" t="str">
        <f t="shared" si="28"/>
        <v xml:space="preserve">COM VALOR</v>
      </c>
      <c r="J650" s="19"/>
      <c r="L650" s="21">
        <v>0</v>
      </c>
      <c r="M650" s="22"/>
      <c r="N650" s="21">
        <v>0</v>
      </c>
      <c r="O650" s="22"/>
    </row>
    <row r="651" ht="51">
      <c r="A651" t="s">
        <v>679</v>
      </c>
      <c r="B651" s="19">
        <v>104935</v>
      </c>
      <c r="C651" s="20" t="s">
        <v>685</v>
      </c>
      <c r="D651" s="19" t="s">
        <v>38</v>
      </c>
      <c r="E651" s="21" t="str">
        <f t="shared" ref="E651:E714" si="29">IF(L651=0,"VERIFICAR",L651)</f>
        <v>VERIFICAR</v>
      </c>
      <c r="F651" s="22">
        <v>0</v>
      </c>
      <c r="G651" s="21" t="str">
        <f t="shared" ref="G651:G714" si="30">IF(N651=0,"VERIFICAR",N651)</f>
        <v>VERIFICAR</v>
      </c>
      <c r="H651" s="22">
        <v>0</v>
      </c>
      <c r="I651" s="23" t="str">
        <f t="shared" ref="I651:I714" si="31">IF(OR(E651=0,G651=0),"SEM VALOR","COM VALOR")</f>
        <v xml:space="preserve">COM VALOR</v>
      </c>
      <c r="J651" s="19"/>
      <c r="L651" s="21">
        <v>0</v>
      </c>
      <c r="M651" s="22"/>
      <c r="N651" s="21">
        <v>0</v>
      </c>
      <c r="O651" s="22"/>
    </row>
    <row r="652" ht="51">
      <c r="A652" t="s">
        <v>679</v>
      </c>
      <c r="B652" s="19">
        <v>92850</v>
      </c>
      <c r="C652" s="20" t="s">
        <v>686</v>
      </c>
      <c r="D652" s="19" t="s">
        <v>38</v>
      </c>
      <c r="E652" s="21">
        <f t="shared" si="29"/>
        <v>22.309999999999999</v>
      </c>
      <c r="F652" s="22">
        <v>0</v>
      </c>
      <c r="G652" s="21">
        <f t="shared" si="30"/>
        <v>21.890000000000001</v>
      </c>
      <c r="H652" s="22">
        <v>0</v>
      </c>
      <c r="I652" s="23" t="str">
        <f t="shared" si="31"/>
        <v xml:space="preserve">COM VALOR</v>
      </c>
      <c r="J652" s="19"/>
      <c r="L652" s="21">
        <v>22.309999999999999</v>
      </c>
      <c r="M652" s="22">
        <v>0</v>
      </c>
      <c r="N652" s="21">
        <v>21.890000000000001</v>
      </c>
      <c r="O652" s="22">
        <v>0</v>
      </c>
    </row>
    <row r="653" ht="51">
      <c r="A653" t="s">
        <v>679</v>
      </c>
      <c r="B653" s="19">
        <v>92834</v>
      </c>
      <c r="C653" s="20" t="s">
        <v>687</v>
      </c>
      <c r="D653" s="19" t="s">
        <v>38</v>
      </c>
      <c r="E653" s="21">
        <f t="shared" si="29"/>
        <v>19.84</v>
      </c>
      <c r="F653" s="22">
        <v>0</v>
      </c>
      <c r="G653" s="21">
        <f t="shared" si="30"/>
        <v>19.489999999999998</v>
      </c>
      <c r="H653" s="22">
        <v>0</v>
      </c>
      <c r="I653" s="23" t="str">
        <f t="shared" si="31"/>
        <v xml:space="preserve">COM VALOR</v>
      </c>
      <c r="J653" s="19"/>
      <c r="L653" s="21">
        <v>19.84</v>
      </c>
      <c r="M653" s="22">
        <v>0</v>
      </c>
      <c r="N653" s="21">
        <v>19.489999999999998</v>
      </c>
      <c r="O653" s="22">
        <v>0</v>
      </c>
    </row>
    <row r="654" ht="51">
      <c r="A654" t="s">
        <v>679</v>
      </c>
      <c r="B654" s="19">
        <v>92852</v>
      </c>
      <c r="C654" s="20" t="s">
        <v>688</v>
      </c>
      <c r="D654" s="19" t="s">
        <v>38</v>
      </c>
      <c r="E654" s="21">
        <f t="shared" si="29"/>
        <v>29.780000000000001</v>
      </c>
      <c r="F654" s="22">
        <v>0</v>
      </c>
      <c r="G654" s="21">
        <f t="shared" si="30"/>
        <v>29.16</v>
      </c>
      <c r="H654" s="22">
        <v>0</v>
      </c>
      <c r="I654" s="23" t="str">
        <f t="shared" si="31"/>
        <v xml:space="preserve">COM VALOR</v>
      </c>
      <c r="J654" s="19"/>
      <c r="L654" s="21">
        <v>29.780000000000001</v>
      </c>
      <c r="M654" s="22">
        <v>0</v>
      </c>
      <c r="N654" s="21">
        <v>29.16</v>
      </c>
      <c r="O654" s="22">
        <v>0</v>
      </c>
    </row>
    <row r="655" ht="51">
      <c r="A655" t="s">
        <v>679</v>
      </c>
      <c r="B655" s="19">
        <v>92836</v>
      </c>
      <c r="C655" s="20" t="s">
        <v>689</v>
      </c>
      <c r="D655" s="19" t="s">
        <v>38</v>
      </c>
      <c r="E655" s="21">
        <f t="shared" si="29"/>
        <v>26.25</v>
      </c>
      <c r="F655" s="22">
        <v>0</v>
      </c>
      <c r="G655" s="21">
        <f t="shared" si="30"/>
        <v>25.739999999999998</v>
      </c>
      <c r="H655" s="22">
        <v>0</v>
      </c>
      <c r="I655" s="23" t="str">
        <f t="shared" si="31"/>
        <v xml:space="preserve">COM VALOR</v>
      </c>
      <c r="J655" s="19"/>
      <c r="L655" s="21">
        <v>26.25</v>
      </c>
      <c r="M655" s="22">
        <v>0</v>
      </c>
      <c r="N655" s="21">
        <v>25.739999999999998</v>
      </c>
      <c r="O655" s="22">
        <v>0</v>
      </c>
    </row>
    <row r="656" ht="51">
      <c r="A656" t="s">
        <v>679</v>
      </c>
      <c r="B656" s="19">
        <v>92854</v>
      </c>
      <c r="C656" s="20" t="s">
        <v>690</v>
      </c>
      <c r="D656" s="19" t="s">
        <v>38</v>
      </c>
      <c r="E656" s="21">
        <f t="shared" si="29"/>
        <v>37.57</v>
      </c>
      <c r="F656" s="22">
        <v>0</v>
      </c>
      <c r="G656" s="21">
        <f t="shared" si="30"/>
        <v>36.770000000000003</v>
      </c>
      <c r="H656" s="22">
        <v>0</v>
      </c>
      <c r="I656" s="23" t="str">
        <f t="shared" si="31"/>
        <v xml:space="preserve">COM VALOR</v>
      </c>
      <c r="J656" s="19"/>
      <c r="L656" s="21">
        <v>37.57</v>
      </c>
      <c r="M656" s="22">
        <v>0</v>
      </c>
      <c r="N656" s="21">
        <v>36.770000000000003</v>
      </c>
      <c r="O656" s="22">
        <v>0</v>
      </c>
    </row>
    <row r="657" ht="51">
      <c r="A657" t="s">
        <v>679</v>
      </c>
      <c r="B657" s="19">
        <v>92838</v>
      </c>
      <c r="C657" s="20" t="s">
        <v>691</v>
      </c>
      <c r="D657" s="19" t="s">
        <v>38</v>
      </c>
      <c r="E657" s="21">
        <f t="shared" si="29"/>
        <v>33.009999999999998</v>
      </c>
      <c r="F657" s="22">
        <v>0</v>
      </c>
      <c r="G657" s="21">
        <f t="shared" si="30"/>
        <v>32.369999999999997</v>
      </c>
      <c r="H657" s="22">
        <v>0</v>
      </c>
      <c r="I657" s="23" t="str">
        <f t="shared" si="31"/>
        <v xml:space="preserve">COM VALOR</v>
      </c>
      <c r="J657" s="19"/>
      <c r="L657" s="21">
        <v>33.009999999999998</v>
      </c>
      <c r="M657" s="22">
        <v>0</v>
      </c>
      <c r="N657" s="21">
        <v>32.369999999999997</v>
      </c>
      <c r="O657" s="22">
        <v>0</v>
      </c>
    </row>
    <row r="658" ht="51">
      <c r="A658" t="s">
        <v>679</v>
      </c>
      <c r="B658" s="19">
        <v>92856</v>
      </c>
      <c r="C658" s="20" t="s">
        <v>692</v>
      </c>
      <c r="D658" s="19" t="s">
        <v>38</v>
      </c>
      <c r="E658" s="21">
        <f t="shared" si="29"/>
        <v>45.670000000000002</v>
      </c>
      <c r="F658" s="22">
        <v>0</v>
      </c>
      <c r="G658" s="21">
        <f t="shared" si="30"/>
        <v>44.670000000000002</v>
      </c>
      <c r="H658" s="22">
        <v>0</v>
      </c>
      <c r="I658" s="23" t="str">
        <f t="shared" si="31"/>
        <v xml:space="preserve">COM VALOR</v>
      </c>
      <c r="J658" s="19"/>
      <c r="L658" s="21">
        <v>45.670000000000002</v>
      </c>
      <c r="M658" s="22">
        <v>0</v>
      </c>
      <c r="N658" s="21">
        <v>44.670000000000002</v>
      </c>
      <c r="O658" s="22">
        <v>0</v>
      </c>
    </row>
    <row r="659" ht="51">
      <c r="A659" t="s">
        <v>679</v>
      </c>
      <c r="B659" s="19">
        <v>92840</v>
      </c>
      <c r="C659" s="20" t="s">
        <v>693</v>
      </c>
      <c r="D659" s="19" t="s">
        <v>38</v>
      </c>
      <c r="E659" s="21">
        <f t="shared" si="29"/>
        <v>40.049999999999997</v>
      </c>
      <c r="F659" s="22">
        <v>0</v>
      </c>
      <c r="G659" s="21">
        <f t="shared" si="30"/>
        <v>39.25</v>
      </c>
      <c r="H659" s="22">
        <v>0</v>
      </c>
      <c r="I659" s="23" t="str">
        <f t="shared" si="31"/>
        <v xml:space="preserve">COM VALOR</v>
      </c>
      <c r="J659" s="19"/>
      <c r="L659" s="21">
        <v>40.049999999999997</v>
      </c>
      <c r="M659" s="22">
        <v>0</v>
      </c>
      <c r="N659" s="21">
        <v>39.25</v>
      </c>
      <c r="O659" s="22">
        <v>0</v>
      </c>
    </row>
    <row r="660" ht="51">
      <c r="A660" t="s">
        <v>679</v>
      </c>
      <c r="B660" s="19">
        <v>92858</v>
      </c>
      <c r="C660" s="20" t="s">
        <v>694</v>
      </c>
      <c r="D660" s="19" t="s">
        <v>38</v>
      </c>
      <c r="E660" s="21">
        <f t="shared" si="29"/>
        <v>56.840000000000003</v>
      </c>
      <c r="F660" s="22">
        <v>0</v>
      </c>
      <c r="G660" s="21">
        <f t="shared" si="30"/>
        <v>55.68</v>
      </c>
      <c r="H660" s="22">
        <v>0</v>
      </c>
      <c r="I660" s="23" t="str">
        <f t="shared" si="31"/>
        <v xml:space="preserve">COM VALOR</v>
      </c>
      <c r="J660" s="19"/>
      <c r="L660" s="21">
        <v>56.840000000000003</v>
      </c>
      <c r="M660" s="22">
        <v>0</v>
      </c>
      <c r="N660" s="21">
        <v>55.68</v>
      </c>
      <c r="O660" s="22">
        <v>0</v>
      </c>
    </row>
    <row r="661" ht="51">
      <c r="A661" t="s">
        <v>679</v>
      </c>
      <c r="B661" s="19">
        <v>92842</v>
      </c>
      <c r="C661" s="20" t="s">
        <v>695</v>
      </c>
      <c r="D661" s="19" t="s">
        <v>38</v>
      </c>
      <c r="E661" s="21">
        <f t="shared" si="29"/>
        <v>50.170000000000002</v>
      </c>
      <c r="F661" s="22">
        <v>0</v>
      </c>
      <c r="G661" s="21">
        <f t="shared" si="30"/>
        <v>49.219999999999999</v>
      </c>
      <c r="H661" s="22">
        <v>0</v>
      </c>
      <c r="I661" s="23" t="str">
        <f t="shared" si="31"/>
        <v xml:space="preserve">COM VALOR</v>
      </c>
      <c r="J661" s="19"/>
      <c r="L661" s="21">
        <v>50.170000000000002</v>
      </c>
      <c r="M661" s="22">
        <v>0</v>
      </c>
      <c r="N661" s="21">
        <v>49.219999999999999</v>
      </c>
      <c r="O661" s="22">
        <v>0</v>
      </c>
    </row>
    <row r="662" ht="51">
      <c r="A662" t="s">
        <v>679</v>
      </c>
      <c r="B662" s="19">
        <v>92860</v>
      </c>
      <c r="C662" s="20" t="s">
        <v>696</v>
      </c>
      <c r="D662" s="19" t="s">
        <v>38</v>
      </c>
      <c r="E662" s="21">
        <f t="shared" si="29"/>
        <v>67.319999999999993</v>
      </c>
      <c r="F662" s="22">
        <v>0</v>
      </c>
      <c r="G662" s="21">
        <f t="shared" si="30"/>
        <v>65.969999999999999</v>
      </c>
      <c r="H662" s="22">
        <v>0</v>
      </c>
      <c r="I662" s="23" t="str">
        <f t="shared" si="31"/>
        <v xml:space="preserve">COM VALOR</v>
      </c>
      <c r="J662" s="19"/>
      <c r="L662" s="21">
        <v>67.319999999999993</v>
      </c>
      <c r="M662" s="22">
        <v>0</v>
      </c>
      <c r="N662" s="21">
        <v>65.969999999999999</v>
      </c>
      <c r="O662" s="22">
        <v>0</v>
      </c>
    </row>
    <row r="663" ht="51">
      <c r="A663" t="s">
        <v>679</v>
      </c>
      <c r="B663" s="19">
        <v>92844</v>
      </c>
      <c r="C663" s="20" t="s">
        <v>697</v>
      </c>
      <c r="D663" s="19" t="s">
        <v>38</v>
      </c>
      <c r="E663" s="21">
        <f t="shared" si="29"/>
        <v>59.590000000000003</v>
      </c>
      <c r="F663" s="22">
        <v>0</v>
      </c>
      <c r="G663" s="21">
        <f t="shared" si="30"/>
        <v>58.479999999999997</v>
      </c>
      <c r="H663" s="22">
        <v>0</v>
      </c>
      <c r="I663" s="23" t="str">
        <f t="shared" si="31"/>
        <v xml:space="preserve">COM VALOR</v>
      </c>
      <c r="J663" s="19"/>
      <c r="L663" s="21">
        <v>59.590000000000003</v>
      </c>
      <c r="M663" s="22">
        <v>0</v>
      </c>
      <c r="N663" s="21">
        <v>58.479999999999997</v>
      </c>
      <c r="O663" s="22">
        <v>0</v>
      </c>
    </row>
    <row r="664" ht="51">
      <c r="A664" t="s">
        <v>679</v>
      </c>
      <c r="B664" s="19">
        <v>92862</v>
      </c>
      <c r="C664" s="20" t="s">
        <v>698</v>
      </c>
      <c r="D664" s="19" t="s">
        <v>38</v>
      </c>
      <c r="E664" s="21">
        <f t="shared" si="29"/>
        <v>77.090000000000003</v>
      </c>
      <c r="F664" s="22">
        <v>0</v>
      </c>
      <c r="G664" s="21">
        <f t="shared" si="30"/>
        <v>75.569999999999993</v>
      </c>
      <c r="H664" s="22">
        <v>0</v>
      </c>
      <c r="I664" s="23" t="str">
        <f t="shared" si="31"/>
        <v xml:space="preserve">COM VALOR</v>
      </c>
      <c r="J664" s="19"/>
      <c r="L664" s="21">
        <v>77.090000000000003</v>
      </c>
      <c r="M664" s="22">
        <v>0</v>
      </c>
      <c r="N664" s="21">
        <v>75.569999999999993</v>
      </c>
      <c r="O664" s="22">
        <v>0</v>
      </c>
    </row>
    <row r="665" ht="51">
      <c r="A665" t="s">
        <v>679</v>
      </c>
      <c r="B665" s="19">
        <v>92846</v>
      </c>
      <c r="C665" s="20" t="s">
        <v>699</v>
      </c>
      <c r="D665" s="19" t="s">
        <v>38</v>
      </c>
      <c r="E665" s="21">
        <f t="shared" si="29"/>
        <v>68.319999999999993</v>
      </c>
      <c r="F665" s="22">
        <v>0</v>
      </c>
      <c r="G665" s="21">
        <f t="shared" si="30"/>
        <v>67.079999999999998</v>
      </c>
      <c r="H665" s="22">
        <v>0</v>
      </c>
      <c r="I665" s="23" t="str">
        <f t="shared" si="31"/>
        <v xml:space="preserve">COM VALOR</v>
      </c>
      <c r="J665" s="19"/>
      <c r="L665" s="21">
        <v>68.319999999999993</v>
      </c>
      <c r="M665" s="22">
        <v>0</v>
      </c>
      <c r="N665" s="21">
        <v>67.079999999999998</v>
      </c>
      <c r="O665" s="22">
        <v>0</v>
      </c>
    </row>
    <row r="666" ht="51">
      <c r="A666" t="s">
        <v>679</v>
      </c>
      <c r="B666" s="19">
        <v>92828</v>
      </c>
      <c r="C666" s="20" t="s">
        <v>700</v>
      </c>
      <c r="D666" s="19" t="s">
        <v>38</v>
      </c>
      <c r="E666" s="21">
        <f t="shared" si="29"/>
        <v>107.56999999999999</v>
      </c>
      <c r="F666" s="22">
        <v>0</v>
      </c>
      <c r="G666" s="21">
        <f t="shared" si="30"/>
        <v>104.31999999999999</v>
      </c>
      <c r="H666" s="22">
        <v>0</v>
      </c>
      <c r="I666" s="23" t="str">
        <f t="shared" si="31"/>
        <v xml:space="preserve">COM VALOR</v>
      </c>
      <c r="J666" s="19"/>
      <c r="L666" s="21">
        <v>107.56999999999999</v>
      </c>
      <c r="M666" s="22">
        <v>0</v>
      </c>
      <c r="N666" s="21">
        <v>104.31999999999999</v>
      </c>
      <c r="O666" s="22">
        <v>0</v>
      </c>
    </row>
    <row r="667" ht="51">
      <c r="A667" t="s">
        <v>679</v>
      </c>
      <c r="B667" s="19">
        <v>92815</v>
      </c>
      <c r="C667" s="20" t="s">
        <v>701</v>
      </c>
      <c r="D667" s="19" t="s">
        <v>38</v>
      </c>
      <c r="E667" s="21">
        <f t="shared" si="29"/>
        <v>97.739999999999995</v>
      </c>
      <c r="F667" s="22">
        <v>0</v>
      </c>
      <c r="G667" s="21">
        <f t="shared" si="30"/>
        <v>94.799999999999997</v>
      </c>
      <c r="H667" s="22">
        <v>0</v>
      </c>
      <c r="I667" s="23" t="str">
        <f t="shared" si="31"/>
        <v xml:space="preserve">COM VALOR</v>
      </c>
      <c r="J667" s="19"/>
      <c r="L667" s="21">
        <v>97.739999999999995</v>
      </c>
      <c r="M667" s="22">
        <v>0</v>
      </c>
      <c r="N667" s="21">
        <v>94.799999999999997</v>
      </c>
      <c r="O667" s="22">
        <v>0</v>
      </c>
    </row>
    <row r="668" ht="51">
      <c r="A668" t="s">
        <v>679</v>
      </c>
      <c r="B668" s="19">
        <v>92830</v>
      </c>
      <c r="C668" s="20" t="s">
        <v>702</v>
      </c>
      <c r="D668" s="19" t="s">
        <v>38</v>
      </c>
      <c r="E668" s="21">
        <f t="shared" si="29"/>
        <v>132.87</v>
      </c>
      <c r="F668" s="22">
        <v>0</v>
      </c>
      <c r="G668" s="21">
        <f t="shared" si="30"/>
        <v>128.91</v>
      </c>
      <c r="H668" s="22">
        <v>0</v>
      </c>
      <c r="I668" s="23" t="str">
        <f t="shared" si="31"/>
        <v xml:space="preserve">COM VALOR</v>
      </c>
      <c r="J668" s="19"/>
      <c r="L668" s="21">
        <v>132.87</v>
      </c>
      <c r="M668" s="22">
        <v>0</v>
      </c>
      <c r="N668" s="21">
        <v>128.91</v>
      </c>
      <c r="O668" s="22">
        <v>0</v>
      </c>
    </row>
    <row r="669" ht="51">
      <c r="A669" t="s">
        <v>679</v>
      </c>
      <c r="B669" s="19">
        <v>92817</v>
      </c>
      <c r="C669" s="20" t="s">
        <v>703</v>
      </c>
      <c r="D669" s="19" t="s">
        <v>38</v>
      </c>
      <c r="E669" s="21">
        <f t="shared" si="29"/>
        <v>120.95</v>
      </c>
      <c r="F669" s="22">
        <v>0</v>
      </c>
      <c r="G669" s="21">
        <f t="shared" si="30"/>
        <v>117.34999999999999</v>
      </c>
      <c r="H669" s="22">
        <v>0</v>
      </c>
      <c r="I669" s="23" t="str">
        <f t="shared" si="31"/>
        <v xml:space="preserve">COM VALOR</v>
      </c>
      <c r="J669" s="19"/>
      <c r="L669" s="21">
        <v>120.95</v>
      </c>
      <c r="M669" s="22">
        <v>0</v>
      </c>
      <c r="N669" s="21">
        <v>117.34999999999999</v>
      </c>
      <c r="O669" s="22">
        <v>0</v>
      </c>
    </row>
    <row r="670" ht="51">
      <c r="A670" t="s">
        <v>679</v>
      </c>
      <c r="B670" s="19">
        <v>92832</v>
      </c>
      <c r="C670" s="20" t="s">
        <v>704</v>
      </c>
      <c r="D670" s="19" t="s">
        <v>38</v>
      </c>
      <c r="E670" s="21">
        <f t="shared" si="29"/>
        <v>172.72</v>
      </c>
      <c r="F670" s="22">
        <v>0</v>
      </c>
      <c r="G670" s="21">
        <f t="shared" si="30"/>
        <v>167.63</v>
      </c>
      <c r="H670" s="22">
        <v>0</v>
      </c>
      <c r="I670" s="23" t="str">
        <f t="shared" si="31"/>
        <v xml:space="preserve">COM VALOR</v>
      </c>
      <c r="J670" s="19"/>
      <c r="L670" s="21">
        <v>172.72</v>
      </c>
      <c r="M670" s="22">
        <v>0</v>
      </c>
      <c r="N670" s="21">
        <v>167.63</v>
      </c>
      <c r="O670" s="22">
        <v>0</v>
      </c>
    </row>
    <row r="671" ht="51">
      <c r="A671" t="s">
        <v>679</v>
      </c>
      <c r="B671" s="19">
        <v>92819</v>
      </c>
      <c r="C671" s="20" t="s">
        <v>705</v>
      </c>
      <c r="D671" s="19" t="s">
        <v>38</v>
      </c>
      <c r="E671" s="21">
        <f t="shared" si="29"/>
        <v>157.63</v>
      </c>
      <c r="F671" s="22">
        <v>0</v>
      </c>
      <c r="G671" s="21">
        <f t="shared" si="30"/>
        <v>153.03</v>
      </c>
      <c r="H671" s="22">
        <v>0</v>
      </c>
      <c r="I671" s="23" t="str">
        <f t="shared" si="31"/>
        <v xml:space="preserve">COM VALOR</v>
      </c>
      <c r="J671" s="19"/>
      <c r="L671" s="21">
        <v>157.63</v>
      </c>
      <c r="M671" s="22">
        <v>0</v>
      </c>
      <c r="N671" s="21">
        <v>153.03</v>
      </c>
      <c r="O671" s="22">
        <v>0</v>
      </c>
    </row>
    <row r="672" ht="51">
      <c r="A672" t="s">
        <v>679</v>
      </c>
      <c r="B672" s="19">
        <v>92820</v>
      </c>
      <c r="C672" s="20" t="s">
        <v>706</v>
      </c>
      <c r="D672" s="19" t="s">
        <v>38</v>
      </c>
      <c r="E672" s="21">
        <f t="shared" si="29"/>
        <v>27.09</v>
      </c>
      <c r="F672" s="22">
        <v>0</v>
      </c>
      <c r="G672" s="21">
        <f t="shared" si="30"/>
        <v>26.219999999999999</v>
      </c>
      <c r="H672" s="22">
        <v>0</v>
      </c>
      <c r="I672" s="23" t="str">
        <f t="shared" si="31"/>
        <v xml:space="preserve">COM VALOR</v>
      </c>
      <c r="J672" s="19"/>
      <c r="L672" s="21">
        <v>27.09</v>
      </c>
      <c r="M672" s="22">
        <v>0</v>
      </c>
      <c r="N672" s="21">
        <v>26.219999999999999</v>
      </c>
      <c r="O672" s="22">
        <v>0</v>
      </c>
    </row>
    <row r="673" ht="51">
      <c r="A673" t="s">
        <v>679</v>
      </c>
      <c r="B673" s="19">
        <v>92808</v>
      </c>
      <c r="C673" s="20" t="s">
        <v>707</v>
      </c>
      <c r="D673" s="19" t="s">
        <v>38</v>
      </c>
      <c r="E673" s="21">
        <f t="shared" si="29"/>
        <v>24.609999999999999</v>
      </c>
      <c r="F673" s="22">
        <v>0</v>
      </c>
      <c r="G673" s="21">
        <f t="shared" si="30"/>
        <v>23.829999999999998</v>
      </c>
      <c r="H673" s="22">
        <v>0</v>
      </c>
      <c r="I673" s="23" t="str">
        <f t="shared" si="31"/>
        <v xml:space="preserve">COM VALOR</v>
      </c>
      <c r="J673" s="19"/>
      <c r="L673" s="21">
        <v>24.609999999999999</v>
      </c>
      <c r="M673" s="22">
        <v>0</v>
      </c>
      <c r="N673" s="21">
        <v>23.829999999999998</v>
      </c>
      <c r="O673" s="22">
        <v>0</v>
      </c>
    </row>
    <row r="674" ht="51">
      <c r="A674" t="s">
        <v>679</v>
      </c>
      <c r="B674" s="19">
        <v>92821</v>
      </c>
      <c r="C674" s="20" t="s">
        <v>708</v>
      </c>
      <c r="D674" s="19" t="s">
        <v>38</v>
      </c>
      <c r="E674" s="21">
        <f t="shared" si="29"/>
        <v>37.770000000000003</v>
      </c>
      <c r="F674" s="22">
        <v>0</v>
      </c>
      <c r="G674" s="21">
        <f t="shared" si="30"/>
        <v>36.579999999999998</v>
      </c>
      <c r="H674" s="22">
        <v>0</v>
      </c>
      <c r="I674" s="23" t="str">
        <f t="shared" si="31"/>
        <v xml:space="preserve">COM VALOR</v>
      </c>
      <c r="J674" s="19"/>
      <c r="L674" s="21">
        <v>37.770000000000003</v>
      </c>
      <c r="M674" s="22">
        <v>0</v>
      </c>
      <c r="N674" s="21">
        <v>36.579999999999998</v>
      </c>
      <c r="O674" s="22">
        <v>0</v>
      </c>
    </row>
    <row r="675" ht="51">
      <c r="A675" t="s">
        <v>679</v>
      </c>
      <c r="B675" s="19">
        <v>92809</v>
      </c>
      <c r="C675" s="20" t="s">
        <v>709</v>
      </c>
      <c r="D675" s="19" t="s">
        <v>38</v>
      </c>
      <c r="E675" s="21">
        <f t="shared" si="29"/>
        <v>34.259999999999998</v>
      </c>
      <c r="F675" s="22">
        <v>0</v>
      </c>
      <c r="G675" s="21">
        <f t="shared" si="30"/>
        <v>33.18</v>
      </c>
      <c r="H675" s="22">
        <v>0</v>
      </c>
      <c r="I675" s="23" t="str">
        <f t="shared" si="31"/>
        <v xml:space="preserve">COM VALOR</v>
      </c>
      <c r="J675" s="19"/>
      <c r="L675" s="21">
        <v>34.259999999999998</v>
      </c>
      <c r="M675" s="22">
        <v>0</v>
      </c>
      <c r="N675" s="21">
        <v>33.18</v>
      </c>
      <c r="O675" s="22">
        <v>0</v>
      </c>
    </row>
    <row r="676" ht="51">
      <c r="A676" t="s">
        <v>679</v>
      </c>
      <c r="B676" s="19">
        <v>92822</v>
      </c>
      <c r="C676" s="20" t="s">
        <v>710</v>
      </c>
      <c r="D676" s="19" t="s">
        <v>38</v>
      </c>
      <c r="E676" s="21">
        <f t="shared" si="29"/>
        <v>48.780000000000001</v>
      </c>
      <c r="F676" s="22">
        <v>0</v>
      </c>
      <c r="G676" s="21">
        <f t="shared" si="30"/>
        <v>47.270000000000003</v>
      </c>
      <c r="H676" s="22">
        <v>0</v>
      </c>
      <c r="I676" s="23" t="str">
        <f t="shared" si="31"/>
        <v xml:space="preserve">COM VALOR</v>
      </c>
      <c r="J676" s="19"/>
      <c r="L676" s="21">
        <v>48.780000000000001</v>
      </c>
      <c r="M676" s="22">
        <v>0</v>
      </c>
      <c r="N676" s="21">
        <v>47.270000000000003</v>
      </c>
      <c r="O676" s="22">
        <v>0</v>
      </c>
    </row>
    <row r="677" ht="51">
      <c r="A677" t="s">
        <v>679</v>
      </c>
      <c r="B677" s="19">
        <v>92810</v>
      </c>
      <c r="C677" s="20" t="s">
        <v>711</v>
      </c>
      <c r="D677" s="19" t="s">
        <v>38</v>
      </c>
      <c r="E677" s="21">
        <f t="shared" si="29"/>
        <v>44.229999999999997</v>
      </c>
      <c r="F677" s="22">
        <v>0</v>
      </c>
      <c r="G677" s="21">
        <f t="shared" si="30"/>
        <v>42.869999999999997</v>
      </c>
      <c r="H677" s="22">
        <v>0</v>
      </c>
      <c r="I677" s="23" t="str">
        <f t="shared" si="31"/>
        <v xml:space="preserve">COM VALOR</v>
      </c>
      <c r="J677" s="19"/>
      <c r="L677" s="21">
        <v>44.229999999999997</v>
      </c>
      <c r="M677" s="22">
        <v>0</v>
      </c>
      <c r="N677" s="21">
        <v>42.869999999999997</v>
      </c>
      <c r="O677" s="22">
        <v>0</v>
      </c>
    </row>
    <row r="678" ht="51">
      <c r="A678" t="s">
        <v>679</v>
      </c>
      <c r="B678" s="19">
        <v>92824</v>
      </c>
      <c r="C678" s="20" t="s">
        <v>712</v>
      </c>
      <c r="D678" s="19" t="s">
        <v>38</v>
      </c>
      <c r="E678" s="21">
        <f t="shared" si="29"/>
        <v>60.009999999999998</v>
      </c>
      <c r="F678" s="22">
        <v>0</v>
      </c>
      <c r="G678" s="21">
        <f t="shared" si="30"/>
        <v>58.159999999999997</v>
      </c>
      <c r="H678" s="22">
        <v>0</v>
      </c>
      <c r="I678" s="23" t="str">
        <f t="shared" si="31"/>
        <v xml:space="preserve">COM VALOR</v>
      </c>
      <c r="J678" s="19"/>
      <c r="L678" s="21">
        <v>60.009999999999998</v>
      </c>
      <c r="M678" s="22">
        <v>0</v>
      </c>
      <c r="N678" s="21">
        <v>58.159999999999997</v>
      </c>
      <c r="O678" s="22">
        <v>0</v>
      </c>
    </row>
    <row r="679" ht="51">
      <c r="A679" t="s">
        <v>679</v>
      </c>
      <c r="B679" s="19">
        <v>92811</v>
      </c>
      <c r="C679" s="20" t="s">
        <v>713</v>
      </c>
      <c r="D679" s="19" t="s">
        <v>38</v>
      </c>
      <c r="E679" s="21">
        <f t="shared" si="29"/>
        <v>54.409999999999997</v>
      </c>
      <c r="F679" s="22">
        <v>0.73999999999999999</v>
      </c>
      <c r="G679" s="21">
        <f t="shared" si="30"/>
        <v>52.719999999999999</v>
      </c>
      <c r="H679" s="22">
        <v>0.73999999999999999</v>
      </c>
      <c r="I679" s="23" t="str">
        <f t="shared" si="31"/>
        <v xml:space="preserve">COM VALOR</v>
      </c>
      <c r="J679" s="19"/>
      <c r="L679" s="21">
        <v>54.409999999999997</v>
      </c>
      <c r="M679" s="22">
        <v>0</v>
      </c>
      <c r="N679" s="21">
        <v>52.719999999999999</v>
      </c>
      <c r="O679" s="22">
        <v>0</v>
      </c>
    </row>
    <row r="680" ht="51">
      <c r="A680" t="s">
        <v>679</v>
      </c>
      <c r="B680" s="19">
        <v>92825</v>
      </c>
      <c r="C680" s="20" t="s">
        <v>714</v>
      </c>
      <c r="D680" s="19" t="s">
        <v>38</v>
      </c>
      <c r="E680" s="21">
        <f t="shared" si="29"/>
        <v>71.519999999999996</v>
      </c>
      <c r="F680" s="22">
        <v>0.75</v>
      </c>
      <c r="G680" s="21">
        <f t="shared" si="30"/>
        <v>69.319999999999993</v>
      </c>
      <c r="H680" s="22">
        <v>0.76000000000000001</v>
      </c>
      <c r="I680" s="23" t="str">
        <f t="shared" si="31"/>
        <v xml:space="preserve">COM VALOR</v>
      </c>
      <c r="J680" s="19"/>
      <c r="L680" s="21">
        <v>71.519999999999996</v>
      </c>
      <c r="M680" s="22">
        <v>0</v>
      </c>
      <c r="N680" s="21">
        <v>69.319999999999993</v>
      </c>
      <c r="O680" s="22">
        <v>0</v>
      </c>
    </row>
    <row r="681" ht="51">
      <c r="A681" t="s">
        <v>679</v>
      </c>
      <c r="B681" s="19">
        <v>92812</v>
      </c>
      <c r="C681" s="20" t="s">
        <v>715</v>
      </c>
      <c r="D681" s="19" t="s">
        <v>38</v>
      </c>
      <c r="E681" s="21">
        <f t="shared" si="29"/>
        <v>64.859999999999999</v>
      </c>
      <c r="F681" s="22">
        <v>0.69999999999999996</v>
      </c>
      <c r="G681" s="21">
        <f t="shared" si="30"/>
        <v>62.869999999999997</v>
      </c>
      <c r="H681" s="22">
        <v>0.70999999999999996</v>
      </c>
      <c r="I681" s="23" t="str">
        <f t="shared" si="31"/>
        <v xml:space="preserve">COM VALOR</v>
      </c>
      <c r="J681" s="19"/>
      <c r="L681" s="21">
        <v>64.859999999999999</v>
      </c>
      <c r="M681" s="22">
        <v>0</v>
      </c>
      <c r="N681" s="21">
        <v>62.869999999999997</v>
      </c>
      <c r="O681" s="22">
        <v>0</v>
      </c>
    </row>
    <row r="682" ht="51">
      <c r="A682" t="s">
        <v>679</v>
      </c>
      <c r="B682" s="19">
        <v>92826</v>
      </c>
      <c r="C682" s="20" t="s">
        <v>716</v>
      </c>
      <c r="D682" s="19" t="s">
        <v>38</v>
      </c>
      <c r="E682" s="21">
        <f t="shared" si="29"/>
        <v>83.280000000000001</v>
      </c>
      <c r="F682" s="22">
        <v>0.71999999999999997</v>
      </c>
      <c r="G682" s="21">
        <f t="shared" si="30"/>
        <v>80.739999999999995</v>
      </c>
      <c r="H682" s="22">
        <v>0.72999999999999998</v>
      </c>
      <c r="I682" s="23" t="str">
        <f t="shared" si="31"/>
        <v xml:space="preserve">COM VALOR</v>
      </c>
      <c r="J682" s="19"/>
      <c r="L682" s="21">
        <v>83.280000000000001</v>
      </c>
      <c r="M682" s="22">
        <v>0</v>
      </c>
      <c r="N682" s="21">
        <v>80.739999999999995</v>
      </c>
      <c r="O682" s="22">
        <v>0</v>
      </c>
    </row>
    <row r="683" ht="51">
      <c r="A683" t="s">
        <v>679</v>
      </c>
      <c r="B683" s="19">
        <v>92813</v>
      </c>
      <c r="C683" s="20" t="s">
        <v>717</v>
      </c>
      <c r="D683" s="19" t="s">
        <v>38</v>
      </c>
      <c r="E683" s="21">
        <f t="shared" si="29"/>
        <v>75.590000000000003</v>
      </c>
      <c r="F683" s="22">
        <v>0.72999999999999998</v>
      </c>
      <c r="G683" s="21">
        <f t="shared" si="30"/>
        <v>73.280000000000001</v>
      </c>
      <c r="H683" s="22">
        <v>0.73999999999999999</v>
      </c>
      <c r="I683" s="23" t="str">
        <f t="shared" si="31"/>
        <v xml:space="preserve">COM VALOR</v>
      </c>
      <c r="J683" s="19"/>
      <c r="L683" s="21">
        <v>75.590000000000003</v>
      </c>
      <c r="M683" s="22">
        <v>0</v>
      </c>
      <c r="N683" s="21">
        <v>73.280000000000001</v>
      </c>
      <c r="O683" s="22">
        <v>0</v>
      </c>
    </row>
    <row r="684" ht="51">
      <c r="A684" t="s">
        <v>679</v>
      </c>
      <c r="B684" s="19">
        <v>92827</v>
      </c>
      <c r="C684" s="20" t="s">
        <v>718</v>
      </c>
      <c r="D684" s="19" t="s">
        <v>38</v>
      </c>
      <c r="E684" s="21">
        <f t="shared" si="29"/>
        <v>95.349999999999994</v>
      </c>
      <c r="F684" s="22">
        <v>0.75</v>
      </c>
      <c r="G684" s="21">
        <f t="shared" si="30"/>
        <v>92.439999999999998</v>
      </c>
      <c r="H684" s="22">
        <v>0.76000000000000001</v>
      </c>
      <c r="I684" s="23" t="str">
        <f t="shared" si="31"/>
        <v xml:space="preserve">COM VALOR</v>
      </c>
      <c r="J684" s="19"/>
      <c r="L684" s="21">
        <v>95.349999999999994</v>
      </c>
      <c r="M684" s="22">
        <v>0</v>
      </c>
      <c r="N684" s="21">
        <v>92.439999999999998</v>
      </c>
      <c r="O684" s="22">
        <v>0</v>
      </c>
    </row>
    <row r="685" ht="51">
      <c r="A685" t="s">
        <v>679</v>
      </c>
      <c r="B685" s="19">
        <v>92814</v>
      </c>
      <c r="C685" s="20" t="s">
        <v>719</v>
      </c>
      <c r="D685" s="19" t="s">
        <v>38</v>
      </c>
      <c r="E685" s="21">
        <f t="shared" si="29"/>
        <v>86.549999999999997</v>
      </c>
      <c r="F685" s="22">
        <v>0</v>
      </c>
      <c r="G685" s="21">
        <f t="shared" si="30"/>
        <v>83.930000000000007</v>
      </c>
      <c r="H685" s="22">
        <v>0</v>
      </c>
      <c r="I685" s="23" t="str">
        <f t="shared" si="31"/>
        <v xml:space="preserve">COM VALOR</v>
      </c>
      <c r="J685" s="19"/>
      <c r="L685" s="21">
        <v>86.549999999999997</v>
      </c>
      <c r="M685" s="22">
        <v>0</v>
      </c>
      <c r="N685" s="21">
        <v>83.930000000000007</v>
      </c>
      <c r="O685" s="22">
        <v>0</v>
      </c>
    </row>
    <row r="686" ht="51">
      <c r="A686" t="s">
        <v>679</v>
      </c>
      <c r="B686" s="19">
        <v>95570</v>
      </c>
      <c r="C686" s="20" t="s">
        <v>720</v>
      </c>
      <c r="D686" s="19" t="s">
        <v>38</v>
      </c>
      <c r="E686" s="21">
        <f t="shared" si="29"/>
        <v>98.359999999999999</v>
      </c>
      <c r="F686" s="22">
        <v>0</v>
      </c>
      <c r="G686" s="21">
        <f t="shared" si="30"/>
        <v>97.489999999999995</v>
      </c>
      <c r="H686" s="22">
        <v>0</v>
      </c>
      <c r="I686" s="23" t="str">
        <f t="shared" si="31"/>
        <v xml:space="preserve">COM VALOR</v>
      </c>
      <c r="J686" s="19"/>
      <c r="L686" s="21">
        <v>98.359999999999999</v>
      </c>
      <c r="M686" s="22">
        <v>0.71999999999999997</v>
      </c>
      <c r="N686" s="21">
        <v>97.489999999999995</v>
      </c>
      <c r="O686" s="22">
        <v>0.72999999999999998</v>
      </c>
    </row>
    <row r="687" ht="51">
      <c r="A687" t="s">
        <v>679</v>
      </c>
      <c r="B687" s="19">
        <v>95567</v>
      </c>
      <c r="C687" s="20" t="s">
        <v>721</v>
      </c>
      <c r="D687" s="19" t="s">
        <v>38</v>
      </c>
      <c r="E687" s="21">
        <f t="shared" si="29"/>
        <v>95.879999999999995</v>
      </c>
      <c r="F687" s="22"/>
      <c r="G687" s="21">
        <f t="shared" si="30"/>
        <v>95.099999999999994</v>
      </c>
      <c r="H687" s="22"/>
      <c r="I687" s="23" t="str">
        <f t="shared" si="31"/>
        <v xml:space="preserve">COM VALOR</v>
      </c>
      <c r="J687" s="19"/>
      <c r="L687" s="21">
        <v>95.879999999999995</v>
      </c>
      <c r="M687" s="22">
        <v>0.73999999999999999</v>
      </c>
      <c r="N687" s="21">
        <v>95.099999999999994</v>
      </c>
      <c r="O687" s="22">
        <v>0.75</v>
      </c>
    </row>
    <row r="688" ht="51">
      <c r="A688" t="s">
        <v>679</v>
      </c>
      <c r="B688" s="19">
        <v>95571</v>
      </c>
      <c r="C688" s="20" t="s">
        <v>722</v>
      </c>
      <c r="D688" s="19" t="s">
        <v>38</v>
      </c>
      <c r="E688" s="21">
        <f t="shared" si="29"/>
        <v>121.98999999999999</v>
      </c>
      <c r="F688" s="22"/>
      <c r="G688" s="21">
        <f t="shared" si="30"/>
        <v>120.8</v>
      </c>
      <c r="H688" s="22"/>
      <c r="I688" s="23" t="str">
        <f t="shared" si="31"/>
        <v xml:space="preserve">COM VALOR</v>
      </c>
      <c r="J688" s="19"/>
      <c r="L688" s="21">
        <v>121.98999999999999</v>
      </c>
      <c r="M688" s="22">
        <v>0.68999999999999995</v>
      </c>
      <c r="N688" s="21">
        <v>120.8</v>
      </c>
      <c r="O688" s="22">
        <v>0.69999999999999996</v>
      </c>
    </row>
    <row r="689" ht="51">
      <c r="A689" t="s">
        <v>679</v>
      </c>
      <c r="B689" s="19">
        <v>95568</v>
      </c>
      <c r="C689" s="20" t="s">
        <v>723</v>
      </c>
      <c r="D689" s="19" t="s">
        <v>38</v>
      </c>
      <c r="E689" s="21">
        <f t="shared" si="29"/>
        <v>118.48</v>
      </c>
      <c r="F689" s="22"/>
      <c r="G689" s="21">
        <f t="shared" si="30"/>
        <v>117.40000000000001</v>
      </c>
      <c r="H689" s="22"/>
      <c r="I689" s="23" t="str">
        <f t="shared" si="31"/>
        <v xml:space="preserve">COM VALOR</v>
      </c>
      <c r="J689" s="19"/>
      <c r="L689" s="21">
        <v>118.48</v>
      </c>
      <c r="M689" s="22">
        <v>0.70999999999999996</v>
      </c>
      <c r="N689" s="21">
        <v>117.40000000000001</v>
      </c>
      <c r="O689" s="22">
        <v>0.71999999999999997</v>
      </c>
    </row>
    <row r="690" ht="51">
      <c r="A690" t="s">
        <v>679</v>
      </c>
      <c r="B690" s="19">
        <v>95572</v>
      </c>
      <c r="C690" s="20" t="s">
        <v>724</v>
      </c>
      <c r="D690" s="19" t="s">
        <v>38</v>
      </c>
      <c r="E690" s="21">
        <f t="shared" si="29"/>
        <v>174.13</v>
      </c>
      <c r="F690" s="22"/>
      <c r="G690" s="21">
        <f t="shared" si="30"/>
        <v>172.62</v>
      </c>
      <c r="H690" s="22"/>
      <c r="I690" s="23" t="str">
        <f t="shared" si="31"/>
        <v xml:space="preserve">COM VALOR</v>
      </c>
      <c r="J690" s="19"/>
      <c r="L690" s="21">
        <v>174.13</v>
      </c>
      <c r="M690" s="22">
        <v>0.71999999999999997</v>
      </c>
      <c r="N690" s="21">
        <v>172.62</v>
      </c>
      <c r="O690" s="22">
        <v>0.72999999999999998</v>
      </c>
    </row>
    <row r="691" ht="51">
      <c r="A691" t="s">
        <v>679</v>
      </c>
      <c r="B691" s="19">
        <v>95569</v>
      </c>
      <c r="C691" s="20" t="s">
        <v>725</v>
      </c>
      <c r="D691" s="19" t="s">
        <v>38</v>
      </c>
      <c r="E691" s="21">
        <f t="shared" si="29"/>
        <v>169.58000000000001</v>
      </c>
      <c r="F691" s="22">
        <v>0</v>
      </c>
      <c r="G691" s="21">
        <f t="shared" si="30"/>
        <v>168.22</v>
      </c>
      <c r="H691" s="22">
        <v>0</v>
      </c>
      <c r="I691" s="23" t="str">
        <f t="shared" si="31"/>
        <v xml:space="preserve">COM VALOR</v>
      </c>
      <c r="J691" s="19"/>
      <c r="L691" s="21">
        <v>169.58000000000001</v>
      </c>
      <c r="M691" s="22">
        <v>0.73999999999999999</v>
      </c>
      <c r="N691" s="21">
        <v>168.22</v>
      </c>
      <c r="O691" s="22">
        <v>0.75</v>
      </c>
    </row>
    <row r="692" ht="51">
      <c r="A692" t="s">
        <v>679</v>
      </c>
      <c r="B692" s="19">
        <v>92863</v>
      </c>
      <c r="C692" s="20" t="s">
        <v>726</v>
      </c>
      <c r="D692" s="19" t="s">
        <v>38</v>
      </c>
      <c r="E692" s="21">
        <f t="shared" si="29"/>
        <v>1094.6099999999999</v>
      </c>
      <c r="F692" s="22">
        <v>0</v>
      </c>
      <c r="G692" s="21">
        <f t="shared" si="30"/>
        <v>1092.9000000000001</v>
      </c>
      <c r="H692" s="22">
        <v>0</v>
      </c>
      <c r="I692" s="23" t="str">
        <f t="shared" si="31"/>
        <v xml:space="preserve">COM VALOR</v>
      </c>
      <c r="J692" s="19"/>
      <c r="L692" s="21">
        <v>1094.6099999999999</v>
      </c>
      <c r="M692" s="22">
        <v>0</v>
      </c>
      <c r="N692" s="21">
        <v>1092.9000000000001</v>
      </c>
      <c r="O692" s="22">
        <v>0</v>
      </c>
    </row>
    <row r="693" ht="51">
      <c r="A693" t="s">
        <v>679</v>
      </c>
      <c r="B693" s="19">
        <v>92847</v>
      </c>
      <c r="C693" s="20" t="s">
        <v>727</v>
      </c>
      <c r="D693" s="19" t="s">
        <v>38</v>
      </c>
      <c r="E693" s="21">
        <f t="shared" si="29"/>
        <v>1084.79</v>
      </c>
      <c r="F693" s="22">
        <v>0</v>
      </c>
      <c r="G693" s="21">
        <f t="shared" si="30"/>
        <v>1083.3800000000001</v>
      </c>
      <c r="H693" s="22">
        <v>0</v>
      </c>
      <c r="I693" s="23" t="str">
        <f t="shared" si="31"/>
        <v xml:space="preserve">COM VALOR</v>
      </c>
      <c r="J693" s="19"/>
      <c r="L693" s="21">
        <v>1084.79</v>
      </c>
      <c r="M693" s="22">
        <v>0</v>
      </c>
      <c r="N693" s="21">
        <v>1083.3800000000001</v>
      </c>
      <c r="O693" s="22">
        <v>0</v>
      </c>
    </row>
    <row r="694" ht="51">
      <c r="A694" t="s">
        <v>679</v>
      </c>
      <c r="B694" s="19">
        <v>104936</v>
      </c>
      <c r="C694" s="20" t="s">
        <v>728</v>
      </c>
      <c r="D694" s="19" t="s">
        <v>38</v>
      </c>
      <c r="E694" s="21" t="str">
        <f t="shared" si="29"/>
        <v>VERIFICAR</v>
      </c>
      <c r="F694" s="22">
        <v>0</v>
      </c>
      <c r="G694" s="21" t="str">
        <f t="shared" si="30"/>
        <v>VERIFICAR</v>
      </c>
      <c r="H694" s="22">
        <v>0</v>
      </c>
      <c r="I694" s="23" t="str">
        <f t="shared" si="31"/>
        <v xml:space="preserve">COM VALOR</v>
      </c>
      <c r="J694" s="19"/>
      <c r="L694" s="21">
        <v>0</v>
      </c>
      <c r="M694" s="22"/>
      <c r="N694" s="21">
        <v>0</v>
      </c>
      <c r="O694" s="22"/>
    </row>
    <row r="695" ht="51">
      <c r="A695" t="s">
        <v>679</v>
      </c>
      <c r="B695" s="19">
        <v>104932</v>
      </c>
      <c r="C695" s="20" t="s">
        <v>729</v>
      </c>
      <c r="D695" s="19" t="s">
        <v>38</v>
      </c>
      <c r="E695" s="21" t="str">
        <f t="shared" si="29"/>
        <v>VERIFICAR</v>
      </c>
      <c r="F695" s="22">
        <v>0</v>
      </c>
      <c r="G695" s="21" t="str">
        <f t="shared" si="30"/>
        <v>VERIFICAR</v>
      </c>
      <c r="H695" s="22">
        <v>0</v>
      </c>
      <c r="I695" s="23" t="str">
        <f t="shared" si="31"/>
        <v xml:space="preserve">COM VALOR</v>
      </c>
      <c r="J695" s="19"/>
      <c r="L695" s="21">
        <v>0</v>
      </c>
      <c r="M695" s="22"/>
      <c r="N695" s="21">
        <v>0</v>
      </c>
      <c r="O695" s="22"/>
    </row>
    <row r="696" ht="51">
      <c r="A696" t="s">
        <v>679</v>
      </c>
      <c r="B696" s="19">
        <v>104938</v>
      </c>
      <c r="C696" s="20" t="s">
        <v>730</v>
      </c>
      <c r="D696" s="19" t="s">
        <v>38</v>
      </c>
      <c r="E696" s="21" t="str">
        <f t="shared" si="29"/>
        <v>VERIFICAR</v>
      </c>
      <c r="F696" s="22">
        <v>0</v>
      </c>
      <c r="G696" s="21" t="str">
        <f t="shared" si="30"/>
        <v>VERIFICAR</v>
      </c>
      <c r="H696" s="22">
        <v>0</v>
      </c>
      <c r="I696" s="23" t="str">
        <f t="shared" si="31"/>
        <v xml:space="preserve">COM VALOR</v>
      </c>
      <c r="J696" s="19"/>
      <c r="L696" s="21">
        <v>0</v>
      </c>
      <c r="M696" s="22"/>
      <c r="N696" s="21">
        <v>0</v>
      </c>
      <c r="O696" s="22"/>
    </row>
    <row r="697" ht="51">
      <c r="A697" t="s">
        <v>679</v>
      </c>
      <c r="B697" s="19">
        <v>104934</v>
      </c>
      <c r="C697" s="20" t="s">
        <v>731</v>
      </c>
      <c r="D697" s="19" t="s">
        <v>38</v>
      </c>
      <c r="E697" s="21" t="str">
        <f t="shared" si="29"/>
        <v>VERIFICAR</v>
      </c>
      <c r="F697" s="22">
        <v>0</v>
      </c>
      <c r="G697" s="21" t="str">
        <f t="shared" si="30"/>
        <v>VERIFICAR</v>
      </c>
      <c r="H697" s="22">
        <v>0</v>
      </c>
      <c r="I697" s="23" t="str">
        <f t="shared" si="31"/>
        <v xml:space="preserve">COM VALOR</v>
      </c>
      <c r="J697" s="19"/>
      <c r="L697" s="21">
        <v>0</v>
      </c>
      <c r="M697" s="22"/>
      <c r="N697" s="21">
        <v>0</v>
      </c>
      <c r="O697" s="22"/>
    </row>
    <row r="698" ht="51">
      <c r="A698" t="s">
        <v>679</v>
      </c>
      <c r="B698" s="19">
        <v>92849</v>
      </c>
      <c r="C698" s="20" t="s">
        <v>732</v>
      </c>
      <c r="D698" s="19" t="s">
        <v>38</v>
      </c>
      <c r="E698" s="21">
        <f t="shared" si="29"/>
        <v>232.44</v>
      </c>
      <c r="F698" s="22">
        <v>0</v>
      </c>
      <c r="G698" s="21">
        <f t="shared" si="30"/>
        <v>232.02000000000001</v>
      </c>
      <c r="H698" s="22">
        <v>0</v>
      </c>
      <c r="I698" s="23" t="str">
        <f t="shared" si="31"/>
        <v xml:space="preserve">COM VALOR</v>
      </c>
      <c r="J698" s="19"/>
      <c r="L698" s="21">
        <v>232.44</v>
      </c>
      <c r="M698" s="22">
        <v>0</v>
      </c>
      <c r="N698" s="21">
        <v>232.02000000000001</v>
      </c>
      <c r="O698" s="22">
        <v>0</v>
      </c>
    </row>
    <row r="699" ht="51">
      <c r="A699" t="s">
        <v>679</v>
      </c>
      <c r="B699" s="19">
        <v>92833</v>
      </c>
      <c r="C699" s="20" t="s">
        <v>733</v>
      </c>
      <c r="D699" s="19" t="s">
        <v>38</v>
      </c>
      <c r="E699" s="21">
        <f t="shared" si="29"/>
        <v>229.97</v>
      </c>
      <c r="F699" s="22">
        <v>0</v>
      </c>
      <c r="G699" s="21">
        <f t="shared" si="30"/>
        <v>229.62</v>
      </c>
      <c r="H699" s="22">
        <v>0</v>
      </c>
      <c r="I699" s="23" t="str">
        <f t="shared" si="31"/>
        <v xml:space="preserve">COM VALOR</v>
      </c>
      <c r="J699" s="19"/>
      <c r="L699" s="21">
        <v>229.97</v>
      </c>
      <c r="M699" s="22">
        <v>0</v>
      </c>
      <c r="N699" s="21">
        <v>229.62</v>
      </c>
      <c r="O699" s="22">
        <v>0</v>
      </c>
    </row>
    <row r="700" ht="51">
      <c r="A700" t="s">
        <v>679</v>
      </c>
      <c r="B700" s="19">
        <v>92851</v>
      </c>
      <c r="C700" s="20" t="s">
        <v>734</v>
      </c>
      <c r="D700" s="19" t="s">
        <v>38</v>
      </c>
      <c r="E700" s="21">
        <f t="shared" si="29"/>
        <v>245.28999999999999</v>
      </c>
      <c r="F700" s="22">
        <v>0</v>
      </c>
      <c r="G700" s="21">
        <f t="shared" si="30"/>
        <v>244.66999999999999</v>
      </c>
      <c r="H700" s="22">
        <v>0</v>
      </c>
      <c r="I700" s="23" t="str">
        <f t="shared" si="31"/>
        <v xml:space="preserve">COM VALOR</v>
      </c>
      <c r="J700" s="19"/>
      <c r="L700" s="21">
        <v>245.28999999999999</v>
      </c>
      <c r="M700" s="22">
        <v>0</v>
      </c>
      <c r="N700" s="21">
        <v>244.66999999999999</v>
      </c>
      <c r="O700" s="22">
        <v>0</v>
      </c>
    </row>
    <row r="701" ht="51">
      <c r="A701" t="s">
        <v>679</v>
      </c>
      <c r="B701" s="19">
        <v>92835</v>
      </c>
      <c r="C701" s="20" t="s">
        <v>735</v>
      </c>
      <c r="D701" s="19" t="s">
        <v>38</v>
      </c>
      <c r="E701" s="21">
        <f t="shared" si="29"/>
        <v>241.75999999999999</v>
      </c>
      <c r="F701" s="22">
        <v>0</v>
      </c>
      <c r="G701" s="21">
        <f t="shared" si="30"/>
        <v>241.25</v>
      </c>
      <c r="H701" s="22">
        <v>0</v>
      </c>
      <c r="I701" s="23" t="str">
        <f t="shared" si="31"/>
        <v xml:space="preserve">COM VALOR</v>
      </c>
      <c r="J701" s="19"/>
      <c r="L701" s="21">
        <v>241.75999999999999</v>
      </c>
      <c r="M701" s="22">
        <v>0</v>
      </c>
      <c r="N701" s="21">
        <v>241.25</v>
      </c>
      <c r="O701" s="22">
        <v>0</v>
      </c>
    </row>
    <row r="702" ht="51">
      <c r="A702" t="s">
        <v>679</v>
      </c>
      <c r="B702" s="19">
        <v>92853</v>
      </c>
      <c r="C702" s="20" t="s">
        <v>736</v>
      </c>
      <c r="D702" s="19" t="s">
        <v>38</v>
      </c>
      <c r="E702" s="21">
        <f t="shared" si="29"/>
        <v>436.27999999999997</v>
      </c>
      <c r="F702" s="22">
        <v>0</v>
      </c>
      <c r="G702" s="21">
        <f t="shared" si="30"/>
        <v>435.48000000000002</v>
      </c>
      <c r="H702" s="22">
        <v>0</v>
      </c>
      <c r="I702" s="23" t="str">
        <f t="shared" si="31"/>
        <v xml:space="preserve">COM VALOR</v>
      </c>
      <c r="J702" s="19"/>
      <c r="L702" s="21">
        <v>436.27999999999997</v>
      </c>
      <c r="M702" s="22">
        <v>0</v>
      </c>
      <c r="N702" s="21">
        <v>435.48000000000002</v>
      </c>
      <c r="O702" s="22">
        <v>0</v>
      </c>
    </row>
    <row r="703" ht="51">
      <c r="A703" t="s">
        <v>679</v>
      </c>
      <c r="B703" s="19">
        <v>92837</v>
      </c>
      <c r="C703" s="20" t="s">
        <v>737</v>
      </c>
      <c r="D703" s="19" t="s">
        <v>38</v>
      </c>
      <c r="E703" s="21">
        <f t="shared" si="29"/>
        <v>431.72000000000003</v>
      </c>
      <c r="F703" s="22">
        <v>0</v>
      </c>
      <c r="G703" s="21">
        <f t="shared" si="30"/>
        <v>431.07999999999998</v>
      </c>
      <c r="H703" s="22">
        <v>0</v>
      </c>
      <c r="I703" s="23" t="str">
        <f t="shared" si="31"/>
        <v xml:space="preserve">COM VALOR</v>
      </c>
      <c r="J703" s="19"/>
      <c r="L703" s="21">
        <v>431.72000000000003</v>
      </c>
      <c r="M703" s="22">
        <v>0</v>
      </c>
      <c r="N703" s="21">
        <v>431.07999999999998</v>
      </c>
      <c r="O703" s="22">
        <v>0</v>
      </c>
    </row>
    <row r="704" ht="51">
      <c r="A704" t="s">
        <v>679</v>
      </c>
      <c r="B704" s="19">
        <v>92855</v>
      </c>
      <c r="C704" s="20" t="s">
        <v>738</v>
      </c>
      <c r="D704" s="19" t="s">
        <v>38</v>
      </c>
      <c r="E704" s="21">
        <f t="shared" si="29"/>
        <v>534.88999999999999</v>
      </c>
      <c r="F704" s="22">
        <v>0</v>
      </c>
      <c r="G704" s="21">
        <f t="shared" si="30"/>
        <v>533.88999999999999</v>
      </c>
      <c r="H704" s="22">
        <v>0</v>
      </c>
      <c r="I704" s="23" t="str">
        <f t="shared" si="31"/>
        <v xml:space="preserve">COM VALOR</v>
      </c>
      <c r="J704" s="19"/>
      <c r="L704" s="21">
        <v>534.88999999999999</v>
      </c>
      <c r="M704" s="22">
        <v>0</v>
      </c>
      <c r="N704" s="21">
        <v>533.88999999999999</v>
      </c>
      <c r="O704" s="22">
        <v>0</v>
      </c>
    </row>
    <row r="705" ht="51">
      <c r="A705" t="s">
        <v>679</v>
      </c>
      <c r="B705" s="19">
        <v>92839</v>
      </c>
      <c r="C705" s="20" t="s">
        <v>739</v>
      </c>
      <c r="D705" s="19" t="s">
        <v>38</v>
      </c>
      <c r="E705" s="21">
        <f t="shared" si="29"/>
        <v>529.26999999999998</v>
      </c>
      <c r="F705" s="22">
        <v>0</v>
      </c>
      <c r="G705" s="21">
        <f t="shared" si="30"/>
        <v>528.47000000000003</v>
      </c>
      <c r="H705" s="22">
        <v>0</v>
      </c>
      <c r="I705" s="23" t="str">
        <f t="shared" si="31"/>
        <v xml:space="preserve">COM VALOR</v>
      </c>
      <c r="J705" s="19"/>
      <c r="L705" s="21">
        <v>529.26999999999998</v>
      </c>
      <c r="M705" s="22">
        <v>0</v>
      </c>
      <c r="N705" s="21">
        <v>528.47000000000003</v>
      </c>
      <c r="O705" s="22">
        <v>0</v>
      </c>
    </row>
    <row r="706" ht="51">
      <c r="A706" t="s">
        <v>679</v>
      </c>
      <c r="B706" s="19">
        <v>92857</v>
      </c>
      <c r="C706" s="20" t="s">
        <v>740</v>
      </c>
      <c r="D706" s="19" t="s">
        <v>38</v>
      </c>
      <c r="E706" s="21">
        <f t="shared" si="29"/>
        <v>695.85000000000002</v>
      </c>
      <c r="F706" s="22">
        <v>0</v>
      </c>
      <c r="G706" s="21">
        <f t="shared" si="30"/>
        <v>694.69000000000005</v>
      </c>
      <c r="H706" s="22">
        <v>0</v>
      </c>
      <c r="I706" s="23" t="str">
        <f t="shared" si="31"/>
        <v xml:space="preserve">COM VALOR</v>
      </c>
      <c r="J706" s="19"/>
      <c r="L706" s="21">
        <v>695.85000000000002</v>
      </c>
      <c r="M706" s="22">
        <v>0</v>
      </c>
      <c r="N706" s="21">
        <v>694.69000000000005</v>
      </c>
      <c r="O706" s="22">
        <v>0</v>
      </c>
    </row>
    <row r="707" ht="51">
      <c r="A707" t="s">
        <v>679</v>
      </c>
      <c r="B707" s="19">
        <v>92841</v>
      </c>
      <c r="C707" s="20" t="s">
        <v>741</v>
      </c>
      <c r="D707" s="19" t="s">
        <v>38</v>
      </c>
      <c r="E707" s="21">
        <f t="shared" si="29"/>
        <v>689.17999999999995</v>
      </c>
      <c r="F707" s="22">
        <v>0</v>
      </c>
      <c r="G707" s="21">
        <f t="shared" si="30"/>
        <v>688.23000000000002</v>
      </c>
      <c r="H707" s="22">
        <v>0</v>
      </c>
      <c r="I707" s="23" t="str">
        <f t="shared" si="31"/>
        <v xml:space="preserve">COM VALOR</v>
      </c>
      <c r="J707" s="19"/>
      <c r="L707" s="21">
        <v>689.17999999999995</v>
      </c>
      <c r="M707" s="22">
        <v>0</v>
      </c>
      <c r="N707" s="21">
        <v>688.23000000000002</v>
      </c>
      <c r="O707" s="22">
        <v>0</v>
      </c>
    </row>
    <row r="708" ht="51">
      <c r="A708" t="s">
        <v>679</v>
      </c>
      <c r="B708" s="19">
        <v>92859</v>
      </c>
      <c r="C708" s="20" t="s">
        <v>742</v>
      </c>
      <c r="D708" s="19" t="s">
        <v>38</v>
      </c>
      <c r="E708" s="21">
        <f t="shared" si="29"/>
        <v>720.45000000000005</v>
      </c>
      <c r="F708" s="22">
        <v>0</v>
      </c>
      <c r="G708" s="21">
        <f t="shared" si="30"/>
        <v>719.10000000000002</v>
      </c>
      <c r="H708" s="22">
        <v>0</v>
      </c>
      <c r="I708" s="23" t="str">
        <f t="shared" si="31"/>
        <v xml:space="preserve">COM VALOR</v>
      </c>
      <c r="J708" s="19"/>
      <c r="L708" s="21">
        <v>720.45000000000005</v>
      </c>
      <c r="M708" s="22">
        <v>0</v>
      </c>
      <c r="N708" s="21">
        <v>719.10000000000002</v>
      </c>
      <c r="O708" s="22">
        <v>0</v>
      </c>
    </row>
    <row r="709" ht="51">
      <c r="A709" t="s">
        <v>679</v>
      </c>
      <c r="B709" s="19">
        <v>92843</v>
      </c>
      <c r="C709" s="20" t="s">
        <v>743</v>
      </c>
      <c r="D709" s="19" t="s">
        <v>38</v>
      </c>
      <c r="E709" s="21">
        <f t="shared" si="29"/>
        <v>712.72000000000003</v>
      </c>
      <c r="F709" s="22">
        <v>0</v>
      </c>
      <c r="G709" s="21">
        <f t="shared" si="30"/>
        <v>711.61000000000001</v>
      </c>
      <c r="H709" s="22">
        <v>0</v>
      </c>
      <c r="I709" s="23" t="str">
        <f t="shared" si="31"/>
        <v xml:space="preserve">COM VALOR</v>
      </c>
      <c r="J709" s="19"/>
      <c r="L709" s="21">
        <v>712.72000000000003</v>
      </c>
      <c r="M709" s="22">
        <v>0</v>
      </c>
      <c r="N709" s="21">
        <v>711.61000000000001</v>
      </c>
      <c r="O709" s="22">
        <v>0</v>
      </c>
    </row>
    <row r="710" ht="51">
      <c r="A710" t="s">
        <v>679</v>
      </c>
      <c r="B710" s="19">
        <v>92861</v>
      </c>
      <c r="C710" s="20" t="s">
        <v>744</v>
      </c>
      <c r="D710" s="19" t="s">
        <v>38</v>
      </c>
      <c r="E710" s="21">
        <f t="shared" si="29"/>
        <v>1067.4000000000001</v>
      </c>
      <c r="F710" s="22">
        <v>0</v>
      </c>
      <c r="G710" s="21">
        <f t="shared" si="30"/>
        <v>1065.8800000000001</v>
      </c>
      <c r="H710" s="22">
        <v>0</v>
      </c>
      <c r="I710" s="23" t="str">
        <f t="shared" si="31"/>
        <v xml:space="preserve">COM VALOR</v>
      </c>
      <c r="J710" s="19"/>
      <c r="L710" s="21">
        <v>1067.4000000000001</v>
      </c>
      <c r="M710" s="22">
        <v>0</v>
      </c>
      <c r="N710" s="21">
        <v>1065.8800000000001</v>
      </c>
      <c r="O710" s="22">
        <v>0</v>
      </c>
    </row>
    <row r="711" ht="51">
      <c r="A711" t="s">
        <v>679</v>
      </c>
      <c r="B711" s="19">
        <v>92845</v>
      </c>
      <c r="C711" s="20" t="s">
        <v>745</v>
      </c>
      <c r="D711" s="19" t="s">
        <v>38</v>
      </c>
      <c r="E711" s="21">
        <f t="shared" si="29"/>
        <v>1058.6300000000001</v>
      </c>
      <c r="F711" s="22">
        <v>0</v>
      </c>
      <c r="G711" s="21">
        <f t="shared" si="30"/>
        <v>1057.3900000000001</v>
      </c>
      <c r="H711" s="22">
        <v>0</v>
      </c>
      <c r="I711" s="23" t="str">
        <f t="shared" si="31"/>
        <v xml:space="preserve">COM VALOR</v>
      </c>
      <c r="J711" s="19"/>
      <c r="L711" s="21">
        <v>1058.6300000000001</v>
      </c>
      <c r="M711" s="22">
        <v>0</v>
      </c>
      <c r="N711" s="21">
        <v>1057.3900000000001</v>
      </c>
      <c r="O711" s="22">
        <v>0</v>
      </c>
    </row>
    <row r="712" ht="51">
      <c r="A712" t="s">
        <v>679</v>
      </c>
      <c r="B712" s="19">
        <v>92226</v>
      </c>
      <c r="C712" s="20" t="s">
        <v>746</v>
      </c>
      <c r="D712" s="19" t="s">
        <v>38</v>
      </c>
      <c r="E712" s="21">
        <f t="shared" si="29"/>
        <v>607.57000000000005</v>
      </c>
      <c r="F712" s="22">
        <v>0</v>
      </c>
      <c r="G712" s="21">
        <f t="shared" si="30"/>
        <v>604.32000000000005</v>
      </c>
      <c r="H712" s="22">
        <v>0</v>
      </c>
      <c r="I712" s="23" t="str">
        <f t="shared" si="31"/>
        <v xml:space="preserve">COM VALOR</v>
      </c>
      <c r="J712" s="19"/>
      <c r="L712" s="21">
        <v>607.57000000000005</v>
      </c>
      <c r="M712" s="22">
        <v>0</v>
      </c>
      <c r="N712" s="21">
        <v>604.32000000000005</v>
      </c>
      <c r="O712" s="22">
        <v>0</v>
      </c>
    </row>
    <row r="713" ht="51">
      <c r="A713" t="s">
        <v>679</v>
      </c>
      <c r="B713" s="19">
        <v>92216</v>
      </c>
      <c r="C713" s="20" t="s">
        <v>747</v>
      </c>
      <c r="D713" s="19" t="s">
        <v>38</v>
      </c>
      <c r="E713" s="21">
        <f t="shared" si="29"/>
        <v>597.74000000000001</v>
      </c>
      <c r="F713" s="22">
        <v>0</v>
      </c>
      <c r="G713" s="21">
        <f t="shared" si="30"/>
        <v>594.79999999999995</v>
      </c>
      <c r="H713" s="22">
        <v>0</v>
      </c>
      <c r="I713" s="23" t="str">
        <f t="shared" si="31"/>
        <v xml:space="preserve">COM VALOR</v>
      </c>
      <c r="J713" s="19"/>
      <c r="L713" s="21">
        <v>597.74000000000001</v>
      </c>
      <c r="M713" s="22">
        <v>0</v>
      </c>
      <c r="N713" s="21">
        <v>594.79999999999995</v>
      </c>
      <c r="O713" s="22">
        <v>0</v>
      </c>
    </row>
    <row r="714" ht="51">
      <c r="A714" t="s">
        <v>679</v>
      </c>
      <c r="B714" s="19">
        <v>92829</v>
      </c>
      <c r="C714" s="20" t="s">
        <v>748</v>
      </c>
      <c r="D714" s="19" t="s">
        <v>38</v>
      </c>
      <c r="E714" s="21">
        <f t="shared" si="29"/>
        <v>879.63999999999999</v>
      </c>
      <c r="F714" s="22">
        <v>0</v>
      </c>
      <c r="G714" s="21">
        <f t="shared" si="30"/>
        <v>875.67999999999995</v>
      </c>
      <c r="H714" s="22">
        <v>0</v>
      </c>
      <c r="I714" s="23" t="str">
        <f t="shared" si="31"/>
        <v xml:space="preserve">COM VALOR</v>
      </c>
      <c r="J714" s="19"/>
      <c r="L714" s="21">
        <v>879.63999999999999</v>
      </c>
      <c r="M714" s="22">
        <v>0</v>
      </c>
      <c r="N714" s="21">
        <v>875.67999999999995</v>
      </c>
      <c r="O714" s="22">
        <v>0</v>
      </c>
    </row>
    <row r="715" ht="51">
      <c r="A715" t="s">
        <v>679</v>
      </c>
      <c r="B715" s="19">
        <v>92816</v>
      </c>
      <c r="C715" s="20" t="s">
        <v>749</v>
      </c>
      <c r="D715" s="19" t="s">
        <v>38</v>
      </c>
      <c r="E715" s="21">
        <f t="shared" ref="E715:E778" si="32">IF(L715=0,"VERIFICAR",L715)</f>
        <v>867.72000000000003</v>
      </c>
      <c r="F715" s="22">
        <v>0</v>
      </c>
      <c r="G715" s="21">
        <f t="shared" ref="G715:G778" si="33">IF(N715=0,"VERIFICAR",N715)</f>
        <v>864.12</v>
      </c>
      <c r="H715" s="22">
        <v>0</v>
      </c>
      <c r="I715" s="23" t="str">
        <f t="shared" ref="I715:I778" si="34">IF(OR(E715=0,G715=0),"SEM VALOR","COM VALOR")</f>
        <v xml:space="preserve">COM VALOR</v>
      </c>
      <c r="J715" s="19"/>
      <c r="L715" s="21">
        <v>867.72000000000003</v>
      </c>
      <c r="M715" s="22">
        <v>0</v>
      </c>
      <c r="N715" s="21">
        <v>864.12</v>
      </c>
      <c r="O715" s="22">
        <v>0</v>
      </c>
    </row>
    <row r="716" ht="51">
      <c r="A716" t="s">
        <v>679</v>
      </c>
      <c r="B716" s="19">
        <v>92831</v>
      </c>
      <c r="C716" s="20" t="s">
        <v>750</v>
      </c>
      <c r="D716" s="19" t="s">
        <v>38</v>
      </c>
      <c r="E716" s="21">
        <f t="shared" si="32"/>
        <v>1254.6300000000001</v>
      </c>
      <c r="F716" s="22">
        <v>0</v>
      </c>
      <c r="G716" s="21">
        <f t="shared" si="33"/>
        <v>1249.54</v>
      </c>
      <c r="H716" s="22">
        <v>0</v>
      </c>
      <c r="I716" s="23" t="str">
        <f t="shared" si="34"/>
        <v xml:space="preserve">COM VALOR</v>
      </c>
      <c r="J716" s="19"/>
      <c r="L716" s="21">
        <v>1254.6300000000001</v>
      </c>
      <c r="M716" s="22">
        <v>0</v>
      </c>
      <c r="N716" s="21">
        <v>1249.54</v>
      </c>
      <c r="O716" s="22">
        <v>0</v>
      </c>
    </row>
    <row r="717" ht="51">
      <c r="A717" t="s">
        <v>679</v>
      </c>
      <c r="B717" s="19">
        <v>92818</v>
      </c>
      <c r="C717" s="20" t="s">
        <v>751</v>
      </c>
      <c r="D717" s="19" t="s">
        <v>38</v>
      </c>
      <c r="E717" s="21">
        <f t="shared" si="32"/>
        <v>1239.54</v>
      </c>
      <c r="F717" s="22">
        <v>0</v>
      </c>
      <c r="G717" s="21">
        <f t="shared" si="33"/>
        <v>1234.9400000000001</v>
      </c>
      <c r="H717" s="22">
        <v>0</v>
      </c>
      <c r="I717" s="23" t="str">
        <f t="shared" si="34"/>
        <v xml:space="preserve">COM VALOR</v>
      </c>
      <c r="J717" s="19"/>
      <c r="L717" s="21">
        <v>1239.54</v>
      </c>
      <c r="M717" s="22">
        <v>0</v>
      </c>
      <c r="N717" s="21">
        <v>1234.9400000000001</v>
      </c>
      <c r="O717" s="22">
        <v>0</v>
      </c>
    </row>
    <row r="718" ht="51">
      <c r="A718" t="s">
        <v>679</v>
      </c>
      <c r="B718" s="19">
        <v>95566</v>
      </c>
      <c r="C718" s="20" t="s">
        <v>752</v>
      </c>
      <c r="D718" s="19" t="s">
        <v>38</v>
      </c>
      <c r="E718" s="21">
        <f t="shared" si="32"/>
        <v>144.53999999999999</v>
      </c>
      <c r="F718" s="22">
        <v>0</v>
      </c>
      <c r="G718" s="21">
        <f t="shared" si="33"/>
        <v>143.66999999999999</v>
      </c>
      <c r="H718" s="22">
        <v>0</v>
      </c>
      <c r="I718" s="23" t="str">
        <f t="shared" si="34"/>
        <v xml:space="preserve">COM VALOR</v>
      </c>
      <c r="J718" s="19"/>
      <c r="L718" s="21">
        <v>144.53999999999999</v>
      </c>
      <c r="M718" s="22">
        <v>0</v>
      </c>
      <c r="N718" s="21">
        <v>143.66999999999999</v>
      </c>
      <c r="O718" s="22">
        <v>0</v>
      </c>
    </row>
    <row r="719" ht="51">
      <c r="A719" t="s">
        <v>679</v>
      </c>
      <c r="B719" s="19">
        <v>95565</v>
      </c>
      <c r="C719" s="20" t="s">
        <v>753</v>
      </c>
      <c r="D719" s="19" t="s">
        <v>38</v>
      </c>
      <c r="E719" s="21">
        <f t="shared" si="32"/>
        <v>142.06</v>
      </c>
      <c r="F719" s="22">
        <v>0</v>
      </c>
      <c r="G719" s="21">
        <f t="shared" si="33"/>
        <v>141.28</v>
      </c>
      <c r="H719" s="22">
        <v>0</v>
      </c>
      <c r="I719" s="23" t="str">
        <f t="shared" si="34"/>
        <v xml:space="preserve">COM VALOR</v>
      </c>
      <c r="J719" s="19"/>
      <c r="L719" s="21">
        <v>142.06</v>
      </c>
      <c r="M719" s="22">
        <v>0</v>
      </c>
      <c r="N719" s="21">
        <v>141.28</v>
      </c>
      <c r="O719" s="22">
        <v>0</v>
      </c>
    </row>
    <row r="720" ht="51">
      <c r="A720" t="s">
        <v>679</v>
      </c>
      <c r="B720" s="19">
        <v>92219</v>
      </c>
      <c r="C720" s="20" t="s">
        <v>754</v>
      </c>
      <c r="D720" s="19" t="s">
        <v>38</v>
      </c>
      <c r="E720" s="21">
        <f t="shared" si="32"/>
        <v>170.31</v>
      </c>
      <c r="F720" s="22">
        <v>0</v>
      </c>
      <c r="G720" s="21">
        <f t="shared" si="33"/>
        <v>169.12</v>
      </c>
      <c r="H720" s="22">
        <v>0</v>
      </c>
      <c r="I720" s="23" t="str">
        <f t="shared" si="34"/>
        <v xml:space="preserve">COM VALOR</v>
      </c>
      <c r="J720" s="19"/>
      <c r="L720" s="21">
        <v>170.31</v>
      </c>
      <c r="M720" s="22">
        <v>0</v>
      </c>
      <c r="N720" s="21">
        <v>169.12</v>
      </c>
      <c r="O720" s="22">
        <v>0</v>
      </c>
    </row>
    <row r="721" ht="51">
      <c r="A721" t="s">
        <v>679</v>
      </c>
      <c r="B721" s="19">
        <v>92210</v>
      </c>
      <c r="C721" s="20" t="s">
        <v>755</v>
      </c>
      <c r="D721" s="19" t="s">
        <v>38</v>
      </c>
      <c r="E721" s="21">
        <f t="shared" si="32"/>
        <v>166.80000000000001</v>
      </c>
      <c r="F721" s="22">
        <v>0</v>
      </c>
      <c r="G721" s="21">
        <f t="shared" si="33"/>
        <v>165.72</v>
      </c>
      <c r="H721" s="22">
        <v>0</v>
      </c>
      <c r="I721" s="23" t="str">
        <f t="shared" si="34"/>
        <v xml:space="preserve">COM VALOR</v>
      </c>
      <c r="J721" s="19"/>
      <c r="L721" s="21">
        <v>166.80000000000001</v>
      </c>
      <c r="M721" s="22">
        <v>0</v>
      </c>
      <c r="N721" s="21">
        <v>165.72</v>
      </c>
      <c r="O721" s="22">
        <v>0</v>
      </c>
    </row>
    <row r="722" ht="51">
      <c r="A722" t="s">
        <v>679</v>
      </c>
      <c r="B722" s="19">
        <v>92220</v>
      </c>
      <c r="C722" s="20" t="s">
        <v>756</v>
      </c>
      <c r="D722" s="19" t="s">
        <v>38</v>
      </c>
      <c r="E722" s="21">
        <f t="shared" si="32"/>
        <v>207.18000000000001</v>
      </c>
      <c r="F722" s="22">
        <v>0</v>
      </c>
      <c r="G722" s="21">
        <f t="shared" si="33"/>
        <v>205.66999999999999</v>
      </c>
      <c r="H722" s="22">
        <v>0</v>
      </c>
      <c r="I722" s="23" t="str">
        <f t="shared" si="34"/>
        <v xml:space="preserve">COM VALOR</v>
      </c>
      <c r="J722" s="19"/>
      <c r="L722" s="21">
        <v>207.18000000000001</v>
      </c>
      <c r="M722" s="22">
        <v>0</v>
      </c>
      <c r="N722" s="21">
        <v>205.66999999999999</v>
      </c>
      <c r="O722" s="22">
        <v>0</v>
      </c>
    </row>
    <row r="723" ht="51">
      <c r="A723" t="s">
        <v>679</v>
      </c>
      <c r="B723" s="19">
        <v>92211</v>
      </c>
      <c r="C723" s="20" t="s">
        <v>757</v>
      </c>
      <c r="D723" s="19" t="s">
        <v>38</v>
      </c>
      <c r="E723" s="21">
        <f t="shared" si="32"/>
        <v>202.63</v>
      </c>
      <c r="F723" s="22">
        <v>0</v>
      </c>
      <c r="G723" s="21">
        <f t="shared" si="33"/>
        <v>201.27000000000001</v>
      </c>
      <c r="H723" s="22">
        <v>0</v>
      </c>
      <c r="I723" s="23" t="str">
        <f t="shared" si="34"/>
        <v xml:space="preserve">COM VALOR</v>
      </c>
      <c r="J723" s="19"/>
      <c r="L723" s="21">
        <v>202.63</v>
      </c>
      <c r="M723" s="22">
        <v>0</v>
      </c>
      <c r="N723" s="21">
        <v>201.27000000000001</v>
      </c>
      <c r="O723" s="22">
        <v>0</v>
      </c>
    </row>
    <row r="724" ht="51">
      <c r="A724" t="s">
        <v>679</v>
      </c>
      <c r="B724" s="19">
        <v>92221</v>
      </c>
      <c r="C724" s="20" t="s">
        <v>758</v>
      </c>
      <c r="D724" s="19" t="s">
        <v>38</v>
      </c>
      <c r="E724" s="21">
        <f t="shared" si="32"/>
        <v>316.48000000000002</v>
      </c>
      <c r="F724" s="22">
        <v>0</v>
      </c>
      <c r="G724" s="21">
        <f t="shared" si="33"/>
        <v>314.63</v>
      </c>
      <c r="H724" s="22">
        <v>0</v>
      </c>
      <c r="I724" s="23" t="str">
        <f t="shared" si="34"/>
        <v xml:space="preserve">COM VALOR</v>
      </c>
      <c r="J724" s="19"/>
      <c r="L724" s="21">
        <v>316.48000000000002</v>
      </c>
      <c r="M724" s="22">
        <v>0</v>
      </c>
      <c r="N724" s="21">
        <v>314.63</v>
      </c>
      <c r="O724" s="22">
        <v>0</v>
      </c>
    </row>
    <row r="725" ht="51">
      <c r="A725" t="s">
        <v>679</v>
      </c>
      <c r="B725" s="19">
        <v>92212</v>
      </c>
      <c r="C725" s="20" t="s">
        <v>759</v>
      </c>
      <c r="D725" s="19" t="s">
        <v>38</v>
      </c>
      <c r="E725" s="21">
        <f t="shared" si="32"/>
        <v>310.88</v>
      </c>
      <c r="F725" s="22">
        <v>1.e-002</v>
      </c>
      <c r="G725" s="21">
        <f t="shared" si="33"/>
        <v>309.19</v>
      </c>
      <c r="H725" s="22">
        <v>1.e-002</v>
      </c>
      <c r="I725" s="23" t="str">
        <f t="shared" si="34"/>
        <v xml:space="preserve">COM VALOR</v>
      </c>
      <c r="J725" s="19"/>
      <c r="L725" s="21">
        <v>310.88</v>
      </c>
      <c r="M725" s="22">
        <v>0</v>
      </c>
      <c r="N725" s="21">
        <v>309.19</v>
      </c>
      <c r="O725" s="22">
        <v>0</v>
      </c>
    </row>
    <row r="726" ht="51">
      <c r="A726" t="s">
        <v>679</v>
      </c>
      <c r="B726" s="19">
        <v>92222</v>
      </c>
      <c r="C726" s="20" t="s">
        <v>760</v>
      </c>
      <c r="D726" s="19" t="s">
        <v>38</v>
      </c>
      <c r="E726" s="21">
        <f t="shared" si="32"/>
        <v>421.08999999999997</v>
      </c>
      <c r="F726" s="22">
        <v>0.68999999999999995</v>
      </c>
      <c r="G726" s="21">
        <f t="shared" si="33"/>
        <v>418.88999999999999</v>
      </c>
      <c r="H726" s="22">
        <v>0.69999999999999996</v>
      </c>
      <c r="I726" s="23" t="str">
        <f t="shared" si="34"/>
        <v xml:space="preserve">COM VALOR</v>
      </c>
      <c r="J726" s="19"/>
      <c r="L726" s="21">
        <v>421.08999999999997</v>
      </c>
      <c r="M726" s="22">
        <v>0</v>
      </c>
      <c r="N726" s="21">
        <v>418.88999999999999</v>
      </c>
      <c r="O726" s="22">
        <v>0</v>
      </c>
    </row>
    <row r="727" ht="51">
      <c r="A727" t="s">
        <v>679</v>
      </c>
      <c r="B727" s="19">
        <v>92213</v>
      </c>
      <c r="C727" s="20" t="s">
        <v>761</v>
      </c>
      <c r="D727" s="19" t="s">
        <v>38</v>
      </c>
      <c r="E727" s="21">
        <f t="shared" si="32"/>
        <v>414.43000000000001</v>
      </c>
      <c r="F727" s="22">
        <v>0.70999999999999996</v>
      </c>
      <c r="G727" s="21">
        <f t="shared" si="33"/>
        <v>412.44</v>
      </c>
      <c r="H727" s="22">
        <v>0.71999999999999997</v>
      </c>
      <c r="I727" s="23" t="str">
        <f t="shared" si="34"/>
        <v xml:space="preserve">COM VALOR</v>
      </c>
      <c r="J727" s="19"/>
      <c r="L727" s="21">
        <v>414.43000000000001</v>
      </c>
      <c r="M727" s="22">
        <v>0</v>
      </c>
      <c r="N727" s="21">
        <v>412.44</v>
      </c>
      <c r="O727" s="22">
        <v>0</v>
      </c>
    </row>
    <row r="728" ht="51">
      <c r="A728" t="s">
        <v>679</v>
      </c>
      <c r="B728" s="19">
        <v>92223</v>
      </c>
      <c r="C728" s="20" t="s">
        <v>762</v>
      </c>
      <c r="D728" s="19" t="s">
        <v>38</v>
      </c>
      <c r="E728" s="21">
        <f t="shared" si="32"/>
        <v>510</v>
      </c>
      <c r="F728" s="22">
        <v>0.78000000000000003</v>
      </c>
      <c r="G728" s="21">
        <f t="shared" si="33"/>
        <v>507.45999999999998</v>
      </c>
      <c r="H728" s="22">
        <v>0.78000000000000003</v>
      </c>
      <c r="I728" s="23" t="str">
        <f t="shared" si="34"/>
        <v xml:space="preserve">COM VALOR</v>
      </c>
      <c r="J728" s="19"/>
      <c r="L728" s="21">
        <v>510</v>
      </c>
      <c r="M728" s="22">
        <v>0</v>
      </c>
      <c r="N728" s="21">
        <v>507.45999999999998</v>
      </c>
      <c r="O728" s="22">
        <v>0</v>
      </c>
    </row>
    <row r="729" ht="51">
      <c r="A729" t="s">
        <v>679</v>
      </c>
      <c r="B729" s="19">
        <v>92214</v>
      </c>
      <c r="C729" s="20" t="s">
        <v>763</v>
      </c>
      <c r="D729" s="19" t="s">
        <v>38</v>
      </c>
      <c r="E729" s="21">
        <f t="shared" si="32"/>
        <v>502.31</v>
      </c>
      <c r="F729" s="22">
        <v>1.e-002</v>
      </c>
      <c r="G729" s="21">
        <f t="shared" si="33"/>
        <v>500</v>
      </c>
      <c r="H729" s="22">
        <v>1.e-002</v>
      </c>
      <c r="I729" s="23" t="str">
        <f t="shared" si="34"/>
        <v xml:space="preserve">COM VALOR</v>
      </c>
      <c r="J729" s="19"/>
      <c r="L729" s="21">
        <v>502.31</v>
      </c>
      <c r="M729" s="22">
        <v>0</v>
      </c>
      <c r="N729" s="21">
        <v>500</v>
      </c>
      <c r="O729" s="22">
        <v>0</v>
      </c>
    </row>
    <row r="730" ht="51">
      <c r="A730" t="s">
        <v>679</v>
      </c>
      <c r="B730" s="19">
        <v>92224</v>
      </c>
      <c r="C730" s="20" t="s">
        <v>764</v>
      </c>
      <c r="D730" s="19" t="s">
        <v>38</v>
      </c>
      <c r="E730" s="21">
        <f t="shared" si="32"/>
        <v>585.64999999999998</v>
      </c>
      <c r="F730" s="22">
        <v>1.e-002</v>
      </c>
      <c r="G730" s="21">
        <f t="shared" si="33"/>
        <v>582.74000000000001</v>
      </c>
      <c r="H730" s="22">
        <v>1.e-002</v>
      </c>
      <c r="I730" s="23" t="str">
        <f t="shared" si="34"/>
        <v xml:space="preserve">COM VALOR</v>
      </c>
      <c r="J730" s="19"/>
      <c r="L730" s="21">
        <v>585.64999999999998</v>
      </c>
      <c r="M730" s="22">
        <v>0</v>
      </c>
      <c r="N730" s="21">
        <v>582.74000000000001</v>
      </c>
      <c r="O730" s="22">
        <v>0</v>
      </c>
    </row>
    <row r="731" ht="51">
      <c r="A731" t="s">
        <v>679</v>
      </c>
      <c r="B731" s="19">
        <v>92215</v>
      </c>
      <c r="C731" s="20" t="s">
        <v>765</v>
      </c>
      <c r="D731" s="19" t="s">
        <v>38</v>
      </c>
      <c r="E731" s="21">
        <f t="shared" si="32"/>
        <v>576.85000000000002</v>
      </c>
      <c r="F731" s="22">
        <v>1.e-002</v>
      </c>
      <c r="G731" s="21">
        <f t="shared" si="33"/>
        <v>574.23000000000002</v>
      </c>
      <c r="H731" s="22">
        <v>1.e-002</v>
      </c>
      <c r="I731" s="23" t="str">
        <f t="shared" si="34"/>
        <v xml:space="preserve">COM VALOR</v>
      </c>
      <c r="J731" s="19"/>
      <c r="L731" s="21">
        <v>576.85000000000002</v>
      </c>
      <c r="M731" s="22">
        <v>0</v>
      </c>
      <c r="N731" s="21">
        <v>574.23000000000002</v>
      </c>
      <c r="O731" s="22">
        <v>0</v>
      </c>
    </row>
    <row r="732" ht="12.75">
      <c r="A732" t="s">
        <v>766</v>
      </c>
      <c r="B732" s="19">
        <v>94342</v>
      </c>
      <c r="C732" s="20" t="s">
        <v>767</v>
      </c>
      <c r="D732" s="19" t="s">
        <v>121</v>
      </c>
      <c r="E732" s="21">
        <f t="shared" si="32"/>
        <v>80.290000000000006</v>
      </c>
      <c r="F732" s="22">
        <v>0.81000000000000005</v>
      </c>
      <c r="G732" s="21">
        <f t="shared" si="33"/>
        <v>78.959999999999994</v>
      </c>
      <c r="H732" s="22">
        <v>0.81000000000000005</v>
      </c>
      <c r="I732" s="23" t="str">
        <f t="shared" si="34"/>
        <v xml:space="preserve">COM VALOR</v>
      </c>
      <c r="J732" s="19"/>
      <c r="L732" s="21">
        <v>80.290000000000006</v>
      </c>
      <c r="M732" s="22">
        <v>1.e-002</v>
      </c>
      <c r="N732" s="21">
        <v>78.959999999999994</v>
      </c>
      <c r="O732" s="22">
        <v>1.e-002</v>
      </c>
    </row>
    <row r="733" ht="12.75">
      <c r="A733" t="s">
        <v>766</v>
      </c>
      <c r="B733" s="19">
        <v>94319</v>
      </c>
      <c r="C733" s="20" t="s">
        <v>768</v>
      </c>
      <c r="D733" s="19" t="s">
        <v>121</v>
      </c>
      <c r="E733" s="21">
        <f t="shared" si="32"/>
        <v>81.349999999999994</v>
      </c>
      <c r="F733" s="22">
        <v>1.e-002</v>
      </c>
      <c r="G733" s="21">
        <f t="shared" si="33"/>
        <v>80.019999999999996</v>
      </c>
      <c r="H733" s="22">
        <v>1.e-002</v>
      </c>
      <c r="I733" s="23" t="str">
        <f t="shared" si="34"/>
        <v xml:space="preserve">COM VALOR</v>
      </c>
      <c r="J733" s="19"/>
      <c r="L733" s="21">
        <v>81.349999999999994</v>
      </c>
      <c r="M733" s="22">
        <v>0.67000000000000004</v>
      </c>
      <c r="N733" s="21">
        <v>80.019999999999996</v>
      </c>
      <c r="O733" s="22">
        <v>0.68000000000000005</v>
      </c>
    </row>
    <row r="734" ht="51">
      <c r="A734" t="s">
        <v>766</v>
      </c>
      <c r="B734" s="19">
        <v>94304</v>
      </c>
      <c r="C734" s="20" t="s">
        <v>769</v>
      </c>
      <c r="D734" s="19" t="s">
        <v>121</v>
      </c>
      <c r="E734" s="21">
        <f t="shared" si="32"/>
        <v>77.989999999999995</v>
      </c>
      <c r="F734" s="22">
        <v>0.66000000000000003</v>
      </c>
      <c r="G734" s="21">
        <f t="shared" si="33"/>
        <v>77.420000000000002</v>
      </c>
      <c r="H734" s="22">
        <v>0.67000000000000004</v>
      </c>
      <c r="I734" s="23" t="str">
        <f t="shared" si="34"/>
        <v xml:space="preserve">COM VALOR</v>
      </c>
      <c r="J734" s="19"/>
      <c r="L734" s="21">
        <v>77.989999999999995</v>
      </c>
      <c r="M734" s="22">
        <v>0.69999999999999996</v>
      </c>
      <c r="N734" s="21">
        <v>77.420000000000002</v>
      </c>
      <c r="O734" s="22">
        <v>0.70250000000000001</v>
      </c>
    </row>
    <row r="735" ht="51">
      <c r="A735" t="s">
        <v>766</v>
      </c>
      <c r="B735" s="19">
        <v>94306</v>
      </c>
      <c r="C735" s="20" t="s">
        <v>770</v>
      </c>
      <c r="D735" s="19" t="s">
        <v>121</v>
      </c>
      <c r="E735" s="21">
        <f t="shared" si="32"/>
        <v>71.290000000000006</v>
      </c>
      <c r="F735" s="22">
        <v>0.75</v>
      </c>
      <c r="G735" s="21">
        <f t="shared" si="33"/>
        <v>70.859999999999999</v>
      </c>
      <c r="H735" s="22">
        <v>0.76000000000000001</v>
      </c>
      <c r="I735" s="23" t="str">
        <f t="shared" si="34"/>
        <v xml:space="preserve">COM VALOR</v>
      </c>
      <c r="J735" s="19"/>
      <c r="L735" s="21">
        <v>71.290000000000006</v>
      </c>
      <c r="M735" s="22">
        <v>0.76000000000000001</v>
      </c>
      <c r="N735" s="21">
        <v>70.859999999999999</v>
      </c>
      <c r="O735" s="22">
        <v>0.77000000000000002</v>
      </c>
    </row>
    <row r="736" ht="38.25">
      <c r="A736" t="s">
        <v>766</v>
      </c>
      <c r="B736" s="19">
        <v>94327</v>
      </c>
      <c r="C736" s="20" t="s">
        <v>771</v>
      </c>
      <c r="D736" s="19" t="s">
        <v>121</v>
      </c>
      <c r="E736" s="21">
        <f t="shared" si="32"/>
        <v>76.930000000000007</v>
      </c>
      <c r="F736" s="22">
        <v>0.81999999999999995</v>
      </c>
      <c r="G736" s="21">
        <f t="shared" si="33"/>
        <v>76.359999999999999</v>
      </c>
      <c r="H736" s="22">
        <v>0.82999999999999996</v>
      </c>
      <c r="I736" s="23" t="str">
        <f t="shared" si="34"/>
        <v xml:space="preserve">COM VALOR</v>
      </c>
      <c r="J736" s="19"/>
      <c r="L736" s="21">
        <v>76.930000000000007</v>
      </c>
      <c r="M736" s="22">
        <v>1.e-002</v>
      </c>
      <c r="N736" s="21">
        <v>76.359999999999999</v>
      </c>
      <c r="O736" s="22">
        <v>1.e-002</v>
      </c>
    </row>
    <row r="737" ht="38.25">
      <c r="A737" t="s">
        <v>766</v>
      </c>
      <c r="B737" s="19">
        <v>94329</v>
      </c>
      <c r="C737" s="20" t="s">
        <v>772</v>
      </c>
      <c r="D737" s="19" t="s">
        <v>121</v>
      </c>
      <c r="E737" s="21">
        <f t="shared" si="32"/>
        <v>70.230000000000004</v>
      </c>
      <c r="F737" s="22">
        <v>1.e-002</v>
      </c>
      <c r="G737" s="21">
        <f t="shared" si="33"/>
        <v>69.799999999999997</v>
      </c>
      <c r="H737" s="22">
        <v>1.e-002</v>
      </c>
      <c r="I737" s="23" t="str">
        <f t="shared" si="34"/>
        <v xml:space="preserve">COM VALOR</v>
      </c>
      <c r="J737" s="19"/>
      <c r="L737" s="21">
        <v>70.230000000000004</v>
      </c>
      <c r="M737" s="22">
        <v>1.e-002</v>
      </c>
      <c r="N737" s="21">
        <v>69.799999999999997</v>
      </c>
      <c r="O737" s="22">
        <v>1.e-002</v>
      </c>
    </row>
    <row r="738" ht="38.25">
      <c r="A738" t="s">
        <v>766</v>
      </c>
      <c r="B738" s="19">
        <v>94333</v>
      </c>
      <c r="C738" s="20" t="s">
        <v>773</v>
      </c>
      <c r="D738" s="19" t="s">
        <v>121</v>
      </c>
      <c r="E738" s="21">
        <f t="shared" si="32"/>
        <v>67.219999999999999</v>
      </c>
      <c r="F738" s="22">
        <v>1.e-002</v>
      </c>
      <c r="G738" s="21">
        <f t="shared" si="33"/>
        <v>66.819999999999993</v>
      </c>
      <c r="H738" s="22">
        <v>1.e-002</v>
      </c>
      <c r="I738" s="23" t="str">
        <f t="shared" si="34"/>
        <v xml:space="preserve">COM VALOR</v>
      </c>
      <c r="J738" s="19"/>
      <c r="L738" s="21">
        <v>67.219999999999999</v>
      </c>
      <c r="M738" s="22">
        <v>1.e-002</v>
      </c>
      <c r="N738" s="21">
        <v>66.819999999999993</v>
      </c>
      <c r="O738" s="22">
        <v>1.e-002</v>
      </c>
    </row>
    <row r="739" ht="51">
      <c r="A739" t="s">
        <v>766</v>
      </c>
      <c r="B739" s="19">
        <v>94310</v>
      </c>
      <c r="C739" s="20" t="s">
        <v>774</v>
      </c>
      <c r="D739" s="19" t="s">
        <v>121</v>
      </c>
      <c r="E739" s="21">
        <f t="shared" si="32"/>
        <v>68.280000000000001</v>
      </c>
      <c r="F739" s="22">
        <v>0.52000000000000002</v>
      </c>
      <c r="G739" s="21">
        <f t="shared" si="33"/>
        <v>67.879999999999995</v>
      </c>
      <c r="H739" s="22">
        <v>0.53000000000000003</v>
      </c>
      <c r="I739" s="23" t="str">
        <f t="shared" si="34"/>
        <v xml:space="preserve">COM VALOR</v>
      </c>
      <c r="J739" s="19"/>
      <c r="L739" s="21">
        <v>68.280000000000001</v>
      </c>
      <c r="M739" s="22">
        <v>0.80000000000000004</v>
      </c>
      <c r="N739" s="21">
        <v>67.879999999999995</v>
      </c>
      <c r="O739" s="22">
        <v>0.80000000000000004</v>
      </c>
    </row>
    <row r="740" ht="25.5">
      <c r="A740" t="s">
        <v>766</v>
      </c>
      <c r="B740" s="19">
        <v>104739</v>
      </c>
      <c r="C740" s="20" t="s">
        <v>775</v>
      </c>
      <c r="D740" s="19" t="s">
        <v>121</v>
      </c>
      <c r="E740" s="21">
        <f t="shared" si="32"/>
        <v>82.650000000000006</v>
      </c>
      <c r="F740" s="22">
        <v>2.e-002</v>
      </c>
      <c r="G740" s="21">
        <f t="shared" si="33"/>
        <v>81.810000000000002</v>
      </c>
      <c r="H740" s="22">
        <v>2.e-002</v>
      </c>
      <c r="I740" s="23" t="str">
        <f t="shared" si="34"/>
        <v xml:space="preserve">COM VALOR</v>
      </c>
      <c r="J740" s="19"/>
      <c r="L740" s="21">
        <v>82.650000000000006</v>
      </c>
      <c r="M740" s="22">
        <v>1.e-002</v>
      </c>
      <c r="N740" s="21">
        <v>81.810000000000002</v>
      </c>
      <c r="O740" s="22">
        <v>1.e-002</v>
      </c>
    </row>
    <row r="741" ht="25.5">
      <c r="A741" t="s">
        <v>766</v>
      </c>
      <c r="B741" s="19">
        <v>104738</v>
      </c>
      <c r="C741" s="20" t="s">
        <v>776</v>
      </c>
      <c r="D741" s="19" t="s">
        <v>121</v>
      </c>
      <c r="E741" s="21">
        <f t="shared" si="32"/>
        <v>83.709999999999994</v>
      </c>
      <c r="F741" s="22">
        <v>2.9999999999999999e-002</v>
      </c>
      <c r="G741" s="21">
        <f t="shared" si="33"/>
        <v>82.870000000000005</v>
      </c>
      <c r="H741" s="22">
        <v>2.9999999999999999e-002</v>
      </c>
      <c r="I741" s="23" t="str">
        <f t="shared" si="34"/>
        <v xml:space="preserve">COM VALOR</v>
      </c>
      <c r="J741" s="19"/>
      <c r="L741" s="21">
        <v>83.709999999999994</v>
      </c>
      <c r="M741" s="22">
        <v>0.65000000000000002</v>
      </c>
      <c r="N741" s="21">
        <v>82.870000000000005</v>
      </c>
      <c r="O741" s="22">
        <v>0.66000000000000003</v>
      </c>
    </row>
    <row r="742" ht="38.25">
      <c r="A742" t="s">
        <v>766</v>
      </c>
      <c r="B742" s="19">
        <v>94316</v>
      </c>
      <c r="C742" s="20" t="s">
        <v>777</v>
      </c>
      <c r="D742" s="19" t="s">
        <v>121</v>
      </c>
      <c r="E742" s="21">
        <f t="shared" si="32"/>
        <v>73.049999999999997</v>
      </c>
      <c r="F742" s="22">
        <v>2.9999999999999999e-002</v>
      </c>
      <c r="G742" s="21">
        <f t="shared" si="33"/>
        <v>72.459999999999994</v>
      </c>
      <c r="H742" s="22">
        <v>2.9999999999999999e-002</v>
      </c>
      <c r="I742" s="23" t="str">
        <f t="shared" si="34"/>
        <v xml:space="preserve">COM VALOR</v>
      </c>
      <c r="J742" s="19"/>
      <c r="L742" s="21">
        <v>73.049999999999997</v>
      </c>
      <c r="M742" s="22">
        <v>0.73999999999999999</v>
      </c>
      <c r="N742" s="21">
        <v>72.459999999999994</v>
      </c>
      <c r="O742" s="22">
        <v>0.75</v>
      </c>
    </row>
    <row r="743" ht="38.25">
      <c r="A743" t="s">
        <v>766</v>
      </c>
      <c r="B743" s="19">
        <v>94318</v>
      </c>
      <c r="C743" s="20" t="s">
        <v>778</v>
      </c>
      <c r="D743" s="19" t="s">
        <v>121</v>
      </c>
      <c r="E743" s="21">
        <f t="shared" si="32"/>
        <v>67.109999999999999</v>
      </c>
      <c r="F743" s="22">
        <v>4.0000000000000001e-002</v>
      </c>
      <c r="G743" s="21">
        <f t="shared" si="33"/>
        <v>66.719999999999999</v>
      </c>
      <c r="H743" s="22">
        <v>4.0000000000000001e-002</v>
      </c>
      <c r="I743" s="23" t="str">
        <f t="shared" si="34"/>
        <v xml:space="preserve">COM VALOR</v>
      </c>
      <c r="J743" s="19"/>
      <c r="L743" s="21">
        <v>67.109999999999999</v>
      </c>
      <c r="M743" s="22">
        <v>0.81000000000000005</v>
      </c>
      <c r="N743" s="21">
        <v>66.719999999999999</v>
      </c>
      <c r="O743" s="22">
        <v>0.81999999999999995</v>
      </c>
    </row>
    <row r="744" ht="38.25">
      <c r="A744" t="s">
        <v>766</v>
      </c>
      <c r="B744" s="19">
        <v>94339</v>
      </c>
      <c r="C744" s="20" t="s">
        <v>779</v>
      </c>
      <c r="D744" s="19" t="s">
        <v>121</v>
      </c>
      <c r="E744" s="21">
        <f t="shared" si="32"/>
        <v>71.989999999999995</v>
      </c>
      <c r="F744" s="22">
        <v>2.9999999999999999e-002</v>
      </c>
      <c r="G744" s="21">
        <f t="shared" si="33"/>
        <v>71.400000000000006</v>
      </c>
      <c r="H744" s="22">
        <v>2.9999999999999999e-002</v>
      </c>
      <c r="I744" s="23" t="str">
        <f t="shared" si="34"/>
        <v xml:space="preserve">COM VALOR</v>
      </c>
      <c r="J744" s="19"/>
      <c r="L744" s="21">
        <v>71.989999999999995</v>
      </c>
      <c r="M744" s="22">
        <v>1.e-002</v>
      </c>
      <c r="N744" s="21">
        <v>71.400000000000006</v>
      </c>
      <c r="O744" s="22">
        <v>1.e-002</v>
      </c>
    </row>
    <row r="745" ht="38.25">
      <c r="A745" t="s">
        <v>766</v>
      </c>
      <c r="B745" s="19">
        <v>94341</v>
      </c>
      <c r="C745" s="20" t="s">
        <v>780</v>
      </c>
      <c r="D745" s="19" t="s">
        <v>121</v>
      </c>
      <c r="E745" s="21">
        <f t="shared" si="32"/>
        <v>66.049999999999997</v>
      </c>
      <c r="F745" s="22">
        <v>2.9999999999999999e-002</v>
      </c>
      <c r="G745" s="21">
        <f t="shared" si="33"/>
        <v>65.659999999999997</v>
      </c>
      <c r="H745" s="22">
        <v>4.0000000000000001e-002</v>
      </c>
      <c r="I745" s="23" t="str">
        <f t="shared" si="34"/>
        <v xml:space="preserve">COM VALOR</v>
      </c>
      <c r="J745" s="19"/>
      <c r="L745" s="21">
        <v>66.049999999999997</v>
      </c>
      <c r="M745" s="22">
        <v>1.e-002</v>
      </c>
      <c r="N745" s="21">
        <v>65.659999999999997</v>
      </c>
      <c r="O745" s="22">
        <v>1.e-002</v>
      </c>
    </row>
    <row r="746" ht="12.75">
      <c r="A746" t="s">
        <v>766</v>
      </c>
      <c r="B746" s="19">
        <v>104742</v>
      </c>
      <c r="C746" s="20" t="s">
        <v>781</v>
      </c>
      <c r="D746" s="19" t="s">
        <v>29</v>
      </c>
      <c r="E746" s="21">
        <f t="shared" si="32"/>
        <v>8.3000000000000007</v>
      </c>
      <c r="F746" s="22">
        <v>2.9999999999999999e-002</v>
      </c>
      <c r="G746" s="21">
        <f t="shared" si="33"/>
        <v>8.1899999999999995</v>
      </c>
      <c r="H746" s="22">
        <v>4.0000000000000001e-002</v>
      </c>
      <c r="I746" s="23" t="str">
        <f t="shared" si="34"/>
        <v xml:space="preserve">COM VALOR</v>
      </c>
      <c r="J746" s="19"/>
      <c r="L746" s="21">
        <v>8.3000000000000007</v>
      </c>
      <c r="M746" s="22">
        <v>0.46000000000000002</v>
      </c>
      <c r="N746" s="21">
        <v>8.1899999999999995</v>
      </c>
      <c r="O746" s="22">
        <v>0.46999999999999997</v>
      </c>
    </row>
    <row r="747" ht="25.5">
      <c r="A747" t="s">
        <v>766</v>
      </c>
      <c r="B747" s="19">
        <v>93382</v>
      </c>
      <c r="C747" s="20" t="s">
        <v>782</v>
      </c>
      <c r="D747" s="19" t="s">
        <v>121</v>
      </c>
      <c r="E747" s="21">
        <f t="shared" si="32"/>
        <v>27.52</v>
      </c>
      <c r="F747" s="22">
        <v>5.0000000000000003e-002</v>
      </c>
      <c r="G747" s="21">
        <f t="shared" si="33"/>
        <v>26.190000000000001</v>
      </c>
      <c r="H747" s="22">
        <v>5.0000000000000003e-002</v>
      </c>
      <c r="I747" s="23" t="str">
        <f t="shared" si="34"/>
        <v xml:space="preserve">COM VALOR</v>
      </c>
      <c r="J747" s="19"/>
      <c r="L747" s="21">
        <v>27.52</v>
      </c>
      <c r="M747" s="22">
        <v>2.e-002</v>
      </c>
      <c r="N747" s="21">
        <v>26.190000000000001</v>
      </c>
      <c r="O747" s="22">
        <v>2.e-002</v>
      </c>
    </row>
    <row r="748" ht="12.75">
      <c r="A748" t="s">
        <v>766</v>
      </c>
      <c r="B748" s="19">
        <v>104737</v>
      </c>
      <c r="C748" s="20" t="s">
        <v>783</v>
      </c>
      <c r="D748" s="19" t="s">
        <v>121</v>
      </c>
      <c r="E748" s="21">
        <f t="shared" si="32"/>
        <v>22.93</v>
      </c>
      <c r="F748" s="22">
        <v>2.e-002</v>
      </c>
      <c r="G748" s="21">
        <f t="shared" si="33"/>
        <v>21.859999999999999</v>
      </c>
      <c r="H748" s="22">
        <v>2.e-002</v>
      </c>
      <c r="I748" s="23" t="str">
        <f t="shared" si="34"/>
        <v xml:space="preserve">COM VALOR</v>
      </c>
      <c r="J748" s="19"/>
      <c r="L748" s="21">
        <v>22.93</v>
      </c>
      <c r="M748" s="22">
        <v>2.e-002</v>
      </c>
      <c r="N748" s="21">
        <v>21.859999999999999</v>
      </c>
      <c r="O748" s="22">
        <v>2.9999999999999999e-002</v>
      </c>
    </row>
    <row r="749" ht="63.75">
      <c r="A749" t="s">
        <v>766</v>
      </c>
      <c r="B749" s="19">
        <v>93369</v>
      </c>
      <c r="C749" s="20" t="s">
        <v>784</v>
      </c>
      <c r="D749" s="19" t="s">
        <v>121</v>
      </c>
      <c r="E749" s="21">
        <f t="shared" si="32"/>
        <v>17.460000000000001</v>
      </c>
      <c r="F749" s="22">
        <v>2.9999999999999999e-002</v>
      </c>
      <c r="G749" s="21">
        <f t="shared" si="33"/>
        <v>17.030000000000001</v>
      </c>
      <c r="H749" s="22">
        <v>2.9999999999999999e-002</v>
      </c>
      <c r="I749" s="23" t="str">
        <f t="shared" si="34"/>
        <v xml:space="preserve">COM VALOR</v>
      </c>
      <c r="J749" s="19"/>
      <c r="L749" s="21">
        <v>17.460000000000001</v>
      </c>
      <c r="M749" s="22">
        <v>2.9999999999999999e-002</v>
      </c>
      <c r="N749" s="21">
        <v>17.030000000000001</v>
      </c>
      <c r="O749" s="22">
        <v>2.9999999999999999e-002</v>
      </c>
    </row>
    <row r="750" ht="63.75">
      <c r="A750" t="s">
        <v>766</v>
      </c>
      <c r="B750" s="19">
        <v>93373</v>
      </c>
      <c r="C750" s="20" t="s">
        <v>785</v>
      </c>
      <c r="D750" s="19" t="s">
        <v>121</v>
      </c>
      <c r="E750" s="21">
        <f t="shared" si="32"/>
        <v>14.449999999999999</v>
      </c>
      <c r="F750" s="22">
        <v>4.0000000000000001e-002</v>
      </c>
      <c r="G750" s="21">
        <f t="shared" si="33"/>
        <v>14.050000000000001</v>
      </c>
      <c r="H750" s="22">
        <v>4.0000000000000001e-002</v>
      </c>
      <c r="I750" s="23" t="str">
        <f t="shared" si="34"/>
        <v xml:space="preserve">COM VALOR</v>
      </c>
      <c r="J750" s="19"/>
      <c r="L750" s="21">
        <v>14.449999999999999</v>
      </c>
      <c r="M750" s="22">
        <v>4.0000000000000001e-002</v>
      </c>
      <c r="N750" s="21">
        <v>14.050000000000001</v>
      </c>
      <c r="O750" s="22">
        <v>4.0000000000000001e-002</v>
      </c>
    </row>
    <row r="751" ht="63.75">
      <c r="A751" t="s">
        <v>766</v>
      </c>
      <c r="B751" s="19">
        <v>93368</v>
      </c>
      <c r="C751" s="20" t="s">
        <v>786</v>
      </c>
      <c r="D751" s="19" t="s">
        <v>121</v>
      </c>
      <c r="E751" s="21">
        <f t="shared" si="32"/>
        <v>21.190000000000001</v>
      </c>
      <c r="F751" s="22">
        <v>5.9999999999999998e-002</v>
      </c>
      <c r="G751" s="21">
        <f t="shared" si="33"/>
        <v>20.690000000000001</v>
      </c>
      <c r="H751" s="22">
        <v>5.9999999999999998e-002</v>
      </c>
      <c r="I751" s="23" t="str">
        <f t="shared" si="34"/>
        <v xml:space="preserve">COM VALOR</v>
      </c>
      <c r="J751" s="19"/>
      <c r="L751" s="21">
        <v>21.190000000000001</v>
      </c>
      <c r="M751" s="22">
        <v>2.9999999999999999e-002</v>
      </c>
      <c r="N751" s="21">
        <v>20.690000000000001</v>
      </c>
      <c r="O751" s="22">
        <v>2.9999999999999999e-002</v>
      </c>
    </row>
    <row r="752" ht="51">
      <c r="A752" t="s">
        <v>766</v>
      </c>
      <c r="B752" s="19">
        <v>104729</v>
      </c>
      <c r="C752" s="20" t="s">
        <v>787</v>
      </c>
      <c r="D752" s="19" t="s">
        <v>121</v>
      </c>
      <c r="E752" s="21">
        <f t="shared" si="32"/>
        <v>17.010000000000002</v>
      </c>
      <c r="F752" s="22">
        <v>2.e-002</v>
      </c>
      <c r="G752" s="21">
        <f t="shared" si="33"/>
        <v>16.719999999999999</v>
      </c>
      <c r="H752" s="22">
        <v>2.e-002</v>
      </c>
      <c r="I752" s="23" t="str">
        <f t="shared" si="34"/>
        <v xml:space="preserve">COM VALOR</v>
      </c>
      <c r="J752" s="19"/>
      <c r="L752" s="21">
        <v>17.010000000000002</v>
      </c>
      <c r="M752" s="22">
        <v>2.9999999999999999e-002</v>
      </c>
      <c r="N752" s="21">
        <v>16.719999999999999</v>
      </c>
      <c r="O752" s="22">
        <v>2.9999999999999999e-002</v>
      </c>
    </row>
    <row r="753" ht="63.75">
      <c r="A753" t="s">
        <v>766</v>
      </c>
      <c r="B753" s="19">
        <v>93372</v>
      </c>
      <c r="C753" s="20" t="s">
        <v>788</v>
      </c>
      <c r="D753" s="19" t="s">
        <v>121</v>
      </c>
      <c r="E753" s="21">
        <f t="shared" si="32"/>
        <v>16.809999999999999</v>
      </c>
      <c r="F753" s="22">
        <v>2.e-002</v>
      </c>
      <c r="G753" s="21">
        <f t="shared" si="33"/>
        <v>16.370000000000001</v>
      </c>
      <c r="H753" s="22">
        <v>2.e-002</v>
      </c>
      <c r="I753" s="23" t="str">
        <f t="shared" si="34"/>
        <v xml:space="preserve">COM VALOR</v>
      </c>
      <c r="J753" s="19"/>
      <c r="L753" s="21">
        <v>16.809999999999999</v>
      </c>
      <c r="M753" s="22">
        <v>2.9999999999999999e-002</v>
      </c>
      <c r="N753" s="21">
        <v>16.370000000000001</v>
      </c>
      <c r="O753" s="22">
        <v>2.9999999999999999e-002</v>
      </c>
    </row>
    <row r="754" ht="51">
      <c r="A754" t="s">
        <v>766</v>
      </c>
      <c r="B754" s="19">
        <v>104731</v>
      </c>
      <c r="C754" s="20" t="s">
        <v>789</v>
      </c>
      <c r="D754" s="19" t="s">
        <v>121</v>
      </c>
      <c r="E754" s="21">
        <f t="shared" si="32"/>
        <v>12.65</v>
      </c>
      <c r="F754" s="22">
        <v>4.0000000000000001e-002</v>
      </c>
      <c r="G754" s="21">
        <f t="shared" si="33"/>
        <v>12.43</v>
      </c>
      <c r="H754" s="22">
        <v>4.0000000000000001e-002</v>
      </c>
      <c r="I754" s="23" t="str">
        <f t="shared" si="34"/>
        <v xml:space="preserve">COM VALOR</v>
      </c>
      <c r="J754" s="19"/>
      <c r="L754" s="21">
        <v>12.65</v>
      </c>
      <c r="M754" s="22">
        <v>4.0000000000000001e-002</v>
      </c>
      <c r="N754" s="21">
        <v>12.43</v>
      </c>
      <c r="O754" s="22">
        <v>5.0000000000000003e-002</v>
      </c>
    </row>
    <row r="755" ht="63.75">
      <c r="A755" t="s">
        <v>766</v>
      </c>
      <c r="B755" s="19">
        <v>93367</v>
      </c>
      <c r="C755" s="20" t="s">
        <v>790</v>
      </c>
      <c r="D755" s="19" t="s">
        <v>121</v>
      </c>
      <c r="E755" s="21">
        <f t="shared" si="32"/>
        <v>24.16</v>
      </c>
      <c r="F755" s="22">
        <v>2.9999999999999999e-002</v>
      </c>
      <c r="G755" s="21">
        <f t="shared" si="33"/>
        <v>23.59</v>
      </c>
      <c r="H755" s="22">
        <v>2.9999999999999999e-002</v>
      </c>
      <c r="I755" s="23" t="str">
        <f t="shared" si="34"/>
        <v xml:space="preserve">COM VALOR</v>
      </c>
      <c r="J755" s="19"/>
      <c r="L755" s="21">
        <v>24.16</v>
      </c>
      <c r="M755" s="22">
        <v>2.e-002</v>
      </c>
      <c r="N755" s="21">
        <v>23.59</v>
      </c>
      <c r="O755" s="22">
        <v>2.e-002</v>
      </c>
    </row>
    <row r="756" ht="51">
      <c r="A756" t="s">
        <v>766</v>
      </c>
      <c r="B756" s="19">
        <v>104728</v>
      </c>
      <c r="C756" s="20" t="s">
        <v>791</v>
      </c>
      <c r="D756" s="19" t="s">
        <v>121</v>
      </c>
      <c r="E756" s="21">
        <f t="shared" si="32"/>
        <v>19.960000000000001</v>
      </c>
      <c r="F756" s="22">
        <v>2.9999999999999999e-002</v>
      </c>
      <c r="G756" s="21">
        <f t="shared" si="33"/>
        <v>19.600000000000001</v>
      </c>
      <c r="H756" s="22">
        <v>4.0000000000000001e-002</v>
      </c>
      <c r="I756" s="23" t="str">
        <f t="shared" si="34"/>
        <v xml:space="preserve">COM VALOR</v>
      </c>
      <c r="J756" s="19"/>
      <c r="L756" s="21">
        <v>19.960000000000001</v>
      </c>
      <c r="M756" s="22">
        <v>2.9999999999999999e-002</v>
      </c>
      <c r="N756" s="21">
        <v>19.600000000000001</v>
      </c>
      <c r="O756" s="22">
        <v>2.9999999999999999e-002</v>
      </c>
    </row>
    <row r="757" ht="51">
      <c r="A757" t="s">
        <v>766</v>
      </c>
      <c r="B757" s="19">
        <v>104730</v>
      </c>
      <c r="C757" s="20" t="s">
        <v>792</v>
      </c>
      <c r="D757" s="19" t="s">
        <v>121</v>
      </c>
      <c r="E757" s="21">
        <f t="shared" si="32"/>
        <v>13.31</v>
      </c>
      <c r="F757" s="22">
        <v>2.e-002</v>
      </c>
      <c r="G757" s="21">
        <f t="shared" si="33"/>
        <v>13.09</v>
      </c>
      <c r="H757" s="22">
        <v>2.e-002</v>
      </c>
      <c r="I757" s="23" t="str">
        <f t="shared" si="34"/>
        <v xml:space="preserve">COM VALOR</v>
      </c>
      <c r="J757" s="19"/>
      <c r="L757" s="21">
        <v>13.31</v>
      </c>
      <c r="M757" s="22">
        <v>4.0000000000000001e-002</v>
      </c>
      <c r="N757" s="21">
        <v>13.09</v>
      </c>
      <c r="O757" s="22">
        <v>4.0000000000000001e-002</v>
      </c>
    </row>
    <row r="758" ht="51">
      <c r="A758" t="s">
        <v>766</v>
      </c>
      <c r="B758" s="19">
        <v>104732</v>
      </c>
      <c r="C758" s="20" t="s">
        <v>793</v>
      </c>
      <c r="D758" s="19" t="s">
        <v>121</v>
      </c>
      <c r="E758" s="21">
        <f t="shared" si="32"/>
        <v>10.300000000000001</v>
      </c>
      <c r="F758" s="22">
        <v>2.9999999999999999e-002</v>
      </c>
      <c r="G758" s="21">
        <f t="shared" si="33"/>
        <v>10.109999999999999</v>
      </c>
      <c r="H758" s="22">
        <v>2.9999999999999999e-002</v>
      </c>
      <c r="I758" s="23" t="str">
        <f t="shared" si="34"/>
        <v xml:space="preserve">COM VALOR</v>
      </c>
      <c r="J758" s="19"/>
      <c r="L758" s="21">
        <v>10.300000000000001</v>
      </c>
      <c r="M758" s="22">
        <v>5.0000000000000003e-002</v>
      </c>
      <c r="N758" s="21">
        <v>10.109999999999999</v>
      </c>
      <c r="O758" s="22">
        <v>5.9999999999999998e-002</v>
      </c>
    </row>
    <row r="759" ht="25.5">
      <c r="A759" t="s">
        <v>766</v>
      </c>
      <c r="B759" s="19">
        <v>104740</v>
      </c>
      <c r="C759" s="20" t="s">
        <v>794</v>
      </c>
      <c r="D759" s="19" t="s">
        <v>121</v>
      </c>
      <c r="E759" s="21">
        <f t="shared" si="32"/>
        <v>29.879999999999999</v>
      </c>
      <c r="F759" s="22">
        <v>5.0000000000000003e-002</v>
      </c>
      <c r="G759" s="21">
        <f t="shared" si="33"/>
        <v>29.039999999999999</v>
      </c>
      <c r="H759" s="22">
        <v>5.0000000000000003e-002</v>
      </c>
      <c r="I759" s="23" t="str">
        <f t="shared" si="34"/>
        <v xml:space="preserve">COM VALOR</v>
      </c>
      <c r="J759" s="19"/>
      <c r="L759" s="21">
        <v>29.879999999999999</v>
      </c>
      <c r="M759" s="22">
        <v>2.e-002</v>
      </c>
      <c r="N759" s="21">
        <v>29.039999999999999</v>
      </c>
      <c r="O759" s="22">
        <v>2.e-002</v>
      </c>
    </row>
    <row r="760" ht="25.5">
      <c r="A760" t="s">
        <v>766</v>
      </c>
      <c r="B760" s="19">
        <v>104741</v>
      </c>
      <c r="C760" s="20" t="s">
        <v>795</v>
      </c>
      <c r="D760" s="19" t="s">
        <v>121</v>
      </c>
      <c r="E760" s="21">
        <f t="shared" si="32"/>
        <v>25.289999999999999</v>
      </c>
      <c r="F760" s="22">
        <v>4.0000000000000001e-002</v>
      </c>
      <c r="G760" s="21">
        <f t="shared" si="33"/>
        <v>24.710000000000001</v>
      </c>
      <c r="H760" s="22">
        <v>4.0000000000000001e-002</v>
      </c>
      <c r="I760" s="23" t="str">
        <f t="shared" si="34"/>
        <v xml:space="preserve">COM VALOR</v>
      </c>
      <c r="J760" s="19"/>
      <c r="L760" s="21">
        <v>25.289999999999999</v>
      </c>
      <c r="M760" s="22">
        <v>2.e-002</v>
      </c>
      <c r="N760" s="21">
        <v>24.710000000000001</v>
      </c>
      <c r="O760" s="22">
        <v>2.e-002</v>
      </c>
    </row>
    <row r="761" ht="63.75">
      <c r="A761" t="s">
        <v>766</v>
      </c>
      <c r="B761" s="19">
        <v>93381</v>
      </c>
      <c r="C761" s="20" t="s">
        <v>796</v>
      </c>
      <c r="D761" s="19" t="s">
        <v>121</v>
      </c>
      <c r="E761" s="21">
        <f t="shared" si="32"/>
        <v>13.279999999999999</v>
      </c>
      <c r="F761" s="22">
        <v>5.9999999999999998e-002</v>
      </c>
      <c r="G761" s="21">
        <f t="shared" si="33"/>
        <v>12.890000000000001</v>
      </c>
      <c r="H761" s="22">
        <v>5.9999999999999998e-002</v>
      </c>
      <c r="I761" s="23" t="str">
        <f t="shared" si="34"/>
        <v xml:space="preserve">COM VALOR</v>
      </c>
      <c r="J761" s="19"/>
      <c r="L761" s="21">
        <v>13.279999999999999</v>
      </c>
      <c r="M761" s="22">
        <v>4.0000000000000001e-002</v>
      </c>
      <c r="N761" s="21">
        <v>12.890000000000001</v>
      </c>
      <c r="O761" s="22">
        <v>4.0000000000000001e-002</v>
      </c>
    </row>
    <row r="762" ht="63.75">
      <c r="A762" t="s">
        <v>766</v>
      </c>
      <c r="B762" s="19">
        <v>93379</v>
      </c>
      <c r="C762" s="20" t="s">
        <v>797</v>
      </c>
      <c r="D762" s="19" t="s">
        <v>121</v>
      </c>
      <c r="E762" s="21">
        <f t="shared" si="32"/>
        <v>19.219999999999999</v>
      </c>
      <c r="F762" s="22">
        <v>4.0000000000000001e-002</v>
      </c>
      <c r="G762" s="21">
        <f t="shared" si="33"/>
        <v>18.629999999999999</v>
      </c>
      <c r="H762" s="22">
        <v>4.0000000000000001e-002</v>
      </c>
      <c r="I762" s="23" t="str">
        <f t="shared" si="34"/>
        <v xml:space="preserve">COM VALOR</v>
      </c>
      <c r="J762" s="19"/>
      <c r="L762" s="21">
        <v>19.219999999999999</v>
      </c>
      <c r="M762" s="22">
        <v>2.9999999999999999e-002</v>
      </c>
      <c r="N762" s="21">
        <v>18.629999999999999</v>
      </c>
      <c r="O762" s="22">
        <v>2.9999999999999999e-002</v>
      </c>
    </row>
    <row r="763" ht="63.75">
      <c r="A763" t="s">
        <v>766</v>
      </c>
      <c r="B763" s="19">
        <v>93380</v>
      </c>
      <c r="C763" s="20" t="s">
        <v>798</v>
      </c>
      <c r="D763" s="19" t="s">
        <v>121</v>
      </c>
      <c r="E763" s="21">
        <f t="shared" si="32"/>
        <v>16.370000000000001</v>
      </c>
      <c r="F763" s="22">
        <v>2.9999999999999999e-002</v>
      </c>
      <c r="G763" s="21">
        <f t="shared" si="33"/>
        <v>15.880000000000001</v>
      </c>
      <c r="H763" s="22">
        <v>2.9999999999999999e-002</v>
      </c>
      <c r="I763" s="23" t="str">
        <f t="shared" si="34"/>
        <v xml:space="preserve">COM VALOR</v>
      </c>
      <c r="J763" s="19"/>
      <c r="L763" s="21">
        <v>16.370000000000001</v>
      </c>
      <c r="M763" s="22">
        <v>2.9999999999999999e-002</v>
      </c>
      <c r="N763" s="21">
        <v>15.880000000000001</v>
      </c>
      <c r="O763" s="22">
        <v>4.0000000000000001e-002</v>
      </c>
    </row>
    <row r="764" ht="63.75">
      <c r="A764" t="s">
        <v>766</v>
      </c>
      <c r="B764" s="19">
        <v>93378</v>
      </c>
      <c r="C764" s="20" t="s">
        <v>799</v>
      </c>
      <c r="D764" s="19" t="s">
        <v>121</v>
      </c>
      <c r="E764" s="21">
        <f t="shared" si="32"/>
        <v>24.969999999999999</v>
      </c>
      <c r="F764" s="22">
        <v>2.9999999999999999e-002</v>
      </c>
      <c r="G764" s="21">
        <f t="shared" si="33"/>
        <v>24.219999999999999</v>
      </c>
      <c r="H764" s="22">
        <v>2.9999999999999999e-002</v>
      </c>
      <c r="I764" s="23" t="str">
        <f t="shared" si="34"/>
        <v xml:space="preserve">COM VALOR</v>
      </c>
      <c r="J764" s="19"/>
      <c r="L764" s="21">
        <v>24.969999999999999</v>
      </c>
      <c r="M764" s="22">
        <v>2.e-002</v>
      </c>
      <c r="N764" s="21">
        <v>24.219999999999999</v>
      </c>
      <c r="O764" s="22">
        <v>2.e-002</v>
      </c>
    </row>
    <row r="765" ht="51">
      <c r="A765" t="s">
        <v>766</v>
      </c>
      <c r="B765" s="19">
        <v>104733</v>
      </c>
      <c r="C765" s="20" t="s">
        <v>800</v>
      </c>
      <c r="D765" s="19" t="s">
        <v>121</v>
      </c>
      <c r="E765" s="21">
        <f t="shared" si="32"/>
        <v>20.379999999999999</v>
      </c>
      <c r="F765" s="22">
        <v>5.0000000000000003e-002</v>
      </c>
      <c r="G765" s="21">
        <f t="shared" si="33"/>
        <v>19.890000000000001</v>
      </c>
      <c r="H765" s="22">
        <v>5.0000000000000003e-002</v>
      </c>
      <c r="I765" s="23" t="str">
        <f t="shared" si="34"/>
        <v xml:space="preserve">COM VALOR</v>
      </c>
      <c r="J765" s="19"/>
      <c r="L765" s="21">
        <v>20.379999999999999</v>
      </c>
      <c r="M765" s="22">
        <v>2.75e-002</v>
      </c>
      <c r="N765" s="21">
        <v>19.890000000000001</v>
      </c>
      <c r="O765" s="22">
        <v>2.9999999999999999e-002</v>
      </c>
    </row>
    <row r="766" ht="51">
      <c r="A766" t="s">
        <v>766</v>
      </c>
      <c r="B766" s="19">
        <v>104735</v>
      </c>
      <c r="C766" s="20" t="s">
        <v>801</v>
      </c>
      <c r="D766" s="19" t="s">
        <v>121</v>
      </c>
      <c r="E766" s="21">
        <f t="shared" si="32"/>
        <v>12.119999999999999</v>
      </c>
      <c r="F766" s="22">
        <v>4.0000000000000001e-002</v>
      </c>
      <c r="G766" s="21">
        <f t="shared" si="33"/>
        <v>11.85</v>
      </c>
      <c r="H766" s="22">
        <v>4.0000000000000001e-002</v>
      </c>
      <c r="I766" s="23" t="str">
        <f t="shared" si="34"/>
        <v xml:space="preserve">COM VALOR</v>
      </c>
      <c r="J766" s="19"/>
      <c r="L766" s="21">
        <v>12.119999999999999</v>
      </c>
      <c r="M766" s="22">
        <v>5.0000000000000003e-002</v>
      </c>
      <c r="N766" s="21">
        <v>11.85</v>
      </c>
      <c r="O766" s="22">
        <v>5.0000000000000003e-002</v>
      </c>
    </row>
    <row r="767" ht="51">
      <c r="A767" t="s">
        <v>766</v>
      </c>
      <c r="B767" s="19">
        <v>104734</v>
      </c>
      <c r="C767" s="20" t="s">
        <v>802</v>
      </c>
      <c r="D767" s="19" t="s">
        <v>121</v>
      </c>
      <c r="E767" s="21">
        <f t="shared" si="32"/>
        <v>14.83</v>
      </c>
      <c r="F767" s="22">
        <v>4.0000000000000001e-002</v>
      </c>
      <c r="G767" s="21">
        <f t="shared" si="33"/>
        <v>14.470000000000001</v>
      </c>
      <c r="H767" s="22">
        <v>4.0000000000000001e-002</v>
      </c>
      <c r="I767" s="23" t="str">
        <f t="shared" si="34"/>
        <v xml:space="preserve">COM VALOR</v>
      </c>
      <c r="J767" s="19"/>
      <c r="L767" s="21">
        <v>14.83</v>
      </c>
      <c r="M767" s="22">
        <v>4.0000000000000001e-002</v>
      </c>
      <c r="N767" s="21">
        <v>14.470000000000001</v>
      </c>
      <c r="O767" s="22">
        <v>4.0000000000000001e-002</v>
      </c>
    </row>
    <row r="768" ht="63.75">
      <c r="A768" t="s">
        <v>766</v>
      </c>
      <c r="B768" s="19">
        <v>104736</v>
      </c>
      <c r="C768" s="20" t="s">
        <v>803</v>
      </c>
      <c r="D768" s="19" t="s">
        <v>121</v>
      </c>
      <c r="E768" s="21">
        <f t="shared" si="32"/>
        <v>9.1099999999999994</v>
      </c>
      <c r="F768" s="22">
        <v>2.e-002</v>
      </c>
      <c r="G768" s="21">
        <f t="shared" si="33"/>
        <v>8.9199999999999999</v>
      </c>
      <c r="H768" s="22">
        <v>2.e-002</v>
      </c>
      <c r="I768" s="23" t="str">
        <f t="shared" si="34"/>
        <v xml:space="preserve">COM VALOR</v>
      </c>
      <c r="J768" s="19"/>
      <c r="L768" s="21">
        <v>9.1099999999999994</v>
      </c>
      <c r="M768" s="22">
        <v>5.9999999999999998e-002</v>
      </c>
      <c r="N768" s="21">
        <v>8.9199999999999999</v>
      </c>
      <c r="O768" s="22">
        <v>5.9999999999999998e-002</v>
      </c>
    </row>
    <row r="769" ht="38.25">
      <c r="A769" t="s">
        <v>804</v>
      </c>
      <c r="B769" s="19">
        <v>105732</v>
      </c>
      <c r="C769" s="20" t="s">
        <v>805</v>
      </c>
      <c r="D769" s="19" t="s">
        <v>121</v>
      </c>
      <c r="E769" s="21">
        <f t="shared" si="32"/>
        <v>252.62</v>
      </c>
      <c r="F769" s="22">
        <v>2.e-002</v>
      </c>
      <c r="G769" s="21">
        <f t="shared" si="33"/>
        <v>252.03999999999999</v>
      </c>
      <c r="H769" s="22">
        <v>2.e-002</v>
      </c>
      <c r="I769" s="23" t="str">
        <f t="shared" si="34"/>
        <v xml:space="preserve">COM VALOR</v>
      </c>
      <c r="J769" s="19"/>
      <c r="L769" s="21">
        <v>252.62</v>
      </c>
      <c r="M769" s="22">
        <v>4.0000000000000001e-002</v>
      </c>
      <c r="N769" s="21">
        <v>252.03999999999999</v>
      </c>
      <c r="O769" s="22">
        <v>4.0000000000000001e-002</v>
      </c>
    </row>
    <row r="770" ht="38.25">
      <c r="A770" t="s">
        <v>804</v>
      </c>
      <c r="B770" s="19">
        <v>96397</v>
      </c>
      <c r="C770" s="20" t="s">
        <v>806</v>
      </c>
      <c r="D770" s="19" t="s">
        <v>121</v>
      </c>
      <c r="E770" s="21">
        <f t="shared" si="32"/>
        <v>248.12</v>
      </c>
      <c r="F770" s="22">
        <v>2.e-002</v>
      </c>
      <c r="G770" s="21">
        <f t="shared" si="33"/>
        <v>247.59999999999999</v>
      </c>
      <c r="H770" s="22">
        <v>2.e-002</v>
      </c>
      <c r="I770" s="23" t="str">
        <f t="shared" si="34"/>
        <v xml:space="preserve">COM VALOR</v>
      </c>
      <c r="J770" s="19"/>
      <c r="L770" s="21">
        <v>248.12</v>
      </c>
      <c r="M770" s="22">
        <v>2.9999999999999999e-002</v>
      </c>
      <c r="N770" s="21">
        <v>247.59999999999999</v>
      </c>
      <c r="O770" s="22">
        <v>2.9999999999999999e-002</v>
      </c>
    </row>
    <row r="771" ht="38.25">
      <c r="A771" t="s">
        <v>804</v>
      </c>
      <c r="B771" s="19">
        <v>105735</v>
      </c>
      <c r="C771" s="20" t="s">
        <v>807</v>
      </c>
      <c r="D771" s="19" t="s">
        <v>121</v>
      </c>
      <c r="E771" s="21">
        <f t="shared" si="32"/>
        <v>245.83000000000001</v>
      </c>
      <c r="F771" s="22">
        <v>2.e-002</v>
      </c>
      <c r="G771" s="21">
        <f t="shared" si="33"/>
        <v>245.34999999999999</v>
      </c>
      <c r="H771" s="22">
        <v>2.e-002</v>
      </c>
      <c r="I771" s="23" t="str">
        <f t="shared" si="34"/>
        <v xml:space="preserve">COM VALOR</v>
      </c>
      <c r="J771" s="19"/>
      <c r="L771" s="21">
        <v>245.83000000000001</v>
      </c>
      <c r="M771" s="22">
        <v>2.9999999999999999e-002</v>
      </c>
      <c r="N771" s="21">
        <v>245.34999999999999</v>
      </c>
      <c r="O771" s="22">
        <v>2.9999999999999999e-002</v>
      </c>
    </row>
    <row r="772" ht="38.25">
      <c r="A772" t="s">
        <v>804</v>
      </c>
      <c r="B772" s="19">
        <v>105727</v>
      </c>
      <c r="C772" s="20" t="s">
        <v>808</v>
      </c>
      <c r="D772" s="19" t="s">
        <v>121</v>
      </c>
      <c r="E772" s="21">
        <f t="shared" si="32"/>
        <v>179.81999999999999</v>
      </c>
      <c r="F772" s="22">
        <v>2.e-002</v>
      </c>
      <c r="G772" s="21">
        <f t="shared" si="33"/>
        <v>179.25999999999999</v>
      </c>
      <c r="H772" s="22">
        <v>2.e-002</v>
      </c>
      <c r="I772" s="23" t="str">
        <f t="shared" si="34"/>
        <v xml:space="preserve">COM VALOR</v>
      </c>
      <c r="J772" s="19"/>
      <c r="L772" s="21">
        <v>179.81999999999999</v>
      </c>
      <c r="M772" s="22">
        <v>5.0000000000000003e-002</v>
      </c>
      <c r="N772" s="21">
        <v>179.25999999999999</v>
      </c>
      <c r="O772" s="22">
        <v>5.0000000000000003e-002</v>
      </c>
    </row>
    <row r="773" ht="38.25">
      <c r="A773" t="s">
        <v>804</v>
      </c>
      <c r="B773" s="19">
        <v>96396</v>
      </c>
      <c r="C773" s="20" t="s">
        <v>809</v>
      </c>
      <c r="D773" s="19" t="s">
        <v>121</v>
      </c>
      <c r="E773" s="21">
        <f t="shared" si="32"/>
        <v>176.31</v>
      </c>
      <c r="F773" s="22">
        <v>2.e-002</v>
      </c>
      <c r="G773" s="21">
        <f t="shared" si="33"/>
        <v>175.81</v>
      </c>
      <c r="H773" s="22">
        <v>2.e-002</v>
      </c>
      <c r="I773" s="23" t="str">
        <f t="shared" si="34"/>
        <v xml:space="preserve">COM VALOR</v>
      </c>
      <c r="J773" s="19"/>
      <c r="L773" s="21">
        <v>176.31</v>
      </c>
      <c r="M773" s="22">
        <v>4.0000000000000001e-002</v>
      </c>
      <c r="N773" s="21">
        <v>175.81</v>
      </c>
      <c r="O773" s="22">
        <v>4.0000000000000001e-002</v>
      </c>
    </row>
    <row r="774" ht="38.25">
      <c r="A774" t="s">
        <v>804</v>
      </c>
      <c r="B774" s="19">
        <v>105730</v>
      </c>
      <c r="C774" s="20" t="s">
        <v>810</v>
      </c>
      <c r="D774" s="19" t="s">
        <v>121</v>
      </c>
      <c r="E774" s="21">
        <f t="shared" si="32"/>
        <v>174.53999999999999</v>
      </c>
      <c r="F774" s="22">
        <v>2.e-002</v>
      </c>
      <c r="G774" s="21">
        <f t="shared" si="33"/>
        <v>174.09</v>
      </c>
      <c r="H774" s="22">
        <v>2.e-002</v>
      </c>
      <c r="I774" s="23" t="str">
        <f t="shared" si="34"/>
        <v xml:space="preserve">COM VALOR</v>
      </c>
      <c r="J774" s="19"/>
      <c r="L774" s="21">
        <v>174.53999999999999</v>
      </c>
      <c r="M774" s="22">
        <v>4.0000000000000001e-002</v>
      </c>
      <c r="N774" s="21">
        <v>174.09</v>
      </c>
      <c r="O774" s="22">
        <v>4.0000000000000001e-002</v>
      </c>
    </row>
    <row r="775" ht="38.25">
      <c r="A775" t="s">
        <v>804</v>
      </c>
      <c r="B775" s="19">
        <v>105737</v>
      </c>
      <c r="C775" s="20" t="s">
        <v>811</v>
      </c>
      <c r="D775" s="19" t="s">
        <v>121</v>
      </c>
      <c r="E775" s="21">
        <f t="shared" si="32"/>
        <v>346.30000000000001</v>
      </c>
      <c r="F775" s="22">
        <v>4.0000000000000001e-002</v>
      </c>
      <c r="G775" s="21">
        <f t="shared" si="33"/>
        <v>345.61000000000001</v>
      </c>
      <c r="H775" s="22">
        <v>4.0000000000000001e-002</v>
      </c>
      <c r="I775" s="23" t="str">
        <f t="shared" si="34"/>
        <v xml:space="preserve">COM VALOR</v>
      </c>
      <c r="J775" s="19"/>
      <c r="L775" s="21">
        <v>346.30000000000001</v>
      </c>
      <c r="M775" s="22">
        <v>2.e-002</v>
      </c>
      <c r="N775" s="21">
        <v>345.61000000000001</v>
      </c>
      <c r="O775" s="22">
        <v>2.e-002</v>
      </c>
    </row>
    <row r="776" ht="38.25">
      <c r="A776" t="s">
        <v>804</v>
      </c>
      <c r="B776" s="19">
        <v>96398</v>
      </c>
      <c r="C776" s="20" t="s">
        <v>812</v>
      </c>
      <c r="D776" s="19" t="s">
        <v>121</v>
      </c>
      <c r="E776" s="21">
        <f t="shared" si="32"/>
        <v>342.88999999999999</v>
      </c>
      <c r="F776" s="22">
        <v>4.0000000000000001e-002</v>
      </c>
      <c r="G776" s="21">
        <f t="shared" si="33"/>
        <v>342.26999999999998</v>
      </c>
      <c r="H776" s="22">
        <v>4.0000000000000001e-002</v>
      </c>
      <c r="I776" s="23" t="str">
        <f t="shared" si="34"/>
        <v xml:space="preserve">COM VALOR</v>
      </c>
      <c r="J776" s="19"/>
      <c r="L776" s="21">
        <v>342.88999999999999</v>
      </c>
      <c r="M776" s="22">
        <v>2.e-002</v>
      </c>
      <c r="N776" s="21">
        <v>342.26999999999998</v>
      </c>
      <c r="O776" s="22">
        <v>2.e-002</v>
      </c>
    </row>
    <row r="777" ht="38.25">
      <c r="A777" t="s">
        <v>804</v>
      </c>
      <c r="B777" s="19">
        <v>105740</v>
      </c>
      <c r="C777" s="20" t="s">
        <v>813</v>
      </c>
      <c r="D777" s="19" t="s">
        <v>121</v>
      </c>
      <c r="E777" s="21">
        <f t="shared" si="32"/>
        <v>341.06999999999999</v>
      </c>
      <c r="F777" s="22">
        <v>4.0000000000000001e-002</v>
      </c>
      <c r="G777" s="21">
        <f t="shared" si="33"/>
        <v>340.5</v>
      </c>
      <c r="H777" s="22">
        <v>4.0000000000000001e-002</v>
      </c>
      <c r="I777" s="23" t="str">
        <f t="shared" si="34"/>
        <v xml:space="preserve">COM VALOR</v>
      </c>
      <c r="J777" s="19"/>
      <c r="L777" s="21">
        <v>341.06999999999999</v>
      </c>
      <c r="M777" s="22">
        <v>2.e-002</v>
      </c>
      <c r="N777" s="21">
        <v>340.5</v>
      </c>
      <c r="O777" s="22">
        <v>2.e-002</v>
      </c>
    </row>
    <row r="778" ht="38.25">
      <c r="A778" t="s">
        <v>804</v>
      </c>
      <c r="B778" s="19">
        <v>105749</v>
      </c>
      <c r="C778" s="20" t="s">
        <v>814</v>
      </c>
      <c r="D778" s="19" t="s">
        <v>121</v>
      </c>
      <c r="E778" s="21">
        <f t="shared" si="32"/>
        <v>161.44999999999999</v>
      </c>
      <c r="F778" s="22">
        <v>2.9999999999999999e-002</v>
      </c>
      <c r="G778" s="21">
        <f t="shared" si="33"/>
        <v>160.84</v>
      </c>
      <c r="H778" s="22">
        <v>2.9999999999999999e-002</v>
      </c>
      <c r="I778" s="23" t="str">
        <f t="shared" si="34"/>
        <v xml:space="preserve">COM VALOR</v>
      </c>
      <c r="J778" s="19"/>
      <c r="L778" s="21">
        <v>161.44999999999999</v>
      </c>
      <c r="M778" s="22">
        <v>2.e-002</v>
      </c>
      <c r="N778" s="21">
        <v>160.84</v>
      </c>
      <c r="O778" s="22">
        <v>2.e-002</v>
      </c>
    </row>
    <row r="779" ht="38.25">
      <c r="A779" t="s">
        <v>804</v>
      </c>
      <c r="B779" s="19">
        <v>96400</v>
      </c>
      <c r="C779" s="20" t="s">
        <v>815</v>
      </c>
      <c r="D779" s="19" t="s">
        <v>121</v>
      </c>
      <c r="E779" s="21">
        <f t="shared" ref="E779:E842" si="35">IF(L779=0,"VERIFICAR",L779)</f>
        <v>159.56999999999999</v>
      </c>
      <c r="F779" s="22">
        <v>5.9999999999999998e-002</v>
      </c>
      <c r="G779" s="21">
        <f t="shared" ref="G779:G842" si="36">IF(N779=0,"VERIFICAR",N779)</f>
        <v>158.97999999999999</v>
      </c>
      <c r="H779" s="22">
        <v>5.9999999999999998e-002</v>
      </c>
      <c r="I779" s="23" t="str">
        <f t="shared" ref="I779:I842" si="37">IF(OR(E779=0,G779=0),"SEM VALOR","COM VALOR")</f>
        <v xml:space="preserve">COM VALOR</v>
      </c>
      <c r="J779" s="19"/>
      <c r="L779" s="21">
        <v>159.56999999999999</v>
      </c>
      <c r="M779" s="22">
        <v>2.e-002</v>
      </c>
      <c r="N779" s="21">
        <v>158.97999999999999</v>
      </c>
      <c r="O779" s="22">
        <v>2.e-002</v>
      </c>
    </row>
    <row r="780" ht="38.25">
      <c r="A780" t="s">
        <v>804</v>
      </c>
      <c r="B780" s="19">
        <v>105752</v>
      </c>
      <c r="C780" s="20" t="s">
        <v>816</v>
      </c>
      <c r="D780" s="19" t="s">
        <v>121</v>
      </c>
      <c r="E780" s="21">
        <f t="shared" si="35"/>
        <v>157.90000000000001</v>
      </c>
      <c r="F780" s="22">
        <v>5.0000000000000003e-002</v>
      </c>
      <c r="G780" s="21">
        <f t="shared" si="36"/>
        <v>157.34999999999999</v>
      </c>
      <c r="H780" s="22">
        <v>5.0000000000000003e-002</v>
      </c>
      <c r="I780" s="23" t="str">
        <f t="shared" si="37"/>
        <v xml:space="preserve">COM VALOR</v>
      </c>
      <c r="J780" s="19"/>
      <c r="L780" s="21">
        <v>157.90000000000001</v>
      </c>
      <c r="M780" s="22">
        <v>2.e-002</v>
      </c>
      <c r="N780" s="21">
        <v>157.34999999999999</v>
      </c>
      <c r="O780" s="22">
        <v>2.e-002</v>
      </c>
    </row>
    <row r="781" ht="38.25">
      <c r="A781" t="s">
        <v>804</v>
      </c>
      <c r="B781" s="19">
        <v>105754</v>
      </c>
      <c r="C781" s="20" t="s">
        <v>817</v>
      </c>
      <c r="D781" s="19" t="s">
        <v>121</v>
      </c>
      <c r="E781" s="21">
        <f t="shared" si="35"/>
        <v>156.34</v>
      </c>
      <c r="F781" s="22">
        <v>4.0000000000000001e-002</v>
      </c>
      <c r="G781" s="21">
        <f t="shared" si="36"/>
        <v>155.81</v>
      </c>
      <c r="H781" s="22">
        <v>4.0000000000000001e-002</v>
      </c>
      <c r="I781" s="23" t="str">
        <f t="shared" si="37"/>
        <v xml:space="preserve">COM VALOR</v>
      </c>
      <c r="J781" s="19"/>
      <c r="L781" s="21">
        <v>156.34</v>
      </c>
      <c r="M781" s="22">
        <v>2.e-002</v>
      </c>
      <c r="N781" s="21">
        <v>155.81</v>
      </c>
      <c r="O781" s="22">
        <v>2.e-002</v>
      </c>
    </row>
    <row r="782" ht="38.25">
      <c r="A782" t="s">
        <v>804</v>
      </c>
      <c r="B782" s="19">
        <v>105742</v>
      </c>
      <c r="C782" s="20" t="s">
        <v>818</v>
      </c>
      <c r="D782" s="19" t="s">
        <v>121</v>
      </c>
      <c r="E782" s="21">
        <f t="shared" si="35"/>
        <v>122.16</v>
      </c>
      <c r="F782" s="22"/>
      <c r="G782" s="21">
        <f t="shared" si="36"/>
        <v>121.73999999999999</v>
      </c>
      <c r="H782" s="22"/>
      <c r="I782" s="23" t="str">
        <f t="shared" si="37"/>
        <v xml:space="preserve">COM VALOR</v>
      </c>
      <c r="J782" s="19"/>
      <c r="L782" s="21">
        <v>122.16</v>
      </c>
      <c r="M782" s="22">
        <v>4.0000000000000001e-002</v>
      </c>
      <c r="N782" s="21">
        <v>121.73999999999999</v>
      </c>
      <c r="O782" s="22">
        <v>4.0000000000000001e-002</v>
      </c>
    </row>
    <row r="783" ht="38.25">
      <c r="A783" t="s">
        <v>804</v>
      </c>
      <c r="B783" s="19">
        <v>96399</v>
      </c>
      <c r="C783" s="20" t="s">
        <v>819</v>
      </c>
      <c r="D783" s="19" t="s">
        <v>121</v>
      </c>
      <c r="E783" s="21">
        <f t="shared" si="35"/>
        <v>120.56999999999999</v>
      </c>
      <c r="F783" s="22"/>
      <c r="G783" s="21">
        <f t="shared" si="36"/>
        <v>120.18000000000001</v>
      </c>
      <c r="H783" s="22"/>
      <c r="I783" s="23" t="str">
        <f t="shared" si="37"/>
        <v xml:space="preserve">COM VALOR</v>
      </c>
      <c r="J783" s="19"/>
      <c r="L783" s="21">
        <v>120.56999999999999</v>
      </c>
      <c r="M783" s="22">
        <v>4.0000000000000001e-002</v>
      </c>
      <c r="N783" s="21">
        <v>120.18000000000001</v>
      </c>
      <c r="O783" s="22">
        <v>4.0000000000000001e-002</v>
      </c>
    </row>
    <row r="784" ht="38.25">
      <c r="A784" t="s">
        <v>804</v>
      </c>
      <c r="B784" s="19">
        <v>105745</v>
      </c>
      <c r="C784" s="20" t="s">
        <v>820</v>
      </c>
      <c r="D784" s="19" t="s">
        <v>121</v>
      </c>
      <c r="E784" s="21">
        <f t="shared" si="35"/>
        <v>118.97</v>
      </c>
      <c r="F784" s="22"/>
      <c r="G784" s="21">
        <f t="shared" si="36"/>
        <v>118.63</v>
      </c>
      <c r="H784" s="22"/>
      <c r="I784" s="23" t="str">
        <f t="shared" si="37"/>
        <v xml:space="preserve">COM VALOR</v>
      </c>
      <c r="J784" s="19"/>
      <c r="L784" s="21">
        <v>118.97</v>
      </c>
      <c r="M784" s="22">
        <v>2.9999999999999999e-002</v>
      </c>
      <c r="N784" s="21">
        <v>118.63</v>
      </c>
      <c r="O784" s="22">
        <v>2.9999999999999999e-002</v>
      </c>
    </row>
    <row r="785" ht="38.25">
      <c r="A785" t="s">
        <v>804</v>
      </c>
      <c r="B785" s="19">
        <v>105747</v>
      </c>
      <c r="C785" s="20" t="s">
        <v>821</v>
      </c>
      <c r="D785" s="19" t="s">
        <v>121</v>
      </c>
      <c r="E785" s="21">
        <f t="shared" si="35"/>
        <v>117.37</v>
      </c>
      <c r="F785" s="22">
        <v>5.0000000000000003e-002</v>
      </c>
      <c r="G785" s="21">
        <f t="shared" si="36"/>
        <v>117.06999999999999</v>
      </c>
      <c r="H785" s="22">
        <v>5.0000000000000003e-002</v>
      </c>
      <c r="I785" s="23" t="str">
        <f t="shared" si="37"/>
        <v xml:space="preserve">COM VALOR</v>
      </c>
      <c r="J785" s="19"/>
      <c r="L785" s="21">
        <v>117.37</v>
      </c>
      <c r="M785" s="22">
        <v>2.9999999999999999e-002</v>
      </c>
      <c r="N785" s="21">
        <v>117.06999999999999</v>
      </c>
      <c r="O785" s="22">
        <v>2.9999999999999999e-002</v>
      </c>
    </row>
    <row r="786" ht="51">
      <c r="A786" t="s">
        <v>804</v>
      </c>
      <c r="B786" s="19">
        <v>105657</v>
      </c>
      <c r="C786" s="20" t="s">
        <v>822</v>
      </c>
      <c r="D786" s="19" t="s">
        <v>121</v>
      </c>
      <c r="E786" s="21">
        <f t="shared" si="35"/>
        <v>188.40000000000001</v>
      </c>
      <c r="F786" s="22">
        <v>4.0000000000000001e-002</v>
      </c>
      <c r="G786" s="21">
        <f t="shared" si="36"/>
        <v>187.59</v>
      </c>
      <c r="H786" s="22">
        <v>4.0000000000000001e-002</v>
      </c>
      <c r="I786" s="23" t="str">
        <f t="shared" si="37"/>
        <v xml:space="preserve">COM VALOR</v>
      </c>
      <c r="J786" s="19"/>
      <c r="L786" s="21">
        <v>188.40000000000001</v>
      </c>
      <c r="M786" s="22">
        <v>5.0000000000000003e-002</v>
      </c>
      <c r="N786" s="21">
        <v>187.59</v>
      </c>
      <c r="O786" s="22">
        <v>5.0000000000000003e-002</v>
      </c>
    </row>
    <row r="787" ht="51">
      <c r="A787" t="s">
        <v>804</v>
      </c>
      <c r="B787" s="19">
        <v>100566</v>
      </c>
      <c r="C787" s="20" t="s">
        <v>823</v>
      </c>
      <c r="D787" s="19" t="s">
        <v>121</v>
      </c>
      <c r="E787" s="21">
        <f t="shared" si="35"/>
        <v>181.24000000000001</v>
      </c>
      <c r="F787" s="22">
        <v>2.9999999999999999e-002</v>
      </c>
      <c r="G787" s="21">
        <f t="shared" si="36"/>
        <v>180.63</v>
      </c>
      <c r="H787" s="22">
        <v>2.9999999999999999e-002</v>
      </c>
      <c r="I787" s="23" t="str">
        <f t="shared" si="37"/>
        <v xml:space="preserve">COM VALOR</v>
      </c>
      <c r="J787" s="19"/>
      <c r="L787" s="21">
        <v>181.24000000000001</v>
      </c>
      <c r="M787" s="22">
        <v>4.0000000000000001e-002</v>
      </c>
      <c r="N787" s="21">
        <v>180.63</v>
      </c>
      <c r="O787" s="22">
        <v>4.0000000000000001e-002</v>
      </c>
    </row>
    <row r="788" ht="51">
      <c r="A788" t="s">
        <v>804</v>
      </c>
      <c r="B788" s="19">
        <v>105666</v>
      </c>
      <c r="C788" s="20" t="s">
        <v>824</v>
      </c>
      <c r="D788" s="19" t="s">
        <v>121</v>
      </c>
      <c r="E788" s="21">
        <f t="shared" si="35"/>
        <v>177.63</v>
      </c>
      <c r="F788" s="22"/>
      <c r="G788" s="21">
        <f t="shared" si="36"/>
        <v>177.11000000000001</v>
      </c>
      <c r="H788" s="22"/>
      <c r="I788" s="23" t="str">
        <f t="shared" si="37"/>
        <v xml:space="preserve">COM VALOR</v>
      </c>
      <c r="J788" s="19"/>
      <c r="L788" s="21">
        <v>177.63</v>
      </c>
      <c r="M788" s="22">
        <v>4.0000000000000001e-002</v>
      </c>
      <c r="N788" s="21">
        <v>177.11000000000001</v>
      </c>
      <c r="O788" s="22">
        <v>4.0000000000000001e-002</v>
      </c>
    </row>
    <row r="789" ht="51">
      <c r="A789" t="s">
        <v>804</v>
      </c>
      <c r="B789" s="19">
        <v>105639</v>
      </c>
      <c r="C789" s="20" t="s">
        <v>825</v>
      </c>
      <c r="D789" s="19" t="s">
        <v>121</v>
      </c>
      <c r="E789" s="21">
        <f t="shared" si="35"/>
        <v>217.66999999999999</v>
      </c>
      <c r="F789" s="22"/>
      <c r="G789" s="21">
        <f t="shared" si="36"/>
        <v>217.12</v>
      </c>
      <c r="H789" s="22"/>
      <c r="I789" s="23" t="str">
        <f t="shared" si="37"/>
        <v xml:space="preserve">COM VALOR</v>
      </c>
      <c r="J789" s="19"/>
      <c r="L789" s="21">
        <v>217.66999999999999</v>
      </c>
      <c r="M789" s="22">
        <v>4.0000000000000001e-002</v>
      </c>
      <c r="N789" s="21">
        <v>217.12</v>
      </c>
      <c r="O789" s="22">
        <v>4.0000000000000001e-002</v>
      </c>
    </row>
    <row r="790" ht="51">
      <c r="A790" t="s">
        <v>804</v>
      </c>
      <c r="B790" s="19">
        <v>105645</v>
      </c>
      <c r="C790" s="20" t="s">
        <v>826</v>
      </c>
      <c r="D790" s="19" t="s">
        <v>121</v>
      </c>
      <c r="E790" s="21">
        <f t="shared" si="35"/>
        <v>214.16</v>
      </c>
      <c r="F790" s="22"/>
      <c r="G790" s="21">
        <f t="shared" si="36"/>
        <v>213.66999999999999</v>
      </c>
      <c r="H790" s="22"/>
      <c r="I790" s="23" t="str">
        <f t="shared" si="37"/>
        <v xml:space="preserve">COM VALOR</v>
      </c>
      <c r="J790" s="19"/>
      <c r="L790" s="21">
        <v>214.16</v>
      </c>
      <c r="M790" s="22">
        <v>2.9999999999999999e-002</v>
      </c>
      <c r="N790" s="21">
        <v>213.66999999999999</v>
      </c>
      <c r="O790" s="22">
        <v>2.9999999999999999e-002</v>
      </c>
    </row>
    <row r="791" ht="51">
      <c r="A791" t="s">
        <v>804</v>
      </c>
      <c r="B791" s="19">
        <v>105651</v>
      </c>
      <c r="C791" s="20" t="s">
        <v>827</v>
      </c>
      <c r="D791" s="19" t="s">
        <v>121</v>
      </c>
      <c r="E791" s="21">
        <f t="shared" si="35"/>
        <v>212.38999999999999</v>
      </c>
      <c r="F791" s="22">
        <v>4.0000000000000001e-002</v>
      </c>
      <c r="G791" s="21">
        <f t="shared" si="36"/>
        <v>211.94999999999999</v>
      </c>
      <c r="H791" s="22">
        <v>4.0000000000000001e-002</v>
      </c>
      <c r="I791" s="23" t="str">
        <f t="shared" si="37"/>
        <v xml:space="preserve">COM VALOR</v>
      </c>
      <c r="J791" s="19"/>
      <c r="L791" s="21">
        <v>212.38999999999999</v>
      </c>
      <c r="M791" s="22">
        <v>2.9999999999999999e-002</v>
      </c>
      <c r="N791" s="21">
        <v>211.94999999999999</v>
      </c>
      <c r="O791" s="22">
        <v>2.9999999999999999e-002</v>
      </c>
    </row>
    <row r="792" ht="51">
      <c r="A792" t="s">
        <v>804</v>
      </c>
      <c r="B792" s="19">
        <v>105658</v>
      </c>
      <c r="C792" s="20" t="s">
        <v>828</v>
      </c>
      <c r="D792" s="19" t="s">
        <v>121</v>
      </c>
      <c r="E792" s="21">
        <f t="shared" si="35"/>
        <v>222.97</v>
      </c>
      <c r="F792" s="22">
        <v>2.9999999999999999e-002</v>
      </c>
      <c r="G792" s="21">
        <f t="shared" si="36"/>
        <v>222.16</v>
      </c>
      <c r="H792" s="22">
        <v>2.9999999999999999e-002</v>
      </c>
      <c r="I792" s="23" t="str">
        <f t="shared" si="37"/>
        <v xml:space="preserve">COM VALOR</v>
      </c>
      <c r="J792" s="19"/>
      <c r="L792" s="21">
        <v>222.97</v>
      </c>
      <c r="M792" s="22">
        <v>5.0000000000000003e-002</v>
      </c>
      <c r="N792" s="21">
        <v>222.16</v>
      </c>
      <c r="O792" s="22">
        <v>5.0000000000000003e-002</v>
      </c>
    </row>
    <row r="793" ht="51">
      <c r="A793" t="s">
        <v>804</v>
      </c>
      <c r="B793" s="19">
        <v>100567</v>
      </c>
      <c r="C793" s="20" t="s">
        <v>829</v>
      </c>
      <c r="D793" s="19" t="s">
        <v>121</v>
      </c>
      <c r="E793" s="21">
        <f t="shared" si="35"/>
        <v>215.81</v>
      </c>
      <c r="F793" s="22">
        <v>2.9999999999999999e-002</v>
      </c>
      <c r="G793" s="21">
        <f t="shared" si="36"/>
        <v>215.19999999999999</v>
      </c>
      <c r="H793" s="22">
        <v>2.9999999999999999e-002</v>
      </c>
      <c r="I793" s="23" t="str">
        <f t="shared" si="37"/>
        <v xml:space="preserve">COM VALOR</v>
      </c>
      <c r="J793" s="19"/>
      <c r="L793" s="21">
        <v>215.81</v>
      </c>
      <c r="M793" s="22">
        <v>4.0000000000000001e-002</v>
      </c>
      <c r="N793" s="21">
        <v>215.19999999999999</v>
      </c>
      <c r="O793" s="22">
        <v>4.0000000000000001e-002</v>
      </c>
    </row>
    <row r="794" ht="51">
      <c r="A794" t="s">
        <v>804</v>
      </c>
      <c r="B794" s="19">
        <v>105667</v>
      </c>
      <c r="C794" s="20" t="s">
        <v>830</v>
      </c>
      <c r="D794" s="19" t="s">
        <v>121</v>
      </c>
      <c r="E794" s="21">
        <f t="shared" si="35"/>
        <v>212.19999999999999</v>
      </c>
      <c r="F794" s="22"/>
      <c r="G794" s="21">
        <f t="shared" si="36"/>
        <v>211.68000000000001</v>
      </c>
      <c r="H794" s="22"/>
      <c r="I794" s="23" t="str">
        <f t="shared" si="37"/>
        <v xml:space="preserve">COM VALOR</v>
      </c>
      <c r="J794" s="19"/>
      <c r="L794" s="21">
        <v>212.19999999999999</v>
      </c>
      <c r="M794" s="22">
        <v>2.9999999999999999e-002</v>
      </c>
      <c r="N794" s="21">
        <v>211.68000000000001</v>
      </c>
      <c r="O794" s="22">
        <v>2.9999999999999999e-002</v>
      </c>
    </row>
    <row r="795" ht="51">
      <c r="A795" t="s">
        <v>804</v>
      </c>
      <c r="B795" s="19">
        <v>105640</v>
      </c>
      <c r="C795" s="20" t="s">
        <v>831</v>
      </c>
      <c r="D795" s="19" t="s">
        <v>121</v>
      </c>
      <c r="E795" s="21">
        <f t="shared" si="35"/>
        <v>249.97999999999999</v>
      </c>
      <c r="F795" s="22"/>
      <c r="G795" s="21">
        <f t="shared" si="36"/>
        <v>249.43000000000001</v>
      </c>
      <c r="H795" s="22"/>
      <c r="I795" s="23" t="str">
        <f t="shared" si="37"/>
        <v xml:space="preserve">COM VALOR</v>
      </c>
      <c r="J795" s="19"/>
      <c r="L795" s="21">
        <v>249.97999999999999</v>
      </c>
      <c r="M795" s="22">
        <v>3.2500000000000001e-002</v>
      </c>
      <c r="N795" s="21">
        <v>249.43000000000001</v>
      </c>
      <c r="O795" s="22">
        <v>2.9999999999999999e-002</v>
      </c>
    </row>
    <row r="796" ht="51">
      <c r="A796" t="s">
        <v>804</v>
      </c>
      <c r="B796" s="19">
        <v>105646</v>
      </c>
      <c r="C796" s="20" t="s">
        <v>832</v>
      </c>
      <c r="D796" s="19" t="s">
        <v>121</v>
      </c>
      <c r="E796" s="21">
        <f t="shared" si="35"/>
        <v>246.47</v>
      </c>
      <c r="F796" s="22"/>
      <c r="G796" s="21">
        <f t="shared" si="36"/>
        <v>245.97999999999999</v>
      </c>
      <c r="H796" s="22"/>
      <c r="I796" s="23" t="str">
        <f t="shared" si="37"/>
        <v xml:space="preserve">COM VALOR</v>
      </c>
      <c r="J796" s="19"/>
      <c r="L796" s="21">
        <v>246.47</v>
      </c>
      <c r="M796" s="22">
        <v>2.9999999999999999e-002</v>
      </c>
      <c r="N796" s="21">
        <v>245.97999999999999</v>
      </c>
      <c r="O796" s="22">
        <v>2.9999999999999999e-002</v>
      </c>
    </row>
    <row r="797" ht="51">
      <c r="A797" t="s">
        <v>804</v>
      </c>
      <c r="B797" s="19">
        <v>105652</v>
      </c>
      <c r="C797" s="20" t="s">
        <v>833</v>
      </c>
      <c r="D797" s="19" t="s">
        <v>121</v>
      </c>
      <c r="E797" s="21">
        <f t="shared" si="35"/>
        <v>244.69999999999999</v>
      </c>
      <c r="F797" s="22">
        <v>8.9999999999999997e-002</v>
      </c>
      <c r="G797" s="21">
        <f t="shared" si="36"/>
        <v>244.25999999999999</v>
      </c>
      <c r="H797" s="22">
        <v>8.9999999999999997e-002</v>
      </c>
      <c r="I797" s="23" t="str">
        <f t="shared" si="37"/>
        <v xml:space="preserve">COM VALOR</v>
      </c>
      <c r="J797" s="19"/>
      <c r="L797" s="21">
        <v>244.69999999999999</v>
      </c>
      <c r="M797" s="22">
        <v>2.9999999999999999e-002</v>
      </c>
      <c r="N797" s="21">
        <v>244.25999999999999</v>
      </c>
      <c r="O797" s="22">
        <v>2.9999999999999999e-002</v>
      </c>
    </row>
    <row r="798" ht="51">
      <c r="A798" t="s">
        <v>804</v>
      </c>
      <c r="B798" s="19">
        <v>105659</v>
      </c>
      <c r="C798" s="20" t="s">
        <v>834</v>
      </c>
      <c r="D798" s="19" t="s">
        <v>121</v>
      </c>
      <c r="E798" s="21">
        <f t="shared" si="35"/>
        <v>257.06</v>
      </c>
      <c r="F798" s="22">
        <v>8.0000000000000002e-002</v>
      </c>
      <c r="G798" s="21">
        <f t="shared" si="36"/>
        <v>256.25</v>
      </c>
      <c r="H798" s="22">
        <v>8.0000000000000002e-002</v>
      </c>
      <c r="I798" s="23" t="str">
        <f t="shared" si="37"/>
        <v xml:space="preserve">COM VALOR</v>
      </c>
      <c r="J798" s="19"/>
      <c r="L798" s="21">
        <v>257.06</v>
      </c>
      <c r="M798" s="22">
        <v>4.0000000000000001e-002</v>
      </c>
      <c r="N798" s="21">
        <v>256.25</v>
      </c>
      <c r="O798" s="22">
        <v>4.0000000000000001e-002</v>
      </c>
    </row>
    <row r="799" ht="51">
      <c r="A799" t="s">
        <v>804</v>
      </c>
      <c r="B799" s="19">
        <v>100568</v>
      </c>
      <c r="C799" s="20" t="s">
        <v>835</v>
      </c>
      <c r="D799" s="19" t="s">
        <v>121</v>
      </c>
      <c r="E799" s="21">
        <f t="shared" si="35"/>
        <v>249.90000000000001</v>
      </c>
      <c r="F799" s="22">
        <v>7.0000000000000007e-002</v>
      </c>
      <c r="G799" s="21">
        <f t="shared" si="36"/>
        <v>249.28999999999999</v>
      </c>
      <c r="H799" s="22">
        <v>7.0000000000000007e-002</v>
      </c>
      <c r="I799" s="23" t="str">
        <f t="shared" si="37"/>
        <v xml:space="preserve">COM VALOR</v>
      </c>
      <c r="J799" s="19"/>
      <c r="L799" s="21">
        <v>249.90000000000001</v>
      </c>
      <c r="M799" s="22">
        <v>2.9999999999999999e-002</v>
      </c>
      <c r="N799" s="21">
        <v>249.28999999999999</v>
      </c>
      <c r="O799" s="22">
        <v>2.9999999999999999e-002</v>
      </c>
    </row>
    <row r="800" ht="51">
      <c r="A800" t="s">
        <v>804</v>
      </c>
      <c r="B800" s="19">
        <v>105668</v>
      </c>
      <c r="C800" s="20" t="s">
        <v>836</v>
      </c>
      <c r="D800" s="19" t="s">
        <v>121</v>
      </c>
      <c r="E800" s="21">
        <f t="shared" si="35"/>
        <v>246.28999999999999</v>
      </c>
      <c r="F800" s="22"/>
      <c r="G800" s="21">
        <f t="shared" si="36"/>
        <v>245.77000000000001</v>
      </c>
      <c r="H800" s="22"/>
      <c r="I800" s="23" t="str">
        <f t="shared" si="37"/>
        <v xml:space="preserve">COM VALOR</v>
      </c>
      <c r="J800" s="19"/>
      <c r="L800" s="21">
        <v>246.28999999999999</v>
      </c>
      <c r="M800" s="22">
        <v>2.9999999999999999e-002</v>
      </c>
      <c r="N800" s="21">
        <v>245.77000000000001</v>
      </c>
      <c r="O800" s="22">
        <v>2.9999999999999999e-002</v>
      </c>
    </row>
    <row r="801" ht="51">
      <c r="A801" t="s">
        <v>804</v>
      </c>
      <c r="B801" s="19">
        <v>105641</v>
      </c>
      <c r="C801" s="20" t="s">
        <v>837</v>
      </c>
      <c r="D801" s="19" t="s">
        <v>121</v>
      </c>
      <c r="E801" s="21">
        <f t="shared" si="35"/>
        <v>282.27999999999997</v>
      </c>
      <c r="F801" s="22"/>
      <c r="G801" s="21">
        <f t="shared" si="36"/>
        <v>281.74000000000001</v>
      </c>
      <c r="H801" s="22"/>
      <c r="I801" s="23" t="str">
        <f t="shared" si="37"/>
        <v xml:space="preserve">COM VALOR</v>
      </c>
      <c r="J801" s="19"/>
      <c r="L801" s="21">
        <v>282.27999999999997</v>
      </c>
      <c r="M801" s="22">
        <v>2.9999999999999999e-002</v>
      </c>
      <c r="N801" s="21">
        <v>281.74000000000001</v>
      </c>
      <c r="O801" s="22">
        <v>2.9999999999999999e-002</v>
      </c>
    </row>
    <row r="802" ht="51">
      <c r="A802" t="s">
        <v>804</v>
      </c>
      <c r="B802" s="19">
        <v>105647</v>
      </c>
      <c r="C802" s="20" t="s">
        <v>838</v>
      </c>
      <c r="D802" s="19" t="s">
        <v>121</v>
      </c>
      <c r="E802" s="21">
        <f t="shared" si="35"/>
        <v>278.76999999999998</v>
      </c>
      <c r="F802" s="22"/>
      <c r="G802" s="21">
        <f t="shared" si="36"/>
        <v>278.29000000000002</v>
      </c>
      <c r="H802" s="22"/>
      <c r="I802" s="23" t="str">
        <f t="shared" si="37"/>
        <v xml:space="preserve">COM VALOR</v>
      </c>
      <c r="J802" s="19"/>
      <c r="L802" s="21">
        <v>278.76999999999998</v>
      </c>
      <c r="M802" s="22">
        <v>2.e-002</v>
      </c>
      <c r="N802" s="21">
        <v>278.29000000000002</v>
      </c>
      <c r="O802" s="22">
        <v>2.e-002</v>
      </c>
    </row>
    <row r="803" ht="51">
      <c r="A803" t="s">
        <v>804</v>
      </c>
      <c r="B803" s="19">
        <v>105653</v>
      </c>
      <c r="C803" s="20" t="s">
        <v>839</v>
      </c>
      <c r="D803" s="19" t="s">
        <v>121</v>
      </c>
      <c r="E803" s="21">
        <f t="shared" si="35"/>
        <v>277</v>
      </c>
      <c r="F803" s="22">
        <v>5.9999999999999998e-002</v>
      </c>
      <c r="G803" s="21">
        <f t="shared" si="36"/>
        <v>276.56999999999999</v>
      </c>
      <c r="H803" s="22">
        <v>5.9999999999999998e-002</v>
      </c>
      <c r="I803" s="23" t="str">
        <f t="shared" si="37"/>
        <v xml:space="preserve">COM VALOR</v>
      </c>
      <c r="J803" s="19"/>
      <c r="L803" s="21">
        <v>277</v>
      </c>
      <c r="M803" s="22">
        <v>2.e-002</v>
      </c>
      <c r="N803" s="21">
        <v>276.56999999999999</v>
      </c>
      <c r="O803" s="22">
        <v>2.e-002</v>
      </c>
    </row>
    <row r="804" ht="51">
      <c r="A804" t="s">
        <v>804</v>
      </c>
      <c r="B804" s="19">
        <v>105710</v>
      </c>
      <c r="C804" s="20" t="s">
        <v>840</v>
      </c>
      <c r="D804" s="19" t="s">
        <v>121</v>
      </c>
      <c r="E804" s="21">
        <f t="shared" si="35"/>
        <v>114.63</v>
      </c>
      <c r="F804" s="22">
        <v>5.0000000000000003e-002</v>
      </c>
      <c r="G804" s="21">
        <f t="shared" si="36"/>
        <v>113.81</v>
      </c>
      <c r="H804" s="22">
        <v>5.0000000000000003e-002</v>
      </c>
      <c r="I804" s="23" t="str">
        <f t="shared" si="37"/>
        <v xml:space="preserve">COM VALOR</v>
      </c>
      <c r="J804" s="19"/>
      <c r="L804" s="21">
        <v>114.63</v>
      </c>
      <c r="M804" s="22">
        <v>8.9999999999999997e-002</v>
      </c>
      <c r="N804" s="21">
        <v>113.81</v>
      </c>
      <c r="O804" s="22">
        <v>8.9999999999999997e-002</v>
      </c>
    </row>
    <row r="805" ht="51">
      <c r="A805" t="s">
        <v>804</v>
      </c>
      <c r="B805" s="19">
        <v>100564</v>
      </c>
      <c r="C805" s="20" t="s">
        <v>841</v>
      </c>
      <c r="D805" s="19" t="s">
        <v>121</v>
      </c>
      <c r="E805" s="21">
        <f t="shared" si="35"/>
        <v>107.45999999999999</v>
      </c>
      <c r="F805" s="22">
        <v>4.0000000000000001e-002</v>
      </c>
      <c r="G805" s="21">
        <f t="shared" si="36"/>
        <v>106.84999999999999</v>
      </c>
      <c r="H805" s="22">
        <v>4.0000000000000001e-002</v>
      </c>
      <c r="I805" s="23" t="str">
        <f t="shared" si="37"/>
        <v xml:space="preserve">COM VALOR</v>
      </c>
      <c r="J805" s="19"/>
      <c r="L805" s="21">
        <v>107.45999999999999</v>
      </c>
      <c r="M805" s="22">
        <v>7.0000000000000007e-002</v>
      </c>
      <c r="N805" s="21">
        <v>106.84999999999999</v>
      </c>
      <c r="O805" s="22">
        <v>7.0000000000000007e-002</v>
      </c>
    </row>
    <row r="806" ht="51">
      <c r="A806" t="s">
        <v>804</v>
      </c>
      <c r="B806" s="19">
        <v>105711</v>
      </c>
      <c r="C806" s="20" t="s">
        <v>842</v>
      </c>
      <c r="D806" s="19" t="s">
        <v>121</v>
      </c>
      <c r="E806" s="21">
        <f t="shared" si="35"/>
        <v>103.84999999999999</v>
      </c>
      <c r="F806" s="22"/>
      <c r="G806" s="21">
        <f t="shared" si="36"/>
        <v>103.33</v>
      </c>
      <c r="H806" s="22"/>
      <c r="I806" s="23" t="str">
        <f t="shared" si="37"/>
        <v xml:space="preserve">COM VALOR</v>
      </c>
      <c r="J806" s="19"/>
      <c r="L806" s="21">
        <v>103.84999999999999</v>
      </c>
      <c r="M806" s="22">
        <v>5.9999999999999998e-002</v>
      </c>
      <c r="N806" s="21">
        <v>103.33</v>
      </c>
      <c r="O806" s="22">
        <v>5.9999999999999998e-002</v>
      </c>
    </row>
    <row r="807" ht="51">
      <c r="A807" t="s">
        <v>804</v>
      </c>
      <c r="B807" s="19">
        <v>105705</v>
      </c>
      <c r="C807" s="20" t="s">
        <v>843</v>
      </c>
      <c r="D807" s="19" t="s">
        <v>121</v>
      </c>
      <c r="E807" s="21">
        <f t="shared" si="35"/>
        <v>153.02000000000001</v>
      </c>
      <c r="F807" s="22"/>
      <c r="G807" s="21">
        <f t="shared" si="36"/>
        <v>152.47</v>
      </c>
      <c r="H807" s="22"/>
      <c r="I807" s="23" t="str">
        <f t="shared" si="37"/>
        <v xml:space="preserve">COM VALOR</v>
      </c>
      <c r="J807" s="19"/>
      <c r="L807" s="21">
        <v>153.02000000000001</v>
      </c>
      <c r="M807" s="22">
        <v>5.0000000000000003e-002</v>
      </c>
      <c r="N807" s="21">
        <v>152.47</v>
      </c>
      <c r="O807" s="22">
        <v>5.0000000000000003e-002</v>
      </c>
    </row>
    <row r="808" ht="51">
      <c r="A808" t="s">
        <v>804</v>
      </c>
      <c r="B808" s="19">
        <v>105706</v>
      </c>
      <c r="C808" s="20" t="s">
        <v>844</v>
      </c>
      <c r="D808" s="19" t="s">
        <v>121</v>
      </c>
      <c r="E808" s="21">
        <f t="shared" si="35"/>
        <v>149.50999999999999</v>
      </c>
      <c r="F808" s="22"/>
      <c r="G808" s="21">
        <f t="shared" si="36"/>
        <v>149.02000000000001</v>
      </c>
      <c r="H808" s="22"/>
      <c r="I808" s="23" t="str">
        <f t="shared" si="37"/>
        <v xml:space="preserve">COM VALOR</v>
      </c>
      <c r="J808" s="19"/>
      <c r="L808" s="21">
        <v>149.50999999999999</v>
      </c>
      <c r="M808" s="22">
        <v>5.0000000000000003e-002</v>
      </c>
      <c r="N808" s="21">
        <v>149.02000000000001</v>
      </c>
      <c r="O808" s="22">
        <v>5.0000000000000003e-002</v>
      </c>
    </row>
    <row r="809" ht="51">
      <c r="A809" t="s">
        <v>804</v>
      </c>
      <c r="B809" s="19">
        <v>105708</v>
      </c>
      <c r="C809" s="20" t="s">
        <v>845</v>
      </c>
      <c r="D809" s="19" t="s">
        <v>121</v>
      </c>
      <c r="E809" s="21">
        <f t="shared" si="35"/>
        <v>147.74000000000001</v>
      </c>
      <c r="F809" s="22">
        <v>5.0000000000000003e-002</v>
      </c>
      <c r="G809" s="21">
        <f t="shared" si="36"/>
        <v>147.30000000000001</v>
      </c>
      <c r="H809" s="22">
        <v>5.0000000000000003e-002</v>
      </c>
      <c r="I809" s="23" t="str">
        <f t="shared" si="37"/>
        <v xml:space="preserve">COM VALOR</v>
      </c>
      <c r="J809" s="19"/>
      <c r="L809" s="21">
        <v>147.74000000000001</v>
      </c>
      <c r="M809" s="22">
        <v>4.0000000000000001e-002</v>
      </c>
      <c r="N809" s="21">
        <v>147.30000000000001</v>
      </c>
      <c r="O809" s="22">
        <v>4.0000000000000001e-002</v>
      </c>
    </row>
    <row r="810" ht="51">
      <c r="A810" t="s">
        <v>804</v>
      </c>
      <c r="B810" s="19">
        <v>105690</v>
      </c>
      <c r="C810" s="20" t="s">
        <v>846</v>
      </c>
      <c r="D810" s="19" t="s">
        <v>121</v>
      </c>
      <c r="E810" s="21">
        <f t="shared" si="35"/>
        <v>175.13</v>
      </c>
      <c r="F810" s="22">
        <v>4.0000000000000001e-002</v>
      </c>
      <c r="G810" s="21">
        <f t="shared" si="36"/>
        <v>174.31999999999999</v>
      </c>
      <c r="H810" s="22">
        <v>4.0000000000000001e-002</v>
      </c>
      <c r="I810" s="23" t="str">
        <f t="shared" si="37"/>
        <v xml:space="preserve">COM VALOR</v>
      </c>
      <c r="J810" s="19"/>
      <c r="L810" s="21">
        <v>175.13</v>
      </c>
      <c r="M810" s="22">
        <v>5.9999999999999998e-002</v>
      </c>
      <c r="N810" s="21">
        <v>174.31999999999999</v>
      </c>
      <c r="O810" s="22">
        <v>5.9999999999999998e-002</v>
      </c>
    </row>
    <row r="811" ht="51">
      <c r="A811" t="s">
        <v>804</v>
      </c>
      <c r="B811" s="19">
        <v>100569</v>
      </c>
      <c r="C811" s="20" t="s">
        <v>847</v>
      </c>
      <c r="D811" s="19" t="s">
        <v>121</v>
      </c>
      <c r="E811" s="21">
        <f t="shared" si="35"/>
        <v>167.97</v>
      </c>
      <c r="F811" s="22">
        <v>4.0000000000000001e-002</v>
      </c>
      <c r="G811" s="21">
        <f t="shared" si="36"/>
        <v>167.36000000000001</v>
      </c>
      <c r="H811" s="22">
        <v>4.0000000000000001e-002</v>
      </c>
      <c r="I811" s="23" t="str">
        <f t="shared" si="37"/>
        <v xml:space="preserve">COM VALOR</v>
      </c>
      <c r="J811" s="19"/>
      <c r="L811" s="21">
        <v>167.97</v>
      </c>
      <c r="M811" s="22">
        <v>5.0000000000000003e-002</v>
      </c>
      <c r="N811" s="21">
        <v>167.36000000000001</v>
      </c>
      <c r="O811" s="22">
        <v>5.0000000000000003e-002</v>
      </c>
    </row>
    <row r="812" ht="51">
      <c r="A812" t="s">
        <v>804</v>
      </c>
      <c r="B812" s="19">
        <v>105699</v>
      </c>
      <c r="C812" s="20" t="s">
        <v>848</v>
      </c>
      <c r="D812" s="19" t="s">
        <v>121</v>
      </c>
      <c r="E812" s="21">
        <f t="shared" si="35"/>
        <v>164.36000000000001</v>
      </c>
      <c r="F812" s="22"/>
      <c r="G812" s="21">
        <f t="shared" si="36"/>
        <v>163.84</v>
      </c>
      <c r="H812" s="22"/>
      <c r="I812" s="23" t="str">
        <f t="shared" si="37"/>
        <v xml:space="preserve">COM VALOR</v>
      </c>
      <c r="J812" s="19"/>
      <c r="L812" s="21">
        <v>164.36000000000001</v>
      </c>
      <c r="M812" s="22">
        <v>4.0000000000000001e-002</v>
      </c>
      <c r="N812" s="21">
        <v>163.84</v>
      </c>
      <c r="O812" s="22">
        <v>4.0000000000000001e-002</v>
      </c>
    </row>
    <row r="813" ht="51">
      <c r="A813" t="s">
        <v>804</v>
      </c>
      <c r="B813" s="19">
        <v>105672</v>
      </c>
      <c r="C813" s="20" t="s">
        <v>849</v>
      </c>
      <c r="D813" s="19" t="s">
        <v>121</v>
      </c>
      <c r="E813" s="21">
        <f t="shared" si="35"/>
        <v>197.49000000000001</v>
      </c>
      <c r="F813" s="22"/>
      <c r="G813" s="21">
        <f t="shared" si="36"/>
        <v>196.94</v>
      </c>
      <c r="H813" s="22"/>
      <c r="I813" s="23" t="str">
        <f t="shared" si="37"/>
        <v xml:space="preserve">COM VALOR</v>
      </c>
      <c r="J813" s="19"/>
      <c r="L813" s="21">
        <v>197.49000000000001</v>
      </c>
      <c r="M813" s="22">
        <v>4.0000000000000001e-002</v>
      </c>
      <c r="N813" s="21">
        <v>196.94</v>
      </c>
      <c r="O813" s="22">
        <v>4.0000000000000001e-002</v>
      </c>
    </row>
    <row r="814" ht="51">
      <c r="A814" t="s">
        <v>804</v>
      </c>
      <c r="B814" s="19">
        <v>105678</v>
      </c>
      <c r="C814" s="20" t="s">
        <v>850</v>
      </c>
      <c r="D814" s="19" t="s">
        <v>121</v>
      </c>
      <c r="E814" s="21">
        <f t="shared" si="35"/>
        <v>193.97999999999999</v>
      </c>
      <c r="F814" s="22"/>
      <c r="G814" s="21">
        <f t="shared" si="36"/>
        <v>193.49000000000001</v>
      </c>
      <c r="H814" s="22"/>
      <c r="I814" s="23" t="str">
        <f t="shared" si="37"/>
        <v xml:space="preserve">COM VALOR</v>
      </c>
      <c r="J814" s="19"/>
      <c r="L814" s="21">
        <v>193.97999999999999</v>
      </c>
      <c r="M814" s="22">
        <v>4.0000000000000001e-002</v>
      </c>
      <c r="N814" s="21">
        <v>193.49000000000001</v>
      </c>
      <c r="O814" s="22">
        <v>4.0000000000000001e-002</v>
      </c>
    </row>
    <row r="815" ht="51">
      <c r="A815" t="s">
        <v>804</v>
      </c>
      <c r="B815" s="19">
        <v>105684</v>
      </c>
      <c r="C815" s="20" t="s">
        <v>851</v>
      </c>
      <c r="D815" s="19" t="s">
        <v>121</v>
      </c>
      <c r="E815" s="21">
        <f t="shared" si="35"/>
        <v>192.21000000000001</v>
      </c>
      <c r="F815" s="22">
        <v>5.0000000000000003e-002</v>
      </c>
      <c r="G815" s="21">
        <f t="shared" si="36"/>
        <v>191.77000000000001</v>
      </c>
      <c r="H815" s="22">
        <v>5.0000000000000003e-002</v>
      </c>
      <c r="I815" s="23" t="str">
        <f t="shared" si="37"/>
        <v xml:space="preserve">COM VALOR</v>
      </c>
      <c r="J815" s="19"/>
      <c r="L815" s="21">
        <v>192.21000000000001</v>
      </c>
      <c r="M815" s="22">
        <v>2.9999999999999999e-002</v>
      </c>
      <c r="N815" s="21">
        <v>191.77000000000001</v>
      </c>
      <c r="O815" s="22">
        <v>2.9999999999999999e-002</v>
      </c>
    </row>
    <row r="816" ht="51">
      <c r="A816" t="s">
        <v>804</v>
      </c>
      <c r="B816" s="19">
        <v>105691</v>
      </c>
      <c r="C816" s="20" t="s">
        <v>852</v>
      </c>
      <c r="D816" s="19" t="s">
        <v>121</v>
      </c>
      <c r="E816" s="21">
        <f t="shared" si="35"/>
        <v>209.97999999999999</v>
      </c>
      <c r="F816" s="22">
        <v>4.0000000000000001e-002</v>
      </c>
      <c r="G816" s="21">
        <f t="shared" si="36"/>
        <v>209.16999999999999</v>
      </c>
      <c r="H816" s="22">
        <v>4.0000000000000001e-002</v>
      </c>
      <c r="I816" s="23" t="str">
        <f t="shared" si="37"/>
        <v xml:space="preserve">COM VALOR</v>
      </c>
      <c r="J816" s="19"/>
      <c r="L816" s="21">
        <v>209.97999999999999</v>
      </c>
      <c r="M816" s="22">
        <v>5.0000000000000003e-002</v>
      </c>
      <c r="N816" s="21">
        <v>209.16999999999999</v>
      </c>
      <c r="O816" s="22">
        <v>5.0000000000000003e-002</v>
      </c>
    </row>
    <row r="817" ht="51">
      <c r="A817" t="s">
        <v>804</v>
      </c>
      <c r="B817" s="19">
        <v>100570</v>
      </c>
      <c r="C817" s="20" t="s">
        <v>853</v>
      </c>
      <c r="D817" s="19" t="s">
        <v>121</v>
      </c>
      <c r="E817" s="21">
        <f t="shared" si="35"/>
        <v>202.81999999999999</v>
      </c>
      <c r="F817" s="22">
        <v>2.9999999999999999e-002</v>
      </c>
      <c r="G817" s="21">
        <f t="shared" si="36"/>
        <v>202.21000000000001</v>
      </c>
      <c r="H817" s="22">
        <v>2.9999999999999999e-002</v>
      </c>
      <c r="I817" s="23" t="str">
        <f t="shared" si="37"/>
        <v xml:space="preserve">COM VALOR</v>
      </c>
      <c r="J817" s="19"/>
      <c r="L817" s="21">
        <v>202.81999999999999</v>
      </c>
      <c r="M817" s="22">
        <v>4.0000000000000001e-002</v>
      </c>
      <c r="N817" s="21">
        <v>202.21000000000001</v>
      </c>
      <c r="O817" s="22">
        <v>4.0000000000000001e-002</v>
      </c>
    </row>
    <row r="818" ht="51">
      <c r="A818" t="s">
        <v>804</v>
      </c>
      <c r="B818" s="19">
        <v>105700</v>
      </c>
      <c r="C818" s="20" t="s">
        <v>854</v>
      </c>
      <c r="D818" s="19" t="s">
        <v>121</v>
      </c>
      <c r="E818" s="21">
        <f t="shared" si="35"/>
        <v>199.21000000000001</v>
      </c>
      <c r="F818" s="22"/>
      <c r="G818" s="21">
        <f t="shared" si="36"/>
        <v>198.69</v>
      </c>
      <c r="H818" s="22"/>
      <c r="I818" s="23" t="str">
        <f t="shared" si="37"/>
        <v xml:space="preserve">COM VALOR</v>
      </c>
      <c r="J818" s="19"/>
      <c r="L818" s="21">
        <v>199.21000000000001</v>
      </c>
      <c r="M818" s="22">
        <v>2.9999999999999999e-002</v>
      </c>
      <c r="N818" s="21">
        <v>198.69</v>
      </c>
      <c r="O818" s="22">
        <v>2.9999999999999999e-002</v>
      </c>
    </row>
    <row r="819" ht="51">
      <c r="A819" t="s">
        <v>804</v>
      </c>
      <c r="B819" s="19">
        <v>105673</v>
      </c>
      <c r="C819" s="20" t="s">
        <v>855</v>
      </c>
      <c r="D819" s="19" t="s">
        <v>121</v>
      </c>
      <c r="E819" s="21">
        <f t="shared" si="35"/>
        <v>230.22</v>
      </c>
      <c r="F819" s="22"/>
      <c r="G819" s="21">
        <f t="shared" si="36"/>
        <v>229.66999999999999</v>
      </c>
      <c r="H819" s="22"/>
      <c r="I819" s="23" t="str">
        <f t="shared" si="37"/>
        <v xml:space="preserve">COM VALOR</v>
      </c>
      <c r="J819" s="19"/>
      <c r="L819" s="21">
        <v>230.22</v>
      </c>
      <c r="M819" s="22">
        <v>4.0000000000000001e-002</v>
      </c>
      <c r="N819" s="21">
        <v>229.66999999999999</v>
      </c>
      <c r="O819" s="22">
        <v>4.0000000000000001e-002</v>
      </c>
    </row>
    <row r="820" ht="51">
      <c r="A820" t="s">
        <v>804</v>
      </c>
      <c r="B820" s="19">
        <v>105679</v>
      </c>
      <c r="C820" s="20" t="s">
        <v>856</v>
      </c>
      <c r="D820" s="19" t="s">
        <v>121</v>
      </c>
      <c r="E820" s="21">
        <f t="shared" si="35"/>
        <v>226.71000000000001</v>
      </c>
      <c r="F820" s="22"/>
      <c r="G820" s="21">
        <f t="shared" si="36"/>
        <v>226.22</v>
      </c>
      <c r="H820" s="22"/>
      <c r="I820" s="23" t="str">
        <f t="shared" si="37"/>
        <v xml:space="preserve">COM VALOR</v>
      </c>
      <c r="J820" s="19"/>
      <c r="L820" s="21">
        <v>226.71000000000001</v>
      </c>
      <c r="M820" s="22">
        <v>2.9999999999999999e-002</v>
      </c>
      <c r="N820" s="21">
        <v>226.22</v>
      </c>
      <c r="O820" s="22">
        <v>2.9999999999999999e-002</v>
      </c>
    </row>
    <row r="821" ht="51">
      <c r="A821" t="s">
        <v>804</v>
      </c>
      <c r="B821" s="19">
        <v>105685</v>
      </c>
      <c r="C821" s="20" t="s">
        <v>857</v>
      </c>
      <c r="D821" s="19" t="s">
        <v>121</v>
      </c>
      <c r="E821" s="21">
        <f t="shared" si="35"/>
        <v>224.94</v>
      </c>
      <c r="F821" s="22">
        <v>0.11</v>
      </c>
      <c r="G821" s="21">
        <f t="shared" si="36"/>
        <v>224.5</v>
      </c>
      <c r="H821" s="22">
        <v>0.11</v>
      </c>
      <c r="I821" s="23" t="str">
        <f t="shared" si="37"/>
        <v xml:space="preserve">COM VALOR</v>
      </c>
      <c r="J821" s="19"/>
      <c r="L821" s="21">
        <v>224.94</v>
      </c>
      <c r="M821" s="22">
        <v>2.9999999999999999e-002</v>
      </c>
      <c r="N821" s="21">
        <v>224.5</v>
      </c>
      <c r="O821" s="22">
        <v>2.9999999999999999e-002</v>
      </c>
    </row>
    <row r="822" ht="51">
      <c r="A822" t="s">
        <v>804</v>
      </c>
      <c r="B822" s="19">
        <v>105692</v>
      </c>
      <c r="C822" s="20" t="s">
        <v>858</v>
      </c>
      <c r="D822" s="19" t="s">
        <v>121</v>
      </c>
      <c r="E822" s="21">
        <f t="shared" si="35"/>
        <v>244.34</v>
      </c>
      <c r="F822" s="22">
        <v>8.9999999999999997e-002</v>
      </c>
      <c r="G822" s="21">
        <f t="shared" si="36"/>
        <v>243.53</v>
      </c>
      <c r="H822" s="22">
        <v>8.9999999999999997e-002</v>
      </c>
      <c r="I822" s="23" t="str">
        <f t="shared" si="37"/>
        <v xml:space="preserve">COM VALOR</v>
      </c>
      <c r="J822" s="19"/>
      <c r="L822" s="21">
        <v>244.34</v>
      </c>
      <c r="M822" s="22">
        <v>4.0000000000000001e-002</v>
      </c>
      <c r="N822" s="21">
        <v>243.53</v>
      </c>
      <c r="O822" s="22">
        <v>4.0000000000000001e-002</v>
      </c>
    </row>
    <row r="823" ht="51">
      <c r="A823" t="s">
        <v>804</v>
      </c>
      <c r="B823" s="19">
        <v>100571</v>
      </c>
      <c r="C823" s="20" t="s">
        <v>859</v>
      </c>
      <c r="D823" s="19" t="s">
        <v>121</v>
      </c>
      <c r="E823" s="21">
        <f t="shared" si="35"/>
        <v>237.18000000000001</v>
      </c>
      <c r="F823" s="22">
        <v>8.0000000000000002e-002</v>
      </c>
      <c r="G823" s="21">
        <f t="shared" si="36"/>
        <v>236.56999999999999</v>
      </c>
      <c r="H823" s="22">
        <v>8.0000000000000002e-002</v>
      </c>
      <c r="I823" s="23" t="str">
        <f t="shared" si="37"/>
        <v xml:space="preserve">COM VALOR</v>
      </c>
      <c r="J823" s="19"/>
      <c r="L823" s="21">
        <v>237.18000000000001</v>
      </c>
      <c r="M823" s="22">
        <v>2.9999999999999999e-002</v>
      </c>
      <c r="N823" s="21">
        <v>236.56999999999999</v>
      </c>
      <c r="O823" s="22">
        <v>2.9999999999999999e-002</v>
      </c>
    </row>
    <row r="824" ht="51">
      <c r="A824" t="s">
        <v>804</v>
      </c>
      <c r="B824" s="19">
        <v>105701</v>
      </c>
      <c r="C824" s="20" t="s">
        <v>860</v>
      </c>
      <c r="D824" s="19" t="s">
        <v>121</v>
      </c>
      <c r="E824" s="21">
        <f t="shared" si="35"/>
        <v>233.56999999999999</v>
      </c>
      <c r="F824" s="22"/>
      <c r="G824" s="21">
        <f t="shared" si="36"/>
        <v>233.05000000000001</v>
      </c>
      <c r="H824" s="22"/>
      <c r="I824" s="23" t="str">
        <f t="shared" si="37"/>
        <v xml:space="preserve">COM VALOR</v>
      </c>
      <c r="J824" s="19"/>
      <c r="L824" s="21">
        <v>233.56999999999999</v>
      </c>
      <c r="M824" s="22">
        <v>2.9999999999999999e-002</v>
      </c>
      <c r="N824" s="21">
        <v>233.05000000000001</v>
      </c>
      <c r="O824" s="22">
        <v>2.9999999999999999e-002</v>
      </c>
    </row>
    <row r="825" ht="51">
      <c r="A825" t="s">
        <v>804</v>
      </c>
      <c r="B825" s="19">
        <v>105674</v>
      </c>
      <c r="C825" s="20" t="s">
        <v>861</v>
      </c>
      <c r="D825" s="19" t="s">
        <v>121</v>
      </c>
      <c r="E825" s="21">
        <f t="shared" si="35"/>
        <v>262.94999999999999</v>
      </c>
      <c r="F825" s="22"/>
      <c r="G825" s="21">
        <f t="shared" si="36"/>
        <v>262.41000000000003</v>
      </c>
      <c r="H825" s="22"/>
      <c r="I825" s="23" t="str">
        <f t="shared" si="37"/>
        <v xml:space="preserve">COM VALOR</v>
      </c>
      <c r="J825" s="19"/>
      <c r="L825" s="21">
        <v>262.94999999999999</v>
      </c>
      <c r="M825" s="22">
        <v>2.9999999999999999e-002</v>
      </c>
      <c r="N825" s="21">
        <v>262.41000000000003</v>
      </c>
      <c r="O825" s="22">
        <v>2.9999999999999999e-002</v>
      </c>
    </row>
    <row r="826" ht="51">
      <c r="A826" t="s">
        <v>804</v>
      </c>
      <c r="B826" s="19">
        <v>105680</v>
      </c>
      <c r="C826" s="20" t="s">
        <v>862</v>
      </c>
      <c r="D826" s="19" t="s">
        <v>121</v>
      </c>
      <c r="E826" s="21">
        <f t="shared" si="35"/>
        <v>259.44</v>
      </c>
      <c r="F826" s="22"/>
      <c r="G826" s="21">
        <f t="shared" si="36"/>
        <v>258.95999999999998</v>
      </c>
      <c r="H826" s="22"/>
      <c r="I826" s="23" t="str">
        <f t="shared" si="37"/>
        <v xml:space="preserve">COM VALOR</v>
      </c>
      <c r="J826" s="19"/>
      <c r="L826" s="21">
        <v>259.44</v>
      </c>
      <c r="M826" s="22">
        <v>2.9999999999999999e-002</v>
      </c>
      <c r="N826" s="21">
        <v>258.95999999999998</v>
      </c>
      <c r="O826" s="22">
        <v>2.9999999999999999e-002</v>
      </c>
    </row>
    <row r="827" ht="51">
      <c r="A827" t="s">
        <v>804</v>
      </c>
      <c r="B827" s="19">
        <v>105686</v>
      </c>
      <c r="C827" s="20" t="s">
        <v>863</v>
      </c>
      <c r="D827" s="19" t="s">
        <v>121</v>
      </c>
      <c r="E827" s="21">
        <f t="shared" si="35"/>
        <v>257.67000000000002</v>
      </c>
      <c r="F827" s="22">
        <v>5.0000000000000003e-002</v>
      </c>
      <c r="G827" s="21">
        <f t="shared" si="36"/>
        <v>257.24000000000001</v>
      </c>
      <c r="H827" s="22">
        <v>5.0000000000000003e-002</v>
      </c>
      <c r="I827" s="23" t="str">
        <f t="shared" si="37"/>
        <v xml:space="preserve">COM VALOR</v>
      </c>
      <c r="J827" s="19"/>
      <c r="L827" s="21">
        <v>257.67000000000002</v>
      </c>
      <c r="M827" s="22">
        <v>2.e-002</v>
      </c>
      <c r="N827" s="21">
        <v>257.24000000000001</v>
      </c>
      <c r="O827" s="22">
        <v>2.e-002</v>
      </c>
    </row>
    <row r="828" ht="51">
      <c r="A828" t="s">
        <v>804</v>
      </c>
      <c r="B828" s="19">
        <v>105718</v>
      </c>
      <c r="C828" s="20" t="s">
        <v>864</v>
      </c>
      <c r="D828" s="19" t="s">
        <v>121</v>
      </c>
      <c r="E828" s="21">
        <f t="shared" si="35"/>
        <v>100.81</v>
      </c>
      <c r="F828" s="22">
        <v>4.0000000000000001e-002</v>
      </c>
      <c r="G828" s="21">
        <f t="shared" si="36"/>
        <v>99.989999999999995</v>
      </c>
      <c r="H828" s="22">
        <v>4.0000000000000001e-002</v>
      </c>
      <c r="I828" s="23" t="str">
        <f t="shared" si="37"/>
        <v xml:space="preserve">COM VALOR</v>
      </c>
      <c r="J828" s="19"/>
      <c r="L828" s="21">
        <v>100.81</v>
      </c>
      <c r="M828" s="22">
        <v>0.10000000000000001</v>
      </c>
      <c r="N828" s="21">
        <v>99.989999999999995</v>
      </c>
      <c r="O828" s="22">
        <v>0.10000000000000001</v>
      </c>
    </row>
    <row r="829" ht="51">
      <c r="A829" t="s">
        <v>804</v>
      </c>
      <c r="B829" s="19">
        <v>100565</v>
      </c>
      <c r="C829" s="20" t="s">
        <v>865</v>
      </c>
      <c r="D829" s="19" t="s">
        <v>121</v>
      </c>
      <c r="E829" s="21">
        <f t="shared" si="35"/>
        <v>93.640000000000001</v>
      </c>
      <c r="F829" s="22">
        <v>2.9999999999999999e-002</v>
      </c>
      <c r="G829" s="21">
        <f t="shared" si="36"/>
        <v>93.030000000000001</v>
      </c>
      <c r="H829" s="22">
        <v>2.9999999999999999e-002</v>
      </c>
      <c r="I829" s="23" t="str">
        <f t="shared" si="37"/>
        <v xml:space="preserve">COM VALOR</v>
      </c>
      <c r="J829" s="19"/>
      <c r="L829" s="21">
        <v>93.640000000000001</v>
      </c>
      <c r="M829" s="22">
        <v>8.0000000000000002e-002</v>
      </c>
      <c r="N829" s="21">
        <v>93.030000000000001</v>
      </c>
      <c r="O829" s="22">
        <v>8.0000000000000002e-002</v>
      </c>
    </row>
    <row r="830" ht="51">
      <c r="A830" t="s">
        <v>804</v>
      </c>
      <c r="B830" s="19">
        <v>105581</v>
      </c>
      <c r="C830" s="20" t="s">
        <v>866</v>
      </c>
      <c r="D830" s="19" t="s">
        <v>121</v>
      </c>
      <c r="E830" s="21">
        <f t="shared" si="35"/>
        <v>90.030000000000001</v>
      </c>
      <c r="F830" s="22"/>
      <c r="G830" s="21">
        <f t="shared" si="36"/>
        <v>89.510000000000005</v>
      </c>
      <c r="H830" s="22"/>
      <c r="I830" s="23" t="str">
        <f t="shared" si="37"/>
        <v xml:space="preserve">COM VALOR</v>
      </c>
      <c r="J830" s="19"/>
      <c r="L830" s="21">
        <v>90.030000000000001</v>
      </c>
      <c r="M830" s="22">
        <v>7.0000000000000007e-002</v>
      </c>
      <c r="N830" s="21">
        <v>89.510000000000005</v>
      </c>
      <c r="O830" s="22">
        <v>7.0000000000000007e-002</v>
      </c>
    </row>
    <row r="831" ht="51">
      <c r="A831" t="s">
        <v>804</v>
      </c>
      <c r="B831" s="19">
        <v>105713</v>
      </c>
      <c r="C831" s="20" t="s">
        <v>867</v>
      </c>
      <c r="D831" s="19" t="s">
        <v>121</v>
      </c>
      <c r="E831" s="21">
        <f t="shared" si="35"/>
        <v>132.00999999999999</v>
      </c>
      <c r="F831" s="22"/>
      <c r="G831" s="21">
        <f t="shared" si="36"/>
        <v>131.46000000000001</v>
      </c>
      <c r="H831" s="22"/>
      <c r="I831" s="23" t="str">
        <f t="shared" si="37"/>
        <v xml:space="preserve">COM VALOR</v>
      </c>
      <c r="J831" s="19"/>
      <c r="L831" s="21">
        <v>132.00999999999999</v>
      </c>
      <c r="M831" s="22">
        <v>5.9999999999999998e-002</v>
      </c>
      <c r="N831" s="21">
        <v>131.46000000000001</v>
      </c>
      <c r="O831" s="22">
        <v>5.9999999999999998e-002</v>
      </c>
    </row>
    <row r="832" ht="51">
      <c r="A832" t="s">
        <v>804</v>
      </c>
      <c r="B832" s="19">
        <v>105714</v>
      </c>
      <c r="C832" s="20" t="s">
        <v>868</v>
      </c>
      <c r="D832" s="19" t="s">
        <v>121</v>
      </c>
      <c r="E832" s="21">
        <f t="shared" si="35"/>
        <v>128.5</v>
      </c>
      <c r="F832" s="22"/>
      <c r="G832" s="21">
        <f t="shared" si="36"/>
        <v>128.00999999999999</v>
      </c>
      <c r="H832" s="22"/>
      <c r="I832" s="23" t="str">
        <f t="shared" si="37"/>
        <v xml:space="preserve">COM VALOR</v>
      </c>
      <c r="J832" s="19"/>
      <c r="L832" s="21">
        <v>128.5</v>
      </c>
      <c r="M832" s="22">
        <v>5.0000000000000003e-002</v>
      </c>
      <c r="N832" s="21">
        <v>128.00999999999999</v>
      </c>
      <c r="O832" s="22">
        <v>5.0000000000000003e-002</v>
      </c>
    </row>
    <row r="833" ht="51">
      <c r="A833" t="s">
        <v>804</v>
      </c>
      <c r="B833" s="19">
        <v>105716</v>
      </c>
      <c r="C833" s="20" t="s">
        <v>869</v>
      </c>
      <c r="D833" s="19" t="s">
        <v>121</v>
      </c>
      <c r="E833" s="21">
        <f t="shared" si="35"/>
        <v>126.73</v>
      </c>
      <c r="F833" s="22">
        <v>4.0000000000000001e-002</v>
      </c>
      <c r="G833" s="21">
        <f t="shared" si="36"/>
        <v>126.29000000000001</v>
      </c>
      <c r="H833" s="22">
        <v>4.0000000000000001e-002</v>
      </c>
      <c r="I833" s="23" t="str">
        <f t="shared" si="37"/>
        <v xml:space="preserve">COM VALOR</v>
      </c>
      <c r="J833" s="19"/>
      <c r="L833" s="21">
        <v>126.73</v>
      </c>
      <c r="M833" s="22">
        <v>5.0000000000000003e-002</v>
      </c>
      <c r="N833" s="21">
        <v>126.29000000000001</v>
      </c>
      <c r="O833" s="22">
        <v>5.0000000000000003e-002</v>
      </c>
    </row>
    <row r="834" ht="51">
      <c r="A834" t="s">
        <v>804</v>
      </c>
      <c r="B834" s="19">
        <v>105624</v>
      </c>
      <c r="C834" s="20" t="s">
        <v>870</v>
      </c>
      <c r="D834" s="19" t="s">
        <v>121</v>
      </c>
      <c r="E834" s="21">
        <f t="shared" si="35"/>
        <v>133.03</v>
      </c>
      <c r="F834" s="22">
        <v>2.9999999999999999e-002</v>
      </c>
      <c r="G834" s="21">
        <f t="shared" si="36"/>
        <v>132.56999999999999</v>
      </c>
      <c r="H834" s="22">
        <v>2.9999999999999999e-002</v>
      </c>
      <c r="I834" s="23" t="str">
        <f t="shared" si="37"/>
        <v xml:space="preserve">COM VALOR</v>
      </c>
      <c r="J834" s="19"/>
      <c r="L834" s="21">
        <v>133.03</v>
      </c>
      <c r="M834" s="22">
        <v>5.0000000000000003e-002</v>
      </c>
      <c r="N834" s="21">
        <v>132.56999999999999</v>
      </c>
      <c r="O834" s="22">
        <v>5.0000000000000003e-002</v>
      </c>
    </row>
    <row r="835" ht="51">
      <c r="A835" t="s">
        <v>804</v>
      </c>
      <c r="B835" s="19">
        <v>96391</v>
      </c>
      <c r="C835" s="20" t="s">
        <v>871</v>
      </c>
      <c r="D835" s="19" t="s">
        <v>121</v>
      </c>
      <c r="E835" s="21">
        <f t="shared" si="35"/>
        <v>127.26000000000001</v>
      </c>
      <c r="F835" s="22">
        <v>2.9999999999999999e-002</v>
      </c>
      <c r="G835" s="21">
        <f t="shared" si="36"/>
        <v>126.97</v>
      </c>
      <c r="H835" s="22">
        <v>2.9999999999999999e-002</v>
      </c>
      <c r="I835" s="23" t="str">
        <f t="shared" si="37"/>
        <v xml:space="preserve">COM VALOR</v>
      </c>
      <c r="J835" s="19"/>
      <c r="L835" s="21">
        <v>127.26000000000001</v>
      </c>
      <c r="M835" s="22">
        <v>2.9999999999999999e-002</v>
      </c>
      <c r="N835" s="21">
        <v>126.97</v>
      </c>
      <c r="O835" s="22">
        <v>2.9999999999999999e-002</v>
      </c>
    </row>
    <row r="836" ht="51">
      <c r="A836" t="s">
        <v>804</v>
      </c>
      <c r="B836" s="19">
        <v>105632</v>
      </c>
      <c r="C836" s="20" t="s">
        <v>872</v>
      </c>
      <c r="D836" s="19" t="s">
        <v>121</v>
      </c>
      <c r="E836" s="21">
        <f t="shared" si="35"/>
        <v>126.31</v>
      </c>
      <c r="F836" s="22"/>
      <c r="G836" s="21">
        <f t="shared" si="36"/>
        <v>126.01000000000001</v>
      </c>
      <c r="H836" s="22"/>
      <c r="I836" s="23" t="str">
        <f t="shared" si="37"/>
        <v xml:space="preserve">COM VALOR</v>
      </c>
      <c r="J836" s="19"/>
      <c r="L836" s="21">
        <v>126.31</v>
      </c>
      <c r="M836" s="22">
        <v>2.9999999999999999e-002</v>
      </c>
      <c r="N836" s="21">
        <v>126.01000000000001</v>
      </c>
      <c r="O836" s="22">
        <v>2.9999999999999999e-002</v>
      </c>
    </row>
    <row r="837" ht="51">
      <c r="A837" t="s">
        <v>804</v>
      </c>
      <c r="B837" s="19">
        <v>105601</v>
      </c>
      <c r="C837" s="20" t="s">
        <v>873</v>
      </c>
      <c r="D837" s="19" t="s">
        <v>121</v>
      </c>
      <c r="E837" s="21">
        <f t="shared" si="35"/>
        <v>124.73999999999999</v>
      </c>
      <c r="F837" s="22"/>
      <c r="G837" s="21">
        <f t="shared" si="36"/>
        <v>124.34</v>
      </c>
      <c r="H837" s="22"/>
      <c r="I837" s="23" t="str">
        <f t="shared" si="37"/>
        <v xml:space="preserve">COM VALOR</v>
      </c>
      <c r="J837" s="19"/>
      <c r="L837" s="21">
        <v>124.73999999999999</v>
      </c>
      <c r="M837" s="22">
        <v>4.0000000000000001e-002</v>
      </c>
      <c r="N837" s="21">
        <v>124.34</v>
      </c>
      <c r="O837" s="22">
        <v>4.0000000000000001e-002</v>
      </c>
    </row>
    <row r="838" ht="51">
      <c r="A838" t="s">
        <v>804</v>
      </c>
      <c r="B838" s="19">
        <v>105609</v>
      </c>
      <c r="C838" s="20" t="s">
        <v>874</v>
      </c>
      <c r="D838" s="19" t="s">
        <v>121</v>
      </c>
      <c r="E838" s="21">
        <f t="shared" si="35"/>
        <v>122.45</v>
      </c>
      <c r="F838" s="22"/>
      <c r="G838" s="21">
        <f t="shared" si="36"/>
        <v>122.09</v>
      </c>
      <c r="H838" s="22"/>
      <c r="I838" s="23" t="str">
        <f t="shared" si="37"/>
        <v xml:space="preserve">COM VALOR</v>
      </c>
      <c r="J838" s="19"/>
      <c r="L838" s="21">
        <v>122.45</v>
      </c>
      <c r="M838" s="22">
        <v>4.0000000000000001e-002</v>
      </c>
      <c r="N838" s="21">
        <v>122.09</v>
      </c>
      <c r="O838" s="22">
        <v>4.0000000000000001e-002</v>
      </c>
    </row>
    <row r="839" ht="51">
      <c r="A839" t="s">
        <v>804</v>
      </c>
      <c r="B839" s="19">
        <v>105617</v>
      </c>
      <c r="C839" s="20" t="s">
        <v>875</v>
      </c>
      <c r="D839" s="19" t="s">
        <v>121</v>
      </c>
      <c r="E839" s="21">
        <f t="shared" si="35"/>
        <v>120.78</v>
      </c>
      <c r="F839" s="22">
        <v>0.11</v>
      </c>
      <c r="G839" s="21">
        <f t="shared" si="36"/>
        <v>120.45</v>
      </c>
      <c r="H839" s="22">
        <v>0.11</v>
      </c>
      <c r="I839" s="23" t="str">
        <f t="shared" si="37"/>
        <v xml:space="preserve">COM VALOR</v>
      </c>
      <c r="J839" s="19"/>
      <c r="L839" s="21">
        <v>120.78</v>
      </c>
      <c r="M839" s="22">
        <v>2.9999999999999999e-002</v>
      </c>
      <c r="N839" s="21">
        <v>120.45</v>
      </c>
      <c r="O839" s="22">
        <v>2.9999999999999999e-002</v>
      </c>
    </row>
    <row r="840" ht="51">
      <c r="A840" t="s">
        <v>804</v>
      </c>
      <c r="B840" s="19">
        <v>105625</v>
      </c>
      <c r="C840" s="20" t="s">
        <v>876</v>
      </c>
      <c r="D840" s="19" t="s">
        <v>121</v>
      </c>
      <c r="E840" s="21">
        <f t="shared" si="35"/>
        <v>168.77000000000001</v>
      </c>
      <c r="F840" s="22">
        <v>8.9999999999999997e-002</v>
      </c>
      <c r="G840" s="21">
        <f t="shared" si="36"/>
        <v>168.31</v>
      </c>
      <c r="H840" s="22">
        <v>8.9999999999999997e-002</v>
      </c>
      <c r="I840" s="23" t="str">
        <f t="shared" si="37"/>
        <v xml:space="preserve">COM VALOR</v>
      </c>
      <c r="J840" s="19"/>
      <c r="L840" s="21">
        <v>168.77000000000001</v>
      </c>
      <c r="M840" s="22">
        <v>4.0000000000000001e-002</v>
      </c>
      <c r="N840" s="21">
        <v>168.31</v>
      </c>
      <c r="O840" s="22">
        <v>4.0000000000000001e-002</v>
      </c>
    </row>
    <row r="841" ht="51">
      <c r="A841" t="s">
        <v>804</v>
      </c>
      <c r="B841" s="19">
        <v>96392</v>
      </c>
      <c r="C841" s="20" t="s">
        <v>877</v>
      </c>
      <c r="D841" s="19" t="s">
        <v>121</v>
      </c>
      <c r="E841" s="21">
        <f t="shared" si="35"/>
        <v>163</v>
      </c>
      <c r="F841" s="22">
        <v>8.0000000000000002e-002</v>
      </c>
      <c r="G841" s="21">
        <f t="shared" si="36"/>
        <v>162.71000000000001</v>
      </c>
      <c r="H841" s="22">
        <v>8.0000000000000002e-002</v>
      </c>
      <c r="I841" s="23" t="str">
        <f t="shared" si="37"/>
        <v xml:space="preserve">COM VALOR</v>
      </c>
      <c r="J841" s="19"/>
      <c r="L841" s="21">
        <v>163</v>
      </c>
      <c r="M841" s="22">
        <v>2.9999999999999999e-002</v>
      </c>
      <c r="N841" s="21">
        <v>162.71000000000001</v>
      </c>
      <c r="O841" s="22">
        <v>2.9999999999999999e-002</v>
      </c>
    </row>
    <row r="842" ht="51">
      <c r="A842" t="s">
        <v>804</v>
      </c>
      <c r="B842" s="19">
        <v>105633</v>
      </c>
      <c r="C842" s="20" t="s">
        <v>878</v>
      </c>
      <c r="D842" s="19" t="s">
        <v>121</v>
      </c>
      <c r="E842" s="21">
        <f t="shared" si="35"/>
        <v>162.05000000000001</v>
      </c>
      <c r="F842" s="22"/>
      <c r="G842" s="21">
        <f t="shared" si="36"/>
        <v>161.75</v>
      </c>
      <c r="H842" s="22"/>
      <c r="I842" s="23" t="str">
        <f t="shared" si="37"/>
        <v xml:space="preserve">COM VALOR</v>
      </c>
      <c r="J842" s="19"/>
      <c r="L842" s="21">
        <v>162.05000000000001</v>
      </c>
      <c r="M842" s="22">
        <v>2.e-002</v>
      </c>
      <c r="N842" s="21">
        <v>161.75</v>
      </c>
      <c r="O842" s="22">
        <v>2.e-002</v>
      </c>
    </row>
    <row r="843" ht="51">
      <c r="A843" t="s">
        <v>804</v>
      </c>
      <c r="B843" s="19">
        <v>105602</v>
      </c>
      <c r="C843" s="20" t="s">
        <v>879</v>
      </c>
      <c r="D843" s="19" t="s">
        <v>121</v>
      </c>
      <c r="E843" s="21">
        <f t="shared" ref="E843:E906" si="38">IF(L843=0,"VERIFICAR",L843)</f>
        <v>159.56999999999999</v>
      </c>
      <c r="F843" s="22"/>
      <c r="G843" s="21">
        <f t="shared" ref="G843:G906" si="39">IF(N843=0,"VERIFICAR",N843)</f>
        <v>159.18000000000001</v>
      </c>
      <c r="H843" s="22"/>
      <c r="I843" s="23" t="str">
        <f t="shared" ref="I843:I906" si="40">IF(OR(E843=0,G843=0),"SEM VALOR","COM VALOR")</f>
        <v xml:space="preserve">COM VALOR</v>
      </c>
      <c r="J843" s="19"/>
      <c r="L843" s="21">
        <v>159.56999999999999</v>
      </c>
      <c r="M843" s="22">
        <v>2.9999999999999999e-002</v>
      </c>
      <c r="N843" s="21">
        <v>159.18000000000001</v>
      </c>
      <c r="O843" s="22">
        <v>2.9999999999999999e-002</v>
      </c>
    </row>
    <row r="844" ht="51">
      <c r="A844" t="s">
        <v>804</v>
      </c>
      <c r="B844" s="19">
        <v>105610</v>
      </c>
      <c r="C844" s="20" t="s">
        <v>880</v>
      </c>
      <c r="D844" s="19" t="s">
        <v>121</v>
      </c>
      <c r="E844" s="21">
        <f t="shared" si="38"/>
        <v>157.28</v>
      </c>
      <c r="F844" s="22"/>
      <c r="G844" s="21">
        <f t="shared" si="39"/>
        <v>156.93000000000001</v>
      </c>
      <c r="H844" s="22"/>
      <c r="I844" s="23" t="str">
        <f t="shared" si="40"/>
        <v xml:space="preserve">COM VALOR</v>
      </c>
      <c r="J844" s="19"/>
      <c r="L844" s="21">
        <v>157.28</v>
      </c>
      <c r="M844" s="22">
        <v>2.9999999999999999e-002</v>
      </c>
      <c r="N844" s="21">
        <v>156.93000000000001</v>
      </c>
      <c r="O844" s="22">
        <v>2.9999999999999999e-002</v>
      </c>
    </row>
    <row r="845" ht="51">
      <c r="A845" t="s">
        <v>804</v>
      </c>
      <c r="B845" s="19">
        <v>105618</v>
      </c>
      <c r="C845" s="20" t="s">
        <v>881</v>
      </c>
      <c r="D845" s="19" t="s">
        <v>121</v>
      </c>
      <c r="E845" s="21">
        <f t="shared" si="38"/>
        <v>155.61000000000001</v>
      </c>
      <c r="F845" s="22">
        <v>7.0000000000000007e-002</v>
      </c>
      <c r="G845" s="21">
        <f t="shared" si="39"/>
        <v>155.28999999999999</v>
      </c>
      <c r="H845" s="22">
        <v>7.0000000000000007e-002</v>
      </c>
      <c r="I845" s="23" t="str">
        <f t="shared" si="40"/>
        <v xml:space="preserve">COM VALOR</v>
      </c>
      <c r="J845" s="19"/>
      <c r="L845" s="21">
        <v>155.61000000000001</v>
      </c>
      <c r="M845" s="22">
        <v>2.9999999999999999e-002</v>
      </c>
      <c r="N845" s="21">
        <v>155.28999999999999</v>
      </c>
      <c r="O845" s="22">
        <v>2.9999999999999999e-002</v>
      </c>
    </row>
    <row r="846" ht="51">
      <c r="A846" t="s">
        <v>804</v>
      </c>
      <c r="B846" s="19">
        <v>105571</v>
      </c>
      <c r="C846" s="20" t="s">
        <v>882</v>
      </c>
      <c r="D846" s="19" t="s">
        <v>121</v>
      </c>
      <c r="E846" s="21">
        <f t="shared" si="38"/>
        <v>59.579999999999998</v>
      </c>
      <c r="F846" s="22">
        <v>5.0000000000000003e-002</v>
      </c>
      <c r="G846" s="21">
        <f t="shared" si="39"/>
        <v>59.119999999999997</v>
      </c>
      <c r="H846" s="22">
        <v>5.0000000000000003e-002</v>
      </c>
      <c r="I846" s="23" t="str">
        <f t="shared" si="40"/>
        <v xml:space="preserve">COM VALOR</v>
      </c>
      <c r="J846" s="19"/>
      <c r="L846" s="21">
        <v>59.579999999999998</v>
      </c>
      <c r="M846" s="22">
        <v>0.10000000000000001</v>
      </c>
      <c r="N846" s="21">
        <v>59.119999999999997</v>
      </c>
      <c r="O846" s="22">
        <v>0.10000000000000001</v>
      </c>
    </row>
    <row r="847" ht="51">
      <c r="A847" t="s">
        <v>804</v>
      </c>
      <c r="B847" s="19">
        <v>96389</v>
      </c>
      <c r="C847" s="20" t="s">
        <v>883</v>
      </c>
      <c r="D847" s="19" t="s">
        <v>121</v>
      </c>
      <c r="E847" s="21">
        <f t="shared" si="38"/>
        <v>53.810000000000002</v>
      </c>
      <c r="F847" s="22">
        <v>5.0000000000000003e-002</v>
      </c>
      <c r="G847" s="21">
        <f t="shared" si="39"/>
        <v>53.520000000000003</v>
      </c>
      <c r="H847" s="22">
        <v>5.0000000000000003e-002</v>
      </c>
      <c r="I847" s="23" t="str">
        <f t="shared" si="40"/>
        <v xml:space="preserve">COM VALOR</v>
      </c>
      <c r="J847" s="19"/>
      <c r="L847" s="21">
        <v>53.810000000000002</v>
      </c>
      <c r="M847" s="22">
        <v>8.0000000000000002e-002</v>
      </c>
      <c r="N847" s="21">
        <v>53.520000000000003</v>
      </c>
      <c r="O847" s="22">
        <v>8.0000000000000002e-002</v>
      </c>
    </row>
    <row r="848" ht="51">
      <c r="A848" t="s">
        <v>804</v>
      </c>
      <c r="B848" s="19">
        <v>105575</v>
      </c>
      <c r="C848" s="20" t="s">
        <v>884</v>
      </c>
      <c r="D848" s="19" t="s">
        <v>121</v>
      </c>
      <c r="E848" s="21">
        <f t="shared" si="38"/>
        <v>52.859999999999999</v>
      </c>
      <c r="F848" s="22"/>
      <c r="G848" s="21">
        <f t="shared" si="39"/>
        <v>52.560000000000002</v>
      </c>
      <c r="H848" s="22"/>
      <c r="I848" s="23" t="str">
        <f t="shared" si="40"/>
        <v xml:space="preserve">COM VALOR</v>
      </c>
      <c r="J848" s="19"/>
      <c r="L848" s="21">
        <v>52.859999999999999</v>
      </c>
      <c r="M848" s="22">
        <v>7.0000000000000007e-002</v>
      </c>
      <c r="N848" s="21">
        <v>52.560000000000002</v>
      </c>
      <c r="O848" s="22">
        <v>7.0000000000000007e-002</v>
      </c>
    </row>
    <row r="849" ht="51">
      <c r="A849" t="s">
        <v>804</v>
      </c>
      <c r="B849" s="19">
        <v>105599</v>
      </c>
      <c r="C849" s="20" t="s">
        <v>885</v>
      </c>
      <c r="D849" s="19" t="s">
        <v>121</v>
      </c>
      <c r="E849" s="21">
        <f t="shared" si="38"/>
        <v>55.060000000000002</v>
      </c>
      <c r="F849" s="22"/>
      <c r="G849" s="21">
        <f t="shared" si="39"/>
        <v>54.670000000000002</v>
      </c>
      <c r="H849" s="22"/>
      <c r="I849" s="23" t="str">
        <f t="shared" si="40"/>
        <v xml:space="preserve">COM VALOR</v>
      </c>
      <c r="J849" s="19"/>
      <c r="L849" s="21">
        <v>55.060000000000002</v>
      </c>
      <c r="M849" s="22">
        <v>0.10000000000000001</v>
      </c>
      <c r="N849" s="21">
        <v>54.670000000000002</v>
      </c>
      <c r="O849" s="22">
        <v>0.10000000000000001</v>
      </c>
    </row>
    <row r="850" ht="51">
      <c r="A850" t="s">
        <v>804</v>
      </c>
      <c r="B850" s="19">
        <v>105607</v>
      </c>
      <c r="C850" s="20" t="s">
        <v>886</v>
      </c>
      <c r="D850" s="19" t="s">
        <v>121</v>
      </c>
      <c r="E850" s="21">
        <f t="shared" si="38"/>
        <v>52.770000000000003</v>
      </c>
      <c r="F850" s="22"/>
      <c r="G850" s="21">
        <f t="shared" si="39"/>
        <v>52.420000000000002</v>
      </c>
      <c r="H850" s="22"/>
      <c r="I850" s="23" t="str">
        <f t="shared" si="40"/>
        <v xml:space="preserve">COM VALOR</v>
      </c>
      <c r="J850" s="19"/>
      <c r="L850" s="21">
        <v>52.770000000000003</v>
      </c>
      <c r="M850" s="22">
        <v>8.9999999999999997e-002</v>
      </c>
      <c r="N850" s="21">
        <v>52.420000000000002</v>
      </c>
      <c r="O850" s="22">
        <v>8.9999999999999997e-002</v>
      </c>
    </row>
    <row r="851" ht="51">
      <c r="A851" t="s">
        <v>804</v>
      </c>
      <c r="B851" s="19">
        <v>105615</v>
      </c>
      <c r="C851" s="20" t="s">
        <v>887</v>
      </c>
      <c r="D851" s="19" t="s">
        <v>121</v>
      </c>
      <c r="E851" s="21">
        <f t="shared" si="38"/>
        <v>51.100000000000001</v>
      </c>
      <c r="F851" s="22">
        <v>0.11</v>
      </c>
      <c r="G851" s="21">
        <f t="shared" si="39"/>
        <v>50.780000000000001</v>
      </c>
      <c r="H851" s="22">
        <v>0.11</v>
      </c>
      <c r="I851" s="23" t="str">
        <f t="shared" si="40"/>
        <v xml:space="preserve">COM VALOR</v>
      </c>
      <c r="J851" s="19"/>
      <c r="L851" s="21">
        <v>51.100000000000001</v>
      </c>
      <c r="M851" s="22">
        <v>8.0000000000000002e-002</v>
      </c>
      <c r="N851" s="21">
        <v>50.780000000000001</v>
      </c>
      <c r="O851" s="22">
        <v>8.0000000000000002e-002</v>
      </c>
    </row>
    <row r="852" ht="51">
      <c r="A852" t="s">
        <v>804</v>
      </c>
      <c r="B852" s="19">
        <v>105623</v>
      </c>
      <c r="C852" s="20" t="s">
        <v>888</v>
      </c>
      <c r="D852" s="19" t="s">
        <v>121</v>
      </c>
      <c r="E852" s="21">
        <f t="shared" si="38"/>
        <v>96.799999999999997</v>
      </c>
      <c r="F852" s="22">
        <v>8.9999999999999997e-002</v>
      </c>
      <c r="G852" s="21">
        <f t="shared" si="39"/>
        <v>96.340000000000003</v>
      </c>
      <c r="H852" s="22">
        <v>8.9999999999999997e-002</v>
      </c>
      <c r="I852" s="23" t="str">
        <f t="shared" si="40"/>
        <v xml:space="preserve">COM VALOR</v>
      </c>
      <c r="J852" s="19"/>
      <c r="L852" s="21">
        <v>96.799999999999997</v>
      </c>
      <c r="M852" s="22">
        <v>6.25e-002</v>
      </c>
      <c r="N852" s="21">
        <v>96.340000000000003</v>
      </c>
      <c r="O852" s="22">
        <v>5.9999999999999998e-002</v>
      </c>
    </row>
    <row r="853" ht="51">
      <c r="A853" t="s">
        <v>804</v>
      </c>
      <c r="B853" s="19">
        <v>96390</v>
      </c>
      <c r="C853" s="20" t="s">
        <v>889</v>
      </c>
      <c r="D853" s="19" t="s">
        <v>121</v>
      </c>
      <c r="E853" s="21">
        <f t="shared" si="38"/>
        <v>91.030000000000001</v>
      </c>
      <c r="F853" s="22">
        <v>8.9999999999999997e-002</v>
      </c>
      <c r="G853" s="21">
        <f t="shared" si="39"/>
        <v>90.739999999999995</v>
      </c>
      <c r="H853" s="22">
        <v>8.9999999999999997e-002</v>
      </c>
      <c r="I853" s="23" t="str">
        <f t="shared" si="40"/>
        <v xml:space="preserve">COM VALOR</v>
      </c>
      <c r="J853" s="19"/>
      <c r="L853" s="21">
        <v>91.030000000000001</v>
      </c>
      <c r="M853" s="22">
        <v>5.0000000000000003e-002</v>
      </c>
      <c r="N853" s="21">
        <v>90.739999999999995</v>
      </c>
      <c r="O853" s="22">
        <v>5.0000000000000003e-002</v>
      </c>
    </row>
    <row r="854" ht="51">
      <c r="A854" t="s">
        <v>804</v>
      </c>
      <c r="B854" s="19">
        <v>105631</v>
      </c>
      <c r="C854" s="20" t="s">
        <v>890</v>
      </c>
      <c r="D854" s="19" t="s">
        <v>121</v>
      </c>
      <c r="E854" s="21">
        <f t="shared" si="38"/>
        <v>90.079999999999998</v>
      </c>
      <c r="F854" s="22"/>
      <c r="G854" s="21">
        <f t="shared" si="39"/>
        <v>89.780000000000001</v>
      </c>
      <c r="H854" s="22"/>
      <c r="I854" s="23" t="str">
        <f t="shared" si="40"/>
        <v xml:space="preserve">COM VALOR</v>
      </c>
      <c r="J854" s="19"/>
      <c r="L854" s="21">
        <v>90.079999999999998</v>
      </c>
      <c r="M854" s="22">
        <v>4.0000000000000001e-002</v>
      </c>
      <c r="N854" s="21">
        <v>89.780000000000001</v>
      </c>
      <c r="O854" s="22">
        <v>4.0000000000000001e-002</v>
      </c>
    </row>
    <row r="855" ht="51">
      <c r="A855" t="s">
        <v>804</v>
      </c>
      <c r="B855" s="19">
        <v>105600</v>
      </c>
      <c r="C855" s="20" t="s">
        <v>891</v>
      </c>
      <c r="D855" s="19" t="s">
        <v>121</v>
      </c>
      <c r="E855" s="21">
        <f t="shared" si="38"/>
        <v>89.900000000000006</v>
      </c>
      <c r="F855" s="22"/>
      <c r="G855" s="21">
        <f t="shared" si="39"/>
        <v>89.5</v>
      </c>
      <c r="H855" s="22"/>
      <c r="I855" s="23" t="str">
        <f t="shared" si="40"/>
        <v xml:space="preserve">COM VALOR</v>
      </c>
      <c r="J855" s="19"/>
      <c r="L855" s="21">
        <v>89.900000000000006</v>
      </c>
      <c r="M855" s="22">
        <v>5.9999999999999998e-002</v>
      </c>
      <c r="N855" s="21">
        <v>89.5</v>
      </c>
      <c r="O855" s="22">
        <v>5.9999999999999998e-002</v>
      </c>
    </row>
    <row r="856" ht="51">
      <c r="A856" t="s">
        <v>804</v>
      </c>
      <c r="B856" s="19">
        <v>105608</v>
      </c>
      <c r="C856" s="20" t="s">
        <v>892</v>
      </c>
      <c r="D856" s="19" t="s">
        <v>121</v>
      </c>
      <c r="E856" s="21">
        <f t="shared" si="38"/>
        <v>87.609999999999999</v>
      </c>
      <c r="F856" s="22"/>
      <c r="G856" s="21">
        <f t="shared" si="39"/>
        <v>87.25</v>
      </c>
      <c r="H856" s="22"/>
      <c r="I856" s="23" t="str">
        <f t="shared" si="40"/>
        <v xml:space="preserve">COM VALOR</v>
      </c>
      <c r="J856" s="19"/>
      <c r="L856" s="21">
        <v>87.609999999999999</v>
      </c>
      <c r="M856" s="22">
        <v>5.0000000000000003e-002</v>
      </c>
      <c r="N856" s="21">
        <v>87.25</v>
      </c>
      <c r="O856" s="22">
        <v>5.0000000000000003e-002</v>
      </c>
    </row>
    <row r="857" ht="51">
      <c r="A857" t="s">
        <v>804</v>
      </c>
      <c r="B857" s="19">
        <v>105616</v>
      </c>
      <c r="C857" s="20" t="s">
        <v>893</v>
      </c>
      <c r="D857" s="19" t="s">
        <v>121</v>
      </c>
      <c r="E857" s="21">
        <f t="shared" si="38"/>
        <v>85.939999999999998</v>
      </c>
      <c r="F857" s="22">
        <v>0.13</v>
      </c>
      <c r="G857" s="21">
        <f t="shared" si="39"/>
        <v>85.609999999999999</v>
      </c>
      <c r="H857" s="22">
        <v>0.13</v>
      </c>
      <c r="I857" s="23" t="str">
        <f t="shared" si="40"/>
        <v xml:space="preserve">COM VALOR</v>
      </c>
      <c r="J857" s="19"/>
      <c r="L857" s="21">
        <v>85.939999999999998</v>
      </c>
      <c r="M857" s="22">
        <v>5.0000000000000003e-002</v>
      </c>
      <c r="N857" s="21">
        <v>85.609999999999999</v>
      </c>
      <c r="O857" s="22">
        <v>5.0000000000000003e-002</v>
      </c>
    </row>
    <row r="858" ht="51">
      <c r="A858" t="s">
        <v>804</v>
      </c>
      <c r="B858" s="19">
        <v>105585</v>
      </c>
      <c r="C858" s="20" t="s">
        <v>894</v>
      </c>
      <c r="D858" s="19" t="s">
        <v>121</v>
      </c>
      <c r="E858" s="21">
        <f t="shared" si="38"/>
        <v>122.56</v>
      </c>
      <c r="F858" s="22">
        <v>0.10000000000000001</v>
      </c>
      <c r="G858" s="21">
        <f t="shared" si="39"/>
        <v>121.54000000000001</v>
      </c>
      <c r="H858" s="22">
        <v>0.10000000000000001</v>
      </c>
      <c r="I858" s="23" t="str">
        <f t="shared" si="40"/>
        <v xml:space="preserve">COM VALOR</v>
      </c>
      <c r="J858" s="19"/>
      <c r="L858" s="21">
        <v>122.56</v>
      </c>
      <c r="M858" s="22">
        <v>0.105</v>
      </c>
      <c r="N858" s="21">
        <v>121.54000000000001</v>
      </c>
      <c r="O858" s="22">
        <v>0.11</v>
      </c>
    </row>
    <row r="859" ht="51">
      <c r="A859" t="s">
        <v>804</v>
      </c>
      <c r="B859" s="19">
        <v>100572</v>
      </c>
      <c r="C859" s="20" t="s">
        <v>895</v>
      </c>
      <c r="D859" s="19" t="s">
        <v>121</v>
      </c>
      <c r="E859" s="21">
        <f t="shared" si="38"/>
        <v>112.77</v>
      </c>
      <c r="F859" s="22">
        <v>0.10000000000000001</v>
      </c>
      <c r="G859" s="21">
        <f t="shared" si="39"/>
        <v>112.01000000000001</v>
      </c>
      <c r="H859" s="22">
        <v>0.10000000000000001</v>
      </c>
      <c r="I859" s="23" t="str">
        <f t="shared" si="40"/>
        <v xml:space="preserve">COM VALOR</v>
      </c>
      <c r="J859" s="19"/>
      <c r="L859" s="21">
        <v>112.77</v>
      </c>
      <c r="M859" s="22">
        <v>8.9999999999999997e-002</v>
      </c>
      <c r="N859" s="21">
        <v>112.01000000000001</v>
      </c>
      <c r="O859" s="22">
        <v>8.9999999999999997e-002</v>
      </c>
    </row>
    <row r="860" ht="51">
      <c r="A860" t="s">
        <v>804</v>
      </c>
      <c r="B860" s="19">
        <v>105588</v>
      </c>
      <c r="C860" s="20" t="s">
        <v>896</v>
      </c>
      <c r="D860" s="19" t="s">
        <v>121</v>
      </c>
      <c r="E860" s="21">
        <f t="shared" si="38"/>
        <v>111.76000000000001</v>
      </c>
      <c r="F860" s="22"/>
      <c r="G860" s="21">
        <f t="shared" si="39"/>
        <v>111.01000000000001</v>
      </c>
      <c r="H860" s="22"/>
      <c r="I860" s="23" t="str">
        <f t="shared" si="40"/>
        <v xml:space="preserve">COM VALOR</v>
      </c>
      <c r="J860" s="19"/>
      <c r="L860" s="21">
        <v>111.76000000000001</v>
      </c>
      <c r="M860" s="22">
        <v>8.0000000000000002e-002</v>
      </c>
      <c r="N860" s="21">
        <v>111.01000000000001</v>
      </c>
      <c r="O860" s="22">
        <v>8.0000000000000002e-002</v>
      </c>
    </row>
    <row r="861" ht="51">
      <c r="A861" t="s">
        <v>804</v>
      </c>
      <c r="B861" s="19">
        <v>105583</v>
      </c>
      <c r="C861" s="20" t="s">
        <v>897</v>
      </c>
      <c r="D861" s="19" t="s">
        <v>121</v>
      </c>
      <c r="E861" s="21">
        <f t="shared" si="38"/>
        <v>159.06</v>
      </c>
      <c r="F861" s="22"/>
      <c r="G861" s="21">
        <f t="shared" si="39"/>
        <v>158.36000000000001</v>
      </c>
      <c r="H861" s="22"/>
      <c r="I861" s="23" t="str">
        <f t="shared" si="40"/>
        <v xml:space="preserve">COM VALOR</v>
      </c>
      <c r="J861" s="19"/>
      <c r="L861" s="21">
        <v>159.06</v>
      </c>
      <c r="M861" s="22">
        <v>7.0000000000000007e-002</v>
      </c>
      <c r="N861" s="21">
        <v>158.36000000000001</v>
      </c>
      <c r="O861" s="22">
        <v>7.0000000000000007e-002</v>
      </c>
    </row>
    <row r="862" ht="51">
      <c r="A862" t="s">
        <v>804</v>
      </c>
      <c r="B862" s="19">
        <v>105719</v>
      </c>
      <c r="C862" s="20" t="s">
        <v>898</v>
      </c>
      <c r="D862" s="19" t="s">
        <v>121</v>
      </c>
      <c r="E862" s="21">
        <f t="shared" si="38"/>
        <v>153.55000000000001</v>
      </c>
      <c r="F862" s="22"/>
      <c r="G862" s="21">
        <f t="shared" si="39"/>
        <v>153</v>
      </c>
      <c r="H862" s="22"/>
      <c r="I862" s="23" t="str">
        <f t="shared" si="40"/>
        <v xml:space="preserve">COM VALOR</v>
      </c>
      <c r="J862" s="19"/>
      <c r="L862" s="21">
        <v>153.55000000000001</v>
      </c>
      <c r="M862" s="22">
        <v>5.9999999999999998e-002</v>
      </c>
      <c r="N862" s="21">
        <v>153</v>
      </c>
      <c r="O862" s="22">
        <v>5.9999999999999998e-002</v>
      </c>
    </row>
    <row r="863" ht="51">
      <c r="A863" t="s">
        <v>804</v>
      </c>
      <c r="B863" s="19">
        <v>105721</v>
      </c>
      <c r="C863" s="20" t="s">
        <v>899</v>
      </c>
      <c r="D863" s="19" t="s">
        <v>121</v>
      </c>
      <c r="E863" s="21">
        <f t="shared" si="38"/>
        <v>153.75999999999999</v>
      </c>
      <c r="F863" s="22">
        <v>0.37</v>
      </c>
      <c r="G863" s="21">
        <f t="shared" si="39"/>
        <v>153.16999999999999</v>
      </c>
      <c r="H863" s="22">
        <v>0.38</v>
      </c>
      <c r="I863" s="23" t="str">
        <f t="shared" si="40"/>
        <v xml:space="preserve">COM VALOR</v>
      </c>
      <c r="J863" s="19"/>
      <c r="L863" s="21">
        <v>153.75999999999999</v>
      </c>
      <c r="M863" s="22">
        <v>5.9999999999999998e-002</v>
      </c>
      <c r="N863" s="21">
        <v>153.16999999999999</v>
      </c>
      <c r="O863" s="22">
        <v>5.9999999999999998e-002</v>
      </c>
    </row>
    <row r="864" ht="51">
      <c r="A864" t="s">
        <v>804</v>
      </c>
      <c r="B864" s="19">
        <v>105592</v>
      </c>
      <c r="C864" s="20" t="s">
        <v>900</v>
      </c>
      <c r="D864" s="19" t="s">
        <v>121</v>
      </c>
      <c r="E864" s="21">
        <f t="shared" si="38"/>
        <v>108.73999999999999</v>
      </c>
      <c r="F864" s="22">
        <v>0.37</v>
      </c>
      <c r="G864" s="21">
        <f t="shared" si="39"/>
        <v>107.72</v>
      </c>
      <c r="H864" s="22">
        <v>0.38</v>
      </c>
      <c r="I864" s="23" t="str">
        <f t="shared" si="40"/>
        <v xml:space="preserve">COM VALOR</v>
      </c>
      <c r="J864" s="19"/>
      <c r="L864" s="21">
        <v>108.73999999999999</v>
      </c>
      <c r="M864" s="22">
        <v>0.12</v>
      </c>
      <c r="N864" s="21">
        <v>107.72</v>
      </c>
      <c r="O864" s="22">
        <v>0.12</v>
      </c>
    </row>
    <row r="865" ht="51">
      <c r="A865" t="s">
        <v>804</v>
      </c>
      <c r="B865" s="19">
        <v>100573</v>
      </c>
      <c r="C865" s="20" t="s">
        <v>901</v>
      </c>
      <c r="D865" s="19" t="s">
        <v>121</v>
      </c>
      <c r="E865" s="21">
        <f t="shared" si="38"/>
        <v>98.950000000000003</v>
      </c>
      <c r="F865" s="22">
        <v>0.37</v>
      </c>
      <c r="G865" s="21">
        <f t="shared" si="39"/>
        <v>98.189999999999998</v>
      </c>
      <c r="H865" s="22">
        <v>0.38</v>
      </c>
      <c r="I865" s="23" t="str">
        <f t="shared" si="40"/>
        <v xml:space="preserve">COM VALOR</v>
      </c>
      <c r="J865" s="19"/>
      <c r="L865" s="21">
        <v>98.950000000000003</v>
      </c>
      <c r="M865" s="22">
        <v>0.10000000000000001</v>
      </c>
      <c r="N865" s="21">
        <v>98.189999999999998</v>
      </c>
      <c r="O865" s="22">
        <v>0.10000000000000001</v>
      </c>
    </row>
    <row r="866" ht="51">
      <c r="A866" t="s">
        <v>804</v>
      </c>
      <c r="B866" s="19">
        <v>105595</v>
      </c>
      <c r="C866" s="20" t="s">
        <v>902</v>
      </c>
      <c r="D866" s="19" t="s">
        <v>121</v>
      </c>
      <c r="E866" s="21">
        <f t="shared" si="38"/>
        <v>97.939999999999998</v>
      </c>
      <c r="F866" s="22">
        <v>0.35999999999999999</v>
      </c>
      <c r="G866" s="21">
        <f t="shared" si="39"/>
        <v>97.189999999999998</v>
      </c>
      <c r="H866" s="22">
        <v>0.37</v>
      </c>
      <c r="I866" s="23" t="str">
        <f t="shared" si="40"/>
        <v xml:space="preserve">COM VALOR</v>
      </c>
      <c r="J866" s="19"/>
      <c r="L866" s="21">
        <v>97.939999999999998</v>
      </c>
      <c r="M866" s="22">
        <v>0.10000000000000001</v>
      </c>
      <c r="N866" s="21">
        <v>97.189999999999998</v>
      </c>
      <c r="O866" s="22">
        <v>0.10000000000000001</v>
      </c>
    </row>
    <row r="867" ht="51">
      <c r="A867" t="s">
        <v>804</v>
      </c>
      <c r="B867" s="19">
        <v>105590</v>
      </c>
      <c r="C867" s="20" t="s">
        <v>903</v>
      </c>
      <c r="D867" s="19" t="s">
        <v>121</v>
      </c>
      <c r="E867" s="21">
        <f t="shared" si="38"/>
        <v>138.05000000000001</v>
      </c>
      <c r="F867" s="22">
        <v>0.40999999999999998</v>
      </c>
      <c r="G867" s="21">
        <f t="shared" si="39"/>
        <v>137.34999999999999</v>
      </c>
      <c r="H867" s="22">
        <v>0.41999999999999998</v>
      </c>
      <c r="I867" s="23" t="str">
        <f t="shared" si="40"/>
        <v xml:space="preserve">COM VALOR</v>
      </c>
      <c r="J867" s="19"/>
      <c r="L867" s="21">
        <v>138.05000000000001</v>
      </c>
      <c r="M867" s="22">
        <v>8.0000000000000002e-002</v>
      </c>
      <c r="N867" s="21">
        <v>137.34999999999999</v>
      </c>
      <c r="O867" s="22">
        <v>8.0000000000000002e-002</v>
      </c>
    </row>
    <row r="868" ht="51">
      <c r="A868" t="s">
        <v>804</v>
      </c>
      <c r="B868" s="19">
        <v>105723</v>
      </c>
      <c r="C868" s="20" t="s">
        <v>904</v>
      </c>
      <c r="D868" s="19" t="s">
        <v>121</v>
      </c>
      <c r="E868" s="21">
        <f t="shared" si="38"/>
        <v>132.53999999999999</v>
      </c>
      <c r="F868" s="22">
        <v>0.53000000000000003</v>
      </c>
      <c r="G868" s="21">
        <f t="shared" si="39"/>
        <v>131.99000000000001</v>
      </c>
      <c r="H868" s="22">
        <v>0.54000000000000004</v>
      </c>
      <c r="I868" s="23" t="str">
        <f t="shared" si="40"/>
        <v xml:space="preserve">COM VALOR</v>
      </c>
      <c r="J868" s="19"/>
      <c r="L868" s="21">
        <v>132.53999999999999</v>
      </c>
      <c r="M868" s="22">
        <v>5.9999999999999998e-002</v>
      </c>
      <c r="N868" s="21">
        <v>131.99000000000001</v>
      </c>
      <c r="O868" s="22">
        <v>5.9999999999999998e-002</v>
      </c>
    </row>
    <row r="869" ht="51">
      <c r="A869" t="s">
        <v>804</v>
      </c>
      <c r="B869" s="19">
        <v>105725</v>
      </c>
      <c r="C869" s="20" t="s">
        <v>905</v>
      </c>
      <c r="D869" s="19" t="s">
        <v>121</v>
      </c>
      <c r="E869" s="21">
        <f t="shared" si="38"/>
        <v>132.75</v>
      </c>
      <c r="F869" s="22"/>
      <c r="G869" s="21">
        <f t="shared" si="39"/>
        <v>132.16</v>
      </c>
      <c r="H869" s="22"/>
      <c r="I869" s="23" t="str">
        <f t="shared" si="40"/>
        <v xml:space="preserve">COM VALOR</v>
      </c>
      <c r="J869" s="19"/>
      <c r="L869" s="21">
        <v>132.75</v>
      </c>
      <c r="M869" s="22">
        <v>7.0000000000000007e-002</v>
      </c>
      <c r="N869" s="21">
        <v>132.16</v>
      </c>
      <c r="O869" s="22">
        <v>7.0000000000000007e-002</v>
      </c>
    </row>
    <row r="870" ht="38.25">
      <c r="A870" t="s">
        <v>804</v>
      </c>
      <c r="B870" s="19">
        <v>105566</v>
      </c>
      <c r="C870" s="20" t="s">
        <v>906</v>
      </c>
      <c r="D870" s="19" t="s">
        <v>121</v>
      </c>
      <c r="E870" s="21">
        <f t="shared" si="38"/>
        <v>11.619999999999999</v>
      </c>
      <c r="F870" s="22"/>
      <c r="G870" s="21">
        <f t="shared" si="39"/>
        <v>11.41</v>
      </c>
      <c r="H870" s="22"/>
      <c r="I870" s="23" t="str">
        <f t="shared" si="40"/>
        <v xml:space="preserve">COM VALOR</v>
      </c>
      <c r="J870" s="19"/>
      <c r="L870" s="21">
        <v>11.619999999999999</v>
      </c>
      <c r="M870" s="22">
        <v>0.33000000000000002</v>
      </c>
      <c r="N870" s="21">
        <v>11.41</v>
      </c>
      <c r="O870" s="22">
        <v>0.34000000000000002</v>
      </c>
    </row>
    <row r="871" ht="38.25">
      <c r="A871" t="s">
        <v>804</v>
      </c>
      <c r="B871" s="19">
        <v>96388</v>
      </c>
      <c r="C871" s="20" t="s">
        <v>907</v>
      </c>
      <c r="D871" s="19" t="s">
        <v>121</v>
      </c>
      <c r="E871" s="21">
        <f t="shared" si="38"/>
        <v>9.3300000000000001</v>
      </c>
      <c r="F871" s="22"/>
      <c r="G871" s="21">
        <f t="shared" si="39"/>
        <v>9.1600000000000001</v>
      </c>
      <c r="H871" s="22"/>
      <c r="I871" s="23" t="str">
        <f t="shared" si="40"/>
        <v xml:space="preserve">COM VALOR</v>
      </c>
      <c r="J871" s="19"/>
      <c r="L871" s="21">
        <v>9.3300000000000001</v>
      </c>
      <c r="M871" s="22">
        <v>0.33000000000000002</v>
      </c>
      <c r="N871" s="21">
        <v>9.1600000000000001</v>
      </c>
      <c r="O871" s="22">
        <v>0.34000000000000002</v>
      </c>
    </row>
    <row r="872" ht="38.25">
      <c r="A872" t="s">
        <v>804</v>
      </c>
      <c r="B872" s="19">
        <v>105569</v>
      </c>
      <c r="C872" s="20" t="s">
        <v>908</v>
      </c>
      <c r="D872" s="19" t="s">
        <v>121</v>
      </c>
      <c r="E872" s="21">
        <f t="shared" si="38"/>
        <v>7.75</v>
      </c>
      <c r="F872" s="22"/>
      <c r="G872" s="21">
        <f t="shared" si="39"/>
        <v>7.6100000000000003</v>
      </c>
      <c r="H872" s="22"/>
      <c r="I872" s="23" t="str">
        <f t="shared" si="40"/>
        <v xml:space="preserve">COM VALOR</v>
      </c>
      <c r="J872" s="19"/>
      <c r="L872" s="21">
        <v>7.75</v>
      </c>
      <c r="M872" s="22">
        <v>0.33000000000000002</v>
      </c>
      <c r="N872" s="21">
        <v>7.6100000000000003</v>
      </c>
      <c r="O872" s="22">
        <v>0.34000000000000002</v>
      </c>
    </row>
    <row r="873" ht="51">
      <c r="A873" t="s">
        <v>804</v>
      </c>
      <c r="B873" s="19">
        <v>101767</v>
      </c>
      <c r="C873" s="20" t="s">
        <v>909</v>
      </c>
      <c r="D873" s="19" t="s">
        <v>121</v>
      </c>
      <c r="E873" s="21">
        <f t="shared" si="38"/>
        <v>30.210000000000001</v>
      </c>
      <c r="F873" s="22">
        <v>0.33000000000000002</v>
      </c>
      <c r="G873" s="21">
        <f t="shared" si="39"/>
        <v>29.440000000000001</v>
      </c>
      <c r="H873" s="22">
        <v>0.34000000000000002</v>
      </c>
      <c r="I873" s="23" t="str">
        <f t="shared" si="40"/>
        <v xml:space="preserve">COM VALOR</v>
      </c>
      <c r="J873" s="19"/>
      <c r="L873" s="21">
        <v>30.210000000000001</v>
      </c>
      <c r="M873" s="22">
        <v>0.32000000000000001</v>
      </c>
      <c r="N873" s="21">
        <v>29.440000000000001</v>
      </c>
      <c r="O873" s="22">
        <v>0.33000000000000002</v>
      </c>
    </row>
    <row r="874" ht="38.25">
      <c r="A874" t="s">
        <v>804</v>
      </c>
      <c r="B874" s="19">
        <v>101768</v>
      </c>
      <c r="C874" s="20" t="s">
        <v>910</v>
      </c>
      <c r="D874" s="19" t="s">
        <v>121</v>
      </c>
      <c r="E874" s="21">
        <f t="shared" si="38"/>
        <v>26.120000000000001</v>
      </c>
      <c r="F874" s="22">
        <v>0.33000000000000002</v>
      </c>
      <c r="G874" s="21">
        <f t="shared" si="39"/>
        <v>25.57</v>
      </c>
      <c r="H874" s="22">
        <v>0.33000000000000002</v>
      </c>
      <c r="I874" s="23" t="str">
        <f t="shared" si="40"/>
        <v xml:space="preserve">COM VALOR</v>
      </c>
      <c r="J874" s="19"/>
      <c r="L874" s="21">
        <v>26.120000000000001</v>
      </c>
      <c r="M874" s="22">
        <v>0.37</v>
      </c>
      <c r="N874" s="21">
        <v>25.57</v>
      </c>
      <c r="O874" s="22">
        <v>0.38</v>
      </c>
    </row>
    <row r="875" ht="12.75">
      <c r="A875" t="s">
        <v>804</v>
      </c>
      <c r="B875" s="19">
        <v>100574</v>
      </c>
      <c r="C875" s="20" t="s">
        <v>911</v>
      </c>
      <c r="D875" s="19" t="s">
        <v>121</v>
      </c>
      <c r="E875" s="21">
        <f t="shared" si="38"/>
        <v>1.48</v>
      </c>
      <c r="F875" s="22">
        <v>0.34000000000000002</v>
      </c>
      <c r="G875" s="21">
        <f t="shared" si="39"/>
        <v>1.45</v>
      </c>
      <c r="H875" s="22">
        <v>0.34000000000000002</v>
      </c>
      <c r="I875" s="23" t="str">
        <f t="shared" si="40"/>
        <v xml:space="preserve">COM VALOR</v>
      </c>
      <c r="J875" s="19"/>
      <c r="L875" s="21">
        <v>1.48</v>
      </c>
      <c r="M875" s="22">
        <v>0.51000000000000001</v>
      </c>
      <c r="N875" s="21">
        <v>1.45</v>
      </c>
      <c r="O875" s="22">
        <v>0.52000000000000002</v>
      </c>
    </row>
    <row r="876" ht="25.5">
      <c r="A876" t="s">
        <v>804</v>
      </c>
      <c r="B876" s="19">
        <v>102470</v>
      </c>
      <c r="C876" s="20" t="s">
        <v>912</v>
      </c>
      <c r="D876" s="19" t="s">
        <v>29</v>
      </c>
      <c r="E876" s="21" t="str">
        <f t="shared" si="38"/>
        <v>VERIFICAR</v>
      </c>
      <c r="F876" s="22">
        <v>0.31</v>
      </c>
      <c r="G876" s="21" t="str">
        <f t="shared" si="39"/>
        <v>VERIFICAR</v>
      </c>
      <c r="H876" s="22">
        <v>0.32000000000000001</v>
      </c>
      <c r="I876" s="23" t="str">
        <f t="shared" si="40"/>
        <v xml:space="preserve">COM VALOR</v>
      </c>
      <c r="J876" s="19"/>
      <c r="L876" s="21">
        <v>0</v>
      </c>
      <c r="M876" s="22"/>
      <c r="N876" s="21">
        <v>0</v>
      </c>
      <c r="O876" s="22"/>
    </row>
    <row r="877" ht="25.5">
      <c r="A877" t="s">
        <v>804</v>
      </c>
      <c r="B877" s="19">
        <v>105756</v>
      </c>
      <c r="C877" s="20" t="s">
        <v>913</v>
      </c>
      <c r="D877" s="19" t="s">
        <v>29</v>
      </c>
      <c r="E877" s="21" t="str">
        <f t="shared" si="38"/>
        <v>VERIFICAR</v>
      </c>
      <c r="F877" s="22">
        <v>0.31</v>
      </c>
      <c r="G877" s="21" t="str">
        <f t="shared" si="39"/>
        <v>VERIFICAR</v>
      </c>
      <c r="H877" s="22">
        <v>0.32000000000000001</v>
      </c>
      <c r="I877" s="23" t="str">
        <f t="shared" si="40"/>
        <v xml:space="preserve">COM VALOR</v>
      </c>
      <c r="J877" s="19"/>
      <c r="L877" s="21">
        <v>0</v>
      </c>
      <c r="M877" s="22"/>
      <c r="N877" s="21">
        <v>0</v>
      </c>
      <c r="O877" s="22"/>
    </row>
    <row r="878" ht="25.5">
      <c r="A878" t="s">
        <v>804</v>
      </c>
      <c r="B878" s="19">
        <v>104375</v>
      </c>
      <c r="C878" s="20" t="s">
        <v>914</v>
      </c>
      <c r="D878" s="19" t="s">
        <v>29</v>
      </c>
      <c r="E878" s="21" t="str">
        <f t="shared" si="38"/>
        <v>VERIFICAR</v>
      </c>
      <c r="F878" s="22">
        <v>0.32000000000000001</v>
      </c>
      <c r="G878" s="21" t="str">
        <f t="shared" si="39"/>
        <v>VERIFICAR</v>
      </c>
      <c r="H878" s="22">
        <v>0.32000000000000001</v>
      </c>
      <c r="I878" s="23" t="str">
        <f t="shared" si="40"/>
        <v xml:space="preserve">COM VALOR</v>
      </c>
      <c r="J878" s="19"/>
      <c r="L878" s="21">
        <v>0</v>
      </c>
      <c r="M878" s="22"/>
      <c r="N878" s="21">
        <v>0</v>
      </c>
      <c r="O878" s="22"/>
    </row>
    <row r="879" ht="25.5">
      <c r="A879" t="s">
        <v>804</v>
      </c>
      <c r="B879" s="19">
        <v>105757</v>
      </c>
      <c r="C879" s="20" t="s">
        <v>915</v>
      </c>
      <c r="D879" s="19" t="s">
        <v>29</v>
      </c>
      <c r="E879" s="21" t="str">
        <f t="shared" si="38"/>
        <v>VERIFICAR</v>
      </c>
      <c r="F879" s="22">
        <v>0.33000000000000002</v>
      </c>
      <c r="G879" s="21" t="str">
        <f t="shared" si="39"/>
        <v>VERIFICAR</v>
      </c>
      <c r="H879" s="22">
        <v>0.33000000000000002</v>
      </c>
      <c r="I879" s="23" t="str">
        <f t="shared" si="40"/>
        <v xml:space="preserve">COM VALOR</v>
      </c>
      <c r="J879" s="19"/>
      <c r="L879" s="21">
        <v>0</v>
      </c>
      <c r="M879" s="22"/>
      <c r="N879" s="21">
        <v>0</v>
      </c>
      <c r="O879" s="22"/>
    </row>
    <row r="880" ht="51">
      <c r="A880" t="s">
        <v>804</v>
      </c>
      <c r="B880" s="19">
        <v>105562</v>
      </c>
      <c r="C880" s="20" t="s">
        <v>916</v>
      </c>
      <c r="D880" s="19" t="s">
        <v>121</v>
      </c>
      <c r="E880" s="21">
        <f t="shared" si="38"/>
        <v>8.6699999999999999</v>
      </c>
      <c r="F880" s="22">
        <v>0.33000000000000002</v>
      </c>
      <c r="G880" s="21">
        <f t="shared" si="39"/>
        <v>8.5199999999999996</v>
      </c>
      <c r="H880" s="22">
        <v>0.34000000000000002</v>
      </c>
      <c r="I880" s="23" t="str">
        <f t="shared" si="40"/>
        <v xml:space="preserve">COM VALOR</v>
      </c>
      <c r="J880" s="19"/>
      <c r="L880" s="21">
        <v>8.6699999999999999</v>
      </c>
      <c r="M880" s="22">
        <v>0.29999999999999999</v>
      </c>
      <c r="N880" s="21">
        <v>8.5199999999999996</v>
      </c>
      <c r="O880" s="22">
        <v>0.29999999999999999</v>
      </c>
    </row>
    <row r="881" ht="51">
      <c r="A881" t="s">
        <v>804</v>
      </c>
      <c r="B881" s="19">
        <v>105563</v>
      </c>
      <c r="C881" s="20" t="s">
        <v>917</v>
      </c>
      <c r="D881" s="19" t="s">
        <v>121</v>
      </c>
      <c r="E881" s="21">
        <f t="shared" si="38"/>
        <v>7.0099999999999998</v>
      </c>
      <c r="F881" s="22">
        <v>0.33000000000000002</v>
      </c>
      <c r="G881" s="21">
        <f t="shared" si="39"/>
        <v>6.9000000000000004</v>
      </c>
      <c r="H881" s="22">
        <v>0.34000000000000002</v>
      </c>
      <c r="I881" s="23" t="str">
        <f t="shared" si="40"/>
        <v xml:space="preserve">COM VALOR</v>
      </c>
      <c r="J881" s="19"/>
      <c r="L881" s="21">
        <v>7.0099999999999998</v>
      </c>
      <c r="M881" s="22">
        <v>0.29999999999999999</v>
      </c>
      <c r="N881" s="21">
        <v>6.9000000000000004</v>
      </c>
      <c r="O881" s="22">
        <v>0.29999999999999999</v>
      </c>
    </row>
    <row r="882" ht="51">
      <c r="A882" t="s">
        <v>804</v>
      </c>
      <c r="B882" s="19">
        <v>105565</v>
      </c>
      <c r="C882" s="20" t="s">
        <v>918</v>
      </c>
      <c r="D882" s="19" t="s">
        <v>121</v>
      </c>
      <c r="E882" s="21">
        <f t="shared" si="38"/>
        <v>6.5099999999999998</v>
      </c>
      <c r="F882" s="22">
        <v>0.31</v>
      </c>
      <c r="G882" s="21">
        <f t="shared" si="39"/>
        <v>6.4100000000000001</v>
      </c>
      <c r="H882" s="22">
        <v>0.32000000000000001</v>
      </c>
      <c r="I882" s="23" t="str">
        <f t="shared" si="40"/>
        <v xml:space="preserve">COM VALOR</v>
      </c>
      <c r="J882" s="19"/>
      <c r="L882" s="21">
        <v>6.5099999999999998</v>
      </c>
      <c r="M882" s="22">
        <v>0.29999999999999999</v>
      </c>
      <c r="N882" s="21">
        <v>6.4100000000000001</v>
      </c>
      <c r="O882" s="22">
        <v>0.31</v>
      </c>
    </row>
    <row r="883" ht="51">
      <c r="A883" t="s">
        <v>804</v>
      </c>
      <c r="B883" s="19">
        <v>105557</v>
      </c>
      <c r="C883" s="20" t="s">
        <v>919</v>
      </c>
      <c r="D883" s="19" t="s">
        <v>121</v>
      </c>
      <c r="E883" s="21">
        <f t="shared" si="38"/>
        <v>16.5</v>
      </c>
      <c r="F883" s="22">
        <v>0.31</v>
      </c>
      <c r="G883" s="21">
        <f t="shared" si="39"/>
        <v>16.149999999999999</v>
      </c>
      <c r="H883" s="22">
        <v>0.32000000000000001</v>
      </c>
      <c r="I883" s="23" t="str">
        <f t="shared" si="40"/>
        <v xml:space="preserve">COM VALOR</v>
      </c>
      <c r="J883" s="19"/>
      <c r="L883" s="21">
        <v>16.5</v>
      </c>
      <c r="M883" s="22">
        <v>0.28000000000000003</v>
      </c>
      <c r="N883" s="21">
        <v>16.149999999999999</v>
      </c>
      <c r="O883" s="22">
        <v>0.28999999999999998</v>
      </c>
    </row>
    <row r="884" ht="51">
      <c r="A884" t="s">
        <v>804</v>
      </c>
      <c r="B884" s="19">
        <v>105558</v>
      </c>
      <c r="C884" s="20" t="s">
        <v>920</v>
      </c>
      <c r="D884" s="19" t="s">
        <v>121</v>
      </c>
      <c r="E884" s="21">
        <f t="shared" si="38"/>
        <v>14.24</v>
      </c>
      <c r="F884" s="22">
        <v>0.31</v>
      </c>
      <c r="G884" s="21">
        <f t="shared" si="39"/>
        <v>13.94</v>
      </c>
      <c r="H884" s="22">
        <v>0.32000000000000001</v>
      </c>
      <c r="I884" s="23" t="str">
        <f t="shared" si="40"/>
        <v xml:space="preserve">COM VALOR</v>
      </c>
      <c r="J884" s="19"/>
      <c r="L884" s="21">
        <v>14.24</v>
      </c>
      <c r="M884" s="22">
        <v>0.28000000000000003</v>
      </c>
      <c r="N884" s="21">
        <v>13.94</v>
      </c>
      <c r="O884" s="22">
        <v>0.28999999999999998</v>
      </c>
    </row>
    <row r="885" ht="51">
      <c r="A885" t="s">
        <v>804</v>
      </c>
      <c r="B885" s="19">
        <v>105560</v>
      </c>
      <c r="C885" s="20" t="s">
        <v>921</v>
      </c>
      <c r="D885" s="19" t="s">
        <v>121</v>
      </c>
      <c r="E885" s="21">
        <f t="shared" si="38"/>
        <v>12.970000000000001</v>
      </c>
      <c r="F885" s="22">
        <v>5.0000000000000003e-002</v>
      </c>
      <c r="G885" s="21">
        <f t="shared" si="39"/>
        <v>12.710000000000001</v>
      </c>
      <c r="H885" s="22">
        <v>5.0000000000000003e-002</v>
      </c>
      <c r="I885" s="23" t="str">
        <f t="shared" si="40"/>
        <v xml:space="preserve">COM VALOR</v>
      </c>
      <c r="J885" s="19"/>
      <c r="L885" s="21">
        <v>12.970000000000001</v>
      </c>
      <c r="M885" s="22">
        <v>0.28999999999999998</v>
      </c>
      <c r="N885" s="21">
        <v>12.710000000000001</v>
      </c>
      <c r="O885" s="22">
        <v>0.28999999999999998</v>
      </c>
    </row>
    <row r="886" ht="51">
      <c r="A886" t="s">
        <v>804</v>
      </c>
      <c r="B886" s="19">
        <v>96386</v>
      </c>
      <c r="C886" s="20" t="s">
        <v>922</v>
      </c>
      <c r="D886" s="19" t="s">
        <v>121</v>
      </c>
      <c r="E886" s="21">
        <f t="shared" si="38"/>
        <v>6.9500000000000002</v>
      </c>
      <c r="F886" s="22">
        <v>4.0000000000000001e-002</v>
      </c>
      <c r="G886" s="21">
        <f t="shared" si="39"/>
        <v>6.8399999999999999</v>
      </c>
      <c r="H886" s="22">
        <v>4.0000000000000001e-002</v>
      </c>
      <c r="I886" s="23" t="str">
        <f t="shared" si="40"/>
        <v xml:space="preserve">COM VALOR</v>
      </c>
      <c r="J886" s="19"/>
      <c r="L886" s="21">
        <v>6.9500000000000002</v>
      </c>
      <c r="M886" s="22">
        <v>0.28999999999999998</v>
      </c>
      <c r="N886" s="21">
        <v>6.8399999999999999</v>
      </c>
      <c r="O886" s="22">
        <v>0.29999999999999999</v>
      </c>
    </row>
    <row r="887" ht="51">
      <c r="A887" t="s">
        <v>804</v>
      </c>
      <c r="B887" s="19">
        <v>105564</v>
      </c>
      <c r="C887" s="20" t="s">
        <v>923</v>
      </c>
      <c r="D887" s="19" t="s">
        <v>121</v>
      </c>
      <c r="E887" s="21">
        <f t="shared" si="38"/>
        <v>6.46</v>
      </c>
      <c r="F887" s="22">
        <v>4.0000000000000001e-002</v>
      </c>
      <c r="G887" s="21">
        <f t="shared" si="39"/>
        <v>6.3600000000000003</v>
      </c>
      <c r="H887" s="22">
        <v>4.0000000000000001e-002</v>
      </c>
      <c r="I887" s="23" t="str">
        <f t="shared" si="40"/>
        <v xml:space="preserve">COM VALOR</v>
      </c>
      <c r="J887" s="19"/>
      <c r="L887" s="21">
        <v>6.46</v>
      </c>
      <c r="M887" s="22">
        <v>0.29999999999999999</v>
      </c>
      <c r="N887" s="21">
        <v>6.3600000000000003</v>
      </c>
      <c r="O887" s="22">
        <v>0.30499999999999999</v>
      </c>
    </row>
    <row r="888" ht="51">
      <c r="A888" t="s">
        <v>804</v>
      </c>
      <c r="B888" s="19">
        <v>105561</v>
      </c>
      <c r="C888" s="20" t="s">
        <v>924</v>
      </c>
      <c r="D888" s="19" t="s">
        <v>121</v>
      </c>
      <c r="E888" s="21">
        <f t="shared" si="38"/>
        <v>8.4900000000000002</v>
      </c>
      <c r="F888" s="22">
        <v>5.9999999999999998e-002</v>
      </c>
      <c r="G888" s="21">
        <f t="shared" si="39"/>
        <v>8.3499999999999996</v>
      </c>
      <c r="H888" s="22">
        <v>5.9999999999999998e-002</v>
      </c>
      <c r="I888" s="23" t="str">
        <f t="shared" si="40"/>
        <v xml:space="preserve">COM VALOR</v>
      </c>
      <c r="J888" s="19"/>
      <c r="L888" s="21">
        <v>8.4900000000000002</v>
      </c>
      <c r="M888" s="22">
        <v>0.29999999999999999</v>
      </c>
      <c r="N888" s="21">
        <v>8.3499999999999996</v>
      </c>
      <c r="O888" s="22">
        <v>0.29999999999999999</v>
      </c>
    </row>
    <row r="889" ht="51">
      <c r="A889" t="s">
        <v>804</v>
      </c>
      <c r="B889" s="19">
        <v>96385</v>
      </c>
      <c r="C889" s="20" t="s">
        <v>925</v>
      </c>
      <c r="D889" s="19" t="s">
        <v>121</v>
      </c>
      <c r="E889" s="21">
        <f t="shared" si="38"/>
        <v>12.869999999999999</v>
      </c>
      <c r="F889" s="22">
        <v>5.0000000000000003e-002</v>
      </c>
      <c r="G889" s="21">
        <f t="shared" si="39"/>
        <v>12.6</v>
      </c>
      <c r="H889" s="22">
        <v>5.0000000000000003e-002</v>
      </c>
      <c r="I889" s="23" t="str">
        <f t="shared" si="40"/>
        <v xml:space="preserve">COM VALOR</v>
      </c>
      <c r="J889" s="19"/>
      <c r="L889" s="21">
        <v>12.869999999999999</v>
      </c>
      <c r="M889" s="22">
        <v>0.28000000000000003</v>
      </c>
      <c r="N889" s="21">
        <v>12.6</v>
      </c>
      <c r="O889" s="22">
        <v>0.28999999999999998</v>
      </c>
    </row>
    <row r="890" ht="51">
      <c r="A890" t="s">
        <v>804</v>
      </c>
      <c r="B890" s="19">
        <v>105556</v>
      </c>
      <c r="C890" s="20" t="s">
        <v>926</v>
      </c>
      <c r="D890" s="19" t="s">
        <v>121</v>
      </c>
      <c r="E890" s="21">
        <f t="shared" si="38"/>
        <v>14.460000000000001</v>
      </c>
      <c r="F890" s="22">
        <v>4.0000000000000001e-002</v>
      </c>
      <c r="G890" s="21">
        <f t="shared" si="39"/>
        <v>14.17</v>
      </c>
      <c r="H890" s="22">
        <v>4.0000000000000001e-002</v>
      </c>
      <c r="I890" s="23" t="str">
        <f t="shared" si="40"/>
        <v xml:space="preserve">COM VALOR</v>
      </c>
      <c r="J890" s="19"/>
      <c r="L890" s="21">
        <v>14.460000000000001</v>
      </c>
      <c r="M890" s="22">
        <v>0.28000000000000003</v>
      </c>
      <c r="N890" s="21">
        <v>14.17</v>
      </c>
      <c r="O890" s="22">
        <v>0.28000000000000003</v>
      </c>
    </row>
    <row r="891" ht="51">
      <c r="A891" t="s">
        <v>804</v>
      </c>
      <c r="B891" s="19">
        <v>105559</v>
      </c>
      <c r="C891" s="20" t="s">
        <v>927</v>
      </c>
      <c r="D891" s="19" t="s">
        <v>121</v>
      </c>
      <c r="E891" s="21">
        <f t="shared" si="38"/>
        <v>10.92</v>
      </c>
      <c r="F891" s="22">
        <v>2.9999999999999999e-002</v>
      </c>
      <c r="G891" s="21">
        <f t="shared" si="39"/>
        <v>10.699999999999999</v>
      </c>
      <c r="H891" s="22">
        <v>2.9999999999999999e-002</v>
      </c>
      <c r="I891" s="23" t="str">
        <f t="shared" si="40"/>
        <v xml:space="preserve">COM VALOR</v>
      </c>
      <c r="J891" s="19"/>
      <c r="L891" s="21">
        <v>10.92</v>
      </c>
      <c r="M891" s="22">
        <v>0.28000000000000003</v>
      </c>
      <c r="N891" s="21">
        <v>10.699999999999999</v>
      </c>
      <c r="O891" s="22">
        <v>0.28999999999999998</v>
      </c>
    </row>
    <row r="892" ht="38.25">
      <c r="A892" t="s">
        <v>804</v>
      </c>
      <c r="B892" s="19">
        <v>105733</v>
      </c>
      <c r="C892" s="20" t="s">
        <v>928</v>
      </c>
      <c r="D892" s="19" t="s">
        <v>121</v>
      </c>
      <c r="E892" s="21">
        <f t="shared" si="38"/>
        <v>260.31</v>
      </c>
      <c r="F892" s="22">
        <v>2.9999999999999999e-002</v>
      </c>
      <c r="G892" s="21">
        <f t="shared" si="39"/>
        <v>259.51999999999998</v>
      </c>
      <c r="H892" s="22">
        <v>2.9999999999999999e-002</v>
      </c>
      <c r="I892" s="23" t="str">
        <f t="shared" si="40"/>
        <v xml:space="preserve">COM VALOR</v>
      </c>
      <c r="J892" s="19"/>
      <c r="L892" s="21">
        <v>260.31</v>
      </c>
      <c r="M892" s="22">
        <v>5.0000000000000003e-002</v>
      </c>
      <c r="N892" s="21">
        <v>259.51999999999998</v>
      </c>
      <c r="O892" s="22">
        <v>4.7500000000000001e-002</v>
      </c>
    </row>
    <row r="893" ht="38.25">
      <c r="A893" t="s">
        <v>804</v>
      </c>
      <c r="B893" s="19">
        <v>105734</v>
      </c>
      <c r="C893" s="20" t="s">
        <v>929</v>
      </c>
      <c r="D893" s="19" t="s">
        <v>121</v>
      </c>
      <c r="E893" s="21">
        <f t="shared" si="38"/>
        <v>254.08000000000001</v>
      </c>
      <c r="F893" s="22">
        <v>2.e-002</v>
      </c>
      <c r="G893" s="21">
        <f t="shared" si="39"/>
        <v>253.41999999999999</v>
      </c>
      <c r="H893" s="22">
        <v>2.e-002</v>
      </c>
      <c r="I893" s="23" t="str">
        <f t="shared" si="40"/>
        <v xml:space="preserve">COM VALOR</v>
      </c>
      <c r="J893" s="19"/>
      <c r="L893" s="21">
        <v>254.08000000000001</v>
      </c>
      <c r="M893" s="22">
        <v>4.0000000000000001e-002</v>
      </c>
      <c r="N893" s="21">
        <v>253.41999999999999</v>
      </c>
      <c r="O893" s="22">
        <v>4.0000000000000001e-002</v>
      </c>
    </row>
    <row r="894" ht="38.25">
      <c r="A894" t="s">
        <v>804</v>
      </c>
      <c r="B894" s="19">
        <v>105736</v>
      </c>
      <c r="C894" s="20" t="s">
        <v>930</v>
      </c>
      <c r="D894" s="19" t="s">
        <v>121</v>
      </c>
      <c r="E894" s="21">
        <f t="shared" si="38"/>
        <v>250.94</v>
      </c>
      <c r="F894" s="22">
        <v>2.9999999999999999e-002</v>
      </c>
      <c r="G894" s="21">
        <f t="shared" si="39"/>
        <v>250.34</v>
      </c>
      <c r="H894" s="22">
        <v>2.9999999999999999e-002</v>
      </c>
      <c r="I894" s="23" t="str">
        <f t="shared" si="40"/>
        <v xml:space="preserve">COM VALOR</v>
      </c>
      <c r="J894" s="19"/>
      <c r="L894" s="21">
        <v>250.94</v>
      </c>
      <c r="M894" s="22">
        <v>4.0000000000000001e-002</v>
      </c>
      <c r="N894" s="21">
        <v>250.34</v>
      </c>
      <c r="O894" s="22">
        <v>4.0000000000000001e-002</v>
      </c>
    </row>
    <row r="895" ht="38.25">
      <c r="A895" t="s">
        <v>804</v>
      </c>
      <c r="B895" s="19">
        <v>105728</v>
      </c>
      <c r="C895" s="20" t="s">
        <v>931</v>
      </c>
      <c r="D895" s="19" t="s">
        <v>121</v>
      </c>
      <c r="E895" s="21">
        <f t="shared" si="38"/>
        <v>186.19999999999999</v>
      </c>
      <c r="F895" s="22">
        <v>2.9999999999999999e-002</v>
      </c>
      <c r="G895" s="21">
        <f t="shared" si="39"/>
        <v>185.47999999999999</v>
      </c>
      <c r="H895" s="22">
        <v>2.9999999999999999e-002</v>
      </c>
      <c r="I895" s="23" t="str">
        <f t="shared" si="40"/>
        <v xml:space="preserve">COM VALOR</v>
      </c>
      <c r="J895" s="19"/>
      <c r="L895" s="21">
        <v>186.19999999999999</v>
      </c>
      <c r="M895" s="22">
        <v>5.9999999999999998e-002</v>
      </c>
      <c r="N895" s="21">
        <v>185.47999999999999</v>
      </c>
      <c r="O895" s="22">
        <v>5.9999999999999998e-002</v>
      </c>
    </row>
    <row r="896" ht="38.25">
      <c r="A896" t="s">
        <v>804</v>
      </c>
      <c r="B896" s="19">
        <v>105729</v>
      </c>
      <c r="C896" s="20" t="s">
        <v>932</v>
      </c>
      <c r="D896" s="19" t="s">
        <v>121</v>
      </c>
      <c r="E896" s="21">
        <f t="shared" si="38"/>
        <v>181.43000000000001</v>
      </c>
      <c r="F896" s="22">
        <v>2.9999999999999999e-002</v>
      </c>
      <c r="G896" s="21">
        <f t="shared" si="39"/>
        <v>180.81</v>
      </c>
      <c r="H896" s="22">
        <v>2.9999999999999999e-002</v>
      </c>
      <c r="I896" s="23" t="str">
        <f t="shared" si="40"/>
        <v xml:space="preserve">COM VALOR</v>
      </c>
      <c r="J896" s="19"/>
      <c r="L896" s="21">
        <v>181.43000000000001</v>
      </c>
      <c r="M896" s="22">
        <v>5.0000000000000003e-002</v>
      </c>
      <c r="N896" s="21">
        <v>180.81</v>
      </c>
      <c r="O896" s="22">
        <v>5.0000000000000003e-002</v>
      </c>
    </row>
    <row r="897" ht="38.25">
      <c r="A897" t="s">
        <v>804</v>
      </c>
      <c r="B897" s="19">
        <v>105731</v>
      </c>
      <c r="C897" s="20" t="s">
        <v>933</v>
      </c>
      <c r="D897" s="19" t="s">
        <v>121</v>
      </c>
      <c r="E897" s="21">
        <f t="shared" si="38"/>
        <v>179.00999999999999</v>
      </c>
      <c r="F897" s="22">
        <v>2.e-002</v>
      </c>
      <c r="G897" s="21">
        <f t="shared" si="39"/>
        <v>178.44</v>
      </c>
      <c r="H897" s="22">
        <v>2.e-002</v>
      </c>
      <c r="I897" s="23" t="str">
        <f t="shared" si="40"/>
        <v xml:space="preserve">COM VALOR</v>
      </c>
      <c r="J897" s="19"/>
      <c r="L897" s="21">
        <v>179.00999999999999</v>
      </c>
      <c r="M897" s="22">
        <v>4.0000000000000001e-002</v>
      </c>
      <c r="N897" s="21">
        <v>178.44</v>
      </c>
      <c r="O897" s="22">
        <v>4.0000000000000001e-002</v>
      </c>
    </row>
    <row r="898" ht="38.25">
      <c r="A898" t="s">
        <v>804</v>
      </c>
      <c r="B898" s="19">
        <v>105738</v>
      </c>
      <c r="C898" s="20" t="s">
        <v>934</v>
      </c>
      <c r="D898" s="19" t="s">
        <v>121</v>
      </c>
      <c r="E898" s="21">
        <f t="shared" si="38"/>
        <v>352.69</v>
      </c>
      <c r="F898" s="22">
        <v>5.9999999999999998e-002</v>
      </c>
      <c r="G898" s="21">
        <f t="shared" si="39"/>
        <v>351.83999999999997</v>
      </c>
      <c r="H898" s="22">
        <v>5.9999999999999998e-002</v>
      </c>
      <c r="I898" s="23" t="str">
        <f t="shared" si="40"/>
        <v xml:space="preserve">COM VALOR</v>
      </c>
      <c r="J898" s="19"/>
      <c r="L898" s="21">
        <v>352.69</v>
      </c>
      <c r="M898" s="22">
        <v>2.9999999999999999e-002</v>
      </c>
      <c r="N898" s="21">
        <v>351.83999999999997</v>
      </c>
      <c r="O898" s="22">
        <v>2.9999999999999999e-002</v>
      </c>
    </row>
    <row r="899" ht="38.25">
      <c r="A899" t="s">
        <v>804</v>
      </c>
      <c r="B899" s="19">
        <v>105739</v>
      </c>
      <c r="C899" s="20" t="s">
        <v>935</v>
      </c>
      <c r="D899" s="19" t="s">
        <v>121</v>
      </c>
      <c r="E899" s="21">
        <f t="shared" si="38"/>
        <v>348.00999999999999</v>
      </c>
      <c r="F899" s="22">
        <v>5.0000000000000003e-002</v>
      </c>
      <c r="G899" s="21">
        <f t="shared" si="39"/>
        <v>347.26999999999998</v>
      </c>
      <c r="H899" s="22">
        <v>5.0000000000000003e-002</v>
      </c>
      <c r="I899" s="23" t="str">
        <f t="shared" si="40"/>
        <v xml:space="preserve">COM VALOR</v>
      </c>
      <c r="J899" s="19"/>
      <c r="L899" s="21">
        <v>348.00999999999999</v>
      </c>
      <c r="M899" s="22">
        <v>2.e-002</v>
      </c>
      <c r="N899" s="21">
        <v>347.26999999999998</v>
      </c>
      <c r="O899" s="22">
        <v>2.e-002</v>
      </c>
    </row>
    <row r="900" ht="38.25">
      <c r="A900" t="s">
        <v>804</v>
      </c>
      <c r="B900" s="19">
        <v>105741</v>
      </c>
      <c r="C900" s="20" t="s">
        <v>936</v>
      </c>
      <c r="D900" s="19" t="s">
        <v>121</v>
      </c>
      <c r="E900" s="21">
        <f t="shared" si="38"/>
        <v>345.54000000000002</v>
      </c>
      <c r="F900" s="22">
        <v>5.0000000000000003e-002</v>
      </c>
      <c r="G900" s="21">
        <f t="shared" si="39"/>
        <v>344.85000000000002</v>
      </c>
      <c r="H900" s="22">
        <v>5.0000000000000003e-002</v>
      </c>
      <c r="I900" s="23" t="str">
        <f t="shared" si="40"/>
        <v xml:space="preserve">COM VALOR</v>
      </c>
      <c r="J900" s="19"/>
      <c r="L900" s="21">
        <v>345.54000000000002</v>
      </c>
      <c r="M900" s="22">
        <v>2.e-002</v>
      </c>
      <c r="N900" s="21">
        <v>344.85000000000002</v>
      </c>
      <c r="O900" s="22">
        <v>2.e-002</v>
      </c>
    </row>
    <row r="901" ht="38.25">
      <c r="A901" t="s">
        <v>804</v>
      </c>
      <c r="B901" s="19">
        <v>105750</v>
      </c>
      <c r="C901" s="20" t="s">
        <v>937</v>
      </c>
      <c r="D901" s="19" t="s">
        <v>121</v>
      </c>
      <c r="E901" s="21">
        <f t="shared" si="38"/>
        <v>171.93000000000001</v>
      </c>
      <c r="F901" s="22">
        <v>5.0000000000000003e-002</v>
      </c>
      <c r="G901" s="21">
        <f t="shared" si="39"/>
        <v>171.03999999999999</v>
      </c>
      <c r="H901" s="22">
        <v>5.0000000000000003e-002</v>
      </c>
      <c r="I901" s="23" t="str">
        <f t="shared" si="40"/>
        <v xml:space="preserve">COM VALOR</v>
      </c>
      <c r="J901" s="19"/>
      <c r="L901" s="21">
        <v>171.93000000000001</v>
      </c>
      <c r="M901" s="22">
        <v>2.9999999999999999e-002</v>
      </c>
      <c r="N901" s="21">
        <v>171.03999999999999</v>
      </c>
      <c r="O901" s="22">
        <v>2.9999999999999999e-002</v>
      </c>
    </row>
    <row r="902" ht="38.25">
      <c r="A902" t="s">
        <v>804</v>
      </c>
      <c r="B902" s="19">
        <v>105751</v>
      </c>
      <c r="C902" s="20" t="s">
        <v>938</v>
      </c>
      <c r="D902" s="19" t="s">
        <v>121</v>
      </c>
      <c r="E902" s="21">
        <f t="shared" si="38"/>
        <v>169.47999999999999</v>
      </c>
      <c r="F902" s="22">
        <v>8.0000000000000002e-002</v>
      </c>
      <c r="G902" s="21">
        <f t="shared" si="39"/>
        <v>168.62</v>
      </c>
      <c r="H902" s="22">
        <v>8.0000000000000002e-002</v>
      </c>
      <c r="I902" s="23" t="str">
        <f t="shared" si="40"/>
        <v xml:space="preserve">COM VALOR</v>
      </c>
      <c r="J902" s="19"/>
      <c r="L902" s="21">
        <v>169.47999999999999</v>
      </c>
      <c r="M902" s="22">
        <v>2.5000000000000001e-002</v>
      </c>
      <c r="N902" s="21">
        <v>168.62</v>
      </c>
      <c r="O902" s="22">
        <v>2.9999999999999999e-002</v>
      </c>
    </row>
    <row r="903" ht="38.25">
      <c r="A903" t="s">
        <v>804</v>
      </c>
      <c r="B903" s="19">
        <v>105753</v>
      </c>
      <c r="C903" s="20" t="s">
        <v>939</v>
      </c>
      <c r="D903" s="19" t="s">
        <v>121</v>
      </c>
      <c r="E903" s="21">
        <f t="shared" si="38"/>
        <v>167.24000000000001</v>
      </c>
      <c r="F903" s="22">
        <v>5.9999999999999998e-002</v>
      </c>
      <c r="G903" s="21">
        <f t="shared" si="39"/>
        <v>166.44</v>
      </c>
      <c r="H903" s="22">
        <v>5.9999999999999998e-002</v>
      </c>
      <c r="I903" s="23" t="str">
        <f t="shared" si="40"/>
        <v xml:space="preserve">COM VALOR</v>
      </c>
      <c r="J903" s="19"/>
      <c r="L903" s="21">
        <v>167.24000000000001</v>
      </c>
      <c r="M903" s="22">
        <v>2.e-002</v>
      </c>
      <c r="N903" s="21">
        <v>166.44</v>
      </c>
      <c r="O903" s="22">
        <v>2.e-002</v>
      </c>
    </row>
    <row r="904" ht="38.25">
      <c r="A904" t="s">
        <v>804</v>
      </c>
      <c r="B904" s="19">
        <v>105755</v>
      </c>
      <c r="C904" s="20" t="s">
        <v>940</v>
      </c>
      <c r="D904" s="19" t="s">
        <v>121</v>
      </c>
      <c r="E904" s="21">
        <f t="shared" si="38"/>
        <v>165.11000000000001</v>
      </c>
      <c r="F904" s="22">
        <v>5.0000000000000003e-002</v>
      </c>
      <c r="G904" s="21">
        <f t="shared" si="39"/>
        <v>164.34999999999999</v>
      </c>
      <c r="H904" s="22">
        <v>5.0000000000000003e-002</v>
      </c>
      <c r="I904" s="23" t="str">
        <f t="shared" si="40"/>
        <v xml:space="preserve">COM VALOR</v>
      </c>
      <c r="J904" s="19"/>
      <c r="L904" s="21">
        <v>165.11000000000001</v>
      </c>
      <c r="M904" s="22">
        <v>2.e-002</v>
      </c>
      <c r="N904" s="21">
        <v>164.34999999999999</v>
      </c>
      <c r="O904" s="22">
        <v>2.e-002</v>
      </c>
    </row>
    <row r="905" ht="38.25">
      <c r="A905" t="s">
        <v>804</v>
      </c>
      <c r="B905" s="19">
        <v>105743</v>
      </c>
      <c r="C905" s="20" t="s">
        <v>941</v>
      </c>
      <c r="D905" s="19" t="s">
        <v>121</v>
      </c>
      <c r="E905" s="21">
        <f t="shared" si="38"/>
        <v>129</v>
      </c>
      <c r="F905" s="22"/>
      <c r="G905" s="21">
        <f t="shared" si="39"/>
        <v>128.38</v>
      </c>
      <c r="H905" s="22"/>
      <c r="I905" s="23" t="str">
        <f t="shared" si="40"/>
        <v xml:space="preserve">COM VALOR</v>
      </c>
      <c r="J905" s="19"/>
      <c r="L905" s="21">
        <v>129</v>
      </c>
      <c r="M905" s="22">
        <v>5.0000000000000003e-002</v>
      </c>
      <c r="N905" s="21">
        <v>128.38</v>
      </c>
      <c r="O905" s="22">
        <v>5.0000000000000003e-002</v>
      </c>
    </row>
    <row r="906" ht="38.25">
      <c r="A906" t="s">
        <v>804</v>
      </c>
      <c r="B906" s="19">
        <v>105744</v>
      </c>
      <c r="C906" s="20" t="s">
        <v>942</v>
      </c>
      <c r="D906" s="19" t="s">
        <v>121</v>
      </c>
      <c r="E906" s="21">
        <f t="shared" si="38"/>
        <v>126.77</v>
      </c>
      <c r="F906" s="22"/>
      <c r="G906" s="21">
        <f t="shared" si="39"/>
        <v>126.22</v>
      </c>
      <c r="H906" s="22"/>
      <c r="I906" s="23" t="str">
        <f t="shared" si="40"/>
        <v xml:space="preserve">COM VALOR</v>
      </c>
      <c r="J906" s="19"/>
      <c r="L906" s="21">
        <v>126.77</v>
      </c>
      <c r="M906" s="22">
        <v>5.0000000000000003e-002</v>
      </c>
      <c r="N906" s="21">
        <v>126.22</v>
      </c>
      <c r="O906" s="22">
        <v>5.0000000000000003e-002</v>
      </c>
    </row>
    <row r="907" ht="38.25">
      <c r="A907" t="s">
        <v>804</v>
      </c>
      <c r="B907" s="19">
        <v>105746</v>
      </c>
      <c r="C907" s="20" t="s">
        <v>943</v>
      </c>
      <c r="D907" s="19" t="s">
        <v>121</v>
      </c>
      <c r="E907" s="21">
        <f t="shared" ref="E907:E970" si="41">IF(L907=0,"VERIFICAR",L907)</f>
        <v>124.54000000000001</v>
      </c>
      <c r="F907" s="22"/>
      <c r="G907" s="21">
        <f t="shared" ref="G907:G970" si="42">IF(N907=0,"VERIFICAR",N907)</f>
        <v>124.04000000000001</v>
      </c>
      <c r="H907" s="22"/>
      <c r="I907" s="23" t="str">
        <f t="shared" ref="I907:I970" si="43">IF(OR(E907=0,G907=0),"SEM VALOR","COM VALOR")</f>
        <v xml:space="preserve">COM VALOR</v>
      </c>
      <c r="J907" s="19"/>
      <c r="L907" s="21">
        <v>124.54000000000001</v>
      </c>
      <c r="M907" s="22">
        <v>5.0000000000000003e-002</v>
      </c>
      <c r="N907" s="21">
        <v>124.04000000000001</v>
      </c>
      <c r="O907" s="22">
        <v>5.0000000000000003e-002</v>
      </c>
    </row>
    <row r="908" ht="38.25">
      <c r="A908" t="s">
        <v>804</v>
      </c>
      <c r="B908" s="19">
        <v>105748</v>
      </c>
      <c r="C908" s="20" t="s">
        <v>944</v>
      </c>
      <c r="D908" s="19" t="s">
        <v>121</v>
      </c>
      <c r="E908" s="21">
        <f t="shared" si="41"/>
        <v>122.29000000000001</v>
      </c>
      <c r="F908" s="22">
        <v>7.0000000000000007e-002</v>
      </c>
      <c r="G908" s="21">
        <f t="shared" si="42"/>
        <v>121.86</v>
      </c>
      <c r="H908" s="22">
        <v>7.0000000000000007e-002</v>
      </c>
      <c r="I908" s="23" t="str">
        <f t="shared" si="43"/>
        <v xml:space="preserve">COM VALOR</v>
      </c>
      <c r="J908" s="19"/>
      <c r="L908" s="21">
        <v>122.29000000000001</v>
      </c>
      <c r="M908" s="22">
        <v>4.0000000000000001e-002</v>
      </c>
      <c r="N908" s="21">
        <v>121.86</v>
      </c>
      <c r="O908" s="22">
        <v>4.0000000000000001e-002</v>
      </c>
    </row>
    <row r="909" ht="51">
      <c r="A909" t="s">
        <v>804</v>
      </c>
      <c r="B909" s="19">
        <v>105660</v>
      </c>
      <c r="C909" s="20" t="s">
        <v>945</v>
      </c>
      <c r="D909" s="19" t="s">
        <v>121</v>
      </c>
      <c r="E909" s="21">
        <f t="shared" si="41"/>
        <v>200.28</v>
      </c>
      <c r="F909" s="22">
        <v>5.0000000000000003e-002</v>
      </c>
      <c r="G909" s="21">
        <f t="shared" si="42"/>
        <v>199.13</v>
      </c>
      <c r="H909" s="22">
        <v>5.0000000000000003e-002</v>
      </c>
      <c r="I909" s="23" t="str">
        <f t="shared" si="43"/>
        <v xml:space="preserve">COM VALOR</v>
      </c>
      <c r="J909" s="19"/>
      <c r="L909" s="21">
        <v>200.28</v>
      </c>
      <c r="M909" s="22">
        <v>7.0000000000000007e-002</v>
      </c>
      <c r="N909" s="21">
        <v>199.13</v>
      </c>
      <c r="O909" s="22">
        <v>7.0000000000000007e-002</v>
      </c>
    </row>
    <row r="910" ht="51">
      <c r="A910" t="s">
        <v>804</v>
      </c>
      <c r="B910" s="19">
        <v>105663</v>
      </c>
      <c r="C910" s="20" t="s">
        <v>946</v>
      </c>
      <c r="D910" s="19" t="s">
        <v>121</v>
      </c>
      <c r="E910" s="21">
        <f t="shared" si="41"/>
        <v>190.30000000000001</v>
      </c>
      <c r="F910" s="22">
        <v>5.0000000000000003e-002</v>
      </c>
      <c r="G910" s="21">
        <f t="shared" si="42"/>
        <v>189.41999999999999</v>
      </c>
      <c r="H910" s="22">
        <v>5.0000000000000003e-002</v>
      </c>
      <c r="I910" s="23" t="str">
        <f t="shared" si="43"/>
        <v xml:space="preserve">COM VALOR</v>
      </c>
      <c r="J910" s="19"/>
      <c r="L910" s="21">
        <v>190.30000000000001</v>
      </c>
      <c r="M910" s="22">
        <v>5.9999999999999998e-002</v>
      </c>
      <c r="N910" s="21">
        <v>189.41999999999999</v>
      </c>
      <c r="O910" s="22">
        <v>5.9999999999999998e-002</v>
      </c>
    </row>
    <row r="911" ht="51">
      <c r="A911" t="s">
        <v>804</v>
      </c>
      <c r="B911" s="19">
        <v>105669</v>
      </c>
      <c r="C911" s="20" t="s">
        <v>947</v>
      </c>
      <c r="D911" s="19" t="s">
        <v>121</v>
      </c>
      <c r="E911" s="21">
        <f t="shared" si="41"/>
        <v>185.28</v>
      </c>
      <c r="F911" s="22"/>
      <c r="G911" s="21">
        <f t="shared" si="42"/>
        <v>184.52000000000001</v>
      </c>
      <c r="H911" s="22"/>
      <c r="I911" s="23" t="str">
        <f t="shared" si="43"/>
        <v xml:space="preserve">COM VALOR</v>
      </c>
      <c r="J911" s="19"/>
      <c r="L911" s="21">
        <v>185.28</v>
      </c>
      <c r="M911" s="22">
        <v>5.0000000000000003e-002</v>
      </c>
      <c r="N911" s="21">
        <v>184.52000000000001</v>
      </c>
      <c r="O911" s="22">
        <v>5.0000000000000003e-002</v>
      </c>
    </row>
    <row r="912" ht="51">
      <c r="A912" t="s">
        <v>804</v>
      </c>
      <c r="B912" s="19">
        <v>105642</v>
      </c>
      <c r="C912" s="20" t="s">
        <v>948</v>
      </c>
      <c r="D912" s="19" t="s">
        <v>121</v>
      </c>
      <c r="E912" s="21">
        <f t="shared" si="41"/>
        <v>224.05000000000001</v>
      </c>
      <c r="F912" s="22"/>
      <c r="G912" s="21">
        <f t="shared" si="42"/>
        <v>223.34</v>
      </c>
      <c r="H912" s="22"/>
      <c r="I912" s="23" t="str">
        <f t="shared" si="43"/>
        <v xml:space="preserve">COM VALOR</v>
      </c>
      <c r="J912" s="19"/>
      <c r="L912" s="21">
        <v>224.05000000000001</v>
      </c>
      <c r="M912" s="22">
        <v>4.7500000000000001e-002</v>
      </c>
      <c r="N912" s="21">
        <v>223.34</v>
      </c>
      <c r="O912" s="22">
        <v>5.0000000000000003e-002</v>
      </c>
    </row>
    <row r="913" ht="51">
      <c r="A913" t="s">
        <v>804</v>
      </c>
      <c r="B913" s="19">
        <v>105648</v>
      </c>
      <c r="C913" s="20" t="s">
        <v>949</v>
      </c>
      <c r="D913" s="19" t="s">
        <v>121</v>
      </c>
      <c r="E913" s="21">
        <f t="shared" si="41"/>
        <v>219.28</v>
      </c>
      <c r="F913" s="22"/>
      <c r="G913" s="21">
        <f t="shared" si="42"/>
        <v>218.66999999999999</v>
      </c>
      <c r="H913" s="22"/>
      <c r="I913" s="23" t="str">
        <f t="shared" si="43"/>
        <v xml:space="preserve">COM VALOR</v>
      </c>
      <c r="J913" s="19"/>
      <c r="L913" s="21">
        <v>219.28</v>
      </c>
      <c r="M913" s="22">
        <v>4.0000000000000001e-002</v>
      </c>
      <c r="N913" s="21">
        <v>218.66999999999999</v>
      </c>
      <c r="O913" s="22">
        <v>4.0000000000000001e-002</v>
      </c>
    </row>
    <row r="914" ht="51">
      <c r="A914" t="s">
        <v>804</v>
      </c>
      <c r="B914" s="19">
        <v>105654</v>
      </c>
      <c r="C914" s="20" t="s">
        <v>950</v>
      </c>
      <c r="D914" s="19" t="s">
        <v>121</v>
      </c>
      <c r="E914" s="21">
        <f t="shared" si="41"/>
        <v>216.86000000000001</v>
      </c>
      <c r="F914" s="22">
        <v>5.9999999999999998e-002</v>
      </c>
      <c r="G914" s="21">
        <f t="shared" si="42"/>
        <v>216.30000000000001</v>
      </c>
      <c r="H914" s="22">
        <v>5.9999999999999998e-002</v>
      </c>
      <c r="I914" s="23" t="str">
        <f t="shared" si="43"/>
        <v xml:space="preserve">COM VALOR</v>
      </c>
      <c r="J914" s="19"/>
      <c r="L914" s="21">
        <v>216.86000000000001</v>
      </c>
      <c r="M914" s="22">
        <v>4.0000000000000001e-002</v>
      </c>
      <c r="N914" s="21">
        <v>216.30000000000001</v>
      </c>
      <c r="O914" s="22">
        <v>4.0000000000000001e-002</v>
      </c>
    </row>
    <row r="915" ht="51">
      <c r="A915" t="s">
        <v>804</v>
      </c>
      <c r="B915" s="19">
        <v>105661</v>
      </c>
      <c r="C915" s="20" t="s">
        <v>951</v>
      </c>
      <c r="D915" s="19" t="s">
        <v>121</v>
      </c>
      <c r="E915" s="21">
        <f t="shared" si="41"/>
        <v>234.84999999999999</v>
      </c>
      <c r="F915" s="22">
        <v>5.0000000000000003e-002</v>
      </c>
      <c r="G915" s="21">
        <f t="shared" si="42"/>
        <v>233.69999999999999</v>
      </c>
      <c r="H915" s="22">
        <v>5.0000000000000003e-002</v>
      </c>
      <c r="I915" s="23" t="str">
        <f t="shared" si="43"/>
        <v xml:space="preserve">COM VALOR</v>
      </c>
      <c r="J915" s="19"/>
      <c r="L915" s="21">
        <v>234.84999999999999</v>
      </c>
      <c r="M915" s="22">
        <v>5.9999999999999998e-002</v>
      </c>
      <c r="N915" s="21">
        <v>233.69999999999999</v>
      </c>
      <c r="O915" s="22">
        <v>5.9999999999999998e-002</v>
      </c>
    </row>
    <row r="916" ht="51">
      <c r="A916" t="s">
        <v>804</v>
      </c>
      <c r="B916" s="19">
        <v>105664</v>
      </c>
      <c r="C916" s="20" t="s">
        <v>952</v>
      </c>
      <c r="D916" s="19" t="s">
        <v>121</v>
      </c>
      <c r="E916" s="21">
        <f t="shared" si="41"/>
        <v>224.87</v>
      </c>
      <c r="F916" s="22">
        <v>4.0000000000000001e-002</v>
      </c>
      <c r="G916" s="21">
        <f t="shared" si="42"/>
        <v>223.99000000000001</v>
      </c>
      <c r="H916" s="22">
        <v>4.0000000000000001e-002</v>
      </c>
      <c r="I916" s="23" t="str">
        <f t="shared" si="43"/>
        <v xml:space="preserve">COM VALOR</v>
      </c>
      <c r="J916" s="19"/>
      <c r="L916" s="21">
        <v>224.87</v>
      </c>
      <c r="M916" s="22">
        <v>5.0000000000000003e-002</v>
      </c>
      <c r="N916" s="21">
        <v>223.99000000000001</v>
      </c>
      <c r="O916" s="22">
        <v>5.0000000000000003e-002</v>
      </c>
    </row>
    <row r="917" ht="51">
      <c r="A917" t="s">
        <v>804</v>
      </c>
      <c r="B917" s="19">
        <v>105670</v>
      </c>
      <c r="C917" s="20" t="s">
        <v>953</v>
      </c>
      <c r="D917" s="19" t="s">
        <v>121</v>
      </c>
      <c r="E917" s="21">
        <f t="shared" si="41"/>
        <v>219.84999999999999</v>
      </c>
      <c r="F917" s="22"/>
      <c r="G917" s="21">
        <f t="shared" si="42"/>
        <v>219.09</v>
      </c>
      <c r="H917" s="22"/>
      <c r="I917" s="23" t="str">
        <f t="shared" si="43"/>
        <v xml:space="preserve">COM VALOR</v>
      </c>
      <c r="J917" s="19"/>
      <c r="L917" s="21">
        <v>219.84999999999999</v>
      </c>
      <c r="M917" s="22">
        <v>4.0000000000000001e-002</v>
      </c>
      <c r="N917" s="21">
        <v>219.09</v>
      </c>
      <c r="O917" s="22">
        <v>4.0000000000000001e-002</v>
      </c>
    </row>
    <row r="918" ht="51">
      <c r="A918" t="s">
        <v>804</v>
      </c>
      <c r="B918" s="19">
        <v>105643</v>
      </c>
      <c r="C918" s="20" t="s">
        <v>954</v>
      </c>
      <c r="D918" s="19" t="s">
        <v>121</v>
      </c>
      <c r="E918" s="21">
        <f t="shared" si="41"/>
        <v>256.36000000000001</v>
      </c>
      <c r="F918" s="22"/>
      <c r="G918" s="21">
        <f t="shared" si="42"/>
        <v>255.65000000000001</v>
      </c>
      <c r="H918" s="22"/>
      <c r="I918" s="23" t="str">
        <f t="shared" si="43"/>
        <v xml:space="preserve">COM VALOR</v>
      </c>
      <c r="J918" s="19"/>
      <c r="L918" s="21">
        <v>256.36000000000001</v>
      </c>
      <c r="M918" s="22">
        <v>4.0000000000000001e-002</v>
      </c>
      <c r="N918" s="21">
        <v>255.65000000000001</v>
      </c>
      <c r="O918" s="22">
        <v>4.0000000000000001e-002</v>
      </c>
    </row>
    <row r="919" ht="51">
      <c r="A919" t="s">
        <v>804</v>
      </c>
      <c r="B919" s="19">
        <v>105649</v>
      </c>
      <c r="C919" s="20" t="s">
        <v>955</v>
      </c>
      <c r="D919" s="19" t="s">
        <v>121</v>
      </c>
      <c r="E919" s="21">
        <f t="shared" si="41"/>
        <v>251.59</v>
      </c>
      <c r="F919" s="22"/>
      <c r="G919" s="21">
        <f t="shared" si="42"/>
        <v>250.97999999999999</v>
      </c>
      <c r="H919" s="22"/>
      <c r="I919" s="23" t="str">
        <f t="shared" si="43"/>
        <v xml:space="preserve">COM VALOR</v>
      </c>
      <c r="J919" s="19"/>
      <c r="L919" s="21">
        <v>251.59</v>
      </c>
      <c r="M919" s="22">
        <v>4.0000000000000001e-002</v>
      </c>
      <c r="N919" s="21">
        <v>250.97999999999999</v>
      </c>
      <c r="O919" s="22">
        <v>4.0000000000000001e-002</v>
      </c>
    </row>
    <row r="920" ht="51">
      <c r="A920" t="s">
        <v>804</v>
      </c>
      <c r="B920" s="19">
        <v>105655</v>
      </c>
      <c r="C920" s="20" t="s">
        <v>956</v>
      </c>
      <c r="D920" s="19" t="s">
        <v>121</v>
      </c>
      <c r="E920" s="21">
        <f t="shared" si="41"/>
        <v>249.16999999999999</v>
      </c>
      <c r="F920" s="22">
        <v>0.12</v>
      </c>
      <c r="G920" s="21">
        <f t="shared" si="42"/>
        <v>248.61000000000001</v>
      </c>
      <c r="H920" s="22">
        <v>0.12</v>
      </c>
      <c r="I920" s="23" t="str">
        <f t="shared" si="43"/>
        <v xml:space="preserve">COM VALOR</v>
      </c>
      <c r="J920" s="19"/>
      <c r="L920" s="21">
        <v>249.16999999999999</v>
      </c>
      <c r="M920" s="22">
        <v>2.9999999999999999e-002</v>
      </c>
      <c r="N920" s="21">
        <v>248.61000000000001</v>
      </c>
      <c r="O920" s="22">
        <v>2.9999999999999999e-002</v>
      </c>
    </row>
    <row r="921" ht="51">
      <c r="A921" t="s">
        <v>804</v>
      </c>
      <c r="B921" s="19">
        <v>105662</v>
      </c>
      <c r="C921" s="20" t="s">
        <v>957</v>
      </c>
      <c r="D921" s="19" t="s">
        <v>121</v>
      </c>
      <c r="E921" s="21">
        <f t="shared" si="41"/>
        <v>268.94</v>
      </c>
      <c r="F921" s="22">
        <v>0.10000000000000001</v>
      </c>
      <c r="G921" s="21">
        <f t="shared" si="42"/>
        <v>267.79000000000002</v>
      </c>
      <c r="H921" s="22">
        <v>0.10000000000000001</v>
      </c>
      <c r="I921" s="23" t="str">
        <f t="shared" si="43"/>
        <v xml:space="preserve">COM VALOR</v>
      </c>
      <c r="J921" s="19"/>
      <c r="L921" s="21">
        <v>268.94</v>
      </c>
      <c r="M921" s="22">
        <v>5.0000000000000003e-002</v>
      </c>
      <c r="N921" s="21">
        <v>267.79000000000002</v>
      </c>
      <c r="O921" s="22">
        <v>5.0000000000000003e-002</v>
      </c>
    </row>
    <row r="922" ht="51">
      <c r="A922" t="s">
        <v>804</v>
      </c>
      <c r="B922" s="19">
        <v>105665</v>
      </c>
      <c r="C922" s="20" t="s">
        <v>958</v>
      </c>
      <c r="D922" s="19" t="s">
        <v>121</v>
      </c>
      <c r="E922" s="21">
        <f t="shared" si="41"/>
        <v>258.95999999999998</v>
      </c>
      <c r="F922" s="22">
        <v>8.9999999999999997e-002</v>
      </c>
      <c r="G922" s="21">
        <f t="shared" si="42"/>
        <v>258.07999999999998</v>
      </c>
      <c r="H922" s="22">
        <v>8.9999999999999997e-002</v>
      </c>
      <c r="I922" s="23" t="str">
        <f t="shared" si="43"/>
        <v xml:space="preserve">COM VALOR</v>
      </c>
      <c r="J922" s="19"/>
      <c r="L922" s="21">
        <v>258.95999999999998</v>
      </c>
      <c r="M922" s="22">
        <v>4.0000000000000001e-002</v>
      </c>
      <c r="N922" s="21">
        <v>258.07999999999998</v>
      </c>
      <c r="O922" s="22">
        <v>4.0000000000000001e-002</v>
      </c>
    </row>
    <row r="923" ht="51">
      <c r="A923" t="s">
        <v>804</v>
      </c>
      <c r="B923" s="19">
        <v>105671</v>
      </c>
      <c r="C923" s="20" t="s">
        <v>959</v>
      </c>
      <c r="D923" s="19" t="s">
        <v>121</v>
      </c>
      <c r="E923" s="21">
        <f t="shared" si="41"/>
        <v>253.94</v>
      </c>
      <c r="F923" s="22"/>
      <c r="G923" s="21">
        <f t="shared" si="42"/>
        <v>253.18000000000001</v>
      </c>
      <c r="H923" s="22"/>
      <c r="I923" s="23" t="str">
        <f t="shared" si="43"/>
        <v xml:space="preserve">COM VALOR</v>
      </c>
      <c r="J923" s="19"/>
      <c r="L923" s="21">
        <v>253.94</v>
      </c>
      <c r="M923" s="22">
        <v>4.0000000000000001e-002</v>
      </c>
      <c r="N923" s="21">
        <v>253.18000000000001</v>
      </c>
      <c r="O923" s="22">
        <v>4.0000000000000001e-002</v>
      </c>
    </row>
    <row r="924" ht="51">
      <c r="A924" t="s">
        <v>804</v>
      </c>
      <c r="B924" s="19">
        <v>105644</v>
      </c>
      <c r="C924" s="20" t="s">
        <v>960</v>
      </c>
      <c r="D924" s="19" t="s">
        <v>121</v>
      </c>
      <c r="E924" s="21">
        <f t="shared" si="41"/>
        <v>288.66000000000003</v>
      </c>
      <c r="F924" s="22"/>
      <c r="G924" s="21">
        <f t="shared" si="42"/>
        <v>287.95999999999998</v>
      </c>
      <c r="H924" s="22"/>
      <c r="I924" s="23" t="str">
        <f t="shared" si="43"/>
        <v xml:space="preserve">COM VALOR</v>
      </c>
      <c r="J924" s="19"/>
      <c r="L924" s="21">
        <v>288.66000000000003</v>
      </c>
      <c r="M924" s="22">
        <v>4.0000000000000001e-002</v>
      </c>
      <c r="N924" s="21">
        <v>287.95999999999998</v>
      </c>
      <c r="O924" s="22">
        <v>4.0000000000000001e-002</v>
      </c>
    </row>
    <row r="925" ht="51">
      <c r="A925" t="s">
        <v>804</v>
      </c>
      <c r="B925" s="19">
        <v>105650</v>
      </c>
      <c r="C925" s="20" t="s">
        <v>961</v>
      </c>
      <c r="D925" s="19" t="s">
        <v>121</v>
      </c>
      <c r="E925" s="21">
        <f t="shared" si="41"/>
        <v>283.88999999999999</v>
      </c>
      <c r="F925" s="22"/>
      <c r="G925" s="21">
        <f t="shared" si="42"/>
        <v>283.29000000000002</v>
      </c>
      <c r="H925" s="22"/>
      <c r="I925" s="23" t="str">
        <f t="shared" si="43"/>
        <v xml:space="preserve">COM VALOR</v>
      </c>
      <c r="J925" s="19"/>
      <c r="L925" s="21">
        <v>283.88999999999999</v>
      </c>
      <c r="M925" s="22">
        <v>2.9999999999999999e-002</v>
      </c>
      <c r="N925" s="21">
        <v>283.29000000000002</v>
      </c>
      <c r="O925" s="22">
        <v>2.9999999999999999e-002</v>
      </c>
    </row>
    <row r="926" ht="51">
      <c r="A926" t="s">
        <v>804</v>
      </c>
      <c r="B926" s="19">
        <v>105656</v>
      </c>
      <c r="C926" s="20" t="s">
        <v>962</v>
      </c>
      <c r="D926" s="19" t="s">
        <v>121</v>
      </c>
      <c r="E926" s="21">
        <f t="shared" si="41"/>
        <v>281.47000000000003</v>
      </c>
      <c r="F926" s="22">
        <v>8.0000000000000002e-002</v>
      </c>
      <c r="G926" s="21">
        <f t="shared" si="42"/>
        <v>280.92000000000002</v>
      </c>
      <c r="H926" s="22">
        <v>8.0000000000000002e-002</v>
      </c>
      <c r="I926" s="23" t="str">
        <f t="shared" si="43"/>
        <v xml:space="preserve">COM VALOR</v>
      </c>
      <c r="J926" s="19"/>
      <c r="L926" s="21">
        <v>281.47000000000003</v>
      </c>
      <c r="M926" s="22">
        <v>2.9999999999999999e-002</v>
      </c>
      <c r="N926" s="21">
        <v>280.92000000000002</v>
      </c>
      <c r="O926" s="22">
        <v>2.9999999999999999e-002</v>
      </c>
    </row>
    <row r="927" ht="51">
      <c r="A927" t="s">
        <v>804</v>
      </c>
      <c r="B927" s="19">
        <v>105577</v>
      </c>
      <c r="C927" s="20" t="s">
        <v>963</v>
      </c>
      <c r="D927" s="19" t="s">
        <v>121</v>
      </c>
      <c r="E927" s="21">
        <f t="shared" si="41"/>
        <v>126.5</v>
      </c>
      <c r="F927" s="22">
        <v>7.0000000000000007e-002</v>
      </c>
      <c r="G927" s="21">
        <f t="shared" si="42"/>
        <v>125.34999999999999</v>
      </c>
      <c r="H927" s="22">
        <v>7.0000000000000007e-002</v>
      </c>
      <c r="I927" s="23" t="str">
        <f t="shared" si="43"/>
        <v xml:space="preserve">COM VALOR</v>
      </c>
      <c r="J927" s="19"/>
      <c r="L927" s="21">
        <v>126.5</v>
      </c>
      <c r="M927" s="22">
        <v>0.11</v>
      </c>
      <c r="N927" s="21">
        <v>125.34999999999999</v>
      </c>
      <c r="O927" s="22">
        <v>0.11</v>
      </c>
    </row>
    <row r="928" ht="51">
      <c r="A928" t="s">
        <v>804</v>
      </c>
      <c r="B928" s="19">
        <v>105578</v>
      </c>
      <c r="C928" s="20" t="s">
        <v>964</v>
      </c>
      <c r="D928" s="19" t="s">
        <v>121</v>
      </c>
      <c r="E928" s="21">
        <f t="shared" si="41"/>
        <v>116.52</v>
      </c>
      <c r="F928" s="22">
        <v>5.9999999999999998e-002</v>
      </c>
      <c r="G928" s="21">
        <f t="shared" si="42"/>
        <v>115.64</v>
      </c>
      <c r="H928" s="22">
        <v>5.9999999999999998e-002</v>
      </c>
      <c r="I928" s="23" t="str">
        <f t="shared" si="43"/>
        <v xml:space="preserve">COM VALOR</v>
      </c>
      <c r="J928" s="19"/>
      <c r="L928" s="21">
        <v>116.52</v>
      </c>
      <c r="M928" s="22">
        <v>8.9999999999999997e-002</v>
      </c>
      <c r="N928" s="21">
        <v>115.64</v>
      </c>
      <c r="O928" s="22">
        <v>8.9999999999999997e-002</v>
      </c>
    </row>
    <row r="929" ht="51">
      <c r="A929" t="s">
        <v>804</v>
      </c>
      <c r="B929" s="19">
        <v>105712</v>
      </c>
      <c r="C929" s="20" t="s">
        <v>965</v>
      </c>
      <c r="D929" s="19" t="s">
        <v>121</v>
      </c>
      <c r="E929" s="21">
        <f t="shared" si="41"/>
        <v>111.5</v>
      </c>
      <c r="F929" s="22"/>
      <c r="G929" s="21">
        <f t="shared" si="42"/>
        <v>110.75</v>
      </c>
      <c r="H929" s="22"/>
      <c r="I929" s="23" t="str">
        <f t="shared" si="43"/>
        <v xml:space="preserve">COM VALOR</v>
      </c>
      <c r="J929" s="19"/>
      <c r="L929" s="21">
        <v>111.5</v>
      </c>
      <c r="M929" s="22">
        <v>8.0000000000000002e-002</v>
      </c>
      <c r="N929" s="21">
        <v>110.75</v>
      </c>
      <c r="O929" s="22">
        <v>8.0000000000000002e-002</v>
      </c>
    </row>
    <row r="930" ht="51">
      <c r="A930" t="s">
        <v>804</v>
      </c>
      <c r="B930" s="19">
        <v>105637</v>
      </c>
      <c r="C930" s="20" t="s">
        <v>966</v>
      </c>
      <c r="D930" s="19" t="s">
        <v>121</v>
      </c>
      <c r="E930" s="21">
        <f t="shared" si="41"/>
        <v>159.40000000000001</v>
      </c>
      <c r="F930" s="22"/>
      <c r="G930" s="21">
        <f t="shared" si="42"/>
        <v>158.69</v>
      </c>
      <c r="H930" s="22"/>
      <c r="I930" s="23" t="str">
        <f t="shared" si="43"/>
        <v xml:space="preserve">COM VALOR</v>
      </c>
      <c r="J930" s="19"/>
      <c r="L930" s="21">
        <v>159.40000000000001</v>
      </c>
      <c r="M930" s="22">
        <v>7.0000000000000007e-002</v>
      </c>
      <c r="N930" s="21">
        <v>158.69</v>
      </c>
      <c r="O930" s="22">
        <v>7.0000000000000007e-002</v>
      </c>
    </row>
    <row r="931" ht="51">
      <c r="A931" t="s">
        <v>804</v>
      </c>
      <c r="B931" s="19">
        <v>105707</v>
      </c>
      <c r="C931" s="20" t="s">
        <v>967</v>
      </c>
      <c r="D931" s="19" t="s">
        <v>121</v>
      </c>
      <c r="E931" s="21">
        <f t="shared" si="41"/>
        <v>154.63</v>
      </c>
      <c r="F931" s="22"/>
      <c r="G931" s="21">
        <f t="shared" si="42"/>
        <v>154.02000000000001</v>
      </c>
      <c r="H931" s="22"/>
      <c r="I931" s="23" t="str">
        <f t="shared" si="43"/>
        <v xml:space="preserve">COM VALOR</v>
      </c>
      <c r="J931" s="19"/>
      <c r="L931" s="21">
        <v>154.63</v>
      </c>
      <c r="M931" s="22">
        <v>5.9999999999999998e-002</v>
      </c>
      <c r="N931" s="21">
        <v>154.02000000000001</v>
      </c>
      <c r="O931" s="22">
        <v>5.7500000000000002e-002</v>
      </c>
    </row>
    <row r="932" ht="51">
      <c r="A932" t="s">
        <v>804</v>
      </c>
      <c r="B932" s="19">
        <v>105709</v>
      </c>
      <c r="C932" s="20" t="s">
        <v>968</v>
      </c>
      <c r="D932" s="19" t="s">
        <v>121</v>
      </c>
      <c r="E932" s="21">
        <f t="shared" si="41"/>
        <v>152.21000000000001</v>
      </c>
      <c r="F932" s="22">
        <v>7.0000000000000007e-002</v>
      </c>
      <c r="G932" s="21">
        <f t="shared" si="42"/>
        <v>151.65000000000001</v>
      </c>
      <c r="H932" s="22">
        <v>7.0000000000000007e-002</v>
      </c>
      <c r="I932" s="23" t="str">
        <f t="shared" si="43"/>
        <v xml:space="preserve">COM VALOR</v>
      </c>
      <c r="J932" s="19"/>
      <c r="L932" s="21">
        <v>152.21000000000001</v>
      </c>
      <c r="M932" s="22">
        <v>5.0000000000000003e-002</v>
      </c>
      <c r="N932" s="21">
        <v>151.65000000000001</v>
      </c>
      <c r="O932" s="22">
        <v>5.0000000000000003e-002</v>
      </c>
    </row>
    <row r="933" ht="51">
      <c r="A933" t="s">
        <v>804</v>
      </c>
      <c r="B933" s="19">
        <v>105693</v>
      </c>
      <c r="C933" s="20" t="s">
        <v>969</v>
      </c>
      <c r="D933" s="19" t="s">
        <v>121</v>
      </c>
      <c r="E933" s="21">
        <f t="shared" si="41"/>
        <v>187.00999999999999</v>
      </c>
      <c r="F933" s="22">
        <v>5.9999999999999998e-002</v>
      </c>
      <c r="G933" s="21">
        <f t="shared" si="42"/>
        <v>185.86000000000001</v>
      </c>
      <c r="H933" s="22">
        <v>5.9999999999999998e-002</v>
      </c>
      <c r="I933" s="23" t="str">
        <f t="shared" si="43"/>
        <v xml:space="preserve">COM VALOR</v>
      </c>
      <c r="J933" s="19"/>
      <c r="L933" s="21">
        <v>187.00999999999999</v>
      </c>
      <c r="M933" s="22">
        <v>8.0000000000000002e-002</v>
      </c>
      <c r="N933" s="21">
        <v>185.86000000000001</v>
      </c>
      <c r="O933" s="22">
        <v>8.0000000000000002e-002</v>
      </c>
    </row>
    <row r="934" ht="51">
      <c r="A934" t="s">
        <v>804</v>
      </c>
      <c r="B934" s="19">
        <v>105696</v>
      </c>
      <c r="C934" s="20" t="s">
        <v>970</v>
      </c>
      <c r="D934" s="19" t="s">
        <v>121</v>
      </c>
      <c r="E934" s="21">
        <f t="shared" si="41"/>
        <v>177.03</v>
      </c>
      <c r="F934" s="22">
        <v>5.0000000000000003e-002</v>
      </c>
      <c r="G934" s="21">
        <f t="shared" si="42"/>
        <v>176.15000000000001</v>
      </c>
      <c r="H934" s="22">
        <v>5.0000000000000003e-002</v>
      </c>
      <c r="I934" s="23" t="str">
        <f t="shared" si="43"/>
        <v xml:space="preserve">COM VALOR</v>
      </c>
      <c r="J934" s="19"/>
      <c r="L934" s="21">
        <v>177.03</v>
      </c>
      <c r="M934" s="22">
        <v>5.9999999999999998e-002</v>
      </c>
      <c r="N934" s="21">
        <v>176.15000000000001</v>
      </c>
      <c r="O934" s="22">
        <v>5.9999999999999998e-002</v>
      </c>
    </row>
    <row r="935" ht="51">
      <c r="A935" t="s">
        <v>804</v>
      </c>
      <c r="B935" s="19">
        <v>105702</v>
      </c>
      <c r="C935" s="20" t="s">
        <v>971</v>
      </c>
      <c r="D935" s="19" t="s">
        <v>121</v>
      </c>
      <c r="E935" s="21">
        <f t="shared" si="41"/>
        <v>172.00999999999999</v>
      </c>
      <c r="F935" s="22"/>
      <c r="G935" s="21">
        <f t="shared" si="42"/>
        <v>171.25</v>
      </c>
      <c r="H935" s="22"/>
      <c r="I935" s="23" t="str">
        <f t="shared" si="43"/>
        <v xml:space="preserve">COM VALOR</v>
      </c>
      <c r="J935" s="19"/>
      <c r="L935" s="21">
        <v>172.00999999999999</v>
      </c>
      <c r="M935" s="22">
        <v>5.0000000000000003e-002</v>
      </c>
      <c r="N935" s="21">
        <v>171.25</v>
      </c>
      <c r="O935" s="22">
        <v>5.0000000000000003e-002</v>
      </c>
    </row>
    <row r="936" ht="51">
      <c r="A936" t="s">
        <v>804</v>
      </c>
      <c r="B936" s="19">
        <v>105675</v>
      </c>
      <c r="C936" s="20" t="s">
        <v>972</v>
      </c>
      <c r="D936" s="19" t="s">
        <v>121</v>
      </c>
      <c r="E936" s="21">
        <f t="shared" si="41"/>
        <v>203.87</v>
      </c>
      <c r="F936" s="22"/>
      <c r="G936" s="21">
        <f t="shared" si="42"/>
        <v>203.16</v>
      </c>
      <c r="H936" s="22"/>
      <c r="I936" s="23" t="str">
        <f t="shared" si="43"/>
        <v xml:space="preserve">COM VALOR</v>
      </c>
      <c r="J936" s="19"/>
      <c r="L936" s="21">
        <v>203.87</v>
      </c>
      <c r="M936" s="22">
        <v>5.0000000000000003e-002</v>
      </c>
      <c r="N936" s="21">
        <v>203.16</v>
      </c>
      <c r="O936" s="22">
        <v>5.0000000000000003e-002</v>
      </c>
    </row>
    <row r="937" ht="51">
      <c r="A937" t="s">
        <v>804</v>
      </c>
      <c r="B937" s="19">
        <v>105681</v>
      </c>
      <c r="C937" s="20" t="s">
        <v>973</v>
      </c>
      <c r="D937" s="19" t="s">
        <v>121</v>
      </c>
      <c r="E937" s="21">
        <f t="shared" si="41"/>
        <v>199.09999999999999</v>
      </c>
      <c r="F937" s="22"/>
      <c r="G937" s="21">
        <f t="shared" si="42"/>
        <v>198.49000000000001</v>
      </c>
      <c r="H937" s="22"/>
      <c r="I937" s="23" t="str">
        <f t="shared" si="43"/>
        <v xml:space="preserve">COM VALOR</v>
      </c>
      <c r="J937" s="19"/>
      <c r="L937" s="21">
        <v>199.09999999999999</v>
      </c>
      <c r="M937" s="22">
        <v>4.0000000000000001e-002</v>
      </c>
      <c r="N937" s="21">
        <v>198.49000000000001</v>
      </c>
      <c r="O937" s="22">
        <v>4.0000000000000001e-002</v>
      </c>
    </row>
    <row r="938" ht="51">
      <c r="A938" t="s">
        <v>804</v>
      </c>
      <c r="B938" s="19">
        <v>105687</v>
      </c>
      <c r="C938" s="20" t="s">
        <v>974</v>
      </c>
      <c r="D938" s="19" t="s">
        <v>121</v>
      </c>
      <c r="E938" s="21">
        <f t="shared" si="41"/>
        <v>196.68000000000001</v>
      </c>
      <c r="F938" s="22">
        <v>5.9999999999999998e-002</v>
      </c>
      <c r="G938" s="21">
        <f t="shared" si="42"/>
        <v>196.12</v>
      </c>
      <c r="H938" s="22">
        <v>5.9999999999999998e-002</v>
      </c>
      <c r="I938" s="23" t="str">
        <f t="shared" si="43"/>
        <v xml:space="preserve">COM VALOR</v>
      </c>
      <c r="J938" s="19"/>
      <c r="L938" s="21">
        <v>196.68000000000001</v>
      </c>
      <c r="M938" s="22">
        <v>4.0000000000000001e-002</v>
      </c>
      <c r="N938" s="21">
        <v>196.12</v>
      </c>
      <c r="O938" s="22">
        <v>4.0000000000000001e-002</v>
      </c>
    </row>
    <row r="939" ht="51">
      <c r="A939" t="s">
        <v>804</v>
      </c>
      <c r="B939" s="19">
        <v>105694</v>
      </c>
      <c r="C939" s="20" t="s">
        <v>975</v>
      </c>
      <c r="D939" s="19" t="s">
        <v>121</v>
      </c>
      <c r="E939" s="21">
        <f t="shared" si="41"/>
        <v>221.86000000000001</v>
      </c>
      <c r="F939" s="22">
        <v>5.0000000000000003e-002</v>
      </c>
      <c r="G939" s="21">
        <f t="shared" si="42"/>
        <v>220.71000000000001</v>
      </c>
      <c r="H939" s="22">
        <v>5.0000000000000003e-002</v>
      </c>
      <c r="I939" s="23" t="str">
        <f t="shared" si="43"/>
        <v xml:space="preserve">COM VALOR</v>
      </c>
      <c r="J939" s="19"/>
      <c r="L939" s="21">
        <v>221.86000000000001</v>
      </c>
      <c r="M939" s="22">
        <v>5.9999999999999998e-002</v>
      </c>
      <c r="N939" s="21">
        <v>220.71000000000001</v>
      </c>
      <c r="O939" s="22">
        <v>5.9999999999999998e-002</v>
      </c>
    </row>
    <row r="940" ht="51">
      <c r="A940" t="s">
        <v>804</v>
      </c>
      <c r="B940" s="19">
        <v>105697</v>
      </c>
      <c r="C940" s="20" t="s">
        <v>976</v>
      </c>
      <c r="D940" s="19" t="s">
        <v>121</v>
      </c>
      <c r="E940" s="21">
        <f t="shared" si="41"/>
        <v>211.88</v>
      </c>
      <c r="F940" s="22">
        <v>4.0000000000000001e-002</v>
      </c>
      <c r="G940" s="21">
        <f t="shared" si="42"/>
        <v>211</v>
      </c>
      <c r="H940" s="22">
        <v>4.0000000000000001e-002</v>
      </c>
      <c r="I940" s="23" t="str">
        <f t="shared" si="43"/>
        <v xml:space="preserve">COM VALOR</v>
      </c>
      <c r="J940" s="19"/>
      <c r="L940" s="21">
        <v>211.88</v>
      </c>
      <c r="M940" s="22">
        <v>5.0000000000000003e-002</v>
      </c>
      <c r="N940" s="21">
        <v>211</v>
      </c>
      <c r="O940" s="22">
        <v>5.0000000000000003e-002</v>
      </c>
    </row>
    <row r="941" ht="51">
      <c r="A941" t="s">
        <v>804</v>
      </c>
      <c r="B941" s="19">
        <v>105703</v>
      </c>
      <c r="C941" s="20" t="s">
        <v>977</v>
      </c>
      <c r="D941" s="19" t="s">
        <v>121</v>
      </c>
      <c r="E941" s="21">
        <f t="shared" si="41"/>
        <v>206.86000000000001</v>
      </c>
      <c r="F941" s="22"/>
      <c r="G941" s="21">
        <f t="shared" si="42"/>
        <v>206.09999999999999</v>
      </c>
      <c r="H941" s="22"/>
      <c r="I941" s="23" t="str">
        <f t="shared" si="43"/>
        <v xml:space="preserve">COM VALOR</v>
      </c>
      <c r="J941" s="19"/>
      <c r="L941" s="21">
        <v>206.86000000000001</v>
      </c>
      <c r="M941" s="22">
        <v>4.0000000000000001e-002</v>
      </c>
      <c r="N941" s="21">
        <v>206.09999999999999</v>
      </c>
      <c r="O941" s="22">
        <v>4.0000000000000001e-002</v>
      </c>
    </row>
    <row r="942" ht="51">
      <c r="A942" t="s">
        <v>804</v>
      </c>
      <c r="B942" s="19">
        <v>105676</v>
      </c>
      <c r="C942" s="20" t="s">
        <v>978</v>
      </c>
      <c r="D942" s="19" t="s">
        <v>121</v>
      </c>
      <c r="E942" s="21">
        <f t="shared" si="41"/>
        <v>236.59999999999999</v>
      </c>
      <c r="F942" s="22"/>
      <c r="G942" s="21">
        <f t="shared" si="42"/>
        <v>235.88999999999999</v>
      </c>
      <c r="H942" s="22"/>
      <c r="I942" s="23" t="str">
        <f t="shared" si="43"/>
        <v xml:space="preserve">COM VALOR</v>
      </c>
      <c r="J942" s="19"/>
      <c r="L942" s="21">
        <v>236.59999999999999</v>
      </c>
      <c r="M942" s="22">
        <v>4.4999999999999998e-002</v>
      </c>
      <c r="N942" s="21">
        <v>235.88999999999999</v>
      </c>
      <c r="O942" s="22">
        <v>5.0000000000000003e-002</v>
      </c>
    </row>
    <row r="943" ht="51">
      <c r="A943" t="s">
        <v>804</v>
      </c>
      <c r="B943" s="19">
        <v>105682</v>
      </c>
      <c r="C943" s="20" t="s">
        <v>979</v>
      </c>
      <c r="D943" s="19" t="s">
        <v>121</v>
      </c>
      <c r="E943" s="21">
        <f t="shared" si="41"/>
        <v>231.83000000000001</v>
      </c>
      <c r="F943" s="22"/>
      <c r="G943" s="21">
        <f t="shared" si="42"/>
        <v>231.22</v>
      </c>
      <c r="H943" s="22"/>
      <c r="I943" s="23" t="str">
        <f t="shared" si="43"/>
        <v xml:space="preserve">COM VALOR</v>
      </c>
      <c r="J943" s="19"/>
      <c r="L943" s="21">
        <v>231.83000000000001</v>
      </c>
      <c r="M943" s="22">
        <v>4.0000000000000001e-002</v>
      </c>
      <c r="N943" s="21">
        <v>231.22</v>
      </c>
      <c r="O943" s="22">
        <v>4.0000000000000001e-002</v>
      </c>
    </row>
    <row r="944" ht="51">
      <c r="A944" t="s">
        <v>804</v>
      </c>
      <c r="B944" s="19">
        <v>105688</v>
      </c>
      <c r="C944" s="20" t="s">
        <v>980</v>
      </c>
      <c r="D944" s="19" t="s">
        <v>121</v>
      </c>
      <c r="E944" s="21">
        <f t="shared" si="41"/>
        <v>229.41</v>
      </c>
      <c r="F944" s="22">
        <v>0.13</v>
      </c>
      <c r="G944" s="21">
        <f t="shared" si="42"/>
        <v>228.84999999999999</v>
      </c>
      <c r="H944" s="22">
        <v>0.13</v>
      </c>
      <c r="I944" s="23" t="str">
        <f t="shared" si="43"/>
        <v xml:space="preserve">COM VALOR</v>
      </c>
      <c r="J944" s="19"/>
      <c r="L944" s="21">
        <v>229.41</v>
      </c>
      <c r="M944" s="22">
        <v>4.0000000000000001e-002</v>
      </c>
      <c r="N944" s="21">
        <v>228.84999999999999</v>
      </c>
      <c r="O944" s="22">
        <v>4.0000000000000001e-002</v>
      </c>
    </row>
    <row r="945" ht="51">
      <c r="A945" t="s">
        <v>804</v>
      </c>
      <c r="B945" s="19">
        <v>105695</v>
      </c>
      <c r="C945" s="20" t="s">
        <v>981</v>
      </c>
      <c r="D945" s="19" t="s">
        <v>121</v>
      </c>
      <c r="E945" s="21">
        <f t="shared" si="41"/>
        <v>256.22000000000003</v>
      </c>
      <c r="F945" s="22">
        <v>0.11</v>
      </c>
      <c r="G945" s="21">
        <f t="shared" si="42"/>
        <v>255.06999999999999</v>
      </c>
      <c r="H945" s="22">
        <v>0.11</v>
      </c>
      <c r="I945" s="23" t="str">
        <f t="shared" si="43"/>
        <v xml:space="preserve">COM VALOR</v>
      </c>
      <c r="J945" s="19"/>
      <c r="L945" s="21">
        <v>256.22000000000003</v>
      </c>
      <c r="M945" s="22">
        <v>5.5e-002</v>
      </c>
      <c r="N945" s="21">
        <v>255.06999999999999</v>
      </c>
      <c r="O945" s="22">
        <v>5.9999999999999998e-002</v>
      </c>
    </row>
    <row r="946" ht="51">
      <c r="A946" t="s">
        <v>804</v>
      </c>
      <c r="B946" s="19">
        <v>105698</v>
      </c>
      <c r="C946" s="20" t="s">
        <v>982</v>
      </c>
      <c r="D946" s="19" t="s">
        <v>121</v>
      </c>
      <c r="E946" s="21">
        <f t="shared" si="41"/>
        <v>246.24000000000001</v>
      </c>
      <c r="F946" s="22">
        <v>0.10000000000000001</v>
      </c>
      <c r="G946" s="21">
        <f t="shared" si="42"/>
        <v>245.36000000000001</v>
      </c>
      <c r="H946" s="22">
        <v>0.10000000000000001</v>
      </c>
      <c r="I946" s="23" t="str">
        <f t="shared" si="43"/>
        <v xml:space="preserve">COM VALOR</v>
      </c>
      <c r="J946" s="19"/>
      <c r="L946" s="21">
        <v>246.24000000000001</v>
      </c>
      <c r="M946" s="22">
        <v>4.0000000000000001e-002</v>
      </c>
      <c r="N946" s="21">
        <v>245.36000000000001</v>
      </c>
      <c r="O946" s="22">
        <v>4.0000000000000001e-002</v>
      </c>
    </row>
    <row r="947" ht="51">
      <c r="A947" t="s">
        <v>804</v>
      </c>
      <c r="B947" s="19">
        <v>105704</v>
      </c>
      <c r="C947" s="20" t="s">
        <v>983</v>
      </c>
      <c r="D947" s="19" t="s">
        <v>121</v>
      </c>
      <c r="E947" s="21">
        <f t="shared" si="41"/>
        <v>241.22</v>
      </c>
      <c r="F947" s="22"/>
      <c r="G947" s="21">
        <f t="shared" si="42"/>
        <v>240.46000000000001</v>
      </c>
      <c r="H947" s="22"/>
      <c r="I947" s="23" t="str">
        <f t="shared" si="43"/>
        <v xml:space="preserve">COM VALOR</v>
      </c>
      <c r="J947" s="19"/>
      <c r="L947" s="21">
        <v>241.22</v>
      </c>
      <c r="M947" s="22">
        <v>4.0000000000000001e-002</v>
      </c>
      <c r="N947" s="21">
        <v>240.46000000000001</v>
      </c>
      <c r="O947" s="22">
        <v>4.0000000000000001e-002</v>
      </c>
    </row>
    <row r="948" ht="51">
      <c r="A948" t="s">
        <v>804</v>
      </c>
      <c r="B948" s="19">
        <v>105677</v>
      </c>
      <c r="C948" s="20" t="s">
        <v>984</v>
      </c>
      <c r="D948" s="19" t="s">
        <v>121</v>
      </c>
      <c r="E948" s="21">
        <f t="shared" si="41"/>
        <v>269.32999999999998</v>
      </c>
      <c r="F948" s="22"/>
      <c r="G948" s="21">
        <f t="shared" si="42"/>
        <v>268.63</v>
      </c>
      <c r="H948" s="22"/>
      <c r="I948" s="23" t="str">
        <f t="shared" si="43"/>
        <v xml:space="preserve">COM VALOR</v>
      </c>
      <c r="J948" s="19"/>
      <c r="L948" s="21">
        <v>269.32999999999998</v>
      </c>
      <c r="M948" s="22">
        <v>4.0000000000000001e-002</v>
      </c>
      <c r="N948" s="21">
        <v>268.63</v>
      </c>
      <c r="O948" s="22">
        <v>4.0000000000000001e-002</v>
      </c>
    </row>
    <row r="949" ht="51">
      <c r="A949" t="s">
        <v>804</v>
      </c>
      <c r="B949" s="19">
        <v>105683</v>
      </c>
      <c r="C949" s="20" t="s">
        <v>985</v>
      </c>
      <c r="D949" s="19" t="s">
        <v>121</v>
      </c>
      <c r="E949" s="21">
        <f t="shared" si="41"/>
        <v>264.56</v>
      </c>
      <c r="F949" s="22"/>
      <c r="G949" s="21">
        <f t="shared" si="42"/>
        <v>263.95999999999998</v>
      </c>
      <c r="H949" s="22"/>
      <c r="I949" s="23" t="str">
        <f t="shared" si="43"/>
        <v xml:space="preserve">COM VALOR</v>
      </c>
      <c r="J949" s="19"/>
      <c r="L949" s="21">
        <v>264.56</v>
      </c>
      <c r="M949" s="22">
        <v>2.9999999999999999e-002</v>
      </c>
      <c r="N949" s="21">
        <v>263.95999999999998</v>
      </c>
      <c r="O949" s="22">
        <v>2.9999999999999999e-002</v>
      </c>
    </row>
    <row r="950" ht="51">
      <c r="A950" t="s">
        <v>804</v>
      </c>
      <c r="B950" s="19">
        <v>105689</v>
      </c>
      <c r="C950" s="20" t="s">
        <v>986</v>
      </c>
      <c r="D950" s="19" t="s">
        <v>121</v>
      </c>
      <c r="E950" s="21">
        <f t="shared" si="41"/>
        <v>262.13999999999999</v>
      </c>
      <c r="F950" s="22">
        <v>7.0000000000000007e-002</v>
      </c>
      <c r="G950" s="21">
        <f t="shared" si="42"/>
        <v>261.58999999999997</v>
      </c>
      <c r="H950" s="22">
        <v>7.0000000000000007e-002</v>
      </c>
      <c r="I950" s="23" t="str">
        <f t="shared" si="43"/>
        <v xml:space="preserve">COM VALOR</v>
      </c>
      <c r="J950" s="19"/>
      <c r="L950" s="21">
        <v>262.13999999999999</v>
      </c>
      <c r="M950" s="22">
        <v>2.9999999999999999e-002</v>
      </c>
      <c r="N950" s="21">
        <v>261.58999999999997</v>
      </c>
      <c r="O950" s="22">
        <v>2.9999999999999999e-002</v>
      </c>
    </row>
    <row r="951" ht="51">
      <c r="A951" t="s">
        <v>804</v>
      </c>
      <c r="B951" s="19">
        <v>105579</v>
      </c>
      <c r="C951" s="20" t="s">
        <v>987</v>
      </c>
      <c r="D951" s="19" t="s">
        <v>121</v>
      </c>
      <c r="E951" s="21">
        <f t="shared" si="41"/>
        <v>112.68000000000001</v>
      </c>
      <c r="F951" s="22">
        <v>5.0000000000000003e-002</v>
      </c>
      <c r="G951" s="21">
        <f t="shared" si="42"/>
        <v>111.53</v>
      </c>
      <c r="H951" s="22">
        <v>5.0000000000000003e-002</v>
      </c>
      <c r="I951" s="23" t="str">
        <f t="shared" si="43"/>
        <v xml:space="preserve">COM VALOR</v>
      </c>
      <c r="J951" s="19"/>
      <c r="L951" s="21">
        <v>112.68000000000001</v>
      </c>
      <c r="M951" s="22">
        <v>0.13</v>
      </c>
      <c r="N951" s="21">
        <v>111.53</v>
      </c>
      <c r="O951" s="22">
        <v>0.13</v>
      </c>
    </row>
    <row r="952" ht="51">
      <c r="A952" t="s">
        <v>804</v>
      </c>
      <c r="B952" s="19">
        <v>105580</v>
      </c>
      <c r="C952" s="20" t="s">
        <v>988</v>
      </c>
      <c r="D952" s="19" t="s">
        <v>121</v>
      </c>
      <c r="E952" s="21">
        <f t="shared" si="41"/>
        <v>102.7</v>
      </c>
      <c r="F952" s="22">
        <v>5.0000000000000003e-002</v>
      </c>
      <c r="G952" s="21">
        <f t="shared" si="42"/>
        <v>101.81999999999999</v>
      </c>
      <c r="H952" s="22">
        <v>5.0000000000000003e-002</v>
      </c>
      <c r="I952" s="23" t="str">
        <f t="shared" si="43"/>
        <v xml:space="preserve">COM VALOR</v>
      </c>
      <c r="J952" s="19"/>
      <c r="L952" s="21">
        <v>102.7</v>
      </c>
      <c r="M952" s="22">
        <v>0.11</v>
      </c>
      <c r="N952" s="21">
        <v>101.81999999999999</v>
      </c>
      <c r="O952" s="22">
        <v>0.11</v>
      </c>
    </row>
    <row r="953" ht="51">
      <c r="A953" t="s">
        <v>804</v>
      </c>
      <c r="B953" s="19">
        <v>105582</v>
      </c>
      <c r="C953" s="20" t="s">
        <v>989</v>
      </c>
      <c r="D953" s="19" t="s">
        <v>121</v>
      </c>
      <c r="E953" s="21">
        <f t="shared" si="41"/>
        <v>97.680000000000007</v>
      </c>
      <c r="F953" s="22"/>
      <c r="G953" s="21">
        <f t="shared" si="42"/>
        <v>96.930000000000007</v>
      </c>
      <c r="H953" s="22"/>
      <c r="I953" s="23" t="str">
        <f t="shared" si="43"/>
        <v xml:space="preserve">COM VALOR</v>
      </c>
      <c r="J953" s="19"/>
      <c r="L953" s="21">
        <v>97.680000000000007</v>
      </c>
      <c r="M953" s="22">
        <v>8.9999999999999997e-002</v>
      </c>
      <c r="N953" s="21">
        <v>96.930000000000007</v>
      </c>
      <c r="O953" s="22">
        <v>9.5000000000000001e-002</v>
      </c>
    </row>
    <row r="954" ht="51">
      <c r="A954" t="s">
        <v>804</v>
      </c>
      <c r="B954" s="19">
        <v>105638</v>
      </c>
      <c r="C954" s="20" t="s">
        <v>990</v>
      </c>
      <c r="D954" s="19" t="s">
        <v>121</v>
      </c>
      <c r="E954" s="21">
        <f t="shared" si="41"/>
        <v>138.38999999999999</v>
      </c>
      <c r="F954" s="22"/>
      <c r="G954" s="21">
        <f t="shared" si="42"/>
        <v>137.68000000000001</v>
      </c>
      <c r="H954" s="22"/>
      <c r="I954" s="23" t="str">
        <f t="shared" si="43"/>
        <v xml:space="preserve">COM VALOR</v>
      </c>
      <c r="J954" s="19"/>
      <c r="L954" s="21">
        <v>138.38999999999999</v>
      </c>
      <c r="M954" s="22">
        <v>8.0000000000000002e-002</v>
      </c>
      <c r="N954" s="21">
        <v>137.68000000000001</v>
      </c>
      <c r="O954" s="22">
        <v>8.0000000000000002e-002</v>
      </c>
    </row>
    <row r="955" ht="51">
      <c r="A955" t="s">
        <v>804</v>
      </c>
      <c r="B955" s="19">
        <v>105715</v>
      </c>
      <c r="C955" s="20" t="s">
        <v>991</v>
      </c>
      <c r="D955" s="19" t="s">
        <v>121</v>
      </c>
      <c r="E955" s="21">
        <f t="shared" si="41"/>
        <v>133.62</v>
      </c>
      <c r="F955" s="22"/>
      <c r="G955" s="21">
        <f t="shared" si="42"/>
        <v>133.00999999999999</v>
      </c>
      <c r="H955" s="22"/>
      <c r="I955" s="23" t="str">
        <f t="shared" si="43"/>
        <v xml:space="preserve">COM VALOR</v>
      </c>
      <c r="J955" s="19"/>
      <c r="L955" s="21">
        <v>133.62</v>
      </c>
      <c r="M955" s="22">
        <v>7.0000000000000007e-002</v>
      </c>
      <c r="N955" s="21">
        <v>133.00999999999999</v>
      </c>
      <c r="O955" s="22">
        <v>7.0000000000000007e-002</v>
      </c>
    </row>
    <row r="956" ht="51">
      <c r="A956" t="s">
        <v>804</v>
      </c>
      <c r="B956" s="19">
        <v>105717</v>
      </c>
      <c r="C956" s="20" t="s">
        <v>992</v>
      </c>
      <c r="D956" s="19" t="s">
        <v>121</v>
      </c>
      <c r="E956" s="21">
        <f t="shared" si="41"/>
        <v>131.19999999999999</v>
      </c>
      <c r="F956" s="22">
        <v>5.0000000000000003e-002</v>
      </c>
      <c r="G956" s="21">
        <f t="shared" si="42"/>
        <v>130.63999999999999</v>
      </c>
      <c r="H956" s="22">
        <v>5.0000000000000003e-002</v>
      </c>
      <c r="I956" s="23" t="str">
        <f t="shared" si="43"/>
        <v xml:space="preserve">COM VALOR</v>
      </c>
      <c r="J956" s="19"/>
      <c r="L956" s="21">
        <v>131.19999999999999</v>
      </c>
      <c r="M956" s="22">
        <v>5.9999999999999998e-002</v>
      </c>
      <c r="N956" s="21">
        <v>130.63999999999999</v>
      </c>
      <c r="O956" s="22">
        <v>5.9999999999999998e-002</v>
      </c>
    </row>
    <row r="957" ht="51">
      <c r="A957" t="s">
        <v>804</v>
      </c>
      <c r="B957" s="19">
        <v>105626</v>
      </c>
      <c r="C957" s="20" t="s">
        <v>993</v>
      </c>
      <c r="D957" s="19" t="s">
        <v>121</v>
      </c>
      <c r="E957" s="21">
        <f t="shared" si="41"/>
        <v>139.81</v>
      </c>
      <c r="F957" s="22">
        <v>4.0000000000000001e-002</v>
      </c>
      <c r="G957" s="21">
        <f t="shared" si="42"/>
        <v>139.15000000000001</v>
      </c>
      <c r="H957" s="22">
        <v>4.0000000000000001e-002</v>
      </c>
      <c r="I957" s="23" t="str">
        <f t="shared" si="43"/>
        <v xml:space="preserve">COM VALOR</v>
      </c>
      <c r="J957" s="19"/>
      <c r="L957" s="21">
        <v>139.81</v>
      </c>
      <c r="M957" s="22">
        <v>5.9999999999999998e-002</v>
      </c>
      <c r="N957" s="21">
        <v>139.15000000000001</v>
      </c>
      <c r="O957" s="22">
        <v>5.9999999999999998e-002</v>
      </c>
    </row>
    <row r="958" ht="51">
      <c r="A958" t="s">
        <v>804</v>
      </c>
      <c r="B958" s="19">
        <v>105629</v>
      </c>
      <c r="C958" s="20" t="s">
        <v>994</v>
      </c>
      <c r="D958" s="19" t="s">
        <v>121</v>
      </c>
      <c r="E958" s="21">
        <f t="shared" si="41"/>
        <v>131.78999999999999</v>
      </c>
      <c r="F958" s="22">
        <v>4.0000000000000001e-002</v>
      </c>
      <c r="G958" s="21">
        <f t="shared" si="42"/>
        <v>131.34999999999999</v>
      </c>
      <c r="H958" s="22">
        <v>4.0000000000000001e-002</v>
      </c>
      <c r="I958" s="23" t="str">
        <f t="shared" si="43"/>
        <v xml:space="preserve">COM VALOR</v>
      </c>
      <c r="J958" s="19"/>
      <c r="L958" s="21">
        <v>131.78999999999999</v>
      </c>
      <c r="M958" s="22">
        <v>4.0000000000000001e-002</v>
      </c>
      <c r="N958" s="21">
        <v>131.34999999999999</v>
      </c>
      <c r="O958" s="22">
        <v>4.0000000000000001e-002</v>
      </c>
    </row>
    <row r="959" ht="51">
      <c r="A959" t="s">
        <v>804</v>
      </c>
      <c r="B959" s="19">
        <v>105635</v>
      </c>
      <c r="C959" s="20" t="s">
        <v>995</v>
      </c>
      <c r="D959" s="19" t="s">
        <v>121</v>
      </c>
      <c r="E959" s="21">
        <f t="shared" si="41"/>
        <v>130.63</v>
      </c>
      <c r="F959" s="22"/>
      <c r="G959" s="21">
        <f t="shared" si="42"/>
        <v>130.21000000000001</v>
      </c>
      <c r="H959" s="22"/>
      <c r="I959" s="23" t="str">
        <f t="shared" si="43"/>
        <v xml:space="preserve">COM VALOR</v>
      </c>
      <c r="J959" s="19"/>
      <c r="L959" s="21">
        <v>130.63</v>
      </c>
      <c r="M959" s="22">
        <v>4.0000000000000001e-002</v>
      </c>
      <c r="N959" s="21">
        <v>130.21000000000001</v>
      </c>
      <c r="O959" s="22">
        <v>4.0000000000000001e-002</v>
      </c>
    </row>
    <row r="960" ht="51">
      <c r="A960" t="s">
        <v>804</v>
      </c>
      <c r="B960" s="19">
        <v>105605</v>
      </c>
      <c r="C960" s="20" t="s">
        <v>996</v>
      </c>
      <c r="D960" s="19" t="s">
        <v>121</v>
      </c>
      <c r="E960" s="21">
        <f t="shared" si="41"/>
        <v>128.41999999999999</v>
      </c>
      <c r="F960" s="22"/>
      <c r="G960" s="21">
        <f t="shared" si="42"/>
        <v>127.93000000000001</v>
      </c>
      <c r="H960" s="22"/>
      <c r="I960" s="23" t="str">
        <f t="shared" si="43"/>
        <v xml:space="preserve">COM VALOR</v>
      </c>
      <c r="J960" s="19"/>
      <c r="L960" s="21">
        <v>128.41999999999999</v>
      </c>
      <c r="M960" s="22">
        <v>5.0000000000000003e-002</v>
      </c>
      <c r="N960" s="21">
        <v>127.93000000000001</v>
      </c>
      <c r="O960" s="22">
        <v>5.0000000000000003e-002</v>
      </c>
    </row>
    <row r="961" ht="51">
      <c r="A961" t="s">
        <v>804</v>
      </c>
      <c r="B961" s="19">
        <v>105613</v>
      </c>
      <c r="C961" s="20" t="s">
        <v>997</v>
      </c>
      <c r="D961" s="19" t="s">
        <v>121</v>
      </c>
      <c r="E961" s="21">
        <f t="shared" si="41"/>
        <v>125.33</v>
      </c>
      <c r="F961" s="22"/>
      <c r="G961" s="21">
        <f t="shared" si="42"/>
        <v>124.90000000000001</v>
      </c>
      <c r="H961" s="22"/>
      <c r="I961" s="23" t="str">
        <f t="shared" si="43"/>
        <v xml:space="preserve">COM VALOR</v>
      </c>
      <c r="J961" s="19"/>
      <c r="L961" s="21">
        <v>125.33</v>
      </c>
      <c r="M961" s="22">
        <v>5.0000000000000003e-002</v>
      </c>
      <c r="N961" s="21">
        <v>124.90000000000001</v>
      </c>
      <c r="O961" s="22">
        <v>5.0000000000000003e-002</v>
      </c>
    </row>
    <row r="962" ht="51">
      <c r="A962" t="s">
        <v>804</v>
      </c>
      <c r="B962" s="19">
        <v>105621</v>
      </c>
      <c r="C962" s="20" t="s">
        <v>998</v>
      </c>
      <c r="D962" s="19" t="s">
        <v>121</v>
      </c>
      <c r="E962" s="21">
        <f t="shared" si="41"/>
        <v>123.09</v>
      </c>
      <c r="F962" s="22">
        <v>0.14000000000000001</v>
      </c>
      <c r="G962" s="21">
        <f t="shared" si="42"/>
        <v>122.70999999999999</v>
      </c>
      <c r="H962" s="22">
        <v>0.14000000000000001</v>
      </c>
      <c r="I962" s="23" t="str">
        <f t="shared" si="43"/>
        <v xml:space="preserve">COM VALOR</v>
      </c>
      <c r="J962" s="19"/>
      <c r="L962" s="21">
        <v>123.09</v>
      </c>
      <c r="M962" s="22">
        <v>4.0000000000000001e-002</v>
      </c>
      <c r="N962" s="21">
        <v>122.70999999999999</v>
      </c>
      <c r="O962" s="22">
        <v>4.0000000000000001e-002</v>
      </c>
    </row>
    <row r="963" ht="51">
      <c r="A963" t="s">
        <v>804</v>
      </c>
      <c r="B963" s="19">
        <v>105627</v>
      </c>
      <c r="C963" s="20" t="s">
        <v>999</v>
      </c>
      <c r="D963" s="19" t="s">
        <v>121</v>
      </c>
      <c r="E963" s="21">
        <f t="shared" si="41"/>
        <v>175.55000000000001</v>
      </c>
      <c r="F963" s="22">
        <v>0.11</v>
      </c>
      <c r="G963" s="21">
        <f t="shared" si="42"/>
        <v>174.88999999999999</v>
      </c>
      <c r="H963" s="22">
        <v>0.11</v>
      </c>
      <c r="I963" s="23" t="str">
        <f t="shared" si="43"/>
        <v xml:space="preserve">COM VALOR</v>
      </c>
      <c r="J963" s="19"/>
      <c r="L963" s="21">
        <v>175.55000000000001</v>
      </c>
      <c r="M963" s="22">
        <v>5.0000000000000003e-002</v>
      </c>
      <c r="N963" s="21">
        <v>174.88999999999999</v>
      </c>
      <c r="O963" s="22">
        <v>5.0000000000000003e-002</v>
      </c>
    </row>
    <row r="964" ht="51">
      <c r="A964" t="s">
        <v>804</v>
      </c>
      <c r="B964" s="19">
        <v>105630</v>
      </c>
      <c r="C964" s="20" t="s">
        <v>1000</v>
      </c>
      <c r="D964" s="19" t="s">
        <v>121</v>
      </c>
      <c r="E964" s="21">
        <f t="shared" si="41"/>
        <v>167.53</v>
      </c>
      <c r="F964" s="22">
        <v>0.10000000000000001</v>
      </c>
      <c r="G964" s="21">
        <f t="shared" si="42"/>
        <v>167.09</v>
      </c>
      <c r="H964" s="22">
        <v>0.11</v>
      </c>
      <c r="I964" s="23" t="str">
        <f t="shared" si="43"/>
        <v xml:space="preserve">COM VALOR</v>
      </c>
      <c r="J964" s="19"/>
      <c r="L964" s="21">
        <v>167.53</v>
      </c>
      <c r="M964" s="22">
        <v>2.9999999999999999e-002</v>
      </c>
      <c r="N964" s="21">
        <v>167.09</v>
      </c>
      <c r="O964" s="22">
        <v>2.9999999999999999e-002</v>
      </c>
    </row>
    <row r="965" ht="51">
      <c r="A965" t="s">
        <v>804</v>
      </c>
      <c r="B965" s="19">
        <v>105636</v>
      </c>
      <c r="C965" s="20" t="s">
        <v>1001</v>
      </c>
      <c r="D965" s="19" t="s">
        <v>121</v>
      </c>
      <c r="E965" s="21">
        <f t="shared" si="41"/>
        <v>166.37</v>
      </c>
      <c r="F965" s="22"/>
      <c r="G965" s="21">
        <f t="shared" si="42"/>
        <v>165.94999999999999</v>
      </c>
      <c r="H965" s="22"/>
      <c r="I965" s="23" t="str">
        <f t="shared" si="43"/>
        <v xml:space="preserve">COM VALOR</v>
      </c>
      <c r="J965" s="19"/>
      <c r="L965" s="21">
        <v>166.37</v>
      </c>
      <c r="M965" s="22">
        <v>2.9999999999999999e-002</v>
      </c>
      <c r="N965" s="21">
        <v>165.94999999999999</v>
      </c>
      <c r="O965" s="22">
        <v>2.9999999999999999e-002</v>
      </c>
    </row>
    <row r="966" ht="51">
      <c r="A966" t="s">
        <v>804</v>
      </c>
      <c r="B966" s="19">
        <v>105606</v>
      </c>
      <c r="C966" s="20" t="s">
        <v>1002</v>
      </c>
      <c r="D966" s="19" t="s">
        <v>121</v>
      </c>
      <c r="E966" s="21">
        <f t="shared" si="41"/>
        <v>163.25</v>
      </c>
      <c r="F966" s="22"/>
      <c r="G966" s="21">
        <f t="shared" si="42"/>
        <v>162.77000000000001</v>
      </c>
      <c r="H966" s="22"/>
      <c r="I966" s="23" t="str">
        <f t="shared" si="43"/>
        <v xml:space="preserve">COM VALOR</v>
      </c>
      <c r="J966" s="19"/>
      <c r="L966" s="21">
        <v>163.25</v>
      </c>
      <c r="M966" s="22">
        <v>4.0000000000000001e-002</v>
      </c>
      <c r="N966" s="21">
        <v>162.77000000000001</v>
      </c>
      <c r="O966" s="22">
        <v>4.0000000000000001e-002</v>
      </c>
    </row>
    <row r="967" ht="51">
      <c r="A967" t="s">
        <v>804</v>
      </c>
      <c r="B967" s="19">
        <v>105614</v>
      </c>
      <c r="C967" s="20" t="s">
        <v>1003</v>
      </c>
      <c r="D967" s="19" t="s">
        <v>121</v>
      </c>
      <c r="E967" s="21">
        <f t="shared" si="41"/>
        <v>160.16</v>
      </c>
      <c r="F967" s="22"/>
      <c r="G967" s="21">
        <f t="shared" si="42"/>
        <v>159.74000000000001</v>
      </c>
      <c r="H967" s="22"/>
      <c r="I967" s="23" t="str">
        <f t="shared" si="43"/>
        <v xml:space="preserve">COM VALOR</v>
      </c>
      <c r="J967" s="19"/>
      <c r="L967" s="21">
        <v>160.16</v>
      </c>
      <c r="M967" s="22">
        <v>4.0000000000000001e-002</v>
      </c>
      <c r="N967" s="21">
        <v>159.74000000000001</v>
      </c>
      <c r="O967" s="22">
        <v>4.0000000000000001e-002</v>
      </c>
    </row>
    <row r="968" ht="51">
      <c r="A968" t="s">
        <v>804</v>
      </c>
      <c r="B968" s="19">
        <v>105622</v>
      </c>
      <c r="C968" s="20" t="s">
        <v>1004</v>
      </c>
      <c r="D968" s="19" t="s">
        <v>121</v>
      </c>
      <c r="E968" s="21">
        <f t="shared" si="41"/>
        <v>157.91999999999999</v>
      </c>
      <c r="F968" s="22">
        <v>8.9999999999999997e-002</v>
      </c>
      <c r="G968" s="21">
        <f t="shared" si="42"/>
        <v>157.55000000000001</v>
      </c>
      <c r="H968" s="22">
        <v>8.9999999999999997e-002</v>
      </c>
      <c r="I968" s="23" t="str">
        <f t="shared" si="43"/>
        <v xml:space="preserve">COM VALOR</v>
      </c>
      <c r="J968" s="19"/>
      <c r="L968" s="21">
        <v>157.91999999999999</v>
      </c>
      <c r="M968" s="22">
        <v>2.9999999999999999e-002</v>
      </c>
      <c r="N968" s="21">
        <v>157.55000000000001</v>
      </c>
      <c r="O968" s="22">
        <v>2.9999999999999999e-002</v>
      </c>
    </row>
    <row r="969" ht="51">
      <c r="A969" t="s">
        <v>804</v>
      </c>
      <c r="B969" s="19">
        <v>105572</v>
      </c>
      <c r="C969" s="20" t="s">
        <v>1005</v>
      </c>
      <c r="D969" s="19" t="s">
        <v>121</v>
      </c>
      <c r="E969" s="21">
        <f t="shared" si="41"/>
        <v>66.359999999999999</v>
      </c>
      <c r="F969" s="22">
        <v>7.0000000000000007e-002</v>
      </c>
      <c r="G969" s="21">
        <f t="shared" si="42"/>
        <v>65.700000000000003</v>
      </c>
      <c r="H969" s="22">
        <v>7.0000000000000007e-002</v>
      </c>
      <c r="I969" s="23" t="str">
        <f t="shared" si="43"/>
        <v xml:space="preserve">COM VALOR</v>
      </c>
      <c r="J969" s="19"/>
      <c r="L969" s="21">
        <v>66.359999999999999</v>
      </c>
      <c r="M969" s="22">
        <v>0.13</v>
      </c>
      <c r="N969" s="21">
        <v>65.700000000000003</v>
      </c>
      <c r="O969" s="22">
        <v>0.13</v>
      </c>
    </row>
    <row r="970" ht="51">
      <c r="A970" t="s">
        <v>804</v>
      </c>
      <c r="B970" s="19">
        <v>105574</v>
      </c>
      <c r="C970" s="20" t="s">
        <v>1006</v>
      </c>
      <c r="D970" s="19" t="s">
        <v>121</v>
      </c>
      <c r="E970" s="21">
        <f t="shared" si="41"/>
        <v>58.340000000000003</v>
      </c>
      <c r="F970" s="22">
        <v>5.9999999999999998e-002</v>
      </c>
      <c r="G970" s="21">
        <f t="shared" si="42"/>
        <v>57.899999999999999</v>
      </c>
      <c r="H970" s="22">
        <v>5.9999999999999998e-002</v>
      </c>
      <c r="I970" s="23" t="str">
        <f t="shared" si="43"/>
        <v xml:space="preserve">COM VALOR</v>
      </c>
      <c r="J970" s="19"/>
      <c r="L970" s="21">
        <v>58.340000000000003</v>
      </c>
      <c r="M970" s="22">
        <v>0.10000000000000001</v>
      </c>
      <c r="N970" s="21">
        <v>57.899999999999999</v>
      </c>
      <c r="O970" s="22">
        <v>0.10000000000000001</v>
      </c>
    </row>
    <row r="971" ht="51">
      <c r="A971" t="s">
        <v>804</v>
      </c>
      <c r="B971" s="19">
        <v>105576</v>
      </c>
      <c r="C971" s="20" t="s">
        <v>1007</v>
      </c>
      <c r="D971" s="19" t="s">
        <v>121</v>
      </c>
      <c r="E971" s="21">
        <f t="shared" ref="E971:E1034" si="44">IF(L971=0,"VERIFICAR",L971)</f>
        <v>57.18</v>
      </c>
      <c r="F971" s="22"/>
      <c r="G971" s="21">
        <f t="shared" ref="G971:G1034" si="45">IF(N971=0,"VERIFICAR",N971)</f>
        <v>56.759999999999998</v>
      </c>
      <c r="H971" s="22"/>
      <c r="I971" s="23" t="str">
        <f t="shared" ref="I971:I1034" si="46">IF(OR(E971=0,G971=0),"SEM VALOR","COM VALOR")</f>
        <v xml:space="preserve">COM VALOR</v>
      </c>
      <c r="J971" s="19"/>
      <c r="L971" s="21">
        <v>57.18</v>
      </c>
      <c r="M971" s="22">
        <v>8.9999999999999997e-002</v>
      </c>
      <c r="N971" s="21">
        <v>56.759999999999998</v>
      </c>
      <c r="O971" s="22">
        <v>8.9999999999999997e-002</v>
      </c>
    </row>
    <row r="972" ht="51">
      <c r="A972" t="s">
        <v>804</v>
      </c>
      <c r="B972" s="19">
        <v>105603</v>
      </c>
      <c r="C972" s="20" t="s">
        <v>1008</v>
      </c>
      <c r="D972" s="19" t="s">
        <v>121</v>
      </c>
      <c r="E972" s="21">
        <f t="shared" si="44"/>
        <v>58.740000000000002</v>
      </c>
      <c r="F972" s="22"/>
      <c r="G972" s="21">
        <f t="shared" si="45"/>
        <v>58.259999999999998</v>
      </c>
      <c r="H972" s="22"/>
      <c r="I972" s="23" t="str">
        <f t="shared" si="46"/>
        <v xml:space="preserve">COM VALOR</v>
      </c>
      <c r="J972" s="19"/>
      <c r="L972" s="21">
        <v>58.740000000000002</v>
      </c>
      <c r="M972" s="22">
        <v>0.12</v>
      </c>
      <c r="N972" s="21">
        <v>58.259999999999998</v>
      </c>
      <c r="O972" s="22">
        <v>0.12</v>
      </c>
    </row>
    <row r="973" ht="51">
      <c r="A973" t="s">
        <v>804</v>
      </c>
      <c r="B973" s="19">
        <v>105611</v>
      </c>
      <c r="C973" s="20" t="s">
        <v>1009</v>
      </c>
      <c r="D973" s="19" t="s">
        <v>121</v>
      </c>
      <c r="E973" s="21">
        <f t="shared" si="44"/>
        <v>55.649999999999999</v>
      </c>
      <c r="F973" s="22"/>
      <c r="G973" s="21">
        <f t="shared" si="45"/>
        <v>55.229999999999997</v>
      </c>
      <c r="H973" s="22"/>
      <c r="I973" s="23" t="str">
        <f t="shared" si="46"/>
        <v xml:space="preserve">COM VALOR</v>
      </c>
      <c r="J973" s="19"/>
      <c r="L973" s="21">
        <v>55.649999999999999</v>
      </c>
      <c r="M973" s="22">
        <v>0.11</v>
      </c>
      <c r="N973" s="21">
        <v>55.229999999999997</v>
      </c>
      <c r="O973" s="22">
        <v>0.11</v>
      </c>
    </row>
    <row r="974" ht="51">
      <c r="A974" t="s">
        <v>804</v>
      </c>
      <c r="B974" s="19">
        <v>105619</v>
      </c>
      <c r="C974" s="20" t="s">
        <v>1010</v>
      </c>
      <c r="D974" s="19" t="s">
        <v>121</v>
      </c>
      <c r="E974" s="21">
        <f t="shared" si="44"/>
        <v>53.409999999999997</v>
      </c>
      <c r="F974" s="22">
        <v>0.14000000000000001</v>
      </c>
      <c r="G974" s="21">
        <f t="shared" si="45"/>
        <v>53.039999999999999</v>
      </c>
      <c r="H974" s="22">
        <v>0.14000000000000001</v>
      </c>
      <c r="I974" s="23" t="str">
        <f t="shared" si="46"/>
        <v xml:space="preserve">COM VALOR</v>
      </c>
      <c r="J974" s="19"/>
      <c r="L974" s="21">
        <v>53.409999999999997</v>
      </c>
      <c r="M974" s="22">
        <v>0.10000000000000001</v>
      </c>
      <c r="N974" s="21">
        <v>53.039999999999999</v>
      </c>
      <c r="O974" s="22">
        <v>0.10000000000000001</v>
      </c>
    </row>
    <row r="975" ht="51">
      <c r="A975" t="s">
        <v>804</v>
      </c>
      <c r="B975" s="19">
        <v>105573</v>
      </c>
      <c r="C975" s="20" t="s">
        <v>1011</v>
      </c>
      <c r="D975" s="19" t="s">
        <v>121</v>
      </c>
      <c r="E975" s="21">
        <f t="shared" si="44"/>
        <v>103.58</v>
      </c>
      <c r="F975" s="22">
        <v>0.11</v>
      </c>
      <c r="G975" s="21">
        <f t="shared" si="45"/>
        <v>102.92</v>
      </c>
      <c r="H975" s="22">
        <v>0.12</v>
      </c>
      <c r="I975" s="23" t="str">
        <f t="shared" si="46"/>
        <v xml:space="preserve">COM VALOR</v>
      </c>
      <c r="J975" s="19"/>
      <c r="L975" s="21">
        <v>103.58</v>
      </c>
      <c r="M975" s="22">
        <v>8.0000000000000002e-002</v>
      </c>
      <c r="N975" s="21">
        <v>102.92</v>
      </c>
      <c r="O975" s="22">
        <v>8.0000000000000002e-002</v>
      </c>
    </row>
    <row r="976" ht="51">
      <c r="A976" t="s">
        <v>804</v>
      </c>
      <c r="B976" s="19">
        <v>105628</v>
      </c>
      <c r="C976" s="20" t="s">
        <v>1012</v>
      </c>
      <c r="D976" s="19" t="s">
        <v>121</v>
      </c>
      <c r="E976" s="21">
        <f t="shared" si="44"/>
        <v>95.560000000000002</v>
      </c>
      <c r="F976" s="22">
        <v>0.11</v>
      </c>
      <c r="G976" s="21">
        <f t="shared" si="45"/>
        <v>95.120000000000005</v>
      </c>
      <c r="H976" s="22">
        <v>0.11</v>
      </c>
      <c r="I976" s="23" t="str">
        <f t="shared" si="46"/>
        <v xml:space="preserve">COM VALOR</v>
      </c>
      <c r="J976" s="19"/>
      <c r="L976" s="21">
        <v>95.560000000000002</v>
      </c>
      <c r="M976" s="22">
        <v>5.9999999999999998e-002</v>
      </c>
      <c r="N976" s="21">
        <v>95.120000000000005</v>
      </c>
      <c r="O976" s="22">
        <v>5.9999999999999998e-002</v>
      </c>
    </row>
    <row r="977" ht="51">
      <c r="A977" t="s">
        <v>804</v>
      </c>
      <c r="B977" s="19">
        <v>105634</v>
      </c>
      <c r="C977" s="20" t="s">
        <v>1013</v>
      </c>
      <c r="D977" s="19" t="s">
        <v>121</v>
      </c>
      <c r="E977" s="21">
        <f t="shared" si="44"/>
        <v>94.400000000000006</v>
      </c>
      <c r="F977" s="22"/>
      <c r="G977" s="21">
        <f t="shared" si="45"/>
        <v>93.980000000000004</v>
      </c>
      <c r="H977" s="22"/>
      <c r="I977" s="23" t="str">
        <f t="shared" si="46"/>
        <v xml:space="preserve">COM VALOR</v>
      </c>
      <c r="J977" s="19"/>
      <c r="L977" s="21">
        <v>94.400000000000006</v>
      </c>
      <c r="M977" s="22">
        <v>5.9999999999999998e-002</v>
      </c>
      <c r="N977" s="21">
        <v>93.980000000000004</v>
      </c>
      <c r="O977" s="22">
        <v>5.9999999999999998e-002</v>
      </c>
    </row>
    <row r="978" ht="51">
      <c r="A978" t="s">
        <v>804</v>
      </c>
      <c r="B978" s="19">
        <v>105604</v>
      </c>
      <c r="C978" s="20" t="s">
        <v>1014</v>
      </c>
      <c r="D978" s="19" t="s">
        <v>121</v>
      </c>
      <c r="E978" s="21">
        <f t="shared" si="44"/>
        <v>93.579999999999998</v>
      </c>
      <c r="F978" s="22"/>
      <c r="G978" s="21">
        <f t="shared" si="45"/>
        <v>93.090000000000003</v>
      </c>
      <c r="H978" s="22"/>
      <c r="I978" s="23" t="str">
        <f t="shared" si="46"/>
        <v xml:space="preserve">COM VALOR</v>
      </c>
      <c r="J978" s="19"/>
      <c r="L978" s="21">
        <v>93.579999999999998</v>
      </c>
      <c r="M978" s="22">
        <v>7.0000000000000007e-002</v>
      </c>
      <c r="N978" s="21">
        <v>93.090000000000003</v>
      </c>
      <c r="O978" s="22">
        <v>7.0000000000000007e-002</v>
      </c>
    </row>
    <row r="979" ht="51">
      <c r="A979" t="s">
        <v>804</v>
      </c>
      <c r="B979" s="19">
        <v>105612</v>
      </c>
      <c r="C979" s="20" t="s">
        <v>1015</v>
      </c>
      <c r="D979" s="19" t="s">
        <v>121</v>
      </c>
      <c r="E979" s="21">
        <f t="shared" si="44"/>
        <v>90.489999999999995</v>
      </c>
      <c r="F979" s="22"/>
      <c r="G979" s="21">
        <f t="shared" si="45"/>
        <v>90.060000000000002</v>
      </c>
      <c r="H979" s="22"/>
      <c r="I979" s="23" t="str">
        <f t="shared" si="46"/>
        <v xml:space="preserve">COM VALOR</v>
      </c>
      <c r="J979" s="19"/>
      <c r="L979" s="21">
        <v>90.489999999999995</v>
      </c>
      <c r="M979" s="22">
        <v>5.9999999999999998e-002</v>
      </c>
      <c r="N979" s="21">
        <v>90.060000000000002</v>
      </c>
      <c r="O979" s="22">
        <v>6.5000000000000002e-002</v>
      </c>
    </row>
    <row r="980" ht="51">
      <c r="A980" t="s">
        <v>804</v>
      </c>
      <c r="B980" s="19">
        <v>105620</v>
      </c>
      <c r="C980" s="20" t="s">
        <v>1016</v>
      </c>
      <c r="D980" s="19" t="s">
        <v>121</v>
      </c>
      <c r="E980" s="21">
        <f t="shared" si="44"/>
        <v>88.25</v>
      </c>
      <c r="F980" s="22">
        <v>0.16</v>
      </c>
      <c r="G980" s="21">
        <f t="shared" si="45"/>
        <v>87.870000000000005</v>
      </c>
      <c r="H980" s="22">
        <v>0.16</v>
      </c>
      <c r="I980" s="23" t="str">
        <f t="shared" si="46"/>
        <v xml:space="preserve">COM VALOR</v>
      </c>
      <c r="J980" s="19"/>
      <c r="L980" s="21">
        <v>88.25</v>
      </c>
      <c r="M980" s="22">
        <v>5.9999999999999998e-002</v>
      </c>
      <c r="N980" s="21">
        <v>87.870000000000005</v>
      </c>
      <c r="O980" s="22">
        <v>5.9999999999999998e-002</v>
      </c>
    </row>
    <row r="981" ht="51">
      <c r="A981" t="s">
        <v>804</v>
      </c>
      <c r="B981" s="19">
        <v>105586</v>
      </c>
      <c r="C981" s="20" t="s">
        <v>1017</v>
      </c>
      <c r="D981" s="19" t="s">
        <v>121</v>
      </c>
      <c r="E981" s="21">
        <f t="shared" si="44"/>
        <v>137.88999999999999</v>
      </c>
      <c r="F981" s="22">
        <v>0.13</v>
      </c>
      <c r="G981" s="21">
        <f t="shared" si="45"/>
        <v>136.41</v>
      </c>
      <c r="H981" s="22">
        <v>0.13</v>
      </c>
      <c r="I981" s="23" t="str">
        <f t="shared" si="46"/>
        <v xml:space="preserve">COM VALOR</v>
      </c>
      <c r="J981" s="19"/>
      <c r="L981" s="21">
        <v>137.88999999999999</v>
      </c>
      <c r="M981" s="22">
        <v>0.13</v>
      </c>
      <c r="N981" s="21">
        <v>136.41</v>
      </c>
      <c r="O981" s="22">
        <v>0.13</v>
      </c>
    </row>
    <row r="982" ht="51">
      <c r="A982" t="s">
        <v>804</v>
      </c>
      <c r="B982" s="19">
        <v>105587</v>
      </c>
      <c r="C982" s="20" t="s">
        <v>1018</v>
      </c>
      <c r="D982" s="19" t="s">
        <v>121</v>
      </c>
      <c r="E982" s="21">
        <f t="shared" si="44"/>
        <v>124.12</v>
      </c>
      <c r="F982" s="22">
        <v>0.13</v>
      </c>
      <c r="G982" s="21">
        <f t="shared" si="45"/>
        <v>123</v>
      </c>
      <c r="H982" s="22">
        <v>0.13</v>
      </c>
      <c r="I982" s="23" t="str">
        <f t="shared" si="46"/>
        <v xml:space="preserve">COM VALOR</v>
      </c>
      <c r="J982" s="19"/>
      <c r="L982" s="21">
        <v>124.12</v>
      </c>
      <c r="M982" s="22">
        <v>0.11</v>
      </c>
      <c r="N982" s="21">
        <v>123</v>
      </c>
      <c r="O982" s="22">
        <v>0.11</v>
      </c>
    </row>
    <row r="983" ht="51">
      <c r="A983" t="s">
        <v>804</v>
      </c>
      <c r="B983" s="19">
        <v>105589</v>
      </c>
      <c r="C983" s="20" t="s">
        <v>1019</v>
      </c>
      <c r="D983" s="19" t="s">
        <v>121</v>
      </c>
      <c r="E983" s="21">
        <f t="shared" si="44"/>
        <v>122.83</v>
      </c>
      <c r="F983" s="22"/>
      <c r="G983" s="21">
        <f t="shared" si="45"/>
        <v>121.77</v>
      </c>
      <c r="H983" s="22"/>
      <c r="I983" s="23" t="str">
        <f t="shared" si="46"/>
        <v xml:space="preserve">COM VALOR</v>
      </c>
      <c r="J983" s="19"/>
      <c r="L983" s="21">
        <v>122.83</v>
      </c>
      <c r="M983" s="22">
        <v>0.11</v>
      </c>
      <c r="N983" s="21">
        <v>121.77</v>
      </c>
      <c r="O983" s="22">
        <v>0.11</v>
      </c>
    </row>
    <row r="984" ht="51">
      <c r="A984" t="s">
        <v>804</v>
      </c>
      <c r="B984" s="19">
        <v>105584</v>
      </c>
      <c r="C984" s="20" t="s">
        <v>1020</v>
      </c>
      <c r="D984" s="19" t="s">
        <v>121</v>
      </c>
      <c r="E984" s="21">
        <f t="shared" si="44"/>
        <v>168.03</v>
      </c>
      <c r="F984" s="22"/>
      <c r="G984" s="21">
        <f t="shared" si="45"/>
        <v>167.15000000000001</v>
      </c>
      <c r="H984" s="22"/>
      <c r="I984" s="23" t="str">
        <f t="shared" si="46"/>
        <v xml:space="preserve">COM VALOR</v>
      </c>
      <c r="J984" s="19"/>
      <c r="L984" s="21">
        <v>168.03</v>
      </c>
      <c r="M984" s="22">
        <v>8.0000000000000002e-002</v>
      </c>
      <c r="N984" s="21">
        <v>167.15000000000001</v>
      </c>
      <c r="O984" s="22">
        <v>8.0000000000000002e-002</v>
      </c>
    </row>
    <row r="985" ht="51">
      <c r="A985" t="s">
        <v>804</v>
      </c>
      <c r="B985" s="19">
        <v>105720</v>
      </c>
      <c r="C985" s="20" t="s">
        <v>1021</v>
      </c>
      <c r="D985" s="19" t="s">
        <v>121</v>
      </c>
      <c r="E985" s="21">
        <f t="shared" si="44"/>
        <v>160.38999999999999</v>
      </c>
      <c r="F985" s="22"/>
      <c r="G985" s="21">
        <f t="shared" si="45"/>
        <v>159.66999999999999</v>
      </c>
      <c r="H985" s="22"/>
      <c r="I985" s="23" t="str">
        <f t="shared" si="46"/>
        <v xml:space="preserve">COM VALOR</v>
      </c>
      <c r="J985" s="19"/>
      <c r="L985" s="21">
        <v>160.38999999999999</v>
      </c>
      <c r="M985" s="22">
        <v>7.0000000000000007e-002</v>
      </c>
      <c r="N985" s="21">
        <v>159.66999999999999</v>
      </c>
      <c r="O985" s="22">
        <v>7.0000000000000007e-002</v>
      </c>
    </row>
    <row r="986" ht="51">
      <c r="A986" t="s">
        <v>804</v>
      </c>
      <c r="B986" s="19">
        <v>105722</v>
      </c>
      <c r="C986" s="20" t="s">
        <v>1022</v>
      </c>
      <c r="D986" s="19" t="s">
        <v>121</v>
      </c>
      <c r="E986" s="21">
        <f t="shared" si="44"/>
        <v>160.81999999999999</v>
      </c>
      <c r="F986" s="22">
        <v>0.39000000000000001</v>
      </c>
      <c r="G986" s="21">
        <f t="shared" si="45"/>
        <v>160.06999999999999</v>
      </c>
      <c r="H986" s="22">
        <v>0.40000000000000002</v>
      </c>
      <c r="I986" s="23" t="str">
        <f t="shared" si="46"/>
        <v xml:space="preserve">COM VALOR</v>
      </c>
      <c r="J986" s="19"/>
      <c r="L986" s="21">
        <v>160.81999999999999</v>
      </c>
      <c r="M986" s="22">
        <v>7.0000000000000007e-002</v>
      </c>
      <c r="N986" s="21">
        <v>160.06999999999999</v>
      </c>
      <c r="O986" s="22">
        <v>7.0000000000000007e-002</v>
      </c>
    </row>
    <row r="987" ht="51">
      <c r="A987" t="s">
        <v>804</v>
      </c>
      <c r="B987" s="19">
        <v>105593</v>
      </c>
      <c r="C987" s="20" t="s">
        <v>1023</v>
      </c>
      <c r="D987" s="19" t="s">
        <v>121</v>
      </c>
      <c r="E987" s="21">
        <f t="shared" si="44"/>
        <v>124.06999999999999</v>
      </c>
      <c r="F987" s="22">
        <v>0.38</v>
      </c>
      <c r="G987" s="21">
        <f t="shared" si="45"/>
        <v>122.59</v>
      </c>
      <c r="H987" s="22">
        <v>0.39000000000000001</v>
      </c>
      <c r="I987" s="23" t="str">
        <f t="shared" si="46"/>
        <v xml:space="preserve">COM VALOR</v>
      </c>
      <c r="J987" s="19"/>
      <c r="L987" s="21">
        <v>124.06999999999999</v>
      </c>
      <c r="M987" s="22">
        <v>0.14999999999999999</v>
      </c>
      <c r="N987" s="21">
        <v>122.59</v>
      </c>
      <c r="O987" s="22">
        <v>0.14999999999999999</v>
      </c>
    </row>
    <row r="988" ht="51">
      <c r="A988" t="s">
        <v>804</v>
      </c>
      <c r="B988" s="19">
        <v>105594</v>
      </c>
      <c r="C988" s="20" t="s">
        <v>1024</v>
      </c>
      <c r="D988" s="19" t="s">
        <v>121</v>
      </c>
      <c r="E988" s="21">
        <f t="shared" si="44"/>
        <v>110.3</v>
      </c>
      <c r="F988" s="22">
        <v>0.38</v>
      </c>
      <c r="G988" s="21">
        <f t="shared" si="45"/>
        <v>109.18000000000001</v>
      </c>
      <c r="H988" s="22">
        <v>0.39000000000000001</v>
      </c>
      <c r="I988" s="23" t="str">
        <f t="shared" si="46"/>
        <v xml:space="preserve">COM VALOR</v>
      </c>
      <c r="J988" s="19"/>
      <c r="L988" s="21">
        <v>110.3</v>
      </c>
      <c r="M988" s="22">
        <v>0.12</v>
      </c>
      <c r="N988" s="21">
        <v>109.18000000000001</v>
      </c>
      <c r="O988" s="22">
        <v>0.12</v>
      </c>
    </row>
    <row r="989" ht="51">
      <c r="A989" t="s">
        <v>804</v>
      </c>
      <c r="B989" s="19">
        <v>105596</v>
      </c>
      <c r="C989" s="20" t="s">
        <v>1025</v>
      </c>
      <c r="D989" s="19" t="s">
        <v>121</v>
      </c>
      <c r="E989" s="21">
        <f t="shared" si="44"/>
        <v>109.01000000000001</v>
      </c>
      <c r="F989" s="22">
        <v>0.47999999999999998</v>
      </c>
      <c r="G989" s="21">
        <f t="shared" si="45"/>
        <v>107.95</v>
      </c>
      <c r="H989" s="22">
        <v>0.48999999999999999</v>
      </c>
      <c r="I989" s="23" t="str">
        <f t="shared" si="46"/>
        <v xml:space="preserve">COM VALOR</v>
      </c>
      <c r="J989" s="19"/>
      <c r="L989" s="21">
        <v>109.01000000000001</v>
      </c>
      <c r="M989" s="22">
        <v>0.12</v>
      </c>
      <c r="N989" s="21">
        <v>107.95</v>
      </c>
      <c r="O989" s="22">
        <v>0.12</v>
      </c>
    </row>
    <row r="990" ht="51">
      <c r="A990" t="s">
        <v>804</v>
      </c>
      <c r="B990" s="19">
        <v>105591</v>
      </c>
      <c r="C990" s="20" t="s">
        <v>1026</v>
      </c>
      <c r="D990" s="19" t="s">
        <v>121</v>
      </c>
      <c r="E990" s="21">
        <f t="shared" si="44"/>
        <v>147.02000000000001</v>
      </c>
      <c r="F990" s="22">
        <v>0</v>
      </c>
      <c r="G990" s="21">
        <f t="shared" si="45"/>
        <v>146.13999999999999</v>
      </c>
      <c r="H990" s="22">
        <v>0</v>
      </c>
      <c r="I990" s="23" t="str">
        <f t="shared" si="46"/>
        <v xml:space="preserve">COM VALOR</v>
      </c>
      <c r="J990" s="19"/>
      <c r="L990" s="21">
        <v>147.02000000000001</v>
      </c>
      <c r="M990" s="22">
        <v>0.10000000000000001</v>
      </c>
      <c r="N990" s="21">
        <v>146.13999999999999</v>
      </c>
      <c r="O990" s="22">
        <v>0.10000000000000001</v>
      </c>
    </row>
    <row r="991" ht="51">
      <c r="A991" t="s">
        <v>804</v>
      </c>
      <c r="B991" s="19">
        <v>105724</v>
      </c>
      <c r="C991" s="20" t="s">
        <v>1027</v>
      </c>
      <c r="D991" s="19" t="s">
        <v>121</v>
      </c>
      <c r="E991" s="21">
        <f t="shared" si="44"/>
        <v>139.38</v>
      </c>
      <c r="F991" s="22">
        <v>0.35999999999999999</v>
      </c>
      <c r="G991" s="21">
        <f t="shared" si="45"/>
        <v>138.66</v>
      </c>
      <c r="H991" s="22">
        <v>0.38</v>
      </c>
      <c r="I991" s="23" t="str">
        <f t="shared" si="46"/>
        <v xml:space="preserve">COM VALOR</v>
      </c>
      <c r="J991" s="19"/>
      <c r="L991" s="21">
        <v>139.38</v>
      </c>
      <c r="M991" s="22">
        <v>8.0000000000000002e-002</v>
      </c>
      <c r="N991" s="21">
        <v>138.66</v>
      </c>
      <c r="O991" s="22">
        <v>8.0000000000000002e-002</v>
      </c>
    </row>
    <row r="992" ht="51">
      <c r="A992" t="s">
        <v>804</v>
      </c>
      <c r="B992" s="19">
        <v>105726</v>
      </c>
      <c r="C992" s="20" t="s">
        <v>1028</v>
      </c>
      <c r="D992" s="19" t="s">
        <v>121</v>
      </c>
      <c r="E992" s="21">
        <f t="shared" si="44"/>
        <v>139.81</v>
      </c>
      <c r="F992" s="22">
        <v>0.25</v>
      </c>
      <c r="G992" s="21">
        <f t="shared" si="45"/>
        <v>139.06</v>
      </c>
      <c r="H992" s="22">
        <v>0.25</v>
      </c>
      <c r="I992" s="23" t="str">
        <f t="shared" si="46"/>
        <v xml:space="preserve">COM VALOR</v>
      </c>
      <c r="J992" s="19"/>
      <c r="L992" s="21">
        <v>139.81</v>
      </c>
      <c r="M992" s="22">
        <v>8.0000000000000002e-002</v>
      </c>
      <c r="N992" s="21">
        <v>139.06</v>
      </c>
      <c r="O992" s="22">
        <v>8.0000000000000002e-002</v>
      </c>
    </row>
    <row r="993" ht="51">
      <c r="A993" t="s">
        <v>804</v>
      </c>
      <c r="B993" s="19">
        <v>105567</v>
      </c>
      <c r="C993" s="20" t="s">
        <v>1029</v>
      </c>
      <c r="D993" s="19" t="s">
        <v>121</v>
      </c>
      <c r="E993" s="21">
        <f t="shared" si="44"/>
        <v>15.300000000000001</v>
      </c>
      <c r="F993" s="22">
        <v>0.33000000000000002</v>
      </c>
      <c r="G993" s="21">
        <f t="shared" si="45"/>
        <v>15.01</v>
      </c>
      <c r="H993" s="22">
        <v>0.34000000000000002</v>
      </c>
      <c r="I993" s="23" t="str">
        <f t="shared" si="46"/>
        <v xml:space="preserve">COM VALOR</v>
      </c>
      <c r="J993" s="19"/>
      <c r="L993" s="21">
        <v>15.300000000000001</v>
      </c>
      <c r="M993" s="22">
        <v>0.34999999999999998</v>
      </c>
      <c r="N993" s="21">
        <v>15.01</v>
      </c>
      <c r="O993" s="22">
        <v>0.35999999999999999</v>
      </c>
    </row>
    <row r="994" ht="51">
      <c r="A994" t="s">
        <v>804</v>
      </c>
      <c r="B994" s="19">
        <v>105568</v>
      </c>
      <c r="C994" s="20" t="s">
        <v>1030</v>
      </c>
      <c r="D994" s="19" t="s">
        <v>121</v>
      </c>
      <c r="E994" s="21">
        <f t="shared" si="44"/>
        <v>12.210000000000001</v>
      </c>
      <c r="F994" s="22">
        <v>1.e-002</v>
      </c>
      <c r="G994" s="21">
        <f t="shared" si="45"/>
        <v>11.970000000000001</v>
      </c>
      <c r="H994" s="22">
        <v>1.e-002</v>
      </c>
      <c r="I994" s="23" t="str">
        <f t="shared" si="46"/>
        <v xml:space="preserve">COM VALOR</v>
      </c>
      <c r="J994" s="19"/>
      <c r="L994" s="21">
        <v>12.210000000000001</v>
      </c>
      <c r="M994" s="22">
        <v>0.34000000000000002</v>
      </c>
      <c r="N994" s="21">
        <v>11.970000000000001</v>
      </c>
      <c r="O994" s="22">
        <v>0.34999999999999998</v>
      </c>
    </row>
    <row r="995" ht="51">
      <c r="A995" t="s">
        <v>804</v>
      </c>
      <c r="B995" s="19">
        <v>105570</v>
      </c>
      <c r="C995" s="20" t="s">
        <v>1031</v>
      </c>
      <c r="D995" s="19" t="s">
        <v>121</v>
      </c>
      <c r="E995" s="21">
        <f t="shared" si="44"/>
        <v>10.09</v>
      </c>
      <c r="F995" s="22">
        <v>1.e-002</v>
      </c>
      <c r="G995" s="21">
        <f t="shared" si="45"/>
        <v>9.9000000000000004</v>
      </c>
      <c r="H995" s="22">
        <v>1.e-002</v>
      </c>
      <c r="I995" s="23" t="str">
        <f t="shared" si="46"/>
        <v xml:space="preserve">COM VALOR</v>
      </c>
      <c r="J995" s="19"/>
      <c r="L995" s="21">
        <v>10.09</v>
      </c>
      <c r="M995" s="22">
        <v>0.34999999999999998</v>
      </c>
      <c r="N995" s="21">
        <v>9.9000000000000004</v>
      </c>
      <c r="O995" s="22">
        <v>0.35249999999999998</v>
      </c>
    </row>
    <row r="996" ht="12.75">
      <c r="A996" t="s">
        <v>804</v>
      </c>
      <c r="B996" s="19">
        <v>100575</v>
      </c>
      <c r="C996" s="20" t="s">
        <v>1032</v>
      </c>
      <c r="D996" s="19" t="s">
        <v>29</v>
      </c>
      <c r="E996" s="21">
        <f t="shared" si="44"/>
        <v>0.56999999999999995</v>
      </c>
      <c r="F996" s="22">
        <v>0</v>
      </c>
      <c r="G996" s="21">
        <f t="shared" si="45"/>
        <v>0.56000000000000005</v>
      </c>
      <c r="H996" s="22">
        <v>0</v>
      </c>
      <c r="I996" s="23" t="str">
        <f t="shared" si="46"/>
        <v xml:space="preserve">COM VALOR</v>
      </c>
      <c r="J996" s="19"/>
      <c r="L996" s="21">
        <v>0.56999999999999995</v>
      </c>
      <c r="M996" s="22">
        <v>0.39000000000000001</v>
      </c>
      <c r="N996" s="21">
        <v>0.56000000000000005</v>
      </c>
      <c r="O996" s="22">
        <v>0.39000000000000001</v>
      </c>
    </row>
    <row r="997" ht="38.25">
      <c r="A997" t="s">
        <v>804</v>
      </c>
      <c r="B997" s="19">
        <v>100577</v>
      </c>
      <c r="C997" s="20" t="s">
        <v>1033</v>
      </c>
      <c r="D997" s="19" t="s">
        <v>29</v>
      </c>
      <c r="E997" s="21">
        <f t="shared" si="44"/>
        <v>1.51</v>
      </c>
      <c r="F997" s="22">
        <v>0</v>
      </c>
      <c r="G997" s="21">
        <f t="shared" si="45"/>
        <v>1.46</v>
      </c>
      <c r="H997" s="22">
        <v>0</v>
      </c>
      <c r="I997" s="23" t="str">
        <f t="shared" si="46"/>
        <v xml:space="preserve">COM VALOR</v>
      </c>
      <c r="J997" s="19"/>
      <c r="L997" s="21">
        <v>1.51</v>
      </c>
      <c r="M997" s="22">
        <v>0.31</v>
      </c>
      <c r="N997" s="21">
        <v>1.46</v>
      </c>
      <c r="O997" s="22">
        <v>0.32000000000000001</v>
      </c>
    </row>
    <row r="998" ht="38.25">
      <c r="A998" t="s">
        <v>804</v>
      </c>
      <c r="B998" s="19">
        <v>105598</v>
      </c>
      <c r="C998" s="20" t="s">
        <v>1034</v>
      </c>
      <c r="D998" s="19" t="s">
        <v>29</v>
      </c>
      <c r="E998" s="21">
        <f t="shared" si="44"/>
        <v>2</v>
      </c>
      <c r="F998" s="22">
        <v>1.e-002</v>
      </c>
      <c r="G998" s="21">
        <f t="shared" si="45"/>
        <v>1.95</v>
      </c>
      <c r="H998" s="22">
        <v>1.e-002</v>
      </c>
      <c r="I998" s="23" t="str">
        <f t="shared" si="46"/>
        <v xml:space="preserve">COM VALOR</v>
      </c>
      <c r="J998" s="19"/>
      <c r="L998" s="21">
        <v>2</v>
      </c>
      <c r="M998" s="22">
        <v>0.32000000000000001</v>
      </c>
      <c r="N998" s="21">
        <v>1.95</v>
      </c>
      <c r="O998" s="22">
        <v>0.33000000000000002</v>
      </c>
    </row>
    <row r="999" ht="38.25">
      <c r="A999" t="s">
        <v>804</v>
      </c>
      <c r="B999" s="19">
        <v>100576</v>
      </c>
      <c r="C999" s="20" t="s">
        <v>1035</v>
      </c>
      <c r="D999" s="19" t="s">
        <v>29</v>
      </c>
      <c r="E999" s="21">
        <f t="shared" si="44"/>
        <v>2.9500000000000002</v>
      </c>
      <c r="F999" s="22">
        <v>1.e-002</v>
      </c>
      <c r="G999" s="21">
        <f t="shared" si="45"/>
        <v>2.8700000000000001</v>
      </c>
      <c r="H999" s="22">
        <v>1.e-002</v>
      </c>
      <c r="I999" s="23" t="str">
        <f t="shared" si="46"/>
        <v xml:space="preserve">COM VALOR</v>
      </c>
      <c r="J999" s="19"/>
      <c r="L999" s="21">
        <v>2.9500000000000002</v>
      </c>
      <c r="M999" s="22">
        <v>0.28999999999999998</v>
      </c>
      <c r="N999" s="21">
        <v>2.8700000000000001</v>
      </c>
      <c r="O999" s="22">
        <v>0.29999999999999999</v>
      </c>
    </row>
    <row r="1000" ht="38.25">
      <c r="A1000" t="s">
        <v>804</v>
      </c>
      <c r="B1000" s="19">
        <v>105597</v>
      </c>
      <c r="C1000" s="20" t="s">
        <v>1036</v>
      </c>
      <c r="D1000" s="19" t="s">
        <v>29</v>
      </c>
      <c r="E1000" s="21">
        <f t="shared" si="44"/>
        <v>4.0300000000000002</v>
      </c>
      <c r="F1000" s="22">
        <v>4.0000000000000001e-002</v>
      </c>
      <c r="G1000" s="21">
        <f t="shared" si="45"/>
        <v>3.9100000000000001</v>
      </c>
      <c r="H1000" s="22">
        <v>4.0000000000000001e-002</v>
      </c>
      <c r="I1000" s="23" t="str">
        <f t="shared" si="46"/>
        <v xml:space="preserve">COM VALOR</v>
      </c>
      <c r="J1000" s="19"/>
      <c r="L1000" s="21">
        <v>4.0300000000000002</v>
      </c>
      <c r="M1000" s="22">
        <v>0.28999999999999998</v>
      </c>
      <c r="N1000" s="21">
        <v>3.9100000000000001</v>
      </c>
      <c r="O1000" s="22">
        <v>0.29999999999999999</v>
      </c>
    </row>
    <row r="1001" ht="25.5">
      <c r="A1001" t="s">
        <v>1037</v>
      </c>
      <c r="B1001" s="19">
        <v>102730</v>
      </c>
      <c r="C1001" s="20" t="s">
        <v>1038</v>
      </c>
      <c r="D1001" s="19" t="s">
        <v>302</v>
      </c>
      <c r="E1001" s="21">
        <f t="shared" si="44"/>
        <v>11.619999999999999</v>
      </c>
      <c r="F1001" s="22">
        <v>2.e-002</v>
      </c>
      <c r="G1001" s="21">
        <f t="shared" si="45"/>
        <v>11.49</v>
      </c>
      <c r="H1001" s="22">
        <v>2.e-002</v>
      </c>
      <c r="I1001" s="23" t="str">
        <f t="shared" si="46"/>
        <v xml:space="preserve">COM VALOR</v>
      </c>
      <c r="J1001" s="19"/>
      <c r="L1001" s="21">
        <v>11.619999999999999</v>
      </c>
      <c r="M1001" s="22">
        <v>1.e-002</v>
      </c>
      <c r="N1001" s="21">
        <v>11.49</v>
      </c>
      <c r="O1001" s="22">
        <v>1.e-002</v>
      </c>
    </row>
    <row r="1002" ht="25.5">
      <c r="A1002" t="s">
        <v>1037</v>
      </c>
      <c r="B1002" s="19">
        <v>102731</v>
      </c>
      <c r="C1002" s="20" t="s">
        <v>1039</v>
      </c>
      <c r="D1002" s="19" t="s">
        <v>302</v>
      </c>
      <c r="E1002" s="21">
        <f t="shared" si="44"/>
        <v>9.7300000000000004</v>
      </c>
      <c r="F1002" s="22">
        <v>1.e-002</v>
      </c>
      <c r="G1002" s="21">
        <f t="shared" si="45"/>
        <v>9.6300000000000008</v>
      </c>
      <c r="H1002" s="22">
        <v>1.e-002</v>
      </c>
      <c r="I1002" s="23" t="str">
        <f t="shared" si="46"/>
        <v xml:space="preserve">COM VALOR</v>
      </c>
      <c r="J1002" s="19"/>
      <c r="L1002" s="21">
        <v>9.7300000000000004</v>
      </c>
      <c r="M1002" s="22">
        <v>1.e-002</v>
      </c>
      <c r="N1002" s="21">
        <v>9.6300000000000008</v>
      </c>
      <c r="O1002" s="22">
        <v>1.e-002</v>
      </c>
    </row>
    <row r="1003" ht="25.5">
      <c r="A1003" t="s">
        <v>1037</v>
      </c>
      <c r="B1003" s="19">
        <v>102732</v>
      </c>
      <c r="C1003" s="20" t="s">
        <v>1040</v>
      </c>
      <c r="D1003" s="19" t="s">
        <v>302</v>
      </c>
      <c r="E1003" s="21">
        <f t="shared" si="44"/>
        <v>9.1099999999999994</v>
      </c>
      <c r="F1003" s="22">
        <v>2.e-002</v>
      </c>
      <c r="G1003" s="21">
        <f t="shared" si="45"/>
        <v>9.0299999999999994</v>
      </c>
      <c r="H1003" s="22">
        <v>2.e-002</v>
      </c>
      <c r="I1003" s="23" t="str">
        <f t="shared" si="46"/>
        <v xml:space="preserve">COM VALOR</v>
      </c>
      <c r="J1003" s="19"/>
      <c r="L1003" s="21">
        <v>9.1099999999999994</v>
      </c>
      <c r="M1003" s="22">
        <v>0</v>
      </c>
      <c r="N1003" s="21">
        <v>9.0299999999999994</v>
      </c>
      <c r="O1003" s="22">
        <v>0</v>
      </c>
    </row>
    <row r="1004" ht="25.5">
      <c r="A1004" t="s">
        <v>1037</v>
      </c>
      <c r="B1004" s="19">
        <v>102733</v>
      </c>
      <c r="C1004" s="20" t="s">
        <v>1041</v>
      </c>
      <c r="D1004" s="19" t="s">
        <v>302</v>
      </c>
      <c r="E1004" s="21">
        <f t="shared" si="44"/>
        <v>10.050000000000001</v>
      </c>
      <c r="F1004" s="22">
        <v>1.e-002</v>
      </c>
      <c r="G1004" s="21">
        <f t="shared" si="45"/>
        <v>10.01</v>
      </c>
      <c r="H1004" s="22">
        <v>1.e-002</v>
      </c>
      <c r="I1004" s="23" t="str">
        <f t="shared" si="46"/>
        <v xml:space="preserve">COM VALOR</v>
      </c>
      <c r="J1004" s="19"/>
      <c r="L1004" s="21">
        <v>10.050000000000001</v>
      </c>
      <c r="M1004" s="22">
        <v>0</v>
      </c>
      <c r="N1004" s="21">
        <v>10.01</v>
      </c>
      <c r="O1004" s="22">
        <v>0</v>
      </c>
    </row>
    <row r="1005" ht="25.5">
      <c r="A1005" t="s">
        <v>1037</v>
      </c>
      <c r="B1005" s="19">
        <v>102728</v>
      </c>
      <c r="C1005" s="20" t="s">
        <v>1042</v>
      </c>
      <c r="D1005" s="19" t="s">
        <v>302</v>
      </c>
      <c r="E1005" s="21">
        <f t="shared" si="44"/>
        <v>14.300000000000001</v>
      </c>
      <c r="F1005" s="22">
        <v>2.e-002</v>
      </c>
      <c r="G1005" s="21">
        <f t="shared" si="45"/>
        <v>14.02</v>
      </c>
      <c r="H1005" s="22">
        <v>2.e-002</v>
      </c>
      <c r="I1005" s="23" t="str">
        <f t="shared" si="46"/>
        <v xml:space="preserve">COM VALOR</v>
      </c>
      <c r="J1005" s="19"/>
      <c r="L1005" s="21">
        <v>14.300000000000001</v>
      </c>
      <c r="M1005" s="22">
        <v>1.e-002</v>
      </c>
      <c r="N1005" s="21">
        <v>14.02</v>
      </c>
      <c r="O1005" s="22">
        <v>1.4999999999999999e-002</v>
      </c>
    </row>
    <row r="1006" ht="25.5">
      <c r="A1006" t="s">
        <v>1037</v>
      </c>
      <c r="B1006" s="19">
        <v>102729</v>
      </c>
      <c r="C1006" s="20" t="s">
        <v>1043</v>
      </c>
      <c r="D1006" s="19" t="s">
        <v>302</v>
      </c>
      <c r="E1006" s="21">
        <f t="shared" si="44"/>
        <v>13.16</v>
      </c>
      <c r="F1006" s="22">
        <v>1.e-002</v>
      </c>
      <c r="G1006" s="21">
        <f t="shared" si="45"/>
        <v>12.970000000000001</v>
      </c>
      <c r="H1006" s="22">
        <v>1.e-002</v>
      </c>
      <c r="I1006" s="23" t="str">
        <f t="shared" si="46"/>
        <v xml:space="preserve">COM VALOR</v>
      </c>
      <c r="J1006" s="19"/>
      <c r="L1006" s="21">
        <v>13.16</v>
      </c>
      <c r="M1006" s="22">
        <v>1.e-002</v>
      </c>
      <c r="N1006" s="21">
        <v>12.970000000000001</v>
      </c>
      <c r="O1006" s="22">
        <v>1.e-002</v>
      </c>
    </row>
    <row r="1007" ht="25.5">
      <c r="A1007" t="s">
        <v>1037</v>
      </c>
      <c r="B1007" s="19">
        <v>102734</v>
      </c>
      <c r="C1007" s="20" t="s">
        <v>1044</v>
      </c>
      <c r="D1007" s="19" t="s">
        <v>302</v>
      </c>
      <c r="E1007" s="21">
        <f t="shared" si="44"/>
        <v>13.32</v>
      </c>
      <c r="F1007" s="22">
        <v>2.e-002</v>
      </c>
      <c r="G1007" s="21">
        <f t="shared" si="45"/>
        <v>13.119999999999999</v>
      </c>
      <c r="H1007" s="22">
        <v>2.e-002</v>
      </c>
      <c r="I1007" s="23" t="str">
        <f t="shared" si="46"/>
        <v xml:space="preserve">COM VALOR</v>
      </c>
      <c r="J1007" s="19"/>
      <c r="L1007" s="21">
        <v>13.32</v>
      </c>
      <c r="M1007" s="22">
        <v>4.0000000000000001e-002</v>
      </c>
      <c r="N1007" s="21">
        <v>13.119999999999999</v>
      </c>
      <c r="O1007" s="22">
        <v>4.0000000000000001e-002</v>
      </c>
    </row>
    <row r="1008" ht="25.5">
      <c r="A1008" t="s">
        <v>1037</v>
      </c>
      <c r="B1008" s="19">
        <v>102735</v>
      </c>
      <c r="C1008" s="20" t="s">
        <v>1045</v>
      </c>
      <c r="D1008" s="19" t="s">
        <v>302</v>
      </c>
      <c r="E1008" s="21">
        <f t="shared" si="44"/>
        <v>12.32</v>
      </c>
      <c r="F1008" s="22">
        <v>1.e-002</v>
      </c>
      <c r="G1008" s="21">
        <f t="shared" si="45"/>
        <v>12.17</v>
      </c>
      <c r="H1008" s="22">
        <v>1.e-002</v>
      </c>
      <c r="I1008" s="23" t="str">
        <f t="shared" si="46"/>
        <v xml:space="preserve">COM VALOR</v>
      </c>
      <c r="J1008" s="19"/>
      <c r="L1008" s="21">
        <v>12.32</v>
      </c>
      <c r="M1008" s="22">
        <v>2.e-002</v>
      </c>
      <c r="N1008" s="21">
        <v>12.17</v>
      </c>
      <c r="O1008" s="22">
        <v>2.e-002</v>
      </c>
    </row>
    <row r="1009" ht="25.5">
      <c r="A1009" t="s">
        <v>1037</v>
      </c>
      <c r="B1009" s="19">
        <v>102765</v>
      </c>
      <c r="C1009" s="20" t="s">
        <v>1046</v>
      </c>
      <c r="D1009" s="19" t="s">
        <v>31</v>
      </c>
      <c r="E1009" s="21">
        <f t="shared" si="44"/>
        <v>16355.360000000001</v>
      </c>
      <c r="F1009" s="22">
        <v>2.e-002</v>
      </c>
      <c r="G1009" s="21">
        <f t="shared" si="45"/>
        <v>16085.440000000001</v>
      </c>
      <c r="H1009" s="22">
        <v>2.e-002</v>
      </c>
      <c r="I1009" s="23" t="str">
        <f t="shared" si="46"/>
        <v xml:space="preserve">COM VALOR</v>
      </c>
      <c r="J1009" s="19"/>
      <c r="L1009" s="21">
        <v>16355.360000000001</v>
      </c>
      <c r="M1009" s="22">
        <v>1.e-002</v>
      </c>
      <c r="N1009" s="21">
        <v>16085.440000000001</v>
      </c>
      <c r="O1009" s="22">
        <v>1.e-002</v>
      </c>
    </row>
    <row r="1010" ht="25.5">
      <c r="A1010" t="s">
        <v>1037</v>
      </c>
      <c r="B1010" s="19">
        <v>102795</v>
      </c>
      <c r="C1010" s="20" t="s">
        <v>1047</v>
      </c>
      <c r="D1010" s="19" t="s">
        <v>31</v>
      </c>
      <c r="E1010" s="21">
        <f t="shared" si="44"/>
        <v>29386.650000000001</v>
      </c>
      <c r="F1010" s="22">
        <v>1.e-002</v>
      </c>
      <c r="G1010" s="21">
        <f t="shared" si="45"/>
        <v>28940.810000000001</v>
      </c>
      <c r="H1010" s="22">
        <v>1.e-002</v>
      </c>
      <c r="I1010" s="23" t="str">
        <f t="shared" si="46"/>
        <v xml:space="preserve">COM VALOR</v>
      </c>
      <c r="J1010" s="19"/>
      <c r="L1010" s="21">
        <v>29386.650000000001</v>
      </c>
      <c r="M1010" s="22">
        <v>2.e-002</v>
      </c>
      <c r="N1010" s="21">
        <v>28940.810000000001</v>
      </c>
      <c r="O1010" s="22">
        <v>2.e-002</v>
      </c>
    </row>
    <row r="1011" ht="25.5">
      <c r="A1011" t="s">
        <v>1037</v>
      </c>
      <c r="B1011" s="19">
        <v>102766</v>
      </c>
      <c r="C1011" s="20" t="s">
        <v>1048</v>
      </c>
      <c r="D1011" s="19" t="s">
        <v>31</v>
      </c>
      <c r="E1011" s="21">
        <f t="shared" si="44"/>
        <v>24677.52</v>
      </c>
      <c r="F1011" s="22">
        <v>1.e-002</v>
      </c>
      <c r="G1011" s="21">
        <f t="shared" si="45"/>
        <v>24302.09</v>
      </c>
      <c r="H1011" s="22">
        <v>1.e-002</v>
      </c>
      <c r="I1011" s="23" t="str">
        <f t="shared" si="46"/>
        <v xml:space="preserve">COM VALOR</v>
      </c>
      <c r="J1011" s="19"/>
      <c r="L1011" s="21">
        <v>24677.52</v>
      </c>
      <c r="M1011" s="22">
        <v>1.e-002</v>
      </c>
      <c r="N1011" s="21">
        <v>24302.09</v>
      </c>
      <c r="O1011" s="22">
        <v>1.e-002</v>
      </c>
    </row>
    <row r="1012" ht="25.5">
      <c r="A1012" t="s">
        <v>1037</v>
      </c>
      <c r="B1012" s="19">
        <v>102796</v>
      </c>
      <c r="C1012" s="20" t="s">
        <v>1049</v>
      </c>
      <c r="D1012" s="19" t="s">
        <v>31</v>
      </c>
      <c r="E1012" s="21">
        <f t="shared" si="44"/>
        <v>47220.389999999999</v>
      </c>
      <c r="F1012" s="22">
        <v>2.e-002</v>
      </c>
      <c r="G1012" s="21">
        <f t="shared" si="45"/>
        <v>46542.989999999998</v>
      </c>
      <c r="H1012" s="22">
        <v>2.e-002</v>
      </c>
      <c r="I1012" s="23" t="str">
        <f t="shared" si="46"/>
        <v xml:space="preserve">COM VALOR</v>
      </c>
      <c r="J1012" s="19"/>
      <c r="L1012" s="21">
        <v>47220.389999999999</v>
      </c>
      <c r="M1012" s="22">
        <v>2.e-002</v>
      </c>
      <c r="N1012" s="21">
        <v>46542.989999999998</v>
      </c>
      <c r="O1012" s="22">
        <v>2.e-002</v>
      </c>
    </row>
    <row r="1013" ht="25.5">
      <c r="A1013" t="s">
        <v>1037</v>
      </c>
      <c r="B1013" s="19">
        <v>102767</v>
      </c>
      <c r="C1013" s="20" t="s">
        <v>1050</v>
      </c>
      <c r="D1013" s="19" t="s">
        <v>31</v>
      </c>
      <c r="E1013" s="21">
        <f t="shared" si="44"/>
        <v>34442.160000000003</v>
      </c>
      <c r="F1013" s="22">
        <v>1.e-002</v>
      </c>
      <c r="G1013" s="21">
        <f t="shared" si="45"/>
        <v>33933.589999999997</v>
      </c>
      <c r="H1013" s="22">
        <v>1.e-002</v>
      </c>
      <c r="I1013" s="23" t="str">
        <f t="shared" si="46"/>
        <v xml:space="preserve">COM VALOR</v>
      </c>
      <c r="J1013" s="19"/>
      <c r="L1013" s="21">
        <v>34442.160000000003</v>
      </c>
      <c r="M1013" s="22">
        <v>1.e-002</v>
      </c>
      <c r="N1013" s="21">
        <v>33933.589999999997</v>
      </c>
      <c r="O1013" s="22">
        <v>1.e-002</v>
      </c>
    </row>
    <row r="1014" ht="25.5">
      <c r="A1014" t="s">
        <v>1037</v>
      </c>
      <c r="B1014" s="19">
        <v>102797</v>
      </c>
      <c r="C1014" s="20" t="s">
        <v>1051</v>
      </c>
      <c r="D1014" s="19" t="s">
        <v>31</v>
      </c>
      <c r="E1014" s="21">
        <f t="shared" si="44"/>
        <v>66845.300000000003</v>
      </c>
      <c r="F1014" s="22">
        <v>1.e-002</v>
      </c>
      <c r="G1014" s="21">
        <f t="shared" si="45"/>
        <v>65908.020000000004</v>
      </c>
      <c r="H1014" s="22">
        <v>1.e-002</v>
      </c>
      <c r="I1014" s="23" t="str">
        <f t="shared" si="46"/>
        <v xml:space="preserve">COM VALOR</v>
      </c>
      <c r="J1014" s="19"/>
      <c r="L1014" s="21">
        <v>66845.300000000003</v>
      </c>
      <c r="M1014" s="22">
        <v>2.e-002</v>
      </c>
      <c r="N1014" s="21">
        <v>65908.020000000004</v>
      </c>
      <c r="O1014" s="22">
        <v>2.e-002</v>
      </c>
    </row>
    <row r="1015" ht="25.5">
      <c r="A1015" t="s">
        <v>1037</v>
      </c>
      <c r="B1015" s="19">
        <v>102768</v>
      </c>
      <c r="C1015" s="20" t="s">
        <v>1052</v>
      </c>
      <c r="D1015" s="19" t="s">
        <v>31</v>
      </c>
      <c r="E1015" s="21">
        <f t="shared" si="44"/>
        <v>48145.239999999998</v>
      </c>
      <c r="F1015" s="22">
        <v>2.e-002</v>
      </c>
      <c r="G1015" s="21">
        <f t="shared" si="45"/>
        <v>47484.389999999999</v>
      </c>
      <c r="H1015" s="22">
        <v>2.e-002</v>
      </c>
      <c r="I1015" s="23" t="str">
        <f t="shared" si="46"/>
        <v xml:space="preserve">COM VALOR</v>
      </c>
      <c r="J1015" s="19"/>
      <c r="L1015" s="21">
        <v>48145.239999999998</v>
      </c>
      <c r="M1015" s="22">
        <v>1.e-002</v>
      </c>
      <c r="N1015" s="21">
        <v>47484.389999999999</v>
      </c>
      <c r="O1015" s="22">
        <v>1.e-002</v>
      </c>
    </row>
    <row r="1016" ht="25.5">
      <c r="A1016" t="s">
        <v>1037</v>
      </c>
      <c r="B1016" s="19">
        <v>102798</v>
      </c>
      <c r="C1016" s="20" t="s">
        <v>1053</v>
      </c>
      <c r="D1016" s="19" t="s">
        <v>31</v>
      </c>
      <c r="E1016" s="21">
        <f t="shared" si="44"/>
        <v>81750.850000000006</v>
      </c>
      <c r="F1016" s="22">
        <v>1.e-002</v>
      </c>
      <c r="G1016" s="21">
        <f t="shared" si="45"/>
        <v>80621.690000000002</v>
      </c>
      <c r="H1016" s="22">
        <v>1.e-002</v>
      </c>
      <c r="I1016" s="23" t="str">
        <f t="shared" si="46"/>
        <v xml:space="preserve">COM VALOR</v>
      </c>
      <c r="J1016" s="19"/>
      <c r="L1016" s="21">
        <v>81750.850000000006</v>
      </c>
      <c r="M1016" s="22">
        <v>2.e-002</v>
      </c>
      <c r="N1016" s="21">
        <v>80621.690000000002</v>
      </c>
      <c r="O1016" s="22">
        <v>2.e-002</v>
      </c>
    </row>
    <row r="1017" ht="25.5">
      <c r="A1017" t="s">
        <v>1037</v>
      </c>
      <c r="B1017" s="19">
        <v>102744</v>
      </c>
      <c r="C1017" s="20" t="s">
        <v>1054</v>
      </c>
      <c r="D1017" s="19" t="s">
        <v>31</v>
      </c>
      <c r="E1017" s="21">
        <f t="shared" si="44"/>
        <v>6878.7600000000002</v>
      </c>
      <c r="F1017" s="22">
        <v>1.e-002</v>
      </c>
      <c r="G1017" s="21">
        <f t="shared" si="45"/>
        <v>6774.3299999999999</v>
      </c>
      <c r="H1017" s="22">
        <v>1.e-002</v>
      </c>
      <c r="I1017" s="23" t="str">
        <f t="shared" si="46"/>
        <v xml:space="preserve">COM VALOR</v>
      </c>
      <c r="J1017" s="19"/>
      <c r="L1017" s="21">
        <v>6878.7600000000002</v>
      </c>
      <c r="M1017" s="22">
        <v>1.e-002</v>
      </c>
      <c r="N1017" s="21">
        <v>6774.3299999999999</v>
      </c>
      <c r="O1017" s="22">
        <v>1.e-002</v>
      </c>
    </row>
    <row r="1018" ht="25.5">
      <c r="A1018" t="s">
        <v>1037</v>
      </c>
      <c r="B1018" s="19">
        <v>102755</v>
      </c>
      <c r="C1018" s="20" t="s">
        <v>1055</v>
      </c>
      <c r="D1018" s="19" t="s">
        <v>31</v>
      </c>
      <c r="E1018" s="21">
        <f t="shared" si="44"/>
        <v>10674.75</v>
      </c>
      <c r="F1018" s="22">
        <v>2.e-002</v>
      </c>
      <c r="G1018" s="21">
        <f t="shared" si="45"/>
        <v>10523.299999999999</v>
      </c>
      <c r="H1018" s="22">
        <v>2.e-002</v>
      </c>
      <c r="I1018" s="23" t="str">
        <f t="shared" si="46"/>
        <v xml:space="preserve">COM VALOR</v>
      </c>
      <c r="J1018" s="19"/>
      <c r="L1018" s="21">
        <v>10674.75</v>
      </c>
      <c r="M1018" s="22">
        <v>1.e-002</v>
      </c>
      <c r="N1018" s="21">
        <v>10523.299999999999</v>
      </c>
      <c r="O1018" s="22">
        <v>1.e-002</v>
      </c>
    </row>
    <row r="1019" ht="25.5">
      <c r="A1019" t="s">
        <v>1037</v>
      </c>
      <c r="B1019" s="19">
        <v>102782</v>
      </c>
      <c r="C1019" s="20" t="s">
        <v>1056</v>
      </c>
      <c r="D1019" s="19" t="s">
        <v>31</v>
      </c>
      <c r="E1019" s="21">
        <f t="shared" si="44"/>
        <v>14347.360000000001</v>
      </c>
      <c r="F1019" s="22">
        <v>2.e-002</v>
      </c>
      <c r="G1019" s="21">
        <f t="shared" si="45"/>
        <v>14125.639999999999</v>
      </c>
      <c r="H1019" s="22">
        <v>2.e-002</v>
      </c>
      <c r="I1019" s="23" t="str">
        <f t="shared" si="46"/>
        <v xml:space="preserve">COM VALOR</v>
      </c>
      <c r="J1019" s="19"/>
      <c r="L1019" s="21">
        <v>14347.360000000001</v>
      </c>
      <c r="M1019" s="22">
        <v>2.e-002</v>
      </c>
      <c r="N1019" s="21">
        <v>14125.639999999999</v>
      </c>
      <c r="O1019" s="22">
        <v>2.e-002</v>
      </c>
    </row>
    <row r="1020" ht="25.5">
      <c r="A1020" t="s">
        <v>1037</v>
      </c>
      <c r="B1020" s="19">
        <v>102745</v>
      </c>
      <c r="C1020" s="20" t="s">
        <v>1057</v>
      </c>
      <c r="D1020" s="19" t="s">
        <v>31</v>
      </c>
      <c r="E1020" s="21">
        <f t="shared" si="44"/>
        <v>9670.2099999999991</v>
      </c>
      <c r="F1020" s="22">
        <v>2.e-002</v>
      </c>
      <c r="G1020" s="21">
        <f t="shared" si="45"/>
        <v>9526.9799999999996</v>
      </c>
      <c r="H1020" s="22">
        <v>2.e-002</v>
      </c>
      <c r="I1020" s="23" t="str">
        <f t="shared" si="46"/>
        <v xml:space="preserve">COM VALOR</v>
      </c>
      <c r="J1020" s="19"/>
      <c r="L1020" s="21">
        <v>9670.2099999999991</v>
      </c>
      <c r="M1020" s="22">
        <v>1.e-002</v>
      </c>
      <c r="N1020" s="21">
        <v>9526.9799999999996</v>
      </c>
      <c r="O1020" s="22">
        <v>1.e-002</v>
      </c>
    </row>
    <row r="1021" ht="25.5">
      <c r="A1021" t="s">
        <v>1037</v>
      </c>
      <c r="B1021" s="19">
        <v>102756</v>
      </c>
      <c r="C1021" s="20" t="s">
        <v>1058</v>
      </c>
      <c r="D1021" s="19" t="s">
        <v>31</v>
      </c>
      <c r="E1021" s="21">
        <f t="shared" si="44"/>
        <v>15857.280000000001</v>
      </c>
      <c r="F1021" s="22">
        <v>1.e-002</v>
      </c>
      <c r="G1021" s="21">
        <f t="shared" si="45"/>
        <v>15639.370000000001</v>
      </c>
      <c r="H1021" s="22">
        <v>1.e-002</v>
      </c>
      <c r="I1021" s="23" t="str">
        <f t="shared" si="46"/>
        <v xml:space="preserve">COM VALOR</v>
      </c>
      <c r="J1021" s="19"/>
      <c r="L1021" s="21">
        <v>15857.280000000001</v>
      </c>
      <c r="M1021" s="22">
        <v>1.e-002</v>
      </c>
      <c r="N1021" s="21">
        <v>15639.370000000001</v>
      </c>
      <c r="O1021" s="22">
        <v>7.4999999999999997e-003</v>
      </c>
    </row>
    <row r="1022" ht="25.5">
      <c r="A1022" t="s">
        <v>1037</v>
      </c>
      <c r="B1022" s="19">
        <v>102783</v>
      </c>
      <c r="C1022" s="20" t="s">
        <v>1059</v>
      </c>
      <c r="D1022" s="19" t="s">
        <v>31</v>
      </c>
      <c r="E1022" s="21">
        <f t="shared" si="44"/>
        <v>19032.459999999999</v>
      </c>
      <c r="F1022" s="22">
        <v>2.e-002</v>
      </c>
      <c r="G1022" s="21">
        <f t="shared" si="45"/>
        <v>18733.939999999999</v>
      </c>
      <c r="H1022" s="22">
        <v>2.e-002</v>
      </c>
      <c r="I1022" s="23" t="str">
        <f t="shared" si="46"/>
        <v xml:space="preserve">COM VALOR</v>
      </c>
      <c r="J1022" s="19"/>
      <c r="L1022" s="21">
        <v>19032.459999999999</v>
      </c>
      <c r="M1022" s="22">
        <v>2.e-002</v>
      </c>
      <c r="N1022" s="21">
        <v>18733.939999999999</v>
      </c>
      <c r="O1022" s="22">
        <v>2.e-002</v>
      </c>
    </row>
    <row r="1023" ht="25.5">
      <c r="A1023" t="s">
        <v>1037</v>
      </c>
      <c r="B1023" s="19">
        <v>102746</v>
      </c>
      <c r="C1023" s="20" t="s">
        <v>1060</v>
      </c>
      <c r="D1023" s="19" t="s">
        <v>31</v>
      </c>
      <c r="E1023" s="21">
        <f t="shared" si="44"/>
        <v>16771.709999999999</v>
      </c>
      <c r="F1023" s="22">
        <v>1.e-002</v>
      </c>
      <c r="G1023" s="21">
        <f t="shared" si="45"/>
        <v>16529.810000000001</v>
      </c>
      <c r="H1023" s="22">
        <v>1.e-002</v>
      </c>
      <c r="I1023" s="23" t="str">
        <f t="shared" si="46"/>
        <v xml:space="preserve">COM VALOR</v>
      </c>
      <c r="J1023" s="19"/>
      <c r="L1023" s="21">
        <v>16771.709999999999</v>
      </c>
      <c r="M1023" s="22">
        <v>1.e-002</v>
      </c>
      <c r="N1023" s="21">
        <v>16529.810000000001</v>
      </c>
      <c r="O1023" s="22">
        <v>1.e-002</v>
      </c>
    </row>
    <row r="1024" ht="25.5">
      <c r="A1024" t="s">
        <v>1037</v>
      </c>
      <c r="B1024" s="19">
        <v>102757</v>
      </c>
      <c r="C1024" s="20" t="s">
        <v>1061</v>
      </c>
      <c r="D1024" s="19" t="s">
        <v>31</v>
      </c>
      <c r="E1024" s="21">
        <f t="shared" si="44"/>
        <v>29519.630000000001</v>
      </c>
      <c r="F1024" s="22">
        <v>2.e-002</v>
      </c>
      <c r="G1024" s="21">
        <f t="shared" si="45"/>
        <v>29126.669999999998</v>
      </c>
      <c r="H1024" s="22">
        <v>2.e-002</v>
      </c>
      <c r="I1024" s="23" t="str">
        <f t="shared" si="46"/>
        <v xml:space="preserve">COM VALOR</v>
      </c>
      <c r="J1024" s="19"/>
      <c r="L1024" s="21">
        <v>29519.630000000001</v>
      </c>
      <c r="M1024" s="22">
        <v>1.e-002</v>
      </c>
      <c r="N1024" s="21">
        <v>29126.669999999998</v>
      </c>
      <c r="O1024" s="22">
        <v>1.e-002</v>
      </c>
    </row>
    <row r="1025" ht="25.5">
      <c r="A1025" t="s">
        <v>1037</v>
      </c>
      <c r="B1025" s="19">
        <v>102784</v>
      </c>
      <c r="C1025" s="20" t="s">
        <v>1062</v>
      </c>
      <c r="D1025" s="19" t="s">
        <v>31</v>
      </c>
      <c r="E1025" s="21">
        <f t="shared" si="44"/>
        <v>29119.419999999998</v>
      </c>
      <c r="F1025" s="22">
        <v>1.e-002</v>
      </c>
      <c r="G1025" s="21">
        <f t="shared" si="45"/>
        <v>28776.220000000001</v>
      </c>
      <c r="H1025" s="22">
        <v>1.e-002</v>
      </c>
      <c r="I1025" s="23" t="str">
        <f t="shared" si="46"/>
        <v xml:space="preserve">COM VALOR</v>
      </c>
      <c r="J1025" s="19"/>
      <c r="L1025" s="21">
        <v>29119.419999999998</v>
      </c>
      <c r="M1025" s="22">
        <v>2.e-002</v>
      </c>
      <c r="N1025" s="21">
        <v>28776.220000000001</v>
      </c>
      <c r="O1025" s="22">
        <v>2.e-002</v>
      </c>
    </row>
    <row r="1026" ht="25.5">
      <c r="A1026" t="s">
        <v>1037</v>
      </c>
      <c r="B1026" s="19">
        <v>102779</v>
      </c>
      <c r="C1026" s="20" t="s">
        <v>1063</v>
      </c>
      <c r="D1026" s="19" t="s">
        <v>31</v>
      </c>
      <c r="E1026" s="21">
        <f t="shared" si="44"/>
        <v>7597.54</v>
      </c>
      <c r="F1026" s="22">
        <v>2.e-002</v>
      </c>
      <c r="G1026" s="21">
        <f t="shared" si="45"/>
        <v>7472.2200000000003</v>
      </c>
      <c r="H1026" s="22">
        <v>2.e-002</v>
      </c>
      <c r="I1026" s="23" t="str">
        <f t="shared" si="46"/>
        <v xml:space="preserve">COM VALOR</v>
      </c>
      <c r="J1026" s="19"/>
      <c r="L1026" s="21">
        <v>7597.54</v>
      </c>
      <c r="M1026" s="22">
        <v>2.e-002</v>
      </c>
      <c r="N1026" s="21">
        <v>7472.2200000000003</v>
      </c>
      <c r="O1026" s="22">
        <v>2.e-002</v>
      </c>
    </row>
    <row r="1027" ht="25.5">
      <c r="A1027" t="s">
        <v>1037</v>
      </c>
      <c r="B1027" s="19">
        <v>102780</v>
      </c>
      <c r="C1027" s="20" t="s">
        <v>1064</v>
      </c>
      <c r="D1027" s="19" t="s">
        <v>31</v>
      </c>
      <c r="E1027" s="21">
        <f t="shared" si="44"/>
        <v>8742.2399999999998</v>
      </c>
      <c r="F1027" s="22">
        <v>1.e-002</v>
      </c>
      <c r="G1027" s="21">
        <f t="shared" si="45"/>
        <v>8598</v>
      </c>
      <c r="H1027" s="22">
        <v>1.e-002</v>
      </c>
      <c r="I1027" s="23" t="str">
        <f t="shared" si="46"/>
        <v xml:space="preserve">COM VALOR</v>
      </c>
      <c r="J1027" s="19"/>
      <c r="L1027" s="21">
        <v>8742.2399999999998</v>
      </c>
      <c r="M1027" s="22">
        <v>2.e-002</v>
      </c>
      <c r="N1027" s="21">
        <v>8598</v>
      </c>
      <c r="O1027" s="22">
        <v>2.e-002</v>
      </c>
    </row>
    <row r="1028" ht="25.5">
      <c r="A1028" t="s">
        <v>1037</v>
      </c>
      <c r="B1028" s="19">
        <v>102743</v>
      </c>
      <c r="C1028" s="20" t="s">
        <v>1065</v>
      </c>
      <c r="D1028" s="19" t="s">
        <v>31</v>
      </c>
      <c r="E1028" s="21">
        <f t="shared" si="44"/>
        <v>4591.3800000000001</v>
      </c>
      <c r="F1028" s="22">
        <v>2.e-002</v>
      </c>
      <c r="G1028" s="21">
        <f t="shared" si="45"/>
        <v>4519.8900000000003</v>
      </c>
      <c r="H1028" s="22">
        <v>2.e-002</v>
      </c>
      <c r="I1028" s="23" t="str">
        <f t="shared" si="46"/>
        <v xml:space="preserve">COM VALOR</v>
      </c>
      <c r="J1028" s="19"/>
      <c r="L1028" s="21">
        <v>4591.3800000000001</v>
      </c>
      <c r="M1028" s="22">
        <v>1.e-002</v>
      </c>
      <c r="N1028" s="21">
        <v>4519.8900000000003</v>
      </c>
      <c r="O1028" s="22">
        <v>1.e-002</v>
      </c>
    </row>
    <row r="1029" ht="25.5">
      <c r="A1029" t="s">
        <v>1037</v>
      </c>
      <c r="B1029" s="19">
        <v>102781</v>
      </c>
      <c r="C1029" s="20" t="s">
        <v>1066</v>
      </c>
      <c r="D1029" s="19" t="s">
        <v>31</v>
      </c>
      <c r="E1029" s="21">
        <f t="shared" si="44"/>
        <v>12958.83</v>
      </c>
      <c r="F1029" s="22">
        <v>1.e-002</v>
      </c>
      <c r="G1029" s="21">
        <f t="shared" si="45"/>
        <v>12745.469999999999</v>
      </c>
      <c r="H1029" s="22">
        <v>1.e-002</v>
      </c>
      <c r="I1029" s="23" t="str">
        <f t="shared" si="46"/>
        <v xml:space="preserve">COM VALOR</v>
      </c>
      <c r="J1029" s="19"/>
      <c r="L1029" s="21">
        <v>12958.83</v>
      </c>
      <c r="M1029" s="22">
        <v>2.e-002</v>
      </c>
      <c r="N1029" s="21">
        <v>12745.469999999999</v>
      </c>
      <c r="O1029" s="22">
        <v>2.e-002</v>
      </c>
    </row>
    <row r="1030" ht="38.25">
      <c r="A1030" t="s">
        <v>1037</v>
      </c>
      <c r="B1030" s="19">
        <v>102761</v>
      </c>
      <c r="C1030" s="20" t="s">
        <v>1067</v>
      </c>
      <c r="D1030" s="19" t="s">
        <v>31</v>
      </c>
      <c r="E1030" s="21">
        <f t="shared" si="44"/>
        <v>13095.540000000001</v>
      </c>
      <c r="F1030" s="22">
        <v>2.e-002</v>
      </c>
      <c r="G1030" s="21">
        <f t="shared" si="45"/>
        <v>12877.77</v>
      </c>
      <c r="H1030" s="22">
        <v>2.e-002</v>
      </c>
      <c r="I1030" s="23" t="str">
        <f t="shared" si="46"/>
        <v xml:space="preserve">COM VALOR</v>
      </c>
      <c r="J1030" s="19"/>
      <c r="L1030" s="21">
        <v>13095.540000000001</v>
      </c>
      <c r="M1030" s="22">
        <v>1.e-002</v>
      </c>
      <c r="N1030" s="21">
        <v>12877.77</v>
      </c>
      <c r="O1030" s="22">
        <v>1.e-002</v>
      </c>
    </row>
    <row r="1031" ht="25.5">
      <c r="A1031" t="s">
        <v>1037</v>
      </c>
      <c r="B1031" s="19">
        <v>102791</v>
      </c>
      <c r="C1031" s="20" t="s">
        <v>1068</v>
      </c>
      <c r="D1031" s="19" t="s">
        <v>31</v>
      </c>
      <c r="E1031" s="21">
        <f t="shared" si="44"/>
        <v>27542.34</v>
      </c>
      <c r="F1031" s="22">
        <v>1.e-002</v>
      </c>
      <c r="G1031" s="21">
        <f t="shared" si="45"/>
        <v>27125.380000000001</v>
      </c>
      <c r="H1031" s="22">
        <v>1.e-002</v>
      </c>
      <c r="I1031" s="23" t="str">
        <f t="shared" si="46"/>
        <v xml:space="preserve">COM VALOR</v>
      </c>
      <c r="J1031" s="19"/>
      <c r="L1031" s="21">
        <v>27542.34</v>
      </c>
      <c r="M1031" s="22">
        <v>2.e-002</v>
      </c>
      <c r="N1031" s="21">
        <v>27125.380000000001</v>
      </c>
      <c r="O1031" s="22">
        <v>2.e-002</v>
      </c>
    </row>
    <row r="1032" ht="38.25">
      <c r="A1032" t="s">
        <v>1037</v>
      </c>
      <c r="B1032" s="19">
        <v>102762</v>
      </c>
      <c r="C1032" s="20" t="s">
        <v>1069</v>
      </c>
      <c r="D1032" s="19" t="s">
        <v>31</v>
      </c>
      <c r="E1032" s="21">
        <f t="shared" si="44"/>
        <v>20259.84</v>
      </c>
      <c r="F1032" s="22">
        <v>1.e-002</v>
      </c>
      <c r="G1032" s="21">
        <f t="shared" si="45"/>
        <v>19949.599999999999</v>
      </c>
      <c r="H1032" s="22">
        <v>1.e-002</v>
      </c>
      <c r="I1032" s="23" t="str">
        <f t="shared" si="46"/>
        <v xml:space="preserve">COM VALOR</v>
      </c>
      <c r="J1032" s="19"/>
      <c r="L1032" s="21">
        <v>20259.84</v>
      </c>
      <c r="M1032" s="22">
        <v>1.e-002</v>
      </c>
      <c r="N1032" s="21">
        <v>19949.599999999999</v>
      </c>
      <c r="O1032" s="22">
        <v>1.e-002</v>
      </c>
    </row>
    <row r="1033" ht="25.5">
      <c r="A1033" t="s">
        <v>1037</v>
      </c>
      <c r="B1033" s="19">
        <v>102792</v>
      </c>
      <c r="C1033" s="20" t="s">
        <v>1070</v>
      </c>
      <c r="D1033" s="19" t="s">
        <v>31</v>
      </c>
      <c r="E1033" s="21">
        <f t="shared" si="44"/>
        <v>44656.059999999998</v>
      </c>
      <c r="F1033" s="22">
        <v>2.e-002</v>
      </c>
      <c r="G1033" s="21">
        <f t="shared" si="45"/>
        <v>44012.220000000001</v>
      </c>
      <c r="H1033" s="22">
        <v>2.e-002</v>
      </c>
      <c r="I1033" s="23" t="str">
        <f t="shared" si="46"/>
        <v xml:space="preserve">COM VALOR</v>
      </c>
      <c r="J1033" s="19"/>
      <c r="L1033" s="21">
        <v>44656.059999999998</v>
      </c>
      <c r="M1033" s="22">
        <v>2.e-002</v>
      </c>
      <c r="N1033" s="21">
        <v>44012.220000000001</v>
      </c>
      <c r="O1033" s="22">
        <v>2.e-002</v>
      </c>
    </row>
    <row r="1034" ht="38.25">
      <c r="A1034" t="s">
        <v>1037</v>
      </c>
      <c r="B1034" s="19">
        <v>102763</v>
      </c>
      <c r="C1034" s="20" t="s">
        <v>1071</v>
      </c>
      <c r="D1034" s="19" t="s">
        <v>31</v>
      </c>
      <c r="E1034" s="21">
        <f t="shared" si="44"/>
        <v>28135.099999999999</v>
      </c>
      <c r="F1034" s="22">
        <v>1.e-002</v>
      </c>
      <c r="G1034" s="21">
        <f t="shared" si="45"/>
        <v>27717.220000000001</v>
      </c>
      <c r="H1034" s="22">
        <v>1.e-002</v>
      </c>
      <c r="I1034" s="23" t="str">
        <f t="shared" si="46"/>
        <v xml:space="preserve">COM VALOR</v>
      </c>
      <c r="J1034" s="19"/>
      <c r="L1034" s="21">
        <v>28135.099999999999</v>
      </c>
      <c r="M1034" s="22">
        <v>1.e-002</v>
      </c>
      <c r="N1034" s="21">
        <v>27717.220000000001</v>
      </c>
      <c r="O1034" s="22">
        <v>1.e-002</v>
      </c>
    </row>
    <row r="1035" ht="25.5">
      <c r="A1035" t="s">
        <v>1037</v>
      </c>
      <c r="B1035" s="19">
        <v>102793</v>
      </c>
      <c r="C1035" s="20" t="s">
        <v>1072</v>
      </c>
      <c r="D1035" s="19" t="s">
        <v>31</v>
      </c>
      <c r="E1035" s="21">
        <f t="shared" ref="E1035:E1098" si="47">IF(L1035=0,"VERIFICAR",L1035)</f>
        <v>59889.82</v>
      </c>
      <c r="F1035" s="22">
        <v>1.e-002</v>
      </c>
      <c r="G1035" s="21">
        <f t="shared" ref="G1035:G1098" si="48">IF(N1035=0,"VERIFICAR",N1035)</f>
        <v>59076.900000000001</v>
      </c>
      <c r="H1035" s="22">
        <v>1.e-002</v>
      </c>
      <c r="I1035" s="23" t="str">
        <f t="shared" ref="I1035:I1098" si="49">IF(OR(E1035=0,G1035=0),"SEM VALOR","COM VALOR")</f>
        <v xml:space="preserve">COM VALOR</v>
      </c>
      <c r="J1035" s="19"/>
      <c r="L1035" s="21">
        <v>59889.82</v>
      </c>
      <c r="M1035" s="22">
        <v>2.e-002</v>
      </c>
      <c r="N1035" s="21">
        <v>59076.900000000001</v>
      </c>
      <c r="O1035" s="22">
        <v>2.e-002</v>
      </c>
    </row>
    <row r="1036" ht="38.25">
      <c r="A1036" t="s">
        <v>1037</v>
      </c>
      <c r="B1036" s="19">
        <v>102764</v>
      </c>
      <c r="C1036" s="20" t="s">
        <v>1073</v>
      </c>
      <c r="D1036" s="19" t="s">
        <v>31</v>
      </c>
      <c r="E1036" s="21">
        <f t="shared" si="47"/>
        <v>39705.610000000001</v>
      </c>
      <c r="F1036" s="22">
        <v>2.e-002</v>
      </c>
      <c r="G1036" s="21">
        <f t="shared" si="48"/>
        <v>39157.82</v>
      </c>
      <c r="H1036" s="22">
        <v>2.e-002</v>
      </c>
      <c r="I1036" s="23" t="str">
        <f t="shared" si="49"/>
        <v xml:space="preserve">COM VALOR</v>
      </c>
      <c r="J1036" s="19"/>
      <c r="L1036" s="21">
        <v>39705.610000000001</v>
      </c>
      <c r="M1036" s="22">
        <v>1.e-002</v>
      </c>
      <c r="N1036" s="21">
        <v>39157.82</v>
      </c>
      <c r="O1036" s="22">
        <v>1.e-002</v>
      </c>
    </row>
    <row r="1037" ht="25.5">
      <c r="A1037" t="s">
        <v>1037</v>
      </c>
      <c r="B1037" s="19">
        <v>102794</v>
      </c>
      <c r="C1037" s="20" t="s">
        <v>1074</v>
      </c>
      <c r="D1037" s="19" t="s">
        <v>31</v>
      </c>
      <c r="E1037" s="21">
        <f t="shared" si="47"/>
        <v>85701.339999999997</v>
      </c>
      <c r="F1037" s="22">
        <v>1.e-002</v>
      </c>
      <c r="G1037" s="21">
        <f t="shared" si="48"/>
        <v>84563.100000000006</v>
      </c>
      <c r="H1037" s="22">
        <v>1.e-002</v>
      </c>
      <c r="I1037" s="23" t="str">
        <f t="shared" si="49"/>
        <v xml:space="preserve">COM VALOR</v>
      </c>
      <c r="J1037" s="19"/>
      <c r="L1037" s="21">
        <v>85701.339999999997</v>
      </c>
      <c r="M1037" s="22">
        <v>2.e-002</v>
      </c>
      <c r="N1037" s="21">
        <v>84563.100000000006</v>
      </c>
      <c r="O1037" s="22">
        <v>2.e-002</v>
      </c>
    </row>
    <row r="1038" ht="25.5">
      <c r="A1038" t="s">
        <v>1037</v>
      </c>
      <c r="B1038" s="19">
        <v>102740</v>
      </c>
      <c r="C1038" s="20" t="s">
        <v>1075</v>
      </c>
      <c r="D1038" s="19" t="s">
        <v>31</v>
      </c>
      <c r="E1038" s="21">
        <f t="shared" si="47"/>
        <v>5670.2299999999996</v>
      </c>
      <c r="F1038" s="22">
        <v>1.e-002</v>
      </c>
      <c r="G1038" s="21">
        <f t="shared" si="48"/>
        <v>5583.5900000000001</v>
      </c>
      <c r="H1038" s="22">
        <v>1.e-002</v>
      </c>
      <c r="I1038" s="23" t="str">
        <f t="shared" si="49"/>
        <v xml:space="preserve">COM VALOR</v>
      </c>
      <c r="J1038" s="19"/>
      <c r="L1038" s="21">
        <v>5670.2299999999996</v>
      </c>
      <c r="M1038" s="22">
        <v>1.e-002</v>
      </c>
      <c r="N1038" s="21">
        <v>5583.5900000000001</v>
      </c>
      <c r="O1038" s="22">
        <v>1.e-002</v>
      </c>
    </row>
    <row r="1039" ht="25.5">
      <c r="A1039" t="s">
        <v>1037</v>
      </c>
      <c r="B1039" s="19">
        <v>102752</v>
      </c>
      <c r="C1039" s="20" t="s">
        <v>1076</v>
      </c>
      <c r="D1039" s="19" t="s">
        <v>31</v>
      </c>
      <c r="E1039" s="21">
        <f t="shared" si="47"/>
        <v>7632.6199999999999</v>
      </c>
      <c r="F1039" s="22">
        <v>2.e-002</v>
      </c>
      <c r="G1039" s="21">
        <f t="shared" si="48"/>
        <v>7521.4700000000003</v>
      </c>
      <c r="H1039" s="22">
        <v>2.e-002</v>
      </c>
      <c r="I1039" s="23" t="str">
        <f t="shared" si="49"/>
        <v xml:space="preserve">COM VALOR</v>
      </c>
      <c r="J1039" s="19"/>
      <c r="L1039" s="21">
        <v>7632.6199999999999</v>
      </c>
      <c r="M1039" s="22">
        <v>1.e-002</v>
      </c>
      <c r="N1039" s="21">
        <v>7521.4700000000003</v>
      </c>
      <c r="O1039" s="22">
        <v>1.e-002</v>
      </c>
    </row>
    <row r="1040" ht="25.5">
      <c r="A1040" t="s">
        <v>1037</v>
      </c>
      <c r="B1040" s="19">
        <v>102776</v>
      </c>
      <c r="C1040" s="20" t="s">
        <v>1077</v>
      </c>
      <c r="D1040" s="19" t="s">
        <v>31</v>
      </c>
      <c r="E1040" s="21">
        <f t="shared" si="47"/>
        <v>11345.620000000001</v>
      </c>
      <c r="F1040" s="22">
        <v>1.e-002</v>
      </c>
      <c r="G1040" s="21">
        <f t="shared" si="48"/>
        <v>11158.860000000001</v>
      </c>
      <c r="H1040" s="22">
        <v>1.e-002</v>
      </c>
      <c r="I1040" s="23" t="str">
        <f t="shared" si="49"/>
        <v xml:space="preserve">COM VALOR</v>
      </c>
      <c r="J1040" s="19"/>
      <c r="L1040" s="21">
        <v>11345.620000000001</v>
      </c>
      <c r="M1040" s="22">
        <v>2.e-002</v>
      </c>
      <c r="N1040" s="21">
        <v>11158.860000000001</v>
      </c>
      <c r="O1040" s="22">
        <v>2.e-002</v>
      </c>
    </row>
    <row r="1041" ht="25.5">
      <c r="A1041" t="s">
        <v>1037</v>
      </c>
      <c r="B1041" s="19">
        <v>102741</v>
      </c>
      <c r="C1041" s="20" t="s">
        <v>1078</v>
      </c>
      <c r="D1041" s="19" t="s">
        <v>31</v>
      </c>
      <c r="E1041" s="21">
        <f t="shared" si="47"/>
        <v>7960.9700000000003</v>
      </c>
      <c r="F1041" s="22">
        <v>2.e-002</v>
      </c>
      <c r="G1041" s="21">
        <f t="shared" si="48"/>
        <v>7842.1400000000003</v>
      </c>
      <c r="H1041" s="22">
        <v>2.e-002</v>
      </c>
      <c r="I1041" s="23" t="str">
        <f t="shared" si="49"/>
        <v xml:space="preserve">COM VALOR</v>
      </c>
      <c r="J1041" s="19"/>
      <c r="L1041" s="21">
        <v>7960.9700000000003</v>
      </c>
      <c r="M1041" s="22">
        <v>1.e-002</v>
      </c>
      <c r="N1041" s="21">
        <v>7842.1400000000003</v>
      </c>
      <c r="O1041" s="22">
        <v>1.e-002</v>
      </c>
    </row>
    <row r="1042" ht="25.5">
      <c r="A1042" t="s">
        <v>1037</v>
      </c>
      <c r="B1042" s="19">
        <v>102753</v>
      </c>
      <c r="C1042" s="20" t="s">
        <v>1079</v>
      </c>
      <c r="D1042" s="19" t="s">
        <v>31</v>
      </c>
      <c r="E1042" s="21">
        <f t="shared" si="47"/>
        <v>11302.799999999999</v>
      </c>
      <c r="F1042" s="22">
        <v>1.e-002</v>
      </c>
      <c r="G1042" s="21">
        <f t="shared" si="48"/>
        <v>11143.24</v>
      </c>
      <c r="H1042" s="22">
        <v>1.e-002</v>
      </c>
      <c r="I1042" s="23" t="str">
        <f t="shared" si="49"/>
        <v xml:space="preserve">COM VALOR</v>
      </c>
      <c r="J1042" s="19"/>
      <c r="L1042" s="21">
        <v>11302.799999999999</v>
      </c>
      <c r="M1042" s="22">
        <v>1.e-002</v>
      </c>
      <c r="N1042" s="21">
        <v>11143.24</v>
      </c>
      <c r="O1042" s="22">
        <v>1.e-002</v>
      </c>
    </row>
    <row r="1043" ht="25.5">
      <c r="A1043" t="s">
        <v>1037</v>
      </c>
      <c r="B1043" s="19">
        <v>102777</v>
      </c>
      <c r="C1043" s="20" t="s">
        <v>1080</v>
      </c>
      <c r="D1043" s="19" t="s">
        <v>31</v>
      </c>
      <c r="E1043" s="21">
        <f t="shared" si="47"/>
        <v>17175.419999999998</v>
      </c>
      <c r="F1043" s="22">
        <v>1.e-002</v>
      </c>
      <c r="G1043" s="21">
        <f t="shared" si="48"/>
        <v>16892.939999999999</v>
      </c>
      <c r="H1043" s="22">
        <v>1.e-002</v>
      </c>
      <c r="I1043" s="23" t="str">
        <f t="shared" si="49"/>
        <v xml:space="preserve">COM VALOR</v>
      </c>
      <c r="J1043" s="19"/>
      <c r="L1043" s="21">
        <v>17175.419999999998</v>
      </c>
      <c r="M1043" s="22">
        <v>2.e-002</v>
      </c>
      <c r="N1043" s="21">
        <v>16892.939999999999</v>
      </c>
      <c r="O1043" s="22">
        <v>2.e-002</v>
      </c>
    </row>
    <row r="1044" ht="25.5">
      <c r="A1044" t="s">
        <v>1037</v>
      </c>
      <c r="B1044" s="19">
        <v>102742</v>
      </c>
      <c r="C1044" s="20" t="s">
        <v>1081</v>
      </c>
      <c r="D1044" s="19" t="s">
        <v>31</v>
      </c>
      <c r="E1044" s="21">
        <f t="shared" si="47"/>
        <v>13790.629999999999</v>
      </c>
      <c r="F1044" s="22">
        <v>2.e-002</v>
      </c>
      <c r="G1044" s="21">
        <f t="shared" si="48"/>
        <v>13589.83</v>
      </c>
      <c r="H1044" s="22">
        <v>2.e-002</v>
      </c>
      <c r="I1044" s="23" t="str">
        <f t="shared" si="49"/>
        <v xml:space="preserve">COM VALOR</v>
      </c>
      <c r="J1044" s="19"/>
      <c r="L1044" s="21">
        <v>13790.629999999999</v>
      </c>
      <c r="M1044" s="22">
        <v>1.e-002</v>
      </c>
      <c r="N1044" s="21">
        <v>13589.83</v>
      </c>
      <c r="O1044" s="22">
        <v>1.e-002</v>
      </c>
    </row>
    <row r="1045" ht="25.5">
      <c r="A1045" t="s">
        <v>1037</v>
      </c>
      <c r="B1045" s="19">
        <v>102754</v>
      </c>
      <c r="C1045" s="20" t="s">
        <v>1082</v>
      </c>
      <c r="D1045" s="19" t="s">
        <v>31</v>
      </c>
      <c r="E1045" s="21">
        <f t="shared" si="47"/>
        <v>21503.07</v>
      </c>
      <c r="F1045" s="22">
        <v>1.e-002</v>
      </c>
      <c r="G1045" s="21">
        <f t="shared" si="48"/>
        <v>21208.82</v>
      </c>
      <c r="H1045" s="22">
        <v>1.e-002</v>
      </c>
      <c r="I1045" s="23" t="str">
        <f t="shared" si="49"/>
        <v xml:space="preserve">COM VALOR</v>
      </c>
      <c r="J1045" s="19"/>
      <c r="L1045" s="21">
        <v>21503.07</v>
      </c>
      <c r="M1045" s="22">
        <v>1.e-002</v>
      </c>
      <c r="N1045" s="21">
        <v>21208.82</v>
      </c>
      <c r="O1045" s="22">
        <v>1.e-002</v>
      </c>
    </row>
    <row r="1046" ht="25.5">
      <c r="A1046" t="s">
        <v>1037</v>
      </c>
      <c r="B1046" s="19">
        <v>102778</v>
      </c>
      <c r="C1046" s="20" t="s">
        <v>1083</v>
      </c>
      <c r="D1046" s="19" t="s">
        <v>31</v>
      </c>
      <c r="E1046" s="21">
        <f t="shared" si="47"/>
        <v>25138.09</v>
      </c>
      <c r="F1046" s="22">
        <v>1.e-002</v>
      </c>
      <c r="G1046" s="21">
        <f t="shared" si="48"/>
        <v>24815.130000000001</v>
      </c>
      <c r="H1046" s="22">
        <v>1.e-002</v>
      </c>
      <c r="I1046" s="23" t="str">
        <f t="shared" si="49"/>
        <v xml:space="preserve">COM VALOR</v>
      </c>
      <c r="J1046" s="19"/>
      <c r="L1046" s="21">
        <v>25138.09</v>
      </c>
      <c r="M1046" s="22">
        <v>2.e-002</v>
      </c>
      <c r="N1046" s="21">
        <v>24815.130000000001</v>
      </c>
      <c r="O1046" s="22">
        <v>2.e-002</v>
      </c>
    </row>
    <row r="1047" ht="25.5">
      <c r="A1047" t="s">
        <v>1037</v>
      </c>
      <c r="B1047" s="19">
        <v>102737</v>
      </c>
      <c r="C1047" s="20" t="s">
        <v>1084</v>
      </c>
      <c r="D1047" s="19" t="s">
        <v>31</v>
      </c>
      <c r="E1047" s="21">
        <f t="shared" si="47"/>
        <v>1101.76</v>
      </c>
      <c r="F1047" s="22">
        <v>2.e-002</v>
      </c>
      <c r="G1047" s="21">
        <f t="shared" si="48"/>
        <v>1083.26</v>
      </c>
      <c r="H1047" s="22">
        <v>2.e-002</v>
      </c>
      <c r="I1047" s="23" t="str">
        <f t="shared" si="49"/>
        <v xml:space="preserve">COM VALOR</v>
      </c>
      <c r="J1047" s="19"/>
      <c r="L1047" s="21">
        <v>1101.76</v>
      </c>
      <c r="M1047" s="22">
        <v>1.e-002</v>
      </c>
      <c r="N1047" s="21">
        <v>1083.26</v>
      </c>
      <c r="O1047" s="22">
        <v>1.e-002</v>
      </c>
    </row>
    <row r="1048" ht="25.5">
      <c r="A1048" t="s">
        <v>1037</v>
      </c>
      <c r="B1048" s="19">
        <v>102773</v>
      </c>
      <c r="C1048" s="20" t="s">
        <v>1085</v>
      </c>
      <c r="D1048" s="19" t="s">
        <v>31</v>
      </c>
      <c r="E1048" s="21">
        <f t="shared" si="47"/>
        <v>7597.54</v>
      </c>
      <c r="F1048" s="22">
        <v>1.e-002</v>
      </c>
      <c r="G1048" s="21">
        <f t="shared" si="48"/>
        <v>7472.2200000000003</v>
      </c>
      <c r="H1048" s="22">
        <v>1.e-002</v>
      </c>
      <c r="I1048" s="23" t="str">
        <f t="shared" si="49"/>
        <v xml:space="preserve">COM VALOR</v>
      </c>
      <c r="J1048" s="19"/>
      <c r="L1048" s="21">
        <v>7597.54</v>
      </c>
      <c r="M1048" s="22">
        <v>2.e-002</v>
      </c>
      <c r="N1048" s="21">
        <v>7472.2200000000003</v>
      </c>
      <c r="O1048" s="22">
        <v>2.e-002</v>
      </c>
    </row>
    <row r="1049" ht="25.5">
      <c r="A1049" t="s">
        <v>1037</v>
      </c>
      <c r="B1049" s="19">
        <v>102738</v>
      </c>
      <c r="C1049" s="20" t="s">
        <v>1086</v>
      </c>
      <c r="D1049" s="19" t="s">
        <v>31</v>
      </c>
      <c r="E1049" s="21">
        <f t="shared" si="47"/>
        <v>2258.6599999999999</v>
      </c>
      <c r="F1049" s="22">
        <v>2.e-002</v>
      </c>
      <c r="G1049" s="21">
        <f t="shared" si="48"/>
        <v>2222.4000000000001</v>
      </c>
      <c r="H1049" s="22">
        <v>2.e-002</v>
      </c>
      <c r="I1049" s="23" t="str">
        <f t="shared" si="49"/>
        <v xml:space="preserve">COM VALOR</v>
      </c>
      <c r="J1049" s="19"/>
      <c r="L1049" s="21">
        <v>2258.6599999999999</v>
      </c>
      <c r="M1049" s="22">
        <v>1.e-002</v>
      </c>
      <c r="N1049" s="21">
        <v>2222.4000000000001</v>
      </c>
      <c r="O1049" s="22">
        <v>1.e-002</v>
      </c>
    </row>
    <row r="1050" ht="25.5">
      <c r="A1050" t="s">
        <v>1037</v>
      </c>
      <c r="B1050" s="19">
        <v>102750</v>
      </c>
      <c r="C1050" s="20" t="s">
        <v>1087</v>
      </c>
      <c r="D1050" s="19" t="s">
        <v>31</v>
      </c>
      <c r="E1050" s="21">
        <f t="shared" si="47"/>
        <v>2754.98</v>
      </c>
      <c r="F1050" s="22">
        <v>1.e-002</v>
      </c>
      <c r="G1050" s="21">
        <f t="shared" si="48"/>
        <v>2711.5</v>
      </c>
      <c r="H1050" s="22">
        <v>1.e-002</v>
      </c>
      <c r="I1050" s="23" t="str">
        <f t="shared" si="49"/>
        <v xml:space="preserve">COM VALOR</v>
      </c>
      <c r="J1050" s="19"/>
      <c r="L1050" s="21">
        <v>2754.98</v>
      </c>
      <c r="M1050" s="22">
        <v>1.e-002</v>
      </c>
      <c r="N1050" s="21">
        <v>2711.5</v>
      </c>
      <c r="O1050" s="22">
        <v>1.e-002</v>
      </c>
    </row>
    <row r="1051" ht="25.5">
      <c r="A1051" t="s">
        <v>1037</v>
      </c>
      <c r="B1051" s="19">
        <v>102774</v>
      </c>
      <c r="C1051" s="20" t="s">
        <v>1088</v>
      </c>
      <c r="D1051" s="19" t="s">
        <v>31</v>
      </c>
      <c r="E1051" s="21">
        <f t="shared" si="47"/>
        <v>7597.54</v>
      </c>
      <c r="F1051" s="22">
        <v>2.e-002</v>
      </c>
      <c r="G1051" s="21">
        <f t="shared" si="48"/>
        <v>7472.2200000000003</v>
      </c>
      <c r="H1051" s="22">
        <v>2.e-002</v>
      </c>
      <c r="I1051" s="23" t="str">
        <f t="shared" si="49"/>
        <v xml:space="preserve">COM VALOR</v>
      </c>
      <c r="J1051" s="19"/>
      <c r="L1051" s="21">
        <v>7597.54</v>
      </c>
      <c r="M1051" s="22">
        <v>2.e-002</v>
      </c>
      <c r="N1051" s="21">
        <v>7472.2200000000003</v>
      </c>
      <c r="O1051" s="22">
        <v>2.e-002</v>
      </c>
    </row>
    <row r="1052" ht="25.5">
      <c r="A1052" t="s">
        <v>1037</v>
      </c>
      <c r="B1052" s="19">
        <v>102739</v>
      </c>
      <c r="C1052" s="20" t="s">
        <v>1089</v>
      </c>
      <c r="D1052" s="19" t="s">
        <v>31</v>
      </c>
      <c r="E1052" s="21">
        <f t="shared" si="47"/>
        <v>3782.21</v>
      </c>
      <c r="F1052" s="22">
        <v>1.e-002</v>
      </c>
      <c r="G1052" s="21">
        <f t="shared" si="48"/>
        <v>3722.9699999999998</v>
      </c>
      <c r="H1052" s="22">
        <v>1.e-002</v>
      </c>
      <c r="I1052" s="23" t="str">
        <f t="shared" si="49"/>
        <v xml:space="preserve">COM VALOR</v>
      </c>
      <c r="J1052" s="19"/>
      <c r="L1052" s="21">
        <v>3782.21</v>
      </c>
      <c r="M1052" s="22">
        <v>1.e-002</v>
      </c>
      <c r="N1052" s="21">
        <v>3722.9699999999998</v>
      </c>
      <c r="O1052" s="22">
        <v>1.e-002</v>
      </c>
    </row>
    <row r="1053" ht="25.5">
      <c r="A1053" t="s">
        <v>1037</v>
      </c>
      <c r="B1053" s="19">
        <v>102751</v>
      </c>
      <c r="C1053" s="20" t="s">
        <v>1090</v>
      </c>
      <c r="D1053" s="19" t="s">
        <v>31</v>
      </c>
      <c r="E1053" s="21">
        <f t="shared" si="47"/>
        <v>4788.8500000000004</v>
      </c>
      <c r="F1053" s="22">
        <v>2.e-002</v>
      </c>
      <c r="G1053" s="21">
        <f t="shared" si="48"/>
        <v>4716.6700000000001</v>
      </c>
      <c r="H1053" s="22">
        <v>2.e-002</v>
      </c>
      <c r="I1053" s="23" t="str">
        <f t="shared" si="49"/>
        <v xml:space="preserve">COM VALOR</v>
      </c>
      <c r="J1053" s="19"/>
      <c r="L1053" s="21">
        <v>4788.8500000000004</v>
      </c>
      <c r="M1053" s="22">
        <v>1.e-002</v>
      </c>
      <c r="N1053" s="21">
        <v>4716.6700000000001</v>
      </c>
      <c r="O1053" s="22">
        <v>1.e-002</v>
      </c>
    </row>
    <row r="1054" ht="25.5">
      <c r="A1054" t="s">
        <v>1037</v>
      </c>
      <c r="B1054" s="19">
        <v>102775</v>
      </c>
      <c r="C1054" s="20" t="s">
        <v>1091</v>
      </c>
      <c r="D1054" s="19" t="s">
        <v>31</v>
      </c>
      <c r="E1054" s="21">
        <f t="shared" si="47"/>
        <v>11345.620000000001</v>
      </c>
      <c r="F1054" s="22">
        <v>1.e-002</v>
      </c>
      <c r="G1054" s="21">
        <f t="shared" si="48"/>
        <v>11158.860000000001</v>
      </c>
      <c r="H1054" s="22">
        <v>1.e-002</v>
      </c>
      <c r="I1054" s="23" t="str">
        <f t="shared" si="49"/>
        <v xml:space="preserve">COM VALOR</v>
      </c>
      <c r="J1054" s="19"/>
      <c r="L1054" s="21">
        <v>11345.620000000001</v>
      </c>
      <c r="M1054" s="22">
        <v>2.e-002</v>
      </c>
      <c r="N1054" s="21">
        <v>11158.860000000001</v>
      </c>
      <c r="O1054" s="22">
        <v>2.e-002</v>
      </c>
    </row>
    <row r="1055" ht="25.5">
      <c r="A1055" t="s">
        <v>1037</v>
      </c>
      <c r="B1055" s="19">
        <v>102769</v>
      </c>
      <c r="C1055" s="20" t="s">
        <v>1092</v>
      </c>
      <c r="D1055" s="19" t="s">
        <v>31</v>
      </c>
      <c r="E1055" s="21">
        <f t="shared" si="47"/>
        <v>18983.049999999999</v>
      </c>
      <c r="F1055" s="22">
        <v>2.e-002</v>
      </c>
      <c r="G1055" s="21">
        <f t="shared" si="48"/>
        <v>18677.439999999999</v>
      </c>
      <c r="H1055" s="22">
        <v>2.e-002</v>
      </c>
      <c r="I1055" s="23" t="str">
        <f t="shared" si="49"/>
        <v xml:space="preserve">COM VALOR</v>
      </c>
      <c r="J1055" s="19"/>
      <c r="L1055" s="21">
        <v>18983.049999999999</v>
      </c>
      <c r="M1055" s="22">
        <v>1.e-002</v>
      </c>
      <c r="N1055" s="21">
        <v>18677.439999999999</v>
      </c>
      <c r="O1055" s="22">
        <v>1.e-002</v>
      </c>
    </row>
    <row r="1056" ht="25.5">
      <c r="A1056" t="s">
        <v>1037</v>
      </c>
      <c r="B1056" s="19">
        <v>102799</v>
      </c>
      <c r="C1056" s="20" t="s">
        <v>1093</v>
      </c>
      <c r="D1056" s="19" t="s">
        <v>31</v>
      </c>
      <c r="E1056" s="21">
        <f t="shared" si="47"/>
        <v>30011.330000000002</v>
      </c>
      <c r="F1056" s="22">
        <v>1.e-002</v>
      </c>
      <c r="G1056" s="21">
        <f t="shared" si="48"/>
        <v>29555.25</v>
      </c>
      <c r="H1056" s="22">
        <v>1.e-002</v>
      </c>
      <c r="I1056" s="23" t="str">
        <f t="shared" si="49"/>
        <v xml:space="preserve">COM VALOR</v>
      </c>
      <c r="J1056" s="19"/>
      <c r="L1056" s="21">
        <v>30011.330000000002</v>
      </c>
      <c r="M1056" s="22">
        <v>2.e-002</v>
      </c>
      <c r="N1056" s="21">
        <v>29555.25</v>
      </c>
      <c r="O1056" s="22">
        <v>2.e-002</v>
      </c>
    </row>
    <row r="1057" ht="25.5">
      <c r="A1057" t="s">
        <v>1037</v>
      </c>
      <c r="B1057" s="19">
        <v>102770</v>
      </c>
      <c r="C1057" s="20" t="s">
        <v>1094</v>
      </c>
      <c r="D1057" s="19" t="s">
        <v>31</v>
      </c>
      <c r="E1057" s="21">
        <f t="shared" si="47"/>
        <v>29144.91</v>
      </c>
      <c r="F1057" s="22">
        <v>1.e-002</v>
      </c>
      <c r="G1057" s="21">
        <f t="shared" si="48"/>
        <v>28703.950000000001</v>
      </c>
      <c r="H1057" s="22">
        <v>1.e-002</v>
      </c>
      <c r="I1057" s="23" t="str">
        <f t="shared" si="49"/>
        <v xml:space="preserve">COM VALOR</v>
      </c>
      <c r="J1057" s="19"/>
      <c r="L1057" s="21">
        <v>29144.91</v>
      </c>
      <c r="M1057" s="22">
        <v>1.e-002</v>
      </c>
      <c r="N1057" s="21">
        <v>28703.950000000001</v>
      </c>
      <c r="O1057" s="22">
        <v>1.e-002</v>
      </c>
    </row>
    <row r="1058" ht="25.5">
      <c r="A1058" t="s">
        <v>1037</v>
      </c>
      <c r="B1058" s="19">
        <v>102800</v>
      </c>
      <c r="C1058" s="20" t="s">
        <v>1095</v>
      </c>
      <c r="D1058" s="19" t="s">
        <v>31</v>
      </c>
      <c r="E1058" s="21">
        <f t="shared" si="47"/>
        <v>51843.019999999997</v>
      </c>
      <c r="F1058" s="22">
        <v>2.e-002</v>
      </c>
      <c r="G1058" s="21">
        <f t="shared" si="48"/>
        <v>51096.5</v>
      </c>
      <c r="H1058" s="22">
        <v>2.e-002</v>
      </c>
      <c r="I1058" s="23" t="str">
        <f t="shared" si="49"/>
        <v xml:space="preserve">COM VALOR</v>
      </c>
      <c r="J1058" s="19"/>
      <c r="L1058" s="21">
        <v>51843.019999999997</v>
      </c>
      <c r="M1058" s="22">
        <v>2.e-002</v>
      </c>
      <c r="N1058" s="21">
        <v>51096.5</v>
      </c>
      <c r="O1058" s="22">
        <v>2.e-002</v>
      </c>
    </row>
    <row r="1059" ht="25.5">
      <c r="A1059" t="s">
        <v>1037</v>
      </c>
      <c r="B1059" s="19">
        <v>102771</v>
      </c>
      <c r="C1059" s="20" t="s">
        <v>1096</v>
      </c>
      <c r="D1059" s="19" t="s">
        <v>31</v>
      </c>
      <c r="E1059" s="21">
        <f t="shared" si="47"/>
        <v>40661.720000000001</v>
      </c>
      <c r="F1059" s="22">
        <v>1.e-002</v>
      </c>
      <c r="G1059" s="21">
        <f t="shared" si="48"/>
        <v>40064.300000000003</v>
      </c>
      <c r="H1059" s="22">
        <v>1.e-002</v>
      </c>
      <c r="I1059" s="23" t="str">
        <f t="shared" si="49"/>
        <v xml:space="preserve">COM VALOR</v>
      </c>
      <c r="J1059" s="19"/>
      <c r="L1059" s="21">
        <v>40661.720000000001</v>
      </c>
      <c r="M1059" s="22">
        <v>1.e-002</v>
      </c>
      <c r="N1059" s="21">
        <v>40064.300000000003</v>
      </c>
      <c r="O1059" s="22">
        <v>1.e-002</v>
      </c>
    </row>
    <row r="1060" ht="25.5">
      <c r="A1060" t="s">
        <v>1037</v>
      </c>
      <c r="B1060" s="19">
        <v>102801</v>
      </c>
      <c r="C1060" s="20" t="s">
        <v>1097</v>
      </c>
      <c r="D1060" s="19" t="s">
        <v>31</v>
      </c>
      <c r="E1060" s="21">
        <f t="shared" si="47"/>
        <v>72444.119999999995</v>
      </c>
      <c r="F1060" s="22">
        <v>1.e-002</v>
      </c>
      <c r="G1060" s="21">
        <f t="shared" si="48"/>
        <v>71432.479999999996</v>
      </c>
      <c r="H1060" s="22">
        <v>1.e-002</v>
      </c>
      <c r="I1060" s="23" t="str">
        <f t="shared" si="49"/>
        <v xml:space="preserve">COM VALOR</v>
      </c>
      <c r="J1060" s="19"/>
      <c r="L1060" s="21">
        <v>72444.119999999995</v>
      </c>
      <c r="M1060" s="22">
        <v>2.e-002</v>
      </c>
      <c r="N1060" s="21">
        <v>71432.479999999996</v>
      </c>
      <c r="O1060" s="22">
        <v>2.e-002</v>
      </c>
    </row>
    <row r="1061" ht="25.5">
      <c r="A1061" t="s">
        <v>1037</v>
      </c>
      <c r="B1061" s="19">
        <v>102772</v>
      </c>
      <c r="C1061" s="20" t="s">
        <v>1098</v>
      </c>
      <c r="D1061" s="19" t="s">
        <v>31</v>
      </c>
      <c r="E1061" s="21">
        <f t="shared" si="47"/>
        <v>57143.269999999997</v>
      </c>
      <c r="F1061" s="22">
        <v>2.e-002</v>
      </c>
      <c r="G1061" s="21">
        <f t="shared" si="48"/>
        <v>56365.040000000001</v>
      </c>
      <c r="H1061" s="22">
        <v>2.e-002</v>
      </c>
      <c r="I1061" s="23" t="str">
        <f t="shared" si="49"/>
        <v xml:space="preserve">COM VALOR</v>
      </c>
      <c r="J1061" s="19"/>
      <c r="L1061" s="21">
        <v>57143.269999999997</v>
      </c>
      <c r="M1061" s="22">
        <v>1.e-002</v>
      </c>
      <c r="N1061" s="21">
        <v>56365.040000000001</v>
      </c>
      <c r="O1061" s="22">
        <v>1.e-002</v>
      </c>
    </row>
    <row r="1062" ht="25.5">
      <c r="A1062" t="s">
        <v>1037</v>
      </c>
      <c r="B1062" s="19">
        <v>102802</v>
      </c>
      <c r="C1062" s="20" t="s">
        <v>1099</v>
      </c>
      <c r="D1062" s="19" t="s">
        <v>31</v>
      </c>
      <c r="E1062" s="21">
        <f t="shared" si="47"/>
        <v>86835.690000000002</v>
      </c>
      <c r="F1062" s="22">
        <v>1.e-002</v>
      </c>
      <c r="G1062" s="21">
        <f t="shared" si="48"/>
        <v>85632.850000000006</v>
      </c>
      <c r="H1062" s="22">
        <v>1.e-002</v>
      </c>
      <c r="I1062" s="23" t="str">
        <f t="shared" si="49"/>
        <v xml:space="preserve">COM VALOR</v>
      </c>
      <c r="J1062" s="19"/>
      <c r="L1062" s="21">
        <v>86835.690000000002</v>
      </c>
      <c r="M1062" s="22">
        <v>2.e-002</v>
      </c>
      <c r="N1062" s="21">
        <v>85632.850000000006</v>
      </c>
      <c r="O1062" s="22">
        <v>2.e-002</v>
      </c>
    </row>
    <row r="1063" ht="25.5">
      <c r="A1063" t="s">
        <v>1037</v>
      </c>
      <c r="B1063" s="19">
        <v>102747</v>
      </c>
      <c r="C1063" s="20" t="s">
        <v>1100</v>
      </c>
      <c r="D1063" s="19" t="s">
        <v>31</v>
      </c>
      <c r="E1063" s="21">
        <f t="shared" si="47"/>
        <v>8548.7199999999993</v>
      </c>
      <c r="F1063" s="22">
        <v>1.e-002</v>
      </c>
      <c r="G1063" s="21">
        <f t="shared" si="48"/>
        <v>8420.7099999999991</v>
      </c>
      <c r="H1063" s="22">
        <v>1.e-002</v>
      </c>
      <c r="I1063" s="23" t="str">
        <f t="shared" si="49"/>
        <v xml:space="preserve">COM VALOR</v>
      </c>
      <c r="J1063" s="19"/>
      <c r="L1063" s="21">
        <v>8548.7199999999993</v>
      </c>
      <c r="M1063" s="22">
        <v>1.e-002</v>
      </c>
      <c r="N1063" s="21">
        <v>8420.7099999999991</v>
      </c>
      <c r="O1063" s="22">
        <v>1.e-002</v>
      </c>
    </row>
    <row r="1064" ht="25.5">
      <c r="A1064" t="s">
        <v>1037</v>
      </c>
      <c r="B1064" s="19">
        <v>102758</v>
      </c>
      <c r="C1064" s="20" t="s">
        <v>1101</v>
      </c>
      <c r="D1064" s="19" t="s">
        <v>31</v>
      </c>
      <c r="E1064" s="21">
        <f t="shared" si="47"/>
        <v>13730.469999999999</v>
      </c>
      <c r="F1064" s="22">
        <v>2.e-002</v>
      </c>
      <c r="G1064" s="21">
        <f t="shared" si="48"/>
        <v>13538.51</v>
      </c>
      <c r="H1064" s="22">
        <v>2.e-002</v>
      </c>
      <c r="I1064" s="23" t="str">
        <f t="shared" si="49"/>
        <v xml:space="preserve">COM VALOR</v>
      </c>
      <c r="J1064" s="19"/>
      <c r="L1064" s="21">
        <v>13730.469999999999</v>
      </c>
      <c r="M1064" s="22">
        <v>7.4999999999999997e-003</v>
      </c>
      <c r="N1064" s="21">
        <v>13538.51</v>
      </c>
      <c r="O1064" s="22">
        <v>1.e-002</v>
      </c>
    </row>
    <row r="1065" ht="25.5">
      <c r="A1065" t="s">
        <v>1037</v>
      </c>
      <c r="B1065" s="19">
        <v>102788</v>
      </c>
      <c r="C1065" s="20" t="s">
        <v>1102</v>
      </c>
      <c r="D1065" s="19" t="s">
        <v>31</v>
      </c>
      <c r="E1065" s="21">
        <f t="shared" si="47"/>
        <v>15693.76</v>
      </c>
      <c r="F1065" s="22">
        <v>2.e-002</v>
      </c>
      <c r="G1065" s="21">
        <f t="shared" si="48"/>
        <v>15467.1</v>
      </c>
      <c r="H1065" s="22">
        <v>2.e-002</v>
      </c>
      <c r="I1065" s="23" t="str">
        <f t="shared" si="49"/>
        <v xml:space="preserve">COM VALOR</v>
      </c>
      <c r="J1065" s="19"/>
      <c r="L1065" s="21">
        <v>15693.76</v>
      </c>
      <c r="M1065" s="22">
        <v>2.e-002</v>
      </c>
      <c r="N1065" s="21">
        <v>15467.1</v>
      </c>
      <c r="O1065" s="22">
        <v>2.e-002</v>
      </c>
    </row>
    <row r="1066" ht="25.5">
      <c r="A1066" t="s">
        <v>1037</v>
      </c>
      <c r="B1066" s="19">
        <v>102748</v>
      </c>
      <c r="C1066" s="20" t="s">
        <v>1103</v>
      </c>
      <c r="D1066" s="19" t="s">
        <v>31</v>
      </c>
      <c r="E1066" s="21">
        <f t="shared" si="47"/>
        <v>11965.16</v>
      </c>
      <c r="F1066" s="22">
        <v>2.e-002</v>
      </c>
      <c r="G1066" s="21">
        <f t="shared" si="48"/>
        <v>11790.18</v>
      </c>
      <c r="H1066" s="22">
        <v>2.e-002</v>
      </c>
      <c r="I1066" s="23" t="str">
        <f t="shared" si="49"/>
        <v xml:space="preserve">COM VALOR</v>
      </c>
      <c r="J1066" s="19"/>
      <c r="L1066" s="21">
        <v>11965.16</v>
      </c>
      <c r="M1066" s="22">
        <v>1.e-002</v>
      </c>
      <c r="N1066" s="21">
        <v>11790.18</v>
      </c>
      <c r="O1066" s="22">
        <v>1.e-002</v>
      </c>
    </row>
    <row r="1067" ht="25.5">
      <c r="A1067" t="s">
        <v>1037</v>
      </c>
      <c r="B1067" s="19">
        <v>102759</v>
      </c>
      <c r="C1067" s="20" t="s">
        <v>1104</v>
      </c>
      <c r="D1067" s="19" t="s">
        <v>31</v>
      </c>
      <c r="E1067" s="21">
        <f t="shared" si="47"/>
        <v>20432.34</v>
      </c>
      <c r="F1067" s="22">
        <v>2.e-002</v>
      </c>
      <c r="G1067" s="21">
        <f t="shared" si="48"/>
        <v>20155.779999999999</v>
      </c>
      <c r="H1067" s="22">
        <v>2.e-002</v>
      </c>
      <c r="I1067" s="23" t="str">
        <f t="shared" si="49"/>
        <v xml:space="preserve">COM VALOR</v>
      </c>
      <c r="J1067" s="19"/>
      <c r="L1067" s="21">
        <v>20432.34</v>
      </c>
      <c r="M1067" s="22">
        <v>1.e-002</v>
      </c>
      <c r="N1067" s="21">
        <v>20155.779999999999</v>
      </c>
      <c r="O1067" s="22">
        <v>1.e-002</v>
      </c>
    </row>
    <row r="1068" ht="25.5">
      <c r="A1068" t="s">
        <v>1037</v>
      </c>
      <c r="B1068" s="19">
        <v>102789</v>
      </c>
      <c r="C1068" s="20" t="s">
        <v>1105</v>
      </c>
      <c r="D1068" s="19" t="s">
        <v>31</v>
      </c>
      <c r="E1068" s="21">
        <f t="shared" si="47"/>
        <v>20636.73</v>
      </c>
      <c r="F1068" s="22">
        <v>0</v>
      </c>
      <c r="G1068" s="21">
        <f t="shared" si="48"/>
        <v>20342.689999999999</v>
      </c>
      <c r="H1068" s="22">
        <v>0</v>
      </c>
      <c r="I1068" s="23" t="str">
        <f t="shared" si="49"/>
        <v xml:space="preserve">COM VALOR</v>
      </c>
      <c r="J1068" s="19"/>
      <c r="L1068" s="21">
        <v>20636.73</v>
      </c>
      <c r="M1068" s="22">
        <v>2.e-002</v>
      </c>
      <c r="N1068" s="21">
        <v>20342.689999999999</v>
      </c>
      <c r="O1068" s="22">
        <v>2.e-002</v>
      </c>
    </row>
    <row r="1069" ht="25.5">
      <c r="A1069" t="s">
        <v>1037</v>
      </c>
      <c r="B1069" s="19">
        <v>102749</v>
      </c>
      <c r="C1069" s="20" t="s">
        <v>1106</v>
      </c>
      <c r="D1069" s="19" t="s">
        <v>31</v>
      </c>
      <c r="E1069" s="21">
        <f t="shared" si="47"/>
        <v>20553.189999999999</v>
      </c>
      <c r="F1069" s="22">
        <v>0</v>
      </c>
      <c r="G1069" s="21">
        <f t="shared" si="48"/>
        <v>20260.529999999999</v>
      </c>
      <c r="H1069" s="22">
        <v>0</v>
      </c>
      <c r="I1069" s="23" t="str">
        <f t="shared" si="49"/>
        <v xml:space="preserve">COM VALOR</v>
      </c>
      <c r="J1069" s="19"/>
      <c r="L1069" s="21">
        <v>20553.189999999999</v>
      </c>
      <c r="M1069" s="22">
        <v>1.e-002</v>
      </c>
      <c r="N1069" s="21">
        <v>20260.529999999999</v>
      </c>
      <c r="O1069" s="22">
        <v>1.e-002</v>
      </c>
    </row>
    <row r="1070" ht="25.5">
      <c r="A1070" t="s">
        <v>1037</v>
      </c>
      <c r="B1070" s="19">
        <v>102760</v>
      </c>
      <c r="C1070" s="20" t="s">
        <v>1107</v>
      </c>
      <c r="D1070" s="19" t="s">
        <v>31</v>
      </c>
      <c r="E1070" s="21">
        <f t="shared" si="47"/>
        <v>37684.849999999999</v>
      </c>
      <c r="F1070" s="22">
        <v>4.0000000000000001e-002</v>
      </c>
      <c r="G1070" s="21">
        <f t="shared" si="48"/>
        <v>37190.769999999997</v>
      </c>
      <c r="H1070" s="22">
        <v>5.0000000000000003e-002</v>
      </c>
      <c r="I1070" s="23" t="str">
        <f t="shared" si="49"/>
        <v xml:space="preserve">COM VALOR</v>
      </c>
      <c r="J1070" s="19"/>
      <c r="L1070" s="21">
        <v>37684.849999999999</v>
      </c>
      <c r="M1070" s="22">
        <v>1.e-002</v>
      </c>
      <c r="N1070" s="21">
        <v>37190.769999999997</v>
      </c>
      <c r="O1070" s="22">
        <v>1.e-002</v>
      </c>
    </row>
    <row r="1071" ht="25.5">
      <c r="A1071" t="s">
        <v>1037</v>
      </c>
      <c r="B1071" s="19">
        <v>102790</v>
      </c>
      <c r="C1071" s="20" t="s">
        <v>1108</v>
      </c>
      <c r="D1071" s="19" t="s">
        <v>31</v>
      </c>
      <c r="E1071" s="21">
        <f t="shared" si="47"/>
        <v>33802.879999999997</v>
      </c>
      <c r="F1071" s="22">
        <v>1.e-002</v>
      </c>
      <c r="G1071" s="21">
        <f t="shared" si="48"/>
        <v>33382.440000000002</v>
      </c>
      <c r="H1071" s="22">
        <v>1.e-002</v>
      </c>
      <c r="I1071" s="23" t="str">
        <f t="shared" si="49"/>
        <v xml:space="preserve">COM VALOR</v>
      </c>
      <c r="J1071" s="19"/>
      <c r="L1071" s="21">
        <v>33802.879999999997</v>
      </c>
      <c r="M1071" s="22">
        <v>2.e-002</v>
      </c>
      <c r="N1071" s="21">
        <v>33382.440000000002</v>
      </c>
      <c r="O1071" s="22">
        <v>2.e-002</v>
      </c>
    </row>
    <row r="1072" ht="25.5">
      <c r="A1072" t="s">
        <v>1037</v>
      </c>
      <c r="B1072" s="19">
        <v>102785</v>
      </c>
      <c r="C1072" s="20" t="s">
        <v>1109</v>
      </c>
      <c r="D1072" s="19" t="s">
        <v>31</v>
      </c>
      <c r="E1072" s="21">
        <f t="shared" si="47"/>
        <v>8742.2399999999998</v>
      </c>
      <c r="F1072" s="22">
        <v>4.0000000000000001e-002</v>
      </c>
      <c r="G1072" s="21">
        <f t="shared" si="48"/>
        <v>8598</v>
      </c>
      <c r="H1072" s="22">
        <v>5.0000000000000003e-002</v>
      </c>
      <c r="I1072" s="23" t="str">
        <f t="shared" si="49"/>
        <v xml:space="preserve">COM VALOR</v>
      </c>
      <c r="J1072" s="19"/>
      <c r="L1072" s="21">
        <v>8742.2399999999998</v>
      </c>
      <c r="M1072" s="22">
        <v>2.e-002</v>
      </c>
      <c r="N1072" s="21">
        <v>8598</v>
      </c>
      <c r="O1072" s="22">
        <v>2.e-002</v>
      </c>
    </row>
    <row r="1073" ht="25.5">
      <c r="A1073" t="s">
        <v>1037</v>
      </c>
      <c r="B1073" s="19">
        <v>102786</v>
      </c>
      <c r="C1073" s="20" t="s">
        <v>1110</v>
      </c>
      <c r="D1073" s="19" t="s">
        <v>31</v>
      </c>
      <c r="E1073" s="21">
        <f t="shared" si="47"/>
        <v>9662.2600000000002</v>
      </c>
      <c r="F1073" s="22">
        <v>0</v>
      </c>
      <c r="G1073" s="21">
        <f t="shared" si="48"/>
        <v>9517.3400000000001</v>
      </c>
      <c r="H1073" s="22">
        <v>0</v>
      </c>
      <c r="I1073" s="23" t="str">
        <f t="shared" si="49"/>
        <v xml:space="preserve">COM VALOR</v>
      </c>
      <c r="J1073" s="19"/>
      <c r="L1073" s="21">
        <v>9662.2600000000002</v>
      </c>
      <c r="M1073" s="22">
        <v>2.e-002</v>
      </c>
      <c r="N1073" s="21">
        <v>9517.3400000000001</v>
      </c>
      <c r="O1073" s="22">
        <v>2.e-002</v>
      </c>
    </row>
    <row r="1074" ht="25.5">
      <c r="A1074" t="s">
        <v>1037</v>
      </c>
      <c r="B1074" s="19">
        <v>102787</v>
      </c>
      <c r="C1074" s="20" t="s">
        <v>1111</v>
      </c>
      <c r="D1074" s="19" t="s">
        <v>31</v>
      </c>
      <c r="E1074" s="21">
        <f t="shared" si="47"/>
        <v>14347.360000000001</v>
      </c>
      <c r="F1074" s="22">
        <v>4.0000000000000001e-002</v>
      </c>
      <c r="G1074" s="21">
        <f t="shared" si="48"/>
        <v>14125.639999999999</v>
      </c>
      <c r="H1074" s="22">
        <v>4.0000000000000001e-002</v>
      </c>
      <c r="I1074" s="23" t="str">
        <f t="shared" si="49"/>
        <v xml:space="preserve">COM VALOR</v>
      </c>
      <c r="J1074" s="19"/>
      <c r="L1074" s="21">
        <v>14347.360000000001</v>
      </c>
      <c r="M1074" s="22">
        <v>2.e-002</v>
      </c>
      <c r="N1074" s="21">
        <v>14125.639999999999</v>
      </c>
      <c r="O1074" s="22">
        <v>2.e-002</v>
      </c>
    </row>
    <row r="1075" ht="25.5">
      <c r="A1075" t="s">
        <v>1037</v>
      </c>
      <c r="B1075" s="19">
        <v>102736</v>
      </c>
      <c r="C1075" s="20" t="s">
        <v>1112</v>
      </c>
      <c r="D1075" s="19" t="s">
        <v>121</v>
      </c>
      <c r="E1075" s="21">
        <f t="shared" si="47"/>
        <v>714.95000000000005</v>
      </c>
      <c r="F1075" s="22">
        <v>0</v>
      </c>
      <c r="G1075" s="21">
        <f t="shared" si="48"/>
        <v>712.28999999999996</v>
      </c>
      <c r="H1075" s="22">
        <v>0</v>
      </c>
      <c r="I1075" s="23" t="str">
        <f t="shared" si="49"/>
        <v xml:space="preserve">COM VALOR</v>
      </c>
      <c r="J1075" s="19"/>
      <c r="L1075" s="21">
        <v>714.95000000000005</v>
      </c>
      <c r="M1075" s="22">
        <v>0</v>
      </c>
      <c r="N1075" s="21">
        <v>712.28999999999996</v>
      </c>
      <c r="O1075" s="22">
        <v>0</v>
      </c>
    </row>
    <row r="1076" ht="38.25">
      <c r="A1076" t="s">
        <v>1037</v>
      </c>
      <c r="B1076" s="19">
        <v>102727</v>
      </c>
      <c r="C1076" s="20" t="s">
        <v>1113</v>
      </c>
      <c r="D1076" s="19" t="s">
        <v>29</v>
      </c>
      <c r="E1076" s="21">
        <f t="shared" si="47"/>
        <v>97.390000000000001</v>
      </c>
      <c r="F1076" s="22"/>
      <c r="G1076" s="21">
        <f t="shared" si="48"/>
        <v>94.719999999999999</v>
      </c>
      <c r="H1076" s="22"/>
      <c r="I1076" s="23" t="str">
        <f t="shared" si="49"/>
        <v xml:space="preserve">COM VALOR</v>
      </c>
      <c r="J1076" s="19"/>
      <c r="L1076" s="21">
        <v>97.390000000000001</v>
      </c>
      <c r="M1076" s="22">
        <v>0</v>
      </c>
      <c r="N1076" s="21">
        <v>94.719999999999999</v>
      </c>
      <c r="O1076" s="22">
        <v>0</v>
      </c>
    </row>
    <row r="1077" ht="25.5">
      <c r="A1077" t="s">
        <v>1114</v>
      </c>
      <c r="B1077" s="19">
        <v>102111</v>
      </c>
      <c r="C1077" s="20" t="s">
        <v>1115</v>
      </c>
      <c r="D1077" s="19" t="s">
        <v>31</v>
      </c>
      <c r="E1077" s="21">
        <f t="shared" si="47"/>
        <v>1005.67</v>
      </c>
      <c r="F1077" s="22">
        <v>0</v>
      </c>
      <c r="G1077" s="21">
        <f t="shared" si="48"/>
        <v>994.79999999999995</v>
      </c>
      <c r="H1077" s="22">
        <v>0</v>
      </c>
      <c r="I1077" s="23" t="str">
        <f t="shared" si="49"/>
        <v xml:space="preserve">COM VALOR</v>
      </c>
      <c r="J1077" s="19"/>
      <c r="L1077" s="21">
        <v>1005.67</v>
      </c>
      <c r="M1077" s="22">
        <v>1.e-002</v>
      </c>
      <c r="N1077" s="21">
        <v>994.79999999999995</v>
      </c>
      <c r="O1077" s="22">
        <v>1.e-002</v>
      </c>
    </row>
    <row r="1078" ht="25.5">
      <c r="A1078" t="s">
        <v>1114</v>
      </c>
      <c r="B1078" s="19">
        <v>102113</v>
      </c>
      <c r="C1078" s="20" t="s">
        <v>1116</v>
      </c>
      <c r="D1078" s="19" t="s">
        <v>31</v>
      </c>
      <c r="E1078" s="21">
        <f t="shared" si="47"/>
        <v>1561.9100000000001</v>
      </c>
      <c r="F1078" s="22">
        <v>2.9999999999999999e-002</v>
      </c>
      <c r="G1078" s="21">
        <f t="shared" si="48"/>
        <v>1550.8399999999999</v>
      </c>
      <c r="H1078" s="22">
        <v>2.9999999999999999e-002</v>
      </c>
      <c r="I1078" s="23" t="str">
        <f t="shared" si="49"/>
        <v xml:space="preserve">COM VALOR</v>
      </c>
      <c r="J1078" s="19"/>
      <c r="L1078" s="21">
        <v>1561.9100000000001</v>
      </c>
      <c r="M1078" s="22">
        <v>0</v>
      </c>
      <c r="N1078" s="21">
        <v>1550.8399999999999</v>
      </c>
      <c r="O1078" s="22">
        <v>0</v>
      </c>
    </row>
    <row r="1079" ht="25.5">
      <c r="A1079" t="s">
        <v>1114</v>
      </c>
      <c r="B1079" s="19">
        <v>102116</v>
      </c>
      <c r="C1079" s="20" t="s">
        <v>1117</v>
      </c>
      <c r="D1079" s="19" t="s">
        <v>31</v>
      </c>
      <c r="E1079" s="21">
        <f t="shared" si="47"/>
        <v>1663.9000000000001</v>
      </c>
      <c r="F1079" s="22">
        <v>0</v>
      </c>
      <c r="G1079" s="21">
        <f t="shared" si="48"/>
        <v>1652.5899999999999</v>
      </c>
      <c r="H1079" s="22">
        <v>0</v>
      </c>
      <c r="I1079" s="23" t="str">
        <f t="shared" si="49"/>
        <v xml:space="preserve">COM VALOR</v>
      </c>
      <c r="J1079" s="19"/>
      <c r="L1079" s="21">
        <v>1663.9000000000001</v>
      </c>
      <c r="M1079" s="22">
        <v>0</v>
      </c>
      <c r="N1079" s="21">
        <v>1652.5899999999999</v>
      </c>
      <c r="O1079" s="22">
        <v>0</v>
      </c>
    </row>
    <row r="1080" ht="38.25">
      <c r="A1080" t="s">
        <v>1114</v>
      </c>
      <c r="B1080" s="19">
        <v>102132</v>
      </c>
      <c r="C1080" s="20" t="s">
        <v>1118</v>
      </c>
      <c r="D1080" s="19" t="s">
        <v>31</v>
      </c>
      <c r="E1080" s="21" t="str">
        <f t="shared" si="47"/>
        <v>VERIFICAR</v>
      </c>
      <c r="F1080" s="22">
        <v>4.0000000000000001e-002</v>
      </c>
      <c r="G1080" s="21" t="str">
        <f t="shared" si="48"/>
        <v>VERIFICAR</v>
      </c>
      <c r="H1080" s="22">
        <v>4.0000000000000001e-002</v>
      </c>
      <c r="I1080" s="23" t="str">
        <f t="shared" si="49"/>
        <v xml:space="preserve">COM VALOR</v>
      </c>
      <c r="J1080" s="19"/>
      <c r="L1080" s="21">
        <v>0</v>
      </c>
      <c r="M1080" s="22"/>
      <c r="N1080" s="21">
        <v>0</v>
      </c>
      <c r="O1080" s="22"/>
    </row>
    <row r="1081" ht="25.5">
      <c r="A1081" t="s">
        <v>1114</v>
      </c>
      <c r="B1081" s="19">
        <v>102115</v>
      </c>
      <c r="C1081" s="20" t="s">
        <v>1119</v>
      </c>
      <c r="D1081" s="19" t="s">
        <v>31</v>
      </c>
      <c r="E1081" s="21">
        <f t="shared" si="47"/>
        <v>2624.7199999999998</v>
      </c>
      <c r="F1081" s="22">
        <v>0</v>
      </c>
      <c r="G1081" s="21">
        <f t="shared" si="48"/>
        <v>2613.4099999999999</v>
      </c>
      <c r="H1081" s="22">
        <v>0</v>
      </c>
      <c r="I1081" s="23" t="str">
        <f t="shared" si="49"/>
        <v xml:space="preserve">COM VALOR</v>
      </c>
      <c r="J1081" s="19"/>
      <c r="L1081" s="21">
        <v>2624.7199999999998</v>
      </c>
      <c r="M1081" s="22">
        <v>0</v>
      </c>
      <c r="N1081" s="21">
        <v>2613.4099999999999</v>
      </c>
      <c r="O1081" s="22">
        <v>0</v>
      </c>
    </row>
    <row r="1082" ht="25.5">
      <c r="A1082" t="s">
        <v>1114</v>
      </c>
      <c r="B1082" s="19">
        <v>102122</v>
      </c>
      <c r="C1082" s="20" t="s">
        <v>1120</v>
      </c>
      <c r="D1082" s="19" t="s">
        <v>31</v>
      </c>
      <c r="E1082" s="21">
        <f t="shared" si="47"/>
        <v>7428.0699999999997</v>
      </c>
      <c r="F1082" s="22"/>
      <c r="G1082" s="21">
        <f t="shared" si="48"/>
        <v>7413.8500000000004</v>
      </c>
      <c r="H1082" s="22"/>
      <c r="I1082" s="23" t="str">
        <f t="shared" si="49"/>
        <v xml:space="preserve">COM VALOR</v>
      </c>
      <c r="J1082" s="19"/>
      <c r="L1082" s="21">
        <v>7428.0699999999997</v>
      </c>
      <c r="M1082" s="22">
        <v>0</v>
      </c>
      <c r="N1082" s="21">
        <v>7413.8500000000004</v>
      </c>
      <c r="O1082" s="22">
        <v>0</v>
      </c>
    </row>
    <row r="1083" ht="25.5">
      <c r="A1083" t="s">
        <v>1114</v>
      </c>
      <c r="B1083" s="19">
        <v>102118</v>
      </c>
      <c r="C1083" s="20" t="s">
        <v>1121</v>
      </c>
      <c r="D1083" s="19" t="s">
        <v>31</v>
      </c>
      <c r="E1083" s="21">
        <f t="shared" si="47"/>
        <v>2243.4200000000001</v>
      </c>
      <c r="F1083" s="22"/>
      <c r="G1083" s="21">
        <f t="shared" si="48"/>
        <v>2231.9099999999999</v>
      </c>
      <c r="H1083" s="22"/>
      <c r="I1083" s="23" t="str">
        <f t="shared" si="49"/>
        <v xml:space="preserve">COM VALOR</v>
      </c>
      <c r="J1083" s="19"/>
      <c r="L1083" s="21">
        <v>2243.4200000000001</v>
      </c>
      <c r="M1083" s="22">
        <v>0</v>
      </c>
      <c r="N1083" s="21">
        <v>2231.9099999999999</v>
      </c>
      <c r="O1083" s="22">
        <v>0</v>
      </c>
    </row>
    <row r="1084" ht="38.25">
      <c r="A1084" t="s">
        <v>1114</v>
      </c>
      <c r="B1084" s="19">
        <v>102133</v>
      </c>
      <c r="C1084" s="20" t="s">
        <v>1122</v>
      </c>
      <c r="D1084" s="19" t="s">
        <v>31</v>
      </c>
      <c r="E1084" s="21" t="str">
        <f t="shared" si="47"/>
        <v>VERIFICAR</v>
      </c>
      <c r="F1084" s="22"/>
      <c r="G1084" s="21" t="str">
        <f t="shared" si="48"/>
        <v>VERIFICAR</v>
      </c>
      <c r="H1084" s="22"/>
      <c r="I1084" s="23" t="str">
        <f t="shared" si="49"/>
        <v xml:space="preserve">COM VALOR</v>
      </c>
      <c r="J1084" s="19"/>
      <c r="L1084" s="21">
        <v>0</v>
      </c>
      <c r="M1084" s="22"/>
      <c r="N1084" s="21">
        <v>0</v>
      </c>
      <c r="O1084" s="22"/>
    </row>
    <row r="1085" ht="25.5">
      <c r="A1085" t="s">
        <v>1114</v>
      </c>
      <c r="B1085" s="19">
        <v>102126</v>
      </c>
      <c r="C1085" s="20" t="s">
        <v>1123</v>
      </c>
      <c r="D1085" s="19" t="s">
        <v>31</v>
      </c>
      <c r="E1085" s="21">
        <f t="shared" si="47"/>
        <v>15276.059999999999</v>
      </c>
      <c r="F1085" s="22">
        <v>0</v>
      </c>
      <c r="G1085" s="21">
        <f t="shared" si="48"/>
        <v>15257.43</v>
      </c>
      <c r="H1085" s="22">
        <v>0</v>
      </c>
      <c r="I1085" s="23" t="str">
        <f t="shared" si="49"/>
        <v xml:space="preserve">COM VALOR</v>
      </c>
      <c r="J1085" s="19"/>
      <c r="L1085" s="21">
        <v>15276.059999999999</v>
      </c>
      <c r="M1085" s="22">
        <v>1.e-002</v>
      </c>
      <c r="N1085" s="21">
        <v>15257.43</v>
      </c>
      <c r="O1085" s="22">
        <v>1.e-002</v>
      </c>
    </row>
    <row r="1086" ht="25.5">
      <c r="A1086" t="s">
        <v>1114</v>
      </c>
      <c r="B1086" s="19">
        <v>102137</v>
      </c>
      <c r="C1086" s="20" t="s">
        <v>1124</v>
      </c>
      <c r="D1086" s="19" t="s">
        <v>31</v>
      </c>
      <c r="E1086" s="21">
        <f t="shared" si="47"/>
        <v>142.06999999999999</v>
      </c>
      <c r="F1086" s="22">
        <v>0</v>
      </c>
      <c r="G1086" s="21">
        <f t="shared" si="48"/>
        <v>137.47999999999999</v>
      </c>
      <c r="H1086" s="22">
        <v>0</v>
      </c>
      <c r="I1086" s="23" t="str">
        <f t="shared" si="49"/>
        <v xml:space="preserve">COM VALOR</v>
      </c>
      <c r="J1086" s="19"/>
      <c r="L1086" s="21">
        <v>142.06999999999999</v>
      </c>
      <c r="M1086" s="22">
        <v>0</v>
      </c>
      <c r="N1086" s="21">
        <v>137.47999999999999</v>
      </c>
      <c r="O1086" s="22">
        <v>0</v>
      </c>
    </row>
    <row r="1087" ht="25.5">
      <c r="A1087" t="s">
        <v>1114</v>
      </c>
      <c r="B1087" s="19">
        <v>106258</v>
      </c>
      <c r="C1087" s="20" t="s">
        <v>1125</v>
      </c>
      <c r="D1087" s="19" t="s">
        <v>31</v>
      </c>
      <c r="E1087" s="21" t="str">
        <f t="shared" si="47"/>
        <v>VERIFICAR</v>
      </c>
      <c r="F1087" s="22">
        <v>2.9999999999999999e-002</v>
      </c>
      <c r="G1087" s="21" t="str">
        <f t="shared" si="48"/>
        <v>VERIFICAR</v>
      </c>
      <c r="H1087" s="22">
        <v>2.9999999999999999e-002</v>
      </c>
      <c r="I1087" s="23" t="str">
        <f t="shared" si="49"/>
        <v xml:space="preserve">COM VALOR</v>
      </c>
      <c r="J1087" s="19"/>
      <c r="L1087" s="21">
        <v>0</v>
      </c>
      <c r="M1087" s="22"/>
      <c r="N1087" s="21">
        <v>0</v>
      </c>
      <c r="O1087" s="22"/>
    </row>
    <row r="1088" ht="25.5">
      <c r="A1088" t="s">
        <v>1114</v>
      </c>
      <c r="B1088" s="19">
        <v>102112</v>
      </c>
      <c r="C1088" s="20" t="s">
        <v>1126</v>
      </c>
      <c r="D1088" s="19" t="s">
        <v>31</v>
      </c>
      <c r="E1088" s="21">
        <f t="shared" si="47"/>
        <v>199.40000000000001</v>
      </c>
      <c r="F1088" s="22"/>
      <c r="G1088" s="21">
        <f t="shared" si="48"/>
        <v>188.53</v>
      </c>
      <c r="H1088" s="22"/>
      <c r="I1088" s="23" t="str">
        <f t="shared" si="49"/>
        <v xml:space="preserve">COM VALOR</v>
      </c>
      <c r="J1088" s="19"/>
      <c r="L1088" s="21">
        <v>199.40000000000001</v>
      </c>
      <c r="M1088" s="22">
        <v>2.9999999999999999e-002</v>
      </c>
      <c r="N1088" s="21">
        <v>188.53</v>
      </c>
      <c r="O1088" s="22">
        <v>2.9999999999999999e-002</v>
      </c>
    </row>
    <row r="1089" ht="25.5">
      <c r="A1089" t="s">
        <v>1114</v>
      </c>
      <c r="B1089" s="19">
        <v>102114</v>
      </c>
      <c r="C1089" s="20" t="s">
        <v>1127</v>
      </c>
      <c r="D1089" s="19" t="s">
        <v>31</v>
      </c>
      <c r="E1089" s="21">
        <f t="shared" si="47"/>
        <v>202.80000000000001</v>
      </c>
      <c r="F1089" s="22">
        <v>2.9999999999999999e-002</v>
      </c>
      <c r="G1089" s="21">
        <f t="shared" si="48"/>
        <v>191.72999999999999</v>
      </c>
      <c r="H1089" s="22">
        <v>2.9999999999999999e-002</v>
      </c>
      <c r="I1089" s="23" t="str">
        <f t="shared" si="49"/>
        <v xml:space="preserve">COM VALOR</v>
      </c>
      <c r="J1089" s="19"/>
      <c r="L1089" s="21">
        <v>202.80000000000001</v>
      </c>
      <c r="M1089" s="22">
        <v>2.9999999999999999e-002</v>
      </c>
      <c r="N1089" s="21">
        <v>191.72999999999999</v>
      </c>
      <c r="O1089" s="22">
        <v>2.9999999999999999e-002</v>
      </c>
    </row>
    <row r="1090" ht="25.5">
      <c r="A1090" t="s">
        <v>1114</v>
      </c>
      <c r="B1090" s="19">
        <v>102117</v>
      </c>
      <c r="C1090" s="20" t="s">
        <v>1128</v>
      </c>
      <c r="D1090" s="19" t="s">
        <v>31</v>
      </c>
      <c r="E1090" s="21">
        <f t="shared" si="47"/>
        <v>206.93000000000001</v>
      </c>
      <c r="F1090" s="22"/>
      <c r="G1090" s="21">
        <f t="shared" si="48"/>
        <v>195.62</v>
      </c>
      <c r="H1090" s="22"/>
      <c r="I1090" s="23" t="str">
        <f t="shared" si="49"/>
        <v xml:space="preserve">COM VALOR</v>
      </c>
      <c r="J1090" s="19"/>
      <c r="L1090" s="21">
        <v>206.93000000000001</v>
      </c>
      <c r="M1090" s="22">
        <v>2.e-002</v>
      </c>
      <c r="N1090" s="21">
        <v>195.62</v>
      </c>
      <c r="O1090" s="22">
        <v>2.9999999999999999e-002</v>
      </c>
    </row>
    <row r="1091" ht="25.5">
      <c r="A1091" t="s">
        <v>1114</v>
      </c>
      <c r="B1091" s="19">
        <v>102123</v>
      </c>
      <c r="C1091" s="20" t="s">
        <v>1129</v>
      </c>
      <c r="D1091" s="19" t="s">
        <v>31</v>
      </c>
      <c r="E1091" s="21">
        <f t="shared" si="47"/>
        <v>258.23000000000002</v>
      </c>
      <c r="F1091" s="22"/>
      <c r="G1091" s="21">
        <f t="shared" si="48"/>
        <v>244.00999999999999</v>
      </c>
      <c r="H1091" s="22"/>
      <c r="I1091" s="23" t="str">
        <f t="shared" si="49"/>
        <v xml:space="preserve">COM VALOR</v>
      </c>
      <c r="J1091" s="19"/>
      <c r="L1091" s="21">
        <v>258.23000000000002</v>
      </c>
      <c r="M1091" s="22">
        <v>2.e-002</v>
      </c>
      <c r="N1091" s="21">
        <v>244.00999999999999</v>
      </c>
      <c r="O1091" s="22">
        <v>2.e-002</v>
      </c>
    </row>
    <row r="1092" ht="25.5">
      <c r="A1092" t="s">
        <v>1114</v>
      </c>
      <c r="B1092" s="19">
        <v>102119</v>
      </c>
      <c r="C1092" s="20" t="s">
        <v>1130</v>
      </c>
      <c r="D1092" s="19" t="s">
        <v>31</v>
      </c>
      <c r="E1092" s="21">
        <f t="shared" si="47"/>
        <v>210.49000000000001</v>
      </c>
      <c r="F1092" s="22"/>
      <c r="G1092" s="21">
        <f t="shared" si="48"/>
        <v>198.97999999999999</v>
      </c>
      <c r="H1092" s="22"/>
      <c r="I1092" s="23" t="str">
        <f t="shared" si="49"/>
        <v xml:space="preserve">COM VALOR</v>
      </c>
      <c r="J1092" s="19"/>
      <c r="L1092" s="21">
        <v>210.49000000000001</v>
      </c>
      <c r="M1092" s="22">
        <v>2.e-002</v>
      </c>
      <c r="N1092" s="21">
        <v>198.97999999999999</v>
      </c>
      <c r="O1092" s="22">
        <v>2.9999999999999999e-002</v>
      </c>
    </row>
    <row r="1093" ht="25.5">
      <c r="A1093" t="s">
        <v>1114</v>
      </c>
      <c r="B1093" s="19">
        <v>102127</v>
      </c>
      <c r="C1093" s="20" t="s">
        <v>1131</v>
      </c>
      <c r="D1093" s="19" t="s">
        <v>31</v>
      </c>
      <c r="E1093" s="21">
        <f t="shared" si="47"/>
        <v>819.80999999999995</v>
      </c>
      <c r="F1093" s="22"/>
      <c r="G1093" s="21">
        <f t="shared" si="48"/>
        <v>801.17999999999995</v>
      </c>
      <c r="H1093" s="22"/>
      <c r="I1093" s="23" t="str">
        <f t="shared" si="49"/>
        <v xml:space="preserve">COM VALOR</v>
      </c>
      <c r="J1093" s="19"/>
      <c r="L1093" s="21">
        <v>819.80999999999995</v>
      </c>
      <c r="M1093" s="22">
        <v>0.11</v>
      </c>
      <c r="N1093" s="21">
        <v>801.17999999999995</v>
      </c>
      <c r="O1093" s="22">
        <v>0.11</v>
      </c>
    </row>
    <row r="1094" ht="25.5">
      <c r="A1094" t="s">
        <v>1114</v>
      </c>
      <c r="B1094" s="19">
        <v>102121</v>
      </c>
      <c r="C1094" s="20" t="s">
        <v>1132</v>
      </c>
      <c r="D1094" s="19" t="s">
        <v>31</v>
      </c>
      <c r="E1094" s="21">
        <f t="shared" si="47"/>
        <v>247.63999999999999</v>
      </c>
      <c r="F1094" s="22"/>
      <c r="G1094" s="21">
        <f t="shared" si="48"/>
        <v>234.03</v>
      </c>
      <c r="H1094" s="22"/>
      <c r="I1094" s="23" t="str">
        <f t="shared" si="49"/>
        <v xml:space="preserve">COM VALOR</v>
      </c>
      <c r="J1094" s="19"/>
      <c r="L1094" s="21">
        <v>247.63999999999999</v>
      </c>
      <c r="M1094" s="22">
        <v>2.e-002</v>
      </c>
      <c r="N1094" s="21">
        <v>234.03</v>
      </c>
      <c r="O1094" s="22">
        <v>2.e-002</v>
      </c>
    </row>
    <row r="1095" ht="25.5">
      <c r="A1095" t="s">
        <v>1114</v>
      </c>
      <c r="B1095" s="19">
        <v>102138</v>
      </c>
      <c r="C1095" s="20" t="s">
        <v>1133</v>
      </c>
      <c r="D1095" s="19" t="s">
        <v>31</v>
      </c>
      <c r="E1095" s="21">
        <f t="shared" si="47"/>
        <v>275.44999999999999</v>
      </c>
      <c r="F1095" s="22"/>
      <c r="G1095" s="21">
        <f t="shared" si="48"/>
        <v>260.26999999999998</v>
      </c>
      <c r="H1095" s="22"/>
      <c r="I1095" s="23" t="str">
        <f t="shared" si="49"/>
        <v xml:space="preserve">COM VALOR</v>
      </c>
      <c r="J1095" s="19"/>
      <c r="L1095" s="21">
        <v>275.44999999999999</v>
      </c>
      <c r="M1095" s="22">
        <v>2.e-002</v>
      </c>
      <c r="N1095" s="21">
        <v>260.26999999999998</v>
      </c>
      <c r="O1095" s="22">
        <v>2.e-002</v>
      </c>
    </row>
    <row r="1096" ht="25.5">
      <c r="A1096" t="s">
        <v>1114</v>
      </c>
      <c r="B1096" s="19">
        <v>102129</v>
      </c>
      <c r="C1096" s="20" t="s">
        <v>1134</v>
      </c>
      <c r="D1096" s="19" t="s">
        <v>31</v>
      </c>
      <c r="E1096" s="21">
        <f t="shared" si="47"/>
        <v>1078.4000000000001</v>
      </c>
      <c r="F1096" s="22"/>
      <c r="G1096" s="21">
        <f t="shared" si="48"/>
        <v>1056.45</v>
      </c>
      <c r="H1096" s="22"/>
      <c r="I1096" s="23" t="str">
        <f t="shared" si="49"/>
        <v xml:space="preserve">COM VALOR</v>
      </c>
      <c r="J1096" s="19"/>
      <c r="L1096" s="21">
        <v>1078.4000000000001</v>
      </c>
      <c r="M1096" s="22">
        <v>0.27000000000000002</v>
      </c>
      <c r="N1096" s="21">
        <v>1056.45</v>
      </c>
      <c r="O1096" s="22">
        <v>0.27000000000000002</v>
      </c>
    </row>
    <row r="1097" ht="25.5">
      <c r="A1097" t="s">
        <v>1114</v>
      </c>
      <c r="B1097" s="19">
        <v>102131</v>
      </c>
      <c r="C1097" s="20" t="s">
        <v>1135</v>
      </c>
      <c r="D1097" s="19" t="s">
        <v>31</v>
      </c>
      <c r="E1097" s="21">
        <f t="shared" si="47"/>
        <v>1154.46</v>
      </c>
      <c r="F1097" s="22"/>
      <c r="G1097" s="21">
        <f t="shared" si="48"/>
        <v>1128.1900000000001</v>
      </c>
      <c r="H1097" s="22"/>
      <c r="I1097" s="23" t="str">
        <f t="shared" si="49"/>
        <v xml:space="preserve">COM VALOR</v>
      </c>
      <c r="J1097" s="19"/>
      <c r="L1097" s="21">
        <v>1154.46</v>
      </c>
      <c r="M1097" s="22">
        <v>0.25</v>
      </c>
      <c r="N1097" s="21">
        <v>1128.1900000000001</v>
      </c>
      <c r="O1097" s="22">
        <v>0.25</v>
      </c>
    </row>
    <row r="1098" ht="25.5">
      <c r="A1098" t="s">
        <v>1114</v>
      </c>
      <c r="B1098" s="19">
        <v>102120</v>
      </c>
      <c r="C1098" s="20" t="s">
        <v>1136</v>
      </c>
      <c r="D1098" s="19" t="s">
        <v>31</v>
      </c>
      <c r="E1098" s="21" t="str">
        <f t="shared" si="47"/>
        <v>VERIFICAR</v>
      </c>
      <c r="F1098" s="22"/>
      <c r="G1098" s="21" t="str">
        <f t="shared" si="48"/>
        <v>VERIFICAR</v>
      </c>
      <c r="H1098" s="22"/>
      <c r="I1098" s="23" t="str">
        <f t="shared" si="49"/>
        <v xml:space="preserve">COM VALOR</v>
      </c>
      <c r="J1098" s="19"/>
      <c r="L1098" s="21">
        <v>0</v>
      </c>
      <c r="M1098" s="22"/>
      <c r="N1098" s="21">
        <v>0</v>
      </c>
      <c r="O1098" s="22"/>
    </row>
    <row r="1099" ht="25.5">
      <c r="A1099" t="s">
        <v>1114</v>
      </c>
      <c r="B1099" s="19">
        <v>102334</v>
      </c>
      <c r="C1099" s="20" t="s">
        <v>1137</v>
      </c>
      <c r="D1099" s="19" t="s">
        <v>31</v>
      </c>
      <c r="E1099" s="21" t="str">
        <f t="shared" ref="E1099:E1162" si="50">IF(L1099=0,"VERIFICAR",L1099)</f>
        <v>VERIFICAR</v>
      </c>
      <c r="F1099" s="22"/>
      <c r="G1099" s="21" t="str">
        <f t="shared" ref="G1099:G1162" si="51">IF(N1099=0,"VERIFICAR",N1099)</f>
        <v>VERIFICAR</v>
      </c>
      <c r="H1099" s="22"/>
      <c r="I1099" s="23" t="str">
        <f t="shared" ref="I1099:I1162" si="52">IF(OR(E1099=0,G1099=0),"SEM VALOR","COM VALOR")</f>
        <v xml:space="preserve">COM VALOR</v>
      </c>
      <c r="J1099" s="19"/>
      <c r="L1099" s="21">
        <v>0</v>
      </c>
      <c r="M1099" s="22"/>
      <c r="N1099" s="21">
        <v>0</v>
      </c>
      <c r="O1099" s="22"/>
    </row>
    <row r="1100" ht="25.5">
      <c r="A1100" t="s">
        <v>1114</v>
      </c>
      <c r="B1100" s="19">
        <v>102128</v>
      </c>
      <c r="C1100" s="20" t="s">
        <v>1138</v>
      </c>
      <c r="D1100" s="19" t="s">
        <v>31</v>
      </c>
      <c r="E1100" s="21" t="str">
        <f t="shared" si="50"/>
        <v>VERIFICAR</v>
      </c>
      <c r="F1100" s="22"/>
      <c r="G1100" s="21" t="str">
        <f t="shared" si="51"/>
        <v>VERIFICAR</v>
      </c>
      <c r="H1100" s="22"/>
      <c r="I1100" s="23" t="str">
        <f t="shared" si="52"/>
        <v xml:space="preserve">COM VALOR</v>
      </c>
      <c r="J1100" s="19"/>
      <c r="L1100" s="21">
        <v>0</v>
      </c>
      <c r="M1100" s="22"/>
      <c r="N1100" s="21">
        <v>0</v>
      </c>
      <c r="O1100" s="22"/>
    </row>
    <row r="1101" ht="25.5">
      <c r="A1101" t="s">
        <v>1114</v>
      </c>
      <c r="B1101" s="19">
        <v>102130</v>
      </c>
      <c r="C1101" s="20" t="s">
        <v>1139</v>
      </c>
      <c r="D1101" s="19" t="s">
        <v>31</v>
      </c>
      <c r="E1101" s="21" t="str">
        <f t="shared" si="50"/>
        <v>VERIFICAR</v>
      </c>
      <c r="F1101" s="22">
        <v>0.32000000000000001</v>
      </c>
      <c r="G1101" s="21" t="str">
        <f t="shared" si="51"/>
        <v>VERIFICAR</v>
      </c>
      <c r="H1101" s="22">
        <v>0.33000000000000002</v>
      </c>
      <c r="I1101" s="23" t="str">
        <f t="shared" si="52"/>
        <v xml:space="preserve">COM VALOR</v>
      </c>
      <c r="J1101" s="19"/>
      <c r="L1101" s="21">
        <v>0</v>
      </c>
      <c r="M1101" s="22"/>
      <c r="N1101" s="21">
        <v>0</v>
      </c>
      <c r="O1101" s="22"/>
    </row>
    <row r="1102" ht="38.25">
      <c r="A1102" t="s">
        <v>1140</v>
      </c>
      <c r="B1102" s="19">
        <v>104941</v>
      </c>
      <c r="C1102" s="20" t="s">
        <v>1141</v>
      </c>
      <c r="D1102" s="19" t="s">
        <v>29</v>
      </c>
      <c r="E1102" s="21" t="str">
        <f t="shared" si="50"/>
        <v>VERIFICAR</v>
      </c>
      <c r="F1102" s="22">
        <v>0.23999999999999999</v>
      </c>
      <c r="G1102" s="21" t="str">
        <f t="shared" si="51"/>
        <v>VERIFICAR</v>
      </c>
      <c r="H1102" s="22">
        <v>0.23999999999999999</v>
      </c>
      <c r="I1102" s="23" t="str">
        <f t="shared" si="52"/>
        <v xml:space="preserve">COM VALOR</v>
      </c>
      <c r="J1102" s="19"/>
      <c r="L1102" s="21">
        <v>0</v>
      </c>
      <c r="M1102" s="22"/>
      <c r="N1102" s="21">
        <v>0</v>
      </c>
      <c r="O1102" s="22"/>
    </row>
    <row r="1103" ht="38.25">
      <c r="A1103" t="s">
        <v>1140</v>
      </c>
      <c r="B1103" s="19">
        <v>104942</v>
      </c>
      <c r="C1103" s="20" t="s">
        <v>1142</v>
      </c>
      <c r="D1103" s="19" t="s">
        <v>29</v>
      </c>
      <c r="E1103" s="21" t="str">
        <f t="shared" si="50"/>
        <v>VERIFICAR</v>
      </c>
      <c r="F1103" s="22">
        <v>0</v>
      </c>
      <c r="G1103" s="21" t="str">
        <f t="shared" si="51"/>
        <v>VERIFICAR</v>
      </c>
      <c r="H1103" s="22">
        <v>0</v>
      </c>
      <c r="I1103" s="23" t="str">
        <f t="shared" si="52"/>
        <v xml:space="preserve">COM VALOR</v>
      </c>
      <c r="J1103" s="19"/>
      <c r="L1103" s="21">
        <v>0</v>
      </c>
      <c r="M1103" s="22"/>
      <c r="N1103" s="21">
        <v>0</v>
      </c>
      <c r="O1103" s="22"/>
    </row>
    <row r="1104" ht="38.25">
      <c r="A1104" t="s">
        <v>1140</v>
      </c>
      <c r="B1104" s="19">
        <v>104940</v>
      </c>
      <c r="C1104" s="20" t="s">
        <v>1143</v>
      </c>
      <c r="D1104" s="19" t="s">
        <v>31</v>
      </c>
      <c r="E1104" s="21" t="str">
        <f t="shared" si="50"/>
        <v>VERIFICAR</v>
      </c>
      <c r="F1104" s="22">
        <v>0</v>
      </c>
      <c r="G1104" s="21" t="str">
        <f t="shared" si="51"/>
        <v>VERIFICAR</v>
      </c>
      <c r="H1104" s="22">
        <v>0</v>
      </c>
      <c r="I1104" s="23" t="str">
        <f t="shared" si="52"/>
        <v xml:space="preserve">COM VALOR</v>
      </c>
      <c r="J1104" s="19"/>
      <c r="L1104" s="21">
        <v>0</v>
      </c>
      <c r="M1104" s="22"/>
      <c r="N1104" s="21">
        <v>0</v>
      </c>
      <c r="O1104" s="22"/>
    </row>
    <row r="1105" ht="51">
      <c r="A1105" t="s">
        <v>1140</v>
      </c>
      <c r="B1105" s="19">
        <v>104943</v>
      </c>
      <c r="C1105" s="20" t="s">
        <v>1144</v>
      </c>
      <c r="D1105" s="19" t="s">
        <v>29</v>
      </c>
      <c r="E1105" s="21" t="str">
        <f t="shared" si="50"/>
        <v>VERIFICAR</v>
      </c>
      <c r="F1105" s="22">
        <v>0</v>
      </c>
      <c r="G1105" s="21" t="str">
        <f t="shared" si="51"/>
        <v>VERIFICAR</v>
      </c>
      <c r="H1105" s="22">
        <v>0</v>
      </c>
      <c r="I1105" s="23" t="str">
        <f t="shared" si="52"/>
        <v xml:space="preserve">COM VALOR</v>
      </c>
      <c r="J1105" s="19"/>
      <c r="L1105" s="21">
        <v>0</v>
      </c>
      <c r="M1105" s="22"/>
      <c r="N1105" s="21">
        <v>0</v>
      </c>
      <c r="O1105" s="22"/>
    </row>
    <row r="1106" ht="38.25">
      <c r="A1106" t="s">
        <v>1145</v>
      </c>
      <c r="B1106" s="19">
        <v>101801</v>
      </c>
      <c r="C1106" s="20" t="s">
        <v>1146</v>
      </c>
      <c r="D1106" s="19" t="s">
        <v>31</v>
      </c>
      <c r="E1106" s="21">
        <f t="shared" si="50"/>
        <v>1080.01</v>
      </c>
      <c r="F1106" s="22">
        <v>0</v>
      </c>
      <c r="G1106" s="21">
        <f t="shared" si="51"/>
        <v>1061.2</v>
      </c>
      <c r="H1106" s="22">
        <v>0</v>
      </c>
      <c r="I1106" s="23" t="str">
        <f t="shared" si="52"/>
        <v xml:space="preserve">COM VALOR</v>
      </c>
      <c r="J1106" s="19"/>
      <c r="L1106" s="21">
        <v>1080.01</v>
      </c>
      <c r="M1106" s="22">
        <v>0.29999999999999999</v>
      </c>
      <c r="N1106" s="21">
        <v>1061.2</v>
      </c>
      <c r="O1106" s="22">
        <v>0.31</v>
      </c>
    </row>
    <row r="1107" ht="38.25">
      <c r="A1107" t="s">
        <v>1145</v>
      </c>
      <c r="B1107" s="19">
        <v>101800</v>
      </c>
      <c r="C1107" s="20" t="s">
        <v>1147</v>
      </c>
      <c r="D1107" s="19" t="s">
        <v>31</v>
      </c>
      <c r="E1107" s="21">
        <f t="shared" si="50"/>
        <v>1478.4400000000001</v>
      </c>
      <c r="F1107" s="22">
        <v>0</v>
      </c>
      <c r="G1107" s="21">
        <f t="shared" si="51"/>
        <v>1448.1300000000001</v>
      </c>
      <c r="H1107" s="22">
        <v>0</v>
      </c>
      <c r="I1107" s="23" t="str">
        <f t="shared" si="52"/>
        <v xml:space="preserve">COM VALOR</v>
      </c>
      <c r="J1107" s="19"/>
      <c r="L1107" s="21">
        <v>1478.4400000000001</v>
      </c>
      <c r="M1107" s="22">
        <v>0.22</v>
      </c>
      <c r="N1107" s="21">
        <v>1448.1300000000001</v>
      </c>
      <c r="O1107" s="22">
        <v>0.23000000000000001</v>
      </c>
    </row>
    <row r="1108" ht="38.25">
      <c r="A1108" t="s">
        <v>1145</v>
      </c>
      <c r="B1108" s="19">
        <v>98108</v>
      </c>
      <c r="C1108" s="20" t="s">
        <v>1148</v>
      </c>
      <c r="D1108" s="19" t="s">
        <v>31</v>
      </c>
      <c r="E1108" s="21">
        <f t="shared" si="50"/>
        <v>511.43000000000001</v>
      </c>
      <c r="F1108" s="22">
        <v>0</v>
      </c>
      <c r="G1108" s="21">
        <f t="shared" si="51"/>
        <v>494.76999999999998</v>
      </c>
      <c r="H1108" s="22">
        <v>0</v>
      </c>
      <c r="I1108" s="23" t="str">
        <f t="shared" si="52"/>
        <v xml:space="preserve">COM VALOR</v>
      </c>
      <c r="J1108" s="19"/>
      <c r="L1108" s="21">
        <v>511.43000000000001</v>
      </c>
      <c r="M1108" s="22">
        <v>0</v>
      </c>
      <c r="N1108" s="21">
        <v>494.76999999999998</v>
      </c>
      <c r="O1108" s="22">
        <v>0</v>
      </c>
    </row>
    <row r="1109" ht="38.25">
      <c r="A1109" t="s">
        <v>1145</v>
      </c>
      <c r="B1109" s="19">
        <v>98105</v>
      </c>
      <c r="C1109" s="20" t="s">
        <v>1149</v>
      </c>
      <c r="D1109" s="19" t="s">
        <v>31</v>
      </c>
      <c r="E1109" s="21">
        <f t="shared" si="50"/>
        <v>653.91999999999996</v>
      </c>
      <c r="F1109" s="22">
        <v>0</v>
      </c>
      <c r="G1109" s="21">
        <f t="shared" si="51"/>
        <v>631.99000000000001</v>
      </c>
      <c r="H1109" s="22">
        <v>0</v>
      </c>
      <c r="I1109" s="23" t="str">
        <f t="shared" si="52"/>
        <v xml:space="preserve">COM VALOR</v>
      </c>
      <c r="J1109" s="19"/>
      <c r="L1109" s="21">
        <v>653.91999999999996</v>
      </c>
      <c r="M1109" s="22">
        <v>0</v>
      </c>
      <c r="N1109" s="21">
        <v>631.99000000000001</v>
      </c>
      <c r="O1109" s="22">
        <v>0</v>
      </c>
    </row>
    <row r="1110" ht="51">
      <c r="A1110" t="s">
        <v>1145</v>
      </c>
      <c r="B1110" s="19">
        <v>98109</v>
      </c>
      <c r="C1110" s="20" t="s">
        <v>1150</v>
      </c>
      <c r="D1110" s="19" t="s">
        <v>31</v>
      </c>
      <c r="E1110" s="21">
        <f t="shared" si="50"/>
        <v>831.35000000000002</v>
      </c>
      <c r="F1110" s="22">
        <v>0</v>
      </c>
      <c r="G1110" s="21">
        <f t="shared" si="51"/>
        <v>804.50999999999999</v>
      </c>
      <c r="H1110" s="22">
        <v>0</v>
      </c>
      <c r="I1110" s="23" t="str">
        <f t="shared" si="52"/>
        <v xml:space="preserve">COM VALOR</v>
      </c>
      <c r="J1110" s="19"/>
      <c r="L1110" s="21">
        <v>831.35000000000002</v>
      </c>
      <c r="M1110" s="22">
        <v>0</v>
      </c>
      <c r="N1110" s="21">
        <v>804.50999999999999</v>
      </c>
      <c r="O1110" s="22">
        <v>0</v>
      </c>
    </row>
    <row r="1111" ht="51">
      <c r="A1111" t="s">
        <v>1145</v>
      </c>
      <c r="B1111" s="19">
        <v>98106</v>
      </c>
      <c r="C1111" s="20" t="s">
        <v>1151</v>
      </c>
      <c r="D1111" s="19" t="s">
        <v>31</v>
      </c>
      <c r="E1111" s="21">
        <f t="shared" si="50"/>
        <v>1078.4000000000001</v>
      </c>
      <c r="F1111" s="22">
        <v>0</v>
      </c>
      <c r="G1111" s="21">
        <f t="shared" si="51"/>
        <v>1042.45</v>
      </c>
      <c r="H1111" s="22">
        <v>0</v>
      </c>
      <c r="I1111" s="23" t="str">
        <f t="shared" si="52"/>
        <v xml:space="preserve">COM VALOR</v>
      </c>
      <c r="J1111" s="19"/>
      <c r="L1111" s="21">
        <v>1078.4000000000001</v>
      </c>
      <c r="M1111" s="22">
        <v>0</v>
      </c>
      <c r="N1111" s="21">
        <v>1042.45</v>
      </c>
      <c r="O1111" s="22">
        <v>0</v>
      </c>
    </row>
    <row r="1112" ht="25.5">
      <c r="A1112" t="s">
        <v>1145</v>
      </c>
      <c r="B1112" s="19">
        <v>98110</v>
      </c>
      <c r="C1112" s="20" t="s">
        <v>1152</v>
      </c>
      <c r="D1112" s="19" t="s">
        <v>31</v>
      </c>
      <c r="E1112" s="21">
        <f t="shared" si="50"/>
        <v>434</v>
      </c>
      <c r="F1112" s="22">
        <v>0</v>
      </c>
      <c r="G1112" s="21">
        <f t="shared" si="51"/>
        <v>433.18000000000001</v>
      </c>
      <c r="H1112" s="22">
        <v>0</v>
      </c>
      <c r="I1112" s="23" t="str">
        <f t="shared" si="52"/>
        <v xml:space="preserve">COM VALOR</v>
      </c>
      <c r="J1112" s="19"/>
      <c r="L1112" s="21">
        <v>434</v>
      </c>
      <c r="M1112" s="22">
        <v>0</v>
      </c>
      <c r="N1112" s="21">
        <v>433.18000000000001</v>
      </c>
      <c r="O1112" s="22">
        <v>0</v>
      </c>
    </row>
    <row r="1113" ht="38.25">
      <c r="A1113" t="s">
        <v>1145</v>
      </c>
      <c r="B1113" s="19">
        <v>98107</v>
      </c>
      <c r="C1113" s="20" t="s">
        <v>1153</v>
      </c>
      <c r="D1113" s="19" t="s">
        <v>31</v>
      </c>
      <c r="E1113" s="21">
        <f t="shared" si="50"/>
        <v>287.13999999999999</v>
      </c>
      <c r="F1113" s="22">
        <v>0</v>
      </c>
      <c r="G1113" s="21">
        <f t="shared" si="51"/>
        <v>277.95999999999998</v>
      </c>
      <c r="H1113" s="22">
        <v>0</v>
      </c>
      <c r="I1113" s="23" t="str">
        <f t="shared" si="52"/>
        <v xml:space="preserve">COM VALOR</v>
      </c>
      <c r="J1113" s="19"/>
      <c r="L1113" s="21">
        <v>287.13999999999999</v>
      </c>
      <c r="M1113" s="22">
        <v>0</v>
      </c>
      <c r="N1113" s="21">
        <v>277.95999999999998</v>
      </c>
      <c r="O1113" s="22">
        <v>0</v>
      </c>
    </row>
    <row r="1114" ht="38.25">
      <c r="A1114" t="s">
        <v>1145</v>
      </c>
      <c r="B1114" s="19">
        <v>98104</v>
      </c>
      <c r="C1114" s="20" t="s">
        <v>1154</v>
      </c>
      <c r="D1114" s="19" t="s">
        <v>31</v>
      </c>
      <c r="E1114" s="21">
        <f t="shared" si="50"/>
        <v>375.36000000000001</v>
      </c>
      <c r="F1114" s="22">
        <v>0</v>
      </c>
      <c r="G1114" s="21">
        <f t="shared" si="51"/>
        <v>362.91000000000003</v>
      </c>
      <c r="H1114" s="22">
        <v>0</v>
      </c>
      <c r="I1114" s="23" t="str">
        <f t="shared" si="52"/>
        <v xml:space="preserve">COM VALOR</v>
      </c>
      <c r="J1114" s="19"/>
      <c r="L1114" s="21">
        <v>375.36000000000001</v>
      </c>
      <c r="M1114" s="22">
        <v>0</v>
      </c>
      <c r="N1114" s="21">
        <v>362.91000000000003</v>
      </c>
      <c r="O1114" s="22">
        <v>0</v>
      </c>
    </row>
    <row r="1115" ht="25.5">
      <c r="A1115" t="s">
        <v>1145</v>
      </c>
      <c r="B1115" s="19">
        <v>98102</v>
      </c>
      <c r="C1115" s="20" t="s">
        <v>1155</v>
      </c>
      <c r="D1115" s="19" t="s">
        <v>31</v>
      </c>
      <c r="E1115" s="21">
        <f t="shared" si="50"/>
        <v>188.34999999999999</v>
      </c>
      <c r="F1115" s="22">
        <v>2.e-002</v>
      </c>
      <c r="G1115" s="21">
        <f t="shared" si="51"/>
        <v>188</v>
      </c>
      <c r="H1115" s="22">
        <v>2.e-002</v>
      </c>
      <c r="I1115" s="23" t="str">
        <f t="shared" si="52"/>
        <v xml:space="preserve">COM VALOR</v>
      </c>
      <c r="J1115" s="19"/>
      <c r="L1115" s="21">
        <v>188.34999999999999</v>
      </c>
      <c r="M1115" s="22">
        <v>0</v>
      </c>
      <c r="N1115" s="21">
        <v>188</v>
      </c>
      <c r="O1115" s="22">
        <v>0</v>
      </c>
    </row>
    <row r="1116" ht="25.5">
      <c r="A1116" t="s">
        <v>1145</v>
      </c>
      <c r="B1116" s="19">
        <v>98111</v>
      </c>
      <c r="C1116" s="20" t="s">
        <v>1156</v>
      </c>
      <c r="D1116" s="19" t="s">
        <v>31</v>
      </c>
      <c r="E1116" s="21">
        <f t="shared" si="50"/>
        <v>57.490000000000002</v>
      </c>
      <c r="F1116" s="22">
        <v>0</v>
      </c>
      <c r="G1116" s="21">
        <f t="shared" si="51"/>
        <v>57.039999999999999</v>
      </c>
      <c r="H1116" s="22">
        <v>0</v>
      </c>
      <c r="I1116" s="23" t="str">
        <f t="shared" si="52"/>
        <v xml:space="preserve">COM VALOR</v>
      </c>
      <c r="J1116" s="19"/>
      <c r="L1116" s="21">
        <v>57.490000000000002</v>
      </c>
      <c r="M1116" s="22">
        <v>0</v>
      </c>
      <c r="N1116" s="21">
        <v>57.039999999999999</v>
      </c>
      <c r="O1116" s="22">
        <v>0</v>
      </c>
    </row>
    <row r="1117" ht="38.25">
      <c r="A1117" t="s">
        <v>1145</v>
      </c>
      <c r="B1117" s="19">
        <v>97891</v>
      </c>
      <c r="C1117" s="20" t="s">
        <v>1157</v>
      </c>
      <c r="D1117" s="19" t="s">
        <v>31</v>
      </c>
      <c r="E1117" s="21">
        <f t="shared" si="50"/>
        <v>210.78999999999999</v>
      </c>
      <c r="F1117" s="22">
        <v>0</v>
      </c>
      <c r="G1117" s="21">
        <f t="shared" si="51"/>
        <v>203.68000000000001</v>
      </c>
      <c r="H1117" s="22">
        <v>0</v>
      </c>
      <c r="I1117" s="23" t="str">
        <f t="shared" si="52"/>
        <v xml:space="preserve">COM VALOR</v>
      </c>
      <c r="J1117" s="19"/>
      <c r="L1117" s="21">
        <v>210.78999999999999</v>
      </c>
      <c r="M1117" s="22">
        <v>0</v>
      </c>
      <c r="N1117" s="21">
        <v>203.68000000000001</v>
      </c>
      <c r="O1117" s="22">
        <v>0</v>
      </c>
    </row>
    <row r="1118" ht="38.25">
      <c r="A1118" t="s">
        <v>1145</v>
      </c>
      <c r="B1118" s="19">
        <v>97892</v>
      </c>
      <c r="C1118" s="20" t="s">
        <v>1158</v>
      </c>
      <c r="D1118" s="19" t="s">
        <v>31</v>
      </c>
      <c r="E1118" s="21">
        <f t="shared" si="50"/>
        <v>397.43000000000001</v>
      </c>
      <c r="F1118" s="22">
        <v>0</v>
      </c>
      <c r="G1118" s="21">
        <f t="shared" si="51"/>
        <v>384.67000000000002</v>
      </c>
      <c r="H1118" s="22">
        <v>0</v>
      </c>
      <c r="I1118" s="23" t="str">
        <f t="shared" si="52"/>
        <v xml:space="preserve">COM VALOR</v>
      </c>
      <c r="J1118" s="19"/>
      <c r="L1118" s="21">
        <v>397.43000000000001</v>
      </c>
      <c r="M1118" s="22">
        <v>0</v>
      </c>
      <c r="N1118" s="21">
        <v>384.67000000000002</v>
      </c>
      <c r="O1118" s="22">
        <v>0</v>
      </c>
    </row>
    <row r="1119" ht="38.25">
      <c r="A1119" t="s">
        <v>1145</v>
      </c>
      <c r="B1119" s="19">
        <v>97893</v>
      </c>
      <c r="C1119" s="20" t="s">
        <v>1159</v>
      </c>
      <c r="D1119" s="19" t="s">
        <v>31</v>
      </c>
      <c r="E1119" s="21">
        <f t="shared" si="50"/>
        <v>547.57000000000005</v>
      </c>
      <c r="F1119" s="22">
        <v>0</v>
      </c>
      <c r="G1119" s="21">
        <f t="shared" si="51"/>
        <v>529.84000000000003</v>
      </c>
      <c r="H1119" s="22">
        <v>0</v>
      </c>
      <c r="I1119" s="23" t="str">
        <f t="shared" si="52"/>
        <v xml:space="preserve">COM VALOR</v>
      </c>
      <c r="J1119" s="19"/>
      <c r="L1119" s="21">
        <v>547.57000000000005</v>
      </c>
      <c r="M1119" s="22">
        <v>0</v>
      </c>
      <c r="N1119" s="21">
        <v>529.84000000000003</v>
      </c>
      <c r="O1119" s="22">
        <v>0</v>
      </c>
    </row>
    <row r="1120" ht="38.25">
      <c r="A1120" t="s">
        <v>1145</v>
      </c>
      <c r="B1120" s="19">
        <v>97894</v>
      </c>
      <c r="C1120" s="20" t="s">
        <v>1160</v>
      </c>
      <c r="D1120" s="19" t="s">
        <v>31</v>
      </c>
      <c r="E1120" s="21">
        <f t="shared" si="50"/>
        <v>618.70000000000005</v>
      </c>
      <c r="F1120" s="22">
        <v>1.e-002</v>
      </c>
      <c r="G1120" s="21">
        <f t="shared" si="51"/>
        <v>601.39999999999998</v>
      </c>
      <c r="H1120" s="22">
        <v>1.e-002</v>
      </c>
      <c r="I1120" s="23" t="str">
        <f t="shared" si="52"/>
        <v xml:space="preserve">COM VALOR</v>
      </c>
      <c r="J1120" s="19"/>
      <c r="L1120" s="21">
        <v>618.70000000000005</v>
      </c>
      <c r="M1120" s="22">
        <v>2.e-002</v>
      </c>
      <c r="N1120" s="21">
        <v>601.39999999999998</v>
      </c>
      <c r="O1120" s="22">
        <v>2.e-002</v>
      </c>
    </row>
    <row r="1121" ht="38.25">
      <c r="A1121" t="s">
        <v>1145</v>
      </c>
      <c r="B1121" s="19">
        <v>97886</v>
      </c>
      <c r="C1121" s="20" t="s">
        <v>1161</v>
      </c>
      <c r="D1121" s="19" t="s">
        <v>31</v>
      </c>
      <c r="E1121" s="21">
        <f t="shared" si="50"/>
        <v>168.59999999999999</v>
      </c>
      <c r="F1121" s="22">
        <v>0</v>
      </c>
      <c r="G1121" s="21">
        <f t="shared" si="51"/>
        <v>162.78999999999999</v>
      </c>
      <c r="H1121" s="22">
        <v>0</v>
      </c>
      <c r="I1121" s="23" t="str">
        <f t="shared" si="52"/>
        <v xml:space="preserve">COM VALOR</v>
      </c>
      <c r="J1121" s="19"/>
      <c r="L1121" s="21">
        <v>168.59999999999999</v>
      </c>
      <c r="M1121" s="22">
        <v>0</v>
      </c>
      <c r="N1121" s="21">
        <v>162.78999999999999</v>
      </c>
      <c r="O1121" s="22">
        <v>0</v>
      </c>
    </row>
    <row r="1122" ht="38.25">
      <c r="A1122" t="s">
        <v>1145</v>
      </c>
      <c r="B1122" s="19">
        <v>97887</v>
      </c>
      <c r="C1122" s="20" t="s">
        <v>1162</v>
      </c>
      <c r="D1122" s="19" t="s">
        <v>31</v>
      </c>
      <c r="E1122" s="21">
        <f t="shared" si="50"/>
        <v>265.94999999999999</v>
      </c>
      <c r="F1122" s="22">
        <v>0</v>
      </c>
      <c r="G1122" s="21">
        <f t="shared" si="51"/>
        <v>256.81999999999999</v>
      </c>
      <c r="H1122" s="22">
        <v>0</v>
      </c>
      <c r="I1122" s="23" t="str">
        <f t="shared" si="52"/>
        <v xml:space="preserve">COM VALOR</v>
      </c>
      <c r="J1122" s="19"/>
      <c r="L1122" s="21">
        <v>265.94999999999999</v>
      </c>
      <c r="M1122" s="22">
        <v>0</v>
      </c>
      <c r="N1122" s="21">
        <v>256.81999999999999</v>
      </c>
      <c r="O1122" s="22">
        <v>0</v>
      </c>
    </row>
    <row r="1123" ht="38.25">
      <c r="A1123" t="s">
        <v>1145</v>
      </c>
      <c r="B1123" s="19">
        <v>97888</v>
      </c>
      <c r="C1123" s="20" t="s">
        <v>1163</v>
      </c>
      <c r="D1123" s="19" t="s">
        <v>31</v>
      </c>
      <c r="E1123" s="21">
        <f t="shared" si="50"/>
        <v>514.02999999999997</v>
      </c>
      <c r="F1123" s="22">
        <v>0</v>
      </c>
      <c r="G1123" s="21">
        <f t="shared" si="51"/>
        <v>496.97000000000003</v>
      </c>
      <c r="H1123" s="22">
        <v>0</v>
      </c>
      <c r="I1123" s="23" t="str">
        <f t="shared" si="52"/>
        <v xml:space="preserve">COM VALOR</v>
      </c>
      <c r="J1123" s="19"/>
      <c r="L1123" s="21">
        <v>514.02999999999997</v>
      </c>
      <c r="M1123" s="22">
        <v>0</v>
      </c>
      <c r="N1123" s="21">
        <v>496.97000000000003</v>
      </c>
      <c r="O1123" s="22">
        <v>0</v>
      </c>
    </row>
    <row r="1124" ht="38.25">
      <c r="A1124" t="s">
        <v>1145</v>
      </c>
      <c r="B1124" s="19">
        <v>97889</v>
      </c>
      <c r="C1124" s="20" t="s">
        <v>1164</v>
      </c>
      <c r="D1124" s="19" t="s">
        <v>31</v>
      </c>
      <c r="E1124" s="21">
        <f t="shared" si="50"/>
        <v>696.30999999999995</v>
      </c>
      <c r="F1124" s="22">
        <v>0</v>
      </c>
      <c r="G1124" s="21">
        <f t="shared" si="51"/>
        <v>673.10000000000002</v>
      </c>
      <c r="H1124" s="22">
        <v>0</v>
      </c>
      <c r="I1124" s="23" t="str">
        <f t="shared" si="52"/>
        <v xml:space="preserve">COM VALOR</v>
      </c>
      <c r="J1124" s="19"/>
      <c r="L1124" s="21">
        <v>696.30999999999995</v>
      </c>
      <c r="M1124" s="22">
        <v>0</v>
      </c>
      <c r="N1124" s="21">
        <v>673.10000000000002</v>
      </c>
      <c r="O1124" s="22">
        <v>0</v>
      </c>
    </row>
    <row r="1125" ht="38.25">
      <c r="A1125" t="s">
        <v>1145</v>
      </c>
      <c r="B1125" s="19">
        <v>97890</v>
      </c>
      <c r="C1125" s="20" t="s">
        <v>1165</v>
      </c>
      <c r="D1125" s="19" t="s">
        <v>31</v>
      </c>
      <c r="E1125" s="21">
        <f t="shared" si="50"/>
        <v>798.91999999999996</v>
      </c>
      <c r="F1125" s="22">
        <v>0</v>
      </c>
      <c r="G1125" s="21">
        <f t="shared" si="51"/>
        <v>774.98000000000002</v>
      </c>
      <c r="H1125" s="22">
        <v>0</v>
      </c>
      <c r="I1125" s="23" t="str">
        <f t="shared" si="52"/>
        <v xml:space="preserve">COM VALOR</v>
      </c>
      <c r="J1125" s="19"/>
      <c r="L1125" s="21">
        <v>798.91999999999996</v>
      </c>
      <c r="M1125" s="22">
        <v>1.e-002</v>
      </c>
      <c r="N1125" s="21">
        <v>774.98000000000002</v>
      </c>
      <c r="O1125" s="22">
        <v>1.e-002</v>
      </c>
    </row>
    <row r="1126" ht="38.25">
      <c r="A1126" t="s">
        <v>1145</v>
      </c>
      <c r="B1126" s="19">
        <v>97881</v>
      </c>
      <c r="C1126" s="20" t="s">
        <v>1166</v>
      </c>
      <c r="D1126" s="19" t="s">
        <v>31</v>
      </c>
      <c r="E1126" s="21">
        <f t="shared" si="50"/>
        <v>142.02000000000001</v>
      </c>
      <c r="F1126" s="22">
        <v>0</v>
      </c>
      <c r="G1126" s="21">
        <f t="shared" si="51"/>
        <v>140.49000000000001</v>
      </c>
      <c r="H1126" s="22">
        <v>0</v>
      </c>
      <c r="I1126" s="23" t="str">
        <f t="shared" si="52"/>
        <v xml:space="preserve">COM VALOR</v>
      </c>
      <c r="J1126" s="19"/>
      <c r="L1126" s="21">
        <v>142.02000000000001</v>
      </c>
      <c r="M1126" s="22">
        <v>0</v>
      </c>
      <c r="N1126" s="21">
        <v>140.49000000000001</v>
      </c>
      <c r="O1126" s="22">
        <v>0</v>
      </c>
    </row>
    <row r="1127" ht="38.25">
      <c r="A1127" t="s">
        <v>1145</v>
      </c>
      <c r="B1127" s="19">
        <v>97882</v>
      </c>
      <c r="C1127" s="20" t="s">
        <v>1167</v>
      </c>
      <c r="D1127" s="19" t="s">
        <v>31</v>
      </c>
      <c r="E1127" s="21">
        <f t="shared" si="50"/>
        <v>225.31</v>
      </c>
      <c r="F1127" s="22">
        <v>0</v>
      </c>
      <c r="G1127" s="21">
        <f t="shared" si="51"/>
        <v>223.12</v>
      </c>
      <c r="H1127" s="22">
        <v>0</v>
      </c>
      <c r="I1127" s="23" t="str">
        <f t="shared" si="52"/>
        <v xml:space="preserve">COM VALOR</v>
      </c>
      <c r="J1127" s="19"/>
      <c r="L1127" s="21">
        <v>225.31</v>
      </c>
      <c r="M1127" s="22">
        <v>0</v>
      </c>
      <c r="N1127" s="21">
        <v>223.12</v>
      </c>
      <c r="O1127" s="22">
        <v>0</v>
      </c>
    </row>
    <row r="1128" ht="38.25">
      <c r="A1128" t="s">
        <v>1145</v>
      </c>
      <c r="B1128" s="19">
        <v>97883</v>
      </c>
      <c r="C1128" s="20" t="s">
        <v>1168</v>
      </c>
      <c r="D1128" s="19" t="s">
        <v>31</v>
      </c>
      <c r="E1128" s="21">
        <f t="shared" si="50"/>
        <v>436.23000000000002</v>
      </c>
      <c r="F1128" s="22">
        <v>0</v>
      </c>
      <c r="G1128" s="21">
        <f t="shared" si="51"/>
        <v>432.38999999999999</v>
      </c>
      <c r="H1128" s="22">
        <v>0</v>
      </c>
      <c r="I1128" s="23" t="str">
        <f t="shared" si="52"/>
        <v xml:space="preserve">COM VALOR</v>
      </c>
      <c r="J1128" s="19"/>
      <c r="L1128" s="21">
        <v>436.23000000000002</v>
      </c>
      <c r="M1128" s="22">
        <v>0</v>
      </c>
      <c r="N1128" s="21">
        <v>432.38999999999999</v>
      </c>
      <c r="O1128" s="22">
        <v>0</v>
      </c>
    </row>
    <row r="1129" ht="38.25">
      <c r="A1129" t="s">
        <v>1145</v>
      </c>
      <c r="B1129" s="19">
        <v>97884</v>
      </c>
      <c r="C1129" s="20" t="s">
        <v>1169</v>
      </c>
      <c r="D1129" s="19" t="s">
        <v>31</v>
      </c>
      <c r="E1129" s="21">
        <f t="shared" si="50"/>
        <v>859.5</v>
      </c>
      <c r="F1129" s="22">
        <v>0</v>
      </c>
      <c r="G1129" s="21">
        <f t="shared" si="51"/>
        <v>853.07000000000005</v>
      </c>
      <c r="H1129" s="22">
        <v>0</v>
      </c>
      <c r="I1129" s="23" t="str">
        <f t="shared" si="52"/>
        <v xml:space="preserve">COM VALOR</v>
      </c>
      <c r="J1129" s="19"/>
      <c r="L1129" s="21">
        <v>859.5</v>
      </c>
      <c r="M1129" s="22">
        <v>0</v>
      </c>
      <c r="N1129" s="21">
        <v>853.07000000000005</v>
      </c>
      <c r="O1129" s="22">
        <v>0</v>
      </c>
    </row>
    <row r="1130" ht="38.25">
      <c r="A1130" t="s">
        <v>1145</v>
      </c>
      <c r="B1130" s="19">
        <v>97885</v>
      </c>
      <c r="C1130" s="20" t="s">
        <v>1170</v>
      </c>
      <c r="D1130" s="19" t="s">
        <v>31</v>
      </c>
      <c r="E1130" s="21">
        <f t="shared" si="50"/>
        <v>1335.21</v>
      </c>
      <c r="F1130" s="22">
        <v>0</v>
      </c>
      <c r="G1130" s="21">
        <f t="shared" si="51"/>
        <v>1326.1199999999999</v>
      </c>
      <c r="H1130" s="22">
        <v>0</v>
      </c>
      <c r="I1130" s="23" t="str">
        <f t="shared" si="52"/>
        <v xml:space="preserve">COM VALOR</v>
      </c>
      <c r="J1130" s="19"/>
      <c r="L1130" s="21">
        <v>1335.21</v>
      </c>
      <c r="M1130" s="22">
        <v>0</v>
      </c>
      <c r="N1130" s="21">
        <v>1326.1199999999999</v>
      </c>
      <c r="O1130" s="22">
        <v>0</v>
      </c>
    </row>
    <row r="1131" ht="38.25">
      <c r="A1131" t="s">
        <v>1145</v>
      </c>
      <c r="B1131" s="19">
        <v>99250</v>
      </c>
      <c r="C1131" s="20" t="s">
        <v>1171</v>
      </c>
      <c r="D1131" s="19" t="s">
        <v>31</v>
      </c>
      <c r="E1131" s="21">
        <f t="shared" si="50"/>
        <v>185.56999999999999</v>
      </c>
      <c r="F1131" s="22">
        <v>0</v>
      </c>
      <c r="G1131" s="21">
        <f t="shared" si="51"/>
        <v>179.33000000000001</v>
      </c>
      <c r="H1131" s="22">
        <v>0</v>
      </c>
      <c r="I1131" s="23" t="str">
        <f t="shared" si="52"/>
        <v xml:space="preserve">COM VALOR</v>
      </c>
      <c r="J1131" s="19"/>
      <c r="L1131" s="21">
        <v>185.56999999999999</v>
      </c>
      <c r="M1131" s="22">
        <v>0</v>
      </c>
      <c r="N1131" s="21">
        <v>179.33000000000001</v>
      </c>
      <c r="O1131" s="22">
        <v>0</v>
      </c>
    </row>
    <row r="1132" ht="38.25">
      <c r="A1132" t="s">
        <v>1145</v>
      </c>
      <c r="B1132" s="19">
        <v>97900</v>
      </c>
      <c r="C1132" s="20" t="s">
        <v>1172</v>
      </c>
      <c r="D1132" s="19" t="s">
        <v>31</v>
      </c>
      <c r="E1132" s="21">
        <f t="shared" si="50"/>
        <v>189.94999999999999</v>
      </c>
      <c r="F1132" s="22">
        <v>0</v>
      </c>
      <c r="G1132" s="21">
        <f t="shared" si="51"/>
        <v>183.69</v>
      </c>
      <c r="H1132" s="22">
        <v>0</v>
      </c>
      <c r="I1132" s="23" t="str">
        <f t="shared" si="52"/>
        <v xml:space="preserve">COM VALOR</v>
      </c>
      <c r="J1132" s="19"/>
      <c r="L1132" s="21">
        <v>189.94999999999999</v>
      </c>
      <c r="M1132" s="22">
        <v>0</v>
      </c>
      <c r="N1132" s="21">
        <v>183.69</v>
      </c>
      <c r="O1132" s="22">
        <v>0</v>
      </c>
    </row>
    <row r="1133" ht="38.25">
      <c r="A1133" t="s">
        <v>1145</v>
      </c>
      <c r="B1133" s="19">
        <v>99251</v>
      </c>
      <c r="C1133" s="20" t="s">
        <v>1173</v>
      </c>
      <c r="D1133" s="19" t="s">
        <v>31</v>
      </c>
      <c r="E1133" s="21">
        <f t="shared" si="50"/>
        <v>290.68000000000001</v>
      </c>
      <c r="F1133" s="22">
        <v>0</v>
      </c>
      <c r="G1133" s="21">
        <f t="shared" si="51"/>
        <v>280.86000000000001</v>
      </c>
      <c r="H1133" s="22">
        <v>0</v>
      </c>
      <c r="I1133" s="23" t="str">
        <f t="shared" si="52"/>
        <v xml:space="preserve">COM VALOR</v>
      </c>
      <c r="J1133" s="19"/>
      <c r="L1133" s="21">
        <v>290.68000000000001</v>
      </c>
      <c r="M1133" s="22">
        <v>0</v>
      </c>
      <c r="N1133" s="21">
        <v>280.86000000000001</v>
      </c>
      <c r="O1133" s="22">
        <v>0</v>
      </c>
    </row>
    <row r="1134" ht="38.25">
      <c r="A1134" t="s">
        <v>1145</v>
      </c>
      <c r="B1134" s="19">
        <v>97901</v>
      </c>
      <c r="C1134" s="20" t="s">
        <v>1174</v>
      </c>
      <c r="D1134" s="19" t="s">
        <v>31</v>
      </c>
      <c r="E1134" s="21">
        <f t="shared" si="50"/>
        <v>298.19</v>
      </c>
      <c r="F1134" s="22">
        <v>1.e-002</v>
      </c>
      <c r="G1134" s="21">
        <f t="shared" si="51"/>
        <v>288.33999999999997</v>
      </c>
      <c r="H1134" s="22">
        <v>1.e-002</v>
      </c>
      <c r="I1134" s="23" t="str">
        <f t="shared" si="52"/>
        <v xml:space="preserve">COM VALOR</v>
      </c>
      <c r="J1134" s="19"/>
      <c r="L1134" s="21">
        <v>298.19</v>
      </c>
      <c r="M1134" s="22">
        <v>0</v>
      </c>
      <c r="N1134" s="21">
        <v>288.33999999999997</v>
      </c>
      <c r="O1134" s="22">
        <v>0</v>
      </c>
    </row>
    <row r="1135" ht="38.25">
      <c r="A1135" t="s">
        <v>1145</v>
      </c>
      <c r="B1135" s="19">
        <v>99253</v>
      </c>
      <c r="C1135" s="20" t="s">
        <v>1175</v>
      </c>
      <c r="D1135" s="19" t="s">
        <v>31</v>
      </c>
      <c r="E1135" s="21">
        <f t="shared" si="50"/>
        <v>562.25</v>
      </c>
      <c r="F1135" s="22">
        <v>1.e-002</v>
      </c>
      <c r="G1135" s="21">
        <f t="shared" si="51"/>
        <v>543.64999999999998</v>
      </c>
      <c r="H1135" s="22">
        <v>1.e-002</v>
      </c>
      <c r="I1135" s="23" t="str">
        <f t="shared" si="52"/>
        <v xml:space="preserve">COM VALOR</v>
      </c>
      <c r="J1135" s="19"/>
      <c r="L1135" s="21">
        <v>562.25</v>
      </c>
      <c r="M1135" s="22">
        <v>0</v>
      </c>
      <c r="N1135" s="21">
        <v>543.64999999999998</v>
      </c>
      <c r="O1135" s="22">
        <v>0</v>
      </c>
    </row>
    <row r="1136" ht="38.25">
      <c r="A1136" t="s">
        <v>1145</v>
      </c>
      <c r="B1136" s="19">
        <v>97902</v>
      </c>
      <c r="C1136" s="20" t="s">
        <v>1176</v>
      </c>
      <c r="D1136" s="19" t="s">
        <v>31</v>
      </c>
      <c r="E1136" s="21">
        <f t="shared" si="50"/>
        <v>579.10000000000002</v>
      </c>
      <c r="F1136" s="22">
        <v>0</v>
      </c>
      <c r="G1136" s="21">
        <f t="shared" si="51"/>
        <v>560.44000000000005</v>
      </c>
      <c r="H1136" s="22">
        <v>0</v>
      </c>
      <c r="I1136" s="23" t="str">
        <f t="shared" si="52"/>
        <v xml:space="preserve">COM VALOR</v>
      </c>
      <c r="J1136" s="19"/>
      <c r="L1136" s="21">
        <v>579.10000000000002</v>
      </c>
      <c r="M1136" s="22">
        <v>0</v>
      </c>
      <c r="N1136" s="21">
        <v>560.44000000000005</v>
      </c>
      <c r="O1136" s="22">
        <v>0</v>
      </c>
    </row>
    <row r="1137" ht="38.25">
      <c r="A1137" t="s">
        <v>1145</v>
      </c>
      <c r="B1137" s="19">
        <v>99255</v>
      </c>
      <c r="C1137" s="20" t="s">
        <v>1177</v>
      </c>
      <c r="D1137" s="19" t="s">
        <v>31</v>
      </c>
      <c r="E1137" s="21">
        <f t="shared" si="50"/>
        <v>782.15999999999997</v>
      </c>
      <c r="F1137" s="22">
        <v>0</v>
      </c>
      <c r="G1137" s="21">
        <f t="shared" si="51"/>
        <v>756.24000000000001</v>
      </c>
      <c r="H1137" s="22">
        <v>0</v>
      </c>
      <c r="I1137" s="23" t="str">
        <f t="shared" si="52"/>
        <v xml:space="preserve">COM VALOR</v>
      </c>
      <c r="J1137" s="19"/>
      <c r="L1137" s="21">
        <v>782.15999999999997</v>
      </c>
      <c r="M1137" s="22">
        <v>0</v>
      </c>
      <c r="N1137" s="21">
        <v>756.24000000000001</v>
      </c>
      <c r="O1137" s="22">
        <v>0</v>
      </c>
    </row>
    <row r="1138" ht="38.25">
      <c r="A1138" t="s">
        <v>1145</v>
      </c>
      <c r="B1138" s="19">
        <v>97903</v>
      </c>
      <c r="C1138" s="20" t="s">
        <v>1178</v>
      </c>
      <c r="D1138" s="19" t="s">
        <v>31</v>
      </c>
      <c r="E1138" s="21">
        <f t="shared" si="50"/>
        <v>805.26999999999998</v>
      </c>
      <c r="F1138" s="22">
        <v>0</v>
      </c>
      <c r="G1138" s="21">
        <f t="shared" si="51"/>
        <v>779.25</v>
      </c>
      <c r="H1138" s="22">
        <v>0</v>
      </c>
      <c r="I1138" s="23" t="str">
        <f t="shared" si="52"/>
        <v xml:space="preserve">COM VALOR</v>
      </c>
      <c r="J1138" s="19"/>
      <c r="L1138" s="21">
        <v>805.26999999999998</v>
      </c>
      <c r="M1138" s="22">
        <v>0</v>
      </c>
      <c r="N1138" s="21">
        <v>779.25</v>
      </c>
      <c r="O1138" s="22">
        <v>0</v>
      </c>
    </row>
    <row r="1139" ht="38.25">
      <c r="A1139" t="s">
        <v>1145</v>
      </c>
      <c r="B1139" s="19">
        <v>99257</v>
      </c>
      <c r="C1139" s="20" t="s">
        <v>1179</v>
      </c>
      <c r="D1139" s="19" t="s">
        <v>31</v>
      </c>
      <c r="E1139" s="21">
        <f t="shared" si="50"/>
        <v>918.25</v>
      </c>
      <c r="F1139" s="22">
        <v>0</v>
      </c>
      <c r="G1139" s="21">
        <f t="shared" si="51"/>
        <v>890.21000000000004</v>
      </c>
      <c r="H1139" s="22">
        <v>0</v>
      </c>
      <c r="I1139" s="23" t="str">
        <f t="shared" si="52"/>
        <v xml:space="preserve">COM VALOR</v>
      </c>
      <c r="J1139" s="19"/>
      <c r="L1139" s="21">
        <v>918.25</v>
      </c>
      <c r="M1139" s="22">
        <v>1.e-002</v>
      </c>
      <c r="N1139" s="21">
        <v>890.21000000000004</v>
      </c>
      <c r="O1139" s="22">
        <v>1.e-002</v>
      </c>
    </row>
    <row r="1140" ht="38.25">
      <c r="A1140" t="s">
        <v>1145</v>
      </c>
      <c r="B1140" s="19">
        <v>97904</v>
      </c>
      <c r="C1140" s="20" t="s">
        <v>1180</v>
      </c>
      <c r="D1140" s="19" t="s">
        <v>31</v>
      </c>
      <c r="E1140" s="21">
        <f t="shared" si="50"/>
        <v>948.13</v>
      </c>
      <c r="F1140" s="22">
        <v>0</v>
      </c>
      <c r="G1140" s="21">
        <f t="shared" si="51"/>
        <v>919.98000000000002</v>
      </c>
      <c r="H1140" s="22">
        <v>0</v>
      </c>
      <c r="I1140" s="23" t="str">
        <f t="shared" si="52"/>
        <v xml:space="preserve">COM VALOR</v>
      </c>
      <c r="J1140" s="19"/>
      <c r="L1140" s="21">
        <v>948.13</v>
      </c>
      <c r="M1140" s="22">
        <v>1.e-002</v>
      </c>
      <c r="N1140" s="21">
        <v>919.98000000000002</v>
      </c>
      <c r="O1140" s="22">
        <v>1.e-002</v>
      </c>
    </row>
    <row r="1141" ht="38.25">
      <c r="A1141" t="s">
        <v>1145</v>
      </c>
      <c r="B1141" s="19">
        <v>99258</v>
      </c>
      <c r="C1141" s="20" t="s">
        <v>1181</v>
      </c>
      <c r="D1141" s="19" t="s">
        <v>31</v>
      </c>
      <c r="E1141" s="21">
        <f t="shared" si="50"/>
        <v>244.96000000000001</v>
      </c>
      <c r="F1141" s="22">
        <v>0</v>
      </c>
      <c r="G1141" s="21">
        <f t="shared" si="51"/>
        <v>236.94</v>
      </c>
      <c r="H1141" s="22">
        <v>0</v>
      </c>
      <c r="I1141" s="23" t="str">
        <f t="shared" si="52"/>
        <v xml:space="preserve">COM VALOR</v>
      </c>
      <c r="J1141" s="19"/>
      <c r="L1141" s="21">
        <v>244.96000000000001</v>
      </c>
      <c r="M1141" s="22">
        <v>0</v>
      </c>
      <c r="N1141" s="21">
        <v>236.94</v>
      </c>
      <c r="O1141" s="22">
        <v>0</v>
      </c>
    </row>
    <row r="1142" ht="38.25">
      <c r="A1142" t="s">
        <v>1145</v>
      </c>
      <c r="B1142" s="19">
        <v>97905</v>
      </c>
      <c r="C1142" s="20" t="s">
        <v>1182</v>
      </c>
      <c r="D1142" s="19" t="s">
        <v>31</v>
      </c>
      <c r="E1142" s="21">
        <f t="shared" si="50"/>
        <v>249.72999999999999</v>
      </c>
      <c r="F1142" s="22">
        <v>1.e-002</v>
      </c>
      <c r="G1142" s="21">
        <f t="shared" si="51"/>
        <v>241.69</v>
      </c>
      <c r="H1142" s="22">
        <v>1.e-002</v>
      </c>
      <c r="I1142" s="23" t="str">
        <f t="shared" si="52"/>
        <v xml:space="preserve">COM VALOR</v>
      </c>
      <c r="J1142" s="19"/>
      <c r="L1142" s="21">
        <v>249.72999999999999</v>
      </c>
      <c r="M1142" s="22">
        <v>0</v>
      </c>
      <c r="N1142" s="21">
        <v>241.69</v>
      </c>
      <c r="O1142" s="22">
        <v>0</v>
      </c>
    </row>
    <row r="1143" ht="38.25">
      <c r="A1143" t="s">
        <v>1145</v>
      </c>
      <c r="B1143" s="19">
        <v>99260</v>
      </c>
      <c r="C1143" s="20" t="s">
        <v>1183</v>
      </c>
      <c r="D1143" s="19" t="s">
        <v>31</v>
      </c>
      <c r="E1143" s="21">
        <f t="shared" si="50"/>
        <v>454.38</v>
      </c>
      <c r="F1143" s="22">
        <v>1.e-002</v>
      </c>
      <c r="G1143" s="21">
        <f t="shared" si="51"/>
        <v>439.97000000000003</v>
      </c>
      <c r="H1143" s="22">
        <v>1.e-002</v>
      </c>
      <c r="I1143" s="23" t="str">
        <f t="shared" si="52"/>
        <v xml:space="preserve">COM VALOR</v>
      </c>
      <c r="J1143" s="19"/>
      <c r="L1143" s="21">
        <v>454.38</v>
      </c>
      <c r="M1143" s="22">
        <v>0</v>
      </c>
      <c r="N1143" s="21">
        <v>439.97000000000003</v>
      </c>
      <c r="O1143" s="22">
        <v>0</v>
      </c>
    </row>
    <row r="1144" ht="38.25">
      <c r="A1144" t="s">
        <v>1145</v>
      </c>
      <c r="B1144" s="19">
        <v>97906</v>
      </c>
      <c r="C1144" s="20" t="s">
        <v>1184</v>
      </c>
      <c r="D1144" s="19" t="s">
        <v>31</v>
      </c>
      <c r="E1144" s="21">
        <f t="shared" si="50"/>
        <v>464.99000000000001</v>
      </c>
      <c r="F1144" s="22">
        <v>0</v>
      </c>
      <c r="G1144" s="21">
        <f t="shared" si="51"/>
        <v>450.54000000000002</v>
      </c>
      <c r="H1144" s="22">
        <v>0</v>
      </c>
      <c r="I1144" s="23" t="str">
        <f t="shared" si="52"/>
        <v xml:space="preserve">COM VALOR</v>
      </c>
      <c r="J1144" s="19"/>
      <c r="L1144" s="21">
        <v>464.99000000000001</v>
      </c>
      <c r="M1144" s="22">
        <v>0</v>
      </c>
      <c r="N1144" s="21">
        <v>450.54000000000002</v>
      </c>
      <c r="O1144" s="22">
        <v>0</v>
      </c>
    </row>
    <row r="1145" ht="38.25">
      <c r="A1145" t="s">
        <v>1145</v>
      </c>
      <c r="B1145" s="19">
        <v>99262</v>
      </c>
      <c r="C1145" s="20" t="s">
        <v>1185</v>
      </c>
      <c r="D1145" s="19" t="s">
        <v>31</v>
      </c>
      <c r="E1145" s="21">
        <f t="shared" si="50"/>
        <v>644.51999999999998</v>
      </c>
      <c r="F1145" s="22">
        <v>0</v>
      </c>
      <c r="G1145" s="21">
        <f t="shared" si="51"/>
        <v>623.95000000000005</v>
      </c>
      <c r="H1145" s="22">
        <v>0</v>
      </c>
      <c r="I1145" s="23" t="str">
        <f t="shared" si="52"/>
        <v xml:space="preserve">COM VALOR</v>
      </c>
      <c r="J1145" s="19"/>
      <c r="L1145" s="21">
        <v>644.51999999999998</v>
      </c>
      <c r="M1145" s="22">
        <v>0</v>
      </c>
      <c r="N1145" s="21">
        <v>623.95000000000005</v>
      </c>
      <c r="O1145" s="22">
        <v>0</v>
      </c>
    </row>
    <row r="1146" ht="38.25">
      <c r="A1146" t="s">
        <v>1145</v>
      </c>
      <c r="B1146" s="19">
        <v>97907</v>
      </c>
      <c r="C1146" s="20" t="s">
        <v>1186</v>
      </c>
      <c r="D1146" s="19" t="s">
        <v>31</v>
      </c>
      <c r="E1146" s="21">
        <f t="shared" si="50"/>
        <v>659.66999999999996</v>
      </c>
      <c r="F1146" s="22">
        <v>0</v>
      </c>
      <c r="G1146" s="21">
        <f t="shared" si="51"/>
        <v>639.03999999999996</v>
      </c>
      <c r="H1146" s="22">
        <v>0</v>
      </c>
      <c r="I1146" s="23" t="str">
        <f t="shared" si="52"/>
        <v xml:space="preserve">COM VALOR</v>
      </c>
      <c r="J1146" s="19"/>
      <c r="L1146" s="21">
        <v>659.66999999999996</v>
      </c>
      <c r="M1146" s="22">
        <v>0</v>
      </c>
      <c r="N1146" s="21">
        <v>639.03999999999996</v>
      </c>
      <c r="O1146" s="22">
        <v>0</v>
      </c>
    </row>
    <row r="1147" ht="38.25">
      <c r="A1147" t="s">
        <v>1145</v>
      </c>
      <c r="B1147" s="19">
        <v>99264</v>
      </c>
      <c r="C1147" s="20" t="s">
        <v>1187</v>
      </c>
      <c r="D1147" s="19" t="s">
        <v>31</v>
      </c>
      <c r="E1147" s="21">
        <f t="shared" si="50"/>
        <v>755.39999999999998</v>
      </c>
      <c r="F1147" s="22">
        <v>0</v>
      </c>
      <c r="G1147" s="21">
        <f t="shared" si="51"/>
        <v>733.65999999999997</v>
      </c>
      <c r="H1147" s="22">
        <v>0</v>
      </c>
      <c r="I1147" s="23" t="str">
        <f t="shared" si="52"/>
        <v xml:space="preserve">COM VALOR</v>
      </c>
      <c r="J1147" s="19"/>
      <c r="L1147" s="21">
        <v>755.39999999999998</v>
      </c>
      <c r="M1147" s="22">
        <v>1.e-002</v>
      </c>
      <c r="N1147" s="21">
        <v>733.65999999999997</v>
      </c>
      <c r="O1147" s="22">
        <v>1.e-002</v>
      </c>
    </row>
    <row r="1148" ht="38.25">
      <c r="A1148" t="s">
        <v>1145</v>
      </c>
      <c r="B1148" s="19">
        <v>97908</v>
      </c>
      <c r="C1148" s="20" t="s">
        <v>1188</v>
      </c>
      <c r="D1148" s="19" t="s">
        <v>31</v>
      </c>
      <c r="E1148" s="21">
        <f t="shared" si="50"/>
        <v>775.87</v>
      </c>
      <c r="F1148" s="22"/>
      <c r="G1148" s="21">
        <f t="shared" si="51"/>
        <v>754.04999999999995</v>
      </c>
      <c r="H1148" s="22"/>
      <c r="I1148" s="23" t="str">
        <f t="shared" si="52"/>
        <v xml:space="preserve">COM VALOR</v>
      </c>
      <c r="J1148" s="19"/>
      <c r="L1148" s="21">
        <v>775.87</v>
      </c>
      <c r="M1148" s="22">
        <v>1.e-002</v>
      </c>
      <c r="N1148" s="21">
        <v>754.04999999999995</v>
      </c>
      <c r="O1148" s="22">
        <v>1.e-002</v>
      </c>
    </row>
    <row r="1149" ht="25.5">
      <c r="A1149" t="s">
        <v>1145</v>
      </c>
      <c r="B1149" s="19">
        <v>97895</v>
      </c>
      <c r="C1149" s="20" t="s">
        <v>1189</v>
      </c>
      <c r="D1149" s="19" t="s">
        <v>31</v>
      </c>
      <c r="E1149" s="21">
        <f t="shared" si="50"/>
        <v>198.50999999999999</v>
      </c>
      <c r="F1149" s="22">
        <v>0</v>
      </c>
      <c r="G1149" s="21">
        <f t="shared" si="51"/>
        <v>198.31999999999999</v>
      </c>
      <c r="H1149" s="22">
        <v>0</v>
      </c>
      <c r="I1149" s="23" t="str">
        <f t="shared" si="52"/>
        <v xml:space="preserve">COM VALOR</v>
      </c>
      <c r="J1149" s="19"/>
      <c r="L1149" s="21">
        <v>198.50999999999999</v>
      </c>
      <c r="M1149" s="22">
        <v>0</v>
      </c>
      <c r="N1149" s="21">
        <v>198.31999999999999</v>
      </c>
      <c r="O1149" s="22">
        <v>0</v>
      </c>
    </row>
    <row r="1150" ht="25.5">
      <c r="A1150" t="s">
        <v>1145</v>
      </c>
      <c r="B1150" s="19">
        <v>97896</v>
      </c>
      <c r="C1150" s="20" t="s">
        <v>1190</v>
      </c>
      <c r="D1150" s="19" t="s">
        <v>31</v>
      </c>
      <c r="E1150" s="21">
        <f t="shared" si="50"/>
        <v>368.41000000000003</v>
      </c>
      <c r="F1150" s="22"/>
      <c r="G1150" s="21">
        <f t="shared" si="51"/>
        <v>368</v>
      </c>
      <c r="H1150" s="22"/>
      <c r="I1150" s="23" t="str">
        <f t="shared" si="52"/>
        <v xml:space="preserve">COM VALOR</v>
      </c>
      <c r="J1150" s="19"/>
      <c r="L1150" s="21">
        <v>368.41000000000003</v>
      </c>
      <c r="M1150" s="22">
        <v>0</v>
      </c>
      <c r="N1150" s="21">
        <v>368</v>
      </c>
      <c r="O1150" s="22">
        <v>0</v>
      </c>
    </row>
    <row r="1151" ht="25.5">
      <c r="A1151" t="s">
        <v>1145</v>
      </c>
      <c r="B1151" s="19">
        <v>97897</v>
      </c>
      <c r="C1151" s="20" t="s">
        <v>1191</v>
      </c>
      <c r="D1151" s="19" t="s">
        <v>31</v>
      </c>
      <c r="E1151" s="21">
        <f t="shared" si="50"/>
        <v>477.25</v>
      </c>
      <c r="F1151" s="22"/>
      <c r="G1151" s="21">
        <f t="shared" si="51"/>
        <v>476.45999999999998</v>
      </c>
      <c r="H1151" s="22"/>
      <c r="I1151" s="23" t="str">
        <f t="shared" si="52"/>
        <v xml:space="preserve">COM VALOR</v>
      </c>
      <c r="J1151" s="19"/>
      <c r="L1151" s="21">
        <v>477.25</v>
      </c>
      <c r="M1151" s="22">
        <v>0</v>
      </c>
      <c r="N1151" s="21">
        <v>476.45999999999998</v>
      </c>
      <c r="O1151" s="22">
        <v>0</v>
      </c>
    </row>
    <row r="1152" ht="25.5">
      <c r="A1152" t="s">
        <v>1145</v>
      </c>
      <c r="B1152" s="19">
        <v>97898</v>
      </c>
      <c r="C1152" s="20" t="s">
        <v>1192</v>
      </c>
      <c r="D1152" s="19" t="s">
        <v>31</v>
      </c>
      <c r="E1152" s="21">
        <f t="shared" si="50"/>
        <v>910.46000000000004</v>
      </c>
      <c r="F1152" s="22">
        <v>1.e-002</v>
      </c>
      <c r="G1152" s="21">
        <f t="shared" si="51"/>
        <v>904.24000000000001</v>
      </c>
      <c r="H1152" s="22">
        <v>1.e-002</v>
      </c>
      <c r="I1152" s="23" t="str">
        <f t="shared" si="52"/>
        <v xml:space="preserve">COM VALOR</v>
      </c>
      <c r="J1152" s="19"/>
      <c r="L1152" s="21">
        <v>910.46000000000004</v>
      </c>
      <c r="M1152" s="22">
        <v>0</v>
      </c>
      <c r="N1152" s="21">
        <v>904.24000000000001</v>
      </c>
      <c r="O1152" s="22">
        <v>0</v>
      </c>
    </row>
    <row r="1153" ht="25.5">
      <c r="A1153" t="s">
        <v>1145</v>
      </c>
      <c r="B1153" s="19">
        <v>97899</v>
      </c>
      <c r="C1153" s="20" t="s">
        <v>1193</v>
      </c>
      <c r="D1153" s="19" t="s">
        <v>31</v>
      </c>
      <c r="E1153" s="21" t="str">
        <f t="shared" si="50"/>
        <v>VERIFICAR</v>
      </c>
      <c r="F1153" s="22">
        <v>0</v>
      </c>
      <c r="G1153" s="21" t="str">
        <f t="shared" si="51"/>
        <v>VERIFICAR</v>
      </c>
      <c r="H1153" s="22">
        <v>0</v>
      </c>
      <c r="I1153" s="23" t="str">
        <f t="shared" si="52"/>
        <v xml:space="preserve">COM VALOR</v>
      </c>
      <c r="J1153" s="19"/>
      <c r="L1153" s="21">
        <v>0</v>
      </c>
      <c r="M1153" s="22"/>
      <c r="N1153" s="21">
        <v>0</v>
      </c>
      <c r="O1153" s="22"/>
    </row>
    <row r="1154" ht="38.25">
      <c r="A1154" t="s">
        <v>1145</v>
      </c>
      <c r="B1154" s="19">
        <v>101795</v>
      </c>
      <c r="C1154" s="20" t="s">
        <v>1194</v>
      </c>
      <c r="D1154" s="19" t="s">
        <v>31</v>
      </c>
      <c r="E1154" s="21">
        <f t="shared" si="50"/>
        <v>615.23000000000002</v>
      </c>
      <c r="F1154" s="22">
        <v>1.e-002</v>
      </c>
      <c r="G1154" s="21">
        <f t="shared" si="51"/>
        <v>599.02999999999997</v>
      </c>
      <c r="H1154" s="22">
        <v>1.e-002</v>
      </c>
      <c r="I1154" s="23" t="str">
        <f t="shared" si="52"/>
        <v xml:space="preserve">COM VALOR</v>
      </c>
      <c r="J1154" s="19"/>
      <c r="L1154" s="21">
        <v>615.23000000000002</v>
      </c>
      <c r="M1154" s="22">
        <v>0</v>
      </c>
      <c r="N1154" s="21">
        <v>599.02999999999997</v>
      </c>
      <c r="O1154" s="22">
        <v>2.5000000000000001e-003</v>
      </c>
    </row>
    <row r="1155" ht="38.25">
      <c r="A1155" t="s">
        <v>1145</v>
      </c>
      <c r="B1155" s="19">
        <v>101796</v>
      </c>
      <c r="C1155" s="20" t="s">
        <v>1195</v>
      </c>
      <c r="D1155" s="19" t="s">
        <v>31</v>
      </c>
      <c r="E1155" s="21" t="str">
        <f t="shared" si="50"/>
        <v>VERIFICAR</v>
      </c>
      <c r="F1155" s="22">
        <v>1.e-002</v>
      </c>
      <c r="G1155" s="21" t="str">
        <f t="shared" si="51"/>
        <v>VERIFICAR</v>
      </c>
      <c r="H1155" s="22">
        <v>1.e-002</v>
      </c>
      <c r="I1155" s="23" t="str">
        <f t="shared" si="52"/>
        <v xml:space="preserve">COM VALOR</v>
      </c>
      <c r="J1155" s="19"/>
      <c r="L1155" s="21">
        <v>0</v>
      </c>
      <c r="M1155" s="22"/>
      <c r="N1155" s="21">
        <v>0</v>
      </c>
      <c r="O1155" s="22"/>
    </row>
    <row r="1156" ht="38.25">
      <c r="A1156" t="s">
        <v>1145</v>
      </c>
      <c r="B1156" s="19">
        <v>101797</v>
      </c>
      <c r="C1156" s="20" t="s">
        <v>1196</v>
      </c>
      <c r="D1156" s="19" t="s">
        <v>31</v>
      </c>
      <c r="E1156" s="21" t="str">
        <f t="shared" si="50"/>
        <v>VERIFICAR</v>
      </c>
      <c r="F1156" s="22">
        <v>1.e-002</v>
      </c>
      <c r="G1156" s="21" t="str">
        <f t="shared" si="51"/>
        <v>VERIFICAR</v>
      </c>
      <c r="H1156" s="22">
        <v>1.e-002</v>
      </c>
      <c r="I1156" s="23" t="str">
        <f t="shared" si="52"/>
        <v xml:space="preserve">COM VALOR</v>
      </c>
      <c r="J1156" s="19"/>
      <c r="L1156" s="21">
        <v>0</v>
      </c>
      <c r="M1156" s="22"/>
      <c r="N1156" s="21">
        <v>0</v>
      </c>
      <c r="O1156" s="22"/>
    </row>
    <row r="1157" ht="38.25">
      <c r="A1157" t="s">
        <v>1145</v>
      </c>
      <c r="B1157" s="19">
        <v>101802</v>
      </c>
      <c r="C1157" s="20" t="s">
        <v>1197</v>
      </c>
      <c r="D1157" s="19" t="s">
        <v>31</v>
      </c>
      <c r="E1157" s="21">
        <f t="shared" si="50"/>
        <v>1812.6500000000001</v>
      </c>
      <c r="F1157" s="22">
        <v>0.90000000000000002</v>
      </c>
      <c r="G1157" s="21">
        <f t="shared" si="51"/>
        <v>1767.97</v>
      </c>
      <c r="H1157" s="22">
        <v>0.91000000000000003</v>
      </c>
      <c r="I1157" s="23" t="str">
        <f t="shared" si="52"/>
        <v xml:space="preserve">COM VALOR</v>
      </c>
      <c r="J1157" s="19"/>
      <c r="L1157" s="21">
        <v>1812.6500000000001</v>
      </c>
      <c r="M1157" s="22">
        <v>1.e-002</v>
      </c>
      <c r="N1157" s="21">
        <v>1767.97</v>
      </c>
      <c r="O1157" s="22">
        <v>1.e-002</v>
      </c>
    </row>
    <row r="1158" ht="38.25">
      <c r="A1158" t="s">
        <v>1145</v>
      </c>
      <c r="B1158" s="19">
        <v>101803</v>
      </c>
      <c r="C1158" s="20" t="s">
        <v>1198</v>
      </c>
      <c r="D1158" s="19" t="s">
        <v>31</v>
      </c>
      <c r="E1158" s="21">
        <f t="shared" si="50"/>
        <v>1148.29</v>
      </c>
      <c r="F1158" s="22">
        <v>0</v>
      </c>
      <c r="G1158" s="21">
        <f t="shared" si="51"/>
        <v>1117.1099999999999</v>
      </c>
      <c r="H1158" s="22">
        <v>0</v>
      </c>
      <c r="I1158" s="23" t="str">
        <f t="shared" si="52"/>
        <v xml:space="preserve">COM VALOR</v>
      </c>
      <c r="J1158" s="19"/>
      <c r="L1158" s="21">
        <v>1148.29</v>
      </c>
      <c r="M1158" s="22">
        <v>0</v>
      </c>
      <c r="N1158" s="21">
        <v>1117.1099999999999</v>
      </c>
      <c r="O1158" s="22">
        <v>0</v>
      </c>
    </row>
    <row r="1159" ht="38.25">
      <c r="A1159" t="s">
        <v>1145</v>
      </c>
      <c r="B1159" s="19">
        <v>101804</v>
      </c>
      <c r="C1159" s="20" t="s">
        <v>1199</v>
      </c>
      <c r="D1159" s="19" t="s">
        <v>31</v>
      </c>
      <c r="E1159" s="21">
        <f t="shared" si="50"/>
        <v>1442.3199999999999</v>
      </c>
      <c r="F1159" s="22">
        <v>0</v>
      </c>
      <c r="G1159" s="21">
        <f t="shared" si="51"/>
        <v>1405.6099999999999</v>
      </c>
      <c r="H1159" s="22">
        <v>0</v>
      </c>
      <c r="I1159" s="23" t="str">
        <f t="shared" si="52"/>
        <v xml:space="preserve">COM VALOR</v>
      </c>
      <c r="J1159" s="19"/>
      <c r="L1159" s="21">
        <v>1442.3199999999999</v>
      </c>
      <c r="M1159" s="22">
        <v>1.e-002</v>
      </c>
      <c r="N1159" s="21">
        <v>1405.6099999999999</v>
      </c>
      <c r="O1159" s="22">
        <v>1.e-002</v>
      </c>
    </row>
    <row r="1160" ht="38.25">
      <c r="A1160" t="s">
        <v>1145</v>
      </c>
      <c r="B1160" s="19">
        <v>101805</v>
      </c>
      <c r="C1160" s="20" t="s">
        <v>1200</v>
      </c>
      <c r="D1160" s="19" t="s">
        <v>31</v>
      </c>
      <c r="E1160" s="21">
        <f t="shared" si="50"/>
        <v>1831.29</v>
      </c>
      <c r="F1160" s="22">
        <v>0</v>
      </c>
      <c r="G1160" s="21">
        <f t="shared" si="51"/>
        <v>1784.48</v>
      </c>
      <c r="H1160" s="22">
        <v>0</v>
      </c>
      <c r="I1160" s="23" t="str">
        <f t="shared" si="52"/>
        <v xml:space="preserve">COM VALOR</v>
      </c>
      <c r="J1160" s="19"/>
      <c r="L1160" s="21">
        <v>1831.29</v>
      </c>
      <c r="M1160" s="22">
        <v>1.e-002</v>
      </c>
      <c r="N1160" s="21">
        <v>1784.48</v>
      </c>
      <c r="O1160" s="22">
        <v>1.e-002</v>
      </c>
    </row>
    <row r="1161" ht="25.5">
      <c r="A1161" t="s">
        <v>1145</v>
      </c>
      <c r="B1161" s="19">
        <v>98115</v>
      </c>
      <c r="C1161" s="20" t="s">
        <v>1201</v>
      </c>
      <c r="D1161" s="19" t="s">
        <v>31</v>
      </c>
      <c r="E1161" s="21">
        <f t="shared" si="50"/>
        <v>99.129999999999995</v>
      </c>
      <c r="F1161" s="22">
        <v>0</v>
      </c>
      <c r="G1161" s="21">
        <f t="shared" si="51"/>
        <v>95.489999999999995</v>
      </c>
      <c r="H1161" s="22">
        <v>0</v>
      </c>
      <c r="I1161" s="23" t="str">
        <f t="shared" si="52"/>
        <v xml:space="preserve">COM VALOR</v>
      </c>
      <c r="J1161" s="19"/>
      <c r="L1161" s="21">
        <v>99.129999999999995</v>
      </c>
      <c r="M1161" s="22">
        <v>1.e-002</v>
      </c>
      <c r="N1161" s="21">
        <v>95.489999999999995</v>
      </c>
      <c r="O1161" s="22">
        <v>1.e-002</v>
      </c>
    </row>
    <row r="1162" ht="25.5">
      <c r="A1162" t="s">
        <v>1145</v>
      </c>
      <c r="B1162" s="19">
        <v>98114</v>
      </c>
      <c r="C1162" s="20" t="s">
        <v>1202</v>
      </c>
      <c r="D1162" s="19" t="s">
        <v>31</v>
      </c>
      <c r="E1162" s="21">
        <f t="shared" si="50"/>
        <v>603.15999999999997</v>
      </c>
      <c r="F1162" s="22">
        <v>0</v>
      </c>
      <c r="G1162" s="21">
        <f t="shared" si="51"/>
        <v>600.08000000000004</v>
      </c>
      <c r="H1162" s="22">
        <v>0</v>
      </c>
      <c r="I1162" s="23" t="str">
        <f t="shared" si="52"/>
        <v xml:space="preserve">COM VALOR</v>
      </c>
      <c r="J1162" s="19"/>
      <c r="L1162" s="21">
        <v>603.15999999999997</v>
      </c>
      <c r="M1162" s="22">
        <v>0.89000000000000001</v>
      </c>
      <c r="N1162" s="21">
        <v>600.08000000000004</v>
      </c>
      <c r="O1162" s="22">
        <v>0.89000000000000001</v>
      </c>
    </row>
    <row r="1163" ht="25.5">
      <c r="A1163" t="s">
        <v>1145</v>
      </c>
      <c r="B1163" s="19">
        <v>98112</v>
      </c>
      <c r="C1163" s="20" t="s">
        <v>1203</v>
      </c>
      <c r="D1163" s="19" t="s">
        <v>31</v>
      </c>
      <c r="E1163" s="21">
        <f t="shared" ref="E1163:E1226" si="53">IF(L1163=0,"VERIFICAR",L1163)</f>
        <v>103.88</v>
      </c>
      <c r="F1163" s="22">
        <v>0</v>
      </c>
      <c r="G1163" s="21">
        <f t="shared" ref="G1163:G1226" si="54">IF(N1163=0,"VERIFICAR",N1163)</f>
        <v>102.61</v>
      </c>
      <c r="H1163" s="22">
        <v>0</v>
      </c>
      <c r="I1163" s="23" t="str">
        <f t="shared" ref="I1163:I1226" si="55">IF(OR(E1163=0,G1163=0),"SEM VALOR","COM VALOR")</f>
        <v xml:space="preserve">COM VALOR</v>
      </c>
      <c r="J1163" s="19"/>
      <c r="L1163" s="21">
        <v>103.88</v>
      </c>
      <c r="M1163" s="22">
        <v>0</v>
      </c>
      <c r="N1163" s="21">
        <v>102.61</v>
      </c>
      <c r="O1163" s="22">
        <v>0</v>
      </c>
    </row>
    <row r="1164" ht="25.5">
      <c r="A1164" t="s">
        <v>1145</v>
      </c>
      <c r="B1164" s="19">
        <v>100128</v>
      </c>
      <c r="C1164" s="20" t="s">
        <v>1204</v>
      </c>
      <c r="D1164" s="19" t="s">
        <v>31</v>
      </c>
      <c r="E1164" s="21">
        <f t="shared" si="53"/>
        <v>1751.24</v>
      </c>
      <c r="F1164" s="22">
        <v>0</v>
      </c>
      <c r="G1164" s="21">
        <f t="shared" si="54"/>
        <v>1749.4400000000001</v>
      </c>
      <c r="H1164" s="22">
        <v>0</v>
      </c>
      <c r="I1164" s="23" t="str">
        <f t="shared" si="55"/>
        <v xml:space="preserve">COM VALOR</v>
      </c>
      <c r="J1164" s="19"/>
      <c r="L1164" s="21">
        <v>1751.24</v>
      </c>
      <c r="M1164" s="22">
        <v>0</v>
      </c>
      <c r="N1164" s="21">
        <v>1749.4400000000001</v>
      </c>
      <c r="O1164" s="22">
        <v>0</v>
      </c>
    </row>
    <row r="1165" ht="38.25">
      <c r="A1165" t="s">
        <v>1205</v>
      </c>
      <c r="B1165" s="19">
        <v>102623</v>
      </c>
      <c r="C1165" s="20" t="s">
        <v>1206</v>
      </c>
      <c r="D1165" s="19" t="s">
        <v>31</v>
      </c>
      <c r="E1165" s="21">
        <f t="shared" si="53"/>
        <v>834.94000000000005</v>
      </c>
      <c r="F1165" s="22">
        <v>0</v>
      </c>
      <c r="G1165" s="21">
        <f t="shared" si="54"/>
        <v>828.86000000000001</v>
      </c>
      <c r="H1165" s="22">
        <v>0</v>
      </c>
      <c r="I1165" s="23" t="str">
        <f t="shared" si="55"/>
        <v xml:space="preserve">COM VALOR</v>
      </c>
      <c r="J1165" s="19"/>
      <c r="L1165" s="21">
        <v>834.94000000000005</v>
      </c>
      <c r="M1165" s="22">
        <v>0</v>
      </c>
      <c r="N1165" s="21">
        <v>828.86000000000001</v>
      </c>
      <c r="O1165" s="22">
        <v>0</v>
      </c>
    </row>
    <row r="1166" ht="25.5">
      <c r="A1166" t="s">
        <v>1205</v>
      </c>
      <c r="B1166" s="19">
        <v>102607</v>
      </c>
      <c r="C1166" s="20" t="s">
        <v>1207</v>
      </c>
      <c r="D1166" s="19" t="s">
        <v>31</v>
      </c>
      <c r="E1166" s="21">
        <f t="shared" si="53"/>
        <v>476.67000000000002</v>
      </c>
      <c r="F1166" s="22">
        <v>0</v>
      </c>
      <c r="G1166" s="21">
        <f t="shared" si="54"/>
        <v>476.23000000000002</v>
      </c>
      <c r="H1166" s="22">
        <v>0</v>
      </c>
      <c r="I1166" s="23" t="str">
        <f t="shared" si="55"/>
        <v xml:space="preserve">COM VALOR</v>
      </c>
      <c r="J1166" s="19"/>
      <c r="L1166" s="21">
        <v>476.67000000000002</v>
      </c>
      <c r="M1166" s="22">
        <v>0</v>
      </c>
      <c r="N1166" s="21">
        <v>476.23000000000002</v>
      </c>
      <c r="O1166" s="22">
        <v>0</v>
      </c>
    </row>
    <row r="1167" ht="25.5">
      <c r="A1167" t="s">
        <v>1205</v>
      </c>
      <c r="B1167" s="19">
        <v>102608</v>
      </c>
      <c r="C1167" s="20" t="s">
        <v>1208</v>
      </c>
      <c r="D1167" s="19" t="s">
        <v>31</v>
      </c>
      <c r="E1167" s="21">
        <f t="shared" si="53"/>
        <v>1092.73</v>
      </c>
      <c r="F1167" s="22">
        <v>0</v>
      </c>
      <c r="G1167" s="21">
        <f t="shared" si="54"/>
        <v>1092.1500000000001</v>
      </c>
      <c r="H1167" s="22">
        <v>0</v>
      </c>
      <c r="I1167" s="23" t="str">
        <f t="shared" si="55"/>
        <v xml:space="preserve">COM VALOR</v>
      </c>
      <c r="J1167" s="19"/>
      <c r="L1167" s="21">
        <v>1092.73</v>
      </c>
      <c r="M1167" s="22">
        <v>0</v>
      </c>
      <c r="N1167" s="21">
        <v>1092.1500000000001</v>
      </c>
      <c r="O1167" s="22">
        <v>0</v>
      </c>
    </row>
    <row r="1168" ht="25.5">
      <c r="A1168" t="s">
        <v>1205</v>
      </c>
      <c r="B1168" s="19">
        <v>102609</v>
      </c>
      <c r="C1168" s="20" t="s">
        <v>1209</v>
      </c>
      <c r="D1168" s="19" t="s">
        <v>31</v>
      </c>
      <c r="E1168" s="21">
        <f t="shared" si="53"/>
        <v>1241.6099999999999</v>
      </c>
      <c r="F1168" s="22">
        <v>0</v>
      </c>
      <c r="G1168" s="21">
        <f t="shared" si="54"/>
        <v>1240.8399999999999</v>
      </c>
      <c r="H1168" s="22">
        <v>0</v>
      </c>
      <c r="I1168" s="23" t="str">
        <f t="shared" si="55"/>
        <v xml:space="preserve">COM VALOR</v>
      </c>
      <c r="J1168" s="19"/>
      <c r="L1168" s="21">
        <v>1241.6099999999999</v>
      </c>
      <c r="M1168" s="22">
        <v>0</v>
      </c>
      <c r="N1168" s="21">
        <v>1240.8399999999999</v>
      </c>
      <c r="O1168" s="22">
        <v>0</v>
      </c>
    </row>
    <row r="1169" ht="25.5">
      <c r="A1169" t="s">
        <v>1205</v>
      </c>
      <c r="B1169" s="19">
        <v>102610</v>
      </c>
      <c r="C1169" s="20" t="s">
        <v>1210</v>
      </c>
      <c r="D1169" s="19" t="s">
        <v>31</v>
      </c>
      <c r="E1169" s="21">
        <f t="shared" si="53"/>
        <v>2134.0599999999999</v>
      </c>
      <c r="F1169" s="22">
        <v>8.0000000000000002e-002</v>
      </c>
      <c r="G1169" s="21">
        <f t="shared" si="54"/>
        <v>2133.0900000000001</v>
      </c>
      <c r="H1169" s="22">
        <v>8.0000000000000002e-002</v>
      </c>
      <c r="I1169" s="23" t="str">
        <f t="shared" si="55"/>
        <v xml:space="preserve">COM VALOR</v>
      </c>
      <c r="J1169" s="19"/>
      <c r="L1169" s="21">
        <v>2134.0599999999999</v>
      </c>
      <c r="M1169" s="22">
        <v>0</v>
      </c>
      <c r="N1169" s="21">
        <v>2133.0900000000001</v>
      </c>
      <c r="O1169" s="22">
        <v>0</v>
      </c>
    </row>
    <row r="1170" ht="38.25">
      <c r="A1170" t="s">
        <v>1205</v>
      </c>
      <c r="B1170" s="19">
        <v>102622</v>
      </c>
      <c r="C1170" s="20" t="s">
        <v>1211</v>
      </c>
      <c r="D1170" s="19" t="s">
        <v>31</v>
      </c>
      <c r="E1170" s="21">
        <f t="shared" si="53"/>
        <v>597.51999999999998</v>
      </c>
      <c r="F1170" s="22">
        <v>0</v>
      </c>
      <c r="G1170" s="21">
        <f t="shared" si="54"/>
        <v>592</v>
      </c>
      <c r="H1170" s="22">
        <v>0</v>
      </c>
      <c r="I1170" s="23" t="str">
        <f t="shared" si="55"/>
        <v xml:space="preserve">COM VALOR</v>
      </c>
      <c r="J1170" s="19"/>
      <c r="L1170" s="21">
        <v>597.51999999999998</v>
      </c>
      <c r="M1170" s="22">
        <v>0</v>
      </c>
      <c r="N1170" s="21">
        <v>592</v>
      </c>
      <c r="O1170" s="22">
        <v>0</v>
      </c>
    </row>
    <row r="1171" ht="25.5">
      <c r="A1171" t="s">
        <v>1205</v>
      </c>
      <c r="B1171" s="19">
        <v>102605</v>
      </c>
      <c r="C1171" s="20" t="s">
        <v>1212</v>
      </c>
      <c r="D1171" s="19" t="s">
        <v>31</v>
      </c>
      <c r="E1171" s="21">
        <f t="shared" si="53"/>
        <v>288.94999999999999</v>
      </c>
      <c r="F1171" s="22">
        <v>5.0000000000000003e-002</v>
      </c>
      <c r="G1171" s="21">
        <f t="shared" si="54"/>
        <v>288.64999999999998</v>
      </c>
      <c r="H1171" s="22">
        <v>5.0000000000000003e-002</v>
      </c>
      <c r="I1171" s="23" t="str">
        <f t="shared" si="55"/>
        <v xml:space="preserve">COM VALOR</v>
      </c>
      <c r="J1171" s="19"/>
      <c r="L1171" s="21">
        <v>288.94999999999999</v>
      </c>
      <c r="M1171" s="22">
        <v>0</v>
      </c>
      <c r="N1171" s="21">
        <v>288.64999999999998</v>
      </c>
      <c r="O1171" s="22">
        <v>0</v>
      </c>
    </row>
    <row r="1172" ht="25.5">
      <c r="A1172" t="s">
        <v>1205</v>
      </c>
      <c r="B1172" s="19">
        <v>102606</v>
      </c>
      <c r="C1172" s="20" t="s">
        <v>1213</v>
      </c>
      <c r="D1172" s="19" t="s">
        <v>31</v>
      </c>
      <c r="E1172" s="21">
        <f t="shared" si="53"/>
        <v>445.30000000000001</v>
      </c>
      <c r="F1172" s="22">
        <v>0</v>
      </c>
      <c r="G1172" s="21">
        <f t="shared" si="54"/>
        <v>444.92000000000002</v>
      </c>
      <c r="H1172" s="22">
        <v>0</v>
      </c>
      <c r="I1172" s="23" t="str">
        <f t="shared" si="55"/>
        <v xml:space="preserve">COM VALOR</v>
      </c>
      <c r="J1172" s="19"/>
      <c r="L1172" s="21">
        <v>445.30000000000001</v>
      </c>
      <c r="M1172" s="22">
        <v>0</v>
      </c>
      <c r="N1172" s="21">
        <v>444.92000000000002</v>
      </c>
      <c r="O1172" s="22">
        <v>0</v>
      </c>
    </row>
    <row r="1173" ht="25.5">
      <c r="A1173" t="s">
        <v>1205</v>
      </c>
      <c r="B1173" s="19">
        <v>102613</v>
      </c>
      <c r="C1173" s="20" t="s">
        <v>1214</v>
      </c>
      <c r="D1173" s="19" t="s">
        <v>31</v>
      </c>
      <c r="E1173" s="21">
        <f t="shared" si="53"/>
        <v>668.24000000000001</v>
      </c>
      <c r="F1173" s="22">
        <v>2.9999999999999999e-002</v>
      </c>
      <c r="G1173" s="21">
        <f t="shared" si="54"/>
        <v>667.79999999999995</v>
      </c>
      <c r="H1173" s="22">
        <v>2.9999999999999999e-002</v>
      </c>
      <c r="I1173" s="23" t="str">
        <f t="shared" si="55"/>
        <v xml:space="preserve">COM VALOR</v>
      </c>
      <c r="J1173" s="19"/>
      <c r="L1173" s="21">
        <v>668.24000000000001</v>
      </c>
      <c r="M1173" s="22">
        <v>0</v>
      </c>
      <c r="N1173" s="21">
        <v>667.79999999999995</v>
      </c>
      <c r="O1173" s="22">
        <v>0</v>
      </c>
    </row>
    <row r="1174" ht="25.5">
      <c r="A1174" t="s">
        <v>1205</v>
      </c>
      <c r="B1174" s="19">
        <v>102619</v>
      </c>
      <c r="C1174" s="20" t="s">
        <v>1215</v>
      </c>
      <c r="D1174" s="19" t="s">
        <v>31</v>
      </c>
      <c r="E1174" s="21">
        <f t="shared" si="53"/>
        <v>5692.5900000000001</v>
      </c>
      <c r="F1174" s="22">
        <v>0</v>
      </c>
      <c r="G1174" s="21">
        <f t="shared" si="54"/>
        <v>5682.4700000000003</v>
      </c>
      <c r="H1174" s="22">
        <v>0</v>
      </c>
      <c r="I1174" s="23" t="str">
        <f t="shared" si="55"/>
        <v xml:space="preserve">COM VALOR</v>
      </c>
      <c r="J1174" s="19"/>
      <c r="L1174" s="21">
        <v>5692.5900000000001</v>
      </c>
      <c r="M1174" s="22">
        <v>8.0000000000000002e-002</v>
      </c>
      <c r="N1174" s="21">
        <v>5682.4700000000003</v>
      </c>
      <c r="O1174" s="22">
        <v>8.0000000000000002e-002</v>
      </c>
    </row>
    <row r="1175" ht="25.5">
      <c r="A1175" t="s">
        <v>1205</v>
      </c>
      <c r="B1175" s="19">
        <v>102614</v>
      </c>
      <c r="C1175" s="20" t="s">
        <v>1216</v>
      </c>
      <c r="D1175" s="19" t="s">
        <v>31</v>
      </c>
      <c r="E1175" s="21">
        <f t="shared" si="53"/>
        <v>1027.55</v>
      </c>
      <c r="F1175" s="22">
        <v>0</v>
      </c>
      <c r="G1175" s="21">
        <f t="shared" si="54"/>
        <v>1026.98</v>
      </c>
      <c r="H1175" s="22">
        <v>0</v>
      </c>
      <c r="I1175" s="23" t="str">
        <f t="shared" si="55"/>
        <v xml:space="preserve">COM VALOR</v>
      </c>
      <c r="J1175" s="19"/>
      <c r="L1175" s="21">
        <v>1027.55</v>
      </c>
      <c r="M1175" s="22">
        <v>0</v>
      </c>
      <c r="N1175" s="21">
        <v>1026.98</v>
      </c>
      <c r="O1175" s="22">
        <v>0</v>
      </c>
    </row>
    <row r="1176" ht="25.5">
      <c r="A1176" t="s">
        <v>1205</v>
      </c>
      <c r="B1176" s="19">
        <v>102620</v>
      </c>
      <c r="C1176" s="20" t="s">
        <v>1217</v>
      </c>
      <c r="D1176" s="19" t="s">
        <v>31</v>
      </c>
      <c r="E1176" s="21">
        <f t="shared" si="53"/>
        <v>8271.9599999999991</v>
      </c>
      <c r="F1176" s="22">
        <v>0.12</v>
      </c>
      <c r="G1176" s="21">
        <f t="shared" si="54"/>
        <v>8261.8400000000001</v>
      </c>
      <c r="H1176" s="22">
        <v>0.12</v>
      </c>
      <c r="I1176" s="23" t="str">
        <f t="shared" si="55"/>
        <v xml:space="preserve">COM VALOR</v>
      </c>
      <c r="J1176" s="19"/>
      <c r="L1176" s="21">
        <v>8271.9599999999991</v>
      </c>
      <c r="M1176" s="22">
        <v>5.0000000000000003e-002</v>
      </c>
      <c r="N1176" s="21">
        <v>8261.8400000000001</v>
      </c>
      <c r="O1176" s="22">
        <v>5.0000000000000003e-002</v>
      </c>
    </row>
    <row r="1177" ht="25.5">
      <c r="A1177" t="s">
        <v>1205</v>
      </c>
      <c r="B1177" s="19">
        <v>102615</v>
      </c>
      <c r="C1177" s="20" t="s">
        <v>1218</v>
      </c>
      <c r="D1177" s="19" t="s">
        <v>31</v>
      </c>
      <c r="E1177" s="21">
        <f t="shared" si="53"/>
        <v>1289.5699999999999</v>
      </c>
      <c r="F1177" s="22">
        <v>0.10000000000000001</v>
      </c>
      <c r="G1177" s="21">
        <f t="shared" si="54"/>
        <v>1288.8599999999999</v>
      </c>
      <c r="H1177" s="22">
        <v>0.10000000000000001</v>
      </c>
      <c r="I1177" s="23" t="str">
        <f t="shared" si="55"/>
        <v xml:space="preserve">COM VALOR</v>
      </c>
      <c r="J1177" s="19"/>
      <c r="L1177" s="21">
        <v>1289.5699999999999</v>
      </c>
      <c r="M1177" s="22">
        <v>0</v>
      </c>
      <c r="N1177" s="21">
        <v>1288.8599999999999</v>
      </c>
      <c r="O1177" s="22">
        <v>0</v>
      </c>
    </row>
    <row r="1178" ht="25.5">
      <c r="A1178" t="s">
        <v>1205</v>
      </c>
      <c r="B1178" s="19">
        <v>102621</v>
      </c>
      <c r="C1178" s="20" t="s">
        <v>1219</v>
      </c>
      <c r="D1178" s="19" t="s">
        <v>31</v>
      </c>
      <c r="E1178" s="21">
        <f t="shared" si="53"/>
        <v>12716.870000000001</v>
      </c>
      <c r="F1178" s="22">
        <v>0</v>
      </c>
      <c r="G1178" s="21">
        <f t="shared" si="54"/>
        <v>12706.75</v>
      </c>
      <c r="H1178" s="22">
        <v>0</v>
      </c>
      <c r="I1178" s="23" t="str">
        <f t="shared" si="55"/>
        <v xml:space="preserve">COM VALOR</v>
      </c>
      <c r="J1178" s="19"/>
      <c r="L1178" s="21">
        <v>12716.870000000001</v>
      </c>
      <c r="M1178" s="22">
        <v>2.9999999999999999e-002</v>
      </c>
      <c r="N1178" s="21">
        <v>12706.75</v>
      </c>
      <c r="O1178" s="22">
        <v>2.9999999999999999e-002</v>
      </c>
    </row>
    <row r="1179" ht="25.5">
      <c r="A1179" t="s">
        <v>1205</v>
      </c>
      <c r="B1179" s="19">
        <v>102616</v>
      </c>
      <c r="C1179" s="20" t="s">
        <v>1220</v>
      </c>
      <c r="D1179" s="19" t="s">
        <v>31</v>
      </c>
      <c r="E1179" s="21">
        <f t="shared" si="53"/>
        <v>1909.01</v>
      </c>
      <c r="F1179" s="22">
        <v>0</v>
      </c>
      <c r="G1179" s="21">
        <f t="shared" si="54"/>
        <v>1908.0799999999999</v>
      </c>
      <c r="H1179" s="22">
        <v>0</v>
      </c>
      <c r="I1179" s="23" t="str">
        <f t="shared" si="55"/>
        <v xml:space="preserve">COM VALOR</v>
      </c>
      <c r="J1179" s="19"/>
      <c r="L1179" s="21">
        <v>1909.01</v>
      </c>
      <c r="M1179" s="22">
        <v>0</v>
      </c>
      <c r="N1179" s="21">
        <v>1908.0799999999999</v>
      </c>
      <c r="O1179" s="22">
        <v>0</v>
      </c>
    </row>
    <row r="1180" ht="25.5">
      <c r="A1180" t="s">
        <v>1205</v>
      </c>
      <c r="B1180" s="19">
        <v>102611</v>
      </c>
      <c r="C1180" s="20" t="s">
        <v>1221</v>
      </c>
      <c r="D1180" s="19" t="s">
        <v>31</v>
      </c>
      <c r="E1180" s="21">
        <f t="shared" si="53"/>
        <v>480.16000000000003</v>
      </c>
      <c r="F1180" s="22">
        <v>0</v>
      </c>
      <c r="G1180" s="21">
        <f t="shared" si="54"/>
        <v>479.82999999999998</v>
      </c>
      <c r="H1180" s="22">
        <v>0</v>
      </c>
      <c r="I1180" s="23" t="str">
        <f t="shared" si="55"/>
        <v xml:space="preserve">COM VALOR</v>
      </c>
      <c r="J1180" s="19"/>
      <c r="L1180" s="21">
        <v>480.16000000000003</v>
      </c>
      <c r="M1180" s="22">
        <v>0</v>
      </c>
      <c r="N1180" s="21">
        <v>479.82999999999998</v>
      </c>
      <c r="O1180" s="22">
        <v>0</v>
      </c>
    </row>
    <row r="1181" ht="25.5">
      <c r="A1181" t="s">
        <v>1205</v>
      </c>
      <c r="B1181" s="19">
        <v>102617</v>
      </c>
      <c r="C1181" s="20" t="s">
        <v>1222</v>
      </c>
      <c r="D1181" s="19" t="s">
        <v>31</v>
      </c>
      <c r="E1181" s="21">
        <f t="shared" si="53"/>
        <v>3523.4400000000001</v>
      </c>
      <c r="F1181" s="22">
        <v>0</v>
      </c>
      <c r="G1181" s="21">
        <f t="shared" si="54"/>
        <v>3513.3200000000002</v>
      </c>
      <c r="H1181" s="22">
        <v>0</v>
      </c>
      <c r="I1181" s="23" t="str">
        <f t="shared" si="55"/>
        <v xml:space="preserve">COM VALOR</v>
      </c>
      <c r="J1181" s="19"/>
      <c r="L1181" s="21">
        <v>3523.4400000000001</v>
      </c>
      <c r="M1181" s="22">
        <v>0.12</v>
      </c>
      <c r="N1181" s="21">
        <v>3513.3200000000002</v>
      </c>
      <c r="O1181" s="22">
        <v>0.12</v>
      </c>
    </row>
    <row r="1182" ht="25.5">
      <c r="A1182" t="s">
        <v>1205</v>
      </c>
      <c r="B1182" s="19">
        <v>102618</v>
      </c>
      <c r="C1182" s="20" t="s">
        <v>1223</v>
      </c>
      <c r="D1182" s="19" t="s">
        <v>31</v>
      </c>
      <c r="E1182" s="21">
        <f t="shared" si="53"/>
        <v>4239.6099999999997</v>
      </c>
      <c r="F1182" s="22">
        <v>0</v>
      </c>
      <c r="G1182" s="21">
        <f t="shared" si="54"/>
        <v>4229.4899999999998</v>
      </c>
      <c r="H1182" s="22">
        <v>0</v>
      </c>
      <c r="I1182" s="23" t="str">
        <f t="shared" si="55"/>
        <v xml:space="preserve">COM VALOR</v>
      </c>
      <c r="J1182" s="19"/>
      <c r="L1182" s="21">
        <v>4239.6099999999997</v>
      </c>
      <c r="M1182" s="22">
        <v>0.10000000000000001</v>
      </c>
      <c r="N1182" s="21">
        <v>4229.4899999999998</v>
      </c>
      <c r="O1182" s="22">
        <v>0.10000000000000001</v>
      </c>
    </row>
    <row r="1183" ht="25.5">
      <c r="A1183" t="s">
        <v>1205</v>
      </c>
      <c r="B1183" s="19">
        <v>102612</v>
      </c>
      <c r="C1183" s="20" t="s">
        <v>1224</v>
      </c>
      <c r="D1183" s="19" t="s">
        <v>31</v>
      </c>
      <c r="E1183" s="21">
        <f t="shared" si="53"/>
        <v>689.38999999999999</v>
      </c>
      <c r="F1183" s="22">
        <v>0</v>
      </c>
      <c r="G1183" s="21">
        <f t="shared" si="54"/>
        <v>689.02999999999997</v>
      </c>
      <c r="H1183" s="22">
        <v>0</v>
      </c>
      <c r="I1183" s="23" t="str">
        <f t="shared" si="55"/>
        <v xml:space="preserve">COM VALOR</v>
      </c>
      <c r="J1183" s="19"/>
      <c r="L1183" s="21">
        <v>689.38999999999999</v>
      </c>
      <c r="M1183" s="22">
        <v>0</v>
      </c>
      <c r="N1183" s="21">
        <v>689.02999999999997</v>
      </c>
      <c r="O1183" s="22">
        <v>0</v>
      </c>
    </row>
    <row r="1184" ht="25.5">
      <c r="A1184" t="s">
        <v>1205</v>
      </c>
      <c r="B1184" s="19">
        <v>102603</v>
      </c>
      <c r="C1184" s="20" t="s">
        <v>1225</v>
      </c>
      <c r="D1184" s="19" t="s">
        <v>31</v>
      </c>
      <c r="E1184" s="21">
        <f t="shared" si="53"/>
        <v>10.35</v>
      </c>
      <c r="F1184" s="22">
        <v>0</v>
      </c>
      <c r="G1184" s="21">
        <f t="shared" si="54"/>
        <v>9.7699999999999996</v>
      </c>
      <c r="H1184" s="22">
        <v>0</v>
      </c>
      <c r="I1184" s="23" t="str">
        <f t="shared" si="55"/>
        <v xml:space="preserve">COM VALOR</v>
      </c>
      <c r="J1184" s="19"/>
      <c r="L1184" s="21">
        <v>10.35</v>
      </c>
      <c r="M1184" s="22">
        <v>0</v>
      </c>
      <c r="N1184" s="21">
        <v>9.7699999999999996</v>
      </c>
      <c r="O1184" s="22">
        <v>0</v>
      </c>
    </row>
    <row r="1185" ht="25.5">
      <c r="A1185" t="s">
        <v>1205</v>
      </c>
      <c r="B1185" s="19">
        <v>102587</v>
      </c>
      <c r="C1185" s="20" t="s">
        <v>1226</v>
      </c>
      <c r="D1185" s="19" t="s">
        <v>31</v>
      </c>
      <c r="E1185" s="21">
        <f t="shared" si="53"/>
        <v>3.54</v>
      </c>
      <c r="F1185" s="22">
        <v>0</v>
      </c>
      <c r="G1185" s="21">
        <f t="shared" si="54"/>
        <v>3.3500000000000001</v>
      </c>
      <c r="H1185" s="22">
        <v>0</v>
      </c>
      <c r="I1185" s="23" t="str">
        <f t="shared" si="55"/>
        <v xml:space="preserve">COM VALOR</v>
      </c>
      <c r="J1185" s="19"/>
      <c r="L1185" s="21">
        <v>3.54</v>
      </c>
      <c r="M1185" s="22">
        <v>0</v>
      </c>
      <c r="N1185" s="21">
        <v>3.3500000000000001</v>
      </c>
      <c r="O1185" s="22">
        <v>0</v>
      </c>
    </row>
    <row r="1186" ht="25.5">
      <c r="A1186" t="s">
        <v>1205</v>
      </c>
      <c r="B1186" s="19">
        <v>102589</v>
      </c>
      <c r="C1186" s="20" t="s">
        <v>1227</v>
      </c>
      <c r="D1186" s="19" t="s">
        <v>31</v>
      </c>
      <c r="E1186" s="21">
        <f t="shared" si="53"/>
        <v>3.9399999999999999</v>
      </c>
      <c r="F1186" s="22">
        <v>0</v>
      </c>
      <c r="G1186" s="21">
        <f t="shared" si="54"/>
        <v>3.7200000000000002</v>
      </c>
      <c r="H1186" s="22">
        <v>0</v>
      </c>
      <c r="I1186" s="23" t="str">
        <f t="shared" si="55"/>
        <v xml:space="preserve">COM VALOR</v>
      </c>
      <c r="J1186" s="19"/>
      <c r="L1186" s="21">
        <v>3.9399999999999999</v>
      </c>
      <c r="M1186" s="22">
        <v>0</v>
      </c>
      <c r="N1186" s="21">
        <v>3.7200000000000002</v>
      </c>
      <c r="O1186" s="22">
        <v>0</v>
      </c>
    </row>
    <row r="1187" ht="25.5">
      <c r="A1187" t="s">
        <v>1205</v>
      </c>
      <c r="B1187" s="19">
        <v>102591</v>
      </c>
      <c r="C1187" s="20" t="s">
        <v>1228</v>
      </c>
      <c r="D1187" s="19" t="s">
        <v>31</v>
      </c>
      <c r="E1187" s="21">
        <f t="shared" si="53"/>
        <v>4.3499999999999996</v>
      </c>
      <c r="F1187" s="22">
        <v>0</v>
      </c>
      <c r="G1187" s="21">
        <f t="shared" si="54"/>
        <v>4.0999999999999996</v>
      </c>
      <c r="H1187" s="22">
        <v>0</v>
      </c>
      <c r="I1187" s="23" t="str">
        <f t="shared" si="55"/>
        <v xml:space="preserve">COM VALOR</v>
      </c>
      <c r="J1187" s="19"/>
      <c r="L1187" s="21">
        <v>4.3499999999999996</v>
      </c>
      <c r="M1187" s="22">
        <v>0</v>
      </c>
      <c r="N1187" s="21">
        <v>4.0999999999999996</v>
      </c>
      <c r="O1187" s="22">
        <v>0</v>
      </c>
    </row>
    <row r="1188" ht="25.5">
      <c r="A1188" t="s">
        <v>1205</v>
      </c>
      <c r="B1188" s="19">
        <v>102593</v>
      </c>
      <c r="C1188" s="20" t="s">
        <v>1229</v>
      </c>
      <c r="D1188" s="19" t="s">
        <v>31</v>
      </c>
      <c r="E1188" s="21">
        <f t="shared" si="53"/>
        <v>4.9100000000000001</v>
      </c>
      <c r="F1188" s="22">
        <v>0</v>
      </c>
      <c r="G1188" s="21">
        <f t="shared" si="54"/>
        <v>4.6299999999999999</v>
      </c>
      <c r="H1188" s="22">
        <v>0</v>
      </c>
      <c r="I1188" s="23" t="str">
        <f t="shared" si="55"/>
        <v xml:space="preserve">COM VALOR</v>
      </c>
      <c r="J1188" s="19"/>
      <c r="L1188" s="21">
        <v>4.9100000000000001</v>
      </c>
      <c r="M1188" s="22">
        <v>0</v>
      </c>
      <c r="N1188" s="21">
        <v>4.6299999999999999</v>
      </c>
      <c r="O1188" s="22">
        <v>0</v>
      </c>
    </row>
    <row r="1189" ht="25.5">
      <c r="A1189" t="s">
        <v>1205</v>
      </c>
      <c r="B1189" s="19">
        <v>102595</v>
      </c>
      <c r="C1189" s="20" t="s">
        <v>1230</v>
      </c>
      <c r="D1189" s="19" t="s">
        <v>31</v>
      </c>
      <c r="E1189" s="21">
        <f t="shared" si="53"/>
        <v>5.5499999999999998</v>
      </c>
      <c r="F1189" s="22">
        <v>0</v>
      </c>
      <c r="G1189" s="21">
        <f t="shared" si="54"/>
        <v>5.2300000000000004</v>
      </c>
      <c r="H1189" s="22">
        <v>0</v>
      </c>
      <c r="I1189" s="23" t="str">
        <f t="shared" si="55"/>
        <v xml:space="preserve">COM VALOR</v>
      </c>
      <c r="J1189" s="19"/>
      <c r="L1189" s="21">
        <v>5.5499999999999998</v>
      </c>
      <c r="M1189" s="22">
        <v>0</v>
      </c>
      <c r="N1189" s="21">
        <v>5.2300000000000004</v>
      </c>
      <c r="O1189" s="22">
        <v>0</v>
      </c>
    </row>
    <row r="1190" ht="25.5">
      <c r="A1190" t="s">
        <v>1205</v>
      </c>
      <c r="B1190" s="19">
        <v>102597</v>
      </c>
      <c r="C1190" s="20" t="s">
        <v>1231</v>
      </c>
      <c r="D1190" s="19" t="s">
        <v>31</v>
      </c>
      <c r="E1190" s="21">
        <f t="shared" si="53"/>
        <v>6.3499999999999996</v>
      </c>
      <c r="F1190" s="22">
        <v>0</v>
      </c>
      <c r="G1190" s="21">
        <f t="shared" si="54"/>
        <v>5.9900000000000002</v>
      </c>
      <c r="H1190" s="22">
        <v>0</v>
      </c>
      <c r="I1190" s="23" t="str">
        <f t="shared" si="55"/>
        <v xml:space="preserve">COM VALOR</v>
      </c>
      <c r="J1190" s="19"/>
      <c r="L1190" s="21">
        <v>6.3499999999999996</v>
      </c>
      <c r="M1190" s="22">
        <v>0</v>
      </c>
      <c r="N1190" s="21">
        <v>5.9900000000000002</v>
      </c>
      <c r="O1190" s="22">
        <v>0</v>
      </c>
    </row>
    <row r="1191" ht="25.5">
      <c r="A1191" t="s">
        <v>1205</v>
      </c>
      <c r="B1191" s="19">
        <v>102599</v>
      </c>
      <c r="C1191" s="20" t="s">
        <v>1232</v>
      </c>
      <c r="D1191" s="19" t="s">
        <v>31</v>
      </c>
      <c r="E1191" s="21">
        <f t="shared" si="53"/>
        <v>7.1399999999999997</v>
      </c>
      <c r="F1191" s="22">
        <v>0</v>
      </c>
      <c r="G1191" s="21">
        <f t="shared" si="54"/>
        <v>6.7400000000000002</v>
      </c>
      <c r="H1191" s="22">
        <v>0</v>
      </c>
      <c r="I1191" s="23" t="str">
        <f t="shared" si="55"/>
        <v xml:space="preserve">COM VALOR</v>
      </c>
      <c r="J1191" s="19"/>
      <c r="L1191" s="21">
        <v>7.1399999999999997</v>
      </c>
      <c r="M1191" s="22">
        <v>0</v>
      </c>
      <c r="N1191" s="21">
        <v>6.7400000000000002</v>
      </c>
      <c r="O1191" s="22">
        <v>0</v>
      </c>
    </row>
    <row r="1192" ht="25.5">
      <c r="A1192" t="s">
        <v>1205</v>
      </c>
      <c r="B1192" s="19">
        <v>102601</v>
      </c>
      <c r="C1192" s="20" t="s">
        <v>1233</v>
      </c>
      <c r="D1192" s="19" t="s">
        <v>31</v>
      </c>
      <c r="E1192" s="21">
        <f t="shared" si="53"/>
        <v>8.3499999999999996</v>
      </c>
      <c r="F1192" s="22">
        <v>0</v>
      </c>
      <c r="G1192" s="21">
        <f t="shared" si="54"/>
        <v>7.8799999999999999</v>
      </c>
      <c r="H1192" s="22">
        <v>0</v>
      </c>
      <c r="I1192" s="23" t="str">
        <f t="shared" si="55"/>
        <v xml:space="preserve">COM VALOR</v>
      </c>
      <c r="J1192" s="19"/>
      <c r="L1192" s="21">
        <v>8.3499999999999996</v>
      </c>
      <c r="M1192" s="22">
        <v>0</v>
      </c>
      <c r="N1192" s="21">
        <v>7.8799999999999999</v>
      </c>
      <c r="O1192" s="22">
        <v>0</v>
      </c>
    </row>
    <row r="1193" ht="25.5">
      <c r="A1193" t="s">
        <v>1205</v>
      </c>
      <c r="B1193" s="19">
        <v>102604</v>
      </c>
      <c r="C1193" s="20" t="s">
        <v>1234</v>
      </c>
      <c r="D1193" s="19" t="s">
        <v>31</v>
      </c>
      <c r="E1193" s="21">
        <f t="shared" si="53"/>
        <v>11.94</v>
      </c>
      <c r="F1193" s="22">
        <v>0</v>
      </c>
      <c r="G1193" s="21">
        <f t="shared" si="54"/>
        <v>11.26</v>
      </c>
      <c r="H1193" s="22">
        <v>0</v>
      </c>
      <c r="I1193" s="23" t="str">
        <f t="shared" si="55"/>
        <v xml:space="preserve">COM VALOR</v>
      </c>
      <c r="J1193" s="19"/>
      <c r="L1193" s="21">
        <v>11.94</v>
      </c>
      <c r="M1193" s="22">
        <v>0</v>
      </c>
      <c r="N1193" s="21">
        <v>11.26</v>
      </c>
      <c r="O1193" s="22">
        <v>0</v>
      </c>
    </row>
    <row r="1194" ht="25.5">
      <c r="A1194" t="s">
        <v>1205</v>
      </c>
      <c r="B1194" s="19">
        <v>102588</v>
      </c>
      <c r="C1194" s="20" t="s">
        <v>1235</v>
      </c>
      <c r="D1194" s="19" t="s">
        <v>31</v>
      </c>
      <c r="E1194" s="21">
        <f t="shared" si="53"/>
        <v>5.1299999999999999</v>
      </c>
      <c r="F1194" s="22">
        <v>0</v>
      </c>
      <c r="G1194" s="21">
        <f t="shared" si="54"/>
        <v>4.8399999999999999</v>
      </c>
      <c r="H1194" s="22">
        <v>0</v>
      </c>
      <c r="I1194" s="23" t="str">
        <f t="shared" si="55"/>
        <v xml:space="preserve">COM VALOR</v>
      </c>
      <c r="J1194" s="19"/>
      <c r="L1194" s="21">
        <v>5.1299999999999999</v>
      </c>
      <c r="M1194" s="22">
        <v>0</v>
      </c>
      <c r="N1194" s="21">
        <v>4.8399999999999999</v>
      </c>
      <c r="O1194" s="22">
        <v>0</v>
      </c>
    </row>
    <row r="1195" ht="25.5">
      <c r="A1195" t="s">
        <v>1205</v>
      </c>
      <c r="B1195" s="19">
        <v>102590</v>
      </c>
      <c r="C1195" s="20" t="s">
        <v>1236</v>
      </c>
      <c r="D1195" s="19" t="s">
        <v>31</v>
      </c>
      <c r="E1195" s="21">
        <f t="shared" si="53"/>
        <v>5.5300000000000002</v>
      </c>
      <c r="F1195" s="22">
        <v>0</v>
      </c>
      <c r="G1195" s="21">
        <f t="shared" si="54"/>
        <v>5.2300000000000004</v>
      </c>
      <c r="H1195" s="22">
        <v>0</v>
      </c>
      <c r="I1195" s="23" t="str">
        <f t="shared" si="55"/>
        <v xml:space="preserve">COM VALOR</v>
      </c>
      <c r="J1195" s="19"/>
      <c r="L1195" s="21">
        <v>5.5300000000000002</v>
      </c>
      <c r="M1195" s="22">
        <v>0</v>
      </c>
      <c r="N1195" s="21">
        <v>5.2300000000000004</v>
      </c>
      <c r="O1195" s="22">
        <v>0</v>
      </c>
    </row>
    <row r="1196" ht="25.5">
      <c r="A1196" t="s">
        <v>1205</v>
      </c>
      <c r="B1196" s="19">
        <v>102592</v>
      </c>
      <c r="C1196" s="20" t="s">
        <v>1237</v>
      </c>
      <c r="D1196" s="19" t="s">
        <v>31</v>
      </c>
      <c r="E1196" s="21">
        <f t="shared" si="53"/>
        <v>5.9299999999999997</v>
      </c>
      <c r="F1196" s="22">
        <v>0</v>
      </c>
      <c r="G1196" s="21">
        <f t="shared" si="54"/>
        <v>5.5999999999999996</v>
      </c>
      <c r="H1196" s="22">
        <v>0</v>
      </c>
      <c r="I1196" s="23" t="str">
        <f t="shared" si="55"/>
        <v xml:space="preserve">COM VALOR</v>
      </c>
      <c r="J1196" s="19"/>
      <c r="L1196" s="21">
        <v>5.9299999999999997</v>
      </c>
      <c r="M1196" s="22">
        <v>0</v>
      </c>
      <c r="N1196" s="21">
        <v>5.5999999999999996</v>
      </c>
      <c r="O1196" s="22">
        <v>0</v>
      </c>
    </row>
    <row r="1197" ht="25.5">
      <c r="A1197" t="s">
        <v>1205</v>
      </c>
      <c r="B1197" s="19">
        <v>102594</v>
      </c>
      <c r="C1197" s="20" t="s">
        <v>1238</v>
      </c>
      <c r="D1197" s="19" t="s">
        <v>31</v>
      </c>
      <c r="E1197" s="21">
        <f t="shared" si="53"/>
        <v>6.5</v>
      </c>
      <c r="F1197" s="22">
        <v>0.31</v>
      </c>
      <c r="G1197" s="21">
        <f t="shared" si="54"/>
        <v>6.1299999999999999</v>
      </c>
      <c r="H1197" s="22">
        <v>0.32000000000000001</v>
      </c>
      <c r="I1197" s="23" t="str">
        <f t="shared" si="55"/>
        <v xml:space="preserve">COM VALOR</v>
      </c>
      <c r="J1197" s="19"/>
      <c r="L1197" s="21">
        <v>6.5</v>
      </c>
      <c r="M1197" s="22">
        <v>0</v>
      </c>
      <c r="N1197" s="21">
        <v>6.1299999999999999</v>
      </c>
      <c r="O1197" s="22">
        <v>0</v>
      </c>
    </row>
    <row r="1198" ht="25.5">
      <c r="A1198" t="s">
        <v>1205</v>
      </c>
      <c r="B1198" s="19">
        <v>102596</v>
      </c>
      <c r="C1198" s="20" t="s">
        <v>1239</v>
      </c>
      <c r="D1198" s="19" t="s">
        <v>31</v>
      </c>
      <c r="E1198" s="21">
        <f t="shared" si="53"/>
        <v>7.1399999999999997</v>
      </c>
      <c r="F1198" s="22">
        <v>0.31</v>
      </c>
      <c r="G1198" s="21">
        <f t="shared" si="54"/>
        <v>6.7300000000000004</v>
      </c>
      <c r="H1198" s="22">
        <v>0.32000000000000001</v>
      </c>
      <c r="I1198" s="23" t="str">
        <f t="shared" si="55"/>
        <v xml:space="preserve">COM VALOR</v>
      </c>
      <c r="J1198" s="19"/>
      <c r="L1198" s="21">
        <v>7.1399999999999997</v>
      </c>
      <c r="M1198" s="22">
        <v>0</v>
      </c>
      <c r="N1198" s="21">
        <v>6.7300000000000004</v>
      </c>
      <c r="O1198" s="22">
        <v>0</v>
      </c>
    </row>
    <row r="1199" ht="25.5">
      <c r="A1199" t="s">
        <v>1205</v>
      </c>
      <c r="B1199" s="19">
        <v>102598</v>
      </c>
      <c r="C1199" s="20" t="s">
        <v>1240</v>
      </c>
      <c r="D1199" s="19" t="s">
        <v>31</v>
      </c>
      <c r="E1199" s="21">
        <f t="shared" si="53"/>
        <v>7.9400000000000004</v>
      </c>
      <c r="F1199" s="22">
        <v>0.34000000000000002</v>
      </c>
      <c r="G1199" s="21">
        <f t="shared" si="54"/>
        <v>7.4800000000000004</v>
      </c>
      <c r="H1199" s="22">
        <v>0.34999999999999998</v>
      </c>
      <c r="I1199" s="23" t="str">
        <f t="shared" si="55"/>
        <v xml:space="preserve">COM VALOR</v>
      </c>
      <c r="J1199" s="19"/>
      <c r="L1199" s="21">
        <v>7.9400000000000004</v>
      </c>
      <c r="M1199" s="22">
        <v>0</v>
      </c>
      <c r="N1199" s="21">
        <v>7.4800000000000004</v>
      </c>
      <c r="O1199" s="22">
        <v>0</v>
      </c>
    </row>
    <row r="1200" ht="25.5">
      <c r="A1200" t="s">
        <v>1205</v>
      </c>
      <c r="B1200" s="19">
        <v>102600</v>
      </c>
      <c r="C1200" s="20" t="s">
        <v>1241</v>
      </c>
      <c r="D1200" s="19" t="s">
        <v>31</v>
      </c>
      <c r="E1200" s="21">
        <f t="shared" si="53"/>
        <v>8.7400000000000002</v>
      </c>
      <c r="F1200" s="22"/>
      <c r="G1200" s="21">
        <f t="shared" si="54"/>
        <v>8.2400000000000002</v>
      </c>
      <c r="H1200" s="22"/>
      <c r="I1200" s="23" t="str">
        <f t="shared" si="55"/>
        <v xml:space="preserve">COM VALOR</v>
      </c>
      <c r="J1200" s="19"/>
      <c r="L1200" s="21">
        <v>8.7400000000000002</v>
      </c>
      <c r="M1200" s="22">
        <v>0</v>
      </c>
      <c r="N1200" s="21">
        <v>8.2400000000000002</v>
      </c>
      <c r="O1200" s="22">
        <v>0</v>
      </c>
    </row>
    <row r="1201" ht="25.5">
      <c r="A1201" t="s">
        <v>1205</v>
      </c>
      <c r="B1201" s="19">
        <v>102602</v>
      </c>
      <c r="C1201" s="20" t="s">
        <v>1242</v>
      </c>
      <c r="D1201" s="19" t="s">
        <v>31</v>
      </c>
      <c r="E1201" s="21">
        <f t="shared" si="53"/>
        <v>9.9299999999999997</v>
      </c>
      <c r="F1201" s="22">
        <v>0.69999999999999996</v>
      </c>
      <c r="G1201" s="21">
        <f t="shared" si="54"/>
        <v>9.3800000000000008</v>
      </c>
      <c r="H1201" s="22">
        <v>0.70999999999999996</v>
      </c>
      <c r="I1201" s="23" t="str">
        <f t="shared" si="55"/>
        <v xml:space="preserve">COM VALOR</v>
      </c>
      <c r="J1201" s="19"/>
      <c r="L1201" s="21">
        <v>9.9299999999999997</v>
      </c>
      <c r="M1201" s="22">
        <v>0</v>
      </c>
      <c r="N1201" s="21">
        <v>9.3800000000000008</v>
      </c>
      <c r="O1201" s="22">
        <v>0</v>
      </c>
    </row>
    <row r="1202" ht="38.25">
      <c r="A1202" t="s">
        <v>1243</v>
      </c>
      <c r="B1202" s="19">
        <v>103005</v>
      </c>
      <c r="C1202" s="20" t="s">
        <v>1244</v>
      </c>
      <c r="D1202" s="19" t="s">
        <v>31</v>
      </c>
      <c r="E1202" s="21">
        <f t="shared" si="53"/>
        <v>611.62</v>
      </c>
      <c r="F1202" s="22">
        <v>0.68000000000000005</v>
      </c>
      <c r="G1202" s="21">
        <f t="shared" si="54"/>
        <v>599.94000000000005</v>
      </c>
      <c r="H1202" s="22">
        <v>0.69999999999999996</v>
      </c>
      <c r="I1202" s="23" t="str">
        <f t="shared" si="55"/>
        <v xml:space="preserve">COM VALOR</v>
      </c>
      <c r="J1202" s="19"/>
      <c r="L1202" s="21">
        <v>611.62</v>
      </c>
      <c r="M1202" s="22">
        <v>0.29999999999999999</v>
      </c>
      <c r="N1202" s="21">
        <v>599.94000000000005</v>
      </c>
      <c r="O1202" s="22">
        <v>0.29999999999999999</v>
      </c>
    </row>
    <row r="1203" ht="38.25">
      <c r="A1203" t="s">
        <v>1243</v>
      </c>
      <c r="B1203" s="19">
        <v>103006</v>
      </c>
      <c r="C1203" s="20" t="s">
        <v>1245</v>
      </c>
      <c r="D1203" s="19" t="s">
        <v>31</v>
      </c>
      <c r="E1203" s="21">
        <f t="shared" si="53"/>
        <v>778.17999999999995</v>
      </c>
      <c r="F1203" s="22">
        <v>0.68000000000000005</v>
      </c>
      <c r="G1203" s="21">
        <f t="shared" si="54"/>
        <v>763.41999999999996</v>
      </c>
      <c r="H1203" s="22">
        <v>0.68999999999999995</v>
      </c>
      <c r="I1203" s="23" t="str">
        <f t="shared" si="55"/>
        <v xml:space="preserve">COM VALOR</v>
      </c>
      <c r="J1203" s="19"/>
      <c r="L1203" s="21">
        <v>778.17999999999995</v>
      </c>
      <c r="M1203" s="22">
        <v>0.29999999999999999</v>
      </c>
      <c r="N1203" s="21">
        <v>763.41999999999996</v>
      </c>
      <c r="O1203" s="22">
        <v>0.29999999999999999</v>
      </c>
    </row>
    <row r="1204" ht="38.25">
      <c r="A1204" t="s">
        <v>1243</v>
      </c>
      <c r="B1204" s="19">
        <v>103007</v>
      </c>
      <c r="C1204" s="20" t="s">
        <v>1246</v>
      </c>
      <c r="D1204" s="19" t="s">
        <v>31</v>
      </c>
      <c r="E1204" s="21">
        <f t="shared" si="53"/>
        <v>1030.75</v>
      </c>
      <c r="F1204" s="22">
        <v>0.71999999999999997</v>
      </c>
      <c r="G1204" s="21">
        <f t="shared" si="54"/>
        <v>1011.87</v>
      </c>
      <c r="H1204" s="22">
        <v>0.72999999999999998</v>
      </c>
      <c r="I1204" s="23" t="str">
        <f t="shared" si="55"/>
        <v xml:space="preserve">COM VALOR</v>
      </c>
      <c r="J1204" s="19"/>
      <c r="L1204" s="21">
        <v>1030.75</v>
      </c>
      <c r="M1204" s="22">
        <v>0.32000000000000001</v>
      </c>
      <c r="N1204" s="21">
        <v>1011.87</v>
      </c>
      <c r="O1204" s="22">
        <v>0.32000000000000001</v>
      </c>
    </row>
    <row r="1205" ht="25.5">
      <c r="A1205" t="s">
        <v>1243</v>
      </c>
      <c r="B1205" s="19">
        <v>103004</v>
      </c>
      <c r="C1205" s="20" t="s">
        <v>1247</v>
      </c>
      <c r="D1205" s="19" t="s">
        <v>38</v>
      </c>
      <c r="E1205" s="21" t="str">
        <f t="shared" si="53"/>
        <v>VERIFICAR</v>
      </c>
      <c r="F1205" s="22">
        <v>0.71999999999999997</v>
      </c>
      <c r="G1205" s="21" t="str">
        <f t="shared" si="54"/>
        <v>VERIFICAR</v>
      </c>
      <c r="H1205" s="22">
        <v>0.72999999999999998</v>
      </c>
      <c r="I1205" s="23" t="str">
        <f t="shared" si="55"/>
        <v xml:space="preserve">COM VALOR</v>
      </c>
      <c r="J1205" s="19"/>
      <c r="L1205" s="21">
        <v>0</v>
      </c>
      <c r="M1205" s="22"/>
      <c r="N1205" s="21">
        <v>0</v>
      </c>
      <c r="O1205" s="22"/>
    </row>
    <row r="1206" ht="25.5">
      <c r="A1206" t="s">
        <v>1243</v>
      </c>
      <c r="B1206" s="19">
        <v>102989</v>
      </c>
      <c r="C1206" s="20" t="s">
        <v>1248</v>
      </c>
      <c r="D1206" s="19" t="s">
        <v>38</v>
      </c>
      <c r="E1206" s="21">
        <f t="shared" si="53"/>
        <v>42.270000000000003</v>
      </c>
      <c r="F1206" s="22">
        <v>0.71999999999999997</v>
      </c>
      <c r="G1206" s="21">
        <f t="shared" si="54"/>
        <v>41.560000000000002</v>
      </c>
      <c r="H1206" s="22">
        <v>0.72999999999999998</v>
      </c>
      <c r="I1206" s="23" t="str">
        <f t="shared" si="55"/>
        <v xml:space="preserve">COM VALOR</v>
      </c>
      <c r="J1206" s="19"/>
      <c r="L1206" s="21">
        <v>42.270000000000003</v>
      </c>
      <c r="M1206" s="22">
        <v>0.68000000000000005</v>
      </c>
      <c r="N1206" s="21">
        <v>41.560000000000002</v>
      </c>
      <c r="O1206" s="22">
        <v>0.69999999999999996</v>
      </c>
    </row>
    <row r="1207" ht="25.5">
      <c r="A1207" t="s">
        <v>1243</v>
      </c>
      <c r="B1207" s="19">
        <v>102990</v>
      </c>
      <c r="C1207" s="20" t="s">
        <v>1249</v>
      </c>
      <c r="D1207" s="19" t="s">
        <v>38</v>
      </c>
      <c r="E1207" s="21">
        <f t="shared" si="53"/>
        <v>52.990000000000002</v>
      </c>
      <c r="F1207" s="22"/>
      <c r="G1207" s="21">
        <f t="shared" si="54"/>
        <v>52.060000000000002</v>
      </c>
      <c r="H1207" s="22"/>
      <c r="I1207" s="23" t="str">
        <f t="shared" si="55"/>
        <v xml:space="preserve">COM VALOR</v>
      </c>
      <c r="J1207" s="19"/>
      <c r="L1207" s="21">
        <v>52.990000000000002</v>
      </c>
      <c r="M1207" s="22">
        <v>0.67000000000000004</v>
      </c>
      <c r="N1207" s="21">
        <v>52.060000000000002</v>
      </c>
      <c r="O1207" s="22">
        <v>0.68000000000000005</v>
      </c>
    </row>
    <row r="1208" ht="25.5">
      <c r="A1208" t="s">
        <v>1243</v>
      </c>
      <c r="B1208" s="19">
        <v>102991</v>
      </c>
      <c r="C1208" s="20" t="s">
        <v>1250</v>
      </c>
      <c r="D1208" s="19" t="s">
        <v>38</v>
      </c>
      <c r="E1208" s="21">
        <f t="shared" si="53"/>
        <v>69.719999999999999</v>
      </c>
      <c r="F1208" s="22">
        <v>0</v>
      </c>
      <c r="G1208" s="21">
        <f t="shared" si="54"/>
        <v>68.480000000000004</v>
      </c>
      <c r="H1208" s="22">
        <v>0</v>
      </c>
      <c r="I1208" s="23" t="str">
        <f t="shared" si="55"/>
        <v xml:space="preserve">COM VALOR</v>
      </c>
      <c r="J1208" s="19"/>
      <c r="L1208" s="21">
        <v>69.719999999999999</v>
      </c>
      <c r="M1208" s="22">
        <v>0.66000000000000003</v>
      </c>
      <c r="N1208" s="21">
        <v>68.480000000000004</v>
      </c>
      <c r="O1208" s="22">
        <v>0.67000000000000004</v>
      </c>
    </row>
    <row r="1209" ht="25.5">
      <c r="A1209" t="s">
        <v>1243</v>
      </c>
      <c r="B1209" s="19">
        <v>102992</v>
      </c>
      <c r="C1209" s="20" t="s">
        <v>1251</v>
      </c>
      <c r="D1209" s="19" t="s">
        <v>38</v>
      </c>
      <c r="E1209" s="21">
        <f t="shared" si="53"/>
        <v>105.18000000000001</v>
      </c>
      <c r="F1209" s="22">
        <v>0</v>
      </c>
      <c r="G1209" s="21">
        <f t="shared" si="54"/>
        <v>104.29000000000001</v>
      </c>
      <c r="H1209" s="22">
        <v>0</v>
      </c>
      <c r="I1209" s="23" t="str">
        <f t="shared" si="55"/>
        <v xml:space="preserve">COM VALOR</v>
      </c>
      <c r="J1209" s="19"/>
      <c r="L1209" s="21">
        <v>105.18000000000001</v>
      </c>
      <c r="M1209" s="22">
        <v>0.70999999999999996</v>
      </c>
      <c r="N1209" s="21">
        <v>104.29000000000001</v>
      </c>
      <c r="O1209" s="22">
        <v>0.71999999999999997</v>
      </c>
    </row>
    <row r="1210" ht="25.5">
      <c r="A1210" t="s">
        <v>1243</v>
      </c>
      <c r="B1210" s="19">
        <v>102993</v>
      </c>
      <c r="C1210" s="20" t="s">
        <v>1252</v>
      </c>
      <c r="D1210" s="19" t="s">
        <v>38</v>
      </c>
      <c r="E1210" s="21">
        <f t="shared" si="53"/>
        <v>136.71000000000001</v>
      </c>
      <c r="F1210" s="22">
        <v>0</v>
      </c>
      <c r="G1210" s="21">
        <f t="shared" si="54"/>
        <v>135.53999999999999</v>
      </c>
      <c r="H1210" s="22">
        <v>0</v>
      </c>
      <c r="I1210" s="23" t="str">
        <f t="shared" si="55"/>
        <v xml:space="preserve">COM VALOR</v>
      </c>
      <c r="J1210" s="19"/>
      <c r="L1210" s="21">
        <v>136.71000000000001</v>
      </c>
      <c r="M1210" s="22">
        <v>0.70999999999999996</v>
      </c>
      <c r="N1210" s="21">
        <v>135.53999999999999</v>
      </c>
      <c r="O1210" s="22">
        <v>0.70999999999999996</v>
      </c>
    </row>
    <row r="1211" ht="25.5">
      <c r="A1211" t="s">
        <v>1243</v>
      </c>
      <c r="B1211" s="19">
        <v>102994</v>
      </c>
      <c r="C1211" s="20" t="s">
        <v>1253</v>
      </c>
      <c r="D1211" s="19" t="s">
        <v>38</v>
      </c>
      <c r="E1211" s="21">
        <f t="shared" si="53"/>
        <v>255.28</v>
      </c>
      <c r="F1211" s="22">
        <v>0</v>
      </c>
      <c r="G1211" s="21">
        <f t="shared" si="54"/>
        <v>253.09999999999999</v>
      </c>
      <c r="H1211" s="22">
        <v>0</v>
      </c>
      <c r="I1211" s="23" t="str">
        <f t="shared" si="55"/>
        <v xml:space="preserve">COM VALOR</v>
      </c>
      <c r="J1211" s="19"/>
      <c r="L1211" s="21">
        <v>255.28</v>
      </c>
      <c r="M1211" s="22">
        <v>0.70999999999999996</v>
      </c>
      <c r="N1211" s="21">
        <v>253.09999999999999</v>
      </c>
      <c r="O1211" s="22">
        <v>0.71999999999999997</v>
      </c>
    </row>
    <row r="1212" ht="51">
      <c r="A1212" t="s">
        <v>1243</v>
      </c>
      <c r="B1212" s="19">
        <v>106017</v>
      </c>
      <c r="C1212" s="20" t="s">
        <v>1254</v>
      </c>
      <c r="D1212" s="19" t="s">
        <v>31</v>
      </c>
      <c r="E1212" s="21" t="str">
        <f t="shared" si="53"/>
        <v>VERIFICAR</v>
      </c>
      <c r="F1212" s="22">
        <v>0</v>
      </c>
      <c r="G1212" s="21" t="str">
        <f t="shared" si="54"/>
        <v>VERIFICAR</v>
      </c>
      <c r="H1212" s="22">
        <v>0</v>
      </c>
      <c r="I1212" s="23" t="str">
        <f t="shared" si="55"/>
        <v xml:space="preserve">COM VALOR</v>
      </c>
      <c r="J1212" s="19"/>
      <c r="L1212" s="21">
        <v>0</v>
      </c>
      <c r="M1212" s="22"/>
      <c r="N1212" s="21">
        <v>0</v>
      </c>
      <c r="O1212" s="22"/>
    </row>
    <row r="1213" ht="12.75">
      <c r="A1213" t="s">
        <v>1243</v>
      </c>
      <c r="B1213" s="19">
        <v>105944</v>
      </c>
      <c r="C1213" s="20" t="s">
        <v>1255</v>
      </c>
      <c r="D1213" s="19" t="s">
        <v>121</v>
      </c>
      <c r="E1213" s="21">
        <f t="shared" si="53"/>
        <v>784.21000000000004</v>
      </c>
      <c r="F1213" s="22">
        <v>0</v>
      </c>
      <c r="G1213" s="21">
        <f t="shared" si="54"/>
        <v>767.28999999999996</v>
      </c>
      <c r="H1213" s="22">
        <v>0</v>
      </c>
      <c r="I1213" s="23" t="str">
        <f t="shared" si="55"/>
        <v xml:space="preserve">COM VALOR</v>
      </c>
      <c r="J1213" s="19"/>
      <c r="L1213" s="21">
        <v>784.21000000000004</v>
      </c>
      <c r="M1213" s="22">
        <v>0</v>
      </c>
      <c r="N1213" s="21">
        <v>767.28999999999996</v>
      </c>
      <c r="O1213" s="22">
        <v>0</v>
      </c>
    </row>
    <row r="1214" ht="38.25">
      <c r="A1214" t="s">
        <v>1243</v>
      </c>
      <c r="B1214" s="19">
        <v>106004</v>
      </c>
      <c r="C1214" s="20" t="s">
        <v>1256</v>
      </c>
      <c r="D1214" s="19" t="s">
        <v>38</v>
      </c>
      <c r="E1214" s="21">
        <f t="shared" si="53"/>
        <v>169.78</v>
      </c>
      <c r="F1214" s="22">
        <v>0</v>
      </c>
      <c r="G1214" s="21">
        <f t="shared" si="54"/>
        <v>164.77000000000001</v>
      </c>
      <c r="H1214" s="22">
        <v>0</v>
      </c>
      <c r="I1214" s="23" t="str">
        <f t="shared" si="55"/>
        <v xml:space="preserve">COM VALOR</v>
      </c>
      <c r="J1214" s="19"/>
      <c r="L1214" s="21">
        <v>169.78</v>
      </c>
      <c r="M1214" s="22">
        <v>0</v>
      </c>
      <c r="N1214" s="21">
        <v>164.77000000000001</v>
      </c>
      <c r="O1214" s="22">
        <v>0</v>
      </c>
    </row>
    <row r="1215" ht="38.25">
      <c r="A1215" t="s">
        <v>1243</v>
      </c>
      <c r="B1215" s="19">
        <v>106005</v>
      </c>
      <c r="C1215" s="20" t="s">
        <v>1257</v>
      </c>
      <c r="D1215" s="19" t="s">
        <v>38</v>
      </c>
      <c r="E1215" s="21">
        <f t="shared" si="53"/>
        <v>200.63</v>
      </c>
      <c r="F1215" s="22">
        <v>0</v>
      </c>
      <c r="G1215" s="21">
        <f t="shared" si="54"/>
        <v>194.69999999999999</v>
      </c>
      <c r="H1215" s="22">
        <v>0</v>
      </c>
      <c r="I1215" s="23" t="str">
        <f t="shared" si="55"/>
        <v xml:space="preserve">COM VALOR</v>
      </c>
      <c r="J1215" s="19"/>
      <c r="L1215" s="21">
        <v>200.63</v>
      </c>
      <c r="M1215" s="22">
        <v>0</v>
      </c>
      <c r="N1215" s="21">
        <v>194.69999999999999</v>
      </c>
      <c r="O1215" s="22">
        <v>0</v>
      </c>
    </row>
    <row r="1216" ht="38.25">
      <c r="A1216" t="s">
        <v>1243</v>
      </c>
      <c r="B1216" s="19">
        <v>106006</v>
      </c>
      <c r="C1216" s="20" t="s">
        <v>1258</v>
      </c>
      <c r="D1216" s="19" t="s">
        <v>38</v>
      </c>
      <c r="E1216" s="21">
        <f t="shared" si="53"/>
        <v>239.21000000000001</v>
      </c>
      <c r="F1216" s="22">
        <v>1.e-002</v>
      </c>
      <c r="G1216" s="21">
        <f t="shared" si="54"/>
        <v>232.13999999999999</v>
      </c>
      <c r="H1216" s="22">
        <v>1.e-002</v>
      </c>
      <c r="I1216" s="23" t="str">
        <f t="shared" si="55"/>
        <v xml:space="preserve">COM VALOR</v>
      </c>
      <c r="J1216" s="19"/>
      <c r="L1216" s="21">
        <v>239.21000000000001</v>
      </c>
      <c r="M1216" s="22">
        <v>0</v>
      </c>
      <c r="N1216" s="21">
        <v>232.13999999999999</v>
      </c>
      <c r="O1216" s="22">
        <v>0</v>
      </c>
    </row>
    <row r="1217" ht="38.25">
      <c r="A1217" t="s">
        <v>1243</v>
      </c>
      <c r="B1217" s="19">
        <v>106007</v>
      </c>
      <c r="C1217" s="20" t="s">
        <v>1259</v>
      </c>
      <c r="D1217" s="19" t="s">
        <v>38</v>
      </c>
      <c r="E1217" s="21">
        <f t="shared" si="53"/>
        <v>272.63</v>
      </c>
      <c r="F1217" s="22">
        <v>1.e-002</v>
      </c>
      <c r="G1217" s="21">
        <f t="shared" si="54"/>
        <v>264.56999999999999</v>
      </c>
      <c r="H1217" s="22">
        <v>1.e-002</v>
      </c>
      <c r="I1217" s="23" t="str">
        <f t="shared" si="55"/>
        <v xml:space="preserve">COM VALOR</v>
      </c>
      <c r="J1217" s="19"/>
      <c r="L1217" s="21">
        <v>272.63</v>
      </c>
      <c r="M1217" s="22">
        <v>0</v>
      </c>
      <c r="N1217" s="21">
        <v>264.56999999999999</v>
      </c>
      <c r="O1217" s="22">
        <v>0</v>
      </c>
    </row>
    <row r="1218" ht="38.25">
      <c r="A1218" t="s">
        <v>1243</v>
      </c>
      <c r="B1218" s="19">
        <v>106008</v>
      </c>
      <c r="C1218" s="20" t="s">
        <v>1260</v>
      </c>
      <c r="D1218" s="19" t="s">
        <v>38</v>
      </c>
      <c r="E1218" s="21">
        <f t="shared" si="53"/>
        <v>306.06999999999999</v>
      </c>
      <c r="F1218" s="22">
        <v>1.e-002</v>
      </c>
      <c r="G1218" s="21">
        <f t="shared" si="54"/>
        <v>297</v>
      </c>
      <c r="H1218" s="22">
        <v>1.e-002</v>
      </c>
      <c r="I1218" s="23" t="str">
        <f t="shared" si="55"/>
        <v xml:space="preserve">COM VALOR</v>
      </c>
      <c r="J1218" s="19"/>
      <c r="L1218" s="21">
        <v>306.06999999999999</v>
      </c>
      <c r="M1218" s="22">
        <v>0</v>
      </c>
      <c r="N1218" s="21">
        <v>297</v>
      </c>
      <c r="O1218" s="22">
        <v>0</v>
      </c>
    </row>
    <row r="1219" ht="38.25">
      <c r="A1219" t="s">
        <v>1243</v>
      </c>
      <c r="B1219" s="19">
        <v>106009</v>
      </c>
      <c r="C1219" s="20" t="s">
        <v>1261</v>
      </c>
      <c r="D1219" s="19" t="s">
        <v>38</v>
      </c>
      <c r="E1219" s="21">
        <f t="shared" si="53"/>
        <v>378.05000000000001</v>
      </c>
      <c r="F1219" s="22">
        <v>1.e-002</v>
      </c>
      <c r="G1219" s="21">
        <f t="shared" si="54"/>
        <v>366.85000000000002</v>
      </c>
      <c r="H1219" s="22">
        <v>1.e-002</v>
      </c>
      <c r="I1219" s="23" t="str">
        <f t="shared" si="55"/>
        <v xml:space="preserve">COM VALOR</v>
      </c>
      <c r="J1219" s="19"/>
      <c r="L1219" s="21">
        <v>378.05000000000001</v>
      </c>
      <c r="M1219" s="22">
        <v>0</v>
      </c>
      <c r="N1219" s="21">
        <v>366.85000000000002</v>
      </c>
      <c r="O1219" s="22">
        <v>0</v>
      </c>
    </row>
    <row r="1220" ht="38.25">
      <c r="A1220" t="s">
        <v>1243</v>
      </c>
      <c r="B1220" s="19">
        <v>106010</v>
      </c>
      <c r="C1220" s="20" t="s">
        <v>1262</v>
      </c>
      <c r="D1220" s="19" t="s">
        <v>38</v>
      </c>
      <c r="E1220" s="21">
        <f t="shared" si="53"/>
        <v>442.36000000000001</v>
      </c>
      <c r="F1220" s="22">
        <v>1.e-002</v>
      </c>
      <c r="G1220" s="21">
        <f t="shared" si="54"/>
        <v>429.23000000000002</v>
      </c>
      <c r="H1220" s="22">
        <v>1.e-002</v>
      </c>
      <c r="I1220" s="23" t="str">
        <f t="shared" si="55"/>
        <v xml:space="preserve">COM VALOR</v>
      </c>
      <c r="J1220" s="19"/>
      <c r="L1220" s="21">
        <v>442.36000000000001</v>
      </c>
      <c r="M1220" s="22">
        <v>0</v>
      </c>
      <c r="N1220" s="21">
        <v>429.23000000000002</v>
      </c>
      <c r="O1220" s="22">
        <v>0</v>
      </c>
    </row>
    <row r="1221" ht="38.25">
      <c r="A1221" t="s">
        <v>1243</v>
      </c>
      <c r="B1221" s="19">
        <v>106011</v>
      </c>
      <c r="C1221" s="20" t="s">
        <v>1263</v>
      </c>
      <c r="D1221" s="19" t="s">
        <v>38</v>
      </c>
      <c r="E1221" s="21">
        <f t="shared" si="53"/>
        <v>818.27999999999997</v>
      </c>
      <c r="F1221" s="22">
        <v>1.e-002</v>
      </c>
      <c r="G1221" s="21">
        <f t="shared" si="54"/>
        <v>799.38999999999999</v>
      </c>
      <c r="H1221" s="22">
        <v>1.e-002</v>
      </c>
      <c r="I1221" s="23" t="str">
        <f t="shared" si="55"/>
        <v xml:space="preserve">COM VALOR</v>
      </c>
      <c r="J1221" s="19"/>
      <c r="L1221" s="21">
        <v>818.27999999999997</v>
      </c>
      <c r="M1221" s="22">
        <v>1.e-002</v>
      </c>
      <c r="N1221" s="21">
        <v>799.38999999999999</v>
      </c>
      <c r="O1221" s="22">
        <v>1.e-002</v>
      </c>
    </row>
    <row r="1222" ht="51">
      <c r="A1222" t="s">
        <v>1243</v>
      </c>
      <c r="B1222" s="19">
        <v>106013</v>
      </c>
      <c r="C1222" s="20" t="s">
        <v>1264</v>
      </c>
      <c r="D1222" s="19" t="s">
        <v>38</v>
      </c>
      <c r="E1222" s="21">
        <f t="shared" si="53"/>
        <v>1020.24</v>
      </c>
      <c r="F1222" s="22">
        <v>0</v>
      </c>
      <c r="G1222" s="21">
        <f t="shared" si="54"/>
        <v>996.40999999999997</v>
      </c>
      <c r="H1222" s="22">
        <v>0</v>
      </c>
      <c r="I1222" s="23" t="str">
        <f t="shared" si="55"/>
        <v xml:space="preserve">COM VALOR</v>
      </c>
      <c r="J1222" s="19"/>
      <c r="L1222" s="21">
        <v>1020.24</v>
      </c>
      <c r="M1222" s="22">
        <v>1.e-002</v>
      </c>
      <c r="N1222" s="21">
        <v>996.40999999999997</v>
      </c>
      <c r="O1222" s="22">
        <v>1.e-002</v>
      </c>
    </row>
    <row r="1223" ht="51">
      <c r="A1223" t="s">
        <v>1243</v>
      </c>
      <c r="B1223" s="19">
        <v>106012</v>
      </c>
      <c r="C1223" s="20" t="s">
        <v>1265</v>
      </c>
      <c r="D1223" s="19" t="s">
        <v>38</v>
      </c>
      <c r="E1223" s="21">
        <f t="shared" si="53"/>
        <v>904.24000000000001</v>
      </c>
      <c r="F1223" s="22">
        <v>0</v>
      </c>
      <c r="G1223" s="21">
        <f t="shared" si="54"/>
        <v>883.75</v>
      </c>
      <c r="H1223" s="22">
        <v>0</v>
      </c>
      <c r="I1223" s="23" t="str">
        <f t="shared" si="55"/>
        <v xml:space="preserve">COM VALOR</v>
      </c>
      <c r="J1223" s="19"/>
      <c r="L1223" s="21">
        <v>904.24000000000001</v>
      </c>
      <c r="M1223" s="22">
        <v>1.e-002</v>
      </c>
      <c r="N1223" s="21">
        <v>883.75</v>
      </c>
      <c r="O1223" s="22">
        <v>1.e-002</v>
      </c>
    </row>
    <row r="1224" ht="51">
      <c r="A1224" t="s">
        <v>1243</v>
      </c>
      <c r="B1224" s="19">
        <v>106014</v>
      </c>
      <c r="C1224" s="20" t="s">
        <v>1266</v>
      </c>
      <c r="D1224" s="19" t="s">
        <v>38</v>
      </c>
      <c r="E1224" s="21">
        <f t="shared" si="53"/>
        <v>1176.5799999999999</v>
      </c>
      <c r="F1224" s="22">
        <v>0</v>
      </c>
      <c r="G1224" s="21">
        <f t="shared" si="54"/>
        <v>1152.03</v>
      </c>
      <c r="H1224" s="22">
        <v>0</v>
      </c>
      <c r="I1224" s="23" t="str">
        <f t="shared" si="55"/>
        <v xml:space="preserve">COM VALOR</v>
      </c>
      <c r="J1224" s="19"/>
      <c r="L1224" s="21">
        <v>1176.5799999999999</v>
      </c>
      <c r="M1224" s="22">
        <v>7.4999999999999997e-003</v>
      </c>
      <c r="N1224" s="21">
        <v>1152.03</v>
      </c>
      <c r="O1224" s="22">
        <v>1.e-002</v>
      </c>
    </row>
    <row r="1225" ht="51">
      <c r="A1225" t="s">
        <v>1243</v>
      </c>
      <c r="B1225" s="19">
        <v>106015</v>
      </c>
      <c r="C1225" s="20" t="s">
        <v>1267</v>
      </c>
      <c r="D1225" s="19" t="s">
        <v>38</v>
      </c>
      <c r="E1225" s="21">
        <f t="shared" si="53"/>
        <v>1396.5</v>
      </c>
      <c r="F1225" s="22">
        <v>0</v>
      </c>
      <c r="G1225" s="21">
        <f t="shared" si="54"/>
        <v>1366.1400000000001</v>
      </c>
      <c r="H1225" s="22">
        <v>0</v>
      </c>
      <c r="I1225" s="23" t="str">
        <f t="shared" si="55"/>
        <v xml:space="preserve">COM VALOR</v>
      </c>
      <c r="J1225" s="19"/>
      <c r="L1225" s="21">
        <v>1396.5</v>
      </c>
      <c r="M1225" s="22">
        <v>1.e-002</v>
      </c>
      <c r="N1225" s="21">
        <v>1366.1400000000001</v>
      </c>
      <c r="O1225" s="22">
        <v>1.e-002</v>
      </c>
    </row>
    <row r="1226" ht="51">
      <c r="A1226" t="s">
        <v>1243</v>
      </c>
      <c r="B1226" s="19">
        <v>106016</v>
      </c>
      <c r="C1226" s="20" t="s">
        <v>1268</v>
      </c>
      <c r="D1226" s="19" t="s">
        <v>38</v>
      </c>
      <c r="E1226" s="21">
        <f t="shared" si="53"/>
        <v>1630.95</v>
      </c>
      <c r="F1226" s="22">
        <v>0</v>
      </c>
      <c r="G1226" s="21">
        <f t="shared" si="54"/>
        <v>1594.53</v>
      </c>
      <c r="H1226" s="22">
        <v>0</v>
      </c>
      <c r="I1226" s="23" t="str">
        <f t="shared" si="55"/>
        <v xml:space="preserve">COM VALOR</v>
      </c>
      <c r="J1226" s="19"/>
      <c r="L1226" s="21">
        <v>1630.95</v>
      </c>
      <c r="M1226" s="22">
        <v>1.e-002</v>
      </c>
      <c r="N1226" s="21">
        <v>1594.53</v>
      </c>
      <c r="O1226" s="22">
        <v>1.e-002</v>
      </c>
    </row>
    <row r="1227" ht="38.25">
      <c r="A1227" t="s">
        <v>1243</v>
      </c>
      <c r="B1227" s="19">
        <v>106003</v>
      </c>
      <c r="C1227" s="20" t="s">
        <v>1269</v>
      </c>
      <c r="D1227" s="19" t="s">
        <v>38</v>
      </c>
      <c r="E1227" s="21">
        <f t="shared" ref="E1227:E1290" si="56">IF(L1227=0,"VERIFICAR",L1227)</f>
        <v>170.44999999999999</v>
      </c>
      <c r="F1227" s="22">
        <v>0</v>
      </c>
      <c r="G1227" s="21">
        <f t="shared" ref="G1227:G1290" si="57">IF(N1227=0,"VERIFICAR",N1227)</f>
        <v>167.37</v>
      </c>
      <c r="H1227" s="22">
        <v>0</v>
      </c>
      <c r="I1227" s="23" t="str">
        <f t="shared" ref="I1227:I1290" si="58">IF(OR(E1227=0,G1227=0),"SEM VALOR","COM VALOR")</f>
        <v xml:space="preserve">COM VALOR</v>
      </c>
      <c r="J1227" s="19"/>
      <c r="L1227" s="21">
        <v>170.44999999999999</v>
      </c>
      <c r="M1227" s="22">
        <v>0</v>
      </c>
      <c r="N1227" s="21">
        <v>167.37</v>
      </c>
      <c r="O1227" s="22">
        <v>0</v>
      </c>
    </row>
    <row r="1228" ht="38.25">
      <c r="A1228" t="s">
        <v>1243</v>
      </c>
      <c r="B1228" s="19">
        <v>105997</v>
      </c>
      <c r="C1228" s="20" t="s">
        <v>1270</v>
      </c>
      <c r="D1228" s="19" t="s">
        <v>38</v>
      </c>
      <c r="E1228" s="21">
        <f t="shared" si="56"/>
        <v>93.189999999999998</v>
      </c>
      <c r="F1228" s="22">
        <v>0</v>
      </c>
      <c r="G1228" s="21">
        <f t="shared" si="57"/>
        <v>91.5</v>
      </c>
      <c r="H1228" s="22">
        <v>0</v>
      </c>
      <c r="I1228" s="23" t="str">
        <f t="shared" si="58"/>
        <v xml:space="preserve">COM VALOR</v>
      </c>
      <c r="J1228" s="19"/>
      <c r="L1228" s="21">
        <v>93.189999999999998</v>
      </c>
      <c r="M1228" s="22">
        <v>0</v>
      </c>
      <c r="N1228" s="21">
        <v>91.5</v>
      </c>
      <c r="O1228" s="22">
        <v>0</v>
      </c>
    </row>
    <row r="1229" ht="38.25">
      <c r="A1229" t="s">
        <v>1243</v>
      </c>
      <c r="B1229" s="19">
        <v>105998</v>
      </c>
      <c r="C1229" s="20" t="s">
        <v>1271</v>
      </c>
      <c r="D1229" s="19" t="s">
        <v>38</v>
      </c>
      <c r="E1229" s="21">
        <f t="shared" si="56"/>
        <v>103.29000000000001</v>
      </c>
      <c r="F1229" s="22">
        <v>0</v>
      </c>
      <c r="G1229" s="21">
        <f t="shared" si="57"/>
        <v>101.42</v>
      </c>
      <c r="H1229" s="22">
        <v>0</v>
      </c>
      <c r="I1229" s="23" t="str">
        <f t="shared" si="58"/>
        <v xml:space="preserve">COM VALOR</v>
      </c>
      <c r="J1229" s="19"/>
      <c r="L1229" s="21">
        <v>103.29000000000001</v>
      </c>
      <c r="M1229" s="22">
        <v>0</v>
      </c>
      <c r="N1229" s="21">
        <v>101.42</v>
      </c>
      <c r="O1229" s="22">
        <v>0</v>
      </c>
    </row>
    <row r="1230" ht="38.25">
      <c r="A1230" t="s">
        <v>1243</v>
      </c>
      <c r="B1230" s="19">
        <v>105999</v>
      </c>
      <c r="C1230" s="20" t="s">
        <v>1272</v>
      </c>
      <c r="D1230" s="19" t="s">
        <v>38</v>
      </c>
      <c r="E1230" s="21">
        <f t="shared" si="56"/>
        <v>117.56</v>
      </c>
      <c r="F1230" s="22">
        <v>0</v>
      </c>
      <c r="G1230" s="21">
        <f t="shared" si="57"/>
        <v>115.43000000000001</v>
      </c>
      <c r="H1230" s="22">
        <v>0</v>
      </c>
      <c r="I1230" s="23" t="str">
        <f t="shared" si="58"/>
        <v xml:space="preserve">COM VALOR</v>
      </c>
      <c r="J1230" s="19"/>
      <c r="L1230" s="21">
        <v>117.56</v>
      </c>
      <c r="M1230" s="22">
        <v>0</v>
      </c>
      <c r="N1230" s="21">
        <v>115.43000000000001</v>
      </c>
      <c r="O1230" s="22">
        <v>0</v>
      </c>
    </row>
    <row r="1231" ht="38.25">
      <c r="A1231" t="s">
        <v>1243</v>
      </c>
      <c r="B1231" s="19">
        <v>106000</v>
      </c>
      <c r="C1231" s="20" t="s">
        <v>1273</v>
      </c>
      <c r="D1231" s="19" t="s">
        <v>38</v>
      </c>
      <c r="E1231" s="21">
        <f t="shared" si="56"/>
        <v>131.81999999999999</v>
      </c>
      <c r="F1231" s="22">
        <v>0</v>
      </c>
      <c r="G1231" s="21">
        <f t="shared" si="57"/>
        <v>129.44</v>
      </c>
      <c r="H1231" s="22">
        <v>0</v>
      </c>
      <c r="I1231" s="23" t="str">
        <f t="shared" si="58"/>
        <v xml:space="preserve">COM VALOR</v>
      </c>
      <c r="J1231" s="19"/>
      <c r="L1231" s="21">
        <v>131.81999999999999</v>
      </c>
      <c r="M1231" s="22">
        <v>0</v>
      </c>
      <c r="N1231" s="21">
        <v>129.44</v>
      </c>
      <c r="O1231" s="22">
        <v>0</v>
      </c>
    </row>
    <row r="1232" ht="38.25">
      <c r="A1232" t="s">
        <v>1243</v>
      </c>
      <c r="B1232" s="19">
        <v>106001</v>
      </c>
      <c r="C1232" s="20" t="s">
        <v>1274</v>
      </c>
      <c r="D1232" s="19" t="s">
        <v>38</v>
      </c>
      <c r="E1232" s="21">
        <f t="shared" si="56"/>
        <v>141.91999999999999</v>
      </c>
      <c r="F1232" s="22">
        <v>0</v>
      </c>
      <c r="G1232" s="21">
        <f t="shared" si="57"/>
        <v>139.33000000000001</v>
      </c>
      <c r="H1232" s="22">
        <v>0</v>
      </c>
      <c r="I1232" s="23" t="str">
        <f t="shared" si="58"/>
        <v xml:space="preserve">COM VALOR</v>
      </c>
      <c r="J1232" s="19"/>
      <c r="L1232" s="21">
        <v>141.91999999999999</v>
      </c>
      <c r="M1232" s="22">
        <v>0</v>
      </c>
      <c r="N1232" s="21">
        <v>139.33000000000001</v>
      </c>
      <c r="O1232" s="22">
        <v>0</v>
      </c>
    </row>
    <row r="1233" ht="38.25">
      <c r="A1233" t="s">
        <v>1243</v>
      </c>
      <c r="B1233" s="19">
        <v>106002</v>
      </c>
      <c r="C1233" s="20" t="s">
        <v>1275</v>
      </c>
      <c r="D1233" s="19" t="s">
        <v>38</v>
      </c>
      <c r="E1233" s="21">
        <f t="shared" si="56"/>
        <v>156.16999999999999</v>
      </c>
      <c r="F1233" s="22">
        <v>0</v>
      </c>
      <c r="G1233" s="21">
        <f t="shared" si="57"/>
        <v>153.34999999999999</v>
      </c>
      <c r="H1233" s="22">
        <v>0</v>
      </c>
      <c r="I1233" s="23" t="str">
        <f t="shared" si="58"/>
        <v xml:space="preserve">COM VALOR</v>
      </c>
      <c r="J1233" s="19"/>
      <c r="L1233" s="21">
        <v>156.16999999999999</v>
      </c>
      <c r="M1233" s="22">
        <v>0</v>
      </c>
      <c r="N1233" s="21">
        <v>153.34999999999999</v>
      </c>
      <c r="O1233" s="22">
        <v>0</v>
      </c>
    </row>
    <row r="1234" ht="38.25">
      <c r="A1234" t="s">
        <v>1243</v>
      </c>
      <c r="B1234" s="19">
        <v>105992</v>
      </c>
      <c r="C1234" s="20" t="s">
        <v>1276</v>
      </c>
      <c r="D1234" s="19" t="s">
        <v>38</v>
      </c>
      <c r="E1234" s="21">
        <f t="shared" si="56"/>
        <v>99.269999999999996</v>
      </c>
      <c r="F1234" s="22">
        <v>0</v>
      </c>
      <c r="G1234" s="21">
        <f t="shared" si="57"/>
        <v>96.870000000000005</v>
      </c>
      <c r="H1234" s="22">
        <v>0</v>
      </c>
      <c r="I1234" s="23" t="str">
        <f t="shared" si="58"/>
        <v xml:space="preserve">COM VALOR</v>
      </c>
      <c r="J1234" s="19"/>
      <c r="L1234" s="21">
        <v>99.269999999999996</v>
      </c>
      <c r="M1234" s="22">
        <v>0</v>
      </c>
      <c r="N1234" s="21">
        <v>96.870000000000005</v>
      </c>
      <c r="O1234" s="22">
        <v>0</v>
      </c>
    </row>
    <row r="1235" ht="38.25">
      <c r="A1235" t="s">
        <v>1243</v>
      </c>
      <c r="B1235" s="19">
        <v>105993</v>
      </c>
      <c r="C1235" s="20" t="s">
        <v>1277</v>
      </c>
      <c r="D1235" s="19" t="s">
        <v>38</v>
      </c>
      <c r="E1235" s="21">
        <f t="shared" si="56"/>
        <v>119.15000000000001</v>
      </c>
      <c r="F1235" s="22">
        <v>0</v>
      </c>
      <c r="G1235" s="21">
        <f t="shared" si="57"/>
        <v>116.29000000000001</v>
      </c>
      <c r="H1235" s="22">
        <v>0</v>
      </c>
      <c r="I1235" s="23" t="str">
        <f t="shared" si="58"/>
        <v xml:space="preserve">COM VALOR</v>
      </c>
      <c r="J1235" s="19"/>
      <c r="L1235" s="21">
        <v>119.15000000000001</v>
      </c>
      <c r="M1235" s="22">
        <v>0</v>
      </c>
      <c r="N1235" s="21">
        <v>116.29000000000001</v>
      </c>
      <c r="O1235" s="22">
        <v>0</v>
      </c>
    </row>
    <row r="1236" ht="38.25">
      <c r="A1236" t="s">
        <v>1243</v>
      </c>
      <c r="B1236" s="19">
        <v>105994</v>
      </c>
      <c r="C1236" s="20" t="s">
        <v>1278</v>
      </c>
      <c r="D1236" s="19" t="s">
        <v>38</v>
      </c>
      <c r="E1236" s="21">
        <f t="shared" si="56"/>
        <v>146.06999999999999</v>
      </c>
      <c r="F1236" s="22">
        <v>0</v>
      </c>
      <c r="G1236" s="21">
        <f t="shared" si="57"/>
        <v>142.56</v>
      </c>
      <c r="H1236" s="22">
        <v>0</v>
      </c>
      <c r="I1236" s="23" t="str">
        <f t="shared" si="58"/>
        <v xml:space="preserve">COM VALOR</v>
      </c>
      <c r="J1236" s="19"/>
      <c r="L1236" s="21">
        <v>146.06999999999999</v>
      </c>
      <c r="M1236" s="22">
        <v>0</v>
      </c>
      <c r="N1236" s="21">
        <v>142.56</v>
      </c>
      <c r="O1236" s="22">
        <v>0</v>
      </c>
    </row>
    <row r="1237" ht="38.25">
      <c r="A1237" t="s">
        <v>1243</v>
      </c>
      <c r="B1237" s="19">
        <v>105995</v>
      </c>
      <c r="C1237" s="20" t="s">
        <v>1279</v>
      </c>
      <c r="D1237" s="19" t="s">
        <v>38</v>
      </c>
      <c r="E1237" s="21">
        <f t="shared" si="56"/>
        <v>173.06999999999999</v>
      </c>
      <c r="F1237" s="22">
        <v>0</v>
      </c>
      <c r="G1237" s="21">
        <f t="shared" si="57"/>
        <v>168.91999999999999</v>
      </c>
      <c r="H1237" s="22">
        <v>0</v>
      </c>
      <c r="I1237" s="23" t="str">
        <f t="shared" si="58"/>
        <v xml:space="preserve">COM VALOR</v>
      </c>
      <c r="J1237" s="19"/>
      <c r="L1237" s="21">
        <v>173.06999999999999</v>
      </c>
      <c r="M1237" s="22">
        <v>0</v>
      </c>
      <c r="N1237" s="21">
        <v>168.91999999999999</v>
      </c>
      <c r="O1237" s="22">
        <v>0</v>
      </c>
    </row>
    <row r="1238" ht="38.25">
      <c r="A1238" t="s">
        <v>1243</v>
      </c>
      <c r="B1238" s="19">
        <v>105996</v>
      </c>
      <c r="C1238" s="20" t="s">
        <v>1280</v>
      </c>
      <c r="D1238" s="19" t="s">
        <v>38</v>
      </c>
      <c r="E1238" s="21">
        <f t="shared" si="56"/>
        <v>187.15000000000001</v>
      </c>
      <c r="F1238" s="22">
        <v>0</v>
      </c>
      <c r="G1238" s="21">
        <f t="shared" si="57"/>
        <v>182.66</v>
      </c>
      <c r="H1238" s="22">
        <v>0</v>
      </c>
      <c r="I1238" s="23" t="str">
        <f t="shared" si="58"/>
        <v xml:space="preserve">COM VALOR</v>
      </c>
      <c r="J1238" s="19"/>
      <c r="L1238" s="21">
        <v>187.15000000000001</v>
      </c>
      <c r="M1238" s="22">
        <v>0</v>
      </c>
      <c r="N1238" s="21">
        <v>182.66</v>
      </c>
      <c r="O1238" s="22">
        <v>0</v>
      </c>
    </row>
    <row r="1239" ht="38.25">
      <c r="A1239" t="s">
        <v>1243</v>
      </c>
      <c r="B1239" s="19">
        <v>105988</v>
      </c>
      <c r="C1239" s="20" t="s">
        <v>1281</v>
      </c>
      <c r="D1239" s="19" t="s">
        <v>38</v>
      </c>
      <c r="E1239" s="21">
        <f t="shared" si="56"/>
        <v>65.310000000000002</v>
      </c>
      <c r="F1239" s="22">
        <v>0</v>
      </c>
      <c r="G1239" s="21">
        <f t="shared" si="57"/>
        <v>63.740000000000002</v>
      </c>
      <c r="H1239" s="22">
        <v>0</v>
      </c>
      <c r="I1239" s="23" t="str">
        <f t="shared" si="58"/>
        <v xml:space="preserve">COM VALOR</v>
      </c>
      <c r="J1239" s="19"/>
      <c r="L1239" s="21">
        <v>65.310000000000002</v>
      </c>
      <c r="M1239" s="22">
        <v>0</v>
      </c>
      <c r="N1239" s="21">
        <v>63.740000000000002</v>
      </c>
      <c r="O1239" s="22">
        <v>0</v>
      </c>
    </row>
    <row r="1240" ht="38.25">
      <c r="A1240" t="s">
        <v>1243</v>
      </c>
      <c r="B1240" s="19">
        <v>105989</v>
      </c>
      <c r="C1240" s="20" t="s">
        <v>1282</v>
      </c>
      <c r="D1240" s="19" t="s">
        <v>38</v>
      </c>
      <c r="E1240" s="21">
        <f t="shared" si="56"/>
        <v>72.349999999999994</v>
      </c>
      <c r="F1240" s="22"/>
      <c r="G1240" s="21">
        <f t="shared" si="57"/>
        <v>70.609999999999999</v>
      </c>
      <c r="H1240" s="22"/>
      <c r="I1240" s="23" t="str">
        <f t="shared" si="58"/>
        <v xml:space="preserve">COM VALOR</v>
      </c>
      <c r="J1240" s="19"/>
      <c r="L1240" s="21">
        <v>72.349999999999994</v>
      </c>
      <c r="M1240" s="22">
        <v>0</v>
      </c>
      <c r="N1240" s="21">
        <v>70.609999999999999</v>
      </c>
      <c r="O1240" s="22">
        <v>0</v>
      </c>
    </row>
    <row r="1241" ht="38.25">
      <c r="A1241" t="s">
        <v>1243</v>
      </c>
      <c r="B1241" s="19">
        <v>105990</v>
      </c>
      <c r="C1241" s="20" t="s">
        <v>1283</v>
      </c>
      <c r="D1241" s="19" t="s">
        <v>38</v>
      </c>
      <c r="E1241" s="21">
        <f t="shared" si="56"/>
        <v>82.290000000000006</v>
      </c>
      <c r="F1241" s="22">
        <v>0.93000000000000005</v>
      </c>
      <c r="G1241" s="21">
        <f t="shared" si="57"/>
        <v>80.319999999999993</v>
      </c>
      <c r="H1241" s="22">
        <v>0.93000000000000005</v>
      </c>
      <c r="I1241" s="23" t="str">
        <f t="shared" si="58"/>
        <v xml:space="preserve">COM VALOR</v>
      </c>
      <c r="J1241" s="19"/>
      <c r="L1241" s="21">
        <v>82.290000000000006</v>
      </c>
      <c r="M1241" s="22">
        <v>0</v>
      </c>
      <c r="N1241" s="21">
        <v>80.319999999999993</v>
      </c>
      <c r="O1241" s="22">
        <v>0</v>
      </c>
    </row>
    <row r="1242" ht="38.25">
      <c r="A1242" t="s">
        <v>1243</v>
      </c>
      <c r="B1242" s="19">
        <v>105991</v>
      </c>
      <c r="C1242" s="20" t="s">
        <v>1284</v>
      </c>
      <c r="D1242" s="19" t="s">
        <v>38</v>
      </c>
      <c r="E1242" s="21">
        <f t="shared" si="56"/>
        <v>92.230000000000004</v>
      </c>
      <c r="F1242" s="22">
        <v>0.93999999999999995</v>
      </c>
      <c r="G1242" s="21">
        <f t="shared" si="57"/>
        <v>90.019999999999996</v>
      </c>
      <c r="H1242" s="22">
        <v>0.93999999999999995</v>
      </c>
      <c r="I1242" s="23" t="str">
        <f t="shared" si="58"/>
        <v xml:space="preserve">COM VALOR</v>
      </c>
      <c r="J1242" s="19"/>
      <c r="L1242" s="21">
        <v>92.230000000000004</v>
      </c>
      <c r="M1242" s="22">
        <v>0</v>
      </c>
      <c r="N1242" s="21">
        <v>90.019999999999996</v>
      </c>
      <c r="O1242" s="22">
        <v>0</v>
      </c>
    </row>
    <row r="1243" ht="38.25">
      <c r="A1243" t="s">
        <v>1243</v>
      </c>
      <c r="B1243" s="19">
        <v>105987</v>
      </c>
      <c r="C1243" s="20" t="s">
        <v>1285</v>
      </c>
      <c r="D1243" s="19" t="s">
        <v>38</v>
      </c>
      <c r="E1243" s="21">
        <f t="shared" si="56"/>
        <v>113.33</v>
      </c>
      <c r="F1243" s="22">
        <v>0.94999999999999996</v>
      </c>
      <c r="G1243" s="21">
        <f t="shared" si="57"/>
        <v>110.61</v>
      </c>
      <c r="H1243" s="22">
        <v>0.95999999999999996</v>
      </c>
      <c r="I1243" s="23" t="str">
        <f t="shared" si="58"/>
        <v xml:space="preserve">COM VALOR</v>
      </c>
      <c r="J1243" s="19"/>
      <c r="L1243" s="21">
        <v>113.33</v>
      </c>
      <c r="M1243" s="22">
        <v>0</v>
      </c>
      <c r="N1243" s="21">
        <v>110.61</v>
      </c>
      <c r="O1243" s="22">
        <v>0</v>
      </c>
    </row>
    <row r="1244" ht="38.25">
      <c r="A1244" t="s">
        <v>1243</v>
      </c>
      <c r="B1244" s="19">
        <v>105986</v>
      </c>
      <c r="C1244" s="20" t="s">
        <v>1286</v>
      </c>
      <c r="D1244" s="19" t="s">
        <v>38</v>
      </c>
      <c r="E1244" s="21">
        <f t="shared" si="56"/>
        <v>141.47</v>
      </c>
      <c r="F1244" s="22"/>
      <c r="G1244" s="21">
        <f t="shared" si="57"/>
        <v>138.08000000000001</v>
      </c>
      <c r="H1244" s="22"/>
      <c r="I1244" s="23" t="str">
        <f t="shared" si="58"/>
        <v xml:space="preserve">COM VALOR</v>
      </c>
      <c r="J1244" s="19"/>
      <c r="L1244" s="21">
        <v>141.47</v>
      </c>
      <c r="M1244" s="22">
        <v>0</v>
      </c>
      <c r="N1244" s="21">
        <v>138.08000000000001</v>
      </c>
      <c r="O1244" s="22">
        <v>0</v>
      </c>
    </row>
    <row r="1245" ht="25.5">
      <c r="A1245" t="s">
        <v>1243</v>
      </c>
      <c r="B1245" s="19">
        <v>106019</v>
      </c>
      <c r="C1245" s="20" t="s">
        <v>1287</v>
      </c>
      <c r="D1245" s="19" t="s">
        <v>31</v>
      </c>
      <c r="E1245" s="21" t="str">
        <f t="shared" si="56"/>
        <v>VERIFICAR</v>
      </c>
      <c r="F1245" s="22">
        <v>0</v>
      </c>
      <c r="G1245" s="21" t="str">
        <f t="shared" si="57"/>
        <v>VERIFICAR</v>
      </c>
      <c r="H1245" s="22">
        <v>0</v>
      </c>
      <c r="I1245" s="23" t="str">
        <f t="shared" si="58"/>
        <v xml:space="preserve">COM VALOR</v>
      </c>
      <c r="J1245" s="19"/>
      <c r="L1245" s="21">
        <v>0</v>
      </c>
      <c r="M1245" s="22"/>
      <c r="N1245" s="21">
        <v>0</v>
      </c>
      <c r="O1245" s="22"/>
    </row>
    <row r="1246" ht="38.25">
      <c r="A1246" t="s">
        <v>1243</v>
      </c>
      <c r="B1246" s="19">
        <v>103001</v>
      </c>
      <c r="C1246" s="20" t="s">
        <v>1288</v>
      </c>
      <c r="D1246" s="19" t="s">
        <v>31</v>
      </c>
      <c r="E1246" s="21">
        <f t="shared" si="56"/>
        <v>197.46000000000001</v>
      </c>
      <c r="F1246" s="22">
        <v>0</v>
      </c>
      <c r="G1246" s="21">
        <f t="shared" si="57"/>
        <v>196.71000000000001</v>
      </c>
      <c r="H1246" s="22">
        <v>0</v>
      </c>
      <c r="I1246" s="23" t="str">
        <f t="shared" si="58"/>
        <v xml:space="preserve">COM VALOR</v>
      </c>
      <c r="J1246" s="19"/>
      <c r="L1246" s="21">
        <v>197.46000000000001</v>
      </c>
      <c r="M1246" s="22">
        <v>0.92000000000000004</v>
      </c>
      <c r="N1246" s="21">
        <v>196.71000000000001</v>
      </c>
      <c r="O1246" s="22">
        <v>0.92000000000000004</v>
      </c>
    </row>
    <row r="1247" ht="38.25">
      <c r="A1247" t="s">
        <v>1243</v>
      </c>
      <c r="B1247" s="19">
        <v>103002</v>
      </c>
      <c r="C1247" s="20" t="s">
        <v>1289</v>
      </c>
      <c r="D1247" s="19" t="s">
        <v>31</v>
      </c>
      <c r="E1247" s="21">
        <f t="shared" si="56"/>
        <v>247.27000000000001</v>
      </c>
      <c r="F1247" s="22"/>
      <c r="G1247" s="21">
        <f t="shared" si="57"/>
        <v>246.47</v>
      </c>
      <c r="H1247" s="22"/>
      <c r="I1247" s="23" t="str">
        <f t="shared" si="58"/>
        <v xml:space="preserve">COM VALOR</v>
      </c>
      <c r="J1247" s="19"/>
      <c r="L1247" s="21">
        <v>247.27000000000001</v>
      </c>
      <c r="M1247" s="22">
        <v>0.93000000000000005</v>
      </c>
      <c r="N1247" s="21">
        <v>246.47</v>
      </c>
      <c r="O1247" s="22">
        <v>0.93999999999999995</v>
      </c>
    </row>
    <row r="1248" ht="38.25">
      <c r="A1248" t="s">
        <v>1243</v>
      </c>
      <c r="B1248" s="19">
        <v>103003</v>
      </c>
      <c r="C1248" s="20" t="s">
        <v>1290</v>
      </c>
      <c r="D1248" s="19" t="s">
        <v>31</v>
      </c>
      <c r="E1248" s="21">
        <f t="shared" si="56"/>
        <v>346.87</v>
      </c>
      <c r="F1248" s="22">
        <v>0.44</v>
      </c>
      <c r="G1248" s="21">
        <f t="shared" si="57"/>
        <v>346.02999999999997</v>
      </c>
      <c r="H1248" s="22">
        <v>0.45000000000000001</v>
      </c>
      <c r="I1248" s="23" t="str">
        <f t="shared" si="58"/>
        <v xml:space="preserve">COM VALOR</v>
      </c>
      <c r="J1248" s="19"/>
      <c r="L1248" s="21">
        <v>346.87</v>
      </c>
      <c r="M1248" s="22">
        <v>0.94999999999999996</v>
      </c>
      <c r="N1248" s="21">
        <v>346.02999999999997</v>
      </c>
      <c r="O1248" s="22">
        <v>0.94999999999999996</v>
      </c>
    </row>
    <row r="1249" ht="25.5">
      <c r="A1249" t="s">
        <v>1243</v>
      </c>
      <c r="B1249" s="19">
        <v>106018</v>
      </c>
      <c r="C1249" s="20" t="s">
        <v>1291</v>
      </c>
      <c r="D1249" s="19" t="s">
        <v>31</v>
      </c>
      <c r="E1249" s="21" t="str">
        <f t="shared" si="56"/>
        <v>VERIFICAR</v>
      </c>
      <c r="F1249" s="22">
        <v>0.5</v>
      </c>
      <c r="G1249" s="21" t="str">
        <f t="shared" si="57"/>
        <v>VERIFICAR</v>
      </c>
      <c r="H1249" s="22">
        <v>0.51000000000000001</v>
      </c>
      <c r="I1249" s="23" t="str">
        <f t="shared" si="58"/>
        <v xml:space="preserve">COM VALOR</v>
      </c>
      <c r="J1249" s="19"/>
      <c r="L1249" s="21">
        <v>0</v>
      </c>
      <c r="M1249" s="22"/>
      <c r="N1249" s="21">
        <v>0</v>
      </c>
      <c r="O1249" s="22"/>
    </row>
    <row r="1250" ht="25.5">
      <c r="A1250" t="s">
        <v>1243</v>
      </c>
      <c r="B1250" s="19">
        <v>105945</v>
      </c>
      <c r="C1250" s="20" t="s">
        <v>1292</v>
      </c>
      <c r="D1250" s="19" t="s">
        <v>29</v>
      </c>
      <c r="E1250" s="21">
        <f t="shared" si="56"/>
        <v>7.5999999999999996</v>
      </c>
      <c r="F1250" s="22">
        <v>0.53000000000000003</v>
      </c>
      <c r="G1250" s="21">
        <f t="shared" si="57"/>
        <v>7.2800000000000002</v>
      </c>
      <c r="H1250" s="22">
        <v>0.54000000000000004</v>
      </c>
      <c r="I1250" s="23" t="str">
        <f t="shared" si="58"/>
        <v xml:space="preserve">COM VALOR</v>
      </c>
      <c r="J1250" s="19"/>
      <c r="L1250" s="21">
        <v>7.5999999999999996</v>
      </c>
      <c r="M1250" s="22">
        <v>0</v>
      </c>
      <c r="N1250" s="21">
        <v>7.2800000000000002</v>
      </c>
      <c r="O1250" s="22">
        <v>0</v>
      </c>
    </row>
    <row r="1251" ht="25.5">
      <c r="A1251" t="s">
        <v>1293</v>
      </c>
      <c r="B1251" s="19">
        <v>98522</v>
      </c>
      <c r="C1251" s="20" t="s">
        <v>1294</v>
      </c>
      <c r="D1251" s="19" t="s">
        <v>38</v>
      </c>
      <c r="E1251" s="21">
        <f t="shared" si="56"/>
        <v>155.52000000000001</v>
      </c>
      <c r="F1251" s="22"/>
      <c r="G1251" s="21">
        <f t="shared" si="57"/>
        <v>153.37</v>
      </c>
      <c r="H1251" s="22"/>
      <c r="I1251" s="23" t="str">
        <f t="shared" si="58"/>
        <v xml:space="preserve">COM VALOR</v>
      </c>
      <c r="J1251" s="19"/>
      <c r="L1251" s="21">
        <v>155.52000000000001</v>
      </c>
      <c r="M1251" s="22">
        <v>0</v>
      </c>
      <c r="N1251" s="21">
        <v>153.37</v>
      </c>
      <c r="O1251" s="22">
        <v>0</v>
      </c>
    </row>
    <row r="1252" ht="25.5">
      <c r="A1252" t="s">
        <v>1293</v>
      </c>
      <c r="B1252" s="19">
        <v>98523</v>
      </c>
      <c r="C1252" s="20" t="s">
        <v>1295</v>
      </c>
      <c r="D1252" s="19" t="s">
        <v>38</v>
      </c>
      <c r="E1252" s="21" t="str">
        <f t="shared" si="56"/>
        <v>VERIFICAR</v>
      </c>
      <c r="F1252" s="22"/>
      <c r="G1252" s="21" t="str">
        <f t="shared" si="57"/>
        <v>VERIFICAR</v>
      </c>
      <c r="H1252" s="22"/>
      <c r="I1252" s="23" t="str">
        <f t="shared" si="58"/>
        <v xml:space="preserve">COM VALOR</v>
      </c>
      <c r="J1252" s="19"/>
      <c r="L1252" s="21">
        <v>0</v>
      </c>
      <c r="M1252" s="22"/>
      <c r="N1252" s="21">
        <v>0</v>
      </c>
      <c r="O1252" s="22"/>
    </row>
    <row r="1253" ht="51">
      <c r="A1253" t="s">
        <v>1293</v>
      </c>
      <c r="B1253" s="19">
        <v>102364</v>
      </c>
      <c r="C1253" s="20" t="s">
        <v>1296</v>
      </c>
      <c r="D1253" s="19" t="s">
        <v>29</v>
      </c>
      <c r="E1253" s="21">
        <f t="shared" si="56"/>
        <v>172.65000000000001</v>
      </c>
      <c r="F1253" s="22">
        <v>0</v>
      </c>
      <c r="G1253" s="21">
        <f t="shared" si="57"/>
        <v>170.93000000000001</v>
      </c>
      <c r="H1253" s="22">
        <v>0</v>
      </c>
      <c r="I1253" s="23" t="str">
        <f t="shared" si="58"/>
        <v xml:space="preserve">COM VALOR</v>
      </c>
      <c r="J1253" s="19"/>
      <c r="L1253" s="21">
        <v>172.65000000000001</v>
      </c>
      <c r="M1253" s="22">
        <v>0.5</v>
      </c>
      <c r="N1253" s="21">
        <v>170.93000000000001</v>
      </c>
      <c r="O1253" s="22">
        <v>0.5</v>
      </c>
    </row>
    <row r="1254" ht="51">
      <c r="A1254" t="s">
        <v>1293</v>
      </c>
      <c r="B1254" s="19">
        <v>102363</v>
      </c>
      <c r="C1254" s="20" t="s">
        <v>1297</v>
      </c>
      <c r="D1254" s="19" t="s">
        <v>29</v>
      </c>
      <c r="E1254" s="21">
        <f t="shared" si="56"/>
        <v>153.36000000000001</v>
      </c>
      <c r="F1254" s="22">
        <v>0</v>
      </c>
      <c r="G1254" s="21">
        <f t="shared" si="57"/>
        <v>151.63999999999999</v>
      </c>
      <c r="H1254" s="22">
        <v>0</v>
      </c>
      <c r="I1254" s="23" t="str">
        <f t="shared" si="58"/>
        <v xml:space="preserve">COM VALOR</v>
      </c>
      <c r="J1254" s="19"/>
      <c r="L1254" s="21">
        <v>153.36000000000001</v>
      </c>
      <c r="M1254" s="22">
        <v>0.56000000000000005</v>
      </c>
      <c r="N1254" s="21">
        <v>151.63999999999999</v>
      </c>
      <c r="O1254" s="22">
        <v>0.56000000000000005</v>
      </c>
    </row>
    <row r="1255" ht="51">
      <c r="A1255" t="s">
        <v>1293</v>
      </c>
      <c r="B1255" s="19">
        <v>102362</v>
      </c>
      <c r="C1255" s="20" t="s">
        <v>1298</v>
      </c>
      <c r="D1255" s="19" t="s">
        <v>29</v>
      </c>
      <c r="E1255" s="21">
        <f t="shared" si="56"/>
        <v>142.44999999999999</v>
      </c>
      <c r="F1255" s="22">
        <v>0</v>
      </c>
      <c r="G1255" s="21">
        <f t="shared" si="57"/>
        <v>140.72999999999999</v>
      </c>
      <c r="H1255" s="22">
        <v>0</v>
      </c>
      <c r="I1255" s="23" t="str">
        <f t="shared" si="58"/>
        <v xml:space="preserve">COM VALOR</v>
      </c>
      <c r="J1255" s="19"/>
      <c r="L1255" s="21">
        <v>142.44999999999999</v>
      </c>
      <c r="M1255" s="22">
        <v>0.59999999999999998</v>
      </c>
      <c r="N1255" s="21">
        <v>140.72999999999999</v>
      </c>
      <c r="O1255" s="22">
        <v>0.60999999999999999</v>
      </c>
    </row>
    <row r="1256" ht="51">
      <c r="A1256" t="s">
        <v>1293</v>
      </c>
      <c r="B1256" s="19">
        <v>101196</v>
      </c>
      <c r="C1256" s="20" t="s">
        <v>1299</v>
      </c>
      <c r="D1256" s="19" t="s">
        <v>38</v>
      </c>
      <c r="E1256" s="21" t="str">
        <f t="shared" si="56"/>
        <v>VERIFICAR</v>
      </c>
      <c r="F1256" s="22">
        <v>0</v>
      </c>
      <c r="G1256" s="21" t="str">
        <f t="shared" si="57"/>
        <v>VERIFICAR</v>
      </c>
      <c r="H1256" s="22">
        <v>0</v>
      </c>
      <c r="I1256" s="23" t="str">
        <f t="shared" si="58"/>
        <v xml:space="preserve">COM VALOR</v>
      </c>
      <c r="J1256" s="19"/>
      <c r="L1256" s="21">
        <v>0</v>
      </c>
      <c r="M1256" s="22"/>
      <c r="N1256" s="21">
        <v>0</v>
      </c>
      <c r="O1256" s="22"/>
    </row>
    <row r="1257" ht="51">
      <c r="A1257" t="s">
        <v>1293</v>
      </c>
      <c r="B1257" s="19">
        <v>101195</v>
      </c>
      <c r="C1257" s="20" t="s">
        <v>1300</v>
      </c>
      <c r="D1257" s="19" t="s">
        <v>38</v>
      </c>
      <c r="E1257" s="21" t="str">
        <f t="shared" si="56"/>
        <v>VERIFICAR</v>
      </c>
      <c r="F1257" s="22">
        <v>0</v>
      </c>
      <c r="G1257" s="21" t="str">
        <f t="shared" si="57"/>
        <v>VERIFICAR</v>
      </c>
      <c r="H1257" s="22">
        <v>0</v>
      </c>
      <c r="I1257" s="23" t="str">
        <f t="shared" si="58"/>
        <v xml:space="preserve">COM VALOR</v>
      </c>
      <c r="J1257" s="19"/>
      <c r="L1257" s="21">
        <v>0</v>
      </c>
      <c r="M1257" s="22"/>
      <c r="N1257" s="21">
        <v>0</v>
      </c>
      <c r="O1257" s="22"/>
    </row>
    <row r="1258" ht="38.25">
      <c r="A1258" t="s">
        <v>1293</v>
      </c>
      <c r="B1258" s="19">
        <v>101193</v>
      </c>
      <c r="C1258" s="20" t="s">
        <v>1301</v>
      </c>
      <c r="D1258" s="19" t="s">
        <v>38</v>
      </c>
      <c r="E1258" s="21">
        <f t="shared" si="56"/>
        <v>50.590000000000003</v>
      </c>
      <c r="F1258" s="22">
        <v>0</v>
      </c>
      <c r="G1258" s="21">
        <f t="shared" si="57"/>
        <v>49.479999999999997</v>
      </c>
      <c r="H1258" s="22">
        <v>0</v>
      </c>
      <c r="I1258" s="23" t="str">
        <f t="shared" si="58"/>
        <v xml:space="preserve">COM VALOR</v>
      </c>
      <c r="J1258" s="19"/>
      <c r="L1258" s="21">
        <v>50.590000000000003</v>
      </c>
      <c r="M1258" s="22">
        <v>0</v>
      </c>
      <c r="N1258" s="21">
        <v>49.479999999999997</v>
      </c>
      <c r="O1258" s="22">
        <v>0</v>
      </c>
    </row>
    <row r="1259" ht="38.25">
      <c r="A1259" t="s">
        <v>1293</v>
      </c>
      <c r="B1259" s="19">
        <v>106459</v>
      </c>
      <c r="C1259" s="20" t="s">
        <v>1302</v>
      </c>
      <c r="D1259" s="19" t="s">
        <v>38</v>
      </c>
      <c r="E1259" s="21">
        <f t="shared" si="56"/>
        <v>50.710000000000001</v>
      </c>
      <c r="F1259" s="22">
        <v>0</v>
      </c>
      <c r="G1259" s="21">
        <f t="shared" si="57"/>
        <v>49.600000000000001</v>
      </c>
      <c r="H1259" s="22">
        <v>0</v>
      </c>
      <c r="I1259" s="23" t="str">
        <f t="shared" si="58"/>
        <v xml:space="preserve">COM VALOR</v>
      </c>
      <c r="J1259" s="19"/>
      <c r="L1259" s="21">
        <v>50.710000000000001</v>
      </c>
      <c r="M1259" s="22">
        <v>0</v>
      </c>
      <c r="N1259" s="21">
        <v>49.600000000000001</v>
      </c>
      <c r="O1259" s="22">
        <v>0</v>
      </c>
    </row>
    <row r="1260" ht="38.25">
      <c r="A1260" t="s">
        <v>1293</v>
      </c>
      <c r="B1260" s="19">
        <v>101194</v>
      </c>
      <c r="C1260" s="20" t="s">
        <v>1303</v>
      </c>
      <c r="D1260" s="19" t="s">
        <v>38</v>
      </c>
      <c r="E1260" s="21">
        <f t="shared" si="56"/>
        <v>50.869999999999997</v>
      </c>
      <c r="F1260" s="22">
        <v>0</v>
      </c>
      <c r="G1260" s="21">
        <f t="shared" si="57"/>
        <v>49.759999999999998</v>
      </c>
      <c r="H1260" s="22">
        <v>0</v>
      </c>
      <c r="I1260" s="23" t="str">
        <f t="shared" si="58"/>
        <v xml:space="preserve">COM VALOR</v>
      </c>
      <c r="J1260" s="19"/>
      <c r="L1260" s="21">
        <v>50.869999999999997</v>
      </c>
      <c r="M1260" s="22">
        <v>0</v>
      </c>
      <c r="N1260" s="21">
        <v>49.759999999999998</v>
      </c>
      <c r="O1260" s="22">
        <v>0</v>
      </c>
    </row>
    <row r="1261" ht="38.25">
      <c r="A1261" t="s">
        <v>1293</v>
      </c>
      <c r="B1261" s="19">
        <v>101190</v>
      </c>
      <c r="C1261" s="20" t="s">
        <v>1304</v>
      </c>
      <c r="D1261" s="19" t="s">
        <v>38</v>
      </c>
      <c r="E1261" s="21">
        <f t="shared" si="56"/>
        <v>55.799999999999997</v>
      </c>
      <c r="F1261" s="22">
        <v>0</v>
      </c>
      <c r="G1261" s="21">
        <f t="shared" si="57"/>
        <v>54.689999999999998</v>
      </c>
      <c r="H1261" s="22">
        <v>0</v>
      </c>
      <c r="I1261" s="23" t="str">
        <f t="shared" si="58"/>
        <v xml:space="preserve">COM VALOR</v>
      </c>
      <c r="J1261" s="19"/>
      <c r="L1261" s="21">
        <v>55.799999999999997</v>
      </c>
      <c r="M1261" s="22">
        <v>0</v>
      </c>
      <c r="N1261" s="21">
        <v>54.689999999999998</v>
      </c>
      <c r="O1261" s="22">
        <v>0</v>
      </c>
    </row>
    <row r="1262" ht="38.25">
      <c r="A1262" t="s">
        <v>1293</v>
      </c>
      <c r="B1262" s="19">
        <v>106458</v>
      </c>
      <c r="C1262" s="20" t="s">
        <v>1305</v>
      </c>
      <c r="D1262" s="19" t="s">
        <v>38</v>
      </c>
      <c r="E1262" s="21">
        <f t="shared" si="56"/>
        <v>55.920000000000002</v>
      </c>
      <c r="F1262" s="22">
        <v>0</v>
      </c>
      <c r="G1262" s="21">
        <f t="shared" si="57"/>
        <v>54.810000000000002</v>
      </c>
      <c r="H1262" s="22">
        <v>0</v>
      </c>
      <c r="I1262" s="23" t="str">
        <f t="shared" si="58"/>
        <v xml:space="preserve">COM VALOR</v>
      </c>
      <c r="J1262" s="19"/>
      <c r="L1262" s="21">
        <v>55.920000000000002</v>
      </c>
      <c r="M1262" s="22">
        <v>0</v>
      </c>
      <c r="N1262" s="21">
        <v>54.810000000000002</v>
      </c>
      <c r="O1262" s="22">
        <v>0</v>
      </c>
    </row>
    <row r="1263" ht="38.25">
      <c r="A1263" t="s">
        <v>1293</v>
      </c>
      <c r="B1263" s="19">
        <v>101191</v>
      </c>
      <c r="C1263" s="20" t="s">
        <v>1306</v>
      </c>
      <c r="D1263" s="19" t="s">
        <v>38</v>
      </c>
      <c r="E1263" s="21">
        <f t="shared" si="56"/>
        <v>56.079999999999998</v>
      </c>
      <c r="F1263" s="22">
        <v>0</v>
      </c>
      <c r="G1263" s="21">
        <f t="shared" si="57"/>
        <v>54.969999999999999</v>
      </c>
      <c r="H1263" s="22">
        <v>0</v>
      </c>
      <c r="I1263" s="23" t="str">
        <f t="shared" si="58"/>
        <v xml:space="preserve">COM VALOR</v>
      </c>
      <c r="J1263" s="19"/>
      <c r="L1263" s="21">
        <v>56.079999999999998</v>
      </c>
      <c r="M1263" s="22">
        <v>0</v>
      </c>
      <c r="N1263" s="21">
        <v>54.969999999999999</v>
      </c>
      <c r="O1263" s="22">
        <v>0</v>
      </c>
    </row>
    <row r="1264" ht="51">
      <c r="A1264" t="s">
        <v>1293</v>
      </c>
      <c r="B1264" s="19">
        <v>101198</v>
      </c>
      <c r="C1264" s="20" t="s">
        <v>1307</v>
      </c>
      <c r="D1264" s="19" t="s">
        <v>38</v>
      </c>
      <c r="E1264" s="21">
        <f t="shared" si="56"/>
        <v>78.569999999999993</v>
      </c>
      <c r="F1264" s="22">
        <v>0</v>
      </c>
      <c r="G1264" s="21">
        <f t="shared" si="57"/>
        <v>76.590000000000003</v>
      </c>
      <c r="H1264" s="22">
        <v>0</v>
      </c>
      <c r="I1264" s="23" t="str">
        <f t="shared" si="58"/>
        <v xml:space="preserve">COM VALOR</v>
      </c>
      <c r="J1264" s="19"/>
      <c r="L1264" s="21">
        <v>78.569999999999993</v>
      </c>
      <c r="M1264" s="22">
        <v>0</v>
      </c>
      <c r="N1264" s="21">
        <v>76.590000000000003</v>
      </c>
      <c r="O1264" s="22">
        <v>0</v>
      </c>
    </row>
    <row r="1265" ht="51">
      <c r="A1265" t="s">
        <v>1293</v>
      </c>
      <c r="B1265" s="19">
        <v>106460</v>
      </c>
      <c r="C1265" s="20" t="s">
        <v>1308</v>
      </c>
      <c r="D1265" s="19" t="s">
        <v>38</v>
      </c>
      <c r="E1265" s="21">
        <f t="shared" si="56"/>
        <v>78.900000000000006</v>
      </c>
      <c r="F1265" s="22">
        <v>0</v>
      </c>
      <c r="G1265" s="21">
        <f t="shared" si="57"/>
        <v>76.920000000000002</v>
      </c>
      <c r="H1265" s="22">
        <v>0</v>
      </c>
      <c r="I1265" s="23" t="str">
        <f t="shared" si="58"/>
        <v xml:space="preserve">COM VALOR</v>
      </c>
      <c r="J1265" s="19"/>
      <c r="L1265" s="21">
        <v>78.900000000000006</v>
      </c>
      <c r="M1265" s="22">
        <v>0</v>
      </c>
      <c r="N1265" s="21">
        <v>76.920000000000002</v>
      </c>
      <c r="O1265" s="22">
        <v>0</v>
      </c>
    </row>
    <row r="1266" ht="38.25">
      <c r="A1266" t="s">
        <v>1293</v>
      </c>
      <c r="B1266" s="19">
        <v>101199</v>
      </c>
      <c r="C1266" s="20" t="s">
        <v>1309</v>
      </c>
      <c r="D1266" s="19" t="s">
        <v>38</v>
      </c>
      <c r="E1266" s="21">
        <f t="shared" si="56"/>
        <v>79.269999999999996</v>
      </c>
      <c r="F1266" s="22">
        <v>0</v>
      </c>
      <c r="G1266" s="21">
        <f t="shared" si="57"/>
        <v>77.290000000000006</v>
      </c>
      <c r="H1266" s="22">
        <v>0</v>
      </c>
      <c r="I1266" s="23" t="str">
        <f t="shared" si="58"/>
        <v xml:space="preserve">COM VALOR</v>
      </c>
      <c r="J1266" s="19"/>
      <c r="L1266" s="21">
        <v>79.269999999999996</v>
      </c>
      <c r="M1266" s="22">
        <v>0</v>
      </c>
      <c r="N1266" s="21">
        <v>77.290000000000006</v>
      </c>
      <c r="O1266" s="22">
        <v>0</v>
      </c>
    </row>
    <row r="1267" ht="51">
      <c r="A1267" t="s">
        <v>1293</v>
      </c>
      <c r="B1267" s="19">
        <v>101203</v>
      </c>
      <c r="C1267" s="20" t="s">
        <v>1310</v>
      </c>
      <c r="D1267" s="19" t="s">
        <v>38</v>
      </c>
      <c r="E1267" s="21">
        <f t="shared" si="56"/>
        <v>38.07</v>
      </c>
      <c r="F1267" s="22">
        <v>0</v>
      </c>
      <c r="G1267" s="21">
        <f t="shared" si="57"/>
        <v>36.990000000000002</v>
      </c>
      <c r="H1267" s="22">
        <v>0</v>
      </c>
      <c r="I1267" s="23" t="str">
        <f t="shared" si="58"/>
        <v xml:space="preserve">COM VALOR</v>
      </c>
      <c r="J1267" s="19"/>
      <c r="L1267" s="21">
        <v>38.07</v>
      </c>
      <c r="M1267" s="22">
        <v>0</v>
      </c>
      <c r="N1267" s="21">
        <v>36.990000000000002</v>
      </c>
      <c r="O1267" s="22">
        <v>0</v>
      </c>
    </row>
    <row r="1268" ht="38.25">
      <c r="A1268" t="s">
        <v>1293</v>
      </c>
      <c r="B1268" s="19">
        <v>101204</v>
      </c>
      <c r="C1268" s="20" t="s">
        <v>1311</v>
      </c>
      <c r="D1268" s="19" t="s">
        <v>38</v>
      </c>
      <c r="E1268" s="21">
        <f t="shared" si="56"/>
        <v>38.350000000000001</v>
      </c>
      <c r="F1268" s="22">
        <v>0</v>
      </c>
      <c r="G1268" s="21">
        <f t="shared" si="57"/>
        <v>37.270000000000003</v>
      </c>
      <c r="H1268" s="22">
        <v>0</v>
      </c>
      <c r="I1268" s="23" t="str">
        <f t="shared" si="58"/>
        <v xml:space="preserve">COM VALOR</v>
      </c>
      <c r="J1268" s="19"/>
      <c r="L1268" s="21">
        <v>38.350000000000001</v>
      </c>
      <c r="M1268" s="22">
        <v>0</v>
      </c>
      <c r="N1268" s="21">
        <v>37.270000000000003</v>
      </c>
      <c r="O1268" s="22">
        <v>0</v>
      </c>
    </row>
    <row r="1269" ht="51">
      <c r="A1269" t="s">
        <v>1293</v>
      </c>
      <c r="B1269" s="19">
        <v>106257</v>
      </c>
      <c r="C1269" s="20" t="s">
        <v>1312</v>
      </c>
      <c r="D1269" s="19" t="s">
        <v>38</v>
      </c>
      <c r="E1269" s="21">
        <f t="shared" si="56"/>
        <v>38.219999999999999</v>
      </c>
      <c r="F1269" s="22">
        <v>0</v>
      </c>
      <c r="G1269" s="21">
        <f t="shared" si="57"/>
        <v>37.140000000000001</v>
      </c>
      <c r="H1269" s="22">
        <v>0</v>
      </c>
      <c r="I1269" s="23" t="str">
        <f t="shared" si="58"/>
        <v xml:space="preserve">COM VALOR</v>
      </c>
      <c r="J1269" s="19"/>
      <c r="L1269" s="21">
        <v>38.219999999999999</v>
      </c>
      <c r="M1269" s="22">
        <v>0</v>
      </c>
      <c r="N1269" s="21">
        <v>37.140000000000001</v>
      </c>
      <c r="O1269" s="22">
        <v>0</v>
      </c>
    </row>
    <row r="1270" ht="51">
      <c r="A1270" t="s">
        <v>1293</v>
      </c>
      <c r="B1270" s="19">
        <v>106461</v>
      </c>
      <c r="C1270" s="20" t="s">
        <v>1313</v>
      </c>
      <c r="D1270" s="19" t="s">
        <v>38</v>
      </c>
      <c r="E1270" s="21">
        <f t="shared" si="56"/>
        <v>50.509999999999998</v>
      </c>
      <c r="F1270" s="22">
        <v>0</v>
      </c>
      <c r="G1270" s="21">
        <f t="shared" si="57"/>
        <v>49.530000000000001</v>
      </c>
      <c r="H1270" s="22">
        <v>0</v>
      </c>
      <c r="I1270" s="23" t="str">
        <f t="shared" si="58"/>
        <v xml:space="preserve">COM VALOR</v>
      </c>
      <c r="J1270" s="19"/>
      <c r="L1270" s="21">
        <v>50.509999999999998</v>
      </c>
      <c r="M1270" s="22">
        <v>0</v>
      </c>
      <c r="N1270" s="21">
        <v>49.530000000000001</v>
      </c>
      <c r="O1270" s="22">
        <v>0</v>
      </c>
    </row>
    <row r="1271" ht="38.25">
      <c r="A1271" t="s">
        <v>1293</v>
      </c>
      <c r="B1271" s="19">
        <v>106462</v>
      </c>
      <c r="C1271" s="20" t="s">
        <v>1314</v>
      </c>
      <c r="D1271" s="19" t="s">
        <v>38</v>
      </c>
      <c r="E1271" s="21">
        <f t="shared" si="56"/>
        <v>61.759999999999998</v>
      </c>
      <c r="F1271" s="22">
        <v>0.14000000000000001</v>
      </c>
      <c r="G1271" s="21">
        <f t="shared" si="57"/>
        <v>60.390000000000001</v>
      </c>
      <c r="H1271" s="22">
        <v>0.14000000000000001</v>
      </c>
      <c r="I1271" s="23" t="str">
        <f t="shared" si="58"/>
        <v xml:space="preserve">COM VALOR</v>
      </c>
      <c r="J1271" s="19"/>
      <c r="L1271" s="21">
        <v>61.759999999999998</v>
      </c>
      <c r="M1271" s="22">
        <v>0</v>
      </c>
      <c r="N1271" s="21">
        <v>60.390000000000001</v>
      </c>
      <c r="O1271" s="22">
        <v>0</v>
      </c>
    </row>
    <row r="1272" ht="38.25">
      <c r="A1272" t="s">
        <v>1293</v>
      </c>
      <c r="B1272" s="19">
        <v>106479</v>
      </c>
      <c r="C1272" s="20" t="s">
        <v>1315</v>
      </c>
      <c r="D1272" s="19" t="s">
        <v>38</v>
      </c>
      <c r="E1272" s="21">
        <f t="shared" si="56"/>
        <v>62.450000000000003</v>
      </c>
      <c r="F1272" s="22">
        <v>0.13</v>
      </c>
      <c r="G1272" s="21">
        <f t="shared" si="57"/>
        <v>61.57</v>
      </c>
      <c r="H1272" s="22">
        <v>0.13</v>
      </c>
      <c r="I1272" s="23" t="str">
        <f t="shared" si="58"/>
        <v xml:space="preserve">COM VALOR</v>
      </c>
      <c r="J1272" s="19"/>
      <c r="L1272" s="21">
        <v>62.450000000000003</v>
      </c>
      <c r="M1272" s="22">
        <v>0.75</v>
      </c>
      <c r="N1272" s="21">
        <v>61.57</v>
      </c>
      <c r="O1272" s="22">
        <v>0.76000000000000001</v>
      </c>
    </row>
    <row r="1273" ht="25.5">
      <c r="A1273" t="s">
        <v>1293</v>
      </c>
      <c r="B1273" s="19">
        <v>106483</v>
      </c>
      <c r="C1273" s="20" t="s">
        <v>1316</v>
      </c>
      <c r="D1273" s="19" t="s">
        <v>31</v>
      </c>
      <c r="E1273" s="21">
        <f t="shared" si="56"/>
        <v>96.590000000000003</v>
      </c>
      <c r="F1273" s="22">
        <v>0</v>
      </c>
      <c r="G1273" s="21">
        <f t="shared" si="57"/>
        <v>95.049999999999997</v>
      </c>
      <c r="H1273" s="22">
        <v>0</v>
      </c>
      <c r="I1273" s="23" t="str">
        <f t="shared" si="58"/>
        <v xml:space="preserve">COM VALOR</v>
      </c>
      <c r="J1273" s="19"/>
      <c r="L1273" s="21">
        <v>96.590000000000003</v>
      </c>
      <c r="M1273" s="22">
        <v>0</v>
      </c>
      <c r="N1273" s="21">
        <v>95.049999999999997</v>
      </c>
      <c r="O1273" s="22">
        <v>0</v>
      </c>
    </row>
    <row r="1274" ht="38.25">
      <c r="A1274" t="s">
        <v>1293</v>
      </c>
      <c r="B1274" s="19">
        <v>106484</v>
      </c>
      <c r="C1274" s="20" t="s">
        <v>1317</v>
      </c>
      <c r="D1274" s="19" t="s">
        <v>31</v>
      </c>
      <c r="E1274" s="21">
        <f t="shared" si="56"/>
        <v>104.29000000000001</v>
      </c>
      <c r="F1274" s="22">
        <v>0</v>
      </c>
      <c r="G1274" s="21">
        <f t="shared" si="57"/>
        <v>102.75</v>
      </c>
      <c r="H1274" s="22">
        <v>0</v>
      </c>
      <c r="I1274" s="23" t="str">
        <f t="shared" si="58"/>
        <v xml:space="preserve">COM VALOR</v>
      </c>
      <c r="J1274" s="19"/>
      <c r="L1274" s="21">
        <v>104.29000000000001</v>
      </c>
      <c r="M1274" s="22">
        <v>0</v>
      </c>
      <c r="N1274" s="21">
        <v>102.75</v>
      </c>
      <c r="O1274" s="22">
        <v>0</v>
      </c>
    </row>
    <row r="1275" ht="25.5">
      <c r="A1275" t="s">
        <v>1293</v>
      </c>
      <c r="B1275" s="19">
        <v>106480</v>
      </c>
      <c r="C1275" s="20" t="s">
        <v>1318</v>
      </c>
      <c r="D1275" s="19" t="s">
        <v>31</v>
      </c>
      <c r="E1275" s="21">
        <f t="shared" si="56"/>
        <v>93.010000000000005</v>
      </c>
      <c r="F1275" s="22">
        <v>0.5</v>
      </c>
      <c r="G1275" s="21">
        <f t="shared" si="57"/>
        <v>91.469999999999999</v>
      </c>
      <c r="H1275" s="22">
        <v>0.52000000000000002</v>
      </c>
      <c r="I1275" s="23" t="str">
        <f t="shared" si="58"/>
        <v xml:space="preserve">COM VALOR</v>
      </c>
      <c r="J1275" s="19"/>
      <c r="L1275" s="21">
        <v>93.010000000000005</v>
      </c>
      <c r="M1275" s="22">
        <v>0</v>
      </c>
      <c r="N1275" s="21">
        <v>91.469999999999999</v>
      </c>
      <c r="O1275" s="22">
        <v>0</v>
      </c>
    </row>
    <row r="1276" ht="25.5">
      <c r="A1276" t="s">
        <v>1293</v>
      </c>
      <c r="B1276" s="19">
        <v>106482</v>
      </c>
      <c r="C1276" s="20" t="s">
        <v>1319</v>
      </c>
      <c r="D1276" s="19" t="s">
        <v>31</v>
      </c>
      <c r="E1276" s="21" t="str">
        <f t="shared" si="56"/>
        <v>VERIFICAR</v>
      </c>
      <c r="F1276" s="22">
        <v>0.48999999999999999</v>
      </c>
      <c r="G1276" s="21" t="str">
        <f t="shared" si="57"/>
        <v>VERIFICAR</v>
      </c>
      <c r="H1276" s="22">
        <v>0.51000000000000001</v>
      </c>
      <c r="I1276" s="23" t="str">
        <f t="shared" si="58"/>
        <v xml:space="preserve">COM VALOR</v>
      </c>
      <c r="J1276" s="19"/>
      <c r="L1276" s="21">
        <v>0</v>
      </c>
      <c r="M1276" s="22"/>
      <c r="N1276" s="21">
        <v>0</v>
      </c>
      <c r="O1276" s="22"/>
    </row>
    <row r="1277" ht="25.5">
      <c r="A1277" t="s">
        <v>1293</v>
      </c>
      <c r="B1277" s="19">
        <v>106481</v>
      </c>
      <c r="C1277" s="20" t="s">
        <v>1320</v>
      </c>
      <c r="D1277" s="19" t="s">
        <v>31</v>
      </c>
      <c r="E1277" s="21">
        <f t="shared" si="56"/>
        <v>106.03</v>
      </c>
      <c r="F1277" s="22">
        <v>0</v>
      </c>
      <c r="G1277" s="21">
        <f t="shared" si="57"/>
        <v>104.48999999999999</v>
      </c>
      <c r="H1277" s="22">
        <v>0</v>
      </c>
      <c r="I1277" s="23" t="str">
        <f t="shared" si="58"/>
        <v xml:space="preserve">COM VALOR</v>
      </c>
      <c r="J1277" s="19"/>
      <c r="L1277" s="21">
        <v>106.03</v>
      </c>
      <c r="M1277" s="22">
        <v>0</v>
      </c>
      <c r="N1277" s="21">
        <v>104.48999999999999</v>
      </c>
      <c r="O1277" s="22">
        <v>0</v>
      </c>
    </row>
    <row r="1278" ht="51">
      <c r="A1278" t="s">
        <v>1293</v>
      </c>
      <c r="B1278" s="19">
        <v>106467</v>
      </c>
      <c r="C1278" s="20" t="s">
        <v>1321</v>
      </c>
      <c r="D1278" s="19" t="s">
        <v>29</v>
      </c>
      <c r="E1278" s="21" t="str">
        <f t="shared" si="56"/>
        <v>VERIFICAR</v>
      </c>
      <c r="F1278" s="22">
        <v>0</v>
      </c>
      <c r="G1278" s="21" t="str">
        <f t="shared" si="57"/>
        <v>VERIFICAR</v>
      </c>
      <c r="H1278" s="22">
        <v>0</v>
      </c>
      <c r="I1278" s="23" t="str">
        <f t="shared" si="58"/>
        <v xml:space="preserve">COM VALOR</v>
      </c>
      <c r="J1278" s="19"/>
      <c r="L1278" s="21">
        <v>0</v>
      </c>
      <c r="M1278" s="22"/>
      <c r="N1278" s="21">
        <v>0</v>
      </c>
      <c r="O1278" s="22"/>
    </row>
    <row r="1279" ht="51">
      <c r="A1279" t="s">
        <v>1293</v>
      </c>
      <c r="B1279" s="19">
        <v>106465</v>
      </c>
      <c r="C1279" s="20" t="s">
        <v>1322</v>
      </c>
      <c r="D1279" s="19" t="s">
        <v>29</v>
      </c>
      <c r="E1279" s="21" t="str">
        <f t="shared" si="56"/>
        <v>VERIFICAR</v>
      </c>
      <c r="F1279" s="22">
        <v>0.12</v>
      </c>
      <c r="G1279" s="21" t="str">
        <f t="shared" si="57"/>
        <v>VERIFICAR</v>
      </c>
      <c r="H1279" s="22">
        <v>0.13</v>
      </c>
      <c r="I1279" s="23" t="str">
        <f t="shared" si="58"/>
        <v xml:space="preserve">COM VALOR</v>
      </c>
      <c r="J1279" s="19"/>
      <c r="L1279" s="21">
        <v>0</v>
      </c>
      <c r="M1279" s="22"/>
      <c r="N1279" s="21">
        <v>0</v>
      </c>
      <c r="O1279" s="22"/>
    </row>
    <row r="1280" ht="51">
      <c r="A1280" t="s">
        <v>1293</v>
      </c>
      <c r="B1280" s="19">
        <v>106469</v>
      </c>
      <c r="C1280" s="20" t="s">
        <v>1323</v>
      </c>
      <c r="D1280" s="19" t="s">
        <v>29</v>
      </c>
      <c r="E1280" s="21">
        <f t="shared" si="56"/>
        <v>29.57</v>
      </c>
      <c r="F1280" s="22">
        <v>0.11</v>
      </c>
      <c r="G1280" s="21">
        <f t="shared" si="57"/>
        <v>29.34</v>
      </c>
      <c r="H1280" s="22">
        <v>0.12</v>
      </c>
      <c r="I1280" s="23" t="str">
        <f t="shared" si="58"/>
        <v xml:space="preserve">COM VALOR</v>
      </c>
      <c r="J1280" s="19"/>
      <c r="L1280" s="21">
        <v>29.57</v>
      </c>
      <c r="M1280" s="22">
        <v>0</v>
      </c>
      <c r="N1280" s="21">
        <v>29.34</v>
      </c>
      <c r="O1280" s="22">
        <v>0</v>
      </c>
    </row>
    <row r="1281" ht="38.25">
      <c r="A1281" t="s">
        <v>1293</v>
      </c>
      <c r="B1281" s="19">
        <v>106468</v>
      </c>
      <c r="C1281" s="20" t="s">
        <v>1324</v>
      </c>
      <c r="D1281" s="19" t="s">
        <v>29</v>
      </c>
      <c r="E1281" s="21">
        <f t="shared" si="56"/>
        <v>18.670000000000002</v>
      </c>
      <c r="F1281" s="22">
        <v>0</v>
      </c>
      <c r="G1281" s="21">
        <f t="shared" si="57"/>
        <v>18.440000000000001</v>
      </c>
      <c r="H1281" s="22">
        <v>0</v>
      </c>
      <c r="I1281" s="23" t="str">
        <f t="shared" si="58"/>
        <v xml:space="preserve">COM VALOR</v>
      </c>
      <c r="J1281" s="19"/>
      <c r="L1281" s="21">
        <v>18.670000000000002</v>
      </c>
      <c r="M1281" s="22">
        <v>0</v>
      </c>
      <c r="N1281" s="21">
        <v>18.440000000000001</v>
      </c>
      <c r="O1281" s="22">
        <v>0</v>
      </c>
    </row>
    <row r="1282" ht="38.25">
      <c r="A1282" t="s">
        <v>1293</v>
      </c>
      <c r="B1282" s="19">
        <v>106466</v>
      </c>
      <c r="C1282" s="20" t="s">
        <v>1325</v>
      </c>
      <c r="D1282" s="19" t="s">
        <v>29</v>
      </c>
      <c r="E1282" s="21">
        <f t="shared" si="56"/>
        <v>38.979999999999997</v>
      </c>
      <c r="F1282" s="22">
        <v>0</v>
      </c>
      <c r="G1282" s="21">
        <f t="shared" si="57"/>
        <v>38.219999999999999</v>
      </c>
      <c r="H1282" s="22">
        <v>0</v>
      </c>
      <c r="I1282" s="23" t="str">
        <f t="shared" si="58"/>
        <v xml:space="preserve">COM VALOR</v>
      </c>
      <c r="J1282" s="19"/>
      <c r="L1282" s="21">
        <v>38.979999999999997</v>
      </c>
      <c r="M1282" s="22">
        <v>0</v>
      </c>
      <c r="N1282" s="21">
        <v>38.219999999999999</v>
      </c>
      <c r="O1282" s="22">
        <v>0</v>
      </c>
    </row>
    <row r="1283" ht="38.25">
      <c r="A1283" t="s">
        <v>1293</v>
      </c>
      <c r="B1283" s="19">
        <v>106464</v>
      </c>
      <c r="C1283" s="20" t="s">
        <v>1326</v>
      </c>
      <c r="D1283" s="19" t="s">
        <v>29</v>
      </c>
      <c r="E1283" s="21">
        <f t="shared" si="56"/>
        <v>51.509999999999998</v>
      </c>
      <c r="F1283" s="22">
        <v>0.54000000000000004</v>
      </c>
      <c r="G1283" s="21">
        <f t="shared" si="57"/>
        <v>50.75</v>
      </c>
      <c r="H1283" s="22">
        <v>0.56000000000000005</v>
      </c>
      <c r="I1283" s="23" t="str">
        <f t="shared" si="58"/>
        <v xml:space="preserve">COM VALOR</v>
      </c>
      <c r="J1283" s="19"/>
      <c r="L1283" s="21">
        <v>51.509999999999998</v>
      </c>
      <c r="M1283" s="22">
        <v>0</v>
      </c>
      <c r="N1283" s="21">
        <v>50.75</v>
      </c>
      <c r="O1283" s="22">
        <v>0</v>
      </c>
    </row>
    <row r="1284" ht="38.25">
      <c r="A1284" t="s">
        <v>1293</v>
      </c>
      <c r="B1284" s="19">
        <v>106476</v>
      </c>
      <c r="C1284" s="20" t="s">
        <v>1327</v>
      </c>
      <c r="D1284" s="19" t="s">
        <v>38</v>
      </c>
      <c r="E1284" s="21">
        <f t="shared" si="56"/>
        <v>59.060000000000002</v>
      </c>
      <c r="F1284" s="22">
        <v>0.53000000000000003</v>
      </c>
      <c r="G1284" s="21">
        <f t="shared" si="57"/>
        <v>58.369999999999997</v>
      </c>
      <c r="H1284" s="22">
        <v>0.55000000000000004</v>
      </c>
      <c r="I1284" s="23" t="str">
        <f t="shared" si="58"/>
        <v xml:space="preserve">COM VALOR</v>
      </c>
      <c r="J1284" s="19"/>
      <c r="L1284" s="21">
        <v>59.060000000000002</v>
      </c>
      <c r="M1284" s="22">
        <v>0.79000000000000004</v>
      </c>
      <c r="N1284" s="21">
        <v>58.369999999999997</v>
      </c>
      <c r="O1284" s="22">
        <v>0.80000000000000004</v>
      </c>
    </row>
    <row r="1285" ht="38.25">
      <c r="A1285" t="s">
        <v>1293</v>
      </c>
      <c r="B1285" s="19">
        <v>106477</v>
      </c>
      <c r="C1285" s="20" t="s">
        <v>1328</v>
      </c>
      <c r="D1285" s="19" t="s">
        <v>38</v>
      </c>
      <c r="E1285" s="21">
        <f t="shared" si="56"/>
        <v>49.399999999999999</v>
      </c>
      <c r="F1285" s="22">
        <v>8.9999999999999997e-002</v>
      </c>
      <c r="G1285" s="21">
        <f t="shared" si="57"/>
        <v>48.710000000000001</v>
      </c>
      <c r="H1285" s="22">
        <v>8.9999999999999997e-002</v>
      </c>
      <c r="I1285" s="23" t="str">
        <f t="shared" si="58"/>
        <v xml:space="preserve">COM VALOR</v>
      </c>
      <c r="J1285" s="19"/>
      <c r="L1285" s="21">
        <v>49.399999999999999</v>
      </c>
      <c r="M1285" s="22">
        <v>0.75</v>
      </c>
      <c r="N1285" s="21">
        <v>48.710000000000001</v>
      </c>
      <c r="O1285" s="22">
        <v>0.76000000000000001</v>
      </c>
    </row>
    <row r="1286" ht="38.25">
      <c r="A1286" t="s">
        <v>1293</v>
      </c>
      <c r="B1286" s="19">
        <v>106478</v>
      </c>
      <c r="C1286" s="20" t="s">
        <v>1329</v>
      </c>
      <c r="D1286" s="19" t="s">
        <v>38</v>
      </c>
      <c r="E1286" s="21">
        <f t="shared" si="56"/>
        <v>109.34999999999999</v>
      </c>
      <c r="F1286" s="22">
        <v>8.9999999999999997e-002</v>
      </c>
      <c r="G1286" s="21">
        <f t="shared" si="57"/>
        <v>108.66</v>
      </c>
      <c r="H1286" s="22">
        <v>8.9999999999999997e-002</v>
      </c>
      <c r="I1286" s="23" t="str">
        <f t="shared" si="58"/>
        <v xml:space="preserve">COM VALOR</v>
      </c>
      <c r="J1286" s="19"/>
      <c r="L1286" s="21">
        <v>109.34999999999999</v>
      </c>
      <c r="M1286" s="22">
        <v>0.89000000000000001</v>
      </c>
      <c r="N1286" s="21">
        <v>108.66</v>
      </c>
      <c r="O1286" s="22">
        <v>0.89000000000000001</v>
      </c>
    </row>
    <row r="1287" ht="38.25">
      <c r="A1287" t="s">
        <v>1293</v>
      </c>
      <c r="B1287" s="19">
        <v>106471</v>
      </c>
      <c r="C1287" s="20" t="s">
        <v>1330</v>
      </c>
      <c r="D1287" s="19" t="s">
        <v>38</v>
      </c>
      <c r="E1287" s="21">
        <f t="shared" si="56"/>
        <v>135.75</v>
      </c>
      <c r="F1287" s="22">
        <v>0</v>
      </c>
      <c r="G1287" s="21">
        <f t="shared" si="57"/>
        <v>134.00999999999999</v>
      </c>
      <c r="H1287" s="22">
        <v>0</v>
      </c>
      <c r="I1287" s="23" t="str">
        <f t="shared" si="58"/>
        <v xml:space="preserve">COM VALOR</v>
      </c>
      <c r="J1287" s="19"/>
      <c r="L1287" s="21">
        <v>135.75</v>
      </c>
      <c r="M1287" s="22">
        <v>0.70999999999999996</v>
      </c>
      <c r="N1287" s="21">
        <v>134.00999999999999</v>
      </c>
      <c r="O1287" s="22">
        <v>0.71999999999999997</v>
      </c>
    </row>
    <row r="1288" ht="38.25">
      <c r="A1288" t="s">
        <v>1293</v>
      </c>
      <c r="B1288" s="19">
        <v>106470</v>
      </c>
      <c r="C1288" s="20" t="s">
        <v>1331</v>
      </c>
      <c r="D1288" s="19" t="s">
        <v>38</v>
      </c>
      <c r="E1288" s="21">
        <f t="shared" si="56"/>
        <v>117.19</v>
      </c>
      <c r="F1288" s="22">
        <v>0</v>
      </c>
      <c r="G1288" s="21">
        <f t="shared" si="57"/>
        <v>115.45</v>
      </c>
      <c r="H1288" s="22">
        <v>0</v>
      </c>
      <c r="I1288" s="23" t="str">
        <f t="shared" si="58"/>
        <v xml:space="preserve">COM VALOR</v>
      </c>
      <c r="J1288" s="19"/>
      <c r="L1288" s="21">
        <v>117.19</v>
      </c>
      <c r="M1288" s="22">
        <v>0.67000000000000004</v>
      </c>
      <c r="N1288" s="21">
        <v>115.45</v>
      </c>
      <c r="O1288" s="22">
        <v>0.68000000000000005</v>
      </c>
    </row>
    <row r="1289" ht="38.25">
      <c r="A1289" t="s">
        <v>1293</v>
      </c>
      <c r="B1289" s="19">
        <v>106472</v>
      </c>
      <c r="C1289" s="20" t="s">
        <v>1332</v>
      </c>
      <c r="D1289" s="19" t="s">
        <v>38</v>
      </c>
      <c r="E1289" s="21">
        <f t="shared" si="56"/>
        <v>168.94</v>
      </c>
      <c r="F1289" s="22">
        <v>0</v>
      </c>
      <c r="G1289" s="21">
        <f t="shared" si="57"/>
        <v>167.19999999999999</v>
      </c>
      <c r="H1289" s="22">
        <v>0</v>
      </c>
      <c r="I1289" s="23" t="str">
        <f t="shared" si="58"/>
        <v xml:space="preserve">COM VALOR</v>
      </c>
      <c r="J1289" s="19"/>
      <c r="L1289" s="21">
        <v>168.94</v>
      </c>
      <c r="M1289" s="22">
        <v>0.77000000000000002</v>
      </c>
      <c r="N1289" s="21">
        <v>167.19999999999999</v>
      </c>
      <c r="O1289" s="22">
        <v>0.78000000000000003</v>
      </c>
    </row>
    <row r="1290" ht="38.25">
      <c r="A1290" t="s">
        <v>1293</v>
      </c>
      <c r="B1290" s="19">
        <v>106475</v>
      </c>
      <c r="C1290" s="20" t="s">
        <v>1333</v>
      </c>
      <c r="D1290" s="19" t="s">
        <v>38</v>
      </c>
      <c r="E1290" s="21">
        <f t="shared" si="56"/>
        <v>140.03</v>
      </c>
      <c r="F1290" s="22">
        <v>0</v>
      </c>
      <c r="G1290" s="21">
        <f t="shared" si="57"/>
        <v>139.59999999999999</v>
      </c>
      <c r="H1290" s="22">
        <v>0</v>
      </c>
      <c r="I1290" s="23" t="str">
        <f t="shared" si="58"/>
        <v xml:space="preserve">COM VALOR</v>
      </c>
      <c r="J1290" s="19"/>
      <c r="L1290" s="21">
        <v>140.03</v>
      </c>
      <c r="M1290" s="22">
        <v>0.93000000000000005</v>
      </c>
      <c r="N1290" s="21">
        <v>139.59999999999999</v>
      </c>
      <c r="O1290" s="22">
        <v>0.93000000000000005</v>
      </c>
    </row>
    <row r="1291" ht="38.25">
      <c r="A1291" t="s">
        <v>1293</v>
      </c>
      <c r="B1291" s="19">
        <v>106474</v>
      </c>
      <c r="C1291" s="20" t="s">
        <v>1334</v>
      </c>
      <c r="D1291" s="19" t="s">
        <v>38</v>
      </c>
      <c r="E1291" s="21">
        <f t="shared" ref="E1291:E1354" si="59">IF(L1291=0,"VERIFICAR",L1291)</f>
        <v>106.61</v>
      </c>
      <c r="F1291" s="22">
        <v>0.68000000000000005</v>
      </c>
      <c r="G1291" s="21">
        <f t="shared" ref="G1291:G1354" si="60">IF(N1291=0,"VERIFICAR",N1291)</f>
        <v>106.17</v>
      </c>
      <c r="H1291" s="22">
        <v>0.69999999999999996</v>
      </c>
      <c r="I1291" s="23" t="str">
        <f t="shared" ref="I1291:I1354" si="61">IF(OR(E1291=0,G1291=0),"SEM VALOR","COM VALOR")</f>
        <v xml:space="preserve">COM VALOR</v>
      </c>
      <c r="J1291" s="19"/>
      <c r="L1291" s="21">
        <v>106.61</v>
      </c>
      <c r="M1291" s="22">
        <v>0.91000000000000003</v>
      </c>
      <c r="N1291" s="21">
        <v>106.17</v>
      </c>
      <c r="O1291" s="22">
        <v>0.91000000000000003</v>
      </c>
    </row>
    <row r="1292" ht="38.25">
      <c r="A1292" t="s">
        <v>1293</v>
      </c>
      <c r="B1292" s="19">
        <v>106473</v>
      </c>
      <c r="C1292" s="20" t="s">
        <v>1335</v>
      </c>
      <c r="D1292" s="19" t="s">
        <v>38</v>
      </c>
      <c r="E1292" s="21">
        <f t="shared" si="59"/>
        <v>87.849999999999994</v>
      </c>
      <c r="F1292" s="22">
        <v>0.67000000000000004</v>
      </c>
      <c r="G1292" s="21">
        <f t="shared" si="60"/>
        <v>87.420000000000002</v>
      </c>
      <c r="H1292" s="22">
        <v>0.68000000000000005</v>
      </c>
      <c r="I1292" s="23" t="str">
        <f t="shared" si="61"/>
        <v xml:space="preserve">COM VALOR</v>
      </c>
      <c r="J1292" s="19"/>
      <c r="L1292" s="21">
        <v>87.849999999999994</v>
      </c>
      <c r="M1292" s="22">
        <v>0.89000000000000001</v>
      </c>
      <c r="N1292" s="21">
        <v>87.420000000000002</v>
      </c>
      <c r="O1292" s="22">
        <v>0.89000000000000001</v>
      </c>
    </row>
    <row r="1293" ht="38.25">
      <c r="A1293" t="s">
        <v>1293</v>
      </c>
      <c r="B1293" s="19">
        <v>101205</v>
      </c>
      <c r="C1293" s="20" t="s">
        <v>1336</v>
      </c>
      <c r="D1293" s="19" t="s">
        <v>38</v>
      </c>
      <c r="E1293" s="21">
        <f t="shared" si="59"/>
        <v>38.219999999999999</v>
      </c>
      <c r="F1293" s="22">
        <v>0</v>
      </c>
      <c r="G1293" s="21">
        <f t="shared" si="60"/>
        <v>37.140000000000001</v>
      </c>
      <c r="H1293" s="22">
        <v>0</v>
      </c>
      <c r="I1293" s="23" t="str">
        <f t="shared" si="61"/>
        <v xml:space="preserve">COM VALOR</v>
      </c>
      <c r="J1293" s="19"/>
      <c r="L1293" s="21">
        <v>38.219999999999999</v>
      </c>
      <c r="M1293" s="22">
        <v>0</v>
      </c>
      <c r="N1293" s="21">
        <v>37.140000000000001</v>
      </c>
      <c r="O1293" s="22">
        <v>0</v>
      </c>
    </row>
    <row r="1294" ht="38.25">
      <c r="A1294" t="s">
        <v>1293</v>
      </c>
      <c r="B1294" s="19">
        <v>106463</v>
      </c>
      <c r="C1294" s="20" t="s">
        <v>1337</v>
      </c>
      <c r="D1294" s="19" t="s">
        <v>29</v>
      </c>
      <c r="E1294" s="21" t="str">
        <f t="shared" si="59"/>
        <v>VERIFICAR</v>
      </c>
      <c r="F1294" s="22">
        <v>0</v>
      </c>
      <c r="G1294" s="21" t="str">
        <f t="shared" si="60"/>
        <v>VERIFICAR</v>
      </c>
      <c r="H1294" s="22">
        <v>0</v>
      </c>
      <c r="I1294" s="23" t="str">
        <f t="shared" si="61"/>
        <v xml:space="preserve">COM VALOR</v>
      </c>
      <c r="J1294" s="19"/>
      <c r="L1294" s="21">
        <v>0</v>
      </c>
      <c r="M1294" s="22"/>
      <c r="N1294" s="21">
        <v>0</v>
      </c>
      <c r="O1294" s="22"/>
    </row>
    <row r="1295" ht="38.25">
      <c r="A1295" t="s">
        <v>1293</v>
      </c>
      <c r="B1295" s="19">
        <v>106457</v>
      </c>
      <c r="C1295" s="20" t="s">
        <v>1338</v>
      </c>
      <c r="D1295" s="19" t="s">
        <v>38</v>
      </c>
      <c r="E1295" s="21">
        <f t="shared" si="59"/>
        <v>5.5800000000000001</v>
      </c>
      <c r="F1295" s="22">
        <v>0</v>
      </c>
      <c r="G1295" s="21">
        <f t="shared" si="60"/>
        <v>5.3300000000000001</v>
      </c>
      <c r="H1295" s="22">
        <v>0</v>
      </c>
      <c r="I1295" s="23" t="str">
        <f t="shared" si="61"/>
        <v xml:space="preserve">COM VALOR</v>
      </c>
      <c r="J1295" s="19"/>
      <c r="L1295" s="21">
        <v>5.5800000000000001</v>
      </c>
      <c r="M1295" s="22">
        <v>0</v>
      </c>
      <c r="N1295" s="21">
        <v>5.3300000000000001</v>
      </c>
      <c r="O1295" s="22">
        <v>0</v>
      </c>
    </row>
    <row r="1296" ht="38.25">
      <c r="A1296" t="s">
        <v>1339</v>
      </c>
      <c r="B1296" s="19">
        <v>87905</v>
      </c>
      <c r="C1296" s="20" t="s">
        <v>1340</v>
      </c>
      <c r="D1296" s="19" t="s">
        <v>29</v>
      </c>
      <c r="E1296" s="21">
        <f t="shared" si="59"/>
        <v>8.2400000000000002</v>
      </c>
      <c r="F1296" s="22">
        <v>0</v>
      </c>
      <c r="G1296" s="21">
        <f t="shared" si="60"/>
        <v>7.8600000000000003</v>
      </c>
      <c r="H1296" s="22">
        <v>0</v>
      </c>
      <c r="I1296" s="23" t="str">
        <f t="shared" si="61"/>
        <v xml:space="preserve">COM VALOR</v>
      </c>
      <c r="J1296" s="19"/>
      <c r="L1296" s="21">
        <v>8.2400000000000002</v>
      </c>
      <c r="M1296" s="22">
        <v>0</v>
      </c>
      <c r="N1296" s="21">
        <v>7.8600000000000003</v>
      </c>
      <c r="O1296" s="22">
        <v>0</v>
      </c>
    </row>
    <row r="1297" ht="38.25">
      <c r="A1297" t="s">
        <v>1339</v>
      </c>
      <c r="B1297" s="19">
        <v>87904</v>
      </c>
      <c r="C1297" s="20" t="s">
        <v>1341</v>
      </c>
      <c r="D1297" s="19" t="s">
        <v>29</v>
      </c>
      <c r="E1297" s="21">
        <f t="shared" si="59"/>
        <v>8.6999999999999993</v>
      </c>
      <c r="F1297" s="22">
        <v>0</v>
      </c>
      <c r="G1297" s="21">
        <f t="shared" si="60"/>
        <v>8.3000000000000007</v>
      </c>
      <c r="H1297" s="22">
        <v>0</v>
      </c>
      <c r="I1297" s="23" t="str">
        <f t="shared" si="61"/>
        <v xml:space="preserve">COM VALOR</v>
      </c>
      <c r="J1297" s="19"/>
      <c r="L1297" s="21">
        <v>8.6999999999999993</v>
      </c>
      <c r="M1297" s="22">
        <v>0</v>
      </c>
      <c r="N1297" s="21">
        <v>8.3000000000000007</v>
      </c>
      <c r="O1297" s="22">
        <v>0</v>
      </c>
    </row>
    <row r="1298" ht="51">
      <c r="A1298" t="s">
        <v>1339</v>
      </c>
      <c r="B1298" s="19">
        <v>87908</v>
      </c>
      <c r="C1298" s="20" t="s">
        <v>1342</v>
      </c>
      <c r="D1298" s="19" t="s">
        <v>29</v>
      </c>
      <c r="E1298" s="21">
        <f t="shared" si="59"/>
        <v>6.3700000000000001</v>
      </c>
      <c r="F1298" s="22">
        <v>0</v>
      </c>
      <c r="G1298" s="21">
        <f t="shared" si="60"/>
        <v>6.1399999999999997</v>
      </c>
      <c r="H1298" s="22">
        <v>0</v>
      </c>
      <c r="I1298" s="23" t="str">
        <f t="shared" si="61"/>
        <v xml:space="preserve">COM VALOR</v>
      </c>
      <c r="J1298" s="19"/>
      <c r="L1298" s="21">
        <v>6.3700000000000001</v>
      </c>
      <c r="M1298" s="22">
        <v>0.13500000000000001</v>
      </c>
      <c r="N1298" s="21">
        <v>6.1399999999999997</v>
      </c>
      <c r="O1298" s="22">
        <v>0.14000000000000001</v>
      </c>
    </row>
    <row r="1299" ht="38.25">
      <c r="A1299" t="s">
        <v>1339</v>
      </c>
      <c r="B1299" s="19">
        <v>87907</v>
      </c>
      <c r="C1299" s="20" t="s">
        <v>1343</v>
      </c>
      <c r="D1299" s="19" t="s">
        <v>29</v>
      </c>
      <c r="E1299" s="21">
        <f t="shared" si="59"/>
        <v>6.8300000000000001</v>
      </c>
      <c r="F1299" s="22">
        <v>0</v>
      </c>
      <c r="G1299" s="21">
        <f t="shared" si="60"/>
        <v>6.5800000000000001</v>
      </c>
      <c r="H1299" s="22">
        <v>0</v>
      </c>
      <c r="I1299" s="23" t="str">
        <f t="shared" si="61"/>
        <v xml:space="preserve">COM VALOR</v>
      </c>
      <c r="J1299" s="19"/>
      <c r="L1299" s="21">
        <v>6.8300000000000001</v>
      </c>
      <c r="M1299" s="22">
        <v>0.13</v>
      </c>
      <c r="N1299" s="21">
        <v>6.5800000000000001</v>
      </c>
      <c r="O1299" s="22">
        <v>0.13</v>
      </c>
    </row>
    <row r="1300" ht="51">
      <c r="A1300" t="s">
        <v>1339</v>
      </c>
      <c r="B1300" s="19">
        <v>87903</v>
      </c>
      <c r="C1300" s="20" t="s">
        <v>1344</v>
      </c>
      <c r="D1300" s="19" t="s">
        <v>29</v>
      </c>
      <c r="E1300" s="21">
        <f t="shared" si="59"/>
        <v>13.82</v>
      </c>
      <c r="F1300" s="22">
        <v>0</v>
      </c>
      <c r="G1300" s="21">
        <f t="shared" si="60"/>
        <v>13.59</v>
      </c>
      <c r="H1300" s="22">
        <v>0</v>
      </c>
      <c r="I1300" s="23" t="str">
        <f t="shared" si="61"/>
        <v xml:space="preserve">COM VALOR</v>
      </c>
      <c r="J1300" s="19"/>
      <c r="L1300" s="21">
        <v>13.82</v>
      </c>
      <c r="M1300" s="22">
        <v>0</v>
      </c>
      <c r="N1300" s="21">
        <v>13.59</v>
      </c>
      <c r="O1300" s="22">
        <v>0</v>
      </c>
    </row>
    <row r="1301" ht="51">
      <c r="A1301" t="s">
        <v>1339</v>
      </c>
      <c r="B1301" s="19">
        <v>87902</v>
      </c>
      <c r="C1301" s="20" t="s">
        <v>1345</v>
      </c>
      <c r="D1301" s="19" t="s">
        <v>29</v>
      </c>
      <c r="E1301" s="21">
        <f t="shared" si="59"/>
        <v>14.220000000000001</v>
      </c>
      <c r="F1301" s="22">
        <v>0</v>
      </c>
      <c r="G1301" s="21">
        <f t="shared" si="60"/>
        <v>13.970000000000001</v>
      </c>
      <c r="H1301" s="22">
        <v>0</v>
      </c>
      <c r="I1301" s="23" t="str">
        <f t="shared" si="61"/>
        <v xml:space="preserve">COM VALOR</v>
      </c>
      <c r="J1301" s="19"/>
      <c r="L1301" s="21">
        <v>14.220000000000001</v>
      </c>
      <c r="M1301" s="22">
        <v>0</v>
      </c>
      <c r="N1301" s="21">
        <v>13.970000000000001</v>
      </c>
      <c r="O1301" s="22">
        <v>0</v>
      </c>
    </row>
    <row r="1302" ht="51">
      <c r="A1302" t="s">
        <v>1339</v>
      </c>
      <c r="B1302" s="19">
        <v>87900</v>
      </c>
      <c r="C1302" s="20" t="s">
        <v>1346</v>
      </c>
      <c r="D1302" s="19" t="s">
        <v>29</v>
      </c>
      <c r="E1302" s="21">
        <f t="shared" si="59"/>
        <v>8.1300000000000008</v>
      </c>
      <c r="F1302" s="22">
        <v>0</v>
      </c>
      <c r="G1302" s="21">
        <f t="shared" si="60"/>
        <v>7.9000000000000004</v>
      </c>
      <c r="H1302" s="22">
        <v>0</v>
      </c>
      <c r="I1302" s="23" t="str">
        <f t="shared" si="61"/>
        <v xml:space="preserve">COM VALOR</v>
      </c>
      <c r="J1302" s="19"/>
      <c r="L1302" s="21">
        <v>8.1300000000000008</v>
      </c>
      <c r="M1302" s="22">
        <v>0.45000000000000001</v>
      </c>
      <c r="N1302" s="21">
        <v>7.9000000000000004</v>
      </c>
      <c r="O1302" s="22">
        <v>0.46000000000000002</v>
      </c>
    </row>
    <row r="1303" ht="51">
      <c r="A1303" t="s">
        <v>1339</v>
      </c>
      <c r="B1303" s="19">
        <v>87899</v>
      </c>
      <c r="C1303" s="20" t="s">
        <v>1347</v>
      </c>
      <c r="D1303" s="19" t="s">
        <v>29</v>
      </c>
      <c r="E1303" s="21">
        <f t="shared" si="59"/>
        <v>8.2899999999999991</v>
      </c>
      <c r="F1303" s="22">
        <v>0</v>
      </c>
      <c r="G1303" s="21">
        <f t="shared" si="60"/>
        <v>8.0500000000000007</v>
      </c>
      <c r="H1303" s="22">
        <v>0</v>
      </c>
      <c r="I1303" s="23" t="str">
        <f t="shared" si="61"/>
        <v xml:space="preserve">COM VALOR</v>
      </c>
      <c r="J1303" s="19"/>
      <c r="L1303" s="21">
        <v>8.2899999999999991</v>
      </c>
      <c r="M1303" s="22">
        <v>0.44</v>
      </c>
      <c r="N1303" s="21">
        <v>8.0500000000000007</v>
      </c>
      <c r="O1303" s="22">
        <v>0.45000000000000001</v>
      </c>
    </row>
    <row r="1304" ht="38.25">
      <c r="A1304" t="s">
        <v>1339</v>
      </c>
      <c r="B1304" s="19">
        <v>87894</v>
      </c>
      <c r="C1304" s="20" t="s">
        <v>1348</v>
      </c>
      <c r="D1304" s="19" t="s">
        <v>29</v>
      </c>
      <c r="E1304" s="21">
        <f t="shared" si="59"/>
        <v>7.0499999999999998</v>
      </c>
      <c r="F1304" s="22">
        <v>0</v>
      </c>
      <c r="G1304" s="21">
        <f t="shared" si="60"/>
        <v>6.7400000000000002</v>
      </c>
      <c r="H1304" s="22">
        <v>0</v>
      </c>
      <c r="I1304" s="23" t="str">
        <f t="shared" si="61"/>
        <v xml:space="preserve">COM VALOR</v>
      </c>
      <c r="J1304" s="19"/>
      <c r="L1304" s="21">
        <v>7.0499999999999998</v>
      </c>
      <c r="M1304" s="22">
        <v>0</v>
      </c>
      <c r="N1304" s="21">
        <v>6.7400000000000002</v>
      </c>
      <c r="O1304" s="22">
        <v>0</v>
      </c>
    </row>
    <row r="1305" ht="38.25">
      <c r="A1305" t="s">
        <v>1339</v>
      </c>
      <c r="B1305" s="19">
        <v>87893</v>
      </c>
      <c r="C1305" s="20" t="s">
        <v>1349</v>
      </c>
      <c r="D1305" s="19" t="s">
        <v>29</v>
      </c>
      <c r="E1305" s="21">
        <f t="shared" si="59"/>
        <v>7.5099999999999998</v>
      </c>
      <c r="F1305" s="22">
        <v>0</v>
      </c>
      <c r="G1305" s="21">
        <f t="shared" si="60"/>
        <v>7.1799999999999997</v>
      </c>
      <c r="H1305" s="22">
        <v>0</v>
      </c>
      <c r="I1305" s="23" t="str">
        <f t="shared" si="61"/>
        <v xml:space="preserve">COM VALOR</v>
      </c>
      <c r="J1305" s="19"/>
      <c r="L1305" s="21">
        <v>7.5099999999999998</v>
      </c>
      <c r="M1305" s="22">
        <v>0</v>
      </c>
      <c r="N1305" s="21">
        <v>7.1799999999999997</v>
      </c>
      <c r="O1305" s="22">
        <v>0</v>
      </c>
    </row>
    <row r="1306" ht="51">
      <c r="A1306" t="s">
        <v>1339</v>
      </c>
      <c r="B1306" s="19">
        <v>87897</v>
      </c>
      <c r="C1306" s="20" t="s">
        <v>1350</v>
      </c>
      <c r="D1306" s="19" t="s">
        <v>29</v>
      </c>
      <c r="E1306" s="21">
        <f t="shared" si="59"/>
        <v>5.2300000000000004</v>
      </c>
      <c r="F1306" s="22">
        <v>0</v>
      </c>
      <c r="G1306" s="21">
        <f t="shared" si="60"/>
        <v>5.0499999999999998</v>
      </c>
      <c r="H1306" s="22">
        <v>0</v>
      </c>
      <c r="I1306" s="23" t="str">
        <f t="shared" si="61"/>
        <v xml:space="preserve">COM VALOR</v>
      </c>
      <c r="J1306" s="19"/>
      <c r="L1306" s="21">
        <v>5.2300000000000004</v>
      </c>
      <c r="M1306" s="22">
        <v>0.12</v>
      </c>
      <c r="N1306" s="21">
        <v>5.0499999999999998</v>
      </c>
      <c r="O1306" s="22">
        <v>0.13</v>
      </c>
    </row>
    <row r="1307" ht="38.25">
      <c r="A1307" t="s">
        <v>1339</v>
      </c>
      <c r="B1307" s="19">
        <v>87896</v>
      </c>
      <c r="C1307" s="20" t="s">
        <v>1351</v>
      </c>
      <c r="D1307" s="19" t="s">
        <v>29</v>
      </c>
      <c r="E1307" s="21">
        <f t="shared" si="59"/>
        <v>5.6900000000000004</v>
      </c>
      <c r="F1307" s="22">
        <v>0</v>
      </c>
      <c r="G1307" s="21">
        <f t="shared" si="60"/>
        <v>5.4900000000000002</v>
      </c>
      <c r="H1307" s="22">
        <v>0</v>
      </c>
      <c r="I1307" s="23" t="str">
        <f t="shared" si="61"/>
        <v xml:space="preserve">COM VALOR</v>
      </c>
      <c r="J1307" s="19"/>
      <c r="L1307" s="21">
        <v>5.6900000000000004</v>
      </c>
      <c r="M1307" s="22">
        <v>0.1125</v>
      </c>
      <c r="N1307" s="21">
        <v>5.4900000000000002</v>
      </c>
      <c r="O1307" s="22">
        <v>0.12</v>
      </c>
    </row>
    <row r="1308" ht="51">
      <c r="A1308" t="s">
        <v>1339</v>
      </c>
      <c r="B1308" s="19">
        <v>87892</v>
      </c>
      <c r="C1308" s="20" t="s">
        <v>1352</v>
      </c>
      <c r="D1308" s="19" t="s">
        <v>29</v>
      </c>
      <c r="E1308" s="21">
        <f t="shared" si="59"/>
        <v>13.07</v>
      </c>
      <c r="F1308" s="22">
        <v>0</v>
      </c>
      <c r="G1308" s="21">
        <f t="shared" si="60"/>
        <v>12.890000000000001</v>
      </c>
      <c r="H1308" s="22">
        <v>0</v>
      </c>
      <c r="I1308" s="23" t="str">
        <f t="shared" si="61"/>
        <v xml:space="preserve">COM VALOR</v>
      </c>
      <c r="J1308" s="19"/>
      <c r="L1308" s="21">
        <v>13.07</v>
      </c>
      <c r="M1308" s="22">
        <v>0</v>
      </c>
      <c r="N1308" s="21">
        <v>12.890000000000001</v>
      </c>
      <c r="O1308" s="22">
        <v>0</v>
      </c>
    </row>
    <row r="1309" ht="51">
      <c r="A1309" t="s">
        <v>1339</v>
      </c>
      <c r="B1309" s="19">
        <v>87891</v>
      </c>
      <c r="C1309" s="20" t="s">
        <v>1353</v>
      </c>
      <c r="D1309" s="19" t="s">
        <v>29</v>
      </c>
      <c r="E1309" s="21">
        <f t="shared" si="59"/>
        <v>13.470000000000001</v>
      </c>
      <c r="F1309" s="22">
        <v>0</v>
      </c>
      <c r="G1309" s="21">
        <f t="shared" si="60"/>
        <v>13.27</v>
      </c>
      <c r="H1309" s="22">
        <v>0</v>
      </c>
      <c r="I1309" s="23" t="str">
        <f t="shared" si="61"/>
        <v xml:space="preserve">COM VALOR</v>
      </c>
      <c r="J1309" s="19"/>
      <c r="L1309" s="21">
        <v>13.470000000000001</v>
      </c>
      <c r="M1309" s="22">
        <v>0</v>
      </c>
      <c r="N1309" s="21">
        <v>13.27</v>
      </c>
      <c r="O1309" s="22">
        <v>0</v>
      </c>
    </row>
    <row r="1310" ht="51">
      <c r="A1310" t="s">
        <v>1339</v>
      </c>
      <c r="B1310" s="19">
        <v>87889</v>
      </c>
      <c r="C1310" s="20" t="s">
        <v>1354</v>
      </c>
      <c r="D1310" s="19" t="s">
        <v>29</v>
      </c>
      <c r="E1310" s="21">
        <f t="shared" si="59"/>
        <v>7.3799999999999999</v>
      </c>
      <c r="F1310" s="22">
        <v>0</v>
      </c>
      <c r="G1310" s="21">
        <f t="shared" si="60"/>
        <v>7.2000000000000002</v>
      </c>
      <c r="H1310" s="22">
        <v>0</v>
      </c>
      <c r="I1310" s="23" t="str">
        <f t="shared" si="61"/>
        <v xml:space="preserve">COM VALOR</v>
      </c>
      <c r="J1310" s="19"/>
      <c r="L1310" s="21">
        <v>7.3799999999999999</v>
      </c>
      <c r="M1310" s="22">
        <v>0.48999999999999999</v>
      </c>
      <c r="N1310" s="21">
        <v>7.2000000000000002</v>
      </c>
      <c r="O1310" s="22">
        <v>0.51000000000000001</v>
      </c>
    </row>
    <row r="1311" ht="51">
      <c r="A1311" t="s">
        <v>1339</v>
      </c>
      <c r="B1311" s="19">
        <v>87888</v>
      </c>
      <c r="C1311" s="20" t="s">
        <v>1355</v>
      </c>
      <c r="D1311" s="19" t="s">
        <v>29</v>
      </c>
      <c r="E1311" s="21">
        <f t="shared" si="59"/>
        <v>7.54</v>
      </c>
      <c r="F1311" s="22">
        <v>0</v>
      </c>
      <c r="G1311" s="21">
        <f t="shared" si="60"/>
        <v>7.3499999999999996</v>
      </c>
      <c r="H1311" s="22">
        <v>0</v>
      </c>
      <c r="I1311" s="23" t="str">
        <f t="shared" si="61"/>
        <v xml:space="preserve">COM VALOR</v>
      </c>
      <c r="J1311" s="19"/>
      <c r="L1311" s="21">
        <v>7.54</v>
      </c>
      <c r="M1311" s="22">
        <v>0.47999999999999998</v>
      </c>
      <c r="N1311" s="21">
        <v>7.3499999999999996</v>
      </c>
      <c r="O1311" s="22">
        <v>0.5</v>
      </c>
    </row>
    <row r="1312" ht="38.25">
      <c r="A1312" t="s">
        <v>1339</v>
      </c>
      <c r="B1312" s="19">
        <v>104411</v>
      </c>
      <c r="C1312" s="20" t="s">
        <v>1356</v>
      </c>
      <c r="D1312" s="19" t="s">
        <v>29</v>
      </c>
      <c r="E1312" s="21">
        <f t="shared" si="59"/>
        <v>4.7000000000000002</v>
      </c>
      <c r="F1312" s="22">
        <v>0</v>
      </c>
      <c r="G1312" s="21">
        <f t="shared" si="60"/>
        <v>4.5599999999999996</v>
      </c>
      <c r="H1312" s="22">
        <v>0</v>
      </c>
      <c r="I1312" s="23" t="str">
        <f t="shared" si="61"/>
        <v xml:space="preserve">COM VALOR</v>
      </c>
      <c r="J1312" s="19"/>
      <c r="L1312" s="21">
        <v>4.7000000000000002</v>
      </c>
      <c r="M1312" s="22">
        <v>0.10000000000000001</v>
      </c>
      <c r="N1312" s="21">
        <v>4.5599999999999996</v>
      </c>
      <c r="O1312" s="22">
        <v>0.10000000000000001</v>
      </c>
    </row>
    <row r="1313" ht="38.25">
      <c r="A1313" t="s">
        <v>1339</v>
      </c>
      <c r="B1313" s="19">
        <v>104410</v>
      </c>
      <c r="C1313" s="20" t="s">
        <v>1357</v>
      </c>
      <c r="D1313" s="19" t="s">
        <v>29</v>
      </c>
      <c r="E1313" s="21">
        <f t="shared" si="59"/>
        <v>5.2300000000000004</v>
      </c>
      <c r="F1313" s="22">
        <v>0</v>
      </c>
      <c r="G1313" s="21">
        <f t="shared" si="60"/>
        <v>5.0599999999999996</v>
      </c>
      <c r="H1313" s="22">
        <v>0</v>
      </c>
      <c r="I1313" s="23" t="str">
        <f t="shared" si="61"/>
        <v xml:space="preserve">COM VALOR</v>
      </c>
      <c r="J1313" s="19"/>
      <c r="L1313" s="21">
        <v>5.2300000000000004</v>
      </c>
      <c r="M1313" s="22">
        <v>8.9999999999999997e-002</v>
      </c>
      <c r="N1313" s="21">
        <v>5.0599999999999996</v>
      </c>
      <c r="O1313" s="22">
        <v>8.9999999999999997e-002</v>
      </c>
    </row>
    <row r="1314" ht="38.25">
      <c r="A1314" t="s">
        <v>1339</v>
      </c>
      <c r="B1314" s="19">
        <v>87879</v>
      </c>
      <c r="C1314" s="20" t="s">
        <v>1358</v>
      </c>
      <c r="D1314" s="19" t="s">
        <v>29</v>
      </c>
      <c r="E1314" s="21">
        <f t="shared" si="59"/>
        <v>4.5499999999999998</v>
      </c>
      <c r="F1314" s="22">
        <v>0</v>
      </c>
      <c r="G1314" s="21">
        <f t="shared" si="60"/>
        <v>4.3600000000000003</v>
      </c>
      <c r="H1314" s="22">
        <v>0</v>
      </c>
      <c r="I1314" s="23" t="str">
        <f t="shared" si="61"/>
        <v xml:space="preserve">COM VALOR</v>
      </c>
      <c r="J1314" s="19"/>
      <c r="L1314" s="21">
        <v>4.5499999999999998</v>
      </c>
      <c r="M1314" s="22">
        <v>0</v>
      </c>
      <c r="N1314" s="21">
        <v>4.3600000000000003</v>
      </c>
      <c r="O1314" s="22">
        <v>0</v>
      </c>
    </row>
    <row r="1315" ht="38.25">
      <c r="A1315" t="s">
        <v>1339</v>
      </c>
      <c r="B1315" s="19">
        <v>87878</v>
      </c>
      <c r="C1315" s="20" t="s">
        <v>1359</v>
      </c>
      <c r="D1315" s="19" t="s">
        <v>29</v>
      </c>
      <c r="E1315" s="21">
        <f t="shared" si="59"/>
        <v>5.0099999999999998</v>
      </c>
      <c r="F1315" s="22">
        <v>1.e-002</v>
      </c>
      <c r="G1315" s="21">
        <f t="shared" si="60"/>
        <v>4.7999999999999998</v>
      </c>
      <c r="H1315" s="22">
        <v>1.e-002</v>
      </c>
      <c r="I1315" s="23" t="str">
        <f t="shared" si="61"/>
        <v xml:space="preserve">COM VALOR</v>
      </c>
      <c r="J1315" s="19"/>
      <c r="L1315" s="21">
        <v>5.0099999999999998</v>
      </c>
      <c r="M1315" s="22">
        <v>0</v>
      </c>
      <c r="N1315" s="21">
        <v>4.7999999999999998</v>
      </c>
      <c r="O1315" s="22">
        <v>0</v>
      </c>
    </row>
    <row r="1316" ht="38.25">
      <c r="A1316" t="s">
        <v>1339</v>
      </c>
      <c r="B1316" s="19">
        <v>87885</v>
      </c>
      <c r="C1316" s="20" t="s">
        <v>1360</v>
      </c>
      <c r="D1316" s="19" t="s">
        <v>29</v>
      </c>
      <c r="E1316" s="21">
        <f t="shared" si="59"/>
        <v>11.380000000000001</v>
      </c>
      <c r="F1316" s="22">
        <v>0</v>
      </c>
      <c r="G1316" s="21">
        <f t="shared" si="60"/>
        <v>11.289999999999999</v>
      </c>
      <c r="H1316" s="22">
        <v>0</v>
      </c>
      <c r="I1316" s="23" t="str">
        <f t="shared" si="61"/>
        <v xml:space="preserve">COM VALOR</v>
      </c>
      <c r="J1316" s="19"/>
      <c r="L1316" s="21">
        <v>11.380000000000001</v>
      </c>
      <c r="M1316" s="22">
        <v>0</v>
      </c>
      <c r="N1316" s="21">
        <v>11.289999999999999</v>
      </c>
      <c r="O1316" s="22">
        <v>0</v>
      </c>
    </row>
    <row r="1317" ht="38.25">
      <c r="A1317" t="s">
        <v>1339</v>
      </c>
      <c r="B1317" s="19">
        <v>87884</v>
      </c>
      <c r="C1317" s="20" t="s">
        <v>1361</v>
      </c>
      <c r="D1317" s="19" t="s">
        <v>29</v>
      </c>
      <c r="E1317" s="21">
        <f t="shared" si="59"/>
        <v>11.779999999999999</v>
      </c>
      <c r="F1317" s="22">
        <v>0.10000000000000001</v>
      </c>
      <c r="G1317" s="21">
        <f t="shared" si="60"/>
        <v>11.67</v>
      </c>
      <c r="H1317" s="22">
        <v>0.10000000000000001</v>
      </c>
      <c r="I1317" s="23" t="str">
        <f t="shared" si="61"/>
        <v xml:space="preserve">COM VALOR</v>
      </c>
      <c r="J1317" s="19"/>
      <c r="L1317" s="21">
        <v>11.779999999999999</v>
      </c>
      <c r="M1317" s="22">
        <v>0</v>
      </c>
      <c r="N1317" s="21">
        <v>11.67</v>
      </c>
      <c r="O1317" s="22">
        <v>0</v>
      </c>
    </row>
    <row r="1318" ht="38.25">
      <c r="A1318" t="s">
        <v>1339</v>
      </c>
      <c r="B1318" s="19">
        <v>87882</v>
      </c>
      <c r="C1318" s="20" t="s">
        <v>1362</v>
      </c>
      <c r="D1318" s="19" t="s">
        <v>29</v>
      </c>
      <c r="E1318" s="21">
        <f t="shared" si="59"/>
        <v>5.6900000000000004</v>
      </c>
      <c r="F1318" s="22">
        <v>8.0000000000000002e-002</v>
      </c>
      <c r="G1318" s="21">
        <f t="shared" si="60"/>
        <v>5.5999999999999996</v>
      </c>
      <c r="H1318" s="22">
        <v>8.0000000000000002e-002</v>
      </c>
      <c r="I1318" s="23" t="str">
        <f t="shared" si="61"/>
        <v xml:space="preserve">COM VALOR</v>
      </c>
      <c r="J1318" s="19"/>
      <c r="L1318" s="21">
        <v>5.6900000000000004</v>
      </c>
      <c r="M1318" s="22">
        <v>0.64000000000000001</v>
      </c>
      <c r="N1318" s="21">
        <v>5.5999999999999996</v>
      </c>
      <c r="O1318" s="22">
        <v>0.65000000000000002</v>
      </c>
    </row>
    <row r="1319" ht="38.25">
      <c r="A1319" t="s">
        <v>1339</v>
      </c>
      <c r="B1319" s="19">
        <v>87881</v>
      </c>
      <c r="C1319" s="20" t="s">
        <v>1363</v>
      </c>
      <c r="D1319" s="19" t="s">
        <v>29</v>
      </c>
      <c r="E1319" s="21">
        <f t="shared" si="59"/>
        <v>5.8499999999999996</v>
      </c>
      <c r="F1319" s="22">
        <v>8.9999999999999997e-002</v>
      </c>
      <c r="G1319" s="21">
        <f t="shared" si="60"/>
        <v>5.75</v>
      </c>
      <c r="H1319" s="22">
        <v>0.10000000000000001</v>
      </c>
      <c r="I1319" s="23" t="str">
        <f t="shared" si="61"/>
        <v xml:space="preserve">COM VALOR</v>
      </c>
      <c r="J1319" s="19"/>
      <c r="L1319" s="21">
        <v>5.8499999999999996</v>
      </c>
      <c r="M1319" s="22">
        <v>0.62</v>
      </c>
      <c r="N1319" s="21">
        <v>5.75</v>
      </c>
      <c r="O1319" s="22">
        <v>0.63</v>
      </c>
    </row>
    <row r="1320" ht="38.25">
      <c r="A1320" t="s">
        <v>1339</v>
      </c>
      <c r="B1320" s="19">
        <v>87887</v>
      </c>
      <c r="C1320" s="20" t="s">
        <v>1364</v>
      </c>
      <c r="D1320" s="19" t="s">
        <v>29</v>
      </c>
      <c r="E1320" s="21">
        <f t="shared" si="59"/>
        <v>19</v>
      </c>
      <c r="F1320" s="22">
        <v>8.0000000000000002e-002</v>
      </c>
      <c r="G1320" s="21">
        <f t="shared" si="60"/>
        <v>18.699999999999999</v>
      </c>
      <c r="H1320" s="22">
        <v>8.0000000000000002e-002</v>
      </c>
      <c r="I1320" s="23" t="str">
        <f t="shared" si="61"/>
        <v xml:space="preserve">COM VALOR</v>
      </c>
      <c r="J1320" s="19"/>
      <c r="L1320" s="21">
        <v>19</v>
      </c>
      <c r="M1320" s="22">
        <v>0</v>
      </c>
      <c r="N1320" s="21">
        <v>18.699999999999999</v>
      </c>
      <c r="O1320" s="22">
        <v>0</v>
      </c>
    </row>
    <row r="1321" ht="38.25">
      <c r="A1321" t="s">
        <v>1339</v>
      </c>
      <c r="B1321" s="19">
        <v>87886</v>
      </c>
      <c r="C1321" s="20" t="s">
        <v>1365</v>
      </c>
      <c r="D1321" s="19" t="s">
        <v>29</v>
      </c>
      <c r="E1321" s="21">
        <f t="shared" si="59"/>
        <v>19.84</v>
      </c>
      <c r="F1321" s="22">
        <v>8.9999999999999997e-002</v>
      </c>
      <c r="G1321" s="21">
        <f t="shared" si="60"/>
        <v>19.5</v>
      </c>
      <c r="H1321" s="22">
        <v>0.10000000000000001</v>
      </c>
      <c r="I1321" s="23" t="str">
        <f t="shared" si="61"/>
        <v xml:space="preserve">COM VALOR</v>
      </c>
      <c r="J1321" s="19"/>
      <c r="L1321" s="21">
        <v>19.84</v>
      </c>
      <c r="M1321" s="22">
        <v>0</v>
      </c>
      <c r="N1321" s="21">
        <v>19.5</v>
      </c>
      <c r="O1321" s="22">
        <v>0</v>
      </c>
    </row>
    <row r="1322" ht="38.25">
      <c r="A1322" t="s">
        <v>1339</v>
      </c>
      <c r="B1322" s="19">
        <v>87911</v>
      </c>
      <c r="C1322" s="20" t="s">
        <v>1366</v>
      </c>
      <c r="D1322" s="19" t="s">
        <v>29</v>
      </c>
      <c r="E1322" s="21">
        <f t="shared" si="59"/>
        <v>24.640000000000001</v>
      </c>
      <c r="F1322" s="22">
        <v>8.0000000000000002e-002</v>
      </c>
      <c r="G1322" s="21">
        <f t="shared" si="60"/>
        <v>24.030000000000001</v>
      </c>
      <c r="H1322" s="22">
        <v>8.0000000000000002e-002</v>
      </c>
      <c r="I1322" s="23" t="str">
        <f t="shared" si="61"/>
        <v xml:space="preserve">COM VALOR</v>
      </c>
      <c r="J1322" s="19"/>
      <c r="L1322" s="21">
        <v>24.640000000000001</v>
      </c>
      <c r="M1322" s="22">
        <v>0</v>
      </c>
      <c r="N1322" s="21">
        <v>24.030000000000001</v>
      </c>
      <c r="O1322" s="22">
        <v>0</v>
      </c>
    </row>
    <row r="1323" ht="38.25">
      <c r="A1323" t="s">
        <v>1339</v>
      </c>
      <c r="B1323" s="19">
        <v>87910</v>
      </c>
      <c r="C1323" s="20" t="s">
        <v>1367</v>
      </c>
      <c r="D1323" s="19" t="s">
        <v>29</v>
      </c>
      <c r="E1323" s="21">
        <f t="shared" si="59"/>
        <v>25.48</v>
      </c>
      <c r="F1323" s="22">
        <v>8.9999999999999997e-002</v>
      </c>
      <c r="G1323" s="21">
        <f t="shared" si="60"/>
        <v>24.829999999999998</v>
      </c>
      <c r="H1323" s="22">
        <v>8.9999999999999997e-002</v>
      </c>
      <c r="I1323" s="23" t="str">
        <f t="shared" si="61"/>
        <v xml:space="preserve">COM VALOR</v>
      </c>
      <c r="J1323" s="19"/>
      <c r="L1323" s="21">
        <v>25.48</v>
      </c>
      <c r="M1323" s="22">
        <v>0</v>
      </c>
      <c r="N1323" s="21">
        <v>24.829999999999998</v>
      </c>
      <c r="O1323" s="22">
        <v>0</v>
      </c>
    </row>
    <row r="1324" ht="25.5">
      <c r="A1324" t="s">
        <v>1368</v>
      </c>
      <c r="B1324" s="19">
        <v>103686</v>
      </c>
      <c r="C1324" s="20" t="s">
        <v>1369</v>
      </c>
      <c r="D1324" s="19" t="s">
        <v>121</v>
      </c>
      <c r="E1324" s="21">
        <f t="shared" si="59"/>
        <v>798.86000000000001</v>
      </c>
      <c r="F1324" s="22">
        <v>7.0000000000000007e-002</v>
      </c>
      <c r="G1324" s="21">
        <f t="shared" si="60"/>
        <v>792.60000000000002</v>
      </c>
      <c r="H1324" s="22">
        <v>8.0000000000000002e-002</v>
      </c>
      <c r="I1324" s="23" t="str">
        <f t="shared" si="61"/>
        <v xml:space="preserve">COM VALOR</v>
      </c>
      <c r="J1324" s="19"/>
      <c r="L1324" s="21">
        <v>798.86000000000001</v>
      </c>
      <c r="M1324" s="22">
        <v>0</v>
      </c>
      <c r="N1324" s="21">
        <v>792.60000000000002</v>
      </c>
      <c r="O1324" s="22">
        <v>0</v>
      </c>
    </row>
    <row r="1325" ht="25.5">
      <c r="A1325" t="s">
        <v>1368</v>
      </c>
      <c r="B1325" s="19">
        <v>103685</v>
      </c>
      <c r="C1325" s="20" t="s">
        <v>1370</v>
      </c>
      <c r="D1325" s="19" t="s">
        <v>121</v>
      </c>
      <c r="E1325" s="21">
        <f t="shared" si="59"/>
        <v>736.70000000000005</v>
      </c>
      <c r="F1325" s="22">
        <v>5.9999999999999998e-002</v>
      </c>
      <c r="G1325" s="21">
        <f t="shared" si="60"/>
        <v>734</v>
      </c>
      <c r="H1325" s="22">
        <v>5.9999999999999998e-002</v>
      </c>
      <c r="I1325" s="23" t="str">
        <f t="shared" si="61"/>
        <v xml:space="preserve">COM VALOR</v>
      </c>
      <c r="J1325" s="19"/>
      <c r="L1325" s="21">
        <v>736.70000000000005</v>
      </c>
      <c r="M1325" s="22">
        <v>0</v>
      </c>
      <c r="N1325" s="21">
        <v>734</v>
      </c>
      <c r="O1325" s="22">
        <v>0</v>
      </c>
    </row>
    <row r="1326" ht="25.5">
      <c r="A1326" t="s">
        <v>1368</v>
      </c>
      <c r="B1326" s="19">
        <v>103669</v>
      </c>
      <c r="C1326" s="20" t="s">
        <v>1371</v>
      </c>
      <c r="D1326" s="19" t="s">
        <v>121</v>
      </c>
      <c r="E1326" s="21">
        <f t="shared" si="59"/>
        <v>1038.6300000000001</v>
      </c>
      <c r="F1326" s="22">
        <v>5.0000000000000003e-002</v>
      </c>
      <c r="G1326" s="21">
        <f t="shared" si="60"/>
        <v>1021.73</v>
      </c>
      <c r="H1326" s="22">
        <v>5.0000000000000003e-002</v>
      </c>
      <c r="I1326" s="23" t="str">
        <f t="shared" si="61"/>
        <v xml:space="preserve">COM VALOR</v>
      </c>
      <c r="J1326" s="19"/>
      <c r="L1326" s="21">
        <v>1038.6300000000001</v>
      </c>
      <c r="M1326" s="22">
        <v>0</v>
      </c>
      <c r="N1326" s="21">
        <v>1021.73</v>
      </c>
      <c r="O1326" s="22">
        <v>0</v>
      </c>
    </row>
    <row r="1327" ht="25.5">
      <c r="A1327" t="s">
        <v>1368</v>
      </c>
      <c r="B1327" s="19">
        <v>103672</v>
      </c>
      <c r="C1327" s="20" t="s">
        <v>1372</v>
      </c>
      <c r="D1327" s="19" t="s">
        <v>121</v>
      </c>
      <c r="E1327" s="21">
        <f t="shared" si="59"/>
        <v>731.41999999999996</v>
      </c>
      <c r="F1327" s="22">
        <v>5.0000000000000003e-002</v>
      </c>
      <c r="G1327" s="21">
        <f t="shared" si="60"/>
        <v>729.05999999999995</v>
      </c>
      <c r="H1327" s="22">
        <v>5.9999999999999998e-002</v>
      </c>
      <c r="I1327" s="23" t="str">
        <f t="shared" si="61"/>
        <v xml:space="preserve">COM VALOR</v>
      </c>
      <c r="J1327" s="19"/>
      <c r="L1327" s="21">
        <v>731.41999999999996</v>
      </c>
      <c r="M1327" s="22">
        <v>0</v>
      </c>
      <c r="N1327" s="21">
        <v>729.05999999999995</v>
      </c>
      <c r="O1327" s="22">
        <v>0</v>
      </c>
    </row>
    <row r="1328" ht="25.5">
      <c r="A1328" t="s">
        <v>1368</v>
      </c>
      <c r="B1328" s="19">
        <v>103671</v>
      </c>
      <c r="C1328" s="20" t="s">
        <v>1373</v>
      </c>
      <c r="D1328" s="19" t="s">
        <v>121</v>
      </c>
      <c r="E1328" s="21">
        <f t="shared" si="59"/>
        <v>780.05999999999995</v>
      </c>
      <c r="F1328" s="22">
        <v>4.0000000000000001e-002</v>
      </c>
      <c r="G1328" s="21">
        <f t="shared" si="60"/>
        <v>777.32000000000005</v>
      </c>
      <c r="H1328" s="22">
        <v>4.0000000000000001e-002</v>
      </c>
      <c r="I1328" s="23" t="str">
        <f t="shared" si="61"/>
        <v xml:space="preserve">COM VALOR</v>
      </c>
      <c r="J1328" s="19"/>
      <c r="L1328" s="21">
        <v>780.05999999999995</v>
      </c>
      <c r="M1328" s="22">
        <v>0</v>
      </c>
      <c r="N1328" s="21">
        <v>777.32000000000005</v>
      </c>
      <c r="O1328" s="22">
        <v>0</v>
      </c>
    </row>
    <row r="1329" ht="38.25">
      <c r="A1329" t="s">
        <v>1368</v>
      </c>
      <c r="B1329" s="19">
        <v>103688</v>
      </c>
      <c r="C1329" s="20" t="s">
        <v>1374</v>
      </c>
      <c r="D1329" s="19" t="s">
        <v>121</v>
      </c>
      <c r="E1329" s="21">
        <f t="shared" si="59"/>
        <v>913.85000000000002</v>
      </c>
      <c r="F1329" s="22">
        <v>8.0000000000000002e-002</v>
      </c>
      <c r="G1329" s="21">
        <f t="shared" si="60"/>
        <v>903.82000000000005</v>
      </c>
      <c r="H1329" s="22">
        <v>8.9999999999999997e-002</v>
      </c>
      <c r="I1329" s="23" t="str">
        <f t="shared" si="61"/>
        <v xml:space="preserve">COM VALOR</v>
      </c>
      <c r="J1329" s="19"/>
      <c r="L1329" s="21">
        <v>913.85000000000002</v>
      </c>
      <c r="M1329" s="22">
        <v>0</v>
      </c>
      <c r="N1329" s="21">
        <v>903.82000000000005</v>
      </c>
      <c r="O1329" s="22">
        <v>0</v>
      </c>
    </row>
    <row r="1330" ht="38.25">
      <c r="A1330" t="s">
        <v>1368</v>
      </c>
      <c r="B1330" s="19">
        <v>103687</v>
      </c>
      <c r="C1330" s="20" t="s">
        <v>1375</v>
      </c>
      <c r="D1330" s="19" t="s">
        <v>121</v>
      </c>
      <c r="E1330" s="21">
        <f t="shared" si="59"/>
        <v>1167.54</v>
      </c>
      <c r="F1330" s="22">
        <v>7.0000000000000007e-002</v>
      </c>
      <c r="G1330" s="21">
        <f t="shared" si="60"/>
        <v>1143.5999999999999</v>
      </c>
      <c r="H1330" s="22">
        <v>7.0000000000000007e-002</v>
      </c>
      <c r="I1330" s="23" t="str">
        <f t="shared" si="61"/>
        <v xml:space="preserve">COM VALOR</v>
      </c>
      <c r="J1330" s="19"/>
      <c r="L1330" s="21">
        <v>1167.54</v>
      </c>
      <c r="M1330" s="22">
        <v>0</v>
      </c>
      <c r="N1330" s="21">
        <v>1143.5999999999999</v>
      </c>
      <c r="O1330" s="22">
        <v>0</v>
      </c>
    </row>
    <row r="1331" ht="25.5">
      <c r="A1331" t="s">
        <v>1368</v>
      </c>
      <c r="B1331" s="19">
        <v>103684</v>
      </c>
      <c r="C1331" s="20" t="s">
        <v>1376</v>
      </c>
      <c r="D1331" s="19" t="s">
        <v>121</v>
      </c>
      <c r="E1331" s="21">
        <f t="shared" si="59"/>
        <v>749.78999999999996</v>
      </c>
      <c r="F1331" s="22">
        <v>7.0000000000000007e-002</v>
      </c>
      <c r="G1331" s="21">
        <f t="shared" si="60"/>
        <v>746.37</v>
      </c>
      <c r="H1331" s="22">
        <v>7.0000000000000007e-002</v>
      </c>
      <c r="I1331" s="23" t="str">
        <f t="shared" si="61"/>
        <v xml:space="preserve">COM VALOR</v>
      </c>
      <c r="J1331" s="19"/>
      <c r="L1331" s="21">
        <v>749.78999999999996</v>
      </c>
      <c r="M1331" s="22">
        <v>0</v>
      </c>
      <c r="N1331" s="21">
        <v>746.37</v>
      </c>
      <c r="O1331" s="22">
        <v>0</v>
      </c>
    </row>
    <row r="1332" ht="51">
      <c r="A1332" t="s">
        <v>1368</v>
      </c>
      <c r="B1332" s="19">
        <v>103681</v>
      </c>
      <c r="C1332" s="20" t="s">
        <v>1377</v>
      </c>
      <c r="D1332" s="19" t="s">
        <v>121</v>
      </c>
      <c r="E1332" s="21">
        <f t="shared" si="59"/>
        <v>807.07000000000005</v>
      </c>
      <c r="F1332" s="22">
        <v>5.9999999999999998e-002</v>
      </c>
      <c r="G1332" s="21">
        <f t="shared" si="60"/>
        <v>802.77999999999997</v>
      </c>
      <c r="H1332" s="22">
        <v>5.9999999999999998e-002</v>
      </c>
      <c r="I1332" s="23" t="str">
        <f t="shared" si="61"/>
        <v xml:space="preserve">COM VALOR</v>
      </c>
      <c r="J1332" s="19"/>
      <c r="L1332" s="21">
        <v>807.07000000000005</v>
      </c>
      <c r="M1332" s="22">
        <v>0</v>
      </c>
      <c r="N1332" s="21">
        <v>802.77999999999997</v>
      </c>
      <c r="O1332" s="22">
        <v>0</v>
      </c>
    </row>
    <row r="1333" ht="51">
      <c r="A1333" t="s">
        <v>1368</v>
      </c>
      <c r="B1333" s="19">
        <v>103679</v>
      </c>
      <c r="C1333" s="20" t="s">
        <v>1378</v>
      </c>
      <c r="D1333" s="19" t="s">
        <v>121</v>
      </c>
      <c r="E1333" s="21">
        <f t="shared" si="59"/>
        <v>876.84000000000003</v>
      </c>
      <c r="F1333" s="22">
        <v>0.12</v>
      </c>
      <c r="G1333" s="21">
        <f t="shared" si="60"/>
        <v>868.87</v>
      </c>
      <c r="H1333" s="22">
        <v>0.12</v>
      </c>
      <c r="I1333" s="23" t="str">
        <f t="shared" si="61"/>
        <v xml:space="preserve">COM VALOR</v>
      </c>
      <c r="J1333" s="19"/>
      <c r="L1333" s="21">
        <v>876.84000000000003</v>
      </c>
      <c r="M1333" s="22">
        <v>0</v>
      </c>
      <c r="N1333" s="21">
        <v>868.87</v>
      </c>
      <c r="O1333" s="22">
        <v>0</v>
      </c>
    </row>
    <row r="1334" ht="51">
      <c r="A1334" t="s">
        <v>1368</v>
      </c>
      <c r="B1334" s="19">
        <v>103677</v>
      </c>
      <c r="C1334" s="20" t="s">
        <v>1379</v>
      </c>
      <c r="D1334" s="19" t="s">
        <v>121</v>
      </c>
      <c r="E1334" s="21">
        <f t="shared" si="59"/>
        <v>920.74000000000001</v>
      </c>
      <c r="F1334" s="22">
        <v>8.9999999999999997e-002</v>
      </c>
      <c r="G1334" s="21">
        <f t="shared" si="60"/>
        <v>910.34000000000003</v>
      </c>
      <c r="H1334" s="22">
        <v>8.9999999999999997e-002</v>
      </c>
      <c r="I1334" s="23" t="str">
        <f t="shared" si="61"/>
        <v xml:space="preserve">COM VALOR</v>
      </c>
      <c r="J1334" s="19"/>
      <c r="L1334" s="21">
        <v>920.74000000000001</v>
      </c>
      <c r="M1334" s="22">
        <v>0</v>
      </c>
      <c r="N1334" s="21">
        <v>910.34000000000003</v>
      </c>
      <c r="O1334" s="22">
        <v>0</v>
      </c>
    </row>
    <row r="1335" ht="38.25">
      <c r="A1335" t="s">
        <v>1368</v>
      </c>
      <c r="B1335" s="19">
        <v>103675</v>
      </c>
      <c r="C1335" s="20" t="s">
        <v>1380</v>
      </c>
      <c r="D1335" s="19" t="s">
        <v>121</v>
      </c>
      <c r="E1335" s="21">
        <f t="shared" si="59"/>
        <v>731.97000000000003</v>
      </c>
      <c r="F1335" s="22">
        <v>0.11</v>
      </c>
      <c r="G1335" s="21">
        <f t="shared" si="60"/>
        <v>729.54999999999995</v>
      </c>
      <c r="H1335" s="22">
        <v>0.11</v>
      </c>
      <c r="I1335" s="23" t="str">
        <f t="shared" si="61"/>
        <v xml:space="preserve">COM VALOR</v>
      </c>
      <c r="J1335" s="19"/>
      <c r="L1335" s="21">
        <v>731.97000000000003</v>
      </c>
      <c r="M1335" s="22">
        <v>0</v>
      </c>
      <c r="N1335" s="21">
        <v>729.54999999999995</v>
      </c>
      <c r="O1335" s="22">
        <v>0</v>
      </c>
    </row>
    <row r="1336" ht="51">
      <c r="A1336" t="s">
        <v>1368</v>
      </c>
      <c r="B1336" s="19">
        <v>103680</v>
      </c>
      <c r="C1336" s="20" t="s">
        <v>1381</v>
      </c>
      <c r="D1336" s="19" t="s">
        <v>121</v>
      </c>
      <c r="E1336" s="21">
        <f t="shared" si="59"/>
        <v>925.69000000000005</v>
      </c>
      <c r="F1336" s="22">
        <v>8.0000000000000002e-002</v>
      </c>
      <c r="G1336" s="21">
        <f t="shared" si="60"/>
        <v>914.78999999999996</v>
      </c>
      <c r="H1336" s="22">
        <v>8.0000000000000002e-002</v>
      </c>
      <c r="I1336" s="23" t="str">
        <f t="shared" si="61"/>
        <v xml:space="preserve">COM VALOR</v>
      </c>
      <c r="J1336" s="19"/>
      <c r="L1336" s="21">
        <v>925.69000000000005</v>
      </c>
      <c r="M1336" s="22">
        <v>0</v>
      </c>
      <c r="N1336" s="21">
        <v>914.78999999999996</v>
      </c>
      <c r="O1336" s="22">
        <v>0</v>
      </c>
    </row>
    <row r="1337" ht="51">
      <c r="A1337" t="s">
        <v>1368</v>
      </c>
      <c r="B1337" s="19">
        <v>103678</v>
      </c>
      <c r="C1337" s="20" t="s">
        <v>1382</v>
      </c>
      <c r="D1337" s="19" t="s">
        <v>121</v>
      </c>
      <c r="E1337" s="21">
        <f t="shared" si="59"/>
        <v>999</v>
      </c>
      <c r="F1337" s="22">
        <v>0.11</v>
      </c>
      <c r="G1337" s="21">
        <f t="shared" si="60"/>
        <v>984.40999999999997</v>
      </c>
      <c r="H1337" s="22">
        <v>0.12</v>
      </c>
      <c r="I1337" s="23" t="str">
        <f t="shared" si="61"/>
        <v xml:space="preserve">COM VALOR</v>
      </c>
      <c r="J1337" s="19"/>
      <c r="L1337" s="21">
        <v>999</v>
      </c>
      <c r="M1337" s="22">
        <v>0</v>
      </c>
      <c r="N1337" s="21">
        <v>984.40999999999997</v>
      </c>
      <c r="O1337" s="22">
        <v>0</v>
      </c>
    </row>
    <row r="1338" ht="51">
      <c r="A1338" t="s">
        <v>1368</v>
      </c>
      <c r="B1338" s="19">
        <v>103676</v>
      </c>
      <c r="C1338" s="20" t="s">
        <v>1383</v>
      </c>
      <c r="D1338" s="19" t="s">
        <v>121</v>
      </c>
      <c r="E1338" s="21">
        <f t="shared" si="59"/>
        <v>1097.9400000000001</v>
      </c>
      <c r="F1338" s="22">
        <v>8.0000000000000002e-002</v>
      </c>
      <c r="G1338" s="21">
        <f t="shared" si="60"/>
        <v>1077.9100000000001</v>
      </c>
      <c r="H1338" s="22">
        <v>8.9999999999999997e-002</v>
      </c>
      <c r="I1338" s="23" t="str">
        <f t="shared" si="61"/>
        <v xml:space="preserve">COM VALOR</v>
      </c>
      <c r="J1338" s="19"/>
      <c r="L1338" s="21">
        <v>1097.9400000000001</v>
      </c>
      <c r="M1338" s="22">
        <v>0</v>
      </c>
      <c r="N1338" s="21">
        <v>1077.9100000000001</v>
      </c>
      <c r="O1338" s="22">
        <v>0</v>
      </c>
    </row>
    <row r="1339" ht="38.25">
      <c r="A1339" t="s">
        <v>1368</v>
      </c>
      <c r="B1339" s="19">
        <v>103674</v>
      </c>
      <c r="C1339" s="20" t="s">
        <v>1384</v>
      </c>
      <c r="D1339" s="19" t="s">
        <v>121</v>
      </c>
      <c r="E1339" s="21">
        <f t="shared" si="59"/>
        <v>752.55999999999995</v>
      </c>
      <c r="F1339" s="22">
        <v>0.10000000000000001</v>
      </c>
      <c r="G1339" s="21">
        <f t="shared" si="60"/>
        <v>749</v>
      </c>
      <c r="H1339" s="22">
        <v>0.11</v>
      </c>
      <c r="I1339" s="23" t="str">
        <f t="shared" si="61"/>
        <v xml:space="preserve">COM VALOR</v>
      </c>
      <c r="J1339" s="19"/>
      <c r="L1339" s="21">
        <v>752.55999999999995</v>
      </c>
      <c r="M1339" s="22">
        <v>0</v>
      </c>
      <c r="N1339" s="21">
        <v>749</v>
      </c>
      <c r="O1339" s="22">
        <v>0</v>
      </c>
    </row>
    <row r="1340" ht="38.25">
      <c r="A1340" t="s">
        <v>1368</v>
      </c>
      <c r="B1340" s="19">
        <v>103683</v>
      </c>
      <c r="C1340" s="20" t="s">
        <v>1385</v>
      </c>
      <c r="D1340" s="19" t="s">
        <v>121</v>
      </c>
      <c r="E1340" s="21">
        <f t="shared" si="59"/>
        <v>1357.73</v>
      </c>
      <c r="F1340" s="22">
        <v>8.0000000000000002e-002</v>
      </c>
      <c r="G1340" s="21">
        <f t="shared" si="60"/>
        <v>1323.4200000000001</v>
      </c>
      <c r="H1340" s="22">
        <v>8.0000000000000002e-002</v>
      </c>
      <c r="I1340" s="23" t="str">
        <f t="shared" si="61"/>
        <v xml:space="preserve">COM VALOR</v>
      </c>
      <c r="J1340" s="19"/>
      <c r="L1340" s="21">
        <v>1357.73</v>
      </c>
      <c r="M1340" s="22">
        <v>0</v>
      </c>
      <c r="N1340" s="21">
        <v>1323.4200000000001</v>
      </c>
      <c r="O1340" s="22">
        <v>0</v>
      </c>
    </row>
    <row r="1341" ht="38.25">
      <c r="A1341" t="s">
        <v>1368</v>
      </c>
      <c r="B1341" s="19">
        <v>103682</v>
      </c>
      <c r="C1341" s="20" t="s">
        <v>1386</v>
      </c>
      <c r="D1341" s="19" t="s">
        <v>121</v>
      </c>
      <c r="E1341" s="21">
        <f t="shared" si="59"/>
        <v>1057.73</v>
      </c>
      <c r="F1341" s="22">
        <v>7.0000000000000007e-002</v>
      </c>
      <c r="G1341" s="21">
        <f t="shared" si="60"/>
        <v>1039.8199999999999</v>
      </c>
      <c r="H1341" s="22">
        <v>8.0000000000000002e-002</v>
      </c>
      <c r="I1341" s="23" t="str">
        <f t="shared" si="61"/>
        <v xml:space="preserve">COM VALOR</v>
      </c>
      <c r="J1341" s="19"/>
      <c r="L1341" s="21">
        <v>1057.73</v>
      </c>
      <c r="M1341" s="22">
        <v>0</v>
      </c>
      <c r="N1341" s="21">
        <v>1039.8199999999999</v>
      </c>
      <c r="O1341" s="22">
        <v>0</v>
      </c>
    </row>
    <row r="1342" ht="25.5">
      <c r="A1342" t="s">
        <v>1368</v>
      </c>
      <c r="B1342" s="19">
        <v>103670</v>
      </c>
      <c r="C1342" s="20" t="s">
        <v>1387</v>
      </c>
      <c r="D1342" s="19" t="s">
        <v>121</v>
      </c>
      <c r="E1342" s="21">
        <f t="shared" si="59"/>
        <v>308.60000000000002</v>
      </c>
      <c r="F1342" s="22">
        <v>5.0000000000000003e-002</v>
      </c>
      <c r="G1342" s="21">
        <f t="shared" si="60"/>
        <v>291.69999999999999</v>
      </c>
      <c r="H1342" s="22">
        <v>5.0000000000000003e-002</v>
      </c>
      <c r="I1342" s="23" t="str">
        <f t="shared" si="61"/>
        <v xml:space="preserve">COM VALOR</v>
      </c>
      <c r="J1342" s="19"/>
      <c r="L1342" s="21">
        <v>308.60000000000002</v>
      </c>
      <c r="M1342" s="22">
        <v>1.e-002</v>
      </c>
      <c r="N1342" s="21">
        <v>291.69999999999999</v>
      </c>
      <c r="O1342" s="22">
        <v>1.e-002</v>
      </c>
    </row>
    <row r="1343" ht="25.5">
      <c r="A1343" t="s">
        <v>1368</v>
      </c>
      <c r="B1343" s="19">
        <v>103673</v>
      </c>
      <c r="C1343" s="20" t="s">
        <v>1388</v>
      </c>
      <c r="D1343" s="19" t="s">
        <v>121</v>
      </c>
      <c r="E1343" s="21">
        <f t="shared" si="59"/>
        <v>43.409999999999997</v>
      </c>
      <c r="F1343" s="22">
        <v>5.9999999999999998e-002</v>
      </c>
      <c r="G1343" s="21">
        <f t="shared" si="60"/>
        <v>41.049999999999997</v>
      </c>
      <c r="H1343" s="22">
        <v>5.9999999999999998e-002</v>
      </c>
      <c r="I1343" s="23" t="str">
        <f t="shared" si="61"/>
        <v xml:space="preserve">COM VALOR</v>
      </c>
      <c r="J1343" s="19"/>
      <c r="L1343" s="21">
        <v>43.409999999999997</v>
      </c>
      <c r="M1343" s="22">
        <v>0</v>
      </c>
      <c r="N1343" s="21">
        <v>41.049999999999997</v>
      </c>
      <c r="O1343" s="22">
        <v>0</v>
      </c>
    </row>
    <row r="1344" ht="51">
      <c r="A1344" t="s">
        <v>1389</v>
      </c>
      <c r="B1344" s="19">
        <v>91084</v>
      </c>
      <c r="C1344" s="20" t="s">
        <v>1390</v>
      </c>
      <c r="D1344" s="19" t="s">
        <v>29</v>
      </c>
      <c r="E1344" s="21">
        <f t="shared" si="59"/>
        <v>236.09</v>
      </c>
      <c r="F1344" s="22">
        <v>4.0000000000000001e-002</v>
      </c>
      <c r="G1344" s="21">
        <f t="shared" si="60"/>
        <v>231.16999999999999</v>
      </c>
      <c r="H1344" s="22">
        <v>4.0000000000000001e-002</v>
      </c>
      <c r="I1344" s="23" t="str">
        <f t="shared" si="61"/>
        <v xml:space="preserve">COM VALOR</v>
      </c>
      <c r="J1344" s="19"/>
      <c r="L1344" s="21">
        <v>236.09</v>
      </c>
      <c r="M1344" s="22">
        <v>0.11</v>
      </c>
      <c r="N1344" s="21">
        <v>231.16999999999999</v>
      </c>
      <c r="O1344" s="22">
        <v>0.12</v>
      </c>
    </row>
    <row r="1345" ht="51">
      <c r="A1345" t="s">
        <v>1389</v>
      </c>
      <c r="B1345" s="19">
        <v>91080</v>
      </c>
      <c r="C1345" s="20" t="s">
        <v>1391</v>
      </c>
      <c r="D1345" s="19" t="s">
        <v>29</v>
      </c>
      <c r="E1345" s="21">
        <f t="shared" si="59"/>
        <v>188.78</v>
      </c>
      <c r="F1345" s="22">
        <v>8.9999999999999997e-002</v>
      </c>
      <c r="G1345" s="21">
        <f t="shared" si="60"/>
        <v>185.75999999999999</v>
      </c>
      <c r="H1345" s="22">
        <v>0.10000000000000001</v>
      </c>
      <c r="I1345" s="23" t="str">
        <f t="shared" si="61"/>
        <v xml:space="preserve">COM VALOR</v>
      </c>
      <c r="J1345" s="19"/>
      <c r="L1345" s="21">
        <v>188.78</v>
      </c>
      <c r="M1345" s="22">
        <v>8.9999999999999997e-002</v>
      </c>
      <c r="N1345" s="21">
        <v>185.75999999999999</v>
      </c>
      <c r="O1345" s="22">
        <v>8.9999999999999997e-002</v>
      </c>
    </row>
    <row r="1346" ht="51">
      <c r="A1346" t="s">
        <v>1389</v>
      </c>
      <c r="B1346" s="19">
        <v>91101</v>
      </c>
      <c r="C1346" s="20" t="s">
        <v>1392</v>
      </c>
      <c r="D1346" s="19" t="s">
        <v>29</v>
      </c>
      <c r="E1346" s="21">
        <f t="shared" si="59"/>
        <v>220.16</v>
      </c>
      <c r="F1346" s="22">
        <v>7.0000000000000007e-002</v>
      </c>
      <c r="G1346" s="21">
        <f t="shared" si="60"/>
        <v>215.87</v>
      </c>
      <c r="H1346" s="22">
        <v>7.0000000000000007e-002</v>
      </c>
      <c r="I1346" s="23" t="str">
        <f t="shared" si="61"/>
        <v xml:space="preserve">COM VALOR</v>
      </c>
      <c r="J1346" s="19"/>
      <c r="L1346" s="21">
        <v>220.16</v>
      </c>
      <c r="M1346" s="22">
        <v>0.11</v>
      </c>
      <c r="N1346" s="21">
        <v>215.87</v>
      </c>
      <c r="O1346" s="22">
        <v>0.11</v>
      </c>
    </row>
    <row r="1347" ht="51">
      <c r="A1347" t="s">
        <v>1389</v>
      </c>
      <c r="B1347" s="19">
        <v>91097</v>
      </c>
      <c r="C1347" s="20" t="s">
        <v>1393</v>
      </c>
      <c r="D1347" s="19" t="s">
        <v>29</v>
      </c>
      <c r="E1347" s="21">
        <f t="shared" si="59"/>
        <v>182.78999999999999</v>
      </c>
      <c r="F1347" s="22">
        <v>8.0000000000000002e-002</v>
      </c>
      <c r="G1347" s="21">
        <f t="shared" si="60"/>
        <v>180</v>
      </c>
      <c r="H1347" s="22">
        <v>8.0000000000000002e-002</v>
      </c>
      <c r="I1347" s="23" t="str">
        <f t="shared" si="61"/>
        <v xml:space="preserve">COM VALOR</v>
      </c>
      <c r="J1347" s="19"/>
      <c r="L1347" s="21">
        <v>182.78999999999999</v>
      </c>
      <c r="M1347" s="22">
        <v>8.9999999999999997e-002</v>
      </c>
      <c r="N1347" s="21">
        <v>180</v>
      </c>
      <c r="O1347" s="22">
        <v>8.9999999999999997e-002</v>
      </c>
    </row>
    <row r="1348" ht="51">
      <c r="A1348" t="s">
        <v>1389</v>
      </c>
      <c r="B1348" s="19">
        <v>91082</v>
      </c>
      <c r="C1348" s="20" t="s">
        <v>1394</v>
      </c>
      <c r="D1348" s="19" t="s">
        <v>29</v>
      </c>
      <c r="E1348" s="21">
        <f t="shared" si="59"/>
        <v>212.75999999999999</v>
      </c>
      <c r="F1348" s="22">
        <v>5.9999999999999998e-002</v>
      </c>
      <c r="G1348" s="21">
        <f t="shared" si="60"/>
        <v>208.88999999999999</v>
      </c>
      <c r="H1348" s="22">
        <v>5.9999999999999998e-002</v>
      </c>
      <c r="I1348" s="23" t="str">
        <f t="shared" si="61"/>
        <v xml:space="preserve">COM VALOR</v>
      </c>
      <c r="J1348" s="19"/>
      <c r="L1348" s="21">
        <v>212.75999999999999</v>
      </c>
      <c r="M1348" s="22">
        <v>0.11</v>
      </c>
      <c r="N1348" s="21">
        <v>208.88999999999999</v>
      </c>
      <c r="O1348" s="22">
        <v>0.11</v>
      </c>
    </row>
    <row r="1349" ht="51">
      <c r="A1349" t="s">
        <v>1389</v>
      </c>
      <c r="B1349" s="19">
        <v>91078</v>
      </c>
      <c r="C1349" s="20" t="s">
        <v>1395</v>
      </c>
      <c r="D1349" s="19" t="s">
        <v>29</v>
      </c>
      <c r="E1349" s="21">
        <f t="shared" si="59"/>
        <v>177.80000000000001</v>
      </c>
      <c r="F1349" s="22"/>
      <c r="G1349" s="21">
        <f t="shared" si="60"/>
        <v>175.28999999999999</v>
      </c>
      <c r="H1349" s="22"/>
      <c r="I1349" s="23" t="str">
        <f t="shared" si="61"/>
        <v xml:space="preserve">COM VALOR</v>
      </c>
      <c r="J1349" s="19"/>
      <c r="L1349" s="21">
        <v>177.80000000000001</v>
      </c>
      <c r="M1349" s="22">
        <v>8.9999999999999997e-002</v>
      </c>
      <c r="N1349" s="21">
        <v>175.28999999999999</v>
      </c>
      <c r="O1349" s="22">
        <v>8.9999999999999997e-002</v>
      </c>
    </row>
    <row r="1350" ht="51">
      <c r="A1350" t="s">
        <v>1389</v>
      </c>
      <c r="B1350" s="19">
        <v>91099</v>
      </c>
      <c r="C1350" s="20" t="s">
        <v>1396</v>
      </c>
      <c r="D1350" s="19" t="s">
        <v>29</v>
      </c>
      <c r="E1350" s="21">
        <f t="shared" si="59"/>
        <v>201.66999999999999</v>
      </c>
      <c r="F1350" s="22"/>
      <c r="G1350" s="21">
        <f t="shared" si="60"/>
        <v>198.25</v>
      </c>
      <c r="H1350" s="22"/>
      <c r="I1350" s="23" t="str">
        <f t="shared" si="61"/>
        <v xml:space="preserve">COM VALOR</v>
      </c>
      <c r="J1350" s="19"/>
      <c r="L1350" s="21">
        <v>201.66999999999999</v>
      </c>
      <c r="M1350" s="22">
        <v>0.10000000000000001</v>
      </c>
      <c r="N1350" s="21">
        <v>198.25</v>
      </c>
      <c r="O1350" s="22">
        <v>0.11</v>
      </c>
    </row>
    <row r="1351" ht="51">
      <c r="A1351" t="s">
        <v>1389</v>
      </c>
      <c r="B1351" s="19">
        <v>91095</v>
      </c>
      <c r="C1351" s="20" t="s">
        <v>1397</v>
      </c>
      <c r="D1351" s="19" t="s">
        <v>29</v>
      </c>
      <c r="E1351" s="21">
        <f t="shared" si="59"/>
        <v>173.08000000000001</v>
      </c>
      <c r="F1351" s="22"/>
      <c r="G1351" s="21">
        <f t="shared" si="60"/>
        <v>170.74000000000001</v>
      </c>
      <c r="H1351" s="22"/>
      <c r="I1351" s="23" t="str">
        <f t="shared" si="61"/>
        <v xml:space="preserve">COM VALOR</v>
      </c>
      <c r="J1351" s="19"/>
      <c r="L1351" s="21">
        <v>173.08000000000001</v>
      </c>
      <c r="M1351" s="22">
        <v>8.0000000000000002e-002</v>
      </c>
      <c r="N1351" s="21">
        <v>170.74000000000001</v>
      </c>
      <c r="O1351" s="22">
        <v>8.9999999999999997e-002</v>
      </c>
    </row>
    <row r="1352" ht="51">
      <c r="A1352" t="s">
        <v>1389</v>
      </c>
      <c r="B1352" s="19">
        <v>91076</v>
      </c>
      <c r="C1352" s="20" t="s">
        <v>1398</v>
      </c>
      <c r="D1352" s="19" t="s">
        <v>29</v>
      </c>
      <c r="E1352" s="21">
        <f t="shared" si="59"/>
        <v>308.08999999999997</v>
      </c>
      <c r="F1352" s="22"/>
      <c r="G1352" s="21">
        <f t="shared" si="60"/>
        <v>296.88</v>
      </c>
      <c r="H1352" s="22"/>
      <c r="I1352" s="23" t="str">
        <f t="shared" si="61"/>
        <v xml:space="preserve">COM VALOR</v>
      </c>
      <c r="J1352" s="19"/>
      <c r="L1352" s="21">
        <v>308.08999999999997</v>
      </c>
      <c r="M1352" s="22">
        <v>8.0000000000000002e-002</v>
      </c>
      <c r="N1352" s="21">
        <v>296.88</v>
      </c>
      <c r="O1352" s="22">
        <v>8.0000000000000002e-002</v>
      </c>
    </row>
    <row r="1353" ht="51">
      <c r="A1353" t="s">
        <v>1389</v>
      </c>
      <c r="B1353" s="19">
        <v>91072</v>
      </c>
      <c r="C1353" s="20" t="s">
        <v>1399</v>
      </c>
      <c r="D1353" s="19" t="s">
        <v>29</v>
      </c>
      <c r="E1353" s="21">
        <f t="shared" si="59"/>
        <v>270.69</v>
      </c>
      <c r="F1353" s="22"/>
      <c r="G1353" s="21">
        <f t="shared" si="60"/>
        <v>260.97000000000003</v>
      </c>
      <c r="H1353" s="22"/>
      <c r="I1353" s="23" t="str">
        <f t="shared" si="61"/>
        <v xml:space="preserve">COM VALOR</v>
      </c>
      <c r="J1353" s="19"/>
      <c r="L1353" s="21">
        <v>270.69</v>
      </c>
      <c r="M1353" s="22">
        <v>5.9999999999999998e-002</v>
      </c>
      <c r="N1353" s="21">
        <v>260.97000000000003</v>
      </c>
      <c r="O1353" s="22">
        <v>5.9999999999999998e-002</v>
      </c>
    </row>
    <row r="1354" ht="51">
      <c r="A1354" t="s">
        <v>1389</v>
      </c>
      <c r="B1354" s="19">
        <v>91093</v>
      </c>
      <c r="C1354" s="20" t="s">
        <v>1400</v>
      </c>
      <c r="D1354" s="19" t="s">
        <v>29</v>
      </c>
      <c r="E1354" s="21">
        <f t="shared" si="59"/>
        <v>317.85000000000002</v>
      </c>
      <c r="F1354" s="22"/>
      <c r="G1354" s="21">
        <f t="shared" si="60"/>
        <v>305.85000000000002</v>
      </c>
      <c r="H1354" s="22"/>
      <c r="I1354" s="23" t="str">
        <f t="shared" si="61"/>
        <v xml:space="preserve">COM VALOR</v>
      </c>
      <c r="J1354" s="19"/>
      <c r="L1354" s="21">
        <v>317.85000000000002</v>
      </c>
      <c r="M1354" s="22">
        <v>7.0000000000000007e-002</v>
      </c>
      <c r="N1354" s="21">
        <v>305.85000000000002</v>
      </c>
      <c r="O1354" s="22">
        <v>7.0000000000000007e-002</v>
      </c>
    </row>
    <row r="1355" ht="51">
      <c r="A1355" t="s">
        <v>1389</v>
      </c>
      <c r="B1355" s="19">
        <v>91089</v>
      </c>
      <c r="C1355" s="20" t="s">
        <v>1401</v>
      </c>
      <c r="D1355" s="19" t="s">
        <v>29</v>
      </c>
      <c r="E1355" s="21">
        <f t="shared" ref="E1355:E1418" si="62">IF(L1355=0,"VERIFICAR",L1355)</f>
        <v>287.26999999999998</v>
      </c>
      <c r="F1355" s="22"/>
      <c r="G1355" s="21">
        <f t="shared" ref="G1355:G1418" si="63">IF(N1355=0,"VERIFICAR",N1355)</f>
        <v>276.49000000000001</v>
      </c>
      <c r="H1355" s="22"/>
      <c r="I1355" s="23" t="str">
        <f t="shared" ref="I1355:I1418" si="64">IF(OR(E1355=0,G1355=0),"SEM VALOR","COM VALOR")</f>
        <v xml:space="preserve">COM VALOR</v>
      </c>
      <c r="J1355" s="19"/>
      <c r="L1355" s="21">
        <v>287.26999999999998</v>
      </c>
      <c r="M1355" s="22">
        <v>5.0000000000000003e-002</v>
      </c>
      <c r="N1355" s="21">
        <v>276.49000000000001</v>
      </c>
      <c r="O1355" s="22">
        <v>5.0000000000000003e-002</v>
      </c>
    </row>
    <row r="1356" ht="51">
      <c r="A1356" t="s">
        <v>1389</v>
      </c>
      <c r="B1356" s="19">
        <v>91074</v>
      </c>
      <c r="C1356" s="20" t="s">
        <v>1402</v>
      </c>
      <c r="D1356" s="19" t="s">
        <v>29</v>
      </c>
      <c r="E1356" s="21">
        <f t="shared" si="62"/>
        <v>207.53999999999999</v>
      </c>
      <c r="F1356" s="22"/>
      <c r="G1356" s="21">
        <f t="shared" si="63"/>
        <v>202.09</v>
      </c>
      <c r="H1356" s="22"/>
      <c r="I1356" s="23" t="str">
        <f t="shared" si="64"/>
        <v xml:space="preserve">COM VALOR</v>
      </c>
      <c r="J1356" s="19"/>
      <c r="L1356" s="21">
        <v>207.53999999999999</v>
      </c>
      <c r="M1356" s="22">
        <v>0.10000000000000001</v>
      </c>
      <c r="N1356" s="21">
        <v>202.09</v>
      </c>
      <c r="O1356" s="22">
        <v>0.10000000000000001</v>
      </c>
    </row>
    <row r="1357" ht="51">
      <c r="A1357" t="s">
        <v>1389</v>
      </c>
      <c r="B1357" s="19">
        <v>91070</v>
      </c>
      <c r="C1357" s="20" t="s">
        <v>1403</v>
      </c>
      <c r="D1357" s="19" t="s">
        <v>29</v>
      </c>
      <c r="E1357" s="21">
        <f t="shared" si="62"/>
        <v>179.22999999999999</v>
      </c>
      <c r="F1357" s="22"/>
      <c r="G1357" s="21">
        <f t="shared" si="63"/>
        <v>174.87</v>
      </c>
      <c r="H1357" s="22"/>
      <c r="I1357" s="23" t="str">
        <f t="shared" si="64"/>
        <v xml:space="preserve">COM VALOR</v>
      </c>
      <c r="J1357" s="19"/>
      <c r="L1357" s="21">
        <v>179.22999999999999</v>
      </c>
      <c r="M1357" s="22">
        <v>8.0000000000000002e-002</v>
      </c>
      <c r="N1357" s="21">
        <v>174.87</v>
      </c>
      <c r="O1357" s="22">
        <v>8.0000000000000002e-002</v>
      </c>
    </row>
    <row r="1358" ht="51">
      <c r="A1358" t="s">
        <v>1389</v>
      </c>
      <c r="B1358" s="19">
        <v>91091</v>
      </c>
      <c r="C1358" s="20" t="s">
        <v>1404</v>
      </c>
      <c r="D1358" s="19" t="s">
        <v>29</v>
      </c>
      <c r="E1358" s="21">
        <f t="shared" si="62"/>
        <v>218.09</v>
      </c>
      <c r="F1358" s="22"/>
      <c r="G1358" s="21">
        <f t="shared" si="63"/>
        <v>211.83000000000001</v>
      </c>
      <c r="H1358" s="22"/>
      <c r="I1358" s="23" t="str">
        <f t="shared" si="64"/>
        <v xml:space="preserve">COM VALOR</v>
      </c>
      <c r="J1358" s="19"/>
      <c r="L1358" s="21">
        <v>218.09</v>
      </c>
      <c r="M1358" s="22">
        <v>8.9999999999999997e-002</v>
      </c>
      <c r="N1358" s="21">
        <v>211.83000000000001</v>
      </c>
      <c r="O1358" s="22">
        <v>8.9999999999999997e-002</v>
      </c>
    </row>
    <row r="1359" ht="51">
      <c r="A1359" t="s">
        <v>1389</v>
      </c>
      <c r="B1359" s="19">
        <v>91087</v>
      </c>
      <c r="C1359" s="20" t="s">
        <v>1405</v>
      </c>
      <c r="D1359" s="19" t="s">
        <v>29</v>
      </c>
      <c r="E1359" s="21">
        <f t="shared" si="62"/>
        <v>194.47</v>
      </c>
      <c r="F1359" s="22"/>
      <c r="G1359" s="21">
        <f t="shared" si="63"/>
        <v>189.13</v>
      </c>
      <c r="H1359" s="22"/>
      <c r="I1359" s="23" t="str">
        <f t="shared" si="64"/>
        <v xml:space="preserve">COM VALOR</v>
      </c>
      <c r="J1359" s="19"/>
      <c r="L1359" s="21">
        <v>194.47</v>
      </c>
      <c r="M1359" s="22">
        <v>7.0000000000000007e-002</v>
      </c>
      <c r="N1359" s="21">
        <v>189.13</v>
      </c>
      <c r="O1359" s="22">
        <v>7.0000000000000007e-002</v>
      </c>
    </row>
    <row r="1360" ht="51">
      <c r="A1360" t="s">
        <v>1389</v>
      </c>
      <c r="B1360" s="19">
        <v>91083</v>
      </c>
      <c r="C1360" s="20" t="s">
        <v>1406</v>
      </c>
      <c r="D1360" s="19" t="s">
        <v>29</v>
      </c>
      <c r="E1360" s="21">
        <f t="shared" si="62"/>
        <v>286.95999999999998</v>
      </c>
      <c r="F1360" s="22"/>
      <c r="G1360" s="21">
        <f t="shared" si="63"/>
        <v>279.36000000000001</v>
      </c>
      <c r="H1360" s="22"/>
      <c r="I1360" s="23" t="str">
        <f t="shared" si="64"/>
        <v xml:space="preserve">COM VALOR</v>
      </c>
      <c r="J1360" s="19"/>
      <c r="L1360" s="21">
        <v>286.95999999999998</v>
      </c>
      <c r="M1360" s="22">
        <v>0.14000000000000001</v>
      </c>
      <c r="N1360" s="21">
        <v>279.36000000000001</v>
      </c>
      <c r="O1360" s="22">
        <v>0.14999999999999999</v>
      </c>
    </row>
    <row r="1361" ht="51">
      <c r="A1361" t="s">
        <v>1389</v>
      </c>
      <c r="B1361" s="19">
        <v>91079</v>
      </c>
      <c r="C1361" s="20" t="s">
        <v>1407</v>
      </c>
      <c r="D1361" s="19" t="s">
        <v>29</v>
      </c>
      <c r="E1361" s="21">
        <f t="shared" si="62"/>
        <v>175.86000000000001</v>
      </c>
      <c r="F1361" s="22"/>
      <c r="G1361" s="21">
        <f t="shared" si="63"/>
        <v>172.71000000000001</v>
      </c>
      <c r="H1361" s="22"/>
      <c r="I1361" s="23" t="str">
        <f t="shared" si="64"/>
        <v xml:space="preserve">COM VALOR</v>
      </c>
      <c r="J1361" s="19"/>
      <c r="L1361" s="21">
        <v>175.86000000000001</v>
      </c>
      <c r="M1361" s="22">
        <v>0.10000000000000001</v>
      </c>
      <c r="N1361" s="21">
        <v>172.71000000000001</v>
      </c>
      <c r="O1361" s="22">
        <v>0.10000000000000001</v>
      </c>
    </row>
    <row r="1362" ht="51">
      <c r="A1362" t="s">
        <v>1389</v>
      </c>
      <c r="B1362" s="19">
        <v>91100</v>
      </c>
      <c r="C1362" s="20" t="s">
        <v>1408</v>
      </c>
      <c r="D1362" s="19" t="s">
        <v>29</v>
      </c>
      <c r="E1362" s="21">
        <f t="shared" si="62"/>
        <v>240.30000000000001</v>
      </c>
      <c r="F1362" s="22"/>
      <c r="G1362" s="21">
        <f t="shared" si="63"/>
        <v>234.55000000000001</v>
      </c>
      <c r="H1362" s="22"/>
      <c r="I1362" s="23" t="str">
        <f t="shared" si="64"/>
        <v xml:space="preserve">COM VALOR</v>
      </c>
      <c r="J1362" s="19"/>
      <c r="L1362" s="21">
        <v>240.30000000000001</v>
      </c>
      <c r="M1362" s="22">
        <v>0.13</v>
      </c>
      <c r="N1362" s="21">
        <v>234.55000000000001</v>
      </c>
      <c r="O1362" s="22">
        <v>0.13250000000000001</v>
      </c>
    </row>
    <row r="1363" ht="51">
      <c r="A1363" t="s">
        <v>1389</v>
      </c>
      <c r="B1363" s="19">
        <v>91096</v>
      </c>
      <c r="C1363" s="20" t="s">
        <v>1409</v>
      </c>
      <c r="D1363" s="19" t="s">
        <v>29</v>
      </c>
      <c r="E1363" s="21">
        <f t="shared" si="62"/>
        <v>166.83000000000001</v>
      </c>
      <c r="F1363" s="22"/>
      <c r="G1363" s="21">
        <f t="shared" si="63"/>
        <v>164</v>
      </c>
      <c r="H1363" s="22"/>
      <c r="I1363" s="23" t="str">
        <f t="shared" si="64"/>
        <v xml:space="preserve">COM VALOR</v>
      </c>
      <c r="J1363" s="19"/>
      <c r="L1363" s="21">
        <v>166.83000000000001</v>
      </c>
      <c r="M1363" s="22">
        <v>8.9999999999999997e-002</v>
      </c>
      <c r="N1363" s="21">
        <v>164</v>
      </c>
      <c r="O1363" s="22">
        <v>0.10000000000000001</v>
      </c>
    </row>
    <row r="1364" ht="51">
      <c r="A1364" t="s">
        <v>1389</v>
      </c>
      <c r="B1364" s="19">
        <v>91081</v>
      </c>
      <c r="C1364" s="20" t="s">
        <v>1410</v>
      </c>
      <c r="D1364" s="19" t="s">
        <v>29</v>
      </c>
      <c r="E1364" s="21">
        <f t="shared" si="62"/>
        <v>229.86000000000001</v>
      </c>
      <c r="F1364" s="22"/>
      <c r="G1364" s="21">
        <f t="shared" si="63"/>
        <v>224.71000000000001</v>
      </c>
      <c r="H1364" s="22"/>
      <c r="I1364" s="23" t="str">
        <f t="shared" si="64"/>
        <v xml:space="preserve">COM VALOR</v>
      </c>
      <c r="J1364" s="19"/>
      <c r="L1364" s="21">
        <v>229.86000000000001</v>
      </c>
      <c r="M1364" s="22">
        <v>0.14000000000000001</v>
      </c>
      <c r="N1364" s="21">
        <v>224.71000000000001</v>
      </c>
      <c r="O1364" s="22">
        <v>0.14000000000000001</v>
      </c>
    </row>
    <row r="1365" ht="51">
      <c r="A1365" t="s">
        <v>1389</v>
      </c>
      <c r="B1365" s="19">
        <v>91077</v>
      </c>
      <c r="C1365" s="20" t="s">
        <v>1411</v>
      </c>
      <c r="D1365" s="19" t="s">
        <v>29</v>
      </c>
      <c r="E1365" s="21">
        <f t="shared" si="62"/>
        <v>161.78999999999999</v>
      </c>
      <c r="F1365" s="22"/>
      <c r="G1365" s="21">
        <f t="shared" si="63"/>
        <v>159.27000000000001</v>
      </c>
      <c r="H1365" s="22"/>
      <c r="I1365" s="23" t="str">
        <f t="shared" si="64"/>
        <v xml:space="preserve">COM VALOR</v>
      </c>
      <c r="J1365" s="19"/>
      <c r="L1365" s="21">
        <v>161.78999999999999</v>
      </c>
      <c r="M1365" s="22">
        <v>0.10000000000000001</v>
      </c>
      <c r="N1365" s="21">
        <v>159.27000000000001</v>
      </c>
      <c r="O1365" s="22">
        <v>0.10000000000000001</v>
      </c>
    </row>
    <row r="1366" ht="51">
      <c r="A1366" t="s">
        <v>1389</v>
      </c>
      <c r="B1366" s="19">
        <v>91098</v>
      </c>
      <c r="C1366" s="20" t="s">
        <v>1412</v>
      </c>
      <c r="D1366" s="19" t="s">
        <v>29</v>
      </c>
      <c r="E1366" s="21">
        <f t="shared" si="62"/>
        <v>203.86000000000001</v>
      </c>
      <c r="F1366" s="22"/>
      <c r="G1366" s="21">
        <f t="shared" si="63"/>
        <v>199.71000000000001</v>
      </c>
      <c r="H1366" s="22"/>
      <c r="I1366" s="23" t="str">
        <f t="shared" si="64"/>
        <v xml:space="preserve">COM VALOR</v>
      </c>
      <c r="J1366" s="19"/>
      <c r="L1366" s="21">
        <v>203.86000000000001</v>
      </c>
      <c r="M1366" s="22">
        <v>0.12</v>
      </c>
      <c r="N1366" s="21">
        <v>199.71000000000001</v>
      </c>
      <c r="O1366" s="22">
        <v>0.13</v>
      </c>
    </row>
    <row r="1367" ht="51">
      <c r="A1367" t="s">
        <v>1389</v>
      </c>
      <c r="B1367" s="19">
        <v>91094</v>
      </c>
      <c r="C1367" s="20" t="s">
        <v>1413</v>
      </c>
      <c r="D1367" s="19" t="s">
        <v>29</v>
      </c>
      <c r="E1367" s="21">
        <f t="shared" si="62"/>
        <v>155.18000000000001</v>
      </c>
      <c r="F1367" s="22"/>
      <c r="G1367" s="21">
        <f t="shared" si="63"/>
        <v>152.90000000000001</v>
      </c>
      <c r="H1367" s="22"/>
      <c r="I1367" s="23" t="str">
        <f t="shared" si="64"/>
        <v xml:space="preserve">COM VALOR</v>
      </c>
      <c r="J1367" s="19"/>
      <c r="L1367" s="21">
        <v>155.18000000000001</v>
      </c>
      <c r="M1367" s="22">
        <v>8.9999999999999997e-002</v>
      </c>
      <c r="N1367" s="21">
        <v>152.90000000000001</v>
      </c>
      <c r="O1367" s="22">
        <v>8.9999999999999997e-002</v>
      </c>
    </row>
    <row r="1368" ht="51">
      <c r="A1368" t="s">
        <v>1389</v>
      </c>
      <c r="B1368" s="19">
        <v>91075</v>
      </c>
      <c r="C1368" s="20" t="s">
        <v>1414</v>
      </c>
      <c r="D1368" s="19" t="s">
        <v>29</v>
      </c>
      <c r="E1368" s="21">
        <f t="shared" si="62"/>
        <v>334.22000000000003</v>
      </c>
      <c r="F1368" s="22"/>
      <c r="G1368" s="21">
        <f t="shared" si="63"/>
        <v>321.61000000000001</v>
      </c>
      <c r="H1368" s="22"/>
      <c r="I1368" s="23" t="str">
        <f t="shared" si="64"/>
        <v xml:space="preserve">COM VALOR</v>
      </c>
      <c r="J1368" s="19"/>
      <c r="L1368" s="21">
        <v>334.22000000000003</v>
      </c>
      <c r="M1368" s="22">
        <v>8.9999999999999997e-002</v>
      </c>
      <c r="N1368" s="21">
        <v>321.61000000000001</v>
      </c>
      <c r="O1368" s="22">
        <v>0.10000000000000001</v>
      </c>
    </row>
    <row r="1369" ht="51">
      <c r="A1369" t="s">
        <v>1389</v>
      </c>
      <c r="B1369" s="19">
        <v>91071</v>
      </c>
      <c r="C1369" s="20" t="s">
        <v>1415</v>
      </c>
      <c r="D1369" s="19" t="s">
        <v>29</v>
      </c>
      <c r="E1369" s="21">
        <f t="shared" si="62"/>
        <v>262</v>
      </c>
      <c r="F1369" s="22"/>
      <c r="G1369" s="21">
        <f t="shared" si="63"/>
        <v>252.25999999999999</v>
      </c>
      <c r="H1369" s="22"/>
      <c r="I1369" s="23" t="str">
        <f t="shared" si="64"/>
        <v xml:space="preserve">COM VALOR</v>
      </c>
      <c r="J1369" s="19"/>
      <c r="L1369" s="21">
        <v>262</v>
      </c>
      <c r="M1369" s="22">
        <v>5.9999999999999998e-002</v>
      </c>
      <c r="N1369" s="21">
        <v>252.25999999999999</v>
      </c>
      <c r="O1369" s="22">
        <v>5.9999999999999998e-002</v>
      </c>
    </row>
    <row r="1370" ht="51">
      <c r="A1370" t="s">
        <v>1389</v>
      </c>
      <c r="B1370" s="19">
        <v>91092</v>
      </c>
      <c r="C1370" s="20" t="s">
        <v>1416</v>
      </c>
      <c r="D1370" s="19" t="s">
        <v>29</v>
      </c>
      <c r="E1370" s="21">
        <f t="shared" si="62"/>
        <v>328.33999999999997</v>
      </c>
      <c r="F1370" s="22"/>
      <c r="G1370" s="21">
        <f t="shared" si="63"/>
        <v>315.57999999999998</v>
      </c>
      <c r="H1370" s="22"/>
      <c r="I1370" s="23" t="str">
        <f t="shared" si="64"/>
        <v xml:space="preserve">COM VALOR</v>
      </c>
      <c r="J1370" s="19"/>
      <c r="L1370" s="21">
        <v>328.33999999999997</v>
      </c>
      <c r="M1370" s="22">
        <v>8.0000000000000002e-002</v>
      </c>
      <c r="N1370" s="21">
        <v>315.57999999999998</v>
      </c>
      <c r="O1370" s="22">
        <v>8.0000000000000002e-002</v>
      </c>
    </row>
    <row r="1371" ht="51">
      <c r="A1371" t="s">
        <v>1389</v>
      </c>
      <c r="B1371" s="19">
        <v>91088</v>
      </c>
      <c r="C1371" s="20" t="s">
        <v>1417</v>
      </c>
      <c r="D1371" s="19" t="s">
        <v>29</v>
      </c>
      <c r="E1371" s="21">
        <f t="shared" si="62"/>
        <v>276.56</v>
      </c>
      <c r="F1371" s="22"/>
      <c r="G1371" s="21">
        <f t="shared" si="63"/>
        <v>265.83999999999997</v>
      </c>
      <c r="H1371" s="22"/>
      <c r="I1371" s="23" t="str">
        <f t="shared" si="64"/>
        <v xml:space="preserve">COM VALOR</v>
      </c>
      <c r="J1371" s="19"/>
      <c r="L1371" s="21">
        <v>276.56</v>
      </c>
      <c r="M1371" s="22">
        <v>5.0000000000000003e-002</v>
      </c>
      <c r="N1371" s="21">
        <v>265.83999999999997</v>
      </c>
      <c r="O1371" s="22">
        <v>5.0000000000000003e-002</v>
      </c>
    </row>
    <row r="1372" ht="51">
      <c r="A1372" t="s">
        <v>1389</v>
      </c>
      <c r="B1372" s="19">
        <v>91073</v>
      </c>
      <c r="C1372" s="20" t="s">
        <v>1418</v>
      </c>
      <c r="D1372" s="19" t="s">
        <v>29</v>
      </c>
      <c r="E1372" s="21">
        <f t="shared" si="62"/>
        <v>216.63999999999999</v>
      </c>
      <c r="F1372" s="22"/>
      <c r="G1372" s="21">
        <f t="shared" si="63"/>
        <v>210.47999999999999</v>
      </c>
      <c r="H1372" s="22"/>
      <c r="I1372" s="23" t="str">
        <f t="shared" si="64"/>
        <v xml:space="preserve">COM VALOR</v>
      </c>
      <c r="J1372" s="19"/>
      <c r="L1372" s="21">
        <v>216.63999999999999</v>
      </c>
      <c r="M1372" s="22">
        <v>0.12</v>
      </c>
      <c r="N1372" s="21">
        <v>210.47999999999999</v>
      </c>
      <c r="O1372" s="22">
        <v>0.12</v>
      </c>
    </row>
    <row r="1373" ht="51">
      <c r="A1373" t="s">
        <v>1389</v>
      </c>
      <c r="B1373" s="19">
        <v>91069</v>
      </c>
      <c r="C1373" s="20" t="s">
        <v>1419</v>
      </c>
      <c r="D1373" s="19" t="s">
        <v>29</v>
      </c>
      <c r="E1373" s="21">
        <f t="shared" si="62"/>
        <v>168.63999999999999</v>
      </c>
      <c r="F1373" s="22"/>
      <c r="G1373" s="21">
        <f t="shared" si="63"/>
        <v>164.34999999999999</v>
      </c>
      <c r="H1373" s="22"/>
      <c r="I1373" s="23" t="str">
        <f t="shared" si="64"/>
        <v xml:space="preserve">COM VALOR</v>
      </c>
      <c r="J1373" s="19"/>
      <c r="L1373" s="21">
        <v>168.63999999999999</v>
      </c>
      <c r="M1373" s="22">
        <v>8.0000000000000002e-002</v>
      </c>
      <c r="N1373" s="21">
        <v>164.34999999999999</v>
      </c>
      <c r="O1373" s="22">
        <v>8.9999999999999997e-002</v>
      </c>
    </row>
    <row r="1374" ht="51">
      <c r="A1374" t="s">
        <v>1389</v>
      </c>
      <c r="B1374" s="19">
        <v>91090</v>
      </c>
      <c r="C1374" s="20" t="s">
        <v>1420</v>
      </c>
      <c r="D1374" s="19" t="s">
        <v>29</v>
      </c>
      <c r="E1374" s="21">
        <f t="shared" si="62"/>
        <v>218.81999999999999</v>
      </c>
      <c r="F1374" s="22"/>
      <c r="G1374" s="21">
        <f t="shared" si="63"/>
        <v>212.19</v>
      </c>
      <c r="H1374" s="22"/>
      <c r="I1374" s="23" t="str">
        <f t="shared" si="64"/>
        <v xml:space="preserve">COM VALOR</v>
      </c>
      <c r="J1374" s="19"/>
      <c r="L1374" s="21">
        <v>218.81999999999999</v>
      </c>
      <c r="M1374" s="22">
        <v>0.10000000000000001</v>
      </c>
      <c r="N1374" s="21">
        <v>212.19</v>
      </c>
      <c r="O1374" s="22">
        <v>0.10000000000000001</v>
      </c>
    </row>
    <row r="1375" ht="51">
      <c r="A1375" t="s">
        <v>1389</v>
      </c>
      <c r="B1375" s="19">
        <v>91086</v>
      </c>
      <c r="C1375" s="20" t="s">
        <v>1421</v>
      </c>
      <c r="D1375" s="19" t="s">
        <v>29</v>
      </c>
      <c r="E1375" s="21">
        <f t="shared" si="62"/>
        <v>182.59</v>
      </c>
      <c r="F1375" s="22"/>
      <c r="G1375" s="21">
        <f t="shared" si="63"/>
        <v>177.38</v>
      </c>
      <c r="H1375" s="22"/>
      <c r="I1375" s="23" t="str">
        <f t="shared" si="64"/>
        <v xml:space="preserve">COM VALOR</v>
      </c>
      <c r="J1375" s="19"/>
      <c r="L1375" s="21">
        <v>182.59</v>
      </c>
      <c r="M1375" s="22">
        <v>7.0000000000000007e-002</v>
      </c>
      <c r="N1375" s="21">
        <v>177.38</v>
      </c>
      <c r="O1375" s="22">
        <v>7.0000000000000007e-002</v>
      </c>
    </row>
    <row r="1376" ht="25.5">
      <c r="A1376" t="s">
        <v>1389</v>
      </c>
      <c r="B1376" s="19">
        <v>105522</v>
      </c>
      <c r="C1376" s="20" t="s">
        <v>1422</v>
      </c>
      <c r="D1376" s="19" t="s">
        <v>29</v>
      </c>
      <c r="E1376" s="21" t="str">
        <f t="shared" si="62"/>
        <v>VERIFICAR</v>
      </c>
      <c r="F1376" s="22"/>
      <c r="G1376" s="21" t="str">
        <f t="shared" si="63"/>
        <v>VERIFICAR</v>
      </c>
      <c r="H1376" s="22"/>
      <c r="I1376" s="23" t="str">
        <f t="shared" si="64"/>
        <v xml:space="preserve">COM VALOR</v>
      </c>
      <c r="J1376" s="19"/>
      <c r="L1376" s="21">
        <v>0</v>
      </c>
      <c r="M1376" s="22"/>
      <c r="N1376" s="21">
        <v>0</v>
      </c>
      <c r="O1376" s="22"/>
    </row>
    <row r="1377" ht="25.5">
      <c r="A1377" t="s">
        <v>1423</v>
      </c>
      <c r="B1377" s="19">
        <v>104281</v>
      </c>
      <c r="C1377" s="20" t="s">
        <v>1424</v>
      </c>
      <c r="D1377" s="19" t="s">
        <v>31</v>
      </c>
      <c r="E1377" s="21" t="str">
        <f t="shared" si="62"/>
        <v>VERIFICAR</v>
      </c>
      <c r="F1377" s="22"/>
      <c r="G1377" s="21" t="str">
        <f t="shared" si="63"/>
        <v>VERIFICAR</v>
      </c>
      <c r="H1377" s="22"/>
      <c r="I1377" s="23" t="str">
        <f t="shared" si="64"/>
        <v xml:space="preserve">COM VALOR</v>
      </c>
      <c r="J1377" s="19"/>
      <c r="L1377" s="21">
        <v>0</v>
      </c>
      <c r="M1377" s="22"/>
      <c r="N1377" s="21">
        <v>0</v>
      </c>
      <c r="O1377" s="22"/>
    </row>
    <row r="1378" ht="25.5">
      <c r="A1378" t="s">
        <v>1423</v>
      </c>
      <c r="B1378" s="19">
        <v>104287</v>
      </c>
      <c r="C1378" s="20" t="s">
        <v>1425</v>
      </c>
      <c r="D1378" s="19" t="s">
        <v>31</v>
      </c>
      <c r="E1378" s="21" t="str">
        <f t="shared" si="62"/>
        <v>VERIFICAR</v>
      </c>
      <c r="F1378" s="22"/>
      <c r="G1378" s="21" t="str">
        <f t="shared" si="63"/>
        <v>VERIFICAR</v>
      </c>
      <c r="H1378" s="22"/>
      <c r="I1378" s="23" t="str">
        <f t="shared" si="64"/>
        <v xml:space="preserve">COM VALOR</v>
      </c>
      <c r="J1378" s="19"/>
      <c r="L1378" s="21">
        <v>0</v>
      </c>
      <c r="M1378" s="22"/>
      <c r="N1378" s="21">
        <v>0</v>
      </c>
      <c r="O1378" s="22"/>
    </row>
    <row r="1379" ht="25.5">
      <c r="A1379" t="s">
        <v>1423</v>
      </c>
      <c r="B1379" s="19">
        <v>104286</v>
      </c>
      <c r="C1379" s="20" t="s">
        <v>1426</v>
      </c>
      <c r="D1379" s="19" t="s">
        <v>31</v>
      </c>
      <c r="E1379" s="21" t="str">
        <f t="shared" si="62"/>
        <v>VERIFICAR</v>
      </c>
      <c r="F1379" s="22"/>
      <c r="G1379" s="21" t="str">
        <f t="shared" si="63"/>
        <v>VERIFICAR</v>
      </c>
      <c r="H1379" s="22"/>
      <c r="I1379" s="23" t="str">
        <f t="shared" si="64"/>
        <v xml:space="preserve">COM VALOR</v>
      </c>
      <c r="J1379" s="19"/>
      <c r="L1379" s="21">
        <v>0</v>
      </c>
      <c r="M1379" s="22"/>
      <c r="N1379" s="21">
        <v>0</v>
      </c>
      <c r="O1379" s="22"/>
    </row>
    <row r="1380" ht="25.5">
      <c r="A1380" t="s">
        <v>1423</v>
      </c>
      <c r="B1380" s="19">
        <v>104292</v>
      </c>
      <c r="C1380" s="20" t="s">
        <v>1427</v>
      </c>
      <c r="D1380" s="19" t="s">
        <v>31</v>
      </c>
      <c r="E1380" s="21" t="str">
        <f t="shared" si="62"/>
        <v>VERIFICAR</v>
      </c>
      <c r="F1380" s="22"/>
      <c r="G1380" s="21" t="str">
        <f t="shared" si="63"/>
        <v>VERIFICAR</v>
      </c>
      <c r="H1380" s="22"/>
      <c r="I1380" s="23" t="str">
        <f t="shared" si="64"/>
        <v xml:space="preserve">COM VALOR</v>
      </c>
      <c r="J1380" s="19"/>
      <c r="L1380" s="21">
        <v>0</v>
      </c>
      <c r="M1380" s="22"/>
      <c r="N1380" s="21">
        <v>0</v>
      </c>
      <c r="O1380" s="22"/>
    </row>
    <row r="1381" ht="25.5">
      <c r="A1381" t="s">
        <v>1423</v>
      </c>
      <c r="B1381" s="19">
        <v>104282</v>
      </c>
      <c r="C1381" s="20" t="s">
        <v>1428</v>
      </c>
      <c r="D1381" s="19" t="s">
        <v>31</v>
      </c>
      <c r="E1381" s="21" t="str">
        <f t="shared" si="62"/>
        <v>VERIFICAR</v>
      </c>
      <c r="F1381" s="22"/>
      <c r="G1381" s="21" t="str">
        <f t="shared" si="63"/>
        <v>VERIFICAR</v>
      </c>
      <c r="H1381" s="22"/>
      <c r="I1381" s="23" t="str">
        <f t="shared" si="64"/>
        <v xml:space="preserve">COM VALOR</v>
      </c>
      <c r="J1381" s="19"/>
      <c r="L1381" s="21">
        <v>0</v>
      </c>
      <c r="M1381" s="22"/>
      <c r="N1381" s="21">
        <v>0</v>
      </c>
      <c r="O1381" s="22"/>
    </row>
    <row r="1382" ht="25.5">
      <c r="A1382" t="s">
        <v>1423</v>
      </c>
      <c r="B1382" s="19">
        <v>104288</v>
      </c>
      <c r="C1382" s="20" t="s">
        <v>1429</v>
      </c>
      <c r="D1382" s="19" t="s">
        <v>31</v>
      </c>
      <c r="E1382" s="21" t="str">
        <f t="shared" si="62"/>
        <v>VERIFICAR</v>
      </c>
      <c r="F1382" s="22"/>
      <c r="G1382" s="21" t="str">
        <f t="shared" si="63"/>
        <v>VERIFICAR</v>
      </c>
      <c r="H1382" s="22"/>
      <c r="I1382" s="23" t="str">
        <f t="shared" si="64"/>
        <v xml:space="preserve">COM VALOR</v>
      </c>
      <c r="J1382" s="19"/>
      <c r="L1382" s="21">
        <v>0</v>
      </c>
      <c r="M1382" s="22"/>
      <c r="N1382" s="21">
        <v>0</v>
      </c>
      <c r="O1382" s="22"/>
    </row>
    <row r="1383" ht="25.5">
      <c r="A1383" t="s">
        <v>1423</v>
      </c>
      <c r="B1383" s="19">
        <v>104283</v>
      </c>
      <c r="C1383" s="20" t="s">
        <v>1430</v>
      </c>
      <c r="D1383" s="19" t="s">
        <v>31</v>
      </c>
      <c r="E1383" s="21" t="str">
        <f t="shared" si="62"/>
        <v>VERIFICAR</v>
      </c>
      <c r="F1383" s="22"/>
      <c r="G1383" s="21" t="str">
        <f t="shared" si="63"/>
        <v>VERIFICAR</v>
      </c>
      <c r="H1383" s="22"/>
      <c r="I1383" s="23" t="str">
        <f t="shared" si="64"/>
        <v xml:space="preserve">COM VALOR</v>
      </c>
      <c r="J1383" s="19"/>
      <c r="L1383" s="21">
        <v>0</v>
      </c>
      <c r="M1383" s="22"/>
      <c r="N1383" s="21">
        <v>0</v>
      </c>
      <c r="O1383" s="22"/>
    </row>
    <row r="1384" ht="25.5">
      <c r="A1384" t="s">
        <v>1423</v>
      </c>
      <c r="B1384" s="19">
        <v>104289</v>
      </c>
      <c r="C1384" s="20" t="s">
        <v>1431</v>
      </c>
      <c r="D1384" s="19" t="s">
        <v>31</v>
      </c>
      <c r="E1384" s="21" t="str">
        <f t="shared" si="62"/>
        <v>VERIFICAR</v>
      </c>
      <c r="F1384" s="22"/>
      <c r="G1384" s="21" t="str">
        <f t="shared" si="63"/>
        <v>VERIFICAR</v>
      </c>
      <c r="H1384" s="22"/>
      <c r="I1384" s="23" t="str">
        <f t="shared" si="64"/>
        <v xml:space="preserve">COM VALOR</v>
      </c>
      <c r="J1384" s="19"/>
      <c r="L1384" s="21">
        <v>0</v>
      </c>
      <c r="M1384" s="22"/>
      <c r="N1384" s="21">
        <v>0</v>
      </c>
      <c r="O1384" s="22"/>
    </row>
    <row r="1385" ht="25.5">
      <c r="A1385" t="s">
        <v>1423</v>
      </c>
      <c r="B1385" s="19">
        <v>104284</v>
      </c>
      <c r="C1385" s="20" t="s">
        <v>1432</v>
      </c>
      <c r="D1385" s="19" t="s">
        <v>31</v>
      </c>
      <c r="E1385" s="21" t="str">
        <f t="shared" si="62"/>
        <v>VERIFICAR</v>
      </c>
      <c r="F1385" s="22"/>
      <c r="G1385" s="21" t="str">
        <f t="shared" si="63"/>
        <v>VERIFICAR</v>
      </c>
      <c r="H1385" s="22"/>
      <c r="I1385" s="23" t="str">
        <f t="shared" si="64"/>
        <v xml:space="preserve">COM VALOR</v>
      </c>
      <c r="J1385" s="19"/>
      <c r="L1385" s="21">
        <v>0</v>
      </c>
      <c r="M1385" s="22"/>
      <c r="N1385" s="21">
        <v>0</v>
      </c>
      <c r="O1385" s="22"/>
    </row>
    <row r="1386" ht="25.5">
      <c r="A1386" t="s">
        <v>1423</v>
      </c>
      <c r="B1386" s="19">
        <v>104290</v>
      </c>
      <c r="C1386" s="20" t="s">
        <v>1433</v>
      </c>
      <c r="D1386" s="19" t="s">
        <v>31</v>
      </c>
      <c r="E1386" s="21" t="str">
        <f t="shared" si="62"/>
        <v>VERIFICAR</v>
      </c>
      <c r="F1386" s="22"/>
      <c r="G1386" s="21" t="str">
        <f t="shared" si="63"/>
        <v>VERIFICAR</v>
      </c>
      <c r="H1386" s="22"/>
      <c r="I1386" s="23" t="str">
        <f t="shared" si="64"/>
        <v xml:space="preserve">COM VALOR</v>
      </c>
      <c r="J1386" s="19"/>
      <c r="L1386" s="21">
        <v>0</v>
      </c>
      <c r="M1386" s="22"/>
      <c r="N1386" s="21">
        <v>0</v>
      </c>
      <c r="O1386" s="22"/>
    </row>
    <row r="1387" ht="25.5">
      <c r="A1387" t="s">
        <v>1423</v>
      </c>
      <c r="B1387" s="19">
        <v>104285</v>
      </c>
      <c r="C1387" s="20" t="s">
        <v>1434</v>
      </c>
      <c r="D1387" s="19" t="s">
        <v>31</v>
      </c>
      <c r="E1387" s="21" t="str">
        <f t="shared" si="62"/>
        <v>VERIFICAR</v>
      </c>
      <c r="F1387" s="22"/>
      <c r="G1387" s="21" t="str">
        <f t="shared" si="63"/>
        <v>VERIFICAR</v>
      </c>
      <c r="H1387" s="22"/>
      <c r="I1387" s="23" t="str">
        <f t="shared" si="64"/>
        <v xml:space="preserve">COM VALOR</v>
      </c>
      <c r="J1387" s="19"/>
      <c r="L1387" s="21">
        <v>0</v>
      </c>
      <c r="M1387" s="22"/>
      <c r="N1387" s="21">
        <v>0</v>
      </c>
      <c r="O1387" s="22"/>
    </row>
    <row r="1388" ht="25.5">
      <c r="A1388" t="s">
        <v>1423</v>
      </c>
      <c r="B1388" s="19">
        <v>104291</v>
      </c>
      <c r="C1388" s="20" t="s">
        <v>1435</v>
      </c>
      <c r="D1388" s="19" t="s">
        <v>31</v>
      </c>
      <c r="E1388" s="21" t="str">
        <f t="shared" si="62"/>
        <v>VERIFICAR</v>
      </c>
      <c r="F1388" s="22"/>
      <c r="G1388" s="21" t="str">
        <f t="shared" si="63"/>
        <v>VERIFICAR</v>
      </c>
      <c r="H1388" s="22"/>
      <c r="I1388" s="23" t="str">
        <f t="shared" si="64"/>
        <v xml:space="preserve">COM VALOR</v>
      </c>
      <c r="J1388" s="19"/>
      <c r="L1388" s="21">
        <v>0</v>
      </c>
      <c r="M1388" s="22"/>
      <c r="N1388" s="21">
        <v>0</v>
      </c>
      <c r="O1388" s="22"/>
    </row>
    <row r="1389" ht="25.5">
      <c r="A1389" t="s">
        <v>1423</v>
      </c>
      <c r="B1389" s="19">
        <v>104267</v>
      </c>
      <c r="C1389" s="20" t="s">
        <v>1436</v>
      </c>
      <c r="D1389" s="19" t="s">
        <v>31</v>
      </c>
      <c r="E1389" s="21" t="str">
        <f t="shared" si="62"/>
        <v>VERIFICAR</v>
      </c>
      <c r="F1389" s="22"/>
      <c r="G1389" s="21" t="str">
        <f t="shared" si="63"/>
        <v>VERIFICAR</v>
      </c>
      <c r="H1389" s="22"/>
      <c r="I1389" s="23" t="str">
        <f t="shared" si="64"/>
        <v xml:space="preserve">COM VALOR</v>
      </c>
      <c r="J1389" s="19"/>
      <c r="L1389" s="21">
        <v>0</v>
      </c>
      <c r="M1389" s="22"/>
      <c r="N1389" s="21">
        <v>0</v>
      </c>
      <c r="O1389" s="22"/>
    </row>
    <row r="1390" ht="25.5">
      <c r="A1390" t="s">
        <v>1423</v>
      </c>
      <c r="B1390" s="19">
        <v>104268</v>
      </c>
      <c r="C1390" s="20" t="s">
        <v>1437</v>
      </c>
      <c r="D1390" s="19" t="s">
        <v>31</v>
      </c>
      <c r="E1390" s="21" t="str">
        <f t="shared" si="62"/>
        <v>VERIFICAR</v>
      </c>
      <c r="F1390" s="22"/>
      <c r="G1390" s="21" t="str">
        <f t="shared" si="63"/>
        <v>VERIFICAR</v>
      </c>
      <c r="H1390" s="22"/>
      <c r="I1390" s="23" t="str">
        <f t="shared" si="64"/>
        <v xml:space="preserve">COM VALOR</v>
      </c>
      <c r="J1390" s="19"/>
      <c r="L1390" s="21">
        <v>0</v>
      </c>
      <c r="M1390" s="22"/>
      <c r="N1390" s="21">
        <v>0</v>
      </c>
      <c r="O1390" s="22"/>
    </row>
    <row r="1391" ht="25.5">
      <c r="A1391" t="s">
        <v>1423</v>
      </c>
      <c r="B1391" s="19">
        <v>104269</v>
      </c>
      <c r="C1391" s="20" t="s">
        <v>1438</v>
      </c>
      <c r="D1391" s="19" t="s">
        <v>31</v>
      </c>
      <c r="E1391" s="21" t="str">
        <f t="shared" si="62"/>
        <v>VERIFICAR</v>
      </c>
      <c r="F1391" s="22"/>
      <c r="G1391" s="21" t="str">
        <f t="shared" si="63"/>
        <v>VERIFICAR</v>
      </c>
      <c r="H1391" s="22"/>
      <c r="I1391" s="23" t="str">
        <f t="shared" si="64"/>
        <v xml:space="preserve">COM VALOR</v>
      </c>
      <c r="J1391" s="19"/>
      <c r="L1391" s="21">
        <v>0</v>
      </c>
      <c r="M1391" s="22"/>
      <c r="N1391" s="21">
        <v>0</v>
      </c>
      <c r="O1391" s="22"/>
    </row>
    <row r="1392" ht="25.5">
      <c r="A1392" t="s">
        <v>1423</v>
      </c>
      <c r="B1392" s="19">
        <v>104270</v>
      </c>
      <c r="C1392" s="20" t="s">
        <v>1439</v>
      </c>
      <c r="D1392" s="19" t="s">
        <v>31</v>
      </c>
      <c r="E1392" s="21" t="str">
        <f t="shared" si="62"/>
        <v>VERIFICAR</v>
      </c>
      <c r="F1392" s="22"/>
      <c r="G1392" s="21" t="str">
        <f t="shared" si="63"/>
        <v>VERIFICAR</v>
      </c>
      <c r="H1392" s="22"/>
      <c r="I1392" s="23" t="str">
        <f t="shared" si="64"/>
        <v xml:space="preserve">COM VALOR</v>
      </c>
      <c r="J1392" s="19"/>
      <c r="L1392" s="21">
        <v>0</v>
      </c>
      <c r="M1392" s="22"/>
      <c r="N1392" s="21">
        <v>0</v>
      </c>
      <c r="O1392" s="22"/>
    </row>
    <row r="1393" ht="25.5">
      <c r="A1393" t="s">
        <v>1423</v>
      </c>
      <c r="B1393" s="19">
        <v>104276</v>
      </c>
      <c r="C1393" s="20" t="s">
        <v>1440</v>
      </c>
      <c r="D1393" s="19" t="s">
        <v>31</v>
      </c>
      <c r="E1393" s="21" t="str">
        <f t="shared" si="62"/>
        <v>VERIFICAR</v>
      </c>
      <c r="F1393" s="22"/>
      <c r="G1393" s="21" t="str">
        <f t="shared" si="63"/>
        <v>VERIFICAR</v>
      </c>
      <c r="H1393" s="22"/>
      <c r="I1393" s="23" t="str">
        <f t="shared" si="64"/>
        <v xml:space="preserve">COM VALOR</v>
      </c>
      <c r="J1393" s="19"/>
      <c r="L1393" s="21">
        <v>0</v>
      </c>
      <c r="M1393" s="22"/>
      <c r="N1393" s="21">
        <v>0</v>
      </c>
      <c r="O1393" s="22"/>
    </row>
    <row r="1394" ht="25.5">
      <c r="A1394" t="s">
        <v>1423</v>
      </c>
      <c r="B1394" s="19">
        <v>104280</v>
      </c>
      <c r="C1394" s="20" t="s">
        <v>1441</v>
      </c>
      <c r="D1394" s="19" t="s">
        <v>31</v>
      </c>
      <c r="E1394" s="21" t="str">
        <f t="shared" si="62"/>
        <v>VERIFICAR</v>
      </c>
      <c r="F1394" s="22"/>
      <c r="G1394" s="21" t="str">
        <f t="shared" si="63"/>
        <v>VERIFICAR</v>
      </c>
      <c r="H1394" s="22"/>
      <c r="I1394" s="23" t="str">
        <f t="shared" si="64"/>
        <v xml:space="preserve">COM VALOR</v>
      </c>
      <c r="J1394" s="19"/>
      <c r="L1394" s="21">
        <v>0</v>
      </c>
      <c r="M1394" s="22"/>
      <c r="N1394" s="21">
        <v>0</v>
      </c>
      <c r="O1394" s="22"/>
    </row>
    <row r="1395" ht="25.5">
      <c r="A1395" t="s">
        <v>1423</v>
      </c>
      <c r="B1395" s="19">
        <v>104271</v>
      </c>
      <c r="C1395" s="20" t="s">
        <v>1442</v>
      </c>
      <c r="D1395" s="19" t="s">
        <v>31</v>
      </c>
      <c r="E1395" s="21" t="str">
        <f t="shared" si="62"/>
        <v>VERIFICAR</v>
      </c>
      <c r="F1395" s="22"/>
      <c r="G1395" s="21" t="str">
        <f t="shared" si="63"/>
        <v>VERIFICAR</v>
      </c>
      <c r="H1395" s="22"/>
      <c r="I1395" s="23" t="str">
        <f t="shared" si="64"/>
        <v xml:space="preserve">COM VALOR</v>
      </c>
      <c r="J1395" s="19"/>
      <c r="L1395" s="21">
        <v>0</v>
      </c>
      <c r="M1395" s="22"/>
      <c r="N1395" s="21">
        <v>0</v>
      </c>
      <c r="O1395" s="22"/>
    </row>
    <row r="1396" ht="25.5">
      <c r="A1396" t="s">
        <v>1423</v>
      </c>
      <c r="B1396" s="19">
        <v>104272</v>
      </c>
      <c r="C1396" s="20" t="s">
        <v>1443</v>
      </c>
      <c r="D1396" s="19" t="s">
        <v>31</v>
      </c>
      <c r="E1396" s="21" t="str">
        <f t="shared" si="62"/>
        <v>VERIFICAR</v>
      </c>
      <c r="F1396" s="22"/>
      <c r="G1396" s="21" t="str">
        <f t="shared" si="63"/>
        <v>VERIFICAR</v>
      </c>
      <c r="H1396" s="22"/>
      <c r="I1396" s="23" t="str">
        <f t="shared" si="64"/>
        <v xml:space="preserve">COM VALOR</v>
      </c>
      <c r="J1396" s="19"/>
      <c r="L1396" s="21">
        <v>0</v>
      </c>
      <c r="M1396" s="22"/>
      <c r="N1396" s="21">
        <v>0</v>
      </c>
      <c r="O1396" s="22"/>
    </row>
    <row r="1397" ht="25.5">
      <c r="A1397" t="s">
        <v>1423</v>
      </c>
      <c r="B1397" s="19">
        <v>104273</v>
      </c>
      <c r="C1397" s="20" t="s">
        <v>1444</v>
      </c>
      <c r="D1397" s="19" t="s">
        <v>31</v>
      </c>
      <c r="E1397" s="21" t="str">
        <f t="shared" si="62"/>
        <v>VERIFICAR</v>
      </c>
      <c r="F1397" s="22">
        <v>5.0000000000000003e-002</v>
      </c>
      <c r="G1397" s="21" t="str">
        <f t="shared" si="63"/>
        <v>VERIFICAR</v>
      </c>
      <c r="H1397" s="22">
        <v>5.0000000000000003e-002</v>
      </c>
      <c r="I1397" s="23" t="str">
        <f t="shared" si="64"/>
        <v xml:space="preserve">COM VALOR</v>
      </c>
      <c r="J1397" s="19"/>
      <c r="L1397" s="21">
        <v>0</v>
      </c>
      <c r="M1397" s="22"/>
      <c r="N1397" s="21">
        <v>0</v>
      </c>
      <c r="O1397" s="22"/>
    </row>
    <row r="1398" ht="25.5">
      <c r="A1398" t="s">
        <v>1423</v>
      </c>
      <c r="B1398" s="19">
        <v>104277</v>
      </c>
      <c r="C1398" s="20" t="s">
        <v>1445</v>
      </c>
      <c r="D1398" s="19" t="s">
        <v>31</v>
      </c>
      <c r="E1398" s="21" t="str">
        <f t="shared" si="62"/>
        <v>VERIFICAR</v>
      </c>
      <c r="F1398" s="22">
        <v>5.0000000000000003e-002</v>
      </c>
      <c r="G1398" s="21" t="str">
        <f t="shared" si="63"/>
        <v>VERIFICAR</v>
      </c>
      <c r="H1398" s="22">
        <v>5.0000000000000003e-002</v>
      </c>
      <c r="I1398" s="23" t="str">
        <f t="shared" si="64"/>
        <v xml:space="preserve">COM VALOR</v>
      </c>
      <c r="J1398" s="19"/>
      <c r="L1398" s="21">
        <v>0</v>
      </c>
      <c r="M1398" s="22"/>
      <c r="N1398" s="21">
        <v>0</v>
      </c>
      <c r="O1398" s="22"/>
    </row>
    <row r="1399" ht="25.5">
      <c r="A1399" t="s">
        <v>1423</v>
      </c>
      <c r="B1399" s="19">
        <v>104274</v>
      </c>
      <c r="C1399" s="20" t="s">
        <v>1446</v>
      </c>
      <c r="D1399" s="19" t="s">
        <v>31</v>
      </c>
      <c r="E1399" s="21" t="str">
        <f t="shared" si="62"/>
        <v>VERIFICAR</v>
      </c>
      <c r="F1399" s="22">
        <v>4.0000000000000001e-002</v>
      </c>
      <c r="G1399" s="21" t="str">
        <f t="shared" si="63"/>
        <v>VERIFICAR</v>
      </c>
      <c r="H1399" s="22">
        <v>4.0000000000000001e-002</v>
      </c>
      <c r="I1399" s="23" t="str">
        <f t="shared" si="64"/>
        <v xml:space="preserve">COM VALOR</v>
      </c>
      <c r="J1399" s="19"/>
      <c r="L1399" s="21">
        <v>0</v>
      </c>
      <c r="M1399" s="22"/>
      <c r="N1399" s="21">
        <v>0</v>
      </c>
      <c r="O1399" s="22"/>
    </row>
    <row r="1400" ht="25.5">
      <c r="A1400" t="s">
        <v>1423</v>
      </c>
      <c r="B1400" s="19">
        <v>104278</v>
      </c>
      <c r="C1400" s="20" t="s">
        <v>1447</v>
      </c>
      <c r="D1400" s="19" t="s">
        <v>31</v>
      </c>
      <c r="E1400" s="21" t="str">
        <f t="shared" si="62"/>
        <v>VERIFICAR</v>
      </c>
      <c r="F1400" s="22">
        <v>5.9999999999999998e-002</v>
      </c>
      <c r="G1400" s="21" t="str">
        <f t="shared" si="63"/>
        <v>VERIFICAR</v>
      </c>
      <c r="H1400" s="22">
        <v>5.9999999999999998e-002</v>
      </c>
      <c r="I1400" s="23" t="str">
        <f t="shared" si="64"/>
        <v xml:space="preserve">COM VALOR</v>
      </c>
      <c r="J1400" s="19"/>
      <c r="L1400" s="21">
        <v>0</v>
      </c>
      <c r="M1400" s="22"/>
      <c r="N1400" s="21">
        <v>0</v>
      </c>
      <c r="O1400" s="22"/>
    </row>
    <row r="1401" ht="25.5">
      <c r="A1401" t="s">
        <v>1423</v>
      </c>
      <c r="B1401" s="19">
        <v>104275</v>
      </c>
      <c r="C1401" s="20" t="s">
        <v>1448</v>
      </c>
      <c r="D1401" s="19" t="s">
        <v>31</v>
      </c>
      <c r="E1401" s="21" t="str">
        <f t="shared" si="62"/>
        <v>VERIFICAR</v>
      </c>
      <c r="F1401" s="22">
        <v>5.0000000000000003e-002</v>
      </c>
      <c r="G1401" s="21" t="str">
        <f t="shared" si="63"/>
        <v>VERIFICAR</v>
      </c>
      <c r="H1401" s="22">
        <v>5.0000000000000003e-002</v>
      </c>
      <c r="I1401" s="23" t="str">
        <f t="shared" si="64"/>
        <v xml:space="preserve">COM VALOR</v>
      </c>
      <c r="J1401" s="19"/>
      <c r="L1401" s="21">
        <v>0</v>
      </c>
      <c r="M1401" s="22"/>
      <c r="N1401" s="21">
        <v>0</v>
      </c>
      <c r="O1401" s="22"/>
    </row>
    <row r="1402" ht="25.5">
      <c r="A1402" t="s">
        <v>1423</v>
      </c>
      <c r="B1402" s="19">
        <v>104279</v>
      </c>
      <c r="C1402" s="20" t="s">
        <v>1449</v>
      </c>
      <c r="D1402" s="19" t="s">
        <v>31</v>
      </c>
      <c r="E1402" s="21" t="str">
        <f t="shared" si="62"/>
        <v>VERIFICAR</v>
      </c>
      <c r="F1402" s="22">
        <v>5.0000000000000003e-002</v>
      </c>
      <c r="G1402" s="21" t="str">
        <f t="shared" si="63"/>
        <v>VERIFICAR</v>
      </c>
      <c r="H1402" s="22">
        <v>5.0000000000000003e-002</v>
      </c>
      <c r="I1402" s="23" t="str">
        <f t="shared" si="64"/>
        <v xml:space="preserve">COM VALOR</v>
      </c>
      <c r="J1402" s="19"/>
      <c r="L1402" s="21">
        <v>0</v>
      </c>
      <c r="M1402" s="22"/>
      <c r="N1402" s="21">
        <v>0</v>
      </c>
      <c r="O1402" s="22"/>
    </row>
    <row r="1403" ht="25.5">
      <c r="A1403" t="s">
        <v>1423</v>
      </c>
      <c r="B1403" s="19">
        <v>104265</v>
      </c>
      <c r="C1403" s="20" t="s">
        <v>1450</v>
      </c>
      <c r="D1403" s="19" t="s">
        <v>31</v>
      </c>
      <c r="E1403" s="21" t="str">
        <f t="shared" si="62"/>
        <v>VERIFICAR</v>
      </c>
      <c r="F1403" s="22">
        <v>0.11</v>
      </c>
      <c r="G1403" s="21" t="str">
        <f t="shared" si="63"/>
        <v>VERIFICAR</v>
      </c>
      <c r="H1403" s="22">
        <v>0.12</v>
      </c>
      <c r="I1403" s="23" t="str">
        <f t="shared" si="64"/>
        <v xml:space="preserve">COM VALOR</v>
      </c>
      <c r="J1403" s="19"/>
      <c r="L1403" s="21">
        <v>0</v>
      </c>
      <c r="M1403" s="22"/>
      <c r="N1403" s="21">
        <v>0</v>
      </c>
      <c r="O1403" s="22"/>
    </row>
    <row r="1404" ht="25.5">
      <c r="A1404" t="s">
        <v>1423</v>
      </c>
      <c r="B1404" s="19">
        <v>104266</v>
      </c>
      <c r="C1404" s="20" t="s">
        <v>1451</v>
      </c>
      <c r="D1404" s="19" t="s">
        <v>31</v>
      </c>
      <c r="E1404" s="21" t="str">
        <f t="shared" si="62"/>
        <v>VERIFICAR</v>
      </c>
      <c r="F1404" s="22">
        <v>0.11</v>
      </c>
      <c r="G1404" s="21" t="str">
        <f t="shared" si="63"/>
        <v>VERIFICAR</v>
      </c>
      <c r="H1404" s="22">
        <v>0.11</v>
      </c>
      <c r="I1404" s="23" t="str">
        <f t="shared" si="64"/>
        <v xml:space="preserve">COM VALOR</v>
      </c>
      <c r="J1404" s="19"/>
      <c r="L1404" s="21">
        <v>0</v>
      </c>
      <c r="M1404" s="22"/>
      <c r="N1404" s="21">
        <v>0</v>
      </c>
      <c r="O1404" s="22"/>
    </row>
    <row r="1405" ht="38.25">
      <c r="A1405" t="s">
        <v>1423</v>
      </c>
      <c r="B1405" s="19">
        <v>104305</v>
      </c>
      <c r="C1405" s="20" t="s">
        <v>1452</v>
      </c>
      <c r="D1405" s="19" t="s">
        <v>38</v>
      </c>
      <c r="E1405" s="21" t="str">
        <f t="shared" si="62"/>
        <v>VERIFICAR</v>
      </c>
      <c r="F1405" s="22">
        <v>0.10000000000000001</v>
      </c>
      <c r="G1405" s="21" t="str">
        <f t="shared" si="63"/>
        <v>VERIFICAR</v>
      </c>
      <c r="H1405" s="22">
        <v>0.10000000000000001</v>
      </c>
      <c r="I1405" s="23" t="str">
        <f t="shared" si="64"/>
        <v xml:space="preserve">COM VALOR</v>
      </c>
      <c r="J1405" s="19"/>
      <c r="L1405" s="21">
        <v>0</v>
      </c>
      <c r="M1405" s="22"/>
      <c r="N1405" s="21">
        <v>0</v>
      </c>
      <c r="O1405" s="22"/>
    </row>
    <row r="1406" ht="38.25">
      <c r="A1406" t="s">
        <v>1423</v>
      </c>
      <c r="B1406" s="19">
        <v>104306</v>
      </c>
      <c r="C1406" s="20" t="s">
        <v>1453</v>
      </c>
      <c r="D1406" s="19" t="s">
        <v>38</v>
      </c>
      <c r="E1406" s="21" t="str">
        <f t="shared" si="62"/>
        <v>VERIFICAR</v>
      </c>
      <c r="F1406" s="22">
        <v>0.12</v>
      </c>
      <c r="G1406" s="21" t="str">
        <f t="shared" si="63"/>
        <v>VERIFICAR</v>
      </c>
      <c r="H1406" s="22">
        <v>0.13</v>
      </c>
      <c r="I1406" s="23" t="str">
        <f t="shared" si="64"/>
        <v xml:space="preserve">COM VALOR</v>
      </c>
      <c r="J1406" s="19"/>
      <c r="L1406" s="21">
        <v>0</v>
      </c>
      <c r="M1406" s="22"/>
      <c r="N1406" s="21">
        <v>0</v>
      </c>
      <c r="O1406" s="22"/>
    </row>
    <row r="1407" ht="38.25">
      <c r="A1407" t="s">
        <v>1423</v>
      </c>
      <c r="B1407" s="19">
        <v>104307</v>
      </c>
      <c r="C1407" s="20" t="s">
        <v>1454</v>
      </c>
      <c r="D1407" s="19" t="s">
        <v>38</v>
      </c>
      <c r="E1407" s="21" t="str">
        <f t="shared" si="62"/>
        <v>VERIFICAR</v>
      </c>
      <c r="F1407" s="22">
        <v>0.12</v>
      </c>
      <c r="G1407" s="21" t="str">
        <f t="shared" si="63"/>
        <v>VERIFICAR</v>
      </c>
      <c r="H1407" s="22">
        <v>0.12</v>
      </c>
      <c r="I1407" s="23" t="str">
        <f t="shared" si="64"/>
        <v xml:space="preserve">COM VALOR</v>
      </c>
      <c r="J1407" s="19"/>
      <c r="L1407" s="21">
        <v>0</v>
      </c>
      <c r="M1407" s="22"/>
      <c r="N1407" s="21">
        <v>0</v>
      </c>
      <c r="O1407" s="22"/>
    </row>
    <row r="1408" ht="38.25">
      <c r="A1408" t="s">
        <v>1423</v>
      </c>
      <c r="B1408" s="19">
        <v>104308</v>
      </c>
      <c r="C1408" s="20" t="s">
        <v>1455</v>
      </c>
      <c r="D1408" s="19" t="s">
        <v>38</v>
      </c>
      <c r="E1408" s="21" t="str">
        <f t="shared" si="62"/>
        <v>VERIFICAR</v>
      </c>
      <c r="F1408" s="22">
        <v>0.10000000000000001</v>
      </c>
      <c r="G1408" s="21" t="str">
        <f t="shared" si="63"/>
        <v>VERIFICAR</v>
      </c>
      <c r="H1408" s="22">
        <v>0.11</v>
      </c>
      <c r="I1408" s="23" t="str">
        <f t="shared" si="64"/>
        <v xml:space="preserve">COM VALOR</v>
      </c>
      <c r="J1408" s="19"/>
      <c r="L1408" s="21">
        <v>0</v>
      </c>
      <c r="M1408" s="22"/>
      <c r="N1408" s="21">
        <v>0</v>
      </c>
      <c r="O1408" s="22"/>
    </row>
    <row r="1409" ht="38.25">
      <c r="A1409" t="s">
        <v>1423</v>
      </c>
      <c r="B1409" s="19">
        <v>104309</v>
      </c>
      <c r="C1409" s="20" t="s">
        <v>1456</v>
      </c>
      <c r="D1409" s="19" t="s">
        <v>38</v>
      </c>
      <c r="E1409" s="21" t="str">
        <f t="shared" si="62"/>
        <v>VERIFICAR</v>
      </c>
      <c r="F1409" s="22">
        <v>0.12</v>
      </c>
      <c r="G1409" s="21" t="str">
        <f t="shared" si="63"/>
        <v>VERIFICAR</v>
      </c>
      <c r="H1409" s="22">
        <v>0.12</v>
      </c>
      <c r="I1409" s="23" t="str">
        <f t="shared" si="64"/>
        <v xml:space="preserve">COM VALOR</v>
      </c>
      <c r="J1409" s="19"/>
      <c r="L1409" s="21">
        <v>0</v>
      </c>
      <c r="M1409" s="22"/>
      <c r="N1409" s="21">
        <v>0</v>
      </c>
      <c r="O1409" s="22"/>
    </row>
    <row r="1410" ht="38.25">
      <c r="A1410" t="s">
        <v>1423</v>
      </c>
      <c r="B1410" s="19">
        <v>104310</v>
      </c>
      <c r="C1410" s="20" t="s">
        <v>1457</v>
      </c>
      <c r="D1410" s="19" t="s">
        <v>38</v>
      </c>
      <c r="E1410" s="21" t="str">
        <f t="shared" si="62"/>
        <v>VERIFICAR</v>
      </c>
      <c r="F1410" s="22">
        <v>8.9999999999999997e-002</v>
      </c>
      <c r="G1410" s="21" t="str">
        <f t="shared" si="63"/>
        <v>VERIFICAR</v>
      </c>
      <c r="H1410" s="22">
        <v>8.9999999999999997e-002</v>
      </c>
      <c r="I1410" s="23" t="str">
        <f t="shared" si="64"/>
        <v xml:space="preserve">COM VALOR</v>
      </c>
      <c r="J1410" s="19"/>
      <c r="L1410" s="21">
        <v>0</v>
      </c>
      <c r="M1410" s="22"/>
      <c r="N1410" s="21">
        <v>0</v>
      </c>
      <c r="O1410" s="22"/>
    </row>
    <row r="1411" ht="38.25">
      <c r="A1411" t="s">
        <v>1423</v>
      </c>
      <c r="B1411" s="19">
        <v>104311</v>
      </c>
      <c r="C1411" s="20" t="s">
        <v>1458</v>
      </c>
      <c r="D1411" s="19" t="s">
        <v>38</v>
      </c>
      <c r="E1411" s="21" t="str">
        <f t="shared" si="62"/>
        <v>VERIFICAR</v>
      </c>
      <c r="F1411" s="22">
        <v>7.0000000000000007e-002</v>
      </c>
      <c r="G1411" s="21" t="str">
        <f t="shared" si="63"/>
        <v>VERIFICAR</v>
      </c>
      <c r="H1411" s="22">
        <v>7.0000000000000007e-002</v>
      </c>
      <c r="I1411" s="23" t="str">
        <f t="shared" si="64"/>
        <v xml:space="preserve">COM VALOR</v>
      </c>
      <c r="J1411" s="19"/>
      <c r="L1411" s="21">
        <v>0</v>
      </c>
      <c r="M1411" s="22"/>
      <c r="N1411" s="21">
        <v>0</v>
      </c>
      <c r="O1411" s="22"/>
    </row>
    <row r="1412" ht="38.25">
      <c r="A1412" t="s">
        <v>1423</v>
      </c>
      <c r="B1412" s="19">
        <v>104301</v>
      </c>
      <c r="C1412" s="20" t="s">
        <v>1459</v>
      </c>
      <c r="D1412" s="19" t="s">
        <v>302</v>
      </c>
      <c r="E1412" s="21" t="str">
        <f t="shared" si="62"/>
        <v>VERIFICAR</v>
      </c>
      <c r="F1412" s="22">
        <v>0</v>
      </c>
      <c r="G1412" s="21" t="str">
        <f t="shared" si="63"/>
        <v>VERIFICAR</v>
      </c>
      <c r="H1412" s="22">
        <v>0</v>
      </c>
      <c r="I1412" s="23" t="str">
        <f t="shared" si="64"/>
        <v xml:space="preserve">COM VALOR</v>
      </c>
      <c r="J1412" s="19"/>
      <c r="L1412" s="21">
        <v>0</v>
      </c>
      <c r="M1412" s="22"/>
      <c r="N1412" s="21">
        <v>0</v>
      </c>
      <c r="O1412" s="22"/>
    </row>
    <row r="1413" ht="38.25">
      <c r="A1413" t="s">
        <v>1423</v>
      </c>
      <c r="B1413" s="19">
        <v>104302</v>
      </c>
      <c r="C1413" s="20" t="s">
        <v>1460</v>
      </c>
      <c r="D1413" s="19" t="s">
        <v>302</v>
      </c>
      <c r="E1413" s="21" t="str">
        <f t="shared" si="62"/>
        <v>VERIFICAR</v>
      </c>
      <c r="F1413" s="22">
        <v>0</v>
      </c>
      <c r="G1413" s="21" t="str">
        <f t="shared" si="63"/>
        <v>VERIFICAR</v>
      </c>
      <c r="H1413" s="22">
        <v>0</v>
      </c>
      <c r="I1413" s="23" t="str">
        <f t="shared" si="64"/>
        <v xml:space="preserve">COM VALOR</v>
      </c>
      <c r="J1413" s="19"/>
      <c r="L1413" s="21">
        <v>0</v>
      </c>
      <c r="M1413" s="22"/>
      <c r="N1413" s="21">
        <v>0</v>
      </c>
      <c r="O1413" s="22"/>
    </row>
    <row r="1414" ht="38.25">
      <c r="A1414" t="s">
        <v>1423</v>
      </c>
      <c r="B1414" s="19">
        <v>104303</v>
      </c>
      <c r="C1414" s="20" t="s">
        <v>1461</v>
      </c>
      <c r="D1414" s="19" t="s">
        <v>302</v>
      </c>
      <c r="E1414" s="21" t="str">
        <f t="shared" si="62"/>
        <v>VERIFICAR</v>
      </c>
      <c r="F1414" s="22">
        <v>0</v>
      </c>
      <c r="G1414" s="21" t="str">
        <f t="shared" si="63"/>
        <v>VERIFICAR</v>
      </c>
      <c r="H1414" s="22">
        <v>0</v>
      </c>
      <c r="I1414" s="23" t="str">
        <f t="shared" si="64"/>
        <v xml:space="preserve">COM VALOR</v>
      </c>
      <c r="J1414" s="19"/>
      <c r="L1414" s="21">
        <v>0</v>
      </c>
      <c r="M1414" s="22"/>
      <c r="N1414" s="21">
        <v>0</v>
      </c>
      <c r="O1414" s="22"/>
    </row>
    <row r="1415" ht="38.25">
      <c r="A1415" t="s">
        <v>1423</v>
      </c>
      <c r="B1415" s="19">
        <v>104304</v>
      </c>
      <c r="C1415" s="20" t="s">
        <v>1462</v>
      </c>
      <c r="D1415" s="19" t="s">
        <v>302</v>
      </c>
      <c r="E1415" s="21" t="str">
        <f t="shared" si="62"/>
        <v>VERIFICAR</v>
      </c>
      <c r="F1415" s="22">
        <v>0</v>
      </c>
      <c r="G1415" s="21" t="str">
        <f t="shared" si="63"/>
        <v>VERIFICAR</v>
      </c>
      <c r="H1415" s="22">
        <v>0</v>
      </c>
      <c r="I1415" s="23" t="str">
        <f t="shared" si="64"/>
        <v xml:space="preserve">COM VALOR</v>
      </c>
      <c r="J1415" s="19"/>
      <c r="L1415" s="21">
        <v>0</v>
      </c>
      <c r="M1415" s="22"/>
      <c r="N1415" s="21">
        <v>0</v>
      </c>
      <c r="O1415" s="22"/>
    </row>
    <row r="1416" ht="38.25">
      <c r="A1416" t="s">
        <v>1423</v>
      </c>
      <c r="B1416" s="19">
        <v>104293</v>
      </c>
      <c r="C1416" s="20" t="s">
        <v>1463</v>
      </c>
      <c r="D1416" s="19" t="s">
        <v>302</v>
      </c>
      <c r="E1416" s="21" t="str">
        <f t="shared" si="62"/>
        <v>VERIFICAR</v>
      </c>
      <c r="F1416" s="22">
        <v>0</v>
      </c>
      <c r="G1416" s="21" t="str">
        <f t="shared" si="63"/>
        <v>VERIFICAR</v>
      </c>
      <c r="H1416" s="22">
        <v>0</v>
      </c>
      <c r="I1416" s="23" t="str">
        <f t="shared" si="64"/>
        <v xml:space="preserve">COM VALOR</v>
      </c>
      <c r="J1416" s="19"/>
      <c r="L1416" s="21">
        <v>0</v>
      </c>
      <c r="M1416" s="22"/>
      <c r="N1416" s="21">
        <v>0</v>
      </c>
      <c r="O1416" s="22"/>
    </row>
    <row r="1417" ht="38.25">
      <c r="A1417" t="s">
        <v>1423</v>
      </c>
      <c r="B1417" s="19">
        <v>104297</v>
      </c>
      <c r="C1417" s="20" t="s">
        <v>1464</v>
      </c>
      <c r="D1417" s="19" t="s">
        <v>302</v>
      </c>
      <c r="E1417" s="21" t="str">
        <f t="shared" si="62"/>
        <v>VERIFICAR</v>
      </c>
      <c r="F1417" s="22">
        <v>2.9999999999999999e-002</v>
      </c>
      <c r="G1417" s="21" t="str">
        <f t="shared" si="63"/>
        <v>VERIFICAR</v>
      </c>
      <c r="H1417" s="22">
        <v>2.9999999999999999e-002</v>
      </c>
      <c r="I1417" s="23" t="str">
        <f t="shared" si="64"/>
        <v xml:space="preserve">COM VALOR</v>
      </c>
      <c r="J1417" s="19"/>
      <c r="L1417" s="21">
        <v>0</v>
      </c>
      <c r="M1417" s="22"/>
      <c r="N1417" s="21">
        <v>0</v>
      </c>
      <c r="O1417" s="22"/>
    </row>
    <row r="1418" ht="38.25">
      <c r="A1418" t="s">
        <v>1423</v>
      </c>
      <c r="B1418" s="19">
        <v>104295</v>
      </c>
      <c r="C1418" s="20" t="s">
        <v>1465</v>
      </c>
      <c r="D1418" s="19" t="s">
        <v>302</v>
      </c>
      <c r="E1418" s="21" t="str">
        <f t="shared" si="62"/>
        <v>VERIFICAR</v>
      </c>
      <c r="F1418" s="22">
        <v>2.e-002</v>
      </c>
      <c r="G1418" s="21" t="str">
        <f t="shared" si="63"/>
        <v>VERIFICAR</v>
      </c>
      <c r="H1418" s="22">
        <v>2.9999999999999999e-002</v>
      </c>
      <c r="I1418" s="23" t="str">
        <f t="shared" si="64"/>
        <v xml:space="preserve">COM VALOR</v>
      </c>
      <c r="J1418" s="19"/>
      <c r="L1418" s="21">
        <v>0</v>
      </c>
      <c r="M1418" s="22"/>
      <c r="N1418" s="21">
        <v>0</v>
      </c>
      <c r="O1418" s="22"/>
    </row>
    <row r="1419" ht="38.25">
      <c r="A1419" t="s">
        <v>1423</v>
      </c>
      <c r="B1419" s="19">
        <v>104299</v>
      </c>
      <c r="C1419" s="20" t="s">
        <v>1466</v>
      </c>
      <c r="D1419" s="19" t="s">
        <v>302</v>
      </c>
      <c r="E1419" s="21" t="str">
        <f t="shared" ref="E1419:E1482" si="65">IF(L1419=0,"VERIFICAR",L1419)</f>
        <v>VERIFICAR</v>
      </c>
      <c r="F1419" s="22">
        <v>4.0000000000000001e-002</v>
      </c>
      <c r="G1419" s="21" t="str">
        <f t="shared" ref="G1419:G1482" si="66">IF(N1419=0,"VERIFICAR",N1419)</f>
        <v>VERIFICAR</v>
      </c>
      <c r="H1419" s="22">
        <v>4.0000000000000001e-002</v>
      </c>
      <c r="I1419" s="23" t="str">
        <f t="shared" ref="I1419:I1482" si="67">IF(OR(E1419=0,G1419=0),"SEM VALOR","COM VALOR")</f>
        <v xml:space="preserve">COM VALOR</v>
      </c>
      <c r="J1419" s="19"/>
      <c r="L1419" s="21">
        <v>0</v>
      </c>
      <c r="M1419" s="22"/>
      <c r="N1419" s="21">
        <v>0</v>
      </c>
      <c r="O1419" s="22"/>
    </row>
    <row r="1420" ht="38.25">
      <c r="A1420" t="s">
        <v>1423</v>
      </c>
      <c r="B1420" s="19">
        <v>104294</v>
      </c>
      <c r="C1420" s="20" t="s">
        <v>1467</v>
      </c>
      <c r="D1420" s="19" t="s">
        <v>302</v>
      </c>
      <c r="E1420" s="21" t="str">
        <f t="shared" si="65"/>
        <v>VERIFICAR</v>
      </c>
      <c r="F1420" s="22">
        <v>2.9999999999999999e-002</v>
      </c>
      <c r="G1420" s="21" t="str">
        <f t="shared" si="66"/>
        <v>VERIFICAR</v>
      </c>
      <c r="H1420" s="22">
        <v>2.9999999999999999e-002</v>
      </c>
      <c r="I1420" s="23" t="str">
        <f t="shared" si="67"/>
        <v xml:space="preserve">COM VALOR</v>
      </c>
      <c r="J1420" s="19"/>
      <c r="L1420" s="21">
        <v>0</v>
      </c>
      <c r="M1420" s="22"/>
      <c r="N1420" s="21">
        <v>0</v>
      </c>
      <c r="O1420" s="22"/>
    </row>
    <row r="1421" ht="38.25">
      <c r="A1421" t="s">
        <v>1423</v>
      </c>
      <c r="B1421" s="19">
        <v>104298</v>
      </c>
      <c r="C1421" s="20" t="s">
        <v>1468</v>
      </c>
      <c r="D1421" s="19" t="s">
        <v>302</v>
      </c>
      <c r="E1421" s="21" t="str">
        <f t="shared" si="65"/>
        <v>VERIFICAR</v>
      </c>
      <c r="F1421" s="22">
        <v>2.e-002</v>
      </c>
      <c r="G1421" s="21" t="str">
        <f t="shared" si="66"/>
        <v>VERIFICAR</v>
      </c>
      <c r="H1421" s="22">
        <v>2.e-002</v>
      </c>
      <c r="I1421" s="23" t="str">
        <f t="shared" si="67"/>
        <v xml:space="preserve">COM VALOR</v>
      </c>
      <c r="J1421" s="19"/>
      <c r="L1421" s="21">
        <v>0</v>
      </c>
      <c r="M1421" s="22"/>
      <c r="N1421" s="21">
        <v>0</v>
      </c>
      <c r="O1421" s="22"/>
    </row>
    <row r="1422" ht="38.25">
      <c r="A1422" t="s">
        <v>1423</v>
      </c>
      <c r="B1422" s="19">
        <v>104296</v>
      </c>
      <c r="C1422" s="20" t="s">
        <v>1469</v>
      </c>
      <c r="D1422" s="19" t="s">
        <v>302</v>
      </c>
      <c r="E1422" s="21" t="str">
        <f t="shared" si="65"/>
        <v>VERIFICAR</v>
      </c>
      <c r="F1422" s="22">
        <v>0</v>
      </c>
      <c r="G1422" s="21" t="str">
        <f t="shared" si="66"/>
        <v>VERIFICAR</v>
      </c>
      <c r="H1422" s="22">
        <v>0</v>
      </c>
      <c r="I1422" s="23" t="str">
        <f t="shared" si="67"/>
        <v xml:space="preserve">COM VALOR</v>
      </c>
      <c r="J1422" s="19"/>
      <c r="L1422" s="21">
        <v>0</v>
      </c>
      <c r="M1422" s="22"/>
      <c r="N1422" s="21">
        <v>0</v>
      </c>
      <c r="O1422" s="22"/>
    </row>
    <row r="1423" ht="38.25">
      <c r="A1423" t="s">
        <v>1423</v>
      </c>
      <c r="B1423" s="19">
        <v>104300</v>
      </c>
      <c r="C1423" s="20" t="s">
        <v>1470</v>
      </c>
      <c r="D1423" s="19" t="s">
        <v>302</v>
      </c>
      <c r="E1423" s="21" t="str">
        <f t="shared" si="65"/>
        <v>VERIFICAR</v>
      </c>
      <c r="F1423" s="22">
        <v>0</v>
      </c>
      <c r="G1423" s="21" t="str">
        <f t="shared" si="66"/>
        <v>VERIFICAR</v>
      </c>
      <c r="H1423" s="22">
        <v>0</v>
      </c>
      <c r="I1423" s="23" t="str">
        <f t="shared" si="67"/>
        <v xml:space="preserve">COM VALOR</v>
      </c>
      <c r="J1423" s="19"/>
      <c r="L1423" s="21">
        <v>0</v>
      </c>
      <c r="M1423" s="22"/>
      <c r="N1423" s="21">
        <v>0</v>
      </c>
      <c r="O1423" s="22"/>
    </row>
    <row r="1424" ht="38.25">
      <c r="A1424" t="s">
        <v>1471</v>
      </c>
      <c r="B1424" s="19">
        <v>90944</v>
      </c>
      <c r="C1424" s="20" t="s">
        <v>1472</v>
      </c>
      <c r="D1424" s="19" t="s">
        <v>29</v>
      </c>
      <c r="E1424" s="21">
        <f t="shared" si="65"/>
        <v>220.09</v>
      </c>
      <c r="F1424" s="22">
        <v>0</v>
      </c>
      <c r="G1424" s="21">
        <f t="shared" si="66"/>
        <v>217.88</v>
      </c>
      <c r="H1424" s="22">
        <v>0</v>
      </c>
      <c r="I1424" s="23" t="str">
        <f t="shared" si="67"/>
        <v xml:space="preserve">COM VALOR</v>
      </c>
      <c r="J1424" s="19"/>
      <c r="L1424" s="21">
        <v>220.09</v>
      </c>
      <c r="M1424" s="22">
        <v>4.0000000000000001e-002</v>
      </c>
      <c r="N1424" s="21">
        <v>217.88</v>
      </c>
      <c r="O1424" s="22">
        <v>4.0000000000000001e-002</v>
      </c>
    </row>
    <row r="1425" ht="38.25">
      <c r="A1425" t="s">
        <v>1471</v>
      </c>
      <c r="B1425" s="19">
        <v>90934</v>
      </c>
      <c r="C1425" s="20" t="s">
        <v>1473</v>
      </c>
      <c r="D1425" s="19" t="s">
        <v>29</v>
      </c>
      <c r="E1425" s="21">
        <f t="shared" si="65"/>
        <v>203.66</v>
      </c>
      <c r="F1425" s="22">
        <v>0</v>
      </c>
      <c r="G1425" s="21">
        <f t="shared" si="66"/>
        <v>201.66</v>
      </c>
      <c r="H1425" s="22">
        <v>0</v>
      </c>
      <c r="I1425" s="23" t="str">
        <f t="shared" si="67"/>
        <v xml:space="preserve">COM VALOR</v>
      </c>
      <c r="J1425" s="19"/>
      <c r="L1425" s="21">
        <v>203.66</v>
      </c>
      <c r="M1425" s="22">
        <v>5.0000000000000003e-002</v>
      </c>
      <c r="N1425" s="21">
        <v>201.66</v>
      </c>
      <c r="O1425" s="22">
        <v>5.0000000000000003e-002</v>
      </c>
    </row>
    <row r="1426" ht="38.25">
      <c r="A1426" t="s">
        <v>1471</v>
      </c>
      <c r="B1426" s="19">
        <v>90954</v>
      </c>
      <c r="C1426" s="20" t="s">
        <v>1474</v>
      </c>
      <c r="D1426" s="19" t="s">
        <v>29</v>
      </c>
      <c r="E1426" s="21">
        <f t="shared" si="65"/>
        <v>250.18000000000001</v>
      </c>
      <c r="F1426" s="22">
        <v>0</v>
      </c>
      <c r="G1426" s="21">
        <f t="shared" si="66"/>
        <v>247.61000000000001</v>
      </c>
      <c r="H1426" s="22">
        <v>0</v>
      </c>
      <c r="I1426" s="23" t="str">
        <f t="shared" si="67"/>
        <v xml:space="preserve">COM VALOR</v>
      </c>
      <c r="J1426" s="19"/>
      <c r="L1426" s="21">
        <v>250.18000000000001</v>
      </c>
      <c r="M1426" s="22">
        <v>4.0000000000000001e-002</v>
      </c>
      <c r="N1426" s="21">
        <v>247.61000000000001</v>
      </c>
      <c r="O1426" s="22">
        <v>4.0000000000000001e-002</v>
      </c>
    </row>
    <row r="1427" ht="38.25">
      <c r="A1427" t="s">
        <v>1471</v>
      </c>
      <c r="B1427" s="19">
        <v>90933</v>
      </c>
      <c r="C1427" s="20" t="s">
        <v>1475</v>
      </c>
      <c r="D1427" s="19" t="s">
        <v>29</v>
      </c>
      <c r="E1427" s="21">
        <f t="shared" si="65"/>
        <v>190.09</v>
      </c>
      <c r="F1427" s="22">
        <v>2.9999999999999999e-002</v>
      </c>
      <c r="G1427" s="21">
        <f t="shared" si="66"/>
        <v>188.66999999999999</v>
      </c>
      <c r="H1427" s="22">
        <v>4.0000000000000001e-002</v>
      </c>
      <c r="I1427" s="23" t="str">
        <f t="shared" si="67"/>
        <v xml:space="preserve">COM VALOR</v>
      </c>
      <c r="J1427" s="19"/>
      <c r="L1427" s="21">
        <v>190.09</v>
      </c>
      <c r="M1427" s="22">
        <v>5.0000000000000003e-002</v>
      </c>
      <c r="N1427" s="21">
        <v>188.66999999999999</v>
      </c>
      <c r="O1427" s="22">
        <v>5.0000000000000003e-002</v>
      </c>
    </row>
    <row r="1428" ht="38.25">
      <c r="A1428" t="s">
        <v>1471</v>
      </c>
      <c r="B1428" s="19">
        <v>90943</v>
      </c>
      <c r="C1428" s="20" t="s">
        <v>1476</v>
      </c>
      <c r="D1428" s="19" t="s">
        <v>29</v>
      </c>
      <c r="E1428" s="21">
        <f t="shared" si="65"/>
        <v>205.31</v>
      </c>
      <c r="F1428" s="22">
        <v>2.9999999999999999e-002</v>
      </c>
      <c r="G1428" s="21">
        <f t="shared" si="66"/>
        <v>203.74000000000001</v>
      </c>
      <c r="H1428" s="22">
        <v>2.9999999999999999e-002</v>
      </c>
      <c r="I1428" s="23" t="str">
        <f t="shared" si="67"/>
        <v xml:space="preserve">COM VALOR</v>
      </c>
      <c r="J1428" s="19"/>
      <c r="L1428" s="21">
        <v>205.31</v>
      </c>
      <c r="M1428" s="22">
        <v>5.0000000000000003e-002</v>
      </c>
      <c r="N1428" s="21">
        <v>203.74000000000001</v>
      </c>
      <c r="O1428" s="22">
        <v>5.0000000000000003e-002</v>
      </c>
    </row>
    <row r="1429" ht="38.25">
      <c r="A1429" t="s">
        <v>1471</v>
      </c>
      <c r="B1429" s="19">
        <v>90953</v>
      </c>
      <c r="C1429" s="20" t="s">
        <v>1477</v>
      </c>
      <c r="D1429" s="19" t="s">
        <v>29</v>
      </c>
      <c r="E1429" s="21">
        <f t="shared" si="65"/>
        <v>233.18000000000001</v>
      </c>
      <c r="F1429" s="22">
        <v>4.0000000000000001e-002</v>
      </c>
      <c r="G1429" s="21">
        <f t="shared" si="66"/>
        <v>231.34999999999999</v>
      </c>
      <c r="H1429" s="22">
        <v>4.0000000000000001e-002</v>
      </c>
      <c r="I1429" s="23" t="str">
        <f t="shared" si="67"/>
        <v xml:space="preserve">COM VALOR</v>
      </c>
      <c r="J1429" s="19"/>
      <c r="L1429" s="21">
        <v>233.18000000000001</v>
      </c>
      <c r="M1429" s="22">
        <v>4.0000000000000001e-002</v>
      </c>
      <c r="N1429" s="21">
        <v>231.34999999999999</v>
      </c>
      <c r="O1429" s="22">
        <v>4.0000000000000001e-002</v>
      </c>
    </row>
    <row r="1430" ht="38.25">
      <c r="A1430" t="s">
        <v>1471</v>
      </c>
      <c r="B1430" s="19">
        <v>90932</v>
      </c>
      <c r="C1430" s="20" t="s">
        <v>1478</v>
      </c>
      <c r="D1430" s="19" t="s">
        <v>29</v>
      </c>
      <c r="E1430" s="21">
        <f t="shared" si="65"/>
        <v>84.900000000000006</v>
      </c>
      <c r="F1430" s="22">
        <v>2.9999999999999999e-002</v>
      </c>
      <c r="G1430" s="21">
        <f t="shared" si="66"/>
        <v>83.079999999999998</v>
      </c>
      <c r="H1430" s="22">
        <v>2.9999999999999999e-002</v>
      </c>
      <c r="I1430" s="23" t="str">
        <f t="shared" si="67"/>
        <v xml:space="preserve">COM VALOR</v>
      </c>
      <c r="J1430" s="19"/>
      <c r="L1430" s="21">
        <v>84.900000000000006</v>
      </c>
      <c r="M1430" s="22">
        <v>0.11</v>
      </c>
      <c r="N1430" s="21">
        <v>83.079999999999998</v>
      </c>
      <c r="O1430" s="22">
        <v>0.11</v>
      </c>
    </row>
    <row r="1431" ht="38.25">
      <c r="A1431" t="s">
        <v>1471</v>
      </c>
      <c r="B1431" s="19">
        <v>90942</v>
      </c>
      <c r="C1431" s="20" t="s">
        <v>1479</v>
      </c>
      <c r="D1431" s="19" t="s">
        <v>29</v>
      </c>
      <c r="E1431" s="21">
        <f t="shared" si="65"/>
        <v>90.760000000000005</v>
      </c>
      <c r="F1431" s="22">
        <v>2.e-002</v>
      </c>
      <c r="G1431" s="21">
        <f t="shared" si="66"/>
        <v>88.75</v>
      </c>
      <c r="H1431" s="22">
        <v>2.e-002</v>
      </c>
      <c r="I1431" s="23" t="str">
        <f t="shared" si="67"/>
        <v xml:space="preserve">COM VALOR</v>
      </c>
      <c r="J1431" s="19"/>
      <c r="L1431" s="21">
        <v>90.760000000000005</v>
      </c>
      <c r="M1431" s="22">
        <v>0.10000000000000001</v>
      </c>
      <c r="N1431" s="21">
        <v>88.75</v>
      </c>
      <c r="O1431" s="22">
        <v>0.11</v>
      </c>
    </row>
    <row r="1432" ht="38.25">
      <c r="A1432" t="s">
        <v>1471</v>
      </c>
      <c r="B1432" s="19">
        <v>90952</v>
      </c>
      <c r="C1432" s="20" t="s">
        <v>1480</v>
      </c>
      <c r="D1432" s="19" t="s">
        <v>29</v>
      </c>
      <c r="E1432" s="21">
        <f t="shared" si="65"/>
        <v>101.48</v>
      </c>
      <c r="F1432" s="22">
        <v>0</v>
      </c>
      <c r="G1432" s="21">
        <f t="shared" si="66"/>
        <v>99.150000000000006</v>
      </c>
      <c r="H1432" s="22">
        <v>0</v>
      </c>
      <c r="I1432" s="23" t="str">
        <f t="shared" si="67"/>
        <v xml:space="preserve">COM VALOR</v>
      </c>
      <c r="J1432" s="19"/>
      <c r="L1432" s="21">
        <v>101.48</v>
      </c>
      <c r="M1432" s="22">
        <v>8.9999999999999997e-002</v>
      </c>
      <c r="N1432" s="21">
        <v>99.150000000000006</v>
      </c>
      <c r="O1432" s="22">
        <v>8.9999999999999997e-002</v>
      </c>
    </row>
    <row r="1433" ht="38.25">
      <c r="A1433" t="s">
        <v>1471</v>
      </c>
      <c r="B1433" s="19">
        <v>90930</v>
      </c>
      <c r="C1433" s="20" t="s">
        <v>1481</v>
      </c>
      <c r="D1433" s="19" t="s">
        <v>29</v>
      </c>
      <c r="E1433" s="21">
        <f t="shared" si="65"/>
        <v>78.349999999999994</v>
      </c>
      <c r="F1433" s="22">
        <v>0</v>
      </c>
      <c r="G1433" s="21">
        <f t="shared" si="66"/>
        <v>76.849999999999994</v>
      </c>
      <c r="H1433" s="22">
        <v>0</v>
      </c>
      <c r="I1433" s="23" t="str">
        <f t="shared" si="67"/>
        <v xml:space="preserve">COM VALOR</v>
      </c>
      <c r="J1433" s="19"/>
      <c r="L1433" s="21">
        <v>78.349999999999994</v>
      </c>
      <c r="M1433" s="22">
        <v>0.12</v>
      </c>
      <c r="N1433" s="21">
        <v>76.849999999999994</v>
      </c>
      <c r="O1433" s="22">
        <v>0.12</v>
      </c>
    </row>
    <row r="1434" ht="38.25">
      <c r="A1434" t="s">
        <v>1471</v>
      </c>
      <c r="B1434" s="19">
        <v>90940</v>
      </c>
      <c r="C1434" s="20" t="s">
        <v>1482</v>
      </c>
      <c r="D1434" s="19" t="s">
        <v>29</v>
      </c>
      <c r="E1434" s="21">
        <f t="shared" si="65"/>
        <v>83.629999999999995</v>
      </c>
      <c r="F1434" s="22">
        <v>0</v>
      </c>
      <c r="G1434" s="21">
        <f t="shared" si="66"/>
        <v>81.969999999999999</v>
      </c>
      <c r="H1434" s="22">
        <v>0</v>
      </c>
      <c r="I1434" s="23" t="str">
        <f t="shared" si="67"/>
        <v xml:space="preserve">COM VALOR</v>
      </c>
      <c r="J1434" s="19"/>
      <c r="L1434" s="21">
        <v>83.629999999999995</v>
      </c>
      <c r="M1434" s="22">
        <v>0.1125</v>
      </c>
      <c r="N1434" s="21">
        <v>81.969999999999999</v>
      </c>
      <c r="O1434" s="22">
        <v>0.11</v>
      </c>
    </row>
    <row r="1435" ht="38.25">
      <c r="A1435" t="s">
        <v>1471</v>
      </c>
      <c r="B1435" s="19">
        <v>90950</v>
      </c>
      <c r="C1435" s="20" t="s">
        <v>1483</v>
      </c>
      <c r="D1435" s="19" t="s">
        <v>29</v>
      </c>
      <c r="E1435" s="21">
        <f t="shared" si="65"/>
        <v>93.280000000000001</v>
      </c>
      <c r="F1435" s="22">
        <v>0</v>
      </c>
      <c r="G1435" s="21">
        <f t="shared" si="66"/>
        <v>91.349999999999994</v>
      </c>
      <c r="H1435" s="22">
        <v>0</v>
      </c>
      <c r="I1435" s="23" t="str">
        <f t="shared" si="67"/>
        <v xml:space="preserve">COM VALOR</v>
      </c>
      <c r="J1435" s="19"/>
      <c r="L1435" s="21">
        <v>93.280000000000001</v>
      </c>
      <c r="M1435" s="22">
        <v>0.10000000000000001</v>
      </c>
      <c r="N1435" s="21">
        <v>91.349999999999994</v>
      </c>
      <c r="O1435" s="22">
        <v>0.10000000000000001</v>
      </c>
    </row>
    <row r="1436" ht="25.5">
      <c r="A1436" t="s">
        <v>1471</v>
      </c>
      <c r="B1436" s="19">
        <v>88476</v>
      </c>
      <c r="C1436" s="20" t="s">
        <v>1484</v>
      </c>
      <c r="D1436" s="19" t="s">
        <v>29</v>
      </c>
      <c r="E1436" s="21">
        <f t="shared" si="65"/>
        <v>23.73</v>
      </c>
      <c r="F1436" s="22">
        <v>0</v>
      </c>
      <c r="G1436" s="21">
        <f t="shared" si="66"/>
        <v>23.609999999999999</v>
      </c>
      <c r="H1436" s="22">
        <v>0</v>
      </c>
      <c r="I1436" s="23" t="str">
        <f t="shared" si="67"/>
        <v xml:space="preserve">COM VALOR</v>
      </c>
      <c r="J1436" s="19"/>
      <c r="L1436" s="21">
        <v>23.73</v>
      </c>
      <c r="M1436" s="22">
        <v>0.11</v>
      </c>
      <c r="N1436" s="21">
        <v>23.609999999999999</v>
      </c>
      <c r="O1436" s="22">
        <v>0.11</v>
      </c>
    </row>
    <row r="1437" ht="25.5">
      <c r="A1437" t="s">
        <v>1471</v>
      </c>
      <c r="B1437" s="19">
        <v>88477</v>
      </c>
      <c r="C1437" s="20" t="s">
        <v>1485</v>
      </c>
      <c r="D1437" s="19" t="s">
        <v>29</v>
      </c>
      <c r="E1437" s="21">
        <f t="shared" si="65"/>
        <v>32.939999999999998</v>
      </c>
      <c r="F1437" s="22">
        <v>7.0000000000000007e-002</v>
      </c>
      <c r="G1437" s="21">
        <f t="shared" si="66"/>
        <v>32.710000000000001</v>
      </c>
      <c r="H1437" s="22">
        <v>7.0000000000000007e-002</v>
      </c>
      <c r="I1437" s="23" t="str">
        <f t="shared" si="67"/>
        <v xml:space="preserve">COM VALOR</v>
      </c>
      <c r="J1437" s="19"/>
      <c r="L1437" s="21">
        <v>32.939999999999998</v>
      </c>
      <c r="M1437" s="22">
        <v>8.0000000000000002e-002</v>
      </c>
      <c r="N1437" s="21">
        <v>32.710000000000001</v>
      </c>
      <c r="O1437" s="22">
        <v>8.0000000000000002e-002</v>
      </c>
    </row>
    <row r="1438" ht="25.5">
      <c r="A1438" t="s">
        <v>1471</v>
      </c>
      <c r="B1438" s="19">
        <v>88478</v>
      </c>
      <c r="C1438" s="20" t="s">
        <v>1486</v>
      </c>
      <c r="D1438" s="19" t="s">
        <v>29</v>
      </c>
      <c r="E1438" s="21">
        <f t="shared" si="65"/>
        <v>40.57</v>
      </c>
      <c r="F1438" s="22">
        <v>5.9999999999999998e-002</v>
      </c>
      <c r="G1438" s="21">
        <f t="shared" si="66"/>
        <v>40.25</v>
      </c>
      <c r="H1438" s="22">
        <v>5.9999999999999998e-002</v>
      </c>
      <c r="I1438" s="23" t="str">
        <f t="shared" si="67"/>
        <v xml:space="preserve">COM VALOR</v>
      </c>
      <c r="J1438" s="19"/>
      <c r="L1438" s="21">
        <v>40.57</v>
      </c>
      <c r="M1438" s="22">
        <v>7.0000000000000007e-002</v>
      </c>
      <c r="N1438" s="21">
        <v>40.25</v>
      </c>
      <c r="O1438" s="22">
        <v>7.0000000000000007e-002</v>
      </c>
    </row>
    <row r="1439" ht="25.5">
      <c r="A1439" t="s">
        <v>1471</v>
      </c>
      <c r="B1439" s="19">
        <v>88470</v>
      </c>
      <c r="C1439" s="20" t="s">
        <v>1487</v>
      </c>
      <c r="D1439" s="19" t="s">
        <v>29</v>
      </c>
      <c r="E1439" s="21">
        <f t="shared" si="65"/>
        <v>29.579999999999998</v>
      </c>
      <c r="F1439" s="22">
        <v>8.9999999999999997e-002</v>
      </c>
      <c r="G1439" s="21">
        <f t="shared" si="66"/>
        <v>29.399999999999999</v>
      </c>
      <c r="H1439" s="22">
        <v>8.9999999999999997e-002</v>
      </c>
      <c r="I1439" s="23" t="str">
        <f t="shared" si="67"/>
        <v xml:space="preserve">COM VALOR</v>
      </c>
      <c r="J1439" s="19"/>
      <c r="L1439" s="21">
        <v>29.579999999999998</v>
      </c>
      <c r="M1439" s="22">
        <v>0</v>
      </c>
      <c r="N1439" s="21">
        <v>29.399999999999999</v>
      </c>
      <c r="O1439" s="22">
        <v>0</v>
      </c>
    </row>
    <row r="1440" ht="25.5">
      <c r="A1440" t="s">
        <v>1471</v>
      </c>
      <c r="B1440" s="19">
        <v>88471</v>
      </c>
      <c r="C1440" s="20" t="s">
        <v>1488</v>
      </c>
      <c r="D1440" s="19" t="s">
        <v>29</v>
      </c>
      <c r="E1440" s="21">
        <f t="shared" si="65"/>
        <v>36.969999999999999</v>
      </c>
      <c r="F1440" s="22">
        <v>7.0000000000000007e-002</v>
      </c>
      <c r="G1440" s="21">
        <f t="shared" si="66"/>
        <v>36.710000000000001</v>
      </c>
      <c r="H1440" s="22">
        <v>7.0000000000000007e-002</v>
      </c>
      <c r="I1440" s="23" t="str">
        <f t="shared" si="67"/>
        <v xml:space="preserve">COM VALOR</v>
      </c>
      <c r="J1440" s="19"/>
      <c r="L1440" s="21">
        <v>36.969999999999999</v>
      </c>
      <c r="M1440" s="22">
        <v>0</v>
      </c>
      <c r="N1440" s="21">
        <v>36.710000000000001</v>
      </c>
      <c r="O1440" s="22">
        <v>0</v>
      </c>
    </row>
    <row r="1441" ht="25.5">
      <c r="A1441" t="s">
        <v>1471</v>
      </c>
      <c r="B1441" s="19">
        <v>88472</v>
      </c>
      <c r="C1441" s="20" t="s">
        <v>1489</v>
      </c>
      <c r="D1441" s="19" t="s">
        <v>29</v>
      </c>
      <c r="E1441" s="21">
        <f t="shared" si="65"/>
        <v>42.850000000000001</v>
      </c>
      <c r="F1441" s="22">
        <v>5.9999999999999998e-002</v>
      </c>
      <c r="G1441" s="21">
        <f t="shared" si="66"/>
        <v>42.530000000000001</v>
      </c>
      <c r="H1441" s="22">
        <v>5.9999999999999998e-002</v>
      </c>
      <c r="I1441" s="23" t="str">
        <f t="shared" si="67"/>
        <v xml:space="preserve">COM VALOR</v>
      </c>
      <c r="J1441" s="19"/>
      <c r="L1441" s="21">
        <v>42.850000000000001</v>
      </c>
      <c r="M1441" s="22">
        <v>0</v>
      </c>
      <c r="N1441" s="21">
        <v>42.530000000000001</v>
      </c>
      <c r="O1441" s="22">
        <v>0</v>
      </c>
    </row>
    <row r="1442" ht="38.25">
      <c r="A1442" t="s">
        <v>1471</v>
      </c>
      <c r="B1442" s="19">
        <v>87759</v>
      </c>
      <c r="C1442" s="20" t="s">
        <v>1490</v>
      </c>
      <c r="D1442" s="19" t="s">
        <v>29</v>
      </c>
      <c r="E1442" s="21">
        <f t="shared" si="65"/>
        <v>139.69999999999999</v>
      </c>
      <c r="F1442" s="22">
        <v>0</v>
      </c>
      <c r="G1442" s="21">
        <f t="shared" si="66"/>
        <v>137.66999999999999</v>
      </c>
      <c r="H1442" s="22">
        <v>0</v>
      </c>
      <c r="I1442" s="23" t="str">
        <f t="shared" si="67"/>
        <v xml:space="preserve">COM VALOR</v>
      </c>
      <c r="J1442" s="19"/>
      <c r="L1442" s="21">
        <v>139.69999999999999</v>
      </c>
      <c r="M1442" s="22">
        <v>0</v>
      </c>
      <c r="N1442" s="21">
        <v>137.66999999999999</v>
      </c>
      <c r="O1442" s="22">
        <v>0</v>
      </c>
    </row>
    <row r="1443" ht="38.25">
      <c r="A1443" t="s">
        <v>1471</v>
      </c>
      <c r="B1443" s="19">
        <v>87769</v>
      </c>
      <c r="C1443" s="20" t="s">
        <v>1491</v>
      </c>
      <c r="D1443" s="19" t="s">
        <v>29</v>
      </c>
      <c r="E1443" s="21">
        <f t="shared" si="65"/>
        <v>167.38999999999999</v>
      </c>
      <c r="F1443" s="22">
        <v>0</v>
      </c>
      <c r="G1443" s="21">
        <f t="shared" si="66"/>
        <v>165.13999999999999</v>
      </c>
      <c r="H1443" s="22">
        <v>0</v>
      </c>
      <c r="I1443" s="23" t="str">
        <f t="shared" si="67"/>
        <v xml:space="preserve">COM VALOR</v>
      </c>
      <c r="J1443" s="19"/>
      <c r="L1443" s="21">
        <v>167.38999999999999</v>
      </c>
      <c r="M1443" s="22">
        <v>0</v>
      </c>
      <c r="N1443" s="21">
        <v>165.13999999999999</v>
      </c>
      <c r="O1443" s="22">
        <v>0</v>
      </c>
    </row>
    <row r="1444" ht="38.25">
      <c r="A1444" t="s">
        <v>1471</v>
      </c>
      <c r="B1444" s="19">
        <v>87739</v>
      </c>
      <c r="C1444" s="20" t="s">
        <v>1492</v>
      </c>
      <c r="D1444" s="19" t="s">
        <v>29</v>
      </c>
      <c r="E1444" s="21">
        <f t="shared" si="65"/>
        <v>107.5</v>
      </c>
      <c r="F1444" s="22">
        <v>0</v>
      </c>
      <c r="G1444" s="21">
        <f t="shared" si="66"/>
        <v>105.81</v>
      </c>
      <c r="H1444" s="22">
        <v>0</v>
      </c>
      <c r="I1444" s="23" t="str">
        <f t="shared" si="67"/>
        <v xml:space="preserve">COM VALOR</v>
      </c>
      <c r="J1444" s="19"/>
      <c r="L1444" s="21">
        <v>107.5</v>
      </c>
      <c r="M1444" s="22">
        <v>2.5000000000000001e-002</v>
      </c>
      <c r="N1444" s="21">
        <v>105.81</v>
      </c>
      <c r="O1444" s="22">
        <v>2.9999999999999999e-002</v>
      </c>
    </row>
    <row r="1445" ht="38.25">
      <c r="A1445" t="s">
        <v>1471</v>
      </c>
      <c r="B1445" s="19">
        <v>87749</v>
      </c>
      <c r="C1445" s="20" t="s">
        <v>1493</v>
      </c>
      <c r="D1445" s="19" t="s">
        <v>29</v>
      </c>
      <c r="E1445" s="21">
        <f t="shared" si="65"/>
        <v>141.27000000000001</v>
      </c>
      <c r="F1445" s="22">
        <v>0</v>
      </c>
      <c r="G1445" s="21">
        <f t="shared" si="66"/>
        <v>139.31</v>
      </c>
      <c r="H1445" s="22">
        <v>0</v>
      </c>
      <c r="I1445" s="23" t="str">
        <f t="shared" si="67"/>
        <v xml:space="preserve">COM VALOR</v>
      </c>
      <c r="J1445" s="19"/>
      <c r="L1445" s="21">
        <v>141.27000000000001</v>
      </c>
      <c r="M1445" s="22">
        <v>2.e-002</v>
      </c>
      <c r="N1445" s="21">
        <v>139.31</v>
      </c>
      <c r="O1445" s="22">
        <v>2.e-002</v>
      </c>
    </row>
    <row r="1446" ht="38.25">
      <c r="A1446" t="s">
        <v>1471</v>
      </c>
      <c r="B1446" s="19">
        <v>87624</v>
      </c>
      <c r="C1446" s="20" t="s">
        <v>1494</v>
      </c>
      <c r="D1446" s="19" t="s">
        <v>29</v>
      </c>
      <c r="E1446" s="21">
        <f t="shared" si="65"/>
        <v>94.920000000000002</v>
      </c>
      <c r="F1446" s="22">
        <v>0</v>
      </c>
      <c r="G1446" s="21">
        <f t="shared" si="66"/>
        <v>93.939999999999998</v>
      </c>
      <c r="H1446" s="22">
        <v>0</v>
      </c>
      <c r="I1446" s="23" t="str">
        <f t="shared" si="67"/>
        <v xml:space="preserve">COM VALOR</v>
      </c>
      <c r="J1446" s="19"/>
      <c r="L1446" s="21">
        <v>94.920000000000002</v>
      </c>
      <c r="M1446" s="22">
        <v>2.9999999999999999e-002</v>
      </c>
      <c r="N1446" s="21">
        <v>93.939999999999998</v>
      </c>
      <c r="O1446" s="22">
        <v>2.9999999999999999e-002</v>
      </c>
    </row>
    <row r="1447" ht="38.25">
      <c r="A1447" t="s">
        <v>1471</v>
      </c>
      <c r="B1447" s="19">
        <v>87634</v>
      </c>
      <c r="C1447" s="20" t="s">
        <v>1495</v>
      </c>
      <c r="D1447" s="19" t="s">
        <v>29</v>
      </c>
      <c r="E1447" s="21">
        <f t="shared" si="65"/>
        <v>128.69</v>
      </c>
      <c r="F1447" s="22">
        <v>7.0000000000000007e-002</v>
      </c>
      <c r="G1447" s="21">
        <f t="shared" si="66"/>
        <v>127.44</v>
      </c>
      <c r="H1447" s="22">
        <v>8.0000000000000002e-002</v>
      </c>
      <c r="I1447" s="23" t="str">
        <f t="shared" si="67"/>
        <v xml:space="preserve">COM VALOR</v>
      </c>
      <c r="J1447" s="19"/>
      <c r="L1447" s="21">
        <v>128.69</v>
      </c>
      <c r="M1447" s="22">
        <v>2.e-002</v>
      </c>
      <c r="N1447" s="21">
        <v>127.44</v>
      </c>
      <c r="O1447" s="22">
        <v>2.e-002</v>
      </c>
    </row>
    <row r="1448" ht="38.25">
      <c r="A1448" t="s">
        <v>1471</v>
      </c>
      <c r="B1448" s="19">
        <v>87644</v>
      </c>
      <c r="C1448" s="20" t="s">
        <v>1496</v>
      </c>
      <c r="D1448" s="19" t="s">
        <v>29</v>
      </c>
      <c r="E1448" s="21">
        <f t="shared" si="65"/>
        <v>156.33000000000001</v>
      </c>
      <c r="F1448" s="22">
        <v>5.9999999999999998e-002</v>
      </c>
      <c r="G1448" s="21">
        <f t="shared" si="66"/>
        <v>154.86000000000001</v>
      </c>
      <c r="H1448" s="22">
        <v>5.9999999999999998e-002</v>
      </c>
      <c r="I1448" s="23" t="str">
        <f t="shared" si="67"/>
        <v xml:space="preserve">COM VALOR</v>
      </c>
      <c r="J1448" s="19"/>
      <c r="L1448" s="21">
        <v>156.33000000000001</v>
      </c>
      <c r="M1448" s="22">
        <v>2.e-002</v>
      </c>
      <c r="N1448" s="21">
        <v>154.86000000000001</v>
      </c>
      <c r="O1448" s="22">
        <v>2.e-002</v>
      </c>
    </row>
    <row r="1449" ht="38.25">
      <c r="A1449" t="s">
        <v>1471</v>
      </c>
      <c r="B1449" s="19">
        <v>87684</v>
      </c>
      <c r="C1449" s="20" t="s">
        <v>1497</v>
      </c>
      <c r="D1449" s="19" t="s">
        <v>29</v>
      </c>
      <c r="E1449" s="21">
        <f t="shared" si="65"/>
        <v>152.30000000000001</v>
      </c>
      <c r="F1449" s="22">
        <v>0.10000000000000001</v>
      </c>
      <c r="G1449" s="21">
        <f t="shared" si="66"/>
        <v>150.88</v>
      </c>
      <c r="H1449" s="22">
        <v>0.10000000000000001</v>
      </c>
      <c r="I1449" s="23" t="str">
        <f t="shared" si="67"/>
        <v xml:space="preserve">COM VALOR</v>
      </c>
      <c r="J1449" s="19"/>
      <c r="L1449" s="21">
        <v>152.30000000000001</v>
      </c>
      <c r="M1449" s="22">
        <v>0</v>
      </c>
      <c r="N1449" s="21">
        <v>150.88</v>
      </c>
      <c r="O1449" s="22">
        <v>0</v>
      </c>
    </row>
    <row r="1450" ht="38.25">
      <c r="A1450" t="s">
        <v>1471</v>
      </c>
      <c r="B1450" s="19">
        <v>87694</v>
      </c>
      <c r="C1450" s="20" t="s">
        <v>1498</v>
      </c>
      <c r="D1450" s="19" t="s">
        <v>29</v>
      </c>
      <c r="E1450" s="21">
        <f t="shared" si="65"/>
        <v>174.46000000000001</v>
      </c>
      <c r="F1450" s="22">
        <v>8.0000000000000002e-002</v>
      </c>
      <c r="G1450" s="21">
        <f t="shared" si="66"/>
        <v>172.83000000000001</v>
      </c>
      <c r="H1450" s="22">
        <v>8.0000000000000002e-002</v>
      </c>
      <c r="I1450" s="23" t="str">
        <f t="shared" si="67"/>
        <v xml:space="preserve">COM VALOR</v>
      </c>
      <c r="J1450" s="19"/>
      <c r="L1450" s="21">
        <v>174.46000000000001</v>
      </c>
      <c r="M1450" s="22">
        <v>0</v>
      </c>
      <c r="N1450" s="21">
        <v>172.83000000000001</v>
      </c>
      <c r="O1450" s="22">
        <v>0</v>
      </c>
    </row>
    <row r="1451" ht="38.25">
      <c r="A1451" t="s">
        <v>1471</v>
      </c>
      <c r="B1451" s="19">
        <v>87704</v>
      </c>
      <c r="C1451" s="20" t="s">
        <v>1499</v>
      </c>
      <c r="D1451" s="19" t="s">
        <v>29</v>
      </c>
      <c r="E1451" s="21">
        <f t="shared" si="65"/>
        <v>189.53</v>
      </c>
      <c r="F1451" s="22">
        <v>7.0000000000000007e-002</v>
      </c>
      <c r="G1451" s="21">
        <f t="shared" si="66"/>
        <v>187.78</v>
      </c>
      <c r="H1451" s="22">
        <v>7.0000000000000007e-002</v>
      </c>
      <c r="I1451" s="23" t="str">
        <f t="shared" si="67"/>
        <v xml:space="preserve">COM VALOR</v>
      </c>
      <c r="J1451" s="19"/>
      <c r="L1451" s="21">
        <v>189.53</v>
      </c>
      <c r="M1451" s="22">
        <v>0</v>
      </c>
      <c r="N1451" s="21">
        <v>187.78</v>
      </c>
      <c r="O1451" s="22">
        <v>0</v>
      </c>
    </row>
    <row r="1452" ht="51">
      <c r="A1452" t="s">
        <v>1471</v>
      </c>
      <c r="B1452" s="19">
        <v>87758</v>
      </c>
      <c r="C1452" s="20" t="s">
        <v>1500</v>
      </c>
      <c r="D1452" s="19" t="s">
        <v>29</v>
      </c>
      <c r="E1452" s="21">
        <f t="shared" si="65"/>
        <v>130.06</v>
      </c>
      <c r="F1452" s="22">
        <v>0</v>
      </c>
      <c r="G1452" s="21">
        <f t="shared" si="66"/>
        <v>128.44999999999999</v>
      </c>
      <c r="H1452" s="22">
        <v>0</v>
      </c>
      <c r="I1452" s="23" t="str">
        <f t="shared" si="67"/>
        <v xml:space="preserve">COM VALOR</v>
      </c>
      <c r="J1452" s="19"/>
      <c r="L1452" s="21">
        <v>130.06</v>
      </c>
      <c r="M1452" s="22">
        <v>0</v>
      </c>
      <c r="N1452" s="21">
        <v>128.44999999999999</v>
      </c>
      <c r="O1452" s="22">
        <v>0</v>
      </c>
    </row>
    <row r="1453" ht="51">
      <c r="A1453" t="s">
        <v>1471</v>
      </c>
      <c r="B1453" s="19">
        <v>87768</v>
      </c>
      <c r="C1453" s="20" t="s">
        <v>1501</v>
      </c>
      <c r="D1453" s="19" t="s">
        <v>29</v>
      </c>
      <c r="E1453" s="21">
        <f t="shared" si="65"/>
        <v>155.53999999999999</v>
      </c>
      <c r="F1453" s="22">
        <v>0</v>
      </c>
      <c r="G1453" s="21">
        <f t="shared" si="66"/>
        <v>153.80000000000001</v>
      </c>
      <c r="H1453" s="22">
        <v>0</v>
      </c>
      <c r="I1453" s="23" t="str">
        <f t="shared" si="67"/>
        <v xml:space="preserve">COM VALOR</v>
      </c>
      <c r="J1453" s="19"/>
      <c r="L1453" s="21">
        <v>155.53999999999999</v>
      </c>
      <c r="M1453" s="22">
        <v>0</v>
      </c>
      <c r="N1453" s="21">
        <v>153.80000000000001</v>
      </c>
      <c r="O1453" s="22">
        <v>0</v>
      </c>
    </row>
    <row r="1454" ht="38.25">
      <c r="A1454" t="s">
        <v>1471</v>
      </c>
      <c r="B1454" s="19">
        <v>87738</v>
      </c>
      <c r="C1454" s="20" t="s">
        <v>1502</v>
      </c>
      <c r="D1454" s="19" t="s">
        <v>29</v>
      </c>
      <c r="E1454" s="21">
        <f t="shared" si="65"/>
        <v>100.56999999999999</v>
      </c>
      <c r="F1454" s="22">
        <v>0</v>
      </c>
      <c r="G1454" s="21">
        <f t="shared" si="66"/>
        <v>99.180000000000007</v>
      </c>
      <c r="H1454" s="22">
        <v>0</v>
      </c>
      <c r="I1454" s="23" t="str">
        <f t="shared" si="67"/>
        <v xml:space="preserve">COM VALOR</v>
      </c>
      <c r="J1454" s="19"/>
      <c r="L1454" s="21">
        <v>100.56999999999999</v>
      </c>
      <c r="M1454" s="22">
        <v>2.9999999999999999e-002</v>
      </c>
      <c r="N1454" s="21">
        <v>99.180000000000007</v>
      </c>
      <c r="O1454" s="22">
        <v>2.9999999999999999e-002</v>
      </c>
    </row>
    <row r="1455" ht="38.25">
      <c r="A1455" t="s">
        <v>1471</v>
      </c>
      <c r="B1455" s="19">
        <v>87748</v>
      </c>
      <c r="C1455" s="20" t="s">
        <v>1503</v>
      </c>
      <c r="D1455" s="19" t="s">
        <v>29</v>
      </c>
      <c r="E1455" s="21">
        <f t="shared" si="65"/>
        <v>131.63</v>
      </c>
      <c r="F1455" s="22">
        <v>0</v>
      </c>
      <c r="G1455" s="21">
        <f t="shared" si="66"/>
        <v>130.09</v>
      </c>
      <c r="H1455" s="22">
        <v>0</v>
      </c>
      <c r="I1455" s="23" t="str">
        <f t="shared" si="67"/>
        <v xml:space="preserve">COM VALOR</v>
      </c>
      <c r="J1455" s="19"/>
      <c r="L1455" s="21">
        <v>131.63</v>
      </c>
      <c r="M1455" s="22">
        <v>2.e-002</v>
      </c>
      <c r="N1455" s="21">
        <v>130.09</v>
      </c>
      <c r="O1455" s="22">
        <v>2.e-002</v>
      </c>
    </row>
    <row r="1456" ht="38.25">
      <c r="A1456" t="s">
        <v>1471</v>
      </c>
      <c r="B1456" s="19">
        <v>87623</v>
      </c>
      <c r="C1456" s="20" t="s">
        <v>1504</v>
      </c>
      <c r="D1456" s="19" t="s">
        <v>29</v>
      </c>
      <c r="E1456" s="21">
        <f t="shared" si="65"/>
        <v>87.989999999999995</v>
      </c>
      <c r="F1456" s="22">
        <v>0</v>
      </c>
      <c r="G1456" s="21">
        <f t="shared" si="66"/>
        <v>87.310000000000002</v>
      </c>
      <c r="H1456" s="22">
        <v>0</v>
      </c>
      <c r="I1456" s="23" t="str">
        <f t="shared" si="67"/>
        <v xml:space="preserve">COM VALOR</v>
      </c>
      <c r="J1456" s="19"/>
      <c r="L1456" s="21">
        <v>87.989999999999995</v>
      </c>
      <c r="M1456" s="22">
        <v>2.9999999999999999e-002</v>
      </c>
      <c r="N1456" s="21">
        <v>87.310000000000002</v>
      </c>
      <c r="O1456" s="22">
        <v>2.9999999999999999e-002</v>
      </c>
    </row>
    <row r="1457" ht="38.25">
      <c r="A1457" t="s">
        <v>1471</v>
      </c>
      <c r="B1457" s="19">
        <v>87633</v>
      </c>
      <c r="C1457" s="20" t="s">
        <v>1505</v>
      </c>
      <c r="D1457" s="19" t="s">
        <v>29</v>
      </c>
      <c r="E1457" s="21">
        <f t="shared" si="65"/>
        <v>119.05</v>
      </c>
      <c r="F1457" s="22">
        <v>0</v>
      </c>
      <c r="G1457" s="21">
        <f t="shared" si="66"/>
        <v>118.22</v>
      </c>
      <c r="H1457" s="22">
        <v>0</v>
      </c>
      <c r="I1457" s="23" t="str">
        <f t="shared" si="67"/>
        <v xml:space="preserve">COM VALOR</v>
      </c>
      <c r="J1457" s="19"/>
      <c r="L1457" s="21">
        <v>119.05</v>
      </c>
      <c r="M1457" s="22">
        <v>2.e-002</v>
      </c>
      <c r="N1457" s="21">
        <v>118.22</v>
      </c>
      <c r="O1457" s="22">
        <v>2.e-002</v>
      </c>
    </row>
    <row r="1458" ht="38.25">
      <c r="A1458" t="s">
        <v>1471</v>
      </c>
      <c r="B1458" s="19">
        <v>87643</v>
      </c>
      <c r="C1458" s="20" t="s">
        <v>1506</v>
      </c>
      <c r="D1458" s="19" t="s">
        <v>29</v>
      </c>
      <c r="E1458" s="21">
        <f t="shared" si="65"/>
        <v>144.47999999999999</v>
      </c>
      <c r="F1458" s="22"/>
      <c r="G1458" s="21">
        <f t="shared" si="66"/>
        <v>143.52000000000001</v>
      </c>
      <c r="H1458" s="22"/>
      <c r="I1458" s="23" t="str">
        <f t="shared" si="67"/>
        <v xml:space="preserve">COM VALOR</v>
      </c>
      <c r="J1458" s="19"/>
      <c r="L1458" s="21">
        <v>144.47999999999999</v>
      </c>
      <c r="M1458" s="22">
        <v>2.e-002</v>
      </c>
      <c r="N1458" s="21">
        <v>143.52000000000001</v>
      </c>
      <c r="O1458" s="22">
        <v>2.e-002</v>
      </c>
    </row>
    <row r="1459" ht="38.25">
      <c r="A1459" t="s">
        <v>1471</v>
      </c>
      <c r="B1459" s="19">
        <v>87683</v>
      </c>
      <c r="C1459" s="20" t="s">
        <v>1507</v>
      </c>
      <c r="D1459" s="19" t="s">
        <v>29</v>
      </c>
      <c r="E1459" s="21">
        <f t="shared" si="65"/>
        <v>140.44999999999999</v>
      </c>
      <c r="F1459" s="22"/>
      <c r="G1459" s="21">
        <f t="shared" si="66"/>
        <v>139.53999999999999</v>
      </c>
      <c r="H1459" s="22"/>
      <c r="I1459" s="23" t="str">
        <f t="shared" si="67"/>
        <v xml:space="preserve">COM VALOR</v>
      </c>
      <c r="J1459" s="19"/>
      <c r="L1459" s="21">
        <v>140.44999999999999</v>
      </c>
      <c r="M1459" s="22">
        <v>0</v>
      </c>
      <c r="N1459" s="21">
        <v>139.53999999999999</v>
      </c>
      <c r="O1459" s="22">
        <v>0</v>
      </c>
    </row>
    <row r="1460" ht="38.25">
      <c r="A1460" t="s">
        <v>1471</v>
      </c>
      <c r="B1460" s="19">
        <v>87703</v>
      </c>
      <c r="C1460" s="20" t="s">
        <v>1508</v>
      </c>
      <c r="D1460" s="19" t="s">
        <v>29</v>
      </c>
      <c r="E1460" s="21">
        <f t="shared" si="65"/>
        <v>174.75</v>
      </c>
      <c r="F1460" s="22">
        <v>0.41999999999999998</v>
      </c>
      <c r="G1460" s="21">
        <f t="shared" si="66"/>
        <v>173.63999999999999</v>
      </c>
      <c r="H1460" s="22">
        <v>0.44</v>
      </c>
      <c r="I1460" s="23" t="str">
        <f t="shared" si="67"/>
        <v xml:space="preserve">COM VALOR</v>
      </c>
      <c r="J1460" s="19"/>
      <c r="L1460" s="21">
        <v>174.75</v>
      </c>
      <c r="M1460" s="22">
        <v>0</v>
      </c>
      <c r="N1460" s="21">
        <v>173.63999999999999</v>
      </c>
      <c r="O1460" s="22">
        <v>0</v>
      </c>
    </row>
    <row r="1461" ht="38.25">
      <c r="A1461" t="s">
        <v>1471</v>
      </c>
      <c r="B1461" s="19">
        <v>87693</v>
      </c>
      <c r="C1461" s="20" t="s">
        <v>1509</v>
      </c>
      <c r="D1461" s="19" t="s">
        <v>29</v>
      </c>
      <c r="E1461" s="21">
        <f t="shared" si="65"/>
        <v>160.88999999999999</v>
      </c>
      <c r="F1461" s="22">
        <v>0.31</v>
      </c>
      <c r="G1461" s="21">
        <f t="shared" si="66"/>
        <v>159.84</v>
      </c>
      <c r="H1461" s="22">
        <v>0.32000000000000001</v>
      </c>
      <c r="I1461" s="23" t="str">
        <f t="shared" si="67"/>
        <v xml:space="preserve">COM VALOR</v>
      </c>
      <c r="J1461" s="19"/>
      <c r="L1461" s="21">
        <v>160.88999999999999</v>
      </c>
      <c r="M1461" s="22">
        <v>0</v>
      </c>
      <c r="N1461" s="21">
        <v>159.84</v>
      </c>
      <c r="O1461" s="22">
        <v>0</v>
      </c>
    </row>
    <row r="1462" ht="38.25">
      <c r="A1462" t="s">
        <v>1471</v>
      </c>
      <c r="B1462" s="19">
        <v>87757</v>
      </c>
      <c r="C1462" s="20" t="s">
        <v>1510</v>
      </c>
      <c r="D1462" s="19" t="s">
        <v>29</v>
      </c>
      <c r="E1462" s="21">
        <f t="shared" si="65"/>
        <v>55.369999999999997</v>
      </c>
      <c r="F1462" s="22">
        <v>0</v>
      </c>
      <c r="G1462" s="21">
        <f t="shared" si="66"/>
        <v>53.469999999999999</v>
      </c>
      <c r="H1462" s="22">
        <v>0</v>
      </c>
      <c r="I1462" s="23" t="str">
        <f t="shared" si="67"/>
        <v xml:space="preserve">COM VALOR</v>
      </c>
      <c r="J1462" s="19"/>
      <c r="L1462" s="21">
        <v>55.369999999999997</v>
      </c>
      <c r="M1462" s="22">
        <v>0</v>
      </c>
      <c r="N1462" s="21">
        <v>53.469999999999999</v>
      </c>
      <c r="O1462" s="22">
        <v>0</v>
      </c>
    </row>
    <row r="1463" ht="38.25">
      <c r="A1463" t="s">
        <v>1471</v>
      </c>
      <c r="B1463" s="19">
        <v>87767</v>
      </c>
      <c r="C1463" s="20" t="s">
        <v>1511</v>
      </c>
      <c r="D1463" s="19" t="s">
        <v>29</v>
      </c>
      <c r="E1463" s="21">
        <f t="shared" si="65"/>
        <v>63.689999999999998</v>
      </c>
      <c r="F1463" s="22">
        <v>0</v>
      </c>
      <c r="G1463" s="21">
        <f t="shared" si="66"/>
        <v>61.609999999999999</v>
      </c>
      <c r="H1463" s="22">
        <v>0</v>
      </c>
      <c r="I1463" s="23" t="str">
        <f t="shared" si="67"/>
        <v xml:space="preserve">COM VALOR</v>
      </c>
      <c r="J1463" s="19"/>
      <c r="L1463" s="21">
        <v>63.689999999999998</v>
      </c>
      <c r="M1463" s="22">
        <v>0</v>
      </c>
      <c r="N1463" s="21">
        <v>61.609999999999999</v>
      </c>
      <c r="O1463" s="22">
        <v>0</v>
      </c>
    </row>
    <row r="1464" ht="38.25">
      <c r="A1464" t="s">
        <v>1471</v>
      </c>
      <c r="B1464" s="19">
        <v>87737</v>
      </c>
      <c r="C1464" s="20" t="s">
        <v>1512</v>
      </c>
      <c r="D1464" s="19" t="s">
        <v>29</v>
      </c>
      <c r="E1464" s="21">
        <f t="shared" si="65"/>
        <v>46.850000000000001</v>
      </c>
      <c r="F1464" s="22">
        <v>0</v>
      </c>
      <c r="G1464" s="21">
        <f t="shared" si="66"/>
        <v>45.25</v>
      </c>
      <c r="H1464" s="22">
        <v>0</v>
      </c>
      <c r="I1464" s="23" t="str">
        <f t="shared" si="67"/>
        <v xml:space="preserve">COM VALOR</v>
      </c>
      <c r="J1464" s="19"/>
      <c r="L1464" s="21">
        <v>46.850000000000001</v>
      </c>
      <c r="M1464" s="22">
        <v>5.9999999999999998e-002</v>
      </c>
      <c r="N1464" s="21">
        <v>45.25</v>
      </c>
      <c r="O1464" s="22">
        <v>5.9999999999999998e-002</v>
      </c>
    </row>
    <row r="1465" ht="38.25">
      <c r="A1465" t="s">
        <v>1471</v>
      </c>
      <c r="B1465" s="19">
        <v>87747</v>
      </c>
      <c r="C1465" s="20" t="s">
        <v>1513</v>
      </c>
      <c r="D1465" s="19" t="s">
        <v>29</v>
      </c>
      <c r="E1465" s="21">
        <f t="shared" si="65"/>
        <v>56.939999999999998</v>
      </c>
      <c r="F1465" s="22">
        <v>0</v>
      </c>
      <c r="G1465" s="21">
        <f t="shared" si="66"/>
        <v>55.109999999999999</v>
      </c>
      <c r="H1465" s="22">
        <v>0</v>
      </c>
      <c r="I1465" s="23" t="str">
        <f t="shared" si="67"/>
        <v xml:space="preserve">COM VALOR</v>
      </c>
      <c r="J1465" s="19"/>
      <c r="L1465" s="21">
        <v>56.939999999999998</v>
      </c>
      <c r="M1465" s="22">
        <v>5.0000000000000003e-002</v>
      </c>
      <c r="N1465" s="21">
        <v>55.109999999999999</v>
      </c>
      <c r="O1465" s="22">
        <v>5.0000000000000003e-002</v>
      </c>
    </row>
    <row r="1466" ht="38.25">
      <c r="A1466" t="s">
        <v>1471</v>
      </c>
      <c r="B1466" s="19">
        <v>87622</v>
      </c>
      <c r="C1466" s="20" t="s">
        <v>1514</v>
      </c>
      <c r="D1466" s="19" t="s">
        <v>29</v>
      </c>
      <c r="E1466" s="21">
        <f t="shared" si="65"/>
        <v>34.270000000000003</v>
      </c>
      <c r="F1466" s="22"/>
      <c r="G1466" s="21">
        <f t="shared" si="66"/>
        <v>33.380000000000003</v>
      </c>
      <c r="H1466" s="22"/>
      <c r="I1466" s="23" t="str">
        <f t="shared" si="67"/>
        <v xml:space="preserve">COM VALOR</v>
      </c>
      <c r="J1466" s="19"/>
      <c r="L1466" s="21">
        <v>34.270000000000003</v>
      </c>
      <c r="M1466" s="22">
        <v>8.0000000000000002e-002</v>
      </c>
      <c r="N1466" s="21">
        <v>33.380000000000003</v>
      </c>
      <c r="O1466" s="22">
        <v>8.0000000000000002e-002</v>
      </c>
    </row>
    <row r="1467" ht="38.25">
      <c r="A1467" t="s">
        <v>1471</v>
      </c>
      <c r="B1467" s="19">
        <v>87632</v>
      </c>
      <c r="C1467" s="20" t="s">
        <v>1515</v>
      </c>
      <c r="D1467" s="19" t="s">
        <v>29</v>
      </c>
      <c r="E1467" s="21">
        <f t="shared" si="65"/>
        <v>44.359999999999999</v>
      </c>
      <c r="F1467" s="22"/>
      <c r="G1467" s="21">
        <f t="shared" si="66"/>
        <v>43.240000000000002</v>
      </c>
      <c r="H1467" s="22"/>
      <c r="I1467" s="23" t="str">
        <f t="shared" si="67"/>
        <v xml:space="preserve">COM VALOR</v>
      </c>
      <c r="J1467" s="19"/>
      <c r="L1467" s="21">
        <v>44.359999999999999</v>
      </c>
      <c r="M1467" s="22">
        <v>5.9999999999999998e-002</v>
      </c>
      <c r="N1467" s="21">
        <v>43.240000000000002</v>
      </c>
      <c r="O1467" s="22">
        <v>5.9999999999999998e-002</v>
      </c>
    </row>
    <row r="1468" ht="38.25">
      <c r="A1468" t="s">
        <v>1471</v>
      </c>
      <c r="B1468" s="19">
        <v>87642</v>
      </c>
      <c r="C1468" s="20" t="s">
        <v>1516</v>
      </c>
      <c r="D1468" s="19" t="s">
        <v>29</v>
      </c>
      <c r="E1468" s="21">
        <f t="shared" si="65"/>
        <v>52.630000000000003</v>
      </c>
      <c r="F1468" s="22">
        <v>0</v>
      </c>
      <c r="G1468" s="21">
        <f t="shared" si="66"/>
        <v>51.329999999999998</v>
      </c>
      <c r="H1468" s="22">
        <v>0</v>
      </c>
      <c r="I1468" s="23" t="str">
        <f t="shared" si="67"/>
        <v xml:space="preserve">COM VALOR</v>
      </c>
      <c r="J1468" s="19"/>
      <c r="L1468" s="21">
        <v>52.630000000000003</v>
      </c>
      <c r="M1468" s="22">
        <v>5.0000000000000003e-002</v>
      </c>
      <c r="N1468" s="21">
        <v>51.329999999999998</v>
      </c>
      <c r="O1468" s="22">
        <v>5.0000000000000003e-002</v>
      </c>
    </row>
    <row r="1469" ht="38.25">
      <c r="A1469" t="s">
        <v>1471</v>
      </c>
      <c r="B1469" s="19">
        <v>87682</v>
      </c>
      <c r="C1469" s="20" t="s">
        <v>1517</v>
      </c>
      <c r="D1469" s="19" t="s">
        <v>29</v>
      </c>
      <c r="E1469" s="21">
        <f t="shared" si="65"/>
        <v>48.600000000000001</v>
      </c>
      <c r="F1469" s="22">
        <v>0</v>
      </c>
      <c r="G1469" s="21">
        <f t="shared" si="66"/>
        <v>47.350000000000001</v>
      </c>
      <c r="H1469" s="22">
        <v>0</v>
      </c>
      <c r="I1469" s="23" t="str">
        <f t="shared" si="67"/>
        <v xml:space="preserve">COM VALOR</v>
      </c>
      <c r="J1469" s="19"/>
      <c r="L1469" s="21">
        <v>48.600000000000001</v>
      </c>
      <c r="M1469" s="22">
        <v>0</v>
      </c>
      <c r="N1469" s="21">
        <v>47.350000000000001</v>
      </c>
      <c r="O1469" s="22">
        <v>0</v>
      </c>
    </row>
    <row r="1470" ht="38.25">
      <c r="A1470" t="s">
        <v>1471</v>
      </c>
      <c r="B1470" s="19">
        <v>87692</v>
      </c>
      <c r="C1470" s="20" t="s">
        <v>1518</v>
      </c>
      <c r="D1470" s="19" t="s">
        <v>29</v>
      </c>
      <c r="E1470" s="21">
        <f t="shared" si="65"/>
        <v>55.700000000000003</v>
      </c>
      <c r="F1470" s="22">
        <v>0</v>
      </c>
      <c r="G1470" s="21">
        <f t="shared" si="66"/>
        <v>54.25</v>
      </c>
      <c r="H1470" s="22">
        <v>0</v>
      </c>
      <c r="I1470" s="23" t="str">
        <f t="shared" si="67"/>
        <v xml:space="preserve">COM VALOR</v>
      </c>
      <c r="J1470" s="19"/>
      <c r="L1470" s="21">
        <v>55.700000000000003</v>
      </c>
      <c r="M1470" s="22">
        <v>0</v>
      </c>
      <c r="N1470" s="21">
        <v>54.25</v>
      </c>
      <c r="O1470" s="22">
        <v>0</v>
      </c>
    </row>
    <row r="1471" ht="38.25">
      <c r="A1471" t="s">
        <v>1471</v>
      </c>
      <c r="B1471" s="19">
        <v>87702</v>
      </c>
      <c r="C1471" s="20" t="s">
        <v>1519</v>
      </c>
      <c r="D1471" s="19" t="s">
        <v>29</v>
      </c>
      <c r="E1471" s="21">
        <f t="shared" si="65"/>
        <v>60.200000000000003</v>
      </c>
      <c r="F1471" s="22">
        <v>0</v>
      </c>
      <c r="G1471" s="21">
        <f t="shared" si="66"/>
        <v>58.649999999999999</v>
      </c>
      <c r="H1471" s="22">
        <v>0</v>
      </c>
      <c r="I1471" s="23" t="str">
        <f t="shared" si="67"/>
        <v xml:space="preserve">COM VALOR</v>
      </c>
      <c r="J1471" s="19"/>
      <c r="L1471" s="21">
        <v>60.200000000000003</v>
      </c>
      <c r="M1471" s="22">
        <v>0</v>
      </c>
      <c r="N1471" s="21">
        <v>58.649999999999999</v>
      </c>
      <c r="O1471" s="22">
        <v>0</v>
      </c>
    </row>
    <row r="1472" ht="51">
      <c r="A1472" t="s">
        <v>1471</v>
      </c>
      <c r="B1472" s="19">
        <v>87755</v>
      </c>
      <c r="C1472" s="20" t="s">
        <v>1520</v>
      </c>
      <c r="D1472" s="19" t="s">
        <v>29</v>
      </c>
      <c r="E1472" s="21">
        <f t="shared" si="65"/>
        <v>50.719999999999999</v>
      </c>
      <c r="F1472" s="22">
        <v>0</v>
      </c>
      <c r="G1472" s="21">
        <f t="shared" si="66"/>
        <v>49.049999999999997</v>
      </c>
      <c r="H1472" s="22">
        <v>0</v>
      </c>
      <c r="I1472" s="23" t="str">
        <f t="shared" si="67"/>
        <v xml:space="preserve">COM VALOR</v>
      </c>
      <c r="J1472" s="19"/>
      <c r="L1472" s="21">
        <v>50.719999999999999</v>
      </c>
      <c r="M1472" s="22">
        <v>0</v>
      </c>
      <c r="N1472" s="21">
        <v>49.049999999999997</v>
      </c>
      <c r="O1472" s="22">
        <v>0</v>
      </c>
    </row>
    <row r="1473" ht="51">
      <c r="A1473" t="s">
        <v>1471</v>
      </c>
      <c r="B1473" s="19">
        <v>87765</v>
      </c>
      <c r="C1473" s="20" t="s">
        <v>1521</v>
      </c>
      <c r="D1473" s="19" t="s">
        <v>29</v>
      </c>
      <c r="E1473" s="21">
        <f t="shared" si="65"/>
        <v>57.979999999999997</v>
      </c>
      <c r="F1473" s="22">
        <v>0</v>
      </c>
      <c r="G1473" s="21">
        <f t="shared" si="66"/>
        <v>56.170000000000002</v>
      </c>
      <c r="H1473" s="22">
        <v>0</v>
      </c>
      <c r="I1473" s="23" t="str">
        <f t="shared" si="67"/>
        <v xml:space="preserve">COM VALOR</v>
      </c>
      <c r="J1473" s="19"/>
      <c r="L1473" s="21">
        <v>57.979999999999997</v>
      </c>
      <c r="M1473" s="22">
        <v>0</v>
      </c>
      <c r="N1473" s="21">
        <v>56.170000000000002</v>
      </c>
      <c r="O1473" s="22">
        <v>0</v>
      </c>
    </row>
    <row r="1474" ht="51">
      <c r="A1474" t="s">
        <v>1471</v>
      </c>
      <c r="B1474" s="19">
        <v>87735</v>
      </c>
      <c r="C1474" s="20" t="s">
        <v>1522</v>
      </c>
      <c r="D1474" s="19" t="s">
        <v>29</v>
      </c>
      <c r="E1474" s="21">
        <f t="shared" si="65"/>
        <v>43.5</v>
      </c>
      <c r="F1474" s="22">
        <v>0</v>
      </c>
      <c r="G1474" s="21">
        <f t="shared" si="66"/>
        <v>42.07</v>
      </c>
      <c r="H1474" s="22">
        <v>0</v>
      </c>
      <c r="I1474" s="23" t="str">
        <f t="shared" si="67"/>
        <v xml:space="preserve">COM VALOR</v>
      </c>
      <c r="J1474" s="19"/>
      <c r="L1474" s="21">
        <v>43.5</v>
      </c>
      <c r="M1474" s="22">
        <v>5.9999999999999998e-002</v>
      </c>
      <c r="N1474" s="21">
        <v>42.07</v>
      </c>
      <c r="O1474" s="22">
        <v>5.9999999999999998e-002</v>
      </c>
    </row>
    <row r="1475" ht="51">
      <c r="A1475" t="s">
        <v>1471</v>
      </c>
      <c r="B1475" s="19">
        <v>87745</v>
      </c>
      <c r="C1475" s="20" t="s">
        <v>1523</v>
      </c>
      <c r="D1475" s="19" t="s">
        <v>29</v>
      </c>
      <c r="E1475" s="21">
        <f t="shared" si="65"/>
        <v>52.289999999999999</v>
      </c>
      <c r="F1475" s="22">
        <v>0</v>
      </c>
      <c r="G1475" s="21">
        <f t="shared" si="66"/>
        <v>50.689999999999998</v>
      </c>
      <c r="H1475" s="22">
        <v>0</v>
      </c>
      <c r="I1475" s="23" t="str">
        <f t="shared" si="67"/>
        <v xml:space="preserve">COM VALOR</v>
      </c>
      <c r="J1475" s="19"/>
      <c r="L1475" s="21">
        <v>52.289999999999999</v>
      </c>
      <c r="M1475" s="22">
        <v>5.0000000000000003e-002</v>
      </c>
      <c r="N1475" s="21">
        <v>50.689999999999998</v>
      </c>
      <c r="O1475" s="22">
        <v>5.0000000000000003e-002</v>
      </c>
    </row>
    <row r="1476" ht="51">
      <c r="A1476" t="s">
        <v>1471</v>
      </c>
      <c r="B1476" s="19">
        <v>87620</v>
      </c>
      <c r="C1476" s="20" t="s">
        <v>1524</v>
      </c>
      <c r="D1476" s="19" t="s">
        <v>29</v>
      </c>
      <c r="E1476" s="21">
        <f t="shared" si="65"/>
        <v>30.920000000000002</v>
      </c>
      <c r="F1476" s="22">
        <v>0</v>
      </c>
      <c r="G1476" s="21">
        <f t="shared" si="66"/>
        <v>30.199999999999999</v>
      </c>
      <c r="H1476" s="22">
        <v>0</v>
      </c>
      <c r="I1476" s="23" t="str">
        <f t="shared" si="67"/>
        <v xml:space="preserve">COM VALOR</v>
      </c>
      <c r="J1476" s="19"/>
      <c r="L1476" s="21">
        <v>30.920000000000002</v>
      </c>
      <c r="M1476" s="22">
        <v>8.9999999999999997e-002</v>
      </c>
      <c r="N1476" s="21">
        <v>30.199999999999999</v>
      </c>
      <c r="O1476" s="22">
        <v>8.9999999999999997e-002</v>
      </c>
    </row>
    <row r="1477" ht="51">
      <c r="A1477" t="s">
        <v>1471</v>
      </c>
      <c r="B1477" s="19">
        <v>87630</v>
      </c>
      <c r="C1477" s="20" t="s">
        <v>1525</v>
      </c>
      <c r="D1477" s="19" t="s">
        <v>29</v>
      </c>
      <c r="E1477" s="21">
        <f t="shared" si="65"/>
        <v>39.710000000000001</v>
      </c>
      <c r="F1477" s="22">
        <v>0</v>
      </c>
      <c r="G1477" s="21">
        <f t="shared" si="66"/>
        <v>38.82</v>
      </c>
      <c r="H1477" s="22">
        <v>0</v>
      </c>
      <c r="I1477" s="23" t="str">
        <f t="shared" si="67"/>
        <v xml:space="preserve">COM VALOR</v>
      </c>
      <c r="J1477" s="19"/>
      <c r="L1477" s="21">
        <v>39.710000000000001</v>
      </c>
      <c r="M1477" s="22">
        <v>7.0000000000000007e-002</v>
      </c>
      <c r="N1477" s="21">
        <v>38.82</v>
      </c>
      <c r="O1477" s="22">
        <v>7.0000000000000007e-002</v>
      </c>
    </row>
    <row r="1478" ht="51">
      <c r="A1478" t="s">
        <v>1471</v>
      </c>
      <c r="B1478" s="19">
        <v>87640</v>
      </c>
      <c r="C1478" s="20" t="s">
        <v>1526</v>
      </c>
      <c r="D1478" s="19" t="s">
        <v>29</v>
      </c>
      <c r="E1478" s="21">
        <f t="shared" si="65"/>
        <v>46.920000000000002</v>
      </c>
      <c r="F1478" s="22">
        <v>0</v>
      </c>
      <c r="G1478" s="21">
        <f t="shared" si="66"/>
        <v>45.890000000000001</v>
      </c>
      <c r="H1478" s="22">
        <v>0</v>
      </c>
      <c r="I1478" s="23" t="str">
        <f t="shared" si="67"/>
        <v xml:space="preserve">COM VALOR</v>
      </c>
      <c r="J1478" s="19"/>
      <c r="L1478" s="21">
        <v>46.920000000000002</v>
      </c>
      <c r="M1478" s="22">
        <v>5.9999999999999998e-002</v>
      </c>
      <c r="N1478" s="21">
        <v>45.890000000000001</v>
      </c>
      <c r="O1478" s="22">
        <v>5.9999999999999998e-002</v>
      </c>
    </row>
    <row r="1479" ht="51">
      <c r="A1479" t="s">
        <v>1471</v>
      </c>
      <c r="B1479" s="19">
        <v>87680</v>
      </c>
      <c r="C1479" s="20" t="s">
        <v>1527</v>
      </c>
      <c r="D1479" s="19" t="s">
        <v>29</v>
      </c>
      <c r="E1479" s="21">
        <f t="shared" si="65"/>
        <v>42.890000000000001</v>
      </c>
      <c r="F1479" s="22">
        <v>0</v>
      </c>
      <c r="G1479" s="21">
        <f t="shared" si="66"/>
        <v>41.909999999999997</v>
      </c>
      <c r="H1479" s="22">
        <v>0</v>
      </c>
      <c r="I1479" s="23" t="str">
        <f t="shared" si="67"/>
        <v xml:space="preserve">COM VALOR</v>
      </c>
      <c r="J1479" s="19"/>
      <c r="L1479" s="21">
        <v>42.890000000000001</v>
      </c>
      <c r="M1479" s="22">
        <v>0</v>
      </c>
      <c r="N1479" s="21">
        <v>41.909999999999997</v>
      </c>
      <c r="O1479" s="22">
        <v>0</v>
      </c>
    </row>
    <row r="1480" ht="51">
      <c r="A1480" t="s">
        <v>1471</v>
      </c>
      <c r="B1480" s="19">
        <v>87690</v>
      </c>
      <c r="C1480" s="20" t="s">
        <v>1528</v>
      </c>
      <c r="D1480" s="19" t="s">
        <v>29</v>
      </c>
      <c r="E1480" s="21">
        <f t="shared" si="65"/>
        <v>49.149999999999999</v>
      </c>
      <c r="F1480" s="22">
        <v>0</v>
      </c>
      <c r="G1480" s="21">
        <f t="shared" si="66"/>
        <v>48.020000000000003</v>
      </c>
      <c r="H1480" s="22">
        <v>0</v>
      </c>
      <c r="I1480" s="23" t="str">
        <f t="shared" si="67"/>
        <v xml:space="preserve">COM VALOR</v>
      </c>
      <c r="J1480" s="19"/>
      <c r="L1480" s="21">
        <v>49.149999999999999</v>
      </c>
      <c r="M1480" s="22">
        <v>0</v>
      </c>
      <c r="N1480" s="21">
        <v>48.020000000000003</v>
      </c>
      <c r="O1480" s="22">
        <v>0</v>
      </c>
    </row>
    <row r="1481" ht="51">
      <c r="A1481" t="s">
        <v>1471</v>
      </c>
      <c r="B1481" s="19">
        <v>87700</v>
      </c>
      <c r="C1481" s="20" t="s">
        <v>1529</v>
      </c>
      <c r="D1481" s="19" t="s">
        <v>29</v>
      </c>
      <c r="E1481" s="21">
        <f t="shared" si="65"/>
        <v>53.07</v>
      </c>
      <c r="F1481" s="22">
        <v>0</v>
      </c>
      <c r="G1481" s="21">
        <f t="shared" si="66"/>
        <v>51.869999999999997</v>
      </c>
      <c r="H1481" s="22">
        <v>0</v>
      </c>
      <c r="I1481" s="23" t="str">
        <f t="shared" si="67"/>
        <v xml:space="preserve">COM VALOR</v>
      </c>
      <c r="J1481" s="19"/>
      <c r="L1481" s="21">
        <v>53.07</v>
      </c>
      <c r="M1481" s="22">
        <v>0</v>
      </c>
      <c r="N1481" s="21">
        <v>51.869999999999997</v>
      </c>
      <c r="O1481" s="22">
        <v>0</v>
      </c>
    </row>
    <row r="1482" ht="25.5">
      <c r="A1482" t="s">
        <v>1471</v>
      </c>
      <c r="B1482" s="19">
        <v>102803</v>
      </c>
      <c r="C1482" s="20" t="s">
        <v>1530</v>
      </c>
      <c r="D1482" s="19" t="s">
        <v>29</v>
      </c>
      <c r="E1482" s="21">
        <f t="shared" si="65"/>
        <v>2.48</v>
      </c>
      <c r="F1482" s="22">
        <v>0</v>
      </c>
      <c r="G1482" s="21">
        <f t="shared" si="66"/>
        <v>2.3599999999999999</v>
      </c>
      <c r="H1482" s="22">
        <v>0</v>
      </c>
      <c r="I1482" s="23" t="str">
        <f t="shared" si="67"/>
        <v xml:space="preserve">COM VALOR</v>
      </c>
      <c r="J1482" s="19"/>
      <c r="L1482" s="21">
        <v>2.48</v>
      </c>
      <c r="M1482" s="22">
        <v>0</v>
      </c>
      <c r="N1482" s="21">
        <v>2.3599999999999999</v>
      </c>
      <c r="O1482" s="22">
        <v>0</v>
      </c>
    </row>
    <row r="1483" ht="25.5">
      <c r="A1483" t="s">
        <v>1531</v>
      </c>
      <c r="B1483" s="19">
        <v>92717</v>
      </c>
      <c r="C1483" s="20" t="s">
        <v>1532</v>
      </c>
      <c r="D1483" s="19" t="s">
        <v>1533</v>
      </c>
      <c r="E1483" s="21">
        <f t="shared" ref="E1483:E1546" si="68">IF(L1483=0,"VERIFICAR",L1483)</f>
        <v>0.35999999999999999</v>
      </c>
      <c r="F1483" s="22">
        <v>0</v>
      </c>
      <c r="G1483" s="21">
        <f t="shared" ref="G1483:G1546" si="69">IF(N1483=0,"VERIFICAR",N1483)</f>
        <v>0.35999999999999999</v>
      </c>
      <c r="H1483" s="22">
        <v>0</v>
      </c>
      <c r="I1483" s="23" t="str">
        <f t="shared" ref="I1483:I1546" si="70">IF(OR(E1483=0,G1483=0),"SEM VALOR","COM VALOR")</f>
        <v xml:space="preserve">COM VALOR</v>
      </c>
      <c r="J1483" s="19"/>
      <c r="L1483" s="21">
        <v>0.35999999999999999</v>
      </c>
      <c r="M1483" s="22">
        <v>0</v>
      </c>
      <c r="N1483" s="21">
        <v>0.35999999999999999</v>
      </c>
      <c r="O1483" s="22">
        <v>0</v>
      </c>
    </row>
    <row r="1484" ht="25.5">
      <c r="A1484" t="s">
        <v>1531</v>
      </c>
      <c r="B1484" s="19">
        <v>92716</v>
      </c>
      <c r="C1484" s="20" t="s">
        <v>1534</v>
      </c>
      <c r="D1484" s="19" t="s">
        <v>1535</v>
      </c>
      <c r="E1484" s="21">
        <f t="shared" si="68"/>
        <v>115.45</v>
      </c>
      <c r="F1484" s="22"/>
      <c r="G1484" s="21">
        <f t="shared" si="69"/>
        <v>115.45</v>
      </c>
      <c r="H1484" s="22"/>
      <c r="I1484" s="23" t="str">
        <f t="shared" si="70"/>
        <v xml:space="preserve">COM VALOR</v>
      </c>
      <c r="J1484" s="19"/>
      <c r="L1484" s="21">
        <v>115.45</v>
      </c>
      <c r="M1484" s="22">
        <v>0</v>
      </c>
      <c r="N1484" s="21">
        <v>115.45</v>
      </c>
      <c r="O1484" s="22">
        <v>0</v>
      </c>
    </row>
    <row r="1485" ht="38.25">
      <c r="A1485" t="s">
        <v>1531</v>
      </c>
      <c r="B1485" s="19">
        <v>103668</v>
      </c>
      <c r="C1485" s="20" t="s">
        <v>1536</v>
      </c>
      <c r="D1485" s="19" t="s">
        <v>1533</v>
      </c>
      <c r="E1485" s="21" t="str">
        <f t="shared" si="68"/>
        <v>VERIFICAR</v>
      </c>
      <c r="F1485" s="22"/>
      <c r="G1485" s="21" t="str">
        <f t="shared" si="69"/>
        <v>VERIFICAR</v>
      </c>
      <c r="H1485" s="22"/>
      <c r="I1485" s="23" t="str">
        <f t="shared" si="70"/>
        <v xml:space="preserve">COM VALOR</v>
      </c>
      <c r="J1485" s="19"/>
      <c r="L1485" s="21">
        <v>0</v>
      </c>
      <c r="M1485" s="22"/>
      <c r="N1485" s="21">
        <v>0</v>
      </c>
      <c r="O1485" s="22"/>
    </row>
    <row r="1486" ht="38.25">
      <c r="A1486" t="s">
        <v>1531</v>
      </c>
      <c r="B1486" s="19">
        <v>103667</v>
      </c>
      <c r="C1486" s="20" t="s">
        <v>1537</v>
      </c>
      <c r="D1486" s="19" t="s">
        <v>1535</v>
      </c>
      <c r="E1486" s="21" t="str">
        <f t="shared" si="68"/>
        <v>VERIFICAR</v>
      </c>
      <c r="F1486" s="22">
        <v>0</v>
      </c>
      <c r="G1486" s="21" t="str">
        <f t="shared" si="69"/>
        <v>VERIFICAR</v>
      </c>
      <c r="H1486" s="22">
        <v>0</v>
      </c>
      <c r="I1486" s="23" t="str">
        <f t="shared" si="70"/>
        <v xml:space="preserve">COM VALOR</v>
      </c>
      <c r="J1486" s="19"/>
      <c r="L1486" s="21">
        <v>0</v>
      </c>
      <c r="M1486" s="22"/>
      <c r="N1486" s="21">
        <v>0</v>
      </c>
      <c r="O1486" s="22"/>
    </row>
    <row r="1487" ht="25.5">
      <c r="A1487" t="s">
        <v>1531</v>
      </c>
      <c r="B1487" s="19">
        <v>89218</v>
      </c>
      <c r="C1487" s="20" t="s">
        <v>1538</v>
      </c>
      <c r="D1487" s="19" t="s">
        <v>1533</v>
      </c>
      <c r="E1487" s="21">
        <f t="shared" si="68"/>
        <v>96.060000000000002</v>
      </c>
      <c r="F1487" s="22">
        <v>0</v>
      </c>
      <c r="G1487" s="21">
        <f t="shared" si="69"/>
        <v>92.599999999999994</v>
      </c>
      <c r="H1487" s="22">
        <v>0</v>
      </c>
      <c r="I1487" s="23" t="str">
        <f t="shared" si="70"/>
        <v xml:space="preserve">COM VALOR</v>
      </c>
      <c r="J1487" s="19"/>
      <c r="L1487" s="21">
        <v>96.060000000000002</v>
      </c>
      <c r="M1487" s="22">
        <v>0.40999999999999998</v>
      </c>
      <c r="N1487" s="21">
        <v>92.599999999999994</v>
      </c>
      <c r="O1487" s="22">
        <v>0.41999999999999998</v>
      </c>
    </row>
    <row r="1488" ht="25.5">
      <c r="A1488" t="s">
        <v>1531</v>
      </c>
      <c r="B1488" s="19">
        <v>89843</v>
      </c>
      <c r="C1488" s="20" t="s">
        <v>1539</v>
      </c>
      <c r="D1488" s="19" t="s">
        <v>1535</v>
      </c>
      <c r="E1488" s="21">
        <f t="shared" si="68"/>
        <v>229.38</v>
      </c>
      <c r="F1488" s="22">
        <v>0</v>
      </c>
      <c r="G1488" s="21">
        <f t="shared" si="69"/>
        <v>225.91999999999999</v>
      </c>
      <c r="H1488" s="22">
        <v>0</v>
      </c>
      <c r="I1488" s="23" t="str">
        <f t="shared" si="70"/>
        <v xml:space="preserve">COM VALOR</v>
      </c>
      <c r="J1488" s="19"/>
      <c r="L1488" s="21">
        <v>229.38</v>
      </c>
      <c r="M1488" s="22">
        <v>0.28999999999999998</v>
      </c>
      <c r="N1488" s="21">
        <v>225.91999999999999</v>
      </c>
      <c r="O1488" s="22">
        <v>0.29999999999999999</v>
      </c>
    </row>
    <row r="1489" ht="38.25">
      <c r="A1489" t="s">
        <v>1531</v>
      </c>
      <c r="B1489" s="19">
        <v>87446</v>
      </c>
      <c r="C1489" s="20" t="s">
        <v>1540</v>
      </c>
      <c r="D1489" s="19" t="s">
        <v>1533</v>
      </c>
      <c r="E1489" s="21">
        <f t="shared" si="68"/>
        <v>0.53000000000000003</v>
      </c>
      <c r="F1489" s="22">
        <v>0</v>
      </c>
      <c r="G1489" s="21">
        <f t="shared" si="69"/>
        <v>0.53000000000000003</v>
      </c>
      <c r="H1489" s="22">
        <v>0</v>
      </c>
      <c r="I1489" s="23" t="str">
        <f t="shared" si="70"/>
        <v xml:space="preserve">COM VALOR</v>
      </c>
      <c r="J1489" s="19"/>
      <c r="L1489" s="21">
        <v>0.53000000000000003</v>
      </c>
      <c r="M1489" s="22">
        <v>0</v>
      </c>
      <c r="N1489" s="21">
        <v>0.53000000000000003</v>
      </c>
      <c r="O1489" s="22">
        <v>0</v>
      </c>
    </row>
    <row r="1490" ht="38.25">
      <c r="A1490" t="s">
        <v>1531</v>
      </c>
      <c r="B1490" s="19">
        <v>87445</v>
      </c>
      <c r="C1490" s="20" t="s">
        <v>1541</v>
      </c>
      <c r="D1490" s="19" t="s">
        <v>1535</v>
      </c>
      <c r="E1490" s="21">
        <f t="shared" si="68"/>
        <v>5.8200000000000003</v>
      </c>
      <c r="F1490" s="22">
        <v>0.64000000000000001</v>
      </c>
      <c r="G1490" s="21">
        <f t="shared" si="69"/>
        <v>5.8200000000000003</v>
      </c>
      <c r="H1490" s="22">
        <v>0.66000000000000003</v>
      </c>
      <c r="I1490" s="23" t="str">
        <f t="shared" si="70"/>
        <v xml:space="preserve">COM VALOR</v>
      </c>
      <c r="J1490" s="19"/>
      <c r="L1490" s="21">
        <v>5.8200000000000003</v>
      </c>
      <c r="M1490" s="22">
        <v>0</v>
      </c>
      <c r="N1490" s="21">
        <v>5.8200000000000003</v>
      </c>
      <c r="O1490" s="22">
        <v>0</v>
      </c>
    </row>
    <row r="1491" ht="38.25">
      <c r="A1491" t="s">
        <v>1531</v>
      </c>
      <c r="B1491" s="19">
        <v>93234</v>
      </c>
      <c r="C1491" s="20" t="s">
        <v>1542</v>
      </c>
      <c r="D1491" s="19" t="s">
        <v>1533</v>
      </c>
      <c r="E1491" s="21">
        <f t="shared" si="68"/>
        <v>0.47999999999999998</v>
      </c>
      <c r="F1491" s="22">
        <v>0.35999999999999999</v>
      </c>
      <c r="G1491" s="21">
        <f t="shared" si="69"/>
        <v>0.47999999999999998</v>
      </c>
      <c r="H1491" s="22">
        <v>0.37</v>
      </c>
      <c r="I1491" s="23" t="str">
        <f t="shared" si="70"/>
        <v xml:space="preserve">COM VALOR</v>
      </c>
      <c r="J1491" s="19"/>
      <c r="L1491" s="21">
        <v>0.47999999999999998</v>
      </c>
      <c r="M1491" s="22">
        <v>0</v>
      </c>
      <c r="N1491" s="21">
        <v>0.47999999999999998</v>
      </c>
      <c r="O1491" s="22">
        <v>0</v>
      </c>
    </row>
    <row r="1492" ht="38.25">
      <c r="A1492" t="s">
        <v>1531</v>
      </c>
      <c r="B1492" s="19">
        <v>93233</v>
      </c>
      <c r="C1492" s="20" t="s">
        <v>1543</v>
      </c>
      <c r="D1492" s="19" t="s">
        <v>1535</v>
      </c>
      <c r="E1492" s="21">
        <f t="shared" si="68"/>
        <v>5.8200000000000003</v>
      </c>
      <c r="F1492" s="22">
        <v>0.68000000000000005</v>
      </c>
      <c r="G1492" s="21">
        <f t="shared" si="69"/>
        <v>5.8200000000000003</v>
      </c>
      <c r="H1492" s="22">
        <v>0.69999999999999996</v>
      </c>
      <c r="I1492" s="23" t="str">
        <f t="shared" si="70"/>
        <v xml:space="preserve">COM VALOR</v>
      </c>
      <c r="J1492" s="19"/>
      <c r="L1492" s="21">
        <v>5.8200000000000003</v>
      </c>
      <c r="M1492" s="22">
        <v>0</v>
      </c>
      <c r="N1492" s="21">
        <v>5.8200000000000003</v>
      </c>
      <c r="O1492" s="22">
        <v>0</v>
      </c>
    </row>
    <row r="1493" ht="38.25">
      <c r="A1493" t="s">
        <v>1531</v>
      </c>
      <c r="B1493" s="19">
        <v>102953</v>
      </c>
      <c r="C1493" s="20" t="s">
        <v>1544</v>
      </c>
      <c r="D1493" s="19" t="s">
        <v>1533</v>
      </c>
      <c r="E1493" s="21" t="str">
        <f t="shared" si="68"/>
        <v>VERIFICAR</v>
      </c>
      <c r="F1493" s="22">
        <v>0.40000000000000002</v>
      </c>
      <c r="G1493" s="21" t="str">
        <f t="shared" si="69"/>
        <v>VERIFICAR</v>
      </c>
      <c r="H1493" s="22">
        <v>0.40000000000000002</v>
      </c>
      <c r="I1493" s="23" t="str">
        <f t="shared" si="70"/>
        <v xml:space="preserve">COM VALOR</v>
      </c>
      <c r="J1493" s="19"/>
      <c r="L1493" s="21">
        <v>0</v>
      </c>
      <c r="M1493" s="22"/>
      <c r="N1493" s="21">
        <v>0</v>
      </c>
      <c r="O1493" s="22"/>
    </row>
    <row r="1494" ht="38.25">
      <c r="A1494" t="s">
        <v>1531</v>
      </c>
      <c r="B1494" s="19">
        <v>102952</v>
      </c>
      <c r="C1494" s="20" t="s">
        <v>1545</v>
      </c>
      <c r="D1494" s="19" t="s">
        <v>1535</v>
      </c>
      <c r="E1494" s="21" t="str">
        <f t="shared" si="68"/>
        <v>VERIFICAR</v>
      </c>
      <c r="F1494" s="22">
        <v>0.23000000000000001</v>
      </c>
      <c r="G1494" s="21" t="str">
        <f t="shared" si="69"/>
        <v>VERIFICAR</v>
      </c>
      <c r="H1494" s="22">
        <v>0.23000000000000001</v>
      </c>
      <c r="I1494" s="23" t="str">
        <f t="shared" si="70"/>
        <v xml:space="preserve">COM VALOR</v>
      </c>
      <c r="J1494" s="19"/>
      <c r="L1494" s="21">
        <v>0</v>
      </c>
      <c r="M1494" s="22"/>
      <c r="N1494" s="21">
        <v>0</v>
      </c>
      <c r="O1494" s="22"/>
    </row>
    <row r="1495" ht="38.25">
      <c r="A1495" t="s">
        <v>1531</v>
      </c>
      <c r="B1495" s="19">
        <v>88831</v>
      </c>
      <c r="C1495" s="20" t="s">
        <v>1546</v>
      </c>
      <c r="D1495" s="19" t="s">
        <v>1533</v>
      </c>
      <c r="E1495" s="21">
        <f t="shared" si="68"/>
        <v>0.38</v>
      </c>
      <c r="F1495" s="22">
        <v>0.12</v>
      </c>
      <c r="G1495" s="21">
        <f t="shared" si="69"/>
        <v>0.38</v>
      </c>
      <c r="H1495" s="22">
        <v>0.12</v>
      </c>
      <c r="I1495" s="23" t="str">
        <f t="shared" si="70"/>
        <v xml:space="preserve">COM VALOR</v>
      </c>
      <c r="J1495" s="19"/>
      <c r="L1495" s="21">
        <v>0.38</v>
      </c>
      <c r="M1495" s="22">
        <v>0</v>
      </c>
      <c r="N1495" s="21">
        <v>0.38</v>
      </c>
      <c r="O1495" s="22">
        <v>0</v>
      </c>
    </row>
    <row r="1496" ht="38.25">
      <c r="A1496" t="s">
        <v>1531</v>
      </c>
      <c r="B1496" s="19">
        <v>88830</v>
      </c>
      <c r="C1496" s="20" t="s">
        <v>1547</v>
      </c>
      <c r="D1496" s="19" t="s">
        <v>1535</v>
      </c>
      <c r="E1496" s="21">
        <f t="shared" si="68"/>
        <v>2.1299999999999999</v>
      </c>
      <c r="F1496" s="22">
        <v>0.26000000000000001</v>
      </c>
      <c r="G1496" s="21">
        <f t="shared" si="69"/>
        <v>2.1299999999999999</v>
      </c>
      <c r="H1496" s="22">
        <v>0.26000000000000001</v>
      </c>
      <c r="I1496" s="23" t="str">
        <f t="shared" si="70"/>
        <v xml:space="preserve">COM VALOR</v>
      </c>
      <c r="J1496" s="19"/>
      <c r="L1496" s="21">
        <v>2.1299999999999999</v>
      </c>
      <c r="M1496" s="22">
        <v>0</v>
      </c>
      <c r="N1496" s="21">
        <v>2.1299999999999999</v>
      </c>
      <c r="O1496" s="22">
        <v>0</v>
      </c>
    </row>
    <row r="1497" ht="38.25">
      <c r="A1497" t="s">
        <v>1531</v>
      </c>
      <c r="B1497" s="19">
        <v>89226</v>
      </c>
      <c r="C1497" s="20" t="s">
        <v>1548</v>
      </c>
      <c r="D1497" s="19" t="s">
        <v>1533</v>
      </c>
      <c r="E1497" s="21">
        <f t="shared" si="68"/>
        <v>1.5900000000000001</v>
      </c>
      <c r="F1497" s="22">
        <v>0.13</v>
      </c>
      <c r="G1497" s="21">
        <f t="shared" si="69"/>
        <v>1.5900000000000001</v>
      </c>
      <c r="H1497" s="22">
        <v>0.13</v>
      </c>
      <c r="I1497" s="23" t="str">
        <f t="shared" si="70"/>
        <v xml:space="preserve">COM VALOR</v>
      </c>
      <c r="J1497" s="19"/>
      <c r="L1497" s="21">
        <v>1.5900000000000001</v>
      </c>
      <c r="M1497" s="22">
        <v>0</v>
      </c>
      <c r="N1497" s="21">
        <v>1.5900000000000001</v>
      </c>
      <c r="O1497" s="22">
        <v>0</v>
      </c>
    </row>
    <row r="1498" ht="38.25">
      <c r="A1498" t="s">
        <v>1531</v>
      </c>
      <c r="B1498" s="19">
        <v>89225</v>
      </c>
      <c r="C1498" s="20" t="s">
        <v>1549</v>
      </c>
      <c r="D1498" s="19" t="s">
        <v>1535</v>
      </c>
      <c r="E1498" s="21">
        <f t="shared" si="68"/>
        <v>5.8300000000000001</v>
      </c>
      <c r="F1498" s="22">
        <v>0.58999999999999997</v>
      </c>
      <c r="G1498" s="21">
        <f t="shared" si="69"/>
        <v>5.8300000000000001</v>
      </c>
      <c r="H1498" s="22">
        <v>0.60999999999999999</v>
      </c>
      <c r="I1498" s="23" t="str">
        <f t="shared" si="70"/>
        <v xml:space="preserve">COM VALOR</v>
      </c>
      <c r="J1498" s="19"/>
      <c r="L1498" s="21">
        <v>5.8300000000000001</v>
      </c>
      <c r="M1498" s="22">
        <v>0</v>
      </c>
      <c r="N1498" s="21">
        <v>5.8300000000000001</v>
      </c>
      <c r="O1498" s="22">
        <v>0</v>
      </c>
    </row>
    <row r="1499" ht="38.25">
      <c r="A1499" t="s">
        <v>1531</v>
      </c>
      <c r="B1499" s="19">
        <v>89279</v>
      </c>
      <c r="C1499" s="20" t="s">
        <v>1550</v>
      </c>
      <c r="D1499" s="19" t="s">
        <v>1533</v>
      </c>
      <c r="E1499" s="21">
        <f t="shared" si="68"/>
        <v>1.9299999999999999</v>
      </c>
      <c r="F1499" s="22">
        <v>0.41999999999999998</v>
      </c>
      <c r="G1499" s="21">
        <f t="shared" si="69"/>
        <v>1.9299999999999999</v>
      </c>
      <c r="H1499" s="22">
        <v>0.41999999999999998</v>
      </c>
      <c r="I1499" s="23" t="str">
        <f t="shared" si="70"/>
        <v xml:space="preserve">COM VALOR</v>
      </c>
      <c r="J1499" s="19"/>
      <c r="L1499" s="21">
        <v>1.9299999999999999</v>
      </c>
      <c r="M1499" s="22">
        <v>0</v>
      </c>
      <c r="N1499" s="21">
        <v>1.9299999999999999</v>
      </c>
      <c r="O1499" s="22">
        <v>0</v>
      </c>
    </row>
    <row r="1500" ht="38.25">
      <c r="A1500" t="s">
        <v>1531</v>
      </c>
      <c r="B1500" s="19">
        <v>89278</v>
      </c>
      <c r="C1500" s="20" t="s">
        <v>1551</v>
      </c>
      <c r="D1500" s="19" t="s">
        <v>1535</v>
      </c>
      <c r="E1500" s="21">
        <f t="shared" si="68"/>
        <v>13.4</v>
      </c>
      <c r="F1500" s="22">
        <v>0.57999999999999996</v>
      </c>
      <c r="G1500" s="21">
        <f t="shared" si="69"/>
        <v>13.4</v>
      </c>
      <c r="H1500" s="22">
        <v>0.59999999999999998</v>
      </c>
      <c r="I1500" s="23" t="str">
        <f t="shared" si="70"/>
        <v xml:space="preserve">COM VALOR</v>
      </c>
      <c r="J1500" s="19"/>
      <c r="L1500" s="21">
        <v>13.4</v>
      </c>
      <c r="M1500" s="22">
        <v>0</v>
      </c>
      <c r="N1500" s="21">
        <v>13.4</v>
      </c>
      <c r="O1500" s="22">
        <v>0</v>
      </c>
    </row>
    <row r="1501" ht="38.25">
      <c r="A1501" t="s">
        <v>1531</v>
      </c>
      <c r="B1501" s="19">
        <v>90651</v>
      </c>
      <c r="C1501" s="20" t="s">
        <v>1552</v>
      </c>
      <c r="D1501" s="19" t="s">
        <v>1533</v>
      </c>
      <c r="E1501" s="21">
        <f t="shared" si="68"/>
        <v>0.93000000000000005</v>
      </c>
      <c r="F1501" s="22">
        <v>0.37</v>
      </c>
      <c r="G1501" s="21">
        <f t="shared" si="69"/>
        <v>0.93000000000000005</v>
      </c>
      <c r="H1501" s="22">
        <v>0.37</v>
      </c>
      <c r="I1501" s="23" t="str">
        <f t="shared" si="70"/>
        <v xml:space="preserve">COM VALOR</v>
      </c>
      <c r="J1501" s="19"/>
      <c r="L1501" s="21">
        <v>0.93000000000000005</v>
      </c>
      <c r="M1501" s="22">
        <v>0</v>
      </c>
      <c r="N1501" s="21">
        <v>0.93000000000000005</v>
      </c>
      <c r="O1501" s="22">
        <v>0</v>
      </c>
    </row>
    <row r="1502" ht="38.25">
      <c r="A1502" t="s">
        <v>1531</v>
      </c>
      <c r="B1502" s="19">
        <v>90650</v>
      </c>
      <c r="C1502" s="20" t="s">
        <v>1553</v>
      </c>
      <c r="D1502" s="19" t="s">
        <v>1535</v>
      </c>
      <c r="E1502" s="21">
        <f t="shared" si="68"/>
        <v>12.69</v>
      </c>
      <c r="F1502" s="22">
        <v>8.0000000000000002e-002</v>
      </c>
      <c r="G1502" s="21">
        <f t="shared" si="69"/>
        <v>12.69</v>
      </c>
      <c r="H1502" s="22">
        <v>8.0000000000000002e-002</v>
      </c>
      <c r="I1502" s="23" t="str">
        <f t="shared" si="70"/>
        <v xml:space="preserve">COM VALOR</v>
      </c>
      <c r="J1502" s="19"/>
      <c r="L1502" s="21">
        <v>12.69</v>
      </c>
      <c r="M1502" s="22">
        <v>0</v>
      </c>
      <c r="N1502" s="21">
        <v>12.69</v>
      </c>
      <c r="O1502" s="22">
        <v>0</v>
      </c>
    </row>
    <row r="1503" ht="25.5">
      <c r="A1503" t="s">
        <v>1531</v>
      </c>
      <c r="B1503" s="19">
        <v>106101</v>
      </c>
      <c r="C1503" s="20" t="s">
        <v>1554</v>
      </c>
      <c r="D1503" s="19" t="s">
        <v>1533</v>
      </c>
      <c r="E1503" s="21" t="str">
        <f t="shared" si="68"/>
        <v>VERIFICAR</v>
      </c>
      <c r="F1503" s="22">
        <v>2.9999999999999999e-002</v>
      </c>
      <c r="G1503" s="21" t="str">
        <f t="shared" si="69"/>
        <v>VERIFICAR</v>
      </c>
      <c r="H1503" s="22">
        <v>2.9999999999999999e-002</v>
      </c>
      <c r="I1503" s="23" t="str">
        <f t="shared" si="70"/>
        <v xml:space="preserve">COM VALOR</v>
      </c>
      <c r="J1503" s="19"/>
      <c r="L1503" s="21">
        <v>0</v>
      </c>
      <c r="M1503" s="22"/>
      <c r="N1503" s="21">
        <v>0</v>
      </c>
      <c r="O1503" s="22"/>
    </row>
    <row r="1504" ht="25.5">
      <c r="A1504" t="s">
        <v>1531</v>
      </c>
      <c r="B1504" s="19">
        <v>106100</v>
      </c>
      <c r="C1504" s="20" t="s">
        <v>1555</v>
      </c>
      <c r="D1504" s="19" t="s">
        <v>1535</v>
      </c>
      <c r="E1504" s="21" t="str">
        <f t="shared" si="68"/>
        <v>VERIFICAR</v>
      </c>
      <c r="F1504" s="22">
        <v>8.0000000000000002e-002</v>
      </c>
      <c r="G1504" s="21" t="str">
        <f t="shared" si="69"/>
        <v>VERIFICAR</v>
      </c>
      <c r="H1504" s="22">
        <v>8.0000000000000002e-002</v>
      </c>
      <c r="I1504" s="23" t="str">
        <f t="shared" si="70"/>
        <v xml:space="preserve">COM VALOR</v>
      </c>
      <c r="J1504" s="19"/>
      <c r="L1504" s="21">
        <v>0</v>
      </c>
      <c r="M1504" s="22"/>
      <c r="N1504" s="21">
        <v>0</v>
      </c>
      <c r="O1504" s="22"/>
    </row>
    <row r="1505" ht="25.5">
      <c r="A1505" t="s">
        <v>1531</v>
      </c>
      <c r="B1505" s="19">
        <v>90657</v>
      </c>
      <c r="C1505" s="20" t="s">
        <v>1556</v>
      </c>
      <c r="D1505" s="19" t="s">
        <v>1533</v>
      </c>
      <c r="E1505" s="21">
        <f t="shared" si="68"/>
        <v>4.79</v>
      </c>
      <c r="F1505" s="22">
        <v>2.9999999999999999e-002</v>
      </c>
      <c r="G1505" s="21">
        <f t="shared" si="69"/>
        <v>4.79</v>
      </c>
      <c r="H1505" s="22">
        <v>2.9999999999999999e-002</v>
      </c>
      <c r="I1505" s="23" t="str">
        <f t="shared" si="70"/>
        <v xml:space="preserve">COM VALOR</v>
      </c>
      <c r="J1505" s="19"/>
      <c r="L1505" s="21">
        <v>4.79</v>
      </c>
      <c r="M1505" s="22">
        <v>0</v>
      </c>
      <c r="N1505" s="21">
        <v>4.79</v>
      </c>
      <c r="O1505" s="22">
        <v>0</v>
      </c>
    </row>
    <row r="1506" ht="25.5">
      <c r="A1506" t="s">
        <v>1531</v>
      </c>
      <c r="B1506" s="19">
        <v>90656</v>
      </c>
      <c r="C1506" s="20" t="s">
        <v>1557</v>
      </c>
      <c r="D1506" s="19" t="s">
        <v>1535</v>
      </c>
      <c r="E1506" s="21">
        <f t="shared" si="68"/>
        <v>16.23</v>
      </c>
      <c r="F1506" s="22">
        <v>0.72999999999999998</v>
      </c>
      <c r="G1506" s="21">
        <f t="shared" si="69"/>
        <v>16.23</v>
      </c>
      <c r="H1506" s="22">
        <v>0.73999999999999999</v>
      </c>
      <c r="I1506" s="23" t="str">
        <f t="shared" si="70"/>
        <v xml:space="preserve">COM VALOR</v>
      </c>
      <c r="J1506" s="19"/>
      <c r="L1506" s="21">
        <v>16.23</v>
      </c>
      <c r="M1506" s="22">
        <v>0</v>
      </c>
      <c r="N1506" s="21">
        <v>16.23</v>
      </c>
      <c r="O1506" s="22">
        <v>0</v>
      </c>
    </row>
    <row r="1507" ht="25.5">
      <c r="A1507" t="s">
        <v>1531</v>
      </c>
      <c r="B1507" s="19">
        <v>90663</v>
      </c>
      <c r="C1507" s="20" t="s">
        <v>1558</v>
      </c>
      <c r="D1507" s="19" t="s">
        <v>1533</v>
      </c>
      <c r="E1507" s="21">
        <f t="shared" si="68"/>
        <v>5.1299999999999999</v>
      </c>
      <c r="F1507" s="22">
        <v>0.38</v>
      </c>
      <c r="G1507" s="21">
        <f t="shared" si="69"/>
        <v>5.1299999999999999</v>
      </c>
      <c r="H1507" s="22">
        <v>0.38</v>
      </c>
      <c r="I1507" s="23" t="str">
        <f t="shared" si="70"/>
        <v xml:space="preserve">COM VALOR</v>
      </c>
      <c r="J1507" s="19"/>
      <c r="L1507" s="21">
        <v>5.1299999999999999</v>
      </c>
      <c r="M1507" s="22">
        <v>0</v>
      </c>
      <c r="N1507" s="21">
        <v>5.1299999999999999</v>
      </c>
      <c r="O1507" s="22">
        <v>0</v>
      </c>
    </row>
    <row r="1508" ht="25.5">
      <c r="A1508" t="s">
        <v>1531</v>
      </c>
      <c r="B1508" s="19">
        <v>90662</v>
      </c>
      <c r="C1508" s="20" t="s">
        <v>1559</v>
      </c>
      <c r="D1508" s="19" t="s">
        <v>1535</v>
      </c>
      <c r="E1508" s="21">
        <f t="shared" si="68"/>
        <v>16.879999999999999</v>
      </c>
      <c r="F1508" s="22">
        <v>0.65000000000000002</v>
      </c>
      <c r="G1508" s="21">
        <f t="shared" si="69"/>
        <v>16.879999999999999</v>
      </c>
      <c r="H1508" s="22">
        <v>0.67000000000000004</v>
      </c>
      <c r="I1508" s="23" t="str">
        <f t="shared" si="70"/>
        <v xml:space="preserve">COM VALOR</v>
      </c>
      <c r="J1508" s="19"/>
      <c r="L1508" s="21">
        <v>16.879999999999999</v>
      </c>
      <c r="M1508" s="22">
        <v>0</v>
      </c>
      <c r="N1508" s="21">
        <v>16.879999999999999</v>
      </c>
      <c r="O1508" s="22">
        <v>0</v>
      </c>
    </row>
    <row r="1509" ht="38.25">
      <c r="A1509" t="s">
        <v>1531</v>
      </c>
      <c r="B1509" s="19">
        <v>89022</v>
      </c>
      <c r="C1509" s="20" t="s">
        <v>1560</v>
      </c>
      <c r="D1509" s="19" t="s">
        <v>1533</v>
      </c>
      <c r="E1509" s="21">
        <f t="shared" si="68"/>
        <v>0.70999999999999996</v>
      </c>
      <c r="F1509" s="22">
        <v>0.29999999999999999</v>
      </c>
      <c r="G1509" s="21">
        <f t="shared" si="69"/>
        <v>0.70999999999999996</v>
      </c>
      <c r="H1509" s="22">
        <v>0.31</v>
      </c>
      <c r="I1509" s="23" t="str">
        <f t="shared" si="70"/>
        <v xml:space="preserve">COM VALOR</v>
      </c>
      <c r="J1509" s="19"/>
      <c r="L1509" s="21">
        <v>0.70999999999999996</v>
      </c>
      <c r="M1509" s="22">
        <v>0</v>
      </c>
      <c r="N1509" s="21">
        <v>0.70999999999999996</v>
      </c>
      <c r="O1509" s="22">
        <v>0</v>
      </c>
    </row>
    <row r="1510" ht="38.25">
      <c r="A1510" t="s">
        <v>1531</v>
      </c>
      <c r="B1510" s="19">
        <v>89021</v>
      </c>
      <c r="C1510" s="20" t="s">
        <v>1561</v>
      </c>
      <c r="D1510" s="19" t="s">
        <v>1535</v>
      </c>
      <c r="E1510" s="21">
        <f t="shared" si="68"/>
        <v>3.5</v>
      </c>
      <c r="F1510" s="22">
        <v>0.56999999999999995</v>
      </c>
      <c r="G1510" s="21">
        <f t="shared" si="69"/>
        <v>3.5</v>
      </c>
      <c r="H1510" s="22">
        <v>0.58999999999999997</v>
      </c>
      <c r="I1510" s="23" t="str">
        <f t="shared" si="70"/>
        <v xml:space="preserve">COM VALOR</v>
      </c>
      <c r="J1510" s="19"/>
      <c r="L1510" s="21">
        <v>3.5</v>
      </c>
      <c r="M1510" s="22">
        <v>0</v>
      </c>
      <c r="N1510" s="21">
        <v>3.5</v>
      </c>
      <c r="O1510" s="22">
        <v>0</v>
      </c>
    </row>
    <row r="1511" ht="38.25">
      <c r="A1511" t="s">
        <v>1531</v>
      </c>
      <c r="B1511" s="19">
        <v>90644</v>
      </c>
      <c r="C1511" s="20" t="s">
        <v>1562</v>
      </c>
      <c r="D1511" s="19" t="s">
        <v>1533</v>
      </c>
      <c r="E1511" s="21">
        <f t="shared" si="68"/>
        <v>7.3600000000000003</v>
      </c>
      <c r="F1511" s="22">
        <v>0.27000000000000002</v>
      </c>
      <c r="G1511" s="21">
        <f t="shared" si="69"/>
        <v>7.3600000000000003</v>
      </c>
      <c r="H1511" s="22">
        <v>0.27000000000000002</v>
      </c>
      <c r="I1511" s="23" t="str">
        <f t="shared" si="70"/>
        <v xml:space="preserve">COM VALOR</v>
      </c>
      <c r="J1511" s="19"/>
      <c r="L1511" s="21">
        <v>7.3600000000000003</v>
      </c>
      <c r="M1511" s="22">
        <v>0</v>
      </c>
      <c r="N1511" s="21">
        <v>7.3600000000000003</v>
      </c>
      <c r="O1511" s="22">
        <v>0</v>
      </c>
    </row>
    <row r="1512" ht="38.25">
      <c r="A1512" t="s">
        <v>1531</v>
      </c>
      <c r="B1512" s="19">
        <v>90643</v>
      </c>
      <c r="C1512" s="20" t="s">
        <v>1563</v>
      </c>
      <c r="D1512" s="19" t="s">
        <v>1535</v>
      </c>
      <c r="E1512" s="21">
        <f t="shared" si="68"/>
        <v>28.149999999999999</v>
      </c>
      <c r="F1512" s="22"/>
      <c r="G1512" s="21">
        <f t="shared" si="69"/>
        <v>28.149999999999999</v>
      </c>
      <c r="H1512" s="22"/>
      <c r="I1512" s="23" t="str">
        <f t="shared" si="70"/>
        <v xml:space="preserve">COM VALOR</v>
      </c>
      <c r="J1512" s="19"/>
      <c r="L1512" s="21">
        <v>28.149999999999999</v>
      </c>
      <c r="M1512" s="22">
        <v>0</v>
      </c>
      <c r="N1512" s="21">
        <v>28.149999999999999</v>
      </c>
      <c r="O1512" s="22">
        <v>0</v>
      </c>
    </row>
    <row r="1513" ht="25.5">
      <c r="A1513" t="s">
        <v>1531</v>
      </c>
      <c r="B1513" s="19">
        <v>102811</v>
      </c>
      <c r="C1513" s="20" t="s">
        <v>1564</v>
      </c>
      <c r="D1513" s="19" t="s">
        <v>1533</v>
      </c>
      <c r="E1513" s="21" t="str">
        <f t="shared" si="68"/>
        <v>VERIFICAR</v>
      </c>
      <c r="F1513" s="22"/>
      <c r="G1513" s="21" t="str">
        <f t="shared" si="69"/>
        <v>VERIFICAR</v>
      </c>
      <c r="H1513" s="22"/>
      <c r="I1513" s="23" t="str">
        <f t="shared" si="70"/>
        <v xml:space="preserve">COM VALOR</v>
      </c>
      <c r="J1513" s="19"/>
      <c r="L1513" s="21">
        <v>0</v>
      </c>
      <c r="M1513" s="22"/>
      <c r="N1513" s="21">
        <v>0</v>
      </c>
      <c r="O1513" s="22"/>
    </row>
    <row r="1514" ht="25.5">
      <c r="A1514" t="s">
        <v>1531</v>
      </c>
      <c r="B1514" s="19">
        <v>102810</v>
      </c>
      <c r="C1514" s="20" t="s">
        <v>1565</v>
      </c>
      <c r="D1514" s="19" t="s">
        <v>1535</v>
      </c>
      <c r="E1514" s="21" t="str">
        <f t="shared" si="68"/>
        <v>VERIFICAR</v>
      </c>
      <c r="F1514" s="22">
        <v>0.55000000000000004</v>
      </c>
      <c r="G1514" s="21" t="str">
        <f t="shared" si="69"/>
        <v>VERIFICAR</v>
      </c>
      <c r="H1514" s="22">
        <v>0.56999999999999995</v>
      </c>
      <c r="I1514" s="23" t="str">
        <f t="shared" si="70"/>
        <v xml:space="preserve">COM VALOR</v>
      </c>
      <c r="J1514" s="19"/>
      <c r="L1514" s="21">
        <v>0</v>
      </c>
      <c r="M1514" s="22"/>
      <c r="N1514" s="21">
        <v>0</v>
      </c>
      <c r="O1514" s="22"/>
    </row>
    <row r="1515" ht="25.5">
      <c r="A1515" t="s">
        <v>1531</v>
      </c>
      <c r="B1515" s="19">
        <v>92146</v>
      </c>
      <c r="C1515" s="20" t="s">
        <v>1566</v>
      </c>
      <c r="D1515" s="19" t="s">
        <v>1533</v>
      </c>
      <c r="E1515" s="21">
        <f t="shared" si="68"/>
        <v>32.829999999999998</v>
      </c>
      <c r="F1515" s="22">
        <v>0.26000000000000001</v>
      </c>
      <c r="G1515" s="21">
        <f t="shared" si="69"/>
        <v>31.300000000000001</v>
      </c>
      <c r="H1515" s="22">
        <v>0.27000000000000002</v>
      </c>
      <c r="I1515" s="23" t="str">
        <f t="shared" si="70"/>
        <v xml:space="preserve">COM VALOR</v>
      </c>
      <c r="J1515" s="19"/>
      <c r="L1515" s="21">
        <v>32.829999999999998</v>
      </c>
      <c r="M1515" s="22">
        <v>0</v>
      </c>
      <c r="N1515" s="21">
        <v>31.300000000000001</v>
      </c>
      <c r="O1515" s="22">
        <v>0</v>
      </c>
    </row>
    <row r="1516" ht="25.5">
      <c r="A1516" t="s">
        <v>1531</v>
      </c>
      <c r="B1516" s="19">
        <v>92145</v>
      </c>
      <c r="C1516" s="20" t="s">
        <v>1567</v>
      </c>
      <c r="D1516" s="19" t="s">
        <v>1535</v>
      </c>
      <c r="E1516" s="21">
        <f t="shared" si="68"/>
        <v>81.069999999999993</v>
      </c>
      <c r="F1516" s="22">
        <v>0.57999999999999996</v>
      </c>
      <c r="G1516" s="21">
        <f t="shared" si="69"/>
        <v>79.540000000000006</v>
      </c>
      <c r="H1516" s="22">
        <v>0.59999999999999998</v>
      </c>
      <c r="I1516" s="23" t="str">
        <f t="shared" si="70"/>
        <v xml:space="preserve">COM VALOR</v>
      </c>
      <c r="J1516" s="19"/>
      <c r="L1516" s="21">
        <v>81.069999999999993</v>
      </c>
      <c r="M1516" s="22">
        <v>0</v>
      </c>
      <c r="N1516" s="21">
        <v>79.540000000000006</v>
      </c>
      <c r="O1516" s="22">
        <v>0</v>
      </c>
    </row>
    <row r="1517" ht="25.5">
      <c r="A1517" t="s">
        <v>1531</v>
      </c>
      <c r="B1517" s="19">
        <v>92139</v>
      </c>
      <c r="C1517" s="20" t="s">
        <v>1568</v>
      </c>
      <c r="D1517" s="19" t="s">
        <v>1533</v>
      </c>
      <c r="E1517" s="21">
        <f t="shared" si="68"/>
        <v>44.939999999999998</v>
      </c>
      <c r="F1517" s="22">
        <v>0.33000000000000002</v>
      </c>
      <c r="G1517" s="21">
        <f t="shared" si="69"/>
        <v>43.409999999999997</v>
      </c>
      <c r="H1517" s="22">
        <v>0.34000000000000002</v>
      </c>
      <c r="I1517" s="23" t="str">
        <f t="shared" si="70"/>
        <v xml:space="preserve">COM VALOR</v>
      </c>
      <c r="J1517" s="19"/>
      <c r="L1517" s="21">
        <v>44.939999999999998</v>
      </c>
      <c r="M1517" s="22">
        <v>0</v>
      </c>
      <c r="N1517" s="21">
        <v>43.409999999999997</v>
      </c>
      <c r="O1517" s="22">
        <v>0</v>
      </c>
    </row>
    <row r="1518" ht="25.5">
      <c r="A1518" t="s">
        <v>1531</v>
      </c>
      <c r="B1518" s="19">
        <v>92138</v>
      </c>
      <c r="C1518" s="20" t="s">
        <v>1569</v>
      </c>
      <c r="D1518" s="19" t="s">
        <v>1535</v>
      </c>
      <c r="E1518" s="21">
        <f t="shared" si="68"/>
        <v>101.59</v>
      </c>
      <c r="F1518" s="22">
        <v>0.53000000000000003</v>
      </c>
      <c r="G1518" s="21">
        <f t="shared" si="69"/>
        <v>100.06</v>
      </c>
      <c r="H1518" s="22">
        <v>0.56000000000000005</v>
      </c>
      <c r="I1518" s="23" t="str">
        <f t="shared" si="70"/>
        <v xml:space="preserve">COM VALOR</v>
      </c>
      <c r="J1518" s="19"/>
      <c r="L1518" s="21">
        <v>101.59</v>
      </c>
      <c r="M1518" s="22">
        <v>0</v>
      </c>
      <c r="N1518" s="21">
        <v>100.06</v>
      </c>
      <c r="O1518" s="22">
        <v>0</v>
      </c>
    </row>
    <row r="1519" ht="51">
      <c r="A1519" t="s">
        <v>1531</v>
      </c>
      <c r="B1519" s="19">
        <v>91387</v>
      </c>
      <c r="C1519" s="20" t="s">
        <v>1570</v>
      </c>
      <c r="D1519" s="19" t="s">
        <v>1533</v>
      </c>
      <c r="E1519" s="21">
        <f t="shared" si="68"/>
        <v>74.519999999999996</v>
      </c>
      <c r="F1519" s="22">
        <v>0.29999999999999999</v>
      </c>
      <c r="G1519" s="21">
        <f t="shared" si="69"/>
        <v>72.849999999999994</v>
      </c>
      <c r="H1519" s="22">
        <v>0.29999999999999999</v>
      </c>
      <c r="I1519" s="23" t="str">
        <f t="shared" si="70"/>
        <v xml:space="preserve">COM VALOR</v>
      </c>
      <c r="J1519" s="19"/>
      <c r="L1519" s="21">
        <v>74.519999999999996</v>
      </c>
      <c r="M1519" s="22">
        <v>0.63</v>
      </c>
      <c r="N1519" s="21">
        <v>72.849999999999994</v>
      </c>
      <c r="O1519" s="22">
        <v>0.64000000000000001</v>
      </c>
    </row>
    <row r="1520" ht="51">
      <c r="A1520" t="s">
        <v>1531</v>
      </c>
      <c r="B1520" s="19">
        <v>91386</v>
      </c>
      <c r="C1520" s="20" t="s">
        <v>1571</v>
      </c>
      <c r="D1520" s="19" t="s">
        <v>1535</v>
      </c>
      <c r="E1520" s="21">
        <f t="shared" si="68"/>
        <v>290.23000000000002</v>
      </c>
      <c r="F1520" s="22">
        <v>0.56000000000000005</v>
      </c>
      <c r="G1520" s="21">
        <f t="shared" si="69"/>
        <v>288.56</v>
      </c>
      <c r="H1520" s="22">
        <v>0.57999999999999996</v>
      </c>
      <c r="I1520" s="23" t="str">
        <f t="shared" si="70"/>
        <v xml:space="preserve">COM VALOR</v>
      </c>
      <c r="J1520" s="19"/>
      <c r="L1520" s="21">
        <v>290.23000000000002</v>
      </c>
      <c r="M1520" s="22">
        <v>0.34999999999999998</v>
      </c>
      <c r="N1520" s="21">
        <v>288.56</v>
      </c>
      <c r="O1520" s="22">
        <v>0.34999999999999998</v>
      </c>
    </row>
    <row r="1521" ht="38.25">
      <c r="A1521" t="s">
        <v>1531</v>
      </c>
      <c r="B1521" s="19">
        <v>96036</v>
      </c>
      <c r="C1521" s="20" t="s">
        <v>1572</v>
      </c>
      <c r="D1521" s="19" t="s">
        <v>1533</v>
      </c>
      <c r="E1521" s="21">
        <f t="shared" si="68"/>
        <v>83.969999999999999</v>
      </c>
      <c r="F1521" s="22">
        <v>0.32000000000000001</v>
      </c>
      <c r="G1521" s="21">
        <f t="shared" si="69"/>
        <v>82.299999999999997</v>
      </c>
      <c r="H1521" s="22">
        <v>0.32000000000000001</v>
      </c>
      <c r="I1521" s="23" t="str">
        <f t="shared" si="70"/>
        <v xml:space="preserve">COM VALOR</v>
      </c>
      <c r="J1521" s="19"/>
      <c r="L1521" s="21">
        <v>83.969999999999999</v>
      </c>
      <c r="M1521" s="22">
        <v>0.67000000000000004</v>
      </c>
      <c r="N1521" s="21">
        <v>82.299999999999997</v>
      </c>
      <c r="O1521" s="22">
        <v>0.68000000000000005</v>
      </c>
    </row>
    <row r="1522" ht="38.25">
      <c r="A1522" t="s">
        <v>1531</v>
      </c>
      <c r="B1522" s="19">
        <v>96035</v>
      </c>
      <c r="C1522" s="20" t="s">
        <v>1573</v>
      </c>
      <c r="D1522" s="19" t="s">
        <v>1535</v>
      </c>
      <c r="E1522" s="21">
        <f t="shared" si="68"/>
        <v>305.81</v>
      </c>
      <c r="F1522" s="22">
        <v>0.62</v>
      </c>
      <c r="G1522" s="21">
        <f t="shared" si="69"/>
        <v>304.13999999999999</v>
      </c>
      <c r="H1522" s="22">
        <v>0.64000000000000001</v>
      </c>
      <c r="I1522" s="23" t="str">
        <f t="shared" si="70"/>
        <v xml:space="preserve">COM VALOR</v>
      </c>
      <c r="J1522" s="19"/>
      <c r="L1522" s="21">
        <v>305.81</v>
      </c>
      <c r="M1522" s="22">
        <v>0.38</v>
      </c>
      <c r="N1522" s="21">
        <v>304.13999999999999</v>
      </c>
      <c r="O1522" s="22">
        <v>0.39000000000000001</v>
      </c>
    </row>
    <row r="1523" ht="51">
      <c r="A1523" t="s">
        <v>1531</v>
      </c>
      <c r="B1523" s="19">
        <v>89877</v>
      </c>
      <c r="C1523" s="20" t="s">
        <v>1574</v>
      </c>
      <c r="D1523" s="19" t="s">
        <v>1533</v>
      </c>
      <c r="E1523" s="21">
        <f t="shared" si="68"/>
        <v>86.730000000000004</v>
      </c>
      <c r="F1523" s="22">
        <v>0.33000000000000002</v>
      </c>
      <c r="G1523" s="21">
        <f t="shared" si="69"/>
        <v>85.060000000000002</v>
      </c>
      <c r="H1523" s="22">
        <v>0.33000000000000002</v>
      </c>
      <c r="I1523" s="23" t="str">
        <f t="shared" si="70"/>
        <v xml:space="preserve">COM VALOR</v>
      </c>
      <c r="J1523" s="19"/>
      <c r="L1523" s="21">
        <v>86.730000000000004</v>
      </c>
      <c r="M1523" s="22">
        <v>0.22</v>
      </c>
      <c r="N1523" s="21">
        <v>85.060000000000002</v>
      </c>
      <c r="O1523" s="22">
        <v>0.23000000000000001</v>
      </c>
    </row>
    <row r="1524" ht="51">
      <c r="A1524" t="s">
        <v>1531</v>
      </c>
      <c r="B1524" s="19">
        <v>89876</v>
      </c>
      <c r="C1524" s="20" t="s">
        <v>1575</v>
      </c>
      <c r="D1524" s="19" t="s">
        <v>1535</v>
      </c>
      <c r="E1524" s="21">
        <f t="shared" si="68"/>
        <v>354.38999999999999</v>
      </c>
      <c r="F1524" s="22"/>
      <c r="G1524" s="21">
        <f t="shared" si="69"/>
        <v>352.72000000000003</v>
      </c>
      <c r="H1524" s="22"/>
      <c r="I1524" s="23" t="str">
        <f t="shared" si="70"/>
        <v xml:space="preserve">COM VALOR</v>
      </c>
      <c r="J1524" s="19"/>
      <c r="L1524" s="21">
        <v>354.38999999999999</v>
      </c>
      <c r="M1524" s="22">
        <v>0.11</v>
      </c>
      <c r="N1524" s="21">
        <v>352.72000000000003</v>
      </c>
      <c r="O1524" s="22">
        <v>0.11</v>
      </c>
    </row>
    <row r="1525" ht="51">
      <c r="A1525" t="s">
        <v>1531</v>
      </c>
      <c r="B1525" s="19">
        <v>89884</v>
      </c>
      <c r="C1525" s="20" t="s">
        <v>1576</v>
      </c>
      <c r="D1525" s="19" t="s">
        <v>1533</v>
      </c>
      <c r="E1525" s="21">
        <f t="shared" si="68"/>
        <v>90.590000000000003</v>
      </c>
      <c r="F1525" s="22"/>
      <c r="G1525" s="21">
        <f t="shared" si="69"/>
        <v>88.920000000000002</v>
      </c>
      <c r="H1525" s="22"/>
      <c r="I1525" s="23" t="str">
        <f t="shared" si="70"/>
        <v xml:space="preserve">COM VALOR</v>
      </c>
      <c r="J1525" s="19"/>
      <c r="L1525" s="21">
        <v>90.590000000000003</v>
      </c>
      <c r="M1525" s="22">
        <v>0.25</v>
      </c>
      <c r="N1525" s="21">
        <v>88.920000000000002</v>
      </c>
      <c r="O1525" s="22">
        <v>0.25</v>
      </c>
    </row>
    <row r="1526" ht="51">
      <c r="A1526" t="s">
        <v>1531</v>
      </c>
      <c r="B1526" s="19">
        <v>89883</v>
      </c>
      <c r="C1526" s="20" t="s">
        <v>1577</v>
      </c>
      <c r="D1526" s="19" t="s">
        <v>1535</v>
      </c>
      <c r="E1526" s="21">
        <f t="shared" si="68"/>
        <v>393.13</v>
      </c>
      <c r="F1526" s="22">
        <v>0</v>
      </c>
      <c r="G1526" s="21">
        <f t="shared" si="69"/>
        <v>391.45999999999998</v>
      </c>
      <c r="H1526" s="22">
        <v>0</v>
      </c>
      <c r="I1526" s="23" t="str">
        <f t="shared" si="70"/>
        <v xml:space="preserve">COM VALOR</v>
      </c>
      <c r="J1526" s="19"/>
      <c r="L1526" s="21">
        <v>393.13</v>
      </c>
      <c r="M1526" s="22">
        <v>0.12</v>
      </c>
      <c r="N1526" s="21">
        <v>391.45999999999998</v>
      </c>
      <c r="O1526" s="22">
        <v>0.12</v>
      </c>
    </row>
    <row r="1527" ht="51">
      <c r="A1527" t="s">
        <v>1531</v>
      </c>
      <c r="B1527" s="19">
        <v>67827</v>
      </c>
      <c r="C1527" s="20" t="s">
        <v>1578</v>
      </c>
      <c r="D1527" s="19" t="s">
        <v>1533</v>
      </c>
      <c r="E1527" s="21">
        <f t="shared" si="68"/>
        <v>64.569999999999993</v>
      </c>
      <c r="F1527" s="22">
        <v>0</v>
      </c>
      <c r="G1527" s="21">
        <f t="shared" si="69"/>
        <v>62.899999999999999</v>
      </c>
      <c r="H1527" s="22">
        <v>0</v>
      </c>
      <c r="I1527" s="23" t="str">
        <f t="shared" si="70"/>
        <v xml:space="preserve">COM VALOR</v>
      </c>
      <c r="J1527" s="19"/>
      <c r="L1527" s="21">
        <v>64.569999999999993</v>
      </c>
      <c r="M1527" s="22">
        <v>0.56999999999999995</v>
      </c>
      <c r="N1527" s="21">
        <v>62.899999999999999</v>
      </c>
      <c r="O1527" s="22">
        <v>0.58999999999999997</v>
      </c>
    </row>
    <row r="1528" ht="51">
      <c r="A1528" t="s">
        <v>1531</v>
      </c>
      <c r="B1528" s="19">
        <v>67826</v>
      </c>
      <c r="C1528" s="20" t="s">
        <v>1579</v>
      </c>
      <c r="D1528" s="19" t="s">
        <v>1535</v>
      </c>
      <c r="E1528" s="21">
        <f t="shared" si="68"/>
        <v>200.21000000000001</v>
      </c>
      <c r="F1528" s="22">
        <v>0</v>
      </c>
      <c r="G1528" s="21">
        <f t="shared" si="69"/>
        <v>198.53999999999999</v>
      </c>
      <c r="H1528" s="22">
        <v>0</v>
      </c>
      <c r="I1528" s="23" t="str">
        <f t="shared" si="70"/>
        <v xml:space="preserve">COM VALOR</v>
      </c>
      <c r="J1528" s="19"/>
      <c r="L1528" s="21">
        <v>200.21000000000001</v>
      </c>
      <c r="M1528" s="22">
        <v>0.40000000000000002</v>
      </c>
      <c r="N1528" s="21">
        <v>198.53999999999999</v>
      </c>
      <c r="O1528" s="22">
        <v>0.40000000000000002</v>
      </c>
    </row>
    <row r="1529" ht="38.25">
      <c r="A1529" t="s">
        <v>1531</v>
      </c>
      <c r="B1529" s="19">
        <v>5961</v>
      </c>
      <c r="C1529" s="20" t="s">
        <v>1580</v>
      </c>
      <c r="D1529" s="19" t="s">
        <v>1533</v>
      </c>
      <c r="E1529" s="21">
        <f t="shared" si="68"/>
        <v>63.289999999999999</v>
      </c>
      <c r="F1529" s="22">
        <v>0</v>
      </c>
      <c r="G1529" s="21">
        <f t="shared" si="69"/>
        <v>61.619999999999997</v>
      </c>
      <c r="H1529" s="22">
        <v>0</v>
      </c>
      <c r="I1529" s="23" t="str">
        <f t="shared" si="70"/>
        <v xml:space="preserve">COM VALOR</v>
      </c>
      <c r="J1529" s="19"/>
      <c r="L1529" s="21">
        <v>63.289999999999999</v>
      </c>
      <c r="M1529" s="22">
        <v>0.5625</v>
      </c>
      <c r="N1529" s="21">
        <v>61.619999999999997</v>
      </c>
      <c r="O1529" s="22">
        <v>0.57999999999999996</v>
      </c>
    </row>
    <row r="1530" ht="38.25">
      <c r="A1530" t="s">
        <v>1531</v>
      </c>
      <c r="B1530" s="19">
        <v>5811</v>
      </c>
      <c r="C1530" s="20" t="s">
        <v>1581</v>
      </c>
      <c r="D1530" s="19" t="s">
        <v>1535</v>
      </c>
      <c r="E1530" s="21">
        <f t="shared" si="68"/>
        <v>219.96000000000001</v>
      </c>
      <c r="F1530" s="22">
        <v>1</v>
      </c>
      <c r="G1530" s="21">
        <f t="shared" si="69"/>
        <v>218.28999999999999</v>
      </c>
      <c r="H1530" s="22">
        <v>1</v>
      </c>
      <c r="I1530" s="23" t="str">
        <f t="shared" si="70"/>
        <v xml:space="preserve">COM VALOR</v>
      </c>
      <c r="J1530" s="19"/>
      <c r="L1530" s="21">
        <v>219.96000000000001</v>
      </c>
      <c r="M1530" s="22">
        <v>0.34999999999999998</v>
      </c>
      <c r="N1530" s="21">
        <v>218.28999999999999</v>
      </c>
      <c r="O1530" s="22">
        <v>0.34999999999999998</v>
      </c>
    </row>
    <row r="1531" ht="63.75">
      <c r="A1531" t="s">
        <v>1531</v>
      </c>
      <c r="B1531" s="19">
        <v>106373</v>
      </c>
      <c r="C1531" s="20" t="s">
        <v>1582</v>
      </c>
      <c r="D1531" s="19" t="s">
        <v>1533</v>
      </c>
      <c r="E1531" s="21" t="str">
        <f t="shared" si="68"/>
        <v>VERIFICAR</v>
      </c>
      <c r="F1531" s="22">
        <v>0.20999999999999999</v>
      </c>
      <c r="G1531" s="21" t="str">
        <f t="shared" si="69"/>
        <v>VERIFICAR</v>
      </c>
      <c r="H1531" s="22">
        <v>0.20999999999999999</v>
      </c>
      <c r="I1531" s="23" t="str">
        <f t="shared" si="70"/>
        <v xml:space="preserve">COM VALOR</v>
      </c>
      <c r="J1531" s="19"/>
      <c r="L1531" s="21">
        <v>0</v>
      </c>
      <c r="M1531" s="22"/>
      <c r="N1531" s="21">
        <v>0</v>
      </c>
      <c r="O1531" s="22"/>
    </row>
    <row r="1532" ht="63.75">
      <c r="A1532" t="s">
        <v>1531</v>
      </c>
      <c r="B1532" s="19">
        <v>106366</v>
      </c>
      <c r="C1532" s="20" t="s">
        <v>1583</v>
      </c>
      <c r="D1532" s="19" t="s">
        <v>1535</v>
      </c>
      <c r="E1532" s="21" t="str">
        <f t="shared" si="68"/>
        <v>VERIFICAR</v>
      </c>
      <c r="F1532" s="22">
        <v>1</v>
      </c>
      <c r="G1532" s="21" t="str">
        <f t="shared" si="69"/>
        <v>VERIFICAR</v>
      </c>
      <c r="H1532" s="22">
        <v>1</v>
      </c>
      <c r="I1532" s="23" t="str">
        <f t="shared" si="70"/>
        <v xml:space="preserve">COM VALOR</v>
      </c>
      <c r="J1532" s="19"/>
      <c r="L1532" s="21">
        <v>0</v>
      </c>
      <c r="M1532" s="22"/>
      <c r="N1532" s="21">
        <v>0</v>
      </c>
      <c r="O1532" s="22"/>
    </row>
    <row r="1533" ht="63.75">
      <c r="A1533" t="s">
        <v>1531</v>
      </c>
      <c r="B1533" s="19">
        <v>106371</v>
      </c>
      <c r="C1533" s="20" t="s">
        <v>1584</v>
      </c>
      <c r="D1533" s="19" t="s">
        <v>1533</v>
      </c>
      <c r="E1533" s="21" t="str">
        <f t="shared" si="68"/>
        <v>VERIFICAR</v>
      </c>
      <c r="F1533" s="22">
        <v>0.19</v>
      </c>
      <c r="G1533" s="21" t="str">
        <f t="shared" si="69"/>
        <v>VERIFICAR</v>
      </c>
      <c r="H1533" s="22">
        <v>0.19</v>
      </c>
      <c r="I1533" s="23" t="str">
        <f t="shared" si="70"/>
        <v xml:space="preserve">COM VALOR</v>
      </c>
      <c r="J1533" s="19"/>
      <c r="L1533" s="21">
        <v>0</v>
      </c>
      <c r="M1533" s="22"/>
      <c r="N1533" s="21">
        <v>0</v>
      </c>
      <c r="O1533" s="22"/>
    </row>
    <row r="1534" ht="63.75">
      <c r="A1534" t="s">
        <v>1531</v>
      </c>
      <c r="B1534" s="19">
        <v>106364</v>
      </c>
      <c r="C1534" s="20" t="s">
        <v>1585</v>
      </c>
      <c r="D1534" s="19" t="s">
        <v>1535</v>
      </c>
      <c r="E1534" s="21" t="str">
        <f t="shared" si="68"/>
        <v>VERIFICAR</v>
      </c>
      <c r="F1534" s="22">
        <v>1</v>
      </c>
      <c r="G1534" s="21" t="str">
        <f t="shared" si="69"/>
        <v>VERIFICAR</v>
      </c>
      <c r="H1534" s="22">
        <v>1</v>
      </c>
      <c r="I1534" s="23" t="str">
        <f t="shared" si="70"/>
        <v xml:space="preserve">COM VALOR</v>
      </c>
      <c r="J1534" s="19"/>
      <c r="L1534" s="21">
        <v>0</v>
      </c>
      <c r="M1534" s="22"/>
      <c r="N1534" s="21">
        <v>0</v>
      </c>
      <c r="O1534" s="22"/>
    </row>
    <row r="1535" ht="51">
      <c r="A1535" t="s">
        <v>1531</v>
      </c>
      <c r="B1535" s="19">
        <v>92243</v>
      </c>
      <c r="C1535" s="20" t="s">
        <v>1586</v>
      </c>
      <c r="D1535" s="19" t="s">
        <v>1533</v>
      </c>
      <c r="E1535" s="21">
        <f t="shared" si="68"/>
        <v>78.340000000000003</v>
      </c>
      <c r="F1535" s="22">
        <v>0.20999999999999999</v>
      </c>
      <c r="G1535" s="21">
        <f t="shared" si="69"/>
        <v>76.349999999999994</v>
      </c>
      <c r="H1535" s="22">
        <v>0.20999999999999999</v>
      </c>
      <c r="I1535" s="23" t="str">
        <f t="shared" si="70"/>
        <v xml:space="preserve">COM VALOR</v>
      </c>
      <c r="J1535" s="19"/>
      <c r="L1535" s="21">
        <v>78.340000000000003</v>
      </c>
      <c r="M1535" s="22">
        <v>8.0000000000000002e-002</v>
      </c>
      <c r="N1535" s="21">
        <v>76.349999999999994</v>
      </c>
      <c r="O1535" s="22">
        <v>8.0000000000000002e-002</v>
      </c>
    </row>
    <row r="1536" ht="51">
      <c r="A1536" t="s">
        <v>1531</v>
      </c>
      <c r="B1536" s="19">
        <v>92242</v>
      </c>
      <c r="C1536" s="20" t="s">
        <v>1587</v>
      </c>
      <c r="D1536" s="19" t="s">
        <v>1535</v>
      </c>
      <c r="E1536" s="21">
        <f t="shared" si="68"/>
        <v>444.67000000000002</v>
      </c>
      <c r="F1536" s="22">
        <v>1</v>
      </c>
      <c r="G1536" s="21">
        <f t="shared" si="69"/>
        <v>442.68000000000001</v>
      </c>
      <c r="H1536" s="22">
        <v>1</v>
      </c>
      <c r="I1536" s="23" t="str">
        <f t="shared" si="70"/>
        <v xml:space="preserve">COM VALOR</v>
      </c>
      <c r="J1536" s="19"/>
      <c r="L1536" s="21">
        <v>444.67000000000002</v>
      </c>
      <c r="M1536" s="22">
        <v>2.e-002</v>
      </c>
      <c r="N1536" s="21">
        <v>442.68000000000001</v>
      </c>
      <c r="O1536" s="22">
        <v>2.e-002</v>
      </c>
    </row>
    <row r="1537" ht="51">
      <c r="A1537" t="s">
        <v>1531</v>
      </c>
      <c r="B1537" s="19">
        <v>91646</v>
      </c>
      <c r="C1537" s="20" t="s">
        <v>1588</v>
      </c>
      <c r="D1537" s="19" t="s">
        <v>1533</v>
      </c>
      <c r="E1537" s="21">
        <f t="shared" si="68"/>
        <v>95.609999999999999</v>
      </c>
      <c r="F1537" s="22">
        <v>0.20999999999999999</v>
      </c>
      <c r="G1537" s="21">
        <f t="shared" si="69"/>
        <v>93.620000000000005</v>
      </c>
      <c r="H1537" s="22">
        <v>0.20999999999999999</v>
      </c>
      <c r="I1537" s="23" t="str">
        <f t="shared" si="70"/>
        <v xml:space="preserve">COM VALOR</v>
      </c>
      <c r="J1537" s="19"/>
      <c r="L1537" s="21">
        <v>95.609999999999999</v>
      </c>
      <c r="M1537" s="22">
        <v>8.0000000000000002e-002</v>
      </c>
      <c r="N1537" s="21">
        <v>93.620000000000005</v>
      </c>
      <c r="O1537" s="22">
        <v>8.0000000000000002e-002</v>
      </c>
    </row>
    <row r="1538" ht="51">
      <c r="A1538" t="s">
        <v>1531</v>
      </c>
      <c r="B1538" s="19">
        <v>91645</v>
      </c>
      <c r="C1538" s="20" t="s">
        <v>1589</v>
      </c>
      <c r="D1538" s="19" t="s">
        <v>1535</v>
      </c>
      <c r="E1538" s="21">
        <f t="shared" si="68"/>
        <v>510.44999999999999</v>
      </c>
      <c r="F1538" s="22">
        <v>1</v>
      </c>
      <c r="G1538" s="21">
        <f t="shared" si="69"/>
        <v>508.45999999999998</v>
      </c>
      <c r="H1538" s="22">
        <v>1</v>
      </c>
      <c r="I1538" s="23" t="str">
        <f t="shared" si="70"/>
        <v xml:space="preserve">COM VALOR</v>
      </c>
      <c r="J1538" s="19"/>
      <c r="L1538" s="21">
        <v>510.44999999999999</v>
      </c>
      <c r="M1538" s="22">
        <v>2.9999999999999999e-002</v>
      </c>
      <c r="N1538" s="21">
        <v>508.45999999999998</v>
      </c>
      <c r="O1538" s="22">
        <v>2.9999999999999999e-002</v>
      </c>
    </row>
    <row r="1539" ht="51">
      <c r="A1539" t="s">
        <v>1531</v>
      </c>
      <c r="B1539" s="19">
        <v>92107</v>
      </c>
      <c r="C1539" s="20" t="s">
        <v>1590</v>
      </c>
      <c r="D1539" s="19" t="s">
        <v>1533</v>
      </c>
      <c r="E1539" s="21">
        <f t="shared" si="68"/>
        <v>95.140000000000001</v>
      </c>
      <c r="F1539" s="22">
        <v>0.52000000000000002</v>
      </c>
      <c r="G1539" s="21">
        <f t="shared" si="69"/>
        <v>93.540000000000006</v>
      </c>
      <c r="H1539" s="22">
        <v>0.52000000000000002</v>
      </c>
      <c r="I1539" s="23" t="str">
        <f t="shared" si="70"/>
        <v xml:space="preserve">COM VALOR</v>
      </c>
      <c r="J1539" s="19"/>
      <c r="L1539" s="21">
        <v>95.140000000000001</v>
      </c>
      <c r="M1539" s="22">
        <v>0.71999999999999997</v>
      </c>
      <c r="N1539" s="21">
        <v>93.540000000000006</v>
      </c>
      <c r="O1539" s="22">
        <v>0.72999999999999998</v>
      </c>
    </row>
    <row r="1540" ht="51">
      <c r="A1540" t="s">
        <v>1531</v>
      </c>
      <c r="B1540" s="19">
        <v>92106</v>
      </c>
      <c r="C1540" s="20" t="s">
        <v>1591</v>
      </c>
      <c r="D1540" s="19" t="s">
        <v>1535</v>
      </c>
      <c r="E1540" s="21">
        <f t="shared" si="68"/>
        <v>388.26999999999998</v>
      </c>
      <c r="F1540" s="22"/>
      <c r="G1540" s="21">
        <f t="shared" si="69"/>
        <v>386.67000000000002</v>
      </c>
      <c r="H1540" s="22"/>
      <c r="I1540" s="23" t="str">
        <f t="shared" si="70"/>
        <v xml:space="preserve">COM VALOR</v>
      </c>
      <c r="J1540" s="19"/>
      <c r="L1540" s="21">
        <v>388.26999999999998</v>
      </c>
      <c r="M1540" s="22">
        <v>0.37</v>
      </c>
      <c r="N1540" s="21">
        <v>386.67000000000002</v>
      </c>
      <c r="O1540" s="22">
        <v>0.37</v>
      </c>
    </row>
    <row r="1541" ht="51">
      <c r="A1541" t="s">
        <v>1531</v>
      </c>
      <c r="B1541" s="19">
        <v>5903</v>
      </c>
      <c r="C1541" s="20" t="s">
        <v>1592</v>
      </c>
      <c r="D1541" s="19" t="s">
        <v>1533</v>
      </c>
      <c r="E1541" s="21">
        <f t="shared" si="68"/>
        <v>73.879999999999995</v>
      </c>
      <c r="F1541" s="22"/>
      <c r="G1541" s="21">
        <f t="shared" si="69"/>
        <v>72.280000000000001</v>
      </c>
      <c r="H1541" s="22"/>
      <c r="I1541" s="23" t="str">
        <f t="shared" si="70"/>
        <v xml:space="preserve">COM VALOR</v>
      </c>
      <c r="J1541" s="19"/>
      <c r="L1541" s="21">
        <v>73.879999999999995</v>
      </c>
      <c r="M1541" s="22">
        <v>0.64000000000000001</v>
      </c>
      <c r="N1541" s="21">
        <v>72.280000000000001</v>
      </c>
      <c r="O1541" s="22">
        <v>0.65000000000000002</v>
      </c>
    </row>
    <row r="1542" ht="51">
      <c r="A1542" t="s">
        <v>1531</v>
      </c>
      <c r="B1542" s="19">
        <v>5901</v>
      </c>
      <c r="C1542" s="20" t="s">
        <v>1593</v>
      </c>
      <c r="D1542" s="19" t="s">
        <v>1535</v>
      </c>
      <c r="E1542" s="21">
        <f t="shared" si="68"/>
        <v>346.31999999999999</v>
      </c>
      <c r="F1542" s="22"/>
      <c r="G1542" s="21">
        <f t="shared" si="69"/>
        <v>344.72000000000003</v>
      </c>
      <c r="H1542" s="22"/>
      <c r="I1542" s="23" t="str">
        <f t="shared" si="70"/>
        <v xml:space="preserve">COM VALOR</v>
      </c>
      <c r="J1542" s="19"/>
      <c r="L1542" s="21">
        <v>346.31999999999999</v>
      </c>
      <c r="M1542" s="22">
        <v>0.28999999999999998</v>
      </c>
      <c r="N1542" s="21">
        <v>344.72000000000003</v>
      </c>
      <c r="O1542" s="22">
        <v>0.28999999999999998</v>
      </c>
    </row>
    <row r="1543" ht="51">
      <c r="A1543" t="s">
        <v>1531</v>
      </c>
      <c r="B1543" s="19">
        <v>106252</v>
      </c>
      <c r="C1543" s="20" t="s">
        <v>1594</v>
      </c>
      <c r="D1543" s="19" t="s">
        <v>1533</v>
      </c>
      <c r="E1543" s="21">
        <f t="shared" si="68"/>
        <v>73.390000000000001</v>
      </c>
      <c r="F1543" s="22"/>
      <c r="G1543" s="21">
        <f t="shared" si="69"/>
        <v>71.790000000000006</v>
      </c>
      <c r="H1543" s="22"/>
      <c r="I1543" s="23" t="str">
        <f t="shared" si="70"/>
        <v xml:space="preserve">COM VALOR</v>
      </c>
      <c r="J1543" s="19"/>
      <c r="L1543" s="21">
        <v>73.390000000000001</v>
      </c>
      <c r="M1543" s="22">
        <v>0.63</v>
      </c>
      <c r="N1543" s="21">
        <v>71.790000000000006</v>
      </c>
      <c r="O1543" s="22">
        <v>0.65000000000000002</v>
      </c>
    </row>
    <row r="1544" ht="51">
      <c r="A1544" t="s">
        <v>1531</v>
      </c>
      <c r="B1544" s="19">
        <v>106247</v>
      </c>
      <c r="C1544" s="20" t="s">
        <v>1595</v>
      </c>
      <c r="D1544" s="19" t="s">
        <v>1535</v>
      </c>
      <c r="E1544" s="21">
        <f t="shared" si="68"/>
        <v>305.54000000000002</v>
      </c>
      <c r="F1544" s="22"/>
      <c r="G1544" s="21">
        <f t="shared" si="69"/>
        <v>303.94</v>
      </c>
      <c r="H1544" s="22"/>
      <c r="I1544" s="23" t="str">
        <f t="shared" si="70"/>
        <v xml:space="preserve">COM VALOR</v>
      </c>
      <c r="J1544" s="19"/>
      <c r="L1544" s="21">
        <v>305.54000000000002</v>
      </c>
      <c r="M1544" s="22">
        <v>0.33000000000000002</v>
      </c>
      <c r="N1544" s="21">
        <v>303.94</v>
      </c>
      <c r="O1544" s="22">
        <v>0.33000000000000002</v>
      </c>
    </row>
    <row r="1545" ht="38.25">
      <c r="A1545" t="s">
        <v>1531</v>
      </c>
      <c r="B1545" s="19">
        <v>6260</v>
      </c>
      <c r="C1545" s="20" t="s">
        <v>1596</v>
      </c>
      <c r="D1545" s="19" t="s">
        <v>1533</v>
      </c>
      <c r="E1545" s="21">
        <f t="shared" si="68"/>
        <v>60.640000000000001</v>
      </c>
      <c r="F1545" s="22"/>
      <c r="G1545" s="21">
        <f t="shared" si="69"/>
        <v>59.039999999999999</v>
      </c>
      <c r="H1545" s="22"/>
      <c r="I1545" s="23" t="str">
        <f t="shared" si="70"/>
        <v xml:space="preserve">COM VALOR</v>
      </c>
      <c r="J1545" s="19"/>
      <c r="L1545" s="21">
        <v>60.640000000000001</v>
      </c>
      <c r="M1545" s="22">
        <v>0.56000000000000005</v>
      </c>
      <c r="N1545" s="21">
        <v>59.039999999999999</v>
      </c>
      <c r="O1545" s="22">
        <v>0.56999999999999995</v>
      </c>
    </row>
    <row r="1546" ht="38.25">
      <c r="A1546" t="s">
        <v>1531</v>
      </c>
      <c r="B1546" s="19">
        <v>6259</v>
      </c>
      <c r="C1546" s="20" t="s">
        <v>1597</v>
      </c>
      <c r="D1546" s="19" t="s">
        <v>1535</v>
      </c>
      <c r="E1546" s="21">
        <f t="shared" si="68"/>
        <v>278.72000000000003</v>
      </c>
      <c r="F1546" s="22"/>
      <c r="G1546" s="21">
        <f t="shared" si="69"/>
        <v>277.12</v>
      </c>
      <c r="H1546" s="22"/>
      <c r="I1546" s="23" t="str">
        <f t="shared" si="70"/>
        <v xml:space="preserve">COM VALOR</v>
      </c>
      <c r="J1546" s="19"/>
      <c r="L1546" s="21">
        <v>278.72000000000003</v>
      </c>
      <c r="M1546" s="22">
        <v>0.26000000000000001</v>
      </c>
      <c r="N1546" s="21">
        <v>277.12</v>
      </c>
      <c r="O1546" s="22">
        <v>0.26000000000000001</v>
      </c>
    </row>
    <row r="1547" ht="38.25">
      <c r="A1547" t="s">
        <v>1531</v>
      </c>
      <c r="B1547" s="19">
        <v>104705</v>
      </c>
      <c r="C1547" s="20" t="s">
        <v>1598</v>
      </c>
      <c r="D1547" s="19" t="s">
        <v>1533</v>
      </c>
      <c r="E1547" s="21" t="str">
        <f t="shared" ref="E1547:E1610" si="71">IF(L1547=0,"VERIFICAR",L1547)</f>
        <v>VERIFICAR</v>
      </c>
      <c r="F1547" s="22"/>
      <c r="G1547" s="21" t="str">
        <f t="shared" ref="G1547:G1610" si="72">IF(N1547=0,"VERIFICAR",N1547)</f>
        <v>VERIFICAR</v>
      </c>
      <c r="H1547" s="22"/>
      <c r="I1547" s="23" t="str">
        <f t="shared" ref="I1547:I1610" si="73">IF(OR(E1547=0,G1547=0),"SEM VALOR","COM VALOR")</f>
        <v xml:space="preserve">COM VALOR</v>
      </c>
      <c r="J1547" s="19"/>
      <c r="L1547" s="21">
        <v>0</v>
      </c>
      <c r="M1547" s="22"/>
      <c r="N1547" s="21">
        <v>0</v>
      </c>
      <c r="O1547" s="22"/>
    </row>
    <row r="1548" ht="38.25">
      <c r="A1548" t="s">
        <v>1531</v>
      </c>
      <c r="B1548" s="19">
        <v>104704</v>
      </c>
      <c r="C1548" s="20" t="s">
        <v>1599</v>
      </c>
      <c r="D1548" s="19" t="s">
        <v>1535</v>
      </c>
      <c r="E1548" s="21" t="str">
        <f t="shared" si="71"/>
        <v>VERIFICAR</v>
      </c>
      <c r="F1548" s="22"/>
      <c r="G1548" s="21" t="str">
        <f t="shared" si="72"/>
        <v>VERIFICAR</v>
      </c>
      <c r="H1548" s="22"/>
      <c r="I1548" s="23" t="str">
        <f t="shared" si="73"/>
        <v xml:space="preserve">COM VALOR</v>
      </c>
      <c r="J1548" s="19"/>
      <c r="L1548" s="21">
        <v>0</v>
      </c>
      <c r="M1548" s="22"/>
      <c r="N1548" s="21">
        <v>0</v>
      </c>
      <c r="O1548" s="22"/>
    </row>
    <row r="1549" ht="51">
      <c r="A1549" t="s">
        <v>1531</v>
      </c>
      <c r="B1549" s="19">
        <v>91395</v>
      </c>
      <c r="C1549" s="20" t="s">
        <v>1600</v>
      </c>
      <c r="D1549" s="19" t="s">
        <v>1533</v>
      </c>
      <c r="E1549" s="21">
        <f t="shared" si="71"/>
        <v>58.25</v>
      </c>
      <c r="F1549" s="22"/>
      <c r="G1549" s="21">
        <f t="shared" si="72"/>
        <v>56.649999999999999</v>
      </c>
      <c r="H1549" s="22"/>
      <c r="I1549" s="23" t="str">
        <f t="shared" si="73"/>
        <v xml:space="preserve">COM VALOR</v>
      </c>
      <c r="J1549" s="19"/>
      <c r="L1549" s="21">
        <v>58.25</v>
      </c>
      <c r="M1549" s="22">
        <v>0.54000000000000004</v>
      </c>
      <c r="N1549" s="21">
        <v>56.649999999999999</v>
      </c>
      <c r="O1549" s="22">
        <v>0.55000000000000004</v>
      </c>
    </row>
    <row r="1550" ht="51">
      <c r="A1550" t="s">
        <v>1531</v>
      </c>
      <c r="B1550" s="19">
        <v>73467</v>
      </c>
      <c r="C1550" s="20" t="s">
        <v>1601</v>
      </c>
      <c r="D1550" s="19" t="s">
        <v>1535</v>
      </c>
      <c r="E1550" s="21">
        <f t="shared" si="71"/>
        <v>270.61000000000001</v>
      </c>
      <c r="F1550" s="22">
        <v>0</v>
      </c>
      <c r="G1550" s="21">
        <f t="shared" si="72"/>
        <v>269.00999999999999</v>
      </c>
      <c r="H1550" s="22">
        <v>0</v>
      </c>
      <c r="I1550" s="23" t="str">
        <f t="shared" si="73"/>
        <v xml:space="preserve">COM VALOR</v>
      </c>
      <c r="J1550" s="19"/>
      <c r="L1550" s="21">
        <v>270.61000000000001</v>
      </c>
      <c r="M1550" s="22">
        <v>0.25</v>
      </c>
      <c r="N1550" s="21">
        <v>269.00999999999999</v>
      </c>
      <c r="O1550" s="22">
        <v>0.25</v>
      </c>
    </row>
    <row r="1551" ht="51">
      <c r="A1551" t="s">
        <v>1531</v>
      </c>
      <c r="B1551" s="19">
        <v>5826</v>
      </c>
      <c r="C1551" s="20" t="s">
        <v>1602</v>
      </c>
      <c r="D1551" s="19" t="s">
        <v>1533</v>
      </c>
      <c r="E1551" s="21">
        <f t="shared" si="71"/>
        <v>61.270000000000003</v>
      </c>
      <c r="F1551" s="22">
        <v>0</v>
      </c>
      <c r="G1551" s="21">
        <f t="shared" si="72"/>
        <v>59.670000000000002</v>
      </c>
      <c r="H1551" s="22">
        <v>0</v>
      </c>
      <c r="I1551" s="23" t="str">
        <f t="shared" si="73"/>
        <v xml:space="preserve">COM VALOR</v>
      </c>
      <c r="J1551" s="19"/>
      <c r="L1551" s="21">
        <v>61.270000000000003</v>
      </c>
      <c r="M1551" s="22">
        <v>0.56000000000000005</v>
      </c>
      <c r="N1551" s="21">
        <v>59.670000000000002</v>
      </c>
      <c r="O1551" s="22">
        <v>0.57999999999999996</v>
      </c>
    </row>
    <row r="1552" ht="51">
      <c r="A1552" t="s">
        <v>1531</v>
      </c>
      <c r="B1552" s="19">
        <v>5824</v>
      </c>
      <c r="C1552" s="20" t="s">
        <v>1603</v>
      </c>
      <c r="D1552" s="19" t="s">
        <v>1535</v>
      </c>
      <c r="E1552" s="21">
        <f t="shared" si="71"/>
        <v>233.72</v>
      </c>
      <c r="F1552" s="22">
        <v>1</v>
      </c>
      <c r="G1552" s="21">
        <f t="shared" si="72"/>
        <v>232.12</v>
      </c>
      <c r="H1552" s="22">
        <v>1</v>
      </c>
      <c r="I1552" s="23" t="str">
        <f t="shared" si="73"/>
        <v xml:space="preserve">COM VALOR</v>
      </c>
      <c r="J1552" s="19"/>
      <c r="L1552" s="21">
        <v>233.72</v>
      </c>
      <c r="M1552" s="22">
        <v>0.32000000000000001</v>
      </c>
      <c r="N1552" s="21">
        <v>232.12</v>
      </c>
      <c r="O1552" s="22">
        <v>0.32000000000000001</v>
      </c>
    </row>
    <row r="1553" ht="63.75">
      <c r="A1553" t="s">
        <v>1531</v>
      </c>
      <c r="B1553" s="19">
        <v>106369</v>
      </c>
      <c r="C1553" s="20" t="s">
        <v>1604</v>
      </c>
      <c r="D1553" s="19" t="s">
        <v>1533</v>
      </c>
      <c r="E1553" s="21" t="str">
        <f t="shared" si="71"/>
        <v>VERIFICAR</v>
      </c>
      <c r="F1553" s="22">
        <v>0.14000000000000001</v>
      </c>
      <c r="G1553" s="21" t="str">
        <f t="shared" si="72"/>
        <v>VERIFICAR</v>
      </c>
      <c r="H1553" s="22">
        <v>0.14000000000000001</v>
      </c>
      <c r="I1553" s="23" t="str">
        <f t="shared" si="73"/>
        <v xml:space="preserve">COM VALOR</v>
      </c>
      <c r="J1553" s="19"/>
      <c r="L1553" s="21">
        <v>0</v>
      </c>
      <c r="M1553" s="22"/>
      <c r="N1553" s="21">
        <v>0</v>
      </c>
      <c r="O1553" s="22"/>
    </row>
    <row r="1554" ht="63.75">
      <c r="A1554" t="s">
        <v>1531</v>
      </c>
      <c r="B1554" s="19">
        <v>106362</v>
      </c>
      <c r="C1554" s="20" t="s">
        <v>1605</v>
      </c>
      <c r="D1554" s="19" t="s">
        <v>1535</v>
      </c>
      <c r="E1554" s="21" t="str">
        <f t="shared" si="71"/>
        <v>VERIFICAR</v>
      </c>
      <c r="F1554" s="22">
        <v>0.45000000000000001</v>
      </c>
      <c r="G1554" s="21" t="str">
        <f t="shared" si="72"/>
        <v>VERIFICAR</v>
      </c>
      <c r="H1554" s="22">
        <v>0.46999999999999997</v>
      </c>
      <c r="I1554" s="23" t="str">
        <f t="shared" si="73"/>
        <v xml:space="preserve">COM VALOR</v>
      </c>
      <c r="J1554" s="19"/>
      <c r="L1554" s="21">
        <v>0</v>
      </c>
      <c r="M1554" s="22"/>
      <c r="N1554" s="21">
        <v>0</v>
      </c>
      <c r="O1554" s="22"/>
    </row>
    <row r="1555" ht="51">
      <c r="A1555" t="s">
        <v>1531</v>
      </c>
      <c r="B1555" s="19">
        <v>106253</v>
      </c>
      <c r="C1555" s="20" t="s">
        <v>1606</v>
      </c>
      <c r="D1555" s="19" t="s">
        <v>1533</v>
      </c>
      <c r="E1555" s="21">
        <f t="shared" si="71"/>
        <v>76.780000000000001</v>
      </c>
      <c r="F1555" s="22">
        <v>0.19</v>
      </c>
      <c r="G1555" s="21">
        <f t="shared" si="72"/>
        <v>75.180000000000007</v>
      </c>
      <c r="H1555" s="22">
        <v>0.20000000000000001</v>
      </c>
      <c r="I1555" s="23" t="str">
        <f t="shared" si="73"/>
        <v xml:space="preserve">COM VALOR</v>
      </c>
      <c r="J1555" s="19"/>
      <c r="L1555" s="21">
        <v>76.780000000000001</v>
      </c>
      <c r="M1555" s="22">
        <v>0.65000000000000002</v>
      </c>
      <c r="N1555" s="21">
        <v>75.180000000000007</v>
      </c>
      <c r="O1555" s="22">
        <v>0.66000000000000003</v>
      </c>
    </row>
    <row r="1556" ht="51">
      <c r="A1556" t="s">
        <v>1531</v>
      </c>
      <c r="B1556" s="19">
        <v>106248</v>
      </c>
      <c r="C1556" s="20" t="s">
        <v>1607</v>
      </c>
      <c r="D1556" s="19" t="s">
        <v>1535</v>
      </c>
      <c r="E1556" s="21">
        <f t="shared" si="71"/>
        <v>315.25999999999999</v>
      </c>
      <c r="F1556" s="22">
        <v>1</v>
      </c>
      <c r="G1556" s="21">
        <f t="shared" si="72"/>
        <v>313.66000000000003</v>
      </c>
      <c r="H1556" s="22">
        <v>1</v>
      </c>
      <c r="I1556" s="23" t="str">
        <f t="shared" si="73"/>
        <v xml:space="preserve">COM VALOR</v>
      </c>
      <c r="J1556" s="19"/>
      <c r="L1556" s="21">
        <v>315.25999999999999</v>
      </c>
      <c r="M1556" s="22">
        <v>0.34999999999999998</v>
      </c>
      <c r="N1556" s="21">
        <v>313.66000000000003</v>
      </c>
      <c r="O1556" s="22">
        <v>0.34999999999999998</v>
      </c>
    </row>
    <row r="1557" ht="51">
      <c r="A1557" t="s">
        <v>1531</v>
      </c>
      <c r="B1557" s="19">
        <v>106372</v>
      </c>
      <c r="C1557" s="20" t="s">
        <v>1608</v>
      </c>
      <c r="D1557" s="19" t="s">
        <v>1533</v>
      </c>
      <c r="E1557" s="21" t="str">
        <f t="shared" si="71"/>
        <v>VERIFICAR</v>
      </c>
      <c r="F1557" s="22">
        <v>1</v>
      </c>
      <c r="G1557" s="21" t="str">
        <f t="shared" si="72"/>
        <v>VERIFICAR</v>
      </c>
      <c r="H1557" s="22">
        <v>1</v>
      </c>
      <c r="I1557" s="23" t="str">
        <f t="shared" si="73"/>
        <v xml:space="preserve">COM VALOR</v>
      </c>
      <c r="J1557" s="19"/>
      <c r="L1557" s="21">
        <v>0</v>
      </c>
      <c r="M1557" s="22"/>
      <c r="N1557" s="21">
        <v>0</v>
      </c>
      <c r="O1557" s="22"/>
    </row>
    <row r="1558" ht="51">
      <c r="A1558" t="s">
        <v>1531</v>
      </c>
      <c r="B1558" s="19">
        <v>106365</v>
      </c>
      <c r="C1558" s="20" t="s">
        <v>1609</v>
      </c>
      <c r="D1558" s="19" t="s">
        <v>1535</v>
      </c>
      <c r="E1558" s="21" t="str">
        <f t="shared" si="71"/>
        <v>VERIFICAR</v>
      </c>
      <c r="F1558" s="22"/>
      <c r="G1558" s="21" t="str">
        <f t="shared" si="72"/>
        <v>VERIFICAR</v>
      </c>
      <c r="H1558" s="22"/>
      <c r="I1558" s="23" t="str">
        <f t="shared" si="73"/>
        <v xml:space="preserve">COM VALOR</v>
      </c>
      <c r="J1558" s="19"/>
      <c r="L1558" s="21">
        <v>0</v>
      </c>
      <c r="M1558" s="22"/>
      <c r="N1558" s="21">
        <v>0</v>
      </c>
      <c r="O1558" s="22"/>
    </row>
    <row r="1559" ht="63.75">
      <c r="A1559" t="s">
        <v>1531</v>
      </c>
      <c r="B1559" s="19">
        <v>106370</v>
      </c>
      <c r="C1559" s="20" t="s">
        <v>1610</v>
      </c>
      <c r="D1559" s="19" t="s">
        <v>1533</v>
      </c>
      <c r="E1559" s="21" t="str">
        <f t="shared" si="71"/>
        <v>VERIFICAR</v>
      </c>
      <c r="F1559" s="22"/>
      <c r="G1559" s="21" t="str">
        <f t="shared" si="72"/>
        <v>VERIFICAR</v>
      </c>
      <c r="H1559" s="22"/>
      <c r="I1559" s="23" t="str">
        <f t="shared" si="73"/>
        <v xml:space="preserve">COM VALOR</v>
      </c>
      <c r="J1559" s="19"/>
      <c r="L1559" s="21">
        <v>0</v>
      </c>
      <c r="M1559" s="22"/>
      <c r="N1559" s="21">
        <v>0</v>
      </c>
      <c r="O1559" s="22"/>
    </row>
    <row r="1560" ht="63.75">
      <c r="A1560" t="s">
        <v>1531</v>
      </c>
      <c r="B1560" s="19">
        <v>106363</v>
      </c>
      <c r="C1560" s="20" t="s">
        <v>1611</v>
      </c>
      <c r="D1560" s="19" t="s">
        <v>1535</v>
      </c>
      <c r="E1560" s="21" t="str">
        <f t="shared" si="71"/>
        <v>VERIFICAR</v>
      </c>
      <c r="F1560" s="22">
        <v>0</v>
      </c>
      <c r="G1560" s="21" t="str">
        <f t="shared" si="72"/>
        <v>VERIFICAR</v>
      </c>
      <c r="H1560" s="22">
        <v>0</v>
      </c>
      <c r="I1560" s="23" t="str">
        <f t="shared" si="73"/>
        <v xml:space="preserve">COM VALOR</v>
      </c>
      <c r="J1560" s="19"/>
      <c r="L1560" s="21">
        <v>0</v>
      </c>
      <c r="M1560" s="22"/>
      <c r="N1560" s="21">
        <v>0</v>
      </c>
      <c r="O1560" s="22"/>
    </row>
    <row r="1561" ht="38.25">
      <c r="A1561" t="s">
        <v>1531</v>
      </c>
      <c r="B1561" s="19">
        <v>5892</v>
      </c>
      <c r="C1561" s="20" t="s">
        <v>1612</v>
      </c>
      <c r="D1561" s="19" t="s">
        <v>1533</v>
      </c>
      <c r="E1561" s="21">
        <f t="shared" si="71"/>
        <v>56</v>
      </c>
      <c r="F1561" s="22">
        <v>0</v>
      </c>
      <c r="G1561" s="21">
        <f t="shared" si="72"/>
        <v>54.399999999999999</v>
      </c>
      <c r="H1561" s="22">
        <v>0</v>
      </c>
      <c r="I1561" s="23" t="str">
        <f t="shared" si="73"/>
        <v xml:space="preserve">COM VALOR</v>
      </c>
      <c r="J1561" s="19"/>
      <c r="L1561" s="21">
        <v>56</v>
      </c>
      <c r="M1561" s="22">
        <v>0.52000000000000002</v>
      </c>
      <c r="N1561" s="21">
        <v>54.399999999999999</v>
      </c>
      <c r="O1561" s="22">
        <v>0.54000000000000004</v>
      </c>
    </row>
    <row r="1562" ht="38.25">
      <c r="A1562" t="s">
        <v>1531</v>
      </c>
      <c r="B1562" s="19">
        <v>5890</v>
      </c>
      <c r="C1562" s="20" t="s">
        <v>1613</v>
      </c>
      <c r="D1562" s="19" t="s">
        <v>1535</v>
      </c>
      <c r="E1562" s="21">
        <f t="shared" si="71"/>
        <v>220.05000000000001</v>
      </c>
      <c r="F1562" s="22"/>
      <c r="G1562" s="21">
        <f t="shared" si="72"/>
        <v>218.44999999999999</v>
      </c>
      <c r="H1562" s="22"/>
      <c r="I1562" s="23" t="str">
        <f t="shared" si="73"/>
        <v xml:space="preserve">COM VALOR</v>
      </c>
      <c r="J1562" s="19"/>
      <c r="L1562" s="21">
        <v>220.05000000000001</v>
      </c>
      <c r="M1562" s="22">
        <v>0.28999999999999998</v>
      </c>
      <c r="N1562" s="21">
        <v>218.44999999999999</v>
      </c>
      <c r="O1562" s="22">
        <v>0.28999999999999998</v>
      </c>
    </row>
    <row r="1563" ht="38.25">
      <c r="A1563" t="s">
        <v>1531</v>
      </c>
      <c r="B1563" s="19">
        <v>5896</v>
      </c>
      <c r="C1563" s="20" t="s">
        <v>1614</v>
      </c>
      <c r="D1563" s="19" t="s">
        <v>1533</v>
      </c>
      <c r="E1563" s="21">
        <f t="shared" si="71"/>
        <v>58.859999999999999</v>
      </c>
      <c r="F1563" s="22"/>
      <c r="G1563" s="21">
        <f t="shared" si="72"/>
        <v>57.259999999999998</v>
      </c>
      <c r="H1563" s="22"/>
      <c r="I1563" s="23" t="str">
        <f t="shared" si="73"/>
        <v xml:space="preserve">COM VALOR</v>
      </c>
      <c r="J1563" s="19"/>
      <c r="L1563" s="21">
        <v>58.859999999999999</v>
      </c>
      <c r="M1563" s="22">
        <v>0.54000000000000004</v>
      </c>
      <c r="N1563" s="21">
        <v>57.259999999999998</v>
      </c>
      <c r="O1563" s="22">
        <v>0.56000000000000005</v>
      </c>
    </row>
    <row r="1564" ht="38.25">
      <c r="A1564" t="s">
        <v>1531</v>
      </c>
      <c r="B1564" s="19">
        <v>5894</v>
      </c>
      <c r="C1564" s="20" t="s">
        <v>1615</v>
      </c>
      <c r="D1564" s="19" t="s">
        <v>1535</v>
      </c>
      <c r="E1564" s="21">
        <f t="shared" si="71"/>
        <v>229.09</v>
      </c>
      <c r="F1564" s="22">
        <v>0</v>
      </c>
      <c r="G1564" s="21">
        <f t="shared" si="72"/>
        <v>227.49000000000001</v>
      </c>
      <c r="H1564" s="22">
        <v>0</v>
      </c>
      <c r="I1564" s="23" t="str">
        <f t="shared" si="73"/>
        <v xml:space="preserve">COM VALOR</v>
      </c>
      <c r="J1564" s="19"/>
      <c r="L1564" s="21">
        <v>229.09</v>
      </c>
      <c r="M1564" s="22">
        <v>0.31</v>
      </c>
      <c r="N1564" s="21">
        <v>227.49000000000001</v>
      </c>
      <c r="O1564" s="22">
        <v>0.31</v>
      </c>
    </row>
    <row r="1565" ht="38.25">
      <c r="A1565" t="s">
        <v>1531</v>
      </c>
      <c r="B1565" s="19">
        <v>91032</v>
      </c>
      <c r="C1565" s="20" t="s">
        <v>1616</v>
      </c>
      <c r="D1565" s="19" t="s">
        <v>1533</v>
      </c>
      <c r="E1565" s="21">
        <f t="shared" si="71"/>
        <v>67.349999999999994</v>
      </c>
      <c r="F1565" s="22">
        <v>0</v>
      </c>
      <c r="G1565" s="21">
        <f t="shared" si="72"/>
        <v>65.75</v>
      </c>
      <c r="H1565" s="22">
        <v>0</v>
      </c>
      <c r="I1565" s="23" t="str">
        <f t="shared" si="73"/>
        <v xml:space="preserve">COM VALOR</v>
      </c>
      <c r="J1565" s="19"/>
      <c r="L1565" s="21">
        <v>67.349999999999994</v>
      </c>
      <c r="M1565" s="22">
        <v>0.59999999999999998</v>
      </c>
      <c r="N1565" s="21">
        <v>65.75</v>
      </c>
      <c r="O1565" s="22">
        <v>0.62</v>
      </c>
    </row>
    <row r="1566" ht="38.25">
      <c r="A1566" t="s">
        <v>1531</v>
      </c>
      <c r="B1566" s="19">
        <v>91031</v>
      </c>
      <c r="C1566" s="20" t="s">
        <v>1617</v>
      </c>
      <c r="D1566" s="19" t="s">
        <v>1535</v>
      </c>
      <c r="E1566" s="21">
        <f t="shared" si="71"/>
        <v>281.37</v>
      </c>
      <c r="F1566" s="22">
        <v>0</v>
      </c>
      <c r="G1566" s="21">
        <f t="shared" si="72"/>
        <v>279.76999999999998</v>
      </c>
      <c r="H1566" s="22">
        <v>0</v>
      </c>
      <c r="I1566" s="23" t="str">
        <f t="shared" si="73"/>
        <v xml:space="preserve">COM VALOR</v>
      </c>
      <c r="J1566" s="19"/>
      <c r="L1566" s="21">
        <v>281.37</v>
      </c>
      <c r="M1566" s="22">
        <v>0.31</v>
      </c>
      <c r="N1566" s="21">
        <v>279.76999999999998</v>
      </c>
      <c r="O1566" s="22">
        <v>0.31</v>
      </c>
    </row>
    <row r="1567" ht="63.75">
      <c r="A1567" t="s">
        <v>1531</v>
      </c>
      <c r="B1567" s="19">
        <v>106255</v>
      </c>
      <c r="C1567" s="20" t="s">
        <v>1618</v>
      </c>
      <c r="D1567" s="19" t="s">
        <v>1533</v>
      </c>
      <c r="E1567" s="21" t="str">
        <f t="shared" si="71"/>
        <v>VERIFICAR</v>
      </c>
      <c r="F1567" s="22">
        <v>0</v>
      </c>
      <c r="G1567" s="21" t="str">
        <f t="shared" si="72"/>
        <v>VERIFICAR</v>
      </c>
      <c r="H1567" s="22">
        <v>0</v>
      </c>
      <c r="I1567" s="23" t="str">
        <f t="shared" si="73"/>
        <v xml:space="preserve">COM VALOR</v>
      </c>
      <c r="J1567" s="19"/>
      <c r="L1567" s="21">
        <v>0</v>
      </c>
      <c r="M1567" s="22"/>
      <c r="N1567" s="21">
        <v>0</v>
      </c>
      <c r="O1567" s="22"/>
    </row>
    <row r="1568" ht="63.75">
      <c r="A1568" t="s">
        <v>1531</v>
      </c>
      <c r="B1568" s="19">
        <v>106250</v>
      </c>
      <c r="C1568" s="20" t="s">
        <v>1619</v>
      </c>
      <c r="D1568" s="19" t="s">
        <v>1535</v>
      </c>
      <c r="E1568" s="21" t="str">
        <f t="shared" si="71"/>
        <v>VERIFICAR</v>
      </c>
      <c r="F1568" s="22"/>
      <c r="G1568" s="21" t="str">
        <f t="shared" si="72"/>
        <v>VERIFICAR</v>
      </c>
      <c r="H1568" s="22"/>
      <c r="I1568" s="23" t="str">
        <f t="shared" si="73"/>
        <v xml:space="preserve">COM VALOR</v>
      </c>
      <c r="J1568" s="19"/>
      <c r="L1568" s="21">
        <v>0</v>
      </c>
      <c r="M1568" s="22"/>
      <c r="N1568" s="21">
        <v>0</v>
      </c>
      <c r="O1568" s="22"/>
    </row>
    <row r="1569" ht="51">
      <c r="A1569" t="s">
        <v>1531</v>
      </c>
      <c r="B1569" s="19">
        <v>106374</v>
      </c>
      <c r="C1569" s="20" t="s">
        <v>1620</v>
      </c>
      <c r="D1569" s="19" t="s">
        <v>1533</v>
      </c>
      <c r="E1569" s="21" t="str">
        <f t="shared" si="71"/>
        <v>VERIFICAR</v>
      </c>
      <c r="F1569" s="22"/>
      <c r="G1569" s="21" t="str">
        <f t="shared" si="72"/>
        <v>VERIFICAR</v>
      </c>
      <c r="H1569" s="22"/>
      <c r="I1569" s="23" t="str">
        <f t="shared" si="73"/>
        <v xml:space="preserve">COM VALOR</v>
      </c>
      <c r="J1569" s="19"/>
      <c r="L1569" s="21">
        <v>0</v>
      </c>
      <c r="M1569" s="22"/>
      <c r="N1569" s="21">
        <v>0</v>
      </c>
      <c r="O1569" s="22"/>
    </row>
    <row r="1570" ht="51">
      <c r="A1570" t="s">
        <v>1531</v>
      </c>
      <c r="B1570" s="19">
        <v>106367</v>
      </c>
      <c r="C1570" s="20" t="s">
        <v>1621</v>
      </c>
      <c r="D1570" s="19" t="s">
        <v>1535</v>
      </c>
      <c r="E1570" s="21" t="str">
        <f t="shared" si="71"/>
        <v>VERIFICAR</v>
      </c>
      <c r="F1570" s="22">
        <v>0</v>
      </c>
      <c r="G1570" s="21" t="str">
        <f t="shared" si="72"/>
        <v>VERIFICAR</v>
      </c>
      <c r="H1570" s="22">
        <v>0</v>
      </c>
      <c r="I1570" s="23" t="str">
        <f t="shared" si="73"/>
        <v xml:space="preserve">COM VALOR</v>
      </c>
      <c r="J1570" s="19"/>
      <c r="L1570" s="21">
        <v>0</v>
      </c>
      <c r="M1570" s="22"/>
      <c r="N1570" s="21">
        <v>0</v>
      </c>
      <c r="O1570" s="22"/>
    </row>
    <row r="1571" ht="63.75">
      <c r="A1571" t="s">
        <v>1531</v>
      </c>
      <c r="B1571" s="19">
        <v>106375</v>
      </c>
      <c r="C1571" s="20" t="s">
        <v>1622</v>
      </c>
      <c r="D1571" s="19" t="s">
        <v>1533</v>
      </c>
      <c r="E1571" s="21" t="str">
        <f t="shared" si="71"/>
        <v>VERIFICAR</v>
      </c>
      <c r="F1571" s="22">
        <v>0</v>
      </c>
      <c r="G1571" s="21" t="str">
        <f t="shared" si="72"/>
        <v>VERIFICAR</v>
      </c>
      <c r="H1571" s="22">
        <v>0</v>
      </c>
      <c r="I1571" s="23" t="str">
        <f t="shared" si="73"/>
        <v xml:space="preserve">COM VALOR</v>
      </c>
      <c r="J1571" s="19"/>
      <c r="L1571" s="21">
        <v>0</v>
      </c>
      <c r="M1571" s="22"/>
      <c r="N1571" s="21">
        <v>0</v>
      </c>
      <c r="O1571" s="22"/>
    </row>
    <row r="1572" ht="63.75">
      <c r="A1572" t="s">
        <v>1531</v>
      </c>
      <c r="B1572" s="19">
        <v>106368</v>
      </c>
      <c r="C1572" s="20" t="s">
        <v>1623</v>
      </c>
      <c r="D1572" s="19" t="s">
        <v>1535</v>
      </c>
      <c r="E1572" s="21" t="str">
        <f t="shared" si="71"/>
        <v>VERIFICAR</v>
      </c>
      <c r="F1572" s="22">
        <v>0</v>
      </c>
      <c r="G1572" s="21" t="str">
        <f t="shared" si="72"/>
        <v>VERIFICAR</v>
      </c>
      <c r="H1572" s="22">
        <v>0</v>
      </c>
      <c r="I1572" s="23" t="str">
        <f t="shared" si="73"/>
        <v xml:space="preserve">COM VALOR</v>
      </c>
      <c r="J1572" s="19"/>
      <c r="L1572" s="21">
        <v>0</v>
      </c>
      <c r="M1572" s="22"/>
      <c r="N1572" s="21">
        <v>0</v>
      </c>
      <c r="O1572" s="22"/>
    </row>
    <row r="1573" ht="51">
      <c r="A1573" t="s">
        <v>1531</v>
      </c>
      <c r="B1573" s="19">
        <v>102817</v>
      </c>
      <c r="C1573" s="20" t="s">
        <v>1624</v>
      </c>
      <c r="D1573" s="19" t="s">
        <v>1533</v>
      </c>
      <c r="E1573" s="21" t="str">
        <f t="shared" si="71"/>
        <v>VERIFICAR</v>
      </c>
      <c r="F1573" s="22">
        <v>0</v>
      </c>
      <c r="G1573" s="21" t="str">
        <f t="shared" si="72"/>
        <v>VERIFICAR</v>
      </c>
      <c r="H1573" s="22">
        <v>0</v>
      </c>
      <c r="I1573" s="23" t="str">
        <f t="shared" si="73"/>
        <v xml:space="preserve">COM VALOR</v>
      </c>
      <c r="J1573" s="19"/>
      <c r="L1573" s="21">
        <v>0</v>
      </c>
      <c r="M1573" s="22"/>
      <c r="N1573" s="21">
        <v>0</v>
      </c>
      <c r="O1573" s="22"/>
    </row>
    <row r="1574" ht="51">
      <c r="A1574" t="s">
        <v>1531</v>
      </c>
      <c r="B1574" s="19">
        <v>102816</v>
      </c>
      <c r="C1574" s="20" t="s">
        <v>1625</v>
      </c>
      <c r="D1574" s="19" t="s">
        <v>1535</v>
      </c>
      <c r="E1574" s="21" t="str">
        <f t="shared" si="71"/>
        <v>VERIFICAR</v>
      </c>
      <c r="F1574" s="22">
        <v>0.19</v>
      </c>
      <c r="G1574" s="21" t="str">
        <f t="shared" si="72"/>
        <v>VERIFICAR</v>
      </c>
      <c r="H1574" s="22">
        <v>0.20999999999999999</v>
      </c>
      <c r="I1574" s="23" t="str">
        <f t="shared" si="73"/>
        <v xml:space="preserve">COM VALOR</v>
      </c>
      <c r="J1574" s="19"/>
      <c r="L1574" s="21">
        <v>0</v>
      </c>
      <c r="M1574" s="22"/>
      <c r="N1574" s="21">
        <v>0</v>
      </c>
      <c r="O1574" s="22"/>
    </row>
    <row r="1575" ht="25.5">
      <c r="A1575" t="s">
        <v>1531</v>
      </c>
      <c r="B1575" s="19">
        <v>91534</v>
      </c>
      <c r="C1575" s="20" t="s">
        <v>1626</v>
      </c>
      <c r="D1575" s="19" t="s">
        <v>1533</v>
      </c>
      <c r="E1575" s="21">
        <f t="shared" si="71"/>
        <v>31.859999999999999</v>
      </c>
      <c r="F1575" s="22">
        <v>0.28999999999999998</v>
      </c>
      <c r="G1575" s="21">
        <f t="shared" si="72"/>
        <v>29.960000000000001</v>
      </c>
      <c r="H1575" s="22">
        <v>0.29999999999999999</v>
      </c>
      <c r="I1575" s="23" t="str">
        <f t="shared" si="73"/>
        <v xml:space="preserve">COM VALOR</v>
      </c>
      <c r="J1575" s="19"/>
      <c r="L1575" s="21">
        <v>31.859999999999999</v>
      </c>
      <c r="M1575" s="22">
        <v>0</v>
      </c>
      <c r="N1575" s="21">
        <v>29.960000000000001</v>
      </c>
      <c r="O1575" s="22">
        <v>0</v>
      </c>
    </row>
    <row r="1576" ht="25.5">
      <c r="A1576" t="s">
        <v>1531</v>
      </c>
      <c r="B1576" s="19">
        <v>91533</v>
      </c>
      <c r="C1576" s="20" t="s">
        <v>1627</v>
      </c>
      <c r="D1576" s="19" t="s">
        <v>1535</v>
      </c>
      <c r="E1576" s="21">
        <f t="shared" si="71"/>
        <v>39.340000000000003</v>
      </c>
      <c r="F1576" s="22">
        <v>0.62</v>
      </c>
      <c r="G1576" s="21">
        <f t="shared" si="72"/>
        <v>37.439999999999998</v>
      </c>
      <c r="H1576" s="22">
        <v>0.64000000000000001</v>
      </c>
      <c r="I1576" s="23" t="str">
        <f t="shared" si="73"/>
        <v xml:space="preserve">COM VALOR</v>
      </c>
      <c r="J1576" s="19"/>
      <c r="L1576" s="21">
        <v>39.340000000000003</v>
      </c>
      <c r="M1576" s="22">
        <v>0</v>
      </c>
      <c r="N1576" s="21">
        <v>37.439999999999998</v>
      </c>
      <c r="O1576" s="22">
        <v>0</v>
      </c>
    </row>
    <row r="1577" ht="25.5">
      <c r="A1577" t="s">
        <v>1531</v>
      </c>
      <c r="B1577" s="19">
        <v>95265</v>
      </c>
      <c r="C1577" s="20" t="s">
        <v>1628</v>
      </c>
      <c r="D1577" s="19" t="s">
        <v>1533</v>
      </c>
      <c r="E1577" s="21">
        <f t="shared" si="71"/>
        <v>0.81000000000000005</v>
      </c>
      <c r="F1577" s="22">
        <v>0.31</v>
      </c>
      <c r="G1577" s="21">
        <f t="shared" si="72"/>
        <v>0.81000000000000005</v>
      </c>
      <c r="H1577" s="22">
        <v>0.31</v>
      </c>
      <c r="I1577" s="23" t="str">
        <f t="shared" si="73"/>
        <v xml:space="preserve">COM VALOR</v>
      </c>
      <c r="J1577" s="19"/>
      <c r="L1577" s="21">
        <v>0.81000000000000005</v>
      </c>
      <c r="M1577" s="22">
        <v>0</v>
      </c>
      <c r="N1577" s="21">
        <v>0.81000000000000005</v>
      </c>
      <c r="O1577" s="22">
        <v>0</v>
      </c>
    </row>
    <row r="1578" ht="25.5">
      <c r="A1578" t="s">
        <v>1531</v>
      </c>
      <c r="B1578" s="19">
        <v>95264</v>
      </c>
      <c r="C1578" s="20" t="s">
        <v>1629</v>
      </c>
      <c r="D1578" s="19" t="s">
        <v>1535</v>
      </c>
      <c r="E1578" s="21">
        <f t="shared" si="71"/>
        <v>6.5199999999999996</v>
      </c>
      <c r="F1578" s="22"/>
      <c r="G1578" s="21">
        <f t="shared" si="72"/>
        <v>6.5199999999999996</v>
      </c>
      <c r="H1578" s="22"/>
      <c r="I1578" s="23" t="str">
        <f t="shared" si="73"/>
        <v xml:space="preserve">COM VALOR</v>
      </c>
      <c r="J1578" s="19"/>
      <c r="L1578" s="21">
        <v>6.5199999999999996</v>
      </c>
      <c r="M1578" s="22">
        <v>0</v>
      </c>
      <c r="N1578" s="21">
        <v>6.5199999999999996</v>
      </c>
      <c r="O1578" s="22">
        <v>0</v>
      </c>
    </row>
    <row r="1579" ht="38.25">
      <c r="A1579" t="s">
        <v>1531</v>
      </c>
      <c r="B1579" s="19">
        <v>90973</v>
      </c>
      <c r="C1579" s="20" t="s">
        <v>1630</v>
      </c>
      <c r="D1579" s="19" t="s">
        <v>1533</v>
      </c>
      <c r="E1579" s="21">
        <f t="shared" si="71"/>
        <v>8.9299999999999997</v>
      </c>
      <c r="F1579" s="22"/>
      <c r="G1579" s="21">
        <f t="shared" si="72"/>
        <v>8.9299999999999997</v>
      </c>
      <c r="H1579" s="22"/>
      <c r="I1579" s="23" t="str">
        <f t="shared" si="73"/>
        <v xml:space="preserve">COM VALOR</v>
      </c>
      <c r="J1579" s="19"/>
      <c r="L1579" s="21">
        <v>8.9299999999999997</v>
      </c>
      <c r="M1579" s="22">
        <v>1</v>
      </c>
      <c r="N1579" s="21">
        <v>8.9299999999999997</v>
      </c>
      <c r="O1579" s="22">
        <v>1</v>
      </c>
    </row>
    <row r="1580" ht="38.25">
      <c r="A1580" t="s">
        <v>1531</v>
      </c>
      <c r="B1580" s="19">
        <v>90972</v>
      </c>
      <c r="C1580" s="20" t="s">
        <v>1631</v>
      </c>
      <c r="D1580" s="19" t="s">
        <v>1535</v>
      </c>
      <c r="E1580" s="21">
        <f t="shared" si="71"/>
        <v>86.519999999999996</v>
      </c>
      <c r="F1580" s="22">
        <v>0.83999999999999997</v>
      </c>
      <c r="G1580" s="21">
        <f t="shared" si="72"/>
        <v>86.519999999999996</v>
      </c>
      <c r="H1580" s="22">
        <v>0.84999999999999998</v>
      </c>
      <c r="I1580" s="23" t="str">
        <f t="shared" si="73"/>
        <v xml:space="preserve">COM VALOR</v>
      </c>
      <c r="J1580" s="19"/>
      <c r="L1580" s="21">
        <v>86.519999999999996</v>
      </c>
      <c r="M1580" s="22">
        <v>0.20499999999999999</v>
      </c>
      <c r="N1580" s="21">
        <v>86.519999999999996</v>
      </c>
      <c r="O1580" s="22">
        <v>0.20499999999999999</v>
      </c>
    </row>
    <row r="1581" ht="38.25">
      <c r="A1581" t="s">
        <v>1531</v>
      </c>
      <c r="B1581" s="19">
        <v>91001</v>
      </c>
      <c r="C1581" s="20" t="s">
        <v>1632</v>
      </c>
      <c r="D1581" s="19" t="s">
        <v>1533</v>
      </c>
      <c r="E1581" s="21">
        <f t="shared" si="71"/>
        <v>10.59</v>
      </c>
      <c r="F1581" s="22">
        <v>0.63</v>
      </c>
      <c r="G1581" s="21">
        <f t="shared" si="72"/>
        <v>10.59</v>
      </c>
      <c r="H1581" s="22">
        <v>0.64000000000000001</v>
      </c>
      <c r="I1581" s="23" t="str">
        <f t="shared" si="73"/>
        <v xml:space="preserve">COM VALOR</v>
      </c>
      <c r="J1581" s="19"/>
      <c r="L1581" s="21">
        <v>10.59</v>
      </c>
      <c r="M1581" s="22">
        <v>1</v>
      </c>
      <c r="N1581" s="21">
        <v>10.59</v>
      </c>
      <c r="O1581" s="22">
        <v>1</v>
      </c>
    </row>
    <row r="1582" ht="38.25">
      <c r="A1582" t="s">
        <v>1531</v>
      </c>
      <c r="B1582" s="19">
        <v>90999</v>
      </c>
      <c r="C1582" s="20" t="s">
        <v>1633</v>
      </c>
      <c r="D1582" s="19" t="s">
        <v>1535</v>
      </c>
      <c r="E1582" s="21">
        <f t="shared" si="71"/>
        <v>114.47</v>
      </c>
      <c r="F1582" s="22">
        <v>0.92000000000000004</v>
      </c>
      <c r="G1582" s="21">
        <f t="shared" si="72"/>
        <v>114.47</v>
      </c>
      <c r="H1582" s="22">
        <v>0.93000000000000005</v>
      </c>
      <c r="I1582" s="23" t="str">
        <f t="shared" si="73"/>
        <v xml:space="preserve">COM VALOR</v>
      </c>
      <c r="J1582" s="19"/>
      <c r="L1582" s="21">
        <v>114.47</v>
      </c>
      <c r="M1582" s="22">
        <v>0.17999999999999999</v>
      </c>
      <c r="N1582" s="21">
        <v>114.47</v>
      </c>
      <c r="O1582" s="22">
        <v>0.17999999999999999</v>
      </c>
    </row>
    <row r="1583" ht="38.25">
      <c r="A1583" t="s">
        <v>1531</v>
      </c>
      <c r="B1583" s="19">
        <v>5954</v>
      </c>
      <c r="C1583" s="20" t="s">
        <v>1634</v>
      </c>
      <c r="D1583" s="19" t="s">
        <v>1533</v>
      </c>
      <c r="E1583" s="21">
        <f t="shared" si="71"/>
        <v>6.6699999999999999</v>
      </c>
      <c r="F1583" s="22">
        <v>0.63</v>
      </c>
      <c r="G1583" s="21">
        <f t="shared" si="72"/>
        <v>6.6699999999999999</v>
      </c>
      <c r="H1583" s="22">
        <v>0.63</v>
      </c>
      <c r="I1583" s="23" t="str">
        <f t="shared" si="73"/>
        <v xml:space="preserve">COM VALOR</v>
      </c>
      <c r="J1583" s="19"/>
      <c r="L1583" s="21">
        <v>6.6699999999999999</v>
      </c>
      <c r="M1583" s="22">
        <v>1</v>
      </c>
      <c r="N1583" s="21">
        <v>6.6699999999999999</v>
      </c>
      <c r="O1583" s="22">
        <v>1</v>
      </c>
    </row>
    <row r="1584" ht="38.25">
      <c r="A1584" t="s">
        <v>1531</v>
      </c>
      <c r="B1584" s="19">
        <v>5953</v>
      </c>
      <c r="C1584" s="20" t="s">
        <v>1635</v>
      </c>
      <c r="D1584" s="19" t="s">
        <v>1535</v>
      </c>
      <c r="E1584" s="21">
        <f t="shared" si="71"/>
        <v>66.75</v>
      </c>
      <c r="F1584" s="22"/>
      <c r="G1584" s="21">
        <f t="shared" si="72"/>
        <v>66.75</v>
      </c>
      <c r="H1584" s="22"/>
      <c r="I1584" s="23" t="str">
        <f t="shared" si="73"/>
        <v xml:space="preserve">COM VALOR</v>
      </c>
      <c r="J1584" s="19"/>
      <c r="L1584" s="21">
        <v>66.75</v>
      </c>
      <c r="M1584" s="22">
        <v>0.20000000000000001</v>
      </c>
      <c r="N1584" s="21">
        <v>66.75</v>
      </c>
      <c r="O1584" s="22">
        <v>0.20000000000000001</v>
      </c>
    </row>
    <row r="1585" ht="38.25">
      <c r="A1585" t="s">
        <v>1531</v>
      </c>
      <c r="B1585" s="19">
        <v>90982</v>
      </c>
      <c r="C1585" s="20" t="s">
        <v>1636</v>
      </c>
      <c r="D1585" s="19" t="s">
        <v>1533</v>
      </c>
      <c r="E1585" s="21">
        <f t="shared" si="71"/>
        <v>22.690000000000001</v>
      </c>
      <c r="F1585" s="22"/>
      <c r="G1585" s="21">
        <f t="shared" si="72"/>
        <v>22.690000000000001</v>
      </c>
      <c r="H1585" s="22"/>
      <c r="I1585" s="23" t="str">
        <f t="shared" si="73"/>
        <v xml:space="preserve">COM VALOR</v>
      </c>
      <c r="J1585" s="19"/>
      <c r="L1585" s="21">
        <v>22.690000000000001</v>
      </c>
      <c r="M1585" s="22">
        <v>1</v>
      </c>
      <c r="N1585" s="21">
        <v>22.690000000000001</v>
      </c>
      <c r="O1585" s="22">
        <v>1</v>
      </c>
    </row>
    <row r="1586" ht="38.25">
      <c r="A1586" t="s">
        <v>1531</v>
      </c>
      <c r="B1586" s="19">
        <v>90979</v>
      </c>
      <c r="C1586" s="20" t="s">
        <v>1637</v>
      </c>
      <c r="D1586" s="19" t="s">
        <v>1535</v>
      </c>
      <c r="E1586" s="21">
        <f t="shared" si="71"/>
        <v>223.52000000000001</v>
      </c>
      <c r="F1586" s="22">
        <v>1</v>
      </c>
      <c r="G1586" s="21">
        <f t="shared" si="72"/>
        <v>223.52000000000001</v>
      </c>
      <c r="H1586" s="22">
        <v>1</v>
      </c>
      <c r="I1586" s="23" t="str">
        <f t="shared" si="73"/>
        <v xml:space="preserve">COM VALOR</v>
      </c>
      <c r="J1586" s="19"/>
      <c r="L1586" s="21">
        <v>223.52000000000001</v>
      </c>
      <c r="M1586" s="22">
        <v>0.20000000000000001</v>
      </c>
      <c r="N1586" s="21">
        <v>223.52000000000001</v>
      </c>
      <c r="O1586" s="22">
        <v>0.20000000000000001</v>
      </c>
    </row>
    <row r="1587" ht="38.25">
      <c r="A1587" t="s">
        <v>1531</v>
      </c>
      <c r="B1587" s="19">
        <v>90965</v>
      </c>
      <c r="C1587" s="20" t="s">
        <v>1638</v>
      </c>
      <c r="D1587" s="19" t="s">
        <v>1533</v>
      </c>
      <c r="E1587" s="21">
        <f t="shared" si="71"/>
        <v>8.9000000000000004</v>
      </c>
      <c r="F1587" s="22">
        <v>7.0000000000000007e-002</v>
      </c>
      <c r="G1587" s="21">
        <f t="shared" si="72"/>
        <v>8.9000000000000004</v>
      </c>
      <c r="H1587" s="22">
        <v>7.0000000000000007e-002</v>
      </c>
      <c r="I1587" s="23" t="str">
        <f t="shared" si="73"/>
        <v xml:space="preserve">COM VALOR</v>
      </c>
      <c r="J1587" s="19"/>
      <c r="L1587" s="21">
        <v>8.9000000000000004</v>
      </c>
      <c r="M1587" s="22">
        <v>1</v>
      </c>
      <c r="N1587" s="21">
        <v>8.9000000000000004</v>
      </c>
      <c r="O1587" s="22">
        <v>1</v>
      </c>
    </row>
    <row r="1588" ht="38.25">
      <c r="A1588" t="s">
        <v>1531</v>
      </c>
      <c r="B1588" s="19">
        <v>90964</v>
      </c>
      <c r="C1588" s="20" t="s">
        <v>1639</v>
      </c>
      <c r="D1588" s="19" t="s">
        <v>1535</v>
      </c>
      <c r="E1588" s="21">
        <f t="shared" si="71"/>
        <v>34.659999999999997</v>
      </c>
      <c r="F1588" s="22">
        <v>1</v>
      </c>
      <c r="G1588" s="21">
        <f t="shared" si="72"/>
        <v>34.659999999999997</v>
      </c>
      <c r="H1588" s="22">
        <v>1</v>
      </c>
      <c r="I1588" s="23" t="str">
        <f t="shared" si="73"/>
        <v xml:space="preserve">COM VALOR</v>
      </c>
      <c r="J1588" s="19"/>
      <c r="L1588" s="21">
        <v>34.659999999999997</v>
      </c>
      <c r="M1588" s="22">
        <v>0.51000000000000001</v>
      </c>
      <c r="N1588" s="21">
        <v>34.659999999999997</v>
      </c>
      <c r="O1588" s="22">
        <v>0.51000000000000001</v>
      </c>
    </row>
    <row r="1589" ht="38.25">
      <c r="A1589" t="s">
        <v>1531</v>
      </c>
      <c r="B1589" s="19">
        <v>102970</v>
      </c>
      <c r="C1589" s="20" t="s">
        <v>1640</v>
      </c>
      <c r="D1589" s="19" t="s">
        <v>1533</v>
      </c>
      <c r="E1589" s="21">
        <f t="shared" si="71"/>
        <v>0.26000000000000001</v>
      </c>
      <c r="F1589" s="22">
        <v>1</v>
      </c>
      <c r="G1589" s="21">
        <f t="shared" si="72"/>
        <v>0.26000000000000001</v>
      </c>
      <c r="H1589" s="22">
        <v>1</v>
      </c>
      <c r="I1589" s="23" t="str">
        <f t="shared" si="73"/>
        <v xml:space="preserve">COM VALOR</v>
      </c>
      <c r="J1589" s="19"/>
      <c r="L1589" s="21">
        <v>0.26000000000000001</v>
      </c>
      <c r="M1589" s="22">
        <v>0</v>
      </c>
      <c r="N1589" s="21">
        <v>0.26000000000000001</v>
      </c>
      <c r="O1589" s="22">
        <v>0</v>
      </c>
    </row>
    <row r="1590" ht="38.25">
      <c r="A1590" t="s">
        <v>1531</v>
      </c>
      <c r="B1590" s="19">
        <v>102971</v>
      </c>
      <c r="C1590" s="20" t="s">
        <v>1641</v>
      </c>
      <c r="D1590" s="19" t="s">
        <v>1535</v>
      </c>
      <c r="E1590" s="21">
        <f t="shared" si="71"/>
        <v>0.63</v>
      </c>
      <c r="F1590" s="22">
        <v>1</v>
      </c>
      <c r="G1590" s="21">
        <f t="shared" si="72"/>
        <v>0.63</v>
      </c>
      <c r="H1590" s="22">
        <v>1</v>
      </c>
      <c r="I1590" s="23" t="str">
        <f t="shared" si="73"/>
        <v xml:space="preserve">COM VALOR</v>
      </c>
      <c r="J1590" s="19"/>
      <c r="L1590" s="21">
        <v>0.63</v>
      </c>
      <c r="M1590" s="22">
        <v>0</v>
      </c>
      <c r="N1590" s="21">
        <v>0.63</v>
      </c>
      <c r="O1590" s="22">
        <v>0</v>
      </c>
    </row>
    <row r="1591" ht="38.25">
      <c r="A1591" t="s">
        <v>1531</v>
      </c>
      <c r="B1591" s="19">
        <v>102822</v>
      </c>
      <c r="C1591" s="20" t="s">
        <v>1642</v>
      </c>
      <c r="D1591" s="19" t="s">
        <v>1533</v>
      </c>
      <c r="E1591" s="21" t="str">
        <f t="shared" si="71"/>
        <v>VERIFICAR</v>
      </c>
      <c r="F1591" s="22">
        <v>1</v>
      </c>
      <c r="G1591" s="21" t="str">
        <f t="shared" si="72"/>
        <v>VERIFICAR</v>
      </c>
      <c r="H1591" s="22">
        <v>1</v>
      </c>
      <c r="I1591" s="23" t="str">
        <f t="shared" si="73"/>
        <v xml:space="preserve">COM VALOR</v>
      </c>
      <c r="J1591" s="19"/>
      <c r="L1591" s="21">
        <v>0</v>
      </c>
      <c r="M1591" s="22"/>
      <c r="N1591" s="21">
        <v>0</v>
      </c>
      <c r="O1591" s="22"/>
    </row>
    <row r="1592" ht="38.25">
      <c r="A1592" t="s">
        <v>1531</v>
      </c>
      <c r="B1592" s="19">
        <v>102821</v>
      </c>
      <c r="C1592" s="20" t="s">
        <v>1643</v>
      </c>
      <c r="D1592" s="19" t="s">
        <v>1535</v>
      </c>
      <c r="E1592" s="21" t="str">
        <f t="shared" si="71"/>
        <v>VERIFICAR</v>
      </c>
      <c r="F1592" s="22">
        <v>0.73999999999999999</v>
      </c>
      <c r="G1592" s="21" t="str">
        <f t="shared" si="72"/>
        <v>VERIFICAR</v>
      </c>
      <c r="H1592" s="22">
        <v>0.76000000000000001</v>
      </c>
      <c r="I1592" s="23" t="str">
        <f t="shared" si="73"/>
        <v xml:space="preserve">COM VALOR</v>
      </c>
      <c r="J1592" s="19"/>
      <c r="L1592" s="21">
        <v>0</v>
      </c>
      <c r="M1592" s="22"/>
      <c r="N1592" s="21">
        <v>0</v>
      </c>
      <c r="O1592" s="22"/>
    </row>
    <row r="1593" ht="38.25">
      <c r="A1593" t="s">
        <v>1531</v>
      </c>
      <c r="B1593" s="19">
        <v>102828</v>
      </c>
      <c r="C1593" s="20" t="s">
        <v>1644</v>
      </c>
      <c r="D1593" s="19" t="s">
        <v>1533</v>
      </c>
      <c r="E1593" s="21" t="str">
        <f t="shared" si="71"/>
        <v>VERIFICAR</v>
      </c>
      <c r="F1593" s="22">
        <v>0.67000000000000004</v>
      </c>
      <c r="G1593" s="21" t="str">
        <f t="shared" si="72"/>
        <v>VERIFICAR</v>
      </c>
      <c r="H1593" s="22">
        <v>0.68999999999999995</v>
      </c>
      <c r="I1593" s="23" t="str">
        <f t="shared" si="73"/>
        <v xml:space="preserve">COM VALOR</v>
      </c>
      <c r="J1593" s="19"/>
      <c r="L1593" s="21">
        <v>0</v>
      </c>
      <c r="M1593" s="22"/>
      <c r="N1593" s="21">
        <v>0</v>
      </c>
      <c r="O1593" s="22"/>
    </row>
    <row r="1594" ht="38.25">
      <c r="A1594" t="s">
        <v>1531</v>
      </c>
      <c r="B1594" s="19">
        <v>102827</v>
      </c>
      <c r="C1594" s="20" t="s">
        <v>1645</v>
      </c>
      <c r="D1594" s="19" t="s">
        <v>1535</v>
      </c>
      <c r="E1594" s="21" t="str">
        <f t="shared" si="71"/>
        <v>VERIFICAR</v>
      </c>
      <c r="F1594" s="22">
        <v>0.58999999999999997</v>
      </c>
      <c r="G1594" s="21" t="str">
        <f t="shared" si="72"/>
        <v>VERIFICAR</v>
      </c>
      <c r="H1594" s="22">
        <v>0.60999999999999999</v>
      </c>
      <c r="I1594" s="23" t="str">
        <f t="shared" si="73"/>
        <v xml:space="preserve">COM VALOR</v>
      </c>
      <c r="J1594" s="19"/>
      <c r="L1594" s="21">
        <v>0</v>
      </c>
      <c r="M1594" s="22"/>
      <c r="N1594" s="21">
        <v>0</v>
      </c>
      <c r="O1594" s="22"/>
    </row>
    <row r="1595" ht="51">
      <c r="A1595" t="s">
        <v>1531</v>
      </c>
      <c r="B1595" s="19">
        <v>103939</v>
      </c>
      <c r="C1595" s="20" t="s">
        <v>1646</v>
      </c>
      <c r="D1595" s="19" t="s">
        <v>1533</v>
      </c>
      <c r="E1595" s="21" t="str">
        <f t="shared" si="71"/>
        <v>VERIFICAR</v>
      </c>
      <c r="F1595" s="22">
        <v>0.53000000000000003</v>
      </c>
      <c r="G1595" s="21" t="str">
        <f t="shared" si="72"/>
        <v>VERIFICAR</v>
      </c>
      <c r="H1595" s="22">
        <v>0.55000000000000004</v>
      </c>
      <c r="I1595" s="23" t="str">
        <f t="shared" si="73"/>
        <v xml:space="preserve">COM VALOR</v>
      </c>
      <c r="J1595" s="19"/>
      <c r="L1595" s="21">
        <v>0</v>
      </c>
      <c r="M1595" s="22"/>
      <c r="N1595" s="21">
        <v>0</v>
      </c>
      <c r="O1595" s="22"/>
    </row>
    <row r="1596" ht="51">
      <c r="A1596" t="s">
        <v>1531</v>
      </c>
      <c r="B1596" s="19">
        <v>103938</v>
      </c>
      <c r="C1596" s="20" t="s">
        <v>1647</v>
      </c>
      <c r="D1596" s="19" t="s">
        <v>1535</v>
      </c>
      <c r="E1596" s="21" t="str">
        <f t="shared" si="71"/>
        <v>VERIFICAR</v>
      </c>
      <c r="F1596" s="22">
        <v>0.34999999999999998</v>
      </c>
      <c r="G1596" s="21" t="str">
        <f t="shared" si="72"/>
        <v>VERIFICAR</v>
      </c>
      <c r="H1596" s="22">
        <v>0.37</v>
      </c>
      <c r="I1596" s="23" t="str">
        <f t="shared" si="73"/>
        <v xml:space="preserve">COM VALOR</v>
      </c>
      <c r="J1596" s="19"/>
      <c r="L1596" s="21">
        <v>0</v>
      </c>
      <c r="M1596" s="22"/>
      <c r="N1596" s="21">
        <v>0</v>
      </c>
      <c r="O1596" s="22"/>
    </row>
    <row r="1597" ht="51">
      <c r="A1597" t="s">
        <v>1531</v>
      </c>
      <c r="B1597" s="19">
        <v>103945</v>
      </c>
      <c r="C1597" s="20" t="s">
        <v>1648</v>
      </c>
      <c r="D1597" s="19" t="s">
        <v>1533</v>
      </c>
      <c r="E1597" s="21" t="str">
        <f t="shared" si="71"/>
        <v>VERIFICAR</v>
      </c>
      <c r="F1597" s="22">
        <v>0.23000000000000001</v>
      </c>
      <c r="G1597" s="21" t="str">
        <f t="shared" si="72"/>
        <v>VERIFICAR</v>
      </c>
      <c r="H1597" s="22">
        <v>0.23999999999999999</v>
      </c>
      <c r="I1597" s="23" t="str">
        <f t="shared" si="73"/>
        <v xml:space="preserve">COM VALOR</v>
      </c>
      <c r="J1597" s="19"/>
      <c r="L1597" s="21">
        <v>0</v>
      </c>
      <c r="M1597" s="22"/>
      <c r="N1597" s="21">
        <v>0</v>
      </c>
      <c r="O1597" s="22"/>
    </row>
    <row r="1598" ht="51">
      <c r="A1598" t="s">
        <v>1531</v>
      </c>
      <c r="B1598" s="19">
        <v>103944</v>
      </c>
      <c r="C1598" s="20" t="s">
        <v>1649</v>
      </c>
      <c r="D1598" s="19" t="s">
        <v>1535</v>
      </c>
      <c r="E1598" s="21" t="str">
        <f t="shared" si="71"/>
        <v>VERIFICAR</v>
      </c>
      <c r="F1598" s="22">
        <v>1</v>
      </c>
      <c r="G1598" s="21" t="str">
        <f t="shared" si="72"/>
        <v>VERIFICAR</v>
      </c>
      <c r="H1598" s="22">
        <v>1</v>
      </c>
      <c r="I1598" s="23" t="str">
        <f t="shared" si="73"/>
        <v xml:space="preserve">COM VALOR</v>
      </c>
      <c r="J1598" s="19"/>
      <c r="L1598" s="21">
        <v>0</v>
      </c>
      <c r="M1598" s="22"/>
      <c r="N1598" s="21">
        <v>0</v>
      </c>
      <c r="O1598" s="22"/>
    </row>
    <row r="1599" ht="38.25">
      <c r="A1599" t="s">
        <v>1531</v>
      </c>
      <c r="B1599" s="19">
        <v>106416</v>
      </c>
      <c r="C1599" s="20" t="s">
        <v>1650</v>
      </c>
      <c r="D1599" s="19" t="s">
        <v>1533</v>
      </c>
      <c r="E1599" s="21">
        <f t="shared" si="71"/>
        <v>15.49</v>
      </c>
      <c r="F1599" s="22">
        <v>8.0000000000000002e-002</v>
      </c>
      <c r="G1599" s="21">
        <f t="shared" si="72"/>
        <v>15.49</v>
      </c>
      <c r="H1599" s="22">
        <v>8.0000000000000002e-002</v>
      </c>
      <c r="I1599" s="23" t="str">
        <f t="shared" si="73"/>
        <v xml:space="preserve">COM VALOR</v>
      </c>
      <c r="J1599" s="19"/>
      <c r="L1599" s="21">
        <v>15.49</v>
      </c>
      <c r="M1599" s="22">
        <v>0</v>
      </c>
      <c r="N1599" s="21">
        <v>15.49</v>
      </c>
      <c r="O1599" s="22">
        <v>0</v>
      </c>
    </row>
    <row r="1600" ht="38.25">
      <c r="A1600" t="s">
        <v>1531</v>
      </c>
      <c r="B1600" s="19">
        <v>106414</v>
      </c>
      <c r="C1600" s="20" t="s">
        <v>1651</v>
      </c>
      <c r="D1600" s="19" t="s">
        <v>1535</v>
      </c>
      <c r="E1600" s="21">
        <f t="shared" si="71"/>
        <v>29.059999999999999</v>
      </c>
      <c r="F1600" s="22"/>
      <c r="G1600" s="21">
        <f t="shared" si="72"/>
        <v>29.059999999999999</v>
      </c>
      <c r="H1600" s="22"/>
      <c r="I1600" s="23" t="str">
        <f t="shared" si="73"/>
        <v xml:space="preserve">COM VALOR</v>
      </c>
      <c r="J1600" s="19"/>
      <c r="L1600" s="21">
        <v>29.059999999999999</v>
      </c>
      <c r="M1600" s="22">
        <v>0</v>
      </c>
      <c r="N1600" s="21">
        <v>29.059999999999999</v>
      </c>
      <c r="O1600" s="22">
        <v>0</v>
      </c>
    </row>
    <row r="1601" ht="51">
      <c r="A1601" t="s">
        <v>1531</v>
      </c>
      <c r="B1601" s="19">
        <v>91285</v>
      </c>
      <c r="C1601" s="20" t="s">
        <v>1652</v>
      </c>
      <c r="D1601" s="19" t="s">
        <v>1533</v>
      </c>
      <c r="E1601" s="21">
        <f t="shared" si="71"/>
        <v>0.62</v>
      </c>
      <c r="F1601" s="22"/>
      <c r="G1601" s="21">
        <f t="shared" si="72"/>
        <v>0.62</v>
      </c>
      <c r="H1601" s="22"/>
      <c r="I1601" s="23" t="str">
        <f t="shared" si="73"/>
        <v xml:space="preserve">COM VALOR</v>
      </c>
      <c r="J1601" s="19"/>
      <c r="L1601" s="21">
        <v>0.62</v>
      </c>
      <c r="M1601" s="22">
        <v>0</v>
      </c>
      <c r="N1601" s="21">
        <v>0.62</v>
      </c>
      <c r="O1601" s="22">
        <v>0</v>
      </c>
    </row>
    <row r="1602" ht="51">
      <c r="A1602" t="s">
        <v>1531</v>
      </c>
      <c r="B1602" s="19">
        <v>91283</v>
      </c>
      <c r="C1602" s="20" t="s">
        <v>1653</v>
      </c>
      <c r="D1602" s="19" t="s">
        <v>1535</v>
      </c>
      <c r="E1602" s="21">
        <f t="shared" si="71"/>
        <v>10.390000000000001</v>
      </c>
      <c r="F1602" s="22">
        <v>1</v>
      </c>
      <c r="G1602" s="21">
        <f t="shared" si="72"/>
        <v>10.390000000000001</v>
      </c>
      <c r="H1602" s="22">
        <v>1</v>
      </c>
      <c r="I1602" s="23" t="str">
        <f t="shared" si="73"/>
        <v xml:space="preserve">COM VALOR</v>
      </c>
      <c r="J1602" s="19"/>
      <c r="L1602" s="21">
        <v>10.390000000000001</v>
      </c>
      <c r="M1602" s="22">
        <v>0</v>
      </c>
      <c r="N1602" s="21">
        <v>10.390000000000001</v>
      </c>
      <c r="O1602" s="22">
        <v>0</v>
      </c>
    </row>
    <row r="1603" ht="25.5">
      <c r="A1603" t="s">
        <v>1531</v>
      </c>
      <c r="B1603" s="19">
        <v>95283</v>
      </c>
      <c r="C1603" s="20" t="s">
        <v>1654</v>
      </c>
      <c r="D1603" s="19" t="s">
        <v>1533</v>
      </c>
      <c r="E1603" s="21">
        <f t="shared" si="71"/>
        <v>0.84999999999999998</v>
      </c>
      <c r="F1603" s="22">
        <v>8.0000000000000002e-002</v>
      </c>
      <c r="G1603" s="21">
        <f t="shared" si="72"/>
        <v>0.84999999999999998</v>
      </c>
      <c r="H1603" s="22">
        <v>8.0000000000000002e-002</v>
      </c>
      <c r="I1603" s="23" t="str">
        <f t="shared" si="73"/>
        <v xml:space="preserve">COM VALOR</v>
      </c>
      <c r="J1603" s="19"/>
      <c r="L1603" s="21">
        <v>0.84999999999999998</v>
      </c>
      <c r="M1603" s="22">
        <v>1</v>
      </c>
      <c r="N1603" s="21">
        <v>0.84999999999999998</v>
      </c>
      <c r="O1603" s="22">
        <v>1</v>
      </c>
    </row>
    <row r="1604" ht="25.5">
      <c r="A1604" t="s">
        <v>1531</v>
      </c>
      <c r="B1604" s="19">
        <v>95282</v>
      </c>
      <c r="C1604" s="20" t="s">
        <v>1655</v>
      </c>
      <c r="D1604" s="19" t="s">
        <v>1535</v>
      </c>
      <c r="E1604" s="21">
        <f t="shared" si="71"/>
        <v>10.609999999999999</v>
      </c>
      <c r="F1604" s="22">
        <v>1</v>
      </c>
      <c r="G1604" s="21">
        <f t="shared" si="72"/>
        <v>10.609999999999999</v>
      </c>
      <c r="H1604" s="22">
        <v>1</v>
      </c>
      <c r="I1604" s="23" t="str">
        <f t="shared" si="73"/>
        <v xml:space="preserve">COM VALOR</v>
      </c>
      <c r="J1604" s="19"/>
      <c r="L1604" s="21">
        <v>10.609999999999999</v>
      </c>
      <c r="M1604" s="22">
        <v>0.14999999999999999</v>
      </c>
      <c r="N1604" s="21">
        <v>10.609999999999999</v>
      </c>
      <c r="O1604" s="22">
        <v>0.14999999999999999</v>
      </c>
    </row>
    <row r="1605" ht="25.5">
      <c r="A1605" t="s">
        <v>1531</v>
      </c>
      <c r="B1605" s="19">
        <v>95128</v>
      </c>
      <c r="C1605" s="20" t="s">
        <v>1656</v>
      </c>
      <c r="D1605" s="19" t="s">
        <v>1533</v>
      </c>
      <c r="E1605" s="21">
        <f t="shared" si="71"/>
        <v>57.420000000000002</v>
      </c>
      <c r="F1605" s="22">
        <v>8.9999999999999997e-002</v>
      </c>
      <c r="G1605" s="21">
        <f t="shared" si="72"/>
        <v>55.520000000000003</v>
      </c>
      <c r="H1605" s="22">
        <v>8.9999999999999997e-002</v>
      </c>
      <c r="I1605" s="23" t="str">
        <f t="shared" si="73"/>
        <v xml:space="preserve">COM VALOR</v>
      </c>
      <c r="J1605" s="19"/>
      <c r="L1605" s="21">
        <v>57.420000000000002</v>
      </c>
      <c r="M1605" s="22">
        <v>0.46000000000000002</v>
      </c>
      <c r="N1605" s="21">
        <v>55.520000000000003</v>
      </c>
      <c r="O1605" s="22">
        <v>0.47999999999999998</v>
      </c>
    </row>
    <row r="1606" ht="25.5">
      <c r="A1606" t="s">
        <v>1531</v>
      </c>
      <c r="B1606" s="19">
        <v>95127</v>
      </c>
      <c r="C1606" s="20" t="s">
        <v>1657</v>
      </c>
      <c r="D1606" s="19" t="s">
        <v>1535</v>
      </c>
      <c r="E1606" s="21">
        <f t="shared" si="71"/>
        <v>246.74000000000001</v>
      </c>
      <c r="F1606" s="22">
        <v>1</v>
      </c>
      <c r="G1606" s="21">
        <f t="shared" si="72"/>
        <v>244.84</v>
      </c>
      <c r="H1606" s="22">
        <v>1</v>
      </c>
      <c r="I1606" s="23" t="str">
        <f t="shared" si="73"/>
        <v xml:space="preserve">COM VALOR</v>
      </c>
      <c r="J1606" s="19"/>
      <c r="L1606" s="21">
        <v>246.74000000000001</v>
      </c>
      <c r="M1606" s="22">
        <v>0.20000000000000001</v>
      </c>
      <c r="N1606" s="21">
        <v>244.84</v>
      </c>
      <c r="O1606" s="22">
        <v>0.20000000000000001</v>
      </c>
    </row>
    <row r="1607" ht="25.5">
      <c r="A1607" t="s">
        <v>1531</v>
      </c>
      <c r="B1607" s="19">
        <v>92044</v>
      </c>
      <c r="C1607" s="20" t="s">
        <v>1658</v>
      </c>
      <c r="D1607" s="19" t="s">
        <v>1533</v>
      </c>
      <c r="E1607" s="21">
        <f t="shared" si="71"/>
        <v>8.8699999999999992</v>
      </c>
      <c r="F1607" s="22">
        <v>0.14000000000000001</v>
      </c>
      <c r="G1607" s="21">
        <f t="shared" si="72"/>
        <v>8.8699999999999992</v>
      </c>
      <c r="H1607" s="22">
        <v>0.14000000000000001</v>
      </c>
      <c r="I1607" s="23" t="str">
        <f t="shared" si="73"/>
        <v xml:space="preserve">COM VALOR</v>
      </c>
      <c r="J1607" s="19"/>
      <c r="L1607" s="21">
        <v>8.8699999999999992</v>
      </c>
      <c r="M1607" s="22">
        <v>1</v>
      </c>
      <c r="N1607" s="21">
        <v>8.8699999999999992</v>
      </c>
      <c r="O1607" s="22">
        <v>1</v>
      </c>
    </row>
    <row r="1608" ht="25.5">
      <c r="A1608" t="s">
        <v>1531</v>
      </c>
      <c r="B1608" s="19">
        <v>92043</v>
      </c>
      <c r="C1608" s="20" t="s">
        <v>1659</v>
      </c>
      <c r="D1608" s="19" t="s">
        <v>1535</v>
      </c>
      <c r="E1608" s="21">
        <f t="shared" si="71"/>
        <v>15</v>
      </c>
      <c r="F1608" s="22">
        <v>0</v>
      </c>
      <c r="G1608" s="21">
        <f t="shared" si="72"/>
        <v>15</v>
      </c>
      <c r="H1608" s="22">
        <v>0</v>
      </c>
      <c r="I1608" s="23" t="str">
        <f t="shared" si="73"/>
        <v xml:space="preserve">COM VALOR</v>
      </c>
      <c r="J1608" s="19"/>
      <c r="L1608" s="21">
        <v>15</v>
      </c>
      <c r="M1608" s="22">
        <v>1</v>
      </c>
      <c r="N1608" s="21">
        <v>15</v>
      </c>
      <c r="O1608" s="22">
        <v>1</v>
      </c>
    </row>
    <row r="1609" ht="38.25">
      <c r="A1609" t="s">
        <v>1531</v>
      </c>
      <c r="B1609" s="19">
        <v>106417</v>
      </c>
      <c r="C1609" s="20" t="s">
        <v>1660</v>
      </c>
      <c r="D1609" s="19" t="s">
        <v>1533</v>
      </c>
      <c r="E1609" s="21">
        <f t="shared" si="71"/>
        <v>8.8200000000000003</v>
      </c>
      <c r="F1609" s="22">
        <v>0</v>
      </c>
      <c r="G1609" s="21">
        <f t="shared" si="72"/>
        <v>8.8200000000000003</v>
      </c>
      <c r="H1609" s="22">
        <v>0</v>
      </c>
      <c r="I1609" s="23" t="str">
        <f t="shared" si="73"/>
        <v xml:space="preserve">COM VALOR</v>
      </c>
      <c r="J1609" s="19"/>
      <c r="L1609" s="21">
        <v>8.8200000000000003</v>
      </c>
      <c r="M1609" s="22">
        <v>0</v>
      </c>
      <c r="N1609" s="21">
        <v>8.8200000000000003</v>
      </c>
      <c r="O1609" s="22">
        <v>0</v>
      </c>
    </row>
    <row r="1610" ht="38.25">
      <c r="A1610" t="s">
        <v>1531</v>
      </c>
      <c r="B1610" s="19">
        <v>106415</v>
      </c>
      <c r="C1610" s="20" t="s">
        <v>1661</v>
      </c>
      <c r="D1610" s="19" t="s">
        <v>1535</v>
      </c>
      <c r="E1610" s="21">
        <f t="shared" si="71"/>
        <v>18.460000000000001</v>
      </c>
      <c r="F1610" s="22"/>
      <c r="G1610" s="21">
        <f t="shared" si="72"/>
        <v>18.460000000000001</v>
      </c>
      <c r="H1610" s="22"/>
      <c r="I1610" s="23" t="str">
        <f t="shared" si="73"/>
        <v xml:space="preserve">COM VALOR</v>
      </c>
      <c r="J1610" s="19"/>
      <c r="L1610" s="21">
        <v>18.460000000000001</v>
      </c>
      <c r="M1610" s="22">
        <v>0</v>
      </c>
      <c r="N1610" s="21">
        <v>18.460000000000001</v>
      </c>
      <c r="O1610" s="22">
        <v>0</v>
      </c>
    </row>
    <row r="1611" ht="12.75">
      <c r="A1611" t="s">
        <v>1531</v>
      </c>
      <c r="B1611" s="19">
        <v>102834</v>
      </c>
      <c r="C1611" s="20" t="s">
        <v>1662</v>
      </c>
      <c r="D1611" s="19" t="s">
        <v>1533</v>
      </c>
      <c r="E1611" s="21" t="str">
        <f t="shared" ref="E1611:E1674" si="74">IF(L1611=0,"VERIFICAR",L1611)</f>
        <v>VERIFICAR</v>
      </c>
      <c r="F1611" s="22"/>
      <c r="G1611" s="21" t="str">
        <f t="shared" ref="G1611:G1674" si="75">IF(N1611=0,"VERIFICAR",N1611)</f>
        <v>VERIFICAR</v>
      </c>
      <c r="H1611" s="22"/>
      <c r="I1611" s="23" t="str">
        <f t="shared" ref="I1611:I1674" si="76">IF(OR(E1611=0,G1611=0),"SEM VALOR","COM VALOR")</f>
        <v xml:space="preserve">COM VALOR</v>
      </c>
      <c r="J1611" s="19"/>
      <c r="L1611" s="21">
        <v>0</v>
      </c>
      <c r="M1611" s="22"/>
      <c r="N1611" s="21">
        <v>0</v>
      </c>
      <c r="O1611" s="22"/>
    </row>
    <row r="1612" ht="12.75">
      <c r="A1612" t="s">
        <v>1531</v>
      </c>
      <c r="B1612" s="19">
        <v>102833</v>
      </c>
      <c r="C1612" s="20" t="s">
        <v>1663</v>
      </c>
      <c r="D1612" s="19" t="s">
        <v>1535</v>
      </c>
      <c r="E1612" s="21" t="str">
        <f t="shared" si="74"/>
        <v>VERIFICAR</v>
      </c>
      <c r="F1612" s="22"/>
      <c r="G1612" s="21" t="str">
        <f t="shared" si="75"/>
        <v>VERIFICAR</v>
      </c>
      <c r="H1612" s="22"/>
      <c r="I1612" s="23" t="str">
        <f t="shared" si="76"/>
        <v xml:space="preserve">COM VALOR</v>
      </c>
      <c r="J1612" s="19"/>
      <c r="L1612" s="21">
        <v>0</v>
      </c>
      <c r="M1612" s="22"/>
      <c r="N1612" s="21">
        <v>0</v>
      </c>
      <c r="O1612" s="22"/>
    </row>
    <row r="1613" ht="25.5">
      <c r="A1613" t="s">
        <v>1531</v>
      </c>
      <c r="B1613" s="19">
        <v>92119</v>
      </c>
      <c r="C1613" s="20" t="s">
        <v>1664</v>
      </c>
      <c r="D1613" s="19" t="s">
        <v>1533</v>
      </c>
      <c r="E1613" s="21">
        <f t="shared" si="74"/>
        <v>0.27000000000000002</v>
      </c>
      <c r="F1613" s="22"/>
      <c r="G1613" s="21">
        <f t="shared" si="75"/>
        <v>0.27000000000000002</v>
      </c>
      <c r="H1613" s="22"/>
      <c r="I1613" s="23" t="str">
        <f t="shared" si="76"/>
        <v xml:space="preserve">COM VALOR</v>
      </c>
      <c r="J1613" s="19"/>
      <c r="L1613" s="21">
        <v>0.27000000000000002</v>
      </c>
      <c r="M1613" s="22">
        <v>0</v>
      </c>
      <c r="N1613" s="21">
        <v>0.27000000000000002</v>
      </c>
      <c r="O1613" s="22">
        <v>0</v>
      </c>
    </row>
    <row r="1614" ht="25.5">
      <c r="A1614" t="s">
        <v>1531</v>
      </c>
      <c r="B1614" s="19">
        <v>92118</v>
      </c>
      <c r="C1614" s="20" t="s">
        <v>1665</v>
      </c>
      <c r="D1614" s="19" t="s">
        <v>1535</v>
      </c>
      <c r="E1614" s="21">
        <f t="shared" si="74"/>
        <v>0.42999999999999999</v>
      </c>
      <c r="F1614" s="22">
        <v>0.69999999999999996</v>
      </c>
      <c r="G1614" s="21">
        <f t="shared" si="75"/>
        <v>0.42999999999999999</v>
      </c>
      <c r="H1614" s="22">
        <v>0.71999999999999997</v>
      </c>
      <c r="I1614" s="23" t="str">
        <f t="shared" si="76"/>
        <v xml:space="preserve">COM VALOR</v>
      </c>
      <c r="J1614" s="19"/>
      <c r="L1614" s="21">
        <v>0.42999999999999999</v>
      </c>
      <c r="M1614" s="22">
        <v>0</v>
      </c>
      <c r="N1614" s="21">
        <v>0.42999999999999999</v>
      </c>
      <c r="O1614" s="22">
        <v>0</v>
      </c>
    </row>
    <row r="1615" ht="12.75">
      <c r="A1615" t="s">
        <v>1531</v>
      </c>
      <c r="B1615" s="19">
        <v>102917</v>
      </c>
      <c r="C1615" s="20" t="s">
        <v>1666</v>
      </c>
      <c r="D1615" s="19" t="s">
        <v>1533</v>
      </c>
      <c r="E1615" s="21" t="str">
        <f t="shared" si="74"/>
        <v>VERIFICAR</v>
      </c>
      <c r="F1615" s="22">
        <v>0.71999999999999997</v>
      </c>
      <c r="G1615" s="21" t="str">
        <f t="shared" si="75"/>
        <v>VERIFICAR</v>
      </c>
      <c r="H1615" s="22">
        <v>0.72999999999999998</v>
      </c>
      <c r="I1615" s="23" t="str">
        <f t="shared" si="76"/>
        <v xml:space="preserve">COM VALOR</v>
      </c>
      <c r="J1615" s="19"/>
      <c r="L1615" s="21">
        <v>0</v>
      </c>
      <c r="M1615" s="22"/>
      <c r="N1615" s="21">
        <v>0</v>
      </c>
      <c r="O1615" s="22"/>
    </row>
    <row r="1616" ht="12.75">
      <c r="A1616" t="s">
        <v>1531</v>
      </c>
      <c r="B1616" s="19">
        <v>102916</v>
      </c>
      <c r="C1616" s="20" t="s">
        <v>1667</v>
      </c>
      <c r="D1616" s="19" t="s">
        <v>1535</v>
      </c>
      <c r="E1616" s="21" t="str">
        <f t="shared" si="74"/>
        <v>VERIFICAR</v>
      </c>
      <c r="F1616" s="22">
        <v>0.81999999999999995</v>
      </c>
      <c r="G1616" s="21" t="str">
        <f t="shared" si="75"/>
        <v>VERIFICAR</v>
      </c>
      <c r="H1616" s="22">
        <v>0.82999999999999996</v>
      </c>
      <c r="I1616" s="23" t="str">
        <f t="shared" si="76"/>
        <v xml:space="preserve">COM VALOR</v>
      </c>
      <c r="J1616" s="19"/>
      <c r="L1616" s="21">
        <v>0</v>
      </c>
      <c r="M1616" s="22"/>
      <c r="N1616" s="21">
        <v>0</v>
      </c>
      <c r="O1616" s="22"/>
    </row>
    <row r="1617" ht="51">
      <c r="A1617" t="s">
        <v>1531</v>
      </c>
      <c r="B1617" s="19">
        <v>95721</v>
      </c>
      <c r="C1617" s="20" t="s">
        <v>1668</v>
      </c>
      <c r="D1617" s="19" t="s">
        <v>1533</v>
      </c>
      <c r="E1617" s="21">
        <f t="shared" si="74"/>
        <v>112.95</v>
      </c>
      <c r="F1617" s="22">
        <v>0.87</v>
      </c>
      <c r="G1617" s="21">
        <f t="shared" si="75"/>
        <v>110.81999999999999</v>
      </c>
      <c r="H1617" s="22">
        <v>0.87</v>
      </c>
      <c r="I1617" s="23" t="str">
        <f t="shared" si="76"/>
        <v xml:space="preserve">COM VALOR</v>
      </c>
      <c r="J1617" s="19"/>
      <c r="L1617" s="21">
        <v>112.95</v>
      </c>
      <c r="M1617" s="22">
        <v>0</v>
      </c>
      <c r="N1617" s="21">
        <v>110.81999999999999</v>
      </c>
      <c r="O1617" s="22">
        <v>0</v>
      </c>
    </row>
    <row r="1618" ht="51">
      <c r="A1618" t="s">
        <v>1531</v>
      </c>
      <c r="B1618" s="19">
        <v>95720</v>
      </c>
      <c r="C1618" s="20" t="s">
        <v>1669</v>
      </c>
      <c r="D1618" s="19" t="s">
        <v>1535</v>
      </c>
      <c r="E1618" s="21">
        <f t="shared" si="74"/>
        <v>293.02999999999997</v>
      </c>
      <c r="F1618" s="22"/>
      <c r="G1618" s="21">
        <f t="shared" si="75"/>
        <v>290.89999999999998</v>
      </c>
      <c r="H1618" s="22"/>
      <c r="I1618" s="23" t="str">
        <f t="shared" si="76"/>
        <v xml:space="preserve">COM VALOR</v>
      </c>
      <c r="J1618" s="19"/>
      <c r="L1618" s="21">
        <v>293.02999999999997</v>
      </c>
      <c r="M1618" s="22">
        <v>0</v>
      </c>
      <c r="N1618" s="21">
        <v>290.89999999999998</v>
      </c>
      <c r="O1618" s="22">
        <v>0</v>
      </c>
    </row>
    <row r="1619" ht="38.25">
      <c r="A1619" t="s">
        <v>1531</v>
      </c>
      <c r="B1619" s="19">
        <v>104717</v>
      </c>
      <c r="C1619" s="20" t="s">
        <v>1670</v>
      </c>
      <c r="D1619" s="19" t="s">
        <v>1533</v>
      </c>
      <c r="E1619" s="21">
        <f t="shared" si="74"/>
        <v>108.20999999999999</v>
      </c>
      <c r="F1619" s="22"/>
      <c r="G1619" s="21">
        <f t="shared" si="75"/>
        <v>106.08</v>
      </c>
      <c r="H1619" s="22"/>
      <c r="I1619" s="23" t="str">
        <f t="shared" si="76"/>
        <v xml:space="preserve">COM VALOR</v>
      </c>
      <c r="J1619" s="19"/>
      <c r="L1619" s="21">
        <v>108.20999999999999</v>
      </c>
      <c r="M1619" s="22">
        <v>0</v>
      </c>
      <c r="N1619" s="21">
        <v>106.08</v>
      </c>
      <c r="O1619" s="22">
        <v>0</v>
      </c>
    </row>
    <row r="1620" ht="38.25">
      <c r="A1620" t="s">
        <v>1531</v>
      </c>
      <c r="B1620" s="19">
        <v>104716</v>
      </c>
      <c r="C1620" s="20" t="s">
        <v>1671</v>
      </c>
      <c r="D1620" s="19" t="s">
        <v>1535</v>
      </c>
      <c r="E1620" s="21">
        <f t="shared" si="74"/>
        <v>283.58999999999997</v>
      </c>
      <c r="F1620" s="22"/>
      <c r="G1620" s="21">
        <f t="shared" si="75"/>
        <v>281.45999999999998</v>
      </c>
      <c r="H1620" s="22"/>
      <c r="I1620" s="23" t="str">
        <f t="shared" si="76"/>
        <v xml:space="preserve">COM VALOR</v>
      </c>
      <c r="J1620" s="19"/>
      <c r="L1620" s="21">
        <v>283.58999999999997</v>
      </c>
      <c r="M1620" s="22">
        <v>0</v>
      </c>
      <c r="N1620" s="21">
        <v>281.45999999999998</v>
      </c>
      <c r="O1620" s="22">
        <v>0</v>
      </c>
    </row>
    <row r="1621" ht="38.25">
      <c r="A1621" t="s">
        <v>1531</v>
      </c>
      <c r="B1621" s="19">
        <v>106399</v>
      </c>
      <c r="C1621" s="20" t="s">
        <v>1672</v>
      </c>
      <c r="D1621" s="19" t="s">
        <v>1533</v>
      </c>
      <c r="E1621" s="21" t="str">
        <f t="shared" si="74"/>
        <v>VERIFICAR</v>
      </c>
      <c r="F1621" s="22"/>
      <c r="G1621" s="21" t="str">
        <f t="shared" si="75"/>
        <v>VERIFICAR</v>
      </c>
      <c r="H1621" s="22"/>
      <c r="I1621" s="23" t="str">
        <f t="shared" si="76"/>
        <v xml:space="preserve">COM VALOR</v>
      </c>
      <c r="J1621" s="19"/>
      <c r="L1621" s="21">
        <v>0</v>
      </c>
      <c r="M1621" s="22"/>
      <c r="N1621" s="21">
        <v>0</v>
      </c>
      <c r="O1621" s="22"/>
    </row>
    <row r="1622" ht="38.25">
      <c r="A1622" t="s">
        <v>1531</v>
      </c>
      <c r="B1622" s="19">
        <v>106398</v>
      </c>
      <c r="C1622" s="20" t="s">
        <v>1673</v>
      </c>
      <c r="D1622" s="19" t="s">
        <v>1535</v>
      </c>
      <c r="E1622" s="21" t="str">
        <f t="shared" si="74"/>
        <v>VERIFICAR</v>
      </c>
      <c r="F1622" s="22"/>
      <c r="G1622" s="21" t="str">
        <f t="shared" si="75"/>
        <v>VERIFICAR</v>
      </c>
      <c r="H1622" s="22"/>
      <c r="I1622" s="23" t="str">
        <f t="shared" si="76"/>
        <v xml:space="preserve">COM VALOR</v>
      </c>
      <c r="J1622" s="19"/>
      <c r="L1622" s="21">
        <v>0</v>
      </c>
      <c r="M1622" s="22"/>
      <c r="N1622" s="21">
        <v>0</v>
      </c>
      <c r="O1622" s="22"/>
    </row>
    <row r="1623" ht="51">
      <c r="A1623" t="s">
        <v>1531</v>
      </c>
      <c r="B1623" s="19">
        <v>106405</v>
      </c>
      <c r="C1623" s="20" t="s">
        <v>1674</v>
      </c>
      <c r="D1623" s="19" t="s">
        <v>1533</v>
      </c>
      <c r="E1623" s="21" t="str">
        <f t="shared" si="74"/>
        <v>VERIFICAR</v>
      </c>
      <c r="F1623" s="22"/>
      <c r="G1623" s="21" t="str">
        <f t="shared" si="75"/>
        <v>VERIFICAR</v>
      </c>
      <c r="H1623" s="22"/>
      <c r="I1623" s="23" t="str">
        <f t="shared" si="76"/>
        <v xml:space="preserve">COM VALOR</v>
      </c>
      <c r="J1623" s="19"/>
      <c r="L1623" s="21">
        <v>0</v>
      </c>
      <c r="M1623" s="22"/>
      <c r="N1623" s="21">
        <v>0</v>
      </c>
      <c r="O1623" s="22"/>
    </row>
    <row r="1624" ht="51">
      <c r="A1624" t="s">
        <v>1531</v>
      </c>
      <c r="B1624" s="19">
        <v>106404</v>
      </c>
      <c r="C1624" s="20" t="s">
        <v>1675</v>
      </c>
      <c r="D1624" s="19" t="s">
        <v>1535</v>
      </c>
      <c r="E1624" s="21" t="str">
        <f t="shared" si="74"/>
        <v>VERIFICAR</v>
      </c>
      <c r="F1624" s="22"/>
      <c r="G1624" s="21" t="str">
        <f t="shared" si="75"/>
        <v>VERIFICAR</v>
      </c>
      <c r="H1624" s="22"/>
      <c r="I1624" s="23" t="str">
        <f t="shared" si="76"/>
        <v xml:space="preserve">COM VALOR</v>
      </c>
      <c r="J1624" s="19"/>
      <c r="L1624" s="21">
        <v>0</v>
      </c>
      <c r="M1624" s="22"/>
      <c r="N1624" s="21">
        <v>0</v>
      </c>
      <c r="O1624" s="22"/>
    </row>
    <row r="1625" ht="38.25">
      <c r="A1625" t="s">
        <v>1531</v>
      </c>
      <c r="B1625" s="19">
        <v>102899</v>
      </c>
      <c r="C1625" s="20" t="s">
        <v>1676</v>
      </c>
      <c r="D1625" s="19" t="s">
        <v>1533</v>
      </c>
      <c r="E1625" s="21" t="str">
        <f t="shared" si="74"/>
        <v>VERIFICAR</v>
      </c>
      <c r="F1625" s="22"/>
      <c r="G1625" s="21" t="str">
        <f t="shared" si="75"/>
        <v>VERIFICAR</v>
      </c>
      <c r="H1625" s="22"/>
      <c r="I1625" s="23" t="str">
        <f t="shared" si="76"/>
        <v xml:space="preserve">COM VALOR</v>
      </c>
      <c r="J1625" s="19"/>
      <c r="L1625" s="21">
        <v>0</v>
      </c>
      <c r="M1625" s="22"/>
      <c r="N1625" s="21">
        <v>0</v>
      </c>
      <c r="O1625" s="22"/>
    </row>
    <row r="1626" ht="38.25">
      <c r="A1626" t="s">
        <v>1531</v>
      </c>
      <c r="B1626" s="19">
        <v>102898</v>
      </c>
      <c r="C1626" s="20" t="s">
        <v>1677</v>
      </c>
      <c r="D1626" s="19" t="s">
        <v>1535</v>
      </c>
      <c r="E1626" s="21" t="str">
        <f t="shared" si="74"/>
        <v>VERIFICAR</v>
      </c>
      <c r="F1626" s="22">
        <v>0.59999999999999998</v>
      </c>
      <c r="G1626" s="21" t="str">
        <f t="shared" si="75"/>
        <v>VERIFICAR</v>
      </c>
      <c r="H1626" s="22">
        <v>0.62</v>
      </c>
      <c r="I1626" s="23" t="str">
        <f t="shared" si="76"/>
        <v xml:space="preserve">COM VALOR</v>
      </c>
      <c r="J1626" s="19"/>
      <c r="L1626" s="21">
        <v>0</v>
      </c>
      <c r="M1626" s="22"/>
      <c r="N1626" s="21">
        <v>0</v>
      </c>
      <c r="O1626" s="22"/>
    </row>
    <row r="1627" ht="25.5">
      <c r="A1627" t="s">
        <v>1531</v>
      </c>
      <c r="B1627" s="19">
        <v>5632</v>
      </c>
      <c r="C1627" s="20" t="s">
        <v>1678</v>
      </c>
      <c r="D1627" s="19" t="s">
        <v>1533</v>
      </c>
      <c r="E1627" s="21">
        <f t="shared" si="74"/>
        <v>91.030000000000001</v>
      </c>
      <c r="F1627" s="22">
        <v>0.29999999999999999</v>
      </c>
      <c r="G1627" s="21">
        <f t="shared" si="75"/>
        <v>88.900000000000006</v>
      </c>
      <c r="H1627" s="22">
        <v>0.31</v>
      </c>
      <c r="I1627" s="23" t="str">
        <f t="shared" si="76"/>
        <v xml:space="preserve">COM VALOR</v>
      </c>
      <c r="J1627" s="19"/>
      <c r="L1627" s="21">
        <v>91.030000000000001</v>
      </c>
      <c r="M1627" s="22">
        <v>0</v>
      </c>
      <c r="N1627" s="21">
        <v>88.900000000000006</v>
      </c>
      <c r="O1627" s="22">
        <v>0</v>
      </c>
    </row>
    <row r="1628" ht="25.5">
      <c r="A1628" t="s">
        <v>1531</v>
      </c>
      <c r="B1628" s="19">
        <v>5631</v>
      </c>
      <c r="C1628" s="20" t="s">
        <v>1679</v>
      </c>
      <c r="D1628" s="19" t="s">
        <v>1535</v>
      </c>
      <c r="E1628" s="21">
        <f t="shared" si="74"/>
        <v>220.5</v>
      </c>
      <c r="F1628" s="22">
        <v>0.62</v>
      </c>
      <c r="G1628" s="21">
        <f t="shared" si="75"/>
        <v>218.37</v>
      </c>
      <c r="H1628" s="22">
        <v>0.64000000000000001</v>
      </c>
      <c r="I1628" s="23" t="str">
        <f t="shared" si="76"/>
        <v xml:space="preserve">COM VALOR</v>
      </c>
      <c r="J1628" s="19"/>
      <c r="L1628" s="21">
        <v>220.5</v>
      </c>
      <c r="M1628" s="22">
        <v>0</v>
      </c>
      <c r="N1628" s="21">
        <v>218.37</v>
      </c>
      <c r="O1628" s="22">
        <v>0</v>
      </c>
    </row>
    <row r="1629" ht="25.5">
      <c r="A1629" t="s">
        <v>1531</v>
      </c>
      <c r="B1629" s="19">
        <v>88908</v>
      </c>
      <c r="C1629" s="20" t="s">
        <v>1680</v>
      </c>
      <c r="D1629" s="19" t="s">
        <v>1533</v>
      </c>
      <c r="E1629" s="21">
        <f t="shared" si="74"/>
        <v>98.519999999999996</v>
      </c>
      <c r="F1629" s="22">
        <v>0.32000000000000001</v>
      </c>
      <c r="G1629" s="21">
        <f t="shared" si="75"/>
        <v>96.390000000000001</v>
      </c>
      <c r="H1629" s="22">
        <v>0.32000000000000001</v>
      </c>
      <c r="I1629" s="23" t="str">
        <f t="shared" si="76"/>
        <v xml:space="preserve">COM VALOR</v>
      </c>
      <c r="J1629" s="19"/>
      <c r="L1629" s="21">
        <v>98.519999999999996</v>
      </c>
      <c r="M1629" s="22">
        <v>0</v>
      </c>
      <c r="N1629" s="21">
        <v>96.390000000000001</v>
      </c>
      <c r="O1629" s="22">
        <v>0</v>
      </c>
    </row>
    <row r="1630" ht="25.5">
      <c r="A1630" t="s">
        <v>1531</v>
      </c>
      <c r="B1630" s="19">
        <v>88907</v>
      </c>
      <c r="C1630" s="20" t="s">
        <v>1681</v>
      </c>
      <c r="D1630" s="19" t="s">
        <v>1535</v>
      </c>
      <c r="E1630" s="21">
        <f t="shared" si="74"/>
        <v>264.32999999999998</v>
      </c>
      <c r="F1630" s="22"/>
      <c r="G1630" s="21">
        <f t="shared" si="75"/>
        <v>262.19999999999999</v>
      </c>
      <c r="H1630" s="22"/>
      <c r="I1630" s="23" t="str">
        <f t="shared" si="76"/>
        <v xml:space="preserve">COM VALOR</v>
      </c>
      <c r="J1630" s="19"/>
      <c r="L1630" s="21">
        <v>264.32999999999998</v>
      </c>
      <c r="M1630" s="22">
        <v>0</v>
      </c>
      <c r="N1630" s="21">
        <v>262.19999999999999</v>
      </c>
      <c r="O1630" s="22">
        <v>0</v>
      </c>
    </row>
    <row r="1631" ht="38.25">
      <c r="A1631" t="s">
        <v>1531</v>
      </c>
      <c r="B1631" s="19">
        <v>5911</v>
      </c>
      <c r="C1631" s="20" t="s">
        <v>1682</v>
      </c>
      <c r="D1631" s="19" t="s">
        <v>1533</v>
      </c>
      <c r="E1631" s="21">
        <f t="shared" si="74"/>
        <v>28.43</v>
      </c>
      <c r="F1631" s="22"/>
      <c r="G1631" s="21">
        <f t="shared" si="75"/>
        <v>27.219999999999999</v>
      </c>
      <c r="H1631" s="22"/>
      <c r="I1631" s="23" t="str">
        <f t="shared" si="76"/>
        <v xml:space="preserve">COM VALOR</v>
      </c>
      <c r="J1631" s="19"/>
      <c r="L1631" s="21">
        <v>28.43</v>
      </c>
      <c r="M1631" s="22">
        <v>0.20000000000000001</v>
      </c>
      <c r="N1631" s="21">
        <v>27.219999999999999</v>
      </c>
      <c r="O1631" s="22">
        <v>0.20999999999999999</v>
      </c>
    </row>
    <row r="1632" ht="38.25">
      <c r="A1632" t="s">
        <v>1531</v>
      </c>
      <c r="B1632" s="19">
        <v>5909</v>
      </c>
      <c r="C1632" s="20" t="s">
        <v>1683</v>
      </c>
      <c r="D1632" s="19" t="s">
        <v>1535</v>
      </c>
      <c r="E1632" s="21">
        <f t="shared" si="74"/>
        <v>36.719999999999999</v>
      </c>
      <c r="F1632" s="22">
        <v>0.56000000000000005</v>
      </c>
      <c r="G1632" s="21">
        <f t="shared" si="75"/>
        <v>35.509999999999998</v>
      </c>
      <c r="H1632" s="22">
        <v>0.57999999999999996</v>
      </c>
      <c r="I1632" s="23" t="str">
        <f t="shared" si="76"/>
        <v xml:space="preserve">COM VALOR</v>
      </c>
      <c r="J1632" s="19"/>
      <c r="L1632" s="21">
        <v>36.719999999999999</v>
      </c>
      <c r="M1632" s="22">
        <v>0.29999999999999999</v>
      </c>
      <c r="N1632" s="21">
        <v>35.509999999999998</v>
      </c>
      <c r="O1632" s="22">
        <v>0.31</v>
      </c>
    </row>
    <row r="1633" ht="51">
      <c r="A1633" t="s">
        <v>1531</v>
      </c>
      <c r="B1633" s="19">
        <v>91486</v>
      </c>
      <c r="C1633" s="20" t="s">
        <v>1684</v>
      </c>
      <c r="D1633" s="19" t="s">
        <v>1533</v>
      </c>
      <c r="E1633" s="21">
        <f t="shared" si="74"/>
        <v>69.299999999999997</v>
      </c>
      <c r="F1633" s="22">
        <v>0.29999999999999999</v>
      </c>
      <c r="G1633" s="21">
        <f t="shared" si="75"/>
        <v>67.700000000000003</v>
      </c>
      <c r="H1633" s="22">
        <v>0.29999999999999999</v>
      </c>
      <c r="I1633" s="23" t="str">
        <f t="shared" si="76"/>
        <v xml:space="preserve">COM VALOR</v>
      </c>
      <c r="J1633" s="19"/>
      <c r="L1633" s="21">
        <v>69.299999999999997</v>
      </c>
      <c r="M1633" s="22">
        <v>0.60999999999999999</v>
      </c>
      <c r="N1633" s="21">
        <v>67.700000000000003</v>
      </c>
      <c r="O1633" s="22">
        <v>0.63</v>
      </c>
    </row>
    <row r="1634" ht="51">
      <c r="A1634" t="s">
        <v>1531</v>
      </c>
      <c r="B1634" s="19">
        <v>83362</v>
      </c>
      <c r="C1634" s="20" t="s">
        <v>1685</v>
      </c>
      <c r="D1634" s="19" t="s">
        <v>1535</v>
      </c>
      <c r="E1634" s="21">
        <f t="shared" si="74"/>
        <v>290.72000000000003</v>
      </c>
      <c r="F1634" s="22">
        <v>0.71999999999999997</v>
      </c>
      <c r="G1634" s="21">
        <f t="shared" si="75"/>
        <v>289.12</v>
      </c>
      <c r="H1634" s="22">
        <v>0.72999999999999998</v>
      </c>
      <c r="I1634" s="23" t="str">
        <f t="shared" si="76"/>
        <v xml:space="preserve">COM VALOR</v>
      </c>
      <c r="J1634" s="19"/>
      <c r="L1634" s="21">
        <v>290.72000000000003</v>
      </c>
      <c r="M1634" s="22">
        <v>0.29999999999999999</v>
      </c>
      <c r="N1634" s="21">
        <v>289.12</v>
      </c>
      <c r="O1634" s="22">
        <v>0.31</v>
      </c>
    </row>
    <row r="1635" ht="38.25">
      <c r="A1635" t="s">
        <v>1531</v>
      </c>
      <c r="B1635" s="19">
        <v>102839</v>
      </c>
      <c r="C1635" s="20" t="s">
        <v>1686</v>
      </c>
      <c r="D1635" s="19" t="s">
        <v>1533</v>
      </c>
      <c r="E1635" s="21" t="str">
        <f t="shared" si="74"/>
        <v>VERIFICAR</v>
      </c>
      <c r="F1635" s="22">
        <v>0.41999999999999998</v>
      </c>
      <c r="G1635" s="21" t="str">
        <f t="shared" si="75"/>
        <v>VERIFICAR</v>
      </c>
      <c r="H1635" s="22">
        <v>0.41999999999999998</v>
      </c>
      <c r="I1635" s="23" t="str">
        <f t="shared" si="76"/>
        <v xml:space="preserve">COM VALOR</v>
      </c>
      <c r="J1635" s="19"/>
      <c r="L1635" s="21">
        <v>0</v>
      </c>
      <c r="M1635" s="22"/>
      <c r="N1635" s="21">
        <v>0</v>
      </c>
      <c r="O1635" s="22"/>
    </row>
    <row r="1636" ht="38.25">
      <c r="A1636" t="s">
        <v>1531</v>
      </c>
      <c r="B1636" s="19">
        <v>102838</v>
      </c>
      <c r="C1636" s="20" t="s">
        <v>1687</v>
      </c>
      <c r="D1636" s="19" t="s">
        <v>1535</v>
      </c>
      <c r="E1636" s="21" t="str">
        <f t="shared" si="74"/>
        <v>VERIFICAR</v>
      </c>
      <c r="F1636" s="22">
        <v>0</v>
      </c>
      <c r="G1636" s="21" t="str">
        <f t="shared" si="75"/>
        <v>VERIFICAR</v>
      </c>
      <c r="H1636" s="22">
        <v>0</v>
      </c>
      <c r="I1636" s="23" t="str">
        <f t="shared" si="76"/>
        <v xml:space="preserve">COM VALOR</v>
      </c>
      <c r="J1636" s="19"/>
      <c r="L1636" s="21">
        <v>0</v>
      </c>
      <c r="M1636" s="22"/>
      <c r="N1636" s="21">
        <v>0</v>
      </c>
      <c r="O1636" s="22"/>
    </row>
    <row r="1637" ht="25.5">
      <c r="A1637" t="s">
        <v>1531</v>
      </c>
      <c r="B1637" s="19">
        <v>89235</v>
      </c>
      <c r="C1637" s="20" t="s">
        <v>1688</v>
      </c>
      <c r="D1637" s="19" t="s">
        <v>1533</v>
      </c>
      <c r="E1637" s="21">
        <f t="shared" si="74"/>
        <v>191.31</v>
      </c>
      <c r="F1637" s="22">
        <v>0</v>
      </c>
      <c r="G1637" s="21">
        <f t="shared" si="75"/>
        <v>189.41999999999999</v>
      </c>
      <c r="H1637" s="22">
        <v>0</v>
      </c>
      <c r="I1637" s="23" t="str">
        <f t="shared" si="76"/>
        <v xml:space="preserve">COM VALOR</v>
      </c>
      <c r="J1637" s="19"/>
      <c r="L1637" s="21">
        <v>191.31</v>
      </c>
      <c r="M1637" s="22">
        <v>0.83999999999999997</v>
      </c>
      <c r="N1637" s="21">
        <v>189.41999999999999</v>
      </c>
      <c r="O1637" s="22">
        <v>0.84999999999999998</v>
      </c>
    </row>
    <row r="1638" ht="25.5">
      <c r="A1638" t="s">
        <v>1531</v>
      </c>
      <c r="B1638" s="19">
        <v>89234</v>
      </c>
      <c r="C1638" s="20" t="s">
        <v>1689</v>
      </c>
      <c r="D1638" s="19" t="s">
        <v>1535</v>
      </c>
      <c r="E1638" s="21">
        <f t="shared" si="74"/>
        <v>600.26999999999998</v>
      </c>
      <c r="F1638" s="22">
        <v>0</v>
      </c>
      <c r="G1638" s="21">
        <f t="shared" si="75"/>
        <v>598.38</v>
      </c>
      <c r="H1638" s="22">
        <v>0</v>
      </c>
      <c r="I1638" s="23" t="str">
        <f t="shared" si="76"/>
        <v xml:space="preserve">COM VALOR</v>
      </c>
      <c r="J1638" s="19"/>
      <c r="L1638" s="21">
        <v>600.26999999999998</v>
      </c>
      <c r="M1638" s="22">
        <v>0.63</v>
      </c>
      <c r="N1638" s="21">
        <v>598.38</v>
      </c>
      <c r="O1638" s="22">
        <v>0.63</v>
      </c>
    </row>
    <row r="1639" ht="25.5">
      <c r="A1639" t="s">
        <v>1531</v>
      </c>
      <c r="B1639" s="19">
        <v>89243</v>
      </c>
      <c r="C1639" s="20" t="s">
        <v>1690</v>
      </c>
      <c r="D1639" s="19" t="s">
        <v>1533</v>
      </c>
      <c r="E1639" s="21">
        <f t="shared" si="74"/>
        <v>405.88</v>
      </c>
      <c r="F1639" s="22">
        <v>0</v>
      </c>
      <c r="G1639" s="21">
        <f t="shared" si="75"/>
        <v>403.99000000000001</v>
      </c>
      <c r="H1639" s="22">
        <v>0</v>
      </c>
      <c r="I1639" s="23" t="str">
        <f t="shared" si="76"/>
        <v xml:space="preserve">COM VALOR</v>
      </c>
      <c r="J1639" s="19"/>
      <c r="L1639" s="21">
        <v>405.88</v>
      </c>
      <c r="M1639" s="22">
        <v>0.92000000000000004</v>
      </c>
      <c r="N1639" s="21">
        <v>403.99000000000001</v>
      </c>
      <c r="O1639" s="22">
        <v>0.93000000000000005</v>
      </c>
    </row>
    <row r="1640" ht="25.5">
      <c r="A1640" t="s">
        <v>1531</v>
      </c>
      <c r="B1640" s="19">
        <v>89242</v>
      </c>
      <c r="C1640" s="20" t="s">
        <v>1691</v>
      </c>
      <c r="D1640" s="19" t="s">
        <v>1535</v>
      </c>
      <c r="E1640" s="21">
        <f t="shared" si="74"/>
        <v>1419.71</v>
      </c>
      <c r="F1640" s="22"/>
      <c r="G1640" s="21">
        <f t="shared" si="75"/>
        <v>1417.8199999999999</v>
      </c>
      <c r="H1640" s="22"/>
      <c r="I1640" s="23" t="str">
        <f t="shared" si="76"/>
        <v xml:space="preserve">COM VALOR</v>
      </c>
      <c r="J1640" s="19"/>
      <c r="L1640" s="21">
        <v>1419.71</v>
      </c>
      <c r="M1640" s="22">
        <v>0.63</v>
      </c>
      <c r="N1640" s="21">
        <v>1417.8199999999999</v>
      </c>
      <c r="O1640" s="22">
        <v>0.63</v>
      </c>
    </row>
    <row r="1641" ht="51">
      <c r="A1641" t="s">
        <v>1531</v>
      </c>
      <c r="B1641" s="19">
        <v>102935</v>
      </c>
      <c r="C1641" s="20" t="s">
        <v>1692</v>
      </c>
      <c r="D1641" s="19" t="s">
        <v>1533</v>
      </c>
      <c r="E1641" s="21" t="str">
        <f t="shared" si="74"/>
        <v>VERIFICAR</v>
      </c>
      <c r="F1641" s="22"/>
      <c r="G1641" s="21" t="str">
        <f t="shared" si="75"/>
        <v>VERIFICAR</v>
      </c>
      <c r="H1641" s="22"/>
      <c r="I1641" s="23" t="str">
        <f t="shared" si="76"/>
        <v xml:space="preserve">COM VALOR</v>
      </c>
      <c r="J1641" s="19"/>
      <c r="L1641" s="21">
        <v>0</v>
      </c>
      <c r="M1641" s="22"/>
      <c r="N1641" s="21">
        <v>0</v>
      </c>
      <c r="O1641" s="22"/>
    </row>
    <row r="1642" ht="51">
      <c r="A1642" t="s">
        <v>1531</v>
      </c>
      <c r="B1642" s="19">
        <v>102934</v>
      </c>
      <c r="C1642" s="20" t="s">
        <v>1693</v>
      </c>
      <c r="D1642" s="19" t="s">
        <v>1535</v>
      </c>
      <c r="E1642" s="21" t="str">
        <f t="shared" si="74"/>
        <v>VERIFICAR</v>
      </c>
      <c r="F1642" s="22">
        <v>0.63</v>
      </c>
      <c r="G1642" s="21" t="str">
        <f t="shared" si="75"/>
        <v>VERIFICAR</v>
      </c>
      <c r="H1642" s="22">
        <v>0.65000000000000002</v>
      </c>
      <c r="I1642" s="23" t="str">
        <f t="shared" si="76"/>
        <v xml:space="preserve">COM VALOR</v>
      </c>
      <c r="J1642" s="19"/>
      <c r="L1642" s="21">
        <v>0</v>
      </c>
      <c r="M1642" s="22"/>
      <c r="N1642" s="21">
        <v>0</v>
      </c>
      <c r="O1642" s="22"/>
    </row>
    <row r="1643" ht="25.5">
      <c r="A1643" t="s">
        <v>1531</v>
      </c>
      <c r="B1643" s="19">
        <v>93416</v>
      </c>
      <c r="C1643" s="20" t="s">
        <v>1694</v>
      </c>
      <c r="D1643" s="19" t="s">
        <v>1533</v>
      </c>
      <c r="E1643" s="21">
        <f t="shared" si="74"/>
        <v>0.47999999999999998</v>
      </c>
      <c r="F1643" s="22">
        <v>0.52000000000000002</v>
      </c>
      <c r="G1643" s="21">
        <f t="shared" si="75"/>
        <v>0.47999999999999998</v>
      </c>
      <c r="H1643" s="22">
        <v>0.52000000000000002</v>
      </c>
      <c r="I1643" s="23" t="str">
        <f t="shared" si="76"/>
        <v xml:space="preserve">COM VALOR</v>
      </c>
      <c r="J1643" s="19"/>
      <c r="L1643" s="21">
        <v>0.47999999999999998</v>
      </c>
      <c r="M1643" s="22">
        <v>0</v>
      </c>
      <c r="N1643" s="21">
        <v>0.47999999999999998</v>
      </c>
      <c r="O1643" s="22">
        <v>0</v>
      </c>
    </row>
    <row r="1644" ht="25.5">
      <c r="A1644" t="s">
        <v>1531</v>
      </c>
      <c r="B1644" s="19">
        <v>93415</v>
      </c>
      <c r="C1644" s="20" t="s">
        <v>1695</v>
      </c>
      <c r="D1644" s="19" t="s">
        <v>1535</v>
      </c>
      <c r="E1644" s="21">
        <f t="shared" si="74"/>
        <v>12.26</v>
      </c>
      <c r="F1644" s="22">
        <v>0</v>
      </c>
      <c r="G1644" s="21">
        <f t="shared" si="75"/>
        <v>12.26</v>
      </c>
      <c r="H1644" s="22">
        <v>0</v>
      </c>
      <c r="I1644" s="23" t="str">
        <f t="shared" si="76"/>
        <v xml:space="preserve">COM VALOR</v>
      </c>
      <c r="J1644" s="19"/>
      <c r="L1644" s="21">
        <v>12.26</v>
      </c>
      <c r="M1644" s="22">
        <v>0</v>
      </c>
      <c r="N1644" s="21">
        <v>12.26</v>
      </c>
      <c r="O1644" s="22">
        <v>0</v>
      </c>
    </row>
    <row r="1645" ht="25.5">
      <c r="A1645" t="s">
        <v>1531</v>
      </c>
      <c r="B1645" s="19">
        <v>5689</v>
      </c>
      <c r="C1645" s="20" t="s">
        <v>1696</v>
      </c>
      <c r="D1645" s="19" t="s">
        <v>1535</v>
      </c>
      <c r="E1645" s="21">
        <f t="shared" si="74"/>
        <v>6.4000000000000004</v>
      </c>
      <c r="F1645" s="22">
        <v>0</v>
      </c>
      <c r="G1645" s="21">
        <f t="shared" si="75"/>
        <v>6.4000000000000004</v>
      </c>
      <c r="H1645" s="22">
        <v>0</v>
      </c>
      <c r="I1645" s="23" t="str">
        <f t="shared" si="76"/>
        <v xml:space="preserve">COM VALOR</v>
      </c>
      <c r="J1645" s="19"/>
      <c r="L1645" s="21">
        <v>6.4000000000000004</v>
      </c>
      <c r="M1645" s="22">
        <v>1</v>
      </c>
      <c r="N1645" s="21">
        <v>6.4000000000000004</v>
      </c>
      <c r="O1645" s="22">
        <v>1</v>
      </c>
    </row>
    <row r="1646" ht="25.5">
      <c r="A1646" t="s">
        <v>1531</v>
      </c>
      <c r="B1646" s="19">
        <v>5690</v>
      </c>
      <c r="C1646" s="20" t="s">
        <v>1697</v>
      </c>
      <c r="D1646" s="19" t="s">
        <v>1533</v>
      </c>
      <c r="E1646" s="21">
        <f t="shared" si="74"/>
        <v>4.1399999999999997</v>
      </c>
      <c r="F1646" s="22"/>
      <c r="G1646" s="21">
        <f t="shared" si="75"/>
        <v>4.1399999999999997</v>
      </c>
      <c r="H1646" s="22"/>
      <c r="I1646" s="23" t="str">
        <f t="shared" si="76"/>
        <v xml:space="preserve">COM VALOR</v>
      </c>
      <c r="J1646" s="19"/>
      <c r="L1646" s="21">
        <v>4.1399999999999997</v>
      </c>
      <c r="M1646" s="22">
        <v>1</v>
      </c>
      <c r="N1646" s="21">
        <v>4.1399999999999997</v>
      </c>
      <c r="O1646" s="22">
        <v>1</v>
      </c>
    </row>
    <row r="1647" ht="25.5">
      <c r="A1647" t="s">
        <v>1531</v>
      </c>
      <c r="B1647" s="19">
        <v>5923</v>
      </c>
      <c r="C1647" s="20" t="s">
        <v>1698</v>
      </c>
      <c r="D1647" s="19" t="s">
        <v>1533</v>
      </c>
      <c r="E1647" s="21">
        <f t="shared" si="74"/>
        <v>3.25</v>
      </c>
      <c r="F1647" s="22"/>
      <c r="G1647" s="21">
        <f t="shared" si="75"/>
        <v>3.25</v>
      </c>
      <c r="H1647" s="22"/>
      <c r="I1647" s="23" t="str">
        <f t="shared" si="76"/>
        <v xml:space="preserve">COM VALOR</v>
      </c>
      <c r="J1647" s="19"/>
      <c r="L1647" s="21">
        <v>3.25</v>
      </c>
      <c r="M1647" s="22">
        <v>1</v>
      </c>
      <c r="N1647" s="21">
        <v>3.25</v>
      </c>
      <c r="O1647" s="22">
        <v>1</v>
      </c>
    </row>
    <row r="1648" ht="25.5">
      <c r="A1648" t="s">
        <v>1531</v>
      </c>
      <c r="B1648" s="19">
        <v>5921</v>
      </c>
      <c r="C1648" s="20" t="s">
        <v>1699</v>
      </c>
      <c r="D1648" s="19" t="s">
        <v>1535</v>
      </c>
      <c r="E1648" s="21">
        <f t="shared" si="74"/>
        <v>5.0199999999999996</v>
      </c>
      <c r="F1648" s="22">
        <v>0</v>
      </c>
      <c r="G1648" s="21">
        <f t="shared" si="75"/>
        <v>5.0199999999999996</v>
      </c>
      <c r="H1648" s="22">
        <v>0</v>
      </c>
      <c r="I1648" s="23" t="str">
        <f t="shared" si="76"/>
        <v xml:space="preserve">COM VALOR</v>
      </c>
      <c r="J1648" s="19"/>
      <c r="L1648" s="21">
        <v>5.0199999999999996</v>
      </c>
      <c r="M1648" s="22">
        <v>1</v>
      </c>
      <c r="N1648" s="21">
        <v>5.0199999999999996</v>
      </c>
      <c r="O1648" s="22">
        <v>1</v>
      </c>
    </row>
    <row r="1649" ht="25.5">
      <c r="A1649" t="s">
        <v>1531</v>
      </c>
      <c r="B1649" s="19">
        <v>95212</v>
      </c>
      <c r="C1649" s="20" t="s">
        <v>1700</v>
      </c>
      <c r="D1649" s="19" t="s">
        <v>1535</v>
      </c>
      <c r="E1649" s="21">
        <f t="shared" si="74"/>
        <v>170.75</v>
      </c>
      <c r="F1649" s="22">
        <v>0</v>
      </c>
      <c r="G1649" s="21">
        <f t="shared" si="75"/>
        <v>168.52000000000001</v>
      </c>
      <c r="H1649" s="22">
        <v>0</v>
      </c>
      <c r="I1649" s="23" t="str">
        <f t="shared" si="76"/>
        <v xml:space="preserve">COM VALOR</v>
      </c>
      <c r="J1649" s="19"/>
      <c r="L1649" s="21">
        <v>170.75</v>
      </c>
      <c r="M1649" s="22">
        <v>0.72999999999999998</v>
      </c>
      <c r="N1649" s="21">
        <v>168.52000000000001</v>
      </c>
      <c r="O1649" s="22">
        <v>0.73999999999999999</v>
      </c>
    </row>
    <row r="1650" ht="25.5">
      <c r="A1650" t="s">
        <v>1531</v>
      </c>
      <c r="B1650" s="19">
        <v>95213</v>
      </c>
      <c r="C1650" s="20" t="s">
        <v>1701</v>
      </c>
      <c r="D1650" s="19" t="s">
        <v>1533</v>
      </c>
      <c r="E1650" s="21">
        <f t="shared" si="74"/>
        <v>101.45</v>
      </c>
      <c r="F1650" s="22">
        <v>0</v>
      </c>
      <c r="G1650" s="21">
        <f t="shared" si="75"/>
        <v>99.219999999999999</v>
      </c>
      <c r="H1650" s="22">
        <v>0</v>
      </c>
      <c r="I1650" s="23" t="str">
        <f t="shared" si="76"/>
        <v xml:space="preserve">COM VALOR</v>
      </c>
      <c r="J1650" s="19"/>
      <c r="L1650" s="21">
        <v>101.45</v>
      </c>
      <c r="M1650" s="22">
        <v>0.65000000000000002</v>
      </c>
      <c r="N1650" s="21">
        <v>99.219999999999999</v>
      </c>
      <c r="O1650" s="22">
        <v>0.67000000000000004</v>
      </c>
    </row>
    <row r="1651" ht="25.5">
      <c r="A1651" t="s">
        <v>1531</v>
      </c>
      <c r="B1651" s="19">
        <v>93272</v>
      </c>
      <c r="C1651" s="20" t="s">
        <v>1702</v>
      </c>
      <c r="D1651" s="19" t="s">
        <v>1535</v>
      </c>
      <c r="E1651" s="21">
        <f t="shared" si="74"/>
        <v>108.45999999999999</v>
      </c>
      <c r="F1651" s="22">
        <v>0</v>
      </c>
      <c r="G1651" s="21">
        <f t="shared" si="75"/>
        <v>106.23</v>
      </c>
      <c r="H1651" s="22">
        <v>0</v>
      </c>
      <c r="I1651" s="23" t="str">
        <f t="shared" si="76"/>
        <v xml:space="preserve">COM VALOR</v>
      </c>
      <c r="J1651" s="19"/>
      <c r="L1651" s="21">
        <v>108.45999999999999</v>
      </c>
      <c r="M1651" s="22">
        <v>0.57999999999999996</v>
      </c>
      <c r="N1651" s="21">
        <v>106.23</v>
      </c>
      <c r="O1651" s="22">
        <v>0.58999999999999997</v>
      </c>
    </row>
    <row r="1652" ht="25.5">
      <c r="A1652" t="s">
        <v>1531</v>
      </c>
      <c r="B1652" s="19">
        <v>93274</v>
      </c>
      <c r="C1652" s="20" t="s">
        <v>1703</v>
      </c>
      <c r="D1652" s="19" t="s">
        <v>1533</v>
      </c>
      <c r="E1652" s="21">
        <f t="shared" si="74"/>
        <v>71.980000000000004</v>
      </c>
      <c r="F1652" s="22"/>
      <c r="G1652" s="21">
        <f t="shared" si="75"/>
        <v>69.75</v>
      </c>
      <c r="H1652" s="22"/>
      <c r="I1652" s="23" t="str">
        <f t="shared" si="76"/>
        <v xml:space="preserve">COM VALOR</v>
      </c>
      <c r="J1652" s="19"/>
      <c r="L1652" s="21">
        <v>71.980000000000004</v>
      </c>
      <c r="M1652" s="22">
        <v>0.51000000000000001</v>
      </c>
      <c r="N1652" s="21">
        <v>69.75</v>
      </c>
      <c r="O1652" s="22">
        <v>0.53000000000000003</v>
      </c>
    </row>
    <row r="1653" ht="38.25">
      <c r="A1653" t="s">
        <v>1531</v>
      </c>
      <c r="B1653" s="19">
        <v>83766</v>
      </c>
      <c r="C1653" s="20" t="s">
        <v>1704</v>
      </c>
      <c r="D1653" s="19" t="s">
        <v>1533</v>
      </c>
      <c r="E1653" s="21">
        <f t="shared" si="74"/>
        <v>43.329999999999998</v>
      </c>
      <c r="F1653" s="22"/>
      <c r="G1653" s="21">
        <f t="shared" si="75"/>
        <v>41.719999999999999</v>
      </c>
      <c r="H1653" s="22"/>
      <c r="I1653" s="23" t="str">
        <f t="shared" si="76"/>
        <v xml:space="preserve">COM VALOR</v>
      </c>
      <c r="J1653" s="19"/>
      <c r="L1653" s="21">
        <v>43.329999999999998</v>
      </c>
      <c r="M1653" s="22">
        <v>0</v>
      </c>
      <c r="N1653" s="21">
        <v>41.719999999999999</v>
      </c>
      <c r="O1653" s="22">
        <v>0</v>
      </c>
    </row>
    <row r="1654" ht="38.25">
      <c r="A1654" t="s">
        <v>1531</v>
      </c>
      <c r="B1654" s="19">
        <v>83765</v>
      </c>
      <c r="C1654" s="20" t="s">
        <v>1705</v>
      </c>
      <c r="D1654" s="19" t="s">
        <v>1535</v>
      </c>
      <c r="E1654" s="21">
        <f t="shared" si="74"/>
        <v>109.38</v>
      </c>
      <c r="F1654" s="22">
        <v>0</v>
      </c>
      <c r="G1654" s="21">
        <f t="shared" si="75"/>
        <v>107.77</v>
      </c>
      <c r="H1654" s="22">
        <v>0</v>
      </c>
      <c r="I1654" s="23" t="str">
        <f t="shared" si="76"/>
        <v xml:space="preserve">COM VALOR</v>
      </c>
      <c r="J1654" s="19"/>
      <c r="L1654" s="21">
        <v>109.38</v>
      </c>
      <c r="M1654" s="22">
        <v>0</v>
      </c>
      <c r="N1654" s="21">
        <v>107.77</v>
      </c>
      <c r="O1654" s="22">
        <v>0</v>
      </c>
    </row>
    <row r="1655" ht="25.5">
      <c r="A1655" t="s">
        <v>1531</v>
      </c>
      <c r="B1655" s="19">
        <v>95873</v>
      </c>
      <c r="C1655" s="20" t="s">
        <v>1706</v>
      </c>
      <c r="D1655" s="19" t="s">
        <v>1533</v>
      </c>
      <c r="E1655" s="21">
        <f t="shared" si="74"/>
        <v>14.699999999999999</v>
      </c>
      <c r="F1655" s="22">
        <v>0</v>
      </c>
      <c r="G1655" s="21">
        <f t="shared" si="75"/>
        <v>14.699999999999999</v>
      </c>
      <c r="H1655" s="22">
        <v>0</v>
      </c>
      <c r="I1655" s="23" t="str">
        <f t="shared" si="76"/>
        <v xml:space="preserve">COM VALOR</v>
      </c>
      <c r="J1655" s="19"/>
      <c r="L1655" s="21">
        <v>14.699999999999999</v>
      </c>
      <c r="M1655" s="22">
        <v>0</v>
      </c>
      <c r="N1655" s="21">
        <v>14.699999999999999</v>
      </c>
      <c r="O1655" s="22">
        <v>0</v>
      </c>
    </row>
    <row r="1656" ht="25.5">
      <c r="A1656" t="s">
        <v>1531</v>
      </c>
      <c r="B1656" s="19">
        <v>95872</v>
      </c>
      <c r="C1656" s="20" t="s">
        <v>1707</v>
      </c>
      <c r="D1656" s="19" t="s">
        <v>1535</v>
      </c>
      <c r="E1656" s="21">
        <f t="shared" si="74"/>
        <v>334.30000000000001</v>
      </c>
      <c r="F1656" s="22"/>
      <c r="G1656" s="21">
        <f t="shared" si="75"/>
        <v>334.30000000000001</v>
      </c>
      <c r="H1656" s="22"/>
      <c r="I1656" s="23" t="str">
        <f t="shared" si="76"/>
        <v xml:space="preserve">COM VALOR</v>
      </c>
      <c r="J1656" s="19"/>
      <c r="L1656" s="21">
        <v>334.30000000000001</v>
      </c>
      <c r="M1656" s="22">
        <v>0</v>
      </c>
      <c r="N1656" s="21">
        <v>334.30000000000001</v>
      </c>
      <c r="O1656" s="22">
        <v>0</v>
      </c>
    </row>
    <row r="1657" ht="38.25">
      <c r="A1657" t="s">
        <v>1531</v>
      </c>
      <c r="B1657" s="19">
        <v>104689</v>
      </c>
      <c r="C1657" s="20" t="s">
        <v>1708</v>
      </c>
      <c r="D1657" s="19" t="s">
        <v>1533</v>
      </c>
      <c r="E1657" s="21" t="str">
        <f t="shared" si="74"/>
        <v>VERIFICAR</v>
      </c>
      <c r="F1657" s="22"/>
      <c r="G1657" s="21" t="str">
        <f t="shared" si="75"/>
        <v>VERIFICAR</v>
      </c>
      <c r="H1657" s="22"/>
      <c r="I1657" s="23" t="str">
        <f t="shared" si="76"/>
        <v xml:space="preserve">COM VALOR</v>
      </c>
      <c r="J1657" s="19"/>
      <c r="L1657" s="21">
        <v>0</v>
      </c>
      <c r="M1657" s="22"/>
      <c r="N1657" s="21">
        <v>0</v>
      </c>
      <c r="O1657" s="22"/>
    </row>
    <row r="1658" ht="38.25">
      <c r="A1658" t="s">
        <v>1531</v>
      </c>
      <c r="B1658" s="19">
        <v>104688</v>
      </c>
      <c r="C1658" s="20" t="s">
        <v>1709</v>
      </c>
      <c r="D1658" s="19" t="s">
        <v>1535</v>
      </c>
      <c r="E1658" s="21" t="str">
        <f t="shared" si="74"/>
        <v>VERIFICAR</v>
      </c>
      <c r="F1658" s="22">
        <v>7.0000000000000007e-002</v>
      </c>
      <c r="G1658" s="21" t="str">
        <f t="shared" si="75"/>
        <v>VERIFICAR</v>
      </c>
      <c r="H1658" s="22">
        <v>7.0000000000000007e-002</v>
      </c>
      <c r="I1658" s="23" t="str">
        <f t="shared" si="76"/>
        <v xml:space="preserve">COM VALOR</v>
      </c>
      <c r="J1658" s="19"/>
      <c r="L1658" s="21">
        <v>0</v>
      </c>
      <c r="M1658" s="22"/>
      <c r="N1658" s="21">
        <v>0</v>
      </c>
      <c r="O1658" s="22"/>
    </row>
    <row r="1659" ht="25.5">
      <c r="A1659" t="s">
        <v>1531</v>
      </c>
      <c r="B1659" s="19">
        <v>73395</v>
      </c>
      <c r="C1659" s="20" t="s">
        <v>1710</v>
      </c>
      <c r="D1659" s="19" t="s">
        <v>1533</v>
      </c>
      <c r="E1659" s="21">
        <f t="shared" si="74"/>
        <v>10.33</v>
      </c>
      <c r="F1659" s="22">
        <v>5.9999999999999998e-002</v>
      </c>
      <c r="G1659" s="21">
        <f t="shared" si="75"/>
        <v>10.33</v>
      </c>
      <c r="H1659" s="22">
        <v>5.9999999999999998e-002</v>
      </c>
      <c r="I1659" s="23" t="str">
        <f t="shared" si="76"/>
        <v xml:space="preserve">COM VALOR</v>
      </c>
      <c r="J1659" s="19"/>
      <c r="L1659" s="21">
        <v>10.33</v>
      </c>
      <c r="M1659" s="22">
        <v>0</v>
      </c>
      <c r="N1659" s="21">
        <v>10.33</v>
      </c>
      <c r="O1659" s="22">
        <v>0</v>
      </c>
    </row>
    <row r="1660" ht="25.5">
      <c r="A1660" t="s">
        <v>1531</v>
      </c>
      <c r="B1660" s="19">
        <v>73417</v>
      </c>
      <c r="C1660" s="20" t="s">
        <v>1711</v>
      </c>
      <c r="D1660" s="19" t="s">
        <v>1535</v>
      </c>
      <c r="E1660" s="21">
        <f t="shared" si="74"/>
        <v>216.59</v>
      </c>
      <c r="F1660" s="22">
        <v>0</v>
      </c>
      <c r="G1660" s="21">
        <f t="shared" si="75"/>
        <v>216.59</v>
      </c>
      <c r="H1660" s="22">
        <v>0</v>
      </c>
      <c r="I1660" s="23" t="str">
        <f t="shared" si="76"/>
        <v xml:space="preserve">COM VALOR</v>
      </c>
      <c r="J1660" s="19"/>
      <c r="L1660" s="21">
        <v>216.59</v>
      </c>
      <c r="M1660" s="22">
        <v>0</v>
      </c>
      <c r="N1660" s="21">
        <v>216.59</v>
      </c>
      <c r="O1660" s="22">
        <v>0</v>
      </c>
    </row>
    <row r="1661" ht="25.5">
      <c r="A1661" t="s">
        <v>1531</v>
      </c>
      <c r="B1661" s="19">
        <v>93428</v>
      </c>
      <c r="C1661" s="20" t="s">
        <v>1712</v>
      </c>
      <c r="D1661" s="19" t="s">
        <v>1533</v>
      </c>
      <c r="E1661" s="21">
        <f t="shared" si="74"/>
        <v>9.1899999999999995</v>
      </c>
      <c r="F1661" s="22">
        <v>0</v>
      </c>
      <c r="G1661" s="21">
        <f t="shared" si="75"/>
        <v>9.1899999999999995</v>
      </c>
      <c r="H1661" s="22">
        <v>0</v>
      </c>
      <c r="I1661" s="23" t="str">
        <f t="shared" si="76"/>
        <v xml:space="preserve">COM VALOR</v>
      </c>
      <c r="J1661" s="19"/>
      <c r="L1661" s="21">
        <v>9.1899999999999995</v>
      </c>
      <c r="M1661" s="22">
        <v>0</v>
      </c>
      <c r="N1661" s="21">
        <v>9.1899999999999995</v>
      </c>
      <c r="O1661" s="22">
        <v>0</v>
      </c>
    </row>
    <row r="1662" ht="25.5">
      <c r="A1662" t="s">
        <v>1531</v>
      </c>
      <c r="B1662" s="19">
        <v>93427</v>
      </c>
      <c r="C1662" s="20" t="s">
        <v>1713</v>
      </c>
      <c r="D1662" s="19" t="s">
        <v>1535</v>
      </c>
      <c r="E1662" s="21">
        <f t="shared" si="74"/>
        <v>197.16</v>
      </c>
      <c r="F1662" s="22">
        <v>0</v>
      </c>
      <c r="G1662" s="21">
        <f t="shared" si="75"/>
        <v>197.16</v>
      </c>
      <c r="H1662" s="22">
        <v>0</v>
      </c>
      <c r="I1662" s="23" t="str">
        <f t="shared" si="76"/>
        <v xml:space="preserve">COM VALOR</v>
      </c>
      <c r="J1662" s="19"/>
      <c r="L1662" s="21">
        <v>197.16</v>
      </c>
      <c r="M1662" s="22">
        <v>0</v>
      </c>
      <c r="N1662" s="21">
        <v>197.16</v>
      </c>
      <c r="O1662" s="22">
        <v>0</v>
      </c>
    </row>
    <row r="1663" ht="25.5">
      <c r="A1663" t="s">
        <v>1531</v>
      </c>
      <c r="B1663" s="19">
        <v>93422</v>
      </c>
      <c r="C1663" s="20" t="s">
        <v>1714</v>
      </c>
      <c r="D1663" s="19" t="s">
        <v>1533</v>
      </c>
      <c r="E1663" s="21">
        <f t="shared" si="74"/>
        <v>6.5</v>
      </c>
      <c r="F1663" s="22">
        <v>0</v>
      </c>
      <c r="G1663" s="21">
        <f t="shared" si="75"/>
        <v>6.5</v>
      </c>
      <c r="H1663" s="22">
        <v>0</v>
      </c>
      <c r="I1663" s="23" t="str">
        <f t="shared" si="76"/>
        <v xml:space="preserve">COM VALOR</v>
      </c>
      <c r="J1663" s="19"/>
      <c r="L1663" s="21">
        <v>6.5</v>
      </c>
      <c r="M1663" s="22">
        <v>0</v>
      </c>
      <c r="N1663" s="21">
        <v>6.5</v>
      </c>
      <c r="O1663" s="22">
        <v>0</v>
      </c>
    </row>
    <row r="1664" ht="25.5">
      <c r="A1664" t="s">
        <v>1531</v>
      </c>
      <c r="B1664" s="19">
        <v>93421</v>
      </c>
      <c r="C1664" s="20" t="s">
        <v>1715</v>
      </c>
      <c r="D1664" s="19" t="s">
        <v>1535</v>
      </c>
      <c r="E1664" s="21">
        <f t="shared" si="74"/>
        <v>86.900000000000006</v>
      </c>
      <c r="F1664" s="22">
        <v>0</v>
      </c>
      <c r="G1664" s="21">
        <f t="shared" si="75"/>
        <v>86.900000000000006</v>
      </c>
      <c r="H1664" s="22">
        <v>0</v>
      </c>
      <c r="I1664" s="23" t="str">
        <f t="shared" si="76"/>
        <v xml:space="preserve">COM VALOR</v>
      </c>
      <c r="J1664" s="19"/>
      <c r="L1664" s="21">
        <v>86.900000000000006</v>
      </c>
      <c r="M1664" s="22">
        <v>0</v>
      </c>
      <c r="N1664" s="21">
        <v>86.900000000000006</v>
      </c>
      <c r="O1664" s="22">
        <v>0</v>
      </c>
    </row>
    <row r="1665" ht="25.5">
      <c r="A1665" t="s">
        <v>1531</v>
      </c>
      <c r="B1665" s="19">
        <v>93282</v>
      </c>
      <c r="C1665" s="20" t="s">
        <v>1716</v>
      </c>
      <c r="D1665" s="19" t="s">
        <v>1533</v>
      </c>
      <c r="E1665" s="21">
        <f t="shared" si="74"/>
        <v>29.739999999999998</v>
      </c>
      <c r="F1665" s="22">
        <v>0</v>
      </c>
      <c r="G1665" s="21">
        <f t="shared" si="75"/>
        <v>27.949999999999999</v>
      </c>
      <c r="H1665" s="22">
        <v>0</v>
      </c>
      <c r="I1665" s="23" t="str">
        <f t="shared" si="76"/>
        <v xml:space="preserve">COM VALOR</v>
      </c>
      <c r="J1665" s="19"/>
      <c r="L1665" s="21">
        <v>29.739999999999998</v>
      </c>
      <c r="M1665" s="22">
        <v>0</v>
      </c>
      <c r="N1665" s="21">
        <v>27.949999999999999</v>
      </c>
      <c r="O1665" s="22">
        <v>0</v>
      </c>
    </row>
    <row r="1666" ht="25.5">
      <c r="A1666" t="s">
        <v>1531</v>
      </c>
      <c r="B1666" s="19">
        <v>93281</v>
      </c>
      <c r="C1666" s="20" t="s">
        <v>1717</v>
      </c>
      <c r="D1666" s="19" t="s">
        <v>1535</v>
      </c>
      <c r="E1666" s="21">
        <f t="shared" si="74"/>
        <v>30.850000000000001</v>
      </c>
      <c r="F1666" s="22">
        <v>0</v>
      </c>
      <c r="G1666" s="21">
        <f t="shared" si="75"/>
        <v>29.059999999999999</v>
      </c>
      <c r="H1666" s="22">
        <v>0</v>
      </c>
      <c r="I1666" s="23" t="str">
        <f t="shared" si="76"/>
        <v xml:space="preserve">COM VALOR</v>
      </c>
      <c r="J1666" s="19"/>
      <c r="L1666" s="21">
        <v>30.850000000000001</v>
      </c>
      <c r="M1666" s="22">
        <v>0</v>
      </c>
      <c r="N1666" s="21">
        <v>29.059999999999999</v>
      </c>
      <c r="O1666" s="22">
        <v>0</v>
      </c>
    </row>
    <row r="1667" ht="25.5">
      <c r="A1667" t="s">
        <v>1531</v>
      </c>
      <c r="B1667" s="19">
        <v>104914</v>
      </c>
      <c r="C1667" s="20" t="s">
        <v>1718</v>
      </c>
      <c r="D1667" s="19" t="s">
        <v>1533</v>
      </c>
      <c r="E1667" s="21" t="str">
        <f t="shared" si="74"/>
        <v>VERIFICAR</v>
      </c>
      <c r="F1667" s="22">
        <v>0</v>
      </c>
      <c r="G1667" s="21" t="str">
        <f t="shared" si="75"/>
        <v>VERIFICAR</v>
      </c>
      <c r="H1667" s="22">
        <v>0</v>
      </c>
      <c r="I1667" s="23" t="str">
        <f t="shared" si="76"/>
        <v xml:space="preserve">COM VALOR</v>
      </c>
      <c r="J1667" s="19"/>
      <c r="L1667" s="21">
        <v>0</v>
      </c>
      <c r="M1667" s="22"/>
      <c r="N1667" s="21">
        <v>0</v>
      </c>
      <c r="O1667" s="22"/>
    </row>
    <row r="1668" ht="25.5">
      <c r="A1668" t="s">
        <v>1531</v>
      </c>
      <c r="B1668" s="19">
        <v>104913</v>
      </c>
      <c r="C1668" s="20" t="s">
        <v>1719</v>
      </c>
      <c r="D1668" s="19" t="s">
        <v>1535</v>
      </c>
      <c r="E1668" s="21" t="str">
        <f t="shared" si="74"/>
        <v>VERIFICAR</v>
      </c>
      <c r="F1668" s="22">
        <v>0</v>
      </c>
      <c r="G1668" s="21" t="str">
        <f t="shared" si="75"/>
        <v>VERIFICAR</v>
      </c>
      <c r="H1668" s="22">
        <v>0</v>
      </c>
      <c r="I1668" s="23" t="str">
        <f t="shared" si="76"/>
        <v xml:space="preserve">COM VALOR</v>
      </c>
      <c r="J1668" s="19"/>
      <c r="L1668" s="21">
        <v>0</v>
      </c>
      <c r="M1668" s="22"/>
      <c r="N1668" s="21">
        <v>0</v>
      </c>
      <c r="O1668" s="22"/>
    </row>
    <row r="1669" ht="38.25">
      <c r="A1669" t="s">
        <v>1531</v>
      </c>
      <c r="B1669" s="19">
        <v>102845</v>
      </c>
      <c r="C1669" s="20" t="s">
        <v>1720</v>
      </c>
      <c r="D1669" s="19" t="s">
        <v>1533</v>
      </c>
      <c r="E1669" s="21" t="str">
        <f t="shared" si="74"/>
        <v>VERIFICAR</v>
      </c>
      <c r="F1669" s="22">
        <v>0</v>
      </c>
      <c r="G1669" s="21" t="str">
        <f t="shared" si="75"/>
        <v>VERIFICAR</v>
      </c>
      <c r="H1669" s="22">
        <v>0</v>
      </c>
      <c r="I1669" s="23" t="str">
        <f t="shared" si="76"/>
        <v xml:space="preserve">COM VALOR</v>
      </c>
      <c r="J1669" s="19"/>
      <c r="L1669" s="21">
        <v>0</v>
      </c>
      <c r="M1669" s="22"/>
      <c r="N1669" s="21">
        <v>0</v>
      </c>
      <c r="O1669" s="22"/>
    </row>
    <row r="1670" ht="38.25">
      <c r="A1670" t="s">
        <v>1531</v>
      </c>
      <c r="B1670" s="19">
        <v>102844</v>
      </c>
      <c r="C1670" s="20" t="s">
        <v>1721</v>
      </c>
      <c r="D1670" s="19" t="s">
        <v>1535</v>
      </c>
      <c r="E1670" s="21" t="str">
        <f t="shared" si="74"/>
        <v>VERIFICAR</v>
      </c>
      <c r="F1670" s="22">
        <v>0</v>
      </c>
      <c r="G1670" s="21" t="str">
        <f t="shared" si="75"/>
        <v>VERIFICAR</v>
      </c>
      <c r="H1670" s="22">
        <v>0</v>
      </c>
      <c r="I1670" s="23" t="str">
        <f t="shared" si="76"/>
        <v xml:space="preserve">COM VALOR</v>
      </c>
      <c r="J1670" s="19"/>
      <c r="L1670" s="21">
        <v>0</v>
      </c>
      <c r="M1670" s="22"/>
      <c r="N1670" s="21">
        <v>0</v>
      </c>
      <c r="O1670" s="22"/>
    </row>
    <row r="1671" ht="38.25">
      <c r="A1671" t="s">
        <v>1531</v>
      </c>
      <c r="B1671" s="19">
        <v>89273</v>
      </c>
      <c r="C1671" s="20" t="s">
        <v>1722</v>
      </c>
      <c r="D1671" s="19" t="s">
        <v>1533</v>
      </c>
      <c r="E1671" s="21">
        <f t="shared" si="74"/>
        <v>112.77</v>
      </c>
      <c r="F1671" s="22">
        <v>0</v>
      </c>
      <c r="G1671" s="21">
        <f t="shared" si="75"/>
        <v>110.54000000000001</v>
      </c>
      <c r="H1671" s="22">
        <v>0</v>
      </c>
      <c r="I1671" s="23" t="str">
        <f t="shared" si="76"/>
        <v xml:space="preserve">COM VALOR</v>
      </c>
      <c r="J1671" s="19"/>
      <c r="L1671" s="21">
        <v>112.77</v>
      </c>
      <c r="M1671" s="22">
        <v>0.68999999999999995</v>
      </c>
      <c r="N1671" s="21">
        <v>110.54000000000001</v>
      </c>
      <c r="O1671" s="22">
        <v>0.69999999999999996</v>
      </c>
    </row>
    <row r="1672" ht="38.25">
      <c r="A1672" t="s">
        <v>1531</v>
      </c>
      <c r="B1672" s="19">
        <v>89272</v>
      </c>
      <c r="C1672" s="20" t="s">
        <v>1723</v>
      </c>
      <c r="D1672" s="19" t="s">
        <v>1535</v>
      </c>
      <c r="E1672" s="21">
        <f t="shared" si="74"/>
        <v>228.99000000000001</v>
      </c>
      <c r="F1672" s="22"/>
      <c r="G1672" s="21">
        <f t="shared" si="75"/>
        <v>226.75999999999999</v>
      </c>
      <c r="H1672" s="22"/>
      <c r="I1672" s="23" t="str">
        <f t="shared" si="76"/>
        <v xml:space="preserve">COM VALOR</v>
      </c>
      <c r="J1672" s="19"/>
      <c r="L1672" s="21">
        <v>228.99000000000001</v>
      </c>
      <c r="M1672" s="22">
        <v>0.69999999999999996</v>
      </c>
      <c r="N1672" s="21">
        <v>226.75999999999999</v>
      </c>
      <c r="O1672" s="22">
        <v>0.70999999999999996</v>
      </c>
    </row>
    <row r="1673" ht="25.5">
      <c r="A1673" t="s">
        <v>1531</v>
      </c>
      <c r="B1673" s="19">
        <v>93288</v>
      </c>
      <c r="C1673" s="20" t="s">
        <v>1724</v>
      </c>
      <c r="D1673" s="19" t="s">
        <v>1533</v>
      </c>
      <c r="E1673" s="21">
        <f t="shared" si="74"/>
        <v>184.27000000000001</v>
      </c>
      <c r="F1673" s="22"/>
      <c r="G1673" s="21">
        <f t="shared" si="75"/>
        <v>182.03999999999999</v>
      </c>
      <c r="H1673" s="22"/>
      <c r="I1673" s="23" t="str">
        <f t="shared" si="76"/>
        <v xml:space="preserve">COM VALOR</v>
      </c>
      <c r="J1673" s="19"/>
      <c r="L1673" s="21">
        <v>184.27000000000001</v>
      </c>
      <c r="M1673" s="22">
        <v>0.81000000000000005</v>
      </c>
      <c r="N1673" s="21">
        <v>182.03999999999999</v>
      </c>
      <c r="O1673" s="22">
        <v>0.81999999999999995</v>
      </c>
    </row>
    <row r="1674" ht="38.25">
      <c r="A1674" t="s">
        <v>1531</v>
      </c>
      <c r="B1674" s="19">
        <v>93287</v>
      </c>
      <c r="C1674" s="20" t="s">
        <v>1725</v>
      </c>
      <c r="D1674" s="19" t="s">
        <v>1535</v>
      </c>
      <c r="E1674" s="21">
        <f t="shared" si="74"/>
        <v>359.13</v>
      </c>
      <c r="F1674" s="22">
        <v>0</v>
      </c>
      <c r="G1674" s="21">
        <f t="shared" si="75"/>
        <v>356.89999999999998</v>
      </c>
      <c r="H1674" s="22">
        <v>0</v>
      </c>
      <c r="I1674" s="23" t="str">
        <f t="shared" si="76"/>
        <v xml:space="preserve">COM VALOR</v>
      </c>
      <c r="J1674" s="19"/>
      <c r="L1674" s="21">
        <v>359.13</v>
      </c>
      <c r="M1674" s="22">
        <v>0.85999999999999999</v>
      </c>
      <c r="N1674" s="21">
        <v>356.89999999999998</v>
      </c>
      <c r="O1674" s="22">
        <v>0.87</v>
      </c>
    </row>
    <row r="1675" ht="51">
      <c r="A1675" t="s">
        <v>1531</v>
      </c>
      <c r="B1675" s="19">
        <v>104711</v>
      </c>
      <c r="C1675" s="20" t="s">
        <v>1726</v>
      </c>
      <c r="D1675" s="19" t="s">
        <v>1533</v>
      </c>
      <c r="E1675" s="21" t="str">
        <f t="shared" ref="E1675:E1738" si="77">IF(L1675=0,"VERIFICAR",L1675)</f>
        <v>VERIFICAR</v>
      </c>
      <c r="F1675" s="22">
        <v>0</v>
      </c>
      <c r="G1675" s="21" t="str">
        <f t="shared" ref="G1675:G1738" si="78">IF(N1675=0,"VERIFICAR",N1675)</f>
        <v>VERIFICAR</v>
      </c>
      <c r="H1675" s="22">
        <v>0</v>
      </c>
      <c r="I1675" s="23" t="str">
        <f t="shared" ref="I1675:I1738" si="79">IF(OR(E1675=0,G1675=0),"SEM VALOR","COM VALOR")</f>
        <v xml:space="preserve">COM VALOR</v>
      </c>
      <c r="J1675" s="19"/>
      <c r="L1675" s="21">
        <v>0</v>
      </c>
      <c r="M1675" s="22"/>
      <c r="N1675" s="21">
        <v>0</v>
      </c>
      <c r="O1675" s="22"/>
    </row>
    <row r="1676" ht="51">
      <c r="A1676" t="s">
        <v>1531</v>
      </c>
      <c r="B1676" s="19">
        <v>104710</v>
      </c>
      <c r="C1676" s="20" t="s">
        <v>1727</v>
      </c>
      <c r="D1676" s="19" t="s">
        <v>1535</v>
      </c>
      <c r="E1676" s="21" t="str">
        <f t="shared" si="77"/>
        <v>VERIFICAR</v>
      </c>
      <c r="F1676" s="22">
        <v>0</v>
      </c>
      <c r="G1676" s="21" t="str">
        <f t="shared" si="78"/>
        <v>VERIFICAR</v>
      </c>
      <c r="H1676" s="22">
        <v>0</v>
      </c>
      <c r="I1676" s="23" t="str">
        <f t="shared" si="79"/>
        <v xml:space="preserve">COM VALOR</v>
      </c>
      <c r="J1676" s="19"/>
      <c r="L1676" s="21">
        <v>0</v>
      </c>
      <c r="M1676" s="22"/>
      <c r="N1676" s="21">
        <v>0</v>
      </c>
      <c r="O1676" s="22"/>
    </row>
    <row r="1677" ht="38.25">
      <c r="A1677" t="s">
        <v>1531</v>
      </c>
      <c r="B1677" s="19">
        <v>104908</v>
      </c>
      <c r="C1677" s="20" t="s">
        <v>1728</v>
      </c>
      <c r="D1677" s="19" t="s">
        <v>1533</v>
      </c>
      <c r="E1677" s="21" t="str">
        <f t="shared" si="77"/>
        <v>VERIFICAR</v>
      </c>
      <c r="F1677" s="22">
        <v>0</v>
      </c>
      <c r="G1677" s="21" t="str">
        <f t="shared" si="78"/>
        <v>VERIFICAR</v>
      </c>
      <c r="H1677" s="22">
        <v>0</v>
      </c>
      <c r="I1677" s="23" t="str">
        <f t="shared" si="79"/>
        <v xml:space="preserve">COM VALOR</v>
      </c>
      <c r="J1677" s="19"/>
      <c r="L1677" s="21">
        <v>0</v>
      </c>
      <c r="M1677" s="22"/>
      <c r="N1677" s="21">
        <v>0</v>
      </c>
      <c r="O1677" s="22"/>
    </row>
    <row r="1678" ht="38.25">
      <c r="A1678" t="s">
        <v>1531</v>
      </c>
      <c r="B1678" s="19">
        <v>104907</v>
      </c>
      <c r="C1678" s="20" t="s">
        <v>1729</v>
      </c>
      <c r="D1678" s="19" t="s">
        <v>1535</v>
      </c>
      <c r="E1678" s="21" t="str">
        <f t="shared" si="77"/>
        <v>VERIFICAR</v>
      </c>
      <c r="F1678" s="22">
        <v>0</v>
      </c>
      <c r="G1678" s="21" t="str">
        <f t="shared" si="78"/>
        <v>VERIFICAR</v>
      </c>
      <c r="H1678" s="22">
        <v>0</v>
      </c>
      <c r="I1678" s="23" t="str">
        <f t="shared" si="79"/>
        <v xml:space="preserve">COM VALOR</v>
      </c>
      <c r="J1678" s="19"/>
      <c r="L1678" s="21">
        <v>0</v>
      </c>
      <c r="M1678" s="22"/>
      <c r="N1678" s="21">
        <v>0</v>
      </c>
      <c r="O1678" s="22"/>
    </row>
    <row r="1679" ht="25.5">
      <c r="A1679" t="s">
        <v>1531</v>
      </c>
      <c r="B1679" s="19">
        <v>102851</v>
      </c>
      <c r="C1679" s="20" t="s">
        <v>1730</v>
      </c>
      <c r="D1679" s="19" t="s">
        <v>1533</v>
      </c>
      <c r="E1679" s="21" t="str">
        <f t="shared" si="77"/>
        <v>VERIFICAR</v>
      </c>
      <c r="F1679" s="22">
        <v>0</v>
      </c>
      <c r="G1679" s="21" t="str">
        <f t="shared" si="78"/>
        <v>VERIFICAR</v>
      </c>
      <c r="H1679" s="22">
        <v>0</v>
      </c>
      <c r="I1679" s="23" t="str">
        <f t="shared" si="79"/>
        <v xml:space="preserve">COM VALOR</v>
      </c>
      <c r="J1679" s="19"/>
      <c r="L1679" s="21">
        <v>0</v>
      </c>
      <c r="M1679" s="22"/>
      <c r="N1679" s="21">
        <v>0</v>
      </c>
      <c r="O1679" s="22"/>
    </row>
    <row r="1680" ht="25.5">
      <c r="A1680" t="s">
        <v>1531</v>
      </c>
      <c r="B1680" s="19">
        <v>102850</v>
      </c>
      <c r="C1680" s="20" t="s">
        <v>1731</v>
      </c>
      <c r="D1680" s="19" t="s">
        <v>1535</v>
      </c>
      <c r="E1680" s="21" t="str">
        <f t="shared" si="77"/>
        <v>VERIFICAR</v>
      </c>
      <c r="F1680" s="22">
        <v>0.69999999999999996</v>
      </c>
      <c r="G1680" s="21" t="str">
        <f t="shared" si="78"/>
        <v>VERIFICAR</v>
      </c>
      <c r="H1680" s="22">
        <v>0.70999999999999996</v>
      </c>
      <c r="I1680" s="23" t="str">
        <f t="shared" si="79"/>
        <v xml:space="preserve">COM VALOR</v>
      </c>
      <c r="J1680" s="19"/>
      <c r="L1680" s="21">
        <v>0</v>
      </c>
      <c r="M1680" s="22"/>
      <c r="N1680" s="21">
        <v>0</v>
      </c>
      <c r="O1680" s="22"/>
    </row>
    <row r="1681" ht="38.25">
      <c r="A1681" t="s">
        <v>1531</v>
      </c>
      <c r="B1681" s="19">
        <v>102857</v>
      </c>
      <c r="C1681" s="20" t="s">
        <v>1732</v>
      </c>
      <c r="D1681" s="19" t="s">
        <v>1533</v>
      </c>
      <c r="E1681" s="21" t="str">
        <f t="shared" si="77"/>
        <v>VERIFICAR</v>
      </c>
      <c r="F1681" s="22">
        <v>0.66000000000000003</v>
      </c>
      <c r="G1681" s="21" t="str">
        <f t="shared" si="78"/>
        <v>VERIFICAR</v>
      </c>
      <c r="H1681" s="22">
        <v>0.67000000000000004</v>
      </c>
      <c r="I1681" s="23" t="str">
        <f t="shared" si="79"/>
        <v xml:space="preserve">COM VALOR</v>
      </c>
      <c r="J1681" s="19"/>
      <c r="L1681" s="21">
        <v>0</v>
      </c>
      <c r="M1681" s="22"/>
      <c r="N1681" s="21">
        <v>0</v>
      </c>
      <c r="O1681" s="22"/>
    </row>
    <row r="1682" ht="38.25">
      <c r="A1682" t="s">
        <v>1531</v>
      </c>
      <c r="B1682" s="19">
        <v>102856</v>
      </c>
      <c r="C1682" s="20" t="s">
        <v>1733</v>
      </c>
      <c r="D1682" s="19" t="s">
        <v>1535</v>
      </c>
      <c r="E1682" s="21" t="str">
        <f t="shared" si="77"/>
        <v>VERIFICAR</v>
      </c>
      <c r="F1682" s="22"/>
      <c r="G1682" s="21" t="str">
        <f t="shared" si="78"/>
        <v>VERIFICAR</v>
      </c>
      <c r="H1682" s="22"/>
      <c r="I1682" s="23" t="str">
        <f t="shared" si="79"/>
        <v xml:space="preserve">COM VALOR</v>
      </c>
      <c r="J1682" s="19"/>
      <c r="L1682" s="21">
        <v>0</v>
      </c>
      <c r="M1682" s="22"/>
      <c r="N1682" s="21">
        <v>0</v>
      </c>
      <c r="O1682" s="22"/>
    </row>
    <row r="1683" ht="51">
      <c r="A1683" t="s">
        <v>1531</v>
      </c>
      <c r="B1683" s="19">
        <v>106256</v>
      </c>
      <c r="C1683" s="20" t="s">
        <v>1734</v>
      </c>
      <c r="D1683" s="19" t="s">
        <v>1533</v>
      </c>
      <c r="E1683" s="21">
        <f t="shared" si="77"/>
        <v>97.640000000000001</v>
      </c>
      <c r="F1683" s="22"/>
      <c r="G1683" s="21">
        <f t="shared" si="78"/>
        <v>95.909999999999997</v>
      </c>
      <c r="H1683" s="22"/>
      <c r="I1683" s="23" t="str">
        <f t="shared" si="79"/>
        <v xml:space="preserve">COM VALOR</v>
      </c>
      <c r="J1683" s="19"/>
      <c r="L1683" s="21">
        <v>97.640000000000001</v>
      </c>
      <c r="M1683" s="22">
        <v>0.70999999999999996</v>
      </c>
      <c r="N1683" s="21">
        <v>95.909999999999997</v>
      </c>
      <c r="O1683" s="22">
        <v>0.71999999999999997</v>
      </c>
    </row>
    <row r="1684" ht="51">
      <c r="A1684" t="s">
        <v>1531</v>
      </c>
      <c r="B1684" s="19">
        <v>106251</v>
      </c>
      <c r="C1684" s="20" t="s">
        <v>1735</v>
      </c>
      <c r="D1684" s="19" t="s">
        <v>1535</v>
      </c>
      <c r="E1684" s="21">
        <f t="shared" si="77"/>
        <v>350.42000000000002</v>
      </c>
      <c r="F1684" s="22">
        <v>1</v>
      </c>
      <c r="G1684" s="21">
        <f t="shared" si="78"/>
        <v>348.69</v>
      </c>
      <c r="H1684" s="22">
        <v>1</v>
      </c>
      <c r="I1684" s="23" t="str">
        <f t="shared" si="79"/>
        <v xml:space="preserve">COM VALOR</v>
      </c>
      <c r="J1684" s="19"/>
      <c r="L1684" s="21">
        <v>350.42000000000002</v>
      </c>
      <c r="M1684" s="22">
        <v>0.40749999999999997</v>
      </c>
      <c r="N1684" s="21">
        <v>348.69</v>
      </c>
      <c r="O1684" s="22">
        <v>0.40999999999999998</v>
      </c>
    </row>
    <row r="1685" ht="51">
      <c r="A1685" t="s">
        <v>1531</v>
      </c>
      <c r="B1685" s="19">
        <v>93403</v>
      </c>
      <c r="C1685" s="20" t="s">
        <v>1736</v>
      </c>
      <c r="D1685" s="19" t="s">
        <v>1533</v>
      </c>
      <c r="E1685" s="21">
        <f t="shared" si="77"/>
        <v>68.200000000000003</v>
      </c>
      <c r="F1685" s="22">
        <v>0.51000000000000001</v>
      </c>
      <c r="G1685" s="21">
        <f t="shared" si="78"/>
        <v>66.469999999999999</v>
      </c>
      <c r="H1685" s="22">
        <v>0.51000000000000001</v>
      </c>
      <c r="I1685" s="23" t="str">
        <f t="shared" si="79"/>
        <v xml:space="preserve">COM VALOR</v>
      </c>
      <c r="J1685" s="19"/>
      <c r="L1685" s="21">
        <v>68.200000000000003</v>
      </c>
      <c r="M1685" s="22">
        <v>0.57999999999999996</v>
      </c>
      <c r="N1685" s="21">
        <v>66.469999999999999</v>
      </c>
      <c r="O1685" s="22">
        <v>0.59999999999999998</v>
      </c>
    </row>
    <row r="1686" ht="51">
      <c r="A1686" t="s">
        <v>1531</v>
      </c>
      <c r="B1686" s="19">
        <v>93402</v>
      </c>
      <c r="C1686" s="20" t="s">
        <v>1737</v>
      </c>
      <c r="D1686" s="19" t="s">
        <v>1535</v>
      </c>
      <c r="E1686" s="21">
        <f t="shared" si="77"/>
        <v>292.72000000000003</v>
      </c>
      <c r="F1686" s="22"/>
      <c r="G1686" s="21">
        <f t="shared" si="78"/>
        <v>290.99000000000001</v>
      </c>
      <c r="H1686" s="22"/>
      <c r="I1686" s="23" t="str">
        <f t="shared" si="79"/>
        <v xml:space="preserve">COM VALOR</v>
      </c>
      <c r="J1686" s="19"/>
      <c r="L1686" s="21">
        <v>292.72000000000003</v>
      </c>
      <c r="M1686" s="22">
        <v>0.28999999999999998</v>
      </c>
      <c r="N1686" s="21">
        <v>290.99000000000001</v>
      </c>
      <c r="O1686" s="22">
        <v>0.28999999999999998</v>
      </c>
    </row>
    <row r="1687" ht="51">
      <c r="A1687" t="s">
        <v>1531</v>
      </c>
      <c r="B1687" s="19">
        <v>5930</v>
      </c>
      <c r="C1687" s="20" t="s">
        <v>1738</v>
      </c>
      <c r="D1687" s="19" t="s">
        <v>1533</v>
      </c>
      <c r="E1687" s="21">
        <f t="shared" si="77"/>
        <v>71.329999999999998</v>
      </c>
      <c r="F1687" s="22"/>
      <c r="G1687" s="21">
        <f t="shared" si="78"/>
        <v>69.599999999999994</v>
      </c>
      <c r="H1687" s="22"/>
      <c r="I1687" s="23" t="str">
        <f t="shared" si="79"/>
        <v xml:space="preserve">COM VALOR</v>
      </c>
      <c r="J1687" s="19"/>
      <c r="L1687" s="21">
        <v>71.329999999999998</v>
      </c>
      <c r="M1687" s="22">
        <v>0.59999999999999998</v>
      </c>
      <c r="N1687" s="21">
        <v>69.599999999999994</v>
      </c>
      <c r="O1687" s="22">
        <v>0.62</v>
      </c>
    </row>
    <row r="1688" ht="51">
      <c r="A1688" t="s">
        <v>1531</v>
      </c>
      <c r="B1688" s="19">
        <v>5928</v>
      </c>
      <c r="C1688" s="20" t="s">
        <v>1739</v>
      </c>
      <c r="D1688" s="19" t="s">
        <v>1535</v>
      </c>
      <c r="E1688" s="21">
        <f t="shared" si="77"/>
        <v>298.70999999999998</v>
      </c>
      <c r="F1688" s="22">
        <v>0.27000000000000002</v>
      </c>
      <c r="G1688" s="21">
        <f t="shared" si="78"/>
        <v>296.98000000000002</v>
      </c>
      <c r="H1688" s="22">
        <v>0.28999999999999998</v>
      </c>
      <c r="I1688" s="23" t="str">
        <f t="shared" si="79"/>
        <v xml:space="preserve">COM VALOR</v>
      </c>
      <c r="J1688" s="19"/>
      <c r="L1688" s="21">
        <v>298.70999999999998</v>
      </c>
      <c r="M1688" s="22">
        <v>0.29999999999999999</v>
      </c>
      <c r="N1688" s="21">
        <v>296.98000000000002</v>
      </c>
      <c r="O1688" s="22">
        <v>0.31</v>
      </c>
    </row>
    <row r="1689" ht="51">
      <c r="A1689" t="s">
        <v>1531</v>
      </c>
      <c r="B1689" s="19">
        <v>105845</v>
      </c>
      <c r="C1689" s="20" t="s">
        <v>1740</v>
      </c>
      <c r="D1689" s="19" t="s">
        <v>1533</v>
      </c>
      <c r="E1689" s="21" t="str">
        <f t="shared" si="77"/>
        <v>VERIFICAR</v>
      </c>
      <c r="F1689" s="22">
        <v>0.20000000000000001</v>
      </c>
      <c r="G1689" s="21" t="str">
        <f t="shared" si="78"/>
        <v>VERIFICAR</v>
      </c>
      <c r="H1689" s="22">
        <v>0.20000000000000001</v>
      </c>
      <c r="I1689" s="23" t="str">
        <f t="shared" si="79"/>
        <v xml:space="preserve">COM VALOR</v>
      </c>
      <c r="J1689" s="19"/>
      <c r="L1689" s="21">
        <v>0</v>
      </c>
      <c r="M1689" s="22"/>
      <c r="N1689" s="21">
        <v>0</v>
      </c>
      <c r="O1689" s="22"/>
    </row>
    <row r="1690" ht="51">
      <c r="A1690" t="s">
        <v>1531</v>
      </c>
      <c r="B1690" s="19">
        <v>105844</v>
      </c>
      <c r="C1690" s="20" t="s">
        <v>1741</v>
      </c>
      <c r="D1690" s="19" t="s">
        <v>1535</v>
      </c>
      <c r="E1690" s="21" t="str">
        <f t="shared" si="77"/>
        <v>VERIFICAR</v>
      </c>
      <c r="F1690" s="22"/>
      <c r="G1690" s="21" t="str">
        <f t="shared" si="78"/>
        <v>VERIFICAR</v>
      </c>
      <c r="H1690" s="22"/>
      <c r="I1690" s="23" t="str">
        <f t="shared" si="79"/>
        <v xml:space="preserve">COM VALOR</v>
      </c>
      <c r="J1690" s="19"/>
      <c r="L1690" s="21">
        <v>0</v>
      </c>
      <c r="M1690" s="22"/>
      <c r="N1690" s="21">
        <v>0</v>
      </c>
      <c r="O1690" s="22"/>
    </row>
    <row r="1691" ht="51">
      <c r="A1691" t="s">
        <v>1531</v>
      </c>
      <c r="B1691" s="19">
        <v>91635</v>
      </c>
      <c r="C1691" s="20" t="s">
        <v>1742</v>
      </c>
      <c r="D1691" s="19" t="s">
        <v>1533</v>
      </c>
      <c r="E1691" s="21">
        <f t="shared" si="77"/>
        <v>62.600000000000001</v>
      </c>
      <c r="F1691" s="22"/>
      <c r="G1691" s="21">
        <f t="shared" si="78"/>
        <v>60.869999999999997</v>
      </c>
      <c r="H1691" s="22"/>
      <c r="I1691" s="23" t="str">
        <f t="shared" si="79"/>
        <v xml:space="preserve">COM VALOR</v>
      </c>
      <c r="J1691" s="19"/>
      <c r="L1691" s="21">
        <v>62.600000000000001</v>
      </c>
      <c r="M1691" s="22">
        <v>0.54000000000000004</v>
      </c>
      <c r="N1691" s="21">
        <v>60.869999999999997</v>
      </c>
      <c r="O1691" s="22">
        <v>0.56000000000000005</v>
      </c>
    </row>
    <row r="1692" ht="51">
      <c r="A1692" t="s">
        <v>1531</v>
      </c>
      <c r="B1692" s="19">
        <v>91634</v>
      </c>
      <c r="C1692" s="20" t="s">
        <v>1743</v>
      </c>
      <c r="D1692" s="19" t="s">
        <v>1535</v>
      </c>
      <c r="E1692" s="21">
        <f t="shared" si="77"/>
        <v>252.91999999999999</v>
      </c>
      <c r="F1692" s="22"/>
      <c r="G1692" s="21">
        <f t="shared" si="78"/>
        <v>251.19</v>
      </c>
      <c r="H1692" s="22"/>
      <c r="I1692" s="23" t="str">
        <f t="shared" si="79"/>
        <v xml:space="preserve">COM VALOR</v>
      </c>
      <c r="J1692" s="19"/>
      <c r="L1692" s="21">
        <v>252.91999999999999</v>
      </c>
      <c r="M1692" s="22">
        <v>0.28999999999999998</v>
      </c>
      <c r="N1692" s="21">
        <v>251.19</v>
      </c>
      <c r="O1692" s="22">
        <v>0.28999999999999998</v>
      </c>
    </row>
    <row r="1693" ht="63.75">
      <c r="A1693" t="s">
        <v>1531</v>
      </c>
      <c r="B1693" s="19">
        <v>105985</v>
      </c>
      <c r="C1693" s="20" t="s">
        <v>1744</v>
      </c>
      <c r="D1693" s="19" t="s">
        <v>1533</v>
      </c>
      <c r="E1693" s="21">
        <f t="shared" si="77"/>
        <v>94.900000000000006</v>
      </c>
      <c r="F1693" s="22"/>
      <c r="G1693" s="21">
        <f t="shared" si="78"/>
        <v>93.170000000000002</v>
      </c>
      <c r="H1693" s="22"/>
      <c r="I1693" s="23" t="str">
        <f t="shared" si="79"/>
        <v xml:space="preserve">COM VALOR</v>
      </c>
      <c r="J1693" s="19"/>
      <c r="L1693" s="21">
        <v>94.900000000000006</v>
      </c>
      <c r="M1693" s="22">
        <v>0.69999999999999996</v>
      </c>
      <c r="N1693" s="21">
        <v>93.170000000000002</v>
      </c>
      <c r="O1693" s="22">
        <v>0.70999999999999996</v>
      </c>
    </row>
    <row r="1694" ht="63.75">
      <c r="A1694" t="s">
        <v>1531</v>
      </c>
      <c r="B1694" s="19">
        <v>105984</v>
      </c>
      <c r="C1694" s="20" t="s">
        <v>1745</v>
      </c>
      <c r="D1694" s="19" t="s">
        <v>1535</v>
      </c>
      <c r="E1694" s="21">
        <f t="shared" si="77"/>
        <v>345.19</v>
      </c>
      <c r="F1694" s="22"/>
      <c r="G1694" s="21">
        <f t="shared" si="78"/>
        <v>343.45999999999998</v>
      </c>
      <c r="H1694" s="22"/>
      <c r="I1694" s="23" t="str">
        <f t="shared" si="79"/>
        <v xml:space="preserve">COM VALOR</v>
      </c>
      <c r="J1694" s="19"/>
      <c r="L1694" s="21">
        <v>345.19</v>
      </c>
      <c r="M1694" s="22">
        <v>0.40000000000000002</v>
      </c>
      <c r="N1694" s="21">
        <v>343.45999999999998</v>
      </c>
      <c r="O1694" s="22">
        <v>0.40000000000000002</v>
      </c>
    </row>
    <row r="1695" ht="38.25">
      <c r="A1695" t="s">
        <v>1531</v>
      </c>
      <c r="B1695" s="19">
        <v>98765</v>
      </c>
      <c r="C1695" s="20" t="s">
        <v>1746</v>
      </c>
      <c r="D1695" s="19" t="s">
        <v>1533</v>
      </c>
      <c r="E1695" s="21">
        <f t="shared" si="77"/>
        <v>8.9999999999999997e-002</v>
      </c>
      <c r="F1695" s="22"/>
      <c r="G1695" s="21">
        <f t="shared" si="78"/>
        <v>8.9999999999999997e-002</v>
      </c>
      <c r="H1695" s="22"/>
      <c r="I1695" s="23" t="str">
        <f t="shared" si="79"/>
        <v xml:space="preserve">COM VALOR</v>
      </c>
      <c r="J1695" s="19"/>
      <c r="L1695" s="21">
        <v>8.9999999999999997e-002</v>
      </c>
      <c r="M1695" s="22">
        <v>0</v>
      </c>
      <c r="N1695" s="21">
        <v>8.9999999999999997e-002</v>
      </c>
      <c r="O1695" s="22">
        <v>0</v>
      </c>
    </row>
    <row r="1696" ht="38.25">
      <c r="A1696" t="s">
        <v>1531</v>
      </c>
      <c r="B1696" s="19">
        <v>98764</v>
      </c>
      <c r="C1696" s="20" t="s">
        <v>1747</v>
      </c>
      <c r="D1696" s="19" t="s">
        <v>1535</v>
      </c>
      <c r="E1696" s="21">
        <f t="shared" si="77"/>
        <v>6.9100000000000001</v>
      </c>
      <c r="F1696" s="22"/>
      <c r="G1696" s="21">
        <f t="shared" si="78"/>
        <v>6.9100000000000001</v>
      </c>
      <c r="H1696" s="22"/>
      <c r="I1696" s="23" t="str">
        <f t="shared" si="79"/>
        <v xml:space="preserve">COM VALOR</v>
      </c>
      <c r="J1696" s="19"/>
      <c r="L1696" s="21">
        <v>6.9100000000000001</v>
      </c>
      <c r="M1696" s="22">
        <v>0</v>
      </c>
      <c r="N1696" s="21">
        <v>6.9100000000000001</v>
      </c>
      <c r="O1696" s="22">
        <v>0</v>
      </c>
    </row>
    <row r="1697" ht="38.25">
      <c r="A1697" t="s">
        <v>1531</v>
      </c>
      <c r="B1697" s="19">
        <v>99834</v>
      </c>
      <c r="C1697" s="20" t="s">
        <v>1748</v>
      </c>
      <c r="D1697" s="19" t="s">
        <v>1533</v>
      </c>
      <c r="E1697" s="21">
        <f t="shared" si="77"/>
        <v>0.17000000000000001</v>
      </c>
      <c r="F1697" s="22"/>
      <c r="G1697" s="21">
        <f t="shared" si="78"/>
        <v>0.17000000000000001</v>
      </c>
      <c r="H1697" s="22"/>
      <c r="I1697" s="23" t="str">
        <f t="shared" si="79"/>
        <v xml:space="preserve">COM VALOR</v>
      </c>
      <c r="J1697" s="19"/>
      <c r="L1697" s="21">
        <v>0.17000000000000001</v>
      </c>
      <c r="M1697" s="22">
        <v>0</v>
      </c>
      <c r="N1697" s="21">
        <v>0.17000000000000001</v>
      </c>
      <c r="O1697" s="22">
        <v>0</v>
      </c>
    </row>
    <row r="1698" ht="38.25">
      <c r="A1698" t="s">
        <v>1531</v>
      </c>
      <c r="B1698" s="19">
        <v>99833</v>
      </c>
      <c r="C1698" s="20" t="s">
        <v>1749</v>
      </c>
      <c r="D1698" s="19" t="s">
        <v>1535</v>
      </c>
      <c r="E1698" s="21">
        <f t="shared" si="77"/>
        <v>5.2599999999999998</v>
      </c>
      <c r="F1698" s="22"/>
      <c r="G1698" s="21">
        <f t="shared" si="78"/>
        <v>5.2599999999999998</v>
      </c>
      <c r="H1698" s="22"/>
      <c r="I1698" s="23" t="str">
        <f t="shared" si="79"/>
        <v xml:space="preserve">COM VALOR</v>
      </c>
      <c r="J1698" s="19"/>
      <c r="L1698" s="21">
        <v>5.2599999999999998</v>
      </c>
      <c r="M1698" s="22">
        <v>0</v>
      </c>
      <c r="N1698" s="21">
        <v>5.2599999999999998</v>
      </c>
      <c r="O1698" s="22">
        <v>0</v>
      </c>
    </row>
    <row r="1699" ht="38.25">
      <c r="A1699" t="s">
        <v>1531</v>
      </c>
      <c r="B1699" s="19">
        <v>104521</v>
      </c>
      <c r="C1699" s="20" t="s">
        <v>1750</v>
      </c>
      <c r="D1699" s="19" t="s">
        <v>1533</v>
      </c>
      <c r="E1699" s="21" t="str">
        <f t="shared" si="77"/>
        <v>VERIFICAR</v>
      </c>
      <c r="F1699" s="22"/>
      <c r="G1699" s="21" t="str">
        <f t="shared" si="78"/>
        <v>VERIFICAR</v>
      </c>
      <c r="H1699" s="22"/>
      <c r="I1699" s="23" t="str">
        <f t="shared" si="79"/>
        <v xml:space="preserve">COM VALOR</v>
      </c>
      <c r="J1699" s="19"/>
      <c r="L1699" s="21">
        <v>0</v>
      </c>
      <c r="M1699" s="22"/>
      <c r="N1699" s="21">
        <v>0</v>
      </c>
      <c r="O1699" s="22"/>
    </row>
    <row r="1700" ht="38.25">
      <c r="A1700" t="s">
        <v>1531</v>
      </c>
      <c r="B1700" s="19">
        <v>104520</v>
      </c>
      <c r="C1700" s="20" t="s">
        <v>1751</v>
      </c>
      <c r="D1700" s="19" t="s">
        <v>1535</v>
      </c>
      <c r="E1700" s="21" t="str">
        <f t="shared" si="77"/>
        <v>VERIFICAR</v>
      </c>
      <c r="F1700" s="22"/>
      <c r="G1700" s="21" t="str">
        <f t="shared" si="78"/>
        <v>VERIFICAR</v>
      </c>
      <c r="H1700" s="22"/>
      <c r="I1700" s="23" t="str">
        <f t="shared" si="79"/>
        <v xml:space="preserve">COM VALOR</v>
      </c>
      <c r="J1700" s="19"/>
      <c r="L1700" s="21">
        <v>0</v>
      </c>
      <c r="M1700" s="22"/>
      <c r="N1700" s="21">
        <v>0</v>
      </c>
      <c r="O1700" s="22"/>
    </row>
    <row r="1701" ht="38.25">
      <c r="A1701" t="s">
        <v>1531</v>
      </c>
      <c r="B1701" s="19">
        <v>90687</v>
      </c>
      <c r="C1701" s="20" t="s">
        <v>1752</v>
      </c>
      <c r="D1701" s="19" t="s">
        <v>1533</v>
      </c>
      <c r="E1701" s="21">
        <f t="shared" si="77"/>
        <v>78.439999999999998</v>
      </c>
      <c r="F1701" s="22"/>
      <c r="G1701" s="21">
        <f t="shared" si="78"/>
        <v>76.549999999999997</v>
      </c>
      <c r="H1701" s="22"/>
      <c r="I1701" s="23" t="str">
        <f t="shared" si="79"/>
        <v xml:space="preserve">COM VALOR</v>
      </c>
      <c r="J1701" s="19"/>
      <c r="L1701" s="21">
        <v>78.439999999999998</v>
      </c>
      <c r="M1701" s="22">
        <v>0.60999999999999999</v>
      </c>
      <c r="N1701" s="21">
        <v>76.549999999999997</v>
      </c>
      <c r="O1701" s="22">
        <v>0.62</v>
      </c>
    </row>
    <row r="1702" ht="38.25">
      <c r="A1702" t="s">
        <v>1531</v>
      </c>
      <c r="B1702" s="19">
        <v>90686</v>
      </c>
      <c r="C1702" s="20" t="s">
        <v>1753</v>
      </c>
      <c r="D1702" s="19" t="s">
        <v>1535</v>
      </c>
      <c r="E1702" s="21">
        <f t="shared" si="77"/>
        <v>185.41999999999999</v>
      </c>
      <c r="F1702" s="22"/>
      <c r="G1702" s="21">
        <f t="shared" si="78"/>
        <v>183.53</v>
      </c>
      <c r="H1702" s="22"/>
      <c r="I1702" s="23" t="str">
        <f t="shared" si="79"/>
        <v xml:space="preserve">COM VALOR</v>
      </c>
      <c r="J1702" s="19"/>
      <c r="L1702" s="21">
        <v>185.41999999999999</v>
      </c>
      <c r="M1702" s="22">
        <v>0.48999999999999999</v>
      </c>
      <c r="N1702" s="21">
        <v>183.53</v>
      </c>
      <c r="O1702" s="22">
        <v>0.48999999999999999</v>
      </c>
    </row>
    <row r="1703" ht="25.5">
      <c r="A1703" t="s">
        <v>1531</v>
      </c>
      <c r="B1703" s="19">
        <v>5952</v>
      </c>
      <c r="C1703" s="20" t="s">
        <v>1754</v>
      </c>
      <c r="D1703" s="19" t="s">
        <v>1533</v>
      </c>
      <c r="E1703" s="21">
        <f t="shared" si="77"/>
        <v>27.390000000000001</v>
      </c>
      <c r="F1703" s="22"/>
      <c r="G1703" s="21">
        <f t="shared" si="78"/>
        <v>25.800000000000001</v>
      </c>
      <c r="H1703" s="22"/>
      <c r="I1703" s="23" t="str">
        <f t="shared" si="79"/>
        <v xml:space="preserve">COM VALOR</v>
      </c>
      <c r="J1703" s="19"/>
      <c r="L1703" s="21">
        <v>27.390000000000001</v>
      </c>
      <c r="M1703" s="22">
        <v>0</v>
      </c>
      <c r="N1703" s="21">
        <v>25.800000000000001</v>
      </c>
      <c r="O1703" s="22">
        <v>0</v>
      </c>
    </row>
    <row r="1704" ht="25.5">
      <c r="A1704" t="s">
        <v>1531</v>
      </c>
      <c r="B1704" s="19">
        <v>5795</v>
      </c>
      <c r="C1704" s="20" t="s">
        <v>1755</v>
      </c>
      <c r="D1704" s="19" t="s">
        <v>1535</v>
      </c>
      <c r="E1704" s="21">
        <f t="shared" si="77"/>
        <v>28.030000000000001</v>
      </c>
      <c r="F1704" s="22">
        <v>0</v>
      </c>
      <c r="G1704" s="21">
        <f t="shared" si="78"/>
        <v>26.440000000000001</v>
      </c>
      <c r="H1704" s="22">
        <v>0</v>
      </c>
      <c r="I1704" s="23" t="str">
        <f t="shared" si="79"/>
        <v xml:space="preserve">COM VALOR</v>
      </c>
      <c r="J1704" s="19"/>
      <c r="L1704" s="21">
        <v>28.030000000000001</v>
      </c>
      <c r="M1704" s="22">
        <v>0</v>
      </c>
      <c r="N1704" s="21">
        <v>26.440000000000001</v>
      </c>
      <c r="O1704" s="22">
        <v>0</v>
      </c>
    </row>
    <row r="1705" ht="25.5">
      <c r="A1705" t="s">
        <v>1531</v>
      </c>
      <c r="B1705" s="19">
        <v>104657</v>
      </c>
      <c r="C1705" s="20" t="s">
        <v>1756</v>
      </c>
      <c r="D1705" s="19" t="s">
        <v>1533</v>
      </c>
      <c r="E1705" s="21" t="str">
        <f t="shared" si="77"/>
        <v>VERIFICAR</v>
      </c>
      <c r="F1705" s="22">
        <v>0</v>
      </c>
      <c r="G1705" s="21" t="str">
        <f t="shared" si="78"/>
        <v>VERIFICAR</v>
      </c>
      <c r="H1705" s="22">
        <v>0</v>
      </c>
      <c r="I1705" s="23" t="str">
        <f t="shared" si="79"/>
        <v xml:space="preserve">COM VALOR</v>
      </c>
      <c r="J1705" s="19"/>
      <c r="L1705" s="21">
        <v>0</v>
      </c>
      <c r="M1705" s="22"/>
      <c r="N1705" s="21">
        <v>0</v>
      </c>
      <c r="O1705" s="22"/>
    </row>
    <row r="1706" ht="25.5">
      <c r="A1706" t="s">
        <v>1531</v>
      </c>
      <c r="B1706" s="19">
        <v>104656</v>
      </c>
      <c r="C1706" s="20" t="s">
        <v>1757</v>
      </c>
      <c r="D1706" s="19" t="s">
        <v>1535</v>
      </c>
      <c r="E1706" s="21" t="str">
        <f t="shared" si="77"/>
        <v>VERIFICAR</v>
      </c>
      <c r="F1706" s="22">
        <v>0</v>
      </c>
      <c r="G1706" s="21" t="str">
        <f t="shared" si="78"/>
        <v>VERIFICAR</v>
      </c>
      <c r="H1706" s="22">
        <v>0</v>
      </c>
      <c r="I1706" s="23" t="str">
        <f t="shared" si="79"/>
        <v xml:space="preserve">COM VALOR</v>
      </c>
      <c r="J1706" s="19"/>
      <c r="L1706" s="21">
        <v>0</v>
      </c>
      <c r="M1706" s="22"/>
      <c r="N1706" s="21">
        <v>0</v>
      </c>
      <c r="O1706" s="22"/>
    </row>
    <row r="1707" ht="25.5">
      <c r="A1707" t="s">
        <v>1531</v>
      </c>
      <c r="B1707" s="19">
        <v>102274</v>
      </c>
      <c r="C1707" s="20" t="s">
        <v>1758</v>
      </c>
      <c r="D1707" s="19" t="s">
        <v>1533</v>
      </c>
      <c r="E1707" s="21">
        <f t="shared" si="77"/>
        <v>27.829999999999998</v>
      </c>
      <c r="F1707" s="22">
        <v>0</v>
      </c>
      <c r="G1707" s="21">
        <f t="shared" si="78"/>
        <v>26.239999999999998</v>
      </c>
      <c r="H1707" s="22">
        <v>0</v>
      </c>
      <c r="I1707" s="23" t="str">
        <f t="shared" si="79"/>
        <v xml:space="preserve">COM VALOR</v>
      </c>
      <c r="J1707" s="19"/>
      <c r="L1707" s="21">
        <v>27.829999999999998</v>
      </c>
      <c r="M1707" s="22">
        <v>0</v>
      </c>
      <c r="N1707" s="21">
        <v>26.239999999999998</v>
      </c>
      <c r="O1707" s="22">
        <v>0</v>
      </c>
    </row>
    <row r="1708" ht="25.5">
      <c r="A1708" t="s">
        <v>1531</v>
      </c>
      <c r="B1708" s="19">
        <v>102275</v>
      </c>
      <c r="C1708" s="20" t="s">
        <v>1759</v>
      </c>
      <c r="D1708" s="19" t="s">
        <v>1535</v>
      </c>
      <c r="E1708" s="21">
        <f t="shared" si="77"/>
        <v>30.829999999999998</v>
      </c>
      <c r="F1708" s="22">
        <v>0</v>
      </c>
      <c r="G1708" s="21">
        <f t="shared" si="78"/>
        <v>29.239999999999998</v>
      </c>
      <c r="H1708" s="22">
        <v>0</v>
      </c>
      <c r="I1708" s="23" t="str">
        <f t="shared" si="79"/>
        <v xml:space="preserve">COM VALOR</v>
      </c>
      <c r="J1708" s="19"/>
      <c r="L1708" s="21">
        <v>30.829999999999998</v>
      </c>
      <c r="M1708" s="22">
        <v>0</v>
      </c>
      <c r="N1708" s="21">
        <v>29.239999999999998</v>
      </c>
      <c r="O1708" s="22">
        <v>0</v>
      </c>
    </row>
    <row r="1709" ht="25.5">
      <c r="A1709" t="s">
        <v>1531</v>
      </c>
      <c r="B1709" s="19">
        <v>95259</v>
      </c>
      <c r="C1709" s="20" t="s">
        <v>1760</v>
      </c>
      <c r="D1709" s="19" t="s">
        <v>1533</v>
      </c>
      <c r="E1709" s="21">
        <f t="shared" si="77"/>
        <v>28.039999999999999</v>
      </c>
      <c r="F1709" s="22">
        <v>0</v>
      </c>
      <c r="G1709" s="21">
        <f t="shared" si="78"/>
        <v>26.449999999999999</v>
      </c>
      <c r="H1709" s="22">
        <v>0</v>
      </c>
      <c r="I1709" s="23" t="str">
        <f t="shared" si="79"/>
        <v xml:space="preserve">COM VALOR</v>
      </c>
      <c r="J1709" s="19"/>
      <c r="L1709" s="21">
        <v>28.039999999999999</v>
      </c>
      <c r="M1709" s="22">
        <v>0</v>
      </c>
      <c r="N1709" s="21">
        <v>26.449999999999999</v>
      </c>
      <c r="O1709" s="22">
        <v>0</v>
      </c>
    </row>
    <row r="1710" ht="25.5">
      <c r="A1710" t="s">
        <v>1531</v>
      </c>
      <c r="B1710" s="19">
        <v>95258</v>
      </c>
      <c r="C1710" s="20" t="s">
        <v>1761</v>
      </c>
      <c r="D1710" s="19" t="s">
        <v>1535</v>
      </c>
      <c r="E1710" s="21">
        <f t="shared" si="77"/>
        <v>29.329999999999998</v>
      </c>
      <c r="F1710" s="22">
        <v>0</v>
      </c>
      <c r="G1710" s="21">
        <f t="shared" si="78"/>
        <v>27.739999999999998</v>
      </c>
      <c r="H1710" s="22">
        <v>0</v>
      </c>
      <c r="I1710" s="23" t="str">
        <f t="shared" si="79"/>
        <v xml:space="preserve">COM VALOR</v>
      </c>
      <c r="J1710" s="19"/>
      <c r="L1710" s="21">
        <v>29.329999999999998</v>
      </c>
      <c r="M1710" s="22">
        <v>0</v>
      </c>
      <c r="N1710" s="21">
        <v>27.739999999999998</v>
      </c>
      <c r="O1710" s="22">
        <v>0</v>
      </c>
    </row>
    <row r="1711" ht="25.5">
      <c r="A1711" t="s">
        <v>1531</v>
      </c>
      <c r="B1711" s="19">
        <v>105917</v>
      </c>
      <c r="C1711" s="20" t="s">
        <v>1762</v>
      </c>
      <c r="D1711" s="19" t="s">
        <v>1533</v>
      </c>
      <c r="E1711" s="21">
        <f t="shared" si="77"/>
        <v>27.850000000000001</v>
      </c>
      <c r="F1711" s="22">
        <v>0</v>
      </c>
      <c r="G1711" s="21">
        <f t="shared" si="78"/>
        <v>26.260000000000002</v>
      </c>
      <c r="H1711" s="22">
        <v>0</v>
      </c>
      <c r="I1711" s="23" t="str">
        <f t="shared" si="79"/>
        <v xml:space="preserve">COM VALOR</v>
      </c>
      <c r="J1711" s="19"/>
      <c r="L1711" s="21">
        <v>27.850000000000001</v>
      </c>
      <c r="M1711" s="22">
        <v>0</v>
      </c>
      <c r="N1711" s="21">
        <v>26.260000000000002</v>
      </c>
      <c r="O1711" s="22">
        <v>0</v>
      </c>
    </row>
    <row r="1712" ht="25.5">
      <c r="A1712" t="s">
        <v>1531</v>
      </c>
      <c r="B1712" s="19">
        <v>105916</v>
      </c>
      <c r="C1712" s="20" t="s">
        <v>1763</v>
      </c>
      <c r="D1712" s="19" t="s">
        <v>1535</v>
      </c>
      <c r="E1712" s="21">
        <f t="shared" si="77"/>
        <v>28.949999999999999</v>
      </c>
      <c r="F1712" s="22">
        <v>0.23000000000000001</v>
      </c>
      <c r="G1712" s="21">
        <f t="shared" si="78"/>
        <v>27.359999999999999</v>
      </c>
      <c r="H1712" s="22">
        <v>0.23000000000000001</v>
      </c>
      <c r="I1712" s="23" t="str">
        <f t="shared" si="79"/>
        <v xml:space="preserve">COM VALOR</v>
      </c>
      <c r="J1712" s="19"/>
      <c r="L1712" s="21">
        <v>28.949999999999999</v>
      </c>
      <c r="M1712" s="22">
        <v>0</v>
      </c>
      <c r="N1712" s="21">
        <v>27.359999999999999</v>
      </c>
      <c r="O1712" s="22">
        <v>0</v>
      </c>
    </row>
    <row r="1713" ht="51">
      <c r="A1713" t="s">
        <v>1531</v>
      </c>
      <c r="B1713" s="19">
        <v>103794</v>
      </c>
      <c r="C1713" s="20" t="s">
        <v>1764</v>
      </c>
      <c r="D1713" s="19" t="s">
        <v>1533</v>
      </c>
      <c r="E1713" s="21" t="str">
        <f t="shared" si="77"/>
        <v>VERIFICAR</v>
      </c>
      <c r="F1713" s="22">
        <v>0.20999999999999999</v>
      </c>
      <c r="G1713" s="21" t="str">
        <f t="shared" si="78"/>
        <v>VERIFICAR</v>
      </c>
      <c r="H1713" s="22">
        <v>0.20999999999999999</v>
      </c>
      <c r="I1713" s="23" t="str">
        <f t="shared" si="79"/>
        <v xml:space="preserve">COM VALOR</v>
      </c>
      <c r="J1713" s="19"/>
      <c r="L1713" s="21">
        <v>0</v>
      </c>
      <c r="M1713" s="22"/>
      <c r="N1713" s="21">
        <v>0</v>
      </c>
      <c r="O1713" s="22"/>
    </row>
    <row r="1714" ht="51">
      <c r="A1714" t="s">
        <v>1531</v>
      </c>
      <c r="B1714" s="19">
        <v>103793</v>
      </c>
      <c r="C1714" s="20" t="s">
        <v>1765</v>
      </c>
      <c r="D1714" s="19" t="s">
        <v>1535</v>
      </c>
      <c r="E1714" s="21" t="str">
        <f t="shared" si="77"/>
        <v>VERIFICAR</v>
      </c>
      <c r="F1714" s="22">
        <v>0</v>
      </c>
      <c r="G1714" s="21" t="str">
        <f t="shared" si="78"/>
        <v>VERIFICAR</v>
      </c>
      <c r="H1714" s="22">
        <v>0</v>
      </c>
      <c r="I1714" s="23" t="str">
        <f t="shared" si="79"/>
        <v xml:space="preserve">COM VALOR</v>
      </c>
      <c r="J1714" s="19"/>
      <c r="L1714" s="21">
        <v>0</v>
      </c>
      <c r="M1714" s="22"/>
      <c r="N1714" s="21">
        <v>0</v>
      </c>
      <c r="O1714" s="22"/>
    </row>
    <row r="1715" ht="38.25">
      <c r="A1715" t="s">
        <v>1531</v>
      </c>
      <c r="B1715" s="19">
        <v>96156</v>
      </c>
      <c r="C1715" s="20" t="s">
        <v>1766</v>
      </c>
      <c r="D1715" s="19" t="s">
        <v>1533</v>
      </c>
      <c r="E1715" s="21">
        <f t="shared" si="77"/>
        <v>70.409999999999997</v>
      </c>
      <c r="F1715" s="22">
        <v>0</v>
      </c>
      <c r="G1715" s="21">
        <f t="shared" si="78"/>
        <v>68.519999999999996</v>
      </c>
      <c r="H1715" s="22">
        <v>0</v>
      </c>
      <c r="I1715" s="23" t="str">
        <f t="shared" si="79"/>
        <v xml:space="preserve">COM VALOR</v>
      </c>
      <c r="J1715" s="19"/>
      <c r="L1715" s="21">
        <v>70.409999999999997</v>
      </c>
      <c r="M1715" s="22">
        <v>7.0000000000000007e-002</v>
      </c>
      <c r="N1715" s="21">
        <v>68.519999999999996</v>
      </c>
      <c r="O1715" s="22">
        <v>7.0000000000000007e-002</v>
      </c>
    </row>
    <row r="1716" ht="38.25">
      <c r="A1716" t="s">
        <v>1531</v>
      </c>
      <c r="B1716" s="19">
        <v>96158</v>
      </c>
      <c r="C1716" s="20" t="s">
        <v>1767</v>
      </c>
      <c r="D1716" s="19" t="s">
        <v>1535</v>
      </c>
      <c r="E1716" s="21">
        <f t="shared" si="77"/>
        <v>156.81999999999999</v>
      </c>
      <c r="F1716" s="22">
        <v>0</v>
      </c>
      <c r="G1716" s="21">
        <f t="shared" si="78"/>
        <v>154.93000000000001</v>
      </c>
      <c r="H1716" s="22">
        <v>0</v>
      </c>
      <c r="I1716" s="23" t="str">
        <f t="shared" si="79"/>
        <v xml:space="preserve">COM VALOR</v>
      </c>
      <c r="J1716" s="19"/>
      <c r="L1716" s="21">
        <v>156.81999999999999</v>
      </c>
      <c r="M1716" s="22">
        <v>5.9999999999999998e-002</v>
      </c>
      <c r="N1716" s="21">
        <v>154.93000000000001</v>
      </c>
      <c r="O1716" s="22">
        <v>5.9999999999999998e-002</v>
      </c>
    </row>
    <row r="1717" ht="38.25">
      <c r="A1717" t="s">
        <v>1531</v>
      </c>
      <c r="B1717" s="19">
        <v>90693</v>
      </c>
      <c r="C1717" s="20" t="s">
        <v>1768</v>
      </c>
      <c r="D1717" s="19" t="s">
        <v>1533</v>
      </c>
      <c r="E1717" s="21">
        <f t="shared" si="77"/>
        <v>65.670000000000002</v>
      </c>
      <c r="F1717" s="22">
        <v>0</v>
      </c>
      <c r="G1717" s="21">
        <f t="shared" si="78"/>
        <v>63.780000000000001</v>
      </c>
      <c r="H1717" s="22">
        <v>0</v>
      </c>
      <c r="I1717" s="23" t="str">
        <f t="shared" si="79"/>
        <v xml:space="preserve">COM VALOR</v>
      </c>
      <c r="J1717" s="19"/>
      <c r="L1717" s="21">
        <v>65.670000000000002</v>
      </c>
      <c r="M1717" s="22">
        <v>0</v>
      </c>
      <c r="N1717" s="21">
        <v>63.780000000000001</v>
      </c>
      <c r="O1717" s="22">
        <v>0</v>
      </c>
    </row>
    <row r="1718" ht="38.25">
      <c r="A1718" t="s">
        <v>1531</v>
      </c>
      <c r="B1718" s="19">
        <v>90692</v>
      </c>
      <c r="C1718" s="20" t="s">
        <v>1769</v>
      </c>
      <c r="D1718" s="19" t="s">
        <v>1535</v>
      </c>
      <c r="E1718" s="21">
        <f t="shared" si="77"/>
        <v>147.38999999999999</v>
      </c>
      <c r="F1718" s="22">
        <v>0</v>
      </c>
      <c r="G1718" s="21">
        <f t="shared" si="78"/>
        <v>145.5</v>
      </c>
      <c r="H1718" s="22">
        <v>0</v>
      </c>
      <c r="I1718" s="23" t="str">
        <f t="shared" si="79"/>
        <v xml:space="preserve">COM VALOR</v>
      </c>
      <c r="J1718" s="19"/>
      <c r="L1718" s="21">
        <v>147.38999999999999</v>
      </c>
      <c r="M1718" s="22">
        <v>0</v>
      </c>
      <c r="N1718" s="21">
        <v>145.5</v>
      </c>
      <c r="O1718" s="22">
        <v>0</v>
      </c>
    </row>
    <row r="1719" ht="25.5">
      <c r="A1719" t="s">
        <v>1531</v>
      </c>
      <c r="B1719" s="19">
        <v>96246</v>
      </c>
      <c r="C1719" s="20" t="s">
        <v>1770</v>
      </c>
      <c r="D1719" s="19" t="s">
        <v>1533</v>
      </c>
      <c r="E1719" s="21">
        <f t="shared" si="77"/>
        <v>73.260000000000005</v>
      </c>
      <c r="F1719" s="22">
        <v>0</v>
      </c>
      <c r="G1719" s="21">
        <f t="shared" si="78"/>
        <v>71.129999999999995</v>
      </c>
      <c r="H1719" s="22">
        <v>0</v>
      </c>
      <c r="I1719" s="23" t="str">
        <f t="shared" si="79"/>
        <v xml:space="preserve">COM VALOR</v>
      </c>
      <c r="J1719" s="19"/>
      <c r="L1719" s="21">
        <v>73.260000000000005</v>
      </c>
      <c r="M1719" s="22">
        <v>0</v>
      </c>
      <c r="N1719" s="21">
        <v>71.129999999999995</v>
      </c>
      <c r="O1719" s="22">
        <v>0</v>
      </c>
    </row>
    <row r="1720" ht="25.5">
      <c r="A1720" t="s">
        <v>1531</v>
      </c>
      <c r="B1720" s="19">
        <v>96245</v>
      </c>
      <c r="C1720" s="20" t="s">
        <v>1771</v>
      </c>
      <c r="D1720" s="19" t="s">
        <v>1535</v>
      </c>
      <c r="E1720" s="21">
        <f t="shared" si="77"/>
        <v>131.78999999999999</v>
      </c>
      <c r="F1720" s="22">
        <v>0</v>
      </c>
      <c r="G1720" s="21">
        <f t="shared" si="78"/>
        <v>129.66</v>
      </c>
      <c r="H1720" s="22">
        <v>0</v>
      </c>
      <c r="I1720" s="23" t="str">
        <f t="shared" si="79"/>
        <v xml:space="preserve">COM VALOR</v>
      </c>
      <c r="J1720" s="19"/>
      <c r="L1720" s="21">
        <v>131.78999999999999</v>
      </c>
      <c r="M1720" s="22">
        <v>0</v>
      </c>
      <c r="N1720" s="21">
        <v>129.66</v>
      </c>
      <c r="O1720" s="22">
        <v>0</v>
      </c>
    </row>
    <row r="1721" ht="38.25">
      <c r="A1721" t="s">
        <v>1531</v>
      </c>
      <c r="B1721" s="19">
        <v>88404</v>
      </c>
      <c r="C1721" s="20" t="s">
        <v>1772</v>
      </c>
      <c r="D1721" s="19" t="s">
        <v>1533</v>
      </c>
      <c r="E1721" s="21">
        <f t="shared" si="77"/>
        <v>0.97999999999999998</v>
      </c>
      <c r="F1721" s="22">
        <v>0</v>
      </c>
      <c r="G1721" s="21">
        <f t="shared" si="78"/>
        <v>0.97999999999999998</v>
      </c>
      <c r="H1721" s="22">
        <v>0</v>
      </c>
      <c r="I1721" s="23" t="str">
        <f t="shared" si="79"/>
        <v xml:space="preserve">COM VALOR</v>
      </c>
      <c r="J1721" s="19"/>
      <c r="L1721" s="21">
        <v>0.97999999999999998</v>
      </c>
      <c r="M1721" s="22">
        <v>0</v>
      </c>
      <c r="N1721" s="21">
        <v>0.97999999999999998</v>
      </c>
      <c r="O1721" s="22">
        <v>0</v>
      </c>
    </row>
    <row r="1722" ht="38.25">
      <c r="A1722" t="s">
        <v>1531</v>
      </c>
      <c r="B1722" s="19">
        <v>88399</v>
      </c>
      <c r="C1722" s="20" t="s">
        <v>1773</v>
      </c>
      <c r="D1722" s="19" t="s">
        <v>1535</v>
      </c>
      <c r="E1722" s="21">
        <f t="shared" si="77"/>
        <v>3.9700000000000002</v>
      </c>
      <c r="F1722" s="22">
        <v>0</v>
      </c>
      <c r="G1722" s="21">
        <f t="shared" si="78"/>
        <v>3.9700000000000002</v>
      </c>
      <c r="H1722" s="22">
        <v>0</v>
      </c>
      <c r="I1722" s="23" t="str">
        <f t="shared" si="79"/>
        <v xml:space="preserve">COM VALOR</v>
      </c>
      <c r="J1722" s="19"/>
      <c r="L1722" s="21">
        <v>3.9700000000000002</v>
      </c>
      <c r="M1722" s="22">
        <v>0</v>
      </c>
      <c r="N1722" s="21">
        <v>3.9700000000000002</v>
      </c>
      <c r="O1722" s="22">
        <v>0</v>
      </c>
    </row>
    <row r="1723" ht="38.25">
      <c r="A1723" t="s">
        <v>1531</v>
      </c>
      <c r="B1723" s="19">
        <v>88392</v>
      </c>
      <c r="C1723" s="20" t="s">
        <v>1774</v>
      </c>
      <c r="D1723" s="19" t="s">
        <v>1533</v>
      </c>
      <c r="E1723" s="21">
        <f t="shared" si="77"/>
        <v>1.03</v>
      </c>
      <c r="F1723" s="22">
        <v>0</v>
      </c>
      <c r="G1723" s="21">
        <f t="shared" si="78"/>
        <v>1.03</v>
      </c>
      <c r="H1723" s="22">
        <v>0</v>
      </c>
      <c r="I1723" s="23" t="str">
        <f t="shared" si="79"/>
        <v xml:space="preserve">COM VALOR</v>
      </c>
      <c r="J1723" s="19"/>
      <c r="L1723" s="21">
        <v>1.03</v>
      </c>
      <c r="M1723" s="22">
        <v>0</v>
      </c>
      <c r="N1723" s="21">
        <v>1.03</v>
      </c>
      <c r="O1723" s="22">
        <v>0</v>
      </c>
    </row>
    <row r="1724" ht="38.25">
      <c r="A1724" t="s">
        <v>1531</v>
      </c>
      <c r="B1724" s="19">
        <v>88386</v>
      </c>
      <c r="C1724" s="20" t="s">
        <v>1775</v>
      </c>
      <c r="D1724" s="19" t="s">
        <v>1535</v>
      </c>
      <c r="E1724" s="21">
        <f t="shared" si="77"/>
        <v>5.4800000000000004</v>
      </c>
      <c r="F1724" s="22">
        <v>0</v>
      </c>
      <c r="G1724" s="21">
        <f t="shared" si="78"/>
        <v>5.4800000000000004</v>
      </c>
      <c r="H1724" s="22">
        <v>0</v>
      </c>
      <c r="I1724" s="23" t="str">
        <f t="shared" si="79"/>
        <v xml:space="preserve">COM VALOR</v>
      </c>
      <c r="J1724" s="19"/>
      <c r="L1724" s="21">
        <v>5.4800000000000004</v>
      </c>
      <c r="M1724" s="22">
        <v>0</v>
      </c>
      <c r="N1724" s="21">
        <v>5.4800000000000004</v>
      </c>
      <c r="O1724" s="22">
        <v>0</v>
      </c>
    </row>
    <row r="1725" ht="38.25">
      <c r="A1725" t="s">
        <v>1531</v>
      </c>
      <c r="B1725" s="19">
        <v>88398</v>
      </c>
      <c r="C1725" s="20" t="s">
        <v>1776</v>
      </c>
      <c r="D1725" s="19" t="s">
        <v>1533</v>
      </c>
      <c r="E1725" s="21">
        <f t="shared" si="77"/>
        <v>1.23</v>
      </c>
      <c r="F1725" s="22">
        <v>0</v>
      </c>
      <c r="G1725" s="21">
        <f t="shared" si="78"/>
        <v>1.23</v>
      </c>
      <c r="H1725" s="22">
        <v>0</v>
      </c>
      <c r="I1725" s="23" t="str">
        <f t="shared" si="79"/>
        <v xml:space="preserve">COM VALOR</v>
      </c>
      <c r="J1725" s="19"/>
      <c r="L1725" s="21">
        <v>1.23</v>
      </c>
      <c r="M1725" s="22">
        <v>0</v>
      </c>
      <c r="N1725" s="21">
        <v>1.23</v>
      </c>
      <c r="O1725" s="22">
        <v>0</v>
      </c>
    </row>
    <row r="1726" ht="38.25">
      <c r="A1726" t="s">
        <v>1531</v>
      </c>
      <c r="B1726" s="19">
        <v>88393</v>
      </c>
      <c r="C1726" s="20" t="s">
        <v>1777</v>
      </c>
      <c r="D1726" s="19" t="s">
        <v>1535</v>
      </c>
      <c r="E1726" s="21">
        <f t="shared" si="77"/>
        <v>7.6200000000000001</v>
      </c>
      <c r="F1726" s="22">
        <v>0</v>
      </c>
      <c r="G1726" s="21">
        <f t="shared" si="78"/>
        <v>7.6200000000000001</v>
      </c>
      <c r="H1726" s="22">
        <v>0</v>
      </c>
      <c r="I1726" s="23" t="str">
        <f t="shared" si="79"/>
        <v xml:space="preserve">COM VALOR</v>
      </c>
      <c r="J1726" s="19"/>
      <c r="L1726" s="21">
        <v>7.6200000000000001</v>
      </c>
      <c r="M1726" s="22">
        <v>0</v>
      </c>
      <c r="N1726" s="21">
        <v>7.6200000000000001</v>
      </c>
      <c r="O1726" s="22">
        <v>0</v>
      </c>
    </row>
    <row r="1727" ht="38.25">
      <c r="A1727" t="s">
        <v>1531</v>
      </c>
      <c r="B1727" s="19">
        <v>90638</v>
      </c>
      <c r="C1727" s="20" t="s">
        <v>1778</v>
      </c>
      <c r="D1727" s="19" t="s">
        <v>1533</v>
      </c>
      <c r="E1727" s="21">
        <f t="shared" si="77"/>
        <v>4.9199999999999999</v>
      </c>
      <c r="F1727" s="22">
        <v>0</v>
      </c>
      <c r="G1727" s="21">
        <f t="shared" si="78"/>
        <v>4.9199999999999999</v>
      </c>
      <c r="H1727" s="22">
        <v>0</v>
      </c>
      <c r="I1727" s="23" t="str">
        <f t="shared" si="79"/>
        <v xml:space="preserve">COM VALOR</v>
      </c>
      <c r="J1727" s="19"/>
      <c r="L1727" s="21">
        <v>4.9199999999999999</v>
      </c>
      <c r="M1727" s="22">
        <v>0</v>
      </c>
      <c r="N1727" s="21">
        <v>4.9199999999999999</v>
      </c>
      <c r="O1727" s="22">
        <v>0</v>
      </c>
    </row>
    <row r="1728" ht="38.25">
      <c r="A1728" t="s">
        <v>1531</v>
      </c>
      <c r="B1728" s="19">
        <v>90637</v>
      </c>
      <c r="C1728" s="20" t="s">
        <v>1779</v>
      </c>
      <c r="D1728" s="19" t="s">
        <v>1535</v>
      </c>
      <c r="E1728" s="21">
        <f t="shared" si="77"/>
        <v>16.370000000000001</v>
      </c>
      <c r="F1728" s="22">
        <v>0</v>
      </c>
      <c r="G1728" s="21">
        <f t="shared" si="78"/>
        <v>16.370000000000001</v>
      </c>
      <c r="H1728" s="22">
        <v>0</v>
      </c>
      <c r="I1728" s="23" t="str">
        <f t="shared" si="79"/>
        <v xml:space="preserve">COM VALOR</v>
      </c>
      <c r="J1728" s="19"/>
      <c r="L1728" s="21">
        <v>16.370000000000001</v>
      </c>
      <c r="M1728" s="22">
        <v>0</v>
      </c>
      <c r="N1728" s="21">
        <v>16.370000000000001</v>
      </c>
      <c r="O1728" s="22">
        <v>0</v>
      </c>
    </row>
    <row r="1729" ht="38.25">
      <c r="A1729" t="s">
        <v>1531</v>
      </c>
      <c r="B1729" s="19">
        <v>103243</v>
      </c>
      <c r="C1729" s="20" t="s">
        <v>1780</v>
      </c>
      <c r="D1729" s="19" t="s">
        <v>1533</v>
      </c>
      <c r="E1729" s="21" t="str">
        <f t="shared" si="77"/>
        <v>VERIFICAR</v>
      </c>
      <c r="F1729" s="22">
        <v>0</v>
      </c>
      <c r="G1729" s="21" t="str">
        <f t="shared" si="78"/>
        <v>VERIFICAR</v>
      </c>
      <c r="H1729" s="22">
        <v>0</v>
      </c>
      <c r="I1729" s="23" t="str">
        <f t="shared" si="79"/>
        <v xml:space="preserve">COM VALOR</v>
      </c>
      <c r="J1729" s="19"/>
      <c r="L1729" s="21">
        <v>0</v>
      </c>
      <c r="M1729" s="22"/>
      <c r="N1729" s="21">
        <v>0</v>
      </c>
      <c r="O1729" s="22"/>
    </row>
    <row r="1730" ht="38.25">
      <c r="A1730" t="s">
        <v>1531</v>
      </c>
      <c r="B1730" s="19">
        <v>103242</v>
      </c>
      <c r="C1730" s="20" t="s">
        <v>1781</v>
      </c>
      <c r="D1730" s="19" t="s">
        <v>1535</v>
      </c>
      <c r="E1730" s="21" t="str">
        <f t="shared" si="77"/>
        <v>VERIFICAR</v>
      </c>
      <c r="F1730" s="22">
        <v>0</v>
      </c>
      <c r="G1730" s="21" t="str">
        <f t="shared" si="78"/>
        <v>VERIFICAR</v>
      </c>
      <c r="H1730" s="22">
        <v>0</v>
      </c>
      <c r="I1730" s="23" t="str">
        <f t="shared" si="79"/>
        <v xml:space="preserve">COM VALOR</v>
      </c>
      <c r="J1730" s="19"/>
      <c r="L1730" s="21">
        <v>0</v>
      </c>
      <c r="M1730" s="22"/>
      <c r="N1730" s="21">
        <v>0</v>
      </c>
      <c r="O1730" s="22"/>
    </row>
    <row r="1731" ht="38.25">
      <c r="A1731" t="s">
        <v>1531</v>
      </c>
      <c r="B1731" s="19">
        <v>5806</v>
      </c>
      <c r="C1731" s="20" t="s">
        <v>1782</v>
      </c>
      <c r="D1731" s="19" t="s">
        <v>1533</v>
      </c>
      <c r="E1731" s="21">
        <f t="shared" si="77"/>
        <v>0.26000000000000001</v>
      </c>
      <c r="F1731" s="22">
        <v>0</v>
      </c>
      <c r="G1731" s="21">
        <f t="shared" si="78"/>
        <v>0.26000000000000001</v>
      </c>
      <c r="H1731" s="22">
        <v>0</v>
      </c>
      <c r="I1731" s="23" t="str">
        <f t="shared" si="79"/>
        <v xml:space="preserve">COM VALOR</v>
      </c>
      <c r="J1731" s="19"/>
      <c r="L1731" s="21">
        <v>0.26000000000000001</v>
      </c>
      <c r="M1731" s="22">
        <v>0</v>
      </c>
      <c r="N1731" s="21">
        <v>0.26000000000000001</v>
      </c>
      <c r="O1731" s="22">
        <v>0</v>
      </c>
    </row>
    <row r="1732" ht="38.25">
      <c r="A1732" t="s">
        <v>1531</v>
      </c>
      <c r="B1732" s="19">
        <v>73536</v>
      </c>
      <c r="C1732" s="20" t="s">
        <v>1783</v>
      </c>
      <c r="D1732" s="19" t="s">
        <v>1535</v>
      </c>
      <c r="E1732" s="21">
        <f t="shared" si="77"/>
        <v>22.16</v>
      </c>
      <c r="F1732" s="22">
        <v>0</v>
      </c>
      <c r="G1732" s="21">
        <f t="shared" si="78"/>
        <v>22.16</v>
      </c>
      <c r="H1732" s="22">
        <v>0</v>
      </c>
      <c r="I1732" s="23" t="str">
        <f t="shared" si="79"/>
        <v xml:space="preserve">COM VALOR</v>
      </c>
      <c r="J1732" s="19"/>
      <c r="L1732" s="21">
        <v>22.16</v>
      </c>
      <c r="M1732" s="22">
        <v>0</v>
      </c>
      <c r="N1732" s="21">
        <v>22.16</v>
      </c>
      <c r="O1732" s="22">
        <v>0</v>
      </c>
    </row>
    <row r="1733" ht="38.25">
      <c r="A1733" t="s">
        <v>1531</v>
      </c>
      <c r="B1733" s="19">
        <v>7043</v>
      </c>
      <c r="C1733" s="20" t="s">
        <v>1784</v>
      </c>
      <c r="D1733" s="19" t="s">
        <v>1533</v>
      </c>
      <c r="E1733" s="21">
        <f t="shared" si="77"/>
        <v>0.33000000000000002</v>
      </c>
      <c r="F1733" s="22">
        <v>0</v>
      </c>
      <c r="G1733" s="21">
        <f t="shared" si="78"/>
        <v>0.33000000000000002</v>
      </c>
      <c r="H1733" s="22">
        <v>0</v>
      </c>
      <c r="I1733" s="23" t="str">
        <f t="shared" si="79"/>
        <v xml:space="preserve">COM VALOR</v>
      </c>
      <c r="J1733" s="19"/>
      <c r="L1733" s="21">
        <v>0.33000000000000002</v>
      </c>
      <c r="M1733" s="22">
        <v>0</v>
      </c>
      <c r="N1733" s="21">
        <v>0.33000000000000002</v>
      </c>
      <c r="O1733" s="22">
        <v>0</v>
      </c>
    </row>
    <row r="1734" ht="38.25">
      <c r="A1734" t="s">
        <v>1531</v>
      </c>
      <c r="B1734" s="19">
        <v>7042</v>
      </c>
      <c r="C1734" s="20" t="s">
        <v>1785</v>
      </c>
      <c r="D1734" s="19" t="s">
        <v>1535</v>
      </c>
      <c r="E1734" s="21">
        <f t="shared" si="77"/>
        <v>26.190000000000001</v>
      </c>
      <c r="F1734" s="22">
        <v>0</v>
      </c>
      <c r="G1734" s="21">
        <f t="shared" si="78"/>
        <v>26.190000000000001</v>
      </c>
      <c r="H1734" s="22">
        <v>0</v>
      </c>
      <c r="I1734" s="23" t="str">
        <f t="shared" si="79"/>
        <v xml:space="preserve">COM VALOR</v>
      </c>
      <c r="J1734" s="19"/>
      <c r="L1734" s="21">
        <v>26.190000000000001</v>
      </c>
      <c r="M1734" s="22">
        <v>0</v>
      </c>
      <c r="N1734" s="21">
        <v>26.190000000000001</v>
      </c>
      <c r="O1734" s="22">
        <v>0</v>
      </c>
    </row>
    <row r="1735" ht="38.25">
      <c r="A1735" t="s">
        <v>1531</v>
      </c>
      <c r="B1735" s="19">
        <v>5934</v>
      </c>
      <c r="C1735" s="20" t="s">
        <v>1786</v>
      </c>
      <c r="D1735" s="19" t="s">
        <v>1533</v>
      </c>
      <c r="E1735" s="21">
        <f t="shared" si="77"/>
        <v>114.31</v>
      </c>
      <c r="F1735" s="22">
        <v>0</v>
      </c>
      <c r="G1735" s="21">
        <f t="shared" si="78"/>
        <v>111.53</v>
      </c>
      <c r="H1735" s="22">
        <v>0</v>
      </c>
      <c r="I1735" s="23" t="str">
        <f t="shared" si="79"/>
        <v xml:space="preserve">COM VALOR</v>
      </c>
      <c r="J1735" s="19"/>
      <c r="L1735" s="21">
        <v>114.31</v>
      </c>
      <c r="M1735" s="22">
        <v>0</v>
      </c>
      <c r="N1735" s="21">
        <v>111.53</v>
      </c>
      <c r="O1735" s="22">
        <v>0</v>
      </c>
    </row>
    <row r="1736" ht="38.25">
      <c r="A1736" t="s">
        <v>1531</v>
      </c>
      <c r="B1736" s="19">
        <v>5932</v>
      </c>
      <c r="C1736" s="20" t="s">
        <v>1787</v>
      </c>
      <c r="D1736" s="19" t="s">
        <v>1535</v>
      </c>
      <c r="E1736" s="21">
        <f t="shared" si="77"/>
        <v>294.49000000000001</v>
      </c>
      <c r="F1736" s="22">
        <v>0</v>
      </c>
      <c r="G1736" s="21">
        <f t="shared" si="78"/>
        <v>291.70999999999998</v>
      </c>
      <c r="H1736" s="22">
        <v>0</v>
      </c>
      <c r="I1736" s="23" t="str">
        <f t="shared" si="79"/>
        <v xml:space="preserve">COM VALOR</v>
      </c>
      <c r="J1736" s="19"/>
      <c r="L1736" s="21">
        <v>294.49000000000001</v>
      </c>
      <c r="M1736" s="22">
        <v>0</v>
      </c>
      <c r="N1736" s="21">
        <v>291.70999999999998</v>
      </c>
      <c r="O1736" s="22">
        <v>0</v>
      </c>
    </row>
    <row r="1737" ht="25.5">
      <c r="A1737" t="s">
        <v>1531</v>
      </c>
      <c r="B1737" s="19">
        <v>96159</v>
      </c>
      <c r="C1737" s="20" t="s">
        <v>1788</v>
      </c>
      <c r="D1737" s="19" t="s">
        <v>1533</v>
      </c>
      <c r="E1737" s="21">
        <f t="shared" si="77"/>
        <v>104.84999999999999</v>
      </c>
      <c r="F1737" s="22">
        <v>0</v>
      </c>
      <c r="G1737" s="21">
        <f t="shared" si="78"/>
        <v>102.95999999999999</v>
      </c>
      <c r="H1737" s="22">
        <v>0</v>
      </c>
      <c r="I1737" s="23" t="str">
        <f t="shared" si="79"/>
        <v xml:space="preserve">COM VALOR</v>
      </c>
      <c r="J1737" s="19"/>
      <c r="L1737" s="21">
        <v>104.84999999999999</v>
      </c>
      <c r="M1737" s="22">
        <v>0.70999999999999996</v>
      </c>
      <c r="N1737" s="21">
        <v>102.95999999999999</v>
      </c>
      <c r="O1737" s="22">
        <v>0.71999999999999997</v>
      </c>
    </row>
    <row r="1738" ht="25.5">
      <c r="A1738" t="s">
        <v>1531</v>
      </c>
      <c r="B1738" s="19">
        <v>95133</v>
      </c>
      <c r="C1738" s="20" t="s">
        <v>1789</v>
      </c>
      <c r="D1738" s="19" t="s">
        <v>1535</v>
      </c>
      <c r="E1738" s="21">
        <f t="shared" si="77"/>
        <v>205.49000000000001</v>
      </c>
      <c r="F1738" s="22">
        <v>0</v>
      </c>
      <c r="G1738" s="21">
        <f t="shared" si="78"/>
        <v>203.59999999999999</v>
      </c>
      <c r="H1738" s="22">
        <v>0</v>
      </c>
      <c r="I1738" s="23" t="str">
        <f t="shared" si="79"/>
        <v xml:space="preserve">COM VALOR</v>
      </c>
      <c r="J1738" s="19"/>
      <c r="L1738" s="21">
        <v>205.49000000000001</v>
      </c>
      <c r="M1738" s="22">
        <v>0.67249999999999999</v>
      </c>
      <c r="N1738" s="21">
        <v>203.59999999999999</v>
      </c>
      <c r="O1738" s="22">
        <v>0.68000000000000005</v>
      </c>
    </row>
    <row r="1739" ht="38.25">
      <c r="A1739" t="s">
        <v>1531</v>
      </c>
      <c r="B1739" s="19">
        <v>102986</v>
      </c>
      <c r="C1739" s="20" t="s">
        <v>1790</v>
      </c>
      <c r="D1739" s="19" t="s">
        <v>1533</v>
      </c>
      <c r="E1739" s="21" t="str">
        <f t="shared" ref="E1739:E1802" si="80">IF(L1739=0,"VERIFICAR",L1739)</f>
        <v>VERIFICAR</v>
      </c>
      <c r="F1739" s="22">
        <v>0</v>
      </c>
      <c r="G1739" s="21" t="str">
        <f t="shared" ref="G1739:G1802" si="81">IF(N1739=0,"VERIFICAR",N1739)</f>
        <v>VERIFICAR</v>
      </c>
      <c r="H1739" s="22">
        <v>0</v>
      </c>
      <c r="I1739" s="23" t="str">
        <f t="shared" ref="I1739:I1802" si="82">IF(OR(E1739=0,G1739=0),"SEM VALOR","COM VALOR")</f>
        <v xml:space="preserve">COM VALOR</v>
      </c>
      <c r="J1739" s="19"/>
      <c r="L1739" s="21">
        <v>0</v>
      </c>
      <c r="M1739" s="22"/>
      <c r="N1739" s="21">
        <v>0</v>
      </c>
      <c r="O1739" s="22"/>
    </row>
    <row r="1740" ht="38.25">
      <c r="A1740" t="s">
        <v>1531</v>
      </c>
      <c r="B1740" s="19">
        <v>102987</v>
      </c>
      <c r="C1740" s="20" t="s">
        <v>1791</v>
      </c>
      <c r="D1740" s="19" t="s">
        <v>1535</v>
      </c>
      <c r="E1740" s="21" t="str">
        <f t="shared" si="80"/>
        <v>VERIFICAR</v>
      </c>
      <c r="F1740" s="22"/>
      <c r="G1740" s="21" t="str">
        <f t="shared" si="81"/>
        <v>VERIFICAR</v>
      </c>
      <c r="H1740" s="22"/>
      <c r="I1740" s="23" t="str">
        <f t="shared" si="82"/>
        <v xml:space="preserve">COM VALOR</v>
      </c>
      <c r="J1740" s="19"/>
      <c r="L1740" s="21">
        <v>0</v>
      </c>
      <c r="M1740" s="22"/>
      <c r="N1740" s="21">
        <v>0</v>
      </c>
      <c r="O1740" s="22"/>
    </row>
    <row r="1741" ht="25.5">
      <c r="A1741" t="s">
        <v>1531</v>
      </c>
      <c r="B1741" s="19">
        <v>92961</v>
      </c>
      <c r="C1741" s="20" t="s">
        <v>1792</v>
      </c>
      <c r="D1741" s="19" t="s">
        <v>1533</v>
      </c>
      <c r="E1741" s="21">
        <f t="shared" si="80"/>
        <v>5.2199999999999998</v>
      </c>
      <c r="F1741" s="22"/>
      <c r="G1741" s="21">
        <f t="shared" si="81"/>
        <v>5.2199999999999998</v>
      </c>
      <c r="H1741" s="22"/>
      <c r="I1741" s="23" t="str">
        <f t="shared" si="82"/>
        <v xml:space="preserve">COM VALOR</v>
      </c>
      <c r="J1741" s="19"/>
      <c r="L1741" s="21">
        <v>5.2199999999999998</v>
      </c>
      <c r="M1741" s="22">
        <v>1</v>
      </c>
      <c r="N1741" s="21">
        <v>5.2199999999999998</v>
      </c>
      <c r="O1741" s="22">
        <v>1</v>
      </c>
    </row>
    <row r="1742" ht="25.5">
      <c r="A1742" t="s">
        <v>1531</v>
      </c>
      <c r="B1742" s="19">
        <v>92960</v>
      </c>
      <c r="C1742" s="20" t="s">
        <v>1793</v>
      </c>
      <c r="D1742" s="19" t="s">
        <v>1535</v>
      </c>
      <c r="E1742" s="21">
        <f t="shared" si="80"/>
        <v>20.379999999999999</v>
      </c>
      <c r="F1742" s="22">
        <v>1</v>
      </c>
      <c r="G1742" s="21">
        <f t="shared" si="81"/>
        <v>20.379999999999999</v>
      </c>
      <c r="H1742" s="22">
        <v>1</v>
      </c>
      <c r="I1742" s="23" t="str">
        <f t="shared" si="82"/>
        <v xml:space="preserve">COM VALOR</v>
      </c>
      <c r="J1742" s="19"/>
      <c r="L1742" s="21">
        <v>20.379999999999999</v>
      </c>
      <c r="M1742" s="22">
        <v>0.47999999999999998</v>
      </c>
      <c r="N1742" s="21">
        <v>20.379999999999999</v>
      </c>
      <c r="O1742" s="22">
        <v>0.47999999999999998</v>
      </c>
    </row>
    <row r="1743" ht="38.25">
      <c r="A1743" t="s">
        <v>1531</v>
      </c>
      <c r="B1743" s="19">
        <v>102863</v>
      </c>
      <c r="C1743" s="20" t="s">
        <v>1794</v>
      </c>
      <c r="D1743" s="19" t="s">
        <v>1533</v>
      </c>
      <c r="E1743" s="21" t="str">
        <f t="shared" si="80"/>
        <v>VERIFICAR</v>
      </c>
      <c r="F1743" s="22">
        <v>0.28999999999999998</v>
      </c>
      <c r="G1743" s="21" t="str">
        <f t="shared" si="81"/>
        <v>VERIFICAR</v>
      </c>
      <c r="H1743" s="22">
        <v>0.28999999999999998</v>
      </c>
      <c r="I1743" s="23" t="str">
        <f t="shared" si="82"/>
        <v xml:space="preserve">COM VALOR</v>
      </c>
      <c r="J1743" s="19"/>
      <c r="L1743" s="21">
        <v>0</v>
      </c>
      <c r="M1743" s="22"/>
      <c r="N1743" s="21">
        <v>0</v>
      </c>
      <c r="O1743" s="22"/>
    </row>
    <row r="1744" ht="38.25">
      <c r="A1744" t="s">
        <v>1531</v>
      </c>
      <c r="B1744" s="19">
        <v>102862</v>
      </c>
      <c r="C1744" s="20" t="s">
        <v>1795</v>
      </c>
      <c r="D1744" s="19" t="s">
        <v>1535</v>
      </c>
      <c r="E1744" s="21" t="str">
        <f t="shared" si="80"/>
        <v>VERIFICAR</v>
      </c>
      <c r="F1744" s="22">
        <v>0</v>
      </c>
      <c r="G1744" s="21" t="str">
        <f t="shared" si="81"/>
        <v>VERIFICAR</v>
      </c>
      <c r="H1744" s="22">
        <v>0</v>
      </c>
      <c r="I1744" s="23" t="str">
        <f t="shared" si="82"/>
        <v xml:space="preserve">COM VALOR</v>
      </c>
      <c r="J1744" s="19"/>
      <c r="L1744" s="21">
        <v>0</v>
      </c>
      <c r="M1744" s="22"/>
      <c r="N1744" s="21">
        <v>0</v>
      </c>
      <c r="O1744" s="22"/>
    </row>
    <row r="1745" ht="51">
      <c r="A1745" t="s">
        <v>1531</v>
      </c>
      <c r="B1745" s="19">
        <v>93409</v>
      </c>
      <c r="C1745" s="20" t="s">
        <v>1796</v>
      </c>
      <c r="D1745" s="19" t="s">
        <v>1533</v>
      </c>
      <c r="E1745" s="21">
        <f t="shared" si="80"/>
        <v>36.030000000000001</v>
      </c>
      <c r="F1745" s="22">
        <v>0</v>
      </c>
      <c r="G1745" s="21">
        <f t="shared" si="81"/>
        <v>34.460000000000001</v>
      </c>
      <c r="H1745" s="22">
        <v>0</v>
      </c>
      <c r="I1745" s="23" t="str">
        <f t="shared" si="82"/>
        <v xml:space="preserve">COM VALOR</v>
      </c>
      <c r="J1745" s="19"/>
      <c r="L1745" s="21">
        <v>36.030000000000001</v>
      </c>
      <c r="M1745" s="22">
        <v>0.27000000000000002</v>
      </c>
      <c r="N1745" s="21">
        <v>34.460000000000001</v>
      </c>
      <c r="O1745" s="22">
        <v>0.28000000000000003</v>
      </c>
    </row>
    <row r="1746" ht="51">
      <c r="A1746" t="s">
        <v>1531</v>
      </c>
      <c r="B1746" s="19">
        <v>93408</v>
      </c>
      <c r="C1746" s="20" t="s">
        <v>1797</v>
      </c>
      <c r="D1746" s="19" t="s">
        <v>1535</v>
      </c>
      <c r="E1746" s="21">
        <f t="shared" si="80"/>
        <v>98.829999999999998</v>
      </c>
      <c r="F1746" s="22">
        <v>0</v>
      </c>
      <c r="G1746" s="21">
        <f t="shared" si="81"/>
        <v>97.260000000000005</v>
      </c>
      <c r="H1746" s="22">
        <v>0</v>
      </c>
      <c r="I1746" s="23" t="str">
        <f t="shared" si="82"/>
        <v xml:space="preserve">COM VALOR</v>
      </c>
      <c r="J1746" s="19"/>
      <c r="L1746" s="21">
        <v>98.829999999999998</v>
      </c>
      <c r="M1746" s="22">
        <v>0.19</v>
      </c>
      <c r="N1746" s="21">
        <v>97.260000000000005</v>
      </c>
      <c r="O1746" s="22">
        <v>0.20000000000000001</v>
      </c>
    </row>
    <row r="1747" ht="25.5">
      <c r="A1747" t="s">
        <v>1531</v>
      </c>
      <c r="B1747" s="19">
        <v>102941</v>
      </c>
      <c r="C1747" s="20" t="s">
        <v>1798</v>
      </c>
      <c r="D1747" s="19" t="s">
        <v>1533</v>
      </c>
      <c r="E1747" s="21" t="str">
        <f t="shared" si="80"/>
        <v>VERIFICAR</v>
      </c>
      <c r="F1747" s="22">
        <v>0</v>
      </c>
      <c r="G1747" s="21" t="str">
        <f t="shared" si="81"/>
        <v>VERIFICAR</v>
      </c>
      <c r="H1747" s="22">
        <v>0</v>
      </c>
      <c r="I1747" s="23" t="str">
        <f t="shared" si="82"/>
        <v xml:space="preserve">COM VALOR</v>
      </c>
      <c r="J1747" s="19"/>
      <c r="L1747" s="21">
        <v>0</v>
      </c>
      <c r="M1747" s="22"/>
      <c r="N1747" s="21">
        <v>0</v>
      </c>
      <c r="O1747" s="22"/>
    </row>
    <row r="1748" ht="25.5">
      <c r="A1748" t="s">
        <v>1531</v>
      </c>
      <c r="B1748" s="19">
        <v>102940</v>
      </c>
      <c r="C1748" s="20" t="s">
        <v>1799</v>
      </c>
      <c r="D1748" s="19" t="s">
        <v>1535</v>
      </c>
      <c r="E1748" s="21" t="str">
        <f t="shared" si="80"/>
        <v>VERIFICAR</v>
      </c>
      <c r="F1748" s="22">
        <v>1</v>
      </c>
      <c r="G1748" s="21" t="str">
        <f t="shared" si="81"/>
        <v>VERIFICAR</v>
      </c>
      <c r="H1748" s="22">
        <v>1</v>
      </c>
      <c r="I1748" s="23" t="str">
        <f t="shared" si="82"/>
        <v xml:space="preserve">COM VALOR</v>
      </c>
      <c r="J1748" s="19"/>
      <c r="L1748" s="21">
        <v>0</v>
      </c>
      <c r="M1748" s="22"/>
      <c r="N1748" s="21">
        <v>0</v>
      </c>
      <c r="O1748" s="22"/>
    </row>
    <row r="1749" ht="38.25">
      <c r="A1749" t="s">
        <v>1531</v>
      </c>
      <c r="B1749" s="19">
        <v>103164</v>
      </c>
      <c r="C1749" s="20" t="s">
        <v>1800</v>
      </c>
      <c r="D1749" s="19" t="s">
        <v>1533</v>
      </c>
      <c r="E1749" s="21" t="str">
        <f t="shared" si="80"/>
        <v>VERIFICAR</v>
      </c>
      <c r="F1749" s="22">
        <v>0.52000000000000002</v>
      </c>
      <c r="G1749" s="21" t="str">
        <f t="shared" si="81"/>
        <v>VERIFICAR</v>
      </c>
      <c r="H1749" s="22">
        <v>0.52000000000000002</v>
      </c>
      <c r="I1749" s="23" t="str">
        <f t="shared" si="82"/>
        <v xml:space="preserve">COM VALOR</v>
      </c>
      <c r="J1749" s="19"/>
      <c r="L1749" s="21">
        <v>0</v>
      </c>
      <c r="M1749" s="22"/>
      <c r="N1749" s="21">
        <v>0</v>
      </c>
      <c r="O1749" s="22"/>
    </row>
    <row r="1750" ht="38.25">
      <c r="A1750" t="s">
        <v>1531</v>
      </c>
      <c r="B1750" s="19">
        <v>103163</v>
      </c>
      <c r="C1750" s="20" t="s">
        <v>1801</v>
      </c>
      <c r="D1750" s="19" t="s">
        <v>1535</v>
      </c>
      <c r="E1750" s="21" t="str">
        <f t="shared" si="80"/>
        <v>VERIFICAR</v>
      </c>
      <c r="F1750" s="22"/>
      <c r="G1750" s="21" t="str">
        <f t="shared" si="81"/>
        <v>VERIFICAR</v>
      </c>
      <c r="H1750" s="22"/>
      <c r="I1750" s="23" t="str">
        <f t="shared" si="82"/>
        <v xml:space="preserve">COM VALOR</v>
      </c>
      <c r="J1750" s="19"/>
      <c r="L1750" s="21">
        <v>0</v>
      </c>
      <c r="M1750" s="22"/>
      <c r="N1750" s="21">
        <v>0</v>
      </c>
      <c r="O1750" s="22"/>
    </row>
    <row r="1751" ht="38.25">
      <c r="A1751" t="s">
        <v>1531</v>
      </c>
      <c r="B1751" s="19">
        <v>103158</v>
      </c>
      <c r="C1751" s="20" t="s">
        <v>1802</v>
      </c>
      <c r="D1751" s="19" t="s">
        <v>1533</v>
      </c>
      <c r="E1751" s="21" t="str">
        <f t="shared" si="80"/>
        <v>VERIFICAR</v>
      </c>
      <c r="F1751" s="22"/>
      <c r="G1751" s="21" t="str">
        <f t="shared" si="81"/>
        <v>VERIFICAR</v>
      </c>
      <c r="H1751" s="22"/>
      <c r="I1751" s="23" t="str">
        <f t="shared" si="82"/>
        <v xml:space="preserve">COM VALOR</v>
      </c>
      <c r="J1751" s="19"/>
      <c r="L1751" s="21">
        <v>0</v>
      </c>
      <c r="M1751" s="22"/>
      <c r="N1751" s="21">
        <v>0</v>
      </c>
      <c r="O1751" s="22"/>
    </row>
    <row r="1752" ht="38.25">
      <c r="A1752" t="s">
        <v>1531</v>
      </c>
      <c r="B1752" s="19">
        <v>103157</v>
      </c>
      <c r="C1752" s="20" t="s">
        <v>1803</v>
      </c>
      <c r="D1752" s="19" t="s">
        <v>1535</v>
      </c>
      <c r="E1752" s="21" t="str">
        <f t="shared" si="80"/>
        <v>VERIFICAR</v>
      </c>
      <c r="F1752" s="22">
        <v>0</v>
      </c>
      <c r="G1752" s="21" t="str">
        <f t="shared" si="81"/>
        <v>VERIFICAR</v>
      </c>
      <c r="H1752" s="22">
        <v>0</v>
      </c>
      <c r="I1752" s="23" t="str">
        <f t="shared" si="82"/>
        <v xml:space="preserve">COM VALOR</v>
      </c>
      <c r="J1752" s="19"/>
      <c r="L1752" s="21">
        <v>0</v>
      </c>
      <c r="M1752" s="22"/>
      <c r="N1752" s="21">
        <v>0</v>
      </c>
      <c r="O1752" s="22"/>
    </row>
    <row r="1753" ht="38.25">
      <c r="A1753" t="s">
        <v>1531</v>
      </c>
      <c r="B1753" s="19">
        <v>103176</v>
      </c>
      <c r="C1753" s="20" t="s">
        <v>1804</v>
      </c>
      <c r="D1753" s="19" t="s">
        <v>1533</v>
      </c>
      <c r="E1753" s="21" t="str">
        <f t="shared" si="80"/>
        <v>VERIFICAR</v>
      </c>
      <c r="F1753" s="22">
        <v>0</v>
      </c>
      <c r="G1753" s="21" t="str">
        <f t="shared" si="81"/>
        <v>VERIFICAR</v>
      </c>
      <c r="H1753" s="22">
        <v>0</v>
      </c>
      <c r="I1753" s="23" t="str">
        <f t="shared" si="82"/>
        <v xml:space="preserve">COM VALOR</v>
      </c>
      <c r="J1753" s="19"/>
      <c r="L1753" s="21">
        <v>0</v>
      </c>
      <c r="M1753" s="22"/>
      <c r="N1753" s="21">
        <v>0</v>
      </c>
      <c r="O1753" s="22"/>
    </row>
    <row r="1754" ht="38.25">
      <c r="A1754" t="s">
        <v>1531</v>
      </c>
      <c r="B1754" s="19">
        <v>103175</v>
      </c>
      <c r="C1754" s="20" t="s">
        <v>1805</v>
      </c>
      <c r="D1754" s="19" t="s">
        <v>1535</v>
      </c>
      <c r="E1754" s="21" t="str">
        <f t="shared" si="80"/>
        <v>VERIFICAR</v>
      </c>
      <c r="F1754" s="22">
        <v>0</v>
      </c>
      <c r="G1754" s="21" t="str">
        <f t="shared" si="81"/>
        <v>VERIFICAR</v>
      </c>
      <c r="H1754" s="22">
        <v>0</v>
      </c>
      <c r="I1754" s="23" t="str">
        <f t="shared" si="82"/>
        <v xml:space="preserve">COM VALOR</v>
      </c>
      <c r="J1754" s="19"/>
      <c r="L1754" s="21">
        <v>0</v>
      </c>
      <c r="M1754" s="22"/>
      <c r="N1754" s="21">
        <v>0</v>
      </c>
      <c r="O1754" s="22"/>
    </row>
    <row r="1755" ht="38.25">
      <c r="A1755" t="s">
        <v>1531</v>
      </c>
      <c r="B1755" s="19">
        <v>103182</v>
      </c>
      <c r="C1755" s="20" t="s">
        <v>1806</v>
      </c>
      <c r="D1755" s="19" t="s">
        <v>1533</v>
      </c>
      <c r="E1755" s="21" t="str">
        <f t="shared" si="80"/>
        <v>VERIFICAR</v>
      </c>
      <c r="F1755" s="22">
        <v>0</v>
      </c>
      <c r="G1755" s="21" t="str">
        <f t="shared" si="81"/>
        <v>VERIFICAR</v>
      </c>
      <c r="H1755" s="22">
        <v>0</v>
      </c>
      <c r="I1755" s="23" t="str">
        <f t="shared" si="82"/>
        <v xml:space="preserve">COM VALOR</v>
      </c>
      <c r="J1755" s="19"/>
      <c r="L1755" s="21">
        <v>0</v>
      </c>
      <c r="M1755" s="22"/>
      <c r="N1755" s="21">
        <v>0</v>
      </c>
      <c r="O1755" s="22"/>
    </row>
    <row r="1756" ht="38.25">
      <c r="A1756" t="s">
        <v>1531</v>
      </c>
      <c r="B1756" s="19">
        <v>103181</v>
      </c>
      <c r="C1756" s="20" t="s">
        <v>1807</v>
      </c>
      <c r="D1756" s="19" t="s">
        <v>1535</v>
      </c>
      <c r="E1756" s="21" t="str">
        <f t="shared" si="80"/>
        <v>VERIFICAR</v>
      </c>
      <c r="F1756" s="22"/>
      <c r="G1756" s="21" t="str">
        <f t="shared" si="81"/>
        <v>VERIFICAR</v>
      </c>
      <c r="H1756" s="22"/>
      <c r="I1756" s="23" t="str">
        <f t="shared" si="82"/>
        <v xml:space="preserve">COM VALOR</v>
      </c>
      <c r="J1756" s="19"/>
      <c r="L1756" s="21">
        <v>0</v>
      </c>
      <c r="M1756" s="22"/>
      <c r="N1756" s="21">
        <v>0</v>
      </c>
      <c r="O1756" s="22"/>
    </row>
    <row r="1757" ht="38.25">
      <c r="A1757" t="s">
        <v>1531</v>
      </c>
      <c r="B1757" s="19">
        <v>103170</v>
      </c>
      <c r="C1757" s="20" t="s">
        <v>1808</v>
      </c>
      <c r="D1757" s="19" t="s">
        <v>1533</v>
      </c>
      <c r="E1757" s="21" t="str">
        <f t="shared" si="80"/>
        <v>VERIFICAR</v>
      </c>
      <c r="F1757" s="22"/>
      <c r="G1757" s="21" t="str">
        <f t="shared" si="81"/>
        <v>VERIFICAR</v>
      </c>
      <c r="H1757" s="22"/>
      <c r="I1757" s="23" t="str">
        <f t="shared" si="82"/>
        <v xml:space="preserve">COM VALOR</v>
      </c>
      <c r="J1757" s="19"/>
      <c r="L1757" s="21">
        <v>0</v>
      </c>
      <c r="M1757" s="22"/>
      <c r="N1757" s="21">
        <v>0</v>
      </c>
      <c r="O1757" s="22"/>
    </row>
    <row r="1758" ht="38.25">
      <c r="A1758" t="s">
        <v>1531</v>
      </c>
      <c r="B1758" s="19">
        <v>103169</v>
      </c>
      <c r="C1758" s="20" t="s">
        <v>1809</v>
      </c>
      <c r="D1758" s="19" t="s">
        <v>1535</v>
      </c>
      <c r="E1758" s="21" t="str">
        <f t="shared" si="80"/>
        <v>VERIFICAR</v>
      </c>
      <c r="F1758" s="22">
        <v>0.91000000000000003</v>
      </c>
      <c r="G1758" s="21" t="str">
        <f t="shared" si="81"/>
        <v>VERIFICAR</v>
      </c>
      <c r="H1758" s="22">
        <v>0.92000000000000004</v>
      </c>
      <c r="I1758" s="23" t="str">
        <f t="shared" si="82"/>
        <v xml:space="preserve">COM VALOR</v>
      </c>
      <c r="J1758" s="19"/>
      <c r="L1758" s="21">
        <v>0</v>
      </c>
      <c r="M1758" s="22"/>
      <c r="N1758" s="21">
        <v>0</v>
      </c>
      <c r="O1758" s="22"/>
    </row>
    <row r="1759" ht="25.5">
      <c r="A1759" t="s">
        <v>1531</v>
      </c>
      <c r="B1759" s="19">
        <v>102869</v>
      </c>
      <c r="C1759" s="20" t="s">
        <v>1810</v>
      </c>
      <c r="D1759" s="19" t="s">
        <v>1533</v>
      </c>
      <c r="E1759" s="21" t="str">
        <f t="shared" si="80"/>
        <v>VERIFICAR</v>
      </c>
      <c r="F1759" s="22">
        <v>0.63</v>
      </c>
      <c r="G1759" s="21" t="str">
        <f t="shared" si="81"/>
        <v>VERIFICAR</v>
      </c>
      <c r="H1759" s="22">
        <v>0.63</v>
      </c>
      <c r="I1759" s="23" t="str">
        <f t="shared" si="82"/>
        <v xml:space="preserve">COM VALOR</v>
      </c>
      <c r="J1759" s="19"/>
      <c r="L1759" s="21">
        <v>0</v>
      </c>
      <c r="M1759" s="22"/>
      <c r="N1759" s="21">
        <v>0</v>
      </c>
      <c r="O1759" s="22"/>
    </row>
    <row r="1760" ht="25.5">
      <c r="A1760" t="s">
        <v>1531</v>
      </c>
      <c r="B1760" s="19">
        <v>102868</v>
      </c>
      <c r="C1760" s="20" t="s">
        <v>1811</v>
      </c>
      <c r="D1760" s="19" t="s">
        <v>1535</v>
      </c>
      <c r="E1760" s="21" t="str">
        <f t="shared" si="80"/>
        <v>VERIFICAR</v>
      </c>
      <c r="F1760" s="22"/>
      <c r="G1760" s="21" t="str">
        <f t="shared" si="81"/>
        <v>VERIFICAR</v>
      </c>
      <c r="H1760" s="22"/>
      <c r="I1760" s="23" t="str">
        <f t="shared" si="82"/>
        <v xml:space="preserve">COM VALOR</v>
      </c>
      <c r="J1760" s="19"/>
      <c r="L1760" s="21">
        <v>0</v>
      </c>
      <c r="M1760" s="22"/>
      <c r="N1760" s="21">
        <v>0</v>
      </c>
      <c r="O1760" s="22"/>
    </row>
    <row r="1761" ht="38.25">
      <c r="A1761" t="s">
        <v>1531</v>
      </c>
      <c r="B1761" s="19">
        <v>106326</v>
      </c>
      <c r="C1761" s="20" t="s">
        <v>1812</v>
      </c>
      <c r="D1761" s="19" t="s">
        <v>1533</v>
      </c>
      <c r="E1761" s="21" t="str">
        <f t="shared" si="80"/>
        <v>VERIFICAR</v>
      </c>
      <c r="F1761" s="22"/>
      <c r="G1761" s="21" t="str">
        <f t="shared" si="81"/>
        <v>VERIFICAR</v>
      </c>
      <c r="H1761" s="22"/>
      <c r="I1761" s="23" t="str">
        <f t="shared" si="82"/>
        <v xml:space="preserve">COM VALOR</v>
      </c>
      <c r="J1761" s="19"/>
      <c r="L1761" s="21">
        <v>0</v>
      </c>
      <c r="M1761" s="22"/>
      <c r="N1761" s="21">
        <v>0</v>
      </c>
      <c r="O1761" s="22"/>
    </row>
    <row r="1762" ht="38.25">
      <c r="A1762" t="s">
        <v>1531</v>
      </c>
      <c r="B1762" s="19">
        <v>106325</v>
      </c>
      <c r="C1762" s="20" t="s">
        <v>1813</v>
      </c>
      <c r="D1762" s="19" t="s">
        <v>1535</v>
      </c>
      <c r="E1762" s="21" t="str">
        <f t="shared" si="80"/>
        <v>VERIFICAR</v>
      </c>
      <c r="F1762" s="22">
        <v>0</v>
      </c>
      <c r="G1762" s="21" t="str">
        <f t="shared" si="81"/>
        <v>VERIFICAR</v>
      </c>
      <c r="H1762" s="22">
        <v>0</v>
      </c>
      <c r="I1762" s="23" t="str">
        <f t="shared" si="82"/>
        <v xml:space="preserve">COM VALOR</v>
      </c>
      <c r="J1762" s="19"/>
      <c r="L1762" s="21">
        <v>0</v>
      </c>
      <c r="M1762" s="22"/>
      <c r="N1762" s="21">
        <v>0</v>
      </c>
      <c r="O1762" s="22"/>
    </row>
    <row r="1763" ht="25.5">
      <c r="A1763" t="s">
        <v>1531</v>
      </c>
      <c r="B1763" s="19">
        <v>92113</v>
      </c>
      <c r="C1763" s="20" t="s">
        <v>1814</v>
      </c>
      <c r="D1763" s="19" t="s">
        <v>1533</v>
      </c>
      <c r="E1763" s="21">
        <f t="shared" si="80"/>
        <v>1.1399999999999999</v>
      </c>
      <c r="F1763" s="22">
        <v>0</v>
      </c>
      <c r="G1763" s="21">
        <f t="shared" si="81"/>
        <v>1.1399999999999999</v>
      </c>
      <c r="H1763" s="22">
        <v>0</v>
      </c>
      <c r="I1763" s="23" t="str">
        <f t="shared" si="82"/>
        <v xml:space="preserve">COM VALOR</v>
      </c>
      <c r="J1763" s="19"/>
      <c r="L1763" s="21">
        <v>1.1399999999999999</v>
      </c>
      <c r="M1763" s="22">
        <v>0</v>
      </c>
      <c r="N1763" s="21">
        <v>1.1399999999999999</v>
      </c>
      <c r="O1763" s="22">
        <v>0</v>
      </c>
    </row>
    <row r="1764" ht="25.5">
      <c r="A1764" t="s">
        <v>1531</v>
      </c>
      <c r="B1764" s="19">
        <v>92112</v>
      </c>
      <c r="C1764" s="20" t="s">
        <v>1815</v>
      </c>
      <c r="D1764" s="19" t="s">
        <v>1535</v>
      </c>
      <c r="E1764" s="21">
        <f t="shared" si="80"/>
        <v>3.7200000000000002</v>
      </c>
      <c r="F1764" s="22">
        <v>0</v>
      </c>
      <c r="G1764" s="21">
        <f t="shared" si="81"/>
        <v>3.7200000000000002</v>
      </c>
      <c r="H1764" s="22">
        <v>0</v>
      </c>
      <c r="I1764" s="23" t="str">
        <f t="shared" si="82"/>
        <v xml:space="preserve">COM VALOR</v>
      </c>
      <c r="J1764" s="19"/>
      <c r="L1764" s="21">
        <v>3.7200000000000002</v>
      </c>
      <c r="M1764" s="22">
        <v>0</v>
      </c>
      <c r="N1764" s="21">
        <v>3.7200000000000002</v>
      </c>
      <c r="O1764" s="22">
        <v>0</v>
      </c>
    </row>
    <row r="1765" ht="51">
      <c r="A1765" t="s">
        <v>1531</v>
      </c>
      <c r="B1765" s="19">
        <v>90675</v>
      </c>
      <c r="C1765" s="20" t="s">
        <v>1816</v>
      </c>
      <c r="D1765" s="19" t="s">
        <v>1533</v>
      </c>
      <c r="E1765" s="21">
        <f t="shared" si="80"/>
        <v>324.99000000000001</v>
      </c>
      <c r="F1765" s="22">
        <v>0</v>
      </c>
      <c r="G1765" s="21">
        <f t="shared" si="81"/>
        <v>323.08999999999997</v>
      </c>
      <c r="H1765" s="22">
        <v>0</v>
      </c>
      <c r="I1765" s="23" t="str">
        <f t="shared" si="82"/>
        <v xml:space="preserve">COM VALOR</v>
      </c>
      <c r="J1765" s="19"/>
      <c r="L1765" s="21">
        <v>324.99000000000001</v>
      </c>
      <c r="M1765" s="22">
        <v>0</v>
      </c>
      <c r="N1765" s="21">
        <v>323.08999999999997</v>
      </c>
      <c r="O1765" s="22">
        <v>0</v>
      </c>
    </row>
    <row r="1766" ht="51">
      <c r="A1766" t="s">
        <v>1531</v>
      </c>
      <c r="B1766" s="19">
        <v>90674</v>
      </c>
      <c r="C1766" s="20" t="s">
        <v>1817</v>
      </c>
      <c r="D1766" s="19" t="s">
        <v>1535</v>
      </c>
      <c r="E1766" s="21">
        <f t="shared" si="80"/>
        <v>750.95000000000005</v>
      </c>
      <c r="F1766" s="22">
        <v>0</v>
      </c>
      <c r="G1766" s="21">
        <f t="shared" si="81"/>
        <v>749.04999999999995</v>
      </c>
      <c r="H1766" s="22">
        <v>0</v>
      </c>
      <c r="I1766" s="23" t="str">
        <f t="shared" si="82"/>
        <v xml:space="preserve">COM VALOR</v>
      </c>
      <c r="J1766" s="19"/>
      <c r="L1766" s="21">
        <v>750.95000000000005</v>
      </c>
      <c r="M1766" s="22">
        <v>0</v>
      </c>
      <c r="N1766" s="21">
        <v>749.04999999999995</v>
      </c>
      <c r="O1766" s="22">
        <v>0</v>
      </c>
    </row>
    <row r="1767" ht="51">
      <c r="A1767" t="s">
        <v>1531</v>
      </c>
      <c r="B1767" s="19">
        <v>93225</v>
      </c>
      <c r="C1767" s="20" t="s">
        <v>1818</v>
      </c>
      <c r="D1767" s="19" t="s">
        <v>1533</v>
      </c>
      <c r="E1767" s="21">
        <f t="shared" si="80"/>
        <v>481.88</v>
      </c>
      <c r="F1767" s="22">
        <v>0</v>
      </c>
      <c r="G1767" s="21">
        <f t="shared" si="81"/>
        <v>479.98000000000002</v>
      </c>
      <c r="H1767" s="22">
        <v>0</v>
      </c>
      <c r="I1767" s="23" t="str">
        <f t="shared" si="82"/>
        <v xml:space="preserve">COM VALOR</v>
      </c>
      <c r="J1767" s="19"/>
      <c r="L1767" s="21">
        <v>481.88</v>
      </c>
      <c r="M1767" s="22">
        <v>0</v>
      </c>
      <c r="N1767" s="21">
        <v>479.98000000000002</v>
      </c>
      <c r="O1767" s="22">
        <v>0</v>
      </c>
    </row>
    <row r="1768" ht="51">
      <c r="A1768" t="s">
        <v>1531</v>
      </c>
      <c r="B1768" s="19">
        <v>93224</v>
      </c>
      <c r="C1768" s="20" t="s">
        <v>1819</v>
      </c>
      <c r="D1768" s="19" t="s">
        <v>1535</v>
      </c>
      <c r="E1768" s="21">
        <f t="shared" si="80"/>
        <v>1104.1800000000001</v>
      </c>
      <c r="F1768" s="22">
        <v>0.70999999999999996</v>
      </c>
      <c r="G1768" s="21">
        <f t="shared" si="81"/>
        <v>1102.28</v>
      </c>
      <c r="H1768" s="22">
        <v>0.71999999999999997</v>
      </c>
      <c r="I1768" s="23" t="str">
        <f t="shared" si="82"/>
        <v xml:space="preserve">COM VALOR</v>
      </c>
      <c r="J1768" s="19"/>
      <c r="L1768" s="21">
        <v>1104.1800000000001</v>
      </c>
      <c r="M1768" s="22">
        <v>0</v>
      </c>
      <c r="N1768" s="21">
        <v>1102.28</v>
      </c>
      <c r="O1768" s="22">
        <v>0</v>
      </c>
    </row>
    <row r="1769" ht="38.25">
      <c r="A1769" t="s">
        <v>1531</v>
      </c>
      <c r="B1769" s="19">
        <v>104696</v>
      </c>
      <c r="C1769" s="20" t="s">
        <v>1820</v>
      </c>
      <c r="D1769" s="19" t="s">
        <v>1533</v>
      </c>
      <c r="E1769" s="21">
        <f t="shared" si="80"/>
        <v>31.98</v>
      </c>
      <c r="F1769" s="22">
        <v>0.57999999999999996</v>
      </c>
      <c r="G1769" s="21">
        <f t="shared" si="81"/>
        <v>30.079999999999998</v>
      </c>
      <c r="H1769" s="22">
        <v>0.57999999999999996</v>
      </c>
      <c r="I1769" s="23" t="str">
        <f t="shared" si="82"/>
        <v xml:space="preserve">COM VALOR</v>
      </c>
      <c r="J1769" s="19"/>
      <c r="L1769" s="21">
        <v>31.98</v>
      </c>
      <c r="M1769" s="22">
        <v>0</v>
      </c>
      <c r="N1769" s="21">
        <v>30.079999999999998</v>
      </c>
      <c r="O1769" s="22">
        <v>0</v>
      </c>
    </row>
    <row r="1770" ht="38.25">
      <c r="A1770" t="s">
        <v>1531</v>
      </c>
      <c r="B1770" s="19">
        <v>104695</v>
      </c>
      <c r="C1770" s="20" t="s">
        <v>1821</v>
      </c>
      <c r="D1770" s="19" t="s">
        <v>1535</v>
      </c>
      <c r="E1770" s="21">
        <f t="shared" si="80"/>
        <v>35.530000000000001</v>
      </c>
      <c r="F1770" s="22">
        <v>0.71999999999999997</v>
      </c>
      <c r="G1770" s="21">
        <f t="shared" si="81"/>
        <v>33.630000000000003</v>
      </c>
      <c r="H1770" s="22">
        <v>0.73999999999999999</v>
      </c>
      <c r="I1770" s="23" t="str">
        <f t="shared" si="82"/>
        <v xml:space="preserve">COM VALOR</v>
      </c>
      <c r="J1770" s="19"/>
      <c r="L1770" s="21">
        <v>35.530000000000001</v>
      </c>
      <c r="M1770" s="22">
        <v>0</v>
      </c>
      <c r="N1770" s="21">
        <v>33.630000000000003</v>
      </c>
      <c r="O1770" s="22">
        <v>0</v>
      </c>
    </row>
    <row r="1771" ht="51">
      <c r="A1771" t="s">
        <v>1531</v>
      </c>
      <c r="B1771" s="19">
        <v>90681</v>
      </c>
      <c r="C1771" s="20" t="s">
        <v>1822</v>
      </c>
      <c r="D1771" s="19" t="s">
        <v>1533</v>
      </c>
      <c r="E1771" s="21">
        <f t="shared" si="80"/>
        <v>168.72</v>
      </c>
      <c r="F1771" s="22">
        <v>0.58999999999999997</v>
      </c>
      <c r="G1771" s="21">
        <f t="shared" si="81"/>
        <v>166.81999999999999</v>
      </c>
      <c r="H1771" s="22">
        <v>0.59999999999999998</v>
      </c>
      <c r="I1771" s="23" t="str">
        <f t="shared" si="82"/>
        <v xml:space="preserve">COM VALOR</v>
      </c>
      <c r="J1771" s="19"/>
      <c r="L1771" s="21">
        <v>168.72</v>
      </c>
      <c r="M1771" s="22">
        <v>0.23000000000000001</v>
      </c>
      <c r="N1771" s="21">
        <v>166.81999999999999</v>
      </c>
      <c r="O1771" s="22">
        <v>0.23000000000000001</v>
      </c>
    </row>
    <row r="1772" ht="51">
      <c r="A1772" t="s">
        <v>1531</v>
      </c>
      <c r="B1772" s="19">
        <v>90680</v>
      </c>
      <c r="C1772" s="20" t="s">
        <v>1823</v>
      </c>
      <c r="D1772" s="19" t="s">
        <v>1535</v>
      </c>
      <c r="E1772" s="21">
        <f t="shared" si="80"/>
        <v>408.81</v>
      </c>
      <c r="F1772" s="22">
        <v>0.68000000000000005</v>
      </c>
      <c r="G1772" s="21">
        <f t="shared" si="81"/>
        <v>406.91000000000003</v>
      </c>
      <c r="H1772" s="22">
        <v>0.69999999999999996</v>
      </c>
      <c r="I1772" s="23" t="str">
        <f t="shared" si="82"/>
        <v xml:space="preserve">COM VALOR</v>
      </c>
      <c r="J1772" s="19"/>
      <c r="L1772" s="21">
        <v>408.81</v>
      </c>
      <c r="M1772" s="22">
        <v>0.20000000000000001</v>
      </c>
      <c r="N1772" s="21">
        <v>406.91000000000003</v>
      </c>
      <c r="O1772" s="22">
        <v>0.20999999999999999</v>
      </c>
    </row>
    <row r="1773" ht="38.25">
      <c r="A1773" t="s">
        <v>1531</v>
      </c>
      <c r="B1773" s="19">
        <v>102875</v>
      </c>
      <c r="C1773" s="20" t="s">
        <v>1824</v>
      </c>
      <c r="D1773" s="19" t="s">
        <v>1533</v>
      </c>
      <c r="E1773" s="21">
        <f t="shared" si="80"/>
        <v>460.45999999999998</v>
      </c>
      <c r="F1773" s="22">
        <v>0.48999999999999999</v>
      </c>
      <c r="G1773" s="21">
        <f t="shared" si="81"/>
        <v>458.56</v>
      </c>
      <c r="H1773" s="22">
        <v>0.48999999999999999</v>
      </c>
      <c r="I1773" s="23" t="str">
        <f t="shared" si="82"/>
        <v xml:space="preserve">COM VALOR</v>
      </c>
      <c r="J1773" s="19"/>
      <c r="L1773" s="21">
        <v>460.45999999999998</v>
      </c>
      <c r="M1773" s="22">
        <v>0</v>
      </c>
      <c r="N1773" s="21">
        <v>458.56</v>
      </c>
      <c r="O1773" s="22">
        <v>0</v>
      </c>
    </row>
    <row r="1774" ht="38.25">
      <c r="A1774" t="s">
        <v>1531</v>
      </c>
      <c r="B1774" s="19">
        <v>102874</v>
      </c>
      <c r="C1774" s="20" t="s">
        <v>1825</v>
      </c>
      <c r="D1774" s="19" t="s">
        <v>1535</v>
      </c>
      <c r="E1774" s="21">
        <f t="shared" si="80"/>
        <v>1019.46</v>
      </c>
      <c r="F1774" s="22">
        <v>0.69999999999999996</v>
      </c>
      <c r="G1774" s="21">
        <f t="shared" si="81"/>
        <v>1017.5599999999999</v>
      </c>
      <c r="H1774" s="22">
        <v>0.71999999999999997</v>
      </c>
      <c r="I1774" s="23" t="str">
        <f t="shared" si="82"/>
        <v xml:space="preserve">COM VALOR</v>
      </c>
      <c r="J1774" s="19"/>
      <c r="L1774" s="21">
        <v>1019.46</v>
      </c>
      <c r="M1774" s="22">
        <v>0</v>
      </c>
      <c r="N1774" s="21">
        <v>1017.5599999999999</v>
      </c>
      <c r="O1774" s="22">
        <v>0</v>
      </c>
    </row>
    <row r="1775" ht="38.25">
      <c r="A1775" t="s">
        <v>1531</v>
      </c>
      <c r="B1775" s="19">
        <v>102965</v>
      </c>
      <c r="C1775" s="20" t="s">
        <v>1826</v>
      </c>
      <c r="D1775" s="19" t="s">
        <v>1533</v>
      </c>
      <c r="E1775" s="21">
        <f t="shared" si="80"/>
        <v>239.34</v>
      </c>
      <c r="F1775" s="22">
        <v>0.51000000000000001</v>
      </c>
      <c r="G1775" s="21">
        <f t="shared" si="81"/>
        <v>237.44</v>
      </c>
      <c r="H1775" s="22">
        <v>0.51000000000000001</v>
      </c>
      <c r="I1775" s="23" t="str">
        <f t="shared" si="82"/>
        <v xml:space="preserve">COM VALOR</v>
      </c>
      <c r="J1775" s="19"/>
      <c r="L1775" s="21">
        <v>239.34</v>
      </c>
      <c r="M1775" s="22">
        <v>0</v>
      </c>
      <c r="N1775" s="21">
        <v>237.44</v>
      </c>
      <c r="O1775" s="22">
        <v>0</v>
      </c>
    </row>
    <row r="1776" ht="38.25">
      <c r="A1776" t="s">
        <v>1531</v>
      </c>
      <c r="B1776" s="19">
        <v>102964</v>
      </c>
      <c r="C1776" s="20" t="s">
        <v>1827</v>
      </c>
      <c r="D1776" s="19" t="s">
        <v>1535</v>
      </c>
      <c r="E1776" s="21">
        <f t="shared" si="80"/>
        <v>489.52999999999997</v>
      </c>
      <c r="F1776" s="22">
        <v>0.60999999999999999</v>
      </c>
      <c r="G1776" s="21">
        <f t="shared" si="81"/>
        <v>487.63</v>
      </c>
      <c r="H1776" s="22">
        <v>0.63</v>
      </c>
      <c r="I1776" s="23" t="str">
        <f t="shared" si="82"/>
        <v xml:space="preserve">COM VALOR</v>
      </c>
      <c r="J1776" s="19"/>
      <c r="L1776" s="21">
        <v>489.52999999999997</v>
      </c>
      <c r="M1776" s="22">
        <v>0</v>
      </c>
      <c r="N1776" s="21">
        <v>487.63</v>
      </c>
      <c r="O1776" s="22">
        <v>0</v>
      </c>
    </row>
    <row r="1777" ht="25.5">
      <c r="A1777" t="s">
        <v>1531</v>
      </c>
      <c r="B1777" s="19">
        <v>90626</v>
      </c>
      <c r="C1777" s="20" t="s">
        <v>1828</v>
      </c>
      <c r="D1777" s="19" t="s">
        <v>1533</v>
      </c>
      <c r="E1777" s="21">
        <f t="shared" si="80"/>
        <v>3.9700000000000002</v>
      </c>
      <c r="F1777" s="22">
        <v>0.48999999999999999</v>
      </c>
      <c r="G1777" s="21">
        <f t="shared" si="81"/>
        <v>3.9700000000000002</v>
      </c>
      <c r="H1777" s="22">
        <v>0.48999999999999999</v>
      </c>
      <c r="I1777" s="23" t="str">
        <f t="shared" si="82"/>
        <v xml:space="preserve">COM VALOR</v>
      </c>
      <c r="J1777" s="19"/>
      <c r="L1777" s="21">
        <v>3.9700000000000002</v>
      </c>
      <c r="M1777" s="22">
        <v>0</v>
      </c>
      <c r="N1777" s="21">
        <v>3.9700000000000002</v>
      </c>
      <c r="O1777" s="22">
        <v>0</v>
      </c>
    </row>
    <row r="1778" ht="25.5">
      <c r="A1778" t="s">
        <v>1531</v>
      </c>
      <c r="B1778" s="19">
        <v>90625</v>
      </c>
      <c r="C1778" s="20" t="s">
        <v>1829</v>
      </c>
      <c r="D1778" s="19" t="s">
        <v>1535</v>
      </c>
      <c r="E1778" s="21">
        <f t="shared" si="80"/>
        <v>11.539999999999999</v>
      </c>
      <c r="F1778" s="22">
        <v>0.62</v>
      </c>
      <c r="G1778" s="21">
        <f t="shared" si="81"/>
        <v>11.539999999999999</v>
      </c>
      <c r="H1778" s="22">
        <v>0.64000000000000001</v>
      </c>
      <c r="I1778" s="23" t="str">
        <f t="shared" si="82"/>
        <v xml:space="preserve">COM VALOR</v>
      </c>
      <c r="J1778" s="19"/>
      <c r="L1778" s="21">
        <v>11.539999999999999</v>
      </c>
      <c r="M1778" s="22">
        <v>0</v>
      </c>
      <c r="N1778" s="21">
        <v>11.539999999999999</v>
      </c>
      <c r="O1778" s="22">
        <v>0</v>
      </c>
    </row>
    <row r="1779" ht="38.25">
      <c r="A1779" t="s">
        <v>1531</v>
      </c>
      <c r="B1779" s="19">
        <v>102881</v>
      </c>
      <c r="C1779" s="20" t="s">
        <v>1830</v>
      </c>
      <c r="D1779" s="19" t="s">
        <v>1533</v>
      </c>
      <c r="E1779" s="21">
        <f t="shared" si="80"/>
        <v>627.86000000000001</v>
      </c>
      <c r="F1779" s="22">
        <v>0.5</v>
      </c>
      <c r="G1779" s="21">
        <f t="shared" si="81"/>
        <v>625.96000000000004</v>
      </c>
      <c r="H1779" s="22">
        <v>0.5</v>
      </c>
      <c r="I1779" s="23" t="str">
        <f t="shared" si="82"/>
        <v xml:space="preserve">COM VALOR</v>
      </c>
      <c r="J1779" s="19"/>
      <c r="L1779" s="21">
        <v>627.86000000000001</v>
      </c>
      <c r="M1779" s="22">
        <v>0</v>
      </c>
      <c r="N1779" s="21">
        <v>625.96000000000004</v>
      </c>
      <c r="O1779" s="22">
        <v>0</v>
      </c>
    </row>
    <row r="1780" ht="38.25">
      <c r="A1780" t="s">
        <v>1531</v>
      </c>
      <c r="B1780" s="19">
        <v>102880</v>
      </c>
      <c r="C1780" s="20" t="s">
        <v>1831</v>
      </c>
      <c r="D1780" s="19" t="s">
        <v>1535</v>
      </c>
      <c r="E1780" s="21">
        <f t="shared" si="80"/>
        <v>1419.76</v>
      </c>
      <c r="F1780" s="22">
        <v>0.68000000000000005</v>
      </c>
      <c r="G1780" s="21">
        <f t="shared" si="81"/>
        <v>1417.8599999999999</v>
      </c>
      <c r="H1780" s="22">
        <v>0.69999999999999996</v>
      </c>
      <c r="I1780" s="23" t="str">
        <f t="shared" si="82"/>
        <v xml:space="preserve">COM VALOR</v>
      </c>
      <c r="J1780" s="19"/>
      <c r="L1780" s="21">
        <v>1419.76</v>
      </c>
      <c r="M1780" s="22">
        <v>0</v>
      </c>
      <c r="N1780" s="21">
        <v>1417.8599999999999</v>
      </c>
      <c r="O1780" s="22">
        <v>0</v>
      </c>
    </row>
    <row r="1781" ht="38.25">
      <c r="A1781" t="s">
        <v>1531</v>
      </c>
      <c r="B1781" s="19">
        <v>103225</v>
      </c>
      <c r="C1781" s="20" t="s">
        <v>1832</v>
      </c>
      <c r="D1781" s="19" t="s">
        <v>1533</v>
      </c>
      <c r="E1781" s="21">
        <f t="shared" si="80"/>
        <v>213.41999999999999</v>
      </c>
      <c r="F1781" s="22">
        <v>0.73999999999999999</v>
      </c>
      <c r="G1781" s="21">
        <f t="shared" si="81"/>
        <v>211.52000000000001</v>
      </c>
      <c r="H1781" s="22">
        <v>0.75</v>
      </c>
      <c r="I1781" s="23" t="str">
        <f t="shared" si="82"/>
        <v xml:space="preserve">COM VALOR</v>
      </c>
      <c r="J1781" s="19"/>
      <c r="L1781" s="21">
        <v>213.41999999999999</v>
      </c>
      <c r="M1781" s="22">
        <v>0</v>
      </c>
      <c r="N1781" s="21">
        <v>211.52000000000001</v>
      </c>
      <c r="O1781" s="22">
        <v>0</v>
      </c>
    </row>
    <row r="1782" ht="38.25">
      <c r="A1782" t="s">
        <v>1531</v>
      </c>
      <c r="B1782" s="19">
        <v>103224</v>
      </c>
      <c r="C1782" s="20" t="s">
        <v>1833</v>
      </c>
      <c r="D1782" s="19" t="s">
        <v>1535</v>
      </c>
      <c r="E1782" s="21">
        <f t="shared" si="80"/>
        <v>433.07999999999998</v>
      </c>
      <c r="F1782" s="22">
        <v>1</v>
      </c>
      <c r="G1782" s="21">
        <f t="shared" si="81"/>
        <v>431.18000000000001</v>
      </c>
      <c r="H1782" s="22">
        <v>1</v>
      </c>
      <c r="I1782" s="23" t="str">
        <f t="shared" si="82"/>
        <v xml:space="preserve">COM VALOR</v>
      </c>
      <c r="J1782" s="19"/>
      <c r="L1782" s="21">
        <v>433.07999999999998</v>
      </c>
      <c r="M1782" s="22">
        <v>0</v>
      </c>
      <c r="N1782" s="21">
        <v>431.18000000000001</v>
      </c>
      <c r="O1782" s="22">
        <v>0</v>
      </c>
    </row>
    <row r="1783" ht="38.25">
      <c r="A1783" t="s">
        <v>1531</v>
      </c>
      <c r="B1783" s="19">
        <v>103237</v>
      </c>
      <c r="C1783" s="20" t="s">
        <v>1834</v>
      </c>
      <c r="D1783" s="19" t="s">
        <v>1533</v>
      </c>
      <c r="E1783" s="21">
        <f t="shared" si="80"/>
        <v>603.66999999999996</v>
      </c>
      <c r="F1783" s="22">
        <v>1</v>
      </c>
      <c r="G1783" s="21">
        <f t="shared" si="81"/>
        <v>601.76999999999998</v>
      </c>
      <c r="H1783" s="22">
        <v>1</v>
      </c>
      <c r="I1783" s="23" t="str">
        <f t="shared" si="82"/>
        <v xml:space="preserve">COM VALOR</v>
      </c>
      <c r="J1783" s="19"/>
      <c r="L1783" s="21">
        <v>603.66999999999996</v>
      </c>
      <c r="M1783" s="22">
        <v>0</v>
      </c>
      <c r="N1783" s="21">
        <v>601.76999999999998</v>
      </c>
      <c r="O1783" s="22">
        <v>0</v>
      </c>
    </row>
    <row r="1784" ht="38.25">
      <c r="A1784" t="s">
        <v>1531</v>
      </c>
      <c r="B1784" s="19">
        <v>103236</v>
      </c>
      <c r="C1784" s="20" t="s">
        <v>1835</v>
      </c>
      <c r="D1784" s="19" t="s">
        <v>1535</v>
      </c>
      <c r="E1784" s="21">
        <f t="shared" si="80"/>
        <v>1312.46</v>
      </c>
      <c r="F1784" s="22">
        <v>0.65000000000000002</v>
      </c>
      <c r="G1784" s="21">
        <f t="shared" si="81"/>
        <v>1310.5599999999999</v>
      </c>
      <c r="H1784" s="22">
        <v>0.67000000000000004</v>
      </c>
      <c r="I1784" s="23" t="str">
        <f t="shared" si="82"/>
        <v xml:space="preserve">COM VALOR</v>
      </c>
      <c r="J1784" s="19"/>
      <c r="L1784" s="21">
        <v>1312.46</v>
      </c>
      <c r="M1784" s="22">
        <v>0</v>
      </c>
      <c r="N1784" s="21">
        <v>1310.5599999999999</v>
      </c>
      <c r="O1784" s="22">
        <v>0</v>
      </c>
    </row>
    <row r="1785" ht="38.25">
      <c r="A1785" t="s">
        <v>1531</v>
      </c>
      <c r="B1785" s="19">
        <v>103231</v>
      </c>
      <c r="C1785" s="20" t="s">
        <v>1836</v>
      </c>
      <c r="D1785" s="19" t="s">
        <v>1533</v>
      </c>
      <c r="E1785" s="21">
        <f t="shared" si="80"/>
        <v>449.72000000000003</v>
      </c>
      <c r="F1785" s="22">
        <v>0.58999999999999997</v>
      </c>
      <c r="G1785" s="21">
        <f t="shared" si="81"/>
        <v>447.81999999999999</v>
      </c>
      <c r="H1785" s="22">
        <v>0.59999999999999998</v>
      </c>
      <c r="I1785" s="23" t="str">
        <f t="shared" si="82"/>
        <v xml:space="preserve">COM VALOR</v>
      </c>
      <c r="J1785" s="19"/>
      <c r="L1785" s="21">
        <v>449.72000000000003</v>
      </c>
      <c r="M1785" s="22">
        <v>0</v>
      </c>
      <c r="N1785" s="21">
        <v>447.81999999999999</v>
      </c>
      <c r="O1785" s="22">
        <v>0</v>
      </c>
    </row>
    <row r="1786" ht="38.25">
      <c r="A1786" t="s">
        <v>1531</v>
      </c>
      <c r="B1786" s="19">
        <v>103230</v>
      </c>
      <c r="C1786" s="20" t="s">
        <v>1837</v>
      </c>
      <c r="D1786" s="19" t="s">
        <v>1535</v>
      </c>
      <c r="E1786" s="21">
        <f t="shared" si="80"/>
        <v>961.20000000000005</v>
      </c>
      <c r="F1786" s="22">
        <v>1</v>
      </c>
      <c r="G1786" s="21">
        <f t="shared" si="81"/>
        <v>959.29999999999995</v>
      </c>
      <c r="H1786" s="22">
        <v>1</v>
      </c>
      <c r="I1786" s="23" t="str">
        <f t="shared" si="82"/>
        <v xml:space="preserve">COM VALOR</v>
      </c>
      <c r="J1786" s="19"/>
      <c r="L1786" s="21">
        <v>961.20000000000005</v>
      </c>
      <c r="M1786" s="22">
        <v>0</v>
      </c>
      <c r="N1786" s="21">
        <v>959.29999999999995</v>
      </c>
      <c r="O1786" s="22">
        <v>0</v>
      </c>
    </row>
    <row r="1787" ht="25.5">
      <c r="A1787" t="s">
        <v>1531</v>
      </c>
      <c r="B1787" s="19">
        <v>102975</v>
      </c>
      <c r="C1787" s="20" t="s">
        <v>1838</v>
      </c>
      <c r="D1787" s="19" t="s">
        <v>1533</v>
      </c>
      <c r="E1787" s="21">
        <f t="shared" si="80"/>
        <v>142.78</v>
      </c>
      <c r="F1787" s="22">
        <v>0.12</v>
      </c>
      <c r="G1787" s="21">
        <f t="shared" si="81"/>
        <v>140.88</v>
      </c>
      <c r="H1787" s="22">
        <v>0.12</v>
      </c>
      <c r="I1787" s="23" t="str">
        <f t="shared" si="82"/>
        <v xml:space="preserve">COM VALOR</v>
      </c>
      <c r="J1787" s="19"/>
      <c r="L1787" s="21">
        <v>142.78</v>
      </c>
      <c r="M1787" s="22">
        <v>0</v>
      </c>
      <c r="N1787" s="21">
        <v>140.88</v>
      </c>
      <c r="O1787" s="22">
        <v>0</v>
      </c>
    </row>
    <row r="1788" ht="25.5">
      <c r="A1788" t="s">
        <v>1531</v>
      </c>
      <c r="B1788" s="19">
        <v>102976</v>
      </c>
      <c r="C1788" s="20" t="s">
        <v>1839</v>
      </c>
      <c r="D1788" s="19" t="s">
        <v>1535</v>
      </c>
      <c r="E1788" s="21">
        <f t="shared" si="80"/>
        <v>280.70999999999998</v>
      </c>
      <c r="F1788" s="22">
        <v>0</v>
      </c>
      <c r="G1788" s="21">
        <f t="shared" si="81"/>
        <v>278.81</v>
      </c>
      <c r="H1788" s="22">
        <v>0</v>
      </c>
      <c r="I1788" s="23" t="str">
        <f t="shared" si="82"/>
        <v xml:space="preserve">COM VALOR</v>
      </c>
      <c r="J1788" s="19"/>
      <c r="L1788" s="21">
        <v>280.70999999999998</v>
      </c>
      <c r="M1788" s="22">
        <v>0</v>
      </c>
      <c r="N1788" s="21">
        <v>278.81</v>
      </c>
      <c r="O1788" s="22">
        <v>0</v>
      </c>
    </row>
    <row r="1789" ht="38.25">
      <c r="A1789" t="s">
        <v>1531</v>
      </c>
      <c r="B1789" s="19">
        <v>90632</v>
      </c>
      <c r="C1789" s="20" t="s">
        <v>1840</v>
      </c>
      <c r="D1789" s="19" t="s">
        <v>1533</v>
      </c>
      <c r="E1789" s="21">
        <f t="shared" si="80"/>
        <v>96.049999999999997</v>
      </c>
      <c r="F1789" s="22">
        <v>0</v>
      </c>
      <c r="G1789" s="21">
        <f t="shared" si="81"/>
        <v>94.150000000000006</v>
      </c>
      <c r="H1789" s="22">
        <v>0</v>
      </c>
      <c r="I1789" s="23" t="str">
        <f t="shared" si="82"/>
        <v xml:space="preserve">COM VALOR</v>
      </c>
      <c r="J1789" s="19"/>
      <c r="L1789" s="21">
        <v>96.049999999999997</v>
      </c>
      <c r="M1789" s="22">
        <v>0</v>
      </c>
      <c r="N1789" s="21">
        <v>94.150000000000006</v>
      </c>
      <c r="O1789" s="22">
        <v>0</v>
      </c>
    </row>
    <row r="1790" ht="38.25">
      <c r="A1790" t="s">
        <v>1531</v>
      </c>
      <c r="B1790" s="19">
        <v>90631</v>
      </c>
      <c r="C1790" s="20" t="s">
        <v>1841</v>
      </c>
      <c r="D1790" s="19" t="s">
        <v>1535</v>
      </c>
      <c r="E1790" s="21">
        <f t="shared" si="80"/>
        <v>162.06</v>
      </c>
      <c r="F1790" s="22"/>
      <c r="G1790" s="21">
        <f t="shared" si="81"/>
        <v>160.16</v>
      </c>
      <c r="H1790" s="22"/>
      <c r="I1790" s="23" t="str">
        <f t="shared" si="82"/>
        <v xml:space="preserve">COM VALOR</v>
      </c>
      <c r="J1790" s="19"/>
      <c r="L1790" s="21">
        <v>162.06</v>
      </c>
      <c r="M1790" s="22">
        <v>0</v>
      </c>
      <c r="N1790" s="21">
        <v>160.16</v>
      </c>
      <c r="O1790" s="22">
        <v>0</v>
      </c>
    </row>
    <row r="1791" ht="25.5">
      <c r="A1791" t="s">
        <v>1531</v>
      </c>
      <c r="B1791" s="19">
        <v>95709</v>
      </c>
      <c r="C1791" s="20" t="s">
        <v>1842</v>
      </c>
      <c r="D1791" s="19" t="s">
        <v>1533</v>
      </c>
      <c r="E1791" s="21">
        <f t="shared" si="80"/>
        <v>96.680000000000007</v>
      </c>
      <c r="F1791" s="22"/>
      <c r="G1791" s="21">
        <f t="shared" si="81"/>
        <v>94.780000000000001</v>
      </c>
      <c r="H1791" s="22"/>
      <c r="I1791" s="23" t="str">
        <f t="shared" si="82"/>
        <v xml:space="preserve">COM VALOR</v>
      </c>
      <c r="J1791" s="19"/>
      <c r="L1791" s="21">
        <v>96.680000000000007</v>
      </c>
      <c r="M1791" s="22">
        <v>0</v>
      </c>
      <c r="N1791" s="21">
        <v>94.780000000000001</v>
      </c>
      <c r="O1791" s="22">
        <v>0</v>
      </c>
    </row>
    <row r="1792" ht="25.5">
      <c r="A1792" t="s">
        <v>1531</v>
      </c>
      <c r="B1792" s="19">
        <v>95708</v>
      </c>
      <c r="C1792" s="20" t="s">
        <v>1843</v>
      </c>
      <c r="D1792" s="19" t="s">
        <v>1535</v>
      </c>
      <c r="E1792" s="21">
        <f t="shared" si="80"/>
        <v>166.27000000000001</v>
      </c>
      <c r="F1792" s="22">
        <v>0</v>
      </c>
      <c r="G1792" s="21">
        <f t="shared" si="81"/>
        <v>164.37</v>
      </c>
      <c r="H1792" s="22">
        <v>0</v>
      </c>
      <c r="I1792" s="23" t="str">
        <f t="shared" si="82"/>
        <v xml:space="preserve">COM VALOR</v>
      </c>
      <c r="J1792" s="19"/>
      <c r="L1792" s="21">
        <v>166.27000000000001</v>
      </c>
      <c r="M1792" s="22">
        <v>0</v>
      </c>
      <c r="N1792" s="21">
        <v>164.37</v>
      </c>
      <c r="O1792" s="22">
        <v>0</v>
      </c>
    </row>
    <row r="1793" ht="38.25">
      <c r="A1793" t="s">
        <v>1531</v>
      </c>
      <c r="B1793" s="19">
        <v>91278</v>
      </c>
      <c r="C1793" s="20" t="s">
        <v>1844</v>
      </c>
      <c r="D1793" s="19" t="s">
        <v>1533</v>
      </c>
      <c r="E1793" s="21">
        <f t="shared" si="80"/>
        <v>0.68000000000000005</v>
      </c>
      <c r="F1793" s="22">
        <v>0</v>
      </c>
      <c r="G1793" s="21">
        <f t="shared" si="81"/>
        <v>0.68000000000000005</v>
      </c>
      <c r="H1793" s="22">
        <v>0</v>
      </c>
      <c r="I1793" s="23" t="str">
        <f t="shared" si="82"/>
        <v xml:space="preserve">COM VALOR</v>
      </c>
      <c r="J1793" s="19"/>
      <c r="L1793" s="21">
        <v>0.68000000000000005</v>
      </c>
      <c r="M1793" s="22">
        <v>0</v>
      </c>
      <c r="N1793" s="21">
        <v>0.68000000000000005</v>
      </c>
      <c r="O1793" s="22">
        <v>0</v>
      </c>
    </row>
    <row r="1794" ht="38.25">
      <c r="A1794" t="s">
        <v>1531</v>
      </c>
      <c r="B1794" s="19">
        <v>91277</v>
      </c>
      <c r="C1794" s="20" t="s">
        <v>1845</v>
      </c>
      <c r="D1794" s="19" t="s">
        <v>1535</v>
      </c>
      <c r="E1794" s="21">
        <f t="shared" si="80"/>
        <v>10.42</v>
      </c>
      <c r="F1794" s="22">
        <v>1</v>
      </c>
      <c r="G1794" s="21">
        <f t="shared" si="81"/>
        <v>10.42</v>
      </c>
      <c r="H1794" s="22">
        <v>1</v>
      </c>
      <c r="I1794" s="23" t="str">
        <f t="shared" si="82"/>
        <v xml:space="preserve">COM VALOR</v>
      </c>
      <c r="J1794" s="19"/>
      <c r="L1794" s="21">
        <v>10.42</v>
      </c>
      <c r="M1794" s="22">
        <v>0</v>
      </c>
      <c r="N1794" s="21">
        <v>10.42</v>
      </c>
      <c r="O1794" s="22">
        <v>0</v>
      </c>
    </row>
    <row r="1795" ht="12.75">
      <c r="A1795" t="s">
        <v>1531</v>
      </c>
      <c r="B1795" s="19">
        <v>102887</v>
      </c>
      <c r="C1795" s="20" t="s">
        <v>1846</v>
      </c>
      <c r="D1795" s="19" t="s">
        <v>1533</v>
      </c>
      <c r="E1795" s="21" t="str">
        <f t="shared" si="80"/>
        <v>VERIFICAR</v>
      </c>
      <c r="F1795" s="22">
        <v>5.0000000000000003e-002</v>
      </c>
      <c r="G1795" s="21" t="str">
        <f t="shared" si="81"/>
        <v>VERIFICAR</v>
      </c>
      <c r="H1795" s="22">
        <v>5.0000000000000003e-002</v>
      </c>
      <c r="I1795" s="23" t="str">
        <f t="shared" si="82"/>
        <v xml:space="preserve">COM VALOR</v>
      </c>
      <c r="J1795" s="19"/>
      <c r="L1795" s="21">
        <v>0</v>
      </c>
      <c r="M1795" s="22"/>
      <c r="N1795" s="21">
        <v>0</v>
      </c>
      <c r="O1795" s="22"/>
    </row>
    <row r="1796" ht="12.75">
      <c r="A1796" t="s">
        <v>1531</v>
      </c>
      <c r="B1796" s="19">
        <v>102886</v>
      </c>
      <c r="C1796" s="20" t="s">
        <v>1847</v>
      </c>
      <c r="D1796" s="19" t="s">
        <v>1535</v>
      </c>
      <c r="E1796" s="21" t="str">
        <f t="shared" si="80"/>
        <v>VERIFICAR</v>
      </c>
      <c r="F1796" s="22">
        <v>1</v>
      </c>
      <c r="G1796" s="21" t="str">
        <f t="shared" si="81"/>
        <v>VERIFICAR</v>
      </c>
      <c r="H1796" s="22">
        <v>1</v>
      </c>
      <c r="I1796" s="23" t="str">
        <f t="shared" si="82"/>
        <v xml:space="preserve">COM VALOR</v>
      </c>
      <c r="J1796" s="19"/>
      <c r="L1796" s="21">
        <v>0</v>
      </c>
      <c r="M1796" s="22"/>
      <c r="N1796" s="21">
        <v>0</v>
      </c>
      <c r="O1796" s="22"/>
    </row>
    <row r="1797" ht="25.5">
      <c r="A1797" t="s">
        <v>1531</v>
      </c>
      <c r="B1797" s="19">
        <v>95277</v>
      </c>
      <c r="C1797" s="20" t="s">
        <v>1848</v>
      </c>
      <c r="D1797" s="19" t="s">
        <v>1533</v>
      </c>
      <c r="E1797" s="21">
        <f t="shared" si="80"/>
        <v>0.70999999999999996</v>
      </c>
      <c r="F1797" s="22">
        <v>4.0000000000000001e-002</v>
      </c>
      <c r="G1797" s="21">
        <f t="shared" si="81"/>
        <v>0.70999999999999996</v>
      </c>
      <c r="H1797" s="22">
        <v>4.0000000000000001e-002</v>
      </c>
      <c r="I1797" s="23" t="str">
        <f t="shared" si="82"/>
        <v xml:space="preserve">COM VALOR</v>
      </c>
      <c r="J1797" s="19"/>
      <c r="L1797" s="21">
        <v>0.70999999999999996</v>
      </c>
      <c r="M1797" s="22">
        <v>1</v>
      </c>
      <c r="N1797" s="21">
        <v>0.70999999999999996</v>
      </c>
      <c r="O1797" s="22">
        <v>1</v>
      </c>
    </row>
    <row r="1798" ht="25.5">
      <c r="A1798" t="s">
        <v>1531</v>
      </c>
      <c r="B1798" s="19">
        <v>95276</v>
      </c>
      <c r="C1798" s="20" t="s">
        <v>1849</v>
      </c>
      <c r="D1798" s="19" t="s">
        <v>1535</v>
      </c>
      <c r="E1798" s="21">
        <f t="shared" si="80"/>
        <v>4.0300000000000002</v>
      </c>
      <c r="F1798" s="22"/>
      <c r="G1798" s="21">
        <f t="shared" si="81"/>
        <v>4.0300000000000002</v>
      </c>
      <c r="H1798" s="22"/>
      <c r="I1798" s="23" t="str">
        <f t="shared" si="82"/>
        <v xml:space="preserve">COM VALOR</v>
      </c>
      <c r="J1798" s="19"/>
      <c r="L1798" s="21">
        <v>4.0300000000000002</v>
      </c>
      <c r="M1798" s="22">
        <v>0.28999999999999998</v>
      </c>
      <c r="N1798" s="21">
        <v>4.0300000000000002</v>
      </c>
      <c r="O1798" s="22">
        <v>0.28999999999999998</v>
      </c>
    </row>
    <row r="1799" ht="38.25">
      <c r="A1799" t="s">
        <v>1531</v>
      </c>
      <c r="B1799" s="19">
        <v>106254</v>
      </c>
      <c r="C1799" s="20" t="s">
        <v>1850</v>
      </c>
      <c r="D1799" s="19" t="s">
        <v>1533</v>
      </c>
      <c r="E1799" s="21" t="str">
        <f t="shared" si="80"/>
        <v>VERIFICAR</v>
      </c>
      <c r="F1799" s="22"/>
      <c r="G1799" s="21" t="str">
        <f t="shared" si="81"/>
        <v>VERIFICAR</v>
      </c>
      <c r="H1799" s="22"/>
      <c r="I1799" s="23" t="str">
        <f t="shared" si="82"/>
        <v xml:space="preserve">COM VALOR</v>
      </c>
      <c r="J1799" s="19"/>
      <c r="L1799" s="21">
        <v>0</v>
      </c>
      <c r="M1799" s="22"/>
      <c r="N1799" s="21">
        <v>0</v>
      </c>
      <c r="O1799" s="22"/>
    </row>
    <row r="1800" ht="38.25">
      <c r="A1800" t="s">
        <v>1531</v>
      </c>
      <c r="B1800" s="19">
        <v>106249</v>
      </c>
      <c r="C1800" s="20" t="s">
        <v>1851</v>
      </c>
      <c r="D1800" s="19" t="s">
        <v>1535</v>
      </c>
      <c r="E1800" s="21" t="str">
        <f t="shared" si="80"/>
        <v>VERIFICAR</v>
      </c>
      <c r="F1800" s="22">
        <v>0</v>
      </c>
      <c r="G1800" s="21" t="str">
        <f t="shared" si="81"/>
        <v>VERIFICAR</v>
      </c>
      <c r="H1800" s="22">
        <v>0</v>
      </c>
      <c r="I1800" s="23" t="str">
        <f t="shared" si="82"/>
        <v xml:space="preserve">COM VALOR</v>
      </c>
      <c r="J1800" s="19"/>
      <c r="L1800" s="21">
        <v>0</v>
      </c>
      <c r="M1800" s="22"/>
      <c r="N1800" s="21">
        <v>0</v>
      </c>
      <c r="O1800" s="22"/>
    </row>
    <row r="1801" ht="38.25">
      <c r="A1801" t="s">
        <v>1531</v>
      </c>
      <c r="B1801" s="19">
        <v>88430</v>
      </c>
      <c r="C1801" s="20" t="s">
        <v>1852</v>
      </c>
      <c r="D1801" s="19" t="s">
        <v>1533</v>
      </c>
      <c r="E1801" s="21">
        <f t="shared" si="80"/>
        <v>6.4000000000000004</v>
      </c>
      <c r="F1801" s="22">
        <v>0</v>
      </c>
      <c r="G1801" s="21">
        <f t="shared" si="81"/>
        <v>6.4000000000000004</v>
      </c>
      <c r="H1801" s="22">
        <v>0</v>
      </c>
      <c r="I1801" s="23" t="str">
        <f t="shared" si="82"/>
        <v xml:space="preserve">COM VALOR</v>
      </c>
      <c r="J1801" s="19"/>
      <c r="L1801" s="21">
        <v>6.4000000000000004</v>
      </c>
      <c r="M1801" s="22">
        <v>0</v>
      </c>
      <c r="N1801" s="21">
        <v>6.4000000000000004</v>
      </c>
      <c r="O1801" s="22">
        <v>0</v>
      </c>
    </row>
    <row r="1802" ht="38.25">
      <c r="A1802" t="s">
        <v>1531</v>
      </c>
      <c r="B1802" s="19">
        <v>88418</v>
      </c>
      <c r="C1802" s="20" t="s">
        <v>1853</v>
      </c>
      <c r="D1802" s="19" t="s">
        <v>1535</v>
      </c>
      <c r="E1802" s="21">
        <f t="shared" si="80"/>
        <v>14.09</v>
      </c>
      <c r="F1802" s="22">
        <v>0</v>
      </c>
      <c r="G1802" s="21">
        <f t="shared" si="81"/>
        <v>14.09</v>
      </c>
      <c r="H1802" s="22">
        <v>0</v>
      </c>
      <c r="I1802" s="23" t="str">
        <f t="shared" si="82"/>
        <v xml:space="preserve">COM VALOR</v>
      </c>
      <c r="J1802" s="19"/>
      <c r="L1802" s="21">
        <v>14.09</v>
      </c>
      <c r="M1802" s="22">
        <v>0</v>
      </c>
      <c r="N1802" s="21">
        <v>14.09</v>
      </c>
      <c r="O1802" s="22">
        <v>0</v>
      </c>
    </row>
    <row r="1803" ht="38.25">
      <c r="A1803" t="s">
        <v>1531</v>
      </c>
      <c r="B1803" s="19">
        <v>88438</v>
      </c>
      <c r="C1803" s="20" t="s">
        <v>1854</v>
      </c>
      <c r="D1803" s="19" t="s">
        <v>1533</v>
      </c>
      <c r="E1803" s="21">
        <f t="shared" ref="E1803:E1866" si="83">IF(L1803=0,"VERIFICAR",L1803)</f>
        <v>8.4900000000000002</v>
      </c>
      <c r="F1803" s="22">
        <v>0</v>
      </c>
      <c r="G1803" s="21">
        <f t="shared" ref="G1803:G1866" si="84">IF(N1803=0,"VERIFICAR",N1803)</f>
        <v>8.4900000000000002</v>
      </c>
      <c r="H1803" s="22">
        <v>0</v>
      </c>
      <c r="I1803" s="23" t="str">
        <f t="shared" ref="I1803:I1866" si="85">IF(OR(E1803=0,G1803=0),"SEM VALOR","COM VALOR")</f>
        <v xml:space="preserve">COM VALOR</v>
      </c>
      <c r="J1803" s="19"/>
      <c r="L1803" s="21">
        <v>8.4900000000000002</v>
      </c>
      <c r="M1803" s="22">
        <v>0</v>
      </c>
      <c r="N1803" s="21">
        <v>8.4900000000000002</v>
      </c>
      <c r="O1803" s="22">
        <v>0</v>
      </c>
    </row>
    <row r="1804" ht="38.25">
      <c r="A1804" t="s">
        <v>1531</v>
      </c>
      <c r="B1804" s="19">
        <v>88433</v>
      </c>
      <c r="C1804" s="20" t="s">
        <v>1855</v>
      </c>
      <c r="D1804" s="19" t="s">
        <v>1535</v>
      </c>
      <c r="E1804" s="21">
        <f t="shared" si="83"/>
        <v>18.300000000000001</v>
      </c>
      <c r="F1804" s="22"/>
      <c r="G1804" s="21">
        <f t="shared" si="84"/>
        <v>18.300000000000001</v>
      </c>
      <c r="H1804" s="22"/>
      <c r="I1804" s="23" t="str">
        <f t="shared" si="85"/>
        <v xml:space="preserve">COM VALOR</v>
      </c>
      <c r="J1804" s="19"/>
      <c r="L1804" s="21">
        <v>18.300000000000001</v>
      </c>
      <c r="M1804" s="22">
        <v>0</v>
      </c>
      <c r="N1804" s="21">
        <v>18.300000000000001</v>
      </c>
      <c r="O1804" s="22">
        <v>0</v>
      </c>
    </row>
    <row r="1805" ht="51">
      <c r="A1805" t="s">
        <v>1531</v>
      </c>
      <c r="B1805" s="19">
        <v>90669</v>
      </c>
      <c r="C1805" s="20" t="s">
        <v>1856</v>
      </c>
      <c r="D1805" s="19" t="s">
        <v>1533</v>
      </c>
      <c r="E1805" s="21">
        <f t="shared" si="83"/>
        <v>8.9399999999999995</v>
      </c>
      <c r="F1805" s="22"/>
      <c r="G1805" s="21">
        <f t="shared" si="84"/>
        <v>8.9399999999999995</v>
      </c>
      <c r="H1805" s="22"/>
      <c r="I1805" s="23" t="str">
        <f t="shared" si="85"/>
        <v xml:space="preserve">COM VALOR</v>
      </c>
      <c r="J1805" s="19"/>
      <c r="L1805" s="21">
        <v>8.9399999999999995</v>
      </c>
      <c r="M1805" s="22">
        <v>1</v>
      </c>
      <c r="N1805" s="21">
        <v>8.9399999999999995</v>
      </c>
      <c r="O1805" s="22">
        <v>1</v>
      </c>
    </row>
    <row r="1806" ht="51">
      <c r="A1806" t="s">
        <v>1531</v>
      </c>
      <c r="B1806" s="19">
        <v>90668</v>
      </c>
      <c r="C1806" s="20" t="s">
        <v>1857</v>
      </c>
      <c r="D1806" s="19" t="s">
        <v>1535</v>
      </c>
      <c r="E1806" s="21">
        <f t="shared" si="83"/>
        <v>34.75</v>
      </c>
      <c r="F1806" s="22">
        <v>0.63</v>
      </c>
      <c r="G1806" s="21">
        <f t="shared" si="84"/>
        <v>34.75</v>
      </c>
      <c r="H1806" s="22">
        <v>0.65000000000000002</v>
      </c>
      <c r="I1806" s="23" t="str">
        <f t="shared" si="85"/>
        <v xml:space="preserve">COM VALOR</v>
      </c>
      <c r="J1806" s="19"/>
      <c r="L1806" s="21">
        <v>34.75</v>
      </c>
      <c r="M1806" s="22">
        <v>0.51000000000000001</v>
      </c>
      <c r="N1806" s="21">
        <v>34.75</v>
      </c>
      <c r="O1806" s="22">
        <v>0.51000000000000001</v>
      </c>
    </row>
    <row r="1807" ht="25.5">
      <c r="A1807" t="s">
        <v>1531</v>
      </c>
      <c r="B1807" s="19">
        <v>102980</v>
      </c>
      <c r="C1807" s="20" t="s">
        <v>1858</v>
      </c>
      <c r="D1807" s="19" t="s">
        <v>1533</v>
      </c>
      <c r="E1807" s="21" t="str">
        <f t="shared" si="83"/>
        <v>VERIFICAR</v>
      </c>
      <c r="F1807" s="22">
        <v>0.54000000000000004</v>
      </c>
      <c r="G1807" s="21" t="str">
        <f t="shared" si="84"/>
        <v>VERIFICAR</v>
      </c>
      <c r="H1807" s="22">
        <v>0.55000000000000004</v>
      </c>
      <c r="I1807" s="23" t="str">
        <f t="shared" si="85"/>
        <v xml:space="preserve">COM VALOR</v>
      </c>
      <c r="J1807" s="19"/>
      <c r="L1807" s="21">
        <v>0</v>
      </c>
      <c r="M1807" s="22"/>
      <c r="N1807" s="21">
        <v>0</v>
      </c>
      <c r="O1807" s="22"/>
    </row>
    <row r="1808" ht="25.5">
      <c r="A1808" t="s">
        <v>1531</v>
      </c>
      <c r="B1808" s="19">
        <v>102981</v>
      </c>
      <c r="C1808" s="20" t="s">
        <v>1859</v>
      </c>
      <c r="D1808" s="19" t="s">
        <v>1535</v>
      </c>
      <c r="E1808" s="21" t="str">
        <f t="shared" si="83"/>
        <v>VERIFICAR</v>
      </c>
      <c r="F1808" s="22">
        <v>0.64000000000000001</v>
      </c>
      <c r="G1808" s="21" t="str">
        <f t="shared" si="84"/>
        <v>VERIFICAR</v>
      </c>
      <c r="H1808" s="22">
        <v>0.66000000000000003</v>
      </c>
      <c r="I1808" s="23" t="str">
        <f t="shared" si="85"/>
        <v xml:space="preserve">COM VALOR</v>
      </c>
      <c r="J1808" s="19"/>
      <c r="L1808" s="21">
        <v>0</v>
      </c>
      <c r="M1808" s="22"/>
      <c r="N1808" s="21">
        <v>0</v>
      </c>
      <c r="O1808" s="22"/>
    </row>
    <row r="1809" ht="38.25">
      <c r="A1809" t="s">
        <v>1531</v>
      </c>
      <c r="B1809" s="19">
        <v>5946</v>
      </c>
      <c r="C1809" s="20" t="s">
        <v>1860</v>
      </c>
      <c r="D1809" s="19" t="s">
        <v>1533</v>
      </c>
      <c r="E1809" s="21">
        <f t="shared" si="83"/>
        <v>93.040000000000006</v>
      </c>
      <c r="F1809" s="22">
        <v>0.51000000000000001</v>
      </c>
      <c r="G1809" s="21">
        <f t="shared" si="84"/>
        <v>91.150000000000006</v>
      </c>
      <c r="H1809" s="22">
        <v>0.52000000000000002</v>
      </c>
      <c r="I1809" s="23" t="str">
        <f t="shared" si="85"/>
        <v xml:space="preserve">COM VALOR</v>
      </c>
      <c r="J1809" s="19"/>
      <c r="L1809" s="21">
        <v>93.040000000000006</v>
      </c>
      <c r="M1809" s="22">
        <v>0</v>
      </c>
      <c r="N1809" s="21">
        <v>91.150000000000006</v>
      </c>
      <c r="O1809" s="22">
        <v>0</v>
      </c>
    </row>
    <row r="1810" ht="38.25">
      <c r="A1810" t="s">
        <v>1531</v>
      </c>
      <c r="B1810" s="19">
        <v>5944</v>
      </c>
      <c r="C1810" s="20" t="s">
        <v>1861</v>
      </c>
      <c r="D1810" s="19" t="s">
        <v>1535</v>
      </c>
      <c r="E1810" s="21">
        <f t="shared" si="83"/>
        <v>234.52000000000001</v>
      </c>
      <c r="F1810" s="22">
        <v>0.68999999999999995</v>
      </c>
      <c r="G1810" s="21">
        <f t="shared" si="84"/>
        <v>232.63</v>
      </c>
      <c r="H1810" s="22">
        <v>0.69999999999999996</v>
      </c>
      <c r="I1810" s="23" t="str">
        <f t="shared" si="85"/>
        <v xml:space="preserve">COM VALOR</v>
      </c>
      <c r="J1810" s="19"/>
      <c r="L1810" s="21">
        <v>234.52000000000001</v>
      </c>
      <c r="M1810" s="22">
        <v>0</v>
      </c>
      <c r="N1810" s="21">
        <v>232.63</v>
      </c>
      <c r="O1810" s="22">
        <v>0</v>
      </c>
    </row>
    <row r="1811" ht="38.25">
      <c r="A1811" t="s">
        <v>1531</v>
      </c>
      <c r="B1811" s="19">
        <v>5942</v>
      </c>
      <c r="C1811" s="20" t="s">
        <v>1862</v>
      </c>
      <c r="D1811" s="19" t="s">
        <v>1533</v>
      </c>
      <c r="E1811" s="21">
        <f t="shared" si="83"/>
        <v>75.659999999999997</v>
      </c>
      <c r="F1811" s="22">
        <v>0.53000000000000003</v>
      </c>
      <c r="G1811" s="21">
        <f t="shared" si="84"/>
        <v>73.769999999999996</v>
      </c>
      <c r="H1811" s="22">
        <v>0.53000000000000003</v>
      </c>
      <c r="I1811" s="23" t="str">
        <f t="shared" si="85"/>
        <v xml:space="preserve">COM VALOR</v>
      </c>
      <c r="J1811" s="19"/>
      <c r="L1811" s="21">
        <v>75.659999999999997</v>
      </c>
      <c r="M1811" s="22">
        <v>0</v>
      </c>
      <c r="N1811" s="21">
        <v>73.769999999999996</v>
      </c>
      <c r="O1811" s="22">
        <v>0</v>
      </c>
    </row>
    <row r="1812" ht="38.25">
      <c r="A1812" t="s">
        <v>1531</v>
      </c>
      <c r="B1812" s="19">
        <v>5940</v>
      </c>
      <c r="C1812" s="20" t="s">
        <v>1863</v>
      </c>
      <c r="D1812" s="19" t="s">
        <v>1535</v>
      </c>
      <c r="E1812" s="21">
        <f t="shared" si="83"/>
        <v>171.97999999999999</v>
      </c>
      <c r="F1812" s="22">
        <v>0.68000000000000005</v>
      </c>
      <c r="G1812" s="21">
        <f t="shared" si="84"/>
        <v>170.09</v>
      </c>
      <c r="H1812" s="22">
        <v>0.69999999999999996</v>
      </c>
      <c r="I1812" s="23" t="str">
        <f t="shared" si="85"/>
        <v xml:space="preserve">COM VALOR</v>
      </c>
      <c r="J1812" s="19"/>
      <c r="L1812" s="21">
        <v>171.97999999999999</v>
      </c>
      <c r="M1812" s="22">
        <v>0</v>
      </c>
      <c r="N1812" s="21">
        <v>170.09</v>
      </c>
      <c r="O1812" s="22">
        <v>0</v>
      </c>
    </row>
    <row r="1813" ht="25.5">
      <c r="A1813" t="s">
        <v>1531</v>
      </c>
      <c r="B1813" s="19">
        <v>102893</v>
      </c>
      <c r="C1813" s="20" t="s">
        <v>1864</v>
      </c>
      <c r="D1813" s="19" t="s">
        <v>1533</v>
      </c>
      <c r="E1813" s="21" t="str">
        <f t="shared" si="83"/>
        <v>VERIFICAR</v>
      </c>
      <c r="F1813" s="22">
        <v>0.5</v>
      </c>
      <c r="G1813" s="21" t="str">
        <f t="shared" si="84"/>
        <v>VERIFICAR</v>
      </c>
      <c r="H1813" s="22">
        <v>0.51000000000000001</v>
      </c>
      <c r="I1813" s="23" t="str">
        <f t="shared" si="85"/>
        <v xml:space="preserve">COM VALOR</v>
      </c>
      <c r="J1813" s="19"/>
      <c r="L1813" s="21">
        <v>0</v>
      </c>
      <c r="M1813" s="22"/>
      <c r="N1813" s="21">
        <v>0</v>
      </c>
      <c r="O1813" s="22"/>
    </row>
    <row r="1814" ht="25.5">
      <c r="A1814" t="s">
        <v>1531</v>
      </c>
      <c r="B1814" s="19">
        <v>102892</v>
      </c>
      <c r="C1814" s="20" t="s">
        <v>1865</v>
      </c>
      <c r="D1814" s="19" t="s">
        <v>1535</v>
      </c>
      <c r="E1814" s="21" t="str">
        <f t="shared" si="83"/>
        <v>VERIFICAR</v>
      </c>
      <c r="F1814" s="22">
        <v>0.88</v>
      </c>
      <c r="G1814" s="21" t="str">
        <f t="shared" si="84"/>
        <v>VERIFICAR</v>
      </c>
      <c r="H1814" s="22">
        <v>0.89000000000000001</v>
      </c>
      <c r="I1814" s="23" t="str">
        <f t="shared" si="85"/>
        <v xml:space="preserve">COM VALOR</v>
      </c>
      <c r="J1814" s="19"/>
      <c r="L1814" s="21">
        <v>0</v>
      </c>
      <c r="M1814" s="22"/>
      <c r="N1814" s="21">
        <v>0</v>
      </c>
      <c r="O1814" s="22"/>
    </row>
    <row r="1815" ht="25.5">
      <c r="A1815" t="s">
        <v>1531</v>
      </c>
      <c r="B1815" s="19">
        <v>89251</v>
      </c>
      <c r="C1815" s="20" t="s">
        <v>1866</v>
      </c>
      <c r="D1815" s="19" t="s">
        <v>1533</v>
      </c>
      <c r="E1815" s="21">
        <f t="shared" si="83"/>
        <v>356.70999999999998</v>
      </c>
      <c r="F1815" s="22">
        <v>0.65000000000000002</v>
      </c>
      <c r="G1815" s="21">
        <f t="shared" si="84"/>
        <v>354.81999999999999</v>
      </c>
      <c r="H1815" s="22">
        <v>0.65000000000000002</v>
      </c>
      <c r="I1815" s="23" t="str">
        <f t="shared" si="85"/>
        <v xml:space="preserve">COM VALOR</v>
      </c>
      <c r="J1815" s="19"/>
      <c r="L1815" s="21">
        <v>356.70999999999998</v>
      </c>
      <c r="M1815" s="22">
        <v>0.91000000000000003</v>
      </c>
      <c r="N1815" s="21">
        <v>354.81999999999999</v>
      </c>
      <c r="O1815" s="22">
        <v>0.92000000000000004</v>
      </c>
    </row>
    <row r="1816" ht="25.5">
      <c r="A1816" t="s">
        <v>1531</v>
      </c>
      <c r="B1816" s="19">
        <v>89250</v>
      </c>
      <c r="C1816" s="20" t="s">
        <v>1867</v>
      </c>
      <c r="D1816" s="19" t="s">
        <v>1535</v>
      </c>
      <c r="E1816" s="21">
        <f t="shared" si="83"/>
        <v>1229.3800000000001</v>
      </c>
      <c r="F1816" s="22">
        <v>0.5</v>
      </c>
      <c r="G1816" s="21">
        <f t="shared" si="84"/>
        <v>1227.49</v>
      </c>
      <c r="H1816" s="22">
        <v>0.52000000000000002</v>
      </c>
      <c r="I1816" s="23" t="str">
        <f t="shared" si="85"/>
        <v xml:space="preserve">COM VALOR</v>
      </c>
      <c r="J1816" s="19"/>
      <c r="L1816" s="21">
        <v>1229.3800000000001</v>
      </c>
      <c r="M1816" s="22">
        <v>0.63</v>
      </c>
      <c r="N1816" s="21">
        <v>1227.49</v>
      </c>
      <c r="O1816" s="22">
        <v>0.63</v>
      </c>
    </row>
    <row r="1817" ht="38.25">
      <c r="A1817" t="s">
        <v>1531</v>
      </c>
      <c r="B1817" s="19">
        <v>102959</v>
      </c>
      <c r="C1817" s="20" t="s">
        <v>1868</v>
      </c>
      <c r="D1817" s="19" t="s">
        <v>1533</v>
      </c>
      <c r="E1817" s="21" t="str">
        <f t="shared" si="83"/>
        <v>VERIFICAR</v>
      </c>
      <c r="F1817" s="22">
        <v>0.29999999999999999</v>
      </c>
      <c r="G1817" s="21" t="str">
        <f t="shared" si="84"/>
        <v>VERIFICAR</v>
      </c>
      <c r="H1817" s="22">
        <v>0.29999999999999999</v>
      </c>
      <c r="I1817" s="23" t="str">
        <f t="shared" si="85"/>
        <v xml:space="preserve">COM VALOR</v>
      </c>
      <c r="J1817" s="19"/>
      <c r="L1817" s="21">
        <v>0</v>
      </c>
      <c r="M1817" s="22"/>
      <c r="N1817" s="21">
        <v>0</v>
      </c>
      <c r="O1817" s="22"/>
    </row>
    <row r="1818" ht="38.25">
      <c r="A1818" t="s">
        <v>1531</v>
      </c>
      <c r="B1818" s="19">
        <v>102958</v>
      </c>
      <c r="C1818" s="20" t="s">
        <v>1869</v>
      </c>
      <c r="D1818" s="19" t="s">
        <v>1535</v>
      </c>
      <c r="E1818" s="21" t="str">
        <f t="shared" si="83"/>
        <v>VERIFICAR</v>
      </c>
      <c r="F1818" s="22">
        <v>0.5</v>
      </c>
      <c r="G1818" s="21" t="str">
        <f t="shared" si="84"/>
        <v>VERIFICAR</v>
      </c>
      <c r="H1818" s="22">
        <v>0.52000000000000002</v>
      </c>
      <c r="I1818" s="23" t="str">
        <f t="shared" si="85"/>
        <v xml:space="preserve">COM VALOR</v>
      </c>
      <c r="J1818" s="19"/>
      <c r="L1818" s="21">
        <v>0</v>
      </c>
      <c r="M1818" s="22"/>
      <c r="N1818" s="21">
        <v>0</v>
      </c>
      <c r="O1818" s="22"/>
    </row>
    <row r="1819" ht="51">
      <c r="A1819" t="s">
        <v>1531</v>
      </c>
      <c r="B1819" s="19">
        <v>5681</v>
      </c>
      <c r="C1819" s="20" t="s">
        <v>1870</v>
      </c>
      <c r="D1819" s="19" t="s">
        <v>1533</v>
      </c>
      <c r="E1819" s="21">
        <f t="shared" si="83"/>
        <v>63.409999999999997</v>
      </c>
      <c r="F1819" s="22">
        <v>0.29999999999999999</v>
      </c>
      <c r="G1819" s="21">
        <f t="shared" si="84"/>
        <v>61.280000000000001</v>
      </c>
      <c r="H1819" s="22">
        <v>0.29999999999999999</v>
      </c>
      <c r="I1819" s="23" t="str">
        <f t="shared" si="85"/>
        <v xml:space="preserve">COM VALOR</v>
      </c>
      <c r="J1819" s="19"/>
      <c r="L1819" s="21">
        <v>63.409999999999997</v>
      </c>
      <c r="M1819" s="22">
        <v>0</v>
      </c>
      <c r="N1819" s="21">
        <v>61.280000000000001</v>
      </c>
      <c r="O1819" s="22">
        <v>0</v>
      </c>
    </row>
    <row r="1820" ht="51">
      <c r="A1820" t="s">
        <v>1531</v>
      </c>
      <c r="B1820" s="19">
        <v>5680</v>
      </c>
      <c r="C1820" s="20" t="s">
        <v>1871</v>
      </c>
      <c r="D1820" s="19" t="s">
        <v>1535</v>
      </c>
      <c r="E1820" s="21">
        <f t="shared" si="83"/>
        <v>144.46000000000001</v>
      </c>
      <c r="F1820" s="22">
        <v>0.44</v>
      </c>
      <c r="G1820" s="21">
        <f t="shared" si="84"/>
        <v>142.33000000000001</v>
      </c>
      <c r="H1820" s="22">
        <v>0.46000000000000002</v>
      </c>
      <c r="I1820" s="23" t="str">
        <f t="shared" si="85"/>
        <v xml:space="preserve">COM VALOR</v>
      </c>
      <c r="J1820" s="19"/>
      <c r="L1820" s="21">
        <v>144.46000000000001</v>
      </c>
      <c r="M1820" s="22">
        <v>0</v>
      </c>
      <c r="N1820" s="21">
        <v>142.33000000000001</v>
      </c>
      <c r="O1820" s="22">
        <v>0</v>
      </c>
    </row>
    <row r="1821" ht="51">
      <c r="A1821" t="s">
        <v>1531</v>
      </c>
      <c r="B1821" s="19">
        <v>5877</v>
      </c>
      <c r="C1821" s="20" t="s">
        <v>1872</v>
      </c>
      <c r="D1821" s="19" t="s">
        <v>1533</v>
      </c>
      <c r="E1821" s="21">
        <f t="shared" si="83"/>
        <v>65.900000000000006</v>
      </c>
      <c r="F1821" s="22">
        <v>0.29999999999999999</v>
      </c>
      <c r="G1821" s="21">
        <f t="shared" si="84"/>
        <v>63.770000000000003</v>
      </c>
      <c r="H1821" s="22">
        <v>0.29999999999999999</v>
      </c>
      <c r="I1821" s="23" t="str">
        <f t="shared" si="85"/>
        <v xml:space="preserve">COM VALOR</v>
      </c>
      <c r="J1821" s="19"/>
      <c r="L1821" s="21">
        <v>65.900000000000006</v>
      </c>
      <c r="M1821" s="22">
        <v>0</v>
      </c>
      <c r="N1821" s="21">
        <v>63.770000000000003</v>
      </c>
      <c r="O1821" s="22">
        <v>0</v>
      </c>
    </row>
    <row r="1822" ht="51">
      <c r="A1822" t="s">
        <v>1531</v>
      </c>
      <c r="B1822" s="19">
        <v>5875</v>
      </c>
      <c r="C1822" s="20" t="s">
        <v>1873</v>
      </c>
      <c r="D1822" s="19" t="s">
        <v>1535</v>
      </c>
      <c r="E1822" s="21">
        <f t="shared" si="83"/>
        <v>144.78999999999999</v>
      </c>
      <c r="F1822" s="22">
        <v>0.44</v>
      </c>
      <c r="G1822" s="21">
        <f t="shared" si="84"/>
        <v>142.66</v>
      </c>
      <c r="H1822" s="22">
        <v>0.46000000000000002</v>
      </c>
      <c r="I1822" s="23" t="str">
        <f t="shared" si="85"/>
        <v xml:space="preserve">COM VALOR</v>
      </c>
      <c r="J1822" s="19"/>
      <c r="L1822" s="21">
        <v>144.78999999999999</v>
      </c>
      <c r="M1822" s="22">
        <v>0</v>
      </c>
      <c r="N1822" s="21">
        <v>142.66</v>
      </c>
      <c r="O1822" s="22">
        <v>0</v>
      </c>
    </row>
    <row r="1823" ht="51">
      <c r="A1823" t="s">
        <v>1531</v>
      </c>
      <c r="B1823" s="19">
        <v>5679</v>
      </c>
      <c r="C1823" s="20" t="s">
        <v>1874</v>
      </c>
      <c r="D1823" s="19" t="s">
        <v>1533</v>
      </c>
      <c r="E1823" s="21">
        <f t="shared" si="83"/>
        <v>67.060000000000002</v>
      </c>
      <c r="F1823" s="22">
        <v>0.29999999999999999</v>
      </c>
      <c r="G1823" s="21">
        <f t="shared" si="84"/>
        <v>64.930000000000007</v>
      </c>
      <c r="H1823" s="22">
        <v>0.31</v>
      </c>
      <c r="I1823" s="23" t="str">
        <f t="shared" si="85"/>
        <v xml:space="preserve">COM VALOR</v>
      </c>
      <c r="J1823" s="19"/>
      <c r="L1823" s="21">
        <v>67.060000000000002</v>
      </c>
      <c r="M1823" s="22">
        <v>0</v>
      </c>
      <c r="N1823" s="21">
        <v>64.930000000000007</v>
      </c>
      <c r="O1823" s="22">
        <v>0</v>
      </c>
    </row>
    <row r="1824" ht="51">
      <c r="A1824" t="s">
        <v>1531</v>
      </c>
      <c r="B1824" s="19">
        <v>5678</v>
      </c>
      <c r="C1824" s="20" t="s">
        <v>1875</v>
      </c>
      <c r="D1824" s="19" t="s">
        <v>1535</v>
      </c>
      <c r="E1824" s="21">
        <f t="shared" si="83"/>
        <v>157.62</v>
      </c>
      <c r="F1824" s="22">
        <v>0.46000000000000002</v>
      </c>
      <c r="G1824" s="21">
        <f t="shared" si="84"/>
        <v>155.49000000000001</v>
      </c>
      <c r="H1824" s="22">
        <v>0.47999999999999998</v>
      </c>
      <c r="I1824" s="23" t="str">
        <f t="shared" si="85"/>
        <v xml:space="preserve">COM VALOR</v>
      </c>
      <c r="J1824" s="19"/>
      <c r="L1824" s="21">
        <v>157.62</v>
      </c>
      <c r="M1824" s="22">
        <v>0</v>
      </c>
      <c r="N1824" s="21">
        <v>155.49000000000001</v>
      </c>
      <c r="O1824" s="22">
        <v>0</v>
      </c>
    </row>
    <row r="1825" ht="38.25">
      <c r="A1825" t="s">
        <v>1531</v>
      </c>
      <c r="B1825" s="19">
        <v>6880</v>
      </c>
      <c r="C1825" s="20" t="s">
        <v>1876</v>
      </c>
      <c r="D1825" s="19" t="s">
        <v>1533</v>
      </c>
      <c r="E1825" s="21">
        <f t="shared" si="83"/>
        <v>84.219999999999999</v>
      </c>
      <c r="F1825" s="22">
        <v>0.26000000000000001</v>
      </c>
      <c r="G1825" s="21">
        <f t="shared" si="84"/>
        <v>82.519999999999996</v>
      </c>
      <c r="H1825" s="22">
        <v>0.27000000000000002</v>
      </c>
      <c r="I1825" s="23" t="str">
        <f t="shared" si="85"/>
        <v xml:space="preserve">COM VALOR</v>
      </c>
      <c r="J1825" s="19"/>
      <c r="L1825" s="21">
        <v>84.219999999999999</v>
      </c>
      <c r="M1825" s="22">
        <v>0.66000000000000003</v>
      </c>
      <c r="N1825" s="21">
        <v>82.519999999999996</v>
      </c>
      <c r="O1825" s="22">
        <v>0.68000000000000005</v>
      </c>
    </row>
    <row r="1826" ht="38.25">
      <c r="A1826" t="s">
        <v>1531</v>
      </c>
      <c r="B1826" s="19">
        <v>6879</v>
      </c>
      <c r="C1826" s="20" t="s">
        <v>1877</v>
      </c>
      <c r="D1826" s="19" t="s">
        <v>1535</v>
      </c>
      <c r="E1826" s="21">
        <f t="shared" si="83"/>
        <v>212.56</v>
      </c>
      <c r="F1826" s="22">
        <v>0.38</v>
      </c>
      <c r="G1826" s="21">
        <f t="shared" si="84"/>
        <v>210.86000000000001</v>
      </c>
      <c r="H1826" s="22">
        <v>0.40000000000000002</v>
      </c>
      <c r="I1826" s="23" t="str">
        <f t="shared" si="85"/>
        <v xml:space="preserve">COM VALOR</v>
      </c>
      <c r="J1826" s="19"/>
      <c r="L1826" s="21">
        <v>212.56</v>
      </c>
      <c r="M1826" s="22">
        <v>0.52000000000000002</v>
      </c>
      <c r="N1826" s="21">
        <v>210.86000000000001</v>
      </c>
      <c r="O1826" s="22">
        <v>0.53000000000000003</v>
      </c>
    </row>
    <row r="1827" ht="38.25">
      <c r="A1827" t="s">
        <v>1531</v>
      </c>
      <c r="B1827" s="19">
        <v>96464</v>
      </c>
      <c r="C1827" s="20" t="s">
        <v>1878</v>
      </c>
      <c r="D1827" s="19" t="s">
        <v>1533</v>
      </c>
      <c r="E1827" s="21">
        <f t="shared" si="83"/>
        <v>87.650000000000006</v>
      </c>
      <c r="F1827" s="22">
        <v>0.25</v>
      </c>
      <c r="G1827" s="21">
        <f t="shared" si="84"/>
        <v>85.950000000000003</v>
      </c>
      <c r="H1827" s="22">
        <v>0.26000000000000001</v>
      </c>
      <c r="I1827" s="23" t="str">
        <f t="shared" si="85"/>
        <v xml:space="preserve">COM VALOR</v>
      </c>
      <c r="J1827" s="19"/>
      <c r="L1827" s="21">
        <v>87.650000000000006</v>
      </c>
      <c r="M1827" s="22">
        <v>0.68000000000000005</v>
      </c>
      <c r="N1827" s="21">
        <v>85.950000000000003</v>
      </c>
      <c r="O1827" s="22">
        <v>0.68999999999999995</v>
      </c>
    </row>
    <row r="1828" ht="38.25">
      <c r="A1828" t="s">
        <v>1531</v>
      </c>
      <c r="B1828" s="19">
        <v>96463</v>
      </c>
      <c r="C1828" s="20" t="s">
        <v>1879</v>
      </c>
      <c r="D1828" s="19" t="s">
        <v>1535</v>
      </c>
      <c r="E1828" s="21">
        <f t="shared" si="83"/>
        <v>218.71000000000001</v>
      </c>
      <c r="F1828" s="22"/>
      <c r="G1828" s="21">
        <f t="shared" si="84"/>
        <v>217.00999999999999</v>
      </c>
      <c r="H1828" s="22"/>
      <c r="I1828" s="23" t="str">
        <f t="shared" si="85"/>
        <v xml:space="preserve">COM VALOR</v>
      </c>
      <c r="J1828" s="19"/>
      <c r="L1828" s="21">
        <v>218.71000000000001</v>
      </c>
      <c r="M1828" s="22">
        <v>0.54000000000000004</v>
      </c>
      <c r="N1828" s="21">
        <v>217.00999999999999</v>
      </c>
      <c r="O1828" s="22">
        <v>0.54000000000000004</v>
      </c>
    </row>
    <row r="1829" ht="51">
      <c r="A1829" t="s">
        <v>1531</v>
      </c>
      <c r="B1829" s="19">
        <v>7050</v>
      </c>
      <c r="C1829" s="20" t="s">
        <v>1880</v>
      </c>
      <c r="D1829" s="19" t="s">
        <v>1533</v>
      </c>
      <c r="E1829" s="21">
        <f t="shared" si="83"/>
        <v>77.959999999999994</v>
      </c>
      <c r="F1829" s="22"/>
      <c r="G1829" s="21">
        <f t="shared" si="84"/>
        <v>76.260000000000005</v>
      </c>
      <c r="H1829" s="22"/>
      <c r="I1829" s="23" t="str">
        <f t="shared" si="85"/>
        <v xml:space="preserve">COM VALOR</v>
      </c>
      <c r="J1829" s="19"/>
      <c r="L1829" s="21">
        <v>77.959999999999994</v>
      </c>
      <c r="M1829" s="22">
        <v>0.64000000000000001</v>
      </c>
      <c r="N1829" s="21">
        <v>76.260000000000005</v>
      </c>
      <c r="O1829" s="22">
        <v>0.65000000000000002</v>
      </c>
    </row>
    <row r="1830" ht="51">
      <c r="A1830" t="s">
        <v>1531</v>
      </c>
      <c r="B1830" s="19">
        <v>7049</v>
      </c>
      <c r="C1830" s="20" t="s">
        <v>1881</v>
      </c>
      <c r="D1830" s="19" t="s">
        <v>1535</v>
      </c>
      <c r="E1830" s="21">
        <f t="shared" si="83"/>
        <v>228.24000000000001</v>
      </c>
      <c r="F1830" s="22">
        <v>8.9999999999999997e-002</v>
      </c>
      <c r="G1830" s="21">
        <f t="shared" si="84"/>
        <v>226.53999999999999</v>
      </c>
      <c r="H1830" s="22">
        <v>0.10000000000000001</v>
      </c>
      <c r="I1830" s="23" t="str">
        <f t="shared" si="85"/>
        <v xml:space="preserve">COM VALOR</v>
      </c>
      <c r="J1830" s="19"/>
      <c r="L1830" s="21">
        <v>228.24000000000001</v>
      </c>
      <c r="M1830" s="22">
        <v>0.42999999999999999</v>
      </c>
      <c r="N1830" s="21">
        <v>226.53999999999999</v>
      </c>
      <c r="O1830" s="22">
        <v>0.44</v>
      </c>
    </row>
    <row r="1831" ht="38.25">
      <c r="A1831" t="s">
        <v>1531</v>
      </c>
      <c r="B1831" s="19">
        <v>95632</v>
      </c>
      <c r="C1831" s="20" t="s">
        <v>1882</v>
      </c>
      <c r="D1831" s="19" t="s">
        <v>1533</v>
      </c>
      <c r="E1831" s="21">
        <f t="shared" si="83"/>
        <v>81.819999999999993</v>
      </c>
      <c r="F1831" s="22">
        <v>8.9999999999999997e-002</v>
      </c>
      <c r="G1831" s="21">
        <f t="shared" si="84"/>
        <v>80.120000000000005</v>
      </c>
      <c r="H1831" s="22">
        <v>8.9999999999999997e-002</v>
      </c>
      <c r="I1831" s="23" t="str">
        <f t="shared" si="85"/>
        <v xml:space="preserve">COM VALOR</v>
      </c>
      <c r="J1831" s="19"/>
      <c r="L1831" s="21">
        <v>81.819999999999993</v>
      </c>
      <c r="M1831" s="22">
        <v>0.65000000000000002</v>
      </c>
      <c r="N1831" s="21">
        <v>80.120000000000005</v>
      </c>
      <c r="O1831" s="22">
        <v>0.67000000000000004</v>
      </c>
    </row>
    <row r="1832" ht="38.25">
      <c r="A1832" t="s">
        <v>1531</v>
      </c>
      <c r="B1832" s="19">
        <v>95631</v>
      </c>
      <c r="C1832" s="20" t="s">
        <v>1883</v>
      </c>
      <c r="D1832" s="19" t="s">
        <v>1535</v>
      </c>
      <c r="E1832" s="21">
        <f t="shared" si="83"/>
        <v>235.97999999999999</v>
      </c>
      <c r="F1832" s="22">
        <v>0.93000000000000005</v>
      </c>
      <c r="G1832" s="21">
        <f t="shared" si="84"/>
        <v>234.28</v>
      </c>
      <c r="H1832" s="22">
        <v>0.93999999999999995</v>
      </c>
      <c r="I1832" s="23" t="str">
        <f t="shared" si="85"/>
        <v xml:space="preserve">COM VALOR</v>
      </c>
      <c r="J1832" s="19"/>
      <c r="L1832" s="21">
        <v>235.97999999999999</v>
      </c>
      <c r="M1832" s="22">
        <v>0.45000000000000001</v>
      </c>
      <c r="N1832" s="21">
        <v>234.28</v>
      </c>
      <c r="O1832" s="22">
        <v>0.45000000000000001</v>
      </c>
    </row>
    <row r="1833" ht="38.25">
      <c r="A1833" t="s">
        <v>1531</v>
      </c>
      <c r="B1833" s="19">
        <v>5685</v>
      </c>
      <c r="C1833" s="20" t="s">
        <v>1884</v>
      </c>
      <c r="D1833" s="19" t="s">
        <v>1533</v>
      </c>
      <c r="E1833" s="21">
        <f t="shared" si="83"/>
        <v>64.049999999999997</v>
      </c>
      <c r="F1833" s="22">
        <v>0.17999999999999999</v>
      </c>
      <c r="G1833" s="21">
        <f t="shared" si="84"/>
        <v>62.350000000000001</v>
      </c>
      <c r="H1833" s="22">
        <v>0.17999999999999999</v>
      </c>
      <c r="I1833" s="23" t="str">
        <f t="shared" si="85"/>
        <v xml:space="preserve">COM VALOR</v>
      </c>
      <c r="J1833" s="19"/>
      <c r="L1833" s="21">
        <v>64.049999999999997</v>
      </c>
      <c r="M1833" s="22">
        <v>0.56000000000000005</v>
      </c>
      <c r="N1833" s="21">
        <v>62.350000000000001</v>
      </c>
      <c r="O1833" s="22">
        <v>0.56999999999999995</v>
      </c>
    </row>
    <row r="1834" ht="38.25">
      <c r="A1834" t="s">
        <v>1531</v>
      </c>
      <c r="B1834" s="19">
        <v>5684</v>
      </c>
      <c r="C1834" s="20" t="s">
        <v>1885</v>
      </c>
      <c r="D1834" s="19" t="s">
        <v>1535</v>
      </c>
      <c r="E1834" s="21">
        <f t="shared" si="83"/>
        <v>164.22</v>
      </c>
      <c r="F1834" s="22">
        <v>0.26000000000000001</v>
      </c>
      <c r="G1834" s="21">
        <f t="shared" si="84"/>
        <v>162.52000000000001</v>
      </c>
      <c r="H1834" s="22">
        <v>0.27000000000000002</v>
      </c>
      <c r="I1834" s="23" t="str">
        <f t="shared" si="85"/>
        <v xml:space="preserve">COM VALOR</v>
      </c>
      <c r="J1834" s="19"/>
      <c r="L1834" s="21">
        <v>164.22</v>
      </c>
      <c r="M1834" s="22">
        <v>0.42999999999999999</v>
      </c>
      <c r="N1834" s="21">
        <v>162.52000000000001</v>
      </c>
      <c r="O1834" s="22">
        <v>0.44</v>
      </c>
    </row>
    <row r="1835" ht="38.25">
      <c r="A1835" t="s">
        <v>1531</v>
      </c>
      <c r="B1835" s="19">
        <v>93244</v>
      </c>
      <c r="C1835" s="20" t="s">
        <v>1886</v>
      </c>
      <c r="D1835" s="19" t="s">
        <v>1533</v>
      </c>
      <c r="E1835" s="21">
        <f t="shared" si="83"/>
        <v>65.530000000000001</v>
      </c>
      <c r="F1835" s="22">
        <v>0.34000000000000002</v>
      </c>
      <c r="G1835" s="21">
        <f t="shared" si="84"/>
        <v>63.829999999999998</v>
      </c>
      <c r="H1835" s="22">
        <v>0.35999999999999999</v>
      </c>
      <c r="I1835" s="23" t="str">
        <f t="shared" si="85"/>
        <v xml:space="preserve">COM VALOR</v>
      </c>
      <c r="J1835" s="19"/>
      <c r="L1835" s="21">
        <v>65.530000000000001</v>
      </c>
      <c r="M1835" s="22">
        <v>0.56999999999999995</v>
      </c>
      <c r="N1835" s="21">
        <v>63.829999999999998</v>
      </c>
      <c r="O1835" s="22">
        <v>0.57999999999999996</v>
      </c>
    </row>
    <row r="1836" ht="38.25">
      <c r="A1836" t="s">
        <v>1531</v>
      </c>
      <c r="B1836" s="19">
        <v>73436</v>
      </c>
      <c r="C1836" s="20" t="s">
        <v>1887</v>
      </c>
      <c r="D1836" s="19" t="s">
        <v>1535</v>
      </c>
      <c r="E1836" s="21">
        <f t="shared" si="83"/>
        <v>167.11000000000001</v>
      </c>
      <c r="F1836" s="22">
        <v>0.60999999999999999</v>
      </c>
      <c r="G1836" s="21">
        <f t="shared" si="84"/>
        <v>165.41</v>
      </c>
      <c r="H1836" s="22">
        <v>0.63</v>
      </c>
      <c r="I1836" s="23" t="str">
        <f t="shared" si="85"/>
        <v xml:space="preserve">COM VALOR</v>
      </c>
      <c r="J1836" s="19"/>
      <c r="L1836" s="21">
        <v>167.11000000000001</v>
      </c>
      <c r="M1836" s="22">
        <v>0.44</v>
      </c>
      <c r="N1836" s="21">
        <v>165.41</v>
      </c>
      <c r="O1836" s="22">
        <v>0.44750000000000001</v>
      </c>
    </row>
    <row r="1837" ht="38.25">
      <c r="A1837" t="s">
        <v>1531</v>
      </c>
      <c r="B1837" s="19">
        <v>5881</v>
      </c>
      <c r="C1837" s="20" t="s">
        <v>1888</v>
      </c>
      <c r="D1837" s="19" t="s">
        <v>1533</v>
      </c>
      <c r="E1837" s="21">
        <f t="shared" si="83"/>
        <v>77.180000000000007</v>
      </c>
      <c r="F1837" s="22">
        <v>0.59999999999999998</v>
      </c>
      <c r="G1837" s="21">
        <f t="shared" si="84"/>
        <v>75.480000000000004</v>
      </c>
      <c r="H1837" s="22">
        <v>0.60999999999999999</v>
      </c>
      <c r="I1837" s="23" t="str">
        <f t="shared" si="85"/>
        <v xml:space="preserve">COM VALOR</v>
      </c>
      <c r="J1837" s="19"/>
      <c r="L1837" s="21">
        <v>77.180000000000007</v>
      </c>
      <c r="M1837" s="22">
        <v>0.63</v>
      </c>
      <c r="N1837" s="21">
        <v>75.480000000000004</v>
      </c>
      <c r="O1837" s="22">
        <v>0.65000000000000002</v>
      </c>
    </row>
    <row r="1838" ht="38.25">
      <c r="A1838" t="s">
        <v>1531</v>
      </c>
      <c r="B1838" s="19">
        <v>5879</v>
      </c>
      <c r="C1838" s="20" t="s">
        <v>1889</v>
      </c>
      <c r="D1838" s="19" t="s">
        <v>1535</v>
      </c>
      <c r="E1838" s="21">
        <f t="shared" si="83"/>
        <v>139.03999999999999</v>
      </c>
      <c r="F1838" s="22">
        <v>0.87</v>
      </c>
      <c r="G1838" s="21">
        <f t="shared" si="84"/>
        <v>137.34</v>
      </c>
      <c r="H1838" s="22">
        <v>0.88</v>
      </c>
      <c r="I1838" s="23" t="str">
        <f t="shared" si="85"/>
        <v xml:space="preserve">COM VALOR</v>
      </c>
      <c r="J1838" s="19"/>
      <c r="L1838" s="21">
        <v>139.03999999999999</v>
      </c>
      <c r="M1838" s="22">
        <v>0.69999999999999996</v>
      </c>
      <c r="N1838" s="21">
        <v>137.34</v>
      </c>
      <c r="O1838" s="22">
        <v>0.70999999999999996</v>
      </c>
    </row>
    <row r="1839" ht="38.25">
      <c r="A1839" t="s">
        <v>1531</v>
      </c>
      <c r="B1839" s="19">
        <v>5865</v>
      </c>
      <c r="C1839" s="20" t="s">
        <v>1890</v>
      </c>
      <c r="D1839" s="19" t="s">
        <v>1533</v>
      </c>
      <c r="E1839" s="21">
        <f t="shared" si="83"/>
        <v>10.800000000000001</v>
      </c>
      <c r="F1839" s="22">
        <v>0.10000000000000001</v>
      </c>
      <c r="G1839" s="21">
        <f t="shared" si="84"/>
        <v>10.800000000000001</v>
      </c>
      <c r="H1839" s="22">
        <v>0.10000000000000001</v>
      </c>
      <c r="I1839" s="23" t="str">
        <f t="shared" si="85"/>
        <v xml:space="preserve">COM VALOR</v>
      </c>
      <c r="J1839" s="19"/>
      <c r="L1839" s="21">
        <v>10.800000000000001</v>
      </c>
      <c r="M1839" s="22">
        <v>1</v>
      </c>
      <c r="N1839" s="21">
        <v>10.800000000000001</v>
      </c>
      <c r="O1839" s="22">
        <v>1</v>
      </c>
    </row>
    <row r="1840" ht="38.25">
      <c r="A1840" t="s">
        <v>1531</v>
      </c>
      <c r="B1840" s="19">
        <v>5863</v>
      </c>
      <c r="C1840" s="20" t="s">
        <v>1891</v>
      </c>
      <c r="D1840" s="19" t="s">
        <v>1535</v>
      </c>
      <c r="E1840" s="21">
        <f t="shared" si="83"/>
        <v>21.460000000000001</v>
      </c>
      <c r="F1840" s="22">
        <v>0.64000000000000001</v>
      </c>
      <c r="G1840" s="21">
        <f t="shared" si="84"/>
        <v>21.460000000000001</v>
      </c>
      <c r="H1840" s="22">
        <v>0.66000000000000003</v>
      </c>
      <c r="I1840" s="23" t="str">
        <f t="shared" si="85"/>
        <v xml:space="preserve">COM VALOR</v>
      </c>
      <c r="J1840" s="19"/>
      <c r="L1840" s="21">
        <v>21.460000000000001</v>
      </c>
      <c r="M1840" s="22">
        <v>1</v>
      </c>
      <c r="N1840" s="21">
        <v>21.460000000000001</v>
      </c>
      <c r="O1840" s="22">
        <v>1</v>
      </c>
    </row>
    <row r="1841" ht="38.25">
      <c r="A1841" t="s">
        <v>1531</v>
      </c>
      <c r="B1841" s="19">
        <v>5869</v>
      </c>
      <c r="C1841" s="20" t="s">
        <v>1892</v>
      </c>
      <c r="D1841" s="19" t="s">
        <v>1533</v>
      </c>
      <c r="E1841" s="21">
        <f t="shared" si="83"/>
        <v>72.219999999999999</v>
      </c>
      <c r="F1841" s="22">
        <v>0.14999999999999999</v>
      </c>
      <c r="G1841" s="21">
        <f t="shared" si="84"/>
        <v>70.519999999999996</v>
      </c>
      <c r="H1841" s="22">
        <v>0.14999999999999999</v>
      </c>
      <c r="I1841" s="23" t="str">
        <f t="shared" si="85"/>
        <v xml:space="preserve">COM VALOR</v>
      </c>
      <c r="J1841" s="19"/>
      <c r="L1841" s="21">
        <v>72.219999999999999</v>
      </c>
      <c r="M1841" s="22">
        <v>0.60999999999999999</v>
      </c>
      <c r="N1841" s="21">
        <v>70.519999999999996</v>
      </c>
      <c r="O1841" s="22">
        <v>0.62</v>
      </c>
    </row>
    <row r="1842" ht="38.25">
      <c r="A1842" t="s">
        <v>1531</v>
      </c>
      <c r="B1842" s="19">
        <v>5867</v>
      </c>
      <c r="C1842" s="20" t="s">
        <v>1893</v>
      </c>
      <c r="D1842" s="19" t="s">
        <v>1535</v>
      </c>
      <c r="E1842" s="21">
        <f t="shared" si="83"/>
        <v>161.97999999999999</v>
      </c>
      <c r="F1842" s="22">
        <v>0.45000000000000001</v>
      </c>
      <c r="G1842" s="21">
        <f t="shared" si="84"/>
        <v>160.28</v>
      </c>
      <c r="H1842" s="22">
        <v>0.46999999999999997</v>
      </c>
      <c r="I1842" s="23" t="str">
        <f t="shared" si="85"/>
        <v xml:space="preserve">COM VALOR</v>
      </c>
      <c r="J1842" s="19"/>
      <c r="L1842" s="21">
        <v>161.97999999999999</v>
      </c>
      <c r="M1842" s="22">
        <v>0.54000000000000004</v>
      </c>
      <c r="N1842" s="21">
        <v>160.28</v>
      </c>
      <c r="O1842" s="22">
        <v>0.55000000000000004</v>
      </c>
    </row>
    <row r="1843" ht="38.25">
      <c r="A1843" t="s">
        <v>1531</v>
      </c>
      <c r="B1843" s="19">
        <v>95271</v>
      </c>
      <c r="C1843" s="20" t="s">
        <v>1894</v>
      </c>
      <c r="D1843" s="19" t="s">
        <v>1533</v>
      </c>
      <c r="E1843" s="21">
        <f t="shared" si="83"/>
        <v>0.71999999999999997</v>
      </c>
      <c r="F1843" s="22">
        <v>0.48999999999999999</v>
      </c>
      <c r="G1843" s="21">
        <f t="shared" si="84"/>
        <v>0.71999999999999997</v>
      </c>
      <c r="H1843" s="22">
        <v>0.5</v>
      </c>
      <c r="I1843" s="23" t="str">
        <f t="shared" si="85"/>
        <v xml:space="preserve">COM VALOR</v>
      </c>
      <c r="J1843" s="19"/>
      <c r="L1843" s="21">
        <v>0.71999999999999997</v>
      </c>
      <c r="M1843" s="22">
        <v>1</v>
      </c>
      <c r="N1843" s="21">
        <v>0.71999999999999997</v>
      </c>
      <c r="O1843" s="22">
        <v>1</v>
      </c>
    </row>
    <row r="1844" ht="38.25">
      <c r="A1844" t="s">
        <v>1531</v>
      </c>
      <c r="B1844" s="19">
        <v>95270</v>
      </c>
      <c r="C1844" s="20" t="s">
        <v>1895</v>
      </c>
      <c r="D1844" s="19" t="s">
        <v>1535</v>
      </c>
      <c r="E1844" s="21">
        <f t="shared" si="83"/>
        <v>10.369999999999999</v>
      </c>
      <c r="F1844" s="22"/>
      <c r="G1844" s="21">
        <f t="shared" si="84"/>
        <v>10.369999999999999</v>
      </c>
      <c r="H1844" s="22"/>
      <c r="I1844" s="23" t="str">
        <f t="shared" si="85"/>
        <v xml:space="preserve">COM VALOR</v>
      </c>
      <c r="J1844" s="19"/>
      <c r="L1844" s="21">
        <v>10.369999999999999</v>
      </c>
      <c r="M1844" s="22">
        <v>0.13</v>
      </c>
      <c r="N1844" s="21">
        <v>10.369999999999999</v>
      </c>
      <c r="O1844" s="22">
        <v>0.13</v>
      </c>
    </row>
    <row r="1845" ht="25.5">
      <c r="A1845" t="s">
        <v>1531</v>
      </c>
      <c r="B1845" s="19">
        <v>91693</v>
      </c>
      <c r="C1845" s="20" t="s">
        <v>1896</v>
      </c>
      <c r="D1845" s="19" t="s">
        <v>1533</v>
      </c>
      <c r="E1845" s="21">
        <f t="shared" si="83"/>
        <v>30.98</v>
      </c>
      <c r="F1845" s="22"/>
      <c r="G1845" s="21">
        <f t="shared" si="84"/>
        <v>29.079999999999998</v>
      </c>
      <c r="H1845" s="22"/>
      <c r="I1845" s="23" t="str">
        <f t="shared" si="85"/>
        <v xml:space="preserve">COM VALOR</v>
      </c>
      <c r="J1845" s="19"/>
      <c r="L1845" s="21">
        <v>30.98</v>
      </c>
      <c r="M1845" s="22">
        <v>0</v>
      </c>
      <c r="N1845" s="21">
        <v>29.079999999999998</v>
      </c>
      <c r="O1845" s="22">
        <v>0</v>
      </c>
    </row>
    <row r="1846" ht="25.5">
      <c r="A1846" t="s">
        <v>1531</v>
      </c>
      <c r="B1846" s="19">
        <v>91692</v>
      </c>
      <c r="C1846" s="20" t="s">
        <v>1897</v>
      </c>
      <c r="D1846" s="19" t="s">
        <v>1535</v>
      </c>
      <c r="E1846" s="21">
        <f t="shared" si="83"/>
        <v>32.590000000000003</v>
      </c>
      <c r="F1846" s="22">
        <v>1</v>
      </c>
      <c r="G1846" s="21">
        <f t="shared" si="84"/>
        <v>30.690000000000001</v>
      </c>
      <c r="H1846" s="22">
        <v>1</v>
      </c>
      <c r="I1846" s="23" t="str">
        <f t="shared" si="85"/>
        <v xml:space="preserve">COM VALOR</v>
      </c>
      <c r="J1846" s="19"/>
      <c r="L1846" s="21">
        <v>32.590000000000003</v>
      </c>
      <c r="M1846" s="22">
        <v>0</v>
      </c>
      <c r="N1846" s="21">
        <v>30.690000000000001</v>
      </c>
      <c r="O1846" s="22">
        <v>0</v>
      </c>
    </row>
    <row r="1847" ht="38.25">
      <c r="A1847" t="s">
        <v>1531</v>
      </c>
      <c r="B1847" s="19">
        <v>102929</v>
      </c>
      <c r="C1847" s="20" t="s">
        <v>1898</v>
      </c>
      <c r="D1847" s="19" t="s">
        <v>1533</v>
      </c>
      <c r="E1847" s="21" t="str">
        <f t="shared" si="83"/>
        <v>VERIFICAR</v>
      </c>
      <c r="F1847" s="22">
        <v>1</v>
      </c>
      <c r="G1847" s="21" t="str">
        <f t="shared" si="84"/>
        <v>VERIFICAR</v>
      </c>
      <c r="H1847" s="22">
        <v>1</v>
      </c>
      <c r="I1847" s="23" t="str">
        <f t="shared" si="85"/>
        <v xml:space="preserve">COM VALOR</v>
      </c>
      <c r="J1847" s="19"/>
      <c r="L1847" s="21">
        <v>0</v>
      </c>
      <c r="M1847" s="22"/>
      <c r="N1847" s="21">
        <v>0</v>
      </c>
      <c r="O1847" s="22"/>
    </row>
    <row r="1848" ht="38.25">
      <c r="A1848" t="s">
        <v>1531</v>
      </c>
      <c r="B1848" s="19">
        <v>102928</v>
      </c>
      <c r="C1848" s="20" t="s">
        <v>1899</v>
      </c>
      <c r="D1848" s="19" t="s">
        <v>1535</v>
      </c>
      <c r="E1848" s="21" t="str">
        <f t="shared" si="83"/>
        <v>VERIFICAR</v>
      </c>
      <c r="F1848" s="22">
        <v>1</v>
      </c>
      <c r="G1848" s="21" t="str">
        <f t="shared" si="84"/>
        <v>VERIFICAR</v>
      </c>
      <c r="H1848" s="22">
        <v>1</v>
      </c>
      <c r="I1848" s="23" t="str">
        <f t="shared" si="85"/>
        <v xml:space="preserve">COM VALOR</v>
      </c>
      <c r="J1848" s="19"/>
      <c r="L1848" s="21">
        <v>0</v>
      </c>
      <c r="M1848" s="22"/>
      <c r="N1848" s="21">
        <v>0</v>
      </c>
      <c r="O1848" s="22"/>
    </row>
    <row r="1849" ht="25.5">
      <c r="A1849" t="s">
        <v>1531</v>
      </c>
      <c r="B1849" s="19">
        <v>95140</v>
      </c>
      <c r="C1849" s="20" t="s">
        <v>1900</v>
      </c>
      <c r="D1849" s="19" t="s">
        <v>1533</v>
      </c>
      <c r="E1849" s="21">
        <f t="shared" si="83"/>
        <v>2.9999999999999999e-002</v>
      </c>
      <c r="F1849" s="22">
        <v>0.60999999999999999</v>
      </c>
      <c r="G1849" s="21">
        <f t="shared" si="84"/>
        <v>2.9999999999999999e-002</v>
      </c>
      <c r="H1849" s="22">
        <v>0.60999999999999999</v>
      </c>
      <c r="I1849" s="23" t="str">
        <f t="shared" si="85"/>
        <v xml:space="preserve">COM VALOR</v>
      </c>
      <c r="J1849" s="19"/>
      <c r="L1849" s="21">
        <v>2.9999999999999999e-002</v>
      </c>
      <c r="M1849" s="22">
        <v>0</v>
      </c>
      <c r="N1849" s="21">
        <v>2.9999999999999999e-002</v>
      </c>
      <c r="O1849" s="22">
        <v>0</v>
      </c>
    </row>
    <row r="1850" ht="25.5">
      <c r="A1850" t="s">
        <v>1531</v>
      </c>
      <c r="B1850" s="19">
        <v>95139</v>
      </c>
      <c r="C1850" s="20" t="s">
        <v>1901</v>
      </c>
      <c r="D1850" s="19" t="s">
        <v>1535</v>
      </c>
      <c r="E1850" s="21">
        <f t="shared" si="83"/>
        <v>5.0000000000000003e-002</v>
      </c>
      <c r="F1850" s="22">
        <v>0.79000000000000004</v>
      </c>
      <c r="G1850" s="21">
        <f t="shared" si="84"/>
        <v>5.0000000000000003e-002</v>
      </c>
      <c r="H1850" s="22">
        <v>0.81000000000000005</v>
      </c>
      <c r="I1850" s="23" t="str">
        <f t="shared" si="85"/>
        <v xml:space="preserve">COM VALOR</v>
      </c>
      <c r="J1850" s="19"/>
      <c r="L1850" s="21">
        <v>5.0000000000000003e-002</v>
      </c>
      <c r="M1850" s="22">
        <v>0</v>
      </c>
      <c r="N1850" s="21">
        <v>5.0000000000000003e-002</v>
      </c>
      <c r="O1850" s="22">
        <v>0</v>
      </c>
    </row>
    <row r="1851" ht="25.5">
      <c r="A1851" t="s">
        <v>1531</v>
      </c>
      <c r="B1851" s="19">
        <v>89027</v>
      </c>
      <c r="C1851" s="20" t="s">
        <v>1902</v>
      </c>
      <c r="D1851" s="19" t="s">
        <v>1533</v>
      </c>
      <c r="E1851" s="21">
        <f t="shared" si="83"/>
        <v>5.3399999999999999</v>
      </c>
      <c r="F1851" s="22">
        <v>0.66000000000000003</v>
      </c>
      <c r="G1851" s="21">
        <f t="shared" si="84"/>
        <v>5.3399999999999999</v>
      </c>
      <c r="H1851" s="22">
        <v>0.67000000000000004</v>
      </c>
      <c r="I1851" s="23" t="str">
        <f t="shared" si="85"/>
        <v xml:space="preserve">COM VALOR</v>
      </c>
      <c r="J1851" s="19"/>
      <c r="L1851" s="21">
        <v>5.3399999999999999</v>
      </c>
      <c r="M1851" s="22">
        <v>1</v>
      </c>
      <c r="N1851" s="21">
        <v>5.3399999999999999</v>
      </c>
      <c r="O1851" s="22">
        <v>1</v>
      </c>
    </row>
    <row r="1852" ht="25.5">
      <c r="A1852" t="s">
        <v>1531</v>
      </c>
      <c r="B1852" s="19">
        <v>89028</v>
      </c>
      <c r="C1852" s="20" t="s">
        <v>1903</v>
      </c>
      <c r="D1852" s="19" t="s">
        <v>1535</v>
      </c>
      <c r="E1852" s="21">
        <f t="shared" si="83"/>
        <v>204.31999999999999</v>
      </c>
      <c r="F1852" s="22">
        <v>0.63</v>
      </c>
      <c r="G1852" s="21">
        <f t="shared" si="84"/>
        <v>204.31999999999999</v>
      </c>
      <c r="H1852" s="22">
        <v>0.63</v>
      </c>
      <c r="I1852" s="23" t="str">
        <f t="shared" si="85"/>
        <v xml:space="preserve">COM VALOR</v>
      </c>
      <c r="J1852" s="19"/>
      <c r="L1852" s="21">
        <v>204.31999999999999</v>
      </c>
      <c r="M1852" s="22">
        <v>5.0000000000000003e-002</v>
      </c>
      <c r="N1852" s="21">
        <v>204.31999999999999</v>
      </c>
      <c r="O1852" s="22">
        <v>5.0000000000000003e-002</v>
      </c>
    </row>
    <row r="1853" ht="25.5">
      <c r="A1853" t="s">
        <v>1531</v>
      </c>
      <c r="B1853" s="19">
        <v>7031</v>
      </c>
      <c r="C1853" s="20" t="s">
        <v>1904</v>
      </c>
      <c r="D1853" s="19" t="s">
        <v>1533</v>
      </c>
      <c r="E1853" s="21">
        <f t="shared" si="83"/>
        <v>6.5700000000000003</v>
      </c>
      <c r="F1853" s="22">
        <v>0.76000000000000001</v>
      </c>
      <c r="G1853" s="21">
        <f t="shared" si="84"/>
        <v>6.5700000000000003</v>
      </c>
      <c r="H1853" s="22">
        <v>0.77000000000000002</v>
      </c>
      <c r="I1853" s="23" t="str">
        <f t="shared" si="85"/>
        <v xml:space="preserve">COM VALOR</v>
      </c>
      <c r="J1853" s="19"/>
      <c r="L1853" s="21">
        <v>6.5700000000000003</v>
      </c>
      <c r="M1853" s="22">
        <v>1</v>
      </c>
      <c r="N1853" s="21">
        <v>6.5700000000000003</v>
      </c>
      <c r="O1853" s="22">
        <v>1</v>
      </c>
    </row>
    <row r="1854" ht="25.5">
      <c r="A1854" t="s">
        <v>1531</v>
      </c>
      <c r="B1854" s="19">
        <v>7030</v>
      </c>
      <c r="C1854" s="20" t="s">
        <v>1905</v>
      </c>
      <c r="D1854" s="19" t="s">
        <v>1535</v>
      </c>
      <c r="E1854" s="21">
        <f t="shared" si="83"/>
        <v>303.69999999999999</v>
      </c>
      <c r="F1854" s="22">
        <v>0</v>
      </c>
      <c r="G1854" s="21">
        <f t="shared" si="84"/>
        <v>303.69999999999999</v>
      </c>
      <c r="H1854" s="22">
        <v>0</v>
      </c>
      <c r="I1854" s="23" t="str">
        <f t="shared" si="85"/>
        <v xml:space="preserve">COM VALOR</v>
      </c>
      <c r="J1854" s="19"/>
      <c r="L1854" s="21">
        <v>303.69999999999999</v>
      </c>
      <c r="M1854" s="22">
        <v>4.0000000000000001e-002</v>
      </c>
      <c r="N1854" s="21">
        <v>303.69999999999999</v>
      </c>
      <c r="O1854" s="22">
        <v>4.0000000000000001e-002</v>
      </c>
    </row>
    <row r="1855" ht="38.25">
      <c r="A1855" t="s">
        <v>1531</v>
      </c>
      <c r="B1855" s="19">
        <v>102947</v>
      </c>
      <c r="C1855" s="20" t="s">
        <v>1906</v>
      </c>
      <c r="D1855" s="19" t="s">
        <v>1533</v>
      </c>
      <c r="E1855" s="21" t="str">
        <f t="shared" si="83"/>
        <v>VERIFICAR</v>
      </c>
      <c r="F1855" s="22">
        <v>0</v>
      </c>
      <c r="G1855" s="21" t="str">
        <f t="shared" si="84"/>
        <v>VERIFICAR</v>
      </c>
      <c r="H1855" s="22">
        <v>0</v>
      </c>
      <c r="I1855" s="23" t="str">
        <f t="shared" si="85"/>
        <v xml:space="preserve">COM VALOR</v>
      </c>
      <c r="J1855" s="19"/>
      <c r="L1855" s="21">
        <v>0</v>
      </c>
      <c r="M1855" s="22"/>
      <c r="N1855" s="21">
        <v>0</v>
      </c>
      <c r="O1855" s="22"/>
    </row>
    <row r="1856" ht="38.25">
      <c r="A1856" t="s">
        <v>1531</v>
      </c>
      <c r="B1856" s="19">
        <v>102946</v>
      </c>
      <c r="C1856" s="20" t="s">
        <v>1907</v>
      </c>
      <c r="D1856" s="19" t="s">
        <v>1535</v>
      </c>
      <c r="E1856" s="21" t="str">
        <f t="shared" si="83"/>
        <v>VERIFICAR</v>
      </c>
      <c r="F1856" s="22">
        <v>0</v>
      </c>
      <c r="G1856" s="21" t="str">
        <f t="shared" si="84"/>
        <v>VERIFICAR</v>
      </c>
      <c r="H1856" s="22">
        <v>0</v>
      </c>
      <c r="I1856" s="23" t="str">
        <f t="shared" si="85"/>
        <v xml:space="preserve">COM VALOR</v>
      </c>
      <c r="J1856" s="19"/>
      <c r="L1856" s="21">
        <v>0</v>
      </c>
      <c r="M1856" s="22"/>
      <c r="N1856" s="21">
        <v>0</v>
      </c>
      <c r="O1856" s="22"/>
    </row>
    <row r="1857" ht="25.5">
      <c r="A1857" t="s">
        <v>1531</v>
      </c>
      <c r="B1857" s="19">
        <v>104092</v>
      </c>
      <c r="C1857" s="20" t="s">
        <v>1908</v>
      </c>
      <c r="D1857" s="19" t="s">
        <v>1533</v>
      </c>
      <c r="E1857" s="21">
        <f t="shared" si="83"/>
        <v>5.0000000000000003e-002</v>
      </c>
      <c r="F1857" s="22">
        <v>0</v>
      </c>
      <c r="G1857" s="21">
        <f t="shared" si="84"/>
        <v>5.0000000000000003e-002</v>
      </c>
      <c r="H1857" s="22">
        <v>0</v>
      </c>
      <c r="I1857" s="23" t="str">
        <f t="shared" si="85"/>
        <v xml:space="preserve">COM VALOR</v>
      </c>
      <c r="J1857" s="19"/>
      <c r="L1857" s="21">
        <v>5.0000000000000003e-002</v>
      </c>
      <c r="M1857" s="22">
        <v>0</v>
      </c>
      <c r="N1857" s="21">
        <v>5.0000000000000003e-002</v>
      </c>
      <c r="O1857" s="22">
        <v>0</v>
      </c>
    </row>
    <row r="1858" ht="38.25">
      <c r="A1858" t="s">
        <v>1531</v>
      </c>
      <c r="B1858" s="19">
        <v>104091</v>
      </c>
      <c r="C1858" s="20" t="s">
        <v>1909</v>
      </c>
      <c r="D1858" s="19" t="s">
        <v>1535</v>
      </c>
      <c r="E1858" s="21">
        <f t="shared" si="83"/>
        <v>0.85999999999999999</v>
      </c>
      <c r="F1858" s="22">
        <v>0</v>
      </c>
      <c r="G1858" s="21">
        <f t="shared" si="84"/>
        <v>0.85999999999999999</v>
      </c>
      <c r="H1858" s="22">
        <v>0</v>
      </c>
      <c r="I1858" s="23" t="str">
        <f t="shared" si="85"/>
        <v xml:space="preserve">COM VALOR</v>
      </c>
      <c r="J1858" s="19"/>
      <c r="L1858" s="21">
        <v>0.85999999999999999</v>
      </c>
      <c r="M1858" s="22">
        <v>0</v>
      </c>
      <c r="N1858" s="21">
        <v>0.85999999999999999</v>
      </c>
      <c r="O1858" s="22">
        <v>0</v>
      </c>
    </row>
    <row r="1859" ht="38.25">
      <c r="A1859" t="s">
        <v>1531</v>
      </c>
      <c r="B1859" s="19">
        <v>104098</v>
      </c>
      <c r="C1859" s="20" t="s">
        <v>1910</v>
      </c>
      <c r="D1859" s="19" t="s">
        <v>1533</v>
      </c>
      <c r="E1859" s="21">
        <f t="shared" si="83"/>
        <v>5.9999999999999998e-002</v>
      </c>
      <c r="F1859" s="22">
        <v>0</v>
      </c>
      <c r="G1859" s="21">
        <f t="shared" si="84"/>
        <v>5.9999999999999998e-002</v>
      </c>
      <c r="H1859" s="22">
        <v>0</v>
      </c>
      <c r="I1859" s="23" t="str">
        <f t="shared" si="85"/>
        <v xml:space="preserve">COM VALOR</v>
      </c>
      <c r="J1859" s="19"/>
      <c r="L1859" s="21">
        <v>5.9999999999999998e-002</v>
      </c>
      <c r="M1859" s="22">
        <v>0</v>
      </c>
      <c r="N1859" s="21">
        <v>5.9999999999999998e-002</v>
      </c>
      <c r="O1859" s="22">
        <v>0</v>
      </c>
    </row>
    <row r="1860" ht="38.25">
      <c r="A1860" t="s">
        <v>1531</v>
      </c>
      <c r="B1860" s="19">
        <v>104097</v>
      </c>
      <c r="C1860" s="20" t="s">
        <v>1911</v>
      </c>
      <c r="D1860" s="19" t="s">
        <v>1535</v>
      </c>
      <c r="E1860" s="21">
        <f t="shared" si="83"/>
        <v>1.1899999999999999</v>
      </c>
      <c r="F1860" s="22">
        <v>0</v>
      </c>
      <c r="G1860" s="21">
        <f t="shared" si="84"/>
        <v>1.1899999999999999</v>
      </c>
      <c r="H1860" s="22">
        <v>0</v>
      </c>
      <c r="I1860" s="23" t="str">
        <f t="shared" si="85"/>
        <v xml:space="preserve">COM VALOR</v>
      </c>
      <c r="J1860" s="19"/>
      <c r="L1860" s="21">
        <v>1.1899999999999999</v>
      </c>
      <c r="M1860" s="22">
        <v>0</v>
      </c>
      <c r="N1860" s="21">
        <v>1.1899999999999999</v>
      </c>
      <c r="O1860" s="22">
        <v>0</v>
      </c>
    </row>
    <row r="1861" ht="25.5">
      <c r="A1861" t="s">
        <v>1531</v>
      </c>
      <c r="B1861" s="19">
        <v>102905</v>
      </c>
      <c r="C1861" s="20" t="s">
        <v>1912</v>
      </c>
      <c r="D1861" s="19" t="s">
        <v>1533</v>
      </c>
      <c r="E1861" s="21" t="str">
        <f t="shared" si="83"/>
        <v>VERIFICAR</v>
      </c>
      <c r="F1861" s="22"/>
      <c r="G1861" s="21" t="str">
        <f t="shared" si="84"/>
        <v>VERIFICAR</v>
      </c>
      <c r="H1861" s="22"/>
      <c r="I1861" s="23" t="str">
        <f t="shared" si="85"/>
        <v xml:space="preserve">COM VALOR</v>
      </c>
      <c r="J1861" s="19"/>
      <c r="L1861" s="21">
        <v>0</v>
      </c>
      <c r="M1861" s="22"/>
      <c r="N1861" s="21">
        <v>0</v>
      </c>
      <c r="O1861" s="22"/>
    </row>
    <row r="1862" ht="25.5">
      <c r="A1862" t="s">
        <v>1531</v>
      </c>
      <c r="B1862" s="19">
        <v>102904</v>
      </c>
      <c r="C1862" s="20" t="s">
        <v>1913</v>
      </c>
      <c r="D1862" s="19" t="s">
        <v>1535</v>
      </c>
      <c r="E1862" s="21" t="str">
        <f t="shared" si="83"/>
        <v>VERIFICAR</v>
      </c>
      <c r="F1862" s="22">
        <v>0.14999999999999999</v>
      </c>
      <c r="G1862" s="21" t="str">
        <f t="shared" si="84"/>
        <v>VERIFICAR</v>
      </c>
      <c r="H1862" s="22">
        <v>0.14999999999999999</v>
      </c>
      <c r="I1862" s="23" t="str">
        <f t="shared" si="85"/>
        <v xml:space="preserve">COM VALOR</v>
      </c>
      <c r="J1862" s="19"/>
      <c r="L1862" s="21">
        <v>0</v>
      </c>
      <c r="M1862" s="22"/>
      <c r="N1862" s="21">
        <v>0</v>
      </c>
      <c r="O1862" s="22"/>
    </row>
    <row r="1863" ht="25.5">
      <c r="A1863" t="s">
        <v>1531</v>
      </c>
      <c r="B1863" s="19">
        <v>89031</v>
      </c>
      <c r="C1863" s="20" t="s">
        <v>1914</v>
      </c>
      <c r="D1863" s="19" t="s">
        <v>1533</v>
      </c>
      <c r="E1863" s="21">
        <f t="shared" si="83"/>
        <v>80.950000000000003</v>
      </c>
      <c r="F1863" s="22">
        <v>0</v>
      </c>
      <c r="G1863" s="21">
        <f t="shared" si="84"/>
        <v>79.049999999999997</v>
      </c>
      <c r="H1863" s="22">
        <v>0</v>
      </c>
      <c r="I1863" s="23" t="str">
        <f t="shared" si="85"/>
        <v xml:space="preserve">COM VALOR</v>
      </c>
      <c r="J1863" s="19"/>
      <c r="L1863" s="21">
        <v>80.950000000000003</v>
      </c>
      <c r="M1863" s="22">
        <v>0.62</v>
      </c>
      <c r="N1863" s="21">
        <v>79.049999999999997</v>
      </c>
      <c r="O1863" s="22">
        <v>0.63</v>
      </c>
    </row>
    <row r="1864" ht="25.5">
      <c r="A1864" t="s">
        <v>1531</v>
      </c>
      <c r="B1864" s="19">
        <v>89032</v>
      </c>
      <c r="C1864" s="20" t="s">
        <v>1915</v>
      </c>
      <c r="D1864" s="19" t="s">
        <v>1535</v>
      </c>
      <c r="E1864" s="21">
        <f t="shared" si="83"/>
        <v>214.00999999999999</v>
      </c>
      <c r="F1864" s="22">
        <v>0</v>
      </c>
      <c r="G1864" s="21">
        <f t="shared" si="84"/>
        <v>212.11000000000001</v>
      </c>
      <c r="H1864" s="22">
        <v>0</v>
      </c>
      <c r="I1864" s="23" t="str">
        <f t="shared" si="85"/>
        <v xml:space="preserve">COM VALOR</v>
      </c>
      <c r="J1864" s="19"/>
      <c r="L1864" s="21">
        <v>214.00999999999999</v>
      </c>
      <c r="M1864" s="22">
        <v>0.52000000000000002</v>
      </c>
      <c r="N1864" s="21">
        <v>212.11000000000001</v>
      </c>
      <c r="O1864" s="22">
        <v>0.53000000000000003</v>
      </c>
    </row>
    <row r="1865" ht="25.5">
      <c r="A1865" t="s">
        <v>1531</v>
      </c>
      <c r="B1865" s="19">
        <v>88844</v>
      </c>
      <c r="C1865" s="20" t="s">
        <v>1916</v>
      </c>
      <c r="D1865" s="19" t="s">
        <v>1533</v>
      </c>
      <c r="E1865" s="21">
        <f t="shared" si="83"/>
        <v>83.280000000000001</v>
      </c>
      <c r="F1865" s="22">
        <v>0</v>
      </c>
      <c r="G1865" s="21">
        <f t="shared" si="84"/>
        <v>81.379999999999995</v>
      </c>
      <c r="H1865" s="22">
        <v>0</v>
      </c>
      <c r="I1865" s="23" t="str">
        <f t="shared" si="85"/>
        <v xml:space="preserve">COM VALOR</v>
      </c>
      <c r="J1865" s="19"/>
      <c r="L1865" s="21">
        <v>83.280000000000001</v>
      </c>
      <c r="M1865" s="22">
        <v>0.63</v>
      </c>
      <c r="N1865" s="21">
        <v>81.379999999999995</v>
      </c>
      <c r="O1865" s="22">
        <v>0.64000000000000001</v>
      </c>
    </row>
    <row r="1866" ht="25.5">
      <c r="A1866" t="s">
        <v>1531</v>
      </c>
      <c r="B1866" s="19">
        <v>88843</v>
      </c>
      <c r="C1866" s="20" t="s">
        <v>1917</v>
      </c>
      <c r="D1866" s="19" t="s">
        <v>1535</v>
      </c>
      <c r="E1866" s="21">
        <f t="shared" si="83"/>
        <v>237.03</v>
      </c>
      <c r="F1866" s="22">
        <v>0</v>
      </c>
      <c r="G1866" s="21">
        <f t="shared" si="84"/>
        <v>235.13</v>
      </c>
      <c r="H1866" s="22">
        <v>0</v>
      </c>
      <c r="I1866" s="23" t="str">
        <f t="shared" si="85"/>
        <v xml:space="preserve">COM VALOR</v>
      </c>
      <c r="J1866" s="19"/>
      <c r="L1866" s="21">
        <v>237.03</v>
      </c>
      <c r="M1866" s="22">
        <v>0.5</v>
      </c>
      <c r="N1866" s="21">
        <v>235.13</v>
      </c>
      <c r="O1866" s="22">
        <v>0.5</v>
      </c>
    </row>
    <row r="1867" ht="25.5">
      <c r="A1867" t="s">
        <v>1531</v>
      </c>
      <c r="B1867" s="19">
        <v>5853</v>
      </c>
      <c r="C1867" s="20" t="s">
        <v>1918</v>
      </c>
      <c r="D1867" s="19" t="s">
        <v>1533</v>
      </c>
      <c r="E1867" s="21">
        <f t="shared" ref="E1867:E1930" si="86">IF(L1867=0,"VERIFICAR",L1867)</f>
        <v>95.799999999999997</v>
      </c>
      <c r="F1867" s="22">
        <v>0</v>
      </c>
      <c r="G1867" s="21">
        <f t="shared" ref="G1867:G1930" si="87">IF(N1867=0,"VERIFICAR",N1867)</f>
        <v>93.900000000000006</v>
      </c>
      <c r="H1867" s="22">
        <v>0</v>
      </c>
      <c r="I1867" s="23" t="str">
        <f t="shared" ref="I1867:I1930" si="88">IF(OR(E1867=0,G1867=0),"SEM VALOR","COM VALOR")</f>
        <v xml:space="preserve">COM VALOR</v>
      </c>
      <c r="J1867" s="19"/>
      <c r="L1867" s="21">
        <v>95.799999999999997</v>
      </c>
      <c r="M1867" s="22">
        <v>0.68000000000000005</v>
      </c>
      <c r="N1867" s="21">
        <v>93.900000000000006</v>
      </c>
      <c r="O1867" s="22">
        <v>0.68999999999999995</v>
      </c>
    </row>
    <row r="1868" ht="25.5">
      <c r="A1868" t="s">
        <v>1531</v>
      </c>
      <c r="B1868" s="19">
        <v>5851</v>
      </c>
      <c r="C1868" s="20" t="s">
        <v>1919</v>
      </c>
      <c r="D1868" s="19" t="s">
        <v>1535</v>
      </c>
      <c r="E1868" s="21">
        <f t="shared" si="86"/>
        <v>282.81</v>
      </c>
      <c r="F1868" s="22">
        <v>0.23000000000000001</v>
      </c>
      <c r="G1868" s="21">
        <f t="shared" si="87"/>
        <v>280.91000000000003</v>
      </c>
      <c r="H1868" s="22">
        <v>0.23999999999999999</v>
      </c>
      <c r="I1868" s="23" t="str">
        <f t="shared" si="88"/>
        <v xml:space="preserve">COM VALOR</v>
      </c>
      <c r="J1868" s="19"/>
      <c r="L1868" s="21">
        <v>282.81</v>
      </c>
      <c r="M1868" s="22">
        <v>0.51000000000000001</v>
      </c>
      <c r="N1868" s="21">
        <v>280.91000000000003</v>
      </c>
      <c r="O1868" s="22">
        <v>0.52000000000000002</v>
      </c>
    </row>
    <row r="1869" ht="25.5">
      <c r="A1869" t="s">
        <v>1531</v>
      </c>
      <c r="B1869" s="19">
        <v>5849</v>
      </c>
      <c r="C1869" s="20" t="s">
        <v>1920</v>
      </c>
      <c r="D1869" s="19" t="s">
        <v>1533</v>
      </c>
      <c r="E1869" s="21">
        <f t="shared" si="86"/>
        <v>95.400000000000006</v>
      </c>
      <c r="F1869" s="22">
        <v>0</v>
      </c>
      <c r="G1869" s="21">
        <f t="shared" si="87"/>
        <v>93.5</v>
      </c>
      <c r="H1869" s="22">
        <v>0</v>
      </c>
      <c r="I1869" s="23" t="str">
        <f t="shared" si="88"/>
        <v xml:space="preserve">COM VALOR</v>
      </c>
      <c r="J1869" s="19"/>
      <c r="L1869" s="21">
        <v>95.400000000000006</v>
      </c>
      <c r="M1869" s="22">
        <v>0.68000000000000005</v>
      </c>
      <c r="N1869" s="21">
        <v>93.5</v>
      </c>
      <c r="O1869" s="22">
        <v>0.68999999999999995</v>
      </c>
    </row>
    <row r="1870" ht="25.5">
      <c r="A1870" t="s">
        <v>1531</v>
      </c>
      <c r="B1870" s="19">
        <v>5847</v>
      </c>
      <c r="C1870" s="20" t="s">
        <v>1921</v>
      </c>
      <c r="D1870" s="19" t="s">
        <v>1535</v>
      </c>
      <c r="E1870" s="21">
        <f t="shared" si="86"/>
        <v>296.11000000000001</v>
      </c>
      <c r="F1870" s="22">
        <v>0</v>
      </c>
      <c r="G1870" s="21">
        <f t="shared" si="87"/>
        <v>294.20999999999998</v>
      </c>
      <c r="H1870" s="22">
        <v>0</v>
      </c>
      <c r="I1870" s="23" t="str">
        <f t="shared" si="88"/>
        <v xml:space="preserve">COM VALOR</v>
      </c>
      <c r="J1870" s="19"/>
      <c r="L1870" s="21">
        <v>296.11000000000001</v>
      </c>
      <c r="M1870" s="22">
        <v>0.48999999999999999</v>
      </c>
      <c r="N1870" s="21">
        <v>294.20999999999998</v>
      </c>
      <c r="O1870" s="22">
        <v>0.48999999999999999</v>
      </c>
    </row>
    <row r="1871" ht="25.5">
      <c r="A1871" t="s">
        <v>1531</v>
      </c>
      <c r="B1871" s="19">
        <v>5857</v>
      </c>
      <c r="C1871" s="20" t="s">
        <v>1922</v>
      </c>
      <c r="D1871" s="19" t="s">
        <v>1533</v>
      </c>
      <c r="E1871" s="21">
        <f t="shared" si="86"/>
        <v>243.62</v>
      </c>
      <c r="F1871" s="22">
        <v>0</v>
      </c>
      <c r="G1871" s="21">
        <f t="shared" si="87"/>
        <v>241.72</v>
      </c>
      <c r="H1871" s="22">
        <v>0</v>
      </c>
      <c r="I1871" s="23" t="str">
        <f t="shared" si="88"/>
        <v xml:space="preserve">COM VALOR</v>
      </c>
      <c r="J1871" s="19"/>
      <c r="L1871" s="21">
        <v>243.62</v>
      </c>
      <c r="M1871" s="22">
        <v>0.87</v>
      </c>
      <c r="N1871" s="21">
        <v>241.72</v>
      </c>
      <c r="O1871" s="22">
        <v>0.88</v>
      </c>
    </row>
    <row r="1872" ht="25.5">
      <c r="A1872" t="s">
        <v>1531</v>
      </c>
      <c r="B1872" s="19">
        <v>5855</v>
      </c>
      <c r="C1872" s="20" t="s">
        <v>1923</v>
      </c>
      <c r="D1872" s="19" t="s">
        <v>1535</v>
      </c>
      <c r="E1872" s="21">
        <f t="shared" si="86"/>
        <v>753.75</v>
      </c>
      <c r="F1872" s="22">
        <v>0</v>
      </c>
      <c r="G1872" s="21">
        <f t="shared" si="87"/>
        <v>751.85000000000002</v>
      </c>
      <c r="H1872" s="22">
        <v>0</v>
      </c>
      <c r="I1872" s="23" t="str">
        <f t="shared" si="88"/>
        <v xml:space="preserve">COM VALOR</v>
      </c>
      <c r="J1872" s="19"/>
      <c r="L1872" s="21">
        <v>753.75</v>
      </c>
      <c r="M1872" s="22">
        <v>0.63</v>
      </c>
      <c r="N1872" s="21">
        <v>751.85000000000002</v>
      </c>
      <c r="O1872" s="22">
        <v>0.63</v>
      </c>
    </row>
    <row r="1873" ht="25.5">
      <c r="A1873" t="s">
        <v>1531</v>
      </c>
      <c r="B1873" s="19">
        <v>96021</v>
      </c>
      <c r="C1873" s="20" t="s">
        <v>1924</v>
      </c>
      <c r="D1873" s="19" t="s">
        <v>1533</v>
      </c>
      <c r="E1873" s="21">
        <f t="shared" si="86"/>
        <v>57.829999999999998</v>
      </c>
      <c r="F1873" s="22">
        <v>0.14999999999999999</v>
      </c>
      <c r="G1873" s="21">
        <f t="shared" si="87"/>
        <v>55.93</v>
      </c>
      <c r="H1873" s="22">
        <v>0.14999999999999999</v>
      </c>
      <c r="I1873" s="23" t="str">
        <f t="shared" si="88"/>
        <v xml:space="preserve">COM VALOR</v>
      </c>
      <c r="J1873" s="19"/>
      <c r="L1873" s="21">
        <v>57.829999999999998</v>
      </c>
      <c r="M1873" s="22">
        <v>0.46999999999999997</v>
      </c>
      <c r="N1873" s="21">
        <v>55.93</v>
      </c>
      <c r="O1873" s="22">
        <v>0.47999999999999998</v>
      </c>
    </row>
    <row r="1874" ht="25.5">
      <c r="A1874" t="s">
        <v>1531</v>
      </c>
      <c r="B1874" s="19">
        <v>96020</v>
      </c>
      <c r="C1874" s="20" t="s">
        <v>1925</v>
      </c>
      <c r="D1874" s="19" t="s">
        <v>1535</v>
      </c>
      <c r="E1874" s="21">
        <f t="shared" si="86"/>
        <v>190.84</v>
      </c>
      <c r="F1874" s="22">
        <v>0</v>
      </c>
      <c r="G1874" s="21">
        <f t="shared" si="87"/>
        <v>188.94</v>
      </c>
      <c r="H1874" s="22">
        <v>0</v>
      </c>
      <c r="I1874" s="23" t="str">
        <f t="shared" si="88"/>
        <v xml:space="preserve">COM VALOR</v>
      </c>
      <c r="J1874" s="19"/>
      <c r="L1874" s="21">
        <v>190.84</v>
      </c>
      <c r="M1874" s="22">
        <v>0.26000000000000001</v>
      </c>
      <c r="N1874" s="21">
        <v>188.94</v>
      </c>
      <c r="O1874" s="22">
        <v>0.27000000000000002</v>
      </c>
    </row>
    <row r="1875" ht="25.5">
      <c r="A1875" t="s">
        <v>1531</v>
      </c>
      <c r="B1875" s="19">
        <v>96014</v>
      </c>
      <c r="C1875" s="20" t="s">
        <v>1926</v>
      </c>
      <c r="D1875" s="19" t="s">
        <v>1533</v>
      </c>
      <c r="E1875" s="21">
        <f t="shared" si="86"/>
        <v>58.090000000000003</v>
      </c>
      <c r="F1875" s="22">
        <v>0</v>
      </c>
      <c r="G1875" s="21">
        <f t="shared" si="87"/>
        <v>56.189999999999998</v>
      </c>
      <c r="H1875" s="22">
        <v>0</v>
      </c>
      <c r="I1875" s="23" t="str">
        <f t="shared" si="88"/>
        <v xml:space="preserve">COM VALOR</v>
      </c>
      <c r="J1875" s="19"/>
      <c r="L1875" s="21">
        <v>58.090000000000003</v>
      </c>
      <c r="M1875" s="22">
        <v>0.46999999999999997</v>
      </c>
      <c r="N1875" s="21">
        <v>56.189999999999998</v>
      </c>
      <c r="O1875" s="22">
        <v>0.47999999999999998</v>
      </c>
    </row>
    <row r="1876" ht="25.5">
      <c r="A1876" t="s">
        <v>1531</v>
      </c>
      <c r="B1876" s="19">
        <v>96013</v>
      </c>
      <c r="C1876" s="20" t="s">
        <v>1927</v>
      </c>
      <c r="D1876" s="19" t="s">
        <v>1535</v>
      </c>
      <c r="E1876" s="21">
        <f t="shared" si="86"/>
        <v>191.31999999999999</v>
      </c>
      <c r="F1876" s="22">
        <v>0</v>
      </c>
      <c r="G1876" s="21">
        <f t="shared" si="87"/>
        <v>189.41999999999999</v>
      </c>
      <c r="H1876" s="22">
        <v>0</v>
      </c>
      <c r="I1876" s="23" t="str">
        <f t="shared" si="88"/>
        <v xml:space="preserve">COM VALOR</v>
      </c>
      <c r="J1876" s="19"/>
      <c r="L1876" s="21">
        <v>191.31999999999999</v>
      </c>
      <c r="M1876" s="22">
        <v>0.27000000000000002</v>
      </c>
      <c r="N1876" s="21">
        <v>189.41999999999999</v>
      </c>
      <c r="O1876" s="22">
        <v>0.27000000000000002</v>
      </c>
    </row>
    <row r="1877" ht="25.5">
      <c r="A1877" t="s">
        <v>1531</v>
      </c>
      <c r="B1877" s="19">
        <v>96029</v>
      </c>
      <c r="C1877" s="20" t="s">
        <v>1928</v>
      </c>
      <c r="D1877" s="19" t="s">
        <v>1533</v>
      </c>
      <c r="E1877" s="21">
        <f t="shared" si="86"/>
        <v>51.770000000000003</v>
      </c>
      <c r="F1877" s="22">
        <v>0</v>
      </c>
      <c r="G1877" s="21">
        <f t="shared" si="87"/>
        <v>49.869999999999997</v>
      </c>
      <c r="H1877" s="22">
        <v>0</v>
      </c>
      <c r="I1877" s="23" t="str">
        <f t="shared" si="88"/>
        <v xml:space="preserve">COM VALOR</v>
      </c>
      <c r="J1877" s="19"/>
      <c r="L1877" s="21">
        <v>51.770000000000003</v>
      </c>
      <c r="M1877" s="22">
        <v>0.40000000000000002</v>
      </c>
      <c r="N1877" s="21">
        <v>49.869999999999997</v>
      </c>
      <c r="O1877" s="22">
        <v>0.41999999999999998</v>
      </c>
    </row>
    <row r="1878" ht="25.5">
      <c r="A1878" t="s">
        <v>1531</v>
      </c>
      <c r="B1878" s="19">
        <v>96028</v>
      </c>
      <c r="C1878" s="20" t="s">
        <v>1929</v>
      </c>
      <c r="D1878" s="19" t="s">
        <v>1535</v>
      </c>
      <c r="E1878" s="21">
        <f t="shared" si="86"/>
        <v>146.27000000000001</v>
      </c>
      <c r="F1878" s="22">
        <v>0</v>
      </c>
      <c r="G1878" s="21">
        <f t="shared" si="87"/>
        <v>144.37</v>
      </c>
      <c r="H1878" s="22">
        <v>0</v>
      </c>
      <c r="I1878" s="23" t="str">
        <f t="shared" si="88"/>
        <v xml:space="preserve">COM VALOR</v>
      </c>
      <c r="J1878" s="19"/>
      <c r="L1878" s="21">
        <v>146.27000000000001</v>
      </c>
      <c r="M1878" s="22">
        <v>0.27000000000000002</v>
      </c>
      <c r="N1878" s="21">
        <v>144.37</v>
      </c>
      <c r="O1878" s="22">
        <v>0.27000000000000002</v>
      </c>
    </row>
    <row r="1879" ht="25.5">
      <c r="A1879" t="s">
        <v>1531</v>
      </c>
      <c r="B1879" s="19">
        <v>96155</v>
      </c>
      <c r="C1879" s="20" t="s">
        <v>1930</v>
      </c>
      <c r="D1879" s="19" t="s">
        <v>1533</v>
      </c>
      <c r="E1879" s="21">
        <f t="shared" si="86"/>
        <v>52.030000000000001</v>
      </c>
      <c r="F1879" s="22">
        <v>0</v>
      </c>
      <c r="G1879" s="21">
        <f t="shared" si="87"/>
        <v>50.130000000000003</v>
      </c>
      <c r="H1879" s="22">
        <v>0</v>
      </c>
      <c r="I1879" s="23" t="str">
        <f t="shared" si="88"/>
        <v xml:space="preserve">COM VALOR</v>
      </c>
      <c r="J1879" s="19"/>
      <c r="L1879" s="21">
        <v>52.030000000000001</v>
      </c>
      <c r="M1879" s="22">
        <v>0.40999999999999998</v>
      </c>
      <c r="N1879" s="21">
        <v>50.130000000000003</v>
      </c>
      <c r="O1879" s="22">
        <v>0.42249999999999999</v>
      </c>
    </row>
    <row r="1880" ht="25.5">
      <c r="A1880" t="s">
        <v>1531</v>
      </c>
      <c r="B1880" s="19">
        <v>96157</v>
      </c>
      <c r="C1880" s="20" t="s">
        <v>1931</v>
      </c>
      <c r="D1880" s="19" t="s">
        <v>1535</v>
      </c>
      <c r="E1880" s="21">
        <f t="shared" si="86"/>
        <v>146.75</v>
      </c>
      <c r="F1880" s="22">
        <v>0</v>
      </c>
      <c r="G1880" s="21">
        <f t="shared" si="87"/>
        <v>144.84999999999999</v>
      </c>
      <c r="H1880" s="22">
        <v>0</v>
      </c>
      <c r="I1880" s="23" t="str">
        <f t="shared" si="88"/>
        <v xml:space="preserve">COM VALOR</v>
      </c>
      <c r="J1880" s="19"/>
      <c r="L1880" s="21">
        <v>146.75</v>
      </c>
      <c r="M1880" s="22">
        <v>0.27000000000000002</v>
      </c>
      <c r="N1880" s="21">
        <v>144.84999999999999</v>
      </c>
      <c r="O1880" s="22">
        <v>0.27000000000000002</v>
      </c>
    </row>
    <row r="1881" ht="25.5">
      <c r="A1881" t="s">
        <v>1531</v>
      </c>
      <c r="B1881" s="19">
        <v>5845</v>
      </c>
      <c r="C1881" s="20" t="s">
        <v>1932</v>
      </c>
      <c r="D1881" s="19" t="s">
        <v>1533</v>
      </c>
      <c r="E1881" s="21">
        <f t="shared" si="86"/>
        <v>53.600000000000001</v>
      </c>
      <c r="F1881" s="22">
        <v>0</v>
      </c>
      <c r="G1881" s="21">
        <f t="shared" si="87"/>
        <v>51.700000000000003</v>
      </c>
      <c r="H1881" s="22">
        <v>0</v>
      </c>
      <c r="I1881" s="23" t="str">
        <f t="shared" si="88"/>
        <v xml:space="preserve">COM VALOR</v>
      </c>
      <c r="J1881" s="19"/>
      <c r="L1881" s="21">
        <v>53.600000000000001</v>
      </c>
      <c r="M1881" s="22">
        <v>0.41999999999999998</v>
      </c>
      <c r="N1881" s="21">
        <v>51.700000000000003</v>
      </c>
      <c r="O1881" s="22">
        <v>0.44</v>
      </c>
    </row>
    <row r="1882" ht="25.5">
      <c r="A1882" t="s">
        <v>1531</v>
      </c>
      <c r="B1882" s="19">
        <v>5843</v>
      </c>
      <c r="C1882" s="20" t="s">
        <v>1933</v>
      </c>
      <c r="D1882" s="19" t="s">
        <v>1535</v>
      </c>
      <c r="E1882" s="21">
        <f t="shared" si="86"/>
        <v>182.91999999999999</v>
      </c>
      <c r="F1882" s="22">
        <v>0</v>
      </c>
      <c r="G1882" s="21">
        <f t="shared" si="87"/>
        <v>181.02000000000001</v>
      </c>
      <c r="H1882" s="22">
        <v>0</v>
      </c>
      <c r="I1882" s="23" t="str">
        <f t="shared" si="88"/>
        <v xml:space="preserve">COM VALOR</v>
      </c>
      <c r="J1882" s="19"/>
      <c r="L1882" s="21">
        <v>182.91999999999999</v>
      </c>
      <c r="M1882" s="22">
        <v>0.23000000000000001</v>
      </c>
      <c r="N1882" s="21">
        <v>181.02000000000001</v>
      </c>
      <c r="O1882" s="22">
        <v>0.23000000000000001</v>
      </c>
    </row>
    <row r="1883" ht="25.5">
      <c r="A1883" t="s">
        <v>1531</v>
      </c>
      <c r="B1883" s="19">
        <v>89036</v>
      </c>
      <c r="C1883" s="20" t="s">
        <v>1934</v>
      </c>
      <c r="D1883" s="19" t="s">
        <v>1533</v>
      </c>
      <c r="E1883" s="21">
        <f t="shared" si="86"/>
        <v>47.5</v>
      </c>
      <c r="F1883" s="22">
        <v>0</v>
      </c>
      <c r="G1883" s="21">
        <f t="shared" si="87"/>
        <v>45.600000000000001</v>
      </c>
      <c r="H1883" s="22">
        <v>0</v>
      </c>
      <c r="I1883" s="23" t="str">
        <f t="shared" si="88"/>
        <v xml:space="preserve">COM VALOR</v>
      </c>
      <c r="J1883" s="19"/>
      <c r="L1883" s="21">
        <v>47.5</v>
      </c>
      <c r="M1883" s="22">
        <v>0.34999999999999998</v>
      </c>
      <c r="N1883" s="21">
        <v>45.600000000000001</v>
      </c>
      <c r="O1883" s="22">
        <v>0.37</v>
      </c>
    </row>
    <row r="1884" ht="25.5">
      <c r="A1884" t="s">
        <v>1531</v>
      </c>
      <c r="B1884" s="19">
        <v>89035</v>
      </c>
      <c r="C1884" s="20" t="s">
        <v>1935</v>
      </c>
      <c r="D1884" s="19" t="s">
        <v>1535</v>
      </c>
      <c r="E1884" s="21">
        <f t="shared" si="86"/>
        <v>138.31</v>
      </c>
      <c r="F1884" s="22">
        <v>0</v>
      </c>
      <c r="G1884" s="21">
        <f t="shared" si="87"/>
        <v>136.41</v>
      </c>
      <c r="H1884" s="22">
        <v>0</v>
      </c>
      <c r="I1884" s="23" t="str">
        <f t="shared" si="88"/>
        <v xml:space="preserve">COM VALOR</v>
      </c>
      <c r="J1884" s="19"/>
      <c r="L1884" s="21">
        <v>138.31</v>
      </c>
      <c r="M1884" s="22">
        <v>0.22</v>
      </c>
      <c r="N1884" s="21">
        <v>136.41</v>
      </c>
      <c r="O1884" s="22">
        <v>0.23000000000000001</v>
      </c>
    </row>
    <row r="1885" ht="12.75">
      <c r="A1885" t="s">
        <v>1531</v>
      </c>
      <c r="B1885" s="19">
        <v>102911</v>
      </c>
      <c r="C1885" s="20" t="s">
        <v>1936</v>
      </c>
      <c r="D1885" s="19" t="s">
        <v>1533</v>
      </c>
      <c r="E1885" s="21" t="str">
        <f t="shared" si="86"/>
        <v>VERIFICAR</v>
      </c>
      <c r="F1885" s="22">
        <v>0</v>
      </c>
      <c r="G1885" s="21" t="str">
        <f t="shared" si="87"/>
        <v>VERIFICAR</v>
      </c>
      <c r="H1885" s="22">
        <v>0</v>
      </c>
      <c r="I1885" s="23" t="str">
        <f t="shared" si="88"/>
        <v xml:space="preserve">COM VALOR</v>
      </c>
      <c r="J1885" s="19"/>
      <c r="L1885" s="21">
        <v>0</v>
      </c>
      <c r="M1885" s="22"/>
      <c r="N1885" s="21">
        <v>0</v>
      </c>
      <c r="O1885" s="22"/>
    </row>
    <row r="1886" ht="25.5">
      <c r="A1886" t="s">
        <v>1531</v>
      </c>
      <c r="B1886" s="19">
        <v>102910</v>
      </c>
      <c r="C1886" s="20" t="s">
        <v>1937</v>
      </c>
      <c r="D1886" s="19" t="s">
        <v>1535</v>
      </c>
      <c r="E1886" s="21" t="str">
        <f t="shared" si="86"/>
        <v>VERIFICAR</v>
      </c>
      <c r="F1886" s="22">
        <v>0</v>
      </c>
      <c r="G1886" s="21" t="str">
        <f t="shared" si="87"/>
        <v>VERIFICAR</v>
      </c>
      <c r="H1886" s="22">
        <v>0</v>
      </c>
      <c r="I1886" s="23" t="str">
        <f t="shared" si="88"/>
        <v xml:space="preserve">COM VALOR</v>
      </c>
      <c r="J1886" s="19"/>
      <c r="L1886" s="21">
        <v>0</v>
      </c>
      <c r="M1886" s="22"/>
      <c r="N1886" s="21">
        <v>0</v>
      </c>
      <c r="O1886" s="22"/>
    </row>
    <row r="1887" ht="25.5">
      <c r="A1887" t="s">
        <v>1531</v>
      </c>
      <c r="B1887" s="19">
        <v>93440</v>
      </c>
      <c r="C1887" s="20" t="s">
        <v>1938</v>
      </c>
      <c r="D1887" s="19" t="s">
        <v>1533</v>
      </c>
      <c r="E1887" s="21">
        <f t="shared" si="86"/>
        <v>145.69999999999999</v>
      </c>
      <c r="F1887" s="22">
        <v>0</v>
      </c>
      <c r="G1887" s="21">
        <f t="shared" si="87"/>
        <v>138.08000000000001</v>
      </c>
      <c r="H1887" s="22">
        <v>0</v>
      </c>
      <c r="I1887" s="23" t="str">
        <f t="shared" si="88"/>
        <v xml:space="preserve">COM VALOR</v>
      </c>
      <c r="J1887" s="19"/>
      <c r="L1887" s="21">
        <v>145.69999999999999</v>
      </c>
      <c r="M1887" s="22">
        <v>8.0000000000000002e-002</v>
      </c>
      <c r="N1887" s="21">
        <v>138.08000000000001</v>
      </c>
      <c r="O1887" s="22">
        <v>8.9999999999999997e-002</v>
      </c>
    </row>
    <row r="1888" ht="25.5">
      <c r="A1888" t="s">
        <v>1531</v>
      </c>
      <c r="B1888" s="19">
        <v>93439</v>
      </c>
      <c r="C1888" s="20" t="s">
        <v>1939</v>
      </c>
      <c r="D1888" s="19" t="s">
        <v>1535</v>
      </c>
      <c r="E1888" s="21">
        <f t="shared" si="86"/>
        <v>283.19999999999999</v>
      </c>
      <c r="F1888" s="22">
        <v>0</v>
      </c>
      <c r="G1888" s="21">
        <f t="shared" si="87"/>
        <v>275.57999999999998</v>
      </c>
      <c r="H1888" s="22">
        <v>0</v>
      </c>
      <c r="I1888" s="23" t="str">
        <f t="shared" si="88"/>
        <v xml:space="preserve">COM VALOR</v>
      </c>
      <c r="J1888" s="19"/>
      <c r="L1888" s="21">
        <v>283.19999999999999</v>
      </c>
      <c r="M1888" s="22">
        <v>8.0000000000000002e-002</v>
      </c>
      <c r="N1888" s="21">
        <v>275.57999999999998</v>
      </c>
      <c r="O1888" s="22">
        <v>8.0000000000000002e-002</v>
      </c>
    </row>
    <row r="1889" ht="25.5">
      <c r="A1889" t="s">
        <v>1531</v>
      </c>
      <c r="B1889" s="19">
        <v>100648</v>
      </c>
      <c r="C1889" s="20" t="s">
        <v>1940</v>
      </c>
      <c r="D1889" s="19" t="s">
        <v>1533</v>
      </c>
      <c r="E1889" s="21">
        <f t="shared" si="86"/>
        <v>600.59000000000003</v>
      </c>
      <c r="F1889" s="22">
        <v>0</v>
      </c>
      <c r="G1889" s="21">
        <f t="shared" si="87"/>
        <v>597.80999999999995</v>
      </c>
      <c r="H1889" s="22">
        <v>0</v>
      </c>
      <c r="I1889" s="23" t="str">
        <f t="shared" si="88"/>
        <v xml:space="preserve">COM VALOR</v>
      </c>
      <c r="J1889" s="19"/>
      <c r="L1889" s="21">
        <v>600.59000000000003</v>
      </c>
      <c r="M1889" s="22">
        <v>0.93000000000000005</v>
      </c>
      <c r="N1889" s="21">
        <v>597.80999999999995</v>
      </c>
      <c r="O1889" s="22">
        <v>0.93000000000000005</v>
      </c>
    </row>
    <row r="1890" ht="25.5">
      <c r="A1890" t="s">
        <v>1531</v>
      </c>
      <c r="B1890" s="19">
        <v>100647</v>
      </c>
      <c r="C1890" s="20" t="s">
        <v>1941</v>
      </c>
      <c r="D1890" s="19" t="s">
        <v>1535</v>
      </c>
      <c r="E1890" s="21">
        <f t="shared" si="86"/>
        <v>7374.7600000000002</v>
      </c>
      <c r="F1890" s="22">
        <v>0</v>
      </c>
      <c r="G1890" s="21">
        <f t="shared" si="87"/>
        <v>7371.9799999999996</v>
      </c>
      <c r="H1890" s="22">
        <v>0</v>
      </c>
      <c r="I1890" s="23" t="str">
        <f t="shared" si="88"/>
        <v xml:space="preserve">COM VALOR</v>
      </c>
      <c r="J1890" s="19"/>
      <c r="L1890" s="21">
        <v>7374.7600000000002</v>
      </c>
      <c r="M1890" s="22">
        <v>0.17000000000000001</v>
      </c>
      <c r="N1890" s="21">
        <v>7371.9799999999996</v>
      </c>
      <c r="O1890" s="22">
        <v>0.17000000000000001</v>
      </c>
    </row>
    <row r="1891" ht="25.5">
      <c r="A1891" t="s">
        <v>1531</v>
      </c>
      <c r="B1891" s="19">
        <v>5829</v>
      </c>
      <c r="C1891" s="20" t="s">
        <v>1942</v>
      </c>
      <c r="D1891" s="19" t="s">
        <v>1533</v>
      </c>
      <c r="E1891" s="21">
        <f t="shared" si="86"/>
        <v>176.25999999999999</v>
      </c>
      <c r="F1891" s="22">
        <v>0</v>
      </c>
      <c r="G1891" s="21">
        <f t="shared" si="87"/>
        <v>168.63999999999999</v>
      </c>
      <c r="H1891" s="22">
        <v>0</v>
      </c>
      <c r="I1891" s="23" t="str">
        <f t="shared" si="88"/>
        <v xml:space="preserve">COM VALOR</v>
      </c>
      <c r="J1891" s="19"/>
      <c r="L1891" s="21">
        <v>176.25999999999999</v>
      </c>
      <c r="M1891" s="22">
        <v>0.23999999999999999</v>
      </c>
      <c r="N1891" s="21">
        <v>168.63999999999999</v>
      </c>
      <c r="O1891" s="22">
        <v>0.2525</v>
      </c>
    </row>
    <row r="1892" ht="25.5">
      <c r="A1892" t="s">
        <v>1531</v>
      </c>
      <c r="B1892" s="19">
        <v>5823</v>
      </c>
      <c r="C1892" s="20" t="s">
        <v>1943</v>
      </c>
      <c r="D1892" s="19" t="s">
        <v>1535</v>
      </c>
      <c r="E1892" s="21">
        <f t="shared" si="86"/>
        <v>238.77000000000001</v>
      </c>
      <c r="F1892" s="22">
        <v>0</v>
      </c>
      <c r="G1892" s="21">
        <f t="shared" si="87"/>
        <v>231.15000000000001</v>
      </c>
      <c r="H1892" s="22">
        <v>0</v>
      </c>
      <c r="I1892" s="23" t="str">
        <f t="shared" si="88"/>
        <v xml:space="preserve">COM VALOR</v>
      </c>
      <c r="J1892" s="19"/>
      <c r="L1892" s="21">
        <v>238.77000000000001</v>
      </c>
      <c r="M1892" s="22">
        <v>0.33000000000000002</v>
      </c>
      <c r="N1892" s="21">
        <v>231.15000000000001</v>
      </c>
      <c r="O1892" s="22">
        <v>0.34000000000000002</v>
      </c>
    </row>
    <row r="1893" ht="63.75">
      <c r="A1893" t="s">
        <v>1531</v>
      </c>
      <c r="B1893" s="19">
        <v>106095</v>
      </c>
      <c r="C1893" s="20" t="s">
        <v>1944</v>
      </c>
      <c r="D1893" s="19" t="s">
        <v>1533</v>
      </c>
      <c r="E1893" s="21">
        <f t="shared" si="86"/>
        <v>107.63</v>
      </c>
      <c r="F1893" s="22">
        <v>0</v>
      </c>
      <c r="G1893" s="21">
        <f t="shared" si="87"/>
        <v>106.03</v>
      </c>
      <c r="H1893" s="22">
        <v>0</v>
      </c>
      <c r="I1893" s="23" t="str">
        <f t="shared" si="88"/>
        <v xml:space="preserve">COM VALOR</v>
      </c>
      <c r="J1893" s="19"/>
      <c r="L1893" s="21">
        <v>107.63</v>
      </c>
      <c r="M1893" s="22">
        <v>0.38</v>
      </c>
      <c r="N1893" s="21">
        <v>106.03</v>
      </c>
      <c r="O1893" s="22">
        <v>0.39000000000000001</v>
      </c>
    </row>
    <row r="1894" ht="63.75">
      <c r="A1894" t="s">
        <v>1531</v>
      </c>
      <c r="B1894" s="19">
        <v>106094</v>
      </c>
      <c r="C1894" s="20" t="s">
        <v>1945</v>
      </c>
      <c r="D1894" s="19" t="s">
        <v>1535</v>
      </c>
      <c r="E1894" s="21">
        <f t="shared" si="86"/>
        <v>346.58999999999997</v>
      </c>
      <c r="F1894" s="22">
        <v>0</v>
      </c>
      <c r="G1894" s="21">
        <f t="shared" si="87"/>
        <v>344.99000000000001</v>
      </c>
      <c r="H1894" s="22">
        <v>0</v>
      </c>
      <c r="I1894" s="23" t="str">
        <f t="shared" si="88"/>
        <v xml:space="preserve">COM VALOR</v>
      </c>
      <c r="J1894" s="19"/>
      <c r="L1894" s="21">
        <v>346.58999999999997</v>
      </c>
      <c r="M1894" s="22">
        <v>0.26000000000000001</v>
      </c>
      <c r="N1894" s="21">
        <v>344.99000000000001</v>
      </c>
      <c r="O1894" s="22">
        <v>0.26000000000000001</v>
      </c>
    </row>
    <row r="1895" ht="25.5">
      <c r="A1895" t="s">
        <v>1531</v>
      </c>
      <c r="B1895" s="19">
        <v>100642</v>
      </c>
      <c r="C1895" s="20" t="s">
        <v>1946</v>
      </c>
      <c r="D1895" s="19" t="s">
        <v>1533</v>
      </c>
      <c r="E1895" s="21">
        <f t="shared" si="86"/>
        <v>305.86000000000001</v>
      </c>
      <c r="F1895" s="22">
        <v>0</v>
      </c>
      <c r="G1895" s="21">
        <f t="shared" si="87"/>
        <v>303.07999999999998</v>
      </c>
      <c r="H1895" s="22">
        <v>0</v>
      </c>
      <c r="I1895" s="23" t="str">
        <f t="shared" si="88"/>
        <v xml:space="preserve">COM VALOR</v>
      </c>
      <c r="J1895" s="19"/>
      <c r="L1895" s="21">
        <v>305.86000000000001</v>
      </c>
      <c r="M1895" s="22">
        <v>0.85999999999999999</v>
      </c>
      <c r="N1895" s="21">
        <v>303.07999999999998</v>
      </c>
      <c r="O1895" s="22">
        <v>0.87</v>
      </c>
    </row>
    <row r="1896" ht="25.5">
      <c r="A1896" t="s">
        <v>1531</v>
      </c>
      <c r="B1896" s="19">
        <v>100641</v>
      </c>
      <c r="C1896" s="20" t="s">
        <v>1947</v>
      </c>
      <c r="D1896" s="19" t="s">
        <v>1535</v>
      </c>
      <c r="E1896" s="21">
        <f t="shared" si="86"/>
        <v>5446.5299999999997</v>
      </c>
      <c r="F1896" s="22">
        <v>0</v>
      </c>
      <c r="G1896" s="21">
        <f t="shared" si="87"/>
        <v>5443.75</v>
      </c>
      <c r="H1896" s="22">
        <v>0</v>
      </c>
      <c r="I1896" s="23" t="str">
        <f t="shared" si="88"/>
        <v xml:space="preserve">COM VALOR</v>
      </c>
      <c r="J1896" s="19"/>
      <c r="L1896" s="21">
        <v>5446.5299999999997</v>
      </c>
      <c r="M1896" s="22">
        <v>8.9999999999999997e-002</v>
      </c>
      <c r="N1896" s="21">
        <v>5443.75</v>
      </c>
      <c r="O1896" s="22">
        <v>8.9999999999999997e-002</v>
      </c>
    </row>
    <row r="1897" ht="25.5">
      <c r="A1897" t="s">
        <v>1531</v>
      </c>
      <c r="B1897" s="19">
        <v>93434</v>
      </c>
      <c r="C1897" s="20" t="s">
        <v>1948</v>
      </c>
      <c r="D1897" s="19" t="s">
        <v>1533</v>
      </c>
      <c r="E1897" s="21">
        <f t="shared" si="86"/>
        <v>347.95999999999998</v>
      </c>
      <c r="F1897" s="22">
        <v>0</v>
      </c>
      <c r="G1897" s="21">
        <f t="shared" si="87"/>
        <v>340.33999999999997</v>
      </c>
      <c r="H1897" s="22">
        <v>0</v>
      </c>
      <c r="I1897" s="23" t="str">
        <f t="shared" si="88"/>
        <v xml:space="preserve">COM VALOR</v>
      </c>
      <c r="J1897" s="19"/>
      <c r="L1897" s="21">
        <v>347.95999999999998</v>
      </c>
      <c r="M1897" s="22">
        <v>0.62</v>
      </c>
      <c r="N1897" s="21">
        <v>340.33999999999997</v>
      </c>
      <c r="O1897" s="22">
        <v>0.63</v>
      </c>
    </row>
    <row r="1898" ht="25.5">
      <c r="A1898" t="s">
        <v>1531</v>
      </c>
      <c r="B1898" s="19">
        <v>93433</v>
      </c>
      <c r="C1898" s="20" t="s">
        <v>1949</v>
      </c>
      <c r="D1898" s="19" t="s">
        <v>1535</v>
      </c>
      <c r="E1898" s="21">
        <f t="shared" si="86"/>
        <v>2997.4099999999999</v>
      </c>
      <c r="F1898" s="22">
        <v>0</v>
      </c>
      <c r="G1898" s="21">
        <f t="shared" si="87"/>
        <v>2989.79</v>
      </c>
      <c r="H1898" s="22">
        <v>0</v>
      </c>
      <c r="I1898" s="23" t="str">
        <f t="shared" si="88"/>
        <v xml:space="preserve">COM VALOR</v>
      </c>
      <c r="J1898" s="19"/>
      <c r="L1898" s="21">
        <v>2997.4099999999999</v>
      </c>
      <c r="M1898" s="22">
        <v>0.14000000000000001</v>
      </c>
      <c r="N1898" s="21">
        <v>2989.79</v>
      </c>
      <c r="O1898" s="22">
        <v>0.14000000000000001</v>
      </c>
    </row>
    <row r="1899" ht="25.5">
      <c r="A1899" t="s">
        <v>1531</v>
      </c>
      <c r="B1899" s="19">
        <v>95122</v>
      </c>
      <c r="C1899" s="20" t="s">
        <v>1950</v>
      </c>
      <c r="D1899" s="19" t="s">
        <v>1533</v>
      </c>
      <c r="E1899" s="21">
        <f t="shared" si="86"/>
        <v>232.03</v>
      </c>
      <c r="F1899" s="22">
        <v>0</v>
      </c>
      <c r="G1899" s="21">
        <f t="shared" si="87"/>
        <v>224.41</v>
      </c>
      <c r="H1899" s="22">
        <v>0</v>
      </c>
      <c r="I1899" s="23" t="str">
        <f t="shared" si="88"/>
        <v xml:space="preserve">COM VALOR</v>
      </c>
      <c r="J1899" s="19"/>
      <c r="L1899" s="21">
        <v>232.03</v>
      </c>
      <c r="M1899" s="22">
        <v>0.41999999999999998</v>
      </c>
      <c r="N1899" s="21">
        <v>224.41</v>
      </c>
      <c r="O1899" s="22">
        <v>0.44</v>
      </c>
    </row>
    <row r="1900" ht="25.5">
      <c r="A1900" t="s">
        <v>1531</v>
      </c>
      <c r="B1900" s="19">
        <v>95121</v>
      </c>
      <c r="C1900" s="20" t="s">
        <v>1951</v>
      </c>
      <c r="D1900" s="19" t="s">
        <v>1535</v>
      </c>
      <c r="E1900" s="21">
        <f t="shared" si="86"/>
        <v>386.31</v>
      </c>
      <c r="F1900" s="22">
        <v>0</v>
      </c>
      <c r="G1900" s="21">
        <f t="shared" si="87"/>
        <v>378.69</v>
      </c>
      <c r="H1900" s="22">
        <v>0</v>
      </c>
      <c r="I1900" s="23" t="str">
        <f t="shared" si="88"/>
        <v xml:space="preserve">COM VALOR</v>
      </c>
      <c r="J1900" s="19"/>
      <c r="L1900" s="21">
        <v>386.31</v>
      </c>
      <c r="M1900" s="22">
        <v>0.46750000000000003</v>
      </c>
      <c r="N1900" s="21">
        <v>378.69</v>
      </c>
      <c r="O1900" s="22">
        <v>0.47999999999999998</v>
      </c>
    </row>
    <row r="1901" ht="25.5">
      <c r="A1901" t="s">
        <v>1531</v>
      </c>
      <c r="B1901" s="19">
        <v>103662</v>
      </c>
      <c r="C1901" s="20" t="s">
        <v>1952</v>
      </c>
      <c r="D1901" s="19" t="s">
        <v>1533</v>
      </c>
      <c r="E1901" s="21" t="str">
        <f t="shared" si="86"/>
        <v>VERIFICAR</v>
      </c>
      <c r="F1901" s="22">
        <v>0.14999999999999999</v>
      </c>
      <c r="G1901" s="21" t="str">
        <f t="shared" si="87"/>
        <v>VERIFICAR</v>
      </c>
      <c r="H1901" s="22">
        <v>0.16</v>
      </c>
      <c r="I1901" s="23" t="str">
        <f t="shared" si="88"/>
        <v xml:space="preserve">COM VALOR</v>
      </c>
      <c r="J1901" s="19"/>
      <c r="L1901" s="21">
        <v>0</v>
      </c>
      <c r="M1901" s="22"/>
      <c r="N1901" s="21">
        <v>0</v>
      </c>
      <c r="O1901" s="22"/>
    </row>
    <row r="1902" ht="25.5">
      <c r="A1902" t="s">
        <v>1531</v>
      </c>
      <c r="B1902" s="19">
        <v>103661</v>
      </c>
      <c r="C1902" s="20" t="s">
        <v>1953</v>
      </c>
      <c r="D1902" s="19" t="s">
        <v>1535</v>
      </c>
      <c r="E1902" s="21" t="str">
        <f t="shared" si="86"/>
        <v>VERIFICAR</v>
      </c>
      <c r="F1902" s="22">
        <v>0</v>
      </c>
      <c r="G1902" s="21" t="str">
        <f t="shared" si="87"/>
        <v>VERIFICAR</v>
      </c>
      <c r="H1902" s="22">
        <v>0</v>
      </c>
      <c r="I1902" s="23" t="str">
        <f t="shared" si="88"/>
        <v xml:space="preserve">COM VALOR</v>
      </c>
      <c r="J1902" s="19"/>
      <c r="L1902" s="21">
        <v>0</v>
      </c>
      <c r="M1902" s="22"/>
      <c r="N1902" s="21">
        <v>0</v>
      </c>
      <c r="O1902" s="22"/>
    </row>
    <row r="1903" ht="25.5">
      <c r="A1903" t="s">
        <v>1531</v>
      </c>
      <c r="B1903" s="19">
        <v>5841</v>
      </c>
      <c r="C1903" s="20" t="s">
        <v>1954</v>
      </c>
      <c r="D1903" s="19" t="s">
        <v>1533</v>
      </c>
      <c r="E1903" s="21">
        <f t="shared" si="86"/>
        <v>4.7400000000000002</v>
      </c>
      <c r="F1903" s="22">
        <v>0.55000000000000004</v>
      </c>
      <c r="G1903" s="21">
        <f t="shared" si="87"/>
        <v>4.7400000000000002</v>
      </c>
      <c r="H1903" s="22">
        <v>0.56999999999999995</v>
      </c>
      <c r="I1903" s="23" t="str">
        <f t="shared" si="88"/>
        <v xml:space="preserve">COM VALOR</v>
      </c>
      <c r="J1903" s="19"/>
      <c r="L1903" s="21">
        <v>4.7400000000000002</v>
      </c>
      <c r="M1903" s="22">
        <v>1</v>
      </c>
      <c r="N1903" s="21">
        <v>4.7400000000000002</v>
      </c>
      <c r="O1903" s="22">
        <v>1</v>
      </c>
    </row>
    <row r="1904" ht="25.5">
      <c r="A1904" t="s">
        <v>1531</v>
      </c>
      <c r="B1904" s="19">
        <v>5839</v>
      </c>
      <c r="C1904" s="20" t="s">
        <v>1955</v>
      </c>
      <c r="D1904" s="19" t="s">
        <v>1535</v>
      </c>
      <c r="E1904" s="21">
        <f t="shared" si="86"/>
        <v>9.4299999999999997</v>
      </c>
      <c r="F1904" s="22">
        <v>0</v>
      </c>
      <c r="G1904" s="21">
        <f t="shared" si="87"/>
        <v>9.4299999999999997</v>
      </c>
      <c r="H1904" s="22">
        <v>0</v>
      </c>
      <c r="I1904" s="23" t="str">
        <f t="shared" si="88"/>
        <v xml:space="preserve">COM VALOR</v>
      </c>
      <c r="J1904" s="19"/>
      <c r="L1904" s="21">
        <v>9.4299999999999997</v>
      </c>
      <c r="M1904" s="22">
        <v>1</v>
      </c>
      <c r="N1904" s="21">
        <v>9.4299999999999997</v>
      </c>
      <c r="O1904" s="22">
        <v>1</v>
      </c>
    </row>
    <row r="1905" ht="25.5">
      <c r="A1905" t="s">
        <v>1531</v>
      </c>
      <c r="B1905" s="19">
        <v>90587</v>
      </c>
      <c r="C1905" s="20" t="s">
        <v>1956</v>
      </c>
      <c r="D1905" s="19" t="s">
        <v>1533</v>
      </c>
      <c r="E1905" s="21">
        <f t="shared" si="86"/>
        <v>0.57999999999999996</v>
      </c>
      <c r="F1905" s="22">
        <v>0.68000000000000005</v>
      </c>
      <c r="G1905" s="21">
        <f t="shared" si="87"/>
        <v>0.57999999999999996</v>
      </c>
      <c r="H1905" s="22">
        <v>0.69999999999999996</v>
      </c>
      <c r="I1905" s="23" t="str">
        <f t="shared" si="88"/>
        <v xml:space="preserve">COM VALOR</v>
      </c>
      <c r="J1905" s="19"/>
      <c r="L1905" s="21">
        <v>0.57999999999999996</v>
      </c>
      <c r="M1905" s="22">
        <v>1</v>
      </c>
      <c r="N1905" s="21">
        <v>0.57999999999999996</v>
      </c>
      <c r="O1905" s="22">
        <v>1</v>
      </c>
    </row>
    <row r="1906" ht="25.5">
      <c r="A1906" t="s">
        <v>1531</v>
      </c>
      <c r="B1906" s="19">
        <v>90586</v>
      </c>
      <c r="C1906" s="20" t="s">
        <v>1957</v>
      </c>
      <c r="D1906" s="19" t="s">
        <v>1535</v>
      </c>
      <c r="E1906" s="21">
        <f t="shared" si="86"/>
        <v>1.53</v>
      </c>
      <c r="F1906" s="22">
        <v>0</v>
      </c>
      <c r="G1906" s="21">
        <f t="shared" si="87"/>
        <v>1.53</v>
      </c>
      <c r="H1906" s="22">
        <v>0</v>
      </c>
      <c r="I1906" s="23" t="str">
        <f t="shared" si="88"/>
        <v xml:space="preserve">COM VALOR</v>
      </c>
      <c r="J1906" s="19"/>
      <c r="L1906" s="21">
        <v>1.53</v>
      </c>
      <c r="M1906" s="22">
        <v>0.62</v>
      </c>
      <c r="N1906" s="21">
        <v>1.53</v>
      </c>
      <c r="O1906" s="22">
        <v>0.62</v>
      </c>
    </row>
    <row r="1907" ht="25.5">
      <c r="A1907" t="s">
        <v>1531</v>
      </c>
      <c r="B1907" s="19">
        <v>106392</v>
      </c>
      <c r="C1907" s="20" t="s">
        <v>1958</v>
      </c>
      <c r="D1907" s="19" t="s">
        <v>1533</v>
      </c>
      <c r="E1907" s="21">
        <f t="shared" si="86"/>
        <v>129.09999999999999</v>
      </c>
      <c r="F1907" s="22">
        <v>0.32000000000000001</v>
      </c>
      <c r="G1907" s="21">
        <f t="shared" si="87"/>
        <v>127.20999999999999</v>
      </c>
      <c r="H1907" s="22">
        <v>0.33000000000000002</v>
      </c>
      <c r="I1907" s="23" t="str">
        <f t="shared" si="88"/>
        <v xml:space="preserve">COM VALOR</v>
      </c>
      <c r="J1907" s="19"/>
      <c r="L1907" s="21">
        <v>129.09999999999999</v>
      </c>
      <c r="M1907" s="22">
        <v>0.76000000000000001</v>
      </c>
      <c r="N1907" s="21">
        <v>127.20999999999999</v>
      </c>
      <c r="O1907" s="22">
        <v>0.77000000000000002</v>
      </c>
    </row>
    <row r="1908" ht="25.5">
      <c r="A1908" t="s">
        <v>1531</v>
      </c>
      <c r="B1908" s="19">
        <v>106389</v>
      </c>
      <c r="C1908" s="20" t="s">
        <v>1959</v>
      </c>
      <c r="D1908" s="19" t="s">
        <v>1535</v>
      </c>
      <c r="E1908" s="21">
        <f t="shared" si="86"/>
        <v>351.89999999999998</v>
      </c>
      <c r="F1908" s="22">
        <v>0</v>
      </c>
      <c r="G1908" s="21">
        <f t="shared" si="87"/>
        <v>350.00999999999999</v>
      </c>
      <c r="H1908" s="22">
        <v>0</v>
      </c>
      <c r="I1908" s="23" t="str">
        <f t="shared" si="88"/>
        <v xml:space="preserve">COM VALOR</v>
      </c>
      <c r="J1908" s="19"/>
      <c r="L1908" s="21">
        <v>351.89999999999998</v>
      </c>
      <c r="M1908" s="22">
        <v>0.60999999999999999</v>
      </c>
      <c r="N1908" s="21">
        <v>350.00999999999999</v>
      </c>
      <c r="O1908" s="22">
        <v>0.62</v>
      </c>
    </row>
    <row r="1909" ht="25.5">
      <c r="A1909" t="s">
        <v>1531</v>
      </c>
      <c r="B1909" s="19">
        <v>106391</v>
      </c>
      <c r="C1909" s="20" t="s">
        <v>1960</v>
      </c>
      <c r="D1909" s="19" t="s">
        <v>1533</v>
      </c>
      <c r="E1909" s="21">
        <f t="shared" si="86"/>
        <v>262.76999999999998</v>
      </c>
      <c r="F1909" s="22">
        <v>0.44</v>
      </c>
      <c r="G1909" s="21">
        <f t="shared" si="87"/>
        <v>260.88</v>
      </c>
      <c r="H1909" s="22">
        <v>0.46000000000000002</v>
      </c>
      <c r="I1909" s="23" t="str">
        <f t="shared" si="88"/>
        <v xml:space="preserve">COM VALOR</v>
      </c>
      <c r="J1909" s="19"/>
      <c r="L1909" s="21">
        <v>262.76999999999998</v>
      </c>
      <c r="M1909" s="22">
        <v>0.88</v>
      </c>
      <c r="N1909" s="21">
        <v>260.88</v>
      </c>
      <c r="O1909" s="22">
        <v>0.89000000000000001</v>
      </c>
    </row>
    <row r="1910" ht="25.5">
      <c r="A1910" t="s">
        <v>1531</v>
      </c>
      <c r="B1910" s="19">
        <v>106388</v>
      </c>
      <c r="C1910" s="20" t="s">
        <v>1961</v>
      </c>
      <c r="D1910" s="19" t="s">
        <v>1535</v>
      </c>
      <c r="E1910" s="21">
        <f t="shared" si="86"/>
        <v>667.52999999999997</v>
      </c>
      <c r="F1910" s="22">
        <v>0</v>
      </c>
      <c r="G1910" s="21">
        <f t="shared" si="87"/>
        <v>665.63999999999999</v>
      </c>
      <c r="H1910" s="22">
        <v>0</v>
      </c>
      <c r="I1910" s="23" t="str">
        <f t="shared" si="88"/>
        <v xml:space="preserve">COM VALOR</v>
      </c>
      <c r="J1910" s="19"/>
      <c r="L1910" s="21">
        <v>667.52999999999997</v>
      </c>
      <c r="M1910" s="22">
        <v>0.76000000000000001</v>
      </c>
      <c r="N1910" s="21">
        <v>665.63999999999999</v>
      </c>
      <c r="O1910" s="22">
        <v>0.76000000000000001</v>
      </c>
    </row>
    <row r="1911" ht="38.25">
      <c r="A1911" t="s">
        <v>1531</v>
      </c>
      <c r="B1911" s="19">
        <v>5837</v>
      </c>
      <c r="C1911" s="20" t="s">
        <v>1962</v>
      </c>
      <c r="D1911" s="19" t="s">
        <v>1533</v>
      </c>
      <c r="E1911" s="21">
        <f t="shared" si="86"/>
        <v>149.91999999999999</v>
      </c>
      <c r="F1911" s="22">
        <v>0</v>
      </c>
      <c r="G1911" s="21">
        <f t="shared" si="87"/>
        <v>148.03</v>
      </c>
      <c r="H1911" s="22">
        <v>0</v>
      </c>
      <c r="I1911" s="23" t="str">
        <f t="shared" si="88"/>
        <v xml:space="preserve">COM VALOR</v>
      </c>
      <c r="J1911" s="19"/>
      <c r="L1911" s="21">
        <v>149.91999999999999</v>
      </c>
      <c r="M1911" s="22">
        <v>0.80000000000000004</v>
      </c>
      <c r="N1911" s="21">
        <v>148.03</v>
      </c>
      <c r="O1911" s="22">
        <v>0.81000000000000005</v>
      </c>
    </row>
    <row r="1912" ht="38.25">
      <c r="A1912" t="s">
        <v>1531</v>
      </c>
      <c r="B1912" s="19">
        <v>5835</v>
      </c>
      <c r="C1912" s="20" t="s">
        <v>1963</v>
      </c>
      <c r="D1912" s="19" t="s">
        <v>1535</v>
      </c>
      <c r="E1912" s="21">
        <f t="shared" si="86"/>
        <v>392.63999999999999</v>
      </c>
      <c r="F1912" s="22">
        <v>0</v>
      </c>
      <c r="G1912" s="21">
        <f t="shared" si="87"/>
        <v>390.75</v>
      </c>
      <c r="H1912" s="22">
        <v>0</v>
      </c>
      <c r="I1912" s="23" t="str">
        <f t="shared" si="88"/>
        <v xml:space="preserve">COM VALOR</v>
      </c>
      <c r="J1912" s="19"/>
      <c r="L1912" s="21">
        <v>392.63999999999999</v>
      </c>
      <c r="M1912" s="22">
        <v>0.66000000000000003</v>
      </c>
      <c r="N1912" s="21">
        <v>390.75</v>
      </c>
      <c r="O1912" s="22">
        <v>0.67000000000000004</v>
      </c>
    </row>
    <row r="1913" ht="38.25">
      <c r="A1913" t="s">
        <v>1531</v>
      </c>
      <c r="B1913" s="19">
        <v>89257</v>
      </c>
      <c r="C1913" s="20" t="s">
        <v>1964</v>
      </c>
      <c r="D1913" s="19" t="s">
        <v>1535</v>
      </c>
      <c r="E1913" s="21">
        <f t="shared" si="86"/>
        <v>340.72000000000003</v>
      </c>
      <c r="F1913" s="22">
        <v>0</v>
      </c>
      <c r="G1913" s="21">
        <f t="shared" si="87"/>
        <v>338.82999999999998</v>
      </c>
      <c r="H1913" s="22">
        <v>0</v>
      </c>
      <c r="I1913" s="23" t="str">
        <f t="shared" si="88"/>
        <v xml:space="preserve">COM VALOR</v>
      </c>
      <c r="J1913" s="19"/>
      <c r="L1913" s="21">
        <v>340.72000000000003</v>
      </c>
      <c r="M1913" s="22">
        <v>0.63</v>
      </c>
      <c r="N1913" s="21">
        <v>338.82999999999998</v>
      </c>
      <c r="O1913" s="22">
        <v>0.63</v>
      </c>
    </row>
    <row r="1914" ht="38.25">
      <c r="A1914" t="s">
        <v>1531</v>
      </c>
      <c r="B1914" s="19">
        <v>89258</v>
      </c>
      <c r="C1914" s="20" t="s">
        <v>1965</v>
      </c>
      <c r="D1914" s="19" t="s">
        <v>1533</v>
      </c>
      <c r="E1914" s="21">
        <f t="shared" si="86"/>
        <v>128.40000000000001</v>
      </c>
      <c r="F1914" s="22"/>
      <c r="G1914" s="21">
        <f t="shared" si="87"/>
        <v>126.51000000000001</v>
      </c>
      <c r="H1914" s="22"/>
      <c r="I1914" s="23" t="str">
        <f t="shared" si="88"/>
        <v xml:space="preserve">COM VALOR</v>
      </c>
      <c r="J1914" s="19"/>
      <c r="L1914" s="21">
        <v>128.40000000000001</v>
      </c>
      <c r="M1914" s="22">
        <v>0.76000000000000001</v>
      </c>
      <c r="N1914" s="21">
        <v>126.51000000000001</v>
      </c>
      <c r="O1914" s="22">
        <v>0.77000000000000002</v>
      </c>
    </row>
    <row r="1915" ht="38.25">
      <c r="A1915" t="s">
        <v>1531</v>
      </c>
      <c r="B1915" s="19">
        <v>106393</v>
      </c>
      <c r="C1915" s="20" t="s">
        <v>1966</v>
      </c>
      <c r="D1915" s="19" t="s">
        <v>1533</v>
      </c>
      <c r="E1915" s="21">
        <f t="shared" si="86"/>
        <v>147.44999999999999</v>
      </c>
      <c r="F1915" s="22">
        <v>0</v>
      </c>
      <c r="G1915" s="21">
        <f t="shared" si="87"/>
        <v>145.56</v>
      </c>
      <c r="H1915" s="22">
        <v>0</v>
      </c>
      <c r="I1915" s="23" t="str">
        <f t="shared" si="88"/>
        <v xml:space="preserve">COM VALOR</v>
      </c>
      <c r="J1915" s="19"/>
      <c r="L1915" s="21">
        <v>147.44999999999999</v>
      </c>
      <c r="M1915" s="22">
        <v>0.79000000000000004</v>
      </c>
      <c r="N1915" s="21">
        <v>145.56</v>
      </c>
      <c r="O1915" s="22">
        <v>0.80000000000000004</v>
      </c>
    </row>
    <row r="1916" ht="38.25">
      <c r="A1916" t="s">
        <v>1531</v>
      </c>
      <c r="B1916" s="19">
        <v>106390</v>
      </c>
      <c r="C1916" s="20" t="s">
        <v>1967</v>
      </c>
      <c r="D1916" s="19" t="s">
        <v>1535</v>
      </c>
      <c r="E1916" s="21">
        <f t="shared" si="86"/>
        <v>374.01999999999998</v>
      </c>
      <c r="F1916" s="22">
        <v>0</v>
      </c>
      <c r="G1916" s="21">
        <f t="shared" si="87"/>
        <v>372.13</v>
      </c>
      <c r="H1916" s="22">
        <v>0</v>
      </c>
      <c r="I1916" s="23" t="str">
        <f t="shared" si="88"/>
        <v xml:space="preserve">COM VALOR</v>
      </c>
      <c r="J1916" s="19"/>
      <c r="L1916" s="21">
        <v>374.01999999999998</v>
      </c>
      <c r="M1916" s="22">
        <v>0.65000000000000002</v>
      </c>
      <c r="N1916" s="21">
        <v>372.13</v>
      </c>
      <c r="O1916" s="22">
        <v>0.65000000000000002</v>
      </c>
    </row>
    <row r="1917" ht="25.5">
      <c r="A1917" t="s">
        <v>1968</v>
      </c>
      <c r="B1917" s="19">
        <v>97621</v>
      </c>
      <c r="C1917" s="20" t="s">
        <v>1969</v>
      </c>
      <c r="D1917" s="19" t="s">
        <v>121</v>
      </c>
      <c r="E1917" s="21">
        <f t="shared" si="86"/>
        <v>123.22</v>
      </c>
      <c r="F1917" s="22">
        <v>0</v>
      </c>
      <c r="G1917" s="21">
        <f t="shared" si="87"/>
        <v>116.59</v>
      </c>
      <c r="H1917" s="22">
        <v>0</v>
      </c>
      <c r="I1917" s="23" t="str">
        <f t="shared" si="88"/>
        <v xml:space="preserve">COM VALOR</v>
      </c>
      <c r="J1917" s="19"/>
      <c r="L1917" s="21">
        <v>123.22</v>
      </c>
      <c r="M1917" s="22">
        <v>0</v>
      </c>
      <c r="N1917" s="21">
        <v>116.59</v>
      </c>
      <c r="O1917" s="22">
        <v>0</v>
      </c>
    </row>
    <row r="1918" ht="25.5">
      <c r="A1918" t="s">
        <v>1968</v>
      </c>
      <c r="B1918" s="19">
        <v>97622</v>
      </c>
      <c r="C1918" s="20" t="s">
        <v>1970</v>
      </c>
      <c r="D1918" s="19" t="s">
        <v>121</v>
      </c>
      <c r="E1918" s="21">
        <f t="shared" si="86"/>
        <v>60.060000000000002</v>
      </c>
      <c r="F1918" s="22">
        <v>0</v>
      </c>
      <c r="G1918" s="21">
        <f t="shared" si="87"/>
        <v>56.82</v>
      </c>
      <c r="H1918" s="22">
        <v>0</v>
      </c>
      <c r="I1918" s="23" t="str">
        <f t="shared" si="88"/>
        <v xml:space="preserve">COM VALOR</v>
      </c>
      <c r="J1918" s="19"/>
      <c r="L1918" s="21">
        <v>60.060000000000002</v>
      </c>
      <c r="M1918" s="22">
        <v>0</v>
      </c>
      <c r="N1918" s="21">
        <v>56.82</v>
      </c>
      <c r="O1918" s="22">
        <v>0</v>
      </c>
    </row>
    <row r="1919" ht="25.5">
      <c r="A1919" t="s">
        <v>1968</v>
      </c>
      <c r="B1919" s="19">
        <v>97623</v>
      </c>
      <c r="C1919" s="20" t="s">
        <v>1971</v>
      </c>
      <c r="D1919" s="19" t="s">
        <v>121</v>
      </c>
      <c r="E1919" s="21">
        <f t="shared" si="86"/>
        <v>183.97999999999999</v>
      </c>
      <c r="F1919" s="22"/>
      <c r="G1919" s="21">
        <f t="shared" si="87"/>
        <v>174.06999999999999</v>
      </c>
      <c r="H1919" s="22"/>
      <c r="I1919" s="23" t="str">
        <f t="shared" si="88"/>
        <v xml:space="preserve">COM VALOR</v>
      </c>
      <c r="J1919" s="19"/>
      <c r="L1919" s="21">
        <v>183.97999999999999</v>
      </c>
      <c r="M1919" s="22">
        <v>0</v>
      </c>
      <c r="N1919" s="21">
        <v>174.06999999999999</v>
      </c>
      <c r="O1919" s="22">
        <v>0</v>
      </c>
    </row>
    <row r="1920" ht="25.5">
      <c r="A1920" t="s">
        <v>1968</v>
      </c>
      <c r="B1920" s="19">
        <v>97624</v>
      </c>
      <c r="C1920" s="20" t="s">
        <v>1972</v>
      </c>
      <c r="D1920" s="19" t="s">
        <v>121</v>
      </c>
      <c r="E1920" s="21">
        <f t="shared" si="86"/>
        <v>112.91</v>
      </c>
      <c r="F1920" s="22"/>
      <c r="G1920" s="21">
        <f t="shared" si="87"/>
        <v>106.84</v>
      </c>
      <c r="H1920" s="22"/>
      <c r="I1920" s="23" t="str">
        <f t="shared" si="88"/>
        <v xml:space="preserve">COM VALOR</v>
      </c>
      <c r="J1920" s="19"/>
      <c r="L1920" s="21">
        <v>112.91</v>
      </c>
      <c r="M1920" s="22">
        <v>0</v>
      </c>
      <c r="N1920" s="21">
        <v>106.84</v>
      </c>
      <c r="O1920" s="22">
        <v>0</v>
      </c>
    </row>
    <row r="1921" ht="25.5">
      <c r="A1921" t="s">
        <v>1968</v>
      </c>
      <c r="B1921" s="19">
        <v>97625</v>
      </c>
      <c r="C1921" s="20" t="s">
        <v>1973</v>
      </c>
      <c r="D1921" s="19" t="s">
        <v>121</v>
      </c>
      <c r="E1921" s="21">
        <f t="shared" si="86"/>
        <v>51.810000000000002</v>
      </c>
      <c r="F1921" s="22"/>
      <c r="G1921" s="21">
        <f t="shared" si="87"/>
        <v>51.100000000000001</v>
      </c>
      <c r="H1921" s="22"/>
      <c r="I1921" s="23" t="str">
        <f t="shared" si="88"/>
        <v xml:space="preserve">COM VALOR</v>
      </c>
      <c r="J1921" s="19"/>
      <c r="L1921" s="21">
        <v>51.810000000000002</v>
      </c>
      <c r="M1921" s="22">
        <v>0</v>
      </c>
      <c r="N1921" s="21">
        <v>51.100000000000001</v>
      </c>
      <c r="O1921" s="22">
        <v>0</v>
      </c>
    </row>
    <row r="1922" ht="25.5">
      <c r="A1922" t="s">
        <v>1968</v>
      </c>
      <c r="B1922" s="19">
        <v>104791</v>
      </c>
      <c r="C1922" s="20" t="s">
        <v>1974</v>
      </c>
      <c r="D1922" s="19" t="s">
        <v>29</v>
      </c>
      <c r="E1922" s="21">
        <f t="shared" si="86"/>
        <v>6.71</v>
      </c>
      <c r="F1922" s="22"/>
      <c r="G1922" s="21">
        <f t="shared" si="87"/>
        <v>6.3499999999999996</v>
      </c>
      <c r="H1922" s="22"/>
      <c r="I1922" s="23" t="str">
        <f t="shared" si="88"/>
        <v xml:space="preserve">COM VALOR</v>
      </c>
      <c r="J1922" s="19"/>
      <c r="L1922" s="21">
        <v>6.71</v>
      </c>
      <c r="M1922" s="22">
        <v>0</v>
      </c>
      <c r="N1922" s="21">
        <v>6.3499999999999996</v>
      </c>
      <c r="O1922" s="22">
        <v>0</v>
      </c>
    </row>
    <row r="1923" ht="25.5">
      <c r="A1923" t="s">
        <v>1968</v>
      </c>
      <c r="B1923" s="19">
        <v>97631</v>
      </c>
      <c r="C1923" s="20" t="s">
        <v>1975</v>
      </c>
      <c r="D1923" s="19" t="s">
        <v>29</v>
      </c>
      <c r="E1923" s="21">
        <f t="shared" si="86"/>
        <v>12.09</v>
      </c>
      <c r="F1923" s="22">
        <v>0</v>
      </c>
      <c r="G1923" s="21">
        <f t="shared" si="87"/>
        <v>11.43</v>
      </c>
      <c r="H1923" s="22">
        <v>0</v>
      </c>
      <c r="I1923" s="23" t="str">
        <f t="shared" si="88"/>
        <v xml:space="preserve">COM VALOR</v>
      </c>
      <c r="J1923" s="19"/>
      <c r="L1923" s="21">
        <v>12.09</v>
      </c>
      <c r="M1923" s="22">
        <v>0</v>
      </c>
      <c r="N1923" s="21">
        <v>11.43</v>
      </c>
      <c r="O1923" s="22">
        <v>0</v>
      </c>
    </row>
    <row r="1924" ht="38.25">
      <c r="A1924" t="s">
        <v>1968</v>
      </c>
      <c r="B1924" s="19">
        <v>97630</v>
      </c>
      <c r="C1924" s="20" t="s">
        <v>1976</v>
      </c>
      <c r="D1924" s="19" t="s">
        <v>121</v>
      </c>
      <c r="E1924" s="21" t="str">
        <f t="shared" si="86"/>
        <v>VERIFICAR</v>
      </c>
      <c r="F1924" s="22">
        <v>1</v>
      </c>
      <c r="G1924" s="21" t="str">
        <f t="shared" si="87"/>
        <v>VERIFICAR</v>
      </c>
      <c r="H1924" s="22">
        <v>1</v>
      </c>
      <c r="I1924" s="23" t="str">
        <f t="shared" si="88"/>
        <v xml:space="preserve">COM VALOR</v>
      </c>
      <c r="J1924" s="19"/>
      <c r="L1924" s="21">
        <v>0</v>
      </c>
      <c r="M1924" s="22"/>
      <c r="N1924" s="21">
        <v>0</v>
      </c>
      <c r="O1924" s="22"/>
    </row>
    <row r="1925" ht="25.5">
      <c r="A1925" t="s">
        <v>1968</v>
      </c>
      <c r="B1925" s="19">
        <v>104796</v>
      </c>
      <c r="C1925" s="20" t="s">
        <v>1977</v>
      </c>
      <c r="D1925" s="19" t="s">
        <v>38</v>
      </c>
      <c r="E1925" s="21">
        <f t="shared" si="86"/>
        <v>14.69</v>
      </c>
      <c r="F1925" s="22">
        <v>1</v>
      </c>
      <c r="G1925" s="21">
        <f t="shared" si="87"/>
        <v>14.06</v>
      </c>
      <c r="H1925" s="22">
        <v>1</v>
      </c>
      <c r="I1925" s="23" t="str">
        <f t="shared" si="88"/>
        <v xml:space="preserve">COM VALOR</v>
      </c>
      <c r="J1925" s="19"/>
      <c r="L1925" s="21">
        <v>14.69</v>
      </c>
      <c r="M1925" s="22">
        <v>0.14999999999999999</v>
      </c>
      <c r="N1925" s="21">
        <v>14.06</v>
      </c>
      <c r="O1925" s="22">
        <v>0.14999999999999999</v>
      </c>
    </row>
    <row r="1926" ht="25.5">
      <c r="A1926" t="s">
        <v>1968</v>
      </c>
      <c r="B1926" s="19">
        <v>97628</v>
      </c>
      <c r="C1926" s="20" t="s">
        <v>1978</v>
      </c>
      <c r="D1926" s="19" t="s">
        <v>121</v>
      </c>
      <c r="E1926" s="21">
        <f t="shared" si="86"/>
        <v>281.10000000000002</v>
      </c>
      <c r="F1926" s="22">
        <v>1</v>
      </c>
      <c r="G1926" s="21">
        <f t="shared" si="87"/>
        <v>265.97000000000003</v>
      </c>
      <c r="H1926" s="22">
        <v>1</v>
      </c>
      <c r="I1926" s="23" t="str">
        <f t="shared" si="88"/>
        <v xml:space="preserve">COM VALOR</v>
      </c>
      <c r="J1926" s="19"/>
      <c r="L1926" s="21">
        <v>281.10000000000002</v>
      </c>
      <c r="M1926" s="22">
        <v>0</v>
      </c>
      <c r="N1926" s="21">
        <v>265.97000000000003</v>
      </c>
      <c r="O1926" s="22">
        <v>0</v>
      </c>
    </row>
    <row r="1927" ht="25.5">
      <c r="A1927" t="s">
        <v>1968</v>
      </c>
      <c r="B1927" s="19">
        <v>97629</v>
      </c>
      <c r="C1927" s="20" t="s">
        <v>1979</v>
      </c>
      <c r="D1927" s="19" t="s">
        <v>121</v>
      </c>
      <c r="E1927" s="21">
        <f t="shared" si="86"/>
        <v>95.120000000000005</v>
      </c>
      <c r="F1927" s="22">
        <v>0</v>
      </c>
      <c r="G1927" s="21">
        <f t="shared" si="87"/>
        <v>90</v>
      </c>
      <c r="H1927" s="22">
        <v>0</v>
      </c>
      <c r="I1927" s="23" t="str">
        <f t="shared" si="88"/>
        <v xml:space="preserve">COM VALOR</v>
      </c>
      <c r="J1927" s="19"/>
      <c r="L1927" s="21">
        <v>95.120000000000005</v>
      </c>
      <c r="M1927" s="22">
        <v>0</v>
      </c>
      <c r="N1927" s="21">
        <v>90</v>
      </c>
      <c r="O1927" s="22">
        <v>0</v>
      </c>
    </row>
    <row r="1928" ht="25.5">
      <c r="A1928" t="s">
        <v>1968</v>
      </c>
      <c r="B1928" s="19">
        <v>97626</v>
      </c>
      <c r="C1928" s="20" t="s">
        <v>1980</v>
      </c>
      <c r="D1928" s="19" t="s">
        <v>121</v>
      </c>
      <c r="E1928" s="21">
        <f t="shared" si="86"/>
        <v>603.58000000000004</v>
      </c>
      <c r="F1928" s="22">
        <v>0</v>
      </c>
      <c r="G1928" s="21">
        <f t="shared" si="87"/>
        <v>571.08000000000004</v>
      </c>
      <c r="H1928" s="22">
        <v>0</v>
      </c>
      <c r="I1928" s="23" t="str">
        <f t="shared" si="88"/>
        <v xml:space="preserve">COM VALOR</v>
      </c>
      <c r="J1928" s="19"/>
      <c r="L1928" s="21">
        <v>603.58000000000004</v>
      </c>
      <c r="M1928" s="22">
        <v>0</v>
      </c>
      <c r="N1928" s="21">
        <v>571.08000000000004</v>
      </c>
      <c r="O1928" s="22">
        <v>0</v>
      </c>
    </row>
    <row r="1929" ht="25.5">
      <c r="A1929" t="s">
        <v>1968</v>
      </c>
      <c r="B1929" s="19">
        <v>97627</v>
      </c>
      <c r="C1929" s="20" t="s">
        <v>1981</v>
      </c>
      <c r="D1929" s="19" t="s">
        <v>121</v>
      </c>
      <c r="E1929" s="21">
        <f t="shared" si="86"/>
        <v>204.25</v>
      </c>
      <c r="F1929" s="22">
        <v>0</v>
      </c>
      <c r="G1929" s="21">
        <f t="shared" si="87"/>
        <v>193.25999999999999</v>
      </c>
      <c r="H1929" s="22">
        <v>0</v>
      </c>
      <c r="I1929" s="23" t="str">
        <f t="shared" si="88"/>
        <v xml:space="preserve">COM VALOR</v>
      </c>
      <c r="J1929" s="19"/>
      <c r="L1929" s="21">
        <v>204.25</v>
      </c>
      <c r="M1929" s="22">
        <v>0</v>
      </c>
      <c r="N1929" s="21">
        <v>193.25999999999999</v>
      </c>
      <c r="O1929" s="22">
        <v>0</v>
      </c>
    </row>
    <row r="1930" ht="25.5">
      <c r="A1930" t="s">
        <v>1968</v>
      </c>
      <c r="B1930" s="19">
        <v>104789</v>
      </c>
      <c r="C1930" s="20" t="s">
        <v>1982</v>
      </c>
      <c r="D1930" s="19" t="s">
        <v>121</v>
      </c>
      <c r="E1930" s="21">
        <f t="shared" si="86"/>
        <v>211.36000000000001</v>
      </c>
      <c r="F1930" s="22">
        <v>0</v>
      </c>
      <c r="G1930" s="21">
        <f t="shared" si="87"/>
        <v>199.97999999999999</v>
      </c>
      <c r="H1930" s="22">
        <v>0</v>
      </c>
      <c r="I1930" s="23" t="str">
        <f t="shared" si="88"/>
        <v xml:space="preserve">COM VALOR</v>
      </c>
      <c r="J1930" s="19"/>
      <c r="L1930" s="21">
        <v>211.36000000000001</v>
      </c>
      <c r="M1930" s="22">
        <v>0</v>
      </c>
      <c r="N1930" s="21">
        <v>199.97999999999999</v>
      </c>
      <c r="O1930" s="22">
        <v>0</v>
      </c>
    </row>
    <row r="1931" ht="25.5">
      <c r="A1931" t="s">
        <v>1968</v>
      </c>
      <c r="B1931" s="19">
        <v>104790</v>
      </c>
      <c r="C1931" s="20" t="s">
        <v>1983</v>
      </c>
      <c r="D1931" s="19" t="s">
        <v>121</v>
      </c>
      <c r="E1931" s="21">
        <f t="shared" ref="E1931:E1994" si="89">IF(L1931=0,"VERIFICAR",L1931)</f>
        <v>115.05</v>
      </c>
      <c r="F1931" s="22">
        <v>0</v>
      </c>
      <c r="G1931" s="21">
        <f t="shared" ref="G1931:G1994" si="90">IF(N1931=0,"VERIFICAR",N1931)</f>
        <v>111.20999999999999</v>
      </c>
      <c r="H1931" s="22">
        <v>0</v>
      </c>
      <c r="I1931" s="23" t="str">
        <f t="shared" ref="I1931:I1994" si="91">IF(OR(E1931=0,G1931=0),"SEM VALOR","COM VALOR")</f>
        <v xml:space="preserve">COM VALOR</v>
      </c>
      <c r="J1931" s="19"/>
      <c r="L1931" s="21">
        <v>115.05</v>
      </c>
      <c r="M1931" s="22">
        <v>0.23999999999999999</v>
      </c>
      <c r="N1931" s="21">
        <v>111.20999999999999</v>
      </c>
      <c r="O1931" s="22">
        <v>0.25</v>
      </c>
    </row>
    <row r="1932" ht="25.5">
      <c r="A1932" t="s">
        <v>1968</v>
      </c>
      <c r="B1932" s="19">
        <v>97633</v>
      </c>
      <c r="C1932" s="20" t="s">
        <v>1984</v>
      </c>
      <c r="D1932" s="19" t="s">
        <v>29</v>
      </c>
      <c r="E1932" s="21">
        <f t="shared" si="89"/>
        <v>24.129999999999999</v>
      </c>
      <c r="F1932" s="22">
        <v>0</v>
      </c>
      <c r="G1932" s="21">
        <f t="shared" si="90"/>
        <v>22.82</v>
      </c>
      <c r="H1932" s="22">
        <v>0</v>
      </c>
      <c r="I1932" s="23" t="str">
        <f t="shared" si="91"/>
        <v xml:space="preserve">COM VALOR</v>
      </c>
      <c r="J1932" s="19"/>
      <c r="L1932" s="21">
        <v>24.129999999999999</v>
      </c>
      <c r="M1932" s="22">
        <v>0</v>
      </c>
      <c r="N1932" s="21">
        <v>22.82</v>
      </c>
      <c r="O1932" s="22">
        <v>0</v>
      </c>
    </row>
    <row r="1933" ht="25.5">
      <c r="A1933" t="s">
        <v>1968</v>
      </c>
      <c r="B1933" s="19">
        <v>97634</v>
      </c>
      <c r="C1933" s="20" t="s">
        <v>1985</v>
      </c>
      <c r="D1933" s="19" t="s">
        <v>29</v>
      </c>
      <c r="E1933" s="21">
        <f t="shared" si="89"/>
        <v>7.46</v>
      </c>
      <c r="F1933" s="22">
        <v>0</v>
      </c>
      <c r="G1933" s="21">
        <f t="shared" si="90"/>
        <v>7.0700000000000003</v>
      </c>
      <c r="H1933" s="22">
        <v>0</v>
      </c>
      <c r="I1933" s="23" t="str">
        <f t="shared" si="91"/>
        <v xml:space="preserve">COM VALOR</v>
      </c>
      <c r="J1933" s="19"/>
      <c r="L1933" s="21">
        <v>7.46</v>
      </c>
      <c r="M1933" s="22">
        <v>0</v>
      </c>
      <c r="N1933" s="21">
        <v>7.0700000000000003</v>
      </c>
      <c r="O1933" s="22">
        <v>0</v>
      </c>
    </row>
    <row r="1934" ht="25.5">
      <c r="A1934" t="s">
        <v>1968</v>
      </c>
      <c r="B1934" s="19">
        <v>97632</v>
      </c>
      <c r="C1934" s="20" t="s">
        <v>1986</v>
      </c>
      <c r="D1934" s="19" t="s">
        <v>38</v>
      </c>
      <c r="E1934" s="21">
        <f t="shared" si="89"/>
        <v>2.7599999999999998</v>
      </c>
      <c r="F1934" s="22">
        <v>0</v>
      </c>
      <c r="G1934" s="21">
        <f t="shared" si="90"/>
        <v>2.6099999999999999</v>
      </c>
      <c r="H1934" s="22">
        <v>0</v>
      </c>
      <c r="I1934" s="23" t="str">
        <f t="shared" si="91"/>
        <v xml:space="preserve">COM VALOR</v>
      </c>
      <c r="J1934" s="19"/>
      <c r="L1934" s="21">
        <v>2.7599999999999998</v>
      </c>
      <c r="M1934" s="22">
        <v>0</v>
      </c>
      <c r="N1934" s="21">
        <v>2.6099999999999999</v>
      </c>
      <c r="O1934" s="22">
        <v>0</v>
      </c>
    </row>
    <row r="1935" ht="25.5">
      <c r="A1935" t="s">
        <v>1968</v>
      </c>
      <c r="B1935" s="19">
        <v>97636</v>
      </c>
      <c r="C1935" s="20" t="s">
        <v>1987</v>
      </c>
      <c r="D1935" s="19" t="s">
        <v>29</v>
      </c>
      <c r="E1935" s="21">
        <f t="shared" si="89"/>
        <v>22.850000000000001</v>
      </c>
      <c r="F1935" s="22">
        <v>0</v>
      </c>
      <c r="G1935" s="21">
        <f t="shared" si="90"/>
        <v>22.190000000000001</v>
      </c>
      <c r="H1935" s="22">
        <v>0</v>
      </c>
      <c r="I1935" s="23" t="str">
        <f t="shared" si="91"/>
        <v xml:space="preserve">COM VALOR</v>
      </c>
      <c r="J1935" s="19"/>
      <c r="L1935" s="21">
        <v>22.850000000000001</v>
      </c>
      <c r="M1935" s="22">
        <v>0</v>
      </c>
      <c r="N1935" s="21">
        <v>22.190000000000001</v>
      </c>
      <c r="O1935" s="22">
        <v>0</v>
      </c>
    </row>
    <row r="1936" ht="25.5">
      <c r="A1936" t="s">
        <v>1968</v>
      </c>
      <c r="B1936" s="19">
        <v>104797</v>
      </c>
      <c r="C1936" s="20" t="s">
        <v>1988</v>
      </c>
      <c r="D1936" s="19" t="s">
        <v>38</v>
      </c>
      <c r="E1936" s="21">
        <f t="shared" si="89"/>
        <v>18.350000000000001</v>
      </c>
      <c r="F1936" s="22"/>
      <c r="G1936" s="21">
        <f t="shared" si="90"/>
        <v>17.57</v>
      </c>
      <c r="H1936" s="22"/>
      <c r="I1936" s="23" t="str">
        <f t="shared" si="91"/>
        <v xml:space="preserve">COM VALOR</v>
      </c>
      <c r="J1936" s="19"/>
      <c r="L1936" s="21">
        <v>18.350000000000001</v>
      </c>
      <c r="M1936" s="22">
        <v>0.14999999999999999</v>
      </c>
      <c r="N1936" s="21">
        <v>17.57</v>
      </c>
      <c r="O1936" s="22">
        <v>0.1525</v>
      </c>
    </row>
    <row r="1937" ht="25.5">
      <c r="A1937" t="s">
        <v>1968</v>
      </c>
      <c r="B1937" s="19">
        <v>104803</v>
      </c>
      <c r="C1937" s="20" t="s">
        <v>1989</v>
      </c>
      <c r="D1937" s="19" t="s">
        <v>38</v>
      </c>
      <c r="E1937" s="21">
        <f t="shared" si="89"/>
        <v>4.79</v>
      </c>
      <c r="F1937" s="22"/>
      <c r="G1937" s="21">
        <f t="shared" si="90"/>
        <v>4.5300000000000002</v>
      </c>
      <c r="H1937" s="22"/>
      <c r="I1937" s="23" t="str">
        <f t="shared" si="91"/>
        <v xml:space="preserve">COM VALOR</v>
      </c>
      <c r="J1937" s="19"/>
      <c r="L1937" s="21">
        <v>4.79</v>
      </c>
      <c r="M1937" s="22">
        <v>0</v>
      </c>
      <c r="N1937" s="21">
        <v>4.5300000000000002</v>
      </c>
      <c r="O1937" s="22">
        <v>0</v>
      </c>
    </row>
    <row r="1938" ht="25.5">
      <c r="A1938" t="s">
        <v>1968</v>
      </c>
      <c r="B1938" s="19">
        <v>97664</v>
      </c>
      <c r="C1938" s="20" t="s">
        <v>1990</v>
      </c>
      <c r="D1938" s="19" t="s">
        <v>31</v>
      </c>
      <c r="E1938" s="21">
        <f t="shared" si="89"/>
        <v>1.6599999999999999</v>
      </c>
      <c r="F1938" s="22"/>
      <c r="G1938" s="21">
        <f t="shared" si="90"/>
        <v>1.5700000000000001</v>
      </c>
      <c r="H1938" s="22"/>
      <c r="I1938" s="23" t="str">
        <f t="shared" si="91"/>
        <v xml:space="preserve">COM VALOR</v>
      </c>
      <c r="J1938" s="19"/>
      <c r="L1938" s="21">
        <v>1.6599999999999999</v>
      </c>
      <c r="M1938" s="22">
        <v>0</v>
      </c>
      <c r="N1938" s="21">
        <v>1.5700000000000001</v>
      </c>
      <c r="O1938" s="22">
        <v>0</v>
      </c>
    </row>
    <row r="1939" ht="51">
      <c r="A1939" t="s">
        <v>1968</v>
      </c>
      <c r="B1939" s="19">
        <v>104801</v>
      </c>
      <c r="C1939" s="20" t="s">
        <v>1991</v>
      </c>
      <c r="D1939" s="19" t="s">
        <v>29</v>
      </c>
      <c r="E1939" s="21">
        <f t="shared" si="89"/>
        <v>15.06</v>
      </c>
      <c r="F1939" s="22">
        <v>0</v>
      </c>
      <c r="G1939" s="21">
        <f t="shared" si="90"/>
        <v>14.220000000000001</v>
      </c>
      <c r="H1939" s="22">
        <v>0</v>
      </c>
      <c r="I1939" s="23" t="str">
        <f t="shared" si="91"/>
        <v xml:space="preserve">COM VALOR</v>
      </c>
      <c r="J1939" s="19"/>
      <c r="L1939" s="21">
        <v>15.06</v>
      </c>
      <c r="M1939" s="22">
        <v>0</v>
      </c>
      <c r="N1939" s="21">
        <v>14.220000000000001</v>
      </c>
      <c r="O1939" s="22">
        <v>0</v>
      </c>
    </row>
    <row r="1940" ht="25.5">
      <c r="A1940" t="s">
        <v>1968</v>
      </c>
      <c r="B1940" s="19">
        <v>97661</v>
      </c>
      <c r="C1940" s="20" t="s">
        <v>1992</v>
      </c>
      <c r="D1940" s="19" t="s">
        <v>38</v>
      </c>
      <c r="E1940" s="21">
        <f t="shared" si="89"/>
        <v>0.77000000000000002</v>
      </c>
      <c r="F1940" s="22">
        <v>0</v>
      </c>
      <c r="G1940" s="21">
        <f t="shared" si="90"/>
        <v>0.71999999999999997</v>
      </c>
      <c r="H1940" s="22">
        <v>0</v>
      </c>
      <c r="I1940" s="23" t="str">
        <f t="shared" si="91"/>
        <v xml:space="preserve">COM VALOR</v>
      </c>
      <c r="J1940" s="19"/>
      <c r="L1940" s="21">
        <v>0.77000000000000002</v>
      </c>
      <c r="M1940" s="22">
        <v>0</v>
      </c>
      <c r="N1940" s="21">
        <v>0.71999999999999997</v>
      </c>
      <c r="O1940" s="22">
        <v>0</v>
      </c>
    </row>
    <row r="1941" ht="25.5">
      <c r="A1941" t="s">
        <v>1968</v>
      </c>
      <c r="B1941" s="19">
        <v>104794</v>
      </c>
      <c r="C1941" s="20" t="s">
        <v>1993</v>
      </c>
      <c r="D1941" s="19" t="s">
        <v>38</v>
      </c>
      <c r="E1941" s="21">
        <f t="shared" si="89"/>
        <v>1.05</v>
      </c>
      <c r="F1941" s="22">
        <v>0</v>
      </c>
      <c r="G1941" s="21">
        <f t="shared" si="90"/>
        <v>0.98999999999999999</v>
      </c>
      <c r="H1941" s="22">
        <v>0</v>
      </c>
      <c r="I1941" s="23" t="str">
        <f t="shared" si="91"/>
        <v xml:space="preserve">COM VALOR</v>
      </c>
      <c r="J1941" s="19"/>
      <c r="L1941" s="21">
        <v>1.05</v>
      </c>
      <c r="M1941" s="22">
        <v>0</v>
      </c>
      <c r="N1941" s="21">
        <v>0.98999999999999999</v>
      </c>
      <c r="O1941" s="22">
        <v>0</v>
      </c>
    </row>
    <row r="1942" ht="25.5">
      <c r="A1942" t="s">
        <v>1968</v>
      </c>
      <c r="B1942" s="19">
        <v>104795</v>
      </c>
      <c r="C1942" s="20" t="s">
        <v>1994</v>
      </c>
      <c r="D1942" s="19" t="s">
        <v>38</v>
      </c>
      <c r="E1942" s="21">
        <f t="shared" si="89"/>
        <v>1.46</v>
      </c>
      <c r="F1942" s="22">
        <v>0</v>
      </c>
      <c r="G1942" s="21">
        <f t="shared" si="90"/>
        <v>1.3799999999999999</v>
      </c>
      <c r="H1942" s="22">
        <v>0</v>
      </c>
      <c r="I1942" s="23" t="str">
        <f t="shared" si="91"/>
        <v xml:space="preserve">COM VALOR</v>
      </c>
      <c r="J1942" s="19"/>
      <c r="L1942" s="21">
        <v>1.46</v>
      </c>
      <c r="M1942" s="22">
        <v>0</v>
      </c>
      <c r="N1942" s="21">
        <v>1.3799999999999999</v>
      </c>
      <c r="O1942" s="22">
        <v>0</v>
      </c>
    </row>
    <row r="1943" ht="25.5">
      <c r="A1943" t="s">
        <v>1968</v>
      </c>
      <c r="B1943" s="19">
        <v>104792</v>
      </c>
      <c r="C1943" s="20" t="s">
        <v>1995</v>
      </c>
      <c r="D1943" s="19" t="s">
        <v>38</v>
      </c>
      <c r="E1943" s="21">
        <f t="shared" si="89"/>
        <v>0.42999999999999999</v>
      </c>
      <c r="F1943" s="22">
        <v>0</v>
      </c>
      <c r="G1943" s="21">
        <f t="shared" si="90"/>
        <v>0.40000000000000002</v>
      </c>
      <c r="H1943" s="22">
        <v>0</v>
      </c>
      <c r="I1943" s="23" t="str">
        <f t="shared" si="91"/>
        <v xml:space="preserve">COM VALOR</v>
      </c>
      <c r="J1943" s="19"/>
      <c r="L1943" s="21">
        <v>0.42999999999999999</v>
      </c>
      <c r="M1943" s="22">
        <v>0</v>
      </c>
      <c r="N1943" s="21">
        <v>0.40000000000000002</v>
      </c>
      <c r="O1943" s="22">
        <v>0</v>
      </c>
    </row>
    <row r="1944" ht="38.25">
      <c r="A1944" t="s">
        <v>1968</v>
      </c>
      <c r="B1944" s="19">
        <v>104793</v>
      </c>
      <c r="C1944" s="20" t="s">
        <v>1996</v>
      </c>
      <c r="D1944" s="19" t="s">
        <v>38</v>
      </c>
      <c r="E1944" s="21">
        <f t="shared" si="89"/>
        <v>0.58999999999999997</v>
      </c>
      <c r="F1944" s="22">
        <v>0</v>
      </c>
      <c r="G1944" s="21">
        <f t="shared" si="90"/>
        <v>0.55000000000000004</v>
      </c>
      <c r="H1944" s="22">
        <v>0</v>
      </c>
      <c r="I1944" s="23" t="str">
        <f t="shared" si="91"/>
        <v xml:space="preserve">COM VALOR</v>
      </c>
      <c r="J1944" s="19"/>
      <c r="L1944" s="21">
        <v>0.58999999999999997</v>
      </c>
      <c r="M1944" s="22">
        <v>0</v>
      </c>
      <c r="N1944" s="21">
        <v>0.55000000000000004</v>
      </c>
      <c r="O1944" s="22">
        <v>0</v>
      </c>
    </row>
    <row r="1945" ht="25.5">
      <c r="A1945" t="s">
        <v>1968</v>
      </c>
      <c r="B1945" s="19">
        <v>104800</v>
      </c>
      <c r="C1945" s="20" t="s">
        <v>1997</v>
      </c>
      <c r="D1945" s="19" t="s">
        <v>38</v>
      </c>
      <c r="E1945" s="21">
        <f t="shared" si="89"/>
        <v>9.8200000000000003</v>
      </c>
      <c r="F1945" s="22">
        <v>0</v>
      </c>
      <c r="G1945" s="21">
        <f t="shared" si="90"/>
        <v>9.2799999999999994</v>
      </c>
      <c r="H1945" s="22">
        <v>0</v>
      </c>
      <c r="I1945" s="23" t="str">
        <f t="shared" si="91"/>
        <v xml:space="preserve">COM VALOR</v>
      </c>
      <c r="J1945" s="19"/>
      <c r="L1945" s="21">
        <v>9.8200000000000003</v>
      </c>
      <c r="M1945" s="22">
        <v>0</v>
      </c>
      <c r="N1945" s="21">
        <v>9.2799999999999994</v>
      </c>
      <c r="O1945" s="22">
        <v>0</v>
      </c>
    </row>
    <row r="1946" ht="25.5">
      <c r="A1946" t="s">
        <v>1968</v>
      </c>
      <c r="B1946" s="19">
        <v>97638</v>
      </c>
      <c r="C1946" s="20" t="s">
        <v>1998</v>
      </c>
      <c r="D1946" s="19" t="s">
        <v>29</v>
      </c>
      <c r="E1946" s="21">
        <f t="shared" si="89"/>
        <v>9.2599999999999998</v>
      </c>
      <c r="F1946" s="22">
        <v>0</v>
      </c>
      <c r="G1946" s="21">
        <f t="shared" si="90"/>
        <v>8.75</v>
      </c>
      <c r="H1946" s="22">
        <v>0</v>
      </c>
      <c r="I1946" s="23" t="str">
        <f t="shared" si="91"/>
        <v xml:space="preserve">COM VALOR</v>
      </c>
      <c r="J1946" s="19"/>
      <c r="L1946" s="21">
        <v>9.2599999999999998</v>
      </c>
      <c r="M1946" s="22">
        <v>0</v>
      </c>
      <c r="N1946" s="21">
        <v>8.75</v>
      </c>
      <c r="O1946" s="22">
        <v>0</v>
      </c>
    </row>
    <row r="1947" ht="25.5">
      <c r="A1947" t="s">
        <v>1968</v>
      </c>
      <c r="B1947" s="19">
        <v>97641</v>
      </c>
      <c r="C1947" s="20" t="s">
        <v>1999</v>
      </c>
      <c r="D1947" s="19" t="s">
        <v>29</v>
      </c>
      <c r="E1947" s="21">
        <f t="shared" si="89"/>
        <v>3.2000000000000002</v>
      </c>
      <c r="F1947" s="22">
        <v>0</v>
      </c>
      <c r="G1947" s="21">
        <f t="shared" si="90"/>
        <v>3.02</v>
      </c>
      <c r="H1947" s="22">
        <v>0</v>
      </c>
      <c r="I1947" s="23" t="str">
        <f t="shared" si="91"/>
        <v xml:space="preserve">COM VALOR</v>
      </c>
      <c r="J1947" s="19"/>
      <c r="L1947" s="21">
        <v>3.2000000000000002</v>
      </c>
      <c r="M1947" s="22">
        <v>0</v>
      </c>
      <c r="N1947" s="21">
        <v>3.02</v>
      </c>
      <c r="O1947" s="22">
        <v>0</v>
      </c>
    </row>
    <row r="1948" ht="25.5">
      <c r="A1948" t="s">
        <v>1968</v>
      </c>
      <c r="B1948" s="19">
        <v>97640</v>
      </c>
      <c r="C1948" s="20" t="s">
        <v>2000</v>
      </c>
      <c r="D1948" s="19" t="s">
        <v>29</v>
      </c>
      <c r="E1948" s="21">
        <f t="shared" si="89"/>
        <v>2.1600000000000001</v>
      </c>
      <c r="F1948" s="22">
        <v>0</v>
      </c>
      <c r="G1948" s="21">
        <f t="shared" si="90"/>
        <v>2.04</v>
      </c>
      <c r="H1948" s="22">
        <v>0</v>
      </c>
      <c r="I1948" s="23" t="str">
        <f t="shared" si="91"/>
        <v xml:space="preserve">COM VALOR</v>
      </c>
      <c r="J1948" s="19"/>
      <c r="L1948" s="21">
        <v>2.1600000000000001</v>
      </c>
      <c r="M1948" s="22">
        <v>0</v>
      </c>
      <c r="N1948" s="21">
        <v>2.04</v>
      </c>
      <c r="O1948" s="22">
        <v>0</v>
      </c>
    </row>
    <row r="1949" ht="25.5">
      <c r="A1949" t="s">
        <v>1968</v>
      </c>
      <c r="B1949" s="19">
        <v>97660</v>
      </c>
      <c r="C1949" s="20" t="s">
        <v>2001</v>
      </c>
      <c r="D1949" s="19" t="s">
        <v>31</v>
      </c>
      <c r="E1949" s="21">
        <f t="shared" si="89"/>
        <v>0.70999999999999996</v>
      </c>
      <c r="F1949" s="22">
        <v>0</v>
      </c>
      <c r="G1949" s="21">
        <f t="shared" si="90"/>
        <v>0.68000000000000005</v>
      </c>
      <c r="H1949" s="22">
        <v>0</v>
      </c>
      <c r="I1949" s="23" t="str">
        <f t="shared" si="91"/>
        <v xml:space="preserve">COM VALOR</v>
      </c>
      <c r="J1949" s="19"/>
      <c r="L1949" s="21">
        <v>0.70999999999999996</v>
      </c>
      <c r="M1949" s="22">
        <v>0</v>
      </c>
      <c r="N1949" s="21">
        <v>0.68000000000000005</v>
      </c>
      <c r="O1949" s="22">
        <v>0</v>
      </c>
    </row>
    <row r="1950" ht="25.5">
      <c r="A1950" t="s">
        <v>1968</v>
      </c>
      <c r="B1950" s="19">
        <v>97645</v>
      </c>
      <c r="C1950" s="20" t="s">
        <v>2002</v>
      </c>
      <c r="D1950" s="19" t="s">
        <v>29</v>
      </c>
      <c r="E1950" s="21">
        <f t="shared" si="89"/>
        <v>26.050000000000001</v>
      </c>
      <c r="F1950" s="22">
        <v>0</v>
      </c>
      <c r="G1950" s="21">
        <f t="shared" si="90"/>
        <v>24.640000000000001</v>
      </c>
      <c r="H1950" s="22">
        <v>0</v>
      </c>
      <c r="I1950" s="23" t="str">
        <f t="shared" si="91"/>
        <v xml:space="preserve">COM VALOR</v>
      </c>
      <c r="J1950" s="19"/>
      <c r="L1950" s="21">
        <v>26.050000000000001</v>
      </c>
      <c r="M1950" s="22">
        <v>0</v>
      </c>
      <c r="N1950" s="21">
        <v>24.640000000000001</v>
      </c>
      <c r="O1950" s="22">
        <v>0</v>
      </c>
    </row>
    <row r="1951" ht="25.5">
      <c r="A1951" t="s">
        <v>1968</v>
      </c>
      <c r="B1951" s="19">
        <v>97663</v>
      </c>
      <c r="C1951" s="20" t="s">
        <v>2003</v>
      </c>
      <c r="D1951" s="19" t="s">
        <v>31</v>
      </c>
      <c r="E1951" s="21">
        <f t="shared" si="89"/>
        <v>13.35</v>
      </c>
      <c r="F1951" s="22">
        <v>0</v>
      </c>
      <c r="G1951" s="21">
        <f t="shared" si="90"/>
        <v>12.609999999999999</v>
      </c>
      <c r="H1951" s="22">
        <v>0</v>
      </c>
      <c r="I1951" s="23" t="str">
        <f t="shared" si="91"/>
        <v xml:space="preserve">COM VALOR</v>
      </c>
      <c r="J1951" s="19"/>
      <c r="L1951" s="21">
        <v>13.35</v>
      </c>
      <c r="M1951" s="22">
        <v>0</v>
      </c>
      <c r="N1951" s="21">
        <v>12.609999999999999</v>
      </c>
      <c r="O1951" s="22">
        <v>0</v>
      </c>
    </row>
    <row r="1952" ht="25.5">
      <c r="A1952" t="s">
        <v>1968</v>
      </c>
      <c r="B1952" s="19">
        <v>97665</v>
      </c>
      <c r="C1952" s="20" t="s">
        <v>2004</v>
      </c>
      <c r="D1952" s="19" t="s">
        <v>31</v>
      </c>
      <c r="E1952" s="21">
        <f t="shared" si="89"/>
        <v>1.95</v>
      </c>
      <c r="F1952" s="22">
        <v>0</v>
      </c>
      <c r="G1952" s="21">
        <f t="shared" si="90"/>
        <v>1.8400000000000001</v>
      </c>
      <c r="H1952" s="22">
        <v>0</v>
      </c>
      <c r="I1952" s="23" t="str">
        <f t="shared" si="91"/>
        <v xml:space="preserve">COM VALOR</v>
      </c>
      <c r="J1952" s="19"/>
      <c r="L1952" s="21">
        <v>1.95</v>
      </c>
      <c r="M1952" s="22">
        <v>0</v>
      </c>
      <c r="N1952" s="21">
        <v>1.8400000000000001</v>
      </c>
      <c r="O1952" s="22">
        <v>0</v>
      </c>
    </row>
    <row r="1953" ht="25.5">
      <c r="A1953" t="s">
        <v>1968</v>
      </c>
      <c r="B1953" s="19">
        <v>97666</v>
      </c>
      <c r="C1953" s="20" t="s">
        <v>2005</v>
      </c>
      <c r="D1953" s="19" t="s">
        <v>31</v>
      </c>
      <c r="E1953" s="21">
        <f t="shared" si="89"/>
        <v>9.7200000000000006</v>
      </c>
      <c r="F1953" s="22">
        <v>0</v>
      </c>
      <c r="G1953" s="21">
        <f t="shared" si="90"/>
        <v>9.1899999999999995</v>
      </c>
      <c r="H1953" s="22">
        <v>0</v>
      </c>
      <c r="I1953" s="23" t="str">
        <f t="shared" si="91"/>
        <v xml:space="preserve">COM VALOR</v>
      </c>
      <c r="J1953" s="19"/>
      <c r="L1953" s="21">
        <v>9.7200000000000006</v>
      </c>
      <c r="M1953" s="22">
        <v>0</v>
      </c>
      <c r="N1953" s="21">
        <v>9.1899999999999995</v>
      </c>
      <c r="O1953" s="22">
        <v>0</v>
      </c>
    </row>
    <row r="1954" ht="38.25">
      <c r="A1954" t="s">
        <v>1968</v>
      </c>
      <c r="B1954" s="19">
        <v>97635</v>
      </c>
      <c r="C1954" s="20" t="s">
        <v>2006</v>
      </c>
      <c r="D1954" s="19" t="s">
        <v>29</v>
      </c>
      <c r="E1954" s="21">
        <f t="shared" si="89"/>
        <v>17.440000000000001</v>
      </c>
      <c r="F1954" s="22">
        <v>0</v>
      </c>
      <c r="G1954" s="21">
        <f t="shared" si="90"/>
        <v>16.489999999999998</v>
      </c>
      <c r="H1954" s="22">
        <v>0</v>
      </c>
      <c r="I1954" s="23" t="str">
        <f t="shared" si="91"/>
        <v xml:space="preserve">COM VALOR</v>
      </c>
      <c r="J1954" s="19"/>
      <c r="L1954" s="21">
        <v>17.440000000000001</v>
      </c>
      <c r="M1954" s="22">
        <v>0</v>
      </c>
      <c r="N1954" s="21">
        <v>16.489999999999998</v>
      </c>
      <c r="O1954" s="22">
        <v>0</v>
      </c>
    </row>
    <row r="1955" ht="25.5">
      <c r="A1955" t="s">
        <v>1968</v>
      </c>
      <c r="B1955" s="19">
        <v>97643</v>
      </c>
      <c r="C1955" s="20" t="s">
        <v>2007</v>
      </c>
      <c r="D1955" s="19" t="s">
        <v>29</v>
      </c>
      <c r="E1955" s="21">
        <f t="shared" si="89"/>
        <v>26.600000000000001</v>
      </c>
      <c r="F1955" s="22">
        <v>0</v>
      </c>
      <c r="G1955" s="21">
        <f t="shared" si="90"/>
        <v>25.16</v>
      </c>
      <c r="H1955" s="22">
        <v>0</v>
      </c>
      <c r="I1955" s="23" t="str">
        <f t="shared" si="91"/>
        <v xml:space="preserve">COM VALOR</v>
      </c>
      <c r="J1955" s="19"/>
      <c r="L1955" s="21">
        <v>26.600000000000001</v>
      </c>
      <c r="M1955" s="22">
        <v>0</v>
      </c>
      <c r="N1955" s="21">
        <v>25.16</v>
      </c>
      <c r="O1955" s="22">
        <v>0</v>
      </c>
    </row>
    <row r="1956" ht="25.5">
      <c r="A1956" t="s">
        <v>1968</v>
      </c>
      <c r="B1956" s="19">
        <v>104799</v>
      </c>
      <c r="C1956" s="20" t="s">
        <v>2008</v>
      </c>
      <c r="D1956" s="19" t="s">
        <v>29</v>
      </c>
      <c r="E1956" s="21">
        <f t="shared" si="89"/>
        <v>11.94</v>
      </c>
      <c r="F1956" s="22">
        <v>0</v>
      </c>
      <c r="G1956" s="21">
        <f t="shared" si="90"/>
        <v>11.27</v>
      </c>
      <c r="H1956" s="22">
        <v>0</v>
      </c>
      <c r="I1956" s="23" t="str">
        <f t="shared" si="91"/>
        <v xml:space="preserve">COM VALOR</v>
      </c>
      <c r="J1956" s="19"/>
      <c r="L1956" s="21">
        <v>11.94</v>
      </c>
      <c r="M1956" s="22">
        <v>0</v>
      </c>
      <c r="N1956" s="21">
        <v>11.27</v>
      </c>
      <c r="O1956" s="22">
        <v>0</v>
      </c>
    </row>
    <row r="1957" ht="25.5">
      <c r="A1957" t="s">
        <v>1968</v>
      </c>
      <c r="B1957" s="19">
        <v>97639</v>
      </c>
      <c r="C1957" s="20" t="s">
        <v>2009</v>
      </c>
      <c r="D1957" s="19" t="s">
        <v>29</v>
      </c>
      <c r="E1957" s="21">
        <f t="shared" si="89"/>
        <v>21.780000000000001</v>
      </c>
      <c r="F1957" s="22">
        <v>0</v>
      </c>
      <c r="G1957" s="21">
        <f t="shared" si="90"/>
        <v>20.600000000000001</v>
      </c>
      <c r="H1957" s="22">
        <v>0</v>
      </c>
      <c r="I1957" s="23" t="str">
        <f t="shared" si="91"/>
        <v xml:space="preserve">COM VALOR</v>
      </c>
      <c r="J1957" s="19"/>
      <c r="L1957" s="21">
        <v>21.780000000000001</v>
      </c>
      <c r="M1957" s="22">
        <v>0</v>
      </c>
      <c r="N1957" s="21">
        <v>20.600000000000001</v>
      </c>
      <c r="O1957" s="22">
        <v>0</v>
      </c>
    </row>
    <row r="1958" ht="25.5">
      <c r="A1958" t="s">
        <v>1968</v>
      </c>
      <c r="B1958" s="19">
        <v>97644</v>
      </c>
      <c r="C1958" s="20" t="s">
        <v>2010</v>
      </c>
      <c r="D1958" s="19" t="s">
        <v>29</v>
      </c>
      <c r="E1958" s="21">
        <f t="shared" si="89"/>
        <v>10.08</v>
      </c>
      <c r="F1958" s="22">
        <v>0</v>
      </c>
      <c r="G1958" s="21">
        <f t="shared" si="90"/>
        <v>9.5399999999999991</v>
      </c>
      <c r="H1958" s="22">
        <v>0</v>
      </c>
      <c r="I1958" s="23" t="str">
        <f t="shared" si="91"/>
        <v xml:space="preserve">COM VALOR</v>
      </c>
      <c r="J1958" s="19"/>
      <c r="L1958" s="21">
        <v>10.08</v>
      </c>
      <c r="M1958" s="22">
        <v>0</v>
      </c>
      <c r="N1958" s="21">
        <v>9.5399999999999991</v>
      </c>
      <c r="O1958" s="22">
        <v>0</v>
      </c>
    </row>
    <row r="1959" ht="25.5">
      <c r="A1959" t="s">
        <v>1968</v>
      </c>
      <c r="B1959" s="19">
        <v>97648</v>
      </c>
      <c r="C1959" s="20" t="s">
        <v>2011</v>
      </c>
      <c r="D1959" s="19" t="s">
        <v>29</v>
      </c>
      <c r="E1959" s="21">
        <f t="shared" si="89"/>
        <v>2.1499999999999999</v>
      </c>
      <c r="F1959" s="22">
        <v>0</v>
      </c>
      <c r="G1959" s="21">
        <f t="shared" si="90"/>
        <v>2.0299999999999998</v>
      </c>
      <c r="H1959" s="22">
        <v>0</v>
      </c>
      <c r="I1959" s="23" t="str">
        <f t="shared" si="91"/>
        <v xml:space="preserve">COM VALOR</v>
      </c>
      <c r="J1959" s="19"/>
      <c r="L1959" s="21">
        <v>2.1499999999999999</v>
      </c>
      <c r="M1959" s="22">
        <v>0</v>
      </c>
      <c r="N1959" s="21">
        <v>2.0299999999999998</v>
      </c>
      <c r="O1959" s="22">
        <v>0</v>
      </c>
    </row>
    <row r="1960" ht="38.25">
      <c r="A1960" t="s">
        <v>1968</v>
      </c>
      <c r="B1960" s="19">
        <v>104798</v>
      </c>
      <c r="C1960" s="20" t="s">
        <v>2012</v>
      </c>
      <c r="D1960" s="19" t="s">
        <v>31</v>
      </c>
      <c r="E1960" s="21">
        <f t="shared" si="89"/>
        <v>15.210000000000001</v>
      </c>
      <c r="F1960" s="22">
        <v>0</v>
      </c>
      <c r="G1960" s="21">
        <f t="shared" si="90"/>
        <v>14.359999999999999</v>
      </c>
      <c r="H1960" s="22">
        <v>0</v>
      </c>
      <c r="I1960" s="23" t="str">
        <f t="shared" si="91"/>
        <v xml:space="preserve">COM VALOR</v>
      </c>
      <c r="J1960" s="19"/>
      <c r="L1960" s="21">
        <v>15.210000000000001</v>
      </c>
      <c r="M1960" s="22">
        <v>0</v>
      </c>
      <c r="N1960" s="21">
        <v>14.359999999999999</v>
      </c>
      <c r="O1960" s="22">
        <v>0</v>
      </c>
    </row>
    <row r="1961" ht="25.5">
      <c r="A1961" t="s">
        <v>1968</v>
      </c>
      <c r="B1961" s="19">
        <v>97637</v>
      </c>
      <c r="C1961" s="20" t="s">
        <v>2013</v>
      </c>
      <c r="D1961" s="19" t="s">
        <v>29</v>
      </c>
      <c r="E1961" s="21">
        <f t="shared" si="89"/>
        <v>3.1800000000000002</v>
      </c>
      <c r="F1961" s="22">
        <v>0</v>
      </c>
      <c r="G1961" s="21">
        <f t="shared" si="90"/>
        <v>3.0099999999999998</v>
      </c>
      <c r="H1961" s="22">
        <v>0</v>
      </c>
      <c r="I1961" s="23" t="str">
        <f t="shared" si="91"/>
        <v xml:space="preserve">COM VALOR</v>
      </c>
      <c r="J1961" s="19"/>
      <c r="L1961" s="21">
        <v>3.1800000000000002</v>
      </c>
      <c r="M1961" s="22">
        <v>0</v>
      </c>
      <c r="N1961" s="21">
        <v>3.0099999999999998</v>
      </c>
      <c r="O1961" s="22">
        <v>0</v>
      </c>
    </row>
    <row r="1962" ht="38.25">
      <c r="A1962" t="s">
        <v>1968</v>
      </c>
      <c r="B1962" s="19">
        <v>104802</v>
      </c>
      <c r="C1962" s="20" t="s">
        <v>2014</v>
      </c>
      <c r="D1962" s="19" t="s">
        <v>29</v>
      </c>
      <c r="E1962" s="21">
        <f t="shared" si="89"/>
        <v>10.02</v>
      </c>
      <c r="F1962" s="22">
        <v>0</v>
      </c>
      <c r="G1962" s="21">
        <f t="shared" si="90"/>
        <v>9.4700000000000006</v>
      </c>
      <c r="H1962" s="22">
        <v>0</v>
      </c>
      <c r="I1962" s="23" t="str">
        <f t="shared" si="91"/>
        <v xml:space="preserve">COM VALOR</v>
      </c>
      <c r="J1962" s="19"/>
      <c r="L1962" s="21">
        <v>10.02</v>
      </c>
      <c r="M1962" s="22">
        <v>0</v>
      </c>
      <c r="N1962" s="21">
        <v>9.4700000000000006</v>
      </c>
      <c r="O1962" s="22">
        <v>0</v>
      </c>
    </row>
    <row r="1963" ht="25.5">
      <c r="A1963" t="s">
        <v>1968</v>
      </c>
      <c r="B1963" s="19">
        <v>97647</v>
      </c>
      <c r="C1963" s="20" t="s">
        <v>2015</v>
      </c>
      <c r="D1963" s="19" t="s">
        <v>29</v>
      </c>
      <c r="E1963" s="21">
        <f t="shared" si="89"/>
        <v>3.7400000000000002</v>
      </c>
      <c r="F1963" s="22">
        <v>0</v>
      </c>
      <c r="G1963" s="21">
        <f t="shared" si="90"/>
        <v>3.5299999999999998</v>
      </c>
      <c r="H1963" s="22">
        <v>0</v>
      </c>
      <c r="I1963" s="23" t="str">
        <f t="shared" si="91"/>
        <v xml:space="preserve">COM VALOR</v>
      </c>
      <c r="J1963" s="19"/>
      <c r="L1963" s="21">
        <v>3.7400000000000002</v>
      </c>
      <c r="M1963" s="22">
        <v>0</v>
      </c>
      <c r="N1963" s="21">
        <v>3.5299999999999998</v>
      </c>
      <c r="O1963" s="22">
        <v>0</v>
      </c>
    </row>
    <row r="1964" ht="38.25">
      <c r="A1964" t="s">
        <v>1968</v>
      </c>
      <c r="B1964" s="19">
        <v>97649</v>
      </c>
      <c r="C1964" s="20" t="s">
        <v>2016</v>
      </c>
      <c r="D1964" s="19" t="s">
        <v>29</v>
      </c>
      <c r="E1964" s="21">
        <f t="shared" si="89"/>
        <v>4.7400000000000002</v>
      </c>
      <c r="F1964" s="22">
        <v>0</v>
      </c>
      <c r="G1964" s="21">
        <f t="shared" si="90"/>
        <v>4.5099999999999998</v>
      </c>
      <c r="H1964" s="22">
        <v>0</v>
      </c>
      <c r="I1964" s="23" t="str">
        <f t="shared" si="91"/>
        <v xml:space="preserve">COM VALOR</v>
      </c>
      <c r="J1964" s="19"/>
      <c r="L1964" s="21">
        <v>4.7400000000000002</v>
      </c>
      <c r="M1964" s="22">
        <v>0.13500000000000001</v>
      </c>
      <c r="N1964" s="21">
        <v>4.5099999999999998</v>
      </c>
      <c r="O1964" s="22">
        <v>0.14000000000000001</v>
      </c>
    </row>
    <row r="1965" ht="25.5">
      <c r="A1965" t="s">
        <v>1968</v>
      </c>
      <c r="B1965" s="19">
        <v>97652</v>
      </c>
      <c r="C1965" s="20" t="s">
        <v>2017</v>
      </c>
      <c r="D1965" s="19" t="s">
        <v>31</v>
      </c>
      <c r="E1965" s="21">
        <f t="shared" si="89"/>
        <v>199.28999999999999</v>
      </c>
      <c r="F1965" s="22">
        <v>0</v>
      </c>
      <c r="G1965" s="21">
        <f t="shared" si="90"/>
        <v>188.38999999999999</v>
      </c>
      <c r="H1965" s="22">
        <v>0</v>
      </c>
      <c r="I1965" s="23" t="str">
        <f t="shared" si="91"/>
        <v xml:space="preserve">COM VALOR</v>
      </c>
      <c r="J1965" s="19"/>
      <c r="L1965" s="21">
        <v>199.28999999999999</v>
      </c>
      <c r="M1965" s="22">
        <v>0</v>
      </c>
      <c r="N1965" s="21">
        <v>188.38999999999999</v>
      </c>
      <c r="O1965" s="22">
        <v>0</v>
      </c>
    </row>
    <row r="1966" ht="25.5">
      <c r="A1966" t="s">
        <v>1968</v>
      </c>
      <c r="B1966" s="19">
        <v>97654</v>
      </c>
      <c r="C1966" s="20" t="s">
        <v>2018</v>
      </c>
      <c r="D1966" s="19" t="s">
        <v>31</v>
      </c>
      <c r="E1966" s="21">
        <f t="shared" si="89"/>
        <v>183.75999999999999</v>
      </c>
      <c r="F1966" s="22">
        <v>0</v>
      </c>
      <c r="G1966" s="21">
        <f t="shared" si="90"/>
        <v>178.94999999999999</v>
      </c>
      <c r="H1966" s="22">
        <v>0</v>
      </c>
      <c r="I1966" s="23" t="str">
        <f t="shared" si="91"/>
        <v xml:space="preserve">COM VALOR</v>
      </c>
      <c r="J1966" s="19"/>
      <c r="L1966" s="21">
        <v>183.75999999999999</v>
      </c>
      <c r="M1966" s="22">
        <v>0.53000000000000003</v>
      </c>
      <c r="N1966" s="21">
        <v>178.94999999999999</v>
      </c>
      <c r="O1966" s="22">
        <v>0.54000000000000004</v>
      </c>
    </row>
    <row r="1967" ht="25.5">
      <c r="A1967" t="s">
        <v>1968</v>
      </c>
      <c r="B1967" s="19">
        <v>97651</v>
      </c>
      <c r="C1967" s="20" t="s">
        <v>2019</v>
      </c>
      <c r="D1967" s="19" t="s">
        <v>31</v>
      </c>
      <c r="E1967" s="21">
        <f t="shared" si="89"/>
        <v>87.909999999999997</v>
      </c>
      <c r="F1967" s="22">
        <v>0</v>
      </c>
      <c r="G1967" s="21">
        <f t="shared" si="90"/>
        <v>83.099999999999994</v>
      </c>
      <c r="H1967" s="22">
        <v>0</v>
      </c>
      <c r="I1967" s="23" t="str">
        <f t="shared" si="91"/>
        <v xml:space="preserve">COM VALOR</v>
      </c>
      <c r="J1967" s="19"/>
      <c r="L1967" s="21">
        <v>87.909999999999997</v>
      </c>
      <c r="M1967" s="22">
        <v>0</v>
      </c>
      <c r="N1967" s="21">
        <v>83.099999999999994</v>
      </c>
      <c r="O1967" s="22">
        <v>0</v>
      </c>
    </row>
    <row r="1968" ht="25.5">
      <c r="A1968" t="s">
        <v>1968</v>
      </c>
      <c r="B1968" s="19">
        <v>97653</v>
      </c>
      <c r="C1968" s="20" t="s">
        <v>2020</v>
      </c>
      <c r="D1968" s="19" t="s">
        <v>31</v>
      </c>
      <c r="E1968" s="21">
        <f t="shared" si="89"/>
        <v>147.30000000000001</v>
      </c>
      <c r="F1968" s="22">
        <v>0</v>
      </c>
      <c r="G1968" s="21">
        <f t="shared" si="90"/>
        <v>144.47999999999999</v>
      </c>
      <c r="H1968" s="22">
        <v>0</v>
      </c>
      <c r="I1968" s="23" t="str">
        <f t="shared" si="91"/>
        <v xml:space="preserve">COM VALOR</v>
      </c>
      <c r="J1968" s="19"/>
      <c r="L1968" s="21">
        <v>147.30000000000001</v>
      </c>
      <c r="M1968" s="22">
        <v>0.66000000000000003</v>
      </c>
      <c r="N1968" s="21">
        <v>144.47999999999999</v>
      </c>
      <c r="O1968" s="22">
        <v>0.67000000000000004</v>
      </c>
    </row>
    <row r="1969" ht="25.5">
      <c r="A1969" t="s">
        <v>1968</v>
      </c>
      <c r="B1969" s="19">
        <v>97657</v>
      </c>
      <c r="C1969" s="20" t="s">
        <v>2021</v>
      </c>
      <c r="D1969" s="19" t="s">
        <v>31</v>
      </c>
      <c r="E1969" s="21">
        <f t="shared" si="89"/>
        <v>714.89999999999998</v>
      </c>
      <c r="F1969" s="22">
        <v>0</v>
      </c>
      <c r="G1969" s="21">
        <f t="shared" si="90"/>
        <v>694.04999999999995</v>
      </c>
      <c r="H1969" s="22">
        <v>0</v>
      </c>
      <c r="I1969" s="23" t="str">
        <f t="shared" si="91"/>
        <v xml:space="preserve">COM VALOR</v>
      </c>
      <c r="J1969" s="19"/>
      <c r="L1969" s="21">
        <v>714.89999999999998</v>
      </c>
      <c r="M1969" s="22">
        <v>0</v>
      </c>
      <c r="N1969" s="21">
        <v>694.04999999999995</v>
      </c>
      <c r="O1969" s="22">
        <v>0</v>
      </c>
    </row>
    <row r="1970" ht="25.5">
      <c r="A1970" t="s">
        <v>1968</v>
      </c>
      <c r="B1970" s="19">
        <v>97659</v>
      </c>
      <c r="C1970" s="20" t="s">
        <v>2022</v>
      </c>
      <c r="D1970" s="19" t="s">
        <v>31</v>
      </c>
      <c r="E1970" s="21">
        <f t="shared" si="89"/>
        <v>323.89999999999998</v>
      </c>
      <c r="F1970" s="22">
        <v>0</v>
      </c>
      <c r="G1970" s="21">
        <f t="shared" si="90"/>
        <v>315.63999999999999</v>
      </c>
      <c r="H1970" s="22">
        <v>0</v>
      </c>
      <c r="I1970" s="23" t="str">
        <f t="shared" si="91"/>
        <v xml:space="preserve">COM VALOR</v>
      </c>
      <c r="J1970" s="19"/>
      <c r="L1970" s="21">
        <v>323.89999999999998</v>
      </c>
      <c r="M1970" s="22">
        <v>0.29999999999999999</v>
      </c>
      <c r="N1970" s="21">
        <v>315.63999999999999</v>
      </c>
      <c r="O1970" s="22">
        <v>0.31</v>
      </c>
    </row>
    <row r="1971" ht="25.5">
      <c r="A1971" t="s">
        <v>1968</v>
      </c>
      <c r="B1971" s="19">
        <v>97656</v>
      </c>
      <c r="C1971" s="20" t="s">
        <v>2023</v>
      </c>
      <c r="D1971" s="19" t="s">
        <v>31</v>
      </c>
      <c r="E1971" s="21">
        <f t="shared" si="89"/>
        <v>360.68000000000001</v>
      </c>
      <c r="F1971" s="22">
        <v>0</v>
      </c>
      <c r="G1971" s="21">
        <f t="shared" si="90"/>
        <v>350.16000000000003</v>
      </c>
      <c r="H1971" s="22">
        <v>0</v>
      </c>
      <c r="I1971" s="23" t="str">
        <f t="shared" si="91"/>
        <v xml:space="preserve">COM VALOR</v>
      </c>
      <c r="J1971" s="19"/>
      <c r="L1971" s="21">
        <v>360.68000000000001</v>
      </c>
      <c r="M1971" s="22">
        <v>0</v>
      </c>
      <c r="N1971" s="21">
        <v>350.16000000000003</v>
      </c>
      <c r="O1971" s="22">
        <v>0</v>
      </c>
    </row>
    <row r="1972" ht="25.5">
      <c r="A1972" t="s">
        <v>1968</v>
      </c>
      <c r="B1972" s="19">
        <v>97658</v>
      </c>
      <c r="C1972" s="20" t="s">
        <v>2024</v>
      </c>
      <c r="D1972" s="19" t="s">
        <v>31</v>
      </c>
      <c r="E1972" s="21">
        <f t="shared" si="89"/>
        <v>232.24000000000001</v>
      </c>
      <c r="F1972" s="22"/>
      <c r="G1972" s="21">
        <f t="shared" si="90"/>
        <v>227.09999999999999</v>
      </c>
      <c r="H1972" s="22"/>
      <c r="I1972" s="23" t="str">
        <f t="shared" si="91"/>
        <v xml:space="preserve">COM VALOR</v>
      </c>
      <c r="J1972" s="19"/>
      <c r="L1972" s="21">
        <v>232.24000000000001</v>
      </c>
      <c r="M1972" s="22">
        <v>0.41999999999999998</v>
      </c>
      <c r="N1972" s="21">
        <v>227.09999999999999</v>
      </c>
      <c r="O1972" s="22">
        <v>0.42999999999999999</v>
      </c>
    </row>
    <row r="1973" ht="25.5">
      <c r="A1973" t="s">
        <v>1968</v>
      </c>
      <c r="B1973" s="19">
        <v>97650</v>
      </c>
      <c r="C1973" s="20" t="s">
        <v>2025</v>
      </c>
      <c r="D1973" s="19" t="s">
        <v>29</v>
      </c>
      <c r="E1973" s="21">
        <f t="shared" si="89"/>
        <v>8.0700000000000003</v>
      </c>
      <c r="F1973" s="22"/>
      <c r="G1973" s="21">
        <f t="shared" si="90"/>
        <v>7.6200000000000001</v>
      </c>
      <c r="H1973" s="22"/>
      <c r="I1973" s="23" t="str">
        <f t="shared" si="91"/>
        <v xml:space="preserve">COM VALOR</v>
      </c>
      <c r="J1973" s="19"/>
      <c r="L1973" s="21">
        <v>8.0700000000000003</v>
      </c>
      <c r="M1973" s="22">
        <v>0</v>
      </c>
      <c r="N1973" s="21">
        <v>7.6200000000000001</v>
      </c>
      <c r="O1973" s="22">
        <v>0</v>
      </c>
    </row>
    <row r="1974" ht="25.5">
      <c r="A1974" t="s">
        <v>1968</v>
      </c>
      <c r="B1974" s="19">
        <v>97642</v>
      </c>
      <c r="C1974" s="20" t="s">
        <v>2026</v>
      </c>
      <c r="D1974" s="19" t="s">
        <v>29</v>
      </c>
      <c r="E1974" s="21">
        <f t="shared" si="89"/>
        <v>3.0899999999999999</v>
      </c>
      <c r="F1974" s="22"/>
      <c r="G1974" s="21">
        <f t="shared" si="90"/>
        <v>2.9199999999999999</v>
      </c>
      <c r="H1974" s="22"/>
      <c r="I1974" s="23" t="str">
        <f t="shared" si="91"/>
        <v xml:space="preserve">COM VALOR</v>
      </c>
      <c r="J1974" s="19"/>
      <c r="L1974" s="21">
        <v>3.0899999999999999</v>
      </c>
      <c r="M1974" s="22">
        <v>0</v>
      </c>
      <c r="N1974" s="21">
        <v>2.9199999999999999</v>
      </c>
      <c r="O1974" s="22">
        <v>0</v>
      </c>
    </row>
    <row r="1975" ht="25.5">
      <c r="A1975" t="s">
        <v>1968</v>
      </c>
      <c r="B1975" s="19">
        <v>97655</v>
      </c>
      <c r="C1975" s="20" t="s">
        <v>2027</v>
      </c>
      <c r="D1975" s="19" t="s">
        <v>29</v>
      </c>
      <c r="E1975" s="21">
        <f t="shared" si="89"/>
        <v>39.75</v>
      </c>
      <c r="F1975" s="22">
        <v>0</v>
      </c>
      <c r="G1975" s="21">
        <f t="shared" si="90"/>
        <v>38.75</v>
      </c>
      <c r="H1975" s="22">
        <v>0</v>
      </c>
      <c r="I1975" s="23" t="str">
        <f t="shared" si="91"/>
        <v xml:space="preserve">COM VALOR</v>
      </c>
      <c r="J1975" s="19"/>
      <c r="L1975" s="21">
        <v>39.75</v>
      </c>
      <c r="M1975" s="22">
        <v>0</v>
      </c>
      <c r="N1975" s="21">
        <v>38.75</v>
      </c>
      <c r="O1975" s="22">
        <v>0</v>
      </c>
    </row>
    <row r="1976" ht="25.5">
      <c r="A1976" t="s">
        <v>1968</v>
      </c>
      <c r="B1976" s="19">
        <v>97662</v>
      </c>
      <c r="C1976" s="20" t="s">
        <v>2028</v>
      </c>
      <c r="D1976" s="19" t="s">
        <v>38</v>
      </c>
      <c r="E1976" s="21">
        <f t="shared" si="89"/>
        <v>0.53000000000000003</v>
      </c>
      <c r="F1976" s="22">
        <v>0</v>
      </c>
      <c r="G1976" s="21">
        <f t="shared" si="90"/>
        <v>0.5</v>
      </c>
      <c r="H1976" s="22">
        <v>0</v>
      </c>
      <c r="I1976" s="23" t="str">
        <f t="shared" si="91"/>
        <v xml:space="preserve">COM VALOR</v>
      </c>
      <c r="J1976" s="19"/>
      <c r="L1976" s="21">
        <v>0.53000000000000003</v>
      </c>
      <c r="M1976" s="22">
        <v>0</v>
      </c>
      <c r="N1976" s="21">
        <v>0.5</v>
      </c>
      <c r="O1976" s="22">
        <v>0</v>
      </c>
    </row>
    <row r="1977" ht="38.25">
      <c r="A1977" t="s">
        <v>1968</v>
      </c>
      <c r="B1977" s="19">
        <v>97646</v>
      </c>
      <c r="C1977" s="20" t="s">
        <v>2029</v>
      </c>
      <c r="D1977" s="19" t="s">
        <v>29</v>
      </c>
      <c r="E1977" s="21" t="str">
        <f t="shared" si="89"/>
        <v>VERIFICAR</v>
      </c>
      <c r="F1977" s="22">
        <v>0</v>
      </c>
      <c r="G1977" s="21" t="str">
        <f t="shared" si="90"/>
        <v>VERIFICAR</v>
      </c>
      <c r="H1977" s="22">
        <v>0</v>
      </c>
      <c r="I1977" s="23" t="str">
        <f t="shared" si="91"/>
        <v xml:space="preserve">COM VALOR</v>
      </c>
      <c r="J1977" s="19"/>
      <c r="L1977" s="21">
        <v>0</v>
      </c>
      <c r="M1977" s="22"/>
      <c r="N1977" s="21">
        <v>0</v>
      </c>
      <c r="O1977" s="22"/>
    </row>
    <row r="1978" ht="25.5">
      <c r="A1978" t="s">
        <v>2030</v>
      </c>
      <c r="B1978" s="19">
        <v>92712</v>
      </c>
      <c r="C1978" s="20" t="s">
        <v>2031</v>
      </c>
      <c r="D1978" s="19" t="s">
        <v>2032</v>
      </c>
      <c r="E1978" s="21">
        <f t="shared" si="89"/>
        <v>0.29999999999999999</v>
      </c>
      <c r="F1978" s="22">
        <v>0</v>
      </c>
      <c r="G1978" s="21">
        <f t="shared" si="90"/>
        <v>0.29999999999999999</v>
      </c>
      <c r="H1978" s="22">
        <v>0</v>
      </c>
      <c r="I1978" s="23" t="str">
        <f t="shared" si="91"/>
        <v xml:space="preserve">COM VALOR</v>
      </c>
      <c r="J1978" s="19"/>
      <c r="L1978" s="21">
        <v>0.29999999999999999</v>
      </c>
      <c r="M1978" s="22">
        <v>0</v>
      </c>
      <c r="N1978" s="21">
        <v>0.29999999999999999</v>
      </c>
      <c r="O1978" s="22">
        <v>0</v>
      </c>
    </row>
    <row r="1979" ht="25.5">
      <c r="A1979" t="s">
        <v>2030</v>
      </c>
      <c r="B1979" s="19">
        <v>92713</v>
      </c>
      <c r="C1979" s="20" t="s">
        <v>2033</v>
      </c>
      <c r="D1979" s="19" t="s">
        <v>2032</v>
      </c>
      <c r="E1979" s="21">
        <f t="shared" si="89"/>
        <v>5.9999999999999998e-002</v>
      </c>
      <c r="F1979" s="22">
        <v>0</v>
      </c>
      <c r="G1979" s="21">
        <f t="shared" si="90"/>
        <v>5.9999999999999998e-002</v>
      </c>
      <c r="H1979" s="22">
        <v>0</v>
      </c>
      <c r="I1979" s="23" t="str">
        <f t="shared" si="91"/>
        <v xml:space="preserve">COM VALOR</v>
      </c>
      <c r="J1979" s="19"/>
      <c r="L1979" s="21">
        <v>5.9999999999999998e-002</v>
      </c>
      <c r="M1979" s="22">
        <v>0</v>
      </c>
      <c r="N1979" s="21">
        <v>5.9999999999999998e-002</v>
      </c>
      <c r="O1979" s="22">
        <v>0</v>
      </c>
    </row>
    <row r="1980" ht="25.5">
      <c r="A1980" t="s">
        <v>2030</v>
      </c>
      <c r="B1980" s="19">
        <v>92714</v>
      </c>
      <c r="C1980" s="20" t="s">
        <v>2034</v>
      </c>
      <c r="D1980" s="19" t="s">
        <v>2032</v>
      </c>
      <c r="E1980" s="21">
        <f t="shared" si="89"/>
        <v>0.37</v>
      </c>
      <c r="F1980" s="22">
        <v>0</v>
      </c>
      <c r="G1980" s="21">
        <f t="shared" si="90"/>
        <v>0.37</v>
      </c>
      <c r="H1980" s="22">
        <v>0</v>
      </c>
      <c r="I1980" s="23" t="str">
        <f t="shared" si="91"/>
        <v xml:space="preserve">COM VALOR</v>
      </c>
      <c r="J1980" s="19"/>
      <c r="L1980" s="21">
        <v>0.37</v>
      </c>
      <c r="M1980" s="22">
        <v>0</v>
      </c>
      <c r="N1980" s="21">
        <v>0.37</v>
      </c>
      <c r="O1980" s="22">
        <v>0</v>
      </c>
    </row>
    <row r="1981" ht="38.25">
      <c r="A1981" t="s">
        <v>2030</v>
      </c>
      <c r="B1981" s="19">
        <v>92715</v>
      </c>
      <c r="C1981" s="20" t="s">
        <v>2035</v>
      </c>
      <c r="D1981" s="19" t="s">
        <v>2032</v>
      </c>
      <c r="E1981" s="21">
        <f t="shared" si="89"/>
        <v>114.72</v>
      </c>
      <c r="F1981" s="22">
        <v>0</v>
      </c>
      <c r="G1981" s="21">
        <f t="shared" si="90"/>
        <v>114.72</v>
      </c>
      <c r="H1981" s="22">
        <v>0</v>
      </c>
      <c r="I1981" s="23" t="str">
        <f t="shared" si="91"/>
        <v xml:space="preserve">COM VALOR</v>
      </c>
      <c r="J1981" s="19"/>
      <c r="L1981" s="21">
        <v>114.72</v>
      </c>
      <c r="M1981" s="22">
        <v>0</v>
      </c>
      <c r="N1981" s="21">
        <v>114.72</v>
      </c>
      <c r="O1981" s="22">
        <v>0</v>
      </c>
    </row>
    <row r="1982" ht="38.25">
      <c r="A1982" t="s">
        <v>2030</v>
      </c>
      <c r="B1982" s="19">
        <v>103663</v>
      </c>
      <c r="C1982" s="20" t="s">
        <v>2036</v>
      </c>
      <c r="D1982" s="19" t="s">
        <v>2032</v>
      </c>
      <c r="E1982" s="21" t="str">
        <f t="shared" si="89"/>
        <v>VERIFICAR</v>
      </c>
      <c r="F1982" s="22">
        <v>0</v>
      </c>
      <c r="G1982" s="21" t="str">
        <f t="shared" si="90"/>
        <v>VERIFICAR</v>
      </c>
      <c r="H1982" s="22">
        <v>0</v>
      </c>
      <c r="I1982" s="23" t="str">
        <f t="shared" si="91"/>
        <v xml:space="preserve">COM VALOR</v>
      </c>
      <c r="J1982" s="19"/>
      <c r="L1982" s="21">
        <v>0</v>
      </c>
      <c r="M1982" s="22"/>
      <c r="N1982" s="21">
        <v>0</v>
      </c>
      <c r="O1982" s="22"/>
    </row>
    <row r="1983" ht="38.25">
      <c r="A1983" t="s">
        <v>2030</v>
      </c>
      <c r="B1983" s="19">
        <v>104390</v>
      </c>
      <c r="C1983" s="20" t="s">
        <v>2037</v>
      </c>
      <c r="D1983" s="19" t="s">
        <v>2032</v>
      </c>
      <c r="E1983" s="21" t="str">
        <f t="shared" si="89"/>
        <v>VERIFICAR</v>
      </c>
      <c r="F1983" s="22">
        <v>0</v>
      </c>
      <c r="G1983" s="21" t="str">
        <f t="shared" si="90"/>
        <v>VERIFICAR</v>
      </c>
      <c r="H1983" s="22">
        <v>0</v>
      </c>
      <c r="I1983" s="23" t="str">
        <f t="shared" si="91"/>
        <v xml:space="preserve">COM VALOR</v>
      </c>
      <c r="J1983" s="19"/>
      <c r="L1983" s="21">
        <v>0</v>
      </c>
      <c r="M1983" s="22"/>
      <c r="N1983" s="21">
        <v>0</v>
      </c>
      <c r="O1983" s="22"/>
    </row>
    <row r="1984" ht="38.25">
      <c r="A1984" t="s">
        <v>2030</v>
      </c>
      <c r="B1984" s="19">
        <v>103664</v>
      </c>
      <c r="C1984" s="20" t="s">
        <v>2038</v>
      </c>
      <c r="D1984" s="19" t="s">
        <v>2032</v>
      </c>
      <c r="E1984" s="21" t="str">
        <f t="shared" si="89"/>
        <v>VERIFICAR</v>
      </c>
      <c r="F1984" s="22">
        <v>0</v>
      </c>
      <c r="G1984" s="21" t="str">
        <f t="shared" si="90"/>
        <v>VERIFICAR</v>
      </c>
      <c r="H1984" s="22">
        <v>0</v>
      </c>
      <c r="I1984" s="23" t="str">
        <f t="shared" si="91"/>
        <v xml:space="preserve">COM VALOR</v>
      </c>
      <c r="J1984" s="19"/>
      <c r="L1984" s="21">
        <v>0</v>
      </c>
      <c r="M1984" s="22"/>
      <c r="N1984" s="21">
        <v>0</v>
      </c>
      <c r="O1984" s="22"/>
    </row>
    <row r="1985" ht="38.25">
      <c r="A1985" t="s">
        <v>2030</v>
      </c>
      <c r="B1985" s="19">
        <v>104451</v>
      </c>
      <c r="C1985" s="20" t="s">
        <v>2039</v>
      </c>
      <c r="D1985" s="19" t="s">
        <v>2032</v>
      </c>
      <c r="E1985" s="21" t="str">
        <f t="shared" si="89"/>
        <v>VERIFICAR</v>
      </c>
      <c r="F1985" s="22">
        <v>0</v>
      </c>
      <c r="G1985" s="21" t="str">
        <f t="shared" si="90"/>
        <v>VERIFICAR</v>
      </c>
      <c r="H1985" s="22">
        <v>0</v>
      </c>
      <c r="I1985" s="23" t="str">
        <f t="shared" si="91"/>
        <v xml:space="preserve">COM VALOR</v>
      </c>
      <c r="J1985" s="19"/>
      <c r="L1985" s="21">
        <v>0</v>
      </c>
      <c r="M1985" s="22"/>
      <c r="N1985" s="21">
        <v>0</v>
      </c>
      <c r="O1985" s="22"/>
    </row>
    <row r="1986" ht="38.25">
      <c r="A1986" t="s">
        <v>2030</v>
      </c>
      <c r="B1986" s="19">
        <v>103666</v>
      </c>
      <c r="C1986" s="20" t="s">
        <v>2040</v>
      </c>
      <c r="D1986" s="19" t="s">
        <v>2032</v>
      </c>
      <c r="E1986" s="21">
        <f t="shared" si="89"/>
        <v>153.99000000000001</v>
      </c>
      <c r="F1986" s="22">
        <v>1</v>
      </c>
      <c r="G1986" s="21">
        <f t="shared" si="90"/>
        <v>153.99000000000001</v>
      </c>
      <c r="H1986" s="22">
        <v>1</v>
      </c>
      <c r="I1986" s="23" t="str">
        <f t="shared" si="91"/>
        <v xml:space="preserve">COM VALOR</v>
      </c>
      <c r="J1986" s="19"/>
      <c r="L1986" s="21">
        <v>153.99000000000001</v>
      </c>
      <c r="M1986" s="22">
        <v>0</v>
      </c>
      <c r="N1986" s="21">
        <v>153.99000000000001</v>
      </c>
      <c r="O1986" s="22">
        <v>0</v>
      </c>
    </row>
    <row r="1987" ht="25.5">
      <c r="A1987" t="s">
        <v>2030</v>
      </c>
      <c r="B1987" s="19">
        <v>89212</v>
      </c>
      <c r="C1987" s="20" t="s">
        <v>2041</v>
      </c>
      <c r="D1987" s="19" t="s">
        <v>2032</v>
      </c>
      <c r="E1987" s="21">
        <f t="shared" si="89"/>
        <v>29.760000000000002</v>
      </c>
      <c r="F1987" s="22">
        <v>1</v>
      </c>
      <c r="G1987" s="21">
        <f t="shared" si="90"/>
        <v>29.760000000000002</v>
      </c>
      <c r="H1987" s="22">
        <v>1</v>
      </c>
      <c r="I1987" s="23" t="str">
        <f t="shared" si="91"/>
        <v xml:space="preserve">COM VALOR</v>
      </c>
      <c r="J1987" s="19"/>
      <c r="L1987" s="21">
        <v>29.760000000000002</v>
      </c>
      <c r="M1987" s="22">
        <v>1</v>
      </c>
      <c r="N1987" s="21">
        <v>29.760000000000002</v>
      </c>
      <c r="O1987" s="22">
        <v>1</v>
      </c>
    </row>
    <row r="1988" ht="25.5">
      <c r="A1988" t="s">
        <v>2030</v>
      </c>
      <c r="B1988" s="19">
        <v>89213</v>
      </c>
      <c r="C1988" s="20" t="s">
        <v>2042</v>
      </c>
      <c r="D1988" s="19" t="s">
        <v>2032</v>
      </c>
      <c r="E1988" s="21">
        <f t="shared" si="89"/>
        <v>9.1799999999999997</v>
      </c>
      <c r="F1988" s="22">
        <v>1</v>
      </c>
      <c r="G1988" s="21">
        <f t="shared" si="90"/>
        <v>9.1799999999999997</v>
      </c>
      <c r="H1988" s="22">
        <v>1</v>
      </c>
      <c r="I1988" s="23" t="str">
        <f t="shared" si="91"/>
        <v xml:space="preserve">COM VALOR</v>
      </c>
      <c r="J1988" s="19"/>
      <c r="L1988" s="21">
        <v>9.1799999999999997</v>
      </c>
      <c r="M1988" s="22">
        <v>1</v>
      </c>
      <c r="N1988" s="21">
        <v>9.1799999999999997</v>
      </c>
      <c r="O1988" s="22">
        <v>1</v>
      </c>
    </row>
    <row r="1989" ht="25.5">
      <c r="A1989" t="s">
        <v>2030</v>
      </c>
      <c r="B1989" s="19">
        <v>89214</v>
      </c>
      <c r="C1989" s="20" t="s">
        <v>2043</v>
      </c>
      <c r="D1989" s="19" t="s">
        <v>2032</v>
      </c>
      <c r="E1989" s="21">
        <f t="shared" si="89"/>
        <v>27.940000000000001</v>
      </c>
      <c r="F1989" s="22">
        <v>1</v>
      </c>
      <c r="G1989" s="21">
        <f t="shared" si="90"/>
        <v>27.940000000000001</v>
      </c>
      <c r="H1989" s="22">
        <v>1</v>
      </c>
      <c r="I1989" s="23" t="str">
        <f t="shared" si="91"/>
        <v xml:space="preserve">COM VALOR</v>
      </c>
      <c r="J1989" s="19"/>
      <c r="L1989" s="21">
        <v>27.940000000000001</v>
      </c>
      <c r="M1989" s="22">
        <v>1</v>
      </c>
      <c r="N1989" s="21">
        <v>27.940000000000001</v>
      </c>
      <c r="O1989" s="22">
        <v>1</v>
      </c>
    </row>
    <row r="1990" ht="25.5">
      <c r="A1990" t="s">
        <v>2030</v>
      </c>
      <c r="B1990" s="19">
        <v>89215</v>
      </c>
      <c r="C1990" s="20" t="s">
        <v>2044</v>
      </c>
      <c r="D1990" s="19" t="s">
        <v>2032</v>
      </c>
      <c r="E1990" s="21">
        <f t="shared" si="89"/>
        <v>105.38</v>
      </c>
      <c r="F1990" s="22">
        <v>0</v>
      </c>
      <c r="G1990" s="21">
        <f t="shared" si="90"/>
        <v>105.38</v>
      </c>
      <c r="H1990" s="22">
        <v>0</v>
      </c>
      <c r="I1990" s="23" t="str">
        <f t="shared" si="91"/>
        <v xml:space="preserve">COM VALOR</v>
      </c>
      <c r="J1990" s="19"/>
      <c r="L1990" s="21">
        <v>105.38</v>
      </c>
      <c r="M1990" s="22">
        <v>0</v>
      </c>
      <c r="N1990" s="21">
        <v>105.38</v>
      </c>
      <c r="O1990" s="22">
        <v>0</v>
      </c>
    </row>
    <row r="1991" ht="38.25">
      <c r="A1991" t="s">
        <v>2030</v>
      </c>
      <c r="B1991" s="19">
        <v>87441</v>
      </c>
      <c r="C1991" s="20" t="s">
        <v>2045</v>
      </c>
      <c r="D1991" s="19" t="s">
        <v>2032</v>
      </c>
      <c r="E1991" s="21">
        <f t="shared" si="89"/>
        <v>0.42999999999999999</v>
      </c>
      <c r="F1991" s="22">
        <v>1</v>
      </c>
      <c r="G1991" s="21">
        <f t="shared" si="90"/>
        <v>0.42999999999999999</v>
      </c>
      <c r="H1991" s="22">
        <v>1</v>
      </c>
      <c r="I1991" s="23" t="str">
        <f t="shared" si="91"/>
        <v xml:space="preserve">COM VALOR</v>
      </c>
      <c r="J1991" s="19"/>
      <c r="L1991" s="21">
        <v>0.42999999999999999</v>
      </c>
      <c r="M1991" s="22">
        <v>0</v>
      </c>
      <c r="N1991" s="21">
        <v>0.42999999999999999</v>
      </c>
      <c r="O1991" s="22">
        <v>0</v>
      </c>
    </row>
    <row r="1992" ht="38.25">
      <c r="A1992" t="s">
        <v>2030</v>
      </c>
      <c r="B1992" s="19">
        <v>87442</v>
      </c>
      <c r="C1992" s="20" t="s">
        <v>2046</v>
      </c>
      <c r="D1992" s="19" t="s">
        <v>2032</v>
      </c>
      <c r="E1992" s="21">
        <f t="shared" si="89"/>
        <v>0.10000000000000001</v>
      </c>
      <c r="F1992" s="22">
        <v>1</v>
      </c>
      <c r="G1992" s="21">
        <f t="shared" si="90"/>
        <v>0.10000000000000001</v>
      </c>
      <c r="H1992" s="22">
        <v>1</v>
      </c>
      <c r="I1992" s="23" t="str">
        <f t="shared" si="91"/>
        <v xml:space="preserve">COM VALOR</v>
      </c>
      <c r="J1992" s="19"/>
      <c r="L1992" s="21">
        <v>0.10000000000000001</v>
      </c>
      <c r="M1992" s="22">
        <v>0</v>
      </c>
      <c r="N1992" s="21">
        <v>0.10000000000000001</v>
      </c>
      <c r="O1992" s="22">
        <v>0</v>
      </c>
    </row>
    <row r="1993" ht="38.25">
      <c r="A1993" t="s">
        <v>2030</v>
      </c>
      <c r="B1993" s="19">
        <v>87443</v>
      </c>
      <c r="C1993" s="20" t="s">
        <v>2047</v>
      </c>
      <c r="D1993" s="19" t="s">
        <v>2032</v>
      </c>
      <c r="E1993" s="21">
        <f t="shared" si="89"/>
        <v>0.54000000000000004</v>
      </c>
      <c r="F1993" s="22">
        <v>1</v>
      </c>
      <c r="G1993" s="21">
        <f t="shared" si="90"/>
        <v>0.54000000000000004</v>
      </c>
      <c r="H1993" s="22">
        <v>1</v>
      </c>
      <c r="I1993" s="23" t="str">
        <f t="shared" si="91"/>
        <v xml:space="preserve">COM VALOR</v>
      </c>
      <c r="J1993" s="19"/>
      <c r="L1993" s="21">
        <v>0.54000000000000004</v>
      </c>
      <c r="M1993" s="22">
        <v>0</v>
      </c>
      <c r="N1993" s="21">
        <v>0.54000000000000004</v>
      </c>
      <c r="O1993" s="22">
        <v>0</v>
      </c>
    </row>
    <row r="1994" ht="38.25">
      <c r="A1994" t="s">
        <v>2030</v>
      </c>
      <c r="B1994" s="19">
        <v>87444</v>
      </c>
      <c r="C1994" s="20" t="s">
        <v>2048</v>
      </c>
      <c r="D1994" s="19" t="s">
        <v>2032</v>
      </c>
      <c r="E1994" s="21">
        <f t="shared" si="89"/>
        <v>4.75</v>
      </c>
      <c r="F1994" s="22">
        <v>1</v>
      </c>
      <c r="G1994" s="21">
        <f t="shared" si="90"/>
        <v>4.75</v>
      </c>
      <c r="H1994" s="22">
        <v>1</v>
      </c>
      <c r="I1994" s="23" t="str">
        <f t="shared" si="91"/>
        <v xml:space="preserve">COM VALOR</v>
      </c>
      <c r="J1994" s="19"/>
      <c r="L1994" s="21">
        <v>4.75</v>
      </c>
      <c r="M1994" s="22">
        <v>0</v>
      </c>
      <c r="N1994" s="21">
        <v>4.75</v>
      </c>
      <c r="O1994" s="22">
        <v>0</v>
      </c>
    </row>
    <row r="1995" ht="38.25">
      <c r="A1995" t="s">
        <v>2030</v>
      </c>
      <c r="B1995" s="19">
        <v>93229</v>
      </c>
      <c r="C1995" s="20" t="s">
        <v>2049</v>
      </c>
      <c r="D1995" s="19" t="s">
        <v>2032</v>
      </c>
      <c r="E1995" s="21">
        <f t="shared" ref="E1995:E2058" si="92">IF(L1995=0,"VERIFICAR",L1995)</f>
        <v>0.39000000000000001</v>
      </c>
      <c r="F1995" s="22">
        <v>0</v>
      </c>
      <c r="G1995" s="21">
        <f t="shared" ref="G1995:G2058" si="93">IF(N1995=0,"VERIFICAR",N1995)</f>
        <v>0.39000000000000001</v>
      </c>
      <c r="H1995" s="22">
        <v>0</v>
      </c>
      <c r="I1995" s="23" t="str">
        <f t="shared" ref="I1995:I2058" si="94">IF(OR(E1995=0,G1995=0),"SEM VALOR","COM VALOR")</f>
        <v xml:space="preserve">COM VALOR</v>
      </c>
      <c r="J1995" s="19"/>
      <c r="L1995" s="21">
        <v>0.39000000000000001</v>
      </c>
      <c r="M1995" s="22">
        <v>0</v>
      </c>
      <c r="N1995" s="21">
        <v>0.39000000000000001</v>
      </c>
      <c r="O1995" s="22">
        <v>0</v>
      </c>
    </row>
    <row r="1996" ht="38.25">
      <c r="A1996" t="s">
        <v>2030</v>
      </c>
      <c r="B1996" s="19">
        <v>93230</v>
      </c>
      <c r="C1996" s="20" t="s">
        <v>2050</v>
      </c>
      <c r="D1996" s="19" t="s">
        <v>2032</v>
      </c>
      <c r="E1996" s="21">
        <f t="shared" si="92"/>
        <v>8.9999999999999997e-002</v>
      </c>
      <c r="F1996" s="22">
        <v>0.35999999999999999</v>
      </c>
      <c r="G1996" s="21">
        <f t="shared" si="93"/>
        <v>8.9999999999999997e-002</v>
      </c>
      <c r="H1996" s="22">
        <v>0.35999999999999999</v>
      </c>
      <c r="I1996" s="23" t="str">
        <f t="shared" si="94"/>
        <v xml:space="preserve">COM VALOR</v>
      </c>
      <c r="J1996" s="19"/>
      <c r="L1996" s="21">
        <v>8.9999999999999997e-002</v>
      </c>
      <c r="M1996" s="22">
        <v>0</v>
      </c>
      <c r="N1996" s="21">
        <v>8.9999999999999997e-002</v>
      </c>
      <c r="O1996" s="22">
        <v>0</v>
      </c>
    </row>
    <row r="1997" ht="38.25">
      <c r="A1997" t="s">
        <v>2030</v>
      </c>
      <c r="B1997" s="19">
        <v>93231</v>
      </c>
      <c r="C1997" s="20" t="s">
        <v>2051</v>
      </c>
      <c r="D1997" s="19" t="s">
        <v>2032</v>
      </c>
      <c r="E1997" s="21">
        <f t="shared" si="92"/>
        <v>0.48999999999999999</v>
      </c>
      <c r="F1997" s="22">
        <v>0.25</v>
      </c>
      <c r="G1997" s="21">
        <f t="shared" si="93"/>
        <v>0.48999999999999999</v>
      </c>
      <c r="H1997" s="22">
        <v>0.25</v>
      </c>
      <c r="I1997" s="23" t="str">
        <f t="shared" si="94"/>
        <v xml:space="preserve">COM VALOR</v>
      </c>
      <c r="J1997" s="19"/>
      <c r="L1997" s="21">
        <v>0.48999999999999999</v>
      </c>
      <c r="M1997" s="22">
        <v>0</v>
      </c>
      <c r="N1997" s="21">
        <v>0.48999999999999999</v>
      </c>
      <c r="O1997" s="22">
        <v>0</v>
      </c>
    </row>
    <row r="1998" ht="38.25">
      <c r="A1998" t="s">
        <v>2030</v>
      </c>
      <c r="B1998" s="19">
        <v>93232</v>
      </c>
      <c r="C1998" s="20" t="s">
        <v>2052</v>
      </c>
      <c r="D1998" s="19" t="s">
        <v>2032</v>
      </c>
      <c r="E1998" s="21">
        <f t="shared" si="92"/>
        <v>4.8499999999999996</v>
      </c>
      <c r="F1998" s="22">
        <v>0.25</v>
      </c>
      <c r="G1998" s="21">
        <f t="shared" si="93"/>
        <v>4.8499999999999996</v>
      </c>
      <c r="H1998" s="22">
        <v>0.25</v>
      </c>
      <c r="I1998" s="23" t="str">
        <f t="shared" si="94"/>
        <v xml:space="preserve">COM VALOR</v>
      </c>
      <c r="J1998" s="19"/>
      <c r="L1998" s="21">
        <v>4.8499999999999996</v>
      </c>
      <c r="M1998" s="22">
        <v>0</v>
      </c>
      <c r="N1998" s="21">
        <v>4.8499999999999996</v>
      </c>
      <c r="O1998" s="22">
        <v>0</v>
      </c>
    </row>
    <row r="1999" ht="38.25">
      <c r="A1999" t="s">
        <v>2030</v>
      </c>
      <c r="B1999" s="19">
        <v>102948</v>
      </c>
      <c r="C1999" s="20" t="s">
        <v>2053</v>
      </c>
      <c r="D1999" s="19" t="s">
        <v>2032</v>
      </c>
      <c r="E1999" s="21" t="str">
        <f t="shared" si="92"/>
        <v>VERIFICAR</v>
      </c>
      <c r="F1999" s="22">
        <v>0.29999999999999999</v>
      </c>
      <c r="G1999" s="21" t="str">
        <f t="shared" si="93"/>
        <v>VERIFICAR</v>
      </c>
      <c r="H1999" s="22">
        <v>0.29999999999999999</v>
      </c>
      <c r="I1999" s="23" t="str">
        <f t="shared" si="94"/>
        <v xml:space="preserve">COM VALOR</v>
      </c>
      <c r="J1999" s="19"/>
      <c r="L1999" s="21">
        <v>0</v>
      </c>
      <c r="M1999" s="22"/>
      <c r="N1999" s="21">
        <v>0</v>
      </c>
      <c r="O1999" s="22"/>
    </row>
    <row r="2000" ht="38.25">
      <c r="A2000" t="s">
        <v>2030</v>
      </c>
      <c r="B2000" s="19">
        <v>102949</v>
      </c>
      <c r="C2000" s="20" t="s">
        <v>2054</v>
      </c>
      <c r="D2000" s="19" t="s">
        <v>2032</v>
      </c>
      <c r="E2000" s="21" t="str">
        <f t="shared" si="92"/>
        <v>VERIFICAR</v>
      </c>
      <c r="F2000" s="22">
        <v>0</v>
      </c>
      <c r="G2000" s="21" t="str">
        <f t="shared" si="93"/>
        <v>VERIFICAR</v>
      </c>
      <c r="H2000" s="22">
        <v>0</v>
      </c>
      <c r="I2000" s="23" t="str">
        <f t="shared" si="94"/>
        <v xml:space="preserve">COM VALOR</v>
      </c>
      <c r="J2000" s="19"/>
      <c r="L2000" s="21">
        <v>0</v>
      </c>
      <c r="M2000" s="22"/>
      <c r="N2000" s="21">
        <v>0</v>
      </c>
      <c r="O2000" s="22"/>
    </row>
    <row r="2001" ht="38.25">
      <c r="A2001" t="s">
        <v>2030</v>
      </c>
      <c r="B2001" s="19">
        <v>102950</v>
      </c>
      <c r="C2001" s="20" t="s">
        <v>2055</v>
      </c>
      <c r="D2001" s="19" t="s">
        <v>2032</v>
      </c>
      <c r="E2001" s="21" t="str">
        <f t="shared" si="92"/>
        <v>VERIFICAR</v>
      </c>
      <c r="F2001" s="22">
        <v>0.40000000000000002</v>
      </c>
      <c r="G2001" s="21" t="str">
        <f t="shared" si="93"/>
        <v>VERIFICAR</v>
      </c>
      <c r="H2001" s="22">
        <v>0.40000000000000002</v>
      </c>
      <c r="I2001" s="23" t="str">
        <f t="shared" si="94"/>
        <v xml:space="preserve">COM VALOR</v>
      </c>
      <c r="J2001" s="19"/>
      <c r="L2001" s="21">
        <v>0</v>
      </c>
      <c r="M2001" s="22"/>
      <c r="N2001" s="21">
        <v>0</v>
      </c>
      <c r="O2001" s="22"/>
    </row>
    <row r="2002" ht="38.25">
      <c r="A2002" t="s">
        <v>2030</v>
      </c>
      <c r="B2002" s="19">
        <v>102951</v>
      </c>
      <c r="C2002" s="20" t="s">
        <v>2056</v>
      </c>
      <c r="D2002" s="19" t="s">
        <v>2032</v>
      </c>
      <c r="E2002" s="21">
        <f t="shared" si="92"/>
        <v>0.70999999999999996</v>
      </c>
      <c r="F2002" s="22">
        <v>0.28000000000000003</v>
      </c>
      <c r="G2002" s="21">
        <f t="shared" si="93"/>
        <v>0.70999999999999996</v>
      </c>
      <c r="H2002" s="22">
        <v>0.28000000000000003</v>
      </c>
      <c r="I2002" s="23" t="str">
        <f t="shared" si="94"/>
        <v xml:space="preserve">COM VALOR</v>
      </c>
      <c r="J2002" s="19"/>
      <c r="L2002" s="21">
        <v>0.70999999999999996</v>
      </c>
      <c r="M2002" s="22">
        <v>0</v>
      </c>
      <c r="N2002" s="21">
        <v>0.70999999999999996</v>
      </c>
      <c r="O2002" s="22">
        <v>0</v>
      </c>
    </row>
    <row r="2003" ht="38.25">
      <c r="A2003" t="s">
        <v>2030</v>
      </c>
      <c r="B2003" s="19">
        <v>88826</v>
      </c>
      <c r="C2003" s="20" t="s">
        <v>2057</v>
      </c>
      <c r="D2003" s="19" t="s">
        <v>2032</v>
      </c>
      <c r="E2003" s="21">
        <f t="shared" si="92"/>
        <v>0.31</v>
      </c>
      <c r="F2003" s="22">
        <v>0.28000000000000003</v>
      </c>
      <c r="G2003" s="21">
        <f t="shared" si="93"/>
        <v>0.31</v>
      </c>
      <c r="H2003" s="22">
        <v>0.28000000000000003</v>
      </c>
      <c r="I2003" s="23" t="str">
        <f t="shared" si="94"/>
        <v xml:space="preserve">COM VALOR</v>
      </c>
      <c r="J2003" s="19"/>
      <c r="L2003" s="21">
        <v>0.31</v>
      </c>
      <c r="M2003" s="22">
        <v>0</v>
      </c>
      <c r="N2003" s="21">
        <v>0.31</v>
      </c>
      <c r="O2003" s="22">
        <v>0</v>
      </c>
    </row>
    <row r="2004" ht="38.25">
      <c r="A2004" t="s">
        <v>2030</v>
      </c>
      <c r="B2004" s="19">
        <v>88827</v>
      </c>
      <c r="C2004" s="20" t="s">
        <v>2058</v>
      </c>
      <c r="D2004" s="19" t="s">
        <v>2032</v>
      </c>
      <c r="E2004" s="21">
        <f t="shared" si="92"/>
        <v>7.0000000000000007e-002</v>
      </c>
      <c r="F2004" s="22">
        <v>0.33000000000000002</v>
      </c>
      <c r="G2004" s="21">
        <f t="shared" si="93"/>
        <v>7.0000000000000007e-002</v>
      </c>
      <c r="H2004" s="22">
        <v>0.33000000000000002</v>
      </c>
      <c r="I2004" s="23" t="str">
        <f t="shared" si="94"/>
        <v xml:space="preserve">COM VALOR</v>
      </c>
      <c r="J2004" s="19"/>
      <c r="L2004" s="21">
        <v>7.0000000000000007e-002</v>
      </c>
      <c r="M2004" s="22">
        <v>0</v>
      </c>
      <c r="N2004" s="21">
        <v>7.0000000000000007e-002</v>
      </c>
      <c r="O2004" s="22">
        <v>0</v>
      </c>
    </row>
    <row r="2005" ht="38.25">
      <c r="A2005" t="s">
        <v>2030</v>
      </c>
      <c r="B2005" s="19">
        <v>88828</v>
      </c>
      <c r="C2005" s="20" t="s">
        <v>2059</v>
      </c>
      <c r="D2005" s="19" t="s">
        <v>2032</v>
      </c>
      <c r="E2005" s="21">
        <f t="shared" si="92"/>
        <v>0.34000000000000002</v>
      </c>
      <c r="F2005" s="22">
        <v>0</v>
      </c>
      <c r="G2005" s="21">
        <f t="shared" si="93"/>
        <v>0.34000000000000002</v>
      </c>
      <c r="H2005" s="22">
        <v>0</v>
      </c>
      <c r="I2005" s="23" t="str">
        <f t="shared" si="94"/>
        <v xml:space="preserve">COM VALOR</v>
      </c>
      <c r="J2005" s="19"/>
      <c r="L2005" s="21">
        <v>0.34000000000000002</v>
      </c>
      <c r="M2005" s="22">
        <v>0</v>
      </c>
      <c r="N2005" s="21">
        <v>0.34000000000000002</v>
      </c>
      <c r="O2005" s="22">
        <v>0</v>
      </c>
    </row>
    <row r="2006" ht="38.25">
      <c r="A2006" t="s">
        <v>2030</v>
      </c>
      <c r="B2006" s="19">
        <v>88829</v>
      </c>
      <c r="C2006" s="20" t="s">
        <v>2060</v>
      </c>
      <c r="D2006" s="19" t="s">
        <v>2032</v>
      </c>
      <c r="E2006" s="21">
        <f t="shared" si="92"/>
        <v>1.4099999999999999</v>
      </c>
      <c r="F2006" s="22">
        <v>1</v>
      </c>
      <c r="G2006" s="21">
        <f t="shared" si="93"/>
        <v>1.4099999999999999</v>
      </c>
      <c r="H2006" s="22">
        <v>1</v>
      </c>
      <c r="I2006" s="23" t="str">
        <f t="shared" si="94"/>
        <v xml:space="preserve">COM VALOR</v>
      </c>
      <c r="J2006" s="19"/>
      <c r="L2006" s="21">
        <v>1.4099999999999999</v>
      </c>
      <c r="M2006" s="22">
        <v>0</v>
      </c>
      <c r="N2006" s="21">
        <v>1.4099999999999999</v>
      </c>
      <c r="O2006" s="22">
        <v>0</v>
      </c>
    </row>
    <row r="2007" ht="38.25">
      <c r="A2007" t="s">
        <v>2030</v>
      </c>
      <c r="B2007" s="19">
        <v>89221</v>
      </c>
      <c r="C2007" s="20" t="s">
        <v>2061</v>
      </c>
      <c r="D2007" s="19" t="s">
        <v>2032</v>
      </c>
      <c r="E2007" s="21">
        <f t="shared" si="92"/>
        <v>1.29</v>
      </c>
      <c r="F2007" s="22">
        <v>1</v>
      </c>
      <c r="G2007" s="21">
        <f t="shared" si="93"/>
        <v>1.29</v>
      </c>
      <c r="H2007" s="22">
        <v>1</v>
      </c>
      <c r="I2007" s="23" t="str">
        <f t="shared" si="94"/>
        <v xml:space="preserve">COM VALOR</v>
      </c>
      <c r="J2007" s="19"/>
      <c r="L2007" s="21">
        <v>1.29</v>
      </c>
      <c r="M2007" s="22">
        <v>0</v>
      </c>
      <c r="N2007" s="21">
        <v>1.29</v>
      </c>
      <c r="O2007" s="22">
        <v>0</v>
      </c>
    </row>
    <row r="2008" ht="38.25">
      <c r="A2008" t="s">
        <v>2030</v>
      </c>
      <c r="B2008" s="19">
        <v>89222</v>
      </c>
      <c r="C2008" s="20" t="s">
        <v>2062</v>
      </c>
      <c r="D2008" s="19" t="s">
        <v>2032</v>
      </c>
      <c r="E2008" s="21">
        <f t="shared" si="92"/>
        <v>0.29999999999999999</v>
      </c>
      <c r="F2008" s="22">
        <v>1</v>
      </c>
      <c r="G2008" s="21">
        <f t="shared" si="93"/>
        <v>0.29999999999999999</v>
      </c>
      <c r="H2008" s="22">
        <v>1</v>
      </c>
      <c r="I2008" s="23" t="str">
        <f t="shared" si="94"/>
        <v xml:space="preserve">COM VALOR</v>
      </c>
      <c r="J2008" s="19"/>
      <c r="L2008" s="21">
        <v>0.29999999999999999</v>
      </c>
      <c r="M2008" s="22">
        <v>0</v>
      </c>
      <c r="N2008" s="21">
        <v>0.29999999999999999</v>
      </c>
      <c r="O2008" s="22">
        <v>0</v>
      </c>
    </row>
    <row r="2009" ht="38.25">
      <c r="A2009" t="s">
        <v>2030</v>
      </c>
      <c r="B2009" s="19">
        <v>89223</v>
      </c>
      <c r="C2009" s="20" t="s">
        <v>2063</v>
      </c>
      <c r="D2009" s="19" t="s">
        <v>2032</v>
      </c>
      <c r="E2009" s="21">
        <f t="shared" si="92"/>
        <v>1.4199999999999999</v>
      </c>
      <c r="F2009" s="22">
        <v>1</v>
      </c>
      <c r="G2009" s="21">
        <f t="shared" si="93"/>
        <v>1.4199999999999999</v>
      </c>
      <c r="H2009" s="22">
        <v>1</v>
      </c>
      <c r="I2009" s="23" t="str">
        <f t="shared" si="94"/>
        <v xml:space="preserve">COM VALOR</v>
      </c>
      <c r="J2009" s="19"/>
      <c r="L2009" s="21">
        <v>1.4199999999999999</v>
      </c>
      <c r="M2009" s="22">
        <v>0</v>
      </c>
      <c r="N2009" s="21">
        <v>1.4199999999999999</v>
      </c>
      <c r="O2009" s="22">
        <v>0</v>
      </c>
    </row>
    <row r="2010" ht="38.25">
      <c r="A2010" t="s">
        <v>2030</v>
      </c>
      <c r="B2010" s="19">
        <v>89224</v>
      </c>
      <c r="C2010" s="20" t="s">
        <v>2064</v>
      </c>
      <c r="D2010" s="19" t="s">
        <v>2032</v>
      </c>
      <c r="E2010" s="21">
        <f t="shared" si="92"/>
        <v>2.8199999999999998</v>
      </c>
      <c r="F2010" s="22">
        <v>0</v>
      </c>
      <c r="G2010" s="21">
        <f t="shared" si="93"/>
        <v>2.8199999999999998</v>
      </c>
      <c r="H2010" s="22">
        <v>0</v>
      </c>
      <c r="I2010" s="23" t="str">
        <f t="shared" si="94"/>
        <v xml:space="preserve">COM VALOR</v>
      </c>
      <c r="J2010" s="19"/>
      <c r="L2010" s="21">
        <v>2.8199999999999998</v>
      </c>
      <c r="M2010" s="22">
        <v>0</v>
      </c>
      <c r="N2010" s="21">
        <v>2.8199999999999998</v>
      </c>
      <c r="O2010" s="22">
        <v>0</v>
      </c>
    </row>
    <row r="2011" ht="38.25">
      <c r="A2011" t="s">
        <v>2030</v>
      </c>
      <c r="B2011" s="19">
        <v>89274</v>
      </c>
      <c r="C2011" s="20" t="s">
        <v>2065</v>
      </c>
      <c r="D2011" s="19" t="s">
        <v>2032</v>
      </c>
      <c r="E2011" s="21">
        <f t="shared" si="92"/>
        <v>1.5700000000000001</v>
      </c>
      <c r="F2011" s="22">
        <v>1</v>
      </c>
      <c r="G2011" s="21">
        <f t="shared" si="93"/>
        <v>1.5700000000000001</v>
      </c>
      <c r="H2011" s="22">
        <v>1</v>
      </c>
      <c r="I2011" s="23" t="str">
        <f t="shared" si="94"/>
        <v xml:space="preserve">COM VALOR</v>
      </c>
      <c r="J2011" s="19"/>
      <c r="L2011" s="21">
        <v>1.5700000000000001</v>
      </c>
      <c r="M2011" s="22">
        <v>0</v>
      </c>
      <c r="N2011" s="21">
        <v>1.5700000000000001</v>
      </c>
      <c r="O2011" s="22">
        <v>0</v>
      </c>
    </row>
    <row r="2012" ht="38.25">
      <c r="A2012" t="s">
        <v>2030</v>
      </c>
      <c r="B2012" s="19">
        <v>89275</v>
      </c>
      <c r="C2012" s="20" t="s">
        <v>2066</v>
      </c>
      <c r="D2012" s="19" t="s">
        <v>2032</v>
      </c>
      <c r="E2012" s="21">
        <f t="shared" si="92"/>
        <v>0.35999999999999999</v>
      </c>
      <c r="F2012" s="22">
        <v>1</v>
      </c>
      <c r="G2012" s="21">
        <f t="shared" si="93"/>
        <v>0.35999999999999999</v>
      </c>
      <c r="H2012" s="22">
        <v>1</v>
      </c>
      <c r="I2012" s="23" t="str">
        <f t="shared" si="94"/>
        <v xml:space="preserve">COM VALOR</v>
      </c>
      <c r="J2012" s="19"/>
      <c r="L2012" s="21">
        <v>0.35999999999999999</v>
      </c>
      <c r="M2012" s="22">
        <v>0</v>
      </c>
      <c r="N2012" s="21">
        <v>0.35999999999999999</v>
      </c>
      <c r="O2012" s="22">
        <v>0</v>
      </c>
    </row>
    <row r="2013" ht="38.25">
      <c r="A2013" t="s">
        <v>2030</v>
      </c>
      <c r="B2013" s="19">
        <v>89276</v>
      </c>
      <c r="C2013" s="20" t="s">
        <v>2067</v>
      </c>
      <c r="D2013" s="19" t="s">
        <v>2032</v>
      </c>
      <c r="E2013" s="21">
        <f t="shared" si="92"/>
        <v>1.97</v>
      </c>
      <c r="F2013" s="22">
        <v>1</v>
      </c>
      <c r="G2013" s="21">
        <f t="shared" si="93"/>
        <v>1.97</v>
      </c>
      <c r="H2013" s="22">
        <v>1</v>
      </c>
      <c r="I2013" s="23" t="str">
        <f t="shared" si="94"/>
        <v xml:space="preserve">COM VALOR</v>
      </c>
      <c r="J2013" s="19"/>
      <c r="L2013" s="21">
        <v>1.97</v>
      </c>
      <c r="M2013" s="22">
        <v>0</v>
      </c>
      <c r="N2013" s="21">
        <v>1.97</v>
      </c>
      <c r="O2013" s="22">
        <v>0</v>
      </c>
    </row>
    <row r="2014" ht="38.25">
      <c r="A2014" t="s">
        <v>2030</v>
      </c>
      <c r="B2014" s="19">
        <v>89277</v>
      </c>
      <c r="C2014" s="20" t="s">
        <v>2068</v>
      </c>
      <c r="D2014" s="19" t="s">
        <v>2032</v>
      </c>
      <c r="E2014" s="21">
        <f t="shared" si="92"/>
        <v>9.5</v>
      </c>
      <c r="F2014" s="22">
        <v>1</v>
      </c>
      <c r="G2014" s="21">
        <f t="shared" si="93"/>
        <v>9.5</v>
      </c>
      <c r="H2014" s="22">
        <v>1</v>
      </c>
      <c r="I2014" s="23" t="str">
        <f t="shared" si="94"/>
        <v xml:space="preserve">COM VALOR</v>
      </c>
      <c r="J2014" s="19"/>
      <c r="L2014" s="21">
        <v>9.5</v>
      </c>
      <c r="M2014" s="22">
        <v>0</v>
      </c>
      <c r="N2014" s="21">
        <v>9.5</v>
      </c>
      <c r="O2014" s="22">
        <v>0</v>
      </c>
    </row>
    <row r="2015" ht="38.25">
      <c r="A2015" t="s">
        <v>2030</v>
      </c>
      <c r="B2015" s="19">
        <v>90646</v>
      </c>
      <c r="C2015" s="20" t="s">
        <v>2069</v>
      </c>
      <c r="D2015" s="19" t="s">
        <v>2032</v>
      </c>
      <c r="E2015" s="21">
        <f t="shared" si="92"/>
        <v>0.76000000000000001</v>
      </c>
      <c r="F2015" s="22">
        <v>0</v>
      </c>
      <c r="G2015" s="21">
        <f t="shared" si="93"/>
        <v>0.76000000000000001</v>
      </c>
      <c r="H2015" s="22">
        <v>0</v>
      </c>
      <c r="I2015" s="23" t="str">
        <f t="shared" si="94"/>
        <v xml:space="preserve">COM VALOR</v>
      </c>
      <c r="J2015" s="19"/>
      <c r="L2015" s="21">
        <v>0.76000000000000001</v>
      </c>
      <c r="M2015" s="22">
        <v>0</v>
      </c>
      <c r="N2015" s="21">
        <v>0.76000000000000001</v>
      </c>
      <c r="O2015" s="22">
        <v>0</v>
      </c>
    </row>
    <row r="2016" ht="38.25">
      <c r="A2016" t="s">
        <v>2030</v>
      </c>
      <c r="B2016" s="19">
        <v>90647</v>
      </c>
      <c r="C2016" s="20" t="s">
        <v>2070</v>
      </c>
      <c r="D2016" s="19" t="s">
        <v>2032</v>
      </c>
      <c r="E2016" s="21">
        <f t="shared" si="92"/>
        <v>0.17000000000000001</v>
      </c>
      <c r="F2016" s="22">
        <v>0.13</v>
      </c>
      <c r="G2016" s="21">
        <f t="shared" si="93"/>
        <v>0.17000000000000001</v>
      </c>
      <c r="H2016" s="22">
        <v>0.13</v>
      </c>
      <c r="I2016" s="23" t="str">
        <f t="shared" si="94"/>
        <v xml:space="preserve">COM VALOR</v>
      </c>
      <c r="J2016" s="19"/>
      <c r="L2016" s="21">
        <v>0.17000000000000001</v>
      </c>
      <c r="M2016" s="22">
        <v>0</v>
      </c>
      <c r="N2016" s="21">
        <v>0.17000000000000001</v>
      </c>
      <c r="O2016" s="22">
        <v>0</v>
      </c>
    </row>
    <row r="2017" ht="38.25">
      <c r="A2017" t="s">
        <v>2030</v>
      </c>
      <c r="B2017" s="19">
        <v>90648</v>
      </c>
      <c r="C2017" s="20" t="s">
        <v>2071</v>
      </c>
      <c r="D2017" s="19" t="s">
        <v>2032</v>
      </c>
      <c r="E2017" s="21">
        <f t="shared" si="92"/>
        <v>0.82999999999999996</v>
      </c>
      <c r="F2017" s="22">
        <v>0.11</v>
      </c>
      <c r="G2017" s="21">
        <f t="shared" si="93"/>
        <v>0.82999999999999996</v>
      </c>
      <c r="H2017" s="22">
        <v>0.11</v>
      </c>
      <c r="I2017" s="23" t="str">
        <f t="shared" si="94"/>
        <v xml:space="preserve">COM VALOR</v>
      </c>
      <c r="J2017" s="19"/>
      <c r="L2017" s="21">
        <v>0.82999999999999996</v>
      </c>
      <c r="M2017" s="22">
        <v>0</v>
      </c>
      <c r="N2017" s="21">
        <v>0.82999999999999996</v>
      </c>
      <c r="O2017" s="22">
        <v>0</v>
      </c>
    </row>
    <row r="2018" ht="38.25">
      <c r="A2018" t="s">
        <v>2030</v>
      </c>
      <c r="B2018" s="19">
        <v>90649</v>
      </c>
      <c r="C2018" s="20" t="s">
        <v>2072</v>
      </c>
      <c r="D2018" s="19" t="s">
        <v>2032</v>
      </c>
      <c r="E2018" s="21">
        <f t="shared" si="92"/>
        <v>10.93</v>
      </c>
      <c r="F2018" s="22">
        <v>0.11</v>
      </c>
      <c r="G2018" s="21">
        <f t="shared" si="93"/>
        <v>10.93</v>
      </c>
      <c r="H2018" s="22">
        <v>0.11</v>
      </c>
      <c r="I2018" s="23" t="str">
        <f t="shared" si="94"/>
        <v xml:space="preserve">COM VALOR</v>
      </c>
      <c r="J2018" s="19"/>
      <c r="L2018" s="21">
        <v>10.93</v>
      </c>
      <c r="M2018" s="22">
        <v>0</v>
      </c>
      <c r="N2018" s="21">
        <v>10.93</v>
      </c>
      <c r="O2018" s="22">
        <v>0</v>
      </c>
    </row>
    <row r="2019" ht="25.5">
      <c r="A2019" t="s">
        <v>2030</v>
      </c>
      <c r="B2019" s="19">
        <v>106096</v>
      </c>
      <c r="C2019" s="20" t="s">
        <v>2073</v>
      </c>
      <c r="D2019" s="19" t="s">
        <v>2032</v>
      </c>
      <c r="E2019" s="21" t="str">
        <f t="shared" si="92"/>
        <v>VERIFICAR</v>
      </c>
      <c r="F2019" s="22">
        <v>8.9999999999999997e-002</v>
      </c>
      <c r="G2019" s="21" t="str">
        <f t="shared" si="93"/>
        <v>VERIFICAR</v>
      </c>
      <c r="H2019" s="22">
        <v>8.9999999999999997e-002</v>
      </c>
      <c r="I2019" s="23" t="str">
        <f t="shared" si="94"/>
        <v xml:space="preserve">COM VALOR</v>
      </c>
      <c r="J2019" s="19"/>
      <c r="L2019" s="21">
        <v>0</v>
      </c>
      <c r="M2019" s="22"/>
      <c r="N2019" s="21">
        <v>0</v>
      </c>
      <c r="O2019" s="22"/>
    </row>
    <row r="2020" ht="25.5">
      <c r="A2020" t="s">
        <v>2030</v>
      </c>
      <c r="B2020" s="19">
        <v>106097</v>
      </c>
      <c r="C2020" s="20" t="s">
        <v>2074</v>
      </c>
      <c r="D2020" s="19" t="s">
        <v>2032</v>
      </c>
      <c r="E2020" s="21" t="str">
        <f t="shared" si="92"/>
        <v>VERIFICAR</v>
      </c>
      <c r="F2020" s="22">
        <v>0</v>
      </c>
      <c r="G2020" s="21" t="str">
        <f t="shared" si="93"/>
        <v>VERIFICAR</v>
      </c>
      <c r="H2020" s="22">
        <v>0</v>
      </c>
      <c r="I2020" s="23" t="str">
        <f t="shared" si="94"/>
        <v xml:space="preserve">COM VALOR</v>
      </c>
      <c r="J2020" s="19"/>
      <c r="L2020" s="21">
        <v>0</v>
      </c>
      <c r="M2020" s="22"/>
      <c r="N2020" s="21">
        <v>0</v>
      </c>
      <c r="O2020" s="22"/>
    </row>
    <row r="2021" ht="25.5">
      <c r="A2021" t="s">
        <v>2030</v>
      </c>
      <c r="B2021" s="19">
        <v>106098</v>
      </c>
      <c r="C2021" s="20" t="s">
        <v>2075</v>
      </c>
      <c r="D2021" s="19" t="s">
        <v>2032</v>
      </c>
      <c r="E2021" s="21" t="str">
        <f t="shared" si="92"/>
        <v>VERIFICAR</v>
      </c>
      <c r="F2021" s="22">
        <v>0.12</v>
      </c>
      <c r="G2021" s="21" t="str">
        <f t="shared" si="93"/>
        <v>VERIFICAR</v>
      </c>
      <c r="H2021" s="22">
        <v>0.12</v>
      </c>
      <c r="I2021" s="23" t="str">
        <f t="shared" si="94"/>
        <v xml:space="preserve">COM VALOR</v>
      </c>
      <c r="J2021" s="19"/>
      <c r="L2021" s="21">
        <v>0</v>
      </c>
      <c r="M2021" s="22"/>
      <c r="N2021" s="21">
        <v>0</v>
      </c>
      <c r="O2021" s="22"/>
    </row>
    <row r="2022" ht="25.5">
      <c r="A2022" t="s">
        <v>2030</v>
      </c>
      <c r="B2022" s="19">
        <v>106099</v>
      </c>
      <c r="C2022" s="20" t="s">
        <v>2076</v>
      </c>
      <c r="D2022" s="19" t="s">
        <v>2032</v>
      </c>
      <c r="E2022" s="21">
        <f t="shared" si="92"/>
        <v>1.1799999999999999</v>
      </c>
      <c r="F2022" s="22">
        <v>0.10000000000000001</v>
      </c>
      <c r="G2022" s="21">
        <f t="shared" si="93"/>
        <v>1.1799999999999999</v>
      </c>
      <c r="H2022" s="22">
        <v>0.10000000000000001</v>
      </c>
      <c r="I2022" s="23" t="str">
        <f t="shared" si="94"/>
        <v xml:space="preserve">COM VALOR</v>
      </c>
      <c r="J2022" s="19"/>
      <c r="L2022" s="21">
        <v>1.1799999999999999</v>
      </c>
      <c r="M2022" s="22">
        <v>0</v>
      </c>
      <c r="N2022" s="21">
        <v>1.1799999999999999</v>
      </c>
      <c r="O2022" s="22">
        <v>0</v>
      </c>
    </row>
    <row r="2023" ht="25.5">
      <c r="A2023" t="s">
        <v>2030</v>
      </c>
      <c r="B2023" s="19">
        <v>90652</v>
      </c>
      <c r="C2023" s="20" t="s">
        <v>2077</v>
      </c>
      <c r="D2023" s="19" t="s">
        <v>2032</v>
      </c>
      <c r="E2023" s="21">
        <f t="shared" si="92"/>
        <v>3.8900000000000001</v>
      </c>
      <c r="F2023" s="22">
        <v>0.10000000000000001</v>
      </c>
      <c r="G2023" s="21">
        <f t="shared" si="93"/>
        <v>3.8900000000000001</v>
      </c>
      <c r="H2023" s="22">
        <v>0.10000000000000001</v>
      </c>
      <c r="I2023" s="23" t="str">
        <f t="shared" si="94"/>
        <v xml:space="preserve">COM VALOR</v>
      </c>
      <c r="J2023" s="19"/>
      <c r="L2023" s="21">
        <v>3.8900000000000001</v>
      </c>
      <c r="M2023" s="22">
        <v>0</v>
      </c>
      <c r="N2023" s="21">
        <v>3.8900000000000001</v>
      </c>
      <c r="O2023" s="22">
        <v>0</v>
      </c>
    </row>
    <row r="2024" ht="25.5">
      <c r="A2024" t="s">
        <v>2030</v>
      </c>
      <c r="B2024" s="19">
        <v>90653</v>
      </c>
      <c r="C2024" s="20" t="s">
        <v>2078</v>
      </c>
      <c r="D2024" s="19" t="s">
        <v>2032</v>
      </c>
      <c r="E2024" s="21">
        <f t="shared" si="92"/>
        <v>0.90000000000000002</v>
      </c>
      <c r="F2024" s="22">
        <v>8.0000000000000002e-002</v>
      </c>
      <c r="G2024" s="21">
        <f t="shared" si="93"/>
        <v>0.90000000000000002</v>
      </c>
      <c r="H2024" s="22">
        <v>8.0000000000000002e-002</v>
      </c>
      <c r="I2024" s="23" t="str">
        <f t="shared" si="94"/>
        <v xml:space="preserve">COM VALOR</v>
      </c>
      <c r="J2024" s="19"/>
      <c r="L2024" s="21">
        <v>0.90000000000000002</v>
      </c>
      <c r="M2024" s="22">
        <v>0</v>
      </c>
      <c r="N2024" s="21">
        <v>0.90000000000000002</v>
      </c>
      <c r="O2024" s="22">
        <v>0</v>
      </c>
    </row>
    <row r="2025" ht="25.5">
      <c r="A2025" t="s">
        <v>2030</v>
      </c>
      <c r="B2025" s="19">
        <v>90654</v>
      </c>
      <c r="C2025" s="20" t="s">
        <v>2079</v>
      </c>
      <c r="D2025" s="19" t="s">
        <v>2032</v>
      </c>
      <c r="E2025" s="21">
        <f t="shared" si="92"/>
        <v>4.25</v>
      </c>
      <c r="F2025" s="22">
        <v>0</v>
      </c>
      <c r="G2025" s="21">
        <f t="shared" si="93"/>
        <v>4.25</v>
      </c>
      <c r="H2025" s="22">
        <v>0</v>
      </c>
      <c r="I2025" s="23" t="str">
        <f t="shared" si="94"/>
        <v xml:space="preserve">COM VALOR</v>
      </c>
      <c r="J2025" s="19"/>
      <c r="L2025" s="21">
        <v>4.25</v>
      </c>
      <c r="M2025" s="22">
        <v>0</v>
      </c>
      <c r="N2025" s="21">
        <v>4.25</v>
      </c>
      <c r="O2025" s="22">
        <v>0</v>
      </c>
    </row>
    <row r="2026" ht="25.5">
      <c r="A2026" t="s">
        <v>2030</v>
      </c>
      <c r="B2026" s="19">
        <v>90655</v>
      </c>
      <c r="C2026" s="20" t="s">
        <v>2080</v>
      </c>
      <c r="D2026" s="19" t="s">
        <v>2032</v>
      </c>
      <c r="E2026" s="21">
        <f t="shared" si="92"/>
        <v>7.1900000000000004</v>
      </c>
      <c r="F2026" s="22">
        <v>0</v>
      </c>
      <c r="G2026" s="21">
        <f t="shared" si="93"/>
        <v>7.1900000000000004</v>
      </c>
      <c r="H2026" s="22">
        <v>0</v>
      </c>
      <c r="I2026" s="23" t="str">
        <f t="shared" si="94"/>
        <v xml:space="preserve">COM VALOR</v>
      </c>
      <c r="J2026" s="19"/>
      <c r="L2026" s="21">
        <v>7.1900000000000004</v>
      </c>
      <c r="M2026" s="22">
        <v>0</v>
      </c>
      <c r="N2026" s="21">
        <v>7.1900000000000004</v>
      </c>
      <c r="O2026" s="22">
        <v>0</v>
      </c>
    </row>
    <row r="2027" ht="25.5">
      <c r="A2027" t="s">
        <v>2030</v>
      </c>
      <c r="B2027" s="19">
        <v>90658</v>
      </c>
      <c r="C2027" s="20" t="s">
        <v>2081</v>
      </c>
      <c r="D2027" s="19" t="s">
        <v>2032</v>
      </c>
      <c r="E2027" s="21">
        <f t="shared" si="92"/>
        <v>4.1699999999999999</v>
      </c>
      <c r="F2027" s="22">
        <v>1</v>
      </c>
      <c r="G2027" s="21">
        <f t="shared" si="93"/>
        <v>4.1699999999999999</v>
      </c>
      <c r="H2027" s="22">
        <v>1</v>
      </c>
      <c r="I2027" s="23" t="str">
        <f t="shared" si="94"/>
        <v xml:space="preserve">COM VALOR</v>
      </c>
      <c r="J2027" s="19"/>
      <c r="L2027" s="21">
        <v>4.1699999999999999</v>
      </c>
      <c r="M2027" s="22">
        <v>0</v>
      </c>
      <c r="N2027" s="21">
        <v>4.1699999999999999</v>
      </c>
      <c r="O2027" s="22">
        <v>0</v>
      </c>
    </row>
    <row r="2028" ht="25.5">
      <c r="A2028" t="s">
        <v>2030</v>
      </c>
      <c r="B2028" s="19">
        <v>90659</v>
      </c>
      <c r="C2028" s="20" t="s">
        <v>2082</v>
      </c>
      <c r="D2028" s="19" t="s">
        <v>2032</v>
      </c>
      <c r="E2028" s="21">
        <f t="shared" si="92"/>
        <v>0.95999999999999996</v>
      </c>
      <c r="F2028" s="22">
        <v>1</v>
      </c>
      <c r="G2028" s="21">
        <f t="shared" si="93"/>
        <v>0.95999999999999996</v>
      </c>
      <c r="H2028" s="22">
        <v>1</v>
      </c>
      <c r="I2028" s="23" t="str">
        <f t="shared" si="94"/>
        <v xml:space="preserve">COM VALOR</v>
      </c>
      <c r="J2028" s="19"/>
      <c r="L2028" s="21">
        <v>0.95999999999999996</v>
      </c>
      <c r="M2028" s="22">
        <v>0</v>
      </c>
      <c r="N2028" s="21">
        <v>0.95999999999999996</v>
      </c>
      <c r="O2028" s="22">
        <v>0</v>
      </c>
    </row>
    <row r="2029" ht="25.5">
      <c r="A2029" t="s">
        <v>2030</v>
      </c>
      <c r="B2029" s="19">
        <v>90660</v>
      </c>
      <c r="C2029" s="20" t="s">
        <v>2083</v>
      </c>
      <c r="D2029" s="19" t="s">
        <v>2032</v>
      </c>
      <c r="E2029" s="21">
        <f t="shared" si="92"/>
        <v>4.5599999999999996</v>
      </c>
      <c r="F2029" s="22">
        <v>1</v>
      </c>
      <c r="G2029" s="21">
        <f t="shared" si="93"/>
        <v>4.5599999999999996</v>
      </c>
      <c r="H2029" s="22">
        <v>1</v>
      </c>
      <c r="I2029" s="23" t="str">
        <f t="shared" si="94"/>
        <v xml:space="preserve">COM VALOR</v>
      </c>
      <c r="J2029" s="19"/>
      <c r="L2029" s="21">
        <v>4.5599999999999996</v>
      </c>
      <c r="M2029" s="22">
        <v>0</v>
      </c>
      <c r="N2029" s="21">
        <v>4.5599999999999996</v>
      </c>
      <c r="O2029" s="22">
        <v>0</v>
      </c>
    </row>
    <row r="2030" ht="25.5">
      <c r="A2030" t="s">
        <v>2030</v>
      </c>
      <c r="B2030" s="19">
        <v>90661</v>
      </c>
      <c r="C2030" s="20" t="s">
        <v>2084</v>
      </c>
      <c r="D2030" s="19" t="s">
        <v>2032</v>
      </c>
      <c r="E2030" s="21">
        <f t="shared" si="92"/>
        <v>7.1900000000000004</v>
      </c>
      <c r="F2030" s="22">
        <v>1</v>
      </c>
      <c r="G2030" s="21">
        <f t="shared" si="93"/>
        <v>7.1900000000000004</v>
      </c>
      <c r="H2030" s="22">
        <v>1</v>
      </c>
      <c r="I2030" s="23" t="str">
        <f t="shared" si="94"/>
        <v xml:space="preserve">COM VALOR</v>
      </c>
      <c r="J2030" s="19"/>
      <c r="L2030" s="21">
        <v>7.1900000000000004</v>
      </c>
      <c r="M2030" s="22">
        <v>0</v>
      </c>
      <c r="N2030" s="21">
        <v>7.1900000000000004</v>
      </c>
      <c r="O2030" s="22">
        <v>0</v>
      </c>
    </row>
    <row r="2031" ht="38.25">
      <c r="A2031" t="s">
        <v>2030</v>
      </c>
      <c r="B2031" s="19">
        <v>89019</v>
      </c>
      <c r="C2031" s="20" t="s">
        <v>2085</v>
      </c>
      <c r="D2031" s="19" t="s">
        <v>2032</v>
      </c>
      <c r="E2031" s="21">
        <f t="shared" si="92"/>
        <v>0.57999999999999996</v>
      </c>
      <c r="F2031" s="22">
        <v>1</v>
      </c>
      <c r="G2031" s="21">
        <f t="shared" si="93"/>
        <v>0.57999999999999996</v>
      </c>
      <c r="H2031" s="22">
        <v>1</v>
      </c>
      <c r="I2031" s="23" t="str">
        <f t="shared" si="94"/>
        <v xml:space="preserve">COM VALOR</v>
      </c>
      <c r="J2031" s="19"/>
      <c r="L2031" s="21">
        <v>0.57999999999999996</v>
      </c>
      <c r="M2031" s="22">
        <v>0</v>
      </c>
      <c r="N2031" s="21">
        <v>0.57999999999999996</v>
      </c>
      <c r="O2031" s="22">
        <v>0</v>
      </c>
    </row>
    <row r="2032" ht="38.25">
      <c r="A2032" t="s">
        <v>2030</v>
      </c>
      <c r="B2032" s="19">
        <v>89020</v>
      </c>
      <c r="C2032" s="20" t="s">
        <v>2086</v>
      </c>
      <c r="D2032" s="19" t="s">
        <v>2032</v>
      </c>
      <c r="E2032" s="21">
        <f t="shared" si="92"/>
        <v>0.13</v>
      </c>
      <c r="F2032" s="22">
        <v>1</v>
      </c>
      <c r="G2032" s="21">
        <f t="shared" si="93"/>
        <v>0.13</v>
      </c>
      <c r="H2032" s="22">
        <v>1</v>
      </c>
      <c r="I2032" s="23" t="str">
        <f t="shared" si="94"/>
        <v xml:space="preserve">COM VALOR</v>
      </c>
      <c r="J2032" s="19"/>
      <c r="L2032" s="21">
        <v>0.13</v>
      </c>
      <c r="M2032" s="22">
        <v>0</v>
      </c>
      <c r="N2032" s="21">
        <v>0.13</v>
      </c>
      <c r="O2032" s="22">
        <v>0</v>
      </c>
    </row>
    <row r="2033" ht="38.25">
      <c r="A2033" t="s">
        <v>2030</v>
      </c>
      <c r="B2033" s="19">
        <v>5800</v>
      </c>
      <c r="C2033" s="20" t="s">
        <v>2087</v>
      </c>
      <c r="D2033" s="19" t="s">
        <v>2032</v>
      </c>
      <c r="E2033" s="21">
        <f t="shared" si="92"/>
        <v>0.63</v>
      </c>
      <c r="F2033" s="22">
        <v>1</v>
      </c>
      <c r="G2033" s="21">
        <f t="shared" si="93"/>
        <v>0.63</v>
      </c>
      <c r="H2033" s="22">
        <v>1</v>
      </c>
      <c r="I2033" s="23" t="str">
        <f t="shared" si="94"/>
        <v xml:space="preserve">COM VALOR</v>
      </c>
      <c r="J2033" s="19"/>
      <c r="L2033" s="21">
        <v>0.63</v>
      </c>
      <c r="M2033" s="22">
        <v>0</v>
      </c>
      <c r="N2033" s="21">
        <v>0.63</v>
      </c>
      <c r="O2033" s="22">
        <v>0</v>
      </c>
    </row>
    <row r="2034" ht="38.25">
      <c r="A2034" t="s">
        <v>2030</v>
      </c>
      <c r="B2034" s="19">
        <v>53866</v>
      </c>
      <c r="C2034" s="20" t="s">
        <v>2088</v>
      </c>
      <c r="D2034" s="19" t="s">
        <v>2032</v>
      </c>
      <c r="E2034" s="21">
        <f t="shared" si="92"/>
        <v>2.1600000000000001</v>
      </c>
      <c r="F2034" s="22">
        <v>1</v>
      </c>
      <c r="G2034" s="21">
        <f t="shared" si="93"/>
        <v>2.1600000000000001</v>
      </c>
      <c r="H2034" s="22">
        <v>1</v>
      </c>
      <c r="I2034" s="23" t="str">
        <f t="shared" si="94"/>
        <v xml:space="preserve">COM VALOR</v>
      </c>
      <c r="J2034" s="19"/>
      <c r="L2034" s="21">
        <v>2.1600000000000001</v>
      </c>
      <c r="M2034" s="22">
        <v>0</v>
      </c>
      <c r="N2034" s="21">
        <v>2.1600000000000001</v>
      </c>
      <c r="O2034" s="22">
        <v>0</v>
      </c>
    </row>
    <row r="2035" ht="38.25">
      <c r="A2035" t="s">
        <v>2030</v>
      </c>
      <c r="B2035" s="19">
        <v>90639</v>
      </c>
      <c r="C2035" s="20" t="s">
        <v>2089</v>
      </c>
      <c r="D2035" s="19" t="s">
        <v>2032</v>
      </c>
      <c r="E2035" s="21">
        <f t="shared" si="92"/>
        <v>5.9800000000000004</v>
      </c>
      <c r="F2035" s="22">
        <v>0</v>
      </c>
      <c r="G2035" s="21">
        <f t="shared" si="93"/>
        <v>5.9800000000000004</v>
      </c>
      <c r="H2035" s="22">
        <v>0</v>
      </c>
      <c r="I2035" s="23" t="str">
        <f t="shared" si="94"/>
        <v xml:space="preserve">COM VALOR</v>
      </c>
      <c r="J2035" s="19"/>
      <c r="L2035" s="21">
        <v>5.9800000000000004</v>
      </c>
      <c r="M2035" s="22">
        <v>0</v>
      </c>
      <c r="N2035" s="21">
        <v>5.9800000000000004</v>
      </c>
      <c r="O2035" s="22">
        <v>0</v>
      </c>
    </row>
    <row r="2036" ht="38.25">
      <c r="A2036" t="s">
        <v>2030</v>
      </c>
      <c r="B2036" s="19">
        <v>90640</v>
      </c>
      <c r="C2036" s="20" t="s">
        <v>2090</v>
      </c>
      <c r="D2036" s="19" t="s">
        <v>2032</v>
      </c>
      <c r="E2036" s="21">
        <f t="shared" si="92"/>
        <v>1.3799999999999999</v>
      </c>
      <c r="F2036" s="22">
        <v>1</v>
      </c>
      <c r="G2036" s="21">
        <f t="shared" si="93"/>
        <v>1.3799999999999999</v>
      </c>
      <c r="H2036" s="22">
        <v>1</v>
      </c>
      <c r="I2036" s="23" t="str">
        <f t="shared" si="94"/>
        <v xml:space="preserve">COM VALOR</v>
      </c>
      <c r="J2036" s="19"/>
      <c r="L2036" s="21">
        <v>1.3799999999999999</v>
      </c>
      <c r="M2036" s="22">
        <v>0</v>
      </c>
      <c r="N2036" s="21">
        <v>1.3799999999999999</v>
      </c>
      <c r="O2036" s="22">
        <v>0</v>
      </c>
    </row>
    <row r="2037" ht="38.25">
      <c r="A2037" t="s">
        <v>2030</v>
      </c>
      <c r="B2037" s="19">
        <v>90641</v>
      </c>
      <c r="C2037" s="20" t="s">
        <v>2091</v>
      </c>
      <c r="D2037" s="19" t="s">
        <v>2032</v>
      </c>
      <c r="E2037" s="21">
        <f t="shared" si="92"/>
        <v>6.54</v>
      </c>
      <c r="F2037" s="22">
        <v>1</v>
      </c>
      <c r="G2037" s="21">
        <f t="shared" si="93"/>
        <v>6.54</v>
      </c>
      <c r="H2037" s="22">
        <v>1</v>
      </c>
      <c r="I2037" s="23" t="str">
        <f t="shared" si="94"/>
        <v xml:space="preserve">COM VALOR</v>
      </c>
      <c r="J2037" s="19"/>
      <c r="L2037" s="21">
        <v>6.54</v>
      </c>
      <c r="M2037" s="22">
        <v>0</v>
      </c>
      <c r="N2037" s="21">
        <v>6.54</v>
      </c>
      <c r="O2037" s="22">
        <v>0</v>
      </c>
    </row>
    <row r="2038" ht="38.25">
      <c r="A2038" t="s">
        <v>2030</v>
      </c>
      <c r="B2038" s="19">
        <v>90642</v>
      </c>
      <c r="C2038" s="20" t="s">
        <v>2092</v>
      </c>
      <c r="D2038" s="19" t="s">
        <v>2032</v>
      </c>
      <c r="E2038" s="21">
        <f t="shared" si="92"/>
        <v>14.25</v>
      </c>
      <c r="F2038" s="22">
        <v>1</v>
      </c>
      <c r="G2038" s="21">
        <f t="shared" si="93"/>
        <v>14.25</v>
      </c>
      <c r="H2038" s="22">
        <v>1</v>
      </c>
      <c r="I2038" s="23" t="str">
        <f t="shared" si="94"/>
        <v xml:space="preserve">COM VALOR</v>
      </c>
      <c r="J2038" s="19"/>
      <c r="L2038" s="21">
        <v>14.25</v>
      </c>
      <c r="M2038" s="22">
        <v>0</v>
      </c>
      <c r="N2038" s="21">
        <v>14.25</v>
      </c>
      <c r="O2038" s="22">
        <v>0</v>
      </c>
    </row>
    <row r="2039" ht="25.5">
      <c r="A2039" t="s">
        <v>2030</v>
      </c>
      <c r="B2039" s="19">
        <v>102806</v>
      </c>
      <c r="C2039" s="20" t="s">
        <v>2093</v>
      </c>
      <c r="D2039" s="19" t="s">
        <v>2032</v>
      </c>
      <c r="E2039" s="21" t="str">
        <f t="shared" si="92"/>
        <v>VERIFICAR</v>
      </c>
      <c r="F2039" s="22">
        <v>1</v>
      </c>
      <c r="G2039" s="21" t="str">
        <f t="shared" si="93"/>
        <v>VERIFICAR</v>
      </c>
      <c r="H2039" s="22">
        <v>1</v>
      </c>
      <c r="I2039" s="23" t="str">
        <f t="shared" si="94"/>
        <v xml:space="preserve">COM VALOR</v>
      </c>
      <c r="J2039" s="19"/>
      <c r="L2039" s="21">
        <v>0</v>
      </c>
      <c r="M2039" s="22"/>
      <c r="N2039" s="21">
        <v>0</v>
      </c>
      <c r="O2039" s="22"/>
    </row>
    <row r="2040" ht="25.5">
      <c r="A2040" t="s">
        <v>2030</v>
      </c>
      <c r="B2040" s="19">
        <v>102807</v>
      </c>
      <c r="C2040" s="20" t="s">
        <v>2094</v>
      </c>
      <c r="D2040" s="19" t="s">
        <v>2032</v>
      </c>
      <c r="E2040" s="21" t="str">
        <f t="shared" si="92"/>
        <v>VERIFICAR</v>
      </c>
      <c r="F2040" s="22">
        <v>0</v>
      </c>
      <c r="G2040" s="21" t="str">
        <f t="shared" si="93"/>
        <v>VERIFICAR</v>
      </c>
      <c r="H2040" s="22">
        <v>0</v>
      </c>
      <c r="I2040" s="23" t="str">
        <f t="shared" si="94"/>
        <v xml:space="preserve">COM VALOR</v>
      </c>
      <c r="J2040" s="19"/>
      <c r="L2040" s="21">
        <v>0</v>
      </c>
      <c r="M2040" s="22"/>
      <c r="N2040" s="21">
        <v>0</v>
      </c>
      <c r="O2040" s="22"/>
    </row>
    <row r="2041" ht="25.5">
      <c r="A2041" t="s">
        <v>2030</v>
      </c>
      <c r="B2041" s="19">
        <v>102808</v>
      </c>
      <c r="C2041" s="20" t="s">
        <v>2095</v>
      </c>
      <c r="D2041" s="19" t="s">
        <v>2032</v>
      </c>
      <c r="E2041" s="21" t="str">
        <f t="shared" si="92"/>
        <v>VERIFICAR</v>
      </c>
      <c r="F2041" s="22"/>
      <c r="G2041" s="21" t="str">
        <f t="shared" si="93"/>
        <v>VERIFICAR</v>
      </c>
      <c r="H2041" s="22"/>
      <c r="I2041" s="23" t="str">
        <f t="shared" si="94"/>
        <v xml:space="preserve">COM VALOR</v>
      </c>
      <c r="J2041" s="19"/>
      <c r="L2041" s="21">
        <v>0</v>
      </c>
      <c r="M2041" s="22"/>
      <c r="N2041" s="21">
        <v>0</v>
      </c>
      <c r="O2041" s="22"/>
    </row>
    <row r="2042" ht="25.5">
      <c r="A2042" t="s">
        <v>2030</v>
      </c>
      <c r="B2042" s="19">
        <v>102809</v>
      </c>
      <c r="C2042" s="20" t="s">
        <v>2096</v>
      </c>
      <c r="D2042" s="19" t="s">
        <v>2032</v>
      </c>
      <c r="E2042" s="21">
        <f t="shared" si="92"/>
        <v>18.609999999999999</v>
      </c>
      <c r="F2042" s="22"/>
      <c r="G2042" s="21">
        <f t="shared" si="93"/>
        <v>18.609999999999999</v>
      </c>
      <c r="H2042" s="22"/>
      <c r="I2042" s="23" t="str">
        <f t="shared" si="94"/>
        <v xml:space="preserve">COM VALOR</v>
      </c>
      <c r="J2042" s="19"/>
      <c r="L2042" s="21">
        <v>18.609999999999999</v>
      </c>
      <c r="M2042" s="22">
        <v>0</v>
      </c>
      <c r="N2042" s="21">
        <v>18.609999999999999</v>
      </c>
      <c r="O2042" s="22">
        <v>0</v>
      </c>
    </row>
    <row r="2043" ht="25.5">
      <c r="A2043" t="s">
        <v>2030</v>
      </c>
      <c r="B2043" s="19">
        <v>92140</v>
      </c>
      <c r="C2043" s="20" t="s">
        <v>2097</v>
      </c>
      <c r="D2043" s="19" t="s">
        <v>2032</v>
      </c>
      <c r="E2043" s="21">
        <f t="shared" si="92"/>
        <v>4.8799999999999999</v>
      </c>
      <c r="F2043" s="22"/>
      <c r="G2043" s="21">
        <f t="shared" si="93"/>
        <v>4.8799999999999999</v>
      </c>
      <c r="H2043" s="22"/>
      <c r="I2043" s="23" t="str">
        <f t="shared" si="94"/>
        <v xml:space="preserve">COM VALOR</v>
      </c>
      <c r="J2043" s="19"/>
      <c r="L2043" s="21">
        <v>4.8799999999999999</v>
      </c>
      <c r="M2043" s="22">
        <v>0</v>
      </c>
      <c r="N2043" s="21">
        <v>4.8799999999999999</v>
      </c>
      <c r="O2043" s="22">
        <v>0</v>
      </c>
    </row>
    <row r="2044" ht="25.5">
      <c r="A2044" t="s">
        <v>2030</v>
      </c>
      <c r="B2044" s="19">
        <v>92142</v>
      </c>
      <c r="C2044" s="20" t="s">
        <v>2098</v>
      </c>
      <c r="D2044" s="19" t="s">
        <v>2032</v>
      </c>
      <c r="E2044" s="21">
        <f t="shared" si="92"/>
        <v>0.60999999999999999</v>
      </c>
      <c r="F2044" s="22"/>
      <c r="G2044" s="21">
        <f t="shared" si="93"/>
        <v>0.60999999999999999</v>
      </c>
      <c r="H2044" s="22"/>
      <c r="I2044" s="23" t="str">
        <f t="shared" si="94"/>
        <v xml:space="preserve">COM VALOR</v>
      </c>
      <c r="J2044" s="19"/>
      <c r="L2044" s="21">
        <v>0.60999999999999999</v>
      </c>
      <c r="M2044" s="22">
        <v>0</v>
      </c>
      <c r="N2044" s="21">
        <v>0.60999999999999999</v>
      </c>
      <c r="O2044" s="22">
        <v>0</v>
      </c>
    </row>
    <row r="2045" ht="25.5">
      <c r="A2045" t="s">
        <v>2030</v>
      </c>
      <c r="B2045" s="19">
        <v>92141</v>
      </c>
      <c r="C2045" s="20" t="s">
        <v>2099</v>
      </c>
      <c r="D2045" s="19" t="s">
        <v>2032</v>
      </c>
      <c r="E2045" s="21">
        <f t="shared" si="92"/>
        <v>1.5</v>
      </c>
      <c r="F2045" s="22">
        <v>0</v>
      </c>
      <c r="G2045" s="21">
        <f t="shared" si="93"/>
        <v>1.5</v>
      </c>
      <c r="H2045" s="22">
        <v>0</v>
      </c>
      <c r="I2045" s="23" t="str">
        <f t="shared" si="94"/>
        <v xml:space="preserve">COM VALOR</v>
      </c>
      <c r="J2045" s="19"/>
      <c r="L2045" s="21">
        <v>1.5</v>
      </c>
      <c r="M2045" s="22">
        <v>0</v>
      </c>
      <c r="N2045" s="21">
        <v>1.5</v>
      </c>
      <c r="O2045" s="22">
        <v>0</v>
      </c>
    </row>
    <row r="2046" ht="25.5">
      <c r="A2046" t="s">
        <v>2030</v>
      </c>
      <c r="B2046" s="19">
        <v>92143</v>
      </c>
      <c r="C2046" s="20" t="s">
        <v>2100</v>
      </c>
      <c r="D2046" s="19" t="s">
        <v>2032</v>
      </c>
      <c r="E2046" s="21">
        <f t="shared" si="92"/>
        <v>6.0999999999999996</v>
      </c>
      <c r="F2046" s="22">
        <v>1</v>
      </c>
      <c r="G2046" s="21">
        <f t="shared" si="93"/>
        <v>6.0999999999999996</v>
      </c>
      <c r="H2046" s="22">
        <v>1</v>
      </c>
      <c r="I2046" s="23" t="str">
        <f t="shared" si="94"/>
        <v xml:space="preserve">COM VALOR</v>
      </c>
      <c r="J2046" s="19"/>
      <c r="L2046" s="21">
        <v>6.0999999999999996</v>
      </c>
      <c r="M2046" s="22">
        <v>0</v>
      </c>
      <c r="N2046" s="21">
        <v>6.0999999999999996</v>
      </c>
      <c r="O2046" s="22">
        <v>0</v>
      </c>
    </row>
    <row r="2047" ht="25.5">
      <c r="A2047" t="s">
        <v>2030</v>
      </c>
      <c r="B2047" s="19">
        <v>92144</v>
      </c>
      <c r="C2047" s="20" t="s">
        <v>2101</v>
      </c>
      <c r="D2047" s="19" t="s">
        <v>2032</v>
      </c>
      <c r="E2047" s="21">
        <f t="shared" si="92"/>
        <v>42.140000000000001</v>
      </c>
      <c r="F2047" s="22">
        <v>1</v>
      </c>
      <c r="G2047" s="21">
        <f t="shared" si="93"/>
        <v>42.140000000000001</v>
      </c>
      <c r="H2047" s="22">
        <v>1</v>
      </c>
      <c r="I2047" s="23" t="str">
        <f t="shared" si="94"/>
        <v xml:space="preserve">COM VALOR</v>
      </c>
      <c r="J2047" s="19"/>
      <c r="L2047" s="21">
        <v>42.140000000000001</v>
      </c>
      <c r="M2047" s="22">
        <v>0</v>
      </c>
      <c r="N2047" s="21">
        <v>42.140000000000001</v>
      </c>
      <c r="O2047" s="22">
        <v>0</v>
      </c>
    </row>
    <row r="2048" ht="25.5">
      <c r="A2048" t="s">
        <v>2030</v>
      </c>
      <c r="B2048" s="19">
        <v>92133</v>
      </c>
      <c r="C2048" s="20" t="s">
        <v>2102</v>
      </c>
      <c r="D2048" s="19" t="s">
        <v>2032</v>
      </c>
      <c r="E2048" s="21">
        <f t="shared" si="92"/>
        <v>13.33</v>
      </c>
      <c r="F2048" s="22">
        <v>1</v>
      </c>
      <c r="G2048" s="21">
        <f t="shared" si="93"/>
        <v>13.33</v>
      </c>
      <c r="H2048" s="22">
        <v>1</v>
      </c>
      <c r="I2048" s="23" t="str">
        <f t="shared" si="94"/>
        <v xml:space="preserve">COM VALOR</v>
      </c>
      <c r="J2048" s="19"/>
      <c r="L2048" s="21">
        <v>13.33</v>
      </c>
      <c r="M2048" s="22">
        <v>0</v>
      </c>
      <c r="N2048" s="21">
        <v>13.33</v>
      </c>
      <c r="O2048" s="22">
        <v>0</v>
      </c>
    </row>
    <row r="2049" ht="25.5">
      <c r="A2049" t="s">
        <v>2030</v>
      </c>
      <c r="B2049" s="19">
        <v>92135</v>
      </c>
      <c r="C2049" s="20" t="s">
        <v>2103</v>
      </c>
      <c r="D2049" s="19" t="s">
        <v>2032</v>
      </c>
      <c r="E2049" s="21">
        <f t="shared" si="92"/>
        <v>1.6599999999999999</v>
      </c>
      <c r="F2049" s="22">
        <v>1</v>
      </c>
      <c r="G2049" s="21">
        <f t="shared" si="93"/>
        <v>1.6599999999999999</v>
      </c>
      <c r="H2049" s="22">
        <v>1</v>
      </c>
      <c r="I2049" s="23" t="str">
        <f t="shared" si="94"/>
        <v xml:space="preserve">COM VALOR</v>
      </c>
      <c r="J2049" s="19"/>
      <c r="L2049" s="21">
        <v>1.6599999999999999</v>
      </c>
      <c r="M2049" s="22">
        <v>0</v>
      </c>
      <c r="N2049" s="21">
        <v>1.6599999999999999</v>
      </c>
      <c r="O2049" s="22">
        <v>0</v>
      </c>
    </row>
    <row r="2050" ht="25.5">
      <c r="A2050" t="s">
        <v>2030</v>
      </c>
      <c r="B2050" s="19">
        <v>92134</v>
      </c>
      <c r="C2050" s="20" t="s">
        <v>2104</v>
      </c>
      <c r="D2050" s="19" t="s">
        <v>2032</v>
      </c>
      <c r="E2050" s="21">
        <f t="shared" si="92"/>
        <v>4.1100000000000003</v>
      </c>
      <c r="F2050" s="22">
        <v>0</v>
      </c>
      <c r="G2050" s="21">
        <f t="shared" si="93"/>
        <v>4.1100000000000003</v>
      </c>
      <c r="H2050" s="22">
        <v>0</v>
      </c>
      <c r="I2050" s="23" t="str">
        <f t="shared" si="94"/>
        <v xml:space="preserve">COM VALOR</v>
      </c>
      <c r="J2050" s="19"/>
      <c r="L2050" s="21">
        <v>4.1100000000000003</v>
      </c>
      <c r="M2050" s="22">
        <v>0</v>
      </c>
      <c r="N2050" s="21">
        <v>4.1100000000000003</v>
      </c>
      <c r="O2050" s="22">
        <v>0</v>
      </c>
    </row>
    <row r="2051" ht="25.5">
      <c r="A2051" t="s">
        <v>2030</v>
      </c>
      <c r="B2051" s="19">
        <v>92136</v>
      </c>
      <c r="C2051" s="20" t="s">
        <v>2105</v>
      </c>
      <c r="D2051" s="19" t="s">
        <v>2032</v>
      </c>
      <c r="E2051" s="21">
        <f t="shared" si="92"/>
        <v>16.66</v>
      </c>
      <c r="F2051" s="22">
        <v>1</v>
      </c>
      <c r="G2051" s="21">
        <f t="shared" si="93"/>
        <v>16.66</v>
      </c>
      <c r="H2051" s="22">
        <v>1</v>
      </c>
      <c r="I2051" s="23" t="str">
        <f t="shared" si="94"/>
        <v xml:space="preserve">COM VALOR</v>
      </c>
      <c r="J2051" s="19"/>
      <c r="L2051" s="21">
        <v>16.66</v>
      </c>
      <c r="M2051" s="22">
        <v>0</v>
      </c>
      <c r="N2051" s="21">
        <v>16.66</v>
      </c>
      <c r="O2051" s="22">
        <v>0</v>
      </c>
    </row>
    <row r="2052" ht="25.5">
      <c r="A2052" t="s">
        <v>2030</v>
      </c>
      <c r="B2052" s="19">
        <v>92137</v>
      </c>
      <c r="C2052" s="20" t="s">
        <v>2106</v>
      </c>
      <c r="D2052" s="19" t="s">
        <v>2032</v>
      </c>
      <c r="E2052" s="21">
        <f t="shared" si="92"/>
        <v>39.990000000000002</v>
      </c>
      <c r="F2052" s="22">
        <v>1</v>
      </c>
      <c r="G2052" s="21">
        <f t="shared" si="93"/>
        <v>39.990000000000002</v>
      </c>
      <c r="H2052" s="22">
        <v>1</v>
      </c>
      <c r="I2052" s="23" t="str">
        <f t="shared" si="94"/>
        <v xml:space="preserve">COM VALOR</v>
      </c>
      <c r="J2052" s="19"/>
      <c r="L2052" s="21">
        <v>39.990000000000002</v>
      </c>
      <c r="M2052" s="22">
        <v>0</v>
      </c>
      <c r="N2052" s="21">
        <v>39.990000000000002</v>
      </c>
      <c r="O2052" s="22">
        <v>0</v>
      </c>
    </row>
    <row r="2053" ht="51">
      <c r="A2053" t="s">
        <v>2030</v>
      </c>
      <c r="B2053" s="19">
        <v>91380</v>
      </c>
      <c r="C2053" s="20" t="s">
        <v>2107</v>
      </c>
      <c r="D2053" s="19" t="s">
        <v>2032</v>
      </c>
      <c r="E2053" s="21">
        <f t="shared" si="92"/>
        <v>30.41</v>
      </c>
      <c r="F2053" s="22">
        <v>1</v>
      </c>
      <c r="G2053" s="21">
        <f t="shared" si="93"/>
        <v>30.41</v>
      </c>
      <c r="H2053" s="22">
        <v>1</v>
      </c>
      <c r="I2053" s="23" t="str">
        <f t="shared" si="94"/>
        <v xml:space="preserve">COM VALOR</v>
      </c>
      <c r="J2053" s="19"/>
      <c r="L2053" s="21">
        <v>30.41</v>
      </c>
      <c r="M2053" s="22">
        <v>1</v>
      </c>
      <c r="N2053" s="21">
        <v>30.41</v>
      </c>
      <c r="O2053" s="22">
        <v>1</v>
      </c>
    </row>
    <row r="2054" ht="51">
      <c r="A2054" t="s">
        <v>2030</v>
      </c>
      <c r="B2054" s="19">
        <v>91382</v>
      </c>
      <c r="C2054" s="20" t="s">
        <v>2108</v>
      </c>
      <c r="D2054" s="19" t="s">
        <v>2032</v>
      </c>
      <c r="E2054" s="21">
        <f t="shared" si="92"/>
        <v>4.7199999999999998</v>
      </c>
      <c r="F2054" s="22">
        <v>1</v>
      </c>
      <c r="G2054" s="21">
        <f t="shared" si="93"/>
        <v>4.7199999999999998</v>
      </c>
      <c r="H2054" s="22">
        <v>1</v>
      </c>
      <c r="I2054" s="23" t="str">
        <f t="shared" si="94"/>
        <v xml:space="preserve">COM VALOR</v>
      </c>
      <c r="J2054" s="19"/>
      <c r="L2054" s="21">
        <v>4.7199999999999998</v>
      </c>
      <c r="M2054" s="22">
        <v>1</v>
      </c>
      <c r="N2054" s="21">
        <v>4.7199999999999998</v>
      </c>
      <c r="O2054" s="22">
        <v>1</v>
      </c>
    </row>
    <row r="2055" ht="51">
      <c r="A2055" t="s">
        <v>2030</v>
      </c>
      <c r="B2055" s="19">
        <v>91381</v>
      </c>
      <c r="C2055" s="20" t="s">
        <v>2109</v>
      </c>
      <c r="D2055" s="19" t="s">
        <v>2032</v>
      </c>
      <c r="E2055" s="21">
        <f t="shared" si="92"/>
        <v>11.699999999999999</v>
      </c>
      <c r="F2055" s="22">
        <v>0</v>
      </c>
      <c r="G2055" s="21">
        <f t="shared" si="93"/>
        <v>11.699999999999999</v>
      </c>
      <c r="H2055" s="22">
        <v>0</v>
      </c>
      <c r="I2055" s="23" t="str">
        <f t="shared" si="94"/>
        <v xml:space="preserve">COM VALOR</v>
      </c>
      <c r="J2055" s="19"/>
      <c r="L2055" s="21">
        <v>11.699999999999999</v>
      </c>
      <c r="M2055" s="22">
        <v>1</v>
      </c>
      <c r="N2055" s="21">
        <v>11.699999999999999</v>
      </c>
      <c r="O2055" s="22">
        <v>1</v>
      </c>
    </row>
    <row r="2056" ht="51">
      <c r="A2056" t="s">
        <v>2030</v>
      </c>
      <c r="B2056" s="19">
        <v>91383</v>
      </c>
      <c r="C2056" s="20" t="s">
        <v>2110</v>
      </c>
      <c r="D2056" s="19" t="s">
        <v>2032</v>
      </c>
      <c r="E2056" s="21">
        <f t="shared" si="92"/>
        <v>54.789999999999999</v>
      </c>
      <c r="F2056" s="22">
        <v>1</v>
      </c>
      <c r="G2056" s="21">
        <f t="shared" si="93"/>
        <v>54.789999999999999</v>
      </c>
      <c r="H2056" s="22">
        <v>1</v>
      </c>
      <c r="I2056" s="23" t="str">
        <f t="shared" si="94"/>
        <v xml:space="preserve">COM VALOR</v>
      </c>
      <c r="J2056" s="19"/>
      <c r="L2056" s="21">
        <v>54.789999999999999</v>
      </c>
      <c r="M2056" s="22">
        <v>1</v>
      </c>
      <c r="N2056" s="21">
        <v>54.789999999999999</v>
      </c>
      <c r="O2056" s="22">
        <v>1</v>
      </c>
    </row>
    <row r="2057" ht="51">
      <c r="A2057" t="s">
        <v>2030</v>
      </c>
      <c r="B2057" s="19">
        <v>91384</v>
      </c>
      <c r="C2057" s="20" t="s">
        <v>2111</v>
      </c>
      <c r="D2057" s="19" t="s">
        <v>2032</v>
      </c>
      <c r="E2057" s="21">
        <f t="shared" si="92"/>
        <v>160.91999999999999</v>
      </c>
      <c r="F2057" s="22">
        <v>1</v>
      </c>
      <c r="G2057" s="21">
        <f t="shared" si="93"/>
        <v>160.91999999999999</v>
      </c>
      <c r="H2057" s="22">
        <v>1</v>
      </c>
      <c r="I2057" s="23" t="str">
        <f t="shared" si="94"/>
        <v xml:space="preserve">COM VALOR</v>
      </c>
      <c r="J2057" s="19"/>
      <c r="L2057" s="21">
        <v>160.91999999999999</v>
      </c>
      <c r="M2057" s="22">
        <v>0</v>
      </c>
      <c r="N2057" s="21">
        <v>160.91999999999999</v>
      </c>
      <c r="O2057" s="22">
        <v>0</v>
      </c>
    </row>
    <row r="2058" ht="38.25">
      <c r="A2058" t="s">
        <v>2030</v>
      </c>
      <c r="B2058" s="19">
        <v>96030</v>
      </c>
      <c r="C2058" s="20" t="s">
        <v>2112</v>
      </c>
      <c r="D2058" s="19" t="s">
        <v>2032</v>
      </c>
      <c r="E2058" s="21">
        <f t="shared" si="92"/>
        <v>37.770000000000003</v>
      </c>
      <c r="F2058" s="22">
        <v>1</v>
      </c>
      <c r="G2058" s="21">
        <f t="shared" si="93"/>
        <v>37.770000000000003</v>
      </c>
      <c r="H2058" s="22">
        <v>1</v>
      </c>
      <c r="I2058" s="23" t="str">
        <f t="shared" si="94"/>
        <v xml:space="preserve">COM VALOR</v>
      </c>
      <c r="J2058" s="19"/>
      <c r="L2058" s="21">
        <v>37.770000000000003</v>
      </c>
      <c r="M2058" s="22">
        <v>1</v>
      </c>
      <c r="N2058" s="21">
        <v>37.770000000000003</v>
      </c>
      <c r="O2058" s="22">
        <v>1</v>
      </c>
    </row>
    <row r="2059" ht="38.25">
      <c r="A2059" t="s">
        <v>2030</v>
      </c>
      <c r="B2059" s="19">
        <v>96032</v>
      </c>
      <c r="C2059" s="20" t="s">
        <v>2113</v>
      </c>
      <c r="D2059" s="19" t="s">
        <v>2032</v>
      </c>
      <c r="E2059" s="21">
        <f t="shared" ref="E2059:E2122" si="95">IF(L2059=0,"VERIFICAR",L2059)</f>
        <v>5.2999999999999998</v>
      </c>
      <c r="F2059" s="22">
        <v>1</v>
      </c>
      <c r="G2059" s="21">
        <f t="shared" ref="G2059:G2122" si="96">IF(N2059=0,"VERIFICAR",N2059)</f>
        <v>5.2999999999999998</v>
      </c>
      <c r="H2059" s="22">
        <v>1</v>
      </c>
      <c r="I2059" s="23" t="str">
        <f t="shared" ref="I2059:I2122" si="97">IF(OR(E2059=0,G2059=0),"SEM VALOR","COM VALOR")</f>
        <v xml:space="preserve">COM VALOR</v>
      </c>
      <c r="J2059" s="19"/>
      <c r="L2059" s="21">
        <v>5.2999999999999998</v>
      </c>
      <c r="M2059" s="22">
        <v>1</v>
      </c>
      <c r="N2059" s="21">
        <v>5.2999999999999998</v>
      </c>
      <c r="O2059" s="22">
        <v>1</v>
      </c>
    </row>
    <row r="2060" ht="38.25">
      <c r="A2060" t="s">
        <v>2030</v>
      </c>
      <c r="B2060" s="19">
        <v>96031</v>
      </c>
      <c r="C2060" s="20" t="s">
        <v>2114</v>
      </c>
      <c r="D2060" s="19" t="s">
        <v>2032</v>
      </c>
      <c r="E2060" s="21">
        <f t="shared" si="95"/>
        <v>13.210000000000001</v>
      </c>
      <c r="F2060" s="22">
        <v>0</v>
      </c>
      <c r="G2060" s="21">
        <f t="shared" si="96"/>
        <v>13.210000000000001</v>
      </c>
      <c r="H2060" s="22">
        <v>0</v>
      </c>
      <c r="I2060" s="23" t="str">
        <f t="shared" si="97"/>
        <v xml:space="preserve">COM VALOR</v>
      </c>
      <c r="J2060" s="19"/>
      <c r="L2060" s="21">
        <v>13.210000000000001</v>
      </c>
      <c r="M2060" s="22">
        <v>1</v>
      </c>
      <c r="N2060" s="21">
        <v>13.210000000000001</v>
      </c>
      <c r="O2060" s="22">
        <v>1</v>
      </c>
    </row>
    <row r="2061" ht="38.25">
      <c r="A2061" t="s">
        <v>2030</v>
      </c>
      <c r="B2061" s="19">
        <v>96033</v>
      </c>
      <c r="C2061" s="20" t="s">
        <v>2115</v>
      </c>
      <c r="D2061" s="19" t="s">
        <v>2032</v>
      </c>
      <c r="E2061" s="21">
        <f t="shared" si="95"/>
        <v>60.920000000000002</v>
      </c>
      <c r="F2061" s="22">
        <v>1</v>
      </c>
      <c r="G2061" s="21">
        <f t="shared" si="96"/>
        <v>60.920000000000002</v>
      </c>
      <c r="H2061" s="22">
        <v>1</v>
      </c>
      <c r="I2061" s="23" t="str">
        <f t="shared" si="97"/>
        <v xml:space="preserve">COM VALOR</v>
      </c>
      <c r="J2061" s="19"/>
      <c r="L2061" s="21">
        <v>60.920000000000002</v>
      </c>
      <c r="M2061" s="22">
        <v>1</v>
      </c>
      <c r="N2061" s="21">
        <v>60.920000000000002</v>
      </c>
      <c r="O2061" s="22">
        <v>1</v>
      </c>
    </row>
    <row r="2062" ht="38.25">
      <c r="A2062" t="s">
        <v>2030</v>
      </c>
      <c r="B2062" s="19">
        <v>96034</v>
      </c>
      <c r="C2062" s="20" t="s">
        <v>2116</v>
      </c>
      <c r="D2062" s="19" t="s">
        <v>2032</v>
      </c>
      <c r="E2062" s="21">
        <f t="shared" si="95"/>
        <v>160.91999999999999</v>
      </c>
      <c r="F2062" s="22">
        <v>1</v>
      </c>
      <c r="G2062" s="21">
        <f t="shared" si="96"/>
        <v>160.91999999999999</v>
      </c>
      <c r="H2062" s="22">
        <v>1</v>
      </c>
      <c r="I2062" s="23" t="str">
        <f t="shared" si="97"/>
        <v xml:space="preserve">COM VALOR</v>
      </c>
      <c r="J2062" s="19"/>
      <c r="L2062" s="21">
        <v>160.91999999999999</v>
      </c>
      <c r="M2062" s="22">
        <v>0</v>
      </c>
      <c r="N2062" s="21">
        <v>160.91999999999999</v>
      </c>
      <c r="O2062" s="22">
        <v>0</v>
      </c>
    </row>
    <row r="2063" ht="51">
      <c r="A2063" t="s">
        <v>2030</v>
      </c>
      <c r="B2063" s="19">
        <v>89870</v>
      </c>
      <c r="C2063" s="20" t="s">
        <v>2117</v>
      </c>
      <c r="D2063" s="19" t="s">
        <v>2032</v>
      </c>
      <c r="E2063" s="21">
        <f t="shared" si="95"/>
        <v>39.57</v>
      </c>
      <c r="F2063" s="22">
        <v>1</v>
      </c>
      <c r="G2063" s="21">
        <f t="shared" si="96"/>
        <v>39.57</v>
      </c>
      <c r="H2063" s="22">
        <v>1</v>
      </c>
      <c r="I2063" s="23" t="str">
        <f t="shared" si="97"/>
        <v xml:space="preserve">COM VALOR</v>
      </c>
      <c r="J2063" s="19"/>
      <c r="L2063" s="21">
        <v>39.57</v>
      </c>
      <c r="M2063" s="22">
        <v>0.35999999999999999</v>
      </c>
      <c r="N2063" s="21">
        <v>39.57</v>
      </c>
      <c r="O2063" s="22">
        <v>0.35999999999999999</v>
      </c>
    </row>
    <row r="2064" ht="51">
      <c r="A2064" t="s">
        <v>2030</v>
      </c>
      <c r="B2064" s="19">
        <v>89872</v>
      </c>
      <c r="C2064" s="20" t="s">
        <v>2118</v>
      </c>
      <c r="D2064" s="19" t="s">
        <v>2032</v>
      </c>
      <c r="E2064" s="21">
        <f t="shared" si="95"/>
        <v>5.5999999999999996</v>
      </c>
      <c r="F2064" s="22">
        <v>1</v>
      </c>
      <c r="G2064" s="21">
        <f t="shared" si="96"/>
        <v>5.5999999999999996</v>
      </c>
      <c r="H2064" s="22">
        <v>1</v>
      </c>
      <c r="I2064" s="23" t="str">
        <f t="shared" si="97"/>
        <v xml:space="preserve">COM VALOR</v>
      </c>
      <c r="J2064" s="19"/>
      <c r="L2064" s="21">
        <v>5.5999999999999996</v>
      </c>
      <c r="M2064" s="22">
        <v>0.25</v>
      </c>
      <c r="N2064" s="21">
        <v>5.5999999999999996</v>
      </c>
      <c r="O2064" s="22">
        <v>0.25</v>
      </c>
    </row>
    <row r="2065" ht="51">
      <c r="A2065" t="s">
        <v>2030</v>
      </c>
      <c r="B2065" s="19">
        <v>89871</v>
      </c>
      <c r="C2065" s="20" t="s">
        <v>2119</v>
      </c>
      <c r="D2065" s="19" t="s">
        <v>2032</v>
      </c>
      <c r="E2065" s="21">
        <f t="shared" si="95"/>
        <v>13.869999999999999</v>
      </c>
      <c r="F2065" s="22">
        <v>0</v>
      </c>
      <c r="G2065" s="21">
        <f t="shared" si="96"/>
        <v>13.869999999999999</v>
      </c>
      <c r="H2065" s="22">
        <v>0</v>
      </c>
      <c r="I2065" s="23" t="str">
        <f t="shared" si="97"/>
        <v xml:space="preserve">COM VALOR</v>
      </c>
      <c r="J2065" s="19"/>
      <c r="L2065" s="21">
        <v>13.869999999999999</v>
      </c>
      <c r="M2065" s="22">
        <v>0.25</v>
      </c>
      <c r="N2065" s="21">
        <v>13.869999999999999</v>
      </c>
      <c r="O2065" s="22">
        <v>0.25</v>
      </c>
    </row>
    <row r="2066" ht="51">
      <c r="A2066" t="s">
        <v>2030</v>
      </c>
      <c r="B2066" s="19">
        <v>89873</v>
      </c>
      <c r="C2066" s="20" t="s">
        <v>2120</v>
      </c>
      <c r="D2066" s="19" t="s">
        <v>2032</v>
      </c>
      <c r="E2066" s="21">
        <f t="shared" si="95"/>
        <v>67.560000000000002</v>
      </c>
      <c r="F2066" s="22">
        <v>1</v>
      </c>
      <c r="G2066" s="21">
        <f t="shared" si="96"/>
        <v>67.560000000000002</v>
      </c>
      <c r="H2066" s="22">
        <v>1</v>
      </c>
      <c r="I2066" s="23" t="str">
        <f t="shared" si="97"/>
        <v xml:space="preserve">COM VALOR</v>
      </c>
      <c r="J2066" s="19"/>
      <c r="L2066" s="21">
        <v>67.560000000000002</v>
      </c>
      <c r="M2066" s="22">
        <v>0.29999999999999999</v>
      </c>
      <c r="N2066" s="21">
        <v>67.560000000000002</v>
      </c>
      <c r="O2066" s="22">
        <v>0.29999999999999999</v>
      </c>
    </row>
    <row r="2067" ht="51">
      <c r="A2067" t="s">
        <v>2030</v>
      </c>
      <c r="B2067" s="19">
        <v>89874</v>
      </c>
      <c r="C2067" s="20" t="s">
        <v>2121</v>
      </c>
      <c r="D2067" s="19" t="s">
        <v>2032</v>
      </c>
      <c r="E2067" s="21">
        <f t="shared" si="95"/>
        <v>200.09999999999999</v>
      </c>
      <c r="F2067" s="22">
        <v>1</v>
      </c>
      <c r="G2067" s="21">
        <f t="shared" si="96"/>
        <v>200.09999999999999</v>
      </c>
      <c r="H2067" s="22">
        <v>1</v>
      </c>
      <c r="I2067" s="23" t="str">
        <f t="shared" si="97"/>
        <v xml:space="preserve">COM VALOR</v>
      </c>
      <c r="J2067" s="19"/>
      <c r="L2067" s="21">
        <v>200.09999999999999</v>
      </c>
      <c r="M2067" s="22">
        <v>0</v>
      </c>
      <c r="N2067" s="21">
        <v>200.09999999999999</v>
      </c>
      <c r="O2067" s="22">
        <v>0</v>
      </c>
    </row>
    <row r="2068" ht="51">
      <c r="A2068" t="s">
        <v>2030</v>
      </c>
      <c r="B2068" s="19">
        <v>89878</v>
      </c>
      <c r="C2068" s="20" t="s">
        <v>2122</v>
      </c>
      <c r="D2068" s="19" t="s">
        <v>2032</v>
      </c>
      <c r="E2068" s="21">
        <f t="shared" si="95"/>
        <v>42.399999999999999</v>
      </c>
      <c r="F2068" s="22">
        <v>1</v>
      </c>
      <c r="G2068" s="21">
        <f t="shared" si="96"/>
        <v>42.399999999999999</v>
      </c>
      <c r="H2068" s="22">
        <v>1</v>
      </c>
      <c r="I2068" s="23" t="str">
        <f t="shared" si="97"/>
        <v xml:space="preserve">COM VALOR</v>
      </c>
      <c r="J2068" s="19"/>
      <c r="L2068" s="21">
        <v>42.399999999999999</v>
      </c>
      <c r="M2068" s="22">
        <v>0.40000000000000002</v>
      </c>
      <c r="N2068" s="21">
        <v>42.399999999999999</v>
      </c>
      <c r="O2068" s="22">
        <v>0.40000000000000002</v>
      </c>
    </row>
    <row r="2069" ht="51">
      <c r="A2069" t="s">
        <v>2030</v>
      </c>
      <c r="B2069" s="19">
        <v>89880</v>
      </c>
      <c r="C2069" s="20" t="s">
        <v>2123</v>
      </c>
      <c r="D2069" s="19" t="s">
        <v>2032</v>
      </c>
      <c r="E2069" s="21">
        <f t="shared" si="95"/>
        <v>5.8899999999999997</v>
      </c>
      <c r="F2069" s="22">
        <v>1</v>
      </c>
      <c r="G2069" s="21">
        <f t="shared" si="96"/>
        <v>5.8899999999999997</v>
      </c>
      <c r="H2069" s="22">
        <v>1</v>
      </c>
      <c r="I2069" s="23" t="str">
        <f t="shared" si="97"/>
        <v xml:space="preserve">COM VALOR</v>
      </c>
      <c r="J2069" s="19"/>
      <c r="L2069" s="21">
        <v>5.8899999999999997</v>
      </c>
      <c r="M2069" s="22">
        <v>0.28000000000000003</v>
      </c>
      <c r="N2069" s="21">
        <v>5.8899999999999997</v>
      </c>
      <c r="O2069" s="22">
        <v>0.28000000000000003</v>
      </c>
    </row>
    <row r="2070" ht="51">
      <c r="A2070" t="s">
        <v>2030</v>
      </c>
      <c r="B2070" s="19">
        <v>89879</v>
      </c>
      <c r="C2070" s="20" t="s">
        <v>2124</v>
      </c>
      <c r="D2070" s="19" t="s">
        <v>2032</v>
      </c>
      <c r="E2070" s="21">
        <f t="shared" si="95"/>
        <v>14.609999999999999</v>
      </c>
      <c r="F2070" s="22">
        <v>0</v>
      </c>
      <c r="G2070" s="21">
        <f t="shared" si="96"/>
        <v>14.609999999999999</v>
      </c>
      <c r="H2070" s="22">
        <v>0</v>
      </c>
      <c r="I2070" s="23" t="str">
        <f t="shared" si="97"/>
        <v xml:space="preserve">COM VALOR</v>
      </c>
      <c r="J2070" s="19"/>
      <c r="L2070" s="21">
        <v>14.609999999999999</v>
      </c>
      <c r="M2070" s="22">
        <v>0.28000000000000003</v>
      </c>
      <c r="N2070" s="21">
        <v>14.609999999999999</v>
      </c>
      <c r="O2070" s="22">
        <v>0.28000000000000003</v>
      </c>
    </row>
    <row r="2071" ht="51">
      <c r="A2071" t="s">
        <v>2030</v>
      </c>
      <c r="B2071" s="19">
        <v>89881</v>
      </c>
      <c r="C2071" s="20" t="s">
        <v>2125</v>
      </c>
      <c r="D2071" s="19" t="s">
        <v>2032</v>
      </c>
      <c r="E2071" s="21">
        <f t="shared" si="95"/>
        <v>71.680000000000007</v>
      </c>
      <c r="F2071" s="22"/>
      <c r="G2071" s="21">
        <f t="shared" si="96"/>
        <v>71.680000000000007</v>
      </c>
      <c r="H2071" s="22"/>
      <c r="I2071" s="23" t="str">
        <f t="shared" si="97"/>
        <v xml:space="preserve">COM VALOR</v>
      </c>
      <c r="J2071" s="19"/>
      <c r="L2071" s="21">
        <v>71.680000000000007</v>
      </c>
      <c r="M2071" s="22">
        <v>0.33000000000000002</v>
      </c>
      <c r="N2071" s="21">
        <v>71.680000000000007</v>
      </c>
      <c r="O2071" s="22">
        <v>0.33000000000000002</v>
      </c>
    </row>
    <row r="2072" ht="51">
      <c r="A2072" t="s">
        <v>2030</v>
      </c>
      <c r="B2072" s="19">
        <v>89882</v>
      </c>
      <c r="C2072" s="20" t="s">
        <v>2126</v>
      </c>
      <c r="D2072" s="19" t="s">
        <v>2032</v>
      </c>
      <c r="E2072" s="21">
        <f t="shared" si="95"/>
        <v>230.86000000000001</v>
      </c>
      <c r="F2072" s="22"/>
      <c r="G2072" s="21">
        <f t="shared" si="96"/>
        <v>230.86000000000001</v>
      </c>
      <c r="H2072" s="22"/>
      <c r="I2072" s="23" t="str">
        <f t="shared" si="97"/>
        <v xml:space="preserve">COM VALOR</v>
      </c>
      <c r="J2072" s="19"/>
      <c r="L2072" s="21">
        <v>230.86000000000001</v>
      </c>
      <c r="M2072" s="22">
        <v>0</v>
      </c>
      <c r="N2072" s="21">
        <v>230.86000000000001</v>
      </c>
      <c r="O2072" s="22">
        <v>0</v>
      </c>
    </row>
    <row r="2073" ht="51">
      <c r="A2073" t="s">
        <v>2030</v>
      </c>
      <c r="B2073" s="19">
        <v>7058</v>
      </c>
      <c r="C2073" s="20" t="s">
        <v>2127</v>
      </c>
      <c r="D2073" s="19" t="s">
        <v>2032</v>
      </c>
      <c r="E2073" s="21">
        <f t="shared" si="95"/>
        <v>23.920000000000002</v>
      </c>
      <c r="F2073" s="22"/>
      <c r="G2073" s="21">
        <f t="shared" si="96"/>
        <v>23.920000000000002</v>
      </c>
      <c r="H2073" s="22"/>
      <c r="I2073" s="23" t="str">
        <f t="shared" si="97"/>
        <v xml:space="preserve">COM VALOR</v>
      </c>
      <c r="J2073" s="19"/>
      <c r="L2073" s="21">
        <v>23.920000000000002</v>
      </c>
      <c r="M2073" s="22">
        <v>1</v>
      </c>
      <c r="N2073" s="21">
        <v>23.920000000000002</v>
      </c>
      <c r="O2073" s="22">
        <v>1</v>
      </c>
    </row>
    <row r="2074" ht="51">
      <c r="A2074" t="s">
        <v>2030</v>
      </c>
      <c r="B2074" s="19">
        <v>91402</v>
      </c>
      <c r="C2074" s="20" t="s">
        <v>2128</v>
      </c>
      <c r="D2074" s="19" t="s">
        <v>2032</v>
      </c>
      <c r="E2074" s="21">
        <f t="shared" si="95"/>
        <v>3.73</v>
      </c>
      <c r="F2074" s="22">
        <v>0</v>
      </c>
      <c r="G2074" s="21">
        <f t="shared" si="96"/>
        <v>3.73</v>
      </c>
      <c r="H2074" s="22">
        <v>0</v>
      </c>
      <c r="I2074" s="23" t="str">
        <f t="shared" si="97"/>
        <v xml:space="preserve">COM VALOR</v>
      </c>
      <c r="J2074" s="19"/>
      <c r="L2074" s="21">
        <v>3.73</v>
      </c>
      <c r="M2074" s="22">
        <v>1</v>
      </c>
      <c r="N2074" s="21">
        <v>3.73</v>
      </c>
      <c r="O2074" s="22">
        <v>1</v>
      </c>
    </row>
    <row r="2075" ht="38.25">
      <c r="A2075" t="s">
        <v>2030</v>
      </c>
      <c r="B2075" s="19">
        <v>7059</v>
      </c>
      <c r="C2075" s="20" t="s">
        <v>2129</v>
      </c>
      <c r="D2075" s="19" t="s">
        <v>2032</v>
      </c>
      <c r="E2075" s="21">
        <f t="shared" si="95"/>
        <v>9.2300000000000004</v>
      </c>
      <c r="F2075" s="22">
        <v>0</v>
      </c>
      <c r="G2075" s="21">
        <f t="shared" si="96"/>
        <v>9.2300000000000004</v>
      </c>
      <c r="H2075" s="22">
        <v>0</v>
      </c>
      <c r="I2075" s="23" t="str">
        <f t="shared" si="97"/>
        <v xml:space="preserve">COM VALOR</v>
      </c>
      <c r="J2075" s="19"/>
      <c r="L2075" s="21">
        <v>9.2300000000000004</v>
      </c>
      <c r="M2075" s="22">
        <v>1</v>
      </c>
      <c r="N2075" s="21">
        <v>9.2300000000000004</v>
      </c>
      <c r="O2075" s="22">
        <v>1</v>
      </c>
    </row>
    <row r="2076" ht="51">
      <c r="A2076" t="s">
        <v>2030</v>
      </c>
      <c r="B2076" s="19">
        <v>7060</v>
      </c>
      <c r="C2076" s="20" t="s">
        <v>2130</v>
      </c>
      <c r="D2076" s="19" t="s">
        <v>2032</v>
      </c>
      <c r="E2076" s="21">
        <f t="shared" si="95"/>
        <v>43.170000000000002</v>
      </c>
      <c r="F2076" s="22">
        <v>0</v>
      </c>
      <c r="G2076" s="21">
        <f t="shared" si="96"/>
        <v>43.170000000000002</v>
      </c>
      <c r="H2076" s="22">
        <v>0</v>
      </c>
      <c r="I2076" s="23" t="str">
        <f t="shared" si="97"/>
        <v xml:space="preserve">COM VALOR</v>
      </c>
      <c r="J2076" s="19"/>
      <c r="L2076" s="21">
        <v>43.170000000000002</v>
      </c>
      <c r="M2076" s="22">
        <v>1</v>
      </c>
      <c r="N2076" s="21">
        <v>43.170000000000002</v>
      </c>
      <c r="O2076" s="22">
        <v>1</v>
      </c>
    </row>
    <row r="2077" ht="51">
      <c r="A2077" t="s">
        <v>2030</v>
      </c>
      <c r="B2077" s="19">
        <v>7061</v>
      </c>
      <c r="C2077" s="20" t="s">
        <v>2131</v>
      </c>
      <c r="D2077" s="19" t="s">
        <v>2032</v>
      </c>
      <c r="E2077" s="21">
        <f t="shared" si="95"/>
        <v>92.469999999999999</v>
      </c>
      <c r="F2077" s="22">
        <v>0</v>
      </c>
      <c r="G2077" s="21">
        <f t="shared" si="96"/>
        <v>92.469999999999999</v>
      </c>
      <c r="H2077" s="22">
        <v>0</v>
      </c>
      <c r="I2077" s="23" t="str">
        <f t="shared" si="97"/>
        <v xml:space="preserve">COM VALOR</v>
      </c>
      <c r="J2077" s="19"/>
      <c r="L2077" s="21">
        <v>92.469999999999999</v>
      </c>
      <c r="M2077" s="22">
        <v>0</v>
      </c>
      <c r="N2077" s="21">
        <v>92.469999999999999</v>
      </c>
      <c r="O2077" s="22">
        <v>0</v>
      </c>
    </row>
    <row r="2078" ht="38.25">
      <c r="A2078" t="s">
        <v>2030</v>
      </c>
      <c r="B2078" s="19">
        <v>91367</v>
      </c>
      <c r="C2078" s="20" t="s">
        <v>2132</v>
      </c>
      <c r="D2078" s="19" t="s">
        <v>2032</v>
      </c>
      <c r="E2078" s="21">
        <f t="shared" si="95"/>
        <v>23.109999999999999</v>
      </c>
      <c r="F2078" s="22">
        <v>0</v>
      </c>
      <c r="G2078" s="21">
        <f t="shared" si="96"/>
        <v>23.109999999999999</v>
      </c>
      <c r="H2078" s="22">
        <v>0</v>
      </c>
      <c r="I2078" s="23" t="str">
        <f t="shared" si="97"/>
        <v xml:space="preserve">COM VALOR</v>
      </c>
      <c r="J2078" s="19"/>
      <c r="L2078" s="21">
        <v>23.109999999999999</v>
      </c>
      <c r="M2078" s="22">
        <v>1</v>
      </c>
      <c r="N2078" s="21">
        <v>23.109999999999999</v>
      </c>
      <c r="O2078" s="22">
        <v>1</v>
      </c>
    </row>
    <row r="2079" ht="38.25">
      <c r="A2079" t="s">
        <v>2030</v>
      </c>
      <c r="B2079" s="19">
        <v>91369</v>
      </c>
      <c r="C2079" s="20" t="s">
        <v>2133</v>
      </c>
      <c r="D2079" s="19" t="s">
        <v>2032</v>
      </c>
      <c r="E2079" s="21">
        <f t="shared" si="95"/>
        <v>3.5899999999999999</v>
      </c>
      <c r="F2079" s="22">
        <v>0</v>
      </c>
      <c r="G2079" s="21">
        <f t="shared" si="96"/>
        <v>3.5899999999999999</v>
      </c>
      <c r="H2079" s="22">
        <v>0</v>
      </c>
      <c r="I2079" s="23" t="str">
        <f t="shared" si="97"/>
        <v xml:space="preserve">COM VALOR</v>
      </c>
      <c r="J2079" s="19"/>
      <c r="L2079" s="21">
        <v>3.5899999999999999</v>
      </c>
      <c r="M2079" s="22">
        <v>1</v>
      </c>
      <c r="N2079" s="21">
        <v>3.5899999999999999</v>
      </c>
      <c r="O2079" s="22">
        <v>1</v>
      </c>
    </row>
    <row r="2080" ht="38.25">
      <c r="A2080" t="s">
        <v>2030</v>
      </c>
      <c r="B2080" s="19">
        <v>91368</v>
      </c>
      <c r="C2080" s="20" t="s">
        <v>2134</v>
      </c>
      <c r="D2080" s="19" t="s">
        <v>2032</v>
      </c>
      <c r="E2080" s="21">
        <f t="shared" si="95"/>
        <v>8.9000000000000004</v>
      </c>
      <c r="F2080" s="22">
        <v>0</v>
      </c>
      <c r="G2080" s="21">
        <f t="shared" si="96"/>
        <v>8.9000000000000004</v>
      </c>
      <c r="H2080" s="22">
        <v>0</v>
      </c>
      <c r="I2080" s="23" t="str">
        <f t="shared" si="97"/>
        <v xml:space="preserve">COM VALOR</v>
      </c>
      <c r="J2080" s="19"/>
      <c r="L2080" s="21">
        <v>8.9000000000000004</v>
      </c>
      <c r="M2080" s="22">
        <v>1</v>
      </c>
      <c r="N2080" s="21">
        <v>8.9000000000000004</v>
      </c>
      <c r="O2080" s="22">
        <v>1</v>
      </c>
    </row>
    <row r="2081" ht="38.25">
      <c r="A2081" t="s">
        <v>2030</v>
      </c>
      <c r="B2081" s="19">
        <v>5695</v>
      </c>
      <c r="C2081" s="20" t="s">
        <v>2135</v>
      </c>
      <c r="D2081" s="19" t="s">
        <v>2032</v>
      </c>
      <c r="E2081" s="21">
        <f t="shared" si="95"/>
        <v>41.719999999999999</v>
      </c>
      <c r="F2081" s="22">
        <v>0</v>
      </c>
      <c r="G2081" s="21">
        <f t="shared" si="96"/>
        <v>41.719999999999999</v>
      </c>
      <c r="H2081" s="22">
        <v>0</v>
      </c>
      <c r="I2081" s="23" t="str">
        <f t="shared" si="97"/>
        <v xml:space="preserve">COM VALOR</v>
      </c>
      <c r="J2081" s="19"/>
      <c r="L2081" s="21">
        <v>41.719999999999999</v>
      </c>
      <c r="M2081" s="22">
        <v>1</v>
      </c>
      <c r="N2081" s="21">
        <v>41.719999999999999</v>
      </c>
      <c r="O2081" s="22">
        <v>1</v>
      </c>
    </row>
    <row r="2082" ht="38.25">
      <c r="A2082" t="s">
        <v>2030</v>
      </c>
      <c r="B2082" s="19">
        <v>53792</v>
      </c>
      <c r="C2082" s="20" t="s">
        <v>2136</v>
      </c>
      <c r="D2082" s="19" t="s">
        <v>2032</v>
      </c>
      <c r="E2082" s="21">
        <f t="shared" si="95"/>
        <v>114.95</v>
      </c>
      <c r="F2082" s="22">
        <v>0</v>
      </c>
      <c r="G2082" s="21">
        <f t="shared" si="96"/>
        <v>114.95</v>
      </c>
      <c r="H2082" s="22">
        <v>0</v>
      </c>
      <c r="I2082" s="23" t="str">
        <f t="shared" si="97"/>
        <v xml:space="preserve">COM VALOR</v>
      </c>
      <c r="J2082" s="19"/>
      <c r="L2082" s="21">
        <v>114.95</v>
      </c>
      <c r="M2082" s="22">
        <v>0</v>
      </c>
      <c r="N2082" s="21">
        <v>114.95</v>
      </c>
      <c r="O2082" s="22">
        <v>0</v>
      </c>
    </row>
    <row r="2083" ht="63.75">
      <c r="A2083" t="s">
        <v>2030</v>
      </c>
      <c r="B2083" s="19">
        <v>106347</v>
      </c>
      <c r="C2083" s="20" t="s">
        <v>2137</v>
      </c>
      <c r="D2083" s="19" t="s">
        <v>2032</v>
      </c>
      <c r="E2083" s="21" t="str">
        <f t="shared" si="95"/>
        <v>VERIFICAR</v>
      </c>
      <c r="F2083" s="22">
        <v>1</v>
      </c>
      <c r="G2083" s="21" t="str">
        <f t="shared" si="96"/>
        <v>VERIFICAR</v>
      </c>
      <c r="H2083" s="22">
        <v>1</v>
      </c>
      <c r="I2083" s="23" t="str">
        <f t="shared" si="97"/>
        <v xml:space="preserve">COM VALOR</v>
      </c>
      <c r="J2083" s="19"/>
      <c r="L2083" s="21">
        <v>0</v>
      </c>
      <c r="M2083" s="22"/>
      <c r="N2083" s="21">
        <v>0</v>
      </c>
      <c r="O2083" s="22"/>
    </row>
    <row r="2084" ht="63.75">
      <c r="A2084" t="s">
        <v>2030</v>
      </c>
      <c r="B2084" s="19">
        <v>106350</v>
      </c>
      <c r="C2084" s="20" t="s">
        <v>2138</v>
      </c>
      <c r="D2084" s="19" t="s">
        <v>2032</v>
      </c>
      <c r="E2084" s="21" t="str">
        <f t="shared" si="95"/>
        <v>VERIFICAR</v>
      </c>
      <c r="F2084" s="22">
        <v>1</v>
      </c>
      <c r="G2084" s="21" t="str">
        <f t="shared" si="96"/>
        <v>VERIFICAR</v>
      </c>
      <c r="H2084" s="22">
        <v>1</v>
      </c>
      <c r="I2084" s="23" t="str">
        <f t="shared" si="97"/>
        <v xml:space="preserve">COM VALOR</v>
      </c>
      <c r="J2084" s="19"/>
      <c r="L2084" s="21">
        <v>0</v>
      </c>
      <c r="M2084" s="22"/>
      <c r="N2084" s="21">
        <v>0</v>
      </c>
      <c r="O2084" s="22"/>
    </row>
    <row r="2085" ht="51">
      <c r="A2085" t="s">
        <v>2030</v>
      </c>
      <c r="B2085" s="19">
        <v>106348</v>
      </c>
      <c r="C2085" s="20" t="s">
        <v>2139</v>
      </c>
      <c r="D2085" s="19" t="s">
        <v>2032</v>
      </c>
      <c r="E2085" s="21" t="str">
        <f t="shared" si="95"/>
        <v>VERIFICAR</v>
      </c>
      <c r="F2085" s="22">
        <v>1</v>
      </c>
      <c r="G2085" s="21" t="str">
        <f t="shared" si="96"/>
        <v>VERIFICAR</v>
      </c>
      <c r="H2085" s="22">
        <v>1</v>
      </c>
      <c r="I2085" s="23" t="str">
        <f t="shared" si="97"/>
        <v xml:space="preserve">COM VALOR</v>
      </c>
      <c r="J2085" s="19"/>
      <c r="L2085" s="21">
        <v>0</v>
      </c>
      <c r="M2085" s="22"/>
      <c r="N2085" s="21">
        <v>0</v>
      </c>
      <c r="O2085" s="22"/>
    </row>
    <row r="2086" ht="63.75">
      <c r="A2086" t="s">
        <v>2030</v>
      </c>
      <c r="B2086" s="19">
        <v>106349</v>
      </c>
      <c r="C2086" s="20" t="s">
        <v>2140</v>
      </c>
      <c r="D2086" s="19" t="s">
        <v>2032</v>
      </c>
      <c r="E2086" s="21" t="str">
        <f t="shared" si="95"/>
        <v>VERIFICAR</v>
      </c>
      <c r="F2086" s="22">
        <v>0</v>
      </c>
      <c r="G2086" s="21" t="str">
        <f t="shared" si="96"/>
        <v>VERIFICAR</v>
      </c>
      <c r="H2086" s="22">
        <v>0</v>
      </c>
      <c r="I2086" s="23" t="str">
        <f t="shared" si="97"/>
        <v xml:space="preserve">COM VALOR</v>
      </c>
      <c r="J2086" s="19"/>
      <c r="L2086" s="21">
        <v>0</v>
      </c>
      <c r="M2086" s="22"/>
      <c r="N2086" s="21">
        <v>0</v>
      </c>
      <c r="O2086" s="22"/>
    </row>
    <row r="2087" ht="63.75">
      <c r="A2087" t="s">
        <v>2030</v>
      </c>
      <c r="B2087" s="19">
        <v>106351</v>
      </c>
      <c r="C2087" s="20" t="s">
        <v>2141</v>
      </c>
      <c r="D2087" s="19" t="s">
        <v>2032</v>
      </c>
      <c r="E2087" s="21">
        <f t="shared" si="95"/>
        <v>224.61000000000001</v>
      </c>
      <c r="F2087" s="22">
        <v>1</v>
      </c>
      <c r="G2087" s="21">
        <f t="shared" si="96"/>
        <v>224.61000000000001</v>
      </c>
      <c r="H2087" s="22">
        <v>1</v>
      </c>
      <c r="I2087" s="23" t="str">
        <f t="shared" si="97"/>
        <v xml:space="preserve">COM VALOR</v>
      </c>
      <c r="J2087" s="19"/>
      <c r="L2087" s="21">
        <v>224.61000000000001</v>
      </c>
      <c r="M2087" s="22">
        <v>0</v>
      </c>
      <c r="N2087" s="21">
        <v>224.61000000000001</v>
      </c>
      <c r="O2087" s="22">
        <v>0</v>
      </c>
    </row>
    <row r="2088" ht="63.75">
      <c r="A2088" t="s">
        <v>2030</v>
      </c>
      <c r="B2088" s="19">
        <v>106337</v>
      </c>
      <c r="C2088" s="20" t="s">
        <v>2142</v>
      </c>
      <c r="D2088" s="19" t="s">
        <v>2032</v>
      </c>
      <c r="E2088" s="21" t="str">
        <f t="shared" si="95"/>
        <v>VERIFICAR</v>
      </c>
      <c r="F2088" s="22">
        <v>1</v>
      </c>
      <c r="G2088" s="21" t="str">
        <f t="shared" si="96"/>
        <v>VERIFICAR</v>
      </c>
      <c r="H2088" s="22">
        <v>1</v>
      </c>
      <c r="I2088" s="23" t="str">
        <f t="shared" si="97"/>
        <v xml:space="preserve">COM VALOR</v>
      </c>
      <c r="J2088" s="19"/>
      <c r="L2088" s="21">
        <v>0</v>
      </c>
      <c r="M2088" s="22"/>
      <c r="N2088" s="21">
        <v>0</v>
      </c>
      <c r="O2088" s="22"/>
    </row>
    <row r="2089" ht="63.75">
      <c r="A2089" t="s">
        <v>2030</v>
      </c>
      <c r="B2089" s="19">
        <v>106340</v>
      </c>
      <c r="C2089" s="20" t="s">
        <v>2143</v>
      </c>
      <c r="D2089" s="19" t="s">
        <v>2032</v>
      </c>
      <c r="E2089" s="21" t="str">
        <f t="shared" si="95"/>
        <v>VERIFICAR</v>
      </c>
      <c r="F2089" s="22">
        <v>1</v>
      </c>
      <c r="G2089" s="21" t="str">
        <f t="shared" si="96"/>
        <v>VERIFICAR</v>
      </c>
      <c r="H2089" s="22">
        <v>1</v>
      </c>
      <c r="I2089" s="23" t="str">
        <f t="shared" si="97"/>
        <v xml:space="preserve">COM VALOR</v>
      </c>
      <c r="J2089" s="19"/>
      <c r="L2089" s="21">
        <v>0</v>
      </c>
      <c r="M2089" s="22"/>
      <c r="N2089" s="21">
        <v>0</v>
      </c>
      <c r="O2089" s="22"/>
    </row>
    <row r="2090" ht="63.75">
      <c r="A2090" t="s">
        <v>2030</v>
      </c>
      <c r="B2090" s="19">
        <v>106338</v>
      </c>
      <c r="C2090" s="20" t="s">
        <v>2144</v>
      </c>
      <c r="D2090" s="19" t="s">
        <v>2032</v>
      </c>
      <c r="E2090" s="21" t="str">
        <f t="shared" si="95"/>
        <v>VERIFICAR</v>
      </c>
      <c r="F2090" s="22">
        <v>0</v>
      </c>
      <c r="G2090" s="21" t="str">
        <f t="shared" si="96"/>
        <v>VERIFICAR</v>
      </c>
      <c r="H2090" s="22">
        <v>0</v>
      </c>
      <c r="I2090" s="23" t="str">
        <f t="shared" si="97"/>
        <v xml:space="preserve">COM VALOR</v>
      </c>
      <c r="J2090" s="19"/>
      <c r="L2090" s="21">
        <v>0</v>
      </c>
      <c r="M2090" s="22"/>
      <c r="N2090" s="21">
        <v>0</v>
      </c>
      <c r="O2090" s="22"/>
    </row>
    <row r="2091" ht="63.75">
      <c r="A2091" t="s">
        <v>2030</v>
      </c>
      <c r="B2091" s="19">
        <v>106339</v>
      </c>
      <c r="C2091" s="20" t="s">
        <v>2145</v>
      </c>
      <c r="D2091" s="19" t="s">
        <v>2032</v>
      </c>
      <c r="E2091" s="21" t="str">
        <f t="shared" si="95"/>
        <v>VERIFICAR</v>
      </c>
      <c r="F2091" s="22">
        <v>1</v>
      </c>
      <c r="G2091" s="21" t="str">
        <f t="shared" si="96"/>
        <v>VERIFICAR</v>
      </c>
      <c r="H2091" s="22">
        <v>1</v>
      </c>
      <c r="I2091" s="23" t="str">
        <f t="shared" si="97"/>
        <v xml:space="preserve">COM VALOR</v>
      </c>
      <c r="J2091" s="19"/>
      <c r="L2091" s="21">
        <v>0</v>
      </c>
      <c r="M2091" s="22"/>
      <c r="N2091" s="21">
        <v>0</v>
      </c>
      <c r="O2091" s="22"/>
    </row>
    <row r="2092" ht="63.75">
      <c r="A2092" t="s">
        <v>2030</v>
      </c>
      <c r="B2092" s="19">
        <v>106341</v>
      </c>
      <c r="C2092" s="20" t="s">
        <v>2146</v>
      </c>
      <c r="D2092" s="19" t="s">
        <v>2032</v>
      </c>
      <c r="E2092" s="21">
        <f t="shared" si="95"/>
        <v>304.80000000000001</v>
      </c>
      <c r="F2092" s="22">
        <v>1</v>
      </c>
      <c r="G2092" s="21">
        <f t="shared" si="96"/>
        <v>304.80000000000001</v>
      </c>
      <c r="H2092" s="22">
        <v>1</v>
      </c>
      <c r="I2092" s="23" t="str">
        <f t="shared" si="97"/>
        <v xml:space="preserve">COM VALOR</v>
      </c>
      <c r="J2092" s="19"/>
      <c r="L2092" s="21">
        <v>304.80000000000001</v>
      </c>
      <c r="M2092" s="22">
        <v>0</v>
      </c>
      <c r="N2092" s="21">
        <v>304.80000000000001</v>
      </c>
      <c r="O2092" s="22">
        <v>0</v>
      </c>
    </row>
    <row r="2093" ht="51">
      <c r="A2093" t="s">
        <v>2030</v>
      </c>
      <c r="B2093" s="19">
        <v>92237</v>
      </c>
      <c r="C2093" s="20" t="s">
        <v>2147</v>
      </c>
      <c r="D2093" s="19" t="s">
        <v>2032</v>
      </c>
      <c r="E2093" s="21">
        <f t="shared" si="95"/>
        <v>29.579999999999998</v>
      </c>
      <c r="F2093" s="22">
        <v>1</v>
      </c>
      <c r="G2093" s="21">
        <f t="shared" si="96"/>
        <v>29.579999999999998</v>
      </c>
      <c r="H2093" s="22">
        <v>1</v>
      </c>
      <c r="I2093" s="23" t="str">
        <f t="shared" si="97"/>
        <v xml:space="preserve">COM VALOR</v>
      </c>
      <c r="J2093" s="19"/>
      <c r="L2093" s="21">
        <v>29.579999999999998</v>
      </c>
      <c r="M2093" s="22">
        <v>0.13</v>
      </c>
      <c r="N2093" s="21">
        <v>29.579999999999998</v>
      </c>
      <c r="O2093" s="22">
        <v>0.13</v>
      </c>
    </row>
    <row r="2094" ht="51">
      <c r="A2094" t="s">
        <v>2030</v>
      </c>
      <c r="B2094" s="19">
        <v>92239</v>
      </c>
      <c r="C2094" s="20" t="s">
        <v>2148</v>
      </c>
      <c r="D2094" s="19" t="s">
        <v>2032</v>
      </c>
      <c r="E2094" s="21">
        <f t="shared" si="95"/>
        <v>4.7999999999999998</v>
      </c>
      <c r="F2094" s="22">
        <v>0</v>
      </c>
      <c r="G2094" s="21">
        <f t="shared" si="96"/>
        <v>4.7999999999999998</v>
      </c>
      <c r="H2094" s="22">
        <v>0</v>
      </c>
      <c r="I2094" s="23" t="str">
        <f t="shared" si="97"/>
        <v xml:space="preserve">COM VALOR</v>
      </c>
      <c r="J2094" s="19"/>
      <c r="L2094" s="21">
        <v>4.7999999999999998</v>
      </c>
      <c r="M2094" s="22">
        <v>0.11</v>
      </c>
      <c r="N2094" s="21">
        <v>4.7999999999999998</v>
      </c>
      <c r="O2094" s="22">
        <v>0.11</v>
      </c>
    </row>
    <row r="2095" ht="51">
      <c r="A2095" t="s">
        <v>2030</v>
      </c>
      <c r="B2095" s="19">
        <v>92238</v>
      </c>
      <c r="C2095" s="20" t="s">
        <v>2149</v>
      </c>
      <c r="D2095" s="19" t="s">
        <v>2032</v>
      </c>
      <c r="E2095" s="21">
        <f t="shared" si="95"/>
        <v>11.9</v>
      </c>
      <c r="F2095" s="22">
        <v>1</v>
      </c>
      <c r="G2095" s="21">
        <f t="shared" si="96"/>
        <v>11.9</v>
      </c>
      <c r="H2095" s="22">
        <v>1</v>
      </c>
      <c r="I2095" s="23" t="str">
        <f t="shared" si="97"/>
        <v xml:space="preserve">COM VALOR</v>
      </c>
      <c r="J2095" s="19"/>
      <c r="L2095" s="21">
        <v>11.9</v>
      </c>
      <c r="M2095" s="22">
        <v>0.12</v>
      </c>
      <c r="N2095" s="21">
        <v>11.9</v>
      </c>
      <c r="O2095" s="22">
        <v>0.12</v>
      </c>
    </row>
    <row r="2096" ht="51">
      <c r="A2096" t="s">
        <v>2030</v>
      </c>
      <c r="B2096" s="19">
        <v>92240</v>
      </c>
      <c r="C2096" s="20" t="s">
        <v>2150</v>
      </c>
      <c r="D2096" s="19" t="s">
        <v>2032</v>
      </c>
      <c r="E2096" s="21">
        <f t="shared" si="95"/>
        <v>52.979999999999997</v>
      </c>
      <c r="F2096" s="22">
        <v>1</v>
      </c>
      <c r="G2096" s="21">
        <f t="shared" si="96"/>
        <v>52.979999999999997</v>
      </c>
      <c r="H2096" s="22">
        <v>1</v>
      </c>
      <c r="I2096" s="23" t="str">
        <f t="shared" si="97"/>
        <v xml:space="preserve">COM VALOR</v>
      </c>
      <c r="J2096" s="19"/>
      <c r="L2096" s="21">
        <v>52.979999999999997</v>
      </c>
      <c r="M2096" s="22">
        <v>8.9999999999999997e-002</v>
      </c>
      <c r="N2096" s="21">
        <v>52.979999999999997</v>
      </c>
      <c r="O2096" s="22">
        <v>8.9999999999999997e-002</v>
      </c>
    </row>
    <row r="2097" ht="51">
      <c r="A2097" t="s">
        <v>2030</v>
      </c>
      <c r="B2097" s="19">
        <v>92241</v>
      </c>
      <c r="C2097" s="20" t="s">
        <v>2151</v>
      </c>
      <c r="D2097" s="19" t="s">
        <v>2032</v>
      </c>
      <c r="E2097" s="21">
        <f t="shared" si="95"/>
        <v>313.35000000000002</v>
      </c>
      <c r="F2097" s="22">
        <v>1</v>
      </c>
      <c r="G2097" s="21">
        <f t="shared" si="96"/>
        <v>313.35000000000002</v>
      </c>
      <c r="H2097" s="22">
        <v>1</v>
      </c>
      <c r="I2097" s="23" t="str">
        <f t="shared" si="97"/>
        <v xml:space="preserve">COM VALOR</v>
      </c>
      <c r="J2097" s="19"/>
      <c r="L2097" s="21">
        <v>313.35000000000002</v>
      </c>
      <c r="M2097" s="22">
        <v>0</v>
      </c>
      <c r="N2097" s="21">
        <v>313.35000000000002</v>
      </c>
      <c r="O2097" s="22">
        <v>0</v>
      </c>
    </row>
    <row r="2098" ht="51">
      <c r="A2098" t="s">
        <v>2030</v>
      </c>
      <c r="B2098" s="19">
        <v>91640</v>
      </c>
      <c r="C2098" s="20" t="s">
        <v>2152</v>
      </c>
      <c r="D2098" s="19" t="s">
        <v>2032</v>
      </c>
      <c r="E2098" s="21">
        <f t="shared" si="95"/>
        <v>40.579999999999998</v>
      </c>
      <c r="F2098" s="22">
        <v>0</v>
      </c>
      <c r="G2098" s="21">
        <f t="shared" si="96"/>
        <v>40.579999999999998</v>
      </c>
      <c r="H2098" s="22">
        <v>0</v>
      </c>
      <c r="I2098" s="23" t="str">
        <f t="shared" si="97"/>
        <v xml:space="preserve">COM VALOR</v>
      </c>
      <c r="J2098" s="19"/>
      <c r="L2098" s="21">
        <v>40.579999999999998</v>
      </c>
      <c r="M2098" s="22">
        <v>0.12</v>
      </c>
      <c r="N2098" s="21">
        <v>40.579999999999998</v>
      </c>
      <c r="O2098" s="22">
        <v>0.12</v>
      </c>
    </row>
    <row r="2099" ht="51">
      <c r="A2099" t="s">
        <v>2030</v>
      </c>
      <c r="B2099" s="19">
        <v>91642</v>
      </c>
      <c r="C2099" s="20" t="s">
        <v>2153</v>
      </c>
      <c r="D2099" s="19" t="s">
        <v>2032</v>
      </c>
      <c r="E2099" s="21">
        <f t="shared" si="95"/>
        <v>6.6100000000000003</v>
      </c>
      <c r="F2099" s="22">
        <v>1</v>
      </c>
      <c r="G2099" s="21">
        <f t="shared" si="96"/>
        <v>6.6100000000000003</v>
      </c>
      <c r="H2099" s="22">
        <v>1</v>
      </c>
      <c r="I2099" s="23" t="str">
        <f t="shared" si="97"/>
        <v xml:space="preserve">COM VALOR</v>
      </c>
      <c r="J2099" s="19"/>
      <c r="L2099" s="21">
        <v>6.6100000000000003</v>
      </c>
      <c r="M2099" s="22">
        <v>0.10000000000000001</v>
      </c>
      <c r="N2099" s="21">
        <v>6.6100000000000003</v>
      </c>
      <c r="O2099" s="22">
        <v>0.10000000000000001</v>
      </c>
    </row>
    <row r="2100" ht="51">
      <c r="A2100" t="s">
        <v>2030</v>
      </c>
      <c r="B2100" s="19">
        <v>91641</v>
      </c>
      <c r="C2100" s="20" t="s">
        <v>2154</v>
      </c>
      <c r="D2100" s="19" t="s">
        <v>2032</v>
      </c>
      <c r="E2100" s="21">
        <f t="shared" si="95"/>
        <v>16.359999999999999</v>
      </c>
      <c r="F2100" s="22">
        <v>1</v>
      </c>
      <c r="G2100" s="21">
        <f t="shared" si="96"/>
        <v>16.359999999999999</v>
      </c>
      <c r="H2100" s="22">
        <v>1</v>
      </c>
      <c r="I2100" s="23" t="str">
        <f t="shared" si="97"/>
        <v xml:space="preserve">COM VALOR</v>
      </c>
      <c r="J2100" s="19"/>
      <c r="L2100" s="21">
        <v>16.359999999999999</v>
      </c>
      <c r="M2100" s="22">
        <v>0.10000000000000001</v>
      </c>
      <c r="N2100" s="21">
        <v>16.359999999999999</v>
      </c>
      <c r="O2100" s="22">
        <v>0.10000000000000001</v>
      </c>
    </row>
    <row r="2101" ht="51">
      <c r="A2101" t="s">
        <v>2030</v>
      </c>
      <c r="B2101" s="19">
        <v>91643</v>
      </c>
      <c r="C2101" s="20" t="s">
        <v>2155</v>
      </c>
      <c r="D2101" s="19" t="s">
        <v>2032</v>
      </c>
      <c r="E2101" s="21">
        <f t="shared" si="95"/>
        <v>73.040000000000006</v>
      </c>
      <c r="F2101" s="22">
        <v>1</v>
      </c>
      <c r="G2101" s="21">
        <f t="shared" si="96"/>
        <v>73.040000000000006</v>
      </c>
      <c r="H2101" s="22">
        <v>1</v>
      </c>
      <c r="I2101" s="23" t="str">
        <f t="shared" si="97"/>
        <v xml:space="preserve">COM VALOR</v>
      </c>
      <c r="J2101" s="19"/>
      <c r="L2101" s="21">
        <v>73.040000000000006</v>
      </c>
      <c r="M2101" s="22">
        <v>8.0000000000000002e-002</v>
      </c>
      <c r="N2101" s="21">
        <v>73.040000000000006</v>
      </c>
      <c r="O2101" s="22">
        <v>8.0000000000000002e-002</v>
      </c>
    </row>
    <row r="2102" ht="51">
      <c r="A2102" t="s">
        <v>2030</v>
      </c>
      <c r="B2102" s="19">
        <v>91644</v>
      </c>
      <c r="C2102" s="20" t="s">
        <v>2156</v>
      </c>
      <c r="D2102" s="19" t="s">
        <v>2032</v>
      </c>
      <c r="E2102" s="21">
        <f t="shared" si="95"/>
        <v>341.80000000000001</v>
      </c>
      <c r="F2102" s="22">
        <v>0</v>
      </c>
      <c r="G2102" s="21">
        <f t="shared" si="96"/>
        <v>341.80000000000001</v>
      </c>
      <c r="H2102" s="22">
        <v>0</v>
      </c>
      <c r="I2102" s="23" t="str">
        <f t="shared" si="97"/>
        <v xml:space="preserve">COM VALOR</v>
      </c>
      <c r="J2102" s="19"/>
      <c r="L2102" s="21">
        <v>341.80000000000001</v>
      </c>
      <c r="M2102" s="22">
        <v>0</v>
      </c>
      <c r="N2102" s="21">
        <v>341.80000000000001</v>
      </c>
      <c r="O2102" s="22">
        <v>0</v>
      </c>
    </row>
    <row r="2103" ht="63.75">
      <c r="A2103" t="s">
        <v>2030</v>
      </c>
      <c r="B2103" s="19">
        <v>92105</v>
      </c>
      <c r="C2103" s="20" t="s">
        <v>2157</v>
      </c>
      <c r="D2103" s="19" t="s">
        <v>2032</v>
      </c>
      <c r="E2103" s="21">
        <f t="shared" si="95"/>
        <v>218.36000000000001</v>
      </c>
      <c r="F2103" s="22"/>
      <c r="G2103" s="21">
        <f t="shared" si="96"/>
        <v>218.36000000000001</v>
      </c>
      <c r="H2103" s="22"/>
      <c r="I2103" s="23" t="str">
        <f t="shared" si="97"/>
        <v xml:space="preserve">COM VALOR</v>
      </c>
      <c r="J2103" s="19"/>
      <c r="L2103" s="21">
        <v>218.36000000000001</v>
      </c>
      <c r="M2103" s="22">
        <v>0</v>
      </c>
      <c r="N2103" s="21">
        <v>218.36000000000001</v>
      </c>
      <c r="O2103" s="22">
        <v>0</v>
      </c>
    </row>
    <row r="2104" ht="51">
      <c r="A2104" t="s">
        <v>2030</v>
      </c>
      <c r="B2104" s="19">
        <v>92101</v>
      </c>
      <c r="C2104" s="20" t="s">
        <v>2158</v>
      </c>
      <c r="D2104" s="19" t="s">
        <v>2032</v>
      </c>
      <c r="E2104" s="21">
        <f t="shared" si="95"/>
        <v>47.450000000000003</v>
      </c>
      <c r="F2104" s="22"/>
      <c r="G2104" s="21">
        <f t="shared" si="96"/>
        <v>47.450000000000003</v>
      </c>
      <c r="H2104" s="22"/>
      <c r="I2104" s="23" t="str">
        <f t="shared" si="97"/>
        <v xml:space="preserve">COM VALOR</v>
      </c>
      <c r="J2104" s="19"/>
      <c r="L2104" s="21">
        <v>47.450000000000003</v>
      </c>
      <c r="M2104" s="22">
        <v>1</v>
      </c>
      <c r="N2104" s="21">
        <v>47.450000000000003</v>
      </c>
      <c r="O2104" s="22">
        <v>1</v>
      </c>
    </row>
    <row r="2105" ht="63.75">
      <c r="A2105" t="s">
        <v>2030</v>
      </c>
      <c r="B2105" s="19">
        <v>92103</v>
      </c>
      <c r="C2105" s="20" t="s">
        <v>2159</v>
      </c>
      <c r="D2105" s="19" t="s">
        <v>2032</v>
      </c>
      <c r="E2105" s="21">
        <f t="shared" si="95"/>
        <v>6</v>
      </c>
      <c r="F2105" s="22"/>
      <c r="G2105" s="21">
        <f t="shared" si="96"/>
        <v>6</v>
      </c>
      <c r="H2105" s="22"/>
      <c r="I2105" s="23" t="str">
        <f t="shared" si="97"/>
        <v xml:space="preserve">COM VALOR</v>
      </c>
      <c r="J2105" s="19"/>
      <c r="L2105" s="21">
        <v>6</v>
      </c>
      <c r="M2105" s="22">
        <v>1</v>
      </c>
      <c r="N2105" s="21">
        <v>6</v>
      </c>
      <c r="O2105" s="22">
        <v>1</v>
      </c>
    </row>
    <row r="2106" ht="51">
      <c r="A2106" t="s">
        <v>2030</v>
      </c>
      <c r="B2106" s="19">
        <v>92102</v>
      </c>
      <c r="C2106" s="20" t="s">
        <v>2160</v>
      </c>
      <c r="D2106" s="19" t="s">
        <v>2032</v>
      </c>
      <c r="E2106" s="21">
        <f t="shared" si="95"/>
        <v>14.83</v>
      </c>
      <c r="F2106" s="22">
        <v>0</v>
      </c>
      <c r="G2106" s="21">
        <f t="shared" si="96"/>
        <v>14.83</v>
      </c>
      <c r="H2106" s="22">
        <v>0</v>
      </c>
      <c r="I2106" s="23" t="str">
        <f t="shared" si="97"/>
        <v xml:space="preserve">COM VALOR</v>
      </c>
      <c r="J2106" s="19"/>
      <c r="L2106" s="21">
        <v>14.83</v>
      </c>
      <c r="M2106" s="22">
        <v>1</v>
      </c>
      <c r="N2106" s="21">
        <v>14.83</v>
      </c>
      <c r="O2106" s="22">
        <v>1</v>
      </c>
    </row>
    <row r="2107" ht="51">
      <c r="A2107" t="s">
        <v>2030</v>
      </c>
      <c r="B2107" s="19">
        <v>92104</v>
      </c>
      <c r="C2107" s="20" t="s">
        <v>2161</v>
      </c>
      <c r="D2107" s="19" t="s">
        <v>2032</v>
      </c>
      <c r="E2107" s="21">
        <f t="shared" si="95"/>
        <v>74.769999999999996</v>
      </c>
      <c r="F2107" s="22"/>
      <c r="G2107" s="21">
        <f t="shared" si="96"/>
        <v>74.769999999999996</v>
      </c>
      <c r="H2107" s="22"/>
      <c r="I2107" s="23" t="str">
        <f t="shared" si="97"/>
        <v xml:space="preserve">COM VALOR</v>
      </c>
      <c r="J2107" s="19"/>
      <c r="L2107" s="21">
        <v>74.769999999999996</v>
      </c>
      <c r="M2107" s="22">
        <v>1</v>
      </c>
      <c r="N2107" s="21">
        <v>74.769999999999996</v>
      </c>
      <c r="O2107" s="22">
        <v>1</v>
      </c>
    </row>
    <row r="2108" ht="51">
      <c r="A2108" t="s">
        <v>2030</v>
      </c>
      <c r="B2108" s="19">
        <v>91396</v>
      </c>
      <c r="C2108" s="20" t="s">
        <v>2162</v>
      </c>
      <c r="D2108" s="19" t="s">
        <v>2032</v>
      </c>
      <c r="E2108" s="21">
        <f t="shared" si="95"/>
        <v>30.48</v>
      </c>
      <c r="F2108" s="22"/>
      <c r="G2108" s="21">
        <f t="shared" si="96"/>
        <v>30.48</v>
      </c>
      <c r="H2108" s="22"/>
      <c r="I2108" s="23" t="str">
        <f t="shared" si="97"/>
        <v xml:space="preserve">COM VALOR</v>
      </c>
      <c r="J2108" s="19"/>
      <c r="L2108" s="21">
        <v>30.48</v>
      </c>
      <c r="M2108" s="22">
        <v>1</v>
      </c>
      <c r="N2108" s="21">
        <v>30.48</v>
      </c>
      <c r="O2108" s="22">
        <v>1</v>
      </c>
    </row>
    <row r="2109" ht="51">
      <c r="A2109" t="s">
        <v>2030</v>
      </c>
      <c r="B2109" s="19">
        <v>91398</v>
      </c>
      <c r="C2109" s="20" t="s">
        <v>2163</v>
      </c>
      <c r="D2109" s="19" t="s">
        <v>2032</v>
      </c>
      <c r="E2109" s="21">
        <f t="shared" si="95"/>
        <v>4.75</v>
      </c>
      <c r="F2109" s="22"/>
      <c r="G2109" s="21">
        <f t="shared" si="96"/>
        <v>4.75</v>
      </c>
      <c r="H2109" s="22"/>
      <c r="I2109" s="23" t="str">
        <f t="shared" si="97"/>
        <v xml:space="preserve">COM VALOR</v>
      </c>
      <c r="J2109" s="19"/>
      <c r="L2109" s="21">
        <v>4.75</v>
      </c>
      <c r="M2109" s="22">
        <v>1</v>
      </c>
      <c r="N2109" s="21">
        <v>4.75</v>
      </c>
      <c r="O2109" s="22">
        <v>1</v>
      </c>
    </row>
    <row r="2110" ht="51">
      <c r="A2110" t="s">
        <v>2030</v>
      </c>
      <c r="B2110" s="19">
        <v>91397</v>
      </c>
      <c r="C2110" s="20" t="s">
        <v>2164</v>
      </c>
      <c r="D2110" s="19" t="s">
        <v>2032</v>
      </c>
      <c r="E2110" s="21">
        <f t="shared" si="95"/>
        <v>11.789999999999999</v>
      </c>
      <c r="F2110" s="22">
        <v>0</v>
      </c>
      <c r="G2110" s="21">
        <f t="shared" si="96"/>
        <v>11.789999999999999</v>
      </c>
      <c r="H2110" s="22">
        <v>0</v>
      </c>
      <c r="I2110" s="23" t="str">
        <f t="shared" si="97"/>
        <v xml:space="preserve">COM VALOR</v>
      </c>
      <c r="J2110" s="19"/>
      <c r="L2110" s="21">
        <v>11.789999999999999</v>
      </c>
      <c r="M2110" s="22">
        <v>1</v>
      </c>
      <c r="N2110" s="21">
        <v>11.789999999999999</v>
      </c>
      <c r="O2110" s="22">
        <v>1</v>
      </c>
    </row>
    <row r="2111" ht="51">
      <c r="A2111" t="s">
        <v>2030</v>
      </c>
      <c r="B2111" s="19">
        <v>5763</v>
      </c>
      <c r="C2111" s="20" t="s">
        <v>2165</v>
      </c>
      <c r="D2111" s="19" t="s">
        <v>2032</v>
      </c>
      <c r="E2111" s="21">
        <f t="shared" si="95"/>
        <v>54.079999999999998</v>
      </c>
      <c r="F2111" s="22"/>
      <c r="G2111" s="21">
        <f t="shared" si="96"/>
        <v>54.079999999999998</v>
      </c>
      <c r="H2111" s="22"/>
      <c r="I2111" s="23" t="str">
        <f t="shared" si="97"/>
        <v xml:space="preserve">COM VALOR</v>
      </c>
      <c r="J2111" s="19"/>
      <c r="L2111" s="21">
        <v>54.079999999999998</v>
      </c>
      <c r="M2111" s="22">
        <v>1</v>
      </c>
      <c r="N2111" s="21">
        <v>54.079999999999998</v>
      </c>
      <c r="O2111" s="22">
        <v>1</v>
      </c>
    </row>
    <row r="2112" ht="51">
      <c r="A2112" t="s">
        <v>2030</v>
      </c>
      <c r="B2112" s="19">
        <v>53831</v>
      </c>
      <c r="C2112" s="20" t="s">
        <v>2166</v>
      </c>
      <c r="D2112" s="19" t="s">
        <v>2032</v>
      </c>
      <c r="E2112" s="21">
        <f t="shared" si="95"/>
        <v>218.36000000000001</v>
      </c>
      <c r="F2112" s="22"/>
      <c r="G2112" s="21">
        <f t="shared" si="96"/>
        <v>218.36000000000001</v>
      </c>
      <c r="H2112" s="22"/>
      <c r="I2112" s="23" t="str">
        <f t="shared" si="97"/>
        <v xml:space="preserve">COM VALOR</v>
      </c>
      <c r="J2112" s="19"/>
      <c r="L2112" s="21">
        <v>218.36000000000001</v>
      </c>
      <c r="M2112" s="22">
        <v>0</v>
      </c>
      <c r="N2112" s="21">
        <v>218.36000000000001</v>
      </c>
      <c r="O2112" s="22">
        <v>0</v>
      </c>
    </row>
    <row r="2113" ht="51">
      <c r="A2113" t="s">
        <v>2030</v>
      </c>
      <c r="B2113" s="19">
        <v>106222</v>
      </c>
      <c r="C2113" s="20" t="s">
        <v>2167</v>
      </c>
      <c r="D2113" s="19" t="s">
        <v>2032</v>
      </c>
      <c r="E2113" s="21">
        <f t="shared" si="95"/>
        <v>30.309999999999999</v>
      </c>
      <c r="F2113" s="22"/>
      <c r="G2113" s="21">
        <f t="shared" si="96"/>
        <v>30.309999999999999</v>
      </c>
      <c r="H2113" s="22"/>
      <c r="I2113" s="23" t="str">
        <f t="shared" si="97"/>
        <v xml:space="preserve">COM VALOR</v>
      </c>
      <c r="J2113" s="19"/>
      <c r="L2113" s="21">
        <v>30.309999999999999</v>
      </c>
      <c r="M2113" s="22">
        <v>1</v>
      </c>
      <c r="N2113" s="21">
        <v>30.309999999999999</v>
      </c>
      <c r="O2113" s="22">
        <v>1</v>
      </c>
    </row>
    <row r="2114" ht="51">
      <c r="A2114" t="s">
        <v>2030</v>
      </c>
      <c r="B2114" s="19">
        <v>106225</v>
      </c>
      <c r="C2114" s="20" t="s">
        <v>2168</v>
      </c>
      <c r="D2114" s="19" t="s">
        <v>2032</v>
      </c>
      <c r="E2114" s="21">
        <f t="shared" si="95"/>
        <v>4.6699999999999999</v>
      </c>
      <c r="F2114" s="22">
        <v>0</v>
      </c>
      <c r="G2114" s="21">
        <f t="shared" si="96"/>
        <v>4.6699999999999999</v>
      </c>
      <c r="H2114" s="22">
        <v>0</v>
      </c>
      <c r="I2114" s="23" t="str">
        <f t="shared" si="97"/>
        <v xml:space="preserve">COM VALOR</v>
      </c>
      <c r="J2114" s="19"/>
      <c r="L2114" s="21">
        <v>4.6699999999999999</v>
      </c>
      <c r="M2114" s="22">
        <v>1</v>
      </c>
      <c r="N2114" s="21">
        <v>4.6699999999999999</v>
      </c>
      <c r="O2114" s="22">
        <v>1</v>
      </c>
    </row>
    <row r="2115" ht="51">
      <c r="A2115" t="s">
        <v>2030</v>
      </c>
      <c r="B2115" s="19">
        <v>106223</v>
      </c>
      <c r="C2115" s="20" t="s">
        <v>2169</v>
      </c>
      <c r="D2115" s="19" t="s">
        <v>2032</v>
      </c>
      <c r="E2115" s="21">
        <f t="shared" si="95"/>
        <v>11.550000000000001</v>
      </c>
      <c r="F2115" s="22"/>
      <c r="G2115" s="21">
        <f t="shared" si="96"/>
        <v>11.550000000000001</v>
      </c>
      <c r="H2115" s="22"/>
      <c r="I2115" s="23" t="str">
        <f t="shared" si="97"/>
        <v xml:space="preserve">COM VALOR</v>
      </c>
      <c r="J2115" s="19"/>
      <c r="L2115" s="21">
        <v>11.550000000000001</v>
      </c>
      <c r="M2115" s="22">
        <v>1</v>
      </c>
      <c r="N2115" s="21">
        <v>11.550000000000001</v>
      </c>
      <c r="O2115" s="22">
        <v>1</v>
      </c>
    </row>
    <row r="2116" ht="51">
      <c r="A2116" t="s">
        <v>2030</v>
      </c>
      <c r="B2116" s="19">
        <v>106224</v>
      </c>
      <c r="C2116" s="20" t="s">
        <v>2170</v>
      </c>
      <c r="D2116" s="19" t="s">
        <v>2032</v>
      </c>
      <c r="E2116" s="21">
        <f t="shared" si="95"/>
        <v>53.030000000000001</v>
      </c>
      <c r="F2116" s="22"/>
      <c r="G2116" s="21">
        <f t="shared" si="96"/>
        <v>53.030000000000001</v>
      </c>
      <c r="H2116" s="22"/>
      <c r="I2116" s="23" t="str">
        <f t="shared" si="97"/>
        <v xml:space="preserve">COM VALOR</v>
      </c>
      <c r="J2116" s="19"/>
      <c r="L2116" s="21">
        <v>53.030000000000001</v>
      </c>
      <c r="M2116" s="22">
        <v>1</v>
      </c>
      <c r="N2116" s="21">
        <v>53.030000000000001</v>
      </c>
      <c r="O2116" s="22">
        <v>1</v>
      </c>
    </row>
    <row r="2117" ht="51">
      <c r="A2117" t="s">
        <v>2030</v>
      </c>
      <c r="B2117" s="19">
        <v>106226</v>
      </c>
      <c r="C2117" s="20" t="s">
        <v>2171</v>
      </c>
      <c r="D2117" s="19" t="s">
        <v>2032</v>
      </c>
      <c r="E2117" s="21">
        <f t="shared" si="95"/>
        <v>179.12</v>
      </c>
      <c r="F2117" s="22"/>
      <c r="G2117" s="21">
        <f t="shared" si="96"/>
        <v>179.12</v>
      </c>
      <c r="H2117" s="22"/>
      <c r="I2117" s="23" t="str">
        <f t="shared" si="97"/>
        <v xml:space="preserve">COM VALOR</v>
      </c>
      <c r="J2117" s="19"/>
      <c r="L2117" s="21">
        <v>179.12</v>
      </c>
      <c r="M2117" s="22">
        <v>0</v>
      </c>
      <c r="N2117" s="21">
        <v>179.12</v>
      </c>
      <c r="O2117" s="22">
        <v>0</v>
      </c>
    </row>
    <row r="2118" ht="38.25">
      <c r="A2118" t="s">
        <v>2030</v>
      </c>
      <c r="B2118" s="19">
        <v>91359</v>
      </c>
      <c r="C2118" s="20" t="s">
        <v>2172</v>
      </c>
      <c r="D2118" s="19" t="s">
        <v>2032</v>
      </c>
      <c r="E2118" s="21">
        <f t="shared" si="95"/>
        <v>21.969999999999999</v>
      </c>
      <c r="F2118" s="22">
        <v>0</v>
      </c>
      <c r="G2118" s="21">
        <f t="shared" si="96"/>
        <v>21.969999999999999</v>
      </c>
      <c r="H2118" s="22">
        <v>0</v>
      </c>
      <c r="I2118" s="23" t="str">
        <f t="shared" si="97"/>
        <v xml:space="preserve">COM VALOR</v>
      </c>
      <c r="J2118" s="19"/>
      <c r="L2118" s="21">
        <v>21.969999999999999</v>
      </c>
      <c r="M2118" s="22">
        <v>1</v>
      </c>
      <c r="N2118" s="21">
        <v>21.969999999999999</v>
      </c>
      <c r="O2118" s="22">
        <v>1</v>
      </c>
    </row>
    <row r="2119" ht="51">
      <c r="A2119" t="s">
        <v>2030</v>
      </c>
      <c r="B2119" s="19">
        <v>91361</v>
      </c>
      <c r="C2119" s="20" t="s">
        <v>2173</v>
      </c>
      <c r="D2119" s="19" t="s">
        <v>2032</v>
      </c>
      <c r="E2119" s="21">
        <f t="shared" si="95"/>
        <v>3.3999999999999999</v>
      </c>
      <c r="F2119" s="22"/>
      <c r="G2119" s="21">
        <f t="shared" si="96"/>
        <v>3.3999999999999999</v>
      </c>
      <c r="H2119" s="22"/>
      <c r="I2119" s="23" t="str">
        <f t="shared" si="97"/>
        <v xml:space="preserve">COM VALOR</v>
      </c>
      <c r="J2119" s="19"/>
      <c r="L2119" s="21">
        <v>3.3999999999999999</v>
      </c>
      <c r="M2119" s="22">
        <v>1</v>
      </c>
      <c r="N2119" s="21">
        <v>3.3999999999999999</v>
      </c>
      <c r="O2119" s="22">
        <v>1</v>
      </c>
    </row>
    <row r="2120" ht="38.25">
      <c r="A2120" t="s">
        <v>2030</v>
      </c>
      <c r="B2120" s="19">
        <v>91360</v>
      </c>
      <c r="C2120" s="20" t="s">
        <v>2174</v>
      </c>
      <c r="D2120" s="19" t="s">
        <v>2032</v>
      </c>
      <c r="E2120" s="21">
        <f t="shared" si="95"/>
        <v>8.4100000000000001</v>
      </c>
      <c r="F2120" s="22"/>
      <c r="G2120" s="21">
        <f t="shared" si="96"/>
        <v>8.4100000000000001</v>
      </c>
      <c r="H2120" s="22"/>
      <c r="I2120" s="23" t="str">
        <f t="shared" si="97"/>
        <v xml:space="preserve">COM VALOR</v>
      </c>
      <c r="J2120" s="19"/>
      <c r="L2120" s="21">
        <v>8.4100000000000001</v>
      </c>
      <c r="M2120" s="22">
        <v>1</v>
      </c>
      <c r="N2120" s="21">
        <v>8.4100000000000001</v>
      </c>
      <c r="O2120" s="22">
        <v>1</v>
      </c>
    </row>
    <row r="2121" ht="38.25">
      <c r="A2121" t="s">
        <v>2030</v>
      </c>
      <c r="B2121" s="19">
        <v>53882</v>
      </c>
      <c r="C2121" s="20" t="s">
        <v>2175</v>
      </c>
      <c r="D2121" s="19" t="s">
        <v>2032</v>
      </c>
      <c r="E2121" s="21">
        <f t="shared" si="95"/>
        <v>38.630000000000003</v>
      </c>
      <c r="F2121" s="22"/>
      <c r="G2121" s="21">
        <f t="shared" si="96"/>
        <v>38.630000000000003</v>
      </c>
      <c r="H2121" s="22"/>
      <c r="I2121" s="23" t="str">
        <f t="shared" si="97"/>
        <v xml:space="preserve">COM VALOR</v>
      </c>
      <c r="J2121" s="19"/>
      <c r="L2121" s="21">
        <v>38.630000000000003</v>
      </c>
      <c r="M2121" s="22">
        <v>1</v>
      </c>
      <c r="N2121" s="21">
        <v>38.630000000000003</v>
      </c>
      <c r="O2121" s="22">
        <v>1</v>
      </c>
    </row>
    <row r="2122" ht="51">
      <c r="A2122" t="s">
        <v>2030</v>
      </c>
      <c r="B2122" s="19">
        <v>5747</v>
      </c>
      <c r="C2122" s="20" t="s">
        <v>2176</v>
      </c>
      <c r="D2122" s="19" t="s">
        <v>2032</v>
      </c>
      <c r="E2122" s="21">
        <f t="shared" si="95"/>
        <v>179.44999999999999</v>
      </c>
      <c r="F2122" s="22">
        <v>0</v>
      </c>
      <c r="G2122" s="21">
        <f t="shared" si="96"/>
        <v>179.44999999999999</v>
      </c>
      <c r="H2122" s="22">
        <v>0</v>
      </c>
      <c r="I2122" s="23" t="str">
        <f t="shared" si="97"/>
        <v xml:space="preserve">COM VALOR</v>
      </c>
      <c r="J2122" s="19"/>
      <c r="L2122" s="21">
        <v>179.44999999999999</v>
      </c>
      <c r="M2122" s="22">
        <v>0</v>
      </c>
      <c r="N2122" s="21">
        <v>179.44999999999999</v>
      </c>
      <c r="O2122" s="22">
        <v>0</v>
      </c>
    </row>
    <row r="2123" ht="38.25">
      <c r="A2123" t="s">
        <v>2030</v>
      </c>
      <c r="B2123" s="19">
        <v>104699</v>
      </c>
      <c r="C2123" s="20" t="s">
        <v>2177</v>
      </c>
      <c r="D2123" s="19" t="s">
        <v>2032</v>
      </c>
      <c r="E2123" s="21" t="str">
        <f t="shared" ref="E2123:E2186" si="98">IF(L2123=0,"VERIFICAR",L2123)</f>
        <v>VERIFICAR</v>
      </c>
      <c r="F2123" s="22">
        <v>0</v>
      </c>
      <c r="G2123" s="21" t="str">
        <f t="shared" ref="G2123:G2186" si="99">IF(N2123=0,"VERIFICAR",N2123)</f>
        <v>VERIFICAR</v>
      </c>
      <c r="H2123" s="22">
        <v>0</v>
      </c>
      <c r="I2123" s="23" t="str">
        <f t="shared" ref="I2123:I2186" si="100">IF(OR(E2123=0,G2123=0),"SEM VALOR","COM VALOR")</f>
        <v xml:space="preserve">COM VALOR</v>
      </c>
      <c r="J2123" s="19"/>
      <c r="L2123" s="21">
        <v>0</v>
      </c>
      <c r="M2123" s="22"/>
      <c r="N2123" s="21">
        <v>0</v>
      </c>
      <c r="O2123" s="22"/>
    </row>
    <row r="2124" ht="38.25">
      <c r="A2124" t="s">
        <v>2030</v>
      </c>
      <c r="B2124" s="19">
        <v>104702</v>
      </c>
      <c r="C2124" s="20" t="s">
        <v>2178</v>
      </c>
      <c r="D2124" s="19" t="s">
        <v>2032</v>
      </c>
      <c r="E2124" s="21" t="str">
        <f t="shared" si="98"/>
        <v>VERIFICAR</v>
      </c>
      <c r="F2124" s="22">
        <v>0</v>
      </c>
      <c r="G2124" s="21" t="str">
        <f t="shared" si="99"/>
        <v>VERIFICAR</v>
      </c>
      <c r="H2124" s="22">
        <v>0</v>
      </c>
      <c r="I2124" s="23" t="str">
        <f t="shared" si="100"/>
        <v xml:space="preserve">COM VALOR</v>
      </c>
      <c r="J2124" s="19"/>
      <c r="L2124" s="21">
        <v>0</v>
      </c>
      <c r="M2124" s="22"/>
      <c r="N2124" s="21">
        <v>0</v>
      </c>
      <c r="O2124" s="22"/>
    </row>
    <row r="2125" ht="38.25">
      <c r="A2125" t="s">
        <v>2030</v>
      </c>
      <c r="B2125" s="19">
        <v>104700</v>
      </c>
      <c r="C2125" s="20" t="s">
        <v>2179</v>
      </c>
      <c r="D2125" s="19" t="s">
        <v>2032</v>
      </c>
      <c r="E2125" s="21" t="str">
        <f t="shared" si="98"/>
        <v>VERIFICAR</v>
      </c>
      <c r="F2125" s="22">
        <v>0</v>
      </c>
      <c r="G2125" s="21" t="str">
        <f t="shared" si="99"/>
        <v>VERIFICAR</v>
      </c>
      <c r="H2125" s="22">
        <v>0</v>
      </c>
      <c r="I2125" s="23" t="str">
        <f t="shared" si="100"/>
        <v xml:space="preserve">COM VALOR</v>
      </c>
      <c r="J2125" s="19"/>
      <c r="L2125" s="21">
        <v>0</v>
      </c>
      <c r="M2125" s="22"/>
      <c r="N2125" s="21">
        <v>0</v>
      </c>
      <c r="O2125" s="22"/>
    </row>
    <row r="2126" ht="38.25">
      <c r="A2126" t="s">
        <v>2030</v>
      </c>
      <c r="B2126" s="19">
        <v>104701</v>
      </c>
      <c r="C2126" s="20" t="s">
        <v>2180</v>
      </c>
      <c r="D2126" s="19" t="s">
        <v>2032</v>
      </c>
      <c r="E2126" s="21" t="str">
        <f t="shared" si="98"/>
        <v>VERIFICAR</v>
      </c>
      <c r="F2126" s="22">
        <v>0</v>
      </c>
      <c r="G2126" s="21" t="str">
        <f t="shared" si="99"/>
        <v>VERIFICAR</v>
      </c>
      <c r="H2126" s="22">
        <v>0</v>
      </c>
      <c r="I2126" s="23" t="str">
        <f t="shared" si="100"/>
        <v xml:space="preserve">COM VALOR</v>
      </c>
      <c r="J2126" s="19"/>
      <c r="L2126" s="21">
        <v>0</v>
      </c>
      <c r="M2126" s="22"/>
      <c r="N2126" s="21">
        <v>0</v>
      </c>
      <c r="O2126" s="22"/>
    </row>
    <row r="2127" ht="51">
      <c r="A2127" t="s">
        <v>2030</v>
      </c>
      <c r="B2127" s="19">
        <v>104703</v>
      </c>
      <c r="C2127" s="20" t="s">
        <v>2181</v>
      </c>
      <c r="D2127" s="19" t="s">
        <v>2032</v>
      </c>
      <c r="E2127" s="21">
        <f t="shared" si="98"/>
        <v>104.97</v>
      </c>
      <c r="F2127" s="22">
        <v>1</v>
      </c>
      <c r="G2127" s="21">
        <f t="shared" si="99"/>
        <v>104.97</v>
      </c>
      <c r="H2127" s="22">
        <v>1</v>
      </c>
      <c r="I2127" s="23" t="str">
        <f t="shared" si="100"/>
        <v xml:space="preserve">COM VALOR</v>
      </c>
      <c r="J2127" s="19"/>
      <c r="L2127" s="21">
        <v>104.97</v>
      </c>
      <c r="M2127" s="22">
        <v>0</v>
      </c>
      <c r="N2127" s="21">
        <v>104.97</v>
      </c>
      <c r="O2127" s="22">
        <v>0</v>
      </c>
    </row>
    <row r="2128" ht="51">
      <c r="A2128" t="s">
        <v>2030</v>
      </c>
      <c r="B2128" s="19">
        <v>91390</v>
      </c>
      <c r="C2128" s="20" t="s">
        <v>2182</v>
      </c>
      <c r="D2128" s="19" t="s">
        <v>2032</v>
      </c>
      <c r="E2128" s="21">
        <f t="shared" si="98"/>
        <v>20.129999999999999</v>
      </c>
      <c r="F2128" s="22">
        <v>1</v>
      </c>
      <c r="G2128" s="21">
        <f t="shared" si="99"/>
        <v>20.129999999999999</v>
      </c>
      <c r="H2128" s="22">
        <v>1</v>
      </c>
      <c r="I2128" s="23" t="str">
        <f t="shared" si="100"/>
        <v xml:space="preserve">COM VALOR</v>
      </c>
      <c r="J2128" s="19"/>
      <c r="L2128" s="21">
        <v>20.129999999999999</v>
      </c>
      <c r="M2128" s="22">
        <v>1</v>
      </c>
      <c r="N2128" s="21">
        <v>20.129999999999999</v>
      </c>
      <c r="O2128" s="22">
        <v>1</v>
      </c>
    </row>
    <row r="2129" ht="51">
      <c r="A2129" t="s">
        <v>2030</v>
      </c>
      <c r="B2129" s="19">
        <v>91392</v>
      </c>
      <c r="C2129" s="20" t="s">
        <v>2183</v>
      </c>
      <c r="D2129" s="19" t="s">
        <v>2032</v>
      </c>
      <c r="E2129" s="21">
        <f t="shared" si="98"/>
        <v>3.2400000000000002</v>
      </c>
      <c r="F2129" s="22">
        <v>1</v>
      </c>
      <c r="G2129" s="21">
        <f t="shared" si="99"/>
        <v>3.2400000000000002</v>
      </c>
      <c r="H2129" s="22">
        <v>1</v>
      </c>
      <c r="I2129" s="23" t="str">
        <f t="shared" si="100"/>
        <v xml:space="preserve">COM VALOR</v>
      </c>
      <c r="J2129" s="19"/>
      <c r="L2129" s="21">
        <v>3.2400000000000002</v>
      </c>
      <c r="M2129" s="22">
        <v>1</v>
      </c>
      <c r="N2129" s="21">
        <v>3.2400000000000002</v>
      </c>
      <c r="O2129" s="22">
        <v>1</v>
      </c>
    </row>
    <row r="2130" ht="51">
      <c r="A2130" t="s">
        <v>2030</v>
      </c>
      <c r="B2130" s="19">
        <v>91391</v>
      </c>
      <c r="C2130" s="20" t="s">
        <v>2184</v>
      </c>
      <c r="D2130" s="19" t="s">
        <v>2032</v>
      </c>
      <c r="E2130" s="21">
        <f t="shared" si="98"/>
        <v>8.0199999999999996</v>
      </c>
      <c r="F2130" s="22">
        <v>0</v>
      </c>
      <c r="G2130" s="21">
        <f t="shared" si="99"/>
        <v>8.0199999999999996</v>
      </c>
      <c r="H2130" s="22">
        <v>0</v>
      </c>
      <c r="I2130" s="23" t="str">
        <f t="shared" si="100"/>
        <v xml:space="preserve">COM VALOR</v>
      </c>
      <c r="J2130" s="19"/>
      <c r="L2130" s="21">
        <v>8.0199999999999996</v>
      </c>
      <c r="M2130" s="22">
        <v>1</v>
      </c>
      <c r="N2130" s="21">
        <v>8.0199999999999996</v>
      </c>
      <c r="O2130" s="22">
        <v>1</v>
      </c>
    </row>
    <row r="2131" ht="51">
      <c r="A2131" t="s">
        <v>2030</v>
      </c>
      <c r="B2131" s="19">
        <v>73335</v>
      </c>
      <c r="C2131" s="20" t="s">
        <v>2185</v>
      </c>
      <c r="D2131" s="19" t="s">
        <v>2032</v>
      </c>
      <c r="E2131" s="21">
        <f t="shared" si="98"/>
        <v>36.710000000000001</v>
      </c>
      <c r="F2131" s="22">
        <v>1</v>
      </c>
      <c r="G2131" s="21">
        <f t="shared" si="99"/>
        <v>36.710000000000001</v>
      </c>
      <c r="H2131" s="22">
        <v>1</v>
      </c>
      <c r="I2131" s="23" t="str">
        <f t="shared" si="100"/>
        <v xml:space="preserve">COM VALOR</v>
      </c>
      <c r="J2131" s="19"/>
      <c r="L2131" s="21">
        <v>36.710000000000001</v>
      </c>
      <c r="M2131" s="22">
        <v>1</v>
      </c>
      <c r="N2131" s="21">
        <v>36.710000000000001</v>
      </c>
      <c r="O2131" s="22">
        <v>1</v>
      </c>
    </row>
    <row r="2132" ht="51">
      <c r="A2132" t="s">
        <v>2030</v>
      </c>
      <c r="B2132" s="19">
        <v>73340</v>
      </c>
      <c r="C2132" s="20" t="s">
        <v>2186</v>
      </c>
      <c r="D2132" s="19" t="s">
        <v>2032</v>
      </c>
      <c r="E2132" s="21">
        <f t="shared" si="98"/>
        <v>175.65000000000001</v>
      </c>
      <c r="F2132" s="22">
        <v>1</v>
      </c>
      <c r="G2132" s="21">
        <f t="shared" si="99"/>
        <v>175.65000000000001</v>
      </c>
      <c r="H2132" s="22">
        <v>1</v>
      </c>
      <c r="I2132" s="23" t="str">
        <f t="shared" si="100"/>
        <v xml:space="preserve">COM VALOR</v>
      </c>
      <c r="J2132" s="19"/>
      <c r="L2132" s="21">
        <v>175.65000000000001</v>
      </c>
      <c r="M2132" s="22">
        <v>0</v>
      </c>
      <c r="N2132" s="21">
        <v>175.65000000000001</v>
      </c>
      <c r="O2132" s="22">
        <v>0</v>
      </c>
    </row>
    <row r="2133" ht="51">
      <c r="A2133" t="s">
        <v>2030</v>
      </c>
      <c r="B2133" s="19">
        <v>89264</v>
      </c>
      <c r="C2133" s="20" t="s">
        <v>2187</v>
      </c>
      <c r="D2133" s="19" t="s">
        <v>2032</v>
      </c>
      <c r="E2133" s="21">
        <f t="shared" si="98"/>
        <v>22.059999999999999</v>
      </c>
      <c r="F2133" s="22">
        <v>1</v>
      </c>
      <c r="G2133" s="21">
        <f t="shared" si="99"/>
        <v>22.059999999999999</v>
      </c>
      <c r="H2133" s="22">
        <v>1</v>
      </c>
      <c r="I2133" s="23" t="str">
        <f t="shared" si="100"/>
        <v xml:space="preserve">COM VALOR</v>
      </c>
      <c r="J2133" s="19"/>
      <c r="L2133" s="21">
        <v>22.059999999999999</v>
      </c>
      <c r="M2133" s="22">
        <v>1</v>
      </c>
      <c r="N2133" s="21">
        <v>22.059999999999999</v>
      </c>
      <c r="O2133" s="22">
        <v>1</v>
      </c>
    </row>
    <row r="2134" ht="51">
      <c r="A2134" t="s">
        <v>2030</v>
      </c>
      <c r="B2134" s="19">
        <v>89266</v>
      </c>
      <c r="C2134" s="20" t="s">
        <v>2188</v>
      </c>
      <c r="D2134" s="19" t="s">
        <v>2032</v>
      </c>
      <c r="E2134" s="21">
        <f t="shared" si="98"/>
        <v>3.5499999999999998</v>
      </c>
      <c r="F2134" s="22">
        <v>0</v>
      </c>
      <c r="G2134" s="21">
        <f t="shared" si="99"/>
        <v>3.5499999999999998</v>
      </c>
      <c r="H2134" s="22">
        <v>0</v>
      </c>
      <c r="I2134" s="23" t="str">
        <f t="shared" si="100"/>
        <v xml:space="preserve">COM VALOR</v>
      </c>
      <c r="J2134" s="19"/>
      <c r="L2134" s="21">
        <v>3.5499999999999998</v>
      </c>
      <c r="M2134" s="22">
        <v>1</v>
      </c>
      <c r="N2134" s="21">
        <v>3.5499999999999998</v>
      </c>
      <c r="O2134" s="22">
        <v>1</v>
      </c>
    </row>
    <row r="2135" ht="51">
      <c r="A2135" t="s">
        <v>2030</v>
      </c>
      <c r="B2135" s="19">
        <v>89265</v>
      </c>
      <c r="C2135" s="20" t="s">
        <v>2189</v>
      </c>
      <c r="D2135" s="19" t="s">
        <v>2032</v>
      </c>
      <c r="E2135" s="21">
        <f t="shared" si="98"/>
        <v>8.8000000000000007</v>
      </c>
      <c r="F2135" s="22">
        <v>1</v>
      </c>
      <c r="G2135" s="21">
        <f t="shared" si="99"/>
        <v>8.8000000000000007</v>
      </c>
      <c r="H2135" s="22">
        <v>1</v>
      </c>
      <c r="I2135" s="23" t="str">
        <f t="shared" si="100"/>
        <v xml:space="preserve">COM VALOR</v>
      </c>
      <c r="J2135" s="19"/>
      <c r="L2135" s="21">
        <v>8.8000000000000007</v>
      </c>
      <c r="M2135" s="22">
        <v>1</v>
      </c>
      <c r="N2135" s="21">
        <v>8.8000000000000007</v>
      </c>
      <c r="O2135" s="22">
        <v>1</v>
      </c>
    </row>
    <row r="2136" ht="51">
      <c r="A2136" t="s">
        <v>2030</v>
      </c>
      <c r="B2136" s="19">
        <v>5705</v>
      </c>
      <c r="C2136" s="20" t="s">
        <v>2190</v>
      </c>
      <c r="D2136" s="19" t="s">
        <v>2032</v>
      </c>
      <c r="E2136" s="21">
        <f t="shared" si="98"/>
        <v>40.25</v>
      </c>
      <c r="F2136" s="22">
        <v>1</v>
      </c>
      <c r="G2136" s="21">
        <f t="shared" si="99"/>
        <v>40.25</v>
      </c>
      <c r="H2136" s="22">
        <v>1</v>
      </c>
      <c r="I2136" s="23" t="str">
        <f t="shared" si="100"/>
        <v xml:space="preserve">COM VALOR</v>
      </c>
      <c r="J2136" s="19"/>
      <c r="L2136" s="21">
        <v>40.25</v>
      </c>
      <c r="M2136" s="22">
        <v>1</v>
      </c>
      <c r="N2136" s="21">
        <v>40.25</v>
      </c>
      <c r="O2136" s="22">
        <v>1</v>
      </c>
    </row>
    <row r="2137" ht="51">
      <c r="A2137" t="s">
        <v>2030</v>
      </c>
      <c r="B2137" s="19">
        <v>53797</v>
      </c>
      <c r="C2137" s="20" t="s">
        <v>2191</v>
      </c>
      <c r="D2137" s="19" t="s">
        <v>2032</v>
      </c>
      <c r="E2137" s="21">
        <f t="shared" si="98"/>
        <v>132.19999999999999</v>
      </c>
      <c r="F2137" s="22">
        <v>1</v>
      </c>
      <c r="G2137" s="21">
        <f t="shared" si="99"/>
        <v>132.19999999999999</v>
      </c>
      <c r="H2137" s="22">
        <v>1</v>
      </c>
      <c r="I2137" s="23" t="str">
        <f t="shared" si="100"/>
        <v xml:space="preserve">COM VALOR</v>
      </c>
      <c r="J2137" s="19"/>
      <c r="L2137" s="21">
        <v>132.19999999999999</v>
      </c>
      <c r="M2137" s="22">
        <v>0</v>
      </c>
      <c r="N2137" s="21">
        <v>132.19999999999999</v>
      </c>
      <c r="O2137" s="22">
        <v>0</v>
      </c>
    </row>
    <row r="2138" ht="63.75">
      <c r="A2138" t="s">
        <v>2030</v>
      </c>
      <c r="B2138" s="19">
        <v>106327</v>
      </c>
      <c r="C2138" s="20" t="s">
        <v>2192</v>
      </c>
      <c r="D2138" s="19" t="s">
        <v>2032</v>
      </c>
      <c r="E2138" s="21" t="str">
        <f t="shared" si="98"/>
        <v>VERIFICAR</v>
      </c>
      <c r="F2138" s="22"/>
      <c r="G2138" s="21" t="str">
        <f t="shared" si="99"/>
        <v>VERIFICAR</v>
      </c>
      <c r="H2138" s="22"/>
      <c r="I2138" s="23" t="str">
        <f t="shared" si="100"/>
        <v xml:space="preserve">COM VALOR</v>
      </c>
      <c r="J2138" s="19"/>
      <c r="L2138" s="21">
        <v>0</v>
      </c>
      <c r="M2138" s="22"/>
      <c r="N2138" s="21">
        <v>0</v>
      </c>
      <c r="O2138" s="22"/>
    </row>
    <row r="2139" ht="63.75">
      <c r="A2139" t="s">
        <v>2030</v>
      </c>
      <c r="B2139" s="19">
        <v>106330</v>
      </c>
      <c r="C2139" s="20" t="s">
        <v>2193</v>
      </c>
      <c r="D2139" s="19" t="s">
        <v>2032</v>
      </c>
      <c r="E2139" s="21" t="str">
        <f t="shared" si="98"/>
        <v>VERIFICAR</v>
      </c>
      <c r="F2139" s="22"/>
      <c r="G2139" s="21" t="str">
        <f t="shared" si="99"/>
        <v>VERIFICAR</v>
      </c>
      <c r="H2139" s="22"/>
      <c r="I2139" s="23" t="str">
        <f t="shared" si="100"/>
        <v xml:space="preserve">COM VALOR</v>
      </c>
      <c r="J2139" s="19"/>
      <c r="L2139" s="21">
        <v>0</v>
      </c>
      <c r="M2139" s="22"/>
      <c r="N2139" s="21">
        <v>0</v>
      </c>
      <c r="O2139" s="22"/>
    </row>
    <row r="2140" ht="63.75">
      <c r="A2140" t="s">
        <v>2030</v>
      </c>
      <c r="B2140" s="19">
        <v>106328</v>
      </c>
      <c r="C2140" s="20" t="s">
        <v>2194</v>
      </c>
      <c r="D2140" s="19" t="s">
        <v>2032</v>
      </c>
      <c r="E2140" s="21" t="str">
        <f t="shared" si="98"/>
        <v>VERIFICAR</v>
      </c>
      <c r="F2140" s="22"/>
      <c r="G2140" s="21" t="str">
        <f t="shared" si="99"/>
        <v>VERIFICAR</v>
      </c>
      <c r="H2140" s="22"/>
      <c r="I2140" s="23" t="str">
        <f t="shared" si="100"/>
        <v xml:space="preserve">COM VALOR</v>
      </c>
      <c r="J2140" s="19"/>
      <c r="L2140" s="21">
        <v>0</v>
      </c>
      <c r="M2140" s="22"/>
      <c r="N2140" s="21">
        <v>0</v>
      </c>
      <c r="O2140" s="22"/>
    </row>
    <row r="2141" ht="63.75">
      <c r="A2141" t="s">
        <v>2030</v>
      </c>
      <c r="B2141" s="19">
        <v>106329</v>
      </c>
      <c r="C2141" s="20" t="s">
        <v>2195</v>
      </c>
      <c r="D2141" s="19" t="s">
        <v>2032</v>
      </c>
      <c r="E2141" s="21" t="str">
        <f t="shared" si="98"/>
        <v>VERIFICAR</v>
      </c>
      <c r="F2141" s="22">
        <v>0</v>
      </c>
      <c r="G2141" s="21" t="str">
        <f t="shared" si="99"/>
        <v>VERIFICAR</v>
      </c>
      <c r="H2141" s="22">
        <v>0</v>
      </c>
      <c r="I2141" s="23" t="str">
        <f t="shared" si="100"/>
        <v xml:space="preserve">COM VALOR</v>
      </c>
      <c r="J2141" s="19"/>
      <c r="L2141" s="21">
        <v>0</v>
      </c>
      <c r="M2141" s="22"/>
      <c r="N2141" s="21">
        <v>0</v>
      </c>
      <c r="O2141" s="22"/>
    </row>
    <row r="2142" ht="63.75">
      <c r="A2142" t="s">
        <v>2030</v>
      </c>
      <c r="B2142" s="19">
        <v>106331</v>
      </c>
      <c r="C2142" s="20" t="s">
        <v>2196</v>
      </c>
      <c r="D2142" s="19" t="s">
        <v>2032</v>
      </c>
      <c r="E2142" s="21">
        <f t="shared" si="98"/>
        <v>112.91</v>
      </c>
      <c r="F2142" s="22">
        <v>0</v>
      </c>
      <c r="G2142" s="21">
        <f t="shared" si="99"/>
        <v>112.91</v>
      </c>
      <c r="H2142" s="22">
        <v>0</v>
      </c>
      <c r="I2142" s="23" t="str">
        <f t="shared" si="100"/>
        <v xml:space="preserve">COM VALOR</v>
      </c>
      <c r="J2142" s="19"/>
      <c r="L2142" s="21">
        <v>112.91</v>
      </c>
      <c r="M2142" s="22">
        <v>0</v>
      </c>
      <c r="N2142" s="21">
        <v>112.91</v>
      </c>
      <c r="O2142" s="22">
        <v>0</v>
      </c>
    </row>
    <row r="2143" ht="51">
      <c r="A2143" t="s">
        <v>2030</v>
      </c>
      <c r="B2143" s="19">
        <v>106227</v>
      </c>
      <c r="C2143" s="20" t="s">
        <v>2197</v>
      </c>
      <c r="D2143" s="19" t="s">
        <v>2032</v>
      </c>
      <c r="E2143" s="21">
        <f t="shared" si="98"/>
        <v>31.66</v>
      </c>
      <c r="F2143" s="22">
        <v>0</v>
      </c>
      <c r="G2143" s="21">
        <f t="shared" si="99"/>
        <v>31.66</v>
      </c>
      <c r="H2143" s="22">
        <v>0</v>
      </c>
      <c r="I2143" s="23" t="str">
        <f t="shared" si="100"/>
        <v xml:space="preserve">COM VALOR</v>
      </c>
      <c r="J2143" s="19"/>
      <c r="L2143" s="21">
        <v>31.66</v>
      </c>
      <c r="M2143" s="22">
        <v>1</v>
      </c>
      <c r="N2143" s="21">
        <v>31.66</v>
      </c>
      <c r="O2143" s="22">
        <v>1</v>
      </c>
    </row>
    <row r="2144" ht="51">
      <c r="A2144" t="s">
        <v>2030</v>
      </c>
      <c r="B2144" s="19">
        <v>106230</v>
      </c>
      <c r="C2144" s="20" t="s">
        <v>2198</v>
      </c>
      <c r="D2144" s="19" t="s">
        <v>2032</v>
      </c>
      <c r="E2144" s="21">
        <f t="shared" si="98"/>
        <v>5.2599999999999998</v>
      </c>
      <c r="F2144" s="22"/>
      <c r="G2144" s="21">
        <f t="shared" si="99"/>
        <v>5.2599999999999998</v>
      </c>
      <c r="H2144" s="22"/>
      <c r="I2144" s="23" t="str">
        <f t="shared" si="100"/>
        <v xml:space="preserve">COM VALOR</v>
      </c>
      <c r="J2144" s="19"/>
      <c r="L2144" s="21">
        <v>5.2599999999999998</v>
      </c>
      <c r="M2144" s="22">
        <v>1</v>
      </c>
      <c r="N2144" s="21">
        <v>5.2599999999999998</v>
      </c>
      <c r="O2144" s="22">
        <v>1</v>
      </c>
    </row>
    <row r="2145" ht="51">
      <c r="A2145" t="s">
        <v>2030</v>
      </c>
      <c r="B2145" s="19">
        <v>106228</v>
      </c>
      <c r="C2145" s="20" t="s">
        <v>2199</v>
      </c>
      <c r="D2145" s="19" t="s">
        <v>2032</v>
      </c>
      <c r="E2145" s="21">
        <f t="shared" si="98"/>
        <v>13</v>
      </c>
      <c r="F2145" s="22"/>
      <c r="G2145" s="21">
        <f t="shared" si="99"/>
        <v>13</v>
      </c>
      <c r="H2145" s="22"/>
      <c r="I2145" s="23" t="str">
        <f t="shared" si="100"/>
        <v xml:space="preserve">COM VALOR</v>
      </c>
      <c r="J2145" s="19"/>
      <c r="L2145" s="21">
        <v>13</v>
      </c>
      <c r="M2145" s="22">
        <v>1</v>
      </c>
      <c r="N2145" s="21">
        <v>13</v>
      </c>
      <c r="O2145" s="22">
        <v>1</v>
      </c>
    </row>
    <row r="2146" ht="51">
      <c r="A2146" t="s">
        <v>2030</v>
      </c>
      <c r="B2146" s="19">
        <v>106229</v>
      </c>
      <c r="C2146" s="20" t="s">
        <v>2200</v>
      </c>
      <c r="D2146" s="19" t="s">
        <v>2032</v>
      </c>
      <c r="E2146" s="21">
        <f t="shared" si="98"/>
        <v>59.359999999999999</v>
      </c>
      <c r="F2146" s="22"/>
      <c r="G2146" s="21">
        <f t="shared" si="99"/>
        <v>59.359999999999999</v>
      </c>
      <c r="H2146" s="22"/>
      <c r="I2146" s="23" t="str">
        <f t="shared" si="100"/>
        <v xml:space="preserve">COM VALOR</v>
      </c>
      <c r="J2146" s="19"/>
      <c r="L2146" s="21">
        <v>59.359999999999999</v>
      </c>
      <c r="M2146" s="22">
        <v>1</v>
      </c>
      <c r="N2146" s="21">
        <v>59.359999999999999</v>
      </c>
      <c r="O2146" s="22">
        <v>1</v>
      </c>
    </row>
    <row r="2147" ht="51">
      <c r="A2147" t="s">
        <v>2030</v>
      </c>
      <c r="B2147" s="19">
        <v>106231</v>
      </c>
      <c r="C2147" s="20" t="s">
        <v>2201</v>
      </c>
      <c r="D2147" s="19" t="s">
        <v>2032</v>
      </c>
      <c r="E2147" s="21">
        <f t="shared" si="98"/>
        <v>179.12</v>
      </c>
      <c r="F2147" s="22">
        <v>0</v>
      </c>
      <c r="G2147" s="21">
        <f t="shared" si="99"/>
        <v>179.12</v>
      </c>
      <c r="H2147" s="22">
        <v>0</v>
      </c>
      <c r="I2147" s="23" t="str">
        <f t="shared" si="100"/>
        <v xml:space="preserve">COM VALOR</v>
      </c>
      <c r="J2147" s="19"/>
      <c r="L2147" s="21">
        <v>179.12</v>
      </c>
      <c r="M2147" s="22">
        <v>0</v>
      </c>
      <c r="N2147" s="21">
        <v>179.12</v>
      </c>
      <c r="O2147" s="22">
        <v>0</v>
      </c>
    </row>
    <row r="2148" ht="51">
      <c r="A2148" t="s">
        <v>2030</v>
      </c>
      <c r="B2148" s="19">
        <v>106342</v>
      </c>
      <c r="C2148" s="20" t="s">
        <v>2202</v>
      </c>
      <c r="D2148" s="19" t="s">
        <v>2032</v>
      </c>
      <c r="E2148" s="21" t="str">
        <f t="shared" si="98"/>
        <v>VERIFICAR</v>
      </c>
      <c r="F2148" s="22">
        <v>0</v>
      </c>
      <c r="G2148" s="21" t="str">
        <f t="shared" si="99"/>
        <v>VERIFICAR</v>
      </c>
      <c r="H2148" s="22">
        <v>0</v>
      </c>
      <c r="I2148" s="23" t="str">
        <f t="shared" si="100"/>
        <v xml:space="preserve">COM VALOR</v>
      </c>
      <c r="J2148" s="19"/>
      <c r="L2148" s="21">
        <v>0</v>
      </c>
      <c r="M2148" s="22"/>
      <c r="N2148" s="21">
        <v>0</v>
      </c>
      <c r="O2148" s="22"/>
    </row>
    <row r="2149" ht="63.75">
      <c r="A2149" t="s">
        <v>2030</v>
      </c>
      <c r="B2149" s="19">
        <v>106345</v>
      </c>
      <c r="C2149" s="20" t="s">
        <v>2203</v>
      </c>
      <c r="D2149" s="19" t="s">
        <v>2032</v>
      </c>
      <c r="E2149" s="21" t="str">
        <f t="shared" si="98"/>
        <v>VERIFICAR</v>
      </c>
      <c r="F2149" s="22">
        <v>0</v>
      </c>
      <c r="G2149" s="21" t="str">
        <f t="shared" si="99"/>
        <v>VERIFICAR</v>
      </c>
      <c r="H2149" s="22">
        <v>0</v>
      </c>
      <c r="I2149" s="23" t="str">
        <f t="shared" si="100"/>
        <v xml:space="preserve">COM VALOR</v>
      </c>
      <c r="J2149" s="19"/>
      <c r="L2149" s="21">
        <v>0</v>
      </c>
      <c r="M2149" s="22"/>
      <c r="N2149" s="21">
        <v>0</v>
      </c>
      <c r="O2149" s="22"/>
    </row>
    <row r="2150" ht="51">
      <c r="A2150" t="s">
        <v>2030</v>
      </c>
      <c r="B2150" s="19">
        <v>106343</v>
      </c>
      <c r="C2150" s="20" t="s">
        <v>2204</v>
      </c>
      <c r="D2150" s="19" t="s">
        <v>2032</v>
      </c>
      <c r="E2150" s="21" t="str">
        <f t="shared" si="98"/>
        <v>VERIFICAR</v>
      </c>
      <c r="F2150" s="22">
        <v>0</v>
      </c>
      <c r="G2150" s="21" t="str">
        <f t="shared" si="99"/>
        <v>VERIFICAR</v>
      </c>
      <c r="H2150" s="22">
        <v>0</v>
      </c>
      <c r="I2150" s="23" t="str">
        <f t="shared" si="100"/>
        <v xml:space="preserve">COM VALOR</v>
      </c>
      <c r="J2150" s="19"/>
      <c r="L2150" s="21">
        <v>0</v>
      </c>
      <c r="M2150" s="22"/>
      <c r="N2150" s="21">
        <v>0</v>
      </c>
      <c r="O2150" s="22"/>
    </row>
    <row r="2151" ht="51">
      <c r="A2151" t="s">
        <v>2030</v>
      </c>
      <c r="B2151" s="19">
        <v>106344</v>
      </c>
      <c r="C2151" s="20" t="s">
        <v>2205</v>
      </c>
      <c r="D2151" s="19" t="s">
        <v>2032</v>
      </c>
      <c r="E2151" s="21" t="str">
        <f t="shared" si="98"/>
        <v>VERIFICAR</v>
      </c>
      <c r="F2151" s="22">
        <v>0</v>
      </c>
      <c r="G2151" s="21" t="str">
        <f t="shared" si="99"/>
        <v>VERIFICAR</v>
      </c>
      <c r="H2151" s="22">
        <v>0</v>
      </c>
      <c r="I2151" s="23" t="str">
        <f t="shared" si="100"/>
        <v xml:space="preserve">COM VALOR</v>
      </c>
      <c r="J2151" s="19"/>
      <c r="L2151" s="21">
        <v>0</v>
      </c>
      <c r="M2151" s="22"/>
      <c r="N2151" s="21">
        <v>0</v>
      </c>
      <c r="O2151" s="22"/>
    </row>
    <row r="2152" ht="63.75">
      <c r="A2152" t="s">
        <v>2030</v>
      </c>
      <c r="B2152" s="19">
        <v>106346</v>
      </c>
      <c r="C2152" s="20" t="s">
        <v>2206</v>
      </c>
      <c r="D2152" s="19" t="s">
        <v>2032</v>
      </c>
      <c r="E2152" s="21">
        <f t="shared" si="98"/>
        <v>179.12</v>
      </c>
      <c r="F2152" s="22">
        <v>0</v>
      </c>
      <c r="G2152" s="21">
        <f t="shared" si="99"/>
        <v>179.12</v>
      </c>
      <c r="H2152" s="22">
        <v>0</v>
      </c>
      <c r="I2152" s="23" t="str">
        <f t="shared" si="100"/>
        <v xml:space="preserve">COM VALOR</v>
      </c>
      <c r="J2152" s="19"/>
      <c r="L2152" s="21">
        <v>179.12</v>
      </c>
      <c r="M2152" s="22">
        <v>0</v>
      </c>
      <c r="N2152" s="21">
        <v>179.12</v>
      </c>
      <c r="O2152" s="22">
        <v>0</v>
      </c>
    </row>
    <row r="2153" ht="63.75">
      <c r="A2153" t="s">
        <v>2030</v>
      </c>
      <c r="B2153" s="19">
        <v>106332</v>
      </c>
      <c r="C2153" s="20" t="s">
        <v>2207</v>
      </c>
      <c r="D2153" s="19" t="s">
        <v>2032</v>
      </c>
      <c r="E2153" s="21" t="str">
        <f t="shared" si="98"/>
        <v>VERIFICAR</v>
      </c>
      <c r="F2153" s="22">
        <v>0</v>
      </c>
      <c r="G2153" s="21" t="str">
        <f t="shared" si="99"/>
        <v>VERIFICAR</v>
      </c>
      <c r="H2153" s="22">
        <v>0</v>
      </c>
      <c r="I2153" s="23" t="str">
        <f t="shared" si="100"/>
        <v xml:space="preserve">COM VALOR</v>
      </c>
      <c r="J2153" s="19"/>
      <c r="L2153" s="21">
        <v>0</v>
      </c>
      <c r="M2153" s="22"/>
      <c r="N2153" s="21">
        <v>0</v>
      </c>
      <c r="O2153" s="22"/>
    </row>
    <row r="2154" ht="63.75">
      <c r="A2154" t="s">
        <v>2030</v>
      </c>
      <c r="B2154" s="19">
        <v>106335</v>
      </c>
      <c r="C2154" s="20" t="s">
        <v>2208</v>
      </c>
      <c r="D2154" s="19" t="s">
        <v>2032</v>
      </c>
      <c r="E2154" s="21" t="str">
        <f t="shared" si="98"/>
        <v>VERIFICAR</v>
      </c>
      <c r="F2154" s="22">
        <v>0</v>
      </c>
      <c r="G2154" s="21" t="str">
        <f t="shared" si="99"/>
        <v>VERIFICAR</v>
      </c>
      <c r="H2154" s="22">
        <v>0</v>
      </c>
      <c r="I2154" s="23" t="str">
        <f t="shared" si="100"/>
        <v xml:space="preserve">COM VALOR</v>
      </c>
      <c r="J2154" s="19"/>
      <c r="L2154" s="21">
        <v>0</v>
      </c>
      <c r="M2154" s="22"/>
      <c r="N2154" s="21">
        <v>0</v>
      </c>
      <c r="O2154" s="22"/>
    </row>
    <row r="2155" ht="63.75">
      <c r="A2155" t="s">
        <v>2030</v>
      </c>
      <c r="B2155" s="19">
        <v>106333</v>
      </c>
      <c r="C2155" s="20" t="s">
        <v>2209</v>
      </c>
      <c r="D2155" s="19" t="s">
        <v>2032</v>
      </c>
      <c r="E2155" s="21" t="str">
        <f t="shared" si="98"/>
        <v>VERIFICAR</v>
      </c>
      <c r="F2155" s="22">
        <v>0</v>
      </c>
      <c r="G2155" s="21" t="str">
        <f t="shared" si="99"/>
        <v>VERIFICAR</v>
      </c>
      <c r="H2155" s="22">
        <v>0</v>
      </c>
      <c r="I2155" s="23" t="str">
        <f t="shared" si="100"/>
        <v xml:space="preserve">COM VALOR</v>
      </c>
      <c r="J2155" s="19"/>
      <c r="L2155" s="21">
        <v>0</v>
      </c>
      <c r="M2155" s="22"/>
      <c r="N2155" s="21">
        <v>0</v>
      </c>
      <c r="O2155" s="22"/>
    </row>
    <row r="2156" ht="63.75">
      <c r="A2156" t="s">
        <v>2030</v>
      </c>
      <c r="B2156" s="19">
        <v>106334</v>
      </c>
      <c r="C2156" s="20" t="s">
        <v>2210</v>
      </c>
      <c r="D2156" s="19" t="s">
        <v>2032</v>
      </c>
      <c r="E2156" s="21" t="str">
        <f t="shared" si="98"/>
        <v>VERIFICAR</v>
      </c>
      <c r="F2156" s="22"/>
      <c r="G2156" s="21" t="str">
        <f t="shared" si="99"/>
        <v>VERIFICAR</v>
      </c>
      <c r="H2156" s="22"/>
      <c r="I2156" s="23" t="str">
        <f t="shared" si="100"/>
        <v xml:space="preserve">COM VALOR</v>
      </c>
      <c r="J2156" s="19"/>
      <c r="L2156" s="21">
        <v>0</v>
      </c>
      <c r="M2156" s="22"/>
      <c r="N2156" s="21">
        <v>0</v>
      </c>
      <c r="O2156" s="22"/>
    </row>
    <row r="2157" ht="63.75">
      <c r="A2157" t="s">
        <v>2030</v>
      </c>
      <c r="B2157" s="19">
        <v>106336</v>
      </c>
      <c r="C2157" s="20" t="s">
        <v>2211</v>
      </c>
      <c r="D2157" s="19" t="s">
        <v>2032</v>
      </c>
      <c r="E2157" s="21">
        <f t="shared" si="98"/>
        <v>179.12</v>
      </c>
      <c r="F2157" s="22"/>
      <c r="G2157" s="21">
        <f t="shared" si="99"/>
        <v>179.12</v>
      </c>
      <c r="H2157" s="22"/>
      <c r="I2157" s="23" t="str">
        <f t="shared" si="100"/>
        <v xml:space="preserve">COM VALOR</v>
      </c>
      <c r="J2157" s="19"/>
      <c r="L2157" s="21">
        <v>179.12</v>
      </c>
      <c r="M2157" s="22">
        <v>0</v>
      </c>
      <c r="N2157" s="21">
        <v>179.12</v>
      </c>
      <c r="O2157" s="22">
        <v>0</v>
      </c>
    </row>
    <row r="2158" ht="38.25">
      <c r="A2158" t="s">
        <v>2030</v>
      </c>
      <c r="B2158" s="19">
        <v>91354</v>
      </c>
      <c r="C2158" s="20" t="s">
        <v>2212</v>
      </c>
      <c r="D2158" s="19" t="s">
        <v>2032</v>
      </c>
      <c r="E2158" s="21">
        <f t="shared" si="98"/>
        <v>18.48</v>
      </c>
      <c r="F2158" s="22"/>
      <c r="G2158" s="21">
        <f t="shared" si="99"/>
        <v>18.48</v>
      </c>
      <c r="H2158" s="22"/>
      <c r="I2158" s="23" t="str">
        <f t="shared" si="100"/>
        <v xml:space="preserve">COM VALOR</v>
      </c>
      <c r="J2158" s="19"/>
      <c r="L2158" s="21">
        <v>18.48</v>
      </c>
      <c r="M2158" s="22">
        <v>1</v>
      </c>
      <c r="N2158" s="21">
        <v>18.48</v>
      </c>
      <c r="O2158" s="22">
        <v>1</v>
      </c>
    </row>
    <row r="2159" ht="38.25">
      <c r="A2159" t="s">
        <v>2030</v>
      </c>
      <c r="B2159" s="19">
        <v>91356</v>
      </c>
      <c r="C2159" s="20" t="s">
        <v>2213</v>
      </c>
      <c r="D2159" s="19" t="s">
        <v>2032</v>
      </c>
      <c r="E2159" s="21">
        <f t="shared" si="98"/>
        <v>3.0699999999999998</v>
      </c>
      <c r="F2159" s="22">
        <v>0</v>
      </c>
      <c r="G2159" s="21">
        <f t="shared" si="99"/>
        <v>3.0699999999999998</v>
      </c>
      <c r="H2159" s="22">
        <v>0</v>
      </c>
      <c r="I2159" s="23" t="str">
        <f t="shared" si="100"/>
        <v xml:space="preserve">COM VALOR</v>
      </c>
      <c r="J2159" s="19"/>
      <c r="L2159" s="21">
        <v>3.0699999999999998</v>
      </c>
      <c r="M2159" s="22">
        <v>1</v>
      </c>
      <c r="N2159" s="21">
        <v>3.0699999999999998</v>
      </c>
      <c r="O2159" s="22">
        <v>1</v>
      </c>
    </row>
    <row r="2160" ht="38.25">
      <c r="A2160" t="s">
        <v>2030</v>
      </c>
      <c r="B2160" s="19">
        <v>91355</v>
      </c>
      <c r="C2160" s="20" t="s">
        <v>2214</v>
      </c>
      <c r="D2160" s="19" t="s">
        <v>2032</v>
      </c>
      <c r="E2160" s="21">
        <f t="shared" si="98"/>
        <v>7.5899999999999999</v>
      </c>
      <c r="F2160" s="22">
        <v>0</v>
      </c>
      <c r="G2160" s="21">
        <f t="shared" si="99"/>
        <v>7.5899999999999999</v>
      </c>
      <c r="H2160" s="22">
        <v>0</v>
      </c>
      <c r="I2160" s="23" t="str">
        <f t="shared" si="100"/>
        <v xml:space="preserve">COM VALOR</v>
      </c>
      <c r="J2160" s="19"/>
      <c r="L2160" s="21">
        <v>7.5899999999999999</v>
      </c>
      <c r="M2160" s="22">
        <v>1</v>
      </c>
      <c r="N2160" s="21">
        <v>7.5899999999999999</v>
      </c>
      <c r="O2160" s="22">
        <v>1</v>
      </c>
    </row>
    <row r="2161" ht="38.25">
      <c r="A2161" t="s">
        <v>2030</v>
      </c>
      <c r="B2161" s="19">
        <v>5751</v>
      </c>
      <c r="C2161" s="20" t="s">
        <v>2215</v>
      </c>
      <c r="D2161" s="19" t="s">
        <v>2032</v>
      </c>
      <c r="E2161" s="21">
        <f t="shared" si="98"/>
        <v>34.640000000000001</v>
      </c>
      <c r="F2161" s="22">
        <v>0</v>
      </c>
      <c r="G2161" s="21">
        <f t="shared" si="99"/>
        <v>34.640000000000001</v>
      </c>
      <c r="H2161" s="22">
        <v>0</v>
      </c>
      <c r="I2161" s="23" t="str">
        <f t="shared" si="100"/>
        <v xml:space="preserve">COM VALOR</v>
      </c>
      <c r="J2161" s="19"/>
      <c r="L2161" s="21">
        <v>34.640000000000001</v>
      </c>
      <c r="M2161" s="22">
        <v>1</v>
      </c>
      <c r="N2161" s="21">
        <v>34.640000000000001</v>
      </c>
      <c r="O2161" s="22">
        <v>1</v>
      </c>
    </row>
    <row r="2162" ht="38.25">
      <c r="A2162" t="s">
        <v>2030</v>
      </c>
      <c r="B2162" s="19">
        <v>53827</v>
      </c>
      <c r="C2162" s="20" t="s">
        <v>2216</v>
      </c>
      <c r="D2162" s="19" t="s">
        <v>2032</v>
      </c>
      <c r="E2162" s="21">
        <f t="shared" si="98"/>
        <v>129.41</v>
      </c>
      <c r="F2162" s="22">
        <v>0</v>
      </c>
      <c r="G2162" s="21">
        <f t="shared" si="99"/>
        <v>129.41</v>
      </c>
      <c r="H2162" s="22">
        <v>0</v>
      </c>
      <c r="I2162" s="23" t="str">
        <f t="shared" si="100"/>
        <v xml:space="preserve">COM VALOR</v>
      </c>
      <c r="J2162" s="19"/>
      <c r="L2162" s="21">
        <v>129.41</v>
      </c>
      <c r="M2162" s="22">
        <v>0</v>
      </c>
      <c r="N2162" s="21">
        <v>129.41</v>
      </c>
      <c r="O2162" s="22">
        <v>0</v>
      </c>
    </row>
    <row r="2163" ht="38.25">
      <c r="A2163" t="s">
        <v>2030</v>
      </c>
      <c r="B2163" s="19">
        <v>91375</v>
      </c>
      <c r="C2163" s="20" t="s">
        <v>2217</v>
      </c>
      <c r="D2163" s="19" t="s">
        <v>2032</v>
      </c>
      <c r="E2163" s="21">
        <f t="shared" si="98"/>
        <v>20.289999999999999</v>
      </c>
      <c r="F2163" s="22">
        <v>0</v>
      </c>
      <c r="G2163" s="21">
        <f t="shared" si="99"/>
        <v>20.289999999999999</v>
      </c>
      <c r="H2163" s="22">
        <v>0</v>
      </c>
      <c r="I2163" s="23" t="str">
        <f t="shared" si="100"/>
        <v xml:space="preserve">COM VALOR</v>
      </c>
      <c r="J2163" s="19"/>
      <c r="L2163" s="21">
        <v>20.289999999999999</v>
      </c>
      <c r="M2163" s="22">
        <v>1</v>
      </c>
      <c r="N2163" s="21">
        <v>20.289999999999999</v>
      </c>
      <c r="O2163" s="22">
        <v>1</v>
      </c>
    </row>
    <row r="2164" ht="38.25">
      <c r="A2164" t="s">
        <v>2030</v>
      </c>
      <c r="B2164" s="19">
        <v>91377</v>
      </c>
      <c r="C2164" s="20" t="s">
        <v>2218</v>
      </c>
      <c r="D2164" s="19" t="s">
        <v>2032</v>
      </c>
      <c r="E2164" s="21">
        <f t="shared" si="98"/>
        <v>3.3700000000000001</v>
      </c>
      <c r="F2164" s="22">
        <v>0</v>
      </c>
      <c r="G2164" s="21">
        <f t="shared" si="99"/>
        <v>3.3700000000000001</v>
      </c>
      <c r="H2164" s="22">
        <v>0</v>
      </c>
      <c r="I2164" s="23" t="str">
        <f t="shared" si="100"/>
        <v xml:space="preserve">COM VALOR</v>
      </c>
      <c r="J2164" s="19"/>
      <c r="L2164" s="21">
        <v>3.3700000000000001</v>
      </c>
      <c r="M2164" s="22">
        <v>1</v>
      </c>
      <c r="N2164" s="21">
        <v>3.3700000000000001</v>
      </c>
      <c r="O2164" s="22">
        <v>1</v>
      </c>
    </row>
    <row r="2165" ht="38.25">
      <c r="A2165" t="s">
        <v>2030</v>
      </c>
      <c r="B2165" s="19">
        <v>91376</v>
      </c>
      <c r="C2165" s="20" t="s">
        <v>2219</v>
      </c>
      <c r="D2165" s="19" t="s">
        <v>2032</v>
      </c>
      <c r="E2165" s="21">
        <f t="shared" si="98"/>
        <v>8.3399999999999999</v>
      </c>
      <c r="F2165" s="22">
        <v>0</v>
      </c>
      <c r="G2165" s="21">
        <f t="shared" si="99"/>
        <v>8.3399999999999999</v>
      </c>
      <c r="H2165" s="22">
        <v>0</v>
      </c>
      <c r="I2165" s="23" t="str">
        <f t="shared" si="100"/>
        <v xml:space="preserve">COM VALOR</v>
      </c>
      <c r="J2165" s="19"/>
      <c r="L2165" s="21">
        <v>8.3399999999999999</v>
      </c>
      <c r="M2165" s="22">
        <v>1</v>
      </c>
      <c r="N2165" s="21">
        <v>8.3399999999999999</v>
      </c>
      <c r="O2165" s="22">
        <v>1</v>
      </c>
    </row>
    <row r="2166" ht="38.25">
      <c r="A2166" t="s">
        <v>2030</v>
      </c>
      <c r="B2166" s="19">
        <v>5754</v>
      </c>
      <c r="C2166" s="20" t="s">
        <v>2220</v>
      </c>
      <c r="D2166" s="19" t="s">
        <v>2032</v>
      </c>
      <c r="E2166" s="21">
        <f t="shared" si="98"/>
        <v>38.030000000000001</v>
      </c>
      <c r="F2166" s="22">
        <v>0</v>
      </c>
      <c r="G2166" s="21">
        <f t="shared" si="99"/>
        <v>38.030000000000001</v>
      </c>
      <c r="H2166" s="22">
        <v>0</v>
      </c>
      <c r="I2166" s="23" t="str">
        <f t="shared" si="100"/>
        <v xml:space="preserve">COM VALOR</v>
      </c>
      <c r="J2166" s="19"/>
      <c r="L2166" s="21">
        <v>38.030000000000001</v>
      </c>
      <c r="M2166" s="22">
        <v>1</v>
      </c>
      <c r="N2166" s="21">
        <v>38.030000000000001</v>
      </c>
      <c r="O2166" s="22">
        <v>1</v>
      </c>
    </row>
    <row r="2167" ht="38.25">
      <c r="A2167" t="s">
        <v>2030</v>
      </c>
      <c r="B2167" s="19">
        <v>53829</v>
      </c>
      <c r="C2167" s="20" t="s">
        <v>2221</v>
      </c>
      <c r="D2167" s="19" t="s">
        <v>2032</v>
      </c>
      <c r="E2167" s="21">
        <f t="shared" si="98"/>
        <v>132.19999999999999</v>
      </c>
      <c r="F2167" s="22">
        <v>0</v>
      </c>
      <c r="G2167" s="21">
        <f t="shared" si="99"/>
        <v>132.19999999999999</v>
      </c>
      <c r="H2167" s="22">
        <v>0</v>
      </c>
      <c r="I2167" s="23" t="str">
        <f t="shared" si="100"/>
        <v xml:space="preserve">COM VALOR</v>
      </c>
      <c r="J2167" s="19"/>
      <c r="L2167" s="21">
        <v>132.19999999999999</v>
      </c>
      <c r="M2167" s="22">
        <v>0</v>
      </c>
      <c r="N2167" s="21">
        <v>132.19999999999999</v>
      </c>
      <c r="O2167" s="22">
        <v>0</v>
      </c>
    </row>
    <row r="2168" ht="38.25">
      <c r="A2168" t="s">
        <v>2030</v>
      </c>
      <c r="B2168" s="19">
        <v>91026</v>
      </c>
      <c r="C2168" s="20" t="s">
        <v>2222</v>
      </c>
      <c r="D2168" s="19" t="s">
        <v>2032</v>
      </c>
      <c r="E2168" s="21">
        <f t="shared" si="98"/>
        <v>25.899999999999999</v>
      </c>
      <c r="F2168" s="22">
        <v>1</v>
      </c>
      <c r="G2168" s="21">
        <f t="shared" si="99"/>
        <v>25.899999999999999</v>
      </c>
      <c r="H2168" s="22">
        <v>1</v>
      </c>
      <c r="I2168" s="23" t="str">
        <f t="shared" si="100"/>
        <v xml:space="preserve">COM VALOR</v>
      </c>
      <c r="J2168" s="19"/>
      <c r="L2168" s="21">
        <v>25.899999999999999</v>
      </c>
      <c r="M2168" s="22">
        <v>1</v>
      </c>
      <c r="N2168" s="21">
        <v>25.899999999999999</v>
      </c>
      <c r="O2168" s="22">
        <v>1</v>
      </c>
    </row>
    <row r="2169" ht="38.25">
      <c r="A2169" t="s">
        <v>2030</v>
      </c>
      <c r="B2169" s="19">
        <v>91028</v>
      </c>
      <c r="C2169" s="20" t="s">
        <v>2223</v>
      </c>
      <c r="D2169" s="19" t="s">
        <v>2032</v>
      </c>
      <c r="E2169" s="21">
        <f t="shared" si="98"/>
        <v>4.2000000000000002</v>
      </c>
      <c r="F2169" s="22">
        <v>1</v>
      </c>
      <c r="G2169" s="21">
        <f t="shared" si="99"/>
        <v>4.2000000000000002</v>
      </c>
      <c r="H2169" s="22">
        <v>1</v>
      </c>
      <c r="I2169" s="23" t="str">
        <f t="shared" si="100"/>
        <v xml:space="preserve">COM VALOR</v>
      </c>
      <c r="J2169" s="19"/>
      <c r="L2169" s="21">
        <v>4.2000000000000002</v>
      </c>
      <c r="M2169" s="22">
        <v>1</v>
      </c>
      <c r="N2169" s="21">
        <v>4.2000000000000002</v>
      </c>
      <c r="O2169" s="22">
        <v>1</v>
      </c>
    </row>
    <row r="2170" ht="38.25">
      <c r="A2170" t="s">
        <v>2030</v>
      </c>
      <c r="B2170" s="19">
        <v>91027</v>
      </c>
      <c r="C2170" s="20" t="s">
        <v>2224</v>
      </c>
      <c r="D2170" s="19" t="s">
        <v>2032</v>
      </c>
      <c r="E2170" s="21">
        <f t="shared" si="98"/>
        <v>10.390000000000001</v>
      </c>
      <c r="F2170" s="22">
        <v>1</v>
      </c>
      <c r="G2170" s="21">
        <f t="shared" si="99"/>
        <v>10.390000000000001</v>
      </c>
      <c r="H2170" s="22">
        <v>1</v>
      </c>
      <c r="I2170" s="23" t="str">
        <f t="shared" si="100"/>
        <v xml:space="preserve">COM VALOR</v>
      </c>
      <c r="J2170" s="19"/>
      <c r="L2170" s="21">
        <v>10.390000000000001</v>
      </c>
      <c r="M2170" s="22">
        <v>1</v>
      </c>
      <c r="N2170" s="21">
        <v>10.390000000000001</v>
      </c>
      <c r="O2170" s="22">
        <v>1</v>
      </c>
    </row>
    <row r="2171" ht="38.25">
      <c r="A2171" t="s">
        <v>2030</v>
      </c>
      <c r="B2171" s="19">
        <v>91029</v>
      </c>
      <c r="C2171" s="20" t="s">
        <v>2225</v>
      </c>
      <c r="D2171" s="19" t="s">
        <v>2032</v>
      </c>
      <c r="E2171" s="21">
        <f t="shared" si="98"/>
        <v>47.530000000000001</v>
      </c>
      <c r="F2171" s="22">
        <v>0</v>
      </c>
      <c r="G2171" s="21">
        <f t="shared" si="99"/>
        <v>47.530000000000001</v>
      </c>
      <c r="H2171" s="22">
        <v>0</v>
      </c>
      <c r="I2171" s="23" t="str">
        <f t="shared" si="100"/>
        <v xml:space="preserve">COM VALOR</v>
      </c>
      <c r="J2171" s="19"/>
      <c r="L2171" s="21">
        <v>47.530000000000001</v>
      </c>
      <c r="M2171" s="22">
        <v>1</v>
      </c>
      <c r="N2171" s="21">
        <v>47.530000000000001</v>
      </c>
      <c r="O2171" s="22">
        <v>1</v>
      </c>
    </row>
    <row r="2172" ht="38.25">
      <c r="A2172" t="s">
        <v>2030</v>
      </c>
      <c r="B2172" s="19">
        <v>91030</v>
      </c>
      <c r="C2172" s="20" t="s">
        <v>2226</v>
      </c>
      <c r="D2172" s="19" t="s">
        <v>2032</v>
      </c>
      <c r="E2172" s="21">
        <f t="shared" si="98"/>
        <v>166.49000000000001</v>
      </c>
      <c r="F2172" s="22">
        <v>1</v>
      </c>
      <c r="G2172" s="21">
        <f t="shared" si="99"/>
        <v>166.49000000000001</v>
      </c>
      <c r="H2172" s="22">
        <v>1</v>
      </c>
      <c r="I2172" s="23" t="str">
        <f t="shared" si="100"/>
        <v xml:space="preserve">COM VALOR</v>
      </c>
      <c r="J2172" s="19"/>
      <c r="L2172" s="21">
        <v>166.49000000000001</v>
      </c>
      <c r="M2172" s="22">
        <v>0</v>
      </c>
      <c r="N2172" s="21">
        <v>166.49000000000001</v>
      </c>
      <c r="O2172" s="22">
        <v>0</v>
      </c>
    </row>
    <row r="2173" ht="63.75">
      <c r="A2173" t="s">
        <v>2030</v>
      </c>
      <c r="B2173" s="19">
        <v>106237</v>
      </c>
      <c r="C2173" s="20" t="s">
        <v>2227</v>
      </c>
      <c r="D2173" s="19" t="s">
        <v>2032</v>
      </c>
      <c r="E2173" s="21" t="str">
        <f t="shared" si="98"/>
        <v>VERIFICAR</v>
      </c>
      <c r="F2173" s="22">
        <v>1</v>
      </c>
      <c r="G2173" s="21" t="str">
        <f t="shared" si="99"/>
        <v>VERIFICAR</v>
      </c>
      <c r="H2173" s="22">
        <v>1</v>
      </c>
      <c r="I2173" s="23" t="str">
        <f t="shared" si="100"/>
        <v xml:space="preserve">COM VALOR</v>
      </c>
      <c r="J2173" s="19"/>
      <c r="L2173" s="21">
        <v>0</v>
      </c>
      <c r="M2173" s="22"/>
      <c r="N2173" s="21">
        <v>0</v>
      </c>
      <c r="O2173" s="22"/>
    </row>
    <row r="2174" ht="63.75">
      <c r="A2174" t="s">
        <v>2030</v>
      </c>
      <c r="B2174" s="19">
        <v>106240</v>
      </c>
      <c r="C2174" s="20" t="s">
        <v>2228</v>
      </c>
      <c r="D2174" s="19" t="s">
        <v>2032</v>
      </c>
      <c r="E2174" s="21" t="str">
        <f t="shared" si="98"/>
        <v>VERIFICAR</v>
      </c>
      <c r="F2174" s="22">
        <v>1</v>
      </c>
      <c r="G2174" s="21" t="str">
        <f t="shared" si="99"/>
        <v>VERIFICAR</v>
      </c>
      <c r="H2174" s="22">
        <v>1</v>
      </c>
      <c r="I2174" s="23" t="str">
        <f t="shared" si="100"/>
        <v xml:space="preserve">COM VALOR</v>
      </c>
      <c r="J2174" s="19"/>
      <c r="L2174" s="21">
        <v>0</v>
      </c>
      <c r="M2174" s="22"/>
      <c r="N2174" s="21">
        <v>0</v>
      </c>
      <c r="O2174" s="22"/>
    </row>
    <row r="2175" ht="51">
      <c r="A2175" t="s">
        <v>2030</v>
      </c>
      <c r="B2175" s="19">
        <v>106238</v>
      </c>
      <c r="C2175" s="20" t="s">
        <v>2229</v>
      </c>
      <c r="D2175" s="19" t="s">
        <v>2032</v>
      </c>
      <c r="E2175" s="21" t="str">
        <f t="shared" si="98"/>
        <v>VERIFICAR</v>
      </c>
      <c r="F2175" s="22">
        <v>1</v>
      </c>
      <c r="G2175" s="21" t="str">
        <f t="shared" si="99"/>
        <v>VERIFICAR</v>
      </c>
      <c r="H2175" s="22">
        <v>1</v>
      </c>
      <c r="I2175" s="23" t="str">
        <f t="shared" si="100"/>
        <v xml:space="preserve">COM VALOR</v>
      </c>
      <c r="J2175" s="19"/>
      <c r="L2175" s="21">
        <v>0</v>
      </c>
      <c r="M2175" s="22"/>
      <c r="N2175" s="21">
        <v>0</v>
      </c>
      <c r="O2175" s="22"/>
    </row>
    <row r="2176" ht="63.75">
      <c r="A2176" t="s">
        <v>2030</v>
      </c>
      <c r="B2176" s="19">
        <v>106239</v>
      </c>
      <c r="C2176" s="20" t="s">
        <v>2230</v>
      </c>
      <c r="D2176" s="19" t="s">
        <v>2032</v>
      </c>
      <c r="E2176" s="21" t="str">
        <f t="shared" si="98"/>
        <v>VERIFICAR</v>
      </c>
      <c r="F2176" s="22">
        <v>0</v>
      </c>
      <c r="G2176" s="21" t="str">
        <f t="shared" si="99"/>
        <v>VERIFICAR</v>
      </c>
      <c r="H2176" s="22">
        <v>0</v>
      </c>
      <c r="I2176" s="23" t="str">
        <f t="shared" si="100"/>
        <v xml:space="preserve">COM VALOR</v>
      </c>
      <c r="J2176" s="19"/>
      <c r="L2176" s="21">
        <v>0</v>
      </c>
      <c r="M2176" s="22"/>
      <c r="N2176" s="21">
        <v>0</v>
      </c>
      <c r="O2176" s="22"/>
    </row>
    <row r="2177" ht="63.75">
      <c r="A2177" t="s">
        <v>2030</v>
      </c>
      <c r="B2177" s="19">
        <v>106241</v>
      </c>
      <c r="C2177" s="20" t="s">
        <v>2231</v>
      </c>
      <c r="D2177" s="19" t="s">
        <v>2032</v>
      </c>
      <c r="E2177" s="21">
        <f t="shared" si="98"/>
        <v>251.84</v>
      </c>
      <c r="F2177" s="22"/>
      <c r="G2177" s="21">
        <f t="shared" si="99"/>
        <v>251.84</v>
      </c>
      <c r="H2177" s="22"/>
      <c r="I2177" s="23" t="str">
        <f t="shared" si="100"/>
        <v xml:space="preserve">COM VALOR</v>
      </c>
      <c r="J2177" s="19"/>
      <c r="L2177" s="21">
        <v>251.84</v>
      </c>
      <c r="M2177" s="22">
        <v>0</v>
      </c>
      <c r="N2177" s="21">
        <v>251.84</v>
      </c>
      <c r="O2177" s="22">
        <v>0</v>
      </c>
    </row>
    <row r="2178" ht="51">
      <c r="A2178" t="s">
        <v>2030</v>
      </c>
      <c r="B2178" s="19">
        <v>106352</v>
      </c>
      <c r="C2178" s="20" t="s">
        <v>2232</v>
      </c>
      <c r="D2178" s="19" t="s">
        <v>2032</v>
      </c>
      <c r="E2178" s="21" t="str">
        <f t="shared" si="98"/>
        <v>VERIFICAR</v>
      </c>
      <c r="F2178" s="22"/>
      <c r="G2178" s="21" t="str">
        <f t="shared" si="99"/>
        <v>VERIFICAR</v>
      </c>
      <c r="H2178" s="22"/>
      <c r="I2178" s="23" t="str">
        <f t="shared" si="100"/>
        <v xml:space="preserve">COM VALOR</v>
      </c>
      <c r="J2178" s="19"/>
      <c r="L2178" s="21">
        <v>0</v>
      </c>
      <c r="M2178" s="22"/>
      <c r="N2178" s="21">
        <v>0</v>
      </c>
      <c r="O2178" s="22"/>
    </row>
    <row r="2179" ht="51">
      <c r="A2179" t="s">
        <v>2030</v>
      </c>
      <c r="B2179" s="19">
        <v>106355</v>
      </c>
      <c r="C2179" s="20" t="s">
        <v>2233</v>
      </c>
      <c r="D2179" s="19" t="s">
        <v>2032</v>
      </c>
      <c r="E2179" s="21" t="str">
        <f t="shared" si="98"/>
        <v>VERIFICAR</v>
      </c>
      <c r="F2179" s="22"/>
      <c r="G2179" s="21" t="str">
        <f t="shared" si="99"/>
        <v>VERIFICAR</v>
      </c>
      <c r="H2179" s="22"/>
      <c r="I2179" s="23" t="str">
        <f t="shared" si="100"/>
        <v xml:space="preserve">COM VALOR</v>
      </c>
      <c r="J2179" s="19"/>
      <c r="L2179" s="21">
        <v>0</v>
      </c>
      <c r="M2179" s="22"/>
      <c r="N2179" s="21">
        <v>0</v>
      </c>
      <c r="O2179" s="22"/>
    </row>
    <row r="2180" ht="51">
      <c r="A2180" t="s">
        <v>2030</v>
      </c>
      <c r="B2180" s="19">
        <v>106353</v>
      </c>
      <c r="C2180" s="20" t="s">
        <v>2234</v>
      </c>
      <c r="D2180" s="19" t="s">
        <v>2032</v>
      </c>
      <c r="E2180" s="21" t="str">
        <f t="shared" si="98"/>
        <v>VERIFICAR</v>
      </c>
      <c r="F2180" s="22">
        <v>1</v>
      </c>
      <c r="G2180" s="21" t="str">
        <f t="shared" si="99"/>
        <v>VERIFICAR</v>
      </c>
      <c r="H2180" s="22">
        <v>1</v>
      </c>
      <c r="I2180" s="23" t="str">
        <f t="shared" si="100"/>
        <v xml:space="preserve">COM VALOR</v>
      </c>
      <c r="J2180" s="19"/>
      <c r="L2180" s="21">
        <v>0</v>
      </c>
      <c r="M2180" s="22"/>
      <c r="N2180" s="21">
        <v>0</v>
      </c>
      <c r="O2180" s="22"/>
    </row>
    <row r="2181" ht="51">
      <c r="A2181" t="s">
        <v>2030</v>
      </c>
      <c r="B2181" s="19">
        <v>106354</v>
      </c>
      <c r="C2181" s="20" t="s">
        <v>2235</v>
      </c>
      <c r="D2181" s="19" t="s">
        <v>2032</v>
      </c>
      <c r="E2181" s="21" t="str">
        <f t="shared" si="98"/>
        <v>VERIFICAR</v>
      </c>
      <c r="F2181" s="22">
        <v>1</v>
      </c>
      <c r="G2181" s="21" t="str">
        <f t="shared" si="99"/>
        <v>VERIFICAR</v>
      </c>
      <c r="H2181" s="22">
        <v>1</v>
      </c>
      <c r="I2181" s="23" t="str">
        <f t="shared" si="100"/>
        <v xml:space="preserve">COM VALOR</v>
      </c>
      <c r="J2181" s="19"/>
      <c r="L2181" s="21">
        <v>0</v>
      </c>
      <c r="M2181" s="22"/>
      <c r="N2181" s="21">
        <v>0</v>
      </c>
      <c r="O2181" s="22"/>
    </row>
    <row r="2182" ht="51">
      <c r="A2182" t="s">
        <v>2030</v>
      </c>
      <c r="B2182" s="19">
        <v>106356</v>
      </c>
      <c r="C2182" s="20" t="s">
        <v>2236</v>
      </c>
      <c r="D2182" s="19" t="s">
        <v>2032</v>
      </c>
      <c r="E2182" s="21">
        <f t="shared" si="98"/>
        <v>251.84</v>
      </c>
      <c r="F2182" s="22">
        <v>1</v>
      </c>
      <c r="G2182" s="21">
        <f t="shared" si="99"/>
        <v>251.84</v>
      </c>
      <c r="H2182" s="22">
        <v>1</v>
      </c>
      <c r="I2182" s="23" t="str">
        <f t="shared" si="100"/>
        <v xml:space="preserve">COM VALOR</v>
      </c>
      <c r="J2182" s="19"/>
      <c r="L2182" s="21">
        <v>251.84</v>
      </c>
      <c r="M2182" s="22">
        <v>0</v>
      </c>
      <c r="N2182" s="21">
        <v>251.84</v>
      </c>
      <c r="O2182" s="22">
        <v>0</v>
      </c>
    </row>
    <row r="2183" ht="63.75">
      <c r="A2183" t="s">
        <v>2030</v>
      </c>
      <c r="B2183" s="19">
        <v>106357</v>
      </c>
      <c r="C2183" s="20" t="s">
        <v>2237</v>
      </c>
      <c r="D2183" s="19" t="s">
        <v>2032</v>
      </c>
      <c r="E2183" s="21" t="str">
        <f t="shared" si="98"/>
        <v>VERIFICAR</v>
      </c>
      <c r="F2183" s="22">
        <v>0</v>
      </c>
      <c r="G2183" s="21" t="str">
        <f t="shared" si="99"/>
        <v>VERIFICAR</v>
      </c>
      <c r="H2183" s="22">
        <v>0</v>
      </c>
      <c r="I2183" s="23" t="str">
        <f t="shared" si="100"/>
        <v xml:space="preserve">COM VALOR</v>
      </c>
      <c r="J2183" s="19"/>
      <c r="L2183" s="21">
        <v>0</v>
      </c>
      <c r="M2183" s="22"/>
      <c r="N2183" s="21">
        <v>0</v>
      </c>
      <c r="O2183" s="22"/>
    </row>
    <row r="2184" ht="63.75">
      <c r="A2184" t="s">
        <v>2030</v>
      </c>
      <c r="B2184" s="19">
        <v>106360</v>
      </c>
      <c r="C2184" s="20" t="s">
        <v>2238</v>
      </c>
      <c r="D2184" s="19" t="s">
        <v>2032</v>
      </c>
      <c r="E2184" s="21" t="str">
        <f t="shared" si="98"/>
        <v>VERIFICAR</v>
      </c>
      <c r="F2184" s="22">
        <v>1</v>
      </c>
      <c r="G2184" s="21" t="str">
        <f t="shared" si="99"/>
        <v>VERIFICAR</v>
      </c>
      <c r="H2184" s="22">
        <v>1</v>
      </c>
      <c r="I2184" s="23" t="str">
        <f t="shared" si="100"/>
        <v xml:space="preserve">COM VALOR</v>
      </c>
      <c r="J2184" s="19"/>
      <c r="L2184" s="21">
        <v>0</v>
      </c>
      <c r="M2184" s="22"/>
      <c r="N2184" s="21">
        <v>0</v>
      </c>
      <c r="O2184" s="22"/>
    </row>
    <row r="2185" ht="63.75">
      <c r="A2185" t="s">
        <v>2030</v>
      </c>
      <c r="B2185" s="19">
        <v>106358</v>
      </c>
      <c r="C2185" s="20" t="s">
        <v>2239</v>
      </c>
      <c r="D2185" s="19" t="s">
        <v>2032</v>
      </c>
      <c r="E2185" s="21" t="str">
        <f t="shared" si="98"/>
        <v>VERIFICAR</v>
      </c>
      <c r="F2185" s="22">
        <v>1</v>
      </c>
      <c r="G2185" s="21" t="str">
        <f t="shared" si="99"/>
        <v>VERIFICAR</v>
      </c>
      <c r="H2185" s="22">
        <v>1</v>
      </c>
      <c r="I2185" s="23" t="str">
        <f t="shared" si="100"/>
        <v xml:space="preserve">COM VALOR</v>
      </c>
      <c r="J2185" s="19"/>
      <c r="L2185" s="21">
        <v>0</v>
      </c>
      <c r="M2185" s="22"/>
      <c r="N2185" s="21">
        <v>0</v>
      </c>
      <c r="O2185" s="22"/>
    </row>
    <row r="2186" ht="63.75">
      <c r="A2186" t="s">
        <v>2030</v>
      </c>
      <c r="B2186" s="19">
        <v>106359</v>
      </c>
      <c r="C2186" s="20" t="s">
        <v>2240</v>
      </c>
      <c r="D2186" s="19" t="s">
        <v>2032</v>
      </c>
      <c r="E2186" s="21" t="str">
        <f t="shared" si="98"/>
        <v>VERIFICAR</v>
      </c>
      <c r="F2186" s="22">
        <v>1</v>
      </c>
      <c r="G2186" s="21" t="str">
        <f t="shared" si="99"/>
        <v>VERIFICAR</v>
      </c>
      <c r="H2186" s="22">
        <v>1</v>
      </c>
      <c r="I2186" s="23" t="str">
        <f t="shared" si="100"/>
        <v xml:space="preserve">COM VALOR</v>
      </c>
      <c r="J2186" s="19"/>
      <c r="L2186" s="21">
        <v>0</v>
      </c>
      <c r="M2186" s="22"/>
      <c r="N2186" s="21">
        <v>0</v>
      </c>
      <c r="O2186" s="22"/>
    </row>
    <row r="2187" ht="63.75">
      <c r="A2187" t="s">
        <v>2030</v>
      </c>
      <c r="B2187" s="19">
        <v>106361</v>
      </c>
      <c r="C2187" s="20" t="s">
        <v>2241</v>
      </c>
      <c r="D2187" s="19" t="s">
        <v>2032</v>
      </c>
      <c r="E2187" s="21">
        <f t="shared" ref="E2187:E2250" si="101">IF(L2187=0,"VERIFICAR",L2187)</f>
        <v>341.80000000000001</v>
      </c>
      <c r="F2187" s="22">
        <v>0</v>
      </c>
      <c r="G2187" s="21">
        <f t="shared" ref="G2187:G2250" si="102">IF(N2187=0,"VERIFICAR",N2187)</f>
        <v>341.80000000000001</v>
      </c>
      <c r="H2187" s="22">
        <v>0</v>
      </c>
      <c r="I2187" s="23" t="str">
        <f t="shared" ref="I2187:I2250" si="103">IF(OR(E2187=0,G2187=0),"SEM VALOR","COM VALOR")</f>
        <v xml:space="preserve">COM VALOR</v>
      </c>
      <c r="J2187" s="19"/>
      <c r="L2187" s="21">
        <v>341.80000000000001</v>
      </c>
      <c r="M2187" s="22">
        <v>0</v>
      </c>
      <c r="N2187" s="21">
        <v>341.80000000000001</v>
      </c>
      <c r="O2187" s="22">
        <v>0</v>
      </c>
    </row>
    <row r="2188" ht="51">
      <c r="A2188" t="s">
        <v>2030</v>
      </c>
      <c r="B2188" s="19">
        <v>102812</v>
      </c>
      <c r="C2188" s="20" t="s">
        <v>2242</v>
      </c>
      <c r="D2188" s="19" t="s">
        <v>2032</v>
      </c>
      <c r="E2188" s="21" t="str">
        <f t="shared" si="101"/>
        <v>VERIFICAR</v>
      </c>
      <c r="F2188" s="22"/>
      <c r="G2188" s="21" t="str">
        <f t="shared" si="102"/>
        <v>VERIFICAR</v>
      </c>
      <c r="H2188" s="22"/>
      <c r="I2188" s="23" t="str">
        <f t="shared" si="103"/>
        <v xml:space="preserve">COM VALOR</v>
      </c>
      <c r="J2188" s="19"/>
      <c r="L2188" s="21">
        <v>0</v>
      </c>
      <c r="M2188" s="22"/>
      <c r="N2188" s="21">
        <v>0</v>
      </c>
      <c r="O2188" s="22"/>
    </row>
    <row r="2189" ht="51">
      <c r="A2189" t="s">
        <v>2030</v>
      </c>
      <c r="B2189" s="19">
        <v>102813</v>
      </c>
      <c r="C2189" s="20" t="s">
        <v>2243</v>
      </c>
      <c r="D2189" s="19" t="s">
        <v>2032</v>
      </c>
      <c r="E2189" s="21" t="str">
        <f t="shared" si="101"/>
        <v>VERIFICAR</v>
      </c>
      <c r="F2189" s="22"/>
      <c r="G2189" s="21" t="str">
        <f t="shared" si="102"/>
        <v>VERIFICAR</v>
      </c>
      <c r="H2189" s="22"/>
      <c r="I2189" s="23" t="str">
        <f t="shared" si="103"/>
        <v xml:space="preserve">COM VALOR</v>
      </c>
      <c r="J2189" s="19"/>
      <c r="L2189" s="21">
        <v>0</v>
      </c>
      <c r="M2189" s="22"/>
      <c r="N2189" s="21">
        <v>0</v>
      </c>
      <c r="O2189" s="22"/>
    </row>
    <row r="2190" ht="51">
      <c r="A2190" t="s">
        <v>2030</v>
      </c>
      <c r="B2190" s="19">
        <v>102814</v>
      </c>
      <c r="C2190" s="20" t="s">
        <v>2244</v>
      </c>
      <c r="D2190" s="19" t="s">
        <v>2032</v>
      </c>
      <c r="E2190" s="21" t="str">
        <f t="shared" si="101"/>
        <v>VERIFICAR</v>
      </c>
      <c r="F2190" s="22"/>
      <c r="G2190" s="21" t="str">
        <f t="shared" si="102"/>
        <v>VERIFICAR</v>
      </c>
      <c r="H2190" s="22"/>
      <c r="I2190" s="23" t="str">
        <f t="shared" si="103"/>
        <v xml:space="preserve">COM VALOR</v>
      </c>
      <c r="J2190" s="19"/>
      <c r="L2190" s="21">
        <v>0</v>
      </c>
      <c r="M2190" s="22"/>
      <c r="N2190" s="21">
        <v>0</v>
      </c>
      <c r="O2190" s="22"/>
    </row>
    <row r="2191" ht="51">
      <c r="A2191" t="s">
        <v>2030</v>
      </c>
      <c r="B2191" s="19">
        <v>102815</v>
      </c>
      <c r="C2191" s="20" t="s">
        <v>2245</v>
      </c>
      <c r="D2191" s="19" t="s">
        <v>2032</v>
      </c>
      <c r="E2191" s="21">
        <f t="shared" si="101"/>
        <v>3.8399999999999999</v>
      </c>
      <c r="F2191" s="22">
        <v>0</v>
      </c>
      <c r="G2191" s="21">
        <f t="shared" si="102"/>
        <v>3.8399999999999999</v>
      </c>
      <c r="H2191" s="22">
        <v>0</v>
      </c>
      <c r="I2191" s="23" t="str">
        <f t="shared" si="103"/>
        <v xml:space="preserve">COM VALOR</v>
      </c>
      <c r="J2191" s="19"/>
      <c r="L2191" s="21">
        <v>3.8399999999999999</v>
      </c>
      <c r="M2191" s="22">
        <v>0</v>
      </c>
      <c r="N2191" s="21">
        <v>3.8399999999999999</v>
      </c>
      <c r="O2191" s="22">
        <v>0</v>
      </c>
    </row>
    <row r="2192" ht="25.5">
      <c r="A2192" t="s">
        <v>2030</v>
      </c>
      <c r="B2192" s="19">
        <v>91529</v>
      </c>
      <c r="C2192" s="20" t="s">
        <v>2246</v>
      </c>
      <c r="D2192" s="19" t="s">
        <v>2032</v>
      </c>
      <c r="E2192" s="21">
        <f t="shared" si="101"/>
        <v>0.80000000000000004</v>
      </c>
      <c r="F2192" s="22">
        <v>1</v>
      </c>
      <c r="G2192" s="21">
        <f t="shared" si="102"/>
        <v>0.80000000000000004</v>
      </c>
      <c r="H2192" s="22">
        <v>1</v>
      </c>
      <c r="I2192" s="23" t="str">
        <f t="shared" si="103"/>
        <v xml:space="preserve">COM VALOR</v>
      </c>
      <c r="J2192" s="19"/>
      <c r="L2192" s="21">
        <v>0.80000000000000004</v>
      </c>
      <c r="M2192" s="22">
        <v>0</v>
      </c>
      <c r="N2192" s="21">
        <v>0.80000000000000004</v>
      </c>
      <c r="O2192" s="22">
        <v>0</v>
      </c>
    </row>
    <row r="2193" ht="25.5">
      <c r="A2193" t="s">
        <v>2030</v>
      </c>
      <c r="B2193" s="19">
        <v>91530</v>
      </c>
      <c r="C2193" s="20" t="s">
        <v>2247</v>
      </c>
      <c r="D2193" s="19" t="s">
        <v>2032</v>
      </c>
      <c r="E2193" s="21">
        <f t="shared" si="101"/>
        <v>0.20999999999999999</v>
      </c>
      <c r="F2193" s="22">
        <v>1</v>
      </c>
      <c r="G2193" s="21">
        <f t="shared" si="102"/>
        <v>0.20999999999999999</v>
      </c>
      <c r="H2193" s="22">
        <v>1</v>
      </c>
      <c r="I2193" s="23" t="str">
        <f t="shared" si="103"/>
        <v xml:space="preserve">COM VALOR</v>
      </c>
      <c r="J2193" s="19"/>
      <c r="L2193" s="21">
        <v>0.20999999999999999</v>
      </c>
      <c r="M2193" s="22">
        <v>0</v>
      </c>
      <c r="N2193" s="21">
        <v>0.20999999999999999</v>
      </c>
      <c r="O2193" s="22">
        <v>0</v>
      </c>
    </row>
    <row r="2194" ht="25.5">
      <c r="A2194" t="s">
        <v>2030</v>
      </c>
      <c r="B2194" s="19">
        <v>91531</v>
      </c>
      <c r="C2194" s="20" t="s">
        <v>2248</v>
      </c>
      <c r="D2194" s="19" t="s">
        <v>2032</v>
      </c>
      <c r="E2194" s="21">
        <f t="shared" si="101"/>
        <v>1</v>
      </c>
      <c r="F2194" s="22">
        <v>1</v>
      </c>
      <c r="G2194" s="21">
        <f t="shared" si="102"/>
        <v>1</v>
      </c>
      <c r="H2194" s="22">
        <v>1</v>
      </c>
      <c r="I2194" s="23" t="str">
        <f t="shared" si="103"/>
        <v xml:space="preserve">COM VALOR</v>
      </c>
      <c r="J2194" s="19"/>
      <c r="L2194" s="21">
        <v>1</v>
      </c>
      <c r="M2194" s="22">
        <v>0</v>
      </c>
      <c r="N2194" s="21">
        <v>1</v>
      </c>
      <c r="O2194" s="22">
        <v>0</v>
      </c>
    </row>
    <row r="2195" ht="38.25">
      <c r="A2195" t="s">
        <v>2030</v>
      </c>
      <c r="B2195" s="19">
        <v>91532</v>
      </c>
      <c r="C2195" s="20" t="s">
        <v>2249</v>
      </c>
      <c r="D2195" s="19" t="s">
        <v>2032</v>
      </c>
      <c r="E2195" s="21">
        <f t="shared" si="101"/>
        <v>6.4800000000000004</v>
      </c>
      <c r="F2195" s="22">
        <v>0</v>
      </c>
      <c r="G2195" s="21">
        <f t="shared" si="102"/>
        <v>6.4800000000000004</v>
      </c>
      <c r="H2195" s="22">
        <v>0</v>
      </c>
      <c r="I2195" s="23" t="str">
        <f t="shared" si="103"/>
        <v xml:space="preserve">COM VALOR</v>
      </c>
      <c r="J2195" s="19"/>
      <c r="L2195" s="21">
        <v>6.4800000000000004</v>
      </c>
      <c r="M2195" s="22">
        <v>0</v>
      </c>
      <c r="N2195" s="21">
        <v>6.4800000000000004</v>
      </c>
      <c r="O2195" s="22">
        <v>0</v>
      </c>
    </row>
    <row r="2196" ht="25.5">
      <c r="A2196" t="s">
        <v>2030</v>
      </c>
      <c r="B2196" s="19">
        <v>95260</v>
      </c>
      <c r="C2196" s="20" t="s">
        <v>2250</v>
      </c>
      <c r="D2196" s="19" t="s">
        <v>2032</v>
      </c>
      <c r="E2196" s="21">
        <f t="shared" si="101"/>
        <v>0.64000000000000001</v>
      </c>
      <c r="F2196" s="22">
        <v>1</v>
      </c>
      <c r="G2196" s="21">
        <f t="shared" si="102"/>
        <v>0.64000000000000001</v>
      </c>
      <c r="H2196" s="22">
        <v>1</v>
      </c>
      <c r="I2196" s="23" t="str">
        <f t="shared" si="103"/>
        <v xml:space="preserve">COM VALOR</v>
      </c>
      <c r="J2196" s="19"/>
      <c r="L2196" s="21">
        <v>0.64000000000000001</v>
      </c>
      <c r="M2196" s="22">
        <v>0</v>
      </c>
      <c r="N2196" s="21">
        <v>0.64000000000000001</v>
      </c>
      <c r="O2196" s="22">
        <v>0</v>
      </c>
    </row>
    <row r="2197" ht="25.5">
      <c r="A2197" t="s">
        <v>2030</v>
      </c>
      <c r="B2197" s="19">
        <v>95261</v>
      </c>
      <c r="C2197" s="20" t="s">
        <v>2251</v>
      </c>
      <c r="D2197" s="19" t="s">
        <v>2032</v>
      </c>
      <c r="E2197" s="21">
        <f t="shared" si="101"/>
        <v>0.17000000000000001</v>
      </c>
      <c r="F2197" s="22">
        <v>1</v>
      </c>
      <c r="G2197" s="21">
        <f t="shared" si="102"/>
        <v>0.17000000000000001</v>
      </c>
      <c r="H2197" s="22">
        <v>1</v>
      </c>
      <c r="I2197" s="23" t="str">
        <f t="shared" si="103"/>
        <v xml:space="preserve">COM VALOR</v>
      </c>
      <c r="J2197" s="19"/>
      <c r="L2197" s="21">
        <v>0.17000000000000001</v>
      </c>
      <c r="M2197" s="22">
        <v>0</v>
      </c>
      <c r="N2197" s="21">
        <v>0.17000000000000001</v>
      </c>
      <c r="O2197" s="22">
        <v>0</v>
      </c>
    </row>
    <row r="2198" ht="25.5">
      <c r="A2198" t="s">
        <v>2030</v>
      </c>
      <c r="B2198" s="19">
        <v>95262</v>
      </c>
      <c r="C2198" s="20" t="s">
        <v>2252</v>
      </c>
      <c r="D2198" s="19" t="s">
        <v>2032</v>
      </c>
      <c r="E2198" s="21">
        <f t="shared" si="101"/>
        <v>0.80000000000000004</v>
      </c>
      <c r="F2198" s="22">
        <v>1</v>
      </c>
      <c r="G2198" s="21">
        <f t="shared" si="102"/>
        <v>0.80000000000000004</v>
      </c>
      <c r="H2198" s="22">
        <v>1</v>
      </c>
      <c r="I2198" s="23" t="str">
        <f t="shared" si="103"/>
        <v xml:space="preserve">COM VALOR</v>
      </c>
      <c r="J2198" s="19"/>
      <c r="L2198" s="21">
        <v>0.80000000000000004</v>
      </c>
      <c r="M2198" s="22">
        <v>0</v>
      </c>
      <c r="N2198" s="21">
        <v>0.80000000000000004</v>
      </c>
      <c r="O2198" s="22">
        <v>0</v>
      </c>
    </row>
    <row r="2199" ht="25.5">
      <c r="A2199" t="s">
        <v>2030</v>
      </c>
      <c r="B2199" s="19">
        <v>95263</v>
      </c>
      <c r="C2199" s="20" t="s">
        <v>2253</v>
      </c>
      <c r="D2199" s="19" t="s">
        <v>2032</v>
      </c>
      <c r="E2199" s="21">
        <f t="shared" si="101"/>
        <v>4.9100000000000001</v>
      </c>
      <c r="F2199" s="22">
        <v>1</v>
      </c>
      <c r="G2199" s="21">
        <f t="shared" si="102"/>
        <v>4.9100000000000001</v>
      </c>
      <c r="H2199" s="22">
        <v>1</v>
      </c>
      <c r="I2199" s="23" t="str">
        <f t="shared" si="103"/>
        <v xml:space="preserve">COM VALOR</v>
      </c>
      <c r="J2199" s="19"/>
      <c r="L2199" s="21">
        <v>4.9100000000000001</v>
      </c>
      <c r="M2199" s="22">
        <v>0</v>
      </c>
      <c r="N2199" s="21">
        <v>4.9100000000000001</v>
      </c>
      <c r="O2199" s="22">
        <v>0</v>
      </c>
    </row>
    <row r="2200" ht="38.25">
      <c r="A2200" t="s">
        <v>2030</v>
      </c>
      <c r="B2200" s="19">
        <v>90968</v>
      </c>
      <c r="C2200" s="20" t="s">
        <v>2254</v>
      </c>
      <c r="D2200" s="19" t="s">
        <v>2032</v>
      </c>
      <c r="E2200" s="21">
        <f t="shared" si="101"/>
        <v>7.04</v>
      </c>
      <c r="F2200" s="22">
        <v>1</v>
      </c>
      <c r="G2200" s="21">
        <f t="shared" si="102"/>
        <v>7.04</v>
      </c>
      <c r="H2200" s="22">
        <v>1</v>
      </c>
      <c r="I2200" s="23" t="str">
        <f t="shared" si="103"/>
        <v xml:space="preserve">COM VALOR</v>
      </c>
      <c r="J2200" s="19"/>
      <c r="L2200" s="21">
        <v>7.04</v>
      </c>
      <c r="M2200" s="22">
        <v>1</v>
      </c>
      <c r="N2200" s="21">
        <v>7.04</v>
      </c>
      <c r="O2200" s="22">
        <v>1</v>
      </c>
    </row>
    <row r="2201" ht="38.25">
      <c r="A2201" t="s">
        <v>2030</v>
      </c>
      <c r="B2201" s="19">
        <v>90969</v>
      </c>
      <c r="C2201" s="20" t="s">
        <v>2255</v>
      </c>
      <c r="D2201" s="19" t="s">
        <v>2032</v>
      </c>
      <c r="E2201" s="21">
        <f t="shared" si="101"/>
        <v>1.8899999999999999</v>
      </c>
      <c r="F2201" s="22">
        <v>1</v>
      </c>
      <c r="G2201" s="21">
        <f t="shared" si="102"/>
        <v>1.8899999999999999</v>
      </c>
      <c r="H2201" s="22">
        <v>1</v>
      </c>
      <c r="I2201" s="23" t="str">
        <f t="shared" si="103"/>
        <v xml:space="preserve">COM VALOR</v>
      </c>
      <c r="J2201" s="19"/>
      <c r="L2201" s="21">
        <v>1.8899999999999999</v>
      </c>
      <c r="M2201" s="22">
        <v>1</v>
      </c>
      <c r="N2201" s="21">
        <v>1.8899999999999999</v>
      </c>
      <c r="O2201" s="22">
        <v>1</v>
      </c>
    </row>
    <row r="2202" ht="38.25">
      <c r="A2202" t="s">
        <v>2030</v>
      </c>
      <c r="B2202" s="19">
        <v>90970</v>
      </c>
      <c r="C2202" s="20" t="s">
        <v>2256</v>
      </c>
      <c r="D2202" s="19" t="s">
        <v>2032</v>
      </c>
      <c r="E2202" s="21">
        <f t="shared" si="101"/>
        <v>8.8100000000000005</v>
      </c>
      <c r="F2202" s="22">
        <v>1</v>
      </c>
      <c r="G2202" s="21">
        <f t="shared" si="102"/>
        <v>8.8100000000000005</v>
      </c>
      <c r="H2202" s="22">
        <v>1</v>
      </c>
      <c r="I2202" s="23" t="str">
        <f t="shared" si="103"/>
        <v xml:space="preserve">COM VALOR</v>
      </c>
      <c r="J2202" s="19"/>
      <c r="L2202" s="21">
        <v>8.8100000000000005</v>
      </c>
      <c r="M2202" s="22">
        <v>1</v>
      </c>
      <c r="N2202" s="21">
        <v>8.8100000000000005</v>
      </c>
      <c r="O2202" s="22">
        <v>1</v>
      </c>
    </row>
    <row r="2203" ht="38.25">
      <c r="A2203" t="s">
        <v>2030</v>
      </c>
      <c r="B2203" s="19">
        <v>90971</v>
      </c>
      <c r="C2203" s="20" t="s">
        <v>2257</v>
      </c>
      <c r="D2203" s="19" t="s">
        <v>2032</v>
      </c>
      <c r="E2203" s="21">
        <f t="shared" si="101"/>
        <v>68.780000000000001</v>
      </c>
      <c r="F2203" s="22">
        <v>1</v>
      </c>
      <c r="G2203" s="21">
        <f t="shared" si="102"/>
        <v>68.780000000000001</v>
      </c>
      <c r="H2203" s="22">
        <v>1</v>
      </c>
      <c r="I2203" s="23" t="str">
        <f t="shared" si="103"/>
        <v xml:space="preserve">COM VALOR</v>
      </c>
      <c r="J2203" s="19"/>
      <c r="L2203" s="21">
        <v>68.780000000000001</v>
      </c>
      <c r="M2203" s="22">
        <v>0</v>
      </c>
      <c r="N2203" s="21">
        <v>68.780000000000001</v>
      </c>
      <c r="O2203" s="22">
        <v>0</v>
      </c>
    </row>
    <row r="2204" ht="38.25">
      <c r="A2204" t="s">
        <v>2030</v>
      </c>
      <c r="B2204" s="19">
        <v>90992</v>
      </c>
      <c r="C2204" s="20" t="s">
        <v>2258</v>
      </c>
      <c r="D2204" s="19" t="s">
        <v>2032</v>
      </c>
      <c r="E2204" s="21">
        <f t="shared" si="101"/>
        <v>8.3499999999999996</v>
      </c>
      <c r="F2204" s="22">
        <v>0</v>
      </c>
      <c r="G2204" s="21">
        <f t="shared" si="102"/>
        <v>8.3499999999999996</v>
      </c>
      <c r="H2204" s="22">
        <v>0</v>
      </c>
      <c r="I2204" s="23" t="str">
        <f t="shared" si="103"/>
        <v xml:space="preserve">COM VALOR</v>
      </c>
      <c r="J2204" s="19"/>
      <c r="L2204" s="21">
        <v>8.3499999999999996</v>
      </c>
      <c r="M2204" s="22">
        <v>1</v>
      </c>
      <c r="N2204" s="21">
        <v>8.3499999999999996</v>
      </c>
      <c r="O2204" s="22">
        <v>1</v>
      </c>
    </row>
    <row r="2205" ht="38.25">
      <c r="A2205" t="s">
        <v>2030</v>
      </c>
      <c r="B2205" s="19">
        <v>90993</v>
      </c>
      <c r="C2205" s="20" t="s">
        <v>2259</v>
      </c>
      <c r="D2205" s="19" t="s">
        <v>2032</v>
      </c>
      <c r="E2205" s="21">
        <f t="shared" si="101"/>
        <v>2.2400000000000002</v>
      </c>
      <c r="F2205" s="22">
        <v>1</v>
      </c>
      <c r="G2205" s="21">
        <f t="shared" si="102"/>
        <v>2.2400000000000002</v>
      </c>
      <c r="H2205" s="22">
        <v>1</v>
      </c>
      <c r="I2205" s="23" t="str">
        <f t="shared" si="103"/>
        <v xml:space="preserve">COM VALOR</v>
      </c>
      <c r="J2205" s="19"/>
      <c r="L2205" s="21">
        <v>2.2400000000000002</v>
      </c>
      <c r="M2205" s="22">
        <v>1</v>
      </c>
      <c r="N2205" s="21">
        <v>2.2400000000000002</v>
      </c>
      <c r="O2205" s="22">
        <v>1</v>
      </c>
    </row>
    <row r="2206" ht="38.25">
      <c r="A2206" t="s">
        <v>2030</v>
      </c>
      <c r="B2206" s="19">
        <v>90994</v>
      </c>
      <c r="C2206" s="20" t="s">
        <v>2260</v>
      </c>
      <c r="D2206" s="19" t="s">
        <v>2032</v>
      </c>
      <c r="E2206" s="21">
        <f t="shared" si="101"/>
        <v>10.449999999999999</v>
      </c>
      <c r="F2206" s="22">
        <v>1</v>
      </c>
      <c r="G2206" s="21">
        <f t="shared" si="102"/>
        <v>10.449999999999999</v>
      </c>
      <c r="H2206" s="22">
        <v>1</v>
      </c>
      <c r="I2206" s="23" t="str">
        <f t="shared" si="103"/>
        <v xml:space="preserve">COM VALOR</v>
      </c>
      <c r="J2206" s="19"/>
      <c r="L2206" s="21">
        <v>10.449999999999999</v>
      </c>
      <c r="M2206" s="22">
        <v>1</v>
      </c>
      <c r="N2206" s="21">
        <v>10.449999999999999</v>
      </c>
      <c r="O2206" s="22">
        <v>1</v>
      </c>
    </row>
    <row r="2207" ht="38.25">
      <c r="A2207" t="s">
        <v>2030</v>
      </c>
      <c r="B2207" s="19">
        <v>90995</v>
      </c>
      <c r="C2207" s="20" t="s">
        <v>2261</v>
      </c>
      <c r="D2207" s="19" t="s">
        <v>2032</v>
      </c>
      <c r="E2207" s="21">
        <f t="shared" si="101"/>
        <v>93.430000000000007</v>
      </c>
      <c r="F2207" s="22">
        <v>1</v>
      </c>
      <c r="G2207" s="21">
        <f t="shared" si="102"/>
        <v>93.430000000000007</v>
      </c>
      <c r="H2207" s="22">
        <v>1</v>
      </c>
      <c r="I2207" s="23" t="str">
        <f t="shared" si="103"/>
        <v xml:space="preserve">COM VALOR</v>
      </c>
      <c r="J2207" s="19"/>
      <c r="L2207" s="21">
        <v>93.430000000000007</v>
      </c>
      <c r="M2207" s="22">
        <v>0</v>
      </c>
      <c r="N2207" s="21">
        <v>93.430000000000007</v>
      </c>
      <c r="O2207" s="22">
        <v>0</v>
      </c>
    </row>
    <row r="2208" ht="38.25">
      <c r="A2208" t="s">
        <v>2030</v>
      </c>
      <c r="B2208" s="19">
        <v>90957</v>
      </c>
      <c r="C2208" s="20" t="s">
        <v>2262</v>
      </c>
      <c r="D2208" s="19" t="s">
        <v>2032</v>
      </c>
      <c r="E2208" s="21">
        <f t="shared" si="101"/>
        <v>5.2599999999999998</v>
      </c>
      <c r="F2208" s="22">
        <v>0</v>
      </c>
      <c r="G2208" s="21">
        <f t="shared" si="102"/>
        <v>5.2599999999999998</v>
      </c>
      <c r="H2208" s="22">
        <v>0</v>
      </c>
      <c r="I2208" s="23" t="str">
        <f t="shared" si="103"/>
        <v xml:space="preserve">COM VALOR</v>
      </c>
      <c r="J2208" s="19"/>
      <c r="L2208" s="21">
        <v>5.2599999999999998</v>
      </c>
      <c r="M2208" s="22">
        <v>1</v>
      </c>
      <c r="N2208" s="21">
        <v>5.2599999999999998</v>
      </c>
      <c r="O2208" s="22">
        <v>1</v>
      </c>
    </row>
    <row r="2209" ht="38.25">
      <c r="A2209" t="s">
        <v>2030</v>
      </c>
      <c r="B2209" s="19">
        <v>90958</v>
      </c>
      <c r="C2209" s="20" t="s">
        <v>2263</v>
      </c>
      <c r="D2209" s="19" t="s">
        <v>2032</v>
      </c>
      <c r="E2209" s="21">
        <f t="shared" si="101"/>
        <v>1.4099999999999999</v>
      </c>
      <c r="F2209" s="22">
        <v>1</v>
      </c>
      <c r="G2209" s="21">
        <f t="shared" si="102"/>
        <v>1.4099999999999999</v>
      </c>
      <c r="H2209" s="22">
        <v>1</v>
      </c>
      <c r="I2209" s="23" t="str">
        <f t="shared" si="103"/>
        <v xml:space="preserve">COM VALOR</v>
      </c>
      <c r="J2209" s="19"/>
      <c r="L2209" s="21">
        <v>1.4099999999999999</v>
      </c>
      <c r="M2209" s="22">
        <v>1</v>
      </c>
      <c r="N2209" s="21">
        <v>1.4099999999999999</v>
      </c>
      <c r="O2209" s="22">
        <v>1</v>
      </c>
    </row>
    <row r="2210" ht="38.25">
      <c r="A2210" t="s">
        <v>2030</v>
      </c>
      <c r="B2210" s="19">
        <v>5797</v>
      </c>
      <c r="C2210" s="20" t="s">
        <v>2264</v>
      </c>
      <c r="D2210" s="19" t="s">
        <v>2032</v>
      </c>
      <c r="E2210" s="21">
        <f t="shared" si="101"/>
        <v>6.5800000000000001</v>
      </c>
      <c r="F2210" s="22">
        <v>1</v>
      </c>
      <c r="G2210" s="21">
        <f t="shared" si="102"/>
        <v>6.5800000000000001</v>
      </c>
      <c r="H2210" s="22">
        <v>1</v>
      </c>
      <c r="I2210" s="23" t="str">
        <f t="shared" si="103"/>
        <v xml:space="preserve">COM VALOR</v>
      </c>
      <c r="J2210" s="19"/>
      <c r="L2210" s="21">
        <v>6.5800000000000001</v>
      </c>
      <c r="M2210" s="22">
        <v>1</v>
      </c>
      <c r="N2210" s="21">
        <v>6.5800000000000001</v>
      </c>
      <c r="O2210" s="22">
        <v>1</v>
      </c>
    </row>
    <row r="2211" ht="38.25">
      <c r="A2211" t="s">
        <v>2030</v>
      </c>
      <c r="B2211" s="19">
        <v>53865</v>
      </c>
      <c r="C2211" s="20" t="s">
        <v>2265</v>
      </c>
      <c r="D2211" s="19" t="s">
        <v>2032</v>
      </c>
      <c r="E2211" s="21">
        <f t="shared" si="101"/>
        <v>53.5</v>
      </c>
      <c r="F2211" s="22">
        <v>1</v>
      </c>
      <c r="G2211" s="21">
        <f t="shared" si="102"/>
        <v>53.5</v>
      </c>
      <c r="H2211" s="22">
        <v>1</v>
      </c>
      <c r="I2211" s="23" t="str">
        <f t="shared" si="103"/>
        <v xml:space="preserve">COM VALOR</v>
      </c>
      <c r="J2211" s="19"/>
      <c r="L2211" s="21">
        <v>53.5</v>
      </c>
      <c r="M2211" s="22">
        <v>0</v>
      </c>
      <c r="N2211" s="21">
        <v>53.5</v>
      </c>
      <c r="O2211" s="22">
        <v>0</v>
      </c>
    </row>
    <row r="2212" ht="38.25">
      <c r="A2212" t="s">
        <v>2030</v>
      </c>
      <c r="B2212" s="19">
        <v>90975</v>
      </c>
      <c r="C2212" s="20" t="s">
        <v>2266</v>
      </c>
      <c r="D2212" s="19" t="s">
        <v>2032</v>
      </c>
      <c r="E2212" s="21">
        <f t="shared" si="101"/>
        <v>17.890000000000001</v>
      </c>
      <c r="F2212" s="22">
        <v>1</v>
      </c>
      <c r="G2212" s="21">
        <f t="shared" si="102"/>
        <v>17.890000000000001</v>
      </c>
      <c r="H2212" s="22">
        <v>1</v>
      </c>
      <c r="I2212" s="23" t="str">
        <f t="shared" si="103"/>
        <v xml:space="preserve">COM VALOR</v>
      </c>
      <c r="J2212" s="19"/>
      <c r="L2212" s="21">
        <v>17.890000000000001</v>
      </c>
      <c r="M2212" s="22">
        <v>1</v>
      </c>
      <c r="N2212" s="21">
        <v>17.890000000000001</v>
      </c>
      <c r="O2212" s="22">
        <v>1</v>
      </c>
    </row>
    <row r="2213" ht="38.25">
      <c r="A2213" t="s">
        <v>2030</v>
      </c>
      <c r="B2213" s="19">
        <v>90976</v>
      </c>
      <c r="C2213" s="20" t="s">
        <v>2267</v>
      </c>
      <c r="D2213" s="19" t="s">
        <v>2032</v>
      </c>
      <c r="E2213" s="21">
        <f t="shared" si="101"/>
        <v>4.7999999999999998</v>
      </c>
      <c r="F2213" s="22">
        <v>0</v>
      </c>
      <c r="G2213" s="21">
        <f t="shared" si="102"/>
        <v>4.7999999999999998</v>
      </c>
      <c r="H2213" s="22">
        <v>0</v>
      </c>
      <c r="I2213" s="23" t="str">
        <f t="shared" si="103"/>
        <v xml:space="preserve">COM VALOR</v>
      </c>
      <c r="J2213" s="19"/>
      <c r="L2213" s="21">
        <v>4.7999999999999998</v>
      </c>
      <c r="M2213" s="22">
        <v>1</v>
      </c>
      <c r="N2213" s="21">
        <v>4.7999999999999998</v>
      </c>
      <c r="O2213" s="22">
        <v>1</v>
      </c>
    </row>
    <row r="2214" ht="38.25">
      <c r="A2214" t="s">
        <v>2030</v>
      </c>
      <c r="B2214" s="19">
        <v>90977</v>
      </c>
      <c r="C2214" s="20" t="s">
        <v>2268</v>
      </c>
      <c r="D2214" s="19" t="s">
        <v>2032</v>
      </c>
      <c r="E2214" s="21">
        <f t="shared" si="101"/>
        <v>22.390000000000001</v>
      </c>
      <c r="F2214" s="22">
        <v>1</v>
      </c>
      <c r="G2214" s="21">
        <f t="shared" si="102"/>
        <v>22.390000000000001</v>
      </c>
      <c r="H2214" s="22">
        <v>1</v>
      </c>
      <c r="I2214" s="23" t="str">
        <f t="shared" si="103"/>
        <v xml:space="preserve">COM VALOR</v>
      </c>
      <c r="J2214" s="19"/>
      <c r="L2214" s="21">
        <v>22.390000000000001</v>
      </c>
      <c r="M2214" s="22">
        <v>1</v>
      </c>
      <c r="N2214" s="21">
        <v>22.390000000000001</v>
      </c>
      <c r="O2214" s="22">
        <v>1</v>
      </c>
    </row>
    <row r="2215" ht="38.25">
      <c r="A2215" t="s">
        <v>2030</v>
      </c>
      <c r="B2215" s="19">
        <v>90978</v>
      </c>
      <c r="C2215" s="20" t="s">
        <v>2269</v>
      </c>
      <c r="D2215" s="19" t="s">
        <v>2032</v>
      </c>
      <c r="E2215" s="21">
        <f t="shared" si="101"/>
        <v>178.44</v>
      </c>
      <c r="F2215" s="22">
        <v>1</v>
      </c>
      <c r="G2215" s="21">
        <f t="shared" si="102"/>
        <v>178.44</v>
      </c>
      <c r="H2215" s="22">
        <v>1</v>
      </c>
      <c r="I2215" s="23" t="str">
        <f t="shared" si="103"/>
        <v xml:space="preserve">COM VALOR</v>
      </c>
      <c r="J2215" s="19"/>
      <c r="L2215" s="21">
        <v>178.44</v>
      </c>
      <c r="M2215" s="22">
        <v>0</v>
      </c>
      <c r="N2215" s="21">
        <v>178.44</v>
      </c>
      <c r="O2215" s="22">
        <v>0</v>
      </c>
    </row>
    <row r="2216" ht="38.25">
      <c r="A2216" t="s">
        <v>2030</v>
      </c>
      <c r="B2216" s="19">
        <v>90960</v>
      </c>
      <c r="C2216" s="20" t="s">
        <v>2270</v>
      </c>
      <c r="D2216" s="19" t="s">
        <v>2032</v>
      </c>
      <c r="E2216" s="21">
        <f t="shared" si="101"/>
        <v>7.0199999999999996</v>
      </c>
      <c r="F2216" s="22">
        <v>1</v>
      </c>
      <c r="G2216" s="21">
        <f t="shared" si="102"/>
        <v>7.0199999999999996</v>
      </c>
      <c r="H2216" s="22">
        <v>1</v>
      </c>
      <c r="I2216" s="23" t="str">
        <f t="shared" si="103"/>
        <v xml:space="preserve">COM VALOR</v>
      </c>
      <c r="J2216" s="19"/>
      <c r="L2216" s="21">
        <v>7.0199999999999996</v>
      </c>
      <c r="M2216" s="22">
        <v>1</v>
      </c>
      <c r="N2216" s="21">
        <v>7.0199999999999996</v>
      </c>
      <c r="O2216" s="22">
        <v>1</v>
      </c>
    </row>
    <row r="2217" ht="38.25">
      <c r="A2217" t="s">
        <v>2030</v>
      </c>
      <c r="B2217" s="19">
        <v>90961</v>
      </c>
      <c r="C2217" s="20" t="s">
        <v>2271</v>
      </c>
      <c r="D2217" s="19" t="s">
        <v>2032</v>
      </c>
      <c r="E2217" s="21">
        <f t="shared" si="101"/>
        <v>1.8799999999999999</v>
      </c>
      <c r="F2217" s="22">
        <v>0</v>
      </c>
      <c r="G2217" s="21">
        <f t="shared" si="102"/>
        <v>1.8799999999999999</v>
      </c>
      <c r="H2217" s="22">
        <v>0</v>
      </c>
      <c r="I2217" s="23" t="str">
        <f t="shared" si="103"/>
        <v xml:space="preserve">COM VALOR</v>
      </c>
      <c r="J2217" s="19"/>
      <c r="L2217" s="21">
        <v>1.8799999999999999</v>
      </c>
      <c r="M2217" s="22">
        <v>1</v>
      </c>
      <c r="N2217" s="21">
        <v>1.8799999999999999</v>
      </c>
      <c r="O2217" s="22">
        <v>1</v>
      </c>
    </row>
    <row r="2218" ht="38.25">
      <c r="A2218" t="s">
        <v>2030</v>
      </c>
      <c r="B2218" s="19">
        <v>90962</v>
      </c>
      <c r="C2218" s="20" t="s">
        <v>2272</v>
      </c>
      <c r="D2218" s="19" t="s">
        <v>2032</v>
      </c>
      <c r="E2218" s="21">
        <f t="shared" si="101"/>
        <v>8.7899999999999991</v>
      </c>
      <c r="F2218" s="22"/>
      <c r="G2218" s="21">
        <f t="shared" si="102"/>
        <v>8.7899999999999991</v>
      </c>
      <c r="H2218" s="22"/>
      <c r="I2218" s="23" t="str">
        <f t="shared" si="103"/>
        <v xml:space="preserve">COM VALOR</v>
      </c>
      <c r="J2218" s="19"/>
      <c r="L2218" s="21">
        <v>8.7899999999999991</v>
      </c>
      <c r="M2218" s="22">
        <v>1</v>
      </c>
      <c r="N2218" s="21">
        <v>8.7899999999999991</v>
      </c>
      <c r="O2218" s="22">
        <v>1</v>
      </c>
    </row>
    <row r="2219" ht="38.25">
      <c r="A2219" t="s">
        <v>2030</v>
      </c>
      <c r="B2219" s="19">
        <v>90963</v>
      </c>
      <c r="C2219" s="20" t="s">
        <v>2273</v>
      </c>
      <c r="D2219" s="19" t="s">
        <v>2032</v>
      </c>
      <c r="E2219" s="21">
        <f t="shared" si="101"/>
        <v>16.969999999999999</v>
      </c>
      <c r="F2219" s="22"/>
      <c r="G2219" s="21">
        <f t="shared" si="102"/>
        <v>16.969999999999999</v>
      </c>
      <c r="H2219" s="22"/>
      <c r="I2219" s="23" t="str">
        <f t="shared" si="103"/>
        <v xml:space="preserve">COM VALOR</v>
      </c>
      <c r="J2219" s="19"/>
      <c r="L2219" s="21">
        <v>16.969999999999999</v>
      </c>
      <c r="M2219" s="22">
        <v>0</v>
      </c>
      <c r="N2219" s="21">
        <v>16.969999999999999</v>
      </c>
      <c r="O2219" s="22">
        <v>0</v>
      </c>
    </row>
    <row r="2220" ht="38.25">
      <c r="A2220" t="s">
        <v>2030</v>
      </c>
      <c r="B2220" s="19">
        <v>102966</v>
      </c>
      <c r="C2220" s="20" t="s">
        <v>2274</v>
      </c>
      <c r="D2220" s="19" t="s">
        <v>2032</v>
      </c>
      <c r="E2220" s="21">
        <f t="shared" si="101"/>
        <v>0.22</v>
      </c>
      <c r="F2220" s="22"/>
      <c r="G2220" s="21">
        <f t="shared" si="102"/>
        <v>0.22</v>
      </c>
      <c r="H2220" s="22"/>
      <c r="I2220" s="23" t="str">
        <f t="shared" si="103"/>
        <v xml:space="preserve">COM VALOR</v>
      </c>
      <c r="J2220" s="19"/>
      <c r="L2220" s="21">
        <v>0.22</v>
      </c>
      <c r="M2220" s="22">
        <v>0</v>
      </c>
      <c r="N2220" s="21">
        <v>0.22</v>
      </c>
      <c r="O2220" s="22">
        <v>0</v>
      </c>
    </row>
    <row r="2221" ht="38.25">
      <c r="A2221" t="s">
        <v>2030</v>
      </c>
      <c r="B2221" s="19">
        <v>102967</v>
      </c>
      <c r="C2221" s="20" t="s">
        <v>2275</v>
      </c>
      <c r="D2221" s="19" t="s">
        <v>2032</v>
      </c>
      <c r="E2221" s="21">
        <f t="shared" si="101"/>
        <v>4.0000000000000001e-002</v>
      </c>
      <c r="F2221" s="22">
        <v>0</v>
      </c>
      <c r="G2221" s="21">
        <f t="shared" si="102"/>
        <v>4.0000000000000001e-002</v>
      </c>
      <c r="H2221" s="22">
        <v>0</v>
      </c>
      <c r="I2221" s="23" t="str">
        <f t="shared" si="103"/>
        <v xml:space="preserve">COM VALOR</v>
      </c>
      <c r="J2221" s="19"/>
      <c r="L2221" s="21">
        <v>4.0000000000000001e-002</v>
      </c>
      <c r="M2221" s="22">
        <v>0</v>
      </c>
      <c r="N2221" s="21">
        <v>4.0000000000000001e-002</v>
      </c>
      <c r="O2221" s="22">
        <v>0</v>
      </c>
    </row>
    <row r="2222" ht="38.25">
      <c r="A2222" t="s">
        <v>2030</v>
      </c>
      <c r="B2222" s="19">
        <v>102968</v>
      </c>
      <c r="C2222" s="20" t="s">
        <v>2276</v>
      </c>
      <c r="D2222" s="19" t="s">
        <v>2032</v>
      </c>
      <c r="E2222" s="21">
        <f t="shared" si="101"/>
        <v>0.20999999999999999</v>
      </c>
      <c r="F2222" s="22">
        <v>1</v>
      </c>
      <c r="G2222" s="21">
        <f t="shared" si="102"/>
        <v>0.20999999999999999</v>
      </c>
      <c r="H2222" s="22">
        <v>1</v>
      </c>
      <c r="I2222" s="23" t="str">
        <f t="shared" si="103"/>
        <v xml:space="preserve">COM VALOR</v>
      </c>
      <c r="J2222" s="19"/>
      <c r="L2222" s="21">
        <v>0.20999999999999999</v>
      </c>
      <c r="M2222" s="22">
        <v>0</v>
      </c>
      <c r="N2222" s="21">
        <v>0.20999999999999999</v>
      </c>
      <c r="O2222" s="22">
        <v>0</v>
      </c>
    </row>
    <row r="2223" ht="38.25">
      <c r="A2223" t="s">
        <v>2030</v>
      </c>
      <c r="B2223" s="19">
        <v>102969</v>
      </c>
      <c r="C2223" s="20" t="s">
        <v>2277</v>
      </c>
      <c r="D2223" s="19" t="s">
        <v>2032</v>
      </c>
      <c r="E2223" s="21">
        <f t="shared" si="101"/>
        <v>0.16</v>
      </c>
      <c r="F2223" s="22">
        <v>1</v>
      </c>
      <c r="G2223" s="21">
        <f t="shared" si="102"/>
        <v>0.16</v>
      </c>
      <c r="H2223" s="22">
        <v>1</v>
      </c>
      <c r="I2223" s="23" t="str">
        <f t="shared" si="103"/>
        <v xml:space="preserve">COM VALOR</v>
      </c>
      <c r="J2223" s="19"/>
      <c r="L2223" s="21">
        <v>0.16</v>
      </c>
      <c r="M2223" s="22">
        <v>0</v>
      </c>
      <c r="N2223" s="21">
        <v>0.16</v>
      </c>
      <c r="O2223" s="22">
        <v>0</v>
      </c>
    </row>
    <row r="2224" ht="38.25">
      <c r="A2224" t="s">
        <v>2030</v>
      </c>
      <c r="B2224" s="19">
        <v>102818</v>
      </c>
      <c r="C2224" s="20" t="s">
        <v>2278</v>
      </c>
      <c r="D2224" s="19" t="s">
        <v>2032</v>
      </c>
      <c r="E2224" s="21" t="str">
        <f t="shared" si="101"/>
        <v>VERIFICAR</v>
      </c>
      <c r="F2224" s="22">
        <v>1</v>
      </c>
      <c r="G2224" s="21" t="str">
        <f t="shared" si="102"/>
        <v>VERIFICAR</v>
      </c>
      <c r="H2224" s="22">
        <v>1</v>
      </c>
      <c r="I2224" s="23" t="str">
        <f t="shared" si="103"/>
        <v xml:space="preserve">COM VALOR</v>
      </c>
      <c r="J2224" s="19"/>
      <c r="L2224" s="21">
        <v>0</v>
      </c>
      <c r="M2224" s="22"/>
      <c r="N2224" s="21">
        <v>0</v>
      </c>
      <c r="O2224" s="22"/>
    </row>
    <row r="2225" ht="38.25">
      <c r="A2225" t="s">
        <v>2030</v>
      </c>
      <c r="B2225" s="19">
        <v>102819</v>
      </c>
      <c r="C2225" s="20" t="s">
        <v>2279</v>
      </c>
      <c r="D2225" s="19" t="s">
        <v>2032</v>
      </c>
      <c r="E2225" s="21" t="str">
        <f t="shared" si="101"/>
        <v>VERIFICAR</v>
      </c>
      <c r="F2225" s="22">
        <v>0</v>
      </c>
      <c r="G2225" s="21" t="str">
        <f t="shared" si="102"/>
        <v>VERIFICAR</v>
      </c>
      <c r="H2225" s="22">
        <v>0</v>
      </c>
      <c r="I2225" s="23" t="str">
        <f t="shared" si="103"/>
        <v xml:space="preserve">COM VALOR</v>
      </c>
      <c r="J2225" s="19"/>
      <c r="L2225" s="21">
        <v>0</v>
      </c>
      <c r="M2225" s="22"/>
      <c r="N2225" s="21">
        <v>0</v>
      </c>
      <c r="O2225" s="22"/>
    </row>
    <row r="2226" ht="38.25">
      <c r="A2226" t="s">
        <v>2030</v>
      </c>
      <c r="B2226" s="19">
        <v>102820</v>
      </c>
      <c r="C2226" s="20" t="s">
        <v>2280</v>
      </c>
      <c r="D2226" s="19" t="s">
        <v>2032</v>
      </c>
      <c r="E2226" s="21" t="str">
        <f t="shared" si="101"/>
        <v>VERIFICAR</v>
      </c>
      <c r="F2226" s="22">
        <v>1</v>
      </c>
      <c r="G2226" s="21" t="str">
        <f t="shared" si="102"/>
        <v>VERIFICAR</v>
      </c>
      <c r="H2226" s="22">
        <v>1</v>
      </c>
      <c r="I2226" s="23" t="str">
        <f t="shared" si="103"/>
        <v xml:space="preserve">COM VALOR</v>
      </c>
      <c r="J2226" s="19"/>
      <c r="L2226" s="21">
        <v>0</v>
      </c>
      <c r="M2226" s="22"/>
      <c r="N2226" s="21">
        <v>0</v>
      </c>
      <c r="O2226" s="22"/>
    </row>
    <row r="2227" ht="38.25">
      <c r="A2227" t="s">
        <v>2030</v>
      </c>
      <c r="B2227" s="19">
        <v>102832</v>
      </c>
      <c r="C2227" s="20" t="s">
        <v>2281</v>
      </c>
      <c r="D2227" s="19" t="s">
        <v>2032</v>
      </c>
      <c r="E2227" s="21">
        <f t="shared" si="101"/>
        <v>9.5999999999999996</v>
      </c>
      <c r="F2227" s="22">
        <v>1</v>
      </c>
      <c r="G2227" s="21">
        <f t="shared" si="102"/>
        <v>9.5999999999999996</v>
      </c>
      <c r="H2227" s="22">
        <v>1</v>
      </c>
      <c r="I2227" s="23" t="str">
        <f t="shared" si="103"/>
        <v xml:space="preserve">COM VALOR</v>
      </c>
      <c r="J2227" s="19"/>
      <c r="L2227" s="21">
        <v>9.5999999999999996</v>
      </c>
      <c r="M2227" s="22">
        <v>0</v>
      </c>
      <c r="N2227" s="21">
        <v>9.5999999999999996</v>
      </c>
      <c r="O2227" s="22">
        <v>0</v>
      </c>
    </row>
    <row r="2228" ht="38.25">
      <c r="A2228" t="s">
        <v>2030</v>
      </c>
      <c r="B2228" s="19">
        <v>102823</v>
      </c>
      <c r="C2228" s="20" t="s">
        <v>2282</v>
      </c>
      <c r="D2228" s="19" t="s">
        <v>2032</v>
      </c>
      <c r="E2228" s="21" t="str">
        <f t="shared" si="101"/>
        <v>VERIFICAR</v>
      </c>
      <c r="F2228" s="22">
        <v>1</v>
      </c>
      <c r="G2228" s="21" t="str">
        <f t="shared" si="102"/>
        <v>VERIFICAR</v>
      </c>
      <c r="H2228" s="22">
        <v>1</v>
      </c>
      <c r="I2228" s="23" t="str">
        <f t="shared" si="103"/>
        <v xml:space="preserve">COM VALOR</v>
      </c>
      <c r="J2228" s="19"/>
      <c r="L2228" s="21">
        <v>0</v>
      </c>
      <c r="M2228" s="22"/>
      <c r="N2228" s="21">
        <v>0</v>
      </c>
      <c r="O2228" s="22"/>
    </row>
    <row r="2229" ht="38.25">
      <c r="A2229" t="s">
        <v>2030</v>
      </c>
      <c r="B2229" s="19">
        <v>102824</v>
      </c>
      <c r="C2229" s="20" t="s">
        <v>2283</v>
      </c>
      <c r="D2229" s="19" t="s">
        <v>2032</v>
      </c>
      <c r="E2229" s="21" t="str">
        <f t="shared" si="101"/>
        <v>VERIFICAR</v>
      </c>
      <c r="F2229" s="22">
        <v>0</v>
      </c>
      <c r="G2229" s="21" t="str">
        <f t="shared" si="102"/>
        <v>VERIFICAR</v>
      </c>
      <c r="H2229" s="22">
        <v>0</v>
      </c>
      <c r="I2229" s="23" t="str">
        <f t="shared" si="103"/>
        <v xml:space="preserve">COM VALOR</v>
      </c>
      <c r="J2229" s="19"/>
      <c r="L2229" s="21">
        <v>0</v>
      </c>
      <c r="M2229" s="22"/>
      <c r="N2229" s="21">
        <v>0</v>
      </c>
      <c r="O2229" s="22"/>
    </row>
    <row r="2230" ht="38.25">
      <c r="A2230" t="s">
        <v>2030</v>
      </c>
      <c r="B2230" s="19">
        <v>102825</v>
      </c>
      <c r="C2230" s="20" t="s">
        <v>2284</v>
      </c>
      <c r="D2230" s="19" t="s">
        <v>2032</v>
      </c>
      <c r="E2230" s="21" t="str">
        <f t="shared" si="101"/>
        <v>VERIFICAR</v>
      </c>
      <c r="F2230" s="22">
        <v>1</v>
      </c>
      <c r="G2230" s="21" t="str">
        <f t="shared" si="102"/>
        <v>VERIFICAR</v>
      </c>
      <c r="H2230" s="22">
        <v>1</v>
      </c>
      <c r="I2230" s="23" t="str">
        <f t="shared" si="103"/>
        <v xml:space="preserve">COM VALOR</v>
      </c>
      <c r="J2230" s="19"/>
      <c r="L2230" s="21">
        <v>0</v>
      </c>
      <c r="M2230" s="22"/>
      <c r="N2230" s="21">
        <v>0</v>
      </c>
      <c r="O2230" s="22"/>
    </row>
    <row r="2231" ht="38.25">
      <c r="A2231" t="s">
        <v>2030</v>
      </c>
      <c r="B2231" s="19">
        <v>102826</v>
      </c>
      <c r="C2231" s="20" t="s">
        <v>2285</v>
      </c>
      <c r="D2231" s="19" t="s">
        <v>2032</v>
      </c>
      <c r="E2231" s="21">
        <f t="shared" si="101"/>
        <v>7.2000000000000002</v>
      </c>
      <c r="F2231" s="22">
        <v>1</v>
      </c>
      <c r="G2231" s="21">
        <f t="shared" si="102"/>
        <v>7.2000000000000002</v>
      </c>
      <c r="H2231" s="22">
        <v>1</v>
      </c>
      <c r="I2231" s="23" t="str">
        <f t="shared" si="103"/>
        <v xml:space="preserve">COM VALOR</v>
      </c>
      <c r="J2231" s="19"/>
      <c r="L2231" s="21">
        <v>7.2000000000000002</v>
      </c>
      <c r="M2231" s="22">
        <v>0</v>
      </c>
      <c r="N2231" s="21">
        <v>7.2000000000000002</v>
      </c>
      <c r="O2231" s="22">
        <v>0</v>
      </c>
    </row>
    <row r="2232" ht="51">
      <c r="A2232" t="s">
        <v>2030</v>
      </c>
      <c r="B2232" s="19">
        <v>103934</v>
      </c>
      <c r="C2232" s="20" t="s">
        <v>2286</v>
      </c>
      <c r="D2232" s="19" t="s">
        <v>2032</v>
      </c>
      <c r="E2232" s="21" t="str">
        <f t="shared" si="101"/>
        <v>VERIFICAR</v>
      </c>
      <c r="F2232" s="22">
        <v>1</v>
      </c>
      <c r="G2232" s="21" t="str">
        <f t="shared" si="102"/>
        <v>VERIFICAR</v>
      </c>
      <c r="H2232" s="22">
        <v>1</v>
      </c>
      <c r="I2232" s="23" t="str">
        <f t="shared" si="103"/>
        <v xml:space="preserve">COM VALOR</v>
      </c>
      <c r="J2232" s="19"/>
      <c r="L2232" s="21">
        <v>0</v>
      </c>
      <c r="M2232" s="22"/>
      <c r="N2232" s="21">
        <v>0</v>
      </c>
      <c r="O2232" s="22"/>
    </row>
    <row r="2233" ht="51">
      <c r="A2233" t="s">
        <v>2030</v>
      </c>
      <c r="B2233" s="19">
        <v>103935</v>
      </c>
      <c r="C2233" s="20" t="s">
        <v>2287</v>
      </c>
      <c r="D2233" s="19" t="s">
        <v>2032</v>
      </c>
      <c r="E2233" s="21" t="str">
        <f t="shared" si="101"/>
        <v>VERIFICAR</v>
      </c>
      <c r="F2233" s="22">
        <v>0</v>
      </c>
      <c r="G2233" s="21" t="str">
        <f t="shared" si="102"/>
        <v>VERIFICAR</v>
      </c>
      <c r="H2233" s="22">
        <v>0</v>
      </c>
      <c r="I2233" s="23" t="str">
        <f t="shared" si="103"/>
        <v xml:space="preserve">COM VALOR</v>
      </c>
      <c r="J2233" s="19"/>
      <c r="L2233" s="21">
        <v>0</v>
      </c>
      <c r="M2233" s="22"/>
      <c r="N2233" s="21">
        <v>0</v>
      </c>
      <c r="O2233" s="22"/>
    </row>
    <row r="2234" ht="51">
      <c r="A2234" t="s">
        <v>2030</v>
      </c>
      <c r="B2234" s="19">
        <v>103936</v>
      </c>
      <c r="C2234" s="20" t="s">
        <v>2288</v>
      </c>
      <c r="D2234" s="19" t="s">
        <v>2032</v>
      </c>
      <c r="E2234" s="21" t="str">
        <f t="shared" si="101"/>
        <v>VERIFICAR</v>
      </c>
      <c r="F2234" s="22">
        <v>0</v>
      </c>
      <c r="G2234" s="21" t="str">
        <f t="shared" si="102"/>
        <v>VERIFICAR</v>
      </c>
      <c r="H2234" s="22">
        <v>0</v>
      </c>
      <c r="I2234" s="23" t="str">
        <f t="shared" si="103"/>
        <v xml:space="preserve">COM VALOR</v>
      </c>
      <c r="J2234" s="19"/>
      <c r="L2234" s="21">
        <v>0</v>
      </c>
      <c r="M2234" s="22"/>
      <c r="N2234" s="21">
        <v>0</v>
      </c>
      <c r="O2234" s="22"/>
    </row>
    <row r="2235" ht="51">
      <c r="A2235" t="s">
        <v>2030</v>
      </c>
      <c r="B2235" s="19">
        <v>103937</v>
      </c>
      <c r="C2235" s="20" t="s">
        <v>2289</v>
      </c>
      <c r="D2235" s="19" t="s">
        <v>2032</v>
      </c>
      <c r="E2235" s="21">
        <f t="shared" si="101"/>
        <v>1.72</v>
      </c>
      <c r="F2235" s="22">
        <v>0</v>
      </c>
      <c r="G2235" s="21">
        <f t="shared" si="102"/>
        <v>1.72</v>
      </c>
      <c r="H2235" s="22">
        <v>0</v>
      </c>
      <c r="I2235" s="23" t="str">
        <f t="shared" si="103"/>
        <v xml:space="preserve">COM VALOR</v>
      </c>
      <c r="J2235" s="19"/>
      <c r="L2235" s="21">
        <v>1.72</v>
      </c>
      <c r="M2235" s="22">
        <v>0</v>
      </c>
      <c r="N2235" s="21">
        <v>1.72</v>
      </c>
      <c r="O2235" s="22">
        <v>0</v>
      </c>
    </row>
    <row r="2236" ht="51">
      <c r="A2236" t="s">
        <v>2030</v>
      </c>
      <c r="B2236" s="19">
        <v>103940</v>
      </c>
      <c r="C2236" s="20" t="s">
        <v>2290</v>
      </c>
      <c r="D2236" s="19" t="s">
        <v>2032</v>
      </c>
      <c r="E2236" s="21" t="str">
        <f t="shared" si="101"/>
        <v>VERIFICAR</v>
      </c>
      <c r="F2236" s="22">
        <v>0</v>
      </c>
      <c r="G2236" s="21" t="str">
        <f t="shared" si="102"/>
        <v>VERIFICAR</v>
      </c>
      <c r="H2236" s="22">
        <v>0</v>
      </c>
      <c r="I2236" s="23" t="str">
        <f t="shared" si="103"/>
        <v xml:space="preserve">COM VALOR</v>
      </c>
      <c r="J2236" s="19"/>
      <c r="L2236" s="21">
        <v>0</v>
      </c>
      <c r="M2236" s="22"/>
      <c r="N2236" s="21">
        <v>0</v>
      </c>
      <c r="O2236" s="22"/>
    </row>
    <row r="2237" ht="51">
      <c r="A2237" t="s">
        <v>2030</v>
      </c>
      <c r="B2237" s="19">
        <v>103941</v>
      </c>
      <c r="C2237" s="20" t="s">
        <v>2291</v>
      </c>
      <c r="D2237" s="19" t="s">
        <v>2032</v>
      </c>
      <c r="E2237" s="21" t="str">
        <f t="shared" si="101"/>
        <v>VERIFICAR</v>
      </c>
      <c r="F2237" s="22">
        <v>0</v>
      </c>
      <c r="G2237" s="21" t="str">
        <f t="shared" si="102"/>
        <v>VERIFICAR</v>
      </c>
      <c r="H2237" s="22">
        <v>0</v>
      </c>
      <c r="I2237" s="23" t="str">
        <f t="shared" si="103"/>
        <v xml:space="preserve">COM VALOR</v>
      </c>
      <c r="J2237" s="19"/>
      <c r="L2237" s="21">
        <v>0</v>
      </c>
      <c r="M2237" s="22"/>
      <c r="N2237" s="21">
        <v>0</v>
      </c>
      <c r="O2237" s="22"/>
    </row>
    <row r="2238" ht="51">
      <c r="A2238" t="s">
        <v>2030</v>
      </c>
      <c r="B2238" s="19">
        <v>103942</v>
      </c>
      <c r="C2238" s="20" t="s">
        <v>2292</v>
      </c>
      <c r="D2238" s="19" t="s">
        <v>2032</v>
      </c>
      <c r="E2238" s="21" t="str">
        <f t="shared" si="101"/>
        <v>VERIFICAR</v>
      </c>
      <c r="F2238" s="22"/>
      <c r="G2238" s="21" t="str">
        <f t="shared" si="102"/>
        <v>VERIFICAR</v>
      </c>
      <c r="H2238" s="22"/>
      <c r="I2238" s="23" t="str">
        <f t="shared" si="103"/>
        <v xml:space="preserve">COM VALOR</v>
      </c>
      <c r="J2238" s="19"/>
      <c r="L2238" s="21">
        <v>0</v>
      </c>
      <c r="M2238" s="22"/>
      <c r="N2238" s="21">
        <v>0</v>
      </c>
      <c r="O2238" s="22"/>
    </row>
    <row r="2239" ht="51">
      <c r="A2239" t="s">
        <v>2030</v>
      </c>
      <c r="B2239" s="19">
        <v>103943</v>
      </c>
      <c r="C2239" s="20" t="s">
        <v>2293</v>
      </c>
      <c r="D2239" s="19" t="s">
        <v>2032</v>
      </c>
      <c r="E2239" s="21">
        <f t="shared" si="101"/>
        <v>1.72</v>
      </c>
      <c r="F2239" s="22"/>
      <c r="G2239" s="21">
        <f t="shared" si="102"/>
        <v>1.72</v>
      </c>
      <c r="H2239" s="22"/>
      <c r="I2239" s="23" t="str">
        <f t="shared" si="103"/>
        <v xml:space="preserve">COM VALOR</v>
      </c>
      <c r="J2239" s="19"/>
      <c r="L2239" s="21">
        <v>1.72</v>
      </c>
      <c r="M2239" s="22">
        <v>0</v>
      </c>
      <c r="N2239" s="21">
        <v>1.72</v>
      </c>
      <c r="O2239" s="22">
        <v>0</v>
      </c>
    </row>
    <row r="2240" ht="38.25">
      <c r="A2240" t="s">
        <v>2030</v>
      </c>
      <c r="B2240" s="19">
        <v>106406</v>
      </c>
      <c r="C2240" s="20" t="s">
        <v>2294</v>
      </c>
      <c r="D2240" s="19" t="s">
        <v>2032</v>
      </c>
      <c r="E2240" s="21">
        <f t="shared" si="101"/>
        <v>12.85</v>
      </c>
      <c r="F2240" s="22"/>
      <c r="G2240" s="21">
        <f t="shared" si="102"/>
        <v>12.85</v>
      </c>
      <c r="H2240" s="22"/>
      <c r="I2240" s="23" t="str">
        <f t="shared" si="103"/>
        <v xml:space="preserve">COM VALOR</v>
      </c>
      <c r="J2240" s="19"/>
      <c r="L2240" s="21">
        <v>12.85</v>
      </c>
      <c r="M2240" s="22">
        <v>0</v>
      </c>
      <c r="N2240" s="21">
        <v>12.85</v>
      </c>
      <c r="O2240" s="22">
        <v>0</v>
      </c>
    </row>
    <row r="2241" ht="38.25">
      <c r="A2241" t="s">
        <v>2030</v>
      </c>
      <c r="B2241" s="19">
        <v>106407</v>
      </c>
      <c r="C2241" s="20" t="s">
        <v>2295</v>
      </c>
      <c r="D2241" s="19" t="s">
        <v>2032</v>
      </c>
      <c r="E2241" s="21">
        <f t="shared" si="101"/>
        <v>2.6400000000000001</v>
      </c>
      <c r="F2241" s="22">
        <v>0</v>
      </c>
      <c r="G2241" s="21">
        <f t="shared" si="102"/>
        <v>2.6400000000000001</v>
      </c>
      <c r="H2241" s="22">
        <v>0</v>
      </c>
      <c r="I2241" s="23" t="str">
        <f t="shared" si="103"/>
        <v xml:space="preserve">COM VALOR</v>
      </c>
      <c r="J2241" s="19"/>
      <c r="L2241" s="21">
        <v>2.6400000000000001</v>
      </c>
      <c r="M2241" s="22">
        <v>0</v>
      </c>
      <c r="N2241" s="21">
        <v>2.6400000000000001</v>
      </c>
      <c r="O2241" s="22">
        <v>0</v>
      </c>
    </row>
    <row r="2242" ht="38.25">
      <c r="A2242" t="s">
        <v>2030</v>
      </c>
      <c r="B2242" s="19">
        <v>106408</v>
      </c>
      <c r="C2242" s="20" t="s">
        <v>2296</v>
      </c>
      <c r="D2242" s="19" t="s">
        <v>2032</v>
      </c>
      <c r="E2242" s="21">
        <f t="shared" si="101"/>
        <v>8.9199999999999999</v>
      </c>
      <c r="F2242" s="22"/>
      <c r="G2242" s="21">
        <f t="shared" si="102"/>
        <v>8.9199999999999999</v>
      </c>
      <c r="H2242" s="22"/>
      <c r="I2242" s="23" t="str">
        <f t="shared" si="103"/>
        <v xml:space="preserve">COM VALOR</v>
      </c>
      <c r="J2242" s="19"/>
      <c r="L2242" s="21">
        <v>8.9199999999999999</v>
      </c>
      <c r="M2242" s="22">
        <v>0</v>
      </c>
      <c r="N2242" s="21">
        <v>8.9199999999999999</v>
      </c>
      <c r="O2242" s="22">
        <v>0</v>
      </c>
    </row>
    <row r="2243" ht="38.25">
      <c r="A2243" t="s">
        <v>2030</v>
      </c>
      <c r="B2243" s="19">
        <v>106409</v>
      </c>
      <c r="C2243" s="20" t="s">
        <v>2297</v>
      </c>
      <c r="D2243" s="19" t="s">
        <v>2032</v>
      </c>
      <c r="E2243" s="21">
        <f t="shared" si="101"/>
        <v>4.6500000000000004</v>
      </c>
      <c r="F2243" s="22"/>
      <c r="G2243" s="21">
        <f t="shared" si="102"/>
        <v>4.6500000000000004</v>
      </c>
      <c r="H2243" s="22"/>
      <c r="I2243" s="23" t="str">
        <f t="shared" si="103"/>
        <v xml:space="preserve">COM VALOR</v>
      </c>
      <c r="J2243" s="19"/>
      <c r="L2243" s="21">
        <v>4.6500000000000004</v>
      </c>
      <c r="M2243" s="22">
        <v>0</v>
      </c>
      <c r="N2243" s="21">
        <v>4.6500000000000004</v>
      </c>
      <c r="O2243" s="22">
        <v>0</v>
      </c>
    </row>
    <row r="2244" ht="51">
      <c r="A2244" t="s">
        <v>2030</v>
      </c>
      <c r="B2244" s="19">
        <v>91279</v>
      </c>
      <c r="C2244" s="20" t="s">
        <v>2298</v>
      </c>
      <c r="D2244" s="19" t="s">
        <v>2032</v>
      </c>
      <c r="E2244" s="21">
        <f t="shared" si="101"/>
        <v>0.51000000000000001</v>
      </c>
      <c r="F2244" s="22"/>
      <c r="G2244" s="21">
        <f t="shared" si="102"/>
        <v>0.51000000000000001</v>
      </c>
      <c r="H2244" s="22"/>
      <c r="I2244" s="23" t="str">
        <f t="shared" si="103"/>
        <v xml:space="preserve">COM VALOR</v>
      </c>
      <c r="J2244" s="19"/>
      <c r="L2244" s="21">
        <v>0.51000000000000001</v>
      </c>
      <c r="M2244" s="22">
        <v>0</v>
      </c>
      <c r="N2244" s="21">
        <v>0.51000000000000001</v>
      </c>
      <c r="O2244" s="22">
        <v>0</v>
      </c>
    </row>
    <row r="2245" ht="51">
      <c r="A2245" t="s">
        <v>2030</v>
      </c>
      <c r="B2245" s="19">
        <v>91280</v>
      </c>
      <c r="C2245" s="20" t="s">
        <v>2299</v>
      </c>
      <c r="D2245" s="19" t="s">
        <v>2032</v>
      </c>
      <c r="E2245" s="21">
        <f t="shared" si="101"/>
        <v>0.11</v>
      </c>
      <c r="F2245" s="22">
        <v>0</v>
      </c>
      <c r="G2245" s="21">
        <f t="shared" si="102"/>
        <v>0.11</v>
      </c>
      <c r="H2245" s="22">
        <v>0</v>
      </c>
      <c r="I2245" s="23" t="str">
        <f t="shared" si="103"/>
        <v xml:space="preserve">COM VALOR</v>
      </c>
      <c r="J2245" s="19"/>
      <c r="L2245" s="21">
        <v>0.11</v>
      </c>
      <c r="M2245" s="22">
        <v>0</v>
      </c>
      <c r="N2245" s="21">
        <v>0.11</v>
      </c>
      <c r="O2245" s="22">
        <v>0</v>
      </c>
    </row>
    <row r="2246" ht="51">
      <c r="A2246" t="s">
        <v>2030</v>
      </c>
      <c r="B2246" s="19">
        <v>91281</v>
      </c>
      <c r="C2246" s="20" t="s">
        <v>2300</v>
      </c>
      <c r="D2246" s="19" t="s">
        <v>2032</v>
      </c>
      <c r="E2246" s="21">
        <f t="shared" si="101"/>
        <v>0.64000000000000001</v>
      </c>
      <c r="F2246" s="22">
        <v>1</v>
      </c>
      <c r="G2246" s="21">
        <f t="shared" si="102"/>
        <v>0.64000000000000001</v>
      </c>
      <c r="H2246" s="22">
        <v>1</v>
      </c>
      <c r="I2246" s="23" t="str">
        <f t="shared" si="103"/>
        <v xml:space="preserve">COM VALOR</v>
      </c>
      <c r="J2246" s="19"/>
      <c r="L2246" s="21">
        <v>0.64000000000000001</v>
      </c>
      <c r="M2246" s="22">
        <v>0</v>
      </c>
      <c r="N2246" s="21">
        <v>0.64000000000000001</v>
      </c>
      <c r="O2246" s="22">
        <v>0</v>
      </c>
    </row>
    <row r="2247" ht="51">
      <c r="A2247" t="s">
        <v>2030</v>
      </c>
      <c r="B2247" s="19">
        <v>91282</v>
      </c>
      <c r="C2247" s="20" t="s">
        <v>2301</v>
      </c>
      <c r="D2247" s="19" t="s">
        <v>2032</v>
      </c>
      <c r="E2247" s="21">
        <f t="shared" si="101"/>
        <v>9.1300000000000008</v>
      </c>
      <c r="F2247" s="22">
        <v>1</v>
      </c>
      <c r="G2247" s="21">
        <f t="shared" si="102"/>
        <v>9.1300000000000008</v>
      </c>
      <c r="H2247" s="22">
        <v>1</v>
      </c>
      <c r="I2247" s="23" t="str">
        <f t="shared" si="103"/>
        <v xml:space="preserve">COM VALOR</v>
      </c>
      <c r="J2247" s="19"/>
      <c r="L2247" s="21">
        <v>9.1300000000000008</v>
      </c>
      <c r="M2247" s="22">
        <v>0</v>
      </c>
      <c r="N2247" s="21">
        <v>9.1300000000000008</v>
      </c>
      <c r="O2247" s="22">
        <v>0</v>
      </c>
    </row>
    <row r="2248" ht="25.5">
      <c r="A2248" t="s">
        <v>2030</v>
      </c>
      <c r="B2248" s="19">
        <v>95278</v>
      </c>
      <c r="C2248" s="20" t="s">
        <v>2302</v>
      </c>
      <c r="D2248" s="19" t="s">
        <v>2032</v>
      </c>
      <c r="E2248" s="21">
        <f t="shared" si="101"/>
        <v>0.70999999999999996</v>
      </c>
      <c r="F2248" s="22">
        <v>1</v>
      </c>
      <c r="G2248" s="21">
        <f t="shared" si="102"/>
        <v>0.70999999999999996</v>
      </c>
      <c r="H2248" s="22">
        <v>1</v>
      </c>
      <c r="I2248" s="23" t="str">
        <f t="shared" si="103"/>
        <v xml:space="preserve">COM VALOR</v>
      </c>
      <c r="J2248" s="19"/>
      <c r="L2248" s="21">
        <v>0.70999999999999996</v>
      </c>
      <c r="M2248" s="22">
        <v>1</v>
      </c>
      <c r="N2248" s="21">
        <v>0.70999999999999996</v>
      </c>
      <c r="O2248" s="22">
        <v>1</v>
      </c>
    </row>
    <row r="2249" ht="25.5">
      <c r="A2249" t="s">
        <v>2030</v>
      </c>
      <c r="B2249" s="19">
        <v>95279</v>
      </c>
      <c r="C2249" s="20" t="s">
        <v>2303</v>
      </c>
      <c r="D2249" s="19" t="s">
        <v>2032</v>
      </c>
      <c r="E2249" s="21">
        <f t="shared" si="101"/>
        <v>0.14000000000000001</v>
      </c>
      <c r="F2249" s="22">
        <v>1</v>
      </c>
      <c r="G2249" s="21">
        <f t="shared" si="102"/>
        <v>0.14000000000000001</v>
      </c>
      <c r="H2249" s="22">
        <v>1</v>
      </c>
      <c r="I2249" s="23" t="str">
        <f t="shared" si="103"/>
        <v xml:space="preserve">COM VALOR</v>
      </c>
      <c r="J2249" s="19"/>
      <c r="L2249" s="21">
        <v>0.14000000000000001</v>
      </c>
      <c r="M2249" s="22">
        <v>1</v>
      </c>
      <c r="N2249" s="21">
        <v>0.14000000000000001</v>
      </c>
      <c r="O2249" s="22">
        <v>1</v>
      </c>
    </row>
    <row r="2250" ht="25.5">
      <c r="A2250" t="s">
        <v>2030</v>
      </c>
      <c r="B2250" s="19">
        <v>95280</v>
      </c>
      <c r="C2250" s="20" t="s">
        <v>2304</v>
      </c>
      <c r="D2250" s="19" t="s">
        <v>2032</v>
      </c>
      <c r="E2250" s="21">
        <f t="shared" si="101"/>
        <v>0.68999999999999995</v>
      </c>
      <c r="F2250" s="22">
        <v>0</v>
      </c>
      <c r="G2250" s="21">
        <f t="shared" si="102"/>
        <v>0.68999999999999995</v>
      </c>
      <c r="H2250" s="22">
        <v>0</v>
      </c>
      <c r="I2250" s="23" t="str">
        <f t="shared" si="103"/>
        <v xml:space="preserve">COM VALOR</v>
      </c>
      <c r="J2250" s="19"/>
      <c r="L2250" s="21">
        <v>0.68999999999999995</v>
      </c>
      <c r="M2250" s="22">
        <v>1</v>
      </c>
      <c r="N2250" s="21">
        <v>0.68999999999999995</v>
      </c>
      <c r="O2250" s="22">
        <v>1</v>
      </c>
    </row>
    <row r="2251" ht="25.5">
      <c r="A2251" t="s">
        <v>2030</v>
      </c>
      <c r="B2251" s="19">
        <v>95281</v>
      </c>
      <c r="C2251" s="20" t="s">
        <v>2305</v>
      </c>
      <c r="D2251" s="19" t="s">
        <v>2032</v>
      </c>
      <c r="E2251" s="21">
        <f t="shared" ref="E2251:E2314" si="104">IF(L2251=0,"VERIFICAR",L2251)</f>
        <v>9.0700000000000003</v>
      </c>
      <c r="F2251" s="22">
        <v>1</v>
      </c>
      <c r="G2251" s="21">
        <f t="shared" ref="G2251:G2314" si="105">IF(N2251=0,"VERIFICAR",N2251)</f>
        <v>9.0700000000000003</v>
      </c>
      <c r="H2251" s="22">
        <v>1</v>
      </c>
      <c r="I2251" s="23" t="str">
        <f t="shared" ref="I2251:I2314" si="106">IF(OR(E2251=0,G2251=0),"SEM VALOR","COM VALOR")</f>
        <v xml:space="preserve">COM VALOR</v>
      </c>
      <c r="J2251" s="19"/>
      <c r="L2251" s="21">
        <v>9.0700000000000003</v>
      </c>
      <c r="M2251" s="22">
        <v>0</v>
      </c>
      <c r="N2251" s="21">
        <v>9.0700000000000003</v>
      </c>
      <c r="O2251" s="22">
        <v>0</v>
      </c>
    </row>
    <row r="2252" ht="25.5">
      <c r="A2252" t="s">
        <v>2030</v>
      </c>
      <c r="B2252" s="19">
        <v>95124</v>
      </c>
      <c r="C2252" s="20" t="s">
        <v>2306</v>
      </c>
      <c r="D2252" s="19" t="s">
        <v>2032</v>
      </c>
      <c r="E2252" s="21">
        <f t="shared" si="104"/>
        <v>6.2599999999999998</v>
      </c>
      <c r="F2252" s="22">
        <v>1</v>
      </c>
      <c r="G2252" s="21">
        <f t="shared" si="105"/>
        <v>6.2599999999999998</v>
      </c>
      <c r="H2252" s="22">
        <v>1</v>
      </c>
      <c r="I2252" s="23" t="str">
        <f t="shared" si="106"/>
        <v xml:space="preserve">COM VALOR</v>
      </c>
      <c r="J2252" s="19"/>
      <c r="L2252" s="21">
        <v>6.2599999999999998</v>
      </c>
      <c r="M2252" s="22">
        <v>1</v>
      </c>
      <c r="N2252" s="21">
        <v>6.2599999999999998</v>
      </c>
      <c r="O2252" s="22">
        <v>1</v>
      </c>
    </row>
    <row r="2253" ht="25.5">
      <c r="A2253" t="s">
        <v>2030</v>
      </c>
      <c r="B2253" s="19">
        <v>95123</v>
      </c>
      <c r="C2253" s="20" t="s">
        <v>2307</v>
      </c>
      <c r="D2253" s="19" t="s">
        <v>2032</v>
      </c>
      <c r="E2253" s="21">
        <f t="shared" si="104"/>
        <v>20.309999999999999</v>
      </c>
      <c r="F2253" s="22">
        <v>1</v>
      </c>
      <c r="G2253" s="21">
        <f t="shared" si="105"/>
        <v>20.309999999999999</v>
      </c>
      <c r="H2253" s="22">
        <v>1</v>
      </c>
      <c r="I2253" s="23" t="str">
        <f t="shared" si="106"/>
        <v xml:space="preserve">COM VALOR</v>
      </c>
      <c r="J2253" s="19"/>
      <c r="L2253" s="21">
        <v>20.309999999999999</v>
      </c>
      <c r="M2253" s="22">
        <v>1</v>
      </c>
      <c r="N2253" s="21">
        <v>20.309999999999999</v>
      </c>
      <c r="O2253" s="22">
        <v>1</v>
      </c>
    </row>
    <row r="2254" ht="25.5">
      <c r="A2254" t="s">
        <v>2030</v>
      </c>
      <c r="B2254" s="19">
        <v>95125</v>
      </c>
      <c r="C2254" s="20" t="s">
        <v>2308</v>
      </c>
      <c r="D2254" s="19" t="s">
        <v>2032</v>
      </c>
      <c r="E2254" s="21">
        <f t="shared" si="104"/>
        <v>22.219999999999999</v>
      </c>
      <c r="F2254" s="22">
        <v>1</v>
      </c>
      <c r="G2254" s="21">
        <f t="shared" si="105"/>
        <v>22.219999999999999</v>
      </c>
      <c r="H2254" s="22">
        <v>1</v>
      </c>
      <c r="I2254" s="23" t="str">
        <f t="shared" si="106"/>
        <v xml:space="preserve">COM VALOR</v>
      </c>
      <c r="J2254" s="19"/>
      <c r="L2254" s="21">
        <v>22.219999999999999</v>
      </c>
      <c r="M2254" s="22">
        <v>1</v>
      </c>
      <c r="N2254" s="21">
        <v>22.219999999999999</v>
      </c>
      <c r="O2254" s="22">
        <v>1</v>
      </c>
    </row>
    <row r="2255" ht="25.5">
      <c r="A2255" t="s">
        <v>2030</v>
      </c>
      <c r="B2255" s="19">
        <v>95126</v>
      </c>
      <c r="C2255" s="20" t="s">
        <v>2309</v>
      </c>
      <c r="D2255" s="19" t="s">
        <v>2032</v>
      </c>
      <c r="E2255" s="21">
        <f t="shared" si="104"/>
        <v>167.09999999999999</v>
      </c>
      <c r="F2255" s="22">
        <v>0</v>
      </c>
      <c r="G2255" s="21">
        <f t="shared" si="105"/>
        <v>167.09999999999999</v>
      </c>
      <c r="H2255" s="22">
        <v>0</v>
      </c>
      <c r="I2255" s="23" t="str">
        <f t="shared" si="106"/>
        <v xml:space="preserve">COM VALOR</v>
      </c>
      <c r="J2255" s="19"/>
      <c r="L2255" s="21">
        <v>167.09999999999999</v>
      </c>
      <c r="M2255" s="22">
        <v>0</v>
      </c>
      <c r="N2255" s="21">
        <v>167.09999999999999</v>
      </c>
      <c r="O2255" s="22">
        <v>0</v>
      </c>
    </row>
    <row r="2256" ht="25.5">
      <c r="A2256" t="s">
        <v>2030</v>
      </c>
      <c r="B2256" s="19">
        <v>92040</v>
      </c>
      <c r="C2256" s="20" t="s">
        <v>2310</v>
      </c>
      <c r="D2256" s="19" t="s">
        <v>2032</v>
      </c>
      <c r="E2256" s="21">
        <f t="shared" si="104"/>
        <v>7.3600000000000003</v>
      </c>
      <c r="F2256" s="22"/>
      <c r="G2256" s="21">
        <f t="shared" si="105"/>
        <v>7.3600000000000003</v>
      </c>
      <c r="H2256" s="22"/>
      <c r="I2256" s="23" t="str">
        <f t="shared" si="106"/>
        <v xml:space="preserve">COM VALOR</v>
      </c>
      <c r="J2256" s="19"/>
      <c r="L2256" s="21">
        <v>7.3600000000000003</v>
      </c>
      <c r="M2256" s="22">
        <v>1</v>
      </c>
      <c r="N2256" s="21">
        <v>7.3600000000000003</v>
      </c>
      <c r="O2256" s="22">
        <v>1</v>
      </c>
    </row>
    <row r="2257" ht="25.5">
      <c r="A2257" t="s">
        <v>2030</v>
      </c>
      <c r="B2257" s="19">
        <v>92041</v>
      </c>
      <c r="C2257" s="20" t="s">
        <v>2311</v>
      </c>
      <c r="D2257" s="19" t="s">
        <v>2032</v>
      </c>
      <c r="E2257" s="21">
        <f t="shared" si="104"/>
        <v>1.51</v>
      </c>
      <c r="F2257" s="22"/>
      <c r="G2257" s="21">
        <f t="shared" si="105"/>
        <v>1.51</v>
      </c>
      <c r="H2257" s="22"/>
      <c r="I2257" s="23" t="str">
        <f t="shared" si="106"/>
        <v xml:space="preserve">COM VALOR</v>
      </c>
      <c r="J2257" s="19"/>
      <c r="L2257" s="21">
        <v>1.51</v>
      </c>
      <c r="M2257" s="22">
        <v>1</v>
      </c>
      <c r="N2257" s="21">
        <v>1.51</v>
      </c>
      <c r="O2257" s="22">
        <v>1</v>
      </c>
    </row>
    <row r="2258" ht="25.5">
      <c r="A2258" t="s">
        <v>2030</v>
      </c>
      <c r="B2258" s="19">
        <v>92042</v>
      </c>
      <c r="C2258" s="20" t="s">
        <v>2312</v>
      </c>
      <c r="D2258" s="19" t="s">
        <v>2032</v>
      </c>
      <c r="E2258" s="21">
        <f t="shared" si="104"/>
        <v>6.1299999999999999</v>
      </c>
      <c r="F2258" s="22"/>
      <c r="G2258" s="21">
        <f t="shared" si="105"/>
        <v>6.1299999999999999</v>
      </c>
      <c r="H2258" s="22"/>
      <c r="I2258" s="23" t="str">
        <f t="shared" si="106"/>
        <v xml:space="preserve">COM VALOR</v>
      </c>
      <c r="J2258" s="19"/>
      <c r="L2258" s="21">
        <v>6.1299999999999999</v>
      </c>
      <c r="M2258" s="22">
        <v>1</v>
      </c>
      <c r="N2258" s="21">
        <v>6.1299999999999999</v>
      </c>
      <c r="O2258" s="22">
        <v>1</v>
      </c>
    </row>
    <row r="2259" ht="38.25">
      <c r="A2259" t="s">
        <v>2030</v>
      </c>
      <c r="B2259" s="19">
        <v>106410</v>
      </c>
      <c r="C2259" s="20" t="s">
        <v>2313</v>
      </c>
      <c r="D2259" s="19" t="s">
        <v>2032</v>
      </c>
      <c r="E2259" s="21">
        <f t="shared" si="104"/>
        <v>6.1900000000000004</v>
      </c>
      <c r="F2259" s="22">
        <v>0</v>
      </c>
      <c r="G2259" s="21">
        <f t="shared" si="105"/>
        <v>6.1900000000000004</v>
      </c>
      <c r="H2259" s="22">
        <v>0</v>
      </c>
      <c r="I2259" s="23" t="str">
        <f t="shared" si="106"/>
        <v xml:space="preserve">COM VALOR</v>
      </c>
      <c r="J2259" s="19"/>
      <c r="L2259" s="21">
        <v>6.1900000000000004</v>
      </c>
      <c r="M2259" s="22">
        <v>0</v>
      </c>
      <c r="N2259" s="21">
        <v>6.1900000000000004</v>
      </c>
      <c r="O2259" s="22">
        <v>0</v>
      </c>
    </row>
    <row r="2260" ht="38.25">
      <c r="A2260" t="s">
        <v>2030</v>
      </c>
      <c r="B2260" s="19">
        <v>106411</v>
      </c>
      <c r="C2260" s="20" t="s">
        <v>2314</v>
      </c>
      <c r="D2260" s="19" t="s">
        <v>2032</v>
      </c>
      <c r="E2260" s="21">
        <f t="shared" si="104"/>
        <v>2.6299999999999999</v>
      </c>
      <c r="F2260" s="22"/>
      <c r="G2260" s="21">
        <f t="shared" si="105"/>
        <v>2.6299999999999999</v>
      </c>
      <c r="H2260" s="22"/>
      <c r="I2260" s="23" t="str">
        <f t="shared" si="106"/>
        <v xml:space="preserve">COM VALOR</v>
      </c>
      <c r="J2260" s="19"/>
      <c r="L2260" s="21">
        <v>2.6299999999999999</v>
      </c>
      <c r="M2260" s="22">
        <v>0</v>
      </c>
      <c r="N2260" s="21">
        <v>2.6299999999999999</v>
      </c>
      <c r="O2260" s="22">
        <v>0</v>
      </c>
    </row>
    <row r="2261" ht="38.25">
      <c r="A2261" t="s">
        <v>2030</v>
      </c>
      <c r="B2261" s="19">
        <v>106412</v>
      </c>
      <c r="C2261" s="20" t="s">
        <v>2315</v>
      </c>
      <c r="D2261" s="19" t="s">
        <v>2032</v>
      </c>
      <c r="E2261" s="21">
        <f t="shared" si="104"/>
        <v>6.7699999999999996</v>
      </c>
      <c r="F2261" s="22"/>
      <c r="G2261" s="21">
        <f t="shared" si="105"/>
        <v>6.7699999999999996</v>
      </c>
      <c r="H2261" s="22"/>
      <c r="I2261" s="23" t="str">
        <f t="shared" si="106"/>
        <v xml:space="preserve">COM VALOR</v>
      </c>
      <c r="J2261" s="19"/>
      <c r="L2261" s="21">
        <v>6.7699999999999996</v>
      </c>
      <c r="M2261" s="22">
        <v>0</v>
      </c>
      <c r="N2261" s="21">
        <v>6.7699999999999996</v>
      </c>
      <c r="O2261" s="22">
        <v>0</v>
      </c>
    </row>
    <row r="2262" ht="38.25">
      <c r="A2262" t="s">
        <v>2030</v>
      </c>
      <c r="B2262" s="19">
        <v>106413</v>
      </c>
      <c r="C2262" s="20" t="s">
        <v>2316</v>
      </c>
      <c r="D2262" s="19" t="s">
        <v>2032</v>
      </c>
      <c r="E2262" s="21">
        <f t="shared" si="104"/>
        <v>2.8700000000000001</v>
      </c>
      <c r="F2262" s="22"/>
      <c r="G2262" s="21">
        <f t="shared" si="105"/>
        <v>2.8700000000000001</v>
      </c>
      <c r="H2262" s="22"/>
      <c r="I2262" s="23" t="str">
        <f t="shared" si="106"/>
        <v xml:space="preserve">COM VALOR</v>
      </c>
      <c r="J2262" s="19"/>
      <c r="L2262" s="21">
        <v>2.8700000000000001</v>
      </c>
      <c r="M2262" s="22">
        <v>0</v>
      </c>
      <c r="N2262" s="21">
        <v>2.8700000000000001</v>
      </c>
      <c r="O2262" s="22">
        <v>0</v>
      </c>
    </row>
    <row r="2263" ht="12.75">
      <c r="A2263" t="s">
        <v>2030</v>
      </c>
      <c r="B2263" s="19">
        <v>102829</v>
      </c>
      <c r="C2263" s="20" t="s">
        <v>2317</v>
      </c>
      <c r="D2263" s="19" t="s">
        <v>2032</v>
      </c>
      <c r="E2263" s="21" t="str">
        <f t="shared" si="104"/>
        <v>VERIFICAR</v>
      </c>
      <c r="F2263" s="22">
        <v>0</v>
      </c>
      <c r="G2263" s="21" t="str">
        <f t="shared" si="105"/>
        <v>VERIFICAR</v>
      </c>
      <c r="H2263" s="22">
        <v>0</v>
      </c>
      <c r="I2263" s="23" t="str">
        <f t="shared" si="106"/>
        <v xml:space="preserve">COM VALOR</v>
      </c>
      <c r="J2263" s="19"/>
      <c r="L2263" s="21">
        <v>0</v>
      </c>
      <c r="M2263" s="22"/>
      <c r="N2263" s="21">
        <v>0</v>
      </c>
      <c r="O2263" s="22"/>
    </row>
    <row r="2264" ht="12.75">
      <c r="A2264" t="s">
        <v>2030</v>
      </c>
      <c r="B2264" s="19">
        <v>102830</v>
      </c>
      <c r="C2264" s="20" t="s">
        <v>2318</v>
      </c>
      <c r="D2264" s="19" t="s">
        <v>2032</v>
      </c>
      <c r="E2264" s="21" t="str">
        <f t="shared" si="104"/>
        <v>VERIFICAR</v>
      </c>
      <c r="F2264" s="22"/>
      <c r="G2264" s="21" t="str">
        <f t="shared" si="105"/>
        <v>VERIFICAR</v>
      </c>
      <c r="H2264" s="22"/>
      <c r="I2264" s="23" t="str">
        <f t="shared" si="106"/>
        <v xml:space="preserve">COM VALOR</v>
      </c>
      <c r="J2264" s="19"/>
      <c r="L2264" s="21">
        <v>0</v>
      </c>
      <c r="M2264" s="22"/>
      <c r="N2264" s="21">
        <v>0</v>
      </c>
      <c r="O2264" s="22"/>
    </row>
    <row r="2265" ht="12.75">
      <c r="A2265" t="s">
        <v>2030</v>
      </c>
      <c r="B2265" s="19">
        <v>102831</v>
      </c>
      <c r="C2265" s="20" t="s">
        <v>2319</v>
      </c>
      <c r="D2265" s="19" t="s">
        <v>2032</v>
      </c>
      <c r="E2265" s="21" t="str">
        <f t="shared" si="104"/>
        <v>VERIFICAR</v>
      </c>
      <c r="F2265" s="22"/>
      <c r="G2265" s="21" t="str">
        <f t="shared" si="105"/>
        <v>VERIFICAR</v>
      </c>
      <c r="H2265" s="22"/>
      <c r="I2265" s="23" t="str">
        <f t="shared" si="106"/>
        <v xml:space="preserve">COM VALOR</v>
      </c>
      <c r="J2265" s="19"/>
      <c r="L2265" s="21">
        <v>0</v>
      </c>
      <c r="M2265" s="22"/>
      <c r="N2265" s="21">
        <v>0</v>
      </c>
      <c r="O2265" s="22"/>
    </row>
    <row r="2266" ht="25.5">
      <c r="A2266" t="s">
        <v>2030</v>
      </c>
      <c r="B2266" s="19">
        <v>92114</v>
      </c>
      <c r="C2266" s="20" t="s">
        <v>2320</v>
      </c>
      <c r="D2266" s="19" t="s">
        <v>2032</v>
      </c>
      <c r="E2266" s="21">
        <f t="shared" si="104"/>
        <v>0.23000000000000001</v>
      </c>
      <c r="F2266" s="22"/>
      <c r="G2266" s="21">
        <f t="shared" si="105"/>
        <v>0.23000000000000001</v>
      </c>
      <c r="H2266" s="22"/>
      <c r="I2266" s="23" t="str">
        <f t="shared" si="106"/>
        <v xml:space="preserve">COM VALOR</v>
      </c>
      <c r="J2266" s="19"/>
      <c r="L2266" s="21">
        <v>0.23000000000000001</v>
      </c>
      <c r="M2266" s="22">
        <v>0</v>
      </c>
      <c r="N2266" s="21">
        <v>0.23000000000000001</v>
      </c>
      <c r="O2266" s="22">
        <v>0</v>
      </c>
    </row>
    <row r="2267" ht="12.75">
      <c r="A2267" t="s">
        <v>2030</v>
      </c>
      <c r="B2267" s="19">
        <v>92115</v>
      </c>
      <c r="C2267" s="20" t="s">
        <v>2321</v>
      </c>
      <c r="D2267" s="19" t="s">
        <v>2032</v>
      </c>
      <c r="E2267" s="21">
        <f t="shared" si="104"/>
        <v>4.0000000000000001e-002</v>
      </c>
      <c r="F2267" s="22">
        <v>0</v>
      </c>
      <c r="G2267" s="21">
        <f t="shared" si="105"/>
        <v>4.0000000000000001e-002</v>
      </c>
      <c r="H2267" s="22">
        <v>0</v>
      </c>
      <c r="I2267" s="23" t="str">
        <f t="shared" si="106"/>
        <v xml:space="preserve">COM VALOR</v>
      </c>
      <c r="J2267" s="19"/>
      <c r="L2267" s="21">
        <v>4.0000000000000001e-002</v>
      </c>
      <c r="M2267" s="22">
        <v>0</v>
      </c>
      <c r="N2267" s="21">
        <v>4.0000000000000001e-002</v>
      </c>
      <c r="O2267" s="22">
        <v>0</v>
      </c>
    </row>
    <row r="2268" ht="25.5">
      <c r="A2268" t="s">
        <v>2030</v>
      </c>
      <c r="B2268" s="19">
        <v>92116</v>
      </c>
      <c r="C2268" s="20" t="s">
        <v>2322</v>
      </c>
      <c r="D2268" s="19" t="s">
        <v>2032</v>
      </c>
      <c r="E2268" s="21">
        <f t="shared" si="104"/>
        <v>0.16</v>
      </c>
      <c r="F2268" s="22"/>
      <c r="G2268" s="21">
        <f t="shared" si="105"/>
        <v>0.16</v>
      </c>
      <c r="H2268" s="22"/>
      <c r="I2268" s="23" t="str">
        <f t="shared" si="106"/>
        <v xml:space="preserve">COM VALOR</v>
      </c>
      <c r="J2268" s="19"/>
      <c r="L2268" s="21">
        <v>0.16</v>
      </c>
      <c r="M2268" s="22">
        <v>0</v>
      </c>
      <c r="N2268" s="21">
        <v>0.16</v>
      </c>
      <c r="O2268" s="22">
        <v>0</v>
      </c>
    </row>
    <row r="2269" ht="25.5">
      <c r="A2269" t="s">
        <v>2030</v>
      </c>
      <c r="B2269" s="19">
        <v>102912</v>
      </c>
      <c r="C2269" s="20" t="s">
        <v>2323</v>
      </c>
      <c r="D2269" s="19" t="s">
        <v>2032</v>
      </c>
      <c r="E2269" s="21" t="str">
        <f t="shared" si="104"/>
        <v>VERIFICAR</v>
      </c>
      <c r="F2269" s="22"/>
      <c r="G2269" s="21" t="str">
        <f t="shared" si="105"/>
        <v>VERIFICAR</v>
      </c>
      <c r="H2269" s="22"/>
      <c r="I2269" s="23" t="str">
        <f t="shared" si="106"/>
        <v xml:space="preserve">COM VALOR</v>
      </c>
      <c r="J2269" s="19"/>
      <c r="L2269" s="21">
        <v>0</v>
      </c>
      <c r="M2269" s="22"/>
      <c r="N2269" s="21">
        <v>0</v>
      </c>
      <c r="O2269" s="22"/>
    </row>
    <row r="2270" ht="12.75">
      <c r="A2270" t="s">
        <v>2030</v>
      </c>
      <c r="B2270" s="19">
        <v>102913</v>
      </c>
      <c r="C2270" s="20" t="s">
        <v>2324</v>
      </c>
      <c r="D2270" s="19" t="s">
        <v>2032</v>
      </c>
      <c r="E2270" s="21" t="str">
        <f t="shared" si="104"/>
        <v>VERIFICAR</v>
      </c>
      <c r="F2270" s="22"/>
      <c r="G2270" s="21" t="str">
        <f t="shared" si="105"/>
        <v>VERIFICAR</v>
      </c>
      <c r="H2270" s="22"/>
      <c r="I2270" s="23" t="str">
        <f t="shared" si="106"/>
        <v xml:space="preserve">COM VALOR</v>
      </c>
      <c r="J2270" s="19"/>
      <c r="L2270" s="21">
        <v>0</v>
      </c>
      <c r="M2270" s="22"/>
      <c r="N2270" s="21">
        <v>0</v>
      </c>
      <c r="O2270" s="22"/>
    </row>
    <row r="2271" ht="25.5">
      <c r="A2271" t="s">
        <v>2030</v>
      </c>
      <c r="B2271" s="19">
        <v>102914</v>
      </c>
      <c r="C2271" s="20" t="s">
        <v>2325</v>
      </c>
      <c r="D2271" s="19" t="s">
        <v>2032</v>
      </c>
      <c r="E2271" s="21" t="str">
        <f t="shared" si="104"/>
        <v>VERIFICAR</v>
      </c>
      <c r="F2271" s="22">
        <v>0</v>
      </c>
      <c r="G2271" s="21" t="str">
        <f t="shared" si="105"/>
        <v>VERIFICAR</v>
      </c>
      <c r="H2271" s="22">
        <v>0</v>
      </c>
      <c r="I2271" s="23" t="str">
        <f t="shared" si="106"/>
        <v xml:space="preserve">COM VALOR</v>
      </c>
      <c r="J2271" s="19"/>
      <c r="L2271" s="21">
        <v>0</v>
      </c>
      <c r="M2271" s="22"/>
      <c r="N2271" s="21">
        <v>0</v>
      </c>
      <c r="O2271" s="22"/>
    </row>
    <row r="2272" ht="25.5">
      <c r="A2272" t="s">
        <v>2030</v>
      </c>
      <c r="B2272" s="19">
        <v>102915</v>
      </c>
      <c r="C2272" s="20" t="s">
        <v>2326</v>
      </c>
      <c r="D2272" s="19" t="s">
        <v>2032</v>
      </c>
      <c r="E2272" s="21">
        <f t="shared" si="104"/>
        <v>0.70999999999999996</v>
      </c>
      <c r="F2272" s="22">
        <v>1</v>
      </c>
      <c r="G2272" s="21">
        <f t="shared" si="105"/>
        <v>0.70999999999999996</v>
      </c>
      <c r="H2272" s="22">
        <v>1</v>
      </c>
      <c r="I2272" s="23" t="str">
        <f t="shared" si="106"/>
        <v xml:space="preserve">COM VALOR</v>
      </c>
      <c r="J2272" s="19"/>
      <c r="L2272" s="21">
        <v>0.70999999999999996</v>
      </c>
      <c r="M2272" s="22">
        <v>0</v>
      </c>
      <c r="N2272" s="21">
        <v>0.70999999999999996</v>
      </c>
      <c r="O2272" s="22">
        <v>0</v>
      </c>
    </row>
    <row r="2273" ht="51">
      <c r="A2273" t="s">
        <v>2030</v>
      </c>
      <c r="B2273" s="19">
        <v>95716</v>
      </c>
      <c r="C2273" s="20" t="s">
        <v>2327</v>
      </c>
      <c r="D2273" s="19" t="s">
        <v>2032</v>
      </c>
      <c r="E2273" s="21">
        <f t="shared" si="104"/>
        <v>62.420000000000002</v>
      </c>
      <c r="F2273" s="22">
        <v>1</v>
      </c>
      <c r="G2273" s="21">
        <f t="shared" si="105"/>
        <v>62.420000000000002</v>
      </c>
      <c r="H2273" s="22">
        <v>1</v>
      </c>
      <c r="I2273" s="23" t="str">
        <f t="shared" si="106"/>
        <v xml:space="preserve">COM VALOR</v>
      </c>
      <c r="J2273" s="19"/>
      <c r="L2273" s="21">
        <v>62.420000000000002</v>
      </c>
      <c r="M2273" s="22">
        <v>0</v>
      </c>
      <c r="N2273" s="21">
        <v>62.420000000000002</v>
      </c>
      <c r="O2273" s="22">
        <v>0</v>
      </c>
    </row>
    <row r="2274" ht="51">
      <c r="A2274" t="s">
        <v>2030</v>
      </c>
      <c r="B2274" s="19">
        <v>95717</v>
      </c>
      <c r="C2274" s="20" t="s">
        <v>2328</v>
      </c>
      <c r="D2274" s="19" t="s">
        <v>2032</v>
      </c>
      <c r="E2274" s="21">
        <f t="shared" si="104"/>
        <v>16.489999999999998</v>
      </c>
      <c r="F2274" s="22">
        <v>1</v>
      </c>
      <c r="G2274" s="21">
        <f t="shared" si="105"/>
        <v>16.489999999999998</v>
      </c>
      <c r="H2274" s="22">
        <v>1</v>
      </c>
      <c r="I2274" s="23" t="str">
        <f t="shared" si="106"/>
        <v xml:space="preserve">COM VALOR</v>
      </c>
      <c r="J2274" s="19"/>
      <c r="L2274" s="21">
        <v>16.489999999999998</v>
      </c>
      <c r="M2274" s="22">
        <v>0</v>
      </c>
      <c r="N2274" s="21">
        <v>16.489999999999998</v>
      </c>
      <c r="O2274" s="22">
        <v>0</v>
      </c>
    </row>
    <row r="2275" ht="51">
      <c r="A2275" t="s">
        <v>2030</v>
      </c>
      <c r="B2275" s="19">
        <v>95718</v>
      </c>
      <c r="C2275" s="20" t="s">
        <v>2329</v>
      </c>
      <c r="D2275" s="19" t="s">
        <v>2032</v>
      </c>
      <c r="E2275" s="21">
        <f t="shared" si="104"/>
        <v>78.030000000000001</v>
      </c>
      <c r="F2275" s="22">
        <v>1</v>
      </c>
      <c r="G2275" s="21">
        <f t="shared" si="105"/>
        <v>78.030000000000001</v>
      </c>
      <c r="H2275" s="22">
        <v>1</v>
      </c>
      <c r="I2275" s="23" t="str">
        <f t="shared" si="106"/>
        <v xml:space="preserve">COM VALOR</v>
      </c>
      <c r="J2275" s="19"/>
      <c r="L2275" s="21">
        <v>78.030000000000001</v>
      </c>
      <c r="M2275" s="22">
        <v>0</v>
      </c>
      <c r="N2275" s="21">
        <v>78.030000000000001</v>
      </c>
      <c r="O2275" s="22">
        <v>0</v>
      </c>
    </row>
    <row r="2276" ht="51">
      <c r="A2276" t="s">
        <v>2030</v>
      </c>
      <c r="B2276" s="19">
        <v>95719</v>
      </c>
      <c r="C2276" s="20" t="s">
        <v>2330</v>
      </c>
      <c r="D2276" s="19" t="s">
        <v>2032</v>
      </c>
      <c r="E2276" s="21">
        <f t="shared" si="104"/>
        <v>102.05</v>
      </c>
      <c r="F2276" s="22">
        <v>0</v>
      </c>
      <c r="G2276" s="21">
        <f t="shared" si="105"/>
        <v>102.05</v>
      </c>
      <c r="H2276" s="22">
        <v>0</v>
      </c>
      <c r="I2276" s="23" t="str">
        <f t="shared" si="106"/>
        <v xml:space="preserve">COM VALOR</v>
      </c>
      <c r="J2276" s="19"/>
      <c r="L2276" s="21">
        <v>102.05</v>
      </c>
      <c r="M2276" s="22">
        <v>0</v>
      </c>
      <c r="N2276" s="21">
        <v>102.05</v>
      </c>
      <c r="O2276" s="22">
        <v>0</v>
      </c>
    </row>
    <row r="2277" ht="38.25">
      <c r="A2277" t="s">
        <v>2030</v>
      </c>
      <c r="B2277" s="19">
        <v>104712</v>
      </c>
      <c r="C2277" s="20" t="s">
        <v>2331</v>
      </c>
      <c r="D2277" s="19" t="s">
        <v>2032</v>
      </c>
      <c r="E2277" s="21">
        <f t="shared" si="104"/>
        <v>58.670000000000002</v>
      </c>
      <c r="F2277" s="22">
        <v>1</v>
      </c>
      <c r="G2277" s="21">
        <f t="shared" si="105"/>
        <v>58.670000000000002</v>
      </c>
      <c r="H2277" s="22">
        <v>1</v>
      </c>
      <c r="I2277" s="23" t="str">
        <f t="shared" si="106"/>
        <v xml:space="preserve">COM VALOR</v>
      </c>
      <c r="J2277" s="19"/>
      <c r="L2277" s="21">
        <v>58.670000000000002</v>
      </c>
      <c r="M2277" s="22">
        <v>0</v>
      </c>
      <c r="N2277" s="21">
        <v>58.670000000000002</v>
      </c>
      <c r="O2277" s="22">
        <v>0</v>
      </c>
    </row>
    <row r="2278" ht="38.25">
      <c r="A2278" t="s">
        <v>2030</v>
      </c>
      <c r="B2278" s="19">
        <v>104713</v>
      </c>
      <c r="C2278" s="20" t="s">
        <v>2332</v>
      </c>
      <c r="D2278" s="19" t="s">
        <v>2032</v>
      </c>
      <c r="E2278" s="21">
        <f t="shared" si="104"/>
        <v>15.5</v>
      </c>
      <c r="F2278" s="22">
        <v>1</v>
      </c>
      <c r="G2278" s="21">
        <f t="shared" si="105"/>
        <v>15.5</v>
      </c>
      <c r="H2278" s="22">
        <v>1</v>
      </c>
      <c r="I2278" s="23" t="str">
        <f t="shared" si="106"/>
        <v xml:space="preserve">COM VALOR</v>
      </c>
      <c r="J2278" s="19"/>
      <c r="L2278" s="21">
        <v>15.5</v>
      </c>
      <c r="M2278" s="22">
        <v>0</v>
      </c>
      <c r="N2278" s="21">
        <v>15.5</v>
      </c>
      <c r="O2278" s="22">
        <v>0</v>
      </c>
    </row>
    <row r="2279" ht="38.25">
      <c r="A2279" t="s">
        <v>2030</v>
      </c>
      <c r="B2279" s="19">
        <v>104714</v>
      </c>
      <c r="C2279" s="20" t="s">
        <v>2333</v>
      </c>
      <c r="D2279" s="19" t="s">
        <v>2032</v>
      </c>
      <c r="E2279" s="21">
        <f t="shared" si="104"/>
        <v>73.329999999999998</v>
      </c>
      <c r="F2279" s="22">
        <v>1</v>
      </c>
      <c r="G2279" s="21">
        <f t="shared" si="105"/>
        <v>73.329999999999998</v>
      </c>
      <c r="H2279" s="22">
        <v>1</v>
      </c>
      <c r="I2279" s="23" t="str">
        <f t="shared" si="106"/>
        <v xml:space="preserve">COM VALOR</v>
      </c>
      <c r="J2279" s="19"/>
      <c r="L2279" s="21">
        <v>73.329999999999998</v>
      </c>
      <c r="M2279" s="22">
        <v>0</v>
      </c>
      <c r="N2279" s="21">
        <v>73.329999999999998</v>
      </c>
      <c r="O2279" s="22">
        <v>0</v>
      </c>
    </row>
    <row r="2280" ht="38.25">
      <c r="A2280" t="s">
        <v>2030</v>
      </c>
      <c r="B2280" s="19">
        <v>104715</v>
      </c>
      <c r="C2280" s="20" t="s">
        <v>2334</v>
      </c>
      <c r="D2280" s="19" t="s">
        <v>2032</v>
      </c>
      <c r="E2280" s="21">
        <f t="shared" si="104"/>
        <v>102.05</v>
      </c>
      <c r="F2280" s="22">
        <v>1</v>
      </c>
      <c r="G2280" s="21">
        <f t="shared" si="105"/>
        <v>102.05</v>
      </c>
      <c r="H2280" s="22">
        <v>1</v>
      </c>
      <c r="I2280" s="23" t="str">
        <f t="shared" si="106"/>
        <v xml:space="preserve">COM VALOR</v>
      </c>
      <c r="J2280" s="19"/>
      <c r="L2280" s="21">
        <v>102.05</v>
      </c>
      <c r="M2280" s="22">
        <v>0</v>
      </c>
      <c r="N2280" s="21">
        <v>102.05</v>
      </c>
      <c r="O2280" s="22">
        <v>0</v>
      </c>
    </row>
    <row r="2281" ht="38.25">
      <c r="A2281" t="s">
        <v>2030</v>
      </c>
      <c r="B2281" s="19">
        <v>106394</v>
      </c>
      <c r="C2281" s="20" t="s">
        <v>2335</v>
      </c>
      <c r="D2281" s="19" t="s">
        <v>2032</v>
      </c>
      <c r="E2281" s="21" t="str">
        <f t="shared" si="104"/>
        <v>VERIFICAR</v>
      </c>
      <c r="F2281" s="22">
        <v>0</v>
      </c>
      <c r="G2281" s="21" t="str">
        <f t="shared" si="105"/>
        <v>VERIFICAR</v>
      </c>
      <c r="H2281" s="22">
        <v>0</v>
      </c>
      <c r="I2281" s="23" t="str">
        <f t="shared" si="106"/>
        <v xml:space="preserve">COM VALOR</v>
      </c>
      <c r="J2281" s="19"/>
      <c r="L2281" s="21">
        <v>0</v>
      </c>
      <c r="M2281" s="22"/>
      <c r="N2281" s="21">
        <v>0</v>
      </c>
      <c r="O2281" s="22"/>
    </row>
    <row r="2282" ht="38.25">
      <c r="A2282" t="s">
        <v>2030</v>
      </c>
      <c r="B2282" s="19">
        <v>106395</v>
      </c>
      <c r="C2282" s="20" t="s">
        <v>2336</v>
      </c>
      <c r="D2282" s="19" t="s">
        <v>2032</v>
      </c>
      <c r="E2282" s="21" t="str">
        <f t="shared" si="104"/>
        <v>VERIFICAR</v>
      </c>
      <c r="F2282" s="22"/>
      <c r="G2282" s="21" t="str">
        <f t="shared" si="105"/>
        <v>VERIFICAR</v>
      </c>
      <c r="H2282" s="22"/>
      <c r="I2282" s="23" t="str">
        <f t="shared" si="106"/>
        <v xml:space="preserve">COM VALOR</v>
      </c>
      <c r="J2282" s="19"/>
      <c r="L2282" s="21">
        <v>0</v>
      </c>
      <c r="M2282" s="22"/>
      <c r="N2282" s="21">
        <v>0</v>
      </c>
      <c r="O2282" s="22"/>
    </row>
    <row r="2283" ht="38.25">
      <c r="A2283" t="s">
        <v>2030</v>
      </c>
      <c r="B2283" s="19">
        <v>106396</v>
      </c>
      <c r="C2283" s="20" t="s">
        <v>2337</v>
      </c>
      <c r="D2283" s="19" t="s">
        <v>2032</v>
      </c>
      <c r="E2283" s="21" t="str">
        <f t="shared" si="104"/>
        <v>VERIFICAR</v>
      </c>
      <c r="F2283" s="22"/>
      <c r="G2283" s="21" t="str">
        <f t="shared" si="105"/>
        <v>VERIFICAR</v>
      </c>
      <c r="H2283" s="22"/>
      <c r="I2283" s="23" t="str">
        <f t="shared" si="106"/>
        <v xml:space="preserve">COM VALOR</v>
      </c>
      <c r="J2283" s="19"/>
      <c r="L2283" s="21">
        <v>0</v>
      </c>
      <c r="M2283" s="22"/>
      <c r="N2283" s="21">
        <v>0</v>
      </c>
      <c r="O2283" s="22"/>
    </row>
    <row r="2284" ht="38.25">
      <c r="A2284" t="s">
        <v>2030</v>
      </c>
      <c r="B2284" s="19">
        <v>106397</v>
      </c>
      <c r="C2284" s="20" t="s">
        <v>2338</v>
      </c>
      <c r="D2284" s="19" t="s">
        <v>2032</v>
      </c>
      <c r="E2284" s="21">
        <f t="shared" si="104"/>
        <v>102.05</v>
      </c>
      <c r="F2284" s="22"/>
      <c r="G2284" s="21">
        <f t="shared" si="105"/>
        <v>102.05</v>
      </c>
      <c r="H2284" s="22"/>
      <c r="I2284" s="23" t="str">
        <f t="shared" si="106"/>
        <v xml:space="preserve">COM VALOR</v>
      </c>
      <c r="J2284" s="19"/>
      <c r="L2284" s="21">
        <v>102.05</v>
      </c>
      <c r="M2284" s="22">
        <v>0</v>
      </c>
      <c r="N2284" s="21">
        <v>102.05</v>
      </c>
      <c r="O2284" s="22">
        <v>0</v>
      </c>
    </row>
    <row r="2285" ht="63.75">
      <c r="A2285" t="s">
        <v>2030</v>
      </c>
      <c r="B2285" s="19">
        <v>106400</v>
      </c>
      <c r="C2285" s="20" t="s">
        <v>2339</v>
      </c>
      <c r="D2285" s="19" t="s">
        <v>2032</v>
      </c>
      <c r="E2285" s="21" t="str">
        <f t="shared" si="104"/>
        <v>VERIFICAR</v>
      </c>
      <c r="F2285" s="22"/>
      <c r="G2285" s="21" t="str">
        <f t="shared" si="105"/>
        <v>VERIFICAR</v>
      </c>
      <c r="H2285" s="22"/>
      <c r="I2285" s="23" t="str">
        <f t="shared" si="106"/>
        <v xml:space="preserve">COM VALOR</v>
      </c>
      <c r="J2285" s="19"/>
      <c r="L2285" s="21">
        <v>0</v>
      </c>
      <c r="M2285" s="22"/>
      <c r="N2285" s="21">
        <v>0</v>
      </c>
      <c r="O2285" s="22"/>
    </row>
    <row r="2286" ht="51">
      <c r="A2286" t="s">
        <v>2030</v>
      </c>
      <c r="B2286" s="19">
        <v>106401</v>
      </c>
      <c r="C2286" s="20" t="s">
        <v>2340</v>
      </c>
      <c r="D2286" s="19" t="s">
        <v>2032</v>
      </c>
      <c r="E2286" s="21" t="str">
        <f t="shared" si="104"/>
        <v>VERIFICAR</v>
      </c>
      <c r="F2286" s="22">
        <v>0</v>
      </c>
      <c r="G2286" s="21" t="str">
        <f t="shared" si="105"/>
        <v>VERIFICAR</v>
      </c>
      <c r="H2286" s="22">
        <v>0</v>
      </c>
      <c r="I2286" s="23" t="str">
        <f t="shared" si="106"/>
        <v xml:space="preserve">COM VALOR</v>
      </c>
      <c r="J2286" s="19"/>
      <c r="L2286" s="21">
        <v>0</v>
      </c>
      <c r="M2286" s="22"/>
      <c r="N2286" s="21">
        <v>0</v>
      </c>
      <c r="O2286" s="22"/>
    </row>
    <row r="2287" ht="63.75">
      <c r="A2287" t="s">
        <v>2030</v>
      </c>
      <c r="B2287" s="19">
        <v>106402</v>
      </c>
      <c r="C2287" s="20" t="s">
        <v>2341</v>
      </c>
      <c r="D2287" s="19" t="s">
        <v>2032</v>
      </c>
      <c r="E2287" s="21" t="str">
        <f t="shared" si="104"/>
        <v>VERIFICAR</v>
      </c>
      <c r="F2287" s="22">
        <v>1</v>
      </c>
      <c r="G2287" s="21" t="str">
        <f t="shared" si="105"/>
        <v>VERIFICAR</v>
      </c>
      <c r="H2287" s="22">
        <v>1</v>
      </c>
      <c r="I2287" s="23" t="str">
        <f t="shared" si="106"/>
        <v xml:space="preserve">COM VALOR</v>
      </c>
      <c r="J2287" s="19"/>
      <c r="L2287" s="21">
        <v>0</v>
      </c>
      <c r="M2287" s="22"/>
      <c r="N2287" s="21">
        <v>0</v>
      </c>
      <c r="O2287" s="22"/>
    </row>
    <row r="2288" ht="63.75">
      <c r="A2288" t="s">
        <v>2030</v>
      </c>
      <c r="B2288" s="19">
        <v>106403</v>
      </c>
      <c r="C2288" s="20" t="s">
        <v>2342</v>
      </c>
      <c r="D2288" s="19" t="s">
        <v>2032</v>
      </c>
      <c r="E2288" s="21">
        <f t="shared" si="104"/>
        <v>102.05</v>
      </c>
      <c r="F2288" s="22">
        <v>1</v>
      </c>
      <c r="G2288" s="21">
        <f t="shared" si="105"/>
        <v>102.05</v>
      </c>
      <c r="H2288" s="22">
        <v>1</v>
      </c>
      <c r="I2288" s="23" t="str">
        <f t="shared" si="106"/>
        <v xml:space="preserve">COM VALOR</v>
      </c>
      <c r="J2288" s="19"/>
      <c r="L2288" s="21">
        <v>102.05</v>
      </c>
      <c r="M2288" s="22">
        <v>0</v>
      </c>
      <c r="N2288" s="21">
        <v>102.05</v>
      </c>
      <c r="O2288" s="22">
        <v>0</v>
      </c>
    </row>
    <row r="2289" ht="38.25">
      <c r="A2289" t="s">
        <v>2030</v>
      </c>
      <c r="B2289" s="19">
        <v>102894</v>
      </c>
      <c r="C2289" s="20" t="s">
        <v>2343</v>
      </c>
      <c r="D2289" s="19" t="s">
        <v>2032</v>
      </c>
      <c r="E2289" s="21" t="str">
        <f t="shared" si="104"/>
        <v>VERIFICAR</v>
      </c>
      <c r="F2289" s="22">
        <v>1</v>
      </c>
      <c r="G2289" s="21" t="str">
        <f t="shared" si="105"/>
        <v>VERIFICAR</v>
      </c>
      <c r="H2289" s="22">
        <v>1</v>
      </c>
      <c r="I2289" s="23" t="str">
        <f t="shared" si="106"/>
        <v xml:space="preserve">COM VALOR</v>
      </c>
      <c r="J2289" s="19"/>
      <c r="L2289" s="21">
        <v>0</v>
      </c>
      <c r="M2289" s="22"/>
      <c r="N2289" s="21">
        <v>0</v>
      </c>
      <c r="O2289" s="22"/>
    </row>
    <row r="2290" ht="38.25">
      <c r="A2290" t="s">
        <v>2030</v>
      </c>
      <c r="B2290" s="19">
        <v>104161</v>
      </c>
      <c r="C2290" s="20" t="s">
        <v>2344</v>
      </c>
      <c r="D2290" s="19" t="s">
        <v>2032</v>
      </c>
      <c r="E2290" s="21" t="str">
        <f t="shared" si="104"/>
        <v>VERIFICAR</v>
      </c>
      <c r="F2290" s="22">
        <v>1</v>
      </c>
      <c r="G2290" s="21" t="str">
        <f t="shared" si="105"/>
        <v>VERIFICAR</v>
      </c>
      <c r="H2290" s="22">
        <v>1</v>
      </c>
      <c r="I2290" s="23" t="str">
        <f t="shared" si="106"/>
        <v xml:space="preserve">COM VALOR</v>
      </c>
      <c r="J2290" s="19"/>
      <c r="L2290" s="21">
        <v>0</v>
      </c>
      <c r="M2290" s="22"/>
      <c r="N2290" s="21">
        <v>0</v>
      </c>
      <c r="O2290" s="22"/>
    </row>
    <row r="2291" ht="38.25">
      <c r="A2291" t="s">
        <v>2030</v>
      </c>
      <c r="B2291" s="19">
        <v>102896</v>
      </c>
      <c r="C2291" s="20" t="s">
        <v>2345</v>
      </c>
      <c r="D2291" s="19" t="s">
        <v>2032</v>
      </c>
      <c r="E2291" s="21" t="str">
        <f t="shared" si="104"/>
        <v>VERIFICAR</v>
      </c>
      <c r="F2291" s="22">
        <v>0</v>
      </c>
      <c r="G2291" s="21" t="str">
        <f t="shared" si="105"/>
        <v>VERIFICAR</v>
      </c>
      <c r="H2291" s="22">
        <v>0</v>
      </c>
      <c r="I2291" s="23" t="str">
        <f t="shared" si="106"/>
        <v xml:space="preserve">COM VALOR</v>
      </c>
      <c r="J2291" s="19"/>
      <c r="L2291" s="21">
        <v>0</v>
      </c>
      <c r="M2291" s="22"/>
      <c r="N2291" s="21">
        <v>0</v>
      </c>
      <c r="O2291" s="22"/>
    </row>
    <row r="2292" ht="38.25">
      <c r="A2292" t="s">
        <v>2030</v>
      </c>
      <c r="B2292" s="19">
        <v>102897</v>
      </c>
      <c r="C2292" s="20" t="s">
        <v>2346</v>
      </c>
      <c r="D2292" s="19" t="s">
        <v>2032</v>
      </c>
      <c r="E2292" s="21">
        <f t="shared" si="104"/>
        <v>102.05</v>
      </c>
      <c r="F2292" s="22">
        <v>1</v>
      </c>
      <c r="G2292" s="21">
        <f t="shared" si="105"/>
        <v>102.05</v>
      </c>
      <c r="H2292" s="22">
        <v>1</v>
      </c>
      <c r="I2292" s="23" t="str">
        <f t="shared" si="106"/>
        <v xml:space="preserve">COM VALOR</v>
      </c>
      <c r="J2292" s="19"/>
      <c r="L2292" s="21">
        <v>102.05</v>
      </c>
      <c r="M2292" s="22">
        <v>0</v>
      </c>
      <c r="N2292" s="21">
        <v>102.05</v>
      </c>
      <c r="O2292" s="22">
        <v>0</v>
      </c>
    </row>
    <row r="2293" ht="25.5">
      <c r="A2293" t="s">
        <v>2030</v>
      </c>
      <c r="B2293" s="19">
        <v>5627</v>
      </c>
      <c r="C2293" s="20" t="s">
        <v>2347</v>
      </c>
      <c r="D2293" s="19" t="s">
        <v>2032</v>
      </c>
      <c r="E2293" s="21">
        <f t="shared" si="104"/>
        <v>45.079999999999998</v>
      </c>
      <c r="F2293" s="22">
        <v>1</v>
      </c>
      <c r="G2293" s="21">
        <f t="shared" si="105"/>
        <v>45.079999999999998</v>
      </c>
      <c r="H2293" s="22">
        <v>1</v>
      </c>
      <c r="I2293" s="23" t="str">
        <f t="shared" si="106"/>
        <v xml:space="preserve">COM VALOR</v>
      </c>
      <c r="J2293" s="19"/>
      <c r="L2293" s="21">
        <v>45.079999999999998</v>
      </c>
      <c r="M2293" s="22">
        <v>0</v>
      </c>
      <c r="N2293" s="21">
        <v>45.079999999999998</v>
      </c>
      <c r="O2293" s="22">
        <v>0</v>
      </c>
    </row>
    <row r="2294" ht="25.5">
      <c r="A2294" t="s">
        <v>2030</v>
      </c>
      <c r="B2294" s="19">
        <v>5628</v>
      </c>
      <c r="C2294" s="20" t="s">
        <v>2348</v>
      </c>
      <c r="D2294" s="19" t="s">
        <v>2032</v>
      </c>
      <c r="E2294" s="21">
        <f t="shared" si="104"/>
        <v>11.91</v>
      </c>
      <c r="F2294" s="22">
        <v>1</v>
      </c>
      <c r="G2294" s="21">
        <f t="shared" si="105"/>
        <v>11.91</v>
      </c>
      <c r="H2294" s="22">
        <v>1</v>
      </c>
      <c r="I2294" s="23" t="str">
        <f t="shared" si="106"/>
        <v xml:space="preserve">COM VALOR</v>
      </c>
      <c r="J2294" s="19"/>
      <c r="L2294" s="21">
        <v>11.91</v>
      </c>
      <c r="M2294" s="22">
        <v>0</v>
      </c>
      <c r="N2294" s="21">
        <v>11.91</v>
      </c>
      <c r="O2294" s="22">
        <v>0</v>
      </c>
    </row>
    <row r="2295" ht="25.5">
      <c r="A2295" t="s">
        <v>2030</v>
      </c>
      <c r="B2295" s="19">
        <v>5629</v>
      </c>
      <c r="C2295" s="20" t="s">
        <v>2349</v>
      </c>
      <c r="D2295" s="19" t="s">
        <v>2032</v>
      </c>
      <c r="E2295" s="21">
        <f t="shared" si="104"/>
        <v>56.350000000000001</v>
      </c>
      <c r="F2295" s="22">
        <v>1</v>
      </c>
      <c r="G2295" s="21">
        <f t="shared" si="105"/>
        <v>56.350000000000001</v>
      </c>
      <c r="H2295" s="22">
        <v>1</v>
      </c>
      <c r="I2295" s="23" t="str">
        <f t="shared" si="106"/>
        <v xml:space="preserve">COM VALOR</v>
      </c>
      <c r="J2295" s="19"/>
      <c r="L2295" s="21">
        <v>56.350000000000001</v>
      </c>
      <c r="M2295" s="22">
        <v>0</v>
      </c>
      <c r="N2295" s="21">
        <v>56.350000000000001</v>
      </c>
      <c r="O2295" s="22">
        <v>0</v>
      </c>
    </row>
    <row r="2296" ht="38.25">
      <c r="A2296" t="s">
        <v>2030</v>
      </c>
      <c r="B2296" s="19">
        <v>5630</v>
      </c>
      <c r="C2296" s="20" t="s">
        <v>2350</v>
      </c>
      <c r="D2296" s="19" t="s">
        <v>2032</v>
      </c>
      <c r="E2296" s="21">
        <f t="shared" si="104"/>
        <v>73.120000000000005</v>
      </c>
      <c r="F2296" s="22">
        <v>0</v>
      </c>
      <c r="G2296" s="21">
        <f t="shared" si="105"/>
        <v>73.120000000000005</v>
      </c>
      <c r="H2296" s="22">
        <v>0</v>
      </c>
      <c r="I2296" s="23" t="str">
        <f t="shared" si="106"/>
        <v xml:space="preserve">COM VALOR</v>
      </c>
      <c r="J2296" s="19"/>
      <c r="L2296" s="21">
        <v>73.120000000000005</v>
      </c>
      <c r="M2296" s="22">
        <v>0</v>
      </c>
      <c r="N2296" s="21">
        <v>73.120000000000005</v>
      </c>
      <c r="O2296" s="22">
        <v>0</v>
      </c>
    </row>
    <row r="2297" ht="25.5">
      <c r="A2297" t="s">
        <v>2030</v>
      </c>
      <c r="B2297" s="19">
        <v>88900</v>
      </c>
      <c r="C2297" s="20" t="s">
        <v>2351</v>
      </c>
      <c r="D2297" s="19" t="s">
        <v>2032</v>
      </c>
      <c r="E2297" s="21">
        <f t="shared" si="104"/>
        <v>51</v>
      </c>
      <c r="F2297" s="22">
        <v>0</v>
      </c>
      <c r="G2297" s="21">
        <f t="shared" si="105"/>
        <v>51</v>
      </c>
      <c r="H2297" s="22">
        <v>0</v>
      </c>
      <c r="I2297" s="23" t="str">
        <f t="shared" si="106"/>
        <v xml:space="preserve">COM VALOR</v>
      </c>
      <c r="J2297" s="19"/>
      <c r="L2297" s="21">
        <v>51</v>
      </c>
      <c r="M2297" s="22">
        <v>0</v>
      </c>
      <c r="N2297" s="21">
        <v>51</v>
      </c>
      <c r="O2297" s="22">
        <v>0</v>
      </c>
    </row>
    <row r="2298" ht="25.5">
      <c r="A2298" t="s">
        <v>2030</v>
      </c>
      <c r="B2298" s="19">
        <v>88902</v>
      </c>
      <c r="C2298" s="20" t="s">
        <v>2352</v>
      </c>
      <c r="D2298" s="19" t="s">
        <v>2032</v>
      </c>
      <c r="E2298" s="21">
        <f t="shared" si="104"/>
        <v>13.48</v>
      </c>
      <c r="F2298" s="22">
        <v>0</v>
      </c>
      <c r="G2298" s="21">
        <f t="shared" si="105"/>
        <v>13.48</v>
      </c>
      <c r="H2298" s="22">
        <v>0</v>
      </c>
      <c r="I2298" s="23" t="str">
        <f t="shared" si="106"/>
        <v xml:space="preserve">COM VALOR</v>
      </c>
      <c r="J2298" s="19"/>
      <c r="L2298" s="21">
        <v>13.48</v>
      </c>
      <c r="M2298" s="22">
        <v>0</v>
      </c>
      <c r="N2298" s="21">
        <v>13.48</v>
      </c>
      <c r="O2298" s="22">
        <v>0</v>
      </c>
    </row>
    <row r="2299" ht="25.5">
      <c r="A2299" t="s">
        <v>2030</v>
      </c>
      <c r="B2299" s="19">
        <v>88903</v>
      </c>
      <c r="C2299" s="20" t="s">
        <v>2353</v>
      </c>
      <c r="D2299" s="19" t="s">
        <v>2032</v>
      </c>
      <c r="E2299" s="21">
        <f t="shared" si="104"/>
        <v>63.759999999999998</v>
      </c>
      <c r="F2299" s="22">
        <v>0</v>
      </c>
      <c r="G2299" s="21">
        <f t="shared" si="105"/>
        <v>63.759999999999998</v>
      </c>
      <c r="H2299" s="22">
        <v>0</v>
      </c>
      <c r="I2299" s="23" t="str">
        <f t="shared" si="106"/>
        <v xml:space="preserve">COM VALOR</v>
      </c>
      <c r="J2299" s="19"/>
      <c r="L2299" s="21">
        <v>63.759999999999998</v>
      </c>
      <c r="M2299" s="22">
        <v>0</v>
      </c>
      <c r="N2299" s="21">
        <v>63.759999999999998</v>
      </c>
      <c r="O2299" s="22">
        <v>0</v>
      </c>
    </row>
    <row r="2300" ht="38.25">
      <c r="A2300" t="s">
        <v>2030</v>
      </c>
      <c r="B2300" s="19">
        <v>88904</v>
      </c>
      <c r="C2300" s="20" t="s">
        <v>2354</v>
      </c>
      <c r="D2300" s="19" t="s">
        <v>2032</v>
      </c>
      <c r="E2300" s="21">
        <f t="shared" si="104"/>
        <v>102.05</v>
      </c>
      <c r="F2300" s="22">
        <v>0</v>
      </c>
      <c r="G2300" s="21">
        <f t="shared" si="105"/>
        <v>102.05</v>
      </c>
      <c r="H2300" s="22">
        <v>0</v>
      </c>
      <c r="I2300" s="23" t="str">
        <f t="shared" si="106"/>
        <v xml:space="preserve">COM VALOR</v>
      </c>
      <c r="J2300" s="19"/>
      <c r="L2300" s="21">
        <v>102.05</v>
      </c>
      <c r="M2300" s="22">
        <v>0</v>
      </c>
      <c r="N2300" s="21">
        <v>102.05</v>
      </c>
      <c r="O2300" s="22">
        <v>0</v>
      </c>
    </row>
    <row r="2301" ht="38.25">
      <c r="A2301" t="s">
        <v>2030</v>
      </c>
      <c r="B2301" s="19">
        <v>88569</v>
      </c>
      <c r="C2301" s="20" t="s">
        <v>2355</v>
      </c>
      <c r="D2301" s="19" t="s">
        <v>2032</v>
      </c>
      <c r="E2301" s="21">
        <f t="shared" si="104"/>
        <v>4.21</v>
      </c>
      <c r="F2301" s="22">
        <v>0</v>
      </c>
      <c r="G2301" s="21">
        <f t="shared" si="105"/>
        <v>4.21</v>
      </c>
      <c r="H2301" s="22">
        <v>0</v>
      </c>
      <c r="I2301" s="23" t="str">
        <f t="shared" si="106"/>
        <v xml:space="preserve">COM VALOR</v>
      </c>
      <c r="J2301" s="19"/>
      <c r="L2301" s="21">
        <v>4.21</v>
      </c>
      <c r="M2301" s="22">
        <v>1</v>
      </c>
      <c r="N2301" s="21">
        <v>4.21</v>
      </c>
      <c r="O2301" s="22">
        <v>1</v>
      </c>
    </row>
    <row r="2302" ht="38.25">
      <c r="A2302" t="s">
        <v>2030</v>
      </c>
      <c r="B2302" s="19">
        <v>88570</v>
      </c>
      <c r="C2302" s="20" t="s">
        <v>2356</v>
      </c>
      <c r="D2302" s="19" t="s">
        <v>2032</v>
      </c>
      <c r="E2302" s="21">
        <f t="shared" si="104"/>
        <v>1.46</v>
      </c>
      <c r="F2302" s="22">
        <v>0</v>
      </c>
      <c r="G2302" s="21">
        <f t="shared" si="105"/>
        <v>1.46</v>
      </c>
      <c r="H2302" s="22">
        <v>0</v>
      </c>
      <c r="I2302" s="23" t="str">
        <f t="shared" si="106"/>
        <v xml:space="preserve">COM VALOR</v>
      </c>
      <c r="J2302" s="19"/>
      <c r="L2302" s="21">
        <v>1.46</v>
      </c>
      <c r="M2302" s="22">
        <v>1</v>
      </c>
      <c r="N2302" s="21">
        <v>1.46</v>
      </c>
      <c r="O2302" s="22">
        <v>1</v>
      </c>
    </row>
    <row r="2303" ht="38.25">
      <c r="A2303" t="s">
        <v>2030</v>
      </c>
      <c r="B2303" s="19">
        <v>5765</v>
      </c>
      <c r="C2303" s="20" t="s">
        <v>2357</v>
      </c>
      <c r="D2303" s="19" t="s">
        <v>2032</v>
      </c>
      <c r="E2303" s="21">
        <f t="shared" si="104"/>
        <v>5.2699999999999996</v>
      </c>
      <c r="F2303" s="22">
        <v>0</v>
      </c>
      <c r="G2303" s="21">
        <f t="shared" si="105"/>
        <v>5.2699999999999996</v>
      </c>
      <c r="H2303" s="22">
        <v>0</v>
      </c>
      <c r="I2303" s="23" t="str">
        <f t="shared" si="106"/>
        <v xml:space="preserve">COM VALOR</v>
      </c>
      <c r="J2303" s="19"/>
      <c r="L2303" s="21">
        <v>5.2699999999999996</v>
      </c>
      <c r="M2303" s="22">
        <v>1</v>
      </c>
      <c r="N2303" s="21">
        <v>5.2699999999999996</v>
      </c>
      <c r="O2303" s="22">
        <v>1</v>
      </c>
    </row>
    <row r="2304" ht="38.25">
      <c r="A2304" t="s">
        <v>2030</v>
      </c>
      <c r="B2304" s="19">
        <v>5766</v>
      </c>
      <c r="C2304" s="20" t="s">
        <v>2358</v>
      </c>
      <c r="D2304" s="19" t="s">
        <v>2032</v>
      </c>
      <c r="E2304" s="21">
        <f t="shared" si="104"/>
        <v>3.02</v>
      </c>
      <c r="F2304" s="22">
        <v>0</v>
      </c>
      <c r="G2304" s="21">
        <f t="shared" si="105"/>
        <v>3.02</v>
      </c>
      <c r="H2304" s="22">
        <v>0</v>
      </c>
      <c r="I2304" s="23" t="str">
        <f t="shared" si="106"/>
        <v xml:space="preserve">COM VALOR</v>
      </c>
      <c r="J2304" s="19"/>
      <c r="L2304" s="21">
        <v>3.02</v>
      </c>
      <c r="M2304" s="22">
        <v>0</v>
      </c>
      <c r="N2304" s="21">
        <v>3.02</v>
      </c>
      <c r="O2304" s="22">
        <v>0</v>
      </c>
    </row>
    <row r="2305" ht="51">
      <c r="A2305" t="s">
        <v>2030</v>
      </c>
      <c r="B2305" s="19">
        <v>91468</v>
      </c>
      <c r="C2305" s="20" t="s">
        <v>2359</v>
      </c>
      <c r="D2305" s="19" t="s">
        <v>2032</v>
      </c>
      <c r="E2305" s="21">
        <f t="shared" si="104"/>
        <v>27.43</v>
      </c>
      <c r="F2305" s="22"/>
      <c r="G2305" s="21">
        <f t="shared" si="105"/>
        <v>27.43</v>
      </c>
      <c r="H2305" s="22"/>
      <c r="I2305" s="23" t="str">
        <f t="shared" si="106"/>
        <v xml:space="preserve">COM VALOR</v>
      </c>
      <c r="J2305" s="19"/>
      <c r="L2305" s="21">
        <v>27.43</v>
      </c>
      <c r="M2305" s="22">
        <v>1</v>
      </c>
      <c r="N2305" s="21">
        <v>27.43</v>
      </c>
      <c r="O2305" s="22">
        <v>1</v>
      </c>
    </row>
    <row r="2306" ht="51">
      <c r="A2306" t="s">
        <v>2030</v>
      </c>
      <c r="B2306" s="19">
        <v>91484</v>
      </c>
      <c r="C2306" s="20" t="s">
        <v>2360</v>
      </c>
      <c r="D2306" s="19" t="s">
        <v>2032</v>
      </c>
      <c r="E2306" s="21">
        <f t="shared" si="104"/>
        <v>4.3200000000000003</v>
      </c>
      <c r="F2306" s="22"/>
      <c r="G2306" s="21">
        <f t="shared" si="105"/>
        <v>4.3200000000000003</v>
      </c>
      <c r="H2306" s="22"/>
      <c r="I2306" s="23" t="str">
        <f t="shared" si="106"/>
        <v xml:space="preserve">COM VALOR</v>
      </c>
      <c r="J2306" s="19"/>
      <c r="L2306" s="21">
        <v>4.3200000000000003</v>
      </c>
      <c r="M2306" s="22">
        <v>1</v>
      </c>
      <c r="N2306" s="21">
        <v>4.3200000000000003</v>
      </c>
      <c r="O2306" s="22">
        <v>1</v>
      </c>
    </row>
    <row r="2307" ht="51">
      <c r="A2307" t="s">
        <v>2030</v>
      </c>
      <c r="B2307" s="19">
        <v>91469</v>
      </c>
      <c r="C2307" s="20" t="s">
        <v>2361</v>
      </c>
      <c r="D2307" s="19" t="s">
        <v>2032</v>
      </c>
      <c r="E2307" s="21">
        <f t="shared" si="104"/>
        <v>10.69</v>
      </c>
      <c r="F2307" s="22"/>
      <c r="G2307" s="21">
        <f t="shared" si="105"/>
        <v>10.69</v>
      </c>
      <c r="H2307" s="22"/>
      <c r="I2307" s="23" t="str">
        <f t="shared" si="106"/>
        <v xml:space="preserve">COM VALOR</v>
      </c>
      <c r="J2307" s="19"/>
      <c r="L2307" s="21">
        <v>10.69</v>
      </c>
      <c r="M2307" s="22">
        <v>1</v>
      </c>
      <c r="N2307" s="21">
        <v>10.69</v>
      </c>
      <c r="O2307" s="22">
        <v>1</v>
      </c>
    </row>
    <row r="2308" ht="51">
      <c r="A2308" t="s">
        <v>2030</v>
      </c>
      <c r="B2308" s="19">
        <v>83361</v>
      </c>
      <c r="C2308" s="20" t="s">
        <v>2362</v>
      </c>
      <c r="D2308" s="19" t="s">
        <v>2032</v>
      </c>
      <c r="E2308" s="21">
        <f t="shared" si="104"/>
        <v>45.770000000000003</v>
      </c>
      <c r="F2308" s="22">
        <v>0</v>
      </c>
      <c r="G2308" s="21">
        <f t="shared" si="105"/>
        <v>45.770000000000003</v>
      </c>
      <c r="H2308" s="22">
        <v>0</v>
      </c>
      <c r="I2308" s="23" t="str">
        <f t="shared" si="106"/>
        <v xml:space="preserve">COM VALOR</v>
      </c>
      <c r="J2308" s="19"/>
      <c r="L2308" s="21">
        <v>45.770000000000003</v>
      </c>
      <c r="M2308" s="22">
        <v>1</v>
      </c>
      <c r="N2308" s="21">
        <v>45.770000000000003</v>
      </c>
      <c r="O2308" s="22">
        <v>1</v>
      </c>
    </row>
    <row r="2309" ht="51">
      <c r="A2309" t="s">
        <v>2030</v>
      </c>
      <c r="B2309" s="19">
        <v>91485</v>
      </c>
      <c r="C2309" s="20" t="s">
        <v>2363</v>
      </c>
      <c r="D2309" s="19" t="s">
        <v>2032</v>
      </c>
      <c r="E2309" s="21">
        <f t="shared" si="104"/>
        <v>175.65000000000001</v>
      </c>
      <c r="F2309" s="22">
        <v>1</v>
      </c>
      <c r="G2309" s="21">
        <f t="shared" si="105"/>
        <v>175.65000000000001</v>
      </c>
      <c r="H2309" s="22">
        <v>1</v>
      </c>
      <c r="I2309" s="23" t="str">
        <f t="shared" si="106"/>
        <v xml:space="preserve">COM VALOR</v>
      </c>
      <c r="J2309" s="19"/>
      <c r="L2309" s="21">
        <v>175.65000000000001</v>
      </c>
      <c r="M2309" s="22">
        <v>0</v>
      </c>
      <c r="N2309" s="21">
        <v>175.65000000000001</v>
      </c>
      <c r="O2309" s="22">
        <v>0</v>
      </c>
    </row>
    <row r="2310" ht="38.25">
      <c r="A2310" t="s">
        <v>2030</v>
      </c>
      <c r="B2310" s="19">
        <v>102835</v>
      </c>
      <c r="C2310" s="20" t="s">
        <v>2364</v>
      </c>
      <c r="D2310" s="19" t="s">
        <v>2032</v>
      </c>
      <c r="E2310" s="21" t="str">
        <f t="shared" si="104"/>
        <v>VERIFICAR</v>
      </c>
      <c r="F2310" s="22">
        <v>1</v>
      </c>
      <c r="G2310" s="21" t="str">
        <f t="shared" si="105"/>
        <v>VERIFICAR</v>
      </c>
      <c r="H2310" s="22">
        <v>1</v>
      </c>
      <c r="I2310" s="23" t="str">
        <f t="shared" si="106"/>
        <v xml:space="preserve">COM VALOR</v>
      </c>
      <c r="J2310" s="19"/>
      <c r="L2310" s="21">
        <v>0</v>
      </c>
      <c r="M2310" s="22"/>
      <c r="N2310" s="21">
        <v>0</v>
      </c>
      <c r="O2310" s="22"/>
    </row>
    <row r="2311" ht="38.25">
      <c r="A2311" t="s">
        <v>2030</v>
      </c>
      <c r="B2311" s="19">
        <v>102836</v>
      </c>
      <c r="C2311" s="20" t="s">
        <v>2365</v>
      </c>
      <c r="D2311" s="19" t="s">
        <v>2032</v>
      </c>
      <c r="E2311" s="21" t="str">
        <f t="shared" si="104"/>
        <v>VERIFICAR</v>
      </c>
      <c r="F2311" s="22">
        <v>1</v>
      </c>
      <c r="G2311" s="21" t="str">
        <f t="shared" si="105"/>
        <v>VERIFICAR</v>
      </c>
      <c r="H2311" s="22">
        <v>1</v>
      </c>
      <c r="I2311" s="23" t="str">
        <f t="shared" si="106"/>
        <v xml:space="preserve">COM VALOR</v>
      </c>
      <c r="J2311" s="19"/>
      <c r="L2311" s="21">
        <v>0</v>
      </c>
      <c r="M2311" s="22"/>
      <c r="N2311" s="21">
        <v>0</v>
      </c>
      <c r="O2311" s="22"/>
    </row>
    <row r="2312" ht="38.25">
      <c r="A2312" t="s">
        <v>2030</v>
      </c>
      <c r="B2312" s="19">
        <v>102837</v>
      </c>
      <c r="C2312" s="20" t="s">
        <v>2366</v>
      </c>
      <c r="D2312" s="19" t="s">
        <v>2032</v>
      </c>
      <c r="E2312" s="21" t="str">
        <f t="shared" si="104"/>
        <v>VERIFICAR</v>
      </c>
      <c r="F2312" s="22">
        <v>0</v>
      </c>
      <c r="G2312" s="21" t="str">
        <f t="shared" si="105"/>
        <v>VERIFICAR</v>
      </c>
      <c r="H2312" s="22">
        <v>0</v>
      </c>
      <c r="I2312" s="23" t="str">
        <f t="shared" si="106"/>
        <v xml:space="preserve">COM VALOR</v>
      </c>
      <c r="J2312" s="19"/>
      <c r="L2312" s="21">
        <v>0</v>
      </c>
      <c r="M2312" s="22"/>
      <c r="N2312" s="21">
        <v>0</v>
      </c>
      <c r="O2312" s="22"/>
    </row>
    <row r="2313" ht="25.5">
      <c r="A2313" t="s">
        <v>2030</v>
      </c>
      <c r="B2313" s="19">
        <v>89230</v>
      </c>
      <c r="C2313" s="20" t="s">
        <v>2367</v>
      </c>
      <c r="D2313" s="19" t="s">
        <v>2032</v>
      </c>
      <c r="E2313" s="21">
        <f t="shared" si="104"/>
        <v>122.95</v>
      </c>
      <c r="F2313" s="22">
        <v>0</v>
      </c>
      <c r="G2313" s="21">
        <f t="shared" si="105"/>
        <v>122.95</v>
      </c>
      <c r="H2313" s="22">
        <v>0</v>
      </c>
      <c r="I2313" s="23" t="str">
        <f t="shared" si="106"/>
        <v xml:space="preserve">COM VALOR</v>
      </c>
      <c r="J2313" s="19"/>
      <c r="L2313" s="21">
        <v>122.95</v>
      </c>
      <c r="M2313" s="22">
        <v>1</v>
      </c>
      <c r="N2313" s="21">
        <v>122.95</v>
      </c>
      <c r="O2313" s="22">
        <v>1</v>
      </c>
    </row>
    <row r="2314" ht="25.5">
      <c r="A2314" t="s">
        <v>2030</v>
      </c>
      <c r="B2314" s="19">
        <v>89231</v>
      </c>
      <c r="C2314" s="20" t="s">
        <v>2368</v>
      </c>
      <c r="D2314" s="19" t="s">
        <v>2032</v>
      </c>
      <c r="E2314" s="21">
        <f t="shared" si="104"/>
        <v>37.649999999999999</v>
      </c>
      <c r="F2314" s="22">
        <v>0</v>
      </c>
      <c r="G2314" s="21">
        <f t="shared" si="105"/>
        <v>37.649999999999999</v>
      </c>
      <c r="H2314" s="22">
        <v>0</v>
      </c>
      <c r="I2314" s="23" t="str">
        <f t="shared" si="106"/>
        <v xml:space="preserve">COM VALOR</v>
      </c>
      <c r="J2314" s="19"/>
      <c r="L2314" s="21">
        <v>37.649999999999999</v>
      </c>
      <c r="M2314" s="22">
        <v>1</v>
      </c>
      <c r="N2314" s="21">
        <v>37.649999999999999</v>
      </c>
      <c r="O2314" s="22">
        <v>1</v>
      </c>
    </row>
    <row r="2315" ht="25.5">
      <c r="A2315" t="s">
        <v>2030</v>
      </c>
      <c r="B2315" s="19">
        <v>89232</v>
      </c>
      <c r="C2315" s="20" t="s">
        <v>2369</v>
      </c>
      <c r="D2315" s="19" t="s">
        <v>2032</v>
      </c>
      <c r="E2315" s="21">
        <f t="shared" ref="E2315:E2378" si="107">IF(L2315=0,"VERIFICAR",L2315)</f>
        <v>219.31999999999999</v>
      </c>
      <c r="F2315" s="22">
        <v>0</v>
      </c>
      <c r="G2315" s="21">
        <f t="shared" ref="G2315:G2378" si="108">IF(N2315=0,"VERIFICAR",N2315)</f>
        <v>219.31999999999999</v>
      </c>
      <c r="H2315" s="22">
        <v>0</v>
      </c>
      <c r="I2315" s="23" t="str">
        <f t="shared" ref="I2315:I2378" si="109">IF(OR(E2315=0,G2315=0),"SEM VALOR","COM VALOR")</f>
        <v xml:space="preserve">COM VALOR</v>
      </c>
      <c r="J2315" s="19"/>
      <c r="L2315" s="21">
        <v>219.31999999999999</v>
      </c>
      <c r="M2315" s="22">
        <v>1</v>
      </c>
      <c r="N2315" s="21">
        <v>219.31999999999999</v>
      </c>
      <c r="O2315" s="22">
        <v>1</v>
      </c>
    </row>
    <row r="2316" ht="25.5">
      <c r="A2316" t="s">
        <v>2030</v>
      </c>
      <c r="B2316" s="19">
        <v>89233</v>
      </c>
      <c r="C2316" s="20" t="s">
        <v>2370</v>
      </c>
      <c r="D2316" s="19" t="s">
        <v>2032</v>
      </c>
      <c r="E2316" s="21">
        <f t="shared" si="107"/>
        <v>189.63999999999999</v>
      </c>
      <c r="F2316" s="22"/>
      <c r="G2316" s="21">
        <f t="shared" si="108"/>
        <v>189.63999999999999</v>
      </c>
      <c r="H2316" s="22"/>
      <c r="I2316" s="23" t="str">
        <f t="shared" si="109"/>
        <v xml:space="preserve">COM VALOR</v>
      </c>
      <c r="J2316" s="19"/>
      <c r="L2316" s="21">
        <v>189.63999999999999</v>
      </c>
      <c r="M2316" s="22">
        <v>0</v>
      </c>
      <c r="N2316" s="21">
        <v>189.63999999999999</v>
      </c>
      <c r="O2316" s="22">
        <v>0</v>
      </c>
    </row>
    <row r="2317" ht="25.5">
      <c r="A2317" t="s">
        <v>2030</v>
      </c>
      <c r="B2317" s="19">
        <v>89236</v>
      </c>
      <c r="C2317" s="20" t="s">
        <v>2371</v>
      </c>
      <c r="D2317" s="19" t="s">
        <v>2032</v>
      </c>
      <c r="E2317" s="21">
        <f t="shared" si="107"/>
        <v>287.22000000000003</v>
      </c>
      <c r="F2317" s="22"/>
      <c r="G2317" s="21">
        <f t="shared" si="108"/>
        <v>287.22000000000003</v>
      </c>
      <c r="H2317" s="22"/>
      <c r="I2317" s="23" t="str">
        <f t="shared" si="109"/>
        <v xml:space="preserve">COM VALOR</v>
      </c>
      <c r="J2317" s="19"/>
      <c r="L2317" s="21">
        <v>287.22000000000003</v>
      </c>
      <c r="M2317" s="22">
        <v>1</v>
      </c>
      <c r="N2317" s="21">
        <v>287.22000000000003</v>
      </c>
      <c r="O2317" s="22">
        <v>1</v>
      </c>
    </row>
    <row r="2318" ht="25.5">
      <c r="A2318" t="s">
        <v>2030</v>
      </c>
      <c r="B2318" s="19">
        <v>89237</v>
      </c>
      <c r="C2318" s="20" t="s">
        <v>2372</v>
      </c>
      <c r="D2318" s="19" t="s">
        <v>2032</v>
      </c>
      <c r="E2318" s="21">
        <f t="shared" si="107"/>
        <v>87.950000000000003</v>
      </c>
      <c r="F2318" s="22"/>
      <c r="G2318" s="21">
        <f t="shared" si="108"/>
        <v>87.950000000000003</v>
      </c>
      <c r="H2318" s="22"/>
      <c r="I2318" s="23" t="str">
        <f t="shared" si="109"/>
        <v xml:space="preserve">COM VALOR</v>
      </c>
      <c r="J2318" s="19"/>
      <c r="L2318" s="21">
        <v>87.950000000000003</v>
      </c>
      <c r="M2318" s="22">
        <v>1</v>
      </c>
      <c r="N2318" s="21">
        <v>87.950000000000003</v>
      </c>
      <c r="O2318" s="22">
        <v>1</v>
      </c>
    </row>
    <row r="2319" ht="25.5">
      <c r="A2319" t="s">
        <v>2030</v>
      </c>
      <c r="B2319" s="19">
        <v>89238</v>
      </c>
      <c r="C2319" s="20" t="s">
        <v>2373</v>
      </c>
      <c r="D2319" s="19" t="s">
        <v>2032</v>
      </c>
      <c r="E2319" s="21">
        <f t="shared" si="107"/>
        <v>512.33000000000004</v>
      </c>
      <c r="F2319" s="22">
        <v>0</v>
      </c>
      <c r="G2319" s="21">
        <f t="shared" si="108"/>
        <v>512.33000000000004</v>
      </c>
      <c r="H2319" s="22">
        <v>0</v>
      </c>
      <c r="I2319" s="23" t="str">
        <f t="shared" si="109"/>
        <v xml:space="preserve">COM VALOR</v>
      </c>
      <c r="J2319" s="19"/>
      <c r="L2319" s="21">
        <v>512.33000000000004</v>
      </c>
      <c r="M2319" s="22">
        <v>1</v>
      </c>
      <c r="N2319" s="21">
        <v>512.33000000000004</v>
      </c>
      <c r="O2319" s="22">
        <v>1</v>
      </c>
    </row>
    <row r="2320" ht="25.5">
      <c r="A2320" t="s">
        <v>2030</v>
      </c>
      <c r="B2320" s="19">
        <v>89239</v>
      </c>
      <c r="C2320" s="20" t="s">
        <v>2374</v>
      </c>
      <c r="D2320" s="19" t="s">
        <v>2032</v>
      </c>
      <c r="E2320" s="21">
        <f t="shared" si="107"/>
        <v>501.5</v>
      </c>
      <c r="F2320" s="22">
        <v>0</v>
      </c>
      <c r="G2320" s="21">
        <f t="shared" si="108"/>
        <v>501.5</v>
      </c>
      <c r="H2320" s="22">
        <v>0</v>
      </c>
      <c r="I2320" s="23" t="str">
        <f t="shared" si="109"/>
        <v xml:space="preserve">COM VALOR</v>
      </c>
      <c r="J2320" s="19"/>
      <c r="L2320" s="21">
        <v>501.5</v>
      </c>
      <c r="M2320" s="22">
        <v>0</v>
      </c>
      <c r="N2320" s="21">
        <v>501.5</v>
      </c>
      <c r="O2320" s="22">
        <v>0</v>
      </c>
    </row>
    <row r="2321" ht="51">
      <c r="A2321" t="s">
        <v>2030</v>
      </c>
      <c r="B2321" s="19">
        <v>102930</v>
      </c>
      <c r="C2321" s="20" t="s">
        <v>2375</v>
      </c>
      <c r="D2321" s="19" t="s">
        <v>2032</v>
      </c>
      <c r="E2321" s="21" t="str">
        <f t="shared" si="107"/>
        <v>VERIFICAR</v>
      </c>
      <c r="F2321" s="22">
        <v>0</v>
      </c>
      <c r="G2321" s="21" t="str">
        <f t="shared" si="108"/>
        <v>VERIFICAR</v>
      </c>
      <c r="H2321" s="22">
        <v>0</v>
      </c>
      <c r="I2321" s="23" t="str">
        <f t="shared" si="109"/>
        <v xml:space="preserve">COM VALOR</v>
      </c>
      <c r="J2321" s="19"/>
      <c r="L2321" s="21">
        <v>0</v>
      </c>
      <c r="M2321" s="22"/>
      <c r="N2321" s="21">
        <v>0</v>
      </c>
      <c r="O2321" s="22"/>
    </row>
    <row r="2322" ht="51">
      <c r="A2322" t="s">
        <v>2030</v>
      </c>
      <c r="B2322" s="19">
        <v>102931</v>
      </c>
      <c r="C2322" s="20" t="s">
        <v>2376</v>
      </c>
      <c r="D2322" s="19" t="s">
        <v>2032</v>
      </c>
      <c r="E2322" s="21" t="str">
        <f t="shared" si="107"/>
        <v>VERIFICAR</v>
      </c>
      <c r="F2322" s="22">
        <v>0</v>
      </c>
      <c r="G2322" s="21" t="str">
        <f t="shared" si="108"/>
        <v>VERIFICAR</v>
      </c>
      <c r="H2322" s="22">
        <v>0</v>
      </c>
      <c r="I2322" s="23" t="str">
        <f t="shared" si="109"/>
        <v xml:space="preserve">COM VALOR</v>
      </c>
      <c r="J2322" s="19"/>
      <c r="L2322" s="21">
        <v>0</v>
      </c>
      <c r="M2322" s="22"/>
      <c r="N2322" s="21">
        <v>0</v>
      </c>
      <c r="O2322" s="22"/>
    </row>
    <row r="2323" ht="51">
      <c r="A2323" t="s">
        <v>2030</v>
      </c>
      <c r="B2323" s="19">
        <v>102932</v>
      </c>
      <c r="C2323" s="20" t="s">
        <v>2377</v>
      </c>
      <c r="D2323" s="19" t="s">
        <v>2032</v>
      </c>
      <c r="E2323" s="21" t="str">
        <f t="shared" si="107"/>
        <v>VERIFICAR</v>
      </c>
      <c r="F2323" s="22">
        <v>0</v>
      </c>
      <c r="G2323" s="21" t="str">
        <f t="shared" si="108"/>
        <v>VERIFICAR</v>
      </c>
      <c r="H2323" s="22">
        <v>0</v>
      </c>
      <c r="I2323" s="23" t="str">
        <f t="shared" si="109"/>
        <v xml:space="preserve">COM VALOR</v>
      </c>
      <c r="J2323" s="19"/>
      <c r="L2323" s="21">
        <v>0</v>
      </c>
      <c r="M2323" s="22"/>
      <c r="N2323" s="21">
        <v>0</v>
      </c>
      <c r="O2323" s="22"/>
    </row>
    <row r="2324" ht="63.75">
      <c r="A2324" t="s">
        <v>2030</v>
      </c>
      <c r="B2324" s="19">
        <v>102933</v>
      </c>
      <c r="C2324" s="20" t="s">
        <v>2378</v>
      </c>
      <c r="D2324" s="19" t="s">
        <v>2032</v>
      </c>
      <c r="E2324" s="21">
        <f t="shared" si="107"/>
        <v>1.0600000000000001</v>
      </c>
      <c r="F2324" s="22">
        <v>0</v>
      </c>
      <c r="G2324" s="21">
        <f t="shared" si="108"/>
        <v>1.0600000000000001</v>
      </c>
      <c r="H2324" s="22">
        <v>0</v>
      </c>
      <c r="I2324" s="23" t="str">
        <f t="shared" si="109"/>
        <v xml:space="preserve">COM VALOR</v>
      </c>
      <c r="J2324" s="19"/>
      <c r="L2324" s="21">
        <v>1.0600000000000001</v>
      </c>
      <c r="M2324" s="22">
        <v>0</v>
      </c>
      <c r="N2324" s="21">
        <v>1.0600000000000001</v>
      </c>
      <c r="O2324" s="22">
        <v>0</v>
      </c>
    </row>
    <row r="2325" ht="25.5">
      <c r="A2325" t="s">
        <v>2030</v>
      </c>
      <c r="B2325" s="19">
        <v>93411</v>
      </c>
      <c r="C2325" s="20" t="s">
        <v>2379</v>
      </c>
      <c r="D2325" s="19" t="s">
        <v>2032</v>
      </c>
      <c r="E2325" s="21">
        <f t="shared" si="107"/>
        <v>0.35999999999999999</v>
      </c>
      <c r="F2325" s="22">
        <v>0</v>
      </c>
      <c r="G2325" s="21">
        <f t="shared" si="108"/>
        <v>0.35999999999999999</v>
      </c>
      <c r="H2325" s="22">
        <v>0</v>
      </c>
      <c r="I2325" s="23" t="str">
        <f t="shared" si="109"/>
        <v xml:space="preserve">COM VALOR</v>
      </c>
      <c r="J2325" s="19"/>
      <c r="L2325" s="21">
        <v>0.35999999999999999</v>
      </c>
      <c r="M2325" s="22">
        <v>0</v>
      </c>
      <c r="N2325" s="21">
        <v>0.35999999999999999</v>
      </c>
      <c r="O2325" s="22">
        <v>0</v>
      </c>
    </row>
    <row r="2326" ht="25.5">
      <c r="A2326" t="s">
        <v>2030</v>
      </c>
      <c r="B2326" s="19">
        <v>93412</v>
      </c>
      <c r="C2326" s="20" t="s">
        <v>2380</v>
      </c>
      <c r="D2326" s="19" t="s">
        <v>2032</v>
      </c>
      <c r="E2326" s="21">
        <f t="shared" si="107"/>
        <v>0.12</v>
      </c>
      <c r="F2326" s="22">
        <v>0</v>
      </c>
      <c r="G2326" s="21">
        <f t="shared" si="108"/>
        <v>0.12</v>
      </c>
      <c r="H2326" s="22">
        <v>0</v>
      </c>
      <c r="I2326" s="23" t="str">
        <f t="shared" si="109"/>
        <v xml:space="preserve">COM VALOR</v>
      </c>
      <c r="J2326" s="19"/>
      <c r="L2326" s="21">
        <v>0.12</v>
      </c>
      <c r="M2326" s="22">
        <v>0</v>
      </c>
      <c r="N2326" s="21">
        <v>0.12</v>
      </c>
      <c r="O2326" s="22">
        <v>0</v>
      </c>
    </row>
    <row r="2327" ht="25.5">
      <c r="A2327" t="s">
        <v>2030</v>
      </c>
      <c r="B2327" s="19">
        <v>93413</v>
      </c>
      <c r="C2327" s="20" t="s">
        <v>2381</v>
      </c>
      <c r="D2327" s="19" t="s">
        <v>2032</v>
      </c>
      <c r="E2327" s="21">
        <f t="shared" si="107"/>
        <v>0.32000000000000001</v>
      </c>
      <c r="F2327" s="22"/>
      <c r="G2327" s="21">
        <f t="shared" si="108"/>
        <v>0.32000000000000001</v>
      </c>
      <c r="H2327" s="22"/>
      <c r="I2327" s="23" t="str">
        <f t="shared" si="109"/>
        <v xml:space="preserve">COM VALOR</v>
      </c>
      <c r="J2327" s="19"/>
      <c r="L2327" s="21">
        <v>0.32000000000000001</v>
      </c>
      <c r="M2327" s="22">
        <v>0</v>
      </c>
      <c r="N2327" s="21">
        <v>0.32000000000000001</v>
      </c>
      <c r="O2327" s="22">
        <v>0</v>
      </c>
    </row>
    <row r="2328" ht="38.25">
      <c r="A2328" t="s">
        <v>2030</v>
      </c>
      <c r="B2328" s="19">
        <v>93414</v>
      </c>
      <c r="C2328" s="20" t="s">
        <v>2382</v>
      </c>
      <c r="D2328" s="19" t="s">
        <v>2032</v>
      </c>
      <c r="E2328" s="21">
        <f t="shared" si="107"/>
        <v>11.460000000000001</v>
      </c>
      <c r="F2328" s="22"/>
      <c r="G2328" s="21">
        <f t="shared" si="108"/>
        <v>11.460000000000001</v>
      </c>
      <c r="H2328" s="22"/>
      <c r="I2328" s="23" t="str">
        <f t="shared" si="109"/>
        <v xml:space="preserve">COM VALOR</v>
      </c>
      <c r="J2328" s="19"/>
      <c r="L2328" s="21">
        <v>11.460000000000001</v>
      </c>
      <c r="M2328" s="22">
        <v>0</v>
      </c>
      <c r="N2328" s="21">
        <v>11.460000000000001</v>
      </c>
      <c r="O2328" s="22">
        <v>0</v>
      </c>
    </row>
    <row r="2329" ht="25.5">
      <c r="A2329" t="s">
        <v>2030</v>
      </c>
      <c r="B2329" s="19">
        <v>88855</v>
      </c>
      <c r="C2329" s="20" t="s">
        <v>2383</v>
      </c>
      <c r="D2329" s="19" t="s">
        <v>2032</v>
      </c>
      <c r="E2329" s="21">
        <f t="shared" si="107"/>
        <v>3.25</v>
      </c>
      <c r="F2329" s="22"/>
      <c r="G2329" s="21">
        <f t="shared" si="108"/>
        <v>3.25</v>
      </c>
      <c r="H2329" s="22"/>
      <c r="I2329" s="23" t="str">
        <f t="shared" si="109"/>
        <v xml:space="preserve">COM VALOR</v>
      </c>
      <c r="J2329" s="19"/>
      <c r="L2329" s="21">
        <v>3.25</v>
      </c>
      <c r="M2329" s="22">
        <v>1</v>
      </c>
      <c r="N2329" s="21">
        <v>3.25</v>
      </c>
      <c r="O2329" s="22">
        <v>1</v>
      </c>
    </row>
    <row r="2330" ht="25.5">
      <c r="A2330" t="s">
        <v>2030</v>
      </c>
      <c r="B2330" s="19">
        <v>88856</v>
      </c>
      <c r="C2330" s="20" t="s">
        <v>2384</v>
      </c>
      <c r="D2330" s="19" t="s">
        <v>2032</v>
      </c>
      <c r="E2330" s="21">
        <f t="shared" si="107"/>
        <v>0.89000000000000001</v>
      </c>
      <c r="F2330" s="22">
        <v>0</v>
      </c>
      <c r="G2330" s="21">
        <f t="shared" si="108"/>
        <v>0.89000000000000001</v>
      </c>
      <c r="H2330" s="22">
        <v>0</v>
      </c>
      <c r="I2330" s="23" t="str">
        <f t="shared" si="109"/>
        <v xml:space="preserve">COM VALOR</v>
      </c>
      <c r="J2330" s="19"/>
      <c r="L2330" s="21">
        <v>0.89000000000000001</v>
      </c>
      <c r="M2330" s="22">
        <v>1</v>
      </c>
      <c r="N2330" s="21">
        <v>0.89000000000000001</v>
      </c>
      <c r="O2330" s="22">
        <v>1</v>
      </c>
    </row>
    <row r="2331" ht="25.5">
      <c r="A2331" t="s">
        <v>2030</v>
      </c>
      <c r="B2331" s="19">
        <v>5658</v>
      </c>
      <c r="C2331" s="20" t="s">
        <v>2385</v>
      </c>
      <c r="D2331" s="19" t="s">
        <v>2032</v>
      </c>
      <c r="E2331" s="21">
        <f t="shared" si="107"/>
        <v>2.2599999999999998</v>
      </c>
      <c r="F2331" s="22">
        <v>0</v>
      </c>
      <c r="G2331" s="21">
        <f t="shared" si="108"/>
        <v>2.2599999999999998</v>
      </c>
      <c r="H2331" s="22">
        <v>0</v>
      </c>
      <c r="I2331" s="23" t="str">
        <f t="shared" si="109"/>
        <v xml:space="preserve">COM VALOR</v>
      </c>
      <c r="J2331" s="19"/>
      <c r="L2331" s="21">
        <v>2.2599999999999998</v>
      </c>
      <c r="M2331" s="22">
        <v>1</v>
      </c>
      <c r="N2331" s="21">
        <v>2.2599999999999998</v>
      </c>
      <c r="O2331" s="22">
        <v>1</v>
      </c>
    </row>
    <row r="2332" ht="25.5">
      <c r="A2332" t="s">
        <v>2030</v>
      </c>
      <c r="B2332" s="19">
        <v>53840</v>
      </c>
      <c r="C2332" s="20" t="s">
        <v>2386</v>
      </c>
      <c r="D2332" s="19" t="s">
        <v>2032</v>
      </c>
      <c r="E2332" s="21">
        <f t="shared" si="107"/>
        <v>2.5499999999999998</v>
      </c>
      <c r="F2332" s="22">
        <v>0</v>
      </c>
      <c r="G2332" s="21">
        <f t="shared" si="108"/>
        <v>2.5499999999999998</v>
      </c>
      <c r="H2332" s="22">
        <v>0</v>
      </c>
      <c r="I2332" s="23" t="str">
        <f t="shared" si="109"/>
        <v xml:space="preserve">COM VALOR</v>
      </c>
      <c r="J2332" s="19"/>
      <c r="L2332" s="21">
        <v>2.5499999999999998</v>
      </c>
      <c r="M2332" s="22">
        <v>1</v>
      </c>
      <c r="N2332" s="21">
        <v>2.5499999999999998</v>
      </c>
      <c r="O2332" s="22">
        <v>1</v>
      </c>
    </row>
    <row r="2333" ht="25.5">
      <c r="A2333" t="s">
        <v>2030</v>
      </c>
      <c r="B2333" s="19">
        <v>87026</v>
      </c>
      <c r="C2333" s="20" t="s">
        <v>2387</v>
      </c>
      <c r="D2333" s="19" t="s">
        <v>2032</v>
      </c>
      <c r="E2333" s="21">
        <f t="shared" si="107"/>
        <v>0.69999999999999996</v>
      </c>
      <c r="F2333" s="22">
        <v>0</v>
      </c>
      <c r="G2333" s="21">
        <f t="shared" si="108"/>
        <v>0.69999999999999996</v>
      </c>
      <c r="H2333" s="22">
        <v>0</v>
      </c>
      <c r="I2333" s="23" t="str">
        <f t="shared" si="109"/>
        <v xml:space="preserve">COM VALOR</v>
      </c>
      <c r="J2333" s="19"/>
      <c r="L2333" s="21">
        <v>0.69999999999999996</v>
      </c>
      <c r="M2333" s="22">
        <v>1</v>
      </c>
      <c r="N2333" s="21">
        <v>0.69999999999999996</v>
      </c>
      <c r="O2333" s="22">
        <v>1</v>
      </c>
    </row>
    <row r="2334" ht="25.5">
      <c r="A2334" t="s">
        <v>2030</v>
      </c>
      <c r="B2334" s="19">
        <v>53841</v>
      </c>
      <c r="C2334" s="20" t="s">
        <v>2388</v>
      </c>
      <c r="D2334" s="19" t="s">
        <v>2032</v>
      </c>
      <c r="E2334" s="21">
        <f t="shared" si="107"/>
        <v>1.77</v>
      </c>
      <c r="F2334" s="22"/>
      <c r="G2334" s="21">
        <f t="shared" si="108"/>
        <v>1.77</v>
      </c>
      <c r="H2334" s="22"/>
      <c r="I2334" s="23" t="str">
        <f t="shared" si="109"/>
        <v xml:space="preserve">COM VALOR</v>
      </c>
      <c r="J2334" s="19"/>
      <c r="L2334" s="21">
        <v>1.77</v>
      </c>
      <c r="M2334" s="22">
        <v>1</v>
      </c>
      <c r="N2334" s="21">
        <v>1.77</v>
      </c>
      <c r="O2334" s="22">
        <v>1</v>
      </c>
    </row>
    <row r="2335" ht="25.5">
      <c r="A2335" t="s">
        <v>2030</v>
      </c>
      <c r="B2335" s="19">
        <v>95209</v>
      </c>
      <c r="C2335" s="20" t="s">
        <v>2389</v>
      </c>
      <c r="D2335" s="19" t="s">
        <v>2032</v>
      </c>
      <c r="E2335" s="21">
        <f t="shared" si="107"/>
        <v>12.42</v>
      </c>
      <c r="F2335" s="22"/>
      <c r="G2335" s="21">
        <f t="shared" si="108"/>
        <v>12.42</v>
      </c>
      <c r="H2335" s="22"/>
      <c r="I2335" s="23" t="str">
        <f t="shared" si="109"/>
        <v xml:space="preserve">COM VALOR</v>
      </c>
      <c r="J2335" s="19"/>
      <c r="L2335" s="21">
        <v>12.42</v>
      </c>
      <c r="M2335" s="22">
        <v>1</v>
      </c>
      <c r="N2335" s="21">
        <v>12.42</v>
      </c>
      <c r="O2335" s="22">
        <v>1</v>
      </c>
    </row>
    <row r="2336" ht="25.5">
      <c r="A2336" t="s">
        <v>2030</v>
      </c>
      <c r="B2336" s="19">
        <v>95210</v>
      </c>
      <c r="C2336" s="20" t="s">
        <v>2390</v>
      </c>
      <c r="D2336" s="19" t="s">
        <v>2032</v>
      </c>
      <c r="E2336" s="21">
        <f t="shared" si="107"/>
        <v>58.740000000000002</v>
      </c>
      <c r="F2336" s="22"/>
      <c r="G2336" s="21">
        <f t="shared" si="108"/>
        <v>58.740000000000002</v>
      </c>
      <c r="H2336" s="22"/>
      <c r="I2336" s="23" t="str">
        <f t="shared" si="109"/>
        <v xml:space="preserve">COM VALOR</v>
      </c>
      <c r="J2336" s="19"/>
      <c r="L2336" s="21">
        <v>58.740000000000002</v>
      </c>
      <c r="M2336" s="22">
        <v>1</v>
      </c>
      <c r="N2336" s="21">
        <v>58.740000000000002</v>
      </c>
      <c r="O2336" s="22">
        <v>1</v>
      </c>
    </row>
    <row r="2337" ht="25.5">
      <c r="A2337" t="s">
        <v>2030</v>
      </c>
      <c r="B2337" s="19">
        <v>95211</v>
      </c>
      <c r="C2337" s="20" t="s">
        <v>2391</v>
      </c>
      <c r="D2337" s="19" t="s">
        <v>2032</v>
      </c>
      <c r="E2337" s="21">
        <f t="shared" si="107"/>
        <v>10.56</v>
      </c>
      <c r="F2337" s="22">
        <v>0.11</v>
      </c>
      <c r="G2337" s="21">
        <f t="shared" si="108"/>
        <v>10.56</v>
      </c>
      <c r="H2337" s="22">
        <v>0.11</v>
      </c>
      <c r="I2337" s="23" t="str">
        <f t="shared" si="109"/>
        <v xml:space="preserve">COM VALOR</v>
      </c>
      <c r="J2337" s="19"/>
      <c r="L2337" s="21">
        <v>10.56</v>
      </c>
      <c r="M2337" s="22">
        <v>0</v>
      </c>
      <c r="N2337" s="21">
        <v>10.56</v>
      </c>
      <c r="O2337" s="22">
        <v>0</v>
      </c>
    </row>
    <row r="2338" ht="25.5">
      <c r="A2338" t="s">
        <v>2030</v>
      </c>
      <c r="B2338" s="19">
        <v>93267</v>
      </c>
      <c r="C2338" s="20" t="s">
        <v>2392</v>
      </c>
      <c r="D2338" s="19" t="s">
        <v>2032</v>
      </c>
      <c r="E2338" s="21">
        <f t="shared" si="107"/>
        <v>26.66</v>
      </c>
      <c r="F2338" s="22">
        <v>0.14999999999999999</v>
      </c>
      <c r="G2338" s="21">
        <f t="shared" si="108"/>
        <v>26.66</v>
      </c>
      <c r="H2338" s="22">
        <v>0.14999999999999999</v>
      </c>
      <c r="I2338" s="23" t="str">
        <f t="shared" si="109"/>
        <v xml:space="preserve">COM VALOR</v>
      </c>
      <c r="J2338" s="19"/>
      <c r="L2338" s="21">
        <v>26.66</v>
      </c>
      <c r="M2338" s="22">
        <v>1</v>
      </c>
      <c r="N2338" s="21">
        <v>26.66</v>
      </c>
      <c r="O2338" s="22">
        <v>1</v>
      </c>
    </row>
    <row r="2339" ht="25.5">
      <c r="A2339" t="s">
        <v>2030</v>
      </c>
      <c r="B2339" s="19">
        <v>93269</v>
      </c>
      <c r="C2339" s="20" t="s">
        <v>2393</v>
      </c>
      <c r="D2339" s="19" t="s">
        <v>2032</v>
      </c>
      <c r="E2339" s="21">
        <f t="shared" si="107"/>
        <v>10</v>
      </c>
      <c r="F2339" s="22">
        <v>0.11</v>
      </c>
      <c r="G2339" s="21">
        <f t="shared" si="108"/>
        <v>10</v>
      </c>
      <c r="H2339" s="22">
        <v>0.11</v>
      </c>
      <c r="I2339" s="23" t="str">
        <f t="shared" si="109"/>
        <v xml:space="preserve">COM VALOR</v>
      </c>
      <c r="J2339" s="19"/>
      <c r="L2339" s="21">
        <v>10</v>
      </c>
      <c r="M2339" s="22">
        <v>1</v>
      </c>
      <c r="N2339" s="21">
        <v>10</v>
      </c>
      <c r="O2339" s="22">
        <v>1</v>
      </c>
    </row>
    <row r="2340" ht="25.5">
      <c r="A2340" t="s">
        <v>2030</v>
      </c>
      <c r="B2340" s="19">
        <v>93270</v>
      </c>
      <c r="C2340" s="20" t="s">
        <v>2394</v>
      </c>
      <c r="D2340" s="19" t="s">
        <v>2032</v>
      </c>
      <c r="E2340" s="21">
        <f t="shared" si="107"/>
        <v>25.920000000000002</v>
      </c>
      <c r="F2340" s="22">
        <v>0</v>
      </c>
      <c r="G2340" s="21">
        <f t="shared" si="108"/>
        <v>25.920000000000002</v>
      </c>
      <c r="H2340" s="22">
        <v>0</v>
      </c>
      <c r="I2340" s="23" t="str">
        <f t="shared" si="109"/>
        <v xml:space="preserve">COM VALOR</v>
      </c>
      <c r="J2340" s="19"/>
      <c r="L2340" s="21">
        <v>25.920000000000002</v>
      </c>
      <c r="M2340" s="22">
        <v>1</v>
      </c>
      <c r="N2340" s="21">
        <v>25.920000000000002</v>
      </c>
      <c r="O2340" s="22">
        <v>1</v>
      </c>
    </row>
    <row r="2341" ht="25.5">
      <c r="A2341" t="s">
        <v>2030</v>
      </c>
      <c r="B2341" s="19">
        <v>93271</v>
      </c>
      <c r="C2341" s="20" t="s">
        <v>2395</v>
      </c>
      <c r="D2341" s="19" t="s">
        <v>2032</v>
      </c>
      <c r="E2341" s="21">
        <f t="shared" si="107"/>
        <v>10.56</v>
      </c>
      <c r="F2341" s="22">
        <v>0</v>
      </c>
      <c r="G2341" s="21">
        <f t="shared" si="108"/>
        <v>10.56</v>
      </c>
      <c r="H2341" s="22">
        <v>0</v>
      </c>
      <c r="I2341" s="23" t="str">
        <f t="shared" si="109"/>
        <v xml:space="preserve">COM VALOR</v>
      </c>
      <c r="J2341" s="19"/>
      <c r="L2341" s="21">
        <v>10.56</v>
      </c>
      <c r="M2341" s="22">
        <v>0</v>
      </c>
      <c r="N2341" s="21">
        <v>10.56</v>
      </c>
      <c r="O2341" s="22">
        <v>0</v>
      </c>
    </row>
    <row r="2342" ht="25.5">
      <c r="A2342" t="s">
        <v>2030</v>
      </c>
      <c r="B2342" s="19">
        <v>95208</v>
      </c>
      <c r="C2342" s="20" t="s">
        <v>2396</v>
      </c>
      <c r="D2342" s="19" t="s">
        <v>2032</v>
      </c>
      <c r="E2342" s="21">
        <f t="shared" si="107"/>
        <v>53.710000000000001</v>
      </c>
      <c r="F2342" s="22">
        <v>0</v>
      </c>
      <c r="G2342" s="21">
        <f t="shared" si="108"/>
        <v>53.710000000000001</v>
      </c>
      <c r="H2342" s="22">
        <v>0</v>
      </c>
      <c r="I2342" s="23" t="str">
        <f t="shared" si="109"/>
        <v xml:space="preserve">COM VALOR</v>
      </c>
      <c r="J2342" s="19"/>
      <c r="L2342" s="21">
        <v>53.710000000000001</v>
      </c>
      <c r="M2342" s="22">
        <v>1</v>
      </c>
      <c r="N2342" s="21">
        <v>53.710000000000001</v>
      </c>
      <c r="O2342" s="22">
        <v>1</v>
      </c>
    </row>
    <row r="2343" ht="38.25">
      <c r="A2343" t="s">
        <v>2030</v>
      </c>
      <c r="B2343" s="19">
        <v>83761</v>
      </c>
      <c r="C2343" s="20" t="s">
        <v>2397</v>
      </c>
      <c r="D2343" s="19" t="s">
        <v>2032</v>
      </c>
      <c r="E2343" s="21">
        <f t="shared" si="107"/>
        <v>10.18</v>
      </c>
      <c r="F2343" s="22">
        <v>0</v>
      </c>
      <c r="G2343" s="21">
        <f t="shared" si="108"/>
        <v>10.18</v>
      </c>
      <c r="H2343" s="22">
        <v>0</v>
      </c>
      <c r="I2343" s="23" t="str">
        <f t="shared" si="109"/>
        <v xml:space="preserve">COM VALOR</v>
      </c>
      <c r="J2343" s="19"/>
      <c r="L2343" s="21">
        <v>10.18</v>
      </c>
      <c r="M2343" s="22">
        <v>0</v>
      </c>
      <c r="N2343" s="21">
        <v>10.18</v>
      </c>
      <c r="O2343" s="22">
        <v>0</v>
      </c>
    </row>
    <row r="2344" ht="38.25">
      <c r="A2344" t="s">
        <v>2030</v>
      </c>
      <c r="B2344" s="19">
        <v>83764</v>
      </c>
      <c r="C2344" s="20" t="s">
        <v>2398</v>
      </c>
      <c r="D2344" s="19" t="s">
        <v>2032</v>
      </c>
      <c r="E2344" s="21">
        <f t="shared" si="107"/>
        <v>3.5899999999999999</v>
      </c>
      <c r="F2344" s="22">
        <v>0</v>
      </c>
      <c r="G2344" s="21">
        <f t="shared" si="108"/>
        <v>3.5899999999999999</v>
      </c>
      <c r="H2344" s="22">
        <v>0</v>
      </c>
      <c r="I2344" s="23" t="str">
        <f t="shared" si="109"/>
        <v xml:space="preserve">COM VALOR</v>
      </c>
      <c r="J2344" s="19"/>
      <c r="L2344" s="21">
        <v>3.5899999999999999</v>
      </c>
      <c r="M2344" s="22">
        <v>0</v>
      </c>
      <c r="N2344" s="21">
        <v>3.5899999999999999</v>
      </c>
      <c r="O2344" s="22">
        <v>0</v>
      </c>
    </row>
    <row r="2345" ht="38.25">
      <c r="A2345" t="s">
        <v>2030</v>
      </c>
      <c r="B2345" s="19">
        <v>83762</v>
      </c>
      <c r="C2345" s="20" t="s">
        <v>2399</v>
      </c>
      <c r="D2345" s="19" t="s">
        <v>2032</v>
      </c>
      <c r="E2345" s="21">
        <f t="shared" si="107"/>
        <v>9.0899999999999999</v>
      </c>
      <c r="F2345" s="22">
        <v>0</v>
      </c>
      <c r="G2345" s="21">
        <f t="shared" si="108"/>
        <v>9.0899999999999999</v>
      </c>
      <c r="H2345" s="22">
        <v>0</v>
      </c>
      <c r="I2345" s="23" t="str">
        <f t="shared" si="109"/>
        <v xml:space="preserve">COM VALOR</v>
      </c>
      <c r="J2345" s="19"/>
      <c r="L2345" s="21">
        <v>9.0899999999999999</v>
      </c>
      <c r="M2345" s="22">
        <v>0</v>
      </c>
      <c r="N2345" s="21">
        <v>9.0899999999999999</v>
      </c>
      <c r="O2345" s="22">
        <v>0</v>
      </c>
    </row>
    <row r="2346" ht="38.25">
      <c r="A2346" t="s">
        <v>2030</v>
      </c>
      <c r="B2346" s="19">
        <v>83763</v>
      </c>
      <c r="C2346" s="20" t="s">
        <v>2400</v>
      </c>
      <c r="D2346" s="19" t="s">
        <v>2032</v>
      </c>
      <c r="E2346" s="21">
        <f t="shared" si="107"/>
        <v>56.960000000000001</v>
      </c>
      <c r="F2346" s="22">
        <v>0</v>
      </c>
      <c r="G2346" s="21">
        <f t="shared" si="108"/>
        <v>56.960000000000001</v>
      </c>
      <c r="H2346" s="22">
        <v>0</v>
      </c>
      <c r="I2346" s="23" t="str">
        <f t="shared" si="109"/>
        <v xml:space="preserve">COM VALOR</v>
      </c>
      <c r="J2346" s="19"/>
      <c r="L2346" s="21">
        <v>56.960000000000001</v>
      </c>
      <c r="M2346" s="22">
        <v>0</v>
      </c>
      <c r="N2346" s="21">
        <v>56.960000000000001</v>
      </c>
      <c r="O2346" s="22">
        <v>0</v>
      </c>
    </row>
    <row r="2347" ht="25.5">
      <c r="A2347" t="s">
        <v>2030</v>
      </c>
      <c r="B2347" s="19">
        <v>95874</v>
      </c>
      <c r="C2347" s="20" t="s">
        <v>2401</v>
      </c>
      <c r="D2347" s="19" t="s">
        <v>2032</v>
      </c>
      <c r="E2347" s="21">
        <f t="shared" si="107"/>
        <v>10.869999999999999</v>
      </c>
      <c r="F2347" s="22">
        <v>0</v>
      </c>
      <c r="G2347" s="21">
        <f t="shared" si="108"/>
        <v>10.869999999999999</v>
      </c>
      <c r="H2347" s="22">
        <v>0</v>
      </c>
      <c r="I2347" s="23" t="str">
        <f t="shared" si="109"/>
        <v xml:space="preserve">COM VALOR</v>
      </c>
      <c r="J2347" s="19"/>
      <c r="L2347" s="21">
        <v>10.869999999999999</v>
      </c>
      <c r="M2347" s="22">
        <v>0</v>
      </c>
      <c r="N2347" s="21">
        <v>10.869999999999999</v>
      </c>
      <c r="O2347" s="22">
        <v>0</v>
      </c>
    </row>
    <row r="2348" ht="25.5">
      <c r="A2348" t="s">
        <v>2030</v>
      </c>
      <c r="B2348" s="19">
        <v>95869</v>
      </c>
      <c r="C2348" s="20" t="s">
        <v>2402</v>
      </c>
      <c r="D2348" s="19" t="s">
        <v>2032</v>
      </c>
      <c r="E2348" s="21">
        <f t="shared" si="107"/>
        <v>3.8300000000000001</v>
      </c>
      <c r="F2348" s="22">
        <v>0</v>
      </c>
      <c r="G2348" s="21">
        <f t="shared" si="108"/>
        <v>3.8300000000000001</v>
      </c>
      <c r="H2348" s="22">
        <v>0</v>
      </c>
      <c r="I2348" s="23" t="str">
        <f t="shared" si="109"/>
        <v xml:space="preserve">COM VALOR</v>
      </c>
      <c r="J2348" s="19"/>
      <c r="L2348" s="21">
        <v>3.8300000000000001</v>
      </c>
      <c r="M2348" s="22">
        <v>0</v>
      </c>
      <c r="N2348" s="21">
        <v>3.8300000000000001</v>
      </c>
      <c r="O2348" s="22">
        <v>0</v>
      </c>
    </row>
    <row r="2349" ht="25.5">
      <c r="A2349" t="s">
        <v>2030</v>
      </c>
      <c r="B2349" s="19">
        <v>95870</v>
      </c>
      <c r="C2349" s="20" t="s">
        <v>2403</v>
      </c>
      <c r="D2349" s="19" t="s">
        <v>2032</v>
      </c>
      <c r="E2349" s="21">
        <f t="shared" si="107"/>
        <v>9.7100000000000009</v>
      </c>
      <c r="F2349" s="22">
        <v>0</v>
      </c>
      <c r="G2349" s="21">
        <f t="shared" si="108"/>
        <v>9.7100000000000009</v>
      </c>
      <c r="H2349" s="22">
        <v>0</v>
      </c>
      <c r="I2349" s="23" t="str">
        <f t="shared" si="109"/>
        <v xml:space="preserve">COM VALOR</v>
      </c>
      <c r="J2349" s="19"/>
      <c r="L2349" s="21">
        <v>9.7100000000000009</v>
      </c>
      <c r="M2349" s="22">
        <v>0</v>
      </c>
      <c r="N2349" s="21">
        <v>9.7100000000000009</v>
      </c>
      <c r="O2349" s="22">
        <v>0</v>
      </c>
    </row>
    <row r="2350" ht="25.5">
      <c r="A2350" t="s">
        <v>2030</v>
      </c>
      <c r="B2350" s="19">
        <v>95871</v>
      </c>
      <c r="C2350" s="20" t="s">
        <v>2404</v>
      </c>
      <c r="D2350" s="19" t="s">
        <v>2032</v>
      </c>
      <c r="E2350" s="21">
        <f t="shared" si="107"/>
        <v>309.88999999999999</v>
      </c>
      <c r="F2350" s="22">
        <v>0</v>
      </c>
      <c r="G2350" s="21">
        <f t="shared" si="108"/>
        <v>309.88999999999999</v>
      </c>
      <c r="H2350" s="22">
        <v>0</v>
      </c>
      <c r="I2350" s="23" t="str">
        <f t="shared" si="109"/>
        <v xml:space="preserve">COM VALOR</v>
      </c>
      <c r="J2350" s="19"/>
      <c r="L2350" s="21">
        <v>309.88999999999999</v>
      </c>
      <c r="M2350" s="22">
        <v>0</v>
      </c>
      <c r="N2350" s="21">
        <v>309.88999999999999</v>
      </c>
      <c r="O2350" s="22">
        <v>0</v>
      </c>
    </row>
    <row r="2351" ht="38.25">
      <c r="A2351" t="s">
        <v>2030</v>
      </c>
      <c r="B2351" s="19">
        <v>104684</v>
      </c>
      <c r="C2351" s="20" t="s">
        <v>2405</v>
      </c>
      <c r="D2351" s="19" t="s">
        <v>2032</v>
      </c>
      <c r="E2351" s="21" t="str">
        <f t="shared" si="107"/>
        <v>VERIFICAR</v>
      </c>
      <c r="F2351" s="22">
        <v>0</v>
      </c>
      <c r="G2351" s="21" t="str">
        <f t="shared" si="108"/>
        <v>VERIFICAR</v>
      </c>
      <c r="H2351" s="22">
        <v>0</v>
      </c>
      <c r="I2351" s="23" t="str">
        <f t="shared" si="109"/>
        <v xml:space="preserve">COM VALOR</v>
      </c>
      <c r="J2351" s="19"/>
      <c r="L2351" s="21">
        <v>0</v>
      </c>
      <c r="M2351" s="22"/>
      <c r="N2351" s="21">
        <v>0</v>
      </c>
      <c r="O2351" s="22"/>
    </row>
    <row r="2352" ht="38.25">
      <c r="A2352" t="s">
        <v>2030</v>
      </c>
      <c r="B2352" s="19">
        <v>104685</v>
      </c>
      <c r="C2352" s="20" t="s">
        <v>2406</v>
      </c>
      <c r="D2352" s="19" t="s">
        <v>2032</v>
      </c>
      <c r="E2352" s="21" t="str">
        <f t="shared" si="107"/>
        <v>VERIFICAR</v>
      </c>
      <c r="F2352" s="22">
        <v>0</v>
      </c>
      <c r="G2352" s="21" t="str">
        <f t="shared" si="108"/>
        <v>VERIFICAR</v>
      </c>
      <c r="H2352" s="22">
        <v>0</v>
      </c>
      <c r="I2352" s="23" t="str">
        <f t="shared" si="109"/>
        <v xml:space="preserve">COM VALOR</v>
      </c>
      <c r="J2352" s="19"/>
      <c r="L2352" s="21">
        <v>0</v>
      </c>
      <c r="M2352" s="22"/>
      <c r="N2352" s="21">
        <v>0</v>
      </c>
      <c r="O2352" s="22"/>
    </row>
    <row r="2353" ht="38.25">
      <c r="A2353" t="s">
        <v>2030</v>
      </c>
      <c r="B2353" s="19">
        <v>104686</v>
      </c>
      <c r="C2353" s="20" t="s">
        <v>2407</v>
      </c>
      <c r="D2353" s="19" t="s">
        <v>2032</v>
      </c>
      <c r="E2353" s="21" t="str">
        <f t="shared" si="107"/>
        <v>VERIFICAR</v>
      </c>
      <c r="F2353" s="22">
        <v>0</v>
      </c>
      <c r="G2353" s="21" t="str">
        <f t="shared" si="108"/>
        <v>VERIFICAR</v>
      </c>
      <c r="H2353" s="22">
        <v>0</v>
      </c>
      <c r="I2353" s="23" t="str">
        <f t="shared" si="109"/>
        <v xml:space="preserve">COM VALOR</v>
      </c>
      <c r="J2353" s="19"/>
      <c r="L2353" s="21">
        <v>0</v>
      </c>
      <c r="M2353" s="22"/>
      <c r="N2353" s="21">
        <v>0</v>
      </c>
      <c r="O2353" s="22"/>
    </row>
    <row r="2354" ht="38.25">
      <c r="A2354" t="s">
        <v>2030</v>
      </c>
      <c r="B2354" s="19">
        <v>104687</v>
      </c>
      <c r="C2354" s="20" t="s">
        <v>2408</v>
      </c>
      <c r="D2354" s="19" t="s">
        <v>2032</v>
      </c>
      <c r="E2354" s="21">
        <f t="shared" si="107"/>
        <v>510.06</v>
      </c>
      <c r="F2354" s="22">
        <v>0</v>
      </c>
      <c r="G2354" s="21">
        <f t="shared" si="108"/>
        <v>510.06</v>
      </c>
      <c r="H2354" s="22">
        <v>0</v>
      </c>
      <c r="I2354" s="23" t="str">
        <f t="shared" si="109"/>
        <v xml:space="preserve">COM VALOR</v>
      </c>
      <c r="J2354" s="19"/>
      <c r="L2354" s="21">
        <v>510.06</v>
      </c>
      <c r="M2354" s="22">
        <v>0</v>
      </c>
      <c r="N2354" s="21">
        <v>510.06</v>
      </c>
      <c r="O2354" s="22">
        <v>0</v>
      </c>
    </row>
    <row r="2355" ht="25.5">
      <c r="A2355" t="s">
        <v>2030</v>
      </c>
      <c r="B2355" s="19">
        <v>73303</v>
      </c>
      <c r="C2355" s="20" t="s">
        <v>2409</v>
      </c>
      <c r="D2355" s="19" t="s">
        <v>2032</v>
      </c>
      <c r="E2355" s="21">
        <f t="shared" si="107"/>
        <v>7.6399999999999997</v>
      </c>
      <c r="F2355" s="22">
        <v>0</v>
      </c>
      <c r="G2355" s="21">
        <f t="shared" si="108"/>
        <v>7.6399999999999997</v>
      </c>
      <c r="H2355" s="22">
        <v>0</v>
      </c>
      <c r="I2355" s="23" t="str">
        <f t="shared" si="109"/>
        <v xml:space="preserve">COM VALOR</v>
      </c>
      <c r="J2355" s="19"/>
      <c r="L2355" s="21">
        <v>7.6399999999999997</v>
      </c>
      <c r="M2355" s="22">
        <v>0</v>
      </c>
      <c r="N2355" s="21">
        <v>7.6399999999999997</v>
      </c>
      <c r="O2355" s="22">
        <v>0</v>
      </c>
    </row>
    <row r="2356" ht="25.5">
      <c r="A2356" t="s">
        <v>2030</v>
      </c>
      <c r="B2356" s="19">
        <v>93235</v>
      </c>
      <c r="C2356" s="20" t="s">
        <v>2410</v>
      </c>
      <c r="D2356" s="19" t="s">
        <v>2032</v>
      </c>
      <c r="E2356" s="21">
        <f t="shared" si="107"/>
        <v>2.6899999999999999</v>
      </c>
      <c r="F2356" s="22">
        <v>0</v>
      </c>
      <c r="G2356" s="21">
        <f t="shared" si="108"/>
        <v>2.6899999999999999</v>
      </c>
      <c r="H2356" s="22">
        <v>0</v>
      </c>
      <c r="I2356" s="23" t="str">
        <f t="shared" si="109"/>
        <v xml:space="preserve">COM VALOR</v>
      </c>
      <c r="J2356" s="19"/>
      <c r="L2356" s="21">
        <v>2.6899999999999999</v>
      </c>
      <c r="M2356" s="22">
        <v>0</v>
      </c>
      <c r="N2356" s="21">
        <v>2.6899999999999999</v>
      </c>
      <c r="O2356" s="22">
        <v>0</v>
      </c>
    </row>
    <row r="2357" ht="25.5">
      <c r="A2357" t="s">
        <v>2030</v>
      </c>
      <c r="B2357" s="19">
        <v>73307</v>
      </c>
      <c r="C2357" s="20" t="s">
        <v>2411</v>
      </c>
      <c r="D2357" s="19" t="s">
        <v>2032</v>
      </c>
      <c r="E2357" s="21">
        <f t="shared" si="107"/>
        <v>6.8200000000000003</v>
      </c>
      <c r="F2357" s="22">
        <v>0</v>
      </c>
      <c r="G2357" s="21">
        <f t="shared" si="108"/>
        <v>6.8200000000000003</v>
      </c>
      <c r="H2357" s="22">
        <v>0</v>
      </c>
      <c r="I2357" s="23" t="str">
        <f t="shared" si="109"/>
        <v xml:space="preserve">COM VALOR</v>
      </c>
      <c r="J2357" s="19"/>
      <c r="L2357" s="21">
        <v>6.8200000000000003</v>
      </c>
      <c r="M2357" s="22">
        <v>0</v>
      </c>
      <c r="N2357" s="21">
        <v>6.8200000000000003</v>
      </c>
      <c r="O2357" s="22">
        <v>0</v>
      </c>
    </row>
    <row r="2358" ht="25.5">
      <c r="A2358" t="s">
        <v>2030</v>
      </c>
      <c r="B2358" s="19">
        <v>73311</v>
      </c>
      <c r="C2358" s="20" t="s">
        <v>2412</v>
      </c>
      <c r="D2358" s="19" t="s">
        <v>2032</v>
      </c>
      <c r="E2358" s="21">
        <f t="shared" si="107"/>
        <v>202.13</v>
      </c>
      <c r="F2358" s="22">
        <v>0</v>
      </c>
      <c r="G2358" s="21">
        <f t="shared" si="108"/>
        <v>202.13</v>
      </c>
      <c r="H2358" s="22">
        <v>0</v>
      </c>
      <c r="I2358" s="23" t="str">
        <f t="shared" si="109"/>
        <v xml:space="preserve">COM VALOR</v>
      </c>
      <c r="J2358" s="19"/>
      <c r="L2358" s="21">
        <v>202.13</v>
      </c>
      <c r="M2358" s="22">
        <v>0</v>
      </c>
      <c r="N2358" s="21">
        <v>202.13</v>
      </c>
      <c r="O2358" s="22">
        <v>0</v>
      </c>
    </row>
    <row r="2359" ht="25.5">
      <c r="A2359" t="s">
        <v>2030</v>
      </c>
      <c r="B2359" s="19">
        <v>93423</v>
      </c>
      <c r="C2359" s="20" t="s">
        <v>2413</v>
      </c>
      <c r="D2359" s="19" t="s">
        <v>2032</v>
      </c>
      <c r="E2359" s="21">
        <f t="shared" si="107"/>
        <v>6.7999999999999998</v>
      </c>
      <c r="F2359" s="22">
        <v>0</v>
      </c>
      <c r="G2359" s="21">
        <f t="shared" si="108"/>
        <v>6.7999999999999998</v>
      </c>
      <c r="H2359" s="22">
        <v>0</v>
      </c>
      <c r="I2359" s="23" t="str">
        <f t="shared" si="109"/>
        <v xml:space="preserve">COM VALOR</v>
      </c>
      <c r="J2359" s="19"/>
      <c r="L2359" s="21">
        <v>6.7999999999999998</v>
      </c>
      <c r="M2359" s="22">
        <v>0</v>
      </c>
      <c r="N2359" s="21">
        <v>6.7999999999999998</v>
      </c>
      <c r="O2359" s="22">
        <v>0</v>
      </c>
    </row>
    <row r="2360" ht="25.5">
      <c r="A2360" t="s">
        <v>2030</v>
      </c>
      <c r="B2360" s="19">
        <v>93424</v>
      </c>
      <c r="C2360" s="20" t="s">
        <v>2414</v>
      </c>
      <c r="D2360" s="19" t="s">
        <v>2032</v>
      </c>
      <c r="E2360" s="21">
        <f t="shared" si="107"/>
        <v>2.3900000000000001</v>
      </c>
      <c r="F2360" s="22">
        <v>0</v>
      </c>
      <c r="G2360" s="21">
        <f t="shared" si="108"/>
        <v>2.3900000000000001</v>
      </c>
      <c r="H2360" s="22">
        <v>0</v>
      </c>
      <c r="I2360" s="23" t="str">
        <f t="shared" si="109"/>
        <v xml:space="preserve">COM VALOR</v>
      </c>
      <c r="J2360" s="19"/>
      <c r="L2360" s="21">
        <v>2.3900000000000001</v>
      </c>
      <c r="M2360" s="22">
        <v>0</v>
      </c>
      <c r="N2360" s="21">
        <v>2.3900000000000001</v>
      </c>
      <c r="O2360" s="22">
        <v>0</v>
      </c>
    </row>
    <row r="2361" ht="25.5">
      <c r="A2361" t="s">
        <v>2030</v>
      </c>
      <c r="B2361" s="19">
        <v>93425</v>
      </c>
      <c r="C2361" s="20" t="s">
        <v>2415</v>
      </c>
      <c r="D2361" s="19" t="s">
        <v>2032</v>
      </c>
      <c r="E2361" s="21">
        <f t="shared" si="107"/>
        <v>6.0700000000000003</v>
      </c>
      <c r="F2361" s="22">
        <v>0</v>
      </c>
      <c r="G2361" s="21">
        <f t="shared" si="108"/>
        <v>6.0700000000000003</v>
      </c>
      <c r="H2361" s="22">
        <v>0</v>
      </c>
      <c r="I2361" s="23" t="str">
        <f t="shared" si="109"/>
        <v xml:space="preserve">COM VALOR</v>
      </c>
      <c r="J2361" s="19"/>
      <c r="L2361" s="21">
        <v>6.0700000000000003</v>
      </c>
      <c r="M2361" s="22">
        <v>0</v>
      </c>
      <c r="N2361" s="21">
        <v>6.0700000000000003</v>
      </c>
      <c r="O2361" s="22">
        <v>0</v>
      </c>
    </row>
    <row r="2362" ht="25.5">
      <c r="A2362" t="s">
        <v>2030</v>
      </c>
      <c r="B2362" s="19">
        <v>93426</v>
      </c>
      <c r="C2362" s="20" t="s">
        <v>2416</v>
      </c>
      <c r="D2362" s="19" t="s">
        <v>2032</v>
      </c>
      <c r="E2362" s="21">
        <f t="shared" si="107"/>
        <v>181.90000000000001</v>
      </c>
      <c r="F2362" s="22">
        <v>0</v>
      </c>
      <c r="G2362" s="21">
        <f t="shared" si="108"/>
        <v>181.90000000000001</v>
      </c>
      <c r="H2362" s="22">
        <v>0</v>
      </c>
      <c r="I2362" s="23" t="str">
        <f t="shared" si="109"/>
        <v xml:space="preserve">COM VALOR</v>
      </c>
      <c r="J2362" s="19"/>
      <c r="L2362" s="21">
        <v>181.90000000000001</v>
      </c>
      <c r="M2362" s="22">
        <v>0</v>
      </c>
      <c r="N2362" s="21">
        <v>181.90000000000001</v>
      </c>
      <c r="O2362" s="22">
        <v>0</v>
      </c>
    </row>
    <row r="2363" ht="25.5">
      <c r="A2363" t="s">
        <v>2030</v>
      </c>
      <c r="B2363" s="19">
        <v>93417</v>
      </c>
      <c r="C2363" s="20" t="s">
        <v>2417</v>
      </c>
      <c r="D2363" s="19" t="s">
        <v>2032</v>
      </c>
      <c r="E2363" s="21">
        <f t="shared" si="107"/>
        <v>4.8099999999999996</v>
      </c>
      <c r="F2363" s="22">
        <v>0</v>
      </c>
      <c r="G2363" s="21">
        <f t="shared" si="108"/>
        <v>4.8099999999999996</v>
      </c>
      <c r="H2363" s="22">
        <v>0</v>
      </c>
      <c r="I2363" s="23" t="str">
        <f t="shared" si="109"/>
        <v xml:space="preserve">COM VALOR</v>
      </c>
      <c r="J2363" s="19"/>
      <c r="L2363" s="21">
        <v>4.8099999999999996</v>
      </c>
      <c r="M2363" s="22">
        <v>0</v>
      </c>
      <c r="N2363" s="21">
        <v>4.8099999999999996</v>
      </c>
      <c r="O2363" s="22">
        <v>0</v>
      </c>
    </row>
    <row r="2364" ht="25.5">
      <c r="A2364" t="s">
        <v>2030</v>
      </c>
      <c r="B2364" s="19">
        <v>93418</v>
      </c>
      <c r="C2364" s="20" t="s">
        <v>2418</v>
      </c>
      <c r="D2364" s="19" t="s">
        <v>2032</v>
      </c>
      <c r="E2364" s="21">
        <f t="shared" si="107"/>
        <v>1.6899999999999999</v>
      </c>
      <c r="F2364" s="22">
        <v>0</v>
      </c>
      <c r="G2364" s="21">
        <f t="shared" si="108"/>
        <v>1.6899999999999999</v>
      </c>
      <c r="H2364" s="22">
        <v>0</v>
      </c>
      <c r="I2364" s="23" t="str">
        <f t="shared" si="109"/>
        <v xml:space="preserve">COM VALOR</v>
      </c>
      <c r="J2364" s="19"/>
      <c r="L2364" s="21">
        <v>1.6899999999999999</v>
      </c>
      <c r="M2364" s="22">
        <v>0</v>
      </c>
      <c r="N2364" s="21">
        <v>1.6899999999999999</v>
      </c>
      <c r="O2364" s="22">
        <v>0</v>
      </c>
    </row>
    <row r="2365" ht="25.5">
      <c r="A2365" t="s">
        <v>2030</v>
      </c>
      <c r="B2365" s="19">
        <v>93419</v>
      </c>
      <c r="C2365" s="20" t="s">
        <v>2419</v>
      </c>
      <c r="D2365" s="19" t="s">
        <v>2032</v>
      </c>
      <c r="E2365" s="21">
        <f t="shared" si="107"/>
        <v>4.29</v>
      </c>
      <c r="F2365" s="22"/>
      <c r="G2365" s="21">
        <f t="shared" si="108"/>
        <v>4.29</v>
      </c>
      <c r="H2365" s="22"/>
      <c r="I2365" s="23" t="str">
        <f t="shared" si="109"/>
        <v xml:space="preserve">COM VALOR</v>
      </c>
      <c r="J2365" s="19"/>
      <c r="L2365" s="21">
        <v>4.29</v>
      </c>
      <c r="M2365" s="22">
        <v>0</v>
      </c>
      <c r="N2365" s="21">
        <v>4.29</v>
      </c>
      <c r="O2365" s="22">
        <v>0</v>
      </c>
    </row>
    <row r="2366" ht="25.5">
      <c r="A2366" t="s">
        <v>2030</v>
      </c>
      <c r="B2366" s="19">
        <v>93420</v>
      </c>
      <c r="C2366" s="20" t="s">
        <v>2420</v>
      </c>
      <c r="D2366" s="19" t="s">
        <v>2032</v>
      </c>
      <c r="E2366" s="21">
        <f t="shared" si="107"/>
        <v>76.109999999999999</v>
      </c>
      <c r="F2366" s="22"/>
      <c r="G2366" s="21">
        <f t="shared" si="108"/>
        <v>76.109999999999999</v>
      </c>
      <c r="H2366" s="22"/>
      <c r="I2366" s="23" t="str">
        <f t="shared" si="109"/>
        <v xml:space="preserve">COM VALOR</v>
      </c>
      <c r="J2366" s="19"/>
      <c r="L2366" s="21">
        <v>76.109999999999999</v>
      </c>
      <c r="M2366" s="22">
        <v>0</v>
      </c>
      <c r="N2366" s="21">
        <v>76.109999999999999</v>
      </c>
      <c r="O2366" s="22">
        <v>0</v>
      </c>
    </row>
    <row r="2367" ht="25.5">
      <c r="A2367" t="s">
        <v>2030</v>
      </c>
      <c r="B2367" s="19">
        <v>93277</v>
      </c>
      <c r="C2367" s="20" t="s">
        <v>2421</v>
      </c>
      <c r="D2367" s="19" t="s">
        <v>2032</v>
      </c>
      <c r="E2367" s="21">
        <f t="shared" si="107"/>
        <v>0.25</v>
      </c>
      <c r="F2367" s="22"/>
      <c r="G2367" s="21">
        <f t="shared" si="108"/>
        <v>0.25</v>
      </c>
      <c r="H2367" s="22"/>
      <c r="I2367" s="23" t="str">
        <f t="shared" si="109"/>
        <v xml:space="preserve">COM VALOR</v>
      </c>
      <c r="J2367" s="19"/>
      <c r="L2367" s="21">
        <v>0.25</v>
      </c>
      <c r="M2367" s="22">
        <v>0</v>
      </c>
      <c r="N2367" s="21">
        <v>0.25</v>
      </c>
      <c r="O2367" s="22">
        <v>0</v>
      </c>
    </row>
    <row r="2368" ht="25.5">
      <c r="A2368" t="s">
        <v>2030</v>
      </c>
      <c r="B2368" s="19">
        <v>93278</v>
      </c>
      <c r="C2368" s="20" t="s">
        <v>2422</v>
      </c>
      <c r="D2368" s="19" t="s">
        <v>2032</v>
      </c>
      <c r="E2368" s="21">
        <f t="shared" si="107"/>
        <v>5.0000000000000003e-002</v>
      </c>
      <c r="F2368" s="22">
        <v>0</v>
      </c>
      <c r="G2368" s="21">
        <f t="shared" si="108"/>
        <v>5.0000000000000003e-002</v>
      </c>
      <c r="H2368" s="22">
        <v>0</v>
      </c>
      <c r="I2368" s="23" t="str">
        <f t="shared" si="109"/>
        <v xml:space="preserve">COM VALOR</v>
      </c>
      <c r="J2368" s="19"/>
      <c r="L2368" s="21">
        <v>5.0000000000000003e-002</v>
      </c>
      <c r="M2368" s="22">
        <v>0</v>
      </c>
      <c r="N2368" s="21">
        <v>5.0000000000000003e-002</v>
      </c>
      <c r="O2368" s="22">
        <v>0</v>
      </c>
    </row>
    <row r="2369" ht="25.5">
      <c r="A2369" t="s">
        <v>2030</v>
      </c>
      <c r="B2369" s="19">
        <v>93279</v>
      </c>
      <c r="C2369" s="20" t="s">
        <v>2423</v>
      </c>
      <c r="D2369" s="19" t="s">
        <v>2032</v>
      </c>
      <c r="E2369" s="21">
        <f t="shared" si="107"/>
        <v>0.23000000000000001</v>
      </c>
      <c r="F2369" s="22">
        <v>0</v>
      </c>
      <c r="G2369" s="21">
        <f t="shared" si="108"/>
        <v>0.23000000000000001</v>
      </c>
      <c r="H2369" s="22">
        <v>0</v>
      </c>
      <c r="I2369" s="23" t="str">
        <f t="shared" si="109"/>
        <v xml:space="preserve">COM VALOR</v>
      </c>
      <c r="J2369" s="19"/>
      <c r="L2369" s="21">
        <v>0.23000000000000001</v>
      </c>
      <c r="M2369" s="22">
        <v>0</v>
      </c>
      <c r="N2369" s="21">
        <v>0.23000000000000001</v>
      </c>
      <c r="O2369" s="22">
        <v>0</v>
      </c>
    </row>
    <row r="2370" ht="25.5">
      <c r="A2370" t="s">
        <v>2030</v>
      </c>
      <c r="B2370" s="19">
        <v>93280</v>
      </c>
      <c r="C2370" s="20" t="s">
        <v>2424</v>
      </c>
      <c r="D2370" s="19" t="s">
        <v>2032</v>
      </c>
      <c r="E2370" s="21">
        <f t="shared" si="107"/>
        <v>0.88</v>
      </c>
      <c r="F2370" s="22">
        <v>0</v>
      </c>
      <c r="G2370" s="21">
        <f t="shared" si="108"/>
        <v>0.88</v>
      </c>
      <c r="H2370" s="22">
        <v>0</v>
      </c>
      <c r="I2370" s="23" t="str">
        <f t="shared" si="109"/>
        <v xml:space="preserve">COM VALOR</v>
      </c>
      <c r="J2370" s="19"/>
      <c r="L2370" s="21">
        <v>0.88</v>
      </c>
      <c r="M2370" s="22">
        <v>0</v>
      </c>
      <c r="N2370" s="21">
        <v>0.88</v>
      </c>
      <c r="O2370" s="22">
        <v>0</v>
      </c>
    </row>
    <row r="2371" ht="25.5">
      <c r="A2371" t="s">
        <v>2030</v>
      </c>
      <c r="B2371" s="19">
        <v>104909</v>
      </c>
      <c r="C2371" s="20" t="s">
        <v>2425</v>
      </c>
      <c r="D2371" s="19" t="s">
        <v>2032</v>
      </c>
      <c r="E2371" s="21" t="str">
        <f t="shared" si="107"/>
        <v>VERIFICAR</v>
      </c>
      <c r="F2371" s="22">
        <v>0</v>
      </c>
      <c r="G2371" s="21" t="str">
        <f t="shared" si="108"/>
        <v>VERIFICAR</v>
      </c>
      <c r="H2371" s="22">
        <v>0</v>
      </c>
      <c r="I2371" s="23" t="str">
        <f t="shared" si="109"/>
        <v xml:space="preserve">COM VALOR</v>
      </c>
      <c r="J2371" s="19"/>
      <c r="L2371" s="21">
        <v>0</v>
      </c>
      <c r="M2371" s="22"/>
      <c r="N2371" s="21">
        <v>0</v>
      </c>
      <c r="O2371" s="22"/>
    </row>
    <row r="2372" ht="25.5">
      <c r="A2372" t="s">
        <v>2030</v>
      </c>
      <c r="B2372" s="19">
        <v>104910</v>
      </c>
      <c r="C2372" s="20" t="s">
        <v>2426</v>
      </c>
      <c r="D2372" s="19" t="s">
        <v>2032</v>
      </c>
      <c r="E2372" s="21" t="str">
        <f t="shared" si="107"/>
        <v>VERIFICAR</v>
      </c>
      <c r="F2372" s="22">
        <v>0</v>
      </c>
      <c r="G2372" s="21" t="str">
        <f t="shared" si="108"/>
        <v>VERIFICAR</v>
      </c>
      <c r="H2372" s="22">
        <v>0</v>
      </c>
      <c r="I2372" s="23" t="str">
        <f t="shared" si="109"/>
        <v xml:space="preserve">COM VALOR</v>
      </c>
      <c r="J2372" s="19"/>
      <c r="L2372" s="21">
        <v>0</v>
      </c>
      <c r="M2372" s="22"/>
      <c r="N2372" s="21">
        <v>0</v>
      </c>
      <c r="O2372" s="22"/>
    </row>
    <row r="2373" ht="25.5">
      <c r="A2373" t="s">
        <v>2030</v>
      </c>
      <c r="B2373" s="19">
        <v>104911</v>
      </c>
      <c r="C2373" s="20" t="s">
        <v>2427</v>
      </c>
      <c r="D2373" s="19" t="s">
        <v>2032</v>
      </c>
      <c r="E2373" s="21" t="str">
        <f t="shared" si="107"/>
        <v>VERIFICAR</v>
      </c>
      <c r="F2373" s="22">
        <v>0</v>
      </c>
      <c r="G2373" s="21" t="str">
        <f t="shared" si="108"/>
        <v>VERIFICAR</v>
      </c>
      <c r="H2373" s="22">
        <v>0</v>
      </c>
      <c r="I2373" s="23" t="str">
        <f t="shared" si="109"/>
        <v xml:space="preserve">COM VALOR</v>
      </c>
      <c r="J2373" s="19"/>
      <c r="L2373" s="21">
        <v>0</v>
      </c>
      <c r="M2373" s="22"/>
      <c r="N2373" s="21">
        <v>0</v>
      </c>
      <c r="O2373" s="22"/>
    </row>
    <row r="2374" ht="25.5">
      <c r="A2374" t="s">
        <v>2030</v>
      </c>
      <c r="B2374" s="19">
        <v>104912</v>
      </c>
      <c r="C2374" s="20" t="s">
        <v>2428</v>
      </c>
      <c r="D2374" s="19" t="s">
        <v>2032</v>
      </c>
      <c r="E2374" s="21">
        <f t="shared" si="107"/>
        <v>43.219999999999999</v>
      </c>
      <c r="F2374" s="22">
        <v>0</v>
      </c>
      <c r="G2374" s="21">
        <f t="shared" si="108"/>
        <v>43.219999999999999</v>
      </c>
      <c r="H2374" s="22">
        <v>0</v>
      </c>
      <c r="I2374" s="23" t="str">
        <f t="shared" si="109"/>
        <v xml:space="preserve">COM VALOR</v>
      </c>
      <c r="J2374" s="19"/>
      <c r="L2374" s="21">
        <v>43.219999999999999</v>
      </c>
      <c r="M2374" s="22">
        <v>0</v>
      </c>
      <c r="N2374" s="21">
        <v>43.219999999999999</v>
      </c>
      <c r="O2374" s="22">
        <v>0</v>
      </c>
    </row>
    <row r="2375" ht="38.25">
      <c r="A2375" t="s">
        <v>2030</v>
      </c>
      <c r="B2375" s="19">
        <v>102840</v>
      </c>
      <c r="C2375" s="20" t="s">
        <v>2429</v>
      </c>
      <c r="D2375" s="19" t="s">
        <v>2032</v>
      </c>
      <c r="E2375" s="21" t="str">
        <f t="shared" si="107"/>
        <v>VERIFICAR</v>
      </c>
      <c r="F2375" s="22">
        <v>0</v>
      </c>
      <c r="G2375" s="21" t="str">
        <f t="shared" si="108"/>
        <v>VERIFICAR</v>
      </c>
      <c r="H2375" s="22">
        <v>0</v>
      </c>
      <c r="I2375" s="23" t="str">
        <f t="shared" si="109"/>
        <v xml:space="preserve">COM VALOR</v>
      </c>
      <c r="J2375" s="19"/>
      <c r="L2375" s="21">
        <v>0</v>
      </c>
      <c r="M2375" s="22"/>
      <c r="N2375" s="21">
        <v>0</v>
      </c>
      <c r="O2375" s="22"/>
    </row>
    <row r="2376" ht="38.25">
      <c r="A2376" t="s">
        <v>2030</v>
      </c>
      <c r="B2376" s="19">
        <v>102841</v>
      </c>
      <c r="C2376" s="20" t="s">
        <v>2430</v>
      </c>
      <c r="D2376" s="19" t="s">
        <v>2032</v>
      </c>
      <c r="E2376" s="21" t="str">
        <f t="shared" si="107"/>
        <v>VERIFICAR</v>
      </c>
      <c r="F2376" s="22">
        <v>0</v>
      </c>
      <c r="G2376" s="21" t="str">
        <f t="shared" si="108"/>
        <v>VERIFICAR</v>
      </c>
      <c r="H2376" s="22">
        <v>0</v>
      </c>
      <c r="I2376" s="23" t="str">
        <f t="shared" si="109"/>
        <v xml:space="preserve">COM VALOR</v>
      </c>
      <c r="J2376" s="19"/>
      <c r="L2376" s="21">
        <v>0</v>
      </c>
      <c r="M2376" s="22"/>
      <c r="N2376" s="21">
        <v>0</v>
      </c>
      <c r="O2376" s="22"/>
    </row>
    <row r="2377" ht="38.25">
      <c r="A2377" t="s">
        <v>2030</v>
      </c>
      <c r="B2377" s="19">
        <v>102842</v>
      </c>
      <c r="C2377" s="20" t="s">
        <v>2431</v>
      </c>
      <c r="D2377" s="19" t="s">
        <v>2032</v>
      </c>
      <c r="E2377" s="21" t="str">
        <f t="shared" si="107"/>
        <v>VERIFICAR</v>
      </c>
      <c r="F2377" s="22">
        <v>0</v>
      </c>
      <c r="G2377" s="21" t="str">
        <f t="shared" si="108"/>
        <v>VERIFICAR</v>
      </c>
      <c r="H2377" s="22">
        <v>0</v>
      </c>
      <c r="I2377" s="23" t="str">
        <f t="shared" si="109"/>
        <v xml:space="preserve">COM VALOR</v>
      </c>
      <c r="J2377" s="19"/>
      <c r="L2377" s="21">
        <v>0</v>
      </c>
      <c r="M2377" s="22"/>
      <c r="N2377" s="21">
        <v>0</v>
      </c>
      <c r="O2377" s="22"/>
    </row>
    <row r="2378" ht="38.25">
      <c r="A2378" t="s">
        <v>2030</v>
      </c>
      <c r="B2378" s="19">
        <v>102843</v>
      </c>
      <c r="C2378" s="20" t="s">
        <v>2432</v>
      </c>
      <c r="D2378" s="19" t="s">
        <v>2032</v>
      </c>
      <c r="E2378" s="21">
        <f t="shared" si="107"/>
        <v>152.77000000000001</v>
      </c>
      <c r="F2378" s="22">
        <v>0</v>
      </c>
      <c r="G2378" s="21">
        <f t="shared" si="108"/>
        <v>152.77000000000001</v>
      </c>
      <c r="H2378" s="22">
        <v>0</v>
      </c>
      <c r="I2378" s="23" t="str">
        <f t="shared" si="109"/>
        <v xml:space="preserve">COM VALOR</v>
      </c>
      <c r="J2378" s="19"/>
      <c r="L2378" s="21">
        <v>152.77000000000001</v>
      </c>
      <c r="M2378" s="22">
        <v>0</v>
      </c>
      <c r="N2378" s="21">
        <v>152.77000000000001</v>
      </c>
      <c r="O2378" s="22">
        <v>0</v>
      </c>
    </row>
    <row r="2379" ht="38.25">
      <c r="A2379" t="s">
        <v>2030</v>
      </c>
      <c r="B2379" s="19">
        <v>89267</v>
      </c>
      <c r="C2379" s="20" t="s">
        <v>2433</v>
      </c>
      <c r="D2379" s="19" t="s">
        <v>2032</v>
      </c>
      <c r="E2379" s="21">
        <f t="shared" ref="E2379:E2442" si="110">IF(L2379=0,"VERIFICAR",L2379)</f>
        <v>51.810000000000002</v>
      </c>
      <c r="F2379" s="22">
        <v>0</v>
      </c>
      <c r="G2379" s="21">
        <f t="shared" ref="G2379:G2442" si="111">IF(N2379=0,"VERIFICAR",N2379)</f>
        <v>51.810000000000002</v>
      </c>
      <c r="H2379" s="22">
        <v>0</v>
      </c>
      <c r="I2379" s="23" t="str">
        <f t="shared" ref="I2379:I2442" si="112">IF(OR(E2379=0,G2379=0),"SEM VALOR","COM VALOR")</f>
        <v xml:space="preserve">COM VALOR</v>
      </c>
      <c r="J2379" s="19"/>
      <c r="L2379" s="21">
        <v>51.810000000000002</v>
      </c>
      <c r="M2379" s="22">
        <v>1</v>
      </c>
      <c r="N2379" s="21">
        <v>51.810000000000002</v>
      </c>
      <c r="O2379" s="22">
        <v>1</v>
      </c>
    </row>
    <row r="2380" ht="38.25">
      <c r="A2380" t="s">
        <v>2030</v>
      </c>
      <c r="B2380" s="19">
        <v>89269</v>
      </c>
      <c r="C2380" s="20" t="s">
        <v>2434</v>
      </c>
      <c r="D2380" s="19" t="s">
        <v>2032</v>
      </c>
      <c r="E2380" s="21">
        <f t="shared" si="110"/>
        <v>7.3799999999999999</v>
      </c>
      <c r="F2380" s="22">
        <v>0</v>
      </c>
      <c r="G2380" s="21">
        <f t="shared" si="111"/>
        <v>7.3799999999999999</v>
      </c>
      <c r="H2380" s="22">
        <v>0</v>
      </c>
      <c r="I2380" s="23" t="str">
        <f t="shared" si="112"/>
        <v xml:space="preserve">COM VALOR</v>
      </c>
      <c r="J2380" s="19"/>
      <c r="L2380" s="21">
        <v>7.3799999999999999</v>
      </c>
      <c r="M2380" s="22">
        <v>1</v>
      </c>
      <c r="N2380" s="21">
        <v>7.3799999999999999</v>
      </c>
      <c r="O2380" s="22">
        <v>1</v>
      </c>
    </row>
    <row r="2381" ht="38.25">
      <c r="A2381" t="s">
        <v>2030</v>
      </c>
      <c r="B2381" s="19">
        <v>89268</v>
      </c>
      <c r="C2381" s="20" t="s">
        <v>2435</v>
      </c>
      <c r="D2381" s="19" t="s">
        <v>2032</v>
      </c>
      <c r="E2381" s="21">
        <f t="shared" si="110"/>
        <v>18.260000000000002</v>
      </c>
      <c r="F2381" s="22">
        <v>1</v>
      </c>
      <c r="G2381" s="21">
        <f t="shared" si="111"/>
        <v>18.260000000000002</v>
      </c>
      <c r="H2381" s="22">
        <v>1</v>
      </c>
      <c r="I2381" s="23" t="str">
        <f t="shared" si="112"/>
        <v xml:space="preserve">COM VALOR</v>
      </c>
      <c r="J2381" s="19"/>
      <c r="L2381" s="21">
        <v>18.260000000000002</v>
      </c>
      <c r="M2381" s="22">
        <v>1</v>
      </c>
      <c r="N2381" s="21">
        <v>18.260000000000002</v>
      </c>
      <c r="O2381" s="22">
        <v>1</v>
      </c>
    </row>
    <row r="2382" ht="38.25">
      <c r="A2382" t="s">
        <v>2030</v>
      </c>
      <c r="B2382" s="19">
        <v>89270</v>
      </c>
      <c r="C2382" s="20" t="s">
        <v>2436</v>
      </c>
      <c r="D2382" s="19" t="s">
        <v>2032</v>
      </c>
      <c r="E2382" s="21">
        <f t="shared" si="110"/>
        <v>83.290000000000006</v>
      </c>
      <c r="F2382" s="22">
        <v>1</v>
      </c>
      <c r="G2382" s="21">
        <f t="shared" si="111"/>
        <v>83.290000000000006</v>
      </c>
      <c r="H2382" s="22">
        <v>1</v>
      </c>
      <c r="I2382" s="23" t="str">
        <f t="shared" si="112"/>
        <v xml:space="preserve">COM VALOR</v>
      </c>
      <c r="J2382" s="19"/>
      <c r="L2382" s="21">
        <v>83.290000000000006</v>
      </c>
      <c r="M2382" s="22">
        <v>1</v>
      </c>
      <c r="N2382" s="21">
        <v>83.290000000000006</v>
      </c>
      <c r="O2382" s="22">
        <v>1</v>
      </c>
    </row>
    <row r="2383" ht="38.25">
      <c r="A2383" t="s">
        <v>2030</v>
      </c>
      <c r="B2383" s="19">
        <v>89271</v>
      </c>
      <c r="C2383" s="20" t="s">
        <v>2437</v>
      </c>
      <c r="D2383" s="19" t="s">
        <v>2032</v>
      </c>
      <c r="E2383" s="21">
        <f t="shared" si="110"/>
        <v>32.93</v>
      </c>
      <c r="F2383" s="22">
        <v>1</v>
      </c>
      <c r="G2383" s="21">
        <f t="shared" si="111"/>
        <v>32.93</v>
      </c>
      <c r="H2383" s="22">
        <v>1</v>
      </c>
      <c r="I2383" s="23" t="str">
        <f t="shared" si="112"/>
        <v xml:space="preserve">COM VALOR</v>
      </c>
      <c r="J2383" s="19"/>
      <c r="L2383" s="21">
        <v>32.93</v>
      </c>
      <c r="M2383" s="22">
        <v>0</v>
      </c>
      <c r="N2383" s="21">
        <v>32.93</v>
      </c>
      <c r="O2383" s="22">
        <v>0</v>
      </c>
    </row>
    <row r="2384" ht="38.25">
      <c r="A2384" t="s">
        <v>2030</v>
      </c>
      <c r="B2384" s="19">
        <v>93283</v>
      </c>
      <c r="C2384" s="20" t="s">
        <v>2438</v>
      </c>
      <c r="D2384" s="19" t="s">
        <v>2032</v>
      </c>
      <c r="E2384" s="21">
        <f t="shared" si="110"/>
        <v>99.640000000000001</v>
      </c>
      <c r="F2384" s="22">
        <v>0</v>
      </c>
      <c r="G2384" s="21">
        <f t="shared" si="111"/>
        <v>99.640000000000001</v>
      </c>
      <c r="H2384" s="22">
        <v>0</v>
      </c>
      <c r="I2384" s="23" t="str">
        <f t="shared" si="112"/>
        <v xml:space="preserve">COM VALOR</v>
      </c>
      <c r="J2384" s="19"/>
      <c r="L2384" s="21">
        <v>99.640000000000001</v>
      </c>
      <c r="M2384" s="22">
        <v>1</v>
      </c>
      <c r="N2384" s="21">
        <v>99.640000000000001</v>
      </c>
      <c r="O2384" s="22">
        <v>1</v>
      </c>
    </row>
    <row r="2385" ht="38.25">
      <c r="A2385" t="s">
        <v>2030</v>
      </c>
      <c r="B2385" s="19">
        <v>93296</v>
      </c>
      <c r="C2385" s="20" t="s">
        <v>2439</v>
      </c>
      <c r="D2385" s="19" t="s">
        <v>2032</v>
      </c>
      <c r="E2385" s="21">
        <f t="shared" si="110"/>
        <v>14.19</v>
      </c>
      <c r="F2385" s="22"/>
      <c r="G2385" s="21">
        <f t="shared" si="111"/>
        <v>14.19</v>
      </c>
      <c r="H2385" s="22"/>
      <c r="I2385" s="23" t="str">
        <f t="shared" si="112"/>
        <v xml:space="preserve">COM VALOR</v>
      </c>
      <c r="J2385" s="19"/>
      <c r="L2385" s="21">
        <v>14.19</v>
      </c>
      <c r="M2385" s="22">
        <v>1</v>
      </c>
      <c r="N2385" s="21">
        <v>14.19</v>
      </c>
      <c r="O2385" s="22">
        <v>1</v>
      </c>
    </row>
    <row r="2386" ht="25.5">
      <c r="A2386" t="s">
        <v>2030</v>
      </c>
      <c r="B2386" s="19">
        <v>93284</v>
      </c>
      <c r="C2386" s="20" t="s">
        <v>2440</v>
      </c>
      <c r="D2386" s="19" t="s">
        <v>2032</v>
      </c>
      <c r="E2386" s="21">
        <f t="shared" si="110"/>
        <v>35.119999999999997</v>
      </c>
      <c r="F2386" s="22"/>
      <c r="G2386" s="21">
        <f t="shared" si="111"/>
        <v>35.119999999999997</v>
      </c>
      <c r="H2386" s="22"/>
      <c r="I2386" s="23" t="str">
        <f t="shared" si="112"/>
        <v xml:space="preserve">COM VALOR</v>
      </c>
      <c r="J2386" s="19"/>
      <c r="L2386" s="21">
        <v>35.119999999999997</v>
      </c>
      <c r="M2386" s="22">
        <v>1</v>
      </c>
      <c r="N2386" s="21">
        <v>35.119999999999997</v>
      </c>
      <c r="O2386" s="22">
        <v>1</v>
      </c>
    </row>
    <row r="2387" ht="38.25">
      <c r="A2387" t="s">
        <v>2030</v>
      </c>
      <c r="B2387" s="19">
        <v>93285</v>
      </c>
      <c r="C2387" s="20" t="s">
        <v>2441</v>
      </c>
      <c r="D2387" s="19" t="s">
        <v>2032</v>
      </c>
      <c r="E2387" s="21">
        <f t="shared" si="110"/>
        <v>160.16999999999999</v>
      </c>
      <c r="F2387" s="22"/>
      <c r="G2387" s="21">
        <f t="shared" si="111"/>
        <v>160.16999999999999</v>
      </c>
      <c r="H2387" s="22"/>
      <c r="I2387" s="23" t="str">
        <f t="shared" si="112"/>
        <v xml:space="preserve">COM VALOR</v>
      </c>
      <c r="J2387" s="19"/>
      <c r="L2387" s="21">
        <v>160.16999999999999</v>
      </c>
      <c r="M2387" s="22">
        <v>1</v>
      </c>
      <c r="N2387" s="21">
        <v>160.16999999999999</v>
      </c>
      <c r="O2387" s="22">
        <v>1</v>
      </c>
    </row>
    <row r="2388" ht="38.25">
      <c r="A2388" t="s">
        <v>2030</v>
      </c>
      <c r="B2388" s="19">
        <v>93286</v>
      </c>
      <c r="C2388" s="20" t="s">
        <v>2442</v>
      </c>
      <c r="D2388" s="19" t="s">
        <v>2032</v>
      </c>
      <c r="E2388" s="21">
        <f t="shared" si="110"/>
        <v>14.69</v>
      </c>
      <c r="F2388" s="22">
        <v>0</v>
      </c>
      <c r="G2388" s="21">
        <f t="shared" si="111"/>
        <v>14.69</v>
      </c>
      <c r="H2388" s="22">
        <v>0</v>
      </c>
      <c r="I2388" s="23" t="str">
        <f t="shared" si="112"/>
        <v xml:space="preserve">COM VALOR</v>
      </c>
      <c r="J2388" s="19"/>
      <c r="L2388" s="21">
        <v>14.69</v>
      </c>
      <c r="M2388" s="22">
        <v>0</v>
      </c>
      <c r="N2388" s="21">
        <v>14.69</v>
      </c>
      <c r="O2388" s="22">
        <v>0</v>
      </c>
    </row>
    <row r="2389" ht="51">
      <c r="A2389" t="s">
        <v>2030</v>
      </c>
      <c r="B2389" s="19">
        <v>104706</v>
      </c>
      <c r="C2389" s="20" t="s">
        <v>2443</v>
      </c>
      <c r="D2389" s="19" t="s">
        <v>2032</v>
      </c>
      <c r="E2389" s="21" t="str">
        <f t="shared" si="110"/>
        <v>VERIFICAR</v>
      </c>
      <c r="F2389" s="22">
        <v>1</v>
      </c>
      <c r="G2389" s="21" t="str">
        <f t="shared" si="111"/>
        <v>VERIFICAR</v>
      </c>
      <c r="H2389" s="22">
        <v>1</v>
      </c>
      <c r="I2389" s="23" t="str">
        <f t="shared" si="112"/>
        <v xml:space="preserve">COM VALOR</v>
      </c>
      <c r="J2389" s="19"/>
      <c r="L2389" s="21">
        <v>0</v>
      </c>
      <c r="M2389" s="22"/>
      <c r="N2389" s="21">
        <v>0</v>
      </c>
      <c r="O2389" s="22"/>
    </row>
    <row r="2390" ht="38.25">
      <c r="A2390" t="s">
        <v>2030</v>
      </c>
      <c r="B2390" s="19">
        <v>104707</v>
      </c>
      <c r="C2390" s="20" t="s">
        <v>2444</v>
      </c>
      <c r="D2390" s="19" t="s">
        <v>2032</v>
      </c>
      <c r="E2390" s="21" t="str">
        <f t="shared" si="110"/>
        <v>VERIFICAR</v>
      </c>
      <c r="F2390" s="22">
        <v>1</v>
      </c>
      <c r="G2390" s="21" t="str">
        <f t="shared" si="111"/>
        <v>VERIFICAR</v>
      </c>
      <c r="H2390" s="22">
        <v>1</v>
      </c>
      <c r="I2390" s="23" t="str">
        <f t="shared" si="112"/>
        <v xml:space="preserve">COM VALOR</v>
      </c>
      <c r="J2390" s="19"/>
      <c r="L2390" s="21">
        <v>0</v>
      </c>
      <c r="M2390" s="22"/>
      <c r="N2390" s="21">
        <v>0</v>
      </c>
      <c r="O2390" s="22"/>
    </row>
    <row r="2391" ht="51">
      <c r="A2391" t="s">
        <v>2030</v>
      </c>
      <c r="B2391" s="19">
        <v>104708</v>
      </c>
      <c r="C2391" s="20" t="s">
        <v>2445</v>
      </c>
      <c r="D2391" s="19" t="s">
        <v>2032</v>
      </c>
      <c r="E2391" s="21" t="str">
        <f t="shared" si="110"/>
        <v>VERIFICAR</v>
      </c>
      <c r="F2391" s="22">
        <v>1</v>
      </c>
      <c r="G2391" s="21" t="str">
        <f t="shared" si="111"/>
        <v>VERIFICAR</v>
      </c>
      <c r="H2391" s="22">
        <v>1</v>
      </c>
      <c r="I2391" s="23" t="str">
        <f t="shared" si="112"/>
        <v xml:space="preserve">COM VALOR</v>
      </c>
      <c r="J2391" s="19"/>
      <c r="L2391" s="21">
        <v>0</v>
      </c>
      <c r="M2391" s="22"/>
      <c r="N2391" s="21">
        <v>0</v>
      </c>
      <c r="O2391" s="22"/>
    </row>
    <row r="2392" ht="51">
      <c r="A2392" t="s">
        <v>2030</v>
      </c>
      <c r="B2392" s="19">
        <v>104709</v>
      </c>
      <c r="C2392" s="20" t="s">
        <v>2446</v>
      </c>
      <c r="D2392" s="19" t="s">
        <v>2032</v>
      </c>
      <c r="E2392" s="21">
        <f t="shared" si="110"/>
        <v>1327.4400000000001</v>
      </c>
      <c r="F2392" s="22">
        <v>0</v>
      </c>
      <c r="G2392" s="21">
        <f t="shared" si="111"/>
        <v>1327.4400000000001</v>
      </c>
      <c r="H2392" s="22">
        <v>0</v>
      </c>
      <c r="I2392" s="23" t="str">
        <f t="shared" si="112"/>
        <v xml:space="preserve">COM VALOR</v>
      </c>
      <c r="J2392" s="19"/>
      <c r="L2392" s="21">
        <v>1327.4400000000001</v>
      </c>
      <c r="M2392" s="22">
        <v>0</v>
      </c>
      <c r="N2392" s="21">
        <v>1327.4400000000001</v>
      </c>
      <c r="O2392" s="22">
        <v>0</v>
      </c>
    </row>
    <row r="2393" ht="38.25">
      <c r="A2393" t="s">
        <v>2030</v>
      </c>
      <c r="B2393" s="19">
        <v>104903</v>
      </c>
      <c r="C2393" s="20" t="s">
        <v>2447</v>
      </c>
      <c r="D2393" s="19" t="s">
        <v>2032</v>
      </c>
      <c r="E2393" s="21" t="str">
        <f t="shared" si="110"/>
        <v>VERIFICAR</v>
      </c>
      <c r="F2393" s="22"/>
      <c r="G2393" s="21" t="str">
        <f t="shared" si="111"/>
        <v>VERIFICAR</v>
      </c>
      <c r="H2393" s="22"/>
      <c r="I2393" s="23" t="str">
        <f t="shared" si="112"/>
        <v xml:space="preserve">COM VALOR</v>
      </c>
      <c r="J2393" s="19"/>
      <c r="L2393" s="21">
        <v>0</v>
      </c>
      <c r="M2393" s="22"/>
      <c r="N2393" s="21">
        <v>0</v>
      </c>
      <c r="O2393" s="22"/>
    </row>
    <row r="2394" ht="38.25">
      <c r="A2394" t="s">
        <v>2030</v>
      </c>
      <c r="B2394" s="19">
        <v>104904</v>
      </c>
      <c r="C2394" s="20" t="s">
        <v>2448</v>
      </c>
      <c r="D2394" s="19" t="s">
        <v>2032</v>
      </c>
      <c r="E2394" s="21" t="str">
        <f t="shared" si="110"/>
        <v>VERIFICAR</v>
      </c>
      <c r="F2394" s="22"/>
      <c r="G2394" s="21" t="str">
        <f t="shared" si="111"/>
        <v>VERIFICAR</v>
      </c>
      <c r="H2394" s="22"/>
      <c r="I2394" s="23" t="str">
        <f t="shared" si="112"/>
        <v xml:space="preserve">COM VALOR</v>
      </c>
      <c r="J2394" s="19"/>
      <c r="L2394" s="21">
        <v>0</v>
      </c>
      <c r="M2394" s="22"/>
      <c r="N2394" s="21">
        <v>0</v>
      </c>
      <c r="O2394" s="22"/>
    </row>
    <row r="2395" ht="38.25">
      <c r="A2395" t="s">
        <v>2030</v>
      </c>
      <c r="B2395" s="19">
        <v>104905</v>
      </c>
      <c r="C2395" s="20" t="s">
        <v>2449</v>
      </c>
      <c r="D2395" s="19" t="s">
        <v>2032</v>
      </c>
      <c r="E2395" s="21" t="str">
        <f t="shared" si="110"/>
        <v>VERIFICAR</v>
      </c>
      <c r="F2395" s="22"/>
      <c r="G2395" s="21" t="str">
        <f t="shared" si="111"/>
        <v>VERIFICAR</v>
      </c>
      <c r="H2395" s="22"/>
      <c r="I2395" s="23" t="str">
        <f t="shared" si="112"/>
        <v xml:space="preserve">COM VALOR</v>
      </c>
      <c r="J2395" s="19"/>
      <c r="L2395" s="21">
        <v>0</v>
      </c>
      <c r="M2395" s="22"/>
      <c r="N2395" s="21">
        <v>0</v>
      </c>
      <c r="O2395" s="22"/>
    </row>
    <row r="2396" ht="38.25">
      <c r="A2396" t="s">
        <v>2030</v>
      </c>
      <c r="B2396" s="19">
        <v>104906</v>
      </c>
      <c r="C2396" s="20" t="s">
        <v>2450</v>
      </c>
      <c r="D2396" s="19" t="s">
        <v>2032</v>
      </c>
      <c r="E2396" s="21">
        <f t="shared" si="110"/>
        <v>112.03</v>
      </c>
      <c r="F2396" s="22">
        <v>0</v>
      </c>
      <c r="G2396" s="21">
        <f t="shared" si="111"/>
        <v>112.03</v>
      </c>
      <c r="H2396" s="22">
        <v>0</v>
      </c>
      <c r="I2396" s="23" t="str">
        <f t="shared" si="112"/>
        <v xml:space="preserve">COM VALOR</v>
      </c>
      <c r="J2396" s="19"/>
      <c r="L2396" s="21">
        <v>112.03</v>
      </c>
      <c r="M2396" s="22">
        <v>0</v>
      </c>
      <c r="N2396" s="21">
        <v>112.03</v>
      </c>
      <c r="O2396" s="22">
        <v>0</v>
      </c>
    </row>
    <row r="2397" ht="25.5">
      <c r="A2397" t="s">
        <v>2030</v>
      </c>
      <c r="B2397" s="19">
        <v>102846</v>
      </c>
      <c r="C2397" s="20" t="s">
        <v>2451</v>
      </c>
      <c r="D2397" s="19" t="s">
        <v>2032</v>
      </c>
      <c r="E2397" s="21" t="str">
        <f t="shared" si="110"/>
        <v>VERIFICAR</v>
      </c>
      <c r="F2397" s="22">
        <v>1</v>
      </c>
      <c r="G2397" s="21" t="str">
        <f t="shared" si="111"/>
        <v>VERIFICAR</v>
      </c>
      <c r="H2397" s="22">
        <v>1</v>
      </c>
      <c r="I2397" s="23" t="str">
        <f t="shared" si="112"/>
        <v xml:space="preserve">COM VALOR</v>
      </c>
      <c r="J2397" s="19"/>
      <c r="L2397" s="21">
        <v>0</v>
      </c>
      <c r="M2397" s="22"/>
      <c r="N2397" s="21">
        <v>0</v>
      </c>
      <c r="O2397" s="22"/>
    </row>
    <row r="2398" ht="25.5">
      <c r="A2398" t="s">
        <v>2030</v>
      </c>
      <c r="B2398" s="19">
        <v>102847</v>
      </c>
      <c r="C2398" s="20" t="s">
        <v>2452</v>
      </c>
      <c r="D2398" s="19" t="s">
        <v>2032</v>
      </c>
      <c r="E2398" s="21" t="str">
        <f t="shared" si="110"/>
        <v>VERIFICAR</v>
      </c>
      <c r="F2398" s="22">
        <v>1</v>
      </c>
      <c r="G2398" s="21" t="str">
        <f t="shared" si="111"/>
        <v>VERIFICAR</v>
      </c>
      <c r="H2398" s="22">
        <v>1</v>
      </c>
      <c r="I2398" s="23" t="str">
        <f t="shared" si="112"/>
        <v xml:space="preserve">COM VALOR</v>
      </c>
      <c r="J2398" s="19"/>
      <c r="L2398" s="21">
        <v>0</v>
      </c>
      <c r="M2398" s="22"/>
      <c r="N2398" s="21">
        <v>0</v>
      </c>
      <c r="O2398" s="22"/>
    </row>
    <row r="2399" ht="25.5">
      <c r="A2399" t="s">
        <v>2030</v>
      </c>
      <c r="B2399" s="19">
        <v>102848</v>
      </c>
      <c r="C2399" s="20" t="s">
        <v>2453</v>
      </c>
      <c r="D2399" s="19" t="s">
        <v>2032</v>
      </c>
      <c r="E2399" s="21" t="str">
        <f t="shared" si="110"/>
        <v>VERIFICAR</v>
      </c>
      <c r="F2399" s="22">
        <v>1</v>
      </c>
      <c r="G2399" s="21" t="str">
        <f t="shared" si="111"/>
        <v>VERIFICAR</v>
      </c>
      <c r="H2399" s="22">
        <v>1</v>
      </c>
      <c r="I2399" s="23" t="str">
        <f t="shared" si="112"/>
        <v xml:space="preserve">COM VALOR</v>
      </c>
      <c r="J2399" s="19"/>
      <c r="L2399" s="21">
        <v>0</v>
      </c>
      <c r="M2399" s="22"/>
      <c r="N2399" s="21">
        <v>0</v>
      </c>
      <c r="O2399" s="22"/>
    </row>
    <row r="2400" ht="25.5">
      <c r="A2400" t="s">
        <v>2030</v>
      </c>
      <c r="B2400" s="19">
        <v>102849</v>
      </c>
      <c r="C2400" s="20" t="s">
        <v>2454</v>
      </c>
      <c r="D2400" s="19" t="s">
        <v>2032</v>
      </c>
      <c r="E2400" s="21">
        <f t="shared" si="110"/>
        <v>74.689999999999998</v>
      </c>
      <c r="F2400" s="22">
        <v>0</v>
      </c>
      <c r="G2400" s="21">
        <f t="shared" si="111"/>
        <v>74.689999999999998</v>
      </c>
      <c r="H2400" s="22">
        <v>0</v>
      </c>
      <c r="I2400" s="23" t="str">
        <f t="shared" si="112"/>
        <v xml:space="preserve">COM VALOR</v>
      </c>
      <c r="J2400" s="19"/>
      <c r="L2400" s="21">
        <v>74.689999999999998</v>
      </c>
      <c r="M2400" s="22">
        <v>0</v>
      </c>
      <c r="N2400" s="21">
        <v>74.689999999999998</v>
      </c>
      <c r="O2400" s="22">
        <v>0</v>
      </c>
    </row>
    <row r="2401" ht="38.25">
      <c r="A2401" t="s">
        <v>2030</v>
      </c>
      <c r="B2401" s="19">
        <v>102852</v>
      </c>
      <c r="C2401" s="20" t="s">
        <v>2455</v>
      </c>
      <c r="D2401" s="19" t="s">
        <v>2032</v>
      </c>
      <c r="E2401" s="21" t="str">
        <f t="shared" si="110"/>
        <v>VERIFICAR</v>
      </c>
      <c r="F2401" s="22"/>
      <c r="G2401" s="21" t="str">
        <f t="shared" si="111"/>
        <v>VERIFICAR</v>
      </c>
      <c r="H2401" s="22"/>
      <c r="I2401" s="23" t="str">
        <f t="shared" si="112"/>
        <v xml:space="preserve">COM VALOR</v>
      </c>
      <c r="J2401" s="19"/>
      <c r="L2401" s="21">
        <v>0</v>
      </c>
      <c r="M2401" s="22"/>
      <c r="N2401" s="21">
        <v>0</v>
      </c>
      <c r="O2401" s="22"/>
    </row>
    <row r="2402" ht="38.25">
      <c r="A2402" t="s">
        <v>2030</v>
      </c>
      <c r="B2402" s="19">
        <v>102853</v>
      </c>
      <c r="C2402" s="20" t="s">
        <v>2456</v>
      </c>
      <c r="D2402" s="19" t="s">
        <v>2032</v>
      </c>
      <c r="E2402" s="21" t="str">
        <f t="shared" si="110"/>
        <v>VERIFICAR</v>
      </c>
      <c r="F2402" s="22"/>
      <c r="G2402" s="21" t="str">
        <f t="shared" si="111"/>
        <v>VERIFICAR</v>
      </c>
      <c r="H2402" s="22"/>
      <c r="I2402" s="23" t="str">
        <f t="shared" si="112"/>
        <v xml:space="preserve">COM VALOR</v>
      </c>
      <c r="J2402" s="19"/>
      <c r="L2402" s="21">
        <v>0</v>
      </c>
      <c r="M2402" s="22"/>
      <c r="N2402" s="21">
        <v>0</v>
      </c>
      <c r="O2402" s="22"/>
    </row>
    <row r="2403" ht="38.25">
      <c r="A2403" t="s">
        <v>2030</v>
      </c>
      <c r="B2403" s="19">
        <v>102854</v>
      </c>
      <c r="C2403" s="20" t="s">
        <v>2457</v>
      </c>
      <c r="D2403" s="19" t="s">
        <v>2032</v>
      </c>
      <c r="E2403" s="21" t="str">
        <f t="shared" si="110"/>
        <v>VERIFICAR</v>
      </c>
      <c r="F2403" s="22"/>
      <c r="G2403" s="21" t="str">
        <f t="shared" si="111"/>
        <v>VERIFICAR</v>
      </c>
      <c r="H2403" s="22"/>
      <c r="I2403" s="23" t="str">
        <f t="shared" si="112"/>
        <v xml:space="preserve">COM VALOR</v>
      </c>
      <c r="J2403" s="19"/>
      <c r="L2403" s="21">
        <v>0</v>
      </c>
      <c r="M2403" s="22"/>
      <c r="N2403" s="21">
        <v>0</v>
      </c>
      <c r="O2403" s="22"/>
    </row>
    <row r="2404" ht="38.25">
      <c r="A2404" t="s">
        <v>2030</v>
      </c>
      <c r="B2404" s="19">
        <v>102855</v>
      </c>
      <c r="C2404" s="20" t="s">
        <v>2458</v>
      </c>
      <c r="D2404" s="19" t="s">
        <v>2032</v>
      </c>
      <c r="E2404" s="21">
        <f t="shared" si="110"/>
        <v>74.689999999999998</v>
      </c>
      <c r="F2404" s="22">
        <v>0</v>
      </c>
      <c r="G2404" s="21">
        <f t="shared" si="111"/>
        <v>74.689999999999998</v>
      </c>
      <c r="H2404" s="22">
        <v>0</v>
      </c>
      <c r="I2404" s="23" t="str">
        <f t="shared" si="112"/>
        <v xml:space="preserve">COM VALOR</v>
      </c>
      <c r="J2404" s="19"/>
      <c r="L2404" s="21">
        <v>74.689999999999998</v>
      </c>
      <c r="M2404" s="22">
        <v>0</v>
      </c>
      <c r="N2404" s="21">
        <v>74.689999999999998</v>
      </c>
      <c r="O2404" s="22">
        <v>0</v>
      </c>
    </row>
    <row r="2405" ht="51">
      <c r="A2405" t="s">
        <v>2030</v>
      </c>
      <c r="B2405" s="19">
        <v>106242</v>
      </c>
      <c r="C2405" s="20" t="s">
        <v>2459</v>
      </c>
      <c r="D2405" s="19" t="s">
        <v>2032</v>
      </c>
      <c r="E2405" s="21">
        <f t="shared" si="110"/>
        <v>46.810000000000002</v>
      </c>
      <c r="F2405" s="22"/>
      <c r="G2405" s="21">
        <f t="shared" si="111"/>
        <v>46.810000000000002</v>
      </c>
      <c r="H2405" s="22"/>
      <c r="I2405" s="23" t="str">
        <f t="shared" si="112"/>
        <v xml:space="preserve">COM VALOR</v>
      </c>
      <c r="J2405" s="19"/>
      <c r="L2405" s="21">
        <v>46.810000000000002</v>
      </c>
      <c r="M2405" s="22">
        <v>1</v>
      </c>
      <c r="N2405" s="21">
        <v>46.810000000000002</v>
      </c>
      <c r="O2405" s="22">
        <v>1</v>
      </c>
    </row>
    <row r="2406" ht="51">
      <c r="A2406" t="s">
        <v>2030</v>
      </c>
      <c r="B2406" s="19">
        <v>106245</v>
      </c>
      <c r="C2406" s="20" t="s">
        <v>2460</v>
      </c>
      <c r="D2406" s="19" t="s">
        <v>2032</v>
      </c>
      <c r="E2406" s="21">
        <f t="shared" si="110"/>
        <v>6.4400000000000004</v>
      </c>
      <c r="F2406" s="22"/>
      <c r="G2406" s="21">
        <f t="shared" si="111"/>
        <v>6.4400000000000004</v>
      </c>
      <c r="H2406" s="22"/>
      <c r="I2406" s="23" t="str">
        <f t="shared" si="112"/>
        <v xml:space="preserve">COM VALOR</v>
      </c>
      <c r="J2406" s="19"/>
      <c r="L2406" s="21">
        <v>6.4400000000000004</v>
      </c>
      <c r="M2406" s="22">
        <v>1</v>
      </c>
      <c r="N2406" s="21">
        <v>6.4400000000000004</v>
      </c>
      <c r="O2406" s="22">
        <v>1</v>
      </c>
    </row>
    <row r="2407" ht="51">
      <c r="A2407" t="s">
        <v>2030</v>
      </c>
      <c r="B2407" s="19">
        <v>106243</v>
      </c>
      <c r="C2407" s="20" t="s">
        <v>2461</v>
      </c>
      <c r="D2407" s="19" t="s">
        <v>2032</v>
      </c>
      <c r="E2407" s="21">
        <f t="shared" si="110"/>
        <v>15.880000000000001</v>
      </c>
      <c r="F2407" s="22"/>
      <c r="G2407" s="21">
        <f t="shared" si="111"/>
        <v>15.880000000000001</v>
      </c>
      <c r="H2407" s="22"/>
      <c r="I2407" s="23" t="str">
        <f t="shared" si="112"/>
        <v xml:space="preserve">COM VALOR</v>
      </c>
      <c r="J2407" s="19"/>
      <c r="L2407" s="21">
        <v>15.880000000000001</v>
      </c>
      <c r="M2407" s="22">
        <v>1</v>
      </c>
      <c r="N2407" s="21">
        <v>15.880000000000001</v>
      </c>
      <c r="O2407" s="22">
        <v>1</v>
      </c>
    </row>
    <row r="2408" ht="51">
      <c r="A2408" t="s">
        <v>2030</v>
      </c>
      <c r="B2408" s="19">
        <v>106244</v>
      </c>
      <c r="C2408" s="20" t="s">
        <v>2462</v>
      </c>
      <c r="D2408" s="19" t="s">
        <v>2032</v>
      </c>
      <c r="E2408" s="21">
        <f t="shared" si="110"/>
        <v>73.659999999999997</v>
      </c>
      <c r="F2408" s="22">
        <v>0</v>
      </c>
      <c r="G2408" s="21">
        <f t="shared" si="111"/>
        <v>73.659999999999997</v>
      </c>
      <c r="H2408" s="22">
        <v>0</v>
      </c>
      <c r="I2408" s="23" t="str">
        <f t="shared" si="112"/>
        <v xml:space="preserve">COM VALOR</v>
      </c>
      <c r="J2408" s="19"/>
      <c r="L2408" s="21">
        <v>73.659999999999997</v>
      </c>
      <c r="M2408" s="22">
        <v>1</v>
      </c>
      <c r="N2408" s="21">
        <v>73.659999999999997</v>
      </c>
      <c r="O2408" s="22">
        <v>1</v>
      </c>
    </row>
    <row r="2409" ht="51">
      <c r="A2409" t="s">
        <v>2030</v>
      </c>
      <c r="B2409" s="19">
        <v>106246</v>
      </c>
      <c r="C2409" s="20" t="s">
        <v>2463</v>
      </c>
      <c r="D2409" s="19" t="s">
        <v>2032</v>
      </c>
      <c r="E2409" s="21">
        <f t="shared" si="110"/>
        <v>179.12</v>
      </c>
      <c r="F2409" s="22"/>
      <c r="G2409" s="21">
        <f t="shared" si="111"/>
        <v>179.12</v>
      </c>
      <c r="H2409" s="22"/>
      <c r="I2409" s="23" t="str">
        <f t="shared" si="112"/>
        <v xml:space="preserve">COM VALOR</v>
      </c>
      <c r="J2409" s="19"/>
      <c r="L2409" s="21">
        <v>179.12</v>
      </c>
      <c r="M2409" s="22">
        <v>0</v>
      </c>
      <c r="N2409" s="21">
        <v>179.12</v>
      </c>
      <c r="O2409" s="22">
        <v>0</v>
      </c>
    </row>
    <row r="2410" ht="51">
      <c r="A2410" t="s">
        <v>2030</v>
      </c>
      <c r="B2410" s="19">
        <v>93397</v>
      </c>
      <c r="C2410" s="20" t="s">
        <v>2464</v>
      </c>
      <c r="D2410" s="19" t="s">
        <v>2032</v>
      </c>
      <c r="E2410" s="21">
        <f t="shared" si="110"/>
        <v>25.920000000000002</v>
      </c>
      <c r="F2410" s="22"/>
      <c r="G2410" s="21">
        <f t="shared" si="111"/>
        <v>25.920000000000002</v>
      </c>
      <c r="H2410" s="22"/>
      <c r="I2410" s="23" t="str">
        <f t="shared" si="112"/>
        <v xml:space="preserve">COM VALOR</v>
      </c>
      <c r="J2410" s="19"/>
      <c r="L2410" s="21">
        <v>25.920000000000002</v>
      </c>
      <c r="M2410" s="22">
        <v>1</v>
      </c>
      <c r="N2410" s="21">
        <v>25.920000000000002</v>
      </c>
      <c r="O2410" s="22">
        <v>1</v>
      </c>
    </row>
    <row r="2411" ht="51">
      <c r="A2411" t="s">
        <v>2030</v>
      </c>
      <c r="B2411" s="19">
        <v>93399</v>
      </c>
      <c r="C2411" s="20" t="s">
        <v>2465</v>
      </c>
      <c r="D2411" s="19" t="s">
        <v>2032</v>
      </c>
      <c r="E2411" s="21">
        <f t="shared" si="110"/>
        <v>3.96</v>
      </c>
      <c r="F2411" s="22"/>
      <c r="G2411" s="21">
        <f t="shared" si="111"/>
        <v>3.96</v>
      </c>
      <c r="H2411" s="22"/>
      <c r="I2411" s="23" t="str">
        <f t="shared" si="112"/>
        <v xml:space="preserve">COM VALOR</v>
      </c>
      <c r="J2411" s="19"/>
      <c r="L2411" s="21">
        <v>3.96</v>
      </c>
      <c r="M2411" s="22">
        <v>1</v>
      </c>
      <c r="N2411" s="21">
        <v>3.96</v>
      </c>
      <c r="O2411" s="22">
        <v>1</v>
      </c>
    </row>
    <row r="2412" ht="51">
      <c r="A2412" t="s">
        <v>2030</v>
      </c>
      <c r="B2412" s="19">
        <v>93398</v>
      </c>
      <c r="C2412" s="20" t="s">
        <v>2466</v>
      </c>
      <c r="D2412" s="19" t="s">
        <v>2032</v>
      </c>
      <c r="E2412" s="21">
        <f t="shared" si="110"/>
        <v>9.8100000000000005</v>
      </c>
      <c r="F2412" s="22">
        <v>0</v>
      </c>
      <c r="G2412" s="21">
        <f t="shared" si="111"/>
        <v>9.8100000000000005</v>
      </c>
      <c r="H2412" s="22">
        <v>0</v>
      </c>
      <c r="I2412" s="23" t="str">
        <f t="shared" si="112"/>
        <v xml:space="preserve">COM VALOR</v>
      </c>
      <c r="J2412" s="19"/>
      <c r="L2412" s="21">
        <v>9.8100000000000005</v>
      </c>
      <c r="M2412" s="22">
        <v>1</v>
      </c>
      <c r="N2412" s="21">
        <v>9.8100000000000005</v>
      </c>
      <c r="O2412" s="22">
        <v>1</v>
      </c>
    </row>
    <row r="2413" ht="51">
      <c r="A2413" t="s">
        <v>2030</v>
      </c>
      <c r="B2413" s="19">
        <v>93400</v>
      </c>
      <c r="C2413" s="20" t="s">
        <v>2467</v>
      </c>
      <c r="D2413" s="19" t="s">
        <v>2032</v>
      </c>
      <c r="E2413" s="21">
        <f t="shared" si="110"/>
        <v>45.07</v>
      </c>
      <c r="F2413" s="22"/>
      <c r="G2413" s="21">
        <f t="shared" si="111"/>
        <v>45.07</v>
      </c>
      <c r="H2413" s="22"/>
      <c r="I2413" s="23" t="str">
        <f t="shared" si="112"/>
        <v xml:space="preserve">COM VALOR</v>
      </c>
      <c r="J2413" s="19"/>
      <c r="L2413" s="21">
        <v>45.07</v>
      </c>
      <c r="M2413" s="22">
        <v>1</v>
      </c>
      <c r="N2413" s="21">
        <v>45.07</v>
      </c>
      <c r="O2413" s="22">
        <v>1</v>
      </c>
    </row>
    <row r="2414" ht="51">
      <c r="A2414" t="s">
        <v>2030</v>
      </c>
      <c r="B2414" s="19">
        <v>93401</v>
      </c>
      <c r="C2414" s="20" t="s">
        <v>2468</v>
      </c>
      <c r="D2414" s="19" t="s">
        <v>2032</v>
      </c>
      <c r="E2414" s="21">
        <f t="shared" si="110"/>
        <v>179.44999999999999</v>
      </c>
      <c r="F2414" s="22"/>
      <c r="G2414" s="21">
        <f t="shared" si="111"/>
        <v>179.44999999999999</v>
      </c>
      <c r="H2414" s="22"/>
      <c r="I2414" s="23" t="str">
        <f t="shared" si="112"/>
        <v xml:space="preserve">COM VALOR</v>
      </c>
      <c r="J2414" s="19"/>
      <c r="L2414" s="21">
        <v>179.44999999999999</v>
      </c>
      <c r="M2414" s="22">
        <v>0</v>
      </c>
      <c r="N2414" s="21">
        <v>179.44999999999999</v>
      </c>
      <c r="O2414" s="22">
        <v>0</v>
      </c>
    </row>
    <row r="2415" ht="51">
      <c r="A2415" t="s">
        <v>2030</v>
      </c>
      <c r="B2415" s="19">
        <v>89259</v>
      </c>
      <c r="C2415" s="20" t="s">
        <v>2469</v>
      </c>
      <c r="D2415" s="19" t="s">
        <v>2032</v>
      </c>
      <c r="E2415" s="21">
        <f t="shared" si="110"/>
        <v>28.210000000000001</v>
      </c>
      <c r="F2415" s="22"/>
      <c r="G2415" s="21">
        <f t="shared" si="111"/>
        <v>28.210000000000001</v>
      </c>
      <c r="H2415" s="22"/>
      <c r="I2415" s="23" t="str">
        <f t="shared" si="112"/>
        <v xml:space="preserve">COM VALOR</v>
      </c>
      <c r="J2415" s="19"/>
      <c r="L2415" s="21">
        <v>28.210000000000001</v>
      </c>
      <c r="M2415" s="22">
        <v>1</v>
      </c>
      <c r="N2415" s="21">
        <v>28.210000000000001</v>
      </c>
      <c r="O2415" s="22">
        <v>1</v>
      </c>
    </row>
    <row r="2416" ht="51">
      <c r="A2416" t="s">
        <v>2030</v>
      </c>
      <c r="B2416" s="19">
        <v>91466</v>
      </c>
      <c r="C2416" s="20" t="s">
        <v>2470</v>
      </c>
      <c r="D2416" s="19" t="s">
        <v>2032</v>
      </c>
      <c r="E2416" s="21">
        <f t="shared" si="110"/>
        <v>4.2000000000000002</v>
      </c>
      <c r="F2416" s="22">
        <v>0</v>
      </c>
      <c r="G2416" s="21">
        <f t="shared" si="111"/>
        <v>4.2000000000000002</v>
      </c>
      <c r="H2416" s="22">
        <v>0</v>
      </c>
      <c r="I2416" s="23" t="str">
        <f t="shared" si="112"/>
        <v xml:space="preserve">COM VALOR</v>
      </c>
      <c r="J2416" s="19"/>
      <c r="L2416" s="21">
        <v>4.2000000000000002</v>
      </c>
      <c r="M2416" s="22">
        <v>1</v>
      </c>
      <c r="N2416" s="21">
        <v>4.2000000000000002</v>
      </c>
      <c r="O2416" s="22">
        <v>1</v>
      </c>
    </row>
    <row r="2417" ht="51">
      <c r="A2417" t="s">
        <v>2030</v>
      </c>
      <c r="B2417" s="19">
        <v>89260</v>
      </c>
      <c r="C2417" s="20" t="s">
        <v>2471</v>
      </c>
      <c r="D2417" s="19" t="s">
        <v>2032</v>
      </c>
      <c r="E2417" s="21">
        <f t="shared" si="110"/>
        <v>10.41</v>
      </c>
      <c r="F2417" s="22"/>
      <c r="G2417" s="21">
        <f t="shared" si="111"/>
        <v>10.41</v>
      </c>
      <c r="H2417" s="22"/>
      <c r="I2417" s="23" t="str">
        <f t="shared" si="112"/>
        <v xml:space="preserve">COM VALOR</v>
      </c>
      <c r="J2417" s="19"/>
      <c r="L2417" s="21">
        <v>10.41</v>
      </c>
      <c r="M2417" s="22">
        <v>1</v>
      </c>
      <c r="N2417" s="21">
        <v>10.41</v>
      </c>
      <c r="O2417" s="22">
        <v>1</v>
      </c>
    </row>
    <row r="2418" ht="51">
      <c r="A2418" t="s">
        <v>2030</v>
      </c>
      <c r="B2418" s="19">
        <v>89262</v>
      </c>
      <c r="C2418" s="20" t="s">
        <v>2472</v>
      </c>
      <c r="D2418" s="19" t="s">
        <v>2032</v>
      </c>
      <c r="E2418" s="21">
        <f t="shared" si="110"/>
        <v>47.93</v>
      </c>
      <c r="F2418" s="22"/>
      <c r="G2418" s="21">
        <f t="shared" si="111"/>
        <v>47.93</v>
      </c>
      <c r="H2418" s="22"/>
      <c r="I2418" s="23" t="str">
        <f t="shared" si="112"/>
        <v xml:space="preserve">COM VALOR</v>
      </c>
      <c r="J2418" s="19"/>
      <c r="L2418" s="21">
        <v>47.93</v>
      </c>
      <c r="M2418" s="22">
        <v>1</v>
      </c>
      <c r="N2418" s="21">
        <v>47.93</v>
      </c>
      <c r="O2418" s="22">
        <v>1</v>
      </c>
    </row>
    <row r="2419" ht="51">
      <c r="A2419" t="s">
        <v>2030</v>
      </c>
      <c r="B2419" s="19">
        <v>91467</v>
      </c>
      <c r="C2419" s="20" t="s">
        <v>2473</v>
      </c>
      <c r="D2419" s="19" t="s">
        <v>2032</v>
      </c>
      <c r="E2419" s="21">
        <f t="shared" si="110"/>
        <v>179.44999999999999</v>
      </c>
      <c r="F2419" s="22"/>
      <c r="G2419" s="21">
        <f t="shared" si="111"/>
        <v>179.44999999999999</v>
      </c>
      <c r="H2419" s="22"/>
      <c r="I2419" s="23" t="str">
        <f t="shared" si="112"/>
        <v xml:space="preserve">COM VALOR</v>
      </c>
      <c r="J2419" s="19"/>
      <c r="L2419" s="21">
        <v>179.44999999999999</v>
      </c>
      <c r="M2419" s="22">
        <v>0</v>
      </c>
      <c r="N2419" s="21">
        <v>179.44999999999999</v>
      </c>
      <c r="O2419" s="22">
        <v>0</v>
      </c>
    </row>
    <row r="2420" ht="63.75">
      <c r="A2420" t="s">
        <v>2030</v>
      </c>
      <c r="B2420" s="19">
        <v>105839</v>
      </c>
      <c r="C2420" s="20" t="s">
        <v>2474</v>
      </c>
      <c r="D2420" s="19" t="s">
        <v>2032</v>
      </c>
      <c r="E2420" s="21" t="str">
        <f t="shared" si="110"/>
        <v>VERIFICAR</v>
      </c>
      <c r="F2420" s="22">
        <v>0</v>
      </c>
      <c r="G2420" s="21" t="str">
        <f t="shared" si="111"/>
        <v>VERIFICAR</v>
      </c>
      <c r="H2420" s="22">
        <v>0</v>
      </c>
      <c r="I2420" s="23" t="str">
        <f t="shared" si="112"/>
        <v xml:space="preserve">COM VALOR</v>
      </c>
      <c r="J2420" s="19"/>
      <c r="L2420" s="21">
        <v>0</v>
      </c>
      <c r="M2420" s="22"/>
      <c r="N2420" s="21">
        <v>0</v>
      </c>
      <c r="O2420" s="22"/>
    </row>
    <row r="2421" ht="63.75">
      <c r="A2421" t="s">
        <v>2030</v>
      </c>
      <c r="B2421" s="19">
        <v>105842</v>
      </c>
      <c r="C2421" s="20" t="s">
        <v>2475</v>
      </c>
      <c r="D2421" s="19" t="s">
        <v>2032</v>
      </c>
      <c r="E2421" s="21" t="str">
        <f t="shared" si="110"/>
        <v>VERIFICAR</v>
      </c>
      <c r="F2421" s="22"/>
      <c r="G2421" s="21" t="str">
        <f t="shared" si="111"/>
        <v>VERIFICAR</v>
      </c>
      <c r="H2421" s="22"/>
      <c r="I2421" s="23" t="str">
        <f t="shared" si="112"/>
        <v xml:space="preserve">COM VALOR</v>
      </c>
      <c r="J2421" s="19"/>
      <c r="L2421" s="21">
        <v>0</v>
      </c>
      <c r="M2421" s="22"/>
      <c r="N2421" s="21">
        <v>0</v>
      </c>
      <c r="O2421" s="22"/>
    </row>
    <row r="2422" ht="51">
      <c r="A2422" t="s">
        <v>2030</v>
      </c>
      <c r="B2422" s="19">
        <v>105840</v>
      </c>
      <c r="C2422" s="20" t="s">
        <v>2476</v>
      </c>
      <c r="D2422" s="19" t="s">
        <v>2032</v>
      </c>
      <c r="E2422" s="21" t="str">
        <f t="shared" si="110"/>
        <v>VERIFICAR</v>
      </c>
      <c r="F2422" s="22"/>
      <c r="G2422" s="21" t="str">
        <f t="shared" si="111"/>
        <v>VERIFICAR</v>
      </c>
      <c r="H2422" s="22"/>
      <c r="I2422" s="23" t="str">
        <f t="shared" si="112"/>
        <v xml:space="preserve">COM VALOR</v>
      </c>
      <c r="J2422" s="19"/>
      <c r="L2422" s="21">
        <v>0</v>
      </c>
      <c r="M2422" s="22"/>
      <c r="N2422" s="21">
        <v>0</v>
      </c>
      <c r="O2422" s="22"/>
    </row>
    <row r="2423" ht="63.75">
      <c r="A2423" t="s">
        <v>2030</v>
      </c>
      <c r="B2423" s="19">
        <v>105841</v>
      </c>
      <c r="C2423" s="20" t="s">
        <v>2477</v>
      </c>
      <c r="D2423" s="19" t="s">
        <v>2032</v>
      </c>
      <c r="E2423" s="21" t="str">
        <f t="shared" si="110"/>
        <v>VERIFICAR</v>
      </c>
      <c r="F2423" s="22"/>
      <c r="G2423" s="21" t="str">
        <f t="shared" si="111"/>
        <v>VERIFICAR</v>
      </c>
      <c r="H2423" s="22"/>
      <c r="I2423" s="23" t="str">
        <f t="shared" si="112"/>
        <v xml:space="preserve">COM VALOR</v>
      </c>
      <c r="J2423" s="19"/>
      <c r="L2423" s="21">
        <v>0</v>
      </c>
      <c r="M2423" s="22"/>
      <c r="N2423" s="21">
        <v>0</v>
      </c>
      <c r="O2423" s="22"/>
    </row>
    <row r="2424" ht="63.75">
      <c r="A2424" t="s">
        <v>2030</v>
      </c>
      <c r="B2424" s="19">
        <v>105843</v>
      </c>
      <c r="C2424" s="20" t="s">
        <v>2478</v>
      </c>
      <c r="D2424" s="19" t="s">
        <v>2032</v>
      </c>
      <c r="E2424" s="21">
        <f t="shared" si="110"/>
        <v>94.439999999999998</v>
      </c>
      <c r="F2424" s="22">
        <v>0</v>
      </c>
      <c r="G2424" s="21">
        <f t="shared" si="111"/>
        <v>94.439999999999998</v>
      </c>
      <c r="H2424" s="22">
        <v>0</v>
      </c>
      <c r="I2424" s="23" t="str">
        <f t="shared" si="112"/>
        <v xml:space="preserve">COM VALOR</v>
      </c>
      <c r="J2424" s="19"/>
      <c r="L2424" s="21">
        <v>94.439999999999998</v>
      </c>
      <c r="M2424" s="22">
        <v>0</v>
      </c>
      <c r="N2424" s="21">
        <v>94.439999999999998</v>
      </c>
      <c r="O2424" s="22">
        <v>0</v>
      </c>
    </row>
    <row r="2425" ht="51">
      <c r="A2425" t="s">
        <v>2030</v>
      </c>
      <c r="B2425" s="19">
        <v>91629</v>
      </c>
      <c r="C2425" s="20" t="s">
        <v>2479</v>
      </c>
      <c r="D2425" s="19" t="s">
        <v>2032</v>
      </c>
      <c r="E2425" s="21">
        <f t="shared" si="110"/>
        <v>22.370000000000001</v>
      </c>
      <c r="F2425" s="22"/>
      <c r="G2425" s="21">
        <f t="shared" si="111"/>
        <v>22.370000000000001</v>
      </c>
      <c r="H2425" s="22"/>
      <c r="I2425" s="23" t="str">
        <f t="shared" si="112"/>
        <v xml:space="preserve">COM VALOR</v>
      </c>
      <c r="J2425" s="19"/>
      <c r="L2425" s="21">
        <v>22.370000000000001</v>
      </c>
      <c r="M2425" s="22">
        <v>1</v>
      </c>
      <c r="N2425" s="21">
        <v>22.370000000000001</v>
      </c>
      <c r="O2425" s="22">
        <v>1</v>
      </c>
    </row>
    <row r="2426" ht="51">
      <c r="A2426" t="s">
        <v>2030</v>
      </c>
      <c r="B2426" s="19">
        <v>91631</v>
      </c>
      <c r="C2426" s="20" t="s">
        <v>2480</v>
      </c>
      <c r="D2426" s="19" t="s">
        <v>2032</v>
      </c>
      <c r="E2426" s="21">
        <f t="shared" si="110"/>
        <v>3.3700000000000001</v>
      </c>
      <c r="F2426" s="22"/>
      <c r="G2426" s="21">
        <f t="shared" si="111"/>
        <v>3.3700000000000001</v>
      </c>
      <c r="H2426" s="22"/>
      <c r="I2426" s="23" t="str">
        <f t="shared" si="112"/>
        <v xml:space="preserve">COM VALOR</v>
      </c>
      <c r="J2426" s="19"/>
      <c r="L2426" s="21">
        <v>3.3700000000000001</v>
      </c>
      <c r="M2426" s="22">
        <v>1</v>
      </c>
      <c r="N2426" s="21">
        <v>3.3700000000000001</v>
      </c>
      <c r="O2426" s="22">
        <v>1</v>
      </c>
    </row>
    <row r="2427" ht="51">
      <c r="A2427" t="s">
        <v>2030</v>
      </c>
      <c r="B2427" s="19">
        <v>91630</v>
      </c>
      <c r="C2427" s="20" t="s">
        <v>2481</v>
      </c>
      <c r="D2427" s="19" t="s">
        <v>2032</v>
      </c>
      <c r="E2427" s="21">
        <f t="shared" si="110"/>
        <v>8.3499999999999996</v>
      </c>
      <c r="F2427" s="22"/>
      <c r="G2427" s="21">
        <f t="shared" si="111"/>
        <v>8.3499999999999996</v>
      </c>
      <c r="H2427" s="22"/>
      <c r="I2427" s="23" t="str">
        <f t="shared" si="112"/>
        <v xml:space="preserve">COM VALOR</v>
      </c>
      <c r="J2427" s="19"/>
      <c r="L2427" s="21">
        <v>8.3499999999999996</v>
      </c>
      <c r="M2427" s="22">
        <v>1</v>
      </c>
      <c r="N2427" s="21">
        <v>8.3499999999999996</v>
      </c>
      <c r="O2427" s="22">
        <v>1</v>
      </c>
    </row>
    <row r="2428" ht="51">
      <c r="A2428" t="s">
        <v>2030</v>
      </c>
      <c r="B2428" s="19">
        <v>91632</v>
      </c>
      <c r="C2428" s="20" t="s">
        <v>2482</v>
      </c>
      <c r="D2428" s="19" t="s">
        <v>2032</v>
      </c>
      <c r="E2428" s="21">
        <f t="shared" si="110"/>
        <v>38.43</v>
      </c>
      <c r="F2428" s="22">
        <v>0</v>
      </c>
      <c r="G2428" s="21">
        <f t="shared" si="111"/>
        <v>38.43</v>
      </c>
      <c r="H2428" s="22">
        <v>0</v>
      </c>
      <c r="I2428" s="23" t="str">
        <f t="shared" si="112"/>
        <v xml:space="preserve">COM VALOR</v>
      </c>
      <c r="J2428" s="19"/>
      <c r="L2428" s="21">
        <v>38.43</v>
      </c>
      <c r="M2428" s="22">
        <v>1</v>
      </c>
      <c r="N2428" s="21">
        <v>38.43</v>
      </c>
      <c r="O2428" s="22">
        <v>1</v>
      </c>
    </row>
    <row r="2429" ht="51">
      <c r="A2429" t="s">
        <v>2030</v>
      </c>
      <c r="B2429" s="19">
        <v>91633</v>
      </c>
      <c r="C2429" s="20" t="s">
        <v>2483</v>
      </c>
      <c r="D2429" s="19" t="s">
        <v>2032</v>
      </c>
      <c r="E2429" s="21">
        <f t="shared" si="110"/>
        <v>151.88999999999999</v>
      </c>
      <c r="F2429" s="22">
        <v>0</v>
      </c>
      <c r="G2429" s="21">
        <f t="shared" si="111"/>
        <v>151.88999999999999</v>
      </c>
      <c r="H2429" s="22">
        <v>0</v>
      </c>
      <c r="I2429" s="23" t="str">
        <f t="shared" si="112"/>
        <v xml:space="preserve">COM VALOR</v>
      </c>
      <c r="J2429" s="19"/>
      <c r="L2429" s="21">
        <v>151.88999999999999</v>
      </c>
      <c r="M2429" s="22">
        <v>0</v>
      </c>
      <c r="N2429" s="21">
        <v>151.88999999999999</v>
      </c>
      <c r="O2429" s="22">
        <v>0</v>
      </c>
    </row>
    <row r="2430" ht="63.75">
      <c r="A2430" t="s">
        <v>2030</v>
      </c>
      <c r="B2430" s="19">
        <v>105979</v>
      </c>
      <c r="C2430" s="20" t="s">
        <v>2484</v>
      </c>
      <c r="D2430" s="19" t="s">
        <v>2032</v>
      </c>
      <c r="E2430" s="21">
        <f t="shared" si="110"/>
        <v>44.810000000000002</v>
      </c>
      <c r="F2430" s="22">
        <v>0</v>
      </c>
      <c r="G2430" s="21">
        <f t="shared" si="111"/>
        <v>44.810000000000002</v>
      </c>
      <c r="H2430" s="22">
        <v>0</v>
      </c>
      <c r="I2430" s="23" t="str">
        <f t="shared" si="112"/>
        <v xml:space="preserve">COM VALOR</v>
      </c>
      <c r="J2430" s="19"/>
      <c r="L2430" s="21">
        <v>44.810000000000002</v>
      </c>
      <c r="M2430" s="22">
        <v>1</v>
      </c>
      <c r="N2430" s="21">
        <v>44.810000000000002</v>
      </c>
      <c r="O2430" s="22">
        <v>1</v>
      </c>
    </row>
    <row r="2431" ht="63.75">
      <c r="A2431" t="s">
        <v>2030</v>
      </c>
      <c r="B2431" s="19">
        <v>105982</v>
      </c>
      <c r="C2431" s="20" t="s">
        <v>2485</v>
      </c>
      <c r="D2431" s="19" t="s">
        <v>2032</v>
      </c>
      <c r="E2431" s="21">
        <f t="shared" si="110"/>
        <v>6.2199999999999998</v>
      </c>
      <c r="F2431" s="22">
        <v>0</v>
      </c>
      <c r="G2431" s="21">
        <f t="shared" si="111"/>
        <v>6.2199999999999998</v>
      </c>
      <c r="H2431" s="22">
        <v>0</v>
      </c>
      <c r="I2431" s="23" t="str">
        <f t="shared" si="112"/>
        <v xml:space="preserve">COM VALOR</v>
      </c>
      <c r="J2431" s="19"/>
      <c r="L2431" s="21">
        <v>6.2199999999999998</v>
      </c>
      <c r="M2431" s="22">
        <v>1</v>
      </c>
      <c r="N2431" s="21">
        <v>6.2199999999999998</v>
      </c>
      <c r="O2431" s="22">
        <v>1</v>
      </c>
    </row>
    <row r="2432" ht="51">
      <c r="A2432" t="s">
        <v>2030</v>
      </c>
      <c r="B2432" s="19">
        <v>105980</v>
      </c>
      <c r="C2432" s="20" t="s">
        <v>2486</v>
      </c>
      <c r="D2432" s="19" t="s">
        <v>2032</v>
      </c>
      <c r="E2432" s="21">
        <f t="shared" si="110"/>
        <v>15.359999999999999</v>
      </c>
      <c r="F2432" s="22">
        <v>0</v>
      </c>
      <c r="G2432" s="21">
        <f t="shared" si="111"/>
        <v>15.359999999999999</v>
      </c>
      <c r="H2432" s="22">
        <v>0</v>
      </c>
      <c r="I2432" s="23" t="str">
        <f t="shared" si="112"/>
        <v xml:space="preserve">COM VALOR</v>
      </c>
      <c r="J2432" s="19"/>
      <c r="L2432" s="21">
        <v>15.359999999999999</v>
      </c>
      <c r="M2432" s="22">
        <v>1</v>
      </c>
      <c r="N2432" s="21">
        <v>15.359999999999999</v>
      </c>
      <c r="O2432" s="22">
        <v>1</v>
      </c>
    </row>
    <row r="2433" ht="63.75">
      <c r="A2433" t="s">
        <v>2030</v>
      </c>
      <c r="B2433" s="19">
        <v>105981</v>
      </c>
      <c r="C2433" s="20" t="s">
        <v>2487</v>
      </c>
      <c r="D2433" s="19" t="s">
        <v>2032</v>
      </c>
      <c r="E2433" s="21">
        <f t="shared" si="110"/>
        <v>71.170000000000002</v>
      </c>
      <c r="F2433" s="22">
        <v>0</v>
      </c>
      <c r="G2433" s="21">
        <f t="shared" si="111"/>
        <v>71.170000000000002</v>
      </c>
      <c r="H2433" s="22">
        <v>0</v>
      </c>
      <c r="I2433" s="23" t="str">
        <f t="shared" si="112"/>
        <v xml:space="preserve">COM VALOR</v>
      </c>
      <c r="J2433" s="19"/>
      <c r="L2433" s="21">
        <v>71.170000000000002</v>
      </c>
      <c r="M2433" s="22">
        <v>1</v>
      </c>
      <c r="N2433" s="21">
        <v>71.170000000000002</v>
      </c>
      <c r="O2433" s="22">
        <v>1</v>
      </c>
    </row>
    <row r="2434" ht="63.75">
      <c r="A2434" t="s">
        <v>2030</v>
      </c>
      <c r="B2434" s="19">
        <v>105983</v>
      </c>
      <c r="C2434" s="20" t="s">
        <v>2488</v>
      </c>
      <c r="D2434" s="19" t="s">
        <v>2032</v>
      </c>
      <c r="E2434" s="21">
        <f t="shared" si="110"/>
        <v>179.12</v>
      </c>
      <c r="F2434" s="22">
        <v>0</v>
      </c>
      <c r="G2434" s="21">
        <f t="shared" si="111"/>
        <v>179.12</v>
      </c>
      <c r="H2434" s="22">
        <v>0</v>
      </c>
      <c r="I2434" s="23" t="str">
        <f t="shared" si="112"/>
        <v xml:space="preserve">COM VALOR</v>
      </c>
      <c r="J2434" s="19"/>
      <c r="L2434" s="21">
        <v>179.12</v>
      </c>
      <c r="M2434" s="22">
        <v>0</v>
      </c>
      <c r="N2434" s="21">
        <v>179.12</v>
      </c>
      <c r="O2434" s="22">
        <v>0</v>
      </c>
    </row>
    <row r="2435" ht="38.25">
      <c r="A2435" t="s">
        <v>2030</v>
      </c>
      <c r="B2435" s="19">
        <v>98760</v>
      </c>
      <c r="C2435" s="20" t="s">
        <v>2489</v>
      </c>
      <c r="D2435" s="19" t="s">
        <v>2032</v>
      </c>
      <c r="E2435" s="21">
        <f t="shared" si="110"/>
        <v>8.0000000000000002e-002</v>
      </c>
      <c r="F2435" s="22">
        <v>0</v>
      </c>
      <c r="G2435" s="21">
        <f t="shared" si="111"/>
        <v>8.0000000000000002e-002</v>
      </c>
      <c r="H2435" s="22">
        <v>0</v>
      </c>
      <c r="I2435" s="23" t="str">
        <f t="shared" si="112"/>
        <v xml:space="preserve">COM VALOR</v>
      </c>
      <c r="J2435" s="19"/>
      <c r="L2435" s="21">
        <v>8.0000000000000002e-002</v>
      </c>
      <c r="M2435" s="22">
        <v>0</v>
      </c>
      <c r="N2435" s="21">
        <v>8.0000000000000002e-002</v>
      </c>
      <c r="O2435" s="22">
        <v>0</v>
      </c>
    </row>
    <row r="2436" ht="38.25">
      <c r="A2436" t="s">
        <v>2030</v>
      </c>
      <c r="B2436" s="19">
        <v>98761</v>
      </c>
      <c r="C2436" s="20" t="s">
        <v>2490</v>
      </c>
      <c r="D2436" s="19" t="s">
        <v>2032</v>
      </c>
      <c r="E2436" s="21">
        <f t="shared" si="110"/>
        <v>1.e-002</v>
      </c>
      <c r="F2436" s="22">
        <v>0</v>
      </c>
      <c r="G2436" s="21">
        <f t="shared" si="111"/>
        <v>1.e-002</v>
      </c>
      <c r="H2436" s="22">
        <v>0</v>
      </c>
      <c r="I2436" s="23" t="str">
        <f t="shared" si="112"/>
        <v xml:space="preserve">COM VALOR</v>
      </c>
      <c r="J2436" s="19"/>
      <c r="L2436" s="21">
        <v>1.e-002</v>
      </c>
      <c r="M2436" s="22">
        <v>0</v>
      </c>
      <c r="N2436" s="21">
        <v>1.e-002</v>
      </c>
      <c r="O2436" s="22">
        <v>0</v>
      </c>
    </row>
    <row r="2437" ht="38.25">
      <c r="A2437" t="s">
        <v>2030</v>
      </c>
      <c r="B2437" s="19">
        <v>98762</v>
      </c>
      <c r="C2437" s="20" t="s">
        <v>2491</v>
      </c>
      <c r="D2437" s="19" t="s">
        <v>2032</v>
      </c>
      <c r="E2437" s="21">
        <f t="shared" si="110"/>
        <v>0.10000000000000001</v>
      </c>
      <c r="F2437" s="22">
        <v>0</v>
      </c>
      <c r="G2437" s="21">
        <f t="shared" si="111"/>
        <v>0.10000000000000001</v>
      </c>
      <c r="H2437" s="22">
        <v>0</v>
      </c>
      <c r="I2437" s="23" t="str">
        <f t="shared" si="112"/>
        <v xml:space="preserve">COM VALOR</v>
      </c>
      <c r="J2437" s="19"/>
      <c r="L2437" s="21">
        <v>0.10000000000000001</v>
      </c>
      <c r="M2437" s="22">
        <v>0</v>
      </c>
      <c r="N2437" s="21">
        <v>0.10000000000000001</v>
      </c>
      <c r="O2437" s="22">
        <v>0</v>
      </c>
    </row>
    <row r="2438" ht="51">
      <c r="A2438" t="s">
        <v>2030</v>
      </c>
      <c r="B2438" s="19">
        <v>98763</v>
      </c>
      <c r="C2438" s="20" t="s">
        <v>2492</v>
      </c>
      <c r="D2438" s="19" t="s">
        <v>2032</v>
      </c>
      <c r="E2438" s="21">
        <f t="shared" si="110"/>
        <v>6.7199999999999998</v>
      </c>
      <c r="F2438" s="22">
        <v>0</v>
      </c>
      <c r="G2438" s="21">
        <f t="shared" si="111"/>
        <v>6.7199999999999998</v>
      </c>
      <c r="H2438" s="22">
        <v>0</v>
      </c>
      <c r="I2438" s="23" t="str">
        <f t="shared" si="112"/>
        <v xml:space="preserve">COM VALOR</v>
      </c>
      <c r="J2438" s="19"/>
      <c r="L2438" s="21">
        <v>6.7199999999999998</v>
      </c>
      <c r="M2438" s="22">
        <v>0</v>
      </c>
      <c r="N2438" s="21">
        <v>6.7199999999999998</v>
      </c>
      <c r="O2438" s="22">
        <v>0</v>
      </c>
    </row>
    <row r="2439" ht="38.25">
      <c r="A2439" t="s">
        <v>2030</v>
      </c>
      <c r="B2439" s="19">
        <v>99829</v>
      </c>
      <c r="C2439" s="20" t="s">
        <v>2493</v>
      </c>
      <c r="D2439" s="19" t="s">
        <v>2032</v>
      </c>
      <c r="E2439" s="21">
        <f t="shared" si="110"/>
        <v>0.14000000000000001</v>
      </c>
      <c r="F2439" s="22">
        <v>0</v>
      </c>
      <c r="G2439" s="21">
        <f t="shared" si="111"/>
        <v>0.14000000000000001</v>
      </c>
      <c r="H2439" s="22">
        <v>0</v>
      </c>
      <c r="I2439" s="23" t="str">
        <f t="shared" si="112"/>
        <v xml:space="preserve">COM VALOR</v>
      </c>
      <c r="J2439" s="19"/>
      <c r="L2439" s="21">
        <v>0.14000000000000001</v>
      </c>
      <c r="M2439" s="22">
        <v>0</v>
      </c>
      <c r="N2439" s="21">
        <v>0.14000000000000001</v>
      </c>
      <c r="O2439" s="22">
        <v>0</v>
      </c>
    </row>
    <row r="2440" ht="38.25">
      <c r="A2440" t="s">
        <v>2030</v>
      </c>
      <c r="B2440" s="19">
        <v>99830</v>
      </c>
      <c r="C2440" s="20" t="s">
        <v>2494</v>
      </c>
      <c r="D2440" s="19" t="s">
        <v>2032</v>
      </c>
      <c r="E2440" s="21">
        <f t="shared" si="110"/>
        <v>2.9999999999999999e-002</v>
      </c>
      <c r="F2440" s="22">
        <v>0</v>
      </c>
      <c r="G2440" s="21">
        <f t="shared" si="111"/>
        <v>2.9999999999999999e-002</v>
      </c>
      <c r="H2440" s="22">
        <v>0</v>
      </c>
      <c r="I2440" s="23" t="str">
        <f t="shared" si="112"/>
        <v xml:space="preserve">COM VALOR</v>
      </c>
      <c r="J2440" s="19"/>
      <c r="L2440" s="21">
        <v>2.9999999999999999e-002</v>
      </c>
      <c r="M2440" s="22">
        <v>0</v>
      </c>
      <c r="N2440" s="21">
        <v>2.9999999999999999e-002</v>
      </c>
      <c r="O2440" s="22">
        <v>0</v>
      </c>
    </row>
    <row r="2441" ht="38.25">
      <c r="A2441" t="s">
        <v>2030</v>
      </c>
      <c r="B2441" s="19">
        <v>99831</v>
      </c>
      <c r="C2441" s="20" t="s">
        <v>2495</v>
      </c>
      <c r="D2441" s="19" t="s">
        <v>2032</v>
      </c>
      <c r="E2441" s="21">
        <f t="shared" si="110"/>
        <v>0.10000000000000001</v>
      </c>
      <c r="F2441" s="22">
        <v>0</v>
      </c>
      <c r="G2441" s="21">
        <f t="shared" si="111"/>
        <v>0.10000000000000001</v>
      </c>
      <c r="H2441" s="22">
        <v>0</v>
      </c>
      <c r="I2441" s="23" t="str">
        <f t="shared" si="112"/>
        <v xml:space="preserve">COM VALOR</v>
      </c>
      <c r="J2441" s="19"/>
      <c r="L2441" s="21">
        <v>0.10000000000000001</v>
      </c>
      <c r="M2441" s="22">
        <v>0</v>
      </c>
      <c r="N2441" s="21">
        <v>0.10000000000000001</v>
      </c>
      <c r="O2441" s="22">
        <v>0</v>
      </c>
    </row>
    <row r="2442" ht="38.25">
      <c r="A2442" t="s">
        <v>2030</v>
      </c>
      <c r="B2442" s="19">
        <v>99832</v>
      </c>
      <c r="C2442" s="20" t="s">
        <v>2496</v>
      </c>
      <c r="D2442" s="19" t="s">
        <v>2032</v>
      </c>
      <c r="E2442" s="21">
        <f t="shared" si="110"/>
        <v>4.9900000000000002</v>
      </c>
      <c r="F2442" s="22">
        <v>0</v>
      </c>
      <c r="G2442" s="21">
        <f t="shared" si="111"/>
        <v>4.9900000000000002</v>
      </c>
      <c r="H2442" s="22">
        <v>0</v>
      </c>
      <c r="I2442" s="23" t="str">
        <f t="shared" si="112"/>
        <v xml:space="preserve">COM VALOR</v>
      </c>
      <c r="J2442" s="19"/>
      <c r="L2442" s="21">
        <v>4.9900000000000002</v>
      </c>
      <c r="M2442" s="22">
        <v>0</v>
      </c>
      <c r="N2442" s="21">
        <v>4.9900000000000002</v>
      </c>
      <c r="O2442" s="22">
        <v>0</v>
      </c>
    </row>
    <row r="2443" ht="38.25">
      <c r="A2443" t="s">
        <v>2030</v>
      </c>
      <c r="B2443" s="19">
        <v>104516</v>
      </c>
      <c r="C2443" s="20" t="s">
        <v>2497</v>
      </c>
      <c r="D2443" s="19" t="s">
        <v>2032</v>
      </c>
      <c r="E2443" s="21" t="str">
        <f t="shared" ref="E2443:E2506" si="113">IF(L2443=0,"VERIFICAR",L2443)</f>
        <v>VERIFICAR</v>
      </c>
      <c r="F2443" s="22">
        <v>0</v>
      </c>
      <c r="G2443" s="21" t="str">
        <f t="shared" ref="G2443:G2506" si="114">IF(N2443=0,"VERIFICAR",N2443)</f>
        <v>VERIFICAR</v>
      </c>
      <c r="H2443" s="22">
        <v>0</v>
      </c>
      <c r="I2443" s="23" t="str">
        <f t="shared" ref="I2443:I2506" si="115">IF(OR(E2443=0,G2443=0),"SEM VALOR","COM VALOR")</f>
        <v xml:space="preserve">COM VALOR</v>
      </c>
      <c r="J2443" s="19"/>
      <c r="L2443" s="21">
        <v>0</v>
      </c>
      <c r="M2443" s="22"/>
      <c r="N2443" s="21">
        <v>0</v>
      </c>
      <c r="O2443" s="22"/>
    </row>
    <row r="2444" ht="38.25">
      <c r="A2444" t="s">
        <v>2030</v>
      </c>
      <c r="B2444" s="19">
        <v>104517</v>
      </c>
      <c r="C2444" s="20" t="s">
        <v>2498</v>
      </c>
      <c r="D2444" s="19" t="s">
        <v>2032</v>
      </c>
      <c r="E2444" s="21" t="str">
        <f t="shared" si="113"/>
        <v>VERIFICAR</v>
      </c>
      <c r="F2444" s="22">
        <v>0</v>
      </c>
      <c r="G2444" s="21" t="str">
        <f t="shared" si="114"/>
        <v>VERIFICAR</v>
      </c>
      <c r="H2444" s="22">
        <v>0</v>
      </c>
      <c r="I2444" s="23" t="str">
        <f t="shared" si="115"/>
        <v xml:space="preserve">COM VALOR</v>
      </c>
      <c r="J2444" s="19"/>
      <c r="L2444" s="21">
        <v>0</v>
      </c>
      <c r="M2444" s="22"/>
      <c r="N2444" s="21">
        <v>0</v>
      </c>
      <c r="O2444" s="22"/>
    </row>
    <row r="2445" ht="38.25">
      <c r="A2445" t="s">
        <v>2030</v>
      </c>
      <c r="B2445" s="19">
        <v>104518</v>
      </c>
      <c r="C2445" s="20" t="s">
        <v>2499</v>
      </c>
      <c r="D2445" s="19" t="s">
        <v>2032</v>
      </c>
      <c r="E2445" s="21" t="str">
        <f t="shared" si="113"/>
        <v>VERIFICAR</v>
      </c>
      <c r="F2445" s="22">
        <v>0.25</v>
      </c>
      <c r="G2445" s="21" t="str">
        <f t="shared" si="114"/>
        <v>VERIFICAR</v>
      </c>
      <c r="H2445" s="22">
        <v>0.25</v>
      </c>
      <c r="I2445" s="23" t="str">
        <f t="shared" si="115"/>
        <v xml:space="preserve">COM VALOR</v>
      </c>
      <c r="J2445" s="19"/>
      <c r="L2445" s="21">
        <v>0</v>
      </c>
      <c r="M2445" s="22"/>
      <c r="N2445" s="21">
        <v>0</v>
      </c>
      <c r="O2445" s="22"/>
    </row>
    <row r="2446" ht="38.25">
      <c r="A2446" t="s">
        <v>2030</v>
      </c>
      <c r="B2446" s="19">
        <v>104519</v>
      </c>
      <c r="C2446" s="20" t="s">
        <v>2500</v>
      </c>
      <c r="D2446" s="19" t="s">
        <v>2032</v>
      </c>
      <c r="E2446" s="21">
        <f t="shared" si="113"/>
        <v>0.71999999999999997</v>
      </c>
      <c r="F2446" s="22">
        <v>0.34000000000000002</v>
      </c>
      <c r="G2446" s="21">
        <f t="shared" si="114"/>
        <v>0.71999999999999997</v>
      </c>
      <c r="H2446" s="22">
        <v>0.34000000000000002</v>
      </c>
      <c r="I2446" s="23" t="str">
        <f t="shared" si="115"/>
        <v xml:space="preserve">COM VALOR</v>
      </c>
      <c r="J2446" s="19"/>
      <c r="L2446" s="21">
        <v>0.71999999999999997</v>
      </c>
      <c r="M2446" s="22">
        <v>0</v>
      </c>
      <c r="N2446" s="21">
        <v>0.71999999999999997</v>
      </c>
      <c r="O2446" s="22">
        <v>0</v>
      </c>
    </row>
    <row r="2447" ht="38.25">
      <c r="A2447" t="s">
        <v>2030</v>
      </c>
      <c r="B2447" s="19">
        <v>90682</v>
      </c>
      <c r="C2447" s="20" t="s">
        <v>2501</v>
      </c>
      <c r="D2447" s="19" t="s">
        <v>2032</v>
      </c>
      <c r="E2447" s="21">
        <f t="shared" si="113"/>
        <v>38.770000000000003</v>
      </c>
      <c r="F2447" s="22">
        <v>0.34000000000000002</v>
      </c>
      <c r="G2447" s="21">
        <f t="shared" si="114"/>
        <v>38.770000000000003</v>
      </c>
      <c r="H2447" s="22">
        <v>0.34000000000000002</v>
      </c>
      <c r="I2447" s="23" t="str">
        <f t="shared" si="115"/>
        <v xml:space="preserve">COM VALOR</v>
      </c>
      <c r="J2447" s="19"/>
      <c r="L2447" s="21">
        <v>38.770000000000003</v>
      </c>
      <c r="M2447" s="22">
        <v>1</v>
      </c>
      <c r="N2447" s="21">
        <v>38.770000000000003</v>
      </c>
      <c r="O2447" s="22">
        <v>1</v>
      </c>
    </row>
    <row r="2448" ht="38.25">
      <c r="A2448" t="s">
        <v>2030</v>
      </c>
      <c r="B2448" s="19">
        <v>90683</v>
      </c>
      <c r="C2448" s="20" t="s">
        <v>2502</v>
      </c>
      <c r="D2448" s="19" t="s">
        <v>2032</v>
      </c>
      <c r="E2448" s="21">
        <f t="shared" si="113"/>
        <v>8.9600000000000009</v>
      </c>
      <c r="F2448" s="22">
        <v>0.34000000000000002</v>
      </c>
      <c r="G2448" s="21">
        <f t="shared" si="114"/>
        <v>8.9600000000000009</v>
      </c>
      <c r="H2448" s="22">
        <v>0.34000000000000002</v>
      </c>
      <c r="I2448" s="23" t="str">
        <f t="shared" si="115"/>
        <v xml:space="preserve">COM VALOR</v>
      </c>
      <c r="J2448" s="19"/>
      <c r="L2448" s="21">
        <v>8.9600000000000009</v>
      </c>
      <c r="M2448" s="22">
        <v>1</v>
      </c>
      <c r="N2448" s="21">
        <v>8.9600000000000009</v>
      </c>
      <c r="O2448" s="22">
        <v>1</v>
      </c>
    </row>
    <row r="2449" ht="38.25">
      <c r="A2449" t="s">
        <v>2030</v>
      </c>
      <c r="B2449" s="19">
        <v>90684</v>
      </c>
      <c r="C2449" s="20" t="s">
        <v>2503</v>
      </c>
      <c r="D2449" s="19" t="s">
        <v>2032</v>
      </c>
      <c r="E2449" s="21">
        <f t="shared" si="113"/>
        <v>42.409999999999997</v>
      </c>
      <c r="F2449" s="22">
        <v>0</v>
      </c>
      <c r="G2449" s="21">
        <f t="shared" si="114"/>
        <v>42.409999999999997</v>
      </c>
      <c r="H2449" s="22">
        <v>0</v>
      </c>
      <c r="I2449" s="23" t="str">
        <f t="shared" si="115"/>
        <v xml:space="preserve">COM VALOR</v>
      </c>
      <c r="J2449" s="19"/>
      <c r="L2449" s="21">
        <v>42.409999999999997</v>
      </c>
      <c r="M2449" s="22">
        <v>1</v>
      </c>
      <c r="N2449" s="21">
        <v>42.409999999999997</v>
      </c>
      <c r="O2449" s="22">
        <v>1</v>
      </c>
    </row>
    <row r="2450" ht="38.25">
      <c r="A2450" t="s">
        <v>2030</v>
      </c>
      <c r="B2450" s="19">
        <v>90685</v>
      </c>
      <c r="C2450" s="20" t="s">
        <v>2504</v>
      </c>
      <c r="D2450" s="19" t="s">
        <v>2032</v>
      </c>
      <c r="E2450" s="21">
        <f t="shared" si="113"/>
        <v>64.569999999999993</v>
      </c>
      <c r="F2450" s="22">
        <v>0</v>
      </c>
      <c r="G2450" s="21">
        <f t="shared" si="114"/>
        <v>64.569999999999993</v>
      </c>
      <c r="H2450" s="22">
        <v>0</v>
      </c>
      <c r="I2450" s="23" t="str">
        <f t="shared" si="115"/>
        <v xml:space="preserve">COM VALOR</v>
      </c>
      <c r="J2450" s="19"/>
      <c r="L2450" s="21">
        <v>64.569999999999993</v>
      </c>
      <c r="M2450" s="22">
        <v>0</v>
      </c>
      <c r="N2450" s="21">
        <v>64.569999999999993</v>
      </c>
      <c r="O2450" s="22">
        <v>0</v>
      </c>
    </row>
    <row r="2451" ht="25.5">
      <c r="A2451" t="s">
        <v>2030</v>
      </c>
      <c r="B2451" s="19">
        <v>95114</v>
      </c>
      <c r="C2451" s="20" t="s">
        <v>2505</v>
      </c>
      <c r="D2451" s="19" t="s">
        <v>2032</v>
      </c>
      <c r="E2451" s="21">
        <f t="shared" si="113"/>
        <v>0.51000000000000001</v>
      </c>
      <c r="F2451" s="22">
        <v>0</v>
      </c>
      <c r="G2451" s="21">
        <f t="shared" si="114"/>
        <v>0.51000000000000001</v>
      </c>
      <c r="H2451" s="22">
        <v>0</v>
      </c>
      <c r="I2451" s="23" t="str">
        <f t="shared" si="115"/>
        <v xml:space="preserve">COM VALOR</v>
      </c>
      <c r="J2451" s="19"/>
      <c r="L2451" s="21">
        <v>0.51000000000000001</v>
      </c>
      <c r="M2451" s="22">
        <v>0</v>
      </c>
      <c r="N2451" s="21">
        <v>0.51000000000000001</v>
      </c>
      <c r="O2451" s="22">
        <v>0</v>
      </c>
    </row>
    <row r="2452" ht="25.5">
      <c r="A2452" t="s">
        <v>2030</v>
      </c>
      <c r="B2452" s="19">
        <v>95115</v>
      </c>
      <c r="C2452" s="20" t="s">
        <v>2506</v>
      </c>
      <c r="D2452" s="19" t="s">
        <v>2032</v>
      </c>
      <c r="E2452" s="21">
        <f t="shared" si="113"/>
        <v>0.11</v>
      </c>
      <c r="F2452" s="22">
        <v>0</v>
      </c>
      <c r="G2452" s="21">
        <f t="shared" si="114"/>
        <v>0.11</v>
      </c>
      <c r="H2452" s="22">
        <v>0</v>
      </c>
      <c r="I2452" s="23" t="str">
        <f t="shared" si="115"/>
        <v xml:space="preserve">COM VALOR</v>
      </c>
      <c r="J2452" s="19"/>
      <c r="L2452" s="21">
        <v>0.11</v>
      </c>
      <c r="M2452" s="22">
        <v>0</v>
      </c>
      <c r="N2452" s="21">
        <v>0.11</v>
      </c>
      <c r="O2452" s="22">
        <v>0</v>
      </c>
    </row>
    <row r="2453" ht="25.5">
      <c r="A2453" t="s">
        <v>2030</v>
      </c>
      <c r="B2453" s="19">
        <v>53863</v>
      </c>
      <c r="C2453" s="20" t="s">
        <v>2507</v>
      </c>
      <c r="D2453" s="19" t="s">
        <v>2032</v>
      </c>
      <c r="E2453" s="21">
        <f t="shared" si="113"/>
        <v>0.64000000000000001</v>
      </c>
      <c r="F2453" s="22">
        <v>0</v>
      </c>
      <c r="G2453" s="21">
        <f t="shared" si="114"/>
        <v>0.64000000000000001</v>
      </c>
      <c r="H2453" s="22">
        <v>0</v>
      </c>
      <c r="I2453" s="23" t="str">
        <f t="shared" si="115"/>
        <v xml:space="preserve">COM VALOR</v>
      </c>
      <c r="J2453" s="19"/>
      <c r="L2453" s="21">
        <v>0.64000000000000001</v>
      </c>
      <c r="M2453" s="22">
        <v>0</v>
      </c>
      <c r="N2453" s="21">
        <v>0.64000000000000001</v>
      </c>
      <c r="O2453" s="22">
        <v>0</v>
      </c>
    </row>
    <row r="2454" ht="25.5">
      <c r="A2454" t="s">
        <v>2030</v>
      </c>
      <c r="B2454" s="19">
        <v>104652</v>
      </c>
      <c r="C2454" s="20" t="s">
        <v>2508</v>
      </c>
      <c r="D2454" s="19" t="s">
        <v>2032</v>
      </c>
      <c r="E2454" s="21" t="str">
        <f t="shared" si="113"/>
        <v>VERIFICAR</v>
      </c>
      <c r="F2454" s="22">
        <v>0</v>
      </c>
      <c r="G2454" s="21" t="str">
        <f t="shared" si="114"/>
        <v>VERIFICAR</v>
      </c>
      <c r="H2454" s="22">
        <v>0</v>
      </c>
      <c r="I2454" s="23" t="str">
        <f t="shared" si="115"/>
        <v xml:space="preserve">COM VALOR</v>
      </c>
      <c r="J2454" s="19"/>
      <c r="L2454" s="21">
        <v>0</v>
      </c>
      <c r="M2454" s="22"/>
      <c r="N2454" s="21">
        <v>0</v>
      </c>
      <c r="O2454" s="22"/>
    </row>
    <row r="2455" ht="25.5">
      <c r="A2455" t="s">
        <v>2030</v>
      </c>
      <c r="B2455" s="19">
        <v>104653</v>
      </c>
      <c r="C2455" s="20" t="s">
        <v>2509</v>
      </c>
      <c r="D2455" s="19" t="s">
        <v>2032</v>
      </c>
      <c r="E2455" s="21" t="str">
        <f t="shared" si="113"/>
        <v>VERIFICAR</v>
      </c>
      <c r="F2455" s="22">
        <v>0</v>
      </c>
      <c r="G2455" s="21" t="str">
        <f t="shared" si="114"/>
        <v>VERIFICAR</v>
      </c>
      <c r="H2455" s="22">
        <v>0</v>
      </c>
      <c r="I2455" s="23" t="str">
        <f t="shared" si="115"/>
        <v xml:space="preserve">COM VALOR</v>
      </c>
      <c r="J2455" s="19"/>
      <c r="L2455" s="21">
        <v>0</v>
      </c>
      <c r="M2455" s="22"/>
      <c r="N2455" s="21">
        <v>0</v>
      </c>
      <c r="O2455" s="22"/>
    </row>
    <row r="2456" ht="25.5">
      <c r="A2456" t="s">
        <v>2030</v>
      </c>
      <c r="B2456" s="19">
        <v>104654</v>
      </c>
      <c r="C2456" s="20" t="s">
        <v>2510</v>
      </c>
      <c r="D2456" s="19" t="s">
        <v>2032</v>
      </c>
      <c r="E2456" s="21" t="str">
        <f t="shared" si="113"/>
        <v>VERIFICAR</v>
      </c>
      <c r="F2456" s="22">
        <v>0</v>
      </c>
      <c r="G2456" s="21" t="str">
        <f t="shared" si="114"/>
        <v>VERIFICAR</v>
      </c>
      <c r="H2456" s="22">
        <v>0</v>
      </c>
      <c r="I2456" s="23" t="str">
        <f t="shared" si="115"/>
        <v xml:space="preserve">COM VALOR</v>
      </c>
      <c r="J2456" s="19"/>
      <c r="L2456" s="21">
        <v>0</v>
      </c>
      <c r="M2456" s="22"/>
      <c r="N2456" s="21">
        <v>0</v>
      </c>
      <c r="O2456" s="22"/>
    </row>
    <row r="2457" ht="25.5">
      <c r="A2457" t="s">
        <v>2030</v>
      </c>
      <c r="B2457" s="19">
        <v>104655</v>
      </c>
      <c r="C2457" s="20" t="s">
        <v>2511</v>
      </c>
      <c r="D2457" s="19" t="s">
        <v>2032</v>
      </c>
      <c r="E2457" s="21">
        <f t="shared" si="113"/>
        <v>0.76000000000000001</v>
      </c>
      <c r="F2457" s="22">
        <v>0</v>
      </c>
      <c r="G2457" s="21">
        <f t="shared" si="114"/>
        <v>0.76000000000000001</v>
      </c>
      <c r="H2457" s="22">
        <v>0</v>
      </c>
      <c r="I2457" s="23" t="str">
        <f t="shared" si="115"/>
        <v xml:space="preserve">COM VALOR</v>
      </c>
      <c r="J2457" s="19"/>
      <c r="L2457" s="21">
        <v>0.76000000000000001</v>
      </c>
      <c r="M2457" s="22">
        <v>0</v>
      </c>
      <c r="N2457" s="21">
        <v>0.76000000000000001</v>
      </c>
      <c r="O2457" s="22">
        <v>0</v>
      </c>
    </row>
    <row r="2458" ht="25.5">
      <c r="A2458" t="s">
        <v>2030</v>
      </c>
      <c r="B2458" s="19">
        <v>102270</v>
      </c>
      <c r="C2458" s="20" t="s">
        <v>2512</v>
      </c>
      <c r="D2458" s="19" t="s">
        <v>2032</v>
      </c>
      <c r="E2458" s="21">
        <f t="shared" si="113"/>
        <v>0.85999999999999999</v>
      </c>
      <c r="F2458" s="22">
        <v>0</v>
      </c>
      <c r="G2458" s="21">
        <f t="shared" si="114"/>
        <v>0.85999999999999999</v>
      </c>
      <c r="H2458" s="22">
        <v>0</v>
      </c>
      <c r="I2458" s="23" t="str">
        <f t="shared" si="115"/>
        <v xml:space="preserve">COM VALOR</v>
      </c>
      <c r="J2458" s="19"/>
      <c r="L2458" s="21">
        <v>0.85999999999999999</v>
      </c>
      <c r="M2458" s="22">
        <v>0</v>
      </c>
      <c r="N2458" s="21">
        <v>0.85999999999999999</v>
      </c>
      <c r="O2458" s="22">
        <v>0</v>
      </c>
    </row>
    <row r="2459" ht="25.5">
      <c r="A2459" t="s">
        <v>2030</v>
      </c>
      <c r="B2459" s="19">
        <v>102271</v>
      </c>
      <c r="C2459" s="20" t="s">
        <v>2513</v>
      </c>
      <c r="D2459" s="19" t="s">
        <v>2032</v>
      </c>
      <c r="E2459" s="21">
        <f t="shared" si="113"/>
        <v>0.20000000000000001</v>
      </c>
      <c r="F2459" s="22">
        <v>0</v>
      </c>
      <c r="G2459" s="21">
        <f t="shared" si="114"/>
        <v>0.20000000000000001</v>
      </c>
      <c r="H2459" s="22">
        <v>0</v>
      </c>
      <c r="I2459" s="23" t="str">
        <f t="shared" si="115"/>
        <v xml:space="preserve">COM VALOR</v>
      </c>
      <c r="J2459" s="19"/>
      <c r="L2459" s="21">
        <v>0.20000000000000001</v>
      </c>
      <c r="M2459" s="22">
        <v>0</v>
      </c>
      <c r="N2459" s="21">
        <v>0.20000000000000001</v>
      </c>
      <c r="O2459" s="22">
        <v>0</v>
      </c>
    </row>
    <row r="2460" ht="25.5">
      <c r="A2460" t="s">
        <v>2030</v>
      </c>
      <c r="B2460" s="19">
        <v>102272</v>
      </c>
      <c r="C2460" s="20" t="s">
        <v>2514</v>
      </c>
      <c r="D2460" s="19" t="s">
        <v>2032</v>
      </c>
      <c r="E2460" s="21">
        <f t="shared" si="113"/>
        <v>1.0800000000000001</v>
      </c>
      <c r="F2460" s="22">
        <v>0</v>
      </c>
      <c r="G2460" s="21">
        <f t="shared" si="114"/>
        <v>1.0800000000000001</v>
      </c>
      <c r="H2460" s="22">
        <v>0</v>
      </c>
      <c r="I2460" s="23" t="str">
        <f t="shared" si="115"/>
        <v xml:space="preserve">COM VALOR</v>
      </c>
      <c r="J2460" s="19"/>
      <c r="L2460" s="21">
        <v>1.0800000000000001</v>
      </c>
      <c r="M2460" s="22">
        <v>0</v>
      </c>
      <c r="N2460" s="21">
        <v>1.0800000000000001</v>
      </c>
      <c r="O2460" s="22">
        <v>0</v>
      </c>
    </row>
    <row r="2461" ht="38.25">
      <c r="A2461" t="s">
        <v>2030</v>
      </c>
      <c r="B2461" s="19">
        <v>102273</v>
      </c>
      <c r="C2461" s="20" t="s">
        <v>2515</v>
      </c>
      <c r="D2461" s="19" t="s">
        <v>2032</v>
      </c>
      <c r="E2461" s="21">
        <f t="shared" si="113"/>
        <v>1.9199999999999999</v>
      </c>
      <c r="F2461" s="22">
        <v>0</v>
      </c>
      <c r="G2461" s="21">
        <f t="shared" si="114"/>
        <v>1.9199999999999999</v>
      </c>
      <c r="H2461" s="22">
        <v>0</v>
      </c>
      <c r="I2461" s="23" t="str">
        <f t="shared" si="115"/>
        <v xml:space="preserve">COM VALOR</v>
      </c>
      <c r="J2461" s="19"/>
      <c r="L2461" s="21">
        <v>1.9199999999999999</v>
      </c>
      <c r="M2461" s="22">
        <v>0</v>
      </c>
      <c r="N2461" s="21">
        <v>1.9199999999999999</v>
      </c>
      <c r="O2461" s="22">
        <v>0</v>
      </c>
    </row>
    <row r="2462" ht="25.5">
      <c r="A2462" t="s">
        <v>2030</v>
      </c>
      <c r="B2462" s="19">
        <v>95255</v>
      </c>
      <c r="C2462" s="20" t="s">
        <v>2516</v>
      </c>
      <c r="D2462" s="19" t="s">
        <v>2032</v>
      </c>
      <c r="E2462" s="21">
        <f t="shared" si="113"/>
        <v>1.03</v>
      </c>
      <c r="F2462" s="22">
        <v>0</v>
      </c>
      <c r="G2462" s="21">
        <f t="shared" si="114"/>
        <v>1.03</v>
      </c>
      <c r="H2462" s="22">
        <v>0</v>
      </c>
      <c r="I2462" s="23" t="str">
        <f t="shared" si="115"/>
        <v xml:space="preserve">COM VALOR</v>
      </c>
      <c r="J2462" s="19"/>
      <c r="L2462" s="21">
        <v>1.03</v>
      </c>
      <c r="M2462" s="22">
        <v>0</v>
      </c>
      <c r="N2462" s="21">
        <v>1.03</v>
      </c>
      <c r="O2462" s="22">
        <v>0</v>
      </c>
    </row>
    <row r="2463" ht="12.75">
      <c r="A2463" t="s">
        <v>2030</v>
      </c>
      <c r="B2463" s="19">
        <v>95256</v>
      </c>
      <c r="C2463" s="20" t="s">
        <v>2517</v>
      </c>
      <c r="D2463" s="19" t="s">
        <v>2032</v>
      </c>
      <c r="E2463" s="21">
        <f t="shared" si="113"/>
        <v>0.23999999999999999</v>
      </c>
      <c r="F2463" s="22">
        <v>0</v>
      </c>
      <c r="G2463" s="21">
        <f t="shared" si="114"/>
        <v>0.23999999999999999</v>
      </c>
      <c r="H2463" s="22">
        <v>0</v>
      </c>
      <c r="I2463" s="23" t="str">
        <f t="shared" si="115"/>
        <v xml:space="preserve">COM VALOR</v>
      </c>
      <c r="J2463" s="19"/>
      <c r="L2463" s="21">
        <v>0.23999999999999999</v>
      </c>
      <c r="M2463" s="22">
        <v>0</v>
      </c>
      <c r="N2463" s="21">
        <v>0.23999999999999999</v>
      </c>
      <c r="O2463" s="22">
        <v>0</v>
      </c>
    </row>
    <row r="2464" ht="25.5">
      <c r="A2464" t="s">
        <v>2030</v>
      </c>
      <c r="B2464" s="19">
        <v>95257</v>
      </c>
      <c r="C2464" s="20" t="s">
        <v>2518</v>
      </c>
      <c r="D2464" s="19" t="s">
        <v>2032</v>
      </c>
      <c r="E2464" s="21">
        <f t="shared" si="113"/>
        <v>1.29</v>
      </c>
      <c r="F2464" s="22">
        <v>0</v>
      </c>
      <c r="G2464" s="21">
        <f t="shared" si="114"/>
        <v>1.29</v>
      </c>
      <c r="H2464" s="22">
        <v>0</v>
      </c>
      <c r="I2464" s="23" t="str">
        <f t="shared" si="115"/>
        <v xml:space="preserve">COM VALOR</v>
      </c>
      <c r="J2464" s="19"/>
      <c r="L2464" s="21">
        <v>1.29</v>
      </c>
      <c r="M2464" s="22">
        <v>0</v>
      </c>
      <c r="N2464" s="21">
        <v>1.29</v>
      </c>
      <c r="O2464" s="22">
        <v>0</v>
      </c>
    </row>
    <row r="2465" ht="25.5">
      <c r="A2465" t="s">
        <v>2030</v>
      </c>
      <c r="B2465" s="19">
        <v>105913</v>
      </c>
      <c r="C2465" s="20" t="s">
        <v>2519</v>
      </c>
      <c r="D2465" s="19" t="s">
        <v>2032</v>
      </c>
      <c r="E2465" s="21">
        <f t="shared" si="113"/>
        <v>0.88</v>
      </c>
      <c r="F2465" s="22">
        <v>0</v>
      </c>
      <c r="G2465" s="21">
        <f t="shared" si="114"/>
        <v>0.88</v>
      </c>
      <c r="H2465" s="22">
        <v>0</v>
      </c>
      <c r="I2465" s="23" t="str">
        <f t="shared" si="115"/>
        <v xml:space="preserve">COM VALOR</v>
      </c>
      <c r="J2465" s="19"/>
      <c r="L2465" s="21">
        <v>0.88</v>
      </c>
      <c r="M2465" s="22">
        <v>0</v>
      </c>
      <c r="N2465" s="21">
        <v>0.88</v>
      </c>
      <c r="O2465" s="22">
        <v>0</v>
      </c>
    </row>
    <row r="2466" ht="25.5">
      <c r="A2466" t="s">
        <v>2030</v>
      </c>
      <c r="B2466" s="19">
        <v>105914</v>
      </c>
      <c r="C2466" s="20" t="s">
        <v>2520</v>
      </c>
      <c r="D2466" s="19" t="s">
        <v>2032</v>
      </c>
      <c r="E2466" s="21">
        <f t="shared" si="113"/>
        <v>0.20000000000000001</v>
      </c>
      <c r="F2466" s="22">
        <v>0</v>
      </c>
      <c r="G2466" s="21">
        <f t="shared" si="114"/>
        <v>0.20000000000000001</v>
      </c>
      <c r="H2466" s="22">
        <v>0</v>
      </c>
      <c r="I2466" s="23" t="str">
        <f t="shared" si="115"/>
        <v xml:space="preserve">COM VALOR</v>
      </c>
      <c r="J2466" s="19"/>
      <c r="L2466" s="21">
        <v>0.20000000000000001</v>
      </c>
      <c r="M2466" s="22">
        <v>0</v>
      </c>
      <c r="N2466" s="21">
        <v>0.20000000000000001</v>
      </c>
      <c r="O2466" s="22">
        <v>0</v>
      </c>
    </row>
    <row r="2467" ht="25.5">
      <c r="A2467" t="s">
        <v>2030</v>
      </c>
      <c r="B2467" s="19">
        <v>105915</v>
      </c>
      <c r="C2467" s="20" t="s">
        <v>2521</v>
      </c>
      <c r="D2467" s="19" t="s">
        <v>2032</v>
      </c>
      <c r="E2467" s="21">
        <f t="shared" si="113"/>
        <v>1.1000000000000001</v>
      </c>
      <c r="F2467" s="22">
        <v>0</v>
      </c>
      <c r="G2467" s="21">
        <f t="shared" si="114"/>
        <v>1.1000000000000001</v>
      </c>
      <c r="H2467" s="22">
        <v>0</v>
      </c>
      <c r="I2467" s="23" t="str">
        <f t="shared" si="115"/>
        <v xml:space="preserve">COM VALOR</v>
      </c>
      <c r="J2467" s="19"/>
      <c r="L2467" s="21">
        <v>1.1000000000000001</v>
      </c>
      <c r="M2467" s="22">
        <v>0</v>
      </c>
      <c r="N2467" s="21">
        <v>1.1000000000000001</v>
      </c>
      <c r="O2467" s="22">
        <v>0</v>
      </c>
    </row>
    <row r="2468" ht="51">
      <c r="A2468" t="s">
        <v>2030</v>
      </c>
      <c r="B2468" s="19">
        <v>103792</v>
      </c>
      <c r="C2468" s="20" t="s">
        <v>2522</v>
      </c>
      <c r="D2468" s="19" t="s">
        <v>2032</v>
      </c>
      <c r="E2468" s="21">
        <f t="shared" si="113"/>
        <v>5.2800000000000002</v>
      </c>
      <c r="F2468" s="22">
        <v>0</v>
      </c>
      <c r="G2468" s="21">
        <f t="shared" si="114"/>
        <v>5.2800000000000002</v>
      </c>
      <c r="H2468" s="22">
        <v>0</v>
      </c>
      <c r="I2468" s="23" t="str">
        <f t="shared" si="115"/>
        <v xml:space="preserve">COM VALOR</v>
      </c>
      <c r="J2468" s="19"/>
      <c r="L2468" s="21">
        <v>5.2800000000000002</v>
      </c>
      <c r="M2468" s="22">
        <v>0</v>
      </c>
      <c r="N2468" s="21">
        <v>5.2800000000000002</v>
      </c>
      <c r="O2468" s="22">
        <v>0</v>
      </c>
    </row>
    <row r="2469" ht="51">
      <c r="A2469" t="s">
        <v>2030</v>
      </c>
      <c r="B2469" s="19">
        <v>103789</v>
      </c>
      <c r="C2469" s="20" t="s">
        <v>2523</v>
      </c>
      <c r="D2469" s="19" t="s">
        <v>2032</v>
      </c>
      <c r="E2469" s="21" t="str">
        <f t="shared" si="113"/>
        <v>VERIFICAR</v>
      </c>
      <c r="F2469" s="22">
        <v>0</v>
      </c>
      <c r="G2469" s="21" t="str">
        <f t="shared" si="114"/>
        <v>VERIFICAR</v>
      </c>
      <c r="H2469" s="22">
        <v>0</v>
      </c>
      <c r="I2469" s="23" t="str">
        <f t="shared" si="115"/>
        <v xml:space="preserve">COM VALOR</v>
      </c>
      <c r="J2469" s="19"/>
      <c r="L2469" s="21">
        <v>0</v>
      </c>
      <c r="M2469" s="22"/>
      <c r="N2469" s="21">
        <v>0</v>
      </c>
      <c r="O2469" s="22"/>
    </row>
    <row r="2470" ht="51">
      <c r="A2470" t="s">
        <v>2030</v>
      </c>
      <c r="B2470" s="19">
        <v>103790</v>
      </c>
      <c r="C2470" s="20" t="s">
        <v>2524</v>
      </c>
      <c r="D2470" s="19" t="s">
        <v>2032</v>
      </c>
      <c r="E2470" s="21" t="str">
        <f t="shared" si="113"/>
        <v>VERIFICAR</v>
      </c>
      <c r="F2470" s="22">
        <v>0</v>
      </c>
      <c r="G2470" s="21" t="str">
        <f t="shared" si="114"/>
        <v>VERIFICAR</v>
      </c>
      <c r="H2470" s="22">
        <v>0</v>
      </c>
      <c r="I2470" s="23" t="str">
        <f t="shared" si="115"/>
        <v xml:space="preserve">COM VALOR</v>
      </c>
      <c r="J2470" s="19"/>
      <c r="L2470" s="21">
        <v>0</v>
      </c>
      <c r="M2470" s="22"/>
      <c r="N2470" s="21">
        <v>0</v>
      </c>
      <c r="O2470" s="22"/>
    </row>
    <row r="2471" ht="51">
      <c r="A2471" t="s">
        <v>2030</v>
      </c>
      <c r="B2471" s="19">
        <v>103791</v>
      </c>
      <c r="C2471" s="20" t="s">
        <v>2525</v>
      </c>
      <c r="D2471" s="19" t="s">
        <v>2032</v>
      </c>
      <c r="E2471" s="21" t="str">
        <f t="shared" si="113"/>
        <v>VERIFICAR</v>
      </c>
      <c r="F2471" s="22">
        <v>0</v>
      </c>
      <c r="G2471" s="21" t="str">
        <f t="shared" si="114"/>
        <v>VERIFICAR</v>
      </c>
      <c r="H2471" s="22">
        <v>0</v>
      </c>
      <c r="I2471" s="23" t="str">
        <f t="shared" si="115"/>
        <v xml:space="preserve">COM VALOR</v>
      </c>
      <c r="J2471" s="19"/>
      <c r="L2471" s="21">
        <v>0</v>
      </c>
      <c r="M2471" s="22"/>
      <c r="N2471" s="21">
        <v>0</v>
      </c>
      <c r="O2471" s="22"/>
    </row>
    <row r="2472" ht="38.25">
      <c r="A2472" t="s">
        <v>2030</v>
      </c>
      <c r="B2472" s="19">
        <v>96054</v>
      </c>
      <c r="C2472" s="20" t="s">
        <v>2526</v>
      </c>
      <c r="D2472" s="19" t="s">
        <v>2032</v>
      </c>
      <c r="E2472" s="21">
        <f t="shared" si="113"/>
        <v>32.950000000000003</v>
      </c>
      <c r="F2472" s="22">
        <v>0</v>
      </c>
      <c r="G2472" s="21">
        <f t="shared" si="114"/>
        <v>32.950000000000003</v>
      </c>
      <c r="H2472" s="22">
        <v>0</v>
      </c>
      <c r="I2472" s="23" t="str">
        <f t="shared" si="115"/>
        <v xml:space="preserve">COM VALOR</v>
      </c>
      <c r="J2472" s="19"/>
      <c r="L2472" s="21">
        <v>32.950000000000003</v>
      </c>
      <c r="M2472" s="22">
        <v>0.11</v>
      </c>
      <c r="N2472" s="21">
        <v>32.950000000000003</v>
      </c>
      <c r="O2472" s="22">
        <v>0.11</v>
      </c>
    </row>
    <row r="2473" ht="38.25">
      <c r="A2473" t="s">
        <v>2030</v>
      </c>
      <c r="B2473" s="19">
        <v>96060</v>
      </c>
      <c r="C2473" s="20" t="s">
        <v>2527</v>
      </c>
      <c r="D2473" s="19" t="s">
        <v>2032</v>
      </c>
      <c r="E2473" s="21">
        <f t="shared" si="113"/>
        <v>6.75</v>
      </c>
      <c r="F2473" s="22">
        <v>0</v>
      </c>
      <c r="G2473" s="21">
        <f t="shared" si="114"/>
        <v>6.75</v>
      </c>
      <c r="H2473" s="22">
        <v>0</v>
      </c>
      <c r="I2473" s="23" t="str">
        <f t="shared" si="115"/>
        <v xml:space="preserve">COM VALOR</v>
      </c>
      <c r="J2473" s="19"/>
      <c r="L2473" s="21">
        <v>6.75</v>
      </c>
      <c r="M2473" s="22">
        <v>0.14999999999999999</v>
      </c>
      <c r="N2473" s="21">
        <v>6.75</v>
      </c>
      <c r="O2473" s="22">
        <v>0.14999999999999999</v>
      </c>
    </row>
    <row r="2474" ht="38.25">
      <c r="A2474" t="s">
        <v>2030</v>
      </c>
      <c r="B2474" s="19">
        <v>96061</v>
      </c>
      <c r="C2474" s="20" t="s">
        <v>2528</v>
      </c>
      <c r="D2474" s="19" t="s">
        <v>2032</v>
      </c>
      <c r="E2474" s="21">
        <f t="shared" si="113"/>
        <v>41.189999999999998</v>
      </c>
      <c r="F2474" s="22">
        <v>0</v>
      </c>
      <c r="G2474" s="21">
        <f t="shared" si="114"/>
        <v>41.189999999999998</v>
      </c>
      <c r="H2474" s="22">
        <v>0</v>
      </c>
      <c r="I2474" s="23" t="str">
        <f t="shared" si="115"/>
        <v xml:space="preserve">COM VALOR</v>
      </c>
      <c r="J2474" s="19"/>
      <c r="L2474" s="21">
        <v>41.189999999999998</v>
      </c>
      <c r="M2474" s="22">
        <v>0.11</v>
      </c>
      <c r="N2474" s="21">
        <v>41.189999999999998</v>
      </c>
      <c r="O2474" s="22">
        <v>0.11</v>
      </c>
    </row>
    <row r="2475" ht="38.25">
      <c r="A2475" t="s">
        <v>2030</v>
      </c>
      <c r="B2475" s="19">
        <v>96062</v>
      </c>
      <c r="C2475" s="20" t="s">
        <v>2529</v>
      </c>
      <c r="D2475" s="19" t="s">
        <v>2032</v>
      </c>
      <c r="E2475" s="21">
        <f t="shared" si="113"/>
        <v>45.219999999999999</v>
      </c>
      <c r="F2475" s="22">
        <v>0</v>
      </c>
      <c r="G2475" s="21">
        <f t="shared" si="114"/>
        <v>45.219999999999999</v>
      </c>
      <c r="H2475" s="22">
        <v>0</v>
      </c>
      <c r="I2475" s="23" t="str">
        <f t="shared" si="115"/>
        <v xml:space="preserve">COM VALOR</v>
      </c>
      <c r="J2475" s="19"/>
      <c r="L2475" s="21">
        <v>45.219999999999999</v>
      </c>
      <c r="M2475" s="22">
        <v>0</v>
      </c>
      <c r="N2475" s="21">
        <v>45.219999999999999</v>
      </c>
      <c r="O2475" s="22">
        <v>0</v>
      </c>
    </row>
    <row r="2476" ht="38.25">
      <c r="A2476" t="s">
        <v>2030</v>
      </c>
      <c r="B2476" s="19">
        <v>90688</v>
      </c>
      <c r="C2476" s="20" t="s">
        <v>2530</v>
      </c>
      <c r="D2476" s="19" t="s">
        <v>2032</v>
      </c>
      <c r="E2476" s="21">
        <f t="shared" si="113"/>
        <v>29.199999999999999</v>
      </c>
      <c r="F2476" s="22">
        <v>0</v>
      </c>
      <c r="G2476" s="21">
        <f t="shared" si="114"/>
        <v>29.199999999999999</v>
      </c>
      <c r="H2476" s="22">
        <v>0</v>
      </c>
      <c r="I2476" s="23" t="str">
        <f t="shared" si="115"/>
        <v xml:space="preserve">COM VALOR</v>
      </c>
      <c r="J2476" s="19"/>
      <c r="L2476" s="21">
        <v>29.199999999999999</v>
      </c>
      <c r="M2476" s="22">
        <v>0</v>
      </c>
      <c r="N2476" s="21">
        <v>29.199999999999999</v>
      </c>
      <c r="O2476" s="22">
        <v>0</v>
      </c>
    </row>
    <row r="2477" ht="25.5">
      <c r="A2477" t="s">
        <v>2030</v>
      </c>
      <c r="B2477" s="19">
        <v>90689</v>
      </c>
      <c r="C2477" s="20" t="s">
        <v>2531</v>
      </c>
      <c r="D2477" s="19" t="s">
        <v>2032</v>
      </c>
      <c r="E2477" s="21">
        <f t="shared" si="113"/>
        <v>5.7599999999999998</v>
      </c>
      <c r="F2477" s="22">
        <v>0</v>
      </c>
      <c r="G2477" s="21">
        <f t="shared" si="114"/>
        <v>5.7599999999999998</v>
      </c>
      <c r="H2477" s="22">
        <v>0</v>
      </c>
      <c r="I2477" s="23" t="str">
        <f t="shared" si="115"/>
        <v xml:space="preserve">COM VALOR</v>
      </c>
      <c r="J2477" s="19"/>
      <c r="L2477" s="21">
        <v>5.7599999999999998</v>
      </c>
      <c r="M2477" s="22">
        <v>0</v>
      </c>
      <c r="N2477" s="21">
        <v>5.7599999999999998</v>
      </c>
      <c r="O2477" s="22">
        <v>0</v>
      </c>
    </row>
    <row r="2478" ht="38.25">
      <c r="A2478" t="s">
        <v>2030</v>
      </c>
      <c r="B2478" s="19">
        <v>90690</v>
      </c>
      <c r="C2478" s="20" t="s">
        <v>2532</v>
      </c>
      <c r="D2478" s="19" t="s">
        <v>2032</v>
      </c>
      <c r="E2478" s="21">
        <f t="shared" si="113"/>
        <v>36.5</v>
      </c>
      <c r="F2478" s="22">
        <v>0</v>
      </c>
      <c r="G2478" s="21">
        <f t="shared" si="114"/>
        <v>36.5</v>
      </c>
      <c r="H2478" s="22">
        <v>0</v>
      </c>
      <c r="I2478" s="23" t="str">
        <f t="shared" si="115"/>
        <v xml:space="preserve">COM VALOR</v>
      </c>
      <c r="J2478" s="19"/>
      <c r="L2478" s="21">
        <v>36.5</v>
      </c>
      <c r="M2478" s="22">
        <v>0</v>
      </c>
      <c r="N2478" s="21">
        <v>36.5</v>
      </c>
      <c r="O2478" s="22">
        <v>0</v>
      </c>
    </row>
    <row r="2479" ht="38.25">
      <c r="A2479" t="s">
        <v>2030</v>
      </c>
      <c r="B2479" s="19">
        <v>90691</v>
      </c>
      <c r="C2479" s="20" t="s">
        <v>2533</v>
      </c>
      <c r="D2479" s="19" t="s">
        <v>2032</v>
      </c>
      <c r="E2479" s="21">
        <f t="shared" si="113"/>
        <v>45.219999999999999</v>
      </c>
      <c r="F2479" s="22">
        <v>0</v>
      </c>
      <c r="G2479" s="21">
        <f t="shared" si="114"/>
        <v>45.219999999999999</v>
      </c>
      <c r="H2479" s="22">
        <v>0</v>
      </c>
      <c r="I2479" s="23" t="str">
        <f t="shared" si="115"/>
        <v xml:space="preserve">COM VALOR</v>
      </c>
      <c r="J2479" s="19"/>
      <c r="L2479" s="21">
        <v>45.219999999999999</v>
      </c>
      <c r="M2479" s="22">
        <v>0</v>
      </c>
      <c r="N2479" s="21">
        <v>45.219999999999999</v>
      </c>
      <c r="O2479" s="22">
        <v>0</v>
      </c>
    </row>
    <row r="2480" ht="25.5">
      <c r="A2480" t="s">
        <v>2030</v>
      </c>
      <c r="B2480" s="19">
        <v>96241</v>
      </c>
      <c r="C2480" s="20" t="s">
        <v>2534</v>
      </c>
      <c r="D2480" s="19" t="s">
        <v>2032</v>
      </c>
      <c r="E2480" s="21">
        <f t="shared" si="113"/>
        <v>31.02</v>
      </c>
      <c r="F2480" s="22">
        <v>0</v>
      </c>
      <c r="G2480" s="21">
        <f t="shared" si="114"/>
        <v>31.02</v>
      </c>
      <c r="H2480" s="22">
        <v>0</v>
      </c>
      <c r="I2480" s="23" t="str">
        <f t="shared" si="115"/>
        <v xml:space="preserve">COM VALOR</v>
      </c>
      <c r="J2480" s="19"/>
      <c r="L2480" s="21">
        <v>31.02</v>
      </c>
      <c r="M2480" s="22">
        <v>0</v>
      </c>
      <c r="N2480" s="21">
        <v>31.02</v>
      </c>
      <c r="O2480" s="22">
        <v>0</v>
      </c>
    </row>
    <row r="2481" ht="25.5">
      <c r="A2481" t="s">
        <v>2030</v>
      </c>
      <c r="B2481" s="19">
        <v>96242</v>
      </c>
      <c r="C2481" s="20" t="s">
        <v>2535</v>
      </c>
      <c r="D2481" s="19" t="s">
        <v>2032</v>
      </c>
      <c r="E2481" s="21">
        <f t="shared" si="113"/>
        <v>8.1999999999999993</v>
      </c>
      <c r="F2481" s="22">
        <v>0</v>
      </c>
      <c r="G2481" s="21">
        <f t="shared" si="114"/>
        <v>8.1999999999999993</v>
      </c>
      <c r="H2481" s="22">
        <v>0</v>
      </c>
      <c r="I2481" s="23" t="str">
        <f t="shared" si="115"/>
        <v xml:space="preserve">COM VALOR</v>
      </c>
      <c r="J2481" s="19"/>
      <c r="L2481" s="21">
        <v>8.1999999999999993</v>
      </c>
      <c r="M2481" s="22">
        <v>0</v>
      </c>
      <c r="N2481" s="21">
        <v>8.1999999999999993</v>
      </c>
      <c r="O2481" s="22">
        <v>0</v>
      </c>
    </row>
    <row r="2482" ht="25.5">
      <c r="A2482" t="s">
        <v>2030</v>
      </c>
      <c r="B2482" s="19">
        <v>96243</v>
      </c>
      <c r="C2482" s="20" t="s">
        <v>2536</v>
      </c>
      <c r="D2482" s="19" t="s">
        <v>2032</v>
      </c>
      <c r="E2482" s="21">
        <f t="shared" si="113"/>
        <v>38.780000000000001</v>
      </c>
      <c r="F2482" s="22">
        <v>0</v>
      </c>
      <c r="G2482" s="21">
        <f t="shared" si="114"/>
        <v>38.780000000000001</v>
      </c>
      <c r="H2482" s="22">
        <v>0</v>
      </c>
      <c r="I2482" s="23" t="str">
        <f t="shared" si="115"/>
        <v xml:space="preserve">COM VALOR</v>
      </c>
      <c r="J2482" s="19"/>
      <c r="L2482" s="21">
        <v>38.780000000000001</v>
      </c>
      <c r="M2482" s="22">
        <v>0</v>
      </c>
      <c r="N2482" s="21">
        <v>38.780000000000001</v>
      </c>
      <c r="O2482" s="22">
        <v>0</v>
      </c>
    </row>
    <row r="2483" ht="38.25">
      <c r="A2483" t="s">
        <v>2030</v>
      </c>
      <c r="B2483" s="19">
        <v>96244</v>
      </c>
      <c r="C2483" s="20" t="s">
        <v>2537</v>
      </c>
      <c r="D2483" s="19" t="s">
        <v>2032</v>
      </c>
      <c r="E2483" s="21">
        <f t="shared" si="113"/>
        <v>19.75</v>
      </c>
      <c r="F2483" s="22">
        <v>0</v>
      </c>
      <c r="G2483" s="21">
        <f t="shared" si="114"/>
        <v>19.75</v>
      </c>
      <c r="H2483" s="22">
        <v>0</v>
      </c>
      <c r="I2483" s="23" t="str">
        <f t="shared" si="115"/>
        <v xml:space="preserve">COM VALOR</v>
      </c>
      <c r="J2483" s="19"/>
      <c r="L2483" s="21">
        <v>19.75</v>
      </c>
      <c r="M2483" s="22">
        <v>0</v>
      </c>
      <c r="N2483" s="21">
        <v>19.75</v>
      </c>
      <c r="O2483" s="22">
        <v>0</v>
      </c>
    </row>
    <row r="2484" ht="38.25">
      <c r="A2484" t="s">
        <v>2030</v>
      </c>
      <c r="B2484" s="19">
        <v>88400</v>
      </c>
      <c r="C2484" s="20" t="s">
        <v>2538</v>
      </c>
      <c r="D2484" s="19" t="s">
        <v>2032</v>
      </c>
      <c r="E2484" s="21">
        <f t="shared" si="113"/>
        <v>0.80000000000000004</v>
      </c>
      <c r="F2484" s="22">
        <v>0</v>
      </c>
      <c r="G2484" s="21">
        <f t="shared" si="114"/>
        <v>0.80000000000000004</v>
      </c>
      <c r="H2484" s="22">
        <v>0</v>
      </c>
      <c r="I2484" s="23" t="str">
        <f t="shared" si="115"/>
        <v xml:space="preserve">COM VALOR</v>
      </c>
      <c r="J2484" s="19"/>
      <c r="L2484" s="21">
        <v>0.80000000000000004</v>
      </c>
      <c r="M2484" s="22">
        <v>0</v>
      </c>
      <c r="N2484" s="21">
        <v>0.80000000000000004</v>
      </c>
      <c r="O2484" s="22">
        <v>0</v>
      </c>
    </row>
    <row r="2485" ht="25.5">
      <c r="A2485" t="s">
        <v>2030</v>
      </c>
      <c r="B2485" s="19">
        <v>88401</v>
      </c>
      <c r="C2485" s="20" t="s">
        <v>2539</v>
      </c>
      <c r="D2485" s="19" t="s">
        <v>2032</v>
      </c>
      <c r="E2485" s="21">
        <f t="shared" si="113"/>
        <v>0.17999999999999999</v>
      </c>
      <c r="F2485" s="22">
        <v>0</v>
      </c>
      <c r="G2485" s="21">
        <f t="shared" si="114"/>
        <v>0.17999999999999999</v>
      </c>
      <c r="H2485" s="22">
        <v>0</v>
      </c>
      <c r="I2485" s="23" t="str">
        <f t="shared" si="115"/>
        <v xml:space="preserve">COM VALOR</v>
      </c>
      <c r="J2485" s="19"/>
      <c r="L2485" s="21">
        <v>0.17999999999999999</v>
      </c>
      <c r="M2485" s="22">
        <v>0</v>
      </c>
      <c r="N2485" s="21">
        <v>0.17999999999999999</v>
      </c>
      <c r="O2485" s="22">
        <v>0</v>
      </c>
    </row>
    <row r="2486" ht="38.25">
      <c r="A2486" t="s">
        <v>2030</v>
      </c>
      <c r="B2486" s="19">
        <v>88402</v>
      </c>
      <c r="C2486" s="20" t="s">
        <v>2540</v>
      </c>
      <c r="D2486" s="19" t="s">
        <v>2032</v>
      </c>
      <c r="E2486" s="21">
        <f t="shared" si="113"/>
        <v>0.87</v>
      </c>
      <c r="F2486" s="22">
        <v>0</v>
      </c>
      <c r="G2486" s="21">
        <f t="shared" si="114"/>
        <v>0.87</v>
      </c>
      <c r="H2486" s="22">
        <v>0</v>
      </c>
      <c r="I2486" s="23" t="str">
        <f t="shared" si="115"/>
        <v xml:space="preserve">COM VALOR</v>
      </c>
      <c r="J2486" s="19"/>
      <c r="L2486" s="21">
        <v>0.87</v>
      </c>
      <c r="M2486" s="22">
        <v>0</v>
      </c>
      <c r="N2486" s="21">
        <v>0.87</v>
      </c>
      <c r="O2486" s="22">
        <v>0</v>
      </c>
    </row>
    <row r="2487" ht="38.25">
      <c r="A2487" t="s">
        <v>2030</v>
      </c>
      <c r="B2487" s="19">
        <v>88403</v>
      </c>
      <c r="C2487" s="20" t="s">
        <v>2541</v>
      </c>
      <c r="D2487" s="19" t="s">
        <v>2032</v>
      </c>
      <c r="E2487" s="21">
        <f t="shared" si="113"/>
        <v>2.1200000000000001</v>
      </c>
      <c r="F2487" s="22">
        <v>0</v>
      </c>
      <c r="G2487" s="21">
        <f t="shared" si="114"/>
        <v>2.1200000000000001</v>
      </c>
      <c r="H2487" s="22">
        <v>0</v>
      </c>
      <c r="I2487" s="23" t="str">
        <f t="shared" si="115"/>
        <v xml:space="preserve">COM VALOR</v>
      </c>
      <c r="J2487" s="19"/>
      <c r="L2487" s="21">
        <v>2.1200000000000001</v>
      </c>
      <c r="M2487" s="22">
        <v>0</v>
      </c>
      <c r="N2487" s="21">
        <v>2.1200000000000001</v>
      </c>
      <c r="O2487" s="22">
        <v>0</v>
      </c>
    </row>
    <row r="2488" ht="38.25">
      <c r="A2488" t="s">
        <v>2030</v>
      </c>
      <c r="B2488" s="19">
        <v>88387</v>
      </c>
      <c r="C2488" s="20" t="s">
        <v>2542</v>
      </c>
      <c r="D2488" s="19" t="s">
        <v>2032</v>
      </c>
      <c r="E2488" s="21">
        <f t="shared" si="113"/>
        <v>0.83999999999999997</v>
      </c>
      <c r="F2488" s="22">
        <v>0</v>
      </c>
      <c r="G2488" s="21">
        <f t="shared" si="114"/>
        <v>0.83999999999999997</v>
      </c>
      <c r="H2488" s="22">
        <v>0</v>
      </c>
      <c r="I2488" s="23" t="str">
        <f t="shared" si="115"/>
        <v xml:space="preserve">COM VALOR</v>
      </c>
      <c r="J2488" s="19"/>
      <c r="L2488" s="21">
        <v>0.83999999999999997</v>
      </c>
      <c r="M2488" s="22">
        <v>0</v>
      </c>
      <c r="N2488" s="21">
        <v>0.83999999999999997</v>
      </c>
      <c r="O2488" s="22">
        <v>0</v>
      </c>
    </row>
    <row r="2489" ht="25.5">
      <c r="A2489" t="s">
        <v>2030</v>
      </c>
      <c r="B2489" s="19">
        <v>88389</v>
      </c>
      <c r="C2489" s="20" t="s">
        <v>2543</v>
      </c>
      <c r="D2489" s="19" t="s">
        <v>2032</v>
      </c>
      <c r="E2489" s="21">
        <f t="shared" si="113"/>
        <v>0.19</v>
      </c>
      <c r="F2489" s="22">
        <v>0</v>
      </c>
      <c r="G2489" s="21">
        <f t="shared" si="114"/>
        <v>0.19</v>
      </c>
      <c r="H2489" s="22">
        <v>0</v>
      </c>
      <c r="I2489" s="23" t="str">
        <f t="shared" si="115"/>
        <v xml:space="preserve">COM VALOR</v>
      </c>
      <c r="J2489" s="19"/>
      <c r="L2489" s="21">
        <v>0.19</v>
      </c>
      <c r="M2489" s="22">
        <v>0</v>
      </c>
      <c r="N2489" s="21">
        <v>0.19</v>
      </c>
      <c r="O2489" s="22">
        <v>0</v>
      </c>
    </row>
    <row r="2490" ht="38.25">
      <c r="A2490" t="s">
        <v>2030</v>
      </c>
      <c r="B2490" s="19">
        <v>88390</v>
      </c>
      <c r="C2490" s="20" t="s">
        <v>2544</v>
      </c>
      <c r="D2490" s="19" t="s">
        <v>2032</v>
      </c>
      <c r="E2490" s="21">
        <f t="shared" si="113"/>
        <v>0.92000000000000004</v>
      </c>
      <c r="F2490" s="22">
        <v>0</v>
      </c>
      <c r="G2490" s="21">
        <f t="shared" si="114"/>
        <v>0.92000000000000004</v>
      </c>
      <c r="H2490" s="22">
        <v>0</v>
      </c>
      <c r="I2490" s="23" t="str">
        <f t="shared" si="115"/>
        <v xml:space="preserve">COM VALOR</v>
      </c>
      <c r="J2490" s="19"/>
      <c r="L2490" s="21">
        <v>0.92000000000000004</v>
      </c>
      <c r="M2490" s="22">
        <v>0</v>
      </c>
      <c r="N2490" s="21">
        <v>0.92000000000000004</v>
      </c>
      <c r="O2490" s="22">
        <v>0</v>
      </c>
    </row>
    <row r="2491" ht="38.25">
      <c r="A2491" t="s">
        <v>2030</v>
      </c>
      <c r="B2491" s="19">
        <v>88391</v>
      </c>
      <c r="C2491" s="20" t="s">
        <v>2545</v>
      </c>
      <c r="D2491" s="19" t="s">
        <v>2032</v>
      </c>
      <c r="E2491" s="21">
        <f t="shared" si="113"/>
        <v>3.5299999999999998</v>
      </c>
      <c r="F2491" s="22">
        <v>0</v>
      </c>
      <c r="G2491" s="21">
        <f t="shared" si="114"/>
        <v>3.5299999999999998</v>
      </c>
      <c r="H2491" s="22">
        <v>0</v>
      </c>
      <c r="I2491" s="23" t="str">
        <f t="shared" si="115"/>
        <v xml:space="preserve">COM VALOR</v>
      </c>
      <c r="J2491" s="19"/>
      <c r="L2491" s="21">
        <v>3.5299999999999998</v>
      </c>
      <c r="M2491" s="22">
        <v>0</v>
      </c>
      <c r="N2491" s="21">
        <v>3.5299999999999998</v>
      </c>
      <c r="O2491" s="22">
        <v>0</v>
      </c>
    </row>
    <row r="2492" ht="38.25">
      <c r="A2492" t="s">
        <v>2030</v>
      </c>
      <c r="B2492" s="19">
        <v>88394</v>
      </c>
      <c r="C2492" s="20" t="s">
        <v>2546</v>
      </c>
      <c r="D2492" s="19" t="s">
        <v>2032</v>
      </c>
      <c r="E2492" s="21">
        <f t="shared" si="113"/>
        <v>1</v>
      </c>
      <c r="F2492" s="22">
        <v>0</v>
      </c>
      <c r="G2492" s="21">
        <f t="shared" si="114"/>
        <v>1</v>
      </c>
      <c r="H2492" s="22">
        <v>0</v>
      </c>
      <c r="I2492" s="23" t="str">
        <f t="shared" si="115"/>
        <v xml:space="preserve">COM VALOR</v>
      </c>
      <c r="J2492" s="19"/>
      <c r="L2492" s="21">
        <v>1</v>
      </c>
      <c r="M2492" s="22">
        <v>0</v>
      </c>
      <c r="N2492" s="21">
        <v>1</v>
      </c>
      <c r="O2492" s="22">
        <v>0</v>
      </c>
    </row>
    <row r="2493" ht="25.5">
      <c r="A2493" t="s">
        <v>2030</v>
      </c>
      <c r="B2493" s="19">
        <v>88395</v>
      </c>
      <c r="C2493" s="20" t="s">
        <v>2547</v>
      </c>
      <c r="D2493" s="19" t="s">
        <v>2032</v>
      </c>
      <c r="E2493" s="21">
        <f t="shared" si="113"/>
        <v>0.23000000000000001</v>
      </c>
      <c r="F2493" s="22">
        <v>0</v>
      </c>
      <c r="G2493" s="21">
        <f t="shared" si="114"/>
        <v>0.23000000000000001</v>
      </c>
      <c r="H2493" s="22">
        <v>0</v>
      </c>
      <c r="I2493" s="23" t="str">
        <f t="shared" si="115"/>
        <v xml:space="preserve">COM VALOR</v>
      </c>
      <c r="J2493" s="19"/>
      <c r="L2493" s="21">
        <v>0.23000000000000001</v>
      </c>
      <c r="M2493" s="22">
        <v>0</v>
      </c>
      <c r="N2493" s="21">
        <v>0.23000000000000001</v>
      </c>
      <c r="O2493" s="22">
        <v>0</v>
      </c>
    </row>
    <row r="2494" ht="38.25">
      <c r="A2494" t="s">
        <v>2030</v>
      </c>
      <c r="B2494" s="19">
        <v>88396</v>
      </c>
      <c r="C2494" s="20" t="s">
        <v>2548</v>
      </c>
      <c r="D2494" s="19" t="s">
        <v>2032</v>
      </c>
      <c r="E2494" s="21">
        <f t="shared" si="113"/>
        <v>1.1000000000000001</v>
      </c>
      <c r="F2494" s="22">
        <v>0</v>
      </c>
      <c r="G2494" s="21">
        <f t="shared" si="114"/>
        <v>1.1000000000000001</v>
      </c>
      <c r="H2494" s="22">
        <v>0</v>
      </c>
      <c r="I2494" s="23" t="str">
        <f t="shared" si="115"/>
        <v xml:space="preserve">COM VALOR</v>
      </c>
      <c r="J2494" s="19"/>
      <c r="L2494" s="21">
        <v>1.1000000000000001</v>
      </c>
      <c r="M2494" s="22">
        <v>0</v>
      </c>
      <c r="N2494" s="21">
        <v>1.1000000000000001</v>
      </c>
      <c r="O2494" s="22">
        <v>0</v>
      </c>
    </row>
    <row r="2495" ht="38.25">
      <c r="A2495" t="s">
        <v>2030</v>
      </c>
      <c r="B2495" s="19">
        <v>88397</v>
      </c>
      <c r="C2495" s="20" t="s">
        <v>2549</v>
      </c>
      <c r="D2495" s="19" t="s">
        <v>2032</v>
      </c>
      <c r="E2495" s="21">
        <f t="shared" si="113"/>
        <v>5.29</v>
      </c>
      <c r="F2495" s="22">
        <v>0</v>
      </c>
      <c r="G2495" s="21">
        <f t="shared" si="114"/>
        <v>5.29</v>
      </c>
      <c r="H2495" s="22">
        <v>0</v>
      </c>
      <c r="I2495" s="23" t="str">
        <f t="shared" si="115"/>
        <v xml:space="preserve">COM VALOR</v>
      </c>
      <c r="J2495" s="19"/>
      <c r="L2495" s="21">
        <v>5.29</v>
      </c>
      <c r="M2495" s="22">
        <v>0</v>
      </c>
      <c r="N2495" s="21">
        <v>5.29</v>
      </c>
      <c r="O2495" s="22">
        <v>0</v>
      </c>
    </row>
    <row r="2496" ht="38.25">
      <c r="A2496" t="s">
        <v>2030</v>
      </c>
      <c r="B2496" s="19">
        <v>90633</v>
      </c>
      <c r="C2496" s="20" t="s">
        <v>2550</v>
      </c>
      <c r="D2496" s="19" t="s">
        <v>2032</v>
      </c>
      <c r="E2496" s="21">
        <f t="shared" si="113"/>
        <v>4</v>
      </c>
      <c r="F2496" s="22">
        <v>0</v>
      </c>
      <c r="G2496" s="21">
        <f t="shared" si="114"/>
        <v>4</v>
      </c>
      <c r="H2496" s="22">
        <v>0</v>
      </c>
      <c r="I2496" s="23" t="str">
        <f t="shared" si="115"/>
        <v xml:space="preserve">COM VALOR</v>
      </c>
      <c r="J2496" s="19"/>
      <c r="L2496" s="21">
        <v>4</v>
      </c>
      <c r="M2496" s="22">
        <v>0</v>
      </c>
      <c r="N2496" s="21">
        <v>4</v>
      </c>
      <c r="O2496" s="22">
        <v>0</v>
      </c>
    </row>
    <row r="2497" ht="38.25">
      <c r="A2497" t="s">
        <v>2030</v>
      </c>
      <c r="B2497" s="19">
        <v>90634</v>
      </c>
      <c r="C2497" s="20" t="s">
        <v>2551</v>
      </c>
      <c r="D2497" s="19" t="s">
        <v>2032</v>
      </c>
      <c r="E2497" s="21">
        <f t="shared" si="113"/>
        <v>0.92000000000000004</v>
      </c>
      <c r="F2497" s="22">
        <v>0</v>
      </c>
      <c r="G2497" s="21">
        <f t="shared" si="114"/>
        <v>0.92000000000000004</v>
      </c>
      <c r="H2497" s="22">
        <v>0</v>
      </c>
      <c r="I2497" s="23" t="str">
        <f t="shared" si="115"/>
        <v xml:space="preserve">COM VALOR</v>
      </c>
      <c r="J2497" s="19"/>
      <c r="L2497" s="21">
        <v>0.92000000000000004</v>
      </c>
      <c r="M2497" s="22">
        <v>0</v>
      </c>
      <c r="N2497" s="21">
        <v>0.92000000000000004</v>
      </c>
      <c r="O2497" s="22">
        <v>0</v>
      </c>
    </row>
    <row r="2498" ht="38.25">
      <c r="A2498" t="s">
        <v>2030</v>
      </c>
      <c r="B2498" s="19">
        <v>90635</v>
      </c>
      <c r="C2498" s="20" t="s">
        <v>2552</v>
      </c>
      <c r="D2498" s="19" t="s">
        <v>2032</v>
      </c>
      <c r="E2498" s="21">
        <f t="shared" si="113"/>
        <v>4.3799999999999999</v>
      </c>
      <c r="F2498" s="22">
        <v>0</v>
      </c>
      <c r="G2498" s="21">
        <f t="shared" si="114"/>
        <v>4.3799999999999999</v>
      </c>
      <c r="H2498" s="22">
        <v>0</v>
      </c>
      <c r="I2498" s="23" t="str">
        <f t="shared" si="115"/>
        <v xml:space="preserve">COM VALOR</v>
      </c>
      <c r="J2498" s="19"/>
      <c r="L2498" s="21">
        <v>4.3799999999999999</v>
      </c>
      <c r="M2498" s="22">
        <v>0</v>
      </c>
      <c r="N2498" s="21">
        <v>4.3799999999999999</v>
      </c>
      <c r="O2498" s="22">
        <v>0</v>
      </c>
    </row>
    <row r="2499" ht="51">
      <c r="A2499" t="s">
        <v>2030</v>
      </c>
      <c r="B2499" s="19">
        <v>90636</v>
      </c>
      <c r="C2499" s="20" t="s">
        <v>2553</v>
      </c>
      <c r="D2499" s="19" t="s">
        <v>2032</v>
      </c>
      <c r="E2499" s="21">
        <f t="shared" si="113"/>
        <v>7.0700000000000003</v>
      </c>
      <c r="F2499" s="22">
        <v>0</v>
      </c>
      <c r="G2499" s="21">
        <f t="shared" si="114"/>
        <v>7.0700000000000003</v>
      </c>
      <c r="H2499" s="22">
        <v>0</v>
      </c>
      <c r="I2499" s="23" t="str">
        <f t="shared" si="115"/>
        <v xml:space="preserve">COM VALOR</v>
      </c>
      <c r="J2499" s="19"/>
      <c r="L2499" s="21">
        <v>7.0700000000000003</v>
      </c>
      <c r="M2499" s="22">
        <v>0</v>
      </c>
      <c r="N2499" s="21">
        <v>7.0700000000000003</v>
      </c>
      <c r="O2499" s="22">
        <v>0</v>
      </c>
    </row>
    <row r="2500" ht="38.25">
      <c r="A2500" t="s">
        <v>2030</v>
      </c>
      <c r="B2500" s="19">
        <v>103238</v>
      </c>
      <c r="C2500" s="20" t="s">
        <v>2554</v>
      </c>
      <c r="D2500" s="19" t="s">
        <v>2032</v>
      </c>
      <c r="E2500" s="21" t="str">
        <f t="shared" si="113"/>
        <v>VERIFICAR</v>
      </c>
      <c r="F2500" s="22">
        <v>0</v>
      </c>
      <c r="G2500" s="21" t="str">
        <f t="shared" si="114"/>
        <v>VERIFICAR</v>
      </c>
      <c r="H2500" s="22">
        <v>0</v>
      </c>
      <c r="I2500" s="23" t="str">
        <f t="shared" si="115"/>
        <v xml:space="preserve">COM VALOR</v>
      </c>
      <c r="J2500" s="19"/>
      <c r="L2500" s="21">
        <v>0</v>
      </c>
      <c r="M2500" s="22"/>
      <c r="N2500" s="21">
        <v>0</v>
      </c>
      <c r="O2500" s="22"/>
    </row>
    <row r="2501" ht="38.25">
      <c r="A2501" t="s">
        <v>2030</v>
      </c>
      <c r="B2501" s="19">
        <v>103239</v>
      </c>
      <c r="C2501" s="20" t="s">
        <v>2555</v>
      </c>
      <c r="D2501" s="19" t="s">
        <v>2032</v>
      </c>
      <c r="E2501" s="21" t="str">
        <f t="shared" si="113"/>
        <v>VERIFICAR</v>
      </c>
      <c r="F2501" s="22"/>
      <c r="G2501" s="21" t="str">
        <f t="shared" si="114"/>
        <v>VERIFICAR</v>
      </c>
      <c r="H2501" s="22"/>
      <c r="I2501" s="23" t="str">
        <f t="shared" si="115"/>
        <v xml:space="preserve">COM VALOR</v>
      </c>
      <c r="J2501" s="19"/>
      <c r="L2501" s="21">
        <v>0</v>
      </c>
      <c r="M2501" s="22"/>
      <c r="N2501" s="21">
        <v>0</v>
      </c>
      <c r="O2501" s="22"/>
    </row>
    <row r="2502" ht="38.25">
      <c r="A2502" t="s">
        <v>2030</v>
      </c>
      <c r="B2502" s="19">
        <v>103240</v>
      </c>
      <c r="C2502" s="20" t="s">
        <v>2556</v>
      </c>
      <c r="D2502" s="19" t="s">
        <v>2032</v>
      </c>
      <c r="E2502" s="21" t="str">
        <f t="shared" si="113"/>
        <v>VERIFICAR</v>
      </c>
      <c r="F2502" s="22"/>
      <c r="G2502" s="21" t="str">
        <f t="shared" si="114"/>
        <v>VERIFICAR</v>
      </c>
      <c r="H2502" s="22"/>
      <c r="I2502" s="23" t="str">
        <f t="shared" si="115"/>
        <v xml:space="preserve">COM VALOR</v>
      </c>
      <c r="J2502" s="19"/>
      <c r="L2502" s="21">
        <v>0</v>
      </c>
      <c r="M2502" s="22"/>
      <c r="N2502" s="21">
        <v>0</v>
      </c>
      <c r="O2502" s="22"/>
    </row>
    <row r="2503" ht="51">
      <c r="A2503" t="s">
        <v>2030</v>
      </c>
      <c r="B2503" s="19">
        <v>103241</v>
      </c>
      <c r="C2503" s="20" t="s">
        <v>2557</v>
      </c>
      <c r="D2503" s="19" t="s">
        <v>2032</v>
      </c>
      <c r="E2503" s="21">
        <f t="shared" si="113"/>
        <v>13.25</v>
      </c>
      <c r="F2503" s="22"/>
      <c r="G2503" s="21">
        <f t="shared" si="114"/>
        <v>13.25</v>
      </c>
      <c r="H2503" s="22"/>
      <c r="I2503" s="23" t="str">
        <f t="shared" si="115"/>
        <v xml:space="preserve">COM VALOR</v>
      </c>
      <c r="J2503" s="19"/>
      <c r="L2503" s="21">
        <v>13.25</v>
      </c>
      <c r="M2503" s="22">
        <v>0</v>
      </c>
      <c r="N2503" s="21">
        <v>13.25</v>
      </c>
      <c r="O2503" s="22">
        <v>0</v>
      </c>
    </row>
    <row r="2504" ht="38.25">
      <c r="A2504" t="s">
        <v>2030</v>
      </c>
      <c r="B2504" s="19">
        <v>88853</v>
      </c>
      <c r="C2504" s="20" t="s">
        <v>2558</v>
      </c>
      <c r="D2504" s="19" t="s">
        <v>2032</v>
      </c>
      <c r="E2504" s="21">
        <f t="shared" si="113"/>
        <v>0.20999999999999999</v>
      </c>
      <c r="F2504" s="22">
        <v>0</v>
      </c>
      <c r="G2504" s="21">
        <f t="shared" si="114"/>
        <v>0.20999999999999999</v>
      </c>
      <c r="H2504" s="22">
        <v>0</v>
      </c>
      <c r="I2504" s="23" t="str">
        <f t="shared" si="115"/>
        <v xml:space="preserve">COM VALOR</v>
      </c>
      <c r="J2504" s="19"/>
      <c r="L2504" s="21">
        <v>0.20999999999999999</v>
      </c>
      <c r="M2504" s="22">
        <v>0</v>
      </c>
      <c r="N2504" s="21">
        <v>0.20999999999999999</v>
      </c>
      <c r="O2504" s="22">
        <v>0</v>
      </c>
    </row>
    <row r="2505" ht="38.25">
      <c r="A2505" t="s">
        <v>2030</v>
      </c>
      <c r="B2505" s="19">
        <v>88854</v>
      </c>
      <c r="C2505" s="20" t="s">
        <v>2559</v>
      </c>
      <c r="D2505" s="19" t="s">
        <v>2032</v>
      </c>
      <c r="E2505" s="21">
        <f t="shared" si="113"/>
        <v>5.0000000000000003e-002</v>
      </c>
      <c r="F2505" s="22">
        <v>1</v>
      </c>
      <c r="G2505" s="21">
        <f t="shared" si="114"/>
        <v>5.0000000000000003e-002</v>
      </c>
      <c r="H2505" s="22">
        <v>1</v>
      </c>
      <c r="I2505" s="23" t="str">
        <f t="shared" si="115"/>
        <v xml:space="preserve">COM VALOR</v>
      </c>
      <c r="J2505" s="19"/>
      <c r="L2505" s="21">
        <v>5.0000000000000003e-002</v>
      </c>
      <c r="M2505" s="22">
        <v>0</v>
      </c>
      <c r="N2505" s="21">
        <v>5.0000000000000003e-002</v>
      </c>
      <c r="O2505" s="22">
        <v>0</v>
      </c>
    </row>
    <row r="2506" ht="38.25">
      <c r="A2506" t="s">
        <v>2030</v>
      </c>
      <c r="B2506" s="19">
        <v>5692</v>
      </c>
      <c r="C2506" s="20" t="s">
        <v>2560</v>
      </c>
      <c r="D2506" s="19" t="s">
        <v>2032</v>
      </c>
      <c r="E2506" s="21">
        <f t="shared" si="113"/>
        <v>0.23000000000000001</v>
      </c>
      <c r="F2506" s="22">
        <v>1</v>
      </c>
      <c r="G2506" s="21">
        <f t="shared" si="114"/>
        <v>0.23000000000000001</v>
      </c>
      <c r="H2506" s="22">
        <v>1</v>
      </c>
      <c r="I2506" s="23" t="str">
        <f t="shared" si="115"/>
        <v xml:space="preserve">COM VALOR</v>
      </c>
      <c r="J2506" s="19"/>
      <c r="L2506" s="21">
        <v>0.23000000000000001</v>
      </c>
      <c r="M2506" s="22">
        <v>0</v>
      </c>
      <c r="N2506" s="21">
        <v>0.23000000000000001</v>
      </c>
      <c r="O2506" s="22">
        <v>0</v>
      </c>
    </row>
    <row r="2507" ht="38.25">
      <c r="A2507" t="s">
        <v>2030</v>
      </c>
      <c r="B2507" s="19">
        <v>5693</v>
      </c>
      <c r="C2507" s="20" t="s">
        <v>2561</v>
      </c>
      <c r="D2507" s="19" t="s">
        <v>2032</v>
      </c>
      <c r="E2507" s="21">
        <f t="shared" ref="E2507:E2570" si="116">IF(L2507=0,"VERIFICAR",L2507)</f>
        <v>21.670000000000002</v>
      </c>
      <c r="F2507" s="22">
        <v>1</v>
      </c>
      <c r="G2507" s="21">
        <f t="shared" ref="G2507:G2570" si="117">IF(N2507=0,"VERIFICAR",N2507)</f>
        <v>21.670000000000002</v>
      </c>
      <c r="H2507" s="22">
        <v>1</v>
      </c>
      <c r="I2507" s="23" t="str">
        <f t="shared" ref="I2507:I2570" si="118">IF(OR(E2507=0,G2507=0),"SEM VALOR","COM VALOR")</f>
        <v xml:space="preserve">COM VALOR</v>
      </c>
      <c r="J2507" s="19"/>
      <c r="L2507" s="21">
        <v>21.670000000000002</v>
      </c>
      <c r="M2507" s="22">
        <v>0</v>
      </c>
      <c r="N2507" s="21">
        <v>21.670000000000002</v>
      </c>
      <c r="O2507" s="22">
        <v>0</v>
      </c>
    </row>
    <row r="2508" ht="38.25">
      <c r="A2508" t="s">
        <v>2030</v>
      </c>
      <c r="B2508" s="19">
        <v>7044</v>
      </c>
      <c r="C2508" s="20" t="s">
        <v>2562</v>
      </c>
      <c r="D2508" s="19" t="s">
        <v>2032</v>
      </c>
      <c r="E2508" s="21">
        <f t="shared" si="116"/>
        <v>0.27000000000000002</v>
      </c>
      <c r="F2508" s="22">
        <v>0</v>
      </c>
      <c r="G2508" s="21">
        <f t="shared" si="117"/>
        <v>0.27000000000000002</v>
      </c>
      <c r="H2508" s="22">
        <v>0</v>
      </c>
      <c r="I2508" s="23" t="str">
        <f t="shared" si="118"/>
        <v xml:space="preserve">COM VALOR</v>
      </c>
      <c r="J2508" s="19"/>
      <c r="L2508" s="21">
        <v>0.27000000000000002</v>
      </c>
      <c r="M2508" s="22">
        <v>0</v>
      </c>
      <c r="N2508" s="21">
        <v>0.27000000000000002</v>
      </c>
      <c r="O2508" s="22">
        <v>0</v>
      </c>
    </row>
    <row r="2509" ht="38.25">
      <c r="A2509" t="s">
        <v>2030</v>
      </c>
      <c r="B2509" s="19">
        <v>7045</v>
      </c>
      <c r="C2509" s="20" t="s">
        <v>2563</v>
      </c>
      <c r="D2509" s="19" t="s">
        <v>2032</v>
      </c>
      <c r="E2509" s="21">
        <f t="shared" si="116"/>
        <v>5.9999999999999998e-002</v>
      </c>
      <c r="F2509" s="22">
        <v>0</v>
      </c>
      <c r="G2509" s="21">
        <f t="shared" si="117"/>
        <v>5.9999999999999998e-002</v>
      </c>
      <c r="H2509" s="22">
        <v>0</v>
      </c>
      <c r="I2509" s="23" t="str">
        <f t="shared" si="118"/>
        <v xml:space="preserve">COM VALOR</v>
      </c>
      <c r="J2509" s="19"/>
      <c r="L2509" s="21">
        <v>5.9999999999999998e-002</v>
      </c>
      <c r="M2509" s="22">
        <v>0</v>
      </c>
      <c r="N2509" s="21">
        <v>5.9999999999999998e-002</v>
      </c>
      <c r="O2509" s="22">
        <v>0</v>
      </c>
    </row>
    <row r="2510" ht="38.25">
      <c r="A2510" t="s">
        <v>2030</v>
      </c>
      <c r="B2510" s="19">
        <v>7046</v>
      </c>
      <c r="C2510" s="20" t="s">
        <v>2564</v>
      </c>
      <c r="D2510" s="19" t="s">
        <v>2032</v>
      </c>
      <c r="E2510" s="21">
        <f t="shared" si="116"/>
        <v>0.28999999999999998</v>
      </c>
      <c r="F2510" s="22">
        <v>0</v>
      </c>
      <c r="G2510" s="21">
        <f t="shared" si="117"/>
        <v>0.28999999999999998</v>
      </c>
      <c r="H2510" s="22">
        <v>0</v>
      </c>
      <c r="I2510" s="23" t="str">
        <f t="shared" si="118"/>
        <v xml:space="preserve">COM VALOR</v>
      </c>
      <c r="J2510" s="19"/>
      <c r="L2510" s="21">
        <v>0.28999999999999998</v>
      </c>
      <c r="M2510" s="22">
        <v>0</v>
      </c>
      <c r="N2510" s="21">
        <v>0.28999999999999998</v>
      </c>
      <c r="O2510" s="22">
        <v>0</v>
      </c>
    </row>
    <row r="2511" ht="51">
      <c r="A2511" t="s">
        <v>2030</v>
      </c>
      <c r="B2511" s="19">
        <v>7047</v>
      </c>
      <c r="C2511" s="20" t="s">
        <v>2565</v>
      </c>
      <c r="D2511" s="19" t="s">
        <v>2032</v>
      </c>
      <c r="E2511" s="21">
        <f t="shared" si="116"/>
        <v>25.57</v>
      </c>
      <c r="F2511" s="22">
        <v>0</v>
      </c>
      <c r="G2511" s="21">
        <f t="shared" si="117"/>
        <v>25.57</v>
      </c>
      <c r="H2511" s="22">
        <v>0</v>
      </c>
      <c r="I2511" s="23" t="str">
        <f t="shared" si="118"/>
        <v xml:space="preserve">COM VALOR</v>
      </c>
      <c r="J2511" s="19"/>
      <c r="L2511" s="21">
        <v>25.57</v>
      </c>
      <c r="M2511" s="22">
        <v>0</v>
      </c>
      <c r="N2511" s="21">
        <v>25.57</v>
      </c>
      <c r="O2511" s="22">
        <v>0</v>
      </c>
    </row>
    <row r="2512" ht="38.25">
      <c r="A2512" t="s">
        <v>2030</v>
      </c>
      <c r="B2512" s="19">
        <v>89228</v>
      </c>
      <c r="C2512" s="20" t="s">
        <v>2566</v>
      </c>
      <c r="D2512" s="19" t="s">
        <v>2032</v>
      </c>
      <c r="E2512" s="21">
        <f t="shared" si="116"/>
        <v>53</v>
      </c>
      <c r="F2512" s="22">
        <v>0</v>
      </c>
      <c r="G2512" s="21">
        <f t="shared" si="117"/>
        <v>53</v>
      </c>
      <c r="H2512" s="22">
        <v>0</v>
      </c>
      <c r="I2512" s="23" t="str">
        <f t="shared" si="118"/>
        <v xml:space="preserve">COM VALOR</v>
      </c>
      <c r="J2512" s="19"/>
      <c r="L2512" s="21">
        <v>53</v>
      </c>
      <c r="M2512" s="22">
        <v>0</v>
      </c>
      <c r="N2512" s="21">
        <v>53</v>
      </c>
      <c r="O2512" s="22">
        <v>0</v>
      </c>
    </row>
    <row r="2513" ht="38.25">
      <c r="A2513" t="s">
        <v>2030</v>
      </c>
      <c r="B2513" s="19">
        <v>89229</v>
      </c>
      <c r="C2513" s="20" t="s">
        <v>2567</v>
      </c>
      <c r="D2513" s="19" t="s">
        <v>2032</v>
      </c>
      <c r="E2513" s="21">
        <f t="shared" si="116"/>
        <v>18.68</v>
      </c>
      <c r="F2513" s="22">
        <v>0</v>
      </c>
      <c r="G2513" s="21">
        <f t="shared" si="117"/>
        <v>18.68</v>
      </c>
      <c r="H2513" s="22">
        <v>0</v>
      </c>
      <c r="I2513" s="23" t="str">
        <f t="shared" si="118"/>
        <v xml:space="preserve">COM VALOR</v>
      </c>
      <c r="J2513" s="19"/>
      <c r="L2513" s="21">
        <v>18.68</v>
      </c>
      <c r="M2513" s="22">
        <v>0</v>
      </c>
      <c r="N2513" s="21">
        <v>18.68</v>
      </c>
      <c r="O2513" s="22">
        <v>0</v>
      </c>
    </row>
    <row r="2514" ht="38.25">
      <c r="A2514" t="s">
        <v>2030</v>
      </c>
      <c r="B2514" s="19">
        <v>5779</v>
      </c>
      <c r="C2514" s="20" t="s">
        <v>2568</v>
      </c>
      <c r="D2514" s="19" t="s">
        <v>2032</v>
      </c>
      <c r="E2514" s="21">
        <f t="shared" si="116"/>
        <v>85.189999999999998</v>
      </c>
      <c r="F2514" s="22">
        <v>0</v>
      </c>
      <c r="G2514" s="21">
        <f t="shared" si="117"/>
        <v>85.189999999999998</v>
      </c>
      <c r="H2514" s="22">
        <v>0</v>
      </c>
      <c r="I2514" s="23" t="str">
        <f t="shared" si="118"/>
        <v xml:space="preserve">COM VALOR</v>
      </c>
      <c r="J2514" s="19"/>
      <c r="L2514" s="21">
        <v>85.189999999999998</v>
      </c>
      <c r="M2514" s="22">
        <v>0</v>
      </c>
      <c r="N2514" s="21">
        <v>85.189999999999998</v>
      </c>
      <c r="O2514" s="22">
        <v>0</v>
      </c>
    </row>
    <row r="2515" ht="38.25">
      <c r="A2515" t="s">
        <v>2030</v>
      </c>
      <c r="B2515" s="19">
        <v>53849</v>
      </c>
      <c r="C2515" s="20" t="s">
        <v>2569</v>
      </c>
      <c r="D2515" s="19" t="s">
        <v>2032</v>
      </c>
      <c r="E2515" s="21">
        <f t="shared" si="116"/>
        <v>94.989999999999995</v>
      </c>
      <c r="F2515" s="22">
        <v>0</v>
      </c>
      <c r="G2515" s="21">
        <f t="shared" si="117"/>
        <v>94.989999999999995</v>
      </c>
      <c r="H2515" s="22">
        <v>0</v>
      </c>
      <c r="I2515" s="23" t="str">
        <f t="shared" si="118"/>
        <v xml:space="preserve">COM VALOR</v>
      </c>
      <c r="J2515" s="19"/>
      <c r="L2515" s="21">
        <v>94.989999999999995</v>
      </c>
      <c r="M2515" s="22">
        <v>0</v>
      </c>
      <c r="N2515" s="21">
        <v>94.989999999999995</v>
      </c>
      <c r="O2515" s="22">
        <v>0</v>
      </c>
    </row>
    <row r="2516" ht="25.5">
      <c r="A2516" t="s">
        <v>2030</v>
      </c>
      <c r="B2516" s="19">
        <v>95129</v>
      </c>
      <c r="C2516" s="20" t="s">
        <v>2570</v>
      </c>
      <c r="D2516" s="19" t="s">
        <v>2032</v>
      </c>
      <c r="E2516" s="21">
        <f t="shared" si="116"/>
        <v>54.409999999999997</v>
      </c>
      <c r="F2516" s="22">
        <v>0</v>
      </c>
      <c r="G2516" s="21">
        <f t="shared" si="117"/>
        <v>54.409999999999997</v>
      </c>
      <c r="H2516" s="22">
        <v>0</v>
      </c>
      <c r="I2516" s="23" t="str">
        <f t="shared" si="118"/>
        <v xml:space="preserve">COM VALOR</v>
      </c>
      <c r="J2516" s="19"/>
      <c r="L2516" s="21">
        <v>54.409999999999997</v>
      </c>
      <c r="M2516" s="22">
        <v>1</v>
      </c>
      <c r="N2516" s="21">
        <v>54.409999999999997</v>
      </c>
      <c r="O2516" s="22">
        <v>1</v>
      </c>
    </row>
    <row r="2517" ht="25.5">
      <c r="A2517" t="s">
        <v>2030</v>
      </c>
      <c r="B2517" s="19">
        <v>95130</v>
      </c>
      <c r="C2517" s="20" t="s">
        <v>2571</v>
      </c>
      <c r="D2517" s="19" t="s">
        <v>2032</v>
      </c>
      <c r="E2517" s="21">
        <f t="shared" si="116"/>
        <v>19.73</v>
      </c>
      <c r="F2517" s="22">
        <v>0.98999999999999999</v>
      </c>
      <c r="G2517" s="21">
        <f t="shared" si="117"/>
        <v>19.73</v>
      </c>
      <c r="H2517" s="22">
        <v>0.98999999999999999</v>
      </c>
      <c r="I2517" s="23" t="str">
        <f t="shared" si="118"/>
        <v xml:space="preserve">COM VALOR</v>
      </c>
      <c r="J2517" s="19"/>
      <c r="L2517" s="21">
        <v>19.73</v>
      </c>
      <c r="M2517" s="22">
        <v>1</v>
      </c>
      <c r="N2517" s="21">
        <v>19.73</v>
      </c>
      <c r="O2517" s="22">
        <v>1</v>
      </c>
    </row>
    <row r="2518" ht="25.5">
      <c r="A2518" t="s">
        <v>2030</v>
      </c>
      <c r="B2518" s="19">
        <v>95131</v>
      </c>
      <c r="C2518" s="20" t="s">
        <v>2572</v>
      </c>
      <c r="D2518" s="19" t="s">
        <v>2032</v>
      </c>
      <c r="E2518" s="21">
        <f t="shared" si="116"/>
        <v>64.049999999999997</v>
      </c>
      <c r="F2518" s="22">
        <v>1</v>
      </c>
      <c r="G2518" s="21">
        <f t="shared" si="117"/>
        <v>64.049999999999997</v>
      </c>
      <c r="H2518" s="22">
        <v>1</v>
      </c>
      <c r="I2518" s="23" t="str">
        <f t="shared" si="118"/>
        <v xml:space="preserve">COM VALOR</v>
      </c>
      <c r="J2518" s="19"/>
      <c r="L2518" s="21">
        <v>64.049999999999997</v>
      </c>
      <c r="M2518" s="22">
        <v>1</v>
      </c>
      <c r="N2518" s="21">
        <v>64.049999999999997</v>
      </c>
      <c r="O2518" s="22">
        <v>1</v>
      </c>
    </row>
    <row r="2519" ht="38.25">
      <c r="A2519" t="s">
        <v>2030</v>
      </c>
      <c r="B2519" s="19">
        <v>95132</v>
      </c>
      <c r="C2519" s="20" t="s">
        <v>2573</v>
      </c>
      <c r="D2519" s="19" t="s">
        <v>2032</v>
      </c>
      <c r="E2519" s="21">
        <f t="shared" si="116"/>
        <v>36.590000000000003</v>
      </c>
      <c r="F2519" s="22">
        <v>1</v>
      </c>
      <c r="G2519" s="21">
        <f t="shared" si="117"/>
        <v>36.590000000000003</v>
      </c>
      <c r="H2519" s="22">
        <v>1</v>
      </c>
      <c r="I2519" s="23" t="str">
        <f t="shared" si="118"/>
        <v xml:space="preserve">COM VALOR</v>
      </c>
      <c r="J2519" s="19"/>
      <c r="L2519" s="21">
        <v>36.590000000000003</v>
      </c>
      <c r="M2519" s="22">
        <v>0</v>
      </c>
      <c r="N2519" s="21">
        <v>36.590000000000003</v>
      </c>
      <c r="O2519" s="22">
        <v>0</v>
      </c>
    </row>
    <row r="2520" ht="38.25">
      <c r="A2520" t="s">
        <v>2030</v>
      </c>
      <c r="B2520" s="19">
        <v>102982</v>
      </c>
      <c r="C2520" s="20" t="s">
        <v>2574</v>
      </c>
      <c r="D2520" s="19" t="s">
        <v>2032</v>
      </c>
      <c r="E2520" s="21" t="str">
        <f t="shared" si="116"/>
        <v>VERIFICAR</v>
      </c>
      <c r="F2520" s="22">
        <v>0</v>
      </c>
      <c r="G2520" s="21" t="str">
        <f t="shared" si="117"/>
        <v>VERIFICAR</v>
      </c>
      <c r="H2520" s="22">
        <v>0</v>
      </c>
      <c r="I2520" s="23" t="str">
        <f t="shared" si="118"/>
        <v xml:space="preserve">COM VALOR</v>
      </c>
      <c r="J2520" s="19"/>
      <c r="L2520" s="21">
        <v>0</v>
      </c>
      <c r="M2520" s="22"/>
      <c r="N2520" s="21">
        <v>0</v>
      </c>
      <c r="O2520" s="22"/>
    </row>
    <row r="2521" ht="25.5">
      <c r="A2521" t="s">
        <v>2030</v>
      </c>
      <c r="B2521" s="19">
        <v>102983</v>
      </c>
      <c r="C2521" s="20" t="s">
        <v>2575</v>
      </c>
      <c r="D2521" s="19" t="s">
        <v>2032</v>
      </c>
      <c r="E2521" s="21" t="str">
        <f t="shared" si="116"/>
        <v>VERIFICAR</v>
      </c>
      <c r="F2521" s="22"/>
      <c r="G2521" s="21" t="str">
        <f t="shared" si="117"/>
        <v>VERIFICAR</v>
      </c>
      <c r="H2521" s="22"/>
      <c r="I2521" s="23" t="str">
        <f t="shared" si="118"/>
        <v xml:space="preserve">COM VALOR</v>
      </c>
      <c r="J2521" s="19"/>
      <c r="L2521" s="21">
        <v>0</v>
      </c>
      <c r="M2521" s="22"/>
      <c r="N2521" s="21">
        <v>0</v>
      </c>
      <c r="O2521" s="22"/>
    </row>
    <row r="2522" ht="38.25">
      <c r="A2522" t="s">
        <v>2030</v>
      </c>
      <c r="B2522" s="19">
        <v>102984</v>
      </c>
      <c r="C2522" s="20" t="s">
        <v>2576</v>
      </c>
      <c r="D2522" s="19" t="s">
        <v>2032</v>
      </c>
      <c r="E2522" s="21" t="str">
        <f t="shared" si="116"/>
        <v>VERIFICAR</v>
      </c>
      <c r="F2522" s="22"/>
      <c r="G2522" s="21" t="str">
        <f t="shared" si="117"/>
        <v>VERIFICAR</v>
      </c>
      <c r="H2522" s="22"/>
      <c r="I2522" s="23" t="str">
        <f t="shared" si="118"/>
        <v xml:space="preserve">COM VALOR</v>
      </c>
      <c r="J2522" s="19"/>
      <c r="L2522" s="21">
        <v>0</v>
      </c>
      <c r="M2522" s="22"/>
      <c r="N2522" s="21">
        <v>0</v>
      </c>
      <c r="O2522" s="22"/>
    </row>
    <row r="2523" ht="38.25">
      <c r="A2523" t="s">
        <v>2030</v>
      </c>
      <c r="B2523" s="19">
        <v>102985</v>
      </c>
      <c r="C2523" s="20" t="s">
        <v>2577</v>
      </c>
      <c r="D2523" s="19" t="s">
        <v>2032</v>
      </c>
      <c r="E2523" s="21">
        <f t="shared" si="116"/>
        <v>16.969999999999999</v>
      </c>
      <c r="F2523" s="22"/>
      <c r="G2523" s="21">
        <f t="shared" si="117"/>
        <v>16.969999999999999</v>
      </c>
      <c r="H2523" s="22"/>
      <c r="I2523" s="23" t="str">
        <f t="shared" si="118"/>
        <v xml:space="preserve">COM VALOR</v>
      </c>
      <c r="J2523" s="19"/>
      <c r="L2523" s="21">
        <v>16.969999999999999</v>
      </c>
      <c r="M2523" s="22">
        <v>0</v>
      </c>
      <c r="N2523" s="21">
        <v>16.969999999999999</v>
      </c>
      <c r="O2523" s="22">
        <v>0</v>
      </c>
    </row>
    <row r="2524" ht="25.5">
      <c r="A2524" t="s">
        <v>2030</v>
      </c>
      <c r="B2524" s="19">
        <v>92956</v>
      </c>
      <c r="C2524" s="20" t="s">
        <v>2578</v>
      </c>
      <c r="D2524" s="19" t="s">
        <v>2032</v>
      </c>
      <c r="E2524" s="21">
        <f t="shared" si="116"/>
        <v>4.2400000000000002</v>
      </c>
      <c r="F2524" s="22">
        <v>0</v>
      </c>
      <c r="G2524" s="21">
        <f t="shared" si="117"/>
        <v>4.2400000000000002</v>
      </c>
      <c r="H2524" s="22">
        <v>0</v>
      </c>
      <c r="I2524" s="23" t="str">
        <f t="shared" si="118"/>
        <v xml:space="preserve">COM VALOR</v>
      </c>
      <c r="J2524" s="19"/>
      <c r="L2524" s="21">
        <v>4.2400000000000002</v>
      </c>
      <c r="M2524" s="22">
        <v>1</v>
      </c>
      <c r="N2524" s="21">
        <v>4.2400000000000002</v>
      </c>
      <c r="O2524" s="22">
        <v>1</v>
      </c>
    </row>
    <row r="2525" ht="25.5">
      <c r="A2525" t="s">
        <v>2030</v>
      </c>
      <c r="B2525" s="19">
        <v>92957</v>
      </c>
      <c r="C2525" s="20" t="s">
        <v>2579</v>
      </c>
      <c r="D2525" s="19" t="s">
        <v>2032</v>
      </c>
      <c r="E2525" s="21">
        <f t="shared" si="116"/>
        <v>0.97999999999999998</v>
      </c>
      <c r="F2525" s="22">
        <v>0</v>
      </c>
      <c r="G2525" s="21">
        <f t="shared" si="117"/>
        <v>0.97999999999999998</v>
      </c>
      <c r="H2525" s="22">
        <v>0</v>
      </c>
      <c r="I2525" s="23" t="str">
        <f t="shared" si="118"/>
        <v xml:space="preserve">COM VALOR</v>
      </c>
      <c r="J2525" s="19"/>
      <c r="L2525" s="21">
        <v>0.97999999999999998</v>
      </c>
      <c r="M2525" s="22">
        <v>1</v>
      </c>
      <c r="N2525" s="21">
        <v>0.97999999999999998</v>
      </c>
      <c r="O2525" s="22">
        <v>1</v>
      </c>
    </row>
    <row r="2526" ht="25.5">
      <c r="A2526" t="s">
        <v>2030</v>
      </c>
      <c r="B2526" s="19">
        <v>92958</v>
      </c>
      <c r="C2526" s="20" t="s">
        <v>2580</v>
      </c>
      <c r="D2526" s="19" t="s">
        <v>2032</v>
      </c>
      <c r="E2526" s="21">
        <f t="shared" si="116"/>
        <v>4.6399999999999997</v>
      </c>
      <c r="F2526" s="22">
        <v>0</v>
      </c>
      <c r="G2526" s="21">
        <f t="shared" si="117"/>
        <v>4.6399999999999997</v>
      </c>
      <c r="H2526" s="22">
        <v>0</v>
      </c>
      <c r="I2526" s="23" t="str">
        <f t="shared" si="118"/>
        <v xml:space="preserve">COM VALOR</v>
      </c>
      <c r="J2526" s="19"/>
      <c r="L2526" s="21">
        <v>4.6399999999999997</v>
      </c>
      <c r="M2526" s="22">
        <v>1</v>
      </c>
      <c r="N2526" s="21">
        <v>4.6399999999999997</v>
      </c>
      <c r="O2526" s="22">
        <v>1</v>
      </c>
    </row>
    <row r="2527" ht="25.5">
      <c r="A2527" t="s">
        <v>2030</v>
      </c>
      <c r="B2527" s="19">
        <v>92959</v>
      </c>
      <c r="C2527" s="20" t="s">
        <v>2581</v>
      </c>
      <c r="D2527" s="19" t="s">
        <v>2032</v>
      </c>
      <c r="E2527" s="21">
        <f t="shared" si="116"/>
        <v>10.52</v>
      </c>
      <c r="F2527" s="22">
        <v>0</v>
      </c>
      <c r="G2527" s="21">
        <f t="shared" si="117"/>
        <v>10.52</v>
      </c>
      <c r="H2527" s="22">
        <v>0</v>
      </c>
      <c r="I2527" s="23" t="str">
        <f t="shared" si="118"/>
        <v xml:space="preserve">COM VALOR</v>
      </c>
      <c r="J2527" s="19"/>
      <c r="L2527" s="21">
        <v>10.52</v>
      </c>
      <c r="M2527" s="22">
        <v>0</v>
      </c>
      <c r="N2527" s="21">
        <v>10.52</v>
      </c>
      <c r="O2527" s="22">
        <v>0</v>
      </c>
    </row>
    <row r="2528" ht="38.25">
      <c r="A2528" t="s">
        <v>2030</v>
      </c>
      <c r="B2528" s="19">
        <v>102858</v>
      </c>
      <c r="C2528" s="20" t="s">
        <v>2582</v>
      </c>
      <c r="D2528" s="19" t="s">
        <v>2032</v>
      </c>
      <c r="E2528" s="21" t="str">
        <f t="shared" si="116"/>
        <v>VERIFICAR</v>
      </c>
      <c r="F2528" s="22">
        <v>0</v>
      </c>
      <c r="G2528" s="21" t="str">
        <f t="shared" si="117"/>
        <v>VERIFICAR</v>
      </c>
      <c r="H2528" s="22">
        <v>0</v>
      </c>
      <c r="I2528" s="23" t="str">
        <f t="shared" si="118"/>
        <v xml:space="preserve">COM VALOR</v>
      </c>
      <c r="J2528" s="19"/>
      <c r="L2528" s="21">
        <v>0</v>
      </c>
      <c r="M2528" s="22"/>
      <c r="N2528" s="21">
        <v>0</v>
      </c>
      <c r="O2528" s="22"/>
    </row>
    <row r="2529" ht="25.5">
      <c r="A2529" t="s">
        <v>2030</v>
      </c>
      <c r="B2529" s="19">
        <v>102859</v>
      </c>
      <c r="C2529" s="20" t="s">
        <v>2583</v>
      </c>
      <c r="D2529" s="19" t="s">
        <v>2032</v>
      </c>
      <c r="E2529" s="21" t="str">
        <f t="shared" si="116"/>
        <v>VERIFICAR</v>
      </c>
      <c r="F2529" s="22">
        <v>0</v>
      </c>
      <c r="G2529" s="21" t="str">
        <f t="shared" si="117"/>
        <v>VERIFICAR</v>
      </c>
      <c r="H2529" s="22">
        <v>0</v>
      </c>
      <c r="I2529" s="23" t="str">
        <f t="shared" si="118"/>
        <v xml:space="preserve">COM VALOR</v>
      </c>
      <c r="J2529" s="19"/>
      <c r="L2529" s="21">
        <v>0</v>
      </c>
      <c r="M2529" s="22"/>
      <c r="N2529" s="21">
        <v>0</v>
      </c>
      <c r="O2529" s="22"/>
    </row>
    <row r="2530" ht="38.25">
      <c r="A2530" t="s">
        <v>2030</v>
      </c>
      <c r="B2530" s="19">
        <v>102860</v>
      </c>
      <c r="C2530" s="20" t="s">
        <v>2584</v>
      </c>
      <c r="D2530" s="19" t="s">
        <v>2032</v>
      </c>
      <c r="E2530" s="21" t="str">
        <f t="shared" si="116"/>
        <v>VERIFICAR</v>
      </c>
      <c r="F2530" s="22">
        <v>0</v>
      </c>
      <c r="G2530" s="21" t="str">
        <f t="shared" si="117"/>
        <v>VERIFICAR</v>
      </c>
      <c r="H2530" s="22">
        <v>0</v>
      </c>
      <c r="I2530" s="23" t="str">
        <f t="shared" si="118"/>
        <v xml:space="preserve">COM VALOR</v>
      </c>
      <c r="J2530" s="19"/>
      <c r="L2530" s="21">
        <v>0</v>
      </c>
      <c r="M2530" s="22"/>
      <c r="N2530" s="21">
        <v>0</v>
      </c>
      <c r="O2530" s="22"/>
    </row>
    <row r="2531" ht="38.25">
      <c r="A2531" t="s">
        <v>2030</v>
      </c>
      <c r="B2531" s="19">
        <v>102861</v>
      </c>
      <c r="C2531" s="20" t="s">
        <v>2585</v>
      </c>
      <c r="D2531" s="19" t="s">
        <v>2032</v>
      </c>
      <c r="E2531" s="21">
        <f t="shared" si="116"/>
        <v>1.4099999999999999</v>
      </c>
      <c r="F2531" s="22">
        <v>0</v>
      </c>
      <c r="G2531" s="21">
        <f t="shared" si="117"/>
        <v>1.4099999999999999</v>
      </c>
      <c r="H2531" s="22">
        <v>0</v>
      </c>
      <c r="I2531" s="23" t="str">
        <f t="shared" si="118"/>
        <v xml:space="preserve">COM VALOR</v>
      </c>
      <c r="J2531" s="19"/>
      <c r="L2531" s="21">
        <v>1.4099999999999999</v>
      </c>
      <c r="M2531" s="22">
        <v>0</v>
      </c>
      <c r="N2531" s="21">
        <v>1.4099999999999999</v>
      </c>
      <c r="O2531" s="22">
        <v>0</v>
      </c>
    </row>
    <row r="2532" ht="51">
      <c r="A2532" t="s">
        <v>2030</v>
      </c>
      <c r="B2532" s="19">
        <v>93404</v>
      </c>
      <c r="C2532" s="20" t="s">
        <v>2586</v>
      </c>
      <c r="D2532" s="19" t="s">
        <v>2032</v>
      </c>
      <c r="E2532" s="21">
        <f t="shared" si="116"/>
        <v>7.75</v>
      </c>
      <c r="F2532" s="22">
        <v>0</v>
      </c>
      <c r="G2532" s="21">
        <f t="shared" si="117"/>
        <v>7.75</v>
      </c>
      <c r="H2532" s="22">
        <v>0</v>
      </c>
      <c r="I2532" s="23" t="str">
        <f t="shared" si="118"/>
        <v xml:space="preserve">COM VALOR</v>
      </c>
      <c r="J2532" s="19"/>
      <c r="L2532" s="21">
        <v>7.75</v>
      </c>
      <c r="M2532" s="22">
        <v>1</v>
      </c>
      <c r="N2532" s="21">
        <v>7.75</v>
      </c>
      <c r="O2532" s="22">
        <v>1</v>
      </c>
    </row>
    <row r="2533" ht="51">
      <c r="A2533" t="s">
        <v>2030</v>
      </c>
      <c r="B2533" s="19">
        <v>93405</v>
      </c>
      <c r="C2533" s="20" t="s">
        <v>2587</v>
      </c>
      <c r="D2533" s="19" t="s">
        <v>2032</v>
      </c>
      <c r="E2533" s="21">
        <f t="shared" si="116"/>
        <v>1.98</v>
      </c>
      <c r="F2533" s="22"/>
      <c r="G2533" s="21">
        <f t="shared" si="117"/>
        <v>1.98</v>
      </c>
      <c r="H2533" s="22"/>
      <c r="I2533" s="23" t="str">
        <f t="shared" si="118"/>
        <v xml:space="preserve">COM VALOR</v>
      </c>
      <c r="J2533" s="19"/>
      <c r="L2533" s="21">
        <v>1.98</v>
      </c>
      <c r="M2533" s="22">
        <v>1</v>
      </c>
      <c r="N2533" s="21">
        <v>1.98</v>
      </c>
      <c r="O2533" s="22">
        <v>1</v>
      </c>
    </row>
    <row r="2534" ht="51">
      <c r="A2534" t="s">
        <v>2030</v>
      </c>
      <c r="B2534" s="19">
        <v>93406</v>
      </c>
      <c r="C2534" s="20" t="s">
        <v>2588</v>
      </c>
      <c r="D2534" s="19" t="s">
        <v>2032</v>
      </c>
      <c r="E2534" s="21">
        <f t="shared" si="116"/>
        <v>9.3000000000000007</v>
      </c>
      <c r="F2534" s="22"/>
      <c r="G2534" s="21">
        <f t="shared" si="117"/>
        <v>9.3000000000000007</v>
      </c>
      <c r="H2534" s="22"/>
      <c r="I2534" s="23" t="str">
        <f t="shared" si="118"/>
        <v xml:space="preserve">COM VALOR</v>
      </c>
      <c r="J2534" s="19"/>
      <c r="L2534" s="21">
        <v>9.3000000000000007</v>
      </c>
      <c r="M2534" s="22">
        <v>1</v>
      </c>
      <c r="N2534" s="21">
        <v>9.3000000000000007</v>
      </c>
      <c r="O2534" s="22">
        <v>1</v>
      </c>
    </row>
    <row r="2535" ht="51">
      <c r="A2535" t="s">
        <v>2030</v>
      </c>
      <c r="B2535" s="19">
        <v>93407</v>
      </c>
      <c r="C2535" s="20" t="s">
        <v>2589</v>
      </c>
      <c r="D2535" s="19" t="s">
        <v>2032</v>
      </c>
      <c r="E2535" s="21">
        <f t="shared" si="116"/>
        <v>53.5</v>
      </c>
      <c r="F2535" s="22"/>
      <c r="G2535" s="21">
        <f t="shared" si="117"/>
        <v>53.5</v>
      </c>
      <c r="H2535" s="22"/>
      <c r="I2535" s="23" t="str">
        <f t="shared" si="118"/>
        <v xml:space="preserve">COM VALOR</v>
      </c>
      <c r="J2535" s="19"/>
      <c r="L2535" s="21">
        <v>53.5</v>
      </c>
      <c r="M2535" s="22">
        <v>0</v>
      </c>
      <c r="N2535" s="21">
        <v>53.5</v>
      </c>
      <c r="O2535" s="22">
        <v>0</v>
      </c>
    </row>
    <row r="2536" ht="25.5">
      <c r="A2536" t="s">
        <v>2030</v>
      </c>
      <c r="B2536" s="19">
        <v>102936</v>
      </c>
      <c r="C2536" s="20" t="s">
        <v>2590</v>
      </c>
      <c r="D2536" s="19" t="s">
        <v>2032</v>
      </c>
      <c r="E2536" s="21" t="str">
        <f t="shared" si="116"/>
        <v>VERIFICAR</v>
      </c>
      <c r="F2536" s="22">
        <v>0</v>
      </c>
      <c r="G2536" s="21" t="str">
        <f t="shared" si="117"/>
        <v>VERIFICAR</v>
      </c>
      <c r="H2536" s="22">
        <v>0</v>
      </c>
      <c r="I2536" s="23" t="str">
        <f t="shared" si="118"/>
        <v xml:space="preserve">COM VALOR</v>
      </c>
      <c r="J2536" s="19"/>
      <c r="L2536" s="21">
        <v>0</v>
      </c>
      <c r="M2536" s="22"/>
      <c r="N2536" s="21">
        <v>0</v>
      </c>
      <c r="O2536" s="22"/>
    </row>
    <row r="2537" ht="25.5">
      <c r="A2537" t="s">
        <v>2030</v>
      </c>
      <c r="B2537" s="19">
        <v>102937</v>
      </c>
      <c r="C2537" s="20" t="s">
        <v>2591</v>
      </c>
      <c r="D2537" s="19" t="s">
        <v>2032</v>
      </c>
      <c r="E2537" s="21" t="str">
        <f t="shared" si="116"/>
        <v>VERIFICAR</v>
      </c>
      <c r="F2537" s="22">
        <v>1</v>
      </c>
      <c r="G2537" s="21" t="str">
        <f t="shared" si="117"/>
        <v>VERIFICAR</v>
      </c>
      <c r="H2537" s="22">
        <v>1</v>
      </c>
      <c r="I2537" s="23" t="str">
        <f t="shared" si="118"/>
        <v xml:space="preserve">COM VALOR</v>
      </c>
      <c r="J2537" s="19"/>
      <c r="L2537" s="21">
        <v>0</v>
      </c>
      <c r="M2537" s="22"/>
      <c r="N2537" s="21">
        <v>0</v>
      </c>
      <c r="O2537" s="22"/>
    </row>
    <row r="2538" ht="25.5">
      <c r="A2538" t="s">
        <v>2030</v>
      </c>
      <c r="B2538" s="19">
        <v>102938</v>
      </c>
      <c r="C2538" s="20" t="s">
        <v>2592</v>
      </c>
      <c r="D2538" s="19" t="s">
        <v>2032</v>
      </c>
      <c r="E2538" s="21" t="str">
        <f t="shared" si="116"/>
        <v>VERIFICAR</v>
      </c>
      <c r="F2538" s="22">
        <v>1</v>
      </c>
      <c r="G2538" s="21" t="str">
        <f t="shared" si="117"/>
        <v>VERIFICAR</v>
      </c>
      <c r="H2538" s="22">
        <v>1</v>
      </c>
      <c r="I2538" s="23" t="str">
        <f t="shared" si="118"/>
        <v xml:space="preserve">COM VALOR</v>
      </c>
      <c r="J2538" s="19"/>
      <c r="L2538" s="21">
        <v>0</v>
      </c>
      <c r="M2538" s="22"/>
      <c r="N2538" s="21">
        <v>0</v>
      </c>
      <c r="O2538" s="22"/>
    </row>
    <row r="2539" ht="25.5">
      <c r="A2539" t="s">
        <v>2030</v>
      </c>
      <c r="B2539" s="19">
        <v>102939</v>
      </c>
      <c r="C2539" s="20" t="s">
        <v>2593</v>
      </c>
      <c r="D2539" s="19" t="s">
        <v>2032</v>
      </c>
      <c r="E2539" s="21">
        <f t="shared" si="116"/>
        <v>10.56</v>
      </c>
      <c r="F2539" s="22">
        <v>1</v>
      </c>
      <c r="G2539" s="21">
        <f t="shared" si="117"/>
        <v>10.56</v>
      </c>
      <c r="H2539" s="22">
        <v>1</v>
      </c>
      <c r="I2539" s="23" t="str">
        <f t="shared" si="118"/>
        <v xml:space="preserve">COM VALOR</v>
      </c>
      <c r="J2539" s="19"/>
      <c r="L2539" s="21">
        <v>10.56</v>
      </c>
      <c r="M2539" s="22">
        <v>0</v>
      </c>
      <c r="N2539" s="21">
        <v>10.56</v>
      </c>
      <c r="O2539" s="22">
        <v>0</v>
      </c>
    </row>
    <row r="2540" ht="38.25">
      <c r="A2540" t="s">
        <v>2030</v>
      </c>
      <c r="B2540" s="19">
        <v>103159</v>
      </c>
      <c r="C2540" s="20" t="s">
        <v>2594</v>
      </c>
      <c r="D2540" s="19" t="s">
        <v>2032</v>
      </c>
      <c r="E2540" s="21" t="str">
        <f t="shared" si="116"/>
        <v>VERIFICAR</v>
      </c>
      <c r="F2540" s="22">
        <v>0</v>
      </c>
      <c r="G2540" s="21" t="str">
        <f t="shared" si="117"/>
        <v>VERIFICAR</v>
      </c>
      <c r="H2540" s="22">
        <v>0</v>
      </c>
      <c r="I2540" s="23" t="str">
        <f t="shared" si="118"/>
        <v xml:space="preserve">COM VALOR</v>
      </c>
      <c r="J2540" s="19"/>
      <c r="L2540" s="21">
        <v>0</v>
      </c>
      <c r="M2540" s="22"/>
      <c r="N2540" s="21">
        <v>0</v>
      </c>
      <c r="O2540" s="22"/>
    </row>
    <row r="2541" ht="38.25">
      <c r="A2541" t="s">
        <v>2030</v>
      </c>
      <c r="B2541" s="19">
        <v>103160</v>
      </c>
      <c r="C2541" s="20" t="s">
        <v>2595</v>
      </c>
      <c r="D2541" s="19" t="s">
        <v>2032</v>
      </c>
      <c r="E2541" s="21" t="str">
        <f t="shared" si="116"/>
        <v>VERIFICAR</v>
      </c>
      <c r="F2541" s="22"/>
      <c r="G2541" s="21" t="str">
        <f t="shared" si="117"/>
        <v>VERIFICAR</v>
      </c>
      <c r="H2541" s="22"/>
      <c r="I2541" s="23" t="str">
        <f t="shared" si="118"/>
        <v xml:space="preserve">COM VALOR</v>
      </c>
      <c r="J2541" s="19"/>
      <c r="L2541" s="21">
        <v>0</v>
      </c>
      <c r="M2541" s="22"/>
      <c r="N2541" s="21">
        <v>0</v>
      </c>
      <c r="O2541" s="22"/>
    </row>
    <row r="2542" ht="38.25">
      <c r="A2542" t="s">
        <v>2030</v>
      </c>
      <c r="B2542" s="19">
        <v>103161</v>
      </c>
      <c r="C2542" s="20" t="s">
        <v>2596</v>
      </c>
      <c r="D2542" s="19" t="s">
        <v>2032</v>
      </c>
      <c r="E2542" s="21" t="str">
        <f t="shared" si="116"/>
        <v>VERIFICAR</v>
      </c>
      <c r="F2542" s="22"/>
      <c r="G2542" s="21" t="str">
        <f t="shared" si="117"/>
        <v>VERIFICAR</v>
      </c>
      <c r="H2542" s="22"/>
      <c r="I2542" s="23" t="str">
        <f t="shared" si="118"/>
        <v xml:space="preserve">COM VALOR</v>
      </c>
      <c r="J2542" s="19"/>
      <c r="L2542" s="21">
        <v>0</v>
      </c>
      <c r="M2542" s="22"/>
      <c r="N2542" s="21">
        <v>0</v>
      </c>
      <c r="O2542" s="22"/>
    </row>
    <row r="2543" ht="51">
      <c r="A2543" t="s">
        <v>2030</v>
      </c>
      <c r="B2543" s="19">
        <v>103162</v>
      </c>
      <c r="C2543" s="20" t="s">
        <v>2597</v>
      </c>
      <c r="D2543" s="19" t="s">
        <v>2032</v>
      </c>
      <c r="E2543" s="21">
        <f t="shared" si="116"/>
        <v>0.75</v>
      </c>
      <c r="F2543" s="22"/>
      <c r="G2543" s="21">
        <f t="shared" si="117"/>
        <v>0.75</v>
      </c>
      <c r="H2543" s="22"/>
      <c r="I2543" s="23" t="str">
        <f t="shared" si="118"/>
        <v xml:space="preserve">COM VALOR</v>
      </c>
      <c r="J2543" s="19"/>
      <c r="L2543" s="21">
        <v>0.75</v>
      </c>
      <c r="M2543" s="22">
        <v>0</v>
      </c>
      <c r="N2543" s="21">
        <v>0.75</v>
      </c>
      <c r="O2543" s="22">
        <v>0</v>
      </c>
    </row>
    <row r="2544" ht="51">
      <c r="A2544" t="s">
        <v>2030</v>
      </c>
      <c r="B2544" s="19">
        <v>103153</v>
      </c>
      <c r="C2544" s="20" t="s">
        <v>2598</v>
      </c>
      <c r="D2544" s="19" t="s">
        <v>2032</v>
      </c>
      <c r="E2544" s="21" t="str">
        <f t="shared" si="116"/>
        <v>VERIFICAR</v>
      </c>
      <c r="F2544" s="22">
        <v>0</v>
      </c>
      <c r="G2544" s="21" t="str">
        <f t="shared" si="117"/>
        <v>VERIFICAR</v>
      </c>
      <c r="H2544" s="22">
        <v>0</v>
      </c>
      <c r="I2544" s="23" t="str">
        <f t="shared" si="118"/>
        <v xml:space="preserve">COM VALOR</v>
      </c>
      <c r="J2544" s="19"/>
      <c r="L2544" s="21">
        <v>0</v>
      </c>
      <c r="M2544" s="22"/>
      <c r="N2544" s="21">
        <v>0</v>
      </c>
      <c r="O2544" s="22"/>
    </row>
    <row r="2545" ht="38.25">
      <c r="A2545" t="s">
        <v>2030</v>
      </c>
      <c r="B2545" s="19">
        <v>103154</v>
      </c>
      <c r="C2545" s="20" t="s">
        <v>2599</v>
      </c>
      <c r="D2545" s="19" t="s">
        <v>2032</v>
      </c>
      <c r="E2545" s="21" t="str">
        <f t="shared" si="116"/>
        <v>VERIFICAR</v>
      </c>
      <c r="F2545" s="22">
        <v>0</v>
      </c>
      <c r="G2545" s="21" t="str">
        <f t="shared" si="117"/>
        <v>VERIFICAR</v>
      </c>
      <c r="H2545" s="22">
        <v>0</v>
      </c>
      <c r="I2545" s="23" t="str">
        <f t="shared" si="118"/>
        <v xml:space="preserve">COM VALOR</v>
      </c>
      <c r="J2545" s="19"/>
      <c r="L2545" s="21">
        <v>0</v>
      </c>
      <c r="M2545" s="22"/>
      <c r="N2545" s="21">
        <v>0</v>
      </c>
      <c r="O2545" s="22"/>
    </row>
    <row r="2546" ht="38.25">
      <c r="A2546" t="s">
        <v>2030</v>
      </c>
      <c r="B2546" s="19">
        <v>103155</v>
      </c>
      <c r="C2546" s="20" t="s">
        <v>2600</v>
      </c>
      <c r="D2546" s="19" t="s">
        <v>2032</v>
      </c>
      <c r="E2546" s="21" t="str">
        <f t="shared" si="116"/>
        <v>VERIFICAR</v>
      </c>
      <c r="F2546" s="22">
        <v>0</v>
      </c>
      <c r="G2546" s="21" t="str">
        <f t="shared" si="117"/>
        <v>VERIFICAR</v>
      </c>
      <c r="H2546" s="22">
        <v>0</v>
      </c>
      <c r="I2546" s="23" t="str">
        <f t="shared" si="118"/>
        <v xml:space="preserve">COM VALOR</v>
      </c>
      <c r="J2546" s="19"/>
      <c r="L2546" s="21">
        <v>0</v>
      </c>
      <c r="M2546" s="22"/>
      <c r="N2546" s="21">
        <v>0</v>
      </c>
      <c r="O2546" s="22"/>
    </row>
    <row r="2547" ht="51">
      <c r="A2547" t="s">
        <v>2030</v>
      </c>
      <c r="B2547" s="19">
        <v>103156</v>
      </c>
      <c r="C2547" s="20" t="s">
        <v>2601</v>
      </c>
      <c r="D2547" s="19" t="s">
        <v>2032</v>
      </c>
      <c r="E2547" s="21">
        <f t="shared" si="116"/>
        <v>2.6800000000000002</v>
      </c>
      <c r="F2547" s="22">
        <v>0</v>
      </c>
      <c r="G2547" s="21">
        <f t="shared" si="117"/>
        <v>2.6800000000000002</v>
      </c>
      <c r="H2547" s="22">
        <v>0</v>
      </c>
      <c r="I2547" s="23" t="str">
        <f t="shared" si="118"/>
        <v xml:space="preserve">COM VALOR</v>
      </c>
      <c r="J2547" s="19"/>
      <c r="L2547" s="21">
        <v>2.6800000000000002</v>
      </c>
      <c r="M2547" s="22">
        <v>0</v>
      </c>
      <c r="N2547" s="21">
        <v>2.6800000000000002</v>
      </c>
      <c r="O2547" s="22">
        <v>0</v>
      </c>
    </row>
    <row r="2548" ht="38.25">
      <c r="A2548" t="s">
        <v>2030</v>
      </c>
      <c r="B2548" s="19">
        <v>103171</v>
      </c>
      <c r="C2548" s="20" t="s">
        <v>2602</v>
      </c>
      <c r="D2548" s="19" t="s">
        <v>2032</v>
      </c>
      <c r="E2548" s="21" t="str">
        <f t="shared" si="116"/>
        <v>VERIFICAR</v>
      </c>
      <c r="F2548" s="22">
        <v>0</v>
      </c>
      <c r="G2548" s="21" t="str">
        <f t="shared" si="117"/>
        <v>VERIFICAR</v>
      </c>
      <c r="H2548" s="22">
        <v>0</v>
      </c>
      <c r="I2548" s="23" t="str">
        <f t="shared" si="118"/>
        <v xml:space="preserve">COM VALOR</v>
      </c>
      <c r="J2548" s="19"/>
      <c r="L2548" s="21">
        <v>0</v>
      </c>
      <c r="M2548" s="22"/>
      <c r="N2548" s="21">
        <v>0</v>
      </c>
      <c r="O2548" s="22"/>
    </row>
    <row r="2549" ht="38.25">
      <c r="A2549" t="s">
        <v>2030</v>
      </c>
      <c r="B2549" s="19">
        <v>103172</v>
      </c>
      <c r="C2549" s="20" t="s">
        <v>2603</v>
      </c>
      <c r="D2549" s="19" t="s">
        <v>2032</v>
      </c>
      <c r="E2549" s="21" t="str">
        <f t="shared" si="116"/>
        <v>VERIFICAR</v>
      </c>
      <c r="F2549" s="22">
        <v>0</v>
      </c>
      <c r="G2549" s="21" t="str">
        <f t="shared" si="117"/>
        <v>VERIFICAR</v>
      </c>
      <c r="H2549" s="22">
        <v>0</v>
      </c>
      <c r="I2549" s="23" t="str">
        <f t="shared" si="118"/>
        <v xml:space="preserve">COM VALOR</v>
      </c>
      <c r="J2549" s="19"/>
      <c r="L2549" s="21">
        <v>0</v>
      </c>
      <c r="M2549" s="22"/>
      <c r="N2549" s="21">
        <v>0</v>
      </c>
      <c r="O2549" s="22"/>
    </row>
    <row r="2550" ht="38.25">
      <c r="A2550" t="s">
        <v>2030</v>
      </c>
      <c r="B2550" s="19">
        <v>103173</v>
      </c>
      <c r="C2550" s="20" t="s">
        <v>2604</v>
      </c>
      <c r="D2550" s="19" t="s">
        <v>2032</v>
      </c>
      <c r="E2550" s="21" t="str">
        <f t="shared" si="116"/>
        <v>VERIFICAR</v>
      </c>
      <c r="F2550" s="22">
        <v>0</v>
      </c>
      <c r="G2550" s="21" t="str">
        <f t="shared" si="117"/>
        <v>VERIFICAR</v>
      </c>
      <c r="H2550" s="22">
        <v>0</v>
      </c>
      <c r="I2550" s="23" t="str">
        <f t="shared" si="118"/>
        <v xml:space="preserve">COM VALOR</v>
      </c>
      <c r="J2550" s="19"/>
      <c r="L2550" s="21">
        <v>0</v>
      </c>
      <c r="M2550" s="22"/>
      <c r="N2550" s="21">
        <v>0</v>
      </c>
      <c r="O2550" s="22"/>
    </row>
    <row r="2551" ht="38.25">
      <c r="A2551" t="s">
        <v>2030</v>
      </c>
      <c r="B2551" s="19">
        <v>103174</v>
      </c>
      <c r="C2551" s="20" t="s">
        <v>2605</v>
      </c>
      <c r="D2551" s="19" t="s">
        <v>2032</v>
      </c>
      <c r="E2551" s="21">
        <f t="shared" si="116"/>
        <v>2.1400000000000001</v>
      </c>
      <c r="F2551" s="22">
        <v>0</v>
      </c>
      <c r="G2551" s="21">
        <f t="shared" si="117"/>
        <v>2.1400000000000001</v>
      </c>
      <c r="H2551" s="22">
        <v>0</v>
      </c>
      <c r="I2551" s="23" t="str">
        <f t="shared" si="118"/>
        <v xml:space="preserve">COM VALOR</v>
      </c>
      <c r="J2551" s="19"/>
      <c r="L2551" s="21">
        <v>2.1400000000000001</v>
      </c>
      <c r="M2551" s="22">
        <v>0</v>
      </c>
      <c r="N2551" s="21">
        <v>2.1400000000000001</v>
      </c>
      <c r="O2551" s="22">
        <v>0</v>
      </c>
    </row>
    <row r="2552" ht="38.25">
      <c r="A2552" t="s">
        <v>2030</v>
      </c>
      <c r="B2552" s="19">
        <v>103177</v>
      </c>
      <c r="C2552" s="20" t="s">
        <v>2606</v>
      </c>
      <c r="D2552" s="19" t="s">
        <v>2032</v>
      </c>
      <c r="E2552" s="21" t="str">
        <f t="shared" si="116"/>
        <v>VERIFICAR</v>
      </c>
      <c r="F2552" s="22">
        <v>0</v>
      </c>
      <c r="G2552" s="21" t="str">
        <f t="shared" si="117"/>
        <v>VERIFICAR</v>
      </c>
      <c r="H2552" s="22">
        <v>0</v>
      </c>
      <c r="I2552" s="23" t="str">
        <f t="shared" si="118"/>
        <v xml:space="preserve">COM VALOR</v>
      </c>
      <c r="J2552" s="19"/>
      <c r="L2552" s="21">
        <v>0</v>
      </c>
      <c r="M2552" s="22"/>
      <c r="N2552" s="21">
        <v>0</v>
      </c>
      <c r="O2552" s="22"/>
    </row>
    <row r="2553" ht="38.25">
      <c r="A2553" t="s">
        <v>2030</v>
      </c>
      <c r="B2553" s="19">
        <v>103178</v>
      </c>
      <c r="C2553" s="20" t="s">
        <v>2607</v>
      </c>
      <c r="D2553" s="19" t="s">
        <v>2032</v>
      </c>
      <c r="E2553" s="21" t="str">
        <f t="shared" si="116"/>
        <v>VERIFICAR</v>
      </c>
      <c r="F2553" s="22">
        <v>0</v>
      </c>
      <c r="G2553" s="21" t="str">
        <f t="shared" si="117"/>
        <v>VERIFICAR</v>
      </c>
      <c r="H2553" s="22">
        <v>0</v>
      </c>
      <c r="I2553" s="23" t="str">
        <f t="shared" si="118"/>
        <v xml:space="preserve">COM VALOR</v>
      </c>
      <c r="J2553" s="19"/>
      <c r="L2553" s="21">
        <v>0</v>
      </c>
      <c r="M2553" s="22"/>
      <c r="N2553" s="21">
        <v>0</v>
      </c>
      <c r="O2553" s="22"/>
    </row>
    <row r="2554" ht="38.25">
      <c r="A2554" t="s">
        <v>2030</v>
      </c>
      <c r="B2554" s="19">
        <v>103179</v>
      </c>
      <c r="C2554" s="20" t="s">
        <v>2608</v>
      </c>
      <c r="D2554" s="19" t="s">
        <v>2032</v>
      </c>
      <c r="E2554" s="21" t="str">
        <f t="shared" si="116"/>
        <v>VERIFICAR</v>
      </c>
      <c r="F2554" s="22">
        <v>0</v>
      </c>
      <c r="G2554" s="21" t="str">
        <f t="shared" si="117"/>
        <v>VERIFICAR</v>
      </c>
      <c r="H2554" s="22">
        <v>0</v>
      </c>
      <c r="I2554" s="23" t="str">
        <f t="shared" si="118"/>
        <v xml:space="preserve">COM VALOR</v>
      </c>
      <c r="J2554" s="19"/>
      <c r="L2554" s="21">
        <v>0</v>
      </c>
      <c r="M2554" s="22"/>
      <c r="N2554" s="21">
        <v>0</v>
      </c>
      <c r="O2554" s="22"/>
    </row>
    <row r="2555" ht="51">
      <c r="A2555" t="s">
        <v>2030</v>
      </c>
      <c r="B2555" s="19">
        <v>103180</v>
      </c>
      <c r="C2555" s="20" t="s">
        <v>2609</v>
      </c>
      <c r="D2555" s="19" t="s">
        <v>2032</v>
      </c>
      <c r="E2555" s="21">
        <f t="shared" si="116"/>
        <v>4.9299999999999997</v>
      </c>
      <c r="F2555" s="22">
        <v>0</v>
      </c>
      <c r="G2555" s="21">
        <f t="shared" si="117"/>
        <v>4.9299999999999997</v>
      </c>
      <c r="H2555" s="22">
        <v>0</v>
      </c>
      <c r="I2555" s="23" t="str">
        <f t="shared" si="118"/>
        <v xml:space="preserve">COM VALOR</v>
      </c>
      <c r="J2555" s="19"/>
      <c r="L2555" s="21">
        <v>4.9299999999999997</v>
      </c>
      <c r="M2555" s="22">
        <v>0</v>
      </c>
      <c r="N2555" s="21">
        <v>4.9299999999999997</v>
      </c>
      <c r="O2555" s="22">
        <v>0</v>
      </c>
    </row>
    <row r="2556" ht="38.25">
      <c r="A2556" t="s">
        <v>2030</v>
      </c>
      <c r="B2556" s="19">
        <v>103165</v>
      </c>
      <c r="C2556" s="20" t="s">
        <v>2610</v>
      </c>
      <c r="D2556" s="19" t="s">
        <v>2032</v>
      </c>
      <c r="E2556" s="21" t="str">
        <f t="shared" si="116"/>
        <v>VERIFICAR</v>
      </c>
      <c r="F2556" s="22">
        <v>0</v>
      </c>
      <c r="G2556" s="21" t="str">
        <f t="shared" si="117"/>
        <v>VERIFICAR</v>
      </c>
      <c r="H2556" s="22">
        <v>0</v>
      </c>
      <c r="I2556" s="23" t="str">
        <f t="shared" si="118"/>
        <v xml:space="preserve">COM VALOR</v>
      </c>
      <c r="J2556" s="19"/>
      <c r="L2556" s="21">
        <v>0</v>
      </c>
      <c r="M2556" s="22"/>
      <c r="N2556" s="21">
        <v>0</v>
      </c>
      <c r="O2556" s="22"/>
    </row>
    <row r="2557" ht="38.25">
      <c r="A2557" t="s">
        <v>2030</v>
      </c>
      <c r="B2557" s="19">
        <v>103166</v>
      </c>
      <c r="C2557" s="20" t="s">
        <v>2611</v>
      </c>
      <c r="D2557" s="19" t="s">
        <v>2032</v>
      </c>
      <c r="E2557" s="21" t="str">
        <f t="shared" si="116"/>
        <v>VERIFICAR</v>
      </c>
      <c r="F2557" s="22">
        <v>1</v>
      </c>
      <c r="G2557" s="21" t="str">
        <f t="shared" si="117"/>
        <v>VERIFICAR</v>
      </c>
      <c r="H2557" s="22">
        <v>1</v>
      </c>
      <c r="I2557" s="23" t="str">
        <f t="shared" si="118"/>
        <v xml:space="preserve">COM VALOR</v>
      </c>
      <c r="J2557" s="19"/>
      <c r="L2557" s="21">
        <v>0</v>
      </c>
      <c r="M2557" s="22"/>
      <c r="N2557" s="21">
        <v>0</v>
      </c>
      <c r="O2557" s="22"/>
    </row>
    <row r="2558" ht="38.25">
      <c r="A2558" t="s">
        <v>2030</v>
      </c>
      <c r="B2558" s="19">
        <v>103167</v>
      </c>
      <c r="C2558" s="20" t="s">
        <v>2612</v>
      </c>
      <c r="D2558" s="19" t="s">
        <v>2032</v>
      </c>
      <c r="E2558" s="21" t="str">
        <f t="shared" si="116"/>
        <v>VERIFICAR</v>
      </c>
      <c r="F2558" s="22">
        <v>1</v>
      </c>
      <c r="G2558" s="21" t="str">
        <f t="shared" si="117"/>
        <v>VERIFICAR</v>
      </c>
      <c r="H2558" s="22">
        <v>1</v>
      </c>
      <c r="I2558" s="23" t="str">
        <f t="shared" si="118"/>
        <v xml:space="preserve">COM VALOR</v>
      </c>
      <c r="J2558" s="19"/>
      <c r="L2558" s="21">
        <v>0</v>
      </c>
      <c r="M2558" s="22"/>
      <c r="N2558" s="21">
        <v>0</v>
      </c>
      <c r="O2558" s="22"/>
    </row>
    <row r="2559" ht="38.25">
      <c r="A2559" t="s">
        <v>2030</v>
      </c>
      <c r="B2559" s="19">
        <v>103168</v>
      </c>
      <c r="C2559" s="20" t="s">
        <v>2613</v>
      </c>
      <c r="D2559" s="19" t="s">
        <v>2032</v>
      </c>
      <c r="E2559" s="21">
        <f t="shared" si="116"/>
        <v>0.84999999999999998</v>
      </c>
      <c r="F2559" s="22">
        <v>1</v>
      </c>
      <c r="G2559" s="21">
        <f t="shared" si="117"/>
        <v>0.84999999999999998</v>
      </c>
      <c r="H2559" s="22">
        <v>1</v>
      </c>
      <c r="I2559" s="23" t="str">
        <f t="shared" si="118"/>
        <v xml:space="preserve">COM VALOR</v>
      </c>
      <c r="J2559" s="19"/>
      <c r="L2559" s="21">
        <v>0.84999999999999998</v>
      </c>
      <c r="M2559" s="22">
        <v>0</v>
      </c>
      <c r="N2559" s="21">
        <v>0.84999999999999998</v>
      </c>
      <c r="O2559" s="22">
        <v>0</v>
      </c>
    </row>
    <row r="2560" ht="25.5">
      <c r="A2560" t="s">
        <v>2030</v>
      </c>
      <c r="B2560" s="19">
        <v>102864</v>
      </c>
      <c r="C2560" s="20" t="s">
        <v>2614</v>
      </c>
      <c r="D2560" s="19" t="s">
        <v>2032</v>
      </c>
      <c r="E2560" s="21" t="str">
        <f t="shared" si="116"/>
        <v>VERIFICAR</v>
      </c>
      <c r="F2560" s="22">
        <v>0</v>
      </c>
      <c r="G2560" s="21" t="str">
        <f t="shared" si="117"/>
        <v>VERIFICAR</v>
      </c>
      <c r="H2560" s="22">
        <v>0</v>
      </c>
      <c r="I2560" s="23" t="str">
        <f t="shared" si="118"/>
        <v xml:space="preserve">COM VALOR</v>
      </c>
      <c r="J2560" s="19"/>
      <c r="L2560" s="21">
        <v>0</v>
      </c>
      <c r="M2560" s="22"/>
      <c r="N2560" s="21">
        <v>0</v>
      </c>
      <c r="O2560" s="22"/>
    </row>
    <row r="2561" ht="25.5">
      <c r="A2561" t="s">
        <v>2030</v>
      </c>
      <c r="B2561" s="19">
        <v>102865</v>
      </c>
      <c r="C2561" s="20" t="s">
        <v>2615</v>
      </c>
      <c r="D2561" s="19" t="s">
        <v>2032</v>
      </c>
      <c r="E2561" s="21" t="str">
        <f t="shared" si="116"/>
        <v>VERIFICAR</v>
      </c>
      <c r="F2561" s="22">
        <v>1</v>
      </c>
      <c r="G2561" s="21" t="str">
        <f t="shared" si="117"/>
        <v>VERIFICAR</v>
      </c>
      <c r="H2561" s="22">
        <v>1</v>
      </c>
      <c r="I2561" s="23" t="str">
        <f t="shared" si="118"/>
        <v xml:space="preserve">COM VALOR</v>
      </c>
      <c r="J2561" s="19"/>
      <c r="L2561" s="21">
        <v>0</v>
      </c>
      <c r="M2561" s="22"/>
      <c r="N2561" s="21">
        <v>0</v>
      </c>
      <c r="O2561" s="22"/>
    </row>
    <row r="2562" ht="25.5">
      <c r="A2562" t="s">
        <v>2030</v>
      </c>
      <c r="B2562" s="19">
        <v>102866</v>
      </c>
      <c r="C2562" s="20" t="s">
        <v>2616</v>
      </c>
      <c r="D2562" s="19" t="s">
        <v>2032</v>
      </c>
      <c r="E2562" s="21" t="str">
        <f t="shared" si="116"/>
        <v>VERIFICAR</v>
      </c>
      <c r="F2562" s="22">
        <v>1</v>
      </c>
      <c r="G2562" s="21" t="str">
        <f t="shared" si="117"/>
        <v>VERIFICAR</v>
      </c>
      <c r="H2562" s="22">
        <v>1</v>
      </c>
      <c r="I2562" s="23" t="str">
        <f t="shared" si="118"/>
        <v xml:space="preserve">COM VALOR</v>
      </c>
      <c r="J2562" s="19"/>
      <c r="L2562" s="21">
        <v>0</v>
      </c>
      <c r="M2562" s="22"/>
      <c r="N2562" s="21">
        <v>0</v>
      </c>
      <c r="O2562" s="22"/>
    </row>
    <row r="2563" ht="25.5">
      <c r="A2563" t="s">
        <v>2030</v>
      </c>
      <c r="B2563" s="19">
        <v>102867</v>
      </c>
      <c r="C2563" s="20" t="s">
        <v>2617</v>
      </c>
      <c r="D2563" s="19" t="s">
        <v>2032</v>
      </c>
      <c r="E2563" s="21">
        <f t="shared" si="116"/>
        <v>0.76000000000000001</v>
      </c>
      <c r="F2563" s="22">
        <v>1</v>
      </c>
      <c r="G2563" s="21">
        <f t="shared" si="117"/>
        <v>0.76000000000000001</v>
      </c>
      <c r="H2563" s="22">
        <v>1</v>
      </c>
      <c r="I2563" s="23" t="str">
        <f t="shared" si="118"/>
        <v xml:space="preserve">COM VALOR</v>
      </c>
      <c r="J2563" s="19"/>
      <c r="L2563" s="21">
        <v>0.76000000000000001</v>
      </c>
      <c r="M2563" s="22">
        <v>0</v>
      </c>
      <c r="N2563" s="21">
        <v>0.76000000000000001</v>
      </c>
      <c r="O2563" s="22">
        <v>0</v>
      </c>
    </row>
    <row r="2564" ht="38.25">
      <c r="A2564" t="s">
        <v>2030</v>
      </c>
      <c r="B2564" s="19">
        <v>106321</v>
      </c>
      <c r="C2564" s="20" t="s">
        <v>2618</v>
      </c>
      <c r="D2564" s="19" t="s">
        <v>2032</v>
      </c>
      <c r="E2564" s="21" t="str">
        <f t="shared" si="116"/>
        <v>VERIFICAR</v>
      </c>
      <c r="F2564" s="22">
        <v>0</v>
      </c>
      <c r="G2564" s="21" t="str">
        <f t="shared" si="117"/>
        <v>VERIFICAR</v>
      </c>
      <c r="H2564" s="22">
        <v>0</v>
      </c>
      <c r="I2564" s="23" t="str">
        <f t="shared" si="118"/>
        <v xml:space="preserve">COM VALOR</v>
      </c>
      <c r="J2564" s="19"/>
      <c r="L2564" s="21">
        <v>0</v>
      </c>
      <c r="M2564" s="22"/>
      <c r="N2564" s="21">
        <v>0</v>
      </c>
      <c r="O2564" s="22"/>
    </row>
    <row r="2565" ht="38.25">
      <c r="A2565" t="s">
        <v>2030</v>
      </c>
      <c r="B2565" s="19">
        <v>106322</v>
      </c>
      <c r="C2565" s="20" t="s">
        <v>2619</v>
      </c>
      <c r="D2565" s="19" t="s">
        <v>2032</v>
      </c>
      <c r="E2565" s="21" t="str">
        <f t="shared" si="116"/>
        <v>VERIFICAR</v>
      </c>
      <c r="F2565" s="22">
        <v>1</v>
      </c>
      <c r="G2565" s="21" t="str">
        <f t="shared" si="117"/>
        <v>VERIFICAR</v>
      </c>
      <c r="H2565" s="22">
        <v>1</v>
      </c>
      <c r="I2565" s="23" t="str">
        <f t="shared" si="118"/>
        <v xml:space="preserve">COM VALOR</v>
      </c>
      <c r="J2565" s="19"/>
      <c r="L2565" s="21">
        <v>0</v>
      </c>
      <c r="M2565" s="22"/>
      <c r="N2565" s="21">
        <v>0</v>
      </c>
      <c r="O2565" s="22"/>
    </row>
    <row r="2566" ht="38.25">
      <c r="A2566" t="s">
        <v>2030</v>
      </c>
      <c r="B2566" s="19">
        <v>106323</v>
      </c>
      <c r="C2566" s="20" t="s">
        <v>2620</v>
      </c>
      <c r="D2566" s="19" t="s">
        <v>2032</v>
      </c>
      <c r="E2566" s="21" t="str">
        <f t="shared" si="116"/>
        <v>VERIFICAR</v>
      </c>
      <c r="F2566" s="22">
        <v>1</v>
      </c>
      <c r="G2566" s="21" t="str">
        <f t="shared" si="117"/>
        <v>VERIFICAR</v>
      </c>
      <c r="H2566" s="22">
        <v>1</v>
      </c>
      <c r="I2566" s="23" t="str">
        <f t="shared" si="118"/>
        <v xml:space="preserve">COM VALOR</v>
      </c>
      <c r="J2566" s="19"/>
      <c r="L2566" s="21">
        <v>0</v>
      </c>
      <c r="M2566" s="22"/>
      <c r="N2566" s="21">
        <v>0</v>
      </c>
      <c r="O2566" s="22"/>
    </row>
    <row r="2567" ht="38.25">
      <c r="A2567" t="s">
        <v>2030</v>
      </c>
      <c r="B2567" s="19">
        <v>106324</v>
      </c>
      <c r="C2567" s="20" t="s">
        <v>2621</v>
      </c>
      <c r="D2567" s="19" t="s">
        <v>2032</v>
      </c>
      <c r="E2567" s="21">
        <f t="shared" si="116"/>
        <v>0.70999999999999996</v>
      </c>
      <c r="F2567" s="22">
        <v>1</v>
      </c>
      <c r="G2567" s="21">
        <f t="shared" si="117"/>
        <v>0.70999999999999996</v>
      </c>
      <c r="H2567" s="22">
        <v>1</v>
      </c>
      <c r="I2567" s="23" t="str">
        <f t="shared" si="118"/>
        <v xml:space="preserve">COM VALOR</v>
      </c>
      <c r="J2567" s="19"/>
      <c r="L2567" s="21">
        <v>0.70999999999999996</v>
      </c>
      <c r="M2567" s="22">
        <v>0</v>
      </c>
      <c r="N2567" s="21">
        <v>0.70999999999999996</v>
      </c>
      <c r="O2567" s="22">
        <v>0</v>
      </c>
    </row>
    <row r="2568" ht="25.5">
      <c r="A2568" t="s">
        <v>2030</v>
      </c>
      <c r="B2568" s="19">
        <v>92108</v>
      </c>
      <c r="C2568" s="20" t="s">
        <v>2622</v>
      </c>
      <c r="D2568" s="19" t="s">
        <v>2032</v>
      </c>
      <c r="E2568" s="21">
        <f t="shared" si="116"/>
        <v>0.93000000000000005</v>
      </c>
      <c r="F2568" s="22">
        <v>0</v>
      </c>
      <c r="G2568" s="21">
        <f t="shared" si="117"/>
        <v>0.93000000000000005</v>
      </c>
      <c r="H2568" s="22">
        <v>0</v>
      </c>
      <c r="I2568" s="23" t="str">
        <f t="shared" si="118"/>
        <v xml:space="preserve">COM VALOR</v>
      </c>
      <c r="J2568" s="19"/>
      <c r="L2568" s="21">
        <v>0.93000000000000005</v>
      </c>
      <c r="M2568" s="22">
        <v>0</v>
      </c>
      <c r="N2568" s="21">
        <v>0.93000000000000005</v>
      </c>
      <c r="O2568" s="22">
        <v>0</v>
      </c>
    </row>
    <row r="2569" ht="25.5">
      <c r="A2569" t="s">
        <v>2030</v>
      </c>
      <c r="B2569" s="19">
        <v>92109</v>
      </c>
      <c r="C2569" s="20" t="s">
        <v>2623</v>
      </c>
      <c r="D2569" s="19" t="s">
        <v>2032</v>
      </c>
      <c r="E2569" s="21">
        <f t="shared" si="116"/>
        <v>0.20999999999999999</v>
      </c>
      <c r="F2569" s="22">
        <v>1</v>
      </c>
      <c r="G2569" s="21">
        <f t="shared" si="117"/>
        <v>0.20999999999999999</v>
      </c>
      <c r="H2569" s="22">
        <v>1</v>
      </c>
      <c r="I2569" s="23" t="str">
        <f t="shared" si="118"/>
        <v xml:space="preserve">COM VALOR</v>
      </c>
      <c r="J2569" s="19"/>
      <c r="L2569" s="21">
        <v>0.20999999999999999</v>
      </c>
      <c r="M2569" s="22">
        <v>0</v>
      </c>
      <c r="N2569" s="21">
        <v>0.20999999999999999</v>
      </c>
      <c r="O2569" s="22">
        <v>0</v>
      </c>
    </row>
    <row r="2570" ht="25.5">
      <c r="A2570" t="s">
        <v>2030</v>
      </c>
      <c r="B2570" s="19">
        <v>92110</v>
      </c>
      <c r="C2570" s="20" t="s">
        <v>2624</v>
      </c>
      <c r="D2570" s="19" t="s">
        <v>2032</v>
      </c>
      <c r="E2570" s="21">
        <f t="shared" si="116"/>
        <v>1.1699999999999999</v>
      </c>
      <c r="F2570" s="22">
        <v>1</v>
      </c>
      <c r="G2570" s="21">
        <f t="shared" si="117"/>
        <v>1.1699999999999999</v>
      </c>
      <c r="H2570" s="22">
        <v>1</v>
      </c>
      <c r="I2570" s="23" t="str">
        <f t="shared" si="118"/>
        <v xml:space="preserve">COM VALOR</v>
      </c>
      <c r="J2570" s="19"/>
      <c r="L2570" s="21">
        <v>1.1699999999999999</v>
      </c>
      <c r="M2570" s="22">
        <v>0</v>
      </c>
      <c r="N2570" s="21">
        <v>1.1699999999999999</v>
      </c>
      <c r="O2570" s="22">
        <v>0</v>
      </c>
    </row>
    <row r="2571" ht="38.25">
      <c r="A2571" t="s">
        <v>2030</v>
      </c>
      <c r="B2571" s="19">
        <v>92111</v>
      </c>
      <c r="C2571" s="20" t="s">
        <v>2625</v>
      </c>
      <c r="D2571" s="19" t="s">
        <v>2032</v>
      </c>
      <c r="E2571" s="21">
        <f t="shared" ref="E2571:E2634" si="119">IF(L2571=0,"VERIFICAR",L2571)</f>
        <v>1.4099999999999999</v>
      </c>
      <c r="F2571" s="22">
        <v>1</v>
      </c>
      <c r="G2571" s="21">
        <f t="shared" ref="G2571:G2634" si="120">IF(N2571=0,"VERIFICAR",N2571)</f>
        <v>1.4099999999999999</v>
      </c>
      <c r="H2571" s="22">
        <v>1</v>
      </c>
      <c r="I2571" s="23" t="str">
        <f t="shared" ref="I2571:I2634" si="121">IF(OR(E2571=0,G2571=0),"SEM VALOR","COM VALOR")</f>
        <v xml:space="preserve">COM VALOR</v>
      </c>
      <c r="J2571" s="19"/>
      <c r="L2571" s="21">
        <v>1.4099999999999999</v>
      </c>
      <c r="M2571" s="22">
        <v>0</v>
      </c>
      <c r="N2571" s="21">
        <v>1.4099999999999999</v>
      </c>
      <c r="O2571" s="22">
        <v>0</v>
      </c>
    </row>
    <row r="2572" ht="51">
      <c r="A2572" t="s">
        <v>2030</v>
      </c>
      <c r="B2572" s="19">
        <v>90670</v>
      </c>
      <c r="C2572" s="20" t="s">
        <v>2626</v>
      </c>
      <c r="D2572" s="19" t="s">
        <v>2032</v>
      </c>
      <c r="E2572" s="21">
        <f t="shared" si="119"/>
        <v>231.91999999999999</v>
      </c>
      <c r="F2572" s="22">
        <v>0</v>
      </c>
      <c r="G2572" s="21">
        <f t="shared" si="120"/>
        <v>231.91999999999999</v>
      </c>
      <c r="H2572" s="22">
        <v>0</v>
      </c>
      <c r="I2572" s="23" t="str">
        <f t="shared" si="121"/>
        <v xml:space="preserve">COM VALOR</v>
      </c>
      <c r="J2572" s="19"/>
      <c r="L2572" s="21">
        <v>231.91999999999999</v>
      </c>
      <c r="M2572" s="22">
        <v>0</v>
      </c>
      <c r="N2572" s="21">
        <v>231.91999999999999</v>
      </c>
      <c r="O2572" s="22">
        <v>0</v>
      </c>
    </row>
    <row r="2573" ht="51">
      <c r="A2573" t="s">
        <v>2030</v>
      </c>
      <c r="B2573" s="19">
        <v>90671</v>
      </c>
      <c r="C2573" s="20" t="s">
        <v>2627</v>
      </c>
      <c r="D2573" s="19" t="s">
        <v>2032</v>
      </c>
      <c r="E2573" s="21">
        <f t="shared" si="119"/>
        <v>62.219999999999999</v>
      </c>
      <c r="F2573" s="22">
        <v>1</v>
      </c>
      <c r="G2573" s="21">
        <f t="shared" si="120"/>
        <v>62.219999999999999</v>
      </c>
      <c r="H2573" s="22">
        <v>1</v>
      </c>
      <c r="I2573" s="23" t="str">
        <f t="shared" si="121"/>
        <v xml:space="preserve">COM VALOR</v>
      </c>
      <c r="J2573" s="19"/>
      <c r="L2573" s="21">
        <v>62.219999999999999</v>
      </c>
      <c r="M2573" s="22">
        <v>0</v>
      </c>
      <c r="N2573" s="21">
        <v>62.219999999999999</v>
      </c>
      <c r="O2573" s="22">
        <v>0</v>
      </c>
    </row>
    <row r="2574" ht="51">
      <c r="A2574" t="s">
        <v>2030</v>
      </c>
      <c r="B2574" s="19">
        <v>90672</v>
      </c>
      <c r="C2574" s="20" t="s">
        <v>2628</v>
      </c>
      <c r="D2574" s="19" t="s">
        <v>2032</v>
      </c>
      <c r="E2574" s="21">
        <f t="shared" si="119"/>
        <v>290.23000000000002</v>
      </c>
      <c r="F2574" s="22">
        <v>1</v>
      </c>
      <c r="G2574" s="21">
        <f t="shared" si="120"/>
        <v>290.23000000000002</v>
      </c>
      <c r="H2574" s="22">
        <v>1</v>
      </c>
      <c r="I2574" s="23" t="str">
        <f t="shared" si="121"/>
        <v xml:space="preserve">COM VALOR</v>
      </c>
      <c r="J2574" s="19"/>
      <c r="L2574" s="21">
        <v>290.23000000000002</v>
      </c>
      <c r="M2574" s="22">
        <v>0</v>
      </c>
      <c r="N2574" s="21">
        <v>290.23000000000002</v>
      </c>
      <c r="O2574" s="22">
        <v>0</v>
      </c>
    </row>
    <row r="2575" ht="51">
      <c r="A2575" t="s">
        <v>2030</v>
      </c>
      <c r="B2575" s="19">
        <v>90673</v>
      </c>
      <c r="C2575" s="20" t="s">
        <v>2629</v>
      </c>
      <c r="D2575" s="19" t="s">
        <v>2032</v>
      </c>
      <c r="E2575" s="21">
        <f t="shared" si="119"/>
        <v>135.72999999999999</v>
      </c>
      <c r="F2575" s="22">
        <v>1</v>
      </c>
      <c r="G2575" s="21">
        <f t="shared" si="120"/>
        <v>135.72999999999999</v>
      </c>
      <c r="H2575" s="22">
        <v>1</v>
      </c>
      <c r="I2575" s="23" t="str">
        <f t="shared" si="121"/>
        <v xml:space="preserve">COM VALOR</v>
      </c>
      <c r="J2575" s="19"/>
      <c r="L2575" s="21">
        <v>135.72999999999999</v>
      </c>
      <c r="M2575" s="22">
        <v>0</v>
      </c>
      <c r="N2575" s="21">
        <v>135.72999999999999</v>
      </c>
      <c r="O2575" s="22">
        <v>0</v>
      </c>
    </row>
    <row r="2576" ht="51">
      <c r="A2576" t="s">
        <v>2030</v>
      </c>
      <c r="B2576" s="19">
        <v>93220</v>
      </c>
      <c r="C2576" s="20" t="s">
        <v>2630</v>
      </c>
      <c r="D2576" s="19" t="s">
        <v>2032</v>
      </c>
      <c r="E2576" s="21">
        <f t="shared" si="119"/>
        <v>355.62</v>
      </c>
      <c r="F2576" s="22">
        <v>0</v>
      </c>
      <c r="G2576" s="21">
        <f t="shared" si="120"/>
        <v>355.62</v>
      </c>
      <c r="H2576" s="22">
        <v>0</v>
      </c>
      <c r="I2576" s="23" t="str">
        <f t="shared" si="121"/>
        <v xml:space="preserve">COM VALOR</v>
      </c>
      <c r="J2576" s="19"/>
      <c r="L2576" s="21">
        <v>355.62</v>
      </c>
      <c r="M2576" s="22">
        <v>0</v>
      </c>
      <c r="N2576" s="21">
        <v>355.62</v>
      </c>
      <c r="O2576" s="22">
        <v>0</v>
      </c>
    </row>
    <row r="2577" ht="51">
      <c r="A2577" t="s">
        <v>2030</v>
      </c>
      <c r="B2577" s="19">
        <v>93221</v>
      </c>
      <c r="C2577" s="20" t="s">
        <v>2631</v>
      </c>
      <c r="D2577" s="19" t="s">
        <v>2032</v>
      </c>
      <c r="E2577" s="21">
        <f t="shared" si="119"/>
        <v>95.409999999999997</v>
      </c>
      <c r="F2577" s="22">
        <v>1</v>
      </c>
      <c r="G2577" s="21">
        <f t="shared" si="120"/>
        <v>95.409999999999997</v>
      </c>
      <c r="H2577" s="22">
        <v>1</v>
      </c>
      <c r="I2577" s="23" t="str">
        <f t="shared" si="121"/>
        <v xml:space="preserve">COM VALOR</v>
      </c>
      <c r="J2577" s="19"/>
      <c r="L2577" s="21">
        <v>95.409999999999997</v>
      </c>
      <c r="M2577" s="22">
        <v>0</v>
      </c>
      <c r="N2577" s="21">
        <v>95.409999999999997</v>
      </c>
      <c r="O2577" s="22">
        <v>0</v>
      </c>
    </row>
    <row r="2578" ht="51">
      <c r="A2578" t="s">
        <v>2030</v>
      </c>
      <c r="B2578" s="19">
        <v>93222</v>
      </c>
      <c r="C2578" s="20" t="s">
        <v>2632</v>
      </c>
      <c r="D2578" s="19" t="s">
        <v>2032</v>
      </c>
      <c r="E2578" s="21">
        <f t="shared" si="119"/>
        <v>445.01999999999998</v>
      </c>
      <c r="F2578" s="22">
        <v>1</v>
      </c>
      <c r="G2578" s="21">
        <f t="shared" si="120"/>
        <v>445.01999999999998</v>
      </c>
      <c r="H2578" s="22">
        <v>1</v>
      </c>
      <c r="I2578" s="23" t="str">
        <f t="shared" si="121"/>
        <v xml:space="preserve">COM VALOR</v>
      </c>
      <c r="J2578" s="19"/>
      <c r="L2578" s="21">
        <v>445.01999999999998</v>
      </c>
      <c r="M2578" s="22">
        <v>0</v>
      </c>
      <c r="N2578" s="21">
        <v>445.01999999999998</v>
      </c>
      <c r="O2578" s="22">
        <v>0</v>
      </c>
    </row>
    <row r="2579" ht="51">
      <c r="A2579" t="s">
        <v>2030</v>
      </c>
      <c r="B2579" s="19">
        <v>93223</v>
      </c>
      <c r="C2579" s="20" t="s">
        <v>2633</v>
      </c>
      <c r="D2579" s="19" t="s">
        <v>2032</v>
      </c>
      <c r="E2579" s="21">
        <f t="shared" si="119"/>
        <v>177.28</v>
      </c>
      <c r="F2579" s="22">
        <v>1</v>
      </c>
      <c r="G2579" s="21">
        <f t="shared" si="120"/>
        <v>177.28</v>
      </c>
      <c r="H2579" s="22">
        <v>1</v>
      </c>
      <c r="I2579" s="23" t="str">
        <f t="shared" si="121"/>
        <v xml:space="preserve">COM VALOR</v>
      </c>
      <c r="J2579" s="19"/>
      <c r="L2579" s="21">
        <v>177.28</v>
      </c>
      <c r="M2579" s="22">
        <v>0</v>
      </c>
      <c r="N2579" s="21">
        <v>177.28</v>
      </c>
      <c r="O2579" s="22">
        <v>0</v>
      </c>
    </row>
    <row r="2580" ht="38.25">
      <c r="A2580" t="s">
        <v>2030</v>
      </c>
      <c r="B2580" s="19">
        <v>104691</v>
      </c>
      <c r="C2580" s="20" t="s">
        <v>2634</v>
      </c>
      <c r="D2580" s="19" t="s">
        <v>2032</v>
      </c>
      <c r="E2580" s="21">
        <f t="shared" si="119"/>
        <v>0.92000000000000004</v>
      </c>
      <c r="F2580" s="22">
        <v>0</v>
      </c>
      <c r="G2580" s="21">
        <f t="shared" si="120"/>
        <v>0.92000000000000004</v>
      </c>
      <c r="H2580" s="22">
        <v>0</v>
      </c>
      <c r="I2580" s="23" t="str">
        <f t="shared" si="121"/>
        <v xml:space="preserve">COM VALOR</v>
      </c>
      <c r="J2580" s="19"/>
      <c r="L2580" s="21">
        <v>0.92000000000000004</v>
      </c>
      <c r="M2580" s="22">
        <v>0</v>
      </c>
      <c r="N2580" s="21">
        <v>0.92000000000000004</v>
      </c>
      <c r="O2580" s="22">
        <v>0</v>
      </c>
    </row>
    <row r="2581" ht="25.5">
      <c r="A2581" t="s">
        <v>2030</v>
      </c>
      <c r="B2581" s="19">
        <v>104692</v>
      </c>
      <c r="C2581" s="20" t="s">
        <v>2635</v>
      </c>
      <c r="D2581" s="19" t="s">
        <v>2032</v>
      </c>
      <c r="E2581" s="21">
        <f t="shared" si="119"/>
        <v>0.20999999999999999</v>
      </c>
      <c r="F2581" s="22">
        <v>1</v>
      </c>
      <c r="G2581" s="21">
        <f t="shared" si="120"/>
        <v>0.20999999999999999</v>
      </c>
      <c r="H2581" s="22">
        <v>1</v>
      </c>
      <c r="I2581" s="23" t="str">
        <f t="shared" si="121"/>
        <v xml:space="preserve">COM VALOR</v>
      </c>
      <c r="J2581" s="19"/>
      <c r="L2581" s="21">
        <v>0.20999999999999999</v>
      </c>
      <c r="M2581" s="22">
        <v>0</v>
      </c>
      <c r="N2581" s="21">
        <v>0.20999999999999999</v>
      </c>
      <c r="O2581" s="22">
        <v>0</v>
      </c>
    </row>
    <row r="2582" ht="38.25">
      <c r="A2582" t="s">
        <v>2030</v>
      </c>
      <c r="B2582" s="19">
        <v>104693</v>
      </c>
      <c r="C2582" s="20" t="s">
        <v>2636</v>
      </c>
      <c r="D2582" s="19" t="s">
        <v>2032</v>
      </c>
      <c r="E2582" s="21">
        <f t="shared" si="119"/>
        <v>1.1499999999999999</v>
      </c>
      <c r="F2582" s="22">
        <v>1</v>
      </c>
      <c r="G2582" s="21">
        <f t="shared" si="120"/>
        <v>1.1499999999999999</v>
      </c>
      <c r="H2582" s="22">
        <v>1</v>
      </c>
      <c r="I2582" s="23" t="str">
        <f t="shared" si="121"/>
        <v xml:space="preserve">COM VALOR</v>
      </c>
      <c r="J2582" s="19"/>
      <c r="L2582" s="21">
        <v>1.1499999999999999</v>
      </c>
      <c r="M2582" s="22">
        <v>0</v>
      </c>
      <c r="N2582" s="21">
        <v>1.1499999999999999</v>
      </c>
      <c r="O2582" s="22">
        <v>0</v>
      </c>
    </row>
    <row r="2583" ht="38.25">
      <c r="A2583" t="s">
        <v>2030</v>
      </c>
      <c r="B2583" s="19">
        <v>104694</v>
      </c>
      <c r="C2583" s="20" t="s">
        <v>2637</v>
      </c>
      <c r="D2583" s="19" t="s">
        <v>2032</v>
      </c>
      <c r="E2583" s="21">
        <f t="shared" si="119"/>
        <v>2.3999999999999999</v>
      </c>
      <c r="F2583" s="22">
        <v>1</v>
      </c>
      <c r="G2583" s="21">
        <f t="shared" si="120"/>
        <v>2.3999999999999999</v>
      </c>
      <c r="H2583" s="22">
        <v>1</v>
      </c>
      <c r="I2583" s="23" t="str">
        <f t="shared" si="121"/>
        <v xml:space="preserve">COM VALOR</v>
      </c>
      <c r="J2583" s="19"/>
      <c r="L2583" s="21">
        <v>2.3999999999999999</v>
      </c>
      <c r="M2583" s="22">
        <v>0</v>
      </c>
      <c r="N2583" s="21">
        <v>2.3999999999999999</v>
      </c>
      <c r="O2583" s="22">
        <v>0</v>
      </c>
    </row>
    <row r="2584" ht="51">
      <c r="A2584" t="s">
        <v>2030</v>
      </c>
      <c r="B2584" s="19">
        <v>90676</v>
      </c>
      <c r="C2584" s="20" t="s">
        <v>2638</v>
      </c>
      <c r="D2584" s="19" t="s">
        <v>2032</v>
      </c>
      <c r="E2584" s="21">
        <f t="shared" si="119"/>
        <v>96.590000000000003</v>
      </c>
      <c r="F2584" s="22">
        <v>0</v>
      </c>
      <c r="G2584" s="21">
        <f t="shared" si="120"/>
        <v>96.590000000000003</v>
      </c>
      <c r="H2584" s="22">
        <v>0</v>
      </c>
      <c r="I2584" s="23" t="str">
        <f t="shared" si="121"/>
        <v xml:space="preserve">COM VALOR</v>
      </c>
      <c r="J2584" s="19"/>
      <c r="L2584" s="21">
        <v>96.590000000000003</v>
      </c>
      <c r="M2584" s="22">
        <v>0.25</v>
      </c>
      <c r="N2584" s="21">
        <v>96.590000000000003</v>
      </c>
      <c r="O2584" s="22">
        <v>0.25</v>
      </c>
    </row>
    <row r="2585" ht="51">
      <c r="A2585" t="s">
        <v>2030</v>
      </c>
      <c r="B2585" s="19">
        <v>91021</v>
      </c>
      <c r="C2585" s="20" t="s">
        <v>2639</v>
      </c>
      <c r="D2585" s="19" t="s">
        <v>2032</v>
      </c>
      <c r="E2585" s="21">
        <f t="shared" si="119"/>
        <v>11.9</v>
      </c>
      <c r="F2585" s="22">
        <v>1</v>
      </c>
      <c r="G2585" s="21">
        <f t="shared" si="120"/>
        <v>11.9</v>
      </c>
      <c r="H2585" s="22">
        <v>1</v>
      </c>
      <c r="I2585" s="23" t="str">
        <f t="shared" si="121"/>
        <v xml:space="preserve">COM VALOR</v>
      </c>
      <c r="J2585" s="19"/>
      <c r="L2585" s="21">
        <v>11.9</v>
      </c>
      <c r="M2585" s="22">
        <v>0.34000000000000002</v>
      </c>
      <c r="N2585" s="21">
        <v>11.9</v>
      </c>
      <c r="O2585" s="22">
        <v>0.34000000000000002</v>
      </c>
    </row>
    <row r="2586" ht="51">
      <c r="A2586" t="s">
        <v>2030</v>
      </c>
      <c r="B2586" s="19">
        <v>90677</v>
      </c>
      <c r="C2586" s="20" t="s">
        <v>2640</v>
      </c>
      <c r="D2586" s="19" t="s">
        <v>2032</v>
      </c>
      <c r="E2586" s="21">
        <f t="shared" si="119"/>
        <v>29.379999999999999</v>
      </c>
      <c r="F2586" s="22">
        <v>1</v>
      </c>
      <c r="G2586" s="21">
        <f t="shared" si="120"/>
        <v>29.379999999999999</v>
      </c>
      <c r="H2586" s="22">
        <v>1</v>
      </c>
      <c r="I2586" s="23" t="str">
        <f t="shared" si="121"/>
        <v xml:space="preserve">COM VALOR</v>
      </c>
      <c r="J2586" s="19"/>
      <c r="L2586" s="21">
        <v>29.379999999999999</v>
      </c>
      <c r="M2586" s="22">
        <v>0.34000000000000002</v>
      </c>
      <c r="N2586" s="21">
        <v>29.379999999999999</v>
      </c>
      <c r="O2586" s="22">
        <v>0.34000000000000002</v>
      </c>
    </row>
    <row r="2587" ht="51">
      <c r="A2587" t="s">
        <v>2030</v>
      </c>
      <c r="B2587" s="19">
        <v>90678</v>
      </c>
      <c r="C2587" s="20" t="s">
        <v>2641</v>
      </c>
      <c r="D2587" s="19" t="s">
        <v>2032</v>
      </c>
      <c r="E2587" s="21">
        <f t="shared" si="119"/>
        <v>136</v>
      </c>
      <c r="F2587" s="22">
        <v>1</v>
      </c>
      <c r="G2587" s="21">
        <f t="shared" si="120"/>
        <v>136</v>
      </c>
      <c r="H2587" s="22">
        <v>1</v>
      </c>
      <c r="I2587" s="23" t="str">
        <f t="shared" si="121"/>
        <v xml:space="preserve">COM VALOR</v>
      </c>
      <c r="J2587" s="19"/>
      <c r="L2587" s="21">
        <v>136</v>
      </c>
      <c r="M2587" s="22">
        <v>0.33000000000000002</v>
      </c>
      <c r="N2587" s="21">
        <v>136</v>
      </c>
      <c r="O2587" s="22">
        <v>0.33000000000000002</v>
      </c>
    </row>
    <row r="2588" ht="51">
      <c r="A2588" t="s">
        <v>2030</v>
      </c>
      <c r="B2588" s="19">
        <v>90679</v>
      </c>
      <c r="C2588" s="20" t="s">
        <v>2642</v>
      </c>
      <c r="D2588" s="19" t="s">
        <v>2032</v>
      </c>
      <c r="E2588" s="21">
        <f t="shared" si="119"/>
        <v>104.09</v>
      </c>
      <c r="F2588" s="22">
        <v>1</v>
      </c>
      <c r="G2588" s="21">
        <f t="shared" si="120"/>
        <v>104.09</v>
      </c>
      <c r="H2588" s="22">
        <v>1</v>
      </c>
      <c r="I2588" s="23" t="str">
        <f t="shared" si="121"/>
        <v xml:space="preserve">COM VALOR</v>
      </c>
      <c r="J2588" s="19"/>
      <c r="L2588" s="21">
        <v>104.09</v>
      </c>
      <c r="M2588" s="22">
        <v>0</v>
      </c>
      <c r="N2588" s="21">
        <v>104.09</v>
      </c>
      <c r="O2588" s="22">
        <v>0</v>
      </c>
    </row>
    <row r="2589" ht="38.25">
      <c r="A2589" t="s">
        <v>2030</v>
      </c>
      <c r="B2589" s="19">
        <v>102870</v>
      </c>
      <c r="C2589" s="20" t="s">
        <v>2643</v>
      </c>
      <c r="D2589" s="19" t="s">
        <v>2032</v>
      </c>
      <c r="E2589" s="21">
        <f t="shared" si="119"/>
        <v>338.23000000000002</v>
      </c>
      <c r="F2589" s="22">
        <v>1</v>
      </c>
      <c r="G2589" s="21">
        <f t="shared" si="120"/>
        <v>338.23000000000002</v>
      </c>
      <c r="H2589" s="22">
        <v>1</v>
      </c>
      <c r="I2589" s="23" t="str">
        <f t="shared" si="121"/>
        <v xml:space="preserve">COM VALOR</v>
      </c>
      <c r="J2589" s="19"/>
      <c r="L2589" s="21">
        <v>338.23000000000002</v>
      </c>
      <c r="M2589" s="22">
        <v>0</v>
      </c>
      <c r="N2589" s="21">
        <v>338.23000000000002</v>
      </c>
      <c r="O2589" s="22">
        <v>0</v>
      </c>
    </row>
    <row r="2590" ht="38.25">
      <c r="A2590" t="s">
        <v>2030</v>
      </c>
      <c r="B2590" s="19">
        <v>102871</v>
      </c>
      <c r="C2590" s="20" t="s">
        <v>2644</v>
      </c>
      <c r="D2590" s="19" t="s">
        <v>2032</v>
      </c>
      <c r="E2590" s="21">
        <f t="shared" si="119"/>
        <v>91.379999999999995</v>
      </c>
      <c r="F2590" s="22">
        <v>1</v>
      </c>
      <c r="G2590" s="21">
        <f t="shared" si="120"/>
        <v>91.379999999999995</v>
      </c>
      <c r="H2590" s="22">
        <v>1</v>
      </c>
      <c r="I2590" s="23" t="str">
        <f t="shared" si="121"/>
        <v xml:space="preserve">COM VALOR</v>
      </c>
      <c r="J2590" s="19"/>
      <c r="L2590" s="21">
        <v>91.379999999999995</v>
      </c>
      <c r="M2590" s="22">
        <v>0</v>
      </c>
      <c r="N2590" s="21">
        <v>91.379999999999995</v>
      </c>
      <c r="O2590" s="22">
        <v>0</v>
      </c>
    </row>
    <row r="2591" ht="38.25">
      <c r="A2591" t="s">
        <v>2030</v>
      </c>
      <c r="B2591" s="19">
        <v>102872</v>
      </c>
      <c r="C2591" s="20" t="s">
        <v>2645</v>
      </c>
      <c r="D2591" s="19" t="s">
        <v>2032</v>
      </c>
      <c r="E2591" s="21">
        <f t="shared" si="119"/>
        <v>423.26999999999998</v>
      </c>
      <c r="F2591" s="22">
        <v>0</v>
      </c>
      <c r="G2591" s="21">
        <f t="shared" si="120"/>
        <v>423.26999999999998</v>
      </c>
      <c r="H2591" s="22">
        <v>0</v>
      </c>
      <c r="I2591" s="23" t="str">
        <f t="shared" si="121"/>
        <v xml:space="preserve">COM VALOR</v>
      </c>
      <c r="J2591" s="19"/>
      <c r="L2591" s="21">
        <v>423.26999999999998</v>
      </c>
      <c r="M2591" s="22">
        <v>0</v>
      </c>
      <c r="N2591" s="21">
        <v>423.26999999999998</v>
      </c>
      <c r="O2591" s="22">
        <v>0</v>
      </c>
    </row>
    <row r="2592" ht="38.25">
      <c r="A2592" t="s">
        <v>2030</v>
      </c>
      <c r="B2592" s="19">
        <v>102873</v>
      </c>
      <c r="C2592" s="20" t="s">
        <v>2646</v>
      </c>
      <c r="D2592" s="19" t="s">
        <v>2032</v>
      </c>
      <c r="E2592" s="21">
        <f t="shared" si="119"/>
        <v>135.72999999999999</v>
      </c>
      <c r="F2592" s="22">
        <v>1</v>
      </c>
      <c r="G2592" s="21">
        <f t="shared" si="120"/>
        <v>135.72999999999999</v>
      </c>
      <c r="H2592" s="22">
        <v>1</v>
      </c>
      <c r="I2592" s="23" t="str">
        <f t="shared" si="121"/>
        <v xml:space="preserve">COM VALOR</v>
      </c>
      <c r="J2592" s="19"/>
      <c r="L2592" s="21">
        <v>135.72999999999999</v>
      </c>
      <c r="M2592" s="22">
        <v>0</v>
      </c>
      <c r="N2592" s="21">
        <v>135.72999999999999</v>
      </c>
      <c r="O2592" s="22">
        <v>0</v>
      </c>
    </row>
    <row r="2593" ht="38.25">
      <c r="A2593" t="s">
        <v>2030</v>
      </c>
      <c r="B2593" s="19">
        <v>102960</v>
      </c>
      <c r="C2593" s="20" t="s">
        <v>2647</v>
      </c>
      <c r="D2593" s="19" t="s">
        <v>2032</v>
      </c>
      <c r="E2593" s="21">
        <f t="shared" si="119"/>
        <v>164.15000000000001</v>
      </c>
      <c r="F2593" s="22">
        <v>1</v>
      </c>
      <c r="G2593" s="21">
        <f t="shared" si="120"/>
        <v>164.15000000000001</v>
      </c>
      <c r="H2593" s="22">
        <v>1</v>
      </c>
      <c r="I2593" s="23" t="str">
        <f t="shared" si="121"/>
        <v xml:space="preserve">COM VALOR</v>
      </c>
      <c r="J2593" s="19"/>
      <c r="L2593" s="21">
        <v>164.15000000000001</v>
      </c>
      <c r="M2593" s="22">
        <v>0</v>
      </c>
      <c r="N2593" s="21">
        <v>164.15000000000001</v>
      </c>
      <c r="O2593" s="22">
        <v>0</v>
      </c>
    </row>
    <row r="2594" ht="38.25">
      <c r="A2594" t="s">
        <v>2030</v>
      </c>
      <c r="B2594" s="19">
        <v>102961</v>
      </c>
      <c r="C2594" s="20" t="s">
        <v>2648</v>
      </c>
      <c r="D2594" s="19" t="s">
        <v>2032</v>
      </c>
      <c r="E2594" s="21">
        <f t="shared" si="119"/>
        <v>44.340000000000003</v>
      </c>
      <c r="F2594" s="22">
        <v>1</v>
      </c>
      <c r="G2594" s="21">
        <f t="shared" si="120"/>
        <v>44.340000000000003</v>
      </c>
      <c r="H2594" s="22">
        <v>1</v>
      </c>
      <c r="I2594" s="23" t="str">
        <f t="shared" si="121"/>
        <v xml:space="preserve">COM VALOR</v>
      </c>
      <c r="J2594" s="19"/>
      <c r="L2594" s="21">
        <v>44.340000000000003</v>
      </c>
      <c r="M2594" s="22">
        <v>0</v>
      </c>
      <c r="N2594" s="21">
        <v>44.340000000000003</v>
      </c>
      <c r="O2594" s="22">
        <v>0</v>
      </c>
    </row>
    <row r="2595" ht="38.25">
      <c r="A2595" t="s">
        <v>2030</v>
      </c>
      <c r="B2595" s="19">
        <v>102962</v>
      </c>
      <c r="C2595" s="20" t="s">
        <v>2649</v>
      </c>
      <c r="D2595" s="19" t="s">
        <v>2032</v>
      </c>
      <c r="E2595" s="21">
        <f t="shared" si="119"/>
        <v>153.97999999999999</v>
      </c>
      <c r="F2595" s="22">
        <v>0</v>
      </c>
      <c r="G2595" s="21">
        <f t="shared" si="120"/>
        <v>153.97999999999999</v>
      </c>
      <c r="H2595" s="22">
        <v>0</v>
      </c>
      <c r="I2595" s="23" t="str">
        <f t="shared" si="121"/>
        <v xml:space="preserve">COM VALOR</v>
      </c>
      <c r="J2595" s="19"/>
      <c r="L2595" s="21">
        <v>153.97999999999999</v>
      </c>
      <c r="M2595" s="22">
        <v>0</v>
      </c>
      <c r="N2595" s="21">
        <v>153.97999999999999</v>
      </c>
      <c r="O2595" s="22">
        <v>0</v>
      </c>
    </row>
    <row r="2596" ht="38.25">
      <c r="A2596" t="s">
        <v>2030</v>
      </c>
      <c r="B2596" s="19">
        <v>102963</v>
      </c>
      <c r="C2596" s="20" t="s">
        <v>2650</v>
      </c>
      <c r="D2596" s="19" t="s">
        <v>2032</v>
      </c>
      <c r="E2596" s="21">
        <f t="shared" si="119"/>
        <v>96.209999999999994</v>
      </c>
      <c r="F2596" s="22">
        <v>0</v>
      </c>
      <c r="G2596" s="21">
        <f t="shared" si="120"/>
        <v>96.209999999999994</v>
      </c>
      <c r="H2596" s="22">
        <v>0</v>
      </c>
      <c r="I2596" s="23" t="str">
        <f t="shared" si="121"/>
        <v xml:space="preserve">COM VALOR</v>
      </c>
      <c r="J2596" s="19"/>
      <c r="L2596" s="21">
        <v>96.209999999999994</v>
      </c>
      <c r="M2596" s="22">
        <v>0</v>
      </c>
      <c r="N2596" s="21">
        <v>96.209999999999994</v>
      </c>
      <c r="O2596" s="22">
        <v>0</v>
      </c>
    </row>
    <row r="2597" ht="25.5">
      <c r="A2597" t="s">
        <v>2030</v>
      </c>
      <c r="B2597" s="19">
        <v>90621</v>
      </c>
      <c r="C2597" s="20" t="s">
        <v>2651</v>
      </c>
      <c r="D2597" s="19" t="s">
        <v>2032</v>
      </c>
      <c r="E2597" s="21">
        <f t="shared" si="119"/>
        <v>3.23</v>
      </c>
      <c r="F2597" s="22">
        <v>0</v>
      </c>
      <c r="G2597" s="21">
        <f t="shared" si="120"/>
        <v>3.23</v>
      </c>
      <c r="H2597" s="22">
        <v>0</v>
      </c>
      <c r="I2597" s="23" t="str">
        <f t="shared" si="121"/>
        <v xml:space="preserve">COM VALOR</v>
      </c>
      <c r="J2597" s="19"/>
      <c r="L2597" s="21">
        <v>3.23</v>
      </c>
      <c r="M2597" s="22">
        <v>0</v>
      </c>
      <c r="N2597" s="21">
        <v>3.23</v>
      </c>
      <c r="O2597" s="22">
        <v>0</v>
      </c>
    </row>
    <row r="2598" ht="25.5">
      <c r="A2598" t="s">
        <v>2030</v>
      </c>
      <c r="B2598" s="19">
        <v>90622</v>
      </c>
      <c r="C2598" s="20" t="s">
        <v>2652</v>
      </c>
      <c r="D2598" s="19" t="s">
        <v>2032</v>
      </c>
      <c r="E2598" s="21">
        <f t="shared" si="119"/>
        <v>0.73999999999999999</v>
      </c>
      <c r="F2598" s="22">
        <v>0</v>
      </c>
      <c r="G2598" s="21">
        <f t="shared" si="120"/>
        <v>0.73999999999999999</v>
      </c>
      <c r="H2598" s="22">
        <v>0</v>
      </c>
      <c r="I2598" s="23" t="str">
        <f t="shared" si="121"/>
        <v xml:space="preserve">COM VALOR</v>
      </c>
      <c r="J2598" s="19"/>
      <c r="L2598" s="21">
        <v>0.73999999999999999</v>
      </c>
      <c r="M2598" s="22">
        <v>0</v>
      </c>
      <c r="N2598" s="21">
        <v>0.73999999999999999</v>
      </c>
      <c r="O2598" s="22">
        <v>0</v>
      </c>
    </row>
    <row r="2599" ht="25.5">
      <c r="A2599" t="s">
        <v>2030</v>
      </c>
      <c r="B2599" s="19">
        <v>90623</v>
      </c>
      <c r="C2599" s="20" t="s">
        <v>2653</v>
      </c>
      <c r="D2599" s="19" t="s">
        <v>2032</v>
      </c>
      <c r="E2599" s="21">
        <f t="shared" si="119"/>
        <v>4.04</v>
      </c>
      <c r="F2599" s="22">
        <v>0</v>
      </c>
      <c r="G2599" s="21">
        <f t="shared" si="120"/>
        <v>4.04</v>
      </c>
      <c r="H2599" s="22">
        <v>0</v>
      </c>
      <c r="I2599" s="23" t="str">
        <f t="shared" si="121"/>
        <v xml:space="preserve">COM VALOR</v>
      </c>
      <c r="J2599" s="19"/>
      <c r="L2599" s="21">
        <v>4.04</v>
      </c>
      <c r="M2599" s="22">
        <v>0</v>
      </c>
      <c r="N2599" s="21">
        <v>4.04</v>
      </c>
      <c r="O2599" s="22">
        <v>0</v>
      </c>
    </row>
    <row r="2600" ht="25.5">
      <c r="A2600" t="s">
        <v>2030</v>
      </c>
      <c r="B2600" s="19">
        <v>90624</v>
      </c>
      <c r="C2600" s="20" t="s">
        <v>2654</v>
      </c>
      <c r="D2600" s="19" t="s">
        <v>2032</v>
      </c>
      <c r="E2600" s="21">
        <f t="shared" si="119"/>
        <v>3.5299999999999998</v>
      </c>
      <c r="F2600" s="22"/>
      <c r="G2600" s="21">
        <f t="shared" si="120"/>
        <v>3.5299999999999998</v>
      </c>
      <c r="H2600" s="22"/>
      <c r="I2600" s="23" t="str">
        <f t="shared" si="121"/>
        <v xml:space="preserve">COM VALOR</v>
      </c>
      <c r="J2600" s="19"/>
      <c r="L2600" s="21">
        <v>3.5299999999999998</v>
      </c>
      <c r="M2600" s="22">
        <v>0</v>
      </c>
      <c r="N2600" s="21">
        <v>3.5299999999999998</v>
      </c>
      <c r="O2600" s="22">
        <v>0</v>
      </c>
    </row>
    <row r="2601" ht="38.25">
      <c r="A2601" t="s">
        <v>2030</v>
      </c>
      <c r="B2601" s="19">
        <v>102876</v>
      </c>
      <c r="C2601" s="20" t="s">
        <v>2655</v>
      </c>
      <c r="D2601" s="19" t="s">
        <v>2032</v>
      </c>
      <c r="E2601" s="21">
        <f t="shared" si="119"/>
        <v>470.02999999999997</v>
      </c>
      <c r="F2601" s="22"/>
      <c r="G2601" s="21">
        <f t="shared" si="120"/>
        <v>470.02999999999997</v>
      </c>
      <c r="H2601" s="22"/>
      <c r="I2601" s="23" t="str">
        <f t="shared" si="121"/>
        <v xml:space="preserve">COM VALOR</v>
      </c>
      <c r="J2601" s="19"/>
      <c r="L2601" s="21">
        <v>470.02999999999997</v>
      </c>
      <c r="M2601" s="22">
        <v>0</v>
      </c>
      <c r="N2601" s="21">
        <v>470.02999999999997</v>
      </c>
      <c r="O2601" s="22">
        <v>0</v>
      </c>
    </row>
    <row r="2602" ht="38.25">
      <c r="A2602" t="s">
        <v>2030</v>
      </c>
      <c r="B2602" s="19">
        <v>102877</v>
      </c>
      <c r="C2602" s="20" t="s">
        <v>2656</v>
      </c>
      <c r="D2602" s="19" t="s">
        <v>2032</v>
      </c>
      <c r="E2602" s="21">
        <f t="shared" si="119"/>
        <v>126.98</v>
      </c>
      <c r="F2602" s="22"/>
      <c r="G2602" s="21">
        <f t="shared" si="120"/>
        <v>126.98</v>
      </c>
      <c r="H2602" s="22"/>
      <c r="I2602" s="23" t="str">
        <f t="shared" si="121"/>
        <v xml:space="preserve">COM VALOR</v>
      </c>
      <c r="J2602" s="19"/>
      <c r="L2602" s="21">
        <v>126.98</v>
      </c>
      <c r="M2602" s="22">
        <v>0</v>
      </c>
      <c r="N2602" s="21">
        <v>126.98</v>
      </c>
      <c r="O2602" s="22">
        <v>0</v>
      </c>
    </row>
    <row r="2603" ht="38.25">
      <c r="A2603" t="s">
        <v>2030</v>
      </c>
      <c r="B2603" s="19">
        <v>102878</v>
      </c>
      <c r="C2603" s="20" t="s">
        <v>2657</v>
      </c>
      <c r="D2603" s="19" t="s">
        <v>2032</v>
      </c>
      <c r="E2603" s="21">
        <f t="shared" si="119"/>
        <v>588.20000000000005</v>
      </c>
      <c r="F2603" s="22">
        <v>0</v>
      </c>
      <c r="G2603" s="21">
        <f t="shared" si="120"/>
        <v>588.20000000000005</v>
      </c>
      <c r="H2603" s="22">
        <v>0</v>
      </c>
      <c r="I2603" s="23" t="str">
        <f t="shared" si="121"/>
        <v xml:space="preserve">COM VALOR</v>
      </c>
      <c r="J2603" s="19"/>
      <c r="L2603" s="21">
        <v>588.20000000000005</v>
      </c>
      <c r="M2603" s="22">
        <v>0</v>
      </c>
      <c r="N2603" s="21">
        <v>588.20000000000005</v>
      </c>
      <c r="O2603" s="22">
        <v>0</v>
      </c>
    </row>
    <row r="2604" ht="38.25">
      <c r="A2604" t="s">
        <v>2030</v>
      </c>
      <c r="B2604" s="19">
        <v>102879</v>
      </c>
      <c r="C2604" s="20" t="s">
        <v>2658</v>
      </c>
      <c r="D2604" s="19" t="s">
        <v>2032</v>
      </c>
      <c r="E2604" s="21">
        <f t="shared" si="119"/>
        <v>203.69999999999999</v>
      </c>
      <c r="F2604" s="22">
        <v>0</v>
      </c>
      <c r="G2604" s="21">
        <f t="shared" si="120"/>
        <v>203.69999999999999</v>
      </c>
      <c r="H2604" s="22">
        <v>0</v>
      </c>
      <c r="I2604" s="23" t="str">
        <f t="shared" si="121"/>
        <v xml:space="preserve">COM VALOR</v>
      </c>
      <c r="J2604" s="19"/>
      <c r="L2604" s="21">
        <v>203.69999999999999</v>
      </c>
      <c r="M2604" s="22">
        <v>0</v>
      </c>
      <c r="N2604" s="21">
        <v>203.69999999999999</v>
      </c>
      <c r="O2604" s="22">
        <v>0</v>
      </c>
    </row>
    <row r="2605" ht="38.25">
      <c r="A2605" t="s">
        <v>2030</v>
      </c>
      <c r="B2605" s="19">
        <v>103220</v>
      </c>
      <c r="C2605" s="20" t="s">
        <v>2659</v>
      </c>
      <c r="D2605" s="19" t="s">
        <v>2032</v>
      </c>
      <c r="E2605" s="21">
        <f t="shared" si="119"/>
        <v>143.74000000000001</v>
      </c>
      <c r="F2605" s="22">
        <v>0</v>
      </c>
      <c r="G2605" s="21">
        <f t="shared" si="120"/>
        <v>143.74000000000001</v>
      </c>
      <c r="H2605" s="22">
        <v>0</v>
      </c>
      <c r="I2605" s="23" t="str">
        <f t="shared" si="121"/>
        <v xml:space="preserve">COM VALOR</v>
      </c>
      <c r="J2605" s="19"/>
      <c r="L2605" s="21">
        <v>143.74000000000001</v>
      </c>
      <c r="M2605" s="22">
        <v>0</v>
      </c>
      <c r="N2605" s="21">
        <v>143.74000000000001</v>
      </c>
      <c r="O2605" s="22">
        <v>0</v>
      </c>
    </row>
    <row r="2606" ht="38.25">
      <c r="A2606" t="s">
        <v>2030</v>
      </c>
      <c r="B2606" s="19">
        <v>103221</v>
      </c>
      <c r="C2606" s="20" t="s">
        <v>2660</v>
      </c>
      <c r="D2606" s="19" t="s">
        <v>2032</v>
      </c>
      <c r="E2606" s="21">
        <f t="shared" si="119"/>
        <v>38.829999999999998</v>
      </c>
      <c r="F2606" s="22">
        <v>0</v>
      </c>
      <c r="G2606" s="21">
        <f t="shared" si="120"/>
        <v>38.829999999999998</v>
      </c>
      <c r="H2606" s="22">
        <v>0</v>
      </c>
      <c r="I2606" s="23" t="str">
        <f t="shared" si="121"/>
        <v xml:space="preserve">COM VALOR</v>
      </c>
      <c r="J2606" s="19"/>
      <c r="L2606" s="21">
        <v>38.829999999999998</v>
      </c>
      <c r="M2606" s="22">
        <v>0</v>
      </c>
      <c r="N2606" s="21">
        <v>38.829999999999998</v>
      </c>
      <c r="O2606" s="22">
        <v>0</v>
      </c>
    </row>
    <row r="2607" ht="38.25">
      <c r="A2607" t="s">
        <v>2030</v>
      </c>
      <c r="B2607" s="19">
        <v>103222</v>
      </c>
      <c r="C2607" s="20" t="s">
        <v>2661</v>
      </c>
      <c r="D2607" s="19" t="s">
        <v>2032</v>
      </c>
      <c r="E2607" s="21">
        <f t="shared" si="119"/>
        <v>179.88</v>
      </c>
      <c r="F2607" s="22">
        <v>1</v>
      </c>
      <c r="G2607" s="21">
        <f t="shared" si="120"/>
        <v>179.88</v>
      </c>
      <c r="H2607" s="22">
        <v>1</v>
      </c>
      <c r="I2607" s="23" t="str">
        <f t="shared" si="121"/>
        <v xml:space="preserve">COM VALOR</v>
      </c>
      <c r="J2607" s="19"/>
      <c r="L2607" s="21">
        <v>179.88</v>
      </c>
      <c r="M2607" s="22">
        <v>0</v>
      </c>
      <c r="N2607" s="21">
        <v>179.88</v>
      </c>
      <c r="O2607" s="22">
        <v>0</v>
      </c>
    </row>
    <row r="2608" ht="38.25">
      <c r="A2608" t="s">
        <v>2030</v>
      </c>
      <c r="B2608" s="19">
        <v>103223</v>
      </c>
      <c r="C2608" s="20" t="s">
        <v>2662</v>
      </c>
      <c r="D2608" s="19" t="s">
        <v>2032</v>
      </c>
      <c r="E2608" s="21">
        <f t="shared" si="119"/>
        <v>39.780000000000001</v>
      </c>
      <c r="F2608" s="22">
        <v>1</v>
      </c>
      <c r="G2608" s="21">
        <f t="shared" si="120"/>
        <v>39.780000000000001</v>
      </c>
      <c r="H2608" s="22">
        <v>1</v>
      </c>
      <c r="I2608" s="23" t="str">
        <f t="shared" si="121"/>
        <v xml:space="preserve">COM VALOR</v>
      </c>
      <c r="J2608" s="19"/>
      <c r="L2608" s="21">
        <v>39.780000000000001</v>
      </c>
      <c r="M2608" s="22">
        <v>0</v>
      </c>
      <c r="N2608" s="21">
        <v>39.780000000000001</v>
      </c>
      <c r="O2608" s="22">
        <v>0</v>
      </c>
    </row>
    <row r="2609" ht="38.25">
      <c r="A2609" t="s">
        <v>2030</v>
      </c>
      <c r="B2609" s="19">
        <v>103232</v>
      </c>
      <c r="C2609" s="20" t="s">
        <v>2663</v>
      </c>
      <c r="D2609" s="19" t="s">
        <v>2032</v>
      </c>
      <c r="E2609" s="21">
        <f t="shared" si="119"/>
        <v>450.98000000000002</v>
      </c>
      <c r="F2609" s="22">
        <v>1</v>
      </c>
      <c r="G2609" s="21">
        <f t="shared" si="120"/>
        <v>450.98000000000002</v>
      </c>
      <c r="H2609" s="22">
        <v>1</v>
      </c>
      <c r="I2609" s="23" t="str">
        <f t="shared" si="121"/>
        <v xml:space="preserve">COM VALOR</v>
      </c>
      <c r="J2609" s="19"/>
      <c r="L2609" s="21">
        <v>450.98000000000002</v>
      </c>
      <c r="M2609" s="22">
        <v>0</v>
      </c>
      <c r="N2609" s="21">
        <v>450.98000000000002</v>
      </c>
      <c r="O2609" s="22">
        <v>0</v>
      </c>
    </row>
    <row r="2610" ht="38.25">
      <c r="A2610" t="s">
        <v>2030</v>
      </c>
      <c r="B2610" s="19">
        <v>103233</v>
      </c>
      <c r="C2610" s="20" t="s">
        <v>2664</v>
      </c>
      <c r="D2610" s="19" t="s">
        <v>2032</v>
      </c>
      <c r="E2610" s="21">
        <f t="shared" si="119"/>
        <v>121.84</v>
      </c>
      <c r="F2610" s="22">
        <v>0</v>
      </c>
      <c r="G2610" s="21">
        <f t="shared" si="120"/>
        <v>121.84</v>
      </c>
      <c r="H2610" s="22">
        <v>0</v>
      </c>
      <c r="I2610" s="23" t="str">
        <f t="shared" si="121"/>
        <v xml:space="preserve">COM VALOR</v>
      </c>
      <c r="J2610" s="19"/>
      <c r="L2610" s="21">
        <v>121.84</v>
      </c>
      <c r="M2610" s="22">
        <v>0</v>
      </c>
      <c r="N2610" s="21">
        <v>121.84</v>
      </c>
      <c r="O2610" s="22">
        <v>0</v>
      </c>
    </row>
    <row r="2611" ht="38.25">
      <c r="A2611" t="s">
        <v>2030</v>
      </c>
      <c r="B2611" s="19">
        <v>103234</v>
      </c>
      <c r="C2611" s="20" t="s">
        <v>2665</v>
      </c>
      <c r="D2611" s="19" t="s">
        <v>2032</v>
      </c>
      <c r="E2611" s="21">
        <f t="shared" si="119"/>
        <v>592.28999999999996</v>
      </c>
      <c r="F2611" s="22">
        <v>1</v>
      </c>
      <c r="G2611" s="21">
        <f t="shared" si="120"/>
        <v>592.28999999999996</v>
      </c>
      <c r="H2611" s="22">
        <v>1</v>
      </c>
      <c r="I2611" s="23" t="str">
        <f t="shared" si="121"/>
        <v xml:space="preserve">COM VALOR</v>
      </c>
      <c r="J2611" s="19"/>
      <c r="L2611" s="21">
        <v>592.28999999999996</v>
      </c>
      <c r="M2611" s="22">
        <v>0</v>
      </c>
      <c r="N2611" s="21">
        <v>592.28999999999996</v>
      </c>
      <c r="O2611" s="22">
        <v>0</v>
      </c>
    </row>
    <row r="2612" ht="38.25">
      <c r="A2612" t="s">
        <v>2030</v>
      </c>
      <c r="B2612" s="19">
        <v>103235</v>
      </c>
      <c r="C2612" s="20" t="s">
        <v>2666</v>
      </c>
      <c r="D2612" s="19" t="s">
        <v>2032</v>
      </c>
      <c r="E2612" s="21">
        <f t="shared" si="119"/>
        <v>116.5</v>
      </c>
      <c r="F2612" s="22">
        <v>1</v>
      </c>
      <c r="G2612" s="21">
        <f t="shared" si="120"/>
        <v>116.5</v>
      </c>
      <c r="H2612" s="22">
        <v>1</v>
      </c>
      <c r="I2612" s="23" t="str">
        <f t="shared" si="121"/>
        <v xml:space="preserve">COM VALOR</v>
      </c>
      <c r="J2612" s="19"/>
      <c r="L2612" s="21">
        <v>116.5</v>
      </c>
      <c r="M2612" s="22">
        <v>0</v>
      </c>
      <c r="N2612" s="21">
        <v>116.5</v>
      </c>
      <c r="O2612" s="22">
        <v>0</v>
      </c>
    </row>
    <row r="2613" ht="38.25">
      <c r="A2613" t="s">
        <v>2030</v>
      </c>
      <c r="B2613" s="19">
        <v>103228</v>
      </c>
      <c r="C2613" s="20" t="s">
        <v>2667</v>
      </c>
      <c r="D2613" s="19" t="s">
        <v>2032</v>
      </c>
      <c r="E2613" s="21">
        <f t="shared" si="119"/>
        <v>412.69</v>
      </c>
      <c r="F2613" s="22">
        <v>1</v>
      </c>
      <c r="G2613" s="21">
        <f t="shared" si="120"/>
        <v>412.69</v>
      </c>
      <c r="H2613" s="22">
        <v>1</v>
      </c>
      <c r="I2613" s="23" t="str">
        <f t="shared" si="121"/>
        <v xml:space="preserve">COM VALOR</v>
      </c>
      <c r="J2613" s="19"/>
      <c r="L2613" s="21">
        <v>412.69</v>
      </c>
      <c r="M2613" s="22">
        <v>0</v>
      </c>
      <c r="N2613" s="21">
        <v>412.69</v>
      </c>
      <c r="O2613" s="22">
        <v>0</v>
      </c>
    </row>
    <row r="2614" ht="38.25">
      <c r="A2614" t="s">
        <v>2030</v>
      </c>
      <c r="B2614" s="19">
        <v>103226</v>
      </c>
      <c r="C2614" s="20" t="s">
        <v>2668</v>
      </c>
      <c r="D2614" s="19" t="s">
        <v>2032</v>
      </c>
      <c r="E2614" s="21">
        <f t="shared" si="119"/>
        <v>329.77999999999997</v>
      </c>
      <c r="F2614" s="22">
        <v>0</v>
      </c>
      <c r="G2614" s="21">
        <f t="shared" si="120"/>
        <v>329.77999999999997</v>
      </c>
      <c r="H2614" s="22">
        <v>0</v>
      </c>
      <c r="I2614" s="23" t="str">
        <f t="shared" si="121"/>
        <v xml:space="preserve">COM VALOR</v>
      </c>
      <c r="J2614" s="19"/>
      <c r="L2614" s="21">
        <v>329.77999999999997</v>
      </c>
      <c r="M2614" s="22">
        <v>0</v>
      </c>
      <c r="N2614" s="21">
        <v>329.77999999999997</v>
      </c>
      <c r="O2614" s="22">
        <v>0</v>
      </c>
    </row>
    <row r="2615" ht="38.25">
      <c r="A2615" t="s">
        <v>2030</v>
      </c>
      <c r="B2615" s="19">
        <v>103227</v>
      </c>
      <c r="C2615" s="20" t="s">
        <v>2669</v>
      </c>
      <c r="D2615" s="19" t="s">
        <v>2032</v>
      </c>
      <c r="E2615" s="21">
        <f t="shared" si="119"/>
        <v>89.090000000000003</v>
      </c>
      <c r="F2615" s="22"/>
      <c r="G2615" s="21">
        <f t="shared" si="120"/>
        <v>89.090000000000003</v>
      </c>
      <c r="H2615" s="22"/>
      <c r="I2615" s="23" t="str">
        <f t="shared" si="121"/>
        <v xml:space="preserve">COM VALOR</v>
      </c>
      <c r="J2615" s="19"/>
      <c r="L2615" s="21">
        <v>89.090000000000003</v>
      </c>
      <c r="M2615" s="22">
        <v>0</v>
      </c>
      <c r="N2615" s="21">
        <v>89.090000000000003</v>
      </c>
      <c r="O2615" s="22">
        <v>0</v>
      </c>
    </row>
    <row r="2616" ht="38.25">
      <c r="A2616" t="s">
        <v>2030</v>
      </c>
      <c r="B2616" s="19">
        <v>103229</v>
      </c>
      <c r="C2616" s="20" t="s">
        <v>2670</v>
      </c>
      <c r="D2616" s="19" t="s">
        <v>2032</v>
      </c>
      <c r="E2616" s="21">
        <f t="shared" si="119"/>
        <v>98.790000000000006</v>
      </c>
      <c r="F2616" s="22"/>
      <c r="G2616" s="21">
        <f t="shared" si="120"/>
        <v>98.790000000000006</v>
      </c>
      <c r="H2616" s="22"/>
      <c r="I2616" s="23" t="str">
        <f t="shared" si="121"/>
        <v xml:space="preserve">COM VALOR</v>
      </c>
      <c r="J2616" s="19"/>
      <c r="L2616" s="21">
        <v>98.790000000000006</v>
      </c>
      <c r="M2616" s="22">
        <v>0</v>
      </c>
      <c r="N2616" s="21">
        <v>98.790000000000006</v>
      </c>
      <c r="O2616" s="22">
        <v>0</v>
      </c>
    </row>
    <row r="2617" ht="25.5">
      <c r="A2617" t="s">
        <v>2030</v>
      </c>
      <c r="B2617" s="19">
        <v>102972</v>
      </c>
      <c r="C2617" s="20" t="s">
        <v>2671</v>
      </c>
      <c r="D2617" s="19" t="s">
        <v>2032</v>
      </c>
      <c r="E2617" s="21">
        <f t="shared" si="119"/>
        <v>87.609999999999999</v>
      </c>
      <c r="F2617" s="22"/>
      <c r="G2617" s="21">
        <f t="shared" si="120"/>
        <v>87.609999999999999</v>
      </c>
      <c r="H2617" s="22"/>
      <c r="I2617" s="23" t="str">
        <f t="shared" si="121"/>
        <v xml:space="preserve">COM VALOR</v>
      </c>
      <c r="J2617" s="19"/>
      <c r="L2617" s="21">
        <v>87.609999999999999</v>
      </c>
      <c r="M2617" s="22">
        <v>0</v>
      </c>
      <c r="N2617" s="21">
        <v>87.609999999999999</v>
      </c>
      <c r="O2617" s="22">
        <v>0</v>
      </c>
    </row>
    <row r="2618" ht="25.5">
      <c r="A2618" t="s">
        <v>2030</v>
      </c>
      <c r="B2618" s="19">
        <v>102973</v>
      </c>
      <c r="C2618" s="20" t="s">
        <v>2672</v>
      </c>
      <c r="D2618" s="19" t="s">
        <v>2032</v>
      </c>
      <c r="E2618" s="21">
        <f t="shared" si="119"/>
        <v>24.32</v>
      </c>
      <c r="F2618" s="22">
        <v>0</v>
      </c>
      <c r="G2618" s="21">
        <f t="shared" si="120"/>
        <v>24.32</v>
      </c>
      <c r="H2618" s="22">
        <v>0</v>
      </c>
      <c r="I2618" s="23" t="str">
        <f t="shared" si="121"/>
        <v xml:space="preserve">COM VALOR</v>
      </c>
      <c r="J2618" s="19"/>
      <c r="L2618" s="21">
        <v>24.32</v>
      </c>
      <c r="M2618" s="22">
        <v>0</v>
      </c>
      <c r="N2618" s="21">
        <v>24.32</v>
      </c>
      <c r="O2618" s="22">
        <v>0</v>
      </c>
    </row>
    <row r="2619" ht="25.5">
      <c r="A2619" t="s">
        <v>2030</v>
      </c>
      <c r="B2619" s="19">
        <v>102974</v>
      </c>
      <c r="C2619" s="20" t="s">
        <v>2673</v>
      </c>
      <c r="D2619" s="19" t="s">
        <v>2032</v>
      </c>
      <c r="E2619" s="21">
        <f t="shared" si="119"/>
        <v>82.189999999999998</v>
      </c>
      <c r="F2619" s="22">
        <v>0</v>
      </c>
      <c r="G2619" s="21">
        <f t="shared" si="120"/>
        <v>82.189999999999998</v>
      </c>
      <c r="H2619" s="22">
        <v>0</v>
      </c>
      <c r="I2619" s="23" t="str">
        <f t="shared" si="121"/>
        <v xml:space="preserve">COM VALOR</v>
      </c>
      <c r="J2619" s="19"/>
      <c r="L2619" s="21">
        <v>82.189999999999998</v>
      </c>
      <c r="M2619" s="22">
        <v>0</v>
      </c>
      <c r="N2619" s="21">
        <v>82.189999999999998</v>
      </c>
      <c r="O2619" s="22">
        <v>0</v>
      </c>
    </row>
    <row r="2620" ht="38.25">
      <c r="A2620" t="s">
        <v>2030</v>
      </c>
      <c r="B2620" s="19">
        <v>96301</v>
      </c>
      <c r="C2620" s="20" t="s">
        <v>2674</v>
      </c>
      <c r="D2620" s="19" t="s">
        <v>2032</v>
      </c>
      <c r="E2620" s="21">
        <f t="shared" si="119"/>
        <v>55.740000000000002</v>
      </c>
      <c r="F2620" s="22">
        <v>0</v>
      </c>
      <c r="G2620" s="21">
        <f t="shared" si="120"/>
        <v>55.740000000000002</v>
      </c>
      <c r="H2620" s="22">
        <v>0</v>
      </c>
      <c r="I2620" s="23" t="str">
        <f t="shared" si="121"/>
        <v xml:space="preserve">COM VALOR</v>
      </c>
      <c r="J2620" s="19"/>
      <c r="L2620" s="21">
        <v>55.740000000000002</v>
      </c>
      <c r="M2620" s="22">
        <v>0</v>
      </c>
      <c r="N2620" s="21">
        <v>55.740000000000002</v>
      </c>
      <c r="O2620" s="22">
        <v>0</v>
      </c>
    </row>
    <row r="2621" ht="38.25">
      <c r="A2621" t="s">
        <v>2030</v>
      </c>
      <c r="B2621" s="19">
        <v>90627</v>
      </c>
      <c r="C2621" s="20" t="s">
        <v>2675</v>
      </c>
      <c r="D2621" s="19" t="s">
        <v>2032</v>
      </c>
      <c r="E2621" s="21">
        <f t="shared" si="119"/>
        <v>51.409999999999997</v>
      </c>
      <c r="F2621" s="22">
        <v>0</v>
      </c>
      <c r="G2621" s="21">
        <f t="shared" si="120"/>
        <v>51.409999999999997</v>
      </c>
      <c r="H2621" s="22">
        <v>0</v>
      </c>
      <c r="I2621" s="23" t="str">
        <f t="shared" si="121"/>
        <v xml:space="preserve">COM VALOR</v>
      </c>
      <c r="J2621" s="19"/>
      <c r="L2621" s="21">
        <v>51.409999999999997</v>
      </c>
      <c r="M2621" s="22">
        <v>0</v>
      </c>
      <c r="N2621" s="21">
        <v>51.409999999999997</v>
      </c>
      <c r="O2621" s="22">
        <v>0</v>
      </c>
    </row>
    <row r="2622" ht="25.5">
      <c r="A2622" t="s">
        <v>2030</v>
      </c>
      <c r="B2622" s="19">
        <v>90628</v>
      </c>
      <c r="C2622" s="20" t="s">
        <v>2676</v>
      </c>
      <c r="D2622" s="19" t="s">
        <v>2032</v>
      </c>
      <c r="E2622" s="21">
        <f t="shared" si="119"/>
        <v>13.789999999999999</v>
      </c>
      <c r="F2622" s="22">
        <v>0</v>
      </c>
      <c r="G2622" s="21">
        <f t="shared" si="120"/>
        <v>13.789999999999999</v>
      </c>
      <c r="H2622" s="22">
        <v>0</v>
      </c>
      <c r="I2622" s="23" t="str">
        <f t="shared" si="121"/>
        <v xml:space="preserve">COM VALOR</v>
      </c>
      <c r="J2622" s="19"/>
      <c r="L2622" s="21">
        <v>13.789999999999999</v>
      </c>
      <c r="M2622" s="22">
        <v>0</v>
      </c>
      <c r="N2622" s="21">
        <v>13.789999999999999</v>
      </c>
      <c r="O2622" s="22">
        <v>0</v>
      </c>
    </row>
    <row r="2623" ht="38.25">
      <c r="A2623" t="s">
        <v>2030</v>
      </c>
      <c r="B2623" s="19">
        <v>90629</v>
      </c>
      <c r="C2623" s="20" t="s">
        <v>2677</v>
      </c>
      <c r="D2623" s="19" t="s">
        <v>2032</v>
      </c>
      <c r="E2623" s="21">
        <f t="shared" si="119"/>
        <v>64.329999999999998</v>
      </c>
      <c r="F2623" s="22">
        <v>0</v>
      </c>
      <c r="G2623" s="21">
        <f t="shared" si="120"/>
        <v>64.329999999999998</v>
      </c>
      <c r="H2623" s="22">
        <v>0</v>
      </c>
      <c r="I2623" s="23" t="str">
        <f t="shared" si="121"/>
        <v xml:space="preserve">COM VALOR</v>
      </c>
      <c r="J2623" s="19"/>
      <c r="L2623" s="21">
        <v>64.329999999999998</v>
      </c>
      <c r="M2623" s="22">
        <v>0</v>
      </c>
      <c r="N2623" s="21">
        <v>64.329999999999998</v>
      </c>
      <c r="O2623" s="22">
        <v>0</v>
      </c>
    </row>
    <row r="2624" ht="38.25">
      <c r="A2624" t="s">
        <v>2030</v>
      </c>
      <c r="B2624" s="19">
        <v>90630</v>
      </c>
      <c r="C2624" s="20" t="s">
        <v>2678</v>
      </c>
      <c r="D2624" s="19" t="s">
        <v>2032</v>
      </c>
      <c r="E2624" s="21">
        <f t="shared" si="119"/>
        <v>1.6799999999999999</v>
      </c>
      <c r="F2624" s="22">
        <v>0</v>
      </c>
      <c r="G2624" s="21">
        <f t="shared" si="120"/>
        <v>1.6799999999999999</v>
      </c>
      <c r="H2624" s="22">
        <v>0</v>
      </c>
      <c r="I2624" s="23" t="str">
        <f t="shared" si="121"/>
        <v xml:space="preserve">COM VALOR</v>
      </c>
      <c r="J2624" s="19"/>
      <c r="L2624" s="21">
        <v>1.6799999999999999</v>
      </c>
      <c r="M2624" s="22">
        <v>0</v>
      </c>
      <c r="N2624" s="21">
        <v>1.6799999999999999</v>
      </c>
      <c r="O2624" s="22">
        <v>0</v>
      </c>
    </row>
    <row r="2625" ht="25.5">
      <c r="A2625" t="s">
        <v>2030</v>
      </c>
      <c r="B2625" s="19">
        <v>95704</v>
      </c>
      <c r="C2625" s="20" t="s">
        <v>2679</v>
      </c>
      <c r="D2625" s="19" t="s">
        <v>2032</v>
      </c>
      <c r="E2625" s="21">
        <f t="shared" si="119"/>
        <v>51.909999999999997</v>
      </c>
      <c r="F2625" s="22">
        <v>0</v>
      </c>
      <c r="G2625" s="21">
        <f t="shared" si="120"/>
        <v>51.909999999999997</v>
      </c>
      <c r="H2625" s="22">
        <v>0</v>
      </c>
      <c r="I2625" s="23" t="str">
        <f t="shared" si="121"/>
        <v xml:space="preserve">COM VALOR</v>
      </c>
      <c r="J2625" s="19"/>
      <c r="L2625" s="21">
        <v>51.909999999999997</v>
      </c>
      <c r="M2625" s="22">
        <v>0</v>
      </c>
      <c r="N2625" s="21">
        <v>51.909999999999997</v>
      </c>
      <c r="O2625" s="22">
        <v>0</v>
      </c>
    </row>
    <row r="2626" ht="25.5">
      <c r="A2626" t="s">
        <v>2030</v>
      </c>
      <c r="B2626" s="19">
        <v>95705</v>
      </c>
      <c r="C2626" s="20" t="s">
        <v>2680</v>
      </c>
      <c r="D2626" s="19" t="s">
        <v>2032</v>
      </c>
      <c r="E2626" s="21">
        <f t="shared" si="119"/>
        <v>13.92</v>
      </c>
      <c r="F2626" s="22">
        <v>0</v>
      </c>
      <c r="G2626" s="21">
        <f t="shared" si="120"/>
        <v>13.92</v>
      </c>
      <c r="H2626" s="22">
        <v>0</v>
      </c>
      <c r="I2626" s="23" t="str">
        <f t="shared" si="121"/>
        <v xml:space="preserve">COM VALOR</v>
      </c>
      <c r="J2626" s="19"/>
      <c r="L2626" s="21">
        <v>13.92</v>
      </c>
      <c r="M2626" s="22">
        <v>0</v>
      </c>
      <c r="N2626" s="21">
        <v>13.92</v>
      </c>
      <c r="O2626" s="22">
        <v>0</v>
      </c>
    </row>
    <row r="2627" ht="25.5">
      <c r="A2627" t="s">
        <v>2030</v>
      </c>
      <c r="B2627" s="19">
        <v>95706</v>
      </c>
      <c r="C2627" s="20" t="s">
        <v>2681</v>
      </c>
      <c r="D2627" s="19" t="s">
        <v>2032</v>
      </c>
      <c r="E2627" s="21">
        <f t="shared" si="119"/>
        <v>64.959999999999994</v>
      </c>
      <c r="F2627" s="22"/>
      <c r="G2627" s="21">
        <f t="shared" si="120"/>
        <v>64.959999999999994</v>
      </c>
      <c r="H2627" s="22"/>
      <c r="I2627" s="23" t="str">
        <f t="shared" si="121"/>
        <v xml:space="preserve">COM VALOR</v>
      </c>
      <c r="J2627" s="19"/>
      <c r="L2627" s="21">
        <v>64.959999999999994</v>
      </c>
      <c r="M2627" s="22">
        <v>0</v>
      </c>
      <c r="N2627" s="21">
        <v>64.959999999999994</v>
      </c>
      <c r="O2627" s="22">
        <v>0</v>
      </c>
    </row>
    <row r="2628" ht="38.25">
      <c r="A2628" t="s">
        <v>2030</v>
      </c>
      <c r="B2628" s="19">
        <v>95707</v>
      </c>
      <c r="C2628" s="20" t="s">
        <v>2682</v>
      </c>
      <c r="D2628" s="19" t="s">
        <v>2032</v>
      </c>
      <c r="E2628" s="21">
        <f t="shared" si="119"/>
        <v>4.6299999999999999</v>
      </c>
      <c r="F2628" s="22"/>
      <c r="G2628" s="21">
        <f t="shared" si="120"/>
        <v>4.6299999999999999</v>
      </c>
      <c r="H2628" s="22"/>
      <c r="I2628" s="23" t="str">
        <f t="shared" si="121"/>
        <v xml:space="preserve">COM VALOR</v>
      </c>
      <c r="J2628" s="19"/>
      <c r="L2628" s="21">
        <v>4.6299999999999999</v>
      </c>
      <c r="M2628" s="22">
        <v>0</v>
      </c>
      <c r="N2628" s="21">
        <v>4.6299999999999999</v>
      </c>
      <c r="O2628" s="22">
        <v>0</v>
      </c>
    </row>
    <row r="2629" ht="38.25">
      <c r="A2629" t="s">
        <v>2030</v>
      </c>
      <c r="B2629" s="19">
        <v>91273</v>
      </c>
      <c r="C2629" s="20" t="s">
        <v>2683</v>
      </c>
      <c r="D2629" s="19" t="s">
        <v>2032</v>
      </c>
      <c r="E2629" s="21">
        <f t="shared" si="119"/>
        <v>0.54000000000000004</v>
      </c>
      <c r="F2629" s="22"/>
      <c r="G2629" s="21">
        <f t="shared" si="120"/>
        <v>0.54000000000000004</v>
      </c>
      <c r="H2629" s="22"/>
      <c r="I2629" s="23" t="str">
        <f t="shared" si="121"/>
        <v xml:space="preserve">COM VALOR</v>
      </c>
      <c r="J2629" s="19"/>
      <c r="L2629" s="21">
        <v>0.54000000000000004</v>
      </c>
      <c r="M2629" s="22">
        <v>0</v>
      </c>
      <c r="N2629" s="21">
        <v>0.54000000000000004</v>
      </c>
      <c r="O2629" s="22">
        <v>0</v>
      </c>
    </row>
    <row r="2630" ht="38.25">
      <c r="A2630" t="s">
        <v>2030</v>
      </c>
      <c r="B2630" s="19">
        <v>91274</v>
      </c>
      <c r="C2630" s="20" t="s">
        <v>2684</v>
      </c>
      <c r="D2630" s="19" t="s">
        <v>2032</v>
      </c>
      <c r="E2630" s="21">
        <f t="shared" si="119"/>
        <v>0.14000000000000001</v>
      </c>
      <c r="F2630" s="22">
        <v>0</v>
      </c>
      <c r="G2630" s="21">
        <f t="shared" si="120"/>
        <v>0.14000000000000001</v>
      </c>
      <c r="H2630" s="22">
        <v>0</v>
      </c>
      <c r="I2630" s="23" t="str">
        <f t="shared" si="121"/>
        <v xml:space="preserve">COM VALOR</v>
      </c>
      <c r="J2630" s="19"/>
      <c r="L2630" s="21">
        <v>0.14000000000000001</v>
      </c>
      <c r="M2630" s="22">
        <v>0</v>
      </c>
      <c r="N2630" s="21">
        <v>0.14000000000000001</v>
      </c>
      <c r="O2630" s="22">
        <v>0</v>
      </c>
    </row>
    <row r="2631" ht="38.25">
      <c r="A2631" t="s">
        <v>2030</v>
      </c>
      <c r="B2631" s="19">
        <v>91275</v>
      </c>
      <c r="C2631" s="20" t="s">
        <v>2685</v>
      </c>
      <c r="D2631" s="19" t="s">
        <v>2032</v>
      </c>
      <c r="E2631" s="21">
        <f t="shared" si="119"/>
        <v>0.67000000000000004</v>
      </c>
      <c r="F2631" s="22">
        <v>1</v>
      </c>
      <c r="G2631" s="21">
        <f t="shared" si="120"/>
        <v>0.67000000000000004</v>
      </c>
      <c r="H2631" s="22">
        <v>1</v>
      </c>
      <c r="I2631" s="23" t="str">
        <f t="shared" si="121"/>
        <v xml:space="preserve">COM VALOR</v>
      </c>
      <c r="J2631" s="19"/>
      <c r="L2631" s="21">
        <v>0.67000000000000004</v>
      </c>
      <c r="M2631" s="22">
        <v>0</v>
      </c>
      <c r="N2631" s="21">
        <v>0.67000000000000004</v>
      </c>
      <c r="O2631" s="22">
        <v>0</v>
      </c>
    </row>
    <row r="2632" ht="38.25">
      <c r="A2632" t="s">
        <v>2030</v>
      </c>
      <c r="B2632" s="19">
        <v>91276</v>
      </c>
      <c r="C2632" s="20" t="s">
        <v>2686</v>
      </c>
      <c r="D2632" s="19" t="s">
        <v>2032</v>
      </c>
      <c r="E2632" s="21">
        <f t="shared" si="119"/>
        <v>9.0700000000000003</v>
      </c>
      <c r="F2632" s="22">
        <v>1</v>
      </c>
      <c r="G2632" s="21">
        <f t="shared" si="120"/>
        <v>9.0700000000000003</v>
      </c>
      <c r="H2632" s="22">
        <v>1</v>
      </c>
      <c r="I2632" s="23" t="str">
        <f t="shared" si="121"/>
        <v xml:space="preserve">COM VALOR</v>
      </c>
      <c r="J2632" s="19"/>
      <c r="L2632" s="21">
        <v>9.0700000000000003</v>
      </c>
      <c r="M2632" s="22">
        <v>0</v>
      </c>
      <c r="N2632" s="21">
        <v>9.0700000000000003</v>
      </c>
      <c r="O2632" s="22">
        <v>0</v>
      </c>
    </row>
    <row r="2633" ht="12.75">
      <c r="A2633" t="s">
        <v>2030</v>
      </c>
      <c r="B2633" s="19">
        <v>102882</v>
      </c>
      <c r="C2633" s="20" t="s">
        <v>2687</v>
      </c>
      <c r="D2633" s="19" t="s">
        <v>2032</v>
      </c>
      <c r="E2633" s="21" t="str">
        <f t="shared" si="119"/>
        <v>VERIFICAR</v>
      </c>
      <c r="F2633" s="22">
        <v>1</v>
      </c>
      <c r="G2633" s="21" t="str">
        <f t="shared" si="120"/>
        <v>VERIFICAR</v>
      </c>
      <c r="H2633" s="22">
        <v>1</v>
      </c>
      <c r="I2633" s="23" t="str">
        <f t="shared" si="121"/>
        <v xml:space="preserve">COM VALOR</v>
      </c>
      <c r="J2633" s="19"/>
      <c r="L2633" s="21">
        <v>0</v>
      </c>
      <c r="M2633" s="22"/>
      <c r="N2633" s="21">
        <v>0</v>
      </c>
      <c r="O2633" s="22"/>
    </row>
    <row r="2634" ht="12.75">
      <c r="A2634" t="s">
        <v>2030</v>
      </c>
      <c r="B2634" s="19">
        <v>102883</v>
      </c>
      <c r="C2634" s="20" t="s">
        <v>2688</v>
      </c>
      <c r="D2634" s="19" t="s">
        <v>2032</v>
      </c>
      <c r="E2634" s="21" t="str">
        <f t="shared" si="119"/>
        <v>VERIFICAR</v>
      </c>
      <c r="F2634" s="22">
        <v>0</v>
      </c>
      <c r="G2634" s="21" t="str">
        <f t="shared" si="120"/>
        <v>VERIFICAR</v>
      </c>
      <c r="H2634" s="22">
        <v>0</v>
      </c>
      <c r="I2634" s="23" t="str">
        <f t="shared" si="121"/>
        <v xml:space="preserve">COM VALOR</v>
      </c>
      <c r="J2634" s="19"/>
      <c r="L2634" s="21">
        <v>0</v>
      </c>
      <c r="M2634" s="22"/>
      <c r="N2634" s="21">
        <v>0</v>
      </c>
      <c r="O2634" s="22"/>
    </row>
    <row r="2635" ht="12.75">
      <c r="A2635" t="s">
        <v>2030</v>
      </c>
      <c r="B2635" s="19">
        <v>102884</v>
      </c>
      <c r="C2635" s="20" t="s">
        <v>2689</v>
      </c>
      <c r="D2635" s="19" t="s">
        <v>2032</v>
      </c>
      <c r="E2635" s="21" t="str">
        <f t="shared" ref="E2635:E2698" si="122">IF(L2635=0,"VERIFICAR",L2635)</f>
        <v>VERIFICAR</v>
      </c>
      <c r="F2635" s="22">
        <v>1</v>
      </c>
      <c r="G2635" s="21" t="str">
        <f t="shared" ref="G2635:G2698" si="123">IF(N2635=0,"VERIFICAR",N2635)</f>
        <v>VERIFICAR</v>
      </c>
      <c r="H2635" s="22">
        <v>1</v>
      </c>
      <c r="I2635" s="23" t="str">
        <f t="shared" ref="I2635:I2698" si="124">IF(OR(E2635=0,G2635=0),"SEM VALOR","COM VALOR")</f>
        <v xml:space="preserve">COM VALOR</v>
      </c>
      <c r="J2635" s="19"/>
      <c r="L2635" s="21">
        <v>0</v>
      </c>
      <c r="M2635" s="22"/>
      <c r="N2635" s="21">
        <v>0</v>
      </c>
      <c r="O2635" s="22"/>
    </row>
    <row r="2636" ht="12.75">
      <c r="A2636" t="s">
        <v>2030</v>
      </c>
      <c r="B2636" s="19">
        <v>102885</v>
      </c>
      <c r="C2636" s="20" t="s">
        <v>2690</v>
      </c>
      <c r="D2636" s="19" t="s">
        <v>2032</v>
      </c>
      <c r="E2636" s="21">
        <f t="shared" si="122"/>
        <v>1.4399999999999999</v>
      </c>
      <c r="F2636" s="22">
        <v>1</v>
      </c>
      <c r="G2636" s="21">
        <f t="shared" si="123"/>
        <v>1.4399999999999999</v>
      </c>
      <c r="H2636" s="22">
        <v>1</v>
      </c>
      <c r="I2636" s="23" t="str">
        <f t="shared" si="124"/>
        <v xml:space="preserve">COM VALOR</v>
      </c>
      <c r="J2636" s="19"/>
      <c r="L2636" s="21">
        <v>1.4399999999999999</v>
      </c>
      <c r="M2636" s="22">
        <v>0</v>
      </c>
      <c r="N2636" s="21">
        <v>1.4399999999999999</v>
      </c>
      <c r="O2636" s="22">
        <v>0</v>
      </c>
    </row>
    <row r="2637" ht="25.5">
      <c r="A2637" t="s">
        <v>2030</v>
      </c>
      <c r="B2637" s="19">
        <v>95272</v>
      </c>
      <c r="C2637" s="20" t="s">
        <v>2691</v>
      </c>
      <c r="D2637" s="19" t="s">
        <v>2032</v>
      </c>
      <c r="E2637" s="21">
        <f t="shared" si="122"/>
        <v>0.57999999999999996</v>
      </c>
      <c r="F2637" s="22">
        <v>1</v>
      </c>
      <c r="G2637" s="21">
        <f t="shared" si="123"/>
        <v>0.57999999999999996</v>
      </c>
      <c r="H2637" s="22">
        <v>1</v>
      </c>
      <c r="I2637" s="23" t="str">
        <f t="shared" si="124"/>
        <v xml:space="preserve">COM VALOR</v>
      </c>
      <c r="J2637" s="19"/>
      <c r="L2637" s="21">
        <v>0.57999999999999996</v>
      </c>
      <c r="M2637" s="22">
        <v>1</v>
      </c>
      <c r="N2637" s="21">
        <v>0.57999999999999996</v>
      </c>
      <c r="O2637" s="22">
        <v>1</v>
      </c>
    </row>
    <row r="2638" ht="25.5">
      <c r="A2638" t="s">
        <v>2030</v>
      </c>
      <c r="B2638" s="19">
        <v>95273</v>
      </c>
      <c r="C2638" s="20" t="s">
        <v>2692</v>
      </c>
      <c r="D2638" s="19" t="s">
        <v>2032</v>
      </c>
      <c r="E2638" s="21">
        <f t="shared" si="122"/>
        <v>0.13</v>
      </c>
      <c r="F2638" s="22">
        <v>0</v>
      </c>
      <c r="G2638" s="21">
        <f t="shared" si="123"/>
        <v>0.13</v>
      </c>
      <c r="H2638" s="22">
        <v>0</v>
      </c>
      <c r="I2638" s="23" t="str">
        <f t="shared" si="124"/>
        <v xml:space="preserve">COM VALOR</v>
      </c>
      <c r="J2638" s="19"/>
      <c r="L2638" s="21">
        <v>0.13</v>
      </c>
      <c r="M2638" s="22">
        <v>1</v>
      </c>
      <c r="N2638" s="21">
        <v>0.13</v>
      </c>
      <c r="O2638" s="22">
        <v>1</v>
      </c>
    </row>
    <row r="2639" ht="25.5">
      <c r="A2639" t="s">
        <v>2030</v>
      </c>
      <c r="B2639" s="19">
        <v>95274</v>
      </c>
      <c r="C2639" s="20" t="s">
        <v>2693</v>
      </c>
      <c r="D2639" s="19" t="s">
        <v>2032</v>
      </c>
      <c r="E2639" s="21">
        <f t="shared" si="122"/>
        <v>0.45000000000000001</v>
      </c>
      <c r="F2639" s="22">
        <v>1</v>
      </c>
      <c r="G2639" s="21">
        <f t="shared" si="123"/>
        <v>0.45000000000000001</v>
      </c>
      <c r="H2639" s="22">
        <v>1</v>
      </c>
      <c r="I2639" s="23" t="str">
        <f t="shared" si="124"/>
        <v xml:space="preserve">COM VALOR</v>
      </c>
      <c r="J2639" s="19"/>
      <c r="L2639" s="21">
        <v>0.45000000000000001</v>
      </c>
      <c r="M2639" s="22">
        <v>1</v>
      </c>
      <c r="N2639" s="21">
        <v>0.45000000000000001</v>
      </c>
      <c r="O2639" s="22">
        <v>1</v>
      </c>
    </row>
    <row r="2640" ht="38.25">
      <c r="A2640" t="s">
        <v>2030</v>
      </c>
      <c r="B2640" s="19">
        <v>95275</v>
      </c>
      <c r="C2640" s="20" t="s">
        <v>2694</v>
      </c>
      <c r="D2640" s="19" t="s">
        <v>2032</v>
      </c>
      <c r="E2640" s="21">
        <f t="shared" si="122"/>
        <v>2.8700000000000001</v>
      </c>
      <c r="F2640" s="22">
        <v>1</v>
      </c>
      <c r="G2640" s="21">
        <f t="shared" si="123"/>
        <v>2.8700000000000001</v>
      </c>
      <c r="H2640" s="22">
        <v>1</v>
      </c>
      <c r="I2640" s="23" t="str">
        <f t="shared" si="124"/>
        <v xml:space="preserve">COM VALOR</v>
      </c>
      <c r="J2640" s="19"/>
      <c r="L2640" s="21">
        <v>2.8700000000000001</v>
      </c>
      <c r="M2640" s="22">
        <v>0</v>
      </c>
      <c r="N2640" s="21">
        <v>2.8700000000000001</v>
      </c>
      <c r="O2640" s="22">
        <v>0</v>
      </c>
    </row>
    <row r="2641" ht="38.25">
      <c r="A2641" t="s">
        <v>2030</v>
      </c>
      <c r="B2641" s="19">
        <v>106232</v>
      </c>
      <c r="C2641" s="20" t="s">
        <v>2695</v>
      </c>
      <c r="D2641" s="19" t="s">
        <v>2032</v>
      </c>
      <c r="E2641" s="21" t="str">
        <f t="shared" si="122"/>
        <v>VERIFICAR</v>
      </c>
      <c r="F2641" s="22">
        <v>1</v>
      </c>
      <c r="G2641" s="21" t="str">
        <f t="shared" si="123"/>
        <v>VERIFICAR</v>
      </c>
      <c r="H2641" s="22">
        <v>1</v>
      </c>
      <c r="I2641" s="23" t="str">
        <f t="shared" si="124"/>
        <v xml:space="preserve">COM VALOR</v>
      </c>
      <c r="J2641" s="19"/>
      <c r="L2641" s="21">
        <v>0</v>
      </c>
      <c r="M2641" s="22"/>
      <c r="N2641" s="21">
        <v>0</v>
      </c>
      <c r="O2641" s="22"/>
    </row>
    <row r="2642" ht="51">
      <c r="A2642" t="s">
        <v>2030</v>
      </c>
      <c r="B2642" s="19">
        <v>106235</v>
      </c>
      <c r="C2642" s="20" t="s">
        <v>2696</v>
      </c>
      <c r="D2642" s="19" t="s">
        <v>2032</v>
      </c>
      <c r="E2642" s="21" t="str">
        <f t="shared" si="122"/>
        <v>VERIFICAR</v>
      </c>
      <c r="F2642" s="22">
        <v>0</v>
      </c>
      <c r="G2642" s="21" t="str">
        <f t="shared" si="123"/>
        <v>VERIFICAR</v>
      </c>
      <c r="H2642" s="22">
        <v>0</v>
      </c>
      <c r="I2642" s="23" t="str">
        <f t="shared" si="124"/>
        <v xml:space="preserve">COM VALOR</v>
      </c>
      <c r="J2642" s="19"/>
      <c r="L2642" s="21">
        <v>0</v>
      </c>
      <c r="M2642" s="22"/>
      <c r="N2642" s="21">
        <v>0</v>
      </c>
      <c r="O2642" s="22"/>
    </row>
    <row r="2643" ht="38.25">
      <c r="A2643" t="s">
        <v>2030</v>
      </c>
      <c r="B2643" s="19">
        <v>106233</v>
      </c>
      <c r="C2643" s="20" t="s">
        <v>2697</v>
      </c>
      <c r="D2643" s="19" t="s">
        <v>2032</v>
      </c>
      <c r="E2643" s="21" t="str">
        <f t="shared" si="122"/>
        <v>VERIFICAR</v>
      </c>
      <c r="F2643" s="22">
        <v>1</v>
      </c>
      <c r="G2643" s="21" t="str">
        <f t="shared" si="123"/>
        <v>VERIFICAR</v>
      </c>
      <c r="H2643" s="22">
        <v>1</v>
      </c>
      <c r="I2643" s="23" t="str">
        <f t="shared" si="124"/>
        <v xml:space="preserve">COM VALOR</v>
      </c>
      <c r="J2643" s="19"/>
      <c r="L2643" s="21">
        <v>0</v>
      </c>
      <c r="M2643" s="22"/>
      <c r="N2643" s="21">
        <v>0</v>
      </c>
      <c r="O2643" s="22"/>
    </row>
    <row r="2644" ht="38.25">
      <c r="A2644" t="s">
        <v>2030</v>
      </c>
      <c r="B2644" s="19">
        <v>106234</v>
      </c>
      <c r="C2644" s="20" t="s">
        <v>2698</v>
      </c>
      <c r="D2644" s="19" t="s">
        <v>2032</v>
      </c>
      <c r="E2644" s="21" t="str">
        <f t="shared" si="122"/>
        <v>VERIFICAR</v>
      </c>
      <c r="F2644" s="22">
        <v>1</v>
      </c>
      <c r="G2644" s="21" t="str">
        <f t="shared" si="123"/>
        <v>VERIFICAR</v>
      </c>
      <c r="H2644" s="22">
        <v>1</v>
      </c>
      <c r="I2644" s="23" t="str">
        <f t="shared" si="124"/>
        <v xml:space="preserve">COM VALOR</v>
      </c>
      <c r="J2644" s="19"/>
      <c r="L2644" s="21">
        <v>0</v>
      </c>
      <c r="M2644" s="22"/>
      <c r="N2644" s="21">
        <v>0</v>
      </c>
      <c r="O2644" s="22"/>
    </row>
    <row r="2645" ht="51">
      <c r="A2645" t="s">
        <v>2030</v>
      </c>
      <c r="B2645" s="19">
        <v>106236</v>
      </c>
      <c r="C2645" s="20" t="s">
        <v>2699</v>
      </c>
      <c r="D2645" s="19" t="s">
        <v>2032</v>
      </c>
      <c r="E2645" s="21">
        <f t="shared" si="122"/>
        <v>175.65000000000001</v>
      </c>
      <c r="F2645" s="22">
        <v>1</v>
      </c>
      <c r="G2645" s="21">
        <f t="shared" si="123"/>
        <v>175.65000000000001</v>
      </c>
      <c r="H2645" s="22">
        <v>1</v>
      </c>
      <c r="I2645" s="23" t="str">
        <f t="shared" si="124"/>
        <v xml:space="preserve">COM VALOR</v>
      </c>
      <c r="J2645" s="19"/>
      <c r="L2645" s="21">
        <v>175.65000000000001</v>
      </c>
      <c r="M2645" s="22">
        <v>0</v>
      </c>
      <c r="N2645" s="21">
        <v>175.65000000000001</v>
      </c>
      <c r="O2645" s="22">
        <v>0</v>
      </c>
    </row>
    <row r="2646" ht="38.25">
      <c r="A2646" t="s">
        <v>2030</v>
      </c>
      <c r="B2646" s="19">
        <v>88419</v>
      </c>
      <c r="C2646" s="20" t="s">
        <v>2700</v>
      </c>
      <c r="D2646" s="19" t="s">
        <v>2032</v>
      </c>
      <c r="E2646" s="21">
        <f t="shared" si="122"/>
        <v>5.2000000000000002</v>
      </c>
      <c r="F2646" s="22">
        <v>0</v>
      </c>
      <c r="G2646" s="21">
        <f t="shared" si="123"/>
        <v>5.2000000000000002</v>
      </c>
      <c r="H2646" s="22">
        <v>0</v>
      </c>
      <c r="I2646" s="23" t="str">
        <f t="shared" si="124"/>
        <v xml:space="preserve">COM VALOR</v>
      </c>
      <c r="J2646" s="19"/>
      <c r="L2646" s="21">
        <v>5.2000000000000002</v>
      </c>
      <c r="M2646" s="22">
        <v>0</v>
      </c>
      <c r="N2646" s="21">
        <v>5.2000000000000002</v>
      </c>
      <c r="O2646" s="22">
        <v>0</v>
      </c>
    </row>
    <row r="2647" ht="38.25">
      <c r="A2647" t="s">
        <v>2030</v>
      </c>
      <c r="B2647" s="19">
        <v>88422</v>
      </c>
      <c r="C2647" s="20" t="s">
        <v>2701</v>
      </c>
      <c r="D2647" s="19" t="s">
        <v>2032</v>
      </c>
      <c r="E2647" s="21">
        <f t="shared" si="122"/>
        <v>1.2</v>
      </c>
      <c r="F2647" s="22">
        <v>1</v>
      </c>
      <c r="G2647" s="21">
        <f t="shared" si="123"/>
        <v>1.2</v>
      </c>
      <c r="H2647" s="22">
        <v>1</v>
      </c>
      <c r="I2647" s="23" t="str">
        <f t="shared" si="124"/>
        <v xml:space="preserve">COM VALOR</v>
      </c>
      <c r="J2647" s="19"/>
      <c r="L2647" s="21">
        <v>1.2</v>
      </c>
      <c r="M2647" s="22">
        <v>0</v>
      </c>
      <c r="N2647" s="21">
        <v>1.2</v>
      </c>
      <c r="O2647" s="22">
        <v>0</v>
      </c>
    </row>
    <row r="2648" ht="38.25">
      <c r="A2648" t="s">
        <v>2030</v>
      </c>
      <c r="B2648" s="19">
        <v>88425</v>
      </c>
      <c r="C2648" s="20" t="s">
        <v>2702</v>
      </c>
      <c r="D2648" s="19" t="s">
        <v>2032</v>
      </c>
      <c r="E2648" s="21">
        <f t="shared" si="122"/>
        <v>6.5</v>
      </c>
      <c r="F2648" s="22">
        <v>1</v>
      </c>
      <c r="G2648" s="21">
        <f t="shared" si="123"/>
        <v>6.5</v>
      </c>
      <c r="H2648" s="22">
        <v>1</v>
      </c>
      <c r="I2648" s="23" t="str">
        <f t="shared" si="124"/>
        <v xml:space="preserve">COM VALOR</v>
      </c>
      <c r="J2648" s="19"/>
      <c r="L2648" s="21">
        <v>6.5</v>
      </c>
      <c r="M2648" s="22">
        <v>0</v>
      </c>
      <c r="N2648" s="21">
        <v>6.5</v>
      </c>
      <c r="O2648" s="22">
        <v>0</v>
      </c>
    </row>
    <row r="2649" ht="38.25">
      <c r="A2649" t="s">
        <v>2030</v>
      </c>
      <c r="B2649" s="19">
        <v>88427</v>
      </c>
      <c r="C2649" s="20" t="s">
        <v>2703</v>
      </c>
      <c r="D2649" s="19" t="s">
        <v>2032</v>
      </c>
      <c r="E2649" s="21">
        <f t="shared" si="122"/>
        <v>1.1899999999999999</v>
      </c>
      <c r="F2649" s="22">
        <v>1</v>
      </c>
      <c r="G2649" s="21">
        <f t="shared" si="123"/>
        <v>1.1899999999999999</v>
      </c>
      <c r="H2649" s="22">
        <v>1</v>
      </c>
      <c r="I2649" s="23" t="str">
        <f t="shared" si="124"/>
        <v xml:space="preserve">COM VALOR</v>
      </c>
      <c r="J2649" s="19"/>
      <c r="L2649" s="21">
        <v>1.1899999999999999</v>
      </c>
      <c r="M2649" s="22">
        <v>0</v>
      </c>
      <c r="N2649" s="21">
        <v>1.1899999999999999</v>
      </c>
      <c r="O2649" s="22">
        <v>0</v>
      </c>
    </row>
    <row r="2650" ht="38.25">
      <c r="A2650" t="s">
        <v>2030</v>
      </c>
      <c r="B2650" s="19">
        <v>88434</v>
      </c>
      <c r="C2650" s="20" t="s">
        <v>2704</v>
      </c>
      <c r="D2650" s="19" t="s">
        <v>2032</v>
      </c>
      <c r="E2650" s="21">
        <f t="shared" si="122"/>
        <v>6.9000000000000004</v>
      </c>
      <c r="F2650" s="22">
        <v>0</v>
      </c>
      <c r="G2650" s="21">
        <f t="shared" si="123"/>
        <v>6.9000000000000004</v>
      </c>
      <c r="H2650" s="22">
        <v>0</v>
      </c>
      <c r="I2650" s="23" t="str">
        <f t="shared" si="124"/>
        <v xml:space="preserve">COM VALOR</v>
      </c>
      <c r="J2650" s="19"/>
      <c r="L2650" s="21">
        <v>6.9000000000000004</v>
      </c>
      <c r="M2650" s="22">
        <v>0</v>
      </c>
      <c r="N2650" s="21">
        <v>6.9000000000000004</v>
      </c>
      <c r="O2650" s="22">
        <v>0</v>
      </c>
    </row>
    <row r="2651" ht="38.25">
      <c r="A2651" t="s">
        <v>2030</v>
      </c>
      <c r="B2651" s="19">
        <v>88435</v>
      </c>
      <c r="C2651" s="20" t="s">
        <v>2705</v>
      </c>
      <c r="D2651" s="19" t="s">
        <v>2032</v>
      </c>
      <c r="E2651" s="21">
        <f t="shared" si="122"/>
        <v>1.5900000000000001</v>
      </c>
      <c r="F2651" s="22">
        <v>1</v>
      </c>
      <c r="G2651" s="21">
        <f t="shared" si="123"/>
        <v>1.5900000000000001</v>
      </c>
      <c r="H2651" s="22">
        <v>1</v>
      </c>
      <c r="I2651" s="23" t="str">
        <f t="shared" si="124"/>
        <v xml:space="preserve">COM VALOR</v>
      </c>
      <c r="J2651" s="19"/>
      <c r="L2651" s="21">
        <v>1.5900000000000001</v>
      </c>
      <c r="M2651" s="22">
        <v>0</v>
      </c>
      <c r="N2651" s="21">
        <v>1.5900000000000001</v>
      </c>
      <c r="O2651" s="22">
        <v>0</v>
      </c>
    </row>
    <row r="2652" ht="38.25">
      <c r="A2652" t="s">
        <v>2030</v>
      </c>
      <c r="B2652" s="19">
        <v>88436</v>
      </c>
      <c r="C2652" s="20" t="s">
        <v>2706</v>
      </c>
      <c r="D2652" s="19" t="s">
        <v>2032</v>
      </c>
      <c r="E2652" s="21">
        <f t="shared" si="122"/>
        <v>8.6199999999999992</v>
      </c>
      <c r="F2652" s="22">
        <v>1</v>
      </c>
      <c r="G2652" s="21">
        <f t="shared" si="123"/>
        <v>8.6199999999999992</v>
      </c>
      <c r="H2652" s="22">
        <v>1</v>
      </c>
      <c r="I2652" s="23" t="str">
        <f t="shared" si="124"/>
        <v xml:space="preserve">COM VALOR</v>
      </c>
      <c r="J2652" s="19"/>
      <c r="L2652" s="21">
        <v>8.6199999999999992</v>
      </c>
      <c r="M2652" s="22">
        <v>0</v>
      </c>
      <c r="N2652" s="21">
        <v>8.6199999999999992</v>
      </c>
      <c r="O2652" s="22">
        <v>0</v>
      </c>
    </row>
    <row r="2653" ht="38.25">
      <c r="A2653" t="s">
        <v>2030</v>
      </c>
      <c r="B2653" s="19">
        <v>88437</v>
      </c>
      <c r="C2653" s="20" t="s">
        <v>2707</v>
      </c>
      <c r="D2653" s="19" t="s">
        <v>2032</v>
      </c>
      <c r="E2653" s="21">
        <f t="shared" si="122"/>
        <v>1.1899999999999999</v>
      </c>
      <c r="F2653" s="22">
        <v>1</v>
      </c>
      <c r="G2653" s="21">
        <f t="shared" si="123"/>
        <v>1.1899999999999999</v>
      </c>
      <c r="H2653" s="22">
        <v>1</v>
      </c>
      <c r="I2653" s="23" t="str">
        <f t="shared" si="124"/>
        <v xml:space="preserve">COM VALOR</v>
      </c>
      <c r="J2653" s="19"/>
      <c r="L2653" s="21">
        <v>1.1899999999999999</v>
      </c>
      <c r="M2653" s="22">
        <v>0</v>
      </c>
      <c r="N2653" s="21">
        <v>1.1899999999999999</v>
      </c>
      <c r="O2653" s="22">
        <v>0</v>
      </c>
    </row>
    <row r="2654" ht="51">
      <c r="A2654" t="s">
        <v>2030</v>
      </c>
      <c r="B2654" s="19">
        <v>90664</v>
      </c>
      <c r="C2654" s="20" t="s">
        <v>2708</v>
      </c>
      <c r="D2654" s="19" t="s">
        <v>2032</v>
      </c>
      <c r="E2654" s="21">
        <f t="shared" si="122"/>
        <v>7.0599999999999996</v>
      </c>
      <c r="F2654" s="22">
        <v>0</v>
      </c>
      <c r="G2654" s="21">
        <f t="shared" si="123"/>
        <v>7.0599999999999996</v>
      </c>
      <c r="H2654" s="22">
        <v>0</v>
      </c>
      <c r="I2654" s="23" t="str">
        <f t="shared" si="124"/>
        <v xml:space="preserve">COM VALOR</v>
      </c>
      <c r="J2654" s="19"/>
      <c r="L2654" s="21">
        <v>7.0599999999999996</v>
      </c>
      <c r="M2654" s="22">
        <v>0.98999999999999999</v>
      </c>
      <c r="N2654" s="21">
        <v>7.0599999999999996</v>
      </c>
      <c r="O2654" s="22">
        <v>0.98999999999999999</v>
      </c>
    </row>
    <row r="2655" ht="51">
      <c r="A2655" t="s">
        <v>2030</v>
      </c>
      <c r="B2655" s="19">
        <v>90665</v>
      </c>
      <c r="C2655" s="20" t="s">
        <v>2709</v>
      </c>
      <c r="D2655" s="19" t="s">
        <v>2032</v>
      </c>
      <c r="E2655" s="21">
        <f t="shared" si="122"/>
        <v>1.8799999999999999</v>
      </c>
      <c r="F2655" s="22">
        <v>1</v>
      </c>
      <c r="G2655" s="21">
        <f t="shared" si="123"/>
        <v>1.8799999999999999</v>
      </c>
      <c r="H2655" s="22">
        <v>1</v>
      </c>
      <c r="I2655" s="23" t="str">
        <f t="shared" si="124"/>
        <v xml:space="preserve">COM VALOR</v>
      </c>
      <c r="J2655" s="19"/>
      <c r="L2655" s="21">
        <v>1.8799999999999999</v>
      </c>
      <c r="M2655" s="22">
        <v>1</v>
      </c>
      <c r="N2655" s="21">
        <v>1.8799999999999999</v>
      </c>
      <c r="O2655" s="22">
        <v>1</v>
      </c>
    </row>
    <row r="2656" ht="51">
      <c r="A2656" t="s">
        <v>2030</v>
      </c>
      <c r="B2656" s="19">
        <v>90666</v>
      </c>
      <c r="C2656" s="20" t="s">
        <v>2710</v>
      </c>
      <c r="D2656" s="19" t="s">
        <v>2032</v>
      </c>
      <c r="E2656" s="21">
        <f t="shared" si="122"/>
        <v>8.8399999999999999</v>
      </c>
      <c r="F2656" s="22">
        <v>1</v>
      </c>
      <c r="G2656" s="21">
        <f t="shared" si="123"/>
        <v>8.8399999999999999</v>
      </c>
      <c r="H2656" s="22">
        <v>1</v>
      </c>
      <c r="I2656" s="23" t="str">
        <f t="shared" si="124"/>
        <v xml:space="preserve">COM VALOR</v>
      </c>
      <c r="J2656" s="19"/>
      <c r="L2656" s="21">
        <v>8.8399999999999999</v>
      </c>
      <c r="M2656" s="22">
        <v>0.98999999999999999</v>
      </c>
      <c r="N2656" s="21">
        <v>8.8399999999999999</v>
      </c>
      <c r="O2656" s="22">
        <v>0.98999999999999999</v>
      </c>
    </row>
    <row r="2657" ht="51">
      <c r="A2657" t="s">
        <v>2030</v>
      </c>
      <c r="B2657" s="19">
        <v>90667</v>
      </c>
      <c r="C2657" s="20" t="s">
        <v>2711</v>
      </c>
      <c r="D2657" s="19" t="s">
        <v>2032</v>
      </c>
      <c r="E2657" s="21">
        <f t="shared" si="122"/>
        <v>16.969999999999999</v>
      </c>
      <c r="F2657" s="22">
        <v>1</v>
      </c>
      <c r="G2657" s="21">
        <f t="shared" si="123"/>
        <v>16.969999999999999</v>
      </c>
      <c r="H2657" s="22">
        <v>1</v>
      </c>
      <c r="I2657" s="23" t="str">
        <f t="shared" si="124"/>
        <v xml:space="preserve">COM VALOR</v>
      </c>
      <c r="J2657" s="19"/>
      <c r="L2657" s="21">
        <v>16.969999999999999</v>
      </c>
      <c r="M2657" s="22">
        <v>0</v>
      </c>
      <c r="N2657" s="21">
        <v>16.969999999999999</v>
      </c>
      <c r="O2657" s="22">
        <v>0</v>
      </c>
    </row>
    <row r="2658" ht="25.5">
      <c r="A2658" t="s">
        <v>2030</v>
      </c>
      <c r="B2658" s="19">
        <v>102977</v>
      </c>
      <c r="C2658" s="20" t="s">
        <v>2712</v>
      </c>
      <c r="D2658" s="19" t="s">
        <v>2032</v>
      </c>
      <c r="E2658" s="21" t="str">
        <f t="shared" si="122"/>
        <v>VERIFICAR</v>
      </c>
      <c r="F2658" s="22">
        <v>0</v>
      </c>
      <c r="G2658" s="21" t="str">
        <f t="shared" si="123"/>
        <v>VERIFICAR</v>
      </c>
      <c r="H2658" s="22">
        <v>0</v>
      </c>
      <c r="I2658" s="23" t="str">
        <f t="shared" si="124"/>
        <v xml:space="preserve">COM VALOR</v>
      </c>
      <c r="J2658" s="19"/>
      <c r="L2658" s="21">
        <v>0</v>
      </c>
      <c r="M2658" s="22"/>
      <c r="N2658" s="21">
        <v>0</v>
      </c>
      <c r="O2658" s="22"/>
    </row>
    <row r="2659" ht="25.5">
      <c r="A2659" t="s">
        <v>2030</v>
      </c>
      <c r="B2659" s="19">
        <v>102978</v>
      </c>
      <c r="C2659" s="20" t="s">
        <v>2713</v>
      </c>
      <c r="D2659" s="19" t="s">
        <v>2032</v>
      </c>
      <c r="E2659" s="21" t="str">
        <f t="shared" si="122"/>
        <v>VERIFICAR</v>
      </c>
      <c r="F2659" s="22">
        <v>1</v>
      </c>
      <c r="G2659" s="21" t="str">
        <f t="shared" si="123"/>
        <v>VERIFICAR</v>
      </c>
      <c r="H2659" s="22">
        <v>1</v>
      </c>
      <c r="I2659" s="23" t="str">
        <f t="shared" si="124"/>
        <v xml:space="preserve">COM VALOR</v>
      </c>
      <c r="J2659" s="19"/>
      <c r="L2659" s="21">
        <v>0</v>
      </c>
      <c r="M2659" s="22"/>
      <c r="N2659" s="21">
        <v>0</v>
      </c>
      <c r="O2659" s="22"/>
    </row>
    <row r="2660" ht="25.5">
      <c r="A2660" t="s">
        <v>2030</v>
      </c>
      <c r="B2660" s="19">
        <v>102979</v>
      </c>
      <c r="C2660" s="20" t="s">
        <v>2714</v>
      </c>
      <c r="D2660" s="19" t="s">
        <v>2032</v>
      </c>
      <c r="E2660" s="21" t="str">
        <f t="shared" si="122"/>
        <v>VERIFICAR</v>
      </c>
      <c r="F2660" s="22">
        <v>1</v>
      </c>
      <c r="G2660" s="21" t="str">
        <f t="shared" si="123"/>
        <v>VERIFICAR</v>
      </c>
      <c r="H2660" s="22">
        <v>1</v>
      </c>
      <c r="I2660" s="23" t="str">
        <f t="shared" si="124"/>
        <v xml:space="preserve">COM VALOR</v>
      </c>
      <c r="J2660" s="19"/>
      <c r="L2660" s="21">
        <v>0</v>
      </c>
      <c r="M2660" s="22"/>
      <c r="N2660" s="21">
        <v>0</v>
      </c>
      <c r="O2660" s="22"/>
    </row>
    <row r="2661" ht="25.5">
      <c r="A2661" t="s">
        <v>2030</v>
      </c>
      <c r="B2661" s="19">
        <v>95217</v>
      </c>
      <c r="C2661" s="20" t="s">
        <v>2715</v>
      </c>
      <c r="D2661" s="19" t="s">
        <v>2032</v>
      </c>
      <c r="E2661" s="21">
        <f t="shared" si="122"/>
        <v>0.70999999999999996</v>
      </c>
      <c r="F2661" s="22">
        <v>1</v>
      </c>
      <c r="G2661" s="21">
        <f t="shared" si="123"/>
        <v>0.70999999999999996</v>
      </c>
      <c r="H2661" s="22">
        <v>1</v>
      </c>
      <c r="I2661" s="23" t="str">
        <f t="shared" si="124"/>
        <v xml:space="preserve">COM VALOR</v>
      </c>
      <c r="J2661" s="19"/>
      <c r="L2661" s="21">
        <v>0.70999999999999996</v>
      </c>
      <c r="M2661" s="22">
        <v>0</v>
      </c>
      <c r="N2661" s="21">
        <v>0.70999999999999996</v>
      </c>
      <c r="O2661" s="22">
        <v>0</v>
      </c>
    </row>
    <row r="2662" ht="38.25">
      <c r="A2662" t="s">
        <v>2030</v>
      </c>
      <c r="B2662" s="19">
        <v>89130</v>
      </c>
      <c r="C2662" s="20" t="s">
        <v>2716</v>
      </c>
      <c r="D2662" s="19" t="s">
        <v>2032</v>
      </c>
      <c r="E2662" s="21">
        <f t="shared" si="122"/>
        <v>49.299999999999997</v>
      </c>
      <c r="F2662" s="22">
        <v>0</v>
      </c>
      <c r="G2662" s="21">
        <f t="shared" si="123"/>
        <v>49.299999999999997</v>
      </c>
      <c r="H2662" s="22">
        <v>0</v>
      </c>
      <c r="I2662" s="23" t="str">
        <f t="shared" si="124"/>
        <v xml:space="preserve">COM VALOR</v>
      </c>
      <c r="J2662" s="19"/>
      <c r="L2662" s="21">
        <v>49.299999999999997</v>
      </c>
      <c r="M2662" s="22">
        <v>0</v>
      </c>
      <c r="N2662" s="21">
        <v>49.299999999999997</v>
      </c>
      <c r="O2662" s="22">
        <v>0</v>
      </c>
    </row>
    <row r="2663" ht="38.25">
      <c r="A2663" t="s">
        <v>2030</v>
      </c>
      <c r="B2663" s="19">
        <v>89131</v>
      </c>
      <c r="C2663" s="20" t="s">
        <v>2717</v>
      </c>
      <c r="D2663" s="19" t="s">
        <v>2032</v>
      </c>
      <c r="E2663" s="21">
        <f t="shared" si="122"/>
        <v>13.029999999999999</v>
      </c>
      <c r="F2663" s="22">
        <v>1</v>
      </c>
      <c r="G2663" s="21">
        <f t="shared" si="123"/>
        <v>13.029999999999999</v>
      </c>
      <c r="H2663" s="22">
        <v>1</v>
      </c>
      <c r="I2663" s="23" t="str">
        <f t="shared" si="124"/>
        <v xml:space="preserve">COM VALOR</v>
      </c>
      <c r="J2663" s="19"/>
      <c r="L2663" s="21">
        <v>13.029999999999999</v>
      </c>
      <c r="M2663" s="22">
        <v>0</v>
      </c>
      <c r="N2663" s="21">
        <v>13.029999999999999</v>
      </c>
      <c r="O2663" s="22">
        <v>0</v>
      </c>
    </row>
    <row r="2664" ht="38.25">
      <c r="A2664" t="s">
        <v>2030</v>
      </c>
      <c r="B2664" s="19">
        <v>53861</v>
      </c>
      <c r="C2664" s="20" t="s">
        <v>2718</v>
      </c>
      <c r="D2664" s="19" t="s">
        <v>2032</v>
      </c>
      <c r="E2664" s="21">
        <f t="shared" si="122"/>
        <v>61.630000000000003</v>
      </c>
      <c r="F2664" s="22">
        <v>1</v>
      </c>
      <c r="G2664" s="21">
        <f t="shared" si="123"/>
        <v>61.630000000000003</v>
      </c>
      <c r="H2664" s="22">
        <v>1</v>
      </c>
      <c r="I2664" s="23" t="str">
        <f t="shared" si="124"/>
        <v xml:space="preserve">COM VALOR</v>
      </c>
      <c r="J2664" s="19"/>
      <c r="L2664" s="21">
        <v>61.630000000000003</v>
      </c>
      <c r="M2664" s="22">
        <v>0</v>
      </c>
      <c r="N2664" s="21">
        <v>61.630000000000003</v>
      </c>
      <c r="O2664" s="22">
        <v>0</v>
      </c>
    </row>
    <row r="2665" ht="38.25">
      <c r="A2665" t="s">
        <v>2030</v>
      </c>
      <c r="B2665" s="19">
        <v>5787</v>
      </c>
      <c r="C2665" s="20" t="s">
        <v>2719</v>
      </c>
      <c r="D2665" s="19" t="s">
        <v>2032</v>
      </c>
      <c r="E2665" s="21">
        <f t="shared" si="122"/>
        <v>79.849999999999994</v>
      </c>
      <c r="F2665" s="22">
        <v>1</v>
      </c>
      <c r="G2665" s="21">
        <f t="shared" si="123"/>
        <v>79.849999999999994</v>
      </c>
      <c r="H2665" s="22">
        <v>1</v>
      </c>
      <c r="I2665" s="23" t="str">
        <f t="shared" si="124"/>
        <v xml:space="preserve">COM VALOR</v>
      </c>
      <c r="J2665" s="19"/>
      <c r="L2665" s="21">
        <v>79.849999999999994</v>
      </c>
      <c r="M2665" s="22">
        <v>0</v>
      </c>
      <c r="N2665" s="21">
        <v>79.849999999999994</v>
      </c>
      <c r="O2665" s="22">
        <v>0</v>
      </c>
    </row>
    <row r="2666" ht="38.25">
      <c r="A2666" t="s">
        <v>2030</v>
      </c>
      <c r="B2666" s="19">
        <v>89128</v>
      </c>
      <c r="C2666" s="20" t="s">
        <v>2720</v>
      </c>
      <c r="D2666" s="19" t="s">
        <v>2032</v>
      </c>
      <c r="E2666" s="21">
        <f t="shared" si="122"/>
        <v>35.560000000000002</v>
      </c>
      <c r="F2666" s="22">
        <v>0</v>
      </c>
      <c r="G2666" s="21">
        <f t="shared" si="123"/>
        <v>35.560000000000002</v>
      </c>
      <c r="H2666" s="22">
        <v>0</v>
      </c>
      <c r="I2666" s="23" t="str">
        <f t="shared" si="124"/>
        <v xml:space="preserve">COM VALOR</v>
      </c>
      <c r="J2666" s="19"/>
      <c r="L2666" s="21">
        <v>35.560000000000002</v>
      </c>
      <c r="M2666" s="22">
        <v>0</v>
      </c>
      <c r="N2666" s="21">
        <v>35.560000000000002</v>
      </c>
      <c r="O2666" s="22">
        <v>0</v>
      </c>
    </row>
    <row r="2667" ht="38.25">
      <c r="A2667" t="s">
        <v>2030</v>
      </c>
      <c r="B2667" s="19">
        <v>89129</v>
      </c>
      <c r="C2667" s="20" t="s">
        <v>2721</v>
      </c>
      <c r="D2667" s="19" t="s">
        <v>2032</v>
      </c>
      <c r="E2667" s="21">
        <f t="shared" si="122"/>
        <v>9.3900000000000006</v>
      </c>
      <c r="F2667" s="22">
        <v>1</v>
      </c>
      <c r="G2667" s="21">
        <f t="shared" si="123"/>
        <v>9.3900000000000006</v>
      </c>
      <c r="H2667" s="22">
        <v>1</v>
      </c>
      <c r="I2667" s="23" t="str">
        <f t="shared" si="124"/>
        <v xml:space="preserve">COM VALOR</v>
      </c>
      <c r="J2667" s="19"/>
      <c r="L2667" s="21">
        <v>9.3900000000000006</v>
      </c>
      <c r="M2667" s="22">
        <v>0</v>
      </c>
      <c r="N2667" s="21">
        <v>9.3900000000000006</v>
      </c>
      <c r="O2667" s="22">
        <v>0</v>
      </c>
    </row>
    <row r="2668" ht="38.25">
      <c r="A2668" t="s">
        <v>2030</v>
      </c>
      <c r="B2668" s="19">
        <v>53857</v>
      </c>
      <c r="C2668" s="20" t="s">
        <v>2722</v>
      </c>
      <c r="D2668" s="19" t="s">
        <v>2032</v>
      </c>
      <c r="E2668" s="21">
        <f t="shared" si="122"/>
        <v>44.450000000000003</v>
      </c>
      <c r="F2668" s="22">
        <v>1</v>
      </c>
      <c r="G2668" s="21">
        <f t="shared" si="123"/>
        <v>44.450000000000003</v>
      </c>
      <c r="H2668" s="22">
        <v>1</v>
      </c>
      <c r="I2668" s="23" t="str">
        <f t="shared" si="124"/>
        <v xml:space="preserve">COM VALOR</v>
      </c>
      <c r="J2668" s="19"/>
      <c r="L2668" s="21">
        <v>44.450000000000003</v>
      </c>
      <c r="M2668" s="22">
        <v>0</v>
      </c>
      <c r="N2668" s="21">
        <v>44.450000000000003</v>
      </c>
      <c r="O2668" s="22">
        <v>0</v>
      </c>
    </row>
    <row r="2669" ht="38.25">
      <c r="A2669" t="s">
        <v>2030</v>
      </c>
      <c r="B2669" s="19">
        <v>53858</v>
      </c>
      <c r="C2669" s="20" t="s">
        <v>2723</v>
      </c>
      <c r="D2669" s="19" t="s">
        <v>2032</v>
      </c>
      <c r="E2669" s="21">
        <f t="shared" si="122"/>
        <v>51.869999999999997</v>
      </c>
      <c r="F2669" s="22">
        <v>1</v>
      </c>
      <c r="G2669" s="21">
        <f t="shared" si="123"/>
        <v>51.869999999999997</v>
      </c>
      <c r="H2669" s="22">
        <v>1</v>
      </c>
      <c r="I2669" s="23" t="str">
        <f t="shared" si="124"/>
        <v xml:space="preserve">COM VALOR</v>
      </c>
      <c r="J2669" s="19"/>
      <c r="L2669" s="21">
        <v>51.869999999999997</v>
      </c>
      <c r="M2669" s="22">
        <v>0</v>
      </c>
      <c r="N2669" s="21">
        <v>51.869999999999997</v>
      </c>
      <c r="O2669" s="22">
        <v>0</v>
      </c>
    </row>
    <row r="2670" ht="25.5">
      <c r="A2670" t="s">
        <v>2030</v>
      </c>
      <c r="B2670" s="19">
        <v>102888</v>
      </c>
      <c r="C2670" s="20" t="s">
        <v>2724</v>
      </c>
      <c r="D2670" s="19" t="s">
        <v>2032</v>
      </c>
      <c r="E2670" s="21" t="str">
        <f t="shared" si="122"/>
        <v>VERIFICAR</v>
      </c>
      <c r="F2670" s="22">
        <v>0</v>
      </c>
      <c r="G2670" s="21" t="str">
        <f t="shared" si="123"/>
        <v>VERIFICAR</v>
      </c>
      <c r="H2670" s="22">
        <v>0</v>
      </c>
      <c r="I2670" s="23" t="str">
        <f t="shared" si="124"/>
        <v xml:space="preserve">COM VALOR</v>
      </c>
      <c r="J2670" s="19"/>
      <c r="L2670" s="21">
        <v>0</v>
      </c>
      <c r="M2670" s="22"/>
      <c r="N2670" s="21">
        <v>0</v>
      </c>
      <c r="O2670" s="22"/>
    </row>
    <row r="2671" ht="25.5">
      <c r="A2671" t="s">
        <v>2030</v>
      </c>
      <c r="B2671" s="19">
        <v>102889</v>
      </c>
      <c r="C2671" s="20" t="s">
        <v>2725</v>
      </c>
      <c r="D2671" s="19" t="s">
        <v>2032</v>
      </c>
      <c r="E2671" s="21" t="str">
        <f t="shared" si="122"/>
        <v>VERIFICAR</v>
      </c>
      <c r="F2671" s="22">
        <v>1</v>
      </c>
      <c r="G2671" s="21" t="str">
        <f t="shared" si="123"/>
        <v>VERIFICAR</v>
      </c>
      <c r="H2671" s="22">
        <v>1</v>
      </c>
      <c r="I2671" s="23" t="str">
        <f t="shared" si="124"/>
        <v xml:space="preserve">COM VALOR</v>
      </c>
      <c r="J2671" s="19"/>
      <c r="L2671" s="21">
        <v>0</v>
      </c>
      <c r="M2671" s="22"/>
      <c r="N2671" s="21">
        <v>0</v>
      </c>
      <c r="O2671" s="22"/>
    </row>
    <row r="2672" ht="25.5">
      <c r="A2672" t="s">
        <v>2030</v>
      </c>
      <c r="B2672" s="19">
        <v>102890</v>
      </c>
      <c r="C2672" s="20" t="s">
        <v>2726</v>
      </c>
      <c r="D2672" s="19" t="s">
        <v>2032</v>
      </c>
      <c r="E2672" s="21" t="str">
        <f t="shared" si="122"/>
        <v>VERIFICAR</v>
      </c>
      <c r="F2672" s="22">
        <v>1</v>
      </c>
      <c r="G2672" s="21" t="str">
        <f t="shared" si="123"/>
        <v>VERIFICAR</v>
      </c>
      <c r="H2672" s="22">
        <v>1</v>
      </c>
      <c r="I2672" s="23" t="str">
        <f t="shared" si="124"/>
        <v xml:space="preserve">COM VALOR</v>
      </c>
      <c r="J2672" s="19"/>
      <c r="L2672" s="21">
        <v>0</v>
      </c>
      <c r="M2672" s="22"/>
      <c r="N2672" s="21">
        <v>0</v>
      </c>
      <c r="O2672" s="22"/>
    </row>
    <row r="2673" ht="25.5">
      <c r="A2673" t="s">
        <v>2030</v>
      </c>
      <c r="B2673" s="19">
        <v>102891</v>
      </c>
      <c r="C2673" s="20" t="s">
        <v>2727</v>
      </c>
      <c r="D2673" s="19" t="s">
        <v>2032</v>
      </c>
      <c r="E2673" s="21">
        <f t="shared" si="122"/>
        <v>1.4399999999999999</v>
      </c>
      <c r="F2673" s="22">
        <v>1</v>
      </c>
      <c r="G2673" s="21">
        <f t="shared" si="123"/>
        <v>1.4399999999999999</v>
      </c>
      <c r="H2673" s="22">
        <v>1</v>
      </c>
      <c r="I2673" s="23" t="str">
        <f t="shared" si="124"/>
        <v xml:space="preserve">COM VALOR</v>
      </c>
      <c r="J2673" s="19"/>
      <c r="L2673" s="21">
        <v>1.4399999999999999</v>
      </c>
      <c r="M2673" s="22">
        <v>0</v>
      </c>
      <c r="N2673" s="21">
        <v>1.4399999999999999</v>
      </c>
      <c r="O2673" s="22">
        <v>0</v>
      </c>
    </row>
    <row r="2674" ht="25.5">
      <c r="A2674" t="s">
        <v>2030</v>
      </c>
      <c r="B2674" s="19">
        <v>89246</v>
      </c>
      <c r="C2674" s="20" t="s">
        <v>2728</v>
      </c>
      <c r="D2674" s="19" t="s">
        <v>2032</v>
      </c>
      <c r="E2674" s="21">
        <f t="shared" si="122"/>
        <v>249.58000000000001</v>
      </c>
      <c r="F2674" s="22">
        <v>0</v>
      </c>
      <c r="G2674" s="21">
        <f t="shared" si="123"/>
        <v>249.58000000000001</v>
      </c>
      <c r="H2674" s="22">
        <v>0</v>
      </c>
      <c r="I2674" s="23" t="str">
        <f t="shared" si="124"/>
        <v xml:space="preserve">COM VALOR</v>
      </c>
      <c r="J2674" s="19"/>
      <c r="L2674" s="21">
        <v>249.58000000000001</v>
      </c>
      <c r="M2674" s="22">
        <v>1</v>
      </c>
      <c r="N2674" s="21">
        <v>249.58000000000001</v>
      </c>
      <c r="O2674" s="22">
        <v>1</v>
      </c>
    </row>
    <row r="2675" ht="25.5">
      <c r="A2675" t="s">
        <v>2030</v>
      </c>
      <c r="B2675" s="19">
        <v>89247</v>
      </c>
      <c r="C2675" s="20" t="s">
        <v>2729</v>
      </c>
      <c r="D2675" s="19" t="s">
        <v>2032</v>
      </c>
      <c r="E2675" s="21">
        <f t="shared" si="122"/>
        <v>76.420000000000002</v>
      </c>
      <c r="F2675" s="22"/>
      <c r="G2675" s="21">
        <f t="shared" si="123"/>
        <v>76.420000000000002</v>
      </c>
      <c r="H2675" s="22"/>
      <c r="I2675" s="23" t="str">
        <f t="shared" si="124"/>
        <v xml:space="preserve">COM VALOR</v>
      </c>
      <c r="J2675" s="19"/>
      <c r="L2675" s="21">
        <v>76.420000000000002</v>
      </c>
      <c r="M2675" s="22">
        <v>1</v>
      </c>
      <c r="N2675" s="21">
        <v>76.420000000000002</v>
      </c>
      <c r="O2675" s="22">
        <v>1</v>
      </c>
    </row>
    <row r="2676" ht="25.5">
      <c r="A2676" t="s">
        <v>2030</v>
      </c>
      <c r="B2676" s="19">
        <v>89248</v>
      </c>
      <c r="C2676" s="20" t="s">
        <v>2730</v>
      </c>
      <c r="D2676" s="19" t="s">
        <v>2032</v>
      </c>
      <c r="E2676" s="21">
        <f t="shared" si="122"/>
        <v>445.18000000000001</v>
      </c>
      <c r="F2676" s="22"/>
      <c r="G2676" s="21">
        <f t="shared" si="123"/>
        <v>445.18000000000001</v>
      </c>
      <c r="H2676" s="22"/>
      <c r="I2676" s="23" t="str">
        <f t="shared" si="124"/>
        <v xml:space="preserve">COM VALOR</v>
      </c>
      <c r="J2676" s="19"/>
      <c r="L2676" s="21">
        <v>445.18000000000001</v>
      </c>
      <c r="M2676" s="22">
        <v>1</v>
      </c>
      <c r="N2676" s="21">
        <v>445.18000000000001</v>
      </c>
      <c r="O2676" s="22">
        <v>1</v>
      </c>
    </row>
    <row r="2677" ht="25.5">
      <c r="A2677" t="s">
        <v>2030</v>
      </c>
      <c r="B2677" s="19">
        <v>89249</v>
      </c>
      <c r="C2677" s="20" t="s">
        <v>2731</v>
      </c>
      <c r="D2677" s="19" t="s">
        <v>2032</v>
      </c>
      <c r="E2677" s="21">
        <f t="shared" si="122"/>
        <v>427.49000000000001</v>
      </c>
      <c r="F2677" s="22"/>
      <c r="G2677" s="21">
        <f t="shared" si="123"/>
        <v>427.49000000000001</v>
      </c>
      <c r="H2677" s="22"/>
      <c r="I2677" s="23" t="str">
        <f t="shared" si="124"/>
        <v xml:space="preserve">COM VALOR</v>
      </c>
      <c r="J2677" s="19"/>
      <c r="L2677" s="21">
        <v>427.49000000000001</v>
      </c>
      <c r="M2677" s="22">
        <v>0</v>
      </c>
      <c r="N2677" s="21">
        <v>427.49000000000001</v>
      </c>
      <c r="O2677" s="22">
        <v>0</v>
      </c>
    </row>
    <row r="2678" ht="38.25">
      <c r="A2678" t="s">
        <v>2030</v>
      </c>
      <c r="B2678" s="19">
        <v>102954</v>
      </c>
      <c r="C2678" s="20" t="s">
        <v>2732</v>
      </c>
      <c r="D2678" s="19" t="s">
        <v>2032</v>
      </c>
      <c r="E2678" s="21" t="str">
        <f t="shared" si="122"/>
        <v>VERIFICAR</v>
      </c>
      <c r="F2678" s="22">
        <v>0</v>
      </c>
      <c r="G2678" s="21" t="str">
        <f t="shared" si="123"/>
        <v>VERIFICAR</v>
      </c>
      <c r="H2678" s="22">
        <v>0</v>
      </c>
      <c r="I2678" s="23" t="str">
        <f t="shared" si="124"/>
        <v xml:space="preserve">COM VALOR</v>
      </c>
      <c r="J2678" s="19"/>
      <c r="L2678" s="21">
        <v>0</v>
      </c>
      <c r="M2678" s="22"/>
      <c r="N2678" s="21">
        <v>0</v>
      </c>
      <c r="O2678" s="22"/>
    </row>
    <row r="2679" ht="38.25">
      <c r="A2679" t="s">
        <v>2030</v>
      </c>
      <c r="B2679" s="19">
        <v>104727</v>
      </c>
      <c r="C2679" s="20" t="s">
        <v>2733</v>
      </c>
      <c r="D2679" s="19" t="s">
        <v>2032</v>
      </c>
      <c r="E2679" s="21" t="str">
        <f t="shared" si="122"/>
        <v>VERIFICAR</v>
      </c>
      <c r="F2679" s="22">
        <v>1</v>
      </c>
      <c r="G2679" s="21" t="str">
        <f t="shared" si="123"/>
        <v>VERIFICAR</v>
      </c>
      <c r="H2679" s="22">
        <v>1</v>
      </c>
      <c r="I2679" s="23" t="str">
        <f t="shared" si="124"/>
        <v xml:space="preserve">COM VALOR</v>
      </c>
      <c r="J2679" s="19"/>
      <c r="L2679" s="21">
        <v>0</v>
      </c>
      <c r="M2679" s="22"/>
      <c r="N2679" s="21">
        <v>0</v>
      </c>
      <c r="O2679" s="22"/>
    </row>
    <row r="2680" ht="38.25">
      <c r="A2680" t="s">
        <v>2030</v>
      </c>
      <c r="B2680" s="19">
        <v>102956</v>
      </c>
      <c r="C2680" s="20" t="s">
        <v>2734</v>
      </c>
      <c r="D2680" s="19" t="s">
        <v>2032</v>
      </c>
      <c r="E2680" s="21" t="str">
        <f t="shared" si="122"/>
        <v>VERIFICAR</v>
      </c>
      <c r="F2680" s="22">
        <v>1</v>
      </c>
      <c r="G2680" s="21" t="str">
        <f t="shared" si="123"/>
        <v>VERIFICAR</v>
      </c>
      <c r="H2680" s="22">
        <v>1</v>
      </c>
      <c r="I2680" s="23" t="str">
        <f t="shared" si="124"/>
        <v xml:space="preserve">COM VALOR</v>
      </c>
      <c r="J2680" s="19"/>
      <c r="L2680" s="21">
        <v>0</v>
      </c>
      <c r="M2680" s="22"/>
      <c r="N2680" s="21">
        <v>0</v>
      </c>
      <c r="O2680" s="22"/>
    </row>
    <row r="2681" ht="51">
      <c r="A2681" t="s">
        <v>2030</v>
      </c>
      <c r="B2681" s="19">
        <v>102957</v>
      </c>
      <c r="C2681" s="20" t="s">
        <v>2735</v>
      </c>
      <c r="D2681" s="19" t="s">
        <v>2032</v>
      </c>
      <c r="E2681" s="21">
        <f t="shared" si="122"/>
        <v>44.609999999999999</v>
      </c>
      <c r="F2681" s="22">
        <v>1</v>
      </c>
      <c r="G2681" s="21">
        <f t="shared" si="123"/>
        <v>44.609999999999999</v>
      </c>
      <c r="H2681" s="22">
        <v>1</v>
      </c>
      <c r="I2681" s="23" t="str">
        <f t="shared" si="124"/>
        <v xml:space="preserve">COM VALOR</v>
      </c>
      <c r="J2681" s="19"/>
      <c r="L2681" s="21">
        <v>44.609999999999999</v>
      </c>
      <c r="M2681" s="22">
        <v>0</v>
      </c>
      <c r="N2681" s="21">
        <v>44.609999999999999</v>
      </c>
      <c r="O2681" s="22">
        <v>0</v>
      </c>
    </row>
    <row r="2682" ht="51">
      <c r="A2682" t="s">
        <v>2030</v>
      </c>
      <c r="B2682" s="19">
        <v>88859</v>
      </c>
      <c r="C2682" s="20" t="s">
        <v>2736</v>
      </c>
      <c r="D2682" s="19" t="s">
        <v>2032</v>
      </c>
      <c r="E2682" s="21">
        <f t="shared" si="122"/>
        <v>23.23</v>
      </c>
      <c r="F2682" s="22">
        <v>0</v>
      </c>
      <c r="G2682" s="21">
        <f t="shared" si="123"/>
        <v>23.23</v>
      </c>
      <c r="H2682" s="22">
        <v>0</v>
      </c>
      <c r="I2682" s="23" t="str">
        <f t="shared" si="124"/>
        <v xml:space="preserve">COM VALOR</v>
      </c>
      <c r="J2682" s="19"/>
      <c r="L2682" s="21">
        <v>23.23</v>
      </c>
      <c r="M2682" s="22">
        <v>0</v>
      </c>
      <c r="N2682" s="21">
        <v>23.23</v>
      </c>
      <c r="O2682" s="22">
        <v>0</v>
      </c>
    </row>
    <row r="2683" ht="51">
      <c r="A2683" t="s">
        <v>2030</v>
      </c>
      <c r="B2683" s="19">
        <v>88860</v>
      </c>
      <c r="C2683" s="20" t="s">
        <v>2737</v>
      </c>
      <c r="D2683" s="19" t="s">
        <v>2032</v>
      </c>
      <c r="E2683" s="21">
        <f t="shared" si="122"/>
        <v>6.1399999999999997</v>
      </c>
      <c r="F2683" s="22">
        <v>1</v>
      </c>
      <c r="G2683" s="21">
        <f t="shared" si="123"/>
        <v>6.1399999999999997</v>
      </c>
      <c r="H2683" s="22">
        <v>1</v>
      </c>
      <c r="I2683" s="23" t="str">
        <f t="shared" si="124"/>
        <v xml:space="preserve">COM VALOR</v>
      </c>
      <c r="J2683" s="19"/>
      <c r="L2683" s="21">
        <v>6.1399999999999997</v>
      </c>
      <c r="M2683" s="22">
        <v>0</v>
      </c>
      <c r="N2683" s="21">
        <v>6.1399999999999997</v>
      </c>
      <c r="O2683" s="22">
        <v>0</v>
      </c>
    </row>
    <row r="2684" ht="51">
      <c r="A2684" t="s">
        <v>2030</v>
      </c>
      <c r="B2684" s="19">
        <v>5667</v>
      </c>
      <c r="C2684" s="20" t="s">
        <v>2738</v>
      </c>
      <c r="D2684" s="19" t="s">
        <v>2032</v>
      </c>
      <c r="E2684" s="21">
        <f t="shared" si="122"/>
        <v>29.039999999999999</v>
      </c>
      <c r="F2684" s="22">
        <v>1</v>
      </c>
      <c r="G2684" s="21">
        <f t="shared" si="123"/>
        <v>29.039999999999999</v>
      </c>
      <c r="H2684" s="22">
        <v>1</v>
      </c>
      <c r="I2684" s="23" t="str">
        <f t="shared" si="124"/>
        <v xml:space="preserve">COM VALOR</v>
      </c>
      <c r="J2684" s="19"/>
      <c r="L2684" s="21">
        <v>29.039999999999999</v>
      </c>
      <c r="M2684" s="22">
        <v>0</v>
      </c>
      <c r="N2684" s="21">
        <v>29.039999999999999</v>
      </c>
      <c r="O2684" s="22">
        <v>0</v>
      </c>
    </row>
    <row r="2685" ht="51">
      <c r="A2685" t="s">
        <v>2030</v>
      </c>
      <c r="B2685" s="19">
        <v>5668</v>
      </c>
      <c r="C2685" s="20" t="s">
        <v>2739</v>
      </c>
      <c r="D2685" s="19" t="s">
        <v>2032</v>
      </c>
      <c r="E2685" s="21">
        <f t="shared" si="122"/>
        <v>52.009999999999998</v>
      </c>
      <c r="F2685" s="22">
        <v>1</v>
      </c>
      <c r="G2685" s="21">
        <f t="shared" si="123"/>
        <v>52.009999999999998</v>
      </c>
      <c r="H2685" s="22">
        <v>1</v>
      </c>
      <c r="I2685" s="23" t="str">
        <f t="shared" si="124"/>
        <v xml:space="preserve">COM VALOR</v>
      </c>
      <c r="J2685" s="19"/>
      <c r="L2685" s="21">
        <v>52.009999999999998</v>
      </c>
      <c r="M2685" s="22">
        <v>0</v>
      </c>
      <c r="N2685" s="21">
        <v>52.009999999999998</v>
      </c>
      <c r="O2685" s="22">
        <v>0</v>
      </c>
    </row>
    <row r="2686" ht="51">
      <c r="A2686" t="s">
        <v>2030</v>
      </c>
      <c r="B2686" s="19">
        <v>89011</v>
      </c>
      <c r="C2686" s="20" t="s">
        <v>2740</v>
      </c>
      <c r="D2686" s="19" t="s">
        <v>2032</v>
      </c>
      <c r="E2686" s="21">
        <f t="shared" si="122"/>
        <v>25.199999999999999</v>
      </c>
      <c r="F2686" s="22">
        <v>0</v>
      </c>
      <c r="G2686" s="21">
        <f t="shared" si="123"/>
        <v>25.199999999999999</v>
      </c>
      <c r="H2686" s="22">
        <v>0</v>
      </c>
      <c r="I2686" s="23" t="str">
        <f t="shared" si="124"/>
        <v xml:space="preserve">COM VALOR</v>
      </c>
      <c r="J2686" s="19"/>
      <c r="L2686" s="21">
        <v>25.199999999999999</v>
      </c>
      <c r="M2686" s="22">
        <v>0</v>
      </c>
      <c r="N2686" s="21">
        <v>25.199999999999999</v>
      </c>
      <c r="O2686" s="22">
        <v>0</v>
      </c>
    </row>
    <row r="2687" ht="51">
      <c r="A2687" t="s">
        <v>2030</v>
      </c>
      <c r="B2687" s="19">
        <v>89012</v>
      </c>
      <c r="C2687" s="20" t="s">
        <v>2741</v>
      </c>
      <c r="D2687" s="19" t="s">
        <v>2032</v>
      </c>
      <c r="E2687" s="21">
        <f t="shared" si="122"/>
        <v>6.6600000000000001</v>
      </c>
      <c r="F2687" s="22">
        <v>1</v>
      </c>
      <c r="G2687" s="21">
        <f t="shared" si="123"/>
        <v>6.6600000000000001</v>
      </c>
      <c r="H2687" s="22">
        <v>1</v>
      </c>
      <c r="I2687" s="23" t="str">
        <f t="shared" si="124"/>
        <v xml:space="preserve">COM VALOR</v>
      </c>
      <c r="J2687" s="19"/>
      <c r="L2687" s="21">
        <v>6.6600000000000001</v>
      </c>
      <c r="M2687" s="22">
        <v>0</v>
      </c>
      <c r="N2687" s="21">
        <v>6.6600000000000001</v>
      </c>
      <c r="O2687" s="22">
        <v>0</v>
      </c>
    </row>
    <row r="2688" ht="51">
      <c r="A2688" t="s">
        <v>2030</v>
      </c>
      <c r="B2688" s="19">
        <v>5735</v>
      </c>
      <c r="C2688" s="20" t="s">
        <v>2742</v>
      </c>
      <c r="D2688" s="19" t="s">
        <v>2032</v>
      </c>
      <c r="E2688" s="21">
        <f t="shared" si="122"/>
        <v>31.5</v>
      </c>
      <c r="F2688" s="22">
        <v>1</v>
      </c>
      <c r="G2688" s="21">
        <f t="shared" si="123"/>
        <v>31.5</v>
      </c>
      <c r="H2688" s="22">
        <v>1</v>
      </c>
      <c r="I2688" s="23" t="str">
        <f t="shared" si="124"/>
        <v xml:space="preserve">COM VALOR</v>
      </c>
      <c r="J2688" s="19"/>
      <c r="L2688" s="21">
        <v>31.5</v>
      </c>
      <c r="M2688" s="22">
        <v>0</v>
      </c>
      <c r="N2688" s="21">
        <v>31.5</v>
      </c>
      <c r="O2688" s="22">
        <v>0</v>
      </c>
    </row>
    <row r="2689" ht="51">
      <c r="A2689" t="s">
        <v>2030</v>
      </c>
      <c r="B2689" s="19">
        <v>5736</v>
      </c>
      <c r="C2689" s="20" t="s">
        <v>2743</v>
      </c>
      <c r="D2689" s="19" t="s">
        <v>2032</v>
      </c>
      <c r="E2689" s="21">
        <f t="shared" si="122"/>
        <v>47.390000000000001</v>
      </c>
      <c r="F2689" s="22">
        <v>1</v>
      </c>
      <c r="G2689" s="21">
        <f t="shared" si="123"/>
        <v>47.390000000000001</v>
      </c>
      <c r="H2689" s="22">
        <v>1</v>
      </c>
      <c r="I2689" s="23" t="str">
        <f t="shared" si="124"/>
        <v xml:space="preserve">COM VALOR</v>
      </c>
      <c r="J2689" s="19"/>
      <c r="L2689" s="21">
        <v>47.390000000000001</v>
      </c>
      <c r="M2689" s="22">
        <v>0</v>
      </c>
      <c r="N2689" s="21">
        <v>47.390000000000001</v>
      </c>
      <c r="O2689" s="22">
        <v>0</v>
      </c>
    </row>
    <row r="2690" ht="51">
      <c r="A2690" t="s">
        <v>2030</v>
      </c>
      <c r="B2690" s="19">
        <v>88857</v>
      </c>
      <c r="C2690" s="20" t="s">
        <v>2744</v>
      </c>
      <c r="D2690" s="19" t="s">
        <v>2032</v>
      </c>
      <c r="E2690" s="21">
        <f t="shared" si="122"/>
        <v>26.120000000000001</v>
      </c>
      <c r="F2690" s="22">
        <v>0</v>
      </c>
      <c r="G2690" s="21">
        <f t="shared" si="123"/>
        <v>26.120000000000001</v>
      </c>
      <c r="H2690" s="22">
        <v>0</v>
      </c>
      <c r="I2690" s="23" t="str">
        <f t="shared" si="124"/>
        <v xml:space="preserve">COM VALOR</v>
      </c>
      <c r="J2690" s="19"/>
      <c r="L2690" s="21">
        <v>26.120000000000001</v>
      </c>
      <c r="M2690" s="22">
        <v>0</v>
      </c>
      <c r="N2690" s="21">
        <v>26.120000000000001</v>
      </c>
      <c r="O2690" s="22">
        <v>0</v>
      </c>
    </row>
    <row r="2691" ht="51">
      <c r="A2691" t="s">
        <v>2030</v>
      </c>
      <c r="B2691" s="19">
        <v>88858</v>
      </c>
      <c r="C2691" s="20" t="s">
        <v>2745</v>
      </c>
      <c r="D2691" s="19" t="s">
        <v>2032</v>
      </c>
      <c r="E2691" s="21">
        <f t="shared" si="122"/>
        <v>6.9000000000000004</v>
      </c>
      <c r="F2691" s="22">
        <v>1</v>
      </c>
      <c r="G2691" s="21">
        <f t="shared" si="123"/>
        <v>6.9000000000000004</v>
      </c>
      <c r="H2691" s="22">
        <v>1</v>
      </c>
      <c r="I2691" s="23" t="str">
        <f t="shared" si="124"/>
        <v xml:space="preserve">COM VALOR</v>
      </c>
      <c r="J2691" s="19"/>
      <c r="L2691" s="21">
        <v>6.9000000000000004</v>
      </c>
      <c r="M2691" s="22">
        <v>0</v>
      </c>
      <c r="N2691" s="21">
        <v>6.9000000000000004</v>
      </c>
      <c r="O2691" s="22">
        <v>0</v>
      </c>
    </row>
    <row r="2692" ht="51">
      <c r="A2692" t="s">
        <v>2030</v>
      </c>
      <c r="B2692" s="19">
        <v>5664</v>
      </c>
      <c r="C2692" s="20" t="s">
        <v>2746</v>
      </c>
      <c r="D2692" s="19" t="s">
        <v>2032</v>
      </c>
      <c r="E2692" s="21">
        <f t="shared" si="122"/>
        <v>32.649999999999999</v>
      </c>
      <c r="F2692" s="22">
        <v>1</v>
      </c>
      <c r="G2692" s="21">
        <f t="shared" si="123"/>
        <v>32.649999999999999</v>
      </c>
      <c r="H2692" s="22">
        <v>1</v>
      </c>
      <c r="I2692" s="23" t="str">
        <f t="shared" si="124"/>
        <v xml:space="preserve">COM VALOR</v>
      </c>
      <c r="J2692" s="19"/>
      <c r="L2692" s="21">
        <v>32.649999999999999</v>
      </c>
      <c r="M2692" s="22">
        <v>0</v>
      </c>
      <c r="N2692" s="21">
        <v>32.649999999999999</v>
      </c>
      <c r="O2692" s="22">
        <v>0</v>
      </c>
    </row>
    <row r="2693" ht="51">
      <c r="A2693" t="s">
        <v>2030</v>
      </c>
      <c r="B2693" s="19">
        <v>53786</v>
      </c>
      <c r="C2693" s="20" t="s">
        <v>2747</v>
      </c>
      <c r="D2693" s="19" t="s">
        <v>2032</v>
      </c>
      <c r="E2693" s="21">
        <f t="shared" si="122"/>
        <v>57.909999999999997</v>
      </c>
      <c r="F2693" s="22">
        <v>1</v>
      </c>
      <c r="G2693" s="21">
        <f t="shared" si="123"/>
        <v>57.909999999999997</v>
      </c>
      <c r="H2693" s="22">
        <v>1</v>
      </c>
      <c r="I2693" s="23" t="str">
        <f t="shared" si="124"/>
        <v xml:space="preserve">COM VALOR</v>
      </c>
      <c r="J2693" s="19"/>
      <c r="L2693" s="21">
        <v>57.909999999999997</v>
      </c>
      <c r="M2693" s="22">
        <v>0</v>
      </c>
      <c r="N2693" s="21">
        <v>57.909999999999997</v>
      </c>
      <c r="O2693" s="22">
        <v>0</v>
      </c>
    </row>
    <row r="2694" ht="38.25">
      <c r="A2694" t="s">
        <v>2030</v>
      </c>
      <c r="B2694" s="19">
        <v>7038</v>
      </c>
      <c r="C2694" s="20" t="s">
        <v>2748</v>
      </c>
      <c r="D2694" s="19" t="s">
        <v>2032</v>
      </c>
      <c r="E2694" s="21">
        <f t="shared" si="122"/>
        <v>44.130000000000003</v>
      </c>
      <c r="F2694" s="22">
        <v>0</v>
      </c>
      <c r="G2694" s="21">
        <f t="shared" si="123"/>
        <v>44.130000000000003</v>
      </c>
      <c r="H2694" s="22">
        <v>0</v>
      </c>
      <c r="I2694" s="23" t="str">
        <f t="shared" si="124"/>
        <v xml:space="preserve">COM VALOR</v>
      </c>
      <c r="J2694" s="19"/>
      <c r="L2694" s="21">
        <v>44.130000000000003</v>
      </c>
      <c r="M2694" s="22">
        <v>1</v>
      </c>
      <c r="N2694" s="21">
        <v>44.130000000000003</v>
      </c>
      <c r="O2694" s="22">
        <v>1</v>
      </c>
    </row>
    <row r="2695" ht="38.25">
      <c r="A2695" t="s">
        <v>2030</v>
      </c>
      <c r="B2695" s="19">
        <v>7039</v>
      </c>
      <c r="C2695" s="20" t="s">
        <v>2749</v>
      </c>
      <c r="D2695" s="19" t="s">
        <v>2032</v>
      </c>
      <c r="E2695" s="21">
        <f t="shared" si="122"/>
        <v>11.84</v>
      </c>
      <c r="F2695" s="22">
        <v>1</v>
      </c>
      <c r="G2695" s="21">
        <f t="shared" si="123"/>
        <v>11.84</v>
      </c>
      <c r="H2695" s="22">
        <v>1</v>
      </c>
      <c r="I2695" s="23" t="str">
        <f t="shared" si="124"/>
        <v xml:space="preserve">COM VALOR</v>
      </c>
      <c r="J2695" s="19"/>
      <c r="L2695" s="21">
        <v>11.84</v>
      </c>
      <c r="M2695" s="22">
        <v>1</v>
      </c>
      <c r="N2695" s="21">
        <v>11.84</v>
      </c>
      <c r="O2695" s="22">
        <v>1</v>
      </c>
    </row>
    <row r="2696" ht="38.25">
      <c r="A2696" t="s">
        <v>2030</v>
      </c>
      <c r="B2696" s="19">
        <v>7040</v>
      </c>
      <c r="C2696" s="20" t="s">
        <v>2750</v>
      </c>
      <c r="D2696" s="19" t="s">
        <v>2032</v>
      </c>
      <c r="E2696" s="21">
        <f t="shared" si="122"/>
        <v>55.219999999999999</v>
      </c>
      <c r="F2696" s="22">
        <v>1</v>
      </c>
      <c r="G2696" s="21">
        <f t="shared" si="123"/>
        <v>55.219999999999999</v>
      </c>
      <c r="H2696" s="22">
        <v>1</v>
      </c>
      <c r="I2696" s="23" t="str">
        <f t="shared" si="124"/>
        <v xml:space="preserve">COM VALOR</v>
      </c>
      <c r="J2696" s="19"/>
      <c r="L2696" s="21">
        <v>55.219999999999999</v>
      </c>
      <c r="M2696" s="22">
        <v>1</v>
      </c>
      <c r="N2696" s="21">
        <v>55.219999999999999</v>
      </c>
      <c r="O2696" s="22">
        <v>1</v>
      </c>
    </row>
    <row r="2697" ht="38.25">
      <c r="A2697" t="s">
        <v>2030</v>
      </c>
      <c r="B2697" s="19">
        <v>55263</v>
      </c>
      <c r="C2697" s="20" t="s">
        <v>2751</v>
      </c>
      <c r="D2697" s="19" t="s">
        <v>2032</v>
      </c>
      <c r="E2697" s="21">
        <f t="shared" si="122"/>
        <v>73.120000000000005</v>
      </c>
      <c r="F2697" s="22">
        <v>1</v>
      </c>
      <c r="G2697" s="21">
        <f t="shared" si="123"/>
        <v>73.120000000000005</v>
      </c>
      <c r="H2697" s="22">
        <v>1</v>
      </c>
      <c r="I2697" s="23" t="str">
        <f t="shared" si="124"/>
        <v xml:space="preserve">COM VALOR</v>
      </c>
      <c r="J2697" s="19"/>
      <c r="L2697" s="21">
        <v>73.120000000000005</v>
      </c>
      <c r="M2697" s="22">
        <v>0</v>
      </c>
      <c r="N2697" s="21">
        <v>73.120000000000005</v>
      </c>
      <c r="O2697" s="22">
        <v>0</v>
      </c>
    </row>
    <row r="2698" ht="38.25">
      <c r="A2698" t="s">
        <v>2030</v>
      </c>
      <c r="B2698" s="19">
        <v>96460</v>
      </c>
      <c r="C2698" s="20" t="s">
        <v>2752</v>
      </c>
      <c r="D2698" s="19" t="s">
        <v>2032</v>
      </c>
      <c r="E2698" s="21">
        <f t="shared" si="122"/>
        <v>46.840000000000003</v>
      </c>
      <c r="F2698" s="22">
        <v>0</v>
      </c>
      <c r="G2698" s="21">
        <f t="shared" si="123"/>
        <v>46.840000000000003</v>
      </c>
      <c r="H2698" s="22">
        <v>0</v>
      </c>
      <c r="I2698" s="23" t="str">
        <f t="shared" si="124"/>
        <v xml:space="preserve">COM VALOR</v>
      </c>
      <c r="J2698" s="19"/>
      <c r="L2698" s="21">
        <v>46.840000000000003</v>
      </c>
      <c r="M2698" s="22">
        <v>1</v>
      </c>
      <c r="N2698" s="21">
        <v>46.840000000000003</v>
      </c>
      <c r="O2698" s="22">
        <v>1</v>
      </c>
    </row>
    <row r="2699" ht="38.25">
      <c r="A2699" t="s">
        <v>2030</v>
      </c>
      <c r="B2699" s="19">
        <v>96459</v>
      </c>
      <c r="C2699" s="20" t="s">
        <v>2753</v>
      </c>
      <c r="D2699" s="19" t="s">
        <v>2032</v>
      </c>
      <c r="E2699" s="21">
        <f t="shared" ref="E2699:E2762" si="125">IF(L2699=0,"VERIFICAR",L2699)</f>
        <v>12.56</v>
      </c>
      <c r="F2699" s="22">
        <v>1</v>
      </c>
      <c r="G2699" s="21">
        <f t="shared" ref="G2699:G2762" si="126">IF(N2699=0,"VERIFICAR",N2699)</f>
        <v>12.56</v>
      </c>
      <c r="H2699" s="22">
        <v>1</v>
      </c>
      <c r="I2699" s="23" t="str">
        <f t="shared" ref="I2699:I2762" si="127">IF(OR(E2699=0,G2699=0),"SEM VALOR","COM VALOR")</f>
        <v xml:space="preserve">COM VALOR</v>
      </c>
      <c r="J2699" s="19"/>
      <c r="L2699" s="21">
        <v>12.56</v>
      </c>
      <c r="M2699" s="22">
        <v>1</v>
      </c>
      <c r="N2699" s="21">
        <v>12.56</v>
      </c>
      <c r="O2699" s="22">
        <v>1</v>
      </c>
    </row>
    <row r="2700" ht="38.25">
      <c r="A2700" t="s">
        <v>2030</v>
      </c>
      <c r="B2700" s="19">
        <v>96458</v>
      </c>
      <c r="C2700" s="20" t="s">
        <v>2754</v>
      </c>
      <c r="D2700" s="19" t="s">
        <v>2032</v>
      </c>
      <c r="E2700" s="21">
        <f t="shared" si="125"/>
        <v>58.619999999999997</v>
      </c>
      <c r="F2700" s="22">
        <v>1</v>
      </c>
      <c r="G2700" s="21">
        <f t="shared" si="126"/>
        <v>58.619999999999997</v>
      </c>
      <c r="H2700" s="22">
        <v>1</v>
      </c>
      <c r="I2700" s="23" t="str">
        <f t="shared" si="127"/>
        <v xml:space="preserve">COM VALOR</v>
      </c>
      <c r="J2700" s="19"/>
      <c r="L2700" s="21">
        <v>58.619999999999997</v>
      </c>
      <c r="M2700" s="22">
        <v>1</v>
      </c>
      <c r="N2700" s="21">
        <v>58.619999999999997</v>
      </c>
      <c r="O2700" s="22">
        <v>1</v>
      </c>
    </row>
    <row r="2701" ht="38.25">
      <c r="A2701" t="s">
        <v>2030</v>
      </c>
      <c r="B2701" s="19">
        <v>96457</v>
      </c>
      <c r="C2701" s="20" t="s">
        <v>2755</v>
      </c>
      <c r="D2701" s="19" t="s">
        <v>2032</v>
      </c>
      <c r="E2701" s="21">
        <f t="shared" si="125"/>
        <v>72.439999999999998</v>
      </c>
      <c r="F2701" s="22">
        <v>1</v>
      </c>
      <c r="G2701" s="21">
        <f t="shared" si="126"/>
        <v>72.439999999999998</v>
      </c>
      <c r="H2701" s="22">
        <v>1</v>
      </c>
      <c r="I2701" s="23" t="str">
        <f t="shared" si="127"/>
        <v xml:space="preserve">COM VALOR</v>
      </c>
      <c r="J2701" s="19"/>
      <c r="L2701" s="21">
        <v>72.439999999999998</v>
      </c>
      <c r="M2701" s="22">
        <v>0</v>
      </c>
      <c r="N2701" s="21">
        <v>72.439999999999998</v>
      </c>
      <c r="O2701" s="22">
        <v>0</v>
      </c>
    </row>
    <row r="2702" ht="51">
      <c r="A2702" t="s">
        <v>2030</v>
      </c>
      <c r="B2702" s="19">
        <v>7051</v>
      </c>
      <c r="C2702" s="20" t="s">
        <v>2756</v>
      </c>
      <c r="D2702" s="19" t="s">
        <v>2032</v>
      </c>
      <c r="E2702" s="21">
        <f t="shared" si="125"/>
        <v>39.140000000000001</v>
      </c>
      <c r="F2702" s="22">
        <v>0</v>
      </c>
      <c r="G2702" s="21">
        <f t="shared" si="126"/>
        <v>39.140000000000001</v>
      </c>
      <c r="H2702" s="22">
        <v>0</v>
      </c>
      <c r="I2702" s="23" t="str">
        <f t="shared" si="127"/>
        <v xml:space="preserve">COM VALOR</v>
      </c>
      <c r="J2702" s="19"/>
      <c r="L2702" s="21">
        <v>39.140000000000001</v>
      </c>
      <c r="M2702" s="22">
        <v>1</v>
      </c>
      <c r="N2702" s="21">
        <v>39.140000000000001</v>
      </c>
      <c r="O2702" s="22">
        <v>1</v>
      </c>
    </row>
    <row r="2703" ht="51">
      <c r="A2703" t="s">
        <v>2030</v>
      </c>
      <c r="B2703" s="19">
        <v>7052</v>
      </c>
      <c r="C2703" s="20" t="s">
        <v>2757</v>
      </c>
      <c r="D2703" s="19" t="s">
        <v>2032</v>
      </c>
      <c r="E2703" s="21">
        <f t="shared" si="125"/>
        <v>10.57</v>
      </c>
      <c r="F2703" s="22">
        <v>1</v>
      </c>
      <c r="G2703" s="21">
        <f t="shared" si="126"/>
        <v>10.57</v>
      </c>
      <c r="H2703" s="22">
        <v>1</v>
      </c>
      <c r="I2703" s="23" t="str">
        <f t="shared" si="127"/>
        <v xml:space="preserve">COM VALOR</v>
      </c>
      <c r="J2703" s="19"/>
      <c r="L2703" s="21">
        <v>10.57</v>
      </c>
      <c r="M2703" s="22">
        <v>1</v>
      </c>
      <c r="N2703" s="21">
        <v>10.57</v>
      </c>
      <c r="O2703" s="22">
        <v>1</v>
      </c>
    </row>
    <row r="2704" ht="51">
      <c r="A2704" t="s">
        <v>2030</v>
      </c>
      <c r="B2704" s="19">
        <v>7053</v>
      </c>
      <c r="C2704" s="20" t="s">
        <v>2758</v>
      </c>
      <c r="D2704" s="19" t="s">
        <v>2032</v>
      </c>
      <c r="E2704" s="21">
        <f t="shared" si="125"/>
        <v>48.979999999999997</v>
      </c>
      <c r="F2704" s="22">
        <v>1</v>
      </c>
      <c r="G2704" s="21">
        <f t="shared" si="126"/>
        <v>48.979999999999997</v>
      </c>
      <c r="H2704" s="22">
        <v>1</v>
      </c>
      <c r="I2704" s="23" t="str">
        <f t="shared" si="127"/>
        <v xml:space="preserve">COM VALOR</v>
      </c>
      <c r="J2704" s="19"/>
      <c r="L2704" s="21">
        <v>48.979999999999997</v>
      </c>
      <c r="M2704" s="22">
        <v>1</v>
      </c>
      <c r="N2704" s="21">
        <v>48.979999999999997</v>
      </c>
      <c r="O2704" s="22">
        <v>1</v>
      </c>
    </row>
    <row r="2705" ht="51">
      <c r="A2705" t="s">
        <v>2030</v>
      </c>
      <c r="B2705" s="19">
        <v>7054</v>
      </c>
      <c r="C2705" s="20" t="s">
        <v>2759</v>
      </c>
      <c r="D2705" s="19" t="s">
        <v>2032</v>
      </c>
      <c r="E2705" s="21">
        <f t="shared" si="125"/>
        <v>101.3</v>
      </c>
      <c r="F2705" s="22">
        <v>1</v>
      </c>
      <c r="G2705" s="21">
        <f t="shared" si="126"/>
        <v>101.3</v>
      </c>
      <c r="H2705" s="22">
        <v>1</v>
      </c>
      <c r="I2705" s="23" t="str">
        <f t="shared" si="127"/>
        <v xml:space="preserve">COM VALOR</v>
      </c>
      <c r="J2705" s="19"/>
      <c r="L2705" s="21">
        <v>101.3</v>
      </c>
      <c r="M2705" s="22">
        <v>0</v>
      </c>
      <c r="N2705" s="21">
        <v>101.3</v>
      </c>
      <c r="O2705" s="22">
        <v>0</v>
      </c>
    </row>
    <row r="2706" ht="38.25">
      <c r="A2706" t="s">
        <v>2030</v>
      </c>
      <c r="B2706" s="19">
        <v>95627</v>
      </c>
      <c r="C2706" s="20" t="s">
        <v>2760</v>
      </c>
      <c r="D2706" s="19" t="s">
        <v>2032</v>
      </c>
      <c r="E2706" s="21">
        <f t="shared" si="125"/>
        <v>42.240000000000002</v>
      </c>
      <c r="F2706" s="22">
        <v>0</v>
      </c>
      <c r="G2706" s="21">
        <f t="shared" si="126"/>
        <v>42.240000000000002</v>
      </c>
      <c r="H2706" s="22">
        <v>0</v>
      </c>
      <c r="I2706" s="23" t="str">
        <f t="shared" si="127"/>
        <v xml:space="preserve">COM VALOR</v>
      </c>
      <c r="J2706" s="19"/>
      <c r="L2706" s="21">
        <v>42.240000000000002</v>
      </c>
      <c r="M2706" s="22">
        <v>1</v>
      </c>
      <c r="N2706" s="21">
        <v>42.240000000000002</v>
      </c>
      <c r="O2706" s="22">
        <v>1</v>
      </c>
    </row>
    <row r="2707" ht="38.25">
      <c r="A2707" t="s">
        <v>2030</v>
      </c>
      <c r="B2707" s="19">
        <v>95628</v>
      </c>
      <c r="C2707" s="20" t="s">
        <v>2761</v>
      </c>
      <c r="D2707" s="19" t="s">
        <v>2032</v>
      </c>
      <c r="E2707" s="21">
        <f t="shared" si="125"/>
        <v>11.33</v>
      </c>
      <c r="F2707" s="22"/>
      <c r="G2707" s="21">
        <f t="shared" si="126"/>
        <v>11.33</v>
      </c>
      <c r="H2707" s="22"/>
      <c r="I2707" s="23" t="str">
        <f t="shared" si="127"/>
        <v xml:space="preserve">COM VALOR</v>
      </c>
      <c r="J2707" s="19"/>
      <c r="L2707" s="21">
        <v>11.33</v>
      </c>
      <c r="M2707" s="22">
        <v>1</v>
      </c>
      <c r="N2707" s="21">
        <v>11.33</v>
      </c>
      <c r="O2707" s="22">
        <v>1</v>
      </c>
    </row>
    <row r="2708" ht="38.25">
      <c r="A2708" t="s">
        <v>2030</v>
      </c>
      <c r="B2708" s="19">
        <v>95629</v>
      </c>
      <c r="C2708" s="20" t="s">
        <v>2762</v>
      </c>
      <c r="D2708" s="19" t="s">
        <v>2032</v>
      </c>
      <c r="E2708" s="21">
        <f t="shared" si="125"/>
        <v>52.859999999999999</v>
      </c>
      <c r="F2708" s="22"/>
      <c r="G2708" s="21">
        <f t="shared" si="126"/>
        <v>52.859999999999999</v>
      </c>
      <c r="H2708" s="22"/>
      <c r="I2708" s="23" t="str">
        <f t="shared" si="127"/>
        <v xml:space="preserve">COM VALOR</v>
      </c>
      <c r="J2708" s="19"/>
      <c r="L2708" s="21">
        <v>52.859999999999999</v>
      </c>
      <c r="M2708" s="22">
        <v>1</v>
      </c>
      <c r="N2708" s="21">
        <v>52.859999999999999</v>
      </c>
      <c r="O2708" s="22">
        <v>1</v>
      </c>
    </row>
    <row r="2709" ht="38.25">
      <c r="A2709" t="s">
        <v>2030</v>
      </c>
      <c r="B2709" s="19">
        <v>95630</v>
      </c>
      <c r="C2709" s="20" t="s">
        <v>2763</v>
      </c>
      <c r="D2709" s="19" t="s">
        <v>2032</v>
      </c>
      <c r="E2709" s="21">
        <f t="shared" si="125"/>
        <v>101.3</v>
      </c>
      <c r="F2709" s="22"/>
      <c r="G2709" s="21">
        <f t="shared" si="126"/>
        <v>101.3</v>
      </c>
      <c r="H2709" s="22"/>
      <c r="I2709" s="23" t="str">
        <f t="shared" si="127"/>
        <v xml:space="preserve">COM VALOR</v>
      </c>
      <c r="J2709" s="19"/>
      <c r="L2709" s="21">
        <v>101.3</v>
      </c>
      <c r="M2709" s="22">
        <v>0</v>
      </c>
      <c r="N2709" s="21">
        <v>101.3</v>
      </c>
      <c r="O2709" s="22">
        <v>0</v>
      </c>
    </row>
    <row r="2710" ht="38.25">
      <c r="A2710" t="s">
        <v>2030</v>
      </c>
      <c r="B2710" s="19">
        <v>89210</v>
      </c>
      <c r="C2710" s="20" t="s">
        <v>2764</v>
      </c>
      <c r="D2710" s="19" t="s">
        <v>2032</v>
      </c>
      <c r="E2710" s="21">
        <f t="shared" si="125"/>
        <v>28.23</v>
      </c>
      <c r="F2710" s="22">
        <v>0</v>
      </c>
      <c r="G2710" s="21">
        <f t="shared" si="126"/>
        <v>28.23</v>
      </c>
      <c r="H2710" s="22">
        <v>0</v>
      </c>
      <c r="I2710" s="23" t="str">
        <f t="shared" si="127"/>
        <v xml:space="preserve">COM VALOR</v>
      </c>
      <c r="J2710" s="19"/>
      <c r="L2710" s="21">
        <v>28.23</v>
      </c>
      <c r="M2710" s="22">
        <v>1</v>
      </c>
      <c r="N2710" s="21">
        <v>28.23</v>
      </c>
      <c r="O2710" s="22">
        <v>1</v>
      </c>
    </row>
    <row r="2711" ht="38.25">
      <c r="A2711" t="s">
        <v>2030</v>
      </c>
      <c r="B2711" s="19">
        <v>89211</v>
      </c>
      <c r="C2711" s="20" t="s">
        <v>2765</v>
      </c>
      <c r="D2711" s="19" t="s">
        <v>2032</v>
      </c>
      <c r="E2711" s="21">
        <f t="shared" si="125"/>
        <v>7.5700000000000003</v>
      </c>
      <c r="F2711" s="22">
        <v>1</v>
      </c>
      <c r="G2711" s="21">
        <f t="shared" si="126"/>
        <v>7.5700000000000003</v>
      </c>
      <c r="H2711" s="22">
        <v>1</v>
      </c>
      <c r="I2711" s="23" t="str">
        <f t="shared" si="127"/>
        <v xml:space="preserve">COM VALOR</v>
      </c>
      <c r="J2711" s="19"/>
      <c r="L2711" s="21">
        <v>7.5700000000000003</v>
      </c>
      <c r="M2711" s="22">
        <v>1</v>
      </c>
      <c r="N2711" s="21">
        <v>7.5700000000000003</v>
      </c>
      <c r="O2711" s="22">
        <v>1</v>
      </c>
    </row>
    <row r="2712" ht="38.25">
      <c r="A2712" t="s">
        <v>2030</v>
      </c>
      <c r="B2712" s="19">
        <v>5674</v>
      </c>
      <c r="C2712" s="20" t="s">
        <v>2766</v>
      </c>
      <c r="D2712" s="19" t="s">
        <v>2032</v>
      </c>
      <c r="E2712" s="21">
        <f t="shared" si="125"/>
        <v>35.329999999999998</v>
      </c>
      <c r="F2712" s="22">
        <v>1</v>
      </c>
      <c r="G2712" s="21">
        <f t="shared" si="126"/>
        <v>35.329999999999998</v>
      </c>
      <c r="H2712" s="22">
        <v>1</v>
      </c>
      <c r="I2712" s="23" t="str">
        <f t="shared" si="127"/>
        <v xml:space="preserve">COM VALOR</v>
      </c>
      <c r="J2712" s="19"/>
      <c r="L2712" s="21">
        <v>35.329999999999998</v>
      </c>
      <c r="M2712" s="22">
        <v>1</v>
      </c>
      <c r="N2712" s="21">
        <v>35.329999999999998</v>
      </c>
      <c r="O2712" s="22">
        <v>1</v>
      </c>
    </row>
    <row r="2713" ht="51">
      <c r="A2713" t="s">
        <v>2030</v>
      </c>
      <c r="B2713" s="19">
        <v>53788</v>
      </c>
      <c r="C2713" s="20" t="s">
        <v>2767</v>
      </c>
      <c r="D2713" s="19" t="s">
        <v>2032</v>
      </c>
      <c r="E2713" s="21">
        <f t="shared" si="125"/>
        <v>64.840000000000003</v>
      </c>
      <c r="F2713" s="22">
        <v>1</v>
      </c>
      <c r="G2713" s="21">
        <f t="shared" si="126"/>
        <v>64.840000000000003</v>
      </c>
      <c r="H2713" s="22">
        <v>1</v>
      </c>
      <c r="I2713" s="23" t="str">
        <f t="shared" si="127"/>
        <v xml:space="preserve">COM VALOR</v>
      </c>
      <c r="J2713" s="19"/>
      <c r="L2713" s="21">
        <v>64.840000000000003</v>
      </c>
      <c r="M2713" s="22">
        <v>0</v>
      </c>
      <c r="N2713" s="21">
        <v>64.840000000000003</v>
      </c>
      <c r="O2713" s="22">
        <v>0</v>
      </c>
    </row>
    <row r="2714" ht="38.25">
      <c r="A2714" t="s">
        <v>2030</v>
      </c>
      <c r="B2714" s="19">
        <v>73309</v>
      </c>
      <c r="C2714" s="20" t="s">
        <v>2768</v>
      </c>
      <c r="D2714" s="19" t="s">
        <v>2032</v>
      </c>
      <c r="E2714" s="21">
        <f t="shared" si="125"/>
        <v>29.350000000000001</v>
      </c>
      <c r="F2714" s="22">
        <v>1</v>
      </c>
      <c r="G2714" s="21">
        <f t="shared" si="126"/>
        <v>29.350000000000001</v>
      </c>
      <c r="H2714" s="22">
        <v>1</v>
      </c>
      <c r="I2714" s="23" t="str">
        <f t="shared" si="127"/>
        <v xml:space="preserve">COM VALOR</v>
      </c>
      <c r="J2714" s="19"/>
      <c r="L2714" s="21">
        <v>29.350000000000001</v>
      </c>
      <c r="M2714" s="22">
        <v>1</v>
      </c>
      <c r="N2714" s="21">
        <v>29.350000000000001</v>
      </c>
      <c r="O2714" s="22">
        <v>1</v>
      </c>
    </row>
    <row r="2715" ht="38.25">
      <c r="A2715" t="s">
        <v>2030</v>
      </c>
      <c r="B2715" s="19">
        <v>73313</v>
      </c>
      <c r="C2715" s="20" t="s">
        <v>2769</v>
      </c>
      <c r="D2715" s="19" t="s">
        <v>2032</v>
      </c>
      <c r="E2715" s="21">
        <f t="shared" si="125"/>
        <v>7.9299999999999997</v>
      </c>
      <c r="F2715" s="22">
        <v>1</v>
      </c>
      <c r="G2715" s="21">
        <f t="shared" si="126"/>
        <v>7.9299999999999997</v>
      </c>
      <c r="H2715" s="22">
        <v>1</v>
      </c>
      <c r="I2715" s="23" t="str">
        <f t="shared" si="127"/>
        <v xml:space="preserve">COM VALOR</v>
      </c>
      <c r="J2715" s="19"/>
      <c r="L2715" s="21">
        <v>7.9299999999999997</v>
      </c>
      <c r="M2715" s="22">
        <v>1</v>
      </c>
      <c r="N2715" s="21">
        <v>7.9299999999999997</v>
      </c>
      <c r="O2715" s="22">
        <v>1</v>
      </c>
    </row>
    <row r="2716" ht="38.25">
      <c r="A2716" t="s">
        <v>2030</v>
      </c>
      <c r="B2716" s="19">
        <v>5089</v>
      </c>
      <c r="C2716" s="20" t="s">
        <v>2770</v>
      </c>
      <c r="D2716" s="19" t="s">
        <v>2032</v>
      </c>
      <c r="E2716" s="21">
        <f t="shared" si="125"/>
        <v>36.740000000000002</v>
      </c>
      <c r="F2716" s="22">
        <v>1</v>
      </c>
      <c r="G2716" s="21">
        <f t="shared" si="126"/>
        <v>36.740000000000002</v>
      </c>
      <c r="H2716" s="22">
        <v>1</v>
      </c>
      <c r="I2716" s="23" t="str">
        <f t="shared" si="127"/>
        <v xml:space="preserve">COM VALOR</v>
      </c>
      <c r="J2716" s="19"/>
      <c r="L2716" s="21">
        <v>36.740000000000002</v>
      </c>
      <c r="M2716" s="22">
        <v>1</v>
      </c>
      <c r="N2716" s="21">
        <v>36.740000000000002</v>
      </c>
      <c r="O2716" s="22">
        <v>1</v>
      </c>
    </row>
    <row r="2717" ht="38.25">
      <c r="A2717" t="s">
        <v>2030</v>
      </c>
      <c r="B2717" s="19">
        <v>73315</v>
      </c>
      <c r="C2717" s="20" t="s">
        <v>2771</v>
      </c>
      <c r="D2717" s="19" t="s">
        <v>2032</v>
      </c>
      <c r="E2717" s="21">
        <f t="shared" si="125"/>
        <v>64.840000000000003</v>
      </c>
      <c r="F2717" s="22">
        <v>0</v>
      </c>
      <c r="G2717" s="21">
        <f t="shared" si="126"/>
        <v>64.840000000000003</v>
      </c>
      <c r="H2717" s="22">
        <v>0</v>
      </c>
      <c r="I2717" s="23" t="str">
        <f t="shared" si="127"/>
        <v xml:space="preserve">COM VALOR</v>
      </c>
      <c r="J2717" s="19"/>
      <c r="L2717" s="21">
        <v>64.840000000000003</v>
      </c>
      <c r="M2717" s="22">
        <v>0</v>
      </c>
      <c r="N2717" s="21">
        <v>64.840000000000003</v>
      </c>
      <c r="O2717" s="22">
        <v>0</v>
      </c>
    </row>
    <row r="2718" ht="38.25">
      <c r="A2718" t="s">
        <v>2030</v>
      </c>
      <c r="B2718" s="19">
        <v>5738</v>
      </c>
      <c r="C2718" s="20" t="s">
        <v>2772</v>
      </c>
      <c r="D2718" s="19" t="s">
        <v>2032</v>
      </c>
      <c r="E2718" s="21">
        <f t="shared" si="125"/>
        <v>38.579999999999998</v>
      </c>
      <c r="F2718" s="22">
        <v>1</v>
      </c>
      <c r="G2718" s="21">
        <f t="shared" si="126"/>
        <v>38.579999999999998</v>
      </c>
      <c r="H2718" s="22">
        <v>1</v>
      </c>
      <c r="I2718" s="23" t="str">
        <f t="shared" si="127"/>
        <v xml:space="preserve">COM VALOR</v>
      </c>
      <c r="J2718" s="19"/>
      <c r="L2718" s="21">
        <v>38.579999999999998</v>
      </c>
      <c r="M2718" s="22">
        <v>1</v>
      </c>
      <c r="N2718" s="21">
        <v>38.579999999999998</v>
      </c>
      <c r="O2718" s="22">
        <v>1</v>
      </c>
    </row>
    <row r="2719" ht="38.25">
      <c r="A2719" t="s">
        <v>2030</v>
      </c>
      <c r="B2719" s="19">
        <v>93239</v>
      </c>
      <c r="C2719" s="20" t="s">
        <v>2773</v>
      </c>
      <c r="D2719" s="19" t="s">
        <v>2032</v>
      </c>
      <c r="E2719" s="21">
        <f t="shared" si="125"/>
        <v>10.35</v>
      </c>
      <c r="F2719" s="22">
        <v>1</v>
      </c>
      <c r="G2719" s="21">
        <f t="shared" si="126"/>
        <v>10.35</v>
      </c>
      <c r="H2719" s="22">
        <v>1</v>
      </c>
      <c r="I2719" s="23" t="str">
        <f t="shared" si="127"/>
        <v xml:space="preserve">COM VALOR</v>
      </c>
      <c r="J2719" s="19"/>
      <c r="L2719" s="21">
        <v>10.35</v>
      </c>
      <c r="M2719" s="22">
        <v>1</v>
      </c>
      <c r="N2719" s="21">
        <v>10.35</v>
      </c>
      <c r="O2719" s="22">
        <v>1</v>
      </c>
    </row>
    <row r="2720" ht="38.25">
      <c r="A2720" t="s">
        <v>2030</v>
      </c>
      <c r="B2720" s="19">
        <v>5739</v>
      </c>
      <c r="C2720" s="20" t="s">
        <v>2774</v>
      </c>
      <c r="D2720" s="19" t="s">
        <v>2032</v>
      </c>
      <c r="E2720" s="21">
        <f t="shared" si="125"/>
        <v>48.280000000000001</v>
      </c>
      <c r="F2720" s="22">
        <v>1</v>
      </c>
      <c r="G2720" s="21">
        <f t="shared" si="126"/>
        <v>48.280000000000001</v>
      </c>
      <c r="H2720" s="22">
        <v>1</v>
      </c>
      <c r="I2720" s="23" t="str">
        <f t="shared" si="127"/>
        <v xml:space="preserve">COM VALOR</v>
      </c>
      <c r="J2720" s="19"/>
      <c r="L2720" s="21">
        <v>48.280000000000001</v>
      </c>
      <c r="M2720" s="22">
        <v>1</v>
      </c>
      <c r="N2720" s="21">
        <v>48.280000000000001</v>
      </c>
      <c r="O2720" s="22">
        <v>1</v>
      </c>
    </row>
    <row r="2721" ht="38.25">
      <c r="A2721" t="s">
        <v>2030</v>
      </c>
      <c r="B2721" s="19">
        <v>93240</v>
      </c>
      <c r="C2721" s="20" t="s">
        <v>2775</v>
      </c>
      <c r="D2721" s="19" t="s">
        <v>2032</v>
      </c>
      <c r="E2721" s="21">
        <f t="shared" si="125"/>
        <v>13.58</v>
      </c>
      <c r="F2721" s="22">
        <v>0</v>
      </c>
      <c r="G2721" s="21">
        <f t="shared" si="126"/>
        <v>13.58</v>
      </c>
      <c r="H2721" s="22">
        <v>0</v>
      </c>
      <c r="I2721" s="23" t="str">
        <f t="shared" si="127"/>
        <v xml:space="preserve">COM VALOR</v>
      </c>
      <c r="J2721" s="19"/>
      <c r="L2721" s="21">
        <v>13.58</v>
      </c>
      <c r="M2721" s="22">
        <v>0</v>
      </c>
      <c r="N2721" s="21">
        <v>13.58</v>
      </c>
      <c r="O2721" s="22">
        <v>0</v>
      </c>
    </row>
    <row r="2722" ht="38.25">
      <c r="A2722" t="s">
        <v>2030</v>
      </c>
      <c r="B2722" s="19">
        <v>53818</v>
      </c>
      <c r="C2722" s="20" t="s">
        <v>2776</v>
      </c>
      <c r="D2722" s="19" t="s">
        <v>2032</v>
      </c>
      <c r="E2722" s="21">
        <f t="shared" si="125"/>
        <v>8.5199999999999996</v>
      </c>
      <c r="F2722" s="22">
        <v>1</v>
      </c>
      <c r="G2722" s="21">
        <f t="shared" si="126"/>
        <v>8.5199999999999996</v>
      </c>
      <c r="H2722" s="22">
        <v>1</v>
      </c>
      <c r="I2722" s="23" t="str">
        <f t="shared" si="127"/>
        <v xml:space="preserve">COM VALOR</v>
      </c>
      <c r="J2722" s="19"/>
      <c r="L2722" s="21">
        <v>8.5199999999999996</v>
      </c>
      <c r="M2722" s="22">
        <v>1</v>
      </c>
      <c r="N2722" s="21">
        <v>8.5199999999999996</v>
      </c>
      <c r="O2722" s="22">
        <v>1</v>
      </c>
    </row>
    <row r="2723" ht="38.25">
      <c r="A2723" t="s">
        <v>2030</v>
      </c>
      <c r="B2723" s="19">
        <v>93238</v>
      </c>
      <c r="C2723" s="20" t="s">
        <v>2777</v>
      </c>
      <c r="D2723" s="19" t="s">
        <v>2032</v>
      </c>
      <c r="E2723" s="21">
        <f t="shared" si="125"/>
        <v>2.2799999999999998</v>
      </c>
      <c r="F2723" s="22">
        <v>1</v>
      </c>
      <c r="G2723" s="21">
        <f t="shared" si="126"/>
        <v>2.2799999999999998</v>
      </c>
      <c r="H2723" s="22">
        <v>1</v>
      </c>
      <c r="I2723" s="23" t="str">
        <f t="shared" si="127"/>
        <v xml:space="preserve">COM VALOR</v>
      </c>
      <c r="J2723" s="19"/>
      <c r="L2723" s="21">
        <v>2.2799999999999998</v>
      </c>
      <c r="M2723" s="22">
        <v>1</v>
      </c>
      <c r="N2723" s="21">
        <v>2.2799999999999998</v>
      </c>
      <c r="O2723" s="22">
        <v>1</v>
      </c>
    </row>
    <row r="2724" ht="38.25">
      <c r="A2724" t="s">
        <v>2030</v>
      </c>
      <c r="B2724" s="19">
        <v>5727</v>
      </c>
      <c r="C2724" s="20" t="s">
        <v>2778</v>
      </c>
      <c r="D2724" s="19" t="s">
        <v>2032</v>
      </c>
      <c r="E2724" s="21">
        <f t="shared" si="125"/>
        <v>10.66</v>
      </c>
      <c r="F2724" s="22">
        <v>1</v>
      </c>
      <c r="G2724" s="21">
        <f t="shared" si="126"/>
        <v>10.66</v>
      </c>
      <c r="H2724" s="22">
        <v>1</v>
      </c>
      <c r="I2724" s="23" t="str">
        <f t="shared" si="127"/>
        <v xml:space="preserve">COM VALOR</v>
      </c>
      <c r="J2724" s="19"/>
      <c r="L2724" s="21">
        <v>10.66</v>
      </c>
      <c r="M2724" s="22">
        <v>1</v>
      </c>
      <c r="N2724" s="21">
        <v>10.66</v>
      </c>
      <c r="O2724" s="22">
        <v>1</v>
      </c>
    </row>
    <row r="2725" ht="38.25">
      <c r="A2725" t="s">
        <v>2030</v>
      </c>
      <c r="B2725" s="19">
        <v>89280</v>
      </c>
      <c r="C2725" s="20" t="s">
        <v>2779</v>
      </c>
      <c r="D2725" s="19" t="s">
        <v>2032</v>
      </c>
      <c r="E2725" s="21">
        <f t="shared" si="125"/>
        <v>34.670000000000002</v>
      </c>
      <c r="F2725" s="22">
        <v>0</v>
      </c>
      <c r="G2725" s="21">
        <f t="shared" si="126"/>
        <v>34.670000000000002</v>
      </c>
      <c r="H2725" s="22">
        <v>0</v>
      </c>
      <c r="I2725" s="23" t="str">
        <f t="shared" si="127"/>
        <v xml:space="preserve">COM VALOR</v>
      </c>
      <c r="J2725" s="19"/>
      <c r="L2725" s="21">
        <v>34.670000000000002</v>
      </c>
      <c r="M2725" s="22">
        <v>1</v>
      </c>
      <c r="N2725" s="21">
        <v>34.670000000000002</v>
      </c>
      <c r="O2725" s="22">
        <v>1</v>
      </c>
    </row>
    <row r="2726" ht="38.25">
      <c r="A2726" t="s">
        <v>2030</v>
      </c>
      <c r="B2726" s="19">
        <v>89281</v>
      </c>
      <c r="C2726" s="20" t="s">
        <v>2780</v>
      </c>
      <c r="D2726" s="19" t="s">
        <v>2032</v>
      </c>
      <c r="E2726" s="21">
        <f t="shared" si="125"/>
        <v>9.3000000000000007</v>
      </c>
      <c r="F2726" s="22">
        <v>0</v>
      </c>
      <c r="G2726" s="21">
        <f t="shared" si="126"/>
        <v>9.3000000000000007</v>
      </c>
      <c r="H2726" s="22">
        <v>0</v>
      </c>
      <c r="I2726" s="23" t="str">
        <f t="shared" si="127"/>
        <v xml:space="preserve">COM VALOR</v>
      </c>
      <c r="J2726" s="19"/>
      <c r="L2726" s="21">
        <v>9.3000000000000007</v>
      </c>
      <c r="M2726" s="22">
        <v>1</v>
      </c>
      <c r="N2726" s="21">
        <v>9.3000000000000007</v>
      </c>
      <c r="O2726" s="22">
        <v>1</v>
      </c>
    </row>
    <row r="2727" ht="38.25">
      <c r="A2727" t="s">
        <v>2030</v>
      </c>
      <c r="B2727" s="19">
        <v>5729</v>
      </c>
      <c r="C2727" s="20" t="s">
        <v>2781</v>
      </c>
      <c r="D2727" s="19" t="s">
        <v>2032</v>
      </c>
      <c r="E2727" s="21">
        <f t="shared" si="125"/>
        <v>43.390000000000001</v>
      </c>
      <c r="F2727" s="22">
        <v>0</v>
      </c>
      <c r="G2727" s="21">
        <f t="shared" si="126"/>
        <v>43.390000000000001</v>
      </c>
      <c r="H2727" s="22">
        <v>0</v>
      </c>
      <c r="I2727" s="23" t="str">
        <f t="shared" si="127"/>
        <v xml:space="preserve">COM VALOR</v>
      </c>
      <c r="J2727" s="19"/>
      <c r="L2727" s="21">
        <v>43.390000000000001</v>
      </c>
      <c r="M2727" s="22">
        <v>1</v>
      </c>
      <c r="N2727" s="21">
        <v>43.390000000000001</v>
      </c>
      <c r="O2727" s="22">
        <v>1</v>
      </c>
    </row>
    <row r="2728" ht="38.25">
      <c r="A2728" t="s">
        <v>2030</v>
      </c>
      <c r="B2728" s="19">
        <v>5730</v>
      </c>
      <c r="C2728" s="20" t="s">
        <v>2782</v>
      </c>
      <c r="D2728" s="19" t="s">
        <v>2032</v>
      </c>
      <c r="E2728" s="21">
        <f t="shared" si="125"/>
        <v>46.369999999999997</v>
      </c>
      <c r="F2728" s="22">
        <v>0</v>
      </c>
      <c r="G2728" s="21">
        <f t="shared" si="126"/>
        <v>46.369999999999997</v>
      </c>
      <c r="H2728" s="22">
        <v>0</v>
      </c>
      <c r="I2728" s="23" t="str">
        <f t="shared" si="127"/>
        <v xml:space="preserve">COM VALOR</v>
      </c>
      <c r="J2728" s="19"/>
      <c r="L2728" s="21">
        <v>46.369999999999997</v>
      </c>
      <c r="M2728" s="22">
        <v>0</v>
      </c>
      <c r="N2728" s="21">
        <v>46.369999999999997</v>
      </c>
      <c r="O2728" s="22">
        <v>0</v>
      </c>
    </row>
    <row r="2729" ht="38.25">
      <c r="A2729" t="s">
        <v>2030</v>
      </c>
      <c r="B2729" s="19">
        <v>95266</v>
      </c>
      <c r="C2729" s="20" t="s">
        <v>2783</v>
      </c>
      <c r="D2729" s="19" t="s">
        <v>2032</v>
      </c>
      <c r="E2729" s="21">
        <f t="shared" si="125"/>
        <v>0.59999999999999998</v>
      </c>
      <c r="F2729" s="22">
        <v>0</v>
      </c>
      <c r="G2729" s="21">
        <f t="shared" si="126"/>
        <v>0.59999999999999998</v>
      </c>
      <c r="H2729" s="22">
        <v>0</v>
      </c>
      <c r="I2729" s="23" t="str">
        <f t="shared" si="127"/>
        <v xml:space="preserve">COM VALOR</v>
      </c>
      <c r="J2729" s="19"/>
      <c r="L2729" s="21">
        <v>0.59999999999999998</v>
      </c>
      <c r="M2729" s="22">
        <v>1</v>
      </c>
      <c r="N2729" s="21">
        <v>0.59999999999999998</v>
      </c>
      <c r="O2729" s="22">
        <v>1</v>
      </c>
    </row>
    <row r="2730" ht="38.25">
      <c r="A2730" t="s">
        <v>2030</v>
      </c>
      <c r="B2730" s="19">
        <v>95267</v>
      </c>
      <c r="C2730" s="20" t="s">
        <v>2784</v>
      </c>
      <c r="D2730" s="19" t="s">
        <v>2032</v>
      </c>
      <c r="E2730" s="21">
        <f t="shared" si="125"/>
        <v>0.12</v>
      </c>
      <c r="F2730" s="22">
        <v>0</v>
      </c>
      <c r="G2730" s="21">
        <f t="shared" si="126"/>
        <v>0.12</v>
      </c>
      <c r="H2730" s="22">
        <v>0</v>
      </c>
      <c r="I2730" s="23" t="str">
        <f t="shared" si="127"/>
        <v xml:space="preserve">COM VALOR</v>
      </c>
      <c r="J2730" s="19"/>
      <c r="L2730" s="21">
        <v>0.12</v>
      </c>
      <c r="M2730" s="22">
        <v>1</v>
      </c>
      <c r="N2730" s="21">
        <v>0.12</v>
      </c>
      <c r="O2730" s="22">
        <v>1</v>
      </c>
    </row>
    <row r="2731" ht="38.25">
      <c r="A2731" t="s">
        <v>2030</v>
      </c>
      <c r="B2731" s="19">
        <v>95268</v>
      </c>
      <c r="C2731" s="20" t="s">
        <v>2785</v>
      </c>
      <c r="D2731" s="19" t="s">
        <v>2032</v>
      </c>
      <c r="E2731" s="21">
        <f t="shared" si="125"/>
        <v>0.57999999999999996</v>
      </c>
      <c r="F2731" s="22">
        <v>0</v>
      </c>
      <c r="G2731" s="21">
        <f t="shared" si="126"/>
        <v>0.57999999999999996</v>
      </c>
      <c r="H2731" s="22">
        <v>0</v>
      </c>
      <c r="I2731" s="23" t="str">
        <f t="shared" si="127"/>
        <v xml:space="preserve">COM VALOR</v>
      </c>
      <c r="J2731" s="19"/>
      <c r="L2731" s="21">
        <v>0.57999999999999996</v>
      </c>
      <c r="M2731" s="22">
        <v>1</v>
      </c>
      <c r="N2731" s="21">
        <v>0.57999999999999996</v>
      </c>
      <c r="O2731" s="22">
        <v>1</v>
      </c>
    </row>
    <row r="2732" ht="38.25">
      <c r="A2732" t="s">
        <v>2030</v>
      </c>
      <c r="B2732" s="19">
        <v>95269</v>
      </c>
      <c r="C2732" s="20" t="s">
        <v>2786</v>
      </c>
      <c r="D2732" s="19" t="s">
        <v>2032</v>
      </c>
      <c r="E2732" s="21">
        <f t="shared" si="125"/>
        <v>9.0700000000000003</v>
      </c>
      <c r="F2732" s="22">
        <v>0</v>
      </c>
      <c r="G2732" s="21">
        <f t="shared" si="126"/>
        <v>9.0700000000000003</v>
      </c>
      <c r="H2732" s="22">
        <v>0</v>
      </c>
      <c r="I2732" s="23" t="str">
        <f t="shared" si="127"/>
        <v xml:space="preserve">COM VALOR</v>
      </c>
      <c r="J2732" s="19"/>
      <c r="L2732" s="21">
        <v>9.0700000000000003</v>
      </c>
      <c r="M2732" s="22">
        <v>0</v>
      </c>
      <c r="N2732" s="21">
        <v>9.0700000000000003</v>
      </c>
      <c r="O2732" s="22">
        <v>0</v>
      </c>
    </row>
    <row r="2733" ht="25.5">
      <c r="A2733" t="s">
        <v>2030</v>
      </c>
      <c r="B2733" s="19">
        <v>91688</v>
      </c>
      <c r="C2733" s="20" t="s">
        <v>2787</v>
      </c>
      <c r="D2733" s="19" t="s">
        <v>2032</v>
      </c>
      <c r="E2733" s="21">
        <f t="shared" si="125"/>
        <v>0.11</v>
      </c>
      <c r="F2733" s="22">
        <v>0</v>
      </c>
      <c r="G2733" s="21">
        <f t="shared" si="126"/>
        <v>0.11</v>
      </c>
      <c r="H2733" s="22">
        <v>0</v>
      </c>
      <c r="I2733" s="23" t="str">
        <f t="shared" si="127"/>
        <v xml:space="preserve">COM VALOR</v>
      </c>
      <c r="J2733" s="19"/>
      <c r="L2733" s="21">
        <v>0.11</v>
      </c>
      <c r="M2733" s="22">
        <v>0</v>
      </c>
      <c r="N2733" s="21">
        <v>0.11</v>
      </c>
      <c r="O2733" s="22">
        <v>0</v>
      </c>
    </row>
    <row r="2734" ht="25.5">
      <c r="A2734" t="s">
        <v>2030</v>
      </c>
      <c r="B2734" s="19">
        <v>91689</v>
      </c>
      <c r="C2734" s="20" t="s">
        <v>2788</v>
      </c>
      <c r="D2734" s="19" t="s">
        <v>2032</v>
      </c>
      <c r="E2734" s="21">
        <f t="shared" si="125"/>
        <v>2.e-002</v>
      </c>
      <c r="F2734" s="22">
        <v>1.e-002</v>
      </c>
      <c r="G2734" s="21">
        <f t="shared" si="126"/>
        <v>2.e-002</v>
      </c>
      <c r="H2734" s="22">
        <v>1.e-002</v>
      </c>
      <c r="I2734" s="23" t="str">
        <f t="shared" si="127"/>
        <v xml:space="preserve">COM VALOR</v>
      </c>
      <c r="J2734" s="19"/>
      <c r="L2734" s="21">
        <v>2.e-002</v>
      </c>
      <c r="M2734" s="22">
        <v>0</v>
      </c>
      <c r="N2734" s="21">
        <v>2.e-002</v>
      </c>
      <c r="O2734" s="22">
        <v>0</v>
      </c>
    </row>
    <row r="2735" ht="25.5">
      <c r="A2735" t="s">
        <v>2030</v>
      </c>
      <c r="B2735" s="19">
        <v>91690</v>
      </c>
      <c r="C2735" s="20" t="s">
        <v>2789</v>
      </c>
      <c r="D2735" s="19" t="s">
        <v>2032</v>
      </c>
      <c r="E2735" s="21">
        <f t="shared" si="125"/>
        <v>8.0000000000000002e-002</v>
      </c>
      <c r="F2735" s="22">
        <v>1.e-002</v>
      </c>
      <c r="G2735" s="21">
        <f t="shared" si="126"/>
        <v>8.0000000000000002e-002</v>
      </c>
      <c r="H2735" s="22">
        <v>1.e-002</v>
      </c>
      <c r="I2735" s="23" t="str">
        <f t="shared" si="127"/>
        <v xml:space="preserve">COM VALOR</v>
      </c>
      <c r="J2735" s="19"/>
      <c r="L2735" s="21">
        <v>8.0000000000000002e-002</v>
      </c>
      <c r="M2735" s="22">
        <v>0</v>
      </c>
      <c r="N2735" s="21">
        <v>8.0000000000000002e-002</v>
      </c>
      <c r="O2735" s="22">
        <v>0</v>
      </c>
    </row>
    <row r="2736" ht="25.5">
      <c r="A2736" t="s">
        <v>2030</v>
      </c>
      <c r="B2736" s="19">
        <v>91691</v>
      </c>
      <c r="C2736" s="20" t="s">
        <v>2790</v>
      </c>
      <c r="D2736" s="19" t="s">
        <v>2032</v>
      </c>
      <c r="E2736" s="21">
        <f t="shared" si="125"/>
        <v>1.53</v>
      </c>
      <c r="F2736" s="22">
        <v>1.e-002</v>
      </c>
      <c r="G2736" s="21">
        <f t="shared" si="126"/>
        <v>1.53</v>
      </c>
      <c r="H2736" s="22">
        <v>1.e-002</v>
      </c>
      <c r="I2736" s="23" t="str">
        <f t="shared" si="127"/>
        <v xml:space="preserve">COM VALOR</v>
      </c>
      <c r="J2736" s="19"/>
      <c r="L2736" s="21">
        <v>1.53</v>
      </c>
      <c r="M2736" s="22">
        <v>0</v>
      </c>
      <c r="N2736" s="21">
        <v>1.53</v>
      </c>
      <c r="O2736" s="22">
        <v>0</v>
      </c>
    </row>
    <row r="2737" ht="38.25">
      <c r="A2737" t="s">
        <v>2030</v>
      </c>
      <c r="B2737" s="19">
        <v>102924</v>
      </c>
      <c r="C2737" s="20" t="s">
        <v>2791</v>
      </c>
      <c r="D2737" s="19" t="s">
        <v>2032</v>
      </c>
      <c r="E2737" s="21" t="str">
        <f t="shared" si="125"/>
        <v>VERIFICAR</v>
      </c>
      <c r="F2737" s="22">
        <v>0</v>
      </c>
      <c r="G2737" s="21" t="str">
        <f t="shared" si="126"/>
        <v>VERIFICAR</v>
      </c>
      <c r="H2737" s="22">
        <v>0</v>
      </c>
      <c r="I2737" s="23" t="str">
        <f t="shared" si="127"/>
        <v xml:space="preserve">COM VALOR</v>
      </c>
      <c r="J2737" s="19"/>
      <c r="L2737" s="21">
        <v>0</v>
      </c>
      <c r="M2737" s="22"/>
      <c r="N2737" s="21">
        <v>0</v>
      </c>
      <c r="O2737" s="22"/>
    </row>
    <row r="2738" ht="38.25">
      <c r="A2738" t="s">
        <v>2030</v>
      </c>
      <c r="B2738" s="19">
        <v>102925</v>
      </c>
      <c r="C2738" s="20" t="s">
        <v>2792</v>
      </c>
      <c r="D2738" s="19" t="s">
        <v>2032</v>
      </c>
      <c r="E2738" s="21" t="str">
        <f t="shared" si="125"/>
        <v>VERIFICAR</v>
      </c>
      <c r="F2738" s="22">
        <v>0</v>
      </c>
      <c r="G2738" s="21" t="str">
        <f t="shared" si="126"/>
        <v>VERIFICAR</v>
      </c>
      <c r="H2738" s="22">
        <v>0</v>
      </c>
      <c r="I2738" s="23" t="str">
        <f t="shared" si="127"/>
        <v xml:space="preserve">COM VALOR</v>
      </c>
      <c r="J2738" s="19"/>
      <c r="L2738" s="21">
        <v>0</v>
      </c>
      <c r="M2738" s="22"/>
      <c r="N2738" s="21">
        <v>0</v>
      </c>
      <c r="O2738" s="22"/>
    </row>
    <row r="2739" ht="38.25">
      <c r="A2739" t="s">
        <v>2030</v>
      </c>
      <c r="B2739" s="19">
        <v>102926</v>
      </c>
      <c r="C2739" s="20" t="s">
        <v>2793</v>
      </c>
      <c r="D2739" s="19" t="s">
        <v>2032</v>
      </c>
      <c r="E2739" s="21" t="str">
        <f t="shared" si="125"/>
        <v>VERIFICAR</v>
      </c>
      <c r="F2739" s="22">
        <v>0</v>
      </c>
      <c r="G2739" s="21" t="str">
        <f t="shared" si="126"/>
        <v>VERIFICAR</v>
      </c>
      <c r="H2739" s="22">
        <v>0</v>
      </c>
      <c r="I2739" s="23" t="str">
        <f t="shared" si="127"/>
        <v xml:space="preserve">COM VALOR</v>
      </c>
      <c r="J2739" s="19"/>
      <c r="L2739" s="21">
        <v>0</v>
      </c>
      <c r="M2739" s="22"/>
      <c r="N2739" s="21">
        <v>0</v>
      </c>
      <c r="O2739" s="22"/>
    </row>
    <row r="2740" ht="51">
      <c r="A2740" t="s">
        <v>2030</v>
      </c>
      <c r="B2740" s="19">
        <v>102927</v>
      </c>
      <c r="C2740" s="20" t="s">
        <v>2794</v>
      </c>
      <c r="D2740" s="19" t="s">
        <v>2032</v>
      </c>
      <c r="E2740" s="21">
        <f t="shared" si="125"/>
        <v>1.0600000000000001</v>
      </c>
      <c r="F2740" s="22">
        <v>0</v>
      </c>
      <c r="G2740" s="21">
        <f t="shared" si="126"/>
        <v>1.0600000000000001</v>
      </c>
      <c r="H2740" s="22">
        <v>0</v>
      </c>
      <c r="I2740" s="23" t="str">
        <f t="shared" si="127"/>
        <v xml:space="preserve">COM VALOR</v>
      </c>
      <c r="J2740" s="19"/>
      <c r="L2740" s="21">
        <v>1.0600000000000001</v>
      </c>
      <c r="M2740" s="22">
        <v>0</v>
      </c>
      <c r="N2740" s="21">
        <v>1.0600000000000001</v>
      </c>
      <c r="O2740" s="22">
        <v>0</v>
      </c>
    </row>
    <row r="2741" ht="25.5">
      <c r="A2741" t="s">
        <v>2030</v>
      </c>
      <c r="B2741" s="19">
        <v>95136</v>
      </c>
      <c r="C2741" s="20" t="s">
        <v>2795</v>
      </c>
      <c r="D2741" s="19" t="s">
        <v>2032</v>
      </c>
      <c r="E2741" s="21">
        <f t="shared" si="125"/>
        <v>2.e-002</v>
      </c>
      <c r="F2741" s="22"/>
      <c r="G2741" s="21">
        <f t="shared" si="126"/>
        <v>2.e-002</v>
      </c>
      <c r="H2741" s="22"/>
      <c r="I2741" s="23" t="str">
        <f t="shared" si="127"/>
        <v xml:space="preserve">COM VALOR</v>
      </c>
      <c r="J2741" s="19"/>
      <c r="L2741" s="21">
        <v>2.e-002</v>
      </c>
      <c r="M2741" s="22">
        <v>0</v>
      </c>
      <c r="N2741" s="21">
        <v>2.e-002</v>
      </c>
      <c r="O2741" s="22">
        <v>0</v>
      </c>
    </row>
    <row r="2742" ht="25.5">
      <c r="A2742" t="s">
        <v>2030</v>
      </c>
      <c r="B2742" s="19">
        <v>95137</v>
      </c>
      <c r="C2742" s="20" t="s">
        <v>2796</v>
      </c>
      <c r="D2742" s="19" t="s">
        <v>2032</v>
      </c>
      <c r="E2742" s="21">
        <f t="shared" si="125"/>
        <v>1.e-002</v>
      </c>
      <c r="F2742" s="22">
        <v>0</v>
      </c>
      <c r="G2742" s="21">
        <f t="shared" si="126"/>
        <v>1.e-002</v>
      </c>
      <c r="H2742" s="22">
        <v>0</v>
      </c>
      <c r="I2742" s="23" t="str">
        <f t="shared" si="127"/>
        <v xml:space="preserve">COM VALOR</v>
      </c>
      <c r="J2742" s="19"/>
      <c r="L2742" s="21">
        <v>1.e-002</v>
      </c>
      <c r="M2742" s="22">
        <v>0</v>
      </c>
      <c r="N2742" s="21">
        <v>1.e-002</v>
      </c>
      <c r="O2742" s="22">
        <v>0</v>
      </c>
    </row>
    <row r="2743" ht="25.5">
      <c r="A2743" t="s">
        <v>2030</v>
      </c>
      <c r="B2743" s="19">
        <v>95138</v>
      </c>
      <c r="C2743" s="20" t="s">
        <v>2797</v>
      </c>
      <c r="D2743" s="19" t="s">
        <v>2032</v>
      </c>
      <c r="E2743" s="21">
        <f t="shared" si="125"/>
        <v>2.e-002</v>
      </c>
      <c r="F2743" s="22">
        <v>0</v>
      </c>
      <c r="G2743" s="21">
        <f t="shared" si="126"/>
        <v>2.e-002</v>
      </c>
      <c r="H2743" s="22">
        <v>0</v>
      </c>
      <c r="I2743" s="23" t="str">
        <f t="shared" si="127"/>
        <v xml:space="preserve">COM VALOR</v>
      </c>
      <c r="J2743" s="19"/>
      <c r="L2743" s="21">
        <v>2.e-002</v>
      </c>
      <c r="M2743" s="22">
        <v>0</v>
      </c>
      <c r="N2743" s="21">
        <v>2.e-002</v>
      </c>
      <c r="O2743" s="22">
        <v>0</v>
      </c>
    </row>
    <row r="2744" ht="25.5">
      <c r="A2744" t="s">
        <v>2030</v>
      </c>
      <c r="B2744" s="19">
        <v>89023</v>
      </c>
      <c r="C2744" s="20" t="s">
        <v>2798</v>
      </c>
      <c r="D2744" s="19" t="s">
        <v>2032</v>
      </c>
      <c r="E2744" s="21">
        <f t="shared" si="125"/>
        <v>3.9700000000000002</v>
      </c>
      <c r="F2744" s="22">
        <v>0</v>
      </c>
      <c r="G2744" s="21">
        <f t="shared" si="126"/>
        <v>3.9700000000000002</v>
      </c>
      <c r="H2744" s="22">
        <v>0</v>
      </c>
      <c r="I2744" s="23" t="str">
        <f t="shared" si="127"/>
        <v xml:space="preserve">COM VALOR</v>
      </c>
      <c r="J2744" s="19"/>
      <c r="L2744" s="21">
        <v>3.9700000000000002</v>
      </c>
      <c r="M2744" s="22">
        <v>1</v>
      </c>
      <c r="N2744" s="21">
        <v>3.9700000000000002</v>
      </c>
      <c r="O2744" s="22">
        <v>1</v>
      </c>
    </row>
    <row r="2745" ht="25.5">
      <c r="A2745" t="s">
        <v>2030</v>
      </c>
      <c r="B2745" s="19">
        <v>89024</v>
      </c>
      <c r="C2745" s="20" t="s">
        <v>2799</v>
      </c>
      <c r="D2745" s="19" t="s">
        <v>2032</v>
      </c>
      <c r="E2745" s="21">
        <f t="shared" si="125"/>
        <v>1.3700000000000001</v>
      </c>
      <c r="F2745" s="22"/>
      <c r="G2745" s="21">
        <f t="shared" si="126"/>
        <v>1.3700000000000001</v>
      </c>
      <c r="H2745" s="22"/>
      <c r="I2745" s="23" t="str">
        <f t="shared" si="127"/>
        <v xml:space="preserve">COM VALOR</v>
      </c>
      <c r="J2745" s="19"/>
      <c r="L2745" s="21">
        <v>1.3700000000000001</v>
      </c>
      <c r="M2745" s="22">
        <v>1</v>
      </c>
      <c r="N2745" s="21">
        <v>1.3700000000000001</v>
      </c>
      <c r="O2745" s="22">
        <v>1</v>
      </c>
    </row>
    <row r="2746" ht="25.5">
      <c r="A2746" t="s">
        <v>2030</v>
      </c>
      <c r="B2746" s="19">
        <v>89025</v>
      </c>
      <c r="C2746" s="20" t="s">
        <v>2800</v>
      </c>
      <c r="D2746" s="19" t="s">
        <v>2032</v>
      </c>
      <c r="E2746" s="21">
        <f t="shared" si="125"/>
        <v>4.96</v>
      </c>
      <c r="F2746" s="22">
        <v>0</v>
      </c>
      <c r="G2746" s="21">
        <f t="shared" si="126"/>
        <v>4.96</v>
      </c>
      <c r="H2746" s="22">
        <v>0</v>
      </c>
      <c r="I2746" s="23" t="str">
        <f t="shared" si="127"/>
        <v xml:space="preserve">COM VALOR</v>
      </c>
      <c r="J2746" s="19"/>
      <c r="L2746" s="21">
        <v>4.96</v>
      </c>
      <c r="M2746" s="22">
        <v>1</v>
      </c>
      <c r="N2746" s="21">
        <v>4.96</v>
      </c>
      <c r="O2746" s="22">
        <v>1</v>
      </c>
    </row>
    <row r="2747" ht="25.5">
      <c r="A2747" t="s">
        <v>2030</v>
      </c>
      <c r="B2747" s="19">
        <v>89026</v>
      </c>
      <c r="C2747" s="20" t="s">
        <v>2801</v>
      </c>
      <c r="D2747" s="19" t="s">
        <v>2032</v>
      </c>
      <c r="E2747" s="21">
        <f t="shared" si="125"/>
        <v>194.02000000000001</v>
      </c>
      <c r="F2747" s="22">
        <v>0</v>
      </c>
      <c r="G2747" s="21">
        <f t="shared" si="126"/>
        <v>194.02000000000001</v>
      </c>
      <c r="H2747" s="22">
        <v>0</v>
      </c>
      <c r="I2747" s="23" t="str">
        <f t="shared" si="127"/>
        <v xml:space="preserve">COM VALOR</v>
      </c>
      <c r="J2747" s="19"/>
      <c r="L2747" s="21">
        <v>194.02000000000001</v>
      </c>
      <c r="M2747" s="22">
        <v>0</v>
      </c>
      <c r="N2747" s="21">
        <v>194.02000000000001</v>
      </c>
      <c r="O2747" s="22">
        <v>0</v>
      </c>
    </row>
    <row r="2748" ht="25.5">
      <c r="A2748" t="s">
        <v>2030</v>
      </c>
      <c r="B2748" s="19">
        <v>7032</v>
      </c>
      <c r="C2748" s="20" t="s">
        <v>2802</v>
      </c>
      <c r="D2748" s="19" t="s">
        <v>2032</v>
      </c>
      <c r="E2748" s="21">
        <f t="shared" si="125"/>
        <v>4.8799999999999999</v>
      </c>
      <c r="F2748" s="22">
        <v>0</v>
      </c>
      <c r="G2748" s="21">
        <f t="shared" si="126"/>
        <v>4.8799999999999999</v>
      </c>
      <c r="H2748" s="22">
        <v>0</v>
      </c>
      <c r="I2748" s="23" t="str">
        <f t="shared" si="127"/>
        <v xml:space="preserve">COM VALOR</v>
      </c>
      <c r="J2748" s="19"/>
      <c r="L2748" s="21">
        <v>4.8799999999999999</v>
      </c>
      <c r="M2748" s="22">
        <v>1</v>
      </c>
      <c r="N2748" s="21">
        <v>4.8799999999999999</v>
      </c>
      <c r="O2748" s="22">
        <v>1</v>
      </c>
    </row>
    <row r="2749" ht="25.5">
      <c r="A2749" t="s">
        <v>2030</v>
      </c>
      <c r="B2749" s="19">
        <v>7033</v>
      </c>
      <c r="C2749" s="20" t="s">
        <v>2803</v>
      </c>
      <c r="D2749" s="19" t="s">
        <v>2032</v>
      </c>
      <c r="E2749" s="21">
        <f t="shared" si="125"/>
        <v>1.6899999999999999</v>
      </c>
      <c r="F2749" s="22">
        <v>0</v>
      </c>
      <c r="G2749" s="21">
        <f t="shared" si="126"/>
        <v>1.6899999999999999</v>
      </c>
      <c r="H2749" s="22">
        <v>0</v>
      </c>
      <c r="I2749" s="23" t="str">
        <f t="shared" si="127"/>
        <v xml:space="preserve">COM VALOR</v>
      </c>
      <c r="J2749" s="19"/>
      <c r="L2749" s="21">
        <v>1.6899999999999999</v>
      </c>
      <c r="M2749" s="22">
        <v>1</v>
      </c>
      <c r="N2749" s="21">
        <v>1.6899999999999999</v>
      </c>
      <c r="O2749" s="22">
        <v>1</v>
      </c>
    </row>
    <row r="2750" ht="25.5">
      <c r="A2750" t="s">
        <v>2030</v>
      </c>
      <c r="B2750" s="19">
        <v>7034</v>
      </c>
      <c r="C2750" s="20" t="s">
        <v>2804</v>
      </c>
      <c r="D2750" s="19" t="s">
        <v>2032</v>
      </c>
      <c r="E2750" s="21">
        <f t="shared" si="125"/>
        <v>6.0999999999999996</v>
      </c>
      <c r="F2750" s="22">
        <v>0</v>
      </c>
      <c r="G2750" s="21">
        <f t="shared" si="126"/>
        <v>6.0999999999999996</v>
      </c>
      <c r="H2750" s="22">
        <v>0</v>
      </c>
      <c r="I2750" s="23" t="str">
        <f t="shared" si="127"/>
        <v xml:space="preserve">COM VALOR</v>
      </c>
      <c r="J2750" s="19"/>
      <c r="L2750" s="21">
        <v>6.0999999999999996</v>
      </c>
      <c r="M2750" s="22">
        <v>1</v>
      </c>
      <c r="N2750" s="21">
        <v>6.0999999999999996</v>
      </c>
      <c r="O2750" s="22">
        <v>1</v>
      </c>
    </row>
    <row r="2751" ht="25.5">
      <c r="A2751" t="s">
        <v>2030</v>
      </c>
      <c r="B2751" s="19">
        <v>7035</v>
      </c>
      <c r="C2751" s="20" t="s">
        <v>2805</v>
      </c>
      <c r="D2751" s="19" t="s">
        <v>2032</v>
      </c>
      <c r="E2751" s="21">
        <f t="shared" si="125"/>
        <v>291.02999999999997</v>
      </c>
      <c r="F2751" s="22">
        <v>0</v>
      </c>
      <c r="G2751" s="21">
        <f t="shared" si="126"/>
        <v>291.02999999999997</v>
      </c>
      <c r="H2751" s="22">
        <v>0</v>
      </c>
      <c r="I2751" s="23" t="str">
        <f t="shared" si="127"/>
        <v xml:space="preserve">COM VALOR</v>
      </c>
      <c r="J2751" s="19"/>
      <c r="L2751" s="21">
        <v>291.02999999999997</v>
      </c>
      <c r="M2751" s="22">
        <v>0</v>
      </c>
      <c r="N2751" s="21">
        <v>291.02999999999997</v>
      </c>
      <c r="O2751" s="22">
        <v>0</v>
      </c>
    </row>
    <row r="2752" ht="38.25">
      <c r="A2752" t="s">
        <v>2030</v>
      </c>
      <c r="B2752" s="19">
        <v>102942</v>
      </c>
      <c r="C2752" s="20" t="s">
        <v>2806</v>
      </c>
      <c r="D2752" s="19" t="s">
        <v>2032</v>
      </c>
      <c r="E2752" s="21" t="str">
        <f t="shared" si="125"/>
        <v>VERIFICAR</v>
      </c>
      <c r="F2752" s="22">
        <v>0</v>
      </c>
      <c r="G2752" s="21" t="str">
        <f t="shared" si="126"/>
        <v>VERIFICAR</v>
      </c>
      <c r="H2752" s="22">
        <v>0</v>
      </c>
      <c r="I2752" s="23" t="str">
        <f t="shared" si="127"/>
        <v xml:space="preserve">COM VALOR</v>
      </c>
      <c r="J2752" s="19"/>
      <c r="L2752" s="21">
        <v>0</v>
      </c>
      <c r="M2752" s="22"/>
      <c r="N2752" s="21">
        <v>0</v>
      </c>
      <c r="O2752" s="22"/>
    </row>
    <row r="2753" ht="38.25">
      <c r="A2753" t="s">
        <v>2030</v>
      </c>
      <c r="B2753" s="19">
        <v>102943</v>
      </c>
      <c r="C2753" s="20" t="s">
        <v>2807</v>
      </c>
      <c r="D2753" s="19" t="s">
        <v>2032</v>
      </c>
      <c r="E2753" s="21" t="str">
        <f t="shared" si="125"/>
        <v>VERIFICAR</v>
      </c>
      <c r="F2753" s="22">
        <v>0</v>
      </c>
      <c r="G2753" s="21" t="str">
        <f t="shared" si="126"/>
        <v>VERIFICAR</v>
      </c>
      <c r="H2753" s="22">
        <v>0</v>
      </c>
      <c r="I2753" s="23" t="str">
        <f t="shared" si="127"/>
        <v xml:space="preserve">COM VALOR</v>
      </c>
      <c r="J2753" s="19"/>
      <c r="L2753" s="21">
        <v>0</v>
      </c>
      <c r="M2753" s="22"/>
      <c r="N2753" s="21">
        <v>0</v>
      </c>
      <c r="O2753" s="22"/>
    </row>
    <row r="2754" ht="38.25">
      <c r="A2754" t="s">
        <v>2030</v>
      </c>
      <c r="B2754" s="19">
        <v>102944</v>
      </c>
      <c r="C2754" s="20" t="s">
        <v>2808</v>
      </c>
      <c r="D2754" s="19" t="s">
        <v>2032</v>
      </c>
      <c r="E2754" s="21" t="str">
        <f t="shared" si="125"/>
        <v>VERIFICAR</v>
      </c>
      <c r="F2754" s="22">
        <v>0</v>
      </c>
      <c r="G2754" s="21" t="str">
        <f t="shared" si="126"/>
        <v>VERIFICAR</v>
      </c>
      <c r="H2754" s="22">
        <v>0</v>
      </c>
      <c r="I2754" s="23" t="str">
        <f t="shared" si="127"/>
        <v xml:space="preserve">COM VALOR</v>
      </c>
      <c r="J2754" s="19"/>
      <c r="L2754" s="21">
        <v>0</v>
      </c>
      <c r="M2754" s="22"/>
      <c r="N2754" s="21">
        <v>0</v>
      </c>
      <c r="O2754" s="22"/>
    </row>
    <row r="2755" ht="38.25">
      <c r="A2755" t="s">
        <v>2030</v>
      </c>
      <c r="B2755" s="19">
        <v>102945</v>
      </c>
      <c r="C2755" s="20" t="s">
        <v>2809</v>
      </c>
      <c r="D2755" s="19" t="s">
        <v>2032</v>
      </c>
      <c r="E2755" s="21">
        <f t="shared" si="125"/>
        <v>2.e-002</v>
      </c>
      <c r="F2755" s="22">
        <v>0</v>
      </c>
      <c r="G2755" s="21">
        <f t="shared" si="126"/>
        <v>2.e-002</v>
      </c>
      <c r="H2755" s="22">
        <v>0</v>
      </c>
      <c r="I2755" s="23" t="str">
        <f t="shared" si="127"/>
        <v xml:space="preserve">COM VALOR</v>
      </c>
      <c r="J2755" s="19"/>
      <c r="L2755" s="21">
        <v>2.e-002</v>
      </c>
      <c r="M2755" s="22">
        <v>0</v>
      </c>
      <c r="N2755" s="21">
        <v>2.e-002</v>
      </c>
      <c r="O2755" s="22">
        <v>0</v>
      </c>
    </row>
    <row r="2756" ht="38.25">
      <c r="A2756" t="s">
        <v>2030</v>
      </c>
      <c r="B2756" s="19">
        <v>104087</v>
      </c>
      <c r="C2756" s="20" t="s">
        <v>2810</v>
      </c>
      <c r="D2756" s="19" t="s">
        <v>2032</v>
      </c>
      <c r="E2756" s="21">
        <f t="shared" si="125"/>
        <v>4.0000000000000001e-002</v>
      </c>
      <c r="F2756" s="22">
        <v>0</v>
      </c>
      <c r="G2756" s="21">
        <f t="shared" si="126"/>
        <v>4.0000000000000001e-002</v>
      </c>
      <c r="H2756" s="22">
        <v>0</v>
      </c>
      <c r="I2756" s="23" t="str">
        <f t="shared" si="127"/>
        <v xml:space="preserve">COM VALOR</v>
      </c>
      <c r="J2756" s="19"/>
      <c r="L2756" s="21">
        <v>4.0000000000000001e-002</v>
      </c>
      <c r="M2756" s="22">
        <v>0</v>
      </c>
      <c r="N2756" s="21">
        <v>4.0000000000000001e-002</v>
      </c>
      <c r="O2756" s="22">
        <v>0</v>
      </c>
    </row>
    <row r="2757" ht="25.5">
      <c r="A2757" t="s">
        <v>2030</v>
      </c>
      <c r="B2757" s="19">
        <v>104088</v>
      </c>
      <c r="C2757" s="20" t="s">
        <v>2811</v>
      </c>
      <c r="D2757" s="19" t="s">
        <v>2032</v>
      </c>
      <c r="E2757" s="21">
        <f t="shared" si="125"/>
        <v>1.e-002</v>
      </c>
      <c r="F2757" s="22">
        <v>0</v>
      </c>
      <c r="G2757" s="21">
        <f t="shared" si="126"/>
        <v>1.e-002</v>
      </c>
      <c r="H2757" s="22">
        <v>0</v>
      </c>
      <c r="I2757" s="23" t="str">
        <f t="shared" si="127"/>
        <v xml:space="preserve">COM VALOR</v>
      </c>
      <c r="J2757" s="19"/>
      <c r="L2757" s="21">
        <v>1.e-002</v>
      </c>
      <c r="M2757" s="22">
        <v>0</v>
      </c>
      <c r="N2757" s="21">
        <v>1.e-002</v>
      </c>
      <c r="O2757" s="22">
        <v>0</v>
      </c>
    </row>
    <row r="2758" ht="38.25">
      <c r="A2758" t="s">
        <v>2030</v>
      </c>
      <c r="B2758" s="19">
        <v>104089</v>
      </c>
      <c r="C2758" s="20" t="s">
        <v>2812</v>
      </c>
      <c r="D2758" s="19" t="s">
        <v>2032</v>
      </c>
      <c r="E2758" s="21">
        <f t="shared" si="125"/>
        <v>5.0000000000000003e-002</v>
      </c>
      <c r="F2758" s="22">
        <v>0</v>
      </c>
      <c r="G2758" s="21">
        <f t="shared" si="126"/>
        <v>5.0000000000000003e-002</v>
      </c>
      <c r="H2758" s="22">
        <v>0</v>
      </c>
      <c r="I2758" s="23" t="str">
        <f t="shared" si="127"/>
        <v xml:space="preserve">COM VALOR</v>
      </c>
      <c r="J2758" s="19"/>
      <c r="L2758" s="21">
        <v>5.0000000000000003e-002</v>
      </c>
      <c r="M2758" s="22">
        <v>0</v>
      </c>
      <c r="N2758" s="21">
        <v>5.0000000000000003e-002</v>
      </c>
      <c r="O2758" s="22">
        <v>0</v>
      </c>
    </row>
    <row r="2759" ht="38.25">
      <c r="A2759" t="s">
        <v>2030</v>
      </c>
      <c r="B2759" s="19">
        <v>104090</v>
      </c>
      <c r="C2759" s="20" t="s">
        <v>2813</v>
      </c>
      <c r="D2759" s="19" t="s">
        <v>2032</v>
      </c>
      <c r="E2759" s="21">
        <f t="shared" si="125"/>
        <v>0.76000000000000001</v>
      </c>
      <c r="F2759" s="22">
        <v>0</v>
      </c>
      <c r="G2759" s="21">
        <f t="shared" si="126"/>
        <v>0.76000000000000001</v>
      </c>
      <c r="H2759" s="22">
        <v>0</v>
      </c>
      <c r="I2759" s="23" t="str">
        <f t="shared" si="127"/>
        <v xml:space="preserve">COM VALOR</v>
      </c>
      <c r="J2759" s="19"/>
      <c r="L2759" s="21">
        <v>0.76000000000000001</v>
      </c>
      <c r="M2759" s="22">
        <v>0</v>
      </c>
      <c r="N2759" s="21">
        <v>0.76000000000000001</v>
      </c>
      <c r="O2759" s="22">
        <v>0</v>
      </c>
    </row>
    <row r="2760" ht="38.25">
      <c r="A2760" t="s">
        <v>2030</v>
      </c>
      <c r="B2760" s="19">
        <v>104093</v>
      </c>
      <c r="C2760" s="20" t="s">
        <v>2814</v>
      </c>
      <c r="D2760" s="19" t="s">
        <v>2032</v>
      </c>
      <c r="E2760" s="21">
        <f t="shared" si="125"/>
        <v>5.0000000000000003e-002</v>
      </c>
      <c r="F2760" s="22">
        <v>0</v>
      </c>
      <c r="G2760" s="21">
        <f t="shared" si="126"/>
        <v>5.0000000000000003e-002</v>
      </c>
      <c r="H2760" s="22">
        <v>0</v>
      </c>
      <c r="I2760" s="23" t="str">
        <f t="shared" si="127"/>
        <v xml:space="preserve">COM VALOR</v>
      </c>
      <c r="J2760" s="19"/>
      <c r="L2760" s="21">
        <v>5.0000000000000003e-002</v>
      </c>
      <c r="M2760" s="22">
        <v>0</v>
      </c>
      <c r="N2760" s="21">
        <v>5.0000000000000003e-002</v>
      </c>
      <c r="O2760" s="22">
        <v>0</v>
      </c>
    </row>
    <row r="2761" ht="25.5">
      <c r="A2761" t="s">
        <v>2030</v>
      </c>
      <c r="B2761" s="19">
        <v>104094</v>
      </c>
      <c r="C2761" s="20" t="s">
        <v>2815</v>
      </c>
      <c r="D2761" s="19" t="s">
        <v>2032</v>
      </c>
      <c r="E2761" s="21">
        <f t="shared" si="125"/>
        <v>1.e-002</v>
      </c>
      <c r="F2761" s="22">
        <v>0.26000000000000001</v>
      </c>
      <c r="G2761" s="21">
        <f t="shared" si="126"/>
        <v>1.e-002</v>
      </c>
      <c r="H2761" s="22">
        <v>0.26000000000000001</v>
      </c>
      <c r="I2761" s="23" t="str">
        <f t="shared" si="127"/>
        <v xml:space="preserve">COM VALOR</v>
      </c>
      <c r="J2761" s="19"/>
      <c r="L2761" s="21">
        <v>1.e-002</v>
      </c>
      <c r="M2761" s="22">
        <v>0</v>
      </c>
      <c r="N2761" s="21">
        <v>1.e-002</v>
      </c>
      <c r="O2761" s="22">
        <v>0</v>
      </c>
    </row>
    <row r="2762" ht="38.25">
      <c r="A2762" t="s">
        <v>2030</v>
      </c>
      <c r="B2762" s="19">
        <v>104095</v>
      </c>
      <c r="C2762" s="20" t="s">
        <v>2816</v>
      </c>
      <c r="D2762" s="19" t="s">
        <v>2032</v>
      </c>
      <c r="E2762" s="21">
        <f t="shared" si="125"/>
        <v>7.0000000000000007e-002</v>
      </c>
      <c r="F2762" s="22">
        <v>0.27000000000000002</v>
      </c>
      <c r="G2762" s="21">
        <f t="shared" si="126"/>
        <v>7.0000000000000007e-002</v>
      </c>
      <c r="H2762" s="22">
        <v>0.28000000000000003</v>
      </c>
      <c r="I2762" s="23" t="str">
        <f t="shared" si="127"/>
        <v xml:space="preserve">COM VALOR</v>
      </c>
      <c r="J2762" s="19"/>
      <c r="L2762" s="21">
        <v>7.0000000000000007e-002</v>
      </c>
      <c r="M2762" s="22">
        <v>0</v>
      </c>
      <c r="N2762" s="21">
        <v>7.0000000000000007e-002</v>
      </c>
      <c r="O2762" s="22">
        <v>0</v>
      </c>
    </row>
    <row r="2763" ht="38.25">
      <c r="A2763" t="s">
        <v>2030</v>
      </c>
      <c r="B2763" s="19">
        <v>104096</v>
      </c>
      <c r="C2763" s="20" t="s">
        <v>2817</v>
      </c>
      <c r="D2763" s="19" t="s">
        <v>2032</v>
      </c>
      <c r="E2763" s="21">
        <f t="shared" ref="E2763:E2826" si="128">IF(L2763=0,"VERIFICAR",L2763)</f>
        <v>1.0600000000000001</v>
      </c>
      <c r="F2763" s="22">
        <v>0.26000000000000001</v>
      </c>
      <c r="G2763" s="21">
        <f t="shared" ref="G2763:G2826" si="129">IF(N2763=0,"VERIFICAR",N2763)</f>
        <v>1.0600000000000001</v>
      </c>
      <c r="H2763" s="22">
        <v>0.26000000000000001</v>
      </c>
      <c r="I2763" s="23" t="str">
        <f t="shared" ref="I2763:I2826" si="130">IF(OR(E2763=0,G2763=0),"SEM VALOR","COM VALOR")</f>
        <v xml:space="preserve">COM VALOR</v>
      </c>
      <c r="J2763" s="19"/>
      <c r="L2763" s="21">
        <v>1.0600000000000001</v>
      </c>
      <c r="M2763" s="22">
        <v>0</v>
      </c>
      <c r="N2763" s="21">
        <v>1.0600000000000001</v>
      </c>
      <c r="O2763" s="22">
        <v>0</v>
      </c>
    </row>
    <row r="2764" ht="25.5">
      <c r="A2764" t="s">
        <v>2030</v>
      </c>
      <c r="B2764" s="19">
        <v>102900</v>
      </c>
      <c r="C2764" s="20" t="s">
        <v>2818</v>
      </c>
      <c r="D2764" s="19" t="s">
        <v>2032</v>
      </c>
      <c r="E2764" s="21" t="str">
        <f t="shared" si="128"/>
        <v>VERIFICAR</v>
      </c>
      <c r="F2764" s="22">
        <v>0.64000000000000001</v>
      </c>
      <c r="G2764" s="21" t="str">
        <f t="shared" si="129"/>
        <v>VERIFICAR</v>
      </c>
      <c r="H2764" s="22">
        <v>0.65000000000000002</v>
      </c>
      <c r="I2764" s="23" t="str">
        <f t="shared" si="130"/>
        <v xml:space="preserve">COM VALOR</v>
      </c>
      <c r="J2764" s="19"/>
      <c r="L2764" s="21">
        <v>0</v>
      </c>
      <c r="M2764" s="22"/>
      <c r="N2764" s="21">
        <v>0</v>
      </c>
      <c r="O2764" s="22"/>
    </row>
    <row r="2765" ht="25.5">
      <c r="A2765" t="s">
        <v>2030</v>
      </c>
      <c r="B2765" s="19">
        <v>102901</v>
      </c>
      <c r="C2765" s="20" t="s">
        <v>2819</v>
      </c>
      <c r="D2765" s="19" t="s">
        <v>2032</v>
      </c>
      <c r="E2765" s="21" t="str">
        <f t="shared" si="128"/>
        <v>VERIFICAR</v>
      </c>
      <c r="F2765" s="22"/>
      <c r="G2765" s="21" t="str">
        <f t="shared" si="129"/>
        <v>VERIFICAR</v>
      </c>
      <c r="H2765" s="22"/>
      <c r="I2765" s="23" t="str">
        <f t="shared" si="130"/>
        <v xml:space="preserve">COM VALOR</v>
      </c>
      <c r="J2765" s="19"/>
      <c r="L2765" s="21">
        <v>0</v>
      </c>
      <c r="M2765" s="22"/>
      <c r="N2765" s="21">
        <v>0</v>
      </c>
      <c r="O2765" s="22"/>
    </row>
    <row r="2766" ht="25.5">
      <c r="A2766" t="s">
        <v>2030</v>
      </c>
      <c r="B2766" s="19">
        <v>102902</v>
      </c>
      <c r="C2766" s="20" t="s">
        <v>2820</v>
      </c>
      <c r="D2766" s="19" t="s">
        <v>2032</v>
      </c>
      <c r="E2766" s="21" t="str">
        <f t="shared" si="128"/>
        <v>VERIFICAR</v>
      </c>
      <c r="F2766" s="22">
        <v>0.20999999999999999</v>
      </c>
      <c r="G2766" s="21" t="str">
        <f t="shared" si="129"/>
        <v>VERIFICAR</v>
      </c>
      <c r="H2766" s="22">
        <v>0.22</v>
      </c>
      <c r="I2766" s="23" t="str">
        <f t="shared" si="130"/>
        <v xml:space="preserve">COM VALOR</v>
      </c>
      <c r="J2766" s="19"/>
      <c r="L2766" s="21">
        <v>0</v>
      </c>
      <c r="M2766" s="22"/>
      <c r="N2766" s="21">
        <v>0</v>
      </c>
      <c r="O2766" s="22"/>
    </row>
    <row r="2767" ht="25.5">
      <c r="A2767" t="s">
        <v>2030</v>
      </c>
      <c r="B2767" s="19">
        <v>102903</v>
      </c>
      <c r="C2767" s="20" t="s">
        <v>2821</v>
      </c>
      <c r="D2767" s="19" t="s">
        <v>2032</v>
      </c>
      <c r="E2767" s="21">
        <f t="shared" si="128"/>
        <v>13.24</v>
      </c>
      <c r="F2767" s="22">
        <v>0.53000000000000003</v>
      </c>
      <c r="G2767" s="21">
        <f t="shared" si="129"/>
        <v>13.24</v>
      </c>
      <c r="H2767" s="22">
        <v>0.54000000000000004</v>
      </c>
      <c r="I2767" s="23" t="str">
        <f t="shared" si="130"/>
        <v xml:space="preserve">COM VALOR</v>
      </c>
      <c r="J2767" s="19"/>
      <c r="L2767" s="21">
        <v>13.24</v>
      </c>
      <c r="M2767" s="22">
        <v>0</v>
      </c>
      <c r="N2767" s="21">
        <v>13.24</v>
      </c>
      <c r="O2767" s="22">
        <v>0</v>
      </c>
    </row>
    <row r="2768" ht="25.5">
      <c r="A2768" t="s">
        <v>2030</v>
      </c>
      <c r="B2768" s="19">
        <v>89029</v>
      </c>
      <c r="C2768" s="20" t="s">
        <v>2822</v>
      </c>
      <c r="D2768" s="19" t="s">
        <v>2032</v>
      </c>
      <c r="E2768" s="21">
        <f t="shared" si="128"/>
        <v>34.780000000000001</v>
      </c>
      <c r="F2768" s="22">
        <v>0.31</v>
      </c>
      <c r="G2768" s="21">
        <f t="shared" si="129"/>
        <v>34.780000000000001</v>
      </c>
      <c r="H2768" s="22">
        <v>0.31</v>
      </c>
      <c r="I2768" s="23" t="str">
        <f t="shared" si="130"/>
        <v xml:space="preserve">COM VALOR</v>
      </c>
      <c r="J2768" s="19"/>
      <c r="L2768" s="21">
        <v>34.780000000000001</v>
      </c>
      <c r="M2768" s="22">
        <v>1</v>
      </c>
      <c r="N2768" s="21">
        <v>34.780000000000001</v>
      </c>
      <c r="O2768" s="22">
        <v>1</v>
      </c>
    </row>
    <row r="2769" ht="25.5">
      <c r="A2769" t="s">
        <v>2030</v>
      </c>
      <c r="B2769" s="19">
        <v>89030</v>
      </c>
      <c r="C2769" s="20" t="s">
        <v>2823</v>
      </c>
      <c r="D2769" s="19" t="s">
        <v>2032</v>
      </c>
      <c r="E2769" s="21">
        <f t="shared" si="128"/>
        <v>15.32</v>
      </c>
      <c r="F2769" s="22">
        <v>0</v>
      </c>
      <c r="G2769" s="21">
        <f t="shared" si="129"/>
        <v>15.32</v>
      </c>
      <c r="H2769" s="22">
        <v>0</v>
      </c>
      <c r="I2769" s="23" t="str">
        <f t="shared" si="130"/>
        <v xml:space="preserve">COM VALOR</v>
      </c>
      <c r="J2769" s="19"/>
      <c r="L2769" s="21">
        <v>15.32</v>
      </c>
      <c r="M2769" s="22">
        <v>1</v>
      </c>
      <c r="N2769" s="21">
        <v>15.32</v>
      </c>
      <c r="O2769" s="22">
        <v>1</v>
      </c>
    </row>
    <row r="2770" ht="25.5">
      <c r="A2770" t="s">
        <v>2030</v>
      </c>
      <c r="B2770" s="19">
        <v>5724</v>
      </c>
      <c r="C2770" s="20" t="s">
        <v>2824</v>
      </c>
      <c r="D2770" s="19" t="s">
        <v>2032</v>
      </c>
      <c r="E2770" s="21">
        <f t="shared" si="128"/>
        <v>62.18</v>
      </c>
      <c r="F2770" s="22">
        <v>0.19</v>
      </c>
      <c r="G2770" s="21">
        <f t="shared" si="129"/>
        <v>62.18</v>
      </c>
      <c r="H2770" s="22">
        <v>0.19</v>
      </c>
      <c r="I2770" s="23" t="str">
        <f t="shared" si="130"/>
        <v xml:space="preserve">COM VALOR</v>
      </c>
      <c r="J2770" s="19"/>
      <c r="L2770" s="21">
        <v>62.18</v>
      </c>
      <c r="M2770" s="22">
        <v>1</v>
      </c>
      <c r="N2770" s="21">
        <v>62.18</v>
      </c>
      <c r="O2770" s="22">
        <v>1</v>
      </c>
    </row>
    <row r="2771" ht="25.5">
      <c r="A2771" t="s">
        <v>2030</v>
      </c>
      <c r="B2771" s="19">
        <v>53817</v>
      </c>
      <c r="C2771" s="20" t="s">
        <v>2825</v>
      </c>
      <c r="D2771" s="19" t="s">
        <v>2032</v>
      </c>
      <c r="E2771" s="21">
        <f t="shared" si="128"/>
        <v>70.879999999999995</v>
      </c>
      <c r="F2771" s="22">
        <v>0.17000000000000001</v>
      </c>
      <c r="G2771" s="21">
        <f t="shared" si="129"/>
        <v>70.879999999999995</v>
      </c>
      <c r="H2771" s="22">
        <v>0.17000000000000001</v>
      </c>
      <c r="I2771" s="23" t="str">
        <f t="shared" si="130"/>
        <v xml:space="preserve">COM VALOR</v>
      </c>
      <c r="J2771" s="19"/>
      <c r="L2771" s="21">
        <v>70.879999999999995</v>
      </c>
      <c r="M2771" s="22">
        <v>0</v>
      </c>
      <c r="N2771" s="21">
        <v>70.879999999999995</v>
      </c>
      <c r="O2771" s="22">
        <v>0</v>
      </c>
    </row>
    <row r="2772" ht="25.5">
      <c r="A2772" t="s">
        <v>2030</v>
      </c>
      <c r="B2772" s="19">
        <v>88839</v>
      </c>
      <c r="C2772" s="20" t="s">
        <v>2826</v>
      </c>
      <c r="D2772" s="19" t="s">
        <v>2032</v>
      </c>
      <c r="E2772" s="21">
        <f t="shared" si="128"/>
        <v>36.399999999999999</v>
      </c>
      <c r="F2772" s="22">
        <v>0.38</v>
      </c>
      <c r="G2772" s="21">
        <f t="shared" si="129"/>
        <v>36.399999999999999</v>
      </c>
      <c r="H2772" s="22">
        <v>0.38</v>
      </c>
      <c r="I2772" s="23" t="str">
        <f t="shared" si="130"/>
        <v xml:space="preserve">COM VALOR</v>
      </c>
      <c r="J2772" s="19"/>
      <c r="L2772" s="21">
        <v>36.399999999999999</v>
      </c>
      <c r="M2772" s="22">
        <v>1</v>
      </c>
      <c r="N2772" s="21">
        <v>36.399999999999999</v>
      </c>
      <c r="O2772" s="22">
        <v>1</v>
      </c>
    </row>
    <row r="2773" ht="25.5">
      <c r="A2773" t="s">
        <v>2030</v>
      </c>
      <c r="B2773" s="19">
        <v>88840</v>
      </c>
      <c r="C2773" s="20" t="s">
        <v>2827</v>
      </c>
      <c r="D2773" s="19" t="s">
        <v>2032</v>
      </c>
      <c r="E2773" s="21">
        <f t="shared" si="128"/>
        <v>16.030000000000001</v>
      </c>
      <c r="F2773" s="22">
        <v>0</v>
      </c>
      <c r="G2773" s="21">
        <f t="shared" si="129"/>
        <v>16.030000000000001</v>
      </c>
      <c r="H2773" s="22">
        <v>0</v>
      </c>
      <c r="I2773" s="23" t="str">
        <f t="shared" si="130"/>
        <v xml:space="preserve">COM VALOR</v>
      </c>
      <c r="J2773" s="19"/>
      <c r="L2773" s="21">
        <v>16.030000000000001</v>
      </c>
      <c r="M2773" s="22">
        <v>1</v>
      </c>
      <c r="N2773" s="21">
        <v>16.030000000000001</v>
      </c>
      <c r="O2773" s="22">
        <v>1</v>
      </c>
    </row>
    <row r="2774" ht="25.5">
      <c r="A2774" t="s">
        <v>2030</v>
      </c>
      <c r="B2774" s="19">
        <v>88841</v>
      </c>
      <c r="C2774" s="20" t="s">
        <v>2828</v>
      </c>
      <c r="D2774" s="19" t="s">
        <v>2032</v>
      </c>
      <c r="E2774" s="21">
        <f t="shared" si="128"/>
        <v>65.079999999999998</v>
      </c>
      <c r="F2774" s="22">
        <v>0.19</v>
      </c>
      <c r="G2774" s="21">
        <f t="shared" si="129"/>
        <v>65.079999999999998</v>
      </c>
      <c r="H2774" s="22">
        <v>0.19</v>
      </c>
      <c r="I2774" s="23" t="str">
        <f t="shared" si="130"/>
        <v xml:space="preserve">COM VALOR</v>
      </c>
      <c r="J2774" s="19"/>
      <c r="L2774" s="21">
        <v>65.079999999999998</v>
      </c>
      <c r="M2774" s="22">
        <v>1</v>
      </c>
      <c r="N2774" s="21">
        <v>65.079999999999998</v>
      </c>
      <c r="O2774" s="22">
        <v>1</v>
      </c>
    </row>
    <row r="2775" ht="25.5">
      <c r="A2775" t="s">
        <v>2030</v>
      </c>
      <c r="B2775" s="19">
        <v>88842</v>
      </c>
      <c r="C2775" s="20" t="s">
        <v>2829</v>
      </c>
      <c r="D2775" s="19" t="s">
        <v>2032</v>
      </c>
      <c r="E2775" s="21">
        <f t="shared" si="128"/>
        <v>88.670000000000002</v>
      </c>
      <c r="F2775" s="22">
        <v>0.33000000000000002</v>
      </c>
      <c r="G2775" s="21">
        <f t="shared" si="129"/>
        <v>88.670000000000002</v>
      </c>
      <c r="H2775" s="22">
        <v>0.33000000000000002</v>
      </c>
      <c r="I2775" s="23" t="str">
        <f t="shared" si="130"/>
        <v xml:space="preserve">COM VALOR</v>
      </c>
      <c r="J2775" s="19"/>
      <c r="L2775" s="21">
        <v>88.670000000000002</v>
      </c>
      <c r="M2775" s="22">
        <v>0</v>
      </c>
      <c r="N2775" s="21">
        <v>88.670000000000002</v>
      </c>
      <c r="O2775" s="22">
        <v>0</v>
      </c>
    </row>
    <row r="2776" ht="38.25">
      <c r="A2776" t="s">
        <v>2030</v>
      </c>
      <c r="B2776" s="19">
        <v>89009</v>
      </c>
      <c r="C2776" s="20" t="s">
        <v>2830</v>
      </c>
      <c r="D2776" s="19" t="s">
        <v>2032</v>
      </c>
      <c r="E2776" s="21">
        <f t="shared" si="128"/>
        <v>45.090000000000003</v>
      </c>
      <c r="F2776" s="22">
        <v>0.29999999999999999</v>
      </c>
      <c r="G2776" s="21">
        <f t="shared" si="129"/>
        <v>45.090000000000003</v>
      </c>
      <c r="H2776" s="22">
        <v>0.29999999999999999</v>
      </c>
      <c r="I2776" s="23" t="str">
        <f t="shared" si="130"/>
        <v xml:space="preserve">COM VALOR</v>
      </c>
      <c r="J2776" s="19"/>
      <c r="L2776" s="21">
        <v>45.090000000000003</v>
      </c>
      <c r="M2776" s="22">
        <v>1</v>
      </c>
      <c r="N2776" s="21">
        <v>45.090000000000003</v>
      </c>
      <c r="O2776" s="22">
        <v>1</v>
      </c>
    </row>
    <row r="2777" ht="25.5">
      <c r="A2777" t="s">
        <v>2030</v>
      </c>
      <c r="B2777" s="19">
        <v>89010</v>
      </c>
      <c r="C2777" s="20" t="s">
        <v>2831</v>
      </c>
      <c r="D2777" s="19" t="s">
        <v>2032</v>
      </c>
      <c r="E2777" s="21">
        <f t="shared" si="128"/>
        <v>19.859999999999999</v>
      </c>
      <c r="F2777" s="22">
        <v>0.28000000000000003</v>
      </c>
      <c r="G2777" s="21">
        <f t="shared" si="129"/>
        <v>19.859999999999999</v>
      </c>
      <c r="H2777" s="22">
        <v>0.28999999999999998</v>
      </c>
      <c r="I2777" s="23" t="str">
        <f t="shared" si="130"/>
        <v xml:space="preserve">COM VALOR</v>
      </c>
      <c r="J2777" s="19"/>
      <c r="L2777" s="21">
        <v>19.859999999999999</v>
      </c>
      <c r="M2777" s="22">
        <v>1</v>
      </c>
      <c r="N2777" s="21">
        <v>19.859999999999999</v>
      </c>
      <c r="O2777" s="22">
        <v>1</v>
      </c>
    </row>
    <row r="2778" ht="38.25">
      <c r="A2778" t="s">
        <v>2030</v>
      </c>
      <c r="B2778" s="19">
        <v>53810</v>
      </c>
      <c r="C2778" s="20" t="s">
        <v>2832</v>
      </c>
      <c r="D2778" s="19" t="s">
        <v>2032</v>
      </c>
      <c r="E2778" s="21">
        <f t="shared" si="128"/>
        <v>80.620000000000005</v>
      </c>
      <c r="F2778" s="22">
        <v>0.29999999999999999</v>
      </c>
      <c r="G2778" s="21">
        <f t="shared" si="129"/>
        <v>80.620000000000005</v>
      </c>
      <c r="H2778" s="22">
        <v>0.31</v>
      </c>
      <c r="I2778" s="23" t="str">
        <f t="shared" si="130"/>
        <v xml:space="preserve">COM VALOR</v>
      </c>
      <c r="J2778" s="19"/>
      <c r="L2778" s="21">
        <v>80.620000000000005</v>
      </c>
      <c r="M2778" s="22">
        <v>1</v>
      </c>
      <c r="N2778" s="21">
        <v>80.620000000000005</v>
      </c>
      <c r="O2778" s="22">
        <v>1</v>
      </c>
    </row>
    <row r="2779" ht="38.25">
      <c r="A2779" t="s">
        <v>2030</v>
      </c>
      <c r="B2779" s="19">
        <v>5721</v>
      </c>
      <c r="C2779" s="20" t="s">
        <v>2833</v>
      </c>
      <c r="D2779" s="19" t="s">
        <v>2032</v>
      </c>
      <c r="E2779" s="21">
        <f t="shared" si="128"/>
        <v>106.39</v>
      </c>
      <c r="F2779" s="22">
        <v>0.45000000000000001</v>
      </c>
      <c r="G2779" s="21">
        <f t="shared" si="129"/>
        <v>106.39</v>
      </c>
      <c r="H2779" s="22">
        <v>0.46000000000000002</v>
      </c>
      <c r="I2779" s="23" t="str">
        <f t="shared" si="130"/>
        <v xml:space="preserve">COM VALOR</v>
      </c>
      <c r="J2779" s="19"/>
      <c r="L2779" s="21">
        <v>106.39</v>
      </c>
      <c r="M2779" s="22">
        <v>0</v>
      </c>
      <c r="N2779" s="21">
        <v>106.39</v>
      </c>
      <c r="O2779" s="22">
        <v>0</v>
      </c>
    </row>
    <row r="2780" ht="25.5">
      <c r="A2780" t="s">
        <v>2030</v>
      </c>
      <c r="B2780" s="19">
        <v>89017</v>
      </c>
      <c r="C2780" s="20" t="s">
        <v>2834</v>
      </c>
      <c r="D2780" s="19" t="s">
        <v>2032</v>
      </c>
      <c r="E2780" s="21">
        <f t="shared" si="128"/>
        <v>44.810000000000002</v>
      </c>
      <c r="F2780" s="22">
        <v>0.42999999999999999</v>
      </c>
      <c r="G2780" s="21">
        <f t="shared" si="129"/>
        <v>44.810000000000002</v>
      </c>
      <c r="H2780" s="22">
        <v>0.44</v>
      </c>
      <c r="I2780" s="23" t="str">
        <f t="shared" si="130"/>
        <v xml:space="preserve">COM VALOR</v>
      </c>
      <c r="J2780" s="19"/>
      <c r="L2780" s="21">
        <v>44.810000000000002</v>
      </c>
      <c r="M2780" s="22">
        <v>1</v>
      </c>
      <c r="N2780" s="21">
        <v>44.810000000000002</v>
      </c>
      <c r="O2780" s="22">
        <v>1</v>
      </c>
    </row>
    <row r="2781" ht="25.5">
      <c r="A2781" t="s">
        <v>2030</v>
      </c>
      <c r="B2781" s="19">
        <v>89018</v>
      </c>
      <c r="C2781" s="20" t="s">
        <v>2835</v>
      </c>
      <c r="D2781" s="19" t="s">
        <v>2032</v>
      </c>
      <c r="E2781" s="21">
        <f t="shared" si="128"/>
        <v>19.739999999999998</v>
      </c>
      <c r="F2781" s="22">
        <v>0.13</v>
      </c>
      <c r="G2781" s="21">
        <f t="shared" si="129"/>
        <v>19.739999999999998</v>
      </c>
      <c r="H2781" s="22">
        <v>0.13</v>
      </c>
      <c r="I2781" s="23" t="str">
        <f t="shared" si="130"/>
        <v xml:space="preserve">COM VALOR</v>
      </c>
      <c r="J2781" s="19"/>
      <c r="L2781" s="21">
        <v>19.739999999999998</v>
      </c>
      <c r="M2781" s="22">
        <v>1</v>
      </c>
      <c r="N2781" s="21">
        <v>19.739999999999998</v>
      </c>
      <c r="O2781" s="22">
        <v>1</v>
      </c>
    </row>
    <row r="2782" ht="25.5">
      <c r="A2782" t="s">
        <v>2030</v>
      </c>
      <c r="B2782" s="19">
        <v>53806</v>
      </c>
      <c r="C2782" s="20" t="s">
        <v>2836</v>
      </c>
      <c r="D2782" s="19" t="s">
        <v>2032</v>
      </c>
      <c r="E2782" s="21">
        <f t="shared" si="128"/>
        <v>80.120000000000005</v>
      </c>
      <c r="F2782" s="22">
        <v>0.12</v>
      </c>
      <c r="G2782" s="21">
        <f t="shared" si="129"/>
        <v>80.120000000000005</v>
      </c>
      <c r="H2782" s="22">
        <v>0.12</v>
      </c>
      <c r="I2782" s="23" t="str">
        <f t="shared" si="130"/>
        <v xml:space="preserve">COM VALOR</v>
      </c>
      <c r="J2782" s="19"/>
      <c r="L2782" s="21">
        <v>80.120000000000005</v>
      </c>
      <c r="M2782" s="22">
        <v>1</v>
      </c>
      <c r="N2782" s="21">
        <v>80.120000000000005</v>
      </c>
      <c r="O2782" s="22">
        <v>1</v>
      </c>
    </row>
    <row r="2783" ht="25.5">
      <c r="A2783" t="s">
        <v>2030</v>
      </c>
      <c r="B2783" s="19">
        <v>5718</v>
      </c>
      <c r="C2783" s="20" t="s">
        <v>2837</v>
      </c>
      <c r="D2783" s="19" t="s">
        <v>2032</v>
      </c>
      <c r="E2783" s="21">
        <f t="shared" si="128"/>
        <v>120.59</v>
      </c>
      <c r="F2783" s="22">
        <v>0.38</v>
      </c>
      <c r="G2783" s="21">
        <f t="shared" si="129"/>
        <v>120.59</v>
      </c>
      <c r="H2783" s="22">
        <v>0.38</v>
      </c>
      <c r="I2783" s="23" t="str">
        <f t="shared" si="130"/>
        <v xml:space="preserve">COM VALOR</v>
      </c>
      <c r="J2783" s="19"/>
      <c r="L2783" s="21">
        <v>120.59</v>
      </c>
      <c r="M2783" s="22">
        <v>0</v>
      </c>
      <c r="N2783" s="21">
        <v>120.59</v>
      </c>
      <c r="O2783" s="22">
        <v>0</v>
      </c>
    </row>
    <row r="2784" ht="25.5">
      <c r="A2784" t="s">
        <v>2030</v>
      </c>
      <c r="B2784" s="19">
        <v>89013</v>
      </c>
      <c r="C2784" s="20" t="s">
        <v>2838</v>
      </c>
      <c r="D2784" s="19" t="s">
        <v>2032</v>
      </c>
      <c r="E2784" s="21">
        <f t="shared" si="128"/>
        <v>147.71000000000001</v>
      </c>
      <c r="F2784" s="22">
        <v>0.34999999999999998</v>
      </c>
      <c r="G2784" s="21">
        <f t="shared" si="129"/>
        <v>147.71000000000001</v>
      </c>
      <c r="H2784" s="22">
        <v>0.34999999999999998</v>
      </c>
      <c r="I2784" s="23" t="str">
        <f t="shared" si="130"/>
        <v xml:space="preserve">COM VALOR</v>
      </c>
      <c r="J2784" s="19"/>
      <c r="L2784" s="21">
        <v>147.71000000000001</v>
      </c>
      <c r="M2784" s="22">
        <v>1</v>
      </c>
      <c r="N2784" s="21">
        <v>147.71000000000001</v>
      </c>
      <c r="O2784" s="22">
        <v>1</v>
      </c>
    </row>
    <row r="2785" ht="25.5">
      <c r="A2785" t="s">
        <v>2030</v>
      </c>
      <c r="B2785" s="19">
        <v>89014</v>
      </c>
      <c r="C2785" s="20" t="s">
        <v>2839</v>
      </c>
      <c r="D2785" s="19" t="s">
        <v>2032</v>
      </c>
      <c r="E2785" s="21">
        <f t="shared" si="128"/>
        <v>65.060000000000002</v>
      </c>
      <c r="F2785" s="22">
        <v>0</v>
      </c>
      <c r="G2785" s="21">
        <f t="shared" si="129"/>
        <v>65.060000000000002</v>
      </c>
      <c r="H2785" s="22">
        <v>0</v>
      </c>
      <c r="I2785" s="23" t="str">
        <f t="shared" si="130"/>
        <v xml:space="preserve">COM VALOR</v>
      </c>
      <c r="J2785" s="19"/>
      <c r="L2785" s="21">
        <v>65.060000000000002</v>
      </c>
      <c r="M2785" s="22">
        <v>1</v>
      </c>
      <c r="N2785" s="21">
        <v>65.060000000000002</v>
      </c>
      <c r="O2785" s="22">
        <v>1</v>
      </c>
    </row>
    <row r="2786" ht="25.5">
      <c r="A2786" t="s">
        <v>2030</v>
      </c>
      <c r="B2786" s="19">
        <v>53814</v>
      </c>
      <c r="C2786" s="20" t="s">
        <v>2840</v>
      </c>
      <c r="D2786" s="19" t="s">
        <v>2032</v>
      </c>
      <c r="E2786" s="21">
        <f t="shared" si="128"/>
        <v>264.06999999999999</v>
      </c>
      <c r="F2786" s="22">
        <v>0</v>
      </c>
      <c r="G2786" s="21">
        <f t="shared" si="129"/>
        <v>264.06999999999999</v>
      </c>
      <c r="H2786" s="22">
        <v>0</v>
      </c>
      <c r="I2786" s="23" t="str">
        <f t="shared" si="130"/>
        <v xml:space="preserve">COM VALOR</v>
      </c>
      <c r="J2786" s="19"/>
      <c r="L2786" s="21">
        <v>264.06999999999999</v>
      </c>
      <c r="M2786" s="22">
        <v>1</v>
      </c>
      <c r="N2786" s="21">
        <v>264.06999999999999</v>
      </c>
      <c r="O2786" s="22">
        <v>1</v>
      </c>
    </row>
    <row r="2787" ht="25.5">
      <c r="A2787" t="s">
        <v>2030</v>
      </c>
      <c r="B2787" s="19">
        <v>5722</v>
      </c>
      <c r="C2787" s="20" t="s">
        <v>2841</v>
      </c>
      <c r="D2787" s="19" t="s">
        <v>2032</v>
      </c>
      <c r="E2787" s="21">
        <f t="shared" si="128"/>
        <v>246.06</v>
      </c>
      <c r="F2787" s="22">
        <v>0.20999999999999999</v>
      </c>
      <c r="G2787" s="21">
        <f t="shared" si="129"/>
        <v>246.06</v>
      </c>
      <c r="H2787" s="22">
        <v>0.22</v>
      </c>
      <c r="I2787" s="23" t="str">
        <f t="shared" si="130"/>
        <v xml:space="preserve">COM VALOR</v>
      </c>
      <c r="J2787" s="19"/>
      <c r="L2787" s="21">
        <v>246.06</v>
      </c>
      <c r="M2787" s="22">
        <v>0</v>
      </c>
      <c r="N2787" s="21">
        <v>246.06</v>
      </c>
      <c r="O2787" s="22">
        <v>0</v>
      </c>
    </row>
    <row r="2788" ht="25.5">
      <c r="A2788" t="s">
        <v>2030</v>
      </c>
      <c r="B2788" s="19">
        <v>96015</v>
      </c>
      <c r="C2788" s="20" t="s">
        <v>2842</v>
      </c>
      <c r="D2788" s="19" t="s">
        <v>2032</v>
      </c>
      <c r="E2788" s="21">
        <f t="shared" si="128"/>
        <v>21.280000000000001</v>
      </c>
      <c r="F2788" s="22">
        <v>0.20000000000000001</v>
      </c>
      <c r="G2788" s="21">
        <f t="shared" si="129"/>
        <v>21.280000000000001</v>
      </c>
      <c r="H2788" s="22">
        <v>0.20000000000000001</v>
      </c>
      <c r="I2788" s="23" t="str">
        <f t="shared" si="130"/>
        <v xml:space="preserve">COM VALOR</v>
      </c>
      <c r="J2788" s="19"/>
      <c r="L2788" s="21">
        <v>21.280000000000001</v>
      </c>
      <c r="M2788" s="22">
        <v>1</v>
      </c>
      <c r="N2788" s="21">
        <v>21.280000000000001</v>
      </c>
      <c r="O2788" s="22">
        <v>1</v>
      </c>
    </row>
    <row r="2789" ht="25.5">
      <c r="A2789" t="s">
        <v>2030</v>
      </c>
      <c r="B2789" s="19">
        <v>96016</v>
      </c>
      <c r="C2789" s="20" t="s">
        <v>2843</v>
      </c>
      <c r="D2789" s="19" t="s">
        <v>2032</v>
      </c>
      <c r="E2789" s="21">
        <f t="shared" si="128"/>
        <v>5.7000000000000002</v>
      </c>
      <c r="F2789" s="22">
        <v>0.46999999999999997</v>
      </c>
      <c r="G2789" s="21">
        <f t="shared" si="129"/>
        <v>5.7000000000000002</v>
      </c>
      <c r="H2789" s="22">
        <v>0.47999999999999998</v>
      </c>
      <c r="I2789" s="23" t="str">
        <f t="shared" si="130"/>
        <v xml:space="preserve">COM VALOR</v>
      </c>
      <c r="J2789" s="19"/>
      <c r="L2789" s="21">
        <v>5.7000000000000002</v>
      </c>
      <c r="M2789" s="22">
        <v>1</v>
      </c>
      <c r="N2789" s="21">
        <v>5.7000000000000002</v>
      </c>
      <c r="O2789" s="22">
        <v>1</v>
      </c>
    </row>
    <row r="2790" ht="25.5">
      <c r="A2790" t="s">
        <v>2030</v>
      </c>
      <c r="B2790" s="19">
        <v>96018</v>
      </c>
      <c r="C2790" s="20" t="s">
        <v>2844</v>
      </c>
      <c r="D2790" s="19" t="s">
        <v>2032</v>
      </c>
      <c r="E2790" s="21">
        <f t="shared" si="128"/>
        <v>23.289999999999999</v>
      </c>
      <c r="F2790" s="22">
        <v>0</v>
      </c>
      <c r="G2790" s="21">
        <f t="shared" si="129"/>
        <v>23.289999999999999</v>
      </c>
      <c r="H2790" s="22">
        <v>0</v>
      </c>
      <c r="I2790" s="23" t="str">
        <f t="shared" si="130"/>
        <v xml:space="preserve">COM VALOR</v>
      </c>
      <c r="J2790" s="19"/>
      <c r="L2790" s="21">
        <v>23.289999999999999</v>
      </c>
      <c r="M2790" s="22">
        <v>1</v>
      </c>
      <c r="N2790" s="21">
        <v>23.289999999999999</v>
      </c>
      <c r="O2790" s="22">
        <v>1</v>
      </c>
    </row>
    <row r="2791" ht="25.5">
      <c r="A2791" t="s">
        <v>2030</v>
      </c>
      <c r="B2791" s="19">
        <v>96019</v>
      </c>
      <c r="C2791" s="20" t="s">
        <v>2845</v>
      </c>
      <c r="D2791" s="19" t="s">
        <v>2032</v>
      </c>
      <c r="E2791" s="21">
        <f t="shared" si="128"/>
        <v>109.72</v>
      </c>
      <c r="F2791" s="22">
        <v>0.66000000000000003</v>
      </c>
      <c r="G2791" s="21">
        <f t="shared" si="129"/>
        <v>109.72</v>
      </c>
      <c r="H2791" s="22">
        <v>0.66000000000000003</v>
      </c>
      <c r="I2791" s="23" t="str">
        <f t="shared" si="130"/>
        <v xml:space="preserve">COM VALOR</v>
      </c>
      <c r="J2791" s="19"/>
      <c r="L2791" s="21">
        <v>109.72</v>
      </c>
      <c r="M2791" s="22">
        <v>0</v>
      </c>
      <c r="N2791" s="21">
        <v>109.72</v>
      </c>
      <c r="O2791" s="22">
        <v>0</v>
      </c>
    </row>
    <row r="2792" ht="25.5">
      <c r="A2792" t="s">
        <v>2030</v>
      </c>
      <c r="B2792" s="19">
        <v>96008</v>
      </c>
      <c r="C2792" s="20" t="s">
        <v>2846</v>
      </c>
      <c r="D2792" s="19" t="s">
        <v>2032</v>
      </c>
      <c r="E2792" s="21">
        <f t="shared" si="128"/>
        <v>21.48</v>
      </c>
      <c r="F2792" s="22">
        <v>0.71999999999999997</v>
      </c>
      <c r="G2792" s="21">
        <f t="shared" si="129"/>
        <v>21.48</v>
      </c>
      <c r="H2792" s="22">
        <v>0.71999999999999997</v>
      </c>
      <c r="I2792" s="23" t="str">
        <f t="shared" si="130"/>
        <v xml:space="preserve">COM VALOR</v>
      </c>
      <c r="J2792" s="19"/>
      <c r="L2792" s="21">
        <v>21.48</v>
      </c>
      <c r="M2792" s="22">
        <v>1</v>
      </c>
      <c r="N2792" s="21">
        <v>21.48</v>
      </c>
      <c r="O2792" s="22">
        <v>1</v>
      </c>
    </row>
    <row r="2793" ht="25.5">
      <c r="A2793" t="s">
        <v>2030</v>
      </c>
      <c r="B2793" s="19">
        <v>96009</v>
      </c>
      <c r="C2793" s="20" t="s">
        <v>2847</v>
      </c>
      <c r="D2793" s="19" t="s">
        <v>2032</v>
      </c>
      <c r="E2793" s="21">
        <f t="shared" si="128"/>
        <v>5.7599999999999998</v>
      </c>
      <c r="F2793" s="22">
        <v>0.35999999999999999</v>
      </c>
      <c r="G2793" s="21">
        <f t="shared" si="129"/>
        <v>5.7599999999999998</v>
      </c>
      <c r="H2793" s="22">
        <v>0.37</v>
      </c>
      <c r="I2793" s="23" t="str">
        <f t="shared" si="130"/>
        <v xml:space="preserve">COM VALOR</v>
      </c>
      <c r="J2793" s="19"/>
      <c r="L2793" s="21">
        <v>5.7599999999999998</v>
      </c>
      <c r="M2793" s="22">
        <v>1</v>
      </c>
      <c r="N2793" s="21">
        <v>5.7599999999999998</v>
      </c>
      <c r="O2793" s="22">
        <v>1</v>
      </c>
    </row>
    <row r="2794" ht="25.5">
      <c r="A2794" t="s">
        <v>2030</v>
      </c>
      <c r="B2794" s="19">
        <v>96011</v>
      </c>
      <c r="C2794" s="20" t="s">
        <v>2848</v>
      </c>
      <c r="D2794" s="19" t="s">
        <v>2032</v>
      </c>
      <c r="E2794" s="21">
        <f t="shared" si="128"/>
        <v>23.510000000000002</v>
      </c>
      <c r="F2794" s="22">
        <v>0.57999999999999996</v>
      </c>
      <c r="G2794" s="21">
        <f t="shared" si="129"/>
        <v>23.510000000000002</v>
      </c>
      <c r="H2794" s="22">
        <v>0.58999999999999997</v>
      </c>
      <c r="I2794" s="23" t="str">
        <f t="shared" si="130"/>
        <v xml:space="preserve">COM VALOR</v>
      </c>
      <c r="J2794" s="19"/>
      <c r="L2794" s="21">
        <v>23.510000000000002</v>
      </c>
      <c r="M2794" s="22">
        <v>1</v>
      </c>
      <c r="N2794" s="21">
        <v>23.510000000000002</v>
      </c>
      <c r="O2794" s="22">
        <v>1</v>
      </c>
    </row>
    <row r="2795" ht="38.25">
      <c r="A2795" t="s">
        <v>2030</v>
      </c>
      <c r="B2795" s="19">
        <v>96012</v>
      </c>
      <c r="C2795" s="20" t="s">
        <v>2849</v>
      </c>
      <c r="D2795" s="19" t="s">
        <v>2032</v>
      </c>
      <c r="E2795" s="21">
        <f t="shared" si="128"/>
        <v>109.72</v>
      </c>
      <c r="F2795" s="22">
        <v>0</v>
      </c>
      <c r="G2795" s="21">
        <f t="shared" si="129"/>
        <v>109.72</v>
      </c>
      <c r="H2795" s="22">
        <v>0</v>
      </c>
      <c r="I2795" s="23" t="str">
        <f t="shared" si="130"/>
        <v xml:space="preserve">COM VALOR</v>
      </c>
      <c r="J2795" s="19"/>
      <c r="L2795" s="21">
        <v>109.72</v>
      </c>
      <c r="M2795" s="22">
        <v>0</v>
      </c>
      <c r="N2795" s="21">
        <v>109.72</v>
      </c>
      <c r="O2795" s="22">
        <v>0</v>
      </c>
    </row>
    <row r="2796" ht="25.5">
      <c r="A2796" t="s">
        <v>2030</v>
      </c>
      <c r="B2796" s="19">
        <v>96023</v>
      </c>
      <c r="C2796" s="20" t="s">
        <v>2850</v>
      </c>
      <c r="D2796" s="19" t="s">
        <v>2032</v>
      </c>
      <c r="E2796" s="21">
        <f t="shared" si="128"/>
        <v>16.5</v>
      </c>
      <c r="F2796" s="22">
        <v>0.20000000000000001</v>
      </c>
      <c r="G2796" s="21">
        <f t="shared" si="129"/>
        <v>16.5</v>
      </c>
      <c r="H2796" s="22">
        <v>0.20000000000000001</v>
      </c>
      <c r="I2796" s="23" t="str">
        <f t="shared" si="130"/>
        <v xml:space="preserve">COM VALOR</v>
      </c>
      <c r="J2796" s="19"/>
      <c r="L2796" s="21">
        <v>16.5</v>
      </c>
      <c r="M2796" s="22">
        <v>1</v>
      </c>
      <c r="N2796" s="21">
        <v>16.5</v>
      </c>
      <c r="O2796" s="22">
        <v>1</v>
      </c>
    </row>
    <row r="2797" ht="25.5">
      <c r="A2797" t="s">
        <v>2030</v>
      </c>
      <c r="B2797" s="19">
        <v>96024</v>
      </c>
      <c r="C2797" s="20" t="s">
        <v>2851</v>
      </c>
      <c r="D2797" s="19" t="s">
        <v>2032</v>
      </c>
      <c r="E2797" s="21">
        <f t="shared" si="128"/>
        <v>4.4199999999999999</v>
      </c>
      <c r="F2797" s="22">
        <v>0</v>
      </c>
      <c r="G2797" s="21">
        <f t="shared" si="129"/>
        <v>4.4199999999999999</v>
      </c>
      <c r="H2797" s="22">
        <v>0</v>
      </c>
      <c r="I2797" s="23" t="str">
        <f t="shared" si="130"/>
        <v xml:space="preserve">COM VALOR</v>
      </c>
      <c r="J2797" s="19"/>
      <c r="L2797" s="21">
        <v>4.4199999999999999</v>
      </c>
      <c r="M2797" s="22">
        <v>1</v>
      </c>
      <c r="N2797" s="21">
        <v>4.4199999999999999</v>
      </c>
      <c r="O2797" s="22">
        <v>1</v>
      </c>
    </row>
    <row r="2798" ht="25.5">
      <c r="A2798" t="s">
        <v>2030</v>
      </c>
      <c r="B2798" s="19">
        <v>96026</v>
      </c>
      <c r="C2798" s="20" t="s">
        <v>2852</v>
      </c>
      <c r="D2798" s="19" t="s">
        <v>2032</v>
      </c>
      <c r="E2798" s="21">
        <f t="shared" si="128"/>
        <v>18.050000000000001</v>
      </c>
      <c r="F2798" s="22">
        <v>0</v>
      </c>
      <c r="G2798" s="21">
        <f t="shared" si="129"/>
        <v>18.050000000000001</v>
      </c>
      <c r="H2798" s="22">
        <v>0</v>
      </c>
      <c r="I2798" s="23" t="str">
        <f t="shared" si="130"/>
        <v xml:space="preserve">COM VALOR</v>
      </c>
      <c r="J2798" s="19"/>
      <c r="L2798" s="21">
        <v>18.050000000000001</v>
      </c>
      <c r="M2798" s="22">
        <v>1</v>
      </c>
      <c r="N2798" s="21">
        <v>18.050000000000001</v>
      </c>
      <c r="O2798" s="22">
        <v>1</v>
      </c>
    </row>
    <row r="2799" ht="25.5">
      <c r="A2799" t="s">
        <v>2030</v>
      </c>
      <c r="B2799" s="19">
        <v>96027</v>
      </c>
      <c r="C2799" s="20" t="s">
        <v>2853</v>
      </c>
      <c r="D2799" s="19" t="s">
        <v>2032</v>
      </c>
      <c r="E2799" s="21">
        <f t="shared" si="128"/>
        <v>76.450000000000003</v>
      </c>
      <c r="F2799" s="22">
        <v>0</v>
      </c>
      <c r="G2799" s="21">
        <f t="shared" si="129"/>
        <v>76.450000000000003</v>
      </c>
      <c r="H2799" s="22">
        <v>0</v>
      </c>
      <c r="I2799" s="23" t="str">
        <f t="shared" si="130"/>
        <v xml:space="preserve">COM VALOR</v>
      </c>
      <c r="J2799" s="19"/>
      <c r="L2799" s="21">
        <v>76.450000000000003</v>
      </c>
      <c r="M2799" s="22">
        <v>0</v>
      </c>
      <c r="N2799" s="21">
        <v>76.450000000000003</v>
      </c>
      <c r="O2799" s="22">
        <v>0</v>
      </c>
    </row>
    <row r="2800" ht="25.5">
      <c r="A2800" t="s">
        <v>2030</v>
      </c>
      <c r="B2800" s="19">
        <v>96053</v>
      </c>
      <c r="C2800" s="20" t="s">
        <v>2854</v>
      </c>
      <c r="D2800" s="19" t="s">
        <v>2032</v>
      </c>
      <c r="E2800" s="21">
        <f t="shared" si="128"/>
        <v>16.699999999999999</v>
      </c>
      <c r="F2800" s="22">
        <v>0</v>
      </c>
      <c r="G2800" s="21">
        <f t="shared" si="129"/>
        <v>16.699999999999999</v>
      </c>
      <c r="H2800" s="22">
        <v>0</v>
      </c>
      <c r="I2800" s="23" t="str">
        <f t="shared" si="130"/>
        <v xml:space="preserve">COM VALOR</v>
      </c>
      <c r="J2800" s="19"/>
      <c r="L2800" s="21">
        <v>16.699999999999999</v>
      </c>
      <c r="M2800" s="22">
        <v>1</v>
      </c>
      <c r="N2800" s="21">
        <v>16.699999999999999</v>
      </c>
      <c r="O2800" s="22">
        <v>1</v>
      </c>
    </row>
    <row r="2801" ht="25.5">
      <c r="A2801" t="s">
        <v>2030</v>
      </c>
      <c r="B2801" s="19">
        <v>96055</v>
      </c>
      <c r="C2801" s="20" t="s">
        <v>2855</v>
      </c>
      <c r="D2801" s="19" t="s">
        <v>2032</v>
      </c>
      <c r="E2801" s="21">
        <f t="shared" si="128"/>
        <v>4.4800000000000004</v>
      </c>
      <c r="F2801" s="22"/>
      <c r="G2801" s="21">
        <f t="shared" si="129"/>
        <v>4.4800000000000004</v>
      </c>
      <c r="H2801" s="22"/>
      <c r="I2801" s="23" t="str">
        <f t="shared" si="130"/>
        <v xml:space="preserve">COM VALOR</v>
      </c>
      <c r="J2801" s="19"/>
      <c r="L2801" s="21">
        <v>4.4800000000000004</v>
      </c>
      <c r="M2801" s="22">
        <v>1</v>
      </c>
      <c r="N2801" s="21">
        <v>4.4800000000000004</v>
      </c>
      <c r="O2801" s="22">
        <v>1</v>
      </c>
    </row>
    <row r="2802" ht="25.5">
      <c r="A2802" t="s">
        <v>2030</v>
      </c>
      <c r="B2802" s="19">
        <v>96056</v>
      </c>
      <c r="C2802" s="20" t="s">
        <v>2856</v>
      </c>
      <c r="D2802" s="19" t="s">
        <v>2032</v>
      </c>
      <c r="E2802" s="21">
        <f t="shared" si="128"/>
        <v>18.27</v>
      </c>
      <c r="F2802" s="22">
        <v>0.96999999999999997</v>
      </c>
      <c r="G2802" s="21">
        <f t="shared" si="129"/>
        <v>18.27</v>
      </c>
      <c r="H2802" s="22">
        <v>0.96999999999999997</v>
      </c>
      <c r="I2802" s="23" t="str">
        <f t="shared" si="130"/>
        <v xml:space="preserve">COM VALOR</v>
      </c>
      <c r="J2802" s="19"/>
      <c r="L2802" s="21">
        <v>18.27</v>
      </c>
      <c r="M2802" s="22">
        <v>1</v>
      </c>
      <c r="N2802" s="21">
        <v>18.27</v>
      </c>
      <c r="O2802" s="22">
        <v>1</v>
      </c>
    </row>
    <row r="2803" ht="38.25">
      <c r="A2803" t="s">
        <v>2030</v>
      </c>
      <c r="B2803" s="19">
        <v>96057</v>
      </c>
      <c r="C2803" s="20" t="s">
        <v>2857</v>
      </c>
      <c r="D2803" s="19" t="s">
        <v>2032</v>
      </c>
      <c r="E2803" s="21">
        <f t="shared" si="128"/>
        <v>76.450000000000003</v>
      </c>
      <c r="F2803" s="22">
        <v>0.97999999999999998</v>
      </c>
      <c r="G2803" s="21">
        <f t="shared" si="129"/>
        <v>76.450000000000003</v>
      </c>
      <c r="H2803" s="22">
        <v>0.97999999999999998</v>
      </c>
      <c r="I2803" s="23" t="str">
        <f t="shared" si="130"/>
        <v xml:space="preserve">COM VALOR</v>
      </c>
      <c r="J2803" s="19"/>
      <c r="L2803" s="21">
        <v>76.450000000000003</v>
      </c>
      <c r="M2803" s="22">
        <v>0</v>
      </c>
      <c r="N2803" s="21">
        <v>76.450000000000003</v>
      </c>
      <c r="O2803" s="22">
        <v>0</v>
      </c>
    </row>
    <row r="2804" ht="25.5">
      <c r="A2804" t="s">
        <v>2030</v>
      </c>
      <c r="B2804" s="19">
        <v>7063</v>
      </c>
      <c r="C2804" s="20" t="s">
        <v>2858</v>
      </c>
      <c r="D2804" s="19" t="s">
        <v>2032</v>
      </c>
      <c r="E2804" s="21">
        <f t="shared" si="128"/>
        <v>17.91</v>
      </c>
      <c r="F2804" s="22">
        <v>0.98999999999999999</v>
      </c>
      <c r="G2804" s="21">
        <f t="shared" si="129"/>
        <v>17.91</v>
      </c>
      <c r="H2804" s="22">
        <v>0.98999999999999999</v>
      </c>
      <c r="I2804" s="23" t="str">
        <f t="shared" si="130"/>
        <v xml:space="preserve">COM VALOR</v>
      </c>
      <c r="J2804" s="19"/>
      <c r="L2804" s="21">
        <v>17.91</v>
      </c>
      <c r="M2804" s="22">
        <v>1</v>
      </c>
      <c r="N2804" s="21">
        <v>17.91</v>
      </c>
      <c r="O2804" s="22">
        <v>1</v>
      </c>
    </row>
    <row r="2805" ht="25.5">
      <c r="A2805" t="s">
        <v>2030</v>
      </c>
      <c r="B2805" s="19">
        <v>7064</v>
      </c>
      <c r="C2805" s="20" t="s">
        <v>2859</v>
      </c>
      <c r="D2805" s="19" t="s">
        <v>2032</v>
      </c>
      <c r="E2805" s="21">
        <f t="shared" si="128"/>
        <v>4.8399999999999999</v>
      </c>
      <c r="F2805" s="22">
        <v>0.94999999999999996</v>
      </c>
      <c r="G2805" s="21">
        <f t="shared" si="129"/>
        <v>4.8399999999999999</v>
      </c>
      <c r="H2805" s="22">
        <v>0.95999999999999996</v>
      </c>
      <c r="I2805" s="23" t="str">
        <f t="shared" si="130"/>
        <v xml:space="preserve">COM VALOR</v>
      </c>
      <c r="J2805" s="19"/>
      <c r="L2805" s="21">
        <v>4.8399999999999999</v>
      </c>
      <c r="M2805" s="22">
        <v>1</v>
      </c>
      <c r="N2805" s="21">
        <v>4.8399999999999999</v>
      </c>
      <c r="O2805" s="22">
        <v>1</v>
      </c>
    </row>
    <row r="2806" ht="25.5">
      <c r="A2806" t="s">
        <v>2030</v>
      </c>
      <c r="B2806" s="19">
        <v>7065</v>
      </c>
      <c r="C2806" s="20" t="s">
        <v>2860</v>
      </c>
      <c r="D2806" s="19" t="s">
        <v>2032</v>
      </c>
      <c r="E2806" s="21">
        <f t="shared" si="128"/>
        <v>19.600000000000001</v>
      </c>
      <c r="F2806" s="22">
        <v>0</v>
      </c>
      <c r="G2806" s="21">
        <f t="shared" si="129"/>
        <v>19.600000000000001</v>
      </c>
      <c r="H2806" s="22">
        <v>0</v>
      </c>
      <c r="I2806" s="23" t="str">
        <f t="shared" si="130"/>
        <v xml:space="preserve">COM VALOR</v>
      </c>
      <c r="J2806" s="19"/>
      <c r="L2806" s="21">
        <v>19.600000000000001</v>
      </c>
      <c r="M2806" s="22">
        <v>1</v>
      </c>
      <c r="N2806" s="21">
        <v>19.600000000000001</v>
      </c>
      <c r="O2806" s="22">
        <v>1</v>
      </c>
    </row>
    <row r="2807" ht="25.5">
      <c r="A2807" t="s">
        <v>2030</v>
      </c>
      <c r="B2807" s="19">
        <v>7066</v>
      </c>
      <c r="C2807" s="20" t="s">
        <v>2861</v>
      </c>
      <c r="D2807" s="19" t="s">
        <v>2032</v>
      </c>
      <c r="E2807" s="21">
        <f t="shared" si="128"/>
        <v>109.72</v>
      </c>
      <c r="F2807" s="22">
        <v>0</v>
      </c>
      <c r="G2807" s="21">
        <f t="shared" si="129"/>
        <v>109.72</v>
      </c>
      <c r="H2807" s="22">
        <v>0</v>
      </c>
      <c r="I2807" s="23" t="str">
        <f t="shared" si="130"/>
        <v xml:space="preserve">COM VALOR</v>
      </c>
      <c r="J2807" s="19"/>
      <c r="L2807" s="21">
        <v>109.72</v>
      </c>
      <c r="M2807" s="22">
        <v>0</v>
      </c>
      <c r="N2807" s="21">
        <v>109.72</v>
      </c>
      <c r="O2807" s="22">
        <v>0</v>
      </c>
    </row>
    <row r="2808" ht="25.5">
      <c r="A2808" t="s">
        <v>2030</v>
      </c>
      <c r="B2808" s="19">
        <v>89033</v>
      </c>
      <c r="C2808" s="20" t="s">
        <v>2862</v>
      </c>
      <c r="D2808" s="19" t="s">
        <v>2032</v>
      </c>
      <c r="E2808" s="21">
        <f t="shared" si="128"/>
        <v>13.130000000000001</v>
      </c>
      <c r="F2808" s="22"/>
      <c r="G2808" s="21">
        <f t="shared" si="129"/>
        <v>13.130000000000001</v>
      </c>
      <c r="H2808" s="22"/>
      <c r="I2808" s="23" t="str">
        <f t="shared" si="130"/>
        <v xml:space="preserve">COM VALOR</v>
      </c>
      <c r="J2808" s="19"/>
      <c r="L2808" s="21">
        <v>13.130000000000001</v>
      </c>
      <c r="M2808" s="22">
        <v>1</v>
      </c>
      <c r="N2808" s="21">
        <v>13.130000000000001</v>
      </c>
      <c r="O2808" s="22">
        <v>1</v>
      </c>
    </row>
    <row r="2809" ht="25.5">
      <c r="A2809" t="s">
        <v>2030</v>
      </c>
      <c r="B2809" s="19">
        <v>89034</v>
      </c>
      <c r="C2809" s="20" t="s">
        <v>2863</v>
      </c>
      <c r="D2809" s="19" t="s">
        <v>2032</v>
      </c>
      <c r="E2809" s="21">
        <f t="shared" si="128"/>
        <v>3.52</v>
      </c>
      <c r="F2809" s="22">
        <v>0</v>
      </c>
      <c r="G2809" s="21">
        <f t="shared" si="129"/>
        <v>3.52</v>
      </c>
      <c r="H2809" s="22">
        <v>0</v>
      </c>
      <c r="I2809" s="23" t="str">
        <f t="shared" si="130"/>
        <v xml:space="preserve">COM VALOR</v>
      </c>
      <c r="J2809" s="19"/>
      <c r="L2809" s="21">
        <v>3.52</v>
      </c>
      <c r="M2809" s="22">
        <v>1</v>
      </c>
      <c r="N2809" s="21">
        <v>3.52</v>
      </c>
      <c r="O2809" s="22">
        <v>1</v>
      </c>
    </row>
    <row r="2810" ht="25.5">
      <c r="A2810" t="s">
        <v>2030</v>
      </c>
      <c r="B2810" s="19">
        <v>5714</v>
      </c>
      <c r="C2810" s="20" t="s">
        <v>2864</v>
      </c>
      <c r="D2810" s="19" t="s">
        <v>2032</v>
      </c>
      <c r="E2810" s="21">
        <f t="shared" si="128"/>
        <v>14.359999999999999</v>
      </c>
      <c r="F2810" s="22">
        <v>0.89000000000000001</v>
      </c>
      <c r="G2810" s="21">
        <f t="shared" si="129"/>
        <v>14.359999999999999</v>
      </c>
      <c r="H2810" s="22">
        <v>0.90000000000000002</v>
      </c>
      <c r="I2810" s="23" t="str">
        <f t="shared" si="130"/>
        <v xml:space="preserve">COM VALOR</v>
      </c>
      <c r="J2810" s="19"/>
      <c r="L2810" s="21">
        <v>14.359999999999999</v>
      </c>
      <c r="M2810" s="22">
        <v>1</v>
      </c>
      <c r="N2810" s="21">
        <v>14.359999999999999</v>
      </c>
      <c r="O2810" s="22">
        <v>1</v>
      </c>
    </row>
    <row r="2811" ht="25.5">
      <c r="A2811" t="s">
        <v>2030</v>
      </c>
      <c r="B2811" s="19">
        <v>5715</v>
      </c>
      <c r="C2811" s="20" t="s">
        <v>2865</v>
      </c>
      <c r="D2811" s="19" t="s">
        <v>2032</v>
      </c>
      <c r="E2811" s="21">
        <f t="shared" si="128"/>
        <v>76.450000000000003</v>
      </c>
      <c r="F2811" s="22">
        <v>0.96999999999999997</v>
      </c>
      <c r="G2811" s="21">
        <f t="shared" si="129"/>
        <v>76.450000000000003</v>
      </c>
      <c r="H2811" s="22">
        <v>0.96999999999999997</v>
      </c>
      <c r="I2811" s="23" t="str">
        <f t="shared" si="130"/>
        <v xml:space="preserve">COM VALOR</v>
      </c>
      <c r="J2811" s="19"/>
      <c r="L2811" s="21">
        <v>76.450000000000003</v>
      </c>
      <c r="M2811" s="22">
        <v>0</v>
      </c>
      <c r="N2811" s="21">
        <v>76.450000000000003</v>
      </c>
      <c r="O2811" s="22">
        <v>0</v>
      </c>
    </row>
    <row r="2812" ht="25.5">
      <c r="A2812" t="s">
        <v>2030</v>
      </c>
      <c r="B2812" s="19">
        <v>102906</v>
      </c>
      <c r="C2812" s="20" t="s">
        <v>2866</v>
      </c>
      <c r="D2812" s="19" t="s">
        <v>2032</v>
      </c>
      <c r="E2812" s="21" t="str">
        <f t="shared" si="128"/>
        <v>VERIFICAR</v>
      </c>
      <c r="F2812" s="22">
        <v>0</v>
      </c>
      <c r="G2812" s="21" t="str">
        <f t="shared" si="129"/>
        <v>VERIFICAR</v>
      </c>
      <c r="H2812" s="22">
        <v>0</v>
      </c>
      <c r="I2812" s="23" t="str">
        <f t="shared" si="130"/>
        <v xml:space="preserve">COM VALOR</v>
      </c>
      <c r="J2812" s="19"/>
      <c r="L2812" s="21">
        <v>0</v>
      </c>
      <c r="M2812" s="22"/>
      <c r="N2812" s="21">
        <v>0</v>
      </c>
      <c r="O2812" s="22"/>
    </row>
    <row r="2813" ht="12.75">
      <c r="A2813" t="s">
        <v>2030</v>
      </c>
      <c r="B2813" s="19">
        <v>102907</v>
      </c>
      <c r="C2813" s="20" t="s">
        <v>2867</v>
      </c>
      <c r="D2813" s="19" t="s">
        <v>2032</v>
      </c>
      <c r="E2813" s="21" t="str">
        <f t="shared" si="128"/>
        <v>VERIFICAR</v>
      </c>
      <c r="F2813" s="22"/>
      <c r="G2813" s="21" t="str">
        <f t="shared" si="129"/>
        <v>VERIFICAR</v>
      </c>
      <c r="H2813" s="22"/>
      <c r="I2813" s="23" t="str">
        <f t="shared" si="130"/>
        <v xml:space="preserve">COM VALOR</v>
      </c>
      <c r="J2813" s="19"/>
      <c r="L2813" s="21">
        <v>0</v>
      </c>
      <c r="M2813" s="22"/>
      <c r="N2813" s="21">
        <v>0</v>
      </c>
      <c r="O2813" s="22"/>
    </row>
    <row r="2814" ht="25.5">
      <c r="A2814" t="s">
        <v>2030</v>
      </c>
      <c r="B2814" s="19">
        <v>102908</v>
      </c>
      <c r="C2814" s="20" t="s">
        <v>2868</v>
      </c>
      <c r="D2814" s="19" t="s">
        <v>2032</v>
      </c>
      <c r="E2814" s="21" t="str">
        <f t="shared" si="128"/>
        <v>VERIFICAR</v>
      </c>
      <c r="F2814" s="22"/>
      <c r="G2814" s="21" t="str">
        <f t="shared" si="129"/>
        <v>VERIFICAR</v>
      </c>
      <c r="H2814" s="22"/>
      <c r="I2814" s="23" t="str">
        <f t="shared" si="130"/>
        <v xml:space="preserve">COM VALOR</v>
      </c>
      <c r="J2814" s="19"/>
      <c r="L2814" s="21">
        <v>0</v>
      </c>
      <c r="M2814" s="22"/>
      <c r="N2814" s="21">
        <v>0</v>
      </c>
      <c r="O2814" s="22"/>
    </row>
    <row r="2815" ht="25.5">
      <c r="A2815" t="s">
        <v>2030</v>
      </c>
      <c r="B2815" s="19">
        <v>102909</v>
      </c>
      <c r="C2815" s="20" t="s">
        <v>2869</v>
      </c>
      <c r="D2815" s="19" t="s">
        <v>2032</v>
      </c>
      <c r="E2815" s="21">
        <f t="shared" si="128"/>
        <v>4.6100000000000003</v>
      </c>
      <c r="F2815" s="22"/>
      <c r="G2815" s="21">
        <f t="shared" si="129"/>
        <v>4.6100000000000003</v>
      </c>
      <c r="H2815" s="22"/>
      <c r="I2815" s="23" t="str">
        <f t="shared" si="130"/>
        <v xml:space="preserve">COM VALOR</v>
      </c>
      <c r="J2815" s="19"/>
      <c r="L2815" s="21">
        <v>4.6100000000000003</v>
      </c>
      <c r="M2815" s="22">
        <v>0</v>
      </c>
      <c r="N2815" s="21">
        <v>4.6100000000000003</v>
      </c>
      <c r="O2815" s="22">
        <v>0</v>
      </c>
    </row>
    <row r="2816" ht="25.5">
      <c r="A2816" t="s">
        <v>2030</v>
      </c>
      <c r="B2816" s="19">
        <v>93435</v>
      </c>
      <c r="C2816" s="20" t="s">
        <v>2870</v>
      </c>
      <c r="D2816" s="19" t="s">
        <v>2032</v>
      </c>
      <c r="E2816" s="21">
        <f t="shared" si="128"/>
        <v>9.1999999999999993</v>
      </c>
      <c r="F2816" s="22"/>
      <c r="G2816" s="21">
        <f t="shared" si="129"/>
        <v>9.1999999999999993</v>
      </c>
      <c r="H2816" s="22"/>
      <c r="I2816" s="23" t="str">
        <f t="shared" si="130"/>
        <v xml:space="preserve">COM VALOR</v>
      </c>
      <c r="J2816" s="19"/>
      <c r="L2816" s="21">
        <v>9.1999999999999993</v>
      </c>
      <c r="M2816" s="22">
        <v>1</v>
      </c>
      <c r="N2816" s="21">
        <v>9.1999999999999993</v>
      </c>
      <c r="O2816" s="22">
        <v>1</v>
      </c>
    </row>
    <row r="2817" ht="25.5">
      <c r="A2817" t="s">
        <v>2030</v>
      </c>
      <c r="B2817" s="19">
        <v>93436</v>
      </c>
      <c r="C2817" s="20" t="s">
        <v>2871</v>
      </c>
      <c r="D2817" s="19" t="s">
        <v>2032</v>
      </c>
      <c r="E2817" s="21">
        <f t="shared" si="128"/>
        <v>2.8300000000000001</v>
      </c>
      <c r="F2817" s="22"/>
      <c r="G2817" s="21">
        <f t="shared" si="129"/>
        <v>2.8300000000000001</v>
      </c>
      <c r="H2817" s="22"/>
      <c r="I2817" s="23" t="str">
        <f t="shared" si="130"/>
        <v xml:space="preserve">COM VALOR</v>
      </c>
      <c r="J2817" s="19"/>
      <c r="L2817" s="21">
        <v>2.8300000000000001</v>
      </c>
      <c r="M2817" s="22">
        <v>1</v>
      </c>
      <c r="N2817" s="21">
        <v>2.8300000000000001</v>
      </c>
      <c r="O2817" s="22">
        <v>1</v>
      </c>
    </row>
    <row r="2818" ht="25.5">
      <c r="A2818" t="s">
        <v>2030</v>
      </c>
      <c r="B2818" s="19">
        <v>93437</v>
      </c>
      <c r="C2818" s="20" t="s">
        <v>2872</v>
      </c>
      <c r="D2818" s="19" t="s">
        <v>2032</v>
      </c>
      <c r="E2818" s="21">
        <f t="shared" si="128"/>
        <v>10.06</v>
      </c>
      <c r="F2818" s="22"/>
      <c r="G2818" s="21">
        <f t="shared" si="129"/>
        <v>10.06</v>
      </c>
      <c r="H2818" s="22"/>
      <c r="I2818" s="23" t="str">
        <f t="shared" si="130"/>
        <v xml:space="preserve">COM VALOR</v>
      </c>
      <c r="J2818" s="19"/>
      <c r="L2818" s="21">
        <v>10.06</v>
      </c>
      <c r="M2818" s="22">
        <v>1</v>
      </c>
      <c r="N2818" s="21">
        <v>10.06</v>
      </c>
      <c r="O2818" s="22">
        <v>1</v>
      </c>
    </row>
    <row r="2819" ht="25.5">
      <c r="A2819" t="s">
        <v>2030</v>
      </c>
      <c r="B2819" s="19">
        <v>93438</v>
      </c>
      <c r="C2819" s="20" t="s">
        <v>2873</v>
      </c>
      <c r="D2819" s="19" t="s">
        <v>2032</v>
      </c>
      <c r="E2819" s="21">
        <f t="shared" si="128"/>
        <v>127.44</v>
      </c>
      <c r="F2819" s="22"/>
      <c r="G2819" s="21">
        <f t="shared" si="129"/>
        <v>127.44</v>
      </c>
      <c r="H2819" s="22"/>
      <c r="I2819" s="23" t="str">
        <f t="shared" si="130"/>
        <v xml:space="preserve">COM VALOR</v>
      </c>
      <c r="J2819" s="19"/>
      <c r="L2819" s="21">
        <v>127.44</v>
      </c>
      <c r="M2819" s="22">
        <v>0</v>
      </c>
      <c r="N2819" s="21">
        <v>127.44</v>
      </c>
      <c r="O2819" s="22">
        <v>0</v>
      </c>
    </row>
    <row r="2820" ht="25.5">
      <c r="A2820" t="s">
        <v>2030</v>
      </c>
      <c r="B2820" s="19">
        <v>100643</v>
      </c>
      <c r="C2820" s="20" t="s">
        <v>2874</v>
      </c>
      <c r="D2820" s="19" t="s">
        <v>2032</v>
      </c>
      <c r="E2820" s="21">
        <f t="shared" si="128"/>
        <v>412.54000000000002</v>
      </c>
      <c r="F2820" s="22"/>
      <c r="G2820" s="21">
        <f t="shared" si="129"/>
        <v>412.54000000000002</v>
      </c>
      <c r="H2820" s="22"/>
      <c r="I2820" s="23" t="str">
        <f t="shared" si="130"/>
        <v xml:space="preserve">COM VALOR</v>
      </c>
      <c r="J2820" s="19"/>
      <c r="L2820" s="21">
        <v>412.54000000000002</v>
      </c>
      <c r="M2820" s="22">
        <v>1</v>
      </c>
      <c r="N2820" s="21">
        <v>412.54000000000002</v>
      </c>
      <c r="O2820" s="22">
        <v>1</v>
      </c>
    </row>
    <row r="2821" ht="25.5">
      <c r="A2821" t="s">
        <v>2030</v>
      </c>
      <c r="B2821" s="19">
        <v>100644</v>
      </c>
      <c r="C2821" s="20" t="s">
        <v>2875</v>
      </c>
      <c r="D2821" s="19" t="s">
        <v>2032</v>
      </c>
      <c r="E2821" s="21">
        <f t="shared" si="128"/>
        <v>145.41999999999999</v>
      </c>
      <c r="F2821" s="22"/>
      <c r="G2821" s="21">
        <f t="shared" si="129"/>
        <v>145.41999999999999</v>
      </c>
      <c r="H2821" s="22"/>
      <c r="I2821" s="23" t="str">
        <f t="shared" si="130"/>
        <v xml:space="preserve">COM VALOR</v>
      </c>
      <c r="J2821" s="19"/>
      <c r="L2821" s="21">
        <v>145.41999999999999</v>
      </c>
      <c r="M2821" s="22">
        <v>1</v>
      </c>
      <c r="N2821" s="21">
        <v>145.41999999999999</v>
      </c>
      <c r="O2821" s="22">
        <v>1</v>
      </c>
    </row>
    <row r="2822" ht="25.5">
      <c r="A2822" t="s">
        <v>2030</v>
      </c>
      <c r="B2822" s="19">
        <v>100645</v>
      </c>
      <c r="C2822" s="20" t="s">
        <v>2876</v>
      </c>
      <c r="D2822" s="19" t="s">
        <v>2032</v>
      </c>
      <c r="E2822" s="21">
        <f t="shared" si="128"/>
        <v>663.16999999999996</v>
      </c>
      <c r="F2822" s="22"/>
      <c r="G2822" s="21">
        <f t="shared" si="129"/>
        <v>663.16999999999996</v>
      </c>
      <c r="H2822" s="22"/>
      <c r="I2822" s="23" t="str">
        <f t="shared" si="130"/>
        <v xml:space="preserve">COM VALOR</v>
      </c>
      <c r="J2822" s="19"/>
      <c r="L2822" s="21">
        <v>663.16999999999996</v>
      </c>
      <c r="M2822" s="22">
        <v>1</v>
      </c>
      <c r="N2822" s="21">
        <v>663.16999999999996</v>
      </c>
      <c r="O2822" s="22">
        <v>1</v>
      </c>
    </row>
    <row r="2823" ht="25.5">
      <c r="A2823" t="s">
        <v>2030</v>
      </c>
      <c r="B2823" s="19">
        <v>100646</v>
      </c>
      <c r="C2823" s="20" t="s">
        <v>2877</v>
      </c>
      <c r="D2823" s="19" t="s">
        <v>2032</v>
      </c>
      <c r="E2823" s="21">
        <f t="shared" si="128"/>
        <v>6111</v>
      </c>
      <c r="F2823" s="22"/>
      <c r="G2823" s="21">
        <f t="shared" si="129"/>
        <v>6111</v>
      </c>
      <c r="H2823" s="22"/>
      <c r="I2823" s="23" t="str">
        <f t="shared" si="130"/>
        <v xml:space="preserve">COM VALOR</v>
      </c>
      <c r="J2823" s="19"/>
      <c r="L2823" s="21">
        <v>6111</v>
      </c>
      <c r="M2823" s="22">
        <v>0</v>
      </c>
      <c r="N2823" s="21">
        <v>6111</v>
      </c>
      <c r="O2823" s="22">
        <v>0</v>
      </c>
    </row>
    <row r="2824" ht="25.5">
      <c r="A2824" t="s">
        <v>2030</v>
      </c>
      <c r="B2824" s="19">
        <v>95116</v>
      </c>
      <c r="C2824" s="20" t="s">
        <v>2878</v>
      </c>
      <c r="D2824" s="19" t="s">
        <v>2032</v>
      </c>
      <c r="E2824" s="21">
        <f t="shared" si="128"/>
        <v>32.549999999999997</v>
      </c>
      <c r="F2824" s="22"/>
      <c r="G2824" s="21">
        <f t="shared" si="129"/>
        <v>32.549999999999997</v>
      </c>
      <c r="H2824" s="22"/>
      <c r="I2824" s="23" t="str">
        <f t="shared" si="130"/>
        <v xml:space="preserve">COM VALOR</v>
      </c>
      <c r="J2824" s="19"/>
      <c r="L2824" s="21">
        <v>32.549999999999997</v>
      </c>
      <c r="M2824" s="22">
        <v>1</v>
      </c>
      <c r="N2824" s="21">
        <v>32.549999999999997</v>
      </c>
      <c r="O2824" s="22">
        <v>1</v>
      </c>
    </row>
    <row r="2825" ht="25.5">
      <c r="A2825" t="s">
        <v>2030</v>
      </c>
      <c r="B2825" s="19">
        <v>95117</v>
      </c>
      <c r="C2825" s="20" t="s">
        <v>2879</v>
      </c>
      <c r="D2825" s="19" t="s">
        <v>2032</v>
      </c>
      <c r="E2825" s="21">
        <f t="shared" si="128"/>
        <v>10.039999999999999</v>
      </c>
      <c r="F2825" s="22"/>
      <c r="G2825" s="21">
        <f t="shared" si="129"/>
        <v>10.039999999999999</v>
      </c>
      <c r="H2825" s="22"/>
      <c r="I2825" s="23" t="str">
        <f t="shared" si="130"/>
        <v xml:space="preserve">COM VALOR</v>
      </c>
      <c r="J2825" s="19"/>
      <c r="L2825" s="21">
        <v>10.039999999999999</v>
      </c>
      <c r="M2825" s="22">
        <v>1</v>
      </c>
      <c r="N2825" s="21">
        <v>10.039999999999999</v>
      </c>
      <c r="O2825" s="22">
        <v>1</v>
      </c>
    </row>
    <row r="2826" ht="25.5">
      <c r="A2826" t="s">
        <v>2030</v>
      </c>
      <c r="B2826" s="19">
        <v>53794</v>
      </c>
      <c r="C2826" s="20" t="s">
        <v>2880</v>
      </c>
      <c r="D2826" s="19" t="s">
        <v>2032</v>
      </c>
      <c r="E2826" s="21">
        <f t="shared" si="128"/>
        <v>35.619999999999997</v>
      </c>
      <c r="F2826" s="22"/>
      <c r="G2826" s="21">
        <f t="shared" si="129"/>
        <v>35.619999999999997</v>
      </c>
      <c r="H2826" s="22"/>
      <c r="I2826" s="23" t="str">
        <f t="shared" si="130"/>
        <v xml:space="preserve">COM VALOR</v>
      </c>
      <c r="J2826" s="19"/>
      <c r="L2826" s="21">
        <v>35.619999999999997</v>
      </c>
      <c r="M2826" s="22">
        <v>1</v>
      </c>
      <c r="N2826" s="21">
        <v>35.619999999999997</v>
      </c>
      <c r="O2826" s="22">
        <v>1</v>
      </c>
    </row>
    <row r="2827" ht="25.5">
      <c r="A2827" t="s">
        <v>2030</v>
      </c>
      <c r="B2827" s="19">
        <v>5703</v>
      </c>
      <c r="C2827" s="20" t="s">
        <v>2881</v>
      </c>
      <c r="D2827" s="19" t="s">
        <v>2032</v>
      </c>
      <c r="E2827" s="21">
        <f t="shared" ref="E2827:E2890" si="131">IF(L2827=0,"VERIFICAR",L2827)</f>
        <v>26.890000000000001</v>
      </c>
      <c r="F2827" s="22"/>
      <c r="G2827" s="21">
        <f t="shared" ref="G2827:G2890" si="132">IF(N2827=0,"VERIFICAR",N2827)</f>
        <v>26.890000000000001</v>
      </c>
      <c r="H2827" s="22"/>
      <c r="I2827" s="23" t="str">
        <f t="shared" ref="I2827:I2890" si="133">IF(OR(E2827=0,G2827=0),"SEM VALOR","COM VALOR")</f>
        <v xml:space="preserve">COM VALOR</v>
      </c>
      <c r="J2827" s="19"/>
      <c r="L2827" s="21">
        <v>26.890000000000001</v>
      </c>
      <c r="M2827" s="22">
        <v>0</v>
      </c>
      <c r="N2827" s="21">
        <v>26.890000000000001</v>
      </c>
      <c r="O2827" s="22">
        <v>0</v>
      </c>
    </row>
    <row r="2828" ht="76.5">
      <c r="A2828" t="s">
        <v>2030</v>
      </c>
      <c r="B2828" s="19">
        <v>106089</v>
      </c>
      <c r="C2828" s="20" t="s">
        <v>2882</v>
      </c>
      <c r="D2828" s="19" t="s">
        <v>2032</v>
      </c>
      <c r="E2828" s="21">
        <f t="shared" si="131"/>
        <v>51.219999999999999</v>
      </c>
      <c r="F2828" s="22"/>
      <c r="G2828" s="21">
        <f t="shared" si="132"/>
        <v>51.219999999999999</v>
      </c>
      <c r="H2828" s="22"/>
      <c r="I2828" s="23" t="str">
        <f t="shared" si="133"/>
        <v xml:space="preserve">COM VALOR</v>
      </c>
      <c r="J2828" s="19"/>
      <c r="L2828" s="21">
        <v>51.219999999999999</v>
      </c>
      <c r="M2828" s="22">
        <v>0.51000000000000001</v>
      </c>
      <c r="N2828" s="21">
        <v>51.219999999999999</v>
      </c>
      <c r="O2828" s="22">
        <v>0.51000000000000001</v>
      </c>
    </row>
    <row r="2829" ht="76.5">
      <c r="A2829" t="s">
        <v>2030</v>
      </c>
      <c r="B2829" s="19">
        <v>106092</v>
      </c>
      <c r="C2829" s="20" t="s">
        <v>2883</v>
      </c>
      <c r="D2829" s="19" t="s">
        <v>2032</v>
      </c>
      <c r="E2829" s="21">
        <f t="shared" si="131"/>
        <v>8.5</v>
      </c>
      <c r="F2829" s="22"/>
      <c r="G2829" s="21">
        <f t="shared" si="132"/>
        <v>8.5</v>
      </c>
      <c r="H2829" s="22"/>
      <c r="I2829" s="23" t="str">
        <f t="shared" si="133"/>
        <v xml:space="preserve">COM VALOR</v>
      </c>
      <c r="J2829" s="19"/>
      <c r="L2829" s="21">
        <v>8.5</v>
      </c>
      <c r="M2829" s="22">
        <v>0.51000000000000001</v>
      </c>
      <c r="N2829" s="21">
        <v>8.5</v>
      </c>
      <c r="O2829" s="22">
        <v>0.51000000000000001</v>
      </c>
    </row>
    <row r="2830" ht="63.75">
      <c r="A2830" t="s">
        <v>2030</v>
      </c>
      <c r="B2830" s="19">
        <v>106090</v>
      </c>
      <c r="C2830" s="20" t="s">
        <v>2884</v>
      </c>
      <c r="D2830" s="19" t="s">
        <v>2032</v>
      </c>
      <c r="E2830" s="21">
        <f t="shared" si="131"/>
        <v>21.050000000000001</v>
      </c>
      <c r="F2830" s="22"/>
      <c r="G2830" s="21">
        <f t="shared" si="132"/>
        <v>21.050000000000001</v>
      </c>
      <c r="H2830" s="22"/>
      <c r="I2830" s="23" t="str">
        <f t="shared" si="133"/>
        <v xml:space="preserve">COM VALOR</v>
      </c>
      <c r="J2830" s="19"/>
      <c r="L2830" s="21">
        <v>21.050000000000001</v>
      </c>
      <c r="M2830" s="22">
        <v>0.51000000000000001</v>
      </c>
      <c r="N2830" s="21">
        <v>21.050000000000001</v>
      </c>
      <c r="O2830" s="22">
        <v>0.51000000000000001</v>
      </c>
    </row>
    <row r="2831" ht="63.75">
      <c r="A2831" t="s">
        <v>2030</v>
      </c>
      <c r="B2831" s="19">
        <v>106091</v>
      </c>
      <c r="C2831" s="20" t="s">
        <v>2885</v>
      </c>
      <c r="D2831" s="19" t="s">
        <v>2032</v>
      </c>
      <c r="E2831" s="21">
        <f t="shared" si="131"/>
        <v>96.040000000000006</v>
      </c>
      <c r="F2831" s="22"/>
      <c r="G2831" s="21">
        <f t="shared" si="132"/>
        <v>96.040000000000006</v>
      </c>
      <c r="H2831" s="22"/>
      <c r="I2831" s="23" t="str">
        <f t="shared" si="133"/>
        <v xml:space="preserve">COM VALOR</v>
      </c>
      <c r="J2831" s="19"/>
      <c r="L2831" s="21">
        <v>96.040000000000006</v>
      </c>
      <c r="M2831" s="22">
        <v>0.51000000000000001</v>
      </c>
      <c r="N2831" s="21">
        <v>96.040000000000006</v>
      </c>
      <c r="O2831" s="22">
        <v>0.51000000000000001</v>
      </c>
    </row>
    <row r="2832" ht="76.5">
      <c r="A2832" t="s">
        <v>2030</v>
      </c>
      <c r="B2832" s="19">
        <v>106093</v>
      </c>
      <c r="C2832" s="20" t="s">
        <v>2886</v>
      </c>
      <c r="D2832" s="19" t="s">
        <v>2032</v>
      </c>
      <c r="E2832" s="21">
        <f t="shared" si="131"/>
        <v>142.91999999999999</v>
      </c>
      <c r="F2832" s="22"/>
      <c r="G2832" s="21">
        <f t="shared" si="132"/>
        <v>142.91999999999999</v>
      </c>
      <c r="H2832" s="22"/>
      <c r="I2832" s="23" t="str">
        <f t="shared" si="133"/>
        <v xml:space="preserve">COM VALOR</v>
      </c>
      <c r="J2832" s="19"/>
      <c r="L2832" s="21">
        <v>142.91999999999999</v>
      </c>
      <c r="M2832" s="22">
        <v>0</v>
      </c>
      <c r="N2832" s="21">
        <v>142.91999999999999</v>
      </c>
      <c r="O2832" s="22">
        <v>0</v>
      </c>
    </row>
    <row r="2833" ht="25.5">
      <c r="A2833" t="s">
        <v>2030</v>
      </c>
      <c r="B2833" s="19">
        <v>100637</v>
      </c>
      <c r="C2833" s="20" t="s">
        <v>2887</v>
      </c>
      <c r="D2833" s="19" t="s">
        <v>2032</v>
      </c>
      <c r="E2833" s="21">
        <f t="shared" si="131"/>
        <v>201.34</v>
      </c>
      <c r="F2833" s="22"/>
      <c r="G2833" s="21">
        <f t="shared" si="132"/>
        <v>201.34</v>
      </c>
      <c r="H2833" s="22"/>
      <c r="I2833" s="23" t="str">
        <f t="shared" si="133"/>
        <v xml:space="preserve">COM VALOR</v>
      </c>
      <c r="J2833" s="19"/>
      <c r="L2833" s="21">
        <v>201.34</v>
      </c>
      <c r="M2833" s="22">
        <v>1</v>
      </c>
      <c r="N2833" s="21">
        <v>201.34</v>
      </c>
      <c r="O2833" s="22">
        <v>1</v>
      </c>
    </row>
    <row r="2834" ht="25.5">
      <c r="A2834" t="s">
        <v>2030</v>
      </c>
      <c r="B2834" s="19">
        <v>100638</v>
      </c>
      <c r="C2834" s="20" t="s">
        <v>2888</v>
      </c>
      <c r="D2834" s="19" t="s">
        <v>2032</v>
      </c>
      <c r="E2834" s="21">
        <f t="shared" si="131"/>
        <v>61.890000000000001</v>
      </c>
      <c r="F2834" s="22"/>
      <c r="G2834" s="21">
        <f t="shared" si="132"/>
        <v>61.890000000000001</v>
      </c>
      <c r="H2834" s="22"/>
      <c r="I2834" s="23" t="str">
        <f t="shared" si="133"/>
        <v xml:space="preserve">COM VALOR</v>
      </c>
      <c r="J2834" s="19"/>
      <c r="L2834" s="21">
        <v>61.890000000000001</v>
      </c>
      <c r="M2834" s="22">
        <v>1</v>
      </c>
      <c r="N2834" s="21">
        <v>61.890000000000001</v>
      </c>
      <c r="O2834" s="22">
        <v>1</v>
      </c>
    </row>
    <row r="2835" ht="25.5">
      <c r="A2835" t="s">
        <v>2030</v>
      </c>
      <c r="B2835" s="19">
        <v>100639</v>
      </c>
      <c r="C2835" s="20" t="s">
        <v>2889</v>
      </c>
      <c r="D2835" s="19" t="s">
        <v>2032</v>
      </c>
      <c r="E2835" s="21">
        <f t="shared" si="131"/>
        <v>251.87</v>
      </c>
      <c r="F2835" s="22"/>
      <c r="G2835" s="21">
        <f t="shared" si="132"/>
        <v>251.87</v>
      </c>
      <c r="H2835" s="22"/>
      <c r="I2835" s="23" t="str">
        <f t="shared" si="133"/>
        <v xml:space="preserve">COM VALOR</v>
      </c>
      <c r="J2835" s="19"/>
      <c r="L2835" s="21">
        <v>251.87</v>
      </c>
      <c r="M2835" s="22">
        <v>1</v>
      </c>
      <c r="N2835" s="21">
        <v>251.87</v>
      </c>
      <c r="O2835" s="22">
        <v>1</v>
      </c>
    </row>
    <row r="2836" ht="25.5">
      <c r="A2836" t="s">
        <v>2030</v>
      </c>
      <c r="B2836" s="19">
        <v>100640</v>
      </c>
      <c r="C2836" s="20" t="s">
        <v>2890</v>
      </c>
      <c r="D2836" s="19" t="s">
        <v>2032</v>
      </c>
      <c r="E2836" s="21">
        <f t="shared" si="131"/>
        <v>4888.8000000000002</v>
      </c>
      <c r="F2836" s="22"/>
      <c r="G2836" s="21">
        <f t="shared" si="132"/>
        <v>4888.8000000000002</v>
      </c>
      <c r="H2836" s="22"/>
      <c r="I2836" s="23" t="str">
        <f t="shared" si="133"/>
        <v xml:space="preserve">COM VALOR</v>
      </c>
      <c r="J2836" s="19"/>
      <c r="L2836" s="21">
        <v>4888.8000000000002</v>
      </c>
      <c r="M2836" s="22">
        <v>0</v>
      </c>
      <c r="N2836" s="21">
        <v>4888.8000000000002</v>
      </c>
      <c r="O2836" s="22">
        <v>0</v>
      </c>
    </row>
    <row r="2837" ht="25.5">
      <c r="A2837" t="s">
        <v>2030</v>
      </c>
      <c r="B2837" s="19">
        <v>93429</v>
      </c>
      <c r="C2837" s="20" t="s">
        <v>2891</v>
      </c>
      <c r="D2837" s="19" t="s">
        <v>2032</v>
      </c>
      <c r="E2837" s="21">
        <f t="shared" si="131"/>
        <v>163.91</v>
      </c>
      <c r="F2837" s="22"/>
      <c r="G2837" s="21">
        <f t="shared" si="132"/>
        <v>163.91</v>
      </c>
      <c r="H2837" s="22"/>
      <c r="I2837" s="23" t="str">
        <f t="shared" si="133"/>
        <v xml:space="preserve">COM VALOR</v>
      </c>
      <c r="J2837" s="19"/>
      <c r="L2837" s="21">
        <v>163.91</v>
      </c>
      <c r="M2837" s="22">
        <v>1</v>
      </c>
      <c r="N2837" s="21">
        <v>163.91</v>
      </c>
      <c r="O2837" s="22">
        <v>1</v>
      </c>
    </row>
    <row r="2838" ht="25.5">
      <c r="A2838" t="s">
        <v>2030</v>
      </c>
      <c r="B2838" s="19">
        <v>93430</v>
      </c>
      <c r="C2838" s="20" t="s">
        <v>2892</v>
      </c>
      <c r="D2838" s="19" t="s">
        <v>2032</v>
      </c>
      <c r="E2838" s="21">
        <f t="shared" si="131"/>
        <v>50.380000000000003</v>
      </c>
      <c r="F2838" s="22"/>
      <c r="G2838" s="21">
        <f t="shared" si="132"/>
        <v>50.380000000000003</v>
      </c>
      <c r="H2838" s="22"/>
      <c r="I2838" s="23" t="str">
        <f t="shared" si="133"/>
        <v xml:space="preserve">COM VALOR</v>
      </c>
      <c r="J2838" s="19"/>
      <c r="L2838" s="21">
        <v>50.380000000000003</v>
      </c>
      <c r="M2838" s="22">
        <v>1</v>
      </c>
      <c r="N2838" s="21">
        <v>50.380000000000003</v>
      </c>
      <c r="O2838" s="22">
        <v>1</v>
      </c>
    </row>
    <row r="2839" ht="25.5">
      <c r="A2839" t="s">
        <v>2030</v>
      </c>
      <c r="B2839" s="19">
        <v>93431</v>
      </c>
      <c r="C2839" s="20" t="s">
        <v>2893</v>
      </c>
      <c r="D2839" s="19" t="s">
        <v>2032</v>
      </c>
      <c r="E2839" s="21">
        <f t="shared" si="131"/>
        <v>205.05000000000001</v>
      </c>
      <c r="F2839" s="22"/>
      <c r="G2839" s="21">
        <f t="shared" si="132"/>
        <v>205.05000000000001</v>
      </c>
      <c r="H2839" s="22"/>
      <c r="I2839" s="23" t="str">
        <f t="shared" si="133"/>
        <v xml:space="preserve">COM VALOR</v>
      </c>
      <c r="J2839" s="19"/>
      <c r="L2839" s="21">
        <v>205.05000000000001</v>
      </c>
      <c r="M2839" s="22">
        <v>1</v>
      </c>
      <c r="N2839" s="21">
        <v>205.05000000000001</v>
      </c>
      <c r="O2839" s="22">
        <v>1</v>
      </c>
    </row>
    <row r="2840" ht="25.5">
      <c r="A2840" t="s">
        <v>2030</v>
      </c>
      <c r="B2840" s="19">
        <v>93432</v>
      </c>
      <c r="C2840" s="20" t="s">
        <v>2894</v>
      </c>
      <c r="D2840" s="19" t="s">
        <v>2032</v>
      </c>
      <c r="E2840" s="21">
        <f t="shared" si="131"/>
        <v>2444.4000000000001</v>
      </c>
      <c r="F2840" s="22"/>
      <c r="G2840" s="21">
        <f t="shared" si="132"/>
        <v>2444.4000000000001</v>
      </c>
      <c r="H2840" s="22"/>
      <c r="I2840" s="23" t="str">
        <f t="shared" si="133"/>
        <v xml:space="preserve">COM VALOR</v>
      </c>
      <c r="J2840" s="19"/>
      <c r="L2840" s="21">
        <v>2444.4000000000001</v>
      </c>
      <c r="M2840" s="22">
        <v>0</v>
      </c>
      <c r="N2840" s="21">
        <v>2444.4000000000001</v>
      </c>
      <c r="O2840" s="22">
        <v>0</v>
      </c>
    </row>
    <row r="2841" ht="25.5">
      <c r="A2841" t="s">
        <v>2030</v>
      </c>
      <c r="B2841" s="19">
        <v>95118</v>
      </c>
      <c r="C2841" s="20" t="s">
        <v>2895</v>
      </c>
      <c r="D2841" s="19" t="s">
        <v>2032</v>
      </c>
      <c r="E2841" s="21">
        <f t="shared" si="131"/>
        <v>75.170000000000002</v>
      </c>
      <c r="F2841" s="22"/>
      <c r="G2841" s="21">
        <f t="shared" si="132"/>
        <v>75.170000000000002</v>
      </c>
      <c r="H2841" s="22"/>
      <c r="I2841" s="23" t="str">
        <f t="shared" si="133"/>
        <v xml:space="preserve">COM VALOR</v>
      </c>
      <c r="J2841" s="19"/>
      <c r="L2841" s="21">
        <v>75.170000000000002</v>
      </c>
      <c r="M2841" s="22">
        <v>1</v>
      </c>
      <c r="N2841" s="21">
        <v>75.170000000000002</v>
      </c>
      <c r="O2841" s="22">
        <v>1</v>
      </c>
    </row>
    <row r="2842" ht="25.5">
      <c r="A2842" t="s">
        <v>2030</v>
      </c>
      <c r="B2842" s="19">
        <v>95119</v>
      </c>
      <c r="C2842" s="20" t="s">
        <v>2896</v>
      </c>
      <c r="D2842" s="19" t="s">
        <v>2032</v>
      </c>
      <c r="E2842" s="21">
        <f t="shared" si="131"/>
        <v>23.190000000000001</v>
      </c>
      <c r="F2842" s="22"/>
      <c r="G2842" s="21">
        <f t="shared" si="132"/>
        <v>23.190000000000001</v>
      </c>
      <c r="H2842" s="22"/>
      <c r="I2842" s="23" t="str">
        <f t="shared" si="133"/>
        <v xml:space="preserve">COM VALOR</v>
      </c>
      <c r="J2842" s="19"/>
      <c r="L2842" s="21">
        <v>23.190000000000001</v>
      </c>
      <c r="M2842" s="22">
        <v>1</v>
      </c>
      <c r="N2842" s="21">
        <v>23.190000000000001</v>
      </c>
      <c r="O2842" s="22">
        <v>1</v>
      </c>
    </row>
    <row r="2843" ht="25.5">
      <c r="A2843" t="s">
        <v>2030</v>
      </c>
      <c r="B2843" s="19">
        <v>5707</v>
      </c>
      <c r="C2843" s="20" t="s">
        <v>2897</v>
      </c>
      <c r="D2843" s="19" t="s">
        <v>2032</v>
      </c>
      <c r="E2843" s="21">
        <f t="shared" si="131"/>
        <v>82.25</v>
      </c>
      <c r="F2843" s="22"/>
      <c r="G2843" s="21">
        <f t="shared" si="132"/>
        <v>82.25</v>
      </c>
      <c r="H2843" s="22"/>
      <c r="I2843" s="23" t="str">
        <f t="shared" si="133"/>
        <v xml:space="preserve">COM VALOR</v>
      </c>
      <c r="J2843" s="19"/>
      <c r="L2843" s="21">
        <v>82.25</v>
      </c>
      <c r="M2843" s="22">
        <v>1</v>
      </c>
      <c r="N2843" s="21">
        <v>82.25</v>
      </c>
      <c r="O2843" s="22">
        <v>1</v>
      </c>
    </row>
    <row r="2844" ht="25.5">
      <c r="A2844" t="s">
        <v>2030</v>
      </c>
      <c r="B2844" s="19">
        <v>95120</v>
      </c>
      <c r="C2844" s="20" t="s">
        <v>2898</v>
      </c>
      <c r="D2844" s="19" t="s">
        <v>2032</v>
      </c>
      <c r="E2844" s="21">
        <f t="shared" si="131"/>
        <v>72.030000000000001</v>
      </c>
      <c r="F2844" s="22"/>
      <c r="G2844" s="21">
        <f t="shared" si="132"/>
        <v>72.030000000000001</v>
      </c>
      <c r="H2844" s="22"/>
      <c r="I2844" s="23" t="str">
        <f t="shared" si="133"/>
        <v xml:space="preserve">COM VALOR</v>
      </c>
      <c r="J2844" s="19"/>
      <c r="L2844" s="21">
        <v>72.030000000000001</v>
      </c>
      <c r="M2844" s="22">
        <v>0</v>
      </c>
      <c r="N2844" s="21">
        <v>72.030000000000001</v>
      </c>
      <c r="O2844" s="22">
        <v>0</v>
      </c>
    </row>
    <row r="2845" ht="25.5">
      <c r="A2845" t="s">
        <v>2030</v>
      </c>
      <c r="B2845" s="19">
        <v>103657</v>
      </c>
      <c r="C2845" s="20" t="s">
        <v>2899</v>
      </c>
      <c r="D2845" s="19" t="s">
        <v>2032</v>
      </c>
      <c r="E2845" s="21" t="str">
        <f t="shared" si="131"/>
        <v>VERIFICAR</v>
      </c>
      <c r="F2845" s="22"/>
      <c r="G2845" s="21" t="str">
        <f t="shared" si="132"/>
        <v>VERIFICAR</v>
      </c>
      <c r="H2845" s="22"/>
      <c r="I2845" s="23" t="str">
        <f t="shared" si="133"/>
        <v xml:space="preserve">COM VALOR</v>
      </c>
      <c r="J2845" s="19"/>
      <c r="L2845" s="21">
        <v>0</v>
      </c>
      <c r="M2845" s="22"/>
      <c r="N2845" s="21">
        <v>0</v>
      </c>
      <c r="O2845" s="22"/>
    </row>
    <row r="2846" ht="25.5">
      <c r="A2846" t="s">
        <v>2030</v>
      </c>
      <c r="B2846" s="19">
        <v>103658</v>
      </c>
      <c r="C2846" s="20" t="s">
        <v>2900</v>
      </c>
      <c r="D2846" s="19" t="s">
        <v>2032</v>
      </c>
      <c r="E2846" s="21" t="str">
        <f t="shared" si="131"/>
        <v>VERIFICAR</v>
      </c>
      <c r="F2846" s="22"/>
      <c r="G2846" s="21" t="str">
        <f t="shared" si="132"/>
        <v>VERIFICAR</v>
      </c>
      <c r="H2846" s="22"/>
      <c r="I2846" s="23" t="str">
        <f t="shared" si="133"/>
        <v xml:space="preserve">COM VALOR</v>
      </c>
      <c r="J2846" s="19"/>
      <c r="L2846" s="21">
        <v>0</v>
      </c>
      <c r="M2846" s="22"/>
      <c r="N2846" s="21">
        <v>0</v>
      </c>
      <c r="O2846" s="22"/>
    </row>
    <row r="2847" ht="25.5">
      <c r="A2847" t="s">
        <v>2030</v>
      </c>
      <c r="B2847" s="19">
        <v>103659</v>
      </c>
      <c r="C2847" s="20" t="s">
        <v>2901</v>
      </c>
      <c r="D2847" s="19" t="s">
        <v>2032</v>
      </c>
      <c r="E2847" s="21" t="str">
        <f t="shared" si="131"/>
        <v>VERIFICAR</v>
      </c>
      <c r="F2847" s="22"/>
      <c r="G2847" s="21" t="str">
        <f t="shared" si="132"/>
        <v>VERIFICAR</v>
      </c>
      <c r="H2847" s="22"/>
      <c r="I2847" s="23" t="str">
        <f t="shared" si="133"/>
        <v xml:space="preserve">COM VALOR</v>
      </c>
      <c r="J2847" s="19"/>
      <c r="L2847" s="21">
        <v>0</v>
      </c>
      <c r="M2847" s="22"/>
      <c r="N2847" s="21">
        <v>0</v>
      </c>
      <c r="O2847" s="22"/>
    </row>
    <row r="2848" ht="25.5">
      <c r="A2848" t="s">
        <v>2030</v>
      </c>
      <c r="B2848" s="19">
        <v>103660</v>
      </c>
      <c r="C2848" s="20" t="s">
        <v>2902</v>
      </c>
      <c r="D2848" s="19" t="s">
        <v>2032</v>
      </c>
      <c r="E2848" s="21">
        <f t="shared" si="131"/>
        <v>12.220000000000001</v>
      </c>
      <c r="F2848" s="22"/>
      <c r="G2848" s="21">
        <f t="shared" si="132"/>
        <v>12.220000000000001</v>
      </c>
      <c r="H2848" s="22"/>
      <c r="I2848" s="23" t="str">
        <f t="shared" si="133"/>
        <v xml:space="preserve">COM VALOR</v>
      </c>
      <c r="J2848" s="19"/>
      <c r="L2848" s="21">
        <v>12.220000000000001</v>
      </c>
      <c r="M2848" s="22">
        <v>0</v>
      </c>
      <c r="N2848" s="21">
        <v>12.220000000000001</v>
      </c>
      <c r="O2848" s="22">
        <v>0</v>
      </c>
    </row>
    <row r="2849" ht="25.5">
      <c r="A2849" t="s">
        <v>2030</v>
      </c>
      <c r="B2849" s="19">
        <v>89015</v>
      </c>
      <c r="C2849" s="20" t="s">
        <v>2903</v>
      </c>
      <c r="D2849" s="19" t="s">
        <v>2032</v>
      </c>
      <c r="E2849" s="21">
        <f t="shared" si="131"/>
        <v>3.75</v>
      </c>
      <c r="F2849" s="22"/>
      <c r="G2849" s="21">
        <f t="shared" si="132"/>
        <v>3.75</v>
      </c>
      <c r="H2849" s="22"/>
      <c r="I2849" s="23" t="str">
        <f t="shared" si="133"/>
        <v xml:space="preserve">COM VALOR</v>
      </c>
      <c r="J2849" s="19"/>
      <c r="L2849" s="21">
        <v>3.75</v>
      </c>
      <c r="M2849" s="22">
        <v>1</v>
      </c>
      <c r="N2849" s="21">
        <v>3.75</v>
      </c>
      <c r="O2849" s="22">
        <v>1</v>
      </c>
    </row>
    <row r="2850" ht="25.5">
      <c r="A2850" t="s">
        <v>2030</v>
      </c>
      <c r="B2850" s="19">
        <v>89016</v>
      </c>
      <c r="C2850" s="20" t="s">
        <v>2904</v>
      </c>
      <c r="D2850" s="19" t="s">
        <v>2032</v>
      </c>
      <c r="E2850" s="21">
        <f t="shared" si="131"/>
        <v>0.98999999999999999</v>
      </c>
      <c r="F2850" s="22"/>
      <c r="G2850" s="21">
        <f t="shared" si="132"/>
        <v>0.98999999999999999</v>
      </c>
      <c r="H2850" s="22"/>
      <c r="I2850" s="23" t="str">
        <f t="shared" si="133"/>
        <v xml:space="preserve">COM VALOR</v>
      </c>
      <c r="J2850" s="19"/>
      <c r="L2850" s="21">
        <v>0.98999999999999999</v>
      </c>
      <c r="M2850" s="22">
        <v>1</v>
      </c>
      <c r="N2850" s="21">
        <v>0.98999999999999999</v>
      </c>
      <c r="O2850" s="22">
        <v>1</v>
      </c>
    </row>
    <row r="2851" ht="25.5">
      <c r="A2851" t="s">
        <v>2030</v>
      </c>
      <c r="B2851" s="19">
        <v>53804</v>
      </c>
      <c r="C2851" s="20" t="s">
        <v>2905</v>
      </c>
      <c r="D2851" s="19" t="s">
        <v>2032</v>
      </c>
      <c r="E2851" s="21">
        <f t="shared" si="131"/>
        <v>4.6900000000000004</v>
      </c>
      <c r="F2851" s="22"/>
      <c r="G2851" s="21">
        <f t="shared" si="132"/>
        <v>4.6900000000000004</v>
      </c>
      <c r="H2851" s="22"/>
      <c r="I2851" s="23" t="str">
        <f t="shared" si="133"/>
        <v xml:space="preserve">COM VALOR</v>
      </c>
      <c r="J2851" s="19"/>
      <c r="L2851" s="21">
        <v>4.6900000000000004</v>
      </c>
      <c r="M2851" s="22">
        <v>1</v>
      </c>
      <c r="N2851" s="21">
        <v>4.6900000000000004</v>
      </c>
      <c r="O2851" s="22">
        <v>1</v>
      </c>
    </row>
    <row r="2852" ht="25.5">
      <c r="A2852" t="s">
        <v>2030</v>
      </c>
      <c r="B2852" s="19">
        <v>90582</v>
      </c>
      <c r="C2852" s="20" t="s">
        <v>2906</v>
      </c>
      <c r="D2852" s="19" t="s">
        <v>2032</v>
      </c>
      <c r="E2852" s="21">
        <f t="shared" si="131"/>
        <v>0.46999999999999997</v>
      </c>
      <c r="F2852" s="22"/>
      <c r="G2852" s="21">
        <f t="shared" si="132"/>
        <v>0.46999999999999997</v>
      </c>
      <c r="H2852" s="22"/>
      <c r="I2852" s="23" t="str">
        <f t="shared" si="133"/>
        <v xml:space="preserve">COM VALOR</v>
      </c>
      <c r="J2852" s="19"/>
      <c r="L2852" s="21">
        <v>0.46999999999999997</v>
      </c>
      <c r="M2852" s="22">
        <v>1</v>
      </c>
      <c r="N2852" s="21">
        <v>0.46999999999999997</v>
      </c>
      <c r="O2852" s="22">
        <v>1</v>
      </c>
    </row>
    <row r="2853" ht="25.5">
      <c r="A2853" t="s">
        <v>2030</v>
      </c>
      <c r="B2853" s="19">
        <v>90583</v>
      </c>
      <c r="C2853" s="20" t="s">
        <v>2907</v>
      </c>
      <c r="D2853" s="19" t="s">
        <v>2032</v>
      </c>
      <c r="E2853" s="21">
        <f t="shared" si="131"/>
        <v>0.11</v>
      </c>
      <c r="F2853" s="22"/>
      <c r="G2853" s="21">
        <f t="shared" si="132"/>
        <v>0.11</v>
      </c>
      <c r="H2853" s="22"/>
      <c r="I2853" s="23" t="str">
        <f t="shared" si="133"/>
        <v xml:space="preserve">COM VALOR</v>
      </c>
      <c r="J2853" s="19"/>
      <c r="L2853" s="21">
        <v>0.11</v>
      </c>
      <c r="M2853" s="22">
        <v>1</v>
      </c>
      <c r="N2853" s="21">
        <v>0.11</v>
      </c>
      <c r="O2853" s="22">
        <v>1</v>
      </c>
    </row>
    <row r="2854" ht="25.5">
      <c r="A2854" t="s">
        <v>2030</v>
      </c>
      <c r="B2854" s="19">
        <v>90584</v>
      </c>
      <c r="C2854" s="20" t="s">
        <v>2908</v>
      </c>
      <c r="D2854" s="19" t="s">
        <v>2032</v>
      </c>
      <c r="E2854" s="21">
        <f t="shared" si="131"/>
        <v>0.37</v>
      </c>
      <c r="F2854" s="22"/>
      <c r="G2854" s="21">
        <f t="shared" si="132"/>
        <v>0.37</v>
      </c>
      <c r="H2854" s="22"/>
      <c r="I2854" s="23" t="str">
        <f t="shared" si="133"/>
        <v xml:space="preserve">COM VALOR</v>
      </c>
      <c r="J2854" s="19"/>
      <c r="L2854" s="21">
        <v>0.37</v>
      </c>
      <c r="M2854" s="22">
        <v>1</v>
      </c>
      <c r="N2854" s="21">
        <v>0.37</v>
      </c>
      <c r="O2854" s="22">
        <v>1</v>
      </c>
    </row>
    <row r="2855" ht="38.25">
      <c r="A2855" t="s">
        <v>2030</v>
      </c>
      <c r="B2855" s="19">
        <v>90585</v>
      </c>
      <c r="C2855" s="20" t="s">
        <v>2909</v>
      </c>
      <c r="D2855" s="19" t="s">
        <v>2032</v>
      </c>
      <c r="E2855" s="21">
        <f t="shared" si="131"/>
        <v>0.57999999999999996</v>
      </c>
      <c r="F2855" s="22"/>
      <c r="G2855" s="21">
        <f t="shared" si="132"/>
        <v>0.57999999999999996</v>
      </c>
      <c r="H2855" s="22"/>
      <c r="I2855" s="23" t="str">
        <f t="shared" si="133"/>
        <v xml:space="preserve">COM VALOR</v>
      </c>
      <c r="J2855" s="19"/>
      <c r="L2855" s="21">
        <v>0.57999999999999996</v>
      </c>
      <c r="M2855" s="22">
        <v>0</v>
      </c>
      <c r="N2855" s="21">
        <v>0.57999999999999996</v>
      </c>
      <c r="O2855" s="22">
        <v>0</v>
      </c>
    </row>
    <row r="2856" ht="25.5">
      <c r="A2856" t="s">
        <v>2030</v>
      </c>
      <c r="B2856" s="19">
        <v>106380</v>
      </c>
      <c r="C2856" s="20" t="s">
        <v>2910</v>
      </c>
      <c r="D2856" s="19" t="s">
        <v>2032</v>
      </c>
      <c r="E2856" s="21">
        <f t="shared" si="131"/>
        <v>72.75</v>
      </c>
      <c r="F2856" s="22"/>
      <c r="G2856" s="21">
        <f t="shared" si="132"/>
        <v>72.75</v>
      </c>
      <c r="H2856" s="22"/>
      <c r="I2856" s="23" t="str">
        <f t="shared" si="133"/>
        <v xml:space="preserve">COM VALOR</v>
      </c>
      <c r="J2856" s="19"/>
      <c r="L2856" s="21">
        <v>72.75</v>
      </c>
      <c r="M2856" s="22">
        <v>1</v>
      </c>
      <c r="N2856" s="21">
        <v>72.75</v>
      </c>
      <c r="O2856" s="22">
        <v>1</v>
      </c>
    </row>
    <row r="2857" ht="25.5">
      <c r="A2857" t="s">
        <v>2030</v>
      </c>
      <c r="B2857" s="19">
        <v>106381</v>
      </c>
      <c r="C2857" s="20" t="s">
        <v>2911</v>
      </c>
      <c r="D2857" s="19" t="s">
        <v>2032</v>
      </c>
      <c r="E2857" s="21">
        <f t="shared" si="131"/>
        <v>25.640000000000001</v>
      </c>
      <c r="F2857" s="22"/>
      <c r="G2857" s="21">
        <f t="shared" si="132"/>
        <v>25.640000000000001</v>
      </c>
      <c r="H2857" s="22"/>
      <c r="I2857" s="23" t="str">
        <f t="shared" si="133"/>
        <v xml:space="preserve">COM VALOR</v>
      </c>
      <c r="J2857" s="19"/>
      <c r="L2857" s="21">
        <v>25.640000000000001</v>
      </c>
      <c r="M2857" s="22">
        <v>1</v>
      </c>
      <c r="N2857" s="21">
        <v>25.640000000000001</v>
      </c>
      <c r="O2857" s="22">
        <v>1</v>
      </c>
    </row>
    <row r="2858" ht="25.5">
      <c r="A2858" t="s">
        <v>2030</v>
      </c>
      <c r="B2858" s="19">
        <v>106382</v>
      </c>
      <c r="C2858" s="20" t="s">
        <v>2912</v>
      </c>
      <c r="D2858" s="19" t="s">
        <v>2032</v>
      </c>
      <c r="E2858" s="21">
        <f t="shared" si="131"/>
        <v>116.95</v>
      </c>
      <c r="F2858" s="22"/>
      <c r="G2858" s="21">
        <f t="shared" si="132"/>
        <v>116.95</v>
      </c>
      <c r="H2858" s="22"/>
      <c r="I2858" s="23" t="str">
        <f t="shared" si="133"/>
        <v xml:space="preserve">COM VALOR</v>
      </c>
      <c r="J2858" s="19"/>
      <c r="L2858" s="21">
        <v>116.95</v>
      </c>
      <c r="M2858" s="22">
        <v>1</v>
      </c>
      <c r="N2858" s="21">
        <v>116.95</v>
      </c>
      <c r="O2858" s="22">
        <v>1</v>
      </c>
    </row>
    <row r="2859" ht="38.25">
      <c r="A2859" t="s">
        <v>2030</v>
      </c>
      <c r="B2859" s="19">
        <v>106383</v>
      </c>
      <c r="C2859" s="20" t="s">
        <v>2913</v>
      </c>
      <c r="D2859" s="19" t="s">
        <v>2032</v>
      </c>
      <c r="E2859" s="21">
        <f t="shared" si="131"/>
        <v>105.84999999999999</v>
      </c>
      <c r="F2859" s="22"/>
      <c r="G2859" s="21">
        <f t="shared" si="132"/>
        <v>105.84999999999999</v>
      </c>
      <c r="H2859" s="22"/>
      <c r="I2859" s="23" t="str">
        <f t="shared" si="133"/>
        <v xml:space="preserve">COM VALOR</v>
      </c>
      <c r="J2859" s="19"/>
      <c r="L2859" s="21">
        <v>105.84999999999999</v>
      </c>
      <c r="M2859" s="22">
        <v>0</v>
      </c>
      <c r="N2859" s="21">
        <v>105.84999999999999</v>
      </c>
      <c r="O2859" s="22">
        <v>0</v>
      </c>
    </row>
    <row r="2860" ht="25.5">
      <c r="A2860" t="s">
        <v>2030</v>
      </c>
      <c r="B2860" s="19">
        <v>106376</v>
      </c>
      <c r="C2860" s="20" t="s">
        <v>2914</v>
      </c>
      <c r="D2860" s="19" t="s">
        <v>2032</v>
      </c>
      <c r="E2860" s="21">
        <f t="shared" si="131"/>
        <v>171.58000000000001</v>
      </c>
      <c r="F2860" s="22"/>
      <c r="G2860" s="21">
        <f t="shared" si="132"/>
        <v>171.58000000000001</v>
      </c>
      <c r="H2860" s="22"/>
      <c r="I2860" s="23" t="str">
        <f t="shared" si="133"/>
        <v xml:space="preserve">COM VALOR</v>
      </c>
      <c r="J2860" s="19"/>
      <c r="L2860" s="21">
        <v>171.58000000000001</v>
      </c>
      <c r="M2860" s="22">
        <v>1</v>
      </c>
      <c r="N2860" s="21">
        <v>171.58000000000001</v>
      </c>
      <c r="O2860" s="22">
        <v>1</v>
      </c>
    </row>
    <row r="2861" ht="25.5">
      <c r="A2861" t="s">
        <v>2030</v>
      </c>
      <c r="B2861" s="19">
        <v>106377</v>
      </c>
      <c r="C2861" s="20" t="s">
        <v>2915</v>
      </c>
      <c r="D2861" s="19" t="s">
        <v>2032</v>
      </c>
      <c r="E2861" s="21">
        <f t="shared" si="131"/>
        <v>60.479999999999997</v>
      </c>
      <c r="F2861" s="22">
        <v>0</v>
      </c>
      <c r="G2861" s="21">
        <f t="shared" si="132"/>
        <v>60.479999999999997</v>
      </c>
      <c r="H2861" s="22">
        <v>0</v>
      </c>
      <c r="I2861" s="23" t="str">
        <f t="shared" si="133"/>
        <v xml:space="preserve">COM VALOR</v>
      </c>
      <c r="J2861" s="19"/>
      <c r="L2861" s="21">
        <v>60.479999999999997</v>
      </c>
      <c r="M2861" s="22">
        <v>1</v>
      </c>
      <c r="N2861" s="21">
        <v>60.479999999999997</v>
      </c>
      <c r="O2861" s="22">
        <v>1</v>
      </c>
    </row>
    <row r="2862" ht="25.5">
      <c r="A2862" t="s">
        <v>2030</v>
      </c>
      <c r="B2862" s="19">
        <v>106378</v>
      </c>
      <c r="C2862" s="20" t="s">
        <v>2916</v>
      </c>
      <c r="D2862" s="19" t="s">
        <v>2032</v>
      </c>
      <c r="E2862" s="21">
        <f t="shared" si="131"/>
        <v>275.81999999999999</v>
      </c>
      <c r="F2862" s="22"/>
      <c r="G2862" s="21">
        <f t="shared" si="132"/>
        <v>275.81999999999999</v>
      </c>
      <c r="H2862" s="22"/>
      <c r="I2862" s="23" t="str">
        <f t="shared" si="133"/>
        <v xml:space="preserve">COM VALOR</v>
      </c>
      <c r="J2862" s="19"/>
      <c r="L2862" s="21">
        <v>275.81999999999999</v>
      </c>
      <c r="M2862" s="22">
        <v>1</v>
      </c>
      <c r="N2862" s="21">
        <v>275.81999999999999</v>
      </c>
      <c r="O2862" s="22">
        <v>1</v>
      </c>
    </row>
    <row r="2863" ht="38.25">
      <c r="A2863" t="s">
        <v>2030</v>
      </c>
      <c r="B2863" s="19">
        <v>106379</v>
      </c>
      <c r="C2863" s="20" t="s">
        <v>2917</v>
      </c>
      <c r="D2863" s="19" t="s">
        <v>2032</v>
      </c>
      <c r="E2863" s="21">
        <f t="shared" si="131"/>
        <v>128.94</v>
      </c>
      <c r="F2863" s="22"/>
      <c r="G2863" s="21">
        <f t="shared" si="132"/>
        <v>128.94</v>
      </c>
      <c r="H2863" s="22"/>
      <c r="I2863" s="23" t="str">
        <f t="shared" si="133"/>
        <v xml:space="preserve">COM VALOR</v>
      </c>
      <c r="J2863" s="19"/>
      <c r="L2863" s="21">
        <v>128.94</v>
      </c>
      <c r="M2863" s="22">
        <v>0</v>
      </c>
      <c r="N2863" s="21">
        <v>128.94</v>
      </c>
      <c r="O2863" s="22">
        <v>0</v>
      </c>
    </row>
    <row r="2864" ht="38.25">
      <c r="A2864" t="s">
        <v>2030</v>
      </c>
      <c r="B2864" s="19">
        <v>89240</v>
      </c>
      <c r="C2864" s="20" t="s">
        <v>2918</v>
      </c>
      <c r="D2864" s="19" t="s">
        <v>2032</v>
      </c>
      <c r="E2864" s="21">
        <f t="shared" si="131"/>
        <v>88.140000000000001</v>
      </c>
      <c r="F2864" s="22"/>
      <c r="G2864" s="21">
        <f t="shared" si="132"/>
        <v>88.140000000000001</v>
      </c>
      <c r="H2864" s="22"/>
      <c r="I2864" s="23" t="str">
        <f t="shared" si="133"/>
        <v xml:space="preserve">COM VALOR</v>
      </c>
      <c r="J2864" s="19"/>
      <c r="L2864" s="21">
        <v>88.140000000000001</v>
      </c>
      <c r="M2864" s="22">
        <v>1</v>
      </c>
      <c r="N2864" s="21">
        <v>88.140000000000001</v>
      </c>
      <c r="O2864" s="22">
        <v>1</v>
      </c>
    </row>
    <row r="2865" ht="38.25">
      <c r="A2865" t="s">
        <v>2030</v>
      </c>
      <c r="B2865" s="19">
        <v>89241</v>
      </c>
      <c r="C2865" s="20" t="s">
        <v>2919</v>
      </c>
      <c r="D2865" s="19" t="s">
        <v>2032</v>
      </c>
      <c r="E2865" s="21">
        <f t="shared" si="131"/>
        <v>31.07</v>
      </c>
      <c r="F2865" s="22"/>
      <c r="G2865" s="21">
        <f t="shared" si="132"/>
        <v>31.07</v>
      </c>
      <c r="H2865" s="22"/>
      <c r="I2865" s="23" t="str">
        <f t="shared" si="133"/>
        <v xml:space="preserve">COM VALOR</v>
      </c>
      <c r="J2865" s="19"/>
      <c r="L2865" s="21">
        <v>31.07</v>
      </c>
      <c r="M2865" s="22">
        <v>1</v>
      </c>
      <c r="N2865" s="21">
        <v>31.07</v>
      </c>
      <c r="O2865" s="22">
        <v>1</v>
      </c>
    </row>
    <row r="2866" ht="38.25">
      <c r="A2866" t="s">
        <v>2030</v>
      </c>
      <c r="B2866" s="19">
        <v>5710</v>
      </c>
      <c r="C2866" s="20" t="s">
        <v>2920</v>
      </c>
      <c r="D2866" s="19" t="s">
        <v>2032</v>
      </c>
      <c r="E2866" s="21">
        <f t="shared" si="131"/>
        <v>141.69</v>
      </c>
      <c r="F2866" s="22"/>
      <c r="G2866" s="21">
        <f t="shared" si="132"/>
        <v>141.69</v>
      </c>
      <c r="H2866" s="22"/>
      <c r="I2866" s="23" t="str">
        <f t="shared" si="133"/>
        <v xml:space="preserve">COM VALOR</v>
      </c>
      <c r="J2866" s="19"/>
      <c r="L2866" s="21">
        <v>141.69</v>
      </c>
      <c r="M2866" s="22">
        <v>1</v>
      </c>
      <c r="N2866" s="21">
        <v>141.69</v>
      </c>
      <c r="O2866" s="22">
        <v>1</v>
      </c>
    </row>
    <row r="2867" ht="38.25">
      <c r="A2867" t="s">
        <v>2030</v>
      </c>
      <c r="B2867" s="19">
        <v>5711</v>
      </c>
      <c r="C2867" s="20" t="s">
        <v>2921</v>
      </c>
      <c r="D2867" s="19" t="s">
        <v>2032</v>
      </c>
      <c r="E2867" s="21">
        <f t="shared" si="131"/>
        <v>101.03</v>
      </c>
      <c r="F2867" s="22"/>
      <c r="G2867" s="21">
        <f t="shared" si="132"/>
        <v>101.03</v>
      </c>
      <c r="H2867" s="22"/>
      <c r="I2867" s="23" t="str">
        <f t="shared" si="133"/>
        <v xml:space="preserve">COM VALOR</v>
      </c>
      <c r="J2867" s="19"/>
      <c r="L2867" s="21">
        <v>101.03</v>
      </c>
      <c r="M2867" s="22">
        <v>0</v>
      </c>
      <c r="N2867" s="21">
        <v>101.03</v>
      </c>
      <c r="O2867" s="22">
        <v>0</v>
      </c>
    </row>
    <row r="2868" ht="38.25">
      <c r="A2868" t="s">
        <v>2030</v>
      </c>
      <c r="B2868" s="19">
        <v>89253</v>
      </c>
      <c r="C2868" s="20" t="s">
        <v>2922</v>
      </c>
      <c r="D2868" s="19" t="s">
        <v>2032</v>
      </c>
      <c r="E2868" s="21">
        <f t="shared" si="131"/>
        <v>72.230000000000004</v>
      </c>
      <c r="F2868" s="22"/>
      <c r="G2868" s="21">
        <f t="shared" si="132"/>
        <v>72.230000000000004</v>
      </c>
      <c r="H2868" s="22"/>
      <c r="I2868" s="23" t="str">
        <f t="shared" si="133"/>
        <v xml:space="preserve">COM VALOR</v>
      </c>
      <c r="J2868" s="19"/>
      <c r="L2868" s="21">
        <v>72.230000000000004</v>
      </c>
      <c r="M2868" s="22">
        <v>1</v>
      </c>
      <c r="N2868" s="21">
        <v>72.230000000000004</v>
      </c>
      <c r="O2868" s="22">
        <v>1</v>
      </c>
    </row>
    <row r="2869" ht="38.25">
      <c r="A2869" t="s">
        <v>2030</v>
      </c>
      <c r="B2869" s="19">
        <v>89254</v>
      </c>
      <c r="C2869" s="20" t="s">
        <v>2923</v>
      </c>
      <c r="D2869" s="19" t="s">
        <v>2032</v>
      </c>
      <c r="E2869" s="21">
        <f t="shared" si="131"/>
        <v>25.460000000000001</v>
      </c>
      <c r="F2869" s="22"/>
      <c r="G2869" s="21">
        <f t="shared" si="132"/>
        <v>25.460000000000001</v>
      </c>
      <c r="H2869" s="22"/>
      <c r="I2869" s="23" t="str">
        <f t="shared" si="133"/>
        <v xml:space="preserve">COM VALOR</v>
      </c>
      <c r="J2869" s="19"/>
      <c r="L2869" s="21">
        <v>25.460000000000001</v>
      </c>
      <c r="M2869" s="22">
        <v>1</v>
      </c>
      <c r="N2869" s="21">
        <v>25.460000000000001</v>
      </c>
      <c r="O2869" s="22">
        <v>1</v>
      </c>
    </row>
    <row r="2870" ht="38.25">
      <c r="A2870" t="s">
        <v>2030</v>
      </c>
      <c r="B2870" s="19">
        <v>89255</v>
      </c>
      <c r="C2870" s="20" t="s">
        <v>2924</v>
      </c>
      <c r="D2870" s="19" t="s">
        <v>2032</v>
      </c>
      <c r="E2870" s="21">
        <f t="shared" si="131"/>
        <v>116.11</v>
      </c>
      <c r="F2870" s="22"/>
      <c r="G2870" s="21">
        <f t="shared" si="132"/>
        <v>116.11</v>
      </c>
      <c r="H2870" s="22"/>
      <c r="I2870" s="23" t="str">
        <f t="shared" si="133"/>
        <v xml:space="preserve">COM VALOR</v>
      </c>
      <c r="J2870" s="19"/>
      <c r="L2870" s="21">
        <v>116.11</v>
      </c>
      <c r="M2870" s="22">
        <v>1</v>
      </c>
      <c r="N2870" s="21">
        <v>116.11</v>
      </c>
      <c r="O2870" s="22">
        <v>1</v>
      </c>
    </row>
    <row r="2871" ht="38.25">
      <c r="A2871" t="s">
        <v>2030</v>
      </c>
      <c r="B2871" s="19">
        <v>89256</v>
      </c>
      <c r="C2871" s="20" t="s">
        <v>2925</v>
      </c>
      <c r="D2871" s="19" t="s">
        <v>2032</v>
      </c>
      <c r="E2871" s="21">
        <f t="shared" si="131"/>
        <v>96.209999999999994</v>
      </c>
      <c r="F2871" s="22"/>
      <c r="G2871" s="21">
        <f t="shared" si="132"/>
        <v>96.209999999999994</v>
      </c>
      <c r="H2871" s="22"/>
      <c r="I2871" s="23" t="str">
        <f t="shared" si="133"/>
        <v xml:space="preserve">COM VALOR</v>
      </c>
      <c r="J2871" s="19"/>
      <c r="L2871" s="21">
        <v>96.209999999999994</v>
      </c>
      <c r="M2871" s="22">
        <v>0</v>
      </c>
      <c r="N2871" s="21">
        <v>96.209999999999994</v>
      </c>
      <c r="O2871" s="22">
        <v>0</v>
      </c>
    </row>
    <row r="2872" ht="38.25">
      <c r="A2872" t="s">
        <v>2030</v>
      </c>
      <c r="B2872" s="19">
        <v>106384</v>
      </c>
      <c r="C2872" s="20" t="s">
        <v>2926</v>
      </c>
      <c r="D2872" s="19" t="s">
        <v>2032</v>
      </c>
      <c r="E2872" s="21">
        <f t="shared" si="131"/>
        <v>89.219999999999999</v>
      </c>
      <c r="F2872" s="22"/>
      <c r="G2872" s="21">
        <f t="shared" si="132"/>
        <v>89.219999999999999</v>
      </c>
      <c r="H2872" s="22"/>
      <c r="I2872" s="23" t="str">
        <f t="shared" si="133"/>
        <v xml:space="preserve">COM VALOR</v>
      </c>
      <c r="J2872" s="19"/>
      <c r="L2872" s="21">
        <v>89.219999999999999</v>
      </c>
      <c r="M2872" s="22">
        <v>1</v>
      </c>
      <c r="N2872" s="21">
        <v>89.219999999999999</v>
      </c>
      <c r="O2872" s="22">
        <v>1</v>
      </c>
    </row>
    <row r="2873" ht="38.25">
      <c r="A2873" t="s">
        <v>2030</v>
      </c>
      <c r="B2873" s="19">
        <v>106385</v>
      </c>
      <c r="C2873" s="20" t="s">
        <v>2927</v>
      </c>
      <c r="D2873" s="19" t="s">
        <v>2032</v>
      </c>
      <c r="E2873" s="21">
        <f t="shared" si="131"/>
        <v>27.52</v>
      </c>
      <c r="F2873" s="22"/>
      <c r="G2873" s="21">
        <f t="shared" si="132"/>
        <v>27.52</v>
      </c>
      <c r="H2873" s="22"/>
      <c r="I2873" s="23" t="str">
        <f t="shared" si="133"/>
        <v xml:space="preserve">COM VALOR</v>
      </c>
      <c r="J2873" s="19"/>
      <c r="L2873" s="21">
        <v>27.52</v>
      </c>
      <c r="M2873" s="22">
        <v>1</v>
      </c>
      <c r="N2873" s="21">
        <v>27.52</v>
      </c>
      <c r="O2873" s="22">
        <v>1</v>
      </c>
    </row>
    <row r="2874" ht="38.25">
      <c r="A2874" t="s">
        <v>2030</v>
      </c>
      <c r="B2874" s="19">
        <v>106386</v>
      </c>
      <c r="C2874" s="20" t="s">
        <v>2928</v>
      </c>
      <c r="D2874" s="19" t="s">
        <v>2032</v>
      </c>
      <c r="E2874" s="21">
        <f t="shared" si="131"/>
        <v>125.54000000000001</v>
      </c>
      <c r="F2874" s="22"/>
      <c r="G2874" s="21">
        <f t="shared" si="132"/>
        <v>125.54000000000001</v>
      </c>
      <c r="H2874" s="22"/>
      <c r="I2874" s="23" t="str">
        <f t="shared" si="133"/>
        <v xml:space="preserve">COM VALOR</v>
      </c>
      <c r="J2874" s="19"/>
      <c r="L2874" s="21">
        <v>125.54000000000001</v>
      </c>
      <c r="M2874" s="22">
        <v>1</v>
      </c>
      <c r="N2874" s="21">
        <v>125.54000000000001</v>
      </c>
      <c r="O2874" s="22">
        <v>1</v>
      </c>
    </row>
    <row r="2875" ht="38.25">
      <c r="A2875" t="s">
        <v>2030</v>
      </c>
      <c r="B2875" s="19">
        <v>106387</v>
      </c>
      <c r="C2875" s="20" t="s">
        <v>2929</v>
      </c>
      <c r="D2875" s="19" t="s">
        <v>2032</v>
      </c>
      <c r="E2875" s="21">
        <f t="shared" si="131"/>
        <v>101.03</v>
      </c>
      <c r="F2875" s="22"/>
      <c r="G2875" s="21">
        <f t="shared" si="132"/>
        <v>101.03</v>
      </c>
      <c r="H2875" s="22"/>
      <c r="I2875" s="23" t="str">
        <f t="shared" si="133"/>
        <v xml:space="preserve">COM VALOR</v>
      </c>
      <c r="J2875" s="19"/>
      <c r="L2875" s="21">
        <v>101.03</v>
      </c>
      <c r="M2875" s="22">
        <v>0</v>
      </c>
      <c r="N2875" s="21">
        <v>101.03</v>
      </c>
      <c r="O2875" s="22">
        <v>0</v>
      </c>
    </row>
    <row r="2876" ht="25.5">
      <c r="A2876" t="s">
        <v>2930</v>
      </c>
      <c r="B2876" s="19">
        <v>106489</v>
      </c>
      <c r="C2876" s="20" t="s">
        <v>2931</v>
      </c>
      <c r="D2876" s="19" t="s">
        <v>31</v>
      </c>
      <c r="E2876" s="21" t="str">
        <f t="shared" si="131"/>
        <v>VERIFICAR</v>
      </c>
      <c r="F2876" s="22"/>
      <c r="G2876" s="21" t="str">
        <f t="shared" si="132"/>
        <v>VERIFICAR</v>
      </c>
      <c r="H2876" s="22"/>
      <c r="I2876" s="23" t="str">
        <f t="shared" si="133"/>
        <v xml:space="preserve">COM VALOR</v>
      </c>
      <c r="J2876" s="19"/>
      <c r="L2876" s="21">
        <v>0</v>
      </c>
      <c r="M2876" s="22"/>
      <c r="N2876" s="21">
        <v>0</v>
      </c>
      <c r="O2876" s="22"/>
    </row>
    <row r="2877" ht="25.5">
      <c r="A2877" t="s">
        <v>2930</v>
      </c>
      <c r="B2877" s="19">
        <v>106491</v>
      </c>
      <c r="C2877" s="20" t="s">
        <v>2932</v>
      </c>
      <c r="D2877" s="19" t="s">
        <v>31</v>
      </c>
      <c r="E2877" s="21" t="str">
        <f t="shared" si="131"/>
        <v>VERIFICAR</v>
      </c>
      <c r="F2877" s="22"/>
      <c r="G2877" s="21" t="str">
        <f t="shared" si="132"/>
        <v>VERIFICAR</v>
      </c>
      <c r="H2877" s="22"/>
      <c r="I2877" s="23" t="str">
        <f t="shared" si="133"/>
        <v xml:space="preserve">COM VALOR</v>
      </c>
      <c r="J2877" s="19"/>
      <c r="L2877" s="21">
        <v>0</v>
      </c>
      <c r="M2877" s="22"/>
      <c r="N2877" s="21">
        <v>0</v>
      </c>
      <c r="O2877" s="22"/>
    </row>
    <row r="2878" ht="25.5">
      <c r="A2878" t="s">
        <v>2930</v>
      </c>
      <c r="B2878" s="19">
        <v>106493</v>
      </c>
      <c r="C2878" s="20" t="s">
        <v>2933</v>
      </c>
      <c r="D2878" s="19" t="s">
        <v>31</v>
      </c>
      <c r="E2878" s="21" t="str">
        <f t="shared" si="131"/>
        <v>VERIFICAR</v>
      </c>
      <c r="F2878" s="22"/>
      <c r="G2878" s="21" t="str">
        <f t="shared" si="132"/>
        <v>VERIFICAR</v>
      </c>
      <c r="H2878" s="22"/>
      <c r="I2878" s="23" t="str">
        <f t="shared" si="133"/>
        <v xml:space="preserve">COM VALOR</v>
      </c>
      <c r="J2878" s="19"/>
      <c r="L2878" s="21">
        <v>0</v>
      </c>
      <c r="M2878" s="22"/>
      <c r="N2878" s="21">
        <v>0</v>
      </c>
      <c r="O2878" s="22"/>
    </row>
    <row r="2879" ht="25.5">
      <c r="A2879" t="s">
        <v>2930</v>
      </c>
      <c r="B2879" s="19">
        <v>106490</v>
      </c>
      <c r="C2879" s="20" t="s">
        <v>2934</v>
      </c>
      <c r="D2879" s="19" t="s">
        <v>31</v>
      </c>
      <c r="E2879" s="21" t="str">
        <f t="shared" si="131"/>
        <v>VERIFICAR</v>
      </c>
      <c r="F2879" s="22"/>
      <c r="G2879" s="21" t="str">
        <f t="shared" si="132"/>
        <v>VERIFICAR</v>
      </c>
      <c r="H2879" s="22"/>
      <c r="I2879" s="23" t="str">
        <f t="shared" si="133"/>
        <v xml:space="preserve">COM VALOR</v>
      </c>
      <c r="J2879" s="19"/>
      <c r="L2879" s="21">
        <v>0</v>
      </c>
      <c r="M2879" s="22"/>
      <c r="N2879" s="21">
        <v>0</v>
      </c>
      <c r="O2879" s="22"/>
    </row>
    <row r="2880" ht="25.5">
      <c r="A2880" t="s">
        <v>2930</v>
      </c>
      <c r="B2880" s="19">
        <v>106492</v>
      </c>
      <c r="C2880" s="20" t="s">
        <v>2935</v>
      </c>
      <c r="D2880" s="19" t="s">
        <v>31</v>
      </c>
      <c r="E2880" s="21" t="str">
        <f t="shared" si="131"/>
        <v>VERIFICAR</v>
      </c>
      <c r="F2880" s="22"/>
      <c r="G2880" s="21" t="str">
        <f t="shared" si="132"/>
        <v>VERIFICAR</v>
      </c>
      <c r="H2880" s="22"/>
      <c r="I2880" s="23" t="str">
        <f t="shared" si="133"/>
        <v xml:space="preserve">COM VALOR</v>
      </c>
      <c r="J2880" s="19"/>
      <c r="L2880" s="21">
        <v>0</v>
      </c>
      <c r="M2880" s="22"/>
      <c r="N2880" s="21">
        <v>0</v>
      </c>
      <c r="O2880" s="22"/>
    </row>
    <row r="2881" ht="25.5">
      <c r="A2881" t="s">
        <v>2930</v>
      </c>
      <c r="B2881" s="19">
        <v>106496</v>
      </c>
      <c r="C2881" s="20" t="s">
        <v>2936</v>
      </c>
      <c r="D2881" s="19" t="s">
        <v>31</v>
      </c>
      <c r="E2881" s="21" t="str">
        <f t="shared" si="131"/>
        <v>VERIFICAR</v>
      </c>
      <c r="F2881" s="22"/>
      <c r="G2881" s="21" t="str">
        <f t="shared" si="132"/>
        <v>VERIFICAR</v>
      </c>
      <c r="H2881" s="22"/>
      <c r="I2881" s="23" t="str">
        <f t="shared" si="133"/>
        <v xml:space="preserve">COM VALOR</v>
      </c>
      <c r="J2881" s="19"/>
      <c r="L2881" s="21">
        <v>0</v>
      </c>
      <c r="M2881" s="22"/>
      <c r="N2881" s="21">
        <v>0</v>
      </c>
      <c r="O2881" s="22"/>
    </row>
    <row r="2882" ht="25.5">
      <c r="A2882" t="s">
        <v>2930</v>
      </c>
      <c r="B2882" s="19">
        <v>106497</v>
      </c>
      <c r="C2882" s="20" t="s">
        <v>2937</v>
      </c>
      <c r="D2882" s="19" t="s">
        <v>31</v>
      </c>
      <c r="E2882" s="21" t="str">
        <f t="shared" si="131"/>
        <v>VERIFICAR</v>
      </c>
      <c r="F2882" s="22"/>
      <c r="G2882" s="21" t="str">
        <f t="shared" si="132"/>
        <v>VERIFICAR</v>
      </c>
      <c r="H2882" s="22"/>
      <c r="I2882" s="23" t="str">
        <f t="shared" si="133"/>
        <v xml:space="preserve">COM VALOR</v>
      </c>
      <c r="J2882" s="19"/>
      <c r="L2882" s="21">
        <v>0</v>
      </c>
      <c r="M2882" s="22"/>
      <c r="N2882" s="21">
        <v>0</v>
      </c>
      <c r="O2882" s="22"/>
    </row>
    <row r="2883" ht="25.5">
      <c r="A2883" t="s">
        <v>2930</v>
      </c>
      <c r="B2883" s="19">
        <v>106495</v>
      </c>
      <c r="C2883" s="20" t="s">
        <v>2938</v>
      </c>
      <c r="D2883" s="19" t="s">
        <v>31</v>
      </c>
      <c r="E2883" s="21" t="str">
        <f t="shared" si="131"/>
        <v>VERIFICAR</v>
      </c>
      <c r="F2883" s="22"/>
      <c r="G2883" s="21" t="str">
        <f t="shared" si="132"/>
        <v>VERIFICAR</v>
      </c>
      <c r="H2883" s="22"/>
      <c r="I2883" s="23" t="str">
        <f t="shared" si="133"/>
        <v xml:space="preserve">COM VALOR</v>
      </c>
      <c r="J2883" s="19"/>
      <c r="L2883" s="21">
        <v>0</v>
      </c>
      <c r="M2883" s="22"/>
      <c r="N2883" s="21">
        <v>0</v>
      </c>
      <c r="O2883" s="22"/>
    </row>
    <row r="2884" ht="25.5">
      <c r="A2884" t="s">
        <v>2930</v>
      </c>
      <c r="B2884" s="19">
        <v>106498</v>
      </c>
      <c r="C2884" s="20" t="s">
        <v>2939</v>
      </c>
      <c r="D2884" s="19" t="s">
        <v>31</v>
      </c>
      <c r="E2884" s="21" t="str">
        <f t="shared" si="131"/>
        <v>VERIFICAR</v>
      </c>
      <c r="F2884" s="22"/>
      <c r="G2884" s="21" t="str">
        <f t="shared" si="132"/>
        <v>VERIFICAR</v>
      </c>
      <c r="H2884" s="22"/>
      <c r="I2884" s="23" t="str">
        <f t="shared" si="133"/>
        <v xml:space="preserve">COM VALOR</v>
      </c>
      <c r="J2884" s="19"/>
      <c r="L2884" s="21">
        <v>0</v>
      </c>
      <c r="M2884" s="22"/>
      <c r="N2884" s="21">
        <v>0</v>
      </c>
      <c r="O2884" s="22"/>
    </row>
    <row r="2885" ht="25.5">
      <c r="A2885" t="s">
        <v>2930</v>
      </c>
      <c r="B2885" s="19">
        <v>106494</v>
      </c>
      <c r="C2885" s="20" t="s">
        <v>2940</v>
      </c>
      <c r="D2885" s="19" t="s">
        <v>31</v>
      </c>
      <c r="E2885" s="21" t="str">
        <f t="shared" si="131"/>
        <v>VERIFICAR</v>
      </c>
      <c r="F2885" s="22"/>
      <c r="G2885" s="21" t="str">
        <f t="shared" si="132"/>
        <v>VERIFICAR</v>
      </c>
      <c r="H2885" s="22"/>
      <c r="I2885" s="23" t="str">
        <f t="shared" si="133"/>
        <v xml:space="preserve">COM VALOR</v>
      </c>
      <c r="J2885" s="19"/>
      <c r="L2885" s="21">
        <v>0</v>
      </c>
      <c r="M2885" s="22"/>
      <c r="N2885" s="21">
        <v>0</v>
      </c>
      <c r="O2885" s="22"/>
    </row>
    <row r="2886" ht="25.5">
      <c r="A2886" t="s">
        <v>2930</v>
      </c>
      <c r="B2886" s="19">
        <v>106485</v>
      </c>
      <c r="C2886" s="20" t="s">
        <v>2941</v>
      </c>
      <c r="D2886" s="19" t="s">
        <v>31</v>
      </c>
      <c r="E2886" s="21" t="str">
        <f t="shared" si="131"/>
        <v>VERIFICAR</v>
      </c>
      <c r="F2886" s="22"/>
      <c r="G2886" s="21" t="str">
        <f t="shared" si="132"/>
        <v>VERIFICAR</v>
      </c>
      <c r="H2886" s="22"/>
      <c r="I2886" s="23" t="str">
        <f t="shared" si="133"/>
        <v xml:space="preserve">COM VALOR</v>
      </c>
      <c r="J2886" s="19"/>
      <c r="L2886" s="21">
        <v>0</v>
      </c>
      <c r="M2886" s="22"/>
      <c r="N2886" s="21">
        <v>0</v>
      </c>
      <c r="O2886" s="22"/>
    </row>
    <row r="2887" ht="25.5">
      <c r="A2887" t="s">
        <v>2930</v>
      </c>
      <c r="B2887" s="19">
        <v>106486</v>
      </c>
      <c r="C2887" s="20" t="s">
        <v>2942</v>
      </c>
      <c r="D2887" s="19" t="s">
        <v>31</v>
      </c>
      <c r="E2887" s="21" t="str">
        <f t="shared" si="131"/>
        <v>VERIFICAR</v>
      </c>
      <c r="F2887" s="22"/>
      <c r="G2887" s="21" t="str">
        <f t="shared" si="132"/>
        <v>VERIFICAR</v>
      </c>
      <c r="H2887" s="22"/>
      <c r="I2887" s="23" t="str">
        <f t="shared" si="133"/>
        <v xml:space="preserve">COM VALOR</v>
      </c>
      <c r="J2887" s="19"/>
      <c r="L2887" s="21">
        <v>0</v>
      </c>
      <c r="M2887" s="22"/>
      <c r="N2887" s="21">
        <v>0</v>
      </c>
      <c r="O2887" s="22"/>
    </row>
    <row r="2888" ht="25.5">
      <c r="A2888" t="s">
        <v>2930</v>
      </c>
      <c r="B2888" s="19">
        <v>106487</v>
      </c>
      <c r="C2888" s="20" t="s">
        <v>2943</v>
      </c>
      <c r="D2888" s="19" t="s">
        <v>31</v>
      </c>
      <c r="E2888" s="21" t="str">
        <f t="shared" si="131"/>
        <v>VERIFICAR</v>
      </c>
      <c r="F2888" s="22"/>
      <c r="G2888" s="21" t="str">
        <f t="shared" si="132"/>
        <v>VERIFICAR</v>
      </c>
      <c r="H2888" s="22"/>
      <c r="I2888" s="23" t="str">
        <f t="shared" si="133"/>
        <v xml:space="preserve">COM VALOR</v>
      </c>
      <c r="J2888" s="19"/>
      <c r="L2888" s="21">
        <v>0</v>
      </c>
      <c r="M2888" s="22"/>
      <c r="N2888" s="21">
        <v>0</v>
      </c>
      <c r="O2888" s="22"/>
    </row>
    <row r="2889" ht="25.5">
      <c r="A2889" t="s">
        <v>2930</v>
      </c>
      <c r="B2889" s="19">
        <v>106488</v>
      </c>
      <c r="C2889" s="20" t="s">
        <v>2944</v>
      </c>
      <c r="D2889" s="19" t="s">
        <v>31</v>
      </c>
      <c r="E2889" s="21" t="str">
        <f t="shared" si="131"/>
        <v>VERIFICAR</v>
      </c>
      <c r="F2889" s="22"/>
      <c r="G2889" s="21" t="str">
        <f t="shared" si="132"/>
        <v>VERIFICAR</v>
      </c>
      <c r="H2889" s="22"/>
      <c r="I2889" s="23" t="str">
        <f t="shared" si="133"/>
        <v xml:space="preserve">COM VALOR</v>
      </c>
      <c r="J2889" s="19"/>
      <c r="L2889" s="21">
        <v>0</v>
      </c>
      <c r="M2889" s="22"/>
      <c r="N2889" s="21">
        <v>0</v>
      </c>
      <c r="O2889" s="22"/>
    </row>
    <row r="2890" ht="25.5">
      <c r="A2890" t="s">
        <v>2945</v>
      </c>
      <c r="B2890" s="19">
        <v>103797</v>
      </c>
      <c r="C2890" s="20" t="s">
        <v>2946</v>
      </c>
      <c r="D2890" s="19" t="s">
        <v>302</v>
      </c>
      <c r="E2890" s="21">
        <f t="shared" si="131"/>
        <v>16.030000000000001</v>
      </c>
      <c r="F2890" s="22"/>
      <c r="G2890" s="21">
        <f t="shared" si="132"/>
        <v>15.6</v>
      </c>
      <c r="H2890" s="22"/>
      <c r="I2890" s="23" t="str">
        <f t="shared" si="133"/>
        <v xml:space="preserve">COM VALOR</v>
      </c>
      <c r="J2890" s="19"/>
      <c r="L2890" s="21">
        <v>16.030000000000001</v>
      </c>
      <c r="M2890" s="22">
        <v>0</v>
      </c>
      <c r="N2890" s="21">
        <v>15.6</v>
      </c>
      <c r="O2890" s="22">
        <v>0</v>
      </c>
    </row>
    <row r="2891" ht="51">
      <c r="A2891" t="s">
        <v>2945</v>
      </c>
      <c r="B2891" s="19">
        <v>103930</v>
      </c>
      <c r="C2891" s="20" t="s">
        <v>2947</v>
      </c>
      <c r="D2891" s="19" t="s">
        <v>121</v>
      </c>
      <c r="E2891" s="21">
        <f t="shared" ref="E2891:E2954" si="134">IF(L2891=0,"VERIFICAR",L2891)</f>
        <v>747.63</v>
      </c>
      <c r="F2891" s="22"/>
      <c r="G2891" s="21">
        <f t="shared" ref="G2891:G2954" si="135">IF(N2891=0,"VERIFICAR",N2891)</f>
        <v>732.97000000000003</v>
      </c>
      <c r="H2891" s="22"/>
      <c r="I2891" s="23" t="str">
        <f t="shared" ref="I2891:I2954" si="136">IF(OR(E2891=0,G2891=0),"SEM VALOR","COM VALOR")</f>
        <v xml:space="preserve">COM VALOR</v>
      </c>
      <c r="J2891" s="19"/>
      <c r="L2891" s="21">
        <v>747.63</v>
      </c>
      <c r="M2891" s="22">
        <v>0</v>
      </c>
      <c r="N2891" s="21">
        <v>732.97000000000003</v>
      </c>
      <c r="O2891" s="22">
        <v>0</v>
      </c>
    </row>
    <row r="2892" ht="51">
      <c r="A2892" t="s">
        <v>2945</v>
      </c>
      <c r="B2892" s="19">
        <v>103931</v>
      </c>
      <c r="C2892" s="20" t="s">
        <v>2948</v>
      </c>
      <c r="D2892" s="19" t="s">
        <v>121</v>
      </c>
      <c r="E2892" s="21">
        <f t="shared" si="134"/>
        <v>567.60000000000002</v>
      </c>
      <c r="F2892" s="22"/>
      <c r="G2892" s="21">
        <f t="shared" si="135"/>
        <v>556.04999999999995</v>
      </c>
      <c r="H2892" s="22"/>
      <c r="I2892" s="23" t="str">
        <f t="shared" si="136"/>
        <v xml:space="preserve">COM VALOR</v>
      </c>
      <c r="J2892" s="19"/>
      <c r="L2892" s="21">
        <v>567.60000000000002</v>
      </c>
      <c r="M2892" s="22">
        <v>0</v>
      </c>
      <c r="N2892" s="21">
        <v>556.04999999999995</v>
      </c>
      <c r="O2892" s="22">
        <v>0</v>
      </c>
    </row>
    <row r="2893" ht="51">
      <c r="A2893" t="s">
        <v>2945</v>
      </c>
      <c r="B2893" s="19">
        <v>103932</v>
      </c>
      <c r="C2893" s="20" t="s">
        <v>2949</v>
      </c>
      <c r="D2893" s="19" t="s">
        <v>121</v>
      </c>
      <c r="E2893" s="21">
        <f t="shared" si="134"/>
        <v>541.22000000000003</v>
      </c>
      <c r="F2893" s="22"/>
      <c r="G2893" s="21">
        <f t="shared" si="135"/>
        <v>530.12</v>
      </c>
      <c r="H2893" s="22"/>
      <c r="I2893" s="23" t="str">
        <f t="shared" si="136"/>
        <v xml:space="preserve">COM VALOR</v>
      </c>
      <c r="J2893" s="19"/>
      <c r="L2893" s="21">
        <v>541.22000000000003</v>
      </c>
      <c r="M2893" s="22">
        <v>0</v>
      </c>
      <c r="N2893" s="21">
        <v>530.12</v>
      </c>
      <c r="O2893" s="22">
        <v>0</v>
      </c>
    </row>
    <row r="2894" ht="38.25">
      <c r="A2894" t="s">
        <v>2945</v>
      </c>
      <c r="B2894" s="19">
        <v>103929</v>
      </c>
      <c r="C2894" s="20" t="s">
        <v>2950</v>
      </c>
      <c r="D2894" s="19" t="s">
        <v>121</v>
      </c>
      <c r="E2894" s="21">
        <f t="shared" si="134"/>
        <v>1175.27</v>
      </c>
      <c r="F2894" s="22"/>
      <c r="G2894" s="21">
        <f t="shared" si="135"/>
        <v>1153.45</v>
      </c>
      <c r="H2894" s="22"/>
      <c r="I2894" s="23" t="str">
        <f t="shared" si="136"/>
        <v xml:space="preserve">COM VALOR</v>
      </c>
      <c r="J2894" s="19"/>
      <c r="L2894" s="21">
        <v>1175.27</v>
      </c>
      <c r="M2894" s="22">
        <v>0</v>
      </c>
      <c r="N2894" s="21">
        <v>1153.45</v>
      </c>
      <c r="O2894" s="22">
        <v>0</v>
      </c>
    </row>
    <row r="2895" ht="38.25">
      <c r="A2895" t="s">
        <v>2945</v>
      </c>
      <c r="B2895" s="19">
        <v>103928</v>
      </c>
      <c r="C2895" s="20" t="s">
        <v>2951</v>
      </c>
      <c r="D2895" s="19" t="s">
        <v>121</v>
      </c>
      <c r="E2895" s="21">
        <f t="shared" si="134"/>
        <v>518.34000000000003</v>
      </c>
      <c r="F2895" s="22"/>
      <c r="G2895" s="21">
        <f t="shared" si="135"/>
        <v>506.39999999999998</v>
      </c>
      <c r="H2895" s="22"/>
      <c r="I2895" s="23" t="str">
        <f t="shared" si="136"/>
        <v xml:space="preserve">COM VALOR</v>
      </c>
      <c r="J2895" s="19"/>
      <c r="L2895" s="21">
        <v>518.34000000000003</v>
      </c>
      <c r="M2895" s="22">
        <v>0</v>
      </c>
      <c r="N2895" s="21">
        <v>506.39999999999998</v>
      </c>
      <c r="O2895" s="22">
        <v>0</v>
      </c>
    </row>
    <row r="2896" ht="38.25">
      <c r="A2896" t="s">
        <v>2945</v>
      </c>
      <c r="B2896" s="19">
        <v>103798</v>
      </c>
      <c r="C2896" s="20" t="s">
        <v>2952</v>
      </c>
      <c r="D2896" s="19" t="s">
        <v>121</v>
      </c>
      <c r="E2896" s="21">
        <f t="shared" si="134"/>
        <v>733.17999999999995</v>
      </c>
      <c r="F2896" s="22"/>
      <c r="G2896" s="21">
        <f t="shared" si="135"/>
        <v>729.55999999999995</v>
      </c>
      <c r="H2896" s="22"/>
      <c r="I2896" s="23" t="str">
        <f t="shared" si="136"/>
        <v xml:space="preserve">COM VALOR</v>
      </c>
      <c r="J2896" s="19"/>
      <c r="L2896" s="21">
        <v>733.17999999999995</v>
      </c>
      <c r="M2896" s="22">
        <v>0</v>
      </c>
      <c r="N2896" s="21">
        <v>729.55999999999995</v>
      </c>
      <c r="O2896" s="22">
        <v>0</v>
      </c>
    </row>
    <row r="2897" ht="51">
      <c r="A2897" t="s">
        <v>2945</v>
      </c>
      <c r="B2897" s="19">
        <v>103801</v>
      </c>
      <c r="C2897" s="20" t="s">
        <v>2953</v>
      </c>
      <c r="D2897" s="19" t="s">
        <v>121</v>
      </c>
      <c r="E2897" s="21">
        <f t="shared" si="134"/>
        <v>659.51999999999998</v>
      </c>
      <c r="F2897" s="22"/>
      <c r="G2897" s="21">
        <f t="shared" si="135"/>
        <v>647</v>
      </c>
      <c r="H2897" s="22"/>
      <c r="I2897" s="23" t="str">
        <f t="shared" si="136"/>
        <v xml:space="preserve">COM VALOR</v>
      </c>
      <c r="J2897" s="19"/>
      <c r="L2897" s="21">
        <v>659.51999999999998</v>
      </c>
      <c r="M2897" s="22">
        <v>0</v>
      </c>
      <c r="N2897" s="21">
        <v>647</v>
      </c>
      <c r="O2897" s="22">
        <v>0</v>
      </c>
    </row>
    <row r="2898" ht="38.25">
      <c r="A2898" t="s">
        <v>2945</v>
      </c>
      <c r="B2898" s="19">
        <v>103933</v>
      </c>
      <c r="C2898" s="20" t="s">
        <v>2954</v>
      </c>
      <c r="D2898" s="19" t="s">
        <v>121</v>
      </c>
      <c r="E2898" s="21">
        <f t="shared" si="134"/>
        <v>1556.5699999999999</v>
      </c>
      <c r="F2898" s="22"/>
      <c r="G2898" s="21">
        <f t="shared" si="135"/>
        <v>1534.72</v>
      </c>
      <c r="H2898" s="22"/>
      <c r="I2898" s="23" t="str">
        <f t="shared" si="136"/>
        <v xml:space="preserve">COM VALOR</v>
      </c>
      <c r="J2898" s="19"/>
      <c r="L2898" s="21">
        <v>1556.5699999999999</v>
      </c>
      <c r="M2898" s="22">
        <v>1.e-002</v>
      </c>
      <c r="N2898" s="21">
        <v>1534.72</v>
      </c>
      <c r="O2898" s="22">
        <v>1.e-002</v>
      </c>
    </row>
    <row r="2899" ht="51">
      <c r="A2899" t="s">
        <v>2945</v>
      </c>
      <c r="B2899" s="19">
        <v>103925</v>
      </c>
      <c r="C2899" s="20" t="s">
        <v>2955</v>
      </c>
      <c r="D2899" s="19" t="s">
        <v>121</v>
      </c>
      <c r="E2899" s="21">
        <f t="shared" si="134"/>
        <v>1746.29</v>
      </c>
      <c r="F2899" s="22"/>
      <c r="G2899" s="21">
        <f t="shared" si="135"/>
        <v>1713.1700000000001</v>
      </c>
      <c r="H2899" s="22"/>
      <c r="I2899" s="23" t="str">
        <f t="shared" si="136"/>
        <v xml:space="preserve">COM VALOR</v>
      </c>
      <c r="J2899" s="19"/>
      <c r="L2899" s="21">
        <v>1746.29</v>
      </c>
      <c r="M2899" s="22">
        <v>0</v>
      </c>
      <c r="N2899" s="21">
        <v>1713.1700000000001</v>
      </c>
      <c r="O2899" s="22">
        <v>0</v>
      </c>
    </row>
    <row r="2900" ht="51">
      <c r="A2900" t="s">
        <v>2945</v>
      </c>
      <c r="B2900" s="19">
        <v>103926</v>
      </c>
      <c r="C2900" s="20" t="s">
        <v>2956</v>
      </c>
      <c r="D2900" s="19" t="s">
        <v>121</v>
      </c>
      <c r="E2900" s="21">
        <f t="shared" si="134"/>
        <v>1431.5899999999999</v>
      </c>
      <c r="F2900" s="22"/>
      <c r="G2900" s="21">
        <f t="shared" si="135"/>
        <v>1407.71</v>
      </c>
      <c r="H2900" s="22"/>
      <c r="I2900" s="23" t="str">
        <f t="shared" si="136"/>
        <v xml:space="preserve">COM VALOR</v>
      </c>
      <c r="J2900" s="19"/>
      <c r="L2900" s="21">
        <v>1431.5899999999999</v>
      </c>
      <c r="M2900" s="22">
        <v>1.e-002</v>
      </c>
      <c r="N2900" s="21">
        <v>1407.71</v>
      </c>
      <c r="O2900" s="22">
        <v>1.e-002</v>
      </c>
    </row>
    <row r="2901" ht="38.25">
      <c r="A2901" t="s">
        <v>2945</v>
      </c>
      <c r="B2901" s="19">
        <v>103796</v>
      </c>
      <c r="C2901" s="20" t="s">
        <v>2957</v>
      </c>
      <c r="D2901" s="19" t="s">
        <v>29</v>
      </c>
      <c r="E2901" s="21">
        <f t="shared" si="134"/>
        <v>51.57</v>
      </c>
      <c r="F2901" s="22"/>
      <c r="G2901" s="21">
        <f t="shared" si="135"/>
        <v>50.640000000000001</v>
      </c>
      <c r="H2901" s="22"/>
      <c r="I2901" s="23" t="str">
        <f t="shared" si="136"/>
        <v xml:space="preserve">COM VALOR</v>
      </c>
      <c r="J2901" s="19"/>
      <c r="L2901" s="21">
        <v>51.57</v>
      </c>
      <c r="M2901" s="22">
        <v>0</v>
      </c>
      <c r="N2901" s="21">
        <v>50.640000000000001</v>
      </c>
      <c r="O2901" s="22">
        <v>0</v>
      </c>
    </row>
    <row r="2902" ht="38.25">
      <c r="A2902" t="s">
        <v>2945</v>
      </c>
      <c r="B2902" s="19">
        <v>103795</v>
      </c>
      <c r="C2902" s="20" t="s">
        <v>2958</v>
      </c>
      <c r="D2902" s="19" t="s">
        <v>29</v>
      </c>
      <c r="E2902" s="21">
        <f t="shared" si="134"/>
        <v>81.700000000000003</v>
      </c>
      <c r="F2902" s="22"/>
      <c r="G2902" s="21">
        <f t="shared" si="135"/>
        <v>79.159999999999997</v>
      </c>
      <c r="H2902" s="22"/>
      <c r="I2902" s="23" t="str">
        <f t="shared" si="136"/>
        <v xml:space="preserve">COM VALOR</v>
      </c>
      <c r="J2902" s="19"/>
      <c r="L2902" s="21">
        <v>81.700000000000003</v>
      </c>
      <c r="M2902" s="22">
        <v>0</v>
      </c>
      <c r="N2902" s="21">
        <v>79.159999999999997</v>
      </c>
      <c r="O2902" s="22">
        <v>0</v>
      </c>
    </row>
    <row r="2903" ht="38.25">
      <c r="A2903" t="s">
        <v>2945</v>
      </c>
      <c r="B2903" s="19">
        <v>103800</v>
      </c>
      <c r="C2903" s="20" t="s">
        <v>2959</v>
      </c>
      <c r="D2903" s="19" t="s">
        <v>121</v>
      </c>
      <c r="E2903" s="21">
        <f t="shared" si="134"/>
        <v>518.34000000000003</v>
      </c>
      <c r="F2903" s="22"/>
      <c r="G2903" s="21">
        <f t="shared" si="135"/>
        <v>506.39999999999998</v>
      </c>
      <c r="H2903" s="22"/>
      <c r="I2903" s="23" t="str">
        <f t="shared" si="136"/>
        <v xml:space="preserve">COM VALOR</v>
      </c>
      <c r="J2903" s="19"/>
      <c r="L2903" s="21">
        <v>518.34000000000003</v>
      </c>
      <c r="M2903" s="22">
        <v>0</v>
      </c>
      <c r="N2903" s="21">
        <v>506.39999999999998</v>
      </c>
      <c r="O2903" s="22">
        <v>0</v>
      </c>
    </row>
    <row r="2904" ht="63.75">
      <c r="A2904" t="s">
        <v>2945</v>
      </c>
      <c r="B2904" s="19">
        <v>103799</v>
      </c>
      <c r="C2904" s="20" t="s">
        <v>2960</v>
      </c>
      <c r="D2904" s="19" t="s">
        <v>121</v>
      </c>
      <c r="E2904" s="21">
        <f t="shared" si="134"/>
        <v>428.37</v>
      </c>
      <c r="F2904" s="22"/>
      <c r="G2904" s="21">
        <f t="shared" si="135"/>
        <v>418.98000000000002</v>
      </c>
      <c r="H2904" s="22"/>
      <c r="I2904" s="23" t="str">
        <f t="shared" si="136"/>
        <v xml:space="preserve">COM VALOR</v>
      </c>
      <c r="J2904" s="19"/>
      <c r="L2904" s="21">
        <v>428.37</v>
      </c>
      <c r="M2904" s="22">
        <v>0</v>
      </c>
      <c r="N2904" s="21">
        <v>418.98000000000002</v>
      </c>
      <c r="O2904" s="22">
        <v>0</v>
      </c>
    </row>
    <row r="2905" ht="38.25">
      <c r="A2905" t="s">
        <v>2961</v>
      </c>
      <c r="B2905" s="19">
        <v>104950</v>
      </c>
      <c r="C2905" s="20" t="s">
        <v>2962</v>
      </c>
      <c r="D2905" s="19" t="s">
        <v>121</v>
      </c>
      <c r="E2905" s="21" t="str">
        <f t="shared" si="134"/>
        <v>VERIFICAR</v>
      </c>
      <c r="F2905" s="22"/>
      <c r="G2905" s="21" t="str">
        <f t="shared" si="135"/>
        <v>VERIFICAR</v>
      </c>
      <c r="H2905" s="22"/>
      <c r="I2905" s="23" t="str">
        <f t="shared" si="136"/>
        <v xml:space="preserve">COM VALOR</v>
      </c>
      <c r="J2905" s="19"/>
      <c r="L2905" s="21">
        <v>0</v>
      </c>
      <c r="M2905" s="22"/>
      <c r="N2905" s="21">
        <v>0</v>
      </c>
      <c r="O2905" s="22"/>
    </row>
    <row r="2906" ht="38.25">
      <c r="A2906" t="s">
        <v>2961</v>
      </c>
      <c r="B2906" s="19">
        <v>104948</v>
      </c>
      <c r="C2906" s="20" t="s">
        <v>2963</v>
      </c>
      <c r="D2906" s="19" t="s">
        <v>121</v>
      </c>
      <c r="E2906" s="21">
        <f t="shared" si="134"/>
        <v>5.3099999999999996</v>
      </c>
      <c r="F2906" s="22"/>
      <c r="G2906" s="21">
        <f t="shared" si="135"/>
        <v>5.2000000000000002</v>
      </c>
      <c r="H2906" s="22"/>
      <c r="I2906" s="23" t="str">
        <f t="shared" si="136"/>
        <v xml:space="preserve">COM VALOR</v>
      </c>
      <c r="J2906" s="19"/>
      <c r="L2906" s="21">
        <v>5.3099999999999996</v>
      </c>
      <c r="M2906" s="22">
        <v>0</v>
      </c>
      <c r="N2906" s="21">
        <v>5.2000000000000002</v>
      </c>
      <c r="O2906" s="22">
        <v>0</v>
      </c>
    </row>
    <row r="2907" ht="38.25">
      <c r="A2907" t="s">
        <v>2961</v>
      </c>
      <c r="B2907" s="19">
        <v>104949</v>
      </c>
      <c r="C2907" s="20" t="s">
        <v>2964</v>
      </c>
      <c r="D2907" s="19" t="s">
        <v>121</v>
      </c>
      <c r="E2907" s="21">
        <f t="shared" si="134"/>
        <v>9.9499999999999993</v>
      </c>
      <c r="F2907" s="22"/>
      <c r="G2907" s="21">
        <f t="shared" si="135"/>
        <v>9.7699999999999996</v>
      </c>
      <c r="H2907" s="22"/>
      <c r="I2907" s="23" t="str">
        <f t="shared" si="136"/>
        <v xml:space="preserve">COM VALOR</v>
      </c>
      <c r="J2907" s="19"/>
      <c r="L2907" s="21">
        <v>9.9499999999999993</v>
      </c>
      <c r="M2907" s="22">
        <v>0</v>
      </c>
      <c r="N2907" s="21">
        <v>9.7699999999999996</v>
      </c>
      <c r="O2907" s="22">
        <v>0</v>
      </c>
    </row>
    <row r="2908" ht="38.25">
      <c r="A2908" t="s">
        <v>2961</v>
      </c>
      <c r="B2908" s="19">
        <v>104947</v>
      </c>
      <c r="C2908" s="20" t="s">
        <v>2965</v>
      </c>
      <c r="D2908" s="19" t="s">
        <v>121</v>
      </c>
      <c r="E2908" s="21">
        <f t="shared" si="134"/>
        <v>12.48</v>
      </c>
      <c r="F2908" s="22"/>
      <c r="G2908" s="21">
        <f t="shared" si="135"/>
        <v>12.15</v>
      </c>
      <c r="H2908" s="22"/>
      <c r="I2908" s="23" t="str">
        <f t="shared" si="136"/>
        <v xml:space="preserve">COM VALOR</v>
      </c>
      <c r="J2908" s="19"/>
      <c r="L2908" s="21">
        <v>12.48</v>
      </c>
      <c r="M2908" s="22">
        <v>0</v>
      </c>
      <c r="N2908" s="21">
        <v>12.15</v>
      </c>
      <c r="O2908" s="22">
        <v>0</v>
      </c>
    </row>
    <row r="2909" ht="25.5">
      <c r="A2909" t="s">
        <v>2966</v>
      </c>
      <c r="B2909" s="19">
        <v>106545</v>
      </c>
      <c r="C2909" s="20" t="s">
        <v>2967</v>
      </c>
      <c r="D2909" s="19" t="s">
        <v>38</v>
      </c>
      <c r="E2909" s="21">
        <f t="shared" si="134"/>
        <v>10.77</v>
      </c>
      <c r="F2909" s="22"/>
      <c r="G2909" s="21">
        <f t="shared" si="135"/>
        <v>10.77</v>
      </c>
      <c r="H2909" s="22"/>
      <c r="I2909" s="23" t="str">
        <f t="shared" si="136"/>
        <v xml:space="preserve">COM VALOR</v>
      </c>
      <c r="J2909" s="19"/>
      <c r="L2909" s="21">
        <v>10.77</v>
      </c>
      <c r="M2909" s="22">
        <v>0.98999999999999999</v>
      </c>
      <c r="N2909" s="21">
        <v>10.77</v>
      </c>
      <c r="O2909" s="22">
        <v>0.98999999999999999</v>
      </c>
    </row>
    <row r="2910" ht="25.5">
      <c r="A2910" t="s">
        <v>2966</v>
      </c>
      <c r="B2910" s="19">
        <v>106543</v>
      </c>
      <c r="C2910" s="20" t="s">
        <v>2968</v>
      </c>
      <c r="D2910" s="19" t="s">
        <v>38</v>
      </c>
      <c r="E2910" s="21">
        <f t="shared" si="134"/>
        <v>22.170000000000002</v>
      </c>
      <c r="F2910" s="22"/>
      <c r="G2910" s="21">
        <f t="shared" si="135"/>
        <v>22.170000000000002</v>
      </c>
      <c r="H2910" s="22"/>
      <c r="I2910" s="23" t="str">
        <f t="shared" si="136"/>
        <v xml:space="preserve">COM VALOR</v>
      </c>
      <c r="J2910" s="19"/>
      <c r="L2910" s="21">
        <v>22.170000000000002</v>
      </c>
      <c r="M2910" s="22">
        <v>1</v>
      </c>
      <c r="N2910" s="21">
        <v>22.170000000000002</v>
      </c>
      <c r="O2910" s="22">
        <v>1</v>
      </c>
    </row>
    <row r="2911" ht="25.5">
      <c r="A2911" t="s">
        <v>2966</v>
      </c>
      <c r="B2911" s="19">
        <v>106544</v>
      </c>
      <c r="C2911" s="20" t="s">
        <v>2969</v>
      </c>
      <c r="D2911" s="19" t="s">
        <v>38</v>
      </c>
      <c r="E2911" s="21">
        <f t="shared" si="134"/>
        <v>38.060000000000002</v>
      </c>
      <c r="F2911" s="22"/>
      <c r="G2911" s="21">
        <f t="shared" si="135"/>
        <v>38.060000000000002</v>
      </c>
      <c r="H2911" s="22"/>
      <c r="I2911" s="23" t="str">
        <f t="shared" si="136"/>
        <v xml:space="preserve">COM VALOR</v>
      </c>
      <c r="J2911" s="19"/>
      <c r="L2911" s="21">
        <v>38.060000000000002</v>
      </c>
      <c r="M2911" s="22">
        <v>1</v>
      </c>
      <c r="N2911" s="21">
        <v>38.060000000000002</v>
      </c>
      <c r="O2911" s="22">
        <v>1</v>
      </c>
    </row>
    <row r="2912" ht="25.5">
      <c r="A2912" t="s">
        <v>2966</v>
      </c>
      <c r="B2912" s="19">
        <v>106546</v>
      </c>
      <c r="C2912" s="20" t="s">
        <v>2970</v>
      </c>
      <c r="D2912" s="19" t="s">
        <v>38</v>
      </c>
      <c r="E2912" s="21">
        <f t="shared" si="134"/>
        <v>6.7400000000000002</v>
      </c>
      <c r="F2912" s="22"/>
      <c r="G2912" s="21">
        <f t="shared" si="135"/>
        <v>6.7400000000000002</v>
      </c>
      <c r="H2912" s="22"/>
      <c r="I2912" s="23" t="str">
        <f t="shared" si="136"/>
        <v xml:space="preserve">COM VALOR</v>
      </c>
      <c r="J2912" s="19"/>
      <c r="L2912" s="21">
        <v>6.7400000000000002</v>
      </c>
      <c r="M2912" s="22">
        <v>0.98999999999999999</v>
      </c>
      <c r="N2912" s="21">
        <v>6.7400000000000002</v>
      </c>
      <c r="O2912" s="22">
        <v>0.98999999999999999</v>
      </c>
    </row>
    <row r="2913" ht="25.5">
      <c r="A2913" t="s">
        <v>2966</v>
      </c>
      <c r="B2913" s="19">
        <v>106547</v>
      </c>
      <c r="C2913" s="20" t="s">
        <v>2971</v>
      </c>
      <c r="D2913" s="19" t="s">
        <v>31</v>
      </c>
      <c r="E2913" s="21">
        <f t="shared" si="134"/>
        <v>6.5499999999999998</v>
      </c>
      <c r="F2913" s="22"/>
      <c r="G2913" s="21">
        <f t="shared" si="135"/>
        <v>6.1699999999999999</v>
      </c>
      <c r="H2913" s="22"/>
      <c r="I2913" s="23" t="str">
        <f t="shared" si="136"/>
        <v xml:space="preserve">COM VALOR</v>
      </c>
      <c r="J2913" s="19"/>
      <c r="L2913" s="21">
        <v>6.5499999999999998</v>
      </c>
      <c r="M2913" s="22">
        <v>0</v>
      </c>
      <c r="N2913" s="21">
        <v>6.1699999999999999</v>
      </c>
      <c r="O2913" s="22">
        <v>0</v>
      </c>
    </row>
    <row r="2914" ht="38.25">
      <c r="A2914" t="s">
        <v>2966</v>
      </c>
      <c r="B2914" s="19">
        <v>106542</v>
      </c>
      <c r="C2914" s="20" t="s">
        <v>2972</v>
      </c>
      <c r="D2914" s="19" t="s">
        <v>29</v>
      </c>
      <c r="E2914" s="21" t="str">
        <f t="shared" si="134"/>
        <v>VERIFICAR</v>
      </c>
      <c r="F2914" s="22"/>
      <c r="G2914" s="21" t="str">
        <f t="shared" si="135"/>
        <v>VERIFICAR</v>
      </c>
      <c r="H2914" s="22"/>
      <c r="I2914" s="23" t="str">
        <f t="shared" si="136"/>
        <v xml:space="preserve">COM VALOR</v>
      </c>
      <c r="J2914" s="19"/>
      <c r="L2914" s="21">
        <v>0</v>
      </c>
      <c r="M2914" s="22"/>
      <c r="N2914" s="21">
        <v>0</v>
      </c>
      <c r="O2914" s="22"/>
    </row>
    <row r="2915" ht="25.5">
      <c r="A2915" t="s">
        <v>2966</v>
      </c>
      <c r="B2915" s="19">
        <v>106534</v>
      </c>
      <c r="C2915" s="20" t="s">
        <v>2973</v>
      </c>
      <c r="D2915" s="19" t="s">
        <v>29</v>
      </c>
      <c r="E2915" s="21" t="str">
        <f t="shared" si="134"/>
        <v>VERIFICAR</v>
      </c>
      <c r="F2915" s="22"/>
      <c r="G2915" s="21" t="str">
        <f t="shared" si="135"/>
        <v>VERIFICAR</v>
      </c>
      <c r="H2915" s="22"/>
      <c r="I2915" s="23" t="str">
        <f t="shared" si="136"/>
        <v xml:space="preserve">COM VALOR</v>
      </c>
      <c r="J2915" s="19"/>
      <c r="L2915" s="21">
        <v>0</v>
      </c>
      <c r="M2915" s="22"/>
      <c r="N2915" s="21">
        <v>0</v>
      </c>
      <c r="O2915" s="22"/>
    </row>
    <row r="2916" ht="38.25">
      <c r="A2916" t="s">
        <v>2966</v>
      </c>
      <c r="B2916" s="19">
        <v>106535</v>
      </c>
      <c r="C2916" s="20" t="s">
        <v>2974</v>
      </c>
      <c r="D2916" s="19" t="s">
        <v>29</v>
      </c>
      <c r="E2916" s="21" t="str">
        <f t="shared" si="134"/>
        <v>VERIFICAR</v>
      </c>
      <c r="F2916" s="22"/>
      <c r="G2916" s="21" t="str">
        <f t="shared" si="135"/>
        <v>VERIFICAR</v>
      </c>
      <c r="H2916" s="22"/>
      <c r="I2916" s="23" t="str">
        <f t="shared" si="136"/>
        <v xml:space="preserve">COM VALOR</v>
      </c>
      <c r="J2916" s="19"/>
      <c r="L2916" s="21">
        <v>0</v>
      </c>
      <c r="M2916" s="22"/>
      <c r="N2916" s="21">
        <v>0</v>
      </c>
      <c r="O2916" s="22"/>
    </row>
    <row r="2917" ht="38.25">
      <c r="A2917" t="s">
        <v>2966</v>
      </c>
      <c r="B2917" s="19">
        <v>106537</v>
      </c>
      <c r="C2917" s="20" t="s">
        <v>2975</v>
      </c>
      <c r="D2917" s="19" t="s">
        <v>29</v>
      </c>
      <c r="E2917" s="21" t="str">
        <f t="shared" si="134"/>
        <v>VERIFICAR</v>
      </c>
      <c r="F2917" s="22"/>
      <c r="G2917" s="21" t="str">
        <f t="shared" si="135"/>
        <v>VERIFICAR</v>
      </c>
      <c r="H2917" s="22"/>
      <c r="I2917" s="23" t="str">
        <f t="shared" si="136"/>
        <v xml:space="preserve">COM VALOR</v>
      </c>
      <c r="J2917" s="19"/>
      <c r="L2917" s="21">
        <v>0</v>
      </c>
      <c r="M2917" s="22"/>
      <c r="N2917" s="21">
        <v>0</v>
      </c>
      <c r="O2917" s="22"/>
    </row>
    <row r="2918" ht="38.25">
      <c r="A2918" t="s">
        <v>2966</v>
      </c>
      <c r="B2918" s="19">
        <v>106536</v>
      </c>
      <c r="C2918" s="20" t="s">
        <v>2976</v>
      </c>
      <c r="D2918" s="19" t="s">
        <v>29</v>
      </c>
      <c r="E2918" s="21" t="str">
        <f t="shared" si="134"/>
        <v>VERIFICAR</v>
      </c>
      <c r="F2918" s="22"/>
      <c r="G2918" s="21" t="str">
        <f t="shared" si="135"/>
        <v>VERIFICAR</v>
      </c>
      <c r="H2918" s="22"/>
      <c r="I2918" s="23" t="str">
        <f t="shared" si="136"/>
        <v xml:space="preserve">COM VALOR</v>
      </c>
      <c r="J2918" s="19"/>
      <c r="L2918" s="21">
        <v>0</v>
      </c>
      <c r="M2918" s="22"/>
      <c r="N2918" s="21">
        <v>0</v>
      </c>
      <c r="O2918" s="22"/>
    </row>
    <row r="2919" ht="25.5">
      <c r="A2919" t="s">
        <v>2966</v>
      </c>
      <c r="B2919" s="19">
        <v>106530</v>
      </c>
      <c r="C2919" s="20" t="s">
        <v>2977</v>
      </c>
      <c r="D2919" s="19" t="s">
        <v>29</v>
      </c>
      <c r="E2919" s="21" t="str">
        <f t="shared" si="134"/>
        <v>VERIFICAR</v>
      </c>
      <c r="F2919" s="22"/>
      <c r="G2919" s="21" t="str">
        <f t="shared" si="135"/>
        <v>VERIFICAR</v>
      </c>
      <c r="H2919" s="22"/>
      <c r="I2919" s="23" t="str">
        <f t="shared" si="136"/>
        <v xml:space="preserve">COM VALOR</v>
      </c>
      <c r="J2919" s="19"/>
      <c r="L2919" s="21">
        <v>0</v>
      </c>
      <c r="M2919" s="22"/>
      <c r="N2919" s="21">
        <v>0</v>
      </c>
      <c r="O2919" s="22"/>
    </row>
    <row r="2920" ht="38.25">
      <c r="A2920" t="s">
        <v>2966</v>
      </c>
      <c r="B2920" s="19">
        <v>106531</v>
      </c>
      <c r="C2920" s="20" t="s">
        <v>2978</v>
      </c>
      <c r="D2920" s="19" t="s">
        <v>29</v>
      </c>
      <c r="E2920" s="21" t="str">
        <f t="shared" si="134"/>
        <v>VERIFICAR</v>
      </c>
      <c r="F2920" s="22"/>
      <c r="G2920" s="21" t="str">
        <f t="shared" si="135"/>
        <v>VERIFICAR</v>
      </c>
      <c r="H2920" s="22"/>
      <c r="I2920" s="23" t="str">
        <f t="shared" si="136"/>
        <v xml:space="preserve">COM VALOR</v>
      </c>
      <c r="J2920" s="19"/>
      <c r="L2920" s="21">
        <v>0</v>
      </c>
      <c r="M2920" s="22"/>
      <c r="N2920" s="21">
        <v>0</v>
      </c>
      <c r="O2920" s="22"/>
    </row>
    <row r="2921" ht="38.25">
      <c r="A2921" t="s">
        <v>2966</v>
      </c>
      <c r="B2921" s="19">
        <v>106533</v>
      </c>
      <c r="C2921" s="20" t="s">
        <v>2979</v>
      </c>
      <c r="D2921" s="19" t="s">
        <v>29</v>
      </c>
      <c r="E2921" s="21" t="str">
        <f t="shared" si="134"/>
        <v>VERIFICAR</v>
      </c>
      <c r="F2921" s="22"/>
      <c r="G2921" s="21" t="str">
        <f t="shared" si="135"/>
        <v>VERIFICAR</v>
      </c>
      <c r="H2921" s="22"/>
      <c r="I2921" s="23" t="str">
        <f t="shared" si="136"/>
        <v xml:space="preserve">COM VALOR</v>
      </c>
      <c r="J2921" s="19"/>
      <c r="L2921" s="21">
        <v>0</v>
      </c>
      <c r="M2921" s="22"/>
      <c r="N2921" s="21">
        <v>0</v>
      </c>
      <c r="O2921" s="22"/>
    </row>
    <row r="2922" ht="38.25">
      <c r="A2922" t="s">
        <v>2966</v>
      </c>
      <c r="B2922" s="19">
        <v>106532</v>
      </c>
      <c r="C2922" s="20" t="s">
        <v>2980</v>
      </c>
      <c r="D2922" s="19" t="s">
        <v>29</v>
      </c>
      <c r="E2922" s="21" t="str">
        <f t="shared" si="134"/>
        <v>VERIFICAR</v>
      </c>
      <c r="F2922" s="22"/>
      <c r="G2922" s="21" t="str">
        <f t="shared" si="135"/>
        <v>VERIFICAR</v>
      </c>
      <c r="H2922" s="22"/>
      <c r="I2922" s="23" t="str">
        <f t="shared" si="136"/>
        <v xml:space="preserve">COM VALOR</v>
      </c>
      <c r="J2922" s="19"/>
      <c r="L2922" s="21">
        <v>0</v>
      </c>
      <c r="M2922" s="22"/>
      <c r="N2922" s="21">
        <v>0</v>
      </c>
      <c r="O2922" s="22"/>
    </row>
    <row r="2923" ht="38.25">
      <c r="A2923" t="s">
        <v>2966</v>
      </c>
      <c r="B2923" s="19">
        <v>106538</v>
      </c>
      <c r="C2923" s="20" t="s">
        <v>2981</v>
      </c>
      <c r="D2923" s="19" t="s">
        <v>29</v>
      </c>
      <c r="E2923" s="21" t="str">
        <f t="shared" si="134"/>
        <v>VERIFICAR</v>
      </c>
      <c r="F2923" s="22"/>
      <c r="G2923" s="21" t="str">
        <f t="shared" si="135"/>
        <v>VERIFICAR</v>
      </c>
      <c r="H2923" s="22"/>
      <c r="I2923" s="23" t="str">
        <f t="shared" si="136"/>
        <v xml:space="preserve">COM VALOR</v>
      </c>
      <c r="J2923" s="19"/>
      <c r="L2923" s="21">
        <v>0</v>
      </c>
      <c r="M2923" s="22"/>
      <c r="N2923" s="21">
        <v>0</v>
      </c>
      <c r="O2923" s="22"/>
    </row>
    <row r="2924" ht="38.25">
      <c r="A2924" t="s">
        <v>2966</v>
      </c>
      <c r="B2924" s="19">
        <v>106539</v>
      </c>
      <c r="C2924" s="20" t="s">
        <v>2982</v>
      </c>
      <c r="D2924" s="19" t="s">
        <v>29</v>
      </c>
      <c r="E2924" s="21" t="str">
        <f t="shared" si="134"/>
        <v>VERIFICAR</v>
      </c>
      <c r="F2924" s="22"/>
      <c r="G2924" s="21" t="str">
        <f t="shared" si="135"/>
        <v>VERIFICAR</v>
      </c>
      <c r="H2924" s="22"/>
      <c r="I2924" s="23" t="str">
        <f t="shared" si="136"/>
        <v xml:space="preserve">COM VALOR</v>
      </c>
      <c r="J2924" s="19"/>
      <c r="L2924" s="21">
        <v>0</v>
      </c>
      <c r="M2924" s="22"/>
      <c r="N2924" s="21">
        <v>0</v>
      </c>
      <c r="O2924" s="22"/>
    </row>
    <row r="2925" ht="38.25">
      <c r="A2925" t="s">
        <v>2966</v>
      </c>
      <c r="B2925" s="19">
        <v>106541</v>
      </c>
      <c r="C2925" s="20" t="s">
        <v>2983</v>
      </c>
      <c r="D2925" s="19" t="s">
        <v>29</v>
      </c>
      <c r="E2925" s="21" t="str">
        <f t="shared" si="134"/>
        <v>VERIFICAR</v>
      </c>
      <c r="F2925" s="22"/>
      <c r="G2925" s="21" t="str">
        <f t="shared" si="135"/>
        <v>VERIFICAR</v>
      </c>
      <c r="H2925" s="22"/>
      <c r="I2925" s="23" t="str">
        <f t="shared" si="136"/>
        <v xml:space="preserve">COM VALOR</v>
      </c>
      <c r="J2925" s="19"/>
      <c r="L2925" s="21">
        <v>0</v>
      </c>
      <c r="M2925" s="22"/>
      <c r="N2925" s="21">
        <v>0</v>
      </c>
      <c r="O2925" s="22"/>
    </row>
    <row r="2926" ht="38.25">
      <c r="A2926" t="s">
        <v>2966</v>
      </c>
      <c r="B2926" s="19">
        <v>106540</v>
      </c>
      <c r="C2926" s="20" t="s">
        <v>2984</v>
      </c>
      <c r="D2926" s="19" t="s">
        <v>29</v>
      </c>
      <c r="E2926" s="21" t="str">
        <f t="shared" si="134"/>
        <v>VERIFICAR</v>
      </c>
      <c r="F2926" s="22"/>
      <c r="G2926" s="21" t="str">
        <f t="shared" si="135"/>
        <v>VERIFICAR</v>
      </c>
      <c r="H2926" s="22"/>
      <c r="I2926" s="23" t="str">
        <f t="shared" si="136"/>
        <v xml:space="preserve">COM VALOR</v>
      </c>
      <c r="J2926" s="19"/>
      <c r="L2926" s="21">
        <v>0</v>
      </c>
      <c r="M2926" s="22"/>
      <c r="N2926" s="21">
        <v>0</v>
      </c>
      <c r="O2926" s="22"/>
    </row>
    <row r="2927" ht="25.5">
      <c r="A2927" t="s">
        <v>2985</v>
      </c>
      <c r="B2927" s="19">
        <v>104325</v>
      </c>
      <c r="C2927" s="20" t="s">
        <v>2986</v>
      </c>
      <c r="D2927" s="19" t="s">
        <v>31</v>
      </c>
      <c r="E2927" s="21" t="str">
        <f t="shared" si="134"/>
        <v>VERIFICAR</v>
      </c>
      <c r="F2927" s="22"/>
      <c r="G2927" s="21" t="str">
        <f t="shared" si="135"/>
        <v>VERIFICAR</v>
      </c>
      <c r="H2927" s="22"/>
      <c r="I2927" s="23" t="str">
        <f t="shared" si="136"/>
        <v xml:space="preserve">COM VALOR</v>
      </c>
      <c r="J2927" s="19"/>
      <c r="L2927" s="21">
        <v>0</v>
      </c>
      <c r="M2927" s="22"/>
      <c r="N2927" s="21">
        <v>0</v>
      </c>
      <c r="O2927" s="22"/>
    </row>
    <row r="2928" ht="25.5">
      <c r="A2928" t="s">
        <v>2985</v>
      </c>
      <c r="B2928" s="19">
        <v>104318</v>
      </c>
      <c r="C2928" s="20" t="s">
        <v>2987</v>
      </c>
      <c r="D2928" s="19" t="s">
        <v>31</v>
      </c>
      <c r="E2928" s="21">
        <f t="shared" si="134"/>
        <v>7.4900000000000002</v>
      </c>
      <c r="F2928" s="22"/>
      <c r="G2928" s="21">
        <f t="shared" si="135"/>
        <v>7.1900000000000004</v>
      </c>
      <c r="H2928" s="22"/>
      <c r="I2928" s="23" t="str">
        <f t="shared" si="136"/>
        <v xml:space="preserve">COM VALOR</v>
      </c>
      <c r="J2928" s="19"/>
      <c r="L2928" s="21">
        <v>7.4900000000000002</v>
      </c>
      <c r="M2928" s="22">
        <v>0</v>
      </c>
      <c r="N2928" s="21">
        <v>7.1900000000000004</v>
      </c>
      <c r="O2928" s="22">
        <v>0</v>
      </c>
    </row>
    <row r="2929" ht="25.5">
      <c r="A2929" t="s">
        <v>2985</v>
      </c>
      <c r="B2929" s="19">
        <v>89867</v>
      </c>
      <c r="C2929" s="20" t="s">
        <v>2988</v>
      </c>
      <c r="D2929" s="19" t="s">
        <v>31</v>
      </c>
      <c r="E2929" s="21">
        <f t="shared" si="134"/>
        <v>8.4100000000000001</v>
      </c>
      <c r="F2929" s="22"/>
      <c r="G2929" s="21">
        <f t="shared" si="135"/>
        <v>8.0899999999999999</v>
      </c>
      <c r="H2929" s="22"/>
      <c r="I2929" s="23" t="str">
        <f t="shared" si="136"/>
        <v xml:space="preserve">COM VALOR</v>
      </c>
      <c r="J2929" s="19"/>
      <c r="L2929" s="21">
        <v>8.4100000000000001</v>
      </c>
      <c r="M2929" s="22">
        <v>0</v>
      </c>
      <c r="N2929" s="21">
        <v>8.0899999999999999</v>
      </c>
      <c r="O2929" s="22">
        <v>0</v>
      </c>
    </row>
    <row r="2930" ht="25.5">
      <c r="A2930" t="s">
        <v>2985</v>
      </c>
      <c r="B2930" s="19">
        <v>104320</v>
      </c>
      <c r="C2930" s="20" t="s">
        <v>2989</v>
      </c>
      <c r="D2930" s="19" t="s">
        <v>31</v>
      </c>
      <c r="E2930" s="21">
        <f t="shared" si="134"/>
        <v>12</v>
      </c>
      <c r="F2930" s="22"/>
      <c r="G2930" s="21">
        <f t="shared" si="135"/>
        <v>11.65</v>
      </c>
      <c r="H2930" s="22"/>
      <c r="I2930" s="23" t="str">
        <f t="shared" si="136"/>
        <v xml:space="preserve">COM VALOR</v>
      </c>
      <c r="J2930" s="19"/>
      <c r="L2930" s="21">
        <v>12</v>
      </c>
      <c r="M2930" s="22">
        <v>0</v>
      </c>
      <c r="N2930" s="21">
        <v>11.65</v>
      </c>
      <c r="O2930" s="22">
        <v>0</v>
      </c>
    </row>
    <row r="2931" ht="25.5">
      <c r="A2931" t="s">
        <v>2985</v>
      </c>
      <c r="B2931" s="19">
        <v>104317</v>
      </c>
      <c r="C2931" s="20" t="s">
        <v>2990</v>
      </c>
      <c r="D2931" s="19" t="s">
        <v>31</v>
      </c>
      <c r="E2931" s="21">
        <f t="shared" si="134"/>
        <v>6.9299999999999997</v>
      </c>
      <c r="F2931" s="22"/>
      <c r="G2931" s="21">
        <f t="shared" si="135"/>
        <v>6.6299999999999999</v>
      </c>
      <c r="H2931" s="22"/>
      <c r="I2931" s="23" t="str">
        <f t="shared" si="136"/>
        <v xml:space="preserve">COM VALOR</v>
      </c>
      <c r="J2931" s="19"/>
      <c r="L2931" s="21">
        <v>6.9299999999999997</v>
      </c>
      <c r="M2931" s="22">
        <v>0</v>
      </c>
      <c r="N2931" s="21">
        <v>6.6299999999999999</v>
      </c>
      <c r="O2931" s="22">
        <v>0</v>
      </c>
    </row>
    <row r="2932" ht="25.5">
      <c r="A2932" t="s">
        <v>2985</v>
      </c>
      <c r="B2932" s="19">
        <v>89866</v>
      </c>
      <c r="C2932" s="20" t="s">
        <v>2991</v>
      </c>
      <c r="D2932" s="19" t="s">
        <v>31</v>
      </c>
      <c r="E2932" s="21">
        <f t="shared" si="134"/>
        <v>7.6100000000000003</v>
      </c>
      <c r="F2932" s="22"/>
      <c r="G2932" s="21">
        <f t="shared" si="135"/>
        <v>7.29</v>
      </c>
      <c r="H2932" s="22"/>
      <c r="I2932" s="23" t="str">
        <f t="shared" si="136"/>
        <v xml:space="preserve">COM VALOR</v>
      </c>
      <c r="J2932" s="19"/>
      <c r="L2932" s="21">
        <v>7.6100000000000003</v>
      </c>
      <c r="M2932" s="22">
        <v>0</v>
      </c>
      <c r="N2932" s="21">
        <v>7.29</v>
      </c>
      <c r="O2932" s="22">
        <v>0</v>
      </c>
    </row>
    <row r="2933" ht="25.5">
      <c r="A2933" t="s">
        <v>2985</v>
      </c>
      <c r="B2933" s="19">
        <v>104319</v>
      </c>
      <c r="C2933" s="20" t="s">
        <v>2992</v>
      </c>
      <c r="D2933" s="19" t="s">
        <v>31</v>
      </c>
      <c r="E2933" s="21">
        <f t="shared" si="134"/>
        <v>10.210000000000001</v>
      </c>
      <c r="F2933" s="22"/>
      <c r="G2933" s="21">
        <f t="shared" si="135"/>
        <v>9.8599999999999994</v>
      </c>
      <c r="H2933" s="22"/>
      <c r="I2933" s="23" t="str">
        <f t="shared" si="136"/>
        <v xml:space="preserve">COM VALOR</v>
      </c>
      <c r="J2933" s="19"/>
      <c r="L2933" s="21">
        <v>10.210000000000001</v>
      </c>
      <c r="M2933" s="22">
        <v>0</v>
      </c>
      <c r="N2933" s="21">
        <v>9.8599999999999994</v>
      </c>
      <c r="O2933" s="22">
        <v>0</v>
      </c>
    </row>
    <row r="2934" ht="25.5">
      <c r="A2934" t="s">
        <v>2985</v>
      </c>
      <c r="B2934" s="19">
        <v>104321</v>
      </c>
      <c r="C2934" s="20" t="s">
        <v>2993</v>
      </c>
      <c r="D2934" s="19" t="s">
        <v>31</v>
      </c>
      <c r="E2934" s="21">
        <f t="shared" si="134"/>
        <v>5.3399999999999999</v>
      </c>
      <c r="F2934" s="22"/>
      <c r="G2934" s="21">
        <f t="shared" si="135"/>
        <v>5.1299999999999999</v>
      </c>
      <c r="H2934" s="22"/>
      <c r="I2934" s="23" t="str">
        <f t="shared" si="136"/>
        <v xml:space="preserve">COM VALOR</v>
      </c>
      <c r="J2934" s="19"/>
      <c r="L2934" s="21">
        <v>5.3399999999999999</v>
      </c>
      <c r="M2934" s="22">
        <v>0</v>
      </c>
      <c r="N2934" s="21">
        <v>5.1299999999999999</v>
      </c>
      <c r="O2934" s="22">
        <v>0</v>
      </c>
    </row>
    <row r="2935" ht="25.5">
      <c r="A2935" t="s">
        <v>2985</v>
      </c>
      <c r="B2935" s="19">
        <v>89868</v>
      </c>
      <c r="C2935" s="20" t="s">
        <v>2994</v>
      </c>
      <c r="D2935" s="19" t="s">
        <v>31</v>
      </c>
      <c r="E2935" s="21">
        <f t="shared" si="134"/>
        <v>5.8300000000000001</v>
      </c>
      <c r="F2935" s="22"/>
      <c r="G2935" s="21">
        <f t="shared" si="135"/>
        <v>5.6200000000000001</v>
      </c>
      <c r="H2935" s="22"/>
      <c r="I2935" s="23" t="str">
        <f t="shared" si="136"/>
        <v xml:space="preserve">COM VALOR</v>
      </c>
      <c r="J2935" s="19"/>
      <c r="L2935" s="21">
        <v>5.8300000000000001</v>
      </c>
      <c r="M2935" s="22">
        <v>0</v>
      </c>
      <c r="N2935" s="21">
        <v>5.6200000000000001</v>
      </c>
      <c r="O2935" s="22">
        <v>0</v>
      </c>
    </row>
    <row r="2936" ht="25.5">
      <c r="A2936" t="s">
        <v>2985</v>
      </c>
      <c r="B2936" s="19">
        <v>104322</v>
      </c>
      <c r="C2936" s="20" t="s">
        <v>2995</v>
      </c>
      <c r="D2936" s="19" t="s">
        <v>31</v>
      </c>
      <c r="E2936" s="21">
        <f t="shared" si="134"/>
        <v>7.7599999999999998</v>
      </c>
      <c r="F2936" s="22"/>
      <c r="G2936" s="21">
        <f t="shared" si="135"/>
        <v>7.5300000000000002</v>
      </c>
      <c r="H2936" s="22"/>
      <c r="I2936" s="23" t="str">
        <f t="shared" si="136"/>
        <v xml:space="preserve">COM VALOR</v>
      </c>
      <c r="J2936" s="19"/>
      <c r="L2936" s="21">
        <v>7.7599999999999998</v>
      </c>
      <c r="M2936" s="22">
        <v>0</v>
      </c>
      <c r="N2936" s="21">
        <v>7.5300000000000002</v>
      </c>
      <c r="O2936" s="22">
        <v>0</v>
      </c>
    </row>
    <row r="2937" ht="25.5">
      <c r="A2937" t="s">
        <v>2985</v>
      </c>
      <c r="B2937" s="19">
        <v>104323</v>
      </c>
      <c r="C2937" s="20" t="s">
        <v>2996</v>
      </c>
      <c r="D2937" s="19" t="s">
        <v>31</v>
      </c>
      <c r="E2937" s="21">
        <f t="shared" si="134"/>
        <v>9.6999999999999993</v>
      </c>
      <c r="F2937" s="22"/>
      <c r="G2937" s="21">
        <f t="shared" si="135"/>
        <v>9.2899999999999991</v>
      </c>
      <c r="H2937" s="22"/>
      <c r="I2937" s="23" t="str">
        <f t="shared" si="136"/>
        <v xml:space="preserve">COM VALOR</v>
      </c>
      <c r="J2937" s="19"/>
      <c r="L2937" s="21">
        <v>9.6999999999999993</v>
      </c>
      <c r="M2937" s="22">
        <v>0</v>
      </c>
      <c r="N2937" s="21">
        <v>9.2899999999999991</v>
      </c>
      <c r="O2937" s="22">
        <v>0</v>
      </c>
    </row>
    <row r="2938" ht="25.5">
      <c r="A2938" t="s">
        <v>2985</v>
      </c>
      <c r="B2938" s="19">
        <v>89869</v>
      </c>
      <c r="C2938" s="20" t="s">
        <v>2997</v>
      </c>
      <c r="D2938" s="19" t="s">
        <v>31</v>
      </c>
      <c r="E2938" s="21">
        <f t="shared" si="134"/>
        <v>10.6</v>
      </c>
      <c r="F2938" s="22"/>
      <c r="G2938" s="21">
        <f t="shared" si="135"/>
        <v>10.18</v>
      </c>
      <c r="H2938" s="22"/>
      <c r="I2938" s="23" t="str">
        <f t="shared" si="136"/>
        <v xml:space="preserve">COM VALOR</v>
      </c>
      <c r="J2938" s="19"/>
      <c r="L2938" s="21">
        <v>10.6</v>
      </c>
      <c r="M2938" s="22">
        <v>0</v>
      </c>
      <c r="N2938" s="21">
        <v>10.18</v>
      </c>
      <c r="O2938" s="22">
        <v>0</v>
      </c>
    </row>
    <row r="2939" ht="25.5">
      <c r="A2939" t="s">
        <v>2985</v>
      </c>
      <c r="B2939" s="19">
        <v>104324</v>
      </c>
      <c r="C2939" s="20" t="s">
        <v>2998</v>
      </c>
      <c r="D2939" s="19" t="s">
        <v>31</v>
      </c>
      <c r="E2939" s="21">
        <f t="shared" si="134"/>
        <v>14.460000000000001</v>
      </c>
      <c r="F2939" s="22"/>
      <c r="G2939" s="21">
        <f t="shared" si="135"/>
        <v>14.01</v>
      </c>
      <c r="H2939" s="22"/>
      <c r="I2939" s="23" t="str">
        <f t="shared" si="136"/>
        <v xml:space="preserve">COM VALOR</v>
      </c>
      <c r="J2939" s="19"/>
      <c r="L2939" s="21">
        <v>14.460000000000001</v>
      </c>
      <c r="M2939" s="22">
        <v>0</v>
      </c>
      <c r="N2939" s="21">
        <v>14.01</v>
      </c>
      <c r="O2939" s="22">
        <v>0</v>
      </c>
    </row>
    <row r="2940" ht="25.5">
      <c r="A2940" t="s">
        <v>2985</v>
      </c>
      <c r="B2940" s="19">
        <v>104315</v>
      </c>
      <c r="C2940" s="20" t="s">
        <v>2999</v>
      </c>
      <c r="D2940" s="19" t="s">
        <v>38</v>
      </c>
      <c r="E2940" s="21">
        <f t="shared" si="134"/>
        <v>16.41</v>
      </c>
      <c r="F2940" s="22"/>
      <c r="G2940" s="21">
        <f t="shared" si="135"/>
        <v>15.699999999999999</v>
      </c>
      <c r="H2940" s="22"/>
      <c r="I2940" s="23" t="str">
        <f t="shared" si="136"/>
        <v xml:space="preserve">COM VALOR</v>
      </c>
      <c r="J2940" s="19"/>
      <c r="L2940" s="21">
        <v>16.41</v>
      </c>
      <c r="M2940" s="22">
        <v>0</v>
      </c>
      <c r="N2940" s="21">
        <v>15.699999999999999</v>
      </c>
      <c r="O2940" s="22">
        <v>0</v>
      </c>
    </row>
    <row r="2941" ht="25.5">
      <c r="A2941" t="s">
        <v>2985</v>
      </c>
      <c r="B2941" s="19">
        <v>89865</v>
      </c>
      <c r="C2941" s="20" t="s">
        <v>3000</v>
      </c>
      <c r="D2941" s="19" t="s">
        <v>38</v>
      </c>
      <c r="E2941" s="21">
        <f t="shared" si="134"/>
        <v>17.559999999999999</v>
      </c>
      <c r="F2941" s="22"/>
      <c r="G2941" s="21">
        <f t="shared" si="135"/>
        <v>16.829999999999998</v>
      </c>
      <c r="H2941" s="22"/>
      <c r="I2941" s="23" t="str">
        <f t="shared" si="136"/>
        <v xml:space="preserve">COM VALOR</v>
      </c>
      <c r="J2941" s="19"/>
      <c r="L2941" s="21">
        <v>17.559999999999999</v>
      </c>
      <c r="M2941" s="22">
        <v>0</v>
      </c>
      <c r="N2941" s="21">
        <v>16.829999999999998</v>
      </c>
      <c r="O2941" s="22">
        <v>0</v>
      </c>
    </row>
    <row r="2942" ht="25.5">
      <c r="A2942" t="s">
        <v>2985</v>
      </c>
      <c r="B2942" s="19">
        <v>104316</v>
      </c>
      <c r="C2942" s="20" t="s">
        <v>3001</v>
      </c>
      <c r="D2942" s="19" t="s">
        <v>38</v>
      </c>
      <c r="E2942" s="21">
        <f t="shared" si="134"/>
        <v>23.75</v>
      </c>
      <c r="F2942" s="22"/>
      <c r="G2942" s="21">
        <f t="shared" si="135"/>
        <v>22.960000000000001</v>
      </c>
      <c r="H2942" s="22"/>
      <c r="I2942" s="23" t="str">
        <f t="shared" si="136"/>
        <v xml:space="preserve">COM VALOR</v>
      </c>
      <c r="J2942" s="19"/>
      <c r="L2942" s="21">
        <v>23.75</v>
      </c>
      <c r="M2942" s="22">
        <v>0</v>
      </c>
      <c r="N2942" s="21">
        <v>22.960000000000001</v>
      </c>
      <c r="O2942" s="22">
        <v>0</v>
      </c>
    </row>
    <row r="2943" ht="12.75">
      <c r="A2943" t="s">
        <v>3002</v>
      </c>
      <c r="B2943" s="19">
        <v>102724</v>
      </c>
      <c r="C2943" s="20" t="s">
        <v>3003</v>
      </c>
      <c r="D2943" s="19" t="s">
        <v>31</v>
      </c>
      <c r="E2943" s="21">
        <f t="shared" si="134"/>
        <v>30.940000000000001</v>
      </c>
      <c r="F2943" s="22"/>
      <c r="G2943" s="21">
        <f t="shared" si="135"/>
        <v>30.32</v>
      </c>
      <c r="H2943" s="22"/>
      <c r="I2943" s="23" t="str">
        <f t="shared" si="136"/>
        <v xml:space="preserve">COM VALOR</v>
      </c>
      <c r="J2943" s="19"/>
      <c r="L2943" s="21">
        <v>30.940000000000001</v>
      </c>
      <c r="M2943" s="22">
        <v>0.23999999999999999</v>
      </c>
      <c r="N2943" s="21">
        <v>30.32</v>
      </c>
      <c r="O2943" s="22">
        <v>0.25</v>
      </c>
    </row>
    <row r="2944" ht="12.75">
      <c r="A2944" t="s">
        <v>3002</v>
      </c>
      <c r="B2944" s="19">
        <v>102726</v>
      </c>
      <c r="C2944" s="20" t="s">
        <v>3004</v>
      </c>
      <c r="D2944" s="19" t="s">
        <v>31</v>
      </c>
      <c r="E2944" s="21">
        <f t="shared" si="134"/>
        <v>28.18</v>
      </c>
      <c r="F2944" s="22"/>
      <c r="G2944" s="21">
        <f t="shared" si="135"/>
        <v>27.559999999999999</v>
      </c>
      <c r="H2944" s="22"/>
      <c r="I2944" s="23" t="str">
        <f t="shared" si="136"/>
        <v xml:space="preserve">COM VALOR</v>
      </c>
      <c r="J2944" s="19"/>
      <c r="L2944" s="21">
        <v>28.18</v>
      </c>
      <c r="M2944" s="22">
        <v>0.26000000000000001</v>
      </c>
      <c r="N2944" s="21">
        <v>27.559999999999999</v>
      </c>
      <c r="O2944" s="22">
        <v>0.26000000000000001</v>
      </c>
    </row>
    <row r="2945" ht="12.75">
      <c r="A2945" t="s">
        <v>3002</v>
      </c>
      <c r="B2945" s="19">
        <v>102725</v>
      </c>
      <c r="C2945" s="20" t="s">
        <v>3005</v>
      </c>
      <c r="D2945" s="19" t="s">
        <v>31</v>
      </c>
      <c r="E2945" s="21">
        <f t="shared" si="134"/>
        <v>30.300000000000001</v>
      </c>
      <c r="F2945" s="22"/>
      <c r="G2945" s="21">
        <f t="shared" si="135"/>
        <v>29.68</v>
      </c>
      <c r="H2945" s="22"/>
      <c r="I2945" s="23" t="str">
        <f t="shared" si="136"/>
        <v xml:space="preserve">COM VALOR</v>
      </c>
      <c r="J2945" s="19"/>
      <c r="L2945" s="21">
        <v>30.300000000000001</v>
      </c>
      <c r="M2945" s="22">
        <v>0.23999999999999999</v>
      </c>
      <c r="N2945" s="21">
        <v>29.68</v>
      </c>
      <c r="O2945" s="22">
        <v>0.25</v>
      </c>
    </row>
    <row r="2946" ht="38.25">
      <c r="A2946" t="s">
        <v>3002</v>
      </c>
      <c r="B2946" s="19">
        <v>102722</v>
      </c>
      <c r="C2946" s="20" t="s">
        <v>3006</v>
      </c>
      <c r="D2946" s="19" t="s">
        <v>38</v>
      </c>
      <c r="E2946" s="21">
        <f t="shared" si="134"/>
        <v>53.829999999999998</v>
      </c>
      <c r="F2946" s="22"/>
      <c r="G2946" s="21">
        <f t="shared" si="135"/>
        <v>53.18</v>
      </c>
      <c r="H2946" s="22"/>
      <c r="I2946" s="23" t="str">
        <f t="shared" si="136"/>
        <v xml:space="preserve">COM VALOR</v>
      </c>
      <c r="J2946" s="19"/>
      <c r="L2946" s="21">
        <v>53.829999999999998</v>
      </c>
      <c r="M2946" s="22">
        <v>0.62</v>
      </c>
      <c r="N2946" s="21">
        <v>53.18</v>
      </c>
      <c r="O2946" s="22">
        <v>0.63</v>
      </c>
    </row>
    <row r="2947" ht="38.25">
      <c r="A2947" t="s">
        <v>3002</v>
      </c>
      <c r="B2947" s="19">
        <v>102721</v>
      </c>
      <c r="C2947" s="20" t="s">
        <v>3007</v>
      </c>
      <c r="D2947" s="19" t="s">
        <v>38</v>
      </c>
      <c r="E2947" s="21" t="str">
        <f t="shared" si="134"/>
        <v>VERIFICAR</v>
      </c>
      <c r="F2947" s="22"/>
      <c r="G2947" s="21" t="str">
        <f t="shared" si="135"/>
        <v>VERIFICAR</v>
      </c>
      <c r="H2947" s="22"/>
      <c r="I2947" s="23" t="str">
        <f t="shared" si="136"/>
        <v xml:space="preserve">COM VALOR</v>
      </c>
      <c r="J2947" s="19"/>
      <c r="L2947" s="21">
        <v>0</v>
      </c>
      <c r="M2947" s="22"/>
      <c r="N2947" s="21">
        <v>0</v>
      </c>
      <c r="O2947" s="22"/>
    </row>
    <row r="2948" ht="38.25">
      <c r="A2948" t="s">
        <v>3002</v>
      </c>
      <c r="B2948" s="19">
        <v>102723</v>
      </c>
      <c r="C2948" s="20" t="s">
        <v>3008</v>
      </c>
      <c r="D2948" s="19" t="s">
        <v>38</v>
      </c>
      <c r="E2948" s="21">
        <f t="shared" si="134"/>
        <v>111.95</v>
      </c>
      <c r="F2948" s="22"/>
      <c r="G2948" s="21">
        <f t="shared" si="135"/>
        <v>111.3</v>
      </c>
      <c r="H2948" s="22"/>
      <c r="I2948" s="23" t="str">
        <f t="shared" si="136"/>
        <v xml:space="preserve">COM VALOR</v>
      </c>
      <c r="J2948" s="19"/>
      <c r="L2948" s="21">
        <v>111.95</v>
      </c>
      <c r="M2948" s="22">
        <v>0.20000000000000001</v>
      </c>
      <c r="N2948" s="21">
        <v>111.3</v>
      </c>
      <c r="O2948" s="22">
        <v>0.20000000000000001</v>
      </c>
    </row>
    <row r="2949" ht="38.25">
      <c r="A2949" t="s">
        <v>3002</v>
      </c>
      <c r="B2949" s="19">
        <v>102690</v>
      </c>
      <c r="C2949" s="20" t="s">
        <v>3009</v>
      </c>
      <c r="D2949" s="19" t="s">
        <v>38</v>
      </c>
      <c r="E2949" s="21">
        <f t="shared" si="134"/>
        <v>65.090000000000003</v>
      </c>
      <c r="F2949" s="22"/>
      <c r="G2949" s="21">
        <f t="shared" si="135"/>
        <v>64.489999999999995</v>
      </c>
      <c r="H2949" s="22"/>
      <c r="I2949" s="23" t="str">
        <f t="shared" si="136"/>
        <v xml:space="preserve">COM VALOR</v>
      </c>
      <c r="J2949" s="19"/>
      <c r="L2949" s="21">
        <v>65.090000000000003</v>
      </c>
      <c r="M2949" s="22">
        <v>0.52000000000000002</v>
      </c>
      <c r="N2949" s="21">
        <v>64.489999999999995</v>
      </c>
      <c r="O2949" s="22">
        <v>0.52000000000000002</v>
      </c>
    </row>
    <row r="2950" ht="38.25">
      <c r="A2950" t="s">
        <v>3002</v>
      </c>
      <c r="B2950" s="19">
        <v>102688</v>
      </c>
      <c r="C2950" s="20" t="s">
        <v>3010</v>
      </c>
      <c r="D2950" s="19" t="s">
        <v>38</v>
      </c>
      <c r="E2950" s="21">
        <f t="shared" si="134"/>
        <v>37.770000000000003</v>
      </c>
      <c r="F2950" s="22"/>
      <c r="G2950" s="21">
        <f t="shared" si="135"/>
        <v>37.200000000000003</v>
      </c>
      <c r="H2950" s="22"/>
      <c r="I2950" s="23" t="str">
        <f t="shared" si="136"/>
        <v xml:space="preserve">COM VALOR</v>
      </c>
      <c r="J2950" s="19"/>
      <c r="L2950" s="21">
        <v>37.770000000000003</v>
      </c>
      <c r="M2950" s="22">
        <v>0.28000000000000003</v>
      </c>
      <c r="N2950" s="21">
        <v>37.200000000000003</v>
      </c>
      <c r="O2950" s="22">
        <v>0.28999999999999998</v>
      </c>
    </row>
    <row r="2951" ht="38.25">
      <c r="A2951" t="s">
        <v>3002</v>
      </c>
      <c r="B2951" s="19">
        <v>102689</v>
      </c>
      <c r="C2951" s="20" t="s">
        <v>3011</v>
      </c>
      <c r="D2951" s="19" t="s">
        <v>38</v>
      </c>
      <c r="E2951" s="21">
        <f t="shared" si="134"/>
        <v>97.129999999999995</v>
      </c>
      <c r="F2951" s="22"/>
      <c r="G2951" s="21">
        <f t="shared" si="135"/>
        <v>96.5</v>
      </c>
      <c r="H2951" s="22"/>
      <c r="I2951" s="23" t="str">
        <f t="shared" si="136"/>
        <v xml:space="preserve">COM VALOR</v>
      </c>
      <c r="J2951" s="19"/>
      <c r="L2951" s="21">
        <v>97.129999999999995</v>
      </c>
      <c r="M2951" s="22">
        <v>0</v>
      </c>
      <c r="N2951" s="21">
        <v>96.5</v>
      </c>
      <c r="O2951" s="22">
        <v>0</v>
      </c>
    </row>
    <row r="2952" ht="38.25">
      <c r="A2952" t="s">
        <v>3002</v>
      </c>
      <c r="B2952" s="19">
        <v>102693</v>
      </c>
      <c r="C2952" s="20" t="s">
        <v>3012</v>
      </c>
      <c r="D2952" s="19" t="s">
        <v>38</v>
      </c>
      <c r="E2952" s="21">
        <f t="shared" si="134"/>
        <v>124.44</v>
      </c>
      <c r="F2952" s="22">
        <v>0.96999999999999997</v>
      </c>
      <c r="G2952" s="21">
        <f t="shared" si="135"/>
        <v>123.79000000000001</v>
      </c>
      <c r="H2952" s="22">
        <v>0.96999999999999997</v>
      </c>
      <c r="I2952" s="23" t="str">
        <f t="shared" si="136"/>
        <v xml:space="preserve">COM VALOR</v>
      </c>
      <c r="J2952" s="19"/>
      <c r="L2952" s="21">
        <v>124.44</v>
      </c>
      <c r="M2952" s="22">
        <v>0.17999999999999999</v>
      </c>
      <c r="N2952" s="21">
        <v>123.79000000000001</v>
      </c>
      <c r="O2952" s="22">
        <v>0.17999999999999999</v>
      </c>
    </row>
    <row r="2953" ht="38.25">
      <c r="A2953" t="s">
        <v>3002</v>
      </c>
      <c r="B2953" s="19">
        <v>102694</v>
      </c>
      <c r="C2953" s="20" t="s">
        <v>3013</v>
      </c>
      <c r="D2953" s="19" t="s">
        <v>38</v>
      </c>
      <c r="E2953" s="21">
        <f t="shared" si="134"/>
        <v>68.640000000000001</v>
      </c>
      <c r="F2953" s="22"/>
      <c r="G2953" s="21">
        <f t="shared" si="135"/>
        <v>67.849999999999994</v>
      </c>
      <c r="H2953" s="22"/>
      <c r="I2953" s="23" t="str">
        <f t="shared" si="136"/>
        <v xml:space="preserve">COM VALOR</v>
      </c>
      <c r="J2953" s="19"/>
      <c r="L2953" s="21">
        <v>68.640000000000001</v>
      </c>
      <c r="M2953" s="22">
        <v>0.16</v>
      </c>
      <c r="N2953" s="21">
        <v>67.849999999999994</v>
      </c>
      <c r="O2953" s="22">
        <v>0.16</v>
      </c>
    </row>
    <row r="2954" ht="38.25">
      <c r="A2954" t="s">
        <v>3002</v>
      </c>
      <c r="B2954" s="19">
        <v>102697</v>
      </c>
      <c r="C2954" s="20" t="s">
        <v>3014</v>
      </c>
      <c r="D2954" s="19" t="s">
        <v>38</v>
      </c>
      <c r="E2954" s="21">
        <f t="shared" si="134"/>
        <v>110.98999999999999</v>
      </c>
      <c r="F2954" s="22">
        <v>0</v>
      </c>
      <c r="G2954" s="21">
        <f t="shared" si="135"/>
        <v>110.15000000000001</v>
      </c>
      <c r="H2954" s="22">
        <v>0</v>
      </c>
      <c r="I2954" s="23" t="str">
        <f t="shared" si="136"/>
        <v xml:space="preserve">COM VALOR</v>
      </c>
      <c r="J2954" s="19"/>
      <c r="L2954" s="21">
        <v>110.98999999999999</v>
      </c>
      <c r="M2954" s="22">
        <v>0.37</v>
      </c>
      <c r="N2954" s="21">
        <v>110.15000000000001</v>
      </c>
      <c r="O2954" s="22">
        <v>0.3775</v>
      </c>
    </row>
    <row r="2955" ht="38.25">
      <c r="A2955" t="s">
        <v>3002</v>
      </c>
      <c r="B2955" s="19">
        <v>102696</v>
      </c>
      <c r="C2955" s="20" t="s">
        <v>3015</v>
      </c>
      <c r="D2955" s="19" t="s">
        <v>38</v>
      </c>
      <c r="E2955" s="21">
        <f t="shared" ref="E2955:E3018" si="137">IF(L2955=0,"VERIFICAR",L2955)</f>
        <v>127.90000000000001</v>
      </c>
      <c r="F2955" s="22"/>
      <c r="G2955" s="21">
        <f t="shared" ref="G2955:G3018" si="138">IF(N2955=0,"VERIFICAR",N2955)</f>
        <v>127.03</v>
      </c>
      <c r="H2955" s="22"/>
      <c r="I2955" s="23" t="str">
        <f t="shared" ref="I2955:I3018" si="139">IF(OR(E2955=0,G2955=0),"SEM VALOR","COM VALOR")</f>
        <v xml:space="preserve">COM VALOR</v>
      </c>
      <c r="J2955" s="19"/>
      <c r="L2955" s="21">
        <v>127.90000000000001</v>
      </c>
      <c r="M2955" s="22">
        <v>0</v>
      </c>
      <c r="N2955" s="21">
        <v>127.03</v>
      </c>
      <c r="O2955" s="22">
        <v>0</v>
      </c>
    </row>
    <row r="2956" ht="38.25">
      <c r="A2956" t="s">
        <v>3002</v>
      </c>
      <c r="B2956" s="19">
        <v>102703</v>
      </c>
      <c r="C2956" s="20" t="s">
        <v>3016</v>
      </c>
      <c r="D2956" s="19" t="s">
        <v>38</v>
      </c>
      <c r="E2956" s="21">
        <f t="shared" si="137"/>
        <v>170.25</v>
      </c>
      <c r="F2956" s="22"/>
      <c r="G2956" s="21">
        <f t="shared" si="138"/>
        <v>169.34</v>
      </c>
      <c r="H2956" s="22"/>
      <c r="I2956" s="23" t="str">
        <f t="shared" si="139"/>
        <v xml:space="preserve">COM VALOR</v>
      </c>
      <c r="J2956" s="19"/>
      <c r="L2956" s="21">
        <v>170.25</v>
      </c>
      <c r="M2956" s="22">
        <v>0.17999999999999999</v>
      </c>
      <c r="N2956" s="21">
        <v>169.34</v>
      </c>
      <c r="O2956" s="22">
        <v>0.17999999999999999</v>
      </c>
    </row>
    <row r="2957" ht="25.5">
      <c r="A2957" t="s">
        <v>3002</v>
      </c>
      <c r="B2957" s="19">
        <v>102678</v>
      </c>
      <c r="C2957" s="20" t="s">
        <v>3017</v>
      </c>
      <c r="D2957" s="19" t="s">
        <v>38</v>
      </c>
      <c r="E2957" s="21">
        <f t="shared" si="137"/>
        <v>138.49000000000001</v>
      </c>
      <c r="F2957" s="22"/>
      <c r="G2957" s="21">
        <f t="shared" si="138"/>
        <v>137.69</v>
      </c>
      <c r="H2957" s="22"/>
      <c r="I2957" s="23" t="str">
        <f t="shared" si="139"/>
        <v xml:space="preserve">COM VALOR</v>
      </c>
      <c r="J2957" s="19"/>
      <c r="L2957" s="21">
        <v>138.49000000000001</v>
      </c>
      <c r="M2957" s="22">
        <v>0.33000000000000002</v>
      </c>
      <c r="N2957" s="21">
        <v>137.69</v>
      </c>
      <c r="O2957" s="22">
        <v>0.33000000000000002</v>
      </c>
    </row>
    <row r="2958" ht="25.5">
      <c r="A2958" t="s">
        <v>3002</v>
      </c>
      <c r="B2958" s="19">
        <v>102679</v>
      </c>
      <c r="C2958" s="20" t="s">
        <v>3018</v>
      </c>
      <c r="D2958" s="19" t="s">
        <v>38</v>
      </c>
      <c r="E2958" s="21">
        <f t="shared" si="137"/>
        <v>151.41</v>
      </c>
      <c r="F2958" s="22"/>
      <c r="G2958" s="21">
        <f t="shared" si="138"/>
        <v>150.71000000000001</v>
      </c>
      <c r="H2958" s="22"/>
      <c r="I2958" s="23" t="str">
        <f t="shared" si="139"/>
        <v xml:space="preserve">COM VALOR</v>
      </c>
      <c r="J2958" s="19"/>
      <c r="L2958" s="21">
        <v>151.41</v>
      </c>
      <c r="M2958" s="22">
        <v>0.29999999999999999</v>
      </c>
      <c r="N2958" s="21">
        <v>150.71000000000001</v>
      </c>
      <c r="O2958" s="22">
        <v>0.29999999999999999</v>
      </c>
    </row>
    <row r="2959" ht="38.25">
      <c r="A2959" t="s">
        <v>3002</v>
      </c>
      <c r="B2959" s="19">
        <v>102673</v>
      </c>
      <c r="C2959" s="20" t="s">
        <v>3019</v>
      </c>
      <c r="D2959" s="19" t="s">
        <v>38</v>
      </c>
      <c r="E2959" s="21">
        <f t="shared" si="137"/>
        <v>153.25999999999999</v>
      </c>
      <c r="F2959" s="22"/>
      <c r="G2959" s="21">
        <f t="shared" si="138"/>
        <v>151.30000000000001</v>
      </c>
      <c r="H2959" s="22"/>
      <c r="I2959" s="23" t="str">
        <f t="shared" si="139"/>
        <v xml:space="preserve">COM VALOR</v>
      </c>
      <c r="J2959" s="19"/>
      <c r="L2959" s="21">
        <v>153.25999999999999</v>
      </c>
      <c r="M2959" s="22">
        <v>0.28999999999999998</v>
      </c>
      <c r="N2959" s="21">
        <v>151.30000000000001</v>
      </c>
      <c r="O2959" s="22">
        <v>0.28999999999999998</v>
      </c>
    </row>
    <row r="2960" ht="25.5">
      <c r="A2960" t="s">
        <v>3002</v>
      </c>
      <c r="B2960" s="19">
        <v>102677</v>
      </c>
      <c r="C2960" s="20" t="s">
        <v>3020</v>
      </c>
      <c r="D2960" s="19" t="s">
        <v>38</v>
      </c>
      <c r="E2960" s="21">
        <f t="shared" si="137"/>
        <v>138.86000000000001</v>
      </c>
      <c r="F2960" s="22"/>
      <c r="G2960" s="21">
        <f t="shared" si="138"/>
        <v>137.71000000000001</v>
      </c>
      <c r="H2960" s="22"/>
      <c r="I2960" s="23" t="str">
        <f t="shared" si="139"/>
        <v xml:space="preserve">COM VALOR</v>
      </c>
      <c r="J2960" s="19"/>
      <c r="L2960" s="21">
        <v>138.86000000000001</v>
      </c>
      <c r="M2960" s="22">
        <v>0.32000000000000001</v>
      </c>
      <c r="N2960" s="21">
        <v>137.71000000000001</v>
      </c>
      <c r="O2960" s="22">
        <v>0.32000000000000001</v>
      </c>
    </row>
    <row r="2961" ht="38.25">
      <c r="A2961" t="s">
        <v>3002</v>
      </c>
      <c r="B2961" s="19">
        <v>102683</v>
      </c>
      <c r="C2961" s="20" t="s">
        <v>3021</v>
      </c>
      <c r="D2961" s="19" t="s">
        <v>38</v>
      </c>
      <c r="E2961" s="21">
        <f t="shared" si="137"/>
        <v>196.58000000000001</v>
      </c>
      <c r="F2961" s="22"/>
      <c r="G2961" s="21">
        <f t="shared" si="138"/>
        <v>195.22</v>
      </c>
      <c r="H2961" s="22"/>
      <c r="I2961" s="23" t="str">
        <f t="shared" si="139"/>
        <v xml:space="preserve">COM VALOR</v>
      </c>
      <c r="J2961" s="19"/>
      <c r="L2961" s="21">
        <v>196.58000000000001</v>
      </c>
      <c r="M2961" s="22">
        <v>0.46000000000000002</v>
      </c>
      <c r="N2961" s="21">
        <v>195.22</v>
      </c>
      <c r="O2961" s="22">
        <v>0.46000000000000002</v>
      </c>
    </row>
    <row r="2962" ht="38.25">
      <c r="A2962" t="s">
        <v>3002</v>
      </c>
      <c r="B2962" s="19">
        <v>102687</v>
      </c>
      <c r="C2962" s="20" t="s">
        <v>3022</v>
      </c>
      <c r="D2962" s="19" t="s">
        <v>38</v>
      </c>
      <c r="E2962" s="21">
        <f t="shared" si="137"/>
        <v>204.63</v>
      </c>
      <c r="F2962" s="22"/>
      <c r="G2962" s="21">
        <f t="shared" si="138"/>
        <v>203.43000000000001</v>
      </c>
      <c r="H2962" s="22"/>
      <c r="I2962" s="23" t="str">
        <f t="shared" si="139"/>
        <v xml:space="preserve">COM VALOR</v>
      </c>
      <c r="J2962" s="19"/>
      <c r="L2962" s="21">
        <v>204.63</v>
      </c>
      <c r="M2962" s="22">
        <v>0.44</v>
      </c>
      <c r="N2962" s="21">
        <v>203.43000000000001</v>
      </c>
      <c r="O2962" s="22">
        <v>0.44</v>
      </c>
    </row>
    <row r="2963" ht="38.25">
      <c r="A2963" t="s">
        <v>3002</v>
      </c>
      <c r="B2963" s="19">
        <v>102670</v>
      </c>
      <c r="C2963" s="20" t="s">
        <v>3023</v>
      </c>
      <c r="D2963" s="19" t="s">
        <v>38</v>
      </c>
      <c r="E2963" s="21">
        <f t="shared" si="137"/>
        <v>89.049999999999997</v>
      </c>
      <c r="F2963" s="22"/>
      <c r="G2963" s="21">
        <f t="shared" si="138"/>
        <v>88.230000000000004</v>
      </c>
      <c r="H2963" s="22"/>
      <c r="I2963" s="23" t="str">
        <f t="shared" si="139"/>
        <v xml:space="preserve">COM VALOR</v>
      </c>
      <c r="J2963" s="19"/>
      <c r="L2963" s="21">
        <v>89.049999999999997</v>
      </c>
      <c r="M2963" s="22">
        <v>0.12</v>
      </c>
      <c r="N2963" s="21">
        <v>88.230000000000004</v>
      </c>
      <c r="O2963" s="22">
        <v>0.12</v>
      </c>
    </row>
    <row r="2964" ht="38.25">
      <c r="A2964" t="s">
        <v>3002</v>
      </c>
      <c r="B2964" s="19">
        <v>102674</v>
      </c>
      <c r="C2964" s="20" t="s">
        <v>3024</v>
      </c>
      <c r="D2964" s="19" t="s">
        <v>38</v>
      </c>
      <c r="E2964" s="21">
        <f t="shared" si="137"/>
        <v>96.760000000000005</v>
      </c>
      <c r="F2964" s="22"/>
      <c r="G2964" s="21">
        <f t="shared" si="138"/>
        <v>96.019999999999996</v>
      </c>
      <c r="H2964" s="22"/>
      <c r="I2964" s="23" t="str">
        <f t="shared" si="139"/>
        <v xml:space="preserve">COM VALOR</v>
      </c>
      <c r="J2964" s="19"/>
      <c r="L2964" s="21">
        <v>96.760000000000005</v>
      </c>
      <c r="M2964" s="22">
        <v>0.11</v>
      </c>
      <c r="N2964" s="21">
        <v>96.019999999999996</v>
      </c>
      <c r="O2964" s="22">
        <v>0.11</v>
      </c>
    </row>
    <row r="2965" ht="38.25">
      <c r="A2965" t="s">
        <v>3002</v>
      </c>
      <c r="B2965" s="19">
        <v>102680</v>
      </c>
      <c r="C2965" s="20" t="s">
        <v>3025</v>
      </c>
      <c r="D2965" s="19" t="s">
        <v>38</v>
      </c>
      <c r="E2965" s="21">
        <f t="shared" si="137"/>
        <v>150.21000000000001</v>
      </c>
      <c r="F2965" s="22"/>
      <c r="G2965" s="21">
        <f t="shared" si="138"/>
        <v>149.34</v>
      </c>
      <c r="H2965" s="22"/>
      <c r="I2965" s="23" t="str">
        <f t="shared" si="139"/>
        <v xml:space="preserve">COM VALOR</v>
      </c>
      <c r="J2965" s="19"/>
      <c r="L2965" s="21">
        <v>150.21000000000001</v>
      </c>
      <c r="M2965" s="22">
        <v>0.38</v>
      </c>
      <c r="N2965" s="21">
        <v>149.34</v>
      </c>
      <c r="O2965" s="22">
        <v>0.38</v>
      </c>
    </row>
    <row r="2966" ht="38.25">
      <c r="A2966" t="s">
        <v>3002</v>
      </c>
      <c r="B2966" s="19">
        <v>102684</v>
      </c>
      <c r="C2966" s="20" t="s">
        <v>3026</v>
      </c>
      <c r="D2966" s="19" t="s">
        <v>38</v>
      </c>
      <c r="E2966" s="21">
        <f t="shared" si="137"/>
        <v>163.16</v>
      </c>
      <c r="F2966" s="22"/>
      <c r="G2966" s="21">
        <f t="shared" si="138"/>
        <v>162.36000000000001</v>
      </c>
      <c r="H2966" s="22"/>
      <c r="I2966" s="23" t="str">
        <f t="shared" si="139"/>
        <v xml:space="preserve">COM VALOR</v>
      </c>
      <c r="J2966" s="19"/>
      <c r="L2966" s="21">
        <v>163.16</v>
      </c>
      <c r="M2966" s="22">
        <v>0.34999999999999998</v>
      </c>
      <c r="N2966" s="21">
        <v>162.36000000000001</v>
      </c>
      <c r="O2966" s="22">
        <v>0.34999999999999998</v>
      </c>
    </row>
    <row r="2967" ht="38.25">
      <c r="A2967" t="s">
        <v>3002</v>
      </c>
      <c r="B2967" s="19">
        <v>102672</v>
      </c>
      <c r="C2967" s="20" t="s">
        <v>3027</v>
      </c>
      <c r="D2967" s="19" t="s">
        <v>38</v>
      </c>
      <c r="E2967" s="21">
        <f t="shared" si="137"/>
        <v>165.47999999999999</v>
      </c>
      <c r="F2967" s="22"/>
      <c r="G2967" s="21">
        <f t="shared" si="138"/>
        <v>164.03999999999999</v>
      </c>
      <c r="H2967" s="22"/>
      <c r="I2967" s="23" t="str">
        <f t="shared" si="139"/>
        <v xml:space="preserve">COM VALOR</v>
      </c>
      <c r="J2967" s="19"/>
      <c r="L2967" s="21">
        <v>165.47999999999999</v>
      </c>
      <c r="M2967" s="22">
        <v>0</v>
      </c>
      <c r="N2967" s="21">
        <v>164.03999999999999</v>
      </c>
      <c r="O2967" s="22">
        <v>0</v>
      </c>
    </row>
    <row r="2968" ht="38.25">
      <c r="A2968" t="s">
        <v>3002</v>
      </c>
      <c r="B2968" s="19">
        <v>102676</v>
      </c>
      <c r="C2968" s="20" t="s">
        <v>3028</v>
      </c>
      <c r="D2968" s="19" t="s">
        <v>38</v>
      </c>
      <c r="E2968" s="21">
        <f t="shared" si="137"/>
        <v>162.56999999999999</v>
      </c>
      <c r="F2968" s="22"/>
      <c r="G2968" s="21">
        <f t="shared" si="138"/>
        <v>161.56999999999999</v>
      </c>
      <c r="H2968" s="22"/>
      <c r="I2968" s="23" t="str">
        <f t="shared" si="139"/>
        <v xml:space="preserve">COM VALOR</v>
      </c>
      <c r="J2968" s="19"/>
      <c r="L2968" s="21">
        <v>162.56999999999999</v>
      </c>
      <c r="M2968" s="22">
        <v>0</v>
      </c>
      <c r="N2968" s="21">
        <v>161.56999999999999</v>
      </c>
      <c r="O2968" s="22">
        <v>0</v>
      </c>
    </row>
    <row r="2969" ht="38.25">
      <c r="A2969" t="s">
        <v>3002</v>
      </c>
      <c r="B2969" s="19">
        <v>102681</v>
      </c>
      <c r="C2969" s="20" t="s">
        <v>3029</v>
      </c>
      <c r="D2969" s="19" t="s">
        <v>38</v>
      </c>
      <c r="E2969" s="21">
        <f t="shared" si="137"/>
        <v>216.03</v>
      </c>
      <c r="F2969" s="22"/>
      <c r="G2969" s="21">
        <f t="shared" si="138"/>
        <v>214.88</v>
      </c>
      <c r="H2969" s="22"/>
      <c r="I2969" s="23" t="str">
        <f t="shared" si="139"/>
        <v xml:space="preserve">COM VALOR</v>
      </c>
      <c r="J2969" s="19"/>
      <c r="L2969" s="21">
        <v>216.03</v>
      </c>
      <c r="M2969" s="22">
        <v>0.20999999999999999</v>
      </c>
      <c r="N2969" s="21">
        <v>214.88</v>
      </c>
      <c r="O2969" s="22">
        <v>0.20999999999999999</v>
      </c>
    </row>
    <row r="2970" ht="38.25">
      <c r="A2970" t="s">
        <v>3002</v>
      </c>
      <c r="B2970" s="19">
        <v>102685</v>
      </c>
      <c r="C2970" s="20" t="s">
        <v>3030</v>
      </c>
      <c r="D2970" s="19" t="s">
        <v>38</v>
      </c>
      <c r="E2970" s="21">
        <f t="shared" si="137"/>
        <v>228.97</v>
      </c>
      <c r="F2970" s="22"/>
      <c r="G2970" s="21">
        <f t="shared" si="138"/>
        <v>227.91999999999999</v>
      </c>
      <c r="H2970" s="22"/>
      <c r="I2970" s="23" t="str">
        <f t="shared" si="139"/>
        <v xml:space="preserve">COM VALOR</v>
      </c>
      <c r="J2970" s="19"/>
      <c r="L2970" s="21">
        <v>228.97</v>
      </c>
      <c r="M2970" s="22">
        <v>0.20000000000000001</v>
      </c>
      <c r="N2970" s="21">
        <v>227.91999999999999</v>
      </c>
      <c r="O2970" s="22">
        <v>0.20000000000000001</v>
      </c>
    </row>
    <row r="2971" ht="25.5">
      <c r="A2971" t="s">
        <v>3002</v>
      </c>
      <c r="B2971" s="19">
        <v>102664</v>
      </c>
      <c r="C2971" s="20" t="s">
        <v>3031</v>
      </c>
      <c r="D2971" s="19" t="s">
        <v>38</v>
      </c>
      <c r="E2971" s="21">
        <f t="shared" si="137"/>
        <v>48.18</v>
      </c>
      <c r="F2971" s="22"/>
      <c r="G2971" s="21">
        <f t="shared" si="138"/>
        <v>47.789999999999999</v>
      </c>
      <c r="H2971" s="22"/>
      <c r="I2971" s="23" t="str">
        <f t="shared" si="139"/>
        <v xml:space="preserve">COM VALOR</v>
      </c>
      <c r="J2971" s="19"/>
      <c r="L2971" s="21">
        <v>48.18</v>
      </c>
      <c r="M2971" s="22">
        <v>0.46999999999999997</v>
      </c>
      <c r="N2971" s="21">
        <v>47.789999999999999</v>
      </c>
      <c r="O2971" s="22">
        <v>0.47999999999999998</v>
      </c>
    </row>
    <row r="2972" ht="25.5">
      <c r="A2972" t="s">
        <v>3002</v>
      </c>
      <c r="B2972" s="19">
        <v>102665</v>
      </c>
      <c r="C2972" s="20" t="s">
        <v>3032</v>
      </c>
      <c r="D2972" s="19" t="s">
        <v>38</v>
      </c>
      <c r="E2972" s="21">
        <f t="shared" si="137"/>
        <v>24.890000000000001</v>
      </c>
      <c r="F2972" s="22"/>
      <c r="G2972" s="21">
        <f t="shared" si="138"/>
        <v>24.530000000000001</v>
      </c>
      <c r="H2972" s="22"/>
      <c r="I2972" s="23" t="str">
        <f t="shared" si="139"/>
        <v xml:space="preserve">COM VALOR</v>
      </c>
      <c r="J2972" s="19"/>
      <c r="L2972" s="21">
        <v>24.890000000000001</v>
      </c>
      <c r="M2972" s="22">
        <v>0</v>
      </c>
      <c r="N2972" s="21">
        <v>24.530000000000001</v>
      </c>
      <c r="O2972" s="22">
        <v>0</v>
      </c>
    </row>
    <row r="2973" ht="38.25">
      <c r="A2973" t="s">
        <v>3002</v>
      </c>
      <c r="B2973" s="19">
        <v>102663</v>
      </c>
      <c r="C2973" s="20" t="s">
        <v>3033</v>
      </c>
      <c r="D2973" s="19" t="s">
        <v>38</v>
      </c>
      <c r="E2973" s="21">
        <f t="shared" si="137"/>
        <v>66.950000000000003</v>
      </c>
      <c r="F2973" s="22">
        <v>0.97999999999999998</v>
      </c>
      <c r="G2973" s="21">
        <f t="shared" si="138"/>
        <v>66.359999999999999</v>
      </c>
      <c r="H2973" s="22">
        <v>0.97999999999999998</v>
      </c>
      <c r="I2973" s="23" t="str">
        <f t="shared" si="139"/>
        <v xml:space="preserve">COM VALOR</v>
      </c>
      <c r="J2973" s="19"/>
      <c r="L2973" s="21">
        <v>66.950000000000003</v>
      </c>
      <c r="M2973" s="22">
        <v>0.66000000000000003</v>
      </c>
      <c r="N2973" s="21">
        <v>66.359999999999999</v>
      </c>
      <c r="O2973" s="22">
        <v>0.67000000000000004</v>
      </c>
    </row>
    <row r="2974" ht="38.25">
      <c r="A2974" t="s">
        <v>3002</v>
      </c>
      <c r="B2974" s="19">
        <v>102669</v>
      </c>
      <c r="C2974" s="20" t="s">
        <v>3034</v>
      </c>
      <c r="D2974" s="19" t="s">
        <v>38</v>
      </c>
      <c r="E2974" s="21">
        <f t="shared" si="137"/>
        <v>93.640000000000001</v>
      </c>
      <c r="F2974" s="22"/>
      <c r="G2974" s="21">
        <f t="shared" si="138"/>
        <v>93.019999999999996</v>
      </c>
      <c r="H2974" s="22"/>
      <c r="I2974" s="23" t="str">
        <f t="shared" si="139"/>
        <v xml:space="preserve">COM VALOR</v>
      </c>
      <c r="J2974" s="19"/>
      <c r="L2974" s="21">
        <v>93.640000000000001</v>
      </c>
      <c r="M2974" s="22">
        <v>0.71999999999999997</v>
      </c>
      <c r="N2974" s="21">
        <v>93.019999999999996</v>
      </c>
      <c r="O2974" s="22">
        <v>0.71999999999999997</v>
      </c>
    </row>
    <row r="2975" ht="38.25">
      <c r="A2975" t="s">
        <v>3002</v>
      </c>
      <c r="B2975" s="19">
        <v>102661</v>
      </c>
      <c r="C2975" s="20" t="s">
        <v>3035</v>
      </c>
      <c r="D2975" s="19" t="s">
        <v>38</v>
      </c>
      <c r="E2975" s="21">
        <f t="shared" si="137"/>
        <v>31.289999999999999</v>
      </c>
      <c r="F2975" s="22"/>
      <c r="G2975" s="21">
        <f t="shared" si="138"/>
        <v>30.91</v>
      </c>
      <c r="H2975" s="22"/>
      <c r="I2975" s="23" t="str">
        <f t="shared" si="139"/>
        <v xml:space="preserve">COM VALOR</v>
      </c>
      <c r="J2975" s="19"/>
      <c r="L2975" s="21">
        <v>31.289999999999999</v>
      </c>
      <c r="M2975" s="22">
        <v>0.34000000000000002</v>
      </c>
      <c r="N2975" s="21">
        <v>30.91</v>
      </c>
      <c r="O2975" s="22">
        <v>0.34999999999999998</v>
      </c>
    </row>
    <row r="2976" ht="38.25">
      <c r="A2976" t="s">
        <v>3002</v>
      </c>
      <c r="B2976" s="19">
        <v>102666</v>
      </c>
      <c r="C2976" s="20" t="s">
        <v>3036</v>
      </c>
      <c r="D2976" s="19" t="s">
        <v>38</v>
      </c>
      <c r="E2976" s="21">
        <f t="shared" si="137"/>
        <v>58.619999999999997</v>
      </c>
      <c r="F2976" s="22"/>
      <c r="G2976" s="21">
        <f t="shared" si="138"/>
        <v>58.200000000000003</v>
      </c>
      <c r="H2976" s="22"/>
      <c r="I2976" s="23" t="str">
        <f t="shared" si="139"/>
        <v xml:space="preserve">COM VALOR</v>
      </c>
      <c r="J2976" s="19"/>
      <c r="L2976" s="21">
        <v>58.619999999999997</v>
      </c>
      <c r="M2976" s="22">
        <v>0.56999999999999995</v>
      </c>
      <c r="N2976" s="21">
        <v>58.200000000000003</v>
      </c>
      <c r="O2976" s="22">
        <v>0.57999999999999996</v>
      </c>
    </row>
    <row r="2977" ht="38.25">
      <c r="A2977" t="s">
        <v>3002</v>
      </c>
      <c r="B2977" s="19">
        <v>102662</v>
      </c>
      <c r="C2977" s="20" t="s">
        <v>3037</v>
      </c>
      <c r="D2977" s="19" t="s">
        <v>38</v>
      </c>
      <c r="E2977" s="21">
        <f t="shared" si="137"/>
        <v>93.340000000000003</v>
      </c>
      <c r="F2977" s="22">
        <v>0.98999999999999999</v>
      </c>
      <c r="G2977" s="21">
        <f t="shared" si="138"/>
        <v>92.810000000000002</v>
      </c>
      <c r="H2977" s="22">
        <v>0.98999999999999999</v>
      </c>
      <c r="I2977" s="23" t="str">
        <f t="shared" si="139"/>
        <v xml:space="preserve">COM VALOR</v>
      </c>
      <c r="J2977" s="19"/>
      <c r="L2977" s="21">
        <v>93.340000000000003</v>
      </c>
      <c r="M2977" s="22">
        <v>0</v>
      </c>
      <c r="N2977" s="21">
        <v>92.810000000000002</v>
      </c>
      <c r="O2977" s="22">
        <v>0</v>
      </c>
    </row>
    <row r="2978" ht="38.25">
      <c r="A2978" t="s">
        <v>3002</v>
      </c>
      <c r="B2978" s="19">
        <v>102668</v>
      </c>
      <c r="C2978" s="20" t="s">
        <v>3038</v>
      </c>
      <c r="D2978" s="19" t="s">
        <v>38</v>
      </c>
      <c r="E2978" s="21">
        <f t="shared" si="137"/>
        <v>120.66</v>
      </c>
      <c r="F2978" s="22"/>
      <c r="G2978" s="21">
        <f t="shared" si="138"/>
        <v>120.09999999999999</v>
      </c>
      <c r="H2978" s="22"/>
      <c r="I2978" s="23" t="str">
        <f t="shared" si="139"/>
        <v xml:space="preserve">COM VALOR</v>
      </c>
      <c r="J2978" s="19"/>
      <c r="L2978" s="21">
        <v>120.66</v>
      </c>
      <c r="M2978" s="22">
        <v>0.19</v>
      </c>
      <c r="N2978" s="21">
        <v>120.09999999999999</v>
      </c>
      <c r="O2978" s="22">
        <v>0.19</v>
      </c>
    </row>
    <row r="2979" ht="12.75">
      <c r="A2979" t="s">
        <v>3002</v>
      </c>
      <c r="B2979" s="19">
        <v>102718</v>
      </c>
      <c r="C2979" s="20" t="s">
        <v>3039</v>
      </c>
      <c r="D2979" s="19" t="s">
        <v>121</v>
      </c>
      <c r="E2979" s="21">
        <f t="shared" si="137"/>
        <v>120.59</v>
      </c>
      <c r="F2979" s="22">
        <v>0.98999999999999999</v>
      </c>
      <c r="G2979" s="21">
        <f t="shared" si="138"/>
        <v>118.64</v>
      </c>
      <c r="H2979" s="22">
        <v>0.98999999999999999</v>
      </c>
      <c r="I2979" s="23" t="str">
        <f t="shared" si="139"/>
        <v xml:space="preserve">COM VALOR</v>
      </c>
      <c r="J2979" s="19"/>
      <c r="L2979" s="21">
        <v>120.59</v>
      </c>
      <c r="M2979" s="22">
        <v>0</v>
      </c>
      <c r="N2979" s="21">
        <v>118.64</v>
      </c>
      <c r="O2979" s="22">
        <v>0</v>
      </c>
    </row>
    <row r="2980" ht="25.5">
      <c r="A2980" t="s">
        <v>3002</v>
      </c>
      <c r="B2980" s="19">
        <v>102716</v>
      </c>
      <c r="C2980" s="20" t="s">
        <v>3040</v>
      </c>
      <c r="D2980" s="19" t="s">
        <v>121</v>
      </c>
      <c r="E2980" s="21">
        <f t="shared" si="137"/>
        <v>110.95</v>
      </c>
      <c r="F2980" s="22"/>
      <c r="G2980" s="21">
        <f t="shared" si="138"/>
        <v>110.09</v>
      </c>
      <c r="H2980" s="22"/>
      <c r="I2980" s="23" t="str">
        <f t="shared" si="139"/>
        <v xml:space="preserve">COM VALOR</v>
      </c>
      <c r="J2980" s="19"/>
      <c r="L2980" s="21">
        <v>110.95</v>
      </c>
      <c r="M2980" s="22">
        <v>0</v>
      </c>
      <c r="N2980" s="21">
        <v>110.09</v>
      </c>
      <c r="O2980" s="22">
        <v>0</v>
      </c>
    </row>
    <row r="2981" ht="12.75">
      <c r="A2981" t="s">
        <v>3002</v>
      </c>
      <c r="B2981" s="19">
        <v>102719</v>
      </c>
      <c r="C2981" s="20" t="s">
        <v>3041</v>
      </c>
      <c r="D2981" s="19" t="s">
        <v>121</v>
      </c>
      <c r="E2981" s="21">
        <f t="shared" si="137"/>
        <v>147.03</v>
      </c>
      <c r="F2981" s="22">
        <v>0.96999999999999997</v>
      </c>
      <c r="G2981" s="21">
        <f t="shared" si="138"/>
        <v>145.08000000000001</v>
      </c>
      <c r="H2981" s="22">
        <v>0.96999999999999997</v>
      </c>
      <c r="I2981" s="23" t="str">
        <f t="shared" si="139"/>
        <v xml:space="preserve">COM VALOR</v>
      </c>
      <c r="J2981" s="19"/>
      <c r="L2981" s="21">
        <v>147.03</v>
      </c>
      <c r="M2981" s="22">
        <v>0</v>
      </c>
      <c r="N2981" s="21">
        <v>145.08000000000001</v>
      </c>
      <c r="O2981" s="22">
        <v>0</v>
      </c>
    </row>
    <row r="2982" ht="25.5">
      <c r="A2982" t="s">
        <v>3002</v>
      </c>
      <c r="B2982" s="19">
        <v>102717</v>
      </c>
      <c r="C2982" s="20" t="s">
        <v>3042</v>
      </c>
      <c r="D2982" s="19" t="s">
        <v>121</v>
      </c>
      <c r="E2982" s="21">
        <f t="shared" si="137"/>
        <v>137.38999999999999</v>
      </c>
      <c r="F2982" s="22"/>
      <c r="G2982" s="21">
        <f t="shared" si="138"/>
        <v>136.53</v>
      </c>
      <c r="H2982" s="22"/>
      <c r="I2982" s="23" t="str">
        <f t="shared" si="139"/>
        <v xml:space="preserve">COM VALOR</v>
      </c>
      <c r="J2982" s="19"/>
      <c r="L2982" s="21">
        <v>137.38999999999999</v>
      </c>
      <c r="M2982" s="22">
        <v>0</v>
      </c>
      <c r="N2982" s="21">
        <v>136.53</v>
      </c>
      <c r="O2982" s="22">
        <v>0</v>
      </c>
    </row>
    <row r="2983" ht="25.5">
      <c r="A2983" t="s">
        <v>3002</v>
      </c>
      <c r="B2983" s="19">
        <v>102720</v>
      </c>
      <c r="C2983" s="20" t="s">
        <v>3043</v>
      </c>
      <c r="D2983" s="19" t="s">
        <v>29</v>
      </c>
      <c r="E2983" s="21" t="str">
        <f t="shared" si="137"/>
        <v>VERIFICAR</v>
      </c>
      <c r="F2983" s="22"/>
      <c r="G2983" s="21" t="str">
        <f t="shared" si="138"/>
        <v>VERIFICAR</v>
      </c>
      <c r="H2983" s="22"/>
      <c r="I2983" s="23" t="str">
        <f t="shared" si="139"/>
        <v xml:space="preserve">COM VALOR</v>
      </c>
      <c r="J2983" s="19"/>
      <c r="L2983" s="21">
        <v>0</v>
      </c>
      <c r="M2983" s="22"/>
      <c r="N2983" s="21">
        <v>0</v>
      </c>
      <c r="O2983" s="22"/>
    </row>
    <row r="2984" ht="38.25">
      <c r="A2984" t="s">
        <v>3002</v>
      </c>
      <c r="B2984" s="19">
        <v>102713</v>
      </c>
      <c r="C2984" s="20" t="s">
        <v>3044</v>
      </c>
      <c r="D2984" s="19" t="s">
        <v>29</v>
      </c>
      <c r="E2984" s="21">
        <f t="shared" si="137"/>
        <v>12.460000000000001</v>
      </c>
      <c r="F2984" s="22"/>
      <c r="G2984" s="21">
        <f t="shared" si="138"/>
        <v>12.44</v>
      </c>
      <c r="H2984" s="22"/>
      <c r="I2984" s="23" t="str">
        <f t="shared" si="139"/>
        <v xml:space="preserve">COM VALOR</v>
      </c>
      <c r="J2984" s="19"/>
      <c r="L2984" s="21">
        <v>12.460000000000001</v>
      </c>
      <c r="M2984" s="22">
        <v>0.95999999999999996</v>
      </c>
      <c r="N2984" s="21">
        <v>12.44</v>
      </c>
      <c r="O2984" s="22">
        <v>0.95999999999999996</v>
      </c>
    </row>
    <row r="2985" ht="38.25">
      <c r="A2985" t="s">
        <v>3002</v>
      </c>
      <c r="B2985" s="19">
        <v>102715</v>
      </c>
      <c r="C2985" s="20" t="s">
        <v>3045</v>
      </c>
      <c r="D2985" s="19" t="s">
        <v>29</v>
      </c>
      <c r="E2985" s="21">
        <f t="shared" si="137"/>
        <v>24.649999999999999</v>
      </c>
      <c r="F2985" s="22"/>
      <c r="G2985" s="21">
        <f t="shared" si="138"/>
        <v>24.629999999999999</v>
      </c>
      <c r="H2985" s="22"/>
      <c r="I2985" s="23" t="str">
        <f t="shared" si="139"/>
        <v xml:space="preserve">COM VALOR</v>
      </c>
      <c r="J2985" s="19"/>
      <c r="L2985" s="21">
        <v>24.649999999999999</v>
      </c>
      <c r="M2985" s="22">
        <v>0.97999999999999998</v>
      </c>
      <c r="N2985" s="21">
        <v>24.629999999999999</v>
      </c>
      <c r="O2985" s="22">
        <v>0.97999999999999998</v>
      </c>
    </row>
    <row r="2986" ht="38.25">
      <c r="A2986" t="s">
        <v>3002</v>
      </c>
      <c r="B2986" s="19">
        <v>103653</v>
      </c>
      <c r="C2986" s="20" t="s">
        <v>3046</v>
      </c>
      <c r="D2986" s="19" t="s">
        <v>29</v>
      </c>
      <c r="E2986" s="21">
        <f t="shared" si="137"/>
        <v>29.449999999999999</v>
      </c>
      <c r="F2986" s="22">
        <v>0</v>
      </c>
      <c r="G2986" s="21">
        <f t="shared" si="138"/>
        <v>29.43</v>
      </c>
      <c r="H2986" s="22">
        <v>0</v>
      </c>
      <c r="I2986" s="23" t="str">
        <f t="shared" si="139"/>
        <v xml:space="preserve">COM VALOR</v>
      </c>
      <c r="J2986" s="19"/>
      <c r="L2986" s="21">
        <v>29.449999999999999</v>
      </c>
      <c r="M2986" s="22">
        <v>0.97999999999999998</v>
      </c>
      <c r="N2986" s="21">
        <v>29.43</v>
      </c>
      <c r="O2986" s="22">
        <v>0.98499999999999999</v>
      </c>
    </row>
    <row r="2987" ht="38.25">
      <c r="A2987" t="s">
        <v>3002</v>
      </c>
      <c r="B2987" s="19">
        <v>102712</v>
      </c>
      <c r="C2987" s="20" t="s">
        <v>3047</v>
      </c>
      <c r="D2987" s="19" t="s">
        <v>29</v>
      </c>
      <c r="E2987" s="21">
        <f t="shared" si="137"/>
        <v>9.0700000000000003</v>
      </c>
      <c r="F2987" s="22"/>
      <c r="G2987" s="21">
        <f t="shared" si="138"/>
        <v>9.0500000000000007</v>
      </c>
      <c r="H2987" s="22"/>
      <c r="I2987" s="23" t="str">
        <f t="shared" si="139"/>
        <v xml:space="preserve">COM VALOR</v>
      </c>
      <c r="J2987" s="19"/>
      <c r="L2987" s="21">
        <v>9.0700000000000003</v>
      </c>
      <c r="M2987" s="22">
        <v>0.94999999999999996</v>
      </c>
      <c r="N2987" s="21">
        <v>9.0500000000000007</v>
      </c>
      <c r="O2987" s="22">
        <v>0.94999999999999996</v>
      </c>
    </row>
    <row r="2988" ht="38.25">
      <c r="A2988" t="s">
        <v>3002</v>
      </c>
      <c r="B2988" s="19">
        <v>102711</v>
      </c>
      <c r="C2988" s="20" t="s">
        <v>3048</v>
      </c>
      <c r="D2988" s="19" t="s">
        <v>31</v>
      </c>
      <c r="E2988" s="21">
        <f t="shared" si="137"/>
        <v>84.049999999999997</v>
      </c>
      <c r="F2988" s="22"/>
      <c r="G2988" s="21">
        <f t="shared" si="138"/>
        <v>82.030000000000001</v>
      </c>
      <c r="H2988" s="22"/>
      <c r="I2988" s="23" t="str">
        <f t="shared" si="139"/>
        <v xml:space="preserve">COM VALOR</v>
      </c>
      <c r="J2988" s="19"/>
      <c r="L2988" s="21">
        <v>84.049999999999997</v>
      </c>
      <c r="M2988" s="22">
        <v>0</v>
      </c>
      <c r="N2988" s="21">
        <v>82.030000000000001</v>
      </c>
      <c r="O2988" s="22">
        <v>0</v>
      </c>
    </row>
    <row r="2989" ht="38.25">
      <c r="A2989" t="s">
        <v>3002</v>
      </c>
      <c r="B2989" s="19">
        <v>102710</v>
      </c>
      <c r="C2989" s="20" t="s">
        <v>3049</v>
      </c>
      <c r="D2989" s="19" t="s">
        <v>31</v>
      </c>
      <c r="E2989" s="21">
        <f t="shared" si="137"/>
        <v>63.979999999999997</v>
      </c>
      <c r="F2989" s="22"/>
      <c r="G2989" s="21">
        <f t="shared" si="138"/>
        <v>61.960000000000001</v>
      </c>
      <c r="H2989" s="22"/>
      <c r="I2989" s="23" t="str">
        <f t="shared" si="139"/>
        <v xml:space="preserve">COM VALOR</v>
      </c>
      <c r="J2989" s="19"/>
      <c r="L2989" s="21">
        <v>63.979999999999997</v>
      </c>
      <c r="M2989" s="22">
        <v>0</v>
      </c>
      <c r="N2989" s="21">
        <v>61.960000000000001</v>
      </c>
      <c r="O2989" s="22">
        <v>0</v>
      </c>
    </row>
    <row r="2990" ht="25.5">
      <c r="A2990" t="s">
        <v>3002</v>
      </c>
      <c r="B2990" s="19">
        <v>102709</v>
      </c>
      <c r="C2990" s="20" t="s">
        <v>3050</v>
      </c>
      <c r="D2990" s="19" t="s">
        <v>31</v>
      </c>
      <c r="E2990" s="21" t="str">
        <f t="shared" si="137"/>
        <v>VERIFICAR</v>
      </c>
      <c r="F2990" s="22">
        <v>0</v>
      </c>
      <c r="G2990" s="21" t="str">
        <f t="shared" si="138"/>
        <v>VERIFICAR</v>
      </c>
      <c r="H2990" s="22">
        <v>0</v>
      </c>
      <c r="I2990" s="23" t="str">
        <f t="shared" si="139"/>
        <v xml:space="preserve">COM VALOR</v>
      </c>
      <c r="J2990" s="19"/>
      <c r="L2990" s="21">
        <v>0</v>
      </c>
      <c r="M2990" s="22"/>
      <c r="N2990" s="21">
        <v>0</v>
      </c>
      <c r="O2990" s="22"/>
    </row>
    <row r="2991" ht="25.5">
      <c r="A2991" t="s">
        <v>3002</v>
      </c>
      <c r="B2991" s="19">
        <v>102708</v>
      </c>
      <c r="C2991" s="20" t="s">
        <v>3051</v>
      </c>
      <c r="D2991" s="19" t="s">
        <v>31</v>
      </c>
      <c r="E2991" s="21">
        <f t="shared" si="137"/>
        <v>25.850000000000001</v>
      </c>
      <c r="F2991" s="22">
        <v>0</v>
      </c>
      <c r="G2991" s="21">
        <f t="shared" si="138"/>
        <v>24.850000000000001</v>
      </c>
      <c r="H2991" s="22">
        <v>0</v>
      </c>
      <c r="I2991" s="23" t="str">
        <f t="shared" si="139"/>
        <v xml:space="preserve">COM VALOR</v>
      </c>
      <c r="J2991" s="19"/>
      <c r="L2991" s="21">
        <v>25.850000000000001</v>
      </c>
      <c r="M2991" s="22">
        <v>0</v>
      </c>
      <c r="N2991" s="21">
        <v>24.850000000000001</v>
      </c>
      <c r="O2991" s="22">
        <v>0</v>
      </c>
    </row>
    <row r="2992" ht="25.5">
      <c r="A2992" t="s">
        <v>3002</v>
      </c>
      <c r="B2992" s="19">
        <v>102707</v>
      </c>
      <c r="C2992" s="20" t="s">
        <v>3052</v>
      </c>
      <c r="D2992" s="19" t="s">
        <v>38</v>
      </c>
      <c r="E2992" s="21">
        <f t="shared" si="137"/>
        <v>50.07</v>
      </c>
      <c r="F2992" s="22">
        <v>0</v>
      </c>
      <c r="G2992" s="21">
        <f t="shared" si="138"/>
        <v>49.780000000000001</v>
      </c>
      <c r="H2992" s="22">
        <v>0</v>
      </c>
      <c r="I2992" s="23" t="str">
        <f t="shared" si="139"/>
        <v xml:space="preserve">COM VALOR</v>
      </c>
      <c r="J2992" s="19"/>
      <c r="L2992" s="21">
        <v>50.07</v>
      </c>
      <c r="M2992" s="22">
        <v>0.88</v>
      </c>
      <c r="N2992" s="21">
        <v>49.780000000000001</v>
      </c>
      <c r="O2992" s="22">
        <v>0.89000000000000001</v>
      </c>
    </row>
    <row r="2993" ht="25.5">
      <c r="A2993" t="s">
        <v>3002</v>
      </c>
      <c r="B2993" s="19">
        <v>102704</v>
      </c>
      <c r="C2993" s="20" t="s">
        <v>3053</v>
      </c>
      <c r="D2993" s="19" t="s">
        <v>38</v>
      </c>
      <c r="E2993" s="21">
        <f t="shared" si="137"/>
        <v>11.19</v>
      </c>
      <c r="F2993" s="22"/>
      <c r="G2993" s="21">
        <f t="shared" si="138"/>
        <v>11.17</v>
      </c>
      <c r="H2993" s="22"/>
      <c r="I2993" s="23" t="str">
        <f t="shared" si="139"/>
        <v xml:space="preserve">COM VALOR</v>
      </c>
      <c r="J2993" s="19"/>
      <c r="L2993" s="21">
        <v>11.19</v>
      </c>
      <c r="M2993" s="22">
        <v>0.95999999999999996</v>
      </c>
      <c r="N2993" s="21">
        <v>11.17</v>
      </c>
      <c r="O2993" s="22">
        <v>0.95999999999999996</v>
      </c>
    </row>
    <row r="2994" ht="25.5">
      <c r="A2994" t="s">
        <v>3002</v>
      </c>
      <c r="B2994" s="19">
        <v>102705</v>
      </c>
      <c r="C2994" s="20" t="s">
        <v>3054</v>
      </c>
      <c r="D2994" s="19" t="s">
        <v>38</v>
      </c>
      <c r="E2994" s="21">
        <f t="shared" si="137"/>
        <v>69.310000000000002</v>
      </c>
      <c r="F2994" s="22"/>
      <c r="G2994" s="21">
        <f t="shared" si="138"/>
        <v>69.290000000000006</v>
      </c>
      <c r="H2994" s="22"/>
      <c r="I2994" s="23" t="str">
        <f t="shared" si="139"/>
        <v xml:space="preserve">COM VALOR</v>
      </c>
      <c r="J2994" s="19"/>
      <c r="L2994" s="21">
        <v>69.310000000000002</v>
      </c>
      <c r="M2994" s="22">
        <v>0</v>
      </c>
      <c r="N2994" s="21">
        <v>69.290000000000006</v>
      </c>
      <c r="O2994" s="22">
        <v>0</v>
      </c>
    </row>
    <row r="2995" ht="25.5">
      <c r="A2995" t="s">
        <v>3055</v>
      </c>
      <c r="B2995" s="19">
        <v>98333</v>
      </c>
      <c r="C2995" s="20" t="s">
        <v>3056</v>
      </c>
      <c r="D2995" s="19" t="s">
        <v>29</v>
      </c>
      <c r="E2995" s="21" t="str">
        <f t="shared" si="137"/>
        <v>VERIFICAR</v>
      </c>
      <c r="F2995" s="22"/>
      <c r="G2995" s="21" t="str">
        <f t="shared" si="138"/>
        <v>VERIFICAR</v>
      </c>
      <c r="H2995" s="22"/>
      <c r="I2995" s="23" t="str">
        <f t="shared" si="139"/>
        <v xml:space="preserve">COM VALOR</v>
      </c>
      <c r="J2995" s="19"/>
      <c r="L2995" s="21">
        <v>0</v>
      </c>
      <c r="M2995" s="22"/>
      <c r="N2995" s="21">
        <v>0</v>
      </c>
      <c r="O2995" s="22"/>
    </row>
    <row r="2996" ht="25.5">
      <c r="A2996" t="s">
        <v>3055</v>
      </c>
      <c r="B2996" s="19">
        <v>98332</v>
      </c>
      <c r="C2996" s="20" t="s">
        <v>3057</v>
      </c>
      <c r="D2996" s="19" t="s">
        <v>29</v>
      </c>
      <c r="E2996" s="21" t="str">
        <f t="shared" si="137"/>
        <v>VERIFICAR</v>
      </c>
      <c r="F2996" s="22"/>
      <c r="G2996" s="21" t="str">
        <f t="shared" si="138"/>
        <v>VERIFICAR</v>
      </c>
      <c r="H2996" s="22"/>
      <c r="I2996" s="23" t="str">
        <f t="shared" si="139"/>
        <v xml:space="preserve">COM VALOR</v>
      </c>
      <c r="J2996" s="19"/>
      <c r="L2996" s="21">
        <v>0</v>
      </c>
      <c r="M2996" s="22"/>
      <c r="N2996" s="21">
        <v>0</v>
      </c>
      <c r="O2996" s="22"/>
    </row>
    <row r="2997" ht="25.5">
      <c r="A2997" t="s">
        <v>3055</v>
      </c>
      <c r="B2997" s="19">
        <v>98331</v>
      </c>
      <c r="C2997" s="20" t="s">
        <v>3058</v>
      </c>
      <c r="D2997" s="19" t="s">
        <v>29</v>
      </c>
      <c r="E2997" s="21" t="str">
        <f t="shared" si="137"/>
        <v>VERIFICAR</v>
      </c>
      <c r="F2997" s="22"/>
      <c r="G2997" s="21" t="str">
        <f t="shared" si="138"/>
        <v>VERIFICAR</v>
      </c>
      <c r="H2997" s="22"/>
      <c r="I2997" s="23" t="str">
        <f t="shared" si="139"/>
        <v xml:space="preserve">COM VALOR</v>
      </c>
      <c r="J2997" s="19"/>
      <c r="L2997" s="21">
        <v>0</v>
      </c>
      <c r="M2997" s="22"/>
      <c r="N2997" s="21">
        <v>0</v>
      </c>
      <c r="O2997" s="22"/>
    </row>
    <row r="2998" ht="25.5">
      <c r="A2998" t="s">
        <v>3055</v>
      </c>
      <c r="B2998" s="19">
        <v>98327</v>
      </c>
      <c r="C2998" s="20" t="s">
        <v>3059</v>
      </c>
      <c r="D2998" s="19" t="s">
        <v>29</v>
      </c>
      <c r="E2998" s="21" t="str">
        <f t="shared" si="137"/>
        <v>VERIFICAR</v>
      </c>
      <c r="F2998" s="22"/>
      <c r="G2998" s="21" t="str">
        <f t="shared" si="138"/>
        <v>VERIFICAR</v>
      </c>
      <c r="H2998" s="22"/>
      <c r="I2998" s="23" t="str">
        <f t="shared" si="139"/>
        <v xml:space="preserve">COM VALOR</v>
      </c>
      <c r="J2998" s="19"/>
      <c r="L2998" s="21">
        <v>0</v>
      </c>
      <c r="M2998" s="22"/>
      <c r="N2998" s="21">
        <v>0</v>
      </c>
      <c r="O2998" s="22"/>
    </row>
    <row r="2999" ht="25.5">
      <c r="A2999" t="s">
        <v>3055</v>
      </c>
      <c r="B2999" s="19">
        <v>98326</v>
      </c>
      <c r="C2999" s="20" t="s">
        <v>3060</v>
      </c>
      <c r="D2999" s="19" t="s">
        <v>29</v>
      </c>
      <c r="E2999" s="21" t="str">
        <f t="shared" si="137"/>
        <v>VERIFICAR</v>
      </c>
      <c r="F2999" s="22"/>
      <c r="G2999" s="21" t="str">
        <f t="shared" si="138"/>
        <v>VERIFICAR</v>
      </c>
      <c r="H2999" s="22"/>
      <c r="I2999" s="23" t="str">
        <f t="shared" si="139"/>
        <v xml:space="preserve">COM VALOR</v>
      </c>
      <c r="J2999" s="19"/>
      <c r="L2999" s="21">
        <v>0</v>
      </c>
      <c r="M2999" s="22"/>
      <c r="N2999" s="21">
        <v>0</v>
      </c>
      <c r="O2999" s="22"/>
    </row>
    <row r="3000" ht="25.5">
      <c r="A3000" t="s">
        <v>3055</v>
      </c>
      <c r="B3000" s="19">
        <v>98325</v>
      </c>
      <c r="C3000" s="20" t="s">
        <v>3061</v>
      </c>
      <c r="D3000" s="19" t="s">
        <v>29</v>
      </c>
      <c r="E3000" s="21" t="str">
        <f t="shared" si="137"/>
        <v>VERIFICAR</v>
      </c>
      <c r="F3000" s="22">
        <v>0</v>
      </c>
      <c r="G3000" s="21" t="str">
        <f t="shared" si="138"/>
        <v>VERIFICAR</v>
      </c>
      <c r="H3000" s="22">
        <v>0</v>
      </c>
      <c r="I3000" s="23" t="str">
        <f t="shared" si="139"/>
        <v xml:space="preserve">COM VALOR</v>
      </c>
      <c r="J3000" s="19"/>
      <c r="L3000" s="21">
        <v>0</v>
      </c>
      <c r="M3000" s="22"/>
      <c r="N3000" s="21">
        <v>0</v>
      </c>
      <c r="O3000" s="22"/>
    </row>
    <row r="3001" ht="25.5">
      <c r="A3001" t="s">
        <v>3055</v>
      </c>
      <c r="B3001" s="19">
        <v>98370</v>
      </c>
      <c r="C3001" s="20" t="s">
        <v>3062</v>
      </c>
      <c r="D3001" s="19" t="s">
        <v>29</v>
      </c>
      <c r="E3001" s="21" t="str">
        <f t="shared" si="137"/>
        <v>VERIFICAR</v>
      </c>
      <c r="F3001" s="22">
        <v>0</v>
      </c>
      <c r="G3001" s="21" t="str">
        <f t="shared" si="138"/>
        <v>VERIFICAR</v>
      </c>
      <c r="H3001" s="22">
        <v>0</v>
      </c>
      <c r="I3001" s="23" t="str">
        <f t="shared" si="139"/>
        <v xml:space="preserve">COM VALOR</v>
      </c>
      <c r="J3001" s="19"/>
      <c r="L3001" s="21">
        <v>0</v>
      </c>
      <c r="M3001" s="22"/>
      <c r="N3001" s="21">
        <v>0</v>
      </c>
      <c r="O3001" s="22"/>
    </row>
    <row r="3002" ht="25.5">
      <c r="A3002" t="s">
        <v>3055</v>
      </c>
      <c r="B3002" s="19">
        <v>98389</v>
      </c>
      <c r="C3002" s="20" t="s">
        <v>3063</v>
      </c>
      <c r="D3002" s="19" t="s">
        <v>31</v>
      </c>
      <c r="E3002" s="21" t="str">
        <f t="shared" si="137"/>
        <v>VERIFICAR</v>
      </c>
      <c r="F3002" s="22"/>
      <c r="G3002" s="21" t="str">
        <f t="shared" si="138"/>
        <v>VERIFICAR</v>
      </c>
      <c r="H3002" s="22"/>
      <c r="I3002" s="23" t="str">
        <f t="shared" si="139"/>
        <v xml:space="preserve">COM VALOR</v>
      </c>
      <c r="J3002" s="19"/>
      <c r="L3002" s="21">
        <v>0</v>
      </c>
      <c r="M3002" s="22"/>
      <c r="N3002" s="21">
        <v>0</v>
      </c>
      <c r="O3002" s="22"/>
    </row>
    <row r="3003" ht="25.5">
      <c r="A3003" t="s">
        <v>3055</v>
      </c>
      <c r="B3003" s="19">
        <v>98390</v>
      </c>
      <c r="C3003" s="20" t="s">
        <v>3064</v>
      </c>
      <c r="D3003" s="19" t="s">
        <v>31</v>
      </c>
      <c r="E3003" s="21" t="str">
        <f t="shared" si="137"/>
        <v>VERIFICAR</v>
      </c>
      <c r="F3003" s="22"/>
      <c r="G3003" s="21" t="str">
        <f t="shared" si="138"/>
        <v>VERIFICAR</v>
      </c>
      <c r="H3003" s="22"/>
      <c r="I3003" s="23" t="str">
        <f t="shared" si="139"/>
        <v xml:space="preserve">COM VALOR</v>
      </c>
      <c r="J3003" s="19"/>
      <c r="L3003" s="21">
        <v>0</v>
      </c>
      <c r="M3003" s="22"/>
      <c r="N3003" s="21">
        <v>0</v>
      </c>
      <c r="O3003" s="22"/>
    </row>
    <row r="3004" ht="25.5">
      <c r="A3004" t="s">
        <v>3055</v>
      </c>
      <c r="B3004" s="19">
        <v>98391</v>
      </c>
      <c r="C3004" s="20" t="s">
        <v>3065</v>
      </c>
      <c r="D3004" s="19" t="s">
        <v>31</v>
      </c>
      <c r="E3004" s="21" t="str">
        <f t="shared" si="137"/>
        <v>VERIFICAR</v>
      </c>
      <c r="F3004" s="22">
        <v>0</v>
      </c>
      <c r="G3004" s="21" t="str">
        <f t="shared" si="138"/>
        <v>VERIFICAR</v>
      </c>
      <c r="H3004" s="22">
        <v>0</v>
      </c>
      <c r="I3004" s="23" t="str">
        <f t="shared" si="139"/>
        <v xml:space="preserve">COM VALOR</v>
      </c>
      <c r="J3004" s="19"/>
      <c r="L3004" s="21">
        <v>0</v>
      </c>
      <c r="M3004" s="22"/>
      <c r="N3004" s="21">
        <v>0</v>
      </c>
      <c r="O3004" s="22"/>
    </row>
    <row r="3005" ht="25.5">
      <c r="A3005" t="s">
        <v>3055</v>
      </c>
      <c r="B3005" s="19">
        <v>98392</v>
      </c>
      <c r="C3005" s="20" t="s">
        <v>3066</v>
      </c>
      <c r="D3005" s="19" t="s">
        <v>31</v>
      </c>
      <c r="E3005" s="21" t="str">
        <f t="shared" si="137"/>
        <v>VERIFICAR</v>
      </c>
      <c r="F3005" s="22">
        <v>0</v>
      </c>
      <c r="G3005" s="21" t="str">
        <f t="shared" si="138"/>
        <v>VERIFICAR</v>
      </c>
      <c r="H3005" s="22">
        <v>0</v>
      </c>
      <c r="I3005" s="23" t="str">
        <f t="shared" si="139"/>
        <v xml:space="preserve">COM VALOR</v>
      </c>
      <c r="J3005" s="19"/>
      <c r="L3005" s="21">
        <v>0</v>
      </c>
      <c r="M3005" s="22"/>
      <c r="N3005" s="21">
        <v>0</v>
      </c>
      <c r="O3005" s="22"/>
    </row>
    <row r="3006" ht="25.5">
      <c r="A3006" t="s">
        <v>3055</v>
      </c>
      <c r="B3006" s="19">
        <v>98393</v>
      </c>
      <c r="C3006" s="20" t="s">
        <v>3067</v>
      </c>
      <c r="D3006" s="19" t="s">
        <v>31</v>
      </c>
      <c r="E3006" s="21" t="str">
        <f t="shared" si="137"/>
        <v>VERIFICAR</v>
      </c>
      <c r="F3006" s="22"/>
      <c r="G3006" s="21" t="str">
        <f t="shared" si="138"/>
        <v>VERIFICAR</v>
      </c>
      <c r="H3006" s="22"/>
      <c r="I3006" s="23" t="str">
        <f t="shared" si="139"/>
        <v xml:space="preserve">COM VALOR</v>
      </c>
      <c r="J3006" s="19"/>
      <c r="L3006" s="21">
        <v>0</v>
      </c>
      <c r="M3006" s="22"/>
      <c r="N3006" s="21">
        <v>0</v>
      </c>
      <c r="O3006" s="22"/>
    </row>
    <row r="3007" ht="25.5">
      <c r="A3007" t="s">
        <v>3055</v>
      </c>
      <c r="B3007" s="19">
        <v>98394</v>
      </c>
      <c r="C3007" s="20" t="s">
        <v>3068</v>
      </c>
      <c r="D3007" s="19" t="s">
        <v>31</v>
      </c>
      <c r="E3007" s="21" t="str">
        <f t="shared" si="137"/>
        <v>VERIFICAR</v>
      </c>
      <c r="F3007" s="22"/>
      <c r="G3007" s="21" t="str">
        <f t="shared" si="138"/>
        <v>VERIFICAR</v>
      </c>
      <c r="H3007" s="22"/>
      <c r="I3007" s="23" t="str">
        <f t="shared" si="139"/>
        <v xml:space="preserve">COM VALOR</v>
      </c>
      <c r="J3007" s="19"/>
      <c r="L3007" s="21">
        <v>0</v>
      </c>
      <c r="M3007" s="22"/>
      <c r="N3007" s="21">
        <v>0</v>
      </c>
      <c r="O3007" s="22"/>
    </row>
    <row r="3008" ht="25.5">
      <c r="A3008" t="s">
        <v>3055</v>
      </c>
      <c r="B3008" s="19">
        <v>98395</v>
      </c>
      <c r="C3008" s="20" t="s">
        <v>3069</v>
      </c>
      <c r="D3008" s="19" t="s">
        <v>31</v>
      </c>
      <c r="E3008" s="21" t="str">
        <f t="shared" si="137"/>
        <v>VERIFICAR</v>
      </c>
      <c r="F3008" s="22"/>
      <c r="G3008" s="21" t="str">
        <f t="shared" si="138"/>
        <v>VERIFICAR</v>
      </c>
      <c r="H3008" s="22"/>
      <c r="I3008" s="23" t="str">
        <f t="shared" si="139"/>
        <v xml:space="preserve">COM VALOR</v>
      </c>
      <c r="J3008" s="19"/>
      <c r="L3008" s="21">
        <v>0</v>
      </c>
      <c r="M3008" s="22"/>
      <c r="N3008" s="21">
        <v>0</v>
      </c>
      <c r="O3008" s="22"/>
    </row>
    <row r="3009" ht="25.5">
      <c r="A3009" t="s">
        <v>3055</v>
      </c>
      <c r="B3009" s="19">
        <v>98396</v>
      </c>
      <c r="C3009" s="20" t="s">
        <v>3070</v>
      </c>
      <c r="D3009" s="19" t="s">
        <v>31</v>
      </c>
      <c r="E3009" s="21" t="str">
        <f t="shared" si="137"/>
        <v>VERIFICAR</v>
      </c>
      <c r="F3009" s="22"/>
      <c r="G3009" s="21" t="str">
        <f t="shared" si="138"/>
        <v>VERIFICAR</v>
      </c>
      <c r="H3009" s="22"/>
      <c r="I3009" s="23" t="str">
        <f t="shared" si="139"/>
        <v xml:space="preserve">COM VALOR</v>
      </c>
      <c r="J3009" s="19"/>
      <c r="L3009" s="21">
        <v>0</v>
      </c>
      <c r="M3009" s="22"/>
      <c r="N3009" s="21">
        <v>0</v>
      </c>
      <c r="O3009" s="22"/>
    </row>
    <row r="3010" ht="51">
      <c r="A3010" t="s">
        <v>3055</v>
      </c>
      <c r="B3010" s="19">
        <v>98369</v>
      </c>
      <c r="C3010" s="20" t="s">
        <v>3071</v>
      </c>
      <c r="D3010" s="19" t="s">
        <v>29</v>
      </c>
      <c r="E3010" s="21" t="str">
        <f t="shared" si="137"/>
        <v>VERIFICAR</v>
      </c>
      <c r="F3010" s="22"/>
      <c r="G3010" s="21" t="str">
        <f t="shared" si="138"/>
        <v>VERIFICAR</v>
      </c>
      <c r="H3010" s="22"/>
      <c r="I3010" s="23" t="str">
        <f t="shared" si="139"/>
        <v xml:space="preserve">COM VALOR</v>
      </c>
      <c r="J3010" s="19"/>
      <c r="L3010" s="21">
        <v>0</v>
      </c>
      <c r="M3010" s="22"/>
      <c r="N3010" s="21">
        <v>0</v>
      </c>
      <c r="O3010" s="22"/>
    </row>
    <row r="3011" ht="51">
      <c r="A3011" t="s">
        <v>3055</v>
      </c>
      <c r="B3011" s="19">
        <v>98360</v>
      </c>
      <c r="C3011" s="20" t="s">
        <v>3072</v>
      </c>
      <c r="D3011" s="19" t="s">
        <v>29</v>
      </c>
      <c r="E3011" s="21" t="str">
        <f t="shared" si="137"/>
        <v>VERIFICAR</v>
      </c>
      <c r="F3011" s="22"/>
      <c r="G3011" s="21" t="str">
        <f t="shared" si="138"/>
        <v>VERIFICAR</v>
      </c>
      <c r="H3011" s="22"/>
      <c r="I3011" s="23" t="str">
        <f t="shared" si="139"/>
        <v xml:space="preserve">COM VALOR</v>
      </c>
      <c r="J3011" s="19"/>
      <c r="L3011" s="21">
        <v>0</v>
      </c>
      <c r="M3011" s="22"/>
      <c r="N3011" s="21">
        <v>0</v>
      </c>
      <c r="O3011" s="22"/>
    </row>
    <row r="3012" ht="51">
      <c r="A3012" t="s">
        <v>3055</v>
      </c>
      <c r="B3012" s="19">
        <v>98368</v>
      </c>
      <c r="C3012" s="20" t="s">
        <v>3073</v>
      </c>
      <c r="D3012" s="19" t="s">
        <v>29</v>
      </c>
      <c r="E3012" s="21" t="str">
        <f t="shared" si="137"/>
        <v>VERIFICAR</v>
      </c>
      <c r="F3012" s="22">
        <v>0</v>
      </c>
      <c r="G3012" s="21" t="str">
        <f t="shared" si="138"/>
        <v>VERIFICAR</v>
      </c>
      <c r="H3012" s="22">
        <v>0</v>
      </c>
      <c r="I3012" s="23" t="str">
        <f t="shared" si="139"/>
        <v xml:space="preserve">COM VALOR</v>
      </c>
      <c r="J3012" s="19"/>
      <c r="L3012" s="21">
        <v>0</v>
      </c>
      <c r="M3012" s="22"/>
      <c r="N3012" s="21">
        <v>0</v>
      </c>
      <c r="O3012" s="22"/>
    </row>
    <row r="3013" ht="51">
      <c r="A3013" t="s">
        <v>3055</v>
      </c>
      <c r="B3013" s="19">
        <v>98359</v>
      </c>
      <c r="C3013" s="20" t="s">
        <v>3074</v>
      </c>
      <c r="D3013" s="19" t="s">
        <v>29</v>
      </c>
      <c r="E3013" s="21" t="str">
        <f t="shared" si="137"/>
        <v>VERIFICAR</v>
      </c>
      <c r="F3013" s="22">
        <v>0</v>
      </c>
      <c r="G3013" s="21" t="str">
        <f t="shared" si="138"/>
        <v>VERIFICAR</v>
      </c>
      <c r="H3013" s="22">
        <v>0</v>
      </c>
      <c r="I3013" s="23" t="str">
        <f t="shared" si="139"/>
        <v xml:space="preserve">COM VALOR</v>
      </c>
      <c r="J3013" s="19"/>
      <c r="L3013" s="21">
        <v>0</v>
      </c>
      <c r="M3013" s="22"/>
      <c r="N3013" s="21">
        <v>0</v>
      </c>
      <c r="O3013" s="22"/>
    </row>
    <row r="3014" ht="51">
      <c r="A3014" t="s">
        <v>3055</v>
      </c>
      <c r="B3014" s="19">
        <v>98367</v>
      </c>
      <c r="C3014" s="20" t="s">
        <v>3075</v>
      </c>
      <c r="D3014" s="19" t="s">
        <v>29</v>
      </c>
      <c r="E3014" s="21" t="str">
        <f t="shared" si="137"/>
        <v>VERIFICAR</v>
      </c>
      <c r="F3014" s="22">
        <v>0</v>
      </c>
      <c r="G3014" s="21" t="str">
        <f t="shared" si="138"/>
        <v>VERIFICAR</v>
      </c>
      <c r="H3014" s="22">
        <v>0</v>
      </c>
      <c r="I3014" s="23" t="str">
        <f t="shared" si="139"/>
        <v xml:space="preserve">COM VALOR</v>
      </c>
      <c r="J3014" s="19"/>
      <c r="L3014" s="21">
        <v>0</v>
      </c>
      <c r="M3014" s="22"/>
      <c r="N3014" s="21">
        <v>0</v>
      </c>
      <c r="O3014" s="22"/>
    </row>
    <row r="3015" ht="51">
      <c r="A3015" t="s">
        <v>3055</v>
      </c>
      <c r="B3015" s="19">
        <v>98358</v>
      </c>
      <c r="C3015" s="20" t="s">
        <v>3076</v>
      </c>
      <c r="D3015" s="19" t="s">
        <v>29</v>
      </c>
      <c r="E3015" s="21" t="str">
        <f t="shared" si="137"/>
        <v>VERIFICAR</v>
      </c>
      <c r="F3015" s="22">
        <v>0</v>
      </c>
      <c r="G3015" s="21" t="str">
        <f t="shared" si="138"/>
        <v>VERIFICAR</v>
      </c>
      <c r="H3015" s="22">
        <v>0</v>
      </c>
      <c r="I3015" s="23" t="str">
        <f t="shared" si="139"/>
        <v xml:space="preserve">COM VALOR</v>
      </c>
      <c r="J3015" s="19"/>
      <c r="L3015" s="21">
        <v>0</v>
      </c>
      <c r="M3015" s="22"/>
      <c r="N3015" s="21">
        <v>0</v>
      </c>
      <c r="O3015" s="22"/>
    </row>
    <row r="3016" ht="38.25">
      <c r="A3016" t="s">
        <v>3055</v>
      </c>
      <c r="B3016" s="19">
        <v>98352</v>
      </c>
      <c r="C3016" s="20" t="s">
        <v>3077</v>
      </c>
      <c r="D3016" s="19" t="s">
        <v>29</v>
      </c>
      <c r="E3016" s="21" t="str">
        <f t="shared" si="137"/>
        <v>VERIFICAR</v>
      </c>
      <c r="F3016" s="22">
        <v>0</v>
      </c>
      <c r="G3016" s="21" t="str">
        <f t="shared" si="138"/>
        <v>VERIFICAR</v>
      </c>
      <c r="H3016" s="22">
        <v>0</v>
      </c>
      <c r="I3016" s="23" t="str">
        <f t="shared" si="139"/>
        <v xml:space="preserve">COM VALOR</v>
      </c>
      <c r="J3016" s="19"/>
      <c r="L3016" s="21">
        <v>0</v>
      </c>
      <c r="M3016" s="22"/>
      <c r="N3016" s="21">
        <v>0</v>
      </c>
      <c r="O3016" s="22"/>
    </row>
    <row r="3017" ht="38.25">
      <c r="A3017" t="s">
        <v>3055</v>
      </c>
      <c r="B3017" s="19">
        <v>98343</v>
      </c>
      <c r="C3017" s="20" t="s">
        <v>3078</v>
      </c>
      <c r="D3017" s="19" t="s">
        <v>29</v>
      </c>
      <c r="E3017" s="21" t="str">
        <f t="shared" si="137"/>
        <v>VERIFICAR</v>
      </c>
      <c r="F3017" s="22">
        <v>0</v>
      </c>
      <c r="G3017" s="21" t="str">
        <f t="shared" si="138"/>
        <v>VERIFICAR</v>
      </c>
      <c r="H3017" s="22">
        <v>0</v>
      </c>
      <c r="I3017" s="23" t="str">
        <f t="shared" si="139"/>
        <v xml:space="preserve">COM VALOR</v>
      </c>
      <c r="J3017" s="19"/>
      <c r="L3017" s="21">
        <v>0</v>
      </c>
      <c r="M3017" s="22"/>
      <c r="N3017" s="21">
        <v>0</v>
      </c>
      <c r="O3017" s="22"/>
    </row>
    <row r="3018" ht="38.25">
      <c r="A3018" t="s">
        <v>3055</v>
      </c>
      <c r="B3018" s="19">
        <v>98351</v>
      </c>
      <c r="C3018" s="20" t="s">
        <v>3079</v>
      </c>
      <c r="D3018" s="19" t="s">
        <v>29</v>
      </c>
      <c r="E3018" s="21" t="str">
        <f t="shared" si="137"/>
        <v>VERIFICAR</v>
      </c>
      <c r="F3018" s="22"/>
      <c r="G3018" s="21" t="str">
        <f t="shared" si="138"/>
        <v>VERIFICAR</v>
      </c>
      <c r="H3018" s="22"/>
      <c r="I3018" s="23" t="str">
        <f t="shared" si="139"/>
        <v xml:space="preserve">COM VALOR</v>
      </c>
      <c r="J3018" s="19"/>
      <c r="L3018" s="21">
        <v>0</v>
      </c>
      <c r="M3018" s="22"/>
      <c r="N3018" s="21">
        <v>0</v>
      </c>
      <c r="O3018" s="22"/>
    </row>
    <row r="3019" ht="38.25">
      <c r="A3019" t="s">
        <v>3055</v>
      </c>
      <c r="B3019" s="19">
        <v>98342</v>
      </c>
      <c r="C3019" s="20" t="s">
        <v>3080</v>
      </c>
      <c r="D3019" s="19" t="s">
        <v>29</v>
      </c>
      <c r="E3019" s="21" t="str">
        <f t="shared" ref="E3019:E3082" si="140">IF(L3019=0,"VERIFICAR",L3019)</f>
        <v>VERIFICAR</v>
      </c>
      <c r="F3019" s="22"/>
      <c r="G3019" s="21" t="str">
        <f t="shared" ref="G3019:G3082" si="141">IF(N3019=0,"VERIFICAR",N3019)</f>
        <v>VERIFICAR</v>
      </c>
      <c r="H3019" s="22"/>
      <c r="I3019" s="23" t="str">
        <f t="shared" ref="I3019:I3082" si="142">IF(OR(E3019=0,G3019=0),"SEM VALOR","COM VALOR")</f>
        <v xml:space="preserve">COM VALOR</v>
      </c>
      <c r="J3019" s="19"/>
      <c r="L3019" s="21">
        <v>0</v>
      </c>
      <c r="M3019" s="22"/>
      <c r="N3019" s="21">
        <v>0</v>
      </c>
      <c r="O3019" s="22"/>
    </row>
    <row r="3020" ht="38.25">
      <c r="A3020" t="s">
        <v>3055</v>
      </c>
      <c r="B3020" s="19">
        <v>98350</v>
      </c>
      <c r="C3020" s="20" t="s">
        <v>3081</v>
      </c>
      <c r="D3020" s="19" t="s">
        <v>29</v>
      </c>
      <c r="E3020" s="21" t="str">
        <f t="shared" si="140"/>
        <v>VERIFICAR</v>
      </c>
      <c r="F3020" s="22"/>
      <c r="G3020" s="21" t="str">
        <f t="shared" si="141"/>
        <v>VERIFICAR</v>
      </c>
      <c r="H3020" s="22"/>
      <c r="I3020" s="23" t="str">
        <f t="shared" si="142"/>
        <v xml:space="preserve">COM VALOR</v>
      </c>
      <c r="J3020" s="19"/>
      <c r="L3020" s="21">
        <v>0</v>
      </c>
      <c r="M3020" s="22"/>
      <c r="N3020" s="21">
        <v>0</v>
      </c>
      <c r="O3020" s="22"/>
    </row>
    <row r="3021" ht="38.25">
      <c r="A3021" t="s">
        <v>3055</v>
      </c>
      <c r="B3021" s="19">
        <v>98341</v>
      </c>
      <c r="C3021" s="20" t="s">
        <v>3082</v>
      </c>
      <c r="D3021" s="19" t="s">
        <v>29</v>
      </c>
      <c r="E3021" s="21" t="str">
        <f t="shared" si="140"/>
        <v>VERIFICAR</v>
      </c>
      <c r="F3021" s="22">
        <v>0</v>
      </c>
      <c r="G3021" s="21" t="str">
        <f t="shared" si="141"/>
        <v>VERIFICAR</v>
      </c>
      <c r="H3021" s="22">
        <v>0</v>
      </c>
      <c r="I3021" s="23" t="str">
        <f t="shared" si="142"/>
        <v xml:space="preserve">COM VALOR</v>
      </c>
      <c r="J3021" s="19"/>
      <c r="L3021" s="21">
        <v>0</v>
      </c>
      <c r="M3021" s="22"/>
      <c r="N3021" s="21">
        <v>0</v>
      </c>
      <c r="O3021" s="22"/>
    </row>
    <row r="3022" ht="25.5">
      <c r="A3022" t="s">
        <v>3055</v>
      </c>
      <c r="B3022" s="19">
        <v>98381</v>
      </c>
      <c r="C3022" s="20" t="s">
        <v>3083</v>
      </c>
      <c r="D3022" s="19" t="s">
        <v>38</v>
      </c>
      <c r="E3022" s="21" t="str">
        <f t="shared" si="140"/>
        <v>VERIFICAR</v>
      </c>
      <c r="F3022" s="22"/>
      <c r="G3022" s="21" t="str">
        <f t="shared" si="141"/>
        <v>VERIFICAR</v>
      </c>
      <c r="H3022" s="22"/>
      <c r="I3022" s="23" t="str">
        <f t="shared" si="142"/>
        <v xml:space="preserve">COM VALOR</v>
      </c>
      <c r="J3022" s="19"/>
      <c r="L3022" s="21">
        <v>0</v>
      </c>
      <c r="M3022" s="22"/>
      <c r="N3022" s="21">
        <v>0</v>
      </c>
      <c r="O3022" s="22"/>
    </row>
    <row r="3023" ht="25.5">
      <c r="A3023" t="s">
        <v>3055</v>
      </c>
      <c r="B3023" s="19">
        <v>98382</v>
      </c>
      <c r="C3023" s="20" t="s">
        <v>3084</v>
      </c>
      <c r="D3023" s="19" t="s">
        <v>38</v>
      </c>
      <c r="E3023" s="21" t="str">
        <f t="shared" si="140"/>
        <v>VERIFICAR</v>
      </c>
      <c r="F3023" s="22">
        <v>0</v>
      </c>
      <c r="G3023" s="21" t="str">
        <f t="shared" si="141"/>
        <v>VERIFICAR</v>
      </c>
      <c r="H3023" s="22">
        <v>0</v>
      </c>
      <c r="I3023" s="23" t="str">
        <f t="shared" si="142"/>
        <v xml:space="preserve">COM VALOR</v>
      </c>
      <c r="J3023" s="19"/>
      <c r="L3023" s="21">
        <v>0</v>
      </c>
      <c r="M3023" s="22"/>
      <c r="N3023" s="21">
        <v>0</v>
      </c>
      <c r="O3023" s="22"/>
    </row>
    <row r="3024" ht="25.5">
      <c r="A3024" t="s">
        <v>3055</v>
      </c>
      <c r="B3024" s="19">
        <v>98383</v>
      </c>
      <c r="C3024" s="20" t="s">
        <v>3085</v>
      </c>
      <c r="D3024" s="19" t="s">
        <v>38</v>
      </c>
      <c r="E3024" s="21" t="str">
        <f t="shared" si="140"/>
        <v>VERIFICAR</v>
      </c>
      <c r="F3024" s="22"/>
      <c r="G3024" s="21" t="str">
        <f t="shared" si="141"/>
        <v>VERIFICAR</v>
      </c>
      <c r="H3024" s="22"/>
      <c r="I3024" s="23" t="str">
        <f t="shared" si="142"/>
        <v xml:space="preserve">COM VALOR</v>
      </c>
      <c r="J3024" s="19"/>
      <c r="L3024" s="21">
        <v>0</v>
      </c>
      <c r="M3024" s="22"/>
      <c r="N3024" s="21">
        <v>0</v>
      </c>
      <c r="O3024" s="22"/>
    </row>
    <row r="3025" ht="25.5">
      <c r="A3025" t="s">
        <v>3055</v>
      </c>
      <c r="B3025" s="19">
        <v>98384</v>
      </c>
      <c r="C3025" s="20" t="s">
        <v>3086</v>
      </c>
      <c r="D3025" s="19" t="s">
        <v>38</v>
      </c>
      <c r="E3025" s="21" t="str">
        <f t="shared" si="140"/>
        <v>VERIFICAR</v>
      </c>
      <c r="F3025" s="22"/>
      <c r="G3025" s="21" t="str">
        <f t="shared" si="141"/>
        <v>VERIFICAR</v>
      </c>
      <c r="H3025" s="22"/>
      <c r="I3025" s="23" t="str">
        <f t="shared" si="142"/>
        <v xml:space="preserve">COM VALOR</v>
      </c>
      <c r="J3025" s="19"/>
      <c r="L3025" s="21">
        <v>0</v>
      </c>
      <c r="M3025" s="22"/>
      <c r="N3025" s="21">
        <v>0</v>
      </c>
      <c r="O3025" s="22"/>
    </row>
    <row r="3026" ht="25.5">
      <c r="A3026" t="s">
        <v>3055</v>
      </c>
      <c r="B3026" s="19">
        <v>98385</v>
      </c>
      <c r="C3026" s="20" t="s">
        <v>3087</v>
      </c>
      <c r="D3026" s="19" t="s">
        <v>38</v>
      </c>
      <c r="E3026" s="21" t="str">
        <f t="shared" si="140"/>
        <v>VERIFICAR</v>
      </c>
      <c r="F3026" s="22"/>
      <c r="G3026" s="21" t="str">
        <f t="shared" si="141"/>
        <v>VERIFICAR</v>
      </c>
      <c r="H3026" s="22"/>
      <c r="I3026" s="23" t="str">
        <f t="shared" si="142"/>
        <v xml:space="preserve">COM VALOR</v>
      </c>
      <c r="J3026" s="19"/>
      <c r="L3026" s="21">
        <v>0</v>
      </c>
      <c r="M3026" s="22"/>
      <c r="N3026" s="21">
        <v>0</v>
      </c>
      <c r="O3026" s="22"/>
    </row>
    <row r="3027" ht="25.5">
      <c r="A3027" t="s">
        <v>3055</v>
      </c>
      <c r="B3027" s="19">
        <v>98386</v>
      </c>
      <c r="C3027" s="20" t="s">
        <v>3088</v>
      </c>
      <c r="D3027" s="19" t="s">
        <v>38</v>
      </c>
      <c r="E3027" s="21" t="str">
        <f t="shared" si="140"/>
        <v>VERIFICAR</v>
      </c>
      <c r="F3027" s="22"/>
      <c r="G3027" s="21" t="str">
        <f t="shared" si="141"/>
        <v>VERIFICAR</v>
      </c>
      <c r="H3027" s="22"/>
      <c r="I3027" s="23" t="str">
        <f t="shared" si="142"/>
        <v xml:space="preserve">COM VALOR</v>
      </c>
      <c r="J3027" s="19"/>
      <c r="L3027" s="21">
        <v>0</v>
      </c>
      <c r="M3027" s="22"/>
      <c r="N3027" s="21">
        <v>0</v>
      </c>
      <c r="O3027" s="22"/>
    </row>
    <row r="3028" ht="25.5">
      <c r="A3028" t="s">
        <v>3055</v>
      </c>
      <c r="B3028" s="19">
        <v>98387</v>
      </c>
      <c r="C3028" s="20" t="s">
        <v>3089</v>
      </c>
      <c r="D3028" s="19" t="s">
        <v>38</v>
      </c>
      <c r="E3028" s="21" t="str">
        <f t="shared" si="140"/>
        <v>VERIFICAR</v>
      </c>
      <c r="F3028" s="22"/>
      <c r="G3028" s="21" t="str">
        <f t="shared" si="141"/>
        <v>VERIFICAR</v>
      </c>
      <c r="H3028" s="22"/>
      <c r="I3028" s="23" t="str">
        <f t="shared" si="142"/>
        <v xml:space="preserve">COM VALOR</v>
      </c>
      <c r="J3028" s="19"/>
      <c r="L3028" s="21">
        <v>0</v>
      </c>
      <c r="M3028" s="22"/>
      <c r="N3028" s="21">
        <v>0</v>
      </c>
      <c r="O3028" s="22"/>
    </row>
    <row r="3029" ht="25.5">
      <c r="A3029" t="s">
        <v>3055</v>
      </c>
      <c r="B3029" s="19">
        <v>98388</v>
      </c>
      <c r="C3029" s="20" t="s">
        <v>3090</v>
      </c>
      <c r="D3029" s="19" t="s">
        <v>38</v>
      </c>
      <c r="E3029" s="21" t="str">
        <f t="shared" si="140"/>
        <v>VERIFICAR</v>
      </c>
      <c r="F3029" s="22"/>
      <c r="G3029" s="21" t="str">
        <f t="shared" si="141"/>
        <v>VERIFICAR</v>
      </c>
      <c r="H3029" s="22"/>
      <c r="I3029" s="23" t="str">
        <f t="shared" si="142"/>
        <v xml:space="preserve">COM VALOR</v>
      </c>
      <c r="J3029" s="19"/>
      <c r="L3029" s="21">
        <v>0</v>
      </c>
      <c r="M3029" s="22"/>
      <c r="N3029" s="21">
        <v>0</v>
      </c>
      <c r="O3029" s="22"/>
    </row>
    <row r="3030" ht="38.25">
      <c r="A3030" t="s">
        <v>3055</v>
      </c>
      <c r="B3030" s="19">
        <v>98346</v>
      </c>
      <c r="C3030" s="20" t="s">
        <v>3091</v>
      </c>
      <c r="D3030" s="19" t="s">
        <v>29</v>
      </c>
      <c r="E3030" s="21" t="str">
        <f t="shared" si="140"/>
        <v>VERIFICAR</v>
      </c>
      <c r="F3030" s="22">
        <v>0</v>
      </c>
      <c r="G3030" s="21" t="str">
        <f t="shared" si="141"/>
        <v>VERIFICAR</v>
      </c>
      <c r="H3030" s="22">
        <v>0</v>
      </c>
      <c r="I3030" s="23" t="str">
        <f t="shared" si="142"/>
        <v xml:space="preserve">COM VALOR</v>
      </c>
      <c r="J3030" s="19"/>
      <c r="L3030" s="21">
        <v>0</v>
      </c>
      <c r="M3030" s="22"/>
      <c r="N3030" s="21">
        <v>0</v>
      </c>
      <c r="O3030" s="22"/>
    </row>
    <row r="3031" ht="38.25">
      <c r="A3031" t="s">
        <v>3055</v>
      </c>
      <c r="B3031" s="19">
        <v>98363</v>
      </c>
      <c r="C3031" s="20" t="s">
        <v>3092</v>
      </c>
      <c r="D3031" s="19" t="s">
        <v>29</v>
      </c>
      <c r="E3031" s="21" t="str">
        <f t="shared" si="140"/>
        <v>VERIFICAR</v>
      </c>
      <c r="F3031" s="22">
        <v>0</v>
      </c>
      <c r="G3031" s="21" t="str">
        <f t="shared" si="141"/>
        <v>VERIFICAR</v>
      </c>
      <c r="H3031" s="22">
        <v>0</v>
      </c>
      <c r="I3031" s="23" t="str">
        <f t="shared" si="142"/>
        <v xml:space="preserve">COM VALOR</v>
      </c>
      <c r="J3031" s="19"/>
      <c r="L3031" s="21">
        <v>0</v>
      </c>
      <c r="M3031" s="22"/>
      <c r="N3031" s="21">
        <v>0</v>
      </c>
      <c r="O3031" s="22"/>
    </row>
    <row r="3032" ht="51">
      <c r="A3032" t="s">
        <v>3055</v>
      </c>
      <c r="B3032" s="19">
        <v>98354</v>
      </c>
      <c r="C3032" s="20" t="s">
        <v>3093</v>
      </c>
      <c r="D3032" s="19" t="s">
        <v>29</v>
      </c>
      <c r="E3032" s="21" t="str">
        <f t="shared" si="140"/>
        <v>VERIFICAR</v>
      </c>
      <c r="F3032" s="22">
        <v>0</v>
      </c>
      <c r="G3032" s="21" t="str">
        <f t="shared" si="141"/>
        <v>VERIFICAR</v>
      </c>
      <c r="H3032" s="22">
        <v>0</v>
      </c>
      <c r="I3032" s="23" t="str">
        <f t="shared" si="142"/>
        <v xml:space="preserve">COM VALOR</v>
      </c>
      <c r="J3032" s="19"/>
      <c r="L3032" s="21">
        <v>0</v>
      </c>
      <c r="M3032" s="22"/>
      <c r="N3032" s="21">
        <v>0</v>
      </c>
      <c r="O3032" s="22"/>
    </row>
    <row r="3033" ht="38.25">
      <c r="A3033" t="s">
        <v>3055</v>
      </c>
      <c r="B3033" s="19">
        <v>98337</v>
      </c>
      <c r="C3033" s="20" t="s">
        <v>3094</v>
      </c>
      <c r="D3033" s="19" t="s">
        <v>29</v>
      </c>
      <c r="E3033" s="21" t="str">
        <f t="shared" si="140"/>
        <v>VERIFICAR</v>
      </c>
      <c r="F3033" s="22"/>
      <c r="G3033" s="21" t="str">
        <f t="shared" si="141"/>
        <v>VERIFICAR</v>
      </c>
      <c r="H3033" s="22"/>
      <c r="I3033" s="23" t="str">
        <f t="shared" si="142"/>
        <v xml:space="preserve">COM VALOR</v>
      </c>
      <c r="J3033" s="19"/>
      <c r="L3033" s="21">
        <v>0</v>
      </c>
      <c r="M3033" s="22"/>
      <c r="N3033" s="21">
        <v>0</v>
      </c>
      <c r="O3033" s="22"/>
    </row>
    <row r="3034" ht="38.25">
      <c r="A3034" t="s">
        <v>3055</v>
      </c>
      <c r="B3034" s="19">
        <v>98345</v>
      </c>
      <c r="C3034" s="20" t="s">
        <v>3095</v>
      </c>
      <c r="D3034" s="19" t="s">
        <v>29</v>
      </c>
      <c r="E3034" s="21" t="str">
        <f t="shared" si="140"/>
        <v>VERIFICAR</v>
      </c>
      <c r="F3034" s="22"/>
      <c r="G3034" s="21" t="str">
        <f t="shared" si="141"/>
        <v>VERIFICAR</v>
      </c>
      <c r="H3034" s="22"/>
      <c r="I3034" s="23" t="str">
        <f t="shared" si="142"/>
        <v xml:space="preserve">COM VALOR</v>
      </c>
      <c r="J3034" s="19"/>
      <c r="L3034" s="21">
        <v>0</v>
      </c>
      <c r="M3034" s="22"/>
      <c r="N3034" s="21">
        <v>0</v>
      </c>
      <c r="O3034" s="22"/>
    </row>
    <row r="3035" ht="38.25">
      <c r="A3035" t="s">
        <v>3055</v>
      </c>
      <c r="B3035" s="19">
        <v>98362</v>
      </c>
      <c r="C3035" s="20" t="s">
        <v>3096</v>
      </c>
      <c r="D3035" s="19" t="s">
        <v>29</v>
      </c>
      <c r="E3035" s="21" t="str">
        <f t="shared" si="140"/>
        <v>VERIFICAR</v>
      </c>
      <c r="F3035" s="22"/>
      <c r="G3035" s="21" t="str">
        <f t="shared" si="141"/>
        <v>VERIFICAR</v>
      </c>
      <c r="H3035" s="22"/>
      <c r="I3035" s="23" t="str">
        <f t="shared" si="142"/>
        <v xml:space="preserve">COM VALOR</v>
      </c>
      <c r="J3035" s="19"/>
      <c r="L3035" s="21">
        <v>0</v>
      </c>
      <c r="M3035" s="22"/>
      <c r="N3035" s="21">
        <v>0</v>
      </c>
      <c r="O3035" s="22"/>
    </row>
    <row r="3036" ht="51">
      <c r="A3036" t="s">
        <v>3055</v>
      </c>
      <c r="B3036" s="19">
        <v>98403</v>
      </c>
      <c r="C3036" s="20" t="s">
        <v>3097</v>
      </c>
      <c r="D3036" s="19" t="s">
        <v>29</v>
      </c>
      <c r="E3036" s="21" t="str">
        <f t="shared" si="140"/>
        <v>VERIFICAR</v>
      </c>
      <c r="F3036" s="22"/>
      <c r="G3036" s="21" t="str">
        <f t="shared" si="141"/>
        <v>VERIFICAR</v>
      </c>
      <c r="H3036" s="22"/>
      <c r="I3036" s="23" t="str">
        <f t="shared" si="142"/>
        <v xml:space="preserve">COM VALOR</v>
      </c>
      <c r="J3036" s="19"/>
      <c r="L3036" s="21">
        <v>0</v>
      </c>
      <c r="M3036" s="22"/>
      <c r="N3036" s="21">
        <v>0</v>
      </c>
      <c r="O3036" s="22"/>
    </row>
    <row r="3037" ht="38.25">
      <c r="A3037" t="s">
        <v>3055</v>
      </c>
      <c r="B3037" s="19">
        <v>98335</v>
      </c>
      <c r="C3037" s="20" t="s">
        <v>3098</v>
      </c>
      <c r="D3037" s="19" t="s">
        <v>29</v>
      </c>
      <c r="E3037" s="21" t="str">
        <f t="shared" si="140"/>
        <v>VERIFICAR</v>
      </c>
      <c r="F3037" s="22"/>
      <c r="G3037" s="21" t="str">
        <f t="shared" si="141"/>
        <v>VERIFICAR</v>
      </c>
      <c r="H3037" s="22"/>
      <c r="I3037" s="23" t="str">
        <f t="shared" si="142"/>
        <v xml:space="preserve">COM VALOR</v>
      </c>
      <c r="J3037" s="19"/>
      <c r="L3037" s="21">
        <v>0</v>
      </c>
      <c r="M3037" s="22"/>
      <c r="N3037" s="21">
        <v>0</v>
      </c>
      <c r="O3037" s="22"/>
    </row>
    <row r="3038" ht="38.25">
      <c r="A3038" t="s">
        <v>3055</v>
      </c>
      <c r="B3038" s="19">
        <v>98344</v>
      </c>
      <c r="C3038" s="20" t="s">
        <v>3099</v>
      </c>
      <c r="D3038" s="19" t="s">
        <v>29</v>
      </c>
      <c r="E3038" s="21" t="str">
        <f t="shared" si="140"/>
        <v>VERIFICAR</v>
      </c>
      <c r="F3038" s="22">
        <v>0</v>
      </c>
      <c r="G3038" s="21" t="str">
        <f t="shared" si="141"/>
        <v>VERIFICAR</v>
      </c>
      <c r="H3038" s="22">
        <v>0</v>
      </c>
      <c r="I3038" s="23" t="str">
        <f t="shared" si="142"/>
        <v xml:space="preserve">COM VALOR</v>
      </c>
      <c r="J3038" s="19"/>
      <c r="L3038" s="21">
        <v>0</v>
      </c>
      <c r="M3038" s="22"/>
      <c r="N3038" s="21">
        <v>0</v>
      </c>
      <c r="O3038" s="22"/>
    </row>
    <row r="3039" ht="38.25">
      <c r="A3039" t="s">
        <v>3055</v>
      </c>
      <c r="B3039" s="19">
        <v>98361</v>
      </c>
      <c r="C3039" s="20" t="s">
        <v>3100</v>
      </c>
      <c r="D3039" s="19" t="s">
        <v>29</v>
      </c>
      <c r="E3039" s="21" t="str">
        <f t="shared" si="140"/>
        <v>VERIFICAR</v>
      </c>
      <c r="F3039" s="22"/>
      <c r="G3039" s="21" t="str">
        <f t="shared" si="141"/>
        <v>VERIFICAR</v>
      </c>
      <c r="H3039" s="22"/>
      <c r="I3039" s="23" t="str">
        <f t="shared" si="142"/>
        <v xml:space="preserve">COM VALOR</v>
      </c>
      <c r="J3039" s="19"/>
      <c r="L3039" s="21">
        <v>0</v>
      </c>
      <c r="M3039" s="22"/>
      <c r="N3039" s="21">
        <v>0</v>
      </c>
      <c r="O3039" s="22"/>
    </row>
    <row r="3040" ht="51">
      <c r="A3040" t="s">
        <v>3055</v>
      </c>
      <c r="B3040" s="19">
        <v>98353</v>
      </c>
      <c r="C3040" s="20" t="s">
        <v>3101</v>
      </c>
      <c r="D3040" s="19" t="s">
        <v>29</v>
      </c>
      <c r="E3040" s="21" t="str">
        <f t="shared" si="140"/>
        <v>VERIFICAR</v>
      </c>
      <c r="F3040" s="22"/>
      <c r="G3040" s="21" t="str">
        <f t="shared" si="141"/>
        <v>VERIFICAR</v>
      </c>
      <c r="H3040" s="22"/>
      <c r="I3040" s="23" t="str">
        <f t="shared" si="142"/>
        <v xml:space="preserve">COM VALOR</v>
      </c>
      <c r="J3040" s="19"/>
      <c r="L3040" s="21">
        <v>0</v>
      </c>
      <c r="M3040" s="22"/>
      <c r="N3040" s="21">
        <v>0</v>
      </c>
      <c r="O3040" s="22"/>
    </row>
    <row r="3041" ht="38.25">
      <c r="A3041" t="s">
        <v>3055</v>
      </c>
      <c r="B3041" s="19">
        <v>98334</v>
      </c>
      <c r="C3041" s="20" t="s">
        <v>3102</v>
      </c>
      <c r="D3041" s="19" t="s">
        <v>29</v>
      </c>
      <c r="E3041" s="21" t="str">
        <f t="shared" si="140"/>
        <v>VERIFICAR</v>
      </c>
      <c r="F3041" s="22"/>
      <c r="G3041" s="21" t="str">
        <f t="shared" si="141"/>
        <v>VERIFICAR</v>
      </c>
      <c r="H3041" s="22"/>
      <c r="I3041" s="23" t="str">
        <f t="shared" si="142"/>
        <v xml:space="preserve">COM VALOR</v>
      </c>
      <c r="J3041" s="19"/>
      <c r="L3041" s="21">
        <v>0</v>
      </c>
      <c r="M3041" s="22"/>
      <c r="N3041" s="21">
        <v>0</v>
      </c>
      <c r="O3041" s="22"/>
    </row>
    <row r="3042" ht="25.5">
      <c r="A3042" t="s">
        <v>3055</v>
      </c>
      <c r="B3042" s="19">
        <v>98371</v>
      </c>
      <c r="C3042" s="20" t="s">
        <v>3103</v>
      </c>
      <c r="D3042" s="19" t="s">
        <v>29</v>
      </c>
      <c r="E3042" s="21" t="str">
        <f t="shared" si="140"/>
        <v>VERIFICAR</v>
      </c>
      <c r="F3042" s="22"/>
      <c r="G3042" s="21" t="str">
        <f t="shared" si="141"/>
        <v>VERIFICAR</v>
      </c>
      <c r="H3042" s="22"/>
      <c r="I3042" s="23" t="str">
        <f t="shared" si="142"/>
        <v xml:space="preserve">COM VALOR</v>
      </c>
      <c r="J3042" s="19"/>
      <c r="L3042" s="21">
        <v>0</v>
      </c>
      <c r="M3042" s="22"/>
      <c r="N3042" s="21">
        <v>0</v>
      </c>
      <c r="O3042" s="22"/>
    </row>
    <row r="3043" ht="12.75">
      <c r="A3043" t="s">
        <v>3055</v>
      </c>
      <c r="B3043" s="19">
        <v>98397</v>
      </c>
      <c r="C3043" s="20" t="s">
        <v>3104</v>
      </c>
      <c r="D3043" s="19" t="s">
        <v>29</v>
      </c>
      <c r="E3043" s="21">
        <f t="shared" si="140"/>
        <v>12.65</v>
      </c>
      <c r="F3043" s="22"/>
      <c r="G3043" s="21">
        <f t="shared" si="141"/>
        <v>12.199999999999999</v>
      </c>
      <c r="H3043" s="22"/>
      <c r="I3043" s="23" t="str">
        <f t="shared" si="142"/>
        <v xml:space="preserve">COM VALOR</v>
      </c>
      <c r="J3043" s="19"/>
      <c r="L3043" s="21">
        <v>12.65</v>
      </c>
      <c r="M3043" s="22">
        <v>0</v>
      </c>
      <c r="N3043" s="21">
        <v>12.199999999999999</v>
      </c>
      <c r="O3043" s="22">
        <v>0</v>
      </c>
    </row>
    <row r="3044" ht="38.25">
      <c r="A3044" t="s">
        <v>3105</v>
      </c>
      <c r="B3044" s="19">
        <v>103518</v>
      </c>
      <c r="C3044" s="20" t="s">
        <v>3106</v>
      </c>
      <c r="D3044" s="19" t="s">
        <v>31</v>
      </c>
      <c r="E3044" s="21" t="str">
        <f t="shared" si="140"/>
        <v>VERIFICAR</v>
      </c>
      <c r="F3044" s="22"/>
      <c r="G3044" s="21" t="str">
        <f t="shared" si="141"/>
        <v>VERIFICAR</v>
      </c>
      <c r="H3044" s="22"/>
      <c r="I3044" s="23" t="str">
        <f t="shared" si="142"/>
        <v xml:space="preserve">COM VALOR</v>
      </c>
      <c r="J3044" s="19"/>
      <c r="L3044" s="21">
        <v>0</v>
      </c>
      <c r="M3044" s="22"/>
      <c r="N3044" s="21">
        <v>0</v>
      </c>
      <c r="O3044" s="22"/>
    </row>
    <row r="3045" ht="51">
      <c r="A3045" t="s">
        <v>3105</v>
      </c>
      <c r="B3045" s="19">
        <v>103517</v>
      </c>
      <c r="C3045" s="20" t="s">
        <v>3107</v>
      </c>
      <c r="D3045" s="19" t="s">
        <v>31</v>
      </c>
      <c r="E3045" s="21">
        <f t="shared" si="140"/>
        <v>3320.8400000000001</v>
      </c>
      <c r="F3045" s="22"/>
      <c r="G3045" s="21">
        <f t="shared" si="141"/>
        <v>3316.2600000000002</v>
      </c>
      <c r="H3045" s="22"/>
      <c r="I3045" s="23" t="str">
        <f t="shared" si="142"/>
        <v xml:space="preserve">COM VALOR</v>
      </c>
      <c r="J3045" s="19"/>
      <c r="L3045" s="21">
        <v>3320.8400000000001</v>
      </c>
      <c r="M3045" s="22">
        <v>0.97999999999999998</v>
      </c>
      <c r="N3045" s="21">
        <v>3316.2600000000002</v>
      </c>
      <c r="O3045" s="22">
        <v>0.97999999999999998</v>
      </c>
    </row>
    <row r="3046" ht="38.25">
      <c r="A3046" t="s">
        <v>3105</v>
      </c>
      <c r="B3046" s="19">
        <v>103519</v>
      </c>
      <c r="C3046" s="20" t="s">
        <v>3108</v>
      </c>
      <c r="D3046" s="19" t="s">
        <v>31</v>
      </c>
      <c r="E3046" s="21">
        <f t="shared" si="140"/>
        <v>12.18</v>
      </c>
      <c r="F3046" s="22"/>
      <c r="G3046" s="21">
        <f t="shared" si="141"/>
        <v>11.890000000000001</v>
      </c>
      <c r="H3046" s="22"/>
      <c r="I3046" s="23" t="str">
        <f t="shared" si="142"/>
        <v xml:space="preserve">COM VALOR</v>
      </c>
      <c r="J3046" s="19"/>
      <c r="L3046" s="21">
        <v>12.18</v>
      </c>
      <c r="M3046" s="22">
        <v>0</v>
      </c>
      <c r="N3046" s="21">
        <v>11.890000000000001</v>
      </c>
      <c r="O3046" s="22">
        <v>0</v>
      </c>
    </row>
    <row r="3047" ht="25.5">
      <c r="A3047" t="s">
        <v>3105</v>
      </c>
      <c r="B3047" s="19">
        <v>103515</v>
      </c>
      <c r="C3047" s="20" t="s">
        <v>3109</v>
      </c>
      <c r="D3047" s="19" t="s">
        <v>31</v>
      </c>
      <c r="E3047" s="21" t="str">
        <f t="shared" si="140"/>
        <v>VERIFICAR</v>
      </c>
      <c r="F3047" s="22"/>
      <c r="G3047" s="21" t="str">
        <f t="shared" si="141"/>
        <v>VERIFICAR</v>
      </c>
      <c r="H3047" s="22"/>
      <c r="I3047" s="23" t="str">
        <f t="shared" si="142"/>
        <v xml:space="preserve">COM VALOR</v>
      </c>
      <c r="J3047" s="19"/>
      <c r="L3047" s="21">
        <v>0</v>
      </c>
      <c r="M3047" s="22"/>
      <c r="N3047" s="21">
        <v>0</v>
      </c>
      <c r="O3047" s="22"/>
    </row>
    <row r="3048" ht="12.75">
      <c r="A3048" t="s">
        <v>3105</v>
      </c>
      <c r="B3048" s="19">
        <v>103502</v>
      </c>
      <c r="C3048" s="20" t="s">
        <v>3110</v>
      </c>
      <c r="D3048" s="19" t="s">
        <v>38</v>
      </c>
      <c r="E3048" s="21" t="str">
        <f t="shared" si="140"/>
        <v>VERIFICAR</v>
      </c>
      <c r="F3048" s="22"/>
      <c r="G3048" s="21" t="str">
        <f t="shared" si="141"/>
        <v>VERIFICAR</v>
      </c>
      <c r="H3048" s="22"/>
      <c r="I3048" s="23" t="str">
        <f t="shared" si="142"/>
        <v xml:space="preserve">COM VALOR</v>
      </c>
      <c r="J3048" s="19"/>
      <c r="L3048" s="21">
        <v>0</v>
      </c>
      <c r="M3048" s="22"/>
      <c r="N3048" s="21">
        <v>0</v>
      </c>
      <c r="O3048" s="22"/>
    </row>
    <row r="3049" ht="12.75">
      <c r="A3049" t="s">
        <v>3105</v>
      </c>
      <c r="B3049" s="19">
        <v>103503</v>
      </c>
      <c r="C3049" s="20" t="s">
        <v>3111</v>
      </c>
      <c r="D3049" s="19" t="s">
        <v>38</v>
      </c>
      <c r="E3049" s="21" t="str">
        <f t="shared" si="140"/>
        <v>VERIFICAR</v>
      </c>
      <c r="F3049" s="22">
        <v>0.78000000000000003</v>
      </c>
      <c r="G3049" s="21" t="str">
        <f t="shared" si="141"/>
        <v>VERIFICAR</v>
      </c>
      <c r="H3049" s="22">
        <v>0.78000000000000003</v>
      </c>
      <c r="I3049" s="23" t="str">
        <f t="shared" si="142"/>
        <v xml:space="preserve">COM VALOR</v>
      </c>
      <c r="J3049" s="19"/>
      <c r="L3049" s="21">
        <v>0</v>
      </c>
      <c r="M3049" s="22"/>
      <c r="N3049" s="21">
        <v>0</v>
      </c>
      <c r="O3049" s="22"/>
    </row>
    <row r="3050" ht="25.5">
      <c r="A3050" t="s">
        <v>3105</v>
      </c>
      <c r="B3050" s="19">
        <v>103499</v>
      </c>
      <c r="C3050" s="20" t="s">
        <v>3112</v>
      </c>
      <c r="D3050" s="19" t="s">
        <v>31</v>
      </c>
      <c r="E3050" s="21" t="str">
        <f t="shared" si="140"/>
        <v>VERIFICAR</v>
      </c>
      <c r="F3050" s="22">
        <v>0.77000000000000002</v>
      </c>
      <c r="G3050" s="21" t="str">
        <f t="shared" si="141"/>
        <v>VERIFICAR</v>
      </c>
      <c r="H3050" s="22">
        <v>0.82999999999999996</v>
      </c>
      <c r="I3050" s="23" t="str">
        <f t="shared" si="142"/>
        <v xml:space="preserve">COM VALOR</v>
      </c>
      <c r="J3050" s="19"/>
      <c r="L3050" s="21">
        <v>0</v>
      </c>
      <c r="M3050" s="22"/>
      <c r="N3050" s="21">
        <v>0</v>
      </c>
      <c r="O3050" s="22"/>
    </row>
    <row r="3051" ht="25.5">
      <c r="A3051" t="s">
        <v>3105</v>
      </c>
      <c r="B3051" s="19">
        <v>103501</v>
      </c>
      <c r="C3051" s="20" t="s">
        <v>3113</v>
      </c>
      <c r="D3051" s="19" t="s">
        <v>31</v>
      </c>
      <c r="E3051" s="21" t="str">
        <f t="shared" si="140"/>
        <v>VERIFICAR</v>
      </c>
      <c r="F3051" s="22">
        <v>0.79000000000000004</v>
      </c>
      <c r="G3051" s="21" t="str">
        <f t="shared" si="141"/>
        <v>VERIFICAR</v>
      </c>
      <c r="H3051" s="22">
        <v>0.79000000000000004</v>
      </c>
      <c r="I3051" s="23" t="str">
        <f t="shared" si="142"/>
        <v xml:space="preserve">COM VALOR</v>
      </c>
      <c r="J3051" s="19"/>
      <c r="L3051" s="21">
        <v>0</v>
      </c>
      <c r="M3051" s="22"/>
      <c r="N3051" s="21">
        <v>0</v>
      </c>
      <c r="O3051" s="22"/>
    </row>
    <row r="3052" ht="25.5">
      <c r="A3052" t="s">
        <v>3105</v>
      </c>
      <c r="B3052" s="19">
        <v>103500</v>
      </c>
      <c r="C3052" s="20" t="s">
        <v>3114</v>
      </c>
      <c r="D3052" s="19" t="s">
        <v>31</v>
      </c>
      <c r="E3052" s="21" t="str">
        <f t="shared" si="140"/>
        <v>VERIFICAR</v>
      </c>
      <c r="F3052" s="22">
        <v>0</v>
      </c>
      <c r="G3052" s="21" t="str">
        <f t="shared" si="141"/>
        <v>VERIFICAR</v>
      </c>
      <c r="H3052" s="22">
        <v>0</v>
      </c>
      <c r="I3052" s="23" t="str">
        <f t="shared" si="142"/>
        <v xml:space="preserve">COM VALOR</v>
      </c>
      <c r="J3052" s="19"/>
      <c r="L3052" s="21">
        <v>0</v>
      </c>
      <c r="M3052" s="22"/>
      <c r="N3052" s="21">
        <v>0</v>
      </c>
      <c r="O3052" s="22"/>
    </row>
    <row r="3053" ht="38.25">
      <c r="A3053" t="s">
        <v>3105</v>
      </c>
      <c r="B3053" s="19">
        <v>106678</v>
      </c>
      <c r="C3053" s="20" t="s">
        <v>3115</v>
      </c>
      <c r="D3053" s="19" t="s">
        <v>31</v>
      </c>
      <c r="E3053" s="21" t="str">
        <f t="shared" si="140"/>
        <v>VERIFICAR</v>
      </c>
      <c r="F3053" s="22">
        <v>0.27000000000000002</v>
      </c>
      <c r="G3053" s="21" t="str">
        <f t="shared" si="141"/>
        <v>VERIFICAR</v>
      </c>
      <c r="H3053" s="22">
        <v>0.28000000000000003</v>
      </c>
      <c r="I3053" s="23" t="str">
        <f t="shared" si="142"/>
        <v xml:space="preserve">COM VALOR</v>
      </c>
      <c r="J3053" s="19"/>
      <c r="L3053" s="21">
        <v>0</v>
      </c>
      <c r="M3053" s="22"/>
      <c r="N3053" s="21">
        <v>0</v>
      </c>
      <c r="O3053" s="22"/>
    </row>
    <row r="3054" ht="38.25">
      <c r="A3054" t="s">
        <v>3105</v>
      </c>
      <c r="B3054" s="19">
        <v>106680</v>
      </c>
      <c r="C3054" s="20" t="s">
        <v>3116</v>
      </c>
      <c r="D3054" s="19" t="s">
        <v>31</v>
      </c>
      <c r="E3054" s="21" t="str">
        <f t="shared" si="140"/>
        <v>VERIFICAR</v>
      </c>
      <c r="F3054" s="22"/>
      <c r="G3054" s="21" t="str">
        <f t="shared" si="141"/>
        <v>VERIFICAR</v>
      </c>
      <c r="H3054" s="22"/>
      <c r="I3054" s="23" t="str">
        <f t="shared" si="142"/>
        <v xml:space="preserve">COM VALOR</v>
      </c>
      <c r="J3054" s="19"/>
      <c r="L3054" s="21">
        <v>0</v>
      </c>
      <c r="M3054" s="22"/>
      <c r="N3054" s="21">
        <v>0</v>
      </c>
      <c r="O3054" s="22"/>
    </row>
    <row r="3055" ht="38.25">
      <c r="A3055" t="s">
        <v>3105</v>
      </c>
      <c r="B3055" s="19">
        <v>106679</v>
      </c>
      <c r="C3055" s="20" t="s">
        <v>3117</v>
      </c>
      <c r="D3055" s="19" t="s">
        <v>31</v>
      </c>
      <c r="E3055" s="21" t="str">
        <f t="shared" si="140"/>
        <v>VERIFICAR</v>
      </c>
      <c r="F3055" s="22"/>
      <c r="G3055" s="21" t="str">
        <f t="shared" si="141"/>
        <v>VERIFICAR</v>
      </c>
      <c r="H3055" s="22"/>
      <c r="I3055" s="23" t="str">
        <f t="shared" si="142"/>
        <v xml:space="preserve">COM VALOR</v>
      </c>
      <c r="J3055" s="19"/>
      <c r="L3055" s="21">
        <v>0</v>
      </c>
      <c r="M3055" s="22"/>
      <c r="N3055" s="21">
        <v>0</v>
      </c>
      <c r="O3055" s="22"/>
    </row>
    <row r="3056" ht="38.25">
      <c r="A3056" t="s">
        <v>3105</v>
      </c>
      <c r="B3056" s="19">
        <v>103496</v>
      </c>
      <c r="C3056" s="20" t="s">
        <v>3118</v>
      </c>
      <c r="D3056" s="19" t="s">
        <v>31</v>
      </c>
      <c r="E3056" s="21" t="str">
        <f t="shared" si="140"/>
        <v>VERIFICAR</v>
      </c>
      <c r="F3056" s="22"/>
      <c r="G3056" s="21" t="str">
        <f t="shared" si="141"/>
        <v>VERIFICAR</v>
      </c>
      <c r="H3056" s="22"/>
      <c r="I3056" s="23" t="str">
        <f t="shared" si="142"/>
        <v xml:space="preserve">COM VALOR</v>
      </c>
      <c r="J3056" s="19"/>
      <c r="L3056" s="21">
        <v>0</v>
      </c>
      <c r="M3056" s="22"/>
      <c r="N3056" s="21">
        <v>0</v>
      </c>
      <c r="O3056" s="22"/>
    </row>
    <row r="3057" ht="38.25">
      <c r="A3057" t="s">
        <v>3105</v>
      </c>
      <c r="B3057" s="19">
        <v>103498</v>
      </c>
      <c r="C3057" s="20" t="s">
        <v>3119</v>
      </c>
      <c r="D3057" s="19" t="s">
        <v>31</v>
      </c>
      <c r="E3057" s="21" t="str">
        <f t="shared" si="140"/>
        <v>VERIFICAR</v>
      </c>
      <c r="F3057" s="22"/>
      <c r="G3057" s="21" t="str">
        <f t="shared" si="141"/>
        <v>VERIFICAR</v>
      </c>
      <c r="H3057" s="22"/>
      <c r="I3057" s="23" t="str">
        <f t="shared" si="142"/>
        <v xml:space="preserve">COM VALOR</v>
      </c>
      <c r="J3057" s="19"/>
      <c r="L3057" s="21">
        <v>0</v>
      </c>
      <c r="M3057" s="22"/>
      <c r="N3057" s="21">
        <v>0</v>
      </c>
      <c r="O3057" s="22"/>
    </row>
    <row r="3058" ht="38.25">
      <c r="A3058" t="s">
        <v>3105</v>
      </c>
      <c r="B3058" s="19">
        <v>103497</v>
      </c>
      <c r="C3058" s="20" t="s">
        <v>3120</v>
      </c>
      <c r="D3058" s="19" t="s">
        <v>31</v>
      </c>
      <c r="E3058" s="21" t="str">
        <f t="shared" si="140"/>
        <v>VERIFICAR</v>
      </c>
      <c r="F3058" s="22"/>
      <c r="G3058" s="21" t="str">
        <f t="shared" si="141"/>
        <v>VERIFICAR</v>
      </c>
      <c r="H3058" s="22"/>
      <c r="I3058" s="23" t="str">
        <f t="shared" si="142"/>
        <v xml:space="preserve">COM VALOR</v>
      </c>
      <c r="J3058" s="19"/>
      <c r="L3058" s="21">
        <v>0</v>
      </c>
      <c r="M3058" s="22"/>
      <c r="N3058" s="21">
        <v>0</v>
      </c>
      <c r="O3058" s="22"/>
    </row>
    <row r="3059" ht="25.5">
      <c r="A3059" t="s">
        <v>3105</v>
      </c>
      <c r="B3059" s="19">
        <v>103516</v>
      </c>
      <c r="C3059" s="20" t="s">
        <v>3121</v>
      </c>
      <c r="D3059" s="19" t="s">
        <v>31</v>
      </c>
      <c r="E3059" s="21" t="str">
        <f t="shared" si="140"/>
        <v>VERIFICAR</v>
      </c>
      <c r="F3059" s="22"/>
      <c r="G3059" s="21" t="str">
        <f t="shared" si="141"/>
        <v>VERIFICAR</v>
      </c>
      <c r="H3059" s="22"/>
      <c r="I3059" s="23" t="str">
        <f t="shared" si="142"/>
        <v xml:space="preserve">COM VALOR</v>
      </c>
      <c r="J3059" s="19"/>
      <c r="L3059" s="21">
        <v>0</v>
      </c>
      <c r="M3059" s="22"/>
      <c r="N3059" s="21">
        <v>0</v>
      </c>
      <c r="O3059" s="22"/>
    </row>
    <row r="3060" ht="25.5">
      <c r="A3060" t="s">
        <v>3105</v>
      </c>
      <c r="B3060" s="19">
        <v>103506</v>
      </c>
      <c r="C3060" s="20" t="s">
        <v>3122</v>
      </c>
      <c r="D3060" s="19" t="s">
        <v>31</v>
      </c>
      <c r="E3060" s="21" t="str">
        <f t="shared" si="140"/>
        <v>VERIFICAR</v>
      </c>
      <c r="F3060" s="22"/>
      <c r="G3060" s="21" t="str">
        <f t="shared" si="141"/>
        <v>VERIFICAR</v>
      </c>
      <c r="H3060" s="22"/>
      <c r="I3060" s="23" t="str">
        <f t="shared" si="142"/>
        <v xml:space="preserve">COM VALOR</v>
      </c>
      <c r="J3060" s="19"/>
      <c r="L3060" s="21">
        <v>0</v>
      </c>
      <c r="M3060" s="22"/>
      <c r="N3060" s="21">
        <v>0</v>
      </c>
      <c r="O3060" s="22"/>
    </row>
    <row r="3061" ht="25.5">
      <c r="A3061" t="s">
        <v>3105</v>
      </c>
      <c r="B3061" s="19">
        <v>106681</v>
      </c>
      <c r="C3061" s="20" t="s">
        <v>3123</v>
      </c>
      <c r="D3061" s="19" t="s">
        <v>31</v>
      </c>
      <c r="E3061" s="21" t="str">
        <f t="shared" si="140"/>
        <v>VERIFICAR</v>
      </c>
      <c r="F3061" s="22"/>
      <c r="G3061" s="21" t="str">
        <f t="shared" si="141"/>
        <v>VERIFICAR</v>
      </c>
      <c r="H3061" s="22"/>
      <c r="I3061" s="23" t="str">
        <f t="shared" si="142"/>
        <v xml:space="preserve">COM VALOR</v>
      </c>
      <c r="J3061" s="19"/>
      <c r="L3061" s="21">
        <v>0</v>
      </c>
      <c r="M3061" s="22"/>
      <c r="N3061" s="21">
        <v>0</v>
      </c>
      <c r="O3061" s="22"/>
    </row>
    <row r="3062" ht="25.5">
      <c r="A3062" t="s">
        <v>3105</v>
      </c>
      <c r="B3062" s="19">
        <v>103507</v>
      </c>
      <c r="C3062" s="20" t="s">
        <v>3124</v>
      </c>
      <c r="D3062" s="19" t="s">
        <v>31</v>
      </c>
      <c r="E3062" s="21" t="str">
        <f t="shared" si="140"/>
        <v>VERIFICAR</v>
      </c>
      <c r="F3062" s="22"/>
      <c r="G3062" s="21" t="str">
        <f t="shared" si="141"/>
        <v>VERIFICAR</v>
      </c>
      <c r="H3062" s="22"/>
      <c r="I3062" s="23" t="str">
        <f t="shared" si="142"/>
        <v xml:space="preserve">COM VALOR</v>
      </c>
      <c r="J3062" s="19"/>
      <c r="L3062" s="21">
        <v>0</v>
      </c>
      <c r="M3062" s="22"/>
      <c r="N3062" s="21">
        <v>0</v>
      </c>
      <c r="O3062" s="22"/>
    </row>
    <row r="3063" ht="25.5">
      <c r="A3063" t="s">
        <v>3105</v>
      </c>
      <c r="B3063" s="19">
        <v>103493</v>
      </c>
      <c r="C3063" s="20" t="s">
        <v>3125</v>
      </c>
      <c r="D3063" s="19" t="s">
        <v>31</v>
      </c>
      <c r="E3063" s="21" t="str">
        <f t="shared" si="140"/>
        <v>VERIFICAR</v>
      </c>
      <c r="F3063" s="22"/>
      <c r="G3063" s="21" t="str">
        <f t="shared" si="141"/>
        <v>VERIFICAR</v>
      </c>
      <c r="H3063" s="22"/>
      <c r="I3063" s="23" t="str">
        <f t="shared" si="142"/>
        <v xml:space="preserve">COM VALOR</v>
      </c>
      <c r="J3063" s="19"/>
      <c r="L3063" s="21">
        <v>0</v>
      </c>
      <c r="M3063" s="22"/>
      <c r="N3063" s="21">
        <v>0</v>
      </c>
      <c r="O3063" s="22"/>
    </row>
    <row r="3064" ht="25.5">
      <c r="A3064" t="s">
        <v>3105</v>
      </c>
      <c r="B3064" s="19">
        <v>103495</v>
      </c>
      <c r="C3064" s="20" t="s">
        <v>3126</v>
      </c>
      <c r="D3064" s="19" t="s">
        <v>31</v>
      </c>
      <c r="E3064" s="21" t="str">
        <f t="shared" si="140"/>
        <v>VERIFICAR</v>
      </c>
      <c r="F3064" s="22">
        <v>1.e-002</v>
      </c>
      <c r="G3064" s="21" t="str">
        <f t="shared" si="141"/>
        <v>VERIFICAR</v>
      </c>
      <c r="H3064" s="22">
        <v>1.e-002</v>
      </c>
      <c r="I3064" s="23" t="str">
        <f t="shared" si="142"/>
        <v xml:space="preserve">COM VALOR</v>
      </c>
      <c r="J3064" s="19"/>
      <c r="L3064" s="21">
        <v>0</v>
      </c>
      <c r="M3064" s="22"/>
      <c r="N3064" s="21">
        <v>0</v>
      </c>
      <c r="O3064" s="22"/>
    </row>
    <row r="3065" ht="25.5">
      <c r="A3065" t="s">
        <v>3105</v>
      </c>
      <c r="B3065" s="19">
        <v>103494</v>
      </c>
      <c r="C3065" s="20" t="s">
        <v>3127</v>
      </c>
      <c r="D3065" s="19" t="s">
        <v>31</v>
      </c>
      <c r="E3065" s="21" t="str">
        <f t="shared" si="140"/>
        <v>VERIFICAR</v>
      </c>
      <c r="F3065" s="22">
        <v>1.e-002</v>
      </c>
      <c r="G3065" s="21" t="str">
        <f t="shared" si="141"/>
        <v>VERIFICAR</v>
      </c>
      <c r="H3065" s="22">
        <v>1.e-002</v>
      </c>
      <c r="I3065" s="23" t="str">
        <f t="shared" si="142"/>
        <v xml:space="preserve">COM VALOR</v>
      </c>
      <c r="J3065" s="19"/>
      <c r="L3065" s="21">
        <v>0</v>
      </c>
      <c r="M3065" s="22"/>
      <c r="N3065" s="21">
        <v>0</v>
      </c>
      <c r="O3065" s="22"/>
    </row>
    <row r="3066" ht="25.5">
      <c r="A3066" t="s">
        <v>3105</v>
      </c>
      <c r="B3066" s="19">
        <v>103513</v>
      </c>
      <c r="C3066" s="20" t="s">
        <v>3128</v>
      </c>
      <c r="D3066" s="19" t="s">
        <v>31</v>
      </c>
      <c r="E3066" s="21" t="str">
        <f t="shared" si="140"/>
        <v>VERIFICAR</v>
      </c>
      <c r="F3066" s="22">
        <v>0</v>
      </c>
      <c r="G3066" s="21" t="str">
        <f t="shared" si="141"/>
        <v>VERIFICAR</v>
      </c>
      <c r="H3066" s="22">
        <v>0</v>
      </c>
      <c r="I3066" s="23" t="str">
        <f t="shared" si="142"/>
        <v xml:space="preserve">COM VALOR</v>
      </c>
      <c r="J3066" s="19"/>
      <c r="L3066" s="21">
        <v>0</v>
      </c>
      <c r="M3066" s="22"/>
      <c r="N3066" s="21">
        <v>0</v>
      </c>
      <c r="O3066" s="22"/>
    </row>
    <row r="3067" ht="38.25">
      <c r="A3067" t="s">
        <v>3105</v>
      </c>
      <c r="B3067" s="19">
        <v>103523</v>
      </c>
      <c r="C3067" s="20" t="s">
        <v>3129</v>
      </c>
      <c r="D3067" s="19" t="s">
        <v>31</v>
      </c>
      <c r="E3067" s="21">
        <f t="shared" si="140"/>
        <v>11154.280000000001</v>
      </c>
      <c r="F3067" s="22">
        <v>1.e-002</v>
      </c>
      <c r="G3067" s="21">
        <f t="shared" si="141"/>
        <v>11143.110000000001</v>
      </c>
      <c r="H3067" s="22">
        <v>1.e-002</v>
      </c>
      <c r="I3067" s="23" t="str">
        <f t="shared" si="142"/>
        <v xml:space="preserve">COM VALOR</v>
      </c>
      <c r="J3067" s="19"/>
      <c r="L3067" s="21">
        <v>11154.280000000001</v>
      </c>
      <c r="M3067" s="22">
        <v>0.97999999999999998</v>
      </c>
      <c r="N3067" s="21">
        <v>11143.110000000001</v>
      </c>
      <c r="O3067" s="22">
        <v>0.97999999999999998</v>
      </c>
    </row>
    <row r="3068" ht="25.5">
      <c r="A3068" t="s">
        <v>3105</v>
      </c>
      <c r="B3068" s="19">
        <v>103509</v>
      </c>
      <c r="C3068" s="20" t="s">
        <v>3130</v>
      </c>
      <c r="D3068" s="19" t="s">
        <v>31</v>
      </c>
      <c r="E3068" s="21" t="str">
        <f t="shared" si="140"/>
        <v>VERIFICAR</v>
      </c>
      <c r="F3068" s="22">
        <v>1.e-002</v>
      </c>
      <c r="G3068" s="21" t="str">
        <f t="shared" si="141"/>
        <v>VERIFICAR</v>
      </c>
      <c r="H3068" s="22">
        <v>1.e-002</v>
      </c>
      <c r="I3068" s="23" t="str">
        <f t="shared" si="142"/>
        <v xml:space="preserve">COM VALOR</v>
      </c>
      <c r="J3068" s="19"/>
      <c r="L3068" s="21">
        <v>0</v>
      </c>
      <c r="M3068" s="22"/>
      <c r="N3068" s="21">
        <v>0</v>
      </c>
      <c r="O3068" s="22"/>
    </row>
    <row r="3069" ht="25.5">
      <c r="A3069" t="s">
        <v>3105</v>
      </c>
      <c r="B3069" s="19">
        <v>103514</v>
      </c>
      <c r="C3069" s="20" t="s">
        <v>3131</v>
      </c>
      <c r="D3069" s="19" t="s">
        <v>31</v>
      </c>
      <c r="E3069" s="21" t="str">
        <f t="shared" si="140"/>
        <v>VERIFICAR</v>
      </c>
      <c r="F3069" s="22">
        <v>1.e-002</v>
      </c>
      <c r="G3069" s="21" t="str">
        <f t="shared" si="141"/>
        <v>VERIFICAR</v>
      </c>
      <c r="H3069" s="22">
        <v>1.e-002</v>
      </c>
      <c r="I3069" s="23" t="str">
        <f t="shared" si="142"/>
        <v xml:space="preserve">COM VALOR</v>
      </c>
      <c r="J3069" s="19"/>
      <c r="L3069" s="21">
        <v>0</v>
      </c>
      <c r="M3069" s="22"/>
      <c r="N3069" s="21">
        <v>0</v>
      </c>
      <c r="O3069" s="22"/>
    </row>
    <row r="3070" ht="25.5">
      <c r="A3070" t="s">
        <v>3105</v>
      </c>
      <c r="B3070" s="19">
        <v>103510</v>
      </c>
      <c r="C3070" s="20" t="s">
        <v>3132</v>
      </c>
      <c r="D3070" s="19" t="s">
        <v>31</v>
      </c>
      <c r="E3070" s="21" t="str">
        <f t="shared" si="140"/>
        <v>VERIFICAR</v>
      </c>
      <c r="F3070" s="22">
        <v>0</v>
      </c>
      <c r="G3070" s="21" t="str">
        <f t="shared" si="141"/>
        <v>VERIFICAR</v>
      </c>
      <c r="H3070" s="22">
        <v>0</v>
      </c>
      <c r="I3070" s="23" t="str">
        <f t="shared" si="142"/>
        <v xml:space="preserve">COM VALOR</v>
      </c>
      <c r="J3070" s="19"/>
      <c r="L3070" s="21">
        <v>0</v>
      </c>
      <c r="M3070" s="22"/>
      <c r="N3070" s="21">
        <v>0</v>
      </c>
      <c r="O3070" s="22"/>
    </row>
    <row r="3071" ht="38.25">
      <c r="A3071" t="s">
        <v>3105</v>
      </c>
      <c r="B3071" s="19">
        <v>103520</v>
      </c>
      <c r="C3071" s="20" t="s">
        <v>3133</v>
      </c>
      <c r="D3071" s="19" t="s">
        <v>31</v>
      </c>
      <c r="E3071" s="21">
        <f t="shared" si="140"/>
        <v>5513.3999999999996</v>
      </c>
      <c r="F3071" s="22">
        <v>0</v>
      </c>
      <c r="G3071" s="21">
        <f t="shared" si="141"/>
        <v>5512.21</v>
      </c>
      <c r="H3071" s="22">
        <v>0</v>
      </c>
      <c r="I3071" s="23" t="str">
        <f t="shared" si="142"/>
        <v xml:space="preserve">COM VALOR</v>
      </c>
      <c r="J3071" s="19"/>
      <c r="L3071" s="21">
        <v>5513.3999999999996</v>
      </c>
      <c r="M3071" s="22">
        <v>1</v>
      </c>
      <c r="N3071" s="21">
        <v>5512.21</v>
      </c>
      <c r="O3071" s="22">
        <v>1</v>
      </c>
    </row>
    <row r="3072" ht="25.5">
      <c r="A3072" t="s">
        <v>3105</v>
      </c>
      <c r="B3072" s="19">
        <v>103511</v>
      </c>
      <c r="C3072" s="20" t="s">
        <v>3134</v>
      </c>
      <c r="D3072" s="19" t="s">
        <v>31</v>
      </c>
      <c r="E3072" s="21" t="str">
        <f t="shared" si="140"/>
        <v>VERIFICAR</v>
      </c>
      <c r="F3072" s="22">
        <v>0</v>
      </c>
      <c r="G3072" s="21" t="str">
        <f t="shared" si="141"/>
        <v>VERIFICAR</v>
      </c>
      <c r="H3072" s="22">
        <v>0</v>
      </c>
      <c r="I3072" s="23" t="str">
        <f t="shared" si="142"/>
        <v xml:space="preserve">COM VALOR</v>
      </c>
      <c r="J3072" s="19"/>
      <c r="L3072" s="21">
        <v>0</v>
      </c>
      <c r="M3072" s="22"/>
      <c r="N3072" s="21">
        <v>0</v>
      </c>
      <c r="O3072" s="22"/>
    </row>
    <row r="3073" ht="38.25">
      <c r="A3073" t="s">
        <v>3105</v>
      </c>
      <c r="B3073" s="19">
        <v>103521</v>
      </c>
      <c r="C3073" s="20" t="s">
        <v>3135</v>
      </c>
      <c r="D3073" s="19" t="s">
        <v>31</v>
      </c>
      <c r="E3073" s="21">
        <f t="shared" si="140"/>
        <v>7319.0699999999997</v>
      </c>
      <c r="F3073" s="22">
        <v>0</v>
      </c>
      <c r="G3073" s="21">
        <f t="shared" si="141"/>
        <v>7317.3800000000001</v>
      </c>
      <c r="H3073" s="22">
        <v>0</v>
      </c>
      <c r="I3073" s="23" t="str">
        <f t="shared" si="142"/>
        <v xml:space="preserve">COM VALOR</v>
      </c>
      <c r="J3073" s="19"/>
      <c r="L3073" s="21">
        <v>7319.0699999999997</v>
      </c>
      <c r="M3073" s="22">
        <v>1</v>
      </c>
      <c r="N3073" s="21">
        <v>7317.3800000000001</v>
      </c>
      <c r="O3073" s="22">
        <v>1</v>
      </c>
    </row>
    <row r="3074" ht="25.5">
      <c r="A3074" t="s">
        <v>3105</v>
      </c>
      <c r="B3074" s="19">
        <v>103512</v>
      </c>
      <c r="C3074" s="20" t="s">
        <v>3136</v>
      </c>
      <c r="D3074" s="19" t="s">
        <v>31</v>
      </c>
      <c r="E3074" s="21" t="str">
        <f t="shared" si="140"/>
        <v>VERIFICAR</v>
      </c>
      <c r="F3074" s="22">
        <v>0</v>
      </c>
      <c r="G3074" s="21" t="str">
        <f t="shared" si="141"/>
        <v>VERIFICAR</v>
      </c>
      <c r="H3074" s="22">
        <v>0</v>
      </c>
      <c r="I3074" s="23" t="str">
        <f t="shared" si="142"/>
        <v xml:space="preserve">COM VALOR</v>
      </c>
      <c r="J3074" s="19"/>
      <c r="L3074" s="21">
        <v>0</v>
      </c>
      <c r="M3074" s="22"/>
      <c r="N3074" s="21">
        <v>0</v>
      </c>
      <c r="O3074" s="22"/>
    </row>
    <row r="3075" ht="38.25">
      <c r="A3075" t="s">
        <v>3105</v>
      </c>
      <c r="B3075" s="19">
        <v>103522</v>
      </c>
      <c r="C3075" s="20" t="s">
        <v>3137</v>
      </c>
      <c r="D3075" s="19" t="s">
        <v>31</v>
      </c>
      <c r="E3075" s="21">
        <f t="shared" si="140"/>
        <v>7424.8699999999999</v>
      </c>
      <c r="F3075" s="22">
        <v>0</v>
      </c>
      <c r="G3075" s="21">
        <f t="shared" si="141"/>
        <v>7414.0600000000004</v>
      </c>
      <c r="H3075" s="22">
        <v>0</v>
      </c>
      <c r="I3075" s="23" t="str">
        <f t="shared" si="142"/>
        <v xml:space="preserve">COM VALOR</v>
      </c>
      <c r="J3075" s="19"/>
      <c r="L3075" s="21">
        <v>7424.8699999999999</v>
      </c>
      <c r="M3075" s="22">
        <v>0.97999999999999998</v>
      </c>
      <c r="N3075" s="21">
        <v>7414.0600000000004</v>
      </c>
      <c r="O3075" s="22">
        <v>0.97999999999999998</v>
      </c>
    </row>
    <row r="3076" ht="25.5">
      <c r="A3076" t="s">
        <v>3105</v>
      </c>
      <c r="B3076" s="19">
        <v>103508</v>
      </c>
      <c r="C3076" s="20" t="s">
        <v>3138</v>
      </c>
      <c r="D3076" s="19" t="s">
        <v>31</v>
      </c>
      <c r="E3076" s="21" t="str">
        <f t="shared" si="140"/>
        <v>VERIFICAR</v>
      </c>
      <c r="F3076" s="22">
        <v>0</v>
      </c>
      <c r="G3076" s="21" t="str">
        <f t="shared" si="141"/>
        <v>VERIFICAR</v>
      </c>
      <c r="H3076" s="22">
        <v>0</v>
      </c>
      <c r="I3076" s="23" t="str">
        <f t="shared" si="142"/>
        <v xml:space="preserve">COM VALOR</v>
      </c>
      <c r="J3076" s="19"/>
      <c r="L3076" s="21">
        <v>0</v>
      </c>
      <c r="M3076" s="22"/>
      <c r="N3076" s="21">
        <v>0</v>
      </c>
      <c r="O3076" s="22"/>
    </row>
    <row r="3077" ht="25.5">
      <c r="A3077" t="s">
        <v>3105</v>
      </c>
      <c r="B3077" s="19">
        <v>103524</v>
      </c>
      <c r="C3077" s="20" t="s">
        <v>3139</v>
      </c>
      <c r="D3077" s="19" t="s">
        <v>31</v>
      </c>
      <c r="E3077" s="21" t="str">
        <f t="shared" si="140"/>
        <v>VERIFICAR</v>
      </c>
      <c r="F3077" s="22">
        <v>0</v>
      </c>
      <c r="G3077" s="21" t="str">
        <f t="shared" si="141"/>
        <v>VERIFICAR</v>
      </c>
      <c r="H3077" s="22">
        <v>0</v>
      </c>
      <c r="I3077" s="23" t="str">
        <f t="shared" si="142"/>
        <v xml:space="preserve">COM VALOR</v>
      </c>
      <c r="J3077" s="19"/>
      <c r="L3077" s="21">
        <v>0</v>
      </c>
      <c r="M3077" s="22"/>
      <c r="N3077" s="21">
        <v>0</v>
      </c>
      <c r="O3077" s="22"/>
    </row>
    <row r="3078" ht="25.5">
      <c r="A3078" t="s">
        <v>3105</v>
      </c>
      <c r="B3078" s="19">
        <v>103526</v>
      </c>
      <c r="C3078" s="20" t="s">
        <v>3140</v>
      </c>
      <c r="D3078" s="19" t="s">
        <v>31</v>
      </c>
      <c r="E3078" s="21" t="str">
        <f t="shared" si="140"/>
        <v>VERIFICAR</v>
      </c>
      <c r="F3078" s="22"/>
      <c r="G3078" s="21" t="str">
        <f t="shared" si="141"/>
        <v>VERIFICAR</v>
      </c>
      <c r="H3078" s="22"/>
      <c r="I3078" s="23" t="str">
        <f t="shared" si="142"/>
        <v xml:space="preserve">COM VALOR</v>
      </c>
      <c r="J3078" s="19"/>
      <c r="L3078" s="21">
        <v>0</v>
      </c>
      <c r="M3078" s="22"/>
      <c r="N3078" s="21">
        <v>0</v>
      </c>
      <c r="O3078" s="22"/>
    </row>
    <row r="3079" ht="25.5">
      <c r="A3079" t="s">
        <v>3105</v>
      </c>
      <c r="B3079" s="19">
        <v>103525</v>
      </c>
      <c r="C3079" s="20" t="s">
        <v>3141</v>
      </c>
      <c r="D3079" s="19" t="s">
        <v>31</v>
      </c>
      <c r="E3079" s="21" t="str">
        <f t="shared" si="140"/>
        <v>VERIFICAR</v>
      </c>
      <c r="F3079" s="22"/>
      <c r="G3079" s="21" t="str">
        <f t="shared" si="141"/>
        <v>VERIFICAR</v>
      </c>
      <c r="H3079" s="22"/>
      <c r="I3079" s="23" t="str">
        <f t="shared" si="142"/>
        <v xml:space="preserve">COM VALOR</v>
      </c>
      <c r="J3079" s="19"/>
      <c r="L3079" s="21">
        <v>0</v>
      </c>
      <c r="M3079" s="22"/>
      <c r="N3079" s="21">
        <v>0</v>
      </c>
      <c r="O3079" s="22"/>
    </row>
    <row r="3080" ht="12.75">
      <c r="A3080" t="s">
        <v>3142</v>
      </c>
      <c r="B3080" s="19">
        <v>97062</v>
      </c>
      <c r="C3080" s="20" t="s">
        <v>3143</v>
      </c>
      <c r="D3080" s="19" t="s">
        <v>29</v>
      </c>
      <c r="E3080" s="21">
        <f t="shared" si="140"/>
        <v>6.3099999999999996</v>
      </c>
      <c r="F3080" s="22"/>
      <c r="G3080" s="21">
        <f t="shared" si="141"/>
        <v>6.1100000000000003</v>
      </c>
      <c r="H3080" s="22"/>
      <c r="I3080" s="23" t="str">
        <f t="shared" si="142"/>
        <v xml:space="preserve">COM VALOR</v>
      </c>
      <c r="J3080" s="19"/>
      <c r="L3080" s="21">
        <v>6.3099999999999996</v>
      </c>
      <c r="M3080" s="22">
        <v>0</v>
      </c>
      <c r="N3080" s="21">
        <v>6.1100000000000003</v>
      </c>
      <c r="O3080" s="22">
        <v>0</v>
      </c>
    </row>
    <row r="3081" ht="12.75">
      <c r="A3081" t="s">
        <v>3142</v>
      </c>
      <c r="B3081" s="19">
        <v>97061</v>
      </c>
      <c r="C3081" s="20" t="s">
        <v>3144</v>
      </c>
      <c r="D3081" s="19" t="s">
        <v>29</v>
      </c>
      <c r="E3081" s="21" t="str">
        <f t="shared" si="140"/>
        <v>VERIFICAR</v>
      </c>
      <c r="F3081" s="22"/>
      <c r="G3081" s="21" t="str">
        <f t="shared" si="141"/>
        <v>VERIFICAR</v>
      </c>
      <c r="H3081" s="22"/>
      <c r="I3081" s="23" t="str">
        <f t="shared" si="142"/>
        <v xml:space="preserve">COM VALOR</v>
      </c>
      <c r="J3081" s="19"/>
      <c r="L3081" s="21">
        <v>0</v>
      </c>
      <c r="M3081" s="22"/>
      <c r="N3081" s="21">
        <v>0</v>
      </c>
      <c r="O3081" s="22"/>
    </row>
    <row r="3082" ht="25.5">
      <c r="A3082" t="s">
        <v>3142</v>
      </c>
      <c r="B3082" s="19">
        <v>104988</v>
      </c>
      <c r="C3082" s="20" t="s">
        <v>3145</v>
      </c>
      <c r="D3082" s="19" t="s">
        <v>29</v>
      </c>
      <c r="E3082" s="21" t="str">
        <f t="shared" si="140"/>
        <v>VERIFICAR</v>
      </c>
      <c r="F3082" s="22">
        <v>0</v>
      </c>
      <c r="G3082" s="21" t="str">
        <f t="shared" si="141"/>
        <v>VERIFICAR</v>
      </c>
      <c r="H3082" s="22">
        <v>0</v>
      </c>
      <c r="I3082" s="23" t="str">
        <f t="shared" si="142"/>
        <v xml:space="preserve">COM VALOR</v>
      </c>
      <c r="J3082" s="19"/>
      <c r="L3082" s="21">
        <v>0</v>
      </c>
      <c r="M3082" s="22"/>
      <c r="N3082" s="21">
        <v>0</v>
      </c>
      <c r="O3082" s="22"/>
    </row>
    <row r="3083" ht="25.5">
      <c r="A3083" t="s">
        <v>3142</v>
      </c>
      <c r="B3083" s="19">
        <v>104979</v>
      </c>
      <c r="C3083" s="20" t="s">
        <v>3146</v>
      </c>
      <c r="D3083" s="19" t="s">
        <v>29</v>
      </c>
      <c r="E3083" s="21" t="str">
        <f t="shared" ref="E3083:E3146" si="143">IF(L3083=0,"VERIFICAR",L3083)</f>
        <v>VERIFICAR</v>
      </c>
      <c r="F3083" s="22">
        <v>0</v>
      </c>
      <c r="G3083" s="21" t="str">
        <f t="shared" ref="G3083:G3146" si="144">IF(N3083=0,"VERIFICAR",N3083)</f>
        <v>VERIFICAR</v>
      </c>
      <c r="H3083" s="22">
        <v>0</v>
      </c>
      <c r="I3083" s="23" t="str">
        <f t="shared" ref="I3083:I3146" si="145">IF(OR(E3083=0,G3083=0),"SEM VALOR","COM VALOR")</f>
        <v xml:space="preserve">COM VALOR</v>
      </c>
      <c r="J3083" s="19"/>
      <c r="L3083" s="21">
        <v>0</v>
      </c>
      <c r="M3083" s="22"/>
      <c r="N3083" s="21">
        <v>0</v>
      </c>
      <c r="O3083" s="22"/>
    </row>
    <row r="3084" ht="25.5">
      <c r="A3084" t="s">
        <v>3142</v>
      </c>
      <c r="B3084" s="19">
        <v>97040</v>
      </c>
      <c r="C3084" s="20" t="s">
        <v>3147</v>
      </c>
      <c r="D3084" s="19" t="s">
        <v>29</v>
      </c>
      <c r="E3084" s="21">
        <f t="shared" si="143"/>
        <v>17.350000000000001</v>
      </c>
      <c r="F3084" s="22">
        <v>0</v>
      </c>
      <c r="G3084" s="21">
        <f t="shared" si="144"/>
        <v>16.620000000000001</v>
      </c>
      <c r="H3084" s="22">
        <v>0</v>
      </c>
      <c r="I3084" s="23" t="str">
        <f t="shared" si="145"/>
        <v xml:space="preserve">COM VALOR</v>
      </c>
      <c r="J3084" s="19"/>
      <c r="L3084" s="21">
        <v>17.350000000000001</v>
      </c>
      <c r="M3084" s="22">
        <v>0</v>
      </c>
      <c r="N3084" s="21">
        <v>16.620000000000001</v>
      </c>
      <c r="O3084" s="22">
        <v>0</v>
      </c>
    </row>
    <row r="3085" ht="25.5">
      <c r="A3085" t="s">
        <v>3142</v>
      </c>
      <c r="B3085" s="19">
        <v>97041</v>
      </c>
      <c r="C3085" s="20" t="s">
        <v>3148</v>
      </c>
      <c r="D3085" s="19" t="s">
        <v>29</v>
      </c>
      <c r="E3085" s="21">
        <f t="shared" si="143"/>
        <v>126.38</v>
      </c>
      <c r="F3085" s="22">
        <v>0</v>
      </c>
      <c r="G3085" s="21">
        <f t="shared" si="144"/>
        <v>124.45999999999999</v>
      </c>
      <c r="H3085" s="22">
        <v>0</v>
      </c>
      <c r="I3085" s="23" t="str">
        <f t="shared" si="145"/>
        <v xml:space="preserve">COM VALOR</v>
      </c>
      <c r="J3085" s="19"/>
      <c r="L3085" s="21">
        <v>126.38</v>
      </c>
      <c r="M3085" s="22">
        <v>0</v>
      </c>
      <c r="N3085" s="21">
        <v>124.45999999999999</v>
      </c>
      <c r="O3085" s="22">
        <v>0</v>
      </c>
    </row>
    <row r="3086" ht="25.5">
      <c r="A3086" t="s">
        <v>3142</v>
      </c>
      <c r="B3086" s="19">
        <v>97039</v>
      </c>
      <c r="C3086" s="20" t="s">
        <v>3149</v>
      </c>
      <c r="D3086" s="19" t="s">
        <v>29</v>
      </c>
      <c r="E3086" s="21">
        <f t="shared" si="143"/>
        <v>75.609999999999999</v>
      </c>
      <c r="F3086" s="22">
        <v>0</v>
      </c>
      <c r="G3086" s="21">
        <f t="shared" si="144"/>
        <v>74.260000000000005</v>
      </c>
      <c r="H3086" s="22">
        <v>0</v>
      </c>
      <c r="I3086" s="23" t="str">
        <f t="shared" si="145"/>
        <v xml:space="preserve">COM VALOR</v>
      </c>
      <c r="J3086" s="19"/>
      <c r="L3086" s="21">
        <v>75.609999999999999</v>
      </c>
      <c r="M3086" s="22">
        <v>0</v>
      </c>
      <c r="N3086" s="21">
        <v>74.260000000000005</v>
      </c>
      <c r="O3086" s="22">
        <v>0</v>
      </c>
    </row>
    <row r="3087" ht="12.75">
      <c r="A3087" t="s">
        <v>3142</v>
      </c>
      <c r="B3087" s="19">
        <v>102655</v>
      </c>
      <c r="C3087" s="20" t="s">
        <v>3150</v>
      </c>
      <c r="D3087" s="19" t="s">
        <v>38</v>
      </c>
      <c r="E3087" s="21">
        <f t="shared" si="143"/>
        <v>0.65000000000000002</v>
      </c>
      <c r="F3087" s="22">
        <v>0</v>
      </c>
      <c r="G3087" s="21">
        <f t="shared" si="144"/>
        <v>0.63</v>
      </c>
      <c r="H3087" s="22">
        <v>0</v>
      </c>
      <c r="I3087" s="23" t="str">
        <f t="shared" si="145"/>
        <v xml:space="preserve">COM VALOR</v>
      </c>
      <c r="J3087" s="19"/>
      <c r="L3087" s="21">
        <v>0.65000000000000002</v>
      </c>
      <c r="M3087" s="22">
        <v>0</v>
      </c>
      <c r="N3087" s="21">
        <v>0.63</v>
      </c>
      <c r="O3087" s="22">
        <v>0</v>
      </c>
    </row>
    <row r="3088" ht="38.25">
      <c r="A3088" t="s">
        <v>3142</v>
      </c>
      <c r="B3088" s="19">
        <v>104987</v>
      </c>
      <c r="C3088" s="20" t="s">
        <v>3151</v>
      </c>
      <c r="D3088" s="19" t="s">
        <v>38</v>
      </c>
      <c r="E3088" s="21" t="str">
        <f t="shared" si="143"/>
        <v>VERIFICAR</v>
      </c>
      <c r="F3088" s="22">
        <v>0</v>
      </c>
      <c r="G3088" s="21" t="str">
        <f t="shared" si="144"/>
        <v>VERIFICAR</v>
      </c>
      <c r="H3088" s="22">
        <v>0</v>
      </c>
      <c r="I3088" s="23" t="str">
        <f t="shared" si="145"/>
        <v xml:space="preserve">COM VALOR</v>
      </c>
      <c r="J3088" s="19"/>
      <c r="L3088" s="21">
        <v>0</v>
      </c>
      <c r="M3088" s="22"/>
      <c r="N3088" s="21">
        <v>0</v>
      </c>
      <c r="O3088" s="22"/>
    </row>
    <row r="3089" ht="38.25">
      <c r="A3089" t="s">
        <v>3142</v>
      </c>
      <c r="B3089" s="19">
        <v>104986</v>
      </c>
      <c r="C3089" s="20" t="s">
        <v>3152</v>
      </c>
      <c r="D3089" s="19" t="s">
        <v>38</v>
      </c>
      <c r="E3089" s="21" t="str">
        <f t="shared" si="143"/>
        <v>VERIFICAR</v>
      </c>
      <c r="F3089" s="22">
        <v>0</v>
      </c>
      <c r="G3089" s="21" t="str">
        <f t="shared" si="144"/>
        <v>VERIFICAR</v>
      </c>
      <c r="H3089" s="22">
        <v>0</v>
      </c>
      <c r="I3089" s="23" t="str">
        <f t="shared" si="145"/>
        <v xml:space="preserve">COM VALOR</v>
      </c>
      <c r="J3089" s="19"/>
      <c r="L3089" s="21">
        <v>0</v>
      </c>
      <c r="M3089" s="22"/>
      <c r="N3089" s="21">
        <v>0</v>
      </c>
      <c r="O3089" s="22"/>
    </row>
    <row r="3090" ht="38.25">
      <c r="A3090" t="s">
        <v>3142</v>
      </c>
      <c r="B3090" s="19">
        <v>104984</v>
      </c>
      <c r="C3090" s="20" t="s">
        <v>3153</v>
      </c>
      <c r="D3090" s="19" t="s">
        <v>38</v>
      </c>
      <c r="E3090" s="21" t="str">
        <f t="shared" si="143"/>
        <v>VERIFICAR</v>
      </c>
      <c r="F3090" s="22">
        <v>0</v>
      </c>
      <c r="G3090" s="21" t="str">
        <f t="shared" si="144"/>
        <v>VERIFICAR</v>
      </c>
      <c r="H3090" s="22">
        <v>0</v>
      </c>
      <c r="I3090" s="23" t="str">
        <f t="shared" si="145"/>
        <v xml:space="preserve">COM VALOR</v>
      </c>
      <c r="J3090" s="19"/>
      <c r="L3090" s="21">
        <v>0</v>
      </c>
      <c r="M3090" s="22"/>
      <c r="N3090" s="21">
        <v>0</v>
      </c>
      <c r="O3090" s="22"/>
    </row>
    <row r="3091" ht="38.25">
      <c r="A3091" t="s">
        <v>3142</v>
      </c>
      <c r="B3091" s="19">
        <v>104985</v>
      </c>
      <c r="C3091" s="20" t="s">
        <v>3154</v>
      </c>
      <c r="D3091" s="19" t="s">
        <v>38</v>
      </c>
      <c r="E3091" s="21" t="str">
        <f t="shared" si="143"/>
        <v>VERIFICAR</v>
      </c>
      <c r="F3091" s="22">
        <v>0</v>
      </c>
      <c r="G3091" s="21" t="str">
        <f t="shared" si="144"/>
        <v>VERIFICAR</v>
      </c>
      <c r="H3091" s="22">
        <v>0</v>
      </c>
      <c r="I3091" s="23" t="str">
        <f t="shared" si="145"/>
        <v xml:space="preserve">COM VALOR</v>
      </c>
      <c r="J3091" s="19"/>
      <c r="L3091" s="21">
        <v>0</v>
      </c>
      <c r="M3091" s="22"/>
      <c r="N3091" s="21">
        <v>0</v>
      </c>
      <c r="O3091" s="22"/>
    </row>
    <row r="3092" ht="51">
      <c r="A3092" t="s">
        <v>3142</v>
      </c>
      <c r="B3092" s="19">
        <v>97026</v>
      </c>
      <c r="C3092" s="20" t="s">
        <v>3155</v>
      </c>
      <c r="D3092" s="19" t="s">
        <v>38</v>
      </c>
      <c r="E3092" s="21" t="str">
        <f t="shared" si="143"/>
        <v>VERIFICAR</v>
      </c>
      <c r="F3092" s="22">
        <v>0</v>
      </c>
      <c r="G3092" s="21" t="str">
        <f t="shared" si="144"/>
        <v>VERIFICAR</v>
      </c>
      <c r="H3092" s="22">
        <v>0</v>
      </c>
      <c r="I3092" s="23" t="str">
        <f t="shared" si="145"/>
        <v xml:space="preserve">COM VALOR</v>
      </c>
      <c r="J3092" s="19"/>
      <c r="L3092" s="21">
        <v>0</v>
      </c>
      <c r="M3092" s="22"/>
      <c r="N3092" s="21">
        <v>0</v>
      </c>
      <c r="O3092" s="22"/>
    </row>
    <row r="3093" ht="51">
      <c r="A3093" t="s">
        <v>3142</v>
      </c>
      <c r="B3093" s="19">
        <v>97025</v>
      </c>
      <c r="C3093" s="20" t="s">
        <v>3156</v>
      </c>
      <c r="D3093" s="19" t="s">
        <v>38</v>
      </c>
      <c r="E3093" s="21" t="str">
        <f t="shared" si="143"/>
        <v>VERIFICAR</v>
      </c>
      <c r="F3093" s="22">
        <v>0</v>
      </c>
      <c r="G3093" s="21" t="str">
        <f t="shared" si="144"/>
        <v>VERIFICAR</v>
      </c>
      <c r="H3093" s="22">
        <v>0</v>
      </c>
      <c r="I3093" s="23" t="str">
        <f t="shared" si="145"/>
        <v xml:space="preserve">COM VALOR</v>
      </c>
      <c r="J3093" s="19"/>
      <c r="L3093" s="21">
        <v>0</v>
      </c>
      <c r="M3093" s="22"/>
      <c r="N3093" s="21">
        <v>0</v>
      </c>
      <c r="O3093" s="22"/>
    </row>
    <row r="3094" ht="51">
      <c r="A3094" t="s">
        <v>3142</v>
      </c>
      <c r="B3094" s="19">
        <v>97032</v>
      </c>
      <c r="C3094" s="20" t="s">
        <v>3157</v>
      </c>
      <c r="D3094" s="19" t="s">
        <v>38</v>
      </c>
      <c r="E3094" s="21">
        <f t="shared" si="143"/>
        <v>58.450000000000003</v>
      </c>
      <c r="F3094" s="22">
        <v>0</v>
      </c>
      <c r="G3094" s="21">
        <f t="shared" si="144"/>
        <v>57.469999999999999</v>
      </c>
      <c r="H3094" s="22">
        <v>0</v>
      </c>
      <c r="I3094" s="23" t="str">
        <f t="shared" si="145"/>
        <v xml:space="preserve">COM VALOR</v>
      </c>
      <c r="J3094" s="19"/>
      <c r="L3094" s="21">
        <v>58.450000000000003</v>
      </c>
      <c r="M3094" s="22">
        <v>0</v>
      </c>
      <c r="N3094" s="21">
        <v>57.469999999999999</v>
      </c>
      <c r="O3094" s="22">
        <v>0</v>
      </c>
    </row>
    <row r="3095" ht="51">
      <c r="A3095" t="s">
        <v>3142</v>
      </c>
      <c r="B3095" s="19">
        <v>97031</v>
      </c>
      <c r="C3095" s="20" t="s">
        <v>3158</v>
      </c>
      <c r="D3095" s="19" t="s">
        <v>38</v>
      </c>
      <c r="E3095" s="21">
        <f t="shared" si="143"/>
        <v>96.109999999999999</v>
      </c>
      <c r="F3095" s="22">
        <v>0</v>
      </c>
      <c r="G3095" s="21">
        <f t="shared" si="144"/>
        <v>95.129999999999995</v>
      </c>
      <c r="H3095" s="22">
        <v>0</v>
      </c>
      <c r="I3095" s="23" t="str">
        <f t="shared" si="145"/>
        <v xml:space="preserve">COM VALOR</v>
      </c>
      <c r="J3095" s="19"/>
      <c r="L3095" s="21">
        <v>96.109999999999999</v>
      </c>
      <c r="M3095" s="22">
        <v>0</v>
      </c>
      <c r="N3095" s="21">
        <v>95.129999999999995</v>
      </c>
      <c r="O3095" s="22">
        <v>0</v>
      </c>
    </row>
    <row r="3096" ht="51">
      <c r="A3096" t="s">
        <v>3142</v>
      </c>
      <c r="B3096" s="19">
        <v>97036</v>
      </c>
      <c r="C3096" s="20" t="s">
        <v>3159</v>
      </c>
      <c r="D3096" s="19" t="s">
        <v>38</v>
      </c>
      <c r="E3096" s="21" t="str">
        <f t="shared" si="143"/>
        <v>VERIFICAR</v>
      </c>
      <c r="F3096" s="22">
        <v>0</v>
      </c>
      <c r="G3096" s="21" t="str">
        <f t="shared" si="144"/>
        <v>VERIFICAR</v>
      </c>
      <c r="H3096" s="22">
        <v>0</v>
      </c>
      <c r="I3096" s="23" t="str">
        <f t="shared" si="145"/>
        <v xml:space="preserve">COM VALOR</v>
      </c>
      <c r="J3096" s="19"/>
      <c r="L3096" s="21">
        <v>0</v>
      </c>
      <c r="M3096" s="22"/>
      <c r="N3096" s="21">
        <v>0</v>
      </c>
      <c r="O3096" s="22"/>
    </row>
    <row r="3097" ht="51">
      <c r="A3097" t="s">
        <v>3142</v>
      </c>
      <c r="B3097" s="19">
        <v>97035</v>
      </c>
      <c r="C3097" s="20" t="s">
        <v>3160</v>
      </c>
      <c r="D3097" s="19" t="s">
        <v>38</v>
      </c>
      <c r="E3097" s="21" t="str">
        <f t="shared" si="143"/>
        <v>VERIFICAR</v>
      </c>
      <c r="F3097" s="22">
        <v>0</v>
      </c>
      <c r="G3097" s="21" t="str">
        <f t="shared" si="144"/>
        <v>VERIFICAR</v>
      </c>
      <c r="H3097" s="22">
        <v>0</v>
      </c>
      <c r="I3097" s="23" t="str">
        <f t="shared" si="145"/>
        <v xml:space="preserve">COM VALOR</v>
      </c>
      <c r="J3097" s="19"/>
      <c r="L3097" s="21">
        <v>0</v>
      </c>
      <c r="M3097" s="22"/>
      <c r="N3097" s="21">
        <v>0</v>
      </c>
      <c r="O3097" s="22"/>
    </row>
    <row r="3098" ht="51">
      <c r="A3098" t="s">
        <v>3142</v>
      </c>
      <c r="B3098" s="19">
        <v>97034</v>
      </c>
      <c r="C3098" s="20" t="s">
        <v>3161</v>
      </c>
      <c r="D3098" s="19" t="s">
        <v>38</v>
      </c>
      <c r="E3098" s="21">
        <f t="shared" si="143"/>
        <v>60.469999999999999</v>
      </c>
      <c r="F3098" s="22">
        <v>0</v>
      </c>
      <c r="G3098" s="21">
        <f t="shared" si="144"/>
        <v>59.109999999999999</v>
      </c>
      <c r="H3098" s="22">
        <v>0</v>
      </c>
      <c r="I3098" s="23" t="str">
        <f t="shared" si="145"/>
        <v xml:space="preserve">COM VALOR</v>
      </c>
      <c r="J3098" s="19"/>
      <c r="L3098" s="21">
        <v>60.469999999999999</v>
      </c>
      <c r="M3098" s="22">
        <v>0</v>
      </c>
      <c r="N3098" s="21">
        <v>59.109999999999999</v>
      </c>
      <c r="O3098" s="22">
        <v>0</v>
      </c>
    </row>
    <row r="3099" ht="51">
      <c r="A3099" t="s">
        <v>3142</v>
      </c>
      <c r="B3099" s="19">
        <v>97033</v>
      </c>
      <c r="C3099" s="20" t="s">
        <v>3162</v>
      </c>
      <c r="D3099" s="19" t="s">
        <v>38</v>
      </c>
      <c r="E3099" s="21">
        <f t="shared" si="143"/>
        <v>94.799999999999997</v>
      </c>
      <c r="F3099" s="22">
        <v>0</v>
      </c>
      <c r="G3099" s="21">
        <f t="shared" si="144"/>
        <v>93.439999999999998</v>
      </c>
      <c r="H3099" s="22">
        <v>0</v>
      </c>
      <c r="I3099" s="23" t="str">
        <f t="shared" si="145"/>
        <v xml:space="preserve">COM VALOR</v>
      </c>
      <c r="J3099" s="19"/>
      <c r="L3099" s="21">
        <v>94.799999999999997</v>
      </c>
      <c r="M3099" s="22">
        <v>0</v>
      </c>
      <c r="N3099" s="21">
        <v>93.439999999999998</v>
      </c>
      <c r="O3099" s="22">
        <v>0</v>
      </c>
    </row>
    <row r="3100" ht="51">
      <c r="A3100" t="s">
        <v>3142</v>
      </c>
      <c r="B3100" s="19">
        <v>97030</v>
      </c>
      <c r="C3100" s="20" t="s">
        <v>3163</v>
      </c>
      <c r="D3100" s="19" t="s">
        <v>38</v>
      </c>
      <c r="E3100" s="21" t="str">
        <f t="shared" si="143"/>
        <v>VERIFICAR</v>
      </c>
      <c r="F3100" s="22">
        <v>0</v>
      </c>
      <c r="G3100" s="21" t="str">
        <f t="shared" si="144"/>
        <v>VERIFICAR</v>
      </c>
      <c r="H3100" s="22">
        <v>0</v>
      </c>
      <c r="I3100" s="23" t="str">
        <f t="shared" si="145"/>
        <v xml:space="preserve">COM VALOR</v>
      </c>
      <c r="J3100" s="19"/>
      <c r="L3100" s="21">
        <v>0</v>
      </c>
      <c r="M3100" s="22"/>
      <c r="N3100" s="21">
        <v>0</v>
      </c>
      <c r="O3100" s="22"/>
    </row>
    <row r="3101" ht="51">
      <c r="A3101" t="s">
        <v>3142</v>
      </c>
      <c r="B3101" s="19">
        <v>97029</v>
      </c>
      <c r="C3101" s="20" t="s">
        <v>3164</v>
      </c>
      <c r="D3101" s="19" t="s">
        <v>38</v>
      </c>
      <c r="E3101" s="21" t="str">
        <f t="shared" si="143"/>
        <v>VERIFICAR</v>
      </c>
      <c r="F3101" s="22">
        <v>0</v>
      </c>
      <c r="G3101" s="21" t="str">
        <f t="shared" si="144"/>
        <v>VERIFICAR</v>
      </c>
      <c r="H3101" s="22">
        <v>0</v>
      </c>
      <c r="I3101" s="23" t="str">
        <f t="shared" si="145"/>
        <v xml:space="preserve">COM VALOR</v>
      </c>
      <c r="J3101" s="19"/>
      <c r="L3101" s="21">
        <v>0</v>
      </c>
      <c r="M3101" s="22"/>
      <c r="N3101" s="21">
        <v>0</v>
      </c>
      <c r="O3101" s="22"/>
    </row>
    <row r="3102" ht="51">
      <c r="A3102" t="s">
        <v>3142</v>
      </c>
      <c r="B3102" s="19">
        <v>97028</v>
      </c>
      <c r="C3102" s="20" t="s">
        <v>3165</v>
      </c>
      <c r="D3102" s="19" t="s">
        <v>38</v>
      </c>
      <c r="E3102" s="21" t="str">
        <f t="shared" si="143"/>
        <v>VERIFICAR</v>
      </c>
      <c r="F3102" s="22">
        <v>0</v>
      </c>
      <c r="G3102" s="21" t="str">
        <f t="shared" si="144"/>
        <v>VERIFICAR</v>
      </c>
      <c r="H3102" s="22">
        <v>0</v>
      </c>
      <c r="I3102" s="23" t="str">
        <f t="shared" si="145"/>
        <v xml:space="preserve">COM VALOR</v>
      </c>
      <c r="J3102" s="19"/>
      <c r="L3102" s="21">
        <v>0</v>
      </c>
      <c r="M3102" s="22"/>
      <c r="N3102" s="21">
        <v>0</v>
      </c>
      <c r="O3102" s="22"/>
    </row>
    <row r="3103" ht="51">
      <c r="A3103" t="s">
        <v>3142</v>
      </c>
      <c r="B3103" s="19">
        <v>97027</v>
      </c>
      <c r="C3103" s="20" t="s">
        <v>3166</v>
      </c>
      <c r="D3103" s="19" t="s">
        <v>38</v>
      </c>
      <c r="E3103" s="21" t="str">
        <f t="shared" si="143"/>
        <v>VERIFICAR</v>
      </c>
      <c r="F3103" s="22">
        <v>0</v>
      </c>
      <c r="G3103" s="21" t="str">
        <f t="shared" si="144"/>
        <v>VERIFICAR</v>
      </c>
      <c r="H3103" s="22">
        <v>0</v>
      </c>
      <c r="I3103" s="23" t="str">
        <f t="shared" si="145"/>
        <v xml:space="preserve">COM VALOR</v>
      </c>
      <c r="J3103" s="19"/>
      <c r="L3103" s="21">
        <v>0</v>
      </c>
      <c r="M3103" s="22"/>
      <c r="N3103" s="21">
        <v>0</v>
      </c>
      <c r="O3103" s="22"/>
    </row>
    <row r="3104" ht="51">
      <c r="A3104" t="s">
        <v>3142</v>
      </c>
      <c r="B3104" s="19">
        <v>97038</v>
      </c>
      <c r="C3104" s="20" t="s">
        <v>3167</v>
      </c>
      <c r="D3104" s="19" t="s">
        <v>38</v>
      </c>
      <c r="E3104" s="21" t="str">
        <f t="shared" si="143"/>
        <v>VERIFICAR</v>
      </c>
      <c r="F3104" s="22">
        <v>0</v>
      </c>
      <c r="G3104" s="21" t="str">
        <f t="shared" si="144"/>
        <v>VERIFICAR</v>
      </c>
      <c r="H3104" s="22">
        <v>0</v>
      </c>
      <c r="I3104" s="23" t="str">
        <f t="shared" si="145"/>
        <v xml:space="preserve">COM VALOR</v>
      </c>
      <c r="J3104" s="19"/>
      <c r="L3104" s="21">
        <v>0</v>
      </c>
      <c r="M3104" s="22"/>
      <c r="N3104" s="21">
        <v>0</v>
      </c>
      <c r="O3104" s="22"/>
    </row>
    <row r="3105" ht="51">
      <c r="A3105" t="s">
        <v>3142</v>
      </c>
      <c r="B3105" s="19">
        <v>97037</v>
      </c>
      <c r="C3105" s="20" t="s">
        <v>3168</v>
      </c>
      <c r="D3105" s="19" t="s">
        <v>38</v>
      </c>
      <c r="E3105" s="21" t="str">
        <f t="shared" si="143"/>
        <v>VERIFICAR</v>
      </c>
      <c r="F3105" s="22">
        <v>0</v>
      </c>
      <c r="G3105" s="21" t="str">
        <f t="shared" si="144"/>
        <v>VERIFICAR</v>
      </c>
      <c r="H3105" s="22">
        <v>0</v>
      </c>
      <c r="I3105" s="23" t="str">
        <f t="shared" si="145"/>
        <v xml:space="preserve">COM VALOR</v>
      </c>
      <c r="J3105" s="19"/>
      <c r="L3105" s="21">
        <v>0</v>
      </c>
      <c r="M3105" s="22"/>
      <c r="N3105" s="21">
        <v>0</v>
      </c>
      <c r="O3105" s="22"/>
    </row>
    <row r="3106" ht="38.25">
      <c r="A3106" t="s">
        <v>3142</v>
      </c>
      <c r="B3106" s="19">
        <v>97014</v>
      </c>
      <c r="C3106" s="20" t="s">
        <v>3169</v>
      </c>
      <c r="D3106" s="19" t="s">
        <v>38</v>
      </c>
      <c r="E3106" s="21">
        <f t="shared" si="143"/>
        <v>64.519999999999996</v>
      </c>
      <c r="F3106" s="22">
        <v>0</v>
      </c>
      <c r="G3106" s="21">
        <f t="shared" si="144"/>
        <v>63.579999999999998</v>
      </c>
      <c r="H3106" s="22">
        <v>0</v>
      </c>
      <c r="I3106" s="23" t="str">
        <f t="shared" si="145"/>
        <v xml:space="preserve">COM VALOR</v>
      </c>
      <c r="J3106" s="19"/>
      <c r="L3106" s="21">
        <v>64.519999999999996</v>
      </c>
      <c r="M3106" s="22">
        <v>0</v>
      </c>
      <c r="N3106" s="21">
        <v>63.579999999999998</v>
      </c>
      <c r="O3106" s="22">
        <v>0</v>
      </c>
    </row>
    <row r="3107" ht="51">
      <c r="A3107" t="s">
        <v>3142</v>
      </c>
      <c r="B3107" s="19">
        <v>97015</v>
      </c>
      <c r="C3107" s="20" t="s">
        <v>3170</v>
      </c>
      <c r="D3107" s="19" t="s">
        <v>38</v>
      </c>
      <c r="E3107" s="21">
        <f t="shared" si="143"/>
        <v>53.350000000000001</v>
      </c>
      <c r="F3107" s="22">
        <v>0</v>
      </c>
      <c r="G3107" s="21">
        <f t="shared" si="144"/>
        <v>52.409999999999997</v>
      </c>
      <c r="H3107" s="22">
        <v>0</v>
      </c>
      <c r="I3107" s="23" t="str">
        <f t="shared" si="145"/>
        <v xml:space="preserve">COM VALOR</v>
      </c>
      <c r="J3107" s="19"/>
      <c r="L3107" s="21">
        <v>53.350000000000001</v>
      </c>
      <c r="M3107" s="22">
        <v>0</v>
      </c>
      <c r="N3107" s="21">
        <v>52.409999999999997</v>
      </c>
      <c r="O3107" s="22">
        <v>0</v>
      </c>
    </row>
    <row r="3108" ht="38.25">
      <c r="A3108" t="s">
        <v>3142</v>
      </c>
      <c r="B3108" s="19">
        <v>97013</v>
      </c>
      <c r="C3108" s="20" t="s">
        <v>3171</v>
      </c>
      <c r="D3108" s="19" t="s">
        <v>38</v>
      </c>
      <c r="E3108" s="21">
        <f t="shared" si="143"/>
        <v>86.909999999999997</v>
      </c>
      <c r="F3108" s="22">
        <v>0</v>
      </c>
      <c r="G3108" s="21">
        <f t="shared" si="144"/>
        <v>85.969999999999999</v>
      </c>
      <c r="H3108" s="22">
        <v>0</v>
      </c>
      <c r="I3108" s="23" t="str">
        <f t="shared" si="145"/>
        <v xml:space="preserve">COM VALOR</v>
      </c>
      <c r="J3108" s="19"/>
      <c r="L3108" s="21">
        <v>86.909999999999997</v>
      </c>
      <c r="M3108" s="22">
        <v>0</v>
      </c>
      <c r="N3108" s="21">
        <v>85.969999999999999</v>
      </c>
      <c r="O3108" s="22">
        <v>0</v>
      </c>
    </row>
    <row r="3109" ht="38.25">
      <c r="A3109" t="s">
        <v>3142</v>
      </c>
      <c r="B3109" s="19">
        <v>97017</v>
      </c>
      <c r="C3109" s="20" t="s">
        <v>3172</v>
      </c>
      <c r="D3109" s="19" t="s">
        <v>38</v>
      </c>
      <c r="E3109" s="21">
        <f t="shared" si="143"/>
        <v>49.369999999999997</v>
      </c>
      <c r="F3109" s="22">
        <v>0</v>
      </c>
      <c r="G3109" s="21">
        <f t="shared" si="144"/>
        <v>48.619999999999997</v>
      </c>
      <c r="H3109" s="22">
        <v>0</v>
      </c>
      <c r="I3109" s="23" t="str">
        <f t="shared" si="145"/>
        <v xml:space="preserve">COM VALOR</v>
      </c>
      <c r="J3109" s="19"/>
      <c r="L3109" s="21">
        <v>49.369999999999997</v>
      </c>
      <c r="M3109" s="22">
        <v>0</v>
      </c>
      <c r="N3109" s="21">
        <v>48.619999999999997</v>
      </c>
      <c r="O3109" s="22">
        <v>0</v>
      </c>
    </row>
    <row r="3110" ht="38.25">
      <c r="A3110" t="s">
        <v>3142</v>
      </c>
      <c r="B3110" s="19">
        <v>97018</v>
      </c>
      <c r="C3110" s="20" t="s">
        <v>3173</v>
      </c>
      <c r="D3110" s="19" t="s">
        <v>38</v>
      </c>
      <c r="E3110" s="21">
        <f t="shared" si="143"/>
        <v>40.840000000000003</v>
      </c>
      <c r="F3110" s="22">
        <v>0</v>
      </c>
      <c r="G3110" s="21">
        <f t="shared" si="144"/>
        <v>40.090000000000003</v>
      </c>
      <c r="H3110" s="22">
        <v>0</v>
      </c>
      <c r="I3110" s="23" t="str">
        <f t="shared" si="145"/>
        <v xml:space="preserve">COM VALOR</v>
      </c>
      <c r="J3110" s="19"/>
      <c r="L3110" s="21">
        <v>40.840000000000003</v>
      </c>
      <c r="M3110" s="22">
        <v>0</v>
      </c>
      <c r="N3110" s="21">
        <v>40.090000000000003</v>
      </c>
      <c r="O3110" s="22">
        <v>0</v>
      </c>
    </row>
    <row r="3111" ht="38.25">
      <c r="A3111" t="s">
        <v>3142</v>
      </c>
      <c r="B3111" s="19">
        <v>97016</v>
      </c>
      <c r="C3111" s="20" t="s">
        <v>3174</v>
      </c>
      <c r="D3111" s="19" t="s">
        <v>38</v>
      </c>
      <c r="E3111" s="21">
        <f t="shared" si="143"/>
        <v>66.569999999999993</v>
      </c>
      <c r="F3111" s="22">
        <v>0</v>
      </c>
      <c r="G3111" s="21">
        <f t="shared" si="144"/>
        <v>65.819999999999993</v>
      </c>
      <c r="H3111" s="22">
        <v>0</v>
      </c>
      <c r="I3111" s="23" t="str">
        <f t="shared" si="145"/>
        <v xml:space="preserve">COM VALOR</v>
      </c>
      <c r="J3111" s="19"/>
      <c r="L3111" s="21">
        <v>66.569999999999993</v>
      </c>
      <c r="M3111" s="22">
        <v>0</v>
      </c>
      <c r="N3111" s="21">
        <v>65.819999999999993</v>
      </c>
      <c r="O3111" s="22">
        <v>0</v>
      </c>
    </row>
    <row r="3112" ht="38.25">
      <c r="A3112" t="s">
        <v>3142</v>
      </c>
      <c r="B3112" s="19">
        <v>97024</v>
      </c>
      <c r="C3112" s="20" t="s">
        <v>3175</v>
      </c>
      <c r="D3112" s="19" t="s">
        <v>38</v>
      </c>
      <c r="E3112" s="21" t="str">
        <f t="shared" si="143"/>
        <v>VERIFICAR</v>
      </c>
      <c r="F3112" s="22">
        <v>0</v>
      </c>
      <c r="G3112" s="21" t="str">
        <f t="shared" si="144"/>
        <v>VERIFICAR</v>
      </c>
      <c r="H3112" s="22">
        <v>0</v>
      </c>
      <c r="I3112" s="23" t="str">
        <f t="shared" si="145"/>
        <v xml:space="preserve">COM VALOR</v>
      </c>
      <c r="J3112" s="19"/>
      <c r="L3112" s="21">
        <v>0</v>
      </c>
      <c r="M3112" s="22"/>
      <c r="N3112" s="21">
        <v>0</v>
      </c>
      <c r="O3112" s="22"/>
    </row>
    <row r="3113" ht="51">
      <c r="A3113" t="s">
        <v>3142</v>
      </c>
      <c r="B3113" s="19">
        <v>97023</v>
      </c>
      <c r="C3113" s="20" t="s">
        <v>3176</v>
      </c>
      <c r="D3113" s="19" t="s">
        <v>38</v>
      </c>
      <c r="E3113" s="21" t="str">
        <f t="shared" si="143"/>
        <v>VERIFICAR</v>
      </c>
      <c r="F3113" s="22">
        <v>0</v>
      </c>
      <c r="G3113" s="21" t="str">
        <f t="shared" si="144"/>
        <v>VERIFICAR</v>
      </c>
      <c r="H3113" s="22">
        <v>0</v>
      </c>
      <c r="I3113" s="23" t="str">
        <f t="shared" si="145"/>
        <v xml:space="preserve">COM VALOR</v>
      </c>
      <c r="J3113" s="19"/>
      <c r="L3113" s="21">
        <v>0</v>
      </c>
      <c r="M3113" s="22"/>
      <c r="N3113" s="21">
        <v>0</v>
      </c>
      <c r="O3113" s="22"/>
    </row>
    <row r="3114" ht="38.25">
      <c r="A3114" t="s">
        <v>3142</v>
      </c>
      <c r="B3114" s="19">
        <v>105804</v>
      </c>
      <c r="C3114" s="20" t="s">
        <v>3177</v>
      </c>
      <c r="D3114" s="19" t="s">
        <v>38</v>
      </c>
      <c r="E3114" s="21" t="str">
        <f t="shared" si="143"/>
        <v>VERIFICAR</v>
      </c>
      <c r="F3114" s="22">
        <v>0</v>
      </c>
      <c r="G3114" s="21" t="str">
        <f t="shared" si="144"/>
        <v>VERIFICAR</v>
      </c>
      <c r="H3114" s="22">
        <v>0</v>
      </c>
      <c r="I3114" s="23" t="str">
        <f t="shared" si="145"/>
        <v xml:space="preserve">COM VALOR</v>
      </c>
      <c r="J3114" s="19"/>
      <c r="L3114" s="21">
        <v>0</v>
      </c>
      <c r="M3114" s="22"/>
      <c r="N3114" s="21">
        <v>0</v>
      </c>
      <c r="O3114" s="22"/>
    </row>
    <row r="3115" ht="51">
      <c r="A3115" t="s">
        <v>3142</v>
      </c>
      <c r="B3115" s="19">
        <v>104990</v>
      </c>
      <c r="C3115" s="20" t="s">
        <v>3178</v>
      </c>
      <c r="D3115" s="19" t="s">
        <v>38</v>
      </c>
      <c r="E3115" s="21">
        <f t="shared" si="143"/>
        <v>11.640000000000001</v>
      </c>
      <c r="F3115" s="22">
        <v>0</v>
      </c>
      <c r="G3115" s="21">
        <f t="shared" si="144"/>
        <v>11.33</v>
      </c>
      <c r="H3115" s="22">
        <v>0</v>
      </c>
      <c r="I3115" s="23" t="str">
        <f t="shared" si="145"/>
        <v xml:space="preserve">COM VALOR</v>
      </c>
      <c r="J3115" s="19"/>
      <c r="L3115" s="21">
        <v>11.640000000000001</v>
      </c>
      <c r="M3115" s="22">
        <v>0</v>
      </c>
      <c r="N3115" s="21">
        <v>11.33</v>
      </c>
      <c r="O3115" s="22">
        <v>0</v>
      </c>
    </row>
    <row r="3116" ht="25.5">
      <c r="A3116" t="s">
        <v>3142</v>
      </c>
      <c r="B3116" s="19">
        <v>97052</v>
      </c>
      <c r="C3116" s="20" t="s">
        <v>3179</v>
      </c>
      <c r="D3116" s="19" t="s">
        <v>31</v>
      </c>
      <c r="E3116" s="21" t="str">
        <f t="shared" si="143"/>
        <v>VERIFICAR</v>
      </c>
      <c r="F3116" s="22">
        <v>0</v>
      </c>
      <c r="G3116" s="21" t="str">
        <f t="shared" si="144"/>
        <v>VERIFICAR</v>
      </c>
      <c r="H3116" s="22">
        <v>0</v>
      </c>
      <c r="I3116" s="23" t="str">
        <f t="shared" si="145"/>
        <v xml:space="preserve">COM VALOR</v>
      </c>
      <c r="J3116" s="19"/>
      <c r="L3116" s="21">
        <v>0</v>
      </c>
      <c r="M3116" s="22"/>
      <c r="N3116" s="21">
        <v>0</v>
      </c>
      <c r="O3116" s="22"/>
    </row>
    <row r="3117" ht="12.75">
      <c r="A3117" t="s">
        <v>3142</v>
      </c>
      <c r="B3117" s="19">
        <v>97054</v>
      </c>
      <c r="C3117" s="20" t="s">
        <v>3180</v>
      </c>
      <c r="D3117" s="19" t="s">
        <v>31</v>
      </c>
      <c r="E3117" s="21">
        <f t="shared" si="143"/>
        <v>29.25</v>
      </c>
      <c r="F3117" s="22">
        <v>0</v>
      </c>
      <c r="G3117" s="21">
        <f t="shared" si="144"/>
        <v>28.629999999999999</v>
      </c>
      <c r="H3117" s="22">
        <v>0</v>
      </c>
      <c r="I3117" s="23" t="str">
        <f t="shared" si="145"/>
        <v xml:space="preserve">COM VALOR</v>
      </c>
      <c r="J3117" s="19"/>
      <c r="L3117" s="21">
        <v>29.25</v>
      </c>
      <c r="M3117" s="22">
        <v>0</v>
      </c>
      <c r="N3117" s="21">
        <v>28.629999999999999</v>
      </c>
      <c r="O3117" s="22">
        <v>0</v>
      </c>
    </row>
    <row r="3118" ht="25.5">
      <c r="A3118" t="s">
        <v>3142</v>
      </c>
      <c r="B3118" s="19">
        <v>104981</v>
      </c>
      <c r="C3118" s="20" t="s">
        <v>3181</v>
      </c>
      <c r="D3118" s="19" t="s">
        <v>38</v>
      </c>
      <c r="E3118" s="21" t="str">
        <f t="shared" si="143"/>
        <v>VERIFICAR</v>
      </c>
      <c r="F3118" s="22">
        <v>0</v>
      </c>
      <c r="G3118" s="21" t="str">
        <f t="shared" si="144"/>
        <v>VERIFICAR</v>
      </c>
      <c r="H3118" s="22">
        <v>0</v>
      </c>
      <c r="I3118" s="23" t="str">
        <f t="shared" si="145"/>
        <v xml:space="preserve">COM VALOR</v>
      </c>
      <c r="J3118" s="19"/>
      <c r="L3118" s="21">
        <v>0</v>
      </c>
      <c r="M3118" s="22"/>
      <c r="N3118" s="21">
        <v>0</v>
      </c>
      <c r="O3118" s="22"/>
    </row>
    <row r="3119" ht="25.5">
      <c r="A3119" t="s">
        <v>3142</v>
      </c>
      <c r="B3119" s="19">
        <v>104980</v>
      </c>
      <c r="C3119" s="20" t="s">
        <v>3182</v>
      </c>
      <c r="D3119" s="19" t="s">
        <v>38</v>
      </c>
      <c r="E3119" s="21" t="str">
        <f t="shared" si="143"/>
        <v>VERIFICAR</v>
      </c>
      <c r="F3119" s="22">
        <v>0</v>
      </c>
      <c r="G3119" s="21" t="str">
        <f t="shared" si="144"/>
        <v>VERIFICAR</v>
      </c>
      <c r="H3119" s="22">
        <v>0</v>
      </c>
      <c r="I3119" s="23" t="str">
        <f t="shared" si="145"/>
        <v xml:space="preserve">COM VALOR</v>
      </c>
      <c r="J3119" s="19"/>
      <c r="L3119" s="21">
        <v>0</v>
      </c>
      <c r="M3119" s="22"/>
      <c r="N3119" s="21">
        <v>0</v>
      </c>
      <c r="O3119" s="22"/>
    </row>
    <row r="3120" ht="25.5">
      <c r="A3120" t="s">
        <v>3142</v>
      </c>
      <c r="B3120" s="19">
        <v>97042</v>
      </c>
      <c r="C3120" s="20" t="s">
        <v>3183</v>
      </c>
      <c r="D3120" s="19" t="s">
        <v>38</v>
      </c>
      <c r="E3120" s="21" t="str">
        <f t="shared" si="143"/>
        <v>VERIFICAR</v>
      </c>
      <c r="F3120" s="22">
        <v>0</v>
      </c>
      <c r="G3120" s="21" t="str">
        <f t="shared" si="144"/>
        <v>VERIFICAR</v>
      </c>
      <c r="H3120" s="22">
        <v>0</v>
      </c>
      <c r="I3120" s="23" t="str">
        <f t="shared" si="145"/>
        <v xml:space="preserve">COM VALOR</v>
      </c>
      <c r="J3120" s="19"/>
      <c r="L3120" s="21">
        <v>0</v>
      </c>
      <c r="M3120" s="22"/>
      <c r="N3120" s="21">
        <v>0</v>
      </c>
      <c r="O3120" s="22"/>
    </row>
    <row r="3121" ht="38.25">
      <c r="A3121" t="s">
        <v>3142</v>
      </c>
      <c r="B3121" s="19">
        <v>97045</v>
      </c>
      <c r="C3121" s="20" t="s">
        <v>3184</v>
      </c>
      <c r="D3121" s="19" t="s">
        <v>38</v>
      </c>
      <c r="E3121" s="21" t="str">
        <f t="shared" si="143"/>
        <v>VERIFICAR</v>
      </c>
      <c r="F3121" s="22">
        <v>0</v>
      </c>
      <c r="G3121" s="21" t="str">
        <f t="shared" si="144"/>
        <v>VERIFICAR</v>
      </c>
      <c r="H3121" s="22">
        <v>0</v>
      </c>
      <c r="I3121" s="23" t="str">
        <f t="shared" si="145"/>
        <v xml:space="preserve">COM VALOR</v>
      </c>
      <c r="J3121" s="19"/>
      <c r="L3121" s="21">
        <v>0</v>
      </c>
      <c r="M3121" s="22"/>
      <c r="N3121" s="21">
        <v>0</v>
      </c>
      <c r="O3121" s="22"/>
    </row>
    <row r="3122" ht="38.25">
      <c r="A3122" t="s">
        <v>3142</v>
      </c>
      <c r="B3122" s="19">
        <v>97044</v>
      </c>
      <c r="C3122" s="20" t="s">
        <v>3185</v>
      </c>
      <c r="D3122" s="19" t="s">
        <v>38</v>
      </c>
      <c r="E3122" s="21" t="str">
        <f t="shared" si="143"/>
        <v>VERIFICAR</v>
      </c>
      <c r="F3122" s="22">
        <v>0</v>
      </c>
      <c r="G3122" s="21" t="str">
        <f t="shared" si="144"/>
        <v>VERIFICAR</v>
      </c>
      <c r="H3122" s="22">
        <v>0</v>
      </c>
      <c r="I3122" s="23" t="str">
        <f t="shared" si="145"/>
        <v xml:space="preserve">COM VALOR</v>
      </c>
      <c r="J3122" s="19"/>
      <c r="L3122" s="21">
        <v>0</v>
      </c>
      <c r="M3122" s="22"/>
      <c r="N3122" s="21">
        <v>0</v>
      </c>
      <c r="O3122" s="22"/>
    </row>
    <row r="3123" ht="38.25">
      <c r="A3123" t="s">
        <v>3142</v>
      </c>
      <c r="B3123" s="19">
        <v>97043</v>
      </c>
      <c r="C3123" s="20" t="s">
        <v>3186</v>
      </c>
      <c r="D3123" s="19" t="s">
        <v>38</v>
      </c>
      <c r="E3123" s="21" t="str">
        <f t="shared" si="143"/>
        <v>VERIFICAR</v>
      </c>
      <c r="F3123" s="22">
        <v>0</v>
      </c>
      <c r="G3123" s="21" t="str">
        <f t="shared" si="144"/>
        <v>VERIFICAR</v>
      </c>
      <c r="H3123" s="22">
        <v>0</v>
      </c>
      <c r="I3123" s="23" t="str">
        <f t="shared" si="145"/>
        <v xml:space="preserve">COM VALOR</v>
      </c>
      <c r="J3123" s="19"/>
      <c r="L3123" s="21">
        <v>0</v>
      </c>
      <c r="M3123" s="22"/>
      <c r="N3123" s="21">
        <v>0</v>
      </c>
      <c r="O3123" s="22"/>
    </row>
    <row r="3124" ht="38.25">
      <c r="A3124" t="s">
        <v>3142</v>
      </c>
      <c r="B3124" s="19">
        <v>97063</v>
      </c>
      <c r="C3124" s="20" t="s">
        <v>3187</v>
      </c>
      <c r="D3124" s="19" t="s">
        <v>29</v>
      </c>
      <c r="E3124" s="21">
        <f t="shared" si="143"/>
        <v>21.600000000000001</v>
      </c>
      <c r="F3124" s="22">
        <v>0</v>
      </c>
      <c r="G3124" s="21">
        <f t="shared" si="144"/>
        <v>20.309999999999999</v>
      </c>
      <c r="H3124" s="22">
        <v>0</v>
      </c>
      <c r="I3124" s="23" t="str">
        <f t="shared" si="145"/>
        <v xml:space="preserve">COM VALOR</v>
      </c>
      <c r="J3124" s="19"/>
      <c r="L3124" s="21">
        <v>21.600000000000001</v>
      </c>
      <c r="M3124" s="22">
        <v>0</v>
      </c>
      <c r="N3124" s="21">
        <v>20.309999999999999</v>
      </c>
      <c r="O3124" s="22">
        <v>0</v>
      </c>
    </row>
    <row r="3125" ht="25.5">
      <c r="A3125" t="s">
        <v>3142</v>
      </c>
      <c r="B3125" s="19">
        <v>97065</v>
      </c>
      <c r="C3125" s="20" t="s">
        <v>3188</v>
      </c>
      <c r="D3125" s="19" t="s">
        <v>121</v>
      </c>
      <c r="E3125" s="21">
        <f t="shared" si="143"/>
        <v>14.23</v>
      </c>
      <c r="F3125" s="22">
        <v>0</v>
      </c>
      <c r="G3125" s="21">
        <f t="shared" si="144"/>
        <v>13.4</v>
      </c>
      <c r="H3125" s="22">
        <v>0</v>
      </c>
      <c r="I3125" s="23" t="str">
        <f t="shared" si="145"/>
        <v xml:space="preserve">COM VALOR</v>
      </c>
      <c r="J3125" s="19"/>
      <c r="L3125" s="21">
        <v>14.23</v>
      </c>
      <c r="M3125" s="22">
        <v>0</v>
      </c>
      <c r="N3125" s="21">
        <v>13.4</v>
      </c>
      <c r="O3125" s="22">
        <v>0</v>
      </c>
    </row>
    <row r="3126" ht="25.5">
      <c r="A3126" t="s">
        <v>3142</v>
      </c>
      <c r="B3126" s="19">
        <v>97064</v>
      </c>
      <c r="C3126" s="20" t="s">
        <v>3189</v>
      </c>
      <c r="D3126" s="19" t="s">
        <v>38</v>
      </c>
      <c r="E3126" s="21">
        <f t="shared" si="143"/>
        <v>29.84</v>
      </c>
      <c r="F3126" s="22">
        <v>0</v>
      </c>
      <c r="G3126" s="21">
        <f t="shared" si="144"/>
        <v>28.079999999999998</v>
      </c>
      <c r="H3126" s="22">
        <v>0</v>
      </c>
      <c r="I3126" s="23" t="str">
        <f t="shared" si="145"/>
        <v xml:space="preserve">COM VALOR</v>
      </c>
      <c r="J3126" s="19"/>
      <c r="L3126" s="21">
        <v>29.84</v>
      </c>
      <c r="M3126" s="22">
        <v>0</v>
      </c>
      <c r="N3126" s="21">
        <v>28.079999999999998</v>
      </c>
      <c r="O3126" s="22">
        <v>0</v>
      </c>
    </row>
    <row r="3127" ht="25.5">
      <c r="A3127" t="s">
        <v>3142</v>
      </c>
      <c r="B3127" s="19">
        <v>97049</v>
      </c>
      <c r="C3127" s="20" t="s">
        <v>3190</v>
      </c>
      <c r="D3127" s="19" t="s">
        <v>29</v>
      </c>
      <c r="E3127" s="21" t="str">
        <f t="shared" si="143"/>
        <v>VERIFICAR</v>
      </c>
      <c r="F3127" s="22">
        <v>0</v>
      </c>
      <c r="G3127" s="21" t="str">
        <f t="shared" si="144"/>
        <v>VERIFICAR</v>
      </c>
      <c r="H3127" s="22">
        <v>0</v>
      </c>
      <c r="I3127" s="23" t="str">
        <f t="shared" si="145"/>
        <v xml:space="preserve">COM VALOR</v>
      </c>
      <c r="J3127" s="19"/>
      <c r="L3127" s="21">
        <v>0</v>
      </c>
      <c r="M3127" s="22"/>
      <c r="N3127" s="21">
        <v>0</v>
      </c>
      <c r="O3127" s="22"/>
    </row>
    <row r="3128" ht="38.25">
      <c r="A3128" t="s">
        <v>3142</v>
      </c>
      <c r="B3128" s="19">
        <v>96997</v>
      </c>
      <c r="C3128" s="20" t="s">
        <v>3191</v>
      </c>
      <c r="D3128" s="19" t="s">
        <v>38</v>
      </c>
      <c r="E3128" s="21" t="str">
        <f t="shared" si="143"/>
        <v>VERIFICAR</v>
      </c>
      <c r="F3128" s="22">
        <v>0</v>
      </c>
      <c r="G3128" s="21" t="str">
        <f t="shared" si="144"/>
        <v>VERIFICAR</v>
      </c>
      <c r="H3128" s="22">
        <v>0</v>
      </c>
      <c r="I3128" s="23" t="str">
        <f t="shared" si="145"/>
        <v xml:space="preserve">COM VALOR</v>
      </c>
      <c r="J3128" s="19"/>
      <c r="L3128" s="21">
        <v>0</v>
      </c>
      <c r="M3128" s="22"/>
      <c r="N3128" s="21">
        <v>0</v>
      </c>
      <c r="O3128" s="22"/>
    </row>
    <row r="3129" ht="38.25">
      <c r="A3129" t="s">
        <v>3142</v>
      </c>
      <c r="B3129" s="19">
        <v>96999</v>
      </c>
      <c r="C3129" s="20" t="s">
        <v>3192</v>
      </c>
      <c r="D3129" s="19" t="s">
        <v>38</v>
      </c>
      <c r="E3129" s="21" t="str">
        <f t="shared" si="143"/>
        <v>VERIFICAR</v>
      </c>
      <c r="F3129" s="22">
        <v>0</v>
      </c>
      <c r="G3129" s="21" t="str">
        <f t="shared" si="144"/>
        <v>VERIFICAR</v>
      </c>
      <c r="H3129" s="22">
        <v>0</v>
      </c>
      <c r="I3129" s="23" t="str">
        <f t="shared" si="145"/>
        <v xml:space="preserve">COM VALOR</v>
      </c>
      <c r="J3129" s="19"/>
      <c r="L3129" s="21">
        <v>0</v>
      </c>
      <c r="M3129" s="22"/>
      <c r="N3129" s="21">
        <v>0</v>
      </c>
      <c r="O3129" s="22"/>
    </row>
    <row r="3130" ht="38.25">
      <c r="A3130" t="s">
        <v>3142</v>
      </c>
      <c r="B3130" s="19">
        <v>96996</v>
      </c>
      <c r="C3130" s="20" t="s">
        <v>3193</v>
      </c>
      <c r="D3130" s="19" t="s">
        <v>38</v>
      </c>
      <c r="E3130" s="21" t="str">
        <f t="shared" si="143"/>
        <v>VERIFICAR</v>
      </c>
      <c r="F3130" s="22">
        <v>0</v>
      </c>
      <c r="G3130" s="21" t="str">
        <f t="shared" si="144"/>
        <v>VERIFICAR</v>
      </c>
      <c r="H3130" s="22">
        <v>0</v>
      </c>
      <c r="I3130" s="23" t="str">
        <f t="shared" si="145"/>
        <v xml:space="preserve">COM VALOR</v>
      </c>
      <c r="J3130" s="19"/>
      <c r="L3130" s="21">
        <v>0</v>
      </c>
      <c r="M3130" s="22"/>
      <c r="N3130" s="21">
        <v>0</v>
      </c>
      <c r="O3130" s="22"/>
    </row>
    <row r="3131" ht="38.25">
      <c r="A3131" t="s">
        <v>3142</v>
      </c>
      <c r="B3131" s="19">
        <v>96998</v>
      </c>
      <c r="C3131" s="20" t="s">
        <v>3194</v>
      </c>
      <c r="D3131" s="19" t="s">
        <v>38</v>
      </c>
      <c r="E3131" s="21" t="str">
        <f t="shared" si="143"/>
        <v>VERIFICAR</v>
      </c>
      <c r="F3131" s="22">
        <v>0</v>
      </c>
      <c r="G3131" s="21" t="str">
        <f t="shared" si="144"/>
        <v>VERIFICAR</v>
      </c>
      <c r="H3131" s="22">
        <v>0</v>
      </c>
      <c r="I3131" s="23" t="str">
        <f t="shared" si="145"/>
        <v xml:space="preserve">COM VALOR</v>
      </c>
      <c r="J3131" s="19"/>
      <c r="L3131" s="21">
        <v>0</v>
      </c>
      <c r="M3131" s="22"/>
      <c r="N3131" s="21">
        <v>0</v>
      </c>
      <c r="O3131" s="22"/>
    </row>
    <row r="3132" ht="38.25">
      <c r="A3132" t="s">
        <v>3142</v>
      </c>
      <c r="B3132" s="19">
        <v>97067</v>
      </c>
      <c r="C3132" s="20" t="s">
        <v>3195</v>
      </c>
      <c r="D3132" s="19" t="s">
        <v>38</v>
      </c>
      <c r="E3132" s="21">
        <f t="shared" si="143"/>
        <v>688.97000000000003</v>
      </c>
      <c r="F3132" s="22">
        <v>0</v>
      </c>
      <c r="G3132" s="21">
        <f t="shared" si="144"/>
        <v>678.41999999999996</v>
      </c>
      <c r="H3132" s="22">
        <v>0</v>
      </c>
      <c r="I3132" s="23" t="str">
        <f t="shared" si="145"/>
        <v xml:space="preserve">COM VALOR</v>
      </c>
      <c r="J3132" s="19"/>
      <c r="L3132" s="21">
        <v>688.97000000000003</v>
      </c>
      <c r="M3132" s="22">
        <v>0</v>
      </c>
      <c r="N3132" s="21">
        <v>678.41999999999996</v>
      </c>
      <c r="O3132" s="22">
        <v>0</v>
      </c>
    </row>
    <row r="3133" ht="38.25">
      <c r="A3133" t="s">
        <v>3142</v>
      </c>
      <c r="B3133" s="19">
        <v>97001</v>
      </c>
      <c r="C3133" s="20" t="s">
        <v>3196</v>
      </c>
      <c r="D3133" s="19" t="s">
        <v>38</v>
      </c>
      <c r="E3133" s="21" t="str">
        <f t="shared" si="143"/>
        <v>VERIFICAR</v>
      </c>
      <c r="F3133" s="22">
        <v>0</v>
      </c>
      <c r="G3133" s="21" t="str">
        <f t="shared" si="144"/>
        <v>VERIFICAR</v>
      </c>
      <c r="H3133" s="22">
        <v>0</v>
      </c>
      <c r="I3133" s="23" t="str">
        <f t="shared" si="145"/>
        <v xml:space="preserve">COM VALOR</v>
      </c>
      <c r="J3133" s="19"/>
      <c r="L3133" s="21">
        <v>0</v>
      </c>
      <c r="M3133" s="22"/>
      <c r="N3133" s="21">
        <v>0</v>
      </c>
      <c r="O3133" s="22"/>
    </row>
    <row r="3134" ht="38.25">
      <c r="A3134" t="s">
        <v>3142</v>
      </c>
      <c r="B3134" s="19">
        <v>97003</v>
      </c>
      <c r="C3134" s="20" t="s">
        <v>3197</v>
      </c>
      <c r="D3134" s="19" t="s">
        <v>38</v>
      </c>
      <c r="E3134" s="21" t="str">
        <f t="shared" si="143"/>
        <v>VERIFICAR</v>
      </c>
      <c r="F3134" s="22">
        <v>0</v>
      </c>
      <c r="G3134" s="21" t="str">
        <f t="shared" si="144"/>
        <v>VERIFICAR</v>
      </c>
      <c r="H3134" s="22">
        <v>0</v>
      </c>
      <c r="I3134" s="23" t="str">
        <f t="shared" si="145"/>
        <v xml:space="preserve">COM VALOR</v>
      </c>
      <c r="J3134" s="19"/>
      <c r="L3134" s="21">
        <v>0</v>
      </c>
      <c r="M3134" s="22"/>
      <c r="N3134" s="21">
        <v>0</v>
      </c>
      <c r="O3134" s="22"/>
    </row>
    <row r="3135" ht="38.25">
      <c r="A3135" t="s">
        <v>3142</v>
      </c>
      <c r="B3135" s="19">
        <v>97005</v>
      </c>
      <c r="C3135" s="20" t="s">
        <v>3198</v>
      </c>
      <c r="D3135" s="19" t="s">
        <v>38</v>
      </c>
      <c r="E3135" s="21" t="str">
        <f t="shared" si="143"/>
        <v>VERIFICAR</v>
      </c>
      <c r="F3135" s="22">
        <v>0</v>
      </c>
      <c r="G3135" s="21" t="str">
        <f t="shared" si="144"/>
        <v>VERIFICAR</v>
      </c>
      <c r="H3135" s="22">
        <v>0</v>
      </c>
      <c r="I3135" s="23" t="str">
        <f t="shared" si="145"/>
        <v xml:space="preserve">COM VALOR</v>
      </c>
      <c r="J3135" s="19"/>
      <c r="L3135" s="21">
        <v>0</v>
      </c>
      <c r="M3135" s="22"/>
      <c r="N3135" s="21">
        <v>0</v>
      </c>
      <c r="O3135" s="22"/>
    </row>
    <row r="3136" ht="38.25">
      <c r="A3136" t="s">
        <v>3142</v>
      </c>
      <c r="B3136" s="19">
        <v>97000</v>
      </c>
      <c r="C3136" s="20" t="s">
        <v>3199</v>
      </c>
      <c r="D3136" s="19" t="s">
        <v>38</v>
      </c>
      <c r="E3136" s="21" t="str">
        <f t="shared" si="143"/>
        <v>VERIFICAR</v>
      </c>
      <c r="F3136" s="22">
        <v>0</v>
      </c>
      <c r="G3136" s="21" t="str">
        <f t="shared" si="144"/>
        <v>VERIFICAR</v>
      </c>
      <c r="H3136" s="22">
        <v>0</v>
      </c>
      <c r="I3136" s="23" t="str">
        <f t="shared" si="145"/>
        <v xml:space="preserve">COM VALOR</v>
      </c>
      <c r="J3136" s="19"/>
      <c r="L3136" s="21">
        <v>0</v>
      </c>
      <c r="M3136" s="22"/>
      <c r="N3136" s="21">
        <v>0</v>
      </c>
      <c r="O3136" s="22"/>
    </row>
    <row r="3137" ht="38.25">
      <c r="A3137" t="s">
        <v>3142</v>
      </c>
      <c r="B3137" s="19">
        <v>97002</v>
      </c>
      <c r="C3137" s="20" t="s">
        <v>3200</v>
      </c>
      <c r="D3137" s="19" t="s">
        <v>38</v>
      </c>
      <c r="E3137" s="21" t="str">
        <f t="shared" si="143"/>
        <v>VERIFICAR</v>
      </c>
      <c r="F3137" s="22">
        <v>0</v>
      </c>
      <c r="G3137" s="21" t="str">
        <f t="shared" si="144"/>
        <v>VERIFICAR</v>
      </c>
      <c r="H3137" s="22">
        <v>0</v>
      </c>
      <c r="I3137" s="23" t="str">
        <f t="shared" si="145"/>
        <v xml:space="preserve">COM VALOR</v>
      </c>
      <c r="J3137" s="19"/>
      <c r="L3137" s="21">
        <v>0</v>
      </c>
      <c r="M3137" s="22"/>
      <c r="N3137" s="21">
        <v>0</v>
      </c>
      <c r="O3137" s="22"/>
    </row>
    <row r="3138" ht="38.25">
      <c r="A3138" t="s">
        <v>3142</v>
      </c>
      <c r="B3138" s="19">
        <v>97004</v>
      </c>
      <c r="C3138" s="20" t="s">
        <v>3201</v>
      </c>
      <c r="D3138" s="19" t="s">
        <v>38</v>
      </c>
      <c r="E3138" s="21" t="str">
        <f t="shared" si="143"/>
        <v>VERIFICAR</v>
      </c>
      <c r="F3138" s="22">
        <v>0</v>
      </c>
      <c r="G3138" s="21" t="str">
        <f t="shared" si="144"/>
        <v>VERIFICAR</v>
      </c>
      <c r="H3138" s="22">
        <v>0</v>
      </c>
      <c r="I3138" s="23" t="str">
        <f t="shared" si="145"/>
        <v xml:space="preserve">COM VALOR</v>
      </c>
      <c r="J3138" s="19"/>
      <c r="L3138" s="21">
        <v>0</v>
      </c>
      <c r="M3138" s="22"/>
      <c r="N3138" s="21">
        <v>0</v>
      </c>
      <c r="O3138" s="22"/>
    </row>
    <row r="3139" ht="38.25">
      <c r="A3139" t="s">
        <v>3142</v>
      </c>
      <c r="B3139" s="19">
        <v>97007</v>
      </c>
      <c r="C3139" s="20" t="s">
        <v>3202</v>
      </c>
      <c r="D3139" s="19" t="s">
        <v>38</v>
      </c>
      <c r="E3139" s="21" t="str">
        <f t="shared" si="143"/>
        <v>VERIFICAR</v>
      </c>
      <c r="F3139" s="22">
        <v>0</v>
      </c>
      <c r="G3139" s="21" t="str">
        <f t="shared" si="144"/>
        <v>VERIFICAR</v>
      </c>
      <c r="H3139" s="22">
        <v>0</v>
      </c>
      <c r="I3139" s="23" t="str">
        <f t="shared" si="145"/>
        <v xml:space="preserve">COM VALOR</v>
      </c>
      <c r="J3139" s="19"/>
      <c r="L3139" s="21">
        <v>0</v>
      </c>
      <c r="M3139" s="22"/>
      <c r="N3139" s="21">
        <v>0</v>
      </c>
      <c r="O3139" s="22"/>
    </row>
    <row r="3140" ht="38.25">
      <c r="A3140" t="s">
        <v>3142</v>
      </c>
      <c r="B3140" s="19">
        <v>97009</v>
      </c>
      <c r="C3140" s="20" t="s">
        <v>3203</v>
      </c>
      <c r="D3140" s="19" t="s">
        <v>38</v>
      </c>
      <c r="E3140" s="21" t="str">
        <f t="shared" si="143"/>
        <v>VERIFICAR</v>
      </c>
      <c r="F3140" s="22">
        <v>0</v>
      </c>
      <c r="G3140" s="21" t="str">
        <f t="shared" si="144"/>
        <v>VERIFICAR</v>
      </c>
      <c r="H3140" s="22">
        <v>0</v>
      </c>
      <c r="I3140" s="23" t="str">
        <f t="shared" si="145"/>
        <v xml:space="preserve">COM VALOR</v>
      </c>
      <c r="J3140" s="19"/>
      <c r="L3140" s="21">
        <v>0</v>
      </c>
      <c r="M3140" s="22"/>
      <c r="N3140" s="21">
        <v>0</v>
      </c>
      <c r="O3140" s="22"/>
    </row>
    <row r="3141" ht="38.25">
      <c r="A3141" t="s">
        <v>3142</v>
      </c>
      <c r="B3141" s="19">
        <v>97006</v>
      </c>
      <c r="C3141" s="20" t="s">
        <v>3204</v>
      </c>
      <c r="D3141" s="19" t="s">
        <v>38</v>
      </c>
      <c r="E3141" s="21" t="str">
        <f t="shared" si="143"/>
        <v>VERIFICAR</v>
      </c>
      <c r="F3141" s="22">
        <v>0</v>
      </c>
      <c r="G3141" s="21" t="str">
        <f t="shared" si="144"/>
        <v>VERIFICAR</v>
      </c>
      <c r="H3141" s="22">
        <v>0</v>
      </c>
      <c r="I3141" s="23" t="str">
        <f t="shared" si="145"/>
        <v xml:space="preserve">COM VALOR</v>
      </c>
      <c r="J3141" s="19"/>
      <c r="L3141" s="21">
        <v>0</v>
      </c>
      <c r="M3141" s="22"/>
      <c r="N3141" s="21">
        <v>0</v>
      </c>
      <c r="O3141" s="22"/>
    </row>
    <row r="3142" ht="38.25">
      <c r="A3142" t="s">
        <v>3142</v>
      </c>
      <c r="B3142" s="19">
        <v>97008</v>
      </c>
      <c r="C3142" s="20" t="s">
        <v>3205</v>
      </c>
      <c r="D3142" s="19" t="s">
        <v>38</v>
      </c>
      <c r="E3142" s="21" t="str">
        <f t="shared" si="143"/>
        <v>VERIFICAR</v>
      </c>
      <c r="F3142" s="22">
        <v>0</v>
      </c>
      <c r="G3142" s="21" t="str">
        <f t="shared" si="144"/>
        <v>VERIFICAR</v>
      </c>
      <c r="H3142" s="22">
        <v>0</v>
      </c>
      <c r="I3142" s="23" t="str">
        <f t="shared" si="145"/>
        <v xml:space="preserve">COM VALOR</v>
      </c>
      <c r="J3142" s="19"/>
      <c r="L3142" s="21">
        <v>0</v>
      </c>
      <c r="M3142" s="22"/>
      <c r="N3142" s="21">
        <v>0</v>
      </c>
      <c r="O3142" s="22"/>
    </row>
    <row r="3143" ht="25.5">
      <c r="A3143" t="s">
        <v>3142</v>
      </c>
      <c r="B3143" s="19">
        <v>97048</v>
      </c>
      <c r="C3143" s="20" t="s">
        <v>3206</v>
      </c>
      <c r="D3143" s="19" t="s">
        <v>29</v>
      </c>
      <c r="E3143" s="21">
        <f t="shared" si="143"/>
        <v>8.9999999999999997e-002</v>
      </c>
      <c r="F3143" s="22">
        <v>0</v>
      </c>
      <c r="G3143" s="21">
        <f t="shared" si="144"/>
        <v>8.9999999999999997e-002</v>
      </c>
      <c r="H3143" s="22">
        <v>0</v>
      </c>
      <c r="I3143" s="23" t="str">
        <f t="shared" si="145"/>
        <v xml:space="preserve">COM VALOR</v>
      </c>
      <c r="J3143" s="19"/>
      <c r="L3143" s="21">
        <v>8.9999999999999997e-002</v>
      </c>
      <c r="M3143" s="22">
        <v>0.78000000000000003</v>
      </c>
      <c r="N3143" s="21">
        <v>8.9999999999999997e-002</v>
      </c>
      <c r="O3143" s="22">
        <v>0.78000000000000003</v>
      </c>
    </row>
    <row r="3144" ht="25.5">
      <c r="A3144" t="s">
        <v>3142</v>
      </c>
      <c r="B3144" s="19">
        <v>97047</v>
      </c>
      <c r="C3144" s="20" t="s">
        <v>3207</v>
      </c>
      <c r="D3144" s="19" t="s">
        <v>29</v>
      </c>
      <c r="E3144" s="21">
        <f t="shared" si="143"/>
        <v>0.13</v>
      </c>
      <c r="F3144" s="22">
        <v>0</v>
      </c>
      <c r="G3144" s="21">
        <f t="shared" si="144"/>
        <v>0.13</v>
      </c>
      <c r="H3144" s="22">
        <v>0</v>
      </c>
      <c r="I3144" s="23" t="str">
        <f t="shared" si="145"/>
        <v xml:space="preserve">COM VALOR</v>
      </c>
      <c r="J3144" s="19"/>
      <c r="L3144" s="21">
        <v>0.13</v>
      </c>
      <c r="M3144" s="22">
        <v>0.77000000000000002</v>
      </c>
      <c r="N3144" s="21">
        <v>0.13</v>
      </c>
      <c r="O3144" s="22">
        <v>0.77000000000000002</v>
      </c>
    </row>
    <row r="3145" ht="25.5">
      <c r="A3145" t="s">
        <v>3142</v>
      </c>
      <c r="B3145" s="19">
        <v>97046</v>
      </c>
      <c r="C3145" s="20" t="s">
        <v>3208</v>
      </c>
      <c r="D3145" s="19" t="s">
        <v>29</v>
      </c>
      <c r="E3145" s="21">
        <f t="shared" si="143"/>
        <v>0.33000000000000002</v>
      </c>
      <c r="F3145" s="22">
        <v>0</v>
      </c>
      <c r="G3145" s="21">
        <f t="shared" si="144"/>
        <v>0.32000000000000001</v>
      </c>
      <c r="H3145" s="22">
        <v>0</v>
      </c>
      <c r="I3145" s="23" t="str">
        <f t="shared" si="145"/>
        <v xml:space="preserve">COM VALOR</v>
      </c>
      <c r="J3145" s="19"/>
      <c r="L3145" s="21">
        <v>0.33000000000000002</v>
      </c>
      <c r="M3145" s="22">
        <v>0.76000000000000001</v>
      </c>
      <c r="N3145" s="21">
        <v>0.32000000000000001</v>
      </c>
      <c r="O3145" s="22">
        <v>0.78000000000000003</v>
      </c>
    </row>
    <row r="3146" ht="25.5">
      <c r="A3146" t="s">
        <v>3142</v>
      </c>
      <c r="B3146" s="19">
        <v>104989</v>
      </c>
      <c r="C3146" s="20" t="s">
        <v>3209</v>
      </c>
      <c r="D3146" s="19" t="s">
        <v>31</v>
      </c>
      <c r="E3146" s="21">
        <f t="shared" si="143"/>
        <v>40.390000000000001</v>
      </c>
      <c r="F3146" s="22">
        <v>0</v>
      </c>
      <c r="G3146" s="21">
        <f t="shared" si="144"/>
        <v>38.780000000000001</v>
      </c>
      <c r="H3146" s="22">
        <v>0</v>
      </c>
      <c r="I3146" s="23" t="str">
        <f t="shared" si="145"/>
        <v xml:space="preserve">COM VALOR</v>
      </c>
      <c r="J3146" s="19"/>
      <c r="L3146" s="21">
        <v>40.390000000000001</v>
      </c>
      <c r="M3146" s="22">
        <v>0</v>
      </c>
      <c r="N3146" s="21">
        <v>38.780000000000001</v>
      </c>
      <c r="O3146" s="22">
        <v>0</v>
      </c>
    </row>
    <row r="3147" ht="25.5">
      <c r="A3147" t="s">
        <v>3142</v>
      </c>
      <c r="B3147" s="19">
        <v>97066</v>
      </c>
      <c r="C3147" s="20" t="s">
        <v>3210</v>
      </c>
      <c r="D3147" s="19" t="s">
        <v>29</v>
      </c>
      <c r="E3147" s="21">
        <f t="shared" ref="E3147:E3210" si="146">IF(L3147=0,"VERIFICAR",L3147)</f>
        <v>327.99000000000001</v>
      </c>
      <c r="F3147" s="22">
        <v>0</v>
      </c>
      <c r="G3147" s="21">
        <f t="shared" ref="G3147:G3210" si="147">IF(N3147=0,"VERIFICAR",N3147)</f>
        <v>319.95999999999998</v>
      </c>
      <c r="H3147" s="22">
        <v>0</v>
      </c>
      <c r="I3147" s="23" t="str">
        <f t="shared" ref="I3147:I3210" si="148">IF(OR(E3147=0,G3147=0),"SEM VALOR","COM VALOR")</f>
        <v xml:space="preserve">COM VALOR</v>
      </c>
      <c r="J3147" s="19"/>
      <c r="L3147" s="21">
        <v>327.99000000000001</v>
      </c>
      <c r="M3147" s="22">
        <v>0.28000000000000003</v>
      </c>
      <c r="N3147" s="21">
        <v>319.95999999999998</v>
      </c>
      <c r="O3147" s="22">
        <v>0.28999999999999998</v>
      </c>
    </row>
    <row r="3148" ht="12.75">
      <c r="A3148" t="s">
        <v>3142</v>
      </c>
      <c r="B3148" s="19">
        <v>104982</v>
      </c>
      <c r="C3148" s="20" t="s">
        <v>3211</v>
      </c>
      <c r="D3148" s="19" t="s">
        <v>38</v>
      </c>
      <c r="E3148" s="21" t="str">
        <f t="shared" si="146"/>
        <v>VERIFICAR</v>
      </c>
      <c r="F3148" s="22">
        <v>0</v>
      </c>
      <c r="G3148" s="21" t="str">
        <f t="shared" si="147"/>
        <v>VERIFICAR</v>
      </c>
      <c r="H3148" s="22">
        <v>0</v>
      </c>
      <c r="I3148" s="23" t="str">
        <f t="shared" si="148"/>
        <v xml:space="preserve">COM VALOR</v>
      </c>
      <c r="J3148" s="19"/>
      <c r="L3148" s="21">
        <v>0</v>
      </c>
      <c r="M3148" s="22"/>
      <c r="N3148" s="21">
        <v>0</v>
      </c>
      <c r="O3148" s="22"/>
    </row>
    <row r="3149" ht="25.5">
      <c r="A3149" t="s">
        <v>3142</v>
      </c>
      <c r="B3149" s="19">
        <v>97060</v>
      </c>
      <c r="C3149" s="20" t="s">
        <v>3212</v>
      </c>
      <c r="D3149" s="19" t="s">
        <v>38</v>
      </c>
      <c r="E3149" s="21" t="str">
        <f t="shared" si="146"/>
        <v>VERIFICAR</v>
      </c>
      <c r="F3149" s="22">
        <v>0</v>
      </c>
      <c r="G3149" s="21" t="str">
        <f t="shared" si="147"/>
        <v>VERIFICAR</v>
      </c>
      <c r="H3149" s="22">
        <v>0</v>
      </c>
      <c r="I3149" s="23" t="str">
        <f t="shared" si="148"/>
        <v xml:space="preserve">COM VALOR</v>
      </c>
      <c r="J3149" s="19"/>
      <c r="L3149" s="21">
        <v>0</v>
      </c>
      <c r="M3149" s="22"/>
      <c r="N3149" s="21">
        <v>0</v>
      </c>
      <c r="O3149" s="22"/>
    </row>
    <row r="3150" ht="25.5">
      <c r="A3150" t="s">
        <v>3142</v>
      </c>
      <c r="B3150" s="19">
        <v>97059</v>
      </c>
      <c r="C3150" s="20" t="s">
        <v>3213</v>
      </c>
      <c r="D3150" s="19" t="s">
        <v>38</v>
      </c>
      <c r="E3150" s="21" t="str">
        <f t="shared" si="146"/>
        <v>VERIFICAR</v>
      </c>
      <c r="F3150" s="22">
        <v>0</v>
      </c>
      <c r="G3150" s="21" t="str">
        <f t="shared" si="147"/>
        <v>VERIFICAR</v>
      </c>
      <c r="H3150" s="22">
        <v>0</v>
      </c>
      <c r="I3150" s="23" t="str">
        <f t="shared" si="148"/>
        <v xml:space="preserve">COM VALOR</v>
      </c>
      <c r="J3150" s="19"/>
      <c r="L3150" s="21">
        <v>0</v>
      </c>
      <c r="M3150" s="22"/>
      <c r="N3150" s="21">
        <v>0</v>
      </c>
      <c r="O3150" s="22"/>
    </row>
    <row r="3151" ht="25.5">
      <c r="A3151" t="s">
        <v>3142</v>
      </c>
      <c r="B3151" s="19">
        <v>97058</v>
      </c>
      <c r="C3151" s="20" t="s">
        <v>3214</v>
      </c>
      <c r="D3151" s="19" t="s">
        <v>38</v>
      </c>
      <c r="E3151" s="21" t="str">
        <f t="shared" si="146"/>
        <v>VERIFICAR</v>
      </c>
      <c r="F3151" s="22">
        <v>0</v>
      </c>
      <c r="G3151" s="21" t="str">
        <f t="shared" si="147"/>
        <v>VERIFICAR</v>
      </c>
      <c r="H3151" s="22">
        <v>0</v>
      </c>
      <c r="I3151" s="23" t="str">
        <f t="shared" si="148"/>
        <v xml:space="preserve">COM VALOR</v>
      </c>
      <c r="J3151" s="19"/>
      <c r="L3151" s="21">
        <v>0</v>
      </c>
      <c r="M3151" s="22"/>
      <c r="N3151" s="21">
        <v>0</v>
      </c>
      <c r="O3151" s="22"/>
    </row>
    <row r="3152" ht="25.5">
      <c r="A3152" t="s">
        <v>3142</v>
      </c>
      <c r="B3152" s="19">
        <v>97056</v>
      </c>
      <c r="C3152" s="20" t="s">
        <v>3215</v>
      </c>
      <c r="D3152" s="19" t="s">
        <v>38</v>
      </c>
      <c r="E3152" s="21" t="str">
        <f t="shared" si="146"/>
        <v>VERIFICAR</v>
      </c>
      <c r="F3152" s="22">
        <v>0</v>
      </c>
      <c r="G3152" s="21" t="str">
        <f t="shared" si="147"/>
        <v>VERIFICAR</v>
      </c>
      <c r="H3152" s="22">
        <v>0</v>
      </c>
      <c r="I3152" s="23" t="str">
        <f t="shared" si="148"/>
        <v xml:space="preserve">COM VALOR</v>
      </c>
      <c r="J3152" s="19"/>
      <c r="L3152" s="21">
        <v>0</v>
      </c>
      <c r="M3152" s="22"/>
      <c r="N3152" s="21">
        <v>0</v>
      </c>
      <c r="O3152" s="22"/>
    </row>
    <row r="3153" ht="25.5">
      <c r="A3153" t="s">
        <v>3142</v>
      </c>
      <c r="B3153" s="19">
        <v>97057</v>
      </c>
      <c r="C3153" s="20" t="s">
        <v>3216</v>
      </c>
      <c r="D3153" s="19" t="s">
        <v>38</v>
      </c>
      <c r="E3153" s="21" t="str">
        <f t="shared" si="146"/>
        <v>VERIFICAR</v>
      </c>
      <c r="F3153" s="22">
        <v>0</v>
      </c>
      <c r="G3153" s="21" t="str">
        <f t="shared" si="147"/>
        <v>VERIFICAR</v>
      </c>
      <c r="H3153" s="22">
        <v>0</v>
      </c>
      <c r="I3153" s="23" t="str">
        <f t="shared" si="148"/>
        <v xml:space="preserve">COM VALOR</v>
      </c>
      <c r="J3153" s="19"/>
      <c r="L3153" s="21">
        <v>0</v>
      </c>
      <c r="M3153" s="22"/>
      <c r="N3153" s="21">
        <v>0</v>
      </c>
      <c r="O3153" s="22"/>
    </row>
    <row r="3154" ht="25.5">
      <c r="A3154" t="s">
        <v>3142</v>
      </c>
      <c r="B3154" s="19">
        <v>97055</v>
      </c>
      <c r="C3154" s="20" t="s">
        <v>3217</v>
      </c>
      <c r="D3154" s="19" t="s">
        <v>38</v>
      </c>
      <c r="E3154" s="21" t="str">
        <f t="shared" si="146"/>
        <v>VERIFICAR</v>
      </c>
      <c r="F3154" s="22">
        <v>0</v>
      </c>
      <c r="G3154" s="21" t="str">
        <f t="shared" si="147"/>
        <v>VERIFICAR</v>
      </c>
      <c r="H3154" s="22">
        <v>0</v>
      </c>
      <c r="I3154" s="23" t="str">
        <f t="shared" si="148"/>
        <v xml:space="preserve">COM VALOR</v>
      </c>
      <c r="J3154" s="19"/>
      <c r="L3154" s="21">
        <v>0</v>
      </c>
      <c r="M3154" s="22"/>
      <c r="N3154" s="21">
        <v>0</v>
      </c>
      <c r="O3154" s="22"/>
    </row>
    <row r="3155" ht="25.5">
      <c r="A3155" t="s">
        <v>3142</v>
      </c>
      <c r="B3155" s="19">
        <v>102656</v>
      </c>
      <c r="C3155" s="20" t="s">
        <v>3218</v>
      </c>
      <c r="D3155" s="19" t="s">
        <v>38</v>
      </c>
      <c r="E3155" s="21">
        <f t="shared" si="146"/>
        <v>5.7300000000000004</v>
      </c>
      <c r="F3155" s="22">
        <v>0</v>
      </c>
      <c r="G3155" s="21">
        <f t="shared" si="147"/>
        <v>5.5499999999999998</v>
      </c>
      <c r="H3155" s="22">
        <v>0</v>
      </c>
      <c r="I3155" s="23" t="str">
        <f t="shared" si="148"/>
        <v xml:space="preserve">COM VALOR</v>
      </c>
      <c r="J3155" s="19"/>
      <c r="L3155" s="21">
        <v>5.7300000000000004</v>
      </c>
      <c r="M3155" s="22">
        <v>0</v>
      </c>
      <c r="N3155" s="21">
        <v>5.5499999999999998</v>
      </c>
      <c r="O3155" s="22">
        <v>0</v>
      </c>
    </row>
    <row r="3156" ht="12.75">
      <c r="A3156" t="s">
        <v>3142</v>
      </c>
      <c r="B3156" s="19">
        <v>104983</v>
      </c>
      <c r="C3156" s="20" t="s">
        <v>3219</v>
      </c>
      <c r="D3156" s="19" t="s">
        <v>31</v>
      </c>
      <c r="E3156" s="21" t="str">
        <f t="shared" si="146"/>
        <v>VERIFICAR</v>
      </c>
      <c r="F3156" s="22">
        <v>0</v>
      </c>
      <c r="G3156" s="21" t="str">
        <f t="shared" si="147"/>
        <v>VERIFICAR</v>
      </c>
      <c r="H3156" s="22">
        <v>0</v>
      </c>
      <c r="I3156" s="23" t="str">
        <f t="shared" si="148"/>
        <v xml:space="preserve">COM VALOR</v>
      </c>
      <c r="J3156" s="19"/>
      <c r="L3156" s="21">
        <v>0</v>
      </c>
      <c r="M3156" s="22"/>
      <c r="N3156" s="21">
        <v>0</v>
      </c>
      <c r="O3156" s="22"/>
    </row>
    <row r="3157" ht="25.5">
      <c r="A3157" t="s">
        <v>3142</v>
      </c>
      <c r="B3157" s="19">
        <v>97050</v>
      </c>
      <c r="C3157" s="20" t="s">
        <v>3220</v>
      </c>
      <c r="D3157" s="19" t="s">
        <v>29</v>
      </c>
      <c r="E3157" s="21" t="str">
        <f t="shared" si="146"/>
        <v>VERIFICAR</v>
      </c>
      <c r="F3157" s="22">
        <v>0</v>
      </c>
      <c r="G3157" s="21" t="str">
        <f t="shared" si="147"/>
        <v>VERIFICAR</v>
      </c>
      <c r="H3157" s="22">
        <v>0</v>
      </c>
      <c r="I3157" s="23" t="str">
        <f t="shared" si="148"/>
        <v xml:space="preserve">COM VALOR</v>
      </c>
      <c r="J3157" s="19"/>
      <c r="L3157" s="21">
        <v>0</v>
      </c>
      <c r="M3157" s="22"/>
      <c r="N3157" s="21">
        <v>0</v>
      </c>
      <c r="O3157" s="22"/>
    </row>
    <row r="3158" ht="38.25">
      <c r="A3158" t="s">
        <v>3221</v>
      </c>
      <c r="B3158" s="19">
        <v>95946</v>
      </c>
      <c r="C3158" s="20" t="s">
        <v>3222</v>
      </c>
      <c r="D3158" s="19" t="s">
        <v>302</v>
      </c>
      <c r="E3158" s="21">
        <f t="shared" si="146"/>
        <v>12.449999999999999</v>
      </c>
      <c r="F3158" s="22">
        <v>0</v>
      </c>
      <c r="G3158" s="21">
        <f t="shared" si="147"/>
        <v>12.27</v>
      </c>
      <c r="H3158" s="22">
        <v>0</v>
      </c>
      <c r="I3158" s="23" t="str">
        <f t="shared" si="148"/>
        <v xml:space="preserve">COM VALOR</v>
      </c>
      <c r="J3158" s="19"/>
      <c r="L3158" s="21">
        <v>12.449999999999999</v>
      </c>
      <c r="M3158" s="22">
        <v>1.e-002</v>
      </c>
      <c r="N3158" s="21">
        <v>12.27</v>
      </c>
      <c r="O3158" s="22">
        <v>1.e-002</v>
      </c>
    </row>
    <row r="3159" ht="38.25">
      <c r="A3159" t="s">
        <v>3221</v>
      </c>
      <c r="B3159" s="19">
        <v>95947</v>
      </c>
      <c r="C3159" s="20" t="s">
        <v>3223</v>
      </c>
      <c r="D3159" s="19" t="s">
        <v>302</v>
      </c>
      <c r="E3159" s="21">
        <f t="shared" si="146"/>
        <v>9.4800000000000004</v>
      </c>
      <c r="F3159" s="22">
        <v>0</v>
      </c>
      <c r="G3159" s="21">
        <f t="shared" si="147"/>
        <v>9.4000000000000004</v>
      </c>
      <c r="H3159" s="22">
        <v>0</v>
      </c>
      <c r="I3159" s="23" t="str">
        <f t="shared" si="148"/>
        <v xml:space="preserve">COM VALOR</v>
      </c>
      <c r="J3159" s="19"/>
      <c r="L3159" s="21">
        <v>9.4800000000000004</v>
      </c>
      <c r="M3159" s="22">
        <v>1.e-002</v>
      </c>
      <c r="N3159" s="21">
        <v>9.4000000000000004</v>
      </c>
      <c r="O3159" s="22">
        <v>1.e-002</v>
      </c>
    </row>
    <row r="3160" ht="38.25">
      <c r="A3160" t="s">
        <v>3221</v>
      </c>
      <c r="B3160" s="19">
        <v>95948</v>
      </c>
      <c r="C3160" s="20" t="s">
        <v>3224</v>
      </c>
      <c r="D3160" s="19" t="s">
        <v>302</v>
      </c>
      <c r="E3160" s="21">
        <f t="shared" si="146"/>
        <v>8.25</v>
      </c>
      <c r="F3160" s="22">
        <v>0</v>
      </c>
      <c r="G3160" s="21">
        <f t="shared" si="147"/>
        <v>8.2300000000000004</v>
      </c>
      <c r="H3160" s="22">
        <v>0</v>
      </c>
      <c r="I3160" s="23" t="str">
        <f t="shared" si="148"/>
        <v xml:space="preserve">COM VALOR</v>
      </c>
      <c r="J3160" s="19"/>
      <c r="L3160" s="21">
        <v>8.25</v>
      </c>
      <c r="M3160" s="22">
        <v>0</v>
      </c>
      <c r="N3160" s="21">
        <v>8.2300000000000004</v>
      </c>
      <c r="O3160" s="22">
        <v>0</v>
      </c>
    </row>
    <row r="3161" ht="38.25">
      <c r="A3161" t="s">
        <v>3221</v>
      </c>
      <c r="B3161" s="19">
        <v>95944</v>
      </c>
      <c r="C3161" s="20" t="s">
        <v>3225</v>
      </c>
      <c r="D3161" s="19" t="s">
        <v>302</v>
      </c>
      <c r="E3161" s="21">
        <f t="shared" si="146"/>
        <v>19.899999999999999</v>
      </c>
      <c r="F3161" s="22">
        <v>0</v>
      </c>
      <c r="G3161" s="21">
        <f t="shared" si="147"/>
        <v>19.309999999999999</v>
      </c>
      <c r="H3161" s="22">
        <v>0</v>
      </c>
      <c r="I3161" s="23" t="str">
        <f t="shared" si="148"/>
        <v xml:space="preserve">COM VALOR</v>
      </c>
      <c r="J3161" s="19"/>
      <c r="L3161" s="21">
        <v>19.899999999999999</v>
      </c>
      <c r="M3161" s="22">
        <v>1.e-002</v>
      </c>
      <c r="N3161" s="21">
        <v>19.309999999999999</v>
      </c>
      <c r="O3161" s="22">
        <v>1.e-002</v>
      </c>
    </row>
    <row r="3162" ht="38.25">
      <c r="A3162" t="s">
        <v>3221</v>
      </c>
      <c r="B3162" s="19">
        <v>95945</v>
      </c>
      <c r="C3162" s="20" t="s">
        <v>3226</v>
      </c>
      <c r="D3162" s="19" t="s">
        <v>302</v>
      </c>
      <c r="E3162" s="21">
        <f t="shared" si="146"/>
        <v>15.85</v>
      </c>
      <c r="F3162" s="22">
        <v>0.48999999999999999</v>
      </c>
      <c r="G3162" s="21">
        <f t="shared" si="147"/>
        <v>15.5</v>
      </c>
      <c r="H3162" s="22">
        <v>0.5</v>
      </c>
      <c r="I3162" s="23" t="str">
        <f t="shared" si="148"/>
        <v xml:space="preserve">COM VALOR</v>
      </c>
      <c r="J3162" s="19"/>
      <c r="L3162" s="21">
        <v>15.85</v>
      </c>
      <c r="M3162" s="22">
        <v>1.e-002</v>
      </c>
      <c r="N3162" s="21">
        <v>15.5</v>
      </c>
      <c r="O3162" s="22">
        <v>1.e-002</v>
      </c>
    </row>
    <row r="3163" ht="38.25">
      <c r="A3163" t="s">
        <v>3221</v>
      </c>
      <c r="B3163" s="19">
        <v>95943</v>
      </c>
      <c r="C3163" s="20" t="s">
        <v>3227</v>
      </c>
      <c r="D3163" s="19" t="s">
        <v>302</v>
      </c>
      <c r="E3163" s="21">
        <f t="shared" si="146"/>
        <v>22.120000000000001</v>
      </c>
      <c r="F3163" s="22">
        <v>0.47999999999999998</v>
      </c>
      <c r="G3163" s="21">
        <f t="shared" si="147"/>
        <v>21.350000000000001</v>
      </c>
      <c r="H3163" s="22">
        <v>0.48999999999999999</v>
      </c>
      <c r="I3163" s="23" t="str">
        <f t="shared" si="148"/>
        <v xml:space="preserve">COM VALOR</v>
      </c>
      <c r="J3163" s="19"/>
      <c r="L3163" s="21">
        <v>22.120000000000001</v>
      </c>
      <c r="M3163" s="22">
        <v>1.e-002</v>
      </c>
      <c r="N3163" s="21">
        <v>21.350000000000001</v>
      </c>
      <c r="O3163" s="22">
        <v>1.e-002</v>
      </c>
    </row>
    <row r="3164" ht="38.25">
      <c r="A3164" t="s">
        <v>3221</v>
      </c>
      <c r="B3164" s="19">
        <v>102077</v>
      </c>
      <c r="C3164" s="20" t="s">
        <v>3228</v>
      </c>
      <c r="D3164" s="19" t="s">
        <v>121</v>
      </c>
      <c r="E3164" s="21">
        <f t="shared" si="146"/>
        <v>5161.46</v>
      </c>
      <c r="F3164" s="22">
        <v>0.52000000000000002</v>
      </c>
      <c r="G3164" s="21">
        <f t="shared" si="147"/>
        <v>5041.1999999999998</v>
      </c>
      <c r="H3164" s="22">
        <v>0.53000000000000003</v>
      </c>
      <c r="I3164" s="23" t="str">
        <f t="shared" si="148"/>
        <v xml:space="preserve">COM VALOR</v>
      </c>
      <c r="J3164" s="19"/>
      <c r="L3164" s="21">
        <v>5161.46</v>
      </c>
      <c r="M3164" s="22">
        <v>0</v>
      </c>
      <c r="N3164" s="21">
        <v>5041.1999999999998</v>
      </c>
      <c r="O3164" s="22">
        <v>0</v>
      </c>
    </row>
    <row r="3165" ht="38.25">
      <c r="A3165" t="s">
        <v>3221</v>
      </c>
      <c r="B3165" s="19">
        <v>102073</v>
      </c>
      <c r="C3165" s="20" t="s">
        <v>3229</v>
      </c>
      <c r="D3165" s="19" t="s">
        <v>121</v>
      </c>
      <c r="E3165" s="21">
        <f t="shared" si="146"/>
        <v>3822.4000000000001</v>
      </c>
      <c r="F3165" s="22">
        <v>0.5</v>
      </c>
      <c r="G3165" s="21">
        <f t="shared" si="147"/>
        <v>3742.27</v>
      </c>
      <c r="H3165" s="22">
        <v>0.52000000000000002</v>
      </c>
      <c r="I3165" s="23" t="str">
        <f t="shared" si="148"/>
        <v xml:space="preserve">COM VALOR</v>
      </c>
      <c r="J3165" s="19"/>
      <c r="L3165" s="21">
        <v>3822.4000000000001</v>
      </c>
      <c r="M3165" s="22">
        <v>0</v>
      </c>
      <c r="N3165" s="21">
        <v>3742.27</v>
      </c>
      <c r="O3165" s="22">
        <v>0</v>
      </c>
    </row>
    <row r="3166" ht="38.25">
      <c r="A3166" t="s">
        <v>3221</v>
      </c>
      <c r="B3166" s="19">
        <v>102079</v>
      </c>
      <c r="C3166" s="20" t="s">
        <v>3230</v>
      </c>
      <c r="D3166" s="19" t="s">
        <v>121</v>
      </c>
      <c r="E3166" s="21">
        <f t="shared" si="146"/>
        <v>5108.6899999999996</v>
      </c>
      <c r="F3166" s="22">
        <v>0.68999999999999995</v>
      </c>
      <c r="G3166" s="21">
        <f t="shared" si="147"/>
        <v>4995.6000000000004</v>
      </c>
      <c r="H3166" s="22">
        <v>0.69999999999999996</v>
      </c>
      <c r="I3166" s="23" t="str">
        <f t="shared" si="148"/>
        <v xml:space="preserve">COM VALOR</v>
      </c>
      <c r="J3166" s="19"/>
      <c r="L3166" s="21">
        <v>5108.6899999999996</v>
      </c>
      <c r="M3166" s="22">
        <v>0</v>
      </c>
      <c r="N3166" s="21">
        <v>4995.6000000000004</v>
      </c>
      <c r="O3166" s="22">
        <v>0</v>
      </c>
    </row>
    <row r="3167" ht="38.25">
      <c r="A3167" t="s">
        <v>3221</v>
      </c>
      <c r="B3167" s="19">
        <v>102075</v>
      </c>
      <c r="C3167" s="20" t="s">
        <v>3231</v>
      </c>
      <c r="D3167" s="19" t="s">
        <v>121</v>
      </c>
      <c r="E3167" s="21">
        <f t="shared" si="146"/>
        <v>4699.1000000000004</v>
      </c>
      <c r="F3167" s="22">
        <v>0.35999999999999999</v>
      </c>
      <c r="G3167" s="21">
        <f t="shared" si="147"/>
        <v>4606.3999999999996</v>
      </c>
      <c r="H3167" s="22">
        <v>0.35999999999999999</v>
      </c>
      <c r="I3167" s="23" t="str">
        <f t="shared" si="148"/>
        <v xml:space="preserve">COM VALOR</v>
      </c>
      <c r="J3167" s="19"/>
      <c r="L3167" s="21">
        <v>4699.1000000000004</v>
      </c>
      <c r="M3167" s="22">
        <v>0</v>
      </c>
      <c r="N3167" s="21">
        <v>4606.3999999999996</v>
      </c>
      <c r="O3167" s="22">
        <v>0</v>
      </c>
    </row>
    <row r="3168" ht="38.25">
      <c r="A3168" t="s">
        <v>3221</v>
      </c>
      <c r="B3168" s="19">
        <v>102078</v>
      </c>
      <c r="C3168" s="20" t="s">
        <v>3232</v>
      </c>
      <c r="D3168" s="19" t="s">
        <v>121</v>
      </c>
      <c r="E3168" s="21">
        <f t="shared" si="146"/>
        <v>5353.1400000000003</v>
      </c>
      <c r="F3168" s="22">
        <v>0.34999999999999998</v>
      </c>
      <c r="G3168" s="21">
        <f t="shared" si="147"/>
        <v>5234.7399999999998</v>
      </c>
      <c r="H3168" s="22">
        <v>0.35999999999999999</v>
      </c>
      <c r="I3168" s="23" t="str">
        <f t="shared" si="148"/>
        <v xml:space="preserve">COM VALOR</v>
      </c>
      <c r="J3168" s="19"/>
      <c r="L3168" s="21">
        <v>5353.1400000000003</v>
      </c>
      <c r="M3168" s="22">
        <v>0</v>
      </c>
      <c r="N3168" s="21">
        <v>5234.7399999999998</v>
      </c>
      <c r="O3168" s="22">
        <v>0</v>
      </c>
    </row>
    <row r="3169" ht="38.25">
      <c r="A3169" t="s">
        <v>3221</v>
      </c>
      <c r="B3169" s="19">
        <v>102074</v>
      </c>
      <c r="C3169" s="20" t="s">
        <v>3233</v>
      </c>
      <c r="D3169" s="19" t="s">
        <v>121</v>
      </c>
      <c r="E3169" s="21">
        <f t="shared" si="146"/>
        <v>4563.46</v>
      </c>
      <c r="F3169" s="22">
        <v>0.35999999999999999</v>
      </c>
      <c r="G3169" s="21">
        <f t="shared" si="147"/>
        <v>4473.9899999999998</v>
      </c>
      <c r="H3169" s="22">
        <v>0.37</v>
      </c>
      <c r="I3169" s="23" t="str">
        <f t="shared" si="148"/>
        <v xml:space="preserve">COM VALOR</v>
      </c>
      <c r="J3169" s="19"/>
      <c r="L3169" s="21">
        <v>4563.46</v>
      </c>
      <c r="M3169" s="22">
        <v>2.5000000000000001e-003</v>
      </c>
      <c r="N3169" s="21">
        <v>4473.9899999999998</v>
      </c>
      <c r="O3169" s="22">
        <v>2.5000000000000001e-003</v>
      </c>
    </row>
    <row r="3170" ht="38.25">
      <c r="A3170" t="s">
        <v>3221</v>
      </c>
      <c r="B3170" s="19">
        <v>102080</v>
      </c>
      <c r="C3170" s="20" t="s">
        <v>3234</v>
      </c>
      <c r="D3170" s="19" t="s">
        <v>121</v>
      </c>
      <c r="E3170" s="21">
        <f t="shared" si="146"/>
        <v>4478.3500000000004</v>
      </c>
      <c r="F3170" s="22">
        <v>0.34000000000000002</v>
      </c>
      <c r="G3170" s="21">
        <f t="shared" si="147"/>
        <v>4387.9700000000003</v>
      </c>
      <c r="H3170" s="22">
        <v>0.34000000000000002</v>
      </c>
      <c r="I3170" s="23" t="str">
        <f t="shared" si="148"/>
        <v xml:space="preserve">COM VALOR</v>
      </c>
      <c r="J3170" s="19"/>
      <c r="L3170" s="21">
        <v>4478.3500000000004</v>
      </c>
      <c r="M3170" s="22">
        <v>0</v>
      </c>
      <c r="N3170" s="21">
        <v>4387.9700000000003</v>
      </c>
      <c r="O3170" s="22">
        <v>0</v>
      </c>
    </row>
    <row r="3171" ht="38.25">
      <c r="A3171" t="s">
        <v>3221</v>
      </c>
      <c r="B3171" s="19">
        <v>102076</v>
      </c>
      <c r="C3171" s="20" t="s">
        <v>3235</v>
      </c>
      <c r="D3171" s="19" t="s">
        <v>121</v>
      </c>
      <c r="E3171" s="21">
        <f t="shared" si="146"/>
        <v>4831.1000000000004</v>
      </c>
      <c r="F3171" s="22">
        <v>0.40000000000000002</v>
      </c>
      <c r="G3171" s="21">
        <f t="shared" si="147"/>
        <v>4740.4899999999998</v>
      </c>
      <c r="H3171" s="22">
        <v>0.40000000000000002</v>
      </c>
      <c r="I3171" s="23" t="str">
        <f t="shared" si="148"/>
        <v xml:space="preserve">COM VALOR</v>
      </c>
      <c r="J3171" s="19"/>
      <c r="L3171" s="21">
        <v>4831.1000000000004</v>
      </c>
      <c r="M3171" s="22">
        <v>0</v>
      </c>
      <c r="N3171" s="21">
        <v>4740.4899999999998</v>
      </c>
      <c r="O3171" s="22">
        <v>0</v>
      </c>
    </row>
    <row r="3172" ht="38.25">
      <c r="A3172" t="s">
        <v>3221</v>
      </c>
      <c r="B3172" s="19">
        <v>102084</v>
      </c>
      <c r="C3172" s="20" t="s">
        <v>3236</v>
      </c>
      <c r="D3172" s="19" t="s">
        <v>38</v>
      </c>
      <c r="E3172" s="21" t="str">
        <f t="shared" si="146"/>
        <v>VERIFICAR</v>
      </c>
      <c r="F3172" s="22">
        <v>0.35999999999999999</v>
      </c>
      <c r="G3172" s="21" t="str">
        <f t="shared" si="147"/>
        <v>VERIFICAR</v>
      </c>
      <c r="H3172" s="22">
        <v>0.37</v>
      </c>
      <c r="I3172" s="23" t="str">
        <f t="shared" si="148"/>
        <v xml:space="preserve">COM VALOR</v>
      </c>
      <c r="J3172" s="19"/>
      <c r="L3172" s="21">
        <v>0</v>
      </c>
      <c r="M3172" s="22"/>
      <c r="N3172" s="21">
        <v>0</v>
      </c>
      <c r="O3172" s="22"/>
    </row>
    <row r="3173" ht="38.25">
      <c r="A3173" t="s">
        <v>3221</v>
      </c>
      <c r="B3173" s="19">
        <v>102082</v>
      </c>
      <c r="C3173" s="20" t="s">
        <v>3237</v>
      </c>
      <c r="D3173" s="19" t="s">
        <v>38</v>
      </c>
      <c r="E3173" s="21" t="str">
        <f t="shared" si="146"/>
        <v>VERIFICAR</v>
      </c>
      <c r="F3173" s="22">
        <v>0.20999999999999999</v>
      </c>
      <c r="G3173" s="21" t="str">
        <f t="shared" si="147"/>
        <v>VERIFICAR</v>
      </c>
      <c r="H3173" s="22">
        <v>0.22</v>
      </c>
      <c r="I3173" s="23" t="str">
        <f t="shared" si="148"/>
        <v xml:space="preserve">COM VALOR</v>
      </c>
      <c r="J3173" s="19"/>
      <c r="L3173" s="21">
        <v>0</v>
      </c>
      <c r="M3173" s="22"/>
      <c r="N3173" s="21">
        <v>0</v>
      </c>
      <c r="O3173" s="22"/>
    </row>
    <row r="3174" ht="25.5">
      <c r="A3174" t="s">
        <v>3221</v>
      </c>
      <c r="B3174" s="19">
        <v>102081</v>
      </c>
      <c r="C3174" s="20" t="s">
        <v>3238</v>
      </c>
      <c r="D3174" s="19" t="s">
        <v>38</v>
      </c>
      <c r="E3174" s="21" t="str">
        <f t="shared" si="146"/>
        <v>VERIFICAR</v>
      </c>
      <c r="F3174" s="22">
        <v>0.34999999999999998</v>
      </c>
      <c r="G3174" s="21" t="str">
        <f t="shared" si="147"/>
        <v>VERIFICAR</v>
      </c>
      <c r="H3174" s="22">
        <v>0.35999999999999999</v>
      </c>
      <c r="I3174" s="23" t="str">
        <f t="shared" si="148"/>
        <v xml:space="preserve">COM VALOR</v>
      </c>
      <c r="J3174" s="19"/>
      <c r="L3174" s="21">
        <v>0</v>
      </c>
      <c r="M3174" s="22"/>
      <c r="N3174" s="21">
        <v>0</v>
      </c>
      <c r="O3174" s="22"/>
    </row>
    <row r="3175" ht="38.25">
      <c r="A3175" t="s">
        <v>3221</v>
      </c>
      <c r="B3175" s="19">
        <v>102092</v>
      </c>
      <c r="C3175" s="20" t="s">
        <v>3239</v>
      </c>
      <c r="D3175" s="19" t="s">
        <v>38</v>
      </c>
      <c r="E3175" s="21" t="str">
        <f t="shared" si="146"/>
        <v>VERIFICAR</v>
      </c>
      <c r="F3175" s="22">
        <v>0.20000000000000001</v>
      </c>
      <c r="G3175" s="21" t="str">
        <f t="shared" si="147"/>
        <v>VERIFICAR</v>
      </c>
      <c r="H3175" s="22">
        <v>0.20000000000000001</v>
      </c>
      <c r="I3175" s="23" t="str">
        <f t="shared" si="148"/>
        <v xml:space="preserve">COM VALOR</v>
      </c>
      <c r="J3175" s="19"/>
      <c r="L3175" s="21">
        <v>0</v>
      </c>
      <c r="M3175" s="22"/>
      <c r="N3175" s="21">
        <v>0</v>
      </c>
      <c r="O3175" s="22"/>
    </row>
    <row r="3176" ht="38.25">
      <c r="A3176" t="s">
        <v>3221</v>
      </c>
      <c r="B3176" s="19">
        <v>102089</v>
      </c>
      <c r="C3176" s="20" t="s">
        <v>3240</v>
      </c>
      <c r="D3176" s="19" t="s">
        <v>29</v>
      </c>
      <c r="E3176" s="21">
        <f t="shared" si="146"/>
        <v>176.97999999999999</v>
      </c>
      <c r="F3176" s="22">
        <v>0.35999999999999999</v>
      </c>
      <c r="G3176" s="21">
        <f t="shared" si="147"/>
        <v>174.86000000000001</v>
      </c>
      <c r="H3176" s="22">
        <v>0.37</v>
      </c>
      <c r="I3176" s="23" t="str">
        <f t="shared" si="148"/>
        <v xml:space="preserve">COM VALOR</v>
      </c>
      <c r="J3176" s="19"/>
      <c r="L3176" s="21">
        <v>176.97999999999999</v>
      </c>
      <c r="M3176" s="22">
        <v>0</v>
      </c>
      <c r="N3176" s="21">
        <v>174.86000000000001</v>
      </c>
      <c r="O3176" s="22">
        <v>0</v>
      </c>
    </row>
    <row r="3177" ht="38.25">
      <c r="A3177" t="s">
        <v>3221</v>
      </c>
      <c r="B3177" s="19">
        <v>102090</v>
      </c>
      <c r="C3177" s="20" t="s">
        <v>3241</v>
      </c>
      <c r="D3177" s="19" t="s">
        <v>29</v>
      </c>
      <c r="E3177" s="21">
        <f t="shared" si="146"/>
        <v>131.27000000000001</v>
      </c>
      <c r="F3177" s="22">
        <v>0.20999999999999999</v>
      </c>
      <c r="G3177" s="21">
        <f t="shared" si="147"/>
        <v>129.15000000000001</v>
      </c>
      <c r="H3177" s="22">
        <v>0.20999999999999999</v>
      </c>
      <c r="I3177" s="23" t="str">
        <f t="shared" si="148"/>
        <v xml:space="preserve">COM VALOR</v>
      </c>
      <c r="J3177" s="19"/>
      <c r="L3177" s="21">
        <v>131.27000000000001</v>
      </c>
      <c r="M3177" s="22">
        <v>0</v>
      </c>
      <c r="N3177" s="21">
        <v>129.15000000000001</v>
      </c>
      <c r="O3177" s="22">
        <v>0</v>
      </c>
    </row>
    <row r="3178" ht="38.25">
      <c r="A3178" t="s">
        <v>3221</v>
      </c>
      <c r="B3178" s="19">
        <v>102086</v>
      </c>
      <c r="C3178" s="20" t="s">
        <v>3242</v>
      </c>
      <c r="D3178" s="19" t="s">
        <v>29</v>
      </c>
      <c r="E3178" s="21">
        <f t="shared" si="146"/>
        <v>185.41999999999999</v>
      </c>
      <c r="F3178" s="22">
        <v>0.34000000000000002</v>
      </c>
      <c r="G3178" s="21">
        <f t="shared" si="147"/>
        <v>183.46000000000001</v>
      </c>
      <c r="H3178" s="22">
        <v>0.34999999999999998</v>
      </c>
      <c r="I3178" s="23" t="str">
        <f t="shared" si="148"/>
        <v xml:space="preserve">COM VALOR</v>
      </c>
      <c r="J3178" s="19"/>
      <c r="L3178" s="21">
        <v>185.41999999999999</v>
      </c>
      <c r="M3178" s="22">
        <v>0</v>
      </c>
      <c r="N3178" s="21">
        <v>183.46000000000001</v>
      </c>
      <c r="O3178" s="22">
        <v>0</v>
      </c>
    </row>
    <row r="3179" ht="38.25">
      <c r="A3179" t="s">
        <v>3221</v>
      </c>
      <c r="B3179" s="19">
        <v>102087</v>
      </c>
      <c r="C3179" s="20" t="s">
        <v>3243</v>
      </c>
      <c r="D3179" s="19" t="s">
        <v>29</v>
      </c>
      <c r="E3179" s="21">
        <f t="shared" si="146"/>
        <v>145.13</v>
      </c>
      <c r="F3179" s="22">
        <v>0.17000000000000001</v>
      </c>
      <c r="G3179" s="21">
        <f t="shared" si="147"/>
        <v>143.16999999999999</v>
      </c>
      <c r="H3179" s="22">
        <v>0.17000000000000001</v>
      </c>
      <c r="I3179" s="23" t="str">
        <f t="shared" si="148"/>
        <v xml:space="preserve">COM VALOR</v>
      </c>
      <c r="J3179" s="19"/>
      <c r="L3179" s="21">
        <v>145.13</v>
      </c>
      <c r="M3179" s="22">
        <v>0</v>
      </c>
      <c r="N3179" s="21">
        <v>143.16999999999999</v>
      </c>
      <c r="O3179" s="22">
        <v>0</v>
      </c>
    </row>
    <row r="3180" ht="25.5">
      <c r="A3180" t="s">
        <v>3221</v>
      </c>
      <c r="B3180" s="19">
        <v>102091</v>
      </c>
      <c r="C3180" s="20" t="s">
        <v>3244</v>
      </c>
      <c r="D3180" s="19" t="s">
        <v>29</v>
      </c>
      <c r="E3180" s="21">
        <f t="shared" si="146"/>
        <v>281.07999999999998</v>
      </c>
      <c r="F3180" s="22">
        <v>0.40000000000000002</v>
      </c>
      <c r="G3180" s="21">
        <f t="shared" si="147"/>
        <v>278.94</v>
      </c>
      <c r="H3180" s="22">
        <v>0.40000000000000002</v>
      </c>
      <c r="I3180" s="23" t="str">
        <f t="shared" si="148"/>
        <v xml:space="preserve">COM VALOR</v>
      </c>
      <c r="J3180" s="19"/>
      <c r="L3180" s="21">
        <v>281.07999999999998</v>
      </c>
      <c r="M3180" s="22">
        <v>0</v>
      </c>
      <c r="N3180" s="21">
        <v>278.94</v>
      </c>
      <c r="O3180" s="22">
        <v>0</v>
      </c>
    </row>
    <row r="3181" ht="25.5">
      <c r="A3181" t="s">
        <v>3221</v>
      </c>
      <c r="B3181" s="19">
        <v>102088</v>
      </c>
      <c r="C3181" s="20" t="s">
        <v>3245</v>
      </c>
      <c r="D3181" s="19" t="s">
        <v>29</v>
      </c>
      <c r="E3181" s="21">
        <f t="shared" si="146"/>
        <v>239.53999999999999</v>
      </c>
      <c r="F3181" s="22">
        <v>0.23999999999999999</v>
      </c>
      <c r="G3181" s="21">
        <f t="shared" si="147"/>
        <v>237.5</v>
      </c>
      <c r="H3181" s="22">
        <v>0.23999999999999999</v>
      </c>
      <c r="I3181" s="23" t="str">
        <f t="shared" si="148"/>
        <v xml:space="preserve">COM VALOR</v>
      </c>
      <c r="J3181" s="19"/>
      <c r="L3181" s="21">
        <v>239.53999999999999</v>
      </c>
      <c r="M3181" s="22">
        <v>0</v>
      </c>
      <c r="N3181" s="21">
        <v>237.5</v>
      </c>
      <c r="O3181" s="22">
        <v>0</v>
      </c>
    </row>
    <row r="3182" ht="38.25">
      <c r="A3182" t="s">
        <v>3221</v>
      </c>
      <c r="B3182" s="19">
        <v>101997</v>
      </c>
      <c r="C3182" s="20" t="s">
        <v>3246</v>
      </c>
      <c r="D3182" s="19" t="s">
        <v>29</v>
      </c>
      <c r="E3182" s="21">
        <f t="shared" si="146"/>
        <v>186.80000000000001</v>
      </c>
      <c r="F3182" s="22">
        <v>0.48999999999999999</v>
      </c>
      <c r="G3182" s="21">
        <f t="shared" si="147"/>
        <v>184.46000000000001</v>
      </c>
      <c r="H3182" s="22">
        <v>0.5</v>
      </c>
      <c r="I3182" s="23" t="str">
        <f t="shared" si="148"/>
        <v xml:space="preserve">COM VALOR</v>
      </c>
      <c r="J3182" s="19"/>
      <c r="L3182" s="21">
        <v>186.80000000000001</v>
      </c>
      <c r="M3182" s="22">
        <v>0</v>
      </c>
      <c r="N3182" s="21">
        <v>184.46000000000001</v>
      </c>
      <c r="O3182" s="22">
        <v>0</v>
      </c>
    </row>
    <row r="3183" ht="38.25">
      <c r="A3183" t="s">
        <v>3221</v>
      </c>
      <c r="B3183" s="19">
        <v>101998</v>
      </c>
      <c r="C3183" s="20" t="s">
        <v>3247</v>
      </c>
      <c r="D3183" s="19" t="s">
        <v>29</v>
      </c>
      <c r="E3183" s="21">
        <f t="shared" si="146"/>
        <v>138.5</v>
      </c>
      <c r="F3183" s="22">
        <v>0.47999999999999998</v>
      </c>
      <c r="G3183" s="21">
        <f t="shared" si="147"/>
        <v>136.16</v>
      </c>
      <c r="H3183" s="22">
        <v>0.48999999999999999</v>
      </c>
      <c r="I3183" s="23" t="str">
        <f t="shared" si="148"/>
        <v xml:space="preserve">COM VALOR</v>
      </c>
      <c r="J3183" s="19"/>
      <c r="L3183" s="21">
        <v>138.5</v>
      </c>
      <c r="M3183" s="22">
        <v>0</v>
      </c>
      <c r="N3183" s="21">
        <v>136.16</v>
      </c>
      <c r="O3183" s="22">
        <v>0</v>
      </c>
    </row>
    <row r="3184" ht="25.5">
      <c r="A3184" t="s">
        <v>3221</v>
      </c>
      <c r="B3184" s="19">
        <v>101999</v>
      </c>
      <c r="C3184" s="20" t="s">
        <v>3248</v>
      </c>
      <c r="D3184" s="19" t="s">
        <v>29</v>
      </c>
      <c r="E3184" s="21">
        <f t="shared" si="146"/>
        <v>332.94999999999999</v>
      </c>
      <c r="F3184" s="22">
        <v>0.52000000000000002</v>
      </c>
      <c r="G3184" s="21">
        <f t="shared" si="147"/>
        <v>330.74000000000001</v>
      </c>
      <c r="H3184" s="22">
        <v>0.53000000000000003</v>
      </c>
      <c r="I3184" s="23" t="str">
        <f t="shared" si="148"/>
        <v xml:space="preserve">COM VALOR</v>
      </c>
      <c r="J3184" s="19"/>
      <c r="L3184" s="21">
        <v>332.94999999999999</v>
      </c>
      <c r="M3184" s="22">
        <v>0</v>
      </c>
      <c r="N3184" s="21">
        <v>330.74000000000001</v>
      </c>
      <c r="O3184" s="22">
        <v>0</v>
      </c>
    </row>
    <row r="3185" ht="38.25">
      <c r="A3185" t="s">
        <v>3221</v>
      </c>
      <c r="B3185" s="19">
        <v>101994</v>
      </c>
      <c r="C3185" s="20" t="s">
        <v>3249</v>
      </c>
      <c r="D3185" s="19" t="s">
        <v>29</v>
      </c>
      <c r="E3185" s="21">
        <f t="shared" si="146"/>
        <v>193.31</v>
      </c>
      <c r="F3185" s="22">
        <v>0.5</v>
      </c>
      <c r="G3185" s="21">
        <f t="shared" si="147"/>
        <v>191.36000000000001</v>
      </c>
      <c r="H3185" s="22">
        <v>0.51000000000000001</v>
      </c>
      <c r="I3185" s="23" t="str">
        <f t="shared" si="148"/>
        <v xml:space="preserve">COM VALOR</v>
      </c>
      <c r="J3185" s="19"/>
      <c r="L3185" s="21">
        <v>193.31</v>
      </c>
      <c r="M3185" s="22">
        <v>0</v>
      </c>
      <c r="N3185" s="21">
        <v>191.36000000000001</v>
      </c>
      <c r="O3185" s="22">
        <v>0</v>
      </c>
    </row>
    <row r="3186" ht="25.5">
      <c r="A3186" t="s">
        <v>3221</v>
      </c>
      <c r="B3186" s="19">
        <v>101995</v>
      </c>
      <c r="C3186" s="20" t="s">
        <v>3250</v>
      </c>
      <c r="D3186" s="19" t="s">
        <v>29</v>
      </c>
      <c r="E3186" s="21">
        <f t="shared" si="146"/>
        <v>150.22999999999999</v>
      </c>
      <c r="F3186" s="22">
        <v>0.69999999999999996</v>
      </c>
      <c r="G3186" s="21">
        <f t="shared" si="147"/>
        <v>148.28</v>
      </c>
      <c r="H3186" s="22">
        <v>0.69999999999999996</v>
      </c>
      <c r="I3186" s="23" t="str">
        <f t="shared" si="148"/>
        <v xml:space="preserve">COM VALOR</v>
      </c>
      <c r="J3186" s="19"/>
      <c r="L3186" s="21">
        <v>150.22999999999999</v>
      </c>
      <c r="M3186" s="22">
        <v>0</v>
      </c>
      <c r="N3186" s="21">
        <v>148.28</v>
      </c>
      <c r="O3186" s="22">
        <v>0</v>
      </c>
    </row>
    <row r="3187" ht="25.5">
      <c r="A3187" t="s">
        <v>3221</v>
      </c>
      <c r="B3187" s="19">
        <v>101996</v>
      </c>
      <c r="C3187" s="20" t="s">
        <v>3251</v>
      </c>
      <c r="D3187" s="19" t="s">
        <v>29</v>
      </c>
      <c r="E3187" s="21">
        <f t="shared" si="146"/>
        <v>257.62</v>
      </c>
      <c r="F3187" s="22">
        <v>0.38</v>
      </c>
      <c r="G3187" s="21">
        <f t="shared" si="147"/>
        <v>255.55000000000001</v>
      </c>
      <c r="H3187" s="22">
        <v>0.39000000000000001</v>
      </c>
      <c r="I3187" s="23" t="str">
        <f t="shared" si="148"/>
        <v xml:space="preserve">COM VALOR</v>
      </c>
      <c r="J3187" s="19"/>
      <c r="L3187" s="21">
        <v>257.62</v>
      </c>
      <c r="M3187" s="22">
        <v>0</v>
      </c>
      <c r="N3187" s="21">
        <v>255.55000000000001</v>
      </c>
      <c r="O3187" s="22">
        <v>0</v>
      </c>
    </row>
    <row r="3188" ht="38.25">
      <c r="A3188" t="s">
        <v>3221</v>
      </c>
      <c r="B3188" s="19">
        <v>101991</v>
      </c>
      <c r="C3188" s="20" t="s">
        <v>3252</v>
      </c>
      <c r="D3188" s="19" t="s">
        <v>29</v>
      </c>
      <c r="E3188" s="21">
        <f t="shared" si="146"/>
        <v>186.81</v>
      </c>
      <c r="F3188" s="22">
        <v>0.37</v>
      </c>
      <c r="G3188" s="21">
        <f t="shared" si="147"/>
        <v>184.47</v>
      </c>
      <c r="H3188" s="22">
        <v>0.38</v>
      </c>
      <c r="I3188" s="23" t="str">
        <f t="shared" si="148"/>
        <v xml:space="preserve">COM VALOR</v>
      </c>
      <c r="J3188" s="19"/>
      <c r="L3188" s="21">
        <v>186.81</v>
      </c>
      <c r="M3188" s="22">
        <v>0</v>
      </c>
      <c r="N3188" s="21">
        <v>184.47</v>
      </c>
      <c r="O3188" s="22">
        <v>0</v>
      </c>
    </row>
    <row r="3189" ht="38.25">
      <c r="A3189" t="s">
        <v>3221</v>
      </c>
      <c r="B3189" s="19">
        <v>101992</v>
      </c>
      <c r="C3189" s="20" t="s">
        <v>3253</v>
      </c>
      <c r="D3189" s="19" t="s">
        <v>29</v>
      </c>
      <c r="E3189" s="21">
        <f t="shared" si="146"/>
        <v>139.58000000000001</v>
      </c>
      <c r="F3189" s="22">
        <v>0.39000000000000001</v>
      </c>
      <c r="G3189" s="21">
        <f t="shared" si="147"/>
        <v>137.24000000000001</v>
      </c>
      <c r="H3189" s="22">
        <v>0.39000000000000001</v>
      </c>
      <c r="I3189" s="23" t="str">
        <f t="shared" si="148"/>
        <v xml:space="preserve">COM VALOR</v>
      </c>
      <c r="J3189" s="19"/>
      <c r="L3189" s="21">
        <v>139.58000000000001</v>
      </c>
      <c r="M3189" s="22">
        <v>0</v>
      </c>
      <c r="N3189" s="21">
        <v>137.24000000000001</v>
      </c>
      <c r="O3189" s="22">
        <v>0</v>
      </c>
    </row>
    <row r="3190" ht="25.5">
      <c r="A3190" t="s">
        <v>3221</v>
      </c>
      <c r="B3190" s="19">
        <v>101993</v>
      </c>
      <c r="C3190" s="20" t="s">
        <v>3254</v>
      </c>
      <c r="D3190" s="19" t="s">
        <v>29</v>
      </c>
      <c r="E3190" s="21">
        <f t="shared" si="146"/>
        <v>310.47000000000003</v>
      </c>
      <c r="F3190" s="22">
        <v>0.35999999999999999</v>
      </c>
      <c r="G3190" s="21">
        <f t="shared" si="147"/>
        <v>308.31</v>
      </c>
      <c r="H3190" s="22">
        <v>0.37</v>
      </c>
      <c r="I3190" s="23" t="str">
        <f t="shared" si="148"/>
        <v xml:space="preserve">COM VALOR</v>
      </c>
      <c r="J3190" s="19"/>
      <c r="L3190" s="21">
        <v>310.47000000000003</v>
      </c>
      <c r="M3190" s="22">
        <v>0</v>
      </c>
      <c r="N3190" s="21">
        <v>308.31</v>
      </c>
      <c r="O3190" s="22">
        <v>0</v>
      </c>
    </row>
    <row r="3191" ht="38.25">
      <c r="A3191" t="s">
        <v>3221</v>
      </c>
      <c r="B3191" s="19">
        <v>101988</v>
      </c>
      <c r="C3191" s="20" t="s">
        <v>3255</v>
      </c>
      <c r="D3191" s="19" t="s">
        <v>29</v>
      </c>
      <c r="E3191" s="21">
        <f t="shared" si="146"/>
        <v>182.56</v>
      </c>
      <c r="F3191" s="22">
        <v>0.45000000000000001</v>
      </c>
      <c r="G3191" s="21">
        <f t="shared" si="147"/>
        <v>180.47</v>
      </c>
      <c r="H3191" s="22">
        <v>0.45000000000000001</v>
      </c>
      <c r="I3191" s="23" t="str">
        <f t="shared" si="148"/>
        <v xml:space="preserve">COM VALOR</v>
      </c>
      <c r="J3191" s="19"/>
      <c r="L3191" s="21">
        <v>182.56</v>
      </c>
      <c r="M3191" s="22">
        <v>0</v>
      </c>
      <c r="N3191" s="21">
        <v>180.47</v>
      </c>
      <c r="O3191" s="22">
        <v>0</v>
      </c>
    </row>
    <row r="3192" ht="38.25">
      <c r="A3192" t="s">
        <v>3221</v>
      </c>
      <c r="B3192" s="19">
        <v>101989</v>
      </c>
      <c r="C3192" s="20" t="s">
        <v>3256</v>
      </c>
      <c r="D3192" s="19" t="s">
        <v>29</v>
      </c>
      <c r="E3192" s="21">
        <f t="shared" si="146"/>
        <v>144.18000000000001</v>
      </c>
      <c r="F3192" s="22">
        <v>0.38</v>
      </c>
      <c r="G3192" s="21">
        <f t="shared" si="147"/>
        <v>142.09</v>
      </c>
      <c r="H3192" s="22">
        <v>0.39000000000000001</v>
      </c>
      <c r="I3192" s="23" t="str">
        <f t="shared" si="148"/>
        <v xml:space="preserve">COM VALOR</v>
      </c>
      <c r="J3192" s="19"/>
      <c r="L3192" s="21">
        <v>144.18000000000001</v>
      </c>
      <c r="M3192" s="22">
        <v>0</v>
      </c>
      <c r="N3192" s="21">
        <v>142.09</v>
      </c>
      <c r="O3192" s="22">
        <v>0</v>
      </c>
    </row>
    <row r="3193" ht="25.5">
      <c r="A3193" t="s">
        <v>3221</v>
      </c>
      <c r="B3193" s="19">
        <v>101990</v>
      </c>
      <c r="C3193" s="20" t="s">
        <v>3257</v>
      </c>
      <c r="D3193" s="19" t="s">
        <v>29</v>
      </c>
      <c r="E3193" s="21">
        <f t="shared" si="146"/>
        <v>239.41999999999999</v>
      </c>
      <c r="F3193" s="22">
        <v>0.27000000000000002</v>
      </c>
      <c r="G3193" s="21">
        <f t="shared" si="147"/>
        <v>237.34999999999999</v>
      </c>
      <c r="H3193" s="22">
        <v>0.27000000000000002</v>
      </c>
      <c r="I3193" s="23" t="str">
        <f t="shared" si="148"/>
        <v xml:space="preserve">COM VALOR</v>
      </c>
      <c r="J3193" s="19"/>
      <c r="L3193" s="21">
        <v>239.41999999999999</v>
      </c>
      <c r="M3193" s="22">
        <v>0</v>
      </c>
      <c r="N3193" s="21">
        <v>237.34999999999999</v>
      </c>
      <c r="O3193" s="22">
        <v>0</v>
      </c>
    </row>
    <row r="3194" ht="38.25">
      <c r="A3194" t="s">
        <v>3221</v>
      </c>
      <c r="B3194" s="19">
        <v>101985</v>
      </c>
      <c r="C3194" s="20" t="s">
        <v>3258</v>
      </c>
      <c r="D3194" s="19" t="s">
        <v>29</v>
      </c>
      <c r="E3194" s="21">
        <f t="shared" si="146"/>
        <v>186.05000000000001</v>
      </c>
      <c r="F3194" s="22">
        <v>0.37</v>
      </c>
      <c r="G3194" s="21">
        <f t="shared" si="147"/>
        <v>184</v>
      </c>
      <c r="H3194" s="22">
        <v>0.38</v>
      </c>
      <c r="I3194" s="23" t="str">
        <f t="shared" si="148"/>
        <v xml:space="preserve">COM VALOR</v>
      </c>
      <c r="J3194" s="19"/>
      <c r="L3194" s="21">
        <v>186.05000000000001</v>
      </c>
      <c r="M3194" s="22">
        <v>0</v>
      </c>
      <c r="N3194" s="21">
        <v>184</v>
      </c>
      <c r="O3194" s="22">
        <v>0</v>
      </c>
    </row>
    <row r="3195" ht="38.25">
      <c r="A3195" t="s">
        <v>3221</v>
      </c>
      <c r="B3195" s="19">
        <v>101986</v>
      </c>
      <c r="C3195" s="20" t="s">
        <v>3259</v>
      </c>
      <c r="D3195" s="19" t="s">
        <v>29</v>
      </c>
      <c r="E3195" s="21">
        <f t="shared" si="146"/>
        <v>136.65000000000001</v>
      </c>
      <c r="F3195" s="22">
        <v>0.25</v>
      </c>
      <c r="G3195" s="21">
        <f t="shared" si="147"/>
        <v>134.59999999999999</v>
      </c>
      <c r="H3195" s="22">
        <v>0.25</v>
      </c>
      <c r="I3195" s="23" t="str">
        <f t="shared" si="148"/>
        <v xml:space="preserve">COM VALOR</v>
      </c>
      <c r="J3195" s="19"/>
      <c r="L3195" s="21">
        <v>136.65000000000001</v>
      </c>
      <c r="M3195" s="22">
        <v>0</v>
      </c>
      <c r="N3195" s="21">
        <v>134.59999999999999</v>
      </c>
      <c r="O3195" s="22">
        <v>0</v>
      </c>
    </row>
    <row r="3196" ht="25.5">
      <c r="A3196" t="s">
        <v>3221</v>
      </c>
      <c r="B3196" s="19">
        <v>101987</v>
      </c>
      <c r="C3196" s="20" t="s">
        <v>3260</v>
      </c>
      <c r="D3196" s="19" t="s">
        <v>29</v>
      </c>
      <c r="E3196" s="21">
        <f t="shared" si="146"/>
        <v>263.95999999999998</v>
      </c>
      <c r="F3196" s="22">
        <v>0.39000000000000001</v>
      </c>
      <c r="G3196" s="21">
        <f t="shared" si="147"/>
        <v>261.94999999999999</v>
      </c>
      <c r="H3196" s="22">
        <v>0.39000000000000001</v>
      </c>
      <c r="I3196" s="23" t="str">
        <f t="shared" si="148"/>
        <v xml:space="preserve">COM VALOR</v>
      </c>
      <c r="J3196" s="19"/>
      <c r="L3196" s="21">
        <v>263.95999999999998</v>
      </c>
      <c r="M3196" s="22">
        <v>0</v>
      </c>
      <c r="N3196" s="21">
        <v>261.94999999999999</v>
      </c>
      <c r="O3196" s="22">
        <v>0</v>
      </c>
    </row>
    <row r="3197" ht="38.25">
      <c r="A3197" t="s">
        <v>3221</v>
      </c>
      <c r="B3197" s="19">
        <v>101969</v>
      </c>
      <c r="C3197" s="20" t="s">
        <v>3261</v>
      </c>
      <c r="D3197" s="19" t="s">
        <v>29</v>
      </c>
      <c r="E3197" s="21">
        <f t="shared" si="146"/>
        <v>175.22</v>
      </c>
      <c r="F3197" s="22">
        <v>0.26000000000000001</v>
      </c>
      <c r="G3197" s="21">
        <f t="shared" si="147"/>
        <v>173.47</v>
      </c>
      <c r="H3197" s="22">
        <v>0.26000000000000001</v>
      </c>
      <c r="I3197" s="23" t="str">
        <f t="shared" si="148"/>
        <v xml:space="preserve">COM VALOR</v>
      </c>
      <c r="J3197" s="19"/>
      <c r="L3197" s="21">
        <v>175.22</v>
      </c>
      <c r="M3197" s="22">
        <v>0</v>
      </c>
      <c r="N3197" s="21">
        <v>173.47</v>
      </c>
      <c r="O3197" s="22">
        <v>0</v>
      </c>
    </row>
    <row r="3198" ht="38.25">
      <c r="A3198" t="s">
        <v>3221</v>
      </c>
      <c r="B3198" s="19">
        <v>101971</v>
      </c>
      <c r="C3198" s="20" t="s">
        <v>3262</v>
      </c>
      <c r="D3198" s="19" t="s">
        <v>29</v>
      </c>
      <c r="E3198" s="21">
        <f t="shared" si="146"/>
        <v>136.36000000000001</v>
      </c>
      <c r="F3198" s="22">
        <v>0.35999999999999999</v>
      </c>
      <c r="G3198" s="21">
        <f t="shared" si="147"/>
        <v>134.61000000000001</v>
      </c>
      <c r="H3198" s="22">
        <v>0.37</v>
      </c>
      <c r="I3198" s="23" t="str">
        <f t="shared" si="148"/>
        <v xml:space="preserve">COM VALOR</v>
      </c>
      <c r="J3198" s="19"/>
      <c r="L3198" s="21">
        <v>136.36000000000001</v>
      </c>
      <c r="M3198" s="22">
        <v>0</v>
      </c>
      <c r="N3198" s="21">
        <v>134.61000000000001</v>
      </c>
      <c r="O3198" s="22">
        <v>0</v>
      </c>
    </row>
    <row r="3199" ht="25.5">
      <c r="A3199" t="s">
        <v>3221</v>
      </c>
      <c r="B3199" s="19">
        <v>101973</v>
      </c>
      <c r="C3199" s="20" t="s">
        <v>3263</v>
      </c>
      <c r="D3199" s="19" t="s">
        <v>29</v>
      </c>
      <c r="E3199" s="21">
        <f t="shared" si="146"/>
        <v>222.36000000000001</v>
      </c>
      <c r="F3199" s="22">
        <v>0.20999999999999999</v>
      </c>
      <c r="G3199" s="21">
        <f t="shared" si="147"/>
        <v>220.46000000000001</v>
      </c>
      <c r="H3199" s="22">
        <v>0.22</v>
      </c>
      <c r="I3199" s="23" t="str">
        <f t="shared" si="148"/>
        <v xml:space="preserve">COM VALOR</v>
      </c>
      <c r="J3199" s="19"/>
      <c r="L3199" s="21">
        <v>222.36000000000001</v>
      </c>
      <c r="M3199" s="22">
        <v>0</v>
      </c>
      <c r="N3199" s="21">
        <v>220.46000000000001</v>
      </c>
      <c r="O3199" s="22">
        <v>0</v>
      </c>
    </row>
    <row r="3200" ht="38.25">
      <c r="A3200" t="s">
        <v>3221</v>
      </c>
      <c r="B3200" s="19">
        <v>102072</v>
      </c>
      <c r="C3200" s="20" t="s">
        <v>3264</v>
      </c>
      <c r="D3200" s="19" t="s">
        <v>29</v>
      </c>
      <c r="E3200" s="21">
        <f t="shared" si="146"/>
        <v>189.74000000000001</v>
      </c>
      <c r="F3200" s="22">
        <v>0.45000000000000001</v>
      </c>
      <c r="G3200" s="21">
        <f t="shared" si="147"/>
        <v>184.63</v>
      </c>
      <c r="H3200" s="22">
        <v>0.45000000000000001</v>
      </c>
      <c r="I3200" s="23" t="str">
        <f t="shared" si="148"/>
        <v xml:space="preserve">COM VALOR</v>
      </c>
      <c r="J3200" s="19"/>
      <c r="L3200" s="21">
        <v>189.74000000000001</v>
      </c>
      <c r="M3200" s="22">
        <v>0</v>
      </c>
      <c r="N3200" s="21">
        <v>184.63</v>
      </c>
      <c r="O3200" s="22">
        <v>0</v>
      </c>
    </row>
    <row r="3201" ht="38.25">
      <c r="A3201" t="s">
        <v>3221</v>
      </c>
      <c r="B3201" s="19">
        <v>102070</v>
      </c>
      <c r="C3201" s="20" t="s">
        <v>3265</v>
      </c>
      <c r="D3201" s="19" t="s">
        <v>29</v>
      </c>
      <c r="E3201" s="21">
        <f t="shared" si="146"/>
        <v>224.22999999999999</v>
      </c>
      <c r="F3201" s="22">
        <v>0.31</v>
      </c>
      <c r="G3201" s="21">
        <f t="shared" si="147"/>
        <v>218.27000000000001</v>
      </c>
      <c r="H3201" s="22">
        <v>0.32000000000000001</v>
      </c>
      <c r="I3201" s="23" t="str">
        <f t="shared" si="148"/>
        <v xml:space="preserve">COM VALOR</v>
      </c>
      <c r="J3201" s="19"/>
      <c r="L3201" s="21">
        <v>224.22999999999999</v>
      </c>
      <c r="M3201" s="22">
        <v>0</v>
      </c>
      <c r="N3201" s="21">
        <v>218.27000000000001</v>
      </c>
      <c r="O3201" s="22">
        <v>0</v>
      </c>
    </row>
    <row r="3202" ht="38.25">
      <c r="A3202" t="s">
        <v>3221</v>
      </c>
      <c r="B3202" s="19">
        <v>102071</v>
      </c>
      <c r="C3202" s="20" t="s">
        <v>3266</v>
      </c>
      <c r="D3202" s="19" t="s">
        <v>29</v>
      </c>
      <c r="E3202" s="21">
        <f t="shared" si="146"/>
        <v>200.12</v>
      </c>
      <c r="F3202" s="22">
        <v>0.10000000000000001</v>
      </c>
      <c r="G3202" s="21">
        <f t="shared" si="147"/>
        <v>194.65000000000001</v>
      </c>
      <c r="H3202" s="22">
        <v>0.10000000000000001</v>
      </c>
      <c r="I3202" s="23" t="str">
        <f t="shared" si="148"/>
        <v xml:space="preserve">COM VALOR</v>
      </c>
      <c r="J3202" s="19"/>
      <c r="L3202" s="21">
        <v>200.12</v>
      </c>
      <c r="M3202" s="22">
        <v>0</v>
      </c>
      <c r="N3202" s="21">
        <v>194.65000000000001</v>
      </c>
      <c r="O3202" s="22">
        <v>0</v>
      </c>
    </row>
    <row r="3203" ht="38.25">
      <c r="A3203" t="s">
        <v>3221</v>
      </c>
      <c r="B3203" s="19">
        <v>102068</v>
      </c>
      <c r="C3203" s="20" t="s">
        <v>3267</v>
      </c>
      <c r="D3203" s="19" t="s">
        <v>29</v>
      </c>
      <c r="E3203" s="21">
        <f t="shared" si="146"/>
        <v>269.81</v>
      </c>
      <c r="F3203" s="22">
        <v>0.10000000000000001</v>
      </c>
      <c r="G3203" s="21">
        <f t="shared" si="147"/>
        <v>260.95999999999998</v>
      </c>
      <c r="H3203" s="22">
        <v>0.10000000000000001</v>
      </c>
      <c r="I3203" s="23" t="str">
        <f t="shared" si="148"/>
        <v xml:space="preserve">COM VALOR</v>
      </c>
      <c r="J3203" s="19"/>
      <c r="L3203" s="21">
        <v>269.81</v>
      </c>
      <c r="M3203" s="22">
        <v>0</v>
      </c>
      <c r="N3203" s="21">
        <v>260.95999999999998</v>
      </c>
      <c r="O3203" s="22">
        <v>0</v>
      </c>
    </row>
    <row r="3204" ht="38.25">
      <c r="A3204" t="s">
        <v>3221</v>
      </c>
      <c r="B3204" s="19">
        <v>102069</v>
      </c>
      <c r="C3204" s="20" t="s">
        <v>3268</v>
      </c>
      <c r="D3204" s="19" t="s">
        <v>29</v>
      </c>
      <c r="E3204" s="21">
        <f t="shared" si="146"/>
        <v>253.90000000000001</v>
      </c>
      <c r="F3204" s="22">
        <v>0.10000000000000001</v>
      </c>
      <c r="G3204" s="21">
        <f t="shared" si="147"/>
        <v>246.65000000000001</v>
      </c>
      <c r="H3204" s="22">
        <v>0.11</v>
      </c>
      <c r="I3204" s="23" t="str">
        <f t="shared" si="148"/>
        <v xml:space="preserve">COM VALOR</v>
      </c>
      <c r="J3204" s="19"/>
      <c r="L3204" s="21">
        <v>253.90000000000001</v>
      </c>
      <c r="M3204" s="22">
        <v>0</v>
      </c>
      <c r="N3204" s="21">
        <v>246.65000000000001</v>
      </c>
      <c r="O3204" s="22">
        <v>0</v>
      </c>
    </row>
    <row r="3205" ht="38.25">
      <c r="A3205" t="s">
        <v>3221</v>
      </c>
      <c r="B3205" s="19">
        <v>102066</v>
      </c>
      <c r="C3205" s="20" t="s">
        <v>3269</v>
      </c>
      <c r="D3205" s="19" t="s">
        <v>29</v>
      </c>
      <c r="E3205" s="21">
        <f t="shared" si="146"/>
        <v>506.54000000000002</v>
      </c>
      <c r="F3205" s="22">
        <v>0.11</v>
      </c>
      <c r="G3205" s="21">
        <f t="shared" si="147"/>
        <v>493.74000000000001</v>
      </c>
      <c r="H3205" s="22">
        <v>0.11</v>
      </c>
      <c r="I3205" s="23" t="str">
        <f t="shared" si="148"/>
        <v xml:space="preserve">COM VALOR</v>
      </c>
      <c r="J3205" s="19"/>
      <c r="L3205" s="21">
        <v>506.54000000000002</v>
      </c>
      <c r="M3205" s="22">
        <v>0</v>
      </c>
      <c r="N3205" s="21">
        <v>493.74000000000001</v>
      </c>
      <c r="O3205" s="22">
        <v>0</v>
      </c>
    </row>
    <row r="3206" ht="38.25">
      <c r="A3206" t="s">
        <v>3221</v>
      </c>
      <c r="B3206" s="19">
        <v>102067</v>
      </c>
      <c r="C3206" s="20" t="s">
        <v>3270</v>
      </c>
      <c r="D3206" s="19" t="s">
        <v>29</v>
      </c>
      <c r="E3206" s="21">
        <f t="shared" si="146"/>
        <v>434.06</v>
      </c>
      <c r="F3206" s="22">
        <v>0.12</v>
      </c>
      <c r="G3206" s="21">
        <f t="shared" si="147"/>
        <v>423.87</v>
      </c>
      <c r="H3206" s="22">
        <v>0.12</v>
      </c>
      <c r="I3206" s="23" t="str">
        <f t="shared" si="148"/>
        <v xml:space="preserve">COM VALOR</v>
      </c>
      <c r="J3206" s="19"/>
      <c r="L3206" s="21">
        <v>434.06</v>
      </c>
      <c r="M3206" s="22">
        <v>0</v>
      </c>
      <c r="N3206" s="21">
        <v>423.87</v>
      </c>
      <c r="O3206" s="22">
        <v>0</v>
      </c>
    </row>
    <row r="3207" ht="38.25">
      <c r="A3207" t="s">
        <v>3221</v>
      </c>
      <c r="B3207" s="19">
        <v>102065</v>
      </c>
      <c r="C3207" s="20" t="s">
        <v>3271</v>
      </c>
      <c r="D3207" s="19" t="s">
        <v>29</v>
      </c>
      <c r="E3207" s="21">
        <f t="shared" si="146"/>
        <v>205.47</v>
      </c>
      <c r="F3207" s="22">
        <v>0.12</v>
      </c>
      <c r="G3207" s="21">
        <f t="shared" si="147"/>
        <v>200.40000000000001</v>
      </c>
      <c r="H3207" s="22">
        <v>0.12</v>
      </c>
      <c r="I3207" s="23" t="str">
        <f t="shared" si="148"/>
        <v xml:space="preserve">COM VALOR</v>
      </c>
      <c r="J3207" s="19"/>
      <c r="L3207" s="21">
        <v>205.47</v>
      </c>
      <c r="M3207" s="22">
        <v>0</v>
      </c>
      <c r="N3207" s="21">
        <v>200.40000000000001</v>
      </c>
      <c r="O3207" s="22">
        <v>0</v>
      </c>
    </row>
    <row r="3208" ht="38.25">
      <c r="A3208" t="s">
        <v>3221</v>
      </c>
      <c r="B3208" s="19">
        <v>102063</v>
      </c>
      <c r="C3208" s="20" t="s">
        <v>3272</v>
      </c>
      <c r="D3208" s="19" t="s">
        <v>29</v>
      </c>
      <c r="E3208" s="21">
        <f t="shared" si="146"/>
        <v>244.44</v>
      </c>
      <c r="F3208" s="22">
        <v>0.11</v>
      </c>
      <c r="G3208" s="21">
        <f t="shared" si="147"/>
        <v>238.59999999999999</v>
      </c>
      <c r="H3208" s="22">
        <v>0.11</v>
      </c>
      <c r="I3208" s="23" t="str">
        <f t="shared" si="148"/>
        <v xml:space="preserve">COM VALOR</v>
      </c>
      <c r="J3208" s="19"/>
      <c r="L3208" s="21">
        <v>244.44</v>
      </c>
      <c r="M3208" s="22">
        <v>0</v>
      </c>
      <c r="N3208" s="21">
        <v>238.59999999999999</v>
      </c>
      <c r="O3208" s="22">
        <v>0</v>
      </c>
    </row>
    <row r="3209" ht="38.25">
      <c r="A3209" t="s">
        <v>3221</v>
      </c>
      <c r="B3209" s="19">
        <v>102064</v>
      </c>
      <c r="C3209" s="20" t="s">
        <v>3273</v>
      </c>
      <c r="D3209" s="19" t="s">
        <v>29</v>
      </c>
      <c r="E3209" s="21">
        <f t="shared" si="146"/>
        <v>219.40000000000001</v>
      </c>
      <c r="F3209" s="22">
        <v>0.12</v>
      </c>
      <c r="G3209" s="21">
        <f t="shared" si="147"/>
        <v>214.03999999999999</v>
      </c>
      <c r="H3209" s="22">
        <v>0.12</v>
      </c>
      <c r="I3209" s="23" t="str">
        <f t="shared" si="148"/>
        <v xml:space="preserve">COM VALOR</v>
      </c>
      <c r="J3209" s="19"/>
      <c r="L3209" s="21">
        <v>219.40000000000001</v>
      </c>
      <c r="M3209" s="22">
        <v>0</v>
      </c>
      <c r="N3209" s="21">
        <v>214.03999999999999</v>
      </c>
      <c r="O3209" s="22">
        <v>0</v>
      </c>
    </row>
    <row r="3210" ht="38.25">
      <c r="A3210" t="s">
        <v>3221</v>
      </c>
      <c r="B3210" s="19">
        <v>102061</v>
      </c>
      <c r="C3210" s="20" t="s">
        <v>3274</v>
      </c>
      <c r="D3210" s="19" t="s">
        <v>29</v>
      </c>
      <c r="E3210" s="21">
        <f t="shared" si="146"/>
        <v>292.88999999999999</v>
      </c>
      <c r="F3210" s="22">
        <v>0.12</v>
      </c>
      <c r="G3210" s="21">
        <f t="shared" si="147"/>
        <v>284.23000000000002</v>
      </c>
      <c r="H3210" s="22">
        <v>0.12</v>
      </c>
      <c r="I3210" s="23" t="str">
        <f t="shared" si="148"/>
        <v xml:space="preserve">COM VALOR</v>
      </c>
      <c r="J3210" s="19"/>
      <c r="L3210" s="21">
        <v>292.88999999999999</v>
      </c>
      <c r="M3210" s="22">
        <v>0</v>
      </c>
      <c r="N3210" s="21">
        <v>284.23000000000002</v>
      </c>
      <c r="O3210" s="22">
        <v>0</v>
      </c>
    </row>
    <row r="3211" ht="38.25">
      <c r="A3211" t="s">
        <v>3221</v>
      </c>
      <c r="B3211" s="19">
        <v>102062</v>
      </c>
      <c r="C3211" s="20" t="s">
        <v>3275</v>
      </c>
      <c r="D3211" s="19" t="s">
        <v>29</v>
      </c>
      <c r="E3211" s="21">
        <f t="shared" ref="E3211:E3274" si="149">IF(L3211=0,"VERIFICAR",L3211)</f>
        <v>279.89999999999998</v>
      </c>
      <c r="F3211" s="22">
        <v>0.11</v>
      </c>
      <c r="G3211" s="21">
        <f t="shared" ref="G3211:G3274" si="150">IF(N3211=0,"VERIFICAR",N3211)</f>
        <v>272.87</v>
      </c>
      <c r="H3211" s="22">
        <v>0.12</v>
      </c>
      <c r="I3211" s="23" t="str">
        <f t="shared" ref="I3211:I3274" si="151">IF(OR(E3211=0,G3211=0),"SEM VALOR","COM VALOR")</f>
        <v xml:space="preserve">COM VALOR</v>
      </c>
      <c r="J3211" s="19"/>
      <c r="L3211" s="21">
        <v>279.89999999999998</v>
      </c>
      <c r="M3211" s="22">
        <v>0</v>
      </c>
      <c r="N3211" s="21">
        <v>272.87</v>
      </c>
      <c r="O3211" s="22">
        <v>0</v>
      </c>
    </row>
    <row r="3212" ht="38.25">
      <c r="A3212" t="s">
        <v>3221</v>
      </c>
      <c r="B3212" s="19">
        <v>102059</v>
      </c>
      <c r="C3212" s="20" t="s">
        <v>3276</v>
      </c>
      <c r="D3212" s="19" t="s">
        <v>29</v>
      </c>
      <c r="E3212" s="21">
        <f t="shared" si="149"/>
        <v>477.51999999999998</v>
      </c>
      <c r="F3212" s="22">
        <v>0.12</v>
      </c>
      <c r="G3212" s="21">
        <f t="shared" si="150"/>
        <v>464.50999999999999</v>
      </c>
      <c r="H3212" s="22">
        <v>0.12</v>
      </c>
      <c r="I3212" s="23" t="str">
        <f t="shared" si="151"/>
        <v xml:space="preserve">COM VALOR</v>
      </c>
      <c r="J3212" s="19"/>
      <c r="L3212" s="21">
        <v>477.51999999999998</v>
      </c>
      <c r="M3212" s="22">
        <v>0</v>
      </c>
      <c r="N3212" s="21">
        <v>464.50999999999999</v>
      </c>
      <c r="O3212" s="22">
        <v>0</v>
      </c>
    </row>
    <row r="3213" ht="38.25">
      <c r="A3213" t="s">
        <v>3221</v>
      </c>
      <c r="B3213" s="19">
        <v>102060</v>
      </c>
      <c r="C3213" s="20" t="s">
        <v>3277</v>
      </c>
      <c r="D3213" s="19" t="s">
        <v>29</v>
      </c>
      <c r="E3213" s="21">
        <f t="shared" si="149"/>
        <v>400.76999999999998</v>
      </c>
      <c r="F3213" s="22">
        <v>0.11</v>
      </c>
      <c r="G3213" s="21">
        <f t="shared" si="150"/>
        <v>390.44</v>
      </c>
      <c r="H3213" s="22">
        <v>0.12</v>
      </c>
      <c r="I3213" s="23" t="str">
        <f t="shared" si="151"/>
        <v xml:space="preserve">COM VALOR</v>
      </c>
      <c r="J3213" s="19"/>
      <c r="L3213" s="21">
        <v>400.76999999999998</v>
      </c>
      <c r="M3213" s="22">
        <v>0</v>
      </c>
      <c r="N3213" s="21">
        <v>390.44</v>
      </c>
      <c r="O3213" s="22">
        <v>0</v>
      </c>
    </row>
    <row r="3214" ht="38.25">
      <c r="A3214" t="s">
        <v>3221</v>
      </c>
      <c r="B3214" s="19">
        <v>102052</v>
      </c>
      <c r="C3214" s="20" t="s">
        <v>3278</v>
      </c>
      <c r="D3214" s="19" t="s">
        <v>29</v>
      </c>
      <c r="E3214" s="21">
        <f t="shared" si="149"/>
        <v>190.81999999999999</v>
      </c>
      <c r="F3214" s="22">
        <v>0.29999999999999999</v>
      </c>
      <c r="G3214" s="21">
        <f t="shared" si="150"/>
        <v>184.74000000000001</v>
      </c>
      <c r="H3214" s="22">
        <v>0.29999999999999999</v>
      </c>
      <c r="I3214" s="23" t="str">
        <f t="shared" si="151"/>
        <v xml:space="preserve">COM VALOR</v>
      </c>
      <c r="J3214" s="19"/>
      <c r="L3214" s="21">
        <v>190.81999999999999</v>
      </c>
      <c r="M3214" s="22">
        <v>0</v>
      </c>
      <c r="N3214" s="21">
        <v>184.74000000000001</v>
      </c>
      <c r="O3214" s="22">
        <v>0</v>
      </c>
    </row>
    <row r="3215" ht="38.25">
      <c r="A3215" t="s">
        <v>3221</v>
      </c>
      <c r="B3215" s="19">
        <v>102050</v>
      </c>
      <c r="C3215" s="20" t="s">
        <v>3279</v>
      </c>
      <c r="D3215" s="19" t="s">
        <v>29</v>
      </c>
      <c r="E3215" s="21">
        <f t="shared" si="149"/>
        <v>231.46000000000001</v>
      </c>
      <c r="F3215" s="22">
        <v>0.33000000000000002</v>
      </c>
      <c r="G3215" s="21">
        <f t="shared" si="150"/>
        <v>224.46000000000001</v>
      </c>
      <c r="H3215" s="22">
        <v>0.33000000000000002</v>
      </c>
      <c r="I3215" s="23" t="str">
        <f t="shared" si="151"/>
        <v xml:space="preserve">COM VALOR</v>
      </c>
      <c r="J3215" s="19"/>
      <c r="L3215" s="21">
        <v>231.46000000000001</v>
      </c>
      <c r="M3215" s="22">
        <v>0</v>
      </c>
      <c r="N3215" s="21">
        <v>224.46000000000001</v>
      </c>
      <c r="O3215" s="22">
        <v>0</v>
      </c>
    </row>
    <row r="3216" ht="38.25">
      <c r="A3216" t="s">
        <v>3221</v>
      </c>
      <c r="B3216" s="19">
        <v>102051</v>
      </c>
      <c r="C3216" s="20" t="s">
        <v>3280</v>
      </c>
      <c r="D3216" s="19" t="s">
        <v>29</v>
      </c>
      <c r="E3216" s="21">
        <f t="shared" si="149"/>
        <v>205.36000000000001</v>
      </c>
      <c r="F3216" s="22">
        <v>0.33000000000000002</v>
      </c>
      <c r="G3216" s="21">
        <f t="shared" si="150"/>
        <v>198.94999999999999</v>
      </c>
      <c r="H3216" s="22">
        <v>0.33000000000000002</v>
      </c>
      <c r="I3216" s="23" t="str">
        <f t="shared" si="151"/>
        <v xml:space="preserve">COM VALOR</v>
      </c>
      <c r="J3216" s="19"/>
      <c r="L3216" s="21">
        <v>205.36000000000001</v>
      </c>
      <c r="M3216" s="22">
        <v>0</v>
      </c>
      <c r="N3216" s="21">
        <v>198.94999999999999</v>
      </c>
      <c r="O3216" s="22">
        <v>0</v>
      </c>
    </row>
    <row r="3217" ht="38.25">
      <c r="A3217" t="s">
        <v>3221</v>
      </c>
      <c r="B3217" s="19">
        <v>102048</v>
      </c>
      <c r="C3217" s="20" t="s">
        <v>3281</v>
      </c>
      <c r="D3217" s="19" t="s">
        <v>29</v>
      </c>
      <c r="E3217" s="21">
        <f t="shared" si="149"/>
        <v>289.66000000000003</v>
      </c>
      <c r="F3217" s="22">
        <v>0.34000000000000002</v>
      </c>
      <c r="G3217" s="21">
        <f t="shared" si="150"/>
        <v>279.29000000000002</v>
      </c>
      <c r="H3217" s="22">
        <v>0.34000000000000002</v>
      </c>
      <c r="I3217" s="23" t="str">
        <f t="shared" si="151"/>
        <v xml:space="preserve">COM VALOR</v>
      </c>
      <c r="J3217" s="19"/>
      <c r="L3217" s="21">
        <v>289.66000000000003</v>
      </c>
      <c r="M3217" s="22">
        <v>0</v>
      </c>
      <c r="N3217" s="21">
        <v>279.29000000000002</v>
      </c>
      <c r="O3217" s="22">
        <v>0</v>
      </c>
    </row>
    <row r="3218" ht="38.25">
      <c r="A3218" t="s">
        <v>3221</v>
      </c>
      <c r="B3218" s="19">
        <v>102049</v>
      </c>
      <c r="C3218" s="20" t="s">
        <v>3282</v>
      </c>
      <c r="D3218" s="19" t="s">
        <v>29</v>
      </c>
      <c r="E3218" s="21">
        <f t="shared" si="149"/>
        <v>263.12</v>
      </c>
      <c r="F3218" s="22">
        <v>0.34000000000000002</v>
      </c>
      <c r="G3218" s="21">
        <f t="shared" si="150"/>
        <v>254.69</v>
      </c>
      <c r="H3218" s="22">
        <v>0.34999999999999998</v>
      </c>
      <c r="I3218" s="23" t="str">
        <f t="shared" si="151"/>
        <v xml:space="preserve">COM VALOR</v>
      </c>
      <c r="J3218" s="19"/>
      <c r="L3218" s="21">
        <v>263.12</v>
      </c>
      <c r="M3218" s="22">
        <v>0</v>
      </c>
      <c r="N3218" s="21">
        <v>254.69</v>
      </c>
      <c r="O3218" s="22">
        <v>0</v>
      </c>
    </row>
    <row r="3219" ht="25.5">
      <c r="A3219" t="s">
        <v>3221</v>
      </c>
      <c r="B3219" s="19">
        <v>102046</v>
      </c>
      <c r="C3219" s="20" t="s">
        <v>3283</v>
      </c>
      <c r="D3219" s="19" t="s">
        <v>29</v>
      </c>
      <c r="E3219" s="21">
        <f t="shared" si="149"/>
        <v>572.89999999999998</v>
      </c>
      <c r="F3219" s="22">
        <v>0.34999999999999998</v>
      </c>
      <c r="G3219" s="21">
        <f t="shared" si="150"/>
        <v>558.85000000000002</v>
      </c>
      <c r="H3219" s="22">
        <v>0.35999999999999999</v>
      </c>
      <c r="I3219" s="23" t="str">
        <f t="shared" si="151"/>
        <v xml:space="preserve">COM VALOR</v>
      </c>
      <c r="J3219" s="19"/>
      <c r="L3219" s="21">
        <v>572.89999999999998</v>
      </c>
      <c r="M3219" s="22">
        <v>0</v>
      </c>
      <c r="N3219" s="21">
        <v>558.85000000000002</v>
      </c>
      <c r="O3219" s="22">
        <v>0</v>
      </c>
    </row>
    <row r="3220" ht="25.5">
      <c r="A3220" t="s">
        <v>3221</v>
      </c>
      <c r="B3220" s="19">
        <v>102047</v>
      </c>
      <c r="C3220" s="20" t="s">
        <v>3284</v>
      </c>
      <c r="D3220" s="19" t="s">
        <v>29</v>
      </c>
      <c r="E3220" s="21">
        <f t="shared" si="149"/>
        <v>488.70999999999998</v>
      </c>
      <c r="F3220" s="22">
        <v>0.10000000000000001</v>
      </c>
      <c r="G3220" s="21">
        <f t="shared" si="150"/>
        <v>477.57999999999998</v>
      </c>
      <c r="H3220" s="22">
        <v>0.10000000000000001</v>
      </c>
      <c r="I3220" s="23" t="str">
        <f t="shared" si="151"/>
        <v xml:space="preserve">COM VALOR</v>
      </c>
      <c r="J3220" s="19"/>
      <c r="L3220" s="21">
        <v>488.70999999999998</v>
      </c>
      <c r="M3220" s="22">
        <v>0</v>
      </c>
      <c r="N3220" s="21">
        <v>477.57999999999998</v>
      </c>
      <c r="O3220" s="22">
        <v>0</v>
      </c>
    </row>
    <row r="3221" ht="38.25">
      <c r="A3221" t="s">
        <v>3221</v>
      </c>
      <c r="B3221" s="19">
        <v>102045</v>
      </c>
      <c r="C3221" s="20" t="s">
        <v>3285</v>
      </c>
      <c r="D3221" s="19" t="s">
        <v>29</v>
      </c>
      <c r="E3221" s="21">
        <f t="shared" si="149"/>
        <v>214.69</v>
      </c>
      <c r="F3221" s="22">
        <v>0.11</v>
      </c>
      <c r="G3221" s="21">
        <f t="shared" si="150"/>
        <v>208.78999999999999</v>
      </c>
      <c r="H3221" s="22">
        <v>0.11</v>
      </c>
      <c r="I3221" s="23" t="str">
        <f t="shared" si="151"/>
        <v xml:space="preserve">COM VALOR</v>
      </c>
      <c r="J3221" s="19"/>
      <c r="L3221" s="21">
        <v>214.69</v>
      </c>
      <c r="M3221" s="22">
        <v>0</v>
      </c>
      <c r="N3221" s="21">
        <v>208.78999999999999</v>
      </c>
      <c r="O3221" s="22">
        <v>0</v>
      </c>
    </row>
    <row r="3222" ht="38.25">
      <c r="A3222" t="s">
        <v>3221</v>
      </c>
      <c r="B3222" s="19">
        <v>102043</v>
      </c>
      <c r="C3222" s="20" t="s">
        <v>3286</v>
      </c>
      <c r="D3222" s="19" t="s">
        <v>29</v>
      </c>
      <c r="E3222" s="21">
        <f t="shared" si="149"/>
        <v>254.5</v>
      </c>
      <c r="F3222" s="22">
        <v>0.11</v>
      </c>
      <c r="G3222" s="21">
        <f t="shared" si="150"/>
        <v>247.77000000000001</v>
      </c>
      <c r="H3222" s="22">
        <v>0.11</v>
      </c>
      <c r="I3222" s="23" t="str">
        <f t="shared" si="151"/>
        <v xml:space="preserve">COM VALOR</v>
      </c>
      <c r="J3222" s="19"/>
      <c r="L3222" s="21">
        <v>254.5</v>
      </c>
      <c r="M3222" s="22">
        <v>0</v>
      </c>
      <c r="N3222" s="21">
        <v>247.77000000000001</v>
      </c>
      <c r="O3222" s="22">
        <v>0</v>
      </c>
    </row>
    <row r="3223" ht="38.25">
      <c r="A3223" t="s">
        <v>3221</v>
      </c>
      <c r="B3223" s="19">
        <v>102044</v>
      </c>
      <c r="C3223" s="20" t="s">
        <v>3287</v>
      </c>
      <c r="D3223" s="19" t="s">
        <v>29</v>
      </c>
      <c r="E3223" s="21">
        <f t="shared" si="149"/>
        <v>229.62</v>
      </c>
      <c r="F3223" s="22">
        <v>0.11</v>
      </c>
      <c r="G3223" s="21">
        <f t="shared" si="150"/>
        <v>223.41999999999999</v>
      </c>
      <c r="H3223" s="22">
        <v>0.11</v>
      </c>
      <c r="I3223" s="23" t="str">
        <f t="shared" si="151"/>
        <v xml:space="preserve">COM VALOR</v>
      </c>
      <c r="J3223" s="19"/>
      <c r="L3223" s="21">
        <v>229.62</v>
      </c>
      <c r="M3223" s="22">
        <v>0</v>
      </c>
      <c r="N3223" s="21">
        <v>223.41999999999999</v>
      </c>
      <c r="O3223" s="22">
        <v>0</v>
      </c>
    </row>
    <row r="3224" ht="38.25">
      <c r="A3224" t="s">
        <v>3221</v>
      </c>
      <c r="B3224" s="19">
        <v>102041</v>
      </c>
      <c r="C3224" s="20" t="s">
        <v>3288</v>
      </c>
      <c r="D3224" s="19" t="s">
        <v>29</v>
      </c>
      <c r="E3224" s="21">
        <f t="shared" si="149"/>
        <v>313.31</v>
      </c>
      <c r="F3224" s="22">
        <v>0.12</v>
      </c>
      <c r="G3224" s="21">
        <f t="shared" si="150"/>
        <v>303.35000000000002</v>
      </c>
      <c r="H3224" s="22">
        <v>0.12</v>
      </c>
      <c r="I3224" s="23" t="str">
        <f t="shared" si="151"/>
        <v xml:space="preserve">COM VALOR</v>
      </c>
      <c r="J3224" s="19"/>
      <c r="L3224" s="21">
        <v>313.31</v>
      </c>
      <c r="M3224" s="22">
        <v>0</v>
      </c>
      <c r="N3224" s="21">
        <v>303.35000000000002</v>
      </c>
      <c r="O3224" s="22">
        <v>0</v>
      </c>
    </row>
    <row r="3225" ht="38.25">
      <c r="A3225" t="s">
        <v>3221</v>
      </c>
      <c r="B3225" s="19">
        <v>102042</v>
      </c>
      <c r="C3225" s="20" t="s">
        <v>3289</v>
      </c>
      <c r="D3225" s="19" t="s">
        <v>29</v>
      </c>
      <c r="E3225" s="21">
        <f t="shared" si="149"/>
        <v>291.31</v>
      </c>
      <c r="F3225" s="22">
        <v>0.12</v>
      </c>
      <c r="G3225" s="21">
        <f t="shared" si="150"/>
        <v>283.31999999999999</v>
      </c>
      <c r="H3225" s="22">
        <v>0.12</v>
      </c>
      <c r="I3225" s="23" t="str">
        <f t="shared" si="151"/>
        <v xml:space="preserve">COM VALOR</v>
      </c>
      <c r="J3225" s="19"/>
      <c r="L3225" s="21">
        <v>291.31</v>
      </c>
      <c r="M3225" s="22">
        <v>0</v>
      </c>
      <c r="N3225" s="21">
        <v>283.31999999999999</v>
      </c>
      <c r="O3225" s="22">
        <v>0</v>
      </c>
    </row>
    <row r="3226" ht="25.5">
      <c r="A3226" t="s">
        <v>3221</v>
      </c>
      <c r="B3226" s="19">
        <v>102039</v>
      </c>
      <c r="C3226" s="20" t="s">
        <v>3290</v>
      </c>
      <c r="D3226" s="19" t="s">
        <v>29</v>
      </c>
      <c r="E3226" s="21">
        <f t="shared" si="149"/>
        <v>514.73000000000002</v>
      </c>
      <c r="F3226" s="22">
        <v>0.11</v>
      </c>
      <c r="G3226" s="21">
        <f t="shared" si="150"/>
        <v>500.43000000000001</v>
      </c>
      <c r="H3226" s="22">
        <v>0.11</v>
      </c>
      <c r="I3226" s="23" t="str">
        <f t="shared" si="151"/>
        <v xml:space="preserve">COM VALOR</v>
      </c>
      <c r="J3226" s="19"/>
      <c r="L3226" s="21">
        <v>514.73000000000002</v>
      </c>
      <c r="M3226" s="22">
        <v>0</v>
      </c>
      <c r="N3226" s="21">
        <v>500.43000000000001</v>
      </c>
      <c r="O3226" s="22">
        <v>0</v>
      </c>
    </row>
    <row r="3227" ht="25.5">
      <c r="A3227" t="s">
        <v>3221</v>
      </c>
      <c r="B3227" s="19">
        <v>102040</v>
      </c>
      <c r="C3227" s="20" t="s">
        <v>3291</v>
      </c>
      <c r="D3227" s="19" t="s">
        <v>29</v>
      </c>
      <c r="E3227" s="21">
        <f t="shared" si="149"/>
        <v>428.31</v>
      </c>
      <c r="F3227" s="22">
        <v>0.12</v>
      </c>
      <c r="G3227" s="21">
        <f t="shared" si="150"/>
        <v>417.00999999999999</v>
      </c>
      <c r="H3227" s="22">
        <v>0.12</v>
      </c>
      <c r="I3227" s="23" t="str">
        <f t="shared" si="151"/>
        <v xml:space="preserve">COM VALOR</v>
      </c>
      <c r="J3227" s="19"/>
      <c r="L3227" s="21">
        <v>428.31</v>
      </c>
      <c r="M3227" s="22">
        <v>0</v>
      </c>
      <c r="N3227" s="21">
        <v>417.00999999999999</v>
      </c>
      <c r="O3227" s="22">
        <v>0</v>
      </c>
    </row>
    <row r="3228" ht="38.25">
      <c r="A3228" t="s">
        <v>3221</v>
      </c>
      <c r="B3228" s="19">
        <v>102038</v>
      </c>
      <c r="C3228" s="20" t="s">
        <v>3292</v>
      </c>
      <c r="D3228" s="19" t="s">
        <v>29</v>
      </c>
      <c r="E3228" s="21">
        <f t="shared" si="149"/>
        <v>205.09999999999999</v>
      </c>
      <c r="F3228" s="22">
        <v>0.12</v>
      </c>
      <c r="G3228" s="21">
        <f t="shared" si="150"/>
        <v>199</v>
      </c>
      <c r="H3228" s="22">
        <v>0.12</v>
      </c>
      <c r="I3228" s="23" t="str">
        <f t="shared" si="151"/>
        <v xml:space="preserve">COM VALOR</v>
      </c>
      <c r="J3228" s="19"/>
      <c r="L3228" s="21">
        <v>205.09999999999999</v>
      </c>
      <c r="M3228" s="22">
        <v>0</v>
      </c>
      <c r="N3228" s="21">
        <v>199</v>
      </c>
      <c r="O3228" s="22">
        <v>0</v>
      </c>
    </row>
    <row r="3229" ht="38.25">
      <c r="A3229" t="s">
        <v>3221</v>
      </c>
      <c r="B3229" s="19">
        <v>102036</v>
      </c>
      <c r="C3229" s="20" t="s">
        <v>3293</v>
      </c>
      <c r="D3229" s="19" t="s">
        <v>29</v>
      </c>
      <c r="E3229" s="21">
        <f t="shared" si="149"/>
        <v>245.74000000000001</v>
      </c>
      <c r="F3229" s="22">
        <v>0.11</v>
      </c>
      <c r="G3229" s="21">
        <f t="shared" si="150"/>
        <v>238.72</v>
      </c>
      <c r="H3229" s="22">
        <v>0.11</v>
      </c>
      <c r="I3229" s="23" t="str">
        <f t="shared" si="151"/>
        <v xml:space="preserve">COM VALOR</v>
      </c>
      <c r="J3229" s="19"/>
      <c r="L3229" s="21">
        <v>245.74000000000001</v>
      </c>
      <c r="M3229" s="22">
        <v>0</v>
      </c>
      <c r="N3229" s="21">
        <v>238.72</v>
      </c>
      <c r="O3229" s="22">
        <v>0</v>
      </c>
    </row>
    <row r="3230" ht="38.25">
      <c r="A3230" t="s">
        <v>3221</v>
      </c>
      <c r="B3230" s="19">
        <v>102037</v>
      </c>
      <c r="C3230" s="20" t="s">
        <v>3294</v>
      </c>
      <c r="D3230" s="19" t="s">
        <v>29</v>
      </c>
      <c r="E3230" s="21">
        <f t="shared" si="149"/>
        <v>219.63999999999999</v>
      </c>
      <c r="F3230" s="22">
        <v>0.12</v>
      </c>
      <c r="G3230" s="21">
        <f t="shared" si="150"/>
        <v>213.21000000000001</v>
      </c>
      <c r="H3230" s="22">
        <v>0.12</v>
      </c>
      <c r="I3230" s="23" t="str">
        <f t="shared" si="151"/>
        <v xml:space="preserve">COM VALOR</v>
      </c>
      <c r="J3230" s="19"/>
      <c r="L3230" s="21">
        <v>219.63999999999999</v>
      </c>
      <c r="M3230" s="22">
        <v>0</v>
      </c>
      <c r="N3230" s="21">
        <v>213.21000000000001</v>
      </c>
      <c r="O3230" s="22">
        <v>0</v>
      </c>
    </row>
    <row r="3231" ht="38.25">
      <c r="A3231" t="s">
        <v>3221</v>
      </c>
      <c r="B3231" s="19">
        <v>102016</v>
      </c>
      <c r="C3231" s="20" t="s">
        <v>3295</v>
      </c>
      <c r="D3231" s="19" t="s">
        <v>29</v>
      </c>
      <c r="E3231" s="21">
        <f t="shared" si="149"/>
        <v>300.60000000000002</v>
      </c>
      <c r="F3231" s="22">
        <v>0.12</v>
      </c>
      <c r="G3231" s="21">
        <f t="shared" si="150"/>
        <v>290.20999999999998</v>
      </c>
      <c r="H3231" s="22">
        <v>0.12</v>
      </c>
      <c r="I3231" s="23" t="str">
        <f t="shared" si="151"/>
        <v xml:space="preserve">COM VALOR</v>
      </c>
      <c r="J3231" s="19"/>
      <c r="L3231" s="21">
        <v>300.60000000000002</v>
      </c>
      <c r="M3231" s="22">
        <v>0</v>
      </c>
      <c r="N3231" s="21">
        <v>290.20999999999998</v>
      </c>
      <c r="O3231" s="22">
        <v>0</v>
      </c>
    </row>
    <row r="3232" ht="38.25">
      <c r="A3232" t="s">
        <v>3221</v>
      </c>
      <c r="B3232" s="19">
        <v>102017</v>
      </c>
      <c r="C3232" s="20" t="s">
        <v>3296</v>
      </c>
      <c r="D3232" s="19" t="s">
        <v>29</v>
      </c>
      <c r="E3232" s="21">
        <f t="shared" si="149"/>
        <v>279.27999999999997</v>
      </c>
      <c r="F3232" s="22">
        <v>0.34999999999999998</v>
      </c>
      <c r="G3232" s="21">
        <f t="shared" si="150"/>
        <v>270.80000000000001</v>
      </c>
      <c r="H3232" s="22">
        <v>0.34999999999999998</v>
      </c>
      <c r="I3232" s="23" t="str">
        <f t="shared" si="151"/>
        <v xml:space="preserve">COM VALOR</v>
      </c>
      <c r="J3232" s="19"/>
      <c r="L3232" s="21">
        <v>279.27999999999997</v>
      </c>
      <c r="M3232" s="22">
        <v>0</v>
      </c>
      <c r="N3232" s="21">
        <v>270.80000000000001</v>
      </c>
      <c r="O3232" s="22">
        <v>0</v>
      </c>
    </row>
    <row r="3233" ht="38.25">
      <c r="A3233" t="s">
        <v>3221</v>
      </c>
      <c r="B3233" s="19">
        <v>102014</v>
      </c>
      <c r="C3233" s="20" t="s">
        <v>3297</v>
      </c>
      <c r="D3233" s="19" t="s">
        <v>29</v>
      </c>
      <c r="E3233" s="21">
        <f t="shared" si="149"/>
        <v>559.87</v>
      </c>
      <c r="F3233" s="22">
        <v>0.28000000000000003</v>
      </c>
      <c r="G3233" s="21">
        <f t="shared" si="150"/>
        <v>545.72000000000003</v>
      </c>
      <c r="H3233" s="22">
        <v>0.28999999999999998</v>
      </c>
      <c r="I3233" s="23" t="str">
        <f t="shared" si="151"/>
        <v xml:space="preserve">COM VALOR</v>
      </c>
      <c r="J3233" s="19"/>
      <c r="L3233" s="21">
        <v>559.87</v>
      </c>
      <c r="M3233" s="22">
        <v>0</v>
      </c>
      <c r="N3233" s="21">
        <v>545.72000000000003</v>
      </c>
      <c r="O3233" s="22">
        <v>0</v>
      </c>
    </row>
    <row r="3234" ht="38.25">
      <c r="A3234" t="s">
        <v>3221</v>
      </c>
      <c r="B3234" s="19">
        <v>102015</v>
      </c>
      <c r="C3234" s="20" t="s">
        <v>3298</v>
      </c>
      <c r="D3234" s="19" t="s">
        <v>29</v>
      </c>
      <c r="E3234" s="21">
        <f t="shared" si="149"/>
        <v>468.93000000000001</v>
      </c>
      <c r="F3234" s="22">
        <v>0.33000000000000002</v>
      </c>
      <c r="G3234" s="21">
        <f t="shared" si="150"/>
        <v>457.69</v>
      </c>
      <c r="H3234" s="22">
        <v>0.33000000000000002</v>
      </c>
      <c r="I3234" s="23" t="str">
        <f t="shared" si="151"/>
        <v xml:space="preserve">COM VALOR</v>
      </c>
      <c r="J3234" s="19"/>
      <c r="L3234" s="21">
        <v>468.93000000000001</v>
      </c>
      <c r="M3234" s="22">
        <v>0</v>
      </c>
      <c r="N3234" s="21">
        <v>457.69</v>
      </c>
      <c r="O3234" s="22">
        <v>0</v>
      </c>
    </row>
    <row r="3235" ht="38.25">
      <c r="A3235" t="s">
        <v>3221</v>
      </c>
      <c r="B3235" s="19">
        <v>102013</v>
      </c>
      <c r="C3235" s="20" t="s">
        <v>3299</v>
      </c>
      <c r="D3235" s="19" t="s">
        <v>29</v>
      </c>
      <c r="E3235" s="21">
        <f t="shared" si="149"/>
        <v>218.94</v>
      </c>
      <c r="F3235" s="22">
        <v>0.33000000000000002</v>
      </c>
      <c r="G3235" s="21">
        <f t="shared" si="150"/>
        <v>212.97999999999999</v>
      </c>
      <c r="H3235" s="22">
        <v>0.33000000000000002</v>
      </c>
      <c r="I3235" s="23" t="str">
        <f t="shared" si="151"/>
        <v xml:space="preserve">COM VALOR</v>
      </c>
      <c r="J3235" s="19"/>
      <c r="L3235" s="21">
        <v>218.94</v>
      </c>
      <c r="M3235" s="22">
        <v>0</v>
      </c>
      <c r="N3235" s="21">
        <v>212.97999999999999</v>
      </c>
      <c r="O3235" s="22">
        <v>0</v>
      </c>
    </row>
    <row r="3236" ht="38.25">
      <c r="A3236" t="s">
        <v>3221</v>
      </c>
      <c r="B3236" s="19">
        <v>102011</v>
      </c>
      <c r="C3236" s="20" t="s">
        <v>3300</v>
      </c>
      <c r="D3236" s="19" t="s">
        <v>29</v>
      </c>
      <c r="E3236" s="21">
        <f t="shared" si="149"/>
        <v>258.86000000000001</v>
      </c>
      <c r="F3236" s="22">
        <v>0.33000000000000002</v>
      </c>
      <c r="G3236" s="21">
        <f t="shared" si="150"/>
        <v>252.02000000000001</v>
      </c>
      <c r="H3236" s="22">
        <v>0.34000000000000002</v>
      </c>
      <c r="I3236" s="23" t="str">
        <f t="shared" si="151"/>
        <v xml:space="preserve">COM VALOR</v>
      </c>
      <c r="J3236" s="19"/>
      <c r="L3236" s="21">
        <v>258.86000000000001</v>
      </c>
      <c r="M3236" s="22">
        <v>0</v>
      </c>
      <c r="N3236" s="21">
        <v>252.02000000000001</v>
      </c>
      <c r="O3236" s="22">
        <v>0</v>
      </c>
    </row>
    <row r="3237" ht="38.25">
      <c r="A3237" t="s">
        <v>3221</v>
      </c>
      <c r="B3237" s="19">
        <v>102012</v>
      </c>
      <c r="C3237" s="20" t="s">
        <v>3301</v>
      </c>
      <c r="D3237" s="19" t="s">
        <v>29</v>
      </c>
      <c r="E3237" s="21">
        <f t="shared" si="149"/>
        <v>233.22999999999999</v>
      </c>
      <c r="F3237" s="22">
        <v>0.34000000000000002</v>
      </c>
      <c r="G3237" s="21">
        <f t="shared" si="150"/>
        <v>226.94999999999999</v>
      </c>
      <c r="H3237" s="22">
        <v>0.34000000000000002</v>
      </c>
      <c r="I3237" s="23" t="str">
        <f t="shared" si="151"/>
        <v xml:space="preserve">COM VALOR</v>
      </c>
      <c r="J3237" s="19"/>
      <c r="L3237" s="21">
        <v>233.22999999999999</v>
      </c>
      <c r="M3237" s="22">
        <v>0</v>
      </c>
      <c r="N3237" s="21">
        <v>226.94999999999999</v>
      </c>
      <c r="O3237" s="22">
        <v>0</v>
      </c>
    </row>
    <row r="3238" ht="38.25">
      <c r="A3238" t="s">
        <v>3221</v>
      </c>
      <c r="B3238" s="19">
        <v>102009</v>
      </c>
      <c r="C3238" s="20" t="s">
        <v>3302</v>
      </c>
      <c r="D3238" s="19" t="s">
        <v>29</v>
      </c>
      <c r="E3238" s="21">
        <f t="shared" si="149"/>
        <v>315.24000000000001</v>
      </c>
      <c r="F3238" s="22">
        <v>0.10000000000000001</v>
      </c>
      <c r="G3238" s="21">
        <f t="shared" si="150"/>
        <v>305.12</v>
      </c>
      <c r="H3238" s="22">
        <v>0.10000000000000001</v>
      </c>
      <c r="I3238" s="23" t="str">
        <f t="shared" si="151"/>
        <v xml:space="preserve">COM VALOR</v>
      </c>
      <c r="J3238" s="19"/>
      <c r="L3238" s="21">
        <v>315.24000000000001</v>
      </c>
      <c r="M3238" s="22">
        <v>0</v>
      </c>
      <c r="N3238" s="21">
        <v>305.12</v>
      </c>
      <c r="O3238" s="22">
        <v>0</v>
      </c>
    </row>
    <row r="3239" ht="38.25">
      <c r="A3239" t="s">
        <v>3221</v>
      </c>
      <c r="B3239" s="19">
        <v>102010</v>
      </c>
      <c r="C3239" s="20" t="s">
        <v>3303</v>
      </c>
      <c r="D3239" s="19" t="s">
        <v>29</v>
      </c>
      <c r="E3239" s="21">
        <f t="shared" si="149"/>
        <v>296.85000000000002</v>
      </c>
      <c r="F3239" s="22">
        <v>0.11</v>
      </c>
      <c r="G3239" s="21">
        <f t="shared" si="150"/>
        <v>288.68000000000001</v>
      </c>
      <c r="H3239" s="22">
        <v>0.12</v>
      </c>
      <c r="I3239" s="23" t="str">
        <f t="shared" si="151"/>
        <v xml:space="preserve">COM VALOR</v>
      </c>
      <c r="J3239" s="19"/>
      <c r="L3239" s="21">
        <v>296.85000000000002</v>
      </c>
      <c r="M3239" s="22">
        <v>0</v>
      </c>
      <c r="N3239" s="21">
        <v>288.68000000000001</v>
      </c>
      <c r="O3239" s="22">
        <v>0</v>
      </c>
    </row>
    <row r="3240" ht="38.25">
      <c r="A3240" t="s">
        <v>3221</v>
      </c>
      <c r="B3240" s="19">
        <v>102007</v>
      </c>
      <c r="C3240" s="20" t="s">
        <v>3304</v>
      </c>
      <c r="D3240" s="19" t="s">
        <v>29</v>
      </c>
      <c r="E3240" s="21">
        <f t="shared" si="149"/>
        <v>490.49000000000001</v>
      </c>
      <c r="F3240" s="22">
        <v>0.34999999999999998</v>
      </c>
      <c r="G3240" s="21">
        <f t="shared" si="150"/>
        <v>476.18000000000001</v>
      </c>
      <c r="H3240" s="22">
        <v>0.35999999999999999</v>
      </c>
      <c r="I3240" s="23" t="str">
        <f t="shared" si="151"/>
        <v xml:space="preserve">COM VALOR</v>
      </c>
      <c r="J3240" s="19"/>
      <c r="L3240" s="21">
        <v>490.49000000000001</v>
      </c>
      <c r="M3240" s="22">
        <v>0</v>
      </c>
      <c r="N3240" s="21">
        <v>476.18000000000001</v>
      </c>
      <c r="O3240" s="22">
        <v>0</v>
      </c>
    </row>
    <row r="3241" ht="38.25">
      <c r="A3241" t="s">
        <v>3221</v>
      </c>
      <c r="B3241" s="19">
        <v>102008</v>
      </c>
      <c r="C3241" s="20" t="s">
        <v>3305</v>
      </c>
      <c r="D3241" s="19" t="s">
        <v>29</v>
      </c>
      <c r="E3241" s="21">
        <f t="shared" si="149"/>
        <v>409.32999999999998</v>
      </c>
      <c r="F3241" s="22">
        <v>0.29999999999999999</v>
      </c>
      <c r="G3241" s="21">
        <f t="shared" si="150"/>
        <v>398</v>
      </c>
      <c r="H3241" s="22">
        <v>0.29999999999999999</v>
      </c>
      <c r="I3241" s="23" t="str">
        <f t="shared" si="151"/>
        <v xml:space="preserve">COM VALOR</v>
      </c>
      <c r="J3241" s="19"/>
      <c r="L3241" s="21">
        <v>409.32999999999998</v>
      </c>
      <c r="M3241" s="22">
        <v>0</v>
      </c>
      <c r="N3241" s="21">
        <v>398</v>
      </c>
      <c r="O3241" s="22">
        <v>0</v>
      </c>
    </row>
    <row r="3242" ht="38.25">
      <c r="A3242" t="s">
        <v>3221</v>
      </c>
      <c r="B3242" s="19">
        <v>102006</v>
      </c>
      <c r="C3242" s="20" t="s">
        <v>3306</v>
      </c>
      <c r="D3242" s="19" t="s">
        <v>29</v>
      </c>
      <c r="E3242" s="21">
        <f t="shared" si="149"/>
        <v>210.31</v>
      </c>
      <c r="F3242" s="22">
        <v>0.12</v>
      </c>
      <c r="G3242" s="21">
        <f t="shared" si="150"/>
        <v>204.30000000000001</v>
      </c>
      <c r="H3242" s="22">
        <v>0.12</v>
      </c>
      <c r="I3242" s="23" t="str">
        <f t="shared" si="151"/>
        <v xml:space="preserve">COM VALOR</v>
      </c>
      <c r="J3242" s="19"/>
      <c r="L3242" s="21">
        <v>210.31</v>
      </c>
      <c r="M3242" s="22">
        <v>0</v>
      </c>
      <c r="N3242" s="21">
        <v>204.30000000000001</v>
      </c>
      <c r="O3242" s="22">
        <v>0</v>
      </c>
    </row>
    <row r="3243" ht="38.25">
      <c r="A3243" t="s">
        <v>3221</v>
      </c>
      <c r="B3243" s="19">
        <v>102004</v>
      </c>
      <c r="C3243" s="20" t="s">
        <v>3307</v>
      </c>
      <c r="D3243" s="19" t="s">
        <v>29</v>
      </c>
      <c r="E3243" s="21">
        <f t="shared" si="149"/>
        <v>252.66999999999999</v>
      </c>
      <c r="F3243" s="22">
        <v>0.11</v>
      </c>
      <c r="G3243" s="21">
        <f t="shared" si="150"/>
        <v>245.78</v>
      </c>
      <c r="H3243" s="22">
        <v>0.12</v>
      </c>
      <c r="I3243" s="23" t="str">
        <f t="shared" si="151"/>
        <v xml:space="preserve">COM VALOR</v>
      </c>
      <c r="J3243" s="19"/>
      <c r="L3243" s="21">
        <v>252.66999999999999</v>
      </c>
      <c r="M3243" s="22">
        <v>0</v>
      </c>
      <c r="N3243" s="21">
        <v>245.78</v>
      </c>
      <c r="O3243" s="22">
        <v>0</v>
      </c>
    </row>
    <row r="3244" ht="38.25">
      <c r="A3244" t="s">
        <v>3221</v>
      </c>
      <c r="B3244" s="19">
        <v>102005</v>
      </c>
      <c r="C3244" s="20" t="s">
        <v>3308</v>
      </c>
      <c r="D3244" s="19" t="s">
        <v>29</v>
      </c>
      <c r="E3244" s="21">
        <f t="shared" si="149"/>
        <v>226.66</v>
      </c>
      <c r="F3244" s="22">
        <v>0.33000000000000002</v>
      </c>
      <c r="G3244" s="21">
        <f t="shared" si="150"/>
        <v>220.31999999999999</v>
      </c>
      <c r="H3244" s="22">
        <v>0.33000000000000002</v>
      </c>
      <c r="I3244" s="23" t="str">
        <f t="shared" si="151"/>
        <v xml:space="preserve">COM VALOR</v>
      </c>
      <c r="J3244" s="19"/>
      <c r="L3244" s="21">
        <v>226.66</v>
      </c>
      <c r="M3244" s="22">
        <v>0</v>
      </c>
      <c r="N3244" s="21">
        <v>220.31999999999999</v>
      </c>
      <c r="O3244" s="22">
        <v>0</v>
      </c>
    </row>
    <row r="3245" ht="38.25">
      <c r="A3245" t="s">
        <v>3221</v>
      </c>
      <c r="B3245" s="19">
        <v>102002</v>
      </c>
      <c r="C3245" s="20" t="s">
        <v>3309</v>
      </c>
      <c r="D3245" s="19" t="s">
        <v>29</v>
      </c>
      <c r="E3245" s="21">
        <f t="shared" si="149"/>
        <v>303.17000000000002</v>
      </c>
      <c r="F3245" s="22">
        <v>0.11</v>
      </c>
      <c r="G3245" s="21">
        <f t="shared" si="150"/>
        <v>293</v>
      </c>
      <c r="H3245" s="22">
        <v>0.11</v>
      </c>
      <c r="I3245" s="23" t="str">
        <f t="shared" si="151"/>
        <v xml:space="preserve">COM VALOR</v>
      </c>
      <c r="J3245" s="19"/>
      <c r="L3245" s="21">
        <v>303.17000000000002</v>
      </c>
      <c r="M3245" s="22">
        <v>0</v>
      </c>
      <c r="N3245" s="21">
        <v>293</v>
      </c>
      <c r="O3245" s="22">
        <v>0</v>
      </c>
    </row>
    <row r="3246" ht="38.25">
      <c r="A3246" t="s">
        <v>3221</v>
      </c>
      <c r="B3246" s="19">
        <v>102003</v>
      </c>
      <c r="C3246" s="20" t="s">
        <v>3310</v>
      </c>
      <c r="D3246" s="19" t="s">
        <v>29</v>
      </c>
      <c r="E3246" s="21">
        <f t="shared" si="149"/>
        <v>284.36000000000001</v>
      </c>
      <c r="F3246" s="22">
        <v>0.11</v>
      </c>
      <c r="G3246" s="21">
        <f t="shared" si="150"/>
        <v>276.07999999999998</v>
      </c>
      <c r="H3246" s="22">
        <v>0.11</v>
      </c>
      <c r="I3246" s="23" t="str">
        <f t="shared" si="151"/>
        <v xml:space="preserve">COM VALOR</v>
      </c>
      <c r="J3246" s="19"/>
      <c r="L3246" s="21">
        <v>284.36000000000001</v>
      </c>
      <c r="M3246" s="22">
        <v>0</v>
      </c>
      <c r="N3246" s="21">
        <v>276.07999999999998</v>
      </c>
      <c r="O3246" s="22">
        <v>0</v>
      </c>
    </row>
    <row r="3247" ht="38.25">
      <c r="A3247" t="s">
        <v>3221</v>
      </c>
      <c r="B3247" s="19">
        <v>102000</v>
      </c>
      <c r="C3247" s="20" t="s">
        <v>3311</v>
      </c>
      <c r="D3247" s="19" t="s">
        <v>29</v>
      </c>
      <c r="E3247" s="21">
        <f t="shared" si="149"/>
        <v>513.10000000000002</v>
      </c>
      <c r="F3247" s="22">
        <v>0.12</v>
      </c>
      <c r="G3247" s="21">
        <f t="shared" si="150"/>
        <v>499.08999999999997</v>
      </c>
      <c r="H3247" s="22">
        <v>0.12</v>
      </c>
      <c r="I3247" s="23" t="str">
        <f t="shared" si="151"/>
        <v xml:space="preserve">COM VALOR</v>
      </c>
      <c r="J3247" s="19"/>
      <c r="L3247" s="21">
        <v>513.10000000000002</v>
      </c>
      <c r="M3247" s="22">
        <v>0</v>
      </c>
      <c r="N3247" s="21">
        <v>499.08999999999997</v>
      </c>
      <c r="O3247" s="22">
        <v>0</v>
      </c>
    </row>
    <row r="3248" ht="38.25">
      <c r="A3248" t="s">
        <v>3221</v>
      </c>
      <c r="B3248" s="19">
        <v>102001</v>
      </c>
      <c r="C3248" s="20" t="s">
        <v>3312</v>
      </c>
      <c r="D3248" s="19" t="s">
        <v>29</v>
      </c>
      <c r="E3248" s="21">
        <f t="shared" si="149"/>
        <v>442.17000000000002</v>
      </c>
      <c r="F3248" s="22">
        <v>0.34000000000000002</v>
      </c>
      <c r="G3248" s="21">
        <f t="shared" si="150"/>
        <v>431.00999999999999</v>
      </c>
      <c r="H3248" s="22">
        <v>0.34000000000000002</v>
      </c>
      <c r="I3248" s="23" t="str">
        <f t="shared" si="151"/>
        <v xml:space="preserve">COM VALOR</v>
      </c>
      <c r="J3248" s="19"/>
      <c r="L3248" s="21">
        <v>442.17000000000002</v>
      </c>
      <c r="M3248" s="22">
        <v>0</v>
      </c>
      <c r="N3248" s="21">
        <v>431.00999999999999</v>
      </c>
      <c r="O3248" s="22">
        <v>0</v>
      </c>
    </row>
    <row r="3249" ht="38.25">
      <c r="A3249" t="s">
        <v>3221</v>
      </c>
      <c r="B3249" s="19">
        <v>101983</v>
      </c>
      <c r="C3249" s="20" t="s">
        <v>3313</v>
      </c>
      <c r="D3249" s="19" t="s">
        <v>29</v>
      </c>
      <c r="E3249" s="21">
        <f t="shared" si="149"/>
        <v>224.63999999999999</v>
      </c>
      <c r="F3249" s="22">
        <v>0.11</v>
      </c>
      <c r="G3249" s="21">
        <f t="shared" si="150"/>
        <v>218.78</v>
      </c>
      <c r="H3249" s="22">
        <v>0.11</v>
      </c>
      <c r="I3249" s="23" t="str">
        <f t="shared" si="151"/>
        <v xml:space="preserve">COM VALOR</v>
      </c>
      <c r="J3249" s="19"/>
      <c r="L3249" s="21">
        <v>224.63999999999999</v>
      </c>
      <c r="M3249" s="22">
        <v>0</v>
      </c>
      <c r="N3249" s="21">
        <v>218.78</v>
      </c>
      <c r="O3249" s="22">
        <v>0</v>
      </c>
    </row>
    <row r="3250" ht="38.25">
      <c r="A3250" t="s">
        <v>3221</v>
      </c>
      <c r="B3250" s="19">
        <v>101981</v>
      </c>
      <c r="C3250" s="20" t="s">
        <v>3314</v>
      </c>
      <c r="D3250" s="19" t="s">
        <v>29</v>
      </c>
      <c r="E3250" s="21">
        <f t="shared" si="149"/>
        <v>265.06</v>
      </c>
      <c r="F3250" s="22">
        <v>0.11</v>
      </c>
      <c r="G3250" s="21">
        <f t="shared" si="150"/>
        <v>258.37</v>
      </c>
      <c r="H3250" s="22">
        <v>0.11</v>
      </c>
      <c r="I3250" s="23" t="str">
        <f t="shared" si="151"/>
        <v xml:space="preserve">COM VALOR</v>
      </c>
      <c r="J3250" s="19"/>
      <c r="L3250" s="21">
        <v>265.06</v>
      </c>
      <c r="M3250" s="22">
        <v>0</v>
      </c>
      <c r="N3250" s="21">
        <v>258.37</v>
      </c>
      <c r="O3250" s="22">
        <v>0</v>
      </c>
    </row>
    <row r="3251" ht="38.25">
      <c r="A3251" t="s">
        <v>3221</v>
      </c>
      <c r="B3251" s="19">
        <v>101982</v>
      </c>
      <c r="C3251" s="20" t="s">
        <v>3315</v>
      </c>
      <c r="D3251" s="19" t="s">
        <v>29</v>
      </c>
      <c r="E3251" s="21">
        <f t="shared" si="149"/>
        <v>240.22999999999999</v>
      </c>
      <c r="F3251" s="22">
        <v>0.12</v>
      </c>
      <c r="G3251" s="21">
        <f t="shared" si="150"/>
        <v>234.06999999999999</v>
      </c>
      <c r="H3251" s="22">
        <v>0.12</v>
      </c>
      <c r="I3251" s="23" t="str">
        <f t="shared" si="151"/>
        <v xml:space="preserve">COM VALOR</v>
      </c>
      <c r="J3251" s="19"/>
      <c r="L3251" s="21">
        <v>240.22999999999999</v>
      </c>
      <c r="M3251" s="22">
        <v>0</v>
      </c>
      <c r="N3251" s="21">
        <v>234.06999999999999</v>
      </c>
      <c r="O3251" s="22">
        <v>0</v>
      </c>
    </row>
    <row r="3252" ht="38.25">
      <c r="A3252" t="s">
        <v>3221</v>
      </c>
      <c r="B3252" s="19">
        <v>101977</v>
      </c>
      <c r="C3252" s="20" t="s">
        <v>3316</v>
      </c>
      <c r="D3252" s="19" t="s">
        <v>29</v>
      </c>
      <c r="E3252" s="21">
        <f t="shared" si="149"/>
        <v>315.58999999999997</v>
      </c>
      <c r="F3252" s="22">
        <v>0.34000000000000002</v>
      </c>
      <c r="G3252" s="21">
        <f t="shared" si="150"/>
        <v>305.74000000000001</v>
      </c>
      <c r="H3252" s="22">
        <v>0.34999999999999998</v>
      </c>
      <c r="I3252" s="23" t="str">
        <f t="shared" si="151"/>
        <v xml:space="preserve">COM VALOR</v>
      </c>
      <c r="J3252" s="19"/>
      <c r="L3252" s="21">
        <v>315.58999999999997</v>
      </c>
      <c r="M3252" s="22">
        <v>0</v>
      </c>
      <c r="N3252" s="21">
        <v>305.74000000000001</v>
      </c>
      <c r="O3252" s="22">
        <v>0</v>
      </c>
    </row>
    <row r="3253" ht="38.25">
      <c r="A3253" t="s">
        <v>3221</v>
      </c>
      <c r="B3253" s="19">
        <v>101980</v>
      </c>
      <c r="C3253" s="20" t="s">
        <v>3317</v>
      </c>
      <c r="D3253" s="19" t="s">
        <v>29</v>
      </c>
      <c r="E3253" s="21">
        <f t="shared" si="149"/>
        <v>300.80000000000001</v>
      </c>
      <c r="F3253" s="22">
        <v>0.12</v>
      </c>
      <c r="G3253" s="21">
        <f t="shared" si="150"/>
        <v>292.87</v>
      </c>
      <c r="H3253" s="22">
        <v>0.12</v>
      </c>
      <c r="I3253" s="23" t="str">
        <f t="shared" si="151"/>
        <v xml:space="preserve">COM VALOR</v>
      </c>
      <c r="J3253" s="19"/>
      <c r="L3253" s="21">
        <v>300.80000000000001</v>
      </c>
      <c r="M3253" s="22">
        <v>0</v>
      </c>
      <c r="N3253" s="21">
        <v>292.87</v>
      </c>
      <c r="O3253" s="22">
        <v>0</v>
      </c>
    </row>
    <row r="3254" ht="38.25">
      <c r="A3254" t="s">
        <v>3221</v>
      </c>
      <c r="B3254" s="19">
        <v>101974</v>
      </c>
      <c r="C3254" s="20" t="s">
        <v>3318</v>
      </c>
      <c r="D3254" s="19" t="s">
        <v>29</v>
      </c>
      <c r="E3254" s="21">
        <f t="shared" si="149"/>
        <v>494.16000000000003</v>
      </c>
      <c r="F3254" s="22">
        <v>0.34999999999999998</v>
      </c>
      <c r="G3254" s="21">
        <f t="shared" si="150"/>
        <v>479.79000000000002</v>
      </c>
      <c r="H3254" s="22">
        <v>0.34999999999999998</v>
      </c>
      <c r="I3254" s="23" t="str">
        <f t="shared" si="151"/>
        <v xml:space="preserve">COM VALOR</v>
      </c>
      <c r="J3254" s="19"/>
      <c r="L3254" s="21">
        <v>494.16000000000003</v>
      </c>
      <c r="M3254" s="22">
        <v>0</v>
      </c>
      <c r="N3254" s="21">
        <v>479.79000000000002</v>
      </c>
      <c r="O3254" s="22">
        <v>0</v>
      </c>
    </row>
    <row r="3255" ht="38.25">
      <c r="A3255" t="s">
        <v>3221</v>
      </c>
      <c r="B3255" s="19">
        <v>101975</v>
      </c>
      <c r="C3255" s="20" t="s">
        <v>3319</v>
      </c>
      <c r="D3255" s="19" t="s">
        <v>29</v>
      </c>
      <c r="E3255" s="21">
        <f t="shared" si="149"/>
        <v>419.94</v>
      </c>
      <c r="F3255" s="22">
        <v>0.12</v>
      </c>
      <c r="G3255" s="21">
        <f t="shared" si="150"/>
        <v>408.5</v>
      </c>
      <c r="H3255" s="22">
        <v>0.12</v>
      </c>
      <c r="I3255" s="23" t="str">
        <f t="shared" si="151"/>
        <v xml:space="preserve">COM VALOR</v>
      </c>
      <c r="J3255" s="19"/>
      <c r="L3255" s="21">
        <v>419.94</v>
      </c>
      <c r="M3255" s="22">
        <v>0</v>
      </c>
      <c r="N3255" s="21">
        <v>408.5</v>
      </c>
      <c r="O3255" s="22">
        <v>0</v>
      </c>
    </row>
    <row r="3256" ht="25.5">
      <c r="A3256" t="s">
        <v>3320</v>
      </c>
      <c r="B3256" s="19">
        <v>101114</v>
      </c>
      <c r="C3256" s="20" t="s">
        <v>3321</v>
      </c>
      <c r="D3256" s="19" t="s">
        <v>121</v>
      </c>
      <c r="E3256" s="21">
        <f t="shared" si="149"/>
        <v>4.7300000000000004</v>
      </c>
      <c r="F3256" s="22">
        <v>0.10000000000000001</v>
      </c>
      <c r="G3256" s="21">
        <f t="shared" si="150"/>
        <v>4.6299999999999999</v>
      </c>
      <c r="H3256" s="22">
        <v>0.10000000000000001</v>
      </c>
      <c r="I3256" s="23" t="str">
        <f t="shared" si="151"/>
        <v xml:space="preserve">COM VALOR</v>
      </c>
      <c r="J3256" s="19"/>
      <c r="L3256" s="21">
        <v>4.7300000000000004</v>
      </c>
      <c r="M3256" s="22">
        <v>0.47999999999999998</v>
      </c>
      <c r="N3256" s="21">
        <v>4.6299999999999999</v>
      </c>
      <c r="O3256" s="22">
        <v>0.48999999999999999</v>
      </c>
    </row>
    <row r="3257" ht="25.5">
      <c r="A3257" t="s">
        <v>3320</v>
      </c>
      <c r="B3257" s="19">
        <v>101118</v>
      </c>
      <c r="C3257" s="20" t="s">
        <v>3322</v>
      </c>
      <c r="D3257" s="19" t="s">
        <v>121</v>
      </c>
      <c r="E3257" s="21">
        <f t="shared" si="149"/>
        <v>4.0800000000000001</v>
      </c>
      <c r="F3257" s="22">
        <v>0.11</v>
      </c>
      <c r="G3257" s="21">
        <f t="shared" si="150"/>
        <v>4</v>
      </c>
      <c r="H3257" s="22">
        <v>0.11</v>
      </c>
      <c r="I3257" s="23" t="str">
        <f t="shared" si="151"/>
        <v xml:space="preserve">COM VALOR</v>
      </c>
      <c r="J3257" s="19"/>
      <c r="L3257" s="21">
        <v>4.0800000000000001</v>
      </c>
      <c r="M3257" s="22">
        <v>0.46999999999999997</v>
      </c>
      <c r="N3257" s="21">
        <v>4</v>
      </c>
      <c r="O3257" s="22">
        <v>0.47749999999999998</v>
      </c>
    </row>
    <row r="3258" ht="25.5">
      <c r="A3258" t="s">
        <v>3320</v>
      </c>
      <c r="B3258" s="19">
        <v>101115</v>
      </c>
      <c r="C3258" s="20" t="s">
        <v>3323</v>
      </c>
      <c r="D3258" s="19" t="s">
        <v>121</v>
      </c>
      <c r="E3258" s="21">
        <f t="shared" si="149"/>
        <v>3.9900000000000002</v>
      </c>
      <c r="F3258" s="22">
        <v>0.12</v>
      </c>
      <c r="G3258" s="21">
        <f t="shared" si="150"/>
        <v>3.9100000000000001</v>
      </c>
      <c r="H3258" s="22">
        <v>0.12</v>
      </c>
      <c r="I3258" s="23" t="str">
        <f t="shared" si="151"/>
        <v xml:space="preserve">COM VALOR</v>
      </c>
      <c r="J3258" s="19"/>
      <c r="L3258" s="21">
        <v>3.9900000000000002</v>
      </c>
      <c r="M3258" s="22">
        <v>0.51000000000000001</v>
      </c>
      <c r="N3258" s="21">
        <v>3.9100000000000001</v>
      </c>
      <c r="O3258" s="22">
        <v>0.52000000000000002</v>
      </c>
    </row>
    <row r="3259" ht="25.5">
      <c r="A3259" t="s">
        <v>3320</v>
      </c>
      <c r="B3259" s="19">
        <v>101116</v>
      </c>
      <c r="C3259" s="20" t="s">
        <v>3324</v>
      </c>
      <c r="D3259" s="19" t="s">
        <v>121</v>
      </c>
      <c r="E3259" s="21">
        <f t="shared" si="149"/>
        <v>2.4900000000000002</v>
      </c>
      <c r="F3259" s="22">
        <v>0.34999999999999998</v>
      </c>
      <c r="G3259" s="21">
        <f t="shared" si="150"/>
        <v>2.4500000000000002</v>
      </c>
      <c r="H3259" s="22">
        <v>0.35999999999999999</v>
      </c>
      <c r="I3259" s="23" t="str">
        <f t="shared" si="151"/>
        <v xml:space="preserve">COM VALOR</v>
      </c>
      <c r="J3259" s="19"/>
      <c r="L3259" s="21">
        <v>2.4900000000000002</v>
      </c>
      <c r="M3259" s="22">
        <v>0.48999999999999999</v>
      </c>
      <c r="N3259" s="21">
        <v>2.4500000000000002</v>
      </c>
      <c r="O3259" s="22">
        <v>0.48999999999999999</v>
      </c>
    </row>
    <row r="3260" ht="25.5">
      <c r="A3260" t="s">
        <v>3320</v>
      </c>
      <c r="B3260" s="19">
        <v>101117</v>
      </c>
      <c r="C3260" s="20" t="s">
        <v>3325</v>
      </c>
      <c r="D3260" s="19" t="s">
        <v>121</v>
      </c>
      <c r="E3260" s="21">
        <f t="shared" si="149"/>
        <v>3.54</v>
      </c>
      <c r="F3260" s="22">
        <v>0.31</v>
      </c>
      <c r="G3260" s="21">
        <f t="shared" si="150"/>
        <v>3.52</v>
      </c>
      <c r="H3260" s="22">
        <v>0.31</v>
      </c>
      <c r="I3260" s="23" t="str">
        <f t="shared" si="151"/>
        <v xml:space="preserve">COM VALOR</v>
      </c>
      <c r="J3260" s="19"/>
      <c r="L3260" s="21">
        <v>3.54</v>
      </c>
      <c r="M3260" s="22">
        <v>0.68000000000000005</v>
      </c>
      <c r="N3260" s="21">
        <v>3.52</v>
      </c>
      <c r="O3260" s="22">
        <v>0.6875</v>
      </c>
    </row>
    <row r="3261" ht="38.25">
      <c r="A3261" t="s">
        <v>3320</v>
      </c>
      <c r="B3261" s="19">
        <v>101124</v>
      </c>
      <c r="C3261" s="20" t="s">
        <v>3326</v>
      </c>
      <c r="D3261" s="19" t="s">
        <v>121</v>
      </c>
      <c r="E3261" s="21">
        <f t="shared" si="149"/>
        <v>15.08</v>
      </c>
      <c r="F3261" s="22">
        <v>0.12</v>
      </c>
      <c r="G3261" s="21">
        <f t="shared" si="150"/>
        <v>14.880000000000001</v>
      </c>
      <c r="H3261" s="22">
        <v>0.12</v>
      </c>
      <c r="I3261" s="23" t="str">
        <f t="shared" si="151"/>
        <v xml:space="preserve">COM VALOR</v>
      </c>
      <c r="J3261" s="19"/>
      <c r="L3261" s="21">
        <v>15.08</v>
      </c>
      <c r="M3261" s="22">
        <v>0.34999999999999998</v>
      </c>
      <c r="N3261" s="21">
        <v>14.880000000000001</v>
      </c>
      <c r="O3261" s="22">
        <v>0.35999999999999999</v>
      </c>
    </row>
    <row r="3262" ht="38.25">
      <c r="A3262" t="s">
        <v>3320</v>
      </c>
      <c r="B3262" s="19">
        <v>101128</v>
      </c>
      <c r="C3262" s="20" t="s">
        <v>3327</v>
      </c>
      <c r="D3262" s="19" t="s">
        <v>121</v>
      </c>
      <c r="E3262" s="21">
        <f t="shared" si="149"/>
        <v>14.43</v>
      </c>
      <c r="F3262" s="22">
        <v>0.33000000000000002</v>
      </c>
      <c r="G3262" s="21">
        <f t="shared" si="150"/>
        <v>14.25</v>
      </c>
      <c r="H3262" s="22">
        <v>0.33000000000000002</v>
      </c>
      <c r="I3262" s="23" t="str">
        <f t="shared" si="151"/>
        <v xml:space="preserve">COM VALOR</v>
      </c>
      <c r="J3262" s="19"/>
      <c r="L3262" s="21">
        <v>14.43</v>
      </c>
      <c r="M3262" s="22">
        <v>0.34999999999999998</v>
      </c>
      <c r="N3262" s="21">
        <v>14.25</v>
      </c>
      <c r="O3262" s="22">
        <v>0.34999999999999998</v>
      </c>
    </row>
    <row r="3263" ht="38.25">
      <c r="A3263" t="s">
        <v>3320</v>
      </c>
      <c r="B3263" s="19">
        <v>101125</v>
      </c>
      <c r="C3263" s="20" t="s">
        <v>3328</v>
      </c>
      <c r="D3263" s="19" t="s">
        <v>121</v>
      </c>
      <c r="E3263" s="21">
        <f t="shared" si="149"/>
        <v>14.34</v>
      </c>
      <c r="F3263" s="22">
        <v>0.11</v>
      </c>
      <c r="G3263" s="21">
        <f t="shared" si="150"/>
        <v>14.16</v>
      </c>
      <c r="H3263" s="22">
        <v>0.11</v>
      </c>
      <c r="I3263" s="23" t="str">
        <f t="shared" si="151"/>
        <v xml:space="preserve">COM VALOR</v>
      </c>
      <c r="J3263" s="19"/>
      <c r="L3263" s="21">
        <v>14.34</v>
      </c>
      <c r="M3263" s="22">
        <v>0.35999999999999999</v>
      </c>
      <c r="N3263" s="21">
        <v>14.16</v>
      </c>
      <c r="O3263" s="22">
        <v>0.35999999999999999</v>
      </c>
    </row>
    <row r="3264" ht="38.25">
      <c r="A3264" t="s">
        <v>3320</v>
      </c>
      <c r="B3264" s="19">
        <v>101126</v>
      </c>
      <c r="C3264" s="20" t="s">
        <v>3329</v>
      </c>
      <c r="D3264" s="19" t="s">
        <v>121</v>
      </c>
      <c r="E3264" s="21">
        <f t="shared" si="149"/>
        <v>12.84</v>
      </c>
      <c r="F3264" s="22">
        <v>0.12</v>
      </c>
      <c r="G3264" s="21">
        <f t="shared" si="150"/>
        <v>12.699999999999999</v>
      </c>
      <c r="H3264" s="22">
        <v>0.12</v>
      </c>
      <c r="I3264" s="23" t="str">
        <f t="shared" si="151"/>
        <v xml:space="preserve">COM VALOR</v>
      </c>
      <c r="J3264" s="19"/>
      <c r="L3264" s="21">
        <v>12.84</v>
      </c>
      <c r="M3264" s="22">
        <v>0.33000000000000002</v>
      </c>
      <c r="N3264" s="21">
        <v>12.699999999999999</v>
      </c>
      <c r="O3264" s="22">
        <v>0.34000000000000002</v>
      </c>
    </row>
    <row r="3265" ht="38.25">
      <c r="A3265" t="s">
        <v>3320</v>
      </c>
      <c r="B3265" s="19">
        <v>101127</v>
      </c>
      <c r="C3265" s="20" t="s">
        <v>3330</v>
      </c>
      <c r="D3265" s="19" t="s">
        <v>121</v>
      </c>
      <c r="E3265" s="21">
        <f t="shared" si="149"/>
        <v>13.890000000000001</v>
      </c>
      <c r="F3265" s="22">
        <v>0.12</v>
      </c>
      <c r="G3265" s="21">
        <f t="shared" si="150"/>
        <v>13.77</v>
      </c>
      <c r="H3265" s="22">
        <v>0.12</v>
      </c>
      <c r="I3265" s="23" t="str">
        <f t="shared" si="151"/>
        <v xml:space="preserve">COM VALOR</v>
      </c>
      <c r="J3265" s="19"/>
      <c r="L3265" s="21">
        <v>13.890000000000001</v>
      </c>
      <c r="M3265" s="22">
        <v>0.40000000000000002</v>
      </c>
      <c r="N3265" s="21">
        <v>13.77</v>
      </c>
      <c r="O3265" s="22">
        <v>0.40000000000000002</v>
      </c>
    </row>
    <row r="3266" ht="51">
      <c r="A3266" t="s">
        <v>3320</v>
      </c>
      <c r="B3266" s="19">
        <v>101134</v>
      </c>
      <c r="C3266" s="20" t="s">
        <v>3331</v>
      </c>
      <c r="D3266" s="19" t="s">
        <v>121</v>
      </c>
      <c r="E3266" s="21">
        <f t="shared" si="149"/>
        <v>15.83</v>
      </c>
      <c r="F3266" s="22">
        <v>0.34000000000000002</v>
      </c>
      <c r="G3266" s="21">
        <f t="shared" si="150"/>
        <v>15.630000000000001</v>
      </c>
      <c r="H3266" s="22">
        <v>0.34000000000000002</v>
      </c>
      <c r="I3266" s="23" t="str">
        <f t="shared" si="151"/>
        <v xml:space="preserve">COM VALOR</v>
      </c>
      <c r="J3266" s="19"/>
      <c r="L3266" s="21">
        <v>15.83</v>
      </c>
      <c r="M3266" s="22">
        <v>0.35499999999999998</v>
      </c>
      <c r="N3266" s="21">
        <v>15.630000000000001</v>
      </c>
      <c r="O3266" s="22">
        <v>0.35999999999999999</v>
      </c>
    </row>
    <row r="3267" ht="51">
      <c r="A3267" t="s">
        <v>3320</v>
      </c>
      <c r="B3267" s="19">
        <v>101144</v>
      </c>
      <c r="C3267" s="20" t="s">
        <v>3332</v>
      </c>
      <c r="D3267" s="19" t="s">
        <v>121</v>
      </c>
      <c r="E3267" s="21">
        <f t="shared" si="149"/>
        <v>15.640000000000001</v>
      </c>
      <c r="F3267" s="22">
        <v>0.11</v>
      </c>
      <c r="G3267" s="21">
        <f t="shared" si="150"/>
        <v>15.460000000000001</v>
      </c>
      <c r="H3267" s="22">
        <v>0.11</v>
      </c>
      <c r="I3267" s="23" t="str">
        <f t="shared" si="151"/>
        <v xml:space="preserve">COM VALOR</v>
      </c>
      <c r="J3267" s="19"/>
      <c r="L3267" s="21">
        <v>15.640000000000001</v>
      </c>
      <c r="M3267" s="22">
        <v>0.20999999999999999</v>
      </c>
      <c r="N3267" s="21">
        <v>15.460000000000001</v>
      </c>
      <c r="O3267" s="22">
        <v>0.22</v>
      </c>
    </row>
    <row r="3268" ht="51">
      <c r="A3268" t="s">
        <v>3320</v>
      </c>
      <c r="B3268" s="19">
        <v>101138</v>
      </c>
      <c r="C3268" s="20" t="s">
        <v>3333</v>
      </c>
      <c r="D3268" s="19" t="s">
        <v>121</v>
      </c>
      <c r="E3268" s="21">
        <f t="shared" si="149"/>
        <v>15.18</v>
      </c>
      <c r="F3268" s="22">
        <v>0.12</v>
      </c>
      <c r="G3268" s="21">
        <f t="shared" si="150"/>
        <v>15</v>
      </c>
      <c r="H3268" s="22">
        <v>0.12</v>
      </c>
      <c r="I3268" s="23" t="str">
        <f t="shared" si="151"/>
        <v xml:space="preserve">COM VALOR</v>
      </c>
      <c r="J3268" s="19"/>
      <c r="L3268" s="21">
        <v>15.18</v>
      </c>
      <c r="M3268" s="22">
        <v>0.34999999999999998</v>
      </c>
      <c r="N3268" s="21">
        <v>15</v>
      </c>
      <c r="O3268" s="22">
        <v>0.34999999999999998</v>
      </c>
    </row>
    <row r="3269" ht="51">
      <c r="A3269" t="s">
        <v>3320</v>
      </c>
      <c r="B3269" s="19">
        <v>101148</v>
      </c>
      <c r="C3269" s="20" t="s">
        <v>3334</v>
      </c>
      <c r="D3269" s="19" t="s">
        <v>121</v>
      </c>
      <c r="E3269" s="21">
        <f t="shared" si="149"/>
        <v>14.99</v>
      </c>
      <c r="F3269" s="22">
        <v>0.34000000000000002</v>
      </c>
      <c r="G3269" s="21">
        <f t="shared" si="150"/>
        <v>14.83</v>
      </c>
      <c r="H3269" s="22">
        <v>0.34000000000000002</v>
      </c>
      <c r="I3269" s="23" t="str">
        <f t="shared" si="151"/>
        <v xml:space="preserve">COM VALOR</v>
      </c>
      <c r="J3269" s="19"/>
      <c r="L3269" s="21">
        <v>14.99</v>
      </c>
      <c r="M3269" s="22">
        <v>0.20000000000000001</v>
      </c>
      <c r="N3269" s="21">
        <v>14.83</v>
      </c>
      <c r="O3269" s="22">
        <v>0.20000000000000001</v>
      </c>
    </row>
    <row r="3270" ht="51">
      <c r="A3270" t="s">
        <v>3320</v>
      </c>
      <c r="B3270" s="19">
        <v>101135</v>
      </c>
      <c r="C3270" s="20" t="s">
        <v>3335</v>
      </c>
      <c r="D3270" s="19" t="s">
        <v>121</v>
      </c>
      <c r="E3270" s="21">
        <f t="shared" si="149"/>
        <v>15.09</v>
      </c>
      <c r="F3270" s="22">
        <v>0.11</v>
      </c>
      <c r="G3270" s="21">
        <f t="shared" si="150"/>
        <v>14.91</v>
      </c>
      <c r="H3270" s="22">
        <v>0.12</v>
      </c>
      <c r="I3270" s="23" t="str">
        <f t="shared" si="151"/>
        <v xml:space="preserve">COM VALOR</v>
      </c>
      <c r="J3270" s="19"/>
      <c r="L3270" s="21">
        <v>15.09</v>
      </c>
      <c r="M3270" s="22">
        <v>0.35999999999999999</v>
      </c>
      <c r="N3270" s="21">
        <v>14.91</v>
      </c>
      <c r="O3270" s="22">
        <v>0.35999999999999999</v>
      </c>
    </row>
    <row r="3271" ht="51">
      <c r="A3271" t="s">
        <v>3320</v>
      </c>
      <c r="B3271" s="19">
        <v>101145</v>
      </c>
      <c r="C3271" s="20" t="s">
        <v>3336</v>
      </c>
      <c r="D3271" s="19" t="s">
        <v>121</v>
      </c>
      <c r="E3271" s="21">
        <f t="shared" si="149"/>
        <v>14.9</v>
      </c>
      <c r="F3271" s="22">
        <v>0.34000000000000002</v>
      </c>
      <c r="G3271" s="21">
        <f t="shared" si="150"/>
        <v>14.74</v>
      </c>
      <c r="H3271" s="22">
        <v>0.34999999999999998</v>
      </c>
      <c r="I3271" s="23" t="str">
        <f t="shared" si="151"/>
        <v xml:space="preserve">COM VALOR</v>
      </c>
      <c r="J3271" s="19"/>
      <c r="L3271" s="21">
        <v>14.9</v>
      </c>
      <c r="M3271" s="22">
        <v>0.20999999999999999</v>
      </c>
      <c r="N3271" s="21">
        <v>14.74</v>
      </c>
      <c r="O3271" s="22">
        <v>0.20999999999999999</v>
      </c>
    </row>
    <row r="3272" ht="51">
      <c r="A3272" t="s">
        <v>3320</v>
      </c>
      <c r="B3272" s="19">
        <v>101136</v>
      </c>
      <c r="C3272" s="20" t="s">
        <v>3337</v>
      </c>
      <c r="D3272" s="19" t="s">
        <v>121</v>
      </c>
      <c r="E3272" s="21">
        <f t="shared" si="149"/>
        <v>13.59</v>
      </c>
      <c r="F3272" s="22">
        <v>0.12</v>
      </c>
      <c r="G3272" s="21">
        <f t="shared" si="150"/>
        <v>13.449999999999999</v>
      </c>
      <c r="H3272" s="22">
        <v>0.12</v>
      </c>
      <c r="I3272" s="23" t="str">
        <f t="shared" si="151"/>
        <v xml:space="preserve">COM VALOR</v>
      </c>
      <c r="J3272" s="19"/>
      <c r="L3272" s="21">
        <v>13.59</v>
      </c>
      <c r="M3272" s="22">
        <v>0.34000000000000002</v>
      </c>
      <c r="N3272" s="21">
        <v>13.449999999999999</v>
      </c>
      <c r="O3272" s="22">
        <v>0.34000000000000002</v>
      </c>
    </row>
    <row r="3273" ht="51">
      <c r="A3273" t="s">
        <v>3320</v>
      </c>
      <c r="B3273" s="19">
        <v>101146</v>
      </c>
      <c r="C3273" s="20" t="s">
        <v>3338</v>
      </c>
      <c r="D3273" s="19" t="s">
        <v>121</v>
      </c>
      <c r="E3273" s="21">
        <f t="shared" si="149"/>
        <v>13.4</v>
      </c>
      <c r="F3273" s="22">
        <v>0.11</v>
      </c>
      <c r="G3273" s="21">
        <f t="shared" si="150"/>
        <v>13.279999999999999</v>
      </c>
      <c r="H3273" s="22">
        <v>0.11</v>
      </c>
      <c r="I3273" s="23" t="str">
        <f t="shared" si="151"/>
        <v xml:space="preserve">COM VALOR</v>
      </c>
      <c r="J3273" s="19"/>
      <c r="L3273" s="21">
        <v>13.4</v>
      </c>
      <c r="M3273" s="22">
        <v>0.17000000000000001</v>
      </c>
      <c r="N3273" s="21">
        <v>13.279999999999999</v>
      </c>
      <c r="O3273" s="22">
        <v>0.17000000000000001</v>
      </c>
    </row>
    <row r="3274" ht="51">
      <c r="A3274" t="s">
        <v>3320</v>
      </c>
      <c r="B3274" s="19">
        <v>101137</v>
      </c>
      <c r="C3274" s="20" t="s">
        <v>3339</v>
      </c>
      <c r="D3274" s="19" t="s">
        <v>121</v>
      </c>
      <c r="E3274" s="21">
        <f t="shared" si="149"/>
        <v>14.640000000000001</v>
      </c>
      <c r="F3274" s="22">
        <v>0</v>
      </c>
      <c r="G3274" s="21">
        <f t="shared" si="150"/>
        <v>14.52</v>
      </c>
      <c r="H3274" s="22">
        <v>0</v>
      </c>
      <c r="I3274" s="23" t="str">
        <f t="shared" si="151"/>
        <v xml:space="preserve">COM VALOR</v>
      </c>
      <c r="J3274" s="19"/>
      <c r="L3274" s="21">
        <v>14.640000000000001</v>
      </c>
      <c r="M3274" s="22">
        <v>0.39000000000000001</v>
      </c>
      <c r="N3274" s="21">
        <v>14.52</v>
      </c>
      <c r="O3274" s="22">
        <v>0.40000000000000002</v>
      </c>
    </row>
    <row r="3275" ht="51">
      <c r="A3275" t="s">
        <v>3320</v>
      </c>
      <c r="B3275" s="19">
        <v>101147</v>
      </c>
      <c r="C3275" s="20" t="s">
        <v>3340</v>
      </c>
      <c r="D3275" s="19" t="s">
        <v>121</v>
      </c>
      <c r="E3275" s="21">
        <f t="shared" ref="E3275:E3338" si="152">IF(L3275=0,"VERIFICAR",L3275)</f>
        <v>14.449999999999999</v>
      </c>
      <c r="F3275" s="22">
        <v>0</v>
      </c>
      <c r="G3275" s="21">
        <f t="shared" ref="G3275:G3338" si="153">IF(N3275=0,"VERIFICAR",N3275)</f>
        <v>14.35</v>
      </c>
      <c r="H3275" s="22">
        <v>0</v>
      </c>
      <c r="I3275" s="23" t="str">
        <f t="shared" ref="I3275:I3338" si="154">IF(OR(E3275=0,G3275=0),"SEM VALOR","COM VALOR")</f>
        <v xml:space="preserve">COM VALOR</v>
      </c>
      <c r="J3275" s="19"/>
      <c r="L3275" s="21">
        <v>14.449999999999999</v>
      </c>
      <c r="M3275" s="22">
        <v>0.23999999999999999</v>
      </c>
      <c r="N3275" s="21">
        <v>14.35</v>
      </c>
      <c r="O3275" s="22">
        <v>0.23999999999999999</v>
      </c>
    </row>
    <row r="3276" ht="38.25">
      <c r="A3276" t="s">
        <v>3320</v>
      </c>
      <c r="B3276" s="19">
        <v>101119</v>
      </c>
      <c r="C3276" s="20" t="s">
        <v>3341</v>
      </c>
      <c r="D3276" s="19" t="s">
        <v>121</v>
      </c>
      <c r="E3276" s="21">
        <f t="shared" si="152"/>
        <v>9.0299999999999994</v>
      </c>
      <c r="F3276" s="22">
        <v>0</v>
      </c>
      <c r="G3276" s="21">
        <f t="shared" si="153"/>
        <v>8.8499999999999996</v>
      </c>
      <c r="H3276" s="22">
        <v>0</v>
      </c>
      <c r="I3276" s="23" t="str">
        <f t="shared" si="154"/>
        <v xml:space="preserve">COM VALOR</v>
      </c>
      <c r="J3276" s="19"/>
      <c r="L3276" s="21">
        <v>9.0299999999999994</v>
      </c>
      <c r="M3276" s="22">
        <v>0.47999999999999998</v>
      </c>
      <c r="N3276" s="21">
        <v>8.8499999999999996</v>
      </c>
      <c r="O3276" s="22">
        <v>0.48999999999999999</v>
      </c>
    </row>
    <row r="3277" ht="38.25">
      <c r="A3277" t="s">
        <v>3320</v>
      </c>
      <c r="B3277" s="19">
        <v>101123</v>
      </c>
      <c r="C3277" s="20" t="s">
        <v>3342</v>
      </c>
      <c r="D3277" s="19" t="s">
        <v>121</v>
      </c>
      <c r="E3277" s="21">
        <f t="shared" si="152"/>
        <v>7.79</v>
      </c>
      <c r="F3277" s="22">
        <v>0</v>
      </c>
      <c r="G3277" s="21">
        <f t="shared" si="153"/>
        <v>7.6399999999999997</v>
      </c>
      <c r="H3277" s="22">
        <v>0</v>
      </c>
      <c r="I3277" s="23" t="str">
        <f t="shared" si="154"/>
        <v xml:space="preserve">COM VALOR</v>
      </c>
      <c r="J3277" s="19"/>
      <c r="L3277" s="21">
        <v>7.79</v>
      </c>
      <c r="M3277" s="22">
        <v>0.46999999999999997</v>
      </c>
      <c r="N3277" s="21">
        <v>7.6399999999999997</v>
      </c>
      <c r="O3277" s="22">
        <v>0.47999999999999998</v>
      </c>
    </row>
    <row r="3278" ht="38.25">
      <c r="A3278" t="s">
        <v>3320</v>
      </c>
      <c r="B3278" s="19">
        <v>101120</v>
      </c>
      <c r="C3278" s="20" t="s">
        <v>3343</v>
      </c>
      <c r="D3278" s="19" t="s">
        <v>121</v>
      </c>
      <c r="E3278" s="21">
        <f t="shared" si="152"/>
        <v>7.6399999999999997</v>
      </c>
      <c r="F3278" s="22">
        <v>0</v>
      </c>
      <c r="G3278" s="21">
        <f t="shared" si="153"/>
        <v>7.5099999999999998</v>
      </c>
      <c r="H3278" s="22">
        <v>0</v>
      </c>
      <c r="I3278" s="23" t="str">
        <f t="shared" si="154"/>
        <v xml:space="preserve">COM VALOR</v>
      </c>
      <c r="J3278" s="19"/>
      <c r="L3278" s="21">
        <v>7.6399999999999997</v>
      </c>
      <c r="M3278" s="22">
        <v>0.5</v>
      </c>
      <c r="N3278" s="21">
        <v>7.5099999999999998</v>
      </c>
      <c r="O3278" s="22">
        <v>0.51000000000000001</v>
      </c>
    </row>
    <row r="3279" ht="38.25">
      <c r="A3279" t="s">
        <v>3320</v>
      </c>
      <c r="B3279" s="19">
        <v>101121</v>
      </c>
      <c r="C3279" s="20" t="s">
        <v>3344</v>
      </c>
      <c r="D3279" s="19" t="s">
        <v>121</v>
      </c>
      <c r="E3279" s="21">
        <f t="shared" si="152"/>
        <v>4.7699999999999996</v>
      </c>
      <c r="F3279" s="22">
        <v>0</v>
      </c>
      <c r="G3279" s="21">
        <f t="shared" si="153"/>
        <v>4.6900000000000004</v>
      </c>
      <c r="H3279" s="22">
        <v>0</v>
      </c>
      <c r="I3279" s="23" t="str">
        <f t="shared" si="154"/>
        <v xml:space="preserve">COM VALOR</v>
      </c>
      <c r="J3279" s="19"/>
      <c r="L3279" s="21">
        <v>4.7699999999999996</v>
      </c>
      <c r="M3279" s="22">
        <v>0.48999999999999999</v>
      </c>
      <c r="N3279" s="21">
        <v>4.6900000000000004</v>
      </c>
      <c r="O3279" s="22">
        <v>0.5</v>
      </c>
    </row>
    <row r="3280" ht="38.25">
      <c r="A3280" t="s">
        <v>3320</v>
      </c>
      <c r="B3280" s="19">
        <v>101122</v>
      </c>
      <c r="C3280" s="20" t="s">
        <v>3345</v>
      </c>
      <c r="D3280" s="19" t="s">
        <v>121</v>
      </c>
      <c r="E3280" s="21">
        <f t="shared" si="152"/>
        <v>6.7599999999999998</v>
      </c>
      <c r="F3280" s="22">
        <v>0</v>
      </c>
      <c r="G3280" s="21">
        <f t="shared" si="153"/>
        <v>6.7199999999999998</v>
      </c>
      <c r="H3280" s="22">
        <v>0</v>
      </c>
      <c r="I3280" s="23" t="str">
        <f t="shared" si="154"/>
        <v xml:space="preserve">COM VALOR</v>
      </c>
      <c r="J3280" s="19"/>
      <c r="L3280" s="21">
        <v>6.7599999999999998</v>
      </c>
      <c r="M3280" s="22">
        <v>0.68000000000000005</v>
      </c>
      <c r="N3280" s="21">
        <v>6.7199999999999998</v>
      </c>
      <c r="O3280" s="22">
        <v>0.6875</v>
      </c>
    </row>
    <row r="3281" ht="38.25">
      <c r="A3281" t="s">
        <v>3320</v>
      </c>
      <c r="B3281" s="19">
        <v>101129</v>
      </c>
      <c r="C3281" s="20" t="s">
        <v>3346</v>
      </c>
      <c r="D3281" s="19" t="s">
        <v>121</v>
      </c>
      <c r="E3281" s="21">
        <f t="shared" si="152"/>
        <v>19.789999999999999</v>
      </c>
      <c r="F3281" s="22">
        <v>0</v>
      </c>
      <c r="G3281" s="21">
        <f t="shared" si="153"/>
        <v>19.510000000000002</v>
      </c>
      <c r="H3281" s="22">
        <v>0</v>
      </c>
      <c r="I3281" s="23" t="str">
        <f t="shared" si="154"/>
        <v xml:space="preserve">COM VALOR</v>
      </c>
      <c r="J3281" s="19"/>
      <c r="L3281" s="21">
        <v>19.789999999999999</v>
      </c>
      <c r="M3281" s="22">
        <v>0.38</v>
      </c>
      <c r="N3281" s="21">
        <v>19.510000000000002</v>
      </c>
      <c r="O3281" s="22">
        <v>0.39000000000000001</v>
      </c>
    </row>
    <row r="3282" ht="38.25">
      <c r="A3282" t="s">
        <v>3320</v>
      </c>
      <c r="B3282" s="19">
        <v>101133</v>
      </c>
      <c r="C3282" s="20" t="s">
        <v>3347</v>
      </c>
      <c r="D3282" s="19" t="s">
        <v>121</v>
      </c>
      <c r="E3282" s="21">
        <f t="shared" si="152"/>
        <v>18.550000000000001</v>
      </c>
      <c r="F3282" s="22">
        <v>0</v>
      </c>
      <c r="G3282" s="21">
        <f t="shared" si="153"/>
        <v>18.300000000000001</v>
      </c>
      <c r="H3282" s="22">
        <v>0</v>
      </c>
      <c r="I3282" s="23" t="str">
        <f t="shared" si="154"/>
        <v xml:space="preserve">COM VALOR</v>
      </c>
      <c r="J3282" s="19"/>
      <c r="L3282" s="21">
        <v>18.550000000000001</v>
      </c>
      <c r="M3282" s="22">
        <v>0.37</v>
      </c>
      <c r="N3282" s="21">
        <v>18.300000000000001</v>
      </c>
      <c r="O3282" s="22">
        <v>0.37</v>
      </c>
    </row>
    <row r="3283" ht="38.25">
      <c r="A3283" t="s">
        <v>3320</v>
      </c>
      <c r="B3283" s="19">
        <v>101130</v>
      </c>
      <c r="C3283" s="20" t="s">
        <v>3348</v>
      </c>
      <c r="D3283" s="19" t="s">
        <v>121</v>
      </c>
      <c r="E3283" s="21">
        <f t="shared" si="152"/>
        <v>18.399999999999999</v>
      </c>
      <c r="F3283" s="22">
        <v>0</v>
      </c>
      <c r="G3283" s="21">
        <f t="shared" si="153"/>
        <v>18.170000000000002</v>
      </c>
      <c r="H3283" s="22">
        <v>0</v>
      </c>
      <c r="I3283" s="23" t="str">
        <f t="shared" si="154"/>
        <v xml:space="preserve">COM VALOR</v>
      </c>
      <c r="J3283" s="19"/>
      <c r="L3283" s="21">
        <v>18.399999999999999</v>
      </c>
      <c r="M3283" s="22">
        <v>0.38</v>
      </c>
      <c r="N3283" s="21">
        <v>18.170000000000002</v>
      </c>
      <c r="O3283" s="22">
        <v>0.39000000000000001</v>
      </c>
    </row>
    <row r="3284" ht="38.25">
      <c r="A3284" t="s">
        <v>3320</v>
      </c>
      <c r="B3284" s="19">
        <v>101131</v>
      </c>
      <c r="C3284" s="20" t="s">
        <v>3349</v>
      </c>
      <c r="D3284" s="19" t="s">
        <v>121</v>
      </c>
      <c r="E3284" s="21">
        <f t="shared" si="152"/>
        <v>15.529999999999999</v>
      </c>
      <c r="F3284" s="22">
        <v>0</v>
      </c>
      <c r="G3284" s="21">
        <f t="shared" si="153"/>
        <v>15.35</v>
      </c>
      <c r="H3284" s="22">
        <v>0</v>
      </c>
      <c r="I3284" s="23" t="str">
        <f t="shared" si="154"/>
        <v xml:space="preserve">COM VALOR</v>
      </c>
      <c r="J3284" s="19"/>
      <c r="L3284" s="21">
        <v>15.529999999999999</v>
      </c>
      <c r="M3284" s="22">
        <v>0.35999999999999999</v>
      </c>
      <c r="N3284" s="21">
        <v>15.35</v>
      </c>
      <c r="O3284" s="22">
        <v>0.35999999999999999</v>
      </c>
    </row>
    <row r="3285" ht="38.25">
      <c r="A3285" t="s">
        <v>3320</v>
      </c>
      <c r="B3285" s="19">
        <v>101132</v>
      </c>
      <c r="C3285" s="20" t="s">
        <v>3350</v>
      </c>
      <c r="D3285" s="19" t="s">
        <v>121</v>
      </c>
      <c r="E3285" s="21">
        <f t="shared" si="152"/>
        <v>17.52</v>
      </c>
      <c r="F3285" s="22">
        <v>0</v>
      </c>
      <c r="G3285" s="21">
        <f t="shared" si="153"/>
        <v>17.379999999999999</v>
      </c>
      <c r="H3285" s="22">
        <v>0</v>
      </c>
      <c r="I3285" s="23" t="str">
        <f t="shared" si="154"/>
        <v xml:space="preserve">COM VALOR</v>
      </c>
      <c r="J3285" s="19"/>
      <c r="L3285" s="21">
        <v>17.52</v>
      </c>
      <c r="M3285" s="22">
        <v>0.45000000000000001</v>
      </c>
      <c r="N3285" s="21">
        <v>17.379999999999999</v>
      </c>
      <c r="O3285" s="22">
        <v>0.45000000000000001</v>
      </c>
    </row>
    <row r="3286" ht="51">
      <c r="A3286" t="s">
        <v>3320</v>
      </c>
      <c r="B3286" s="19">
        <v>101139</v>
      </c>
      <c r="C3286" s="20" t="s">
        <v>3351</v>
      </c>
      <c r="D3286" s="19" t="s">
        <v>121</v>
      </c>
      <c r="E3286" s="21">
        <f t="shared" si="152"/>
        <v>20.57</v>
      </c>
      <c r="F3286" s="22">
        <v>0</v>
      </c>
      <c r="G3286" s="21">
        <f t="shared" si="153"/>
        <v>20.289999999999999</v>
      </c>
      <c r="H3286" s="22">
        <v>0</v>
      </c>
      <c r="I3286" s="23" t="str">
        <f t="shared" si="154"/>
        <v xml:space="preserve">COM VALOR</v>
      </c>
      <c r="J3286" s="19"/>
      <c r="L3286" s="21">
        <v>20.57</v>
      </c>
      <c r="M3286" s="22">
        <v>0.38</v>
      </c>
      <c r="N3286" s="21">
        <v>20.289999999999999</v>
      </c>
      <c r="O3286" s="22">
        <v>0.38</v>
      </c>
    </row>
    <row r="3287" ht="51">
      <c r="A3287" t="s">
        <v>3320</v>
      </c>
      <c r="B3287" s="19">
        <v>101149</v>
      </c>
      <c r="C3287" s="20" t="s">
        <v>3352</v>
      </c>
      <c r="D3287" s="19" t="s">
        <v>121</v>
      </c>
      <c r="E3287" s="21">
        <f t="shared" si="152"/>
        <v>20.379999999999999</v>
      </c>
      <c r="F3287" s="22">
        <v>0</v>
      </c>
      <c r="G3287" s="21">
        <f t="shared" si="153"/>
        <v>20.109999999999999</v>
      </c>
      <c r="H3287" s="22">
        <v>0</v>
      </c>
      <c r="I3287" s="23" t="str">
        <f t="shared" si="154"/>
        <v xml:space="preserve">COM VALOR</v>
      </c>
      <c r="J3287" s="19"/>
      <c r="L3287" s="21">
        <v>20.379999999999999</v>
      </c>
      <c r="M3287" s="22">
        <v>0.27000000000000002</v>
      </c>
      <c r="N3287" s="21">
        <v>20.109999999999999</v>
      </c>
      <c r="O3287" s="22">
        <v>0.27000000000000002</v>
      </c>
    </row>
    <row r="3288" ht="51">
      <c r="A3288" t="s">
        <v>3320</v>
      </c>
      <c r="B3288" s="19">
        <v>101143</v>
      </c>
      <c r="C3288" s="20" t="s">
        <v>3353</v>
      </c>
      <c r="D3288" s="19" t="s">
        <v>121</v>
      </c>
      <c r="E3288" s="21">
        <f t="shared" si="152"/>
        <v>19.329999999999998</v>
      </c>
      <c r="F3288" s="22">
        <v>0</v>
      </c>
      <c r="G3288" s="21">
        <f t="shared" si="153"/>
        <v>19.079999999999998</v>
      </c>
      <c r="H3288" s="22">
        <v>0</v>
      </c>
      <c r="I3288" s="23" t="str">
        <f t="shared" si="154"/>
        <v xml:space="preserve">COM VALOR</v>
      </c>
      <c r="J3288" s="19"/>
      <c r="L3288" s="21">
        <v>19.329999999999998</v>
      </c>
      <c r="M3288" s="22">
        <v>0.37</v>
      </c>
      <c r="N3288" s="21">
        <v>19.079999999999998</v>
      </c>
      <c r="O3288" s="22">
        <v>0.37</v>
      </c>
    </row>
    <row r="3289" ht="51">
      <c r="A3289" t="s">
        <v>3320</v>
      </c>
      <c r="B3289" s="19">
        <v>101153</v>
      </c>
      <c r="C3289" s="20" t="s">
        <v>3354</v>
      </c>
      <c r="D3289" s="19" t="s">
        <v>121</v>
      </c>
      <c r="E3289" s="21">
        <f t="shared" si="152"/>
        <v>19.140000000000001</v>
      </c>
      <c r="F3289" s="22">
        <v>0</v>
      </c>
      <c r="G3289" s="21">
        <f t="shared" si="153"/>
        <v>18.899999999999999</v>
      </c>
      <c r="H3289" s="22">
        <v>0</v>
      </c>
      <c r="I3289" s="23" t="str">
        <f t="shared" si="154"/>
        <v xml:space="preserve">COM VALOR</v>
      </c>
      <c r="J3289" s="19"/>
      <c r="L3289" s="21">
        <v>19.140000000000001</v>
      </c>
      <c r="M3289" s="22">
        <v>0.25</v>
      </c>
      <c r="N3289" s="21">
        <v>18.899999999999999</v>
      </c>
      <c r="O3289" s="22">
        <v>0.25</v>
      </c>
    </row>
    <row r="3290" ht="51">
      <c r="A3290" t="s">
        <v>3320</v>
      </c>
      <c r="B3290" s="19">
        <v>101140</v>
      </c>
      <c r="C3290" s="20" t="s">
        <v>3355</v>
      </c>
      <c r="D3290" s="19" t="s">
        <v>121</v>
      </c>
      <c r="E3290" s="21">
        <f t="shared" si="152"/>
        <v>19.18</v>
      </c>
      <c r="F3290" s="22">
        <v>0</v>
      </c>
      <c r="G3290" s="21">
        <f t="shared" si="153"/>
        <v>18.949999999999999</v>
      </c>
      <c r="H3290" s="22">
        <v>0</v>
      </c>
      <c r="I3290" s="23" t="str">
        <f t="shared" si="154"/>
        <v xml:space="preserve">COM VALOR</v>
      </c>
      <c r="J3290" s="19"/>
      <c r="L3290" s="21">
        <v>19.18</v>
      </c>
      <c r="M3290" s="22">
        <v>0.38</v>
      </c>
      <c r="N3290" s="21">
        <v>18.949999999999999</v>
      </c>
      <c r="O3290" s="22">
        <v>0.39000000000000001</v>
      </c>
    </row>
    <row r="3291" ht="51">
      <c r="A3291" t="s">
        <v>3320</v>
      </c>
      <c r="B3291" s="19">
        <v>101150</v>
      </c>
      <c r="C3291" s="20" t="s">
        <v>3356</v>
      </c>
      <c r="D3291" s="19" t="s">
        <v>121</v>
      </c>
      <c r="E3291" s="21">
        <f t="shared" si="152"/>
        <v>18.989999999999998</v>
      </c>
      <c r="F3291" s="22">
        <v>0</v>
      </c>
      <c r="G3291" s="21">
        <f t="shared" si="153"/>
        <v>18.77</v>
      </c>
      <c r="H3291" s="22">
        <v>0</v>
      </c>
      <c r="I3291" s="23" t="str">
        <f t="shared" si="154"/>
        <v xml:space="preserve">COM VALOR</v>
      </c>
      <c r="J3291" s="19"/>
      <c r="L3291" s="21">
        <v>18.989999999999998</v>
      </c>
      <c r="M3291" s="22">
        <v>0.26000000000000001</v>
      </c>
      <c r="N3291" s="21">
        <v>18.77</v>
      </c>
      <c r="O3291" s="22">
        <v>0.26000000000000001</v>
      </c>
    </row>
    <row r="3292" ht="51">
      <c r="A3292" t="s">
        <v>3320</v>
      </c>
      <c r="B3292" s="19">
        <v>101141</v>
      </c>
      <c r="C3292" s="20" t="s">
        <v>3357</v>
      </c>
      <c r="D3292" s="19" t="s">
        <v>121</v>
      </c>
      <c r="E3292" s="21">
        <f t="shared" si="152"/>
        <v>16.309999999999999</v>
      </c>
      <c r="F3292" s="22">
        <v>0</v>
      </c>
      <c r="G3292" s="21">
        <f t="shared" si="153"/>
        <v>16.129999999999999</v>
      </c>
      <c r="H3292" s="22">
        <v>0</v>
      </c>
      <c r="I3292" s="23" t="str">
        <f t="shared" si="154"/>
        <v xml:space="preserve">COM VALOR</v>
      </c>
      <c r="J3292" s="19"/>
      <c r="L3292" s="21">
        <v>16.309999999999999</v>
      </c>
      <c r="M3292" s="22">
        <v>0.35999999999999999</v>
      </c>
      <c r="N3292" s="21">
        <v>16.129999999999999</v>
      </c>
      <c r="O3292" s="22">
        <v>0.35999999999999999</v>
      </c>
    </row>
    <row r="3293" ht="51">
      <c r="A3293" t="s">
        <v>3320</v>
      </c>
      <c r="B3293" s="19">
        <v>101151</v>
      </c>
      <c r="C3293" s="20" t="s">
        <v>3358</v>
      </c>
      <c r="D3293" s="19" t="s">
        <v>121</v>
      </c>
      <c r="E3293" s="21">
        <f t="shared" si="152"/>
        <v>16.120000000000001</v>
      </c>
      <c r="F3293" s="22">
        <v>0</v>
      </c>
      <c r="G3293" s="21">
        <f t="shared" si="153"/>
        <v>15.949999999999999</v>
      </c>
      <c r="H3293" s="22">
        <v>0</v>
      </c>
      <c r="I3293" s="23" t="str">
        <f t="shared" si="154"/>
        <v xml:space="preserve">COM VALOR</v>
      </c>
      <c r="J3293" s="19"/>
      <c r="L3293" s="21">
        <v>16.120000000000001</v>
      </c>
      <c r="M3293" s="22">
        <v>0.20999999999999999</v>
      </c>
      <c r="N3293" s="21">
        <v>15.949999999999999</v>
      </c>
      <c r="O3293" s="22">
        <v>0.22</v>
      </c>
    </row>
    <row r="3294" ht="51">
      <c r="A3294" t="s">
        <v>3320</v>
      </c>
      <c r="B3294" s="19">
        <v>101142</v>
      </c>
      <c r="C3294" s="20" t="s">
        <v>3359</v>
      </c>
      <c r="D3294" s="19" t="s">
        <v>121</v>
      </c>
      <c r="E3294" s="21">
        <f t="shared" si="152"/>
        <v>18.300000000000001</v>
      </c>
      <c r="F3294" s="22">
        <v>0</v>
      </c>
      <c r="G3294" s="21">
        <f t="shared" si="153"/>
        <v>18.16</v>
      </c>
      <c r="H3294" s="22">
        <v>0</v>
      </c>
      <c r="I3294" s="23" t="str">
        <f t="shared" si="154"/>
        <v xml:space="preserve">COM VALOR</v>
      </c>
      <c r="J3294" s="19"/>
      <c r="L3294" s="21">
        <v>18.300000000000001</v>
      </c>
      <c r="M3294" s="22">
        <v>0.44</v>
      </c>
      <c r="N3294" s="21">
        <v>18.16</v>
      </c>
      <c r="O3294" s="22">
        <v>0.45000000000000001</v>
      </c>
    </row>
    <row r="3295" ht="51">
      <c r="A3295" t="s">
        <v>3320</v>
      </c>
      <c r="B3295" s="19">
        <v>101152</v>
      </c>
      <c r="C3295" s="20" t="s">
        <v>3360</v>
      </c>
      <c r="D3295" s="19" t="s">
        <v>121</v>
      </c>
      <c r="E3295" s="21">
        <f t="shared" si="152"/>
        <v>18.109999999999999</v>
      </c>
      <c r="F3295" s="22">
        <v>0</v>
      </c>
      <c r="G3295" s="21">
        <f t="shared" si="153"/>
        <v>17.98</v>
      </c>
      <c r="H3295" s="22">
        <v>0</v>
      </c>
      <c r="I3295" s="23" t="str">
        <f t="shared" si="154"/>
        <v xml:space="preserve">COM VALOR</v>
      </c>
      <c r="J3295" s="19"/>
      <c r="L3295" s="21">
        <v>18.109999999999999</v>
      </c>
      <c r="M3295" s="22">
        <v>0.32000000000000001</v>
      </c>
      <c r="N3295" s="21">
        <v>17.98</v>
      </c>
      <c r="O3295" s="22">
        <v>0.32000000000000001</v>
      </c>
    </row>
    <row r="3296" ht="63.75">
      <c r="A3296" t="s">
        <v>3361</v>
      </c>
      <c r="B3296" s="19">
        <v>101207</v>
      </c>
      <c r="C3296" s="20" t="s">
        <v>3362</v>
      </c>
      <c r="D3296" s="19" t="s">
        <v>121</v>
      </c>
      <c r="E3296" s="21">
        <f t="shared" si="152"/>
        <v>11.619999999999999</v>
      </c>
      <c r="F3296" s="22">
        <v>0</v>
      </c>
      <c r="G3296" s="21">
        <f t="shared" si="153"/>
        <v>11.539999999999999</v>
      </c>
      <c r="H3296" s="22">
        <v>0</v>
      </c>
      <c r="I3296" s="23" t="str">
        <f t="shared" si="154"/>
        <v xml:space="preserve">COM VALOR</v>
      </c>
      <c r="J3296" s="19"/>
      <c r="L3296" s="21">
        <v>11.619999999999999</v>
      </c>
      <c r="M3296" s="22">
        <v>8.9999999999999997e-002</v>
      </c>
      <c r="N3296" s="21">
        <v>11.539999999999999</v>
      </c>
      <c r="O3296" s="22">
        <v>8.9999999999999997e-002</v>
      </c>
    </row>
    <row r="3297" ht="63.75">
      <c r="A3297" t="s">
        <v>3361</v>
      </c>
      <c r="B3297" s="19">
        <v>101206</v>
      </c>
      <c r="C3297" s="20" t="s">
        <v>3363</v>
      </c>
      <c r="D3297" s="19" t="s">
        <v>121</v>
      </c>
      <c r="E3297" s="21">
        <f t="shared" si="152"/>
        <v>13.369999999999999</v>
      </c>
      <c r="F3297" s="22">
        <v>0</v>
      </c>
      <c r="G3297" s="21">
        <f t="shared" si="153"/>
        <v>13.24</v>
      </c>
      <c r="H3297" s="22">
        <v>0</v>
      </c>
      <c r="I3297" s="23" t="str">
        <f t="shared" si="154"/>
        <v xml:space="preserve">COM VALOR</v>
      </c>
      <c r="J3297" s="19"/>
      <c r="L3297" s="21">
        <v>13.369999999999999</v>
      </c>
      <c r="M3297" s="22">
        <v>0.10000000000000001</v>
      </c>
      <c r="N3297" s="21">
        <v>13.24</v>
      </c>
      <c r="O3297" s="22">
        <v>0.10000000000000001</v>
      </c>
    </row>
    <row r="3298" ht="63.75">
      <c r="A3298" t="s">
        <v>3361</v>
      </c>
      <c r="B3298" s="19">
        <v>101210</v>
      </c>
      <c r="C3298" s="20" t="s">
        <v>3364</v>
      </c>
      <c r="D3298" s="19" t="s">
        <v>121</v>
      </c>
      <c r="E3298" s="21">
        <f t="shared" si="152"/>
        <v>18.82</v>
      </c>
      <c r="F3298" s="22">
        <v>0</v>
      </c>
      <c r="G3298" s="21">
        <f t="shared" si="153"/>
        <v>18.670000000000002</v>
      </c>
      <c r="H3298" s="22">
        <v>0</v>
      </c>
      <c r="I3298" s="23" t="str">
        <f t="shared" si="154"/>
        <v xml:space="preserve">COM VALOR</v>
      </c>
      <c r="J3298" s="19"/>
      <c r="L3298" s="21">
        <v>18.82</v>
      </c>
      <c r="M3298" s="22">
        <v>0.10000000000000001</v>
      </c>
      <c r="N3298" s="21">
        <v>18.670000000000002</v>
      </c>
      <c r="O3298" s="22">
        <v>0.10000000000000001</v>
      </c>
    </row>
    <row r="3299" ht="63.75">
      <c r="A3299" t="s">
        <v>3361</v>
      </c>
      <c r="B3299" s="19">
        <v>101211</v>
      </c>
      <c r="C3299" s="20" t="s">
        <v>3365</v>
      </c>
      <c r="D3299" s="19" t="s">
        <v>121</v>
      </c>
      <c r="E3299" s="21">
        <f t="shared" si="152"/>
        <v>20.210000000000001</v>
      </c>
      <c r="F3299" s="22">
        <v>0</v>
      </c>
      <c r="G3299" s="21">
        <f t="shared" si="153"/>
        <v>20.050000000000001</v>
      </c>
      <c r="H3299" s="22">
        <v>0</v>
      </c>
      <c r="I3299" s="23" t="str">
        <f t="shared" si="154"/>
        <v xml:space="preserve">COM VALOR</v>
      </c>
      <c r="J3299" s="19"/>
      <c r="L3299" s="21">
        <v>20.210000000000001</v>
      </c>
      <c r="M3299" s="22">
        <v>0.10000000000000001</v>
      </c>
      <c r="N3299" s="21">
        <v>20.050000000000001</v>
      </c>
      <c r="O3299" s="22">
        <v>0.10000000000000001</v>
      </c>
    </row>
    <row r="3300" ht="63.75">
      <c r="A3300" t="s">
        <v>3361</v>
      </c>
      <c r="B3300" s="19">
        <v>101215</v>
      </c>
      <c r="C3300" s="20" t="s">
        <v>3366</v>
      </c>
      <c r="D3300" s="19" t="s">
        <v>121</v>
      </c>
      <c r="E3300" s="21">
        <f t="shared" si="152"/>
        <v>18.07</v>
      </c>
      <c r="F3300" s="22">
        <v>0</v>
      </c>
      <c r="G3300" s="21">
        <f t="shared" si="153"/>
        <v>17.940000000000001</v>
      </c>
      <c r="H3300" s="22">
        <v>0</v>
      </c>
      <c r="I3300" s="23" t="str">
        <f t="shared" si="154"/>
        <v xml:space="preserve">COM VALOR</v>
      </c>
      <c r="J3300" s="19"/>
      <c r="L3300" s="21">
        <v>18.07</v>
      </c>
      <c r="M3300" s="22">
        <v>0.11</v>
      </c>
      <c r="N3300" s="21">
        <v>17.940000000000001</v>
      </c>
      <c r="O3300" s="22">
        <v>0.11</v>
      </c>
    </row>
    <row r="3301" ht="63.75">
      <c r="A3301" t="s">
        <v>3361</v>
      </c>
      <c r="B3301" s="19">
        <v>101216</v>
      </c>
      <c r="C3301" s="20" t="s">
        <v>3367</v>
      </c>
      <c r="D3301" s="19" t="s">
        <v>121</v>
      </c>
      <c r="E3301" s="21">
        <f t="shared" si="152"/>
        <v>18.98</v>
      </c>
      <c r="F3301" s="22">
        <v>0</v>
      </c>
      <c r="G3301" s="21">
        <f t="shared" si="153"/>
        <v>18.850000000000001</v>
      </c>
      <c r="H3301" s="22">
        <v>0</v>
      </c>
      <c r="I3301" s="23" t="str">
        <f t="shared" si="154"/>
        <v xml:space="preserve">COM VALOR</v>
      </c>
      <c r="J3301" s="19"/>
      <c r="L3301" s="21">
        <v>18.98</v>
      </c>
      <c r="M3301" s="22">
        <v>0.11</v>
      </c>
      <c r="N3301" s="21">
        <v>18.850000000000001</v>
      </c>
      <c r="O3301" s="22">
        <v>0.11</v>
      </c>
    </row>
    <row r="3302" ht="63.75">
      <c r="A3302" t="s">
        <v>3361</v>
      </c>
      <c r="B3302" s="19">
        <v>101212</v>
      </c>
      <c r="C3302" s="20" t="s">
        <v>3368</v>
      </c>
      <c r="D3302" s="19" t="s">
        <v>121</v>
      </c>
      <c r="E3302" s="21">
        <f t="shared" si="152"/>
        <v>23.579999999999998</v>
      </c>
      <c r="F3302" s="22">
        <v>0</v>
      </c>
      <c r="G3302" s="21">
        <f t="shared" si="153"/>
        <v>23.41</v>
      </c>
      <c r="H3302" s="22">
        <v>0</v>
      </c>
      <c r="I3302" s="23" t="str">
        <f t="shared" si="154"/>
        <v xml:space="preserve">COM VALOR</v>
      </c>
      <c r="J3302" s="19"/>
      <c r="L3302" s="21">
        <v>23.579999999999998</v>
      </c>
      <c r="M3302" s="22">
        <v>0.10000000000000001</v>
      </c>
      <c r="N3302" s="21">
        <v>23.41</v>
      </c>
      <c r="O3302" s="22">
        <v>0.10000000000000001</v>
      </c>
    </row>
    <row r="3303" ht="63.75">
      <c r="A3303" t="s">
        <v>3361</v>
      </c>
      <c r="B3303" s="19">
        <v>101217</v>
      </c>
      <c r="C3303" s="20" t="s">
        <v>3369</v>
      </c>
      <c r="D3303" s="19" t="s">
        <v>121</v>
      </c>
      <c r="E3303" s="21">
        <f t="shared" si="152"/>
        <v>22.100000000000001</v>
      </c>
      <c r="F3303" s="22">
        <v>0</v>
      </c>
      <c r="G3303" s="21">
        <f t="shared" si="153"/>
        <v>21.949999999999999</v>
      </c>
      <c r="H3303" s="22">
        <v>0</v>
      </c>
      <c r="I3303" s="23" t="str">
        <f t="shared" si="154"/>
        <v xml:space="preserve">COM VALOR</v>
      </c>
      <c r="J3303" s="19"/>
      <c r="L3303" s="21">
        <v>22.100000000000001</v>
      </c>
      <c r="M3303" s="22">
        <v>0.11</v>
      </c>
      <c r="N3303" s="21">
        <v>21.949999999999999</v>
      </c>
      <c r="O3303" s="22">
        <v>0.12</v>
      </c>
    </row>
    <row r="3304" ht="63.75">
      <c r="A3304" t="s">
        <v>3361</v>
      </c>
      <c r="B3304" s="19">
        <v>101218</v>
      </c>
      <c r="C3304" s="20" t="s">
        <v>3370</v>
      </c>
      <c r="D3304" s="19" t="s">
        <v>121</v>
      </c>
      <c r="E3304" s="21">
        <f t="shared" si="152"/>
        <v>23.440000000000001</v>
      </c>
      <c r="F3304" s="22">
        <v>0</v>
      </c>
      <c r="G3304" s="21">
        <f t="shared" si="153"/>
        <v>23.280000000000001</v>
      </c>
      <c r="H3304" s="22">
        <v>0</v>
      </c>
      <c r="I3304" s="23" t="str">
        <f t="shared" si="154"/>
        <v xml:space="preserve">COM VALOR</v>
      </c>
      <c r="J3304" s="19"/>
      <c r="L3304" s="21">
        <v>23.440000000000001</v>
      </c>
      <c r="M3304" s="22">
        <v>0.11</v>
      </c>
      <c r="N3304" s="21">
        <v>23.280000000000001</v>
      </c>
      <c r="O3304" s="22">
        <v>0.11</v>
      </c>
    </row>
    <row r="3305" ht="63.75">
      <c r="A3305" t="s">
        <v>3361</v>
      </c>
      <c r="B3305" s="19">
        <v>101213</v>
      </c>
      <c r="C3305" s="20" t="s">
        <v>3371</v>
      </c>
      <c r="D3305" s="19" t="s">
        <v>121</v>
      </c>
      <c r="E3305" s="21">
        <f t="shared" si="152"/>
        <v>26.34</v>
      </c>
      <c r="F3305" s="22">
        <v>0</v>
      </c>
      <c r="G3305" s="21">
        <f t="shared" si="153"/>
        <v>26.149999999999999</v>
      </c>
      <c r="H3305" s="22">
        <v>0</v>
      </c>
      <c r="I3305" s="23" t="str">
        <f t="shared" si="154"/>
        <v xml:space="preserve">COM VALOR</v>
      </c>
      <c r="J3305" s="19"/>
      <c r="L3305" s="21">
        <v>26.34</v>
      </c>
      <c r="M3305" s="22">
        <v>0.11</v>
      </c>
      <c r="N3305" s="21">
        <v>26.149999999999999</v>
      </c>
      <c r="O3305" s="22">
        <v>0.11</v>
      </c>
    </row>
    <row r="3306" ht="63.75">
      <c r="A3306" t="s">
        <v>3361</v>
      </c>
      <c r="B3306" s="19">
        <v>101219</v>
      </c>
      <c r="C3306" s="20" t="s">
        <v>3372</v>
      </c>
      <c r="D3306" s="19" t="s">
        <v>121</v>
      </c>
      <c r="E3306" s="21">
        <f t="shared" si="152"/>
        <v>28.460000000000001</v>
      </c>
      <c r="F3306" s="22">
        <v>0</v>
      </c>
      <c r="G3306" s="21">
        <f t="shared" si="153"/>
        <v>28.289999999999999</v>
      </c>
      <c r="H3306" s="22">
        <v>0</v>
      </c>
      <c r="I3306" s="23" t="str">
        <f t="shared" si="154"/>
        <v xml:space="preserve">COM VALOR</v>
      </c>
      <c r="J3306" s="19"/>
      <c r="L3306" s="21">
        <v>28.460000000000001</v>
      </c>
      <c r="M3306" s="22">
        <v>0.11</v>
      </c>
      <c r="N3306" s="21">
        <v>28.289999999999999</v>
      </c>
      <c r="O3306" s="22">
        <v>0.11</v>
      </c>
    </row>
    <row r="3307" ht="63.75">
      <c r="A3307" t="s">
        <v>3361</v>
      </c>
      <c r="B3307" s="19">
        <v>101214</v>
      </c>
      <c r="C3307" s="20" t="s">
        <v>3373</v>
      </c>
      <c r="D3307" s="19" t="s">
        <v>121</v>
      </c>
      <c r="E3307" s="21">
        <f t="shared" si="152"/>
        <v>31.920000000000002</v>
      </c>
      <c r="F3307" s="22">
        <v>0</v>
      </c>
      <c r="G3307" s="21">
        <f t="shared" si="153"/>
        <v>31.690000000000001</v>
      </c>
      <c r="H3307" s="22">
        <v>0</v>
      </c>
      <c r="I3307" s="23" t="str">
        <f t="shared" si="154"/>
        <v xml:space="preserve">COM VALOR</v>
      </c>
      <c r="J3307" s="19"/>
      <c r="L3307" s="21">
        <v>31.920000000000002</v>
      </c>
      <c r="M3307" s="22">
        <v>0.1075</v>
      </c>
      <c r="N3307" s="21">
        <v>31.690000000000001</v>
      </c>
      <c r="O3307" s="22">
        <v>0.11</v>
      </c>
    </row>
    <row r="3308" ht="63.75">
      <c r="A3308" t="s">
        <v>3361</v>
      </c>
      <c r="B3308" s="19">
        <v>101254</v>
      </c>
      <c r="C3308" s="20" t="s">
        <v>3374</v>
      </c>
      <c r="D3308" s="19" t="s">
        <v>121</v>
      </c>
      <c r="E3308" s="21">
        <f t="shared" si="152"/>
        <v>13.69</v>
      </c>
      <c r="F3308" s="22">
        <v>0</v>
      </c>
      <c r="G3308" s="21">
        <f t="shared" si="153"/>
        <v>13.56</v>
      </c>
      <c r="H3308" s="22">
        <v>0</v>
      </c>
      <c r="I3308" s="23" t="str">
        <f t="shared" si="154"/>
        <v xml:space="preserve">COM VALOR</v>
      </c>
      <c r="J3308" s="19"/>
      <c r="L3308" s="21">
        <v>13.69</v>
      </c>
      <c r="M3308" s="22">
        <v>0.28999999999999998</v>
      </c>
      <c r="N3308" s="21">
        <v>13.56</v>
      </c>
      <c r="O3308" s="22">
        <v>0.28999999999999998</v>
      </c>
    </row>
    <row r="3309" ht="63.75">
      <c r="A3309" t="s">
        <v>3361</v>
      </c>
      <c r="B3309" s="19">
        <v>101256</v>
      </c>
      <c r="C3309" s="20" t="s">
        <v>3375</v>
      </c>
      <c r="D3309" s="19" t="s">
        <v>121</v>
      </c>
      <c r="E3309" s="21">
        <f t="shared" si="152"/>
        <v>21.219999999999999</v>
      </c>
      <c r="F3309" s="22">
        <v>0</v>
      </c>
      <c r="G3309" s="21">
        <f t="shared" si="153"/>
        <v>21.030000000000001</v>
      </c>
      <c r="H3309" s="22">
        <v>0</v>
      </c>
      <c r="I3309" s="23" t="str">
        <f t="shared" si="154"/>
        <v xml:space="preserve">COM VALOR</v>
      </c>
      <c r="J3309" s="19"/>
      <c r="L3309" s="21">
        <v>21.219999999999999</v>
      </c>
      <c r="M3309" s="22">
        <v>0.32000000000000001</v>
      </c>
      <c r="N3309" s="21">
        <v>21.030000000000001</v>
      </c>
      <c r="O3309" s="22">
        <v>0.32000000000000001</v>
      </c>
    </row>
    <row r="3310" ht="63.75">
      <c r="A3310" t="s">
        <v>3361</v>
      </c>
      <c r="B3310" s="19">
        <v>101257</v>
      </c>
      <c r="C3310" s="20" t="s">
        <v>3376</v>
      </c>
      <c r="D3310" s="19" t="s">
        <v>121</v>
      </c>
      <c r="E3310" s="21">
        <f t="shared" si="152"/>
        <v>22.399999999999999</v>
      </c>
      <c r="F3310" s="22">
        <v>0</v>
      </c>
      <c r="G3310" s="21">
        <f t="shared" si="153"/>
        <v>22.210000000000001</v>
      </c>
      <c r="H3310" s="22">
        <v>0</v>
      </c>
      <c r="I3310" s="23" t="str">
        <f t="shared" si="154"/>
        <v xml:space="preserve">COM VALOR</v>
      </c>
      <c r="J3310" s="19"/>
      <c r="L3310" s="21">
        <v>22.399999999999999</v>
      </c>
      <c r="M3310" s="22">
        <v>0.31</v>
      </c>
      <c r="N3310" s="21">
        <v>22.210000000000001</v>
      </c>
      <c r="O3310" s="22">
        <v>0.32000000000000001</v>
      </c>
    </row>
    <row r="3311" ht="63.75">
      <c r="A3311" t="s">
        <v>3361</v>
      </c>
      <c r="B3311" s="19">
        <v>101258</v>
      </c>
      <c r="C3311" s="20" t="s">
        <v>3377</v>
      </c>
      <c r="D3311" s="19" t="s">
        <v>121</v>
      </c>
      <c r="E3311" s="21">
        <f t="shared" si="152"/>
        <v>26</v>
      </c>
      <c r="F3311" s="22">
        <v>0</v>
      </c>
      <c r="G3311" s="21">
        <f t="shared" si="153"/>
        <v>25.780000000000001</v>
      </c>
      <c r="H3311" s="22">
        <v>0</v>
      </c>
      <c r="I3311" s="23" t="str">
        <f t="shared" si="154"/>
        <v xml:space="preserve">COM VALOR</v>
      </c>
      <c r="J3311" s="19"/>
      <c r="L3311" s="21">
        <v>26</v>
      </c>
      <c r="M3311" s="22">
        <v>0.32000000000000001</v>
      </c>
      <c r="N3311" s="21">
        <v>25.780000000000001</v>
      </c>
      <c r="O3311" s="22">
        <v>0.33000000000000002</v>
      </c>
    </row>
    <row r="3312" ht="63.75">
      <c r="A3312" t="s">
        <v>3361</v>
      </c>
      <c r="B3312" s="19">
        <v>101259</v>
      </c>
      <c r="C3312" s="20" t="s">
        <v>3378</v>
      </c>
      <c r="D3312" s="19" t="s">
        <v>121</v>
      </c>
      <c r="E3312" s="21">
        <f t="shared" si="152"/>
        <v>28.890000000000001</v>
      </c>
      <c r="F3312" s="22">
        <v>0</v>
      </c>
      <c r="G3312" s="21">
        <f t="shared" si="153"/>
        <v>28.640000000000001</v>
      </c>
      <c r="H3312" s="22">
        <v>0</v>
      </c>
      <c r="I3312" s="23" t="str">
        <f t="shared" si="154"/>
        <v xml:space="preserve">COM VALOR</v>
      </c>
      <c r="J3312" s="19"/>
      <c r="L3312" s="21">
        <v>28.890000000000001</v>
      </c>
      <c r="M3312" s="22">
        <v>0.33000000000000002</v>
      </c>
      <c r="N3312" s="21">
        <v>28.640000000000001</v>
      </c>
      <c r="O3312" s="22">
        <v>0.33000000000000002</v>
      </c>
    </row>
    <row r="3313" ht="63.75">
      <c r="A3313" t="s">
        <v>3361</v>
      </c>
      <c r="B3313" s="19">
        <v>101260</v>
      </c>
      <c r="C3313" s="20" t="s">
        <v>3379</v>
      </c>
      <c r="D3313" s="19" t="s">
        <v>121</v>
      </c>
      <c r="E3313" s="21">
        <f t="shared" si="152"/>
        <v>36.149999999999999</v>
      </c>
      <c r="F3313" s="22">
        <v>0</v>
      </c>
      <c r="G3313" s="21">
        <f t="shared" si="153"/>
        <v>35.850000000000001</v>
      </c>
      <c r="H3313" s="22">
        <v>0</v>
      </c>
      <c r="I3313" s="23" t="str">
        <f t="shared" si="154"/>
        <v xml:space="preserve">COM VALOR</v>
      </c>
      <c r="J3313" s="19"/>
      <c r="L3313" s="21">
        <v>36.149999999999999</v>
      </c>
      <c r="M3313" s="22">
        <v>0.34000000000000002</v>
      </c>
      <c r="N3313" s="21">
        <v>35.850000000000001</v>
      </c>
      <c r="O3313" s="22">
        <v>0.34250000000000003</v>
      </c>
    </row>
    <row r="3314" ht="63.75">
      <c r="A3314" t="s">
        <v>3361</v>
      </c>
      <c r="B3314" s="19">
        <v>101208</v>
      </c>
      <c r="C3314" s="20" t="s">
        <v>3380</v>
      </c>
      <c r="D3314" s="19" t="s">
        <v>121</v>
      </c>
      <c r="E3314" s="21">
        <f t="shared" si="152"/>
        <v>11.35</v>
      </c>
      <c r="F3314" s="22">
        <v>0</v>
      </c>
      <c r="G3314" s="21">
        <f t="shared" si="153"/>
        <v>11.26</v>
      </c>
      <c r="H3314" s="22">
        <v>0</v>
      </c>
      <c r="I3314" s="23" t="str">
        <f t="shared" si="154"/>
        <v xml:space="preserve">COM VALOR</v>
      </c>
      <c r="J3314" s="19"/>
      <c r="L3314" s="21">
        <v>11.35</v>
      </c>
      <c r="M3314" s="22">
        <v>9.2499999999999999e-002</v>
      </c>
      <c r="N3314" s="21">
        <v>11.26</v>
      </c>
      <c r="O3314" s="22">
        <v>8.9999999999999997e-002</v>
      </c>
    </row>
    <row r="3315" ht="63.75">
      <c r="A3315" t="s">
        <v>3361</v>
      </c>
      <c r="B3315" s="19">
        <v>101209</v>
      </c>
      <c r="C3315" s="20" t="s">
        <v>3381</v>
      </c>
      <c r="D3315" s="19" t="s">
        <v>121</v>
      </c>
      <c r="E3315" s="21">
        <f t="shared" si="152"/>
        <v>10.550000000000001</v>
      </c>
      <c r="F3315" s="22">
        <v>0</v>
      </c>
      <c r="G3315" s="21">
        <f t="shared" si="153"/>
        <v>10.460000000000001</v>
      </c>
      <c r="H3315" s="22">
        <v>0</v>
      </c>
      <c r="I3315" s="23" t="str">
        <f t="shared" si="154"/>
        <v xml:space="preserve">COM VALOR</v>
      </c>
      <c r="J3315" s="19"/>
      <c r="L3315" s="21">
        <v>10.550000000000001</v>
      </c>
      <c r="M3315" s="22">
        <v>0.10000000000000001</v>
      </c>
      <c r="N3315" s="21">
        <v>10.460000000000001</v>
      </c>
      <c r="O3315" s="22">
        <v>0.10000000000000001</v>
      </c>
    </row>
    <row r="3316" ht="63.75">
      <c r="A3316" t="s">
        <v>3361</v>
      </c>
      <c r="B3316" s="19">
        <v>101220</v>
      </c>
      <c r="C3316" s="20" t="s">
        <v>3382</v>
      </c>
      <c r="D3316" s="19" t="s">
        <v>121</v>
      </c>
      <c r="E3316" s="21">
        <f t="shared" si="152"/>
        <v>17.77</v>
      </c>
      <c r="F3316" s="22">
        <v>0</v>
      </c>
      <c r="G3316" s="21">
        <f t="shared" si="153"/>
        <v>17.640000000000001</v>
      </c>
      <c r="H3316" s="22">
        <v>0</v>
      </c>
      <c r="I3316" s="23" t="str">
        <f t="shared" si="154"/>
        <v xml:space="preserve">COM VALOR</v>
      </c>
      <c r="J3316" s="19"/>
      <c r="L3316" s="21">
        <v>17.77</v>
      </c>
      <c r="M3316" s="22">
        <v>0.10000000000000001</v>
      </c>
      <c r="N3316" s="21">
        <v>17.640000000000001</v>
      </c>
      <c r="O3316" s="22">
        <v>0.10000000000000001</v>
      </c>
    </row>
    <row r="3317" ht="63.75">
      <c r="A3317" t="s">
        <v>3361</v>
      </c>
      <c r="B3317" s="19">
        <v>101221</v>
      </c>
      <c r="C3317" s="20" t="s">
        <v>3383</v>
      </c>
      <c r="D3317" s="19" t="s">
        <v>121</v>
      </c>
      <c r="E3317" s="21">
        <f t="shared" si="152"/>
        <v>18.809999999999999</v>
      </c>
      <c r="F3317" s="22">
        <v>0</v>
      </c>
      <c r="G3317" s="21">
        <f t="shared" si="153"/>
        <v>18.690000000000001</v>
      </c>
      <c r="H3317" s="22">
        <v>0</v>
      </c>
      <c r="I3317" s="23" t="str">
        <f t="shared" si="154"/>
        <v xml:space="preserve">COM VALOR</v>
      </c>
      <c r="J3317" s="19"/>
      <c r="L3317" s="21">
        <v>18.809999999999999</v>
      </c>
      <c r="M3317" s="22">
        <v>0.10000000000000001</v>
      </c>
      <c r="N3317" s="21">
        <v>18.690000000000001</v>
      </c>
      <c r="O3317" s="22">
        <v>0.10000000000000001</v>
      </c>
    </row>
    <row r="3318" ht="63.75">
      <c r="A3318" t="s">
        <v>3361</v>
      </c>
      <c r="B3318" s="19">
        <v>101225</v>
      </c>
      <c r="C3318" s="20" t="s">
        <v>3384</v>
      </c>
      <c r="D3318" s="19" t="s">
        <v>121</v>
      </c>
      <c r="E3318" s="21">
        <f t="shared" si="152"/>
        <v>16.329999999999998</v>
      </c>
      <c r="F3318" s="22">
        <v>0</v>
      </c>
      <c r="G3318" s="21">
        <f t="shared" si="153"/>
        <v>16.210000000000001</v>
      </c>
      <c r="H3318" s="22">
        <v>0</v>
      </c>
      <c r="I3318" s="23" t="str">
        <f t="shared" si="154"/>
        <v xml:space="preserve">COM VALOR</v>
      </c>
      <c r="J3318" s="19"/>
      <c r="L3318" s="21">
        <v>16.329999999999998</v>
      </c>
      <c r="M3318" s="22">
        <v>0.11</v>
      </c>
      <c r="N3318" s="21">
        <v>16.210000000000001</v>
      </c>
      <c r="O3318" s="22">
        <v>0.11</v>
      </c>
    </row>
    <row r="3319" ht="63.75">
      <c r="A3319" t="s">
        <v>3361</v>
      </c>
      <c r="B3319" s="19">
        <v>101226</v>
      </c>
      <c r="C3319" s="20" t="s">
        <v>3385</v>
      </c>
      <c r="D3319" s="19" t="s">
        <v>121</v>
      </c>
      <c r="E3319" s="21">
        <f t="shared" si="152"/>
        <v>17.239999999999998</v>
      </c>
      <c r="F3319" s="22">
        <v>0</v>
      </c>
      <c r="G3319" s="21">
        <f t="shared" si="153"/>
        <v>17.120000000000001</v>
      </c>
      <c r="H3319" s="22">
        <v>0</v>
      </c>
      <c r="I3319" s="23" t="str">
        <f t="shared" si="154"/>
        <v xml:space="preserve">COM VALOR</v>
      </c>
      <c r="J3319" s="19"/>
      <c r="L3319" s="21">
        <v>17.239999999999998</v>
      </c>
      <c r="M3319" s="22">
        <v>0.11</v>
      </c>
      <c r="N3319" s="21">
        <v>17.120000000000001</v>
      </c>
      <c r="O3319" s="22">
        <v>0.11</v>
      </c>
    </row>
    <row r="3320" ht="63.75">
      <c r="A3320" t="s">
        <v>3361</v>
      </c>
      <c r="B3320" s="19">
        <v>101222</v>
      </c>
      <c r="C3320" s="20" t="s">
        <v>3386</v>
      </c>
      <c r="D3320" s="19" t="s">
        <v>121</v>
      </c>
      <c r="E3320" s="21">
        <f t="shared" si="152"/>
        <v>21.870000000000001</v>
      </c>
      <c r="F3320" s="22">
        <v>0</v>
      </c>
      <c r="G3320" s="21">
        <f t="shared" si="153"/>
        <v>21.739999999999998</v>
      </c>
      <c r="H3320" s="22">
        <v>0</v>
      </c>
      <c r="I3320" s="23" t="str">
        <f t="shared" si="154"/>
        <v xml:space="preserve">COM VALOR</v>
      </c>
      <c r="J3320" s="19"/>
      <c r="L3320" s="21">
        <v>21.870000000000001</v>
      </c>
      <c r="M3320" s="22">
        <v>0.10000000000000001</v>
      </c>
      <c r="N3320" s="21">
        <v>21.739999999999998</v>
      </c>
      <c r="O3320" s="22">
        <v>0.10000000000000001</v>
      </c>
    </row>
    <row r="3321" ht="63.75">
      <c r="A3321" t="s">
        <v>3361</v>
      </c>
      <c r="B3321" s="19">
        <v>101227</v>
      </c>
      <c r="C3321" s="20" t="s">
        <v>3387</v>
      </c>
      <c r="D3321" s="19" t="s">
        <v>121</v>
      </c>
      <c r="E3321" s="21">
        <f t="shared" si="152"/>
        <v>20</v>
      </c>
      <c r="F3321" s="22">
        <v>0</v>
      </c>
      <c r="G3321" s="21">
        <f t="shared" si="153"/>
        <v>19.859999999999999</v>
      </c>
      <c r="H3321" s="22">
        <v>0</v>
      </c>
      <c r="I3321" s="23" t="str">
        <f t="shared" si="154"/>
        <v xml:space="preserve">COM VALOR</v>
      </c>
      <c r="J3321" s="19"/>
      <c r="L3321" s="21">
        <v>20</v>
      </c>
      <c r="M3321" s="22">
        <v>0.11</v>
      </c>
      <c r="N3321" s="21">
        <v>19.859999999999999</v>
      </c>
      <c r="O3321" s="22">
        <v>0.11</v>
      </c>
    </row>
    <row r="3322" ht="63.75">
      <c r="A3322" t="s">
        <v>3361</v>
      </c>
      <c r="B3322" s="19">
        <v>101228</v>
      </c>
      <c r="C3322" s="20" t="s">
        <v>3388</v>
      </c>
      <c r="D3322" s="19" t="s">
        <v>121</v>
      </c>
      <c r="E3322" s="21">
        <f t="shared" si="152"/>
        <v>21.370000000000001</v>
      </c>
      <c r="F3322" s="22">
        <v>0</v>
      </c>
      <c r="G3322" s="21">
        <f t="shared" si="153"/>
        <v>21.23</v>
      </c>
      <c r="H3322" s="22">
        <v>0</v>
      </c>
      <c r="I3322" s="23" t="str">
        <f t="shared" si="154"/>
        <v xml:space="preserve">COM VALOR</v>
      </c>
      <c r="J3322" s="19"/>
      <c r="L3322" s="21">
        <v>21.370000000000001</v>
      </c>
      <c r="M3322" s="22">
        <v>0.11</v>
      </c>
      <c r="N3322" s="21">
        <v>21.23</v>
      </c>
      <c r="O3322" s="22">
        <v>0.11</v>
      </c>
    </row>
    <row r="3323" ht="63.75">
      <c r="A3323" t="s">
        <v>3361</v>
      </c>
      <c r="B3323" s="19">
        <v>101223</v>
      </c>
      <c r="C3323" s="20" t="s">
        <v>3389</v>
      </c>
      <c r="D3323" s="19" t="s">
        <v>121</v>
      </c>
      <c r="E3323" s="21">
        <f t="shared" si="152"/>
        <v>24.329999999999998</v>
      </c>
      <c r="F3323" s="22">
        <v>0</v>
      </c>
      <c r="G3323" s="21">
        <f t="shared" si="153"/>
        <v>24.18</v>
      </c>
      <c r="H3323" s="22">
        <v>0</v>
      </c>
      <c r="I3323" s="23" t="str">
        <f t="shared" si="154"/>
        <v xml:space="preserve">COM VALOR</v>
      </c>
      <c r="J3323" s="19"/>
      <c r="L3323" s="21">
        <v>24.329999999999998</v>
      </c>
      <c r="M3323" s="22">
        <v>0.11</v>
      </c>
      <c r="N3323" s="21">
        <v>24.18</v>
      </c>
      <c r="O3323" s="22">
        <v>0.11</v>
      </c>
    </row>
    <row r="3324" ht="63.75">
      <c r="A3324" t="s">
        <v>3361</v>
      </c>
      <c r="B3324" s="19">
        <v>101229</v>
      </c>
      <c r="C3324" s="20" t="s">
        <v>3390</v>
      </c>
      <c r="D3324" s="19" t="s">
        <v>121</v>
      </c>
      <c r="E3324" s="21">
        <f t="shared" si="152"/>
        <v>26.940000000000001</v>
      </c>
      <c r="F3324" s="22">
        <v>0</v>
      </c>
      <c r="G3324" s="21">
        <f t="shared" si="153"/>
        <v>26.77</v>
      </c>
      <c r="H3324" s="22">
        <v>0</v>
      </c>
      <c r="I3324" s="23" t="str">
        <f t="shared" si="154"/>
        <v xml:space="preserve">COM VALOR</v>
      </c>
      <c r="J3324" s="19"/>
      <c r="L3324" s="21">
        <v>26.940000000000001</v>
      </c>
      <c r="M3324" s="22">
        <v>0.12</v>
      </c>
      <c r="N3324" s="21">
        <v>26.77</v>
      </c>
      <c r="O3324" s="22">
        <v>0.12</v>
      </c>
    </row>
    <row r="3325" ht="63.75">
      <c r="A3325" t="s">
        <v>3361</v>
      </c>
      <c r="B3325" s="19">
        <v>101224</v>
      </c>
      <c r="C3325" s="20" t="s">
        <v>3391</v>
      </c>
      <c r="D3325" s="19" t="s">
        <v>121</v>
      </c>
      <c r="E3325" s="21">
        <f t="shared" si="152"/>
        <v>30.530000000000001</v>
      </c>
      <c r="F3325" s="22">
        <v>0</v>
      </c>
      <c r="G3325" s="21">
        <f t="shared" si="153"/>
        <v>30.34</v>
      </c>
      <c r="H3325" s="22">
        <v>0</v>
      </c>
      <c r="I3325" s="23" t="str">
        <f t="shared" si="154"/>
        <v xml:space="preserve">COM VALOR</v>
      </c>
      <c r="J3325" s="19"/>
      <c r="L3325" s="21">
        <v>30.530000000000001</v>
      </c>
      <c r="M3325" s="22">
        <v>0.11</v>
      </c>
      <c r="N3325" s="21">
        <v>30.34</v>
      </c>
      <c r="O3325" s="22">
        <v>0.11</v>
      </c>
    </row>
    <row r="3326" ht="63.75">
      <c r="A3326" t="s">
        <v>3361</v>
      </c>
      <c r="B3326" s="19">
        <v>101265</v>
      </c>
      <c r="C3326" s="20" t="s">
        <v>3392</v>
      </c>
      <c r="D3326" s="19" t="s">
        <v>121</v>
      </c>
      <c r="E3326" s="21">
        <f t="shared" si="152"/>
        <v>34.060000000000002</v>
      </c>
      <c r="F3326" s="22">
        <v>0</v>
      </c>
      <c r="G3326" s="21">
        <f t="shared" si="153"/>
        <v>33.810000000000002</v>
      </c>
      <c r="H3326" s="22">
        <v>0</v>
      </c>
      <c r="I3326" s="23" t="str">
        <f t="shared" si="154"/>
        <v xml:space="preserve">COM VALOR</v>
      </c>
      <c r="J3326" s="19"/>
      <c r="L3326" s="21">
        <v>34.060000000000002</v>
      </c>
      <c r="M3326" s="22">
        <v>0.33000000000000002</v>
      </c>
      <c r="N3326" s="21">
        <v>33.810000000000002</v>
      </c>
      <c r="O3326" s="22">
        <v>0.34000000000000002</v>
      </c>
    </row>
    <row r="3327" ht="63.75">
      <c r="A3327" t="s">
        <v>3361</v>
      </c>
      <c r="B3327" s="19">
        <v>101255</v>
      </c>
      <c r="C3327" s="20" t="s">
        <v>3393</v>
      </c>
      <c r="D3327" s="19" t="s">
        <v>121</v>
      </c>
      <c r="E3327" s="21">
        <f t="shared" si="152"/>
        <v>12.140000000000001</v>
      </c>
      <c r="F3327" s="22">
        <v>0</v>
      </c>
      <c r="G3327" s="21">
        <f t="shared" si="153"/>
        <v>12.039999999999999</v>
      </c>
      <c r="H3327" s="22">
        <v>0</v>
      </c>
      <c r="I3327" s="23" t="str">
        <f t="shared" si="154"/>
        <v xml:space="preserve">COM VALOR</v>
      </c>
      <c r="J3327" s="19"/>
      <c r="L3327" s="21">
        <v>12.140000000000001</v>
      </c>
      <c r="M3327" s="22">
        <v>0.27000000000000002</v>
      </c>
      <c r="N3327" s="21">
        <v>12.039999999999999</v>
      </c>
      <c r="O3327" s="22">
        <v>0.28000000000000003</v>
      </c>
    </row>
    <row r="3328" ht="63.75">
      <c r="A3328" t="s">
        <v>3361</v>
      </c>
      <c r="B3328" s="19">
        <v>101261</v>
      </c>
      <c r="C3328" s="20" t="s">
        <v>3394</v>
      </c>
      <c r="D3328" s="19" t="s">
        <v>121</v>
      </c>
      <c r="E3328" s="21">
        <f t="shared" si="152"/>
        <v>20.100000000000001</v>
      </c>
      <c r="F3328" s="22">
        <v>0</v>
      </c>
      <c r="G3328" s="21">
        <f t="shared" si="153"/>
        <v>19.960000000000001</v>
      </c>
      <c r="H3328" s="22">
        <v>0</v>
      </c>
      <c r="I3328" s="23" t="str">
        <f t="shared" si="154"/>
        <v xml:space="preserve">COM VALOR</v>
      </c>
      <c r="J3328" s="19"/>
      <c r="L3328" s="21">
        <v>20.100000000000001</v>
      </c>
      <c r="M3328" s="22">
        <v>0.32000000000000001</v>
      </c>
      <c r="N3328" s="21">
        <v>19.960000000000001</v>
      </c>
      <c r="O3328" s="22">
        <v>0.32000000000000001</v>
      </c>
    </row>
    <row r="3329" ht="63.75">
      <c r="A3329" t="s">
        <v>3361</v>
      </c>
      <c r="B3329" s="19">
        <v>101262</v>
      </c>
      <c r="C3329" s="20" t="s">
        <v>3395</v>
      </c>
      <c r="D3329" s="19" t="s">
        <v>121</v>
      </c>
      <c r="E3329" s="21">
        <f t="shared" si="152"/>
        <v>21.260000000000002</v>
      </c>
      <c r="F3329" s="22">
        <v>0</v>
      </c>
      <c r="G3329" s="21">
        <f t="shared" si="153"/>
        <v>21.100000000000001</v>
      </c>
      <c r="H3329" s="22">
        <v>0</v>
      </c>
      <c r="I3329" s="23" t="str">
        <f t="shared" si="154"/>
        <v xml:space="preserve">COM VALOR</v>
      </c>
      <c r="J3329" s="19"/>
      <c r="L3329" s="21">
        <v>21.260000000000002</v>
      </c>
      <c r="M3329" s="22">
        <v>0.31</v>
      </c>
      <c r="N3329" s="21">
        <v>21.100000000000001</v>
      </c>
      <c r="O3329" s="22">
        <v>0.32000000000000001</v>
      </c>
    </row>
    <row r="3330" ht="63.75">
      <c r="A3330" t="s">
        <v>3361</v>
      </c>
      <c r="B3330" s="19">
        <v>101263</v>
      </c>
      <c r="C3330" s="20" t="s">
        <v>3396</v>
      </c>
      <c r="D3330" s="19" t="s">
        <v>121</v>
      </c>
      <c r="E3330" s="21">
        <f t="shared" si="152"/>
        <v>24.620000000000001</v>
      </c>
      <c r="F3330" s="22">
        <v>0</v>
      </c>
      <c r="G3330" s="21">
        <f t="shared" si="153"/>
        <v>24.449999999999999</v>
      </c>
      <c r="H3330" s="22">
        <v>0</v>
      </c>
      <c r="I3330" s="23" t="str">
        <f t="shared" si="154"/>
        <v xml:space="preserve">COM VALOR</v>
      </c>
      <c r="J3330" s="19"/>
      <c r="L3330" s="21">
        <v>24.620000000000001</v>
      </c>
      <c r="M3330" s="22">
        <v>0.32000000000000001</v>
      </c>
      <c r="N3330" s="21">
        <v>24.449999999999999</v>
      </c>
      <c r="O3330" s="22">
        <v>0.32000000000000001</v>
      </c>
    </row>
    <row r="3331" ht="63.75">
      <c r="A3331" t="s">
        <v>3361</v>
      </c>
      <c r="B3331" s="19">
        <v>101264</v>
      </c>
      <c r="C3331" s="20" t="s">
        <v>3397</v>
      </c>
      <c r="D3331" s="19" t="s">
        <v>121</v>
      </c>
      <c r="E3331" s="21">
        <f t="shared" si="152"/>
        <v>27.289999999999999</v>
      </c>
      <c r="F3331" s="22">
        <v>0</v>
      </c>
      <c r="G3331" s="21">
        <f t="shared" si="153"/>
        <v>27.09</v>
      </c>
      <c r="H3331" s="22">
        <v>0</v>
      </c>
      <c r="I3331" s="23" t="str">
        <f t="shared" si="154"/>
        <v xml:space="preserve">COM VALOR</v>
      </c>
      <c r="J3331" s="19"/>
      <c r="L3331" s="21">
        <v>27.289999999999999</v>
      </c>
      <c r="M3331" s="22">
        <v>0.33000000000000002</v>
      </c>
      <c r="N3331" s="21">
        <v>27.09</v>
      </c>
      <c r="O3331" s="22">
        <v>0.33000000000000002</v>
      </c>
    </row>
    <row r="3332" ht="63.75">
      <c r="A3332" t="s">
        <v>3361</v>
      </c>
      <c r="B3332" s="19">
        <v>101230</v>
      </c>
      <c r="C3332" s="20" t="s">
        <v>3398</v>
      </c>
      <c r="D3332" s="19" t="s">
        <v>121</v>
      </c>
      <c r="E3332" s="21">
        <f t="shared" si="152"/>
        <v>11.81</v>
      </c>
      <c r="F3332" s="22">
        <v>0</v>
      </c>
      <c r="G3332" s="21">
        <f t="shared" si="153"/>
        <v>11.710000000000001</v>
      </c>
      <c r="H3332" s="22">
        <v>0</v>
      </c>
      <c r="I3332" s="23" t="str">
        <f t="shared" si="154"/>
        <v xml:space="preserve">COM VALOR</v>
      </c>
      <c r="J3332" s="19"/>
      <c r="L3332" s="21">
        <v>11.81</v>
      </c>
      <c r="M3332" s="22">
        <v>0.10000000000000001</v>
      </c>
      <c r="N3332" s="21">
        <v>11.710000000000001</v>
      </c>
      <c r="O3332" s="22">
        <v>0.10000000000000001</v>
      </c>
    </row>
    <row r="3333" ht="63.75">
      <c r="A3333" t="s">
        <v>3361</v>
      </c>
      <c r="B3333" s="19">
        <v>101231</v>
      </c>
      <c r="C3333" s="20" t="s">
        <v>3399</v>
      </c>
      <c r="D3333" s="19" t="s">
        <v>121</v>
      </c>
      <c r="E3333" s="21">
        <f t="shared" si="152"/>
        <v>11.25</v>
      </c>
      <c r="F3333" s="22">
        <v>0</v>
      </c>
      <c r="G3333" s="21">
        <f t="shared" si="153"/>
        <v>11.16</v>
      </c>
      <c r="H3333" s="22">
        <v>0</v>
      </c>
      <c r="I3333" s="23" t="str">
        <f t="shared" si="154"/>
        <v xml:space="preserve">COM VALOR</v>
      </c>
      <c r="J3333" s="19"/>
      <c r="L3333" s="21">
        <v>11.25</v>
      </c>
      <c r="M3333" s="22">
        <v>0.11</v>
      </c>
      <c r="N3333" s="21">
        <v>11.16</v>
      </c>
      <c r="O3333" s="22">
        <v>0.1075</v>
      </c>
    </row>
    <row r="3334" ht="63.75">
      <c r="A3334" t="s">
        <v>3361</v>
      </c>
      <c r="B3334" s="19">
        <v>101272</v>
      </c>
      <c r="C3334" s="20" t="s">
        <v>3400</v>
      </c>
      <c r="D3334" s="19" t="s">
        <v>121</v>
      </c>
      <c r="E3334" s="21">
        <f t="shared" si="152"/>
        <v>34.539999999999999</v>
      </c>
      <c r="F3334" s="22">
        <v>0</v>
      </c>
      <c r="G3334" s="21">
        <f t="shared" si="153"/>
        <v>34.280000000000001</v>
      </c>
      <c r="H3334" s="22">
        <v>0</v>
      </c>
      <c r="I3334" s="23" t="str">
        <f t="shared" si="154"/>
        <v xml:space="preserve">COM VALOR</v>
      </c>
      <c r="J3334" s="19"/>
      <c r="L3334" s="21">
        <v>34.539999999999999</v>
      </c>
      <c r="M3334" s="22">
        <v>0.34000000000000002</v>
      </c>
      <c r="N3334" s="21">
        <v>34.280000000000001</v>
      </c>
      <c r="O3334" s="22">
        <v>0.34000000000000002</v>
      </c>
    </row>
    <row r="3335" ht="63.75">
      <c r="A3335" t="s">
        <v>3361</v>
      </c>
      <c r="B3335" s="19">
        <v>101266</v>
      </c>
      <c r="C3335" s="20" t="s">
        <v>3401</v>
      </c>
      <c r="D3335" s="19" t="s">
        <v>121</v>
      </c>
      <c r="E3335" s="21">
        <f t="shared" si="152"/>
        <v>12.18</v>
      </c>
      <c r="F3335" s="22">
        <v>0</v>
      </c>
      <c r="G3335" s="21">
        <f t="shared" si="153"/>
        <v>12.07</v>
      </c>
      <c r="H3335" s="22">
        <v>0</v>
      </c>
      <c r="I3335" s="23" t="str">
        <f t="shared" si="154"/>
        <v xml:space="preserve">COM VALOR</v>
      </c>
      <c r="J3335" s="19"/>
      <c r="L3335" s="21">
        <v>12.18</v>
      </c>
      <c r="M3335" s="22">
        <v>0.28000000000000003</v>
      </c>
      <c r="N3335" s="21">
        <v>12.07</v>
      </c>
      <c r="O3335" s="22">
        <v>0.28999999999999998</v>
      </c>
    </row>
    <row r="3336" ht="63.75">
      <c r="A3336" t="s">
        <v>3361</v>
      </c>
      <c r="B3336" s="19">
        <v>101239</v>
      </c>
      <c r="C3336" s="20" t="s">
        <v>3402</v>
      </c>
      <c r="D3336" s="19" t="s">
        <v>121</v>
      </c>
      <c r="E3336" s="21">
        <f t="shared" si="152"/>
        <v>16.25</v>
      </c>
      <c r="F3336" s="22">
        <v>0</v>
      </c>
      <c r="G3336" s="21">
        <f t="shared" si="153"/>
        <v>16.140000000000001</v>
      </c>
      <c r="H3336" s="22">
        <v>0</v>
      </c>
      <c r="I3336" s="23" t="str">
        <f t="shared" si="154"/>
        <v xml:space="preserve">COM VALOR</v>
      </c>
      <c r="J3336" s="19"/>
      <c r="L3336" s="21">
        <v>16.25</v>
      </c>
      <c r="M3336" s="22">
        <v>0.11</v>
      </c>
      <c r="N3336" s="21">
        <v>16.140000000000001</v>
      </c>
      <c r="O3336" s="22">
        <v>0.11</v>
      </c>
    </row>
    <row r="3337" ht="63.75">
      <c r="A3337" t="s">
        <v>3361</v>
      </c>
      <c r="B3337" s="19">
        <v>101240</v>
      </c>
      <c r="C3337" s="20" t="s">
        <v>3403</v>
      </c>
      <c r="D3337" s="19" t="s">
        <v>121</v>
      </c>
      <c r="E3337" s="21">
        <f t="shared" si="152"/>
        <v>17.18</v>
      </c>
      <c r="F3337" s="22">
        <v>0</v>
      </c>
      <c r="G3337" s="21">
        <f t="shared" si="153"/>
        <v>17.059999999999999</v>
      </c>
      <c r="H3337" s="22">
        <v>0</v>
      </c>
      <c r="I3337" s="23" t="str">
        <f t="shared" si="154"/>
        <v xml:space="preserve">COM VALOR</v>
      </c>
      <c r="J3337" s="19"/>
      <c r="L3337" s="21">
        <v>17.18</v>
      </c>
      <c r="M3337" s="22">
        <v>0.11</v>
      </c>
      <c r="N3337" s="21">
        <v>17.059999999999999</v>
      </c>
      <c r="O3337" s="22">
        <v>0.11</v>
      </c>
    </row>
    <row r="3338" ht="63.75">
      <c r="A3338" t="s">
        <v>3361</v>
      </c>
      <c r="B3338" s="19">
        <v>101268</v>
      </c>
      <c r="C3338" s="20" t="s">
        <v>3404</v>
      </c>
      <c r="D3338" s="19" t="s">
        <v>121</v>
      </c>
      <c r="E3338" s="21">
        <f t="shared" si="152"/>
        <v>19.32</v>
      </c>
      <c r="F3338" s="22">
        <v>0</v>
      </c>
      <c r="G3338" s="21">
        <f t="shared" si="153"/>
        <v>19.16</v>
      </c>
      <c r="H3338" s="22">
        <v>0</v>
      </c>
      <c r="I3338" s="23" t="str">
        <f t="shared" si="154"/>
        <v xml:space="preserve">COM VALOR</v>
      </c>
      <c r="J3338" s="19"/>
      <c r="L3338" s="21">
        <v>19.32</v>
      </c>
      <c r="M3338" s="22">
        <v>0.31</v>
      </c>
      <c r="N3338" s="21">
        <v>19.16</v>
      </c>
      <c r="O3338" s="22">
        <v>0.32000000000000001</v>
      </c>
    </row>
    <row r="3339" ht="63.75">
      <c r="A3339" t="s">
        <v>3361</v>
      </c>
      <c r="B3339" s="19">
        <v>101234</v>
      </c>
      <c r="C3339" s="20" t="s">
        <v>3405</v>
      </c>
      <c r="D3339" s="19" t="s">
        <v>121</v>
      </c>
      <c r="E3339" s="21">
        <f t="shared" ref="E3339:E3402" si="155">IF(L3339=0,"VERIFICAR",L3339)</f>
        <v>18.43</v>
      </c>
      <c r="F3339" s="22">
        <v>0</v>
      </c>
      <c r="G3339" s="21">
        <f t="shared" ref="G3339:G3402" si="156">IF(N3339=0,"VERIFICAR",N3339)</f>
        <v>18.280000000000001</v>
      </c>
      <c r="H3339" s="22">
        <v>0</v>
      </c>
      <c r="I3339" s="23" t="str">
        <f t="shared" ref="I3339:I3402" si="157">IF(OR(E3339=0,G3339=0),"SEM VALOR","COM VALOR")</f>
        <v xml:space="preserve">COM VALOR</v>
      </c>
      <c r="J3339" s="19"/>
      <c r="L3339" s="21">
        <v>18.43</v>
      </c>
      <c r="M3339" s="22">
        <v>0.11</v>
      </c>
      <c r="N3339" s="21">
        <v>18.280000000000001</v>
      </c>
      <c r="O3339" s="22">
        <v>0.11</v>
      </c>
    </row>
    <row r="3340" ht="63.75">
      <c r="A3340" t="s">
        <v>3361</v>
      </c>
      <c r="B3340" s="19">
        <v>101235</v>
      </c>
      <c r="C3340" s="20" t="s">
        <v>3406</v>
      </c>
      <c r="D3340" s="19" t="s">
        <v>121</v>
      </c>
      <c r="E3340" s="21">
        <f t="shared" si="155"/>
        <v>19.440000000000001</v>
      </c>
      <c r="F3340" s="22">
        <v>0</v>
      </c>
      <c r="G3340" s="21">
        <f t="shared" si="156"/>
        <v>19.300000000000001</v>
      </c>
      <c r="H3340" s="22">
        <v>0</v>
      </c>
      <c r="I3340" s="23" t="str">
        <f t="shared" si="157"/>
        <v xml:space="preserve">COM VALOR</v>
      </c>
      <c r="J3340" s="19"/>
      <c r="L3340" s="21">
        <v>19.440000000000001</v>
      </c>
      <c r="M3340" s="22">
        <v>0.10000000000000001</v>
      </c>
      <c r="N3340" s="21">
        <v>19.300000000000001</v>
      </c>
      <c r="O3340" s="22">
        <v>0.10000000000000001</v>
      </c>
    </row>
    <row r="3341" ht="63.75">
      <c r="A3341" t="s">
        <v>3361</v>
      </c>
      <c r="B3341" s="19">
        <v>101241</v>
      </c>
      <c r="C3341" s="20" t="s">
        <v>3407</v>
      </c>
      <c r="D3341" s="19" t="s">
        <v>121</v>
      </c>
      <c r="E3341" s="21">
        <f t="shared" si="155"/>
        <v>20.079999999999998</v>
      </c>
      <c r="F3341" s="22">
        <v>0</v>
      </c>
      <c r="G3341" s="21">
        <f t="shared" si="156"/>
        <v>19.949999999999999</v>
      </c>
      <c r="H3341" s="22">
        <v>0</v>
      </c>
      <c r="I3341" s="23" t="str">
        <f t="shared" si="157"/>
        <v xml:space="preserve">COM VALOR</v>
      </c>
      <c r="J3341" s="19"/>
      <c r="L3341" s="21">
        <v>20.079999999999998</v>
      </c>
      <c r="M3341" s="22">
        <v>0.11</v>
      </c>
      <c r="N3341" s="21">
        <v>19.949999999999999</v>
      </c>
      <c r="O3341" s="22">
        <v>0.11</v>
      </c>
    </row>
    <row r="3342" ht="63.75">
      <c r="A3342" t="s">
        <v>3361</v>
      </c>
      <c r="B3342" s="19">
        <v>101269</v>
      </c>
      <c r="C3342" s="20" t="s">
        <v>3408</v>
      </c>
      <c r="D3342" s="19" t="s">
        <v>121</v>
      </c>
      <c r="E3342" s="21">
        <f t="shared" si="155"/>
        <v>21.489999999999998</v>
      </c>
      <c r="F3342" s="22">
        <v>0</v>
      </c>
      <c r="G3342" s="21">
        <f t="shared" si="156"/>
        <v>21.32</v>
      </c>
      <c r="H3342" s="22">
        <v>0</v>
      </c>
      <c r="I3342" s="23" t="str">
        <f t="shared" si="157"/>
        <v xml:space="preserve">COM VALOR</v>
      </c>
      <c r="J3342" s="19"/>
      <c r="L3342" s="21">
        <v>21.489999999999998</v>
      </c>
      <c r="M3342" s="22">
        <v>0.32000000000000001</v>
      </c>
      <c r="N3342" s="21">
        <v>21.32</v>
      </c>
      <c r="O3342" s="22">
        <v>0.33000000000000002</v>
      </c>
    </row>
    <row r="3343" ht="63.75">
      <c r="A3343" t="s">
        <v>3361</v>
      </c>
      <c r="B3343" s="19">
        <v>101236</v>
      </c>
      <c r="C3343" s="20" t="s">
        <v>3409</v>
      </c>
      <c r="D3343" s="19" t="s">
        <v>121</v>
      </c>
      <c r="E3343" s="21">
        <f t="shared" si="155"/>
        <v>22.66</v>
      </c>
      <c r="F3343" s="22">
        <v>0</v>
      </c>
      <c r="G3343" s="21">
        <f t="shared" si="156"/>
        <v>22.489999999999998</v>
      </c>
      <c r="H3343" s="22">
        <v>0</v>
      </c>
      <c r="I3343" s="23" t="str">
        <f t="shared" si="157"/>
        <v xml:space="preserve">COM VALOR</v>
      </c>
      <c r="J3343" s="19"/>
      <c r="L3343" s="21">
        <v>22.66</v>
      </c>
      <c r="M3343" s="22">
        <v>0.11</v>
      </c>
      <c r="N3343" s="21">
        <v>22.489999999999998</v>
      </c>
      <c r="O3343" s="22">
        <v>0.11</v>
      </c>
    </row>
    <row r="3344" ht="63.75">
      <c r="A3344" t="s">
        <v>3361</v>
      </c>
      <c r="B3344" s="19">
        <v>101237</v>
      </c>
      <c r="C3344" s="20" t="s">
        <v>3410</v>
      </c>
      <c r="D3344" s="19" t="s">
        <v>121</v>
      </c>
      <c r="E3344" s="21">
        <f t="shared" si="155"/>
        <v>24.18</v>
      </c>
      <c r="F3344" s="22">
        <v>0</v>
      </c>
      <c r="G3344" s="21">
        <f t="shared" si="156"/>
        <v>24.02</v>
      </c>
      <c r="H3344" s="22">
        <v>0</v>
      </c>
      <c r="I3344" s="23" t="str">
        <f t="shared" si="157"/>
        <v xml:space="preserve">COM VALOR</v>
      </c>
      <c r="J3344" s="19"/>
      <c r="L3344" s="21">
        <v>24.18</v>
      </c>
      <c r="M3344" s="22">
        <v>0.10000000000000001</v>
      </c>
      <c r="N3344" s="21">
        <v>24.02</v>
      </c>
      <c r="O3344" s="22">
        <v>0.11</v>
      </c>
    </row>
    <row r="3345" ht="63.75">
      <c r="A3345" t="s">
        <v>3361</v>
      </c>
      <c r="B3345" s="19">
        <v>101242</v>
      </c>
      <c r="C3345" s="20" t="s">
        <v>3411</v>
      </c>
      <c r="D3345" s="19" t="s">
        <v>121</v>
      </c>
      <c r="E3345" s="21">
        <f t="shared" si="155"/>
        <v>22.43</v>
      </c>
      <c r="F3345" s="22">
        <v>0</v>
      </c>
      <c r="G3345" s="21">
        <f t="shared" si="156"/>
        <v>22.27</v>
      </c>
      <c r="H3345" s="22">
        <v>0</v>
      </c>
      <c r="I3345" s="23" t="str">
        <f t="shared" si="157"/>
        <v xml:space="preserve">COM VALOR</v>
      </c>
      <c r="J3345" s="19"/>
      <c r="L3345" s="21">
        <v>22.43</v>
      </c>
      <c r="M3345" s="22">
        <v>0.12</v>
      </c>
      <c r="N3345" s="21">
        <v>22.27</v>
      </c>
      <c r="O3345" s="22">
        <v>0.12</v>
      </c>
    </row>
    <row r="3346" ht="63.75">
      <c r="A3346" t="s">
        <v>3361</v>
      </c>
      <c r="B3346" s="19">
        <v>101270</v>
      </c>
      <c r="C3346" s="20" t="s">
        <v>3412</v>
      </c>
      <c r="D3346" s="19" t="s">
        <v>121</v>
      </c>
      <c r="E3346" s="21">
        <f t="shared" si="155"/>
        <v>24.920000000000002</v>
      </c>
      <c r="F3346" s="22">
        <v>0</v>
      </c>
      <c r="G3346" s="21">
        <f t="shared" si="156"/>
        <v>24.73</v>
      </c>
      <c r="H3346" s="22">
        <v>0</v>
      </c>
      <c r="I3346" s="23" t="str">
        <f t="shared" si="157"/>
        <v xml:space="preserve">COM VALOR</v>
      </c>
      <c r="J3346" s="19"/>
      <c r="L3346" s="21">
        <v>24.920000000000002</v>
      </c>
      <c r="M3346" s="22">
        <v>0.33000000000000002</v>
      </c>
      <c r="N3346" s="21">
        <v>24.73</v>
      </c>
      <c r="O3346" s="22">
        <v>0.33000000000000002</v>
      </c>
    </row>
    <row r="3347" ht="63.75">
      <c r="A3347" t="s">
        <v>3361</v>
      </c>
      <c r="B3347" s="19">
        <v>101243</v>
      </c>
      <c r="C3347" s="20" t="s">
        <v>3413</v>
      </c>
      <c r="D3347" s="19" t="s">
        <v>121</v>
      </c>
      <c r="E3347" s="21">
        <f t="shared" si="155"/>
        <v>27.239999999999998</v>
      </c>
      <c r="F3347" s="22">
        <v>0.14999999999999999</v>
      </c>
      <c r="G3347" s="21">
        <f t="shared" si="156"/>
        <v>27.07</v>
      </c>
      <c r="H3347" s="22">
        <v>0.16</v>
      </c>
      <c r="I3347" s="23" t="str">
        <f t="shared" si="157"/>
        <v xml:space="preserve">COM VALOR</v>
      </c>
      <c r="J3347" s="19"/>
      <c r="L3347" s="21">
        <v>27.239999999999998</v>
      </c>
      <c r="M3347" s="22">
        <v>0.12</v>
      </c>
      <c r="N3347" s="21">
        <v>27.07</v>
      </c>
      <c r="O3347" s="22">
        <v>0.12</v>
      </c>
    </row>
    <row r="3348" ht="63.75">
      <c r="A3348" t="s">
        <v>3361</v>
      </c>
      <c r="B3348" s="19">
        <v>101271</v>
      </c>
      <c r="C3348" s="20" t="s">
        <v>3414</v>
      </c>
      <c r="D3348" s="19" t="s">
        <v>121</v>
      </c>
      <c r="E3348" s="21">
        <f t="shared" si="155"/>
        <v>27.649999999999999</v>
      </c>
      <c r="F3348" s="22">
        <v>0.16</v>
      </c>
      <c r="G3348" s="21">
        <f t="shared" si="156"/>
        <v>27.43</v>
      </c>
      <c r="H3348" s="22">
        <v>0.16</v>
      </c>
      <c r="I3348" s="23" t="str">
        <f t="shared" si="157"/>
        <v xml:space="preserve">COM VALOR</v>
      </c>
      <c r="J3348" s="19"/>
      <c r="L3348" s="21">
        <v>27.649999999999999</v>
      </c>
      <c r="M3348" s="22">
        <v>0.34000000000000002</v>
      </c>
      <c r="N3348" s="21">
        <v>27.43</v>
      </c>
      <c r="O3348" s="22">
        <v>0.34000000000000002</v>
      </c>
    </row>
    <row r="3349" ht="63.75">
      <c r="A3349" t="s">
        <v>3361</v>
      </c>
      <c r="B3349" s="19">
        <v>101238</v>
      </c>
      <c r="C3349" s="20" t="s">
        <v>3415</v>
      </c>
      <c r="D3349" s="19" t="s">
        <v>121</v>
      </c>
      <c r="E3349" s="21">
        <f t="shared" si="155"/>
        <v>30.600000000000001</v>
      </c>
      <c r="F3349" s="22"/>
      <c r="G3349" s="21">
        <f t="shared" si="156"/>
        <v>30.399999999999999</v>
      </c>
      <c r="H3349" s="22"/>
      <c r="I3349" s="23" t="str">
        <f t="shared" si="157"/>
        <v xml:space="preserve">COM VALOR</v>
      </c>
      <c r="J3349" s="19"/>
      <c r="L3349" s="21">
        <v>30.600000000000001</v>
      </c>
      <c r="M3349" s="22">
        <v>0.11</v>
      </c>
      <c r="N3349" s="21">
        <v>30.399999999999999</v>
      </c>
      <c r="O3349" s="22">
        <v>0.11</v>
      </c>
    </row>
    <row r="3350" ht="63.75">
      <c r="A3350" t="s">
        <v>3361</v>
      </c>
      <c r="B3350" s="19">
        <v>101232</v>
      </c>
      <c r="C3350" s="20" t="s">
        <v>3416</v>
      </c>
      <c r="D3350" s="19" t="s">
        <v>121</v>
      </c>
      <c r="E3350" s="21">
        <f t="shared" si="155"/>
        <v>10.140000000000001</v>
      </c>
      <c r="F3350" s="22"/>
      <c r="G3350" s="21">
        <f t="shared" si="156"/>
        <v>10.08</v>
      </c>
      <c r="H3350" s="22"/>
      <c r="I3350" s="23" t="str">
        <f t="shared" si="157"/>
        <v xml:space="preserve">COM VALOR</v>
      </c>
      <c r="J3350" s="19"/>
      <c r="L3350" s="21">
        <v>10.140000000000001</v>
      </c>
      <c r="M3350" s="22">
        <v>8.9999999999999997e-002</v>
      </c>
      <c r="N3350" s="21">
        <v>10.08</v>
      </c>
      <c r="O3350" s="22">
        <v>8.9999999999999997e-002</v>
      </c>
    </row>
    <row r="3351" ht="63.75">
      <c r="A3351" t="s">
        <v>3361</v>
      </c>
      <c r="B3351" s="19">
        <v>101233</v>
      </c>
      <c r="C3351" s="20" t="s">
        <v>3417</v>
      </c>
      <c r="D3351" s="19" t="s">
        <v>121</v>
      </c>
      <c r="E3351" s="21">
        <f t="shared" si="155"/>
        <v>9.3699999999999992</v>
      </c>
      <c r="F3351" s="22"/>
      <c r="G3351" s="21">
        <f t="shared" si="156"/>
        <v>9.3100000000000005</v>
      </c>
      <c r="H3351" s="22"/>
      <c r="I3351" s="23" t="str">
        <f t="shared" si="157"/>
        <v xml:space="preserve">COM VALOR</v>
      </c>
      <c r="J3351" s="19"/>
      <c r="L3351" s="21">
        <v>9.3699999999999992</v>
      </c>
      <c r="M3351" s="22">
        <v>0.10000000000000001</v>
      </c>
      <c r="N3351" s="21">
        <v>9.3100000000000005</v>
      </c>
      <c r="O3351" s="22">
        <v>0.10000000000000001</v>
      </c>
    </row>
    <row r="3352" ht="63.75">
      <c r="A3352" t="s">
        <v>3361</v>
      </c>
      <c r="B3352" s="19">
        <v>101248</v>
      </c>
      <c r="C3352" s="20" t="s">
        <v>3418</v>
      </c>
      <c r="D3352" s="19" t="s">
        <v>121</v>
      </c>
      <c r="E3352" s="21">
        <f t="shared" si="155"/>
        <v>29.260000000000002</v>
      </c>
      <c r="F3352" s="22"/>
      <c r="G3352" s="21">
        <f t="shared" si="156"/>
        <v>29.09</v>
      </c>
      <c r="H3352" s="22"/>
      <c r="I3352" s="23" t="str">
        <f t="shared" si="157"/>
        <v xml:space="preserve">COM VALOR</v>
      </c>
      <c r="J3352" s="19"/>
      <c r="L3352" s="21">
        <v>29.260000000000002</v>
      </c>
      <c r="M3352" s="22">
        <v>0.11</v>
      </c>
      <c r="N3352" s="21">
        <v>29.09</v>
      </c>
      <c r="O3352" s="22">
        <v>0.11</v>
      </c>
    </row>
    <row r="3353" ht="63.75">
      <c r="A3353" t="s">
        <v>3361</v>
      </c>
      <c r="B3353" s="19">
        <v>101277</v>
      </c>
      <c r="C3353" s="20" t="s">
        <v>3419</v>
      </c>
      <c r="D3353" s="19" t="s">
        <v>121</v>
      </c>
      <c r="E3353" s="21">
        <f t="shared" si="155"/>
        <v>33.5</v>
      </c>
      <c r="F3353" s="22"/>
      <c r="G3353" s="21">
        <f t="shared" si="156"/>
        <v>33.25</v>
      </c>
      <c r="H3353" s="22"/>
      <c r="I3353" s="23" t="str">
        <f t="shared" si="157"/>
        <v xml:space="preserve">COM VALOR</v>
      </c>
      <c r="J3353" s="19"/>
      <c r="L3353" s="21">
        <v>33.5</v>
      </c>
      <c r="M3353" s="22">
        <v>0.34000000000000002</v>
      </c>
      <c r="N3353" s="21">
        <v>33.25</v>
      </c>
      <c r="O3353" s="22">
        <v>0.34000000000000002</v>
      </c>
    </row>
    <row r="3354" ht="63.75">
      <c r="A3354" t="s">
        <v>3361</v>
      </c>
      <c r="B3354" s="19">
        <v>101267</v>
      </c>
      <c r="C3354" s="20" t="s">
        <v>3420</v>
      </c>
      <c r="D3354" s="19" t="s">
        <v>121</v>
      </c>
      <c r="E3354" s="21">
        <f t="shared" si="155"/>
        <v>11.73</v>
      </c>
      <c r="F3354" s="22"/>
      <c r="G3354" s="21">
        <f t="shared" si="156"/>
        <v>11.630000000000001</v>
      </c>
      <c r="H3354" s="22"/>
      <c r="I3354" s="23" t="str">
        <f t="shared" si="157"/>
        <v xml:space="preserve">COM VALOR</v>
      </c>
      <c r="J3354" s="19"/>
      <c r="L3354" s="21">
        <v>11.73</v>
      </c>
      <c r="M3354" s="22">
        <v>0.29999999999999999</v>
      </c>
      <c r="N3354" s="21">
        <v>11.630000000000001</v>
      </c>
      <c r="O3354" s="22">
        <v>0.29999999999999999</v>
      </c>
    </row>
    <row r="3355" ht="63.75">
      <c r="A3355" t="s">
        <v>3361</v>
      </c>
      <c r="B3355" s="19">
        <v>101249</v>
      </c>
      <c r="C3355" s="20" t="s">
        <v>3421</v>
      </c>
      <c r="D3355" s="19" t="s">
        <v>121</v>
      </c>
      <c r="E3355" s="21">
        <f t="shared" si="155"/>
        <v>14.890000000000001</v>
      </c>
      <c r="F3355" s="22"/>
      <c r="G3355" s="21">
        <f t="shared" si="156"/>
        <v>14.800000000000001</v>
      </c>
      <c r="H3355" s="22"/>
      <c r="I3355" s="23" t="str">
        <f t="shared" si="157"/>
        <v xml:space="preserve">COM VALOR</v>
      </c>
      <c r="J3355" s="19"/>
      <c r="L3355" s="21">
        <v>14.890000000000001</v>
      </c>
      <c r="M3355" s="22">
        <v>0.11</v>
      </c>
      <c r="N3355" s="21">
        <v>14.800000000000001</v>
      </c>
      <c r="O3355" s="22">
        <v>0.11</v>
      </c>
    </row>
    <row r="3356" ht="63.75">
      <c r="A3356" t="s">
        <v>3361</v>
      </c>
      <c r="B3356" s="19">
        <v>101273</v>
      </c>
      <c r="C3356" s="20" t="s">
        <v>3422</v>
      </c>
      <c r="D3356" s="19" t="s">
        <v>121</v>
      </c>
      <c r="E3356" s="21">
        <f t="shared" si="155"/>
        <v>18.5</v>
      </c>
      <c r="F3356" s="22"/>
      <c r="G3356" s="21">
        <f t="shared" si="156"/>
        <v>18.359999999999999</v>
      </c>
      <c r="H3356" s="22"/>
      <c r="I3356" s="23" t="str">
        <f t="shared" si="157"/>
        <v xml:space="preserve">COM VALOR</v>
      </c>
      <c r="J3356" s="19"/>
      <c r="L3356" s="21">
        <v>18.5</v>
      </c>
      <c r="M3356" s="22">
        <v>0.31</v>
      </c>
      <c r="N3356" s="21">
        <v>18.359999999999999</v>
      </c>
      <c r="O3356" s="22">
        <v>0.32000000000000001</v>
      </c>
    </row>
    <row r="3357" ht="63.75">
      <c r="A3357" t="s">
        <v>3361</v>
      </c>
      <c r="B3357" s="19">
        <v>101245</v>
      </c>
      <c r="C3357" s="20" t="s">
        <v>3423</v>
      </c>
      <c r="D3357" s="19" t="s">
        <v>121</v>
      </c>
      <c r="E3357" s="21">
        <f t="shared" si="155"/>
        <v>18.09</v>
      </c>
      <c r="F3357" s="22"/>
      <c r="G3357" s="21">
        <f t="shared" si="156"/>
        <v>17.98</v>
      </c>
      <c r="H3357" s="22"/>
      <c r="I3357" s="23" t="str">
        <f t="shared" si="157"/>
        <v xml:space="preserve">COM VALOR</v>
      </c>
      <c r="J3357" s="19"/>
      <c r="L3357" s="21">
        <v>18.09</v>
      </c>
      <c r="M3357" s="22">
        <v>0.10000000000000001</v>
      </c>
      <c r="N3357" s="21">
        <v>17.98</v>
      </c>
      <c r="O3357" s="22">
        <v>0.10000000000000001</v>
      </c>
    </row>
    <row r="3358" ht="63.75">
      <c r="A3358" t="s">
        <v>3361</v>
      </c>
      <c r="B3358" s="19">
        <v>101250</v>
      </c>
      <c r="C3358" s="20" t="s">
        <v>3424</v>
      </c>
      <c r="D3358" s="19" t="s">
        <v>121</v>
      </c>
      <c r="E3358" s="21">
        <f t="shared" si="155"/>
        <v>16.52</v>
      </c>
      <c r="F3358" s="22"/>
      <c r="G3358" s="21">
        <f t="shared" si="156"/>
        <v>16.420000000000002</v>
      </c>
      <c r="H3358" s="22"/>
      <c r="I3358" s="23" t="str">
        <f t="shared" si="157"/>
        <v xml:space="preserve">COM VALOR</v>
      </c>
      <c r="J3358" s="19"/>
      <c r="L3358" s="21">
        <v>16.52</v>
      </c>
      <c r="M3358" s="22">
        <v>0.11</v>
      </c>
      <c r="N3358" s="21">
        <v>16.420000000000002</v>
      </c>
      <c r="O3358" s="22">
        <v>0.12</v>
      </c>
    </row>
    <row r="3359" ht="63.75">
      <c r="A3359" t="s">
        <v>3361</v>
      </c>
      <c r="B3359" s="19">
        <v>101251</v>
      </c>
      <c r="C3359" s="20" t="s">
        <v>3425</v>
      </c>
      <c r="D3359" s="19" t="s">
        <v>121</v>
      </c>
      <c r="E3359" s="21">
        <f t="shared" si="155"/>
        <v>18.850000000000001</v>
      </c>
      <c r="F3359" s="22"/>
      <c r="G3359" s="21">
        <f t="shared" si="156"/>
        <v>18.73</v>
      </c>
      <c r="H3359" s="22"/>
      <c r="I3359" s="23" t="str">
        <f t="shared" si="157"/>
        <v xml:space="preserve">COM VALOR</v>
      </c>
      <c r="J3359" s="19"/>
      <c r="L3359" s="21">
        <v>18.850000000000001</v>
      </c>
      <c r="M3359" s="22">
        <v>0.11</v>
      </c>
      <c r="N3359" s="21">
        <v>18.73</v>
      </c>
      <c r="O3359" s="22">
        <v>0.11</v>
      </c>
    </row>
    <row r="3360" ht="63.75">
      <c r="A3360" t="s">
        <v>3361</v>
      </c>
      <c r="B3360" s="19">
        <v>101274</v>
      </c>
      <c r="C3360" s="20" t="s">
        <v>3426</v>
      </c>
      <c r="D3360" s="19" t="s">
        <v>121</v>
      </c>
      <c r="E3360" s="21">
        <f t="shared" si="155"/>
        <v>20.440000000000001</v>
      </c>
      <c r="F3360" s="22"/>
      <c r="G3360" s="21">
        <f t="shared" si="156"/>
        <v>20.289999999999999</v>
      </c>
      <c r="H3360" s="22"/>
      <c r="I3360" s="23" t="str">
        <f t="shared" si="157"/>
        <v xml:space="preserve">COM VALOR</v>
      </c>
      <c r="J3360" s="19"/>
      <c r="L3360" s="21">
        <v>20.440000000000001</v>
      </c>
      <c r="M3360" s="22">
        <v>0.32000000000000001</v>
      </c>
      <c r="N3360" s="21">
        <v>20.289999999999999</v>
      </c>
      <c r="O3360" s="22">
        <v>0.32000000000000001</v>
      </c>
    </row>
    <row r="3361" ht="63.75">
      <c r="A3361" t="s">
        <v>3361</v>
      </c>
      <c r="B3361" s="19">
        <v>101246</v>
      </c>
      <c r="C3361" s="20" t="s">
        <v>3427</v>
      </c>
      <c r="D3361" s="19" t="s">
        <v>121</v>
      </c>
      <c r="E3361" s="21">
        <f t="shared" si="155"/>
        <v>21.030000000000001</v>
      </c>
      <c r="F3361" s="22">
        <v>0</v>
      </c>
      <c r="G3361" s="21">
        <f t="shared" si="156"/>
        <v>20.91</v>
      </c>
      <c r="H3361" s="22">
        <v>0</v>
      </c>
      <c r="I3361" s="23" t="str">
        <f t="shared" si="157"/>
        <v xml:space="preserve">COM VALOR</v>
      </c>
      <c r="J3361" s="19"/>
      <c r="L3361" s="21">
        <v>21.030000000000001</v>
      </c>
      <c r="M3361" s="22">
        <v>0.11</v>
      </c>
      <c r="N3361" s="21">
        <v>20.91</v>
      </c>
      <c r="O3361" s="22">
        <v>0.11</v>
      </c>
    </row>
    <row r="3362" ht="63.75">
      <c r="A3362" t="s">
        <v>3361</v>
      </c>
      <c r="B3362" s="19">
        <v>101252</v>
      </c>
      <c r="C3362" s="20" t="s">
        <v>3428</v>
      </c>
      <c r="D3362" s="19" t="s">
        <v>121</v>
      </c>
      <c r="E3362" s="21">
        <f t="shared" si="155"/>
        <v>20.48</v>
      </c>
      <c r="F3362" s="22">
        <v>0</v>
      </c>
      <c r="G3362" s="21">
        <f t="shared" si="156"/>
        <v>20.359999999999999</v>
      </c>
      <c r="H3362" s="22">
        <v>0</v>
      </c>
      <c r="I3362" s="23" t="str">
        <f t="shared" si="157"/>
        <v xml:space="preserve">COM VALOR</v>
      </c>
      <c r="J3362" s="19"/>
      <c r="L3362" s="21">
        <v>20.48</v>
      </c>
      <c r="M3362" s="22">
        <v>0.11</v>
      </c>
      <c r="N3362" s="21">
        <v>20.359999999999999</v>
      </c>
      <c r="O3362" s="22">
        <v>0.11</v>
      </c>
    </row>
    <row r="3363" ht="63.75">
      <c r="A3363" t="s">
        <v>3361</v>
      </c>
      <c r="B3363" s="19">
        <v>101275</v>
      </c>
      <c r="C3363" s="20" t="s">
        <v>3429</v>
      </c>
      <c r="D3363" s="19" t="s">
        <v>121</v>
      </c>
      <c r="E3363" s="21">
        <f t="shared" si="155"/>
        <v>23.699999999999999</v>
      </c>
      <c r="F3363" s="22"/>
      <c r="G3363" s="21">
        <f t="shared" si="156"/>
        <v>23.530000000000001</v>
      </c>
      <c r="H3363" s="22"/>
      <c r="I3363" s="23" t="str">
        <f t="shared" si="157"/>
        <v xml:space="preserve">COM VALOR</v>
      </c>
      <c r="J3363" s="19"/>
      <c r="L3363" s="21">
        <v>23.699999999999999</v>
      </c>
      <c r="M3363" s="22">
        <v>0.33000000000000002</v>
      </c>
      <c r="N3363" s="21">
        <v>23.530000000000001</v>
      </c>
      <c r="O3363" s="22">
        <v>0.33000000000000002</v>
      </c>
    </row>
    <row r="3364" ht="63.75">
      <c r="A3364" t="s">
        <v>3361</v>
      </c>
      <c r="B3364" s="19">
        <v>101247</v>
      </c>
      <c r="C3364" s="20" t="s">
        <v>3430</v>
      </c>
      <c r="D3364" s="19" t="s">
        <v>121</v>
      </c>
      <c r="E3364" s="21">
        <f t="shared" si="155"/>
        <v>23.350000000000001</v>
      </c>
      <c r="F3364" s="22">
        <v>0</v>
      </c>
      <c r="G3364" s="21">
        <f t="shared" si="156"/>
        <v>23.210000000000001</v>
      </c>
      <c r="H3364" s="22">
        <v>0</v>
      </c>
      <c r="I3364" s="23" t="str">
        <f t="shared" si="157"/>
        <v xml:space="preserve">COM VALOR</v>
      </c>
      <c r="J3364" s="19"/>
      <c r="L3364" s="21">
        <v>23.350000000000001</v>
      </c>
      <c r="M3364" s="22">
        <v>0.1075</v>
      </c>
      <c r="N3364" s="21">
        <v>23.210000000000001</v>
      </c>
      <c r="O3364" s="22">
        <v>0.11</v>
      </c>
    </row>
    <row r="3365" ht="63.75">
      <c r="A3365" t="s">
        <v>3361</v>
      </c>
      <c r="B3365" s="19">
        <v>101276</v>
      </c>
      <c r="C3365" s="20" t="s">
        <v>3431</v>
      </c>
      <c r="D3365" s="19" t="s">
        <v>121</v>
      </c>
      <c r="E3365" s="21">
        <f t="shared" si="155"/>
        <v>26.199999999999999</v>
      </c>
      <c r="F3365" s="22"/>
      <c r="G3365" s="21">
        <f t="shared" si="156"/>
        <v>26.010000000000002</v>
      </c>
      <c r="H3365" s="22"/>
      <c r="I3365" s="23" t="str">
        <f t="shared" si="157"/>
        <v xml:space="preserve">COM VALOR</v>
      </c>
      <c r="J3365" s="19"/>
      <c r="L3365" s="21">
        <v>26.199999999999999</v>
      </c>
      <c r="M3365" s="22">
        <v>0.33000000000000002</v>
      </c>
      <c r="N3365" s="21">
        <v>26.010000000000002</v>
      </c>
      <c r="O3365" s="22">
        <v>0.33000000000000002</v>
      </c>
    </row>
    <row r="3366" ht="63.75">
      <c r="A3366" t="s">
        <v>3361</v>
      </c>
      <c r="B3366" s="19">
        <v>101253</v>
      </c>
      <c r="C3366" s="20" t="s">
        <v>3432</v>
      </c>
      <c r="D3366" s="19" t="s">
        <v>121</v>
      </c>
      <c r="E3366" s="21">
        <f t="shared" si="155"/>
        <v>25.82</v>
      </c>
      <c r="F3366" s="22">
        <v>0</v>
      </c>
      <c r="G3366" s="21">
        <f t="shared" si="156"/>
        <v>25.670000000000002</v>
      </c>
      <c r="H3366" s="22">
        <v>0</v>
      </c>
      <c r="I3366" s="23" t="str">
        <f t="shared" si="157"/>
        <v xml:space="preserve">COM VALOR</v>
      </c>
      <c r="J3366" s="19"/>
      <c r="L3366" s="21">
        <v>25.82</v>
      </c>
      <c r="M3366" s="22">
        <v>0.12</v>
      </c>
      <c r="N3366" s="21">
        <v>25.670000000000002</v>
      </c>
      <c r="O3366" s="22">
        <v>0.12</v>
      </c>
    </row>
    <row r="3367" ht="63.75">
      <c r="A3367" t="s">
        <v>3361</v>
      </c>
      <c r="B3367" s="19">
        <v>101244</v>
      </c>
      <c r="C3367" s="20" t="s">
        <v>3433</v>
      </c>
      <c r="D3367" s="19" t="s">
        <v>121</v>
      </c>
      <c r="E3367" s="21">
        <f t="shared" si="155"/>
        <v>17.059999999999999</v>
      </c>
      <c r="F3367" s="22"/>
      <c r="G3367" s="21">
        <f t="shared" si="156"/>
        <v>16.949999999999999</v>
      </c>
      <c r="H3367" s="22"/>
      <c r="I3367" s="23" t="str">
        <f t="shared" si="157"/>
        <v xml:space="preserve">COM VALOR</v>
      </c>
      <c r="J3367" s="19"/>
      <c r="L3367" s="21">
        <v>17.059999999999999</v>
      </c>
      <c r="M3367" s="22">
        <v>0.11</v>
      </c>
      <c r="N3367" s="21">
        <v>16.949999999999999</v>
      </c>
      <c r="O3367" s="22">
        <v>0.11</v>
      </c>
    </row>
    <row r="3368" ht="12.75">
      <c r="A3368" t="s">
        <v>3434</v>
      </c>
      <c r="B3368" s="19">
        <v>93358</v>
      </c>
      <c r="C3368" s="20" t="s">
        <v>3435</v>
      </c>
      <c r="D3368" s="19" t="s">
        <v>121</v>
      </c>
      <c r="E3368" s="21">
        <f t="shared" si="155"/>
        <v>90.030000000000001</v>
      </c>
      <c r="F3368" s="22">
        <v>0</v>
      </c>
      <c r="G3368" s="21">
        <f t="shared" si="156"/>
        <v>85.239999999999995</v>
      </c>
      <c r="H3368" s="22">
        <v>0</v>
      </c>
      <c r="I3368" s="23" t="str">
        <f t="shared" si="157"/>
        <v xml:space="preserve">COM VALOR</v>
      </c>
      <c r="J3368" s="19"/>
      <c r="L3368" s="21">
        <v>90.030000000000001</v>
      </c>
      <c r="M3368" s="22">
        <v>0</v>
      </c>
      <c r="N3368" s="21">
        <v>85.239999999999995</v>
      </c>
      <c r="O3368" s="22">
        <v>0</v>
      </c>
    </row>
    <row r="3369" ht="51">
      <c r="A3369" t="s">
        <v>3434</v>
      </c>
      <c r="B3369" s="19">
        <v>90082</v>
      </c>
      <c r="C3369" s="20" t="s">
        <v>3436</v>
      </c>
      <c r="D3369" s="19" t="s">
        <v>121</v>
      </c>
      <c r="E3369" s="21">
        <f t="shared" si="155"/>
        <v>9.8200000000000003</v>
      </c>
      <c r="F3369" s="22"/>
      <c r="G3369" s="21">
        <f t="shared" si="156"/>
        <v>9.6300000000000008</v>
      </c>
      <c r="H3369" s="22"/>
      <c r="I3369" s="23" t="str">
        <f t="shared" si="157"/>
        <v xml:space="preserve">COM VALOR</v>
      </c>
      <c r="J3369" s="19"/>
      <c r="L3369" s="21">
        <v>9.8200000000000003</v>
      </c>
      <c r="M3369" s="22">
        <v>0</v>
      </c>
      <c r="N3369" s="21">
        <v>9.6300000000000008</v>
      </c>
      <c r="O3369" s="22">
        <v>0</v>
      </c>
    </row>
    <row r="3370" ht="51">
      <c r="A3370" t="s">
        <v>3434</v>
      </c>
      <c r="B3370" s="19">
        <v>90091</v>
      </c>
      <c r="C3370" s="20" t="s">
        <v>3437</v>
      </c>
      <c r="D3370" s="19" t="s">
        <v>121</v>
      </c>
      <c r="E3370" s="21">
        <f t="shared" si="155"/>
        <v>6.1799999999999997</v>
      </c>
      <c r="F3370" s="22">
        <v>0</v>
      </c>
      <c r="G3370" s="21">
        <f t="shared" si="156"/>
        <v>6.0700000000000003</v>
      </c>
      <c r="H3370" s="22">
        <v>0</v>
      </c>
      <c r="I3370" s="23" t="str">
        <f t="shared" si="157"/>
        <v xml:space="preserve">COM VALOR</v>
      </c>
      <c r="J3370" s="19"/>
      <c r="L3370" s="21">
        <v>6.1799999999999997</v>
      </c>
      <c r="M3370" s="22">
        <v>0</v>
      </c>
      <c r="N3370" s="21">
        <v>6.0700000000000003</v>
      </c>
      <c r="O3370" s="22">
        <v>0</v>
      </c>
    </row>
    <row r="3371" ht="51">
      <c r="A3371" t="s">
        <v>3434</v>
      </c>
      <c r="B3371" s="19">
        <v>102307</v>
      </c>
      <c r="C3371" s="20" t="s">
        <v>3438</v>
      </c>
      <c r="D3371" s="19" t="s">
        <v>121</v>
      </c>
      <c r="E3371" s="21">
        <f t="shared" si="155"/>
        <v>12.27</v>
      </c>
      <c r="F3371" s="22"/>
      <c r="G3371" s="21">
        <f t="shared" si="156"/>
        <v>12.050000000000001</v>
      </c>
      <c r="H3371" s="22"/>
      <c r="I3371" s="23" t="str">
        <f t="shared" si="157"/>
        <v xml:space="preserve">COM VALOR</v>
      </c>
      <c r="J3371" s="19"/>
      <c r="L3371" s="21">
        <v>12.27</v>
      </c>
      <c r="M3371" s="22">
        <v>0</v>
      </c>
      <c r="N3371" s="21">
        <v>12.050000000000001</v>
      </c>
      <c r="O3371" s="22">
        <v>0</v>
      </c>
    </row>
    <row r="3372" ht="51">
      <c r="A3372" t="s">
        <v>3434</v>
      </c>
      <c r="B3372" s="19">
        <v>102315</v>
      </c>
      <c r="C3372" s="20" t="s">
        <v>3439</v>
      </c>
      <c r="D3372" s="19" t="s">
        <v>121</v>
      </c>
      <c r="E3372" s="21">
        <f t="shared" si="155"/>
        <v>7.7199999999999998</v>
      </c>
      <c r="F3372" s="22">
        <v>0</v>
      </c>
      <c r="G3372" s="21">
        <f t="shared" si="156"/>
        <v>7.5800000000000001</v>
      </c>
      <c r="H3372" s="22">
        <v>0</v>
      </c>
      <c r="I3372" s="23" t="str">
        <f t="shared" si="157"/>
        <v xml:space="preserve">COM VALOR</v>
      </c>
      <c r="J3372" s="19"/>
      <c r="L3372" s="21">
        <v>7.7199999999999998</v>
      </c>
      <c r="M3372" s="22">
        <v>0</v>
      </c>
      <c r="N3372" s="21">
        <v>7.5800000000000001</v>
      </c>
      <c r="O3372" s="22">
        <v>0</v>
      </c>
    </row>
    <row r="3373" ht="51">
      <c r="A3373" t="s">
        <v>3434</v>
      </c>
      <c r="B3373" s="19">
        <v>102283</v>
      </c>
      <c r="C3373" s="20" t="s">
        <v>3440</v>
      </c>
      <c r="D3373" s="19" t="s">
        <v>121</v>
      </c>
      <c r="E3373" s="21">
        <f t="shared" si="155"/>
        <v>12.84</v>
      </c>
      <c r="F3373" s="22"/>
      <c r="G3373" s="21">
        <f t="shared" si="156"/>
        <v>12.609999999999999</v>
      </c>
      <c r="H3373" s="22"/>
      <c r="I3373" s="23" t="str">
        <f t="shared" si="157"/>
        <v xml:space="preserve">COM VALOR</v>
      </c>
      <c r="J3373" s="19"/>
      <c r="L3373" s="21">
        <v>12.84</v>
      </c>
      <c r="M3373" s="22">
        <v>0</v>
      </c>
      <c r="N3373" s="21">
        <v>12.609999999999999</v>
      </c>
      <c r="O3373" s="22">
        <v>0</v>
      </c>
    </row>
    <row r="3374" ht="51">
      <c r="A3374" t="s">
        <v>3434</v>
      </c>
      <c r="B3374" s="19">
        <v>102291</v>
      </c>
      <c r="C3374" s="20" t="s">
        <v>3441</v>
      </c>
      <c r="D3374" s="19" t="s">
        <v>121</v>
      </c>
      <c r="E3374" s="21">
        <f t="shared" si="155"/>
        <v>8.0899999999999999</v>
      </c>
      <c r="F3374" s="22">
        <v>0</v>
      </c>
      <c r="G3374" s="21">
        <f t="shared" si="156"/>
        <v>7.9400000000000004</v>
      </c>
      <c r="H3374" s="22">
        <v>0</v>
      </c>
      <c r="I3374" s="23" t="str">
        <f t="shared" si="157"/>
        <v xml:space="preserve">COM VALOR</v>
      </c>
      <c r="J3374" s="19"/>
      <c r="L3374" s="21">
        <v>8.0899999999999999</v>
      </c>
      <c r="M3374" s="22">
        <v>0</v>
      </c>
      <c r="N3374" s="21">
        <v>7.9400000000000004</v>
      </c>
      <c r="O3374" s="22">
        <v>0</v>
      </c>
    </row>
    <row r="3375" ht="51">
      <c r="A3375" t="s">
        <v>3434</v>
      </c>
      <c r="B3375" s="19">
        <v>102276</v>
      </c>
      <c r="C3375" s="20" t="s">
        <v>3442</v>
      </c>
      <c r="D3375" s="19" t="s">
        <v>121</v>
      </c>
      <c r="E3375" s="21">
        <f t="shared" si="155"/>
        <v>11.050000000000001</v>
      </c>
      <c r="F3375" s="22">
        <v>0</v>
      </c>
      <c r="G3375" s="21">
        <f t="shared" si="156"/>
        <v>10.85</v>
      </c>
      <c r="H3375" s="22">
        <v>0</v>
      </c>
      <c r="I3375" s="23" t="str">
        <f t="shared" si="157"/>
        <v xml:space="preserve">COM VALOR</v>
      </c>
      <c r="J3375" s="19"/>
      <c r="L3375" s="21">
        <v>11.050000000000001</v>
      </c>
      <c r="M3375" s="22">
        <v>0</v>
      </c>
      <c r="N3375" s="21">
        <v>10.85</v>
      </c>
      <c r="O3375" s="22">
        <v>0</v>
      </c>
    </row>
    <row r="3376" ht="51">
      <c r="A3376" t="s">
        <v>3434</v>
      </c>
      <c r="B3376" s="19">
        <v>102306</v>
      </c>
      <c r="C3376" s="20" t="s">
        <v>3443</v>
      </c>
      <c r="D3376" s="19" t="s">
        <v>121</v>
      </c>
      <c r="E3376" s="21">
        <f t="shared" si="155"/>
        <v>13.82</v>
      </c>
      <c r="F3376" s="22">
        <v>0</v>
      </c>
      <c r="G3376" s="21">
        <f t="shared" si="156"/>
        <v>13.57</v>
      </c>
      <c r="H3376" s="22">
        <v>0</v>
      </c>
      <c r="I3376" s="23" t="str">
        <f t="shared" si="157"/>
        <v xml:space="preserve">COM VALOR</v>
      </c>
      <c r="J3376" s="19"/>
      <c r="L3376" s="21">
        <v>13.82</v>
      </c>
      <c r="M3376" s="22">
        <v>0</v>
      </c>
      <c r="N3376" s="21">
        <v>13.57</v>
      </c>
      <c r="O3376" s="22">
        <v>0</v>
      </c>
    </row>
    <row r="3377" ht="51">
      <c r="A3377" t="s">
        <v>3434</v>
      </c>
      <c r="B3377" s="19">
        <v>102279</v>
      </c>
      <c r="C3377" s="20" t="s">
        <v>3444</v>
      </c>
      <c r="D3377" s="19" t="s">
        <v>121</v>
      </c>
      <c r="E3377" s="21">
        <f t="shared" si="155"/>
        <v>6.96</v>
      </c>
      <c r="F3377" s="22">
        <v>0</v>
      </c>
      <c r="G3377" s="21">
        <f t="shared" si="156"/>
        <v>6.8300000000000001</v>
      </c>
      <c r="H3377" s="22">
        <v>0</v>
      </c>
      <c r="I3377" s="23" t="str">
        <f t="shared" si="157"/>
        <v xml:space="preserve">COM VALOR</v>
      </c>
      <c r="J3377" s="19"/>
      <c r="L3377" s="21">
        <v>6.96</v>
      </c>
      <c r="M3377" s="22">
        <v>0</v>
      </c>
      <c r="N3377" s="21">
        <v>6.8300000000000001</v>
      </c>
      <c r="O3377" s="22">
        <v>0</v>
      </c>
    </row>
    <row r="3378" ht="51">
      <c r="A3378" t="s">
        <v>3434</v>
      </c>
      <c r="B3378" s="19">
        <v>102282</v>
      </c>
      <c r="C3378" s="20" t="s">
        <v>3445</v>
      </c>
      <c r="D3378" s="19" t="s">
        <v>121</v>
      </c>
      <c r="E3378" s="21">
        <f t="shared" si="155"/>
        <v>14.449999999999999</v>
      </c>
      <c r="F3378" s="22">
        <v>0</v>
      </c>
      <c r="G3378" s="21">
        <f t="shared" si="156"/>
        <v>14.199999999999999</v>
      </c>
      <c r="H3378" s="22">
        <v>0</v>
      </c>
      <c r="I3378" s="23" t="str">
        <f t="shared" si="157"/>
        <v xml:space="preserve">COM VALOR</v>
      </c>
      <c r="J3378" s="19"/>
      <c r="L3378" s="21">
        <v>14.449999999999999</v>
      </c>
      <c r="M3378" s="22">
        <v>0</v>
      </c>
      <c r="N3378" s="21">
        <v>14.199999999999999</v>
      </c>
      <c r="O3378" s="22">
        <v>0</v>
      </c>
    </row>
    <row r="3379" ht="51">
      <c r="A3379" t="s">
        <v>3434</v>
      </c>
      <c r="B3379" s="19">
        <v>102290</v>
      </c>
      <c r="C3379" s="20" t="s">
        <v>3446</v>
      </c>
      <c r="D3379" s="19" t="s">
        <v>121</v>
      </c>
      <c r="E3379" s="21">
        <f t="shared" si="155"/>
        <v>9.1099999999999994</v>
      </c>
      <c r="F3379" s="22">
        <v>0</v>
      </c>
      <c r="G3379" s="21">
        <f t="shared" si="156"/>
        <v>8.9399999999999995</v>
      </c>
      <c r="H3379" s="22">
        <v>0</v>
      </c>
      <c r="I3379" s="23" t="str">
        <f t="shared" si="157"/>
        <v xml:space="preserve">COM VALOR</v>
      </c>
      <c r="J3379" s="19"/>
      <c r="L3379" s="21">
        <v>9.1099999999999994</v>
      </c>
      <c r="M3379" s="22">
        <v>0</v>
      </c>
      <c r="N3379" s="21">
        <v>8.9399999999999995</v>
      </c>
      <c r="O3379" s="22">
        <v>0</v>
      </c>
    </row>
    <row r="3380" ht="51">
      <c r="A3380" t="s">
        <v>3434</v>
      </c>
      <c r="B3380" s="19">
        <v>90100</v>
      </c>
      <c r="C3380" s="20" t="s">
        <v>3447</v>
      </c>
      <c r="D3380" s="19" t="s">
        <v>121</v>
      </c>
      <c r="E3380" s="21">
        <f t="shared" si="155"/>
        <v>13.699999999999999</v>
      </c>
      <c r="F3380" s="22">
        <v>0</v>
      </c>
      <c r="G3380" s="21">
        <f t="shared" si="156"/>
        <v>13.359999999999999</v>
      </c>
      <c r="H3380" s="22">
        <v>0</v>
      </c>
      <c r="I3380" s="23" t="str">
        <f t="shared" si="157"/>
        <v xml:space="preserve">COM VALOR</v>
      </c>
      <c r="J3380" s="19"/>
      <c r="L3380" s="21">
        <v>13.699999999999999</v>
      </c>
      <c r="M3380" s="22">
        <v>0</v>
      </c>
      <c r="N3380" s="21">
        <v>13.359999999999999</v>
      </c>
      <c r="O3380" s="22">
        <v>0</v>
      </c>
    </row>
    <row r="3381" ht="51">
      <c r="A3381" t="s">
        <v>3434</v>
      </c>
      <c r="B3381" s="19">
        <v>102323</v>
      </c>
      <c r="C3381" s="20" t="s">
        <v>3448</v>
      </c>
      <c r="D3381" s="19" t="s">
        <v>121</v>
      </c>
      <c r="E3381" s="21">
        <f t="shared" si="155"/>
        <v>17.129999999999999</v>
      </c>
      <c r="F3381" s="22">
        <v>0</v>
      </c>
      <c r="G3381" s="21">
        <f t="shared" si="156"/>
        <v>16.699999999999999</v>
      </c>
      <c r="H3381" s="22">
        <v>0</v>
      </c>
      <c r="I3381" s="23" t="str">
        <f t="shared" si="157"/>
        <v xml:space="preserve">COM VALOR</v>
      </c>
      <c r="J3381" s="19"/>
      <c r="L3381" s="21">
        <v>17.129999999999999</v>
      </c>
      <c r="M3381" s="22">
        <v>0</v>
      </c>
      <c r="N3381" s="21">
        <v>16.699999999999999</v>
      </c>
      <c r="O3381" s="22">
        <v>0</v>
      </c>
    </row>
    <row r="3382" ht="51">
      <c r="A3382" t="s">
        <v>3434</v>
      </c>
      <c r="B3382" s="19">
        <v>102327</v>
      </c>
      <c r="C3382" s="20" t="s">
        <v>3449</v>
      </c>
      <c r="D3382" s="19" t="s">
        <v>121</v>
      </c>
      <c r="E3382" s="21">
        <f t="shared" si="155"/>
        <v>10.789999999999999</v>
      </c>
      <c r="F3382" s="22">
        <v>0</v>
      </c>
      <c r="G3382" s="21">
        <f t="shared" si="156"/>
        <v>10.51</v>
      </c>
      <c r="H3382" s="22">
        <v>0</v>
      </c>
      <c r="I3382" s="23" t="str">
        <f t="shared" si="157"/>
        <v xml:space="preserve">COM VALOR</v>
      </c>
      <c r="J3382" s="19"/>
      <c r="L3382" s="21">
        <v>10.789999999999999</v>
      </c>
      <c r="M3382" s="22">
        <v>0</v>
      </c>
      <c r="N3382" s="21">
        <v>10.51</v>
      </c>
      <c r="O3382" s="22">
        <v>0</v>
      </c>
    </row>
    <row r="3383" ht="51">
      <c r="A3383" t="s">
        <v>3434</v>
      </c>
      <c r="B3383" s="19">
        <v>102299</v>
      </c>
      <c r="C3383" s="20" t="s">
        <v>3450</v>
      </c>
      <c r="D3383" s="19" t="s">
        <v>121</v>
      </c>
      <c r="E3383" s="21">
        <f t="shared" si="155"/>
        <v>17.93</v>
      </c>
      <c r="F3383" s="22">
        <v>0</v>
      </c>
      <c r="G3383" s="21">
        <f t="shared" si="156"/>
        <v>17.48</v>
      </c>
      <c r="H3383" s="22">
        <v>0</v>
      </c>
      <c r="I3383" s="23" t="str">
        <f t="shared" si="157"/>
        <v xml:space="preserve">COM VALOR</v>
      </c>
      <c r="J3383" s="19"/>
      <c r="L3383" s="21">
        <v>17.93</v>
      </c>
      <c r="M3383" s="22">
        <v>0</v>
      </c>
      <c r="N3383" s="21">
        <v>17.48</v>
      </c>
      <c r="O3383" s="22">
        <v>0</v>
      </c>
    </row>
    <row r="3384" ht="51">
      <c r="A3384" t="s">
        <v>3434</v>
      </c>
      <c r="B3384" s="19">
        <v>102303</v>
      </c>
      <c r="C3384" s="20" t="s">
        <v>3451</v>
      </c>
      <c r="D3384" s="19" t="s">
        <v>121</v>
      </c>
      <c r="E3384" s="21">
        <f t="shared" si="155"/>
        <v>11.289999999999999</v>
      </c>
      <c r="F3384" s="22">
        <v>0</v>
      </c>
      <c r="G3384" s="21">
        <f t="shared" si="156"/>
        <v>11.02</v>
      </c>
      <c r="H3384" s="22">
        <v>0</v>
      </c>
      <c r="I3384" s="23" t="str">
        <f t="shared" si="157"/>
        <v xml:space="preserve">COM VALOR</v>
      </c>
      <c r="J3384" s="19"/>
      <c r="L3384" s="21">
        <v>11.289999999999999</v>
      </c>
      <c r="M3384" s="22">
        <v>0</v>
      </c>
      <c r="N3384" s="21">
        <v>11.02</v>
      </c>
      <c r="O3384" s="22">
        <v>0</v>
      </c>
    </row>
    <row r="3385" ht="51">
      <c r="A3385" t="s">
        <v>3434</v>
      </c>
      <c r="B3385" s="19">
        <v>90099</v>
      </c>
      <c r="C3385" s="20" t="s">
        <v>3452</v>
      </c>
      <c r="D3385" s="19" t="s">
        <v>121</v>
      </c>
      <c r="E3385" s="21">
        <f t="shared" si="155"/>
        <v>15.99</v>
      </c>
      <c r="F3385" s="22">
        <v>0</v>
      </c>
      <c r="G3385" s="21">
        <f t="shared" si="156"/>
        <v>15.59</v>
      </c>
      <c r="H3385" s="22">
        <v>0</v>
      </c>
      <c r="I3385" s="23" t="str">
        <f t="shared" si="157"/>
        <v xml:space="preserve">COM VALOR</v>
      </c>
      <c r="J3385" s="19"/>
      <c r="L3385" s="21">
        <v>15.99</v>
      </c>
      <c r="M3385" s="22">
        <v>0</v>
      </c>
      <c r="N3385" s="21">
        <v>15.59</v>
      </c>
      <c r="O3385" s="22">
        <v>0</v>
      </c>
    </row>
    <row r="3386" ht="51">
      <c r="A3386" t="s">
        <v>3434</v>
      </c>
      <c r="B3386" s="19">
        <v>102322</v>
      </c>
      <c r="C3386" s="20" t="s">
        <v>3453</v>
      </c>
      <c r="D3386" s="19" t="s">
        <v>121</v>
      </c>
      <c r="E3386" s="21">
        <f t="shared" si="155"/>
        <v>19.989999999999998</v>
      </c>
      <c r="F3386" s="22">
        <v>0</v>
      </c>
      <c r="G3386" s="21">
        <f t="shared" si="156"/>
        <v>19.489999999999998</v>
      </c>
      <c r="H3386" s="22">
        <v>0</v>
      </c>
      <c r="I3386" s="23" t="str">
        <f t="shared" si="157"/>
        <v xml:space="preserve">COM VALOR</v>
      </c>
      <c r="J3386" s="19"/>
      <c r="L3386" s="21">
        <v>19.989999999999998</v>
      </c>
      <c r="M3386" s="22">
        <v>0</v>
      </c>
      <c r="N3386" s="21">
        <v>19.489999999999998</v>
      </c>
      <c r="O3386" s="22">
        <v>0</v>
      </c>
    </row>
    <row r="3387" ht="51">
      <c r="A3387" t="s">
        <v>3434</v>
      </c>
      <c r="B3387" s="19">
        <v>102298</v>
      </c>
      <c r="C3387" s="20" t="s">
        <v>3454</v>
      </c>
      <c r="D3387" s="19" t="s">
        <v>121</v>
      </c>
      <c r="E3387" s="21">
        <f t="shared" si="155"/>
        <v>20.93</v>
      </c>
      <c r="F3387" s="22">
        <v>0</v>
      </c>
      <c r="G3387" s="21">
        <f t="shared" si="156"/>
        <v>20.390000000000001</v>
      </c>
      <c r="H3387" s="22">
        <v>0</v>
      </c>
      <c r="I3387" s="23" t="str">
        <f t="shared" si="157"/>
        <v xml:space="preserve">COM VALOR</v>
      </c>
      <c r="J3387" s="19"/>
      <c r="L3387" s="21">
        <v>20.93</v>
      </c>
      <c r="M3387" s="22">
        <v>0</v>
      </c>
      <c r="N3387" s="21">
        <v>20.390000000000001</v>
      </c>
      <c r="O3387" s="22">
        <v>0</v>
      </c>
    </row>
    <row r="3388" ht="51">
      <c r="A3388" t="s">
        <v>3434</v>
      </c>
      <c r="B3388" s="19">
        <v>102302</v>
      </c>
      <c r="C3388" s="20" t="s">
        <v>3455</v>
      </c>
      <c r="D3388" s="19" t="s">
        <v>121</v>
      </c>
      <c r="E3388" s="21">
        <f t="shared" si="155"/>
        <v>13.18</v>
      </c>
      <c r="F3388" s="22">
        <v>0</v>
      </c>
      <c r="G3388" s="21">
        <f t="shared" si="156"/>
        <v>12.85</v>
      </c>
      <c r="H3388" s="22">
        <v>0</v>
      </c>
      <c r="I3388" s="23" t="str">
        <f t="shared" si="157"/>
        <v xml:space="preserve">COM VALOR</v>
      </c>
      <c r="J3388" s="19"/>
      <c r="L3388" s="21">
        <v>13.18</v>
      </c>
      <c r="M3388" s="22">
        <v>0</v>
      </c>
      <c r="N3388" s="21">
        <v>12.85</v>
      </c>
      <c r="O3388" s="22">
        <v>0</v>
      </c>
    </row>
    <row r="3389" ht="51">
      <c r="A3389" t="s">
        <v>3434</v>
      </c>
      <c r="B3389" s="19">
        <v>102326</v>
      </c>
      <c r="C3389" s="20" t="s">
        <v>3456</v>
      </c>
      <c r="D3389" s="19" t="s">
        <v>121</v>
      </c>
      <c r="E3389" s="21">
        <f t="shared" si="155"/>
        <v>12.59</v>
      </c>
      <c r="F3389" s="22">
        <v>0</v>
      </c>
      <c r="G3389" s="21">
        <f t="shared" si="156"/>
        <v>12.279999999999999</v>
      </c>
      <c r="H3389" s="22">
        <v>0</v>
      </c>
      <c r="I3389" s="23" t="str">
        <f t="shared" si="157"/>
        <v xml:space="preserve">COM VALOR</v>
      </c>
      <c r="J3389" s="19"/>
      <c r="L3389" s="21">
        <v>12.59</v>
      </c>
      <c r="M3389" s="22">
        <v>0</v>
      </c>
      <c r="N3389" s="21">
        <v>12.279999999999999</v>
      </c>
      <c r="O3389" s="22">
        <v>0</v>
      </c>
    </row>
    <row r="3390" ht="51">
      <c r="A3390" t="s">
        <v>3434</v>
      </c>
      <c r="B3390" s="19">
        <v>102314</v>
      </c>
      <c r="C3390" s="20" t="s">
        <v>3457</v>
      </c>
      <c r="D3390" s="19" t="s">
        <v>121</v>
      </c>
      <c r="E3390" s="21">
        <f t="shared" si="155"/>
        <v>8.6999999999999993</v>
      </c>
      <c r="F3390" s="22">
        <v>0</v>
      </c>
      <c r="G3390" s="21">
        <f t="shared" si="156"/>
        <v>8.5399999999999991</v>
      </c>
      <c r="H3390" s="22">
        <v>0</v>
      </c>
      <c r="I3390" s="23" t="str">
        <f t="shared" si="157"/>
        <v xml:space="preserve">COM VALOR</v>
      </c>
      <c r="J3390" s="19"/>
      <c r="L3390" s="21">
        <v>8.6999999999999993</v>
      </c>
      <c r="M3390" s="22">
        <v>0</v>
      </c>
      <c r="N3390" s="21">
        <v>8.5399999999999991</v>
      </c>
      <c r="O3390" s="22">
        <v>0</v>
      </c>
    </row>
    <row r="3391" ht="51">
      <c r="A3391" t="s">
        <v>3434</v>
      </c>
      <c r="B3391" s="19">
        <v>102312</v>
      </c>
      <c r="C3391" s="20" t="s">
        <v>3458</v>
      </c>
      <c r="D3391" s="19" t="s">
        <v>121</v>
      </c>
      <c r="E3391" s="21">
        <f t="shared" si="155"/>
        <v>11.109999999999999</v>
      </c>
      <c r="F3391" s="22">
        <v>0</v>
      </c>
      <c r="G3391" s="21">
        <f t="shared" si="156"/>
        <v>10.94</v>
      </c>
      <c r="H3391" s="22">
        <v>0</v>
      </c>
      <c r="I3391" s="23" t="str">
        <f t="shared" si="157"/>
        <v xml:space="preserve">COM VALOR</v>
      </c>
      <c r="J3391" s="19"/>
      <c r="L3391" s="21">
        <v>11.109999999999999</v>
      </c>
      <c r="M3391" s="22">
        <v>0</v>
      </c>
      <c r="N3391" s="21">
        <v>10.94</v>
      </c>
      <c r="O3391" s="22">
        <v>0</v>
      </c>
    </row>
    <row r="3392" ht="51">
      <c r="A3392" t="s">
        <v>3434</v>
      </c>
      <c r="B3392" s="19">
        <v>102288</v>
      </c>
      <c r="C3392" s="20" t="s">
        <v>3459</v>
      </c>
      <c r="D3392" s="19" t="s">
        <v>121</v>
      </c>
      <c r="E3392" s="21">
        <f t="shared" si="155"/>
        <v>11.630000000000001</v>
      </c>
      <c r="F3392" s="22"/>
      <c r="G3392" s="21">
        <f t="shared" si="156"/>
        <v>11.460000000000001</v>
      </c>
      <c r="H3392" s="22"/>
      <c r="I3392" s="23" t="str">
        <f t="shared" si="157"/>
        <v xml:space="preserve">COM VALOR</v>
      </c>
      <c r="J3392" s="19"/>
      <c r="L3392" s="21">
        <v>11.630000000000001</v>
      </c>
      <c r="M3392" s="22">
        <v>0</v>
      </c>
      <c r="N3392" s="21">
        <v>11.460000000000001</v>
      </c>
      <c r="O3392" s="22">
        <v>0</v>
      </c>
    </row>
    <row r="3393" ht="51">
      <c r="A3393" t="s">
        <v>3434</v>
      </c>
      <c r="B3393" s="19">
        <v>90087</v>
      </c>
      <c r="C3393" s="20" t="s">
        <v>3460</v>
      </c>
      <c r="D3393" s="19" t="s">
        <v>121</v>
      </c>
      <c r="E3393" s="21">
        <f t="shared" si="155"/>
        <v>8.8900000000000006</v>
      </c>
      <c r="F3393" s="22"/>
      <c r="G3393" s="21">
        <f t="shared" si="156"/>
        <v>8.75</v>
      </c>
      <c r="H3393" s="22"/>
      <c r="I3393" s="23" t="str">
        <f t="shared" si="157"/>
        <v xml:space="preserve">COM VALOR</v>
      </c>
      <c r="J3393" s="19"/>
      <c r="L3393" s="21">
        <v>8.8900000000000006</v>
      </c>
      <c r="M3393" s="22">
        <v>0</v>
      </c>
      <c r="N3393" s="21">
        <v>8.75</v>
      </c>
      <c r="O3393" s="22">
        <v>0</v>
      </c>
    </row>
    <row r="3394" ht="51">
      <c r="A3394" t="s">
        <v>3434</v>
      </c>
      <c r="B3394" s="19">
        <v>102308</v>
      </c>
      <c r="C3394" s="20" t="s">
        <v>3461</v>
      </c>
      <c r="D3394" s="19" t="s">
        <v>121</v>
      </c>
      <c r="E3394" s="21">
        <f t="shared" si="155"/>
        <v>11.890000000000001</v>
      </c>
      <c r="F3394" s="22"/>
      <c r="G3394" s="21">
        <f t="shared" si="156"/>
        <v>11.67</v>
      </c>
      <c r="H3394" s="22"/>
      <c r="I3394" s="23" t="str">
        <f t="shared" si="157"/>
        <v xml:space="preserve">COM VALOR</v>
      </c>
      <c r="J3394" s="19"/>
      <c r="L3394" s="21">
        <v>11.890000000000001</v>
      </c>
      <c r="M3394" s="22">
        <v>0</v>
      </c>
      <c r="N3394" s="21">
        <v>11.67</v>
      </c>
      <c r="O3394" s="22">
        <v>0</v>
      </c>
    </row>
    <row r="3395" ht="51">
      <c r="A3395" t="s">
        <v>3434</v>
      </c>
      <c r="B3395" s="19">
        <v>90084</v>
      </c>
      <c r="C3395" s="20" t="s">
        <v>3462</v>
      </c>
      <c r="D3395" s="19" t="s">
        <v>121</v>
      </c>
      <c r="E3395" s="21">
        <f t="shared" si="155"/>
        <v>9.5099999999999998</v>
      </c>
      <c r="F3395" s="22">
        <v>0</v>
      </c>
      <c r="G3395" s="21">
        <f t="shared" si="156"/>
        <v>9.3399999999999999</v>
      </c>
      <c r="H3395" s="22">
        <v>0</v>
      </c>
      <c r="I3395" s="23" t="str">
        <f t="shared" si="157"/>
        <v xml:space="preserve">COM VALOR</v>
      </c>
      <c r="J3395" s="19"/>
      <c r="L3395" s="21">
        <v>9.5099999999999998</v>
      </c>
      <c r="M3395" s="22">
        <v>0</v>
      </c>
      <c r="N3395" s="21">
        <v>9.3399999999999999</v>
      </c>
      <c r="O3395" s="22">
        <v>0</v>
      </c>
    </row>
    <row r="3396" ht="51">
      <c r="A3396" t="s">
        <v>3434</v>
      </c>
      <c r="B3396" s="19">
        <v>102284</v>
      </c>
      <c r="C3396" s="20" t="s">
        <v>3463</v>
      </c>
      <c r="D3396" s="19" t="s">
        <v>121</v>
      </c>
      <c r="E3396" s="21">
        <f t="shared" si="155"/>
        <v>12.44</v>
      </c>
      <c r="F3396" s="22">
        <v>0</v>
      </c>
      <c r="G3396" s="21">
        <f t="shared" si="156"/>
        <v>12.210000000000001</v>
      </c>
      <c r="H3396" s="22">
        <v>0</v>
      </c>
      <c r="I3396" s="23" t="str">
        <f t="shared" si="157"/>
        <v xml:space="preserve">COM VALOR</v>
      </c>
      <c r="J3396" s="19"/>
      <c r="L3396" s="21">
        <v>12.44</v>
      </c>
      <c r="M3396" s="22">
        <v>0</v>
      </c>
      <c r="N3396" s="21">
        <v>12.210000000000001</v>
      </c>
      <c r="O3396" s="22">
        <v>0</v>
      </c>
    </row>
    <row r="3397" ht="51">
      <c r="A3397" t="s">
        <v>3434</v>
      </c>
      <c r="B3397" s="19">
        <v>102325</v>
      </c>
      <c r="C3397" s="20" t="s">
        <v>3464</v>
      </c>
      <c r="D3397" s="19" t="s">
        <v>121</v>
      </c>
      <c r="E3397" s="21">
        <f t="shared" si="155"/>
        <v>15.49</v>
      </c>
      <c r="F3397" s="22">
        <v>0</v>
      </c>
      <c r="G3397" s="21">
        <f t="shared" si="156"/>
        <v>15.109999999999999</v>
      </c>
      <c r="H3397" s="22">
        <v>0</v>
      </c>
      <c r="I3397" s="23" t="str">
        <f t="shared" si="157"/>
        <v xml:space="preserve">COM VALOR</v>
      </c>
      <c r="J3397" s="19"/>
      <c r="L3397" s="21">
        <v>15.49</v>
      </c>
      <c r="M3397" s="22">
        <v>0</v>
      </c>
      <c r="N3397" s="21">
        <v>15.109999999999999</v>
      </c>
      <c r="O3397" s="22">
        <v>0</v>
      </c>
    </row>
    <row r="3398" ht="63.75">
      <c r="A3398" t="s">
        <v>3434</v>
      </c>
      <c r="B3398" s="19">
        <v>102329</v>
      </c>
      <c r="C3398" s="20" t="s">
        <v>3465</v>
      </c>
      <c r="D3398" s="19" t="s">
        <v>121</v>
      </c>
      <c r="E3398" s="21">
        <f t="shared" si="155"/>
        <v>9.7699999999999996</v>
      </c>
      <c r="F3398" s="22">
        <v>0</v>
      </c>
      <c r="G3398" s="21">
        <f t="shared" si="156"/>
        <v>9.5199999999999996</v>
      </c>
      <c r="H3398" s="22">
        <v>0</v>
      </c>
      <c r="I3398" s="23" t="str">
        <f t="shared" si="157"/>
        <v xml:space="preserve">COM VALOR</v>
      </c>
      <c r="J3398" s="19"/>
      <c r="L3398" s="21">
        <v>9.7699999999999996</v>
      </c>
      <c r="M3398" s="22">
        <v>0</v>
      </c>
      <c r="N3398" s="21">
        <v>9.5199999999999996</v>
      </c>
      <c r="O3398" s="22">
        <v>0</v>
      </c>
    </row>
    <row r="3399" ht="51">
      <c r="A3399" t="s">
        <v>3434</v>
      </c>
      <c r="B3399" s="19">
        <v>102301</v>
      </c>
      <c r="C3399" s="20" t="s">
        <v>3466</v>
      </c>
      <c r="D3399" s="19" t="s">
        <v>121</v>
      </c>
      <c r="E3399" s="21">
        <f t="shared" si="155"/>
        <v>16.219999999999999</v>
      </c>
      <c r="F3399" s="22">
        <v>0</v>
      </c>
      <c r="G3399" s="21">
        <f t="shared" si="156"/>
        <v>15.82</v>
      </c>
      <c r="H3399" s="22">
        <v>0</v>
      </c>
      <c r="I3399" s="23" t="str">
        <f t="shared" si="157"/>
        <v xml:space="preserve">COM VALOR</v>
      </c>
      <c r="J3399" s="19"/>
      <c r="L3399" s="21">
        <v>16.219999999999999</v>
      </c>
      <c r="M3399" s="22">
        <v>0</v>
      </c>
      <c r="N3399" s="21">
        <v>15.82</v>
      </c>
      <c r="O3399" s="22">
        <v>0</v>
      </c>
    </row>
    <row r="3400" ht="51">
      <c r="A3400" t="s">
        <v>3434</v>
      </c>
      <c r="B3400" s="19">
        <v>102305</v>
      </c>
      <c r="C3400" s="20" t="s">
        <v>3467</v>
      </c>
      <c r="D3400" s="19" t="s">
        <v>121</v>
      </c>
      <c r="E3400" s="21">
        <f t="shared" si="155"/>
        <v>10.210000000000001</v>
      </c>
      <c r="F3400" s="22">
        <v>0</v>
      </c>
      <c r="G3400" s="21">
        <f t="shared" si="156"/>
        <v>9.9600000000000009</v>
      </c>
      <c r="H3400" s="22">
        <v>0</v>
      </c>
      <c r="I3400" s="23" t="str">
        <f t="shared" si="157"/>
        <v xml:space="preserve">COM VALOR</v>
      </c>
      <c r="J3400" s="19"/>
      <c r="L3400" s="21">
        <v>10.210000000000001</v>
      </c>
      <c r="M3400" s="22">
        <v>0</v>
      </c>
      <c r="N3400" s="21">
        <v>9.9600000000000009</v>
      </c>
      <c r="O3400" s="22">
        <v>0</v>
      </c>
    </row>
    <row r="3401" ht="51">
      <c r="A3401" t="s">
        <v>3434</v>
      </c>
      <c r="B3401" s="19">
        <v>90101</v>
      </c>
      <c r="C3401" s="20" t="s">
        <v>3468</v>
      </c>
      <c r="D3401" s="19" t="s">
        <v>121</v>
      </c>
      <c r="E3401" s="21">
        <f t="shared" si="155"/>
        <v>13.539999999999999</v>
      </c>
      <c r="F3401" s="22">
        <v>0</v>
      </c>
      <c r="G3401" s="21">
        <f t="shared" si="156"/>
        <v>13.199999999999999</v>
      </c>
      <c r="H3401" s="22">
        <v>0</v>
      </c>
      <c r="I3401" s="23" t="str">
        <f t="shared" si="157"/>
        <v xml:space="preserve">COM VALOR</v>
      </c>
      <c r="J3401" s="19"/>
      <c r="L3401" s="21">
        <v>13.539999999999999</v>
      </c>
      <c r="M3401" s="22">
        <v>0</v>
      </c>
      <c r="N3401" s="21">
        <v>13.199999999999999</v>
      </c>
      <c r="O3401" s="22">
        <v>0</v>
      </c>
    </row>
    <row r="3402" ht="51">
      <c r="A3402" t="s">
        <v>3434</v>
      </c>
      <c r="B3402" s="19">
        <v>102324</v>
      </c>
      <c r="C3402" s="20" t="s">
        <v>3469</v>
      </c>
      <c r="D3402" s="19" t="s">
        <v>121</v>
      </c>
      <c r="E3402" s="21">
        <f t="shared" si="155"/>
        <v>16.920000000000002</v>
      </c>
      <c r="F3402" s="22"/>
      <c r="G3402" s="21">
        <f t="shared" si="156"/>
        <v>16.5</v>
      </c>
      <c r="H3402" s="22"/>
      <c r="I3402" s="23" t="str">
        <f t="shared" si="157"/>
        <v xml:space="preserve">COM VALOR</v>
      </c>
      <c r="J3402" s="19"/>
      <c r="L3402" s="21">
        <v>16.920000000000002</v>
      </c>
      <c r="M3402" s="22">
        <v>0</v>
      </c>
      <c r="N3402" s="21">
        <v>16.5</v>
      </c>
      <c r="O3402" s="22">
        <v>0</v>
      </c>
    </row>
    <row r="3403" ht="51">
      <c r="A3403" t="s">
        <v>3434</v>
      </c>
      <c r="B3403" s="19">
        <v>102300</v>
      </c>
      <c r="C3403" s="20" t="s">
        <v>3470</v>
      </c>
      <c r="D3403" s="19" t="s">
        <v>121</v>
      </c>
      <c r="E3403" s="21">
        <f t="shared" ref="E3403:E3466" si="158">IF(L3403=0,"VERIFICAR",L3403)</f>
        <v>17.719999999999999</v>
      </c>
      <c r="F3403" s="22"/>
      <c r="G3403" s="21">
        <f t="shared" ref="G3403:G3466" si="159">IF(N3403=0,"VERIFICAR",N3403)</f>
        <v>17.27</v>
      </c>
      <c r="H3403" s="22"/>
      <c r="I3403" s="23" t="str">
        <f t="shared" ref="I3403:I3466" si="160">IF(OR(E3403=0,G3403=0),"SEM VALOR","COM VALOR")</f>
        <v xml:space="preserve">COM VALOR</v>
      </c>
      <c r="J3403" s="19"/>
      <c r="L3403" s="21">
        <v>17.719999999999999</v>
      </c>
      <c r="M3403" s="22">
        <v>0</v>
      </c>
      <c r="N3403" s="21">
        <v>17.27</v>
      </c>
      <c r="O3403" s="22">
        <v>0</v>
      </c>
    </row>
    <row r="3404" ht="51">
      <c r="A3404" t="s">
        <v>3434</v>
      </c>
      <c r="B3404" s="19">
        <v>90102</v>
      </c>
      <c r="C3404" s="20" t="s">
        <v>3471</v>
      </c>
      <c r="D3404" s="19" t="s">
        <v>121</v>
      </c>
      <c r="E3404" s="21">
        <f t="shared" si="158"/>
        <v>12.4</v>
      </c>
      <c r="F3404" s="22"/>
      <c r="G3404" s="21">
        <f t="shared" si="159"/>
        <v>12.08</v>
      </c>
      <c r="H3404" s="22"/>
      <c r="I3404" s="23" t="str">
        <f t="shared" si="160"/>
        <v xml:space="preserve">COM VALOR</v>
      </c>
      <c r="J3404" s="19"/>
      <c r="L3404" s="21">
        <v>12.4</v>
      </c>
      <c r="M3404" s="22">
        <v>0</v>
      </c>
      <c r="N3404" s="21">
        <v>12.08</v>
      </c>
      <c r="O3404" s="22">
        <v>0</v>
      </c>
    </row>
    <row r="3405" ht="63.75">
      <c r="A3405" t="s">
        <v>3434</v>
      </c>
      <c r="B3405" s="19">
        <v>102328</v>
      </c>
      <c r="C3405" s="20" t="s">
        <v>3472</v>
      </c>
      <c r="D3405" s="19" t="s">
        <v>121</v>
      </c>
      <c r="E3405" s="21">
        <f t="shared" si="158"/>
        <v>10.66</v>
      </c>
      <c r="F3405" s="22"/>
      <c r="G3405" s="21">
        <f t="shared" si="159"/>
        <v>10.390000000000001</v>
      </c>
      <c r="H3405" s="22"/>
      <c r="I3405" s="23" t="str">
        <f t="shared" si="160"/>
        <v xml:space="preserve">COM VALOR</v>
      </c>
      <c r="J3405" s="19"/>
      <c r="L3405" s="21">
        <v>10.66</v>
      </c>
      <c r="M3405" s="22">
        <v>0</v>
      </c>
      <c r="N3405" s="21">
        <v>10.390000000000001</v>
      </c>
      <c r="O3405" s="22">
        <v>0</v>
      </c>
    </row>
    <row r="3406" ht="51">
      <c r="A3406" t="s">
        <v>3434</v>
      </c>
      <c r="B3406" s="19">
        <v>102304</v>
      </c>
      <c r="C3406" s="20" t="s">
        <v>3473</v>
      </c>
      <c r="D3406" s="19" t="s">
        <v>121</v>
      </c>
      <c r="E3406" s="21">
        <f t="shared" si="158"/>
        <v>11.17</v>
      </c>
      <c r="F3406" s="22"/>
      <c r="G3406" s="21">
        <f t="shared" si="159"/>
        <v>10.869999999999999</v>
      </c>
      <c r="H3406" s="22"/>
      <c r="I3406" s="23" t="str">
        <f t="shared" si="160"/>
        <v xml:space="preserve">COM VALOR</v>
      </c>
      <c r="J3406" s="19"/>
      <c r="L3406" s="21">
        <v>11.17</v>
      </c>
      <c r="M3406" s="22">
        <v>0</v>
      </c>
      <c r="N3406" s="21">
        <v>10.869999999999999</v>
      </c>
      <c r="O3406" s="22">
        <v>0</v>
      </c>
    </row>
    <row r="3407" ht="51">
      <c r="A3407" t="s">
        <v>3434</v>
      </c>
      <c r="B3407" s="19">
        <v>102295</v>
      </c>
      <c r="C3407" s="20" t="s">
        <v>3474</v>
      </c>
      <c r="D3407" s="19" t="s">
        <v>121</v>
      </c>
      <c r="E3407" s="21">
        <f t="shared" si="158"/>
        <v>7.6200000000000001</v>
      </c>
      <c r="F3407" s="22"/>
      <c r="G3407" s="21">
        <f t="shared" si="159"/>
        <v>7.5</v>
      </c>
      <c r="H3407" s="22"/>
      <c r="I3407" s="23" t="str">
        <f t="shared" si="160"/>
        <v xml:space="preserve">COM VALOR</v>
      </c>
      <c r="J3407" s="19"/>
      <c r="L3407" s="21">
        <v>7.6200000000000001</v>
      </c>
      <c r="M3407" s="22">
        <v>0</v>
      </c>
      <c r="N3407" s="21">
        <v>7.5</v>
      </c>
      <c r="O3407" s="22">
        <v>0</v>
      </c>
    </row>
    <row r="3408" ht="51">
      <c r="A3408" t="s">
        <v>3434</v>
      </c>
      <c r="B3408" s="19">
        <v>102281</v>
      </c>
      <c r="C3408" s="20" t="s">
        <v>3475</v>
      </c>
      <c r="D3408" s="19" t="s">
        <v>121</v>
      </c>
      <c r="E3408" s="21">
        <f t="shared" si="158"/>
        <v>5.8300000000000001</v>
      </c>
      <c r="F3408" s="22">
        <v>0</v>
      </c>
      <c r="G3408" s="21">
        <f t="shared" si="159"/>
        <v>5.7199999999999998</v>
      </c>
      <c r="H3408" s="22">
        <v>0</v>
      </c>
      <c r="I3408" s="23" t="str">
        <f t="shared" si="160"/>
        <v xml:space="preserve">COM VALOR</v>
      </c>
      <c r="J3408" s="19"/>
      <c r="L3408" s="21">
        <v>5.8300000000000001</v>
      </c>
      <c r="M3408" s="22">
        <v>0</v>
      </c>
      <c r="N3408" s="21">
        <v>5.7199999999999998</v>
      </c>
      <c r="O3408" s="22">
        <v>0</v>
      </c>
    </row>
    <row r="3409" ht="51">
      <c r="A3409" t="s">
        <v>3434</v>
      </c>
      <c r="B3409" s="19">
        <v>102311</v>
      </c>
      <c r="C3409" s="20" t="s">
        <v>3476</v>
      </c>
      <c r="D3409" s="19" t="s">
        <v>121</v>
      </c>
      <c r="E3409" s="21">
        <f t="shared" si="158"/>
        <v>11.56</v>
      </c>
      <c r="F3409" s="22">
        <v>0</v>
      </c>
      <c r="G3409" s="21">
        <f t="shared" si="159"/>
        <v>11.380000000000001</v>
      </c>
      <c r="H3409" s="22">
        <v>0</v>
      </c>
      <c r="I3409" s="23" t="str">
        <f t="shared" si="160"/>
        <v xml:space="preserve">COM VALOR</v>
      </c>
      <c r="J3409" s="19"/>
      <c r="L3409" s="21">
        <v>11.56</v>
      </c>
      <c r="M3409" s="22">
        <v>0</v>
      </c>
      <c r="N3409" s="21">
        <v>11.380000000000001</v>
      </c>
      <c r="O3409" s="22">
        <v>0</v>
      </c>
    </row>
    <row r="3410" ht="51">
      <c r="A3410" t="s">
        <v>3434</v>
      </c>
      <c r="B3410" s="19">
        <v>102319</v>
      </c>
      <c r="C3410" s="20" t="s">
        <v>3477</v>
      </c>
      <c r="D3410" s="19" t="s">
        <v>121</v>
      </c>
      <c r="E3410" s="21">
        <f t="shared" si="158"/>
        <v>7.2699999999999996</v>
      </c>
      <c r="F3410" s="22">
        <v>0</v>
      </c>
      <c r="G3410" s="21">
        <f t="shared" si="159"/>
        <v>7.1600000000000001</v>
      </c>
      <c r="H3410" s="22">
        <v>0</v>
      </c>
      <c r="I3410" s="23" t="str">
        <f t="shared" si="160"/>
        <v xml:space="preserve">COM VALOR</v>
      </c>
      <c r="J3410" s="19"/>
      <c r="L3410" s="21">
        <v>7.2699999999999996</v>
      </c>
      <c r="M3410" s="22">
        <v>0</v>
      </c>
      <c r="N3410" s="21">
        <v>7.1600000000000001</v>
      </c>
      <c r="O3410" s="22">
        <v>0</v>
      </c>
    </row>
    <row r="3411" ht="51">
      <c r="A3411" t="s">
        <v>3434</v>
      </c>
      <c r="B3411" s="19">
        <v>102287</v>
      </c>
      <c r="C3411" s="20" t="s">
        <v>3478</v>
      </c>
      <c r="D3411" s="19" t="s">
        <v>121</v>
      </c>
      <c r="E3411" s="21">
        <f t="shared" si="158"/>
        <v>12.09</v>
      </c>
      <c r="F3411" s="22">
        <v>0</v>
      </c>
      <c r="G3411" s="21">
        <f t="shared" si="159"/>
        <v>11.91</v>
      </c>
      <c r="H3411" s="22">
        <v>0</v>
      </c>
      <c r="I3411" s="23" t="str">
        <f t="shared" si="160"/>
        <v xml:space="preserve">COM VALOR</v>
      </c>
      <c r="J3411" s="19"/>
      <c r="L3411" s="21">
        <v>12.09</v>
      </c>
      <c r="M3411" s="22">
        <v>0</v>
      </c>
      <c r="N3411" s="21">
        <v>11.91</v>
      </c>
      <c r="O3411" s="22">
        <v>0</v>
      </c>
    </row>
    <row r="3412" ht="51">
      <c r="A3412" t="s">
        <v>3434</v>
      </c>
      <c r="B3412" s="19">
        <v>102316</v>
      </c>
      <c r="C3412" s="20" t="s">
        <v>3479</v>
      </c>
      <c r="D3412" s="19" t="s">
        <v>121</v>
      </c>
      <c r="E3412" s="21">
        <f t="shared" si="158"/>
        <v>7.4800000000000004</v>
      </c>
      <c r="F3412" s="22">
        <v>0</v>
      </c>
      <c r="G3412" s="21">
        <f t="shared" si="159"/>
        <v>7.3499999999999996</v>
      </c>
      <c r="H3412" s="22">
        <v>0</v>
      </c>
      <c r="I3412" s="23" t="str">
        <f t="shared" si="160"/>
        <v xml:space="preserve">COM VALOR</v>
      </c>
      <c r="J3412" s="19"/>
      <c r="L3412" s="21">
        <v>7.4800000000000004</v>
      </c>
      <c r="M3412" s="22">
        <v>0</v>
      </c>
      <c r="N3412" s="21">
        <v>7.3499999999999996</v>
      </c>
      <c r="O3412" s="22">
        <v>0</v>
      </c>
    </row>
    <row r="3413" ht="51">
      <c r="A3413" t="s">
        <v>3434</v>
      </c>
      <c r="B3413" s="19">
        <v>102292</v>
      </c>
      <c r="C3413" s="20" t="s">
        <v>3480</v>
      </c>
      <c r="D3413" s="19" t="s">
        <v>121</v>
      </c>
      <c r="E3413" s="21">
        <f t="shared" si="158"/>
        <v>7.8300000000000001</v>
      </c>
      <c r="F3413" s="22">
        <v>0</v>
      </c>
      <c r="G3413" s="21">
        <f t="shared" si="159"/>
        <v>7.6900000000000004</v>
      </c>
      <c r="H3413" s="22">
        <v>0</v>
      </c>
      <c r="I3413" s="23" t="str">
        <f t="shared" si="160"/>
        <v xml:space="preserve">COM VALOR</v>
      </c>
      <c r="J3413" s="19"/>
      <c r="L3413" s="21">
        <v>7.8300000000000001</v>
      </c>
      <c r="M3413" s="22">
        <v>0</v>
      </c>
      <c r="N3413" s="21">
        <v>7.6900000000000004</v>
      </c>
      <c r="O3413" s="22">
        <v>0</v>
      </c>
    </row>
    <row r="3414" ht="51">
      <c r="A3414" t="s">
        <v>3434</v>
      </c>
      <c r="B3414" s="19">
        <v>90092</v>
      </c>
      <c r="C3414" s="20" t="s">
        <v>3481</v>
      </c>
      <c r="D3414" s="19" t="s">
        <v>121</v>
      </c>
      <c r="E3414" s="21">
        <f t="shared" si="158"/>
        <v>5.9900000000000002</v>
      </c>
      <c r="F3414" s="22">
        <v>0</v>
      </c>
      <c r="G3414" s="21">
        <f t="shared" si="159"/>
        <v>5.8799999999999999</v>
      </c>
      <c r="H3414" s="22">
        <v>0</v>
      </c>
      <c r="I3414" s="23" t="str">
        <f t="shared" si="160"/>
        <v xml:space="preserve">COM VALOR</v>
      </c>
      <c r="J3414" s="19"/>
      <c r="L3414" s="21">
        <v>5.9900000000000002</v>
      </c>
      <c r="M3414" s="22">
        <v>0</v>
      </c>
      <c r="N3414" s="21">
        <v>5.8799999999999999</v>
      </c>
      <c r="O3414" s="22">
        <v>0</v>
      </c>
    </row>
    <row r="3415" ht="51">
      <c r="A3415" t="s">
        <v>3434</v>
      </c>
      <c r="B3415" s="19">
        <v>102278</v>
      </c>
      <c r="C3415" s="20" t="s">
        <v>3482</v>
      </c>
      <c r="D3415" s="19" t="s">
        <v>121</v>
      </c>
      <c r="E3415" s="21">
        <f t="shared" si="158"/>
        <v>9.2400000000000002</v>
      </c>
      <c r="F3415" s="22">
        <v>0</v>
      </c>
      <c r="G3415" s="21">
        <f t="shared" si="159"/>
        <v>9.0999999999999996</v>
      </c>
      <c r="H3415" s="22">
        <v>0</v>
      </c>
      <c r="I3415" s="23" t="str">
        <f t="shared" si="160"/>
        <v xml:space="preserve">COM VALOR</v>
      </c>
      <c r="J3415" s="19"/>
      <c r="L3415" s="21">
        <v>9.2400000000000002</v>
      </c>
      <c r="M3415" s="22">
        <v>0</v>
      </c>
      <c r="N3415" s="21">
        <v>9.0999999999999996</v>
      </c>
      <c r="O3415" s="22">
        <v>0</v>
      </c>
    </row>
    <row r="3416" ht="51">
      <c r="A3416" t="s">
        <v>3434</v>
      </c>
      <c r="B3416" s="19">
        <v>90094</v>
      </c>
      <c r="C3416" s="20" t="s">
        <v>3483</v>
      </c>
      <c r="D3416" s="19" t="s">
        <v>121</v>
      </c>
      <c r="E3416" s="21">
        <f t="shared" si="158"/>
        <v>5.6600000000000001</v>
      </c>
      <c r="F3416" s="22">
        <v>0</v>
      </c>
      <c r="G3416" s="21">
        <f t="shared" si="159"/>
        <v>5.5599999999999996</v>
      </c>
      <c r="H3416" s="22">
        <v>0</v>
      </c>
      <c r="I3416" s="23" t="str">
        <f t="shared" si="160"/>
        <v xml:space="preserve">COM VALOR</v>
      </c>
      <c r="J3416" s="19"/>
      <c r="L3416" s="21">
        <v>5.6600000000000001</v>
      </c>
      <c r="M3416" s="22">
        <v>0</v>
      </c>
      <c r="N3416" s="21">
        <v>5.5599999999999996</v>
      </c>
      <c r="O3416" s="22">
        <v>0</v>
      </c>
    </row>
    <row r="3417" ht="51">
      <c r="A3417" t="s">
        <v>3434</v>
      </c>
      <c r="B3417" s="19">
        <v>102309</v>
      </c>
      <c r="C3417" s="20" t="s">
        <v>3484</v>
      </c>
      <c r="D3417" s="19" t="s">
        <v>121</v>
      </c>
      <c r="E3417" s="21">
        <f t="shared" si="158"/>
        <v>11.24</v>
      </c>
      <c r="F3417" s="22">
        <v>0</v>
      </c>
      <c r="G3417" s="21">
        <f t="shared" si="159"/>
        <v>11.039999999999999</v>
      </c>
      <c r="H3417" s="22">
        <v>0</v>
      </c>
      <c r="I3417" s="23" t="str">
        <f t="shared" si="160"/>
        <v xml:space="preserve">COM VALOR</v>
      </c>
      <c r="J3417" s="19"/>
      <c r="L3417" s="21">
        <v>11.24</v>
      </c>
      <c r="M3417" s="22">
        <v>0</v>
      </c>
      <c r="N3417" s="21">
        <v>11.039999999999999</v>
      </c>
      <c r="O3417" s="22">
        <v>0</v>
      </c>
    </row>
    <row r="3418" ht="51">
      <c r="A3418" t="s">
        <v>3434</v>
      </c>
      <c r="B3418" s="19">
        <v>102285</v>
      </c>
      <c r="C3418" s="20" t="s">
        <v>3485</v>
      </c>
      <c r="D3418" s="19" t="s">
        <v>121</v>
      </c>
      <c r="E3418" s="21">
        <f t="shared" si="158"/>
        <v>11.76</v>
      </c>
      <c r="F3418" s="22">
        <v>0</v>
      </c>
      <c r="G3418" s="21">
        <f t="shared" si="159"/>
        <v>11.550000000000001</v>
      </c>
      <c r="H3418" s="22">
        <v>0</v>
      </c>
      <c r="I3418" s="23" t="str">
        <f t="shared" si="160"/>
        <v xml:space="preserve">COM VALOR</v>
      </c>
      <c r="J3418" s="19"/>
      <c r="L3418" s="21">
        <v>11.76</v>
      </c>
      <c r="M3418" s="22">
        <v>0</v>
      </c>
      <c r="N3418" s="21">
        <v>11.550000000000001</v>
      </c>
      <c r="O3418" s="22">
        <v>0</v>
      </c>
    </row>
    <row r="3419" ht="51">
      <c r="A3419" t="s">
        <v>3434</v>
      </c>
      <c r="B3419" s="19">
        <v>90095</v>
      </c>
      <c r="C3419" s="20" t="s">
        <v>3486</v>
      </c>
      <c r="D3419" s="19" t="s">
        <v>121</v>
      </c>
      <c r="E3419" s="21">
        <f t="shared" si="158"/>
        <v>5.5899999999999999</v>
      </c>
      <c r="F3419" s="22">
        <v>0</v>
      </c>
      <c r="G3419" s="21">
        <f t="shared" si="159"/>
        <v>5.5099999999999998</v>
      </c>
      <c r="H3419" s="22">
        <v>0</v>
      </c>
      <c r="I3419" s="23" t="str">
        <f t="shared" si="160"/>
        <v xml:space="preserve">COM VALOR</v>
      </c>
      <c r="J3419" s="19"/>
      <c r="L3419" s="21">
        <v>5.5899999999999999</v>
      </c>
      <c r="M3419" s="22">
        <v>0</v>
      </c>
      <c r="N3419" s="21">
        <v>5.5099999999999998</v>
      </c>
      <c r="O3419" s="22">
        <v>0</v>
      </c>
    </row>
    <row r="3420" ht="51">
      <c r="A3420" t="s">
        <v>3434</v>
      </c>
      <c r="B3420" s="19">
        <v>102320</v>
      </c>
      <c r="C3420" s="20" t="s">
        <v>3487</v>
      </c>
      <c r="D3420" s="19" t="s">
        <v>121</v>
      </c>
      <c r="E3420" s="21">
        <f t="shared" si="158"/>
        <v>7</v>
      </c>
      <c r="F3420" s="22"/>
      <c r="G3420" s="21">
        <f t="shared" si="159"/>
        <v>6.8899999999999997</v>
      </c>
      <c r="H3420" s="22"/>
      <c r="I3420" s="23" t="str">
        <f t="shared" si="160"/>
        <v xml:space="preserve">COM VALOR</v>
      </c>
      <c r="J3420" s="19"/>
      <c r="L3420" s="21">
        <v>7</v>
      </c>
      <c r="M3420" s="22">
        <v>0</v>
      </c>
      <c r="N3420" s="21">
        <v>6.8899999999999997</v>
      </c>
      <c r="O3420" s="22">
        <v>0</v>
      </c>
    </row>
    <row r="3421" ht="51">
      <c r="A3421" t="s">
        <v>3434</v>
      </c>
      <c r="B3421" s="19">
        <v>102296</v>
      </c>
      <c r="C3421" s="20" t="s">
        <v>3488</v>
      </c>
      <c r="D3421" s="19" t="s">
        <v>121</v>
      </c>
      <c r="E3421" s="21">
        <f t="shared" si="158"/>
        <v>7.3300000000000001</v>
      </c>
      <c r="F3421" s="22"/>
      <c r="G3421" s="21">
        <f t="shared" si="159"/>
        <v>7.21</v>
      </c>
      <c r="H3421" s="22"/>
      <c r="I3421" s="23" t="str">
        <f t="shared" si="160"/>
        <v xml:space="preserve">COM VALOR</v>
      </c>
      <c r="J3421" s="19"/>
      <c r="L3421" s="21">
        <v>7.3300000000000001</v>
      </c>
      <c r="M3421" s="22">
        <v>0</v>
      </c>
      <c r="N3421" s="21">
        <v>7.21</v>
      </c>
      <c r="O3421" s="22">
        <v>0</v>
      </c>
    </row>
    <row r="3422" ht="51">
      <c r="A3422" t="s">
        <v>3434</v>
      </c>
      <c r="B3422" s="19">
        <v>90086</v>
      </c>
      <c r="C3422" s="20" t="s">
        <v>3489</v>
      </c>
      <c r="D3422" s="19" t="s">
        <v>121</v>
      </c>
      <c r="E3422" s="21">
        <f t="shared" si="158"/>
        <v>8.9900000000000002</v>
      </c>
      <c r="F3422" s="22">
        <v>0</v>
      </c>
      <c r="G3422" s="21">
        <f t="shared" si="159"/>
        <v>8.8300000000000001</v>
      </c>
      <c r="H3422" s="22">
        <v>0</v>
      </c>
      <c r="I3422" s="23" t="str">
        <f t="shared" si="160"/>
        <v xml:space="preserve">COM VALOR</v>
      </c>
      <c r="J3422" s="19"/>
      <c r="L3422" s="21">
        <v>8.9900000000000002</v>
      </c>
      <c r="M3422" s="22">
        <v>0</v>
      </c>
      <c r="N3422" s="21">
        <v>8.8300000000000001</v>
      </c>
      <c r="O3422" s="22">
        <v>0</v>
      </c>
    </row>
    <row r="3423" ht="51">
      <c r="A3423" t="s">
        <v>3434</v>
      </c>
      <c r="B3423" s="19">
        <v>102277</v>
      </c>
      <c r="C3423" s="20" t="s">
        <v>3490</v>
      </c>
      <c r="D3423" s="19" t="s">
        <v>121</v>
      </c>
      <c r="E3423" s="21">
        <f t="shared" si="158"/>
        <v>8.7300000000000004</v>
      </c>
      <c r="F3423" s="22"/>
      <c r="G3423" s="21">
        <f t="shared" si="159"/>
        <v>8.5800000000000001</v>
      </c>
      <c r="H3423" s="22"/>
      <c r="I3423" s="23" t="str">
        <f t="shared" si="160"/>
        <v xml:space="preserve">COM VALOR</v>
      </c>
      <c r="J3423" s="19"/>
      <c r="L3423" s="21">
        <v>8.7300000000000004</v>
      </c>
      <c r="M3423" s="22">
        <v>0</v>
      </c>
      <c r="N3423" s="21">
        <v>8.5800000000000001</v>
      </c>
      <c r="O3423" s="22">
        <v>0</v>
      </c>
    </row>
    <row r="3424" ht="51">
      <c r="A3424" t="s">
        <v>3434</v>
      </c>
      <c r="B3424" s="19">
        <v>102286</v>
      </c>
      <c r="C3424" s="20" t="s">
        <v>3491</v>
      </c>
      <c r="D3424" s="19" t="s">
        <v>121</v>
      </c>
      <c r="E3424" s="21">
        <f t="shared" si="158"/>
        <v>11.42</v>
      </c>
      <c r="F3424" s="22">
        <v>0</v>
      </c>
      <c r="G3424" s="21">
        <f t="shared" si="159"/>
        <v>11.220000000000001</v>
      </c>
      <c r="H3424" s="22">
        <v>0</v>
      </c>
      <c r="I3424" s="23" t="str">
        <f t="shared" si="160"/>
        <v xml:space="preserve">COM VALOR</v>
      </c>
      <c r="J3424" s="19"/>
      <c r="L3424" s="21">
        <v>11.42</v>
      </c>
      <c r="M3424" s="22">
        <v>0</v>
      </c>
      <c r="N3424" s="21">
        <v>11.220000000000001</v>
      </c>
      <c r="O3424" s="22">
        <v>0</v>
      </c>
    </row>
    <row r="3425" ht="51">
      <c r="A3425" t="s">
        <v>3434</v>
      </c>
      <c r="B3425" s="19">
        <v>90098</v>
      </c>
      <c r="C3425" s="20" t="s">
        <v>3492</v>
      </c>
      <c r="D3425" s="19" t="s">
        <v>121</v>
      </c>
      <c r="E3425" s="21">
        <f t="shared" si="158"/>
        <v>5.4800000000000004</v>
      </c>
      <c r="F3425" s="22">
        <v>0</v>
      </c>
      <c r="G3425" s="21">
        <f t="shared" si="159"/>
        <v>5.4000000000000004</v>
      </c>
      <c r="H3425" s="22">
        <v>0</v>
      </c>
      <c r="I3425" s="23" t="str">
        <f t="shared" si="160"/>
        <v xml:space="preserve">COM VALOR</v>
      </c>
      <c r="J3425" s="19"/>
      <c r="L3425" s="21">
        <v>5.4800000000000004</v>
      </c>
      <c r="M3425" s="22">
        <v>0</v>
      </c>
      <c r="N3425" s="21">
        <v>5.4000000000000004</v>
      </c>
      <c r="O3425" s="22">
        <v>0</v>
      </c>
    </row>
    <row r="3426" ht="51">
      <c r="A3426" t="s">
        <v>3434</v>
      </c>
      <c r="B3426" s="19">
        <v>102313</v>
      </c>
      <c r="C3426" s="20" t="s">
        <v>3493</v>
      </c>
      <c r="D3426" s="19" t="s">
        <v>121</v>
      </c>
      <c r="E3426" s="21">
        <f t="shared" si="158"/>
        <v>10.890000000000001</v>
      </c>
      <c r="F3426" s="22"/>
      <c r="G3426" s="21">
        <f t="shared" si="159"/>
        <v>10.720000000000001</v>
      </c>
      <c r="H3426" s="22"/>
      <c r="I3426" s="23" t="str">
        <f t="shared" si="160"/>
        <v xml:space="preserve">COM VALOR</v>
      </c>
      <c r="J3426" s="19"/>
      <c r="L3426" s="21">
        <v>10.890000000000001</v>
      </c>
      <c r="M3426" s="22">
        <v>0</v>
      </c>
      <c r="N3426" s="21">
        <v>10.720000000000001</v>
      </c>
      <c r="O3426" s="22">
        <v>0</v>
      </c>
    </row>
    <row r="3427" ht="51">
      <c r="A3427" t="s">
        <v>3434</v>
      </c>
      <c r="B3427" s="19">
        <v>102321</v>
      </c>
      <c r="C3427" s="20" t="s">
        <v>3494</v>
      </c>
      <c r="D3427" s="19" t="s">
        <v>121</v>
      </c>
      <c r="E3427" s="21">
        <f t="shared" si="158"/>
        <v>6.8600000000000003</v>
      </c>
      <c r="F3427" s="22"/>
      <c r="G3427" s="21">
        <f t="shared" si="159"/>
        <v>6.7599999999999998</v>
      </c>
      <c r="H3427" s="22"/>
      <c r="I3427" s="23" t="str">
        <f t="shared" si="160"/>
        <v xml:space="preserve">COM VALOR</v>
      </c>
      <c r="J3427" s="19"/>
      <c r="L3427" s="21">
        <v>6.8600000000000003</v>
      </c>
      <c r="M3427" s="22">
        <v>0</v>
      </c>
      <c r="N3427" s="21">
        <v>6.7599999999999998</v>
      </c>
      <c r="O3427" s="22">
        <v>0</v>
      </c>
    </row>
    <row r="3428" ht="51">
      <c r="A3428" t="s">
        <v>3434</v>
      </c>
      <c r="B3428" s="19">
        <v>102289</v>
      </c>
      <c r="C3428" s="20" t="s">
        <v>3495</v>
      </c>
      <c r="D3428" s="19" t="s">
        <v>121</v>
      </c>
      <c r="E3428" s="21">
        <f t="shared" si="158"/>
        <v>11.4</v>
      </c>
      <c r="F3428" s="22"/>
      <c r="G3428" s="21">
        <f t="shared" si="159"/>
        <v>11.220000000000001</v>
      </c>
      <c r="H3428" s="22"/>
      <c r="I3428" s="23" t="str">
        <f t="shared" si="160"/>
        <v xml:space="preserve">COM VALOR</v>
      </c>
      <c r="J3428" s="19"/>
      <c r="L3428" s="21">
        <v>11.4</v>
      </c>
      <c r="M3428" s="22">
        <v>0</v>
      </c>
      <c r="N3428" s="21">
        <v>11.220000000000001</v>
      </c>
      <c r="O3428" s="22">
        <v>0</v>
      </c>
    </row>
    <row r="3429" ht="51">
      <c r="A3429" t="s">
        <v>3434</v>
      </c>
      <c r="B3429" s="19">
        <v>102297</v>
      </c>
      <c r="C3429" s="20" t="s">
        <v>3496</v>
      </c>
      <c r="D3429" s="19" t="s">
        <v>121</v>
      </c>
      <c r="E3429" s="21">
        <f t="shared" si="158"/>
        <v>7.1799999999999997</v>
      </c>
      <c r="F3429" s="22">
        <v>0.91000000000000003</v>
      </c>
      <c r="G3429" s="21">
        <f t="shared" si="159"/>
        <v>7.0700000000000003</v>
      </c>
      <c r="H3429" s="22">
        <v>0.92000000000000004</v>
      </c>
      <c r="I3429" s="23" t="str">
        <f t="shared" si="160"/>
        <v xml:space="preserve">COM VALOR</v>
      </c>
      <c r="J3429" s="19"/>
      <c r="L3429" s="21">
        <v>7.1799999999999997</v>
      </c>
      <c r="M3429" s="22">
        <v>0</v>
      </c>
      <c r="N3429" s="21">
        <v>7.0700000000000003</v>
      </c>
      <c r="O3429" s="22">
        <v>0</v>
      </c>
    </row>
    <row r="3430" ht="51">
      <c r="A3430" t="s">
        <v>3434</v>
      </c>
      <c r="B3430" s="19">
        <v>102280</v>
      </c>
      <c r="C3430" s="20" t="s">
        <v>3497</v>
      </c>
      <c r="D3430" s="19" t="s">
        <v>121</v>
      </c>
      <c r="E3430" s="21">
        <f t="shared" si="158"/>
        <v>5.5</v>
      </c>
      <c r="F3430" s="22">
        <v>0</v>
      </c>
      <c r="G3430" s="21">
        <f t="shared" si="159"/>
        <v>5.3899999999999997</v>
      </c>
      <c r="H3430" s="22">
        <v>0</v>
      </c>
      <c r="I3430" s="23" t="str">
        <f t="shared" si="160"/>
        <v xml:space="preserve">COM VALOR</v>
      </c>
      <c r="J3430" s="19"/>
      <c r="L3430" s="21">
        <v>5.5</v>
      </c>
      <c r="M3430" s="22">
        <v>0</v>
      </c>
      <c r="N3430" s="21">
        <v>5.3899999999999997</v>
      </c>
      <c r="O3430" s="22">
        <v>0</v>
      </c>
    </row>
    <row r="3431" ht="51">
      <c r="A3431" t="s">
        <v>3434</v>
      </c>
      <c r="B3431" s="19">
        <v>102294</v>
      </c>
      <c r="C3431" s="20" t="s">
        <v>3498</v>
      </c>
      <c r="D3431" s="19" t="s">
        <v>121</v>
      </c>
      <c r="E3431" s="21">
        <f t="shared" si="158"/>
        <v>7.2000000000000002</v>
      </c>
      <c r="F3431" s="22"/>
      <c r="G3431" s="21">
        <f t="shared" si="159"/>
        <v>7.0700000000000003</v>
      </c>
      <c r="H3431" s="22"/>
      <c r="I3431" s="23" t="str">
        <f t="shared" si="160"/>
        <v xml:space="preserve">COM VALOR</v>
      </c>
      <c r="J3431" s="19"/>
      <c r="L3431" s="21">
        <v>7.2000000000000002</v>
      </c>
      <c r="M3431" s="22">
        <v>0</v>
      </c>
      <c r="N3431" s="21">
        <v>7.0700000000000003</v>
      </c>
      <c r="O3431" s="22">
        <v>0</v>
      </c>
    </row>
    <row r="3432" ht="51">
      <c r="A3432" t="s">
        <v>3434</v>
      </c>
      <c r="B3432" s="19">
        <v>90090</v>
      </c>
      <c r="C3432" s="20" t="s">
        <v>3499</v>
      </c>
      <c r="D3432" s="19" t="s">
        <v>121</v>
      </c>
      <c r="E3432" s="21">
        <f t="shared" si="158"/>
        <v>8.6999999999999993</v>
      </c>
      <c r="F3432" s="22"/>
      <c r="G3432" s="21">
        <f t="shared" si="159"/>
        <v>8.5700000000000003</v>
      </c>
      <c r="H3432" s="22"/>
      <c r="I3432" s="23" t="str">
        <f t="shared" si="160"/>
        <v xml:space="preserve">COM VALOR</v>
      </c>
      <c r="J3432" s="19"/>
      <c r="L3432" s="21">
        <v>8.6999999999999993</v>
      </c>
      <c r="M3432" s="22">
        <v>0</v>
      </c>
      <c r="N3432" s="21">
        <v>8.5700000000000003</v>
      </c>
      <c r="O3432" s="22">
        <v>0</v>
      </c>
    </row>
    <row r="3433" ht="51">
      <c r="A3433" t="s">
        <v>3434</v>
      </c>
      <c r="B3433" s="19">
        <v>102317</v>
      </c>
      <c r="C3433" s="20" t="s">
        <v>3500</v>
      </c>
      <c r="D3433" s="19" t="s">
        <v>121</v>
      </c>
      <c r="E3433" s="21">
        <f t="shared" si="158"/>
        <v>7.0700000000000003</v>
      </c>
      <c r="F3433" s="22">
        <v>0</v>
      </c>
      <c r="G3433" s="21">
        <f t="shared" si="159"/>
        <v>6.96</v>
      </c>
      <c r="H3433" s="22">
        <v>0</v>
      </c>
      <c r="I3433" s="23" t="str">
        <f t="shared" si="160"/>
        <v xml:space="preserve">COM VALOR</v>
      </c>
      <c r="J3433" s="19"/>
      <c r="L3433" s="21">
        <v>7.0700000000000003</v>
      </c>
      <c r="M3433" s="22">
        <v>0</v>
      </c>
      <c r="N3433" s="21">
        <v>6.96</v>
      </c>
      <c r="O3433" s="22">
        <v>0</v>
      </c>
    </row>
    <row r="3434" ht="51">
      <c r="A3434" t="s">
        <v>3434</v>
      </c>
      <c r="B3434" s="19">
        <v>102293</v>
      </c>
      <c r="C3434" s="20" t="s">
        <v>3501</v>
      </c>
      <c r="D3434" s="19" t="s">
        <v>121</v>
      </c>
      <c r="E3434" s="21">
        <f t="shared" si="158"/>
        <v>7.4000000000000004</v>
      </c>
      <c r="F3434" s="22"/>
      <c r="G3434" s="21">
        <f t="shared" si="159"/>
        <v>7.2800000000000002</v>
      </c>
      <c r="H3434" s="22"/>
      <c r="I3434" s="23" t="str">
        <f t="shared" si="160"/>
        <v xml:space="preserve">COM VALOR</v>
      </c>
      <c r="J3434" s="19"/>
      <c r="L3434" s="21">
        <v>7.4000000000000004</v>
      </c>
      <c r="M3434" s="22">
        <v>0</v>
      </c>
      <c r="N3434" s="21">
        <v>7.2800000000000002</v>
      </c>
      <c r="O3434" s="22">
        <v>0</v>
      </c>
    </row>
    <row r="3435" ht="51">
      <c r="A3435" t="s">
        <v>3434</v>
      </c>
      <c r="B3435" s="19">
        <v>102310</v>
      </c>
      <c r="C3435" s="20" t="s">
        <v>3502</v>
      </c>
      <c r="D3435" s="19" t="s">
        <v>121</v>
      </c>
      <c r="E3435" s="21">
        <f t="shared" si="158"/>
        <v>10.92</v>
      </c>
      <c r="F3435" s="22">
        <v>0</v>
      </c>
      <c r="G3435" s="21">
        <f t="shared" si="159"/>
        <v>10.73</v>
      </c>
      <c r="H3435" s="22">
        <v>0</v>
      </c>
      <c r="I3435" s="23" t="str">
        <f t="shared" si="160"/>
        <v xml:space="preserve">COM VALOR</v>
      </c>
      <c r="J3435" s="19"/>
      <c r="L3435" s="21">
        <v>10.92</v>
      </c>
      <c r="M3435" s="22">
        <v>0</v>
      </c>
      <c r="N3435" s="21">
        <v>10.73</v>
      </c>
      <c r="O3435" s="22">
        <v>0</v>
      </c>
    </row>
    <row r="3436" ht="63.75">
      <c r="A3436" t="s">
        <v>3434</v>
      </c>
      <c r="B3436" s="19">
        <v>102318</v>
      </c>
      <c r="C3436" s="20" t="s">
        <v>3503</v>
      </c>
      <c r="D3436" s="19" t="s">
        <v>121</v>
      </c>
      <c r="E3436" s="21">
        <f t="shared" si="158"/>
        <v>6.8799999999999999</v>
      </c>
      <c r="F3436" s="22">
        <v>0</v>
      </c>
      <c r="G3436" s="21">
        <f t="shared" si="159"/>
        <v>6.75</v>
      </c>
      <c r="H3436" s="22">
        <v>0</v>
      </c>
      <c r="I3436" s="23" t="str">
        <f t="shared" si="160"/>
        <v xml:space="preserve">COM VALOR</v>
      </c>
      <c r="J3436" s="19"/>
      <c r="L3436" s="21">
        <v>6.8799999999999999</v>
      </c>
      <c r="M3436" s="22">
        <v>0</v>
      </c>
      <c r="N3436" s="21">
        <v>6.75</v>
      </c>
      <c r="O3436" s="22">
        <v>0</v>
      </c>
    </row>
    <row r="3437" ht="51">
      <c r="A3437" t="s">
        <v>3434</v>
      </c>
      <c r="B3437" s="19">
        <v>90106</v>
      </c>
      <c r="C3437" s="20" t="s">
        <v>3504</v>
      </c>
      <c r="D3437" s="19" t="s">
        <v>121</v>
      </c>
      <c r="E3437" s="21">
        <f t="shared" si="158"/>
        <v>8.6300000000000008</v>
      </c>
      <c r="F3437" s="22">
        <v>0</v>
      </c>
      <c r="G3437" s="21">
        <f t="shared" si="159"/>
        <v>8.4100000000000001</v>
      </c>
      <c r="H3437" s="22">
        <v>0</v>
      </c>
      <c r="I3437" s="23" t="str">
        <f t="shared" si="160"/>
        <v xml:space="preserve">COM VALOR</v>
      </c>
      <c r="J3437" s="19"/>
      <c r="L3437" s="21">
        <v>8.6300000000000008</v>
      </c>
      <c r="M3437" s="22">
        <v>0</v>
      </c>
      <c r="N3437" s="21">
        <v>8.4100000000000001</v>
      </c>
      <c r="O3437" s="22">
        <v>0</v>
      </c>
    </row>
    <row r="3438" ht="51">
      <c r="A3438" t="s">
        <v>3434</v>
      </c>
      <c r="B3438" s="19">
        <v>90105</v>
      </c>
      <c r="C3438" s="20" t="s">
        <v>3505</v>
      </c>
      <c r="D3438" s="19" t="s">
        <v>121</v>
      </c>
      <c r="E3438" s="21">
        <f t="shared" si="158"/>
        <v>9.4800000000000004</v>
      </c>
      <c r="F3438" s="22">
        <v>0</v>
      </c>
      <c r="G3438" s="21">
        <f t="shared" si="159"/>
        <v>9.2400000000000002</v>
      </c>
      <c r="H3438" s="22">
        <v>0</v>
      </c>
      <c r="I3438" s="23" t="str">
        <f t="shared" si="160"/>
        <v xml:space="preserve">COM VALOR</v>
      </c>
      <c r="J3438" s="19"/>
      <c r="L3438" s="21">
        <v>9.4800000000000004</v>
      </c>
      <c r="M3438" s="22">
        <v>0</v>
      </c>
      <c r="N3438" s="21">
        <v>9.2400000000000002</v>
      </c>
      <c r="O3438" s="22">
        <v>0</v>
      </c>
    </row>
    <row r="3439" ht="63.75">
      <c r="A3439" t="s">
        <v>3434</v>
      </c>
      <c r="B3439" s="19">
        <v>90108</v>
      </c>
      <c r="C3439" s="20" t="s">
        <v>3506</v>
      </c>
      <c r="D3439" s="19" t="s">
        <v>121</v>
      </c>
      <c r="E3439" s="21">
        <f t="shared" si="158"/>
        <v>7.8099999999999996</v>
      </c>
      <c r="F3439" s="22">
        <v>0</v>
      </c>
      <c r="G3439" s="21">
        <f t="shared" si="159"/>
        <v>7.6100000000000003</v>
      </c>
      <c r="H3439" s="22">
        <v>0</v>
      </c>
      <c r="I3439" s="23" t="str">
        <f t="shared" si="160"/>
        <v xml:space="preserve">COM VALOR</v>
      </c>
      <c r="J3439" s="19"/>
      <c r="L3439" s="21">
        <v>7.8099999999999996</v>
      </c>
      <c r="M3439" s="22">
        <v>0</v>
      </c>
      <c r="N3439" s="21">
        <v>7.6100000000000003</v>
      </c>
      <c r="O3439" s="22">
        <v>0</v>
      </c>
    </row>
    <row r="3440" ht="63.75">
      <c r="A3440" t="s">
        <v>3434</v>
      </c>
      <c r="B3440" s="19">
        <v>90107</v>
      </c>
      <c r="C3440" s="20" t="s">
        <v>3507</v>
      </c>
      <c r="D3440" s="19" t="s">
        <v>121</v>
      </c>
      <c r="E3440" s="21">
        <f t="shared" si="158"/>
        <v>8.5299999999999994</v>
      </c>
      <c r="F3440" s="22"/>
      <c r="G3440" s="21">
        <f t="shared" si="159"/>
        <v>8.3200000000000003</v>
      </c>
      <c r="H3440" s="22"/>
      <c r="I3440" s="23" t="str">
        <f t="shared" si="160"/>
        <v xml:space="preserve">COM VALOR</v>
      </c>
      <c r="J3440" s="19"/>
      <c r="L3440" s="21">
        <v>8.5299999999999994</v>
      </c>
      <c r="M3440" s="22">
        <v>0</v>
      </c>
      <c r="N3440" s="21">
        <v>8.3200000000000003</v>
      </c>
      <c r="O3440" s="22">
        <v>0</v>
      </c>
    </row>
    <row r="3441" ht="38.25">
      <c r="A3441" t="s">
        <v>3508</v>
      </c>
      <c r="B3441" s="19">
        <v>102354</v>
      </c>
      <c r="C3441" s="20" t="s">
        <v>3509</v>
      </c>
      <c r="D3441" s="19" t="s">
        <v>121</v>
      </c>
      <c r="E3441" s="21">
        <f t="shared" si="158"/>
        <v>167.05000000000001</v>
      </c>
      <c r="F3441" s="22">
        <v>0</v>
      </c>
      <c r="G3441" s="21">
        <f t="shared" si="159"/>
        <v>163.05000000000001</v>
      </c>
      <c r="H3441" s="22">
        <v>0</v>
      </c>
      <c r="I3441" s="23" t="str">
        <f t="shared" si="160"/>
        <v xml:space="preserve">COM VALOR</v>
      </c>
      <c r="J3441" s="19"/>
      <c r="L3441" s="21">
        <v>167.05000000000001</v>
      </c>
      <c r="M3441" s="22">
        <v>0.14999999999999999</v>
      </c>
      <c r="N3441" s="21">
        <v>163.05000000000001</v>
      </c>
      <c r="O3441" s="22">
        <v>0.16</v>
      </c>
    </row>
    <row r="3442" ht="38.25">
      <c r="A3442" t="s">
        <v>3508</v>
      </c>
      <c r="B3442" s="19">
        <v>102355</v>
      </c>
      <c r="C3442" s="20" t="s">
        <v>3510</v>
      </c>
      <c r="D3442" s="19" t="s">
        <v>121</v>
      </c>
      <c r="E3442" s="21">
        <f t="shared" si="158"/>
        <v>195.69</v>
      </c>
      <c r="F3442" s="22"/>
      <c r="G3442" s="21">
        <f t="shared" si="159"/>
        <v>190.34999999999999</v>
      </c>
      <c r="H3442" s="22"/>
      <c r="I3442" s="23" t="str">
        <f t="shared" si="160"/>
        <v xml:space="preserve">COM VALOR</v>
      </c>
      <c r="J3442" s="19"/>
      <c r="L3442" s="21">
        <v>195.69</v>
      </c>
      <c r="M3442" s="22">
        <v>0.16</v>
      </c>
      <c r="N3442" s="21">
        <v>190.34999999999999</v>
      </c>
      <c r="O3442" s="22">
        <v>0.16</v>
      </c>
    </row>
    <row r="3443" ht="25.5">
      <c r="A3443" t="s">
        <v>3508</v>
      </c>
      <c r="B3443" s="19">
        <v>102356</v>
      </c>
      <c r="C3443" s="20" t="s">
        <v>3511</v>
      </c>
      <c r="D3443" s="19" t="s">
        <v>121</v>
      </c>
      <c r="E3443" s="21" t="str">
        <f t="shared" si="158"/>
        <v>VERIFICAR</v>
      </c>
      <c r="F3443" s="22">
        <v>0</v>
      </c>
      <c r="G3443" s="21" t="str">
        <f t="shared" si="159"/>
        <v>VERIFICAR</v>
      </c>
      <c r="H3443" s="22">
        <v>0</v>
      </c>
      <c r="I3443" s="23" t="str">
        <f t="shared" si="160"/>
        <v xml:space="preserve">COM VALOR</v>
      </c>
      <c r="J3443" s="19"/>
      <c r="L3443" s="21">
        <v>0</v>
      </c>
      <c r="M3443" s="22"/>
      <c r="N3443" s="21">
        <v>0</v>
      </c>
      <c r="O3443" s="22"/>
    </row>
    <row r="3444" ht="38.25">
      <c r="A3444" t="s">
        <v>3508</v>
      </c>
      <c r="B3444" s="19">
        <v>102357</v>
      </c>
      <c r="C3444" s="20" t="s">
        <v>3512</v>
      </c>
      <c r="D3444" s="19" t="s">
        <v>121</v>
      </c>
      <c r="E3444" s="21" t="str">
        <f t="shared" si="158"/>
        <v>VERIFICAR</v>
      </c>
      <c r="F3444" s="22">
        <v>0</v>
      </c>
      <c r="G3444" s="21" t="str">
        <f t="shared" si="159"/>
        <v>VERIFICAR</v>
      </c>
      <c r="H3444" s="22">
        <v>0</v>
      </c>
      <c r="I3444" s="23" t="str">
        <f t="shared" si="160"/>
        <v xml:space="preserve">COM VALOR</v>
      </c>
      <c r="J3444" s="19"/>
      <c r="L3444" s="21">
        <v>0</v>
      </c>
      <c r="M3444" s="22"/>
      <c r="N3444" s="21">
        <v>0</v>
      </c>
      <c r="O3444" s="22"/>
    </row>
    <row r="3445" ht="38.25">
      <c r="A3445" t="s">
        <v>3508</v>
      </c>
      <c r="B3445" s="19">
        <v>102358</v>
      </c>
      <c r="C3445" s="20" t="s">
        <v>3513</v>
      </c>
      <c r="D3445" s="19" t="s">
        <v>121</v>
      </c>
      <c r="E3445" s="21" t="str">
        <f t="shared" si="158"/>
        <v>VERIFICAR</v>
      </c>
      <c r="F3445" s="22"/>
      <c r="G3445" s="21" t="str">
        <f t="shared" si="159"/>
        <v>VERIFICAR</v>
      </c>
      <c r="H3445" s="22"/>
      <c r="I3445" s="23" t="str">
        <f t="shared" si="160"/>
        <v xml:space="preserve">COM VALOR</v>
      </c>
      <c r="J3445" s="19"/>
      <c r="L3445" s="21">
        <v>0</v>
      </c>
      <c r="M3445" s="22"/>
      <c r="N3445" s="21">
        <v>0</v>
      </c>
      <c r="O3445" s="22"/>
    </row>
    <row r="3446" ht="38.25">
      <c r="A3446" t="s">
        <v>3508</v>
      </c>
      <c r="B3446" s="19">
        <v>102359</v>
      </c>
      <c r="C3446" s="20" t="s">
        <v>3514</v>
      </c>
      <c r="D3446" s="19" t="s">
        <v>121</v>
      </c>
      <c r="E3446" s="21" t="str">
        <f t="shared" si="158"/>
        <v>VERIFICAR</v>
      </c>
      <c r="F3446" s="22">
        <v>0</v>
      </c>
      <c r="G3446" s="21" t="str">
        <f t="shared" si="159"/>
        <v>VERIFICAR</v>
      </c>
      <c r="H3446" s="22">
        <v>0</v>
      </c>
      <c r="I3446" s="23" t="str">
        <f t="shared" si="160"/>
        <v xml:space="preserve">COM VALOR</v>
      </c>
      <c r="J3446" s="19"/>
      <c r="L3446" s="21">
        <v>0</v>
      </c>
      <c r="M3446" s="22"/>
      <c r="N3446" s="21">
        <v>0</v>
      </c>
      <c r="O3446" s="22"/>
    </row>
    <row r="3447" ht="51">
      <c r="A3447" t="s">
        <v>3508</v>
      </c>
      <c r="B3447" s="19">
        <v>102348</v>
      </c>
      <c r="C3447" s="20" t="s">
        <v>3515</v>
      </c>
      <c r="D3447" s="19" t="s">
        <v>121</v>
      </c>
      <c r="E3447" s="21" t="str">
        <f t="shared" si="158"/>
        <v>VERIFICAR</v>
      </c>
      <c r="F3447" s="22"/>
      <c r="G3447" s="21" t="str">
        <f t="shared" si="159"/>
        <v>VERIFICAR</v>
      </c>
      <c r="H3447" s="22"/>
      <c r="I3447" s="23" t="str">
        <f t="shared" si="160"/>
        <v xml:space="preserve">COM VALOR</v>
      </c>
      <c r="J3447" s="19"/>
      <c r="L3447" s="21">
        <v>0</v>
      </c>
      <c r="M3447" s="22"/>
      <c r="N3447" s="21">
        <v>0</v>
      </c>
      <c r="O3447" s="22"/>
    </row>
    <row r="3448" ht="51">
      <c r="A3448" t="s">
        <v>3508</v>
      </c>
      <c r="B3448" s="19">
        <v>102346</v>
      </c>
      <c r="C3448" s="20" t="s">
        <v>3516</v>
      </c>
      <c r="D3448" s="19" t="s">
        <v>121</v>
      </c>
      <c r="E3448" s="21" t="str">
        <f t="shared" si="158"/>
        <v>VERIFICAR</v>
      </c>
      <c r="F3448" s="22"/>
      <c r="G3448" s="21" t="str">
        <f t="shared" si="159"/>
        <v>VERIFICAR</v>
      </c>
      <c r="H3448" s="22"/>
      <c r="I3448" s="23" t="str">
        <f t="shared" si="160"/>
        <v xml:space="preserve">COM VALOR</v>
      </c>
      <c r="J3448" s="19"/>
      <c r="L3448" s="21">
        <v>0</v>
      </c>
      <c r="M3448" s="22"/>
      <c r="N3448" s="21">
        <v>0</v>
      </c>
      <c r="O3448" s="22"/>
    </row>
    <row r="3449" ht="51">
      <c r="A3449" t="s">
        <v>3508</v>
      </c>
      <c r="B3449" s="19">
        <v>102347</v>
      </c>
      <c r="C3449" s="20" t="s">
        <v>3517</v>
      </c>
      <c r="D3449" s="19" t="s">
        <v>121</v>
      </c>
      <c r="E3449" s="21" t="str">
        <f t="shared" si="158"/>
        <v>VERIFICAR</v>
      </c>
      <c r="F3449" s="22">
        <v>0.91000000000000003</v>
      </c>
      <c r="G3449" s="21" t="str">
        <f t="shared" si="159"/>
        <v>VERIFICAR</v>
      </c>
      <c r="H3449" s="22">
        <v>0.92000000000000004</v>
      </c>
      <c r="I3449" s="23" t="str">
        <f t="shared" si="160"/>
        <v xml:space="preserve">COM VALOR</v>
      </c>
      <c r="J3449" s="19"/>
      <c r="L3449" s="21">
        <v>0</v>
      </c>
      <c r="M3449" s="22"/>
      <c r="N3449" s="21">
        <v>0</v>
      </c>
      <c r="O3449" s="22"/>
    </row>
    <row r="3450" ht="51">
      <c r="A3450" t="s">
        <v>3508</v>
      </c>
      <c r="B3450" s="19">
        <v>102350</v>
      </c>
      <c r="C3450" s="20" t="s">
        <v>3518</v>
      </c>
      <c r="D3450" s="19" t="s">
        <v>121</v>
      </c>
      <c r="E3450" s="21" t="str">
        <f t="shared" si="158"/>
        <v>VERIFICAR</v>
      </c>
      <c r="F3450" s="22">
        <v>0.81000000000000005</v>
      </c>
      <c r="G3450" s="21" t="str">
        <f t="shared" si="159"/>
        <v>VERIFICAR</v>
      </c>
      <c r="H3450" s="22">
        <v>0.81999999999999995</v>
      </c>
      <c r="I3450" s="23" t="str">
        <f t="shared" si="160"/>
        <v xml:space="preserve">COM VALOR</v>
      </c>
      <c r="J3450" s="19"/>
      <c r="L3450" s="21">
        <v>0</v>
      </c>
      <c r="M3450" s="22"/>
      <c r="N3450" s="21">
        <v>0</v>
      </c>
      <c r="O3450" s="22"/>
    </row>
    <row r="3451" ht="51">
      <c r="A3451" t="s">
        <v>3508</v>
      </c>
      <c r="B3451" s="19">
        <v>102351</v>
      </c>
      <c r="C3451" s="20" t="s">
        <v>3519</v>
      </c>
      <c r="D3451" s="19" t="s">
        <v>121</v>
      </c>
      <c r="E3451" s="21" t="str">
        <f t="shared" si="158"/>
        <v>VERIFICAR</v>
      </c>
      <c r="F3451" s="22">
        <v>0.71999999999999997</v>
      </c>
      <c r="G3451" s="21" t="str">
        <f t="shared" si="159"/>
        <v>VERIFICAR</v>
      </c>
      <c r="H3451" s="22">
        <v>0.73999999999999999</v>
      </c>
      <c r="I3451" s="23" t="str">
        <f t="shared" si="160"/>
        <v xml:space="preserve">COM VALOR</v>
      </c>
      <c r="J3451" s="19"/>
      <c r="L3451" s="21">
        <v>0</v>
      </c>
      <c r="M3451" s="22"/>
      <c r="N3451" s="21">
        <v>0</v>
      </c>
      <c r="O3451" s="22"/>
    </row>
    <row r="3452" ht="51">
      <c r="A3452" t="s">
        <v>3508</v>
      </c>
      <c r="B3452" s="19">
        <v>102352</v>
      </c>
      <c r="C3452" s="20" t="s">
        <v>3520</v>
      </c>
      <c r="D3452" s="19" t="s">
        <v>121</v>
      </c>
      <c r="E3452" s="21" t="str">
        <f t="shared" si="158"/>
        <v>VERIFICAR</v>
      </c>
      <c r="F3452" s="22">
        <v>0.73999999999999999</v>
      </c>
      <c r="G3452" s="21" t="str">
        <f t="shared" si="159"/>
        <v>VERIFICAR</v>
      </c>
      <c r="H3452" s="22">
        <v>0.75</v>
      </c>
      <c r="I3452" s="23" t="str">
        <f t="shared" si="160"/>
        <v xml:space="preserve">COM VALOR</v>
      </c>
      <c r="J3452" s="19"/>
      <c r="L3452" s="21">
        <v>0</v>
      </c>
      <c r="M3452" s="22"/>
      <c r="N3452" s="21">
        <v>0</v>
      </c>
      <c r="O3452" s="22"/>
    </row>
    <row r="3453" ht="51">
      <c r="A3453" t="s">
        <v>3508</v>
      </c>
      <c r="B3453" s="19">
        <v>102353</v>
      </c>
      <c r="C3453" s="20" t="s">
        <v>3521</v>
      </c>
      <c r="D3453" s="19" t="s">
        <v>121</v>
      </c>
      <c r="E3453" s="21" t="str">
        <f t="shared" si="158"/>
        <v>VERIFICAR</v>
      </c>
      <c r="F3453" s="22">
        <v>0.87</v>
      </c>
      <c r="G3453" s="21" t="str">
        <f t="shared" si="159"/>
        <v>VERIFICAR</v>
      </c>
      <c r="H3453" s="22">
        <v>0.88</v>
      </c>
      <c r="I3453" s="23" t="str">
        <f t="shared" si="160"/>
        <v xml:space="preserve">COM VALOR</v>
      </c>
      <c r="J3453" s="19"/>
      <c r="L3453" s="21">
        <v>0</v>
      </c>
      <c r="M3453" s="22"/>
      <c r="N3453" s="21">
        <v>0</v>
      </c>
      <c r="O3453" s="22"/>
    </row>
    <row r="3454" ht="51">
      <c r="A3454" t="s">
        <v>3508</v>
      </c>
      <c r="B3454" s="19">
        <v>102349</v>
      </c>
      <c r="C3454" s="20" t="s">
        <v>3522</v>
      </c>
      <c r="D3454" s="19" t="s">
        <v>121</v>
      </c>
      <c r="E3454" s="21" t="str">
        <f t="shared" si="158"/>
        <v>VERIFICAR</v>
      </c>
      <c r="F3454" s="22">
        <v>0.81999999999999995</v>
      </c>
      <c r="G3454" s="21" t="str">
        <f t="shared" si="159"/>
        <v>VERIFICAR</v>
      </c>
      <c r="H3454" s="22">
        <v>0.82999999999999996</v>
      </c>
      <c r="I3454" s="23" t="str">
        <f t="shared" si="160"/>
        <v xml:space="preserve">COM VALOR</v>
      </c>
      <c r="J3454" s="19"/>
      <c r="L3454" s="21">
        <v>0</v>
      </c>
      <c r="M3454" s="22"/>
      <c r="N3454" s="21">
        <v>0</v>
      </c>
      <c r="O3454" s="22"/>
    </row>
    <row r="3455" ht="38.25">
      <c r="A3455" t="s">
        <v>3508</v>
      </c>
      <c r="B3455" s="19">
        <v>102360</v>
      </c>
      <c r="C3455" s="20" t="s">
        <v>3523</v>
      </c>
      <c r="D3455" s="19" t="s">
        <v>121</v>
      </c>
      <c r="E3455" s="21">
        <f t="shared" si="158"/>
        <v>25.02</v>
      </c>
      <c r="F3455" s="22"/>
      <c r="G3455" s="21">
        <f t="shared" si="159"/>
        <v>24.510000000000002</v>
      </c>
      <c r="H3455" s="22"/>
      <c r="I3455" s="23" t="str">
        <f t="shared" si="160"/>
        <v xml:space="preserve">COM VALOR</v>
      </c>
      <c r="J3455" s="19"/>
      <c r="L3455" s="21">
        <v>25.02</v>
      </c>
      <c r="M3455" s="22">
        <v>0</v>
      </c>
      <c r="N3455" s="21">
        <v>24.510000000000002</v>
      </c>
      <c r="O3455" s="22">
        <v>0</v>
      </c>
    </row>
    <row r="3456" ht="38.25">
      <c r="A3456" t="s">
        <v>3508</v>
      </c>
      <c r="B3456" s="19">
        <v>102361</v>
      </c>
      <c r="C3456" s="20" t="s">
        <v>3524</v>
      </c>
      <c r="D3456" s="19" t="s">
        <v>121</v>
      </c>
      <c r="E3456" s="21">
        <f t="shared" si="158"/>
        <v>39.020000000000003</v>
      </c>
      <c r="F3456" s="22">
        <v>0.90000000000000002</v>
      </c>
      <c r="G3456" s="21">
        <f t="shared" si="159"/>
        <v>37.93</v>
      </c>
      <c r="H3456" s="22">
        <v>0.90000000000000002</v>
      </c>
      <c r="I3456" s="23" t="str">
        <f t="shared" si="160"/>
        <v xml:space="preserve">COM VALOR</v>
      </c>
      <c r="J3456" s="19"/>
      <c r="L3456" s="21">
        <v>39.020000000000003</v>
      </c>
      <c r="M3456" s="22">
        <v>0</v>
      </c>
      <c r="N3456" s="21">
        <v>37.93</v>
      </c>
      <c r="O3456" s="22">
        <v>0</v>
      </c>
    </row>
    <row r="3457" ht="38.25">
      <c r="A3457" t="s">
        <v>3525</v>
      </c>
      <c r="B3457" s="19">
        <v>101595</v>
      </c>
      <c r="C3457" s="20" t="s">
        <v>3526</v>
      </c>
      <c r="D3457" s="19" t="s">
        <v>29</v>
      </c>
      <c r="E3457" s="21" t="str">
        <f t="shared" si="158"/>
        <v>VERIFICAR</v>
      </c>
      <c r="F3457" s="22">
        <v>0.85999999999999999</v>
      </c>
      <c r="G3457" s="21" t="str">
        <f t="shared" si="159"/>
        <v>VERIFICAR</v>
      </c>
      <c r="H3457" s="22">
        <v>0.87</v>
      </c>
      <c r="I3457" s="23" t="str">
        <f t="shared" si="160"/>
        <v xml:space="preserve">COM VALOR</v>
      </c>
      <c r="J3457" s="19"/>
      <c r="L3457" s="21">
        <v>0</v>
      </c>
      <c r="M3457" s="22"/>
      <c r="N3457" s="21">
        <v>0</v>
      </c>
      <c r="O3457" s="22"/>
    </row>
    <row r="3458" ht="38.25">
      <c r="A3458" t="s">
        <v>3525</v>
      </c>
      <c r="B3458" s="19">
        <v>101601</v>
      </c>
      <c r="C3458" s="20" t="s">
        <v>3527</v>
      </c>
      <c r="D3458" s="19" t="s">
        <v>29</v>
      </c>
      <c r="E3458" s="21">
        <f t="shared" si="158"/>
        <v>23.449999999999999</v>
      </c>
      <c r="F3458" s="22">
        <v>0.65000000000000002</v>
      </c>
      <c r="G3458" s="21">
        <f t="shared" si="159"/>
        <v>22.789999999999999</v>
      </c>
      <c r="H3458" s="22">
        <v>0.65000000000000002</v>
      </c>
      <c r="I3458" s="23" t="str">
        <f t="shared" si="160"/>
        <v xml:space="preserve">COM VALOR</v>
      </c>
      <c r="J3458" s="19"/>
      <c r="L3458" s="21">
        <v>23.449999999999999</v>
      </c>
      <c r="M3458" s="22">
        <v>0</v>
      </c>
      <c r="N3458" s="21">
        <v>22.789999999999999</v>
      </c>
      <c r="O3458" s="22">
        <v>0</v>
      </c>
    </row>
    <row r="3459" ht="38.25">
      <c r="A3459" t="s">
        <v>3525</v>
      </c>
      <c r="B3459" s="19">
        <v>101594</v>
      </c>
      <c r="C3459" s="20" t="s">
        <v>3528</v>
      </c>
      <c r="D3459" s="19" t="s">
        <v>29</v>
      </c>
      <c r="E3459" s="21" t="str">
        <f t="shared" si="158"/>
        <v>VERIFICAR</v>
      </c>
      <c r="F3459" s="22">
        <v>0.83999999999999997</v>
      </c>
      <c r="G3459" s="21" t="str">
        <f t="shared" si="159"/>
        <v>VERIFICAR</v>
      </c>
      <c r="H3459" s="22">
        <v>0.84999999999999998</v>
      </c>
      <c r="I3459" s="23" t="str">
        <f t="shared" si="160"/>
        <v xml:space="preserve">COM VALOR</v>
      </c>
      <c r="J3459" s="19"/>
      <c r="L3459" s="21">
        <v>0</v>
      </c>
      <c r="M3459" s="22"/>
      <c r="N3459" s="21">
        <v>0</v>
      </c>
      <c r="O3459" s="22"/>
    </row>
    <row r="3460" ht="38.25">
      <c r="A3460" t="s">
        <v>3525</v>
      </c>
      <c r="B3460" s="19">
        <v>101600</v>
      </c>
      <c r="C3460" s="20" t="s">
        <v>3529</v>
      </c>
      <c r="D3460" s="19" t="s">
        <v>29</v>
      </c>
      <c r="E3460" s="21">
        <f t="shared" si="158"/>
        <v>16.539999999999999</v>
      </c>
      <c r="F3460" s="22">
        <v>0.78000000000000003</v>
      </c>
      <c r="G3460" s="21">
        <f t="shared" si="159"/>
        <v>16.079999999999998</v>
      </c>
      <c r="H3460" s="22">
        <v>0.79000000000000004</v>
      </c>
      <c r="I3460" s="23" t="str">
        <f t="shared" si="160"/>
        <v xml:space="preserve">COM VALOR</v>
      </c>
      <c r="J3460" s="19"/>
      <c r="L3460" s="21">
        <v>16.539999999999999</v>
      </c>
      <c r="M3460" s="22">
        <v>0</v>
      </c>
      <c r="N3460" s="21">
        <v>16.079999999999998</v>
      </c>
      <c r="O3460" s="22">
        <v>0</v>
      </c>
    </row>
    <row r="3461" ht="38.25">
      <c r="A3461" t="s">
        <v>3525</v>
      </c>
      <c r="B3461" s="19">
        <v>101597</v>
      </c>
      <c r="C3461" s="20" t="s">
        <v>3530</v>
      </c>
      <c r="D3461" s="19" t="s">
        <v>29</v>
      </c>
      <c r="E3461" s="21" t="str">
        <f t="shared" si="158"/>
        <v>VERIFICAR</v>
      </c>
      <c r="F3461" s="22"/>
      <c r="G3461" s="21" t="str">
        <f t="shared" si="159"/>
        <v>VERIFICAR</v>
      </c>
      <c r="H3461" s="22"/>
      <c r="I3461" s="23" t="str">
        <f t="shared" si="160"/>
        <v xml:space="preserve">COM VALOR</v>
      </c>
      <c r="J3461" s="19"/>
      <c r="L3461" s="21">
        <v>0</v>
      </c>
      <c r="M3461" s="22"/>
      <c r="N3461" s="21">
        <v>0</v>
      </c>
      <c r="O3461" s="22"/>
    </row>
    <row r="3462" ht="38.25">
      <c r="A3462" t="s">
        <v>3525</v>
      </c>
      <c r="B3462" s="19">
        <v>101603</v>
      </c>
      <c r="C3462" s="20" t="s">
        <v>3531</v>
      </c>
      <c r="D3462" s="19" t="s">
        <v>29</v>
      </c>
      <c r="E3462" s="21">
        <f t="shared" si="158"/>
        <v>19.57</v>
      </c>
      <c r="F3462" s="22"/>
      <c r="G3462" s="21">
        <f t="shared" si="159"/>
        <v>19.02</v>
      </c>
      <c r="H3462" s="22"/>
      <c r="I3462" s="23" t="str">
        <f t="shared" si="160"/>
        <v xml:space="preserve">COM VALOR</v>
      </c>
      <c r="J3462" s="19"/>
      <c r="L3462" s="21">
        <v>19.57</v>
      </c>
      <c r="M3462" s="22">
        <v>0</v>
      </c>
      <c r="N3462" s="21">
        <v>19.02</v>
      </c>
      <c r="O3462" s="22">
        <v>0</v>
      </c>
    </row>
    <row r="3463" ht="38.25">
      <c r="A3463" t="s">
        <v>3525</v>
      </c>
      <c r="B3463" s="19">
        <v>101596</v>
      </c>
      <c r="C3463" s="20" t="s">
        <v>3532</v>
      </c>
      <c r="D3463" s="19" t="s">
        <v>29</v>
      </c>
      <c r="E3463" s="21" t="str">
        <f t="shared" si="158"/>
        <v>VERIFICAR</v>
      </c>
      <c r="F3463" s="22"/>
      <c r="G3463" s="21" t="str">
        <f t="shared" si="159"/>
        <v>VERIFICAR</v>
      </c>
      <c r="H3463" s="22"/>
      <c r="I3463" s="23" t="str">
        <f t="shared" si="160"/>
        <v xml:space="preserve">COM VALOR</v>
      </c>
      <c r="J3463" s="19"/>
      <c r="L3463" s="21">
        <v>0</v>
      </c>
      <c r="M3463" s="22"/>
      <c r="N3463" s="21">
        <v>0</v>
      </c>
      <c r="O3463" s="22"/>
    </row>
    <row r="3464" ht="38.25">
      <c r="A3464" t="s">
        <v>3525</v>
      </c>
      <c r="B3464" s="19">
        <v>101602</v>
      </c>
      <c r="C3464" s="20" t="s">
        <v>3533</v>
      </c>
      <c r="D3464" s="19" t="s">
        <v>29</v>
      </c>
      <c r="E3464" s="21">
        <f t="shared" si="158"/>
        <v>12.66</v>
      </c>
      <c r="F3464" s="22">
        <v>0</v>
      </c>
      <c r="G3464" s="21">
        <f t="shared" si="159"/>
        <v>12.31</v>
      </c>
      <c r="H3464" s="22">
        <v>0</v>
      </c>
      <c r="I3464" s="23" t="str">
        <f t="shared" si="160"/>
        <v xml:space="preserve">COM VALOR</v>
      </c>
      <c r="J3464" s="19"/>
      <c r="L3464" s="21">
        <v>12.66</v>
      </c>
      <c r="M3464" s="22">
        <v>0</v>
      </c>
      <c r="N3464" s="21">
        <v>12.31</v>
      </c>
      <c r="O3464" s="22">
        <v>0</v>
      </c>
    </row>
    <row r="3465" ht="38.25">
      <c r="A3465" t="s">
        <v>3525</v>
      </c>
      <c r="B3465" s="19">
        <v>101599</v>
      </c>
      <c r="C3465" s="20" t="s">
        <v>3534</v>
      </c>
      <c r="D3465" s="19" t="s">
        <v>29</v>
      </c>
      <c r="E3465" s="21" t="str">
        <f t="shared" si="158"/>
        <v>VERIFICAR</v>
      </c>
      <c r="F3465" s="22">
        <v>0</v>
      </c>
      <c r="G3465" s="21" t="str">
        <f t="shared" si="159"/>
        <v>VERIFICAR</v>
      </c>
      <c r="H3465" s="22">
        <v>0</v>
      </c>
      <c r="I3465" s="23" t="str">
        <f t="shared" si="160"/>
        <v xml:space="preserve">COM VALOR</v>
      </c>
      <c r="J3465" s="19"/>
      <c r="L3465" s="21">
        <v>0</v>
      </c>
      <c r="M3465" s="22"/>
      <c r="N3465" s="21">
        <v>0</v>
      </c>
      <c r="O3465" s="22"/>
    </row>
    <row r="3466" ht="38.25">
      <c r="A3466" t="s">
        <v>3525</v>
      </c>
      <c r="B3466" s="19">
        <v>101605</v>
      </c>
      <c r="C3466" s="20" t="s">
        <v>3535</v>
      </c>
      <c r="D3466" s="19" t="s">
        <v>29</v>
      </c>
      <c r="E3466" s="21">
        <f t="shared" si="158"/>
        <v>15.73</v>
      </c>
      <c r="F3466" s="22"/>
      <c r="G3466" s="21">
        <f t="shared" si="159"/>
        <v>15.279999999999999</v>
      </c>
      <c r="H3466" s="22"/>
      <c r="I3466" s="23" t="str">
        <f t="shared" si="160"/>
        <v xml:space="preserve">COM VALOR</v>
      </c>
      <c r="J3466" s="19"/>
      <c r="L3466" s="21">
        <v>15.73</v>
      </c>
      <c r="M3466" s="22">
        <v>0</v>
      </c>
      <c r="N3466" s="21">
        <v>15.279999999999999</v>
      </c>
      <c r="O3466" s="22">
        <v>0</v>
      </c>
    </row>
    <row r="3467" ht="38.25">
      <c r="A3467" t="s">
        <v>3525</v>
      </c>
      <c r="B3467" s="19">
        <v>101598</v>
      </c>
      <c r="C3467" s="20" t="s">
        <v>3536</v>
      </c>
      <c r="D3467" s="19" t="s">
        <v>29</v>
      </c>
      <c r="E3467" s="21" t="str">
        <f t="shared" ref="E3467:E3530" si="161">IF(L3467=0,"VERIFICAR",L3467)</f>
        <v>VERIFICAR</v>
      </c>
      <c r="F3467" s="22">
        <v>0</v>
      </c>
      <c r="G3467" s="21" t="str">
        <f t="shared" ref="G3467:G3530" si="162">IF(N3467=0,"VERIFICAR",N3467)</f>
        <v>VERIFICAR</v>
      </c>
      <c r="H3467" s="22">
        <v>0</v>
      </c>
      <c r="I3467" s="23" t="str">
        <f t="shared" ref="I3467:I3530" si="163">IF(OR(E3467=0,G3467=0),"SEM VALOR","COM VALOR")</f>
        <v xml:space="preserve">COM VALOR</v>
      </c>
      <c r="J3467" s="19"/>
      <c r="L3467" s="21">
        <v>0</v>
      </c>
      <c r="M3467" s="22"/>
      <c r="N3467" s="21">
        <v>0</v>
      </c>
      <c r="O3467" s="22"/>
    </row>
    <row r="3468" ht="38.25">
      <c r="A3468" t="s">
        <v>3525</v>
      </c>
      <c r="B3468" s="19">
        <v>101604</v>
      </c>
      <c r="C3468" s="20" t="s">
        <v>3537</v>
      </c>
      <c r="D3468" s="19" t="s">
        <v>29</v>
      </c>
      <c r="E3468" s="21">
        <f t="shared" si="161"/>
        <v>8.8000000000000007</v>
      </c>
      <c r="F3468" s="22">
        <v>0</v>
      </c>
      <c r="G3468" s="21">
        <f t="shared" si="162"/>
        <v>8.5600000000000005</v>
      </c>
      <c r="H3468" s="22">
        <v>0</v>
      </c>
      <c r="I3468" s="23" t="str">
        <f t="shared" si="163"/>
        <v xml:space="preserve">COM VALOR</v>
      </c>
      <c r="J3468" s="19"/>
      <c r="L3468" s="21">
        <v>8.8000000000000007</v>
      </c>
      <c r="M3468" s="22">
        <v>0</v>
      </c>
      <c r="N3468" s="21">
        <v>8.5600000000000005</v>
      </c>
      <c r="O3468" s="22">
        <v>0</v>
      </c>
    </row>
    <row r="3469" ht="38.25">
      <c r="A3469" t="s">
        <v>3525</v>
      </c>
      <c r="B3469" s="19">
        <v>101588</v>
      </c>
      <c r="C3469" s="20" t="s">
        <v>3538</v>
      </c>
      <c r="D3469" s="19" t="s">
        <v>29</v>
      </c>
      <c r="E3469" s="21">
        <f t="shared" si="161"/>
        <v>107.09999999999999</v>
      </c>
      <c r="F3469" s="22">
        <v>1.e-002</v>
      </c>
      <c r="G3469" s="21">
        <f t="shared" si="162"/>
        <v>104.25</v>
      </c>
      <c r="H3469" s="22">
        <v>1.e-002</v>
      </c>
      <c r="I3469" s="23" t="str">
        <f t="shared" si="163"/>
        <v xml:space="preserve">COM VALOR</v>
      </c>
      <c r="J3469" s="19"/>
      <c r="L3469" s="21">
        <v>107.09999999999999</v>
      </c>
      <c r="M3469" s="22">
        <v>0</v>
      </c>
      <c r="N3469" s="21">
        <v>104.25</v>
      </c>
      <c r="O3469" s="22">
        <v>0</v>
      </c>
    </row>
    <row r="3470" ht="38.25">
      <c r="A3470" t="s">
        <v>3525</v>
      </c>
      <c r="B3470" s="19">
        <v>101591</v>
      </c>
      <c r="C3470" s="20" t="s">
        <v>3539</v>
      </c>
      <c r="D3470" s="19" t="s">
        <v>29</v>
      </c>
      <c r="E3470" s="21">
        <f t="shared" si="161"/>
        <v>126.33</v>
      </c>
      <c r="F3470" s="22">
        <v>0</v>
      </c>
      <c r="G3470" s="21">
        <f t="shared" si="162"/>
        <v>122.97</v>
      </c>
      <c r="H3470" s="22">
        <v>0</v>
      </c>
      <c r="I3470" s="23" t="str">
        <f t="shared" si="163"/>
        <v xml:space="preserve">COM VALOR</v>
      </c>
      <c r="J3470" s="19"/>
      <c r="L3470" s="21">
        <v>126.33</v>
      </c>
      <c r="M3470" s="22">
        <v>0</v>
      </c>
      <c r="N3470" s="21">
        <v>122.97</v>
      </c>
      <c r="O3470" s="22">
        <v>0</v>
      </c>
    </row>
    <row r="3471" ht="38.25">
      <c r="A3471" t="s">
        <v>3525</v>
      </c>
      <c r="B3471" s="19">
        <v>101590</v>
      </c>
      <c r="C3471" s="20" t="s">
        <v>3540</v>
      </c>
      <c r="D3471" s="19" t="s">
        <v>29</v>
      </c>
      <c r="E3471" s="21">
        <f t="shared" si="161"/>
        <v>83.640000000000001</v>
      </c>
      <c r="F3471" s="22">
        <v>0</v>
      </c>
      <c r="G3471" s="21">
        <f t="shared" si="162"/>
        <v>81.459999999999994</v>
      </c>
      <c r="H3471" s="22">
        <v>0</v>
      </c>
      <c r="I3471" s="23" t="str">
        <f t="shared" si="163"/>
        <v xml:space="preserve">COM VALOR</v>
      </c>
      <c r="J3471" s="19"/>
      <c r="L3471" s="21">
        <v>83.640000000000001</v>
      </c>
      <c r="M3471" s="22">
        <v>0</v>
      </c>
      <c r="N3471" s="21">
        <v>81.459999999999994</v>
      </c>
      <c r="O3471" s="22">
        <v>0</v>
      </c>
    </row>
    <row r="3472" ht="38.25">
      <c r="A3472" t="s">
        <v>3525</v>
      </c>
      <c r="B3472" s="19">
        <v>101593</v>
      </c>
      <c r="C3472" s="20" t="s">
        <v>3541</v>
      </c>
      <c r="D3472" s="19" t="s">
        <v>29</v>
      </c>
      <c r="E3472" s="21">
        <f t="shared" si="161"/>
        <v>105.42</v>
      </c>
      <c r="F3472" s="22">
        <v>0</v>
      </c>
      <c r="G3472" s="21">
        <f t="shared" si="162"/>
        <v>102.73999999999999</v>
      </c>
      <c r="H3472" s="22">
        <v>0</v>
      </c>
      <c r="I3472" s="23" t="str">
        <f t="shared" si="163"/>
        <v xml:space="preserve">COM VALOR</v>
      </c>
      <c r="J3472" s="19"/>
      <c r="L3472" s="21">
        <v>105.42</v>
      </c>
      <c r="M3472" s="22">
        <v>0</v>
      </c>
      <c r="N3472" s="21">
        <v>102.73999999999999</v>
      </c>
      <c r="O3472" s="22">
        <v>0</v>
      </c>
    </row>
    <row r="3473" ht="38.25">
      <c r="A3473" t="s">
        <v>3525</v>
      </c>
      <c r="B3473" s="19">
        <v>101592</v>
      </c>
      <c r="C3473" s="20" t="s">
        <v>3542</v>
      </c>
      <c r="D3473" s="19" t="s">
        <v>29</v>
      </c>
      <c r="E3473" s="21">
        <f t="shared" si="161"/>
        <v>62.43</v>
      </c>
      <c r="F3473" s="22">
        <v>0</v>
      </c>
      <c r="G3473" s="21">
        <f t="shared" si="162"/>
        <v>60.920000000000002</v>
      </c>
      <c r="H3473" s="22">
        <v>0</v>
      </c>
      <c r="I3473" s="23" t="str">
        <f t="shared" si="163"/>
        <v xml:space="preserve">COM VALOR</v>
      </c>
      <c r="J3473" s="19"/>
      <c r="L3473" s="21">
        <v>62.43</v>
      </c>
      <c r="M3473" s="22">
        <v>0</v>
      </c>
      <c r="N3473" s="21">
        <v>60.920000000000002</v>
      </c>
      <c r="O3473" s="22">
        <v>0</v>
      </c>
    </row>
    <row r="3474" ht="38.25">
      <c r="A3474" t="s">
        <v>3525</v>
      </c>
      <c r="B3474" s="19">
        <v>101583</v>
      </c>
      <c r="C3474" s="20" t="s">
        <v>3543</v>
      </c>
      <c r="D3474" s="19" t="s">
        <v>29</v>
      </c>
      <c r="E3474" s="21">
        <f t="shared" si="161"/>
        <v>88.299999999999997</v>
      </c>
      <c r="F3474" s="22">
        <v>0</v>
      </c>
      <c r="G3474" s="21">
        <f t="shared" si="162"/>
        <v>85.430000000000007</v>
      </c>
      <c r="H3474" s="22">
        <v>0</v>
      </c>
      <c r="I3474" s="23" t="str">
        <f t="shared" si="163"/>
        <v xml:space="preserve">COM VALOR</v>
      </c>
      <c r="J3474" s="19"/>
      <c r="L3474" s="21">
        <v>88.299999999999997</v>
      </c>
      <c r="M3474" s="22">
        <v>0</v>
      </c>
      <c r="N3474" s="21">
        <v>85.430000000000007</v>
      </c>
      <c r="O3474" s="22">
        <v>0</v>
      </c>
    </row>
    <row r="3475" ht="25.5">
      <c r="A3475" t="s">
        <v>3525</v>
      </c>
      <c r="B3475" s="19">
        <v>101582</v>
      </c>
      <c r="C3475" s="20" t="s">
        <v>3544</v>
      </c>
      <c r="D3475" s="19" t="s">
        <v>29</v>
      </c>
      <c r="E3475" s="21">
        <f t="shared" si="161"/>
        <v>72.659999999999997</v>
      </c>
      <c r="F3475" s="22">
        <v>0</v>
      </c>
      <c r="G3475" s="21">
        <f t="shared" si="162"/>
        <v>70.640000000000001</v>
      </c>
      <c r="H3475" s="22">
        <v>0</v>
      </c>
      <c r="I3475" s="23" t="str">
        <f t="shared" si="163"/>
        <v xml:space="preserve">COM VALOR</v>
      </c>
      <c r="J3475" s="19"/>
      <c r="L3475" s="21">
        <v>72.659999999999997</v>
      </c>
      <c r="M3475" s="22">
        <v>0</v>
      </c>
      <c r="N3475" s="21">
        <v>70.640000000000001</v>
      </c>
      <c r="O3475" s="22">
        <v>0</v>
      </c>
    </row>
    <row r="3476" ht="38.25">
      <c r="A3476" t="s">
        <v>3525</v>
      </c>
      <c r="B3476" s="19">
        <v>101585</v>
      </c>
      <c r="C3476" s="20" t="s">
        <v>3545</v>
      </c>
      <c r="D3476" s="19" t="s">
        <v>29</v>
      </c>
      <c r="E3476" s="21">
        <f t="shared" si="161"/>
        <v>76.280000000000001</v>
      </c>
      <c r="F3476" s="22">
        <v>0</v>
      </c>
      <c r="G3476" s="21">
        <f t="shared" si="162"/>
        <v>73.890000000000001</v>
      </c>
      <c r="H3476" s="22">
        <v>0</v>
      </c>
      <c r="I3476" s="23" t="str">
        <f t="shared" si="163"/>
        <v xml:space="preserve">COM VALOR</v>
      </c>
      <c r="J3476" s="19"/>
      <c r="L3476" s="21">
        <v>76.280000000000001</v>
      </c>
      <c r="M3476" s="22">
        <v>0</v>
      </c>
      <c r="N3476" s="21">
        <v>73.890000000000001</v>
      </c>
      <c r="O3476" s="22">
        <v>0</v>
      </c>
    </row>
    <row r="3477" ht="25.5">
      <c r="A3477" t="s">
        <v>3525</v>
      </c>
      <c r="B3477" s="19">
        <v>101584</v>
      </c>
      <c r="C3477" s="20" t="s">
        <v>3546</v>
      </c>
      <c r="D3477" s="19" t="s">
        <v>29</v>
      </c>
      <c r="E3477" s="21">
        <f t="shared" si="161"/>
        <v>60.640000000000001</v>
      </c>
      <c r="F3477" s="22">
        <v>0</v>
      </c>
      <c r="G3477" s="21">
        <f t="shared" si="162"/>
        <v>59.090000000000003</v>
      </c>
      <c r="H3477" s="22">
        <v>0</v>
      </c>
      <c r="I3477" s="23" t="str">
        <f t="shared" si="163"/>
        <v xml:space="preserve">COM VALOR</v>
      </c>
      <c r="J3477" s="19"/>
      <c r="L3477" s="21">
        <v>60.640000000000001</v>
      </c>
      <c r="M3477" s="22">
        <v>0</v>
      </c>
      <c r="N3477" s="21">
        <v>59.090000000000003</v>
      </c>
      <c r="O3477" s="22">
        <v>0</v>
      </c>
    </row>
    <row r="3478" ht="25.5">
      <c r="A3478" t="s">
        <v>3525</v>
      </c>
      <c r="B3478" s="19">
        <v>101587</v>
      </c>
      <c r="C3478" s="20" t="s">
        <v>3547</v>
      </c>
      <c r="D3478" s="19" t="s">
        <v>29</v>
      </c>
      <c r="E3478" s="21">
        <f t="shared" si="161"/>
        <v>69.510000000000005</v>
      </c>
      <c r="F3478" s="22">
        <v>0</v>
      </c>
      <c r="G3478" s="21">
        <f t="shared" si="162"/>
        <v>67.579999999999998</v>
      </c>
      <c r="H3478" s="22">
        <v>0</v>
      </c>
      <c r="I3478" s="23" t="str">
        <f t="shared" si="163"/>
        <v xml:space="preserve">COM VALOR</v>
      </c>
      <c r="J3478" s="19"/>
      <c r="L3478" s="21">
        <v>69.510000000000005</v>
      </c>
      <c r="M3478" s="22">
        <v>0</v>
      </c>
      <c r="N3478" s="21">
        <v>67.579999999999998</v>
      </c>
      <c r="O3478" s="22">
        <v>0</v>
      </c>
    </row>
    <row r="3479" ht="25.5">
      <c r="A3479" t="s">
        <v>3525</v>
      </c>
      <c r="B3479" s="19">
        <v>101586</v>
      </c>
      <c r="C3479" s="20" t="s">
        <v>3548</v>
      </c>
      <c r="D3479" s="19" t="s">
        <v>29</v>
      </c>
      <c r="E3479" s="21">
        <f t="shared" si="161"/>
        <v>53.57</v>
      </c>
      <c r="F3479" s="22">
        <v>0</v>
      </c>
      <c r="G3479" s="21">
        <f t="shared" si="162"/>
        <v>52.509999999999998</v>
      </c>
      <c r="H3479" s="22">
        <v>0</v>
      </c>
      <c r="I3479" s="23" t="str">
        <f t="shared" si="163"/>
        <v xml:space="preserve">COM VALOR</v>
      </c>
      <c r="J3479" s="19"/>
      <c r="L3479" s="21">
        <v>53.57</v>
      </c>
      <c r="M3479" s="22">
        <v>0</v>
      </c>
      <c r="N3479" s="21">
        <v>52.509999999999998</v>
      </c>
      <c r="O3479" s="22">
        <v>0</v>
      </c>
    </row>
    <row r="3480" ht="38.25">
      <c r="A3480" t="s">
        <v>3525</v>
      </c>
      <c r="B3480" s="19">
        <v>101577</v>
      </c>
      <c r="C3480" s="20" t="s">
        <v>3549</v>
      </c>
      <c r="D3480" s="19" t="s">
        <v>29</v>
      </c>
      <c r="E3480" s="21">
        <f t="shared" si="161"/>
        <v>54.57</v>
      </c>
      <c r="F3480" s="22">
        <v>0</v>
      </c>
      <c r="G3480" s="21">
        <f t="shared" si="162"/>
        <v>52.75</v>
      </c>
      <c r="H3480" s="22">
        <v>0</v>
      </c>
      <c r="I3480" s="23" t="str">
        <f t="shared" si="163"/>
        <v xml:space="preserve">COM VALOR</v>
      </c>
      <c r="J3480" s="19"/>
      <c r="L3480" s="21">
        <v>54.57</v>
      </c>
      <c r="M3480" s="22">
        <v>0</v>
      </c>
      <c r="N3480" s="21">
        <v>52.75</v>
      </c>
      <c r="O3480" s="22">
        <v>0</v>
      </c>
    </row>
    <row r="3481" ht="25.5">
      <c r="A3481" t="s">
        <v>3525</v>
      </c>
      <c r="B3481" s="19">
        <v>101576</v>
      </c>
      <c r="C3481" s="20" t="s">
        <v>3550</v>
      </c>
      <c r="D3481" s="19" t="s">
        <v>29</v>
      </c>
      <c r="E3481" s="21">
        <f t="shared" si="161"/>
        <v>44.369999999999997</v>
      </c>
      <c r="F3481" s="22">
        <v>0</v>
      </c>
      <c r="G3481" s="21">
        <f t="shared" si="162"/>
        <v>43.090000000000003</v>
      </c>
      <c r="H3481" s="22">
        <v>0</v>
      </c>
      <c r="I3481" s="23" t="str">
        <f t="shared" si="163"/>
        <v xml:space="preserve">COM VALOR</v>
      </c>
      <c r="J3481" s="19"/>
      <c r="L3481" s="21">
        <v>44.369999999999997</v>
      </c>
      <c r="M3481" s="22">
        <v>0</v>
      </c>
      <c r="N3481" s="21">
        <v>43.090000000000003</v>
      </c>
      <c r="O3481" s="22">
        <v>0</v>
      </c>
    </row>
    <row r="3482" ht="38.25">
      <c r="A3482" t="s">
        <v>3525</v>
      </c>
      <c r="B3482" s="19">
        <v>101579</v>
      </c>
      <c r="C3482" s="20" t="s">
        <v>3551</v>
      </c>
      <c r="D3482" s="19" t="s">
        <v>29</v>
      </c>
      <c r="E3482" s="21">
        <f t="shared" si="161"/>
        <v>47.460000000000001</v>
      </c>
      <c r="F3482" s="22">
        <v>0</v>
      </c>
      <c r="G3482" s="21">
        <f t="shared" si="162"/>
        <v>45.950000000000003</v>
      </c>
      <c r="H3482" s="22">
        <v>0</v>
      </c>
      <c r="I3482" s="23" t="str">
        <f t="shared" si="163"/>
        <v xml:space="preserve">COM VALOR</v>
      </c>
      <c r="J3482" s="19"/>
      <c r="L3482" s="21">
        <v>47.460000000000001</v>
      </c>
      <c r="M3482" s="22">
        <v>0</v>
      </c>
      <c r="N3482" s="21">
        <v>45.950000000000003</v>
      </c>
      <c r="O3482" s="22">
        <v>0</v>
      </c>
    </row>
    <row r="3483" ht="25.5">
      <c r="A3483" t="s">
        <v>3525</v>
      </c>
      <c r="B3483" s="19">
        <v>101578</v>
      </c>
      <c r="C3483" s="20" t="s">
        <v>3552</v>
      </c>
      <c r="D3483" s="19" t="s">
        <v>29</v>
      </c>
      <c r="E3483" s="21">
        <f t="shared" si="161"/>
        <v>37.270000000000003</v>
      </c>
      <c r="F3483" s="22">
        <v>0</v>
      </c>
      <c r="G3483" s="21">
        <f t="shared" si="162"/>
        <v>36.289999999999999</v>
      </c>
      <c r="H3483" s="22">
        <v>0</v>
      </c>
      <c r="I3483" s="23" t="str">
        <f t="shared" si="163"/>
        <v xml:space="preserve">COM VALOR</v>
      </c>
      <c r="J3483" s="19"/>
      <c r="L3483" s="21">
        <v>37.270000000000003</v>
      </c>
      <c r="M3483" s="22">
        <v>0</v>
      </c>
      <c r="N3483" s="21">
        <v>36.289999999999999</v>
      </c>
      <c r="O3483" s="22">
        <v>0</v>
      </c>
    </row>
    <row r="3484" ht="38.25">
      <c r="A3484" t="s">
        <v>3525</v>
      </c>
      <c r="B3484" s="19">
        <v>101581</v>
      </c>
      <c r="C3484" s="20" t="s">
        <v>3553</v>
      </c>
      <c r="D3484" s="19" t="s">
        <v>29</v>
      </c>
      <c r="E3484" s="21">
        <f t="shared" si="161"/>
        <v>44.259999999999998</v>
      </c>
      <c r="F3484" s="22">
        <v>0</v>
      </c>
      <c r="G3484" s="21">
        <f t="shared" si="162"/>
        <v>43.049999999999997</v>
      </c>
      <c r="H3484" s="22">
        <v>0</v>
      </c>
      <c r="I3484" s="23" t="str">
        <f t="shared" si="163"/>
        <v xml:space="preserve">COM VALOR</v>
      </c>
      <c r="J3484" s="19"/>
      <c r="L3484" s="21">
        <v>44.259999999999998</v>
      </c>
      <c r="M3484" s="22">
        <v>0</v>
      </c>
      <c r="N3484" s="21">
        <v>43.049999999999997</v>
      </c>
      <c r="O3484" s="22">
        <v>0</v>
      </c>
    </row>
    <row r="3485" ht="25.5">
      <c r="A3485" t="s">
        <v>3525</v>
      </c>
      <c r="B3485" s="19">
        <v>101580</v>
      </c>
      <c r="C3485" s="20" t="s">
        <v>3554</v>
      </c>
      <c r="D3485" s="19" t="s">
        <v>29</v>
      </c>
      <c r="E3485" s="21">
        <f t="shared" si="161"/>
        <v>33.770000000000003</v>
      </c>
      <c r="F3485" s="22">
        <v>0</v>
      </c>
      <c r="G3485" s="21">
        <f t="shared" si="162"/>
        <v>33.100000000000001</v>
      </c>
      <c r="H3485" s="22">
        <v>0</v>
      </c>
      <c r="I3485" s="23" t="str">
        <f t="shared" si="163"/>
        <v xml:space="preserve">COM VALOR</v>
      </c>
      <c r="J3485" s="19"/>
      <c r="L3485" s="21">
        <v>33.770000000000003</v>
      </c>
      <c r="M3485" s="22">
        <v>0</v>
      </c>
      <c r="N3485" s="21">
        <v>33.100000000000001</v>
      </c>
      <c r="O3485" s="22">
        <v>0</v>
      </c>
    </row>
    <row r="3486" ht="25.5">
      <c r="A3486" t="s">
        <v>3525</v>
      </c>
      <c r="B3486" s="19">
        <v>101606</v>
      </c>
      <c r="C3486" s="20" t="s">
        <v>3555</v>
      </c>
      <c r="D3486" s="19" t="s">
        <v>29</v>
      </c>
      <c r="E3486" s="21" t="str">
        <f t="shared" si="161"/>
        <v>VERIFICAR</v>
      </c>
      <c r="F3486" s="22">
        <v>0</v>
      </c>
      <c r="G3486" s="21" t="str">
        <f t="shared" si="162"/>
        <v>VERIFICAR</v>
      </c>
      <c r="H3486" s="22">
        <v>0</v>
      </c>
      <c r="I3486" s="23" t="str">
        <f t="shared" si="163"/>
        <v xml:space="preserve">COM VALOR</v>
      </c>
      <c r="J3486" s="19"/>
      <c r="L3486" s="21">
        <v>0</v>
      </c>
      <c r="M3486" s="22"/>
      <c r="N3486" s="21">
        <v>0</v>
      </c>
      <c r="O3486" s="22"/>
    </row>
    <row r="3487" ht="25.5">
      <c r="A3487" t="s">
        <v>3525</v>
      </c>
      <c r="B3487" s="19">
        <v>101607</v>
      </c>
      <c r="C3487" s="20" t="s">
        <v>3556</v>
      </c>
      <c r="D3487" s="19" t="s">
        <v>29</v>
      </c>
      <c r="E3487" s="21" t="str">
        <f t="shared" si="161"/>
        <v>VERIFICAR</v>
      </c>
      <c r="F3487" s="22">
        <v>0</v>
      </c>
      <c r="G3487" s="21" t="str">
        <f t="shared" si="162"/>
        <v>VERIFICAR</v>
      </c>
      <c r="H3487" s="22">
        <v>0</v>
      </c>
      <c r="I3487" s="23" t="str">
        <f t="shared" si="163"/>
        <v xml:space="preserve">COM VALOR</v>
      </c>
      <c r="J3487" s="19"/>
      <c r="L3487" s="21">
        <v>0</v>
      </c>
      <c r="M3487" s="22"/>
      <c r="N3487" s="21">
        <v>0</v>
      </c>
      <c r="O3487" s="22"/>
    </row>
    <row r="3488" ht="25.5">
      <c r="A3488" t="s">
        <v>3525</v>
      </c>
      <c r="B3488" s="19">
        <v>101608</v>
      </c>
      <c r="C3488" s="20" t="s">
        <v>3557</v>
      </c>
      <c r="D3488" s="19" t="s">
        <v>29</v>
      </c>
      <c r="E3488" s="21" t="str">
        <f t="shared" si="161"/>
        <v>VERIFICAR</v>
      </c>
      <c r="F3488" s="22">
        <v>0</v>
      </c>
      <c r="G3488" s="21" t="str">
        <f t="shared" si="162"/>
        <v>VERIFICAR</v>
      </c>
      <c r="H3488" s="22">
        <v>0</v>
      </c>
      <c r="I3488" s="23" t="str">
        <f t="shared" si="163"/>
        <v xml:space="preserve">COM VALOR</v>
      </c>
      <c r="J3488" s="19"/>
      <c r="L3488" s="21">
        <v>0</v>
      </c>
      <c r="M3488" s="22"/>
      <c r="N3488" s="21">
        <v>0</v>
      </c>
      <c r="O3488" s="22"/>
    </row>
    <row r="3489" ht="38.25">
      <c r="A3489" t="s">
        <v>3525</v>
      </c>
      <c r="B3489" s="19">
        <v>101571</v>
      </c>
      <c r="C3489" s="20" t="s">
        <v>3558</v>
      </c>
      <c r="D3489" s="19" t="s">
        <v>29</v>
      </c>
      <c r="E3489" s="21">
        <f t="shared" si="161"/>
        <v>32.090000000000003</v>
      </c>
      <c r="F3489" s="22">
        <v>0</v>
      </c>
      <c r="G3489" s="21">
        <f t="shared" si="162"/>
        <v>30.739999999999998</v>
      </c>
      <c r="H3489" s="22">
        <v>0</v>
      </c>
      <c r="I3489" s="23" t="str">
        <f t="shared" si="163"/>
        <v xml:space="preserve">COM VALOR</v>
      </c>
      <c r="J3489" s="19"/>
      <c r="L3489" s="21">
        <v>32.090000000000003</v>
      </c>
      <c r="M3489" s="22">
        <v>0</v>
      </c>
      <c r="N3489" s="21">
        <v>30.739999999999998</v>
      </c>
      <c r="O3489" s="22">
        <v>0</v>
      </c>
    </row>
    <row r="3490" ht="25.5">
      <c r="A3490" t="s">
        <v>3525</v>
      </c>
      <c r="B3490" s="19">
        <v>101570</v>
      </c>
      <c r="C3490" s="20" t="s">
        <v>3559</v>
      </c>
      <c r="D3490" s="19" t="s">
        <v>29</v>
      </c>
      <c r="E3490" s="21">
        <f t="shared" si="161"/>
        <v>24.289999999999999</v>
      </c>
      <c r="F3490" s="22">
        <v>0</v>
      </c>
      <c r="G3490" s="21">
        <f t="shared" si="162"/>
        <v>23.34</v>
      </c>
      <c r="H3490" s="22">
        <v>0</v>
      </c>
      <c r="I3490" s="23" t="str">
        <f t="shared" si="163"/>
        <v xml:space="preserve">COM VALOR</v>
      </c>
      <c r="J3490" s="19"/>
      <c r="L3490" s="21">
        <v>24.289999999999999</v>
      </c>
      <c r="M3490" s="22">
        <v>0</v>
      </c>
      <c r="N3490" s="21">
        <v>23.34</v>
      </c>
      <c r="O3490" s="22">
        <v>0</v>
      </c>
    </row>
    <row r="3491" ht="38.25">
      <c r="A3491" t="s">
        <v>3525</v>
      </c>
      <c r="B3491" s="19">
        <v>101573</v>
      </c>
      <c r="C3491" s="20" t="s">
        <v>3560</v>
      </c>
      <c r="D3491" s="19" t="s">
        <v>29</v>
      </c>
      <c r="E3491" s="21">
        <f t="shared" si="161"/>
        <v>27.359999999999999</v>
      </c>
      <c r="F3491" s="22">
        <v>0</v>
      </c>
      <c r="G3491" s="21">
        <f t="shared" si="162"/>
        <v>26.239999999999998</v>
      </c>
      <c r="H3491" s="22">
        <v>0</v>
      </c>
      <c r="I3491" s="23" t="str">
        <f t="shared" si="163"/>
        <v xml:space="preserve">COM VALOR</v>
      </c>
      <c r="J3491" s="19"/>
      <c r="L3491" s="21">
        <v>27.359999999999999</v>
      </c>
      <c r="M3491" s="22">
        <v>0</v>
      </c>
      <c r="N3491" s="21">
        <v>26.239999999999998</v>
      </c>
      <c r="O3491" s="22">
        <v>0</v>
      </c>
    </row>
    <row r="3492" ht="25.5">
      <c r="A3492" t="s">
        <v>3525</v>
      </c>
      <c r="B3492" s="19">
        <v>101572</v>
      </c>
      <c r="C3492" s="20" t="s">
        <v>3561</v>
      </c>
      <c r="D3492" s="19" t="s">
        <v>29</v>
      </c>
      <c r="E3492" s="21">
        <f t="shared" si="161"/>
        <v>19.57</v>
      </c>
      <c r="F3492" s="22">
        <v>0</v>
      </c>
      <c r="G3492" s="21">
        <f t="shared" si="162"/>
        <v>18.850000000000001</v>
      </c>
      <c r="H3492" s="22">
        <v>0</v>
      </c>
      <c r="I3492" s="23" t="str">
        <f t="shared" si="163"/>
        <v xml:space="preserve">COM VALOR</v>
      </c>
      <c r="J3492" s="19"/>
      <c r="L3492" s="21">
        <v>19.57</v>
      </c>
      <c r="M3492" s="22">
        <v>0</v>
      </c>
      <c r="N3492" s="21">
        <v>18.850000000000001</v>
      </c>
      <c r="O3492" s="22">
        <v>0</v>
      </c>
    </row>
    <row r="3493" ht="38.25">
      <c r="A3493" t="s">
        <v>3525</v>
      </c>
      <c r="B3493" s="19">
        <v>101575</v>
      </c>
      <c r="C3493" s="20" t="s">
        <v>3562</v>
      </c>
      <c r="D3493" s="19" t="s">
        <v>29</v>
      </c>
      <c r="E3493" s="21">
        <f t="shared" si="161"/>
        <v>23.829999999999998</v>
      </c>
      <c r="F3493" s="22">
        <v>0</v>
      </c>
      <c r="G3493" s="21">
        <f t="shared" si="162"/>
        <v>22.93</v>
      </c>
      <c r="H3493" s="22">
        <v>0</v>
      </c>
      <c r="I3493" s="23" t="str">
        <f t="shared" si="163"/>
        <v xml:space="preserve">COM VALOR</v>
      </c>
      <c r="J3493" s="19"/>
      <c r="L3493" s="21">
        <v>23.829999999999998</v>
      </c>
      <c r="M3493" s="22">
        <v>0</v>
      </c>
      <c r="N3493" s="21">
        <v>22.93</v>
      </c>
      <c r="O3493" s="22">
        <v>0</v>
      </c>
    </row>
    <row r="3494" ht="25.5">
      <c r="A3494" t="s">
        <v>3525</v>
      </c>
      <c r="B3494" s="19">
        <v>101574</v>
      </c>
      <c r="C3494" s="20" t="s">
        <v>3563</v>
      </c>
      <c r="D3494" s="19" t="s">
        <v>29</v>
      </c>
      <c r="E3494" s="21">
        <f t="shared" si="161"/>
        <v>15.74</v>
      </c>
      <c r="F3494" s="22">
        <v>0</v>
      </c>
      <c r="G3494" s="21">
        <f t="shared" si="162"/>
        <v>15.23</v>
      </c>
      <c r="H3494" s="22">
        <v>0</v>
      </c>
      <c r="I3494" s="23" t="str">
        <f t="shared" si="163"/>
        <v xml:space="preserve">COM VALOR</v>
      </c>
      <c r="J3494" s="19"/>
      <c r="L3494" s="21">
        <v>15.74</v>
      </c>
      <c r="M3494" s="22">
        <v>0</v>
      </c>
      <c r="N3494" s="21">
        <v>15.23</v>
      </c>
      <c r="O3494" s="22">
        <v>0</v>
      </c>
    </row>
    <row r="3495" ht="38.25">
      <c r="A3495" t="s">
        <v>3525</v>
      </c>
      <c r="B3495" s="19">
        <v>101589</v>
      </c>
      <c r="C3495" s="20" t="s">
        <v>3564</v>
      </c>
      <c r="D3495" s="19" t="s">
        <v>29</v>
      </c>
      <c r="E3495" s="21">
        <f t="shared" si="161"/>
        <v>149.78999999999999</v>
      </c>
      <c r="F3495" s="22">
        <v>0</v>
      </c>
      <c r="G3495" s="21">
        <f t="shared" si="162"/>
        <v>145.75999999999999</v>
      </c>
      <c r="H3495" s="22">
        <v>0</v>
      </c>
      <c r="I3495" s="23" t="str">
        <f t="shared" si="163"/>
        <v xml:space="preserve">COM VALOR</v>
      </c>
      <c r="J3495" s="19"/>
      <c r="L3495" s="21">
        <v>149.78999999999999</v>
      </c>
      <c r="M3495" s="22">
        <v>0</v>
      </c>
      <c r="N3495" s="21">
        <v>145.75999999999999</v>
      </c>
      <c r="O3495" s="22">
        <v>0</v>
      </c>
    </row>
    <row r="3496" ht="38.25">
      <c r="A3496" t="s">
        <v>3525</v>
      </c>
      <c r="B3496" s="19">
        <v>106673</v>
      </c>
      <c r="C3496" s="20" t="s">
        <v>3565</v>
      </c>
      <c r="D3496" s="19" t="s">
        <v>29</v>
      </c>
      <c r="E3496" s="21">
        <f t="shared" si="161"/>
        <v>6.0999999999999996</v>
      </c>
      <c r="F3496" s="22">
        <v>0</v>
      </c>
      <c r="G3496" s="21">
        <f t="shared" si="162"/>
        <v>5.7699999999999996</v>
      </c>
      <c r="H3496" s="22">
        <v>0</v>
      </c>
      <c r="I3496" s="23" t="str">
        <f t="shared" si="163"/>
        <v xml:space="preserve">COM VALOR</v>
      </c>
      <c r="J3496" s="19"/>
      <c r="L3496" s="21">
        <v>6.0999999999999996</v>
      </c>
      <c r="M3496" s="22">
        <v>0</v>
      </c>
      <c r="N3496" s="21">
        <v>5.7699999999999996</v>
      </c>
      <c r="O3496" s="22">
        <v>0</v>
      </c>
    </row>
    <row r="3497" ht="38.25">
      <c r="A3497" t="s">
        <v>3525</v>
      </c>
      <c r="B3497" s="19">
        <v>101617</v>
      </c>
      <c r="C3497" s="20" t="s">
        <v>3566</v>
      </c>
      <c r="D3497" s="19" t="s">
        <v>29</v>
      </c>
      <c r="E3497" s="21">
        <f t="shared" si="161"/>
        <v>3.5299999999999998</v>
      </c>
      <c r="F3497" s="22">
        <v>0</v>
      </c>
      <c r="G3497" s="21">
        <f t="shared" si="162"/>
        <v>3.3399999999999999</v>
      </c>
      <c r="H3497" s="22">
        <v>0</v>
      </c>
      <c r="I3497" s="23" t="str">
        <f t="shared" si="163"/>
        <v xml:space="preserve">COM VALOR</v>
      </c>
      <c r="J3497" s="19"/>
      <c r="L3497" s="21">
        <v>3.5299999999999998</v>
      </c>
      <c r="M3497" s="22">
        <v>0</v>
      </c>
      <c r="N3497" s="21">
        <v>3.3399999999999999</v>
      </c>
      <c r="O3497" s="22">
        <v>0</v>
      </c>
    </row>
    <row r="3498" ht="38.25">
      <c r="A3498" t="s">
        <v>3525</v>
      </c>
      <c r="B3498" s="19">
        <v>101620</v>
      </c>
      <c r="C3498" s="20" t="s">
        <v>3567</v>
      </c>
      <c r="D3498" s="19" t="s">
        <v>121</v>
      </c>
      <c r="E3498" s="21">
        <f t="shared" si="161"/>
        <v>184.22</v>
      </c>
      <c r="F3498" s="22">
        <v>0</v>
      </c>
      <c r="G3498" s="21">
        <f t="shared" si="162"/>
        <v>178.72999999999999</v>
      </c>
      <c r="H3498" s="22">
        <v>0</v>
      </c>
      <c r="I3498" s="23" t="str">
        <f t="shared" si="163"/>
        <v xml:space="preserve">COM VALOR</v>
      </c>
      <c r="J3498" s="19"/>
      <c r="L3498" s="21">
        <v>184.22</v>
      </c>
      <c r="M3498" s="22">
        <v>0</v>
      </c>
      <c r="N3498" s="21">
        <v>178.72999999999999</v>
      </c>
      <c r="O3498" s="22">
        <v>0</v>
      </c>
    </row>
    <row r="3499" ht="38.25">
      <c r="A3499" t="s">
        <v>3525</v>
      </c>
      <c r="B3499" s="19">
        <v>101625</v>
      </c>
      <c r="C3499" s="20" t="s">
        <v>3568</v>
      </c>
      <c r="D3499" s="19" t="s">
        <v>121</v>
      </c>
      <c r="E3499" s="21">
        <f t="shared" si="161"/>
        <v>172.74000000000001</v>
      </c>
      <c r="F3499" s="22">
        <v>0</v>
      </c>
      <c r="G3499" s="21">
        <f t="shared" si="162"/>
        <v>169.52000000000001</v>
      </c>
      <c r="H3499" s="22">
        <v>0</v>
      </c>
      <c r="I3499" s="23" t="str">
        <f t="shared" si="163"/>
        <v xml:space="preserve">COM VALOR</v>
      </c>
      <c r="J3499" s="19"/>
      <c r="L3499" s="21">
        <v>172.74000000000001</v>
      </c>
      <c r="M3499" s="22">
        <v>0</v>
      </c>
      <c r="N3499" s="21">
        <v>169.52000000000001</v>
      </c>
      <c r="O3499" s="22">
        <v>0</v>
      </c>
    </row>
    <row r="3500" ht="38.25">
      <c r="A3500" t="s">
        <v>3525</v>
      </c>
      <c r="B3500" s="19">
        <v>101621</v>
      </c>
      <c r="C3500" s="20" t="s">
        <v>3569</v>
      </c>
      <c r="D3500" s="19" t="s">
        <v>121</v>
      </c>
      <c r="E3500" s="21">
        <f t="shared" si="161"/>
        <v>244.81999999999999</v>
      </c>
      <c r="F3500" s="22">
        <v>0</v>
      </c>
      <c r="G3500" s="21">
        <f t="shared" si="162"/>
        <v>238.41999999999999</v>
      </c>
      <c r="H3500" s="22">
        <v>0</v>
      </c>
      <c r="I3500" s="23" t="str">
        <f t="shared" si="163"/>
        <v xml:space="preserve">COM VALOR</v>
      </c>
      <c r="J3500" s="19"/>
      <c r="L3500" s="21">
        <v>244.81999999999999</v>
      </c>
      <c r="M3500" s="22">
        <v>0</v>
      </c>
      <c r="N3500" s="21">
        <v>238.41999999999999</v>
      </c>
      <c r="O3500" s="22">
        <v>0</v>
      </c>
    </row>
    <row r="3501" ht="38.25">
      <c r="A3501" t="s">
        <v>3525</v>
      </c>
      <c r="B3501" s="19">
        <v>101624</v>
      </c>
      <c r="C3501" s="20" t="s">
        <v>3570</v>
      </c>
      <c r="D3501" s="19" t="s">
        <v>121</v>
      </c>
      <c r="E3501" s="21">
        <f t="shared" si="161"/>
        <v>231.34999999999999</v>
      </c>
      <c r="F3501" s="22">
        <v>0</v>
      </c>
      <c r="G3501" s="21">
        <f t="shared" si="162"/>
        <v>227.61000000000001</v>
      </c>
      <c r="H3501" s="22">
        <v>0</v>
      </c>
      <c r="I3501" s="23" t="str">
        <f t="shared" si="163"/>
        <v xml:space="preserve">COM VALOR</v>
      </c>
      <c r="J3501" s="19"/>
      <c r="L3501" s="21">
        <v>231.34999999999999</v>
      </c>
      <c r="M3501" s="22">
        <v>0</v>
      </c>
      <c r="N3501" s="21">
        <v>227.61000000000001</v>
      </c>
      <c r="O3501" s="22">
        <v>0</v>
      </c>
    </row>
    <row r="3502" ht="38.25">
      <c r="A3502" t="s">
        <v>3525</v>
      </c>
      <c r="B3502" s="19">
        <v>106672</v>
      </c>
      <c r="C3502" s="20" t="s">
        <v>3571</v>
      </c>
      <c r="D3502" s="19" t="s">
        <v>29</v>
      </c>
      <c r="E3502" s="21">
        <f t="shared" si="161"/>
        <v>10.35</v>
      </c>
      <c r="F3502" s="22">
        <v>0</v>
      </c>
      <c r="G3502" s="21">
        <f t="shared" si="162"/>
        <v>9.7799999999999994</v>
      </c>
      <c r="H3502" s="22">
        <v>0</v>
      </c>
      <c r="I3502" s="23" t="str">
        <f t="shared" si="163"/>
        <v xml:space="preserve">COM VALOR</v>
      </c>
      <c r="J3502" s="19"/>
      <c r="L3502" s="21">
        <v>10.35</v>
      </c>
      <c r="M3502" s="22">
        <v>0</v>
      </c>
      <c r="N3502" s="21">
        <v>9.7799999999999994</v>
      </c>
      <c r="O3502" s="22">
        <v>0</v>
      </c>
    </row>
    <row r="3503" ht="38.25">
      <c r="A3503" t="s">
        <v>3525</v>
      </c>
      <c r="B3503" s="19">
        <v>101616</v>
      </c>
      <c r="C3503" s="20" t="s">
        <v>3572</v>
      </c>
      <c r="D3503" s="19" t="s">
        <v>29</v>
      </c>
      <c r="E3503" s="21">
        <f t="shared" si="161"/>
        <v>7.7800000000000002</v>
      </c>
      <c r="F3503" s="22">
        <v>0</v>
      </c>
      <c r="G3503" s="21">
        <f t="shared" si="162"/>
        <v>7.3499999999999996</v>
      </c>
      <c r="H3503" s="22">
        <v>0</v>
      </c>
      <c r="I3503" s="23" t="str">
        <f t="shared" si="163"/>
        <v xml:space="preserve">COM VALOR</v>
      </c>
      <c r="J3503" s="19"/>
      <c r="L3503" s="21">
        <v>7.7800000000000002</v>
      </c>
      <c r="M3503" s="22">
        <v>0</v>
      </c>
      <c r="N3503" s="21">
        <v>7.3499999999999996</v>
      </c>
      <c r="O3503" s="22">
        <v>0</v>
      </c>
    </row>
    <row r="3504" ht="25.5">
      <c r="A3504" t="s">
        <v>3525</v>
      </c>
      <c r="B3504" s="19">
        <v>101618</v>
      </c>
      <c r="C3504" s="20" t="s">
        <v>3573</v>
      </c>
      <c r="D3504" s="19" t="s">
        <v>121</v>
      </c>
      <c r="E3504" s="21">
        <f t="shared" si="161"/>
        <v>209.90000000000001</v>
      </c>
      <c r="F3504" s="22">
        <v>0</v>
      </c>
      <c r="G3504" s="21">
        <f t="shared" si="162"/>
        <v>203</v>
      </c>
      <c r="H3504" s="22">
        <v>0</v>
      </c>
      <c r="I3504" s="23" t="str">
        <f t="shared" si="163"/>
        <v xml:space="preserve">COM VALOR</v>
      </c>
      <c r="J3504" s="19"/>
      <c r="L3504" s="21">
        <v>209.90000000000001</v>
      </c>
      <c r="M3504" s="22">
        <v>0</v>
      </c>
      <c r="N3504" s="21">
        <v>203</v>
      </c>
      <c r="O3504" s="22">
        <v>0</v>
      </c>
    </row>
    <row r="3505" ht="25.5">
      <c r="A3505" t="s">
        <v>3525</v>
      </c>
      <c r="B3505" s="19">
        <v>101622</v>
      </c>
      <c r="C3505" s="20" t="s">
        <v>3574</v>
      </c>
      <c r="D3505" s="19" t="s">
        <v>121</v>
      </c>
      <c r="E3505" s="21">
        <f t="shared" si="161"/>
        <v>227.72</v>
      </c>
      <c r="F3505" s="22">
        <v>0</v>
      </c>
      <c r="G3505" s="21">
        <f t="shared" si="162"/>
        <v>222.55000000000001</v>
      </c>
      <c r="H3505" s="22">
        <v>0</v>
      </c>
      <c r="I3505" s="23" t="str">
        <f t="shared" si="163"/>
        <v xml:space="preserve">COM VALOR</v>
      </c>
      <c r="J3505" s="19"/>
      <c r="L3505" s="21">
        <v>227.72</v>
      </c>
      <c r="M3505" s="22">
        <v>0</v>
      </c>
      <c r="N3505" s="21">
        <v>222.55000000000001</v>
      </c>
      <c r="O3505" s="22">
        <v>0</v>
      </c>
    </row>
    <row r="3506" ht="25.5">
      <c r="A3506" t="s">
        <v>3525</v>
      </c>
      <c r="B3506" s="19">
        <v>101619</v>
      </c>
      <c r="C3506" s="20" t="s">
        <v>3575</v>
      </c>
      <c r="D3506" s="19" t="s">
        <v>121</v>
      </c>
      <c r="E3506" s="21">
        <f t="shared" si="161"/>
        <v>270.49000000000001</v>
      </c>
      <c r="F3506" s="22">
        <v>0</v>
      </c>
      <c r="G3506" s="21">
        <f t="shared" si="162"/>
        <v>262.69</v>
      </c>
      <c r="H3506" s="22">
        <v>0</v>
      </c>
      <c r="I3506" s="23" t="str">
        <f t="shared" si="163"/>
        <v xml:space="preserve">COM VALOR</v>
      </c>
      <c r="J3506" s="19"/>
      <c r="L3506" s="21">
        <v>270.49000000000001</v>
      </c>
      <c r="M3506" s="22">
        <v>0</v>
      </c>
      <c r="N3506" s="21">
        <v>262.69</v>
      </c>
      <c r="O3506" s="22">
        <v>0</v>
      </c>
    </row>
    <row r="3507" ht="25.5">
      <c r="A3507" t="s">
        <v>3525</v>
      </c>
      <c r="B3507" s="19">
        <v>101623</v>
      </c>
      <c r="C3507" s="20" t="s">
        <v>3576</v>
      </c>
      <c r="D3507" s="19" t="s">
        <v>121</v>
      </c>
      <c r="E3507" s="21">
        <f t="shared" si="161"/>
        <v>290.75999999999999</v>
      </c>
      <c r="F3507" s="22">
        <v>0</v>
      </c>
      <c r="G3507" s="21">
        <f t="shared" si="162"/>
        <v>284.91000000000003</v>
      </c>
      <c r="H3507" s="22">
        <v>0</v>
      </c>
      <c r="I3507" s="23" t="str">
        <f t="shared" si="163"/>
        <v xml:space="preserve">COM VALOR</v>
      </c>
      <c r="J3507" s="19"/>
      <c r="L3507" s="21">
        <v>290.75999999999999</v>
      </c>
      <c r="M3507" s="22">
        <v>0</v>
      </c>
      <c r="N3507" s="21">
        <v>284.91000000000003</v>
      </c>
      <c r="O3507" s="22">
        <v>0</v>
      </c>
    </row>
    <row r="3508" ht="12.75">
      <c r="A3508" t="s">
        <v>3577</v>
      </c>
      <c r="B3508" s="19">
        <v>104482</v>
      </c>
      <c r="C3508" s="20" t="s">
        <v>3578</v>
      </c>
      <c r="D3508" s="19" t="s">
        <v>2032</v>
      </c>
      <c r="E3508" s="21">
        <f t="shared" si="161"/>
        <v>32.539999999999999</v>
      </c>
      <c r="F3508" s="22">
        <v>0</v>
      </c>
      <c r="G3508" s="21">
        <f t="shared" si="162"/>
        <v>30.719999999999999</v>
      </c>
      <c r="H3508" s="22">
        <v>0</v>
      </c>
      <c r="I3508" s="23" t="str">
        <f t="shared" si="163"/>
        <v xml:space="preserve">COM VALOR</v>
      </c>
      <c r="J3508" s="19"/>
      <c r="L3508" s="21">
        <v>32.539999999999999</v>
      </c>
      <c r="M3508" s="22">
        <v>0</v>
      </c>
      <c r="N3508" s="21">
        <v>30.719999999999999</v>
      </c>
      <c r="O3508" s="22">
        <v>0</v>
      </c>
    </row>
    <row r="3509" ht="38.25">
      <c r="A3509" t="s">
        <v>3577</v>
      </c>
      <c r="B3509" s="19">
        <v>104189</v>
      </c>
      <c r="C3509" s="20" t="s">
        <v>3579</v>
      </c>
      <c r="D3509" s="19" t="s">
        <v>121</v>
      </c>
      <c r="E3509" s="21">
        <f t="shared" si="161"/>
        <v>125.55</v>
      </c>
      <c r="F3509" s="22">
        <v>0</v>
      </c>
      <c r="G3509" s="21">
        <f t="shared" si="162"/>
        <v>123.23999999999999</v>
      </c>
      <c r="H3509" s="22">
        <v>0</v>
      </c>
      <c r="I3509" s="23" t="str">
        <f t="shared" si="163"/>
        <v xml:space="preserve">COM VALOR</v>
      </c>
      <c r="J3509" s="19"/>
      <c r="L3509" s="21">
        <v>125.55</v>
      </c>
      <c r="M3509" s="22">
        <v>0</v>
      </c>
      <c r="N3509" s="21">
        <v>123.23999999999999</v>
      </c>
      <c r="O3509" s="22">
        <v>0</v>
      </c>
    </row>
    <row r="3510" ht="38.25">
      <c r="A3510" t="s">
        <v>3577</v>
      </c>
      <c r="B3510" s="19">
        <v>104465</v>
      </c>
      <c r="C3510" s="20" t="s">
        <v>3580</v>
      </c>
      <c r="D3510" s="19" t="s">
        <v>38</v>
      </c>
      <c r="E3510" s="21" t="str">
        <f t="shared" si="161"/>
        <v>VERIFICAR</v>
      </c>
      <c r="F3510" s="22">
        <v>0</v>
      </c>
      <c r="G3510" s="21" t="str">
        <f t="shared" si="162"/>
        <v>VERIFICAR</v>
      </c>
      <c r="H3510" s="22">
        <v>0</v>
      </c>
      <c r="I3510" s="23" t="str">
        <f t="shared" si="163"/>
        <v xml:space="preserve">COM VALOR</v>
      </c>
      <c r="J3510" s="19"/>
      <c r="L3510" s="21">
        <v>0</v>
      </c>
      <c r="M3510" s="22"/>
      <c r="N3510" s="21">
        <v>0</v>
      </c>
      <c r="O3510" s="22"/>
    </row>
    <row r="3511" ht="51">
      <c r="A3511" t="s">
        <v>3577</v>
      </c>
      <c r="B3511" s="19">
        <v>104188</v>
      </c>
      <c r="C3511" s="20" t="s">
        <v>3581</v>
      </c>
      <c r="D3511" s="19" t="s">
        <v>38</v>
      </c>
      <c r="E3511" s="21" t="str">
        <f t="shared" si="161"/>
        <v>VERIFICAR</v>
      </c>
      <c r="F3511" s="22">
        <v>0</v>
      </c>
      <c r="G3511" s="21" t="str">
        <f t="shared" si="162"/>
        <v>VERIFICAR</v>
      </c>
      <c r="H3511" s="22">
        <v>0</v>
      </c>
      <c r="I3511" s="23" t="str">
        <f t="shared" si="163"/>
        <v xml:space="preserve">COM VALOR</v>
      </c>
      <c r="J3511" s="19"/>
      <c r="L3511" s="21">
        <v>0</v>
      </c>
      <c r="M3511" s="22"/>
      <c r="N3511" s="21">
        <v>0</v>
      </c>
      <c r="O3511" s="22"/>
    </row>
    <row r="3512" ht="51">
      <c r="A3512" t="s">
        <v>3577</v>
      </c>
      <c r="B3512" s="19">
        <v>104185</v>
      </c>
      <c r="C3512" s="20" t="s">
        <v>3582</v>
      </c>
      <c r="D3512" s="19" t="s">
        <v>31</v>
      </c>
      <c r="E3512" s="21">
        <f t="shared" si="161"/>
        <v>26.940000000000001</v>
      </c>
      <c r="F3512" s="22">
        <v>0</v>
      </c>
      <c r="G3512" s="21">
        <f t="shared" si="162"/>
        <v>25.379999999999999</v>
      </c>
      <c r="H3512" s="22">
        <v>0</v>
      </c>
      <c r="I3512" s="23" t="str">
        <f t="shared" si="163"/>
        <v xml:space="preserve">COM VALOR</v>
      </c>
      <c r="J3512" s="19"/>
      <c r="L3512" s="21">
        <v>26.940000000000001</v>
      </c>
      <c r="M3512" s="22">
        <v>0</v>
      </c>
      <c r="N3512" s="21">
        <v>25.379999999999999</v>
      </c>
      <c r="O3512" s="22">
        <v>0</v>
      </c>
    </row>
    <row r="3513" ht="38.25">
      <c r="A3513" t="s">
        <v>3577</v>
      </c>
      <c r="B3513" s="19">
        <v>104182</v>
      </c>
      <c r="C3513" s="20" t="s">
        <v>3583</v>
      </c>
      <c r="D3513" s="19" t="s">
        <v>38</v>
      </c>
      <c r="E3513" s="21" t="str">
        <f t="shared" si="161"/>
        <v>VERIFICAR</v>
      </c>
      <c r="F3513" s="22">
        <v>0</v>
      </c>
      <c r="G3513" s="21" t="str">
        <f t="shared" si="162"/>
        <v>VERIFICAR</v>
      </c>
      <c r="H3513" s="22">
        <v>0</v>
      </c>
      <c r="I3513" s="23" t="str">
        <f t="shared" si="163"/>
        <v xml:space="preserve">COM VALOR</v>
      </c>
      <c r="J3513" s="19"/>
      <c r="L3513" s="21">
        <v>0</v>
      </c>
      <c r="M3513" s="22"/>
      <c r="N3513" s="21">
        <v>0</v>
      </c>
      <c r="O3513" s="22"/>
    </row>
    <row r="3514" ht="38.25">
      <c r="A3514" t="s">
        <v>3577</v>
      </c>
      <c r="B3514" s="19">
        <v>104184</v>
      </c>
      <c r="C3514" s="20" t="s">
        <v>3584</v>
      </c>
      <c r="D3514" s="19" t="s">
        <v>31</v>
      </c>
      <c r="E3514" s="21">
        <f t="shared" si="161"/>
        <v>32.369999999999997</v>
      </c>
      <c r="F3514" s="22">
        <v>0</v>
      </c>
      <c r="G3514" s="21">
        <f t="shared" si="162"/>
        <v>31.050000000000001</v>
      </c>
      <c r="H3514" s="22">
        <v>0</v>
      </c>
      <c r="I3514" s="23" t="str">
        <f t="shared" si="163"/>
        <v xml:space="preserve">COM VALOR</v>
      </c>
      <c r="J3514" s="19"/>
      <c r="L3514" s="21">
        <v>32.369999999999997</v>
      </c>
      <c r="M3514" s="22">
        <v>0</v>
      </c>
      <c r="N3514" s="21">
        <v>31.050000000000001</v>
      </c>
      <c r="O3514" s="22">
        <v>0</v>
      </c>
    </row>
    <row r="3515" ht="38.25">
      <c r="A3515" t="s">
        <v>3577</v>
      </c>
      <c r="B3515" s="19">
        <v>104190</v>
      </c>
      <c r="C3515" s="20" t="s">
        <v>3585</v>
      </c>
      <c r="D3515" s="19" t="s">
        <v>31</v>
      </c>
      <c r="E3515" s="21">
        <f t="shared" si="161"/>
        <v>703.13</v>
      </c>
      <c r="F3515" s="22">
        <v>0</v>
      </c>
      <c r="G3515" s="21">
        <f t="shared" si="162"/>
        <v>663.55999999999995</v>
      </c>
      <c r="H3515" s="22">
        <v>0</v>
      </c>
      <c r="I3515" s="23" t="str">
        <f t="shared" si="163"/>
        <v xml:space="preserve">COM VALOR</v>
      </c>
      <c r="J3515" s="19"/>
      <c r="L3515" s="21">
        <v>703.13</v>
      </c>
      <c r="M3515" s="22">
        <v>0</v>
      </c>
      <c r="N3515" s="21">
        <v>663.55999999999995</v>
      </c>
      <c r="O3515" s="22">
        <v>0</v>
      </c>
    </row>
    <row r="3516" ht="51">
      <c r="A3516" t="s">
        <v>3577</v>
      </c>
      <c r="B3516" s="19">
        <v>104463</v>
      </c>
      <c r="C3516" s="20" t="s">
        <v>3586</v>
      </c>
      <c r="D3516" s="19" t="s">
        <v>31</v>
      </c>
      <c r="E3516" s="21" t="str">
        <f t="shared" si="161"/>
        <v>VERIFICAR</v>
      </c>
      <c r="F3516" s="22">
        <v>0</v>
      </c>
      <c r="G3516" s="21" t="str">
        <f t="shared" si="162"/>
        <v>VERIFICAR</v>
      </c>
      <c r="H3516" s="22">
        <v>0</v>
      </c>
      <c r="I3516" s="23" t="str">
        <f t="shared" si="163"/>
        <v xml:space="preserve">COM VALOR</v>
      </c>
      <c r="J3516" s="19"/>
      <c r="L3516" s="21">
        <v>0</v>
      </c>
      <c r="M3516" s="22"/>
      <c r="N3516" s="21">
        <v>0</v>
      </c>
      <c r="O3516" s="22"/>
    </row>
    <row r="3517" ht="51">
      <c r="A3517" t="s">
        <v>3577</v>
      </c>
      <c r="B3517" s="19">
        <v>104464</v>
      </c>
      <c r="C3517" s="20" t="s">
        <v>3587</v>
      </c>
      <c r="D3517" s="19" t="s">
        <v>31</v>
      </c>
      <c r="E3517" s="21" t="str">
        <f t="shared" si="161"/>
        <v>VERIFICAR</v>
      </c>
      <c r="F3517" s="22">
        <v>0</v>
      </c>
      <c r="G3517" s="21" t="str">
        <f t="shared" si="162"/>
        <v>VERIFICAR</v>
      </c>
      <c r="H3517" s="22">
        <v>0</v>
      </c>
      <c r="I3517" s="23" t="str">
        <f t="shared" si="163"/>
        <v xml:space="preserve">COM VALOR</v>
      </c>
      <c r="J3517" s="19"/>
      <c r="L3517" s="21">
        <v>0</v>
      </c>
      <c r="M3517" s="22"/>
      <c r="N3517" s="21">
        <v>0</v>
      </c>
      <c r="O3517" s="22"/>
    </row>
    <row r="3518" ht="38.25">
      <c r="A3518" t="s">
        <v>3577</v>
      </c>
      <c r="B3518" s="19">
        <v>104183</v>
      </c>
      <c r="C3518" s="20" t="s">
        <v>3588</v>
      </c>
      <c r="D3518" s="19" t="s">
        <v>38</v>
      </c>
      <c r="E3518" s="21">
        <f t="shared" si="161"/>
        <v>232.78</v>
      </c>
      <c r="F3518" s="22">
        <v>0</v>
      </c>
      <c r="G3518" s="21">
        <f t="shared" si="162"/>
        <v>231.61000000000001</v>
      </c>
      <c r="H3518" s="22">
        <v>0</v>
      </c>
      <c r="I3518" s="23" t="str">
        <f t="shared" si="163"/>
        <v xml:space="preserve">COM VALOR</v>
      </c>
      <c r="J3518" s="19"/>
      <c r="L3518" s="21">
        <v>232.78</v>
      </c>
      <c r="M3518" s="22">
        <v>0.14999999999999999</v>
      </c>
      <c r="N3518" s="21">
        <v>231.61000000000001</v>
      </c>
      <c r="O3518" s="22">
        <v>0.14999999999999999</v>
      </c>
    </row>
    <row r="3519" ht="51">
      <c r="A3519" t="s">
        <v>3577</v>
      </c>
      <c r="B3519" s="19">
        <v>104187</v>
      </c>
      <c r="C3519" s="20" t="s">
        <v>3589</v>
      </c>
      <c r="D3519" s="19" t="s">
        <v>38</v>
      </c>
      <c r="E3519" s="21">
        <f t="shared" si="161"/>
        <v>1558.22</v>
      </c>
      <c r="F3519" s="22">
        <v>0</v>
      </c>
      <c r="G3519" s="21">
        <f t="shared" si="162"/>
        <v>1555.5899999999999</v>
      </c>
      <c r="H3519" s="22">
        <v>0</v>
      </c>
      <c r="I3519" s="23" t="str">
        <f t="shared" si="163"/>
        <v xml:space="preserve">COM VALOR</v>
      </c>
      <c r="J3519" s="19"/>
      <c r="L3519" s="21">
        <v>1558.22</v>
      </c>
      <c r="M3519" s="22">
        <v>0.91000000000000003</v>
      </c>
      <c r="N3519" s="21">
        <v>1555.5899999999999</v>
      </c>
      <c r="O3519" s="22">
        <v>0.91000000000000003</v>
      </c>
    </row>
    <row r="3520" ht="38.25">
      <c r="A3520" t="s">
        <v>3577</v>
      </c>
      <c r="B3520" s="19">
        <v>104186</v>
      </c>
      <c r="C3520" s="20" t="s">
        <v>3590</v>
      </c>
      <c r="D3520" s="19" t="s">
        <v>38</v>
      </c>
      <c r="E3520" s="21">
        <f t="shared" si="161"/>
        <v>277.44999999999999</v>
      </c>
      <c r="F3520" s="22">
        <v>0</v>
      </c>
      <c r="G3520" s="21">
        <f t="shared" si="162"/>
        <v>274.44</v>
      </c>
      <c r="H3520" s="22">
        <v>0</v>
      </c>
      <c r="I3520" s="23" t="str">
        <f t="shared" si="163"/>
        <v xml:space="preserve">COM VALOR</v>
      </c>
      <c r="J3520" s="19"/>
      <c r="L3520" s="21">
        <v>277.44999999999999</v>
      </c>
      <c r="M3520" s="22">
        <v>0</v>
      </c>
      <c r="N3520" s="21">
        <v>274.44</v>
      </c>
      <c r="O3520" s="22">
        <v>0</v>
      </c>
    </row>
    <row r="3521" ht="38.25">
      <c r="A3521" t="s">
        <v>3577</v>
      </c>
      <c r="B3521" s="19">
        <v>104180</v>
      </c>
      <c r="C3521" s="20" t="s">
        <v>3591</v>
      </c>
      <c r="D3521" s="19" t="s">
        <v>38</v>
      </c>
      <c r="E3521" s="21" t="str">
        <f t="shared" si="161"/>
        <v>VERIFICAR</v>
      </c>
      <c r="F3521" s="22">
        <v>0</v>
      </c>
      <c r="G3521" s="21" t="str">
        <f t="shared" si="162"/>
        <v>VERIFICAR</v>
      </c>
      <c r="H3521" s="22">
        <v>0</v>
      </c>
      <c r="I3521" s="23" t="str">
        <f t="shared" si="163"/>
        <v xml:space="preserve">COM VALOR</v>
      </c>
      <c r="J3521" s="19"/>
      <c r="L3521" s="21">
        <v>0</v>
      </c>
      <c r="M3521" s="22"/>
      <c r="N3521" s="21">
        <v>0</v>
      </c>
      <c r="O3521" s="22"/>
    </row>
    <row r="3522" ht="38.25">
      <c r="A3522" t="s">
        <v>3577</v>
      </c>
      <c r="B3522" s="19">
        <v>104181</v>
      </c>
      <c r="C3522" s="20" t="s">
        <v>3592</v>
      </c>
      <c r="D3522" s="19" t="s">
        <v>38</v>
      </c>
      <c r="E3522" s="21" t="str">
        <f t="shared" si="161"/>
        <v>VERIFICAR</v>
      </c>
      <c r="F3522" s="22">
        <v>0</v>
      </c>
      <c r="G3522" s="21" t="str">
        <f t="shared" si="162"/>
        <v>VERIFICAR</v>
      </c>
      <c r="H3522" s="22">
        <v>0</v>
      </c>
      <c r="I3522" s="23" t="str">
        <f t="shared" si="163"/>
        <v xml:space="preserve">COM VALOR</v>
      </c>
      <c r="J3522" s="19"/>
      <c r="L3522" s="21">
        <v>0</v>
      </c>
      <c r="M3522" s="22"/>
      <c r="N3522" s="21">
        <v>0</v>
      </c>
      <c r="O3522" s="22"/>
    </row>
    <row r="3523" ht="51">
      <c r="A3523" t="s">
        <v>3593</v>
      </c>
      <c r="B3523" s="19">
        <v>100674</v>
      </c>
      <c r="C3523" s="20" t="s">
        <v>3594</v>
      </c>
      <c r="D3523" s="19" t="s">
        <v>29</v>
      </c>
      <c r="E3523" s="21">
        <f t="shared" si="161"/>
        <v>1036.6199999999999</v>
      </c>
      <c r="F3523" s="22">
        <v>0</v>
      </c>
      <c r="G3523" s="21">
        <f t="shared" si="162"/>
        <v>1034.96</v>
      </c>
      <c r="H3523" s="22">
        <v>0</v>
      </c>
      <c r="I3523" s="23" t="str">
        <f t="shared" si="163"/>
        <v xml:space="preserve">COM VALOR</v>
      </c>
      <c r="J3523" s="19"/>
      <c r="L3523" s="21">
        <v>1036.6199999999999</v>
      </c>
      <c r="M3523" s="22">
        <v>0</v>
      </c>
      <c r="N3523" s="21">
        <v>1034.96</v>
      </c>
      <c r="O3523" s="22">
        <v>0</v>
      </c>
    </row>
    <row r="3524" ht="51">
      <c r="A3524" t="s">
        <v>3593</v>
      </c>
      <c r="B3524" s="19">
        <v>100664</v>
      </c>
      <c r="C3524" s="20" t="s">
        <v>3595</v>
      </c>
      <c r="D3524" s="19" t="s">
        <v>29</v>
      </c>
      <c r="E3524" s="21" t="str">
        <f t="shared" si="161"/>
        <v>VERIFICAR</v>
      </c>
      <c r="F3524" s="22">
        <v>0</v>
      </c>
      <c r="G3524" s="21" t="str">
        <f t="shared" si="162"/>
        <v>VERIFICAR</v>
      </c>
      <c r="H3524" s="22">
        <v>0</v>
      </c>
      <c r="I3524" s="23" t="str">
        <f t="shared" si="163"/>
        <v xml:space="preserve">COM VALOR</v>
      </c>
      <c r="J3524" s="19"/>
      <c r="L3524" s="21">
        <v>0</v>
      </c>
      <c r="M3524" s="22"/>
      <c r="N3524" s="21">
        <v>0</v>
      </c>
      <c r="O3524" s="22"/>
    </row>
    <row r="3525" ht="25.5">
      <c r="A3525" t="s">
        <v>3593</v>
      </c>
      <c r="B3525" s="19">
        <v>94589</v>
      </c>
      <c r="C3525" s="20" t="s">
        <v>3596</v>
      </c>
      <c r="D3525" s="19" t="s">
        <v>38</v>
      </c>
      <c r="E3525" s="21">
        <f t="shared" si="161"/>
        <v>23.59</v>
      </c>
      <c r="F3525" s="22">
        <v>0</v>
      </c>
      <c r="G3525" s="21">
        <f t="shared" si="162"/>
        <v>22.899999999999999</v>
      </c>
      <c r="H3525" s="22">
        <v>0</v>
      </c>
      <c r="I3525" s="23" t="str">
        <f t="shared" si="163"/>
        <v xml:space="preserve">COM VALOR</v>
      </c>
      <c r="J3525" s="19"/>
      <c r="L3525" s="21">
        <v>23.59</v>
      </c>
      <c r="M3525" s="22">
        <v>0</v>
      </c>
      <c r="N3525" s="21">
        <v>22.899999999999999</v>
      </c>
      <c r="O3525" s="22">
        <v>0</v>
      </c>
    </row>
    <row r="3526" ht="25.5">
      <c r="A3526" t="s">
        <v>3593</v>
      </c>
      <c r="B3526" s="19">
        <v>94590</v>
      </c>
      <c r="C3526" s="20" t="s">
        <v>3597</v>
      </c>
      <c r="D3526" s="19" t="s">
        <v>38</v>
      </c>
      <c r="E3526" s="21">
        <f t="shared" si="161"/>
        <v>30.329999999999998</v>
      </c>
      <c r="F3526" s="22">
        <v>0</v>
      </c>
      <c r="G3526" s="21">
        <f t="shared" si="162"/>
        <v>29.469999999999999</v>
      </c>
      <c r="H3526" s="22">
        <v>0</v>
      </c>
      <c r="I3526" s="23" t="str">
        <f t="shared" si="163"/>
        <v xml:space="preserve">COM VALOR</v>
      </c>
      <c r="J3526" s="19"/>
      <c r="L3526" s="21">
        <v>30.329999999999998</v>
      </c>
      <c r="M3526" s="22">
        <v>0</v>
      </c>
      <c r="N3526" s="21">
        <v>29.469999999999999</v>
      </c>
      <c r="O3526" s="22">
        <v>0</v>
      </c>
    </row>
    <row r="3527" ht="25.5">
      <c r="A3527" t="s">
        <v>3593</v>
      </c>
      <c r="B3527" s="19">
        <v>94587</v>
      </c>
      <c r="C3527" s="20" t="s">
        <v>3598</v>
      </c>
      <c r="D3527" s="19" t="s">
        <v>38</v>
      </c>
      <c r="E3527" s="21">
        <f t="shared" si="161"/>
        <v>65.480000000000004</v>
      </c>
      <c r="F3527" s="22">
        <v>0</v>
      </c>
      <c r="G3527" s="21">
        <f t="shared" si="162"/>
        <v>63.920000000000002</v>
      </c>
      <c r="H3527" s="22">
        <v>0</v>
      </c>
      <c r="I3527" s="23" t="str">
        <f t="shared" si="163"/>
        <v xml:space="preserve">COM VALOR</v>
      </c>
      <c r="J3527" s="19"/>
      <c r="L3527" s="21">
        <v>65.480000000000004</v>
      </c>
      <c r="M3527" s="22">
        <v>0.56000000000000005</v>
      </c>
      <c r="N3527" s="21">
        <v>63.920000000000002</v>
      </c>
      <c r="O3527" s="22">
        <v>0.56999999999999995</v>
      </c>
    </row>
    <row r="3528" ht="25.5">
      <c r="A3528" t="s">
        <v>3593</v>
      </c>
      <c r="B3528" s="19">
        <v>94588</v>
      </c>
      <c r="C3528" s="20" t="s">
        <v>3599</v>
      </c>
      <c r="D3528" s="19" t="s">
        <v>38</v>
      </c>
      <c r="E3528" s="21">
        <f t="shared" si="161"/>
        <v>76.609999999999999</v>
      </c>
      <c r="F3528" s="22">
        <v>0</v>
      </c>
      <c r="G3528" s="21">
        <f t="shared" si="162"/>
        <v>74.640000000000001</v>
      </c>
      <c r="H3528" s="22">
        <v>0</v>
      </c>
      <c r="I3528" s="23" t="str">
        <f t="shared" si="163"/>
        <v xml:space="preserve">COM VALOR</v>
      </c>
      <c r="J3528" s="19"/>
      <c r="L3528" s="21">
        <v>76.609999999999999</v>
      </c>
      <c r="M3528" s="22">
        <v>0.47999999999999998</v>
      </c>
      <c r="N3528" s="21">
        <v>74.640000000000001</v>
      </c>
      <c r="O3528" s="22">
        <v>0.48999999999999999</v>
      </c>
    </row>
    <row r="3529" ht="12.75">
      <c r="A3529" t="s">
        <v>3593</v>
      </c>
      <c r="B3529" s="19">
        <v>105812</v>
      </c>
      <c r="C3529" s="20" t="s">
        <v>3600</v>
      </c>
      <c r="D3529" s="19" t="s">
        <v>38</v>
      </c>
      <c r="E3529" s="21">
        <f t="shared" si="161"/>
        <v>41.880000000000003</v>
      </c>
      <c r="F3529" s="22">
        <v>0</v>
      </c>
      <c r="G3529" s="21">
        <f t="shared" si="162"/>
        <v>41.740000000000002</v>
      </c>
      <c r="H3529" s="22">
        <v>0</v>
      </c>
      <c r="I3529" s="23" t="str">
        <f t="shared" si="163"/>
        <v xml:space="preserve">COM VALOR</v>
      </c>
      <c r="J3529" s="19"/>
      <c r="L3529" s="21">
        <v>41.880000000000003</v>
      </c>
      <c r="M3529" s="22">
        <v>0</v>
      </c>
      <c r="N3529" s="21">
        <v>41.740000000000002</v>
      </c>
      <c r="O3529" s="22">
        <v>0</v>
      </c>
    </row>
    <row r="3530" ht="76.5">
      <c r="A3530" t="s">
        <v>3593</v>
      </c>
      <c r="B3530" s="19">
        <v>94571</v>
      </c>
      <c r="C3530" s="20" t="s">
        <v>3601</v>
      </c>
      <c r="D3530" s="19" t="s">
        <v>29</v>
      </c>
      <c r="E3530" s="21" t="str">
        <f t="shared" si="161"/>
        <v>VERIFICAR</v>
      </c>
      <c r="F3530" s="22">
        <v>0</v>
      </c>
      <c r="G3530" s="21" t="str">
        <f t="shared" si="162"/>
        <v>VERIFICAR</v>
      </c>
      <c r="H3530" s="22">
        <v>0</v>
      </c>
      <c r="I3530" s="23" t="str">
        <f t="shared" si="163"/>
        <v xml:space="preserve">COM VALOR</v>
      </c>
      <c r="J3530" s="19"/>
      <c r="L3530" s="21">
        <v>0</v>
      </c>
      <c r="M3530" s="22"/>
      <c r="N3530" s="21">
        <v>0</v>
      </c>
      <c r="O3530" s="22"/>
    </row>
    <row r="3531" ht="63.75">
      <c r="A3531" t="s">
        <v>3593</v>
      </c>
      <c r="B3531" s="19">
        <v>94570</v>
      </c>
      <c r="C3531" s="20" t="s">
        <v>3602</v>
      </c>
      <c r="D3531" s="19" t="s">
        <v>29</v>
      </c>
      <c r="E3531" s="21">
        <f t="shared" ref="E3531:E3594" si="164">IF(L3531=0,"VERIFICAR",L3531)</f>
        <v>475.76999999999998</v>
      </c>
      <c r="F3531" s="22">
        <v>0</v>
      </c>
      <c r="G3531" s="21">
        <f t="shared" ref="G3531:G3594" si="165">IF(N3531=0,"VERIFICAR",N3531)</f>
        <v>475.06999999999999</v>
      </c>
      <c r="H3531" s="22">
        <v>0</v>
      </c>
      <c r="I3531" s="23" t="str">
        <f t="shared" ref="I3531:I3594" si="166">IF(OR(E3531=0,G3531=0),"SEM VALOR","COM VALOR")</f>
        <v xml:space="preserve">COM VALOR</v>
      </c>
      <c r="J3531" s="19"/>
      <c r="L3531" s="21">
        <v>475.76999999999998</v>
      </c>
      <c r="M3531" s="22">
        <v>0</v>
      </c>
      <c r="N3531" s="21">
        <v>475.06999999999999</v>
      </c>
      <c r="O3531" s="22">
        <v>0</v>
      </c>
    </row>
    <row r="3532" ht="76.5">
      <c r="A3532" t="s">
        <v>3593</v>
      </c>
      <c r="B3532" s="19">
        <v>105811</v>
      </c>
      <c r="C3532" s="20" t="s">
        <v>3603</v>
      </c>
      <c r="D3532" s="19" t="s">
        <v>29</v>
      </c>
      <c r="E3532" s="21" t="str">
        <f t="shared" si="164"/>
        <v>VERIFICAR</v>
      </c>
      <c r="F3532" s="22">
        <v>0</v>
      </c>
      <c r="G3532" s="21" t="str">
        <f t="shared" si="165"/>
        <v>VERIFICAR</v>
      </c>
      <c r="H3532" s="22">
        <v>0</v>
      </c>
      <c r="I3532" s="23" t="str">
        <f t="shared" si="166"/>
        <v xml:space="preserve">COM VALOR</v>
      </c>
      <c r="J3532" s="19"/>
      <c r="L3532" s="21">
        <v>0</v>
      </c>
      <c r="M3532" s="22"/>
      <c r="N3532" s="21">
        <v>0</v>
      </c>
      <c r="O3532" s="22"/>
    </row>
    <row r="3533" ht="63.75">
      <c r="A3533" t="s">
        <v>3593</v>
      </c>
      <c r="B3533" s="19">
        <v>94572</v>
      </c>
      <c r="C3533" s="20" t="s">
        <v>3604</v>
      </c>
      <c r="D3533" s="19" t="s">
        <v>29</v>
      </c>
      <c r="E3533" s="21">
        <f t="shared" si="164"/>
        <v>683.45000000000005</v>
      </c>
      <c r="F3533" s="22">
        <v>0</v>
      </c>
      <c r="G3533" s="21">
        <f t="shared" si="165"/>
        <v>682.40999999999997</v>
      </c>
      <c r="H3533" s="22">
        <v>0</v>
      </c>
      <c r="I3533" s="23" t="str">
        <f t="shared" si="166"/>
        <v xml:space="preserve">COM VALOR</v>
      </c>
      <c r="J3533" s="19"/>
      <c r="L3533" s="21">
        <v>683.45000000000005</v>
      </c>
      <c r="M3533" s="22">
        <v>0</v>
      </c>
      <c r="N3533" s="21">
        <v>682.40999999999997</v>
      </c>
      <c r="O3533" s="22">
        <v>0</v>
      </c>
    </row>
    <row r="3534" ht="76.5">
      <c r="A3534" t="s">
        <v>3593</v>
      </c>
      <c r="B3534" s="19">
        <v>94573</v>
      </c>
      <c r="C3534" s="20" t="s">
        <v>3605</v>
      </c>
      <c r="D3534" s="19" t="s">
        <v>29</v>
      </c>
      <c r="E3534" s="21">
        <f t="shared" si="164"/>
        <v>532.12</v>
      </c>
      <c r="F3534" s="22">
        <v>0</v>
      </c>
      <c r="G3534" s="21">
        <f t="shared" si="165"/>
        <v>531.44000000000005</v>
      </c>
      <c r="H3534" s="22">
        <v>0</v>
      </c>
      <c r="I3534" s="23" t="str">
        <f t="shared" si="166"/>
        <v xml:space="preserve">COM VALOR</v>
      </c>
      <c r="J3534" s="19"/>
      <c r="L3534" s="21">
        <v>532.12</v>
      </c>
      <c r="M3534" s="22">
        <v>0</v>
      </c>
      <c r="N3534" s="21">
        <v>531.44000000000005</v>
      </c>
      <c r="O3534" s="22">
        <v>0</v>
      </c>
    </row>
    <row r="3535" ht="76.5">
      <c r="A3535" t="s">
        <v>3593</v>
      </c>
      <c r="B3535" s="19">
        <v>105809</v>
      </c>
      <c r="C3535" s="20" t="s">
        <v>3606</v>
      </c>
      <c r="D3535" s="19" t="s">
        <v>29</v>
      </c>
      <c r="E3535" s="21" t="str">
        <f t="shared" si="164"/>
        <v>VERIFICAR</v>
      </c>
      <c r="F3535" s="22">
        <v>0.56000000000000005</v>
      </c>
      <c r="G3535" s="21" t="str">
        <f t="shared" si="165"/>
        <v>VERIFICAR</v>
      </c>
      <c r="H3535" s="22">
        <v>0.56999999999999995</v>
      </c>
      <c r="I3535" s="23" t="str">
        <f t="shared" si="166"/>
        <v xml:space="preserve">COM VALOR</v>
      </c>
      <c r="J3535" s="19"/>
      <c r="L3535" s="21">
        <v>0</v>
      </c>
      <c r="M3535" s="22"/>
      <c r="N3535" s="21">
        <v>0</v>
      </c>
      <c r="O3535" s="22"/>
    </row>
    <row r="3536" ht="63.75">
      <c r="A3536" t="s">
        <v>3593</v>
      </c>
      <c r="B3536" s="19">
        <v>94569</v>
      </c>
      <c r="C3536" s="20" t="s">
        <v>3607</v>
      </c>
      <c r="D3536" s="19" t="s">
        <v>29</v>
      </c>
      <c r="E3536" s="21">
        <f t="shared" si="164"/>
        <v>893.48000000000002</v>
      </c>
      <c r="F3536" s="22">
        <v>0.60999999999999999</v>
      </c>
      <c r="G3536" s="21">
        <f t="shared" si="165"/>
        <v>891.22000000000003</v>
      </c>
      <c r="H3536" s="22">
        <v>0.62</v>
      </c>
      <c r="I3536" s="23" t="str">
        <f t="shared" si="166"/>
        <v xml:space="preserve">COM VALOR</v>
      </c>
      <c r="J3536" s="19"/>
      <c r="L3536" s="21">
        <v>893.48000000000002</v>
      </c>
      <c r="M3536" s="22">
        <v>0</v>
      </c>
      <c r="N3536" s="21">
        <v>891.22000000000003</v>
      </c>
      <c r="O3536" s="22">
        <v>0</v>
      </c>
    </row>
    <row r="3537" ht="51">
      <c r="A3537" t="s">
        <v>3593</v>
      </c>
      <c r="B3537" s="19">
        <v>105810</v>
      </c>
      <c r="C3537" s="20" t="s">
        <v>3608</v>
      </c>
      <c r="D3537" s="19" t="s">
        <v>29</v>
      </c>
      <c r="E3537" s="21" t="str">
        <f t="shared" si="164"/>
        <v>VERIFICAR</v>
      </c>
      <c r="F3537" s="22">
        <v>0.62</v>
      </c>
      <c r="G3537" s="21" t="str">
        <f t="shared" si="165"/>
        <v>VERIFICAR</v>
      </c>
      <c r="H3537" s="22">
        <v>0.63</v>
      </c>
      <c r="I3537" s="23" t="str">
        <f t="shared" si="166"/>
        <v xml:space="preserve">COM VALOR</v>
      </c>
      <c r="J3537" s="19"/>
      <c r="L3537" s="21">
        <v>0</v>
      </c>
      <c r="M3537" s="22"/>
      <c r="N3537" s="21">
        <v>0</v>
      </c>
      <c r="O3537" s="22"/>
    </row>
    <row r="3538" ht="63.75">
      <c r="A3538" t="s">
        <v>3593</v>
      </c>
      <c r="B3538" s="19">
        <v>94561</v>
      </c>
      <c r="C3538" s="20" t="s">
        <v>3609</v>
      </c>
      <c r="D3538" s="19" t="s">
        <v>29</v>
      </c>
      <c r="E3538" s="21" t="str">
        <f t="shared" si="164"/>
        <v>VERIFICAR</v>
      </c>
      <c r="F3538" s="22">
        <v>0.66000000000000003</v>
      </c>
      <c r="G3538" s="21" t="str">
        <f t="shared" si="165"/>
        <v>VERIFICAR</v>
      </c>
      <c r="H3538" s="22">
        <v>0.67000000000000004</v>
      </c>
      <c r="I3538" s="23" t="str">
        <f t="shared" si="166"/>
        <v xml:space="preserve">COM VALOR</v>
      </c>
      <c r="J3538" s="19"/>
      <c r="L3538" s="21">
        <v>0</v>
      </c>
      <c r="M3538" s="22"/>
      <c r="N3538" s="21">
        <v>0</v>
      </c>
      <c r="O3538" s="22"/>
    </row>
    <row r="3539" ht="63.75">
      <c r="A3539" t="s">
        <v>3593</v>
      </c>
      <c r="B3539" s="19">
        <v>94562</v>
      </c>
      <c r="C3539" s="20" t="s">
        <v>3610</v>
      </c>
      <c r="D3539" s="19" t="s">
        <v>29</v>
      </c>
      <c r="E3539" s="21">
        <f t="shared" si="164"/>
        <v>531.98000000000002</v>
      </c>
      <c r="F3539" s="22">
        <v>0.47999999999999998</v>
      </c>
      <c r="G3539" s="21">
        <f t="shared" si="165"/>
        <v>528.83000000000004</v>
      </c>
      <c r="H3539" s="22">
        <v>0.47999999999999998</v>
      </c>
      <c r="I3539" s="23" t="str">
        <f t="shared" si="166"/>
        <v xml:space="preserve">COM VALOR</v>
      </c>
      <c r="J3539" s="19"/>
      <c r="L3539" s="21">
        <v>531.98000000000002</v>
      </c>
      <c r="M3539" s="22">
        <v>0.89000000000000001</v>
      </c>
      <c r="N3539" s="21">
        <v>528.83000000000004</v>
      </c>
      <c r="O3539" s="22">
        <v>0.89000000000000001</v>
      </c>
    </row>
    <row r="3540" ht="51">
      <c r="A3540" t="s">
        <v>3593</v>
      </c>
      <c r="B3540" s="19">
        <v>105813</v>
      </c>
      <c r="C3540" s="20" t="s">
        <v>3611</v>
      </c>
      <c r="D3540" s="19" t="s">
        <v>29</v>
      </c>
      <c r="E3540" s="21">
        <f t="shared" si="164"/>
        <v>912.99000000000001</v>
      </c>
      <c r="F3540" s="22">
        <v>0.54000000000000004</v>
      </c>
      <c r="G3540" s="21">
        <f t="shared" si="165"/>
        <v>901.39999999999998</v>
      </c>
      <c r="H3540" s="22">
        <v>0.55000000000000004</v>
      </c>
      <c r="I3540" s="23" t="str">
        <f t="shared" si="166"/>
        <v xml:space="preserve">COM VALOR</v>
      </c>
      <c r="J3540" s="19"/>
      <c r="L3540" s="21">
        <v>912.99000000000001</v>
      </c>
      <c r="M3540" s="22">
        <v>0.76000000000000001</v>
      </c>
      <c r="N3540" s="21">
        <v>901.39999999999998</v>
      </c>
      <c r="O3540" s="22">
        <v>0.77000000000000002</v>
      </c>
    </row>
    <row r="3541" ht="63.75">
      <c r="A3541" t="s">
        <v>3593</v>
      </c>
      <c r="B3541" s="19">
        <v>94559</v>
      </c>
      <c r="C3541" s="20" t="s">
        <v>3612</v>
      </c>
      <c r="D3541" s="19" t="s">
        <v>29</v>
      </c>
      <c r="E3541" s="21">
        <f t="shared" si="164"/>
        <v>644.48000000000002</v>
      </c>
      <c r="F3541" s="22">
        <v>0.53000000000000003</v>
      </c>
      <c r="G3541" s="21">
        <f t="shared" si="165"/>
        <v>632.86000000000001</v>
      </c>
      <c r="H3541" s="22">
        <v>0.54000000000000004</v>
      </c>
      <c r="I3541" s="23" t="str">
        <f t="shared" si="166"/>
        <v xml:space="preserve">COM VALOR</v>
      </c>
      <c r="J3541" s="19"/>
      <c r="L3541" s="21">
        <v>644.48000000000002</v>
      </c>
      <c r="M3541" s="22">
        <v>0.66249999999999998</v>
      </c>
      <c r="N3541" s="21">
        <v>632.86000000000001</v>
      </c>
      <c r="O3541" s="22">
        <v>0.67000000000000004</v>
      </c>
    </row>
    <row r="3542" ht="76.5">
      <c r="A3542" t="s">
        <v>3593</v>
      </c>
      <c r="B3542" s="19">
        <v>100668</v>
      </c>
      <c r="C3542" s="20" t="s">
        <v>3613</v>
      </c>
      <c r="D3542" s="19" t="s">
        <v>29</v>
      </c>
      <c r="E3542" s="21">
        <f t="shared" si="164"/>
        <v>1286.52</v>
      </c>
      <c r="F3542" s="22">
        <v>0.57999999999999996</v>
      </c>
      <c r="G3542" s="21">
        <f t="shared" si="165"/>
        <v>1277.52</v>
      </c>
      <c r="H3542" s="22">
        <v>0.58999999999999997</v>
      </c>
      <c r="I3542" s="23" t="str">
        <f t="shared" si="166"/>
        <v xml:space="preserve">COM VALOR</v>
      </c>
      <c r="J3542" s="19"/>
      <c r="L3542" s="21">
        <v>1286.52</v>
      </c>
      <c r="M3542" s="22">
        <v>0.72999999999999998</v>
      </c>
      <c r="N3542" s="21">
        <v>1277.52</v>
      </c>
      <c r="O3542" s="22">
        <v>0.73999999999999999</v>
      </c>
    </row>
    <row r="3543" ht="89.25">
      <c r="A3543" t="s">
        <v>3593</v>
      </c>
      <c r="B3543" s="19">
        <v>100670</v>
      </c>
      <c r="C3543" s="20" t="s">
        <v>3614</v>
      </c>
      <c r="D3543" s="19" t="s">
        <v>29</v>
      </c>
      <c r="E3543" s="21">
        <f t="shared" si="164"/>
        <v>977.38</v>
      </c>
      <c r="F3543" s="22">
        <v>0</v>
      </c>
      <c r="G3543" s="21">
        <f t="shared" si="165"/>
        <v>973.95000000000005</v>
      </c>
      <c r="H3543" s="22">
        <v>0</v>
      </c>
      <c r="I3543" s="23" t="str">
        <f t="shared" si="166"/>
        <v xml:space="preserve">COM VALOR</v>
      </c>
      <c r="J3543" s="19"/>
      <c r="L3543" s="21">
        <v>977.38</v>
      </c>
      <c r="M3543" s="22">
        <v>0.87</v>
      </c>
      <c r="N3543" s="21">
        <v>973.95000000000005</v>
      </c>
      <c r="O3543" s="22">
        <v>0.87</v>
      </c>
    </row>
    <row r="3544" ht="76.5">
      <c r="A3544" t="s">
        <v>3593</v>
      </c>
      <c r="B3544" s="19">
        <v>100665</v>
      </c>
      <c r="C3544" s="20" t="s">
        <v>3615</v>
      </c>
      <c r="D3544" s="19" t="s">
        <v>29</v>
      </c>
      <c r="E3544" s="21">
        <f t="shared" si="164"/>
        <v>815.38</v>
      </c>
      <c r="F3544" s="22">
        <v>0</v>
      </c>
      <c r="G3544" s="21">
        <f t="shared" si="165"/>
        <v>811.46000000000004</v>
      </c>
      <c r="H3544" s="22">
        <v>0</v>
      </c>
      <c r="I3544" s="23" t="str">
        <f t="shared" si="166"/>
        <v xml:space="preserve">COM VALOR</v>
      </c>
      <c r="J3544" s="19"/>
      <c r="L3544" s="21">
        <v>815.38</v>
      </c>
      <c r="M3544" s="22">
        <v>0.81999999999999995</v>
      </c>
      <c r="N3544" s="21">
        <v>811.46000000000004</v>
      </c>
      <c r="O3544" s="22">
        <v>0.81999999999999995</v>
      </c>
    </row>
    <row r="3545" ht="76.5">
      <c r="A3545" t="s">
        <v>3593</v>
      </c>
      <c r="B3545" s="19">
        <v>100924</v>
      </c>
      <c r="C3545" s="20" t="s">
        <v>3616</v>
      </c>
      <c r="D3545" s="19" t="s">
        <v>29</v>
      </c>
      <c r="E3545" s="21" t="str">
        <f t="shared" si="164"/>
        <v>VERIFICAR</v>
      </c>
      <c r="F3545" s="22">
        <v>0</v>
      </c>
      <c r="G3545" s="21" t="str">
        <f t="shared" si="165"/>
        <v>VERIFICAR</v>
      </c>
      <c r="H3545" s="22">
        <v>0</v>
      </c>
      <c r="I3545" s="23" t="str">
        <f t="shared" si="166"/>
        <v xml:space="preserve">COM VALOR</v>
      </c>
      <c r="J3545" s="19"/>
      <c r="L3545" s="21">
        <v>0</v>
      </c>
      <c r="M3545" s="22"/>
      <c r="N3545" s="21">
        <v>0</v>
      </c>
      <c r="O3545" s="22"/>
    </row>
    <row r="3546" ht="76.5">
      <c r="A3546" t="s">
        <v>3593</v>
      </c>
      <c r="B3546" s="19">
        <v>100671</v>
      </c>
      <c r="C3546" s="20" t="s">
        <v>3617</v>
      </c>
      <c r="D3546" s="19" t="s">
        <v>29</v>
      </c>
      <c r="E3546" s="21">
        <f t="shared" si="164"/>
        <v>1204.79</v>
      </c>
      <c r="F3546" s="22">
        <v>0</v>
      </c>
      <c r="G3546" s="21">
        <f t="shared" si="165"/>
        <v>1201.3599999999999</v>
      </c>
      <c r="H3546" s="22">
        <v>0</v>
      </c>
      <c r="I3546" s="23" t="str">
        <f t="shared" si="166"/>
        <v xml:space="preserve">COM VALOR</v>
      </c>
      <c r="J3546" s="19"/>
      <c r="L3546" s="21">
        <v>1204.79</v>
      </c>
      <c r="M3546" s="22">
        <v>0.89000000000000001</v>
      </c>
      <c r="N3546" s="21">
        <v>1201.3599999999999</v>
      </c>
      <c r="O3546" s="22">
        <v>0.90000000000000002</v>
      </c>
    </row>
    <row r="3547" ht="76.5">
      <c r="A3547" t="s">
        <v>3593</v>
      </c>
      <c r="B3547" s="19">
        <v>100667</v>
      </c>
      <c r="C3547" s="20" t="s">
        <v>3618</v>
      </c>
      <c r="D3547" s="19" t="s">
        <v>29</v>
      </c>
      <c r="E3547" s="21">
        <f t="shared" si="164"/>
        <v>1039.25</v>
      </c>
      <c r="F3547" s="22">
        <v>0</v>
      </c>
      <c r="G3547" s="21">
        <f t="shared" si="165"/>
        <v>1035.3299999999999</v>
      </c>
      <c r="H3547" s="22">
        <v>0</v>
      </c>
      <c r="I3547" s="23" t="str">
        <f t="shared" si="166"/>
        <v xml:space="preserve">COM VALOR</v>
      </c>
      <c r="J3547" s="19"/>
      <c r="L3547" s="21">
        <v>1039.25</v>
      </c>
      <c r="M3547" s="22">
        <v>0.85999999999999999</v>
      </c>
      <c r="N3547" s="21">
        <v>1035.3299999999999</v>
      </c>
      <c r="O3547" s="22">
        <v>0.85999999999999999</v>
      </c>
    </row>
    <row r="3548" ht="76.5">
      <c r="A3548" t="s">
        <v>3593</v>
      </c>
      <c r="B3548" s="19">
        <v>100669</v>
      </c>
      <c r="C3548" s="20" t="s">
        <v>3619</v>
      </c>
      <c r="D3548" s="19" t="s">
        <v>29</v>
      </c>
      <c r="E3548" s="21">
        <f t="shared" si="164"/>
        <v>945.88999999999999</v>
      </c>
      <c r="F3548" s="22">
        <v>0</v>
      </c>
      <c r="G3548" s="21">
        <f t="shared" si="165"/>
        <v>936.88999999999999</v>
      </c>
      <c r="H3548" s="22">
        <v>0</v>
      </c>
      <c r="I3548" s="23" t="str">
        <f t="shared" si="166"/>
        <v xml:space="preserve">COM VALOR</v>
      </c>
      <c r="J3548" s="19"/>
      <c r="L3548" s="21">
        <v>945.88999999999999</v>
      </c>
      <c r="M3548" s="22">
        <v>0.64000000000000001</v>
      </c>
      <c r="N3548" s="21">
        <v>936.88999999999999</v>
      </c>
      <c r="O3548" s="22">
        <v>0.64000000000000001</v>
      </c>
    </row>
    <row r="3549" ht="76.5">
      <c r="A3549" t="s">
        <v>3593</v>
      </c>
      <c r="B3549" s="19">
        <v>100672</v>
      </c>
      <c r="C3549" s="20" t="s">
        <v>3620</v>
      </c>
      <c r="D3549" s="19" t="s">
        <v>29</v>
      </c>
      <c r="E3549" s="21">
        <f t="shared" si="164"/>
        <v>789.60000000000002</v>
      </c>
      <c r="F3549" s="22">
        <v>0</v>
      </c>
      <c r="G3549" s="21">
        <f t="shared" si="165"/>
        <v>786.16999999999996</v>
      </c>
      <c r="H3549" s="22">
        <v>0</v>
      </c>
      <c r="I3549" s="23" t="str">
        <f t="shared" si="166"/>
        <v xml:space="preserve">COM VALOR</v>
      </c>
      <c r="J3549" s="19"/>
      <c r="L3549" s="21">
        <v>789.60000000000002</v>
      </c>
      <c r="M3549" s="22">
        <v>0.83999999999999997</v>
      </c>
      <c r="N3549" s="21">
        <v>786.16999999999996</v>
      </c>
      <c r="O3549" s="22">
        <v>0.83999999999999997</v>
      </c>
    </row>
    <row r="3550" ht="76.5">
      <c r="A3550" t="s">
        <v>3593</v>
      </c>
      <c r="B3550" s="19">
        <v>100666</v>
      </c>
      <c r="C3550" s="20" t="s">
        <v>3621</v>
      </c>
      <c r="D3550" s="19" t="s">
        <v>29</v>
      </c>
      <c r="E3550" s="21">
        <f t="shared" si="164"/>
        <v>657.02999999999997</v>
      </c>
      <c r="F3550" s="22">
        <v>0</v>
      </c>
      <c r="G3550" s="21">
        <f t="shared" si="165"/>
        <v>653.11000000000001</v>
      </c>
      <c r="H3550" s="22">
        <v>0</v>
      </c>
      <c r="I3550" s="23" t="str">
        <f t="shared" si="166"/>
        <v xml:space="preserve">COM VALOR</v>
      </c>
      <c r="J3550" s="19"/>
      <c r="L3550" s="21">
        <v>657.02999999999997</v>
      </c>
      <c r="M3550" s="22">
        <v>0.78000000000000003</v>
      </c>
      <c r="N3550" s="21">
        <v>653.11000000000001</v>
      </c>
      <c r="O3550" s="22">
        <v>0.78000000000000003</v>
      </c>
    </row>
    <row r="3551" ht="63.75">
      <c r="A3551" t="s">
        <v>3593</v>
      </c>
      <c r="B3551" s="19">
        <v>100663</v>
      </c>
      <c r="C3551" s="20" t="s">
        <v>3622</v>
      </c>
      <c r="D3551" s="19" t="s">
        <v>29</v>
      </c>
      <c r="E3551" s="21" t="str">
        <f t="shared" si="164"/>
        <v>VERIFICAR</v>
      </c>
      <c r="F3551" s="22">
        <v>0</v>
      </c>
      <c r="G3551" s="21" t="str">
        <f t="shared" si="165"/>
        <v>VERIFICAR</v>
      </c>
      <c r="H3551" s="22">
        <v>0</v>
      </c>
      <c r="I3551" s="23" t="str">
        <f t="shared" si="166"/>
        <v xml:space="preserve">COM VALOR</v>
      </c>
      <c r="J3551" s="19"/>
      <c r="L3551" s="21">
        <v>0</v>
      </c>
      <c r="M3551" s="22"/>
      <c r="N3551" s="21">
        <v>0</v>
      </c>
      <c r="O3551" s="22"/>
    </row>
    <row r="3552" ht="63.75">
      <c r="A3552" t="s">
        <v>3593</v>
      </c>
      <c r="B3552" s="19">
        <v>100662</v>
      </c>
      <c r="C3552" s="20" t="s">
        <v>3623</v>
      </c>
      <c r="D3552" s="19" t="s">
        <v>29</v>
      </c>
      <c r="E3552" s="21" t="str">
        <f t="shared" si="164"/>
        <v>VERIFICAR</v>
      </c>
      <c r="F3552" s="22">
        <v>0</v>
      </c>
      <c r="G3552" s="21" t="str">
        <f t="shared" si="165"/>
        <v>VERIFICAR</v>
      </c>
      <c r="H3552" s="22">
        <v>0</v>
      </c>
      <c r="I3552" s="23" t="str">
        <f t="shared" si="166"/>
        <v xml:space="preserve">COM VALOR</v>
      </c>
      <c r="J3552" s="19"/>
      <c r="L3552" s="21">
        <v>0</v>
      </c>
      <c r="M3552" s="22"/>
      <c r="N3552" s="21">
        <v>0</v>
      </c>
      <c r="O3552" s="22"/>
    </row>
    <row r="3553" ht="63.75">
      <c r="A3553" t="s">
        <v>3593</v>
      </c>
      <c r="B3553" s="19">
        <v>100661</v>
      </c>
      <c r="C3553" s="20" t="s">
        <v>3624</v>
      </c>
      <c r="D3553" s="19" t="s">
        <v>29</v>
      </c>
      <c r="E3553" s="21" t="str">
        <f t="shared" si="164"/>
        <v>VERIFICAR</v>
      </c>
      <c r="F3553" s="22">
        <v>0</v>
      </c>
      <c r="G3553" s="21" t="str">
        <f t="shared" si="165"/>
        <v>VERIFICAR</v>
      </c>
      <c r="H3553" s="22">
        <v>0</v>
      </c>
      <c r="I3553" s="23" t="str">
        <f t="shared" si="166"/>
        <v xml:space="preserve">COM VALOR</v>
      </c>
      <c r="J3553" s="19"/>
      <c r="L3553" s="21">
        <v>0</v>
      </c>
      <c r="M3553" s="22"/>
      <c r="N3553" s="21">
        <v>0</v>
      </c>
      <c r="O3553" s="22"/>
    </row>
    <row r="3554" ht="25.5">
      <c r="A3554" t="s">
        <v>3625</v>
      </c>
      <c r="B3554" s="19">
        <v>105925</v>
      </c>
      <c r="C3554" s="20" t="s">
        <v>3626</v>
      </c>
      <c r="D3554" s="19" t="s">
        <v>38</v>
      </c>
      <c r="E3554" s="21">
        <f t="shared" si="164"/>
        <v>2.4500000000000002</v>
      </c>
      <c r="F3554" s="22">
        <v>0</v>
      </c>
      <c r="G3554" s="21">
        <f t="shared" si="165"/>
        <v>2.3100000000000001</v>
      </c>
      <c r="H3554" s="22">
        <v>0</v>
      </c>
      <c r="I3554" s="23" t="str">
        <f t="shared" si="166"/>
        <v xml:space="preserve">COM VALOR</v>
      </c>
      <c r="J3554" s="19"/>
      <c r="L3554" s="21">
        <v>2.4500000000000002</v>
      </c>
      <c r="M3554" s="22">
        <v>0</v>
      </c>
      <c r="N3554" s="21">
        <v>2.3100000000000001</v>
      </c>
      <c r="O3554" s="22">
        <v>0</v>
      </c>
    </row>
    <row r="3555" ht="25.5">
      <c r="A3555" t="s">
        <v>3625</v>
      </c>
      <c r="B3555" s="19">
        <v>100659</v>
      </c>
      <c r="C3555" s="20" t="s">
        <v>3627</v>
      </c>
      <c r="D3555" s="19" t="s">
        <v>38</v>
      </c>
      <c r="E3555" s="21">
        <f t="shared" si="164"/>
        <v>11.94</v>
      </c>
      <c r="F3555" s="22">
        <v>0</v>
      </c>
      <c r="G3555" s="21">
        <f t="shared" si="165"/>
        <v>11.800000000000001</v>
      </c>
      <c r="H3555" s="22">
        <v>0</v>
      </c>
      <c r="I3555" s="23" t="str">
        <f t="shared" si="166"/>
        <v xml:space="preserve">COM VALOR</v>
      </c>
      <c r="J3555" s="19"/>
      <c r="L3555" s="21">
        <v>11.94</v>
      </c>
      <c r="M3555" s="22">
        <v>0</v>
      </c>
      <c r="N3555" s="21">
        <v>11.800000000000001</v>
      </c>
      <c r="O3555" s="22">
        <v>0</v>
      </c>
    </row>
    <row r="3556" ht="25.5">
      <c r="A3556" t="s">
        <v>3625</v>
      </c>
      <c r="B3556" s="19">
        <v>100660</v>
      </c>
      <c r="C3556" s="20" t="s">
        <v>3628</v>
      </c>
      <c r="D3556" s="19" t="s">
        <v>38</v>
      </c>
      <c r="E3556" s="21">
        <f t="shared" si="164"/>
        <v>8.1099999999999994</v>
      </c>
      <c r="F3556" s="22">
        <v>0</v>
      </c>
      <c r="G3556" s="21">
        <f t="shared" si="165"/>
        <v>7.9699999999999998</v>
      </c>
      <c r="H3556" s="22">
        <v>0</v>
      </c>
      <c r="I3556" s="23" t="str">
        <f t="shared" si="166"/>
        <v xml:space="preserve">COM VALOR</v>
      </c>
      <c r="J3556" s="19"/>
      <c r="L3556" s="21">
        <v>8.1099999999999994</v>
      </c>
      <c r="M3556" s="22">
        <v>0</v>
      </c>
      <c r="N3556" s="21">
        <v>7.9699999999999998</v>
      </c>
      <c r="O3556" s="22">
        <v>0</v>
      </c>
    </row>
    <row r="3557" ht="38.25">
      <c r="A3557" t="s">
        <v>3625</v>
      </c>
      <c r="B3557" s="19">
        <v>100711</v>
      </c>
      <c r="C3557" s="20" t="s">
        <v>3629</v>
      </c>
      <c r="D3557" s="19" t="s">
        <v>38</v>
      </c>
      <c r="E3557" s="21" t="str">
        <f t="shared" si="164"/>
        <v>VERIFICAR</v>
      </c>
      <c r="F3557" s="22">
        <v>0</v>
      </c>
      <c r="G3557" s="21" t="str">
        <f t="shared" si="165"/>
        <v>VERIFICAR</v>
      </c>
      <c r="H3557" s="22">
        <v>0</v>
      </c>
      <c r="I3557" s="23" t="str">
        <f t="shared" si="166"/>
        <v xml:space="preserve">COM VALOR</v>
      </c>
      <c r="J3557" s="19"/>
      <c r="L3557" s="21">
        <v>0</v>
      </c>
      <c r="M3557" s="22"/>
      <c r="N3557" s="21">
        <v>0</v>
      </c>
      <c r="O3557" s="22"/>
    </row>
    <row r="3558" ht="25.5">
      <c r="A3558" t="s">
        <v>3625</v>
      </c>
      <c r="B3558" s="19">
        <v>100676</v>
      </c>
      <c r="C3558" s="20" t="s">
        <v>3630</v>
      </c>
      <c r="D3558" s="19" t="s">
        <v>31</v>
      </c>
      <c r="E3558" s="21">
        <f t="shared" si="164"/>
        <v>222.47</v>
      </c>
      <c r="F3558" s="22">
        <v>0</v>
      </c>
      <c r="G3558" s="21">
        <f t="shared" si="165"/>
        <v>216.58000000000001</v>
      </c>
      <c r="H3558" s="22">
        <v>0</v>
      </c>
      <c r="I3558" s="23" t="str">
        <f t="shared" si="166"/>
        <v xml:space="preserve">COM VALOR</v>
      </c>
      <c r="J3558" s="19"/>
      <c r="L3558" s="21">
        <v>222.47</v>
      </c>
      <c r="M3558" s="22">
        <v>0</v>
      </c>
      <c r="N3558" s="21">
        <v>216.58000000000001</v>
      </c>
      <c r="O3558" s="22">
        <v>0</v>
      </c>
    </row>
    <row r="3559" ht="25.5">
      <c r="A3559" t="s">
        <v>3625</v>
      </c>
      <c r="B3559" s="19">
        <v>90806</v>
      </c>
      <c r="C3559" s="20" t="s">
        <v>3631</v>
      </c>
      <c r="D3559" s="19" t="s">
        <v>31</v>
      </c>
      <c r="E3559" s="21">
        <f t="shared" si="164"/>
        <v>462.13</v>
      </c>
      <c r="F3559" s="22">
        <v>0</v>
      </c>
      <c r="G3559" s="21">
        <f t="shared" si="165"/>
        <v>450.01999999999998</v>
      </c>
      <c r="H3559" s="22">
        <v>0</v>
      </c>
      <c r="I3559" s="23" t="str">
        <f t="shared" si="166"/>
        <v xml:space="preserve">COM VALOR</v>
      </c>
      <c r="J3559" s="19"/>
      <c r="L3559" s="21">
        <v>462.13</v>
      </c>
      <c r="M3559" s="22">
        <v>2.e-002</v>
      </c>
      <c r="N3559" s="21">
        <v>450.01999999999998</v>
      </c>
      <c r="O3559" s="22">
        <v>2.e-002</v>
      </c>
    </row>
    <row r="3560" ht="25.5">
      <c r="A3560" t="s">
        <v>3625</v>
      </c>
      <c r="B3560" s="19">
        <v>91292</v>
      </c>
      <c r="C3560" s="20" t="s">
        <v>3632</v>
      </c>
      <c r="D3560" s="19" t="s">
        <v>31</v>
      </c>
      <c r="E3560" s="21">
        <f t="shared" si="164"/>
        <v>376.67000000000002</v>
      </c>
      <c r="F3560" s="22">
        <v>0</v>
      </c>
      <c r="G3560" s="21">
        <f t="shared" si="165"/>
        <v>364.56</v>
      </c>
      <c r="H3560" s="22">
        <v>0</v>
      </c>
      <c r="I3560" s="23" t="str">
        <f t="shared" si="166"/>
        <v xml:space="preserve">COM VALOR</v>
      </c>
      <c r="J3560" s="19"/>
      <c r="L3560" s="21">
        <v>376.67000000000002</v>
      </c>
      <c r="M3560" s="22">
        <v>2.e-002</v>
      </c>
      <c r="N3560" s="21">
        <v>364.56</v>
      </c>
      <c r="O3560" s="22">
        <v>2.e-002</v>
      </c>
    </row>
    <row r="3561" ht="25.5">
      <c r="A3561" t="s">
        <v>3625</v>
      </c>
      <c r="B3561" s="19">
        <v>90801</v>
      </c>
      <c r="C3561" s="20" t="s">
        <v>3633</v>
      </c>
      <c r="D3561" s="19" t="s">
        <v>31</v>
      </c>
      <c r="E3561" s="21">
        <f t="shared" si="164"/>
        <v>355.06999999999999</v>
      </c>
      <c r="F3561" s="22">
        <v>0</v>
      </c>
      <c r="G3561" s="21">
        <f t="shared" si="165"/>
        <v>347.74000000000001</v>
      </c>
      <c r="H3561" s="22">
        <v>0</v>
      </c>
      <c r="I3561" s="23" t="str">
        <f t="shared" si="166"/>
        <v xml:space="preserve">COM VALOR</v>
      </c>
      <c r="J3561" s="19"/>
      <c r="L3561" s="21">
        <v>355.06999999999999</v>
      </c>
      <c r="M3561" s="22">
        <v>0</v>
      </c>
      <c r="N3561" s="21">
        <v>347.74000000000001</v>
      </c>
      <c r="O3561" s="22">
        <v>0</v>
      </c>
    </row>
    <row r="3562" ht="25.5">
      <c r="A3562" t="s">
        <v>3625</v>
      </c>
      <c r="B3562" s="19">
        <v>91287</v>
      </c>
      <c r="C3562" s="20" t="s">
        <v>3634</v>
      </c>
      <c r="D3562" s="19" t="s">
        <v>31</v>
      </c>
      <c r="E3562" s="21">
        <f t="shared" si="164"/>
        <v>269.61000000000001</v>
      </c>
      <c r="F3562" s="22">
        <v>0</v>
      </c>
      <c r="G3562" s="21">
        <f t="shared" si="165"/>
        <v>262.27999999999997</v>
      </c>
      <c r="H3562" s="22">
        <v>0</v>
      </c>
      <c r="I3562" s="23" t="str">
        <f t="shared" si="166"/>
        <v xml:space="preserve">COM VALOR</v>
      </c>
      <c r="J3562" s="19"/>
      <c r="L3562" s="21">
        <v>269.61000000000001</v>
      </c>
      <c r="M3562" s="22">
        <v>0</v>
      </c>
      <c r="N3562" s="21">
        <v>262.27999999999997</v>
      </c>
      <c r="O3562" s="22">
        <v>0</v>
      </c>
    </row>
    <row r="3563" ht="12.75">
      <c r="A3563" t="s">
        <v>3625</v>
      </c>
      <c r="B3563" s="19">
        <v>100706</v>
      </c>
      <c r="C3563" s="20" t="s">
        <v>3635</v>
      </c>
      <c r="D3563" s="19" t="s">
        <v>31</v>
      </c>
      <c r="E3563" s="21">
        <f t="shared" si="164"/>
        <v>90.129999999999995</v>
      </c>
      <c r="F3563" s="22">
        <v>0</v>
      </c>
      <c r="G3563" s="21">
        <f t="shared" si="165"/>
        <v>86.930000000000007</v>
      </c>
      <c r="H3563" s="22">
        <v>0</v>
      </c>
      <c r="I3563" s="23" t="str">
        <f t="shared" si="166"/>
        <v xml:space="preserve">COM VALOR</v>
      </c>
      <c r="J3563" s="19"/>
      <c r="L3563" s="21">
        <v>90.129999999999995</v>
      </c>
      <c r="M3563" s="22">
        <v>0</v>
      </c>
      <c r="N3563" s="21">
        <v>86.930000000000007</v>
      </c>
      <c r="O3563" s="22">
        <v>0</v>
      </c>
    </row>
    <row r="3564" ht="25.5">
      <c r="A3564" t="s">
        <v>3625</v>
      </c>
      <c r="B3564" s="19">
        <v>100709</v>
      </c>
      <c r="C3564" s="20" t="s">
        <v>3636</v>
      </c>
      <c r="D3564" s="19" t="s">
        <v>31</v>
      </c>
      <c r="E3564" s="21">
        <f t="shared" si="164"/>
        <v>60.109999999999999</v>
      </c>
      <c r="F3564" s="22">
        <v>0</v>
      </c>
      <c r="G3564" s="21">
        <f t="shared" si="165"/>
        <v>57.640000000000001</v>
      </c>
      <c r="H3564" s="22">
        <v>0</v>
      </c>
      <c r="I3564" s="23" t="str">
        <f t="shared" si="166"/>
        <v xml:space="preserve">COM VALOR</v>
      </c>
      <c r="J3564" s="19"/>
      <c r="L3564" s="21">
        <v>60.109999999999999</v>
      </c>
      <c r="M3564" s="22">
        <v>0</v>
      </c>
      <c r="N3564" s="21">
        <v>57.640000000000001</v>
      </c>
      <c r="O3564" s="22">
        <v>0</v>
      </c>
    </row>
    <row r="3565" ht="12.75">
      <c r="A3565" t="s">
        <v>3625</v>
      </c>
      <c r="B3565" s="19">
        <v>100710</v>
      </c>
      <c r="C3565" s="20" t="s">
        <v>3637</v>
      </c>
      <c r="D3565" s="19" t="s">
        <v>31</v>
      </c>
      <c r="E3565" s="21">
        <f t="shared" si="164"/>
        <v>144.78999999999999</v>
      </c>
      <c r="F3565" s="22">
        <v>0</v>
      </c>
      <c r="G3565" s="21">
        <f t="shared" si="165"/>
        <v>141.5</v>
      </c>
      <c r="H3565" s="22">
        <v>0</v>
      </c>
      <c r="I3565" s="23" t="str">
        <f t="shared" si="166"/>
        <v xml:space="preserve">COM VALOR</v>
      </c>
      <c r="J3565" s="19"/>
      <c r="L3565" s="21">
        <v>144.78999999999999</v>
      </c>
      <c r="M3565" s="22">
        <v>0</v>
      </c>
      <c r="N3565" s="21">
        <v>141.5</v>
      </c>
      <c r="O3565" s="22">
        <v>0</v>
      </c>
    </row>
    <row r="3566" ht="38.25">
      <c r="A3566" t="s">
        <v>3625</v>
      </c>
      <c r="B3566" s="19">
        <v>90830</v>
      </c>
      <c r="C3566" s="20" t="s">
        <v>3638</v>
      </c>
      <c r="D3566" s="19" t="s">
        <v>31</v>
      </c>
      <c r="E3566" s="21">
        <f t="shared" si="164"/>
        <v>193.21000000000001</v>
      </c>
      <c r="F3566" s="22">
        <v>0</v>
      </c>
      <c r="G3566" s="21">
        <f t="shared" si="165"/>
        <v>190.5</v>
      </c>
      <c r="H3566" s="22">
        <v>0</v>
      </c>
      <c r="I3566" s="23" t="str">
        <f t="shared" si="166"/>
        <v xml:space="preserve">COM VALOR</v>
      </c>
      <c r="J3566" s="19"/>
      <c r="L3566" s="21">
        <v>193.21000000000001</v>
      </c>
      <c r="M3566" s="22">
        <v>0</v>
      </c>
      <c r="N3566" s="21">
        <v>190.5</v>
      </c>
      <c r="O3566" s="22">
        <v>0</v>
      </c>
    </row>
    <row r="3567" ht="38.25">
      <c r="A3567" t="s">
        <v>3625</v>
      </c>
      <c r="B3567" s="19">
        <v>91304</v>
      </c>
      <c r="C3567" s="20" t="s">
        <v>3639</v>
      </c>
      <c r="D3567" s="19" t="s">
        <v>31</v>
      </c>
      <c r="E3567" s="21">
        <f t="shared" si="164"/>
        <v>121.34</v>
      </c>
      <c r="F3567" s="22">
        <v>0</v>
      </c>
      <c r="G3567" s="21">
        <f t="shared" si="165"/>
        <v>118.63</v>
      </c>
      <c r="H3567" s="22">
        <v>0</v>
      </c>
      <c r="I3567" s="23" t="str">
        <f t="shared" si="166"/>
        <v xml:space="preserve">COM VALOR</v>
      </c>
      <c r="J3567" s="19"/>
      <c r="L3567" s="21">
        <v>121.34</v>
      </c>
      <c r="M3567" s="22">
        <v>0</v>
      </c>
      <c r="N3567" s="21">
        <v>118.63</v>
      </c>
      <c r="O3567" s="22">
        <v>0</v>
      </c>
    </row>
    <row r="3568" ht="38.25">
      <c r="A3568" t="s">
        <v>3625</v>
      </c>
      <c r="B3568" s="19">
        <v>90831</v>
      </c>
      <c r="C3568" s="20" t="s">
        <v>3640</v>
      </c>
      <c r="D3568" s="19" t="s">
        <v>31</v>
      </c>
      <c r="E3568" s="21">
        <f t="shared" si="164"/>
        <v>168.34999999999999</v>
      </c>
      <c r="F3568" s="22">
        <v>0</v>
      </c>
      <c r="G3568" s="21">
        <f t="shared" si="165"/>
        <v>166.28</v>
      </c>
      <c r="H3568" s="22">
        <v>0</v>
      </c>
      <c r="I3568" s="23" t="str">
        <f t="shared" si="166"/>
        <v xml:space="preserve">COM VALOR</v>
      </c>
      <c r="J3568" s="19"/>
      <c r="L3568" s="21">
        <v>168.34999999999999</v>
      </c>
      <c r="M3568" s="22">
        <v>0</v>
      </c>
      <c r="N3568" s="21">
        <v>166.28</v>
      </c>
      <c r="O3568" s="22">
        <v>0</v>
      </c>
    </row>
    <row r="3569" ht="38.25">
      <c r="A3569" t="s">
        <v>3625</v>
      </c>
      <c r="B3569" s="19">
        <v>91305</v>
      </c>
      <c r="C3569" s="20" t="s">
        <v>3641</v>
      </c>
      <c r="D3569" s="19" t="s">
        <v>31</v>
      </c>
      <c r="E3569" s="21">
        <f t="shared" si="164"/>
        <v>118.91</v>
      </c>
      <c r="F3569" s="22">
        <v>0</v>
      </c>
      <c r="G3569" s="21">
        <f t="shared" si="165"/>
        <v>116.84</v>
      </c>
      <c r="H3569" s="22">
        <v>0</v>
      </c>
      <c r="I3569" s="23" t="str">
        <f t="shared" si="166"/>
        <v xml:space="preserve">COM VALOR</v>
      </c>
      <c r="J3569" s="19"/>
      <c r="L3569" s="21">
        <v>118.91</v>
      </c>
      <c r="M3569" s="22">
        <v>0</v>
      </c>
      <c r="N3569" s="21">
        <v>116.84</v>
      </c>
      <c r="O3569" s="22">
        <v>0</v>
      </c>
    </row>
    <row r="3570" ht="38.25">
      <c r="A3570" t="s">
        <v>3625</v>
      </c>
      <c r="B3570" s="19">
        <v>91306</v>
      </c>
      <c r="C3570" s="20" t="s">
        <v>3642</v>
      </c>
      <c r="D3570" s="19" t="s">
        <v>31</v>
      </c>
      <c r="E3570" s="21">
        <f t="shared" si="164"/>
        <v>168.34999999999999</v>
      </c>
      <c r="F3570" s="22">
        <v>0</v>
      </c>
      <c r="G3570" s="21">
        <f t="shared" si="165"/>
        <v>166.28</v>
      </c>
      <c r="H3570" s="22">
        <v>0</v>
      </c>
      <c r="I3570" s="23" t="str">
        <f t="shared" si="166"/>
        <v xml:space="preserve">COM VALOR</v>
      </c>
      <c r="J3570" s="19"/>
      <c r="L3570" s="21">
        <v>168.34999999999999</v>
      </c>
      <c r="M3570" s="22">
        <v>0</v>
      </c>
      <c r="N3570" s="21">
        <v>166.28</v>
      </c>
      <c r="O3570" s="22">
        <v>0</v>
      </c>
    </row>
    <row r="3571" ht="38.25">
      <c r="A3571" t="s">
        <v>3625</v>
      </c>
      <c r="B3571" s="19">
        <v>91307</v>
      </c>
      <c r="C3571" s="20" t="s">
        <v>3643</v>
      </c>
      <c r="D3571" s="19" t="s">
        <v>31</v>
      </c>
      <c r="E3571" s="21">
        <f t="shared" si="164"/>
        <v>102.23</v>
      </c>
      <c r="F3571" s="22">
        <v>0</v>
      </c>
      <c r="G3571" s="21">
        <f t="shared" si="165"/>
        <v>100.16</v>
      </c>
      <c r="H3571" s="22">
        <v>0</v>
      </c>
      <c r="I3571" s="23" t="str">
        <f t="shared" si="166"/>
        <v xml:space="preserve">COM VALOR</v>
      </c>
      <c r="J3571" s="19"/>
      <c r="L3571" s="21">
        <v>102.23</v>
      </c>
      <c r="M3571" s="22">
        <v>0</v>
      </c>
      <c r="N3571" s="21">
        <v>100.16</v>
      </c>
      <c r="O3571" s="22">
        <v>0</v>
      </c>
    </row>
    <row r="3572" ht="12.75">
      <c r="A3572" t="s">
        <v>3625</v>
      </c>
      <c r="B3572" s="19">
        <v>100707</v>
      </c>
      <c r="C3572" s="20" t="s">
        <v>3644</v>
      </c>
      <c r="D3572" s="19" t="s">
        <v>31</v>
      </c>
      <c r="E3572" s="21">
        <f t="shared" si="164"/>
        <v>180.34</v>
      </c>
      <c r="F3572" s="22">
        <v>0</v>
      </c>
      <c r="G3572" s="21">
        <f t="shared" si="165"/>
        <v>177.30000000000001</v>
      </c>
      <c r="H3572" s="22">
        <v>0</v>
      </c>
      <c r="I3572" s="23" t="str">
        <f t="shared" si="166"/>
        <v xml:space="preserve">COM VALOR</v>
      </c>
      <c r="J3572" s="19"/>
      <c r="L3572" s="21">
        <v>180.34</v>
      </c>
      <c r="M3572" s="22">
        <v>0</v>
      </c>
      <c r="N3572" s="21">
        <v>177.30000000000001</v>
      </c>
      <c r="O3572" s="22">
        <v>0</v>
      </c>
    </row>
    <row r="3573" ht="12.75">
      <c r="A3573" t="s">
        <v>3625</v>
      </c>
      <c r="B3573" s="19">
        <v>100708</v>
      </c>
      <c r="C3573" s="20" t="s">
        <v>3645</v>
      </c>
      <c r="D3573" s="19" t="s">
        <v>31</v>
      </c>
      <c r="E3573" s="21">
        <f t="shared" si="164"/>
        <v>225.15000000000001</v>
      </c>
      <c r="F3573" s="22">
        <v>0</v>
      </c>
      <c r="G3573" s="21">
        <f t="shared" si="165"/>
        <v>221.78</v>
      </c>
      <c r="H3573" s="22">
        <v>0</v>
      </c>
      <c r="I3573" s="23" t="str">
        <f t="shared" si="166"/>
        <v xml:space="preserve">COM VALOR</v>
      </c>
      <c r="J3573" s="19"/>
      <c r="L3573" s="21">
        <v>225.15000000000001</v>
      </c>
      <c r="M3573" s="22">
        <v>0</v>
      </c>
      <c r="N3573" s="21">
        <v>221.78</v>
      </c>
      <c r="O3573" s="22">
        <v>0</v>
      </c>
    </row>
    <row r="3574" ht="51">
      <c r="A3574" t="s">
        <v>3625</v>
      </c>
      <c r="B3574" s="19">
        <v>91328</v>
      </c>
      <c r="C3574" s="20" t="s">
        <v>3646</v>
      </c>
      <c r="D3574" s="19" t="s">
        <v>31</v>
      </c>
      <c r="E3574" s="21">
        <f t="shared" si="164"/>
        <v>1009.6</v>
      </c>
      <c r="F3574" s="22">
        <v>0.84999999999999998</v>
      </c>
      <c r="G3574" s="21">
        <f t="shared" si="165"/>
        <v>992.70000000000005</v>
      </c>
      <c r="H3574" s="22">
        <v>0.84999999999999998</v>
      </c>
      <c r="I3574" s="23" t="str">
        <f t="shared" si="166"/>
        <v xml:space="preserve">COM VALOR</v>
      </c>
      <c r="J3574" s="19"/>
      <c r="L3574" s="21">
        <v>1009.6</v>
      </c>
      <c r="M3574" s="22">
        <v>1.e-002</v>
      </c>
      <c r="N3574" s="21">
        <v>992.70000000000005</v>
      </c>
      <c r="O3574" s="22">
        <v>1.e-002</v>
      </c>
    </row>
    <row r="3575" ht="51">
      <c r="A3575" t="s">
        <v>3625</v>
      </c>
      <c r="B3575" s="19">
        <v>100687</v>
      </c>
      <c r="C3575" s="20" t="s">
        <v>3647</v>
      </c>
      <c r="D3575" s="19" t="s">
        <v>31</v>
      </c>
      <c r="E3575" s="21">
        <f t="shared" si="164"/>
        <v>1177.95</v>
      </c>
      <c r="F3575" s="22">
        <v>0</v>
      </c>
      <c r="G3575" s="21">
        <f t="shared" si="165"/>
        <v>1158.98</v>
      </c>
      <c r="H3575" s="22">
        <v>0</v>
      </c>
      <c r="I3575" s="23" t="str">
        <f t="shared" si="166"/>
        <v xml:space="preserve">COM VALOR</v>
      </c>
      <c r="J3575" s="19"/>
      <c r="L3575" s="21">
        <v>1177.95</v>
      </c>
      <c r="M3575" s="22">
        <v>1.e-002</v>
      </c>
      <c r="N3575" s="21">
        <v>1158.98</v>
      </c>
      <c r="O3575" s="22">
        <v>1.e-002</v>
      </c>
    </row>
    <row r="3576" ht="51">
      <c r="A3576" t="s">
        <v>3625</v>
      </c>
      <c r="B3576" s="19">
        <v>100681</v>
      </c>
      <c r="C3576" s="20" t="s">
        <v>3648</v>
      </c>
      <c r="D3576" s="19" t="s">
        <v>31</v>
      </c>
      <c r="E3576" s="21">
        <f t="shared" si="164"/>
        <v>1211.51</v>
      </c>
      <c r="F3576" s="22">
        <v>0.87</v>
      </c>
      <c r="G3576" s="21">
        <f t="shared" si="165"/>
        <v>1192.1500000000001</v>
      </c>
      <c r="H3576" s="22">
        <v>0.88</v>
      </c>
      <c r="I3576" s="23" t="str">
        <f t="shared" si="166"/>
        <v xml:space="preserve">COM VALOR</v>
      </c>
      <c r="J3576" s="19"/>
      <c r="L3576" s="21">
        <v>1211.51</v>
      </c>
      <c r="M3576" s="22">
        <v>1.e-002</v>
      </c>
      <c r="N3576" s="21">
        <v>1192.1500000000001</v>
      </c>
      <c r="O3576" s="22">
        <v>1.e-002</v>
      </c>
    </row>
    <row r="3577" ht="51">
      <c r="A3577" t="s">
        <v>3625</v>
      </c>
      <c r="B3577" s="19">
        <v>91330</v>
      </c>
      <c r="C3577" s="20" t="s">
        <v>3649</v>
      </c>
      <c r="D3577" s="19" t="s">
        <v>31</v>
      </c>
      <c r="E3577" s="21">
        <f t="shared" si="164"/>
        <v>1043.1600000000001</v>
      </c>
      <c r="F3577" s="22">
        <v>0</v>
      </c>
      <c r="G3577" s="21">
        <f t="shared" si="165"/>
        <v>1025.8699999999999</v>
      </c>
      <c r="H3577" s="22">
        <v>0</v>
      </c>
      <c r="I3577" s="23" t="str">
        <f t="shared" si="166"/>
        <v xml:space="preserve">COM VALOR</v>
      </c>
      <c r="J3577" s="19"/>
      <c r="L3577" s="21">
        <v>1043.1600000000001</v>
      </c>
      <c r="M3577" s="22">
        <v>1.e-002</v>
      </c>
      <c r="N3577" s="21">
        <v>1025.8699999999999</v>
      </c>
      <c r="O3577" s="22">
        <v>1.e-002</v>
      </c>
    </row>
    <row r="3578" ht="51">
      <c r="A3578" t="s">
        <v>3625</v>
      </c>
      <c r="B3578" s="19">
        <v>100689</v>
      </c>
      <c r="C3578" s="20" t="s">
        <v>3650</v>
      </c>
      <c r="D3578" s="19" t="s">
        <v>31</v>
      </c>
      <c r="E3578" s="21">
        <f t="shared" si="164"/>
        <v>1285.27</v>
      </c>
      <c r="F3578" s="22">
        <v>0</v>
      </c>
      <c r="G3578" s="21">
        <f t="shared" si="165"/>
        <v>1264.8699999999999</v>
      </c>
      <c r="H3578" s="22">
        <v>0</v>
      </c>
      <c r="I3578" s="23" t="str">
        <f t="shared" si="166"/>
        <v xml:space="preserve">COM VALOR</v>
      </c>
      <c r="J3578" s="19"/>
      <c r="L3578" s="21">
        <v>1285.27</v>
      </c>
      <c r="M3578" s="22">
        <v>1.e-002</v>
      </c>
      <c r="N3578" s="21">
        <v>1264.8699999999999</v>
      </c>
      <c r="O3578" s="22">
        <v>1.e-002</v>
      </c>
    </row>
    <row r="3579" ht="51">
      <c r="A3579" t="s">
        <v>3625</v>
      </c>
      <c r="B3579" s="19">
        <v>91332</v>
      </c>
      <c r="C3579" s="20" t="s">
        <v>3651</v>
      </c>
      <c r="D3579" s="19" t="s">
        <v>31</v>
      </c>
      <c r="E3579" s="21">
        <f t="shared" si="164"/>
        <v>1092.0599999999999</v>
      </c>
      <c r="F3579" s="22">
        <v>0</v>
      </c>
      <c r="G3579" s="21">
        <f t="shared" si="165"/>
        <v>1074.3699999999999</v>
      </c>
      <c r="H3579" s="22">
        <v>0</v>
      </c>
      <c r="I3579" s="23" t="str">
        <f t="shared" si="166"/>
        <v xml:space="preserve">COM VALOR</v>
      </c>
      <c r="J3579" s="19"/>
      <c r="L3579" s="21">
        <v>1092.0599999999999</v>
      </c>
      <c r="M3579" s="22">
        <v>1.e-002</v>
      </c>
      <c r="N3579" s="21">
        <v>1074.3699999999999</v>
      </c>
      <c r="O3579" s="22">
        <v>1.e-002</v>
      </c>
    </row>
    <row r="3580" ht="51">
      <c r="A3580" t="s">
        <v>3625</v>
      </c>
      <c r="B3580" s="19">
        <v>100688</v>
      </c>
      <c r="C3580" s="20" t="s">
        <v>3652</v>
      </c>
      <c r="D3580" s="19" t="s">
        <v>31</v>
      </c>
      <c r="E3580" s="21">
        <f t="shared" si="164"/>
        <v>1006.28</v>
      </c>
      <c r="F3580" s="22">
        <v>0</v>
      </c>
      <c r="G3580" s="21">
        <f t="shared" si="165"/>
        <v>987.30999999999995</v>
      </c>
      <c r="H3580" s="22">
        <v>0</v>
      </c>
      <c r="I3580" s="23" t="str">
        <f t="shared" si="166"/>
        <v xml:space="preserve">COM VALOR</v>
      </c>
      <c r="J3580" s="19"/>
      <c r="L3580" s="21">
        <v>1006.28</v>
      </c>
      <c r="M3580" s="22">
        <v>1.e-002</v>
      </c>
      <c r="N3580" s="21">
        <v>987.30999999999995</v>
      </c>
      <c r="O3580" s="22">
        <v>1.e-002</v>
      </c>
    </row>
    <row r="3581" ht="51">
      <c r="A3581" t="s">
        <v>3625</v>
      </c>
      <c r="B3581" s="19">
        <v>91329</v>
      </c>
      <c r="C3581" s="20" t="s">
        <v>3653</v>
      </c>
      <c r="D3581" s="19" t="s">
        <v>31</v>
      </c>
      <c r="E3581" s="21">
        <f t="shared" si="164"/>
        <v>887.37</v>
      </c>
      <c r="F3581" s="22">
        <v>0</v>
      </c>
      <c r="G3581" s="21">
        <f t="shared" si="165"/>
        <v>870.47000000000003</v>
      </c>
      <c r="H3581" s="22">
        <v>0</v>
      </c>
      <c r="I3581" s="23" t="str">
        <f t="shared" si="166"/>
        <v xml:space="preserve">COM VALOR</v>
      </c>
      <c r="J3581" s="19"/>
      <c r="L3581" s="21">
        <v>887.37</v>
      </c>
      <c r="M3581" s="22">
        <v>1.e-002</v>
      </c>
      <c r="N3581" s="21">
        <v>870.47000000000003</v>
      </c>
      <c r="O3581" s="22">
        <v>1.e-002</v>
      </c>
    </row>
    <row r="3582" ht="51">
      <c r="A3582" t="s">
        <v>3625</v>
      </c>
      <c r="B3582" s="19">
        <v>100682</v>
      </c>
      <c r="C3582" s="20" t="s">
        <v>3654</v>
      </c>
      <c r="D3582" s="19" t="s">
        <v>31</v>
      </c>
      <c r="E3582" s="21">
        <f t="shared" si="164"/>
        <v>1022.39</v>
      </c>
      <c r="F3582" s="22">
        <v>0</v>
      </c>
      <c r="G3582" s="21">
        <f t="shared" si="165"/>
        <v>1003.03</v>
      </c>
      <c r="H3582" s="22">
        <v>0</v>
      </c>
      <c r="I3582" s="23" t="str">
        <f t="shared" si="166"/>
        <v xml:space="preserve">COM VALOR</v>
      </c>
      <c r="J3582" s="19"/>
      <c r="L3582" s="21">
        <v>1022.39</v>
      </c>
      <c r="M3582" s="22">
        <v>1.e-002</v>
      </c>
      <c r="N3582" s="21">
        <v>1003.03</v>
      </c>
      <c r="O3582" s="22">
        <v>1.e-002</v>
      </c>
    </row>
    <row r="3583" ht="51">
      <c r="A3583" t="s">
        <v>3625</v>
      </c>
      <c r="B3583" s="19">
        <v>91331</v>
      </c>
      <c r="C3583" s="20" t="s">
        <v>3655</v>
      </c>
      <c r="D3583" s="19" t="s">
        <v>31</v>
      </c>
      <c r="E3583" s="21">
        <f t="shared" si="164"/>
        <v>920.15999999999997</v>
      </c>
      <c r="F3583" s="22">
        <v>0</v>
      </c>
      <c r="G3583" s="21">
        <f t="shared" si="165"/>
        <v>902.87</v>
      </c>
      <c r="H3583" s="22">
        <v>0</v>
      </c>
      <c r="I3583" s="23" t="str">
        <f t="shared" si="166"/>
        <v xml:space="preserve">COM VALOR</v>
      </c>
      <c r="J3583" s="19"/>
      <c r="L3583" s="21">
        <v>920.15999999999997</v>
      </c>
      <c r="M3583" s="22">
        <v>1.e-002</v>
      </c>
      <c r="N3583" s="21">
        <v>902.87</v>
      </c>
      <c r="O3583" s="22">
        <v>1.e-002</v>
      </c>
    </row>
    <row r="3584" ht="51">
      <c r="A3584" t="s">
        <v>3625</v>
      </c>
      <c r="B3584" s="19">
        <v>100690</v>
      </c>
      <c r="C3584" s="20" t="s">
        <v>3656</v>
      </c>
      <c r="D3584" s="19" t="s">
        <v>31</v>
      </c>
      <c r="E3584" s="21">
        <f t="shared" si="164"/>
        <v>1089.6400000000001</v>
      </c>
      <c r="F3584" s="22">
        <v>0</v>
      </c>
      <c r="G3584" s="21">
        <f t="shared" si="165"/>
        <v>1069.24</v>
      </c>
      <c r="H3584" s="22">
        <v>0</v>
      </c>
      <c r="I3584" s="23" t="str">
        <f t="shared" si="166"/>
        <v xml:space="preserve">COM VALOR</v>
      </c>
      <c r="J3584" s="19"/>
      <c r="L3584" s="21">
        <v>1089.6400000000001</v>
      </c>
      <c r="M3584" s="22">
        <v>1.e-002</v>
      </c>
      <c r="N3584" s="21">
        <v>1069.24</v>
      </c>
      <c r="O3584" s="22">
        <v>1.e-002</v>
      </c>
    </row>
    <row r="3585" ht="51">
      <c r="A3585" t="s">
        <v>3625</v>
      </c>
      <c r="B3585" s="19">
        <v>91333</v>
      </c>
      <c r="C3585" s="20" t="s">
        <v>3657</v>
      </c>
      <c r="D3585" s="19" t="s">
        <v>31</v>
      </c>
      <c r="E3585" s="21">
        <f t="shared" si="164"/>
        <v>968.29999999999995</v>
      </c>
      <c r="F3585" s="22">
        <v>0</v>
      </c>
      <c r="G3585" s="21">
        <f t="shared" si="165"/>
        <v>950.61000000000001</v>
      </c>
      <c r="H3585" s="22">
        <v>0</v>
      </c>
      <c r="I3585" s="23" t="str">
        <f t="shared" si="166"/>
        <v xml:space="preserve">COM VALOR</v>
      </c>
      <c r="J3585" s="19"/>
      <c r="L3585" s="21">
        <v>968.29999999999995</v>
      </c>
      <c r="M3585" s="22">
        <v>1.e-002</v>
      </c>
      <c r="N3585" s="21">
        <v>950.61000000000001</v>
      </c>
      <c r="O3585" s="22">
        <v>7.4999999999999997e-003</v>
      </c>
    </row>
    <row r="3586" ht="63.75">
      <c r="A3586" t="s">
        <v>3625</v>
      </c>
      <c r="B3586" s="19">
        <v>90845</v>
      </c>
      <c r="C3586" s="20" t="s">
        <v>3658</v>
      </c>
      <c r="D3586" s="19" t="s">
        <v>31</v>
      </c>
      <c r="E3586" s="21">
        <f t="shared" si="164"/>
        <v>1552.49</v>
      </c>
      <c r="F3586" s="22">
        <v>0</v>
      </c>
      <c r="G3586" s="21">
        <f t="shared" si="165"/>
        <v>1530.47</v>
      </c>
      <c r="H3586" s="22">
        <v>0</v>
      </c>
      <c r="I3586" s="23" t="str">
        <f t="shared" si="166"/>
        <v xml:space="preserve">COM VALOR</v>
      </c>
      <c r="J3586" s="19"/>
      <c r="L3586" s="21">
        <v>1552.49</v>
      </c>
      <c r="M3586" s="22">
        <v>0</v>
      </c>
      <c r="N3586" s="21">
        <v>1530.47</v>
      </c>
      <c r="O3586" s="22">
        <v>0</v>
      </c>
    </row>
    <row r="3587" ht="63.75">
      <c r="A3587" t="s">
        <v>3625</v>
      </c>
      <c r="B3587" s="19">
        <v>90846</v>
      </c>
      <c r="C3587" s="20" t="s">
        <v>3659</v>
      </c>
      <c r="D3587" s="19" t="s">
        <v>31</v>
      </c>
      <c r="E3587" s="21">
        <f t="shared" si="164"/>
        <v>1642.7</v>
      </c>
      <c r="F3587" s="22">
        <v>0</v>
      </c>
      <c r="G3587" s="21">
        <f t="shared" si="165"/>
        <v>1620.1700000000001</v>
      </c>
      <c r="H3587" s="22">
        <v>0</v>
      </c>
      <c r="I3587" s="23" t="str">
        <f t="shared" si="166"/>
        <v xml:space="preserve">COM VALOR</v>
      </c>
      <c r="J3587" s="19"/>
      <c r="L3587" s="21">
        <v>1642.7</v>
      </c>
      <c r="M3587" s="22">
        <v>0</v>
      </c>
      <c r="N3587" s="21">
        <v>1620.1700000000001</v>
      </c>
      <c r="O3587" s="22">
        <v>0</v>
      </c>
    </row>
    <row r="3588" ht="63.75">
      <c r="A3588" t="s">
        <v>3625</v>
      </c>
      <c r="B3588" s="19">
        <v>91316</v>
      </c>
      <c r="C3588" s="20" t="s">
        <v>3660</v>
      </c>
      <c r="D3588" s="19" t="s">
        <v>31</v>
      </c>
      <c r="E3588" s="21">
        <f t="shared" si="164"/>
        <v>1356.8599999999999</v>
      </c>
      <c r="F3588" s="22">
        <v>0</v>
      </c>
      <c r="G3588" s="21">
        <f t="shared" si="165"/>
        <v>1334.8399999999999</v>
      </c>
      <c r="H3588" s="22">
        <v>0</v>
      </c>
      <c r="I3588" s="23" t="str">
        <f t="shared" si="166"/>
        <v xml:space="preserve">COM VALOR</v>
      </c>
      <c r="J3588" s="19"/>
      <c r="L3588" s="21">
        <v>1356.8599999999999</v>
      </c>
      <c r="M3588" s="22">
        <v>1.e-002</v>
      </c>
      <c r="N3588" s="21">
        <v>1334.8399999999999</v>
      </c>
      <c r="O3588" s="22">
        <v>1.e-002</v>
      </c>
    </row>
    <row r="3589" ht="63.75">
      <c r="A3589" t="s">
        <v>3625</v>
      </c>
      <c r="B3589" s="19">
        <v>91317</v>
      </c>
      <c r="C3589" s="20" t="s">
        <v>3661</v>
      </c>
      <c r="D3589" s="19" t="s">
        <v>31</v>
      </c>
      <c r="E3589" s="21">
        <f t="shared" si="164"/>
        <v>1446.3099999999999</v>
      </c>
      <c r="F3589" s="22">
        <v>0</v>
      </c>
      <c r="G3589" s="21">
        <f t="shared" si="165"/>
        <v>1423.77</v>
      </c>
      <c r="H3589" s="22">
        <v>0</v>
      </c>
      <c r="I3589" s="23" t="str">
        <f t="shared" si="166"/>
        <v xml:space="preserve">COM VALOR</v>
      </c>
      <c r="J3589" s="19"/>
      <c r="L3589" s="21">
        <v>1446.3099999999999</v>
      </c>
      <c r="M3589" s="22">
        <v>5.0000000000000001e-003</v>
      </c>
      <c r="N3589" s="21">
        <v>1423.77</v>
      </c>
      <c r="O3589" s="22">
        <v>5.0000000000000001e-003</v>
      </c>
    </row>
    <row r="3590" ht="51">
      <c r="A3590" t="s">
        <v>3625</v>
      </c>
      <c r="B3590" s="19">
        <v>90841</v>
      </c>
      <c r="C3590" s="20" t="s">
        <v>3662</v>
      </c>
      <c r="D3590" s="19" t="s">
        <v>31</v>
      </c>
      <c r="E3590" s="21">
        <f t="shared" si="164"/>
        <v>1151.6600000000001</v>
      </c>
      <c r="F3590" s="22">
        <v>0</v>
      </c>
      <c r="G3590" s="21">
        <f t="shared" si="165"/>
        <v>1132.6900000000001</v>
      </c>
      <c r="H3590" s="22">
        <v>0</v>
      </c>
      <c r="I3590" s="23" t="str">
        <f t="shared" si="166"/>
        <v xml:space="preserve">COM VALOR</v>
      </c>
      <c r="J3590" s="19"/>
      <c r="L3590" s="21">
        <v>1151.6600000000001</v>
      </c>
      <c r="M3590" s="22">
        <v>1.e-002</v>
      </c>
      <c r="N3590" s="21">
        <v>1132.6900000000001</v>
      </c>
      <c r="O3590" s="22">
        <v>1.e-002</v>
      </c>
    </row>
    <row r="3591" ht="51">
      <c r="A3591" t="s">
        <v>3625</v>
      </c>
      <c r="B3591" s="19">
        <v>90847</v>
      </c>
      <c r="C3591" s="20" t="s">
        <v>3663</v>
      </c>
      <c r="D3591" s="19" t="s">
        <v>31</v>
      </c>
      <c r="E3591" s="21">
        <f t="shared" si="164"/>
        <v>983.30999999999995</v>
      </c>
      <c r="F3591" s="22"/>
      <c r="G3591" s="21">
        <f t="shared" si="165"/>
        <v>966.40999999999997</v>
      </c>
      <c r="H3591" s="22"/>
      <c r="I3591" s="23" t="str">
        <f t="shared" si="166"/>
        <v xml:space="preserve">COM VALOR</v>
      </c>
      <c r="J3591" s="19"/>
      <c r="L3591" s="21">
        <v>983.30999999999995</v>
      </c>
      <c r="M3591" s="22">
        <v>1.e-002</v>
      </c>
      <c r="N3591" s="21">
        <v>966.40999999999997</v>
      </c>
      <c r="O3591" s="22">
        <v>1.e-002</v>
      </c>
    </row>
    <row r="3592" ht="51">
      <c r="A3592" t="s">
        <v>3625</v>
      </c>
      <c r="B3592" s="19">
        <v>90842</v>
      </c>
      <c r="C3592" s="20" t="s">
        <v>3664</v>
      </c>
      <c r="D3592" s="19" t="s">
        <v>31</v>
      </c>
      <c r="E3592" s="21">
        <f t="shared" si="164"/>
        <v>1162.6600000000001</v>
      </c>
      <c r="F3592" s="22"/>
      <c r="G3592" s="21">
        <f t="shared" si="165"/>
        <v>1143.3</v>
      </c>
      <c r="H3592" s="22"/>
      <c r="I3592" s="23" t="str">
        <f t="shared" si="166"/>
        <v xml:space="preserve">COM VALOR</v>
      </c>
      <c r="J3592" s="19"/>
      <c r="L3592" s="21">
        <v>1162.6600000000001</v>
      </c>
      <c r="M3592" s="22">
        <v>1.e-002</v>
      </c>
      <c r="N3592" s="21">
        <v>1143.3</v>
      </c>
      <c r="O3592" s="22">
        <v>1.e-002</v>
      </c>
    </row>
    <row r="3593" ht="51">
      <c r="A3593" t="s">
        <v>3625</v>
      </c>
      <c r="B3593" s="19">
        <v>90848</v>
      </c>
      <c r="C3593" s="20" t="s">
        <v>3665</v>
      </c>
      <c r="D3593" s="19" t="s">
        <v>31</v>
      </c>
      <c r="E3593" s="21">
        <f t="shared" si="164"/>
        <v>994.30999999999995</v>
      </c>
      <c r="F3593" s="22"/>
      <c r="G3593" s="21">
        <f t="shared" si="165"/>
        <v>977.01999999999998</v>
      </c>
      <c r="H3593" s="22"/>
      <c r="I3593" s="23" t="str">
        <f t="shared" si="166"/>
        <v xml:space="preserve">COM VALOR</v>
      </c>
      <c r="J3593" s="19"/>
      <c r="L3593" s="21">
        <v>994.30999999999995</v>
      </c>
      <c r="M3593" s="22">
        <v>1.e-002</v>
      </c>
      <c r="N3593" s="21">
        <v>977.01999999999998</v>
      </c>
      <c r="O3593" s="22">
        <v>1.e-002</v>
      </c>
    </row>
    <row r="3594" ht="51">
      <c r="A3594" t="s">
        <v>3625</v>
      </c>
      <c r="B3594" s="19">
        <v>90843</v>
      </c>
      <c r="C3594" s="20" t="s">
        <v>3666</v>
      </c>
      <c r="D3594" s="19" t="s">
        <v>31</v>
      </c>
      <c r="E3594" s="21">
        <f t="shared" si="164"/>
        <v>1219.9400000000001</v>
      </c>
      <c r="F3594" s="22"/>
      <c r="G3594" s="21">
        <f t="shared" si="165"/>
        <v>1199.54</v>
      </c>
      <c r="H3594" s="22"/>
      <c r="I3594" s="23" t="str">
        <f t="shared" si="166"/>
        <v xml:space="preserve">COM VALOR</v>
      </c>
      <c r="J3594" s="19"/>
      <c r="L3594" s="21">
        <v>1219.9400000000001</v>
      </c>
      <c r="M3594" s="22">
        <v>1.e-002</v>
      </c>
      <c r="N3594" s="21">
        <v>1199.54</v>
      </c>
      <c r="O3594" s="22">
        <v>1.e-002</v>
      </c>
    </row>
    <row r="3595" ht="51">
      <c r="A3595" t="s">
        <v>3625</v>
      </c>
      <c r="B3595" s="19">
        <v>90849</v>
      </c>
      <c r="C3595" s="20" t="s">
        <v>3667</v>
      </c>
      <c r="D3595" s="19" t="s">
        <v>31</v>
      </c>
      <c r="E3595" s="21">
        <f t="shared" ref="E3595:E3658" si="167">IF(L3595=0,"VERIFICAR",L3595)</f>
        <v>1026.73</v>
      </c>
      <c r="F3595" s="22"/>
      <c r="G3595" s="21">
        <f t="shared" ref="G3595:G3658" si="168">IF(N3595=0,"VERIFICAR",N3595)</f>
        <v>1009.04</v>
      </c>
      <c r="H3595" s="22"/>
      <c r="I3595" s="23" t="str">
        <f t="shared" ref="I3595:I3658" si="169">IF(OR(E3595=0,G3595=0),"SEM VALOR","COM VALOR")</f>
        <v xml:space="preserve">COM VALOR</v>
      </c>
      <c r="J3595" s="19"/>
      <c r="L3595" s="21">
        <v>1026.73</v>
      </c>
      <c r="M3595" s="22">
        <v>1.e-002</v>
      </c>
      <c r="N3595" s="21">
        <v>1009.04</v>
      </c>
      <c r="O3595" s="22">
        <v>1.e-002</v>
      </c>
    </row>
    <row r="3596" ht="51">
      <c r="A3596" t="s">
        <v>3625</v>
      </c>
      <c r="B3596" s="19">
        <v>90844</v>
      </c>
      <c r="C3596" s="20" t="s">
        <v>3668</v>
      </c>
      <c r="D3596" s="19" t="s">
        <v>31</v>
      </c>
      <c r="E3596" s="21">
        <f t="shared" si="167"/>
        <v>1322.71</v>
      </c>
      <c r="F3596" s="22"/>
      <c r="G3596" s="21">
        <f t="shared" si="168"/>
        <v>1301.9400000000001</v>
      </c>
      <c r="H3596" s="22"/>
      <c r="I3596" s="23" t="str">
        <f t="shared" si="169"/>
        <v xml:space="preserve">COM VALOR</v>
      </c>
      <c r="J3596" s="19"/>
      <c r="L3596" s="21">
        <v>1322.71</v>
      </c>
      <c r="M3596" s="22">
        <v>1.e-002</v>
      </c>
      <c r="N3596" s="21">
        <v>1301.9400000000001</v>
      </c>
      <c r="O3596" s="22">
        <v>1.e-002</v>
      </c>
    </row>
    <row r="3597" ht="51">
      <c r="A3597" t="s">
        <v>3625</v>
      </c>
      <c r="B3597" s="19">
        <v>90850</v>
      </c>
      <c r="C3597" s="20" t="s">
        <v>3669</v>
      </c>
      <c r="D3597" s="19" t="s">
        <v>31</v>
      </c>
      <c r="E3597" s="21">
        <f t="shared" si="167"/>
        <v>1129.5</v>
      </c>
      <c r="F3597" s="22"/>
      <c r="G3597" s="21">
        <f t="shared" si="168"/>
        <v>1111.4400000000001</v>
      </c>
      <c r="H3597" s="22"/>
      <c r="I3597" s="23" t="str">
        <f t="shared" si="169"/>
        <v xml:space="preserve">COM VALOR</v>
      </c>
      <c r="J3597" s="19"/>
      <c r="L3597" s="21">
        <v>1129.5</v>
      </c>
      <c r="M3597" s="22">
        <v>1.e-002</v>
      </c>
      <c r="N3597" s="21">
        <v>1111.4400000000001</v>
      </c>
      <c r="O3597" s="22">
        <v>1.e-002</v>
      </c>
    </row>
    <row r="3598" ht="51">
      <c r="A3598" t="s">
        <v>3625</v>
      </c>
      <c r="B3598" s="19">
        <v>91312</v>
      </c>
      <c r="C3598" s="20" t="s">
        <v>3670</v>
      </c>
      <c r="D3598" s="19" t="s">
        <v>31</v>
      </c>
      <c r="E3598" s="21">
        <f t="shared" si="167"/>
        <v>979.99000000000001</v>
      </c>
      <c r="F3598" s="22"/>
      <c r="G3598" s="21">
        <f t="shared" si="168"/>
        <v>961.01999999999998</v>
      </c>
      <c r="H3598" s="22"/>
      <c r="I3598" s="23" t="str">
        <f t="shared" si="169"/>
        <v xml:space="preserve">COM VALOR</v>
      </c>
      <c r="J3598" s="19"/>
      <c r="L3598" s="21">
        <v>979.99000000000001</v>
      </c>
      <c r="M3598" s="22">
        <v>1.e-002</v>
      </c>
      <c r="N3598" s="21">
        <v>961.01999999999998</v>
      </c>
      <c r="O3598" s="22">
        <v>7.4999999999999997e-003</v>
      </c>
    </row>
    <row r="3599" ht="51">
      <c r="A3599" t="s">
        <v>3625</v>
      </c>
      <c r="B3599" s="19">
        <v>91318</v>
      </c>
      <c r="C3599" s="20" t="s">
        <v>3671</v>
      </c>
      <c r="D3599" s="19" t="s">
        <v>31</v>
      </c>
      <c r="E3599" s="21">
        <f t="shared" si="167"/>
        <v>861.08000000000004</v>
      </c>
      <c r="F3599" s="22"/>
      <c r="G3599" s="21">
        <f t="shared" si="168"/>
        <v>844.17999999999995</v>
      </c>
      <c r="H3599" s="22"/>
      <c r="I3599" s="23" t="str">
        <f t="shared" si="169"/>
        <v xml:space="preserve">COM VALOR</v>
      </c>
      <c r="J3599" s="19"/>
      <c r="L3599" s="21">
        <v>861.08000000000004</v>
      </c>
      <c r="M3599" s="22">
        <v>1.e-002</v>
      </c>
      <c r="N3599" s="21">
        <v>844.17999999999995</v>
      </c>
      <c r="O3599" s="22">
        <v>1.e-002</v>
      </c>
    </row>
    <row r="3600" ht="51">
      <c r="A3600" t="s">
        <v>3625</v>
      </c>
      <c r="B3600" s="19">
        <v>91313</v>
      </c>
      <c r="C3600" s="20" t="s">
        <v>3672</v>
      </c>
      <c r="D3600" s="19" t="s">
        <v>31</v>
      </c>
      <c r="E3600" s="21">
        <f t="shared" si="167"/>
        <v>973.53999999999996</v>
      </c>
      <c r="F3600" s="22"/>
      <c r="G3600" s="21">
        <f t="shared" si="168"/>
        <v>954.17999999999995</v>
      </c>
      <c r="H3600" s="22"/>
      <c r="I3600" s="23" t="str">
        <f t="shared" si="169"/>
        <v xml:space="preserve">COM VALOR</v>
      </c>
      <c r="J3600" s="19"/>
      <c r="L3600" s="21">
        <v>973.53999999999996</v>
      </c>
      <c r="M3600" s="22">
        <v>1.e-002</v>
      </c>
      <c r="N3600" s="21">
        <v>954.17999999999995</v>
      </c>
      <c r="O3600" s="22">
        <v>7.4999999999999997e-003</v>
      </c>
    </row>
    <row r="3601" ht="51">
      <c r="A3601" t="s">
        <v>3625</v>
      </c>
      <c r="B3601" s="19">
        <v>91319</v>
      </c>
      <c r="C3601" s="20" t="s">
        <v>3673</v>
      </c>
      <c r="D3601" s="19" t="s">
        <v>31</v>
      </c>
      <c r="E3601" s="21">
        <f t="shared" si="167"/>
        <v>871.30999999999995</v>
      </c>
      <c r="F3601" s="22"/>
      <c r="G3601" s="21">
        <f t="shared" si="168"/>
        <v>854.01999999999998</v>
      </c>
      <c r="H3601" s="22"/>
      <c r="I3601" s="23" t="str">
        <f t="shared" si="169"/>
        <v xml:space="preserve">COM VALOR</v>
      </c>
      <c r="J3601" s="19"/>
      <c r="L3601" s="21">
        <v>871.30999999999995</v>
      </c>
      <c r="M3601" s="22">
        <v>1.e-002</v>
      </c>
      <c r="N3601" s="21">
        <v>854.01999999999998</v>
      </c>
      <c r="O3601" s="22">
        <v>1.e-002</v>
      </c>
    </row>
    <row r="3602" ht="51">
      <c r="A3602" t="s">
        <v>3625</v>
      </c>
      <c r="B3602" s="19">
        <v>91314</v>
      </c>
      <c r="C3602" s="20" t="s">
        <v>3674</v>
      </c>
      <c r="D3602" s="19" t="s">
        <v>31</v>
      </c>
      <c r="E3602" s="21">
        <f t="shared" si="167"/>
        <v>1024.3099999999999</v>
      </c>
      <c r="F3602" s="22">
        <v>5.0000000000000003e-002</v>
      </c>
      <c r="G3602" s="21">
        <f t="shared" si="168"/>
        <v>1003.91</v>
      </c>
      <c r="H3602" s="22">
        <v>5.0000000000000003e-002</v>
      </c>
      <c r="I3602" s="23" t="str">
        <f t="shared" si="169"/>
        <v xml:space="preserve">COM VALOR</v>
      </c>
      <c r="J3602" s="19"/>
      <c r="L3602" s="21">
        <v>1024.3099999999999</v>
      </c>
      <c r="M3602" s="22">
        <v>1.e-002</v>
      </c>
      <c r="N3602" s="21">
        <v>1003.91</v>
      </c>
      <c r="O3602" s="22">
        <v>1.e-002</v>
      </c>
    </row>
    <row r="3603" ht="51">
      <c r="A3603" t="s">
        <v>3625</v>
      </c>
      <c r="B3603" s="19">
        <v>91320</v>
      </c>
      <c r="C3603" s="20" t="s">
        <v>3675</v>
      </c>
      <c r="D3603" s="19" t="s">
        <v>31</v>
      </c>
      <c r="E3603" s="21">
        <f t="shared" si="167"/>
        <v>902.97000000000003</v>
      </c>
      <c r="F3603" s="22">
        <v>5.9999999999999998e-002</v>
      </c>
      <c r="G3603" s="21">
        <f t="shared" si="168"/>
        <v>885.27999999999997</v>
      </c>
      <c r="H3603" s="22">
        <v>5.9999999999999998e-002</v>
      </c>
      <c r="I3603" s="23" t="str">
        <f t="shared" si="169"/>
        <v xml:space="preserve">COM VALOR</v>
      </c>
      <c r="J3603" s="19"/>
      <c r="L3603" s="21">
        <v>902.97000000000003</v>
      </c>
      <c r="M3603" s="22">
        <v>1.e-002</v>
      </c>
      <c r="N3603" s="21">
        <v>885.27999999999997</v>
      </c>
      <c r="O3603" s="22">
        <v>1.e-002</v>
      </c>
    </row>
    <row r="3604" ht="51">
      <c r="A3604" t="s">
        <v>3625</v>
      </c>
      <c r="B3604" s="19">
        <v>91315</v>
      </c>
      <c r="C3604" s="20" t="s">
        <v>3676</v>
      </c>
      <c r="D3604" s="19" t="s">
        <v>31</v>
      </c>
      <c r="E3604" s="21">
        <f t="shared" si="167"/>
        <v>1126.3199999999999</v>
      </c>
      <c r="F3604" s="22">
        <v>4.0000000000000001e-002</v>
      </c>
      <c r="G3604" s="21">
        <f t="shared" si="168"/>
        <v>1105.54</v>
      </c>
      <c r="H3604" s="22">
        <v>4.0000000000000001e-002</v>
      </c>
      <c r="I3604" s="23" t="str">
        <f t="shared" si="169"/>
        <v xml:space="preserve">COM VALOR</v>
      </c>
      <c r="J3604" s="19"/>
      <c r="L3604" s="21">
        <v>1126.3199999999999</v>
      </c>
      <c r="M3604" s="22">
        <v>1.e-002</v>
      </c>
      <c r="N3604" s="21">
        <v>1105.54</v>
      </c>
      <c r="O3604" s="22">
        <v>1.e-002</v>
      </c>
    </row>
    <row r="3605" ht="51">
      <c r="A3605" t="s">
        <v>3625</v>
      </c>
      <c r="B3605" s="19">
        <v>91321</v>
      </c>
      <c r="C3605" s="20" t="s">
        <v>3677</v>
      </c>
      <c r="D3605" s="19" t="s">
        <v>31</v>
      </c>
      <c r="E3605" s="21">
        <f t="shared" si="167"/>
        <v>1004.98</v>
      </c>
      <c r="F3605" s="22">
        <v>2.e-002</v>
      </c>
      <c r="G3605" s="21">
        <f t="shared" si="168"/>
        <v>986.90999999999997</v>
      </c>
      <c r="H3605" s="22">
        <v>2.e-002</v>
      </c>
      <c r="I3605" s="23" t="str">
        <f t="shared" si="169"/>
        <v xml:space="preserve">COM VALOR</v>
      </c>
      <c r="J3605" s="19"/>
      <c r="L3605" s="21">
        <v>1004.98</v>
      </c>
      <c r="M3605" s="22">
        <v>1.e-002</v>
      </c>
      <c r="N3605" s="21">
        <v>986.90999999999997</v>
      </c>
      <c r="O3605" s="22">
        <v>1.e-002</v>
      </c>
    </row>
    <row r="3606" ht="51">
      <c r="A3606" t="s">
        <v>3625</v>
      </c>
      <c r="B3606" s="19">
        <v>90851</v>
      </c>
      <c r="C3606" s="20" t="s">
        <v>3678</v>
      </c>
      <c r="D3606" s="19" t="s">
        <v>31</v>
      </c>
      <c r="E3606" s="21">
        <f t="shared" si="167"/>
        <v>1359.28</v>
      </c>
      <c r="F3606" s="22">
        <v>2.9999999999999999e-002</v>
      </c>
      <c r="G3606" s="21">
        <f t="shared" si="168"/>
        <v>1339.97</v>
      </c>
      <c r="H3606" s="22">
        <v>2.9999999999999999e-002</v>
      </c>
      <c r="I3606" s="23" t="str">
        <f t="shared" si="169"/>
        <v xml:space="preserve">COM VALOR</v>
      </c>
      <c r="J3606" s="19"/>
      <c r="L3606" s="21">
        <v>1359.28</v>
      </c>
      <c r="M3606" s="22">
        <v>1.e-002</v>
      </c>
      <c r="N3606" s="21">
        <v>1339.97</v>
      </c>
      <c r="O3606" s="22">
        <v>1.e-002</v>
      </c>
    </row>
    <row r="3607" ht="51">
      <c r="A3607" t="s">
        <v>3625</v>
      </c>
      <c r="B3607" s="19">
        <v>90852</v>
      </c>
      <c r="C3607" s="20" t="s">
        <v>3679</v>
      </c>
      <c r="D3607" s="19" t="s">
        <v>31</v>
      </c>
      <c r="E3607" s="21">
        <f t="shared" si="167"/>
        <v>1449.49</v>
      </c>
      <c r="F3607" s="22">
        <v>2.e-002</v>
      </c>
      <c r="G3607" s="21">
        <f t="shared" si="168"/>
        <v>1429.6700000000001</v>
      </c>
      <c r="H3607" s="22">
        <v>2.e-002</v>
      </c>
      <c r="I3607" s="23" t="str">
        <f t="shared" si="169"/>
        <v xml:space="preserve">COM VALOR</v>
      </c>
      <c r="J3607" s="19"/>
      <c r="L3607" s="21">
        <v>1449.49</v>
      </c>
      <c r="M3607" s="22">
        <v>0</v>
      </c>
      <c r="N3607" s="21">
        <v>1429.6700000000001</v>
      </c>
      <c r="O3607" s="22">
        <v>5.0000000000000001e-003</v>
      </c>
    </row>
    <row r="3608" ht="51">
      <c r="A3608" t="s">
        <v>3625</v>
      </c>
      <c r="B3608" s="19">
        <v>91322</v>
      </c>
      <c r="C3608" s="20" t="s">
        <v>3680</v>
      </c>
      <c r="D3608" s="19" t="s">
        <v>31</v>
      </c>
      <c r="E3608" s="21">
        <f t="shared" si="167"/>
        <v>1235.52</v>
      </c>
      <c r="F3608" s="22">
        <v>2.e-002</v>
      </c>
      <c r="G3608" s="21">
        <f t="shared" si="168"/>
        <v>1216.21</v>
      </c>
      <c r="H3608" s="22">
        <v>2.e-002</v>
      </c>
      <c r="I3608" s="23" t="str">
        <f t="shared" si="169"/>
        <v xml:space="preserve">COM VALOR</v>
      </c>
      <c r="J3608" s="19"/>
      <c r="L3608" s="21">
        <v>1235.52</v>
      </c>
      <c r="M3608" s="22">
        <v>1.e-002</v>
      </c>
      <c r="N3608" s="21">
        <v>1216.21</v>
      </c>
      <c r="O3608" s="22">
        <v>1.e-002</v>
      </c>
    </row>
    <row r="3609" ht="51">
      <c r="A3609" t="s">
        <v>3625</v>
      </c>
      <c r="B3609" s="19">
        <v>91323</v>
      </c>
      <c r="C3609" s="20" t="s">
        <v>3681</v>
      </c>
      <c r="D3609" s="19" t="s">
        <v>31</v>
      </c>
      <c r="E3609" s="21">
        <f t="shared" si="167"/>
        <v>1324.97</v>
      </c>
      <c r="F3609" s="22">
        <v>1.e-002</v>
      </c>
      <c r="G3609" s="21">
        <f t="shared" si="168"/>
        <v>1305.1400000000001</v>
      </c>
      <c r="H3609" s="22">
        <v>1.e-002</v>
      </c>
      <c r="I3609" s="23" t="str">
        <f t="shared" si="169"/>
        <v xml:space="preserve">COM VALOR</v>
      </c>
      <c r="J3609" s="19"/>
      <c r="L3609" s="21">
        <v>1324.97</v>
      </c>
      <c r="M3609" s="22">
        <v>1.e-002</v>
      </c>
      <c r="N3609" s="21">
        <v>1305.1400000000001</v>
      </c>
      <c r="O3609" s="22">
        <v>1.e-002</v>
      </c>
    </row>
    <row r="3610" ht="51">
      <c r="A3610" t="s">
        <v>3625</v>
      </c>
      <c r="B3610" s="19">
        <v>100678</v>
      </c>
      <c r="C3610" s="20" t="s">
        <v>3682</v>
      </c>
      <c r="D3610" s="19" t="s">
        <v>31</v>
      </c>
      <c r="E3610" s="21">
        <f t="shared" si="167"/>
        <v>1165.75</v>
      </c>
      <c r="F3610" s="22">
        <v>1.e-002</v>
      </c>
      <c r="G3610" s="21">
        <f t="shared" si="168"/>
        <v>1146.78</v>
      </c>
      <c r="H3610" s="22">
        <v>1.e-002</v>
      </c>
      <c r="I3610" s="23" t="str">
        <f t="shared" si="169"/>
        <v xml:space="preserve">COM VALOR</v>
      </c>
      <c r="J3610" s="19"/>
      <c r="L3610" s="21">
        <v>1165.75</v>
      </c>
      <c r="M3610" s="22">
        <v>1.e-002</v>
      </c>
      <c r="N3610" s="21">
        <v>1146.78</v>
      </c>
      <c r="O3610" s="22">
        <v>1.e-002</v>
      </c>
    </row>
    <row r="3611" ht="51">
      <c r="A3611" t="s">
        <v>3625</v>
      </c>
      <c r="B3611" s="19">
        <v>91013</v>
      </c>
      <c r="C3611" s="20" t="s">
        <v>3683</v>
      </c>
      <c r="D3611" s="19" t="s">
        <v>31</v>
      </c>
      <c r="E3611" s="21">
        <f t="shared" si="167"/>
        <v>997.39999999999998</v>
      </c>
      <c r="F3611" s="22"/>
      <c r="G3611" s="21">
        <f t="shared" si="168"/>
        <v>980.5</v>
      </c>
      <c r="H3611" s="22"/>
      <c r="I3611" s="23" t="str">
        <f t="shared" si="169"/>
        <v xml:space="preserve">COM VALOR</v>
      </c>
      <c r="J3611" s="19"/>
      <c r="L3611" s="21">
        <v>997.39999999999998</v>
      </c>
      <c r="M3611" s="22">
        <v>1.e-002</v>
      </c>
      <c r="N3611" s="21">
        <v>980.5</v>
      </c>
      <c r="O3611" s="22">
        <v>1.e-002</v>
      </c>
    </row>
    <row r="3612" ht="51">
      <c r="A3612" t="s">
        <v>3625</v>
      </c>
      <c r="B3612" s="19">
        <v>100680</v>
      </c>
      <c r="C3612" s="20" t="s">
        <v>3684</v>
      </c>
      <c r="D3612" s="19" t="s">
        <v>31</v>
      </c>
      <c r="E3612" s="21">
        <f t="shared" si="167"/>
        <v>1177.4200000000001</v>
      </c>
      <c r="F3612" s="22">
        <v>1.e-002</v>
      </c>
      <c r="G3612" s="21">
        <f t="shared" si="168"/>
        <v>1158.0599999999999</v>
      </c>
      <c r="H3612" s="22">
        <v>1.e-002</v>
      </c>
      <c r="I3612" s="23" t="str">
        <f t="shared" si="169"/>
        <v xml:space="preserve">COM VALOR</v>
      </c>
      <c r="J3612" s="19"/>
      <c r="L3612" s="21">
        <v>1177.4200000000001</v>
      </c>
      <c r="M3612" s="22">
        <v>1.e-002</v>
      </c>
      <c r="N3612" s="21">
        <v>1158.0599999999999</v>
      </c>
      <c r="O3612" s="22">
        <v>1.e-002</v>
      </c>
    </row>
    <row r="3613" ht="51">
      <c r="A3613" t="s">
        <v>3625</v>
      </c>
      <c r="B3613" s="19">
        <v>91014</v>
      </c>
      <c r="C3613" s="20" t="s">
        <v>3685</v>
      </c>
      <c r="D3613" s="19" t="s">
        <v>31</v>
      </c>
      <c r="E3613" s="21">
        <f t="shared" si="167"/>
        <v>1009.0700000000001</v>
      </c>
      <c r="F3613" s="22">
        <v>0.92000000000000004</v>
      </c>
      <c r="G3613" s="21">
        <f t="shared" si="168"/>
        <v>991.77999999999997</v>
      </c>
      <c r="H3613" s="22">
        <v>0.92000000000000004</v>
      </c>
      <c r="I3613" s="23" t="str">
        <f t="shared" si="169"/>
        <v xml:space="preserve">COM VALOR</v>
      </c>
      <c r="J3613" s="19"/>
      <c r="L3613" s="21">
        <v>1009.0700000000001</v>
      </c>
      <c r="M3613" s="22">
        <v>1.e-002</v>
      </c>
      <c r="N3613" s="21">
        <v>991.77999999999997</v>
      </c>
      <c r="O3613" s="22">
        <v>1.e-002</v>
      </c>
    </row>
    <row r="3614" ht="51">
      <c r="A3614" t="s">
        <v>3625</v>
      </c>
      <c r="B3614" s="19">
        <v>100683</v>
      </c>
      <c r="C3614" s="20" t="s">
        <v>3686</v>
      </c>
      <c r="D3614" s="19" t="s">
        <v>31</v>
      </c>
      <c r="E3614" s="21">
        <f t="shared" si="167"/>
        <v>1277.1400000000001</v>
      </c>
      <c r="F3614" s="22">
        <v>0.85999999999999999</v>
      </c>
      <c r="G3614" s="21">
        <f t="shared" si="168"/>
        <v>1256.74</v>
      </c>
      <c r="H3614" s="22">
        <v>0.85999999999999999</v>
      </c>
      <c r="I3614" s="23" t="str">
        <f t="shared" si="169"/>
        <v xml:space="preserve">COM VALOR</v>
      </c>
      <c r="J3614" s="19"/>
      <c r="L3614" s="21">
        <v>1277.1400000000001</v>
      </c>
      <c r="M3614" s="22">
        <v>1.e-002</v>
      </c>
      <c r="N3614" s="21">
        <v>1256.74</v>
      </c>
      <c r="O3614" s="22">
        <v>1.e-002</v>
      </c>
    </row>
    <row r="3615" ht="51">
      <c r="A3615" t="s">
        <v>3625</v>
      </c>
      <c r="B3615" s="19">
        <v>91015</v>
      </c>
      <c r="C3615" s="20" t="s">
        <v>3687</v>
      </c>
      <c r="D3615" s="19" t="s">
        <v>31</v>
      </c>
      <c r="E3615" s="21">
        <f t="shared" si="167"/>
        <v>1083.9300000000001</v>
      </c>
      <c r="F3615" s="22">
        <v>0.82999999999999996</v>
      </c>
      <c r="G3615" s="21">
        <f t="shared" si="168"/>
        <v>1066.24</v>
      </c>
      <c r="H3615" s="22">
        <v>0.83999999999999997</v>
      </c>
      <c r="I3615" s="23" t="str">
        <f t="shared" si="169"/>
        <v xml:space="preserve">COM VALOR</v>
      </c>
      <c r="J3615" s="19"/>
      <c r="L3615" s="21">
        <v>1083.9300000000001</v>
      </c>
      <c r="M3615" s="22">
        <v>1.e-002</v>
      </c>
      <c r="N3615" s="21">
        <v>1066.24</v>
      </c>
      <c r="O3615" s="22">
        <v>1.e-002</v>
      </c>
    </row>
    <row r="3616" ht="51">
      <c r="A3616" t="s">
        <v>3625</v>
      </c>
      <c r="B3616" s="19">
        <v>100685</v>
      </c>
      <c r="C3616" s="20" t="s">
        <v>3688</v>
      </c>
      <c r="D3616" s="19" t="s">
        <v>31</v>
      </c>
      <c r="E3616" s="21">
        <f t="shared" si="167"/>
        <v>1335.2</v>
      </c>
      <c r="F3616" s="22"/>
      <c r="G3616" s="21">
        <f t="shared" si="168"/>
        <v>1314.4300000000001</v>
      </c>
      <c r="H3616" s="22"/>
      <c r="I3616" s="23" t="str">
        <f t="shared" si="169"/>
        <v xml:space="preserve">COM VALOR</v>
      </c>
      <c r="J3616" s="19"/>
      <c r="L3616" s="21">
        <v>1335.2</v>
      </c>
      <c r="M3616" s="22">
        <v>1.e-002</v>
      </c>
      <c r="N3616" s="21">
        <v>1314.4300000000001</v>
      </c>
      <c r="O3616" s="22">
        <v>1.e-002</v>
      </c>
    </row>
    <row r="3617" ht="51">
      <c r="A3617" t="s">
        <v>3625</v>
      </c>
      <c r="B3617" s="19">
        <v>91016</v>
      </c>
      <c r="C3617" s="20" t="s">
        <v>3689</v>
      </c>
      <c r="D3617" s="19" t="s">
        <v>31</v>
      </c>
      <c r="E3617" s="21">
        <f t="shared" si="167"/>
        <v>1141.99</v>
      </c>
      <c r="F3617" s="22"/>
      <c r="G3617" s="21">
        <f t="shared" si="168"/>
        <v>1123.9300000000001</v>
      </c>
      <c r="H3617" s="22"/>
      <c r="I3617" s="23" t="str">
        <f t="shared" si="169"/>
        <v xml:space="preserve">COM VALOR</v>
      </c>
      <c r="J3617" s="19"/>
      <c r="L3617" s="21">
        <v>1141.99</v>
      </c>
      <c r="M3617" s="22">
        <v>1.e-002</v>
      </c>
      <c r="N3617" s="21">
        <v>1123.9300000000001</v>
      </c>
      <c r="O3617" s="22">
        <v>1.e-002</v>
      </c>
    </row>
    <row r="3618" ht="51">
      <c r="A3618" t="s">
        <v>3625</v>
      </c>
      <c r="B3618" s="19">
        <v>100679</v>
      </c>
      <c r="C3618" s="20" t="s">
        <v>3690</v>
      </c>
      <c r="D3618" s="19" t="s">
        <v>31</v>
      </c>
      <c r="E3618" s="21">
        <f t="shared" si="167"/>
        <v>994.08000000000004</v>
      </c>
      <c r="F3618" s="22"/>
      <c r="G3618" s="21">
        <f t="shared" si="168"/>
        <v>975.11000000000001</v>
      </c>
      <c r="H3618" s="22"/>
      <c r="I3618" s="23" t="str">
        <f t="shared" si="169"/>
        <v xml:space="preserve">COM VALOR</v>
      </c>
      <c r="J3618" s="19"/>
      <c r="L3618" s="21">
        <v>994.08000000000004</v>
      </c>
      <c r="M3618" s="22">
        <v>1.e-002</v>
      </c>
      <c r="N3618" s="21">
        <v>975.11000000000001</v>
      </c>
      <c r="O3618" s="22">
        <v>1.e-002</v>
      </c>
    </row>
    <row r="3619" ht="51">
      <c r="A3619" t="s">
        <v>3625</v>
      </c>
      <c r="B3619" s="19">
        <v>91324</v>
      </c>
      <c r="C3619" s="20" t="s">
        <v>3691</v>
      </c>
      <c r="D3619" s="19" t="s">
        <v>31</v>
      </c>
      <c r="E3619" s="21">
        <f t="shared" si="167"/>
        <v>875.16999999999996</v>
      </c>
      <c r="F3619" s="22"/>
      <c r="G3619" s="21">
        <f t="shared" si="168"/>
        <v>858.26999999999998</v>
      </c>
      <c r="H3619" s="22"/>
      <c r="I3619" s="23" t="str">
        <f t="shared" si="169"/>
        <v xml:space="preserve">COM VALOR</v>
      </c>
      <c r="J3619" s="19"/>
      <c r="L3619" s="21">
        <v>875.16999999999996</v>
      </c>
      <c r="M3619" s="22">
        <v>1.e-002</v>
      </c>
      <c r="N3619" s="21">
        <v>858.26999999999998</v>
      </c>
      <c r="O3619" s="22">
        <v>1.e-002</v>
      </c>
    </row>
    <row r="3620" ht="51">
      <c r="A3620" t="s">
        <v>3625</v>
      </c>
      <c r="B3620" s="19">
        <v>100712</v>
      </c>
      <c r="C3620" s="20" t="s">
        <v>3692</v>
      </c>
      <c r="D3620" s="19" t="s">
        <v>31</v>
      </c>
      <c r="E3620" s="21">
        <f t="shared" si="167"/>
        <v>988.29999999999995</v>
      </c>
      <c r="F3620" s="22"/>
      <c r="G3620" s="21">
        <f t="shared" si="168"/>
        <v>968.94000000000005</v>
      </c>
      <c r="H3620" s="22"/>
      <c r="I3620" s="23" t="str">
        <f t="shared" si="169"/>
        <v xml:space="preserve">COM VALOR</v>
      </c>
      <c r="J3620" s="19"/>
      <c r="L3620" s="21">
        <v>988.29999999999995</v>
      </c>
      <c r="M3620" s="22">
        <v>1.e-002</v>
      </c>
      <c r="N3620" s="21">
        <v>968.94000000000005</v>
      </c>
      <c r="O3620" s="22">
        <v>1.e-002</v>
      </c>
    </row>
    <row r="3621" ht="51">
      <c r="A3621" t="s">
        <v>3625</v>
      </c>
      <c r="B3621" s="19">
        <v>91325</v>
      </c>
      <c r="C3621" s="20" t="s">
        <v>3693</v>
      </c>
      <c r="D3621" s="19" t="s">
        <v>31</v>
      </c>
      <c r="E3621" s="21">
        <f t="shared" si="167"/>
        <v>886.07000000000005</v>
      </c>
      <c r="F3621" s="22"/>
      <c r="G3621" s="21">
        <f t="shared" si="168"/>
        <v>868.77999999999997</v>
      </c>
      <c r="H3621" s="22"/>
      <c r="I3621" s="23" t="str">
        <f t="shared" si="169"/>
        <v xml:space="preserve">COM VALOR</v>
      </c>
      <c r="J3621" s="19"/>
      <c r="L3621" s="21">
        <v>886.07000000000005</v>
      </c>
      <c r="M3621" s="22">
        <v>1.e-002</v>
      </c>
      <c r="N3621" s="21">
        <v>868.77999999999997</v>
      </c>
      <c r="O3621" s="22">
        <v>1.e-002</v>
      </c>
    </row>
    <row r="3622" ht="51">
      <c r="A3622" t="s">
        <v>3625</v>
      </c>
      <c r="B3622" s="19">
        <v>100684</v>
      </c>
      <c r="C3622" s="20" t="s">
        <v>3694</v>
      </c>
      <c r="D3622" s="19" t="s">
        <v>31</v>
      </c>
      <c r="E3622" s="21">
        <f t="shared" si="167"/>
        <v>1081.51</v>
      </c>
      <c r="F3622" s="22"/>
      <c r="G3622" s="21">
        <f t="shared" si="168"/>
        <v>1061.1099999999999</v>
      </c>
      <c r="H3622" s="22"/>
      <c r="I3622" s="23" t="str">
        <f t="shared" si="169"/>
        <v xml:space="preserve">COM VALOR</v>
      </c>
      <c r="J3622" s="19"/>
      <c r="L3622" s="21">
        <v>1081.51</v>
      </c>
      <c r="M3622" s="22">
        <v>1.e-002</v>
      </c>
      <c r="N3622" s="21">
        <v>1061.1099999999999</v>
      </c>
      <c r="O3622" s="22">
        <v>1.e-002</v>
      </c>
    </row>
    <row r="3623" ht="51">
      <c r="A3623" t="s">
        <v>3625</v>
      </c>
      <c r="B3623" s="19">
        <v>91326</v>
      </c>
      <c r="C3623" s="20" t="s">
        <v>3695</v>
      </c>
      <c r="D3623" s="19" t="s">
        <v>31</v>
      </c>
      <c r="E3623" s="21">
        <f t="shared" si="167"/>
        <v>960.16999999999996</v>
      </c>
      <c r="F3623" s="22"/>
      <c r="G3623" s="21">
        <f t="shared" si="168"/>
        <v>942.48000000000002</v>
      </c>
      <c r="H3623" s="22"/>
      <c r="I3623" s="23" t="str">
        <f t="shared" si="169"/>
        <v xml:space="preserve">COM VALOR</v>
      </c>
      <c r="J3623" s="19"/>
      <c r="L3623" s="21">
        <v>960.16999999999996</v>
      </c>
      <c r="M3623" s="22">
        <v>7.4999999999999997e-003</v>
      </c>
      <c r="N3623" s="21">
        <v>942.48000000000002</v>
      </c>
      <c r="O3623" s="22">
        <v>1.e-002</v>
      </c>
    </row>
    <row r="3624" ht="51">
      <c r="A3624" t="s">
        <v>3625</v>
      </c>
      <c r="B3624" s="19">
        <v>100686</v>
      </c>
      <c r="C3624" s="20" t="s">
        <v>3696</v>
      </c>
      <c r="D3624" s="19" t="s">
        <v>31</v>
      </c>
      <c r="E3624" s="21">
        <f t="shared" si="167"/>
        <v>1138.8099999999999</v>
      </c>
      <c r="F3624" s="22">
        <v>0</v>
      </c>
      <c r="G3624" s="21">
        <f t="shared" si="168"/>
        <v>1118.03</v>
      </c>
      <c r="H3624" s="22">
        <v>0</v>
      </c>
      <c r="I3624" s="23" t="str">
        <f t="shared" si="169"/>
        <v xml:space="preserve">COM VALOR</v>
      </c>
      <c r="J3624" s="19"/>
      <c r="L3624" s="21">
        <v>1138.8099999999999</v>
      </c>
      <c r="M3624" s="22">
        <v>1.e-002</v>
      </c>
      <c r="N3624" s="21">
        <v>1118.03</v>
      </c>
      <c r="O3624" s="22">
        <v>1.e-002</v>
      </c>
    </row>
    <row r="3625" ht="51">
      <c r="A3625" t="s">
        <v>3625</v>
      </c>
      <c r="B3625" s="19">
        <v>91327</v>
      </c>
      <c r="C3625" s="20" t="s">
        <v>3697</v>
      </c>
      <c r="D3625" s="19" t="s">
        <v>31</v>
      </c>
      <c r="E3625" s="21">
        <f t="shared" si="167"/>
        <v>1017.47</v>
      </c>
      <c r="F3625" s="22">
        <v>0</v>
      </c>
      <c r="G3625" s="21">
        <f t="shared" si="168"/>
        <v>999.39999999999998</v>
      </c>
      <c r="H3625" s="22">
        <v>0</v>
      </c>
      <c r="I3625" s="23" t="str">
        <f t="shared" si="169"/>
        <v xml:space="preserve">COM VALOR</v>
      </c>
      <c r="J3625" s="19"/>
      <c r="L3625" s="21">
        <v>1017.47</v>
      </c>
      <c r="M3625" s="22">
        <v>1.e-002</v>
      </c>
      <c r="N3625" s="21">
        <v>999.39999999999998</v>
      </c>
      <c r="O3625" s="22">
        <v>1.e-002</v>
      </c>
    </row>
    <row r="3626" ht="63.75">
      <c r="A3626" t="s">
        <v>3625</v>
      </c>
      <c r="B3626" s="19">
        <v>100693</v>
      </c>
      <c r="C3626" s="20" t="s">
        <v>3698</v>
      </c>
      <c r="D3626" s="19" t="s">
        <v>31</v>
      </c>
      <c r="E3626" s="21">
        <f t="shared" si="167"/>
        <v>2063.4200000000001</v>
      </c>
      <c r="F3626" s="22">
        <v>0</v>
      </c>
      <c r="G3626" s="21">
        <f t="shared" si="168"/>
        <v>2041.4000000000001</v>
      </c>
      <c r="H3626" s="22">
        <v>0</v>
      </c>
      <c r="I3626" s="23" t="str">
        <f t="shared" si="169"/>
        <v xml:space="preserve">COM VALOR</v>
      </c>
      <c r="J3626" s="19"/>
      <c r="L3626" s="21">
        <v>2063.4200000000001</v>
      </c>
      <c r="M3626" s="22">
        <v>0.54000000000000004</v>
      </c>
      <c r="N3626" s="21">
        <v>2041.4000000000001</v>
      </c>
      <c r="O3626" s="22">
        <v>0.54249999999999998</v>
      </c>
    </row>
    <row r="3627" ht="51">
      <c r="A3627" t="s">
        <v>3625</v>
      </c>
      <c r="B3627" s="19">
        <v>91336</v>
      </c>
      <c r="C3627" s="20" t="s">
        <v>3699</v>
      </c>
      <c r="D3627" s="19" t="s">
        <v>31</v>
      </c>
      <c r="E3627" s="21">
        <f t="shared" si="167"/>
        <v>1870.21</v>
      </c>
      <c r="F3627" s="22">
        <v>0</v>
      </c>
      <c r="G3627" s="21">
        <f t="shared" si="168"/>
        <v>1850.9000000000001</v>
      </c>
      <c r="H3627" s="22">
        <v>0</v>
      </c>
      <c r="I3627" s="23" t="str">
        <f t="shared" si="169"/>
        <v xml:space="preserve">COM VALOR</v>
      </c>
      <c r="J3627" s="19"/>
      <c r="L3627" s="21">
        <v>1870.21</v>
      </c>
      <c r="M3627" s="22">
        <v>0.58999999999999997</v>
      </c>
      <c r="N3627" s="21">
        <v>1850.9000000000001</v>
      </c>
      <c r="O3627" s="22">
        <v>0.59999999999999998</v>
      </c>
    </row>
    <row r="3628" ht="63.75">
      <c r="A3628" t="s">
        <v>3625</v>
      </c>
      <c r="B3628" s="19">
        <v>100694</v>
      </c>
      <c r="C3628" s="20" t="s">
        <v>3700</v>
      </c>
      <c r="D3628" s="19" t="s">
        <v>31</v>
      </c>
      <c r="E3628" s="21">
        <f t="shared" si="167"/>
        <v>1867.79</v>
      </c>
      <c r="F3628" s="22">
        <v>0</v>
      </c>
      <c r="G3628" s="21">
        <f t="shared" si="168"/>
        <v>1845.77</v>
      </c>
      <c r="H3628" s="22">
        <v>0</v>
      </c>
      <c r="I3628" s="23" t="str">
        <f t="shared" si="169"/>
        <v xml:space="preserve">COM VALOR</v>
      </c>
      <c r="J3628" s="19"/>
      <c r="L3628" s="21">
        <v>1867.79</v>
      </c>
      <c r="M3628" s="22">
        <v>0.58999999999999997</v>
      </c>
      <c r="N3628" s="21">
        <v>1845.77</v>
      </c>
      <c r="O3628" s="22">
        <v>0.59999999999999998</v>
      </c>
    </row>
    <row r="3629" ht="51">
      <c r="A3629" t="s">
        <v>3625</v>
      </c>
      <c r="B3629" s="19">
        <v>91337</v>
      </c>
      <c r="C3629" s="20" t="s">
        <v>3701</v>
      </c>
      <c r="D3629" s="19" t="s">
        <v>31</v>
      </c>
      <c r="E3629" s="21">
        <f t="shared" si="167"/>
        <v>1746.45</v>
      </c>
      <c r="F3629" s="22">
        <v>8.0000000000000002e-002</v>
      </c>
      <c r="G3629" s="21">
        <f t="shared" si="168"/>
        <v>1727.1400000000001</v>
      </c>
      <c r="H3629" s="22">
        <v>8.0000000000000002e-002</v>
      </c>
      <c r="I3629" s="23" t="str">
        <f t="shared" si="169"/>
        <v xml:space="preserve">COM VALOR</v>
      </c>
      <c r="J3629" s="19"/>
      <c r="L3629" s="21">
        <v>1746.45</v>
      </c>
      <c r="M3629" s="22">
        <v>0.63</v>
      </c>
      <c r="N3629" s="21">
        <v>1727.1400000000001</v>
      </c>
      <c r="O3629" s="22">
        <v>0.64000000000000001</v>
      </c>
    </row>
    <row r="3630" ht="51">
      <c r="A3630" t="s">
        <v>3625</v>
      </c>
      <c r="B3630" s="19">
        <v>100691</v>
      </c>
      <c r="C3630" s="20" t="s">
        <v>3702</v>
      </c>
      <c r="D3630" s="19" t="s">
        <v>31</v>
      </c>
      <c r="E3630" s="21">
        <f t="shared" si="167"/>
        <v>1700.24</v>
      </c>
      <c r="F3630" s="22">
        <v>8.0000000000000002e-002</v>
      </c>
      <c r="G3630" s="21">
        <f t="shared" si="168"/>
        <v>1679.8399999999999</v>
      </c>
      <c r="H3630" s="22">
        <v>8.9999999999999997e-002</v>
      </c>
      <c r="I3630" s="23" t="str">
        <f t="shared" si="169"/>
        <v xml:space="preserve">COM VALOR</v>
      </c>
      <c r="J3630" s="19"/>
      <c r="L3630" s="21">
        <v>1700.24</v>
      </c>
      <c r="M3630" s="22">
        <v>0.45000000000000001</v>
      </c>
      <c r="N3630" s="21">
        <v>1679.8399999999999</v>
      </c>
      <c r="O3630" s="22">
        <v>0.46000000000000002</v>
      </c>
    </row>
    <row r="3631" ht="51">
      <c r="A3631" t="s">
        <v>3625</v>
      </c>
      <c r="B3631" s="19">
        <v>100692</v>
      </c>
      <c r="C3631" s="20" t="s">
        <v>3703</v>
      </c>
      <c r="D3631" s="19" t="s">
        <v>31</v>
      </c>
      <c r="E3631" s="21">
        <f t="shared" si="167"/>
        <v>1504.6099999999999</v>
      </c>
      <c r="F3631" s="22">
        <v>7.0000000000000007e-002</v>
      </c>
      <c r="G3631" s="21">
        <f t="shared" si="168"/>
        <v>1484.21</v>
      </c>
      <c r="H3631" s="22">
        <v>7.0000000000000007e-002</v>
      </c>
      <c r="I3631" s="23" t="str">
        <f t="shared" si="169"/>
        <v xml:space="preserve">COM VALOR</v>
      </c>
      <c r="J3631" s="19"/>
      <c r="L3631" s="21">
        <v>1504.6099999999999</v>
      </c>
      <c r="M3631" s="22">
        <v>0.51000000000000001</v>
      </c>
      <c r="N3631" s="21">
        <v>1484.21</v>
      </c>
      <c r="O3631" s="22">
        <v>0.52000000000000002</v>
      </c>
    </row>
    <row r="3632" ht="51">
      <c r="A3632" t="s">
        <v>3625</v>
      </c>
      <c r="B3632" s="19">
        <v>91334</v>
      </c>
      <c r="C3632" s="20" t="s">
        <v>3704</v>
      </c>
      <c r="D3632" s="19" t="s">
        <v>31</v>
      </c>
      <c r="E3632" s="21">
        <f t="shared" si="167"/>
        <v>1507.03</v>
      </c>
      <c r="F3632" s="22">
        <v>7.0000000000000007e-002</v>
      </c>
      <c r="G3632" s="21">
        <f t="shared" si="168"/>
        <v>1489.3399999999999</v>
      </c>
      <c r="H3632" s="22">
        <v>8.0000000000000002e-002</v>
      </c>
      <c r="I3632" s="23" t="str">
        <f t="shared" si="169"/>
        <v xml:space="preserve">COM VALOR</v>
      </c>
      <c r="J3632" s="19"/>
      <c r="L3632" s="21">
        <v>1507.03</v>
      </c>
      <c r="M3632" s="22">
        <v>0.51000000000000001</v>
      </c>
      <c r="N3632" s="21">
        <v>1489.3399999999999</v>
      </c>
      <c r="O3632" s="22">
        <v>0.52000000000000002</v>
      </c>
    </row>
    <row r="3633" ht="51">
      <c r="A3633" t="s">
        <v>3625</v>
      </c>
      <c r="B3633" s="19">
        <v>91335</v>
      </c>
      <c r="C3633" s="20" t="s">
        <v>3705</v>
      </c>
      <c r="D3633" s="19" t="s">
        <v>31</v>
      </c>
      <c r="E3633" s="21">
        <f t="shared" si="167"/>
        <v>1383.27</v>
      </c>
      <c r="F3633" s="22">
        <v>5.9999999999999998e-002</v>
      </c>
      <c r="G3633" s="21">
        <f t="shared" si="168"/>
        <v>1365.5799999999999</v>
      </c>
      <c r="H3633" s="22">
        <v>5.9999999999999998e-002</v>
      </c>
      <c r="I3633" s="23" t="str">
        <f t="shared" si="169"/>
        <v xml:space="preserve">COM VALOR</v>
      </c>
      <c r="J3633" s="19"/>
      <c r="L3633" s="21">
        <v>1383.27</v>
      </c>
      <c r="M3633" s="22">
        <v>0.56000000000000005</v>
      </c>
      <c r="N3633" s="21">
        <v>1365.5799999999999</v>
      </c>
      <c r="O3633" s="22">
        <v>0.56999999999999995</v>
      </c>
    </row>
    <row r="3634" ht="51">
      <c r="A3634" t="s">
        <v>3625</v>
      </c>
      <c r="B3634" s="19">
        <v>90788</v>
      </c>
      <c r="C3634" s="20" t="s">
        <v>3706</v>
      </c>
      <c r="D3634" s="19" t="s">
        <v>31</v>
      </c>
      <c r="E3634" s="21">
        <f t="shared" si="167"/>
        <v>1057.3699999999999</v>
      </c>
      <c r="F3634" s="22">
        <v>8.0000000000000002e-002</v>
      </c>
      <c r="G3634" s="21">
        <f t="shared" si="168"/>
        <v>1054.6800000000001</v>
      </c>
      <c r="H3634" s="22">
        <v>8.0000000000000002e-002</v>
      </c>
      <c r="I3634" s="23" t="str">
        <f t="shared" si="169"/>
        <v xml:space="preserve">COM VALOR</v>
      </c>
      <c r="J3634" s="19"/>
      <c r="L3634" s="21">
        <v>1057.3699999999999</v>
      </c>
      <c r="M3634" s="22">
        <v>0</v>
      </c>
      <c r="N3634" s="21">
        <v>1054.6800000000001</v>
      </c>
      <c r="O3634" s="22">
        <v>0</v>
      </c>
    </row>
    <row r="3635" ht="51">
      <c r="A3635" t="s">
        <v>3625</v>
      </c>
      <c r="B3635" s="19">
        <v>90789</v>
      </c>
      <c r="C3635" s="20" t="s">
        <v>3707</v>
      </c>
      <c r="D3635" s="19" t="s">
        <v>31</v>
      </c>
      <c r="E3635" s="21">
        <f t="shared" si="167"/>
        <v>1059.0799999999999</v>
      </c>
      <c r="F3635" s="22">
        <v>5.0000000000000003e-002</v>
      </c>
      <c r="G3635" s="21">
        <f t="shared" si="168"/>
        <v>1056.3</v>
      </c>
      <c r="H3635" s="22">
        <v>5.9999999999999998e-002</v>
      </c>
      <c r="I3635" s="23" t="str">
        <f t="shared" si="169"/>
        <v xml:space="preserve">COM VALOR</v>
      </c>
      <c r="J3635" s="19"/>
      <c r="L3635" s="21">
        <v>1059.0799999999999</v>
      </c>
      <c r="M3635" s="22">
        <v>0</v>
      </c>
      <c r="N3635" s="21">
        <v>1056.3</v>
      </c>
      <c r="O3635" s="22">
        <v>0</v>
      </c>
    </row>
    <row r="3636" ht="51">
      <c r="A3636" t="s">
        <v>3625</v>
      </c>
      <c r="B3636" s="19">
        <v>90790</v>
      </c>
      <c r="C3636" s="20" t="s">
        <v>3708</v>
      </c>
      <c r="D3636" s="19" t="s">
        <v>31</v>
      </c>
      <c r="E3636" s="21">
        <f t="shared" si="167"/>
        <v>1091.26</v>
      </c>
      <c r="F3636" s="22">
        <v>5.9999999999999998e-002</v>
      </c>
      <c r="G3636" s="21">
        <f t="shared" si="168"/>
        <v>1088.3900000000001</v>
      </c>
      <c r="H3636" s="22">
        <v>5.9999999999999998e-002</v>
      </c>
      <c r="I3636" s="23" t="str">
        <f t="shared" si="169"/>
        <v xml:space="preserve">COM VALOR</v>
      </c>
      <c r="J3636" s="19"/>
      <c r="L3636" s="21">
        <v>1091.26</v>
      </c>
      <c r="M3636" s="22">
        <v>0</v>
      </c>
      <c r="N3636" s="21">
        <v>1088.3900000000001</v>
      </c>
      <c r="O3636" s="22">
        <v>0</v>
      </c>
    </row>
    <row r="3637" ht="51">
      <c r="A3637" t="s">
        <v>3625</v>
      </c>
      <c r="B3637" s="19">
        <v>100675</v>
      </c>
      <c r="C3637" s="20" t="s">
        <v>3709</v>
      </c>
      <c r="D3637" s="19" t="s">
        <v>31</v>
      </c>
      <c r="E3637" s="21">
        <f t="shared" si="167"/>
        <v>1178.6199999999999</v>
      </c>
      <c r="F3637" s="22">
        <v>4.0000000000000001e-002</v>
      </c>
      <c r="G3637" s="21">
        <f t="shared" si="168"/>
        <v>1175.6500000000001</v>
      </c>
      <c r="H3637" s="22">
        <v>4.0000000000000001e-002</v>
      </c>
      <c r="I3637" s="23" t="str">
        <f t="shared" si="169"/>
        <v xml:space="preserve">COM VALOR</v>
      </c>
      <c r="J3637" s="19"/>
      <c r="L3637" s="21">
        <v>1178.6199999999999</v>
      </c>
      <c r="M3637" s="22">
        <v>0</v>
      </c>
      <c r="N3637" s="21">
        <v>1175.6500000000001</v>
      </c>
      <c r="O3637" s="22">
        <v>0</v>
      </c>
    </row>
    <row r="3638" ht="38.25">
      <c r="A3638" t="s">
        <v>3625</v>
      </c>
      <c r="B3638" s="19">
        <v>90794</v>
      </c>
      <c r="C3638" s="20" t="s">
        <v>3710</v>
      </c>
      <c r="D3638" s="19" t="s">
        <v>31</v>
      </c>
      <c r="E3638" s="21">
        <f t="shared" si="167"/>
        <v>915.24000000000001</v>
      </c>
      <c r="F3638" s="22">
        <v>4.0000000000000001e-002</v>
      </c>
      <c r="G3638" s="21">
        <f t="shared" si="168"/>
        <v>909.00999999999999</v>
      </c>
      <c r="H3638" s="22">
        <v>4.0000000000000001e-002</v>
      </c>
      <c r="I3638" s="23" t="str">
        <f t="shared" si="169"/>
        <v xml:space="preserve">COM VALOR</v>
      </c>
      <c r="J3638" s="19"/>
      <c r="L3638" s="21">
        <v>915.24000000000001</v>
      </c>
      <c r="M3638" s="22">
        <v>0</v>
      </c>
      <c r="N3638" s="21">
        <v>909.00999999999999</v>
      </c>
      <c r="O3638" s="22">
        <v>0</v>
      </c>
    </row>
    <row r="3639" ht="38.25">
      <c r="A3639" t="s">
        <v>3625</v>
      </c>
      <c r="B3639" s="19">
        <v>90796</v>
      </c>
      <c r="C3639" s="20" t="s">
        <v>3711</v>
      </c>
      <c r="D3639" s="19" t="s">
        <v>31</v>
      </c>
      <c r="E3639" s="21">
        <f t="shared" si="167"/>
        <v>925.54999999999995</v>
      </c>
      <c r="F3639" s="22">
        <v>4.0000000000000001e-002</v>
      </c>
      <c r="G3639" s="21">
        <f t="shared" si="168"/>
        <v>918.76999999999998</v>
      </c>
      <c r="H3639" s="22">
        <v>4.0000000000000001e-002</v>
      </c>
      <c r="I3639" s="23" t="str">
        <f t="shared" si="169"/>
        <v xml:space="preserve">COM VALOR</v>
      </c>
      <c r="J3639" s="19"/>
      <c r="L3639" s="21">
        <v>925.54999999999995</v>
      </c>
      <c r="M3639" s="22">
        <v>0</v>
      </c>
      <c r="N3639" s="21">
        <v>918.76999999999998</v>
      </c>
      <c r="O3639" s="22">
        <v>0</v>
      </c>
    </row>
    <row r="3640" ht="38.25">
      <c r="A3640" t="s">
        <v>3625</v>
      </c>
      <c r="B3640" s="19">
        <v>90797</v>
      </c>
      <c r="C3640" s="20" t="s">
        <v>3712</v>
      </c>
      <c r="D3640" s="19" t="s">
        <v>31</v>
      </c>
      <c r="E3640" s="21">
        <f t="shared" si="167"/>
        <v>930.70000000000005</v>
      </c>
      <c r="F3640" s="22">
        <v>4.0000000000000001e-002</v>
      </c>
      <c r="G3640" s="21">
        <f t="shared" si="168"/>
        <v>923.63999999999999</v>
      </c>
      <c r="H3640" s="22">
        <v>4.0000000000000001e-002</v>
      </c>
      <c r="I3640" s="23" t="str">
        <f t="shared" si="169"/>
        <v xml:space="preserve">COM VALOR</v>
      </c>
      <c r="J3640" s="19"/>
      <c r="L3640" s="21">
        <v>930.70000000000005</v>
      </c>
      <c r="M3640" s="22">
        <v>0</v>
      </c>
      <c r="N3640" s="21">
        <v>923.63999999999999</v>
      </c>
      <c r="O3640" s="22">
        <v>0</v>
      </c>
    </row>
    <row r="3641" ht="51">
      <c r="A3641" t="s">
        <v>3625</v>
      </c>
      <c r="B3641" s="19">
        <v>90791</v>
      </c>
      <c r="C3641" s="20" t="s">
        <v>3713</v>
      </c>
      <c r="D3641" s="19" t="s">
        <v>31</v>
      </c>
      <c r="E3641" s="21">
        <f t="shared" si="167"/>
        <v>1276.3099999999999</v>
      </c>
      <c r="F3641" s="22">
        <v>2.9999999999999999e-002</v>
      </c>
      <c r="G3641" s="21">
        <f t="shared" si="168"/>
        <v>1272.8900000000001</v>
      </c>
      <c r="H3641" s="22">
        <v>4.0000000000000001e-002</v>
      </c>
      <c r="I3641" s="23" t="str">
        <f t="shared" si="169"/>
        <v xml:space="preserve">COM VALOR</v>
      </c>
      <c r="J3641" s="19"/>
      <c r="L3641" s="21">
        <v>1276.3099999999999</v>
      </c>
      <c r="M3641" s="22">
        <v>0</v>
      </c>
      <c r="N3641" s="21">
        <v>1272.8900000000001</v>
      </c>
      <c r="O3641" s="22">
        <v>0</v>
      </c>
    </row>
    <row r="3642" ht="51">
      <c r="A3642" t="s">
        <v>3625</v>
      </c>
      <c r="B3642" s="19">
        <v>90793</v>
      </c>
      <c r="C3642" s="20" t="s">
        <v>3714</v>
      </c>
      <c r="D3642" s="19" t="s">
        <v>31</v>
      </c>
      <c r="E3642" s="21">
        <f t="shared" si="167"/>
        <v>1329.8</v>
      </c>
      <c r="F3642" s="22">
        <v>2.9999999999999999e-002</v>
      </c>
      <c r="G3642" s="21">
        <f t="shared" si="168"/>
        <v>1325.8099999999999</v>
      </c>
      <c r="H3642" s="22">
        <v>2.9999999999999999e-002</v>
      </c>
      <c r="I3642" s="23" t="str">
        <f t="shared" si="169"/>
        <v xml:space="preserve">COM VALOR</v>
      </c>
      <c r="J3642" s="19"/>
      <c r="L3642" s="21">
        <v>1329.8</v>
      </c>
      <c r="M3642" s="22">
        <v>0</v>
      </c>
      <c r="N3642" s="21">
        <v>1325.8099999999999</v>
      </c>
      <c r="O3642" s="22">
        <v>0</v>
      </c>
    </row>
    <row r="3643" ht="51">
      <c r="A3643" t="s">
        <v>3625</v>
      </c>
      <c r="B3643" s="19">
        <v>90798</v>
      </c>
      <c r="C3643" s="20" t="s">
        <v>3715</v>
      </c>
      <c r="D3643" s="19" t="s">
        <v>31</v>
      </c>
      <c r="E3643" s="21">
        <f t="shared" si="167"/>
        <v>1348.3299999999999</v>
      </c>
      <c r="F3643" s="22">
        <v>2.9999999999999999e-002</v>
      </c>
      <c r="G3643" s="21">
        <f t="shared" si="168"/>
        <v>1340.8199999999999</v>
      </c>
      <c r="H3643" s="22">
        <v>2.9999999999999999e-002</v>
      </c>
      <c r="I3643" s="23" t="str">
        <f t="shared" si="169"/>
        <v xml:space="preserve">COM VALOR</v>
      </c>
      <c r="J3643" s="19"/>
      <c r="L3643" s="21">
        <v>1348.3299999999999</v>
      </c>
      <c r="M3643" s="22">
        <v>0</v>
      </c>
      <c r="N3643" s="21">
        <v>1340.8199999999999</v>
      </c>
      <c r="O3643" s="22">
        <v>0</v>
      </c>
    </row>
    <row r="3644" ht="51">
      <c r="A3644" t="s">
        <v>3625</v>
      </c>
      <c r="B3644" s="19">
        <v>90799</v>
      </c>
      <c r="C3644" s="20" t="s">
        <v>3716</v>
      </c>
      <c r="D3644" s="19" t="s">
        <v>31</v>
      </c>
      <c r="E3644" s="21">
        <f t="shared" si="167"/>
        <v>1386.6900000000001</v>
      </c>
      <c r="F3644" s="22">
        <v>2.9999999999999999e-002</v>
      </c>
      <c r="G3644" s="21">
        <f t="shared" si="168"/>
        <v>1378.8699999999999</v>
      </c>
      <c r="H3644" s="22">
        <v>2.9999999999999999e-002</v>
      </c>
      <c r="I3644" s="23" t="str">
        <f t="shared" si="169"/>
        <v xml:space="preserve">COM VALOR</v>
      </c>
      <c r="J3644" s="19"/>
      <c r="L3644" s="21">
        <v>1386.6900000000001</v>
      </c>
      <c r="M3644" s="22">
        <v>0</v>
      </c>
      <c r="N3644" s="21">
        <v>1378.8699999999999</v>
      </c>
      <c r="O3644" s="22">
        <v>0</v>
      </c>
    </row>
    <row r="3645" ht="25.5">
      <c r="A3645" t="s">
        <v>3625</v>
      </c>
      <c r="B3645" s="19">
        <v>100704</v>
      </c>
      <c r="C3645" s="20" t="s">
        <v>3717</v>
      </c>
      <c r="D3645" s="19" t="s">
        <v>31</v>
      </c>
      <c r="E3645" s="21">
        <f t="shared" si="167"/>
        <v>85.239999999999995</v>
      </c>
      <c r="F3645" s="22">
        <v>8.9999999999999997e-002</v>
      </c>
      <c r="G3645" s="21">
        <f t="shared" si="168"/>
        <v>83.799999999999997</v>
      </c>
      <c r="H3645" s="22">
        <v>8.9999999999999997e-002</v>
      </c>
      <c r="I3645" s="23" t="str">
        <f t="shared" si="169"/>
        <v xml:space="preserve">COM VALOR</v>
      </c>
      <c r="J3645" s="19"/>
      <c r="L3645" s="21">
        <v>85.239999999999995</v>
      </c>
      <c r="M3645" s="22">
        <v>0</v>
      </c>
      <c r="N3645" s="21">
        <v>83.799999999999997</v>
      </c>
      <c r="O3645" s="22">
        <v>0</v>
      </c>
    </row>
    <row r="3646" ht="25.5">
      <c r="A3646" t="s">
        <v>3625</v>
      </c>
      <c r="B3646" s="19">
        <v>106141</v>
      </c>
      <c r="C3646" s="20" t="s">
        <v>3718</v>
      </c>
      <c r="D3646" s="19" t="s">
        <v>31</v>
      </c>
      <c r="E3646" s="21" t="str">
        <f t="shared" si="167"/>
        <v>VERIFICAR</v>
      </c>
      <c r="F3646" s="22">
        <v>8.9999999999999997e-002</v>
      </c>
      <c r="G3646" s="21" t="str">
        <f t="shared" si="168"/>
        <v>VERIFICAR</v>
      </c>
      <c r="H3646" s="22">
        <v>0.10000000000000001</v>
      </c>
      <c r="I3646" s="23" t="str">
        <f t="shared" si="169"/>
        <v xml:space="preserve">COM VALOR</v>
      </c>
      <c r="J3646" s="19"/>
      <c r="L3646" s="21">
        <v>0</v>
      </c>
      <c r="M3646" s="22"/>
      <c r="N3646" s="21">
        <v>0</v>
      </c>
      <c r="O3646" s="22"/>
    </row>
    <row r="3647" ht="25.5">
      <c r="A3647" t="s">
        <v>3625</v>
      </c>
      <c r="B3647" s="19">
        <v>106139</v>
      </c>
      <c r="C3647" s="20" t="s">
        <v>3719</v>
      </c>
      <c r="D3647" s="19" t="s">
        <v>31</v>
      </c>
      <c r="E3647" s="21" t="str">
        <f t="shared" si="167"/>
        <v>VERIFICAR</v>
      </c>
      <c r="F3647" s="22">
        <v>8.0000000000000002e-002</v>
      </c>
      <c r="G3647" s="21" t="str">
        <f t="shared" si="168"/>
        <v>VERIFICAR</v>
      </c>
      <c r="H3647" s="22">
        <v>8.9999999999999997e-002</v>
      </c>
      <c r="I3647" s="23" t="str">
        <f t="shared" si="169"/>
        <v xml:space="preserve">COM VALOR</v>
      </c>
      <c r="J3647" s="19"/>
      <c r="L3647" s="21">
        <v>0</v>
      </c>
      <c r="M3647" s="22"/>
      <c r="N3647" s="21">
        <v>0</v>
      </c>
      <c r="O3647" s="22"/>
    </row>
    <row r="3648" ht="25.5">
      <c r="A3648" t="s">
        <v>3625</v>
      </c>
      <c r="B3648" s="19">
        <v>106140</v>
      </c>
      <c r="C3648" s="20" t="s">
        <v>3720</v>
      </c>
      <c r="D3648" s="19" t="s">
        <v>31</v>
      </c>
      <c r="E3648" s="21" t="str">
        <f t="shared" si="167"/>
        <v>VERIFICAR</v>
      </c>
      <c r="F3648" s="22">
        <v>8.9999999999999997e-002</v>
      </c>
      <c r="G3648" s="21" t="str">
        <f t="shared" si="168"/>
        <v>VERIFICAR</v>
      </c>
      <c r="H3648" s="22">
        <v>8.9999999999999997e-002</v>
      </c>
      <c r="I3648" s="23" t="str">
        <f t="shared" si="169"/>
        <v xml:space="preserve">COM VALOR</v>
      </c>
      <c r="J3648" s="19"/>
      <c r="L3648" s="21">
        <v>0</v>
      </c>
      <c r="M3648" s="22"/>
      <c r="N3648" s="21">
        <v>0</v>
      </c>
      <c r="O3648" s="22"/>
    </row>
    <row r="3649" ht="25.5">
      <c r="A3649" t="s">
        <v>3625</v>
      </c>
      <c r="B3649" s="19">
        <v>90838</v>
      </c>
      <c r="C3649" s="20" t="s">
        <v>3721</v>
      </c>
      <c r="D3649" s="19" t="s">
        <v>31</v>
      </c>
      <c r="E3649" s="21">
        <f t="shared" si="167"/>
        <v>1612.1800000000001</v>
      </c>
      <c r="F3649" s="22">
        <v>0</v>
      </c>
      <c r="G3649" s="21">
        <f t="shared" si="168"/>
        <v>1603.3599999999999</v>
      </c>
      <c r="H3649" s="22">
        <v>0</v>
      </c>
      <c r="I3649" s="23" t="str">
        <f t="shared" si="169"/>
        <v xml:space="preserve">COM VALOR</v>
      </c>
      <c r="J3649" s="19"/>
      <c r="L3649" s="21">
        <v>1612.1800000000001</v>
      </c>
      <c r="M3649" s="22">
        <v>0</v>
      </c>
      <c r="N3649" s="21">
        <v>1603.3599999999999</v>
      </c>
      <c r="O3649" s="22">
        <v>0</v>
      </c>
    </row>
    <row r="3650" ht="38.25">
      <c r="A3650" t="s">
        <v>3625</v>
      </c>
      <c r="B3650" s="19">
        <v>94805</v>
      </c>
      <c r="C3650" s="20" t="s">
        <v>3722</v>
      </c>
      <c r="D3650" s="19" t="s">
        <v>31</v>
      </c>
      <c r="E3650" s="21">
        <f t="shared" si="167"/>
        <v>906.16999999999996</v>
      </c>
      <c r="F3650" s="22">
        <v>1.e-002</v>
      </c>
      <c r="G3650" s="21">
        <f t="shared" si="168"/>
        <v>904.30999999999995</v>
      </c>
      <c r="H3650" s="22">
        <v>1.e-002</v>
      </c>
      <c r="I3650" s="23" t="str">
        <f t="shared" si="169"/>
        <v xml:space="preserve">COM VALOR</v>
      </c>
      <c r="J3650" s="19"/>
      <c r="L3650" s="21">
        <v>906.16999999999996</v>
      </c>
      <c r="M3650" s="22">
        <v>0</v>
      </c>
      <c r="N3650" s="21">
        <v>904.30999999999995</v>
      </c>
      <c r="O3650" s="22">
        <v>0</v>
      </c>
    </row>
    <row r="3651" ht="25.5">
      <c r="A3651" t="s">
        <v>3625</v>
      </c>
      <c r="B3651" s="19">
        <v>106145</v>
      </c>
      <c r="C3651" s="20" t="s">
        <v>3723</v>
      </c>
      <c r="D3651" s="19" t="s">
        <v>31</v>
      </c>
      <c r="E3651" s="21">
        <f t="shared" si="167"/>
        <v>904.46000000000004</v>
      </c>
      <c r="F3651" s="22">
        <v>0</v>
      </c>
      <c r="G3651" s="21">
        <f t="shared" si="168"/>
        <v>900.11000000000001</v>
      </c>
      <c r="H3651" s="22">
        <v>0</v>
      </c>
      <c r="I3651" s="23" t="str">
        <f t="shared" si="169"/>
        <v xml:space="preserve">COM VALOR</v>
      </c>
      <c r="J3651" s="19"/>
      <c r="L3651" s="21">
        <v>904.46000000000004</v>
      </c>
      <c r="M3651" s="22">
        <v>0</v>
      </c>
      <c r="N3651" s="21">
        <v>900.11000000000001</v>
      </c>
      <c r="O3651" s="22">
        <v>0</v>
      </c>
    </row>
    <row r="3652" ht="25.5">
      <c r="A3652" t="s">
        <v>3625</v>
      </c>
      <c r="B3652" s="19">
        <v>106146</v>
      </c>
      <c r="C3652" s="20" t="s">
        <v>3724</v>
      </c>
      <c r="D3652" s="19" t="s">
        <v>31</v>
      </c>
      <c r="E3652" s="21">
        <f t="shared" si="167"/>
        <v>742.60000000000002</v>
      </c>
      <c r="F3652" s="22">
        <v>0</v>
      </c>
      <c r="G3652" s="21">
        <f t="shared" si="168"/>
        <v>737.79999999999995</v>
      </c>
      <c r="H3652" s="22">
        <v>0</v>
      </c>
      <c r="I3652" s="23" t="str">
        <f t="shared" si="169"/>
        <v xml:space="preserve">COM VALOR</v>
      </c>
      <c r="J3652" s="19"/>
      <c r="L3652" s="21">
        <v>742.60000000000002</v>
      </c>
      <c r="M3652" s="22">
        <v>0</v>
      </c>
      <c r="N3652" s="21">
        <v>737.79999999999995</v>
      </c>
      <c r="O3652" s="22">
        <v>0</v>
      </c>
    </row>
    <row r="3653" ht="38.25">
      <c r="A3653" t="s">
        <v>3625</v>
      </c>
      <c r="B3653" s="19">
        <v>100702</v>
      </c>
      <c r="C3653" s="20" t="s">
        <v>3725</v>
      </c>
      <c r="D3653" s="19" t="s">
        <v>29</v>
      </c>
      <c r="E3653" s="21">
        <f t="shared" si="167"/>
        <v>528.92999999999995</v>
      </c>
      <c r="F3653" s="22">
        <v>1.e-002</v>
      </c>
      <c r="G3653" s="21">
        <f t="shared" si="168"/>
        <v>528.13</v>
      </c>
      <c r="H3653" s="22">
        <v>1.e-002</v>
      </c>
      <c r="I3653" s="23" t="str">
        <f t="shared" si="169"/>
        <v xml:space="preserve">COM VALOR</v>
      </c>
      <c r="J3653" s="19"/>
      <c r="L3653" s="21">
        <v>528.92999999999995</v>
      </c>
      <c r="M3653" s="22">
        <v>0</v>
      </c>
      <c r="N3653" s="21">
        <v>528.13</v>
      </c>
      <c r="O3653" s="22">
        <v>0</v>
      </c>
    </row>
    <row r="3654" ht="25.5">
      <c r="A3654" t="s">
        <v>3625</v>
      </c>
      <c r="B3654" s="19">
        <v>106148</v>
      </c>
      <c r="C3654" s="20" t="s">
        <v>3726</v>
      </c>
      <c r="D3654" s="19" t="s">
        <v>31</v>
      </c>
      <c r="E3654" s="21" t="str">
        <f t="shared" si="167"/>
        <v>VERIFICAR</v>
      </c>
      <c r="F3654" s="22">
        <v>0</v>
      </c>
      <c r="G3654" s="21" t="str">
        <f t="shared" si="168"/>
        <v>VERIFICAR</v>
      </c>
      <c r="H3654" s="22">
        <v>0</v>
      </c>
      <c r="I3654" s="23" t="str">
        <f t="shared" si="169"/>
        <v xml:space="preserve">COM VALOR</v>
      </c>
      <c r="J3654" s="19"/>
      <c r="L3654" s="21">
        <v>0</v>
      </c>
      <c r="M3654" s="22"/>
      <c r="N3654" s="21">
        <v>0</v>
      </c>
      <c r="O3654" s="22"/>
    </row>
    <row r="3655" ht="25.5">
      <c r="A3655" t="s">
        <v>3625</v>
      </c>
      <c r="B3655" s="19">
        <v>100701</v>
      </c>
      <c r="C3655" s="20" t="s">
        <v>3727</v>
      </c>
      <c r="D3655" s="19" t="s">
        <v>29</v>
      </c>
      <c r="E3655" s="21">
        <f t="shared" si="167"/>
        <v>660.16999999999996</v>
      </c>
      <c r="F3655" s="22">
        <v>0</v>
      </c>
      <c r="G3655" s="21">
        <f t="shared" si="168"/>
        <v>657.53999999999996</v>
      </c>
      <c r="H3655" s="22">
        <v>0</v>
      </c>
      <c r="I3655" s="23" t="str">
        <f t="shared" si="169"/>
        <v xml:space="preserve">COM VALOR</v>
      </c>
      <c r="J3655" s="19"/>
      <c r="L3655" s="21">
        <v>660.16999999999996</v>
      </c>
      <c r="M3655" s="22">
        <v>0</v>
      </c>
      <c r="N3655" s="21">
        <v>657.53999999999996</v>
      </c>
      <c r="O3655" s="22">
        <v>0</v>
      </c>
    </row>
    <row r="3656" ht="25.5">
      <c r="A3656" t="s">
        <v>3625</v>
      </c>
      <c r="B3656" s="19">
        <v>100700</v>
      </c>
      <c r="C3656" s="20" t="s">
        <v>3728</v>
      </c>
      <c r="D3656" s="19" t="s">
        <v>31</v>
      </c>
      <c r="E3656" s="21">
        <f t="shared" si="167"/>
        <v>1008.64</v>
      </c>
      <c r="F3656" s="22">
        <v>1.e-002</v>
      </c>
      <c r="G3656" s="21">
        <f t="shared" si="168"/>
        <v>996.12</v>
      </c>
      <c r="H3656" s="22">
        <v>1.e-002</v>
      </c>
      <c r="I3656" s="23" t="str">
        <f t="shared" si="169"/>
        <v xml:space="preserve">COM VALOR</v>
      </c>
      <c r="J3656" s="19"/>
      <c r="L3656" s="21">
        <v>1008.64</v>
      </c>
      <c r="M3656" s="22">
        <v>0</v>
      </c>
      <c r="N3656" s="21">
        <v>996.12</v>
      </c>
      <c r="O3656" s="22">
        <v>0</v>
      </c>
    </row>
    <row r="3657" ht="38.25">
      <c r="A3657" t="s">
        <v>3625</v>
      </c>
      <c r="B3657" s="19">
        <v>91295</v>
      </c>
      <c r="C3657" s="20" t="s">
        <v>3729</v>
      </c>
      <c r="D3657" s="19" t="s">
        <v>31</v>
      </c>
      <c r="E3657" s="21">
        <f t="shared" si="167"/>
        <v>432.85000000000002</v>
      </c>
      <c r="F3657" s="22">
        <v>0</v>
      </c>
      <c r="G3657" s="21">
        <f t="shared" si="168"/>
        <v>429.39999999999998</v>
      </c>
      <c r="H3657" s="22">
        <v>0</v>
      </c>
      <c r="I3657" s="23" t="str">
        <f t="shared" si="169"/>
        <v xml:space="preserve">COM VALOR</v>
      </c>
      <c r="J3657" s="19"/>
      <c r="L3657" s="21">
        <v>432.85000000000002</v>
      </c>
      <c r="M3657" s="22">
        <v>0</v>
      </c>
      <c r="N3657" s="21">
        <v>429.39999999999998</v>
      </c>
      <c r="O3657" s="22">
        <v>0</v>
      </c>
    </row>
    <row r="3658" ht="38.25">
      <c r="A3658" t="s">
        <v>3625</v>
      </c>
      <c r="B3658" s="19">
        <v>91296</v>
      </c>
      <c r="C3658" s="20" t="s">
        <v>3730</v>
      </c>
      <c r="D3658" s="19" t="s">
        <v>31</v>
      </c>
      <c r="E3658" s="21">
        <f t="shared" si="167"/>
        <v>464.01999999999998</v>
      </c>
      <c r="F3658" s="22">
        <v>5.9999999999999998e-002</v>
      </c>
      <c r="G3658" s="21">
        <f t="shared" si="168"/>
        <v>460.20999999999998</v>
      </c>
      <c r="H3658" s="22">
        <v>5.9999999999999998e-002</v>
      </c>
      <c r="I3658" s="23" t="str">
        <f t="shared" si="169"/>
        <v xml:space="preserve">COM VALOR</v>
      </c>
      <c r="J3658" s="19"/>
      <c r="L3658" s="21">
        <v>464.01999999999998</v>
      </c>
      <c r="M3658" s="22">
        <v>0</v>
      </c>
      <c r="N3658" s="21">
        <v>460.20999999999998</v>
      </c>
      <c r="O3658" s="22">
        <v>0</v>
      </c>
    </row>
    <row r="3659" ht="38.25">
      <c r="A3659" t="s">
        <v>3625</v>
      </c>
      <c r="B3659" s="19">
        <v>91297</v>
      </c>
      <c r="C3659" s="20" t="s">
        <v>3731</v>
      </c>
      <c r="D3659" s="19" t="s">
        <v>31</v>
      </c>
      <c r="E3659" s="21">
        <f t="shared" ref="E3659:E3722" si="170">IF(L3659=0,"VERIFICAR",L3659)</f>
        <v>510.52999999999997</v>
      </c>
      <c r="F3659" s="22">
        <v>2.9999999999999999e-002</v>
      </c>
      <c r="G3659" s="21">
        <f t="shared" ref="G3659:G3722" si="171">IF(N3659=0,"VERIFICAR",N3659)</f>
        <v>506.35000000000002</v>
      </c>
      <c r="H3659" s="22">
        <v>2.9999999999999999e-002</v>
      </c>
      <c r="I3659" s="23" t="str">
        <f t="shared" ref="I3659:I3722" si="172">IF(OR(E3659=0,G3659=0),"SEM VALOR","COM VALOR")</f>
        <v xml:space="preserve">COM VALOR</v>
      </c>
      <c r="J3659" s="19"/>
      <c r="L3659" s="21">
        <v>510.52999999999997</v>
      </c>
      <c r="M3659" s="22">
        <v>0</v>
      </c>
      <c r="N3659" s="21">
        <v>506.35000000000002</v>
      </c>
      <c r="O3659" s="22">
        <v>0</v>
      </c>
    </row>
    <row r="3660" ht="38.25">
      <c r="A3660" t="s">
        <v>3625</v>
      </c>
      <c r="B3660" s="19">
        <v>90820</v>
      </c>
      <c r="C3660" s="20" t="s">
        <v>3732</v>
      </c>
      <c r="D3660" s="19" t="s">
        <v>31</v>
      </c>
      <c r="E3660" s="21">
        <f t="shared" si="170"/>
        <v>406.56</v>
      </c>
      <c r="F3660" s="22">
        <v>2.9999999999999999e-002</v>
      </c>
      <c r="G3660" s="21">
        <f t="shared" si="171"/>
        <v>403.11000000000001</v>
      </c>
      <c r="H3660" s="22">
        <v>2.9999999999999999e-002</v>
      </c>
      <c r="I3660" s="23" t="str">
        <f t="shared" si="172"/>
        <v xml:space="preserve">COM VALOR</v>
      </c>
      <c r="J3660" s="19"/>
      <c r="L3660" s="21">
        <v>406.56</v>
      </c>
      <c r="M3660" s="22">
        <v>0</v>
      </c>
      <c r="N3660" s="21">
        <v>403.11000000000001</v>
      </c>
      <c r="O3660" s="22">
        <v>0</v>
      </c>
    </row>
    <row r="3661" ht="38.25">
      <c r="A3661" t="s">
        <v>3625</v>
      </c>
      <c r="B3661" s="19">
        <v>90821</v>
      </c>
      <c r="C3661" s="20" t="s">
        <v>3733</v>
      </c>
      <c r="D3661" s="19" t="s">
        <v>31</v>
      </c>
      <c r="E3661" s="21">
        <f t="shared" si="170"/>
        <v>415.17000000000002</v>
      </c>
      <c r="F3661" s="22">
        <v>2.9999999999999999e-002</v>
      </c>
      <c r="G3661" s="21">
        <f t="shared" si="171"/>
        <v>411.36000000000001</v>
      </c>
      <c r="H3661" s="22">
        <v>2.9999999999999999e-002</v>
      </c>
      <c r="I3661" s="23" t="str">
        <f t="shared" si="172"/>
        <v xml:space="preserve">COM VALOR</v>
      </c>
      <c r="J3661" s="19"/>
      <c r="L3661" s="21">
        <v>415.17000000000002</v>
      </c>
      <c r="M3661" s="22">
        <v>0</v>
      </c>
      <c r="N3661" s="21">
        <v>411.36000000000001</v>
      </c>
      <c r="O3661" s="22">
        <v>0</v>
      </c>
    </row>
    <row r="3662" ht="38.25">
      <c r="A3662" t="s">
        <v>3625</v>
      </c>
      <c r="B3662" s="19">
        <v>90822</v>
      </c>
      <c r="C3662" s="20" t="s">
        <v>3734</v>
      </c>
      <c r="D3662" s="19" t="s">
        <v>31</v>
      </c>
      <c r="E3662" s="21">
        <f t="shared" si="170"/>
        <v>445.19999999999999</v>
      </c>
      <c r="F3662" s="22">
        <v>2.9999999999999999e-002</v>
      </c>
      <c r="G3662" s="21">
        <f t="shared" si="171"/>
        <v>441.01999999999998</v>
      </c>
      <c r="H3662" s="22">
        <v>2.9999999999999999e-002</v>
      </c>
      <c r="I3662" s="23" t="str">
        <f t="shared" si="172"/>
        <v xml:space="preserve">COM VALOR</v>
      </c>
      <c r="J3662" s="19"/>
      <c r="L3662" s="21">
        <v>445.19999999999999</v>
      </c>
      <c r="M3662" s="22">
        <v>0</v>
      </c>
      <c r="N3662" s="21">
        <v>441.01999999999998</v>
      </c>
      <c r="O3662" s="22">
        <v>0</v>
      </c>
    </row>
    <row r="3663" ht="38.25">
      <c r="A3663" t="s">
        <v>3625</v>
      </c>
      <c r="B3663" s="19">
        <v>90823</v>
      </c>
      <c r="C3663" s="20" t="s">
        <v>3735</v>
      </c>
      <c r="D3663" s="19" t="s">
        <v>31</v>
      </c>
      <c r="E3663" s="21">
        <f t="shared" si="170"/>
        <v>545.59000000000003</v>
      </c>
      <c r="F3663" s="22">
        <v>2.9999999999999999e-002</v>
      </c>
      <c r="G3663" s="21">
        <f t="shared" si="171"/>
        <v>541.05999999999995</v>
      </c>
      <c r="H3663" s="22">
        <v>2.9999999999999999e-002</v>
      </c>
      <c r="I3663" s="23" t="str">
        <f t="shared" si="172"/>
        <v xml:space="preserve">COM VALOR</v>
      </c>
      <c r="J3663" s="19"/>
      <c r="L3663" s="21">
        <v>545.59000000000003</v>
      </c>
      <c r="M3663" s="22">
        <v>0</v>
      </c>
      <c r="N3663" s="21">
        <v>541.05999999999995</v>
      </c>
      <c r="O3663" s="22">
        <v>0</v>
      </c>
    </row>
    <row r="3664" ht="38.25">
      <c r="A3664" t="s">
        <v>3625</v>
      </c>
      <c r="B3664" s="19">
        <v>90824</v>
      </c>
      <c r="C3664" s="20" t="s">
        <v>3736</v>
      </c>
      <c r="D3664" s="19" t="s">
        <v>31</v>
      </c>
      <c r="E3664" s="21">
        <f t="shared" si="170"/>
        <v>777.75</v>
      </c>
      <c r="F3664" s="22">
        <v>2.9999999999999999e-002</v>
      </c>
      <c r="G3664" s="21">
        <f t="shared" si="171"/>
        <v>771.95000000000005</v>
      </c>
      <c r="H3664" s="22">
        <v>2.9999999999999999e-002</v>
      </c>
      <c r="I3664" s="23" t="str">
        <f t="shared" si="172"/>
        <v xml:space="preserve">COM VALOR</v>
      </c>
      <c r="J3664" s="19"/>
      <c r="L3664" s="21">
        <v>777.75</v>
      </c>
      <c r="M3664" s="22">
        <v>0</v>
      </c>
      <c r="N3664" s="21">
        <v>771.95000000000005</v>
      </c>
      <c r="O3664" s="22">
        <v>0</v>
      </c>
    </row>
    <row r="3665" ht="38.25">
      <c r="A3665" t="s">
        <v>3625</v>
      </c>
      <c r="B3665" s="19">
        <v>91009</v>
      </c>
      <c r="C3665" s="20" t="s">
        <v>3737</v>
      </c>
      <c r="D3665" s="19" t="s">
        <v>31</v>
      </c>
      <c r="E3665" s="21">
        <f t="shared" si="170"/>
        <v>420.64999999999998</v>
      </c>
      <c r="F3665" s="22">
        <v>2.9999999999999999e-002</v>
      </c>
      <c r="G3665" s="21">
        <f t="shared" si="171"/>
        <v>417.19999999999999</v>
      </c>
      <c r="H3665" s="22">
        <v>2.9999999999999999e-002</v>
      </c>
      <c r="I3665" s="23" t="str">
        <f t="shared" si="172"/>
        <v xml:space="preserve">COM VALOR</v>
      </c>
      <c r="J3665" s="19"/>
      <c r="L3665" s="21">
        <v>420.64999999999998</v>
      </c>
      <c r="M3665" s="22">
        <v>0</v>
      </c>
      <c r="N3665" s="21">
        <v>417.19999999999999</v>
      </c>
      <c r="O3665" s="22">
        <v>0</v>
      </c>
    </row>
    <row r="3666" ht="38.25">
      <c r="A3666" t="s">
        <v>3625</v>
      </c>
      <c r="B3666" s="19">
        <v>91010</v>
      </c>
      <c r="C3666" s="20" t="s">
        <v>3738</v>
      </c>
      <c r="D3666" s="19" t="s">
        <v>31</v>
      </c>
      <c r="E3666" s="21">
        <f t="shared" si="170"/>
        <v>429.93000000000001</v>
      </c>
      <c r="F3666" s="22">
        <v>8.0000000000000002e-002</v>
      </c>
      <c r="G3666" s="21">
        <f t="shared" si="171"/>
        <v>426.12</v>
      </c>
      <c r="H3666" s="22">
        <v>8.0000000000000002e-002</v>
      </c>
      <c r="I3666" s="23" t="str">
        <f t="shared" si="172"/>
        <v xml:space="preserve">COM VALOR</v>
      </c>
      <c r="J3666" s="19"/>
      <c r="L3666" s="21">
        <v>429.93000000000001</v>
      </c>
      <c r="M3666" s="22">
        <v>0</v>
      </c>
      <c r="N3666" s="21">
        <v>426.12</v>
      </c>
      <c r="O3666" s="22">
        <v>0</v>
      </c>
    </row>
    <row r="3667" ht="38.25">
      <c r="A3667" t="s">
        <v>3625</v>
      </c>
      <c r="B3667" s="19">
        <v>91011</v>
      </c>
      <c r="C3667" s="20" t="s">
        <v>3739</v>
      </c>
      <c r="D3667" s="19" t="s">
        <v>31</v>
      </c>
      <c r="E3667" s="21">
        <f t="shared" si="170"/>
        <v>502.39999999999998</v>
      </c>
      <c r="F3667" s="22">
        <v>8.0000000000000002e-002</v>
      </c>
      <c r="G3667" s="21">
        <f t="shared" si="171"/>
        <v>498.22000000000003</v>
      </c>
      <c r="H3667" s="22">
        <v>8.0000000000000002e-002</v>
      </c>
      <c r="I3667" s="23" t="str">
        <f t="shared" si="172"/>
        <v xml:space="preserve">COM VALOR</v>
      </c>
      <c r="J3667" s="19"/>
      <c r="L3667" s="21">
        <v>502.39999999999998</v>
      </c>
      <c r="M3667" s="22">
        <v>0</v>
      </c>
      <c r="N3667" s="21">
        <v>498.22000000000003</v>
      </c>
      <c r="O3667" s="22">
        <v>0</v>
      </c>
    </row>
    <row r="3668" ht="38.25">
      <c r="A3668" t="s">
        <v>3625</v>
      </c>
      <c r="B3668" s="19">
        <v>91012</v>
      </c>
      <c r="C3668" s="20" t="s">
        <v>3740</v>
      </c>
      <c r="D3668" s="19" t="s">
        <v>31</v>
      </c>
      <c r="E3668" s="21">
        <f t="shared" si="170"/>
        <v>558.08000000000004</v>
      </c>
      <c r="F3668" s="22">
        <v>7.0000000000000007e-002</v>
      </c>
      <c r="G3668" s="21">
        <f t="shared" si="171"/>
        <v>553.54999999999995</v>
      </c>
      <c r="H3668" s="22">
        <v>7.0000000000000007e-002</v>
      </c>
      <c r="I3668" s="23" t="str">
        <f t="shared" si="172"/>
        <v xml:space="preserve">COM VALOR</v>
      </c>
      <c r="J3668" s="19"/>
      <c r="L3668" s="21">
        <v>558.08000000000004</v>
      </c>
      <c r="M3668" s="22">
        <v>0</v>
      </c>
      <c r="N3668" s="21">
        <v>553.54999999999995</v>
      </c>
      <c r="O3668" s="22">
        <v>0</v>
      </c>
    </row>
    <row r="3669" ht="25.5">
      <c r="A3669" t="s">
        <v>3625</v>
      </c>
      <c r="B3669" s="19">
        <v>91298</v>
      </c>
      <c r="C3669" s="20" t="s">
        <v>3741</v>
      </c>
      <c r="D3669" s="19" t="s">
        <v>31</v>
      </c>
      <c r="E3669" s="21">
        <f t="shared" si="170"/>
        <v>925.5</v>
      </c>
      <c r="F3669" s="22">
        <v>7.0000000000000007e-002</v>
      </c>
      <c r="G3669" s="21">
        <f t="shared" si="171"/>
        <v>921.32000000000005</v>
      </c>
      <c r="H3669" s="22">
        <v>7.0000000000000007e-002</v>
      </c>
      <c r="I3669" s="23" t="str">
        <f t="shared" si="172"/>
        <v xml:space="preserve">COM VALOR</v>
      </c>
      <c r="J3669" s="19"/>
      <c r="L3669" s="21">
        <v>925.5</v>
      </c>
      <c r="M3669" s="22">
        <v>0.82999999999999996</v>
      </c>
      <c r="N3669" s="21">
        <v>921.32000000000005</v>
      </c>
      <c r="O3669" s="22">
        <v>0.82999999999999996</v>
      </c>
    </row>
    <row r="3670" ht="38.25">
      <c r="A3670" t="s">
        <v>3625</v>
      </c>
      <c r="B3670" s="19">
        <v>90825</v>
      </c>
      <c r="C3670" s="20" t="s">
        <v>3742</v>
      </c>
      <c r="D3670" s="19" t="s">
        <v>31</v>
      </c>
      <c r="E3670" s="21">
        <f t="shared" si="170"/>
        <v>865.58000000000004</v>
      </c>
      <c r="F3670" s="22">
        <v>5.9999999999999998e-002</v>
      </c>
      <c r="G3670" s="21">
        <f t="shared" si="171"/>
        <v>859.28999999999996</v>
      </c>
      <c r="H3670" s="22">
        <v>5.9999999999999998e-002</v>
      </c>
      <c r="I3670" s="23" t="str">
        <f t="shared" si="172"/>
        <v xml:space="preserve">COM VALOR</v>
      </c>
      <c r="J3670" s="19"/>
      <c r="L3670" s="21">
        <v>865.58000000000004</v>
      </c>
      <c r="M3670" s="22">
        <v>0</v>
      </c>
      <c r="N3670" s="21">
        <v>859.28999999999996</v>
      </c>
      <c r="O3670" s="22">
        <v>0</v>
      </c>
    </row>
    <row r="3671" ht="38.25">
      <c r="A3671" t="s">
        <v>3625</v>
      </c>
      <c r="B3671" s="19">
        <v>91299</v>
      </c>
      <c r="C3671" s="20" t="s">
        <v>3743</v>
      </c>
      <c r="D3671" s="19" t="s">
        <v>31</v>
      </c>
      <c r="E3671" s="21">
        <f t="shared" si="170"/>
        <v>1288.6800000000001</v>
      </c>
      <c r="F3671" s="22">
        <v>5.9999999999999998e-002</v>
      </c>
      <c r="G3671" s="21">
        <f t="shared" si="171"/>
        <v>1282.8800000000001</v>
      </c>
      <c r="H3671" s="22">
        <v>5.9999999999999998e-002</v>
      </c>
      <c r="I3671" s="23" t="str">
        <f t="shared" si="172"/>
        <v xml:space="preserve">COM VALOR</v>
      </c>
      <c r="J3671" s="19"/>
      <c r="L3671" s="21">
        <v>1288.6800000000001</v>
      </c>
      <c r="M3671" s="22">
        <v>0.84999999999999998</v>
      </c>
      <c r="N3671" s="21">
        <v>1282.8800000000001</v>
      </c>
      <c r="O3671" s="22">
        <v>0.85999999999999999</v>
      </c>
    </row>
    <row r="3672" ht="25.5">
      <c r="A3672" t="s">
        <v>3625</v>
      </c>
      <c r="B3672" s="19">
        <v>91341</v>
      </c>
      <c r="C3672" s="20" t="s">
        <v>3744</v>
      </c>
      <c r="D3672" s="19" t="s">
        <v>29</v>
      </c>
      <c r="E3672" s="21">
        <f t="shared" si="170"/>
        <v>777.97000000000003</v>
      </c>
      <c r="F3672" s="22">
        <v>5.0000000000000003e-002</v>
      </c>
      <c r="G3672" s="21">
        <f t="shared" si="171"/>
        <v>776.87</v>
      </c>
      <c r="H3672" s="22">
        <v>5.0000000000000003e-002</v>
      </c>
      <c r="I3672" s="23" t="str">
        <f t="shared" si="172"/>
        <v xml:space="preserve">COM VALOR</v>
      </c>
      <c r="J3672" s="19"/>
      <c r="L3672" s="21">
        <v>777.97000000000003</v>
      </c>
      <c r="M3672" s="22">
        <v>0</v>
      </c>
      <c r="N3672" s="21">
        <v>776.87</v>
      </c>
      <c r="O3672" s="22">
        <v>0</v>
      </c>
    </row>
    <row r="3673" ht="38.25">
      <c r="A3673" t="s">
        <v>3625</v>
      </c>
      <c r="B3673" s="19">
        <v>94806</v>
      </c>
      <c r="C3673" s="20" t="s">
        <v>3745</v>
      </c>
      <c r="D3673" s="19" t="s">
        <v>31</v>
      </c>
      <c r="E3673" s="21">
        <f t="shared" si="170"/>
        <v>749.85000000000002</v>
      </c>
      <c r="F3673" s="22">
        <v>5.0000000000000003e-002</v>
      </c>
      <c r="G3673" s="21">
        <f t="shared" si="171"/>
        <v>747.23000000000002</v>
      </c>
      <c r="H3673" s="22">
        <v>5.0000000000000003e-002</v>
      </c>
      <c r="I3673" s="23" t="str">
        <f t="shared" si="172"/>
        <v xml:space="preserve">COM VALOR</v>
      </c>
      <c r="J3673" s="19"/>
      <c r="L3673" s="21">
        <v>749.85000000000002</v>
      </c>
      <c r="M3673" s="22">
        <v>0</v>
      </c>
      <c r="N3673" s="21">
        <v>747.23000000000002</v>
      </c>
      <c r="O3673" s="22">
        <v>0</v>
      </c>
    </row>
    <row r="3674" ht="25.5">
      <c r="A3674" t="s">
        <v>3625</v>
      </c>
      <c r="B3674" s="19">
        <v>94807</v>
      </c>
      <c r="C3674" s="20" t="s">
        <v>3746</v>
      </c>
      <c r="D3674" s="19" t="s">
        <v>31</v>
      </c>
      <c r="E3674" s="21">
        <f t="shared" si="170"/>
        <v>684.90999999999997</v>
      </c>
      <c r="F3674" s="22">
        <v>4.0000000000000001e-002</v>
      </c>
      <c r="G3674" s="21">
        <f t="shared" si="171"/>
        <v>682.13999999999999</v>
      </c>
      <c r="H3674" s="22">
        <v>4.0000000000000001e-002</v>
      </c>
      <c r="I3674" s="23" t="str">
        <f t="shared" si="172"/>
        <v xml:space="preserve">COM VALOR</v>
      </c>
      <c r="J3674" s="19"/>
      <c r="L3674" s="21">
        <v>684.90999999999997</v>
      </c>
      <c r="M3674" s="22">
        <v>0</v>
      </c>
      <c r="N3674" s="21">
        <v>682.13999999999999</v>
      </c>
      <c r="O3674" s="22">
        <v>0</v>
      </c>
    </row>
    <row r="3675" ht="38.25">
      <c r="A3675" t="s">
        <v>3625</v>
      </c>
      <c r="B3675" s="19">
        <v>106142</v>
      </c>
      <c r="C3675" s="20" t="s">
        <v>3747</v>
      </c>
      <c r="D3675" s="19" t="s">
        <v>31</v>
      </c>
      <c r="E3675" s="21">
        <f t="shared" si="170"/>
        <v>1051.1500000000001</v>
      </c>
      <c r="F3675" s="22">
        <v>4.0000000000000001e-002</v>
      </c>
      <c r="G3675" s="21">
        <f t="shared" si="171"/>
        <v>1049.46</v>
      </c>
      <c r="H3675" s="22">
        <v>4.0000000000000001e-002</v>
      </c>
      <c r="I3675" s="23" t="str">
        <f t="shared" si="172"/>
        <v xml:space="preserve">COM VALOR</v>
      </c>
      <c r="J3675" s="19"/>
      <c r="L3675" s="21">
        <v>1051.1500000000001</v>
      </c>
      <c r="M3675" s="22">
        <v>0</v>
      </c>
      <c r="N3675" s="21">
        <v>1049.46</v>
      </c>
      <c r="O3675" s="22">
        <v>0</v>
      </c>
    </row>
    <row r="3676" ht="38.25">
      <c r="A3676" t="s">
        <v>3625</v>
      </c>
      <c r="B3676" s="19">
        <v>106143</v>
      </c>
      <c r="C3676" s="20" t="s">
        <v>3748</v>
      </c>
      <c r="D3676" s="19" t="s">
        <v>31</v>
      </c>
      <c r="E3676" s="21">
        <f t="shared" si="170"/>
        <v>1083.0899999999999</v>
      </c>
      <c r="F3676" s="22">
        <v>4.0000000000000001e-002</v>
      </c>
      <c r="G3676" s="21">
        <f t="shared" si="171"/>
        <v>1081.3099999999999</v>
      </c>
      <c r="H3676" s="22">
        <v>4.0000000000000001e-002</v>
      </c>
      <c r="I3676" s="23" t="str">
        <f t="shared" si="172"/>
        <v xml:space="preserve">COM VALOR</v>
      </c>
      <c r="J3676" s="19"/>
      <c r="L3676" s="21">
        <v>1083.0899999999999</v>
      </c>
      <c r="M3676" s="22">
        <v>0</v>
      </c>
      <c r="N3676" s="21">
        <v>1081.3099999999999</v>
      </c>
      <c r="O3676" s="22">
        <v>0</v>
      </c>
    </row>
    <row r="3677" ht="38.25">
      <c r="A3677" t="s">
        <v>3625</v>
      </c>
      <c r="B3677" s="19">
        <v>106144</v>
      </c>
      <c r="C3677" s="20" t="s">
        <v>3749</v>
      </c>
      <c r="D3677" s="19" t="s">
        <v>31</v>
      </c>
      <c r="E3677" s="21">
        <f t="shared" si="170"/>
        <v>1270.1600000000001</v>
      </c>
      <c r="F3677" s="22">
        <v>4.0000000000000001e-002</v>
      </c>
      <c r="G3677" s="21">
        <f t="shared" si="171"/>
        <v>1267.72</v>
      </c>
      <c r="H3677" s="22">
        <v>4.0000000000000001e-002</v>
      </c>
      <c r="I3677" s="23" t="str">
        <f t="shared" si="172"/>
        <v xml:space="preserve">COM VALOR</v>
      </c>
      <c r="J3677" s="19"/>
      <c r="L3677" s="21">
        <v>1270.1600000000001</v>
      </c>
      <c r="M3677" s="22">
        <v>0</v>
      </c>
      <c r="N3677" s="21">
        <v>1267.72</v>
      </c>
      <c r="O3677" s="22">
        <v>0</v>
      </c>
    </row>
    <row r="3678" ht="12.75">
      <c r="A3678" t="s">
        <v>3625</v>
      </c>
      <c r="B3678" s="19">
        <v>100703</v>
      </c>
      <c r="C3678" s="20" t="s">
        <v>3750</v>
      </c>
      <c r="D3678" s="19" t="s">
        <v>31</v>
      </c>
      <c r="E3678" s="21">
        <f t="shared" si="170"/>
        <v>36.060000000000002</v>
      </c>
      <c r="F3678" s="22">
        <v>2.9999999999999999e-002</v>
      </c>
      <c r="G3678" s="21">
        <f t="shared" si="171"/>
        <v>35.409999999999997</v>
      </c>
      <c r="H3678" s="22">
        <v>2.9999999999999999e-002</v>
      </c>
      <c r="I3678" s="23" t="str">
        <f t="shared" si="172"/>
        <v xml:space="preserve">COM VALOR</v>
      </c>
      <c r="J3678" s="19"/>
      <c r="L3678" s="21">
        <v>36.060000000000002</v>
      </c>
      <c r="M3678" s="22">
        <v>0</v>
      </c>
      <c r="N3678" s="21">
        <v>35.409999999999997</v>
      </c>
      <c r="O3678" s="22">
        <v>0</v>
      </c>
    </row>
    <row r="3679" ht="38.25">
      <c r="A3679" t="s">
        <v>3625</v>
      </c>
      <c r="B3679" s="19">
        <v>106147</v>
      </c>
      <c r="C3679" s="20" t="s">
        <v>3751</v>
      </c>
      <c r="D3679" s="19" t="s">
        <v>31</v>
      </c>
      <c r="E3679" s="21">
        <f t="shared" si="170"/>
        <v>108.25</v>
      </c>
      <c r="F3679" s="22">
        <v>2.9999999999999999e-002</v>
      </c>
      <c r="G3679" s="21">
        <f t="shared" si="171"/>
        <v>102.3</v>
      </c>
      <c r="H3679" s="22">
        <v>4.0000000000000001e-002</v>
      </c>
      <c r="I3679" s="23" t="str">
        <f t="shared" si="172"/>
        <v xml:space="preserve">COM VALOR</v>
      </c>
      <c r="J3679" s="19"/>
      <c r="L3679" s="21">
        <v>108.25</v>
      </c>
      <c r="M3679" s="22">
        <v>0</v>
      </c>
      <c r="N3679" s="21">
        <v>102.3</v>
      </c>
      <c r="O3679" s="22">
        <v>0</v>
      </c>
    </row>
    <row r="3680" ht="38.25">
      <c r="A3680" t="s">
        <v>3625</v>
      </c>
      <c r="B3680" s="19">
        <v>100695</v>
      </c>
      <c r="C3680" s="20" t="s">
        <v>3752</v>
      </c>
      <c r="D3680" s="19" t="s">
        <v>31</v>
      </c>
      <c r="E3680" s="21">
        <f t="shared" si="170"/>
        <v>75.780000000000001</v>
      </c>
      <c r="F3680" s="22">
        <v>5.9999999999999998e-002</v>
      </c>
      <c r="G3680" s="21">
        <f t="shared" si="171"/>
        <v>71.640000000000001</v>
      </c>
      <c r="H3680" s="22">
        <v>5.9999999999999998e-002</v>
      </c>
      <c r="I3680" s="23" t="str">
        <f t="shared" si="172"/>
        <v xml:space="preserve">COM VALOR</v>
      </c>
      <c r="J3680" s="19"/>
      <c r="L3680" s="21">
        <v>75.780000000000001</v>
      </c>
      <c r="M3680" s="22">
        <v>0</v>
      </c>
      <c r="N3680" s="21">
        <v>71.640000000000001</v>
      </c>
      <c r="O3680" s="22">
        <v>0</v>
      </c>
    </row>
    <row r="3681" ht="38.25">
      <c r="A3681" t="s">
        <v>3625</v>
      </c>
      <c r="B3681" s="19">
        <v>100696</v>
      </c>
      <c r="C3681" s="20" t="s">
        <v>3753</v>
      </c>
      <c r="D3681" s="19" t="s">
        <v>31</v>
      </c>
      <c r="E3681" s="21">
        <f t="shared" si="170"/>
        <v>84.209999999999994</v>
      </c>
      <c r="F3681" s="22">
        <v>5.9999999999999998e-002</v>
      </c>
      <c r="G3681" s="21">
        <f t="shared" si="171"/>
        <v>79.590000000000003</v>
      </c>
      <c r="H3681" s="22">
        <v>5.9999999999999998e-002</v>
      </c>
      <c r="I3681" s="23" t="str">
        <f t="shared" si="172"/>
        <v xml:space="preserve">COM VALOR</v>
      </c>
      <c r="J3681" s="19"/>
      <c r="L3681" s="21">
        <v>84.209999999999994</v>
      </c>
      <c r="M3681" s="22">
        <v>0</v>
      </c>
      <c r="N3681" s="21">
        <v>79.590000000000003</v>
      </c>
      <c r="O3681" s="22">
        <v>0</v>
      </c>
    </row>
    <row r="3682" ht="38.25">
      <c r="A3682" t="s">
        <v>3625</v>
      </c>
      <c r="B3682" s="19">
        <v>100697</v>
      </c>
      <c r="C3682" s="20" t="s">
        <v>3754</v>
      </c>
      <c r="D3682" s="19" t="s">
        <v>31</v>
      </c>
      <c r="E3682" s="21">
        <f t="shared" si="170"/>
        <v>92.650000000000006</v>
      </c>
      <c r="F3682" s="22">
        <v>5.0000000000000003e-002</v>
      </c>
      <c r="G3682" s="21">
        <f t="shared" si="171"/>
        <v>87.549999999999997</v>
      </c>
      <c r="H3682" s="22">
        <v>5.0000000000000003e-002</v>
      </c>
      <c r="I3682" s="23" t="str">
        <f t="shared" si="172"/>
        <v xml:space="preserve">COM VALOR</v>
      </c>
      <c r="J3682" s="19"/>
      <c r="L3682" s="21">
        <v>92.650000000000006</v>
      </c>
      <c r="M3682" s="22">
        <v>0</v>
      </c>
      <c r="N3682" s="21">
        <v>87.549999999999997</v>
      </c>
      <c r="O3682" s="22">
        <v>0</v>
      </c>
    </row>
    <row r="3683" ht="38.25">
      <c r="A3683" t="s">
        <v>3625</v>
      </c>
      <c r="B3683" s="19">
        <v>100698</v>
      </c>
      <c r="C3683" s="20" t="s">
        <v>3755</v>
      </c>
      <c r="D3683" s="19" t="s">
        <v>31</v>
      </c>
      <c r="E3683" s="21">
        <f t="shared" si="170"/>
        <v>101.09</v>
      </c>
      <c r="F3683" s="22">
        <v>5.0000000000000003e-002</v>
      </c>
      <c r="G3683" s="21">
        <f t="shared" si="171"/>
        <v>95.519999999999996</v>
      </c>
      <c r="H3683" s="22">
        <v>5.0000000000000003e-002</v>
      </c>
      <c r="I3683" s="23" t="str">
        <f t="shared" si="172"/>
        <v xml:space="preserve">COM VALOR</v>
      </c>
      <c r="J3683" s="19"/>
      <c r="L3683" s="21">
        <v>101.09</v>
      </c>
      <c r="M3683" s="22">
        <v>0</v>
      </c>
      <c r="N3683" s="21">
        <v>95.519999999999996</v>
      </c>
      <c r="O3683" s="22">
        <v>0</v>
      </c>
    </row>
    <row r="3684" ht="38.25">
      <c r="A3684" t="s">
        <v>3625</v>
      </c>
      <c r="B3684" s="19">
        <v>100699</v>
      </c>
      <c r="C3684" s="20" t="s">
        <v>3756</v>
      </c>
      <c r="D3684" s="19" t="s">
        <v>31</v>
      </c>
      <c r="E3684" s="21">
        <f t="shared" si="170"/>
        <v>121.31999999999999</v>
      </c>
      <c r="F3684" s="22">
        <v>5.0000000000000003e-002</v>
      </c>
      <c r="G3684" s="21">
        <f t="shared" si="171"/>
        <v>114.59999999999999</v>
      </c>
      <c r="H3684" s="22">
        <v>5.0000000000000003e-002</v>
      </c>
      <c r="I3684" s="23" t="str">
        <f t="shared" si="172"/>
        <v xml:space="preserve">COM VALOR</v>
      </c>
      <c r="J3684" s="19"/>
      <c r="L3684" s="21">
        <v>121.31999999999999</v>
      </c>
      <c r="M3684" s="22">
        <v>0</v>
      </c>
      <c r="N3684" s="21">
        <v>114.59999999999999</v>
      </c>
      <c r="O3684" s="22">
        <v>0</v>
      </c>
    </row>
    <row r="3685" ht="12.75">
      <c r="A3685" t="s">
        <v>3625</v>
      </c>
      <c r="B3685" s="19">
        <v>100705</v>
      </c>
      <c r="C3685" s="20" t="s">
        <v>3757</v>
      </c>
      <c r="D3685" s="19" t="s">
        <v>31</v>
      </c>
      <c r="E3685" s="21">
        <f t="shared" si="170"/>
        <v>81.069999999999993</v>
      </c>
      <c r="F3685" s="22">
        <v>5.0000000000000003e-002</v>
      </c>
      <c r="G3685" s="21">
        <f t="shared" si="171"/>
        <v>79.629999999999995</v>
      </c>
      <c r="H3685" s="22">
        <v>5.0000000000000003e-002</v>
      </c>
      <c r="I3685" s="23" t="str">
        <f t="shared" si="172"/>
        <v xml:space="preserve">COM VALOR</v>
      </c>
      <c r="J3685" s="19"/>
      <c r="L3685" s="21">
        <v>81.069999999999993</v>
      </c>
      <c r="M3685" s="22">
        <v>0</v>
      </c>
      <c r="N3685" s="21">
        <v>79.629999999999995</v>
      </c>
      <c r="O3685" s="22">
        <v>0</v>
      </c>
    </row>
    <row r="3686" ht="38.25">
      <c r="A3686" t="s">
        <v>3758</v>
      </c>
      <c r="B3686" s="19">
        <v>101173</v>
      </c>
      <c r="C3686" s="20" t="s">
        <v>3759</v>
      </c>
      <c r="D3686" s="19" t="s">
        <v>38</v>
      </c>
      <c r="E3686" s="21">
        <f t="shared" si="170"/>
        <v>61.43</v>
      </c>
      <c r="F3686" s="22">
        <v>5.9999999999999998e-002</v>
      </c>
      <c r="G3686" s="21">
        <f t="shared" si="171"/>
        <v>59.619999999999997</v>
      </c>
      <c r="H3686" s="22">
        <v>5.9999999999999998e-002</v>
      </c>
      <c r="I3686" s="23" t="str">
        <f t="shared" si="172"/>
        <v xml:space="preserve">COM VALOR</v>
      </c>
      <c r="J3686" s="19"/>
      <c r="L3686" s="21">
        <v>61.43</v>
      </c>
      <c r="M3686" s="22">
        <v>0</v>
      </c>
      <c r="N3686" s="21">
        <v>59.619999999999997</v>
      </c>
      <c r="O3686" s="22">
        <v>0</v>
      </c>
    </row>
    <row r="3687" ht="38.25">
      <c r="A3687" t="s">
        <v>3758</v>
      </c>
      <c r="B3687" s="19">
        <v>101174</v>
      </c>
      <c r="C3687" s="20" t="s">
        <v>3760</v>
      </c>
      <c r="D3687" s="19" t="s">
        <v>38</v>
      </c>
      <c r="E3687" s="21">
        <f t="shared" si="170"/>
        <v>86.799999999999997</v>
      </c>
      <c r="F3687" s="22">
        <v>5.9999999999999998e-002</v>
      </c>
      <c r="G3687" s="21">
        <f t="shared" si="171"/>
        <v>84.010000000000005</v>
      </c>
      <c r="H3687" s="22">
        <v>5.9999999999999998e-002</v>
      </c>
      <c r="I3687" s="23" t="str">
        <f t="shared" si="172"/>
        <v xml:space="preserve">COM VALOR</v>
      </c>
      <c r="J3687" s="19"/>
      <c r="L3687" s="21">
        <v>86.799999999999997</v>
      </c>
      <c r="M3687" s="22">
        <v>0</v>
      </c>
      <c r="N3687" s="21">
        <v>84.010000000000005</v>
      </c>
      <c r="O3687" s="22">
        <v>0</v>
      </c>
    </row>
    <row r="3688" ht="38.25">
      <c r="A3688" t="s">
        <v>3758</v>
      </c>
      <c r="B3688" s="19">
        <v>101175</v>
      </c>
      <c r="C3688" s="20" t="s">
        <v>3761</v>
      </c>
      <c r="D3688" s="19" t="s">
        <v>38</v>
      </c>
      <c r="E3688" s="21">
        <f t="shared" si="170"/>
        <v>118.56999999999999</v>
      </c>
      <c r="F3688" s="22">
        <v>5.0000000000000003e-002</v>
      </c>
      <c r="G3688" s="21">
        <f t="shared" si="171"/>
        <v>114.73999999999999</v>
      </c>
      <c r="H3688" s="22">
        <v>5.0000000000000003e-002</v>
      </c>
      <c r="I3688" s="23" t="str">
        <f t="shared" si="172"/>
        <v xml:space="preserve">COM VALOR</v>
      </c>
      <c r="J3688" s="19"/>
      <c r="L3688" s="21">
        <v>118.56999999999999</v>
      </c>
      <c r="M3688" s="22">
        <v>0</v>
      </c>
      <c r="N3688" s="21">
        <v>114.73999999999999</v>
      </c>
      <c r="O3688" s="22">
        <v>0</v>
      </c>
    </row>
    <row r="3689" ht="25.5">
      <c r="A3689" t="s">
        <v>3758</v>
      </c>
      <c r="B3689" s="19">
        <v>101176</v>
      </c>
      <c r="C3689" s="20" t="s">
        <v>3762</v>
      </c>
      <c r="D3689" s="19" t="s">
        <v>38</v>
      </c>
      <c r="E3689" s="21">
        <f t="shared" si="170"/>
        <v>145.56</v>
      </c>
      <c r="F3689" s="22">
        <v>5.0000000000000003e-002</v>
      </c>
      <c r="G3689" s="21">
        <f t="shared" si="171"/>
        <v>141.34</v>
      </c>
      <c r="H3689" s="22">
        <v>5.0000000000000003e-002</v>
      </c>
      <c r="I3689" s="23" t="str">
        <f t="shared" si="172"/>
        <v xml:space="preserve">COM VALOR</v>
      </c>
      <c r="J3689" s="19"/>
      <c r="L3689" s="21">
        <v>145.56</v>
      </c>
      <c r="M3689" s="22">
        <v>0</v>
      </c>
      <c r="N3689" s="21">
        <v>141.34</v>
      </c>
      <c r="O3689" s="22">
        <v>0</v>
      </c>
    </row>
    <row r="3690" ht="38.25">
      <c r="A3690" t="s">
        <v>3758</v>
      </c>
      <c r="B3690" s="19">
        <v>101183</v>
      </c>
      <c r="C3690" s="20" t="s">
        <v>3763</v>
      </c>
      <c r="D3690" s="19" t="s">
        <v>38</v>
      </c>
      <c r="E3690" s="21" t="str">
        <f t="shared" si="170"/>
        <v>VERIFICAR</v>
      </c>
      <c r="F3690" s="22">
        <v>4.0000000000000001e-002</v>
      </c>
      <c r="G3690" s="21" t="str">
        <f t="shared" si="171"/>
        <v>VERIFICAR</v>
      </c>
      <c r="H3690" s="22">
        <v>4.0000000000000001e-002</v>
      </c>
      <c r="I3690" s="23" t="str">
        <f t="shared" si="172"/>
        <v xml:space="preserve">COM VALOR</v>
      </c>
      <c r="J3690" s="19"/>
      <c r="L3690" s="21">
        <v>0</v>
      </c>
      <c r="M3690" s="22"/>
      <c r="N3690" s="21">
        <v>0</v>
      </c>
      <c r="O3690" s="22"/>
    </row>
    <row r="3691" ht="38.25">
      <c r="A3691" t="s">
        <v>3758</v>
      </c>
      <c r="B3691" s="19">
        <v>101184</v>
      </c>
      <c r="C3691" s="20" t="s">
        <v>3764</v>
      </c>
      <c r="D3691" s="19" t="s">
        <v>38</v>
      </c>
      <c r="E3691" s="21" t="str">
        <f t="shared" si="170"/>
        <v>VERIFICAR</v>
      </c>
      <c r="F3691" s="22">
        <v>4.0000000000000001e-002</v>
      </c>
      <c r="G3691" s="21" t="str">
        <f t="shared" si="171"/>
        <v>VERIFICAR</v>
      </c>
      <c r="H3691" s="22">
        <v>5.0000000000000003e-002</v>
      </c>
      <c r="I3691" s="23" t="str">
        <f t="shared" si="172"/>
        <v xml:space="preserve">COM VALOR</v>
      </c>
      <c r="J3691" s="19"/>
      <c r="L3691" s="21">
        <v>0</v>
      </c>
      <c r="M3691" s="22"/>
      <c r="N3691" s="21">
        <v>0</v>
      </c>
      <c r="O3691" s="22"/>
    </row>
    <row r="3692" ht="38.25">
      <c r="A3692" t="s">
        <v>3758</v>
      </c>
      <c r="B3692" s="19">
        <v>101182</v>
      </c>
      <c r="C3692" s="20" t="s">
        <v>3765</v>
      </c>
      <c r="D3692" s="19" t="s">
        <v>38</v>
      </c>
      <c r="E3692" s="21" t="str">
        <f t="shared" si="170"/>
        <v>VERIFICAR</v>
      </c>
      <c r="F3692" s="22">
        <v>4.0000000000000001e-002</v>
      </c>
      <c r="G3692" s="21" t="str">
        <f t="shared" si="171"/>
        <v>VERIFICAR</v>
      </c>
      <c r="H3692" s="22">
        <v>4.0000000000000001e-002</v>
      </c>
      <c r="I3692" s="23" t="str">
        <f t="shared" si="172"/>
        <v xml:space="preserve">COM VALOR</v>
      </c>
      <c r="J3692" s="19"/>
      <c r="L3692" s="21">
        <v>0</v>
      </c>
      <c r="M3692" s="22"/>
      <c r="N3692" s="21">
        <v>0</v>
      </c>
      <c r="O3692" s="22"/>
    </row>
    <row r="3693" ht="38.25">
      <c r="A3693" t="s">
        <v>3758</v>
      </c>
      <c r="B3693" s="19">
        <v>101185</v>
      </c>
      <c r="C3693" s="20" t="s">
        <v>3766</v>
      </c>
      <c r="D3693" s="19" t="s">
        <v>38</v>
      </c>
      <c r="E3693" s="21" t="str">
        <f t="shared" si="170"/>
        <v>VERIFICAR</v>
      </c>
      <c r="F3693" s="22">
        <v>4.0000000000000001e-002</v>
      </c>
      <c r="G3693" s="21" t="str">
        <f t="shared" si="171"/>
        <v>VERIFICAR</v>
      </c>
      <c r="H3693" s="22">
        <v>4.0000000000000001e-002</v>
      </c>
      <c r="I3693" s="23" t="str">
        <f t="shared" si="172"/>
        <v xml:space="preserve">COM VALOR</v>
      </c>
      <c r="J3693" s="19"/>
      <c r="L3693" s="21">
        <v>0</v>
      </c>
      <c r="M3693" s="22"/>
      <c r="N3693" s="21">
        <v>0</v>
      </c>
      <c r="O3693" s="22"/>
    </row>
    <row r="3694" ht="38.25">
      <c r="A3694" t="s">
        <v>3758</v>
      </c>
      <c r="B3694" s="19">
        <v>101186</v>
      </c>
      <c r="C3694" s="20" t="s">
        <v>3767</v>
      </c>
      <c r="D3694" s="19" t="s">
        <v>38</v>
      </c>
      <c r="E3694" s="21" t="str">
        <f t="shared" si="170"/>
        <v>VERIFICAR</v>
      </c>
      <c r="F3694" s="22">
        <v>2.9999999999999999e-002</v>
      </c>
      <c r="G3694" s="21" t="str">
        <f t="shared" si="171"/>
        <v>VERIFICAR</v>
      </c>
      <c r="H3694" s="22">
        <v>2.9999999999999999e-002</v>
      </c>
      <c r="I3694" s="23" t="str">
        <f t="shared" si="172"/>
        <v xml:space="preserve">COM VALOR</v>
      </c>
      <c r="J3694" s="19"/>
      <c r="L3694" s="21">
        <v>0</v>
      </c>
      <c r="M3694" s="22"/>
      <c r="N3694" s="21">
        <v>0</v>
      </c>
      <c r="O3694" s="22"/>
    </row>
    <row r="3695" ht="38.25">
      <c r="A3695" t="s">
        <v>3758</v>
      </c>
      <c r="B3695" s="19">
        <v>101187</v>
      </c>
      <c r="C3695" s="20" t="s">
        <v>3768</v>
      </c>
      <c r="D3695" s="19" t="s">
        <v>38</v>
      </c>
      <c r="E3695" s="21" t="str">
        <f t="shared" si="170"/>
        <v>VERIFICAR</v>
      </c>
      <c r="F3695" s="22">
        <v>2.9999999999999999e-002</v>
      </c>
      <c r="G3695" s="21" t="str">
        <f t="shared" si="171"/>
        <v>VERIFICAR</v>
      </c>
      <c r="H3695" s="22">
        <v>2.9999999999999999e-002</v>
      </c>
      <c r="I3695" s="23" t="str">
        <f t="shared" si="172"/>
        <v xml:space="preserve">COM VALOR</v>
      </c>
      <c r="J3695" s="19"/>
      <c r="L3695" s="21">
        <v>0</v>
      </c>
      <c r="M3695" s="22"/>
      <c r="N3695" s="21">
        <v>0</v>
      </c>
      <c r="O3695" s="22"/>
    </row>
    <row r="3696" ht="25.5">
      <c r="A3696" t="s">
        <v>3758</v>
      </c>
      <c r="B3696" s="19">
        <v>101177</v>
      </c>
      <c r="C3696" s="20" t="s">
        <v>3769</v>
      </c>
      <c r="D3696" s="19" t="s">
        <v>38</v>
      </c>
      <c r="E3696" s="21" t="str">
        <f t="shared" si="170"/>
        <v>VERIFICAR</v>
      </c>
      <c r="F3696" s="22">
        <v>7.0000000000000007e-002</v>
      </c>
      <c r="G3696" s="21" t="str">
        <f t="shared" si="171"/>
        <v>VERIFICAR</v>
      </c>
      <c r="H3696" s="22">
        <v>7.0000000000000007e-002</v>
      </c>
      <c r="I3696" s="23" t="str">
        <f t="shared" si="172"/>
        <v xml:space="preserve">COM VALOR</v>
      </c>
      <c r="J3696" s="19"/>
      <c r="L3696" s="21">
        <v>0</v>
      </c>
      <c r="M3696" s="22"/>
      <c r="N3696" s="21">
        <v>0</v>
      </c>
      <c r="O3696" s="22"/>
    </row>
    <row r="3697" ht="25.5">
      <c r="A3697" t="s">
        <v>3758</v>
      </c>
      <c r="B3697" s="19">
        <v>101178</v>
      </c>
      <c r="C3697" s="20" t="s">
        <v>3770</v>
      </c>
      <c r="D3697" s="19" t="s">
        <v>38</v>
      </c>
      <c r="E3697" s="21" t="str">
        <f t="shared" si="170"/>
        <v>VERIFICAR</v>
      </c>
      <c r="F3697" s="22">
        <v>7.0000000000000007e-002</v>
      </c>
      <c r="G3697" s="21" t="str">
        <f t="shared" si="171"/>
        <v>VERIFICAR</v>
      </c>
      <c r="H3697" s="22">
        <v>7.0000000000000007e-002</v>
      </c>
      <c r="I3697" s="23" t="str">
        <f t="shared" si="172"/>
        <v xml:space="preserve">COM VALOR</v>
      </c>
      <c r="J3697" s="19"/>
      <c r="L3697" s="21">
        <v>0</v>
      </c>
      <c r="M3697" s="22"/>
      <c r="N3697" s="21">
        <v>0</v>
      </c>
      <c r="O3697" s="22"/>
    </row>
    <row r="3698" ht="25.5">
      <c r="A3698" t="s">
        <v>3758</v>
      </c>
      <c r="B3698" s="19">
        <v>101180</v>
      </c>
      <c r="C3698" s="20" t="s">
        <v>3771</v>
      </c>
      <c r="D3698" s="19" t="s">
        <v>38</v>
      </c>
      <c r="E3698" s="21" t="str">
        <f t="shared" si="170"/>
        <v>VERIFICAR</v>
      </c>
      <c r="F3698" s="22">
        <v>5.9999999999999998e-002</v>
      </c>
      <c r="G3698" s="21" t="str">
        <f t="shared" si="171"/>
        <v>VERIFICAR</v>
      </c>
      <c r="H3698" s="22">
        <v>5.9999999999999998e-002</v>
      </c>
      <c r="I3698" s="23" t="str">
        <f t="shared" si="172"/>
        <v xml:space="preserve">COM VALOR</v>
      </c>
      <c r="J3698" s="19"/>
      <c r="L3698" s="21">
        <v>0</v>
      </c>
      <c r="M3698" s="22"/>
      <c r="N3698" s="21">
        <v>0</v>
      </c>
      <c r="O3698" s="22"/>
    </row>
    <row r="3699" ht="25.5">
      <c r="A3699" t="s">
        <v>3758</v>
      </c>
      <c r="B3699" s="19">
        <v>101179</v>
      </c>
      <c r="C3699" s="20" t="s">
        <v>3772</v>
      </c>
      <c r="D3699" s="19" t="s">
        <v>38</v>
      </c>
      <c r="E3699" s="21" t="str">
        <f t="shared" si="170"/>
        <v>VERIFICAR</v>
      </c>
      <c r="F3699" s="22">
        <v>5.9999999999999998e-002</v>
      </c>
      <c r="G3699" s="21" t="str">
        <f t="shared" si="171"/>
        <v>VERIFICAR</v>
      </c>
      <c r="H3699" s="22">
        <v>7.0000000000000007e-002</v>
      </c>
      <c r="I3699" s="23" t="str">
        <f t="shared" si="172"/>
        <v xml:space="preserve">COM VALOR</v>
      </c>
      <c r="J3699" s="19"/>
      <c r="L3699" s="21">
        <v>0</v>
      </c>
      <c r="M3699" s="22"/>
      <c r="N3699" s="21">
        <v>0</v>
      </c>
      <c r="O3699" s="22"/>
    </row>
    <row r="3700" ht="25.5">
      <c r="A3700" t="s">
        <v>3758</v>
      </c>
      <c r="B3700" s="19">
        <v>101181</v>
      </c>
      <c r="C3700" s="20" t="s">
        <v>3773</v>
      </c>
      <c r="D3700" s="19" t="s">
        <v>38</v>
      </c>
      <c r="E3700" s="21" t="str">
        <f t="shared" si="170"/>
        <v>VERIFICAR</v>
      </c>
      <c r="F3700" s="22">
        <v>8.0000000000000002e-002</v>
      </c>
      <c r="G3700" s="21" t="str">
        <f t="shared" si="171"/>
        <v>VERIFICAR</v>
      </c>
      <c r="H3700" s="22">
        <v>8.9999999999999997e-002</v>
      </c>
      <c r="I3700" s="23" t="str">
        <f t="shared" si="172"/>
        <v xml:space="preserve">COM VALOR</v>
      </c>
      <c r="J3700" s="19"/>
      <c r="L3700" s="21">
        <v>0</v>
      </c>
      <c r="M3700" s="22"/>
      <c r="N3700" s="21">
        <v>0</v>
      </c>
      <c r="O3700" s="22"/>
    </row>
    <row r="3701" ht="38.25">
      <c r="A3701" t="s">
        <v>3774</v>
      </c>
      <c r="B3701" s="19">
        <v>100899</v>
      </c>
      <c r="C3701" s="20" t="s">
        <v>3775</v>
      </c>
      <c r="D3701" s="19" t="s">
        <v>38</v>
      </c>
      <c r="E3701" s="21">
        <f t="shared" si="170"/>
        <v>91.109999999999999</v>
      </c>
      <c r="F3701" s="22">
        <v>0.12</v>
      </c>
      <c r="G3701" s="21">
        <f t="shared" si="171"/>
        <v>89.189999999999998</v>
      </c>
      <c r="H3701" s="22">
        <v>0.12</v>
      </c>
      <c r="I3701" s="23" t="str">
        <f t="shared" si="172"/>
        <v xml:space="preserve">COM VALOR</v>
      </c>
      <c r="J3701" s="19"/>
      <c r="L3701" s="21">
        <v>91.109999999999999</v>
      </c>
      <c r="M3701" s="22">
        <v>5.0000000000000003e-002</v>
      </c>
      <c r="N3701" s="21">
        <v>89.189999999999998</v>
      </c>
      <c r="O3701" s="22">
        <v>5.0000000000000003e-002</v>
      </c>
    </row>
    <row r="3702" ht="38.25">
      <c r="A3702" t="s">
        <v>3774</v>
      </c>
      <c r="B3702" s="19">
        <v>100896</v>
      </c>
      <c r="C3702" s="20" t="s">
        <v>3776</v>
      </c>
      <c r="D3702" s="19" t="s">
        <v>38</v>
      </c>
      <c r="E3702" s="21">
        <f t="shared" si="170"/>
        <v>65.459999999999994</v>
      </c>
      <c r="F3702" s="22">
        <v>0.11</v>
      </c>
      <c r="G3702" s="21">
        <f t="shared" si="171"/>
        <v>64.950000000000003</v>
      </c>
      <c r="H3702" s="22">
        <v>0.11</v>
      </c>
      <c r="I3702" s="23" t="str">
        <f t="shared" si="172"/>
        <v xml:space="preserve">COM VALOR</v>
      </c>
      <c r="J3702" s="19"/>
      <c r="L3702" s="21">
        <v>65.459999999999994</v>
      </c>
      <c r="M3702" s="22">
        <v>5.9999999999999998e-002</v>
      </c>
      <c r="N3702" s="21">
        <v>64.950000000000003</v>
      </c>
      <c r="O3702" s="22">
        <v>5.9999999999999998e-002</v>
      </c>
    </row>
    <row r="3703" ht="38.25">
      <c r="A3703" t="s">
        <v>3774</v>
      </c>
      <c r="B3703" s="19">
        <v>100897</v>
      </c>
      <c r="C3703" s="20" t="s">
        <v>3777</v>
      </c>
      <c r="D3703" s="19" t="s">
        <v>38</v>
      </c>
      <c r="E3703" s="21">
        <f t="shared" si="170"/>
        <v>129.93000000000001</v>
      </c>
      <c r="F3703" s="22">
        <v>0.10000000000000001</v>
      </c>
      <c r="G3703" s="21">
        <f t="shared" si="171"/>
        <v>129.28</v>
      </c>
      <c r="H3703" s="22">
        <v>0.10000000000000001</v>
      </c>
      <c r="I3703" s="23" t="str">
        <f t="shared" si="172"/>
        <v xml:space="preserve">COM VALOR</v>
      </c>
      <c r="J3703" s="19"/>
      <c r="L3703" s="21">
        <v>129.93000000000001</v>
      </c>
      <c r="M3703" s="22">
        <v>4.0000000000000001e-002</v>
      </c>
      <c r="N3703" s="21">
        <v>129.28</v>
      </c>
      <c r="O3703" s="22">
        <v>4.0000000000000001e-002</v>
      </c>
    </row>
    <row r="3704" ht="51">
      <c r="A3704" t="s">
        <v>3774</v>
      </c>
      <c r="B3704" s="19">
        <v>100900</v>
      </c>
      <c r="C3704" s="20" t="s">
        <v>3778</v>
      </c>
      <c r="D3704" s="19" t="s">
        <v>38</v>
      </c>
      <c r="E3704" s="21">
        <f t="shared" si="170"/>
        <v>292.45999999999998</v>
      </c>
      <c r="F3704" s="22">
        <v>0.14999999999999999</v>
      </c>
      <c r="G3704" s="21">
        <f t="shared" si="171"/>
        <v>291.42000000000002</v>
      </c>
      <c r="H3704" s="22">
        <v>0.16</v>
      </c>
      <c r="I3704" s="23" t="str">
        <f t="shared" si="172"/>
        <v xml:space="preserve">COM VALOR</v>
      </c>
      <c r="J3704" s="19"/>
      <c r="L3704" s="21">
        <v>292.45999999999998</v>
      </c>
      <c r="M3704" s="22">
        <v>2.e-002</v>
      </c>
      <c r="N3704" s="21">
        <v>291.42000000000002</v>
      </c>
      <c r="O3704" s="22">
        <v>2.5000000000000001e-002</v>
      </c>
    </row>
    <row r="3705" ht="38.25">
      <c r="A3705" t="s">
        <v>3774</v>
      </c>
      <c r="B3705" s="19">
        <v>100898</v>
      </c>
      <c r="C3705" s="20" t="s">
        <v>3779</v>
      </c>
      <c r="D3705" s="19" t="s">
        <v>38</v>
      </c>
      <c r="E3705" s="21">
        <f t="shared" si="170"/>
        <v>253.53999999999999</v>
      </c>
      <c r="F3705" s="22">
        <v>0.28999999999999998</v>
      </c>
      <c r="G3705" s="21">
        <f t="shared" si="171"/>
        <v>252.75</v>
      </c>
      <c r="H3705" s="22">
        <v>0.29999999999999999</v>
      </c>
      <c r="I3705" s="23" t="str">
        <f t="shared" si="172"/>
        <v xml:space="preserve">COM VALOR</v>
      </c>
      <c r="J3705" s="19"/>
      <c r="L3705" s="21">
        <v>253.53999999999999</v>
      </c>
      <c r="M3705" s="22">
        <v>2.9999999999999999e-002</v>
      </c>
      <c r="N3705" s="21">
        <v>252.75</v>
      </c>
      <c r="O3705" s="22">
        <v>2.9999999999999999e-002</v>
      </c>
    </row>
    <row r="3706" ht="25.5">
      <c r="A3706" t="s">
        <v>3780</v>
      </c>
      <c r="B3706" s="19">
        <v>100892</v>
      </c>
      <c r="C3706" s="20" t="s">
        <v>3781</v>
      </c>
      <c r="D3706" s="19" t="s">
        <v>302</v>
      </c>
      <c r="E3706" s="21">
        <f t="shared" si="170"/>
        <v>12.5</v>
      </c>
      <c r="F3706" s="22">
        <v>0.23000000000000001</v>
      </c>
      <c r="G3706" s="21">
        <f t="shared" si="171"/>
        <v>12.449999999999999</v>
      </c>
      <c r="H3706" s="22">
        <v>0.23999999999999999</v>
      </c>
      <c r="I3706" s="23" t="str">
        <f t="shared" si="172"/>
        <v xml:space="preserve">COM VALOR</v>
      </c>
      <c r="J3706" s="19"/>
      <c r="L3706" s="21">
        <v>12.5</v>
      </c>
      <c r="M3706" s="22">
        <v>0.91000000000000003</v>
      </c>
      <c r="N3706" s="21">
        <v>12.449999999999999</v>
      </c>
      <c r="O3706" s="22">
        <v>0.92000000000000004</v>
      </c>
    </row>
    <row r="3707" ht="25.5">
      <c r="A3707" t="s">
        <v>3780</v>
      </c>
      <c r="B3707" s="19">
        <v>100893</v>
      </c>
      <c r="C3707" s="20" t="s">
        <v>3782</v>
      </c>
      <c r="D3707" s="19" t="s">
        <v>302</v>
      </c>
      <c r="E3707" s="21">
        <f t="shared" si="170"/>
        <v>12.300000000000001</v>
      </c>
      <c r="F3707" s="22">
        <v>0.19</v>
      </c>
      <c r="G3707" s="21">
        <f t="shared" si="171"/>
        <v>12.26</v>
      </c>
      <c r="H3707" s="22">
        <v>0.20000000000000001</v>
      </c>
      <c r="I3707" s="23" t="str">
        <f t="shared" si="172"/>
        <v xml:space="preserve">COM VALOR</v>
      </c>
      <c r="J3707" s="19"/>
      <c r="L3707" s="21">
        <v>12.300000000000001</v>
      </c>
      <c r="M3707" s="22">
        <v>0.92000000000000004</v>
      </c>
      <c r="N3707" s="21">
        <v>12.26</v>
      </c>
      <c r="O3707" s="22">
        <v>0.93000000000000005</v>
      </c>
    </row>
    <row r="3708" ht="25.5">
      <c r="A3708" t="s">
        <v>3780</v>
      </c>
      <c r="B3708" s="19">
        <v>100894</v>
      </c>
      <c r="C3708" s="20" t="s">
        <v>3783</v>
      </c>
      <c r="D3708" s="19" t="s">
        <v>302</v>
      </c>
      <c r="E3708" s="21">
        <f t="shared" si="170"/>
        <v>12.16</v>
      </c>
      <c r="F3708" s="22">
        <v>0</v>
      </c>
      <c r="G3708" s="21">
        <f t="shared" si="171"/>
        <v>12.130000000000001</v>
      </c>
      <c r="H3708" s="22">
        <v>0</v>
      </c>
      <c r="I3708" s="23" t="str">
        <f t="shared" si="172"/>
        <v xml:space="preserve">COM VALOR</v>
      </c>
      <c r="J3708" s="19"/>
      <c r="L3708" s="21">
        <v>12.16</v>
      </c>
      <c r="M3708" s="22">
        <v>0.93000000000000005</v>
      </c>
      <c r="N3708" s="21">
        <v>12.130000000000001</v>
      </c>
      <c r="O3708" s="22">
        <v>0.93000000000000005</v>
      </c>
    </row>
    <row r="3709" ht="25.5">
      <c r="A3709" t="s">
        <v>3780</v>
      </c>
      <c r="B3709" s="19">
        <v>100889</v>
      </c>
      <c r="C3709" s="20" t="s">
        <v>3784</v>
      </c>
      <c r="D3709" s="19" t="s">
        <v>302</v>
      </c>
      <c r="E3709" s="21">
        <f t="shared" si="170"/>
        <v>12.01</v>
      </c>
      <c r="F3709" s="22">
        <v>0</v>
      </c>
      <c r="G3709" s="21">
        <f t="shared" si="171"/>
        <v>11.960000000000001</v>
      </c>
      <c r="H3709" s="22">
        <v>0</v>
      </c>
      <c r="I3709" s="23" t="str">
        <f t="shared" si="172"/>
        <v xml:space="preserve">COM VALOR</v>
      </c>
      <c r="J3709" s="19"/>
      <c r="L3709" s="21">
        <v>12.01</v>
      </c>
      <c r="M3709" s="22">
        <v>0.93999999999999995</v>
      </c>
      <c r="N3709" s="21">
        <v>11.960000000000001</v>
      </c>
      <c r="O3709" s="22">
        <v>0.94999999999999996</v>
      </c>
    </row>
    <row r="3710" ht="25.5">
      <c r="A3710" t="s">
        <v>3780</v>
      </c>
      <c r="B3710" s="19">
        <v>100891</v>
      </c>
      <c r="C3710" s="20" t="s">
        <v>3785</v>
      </c>
      <c r="D3710" s="19" t="s">
        <v>302</v>
      </c>
      <c r="E3710" s="21" t="str">
        <f t="shared" si="170"/>
        <v>VERIFICAR</v>
      </c>
      <c r="F3710" s="22">
        <v>0</v>
      </c>
      <c r="G3710" s="21" t="str">
        <f t="shared" si="171"/>
        <v>VERIFICAR</v>
      </c>
      <c r="H3710" s="22">
        <v>0</v>
      </c>
      <c r="I3710" s="23" t="str">
        <f t="shared" si="172"/>
        <v xml:space="preserve">COM VALOR</v>
      </c>
      <c r="J3710" s="19"/>
      <c r="L3710" s="21">
        <v>0</v>
      </c>
      <c r="M3710" s="22"/>
      <c r="N3710" s="21">
        <v>0</v>
      </c>
      <c r="O3710" s="22"/>
    </row>
    <row r="3711" ht="25.5">
      <c r="A3711" t="s">
        <v>3780</v>
      </c>
      <c r="B3711" s="19">
        <v>100890</v>
      </c>
      <c r="C3711" s="20" t="s">
        <v>3786</v>
      </c>
      <c r="D3711" s="19" t="s">
        <v>302</v>
      </c>
      <c r="E3711" s="21">
        <f t="shared" si="170"/>
        <v>11.84</v>
      </c>
      <c r="F3711" s="22">
        <v>0</v>
      </c>
      <c r="G3711" s="21">
        <f t="shared" si="171"/>
        <v>11.81</v>
      </c>
      <c r="H3711" s="22">
        <v>0</v>
      </c>
      <c r="I3711" s="23" t="str">
        <f t="shared" si="172"/>
        <v xml:space="preserve">COM VALOR</v>
      </c>
      <c r="J3711" s="19"/>
      <c r="L3711" s="21">
        <v>11.84</v>
      </c>
      <c r="M3711" s="22">
        <v>0.94999999999999996</v>
      </c>
      <c r="N3711" s="21">
        <v>11.81</v>
      </c>
      <c r="O3711" s="22">
        <v>0.94999999999999996</v>
      </c>
    </row>
    <row r="3712" ht="38.25">
      <c r="A3712" t="s">
        <v>3787</v>
      </c>
      <c r="B3712" s="19">
        <v>100658</v>
      </c>
      <c r="C3712" s="20" t="s">
        <v>3788</v>
      </c>
      <c r="D3712" s="19" t="s">
        <v>38</v>
      </c>
      <c r="E3712" s="21">
        <f t="shared" si="170"/>
        <v>369.64999999999998</v>
      </c>
      <c r="F3712" s="22">
        <v>0</v>
      </c>
      <c r="G3712" s="21">
        <f t="shared" si="171"/>
        <v>368.26999999999998</v>
      </c>
      <c r="H3712" s="22">
        <v>0</v>
      </c>
      <c r="I3712" s="23" t="str">
        <f t="shared" si="172"/>
        <v xml:space="preserve">COM VALOR</v>
      </c>
      <c r="J3712" s="19"/>
      <c r="L3712" s="21">
        <v>369.64999999999998</v>
      </c>
      <c r="M3712" s="22">
        <v>0.91249999999999998</v>
      </c>
      <c r="N3712" s="21">
        <v>368.26999999999998</v>
      </c>
      <c r="O3712" s="22">
        <v>0.92000000000000004</v>
      </c>
    </row>
    <row r="3713" ht="38.25">
      <c r="A3713" t="s">
        <v>3787</v>
      </c>
      <c r="B3713" s="19">
        <v>100657</v>
      </c>
      <c r="C3713" s="20" t="s">
        <v>3789</v>
      </c>
      <c r="D3713" s="19" t="s">
        <v>38</v>
      </c>
      <c r="E3713" s="21">
        <f t="shared" si="170"/>
        <v>159.59</v>
      </c>
      <c r="F3713" s="22">
        <v>0</v>
      </c>
      <c r="G3713" s="21">
        <f t="shared" si="171"/>
        <v>158.56999999999999</v>
      </c>
      <c r="H3713" s="22">
        <v>0</v>
      </c>
      <c r="I3713" s="23" t="str">
        <f t="shared" si="172"/>
        <v xml:space="preserve">COM VALOR</v>
      </c>
      <c r="J3713" s="19"/>
      <c r="L3713" s="21">
        <v>159.59</v>
      </c>
      <c r="M3713" s="22">
        <v>0.84999999999999998</v>
      </c>
      <c r="N3713" s="21">
        <v>158.56999999999999</v>
      </c>
      <c r="O3713" s="22">
        <v>0.84999999999999998</v>
      </c>
    </row>
    <row r="3714" ht="38.25">
      <c r="A3714" t="s">
        <v>3787</v>
      </c>
      <c r="B3714" s="19">
        <v>100656</v>
      </c>
      <c r="C3714" s="20" t="s">
        <v>3790</v>
      </c>
      <c r="D3714" s="19" t="s">
        <v>38</v>
      </c>
      <c r="E3714" s="21">
        <f t="shared" si="170"/>
        <v>123.45999999999999</v>
      </c>
      <c r="F3714" s="22">
        <v>0</v>
      </c>
      <c r="G3714" s="21">
        <f t="shared" si="171"/>
        <v>122.48999999999999</v>
      </c>
      <c r="H3714" s="22">
        <v>0</v>
      </c>
      <c r="I3714" s="23" t="str">
        <f t="shared" si="172"/>
        <v xml:space="preserve">COM VALOR</v>
      </c>
      <c r="J3714" s="19"/>
      <c r="L3714" s="21">
        <v>123.45999999999999</v>
      </c>
      <c r="M3714" s="22">
        <v>0.81999999999999995</v>
      </c>
      <c r="N3714" s="21">
        <v>122.48999999999999</v>
      </c>
      <c r="O3714" s="22">
        <v>0.81999999999999995</v>
      </c>
    </row>
    <row r="3715" ht="25.5">
      <c r="A3715" t="s">
        <v>3791</v>
      </c>
      <c r="B3715" s="19">
        <v>102649</v>
      </c>
      <c r="C3715" s="20" t="s">
        <v>3792</v>
      </c>
      <c r="D3715" s="19" t="s">
        <v>38</v>
      </c>
      <c r="E3715" s="21">
        <f t="shared" si="170"/>
        <v>372.38999999999999</v>
      </c>
      <c r="F3715" s="22">
        <v>0</v>
      </c>
      <c r="G3715" s="21">
        <f t="shared" si="171"/>
        <v>367.14999999999998</v>
      </c>
      <c r="H3715" s="22">
        <v>0</v>
      </c>
      <c r="I3715" s="23" t="str">
        <f t="shared" si="172"/>
        <v xml:space="preserve">COM VALOR</v>
      </c>
      <c r="J3715" s="19"/>
      <c r="L3715" s="21">
        <v>372.38999999999999</v>
      </c>
      <c r="M3715" s="22">
        <v>4.0000000000000001e-002</v>
      </c>
      <c r="N3715" s="21">
        <v>367.14999999999998</v>
      </c>
      <c r="O3715" s="22">
        <v>4.0000000000000001e-002</v>
      </c>
    </row>
    <row r="3716" ht="25.5">
      <c r="A3716" t="s">
        <v>3791</v>
      </c>
      <c r="B3716" s="19">
        <v>102645</v>
      </c>
      <c r="C3716" s="20" t="s">
        <v>3793</v>
      </c>
      <c r="D3716" s="19" t="s">
        <v>38</v>
      </c>
      <c r="E3716" s="21">
        <f t="shared" si="170"/>
        <v>255.13</v>
      </c>
      <c r="F3716" s="22">
        <v>2.e-002</v>
      </c>
      <c r="G3716" s="21">
        <f t="shared" si="171"/>
        <v>251.91</v>
      </c>
      <c r="H3716" s="22">
        <v>2.e-002</v>
      </c>
      <c r="I3716" s="23" t="str">
        <f t="shared" si="172"/>
        <v xml:space="preserve">COM VALOR</v>
      </c>
      <c r="J3716" s="19"/>
      <c r="L3716" s="21">
        <v>255.13</v>
      </c>
      <c r="M3716" s="22">
        <v>0</v>
      </c>
      <c r="N3716" s="21">
        <v>251.91</v>
      </c>
      <c r="O3716" s="22">
        <v>2.5000000000000001e-003</v>
      </c>
    </row>
    <row r="3717" ht="25.5">
      <c r="A3717" t="s">
        <v>3791</v>
      </c>
      <c r="B3717" s="19">
        <v>102650</v>
      </c>
      <c r="C3717" s="20" t="s">
        <v>3794</v>
      </c>
      <c r="D3717" s="19" t="s">
        <v>38</v>
      </c>
      <c r="E3717" s="21">
        <f t="shared" si="170"/>
        <v>528.54999999999995</v>
      </c>
      <c r="F3717" s="22">
        <v>2.e-002</v>
      </c>
      <c r="G3717" s="21">
        <f t="shared" si="171"/>
        <v>521.13</v>
      </c>
      <c r="H3717" s="22">
        <v>2.e-002</v>
      </c>
      <c r="I3717" s="23" t="str">
        <f t="shared" si="172"/>
        <v xml:space="preserve">COM VALOR</v>
      </c>
      <c r="J3717" s="19"/>
      <c r="L3717" s="21">
        <v>528.54999999999995</v>
      </c>
      <c r="M3717" s="22">
        <v>2.9999999999999999e-002</v>
      </c>
      <c r="N3717" s="21">
        <v>521.13</v>
      </c>
      <c r="O3717" s="22">
        <v>4.0000000000000001e-002</v>
      </c>
    </row>
    <row r="3718" ht="25.5">
      <c r="A3718" t="s">
        <v>3791</v>
      </c>
      <c r="B3718" s="19">
        <v>102646</v>
      </c>
      <c r="C3718" s="20" t="s">
        <v>3795</v>
      </c>
      <c r="D3718" s="19" t="s">
        <v>38</v>
      </c>
      <c r="E3718" s="21">
        <f t="shared" si="170"/>
        <v>381.89999999999998</v>
      </c>
      <c r="F3718" s="22">
        <v>2.e-002</v>
      </c>
      <c r="G3718" s="21">
        <f t="shared" si="171"/>
        <v>377.00999999999999</v>
      </c>
      <c r="H3718" s="22">
        <v>2.e-002</v>
      </c>
      <c r="I3718" s="23" t="str">
        <f t="shared" si="172"/>
        <v xml:space="preserve">COM VALOR</v>
      </c>
      <c r="J3718" s="19"/>
      <c r="L3718" s="21">
        <v>381.89999999999998</v>
      </c>
      <c r="M3718" s="22">
        <v>0</v>
      </c>
      <c r="N3718" s="21">
        <v>377.00999999999999</v>
      </c>
      <c r="O3718" s="22">
        <v>0</v>
      </c>
    </row>
    <row r="3719" ht="25.5">
      <c r="A3719" t="s">
        <v>3791</v>
      </c>
      <c r="B3719" s="19">
        <v>102651</v>
      </c>
      <c r="C3719" s="20" t="s">
        <v>3796</v>
      </c>
      <c r="D3719" s="19" t="s">
        <v>38</v>
      </c>
      <c r="E3719" s="21">
        <f t="shared" si="170"/>
        <v>680.96000000000004</v>
      </c>
      <c r="F3719" s="22">
        <v>2.e-002</v>
      </c>
      <c r="G3719" s="21">
        <f t="shared" si="171"/>
        <v>671.01999999999998</v>
      </c>
      <c r="H3719" s="22">
        <v>2.e-002</v>
      </c>
      <c r="I3719" s="23" t="str">
        <f t="shared" si="172"/>
        <v xml:space="preserve">COM VALOR</v>
      </c>
      <c r="J3719" s="19"/>
      <c r="L3719" s="21">
        <v>680.96000000000004</v>
      </c>
      <c r="M3719" s="22">
        <v>2.9999999999999999e-002</v>
      </c>
      <c r="N3719" s="21">
        <v>671.01999999999998</v>
      </c>
      <c r="O3719" s="22">
        <v>2.9999999999999999e-002</v>
      </c>
    </row>
    <row r="3720" ht="25.5">
      <c r="A3720" t="s">
        <v>3791</v>
      </c>
      <c r="B3720" s="19">
        <v>102647</v>
      </c>
      <c r="C3720" s="20" t="s">
        <v>3797</v>
      </c>
      <c r="D3720" s="19" t="s">
        <v>38</v>
      </c>
      <c r="E3720" s="21">
        <f t="shared" si="170"/>
        <v>496.56</v>
      </c>
      <c r="F3720" s="22">
        <v>0</v>
      </c>
      <c r="G3720" s="21">
        <f t="shared" si="171"/>
        <v>489.81999999999999</v>
      </c>
      <c r="H3720" s="22">
        <v>0</v>
      </c>
      <c r="I3720" s="23" t="str">
        <f t="shared" si="172"/>
        <v xml:space="preserve">COM VALOR</v>
      </c>
      <c r="J3720" s="19"/>
      <c r="L3720" s="21">
        <v>496.56</v>
      </c>
      <c r="M3720" s="22">
        <v>0</v>
      </c>
      <c r="N3720" s="21">
        <v>489.81999999999999</v>
      </c>
      <c r="O3720" s="22">
        <v>0</v>
      </c>
    </row>
    <row r="3721" ht="25.5">
      <c r="A3721" t="s">
        <v>3791</v>
      </c>
      <c r="B3721" s="19">
        <v>102652</v>
      </c>
      <c r="C3721" s="20" t="s">
        <v>3798</v>
      </c>
      <c r="D3721" s="19" t="s">
        <v>38</v>
      </c>
      <c r="E3721" s="21">
        <f t="shared" si="170"/>
        <v>874.86000000000001</v>
      </c>
      <c r="F3721" s="22">
        <v>0</v>
      </c>
      <c r="G3721" s="21">
        <f t="shared" si="171"/>
        <v>862.79999999999995</v>
      </c>
      <c r="H3721" s="22">
        <v>0</v>
      </c>
      <c r="I3721" s="23" t="str">
        <f t="shared" si="172"/>
        <v xml:space="preserve">COM VALOR</v>
      </c>
      <c r="J3721" s="19"/>
      <c r="L3721" s="21">
        <v>874.86000000000001</v>
      </c>
      <c r="M3721" s="22">
        <v>2.9999999999999999e-002</v>
      </c>
      <c r="N3721" s="21">
        <v>862.79999999999995</v>
      </c>
      <c r="O3721" s="22">
        <v>2.9999999999999999e-002</v>
      </c>
    </row>
    <row r="3722" ht="25.5">
      <c r="A3722" t="s">
        <v>3791</v>
      </c>
      <c r="B3722" s="19">
        <v>102648</v>
      </c>
      <c r="C3722" s="20" t="s">
        <v>3799</v>
      </c>
      <c r="D3722" s="19" t="s">
        <v>38</v>
      </c>
      <c r="E3722" s="21">
        <f t="shared" si="170"/>
        <v>658.67999999999995</v>
      </c>
      <c r="F3722" s="22">
        <v>0</v>
      </c>
      <c r="G3722" s="21">
        <f t="shared" si="171"/>
        <v>650.34000000000003</v>
      </c>
      <c r="H3722" s="22">
        <v>0</v>
      </c>
      <c r="I3722" s="23" t="str">
        <f t="shared" si="172"/>
        <v xml:space="preserve">COM VALOR</v>
      </c>
      <c r="J3722" s="19"/>
      <c r="L3722" s="21">
        <v>658.67999999999995</v>
      </c>
      <c r="M3722" s="22">
        <v>0</v>
      </c>
      <c r="N3722" s="21">
        <v>650.34000000000003</v>
      </c>
      <c r="O3722" s="22">
        <v>0</v>
      </c>
    </row>
    <row r="3723" ht="38.25">
      <c r="A3723" t="s">
        <v>3800</v>
      </c>
      <c r="B3723" s="19">
        <v>106794</v>
      </c>
      <c r="C3723" s="20" t="s">
        <v>3801</v>
      </c>
      <c r="D3723" s="19" t="s">
        <v>38</v>
      </c>
      <c r="E3723" s="21">
        <f t="shared" ref="E3723:E3786" si="173">IF(L3723=0,"VERIFICAR",L3723)</f>
        <v>117.62</v>
      </c>
      <c r="F3723" s="22">
        <v>0</v>
      </c>
      <c r="G3723" s="21">
        <f t="shared" ref="G3723:G3786" si="174">IF(N3723=0,"VERIFICAR",N3723)</f>
        <v>116.77</v>
      </c>
      <c r="H3723" s="22">
        <v>0</v>
      </c>
      <c r="I3723" s="23" t="str">
        <f t="shared" ref="I3723:I3786" si="175">IF(OR(E3723=0,G3723=0),"SEM VALOR","COM VALOR")</f>
        <v xml:space="preserve">COM VALOR</v>
      </c>
      <c r="J3723" s="19"/>
      <c r="L3723" s="21">
        <v>117.62</v>
      </c>
      <c r="M3723" s="22">
        <v>0</v>
      </c>
      <c r="N3723" s="21">
        <v>116.77</v>
      </c>
      <c r="O3723" s="22">
        <v>0</v>
      </c>
    </row>
    <row r="3724" ht="38.25">
      <c r="A3724" t="s">
        <v>3800</v>
      </c>
      <c r="B3724" s="19">
        <v>100651</v>
      </c>
      <c r="C3724" s="20" t="s">
        <v>3802</v>
      </c>
      <c r="D3724" s="19" t="s">
        <v>38</v>
      </c>
      <c r="E3724" s="21">
        <f t="shared" si="173"/>
        <v>144.43000000000001</v>
      </c>
      <c r="F3724" s="22">
        <v>4.0000000000000001e-002</v>
      </c>
      <c r="G3724" s="21">
        <f t="shared" si="174"/>
        <v>143.47</v>
      </c>
      <c r="H3724" s="22">
        <v>4.0000000000000001e-002</v>
      </c>
      <c r="I3724" s="23" t="str">
        <f t="shared" si="175"/>
        <v xml:space="preserve">COM VALOR</v>
      </c>
      <c r="J3724" s="19"/>
      <c r="L3724" s="21">
        <v>144.43000000000001</v>
      </c>
      <c r="M3724" s="22">
        <v>0</v>
      </c>
      <c r="N3724" s="21">
        <v>143.47</v>
      </c>
      <c r="O3724" s="22">
        <v>0</v>
      </c>
    </row>
    <row r="3725" ht="38.25">
      <c r="A3725" t="s">
        <v>3800</v>
      </c>
      <c r="B3725" s="19">
        <v>106804</v>
      </c>
      <c r="C3725" s="20" t="s">
        <v>3803</v>
      </c>
      <c r="D3725" s="19" t="s">
        <v>38</v>
      </c>
      <c r="E3725" s="21">
        <f t="shared" si="173"/>
        <v>121.83</v>
      </c>
      <c r="F3725" s="22">
        <v>4.0000000000000001e-002</v>
      </c>
      <c r="G3725" s="21">
        <f t="shared" si="174"/>
        <v>120.98</v>
      </c>
      <c r="H3725" s="22">
        <v>4.0000000000000001e-002</v>
      </c>
      <c r="I3725" s="23" t="str">
        <f t="shared" si="175"/>
        <v xml:space="preserve">COM VALOR</v>
      </c>
      <c r="J3725" s="19"/>
      <c r="L3725" s="21">
        <v>121.83</v>
      </c>
      <c r="M3725" s="22">
        <v>0</v>
      </c>
      <c r="N3725" s="21">
        <v>120.98</v>
      </c>
      <c r="O3725" s="22">
        <v>0</v>
      </c>
    </row>
    <row r="3726" ht="38.25">
      <c r="A3726" t="s">
        <v>3800</v>
      </c>
      <c r="B3726" s="19">
        <v>106799</v>
      </c>
      <c r="C3726" s="20" t="s">
        <v>3804</v>
      </c>
      <c r="D3726" s="19" t="s">
        <v>38</v>
      </c>
      <c r="E3726" s="21">
        <f t="shared" si="173"/>
        <v>148.63999999999999</v>
      </c>
      <c r="F3726" s="22">
        <v>4.0000000000000001e-002</v>
      </c>
      <c r="G3726" s="21">
        <f t="shared" si="174"/>
        <v>147.68000000000001</v>
      </c>
      <c r="H3726" s="22">
        <v>4.0000000000000001e-002</v>
      </c>
      <c r="I3726" s="23" t="str">
        <f t="shared" si="175"/>
        <v xml:space="preserve">COM VALOR</v>
      </c>
      <c r="J3726" s="19"/>
      <c r="L3726" s="21">
        <v>148.63999999999999</v>
      </c>
      <c r="M3726" s="22">
        <v>0</v>
      </c>
      <c r="N3726" s="21">
        <v>147.68000000000001</v>
      </c>
      <c r="O3726" s="22">
        <v>0</v>
      </c>
    </row>
    <row r="3727" ht="38.25">
      <c r="A3727" t="s">
        <v>3800</v>
      </c>
      <c r="B3727" s="19">
        <v>106795</v>
      </c>
      <c r="C3727" s="20" t="s">
        <v>3805</v>
      </c>
      <c r="D3727" s="19" t="s">
        <v>38</v>
      </c>
      <c r="E3727" s="21">
        <f t="shared" si="173"/>
        <v>233.47</v>
      </c>
      <c r="F3727" s="22">
        <v>4.0000000000000001e-002</v>
      </c>
      <c r="G3727" s="21">
        <f t="shared" si="174"/>
        <v>232.44999999999999</v>
      </c>
      <c r="H3727" s="22">
        <v>4.0000000000000001e-002</v>
      </c>
      <c r="I3727" s="23" t="str">
        <f t="shared" si="175"/>
        <v xml:space="preserve">COM VALOR</v>
      </c>
      <c r="J3727" s="19"/>
      <c r="L3727" s="21">
        <v>233.47</v>
      </c>
      <c r="M3727" s="22">
        <v>0</v>
      </c>
      <c r="N3727" s="21">
        <v>232.44999999999999</v>
      </c>
      <c r="O3727" s="22">
        <v>0</v>
      </c>
    </row>
    <row r="3728" ht="38.25">
      <c r="A3728" t="s">
        <v>3800</v>
      </c>
      <c r="B3728" s="19">
        <v>100652</v>
      </c>
      <c r="C3728" s="20" t="s">
        <v>3806</v>
      </c>
      <c r="D3728" s="19" t="s">
        <v>38</v>
      </c>
      <c r="E3728" s="21">
        <f t="shared" si="173"/>
        <v>274.98000000000002</v>
      </c>
      <c r="F3728" s="22">
        <v>0</v>
      </c>
      <c r="G3728" s="21">
        <f t="shared" si="174"/>
        <v>273.75</v>
      </c>
      <c r="H3728" s="22">
        <v>0</v>
      </c>
      <c r="I3728" s="23" t="str">
        <f t="shared" si="175"/>
        <v xml:space="preserve">COM VALOR</v>
      </c>
      <c r="J3728" s="19"/>
      <c r="L3728" s="21">
        <v>274.98000000000002</v>
      </c>
      <c r="M3728" s="22">
        <v>0</v>
      </c>
      <c r="N3728" s="21">
        <v>273.75</v>
      </c>
      <c r="O3728" s="22">
        <v>0</v>
      </c>
    </row>
    <row r="3729" ht="38.25">
      <c r="A3729" t="s">
        <v>3800</v>
      </c>
      <c r="B3729" s="19">
        <v>106805</v>
      </c>
      <c r="C3729" s="20" t="s">
        <v>3807</v>
      </c>
      <c r="D3729" s="19" t="s">
        <v>38</v>
      </c>
      <c r="E3729" s="21">
        <f t="shared" si="173"/>
        <v>243.91</v>
      </c>
      <c r="F3729" s="22">
        <v>0</v>
      </c>
      <c r="G3729" s="21">
        <f t="shared" si="174"/>
        <v>242.88999999999999</v>
      </c>
      <c r="H3729" s="22">
        <v>0</v>
      </c>
      <c r="I3729" s="23" t="str">
        <f t="shared" si="175"/>
        <v xml:space="preserve">COM VALOR</v>
      </c>
      <c r="J3729" s="19"/>
      <c r="L3729" s="21">
        <v>243.91</v>
      </c>
      <c r="M3729" s="22">
        <v>0</v>
      </c>
      <c r="N3729" s="21">
        <v>242.88999999999999</v>
      </c>
      <c r="O3729" s="22">
        <v>0</v>
      </c>
    </row>
    <row r="3730" ht="38.25">
      <c r="A3730" t="s">
        <v>3800</v>
      </c>
      <c r="B3730" s="19">
        <v>106800</v>
      </c>
      <c r="C3730" s="20" t="s">
        <v>3808</v>
      </c>
      <c r="D3730" s="19" t="s">
        <v>38</v>
      </c>
      <c r="E3730" s="21">
        <f t="shared" si="173"/>
        <v>285.42000000000002</v>
      </c>
      <c r="F3730" s="22">
        <v>0</v>
      </c>
      <c r="G3730" s="21">
        <f t="shared" si="174"/>
        <v>284.19</v>
      </c>
      <c r="H3730" s="22">
        <v>0</v>
      </c>
      <c r="I3730" s="23" t="str">
        <f t="shared" si="175"/>
        <v xml:space="preserve">COM VALOR</v>
      </c>
      <c r="J3730" s="19"/>
      <c r="L3730" s="21">
        <v>285.42000000000002</v>
      </c>
      <c r="M3730" s="22">
        <v>0</v>
      </c>
      <c r="N3730" s="21">
        <v>284.19</v>
      </c>
      <c r="O3730" s="22">
        <v>0</v>
      </c>
    </row>
    <row r="3731" ht="38.25">
      <c r="A3731" t="s">
        <v>3800</v>
      </c>
      <c r="B3731" s="19">
        <v>106796</v>
      </c>
      <c r="C3731" s="20" t="s">
        <v>3809</v>
      </c>
      <c r="D3731" s="19" t="s">
        <v>38</v>
      </c>
      <c r="E3731" s="21">
        <f t="shared" si="173"/>
        <v>391.13999999999999</v>
      </c>
      <c r="F3731" s="22">
        <v>0</v>
      </c>
      <c r="G3731" s="21">
        <f t="shared" si="174"/>
        <v>389.94999999999999</v>
      </c>
      <c r="H3731" s="22">
        <v>0</v>
      </c>
      <c r="I3731" s="23" t="str">
        <f t="shared" si="175"/>
        <v xml:space="preserve">COM VALOR</v>
      </c>
      <c r="J3731" s="19"/>
      <c r="L3731" s="21">
        <v>391.13999999999999</v>
      </c>
      <c r="M3731" s="22">
        <v>0</v>
      </c>
      <c r="N3731" s="21">
        <v>389.94999999999999</v>
      </c>
      <c r="O3731" s="22">
        <v>0</v>
      </c>
    </row>
    <row r="3732" ht="38.25">
      <c r="A3732" t="s">
        <v>3800</v>
      </c>
      <c r="B3732" s="19">
        <v>100653</v>
      </c>
      <c r="C3732" s="20" t="s">
        <v>3810</v>
      </c>
      <c r="D3732" s="19" t="s">
        <v>38</v>
      </c>
      <c r="E3732" s="21">
        <f t="shared" si="173"/>
        <v>457.81</v>
      </c>
      <c r="F3732" s="22">
        <v>0</v>
      </c>
      <c r="G3732" s="21">
        <f t="shared" si="174"/>
        <v>456.30000000000001</v>
      </c>
      <c r="H3732" s="22">
        <v>0</v>
      </c>
      <c r="I3732" s="23" t="str">
        <f t="shared" si="175"/>
        <v xml:space="preserve">COM VALOR</v>
      </c>
      <c r="J3732" s="19"/>
      <c r="L3732" s="21">
        <v>457.81</v>
      </c>
      <c r="M3732" s="22">
        <v>1.e-002</v>
      </c>
      <c r="N3732" s="21">
        <v>456.30000000000001</v>
      </c>
      <c r="O3732" s="22">
        <v>1.e-002</v>
      </c>
    </row>
    <row r="3733" ht="38.25">
      <c r="A3733" t="s">
        <v>3800</v>
      </c>
      <c r="B3733" s="19">
        <v>106806</v>
      </c>
      <c r="C3733" s="20" t="s">
        <v>3811</v>
      </c>
      <c r="D3733" s="19" t="s">
        <v>38</v>
      </c>
      <c r="E3733" s="21">
        <f t="shared" si="173"/>
        <v>410.32999999999998</v>
      </c>
      <c r="F3733" s="22">
        <v>0</v>
      </c>
      <c r="G3733" s="21">
        <f t="shared" si="174"/>
        <v>409.13999999999999</v>
      </c>
      <c r="H3733" s="22">
        <v>0</v>
      </c>
      <c r="I3733" s="23" t="str">
        <f t="shared" si="175"/>
        <v xml:space="preserve">COM VALOR</v>
      </c>
      <c r="J3733" s="19"/>
      <c r="L3733" s="21">
        <v>410.32999999999998</v>
      </c>
      <c r="M3733" s="22">
        <v>0</v>
      </c>
      <c r="N3733" s="21">
        <v>409.13999999999999</v>
      </c>
      <c r="O3733" s="22">
        <v>0</v>
      </c>
    </row>
    <row r="3734" ht="38.25">
      <c r="A3734" t="s">
        <v>3800</v>
      </c>
      <c r="B3734" s="19">
        <v>106801</v>
      </c>
      <c r="C3734" s="20" t="s">
        <v>3812</v>
      </c>
      <c r="D3734" s="19" t="s">
        <v>38</v>
      </c>
      <c r="E3734" s="21">
        <f t="shared" si="173"/>
        <v>477</v>
      </c>
      <c r="F3734" s="22">
        <v>0</v>
      </c>
      <c r="G3734" s="21">
        <f t="shared" si="174"/>
        <v>475.49000000000001</v>
      </c>
      <c r="H3734" s="22">
        <v>0</v>
      </c>
      <c r="I3734" s="23" t="str">
        <f t="shared" si="175"/>
        <v xml:space="preserve">COM VALOR</v>
      </c>
      <c r="J3734" s="19"/>
      <c r="L3734" s="21">
        <v>477</v>
      </c>
      <c r="M3734" s="22">
        <v>0</v>
      </c>
      <c r="N3734" s="21">
        <v>475.49000000000001</v>
      </c>
      <c r="O3734" s="22">
        <v>0</v>
      </c>
    </row>
    <row r="3735" ht="38.25">
      <c r="A3735" t="s">
        <v>3800</v>
      </c>
      <c r="B3735" s="19">
        <v>106797</v>
      </c>
      <c r="C3735" s="20" t="s">
        <v>3813</v>
      </c>
      <c r="D3735" s="19" t="s">
        <v>38</v>
      </c>
      <c r="E3735" s="21">
        <f t="shared" si="173"/>
        <v>485.29000000000002</v>
      </c>
      <c r="F3735" s="22">
        <v>0</v>
      </c>
      <c r="G3735" s="21">
        <f t="shared" si="174"/>
        <v>484</v>
      </c>
      <c r="H3735" s="22">
        <v>0</v>
      </c>
      <c r="I3735" s="23" t="str">
        <f t="shared" si="175"/>
        <v xml:space="preserve">COM VALOR</v>
      </c>
      <c r="J3735" s="19"/>
      <c r="L3735" s="21">
        <v>485.29000000000002</v>
      </c>
      <c r="M3735" s="22">
        <v>5.0000000000000001e-003</v>
      </c>
      <c r="N3735" s="21">
        <v>484</v>
      </c>
      <c r="O3735" s="22">
        <v>5.0000000000000001e-003</v>
      </c>
    </row>
    <row r="3736" ht="38.25">
      <c r="A3736" t="s">
        <v>3800</v>
      </c>
      <c r="B3736" s="19">
        <v>100654</v>
      </c>
      <c r="C3736" s="20" t="s">
        <v>3814</v>
      </c>
      <c r="D3736" s="19" t="s">
        <v>38</v>
      </c>
      <c r="E3736" s="21">
        <f t="shared" si="173"/>
        <v>611.45000000000005</v>
      </c>
      <c r="F3736" s="22">
        <v>0</v>
      </c>
      <c r="G3736" s="21">
        <f t="shared" si="174"/>
        <v>609.67999999999995</v>
      </c>
      <c r="H3736" s="22">
        <v>0</v>
      </c>
      <c r="I3736" s="23" t="str">
        <f t="shared" si="175"/>
        <v xml:space="preserve">COM VALOR</v>
      </c>
      <c r="J3736" s="19"/>
      <c r="L3736" s="21">
        <v>611.45000000000005</v>
      </c>
      <c r="M3736" s="22">
        <v>0</v>
      </c>
      <c r="N3736" s="21">
        <v>609.67999999999995</v>
      </c>
      <c r="O3736" s="22">
        <v>0</v>
      </c>
    </row>
    <row r="3737" ht="38.25">
      <c r="A3737" t="s">
        <v>3800</v>
      </c>
      <c r="B3737" s="19">
        <v>106807</v>
      </c>
      <c r="C3737" s="20" t="s">
        <v>3815</v>
      </c>
      <c r="D3737" s="19" t="s">
        <v>38</v>
      </c>
      <c r="E3737" s="21">
        <f t="shared" si="173"/>
        <v>509.72000000000003</v>
      </c>
      <c r="F3737" s="22"/>
      <c r="G3737" s="21">
        <f t="shared" si="174"/>
        <v>508.43000000000001</v>
      </c>
      <c r="H3737" s="22"/>
      <c r="I3737" s="23" t="str">
        <f t="shared" si="175"/>
        <v xml:space="preserve">COM VALOR</v>
      </c>
      <c r="J3737" s="19"/>
      <c r="L3737" s="21">
        <v>509.72000000000003</v>
      </c>
      <c r="M3737" s="22">
        <v>0</v>
      </c>
      <c r="N3737" s="21">
        <v>508.43000000000001</v>
      </c>
      <c r="O3737" s="22">
        <v>0</v>
      </c>
    </row>
    <row r="3738" ht="38.25">
      <c r="A3738" t="s">
        <v>3800</v>
      </c>
      <c r="B3738" s="19">
        <v>106802</v>
      </c>
      <c r="C3738" s="20" t="s">
        <v>3816</v>
      </c>
      <c r="D3738" s="19" t="s">
        <v>38</v>
      </c>
      <c r="E3738" s="21">
        <f t="shared" si="173"/>
        <v>635.88</v>
      </c>
      <c r="F3738" s="22"/>
      <c r="G3738" s="21">
        <f t="shared" si="174"/>
        <v>634.11000000000001</v>
      </c>
      <c r="H3738" s="22"/>
      <c r="I3738" s="23" t="str">
        <f t="shared" si="175"/>
        <v xml:space="preserve">COM VALOR</v>
      </c>
      <c r="J3738" s="19"/>
      <c r="L3738" s="21">
        <v>635.88</v>
      </c>
      <c r="M3738" s="22">
        <v>0</v>
      </c>
      <c r="N3738" s="21">
        <v>634.11000000000001</v>
      </c>
      <c r="O3738" s="22">
        <v>0</v>
      </c>
    </row>
    <row r="3739" ht="38.25">
      <c r="A3739" t="s">
        <v>3800</v>
      </c>
      <c r="B3739" s="19">
        <v>106798</v>
      </c>
      <c r="C3739" s="20" t="s">
        <v>3817</v>
      </c>
      <c r="D3739" s="19" t="s">
        <v>38</v>
      </c>
      <c r="E3739" s="21">
        <f t="shared" si="173"/>
        <v>599.41999999999996</v>
      </c>
      <c r="F3739" s="22"/>
      <c r="G3739" s="21">
        <f t="shared" si="174"/>
        <v>598.17999999999995</v>
      </c>
      <c r="H3739" s="22"/>
      <c r="I3739" s="23" t="str">
        <f t="shared" si="175"/>
        <v xml:space="preserve">COM VALOR</v>
      </c>
      <c r="J3739" s="19"/>
      <c r="L3739" s="21">
        <v>599.41999999999996</v>
      </c>
      <c r="M3739" s="22">
        <v>5.0000000000000001e-003</v>
      </c>
      <c r="N3739" s="21">
        <v>598.17999999999995</v>
      </c>
      <c r="O3739" s="22">
        <v>5.0000000000000001e-003</v>
      </c>
    </row>
    <row r="3740" ht="38.25">
      <c r="A3740" t="s">
        <v>3800</v>
      </c>
      <c r="B3740" s="19">
        <v>100655</v>
      </c>
      <c r="C3740" s="20" t="s">
        <v>3818</v>
      </c>
      <c r="D3740" s="19" t="s">
        <v>38</v>
      </c>
      <c r="E3740" s="21">
        <f t="shared" si="173"/>
        <v>729.79999999999995</v>
      </c>
      <c r="F3740" s="22"/>
      <c r="G3740" s="21">
        <f t="shared" si="174"/>
        <v>728.07000000000005</v>
      </c>
      <c r="H3740" s="22"/>
      <c r="I3740" s="23" t="str">
        <f t="shared" si="175"/>
        <v xml:space="preserve">COM VALOR</v>
      </c>
      <c r="J3740" s="19"/>
      <c r="L3740" s="21">
        <v>729.79999999999995</v>
      </c>
      <c r="M3740" s="22">
        <v>0</v>
      </c>
      <c r="N3740" s="21">
        <v>728.07000000000005</v>
      </c>
      <c r="O3740" s="22">
        <v>0</v>
      </c>
    </row>
    <row r="3741" ht="38.25">
      <c r="A3741" t="s">
        <v>3800</v>
      </c>
      <c r="B3741" s="19">
        <v>106808</v>
      </c>
      <c r="C3741" s="20" t="s">
        <v>3819</v>
      </c>
      <c r="D3741" s="19" t="s">
        <v>38</v>
      </c>
      <c r="E3741" s="21">
        <f t="shared" si="173"/>
        <v>629.47000000000003</v>
      </c>
      <c r="F3741" s="22"/>
      <c r="G3741" s="21">
        <f t="shared" si="174"/>
        <v>628.23000000000002</v>
      </c>
      <c r="H3741" s="22"/>
      <c r="I3741" s="23" t="str">
        <f t="shared" si="175"/>
        <v xml:space="preserve">COM VALOR</v>
      </c>
      <c r="J3741" s="19"/>
      <c r="L3741" s="21">
        <v>629.47000000000003</v>
      </c>
      <c r="M3741" s="22">
        <v>0</v>
      </c>
      <c r="N3741" s="21">
        <v>628.23000000000002</v>
      </c>
      <c r="O3741" s="22">
        <v>0</v>
      </c>
    </row>
    <row r="3742" ht="38.25">
      <c r="A3742" t="s">
        <v>3800</v>
      </c>
      <c r="B3742" s="19">
        <v>106803</v>
      </c>
      <c r="C3742" s="20" t="s">
        <v>3820</v>
      </c>
      <c r="D3742" s="19" t="s">
        <v>38</v>
      </c>
      <c r="E3742" s="21">
        <f t="shared" si="173"/>
        <v>759.85000000000002</v>
      </c>
      <c r="F3742" s="22"/>
      <c r="G3742" s="21">
        <f t="shared" si="174"/>
        <v>758.12</v>
      </c>
      <c r="H3742" s="22"/>
      <c r="I3742" s="23" t="str">
        <f t="shared" si="175"/>
        <v xml:space="preserve">COM VALOR</v>
      </c>
      <c r="J3742" s="19"/>
      <c r="L3742" s="21">
        <v>759.85000000000002</v>
      </c>
      <c r="M3742" s="22">
        <v>0</v>
      </c>
      <c r="N3742" s="21">
        <v>758.12</v>
      </c>
      <c r="O3742" s="22">
        <v>0</v>
      </c>
    </row>
    <row r="3743" ht="38.25">
      <c r="A3743" t="s">
        <v>3821</v>
      </c>
      <c r="B3743" s="19">
        <v>100364</v>
      </c>
      <c r="C3743" s="20" t="s">
        <v>3822</v>
      </c>
      <c r="D3743" s="19" t="s">
        <v>31</v>
      </c>
      <c r="E3743" s="21">
        <f t="shared" si="173"/>
        <v>3389.71</v>
      </c>
      <c r="F3743" s="22"/>
      <c r="G3743" s="21">
        <f t="shared" si="174"/>
        <v>3317.3400000000001</v>
      </c>
      <c r="H3743" s="22"/>
      <c r="I3743" s="23" t="str">
        <f t="shared" si="175"/>
        <v xml:space="preserve">COM VALOR</v>
      </c>
      <c r="J3743" s="19"/>
      <c r="L3743" s="21">
        <v>3389.71</v>
      </c>
      <c r="M3743" s="22">
        <v>5.9999999999999998e-002</v>
      </c>
      <c r="N3743" s="21">
        <v>3317.3400000000001</v>
      </c>
      <c r="O3743" s="22">
        <v>5.9999999999999998e-002</v>
      </c>
    </row>
    <row r="3744" ht="51">
      <c r="A3744" t="s">
        <v>3821</v>
      </c>
      <c r="B3744" s="19">
        <v>100374</v>
      </c>
      <c r="C3744" s="20" t="s">
        <v>3823</v>
      </c>
      <c r="D3744" s="19" t="s">
        <v>31</v>
      </c>
      <c r="E3744" s="21">
        <f t="shared" si="173"/>
        <v>3147.3099999999999</v>
      </c>
      <c r="F3744" s="22"/>
      <c r="G3744" s="21">
        <f t="shared" si="174"/>
        <v>3074.9400000000001</v>
      </c>
      <c r="H3744" s="22"/>
      <c r="I3744" s="23" t="str">
        <f t="shared" si="175"/>
        <v xml:space="preserve">COM VALOR</v>
      </c>
      <c r="J3744" s="19"/>
      <c r="L3744" s="21">
        <v>3147.3099999999999</v>
      </c>
      <c r="M3744" s="22">
        <v>5.9999999999999998e-002</v>
      </c>
      <c r="N3744" s="21">
        <v>3074.9400000000001</v>
      </c>
      <c r="O3744" s="22">
        <v>7.0000000000000007e-002</v>
      </c>
    </row>
    <row r="3745" ht="38.25">
      <c r="A3745" t="s">
        <v>3821</v>
      </c>
      <c r="B3745" s="19">
        <v>100365</v>
      </c>
      <c r="C3745" s="20" t="s">
        <v>3824</v>
      </c>
      <c r="D3745" s="19" t="s">
        <v>31</v>
      </c>
      <c r="E3745" s="21">
        <f t="shared" si="173"/>
        <v>3920.71</v>
      </c>
      <c r="F3745" s="22"/>
      <c r="G3745" s="21">
        <f t="shared" si="174"/>
        <v>3832.2600000000002</v>
      </c>
      <c r="H3745" s="22"/>
      <c r="I3745" s="23" t="str">
        <f t="shared" si="175"/>
        <v xml:space="preserve">COM VALOR</v>
      </c>
      <c r="J3745" s="19"/>
      <c r="L3745" s="21">
        <v>3920.71</v>
      </c>
      <c r="M3745" s="22">
        <v>5.0000000000000003e-002</v>
      </c>
      <c r="N3745" s="21">
        <v>3832.2600000000002</v>
      </c>
      <c r="O3745" s="22">
        <v>5.0000000000000003e-002</v>
      </c>
    </row>
    <row r="3746" ht="51">
      <c r="A3746" t="s">
        <v>3821</v>
      </c>
      <c r="B3746" s="19">
        <v>100375</v>
      </c>
      <c r="C3746" s="20" t="s">
        <v>3825</v>
      </c>
      <c r="D3746" s="19" t="s">
        <v>31</v>
      </c>
      <c r="E3746" s="21">
        <f t="shared" si="173"/>
        <v>3571.6500000000001</v>
      </c>
      <c r="F3746" s="22"/>
      <c r="G3746" s="21">
        <f t="shared" si="174"/>
        <v>3483.1999999999998</v>
      </c>
      <c r="H3746" s="22"/>
      <c r="I3746" s="23" t="str">
        <f t="shared" si="175"/>
        <v xml:space="preserve">COM VALOR</v>
      </c>
      <c r="J3746" s="19"/>
      <c r="L3746" s="21">
        <v>3571.6500000000001</v>
      </c>
      <c r="M3746" s="22">
        <v>5.9999999999999998e-002</v>
      </c>
      <c r="N3746" s="21">
        <v>3483.1999999999998</v>
      </c>
      <c r="O3746" s="22">
        <v>5.9999999999999998e-002</v>
      </c>
    </row>
    <row r="3747" ht="38.25">
      <c r="A3747" t="s">
        <v>3821</v>
      </c>
      <c r="B3747" s="19">
        <v>100366</v>
      </c>
      <c r="C3747" s="20" t="s">
        <v>3826</v>
      </c>
      <c r="D3747" s="19" t="s">
        <v>31</v>
      </c>
      <c r="E3747" s="21">
        <f t="shared" si="173"/>
        <v>4185.0299999999997</v>
      </c>
      <c r="F3747" s="22">
        <v>5.9999999999999998e-002</v>
      </c>
      <c r="G3747" s="21">
        <f t="shared" si="174"/>
        <v>4096.5799999999999</v>
      </c>
      <c r="H3747" s="22">
        <v>5.9999999999999998e-002</v>
      </c>
      <c r="I3747" s="23" t="str">
        <f t="shared" si="175"/>
        <v xml:space="preserve">COM VALOR</v>
      </c>
      <c r="J3747" s="19"/>
      <c r="L3747" s="21">
        <v>4185.0299999999997</v>
      </c>
      <c r="M3747" s="22">
        <v>5.0000000000000003e-002</v>
      </c>
      <c r="N3747" s="21">
        <v>4096.5799999999999</v>
      </c>
      <c r="O3747" s="22">
        <v>5.0000000000000003e-002</v>
      </c>
    </row>
    <row r="3748" ht="51">
      <c r="A3748" t="s">
        <v>3821</v>
      </c>
      <c r="B3748" s="19">
        <v>100376</v>
      </c>
      <c r="C3748" s="20" t="s">
        <v>3827</v>
      </c>
      <c r="D3748" s="19" t="s">
        <v>31</v>
      </c>
      <c r="E3748" s="21">
        <f t="shared" si="173"/>
        <v>3677.79</v>
      </c>
      <c r="F3748" s="22">
        <v>0</v>
      </c>
      <c r="G3748" s="21">
        <f t="shared" si="174"/>
        <v>3589.3400000000001</v>
      </c>
      <c r="H3748" s="22">
        <v>0</v>
      </c>
      <c r="I3748" s="23" t="str">
        <f t="shared" si="175"/>
        <v xml:space="preserve">COM VALOR</v>
      </c>
      <c r="J3748" s="19"/>
      <c r="L3748" s="21">
        <v>3677.79</v>
      </c>
      <c r="M3748" s="22">
        <v>5.9999999999999998e-002</v>
      </c>
      <c r="N3748" s="21">
        <v>3589.3400000000001</v>
      </c>
      <c r="O3748" s="22">
        <v>5.9999999999999998e-002</v>
      </c>
    </row>
    <row r="3749" ht="38.25">
      <c r="A3749" t="s">
        <v>3821</v>
      </c>
      <c r="B3749" s="19">
        <v>100357</v>
      </c>
      <c r="C3749" s="20" t="s">
        <v>3828</v>
      </c>
      <c r="D3749" s="19" t="s">
        <v>31</v>
      </c>
      <c r="E3749" s="21">
        <f t="shared" si="173"/>
        <v>1144.3299999999999</v>
      </c>
      <c r="F3749" s="22">
        <v>1.e-002</v>
      </c>
      <c r="G3749" s="21">
        <f t="shared" si="174"/>
        <v>1119.98</v>
      </c>
      <c r="H3749" s="22">
        <v>1.e-002</v>
      </c>
      <c r="I3749" s="23" t="str">
        <f t="shared" si="175"/>
        <v xml:space="preserve">COM VALOR</v>
      </c>
      <c r="J3749" s="19"/>
      <c r="L3749" s="21">
        <v>1144.3299999999999</v>
      </c>
      <c r="M3749" s="22">
        <v>2.e-002</v>
      </c>
      <c r="N3749" s="21">
        <v>1119.98</v>
      </c>
      <c r="O3749" s="22">
        <v>2.e-002</v>
      </c>
    </row>
    <row r="3750" ht="51">
      <c r="A3750" t="s">
        <v>3821</v>
      </c>
      <c r="B3750" s="19">
        <v>100367</v>
      </c>
      <c r="C3750" s="20" t="s">
        <v>3829</v>
      </c>
      <c r="D3750" s="19" t="s">
        <v>31</v>
      </c>
      <c r="E3750" s="21">
        <f t="shared" si="173"/>
        <v>1109.99</v>
      </c>
      <c r="F3750" s="22">
        <v>7.0000000000000007e-002</v>
      </c>
      <c r="G3750" s="21">
        <f t="shared" si="174"/>
        <v>1085.6400000000001</v>
      </c>
      <c r="H3750" s="22">
        <v>7.0000000000000007e-002</v>
      </c>
      <c r="I3750" s="23" t="str">
        <f t="shared" si="175"/>
        <v xml:space="preserve">COM VALOR</v>
      </c>
      <c r="J3750" s="19"/>
      <c r="L3750" s="21">
        <v>1109.99</v>
      </c>
      <c r="M3750" s="22">
        <v>2.e-002</v>
      </c>
      <c r="N3750" s="21">
        <v>1085.6400000000001</v>
      </c>
      <c r="O3750" s="22">
        <v>2.9999999999999999e-002</v>
      </c>
    </row>
    <row r="3751" ht="38.25">
      <c r="A3751" t="s">
        <v>3821</v>
      </c>
      <c r="B3751" s="19">
        <v>100358</v>
      </c>
      <c r="C3751" s="20" t="s">
        <v>3830</v>
      </c>
      <c r="D3751" s="19" t="s">
        <v>31</v>
      </c>
      <c r="E3751" s="21">
        <f t="shared" si="173"/>
        <v>1577.6700000000001</v>
      </c>
      <c r="F3751" s="22">
        <v>1.e-002</v>
      </c>
      <c r="G3751" s="21">
        <f t="shared" si="174"/>
        <v>1537.22</v>
      </c>
      <c r="H3751" s="22">
        <v>1.e-002</v>
      </c>
      <c r="I3751" s="23" t="str">
        <f t="shared" si="175"/>
        <v xml:space="preserve">COM VALOR</v>
      </c>
      <c r="J3751" s="19"/>
      <c r="L3751" s="21">
        <v>1577.6700000000001</v>
      </c>
      <c r="M3751" s="22">
        <v>2.e-002</v>
      </c>
      <c r="N3751" s="21">
        <v>1537.22</v>
      </c>
      <c r="O3751" s="22">
        <v>2.e-002</v>
      </c>
    </row>
    <row r="3752" ht="51">
      <c r="A3752" t="s">
        <v>3821</v>
      </c>
      <c r="B3752" s="19">
        <v>100368</v>
      </c>
      <c r="C3752" s="20" t="s">
        <v>3831</v>
      </c>
      <c r="D3752" s="19" t="s">
        <v>31</v>
      </c>
      <c r="E3752" s="21">
        <f t="shared" si="173"/>
        <v>1535.01</v>
      </c>
      <c r="F3752" s="22">
        <v>1.e-002</v>
      </c>
      <c r="G3752" s="21">
        <f t="shared" si="174"/>
        <v>1494.5599999999999</v>
      </c>
      <c r="H3752" s="22">
        <v>1.e-002</v>
      </c>
      <c r="I3752" s="23" t="str">
        <f t="shared" si="175"/>
        <v xml:space="preserve">COM VALOR</v>
      </c>
      <c r="J3752" s="19"/>
      <c r="L3752" s="21">
        <v>1535.01</v>
      </c>
      <c r="M3752" s="22">
        <v>2.e-002</v>
      </c>
      <c r="N3752" s="21">
        <v>1494.5599999999999</v>
      </c>
      <c r="O3752" s="22">
        <v>2.e-002</v>
      </c>
    </row>
    <row r="3753" ht="38.25">
      <c r="A3753" t="s">
        <v>3821</v>
      </c>
      <c r="B3753" s="19">
        <v>100359</v>
      </c>
      <c r="C3753" s="20" t="s">
        <v>3832</v>
      </c>
      <c r="D3753" s="19" t="s">
        <v>31</v>
      </c>
      <c r="E3753" s="21">
        <f t="shared" si="173"/>
        <v>1660.4100000000001</v>
      </c>
      <c r="F3753" s="22">
        <v>1.e-002</v>
      </c>
      <c r="G3753" s="21">
        <f t="shared" si="174"/>
        <v>1619.96</v>
      </c>
      <c r="H3753" s="22">
        <v>1.e-002</v>
      </c>
      <c r="I3753" s="23" t="str">
        <f t="shared" si="175"/>
        <v xml:space="preserve">COM VALOR</v>
      </c>
      <c r="J3753" s="19"/>
      <c r="L3753" s="21">
        <v>1660.4100000000001</v>
      </c>
      <c r="M3753" s="22">
        <v>2.e-002</v>
      </c>
      <c r="N3753" s="21">
        <v>1619.96</v>
      </c>
      <c r="O3753" s="22">
        <v>2.e-002</v>
      </c>
    </row>
    <row r="3754" ht="51">
      <c r="A3754" t="s">
        <v>3821</v>
      </c>
      <c r="B3754" s="19">
        <v>100369</v>
      </c>
      <c r="C3754" s="20" t="s">
        <v>3833</v>
      </c>
      <c r="D3754" s="19" t="s">
        <v>31</v>
      </c>
      <c r="E3754" s="21">
        <f t="shared" si="173"/>
        <v>1616.74</v>
      </c>
      <c r="F3754" s="22">
        <v>1.e-002</v>
      </c>
      <c r="G3754" s="21">
        <f t="shared" si="174"/>
        <v>1576.29</v>
      </c>
      <c r="H3754" s="22">
        <v>1.e-002</v>
      </c>
      <c r="I3754" s="23" t="str">
        <f t="shared" si="175"/>
        <v xml:space="preserve">COM VALOR</v>
      </c>
      <c r="J3754" s="19"/>
      <c r="L3754" s="21">
        <v>1616.74</v>
      </c>
      <c r="M3754" s="22">
        <v>2.e-002</v>
      </c>
      <c r="N3754" s="21">
        <v>1576.29</v>
      </c>
      <c r="O3754" s="22">
        <v>2.e-002</v>
      </c>
    </row>
    <row r="3755" ht="38.25">
      <c r="A3755" t="s">
        <v>3821</v>
      </c>
      <c r="B3755" s="19">
        <v>100360</v>
      </c>
      <c r="C3755" s="20" t="s">
        <v>3834</v>
      </c>
      <c r="D3755" s="19" t="s">
        <v>31</v>
      </c>
      <c r="E3755" s="21">
        <f t="shared" si="173"/>
        <v>1851.51</v>
      </c>
      <c r="F3755" s="22">
        <v>4.0000000000000001e-002</v>
      </c>
      <c r="G3755" s="21">
        <f t="shared" si="174"/>
        <v>1806.5699999999999</v>
      </c>
      <c r="H3755" s="22">
        <v>4.0000000000000001e-002</v>
      </c>
      <c r="I3755" s="23" t="str">
        <f t="shared" si="175"/>
        <v xml:space="preserve">COM VALOR</v>
      </c>
      <c r="J3755" s="19"/>
      <c r="L3755" s="21">
        <v>1851.51</v>
      </c>
      <c r="M3755" s="22">
        <v>1.e-002</v>
      </c>
      <c r="N3755" s="21">
        <v>1806.5699999999999</v>
      </c>
      <c r="O3755" s="22">
        <v>2.e-002</v>
      </c>
    </row>
    <row r="3756" ht="51">
      <c r="A3756" t="s">
        <v>3821</v>
      </c>
      <c r="B3756" s="19">
        <v>100370</v>
      </c>
      <c r="C3756" s="20" t="s">
        <v>3835</v>
      </c>
      <c r="D3756" s="19" t="s">
        <v>31</v>
      </c>
      <c r="E3756" s="21">
        <f t="shared" si="173"/>
        <v>1926.4400000000001</v>
      </c>
      <c r="F3756" s="22">
        <v>2.9999999999999999e-002</v>
      </c>
      <c r="G3756" s="21">
        <f t="shared" si="174"/>
        <v>1881.5</v>
      </c>
      <c r="H3756" s="22">
        <v>2.9999999999999999e-002</v>
      </c>
      <c r="I3756" s="23" t="str">
        <f t="shared" si="175"/>
        <v xml:space="preserve">COM VALOR</v>
      </c>
      <c r="J3756" s="19"/>
      <c r="L3756" s="21">
        <v>1926.4400000000001</v>
      </c>
      <c r="M3756" s="22">
        <v>1.e-002</v>
      </c>
      <c r="N3756" s="21">
        <v>1881.5</v>
      </c>
      <c r="O3756" s="22">
        <v>1.e-002</v>
      </c>
    </row>
    <row r="3757" ht="38.25">
      <c r="A3757" t="s">
        <v>3821</v>
      </c>
      <c r="B3757" s="19">
        <v>100361</v>
      </c>
      <c r="C3757" s="20" t="s">
        <v>3836</v>
      </c>
      <c r="D3757" s="19" t="s">
        <v>31</v>
      </c>
      <c r="E3757" s="21">
        <f t="shared" si="173"/>
        <v>2319.5799999999999</v>
      </c>
      <c r="F3757" s="22">
        <v>2.e-002</v>
      </c>
      <c r="G3757" s="21">
        <f t="shared" si="174"/>
        <v>2258.5599999999999</v>
      </c>
      <c r="H3757" s="22">
        <v>2.e-002</v>
      </c>
      <c r="I3757" s="23" t="str">
        <f t="shared" si="175"/>
        <v xml:space="preserve">COM VALOR</v>
      </c>
      <c r="J3757" s="19"/>
      <c r="L3757" s="21">
        <v>2319.5799999999999</v>
      </c>
      <c r="M3757" s="22">
        <v>1.e-002</v>
      </c>
      <c r="N3757" s="21">
        <v>2258.5599999999999</v>
      </c>
      <c r="O3757" s="22">
        <v>1.e-002</v>
      </c>
    </row>
    <row r="3758" ht="51">
      <c r="A3758" t="s">
        <v>3821</v>
      </c>
      <c r="B3758" s="19">
        <v>100371</v>
      </c>
      <c r="C3758" s="20" t="s">
        <v>3837</v>
      </c>
      <c r="D3758" s="19" t="s">
        <v>31</v>
      </c>
      <c r="E3758" s="21">
        <f t="shared" si="173"/>
        <v>2209.5300000000002</v>
      </c>
      <c r="F3758" s="22">
        <v>2.e-002</v>
      </c>
      <c r="G3758" s="21">
        <f t="shared" si="174"/>
        <v>2148.5100000000002</v>
      </c>
      <c r="H3758" s="22">
        <v>2.e-002</v>
      </c>
      <c r="I3758" s="23" t="str">
        <f t="shared" si="175"/>
        <v xml:space="preserve">COM VALOR</v>
      </c>
      <c r="J3758" s="19"/>
      <c r="L3758" s="21">
        <v>2209.5300000000002</v>
      </c>
      <c r="M3758" s="22">
        <v>1.e-002</v>
      </c>
      <c r="N3758" s="21">
        <v>2148.5100000000002</v>
      </c>
      <c r="O3758" s="22">
        <v>1.e-002</v>
      </c>
    </row>
    <row r="3759" ht="38.25">
      <c r="A3759" t="s">
        <v>3821</v>
      </c>
      <c r="B3759" s="19">
        <v>100362</v>
      </c>
      <c r="C3759" s="20" t="s">
        <v>3838</v>
      </c>
      <c r="D3759" s="19" t="s">
        <v>31</v>
      </c>
      <c r="E3759" s="21">
        <f t="shared" si="173"/>
        <v>3006.2800000000002</v>
      </c>
      <c r="F3759" s="22"/>
      <c r="G3759" s="21">
        <f t="shared" si="174"/>
        <v>2940.9200000000001</v>
      </c>
      <c r="H3759" s="22"/>
      <c r="I3759" s="23" t="str">
        <f t="shared" si="175"/>
        <v xml:space="preserve">COM VALOR</v>
      </c>
      <c r="J3759" s="19"/>
      <c r="L3759" s="21">
        <v>3006.2800000000002</v>
      </c>
      <c r="M3759" s="22">
        <v>7.0000000000000007e-002</v>
      </c>
      <c r="N3759" s="21">
        <v>2940.9200000000001</v>
      </c>
      <c r="O3759" s="22">
        <v>7.0000000000000007e-002</v>
      </c>
    </row>
    <row r="3760" ht="51">
      <c r="A3760" t="s">
        <v>3821</v>
      </c>
      <c r="B3760" s="19">
        <v>100372</v>
      </c>
      <c r="C3760" s="20" t="s">
        <v>3839</v>
      </c>
      <c r="D3760" s="19" t="s">
        <v>31</v>
      </c>
      <c r="E3760" s="21">
        <f t="shared" si="173"/>
        <v>2821.7600000000002</v>
      </c>
      <c r="F3760" s="22"/>
      <c r="G3760" s="21">
        <f t="shared" si="174"/>
        <v>2756.4000000000001</v>
      </c>
      <c r="H3760" s="22"/>
      <c r="I3760" s="23" t="str">
        <f t="shared" si="175"/>
        <v xml:space="preserve">COM VALOR</v>
      </c>
      <c r="J3760" s="19"/>
      <c r="L3760" s="21">
        <v>2821.7600000000002</v>
      </c>
      <c r="M3760" s="22">
        <v>7.0000000000000007e-002</v>
      </c>
      <c r="N3760" s="21">
        <v>2756.4000000000001</v>
      </c>
      <c r="O3760" s="22">
        <v>7.0000000000000007e-002</v>
      </c>
    </row>
    <row r="3761" ht="38.25">
      <c r="A3761" t="s">
        <v>3821</v>
      </c>
      <c r="B3761" s="19">
        <v>100363</v>
      </c>
      <c r="C3761" s="20" t="s">
        <v>3840</v>
      </c>
      <c r="D3761" s="19" t="s">
        <v>31</v>
      </c>
      <c r="E3761" s="21">
        <f t="shared" si="173"/>
        <v>3110.3600000000001</v>
      </c>
      <c r="F3761" s="22"/>
      <c r="G3761" s="21">
        <f t="shared" si="174"/>
        <v>3045</v>
      </c>
      <c r="H3761" s="22"/>
      <c r="I3761" s="23" t="str">
        <f t="shared" si="175"/>
        <v xml:space="preserve">COM VALOR</v>
      </c>
      <c r="J3761" s="19"/>
      <c r="L3761" s="21">
        <v>3110.3600000000001</v>
      </c>
      <c r="M3761" s="22">
        <v>7.0000000000000007e-002</v>
      </c>
      <c r="N3761" s="21">
        <v>3045</v>
      </c>
      <c r="O3761" s="22">
        <v>7.0000000000000007e-002</v>
      </c>
    </row>
    <row r="3762" ht="51">
      <c r="A3762" t="s">
        <v>3821</v>
      </c>
      <c r="B3762" s="19">
        <v>100373</v>
      </c>
      <c r="C3762" s="20" t="s">
        <v>3841</v>
      </c>
      <c r="D3762" s="19" t="s">
        <v>31</v>
      </c>
      <c r="E3762" s="21">
        <f t="shared" si="173"/>
        <v>2920.7800000000002</v>
      </c>
      <c r="F3762" s="22"/>
      <c r="G3762" s="21">
        <f t="shared" si="174"/>
        <v>2855.4200000000001</v>
      </c>
      <c r="H3762" s="22"/>
      <c r="I3762" s="23" t="str">
        <f t="shared" si="175"/>
        <v xml:space="preserve">COM VALOR</v>
      </c>
      <c r="J3762" s="19"/>
      <c r="L3762" s="21">
        <v>2920.7800000000002</v>
      </c>
      <c r="M3762" s="22">
        <v>7.0000000000000007e-002</v>
      </c>
      <c r="N3762" s="21">
        <v>2855.4200000000001</v>
      </c>
      <c r="O3762" s="22">
        <v>7.0000000000000007e-002</v>
      </c>
    </row>
    <row r="3763" ht="51">
      <c r="A3763" t="s">
        <v>3821</v>
      </c>
      <c r="B3763" s="19">
        <v>106154</v>
      </c>
      <c r="C3763" s="20" t="s">
        <v>3842</v>
      </c>
      <c r="D3763" s="19" t="s">
        <v>29</v>
      </c>
      <c r="E3763" s="21" t="str">
        <f t="shared" si="173"/>
        <v>VERIFICAR</v>
      </c>
      <c r="F3763" s="22"/>
      <c r="G3763" s="21" t="str">
        <f t="shared" si="174"/>
        <v>VERIFICAR</v>
      </c>
      <c r="H3763" s="22"/>
      <c r="I3763" s="23" t="str">
        <f t="shared" si="175"/>
        <v xml:space="preserve">COM VALOR</v>
      </c>
      <c r="J3763" s="19"/>
      <c r="L3763" s="21">
        <v>0</v>
      </c>
      <c r="M3763" s="22"/>
      <c r="N3763" s="21">
        <v>0</v>
      </c>
      <c r="O3763" s="22"/>
    </row>
    <row r="3764" ht="51">
      <c r="A3764" t="s">
        <v>3821</v>
      </c>
      <c r="B3764" s="19">
        <v>106153</v>
      </c>
      <c r="C3764" s="20" t="s">
        <v>3843</v>
      </c>
      <c r="D3764" s="19" t="s">
        <v>29</v>
      </c>
      <c r="E3764" s="21" t="str">
        <f t="shared" si="173"/>
        <v>VERIFICAR</v>
      </c>
      <c r="F3764" s="22"/>
      <c r="G3764" s="21" t="str">
        <f t="shared" si="174"/>
        <v>VERIFICAR</v>
      </c>
      <c r="H3764" s="22"/>
      <c r="I3764" s="23" t="str">
        <f t="shared" si="175"/>
        <v xml:space="preserve">COM VALOR</v>
      </c>
      <c r="J3764" s="19"/>
      <c r="L3764" s="21">
        <v>0</v>
      </c>
      <c r="M3764" s="22"/>
      <c r="N3764" s="21">
        <v>0</v>
      </c>
      <c r="O3764" s="22"/>
    </row>
    <row r="3765" ht="51">
      <c r="A3765" t="s">
        <v>3821</v>
      </c>
      <c r="B3765" s="19">
        <v>106152</v>
      </c>
      <c r="C3765" s="20" t="s">
        <v>3844</v>
      </c>
      <c r="D3765" s="19" t="s">
        <v>29</v>
      </c>
      <c r="E3765" s="21" t="str">
        <f t="shared" si="173"/>
        <v>VERIFICAR</v>
      </c>
      <c r="F3765" s="22"/>
      <c r="G3765" s="21" t="str">
        <f t="shared" si="174"/>
        <v>VERIFICAR</v>
      </c>
      <c r="H3765" s="22"/>
      <c r="I3765" s="23" t="str">
        <f t="shared" si="175"/>
        <v xml:space="preserve">COM VALOR</v>
      </c>
      <c r="J3765" s="19"/>
      <c r="L3765" s="21">
        <v>0</v>
      </c>
      <c r="M3765" s="22"/>
      <c r="N3765" s="21">
        <v>0</v>
      </c>
      <c r="O3765" s="22"/>
    </row>
    <row r="3766" ht="51">
      <c r="A3766" t="s">
        <v>3821</v>
      </c>
      <c r="B3766" s="19">
        <v>106157</v>
      </c>
      <c r="C3766" s="20" t="s">
        <v>3845</v>
      </c>
      <c r="D3766" s="19" t="s">
        <v>29</v>
      </c>
      <c r="E3766" s="21" t="str">
        <f t="shared" si="173"/>
        <v>VERIFICAR</v>
      </c>
      <c r="F3766" s="22">
        <v>1.e-002</v>
      </c>
      <c r="G3766" s="21" t="str">
        <f t="shared" si="174"/>
        <v>VERIFICAR</v>
      </c>
      <c r="H3766" s="22">
        <v>1.e-002</v>
      </c>
      <c r="I3766" s="23" t="str">
        <f t="shared" si="175"/>
        <v xml:space="preserve">COM VALOR</v>
      </c>
      <c r="J3766" s="19"/>
      <c r="L3766" s="21">
        <v>0</v>
      </c>
      <c r="M3766" s="22"/>
      <c r="N3766" s="21">
        <v>0</v>
      </c>
      <c r="O3766" s="22"/>
    </row>
    <row r="3767" ht="63.75">
      <c r="A3767" t="s">
        <v>3821</v>
      </c>
      <c r="B3767" s="19">
        <v>106156</v>
      </c>
      <c r="C3767" s="20" t="s">
        <v>3846</v>
      </c>
      <c r="D3767" s="19" t="s">
        <v>29</v>
      </c>
      <c r="E3767" s="21" t="str">
        <f t="shared" si="173"/>
        <v>VERIFICAR</v>
      </c>
      <c r="F3767" s="22">
        <v>1.e-002</v>
      </c>
      <c r="G3767" s="21" t="str">
        <f t="shared" si="174"/>
        <v>VERIFICAR</v>
      </c>
      <c r="H3767" s="22">
        <v>1.e-002</v>
      </c>
      <c r="I3767" s="23" t="str">
        <f t="shared" si="175"/>
        <v xml:space="preserve">COM VALOR</v>
      </c>
      <c r="J3767" s="19"/>
      <c r="L3767" s="21">
        <v>0</v>
      </c>
      <c r="M3767" s="22"/>
      <c r="N3767" s="21">
        <v>0</v>
      </c>
      <c r="O3767" s="22"/>
    </row>
    <row r="3768" ht="51">
      <c r="A3768" t="s">
        <v>3821</v>
      </c>
      <c r="B3768" s="19">
        <v>106155</v>
      </c>
      <c r="C3768" s="20" t="s">
        <v>3847</v>
      </c>
      <c r="D3768" s="19" t="s">
        <v>29</v>
      </c>
      <c r="E3768" s="21" t="str">
        <f t="shared" si="173"/>
        <v>VERIFICAR</v>
      </c>
      <c r="F3768" s="22">
        <v>1.e-002</v>
      </c>
      <c r="G3768" s="21" t="str">
        <f t="shared" si="174"/>
        <v>VERIFICAR</v>
      </c>
      <c r="H3768" s="22">
        <v>1.e-002</v>
      </c>
      <c r="I3768" s="23" t="str">
        <f t="shared" si="175"/>
        <v xml:space="preserve">COM VALOR</v>
      </c>
      <c r="J3768" s="19"/>
      <c r="L3768" s="21">
        <v>0</v>
      </c>
      <c r="M3768" s="22"/>
      <c r="N3768" s="21">
        <v>0</v>
      </c>
      <c r="O3768" s="22"/>
    </row>
    <row r="3769" ht="51">
      <c r="A3769" t="s">
        <v>3821</v>
      </c>
      <c r="B3769" s="19">
        <v>106160</v>
      </c>
      <c r="C3769" s="20" t="s">
        <v>3848</v>
      </c>
      <c r="D3769" s="19" t="s">
        <v>29</v>
      </c>
      <c r="E3769" s="21" t="str">
        <f t="shared" si="173"/>
        <v>VERIFICAR</v>
      </c>
      <c r="F3769" s="22">
        <v>0</v>
      </c>
      <c r="G3769" s="21" t="str">
        <f t="shared" si="174"/>
        <v>VERIFICAR</v>
      </c>
      <c r="H3769" s="22">
        <v>0</v>
      </c>
      <c r="I3769" s="23" t="str">
        <f t="shared" si="175"/>
        <v xml:space="preserve">COM VALOR</v>
      </c>
      <c r="J3769" s="19"/>
      <c r="L3769" s="21">
        <v>0</v>
      </c>
      <c r="M3769" s="22"/>
      <c r="N3769" s="21">
        <v>0</v>
      </c>
      <c r="O3769" s="22"/>
    </row>
    <row r="3770" ht="63.75">
      <c r="A3770" t="s">
        <v>3821</v>
      </c>
      <c r="B3770" s="19">
        <v>106159</v>
      </c>
      <c r="C3770" s="20" t="s">
        <v>3849</v>
      </c>
      <c r="D3770" s="19" t="s">
        <v>29</v>
      </c>
      <c r="E3770" s="21" t="str">
        <f t="shared" si="173"/>
        <v>VERIFICAR</v>
      </c>
      <c r="F3770" s="22">
        <v>0</v>
      </c>
      <c r="G3770" s="21" t="str">
        <f t="shared" si="174"/>
        <v>VERIFICAR</v>
      </c>
      <c r="H3770" s="22">
        <v>0</v>
      </c>
      <c r="I3770" s="23" t="str">
        <f t="shared" si="175"/>
        <v xml:space="preserve">COM VALOR</v>
      </c>
      <c r="J3770" s="19"/>
      <c r="L3770" s="21">
        <v>0</v>
      </c>
      <c r="M3770" s="22"/>
      <c r="N3770" s="21">
        <v>0</v>
      </c>
      <c r="O3770" s="22"/>
    </row>
    <row r="3771" ht="51">
      <c r="A3771" t="s">
        <v>3821</v>
      </c>
      <c r="B3771" s="19">
        <v>106158</v>
      </c>
      <c r="C3771" s="20" t="s">
        <v>3850</v>
      </c>
      <c r="D3771" s="19" t="s">
        <v>29</v>
      </c>
      <c r="E3771" s="21" t="str">
        <f t="shared" si="173"/>
        <v>VERIFICAR</v>
      </c>
      <c r="F3771" s="22">
        <v>0</v>
      </c>
      <c r="G3771" s="21" t="str">
        <f t="shared" si="174"/>
        <v>VERIFICAR</v>
      </c>
      <c r="H3771" s="22">
        <v>0</v>
      </c>
      <c r="I3771" s="23" t="str">
        <f t="shared" si="175"/>
        <v xml:space="preserve">COM VALOR</v>
      </c>
      <c r="J3771" s="19"/>
      <c r="L3771" s="21">
        <v>0</v>
      </c>
      <c r="M3771" s="22"/>
      <c r="N3771" s="21">
        <v>0</v>
      </c>
      <c r="O3771" s="22"/>
    </row>
    <row r="3772" ht="51">
      <c r="A3772" t="s">
        <v>3821</v>
      </c>
      <c r="B3772" s="19">
        <v>106163</v>
      </c>
      <c r="C3772" s="20" t="s">
        <v>3851</v>
      </c>
      <c r="D3772" s="19" t="s">
        <v>29</v>
      </c>
      <c r="E3772" s="21" t="str">
        <f t="shared" si="173"/>
        <v>VERIFICAR</v>
      </c>
      <c r="F3772" s="22">
        <v>1.e-002</v>
      </c>
      <c r="G3772" s="21" t="str">
        <f t="shared" si="174"/>
        <v>VERIFICAR</v>
      </c>
      <c r="H3772" s="22">
        <v>1.e-002</v>
      </c>
      <c r="I3772" s="23" t="str">
        <f t="shared" si="175"/>
        <v xml:space="preserve">COM VALOR</v>
      </c>
      <c r="J3772" s="19"/>
      <c r="L3772" s="21">
        <v>0</v>
      </c>
      <c r="M3772" s="22"/>
      <c r="N3772" s="21">
        <v>0</v>
      </c>
      <c r="O3772" s="22"/>
    </row>
    <row r="3773" ht="63.75">
      <c r="A3773" t="s">
        <v>3821</v>
      </c>
      <c r="B3773" s="19">
        <v>106162</v>
      </c>
      <c r="C3773" s="20" t="s">
        <v>3852</v>
      </c>
      <c r="D3773" s="19" t="s">
        <v>29</v>
      </c>
      <c r="E3773" s="21" t="str">
        <f t="shared" si="173"/>
        <v>VERIFICAR</v>
      </c>
      <c r="F3773" s="22">
        <v>1.e-002</v>
      </c>
      <c r="G3773" s="21" t="str">
        <f t="shared" si="174"/>
        <v>VERIFICAR</v>
      </c>
      <c r="H3773" s="22">
        <v>1.e-002</v>
      </c>
      <c r="I3773" s="23" t="str">
        <f t="shared" si="175"/>
        <v xml:space="preserve">COM VALOR</v>
      </c>
      <c r="J3773" s="19"/>
      <c r="L3773" s="21">
        <v>0</v>
      </c>
      <c r="M3773" s="22"/>
      <c r="N3773" s="21">
        <v>0</v>
      </c>
      <c r="O3773" s="22"/>
    </row>
    <row r="3774" ht="51">
      <c r="A3774" t="s">
        <v>3821</v>
      </c>
      <c r="B3774" s="19">
        <v>106161</v>
      </c>
      <c r="C3774" s="20" t="s">
        <v>3853</v>
      </c>
      <c r="D3774" s="19" t="s">
        <v>29</v>
      </c>
      <c r="E3774" s="21" t="str">
        <f t="shared" si="173"/>
        <v>VERIFICAR</v>
      </c>
      <c r="F3774" s="22">
        <v>0</v>
      </c>
      <c r="G3774" s="21" t="str">
        <f t="shared" si="174"/>
        <v>VERIFICAR</v>
      </c>
      <c r="H3774" s="22">
        <v>0</v>
      </c>
      <c r="I3774" s="23" t="str">
        <f t="shared" si="175"/>
        <v xml:space="preserve">COM VALOR</v>
      </c>
      <c r="J3774" s="19"/>
      <c r="L3774" s="21">
        <v>0</v>
      </c>
      <c r="M3774" s="22"/>
      <c r="N3774" s="21">
        <v>0</v>
      </c>
      <c r="O3774" s="22"/>
    </row>
    <row r="3775" ht="51">
      <c r="A3775" t="s">
        <v>3821</v>
      </c>
      <c r="B3775" s="19">
        <v>100381</v>
      </c>
      <c r="C3775" s="20" t="s">
        <v>3854</v>
      </c>
      <c r="D3775" s="19" t="s">
        <v>29</v>
      </c>
      <c r="E3775" s="21">
        <f t="shared" si="173"/>
        <v>65.219999999999999</v>
      </c>
      <c r="F3775" s="22"/>
      <c r="G3775" s="21">
        <f t="shared" si="174"/>
        <v>63.369999999999997</v>
      </c>
      <c r="H3775" s="22"/>
      <c r="I3775" s="23" t="str">
        <f t="shared" si="175"/>
        <v xml:space="preserve">COM VALOR</v>
      </c>
      <c r="J3775" s="19"/>
      <c r="L3775" s="21">
        <v>65.219999999999999</v>
      </c>
      <c r="M3775" s="22">
        <v>0</v>
      </c>
      <c r="N3775" s="21">
        <v>63.369999999999997</v>
      </c>
      <c r="O3775" s="22">
        <v>0</v>
      </c>
    </row>
    <row r="3776" ht="63.75">
      <c r="A3776" t="s">
        <v>3821</v>
      </c>
      <c r="B3776" s="19">
        <v>100380</v>
      </c>
      <c r="C3776" s="20" t="s">
        <v>3855</v>
      </c>
      <c r="D3776" s="19" t="s">
        <v>29</v>
      </c>
      <c r="E3776" s="21">
        <f t="shared" si="173"/>
        <v>57.229999999999997</v>
      </c>
      <c r="F3776" s="22"/>
      <c r="G3776" s="21">
        <f t="shared" si="174"/>
        <v>55.75</v>
      </c>
      <c r="H3776" s="22"/>
      <c r="I3776" s="23" t="str">
        <f t="shared" si="175"/>
        <v xml:space="preserve">COM VALOR</v>
      </c>
      <c r="J3776" s="19"/>
      <c r="L3776" s="21">
        <v>57.229999999999997</v>
      </c>
      <c r="M3776" s="22">
        <v>0</v>
      </c>
      <c r="N3776" s="21">
        <v>55.75</v>
      </c>
      <c r="O3776" s="22">
        <v>0</v>
      </c>
    </row>
    <row r="3777" ht="63.75">
      <c r="A3777" t="s">
        <v>3821</v>
      </c>
      <c r="B3777" s="19">
        <v>100379</v>
      </c>
      <c r="C3777" s="20" t="s">
        <v>3856</v>
      </c>
      <c r="D3777" s="19" t="s">
        <v>29</v>
      </c>
      <c r="E3777" s="21">
        <f t="shared" si="173"/>
        <v>43.530000000000001</v>
      </c>
      <c r="F3777" s="22"/>
      <c r="G3777" s="21">
        <f t="shared" si="174"/>
        <v>42.590000000000003</v>
      </c>
      <c r="H3777" s="22"/>
      <c r="I3777" s="23" t="str">
        <f t="shared" si="175"/>
        <v xml:space="preserve">COM VALOR</v>
      </c>
      <c r="J3777" s="19"/>
      <c r="L3777" s="21">
        <v>43.530000000000001</v>
      </c>
      <c r="M3777" s="22">
        <v>0</v>
      </c>
      <c r="N3777" s="21">
        <v>42.590000000000003</v>
      </c>
      <c r="O3777" s="22">
        <v>0</v>
      </c>
    </row>
    <row r="3778" ht="51">
      <c r="A3778" t="s">
        <v>3821</v>
      </c>
      <c r="B3778" s="19">
        <v>100384</v>
      </c>
      <c r="C3778" s="20" t="s">
        <v>3857</v>
      </c>
      <c r="D3778" s="19" t="s">
        <v>29</v>
      </c>
      <c r="E3778" s="21">
        <f t="shared" si="173"/>
        <v>31.010000000000002</v>
      </c>
      <c r="F3778" s="22"/>
      <c r="G3778" s="21">
        <f t="shared" si="174"/>
        <v>30.48</v>
      </c>
      <c r="H3778" s="22"/>
      <c r="I3778" s="23" t="str">
        <f t="shared" si="175"/>
        <v xml:space="preserve">COM VALOR</v>
      </c>
      <c r="J3778" s="19"/>
      <c r="L3778" s="21">
        <v>31.010000000000002</v>
      </c>
      <c r="M3778" s="22">
        <v>0</v>
      </c>
      <c r="N3778" s="21">
        <v>30.48</v>
      </c>
      <c r="O3778" s="22">
        <v>0</v>
      </c>
    </row>
    <row r="3779" ht="63.75">
      <c r="A3779" t="s">
        <v>3821</v>
      </c>
      <c r="B3779" s="19">
        <v>100383</v>
      </c>
      <c r="C3779" s="20" t="s">
        <v>3858</v>
      </c>
      <c r="D3779" s="19" t="s">
        <v>29</v>
      </c>
      <c r="E3779" s="21">
        <f t="shared" si="173"/>
        <v>28.84</v>
      </c>
      <c r="F3779" s="22"/>
      <c r="G3779" s="21">
        <f t="shared" si="174"/>
        <v>28.41</v>
      </c>
      <c r="H3779" s="22"/>
      <c r="I3779" s="23" t="str">
        <f t="shared" si="175"/>
        <v xml:space="preserve">COM VALOR</v>
      </c>
      <c r="J3779" s="19"/>
      <c r="L3779" s="21">
        <v>28.84</v>
      </c>
      <c r="M3779" s="22">
        <v>0</v>
      </c>
      <c r="N3779" s="21">
        <v>28.41</v>
      </c>
      <c r="O3779" s="22">
        <v>0</v>
      </c>
    </row>
    <row r="3780" ht="63.75">
      <c r="A3780" t="s">
        <v>3821</v>
      </c>
      <c r="B3780" s="19">
        <v>100382</v>
      </c>
      <c r="C3780" s="20" t="s">
        <v>3859</v>
      </c>
      <c r="D3780" s="19" t="s">
        <v>29</v>
      </c>
      <c r="E3780" s="21">
        <f t="shared" si="173"/>
        <v>26.940000000000001</v>
      </c>
      <c r="F3780" s="22"/>
      <c r="G3780" s="21">
        <f t="shared" si="174"/>
        <v>26.57</v>
      </c>
      <c r="H3780" s="22"/>
      <c r="I3780" s="23" t="str">
        <f t="shared" si="175"/>
        <v xml:space="preserve">COM VALOR</v>
      </c>
      <c r="J3780" s="19"/>
      <c r="L3780" s="21">
        <v>26.940000000000001</v>
      </c>
      <c r="M3780" s="22">
        <v>0</v>
      </c>
      <c r="N3780" s="21">
        <v>26.57</v>
      </c>
      <c r="O3780" s="22">
        <v>0</v>
      </c>
    </row>
    <row r="3781" ht="51">
      <c r="A3781" t="s">
        <v>3821</v>
      </c>
      <c r="B3781" s="19">
        <v>100387</v>
      </c>
      <c r="C3781" s="20" t="s">
        <v>3860</v>
      </c>
      <c r="D3781" s="19" t="s">
        <v>29</v>
      </c>
      <c r="E3781" s="21">
        <f t="shared" si="173"/>
        <v>62.039999999999999</v>
      </c>
      <c r="F3781" s="22"/>
      <c r="G3781" s="21">
        <f t="shared" si="174"/>
        <v>60.670000000000002</v>
      </c>
      <c r="H3781" s="22"/>
      <c r="I3781" s="23" t="str">
        <f t="shared" si="175"/>
        <v xml:space="preserve">COM VALOR</v>
      </c>
      <c r="J3781" s="19"/>
      <c r="L3781" s="21">
        <v>62.039999999999999</v>
      </c>
      <c r="M3781" s="22">
        <v>0</v>
      </c>
      <c r="N3781" s="21">
        <v>60.670000000000002</v>
      </c>
      <c r="O3781" s="22">
        <v>0</v>
      </c>
    </row>
    <row r="3782" ht="51">
      <c r="A3782" t="s">
        <v>3821</v>
      </c>
      <c r="B3782" s="19">
        <v>100386</v>
      </c>
      <c r="C3782" s="20" t="s">
        <v>3861</v>
      </c>
      <c r="D3782" s="19" t="s">
        <v>29</v>
      </c>
      <c r="E3782" s="21">
        <f t="shared" si="173"/>
        <v>49.799999999999997</v>
      </c>
      <c r="F3782" s="22"/>
      <c r="G3782" s="21">
        <f t="shared" si="174"/>
        <v>48.740000000000002</v>
      </c>
      <c r="H3782" s="22"/>
      <c r="I3782" s="23" t="str">
        <f t="shared" si="175"/>
        <v xml:space="preserve">COM VALOR</v>
      </c>
      <c r="J3782" s="19"/>
      <c r="L3782" s="21">
        <v>49.799999999999997</v>
      </c>
      <c r="M3782" s="22">
        <v>0</v>
      </c>
      <c r="N3782" s="21">
        <v>48.740000000000002</v>
      </c>
      <c r="O3782" s="22">
        <v>0</v>
      </c>
    </row>
    <row r="3783" ht="63.75">
      <c r="A3783" t="s">
        <v>3821</v>
      </c>
      <c r="B3783" s="19">
        <v>100385</v>
      </c>
      <c r="C3783" s="20" t="s">
        <v>3862</v>
      </c>
      <c r="D3783" s="19" t="s">
        <v>29</v>
      </c>
      <c r="E3783" s="21">
        <f t="shared" si="173"/>
        <v>39.060000000000002</v>
      </c>
      <c r="F3783" s="22">
        <v>0</v>
      </c>
      <c r="G3783" s="21">
        <f t="shared" si="174"/>
        <v>38.350000000000001</v>
      </c>
      <c r="H3783" s="22">
        <v>0</v>
      </c>
      <c r="I3783" s="23" t="str">
        <f t="shared" si="175"/>
        <v xml:space="preserve">COM VALOR</v>
      </c>
      <c r="J3783" s="19"/>
      <c r="L3783" s="21">
        <v>39.060000000000002</v>
      </c>
      <c r="M3783" s="22">
        <v>0</v>
      </c>
      <c r="N3783" s="21">
        <v>38.350000000000001</v>
      </c>
      <c r="O3783" s="22">
        <v>0</v>
      </c>
    </row>
    <row r="3784" ht="38.25">
      <c r="A3784" t="s">
        <v>3821</v>
      </c>
      <c r="B3784" s="19">
        <v>100377</v>
      </c>
      <c r="C3784" s="20" t="s">
        <v>3863</v>
      </c>
      <c r="D3784" s="19" t="s">
        <v>302</v>
      </c>
      <c r="E3784" s="21">
        <f t="shared" si="173"/>
        <v>13.789999999999999</v>
      </c>
      <c r="F3784" s="22"/>
      <c r="G3784" s="21">
        <f t="shared" si="174"/>
        <v>13.58</v>
      </c>
      <c r="H3784" s="22"/>
      <c r="I3784" s="23" t="str">
        <f t="shared" si="175"/>
        <v xml:space="preserve">COM VALOR</v>
      </c>
      <c r="J3784" s="19"/>
      <c r="L3784" s="21">
        <v>13.789999999999999</v>
      </c>
      <c r="M3784" s="22">
        <v>0.68999999999999995</v>
      </c>
      <c r="N3784" s="21">
        <v>13.58</v>
      </c>
      <c r="O3784" s="22">
        <v>0.69999999999999996</v>
      </c>
    </row>
    <row r="3785" ht="38.25">
      <c r="A3785" t="s">
        <v>3821</v>
      </c>
      <c r="B3785" s="19">
        <v>100378</v>
      </c>
      <c r="C3785" s="20" t="s">
        <v>3864</v>
      </c>
      <c r="D3785" s="19" t="s">
        <v>302</v>
      </c>
      <c r="E3785" s="21">
        <f t="shared" si="173"/>
        <v>12.42</v>
      </c>
      <c r="F3785" s="22"/>
      <c r="G3785" s="21">
        <f t="shared" si="174"/>
        <v>12.24</v>
      </c>
      <c r="H3785" s="22"/>
      <c r="I3785" s="23" t="str">
        <f t="shared" si="175"/>
        <v xml:space="preserve">COM VALOR</v>
      </c>
      <c r="J3785" s="19"/>
      <c r="L3785" s="21">
        <v>12.42</v>
      </c>
      <c r="M3785" s="22">
        <v>0.73999999999999999</v>
      </c>
      <c r="N3785" s="21">
        <v>12.24</v>
      </c>
      <c r="O3785" s="22">
        <v>0.75249999999999995</v>
      </c>
    </row>
    <row r="3786" ht="38.25">
      <c r="A3786" t="s">
        <v>3821</v>
      </c>
      <c r="B3786" s="19">
        <v>92596</v>
      </c>
      <c r="C3786" s="20" t="s">
        <v>3865</v>
      </c>
      <c r="D3786" s="19" t="s">
        <v>31</v>
      </c>
      <c r="E3786" s="21">
        <f t="shared" si="173"/>
        <v>2130.2399999999998</v>
      </c>
      <c r="F3786" s="22"/>
      <c r="G3786" s="21">
        <f t="shared" si="174"/>
        <v>2096.46</v>
      </c>
      <c r="H3786" s="22"/>
      <c r="I3786" s="23" t="str">
        <f t="shared" si="175"/>
        <v xml:space="preserve">COM VALOR</v>
      </c>
      <c r="J3786" s="19"/>
      <c r="L3786" s="21">
        <v>2130.2399999999998</v>
      </c>
      <c r="M3786" s="22">
        <v>0.70999999999999996</v>
      </c>
      <c r="N3786" s="21">
        <v>2096.46</v>
      </c>
      <c r="O3786" s="22">
        <v>0.71999999999999997</v>
      </c>
    </row>
    <row r="3787" ht="38.25">
      <c r="A3787" t="s">
        <v>3821</v>
      </c>
      <c r="B3787" s="19">
        <v>92616</v>
      </c>
      <c r="C3787" s="20" t="s">
        <v>3866</v>
      </c>
      <c r="D3787" s="19" t="s">
        <v>31</v>
      </c>
      <c r="E3787" s="21">
        <f t="shared" ref="E3787:E3850" si="176">IF(L3787=0,"VERIFICAR",L3787)</f>
        <v>1965.97</v>
      </c>
      <c r="F3787" s="22"/>
      <c r="G3787" s="21">
        <f t="shared" ref="G3787:G3850" si="177">IF(N3787=0,"VERIFICAR",N3787)</f>
        <v>1932.1900000000001</v>
      </c>
      <c r="H3787" s="22"/>
      <c r="I3787" s="23" t="str">
        <f t="shared" ref="I3787:I3850" si="178">IF(OR(E3787=0,G3787=0),"SEM VALOR","COM VALOR")</f>
        <v xml:space="preserve">COM VALOR</v>
      </c>
      <c r="J3787" s="19"/>
      <c r="L3787" s="21">
        <v>1965.97</v>
      </c>
      <c r="M3787" s="22">
        <v>0.68999999999999995</v>
      </c>
      <c r="N3787" s="21">
        <v>1932.1900000000001</v>
      </c>
      <c r="O3787" s="22">
        <v>0.69999999999999996</v>
      </c>
    </row>
    <row r="3788" ht="38.25">
      <c r="A3788" t="s">
        <v>3821</v>
      </c>
      <c r="B3788" s="19">
        <v>92598</v>
      </c>
      <c r="C3788" s="20" t="s">
        <v>3867</v>
      </c>
      <c r="D3788" s="19" t="s">
        <v>31</v>
      </c>
      <c r="E3788" s="21">
        <f t="shared" si="176"/>
        <v>2272.3099999999999</v>
      </c>
      <c r="F3788" s="22"/>
      <c r="G3788" s="21">
        <f t="shared" si="177"/>
        <v>2238.5300000000002</v>
      </c>
      <c r="H3788" s="22"/>
      <c r="I3788" s="23" t="str">
        <f t="shared" si="178"/>
        <v xml:space="preserve">COM VALOR</v>
      </c>
      <c r="J3788" s="19"/>
      <c r="L3788" s="21">
        <v>2272.3099999999999</v>
      </c>
      <c r="M3788" s="22">
        <v>0.72999999999999998</v>
      </c>
      <c r="N3788" s="21">
        <v>2238.5300000000002</v>
      </c>
      <c r="O3788" s="22">
        <v>0.73999999999999999</v>
      </c>
    </row>
    <row r="3789" ht="38.25">
      <c r="A3789" t="s">
        <v>3821</v>
      </c>
      <c r="B3789" s="19">
        <v>92618</v>
      </c>
      <c r="C3789" s="20" t="s">
        <v>3868</v>
      </c>
      <c r="D3789" s="19" t="s">
        <v>31</v>
      </c>
      <c r="E3789" s="21">
        <f t="shared" si="176"/>
        <v>2145.4099999999999</v>
      </c>
      <c r="F3789" s="22"/>
      <c r="G3789" s="21">
        <f t="shared" si="177"/>
        <v>2111.6300000000001</v>
      </c>
      <c r="H3789" s="22"/>
      <c r="I3789" s="23" t="str">
        <f t="shared" si="178"/>
        <v xml:space="preserve">COM VALOR</v>
      </c>
      <c r="J3789" s="19"/>
      <c r="L3789" s="21">
        <v>2145.4099999999999</v>
      </c>
      <c r="M3789" s="22">
        <v>0.70999999999999996</v>
      </c>
      <c r="N3789" s="21">
        <v>2111.6300000000001</v>
      </c>
      <c r="O3789" s="22">
        <v>0.71999999999999997</v>
      </c>
    </row>
    <row r="3790" ht="38.25">
      <c r="A3790" t="s">
        <v>3821</v>
      </c>
      <c r="B3790" s="19">
        <v>92600</v>
      </c>
      <c r="C3790" s="20" t="s">
        <v>3869</v>
      </c>
      <c r="D3790" s="19" t="s">
        <v>31</v>
      </c>
      <c r="E3790" s="21">
        <f t="shared" si="176"/>
        <v>2416.9400000000001</v>
      </c>
      <c r="F3790" s="22"/>
      <c r="G3790" s="21">
        <f t="shared" si="177"/>
        <v>2383.1599999999999</v>
      </c>
      <c r="H3790" s="22"/>
      <c r="I3790" s="23" t="str">
        <f t="shared" si="178"/>
        <v xml:space="preserve">COM VALOR</v>
      </c>
      <c r="J3790" s="19"/>
      <c r="L3790" s="21">
        <v>2416.9400000000001</v>
      </c>
      <c r="M3790" s="22">
        <v>0.73999999999999999</v>
      </c>
      <c r="N3790" s="21">
        <v>2383.1599999999999</v>
      </c>
      <c r="O3790" s="22">
        <v>0.75</v>
      </c>
    </row>
    <row r="3791" ht="38.25">
      <c r="A3791" t="s">
        <v>3821</v>
      </c>
      <c r="B3791" s="19">
        <v>92620</v>
      </c>
      <c r="C3791" s="20" t="s">
        <v>3870</v>
      </c>
      <c r="D3791" s="19" t="s">
        <v>31</v>
      </c>
      <c r="E3791" s="21">
        <f t="shared" si="176"/>
        <v>2225.5700000000002</v>
      </c>
      <c r="F3791" s="22"/>
      <c r="G3791" s="21">
        <f t="shared" si="177"/>
        <v>2191.79</v>
      </c>
      <c r="H3791" s="22"/>
      <c r="I3791" s="23" t="str">
        <f t="shared" si="178"/>
        <v xml:space="preserve">COM VALOR</v>
      </c>
      <c r="J3791" s="19"/>
      <c r="L3791" s="21">
        <v>2225.5700000000002</v>
      </c>
      <c r="M3791" s="22">
        <v>0.71999999999999997</v>
      </c>
      <c r="N3791" s="21">
        <v>2191.79</v>
      </c>
      <c r="O3791" s="22">
        <v>0.72999999999999998</v>
      </c>
    </row>
    <row r="3792" ht="38.25">
      <c r="A3792" t="s">
        <v>3821</v>
      </c>
      <c r="B3792" s="19">
        <v>92582</v>
      </c>
      <c r="C3792" s="20" t="s">
        <v>3871</v>
      </c>
      <c r="D3792" s="19" t="s">
        <v>31</v>
      </c>
      <c r="E3792" s="21">
        <f t="shared" si="176"/>
        <v>669.64999999999998</v>
      </c>
      <c r="F3792" s="22"/>
      <c r="G3792" s="21">
        <f t="shared" si="177"/>
        <v>657.13999999999999</v>
      </c>
      <c r="H3792" s="22"/>
      <c r="I3792" s="23" t="str">
        <f t="shared" si="178"/>
        <v xml:space="preserve">COM VALOR</v>
      </c>
      <c r="J3792" s="19"/>
      <c r="L3792" s="21">
        <v>669.64999999999998</v>
      </c>
      <c r="M3792" s="22">
        <v>0.62</v>
      </c>
      <c r="N3792" s="21">
        <v>657.13999999999999</v>
      </c>
      <c r="O3792" s="22">
        <v>0.63</v>
      </c>
    </row>
    <row r="3793" ht="38.25">
      <c r="A3793" t="s">
        <v>3821</v>
      </c>
      <c r="B3793" s="19">
        <v>92602</v>
      </c>
      <c r="C3793" s="20" t="s">
        <v>3872</v>
      </c>
      <c r="D3793" s="19" t="s">
        <v>31</v>
      </c>
      <c r="E3793" s="21">
        <f t="shared" si="176"/>
        <v>648.05999999999995</v>
      </c>
      <c r="F3793" s="22"/>
      <c r="G3793" s="21">
        <f t="shared" si="177"/>
        <v>635.54999999999995</v>
      </c>
      <c r="H3793" s="22"/>
      <c r="I3793" s="23" t="str">
        <f t="shared" si="178"/>
        <v xml:space="preserve">COM VALOR</v>
      </c>
      <c r="J3793" s="19"/>
      <c r="L3793" s="21">
        <v>648.05999999999995</v>
      </c>
      <c r="M3793" s="22">
        <v>0.60999999999999999</v>
      </c>
      <c r="N3793" s="21">
        <v>635.54999999999995</v>
      </c>
      <c r="O3793" s="22">
        <v>0.62</v>
      </c>
    </row>
    <row r="3794" ht="38.25">
      <c r="A3794" t="s">
        <v>3821</v>
      </c>
      <c r="B3794" s="19">
        <v>92584</v>
      </c>
      <c r="C3794" s="20" t="s">
        <v>3873</v>
      </c>
      <c r="D3794" s="19" t="s">
        <v>31</v>
      </c>
      <c r="E3794" s="21">
        <f t="shared" si="176"/>
        <v>792.88</v>
      </c>
      <c r="F3794" s="22"/>
      <c r="G3794" s="21">
        <f t="shared" si="177"/>
        <v>780.37</v>
      </c>
      <c r="H3794" s="22"/>
      <c r="I3794" s="23" t="str">
        <f t="shared" si="178"/>
        <v xml:space="preserve">COM VALOR</v>
      </c>
      <c r="J3794" s="19"/>
      <c r="L3794" s="21">
        <v>792.88</v>
      </c>
      <c r="M3794" s="22">
        <v>0.68000000000000005</v>
      </c>
      <c r="N3794" s="21">
        <v>780.37</v>
      </c>
      <c r="O3794" s="22">
        <v>0.68999999999999995</v>
      </c>
    </row>
    <row r="3795" ht="38.25">
      <c r="A3795" t="s">
        <v>3821</v>
      </c>
      <c r="B3795" s="19">
        <v>92604</v>
      </c>
      <c r="C3795" s="20" t="s">
        <v>3874</v>
      </c>
      <c r="D3795" s="19" t="s">
        <v>31</v>
      </c>
      <c r="E3795" s="21">
        <f t="shared" si="176"/>
        <v>762.66999999999996</v>
      </c>
      <c r="F3795" s="22"/>
      <c r="G3795" s="21">
        <f t="shared" si="177"/>
        <v>750.15999999999997</v>
      </c>
      <c r="H3795" s="22"/>
      <c r="I3795" s="23" t="str">
        <f t="shared" si="178"/>
        <v xml:space="preserve">COM VALOR</v>
      </c>
      <c r="J3795" s="19"/>
      <c r="L3795" s="21">
        <v>762.66999999999996</v>
      </c>
      <c r="M3795" s="22">
        <v>0.67000000000000004</v>
      </c>
      <c r="N3795" s="21">
        <v>750.15999999999997</v>
      </c>
      <c r="O3795" s="22">
        <v>0.68000000000000005</v>
      </c>
    </row>
    <row r="3796" ht="38.25">
      <c r="A3796" t="s">
        <v>3821</v>
      </c>
      <c r="B3796" s="19">
        <v>92586</v>
      </c>
      <c r="C3796" s="20" t="s">
        <v>3875</v>
      </c>
      <c r="D3796" s="19" t="s">
        <v>31</v>
      </c>
      <c r="E3796" s="21">
        <f t="shared" si="176"/>
        <v>912.60000000000002</v>
      </c>
      <c r="F3796" s="22"/>
      <c r="G3796" s="21">
        <f t="shared" si="177"/>
        <v>900.09000000000003</v>
      </c>
      <c r="H3796" s="22"/>
      <c r="I3796" s="23" t="str">
        <f t="shared" si="178"/>
        <v xml:space="preserve">COM VALOR</v>
      </c>
      <c r="J3796" s="19"/>
      <c r="L3796" s="21">
        <v>912.60000000000002</v>
      </c>
      <c r="M3796" s="22">
        <v>0.71999999999999997</v>
      </c>
      <c r="N3796" s="21">
        <v>900.09000000000003</v>
      </c>
      <c r="O3796" s="22">
        <v>0.72999999999999998</v>
      </c>
    </row>
    <row r="3797" ht="38.25">
      <c r="A3797" t="s">
        <v>3821</v>
      </c>
      <c r="B3797" s="19">
        <v>92606</v>
      </c>
      <c r="C3797" s="20" t="s">
        <v>3876</v>
      </c>
      <c r="D3797" s="19" t="s">
        <v>31</v>
      </c>
      <c r="E3797" s="21">
        <f t="shared" si="176"/>
        <v>877.89999999999998</v>
      </c>
      <c r="F3797" s="22"/>
      <c r="G3797" s="21">
        <f t="shared" si="177"/>
        <v>865.38999999999999</v>
      </c>
      <c r="H3797" s="22"/>
      <c r="I3797" s="23" t="str">
        <f t="shared" si="178"/>
        <v xml:space="preserve">COM VALOR</v>
      </c>
      <c r="J3797" s="19"/>
      <c r="L3797" s="21">
        <v>877.89999999999998</v>
      </c>
      <c r="M3797" s="22">
        <v>0.70999999999999996</v>
      </c>
      <c r="N3797" s="21">
        <v>865.38999999999999</v>
      </c>
      <c r="O3797" s="22">
        <v>0.71999999999999997</v>
      </c>
    </row>
    <row r="3798" ht="38.25">
      <c r="A3798" t="s">
        <v>3821</v>
      </c>
      <c r="B3798" s="19">
        <v>92588</v>
      </c>
      <c r="C3798" s="20" t="s">
        <v>3877</v>
      </c>
      <c r="D3798" s="19" t="s">
        <v>31</v>
      </c>
      <c r="E3798" s="21">
        <f t="shared" si="176"/>
        <v>1225.4200000000001</v>
      </c>
      <c r="F3798" s="22"/>
      <c r="G3798" s="21">
        <f t="shared" si="177"/>
        <v>1206.1400000000001</v>
      </c>
      <c r="H3798" s="22"/>
      <c r="I3798" s="23" t="str">
        <f t="shared" si="178"/>
        <v xml:space="preserve">COM VALOR</v>
      </c>
      <c r="J3798" s="19"/>
      <c r="L3798" s="21">
        <v>1225.4200000000001</v>
      </c>
      <c r="M3798" s="22">
        <v>0.69999999999999996</v>
      </c>
      <c r="N3798" s="21">
        <v>1206.1400000000001</v>
      </c>
      <c r="O3798" s="22">
        <v>0.70750000000000002</v>
      </c>
    </row>
    <row r="3799" ht="38.25">
      <c r="A3799" t="s">
        <v>3821</v>
      </c>
      <c r="B3799" s="19">
        <v>92608</v>
      </c>
      <c r="C3799" s="20" t="s">
        <v>3878</v>
      </c>
      <c r="D3799" s="19" t="s">
        <v>31</v>
      </c>
      <c r="E3799" s="21">
        <f t="shared" si="176"/>
        <v>1161.3099999999999</v>
      </c>
      <c r="F3799" s="22"/>
      <c r="G3799" s="21">
        <f t="shared" si="177"/>
        <v>1142.03</v>
      </c>
      <c r="H3799" s="22"/>
      <c r="I3799" s="23" t="str">
        <f t="shared" si="178"/>
        <v xml:space="preserve">COM VALOR</v>
      </c>
      <c r="J3799" s="19"/>
      <c r="L3799" s="21">
        <v>1161.3099999999999</v>
      </c>
      <c r="M3799" s="22">
        <v>0.68000000000000005</v>
      </c>
      <c r="N3799" s="21">
        <v>1142.03</v>
      </c>
      <c r="O3799" s="22">
        <v>0.68999999999999995</v>
      </c>
    </row>
    <row r="3800" ht="38.25">
      <c r="A3800" t="s">
        <v>3821</v>
      </c>
      <c r="B3800" s="19">
        <v>92590</v>
      </c>
      <c r="C3800" s="20" t="s">
        <v>3879</v>
      </c>
      <c r="D3800" s="19" t="s">
        <v>31</v>
      </c>
      <c r="E3800" s="21">
        <f t="shared" si="176"/>
        <v>1356.96</v>
      </c>
      <c r="F3800" s="22"/>
      <c r="G3800" s="21">
        <f t="shared" si="177"/>
        <v>1337.6800000000001</v>
      </c>
      <c r="H3800" s="22"/>
      <c r="I3800" s="23" t="str">
        <f t="shared" si="178"/>
        <v xml:space="preserve">COM VALOR</v>
      </c>
      <c r="J3800" s="19"/>
      <c r="L3800" s="21">
        <v>1356.96</v>
      </c>
      <c r="M3800" s="22">
        <v>0.72999999999999998</v>
      </c>
      <c r="N3800" s="21">
        <v>1337.6800000000001</v>
      </c>
      <c r="O3800" s="22">
        <v>0.73999999999999999</v>
      </c>
    </row>
    <row r="3801" ht="38.25">
      <c r="A3801" t="s">
        <v>3821</v>
      </c>
      <c r="B3801" s="19">
        <v>92610</v>
      </c>
      <c r="C3801" s="20" t="s">
        <v>3880</v>
      </c>
      <c r="D3801" s="19" t="s">
        <v>31</v>
      </c>
      <c r="E3801" s="21">
        <f t="shared" si="176"/>
        <v>1284.23</v>
      </c>
      <c r="F3801" s="22"/>
      <c r="G3801" s="21">
        <f t="shared" si="177"/>
        <v>1264.95</v>
      </c>
      <c r="H3801" s="22"/>
      <c r="I3801" s="23" t="str">
        <f t="shared" si="178"/>
        <v xml:space="preserve">COM VALOR</v>
      </c>
      <c r="J3801" s="19"/>
      <c r="L3801" s="21">
        <v>1284.23</v>
      </c>
      <c r="M3801" s="22">
        <v>0.70999999999999996</v>
      </c>
      <c r="N3801" s="21">
        <v>1264.95</v>
      </c>
      <c r="O3801" s="22">
        <v>0.71999999999999997</v>
      </c>
    </row>
    <row r="3802" ht="38.25">
      <c r="A3802" t="s">
        <v>3821</v>
      </c>
      <c r="B3802" s="19">
        <v>92592</v>
      </c>
      <c r="C3802" s="20" t="s">
        <v>3881</v>
      </c>
      <c r="D3802" s="19" t="s">
        <v>31</v>
      </c>
      <c r="E3802" s="21">
        <f t="shared" si="176"/>
        <v>1571.6800000000001</v>
      </c>
      <c r="F3802" s="22"/>
      <c r="G3802" s="21">
        <f t="shared" si="177"/>
        <v>1547.51</v>
      </c>
      <c r="H3802" s="22"/>
      <c r="I3802" s="23" t="str">
        <f t="shared" si="178"/>
        <v xml:space="preserve">COM VALOR</v>
      </c>
      <c r="J3802" s="19"/>
      <c r="L3802" s="21">
        <v>1571.6800000000001</v>
      </c>
      <c r="M3802" s="22">
        <v>0.70999999999999996</v>
      </c>
      <c r="N3802" s="21">
        <v>1547.51</v>
      </c>
      <c r="O3802" s="22">
        <v>0.71999999999999997</v>
      </c>
    </row>
    <row r="3803" ht="38.25">
      <c r="A3803" t="s">
        <v>3821</v>
      </c>
      <c r="B3803" s="19">
        <v>92612</v>
      </c>
      <c r="C3803" s="20" t="s">
        <v>3882</v>
      </c>
      <c r="D3803" s="19" t="s">
        <v>31</v>
      </c>
      <c r="E3803" s="21">
        <f t="shared" si="176"/>
        <v>1517.0999999999999</v>
      </c>
      <c r="F3803" s="22">
        <v>0</v>
      </c>
      <c r="G3803" s="21">
        <f t="shared" si="177"/>
        <v>1491.21</v>
      </c>
      <c r="H3803" s="22">
        <v>0</v>
      </c>
      <c r="I3803" s="23" t="str">
        <f t="shared" si="178"/>
        <v xml:space="preserve">COM VALOR</v>
      </c>
      <c r="J3803" s="19"/>
      <c r="L3803" s="21">
        <v>1517.0999999999999</v>
      </c>
      <c r="M3803" s="22">
        <v>0.68000000000000005</v>
      </c>
      <c r="N3803" s="21">
        <v>1491.21</v>
      </c>
      <c r="O3803" s="22">
        <v>0.68999999999999995</v>
      </c>
    </row>
    <row r="3804" ht="38.25">
      <c r="A3804" t="s">
        <v>3821</v>
      </c>
      <c r="B3804" s="19">
        <v>92594</v>
      </c>
      <c r="C3804" s="20" t="s">
        <v>3883</v>
      </c>
      <c r="D3804" s="19" t="s">
        <v>31</v>
      </c>
      <c r="E3804" s="21">
        <f t="shared" si="176"/>
        <v>1833.01</v>
      </c>
      <c r="F3804" s="22">
        <v>0</v>
      </c>
      <c r="G3804" s="21">
        <f t="shared" si="177"/>
        <v>1807.1199999999999</v>
      </c>
      <c r="H3804" s="22">
        <v>0</v>
      </c>
      <c r="I3804" s="23" t="str">
        <f t="shared" si="178"/>
        <v xml:space="preserve">COM VALOR</v>
      </c>
      <c r="J3804" s="19"/>
      <c r="L3804" s="21">
        <v>1833.01</v>
      </c>
      <c r="M3804" s="22">
        <v>0.72999999999999998</v>
      </c>
      <c r="N3804" s="21">
        <v>1807.1199999999999</v>
      </c>
      <c r="O3804" s="22">
        <v>0.73999999999999999</v>
      </c>
    </row>
    <row r="3805" ht="38.25">
      <c r="A3805" t="s">
        <v>3821</v>
      </c>
      <c r="B3805" s="19">
        <v>92614</v>
      </c>
      <c r="C3805" s="20" t="s">
        <v>3884</v>
      </c>
      <c r="D3805" s="19" t="s">
        <v>31</v>
      </c>
      <c r="E3805" s="21">
        <f t="shared" si="176"/>
        <v>1698.26</v>
      </c>
      <c r="F3805" s="22">
        <v>0</v>
      </c>
      <c r="G3805" s="21">
        <f t="shared" si="177"/>
        <v>1672.3699999999999</v>
      </c>
      <c r="H3805" s="22">
        <v>0</v>
      </c>
      <c r="I3805" s="23" t="str">
        <f t="shared" si="178"/>
        <v xml:space="preserve">COM VALOR</v>
      </c>
      <c r="J3805" s="19"/>
      <c r="L3805" s="21">
        <v>1698.26</v>
      </c>
      <c r="M3805" s="22">
        <v>0.70999999999999996</v>
      </c>
      <c r="N3805" s="21">
        <v>1672.3699999999999</v>
      </c>
      <c r="O3805" s="22">
        <v>0.71999999999999997</v>
      </c>
    </row>
    <row r="3806" ht="38.25">
      <c r="A3806" t="s">
        <v>3821</v>
      </c>
      <c r="B3806" s="19">
        <v>92552</v>
      </c>
      <c r="C3806" s="20" t="s">
        <v>3885</v>
      </c>
      <c r="D3806" s="19" t="s">
        <v>31</v>
      </c>
      <c r="E3806" s="21">
        <f t="shared" si="176"/>
        <v>2823.1599999999999</v>
      </c>
      <c r="F3806" s="22">
        <v>0</v>
      </c>
      <c r="G3806" s="21">
        <f t="shared" si="177"/>
        <v>2758.8299999999999</v>
      </c>
      <c r="H3806" s="22">
        <v>0</v>
      </c>
      <c r="I3806" s="23" t="str">
        <f t="shared" si="178"/>
        <v xml:space="preserve">COM VALOR</v>
      </c>
      <c r="J3806" s="19"/>
      <c r="L3806" s="21">
        <v>2823.1599999999999</v>
      </c>
      <c r="M3806" s="22">
        <v>4.0000000000000001e-002</v>
      </c>
      <c r="N3806" s="21">
        <v>2758.8299999999999</v>
      </c>
      <c r="O3806" s="22">
        <v>4.0000000000000001e-002</v>
      </c>
    </row>
    <row r="3807" ht="51">
      <c r="A3807" t="s">
        <v>3821</v>
      </c>
      <c r="B3807" s="19">
        <v>92562</v>
      </c>
      <c r="C3807" s="20" t="s">
        <v>3886</v>
      </c>
      <c r="D3807" s="19" t="s">
        <v>31</v>
      </c>
      <c r="E3807" s="21">
        <f t="shared" si="176"/>
        <v>2746.98</v>
      </c>
      <c r="F3807" s="22">
        <v>0</v>
      </c>
      <c r="G3807" s="21">
        <f t="shared" si="177"/>
        <v>2682.6500000000001</v>
      </c>
      <c r="H3807" s="22">
        <v>0</v>
      </c>
      <c r="I3807" s="23" t="str">
        <f t="shared" si="178"/>
        <v xml:space="preserve">COM VALOR</v>
      </c>
      <c r="J3807" s="19"/>
      <c r="L3807" s="21">
        <v>2746.98</v>
      </c>
      <c r="M3807" s="22">
        <v>4.0000000000000001e-002</v>
      </c>
      <c r="N3807" s="21">
        <v>2682.6500000000001</v>
      </c>
      <c r="O3807" s="22">
        <v>4.0000000000000001e-002</v>
      </c>
    </row>
    <row r="3808" ht="38.25">
      <c r="A3808" t="s">
        <v>3821</v>
      </c>
      <c r="B3808" s="19">
        <v>92553</v>
      </c>
      <c r="C3808" s="20" t="s">
        <v>3887</v>
      </c>
      <c r="D3808" s="19" t="s">
        <v>31</v>
      </c>
      <c r="E3808" s="21">
        <f t="shared" si="176"/>
        <v>3260.3099999999999</v>
      </c>
      <c r="F3808" s="22">
        <v>0</v>
      </c>
      <c r="G3808" s="21">
        <f t="shared" si="177"/>
        <v>3179.9099999999999</v>
      </c>
      <c r="H3808" s="22">
        <v>0</v>
      </c>
      <c r="I3808" s="23" t="str">
        <f t="shared" si="178"/>
        <v xml:space="preserve">COM VALOR</v>
      </c>
      <c r="J3808" s="19"/>
      <c r="L3808" s="21">
        <v>3260.3099999999999</v>
      </c>
      <c r="M3808" s="22">
        <v>4.0000000000000001e-002</v>
      </c>
      <c r="N3808" s="21">
        <v>3179.9099999999999</v>
      </c>
      <c r="O3808" s="22">
        <v>4.0000000000000001e-002</v>
      </c>
    </row>
    <row r="3809" ht="51">
      <c r="A3809" t="s">
        <v>3821</v>
      </c>
      <c r="B3809" s="19">
        <v>92563</v>
      </c>
      <c r="C3809" s="20" t="s">
        <v>3888</v>
      </c>
      <c r="D3809" s="19" t="s">
        <v>31</v>
      </c>
      <c r="E3809" s="21">
        <f t="shared" si="176"/>
        <v>3183.0999999999999</v>
      </c>
      <c r="F3809" s="22">
        <v>0</v>
      </c>
      <c r="G3809" s="21">
        <f t="shared" si="177"/>
        <v>3102.6999999999998</v>
      </c>
      <c r="H3809" s="22">
        <v>0</v>
      </c>
      <c r="I3809" s="23" t="str">
        <f t="shared" si="178"/>
        <v xml:space="preserve">COM VALOR</v>
      </c>
      <c r="J3809" s="19"/>
      <c r="L3809" s="21">
        <v>3183.0999999999999</v>
      </c>
      <c r="M3809" s="22">
        <v>4.0000000000000001e-002</v>
      </c>
      <c r="N3809" s="21">
        <v>3102.6999999999998</v>
      </c>
      <c r="O3809" s="22">
        <v>4.0000000000000001e-002</v>
      </c>
    </row>
    <row r="3810" ht="38.25">
      <c r="A3810" t="s">
        <v>3821</v>
      </c>
      <c r="B3810" s="19">
        <v>92554</v>
      </c>
      <c r="C3810" s="20" t="s">
        <v>3889</v>
      </c>
      <c r="D3810" s="19" t="s">
        <v>31</v>
      </c>
      <c r="E3810" s="21">
        <f t="shared" si="176"/>
        <v>3378.2199999999998</v>
      </c>
      <c r="F3810" s="22">
        <v>0</v>
      </c>
      <c r="G3810" s="21">
        <f t="shared" si="177"/>
        <v>3297.8200000000002</v>
      </c>
      <c r="H3810" s="22">
        <v>0</v>
      </c>
      <c r="I3810" s="23" t="str">
        <f t="shared" si="178"/>
        <v xml:space="preserve">COM VALOR</v>
      </c>
      <c r="J3810" s="19"/>
      <c r="L3810" s="21">
        <v>3378.2199999999998</v>
      </c>
      <c r="M3810" s="22">
        <v>2.9999999999999999e-002</v>
      </c>
      <c r="N3810" s="21">
        <v>3297.8200000000002</v>
      </c>
      <c r="O3810" s="22">
        <v>4.0000000000000001e-002</v>
      </c>
    </row>
    <row r="3811" ht="51">
      <c r="A3811" t="s">
        <v>3821</v>
      </c>
      <c r="B3811" s="19">
        <v>92564</v>
      </c>
      <c r="C3811" s="20" t="s">
        <v>3890</v>
      </c>
      <c r="D3811" s="19" t="s">
        <v>31</v>
      </c>
      <c r="E3811" s="21">
        <f t="shared" si="176"/>
        <v>3283.6500000000001</v>
      </c>
      <c r="F3811" s="22"/>
      <c r="G3811" s="21">
        <f t="shared" si="177"/>
        <v>3203.25</v>
      </c>
      <c r="H3811" s="22"/>
      <c r="I3811" s="23" t="str">
        <f t="shared" si="178"/>
        <v xml:space="preserve">COM VALOR</v>
      </c>
      <c r="J3811" s="19"/>
      <c r="L3811" s="21">
        <v>3283.6500000000001</v>
      </c>
      <c r="M3811" s="22">
        <v>4.0000000000000001e-002</v>
      </c>
      <c r="N3811" s="21">
        <v>3203.25</v>
      </c>
      <c r="O3811" s="22">
        <v>4.0000000000000001e-002</v>
      </c>
    </row>
    <row r="3812" ht="38.25">
      <c r="A3812" t="s">
        <v>3821</v>
      </c>
      <c r="B3812" s="19">
        <v>92545</v>
      </c>
      <c r="C3812" s="20" t="s">
        <v>3891</v>
      </c>
      <c r="D3812" s="19" t="s">
        <v>31</v>
      </c>
      <c r="E3812" s="21">
        <f t="shared" si="176"/>
        <v>1081.5799999999999</v>
      </c>
      <c r="F3812" s="22"/>
      <c r="G3812" s="21">
        <f t="shared" si="177"/>
        <v>1057.23</v>
      </c>
      <c r="H3812" s="22"/>
      <c r="I3812" s="23" t="str">
        <f t="shared" si="178"/>
        <v xml:space="preserve">COM VALOR</v>
      </c>
      <c r="J3812" s="19"/>
      <c r="L3812" s="21">
        <v>1081.5799999999999</v>
      </c>
      <c r="M3812" s="22">
        <v>2.9999999999999999e-002</v>
      </c>
      <c r="N3812" s="21">
        <v>1057.23</v>
      </c>
      <c r="O3812" s="22">
        <v>2.9999999999999999e-002</v>
      </c>
    </row>
    <row r="3813" ht="51">
      <c r="A3813" t="s">
        <v>3821</v>
      </c>
      <c r="B3813" s="19">
        <v>92555</v>
      </c>
      <c r="C3813" s="20" t="s">
        <v>3892</v>
      </c>
      <c r="D3813" s="19" t="s">
        <v>31</v>
      </c>
      <c r="E3813" s="21">
        <f t="shared" si="176"/>
        <v>1078.54</v>
      </c>
      <c r="F3813" s="22"/>
      <c r="G3813" s="21">
        <f t="shared" si="177"/>
        <v>1054.1900000000001</v>
      </c>
      <c r="H3813" s="22"/>
      <c r="I3813" s="23" t="str">
        <f t="shared" si="178"/>
        <v xml:space="preserve">COM VALOR</v>
      </c>
      <c r="J3813" s="19"/>
      <c r="L3813" s="21">
        <v>1078.54</v>
      </c>
      <c r="M3813" s="22">
        <v>2.9999999999999999e-002</v>
      </c>
      <c r="N3813" s="21">
        <v>1054.1900000000001</v>
      </c>
      <c r="O3813" s="22">
        <v>2.9999999999999999e-002</v>
      </c>
    </row>
    <row r="3814" ht="38.25">
      <c r="A3814" t="s">
        <v>3821</v>
      </c>
      <c r="B3814" s="19">
        <v>92546</v>
      </c>
      <c r="C3814" s="20" t="s">
        <v>3893</v>
      </c>
      <c r="D3814" s="19" t="s">
        <v>31</v>
      </c>
      <c r="E3814" s="21">
        <f t="shared" si="176"/>
        <v>1364.3099999999999</v>
      </c>
      <c r="F3814" s="22"/>
      <c r="G3814" s="21">
        <f t="shared" si="177"/>
        <v>1331.9100000000001</v>
      </c>
      <c r="H3814" s="22"/>
      <c r="I3814" s="23" t="str">
        <f t="shared" si="178"/>
        <v xml:space="preserve">COM VALOR</v>
      </c>
      <c r="J3814" s="19"/>
      <c r="L3814" s="21">
        <v>1364.3099999999999</v>
      </c>
      <c r="M3814" s="22">
        <v>2.e-002</v>
      </c>
      <c r="N3814" s="21">
        <v>1331.9100000000001</v>
      </c>
      <c r="O3814" s="22">
        <v>2.e-002</v>
      </c>
    </row>
    <row r="3815" ht="51">
      <c r="A3815" t="s">
        <v>3821</v>
      </c>
      <c r="B3815" s="19">
        <v>92556</v>
      </c>
      <c r="C3815" s="20" t="s">
        <v>3894</v>
      </c>
      <c r="D3815" s="19" t="s">
        <v>31</v>
      </c>
      <c r="E3815" s="21">
        <f t="shared" si="176"/>
        <v>1332.8399999999999</v>
      </c>
      <c r="F3815" s="22"/>
      <c r="G3815" s="21">
        <f t="shared" si="177"/>
        <v>1300.4400000000001</v>
      </c>
      <c r="H3815" s="22"/>
      <c r="I3815" s="23" t="str">
        <f t="shared" si="178"/>
        <v xml:space="preserve">COM VALOR</v>
      </c>
      <c r="J3815" s="19"/>
      <c r="L3815" s="21">
        <v>1332.8399999999999</v>
      </c>
      <c r="M3815" s="22">
        <v>2.e-002</v>
      </c>
      <c r="N3815" s="21">
        <v>1300.4400000000001</v>
      </c>
      <c r="O3815" s="22">
        <v>2.e-002</v>
      </c>
    </row>
    <row r="3816" ht="38.25">
      <c r="A3816" t="s">
        <v>3821</v>
      </c>
      <c r="B3816" s="19">
        <v>92547</v>
      </c>
      <c r="C3816" s="20" t="s">
        <v>3895</v>
      </c>
      <c r="D3816" s="19" t="s">
        <v>31</v>
      </c>
      <c r="E3816" s="21">
        <f t="shared" si="176"/>
        <v>1444.27</v>
      </c>
      <c r="F3816" s="22"/>
      <c r="G3816" s="21">
        <f t="shared" si="177"/>
        <v>1411.8699999999999</v>
      </c>
      <c r="H3816" s="22"/>
      <c r="I3816" s="23" t="str">
        <f t="shared" si="178"/>
        <v xml:space="preserve">COM VALOR</v>
      </c>
      <c r="J3816" s="19"/>
      <c r="L3816" s="21">
        <v>1444.27</v>
      </c>
      <c r="M3816" s="22">
        <v>2.e-002</v>
      </c>
      <c r="N3816" s="21">
        <v>1411.8699999999999</v>
      </c>
      <c r="O3816" s="22">
        <v>2.e-002</v>
      </c>
    </row>
    <row r="3817" ht="51">
      <c r="A3817" t="s">
        <v>3821</v>
      </c>
      <c r="B3817" s="19">
        <v>92557</v>
      </c>
      <c r="C3817" s="20" t="s">
        <v>3896</v>
      </c>
      <c r="D3817" s="19" t="s">
        <v>31</v>
      </c>
      <c r="E3817" s="21">
        <f t="shared" si="176"/>
        <v>1411.77</v>
      </c>
      <c r="F3817" s="22"/>
      <c r="G3817" s="21">
        <f t="shared" si="177"/>
        <v>1379.3699999999999</v>
      </c>
      <c r="H3817" s="22"/>
      <c r="I3817" s="23" t="str">
        <f t="shared" si="178"/>
        <v xml:space="preserve">COM VALOR</v>
      </c>
      <c r="J3817" s="19"/>
      <c r="L3817" s="21">
        <v>1411.77</v>
      </c>
      <c r="M3817" s="22">
        <v>2.e-002</v>
      </c>
      <c r="N3817" s="21">
        <v>1379.3699999999999</v>
      </c>
      <c r="O3817" s="22">
        <v>2.e-002</v>
      </c>
    </row>
    <row r="3818" ht="38.25">
      <c r="A3818" t="s">
        <v>3821</v>
      </c>
      <c r="B3818" s="19">
        <v>92548</v>
      </c>
      <c r="C3818" s="20" t="s">
        <v>3897</v>
      </c>
      <c r="D3818" s="19" t="s">
        <v>31</v>
      </c>
      <c r="E3818" s="21">
        <f t="shared" si="176"/>
        <v>1618</v>
      </c>
      <c r="F3818" s="22"/>
      <c r="G3818" s="21">
        <f t="shared" si="177"/>
        <v>1581.1099999999999</v>
      </c>
      <c r="H3818" s="22"/>
      <c r="I3818" s="23" t="str">
        <f t="shared" si="178"/>
        <v xml:space="preserve">COM VALOR</v>
      </c>
      <c r="J3818" s="19"/>
      <c r="L3818" s="21">
        <v>1618</v>
      </c>
      <c r="M3818" s="22">
        <v>2.e-002</v>
      </c>
      <c r="N3818" s="21">
        <v>1581.1099999999999</v>
      </c>
      <c r="O3818" s="22">
        <v>2.e-002</v>
      </c>
    </row>
    <row r="3819" ht="51">
      <c r="A3819" t="s">
        <v>3821</v>
      </c>
      <c r="B3819" s="19">
        <v>92558</v>
      </c>
      <c r="C3819" s="20" t="s">
        <v>3898</v>
      </c>
      <c r="D3819" s="19" t="s">
        <v>31</v>
      </c>
      <c r="E3819" s="21">
        <f t="shared" si="176"/>
        <v>1596.27</v>
      </c>
      <c r="F3819" s="22"/>
      <c r="G3819" s="21">
        <f t="shared" si="177"/>
        <v>1559.3800000000001</v>
      </c>
      <c r="H3819" s="22"/>
      <c r="I3819" s="23" t="str">
        <f t="shared" si="178"/>
        <v xml:space="preserve">COM VALOR</v>
      </c>
      <c r="J3819" s="19"/>
      <c r="L3819" s="21">
        <v>1596.27</v>
      </c>
      <c r="M3819" s="22">
        <v>2.e-002</v>
      </c>
      <c r="N3819" s="21">
        <v>1559.3800000000001</v>
      </c>
      <c r="O3819" s="22">
        <v>2.e-002</v>
      </c>
    </row>
    <row r="3820" ht="38.25">
      <c r="A3820" t="s">
        <v>3821</v>
      </c>
      <c r="B3820" s="19">
        <v>92549</v>
      </c>
      <c r="C3820" s="20" t="s">
        <v>3899</v>
      </c>
      <c r="D3820" s="19" t="s">
        <v>31</v>
      </c>
      <c r="E3820" s="21">
        <f t="shared" si="176"/>
        <v>2044.6600000000001</v>
      </c>
      <c r="F3820" s="22"/>
      <c r="G3820" s="21">
        <f t="shared" si="177"/>
        <v>1991.6800000000001</v>
      </c>
      <c r="H3820" s="22"/>
      <c r="I3820" s="23" t="str">
        <f t="shared" si="178"/>
        <v xml:space="preserve">COM VALOR</v>
      </c>
      <c r="J3820" s="19"/>
      <c r="L3820" s="21">
        <v>2044.6600000000001</v>
      </c>
      <c r="M3820" s="22">
        <v>1.e-002</v>
      </c>
      <c r="N3820" s="21">
        <v>1991.6800000000001</v>
      </c>
      <c r="O3820" s="22">
        <v>1.e-002</v>
      </c>
    </row>
    <row r="3821" ht="51">
      <c r="A3821" t="s">
        <v>3821</v>
      </c>
      <c r="B3821" s="19">
        <v>92559</v>
      </c>
      <c r="C3821" s="20" t="s">
        <v>3900</v>
      </c>
      <c r="D3821" s="19" t="s">
        <v>31</v>
      </c>
      <c r="E3821" s="21">
        <f t="shared" si="176"/>
        <v>2008.4200000000001</v>
      </c>
      <c r="F3821" s="22"/>
      <c r="G3821" s="21">
        <f t="shared" si="177"/>
        <v>1955.4400000000001</v>
      </c>
      <c r="H3821" s="22"/>
      <c r="I3821" s="23" t="str">
        <f t="shared" si="178"/>
        <v xml:space="preserve">COM VALOR</v>
      </c>
      <c r="J3821" s="19"/>
      <c r="L3821" s="21">
        <v>2008.4200000000001</v>
      </c>
      <c r="M3821" s="22">
        <v>1.e-002</v>
      </c>
      <c r="N3821" s="21">
        <v>1955.4400000000001</v>
      </c>
      <c r="O3821" s="22">
        <v>1.e-002</v>
      </c>
    </row>
    <row r="3822" ht="38.25">
      <c r="A3822" t="s">
        <v>3821</v>
      </c>
      <c r="B3822" s="19">
        <v>92550</v>
      </c>
      <c r="C3822" s="20" t="s">
        <v>3901</v>
      </c>
      <c r="D3822" s="19" t="s">
        <v>31</v>
      </c>
      <c r="E3822" s="21">
        <f t="shared" si="176"/>
        <v>2479.9200000000001</v>
      </c>
      <c r="F3822" s="22"/>
      <c r="G3822" s="21">
        <f t="shared" si="177"/>
        <v>2422.5999999999999</v>
      </c>
      <c r="H3822" s="22"/>
      <c r="I3822" s="23" t="str">
        <f t="shared" si="178"/>
        <v xml:space="preserve">COM VALOR</v>
      </c>
      <c r="J3822" s="19"/>
      <c r="L3822" s="21">
        <v>2479.9200000000001</v>
      </c>
      <c r="M3822" s="22">
        <v>5.0000000000000003e-002</v>
      </c>
      <c r="N3822" s="21">
        <v>2422.5999999999999</v>
      </c>
      <c r="O3822" s="22">
        <v>5.0000000000000003e-002</v>
      </c>
    </row>
    <row r="3823" ht="51">
      <c r="A3823" t="s">
        <v>3821</v>
      </c>
      <c r="B3823" s="19">
        <v>92560</v>
      </c>
      <c r="C3823" s="20" t="s">
        <v>3902</v>
      </c>
      <c r="D3823" s="19" t="s">
        <v>31</v>
      </c>
      <c r="E3823" s="21">
        <f t="shared" si="176"/>
        <v>2432.1199999999999</v>
      </c>
      <c r="F3823" s="22">
        <v>0</v>
      </c>
      <c r="G3823" s="21">
        <f t="shared" si="177"/>
        <v>2374.8000000000002</v>
      </c>
      <c r="H3823" s="22">
        <v>0</v>
      </c>
      <c r="I3823" s="23" t="str">
        <f t="shared" si="178"/>
        <v xml:space="preserve">COM VALOR</v>
      </c>
      <c r="J3823" s="19"/>
      <c r="L3823" s="21">
        <v>2432.1199999999999</v>
      </c>
      <c r="M3823" s="22">
        <v>4.7500000000000001e-002</v>
      </c>
      <c r="N3823" s="21">
        <v>2374.8000000000002</v>
      </c>
      <c r="O3823" s="22">
        <v>5.0000000000000003e-002</v>
      </c>
    </row>
    <row r="3824" ht="38.25">
      <c r="A3824" t="s">
        <v>3821</v>
      </c>
      <c r="B3824" s="19">
        <v>92551</v>
      </c>
      <c r="C3824" s="20" t="s">
        <v>3903</v>
      </c>
      <c r="D3824" s="19" t="s">
        <v>31</v>
      </c>
      <c r="E3824" s="21">
        <f t="shared" si="176"/>
        <v>2582.75</v>
      </c>
      <c r="F3824" s="22">
        <v>0</v>
      </c>
      <c r="G3824" s="21">
        <f t="shared" si="177"/>
        <v>2525.4299999999998</v>
      </c>
      <c r="H3824" s="22">
        <v>0</v>
      </c>
      <c r="I3824" s="23" t="str">
        <f t="shared" si="178"/>
        <v xml:space="preserve">COM VALOR</v>
      </c>
      <c r="J3824" s="19"/>
      <c r="L3824" s="21">
        <v>2582.75</v>
      </c>
      <c r="M3824" s="22">
        <v>4.0000000000000001e-002</v>
      </c>
      <c r="N3824" s="21">
        <v>2525.4299999999998</v>
      </c>
      <c r="O3824" s="22">
        <v>5.0000000000000003e-002</v>
      </c>
    </row>
    <row r="3825" ht="51">
      <c r="A3825" t="s">
        <v>3821</v>
      </c>
      <c r="B3825" s="19">
        <v>92561</v>
      </c>
      <c r="C3825" s="20" t="s">
        <v>3904</v>
      </c>
      <c r="D3825" s="19" t="s">
        <v>31</v>
      </c>
      <c r="E3825" s="21">
        <f t="shared" si="176"/>
        <v>2535.0100000000002</v>
      </c>
      <c r="F3825" s="22">
        <v>0</v>
      </c>
      <c r="G3825" s="21">
        <f t="shared" si="177"/>
        <v>2477.6900000000001</v>
      </c>
      <c r="H3825" s="22">
        <v>0</v>
      </c>
      <c r="I3825" s="23" t="str">
        <f t="shared" si="178"/>
        <v xml:space="preserve">COM VALOR</v>
      </c>
      <c r="J3825" s="19"/>
      <c r="L3825" s="21">
        <v>2535.0100000000002</v>
      </c>
      <c r="M3825" s="22">
        <v>5.0000000000000003e-002</v>
      </c>
      <c r="N3825" s="21">
        <v>2477.6900000000001</v>
      </c>
      <c r="O3825" s="22">
        <v>5.0000000000000003e-002</v>
      </c>
    </row>
    <row r="3826" ht="38.25">
      <c r="A3826" t="s">
        <v>3821</v>
      </c>
      <c r="B3826" s="19">
        <v>92262</v>
      </c>
      <c r="C3826" s="20" t="s">
        <v>3905</v>
      </c>
      <c r="D3826" s="19" t="s">
        <v>31</v>
      </c>
      <c r="E3826" s="21">
        <f t="shared" si="176"/>
        <v>756.63999999999999</v>
      </c>
      <c r="F3826" s="22">
        <v>0</v>
      </c>
      <c r="G3826" s="21">
        <f t="shared" si="177"/>
        <v>732.52999999999997</v>
      </c>
      <c r="H3826" s="22">
        <v>0</v>
      </c>
      <c r="I3826" s="23" t="str">
        <f t="shared" si="178"/>
        <v xml:space="preserve">COM VALOR</v>
      </c>
      <c r="J3826" s="19"/>
      <c r="L3826" s="21">
        <v>756.63999999999999</v>
      </c>
      <c r="M3826" s="22">
        <v>4.0000000000000001e-002</v>
      </c>
      <c r="N3826" s="21">
        <v>732.52999999999997</v>
      </c>
      <c r="O3826" s="22">
        <v>4.0000000000000001e-002</v>
      </c>
    </row>
    <row r="3827" ht="38.25">
      <c r="A3827" t="s">
        <v>3821</v>
      </c>
      <c r="B3827" s="19">
        <v>106149</v>
      </c>
      <c r="C3827" s="20" t="s">
        <v>3906</v>
      </c>
      <c r="D3827" s="19" t="s">
        <v>31</v>
      </c>
      <c r="E3827" s="21">
        <f t="shared" si="176"/>
        <v>875.00999999999999</v>
      </c>
      <c r="F3827" s="22">
        <v>0</v>
      </c>
      <c r="G3827" s="21">
        <f t="shared" si="177"/>
        <v>844.10000000000002</v>
      </c>
      <c r="H3827" s="22">
        <v>0</v>
      </c>
      <c r="I3827" s="23" t="str">
        <f t="shared" si="178"/>
        <v xml:space="preserve">COM VALOR</v>
      </c>
      <c r="J3827" s="19"/>
      <c r="L3827" s="21">
        <v>875.00999999999999</v>
      </c>
      <c r="M3827" s="22">
        <v>2.9999999999999999e-002</v>
      </c>
      <c r="N3827" s="21">
        <v>844.10000000000002</v>
      </c>
      <c r="O3827" s="22">
        <v>3.2500000000000001e-002</v>
      </c>
    </row>
    <row r="3828" ht="38.25">
      <c r="A3828" t="s">
        <v>3821</v>
      </c>
      <c r="B3828" s="19">
        <v>106150</v>
      </c>
      <c r="C3828" s="20" t="s">
        <v>3907</v>
      </c>
      <c r="D3828" s="19" t="s">
        <v>31</v>
      </c>
      <c r="E3828" s="21">
        <f t="shared" si="176"/>
        <v>1012.3099999999999</v>
      </c>
      <c r="F3828" s="22">
        <v>0</v>
      </c>
      <c r="G3828" s="21">
        <f t="shared" si="177"/>
        <v>973.51999999999998</v>
      </c>
      <c r="H3828" s="22">
        <v>0</v>
      </c>
      <c r="I3828" s="23" t="str">
        <f t="shared" si="178"/>
        <v xml:space="preserve">COM VALOR</v>
      </c>
      <c r="J3828" s="19"/>
      <c r="L3828" s="21">
        <v>1012.3099999999999</v>
      </c>
      <c r="M3828" s="22">
        <v>2.9999999999999999e-002</v>
      </c>
      <c r="N3828" s="21">
        <v>973.51999999999998</v>
      </c>
      <c r="O3828" s="22">
        <v>2.9999999999999999e-002</v>
      </c>
    </row>
    <row r="3829" ht="38.25">
      <c r="A3829" t="s">
        <v>3821</v>
      </c>
      <c r="B3829" s="19">
        <v>106151</v>
      </c>
      <c r="C3829" s="20" t="s">
        <v>3908</v>
      </c>
      <c r="D3829" s="19" t="s">
        <v>31</v>
      </c>
      <c r="E3829" s="21">
        <f t="shared" si="176"/>
        <v>1168.5599999999999</v>
      </c>
      <c r="F3829" s="22">
        <v>0.88</v>
      </c>
      <c r="G3829" s="21">
        <f t="shared" si="177"/>
        <v>1120.79</v>
      </c>
      <c r="H3829" s="22">
        <v>0.88</v>
      </c>
      <c r="I3829" s="23" t="str">
        <f t="shared" si="178"/>
        <v xml:space="preserve">COM VALOR</v>
      </c>
      <c r="J3829" s="19"/>
      <c r="L3829" s="21">
        <v>1168.5599999999999</v>
      </c>
      <c r="M3829" s="22">
        <v>2.e-002</v>
      </c>
      <c r="N3829" s="21">
        <v>1120.79</v>
      </c>
      <c r="O3829" s="22">
        <v>2.e-002</v>
      </c>
    </row>
    <row r="3830" ht="38.25">
      <c r="A3830" t="s">
        <v>3821</v>
      </c>
      <c r="B3830" s="19">
        <v>92259</v>
      </c>
      <c r="C3830" s="20" t="s">
        <v>3909</v>
      </c>
      <c r="D3830" s="19" t="s">
        <v>31</v>
      </c>
      <c r="E3830" s="21">
        <f t="shared" si="176"/>
        <v>480.83999999999997</v>
      </c>
      <c r="F3830" s="22">
        <v>0</v>
      </c>
      <c r="G3830" s="21">
        <f t="shared" si="177"/>
        <v>472.56999999999999</v>
      </c>
      <c r="H3830" s="22">
        <v>0</v>
      </c>
      <c r="I3830" s="23" t="str">
        <f t="shared" si="178"/>
        <v xml:space="preserve">COM VALOR</v>
      </c>
      <c r="J3830" s="19"/>
      <c r="L3830" s="21">
        <v>480.83999999999997</v>
      </c>
      <c r="M3830" s="22">
        <v>5.9999999999999998e-002</v>
      </c>
      <c r="N3830" s="21">
        <v>472.56999999999999</v>
      </c>
      <c r="O3830" s="22">
        <v>5.9999999999999998e-002</v>
      </c>
    </row>
    <row r="3831" ht="38.25">
      <c r="A3831" t="s">
        <v>3821</v>
      </c>
      <c r="B3831" s="19">
        <v>92260</v>
      </c>
      <c r="C3831" s="20" t="s">
        <v>3910</v>
      </c>
      <c r="D3831" s="19" t="s">
        <v>31</v>
      </c>
      <c r="E3831" s="21">
        <f t="shared" si="176"/>
        <v>558.97000000000003</v>
      </c>
      <c r="F3831" s="22">
        <v>0</v>
      </c>
      <c r="G3831" s="21">
        <f t="shared" si="177"/>
        <v>546.21000000000004</v>
      </c>
      <c r="H3831" s="22">
        <v>0</v>
      </c>
      <c r="I3831" s="23" t="str">
        <f t="shared" si="178"/>
        <v xml:space="preserve">COM VALOR</v>
      </c>
      <c r="J3831" s="19"/>
      <c r="L3831" s="21">
        <v>558.97000000000003</v>
      </c>
      <c r="M3831" s="22">
        <v>5.0000000000000003e-002</v>
      </c>
      <c r="N3831" s="21">
        <v>546.21000000000004</v>
      </c>
      <c r="O3831" s="22">
        <v>5.0000000000000003e-002</v>
      </c>
    </row>
    <row r="3832" ht="38.25">
      <c r="A3832" t="s">
        <v>3821</v>
      </c>
      <c r="B3832" s="19">
        <v>92261</v>
      </c>
      <c r="C3832" s="20" t="s">
        <v>3911</v>
      </c>
      <c r="D3832" s="19" t="s">
        <v>31</v>
      </c>
      <c r="E3832" s="21">
        <f t="shared" si="176"/>
        <v>634.72000000000003</v>
      </c>
      <c r="F3832" s="22">
        <v>0</v>
      </c>
      <c r="G3832" s="21">
        <f t="shared" si="177"/>
        <v>617.62</v>
      </c>
      <c r="H3832" s="22">
        <v>0</v>
      </c>
      <c r="I3832" s="23" t="str">
        <f t="shared" si="178"/>
        <v xml:space="preserve">COM VALOR</v>
      </c>
      <c r="J3832" s="19"/>
      <c r="L3832" s="21">
        <v>634.72000000000003</v>
      </c>
      <c r="M3832" s="22">
        <v>4.0000000000000001e-002</v>
      </c>
      <c r="N3832" s="21">
        <v>617.62</v>
      </c>
      <c r="O3832" s="22">
        <v>4.0000000000000001e-002</v>
      </c>
    </row>
    <row r="3833" ht="38.25">
      <c r="A3833" t="s">
        <v>3821</v>
      </c>
      <c r="B3833" s="19">
        <v>92258</v>
      </c>
      <c r="C3833" s="20" t="s">
        <v>3912</v>
      </c>
      <c r="D3833" s="19" t="s">
        <v>31</v>
      </c>
      <c r="E3833" s="21">
        <f t="shared" si="176"/>
        <v>513.25999999999999</v>
      </c>
      <c r="F3833" s="22">
        <v>0</v>
      </c>
      <c r="G3833" s="21">
        <f t="shared" si="177"/>
        <v>486.36000000000001</v>
      </c>
      <c r="H3833" s="22">
        <v>0</v>
      </c>
      <c r="I3833" s="23" t="str">
        <f t="shared" si="178"/>
        <v xml:space="preserve">COM VALOR</v>
      </c>
      <c r="J3833" s="19"/>
      <c r="L3833" s="21">
        <v>513.25999999999999</v>
      </c>
      <c r="M3833" s="22">
        <v>5.0000000000000003e-002</v>
      </c>
      <c r="N3833" s="21">
        <v>486.36000000000001</v>
      </c>
      <c r="O3833" s="22">
        <v>5.9999999999999998e-002</v>
      </c>
    </row>
    <row r="3834" ht="38.25">
      <c r="A3834" t="s">
        <v>3821</v>
      </c>
      <c r="B3834" s="19">
        <v>92255</v>
      </c>
      <c r="C3834" s="20" t="s">
        <v>3913</v>
      </c>
      <c r="D3834" s="19" t="s">
        <v>31</v>
      </c>
      <c r="E3834" s="21">
        <f t="shared" si="176"/>
        <v>216.13</v>
      </c>
      <c r="F3834" s="22">
        <v>0</v>
      </c>
      <c r="G3834" s="21">
        <f t="shared" si="177"/>
        <v>207.06</v>
      </c>
      <c r="H3834" s="22">
        <v>0</v>
      </c>
      <c r="I3834" s="23" t="str">
        <f t="shared" si="178"/>
        <v xml:space="preserve">COM VALOR</v>
      </c>
      <c r="J3834" s="19"/>
      <c r="L3834" s="21">
        <v>216.13</v>
      </c>
      <c r="M3834" s="22">
        <v>0.13</v>
      </c>
      <c r="N3834" s="21">
        <v>207.06</v>
      </c>
      <c r="O3834" s="22">
        <v>0.13</v>
      </c>
    </row>
    <row r="3835" ht="38.25">
      <c r="A3835" t="s">
        <v>3821</v>
      </c>
      <c r="B3835" s="19">
        <v>92256</v>
      </c>
      <c r="C3835" s="20" t="s">
        <v>3914</v>
      </c>
      <c r="D3835" s="19" t="s">
        <v>31</v>
      </c>
      <c r="E3835" s="21">
        <f t="shared" si="176"/>
        <v>300.30000000000001</v>
      </c>
      <c r="F3835" s="22">
        <v>0</v>
      </c>
      <c r="G3835" s="21">
        <f t="shared" si="177"/>
        <v>286.18000000000001</v>
      </c>
      <c r="H3835" s="22">
        <v>0</v>
      </c>
      <c r="I3835" s="23" t="str">
        <f t="shared" si="178"/>
        <v xml:space="preserve">COM VALOR</v>
      </c>
      <c r="J3835" s="19"/>
      <c r="L3835" s="21">
        <v>300.30000000000001</v>
      </c>
      <c r="M3835" s="22">
        <v>8.9999999999999997e-002</v>
      </c>
      <c r="N3835" s="21">
        <v>286.18000000000001</v>
      </c>
      <c r="O3835" s="22">
        <v>0.10000000000000001</v>
      </c>
    </row>
    <row r="3836" ht="38.25">
      <c r="A3836" t="s">
        <v>3821</v>
      </c>
      <c r="B3836" s="19">
        <v>92257</v>
      </c>
      <c r="C3836" s="20" t="s">
        <v>3915</v>
      </c>
      <c r="D3836" s="19" t="s">
        <v>31</v>
      </c>
      <c r="E3836" s="21">
        <f t="shared" si="176"/>
        <v>381.91000000000003</v>
      </c>
      <c r="F3836" s="22">
        <v>0</v>
      </c>
      <c r="G3836" s="21">
        <f t="shared" si="177"/>
        <v>362.89999999999998</v>
      </c>
      <c r="H3836" s="22">
        <v>0</v>
      </c>
      <c r="I3836" s="23" t="str">
        <f t="shared" si="178"/>
        <v xml:space="preserve">COM VALOR</v>
      </c>
      <c r="J3836" s="19"/>
      <c r="L3836" s="21">
        <v>381.91000000000003</v>
      </c>
      <c r="M3836" s="22">
        <v>7.0000000000000007e-002</v>
      </c>
      <c r="N3836" s="21">
        <v>362.89999999999998</v>
      </c>
      <c r="O3836" s="22">
        <v>8.0000000000000002e-002</v>
      </c>
    </row>
    <row r="3837" ht="38.25">
      <c r="A3837" t="s">
        <v>3821</v>
      </c>
      <c r="B3837" s="19">
        <v>100393</v>
      </c>
      <c r="C3837" s="20" t="s">
        <v>3916</v>
      </c>
      <c r="D3837" s="19" t="s">
        <v>29</v>
      </c>
      <c r="E3837" s="21">
        <f t="shared" si="176"/>
        <v>21</v>
      </c>
      <c r="F3837" s="22">
        <v>0</v>
      </c>
      <c r="G3837" s="21">
        <f t="shared" si="177"/>
        <v>20.25</v>
      </c>
      <c r="H3837" s="22">
        <v>0</v>
      </c>
      <c r="I3837" s="23" t="str">
        <f t="shared" si="178"/>
        <v xml:space="preserve">COM VALOR</v>
      </c>
      <c r="J3837" s="19"/>
      <c r="L3837" s="21">
        <v>21</v>
      </c>
      <c r="M3837" s="22">
        <v>0</v>
      </c>
      <c r="N3837" s="21">
        <v>20.25</v>
      </c>
      <c r="O3837" s="22">
        <v>0</v>
      </c>
    </row>
    <row r="3838" ht="38.25">
      <c r="A3838" t="s">
        <v>3821</v>
      </c>
      <c r="B3838" s="19">
        <v>100389</v>
      </c>
      <c r="C3838" s="20" t="s">
        <v>3917</v>
      </c>
      <c r="D3838" s="19" t="s">
        <v>29</v>
      </c>
      <c r="E3838" s="21">
        <f t="shared" si="176"/>
        <v>17.539999999999999</v>
      </c>
      <c r="F3838" s="22">
        <v>0</v>
      </c>
      <c r="G3838" s="21">
        <f t="shared" si="177"/>
        <v>16.93</v>
      </c>
      <c r="H3838" s="22">
        <v>0</v>
      </c>
      <c r="I3838" s="23" t="str">
        <f t="shared" si="178"/>
        <v xml:space="preserve">COM VALOR</v>
      </c>
      <c r="J3838" s="19"/>
      <c r="L3838" s="21">
        <v>17.539999999999999</v>
      </c>
      <c r="M3838" s="22">
        <v>0</v>
      </c>
      <c r="N3838" s="21">
        <v>16.93</v>
      </c>
      <c r="O3838" s="22">
        <v>0</v>
      </c>
    </row>
    <row r="3839" ht="38.25">
      <c r="A3839" t="s">
        <v>3821</v>
      </c>
      <c r="B3839" s="19">
        <v>100395</v>
      </c>
      <c r="C3839" s="20" t="s">
        <v>3918</v>
      </c>
      <c r="D3839" s="19" t="s">
        <v>29</v>
      </c>
      <c r="E3839" s="21">
        <f t="shared" si="176"/>
        <v>23.039999999999999</v>
      </c>
      <c r="F3839" s="22">
        <v>0</v>
      </c>
      <c r="G3839" s="21">
        <f t="shared" si="177"/>
        <v>22.18</v>
      </c>
      <c r="H3839" s="22">
        <v>0</v>
      </c>
      <c r="I3839" s="23" t="str">
        <f t="shared" si="178"/>
        <v xml:space="preserve">COM VALOR</v>
      </c>
      <c r="J3839" s="19"/>
      <c r="L3839" s="21">
        <v>23.039999999999999</v>
      </c>
      <c r="M3839" s="22">
        <v>0</v>
      </c>
      <c r="N3839" s="21">
        <v>22.18</v>
      </c>
      <c r="O3839" s="22">
        <v>0</v>
      </c>
    </row>
    <row r="3840" ht="38.25">
      <c r="A3840" t="s">
        <v>3821</v>
      </c>
      <c r="B3840" s="19">
        <v>100391</v>
      </c>
      <c r="C3840" s="20" t="s">
        <v>3919</v>
      </c>
      <c r="D3840" s="19" t="s">
        <v>29</v>
      </c>
      <c r="E3840" s="21">
        <f t="shared" si="176"/>
        <v>19.280000000000001</v>
      </c>
      <c r="F3840" s="22">
        <v>0</v>
      </c>
      <c r="G3840" s="21">
        <f t="shared" si="177"/>
        <v>18.579999999999998</v>
      </c>
      <c r="H3840" s="22">
        <v>0</v>
      </c>
      <c r="I3840" s="23" t="str">
        <f t="shared" si="178"/>
        <v xml:space="preserve">COM VALOR</v>
      </c>
      <c r="J3840" s="19"/>
      <c r="L3840" s="21">
        <v>19.280000000000001</v>
      </c>
      <c r="M3840" s="22">
        <v>0</v>
      </c>
      <c r="N3840" s="21">
        <v>18.579999999999998</v>
      </c>
      <c r="O3840" s="22">
        <v>0</v>
      </c>
    </row>
    <row r="3841" ht="38.25">
      <c r="A3841" t="s">
        <v>3821</v>
      </c>
      <c r="B3841" s="19">
        <v>100392</v>
      </c>
      <c r="C3841" s="20" t="s">
        <v>3920</v>
      </c>
      <c r="D3841" s="19" t="s">
        <v>29</v>
      </c>
      <c r="E3841" s="21">
        <f t="shared" si="176"/>
        <v>17.399999999999999</v>
      </c>
      <c r="F3841" s="22">
        <v>0</v>
      </c>
      <c r="G3841" s="21">
        <f t="shared" si="177"/>
        <v>16.870000000000001</v>
      </c>
      <c r="H3841" s="22">
        <v>0</v>
      </c>
      <c r="I3841" s="23" t="str">
        <f t="shared" si="178"/>
        <v xml:space="preserve">COM VALOR</v>
      </c>
      <c r="J3841" s="19"/>
      <c r="L3841" s="21">
        <v>17.399999999999999</v>
      </c>
      <c r="M3841" s="22">
        <v>0</v>
      </c>
      <c r="N3841" s="21">
        <v>16.870000000000001</v>
      </c>
      <c r="O3841" s="22">
        <v>0</v>
      </c>
    </row>
    <row r="3842" ht="38.25">
      <c r="A3842" t="s">
        <v>3821</v>
      </c>
      <c r="B3842" s="19">
        <v>100388</v>
      </c>
      <c r="C3842" s="20" t="s">
        <v>3921</v>
      </c>
      <c r="D3842" s="19" t="s">
        <v>29</v>
      </c>
      <c r="E3842" s="21">
        <f t="shared" si="176"/>
        <v>22.109999999999999</v>
      </c>
      <c r="F3842" s="22">
        <v>0</v>
      </c>
      <c r="G3842" s="21">
        <f t="shared" si="177"/>
        <v>21.41</v>
      </c>
      <c r="H3842" s="22">
        <v>0</v>
      </c>
      <c r="I3842" s="23" t="str">
        <f t="shared" si="178"/>
        <v xml:space="preserve">COM VALOR</v>
      </c>
      <c r="J3842" s="19"/>
      <c r="L3842" s="21">
        <v>22.109999999999999</v>
      </c>
      <c r="M3842" s="22">
        <v>0</v>
      </c>
      <c r="N3842" s="21">
        <v>21.41</v>
      </c>
      <c r="O3842" s="22">
        <v>0</v>
      </c>
    </row>
    <row r="3843" ht="38.25">
      <c r="A3843" t="s">
        <v>3821</v>
      </c>
      <c r="B3843" s="19">
        <v>100394</v>
      </c>
      <c r="C3843" s="20" t="s">
        <v>3922</v>
      </c>
      <c r="D3843" s="19" t="s">
        <v>29</v>
      </c>
      <c r="E3843" s="21">
        <f t="shared" si="176"/>
        <v>20.300000000000001</v>
      </c>
      <c r="F3843" s="22">
        <v>0</v>
      </c>
      <c r="G3843" s="21">
        <f t="shared" si="177"/>
        <v>19.600000000000001</v>
      </c>
      <c r="H3843" s="22">
        <v>0</v>
      </c>
      <c r="I3843" s="23" t="str">
        <f t="shared" si="178"/>
        <v xml:space="preserve">COM VALOR</v>
      </c>
      <c r="J3843" s="19"/>
      <c r="L3843" s="21">
        <v>20.300000000000001</v>
      </c>
      <c r="M3843" s="22">
        <v>0</v>
      </c>
      <c r="N3843" s="21">
        <v>19.600000000000001</v>
      </c>
      <c r="O3843" s="22">
        <v>0</v>
      </c>
    </row>
    <row r="3844" ht="38.25">
      <c r="A3844" t="s">
        <v>3821</v>
      </c>
      <c r="B3844" s="19">
        <v>100390</v>
      </c>
      <c r="C3844" s="20" t="s">
        <v>3923</v>
      </c>
      <c r="D3844" s="19" t="s">
        <v>29</v>
      </c>
      <c r="E3844" s="21">
        <f t="shared" si="176"/>
        <v>25.809999999999999</v>
      </c>
      <c r="F3844" s="22">
        <v>0</v>
      </c>
      <c r="G3844" s="21">
        <f t="shared" si="177"/>
        <v>24.91</v>
      </c>
      <c r="H3844" s="22">
        <v>0</v>
      </c>
      <c r="I3844" s="23" t="str">
        <f t="shared" si="178"/>
        <v xml:space="preserve">COM VALOR</v>
      </c>
      <c r="J3844" s="19"/>
      <c r="L3844" s="21">
        <v>25.809999999999999</v>
      </c>
      <c r="M3844" s="22">
        <v>0</v>
      </c>
      <c r="N3844" s="21">
        <v>24.91</v>
      </c>
      <c r="O3844" s="22">
        <v>0</v>
      </c>
    </row>
    <row r="3845" ht="38.25">
      <c r="A3845" t="s">
        <v>3821</v>
      </c>
      <c r="B3845" s="19">
        <v>92575</v>
      </c>
      <c r="C3845" s="20" t="s">
        <v>3924</v>
      </c>
      <c r="D3845" s="19" t="s">
        <v>29</v>
      </c>
      <c r="E3845" s="21">
        <f t="shared" si="176"/>
        <v>65.239999999999995</v>
      </c>
      <c r="F3845" s="22">
        <v>0</v>
      </c>
      <c r="G3845" s="21">
        <f t="shared" si="177"/>
        <v>64.780000000000001</v>
      </c>
      <c r="H3845" s="22">
        <v>0</v>
      </c>
      <c r="I3845" s="23" t="str">
        <f t="shared" si="178"/>
        <v xml:space="preserve">COM VALOR</v>
      </c>
      <c r="J3845" s="19"/>
      <c r="L3845" s="21">
        <v>65.239999999999995</v>
      </c>
      <c r="M3845" s="22">
        <v>0.83999999999999997</v>
      </c>
      <c r="N3845" s="21">
        <v>64.780000000000001</v>
      </c>
      <c r="O3845" s="22">
        <v>0.84999999999999998</v>
      </c>
    </row>
    <row r="3846" ht="38.25">
      <c r="A3846" t="s">
        <v>3821</v>
      </c>
      <c r="B3846" s="19">
        <v>92569</v>
      </c>
      <c r="C3846" s="20" t="s">
        <v>3925</v>
      </c>
      <c r="D3846" s="19" t="s">
        <v>29</v>
      </c>
      <c r="E3846" s="21">
        <f t="shared" si="176"/>
        <v>71.069999999999993</v>
      </c>
      <c r="F3846" s="22">
        <v>0</v>
      </c>
      <c r="G3846" s="21">
        <f t="shared" si="177"/>
        <v>70.609999999999999</v>
      </c>
      <c r="H3846" s="22">
        <v>0</v>
      </c>
      <c r="I3846" s="23" t="str">
        <f t="shared" si="178"/>
        <v xml:space="preserve">COM VALOR</v>
      </c>
      <c r="J3846" s="19"/>
      <c r="L3846" s="21">
        <v>71.069999999999993</v>
      </c>
      <c r="M3846" s="22">
        <v>0.84999999999999998</v>
      </c>
      <c r="N3846" s="21">
        <v>70.609999999999999</v>
      </c>
      <c r="O3846" s="22">
        <v>0.85999999999999999</v>
      </c>
    </row>
    <row r="3847" ht="38.25">
      <c r="A3847" t="s">
        <v>3821</v>
      </c>
      <c r="B3847" s="19">
        <v>92578</v>
      </c>
      <c r="C3847" s="20" t="s">
        <v>3926</v>
      </c>
      <c r="D3847" s="19" t="s">
        <v>29</v>
      </c>
      <c r="E3847" s="21">
        <f t="shared" si="176"/>
        <v>68.379999999999995</v>
      </c>
      <c r="F3847" s="22">
        <v>0</v>
      </c>
      <c r="G3847" s="21">
        <f t="shared" si="177"/>
        <v>67.760000000000005</v>
      </c>
      <c r="H3847" s="22">
        <v>0</v>
      </c>
      <c r="I3847" s="23" t="str">
        <f t="shared" si="178"/>
        <v xml:space="preserve">COM VALOR</v>
      </c>
      <c r="J3847" s="19"/>
      <c r="L3847" s="21">
        <v>68.379999999999995</v>
      </c>
      <c r="M3847" s="22">
        <v>0.81000000000000005</v>
      </c>
      <c r="N3847" s="21">
        <v>67.760000000000005</v>
      </c>
      <c r="O3847" s="22">
        <v>0.81999999999999995</v>
      </c>
    </row>
    <row r="3848" ht="51">
      <c r="A3848" t="s">
        <v>3821</v>
      </c>
      <c r="B3848" s="19">
        <v>92572</v>
      </c>
      <c r="C3848" s="20" t="s">
        <v>3927</v>
      </c>
      <c r="D3848" s="19" t="s">
        <v>29</v>
      </c>
      <c r="E3848" s="21">
        <f t="shared" si="176"/>
        <v>74.189999999999998</v>
      </c>
      <c r="F3848" s="22">
        <v>0</v>
      </c>
      <c r="G3848" s="21">
        <f t="shared" si="177"/>
        <v>73.549999999999997</v>
      </c>
      <c r="H3848" s="22">
        <v>0</v>
      </c>
      <c r="I3848" s="23" t="str">
        <f t="shared" si="178"/>
        <v xml:space="preserve">COM VALOR</v>
      </c>
      <c r="J3848" s="19"/>
      <c r="L3848" s="21">
        <v>74.189999999999998</v>
      </c>
      <c r="M3848" s="22">
        <v>0.81999999999999995</v>
      </c>
      <c r="N3848" s="21">
        <v>73.549999999999997</v>
      </c>
      <c r="O3848" s="22">
        <v>0.82999999999999996</v>
      </c>
    </row>
    <row r="3849" ht="38.25">
      <c r="A3849" t="s">
        <v>3821</v>
      </c>
      <c r="B3849" s="19">
        <v>92576</v>
      </c>
      <c r="C3849" s="20" t="s">
        <v>3928</v>
      </c>
      <c r="D3849" s="19" t="s">
        <v>29</v>
      </c>
      <c r="E3849" s="21">
        <f t="shared" si="176"/>
        <v>35.479999999999997</v>
      </c>
      <c r="F3849" s="22">
        <v>5.9999999999999998e-002</v>
      </c>
      <c r="G3849" s="21">
        <f t="shared" si="177"/>
        <v>35.299999999999997</v>
      </c>
      <c r="H3849" s="22">
        <v>7.0000000000000007e-002</v>
      </c>
      <c r="I3849" s="23" t="str">
        <f t="shared" si="178"/>
        <v xml:space="preserve">COM VALOR</v>
      </c>
      <c r="J3849" s="19"/>
      <c r="L3849" s="21">
        <v>35.479999999999997</v>
      </c>
      <c r="M3849" s="22">
        <v>0.85999999999999999</v>
      </c>
      <c r="N3849" s="21">
        <v>35.299999999999997</v>
      </c>
      <c r="O3849" s="22">
        <v>0.87</v>
      </c>
    </row>
    <row r="3850" ht="38.25">
      <c r="A3850" t="s">
        <v>3821</v>
      </c>
      <c r="B3850" s="19">
        <v>92570</v>
      </c>
      <c r="C3850" s="20" t="s">
        <v>3929</v>
      </c>
      <c r="D3850" s="19" t="s">
        <v>29</v>
      </c>
      <c r="E3850" s="21">
        <f t="shared" si="176"/>
        <v>44.810000000000002</v>
      </c>
      <c r="F3850" s="22">
        <v>7.0000000000000007e-002</v>
      </c>
      <c r="G3850" s="21">
        <f t="shared" si="177"/>
        <v>44.579999999999998</v>
      </c>
      <c r="H3850" s="22">
        <v>7.0000000000000007e-002</v>
      </c>
      <c r="I3850" s="23" t="str">
        <f t="shared" si="178"/>
        <v xml:space="preserve">COM VALOR</v>
      </c>
      <c r="J3850" s="19"/>
      <c r="L3850" s="21">
        <v>44.810000000000002</v>
      </c>
      <c r="M3850" s="22">
        <v>0.87</v>
      </c>
      <c r="N3850" s="21">
        <v>44.579999999999998</v>
      </c>
      <c r="O3850" s="22">
        <v>0.87749999999999995</v>
      </c>
    </row>
    <row r="3851" ht="38.25">
      <c r="A3851" t="s">
        <v>3821</v>
      </c>
      <c r="B3851" s="19">
        <v>92579</v>
      </c>
      <c r="C3851" s="20" t="s">
        <v>3930</v>
      </c>
      <c r="D3851" s="19" t="s">
        <v>29</v>
      </c>
      <c r="E3851" s="21">
        <f t="shared" ref="E3851:E3914" si="179">IF(L3851=0,"VERIFICAR",L3851)</f>
        <v>37.310000000000002</v>
      </c>
      <c r="F3851" s="22">
        <v>7.0000000000000007e-002</v>
      </c>
      <c r="G3851" s="21">
        <f t="shared" ref="G3851:G3914" si="180">IF(N3851=0,"VERIFICAR",N3851)</f>
        <v>37.039999999999999</v>
      </c>
      <c r="H3851" s="22">
        <v>7.0000000000000007e-002</v>
      </c>
      <c r="I3851" s="23" t="str">
        <f t="shared" ref="I3851:I3914" si="181">IF(OR(E3851=0,G3851=0),"SEM VALOR","COM VALOR")</f>
        <v xml:space="preserve">COM VALOR</v>
      </c>
      <c r="J3851" s="19"/>
      <c r="L3851" s="21">
        <v>37.310000000000002</v>
      </c>
      <c r="M3851" s="22">
        <v>0.81999999999999995</v>
      </c>
      <c r="N3851" s="21">
        <v>37.039999999999999</v>
      </c>
      <c r="O3851" s="22">
        <v>0.82999999999999996</v>
      </c>
    </row>
    <row r="3852" ht="38.25">
      <c r="A3852" t="s">
        <v>3821</v>
      </c>
      <c r="B3852" s="19">
        <v>92573</v>
      </c>
      <c r="C3852" s="20" t="s">
        <v>3931</v>
      </c>
      <c r="D3852" s="19" t="s">
        <v>29</v>
      </c>
      <c r="E3852" s="21">
        <f t="shared" si="179"/>
        <v>47.109999999999999</v>
      </c>
      <c r="F3852" s="22">
        <v>7.0000000000000007e-002</v>
      </c>
      <c r="G3852" s="21">
        <f t="shared" si="180"/>
        <v>46.770000000000003</v>
      </c>
      <c r="H3852" s="22">
        <v>7.0000000000000007e-002</v>
      </c>
      <c r="I3852" s="23" t="str">
        <f t="shared" si="181"/>
        <v xml:space="preserve">COM VALOR</v>
      </c>
      <c r="J3852" s="19"/>
      <c r="L3852" s="21">
        <v>47.109999999999999</v>
      </c>
      <c r="M3852" s="22">
        <v>0.83999999999999997</v>
      </c>
      <c r="N3852" s="21">
        <v>46.770000000000003</v>
      </c>
      <c r="O3852" s="22">
        <v>0.83999999999999997</v>
      </c>
    </row>
    <row r="3853" ht="38.25">
      <c r="A3853" t="s">
        <v>3821</v>
      </c>
      <c r="B3853" s="19">
        <v>92574</v>
      </c>
      <c r="C3853" s="20" t="s">
        <v>3932</v>
      </c>
      <c r="D3853" s="19" t="s">
        <v>29</v>
      </c>
      <c r="E3853" s="21">
        <f t="shared" si="179"/>
        <v>131.50999999999999</v>
      </c>
      <c r="F3853" s="22">
        <v>7.0000000000000007e-002</v>
      </c>
      <c r="G3853" s="21">
        <f t="shared" si="180"/>
        <v>130.30000000000001</v>
      </c>
      <c r="H3853" s="22">
        <v>7.0000000000000007e-002</v>
      </c>
      <c r="I3853" s="23" t="str">
        <f t="shared" si="181"/>
        <v xml:space="preserve">COM VALOR</v>
      </c>
      <c r="J3853" s="19"/>
      <c r="L3853" s="21">
        <v>131.50999999999999</v>
      </c>
      <c r="M3853" s="22">
        <v>0.81000000000000005</v>
      </c>
      <c r="N3853" s="21">
        <v>130.30000000000001</v>
      </c>
      <c r="O3853" s="22">
        <v>0.81999999999999995</v>
      </c>
    </row>
    <row r="3854" ht="51">
      <c r="A3854" t="s">
        <v>3821</v>
      </c>
      <c r="B3854" s="19">
        <v>92568</v>
      </c>
      <c r="C3854" s="20" t="s">
        <v>3933</v>
      </c>
      <c r="D3854" s="19" t="s">
        <v>29</v>
      </c>
      <c r="E3854" s="21">
        <f t="shared" si="179"/>
        <v>139.96000000000001</v>
      </c>
      <c r="F3854" s="22">
        <v>7.0000000000000007e-002</v>
      </c>
      <c r="G3854" s="21">
        <f t="shared" si="180"/>
        <v>138.81</v>
      </c>
      <c r="H3854" s="22">
        <v>7.0000000000000007e-002</v>
      </c>
      <c r="I3854" s="23" t="str">
        <f t="shared" si="181"/>
        <v xml:space="preserve">COM VALOR</v>
      </c>
      <c r="J3854" s="19"/>
      <c r="L3854" s="21">
        <v>139.96000000000001</v>
      </c>
      <c r="M3854" s="22">
        <v>0.82999999999999996</v>
      </c>
      <c r="N3854" s="21">
        <v>138.81</v>
      </c>
      <c r="O3854" s="22">
        <v>0.83999999999999997</v>
      </c>
    </row>
    <row r="3855" ht="38.25">
      <c r="A3855" t="s">
        <v>3821</v>
      </c>
      <c r="B3855" s="19">
        <v>92577</v>
      </c>
      <c r="C3855" s="20" t="s">
        <v>3934</v>
      </c>
      <c r="D3855" s="19" t="s">
        <v>29</v>
      </c>
      <c r="E3855" s="21">
        <f t="shared" si="179"/>
        <v>147.63999999999999</v>
      </c>
      <c r="F3855" s="22">
        <v>0</v>
      </c>
      <c r="G3855" s="21">
        <f t="shared" si="180"/>
        <v>146.18000000000001</v>
      </c>
      <c r="H3855" s="22">
        <v>0</v>
      </c>
      <c r="I3855" s="23" t="str">
        <f t="shared" si="181"/>
        <v xml:space="preserve">COM VALOR</v>
      </c>
      <c r="J3855" s="19"/>
      <c r="L3855" s="21">
        <v>147.63999999999999</v>
      </c>
      <c r="M3855" s="22">
        <v>0.81000000000000005</v>
      </c>
      <c r="N3855" s="21">
        <v>146.18000000000001</v>
      </c>
      <c r="O3855" s="22">
        <v>0.81000000000000005</v>
      </c>
    </row>
    <row r="3856" ht="51">
      <c r="A3856" t="s">
        <v>3821</v>
      </c>
      <c r="B3856" s="19">
        <v>92571</v>
      </c>
      <c r="C3856" s="20" t="s">
        <v>3935</v>
      </c>
      <c r="D3856" s="19" t="s">
        <v>29</v>
      </c>
      <c r="E3856" s="21">
        <f t="shared" si="179"/>
        <v>144.74000000000001</v>
      </c>
      <c r="F3856" s="22">
        <v>0</v>
      </c>
      <c r="G3856" s="21">
        <f t="shared" si="180"/>
        <v>143.37</v>
      </c>
      <c r="H3856" s="22">
        <v>0</v>
      </c>
      <c r="I3856" s="23" t="str">
        <f t="shared" si="181"/>
        <v xml:space="preserve">COM VALOR</v>
      </c>
      <c r="J3856" s="19"/>
      <c r="L3856" s="21">
        <v>144.74000000000001</v>
      </c>
      <c r="M3856" s="22">
        <v>0.81000000000000005</v>
      </c>
      <c r="N3856" s="21">
        <v>143.37</v>
      </c>
      <c r="O3856" s="22">
        <v>0.81999999999999995</v>
      </c>
    </row>
    <row r="3857" ht="38.25">
      <c r="A3857" t="s">
        <v>3821</v>
      </c>
      <c r="B3857" s="19">
        <v>92581</v>
      </c>
      <c r="C3857" s="20" t="s">
        <v>3936</v>
      </c>
      <c r="D3857" s="19" t="s">
        <v>29</v>
      </c>
      <c r="E3857" s="21">
        <f t="shared" si="179"/>
        <v>51.990000000000002</v>
      </c>
      <c r="F3857" s="22">
        <v>0.12</v>
      </c>
      <c r="G3857" s="21">
        <f t="shared" si="180"/>
        <v>51.359999999999999</v>
      </c>
      <c r="H3857" s="22">
        <v>0.12</v>
      </c>
      <c r="I3857" s="23" t="str">
        <f t="shared" si="181"/>
        <v xml:space="preserve">COM VALOR</v>
      </c>
      <c r="J3857" s="19"/>
      <c r="L3857" s="21">
        <v>51.990000000000002</v>
      </c>
      <c r="M3857" s="22">
        <v>0.77000000000000002</v>
      </c>
      <c r="N3857" s="21">
        <v>51.359999999999999</v>
      </c>
      <c r="O3857" s="22">
        <v>0.78000000000000003</v>
      </c>
    </row>
    <row r="3858" ht="51">
      <c r="A3858" t="s">
        <v>3821</v>
      </c>
      <c r="B3858" s="19">
        <v>104314</v>
      </c>
      <c r="C3858" s="20" t="s">
        <v>3937</v>
      </c>
      <c r="D3858" s="19" t="s">
        <v>302</v>
      </c>
      <c r="E3858" s="21">
        <f t="shared" si="179"/>
        <v>11.609999999999999</v>
      </c>
      <c r="F3858" s="22">
        <v>0.14000000000000001</v>
      </c>
      <c r="G3858" s="21">
        <f t="shared" si="180"/>
        <v>11.449999999999999</v>
      </c>
      <c r="H3858" s="22">
        <v>0.14000000000000001</v>
      </c>
      <c r="I3858" s="23" t="str">
        <f t="shared" si="181"/>
        <v xml:space="preserve">COM VALOR</v>
      </c>
      <c r="J3858" s="19"/>
      <c r="L3858" s="21">
        <v>11.609999999999999</v>
      </c>
      <c r="M3858" s="22">
        <v>0.75</v>
      </c>
      <c r="N3858" s="21">
        <v>11.449999999999999</v>
      </c>
      <c r="O3858" s="22">
        <v>0.76000000000000001</v>
      </c>
    </row>
    <row r="3859" ht="51">
      <c r="A3859" t="s">
        <v>3821</v>
      </c>
      <c r="B3859" s="19">
        <v>92580</v>
      </c>
      <c r="C3859" s="20" t="s">
        <v>3938</v>
      </c>
      <c r="D3859" s="19" t="s">
        <v>29</v>
      </c>
      <c r="E3859" s="21">
        <f t="shared" si="179"/>
        <v>50.369999999999997</v>
      </c>
      <c r="F3859" s="22">
        <v>8.0000000000000002e-002</v>
      </c>
      <c r="G3859" s="21">
        <f t="shared" si="180"/>
        <v>49.700000000000003</v>
      </c>
      <c r="H3859" s="22">
        <v>8.9999999999999997e-002</v>
      </c>
      <c r="I3859" s="23" t="str">
        <f t="shared" si="181"/>
        <v xml:space="preserve">COM VALOR</v>
      </c>
      <c r="J3859" s="19"/>
      <c r="L3859" s="21">
        <v>50.369999999999997</v>
      </c>
      <c r="M3859" s="22">
        <v>0.73999999999999999</v>
      </c>
      <c r="N3859" s="21">
        <v>49.700000000000003</v>
      </c>
      <c r="O3859" s="22">
        <v>0.75</v>
      </c>
    </row>
    <row r="3860" ht="38.25">
      <c r="A3860" t="s">
        <v>3821</v>
      </c>
      <c r="B3860" s="19">
        <v>92539</v>
      </c>
      <c r="C3860" s="20" t="s">
        <v>3939</v>
      </c>
      <c r="D3860" s="19" t="s">
        <v>29</v>
      </c>
      <c r="E3860" s="21">
        <f t="shared" si="179"/>
        <v>93.090000000000003</v>
      </c>
      <c r="F3860" s="22">
        <v>0.12</v>
      </c>
      <c r="G3860" s="21">
        <f t="shared" si="180"/>
        <v>91.319999999999993</v>
      </c>
      <c r="H3860" s="22">
        <v>0.13</v>
      </c>
      <c r="I3860" s="23" t="str">
        <f t="shared" si="181"/>
        <v xml:space="preserve">COM VALOR</v>
      </c>
      <c r="J3860" s="19"/>
      <c r="L3860" s="21">
        <v>93.090000000000003</v>
      </c>
      <c r="M3860" s="22">
        <v>0</v>
      </c>
      <c r="N3860" s="21">
        <v>91.319999999999993</v>
      </c>
      <c r="O3860" s="22">
        <v>0</v>
      </c>
    </row>
    <row r="3861" ht="38.25">
      <c r="A3861" t="s">
        <v>3821</v>
      </c>
      <c r="B3861" s="19">
        <v>92540</v>
      </c>
      <c r="C3861" s="20" t="s">
        <v>3940</v>
      </c>
      <c r="D3861" s="19" t="s">
        <v>29</v>
      </c>
      <c r="E3861" s="21">
        <f t="shared" si="179"/>
        <v>103.81999999999999</v>
      </c>
      <c r="F3861" s="22">
        <v>0.14000000000000001</v>
      </c>
      <c r="G3861" s="21">
        <f t="shared" si="180"/>
        <v>101.66</v>
      </c>
      <c r="H3861" s="22">
        <v>0.14999999999999999</v>
      </c>
      <c r="I3861" s="23" t="str">
        <f t="shared" si="181"/>
        <v xml:space="preserve">COM VALOR</v>
      </c>
      <c r="J3861" s="19"/>
      <c r="L3861" s="21">
        <v>103.81999999999999</v>
      </c>
      <c r="M3861" s="22">
        <v>0</v>
      </c>
      <c r="N3861" s="21">
        <v>101.66</v>
      </c>
      <c r="O3861" s="22">
        <v>0</v>
      </c>
    </row>
    <row r="3862" ht="38.25">
      <c r="A3862" t="s">
        <v>3821</v>
      </c>
      <c r="B3862" s="19">
        <v>92544</v>
      </c>
      <c r="C3862" s="20" t="s">
        <v>3941</v>
      </c>
      <c r="D3862" s="19" t="s">
        <v>29</v>
      </c>
      <c r="E3862" s="21">
        <f t="shared" si="179"/>
        <v>22.800000000000001</v>
      </c>
      <c r="F3862" s="22">
        <v>0.13</v>
      </c>
      <c r="G3862" s="21">
        <f t="shared" si="180"/>
        <v>22.420000000000002</v>
      </c>
      <c r="H3862" s="22">
        <v>0.13</v>
      </c>
      <c r="I3862" s="23" t="str">
        <f t="shared" si="181"/>
        <v xml:space="preserve">COM VALOR</v>
      </c>
      <c r="J3862" s="19"/>
      <c r="L3862" s="21">
        <v>22.800000000000001</v>
      </c>
      <c r="M3862" s="22">
        <v>0</v>
      </c>
      <c r="N3862" s="21">
        <v>22.420000000000002</v>
      </c>
      <c r="O3862" s="22">
        <v>0</v>
      </c>
    </row>
    <row r="3863" ht="38.25">
      <c r="A3863" t="s">
        <v>3821</v>
      </c>
      <c r="B3863" s="19">
        <v>92543</v>
      </c>
      <c r="C3863" s="20" t="s">
        <v>3942</v>
      </c>
      <c r="D3863" s="19" t="s">
        <v>29</v>
      </c>
      <c r="E3863" s="21">
        <f t="shared" si="179"/>
        <v>28.539999999999999</v>
      </c>
      <c r="F3863" s="22">
        <v>0.14999999999999999</v>
      </c>
      <c r="G3863" s="21">
        <f t="shared" si="180"/>
        <v>28.07</v>
      </c>
      <c r="H3863" s="22">
        <v>0.16</v>
      </c>
      <c r="I3863" s="23" t="str">
        <f t="shared" si="181"/>
        <v xml:space="preserve">COM VALOR</v>
      </c>
      <c r="J3863" s="19"/>
      <c r="L3863" s="21">
        <v>28.539999999999999</v>
      </c>
      <c r="M3863" s="22">
        <v>0</v>
      </c>
      <c r="N3863" s="21">
        <v>28.07</v>
      </c>
      <c r="O3863" s="22">
        <v>0</v>
      </c>
    </row>
    <row r="3864" ht="25.5">
      <c r="A3864" t="s">
        <v>3943</v>
      </c>
      <c r="B3864" s="19">
        <v>97725</v>
      </c>
      <c r="C3864" s="20" t="s">
        <v>3944</v>
      </c>
      <c r="D3864" s="19" t="s">
        <v>121</v>
      </c>
      <c r="E3864" s="21" t="str">
        <f t="shared" si="179"/>
        <v>VERIFICAR</v>
      </c>
      <c r="F3864" s="22">
        <v>8.9999999999999997e-002</v>
      </c>
      <c r="G3864" s="21" t="str">
        <f t="shared" si="180"/>
        <v>VERIFICAR</v>
      </c>
      <c r="H3864" s="22">
        <v>0.10000000000000001</v>
      </c>
      <c r="I3864" s="23" t="str">
        <f t="shared" si="181"/>
        <v xml:space="preserve">COM VALOR</v>
      </c>
      <c r="J3864" s="19"/>
      <c r="L3864" s="21">
        <v>0</v>
      </c>
      <c r="M3864" s="22"/>
      <c r="N3864" s="21">
        <v>0</v>
      </c>
      <c r="O3864" s="22"/>
    </row>
    <row r="3865" ht="25.5">
      <c r="A3865" t="s">
        <v>3943</v>
      </c>
      <c r="B3865" s="19">
        <v>97721</v>
      </c>
      <c r="C3865" s="20" t="s">
        <v>3945</v>
      </c>
      <c r="D3865" s="19" t="s">
        <v>121</v>
      </c>
      <c r="E3865" s="21" t="str">
        <f t="shared" si="179"/>
        <v>VERIFICAR</v>
      </c>
      <c r="F3865" s="22">
        <v>0.11</v>
      </c>
      <c r="G3865" s="21" t="str">
        <f t="shared" si="180"/>
        <v>VERIFICAR</v>
      </c>
      <c r="H3865" s="22">
        <v>0.12</v>
      </c>
      <c r="I3865" s="23" t="str">
        <f t="shared" si="181"/>
        <v xml:space="preserve">COM VALOR</v>
      </c>
      <c r="J3865" s="19"/>
      <c r="L3865" s="21">
        <v>0</v>
      </c>
      <c r="M3865" s="22"/>
      <c r="N3865" s="21">
        <v>0</v>
      </c>
      <c r="O3865" s="22"/>
    </row>
    <row r="3866" ht="25.5">
      <c r="A3866" t="s">
        <v>3943</v>
      </c>
      <c r="B3866" s="19">
        <v>97722</v>
      </c>
      <c r="C3866" s="20" t="s">
        <v>3946</v>
      </c>
      <c r="D3866" s="19" t="s">
        <v>121</v>
      </c>
      <c r="E3866" s="21" t="str">
        <f t="shared" si="179"/>
        <v>VERIFICAR</v>
      </c>
      <c r="F3866" s="22">
        <v>0.13</v>
      </c>
      <c r="G3866" s="21" t="str">
        <f t="shared" si="180"/>
        <v>VERIFICAR</v>
      </c>
      <c r="H3866" s="22">
        <v>0.13</v>
      </c>
      <c r="I3866" s="23" t="str">
        <f t="shared" si="181"/>
        <v xml:space="preserve">COM VALOR</v>
      </c>
      <c r="J3866" s="19"/>
      <c r="L3866" s="21">
        <v>0</v>
      </c>
      <c r="M3866" s="22"/>
      <c r="N3866" s="21">
        <v>0</v>
      </c>
      <c r="O3866" s="22"/>
    </row>
    <row r="3867" ht="25.5">
      <c r="A3867" t="s">
        <v>3943</v>
      </c>
      <c r="B3867" s="19">
        <v>97724</v>
      </c>
      <c r="C3867" s="20" t="s">
        <v>3947</v>
      </c>
      <c r="D3867" s="19" t="s">
        <v>121</v>
      </c>
      <c r="E3867" s="21" t="str">
        <f t="shared" si="179"/>
        <v>VERIFICAR</v>
      </c>
      <c r="F3867" s="22">
        <v>8.0000000000000002e-002</v>
      </c>
      <c r="G3867" s="21" t="str">
        <f t="shared" si="180"/>
        <v>VERIFICAR</v>
      </c>
      <c r="H3867" s="22">
        <v>8.0000000000000002e-002</v>
      </c>
      <c r="I3867" s="23" t="str">
        <f t="shared" si="181"/>
        <v xml:space="preserve">COM VALOR</v>
      </c>
      <c r="J3867" s="19"/>
      <c r="L3867" s="21">
        <v>0</v>
      </c>
      <c r="M3867" s="22"/>
      <c r="N3867" s="21">
        <v>0</v>
      </c>
      <c r="O3867" s="22"/>
    </row>
    <row r="3868" ht="25.5">
      <c r="A3868" t="s">
        <v>3943</v>
      </c>
      <c r="B3868" s="19">
        <v>97719</v>
      </c>
      <c r="C3868" s="20" t="s">
        <v>3948</v>
      </c>
      <c r="D3868" s="19" t="s">
        <v>121</v>
      </c>
      <c r="E3868" s="21" t="str">
        <f t="shared" si="179"/>
        <v>VERIFICAR</v>
      </c>
      <c r="F3868" s="22">
        <v>0.12</v>
      </c>
      <c r="G3868" s="21" t="str">
        <f t="shared" si="180"/>
        <v>VERIFICAR</v>
      </c>
      <c r="H3868" s="22">
        <v>0.12</v>
      </c>
      <c r="I3868" s="23" t="str">
        <f t="shared" si="181"/>
        <v xml:space="preserve">COM VALOR</v>
      </c>
      <c r="J3868" s="19"/>
      <c r="L3868" s="21">
        <v>0</v>
      </c>
      <c r="M3868" s="22"/>
      <c r="N3868" s="21">
        <v>0</v>
      </c>
      <c r="O3868" s="22"/>
    </row>
    <row r="3869" ht="25.5">
      <c r="A3869" t="s">
        <v>3943</v>
      </c>
      <c r="B3869" s="19">
        <v>97723</v>
      </c>
      <c r="C3869" s="20" t="s">
        <v>3949</v>
      </c>
      <c r="D3869" s="19" t="s">
        <v>121</v>
      </c>
      <c r="E3869" s="21" t="str">
        <f t="shared" si="179"/>
        <v>VERIFICAR</v>
      </c>
      <c r="F3869" s="22">
        <v>0.13</v>
      </c>
      <c r="G3869" s="21" t="str">
        <f t="shared" si="180"/>
        <v>VERIFICAR</v>
      </c>
      <c r="H3869" s="22">
        <v>0.14000000000000001</v>
      </c>
      <c r="I3869" s="23" t="str">
        <f t="shared" si="181"/>
        <v xml:space="preserve">COM VALOR</v>
      </c>
      <c r="J3869" s="19"/>
      <c r="L3869" s="21">
        <v>0</v>
      </c>
      <c r="M3869" s="22"/>
      <c r="N3869" s="21">
        <v>0</v>
      </c>
      <c r="O3869" s="22"/>
    </row>
    <row r="3870" ht="25.5">
      <c r="A3870" t="s">
        <v>3943</v>
      </c>
      <c r="B3870" s="19">
        <v>104946</v>
      </c>
      <c r="C3870" s="20" t="s">
        <v>3950</v>
      </c>
      <c r="D3870" s="19" t="s">
        <v>121</v>
      </c>
      <c r="E3870" s="21" t="str">
        <f t="shared" si="179"/>
        <v>VERIFICAR</v>
      </c>
      <c r="F3870" s="22">
        <v>0.12</v>
      </c>
      <c r="G3870" s="21" t="str">
        <f t="shared" si="180"/>
        <v>VERIFICAR</v>
      </c>
      <c r="H3870" s="22">
        <v>0.13</v>
      </c>
      <c r="I3870" s="23" t="str">
        <f t="shared" si="181"/>
        <v xml:space="preserve">COM VALOR</v>
      </c>
      <c r="J3870" s="19"/>
      <c r="L3870" s="21">
        <v>0</v>
      </c>
      <c r="M3870" s="22"/>
      <c r="N3870" s="21">
        <v>0</v>
      </c>
      <c r="O3870" s="22"/>
    </row>
    <row r="3871" ht="25.5">
      <c r="A3871" t="s">
        <v>3943</v>
      </c>
      <c r="B3871" s="19">
        <v>104944</v>
      </c>
      <c r="C3871" s="20" t="s">
        <v>3951</v>
      </c>
      <c r="D3871" s="19" t="s">
        <v>121</v>
      </c>
      <c r="E3871" s="21" t="str">
        <f t="shared" si="179"/>
        <v>VERIFICAR</v>
      </c>
      <c r="F3871" s="22">
        <v>0.14000000000000001</v>
      </c>
      <c r="G3871" s="21" t="str">
        <f t="shared" si="180"/>
        <v>VERIFICAR</v>
      </c>
      <c r="H3871" s="22">
        <v>0.14999999999999999</v>
      </c>
      <c r="I3871" s="23" t="str">
        <f t="shared" si="181"/>
        <v xml:space="preserve">COM VALOR</v>
      </c>
      <c r="J3871" s="19"/>
      <c r="L3871" s="21">
        <v>0</v>
      </c>
      <c r="M3871" s="22"/>
      <c r="N3871" s="21">
        <v>0</v>
      </c>
      <c r="O3871" s="22"/>
    </row>
    <row r="3872" ht="25.5">
      <c r="A3872" t="s">
        <v>3943</v>
      </c>
      <c r="B3872" s="19">
        <v>104945</v>
      </c>
      <c r="C3872" s="20" t="s">
        <v>3952</v>
      </c>
      <c r="D3872" s="19" t="s">
        <v>121</v>
      </c>
      <c r="E3872" s="21" t="str">
        <f t="shared" si="179"/>
        <v>VERIFICAR</v>
      </c>
      <c r="F3872" s="22">
        <v>8.9999999999999997e-002</v>
      </c>
      <c r="G3872" s="21" t="str">
        <f t="shared" si="180"/>
        <v>VERIFICAR</v>
      </c>
      <c r="H3872" s="22">
        <v>8.9999999999999997e-002</v>
      </c>
      <c r="I3872" s="23" t="str">
        <f t="shared" si="181"/>
        <v xml:space="preserve">COM VALOR</v>
      </c>
      <c r="J3872" s="19"/>
      <c r="L3872" s="21">
        <v>0</v>
      </c>
      <c r="M3872" s="22"/>
      <c r="N3872" s="21">
        <v>0</v>
      </c>
      <c r="O3872" s="22"/>
    </row>
    <row r="3873" ht="25.5">
      <c r="A3873" t="s">
        <v>3943</v>
      </c>
      <c r="B3873" s="19">
        <v>97720</v>
      </c>
      <c r="C3873" s="20" t="s">
        <v>3953</v>
      </c>
      <c r="D3873" s="19" t="s">
        <v>121</v>
      </c>
      <c r="E3873" s="21" t="str">
        <f t="shared" si="179"/>
        <v>VERIFICAR</v>
      </c>
      <c r="F3873" s="22">
        <v>0.13</v>
      </c>
      <c r="G3873" s="21" t="str">
        <f t="shared" si="180"/>
        <v>VERIFICAR</v>
      </c>
      <c r="H3873" s="22">
        <v>0.13</v>
      </c>
      <c r="I3873" s="23" t="str">
        <f t="shared" si="181"/>
        <v xml:space="preserve">COM VALOR</v>
      </c>
      <c r="J3873" s="19"/>
      <c r="L3873" s="21">
        <v>0</v>
      </c>
      <c r="M3873" s="22"/>
      <c r="N3873" s="21">
        <v>0</v>
      </c>
      <c r="O3873" s="22"/>
    </row>
    <row r="3874" ht="25.5">
      <c r="A3874" t="s">
        <v>3943</v>
      </c>
      <c r="B3874" s="19">
        <v>97740</v>
      </c>
      <c r="C3874" s="20" t="s">
        <v>3954</v>
      </c>
      <c r="D3874" s="19" t="s">
        <v>121</v>
      </c>
      <c r="E3874" s="21">
        <f t="shared" si="179"/>
        <v>2019.7</v>
      </c>
      <c r="F3874" s="22">
        <v>0.14999999999999999</v>
      </c>
      <c r="G3874" s="21">
        <f t="shared" si="180"/>
        <v>1976.73</v>
      </c>
      <c r="H3874" s="22">
        <v>0.14999999999999999</v>
      </c>
      <c r="I3874" s="23" t="str">
        <f t="shared" si="181"/>
        <v xml:space="preserve">COM VALOR</v>
      </c>
      <c r="J3874" s="19"/>
      <c r="L3874" s="21">
        <v>2019.7</v>
      </c>
      <c r="M3874" s="22">
        <v>5.9999999999999998e-002</v>
      </c>
      <c r="N3874" s="21">
        <v>1976.73</v>
      </c>
      <c r="O3874" s="22">
        <v>5.9999999999999998e-002</v>
      </c>
    </row>
    <row r="3875" ht="38.25">
      <c r="A3875" t="s">
        <v>3943</v>
      </c>
      <c r="B3875" s="19">
        <v>97738</v>
      </c>
      <c r="C3875" s="20" t="s">
        <v>3955</v>
      </c>
      <c r="D3875" s="19" t="s">
        <v>121</v>
      </c>
      <c r="E3875" s="21">
        <f t="shared" si="179"/>
        <v>3922.8200000000002</v>
      </c>
      <c r="F3875" s="22">
        <v>8.9999999999999997e-002</v>
      </c>
      <c r="G3875" s="21">
        <f t="shared" si="180"/>
        <v>3780.9200000000001</v>
      </c>
      <c r="H3875" s="22">
        <v>8.9999999999999997e-002</v>
      </c>
      <c r="I3875" s="23" t="str">
        <f t="shared" si="181"/>
        <v xml:space="preserve">COM VALOR</v>
      </c>
      <c r="J3875" s="19"/>
      <c r="L3875" s="21">
        <v>3922.8200000000002</v>
      </c>
      <c r="M3875" s="22">
        <v>0</v>
      </c>
      <c r="N3875" s="21">
        <v>3780.9200000000001</v>
      </c>
      <c r="O3875" s="22">
        <v>0</v>
      </c>
    </row>
    <row r="3876" ht="25.5">
      <c r="A3876" t="s">
        <v>3943</v>
      </c>
      <c r="B3876" s="19">
        <v>97739</v>
      </c>
      <c r="C3876" s="20" t="s">
        <v>3956</v>
      </c>
      <c r="D3876" s="19" t="s">
        <v>121</v>
      </c>
      <c r="E3876" s="21">
        <f t="shared" si="179"/>
        <v>2861.54</v>
      </c>
      <c r="F3876" s="22">
        <v>0.13</v>
      </c>
      <c r="G3876" s="21">
        <f t="shared" si="180"/>
        <v>2768.9299999999998</v>
      </c>
      <c r="H3876" s="22">
        <v>0.13</v>
      </c>
      <c r="I3876" s="23" t="str">
        <f t="shared" si="181"/>
        <v xml:space="preserve">COM VALOR</v>
      </c>
      <c r="J3876" s="19"/>
      <c r="L3876" s="21">
        <v>2861.54</v>
      </c>
      <c r="M3876" s="22">
        <v>1.e-002</v>
      </c>
      <c r="N3876" s="21">
        <v>2768.9299999999998</v>
      </c>
      <c r="O3876" s="22">
        <v>1.e-002</v>
      </c>
    </row>
    <row r="3877" ht="25.5">
      <c r="A3877" t="s">
        <v>3943</v>
      </c>
      <c r="B3877" s="19">
        <v>97736</v>
      </c>
      <c r="C3877" s="20" t="s">
        <v>3957</v>
      </c>
      <c r="D3877" s="19" t="s">
        <v>121</v>
      </c>
      <c r="E3877" s="21">
        <f t="shared" si="179"/>
        <v>1484.78</v>
      </c>
      <c r="F3877" s="22">
        <v>0.14999999999999999</v>
      </c>
      <c r="G3877" s="21">
        <f t="shared" si="180"/>
        <v>1452.3299999999999</v>
      </c>
      <c r="H3877" s="22">
        <v>0.16</v>
      </c>
      <c r="I3877" s="23" t="str">
        <f t="shared" si="181"/>
        <v xml:space="preserve">COM VALOR</v>
      </c>
      <c r="J3877" s="19"/>
      <c r="L3877" s="21">
        <v>1484.78</v>
      </c>
      <c r="M3877" s="22">
        <v>7.0000000000000007e-002</v>
      </c>
      <c r="N3877" s="21">
        <v>1452.3299999999999</v>
      </c>
      <c r="O3877" s="22">
        <v>6.7500000000000004e-002</v>
      </c>
    </row>
    <row r="3878" ht="25.5">
      <c r="A3878" t="s">
        <v>3943</v>
      </c>
      <c r="B3878" s="19">
        <v>97734</v>
      </c>
      <c r="C3878" s="20" t="s">
        <v>3958</v>
      </c>
      <c r="D3878" s="19" t="s">
        <v>121</v>
      </c>
      <c r="E3878" s="21">
        <f t="shared" si="179"/>
        <v>2995.27</v>
      </c>
      <c r="F3878" s="22">
        <v>0.13</v>
      </c>
      <c r="G3878" s="21">
        <f t="shared" si="180"/>
        <v>2878</v>
      </c>
      <c r="H3878" s="22">
        <v>0.14000000000000001</v>
      </c>
      <c r="I3878" s="23" t="str">
        <f t="shared" si="181"/>
        <v xml:space="preserve">COM VALOR</v>
      </c>
      <c r="J3878" s="19"/>
      <c r="L3878" s="21">
        <v>2995.27</v>
      </c>
      <c r="M3878" s="22">
        <v>1.e-002</v>
      </c>
      <c r="N3878" s="21">
        <v>2878</v>
      </c>
      <c r="O3878" s="22">
        <v>1.e-002</v>
      </c>
    </row>
    <row r="3879" ht="25.5">
      <c r="A3879" t="s">
        <v>3943</v>
      </c>
      <c r="B3879" s="19">
        <v>97735</v>
      </c>
      <c r="C3879" s="20" t="s">
        <v>3959</v>
      </c>
      <c r="D3879" s="19" t="s">
        <v>121</v>
      </c>
      <c r="E3879" s="21">
        <f t="shared" si="179"/>
        <v>2452.9000000000001</v>
      </c>
      <c r="F3879" s="22">
        <v>0.16</v>
      </c>
      <c r="G3879" s="21">
        <f t="shared" si="180"/>
        <v>2365.3099999999999</v>
      </c>
      <c r="H3879" s="22">
        <v>0.17000000000000001</v>
      </c>
      <c r="I3879" s="23" t="str">
        <f t="shared" si="181"/>
        <v xml:space="preserve">COM VALOR</v>
      </c>
      <c r="J3879" s="19"/>
      <c r="L3879" s="21">
        <v>2452.9000000000001</v>
      </c>
      <c r="M3879" s="22">
        <v>1.e-002</v>
      </c>
      <c r="N3879" s="21">
        <v>2365.3099999999999</v>
      </c>
      <c r="O3879" s="22">
        <v>1.2500000000000001e-002</v>
      </c>
    </row>
    <row r="3880" ht="25.5">
      <c r="A3880" t="s">
        <v>3943</v>
      </c>
      <c r="B3880" s="19">
        <v>97737</v>
      </c>
      <c r="C3880" s="20" t="s">
        <v>3960</v>
      </c>
      <c r="D3880" s="19" t="s">
        <v>121</v>
      </c>
      <c r="E3880" s="21">
        <f t="shared" si="179"/>
        <v>3199.9699999999998</v>
      </c>
      <c r="F3880" s="22">
        <v>0.10000000000000001</v>
      </c>
      <c r="G3880" s="21">
        <f t="shared" si="180"/>
        <v>3095.6700000000001</v>
      </c>
      <c r="H3880" s="22">
        <v>0.10000000000000001</v>
      </c>
      <c r="I3880" s="23" t="str">
        <f t="shared" si="181"/>
        <v xml:space="preserve">COM VALOR</v>
      </c>
      <c r="J3880" s="19"/>
      <c r="L3880" s="21">
        <v>3199.9699999999998</v>
      </c>
      <c r="M3880" s="22">
        <v>1.e-002</v>
      </c>
      <c r="N3880" s="21">
        <v>3095.6700000000001</v>
      </c>
      <c r="O3880" s="22">
        <v>1.e-002</v>
      </c>
    </row>
    <row r="3881" ht="25.5">
      <c r="A3881" t="s">
        <v>3943</v>
      </c>
      <c r="B3881" s="19">
        <v>97733</v>
      </c>
      <c r="C3881" s="20" t="s">
        <v>3961</v>
      </c>
      <c r="D3881" s="19" t="s">
        <v>121</v>
      </c>
      <c r="E3881" s="21">
        <f t="shared" si="179"/>
        <v>3410.4200000000001</v>
      </c>
      <c r="F3881" s="22">
        <v>5.0000000000000003e-002</v>
      </c>
      <c r="G3881" s="21">
        <f t="shared" si="180"/>
        <v>3279.3200000000002</v>
      </c>
      <c r="H3881" s="22">
        <v>5.0000000000000003e-002</v>
      </c>
      <c r="I3881" s="23" t="str">
        <f t="shared" si="181"/>
        <v xml:space="preserve">COM VALOR</v>
      </c>
      <c r="J3881" s="19"/>
      <c r="L3881" s="21">
        <v>3410.4200000000001</v>
      </c>
      <c r="M3881" s="22">
        <v>1.2500000000000001e-002</v>
      </c>
      <c r="N3881" s="21">
        <v>3279.3200000000002</v>
      </c>
      <c r="O3881" s="22">
        <v>1.e-002</v>
      </c>
    </row>
    <row r="3882" ht="25.5">
      <c r="A3882" t="s">
        <v>3962</v>
      </c>
      <c r="B3882" s="19">
        <v>98616</v>
      </c>
      <c r="C3882" s="20" t="s">
        <v>3963</v>
      </c>
      <c r="D3882" s="19" t="s">
        <v>29</v>
      </c>
      <c r="E3882" s="21">
        <f t="shared" si="179"/>
        <v>269.14999999999998</v>
      </c>
      <c r="F3882" s="22"/>
      <c r="G3882" s="21">
        <f t="shared" si="180"/>
        <v>267.11000000000001</v>
      </c>
      <c r="H3882" s="22"/>
      <c r="I3882" s="23" t="str">
        <f t="shared" si="181"/>
        <v xml:space="preserve">COM VALOR</v>
      </c>
      <c r="J3882" s="19"/>
      <c r="L3882" s="21">
        <v>269.14999999999998</v>
      </c>
      <c r="M3882" s="22">
        <v>4.0000000000000001e-002</v>
      </c>
      <c r="N3882" s="21">
        <v>267.11000000000001</v>
      </c>
      <c r="O3882" s="22">
        <v>4.0000000000000001e-002</v>
      </c>
    </row>
    <row r="3883" ht="25.5">
      <c r="A3883" t="s">
        <v>3962</v>
      </c>
      <c r="B3883" s="19">
        <v>98619</v>
      </c>
      <c r="C3883" s="20" t="s">
        <v>3964</v>
      </c>
      <c r="D3883" s="19" t="s">
        <v>29</v>
      </c>
      <c r="E3883" s="21">
        <f t="shared" si="179"/>
        <v>295.87</v>
      </c>
      <c r="F3883" s="22"/>
      <c r="G3883" s="21">
        <f t="shared" si="180"/>
        <v>294.13</v>
      </c>
      <c r="H3883" s="22"/>
      <c r="I3883" s="23" t="str">
        <f t="shared" si="181"/>
        <v xml:space="preserve">COM VALOR</v>
      </c>
      <c r="J3883" s="19"/>
      <c r="L3883" s="21">
        <v>295.87</v>
      </c>
      <c r="M3883" s="22">
        <v>2.9999999999999999e-002</v>
      </c>
      <c r="N3883" s="21">
        <v>294.13</v>
      </c>
      <c r="O3883" s="22">
        <v>2.9999999999999999e-002</v>
      </c>
    </row>
    <row r="3884" ht="25.5">
      <c r="A3884" t="s">
        <v>3962</v>
      </c>
      <c r="B3884" s="19">
        <v>98622</v>
      </c>
      <c r="C3884" s="20" t="s">
        <v>3965</v>
      </c>
      <c r="D3884" s="19" t="s">
        <v>29</v>
      </c>
      <c r="E3884" s="21">
        <f t="shared" si="179"/>
        <v>454.42000000000002</v>
      </c>
      <c r="F3884" s="22"/>
      <c r="G3884" s="21">
        <f t="shared" si="180"/>
        <v>451.69999999999999</v>
      </c>
      <c r="H3884" s="22"/>
      <c r="I3884" s="23" t="str">
        <f t="shared" si="181"/>
        <v xml:space="preserve">COM VALOR</v>
      </c>
      <c r="J3884" s="19"/>
      <c r="L3884" s="21">
        <v>454.42000000000002</v>
      </c>
      <c r="M3884" s="22">
        <v>2.9999999999999999e-002</v>
      </c>
      <c r="N3884" s="21">
        <v>451.69999999999999</v>
      </c>
      <c r="O3884" s="22">
        <v>2.9999999999999999e-002</v>
      </c>
    </row>
    <row r="3885" ht="25.5">
      <c r="A3885" t="s">
        <v>3962</v>
      </c>
      <c r="B3885" s="19">
        <v>98625</v>
      </c>
      <c r="C3885" s="20" t="s">
        <v>3966</v>
      </c>
      <c r="D3885" s="19" t="s">
        <v>29</v>
      </c>
      <c r="E3885" s="21">
        <f t="shared" si="179"/>
        <v>479.87</v>
      </c>
      <c r="F3885" s="22"/>
      <c r="G3885" s="21">
        <f t="shared" si="180"/>
        <v>477.88</v>
      </c>
      <c r="H3885" s="22"/>
      <c r="I3885" s="23" t="str">
        <f t="shared" si="181"/>
        <v xml:space="preserve">COM VALOR</v>
      </c>
      <c r="J3885" s="19"/>
      <c r="L3885" s="21">
        <v>479.87</v>
      </c>
      <c r="M3885" s="22">
        <v>2.e-002</v>
      </c>
      <c r="N3885" s="21">
        <v>477.88</v>
      </c>
      <c r="O3885" s="22">
        <v>2.e-002</v>
      </c>
    </row>
    <row r="3886" ht="25.5">
      <c r="A3886" t="s">
        <v>3962</v>
      </c>
      <c r="B3886" s="19">
        <v>105918</v>
      </c>
      <c r="C3886" s="20" t="s">
        <v>3967</v>
      </c>
      <c r="D3886" s="19" t="s">
        <v>29</v>
      </c>
      <c r="E3886" s="21" t="str">
        <f t="shared" si="179"/>
        <v>VERIFICAR</v>
      </c>
      <c r="F3886" s="22"/>
      <c r="G3886" s="21" t="str">
        <f t="shared" si="180"/>
        <v>VERIFICAR</v>
      </c>
      <c r="H3886" s="22"/>
      <c r="I3886" s="23" t="str">
        <f t="shared" si="181"/>
        <v xml:space="preserve">COM VALOR</v>
      </c>
      <c r="J3886" s="19"/>
      <c r="L3886" s="21">
        <v>0</v>
      </c>
      <c r="M3886" s="22"/>
      <c r="N3886" s="21">
        <v>0</v>
      </c>
      <c r="O3886" s="22"/>
    </row>
    <row r="3887" ht="25.5">
      <c r="A3887" t="s">
        <v>3962</v>
      </c>
      <c r="B3887" s="19">
        <v>98631</v>
      </c>
      <c r="C3887" s="20" t="s">
        <v>3968</v>
      </c>
      <c r="D3887" s="19" t="s">
        <v>29</v>
      </c>
      <c r="E3887" s="21" t="str">
        <f t="shared" si="179"/>
        <v>VERIFICAR</v>
      </c>
      <c r="F3887" s="22"/>
      <c r="G3887" s="21" t="str">
        <f t="shared" si="180"/>
        <v>VERIFICAR</v>
      </c>
      <c r="H3887" s="22"/>
      <c r="I3887" s="23" t="str">
        <f t="shared" si="181"/>
        <v xml:space="preserve">COM VALOR</v>
      </c>
      <c r="J3887" s="19"/>
      <c r="L3887" s="21">
        <v>0</v>
      </c>
      <c r="M3887" s="22"/>
      <c r="N3887" s="21">
        <v>0</v>
      </c>
      <c r="O3887" s="22"/>
    </row>
    <row r="3888" ht="25.5">
      <c r="A3888" t="s">
        <v>3962</v>
      </c>
      <c r="B3888" s="19">
        <v>98637</v>
      </c>
      <c r="C3888" s="20" t="s">
        <v>3969</v>
      </c>
      <c r="D3888" s="19" t="s">
        <v>121</v>
      </c>
      <c r="E3888" s="21" t="str">
        <f t="shared" si="179"/>
        <v>VERIFICAR</v>
      </c>
      <c r="F3888" s="22"/>
      <c r="G3888" s="21" t="str">
        <f t="shared" si="180"/>
        <v>VERIFICAR</v>
      </c>
      <c r="H3888" s="22"/>
      <c r="I3888" s="23" t="str">
        <f t="shared" si="181"/>
        <v xml:space="preserve">COM VALOR</v>
      </c>
      <c r="J3888" s="19"/>
      <c r="L3888" s="21">
        <v>0</v>
      </c>
      <c r="M3888" s="22"/>
      <c r="N3888" s="21">
        <v>0</v>
      </c>
      <c r="O3888" s="22"/>
    </row>
    <row r="3889" ht="25.5">
      <c r="A3889" t="s">
        <v>3962</v>
      </c>
      <c r="B3889" s="19">
        <v>98641</v>
      </c>
      <c r="C3889" s="20" t="s">
        <v>3970</v>
      </c>
      <c r="D3889" s="19" t="s">
        <v>121</v>
      </c>
      <c r="E3889" s="21" t="str">
        <f t="shared" si="179"/>
        <v>VERIFICAR</v>
      </c>
      <c r="F3889" s="22"/>
      <c r="G3889" s="21" t="str">
        <f t="shared" si="180"/>
        <v>VERIFICAR</v>
      </c>
      <c r="H3889" s="22"/>
      <c r="I3889" s="23" t="str">
        <f t="shared" si="181"/>
        <v xml:space="preserve">COM VALOR</v>
      </c>
      <c r="J3889" s="19"/>
      <c r="L3889" s="21">
        <v>0</v>
      </c>
      <c r="M3889" s="22"/>
      <c r="N3889" s="21">
        <v>0</v>
      </c>
      <c r="O3889" s="22"/>
    </row>
    <row r="3890" ht="25.5">
      <c r="A3890" t="s">
        <v>3962</v>
      </c>
      <c r="B3890" s="19">
        <v>98645</v>
      </c>
      <c r="C3890" s="20" t="s">
        <v>3971</v>
      </c>
      <c r="D3890" s="19" t="s">
        <v>121</v>
      </c>
      <c r="E3890" s="21" t="str">
        <f t="shared" si="179"/>
        <v>VERIFICAR</v>
      </c>
      <c r="F3890" s="22"/>
      <c r="G3890" s="21" t="str">
        <f t="shared" si="180"/>
        <v>VERIFICAR</v>
      </c>
      <c r="H3890" s="22"/>
      <c r="I3890" s="23" t="str">
        <f t="shared" si="181"/>
        <v xml:space="preserve">COM VALOR</v>
      </c>
      <c r="J3890" s="19"/>
      <c r="L3890" s="21">
        <v>0</v>
      </c>
      <c r="M3890" s="22"/>
      <c r="N3890" s="21">
        <v>0</v>
      </c>
      <c r="O3890" s="22"/>
    </row>
    <row r="3891" ht="25.5">
      <c r="A3891" t="s">
        <v>3962</v>
      </c>
      <c r="B3891" s="19">
        <v>98649</v>
      </c>
      <c r="C3891" s="20" t="s">
        <v>3972</v>
      </c>
      <c r="D3891" s="19" t="s">
        <v>121</v>
      </c>
      <c r="E3891" s="21" t="str">
        <f t="shared" si="179"/>
        <v>VERIFICAR</v>
      </c>
      <c r="F3891" s="22"/>
      <c r="G3891" s="21" t="str">
        <f t="shared" si="180"/>
        <v>VERIFICAR</v>
      </c>
      <c r="H3891" s="22"/>
      <c r="I3891" s="23" t="str">
        <f t="shared" si="181"/>
        <v xml:space="preserve">COM VALOR</v>
      </c>
      <c r="J3891" s="19"/>
      <c r="L3891" s="21">
        <v>0</v>
      </c>
      <c r="M3891" s="22"/>
      <c r="N3891" s="21">
        <v>0</v>
      </c>
      <c r="O3891" s="22"/>
    </row>
    <row r="3892" ht="25.5">
      <c r="A3892" t="s">
        <v>3962</v>
      </c>
      <c r="B3892" s="19">
        <v>98653</v>
      </c>
      <c r="C3892" s="20" t="s">
        <v>3973</v>
      </c>
      <c r="D3892" s="19" t="s">
        <v>121</v>
      </c>
      <c r="E3892" s="21" t="str">
        <f t="shared" si="179"/>
        <v>VERIFICAR</v>
      </c>
      <c r="F3892" s="22"/>
      <c r="G3892" s="21" t="str">
        <f t="shared" si="180"/>
        <v>VERIFICAR</v>
      </c>
      <c r="H3892" s="22"/>
      <c r="I3892" s="23" t="str">
        <f t="shared" si="181"/>
        <v xml:space="preserve">COM VALOR</v>
      </c>
      <c r="J3892" s="19"/>
      <c r="L3892" s="21">
        <v>0</v>
      </c>
      <c r="M3892" s="22"/>
      <c r="N3892" s="21">
        <v>0</v>
      </c>
      <c r="O3892" s="22"/>
    </row>
    <row r="3893" ht="25.5">
      <c r="A3893" t="s">
        <v>3962</v>
      </c>
      <c r="B3893" s="19">
        <v>98657</v>
      </c>
      <c r="C3893" s="20" t="s">
        <v>3974</v>
      </c>
      <c r="D3893" s="19" t="s">
        <v>38</v>
      </c>
      <c r="E3893" s="21">
        <f t="shared" si="179"/>
        <v>693.82000000000005</v>
      </c>
      <c r="F3893" s="22"/>
      <c r="G3893" s="21">
        <f t="shared" si="180"/>
        <v>679.39999999999998</v>
      </c>
      <c r="H3893" s="22"/>
      <c r="I3893" s="23" t="str">
        <f t="shared" si="181"/>
        <v xml:space="preserve">COM VALOR</v>
      </c>
      <c r="J3893" s="19"/>
      <c r="L3893" s="21">
        <v>693.82000000000005</v>
      </c>
      <c r="M3893" s="22">
        <v>1.e-002</v>
      </c>
      <c r="N3893" s="21">
        <v>679.39999999999998</v>
      </c>
      <c r="O3893" s="22">
        <v>1.e-002</v>
      </c>
    </row>
    <row r="3894" ht="25.5">
      <c r="A3894" t="s">
        <v>3975</v>
      </c>
      <c r="B3894" s="19">
        <v>100344</v>
      </c>
      <c r="C3894" s="20" t="s">
        <v>3976</v>
      </c>
      <c r="D3894" s="19" t="s">
        <v>302</v>
      </c>
      <c r="E3894" s="21">
        <f t="shared" si="179"/>
        <v>12.1</v>
      </c>
      <c r="F3894" s="22"/>
      <c r="G3894" s="21">
        <f t="shared" si="180"/>
        <v>11.94</v>
      </c>
      <c r="H3894" s="22"/>
      <c r="I3894" s="23" t="str">
        <f t="shared" si="181"/>
        <v xml:space="preserve">COM VALOR</v>
      </c>
      <c r="J3894" s="19"/>
      <c r="L3894" s="21">
        <v>12.1</v>
      </c>
      <c r="M3894" s="22">
        <v>1.e-002</v>
      </c>
      <c r="N3894" s="21">
        <v>11.94</v>
      </c>
      <c r="O3894" s="22">
        <v>1.e-002</v>
      </c>
    </row>
    <row r="3895" ht="25.5">
      <c r="A3895" t="s">
        <v>3975</v>
      </c>
      <c r="B3895" s="19">
        <v>100345</v>
      </c>
      <c r="C3895" s="20" t="s">
        <v>3977</v>
      </c>
      <c r="D3895" s="19" t="s">
        <v>302</v>
      </c>
      <c r="E3895" s="21">
        <f t="shared" si="179"/>
        <v>9.4100000000000001</v>
      </c>
      <c r="F3895" s="22"/>
      <c r="G3895" s="21">
        <f t="shared" si="180"/>
        <v>9.3300000000000001</v>
      </c>
      <c r="H3895" s="22"/>
      <c r="I3895" s="23" t="str">
        <f t="shared" si="181"/>
        <v xml:space="preserve">COM VALOR</v>
      </c>
      <c r="J3895" s="19"/>
      <c r="L3895" s="21">
        <v>9.4100000000000001</v>
      </c>
      <c r="M3895" s="22">
        <v>1.e-002</v>
      </c>
      <c r="N3895" s="21">
        <v>9.3300000000000001</v>
      </c>
      <c r="O3895" s="22">
        <v>1.e-002</v>
      </c>
    </row>
    <row r="3896" ht="25.5">
      <c r="A3896" t="s">
        <v>3975</v>
      </c>
      <c r="B3896" s="19">
        <v>100346</v>
      </c>
      <c r="C3896" s="20" t="s">
        <v>3978</v>
      </c>
      <c r="D3896" s="19" t="s">
        <v>302</v>
      </c>
      <c r="E3896" s="21">
        <f t="shared" si="179"/>
        <v>9</v>
      </c>
      <c r="F3896" s="22"/>
      <c r="G3896" s="21">
        <f t="shared" si="180"/>
        <v>8.9299999999999997</v>
      </c>
      <c r="H3896" s="22"/>
      <c r="I3896" s="23" t="str">
        <f t="shared" si="181"/>
        <v xml:space="preserve">COM VALOR</v>
      </c>
      <c r="J3896" s="19"/>
      <c r="L3896" s="21">
        <v>9</v>
      </c>
      <c r="M3896" s="22">
        <v>0</v>
      </c>
      <c r="N3896" s="21">
        <v>8.9299999999999997</v>
      </c>
      <c r="O3896" s="22">
        <v>0</v>
      </c>
    </row>
    <row r="3897" ht="25.5">
      <c r="A3897" t="s">
        <v>3975</v>
      </c>
      <c r="B3897" s="19">
        <v>100347</v>
      </c>
      <c r="C3897" s="20" t="s">
        <v>3979</v>
      </c>
      <c r="D3897" s="19" t="s">
        <v>302</v>
      </c>
      <c r="E3897" s="21">
        <f t="shared" si="179"/>
        <v>10.1</v>
      </c>
      <c r="F3897" s="22"/>
      <c r="G3897" s="21">
        <f t="shared" si="180"/>
        <v>10.06</v>
      </c>
      <c r="H3897" s="22"/>
      <c r="I3897" s="23" t="str">
        <f t="shared" si="181"/>
        <v xml:space="preserve">COM VALOR</v>
      </c>
      <c r="J3897" s="19"/>
      <c r="L3897" s="21">
        <v>10.1</v>
      </c>
      <c r="M3897" s="22">
        <v>0</v>
      </c>
      <c r="N3897" s="21">
        <v>10.06</v>
      </c>
      <c r="O3897" s="22">
        <v>0</v>
      </c>
    </row>
    <row r="3898" ht="25.5">
      <c r="A3898" t="s">
        <v>3975</v>
      </c>
      <c r="B3898" s="19">
        <v>100348</v>
      </c>
      <c r="C3898" s="20" t="s">
        <v>3980</v>
      </c>
      <c r="D3898" s="19" t="s">
        <v>302</v>
      </c>
      <c r="E3898" s="21">
        <f t="shared" si="179"/>
        <v>9.9299999999999997</v>
      </c>
      <c r="F3898" s="22"/>
      <c r="G3898" s="21">
        <f t="shared" si="180"/>
        <v>9.8900000000000006</v>
      </c>
      <c r="H3898" s="22"/>
      <c r="I3898" s="23" t="str">
        <f t="shared" si="181"/>
        <v xml:space="preserve">COM VALOR</v>
      </c>
      <c r="J3898" s="19"/>
      <c r="L3898" s="21">
        <v>9.9299999999999997</v>
      </c>
      <c r="M3898" s="22">
        <v>0</v>
      </c>
      <c r="N3898" s="21">
        <v>9.8900000000000006</v>
      </c>
      <c r="O3898" s="22">
        <v>0</v>
      </c>
    </row>
    <row r="3899" ht="25.5">
      <c r="A3899" t="s">
        <v>3975</v>
      </c>
      <c r="B3899" s="19">
        <v>100342</v>
      </c>
      <c r="C3899" s="20" t="s">
        <v>3981</v>
      </c>
      <c r="D3899" s="19" t="s">
        <v>302</v>
      </c>
      <c r="E3899" s="21">
        <f t="shared" si="179"/>
        <v>16.710000000000001</v>
      </c>
      <c r="F3899" s="22"/>
      <c r="G3899" s="21">
        <f t="shared" si="180"/>
        <v>16.300000000000001</v>
      </c>
      <c r="H3899" s="22"/>
      <c r="I3899" s="23" t="str">
        <f t="shared" si="181"/>
        <v xml:space="preserve">COM VALOR</v>
      </c>
      <c r="J3899" s="19"/>
      <c r="L3899" s="21">
        <v>16.710000000000001</v>
      </c>
      <c r="M3899" s="22">
        <v>1.e-002</v>
      </c>
      <c r="N3899" s="21">
        <v>16.300000000000001</v>
      </c>
      <c r="O3899" s="22">
        <v>1.e-002</v>
      </c>
    </row>
    <row r="3900" ht="25.5">
      <c r="A3900" t="s">
        <v>3975</v>
      </c>
      <c r="B3900" s="19">
        <v>100343</v>
      </c>
      <c r="C3900" s="20" t="s">
        <v>3982</v>
      </c>
      <c r="D3900" s="19" t="s">
        <v>302</v>
      </c>
      <c r="E3900" s="21">
        <f t="shared" si="179"/>
        <v>14.74</v>
      </c>
      <c r="F3900" s="22"/>
      <c r="G3900" s="21">
        <f t="shared" si="180"/>
        <v>14.460000000000001</v>
      </c>
      <c r="H3900" s="22"/>
      <c r="I3900" s="23" t="str">
        <f t="shared" si="181"/>
        <v xml:space="preserve">COM VALOR</v>
      </c>
      <c r="J3900" s="19"/>
      <c r="L3900" s="21">
        <v>14.74</v>
      </c>
      <c r="M3900" s="22">
        <v>1.e-002</v>
      </c>
      <c r="N3900" s="21">
        <v>14.460000000000001</v>
      </c>
      <c r="O3900" s="22">
        <v>1.e-002</v>
      </c>
    </row>
    <row r="3901" ht="25.5">
      <c r="A3901" t="s">
        <v>3975</v>
      </c>
      <c r="B3901" s="19">
        <v>100349</v>
      </c>
      <c r="C3901" s="20" t="s">
        <v>3983</v>
      </c>
      <c r="D3901" s="19" t="s">
        <v>121</v>
      </c>
      <c r="E3901" s="21">
        <f t="shared" si="179"/>
        <v>739.70000000000005</v>
      </c>
      <c r="F3901" s="22"/>
      <c r="G3901" s="21">
        <f t="shared" si="180"/>
        <v>737.97000000000003</v>
      </c>
      <c r="H3901" s="22"/>
      <c r="I3901" s="23" t="str">
        <f t="shared" si="181"/>
        <v xml:space="preserve">COM VALOR</v>
      </c>
      <c r="J3901" s="19"/>
      <c r="L3901" s="21">
        <v>739.70000000000005</v>
      </c>
      <c r="M3901" s="22">
        <v>0</v>
      </c>
      <c r="N3901" s="21">
        <v>737.97000000000003</v>
      </c>
      <c r="O3901" s="22">
        <v>0</v>
      </c>
    </row>
    <row r="3902" ht="38.25">
      <c r="A3902" t="s">
        <v>3975</v>
      </c>
      <c r="B3902" s="19">
        <v>100336</v>
      </c>
      <c r="C3902" s="20" t="s">
        <v>3984</v>
      </c>
      <c r="D3902" s="19" t="s">
        <v>29</v>
      </c>
      <c r="E3902" s="21" t="str">
        <f t="shared" si="179"/>
        <v>VERIFICAR</v>
      </c>
      <c r="F3902" s="22"/>
      <c r="G3902" s="21" t="str">
        <f t="shared" si="180"/>
        <v>VERIFICAR</v>
      </c>
      <c r="H3902" s="22"/>
      <c r="I3902" s="23" t="str">
        <f t="shared" si="181"/>
        <v xml:space="preserve">COM VALOR</v>
      </c>
      <c r="J3902" s="19"/>
      <c r="L3902" s="21">
        <v>0</v>
      </c>
      <c r="M3902" s="22"/>
      <c r="N3902" s="21">
        <v>0</v>
      </c>
      <c r="O3902" s="22"/>
    </row>
    <row r="3903" ht="38.25">
      <c r="A3903" t="s">
        <v>3975</v>
      </c>
      <c r="B3903" s="19">
        <v>100337</v>
      </c>
      <c r="C3903" s="20" t="s">
        <v>3985</v>
      </c>
      <c r="D3903" s="19" t="s">
        <v>29</v>
      </c>
      <c r="E3903" s="21" t="str">
        <f t="shared" si="179"/>
        <v>VERIFICAR</v>
      </c>
      <c r="F3903" s="22"/>
      <c r="G3903" s="21" t="str">
        <f t="shared" si="180"/>
        <v>VERIFICAR</v>
      </c>
      <c r="H3903" s="22"/>
      <c r="I3903" s="23" t="str">
        <f t="shared" si="181"/>
        <v xml:space="preserve">COM VALOR</v>
      </c>
      <c r="J3903" s="19"/>
      <c r="L3903" s="21">
        <v>0</v>
      </c>
      <c r="M3903" s="22"/>
      <c r="N3903" s="21">
        <v>0</v>
      </c>
      <c r="O3903" s="22"/>
    </row>
    <row r="3904" ht="38.25">
      <c r="A3904" t="s">
        <v>3975</v>
      </c>
      <c r="B3904" s="19">
        <v>100339</v>
      </c>
      <c r="C3904" s="20" t="s">
        <v>3986</v>
      </c>
      <c r="D3904" s="19" t="s">
        <v>29</v>
      </c>
      <c r="E3904" s="21" t="str">
        <f t="shared" si="179"/>
        <v>VERIFICAR</v>
      </c>
      <c r="F3904" s="22"/>
      <c r="G3904" s="21" t="str">
        <f t="shared" si="180"/>
        <v>VERIFICAR</v>
      </c>
      <c r="H3904" s="22"/>
      <c r="I3904" s="23" t="str">
        <f t="shared" si="181"/>
        <v xml:space="preserve">COM VALOR</v>
      </c>
      <c r="J3904" s="19"/>
      <c r="L3904" s="21">
        <v>0</v>
      </c>
      <c r="M3904" s="22"/>
      <c r="N3904" s="21">
        <v>0</v>
      </c>
      <c r="O3904" s="22"/>
    </row>
    <row r="3905" ht="38.25">
      <c r="A3905" t="s">
        <v>3975</v>
      </c>
      <c r="B3905" s="19">
        <v>100340</v>
      </c>
      <c r="C3905" s="20" t="s">
        <v>3987</v>
      </c>
      <c r="D3905" s="19" t="s">
        <v>29</v>
      </c>
      <c r="E3905" s="21" t="str">
        <f t="shared" si="179"/>
        <v>VERIFICAR</v>
      </c>
      <c r="F3905" s="22"/>
      <c r="G3905" s="21" t="str">
        <f t="shared" si="180"/>
        <v>VERIFICAR</v>
      </c>
      <c r="H3905" s="22"/>
      <c r="I3905" s="23" t="str">
        <f t="shared" si="181"/>
        <v xml:space="preserve">COM VALOR</v>
      </c>
      <c r="J3905" s="19"/>
      <c r="L3905" s="21">
        <v>0</v>
      </c>
      <c r="M3905" s="22"/>
      <c r="N3905" s="21">
        <v>0</v>
      </c>
      <c r="O3905" s="22"/>
    </row>
    <row r="3906" ht="25.5">
      <c r="A3906" t="s">
        <v>3975</v>
      </c>
      <c r="B3906" s="19">
        <v>105805</v>
      </c>
      <c r="C3906" s="20" t="s">
        <v>3988</v>
      </c>
      <c r="D3906" s="19" t="s">
        <v>29</v>
      </c>
      <c r="E3906" s="21">
        <f t="shared" si="179"/>
        <v>832.24000000000001</v>
      </c>
      <c r="F3906" s="22">
        <v>0</v>
      </c>
      <c r="G3906" s="21">
        <f t="shared" si="180"/>
        <v>826.46000000000004</v>
      </c>
      <c r="H3906" s="22">
        <v>0</v>
      </c>
      <c r="I3906" s="23" t="str">
        <f t="shared" si="181"/>
        <v xml:space="preserve">COM VALOR</v>
      </c>
      <c r="J3906" s="19"/>
      <c r="L3906" s="21">
        <v>832.24000000000001</v>
      </c>
      <c r="M3906" s="22">
        <v>0.76000000000000001</v>
      </c>
      <c r="N3906" s="21">
        <v>826.46000000000004</v>
      </c>
      <c r="O3906" s="22">
        <v>0.77000000000000002</v>
      </c>
    </row>
    <row r="3907" ht="25.5">
      <c r="A3907" t="s">
        <v>3975</v>
      </c>
      <c r="B3907" s="19">
        <v>105806</v>
      </c>
      <c r="C3907" s="20" t="s">
        <v>3989</v>
      </c>
      <c r="D3907" s="19" t="s">
        <v>29</v>
      </c>
      <c r="E3907" s="21">
        <f t="shared" si="179"/>
        <v>514.32000000000005</v>
      </c>
      <c r="F3907" s="22">
        <v>0</v>
      </c>
      <c r="G3907" s="21">
        <f t="shared" si="180"/>
        <v>509.81999999999999</v>
      </c>
      <c r="H3907" s="22">
        <v>0</v>
      </c>
      <c r="I3907" s="23" t="str">
        <f t="shared" si="181"/>
        <v xml:space="preserve">COM VALOR</v>
      </c>
      <c r="J3907" s="19"/>
      <c r="L3907" s="21">
        <v>514.32000000000005</v>
      </c>
      <c r="M3907" s="22">
        <v>0.67000000000000004</v>
      </c>
      <c r="N3907" s="21">
        <v>509.81999999999999</v>
      </c>
      <c r="O3907" s="22">
        <v>0.67000000000000004</v>
      </c>
    </row>
    <row r="3908" ht="25.5">
      <c r="A3908" t="s">
        <v>3975</v>
      </c>
      <c r="B3908" s="19">
        <v>105807</v>
      </c>
      <c r="C3908" s="20" t="s">
        <v>3990</v>
      </c>
      <c r="D3908" s="19" t="s">
        <v>29</v>
      </c>
      <c r="E3908" s="21">
        <f t="shared" si="179"/>
        <v>658.36000000000001</v>
      </c>
      <c r="F3908" s="22"/>
      <c r="G3908" s="21">
        <f t="shared" si="180"/>
        <v>653.45000000000005</v>
      </c>
      <c r="H3908" s="22"/>
      <c r="I3908" s="23" t="str">
        <f t="shared" si="181"/>
        <v xml:space="preserve">COM VALOR</v>
      </c>
      <c r="J3908" s="19"/>
      <c r="L3908" s="21">
        <v>658.36000000000001</v>
      </c>
      <c r="M3908" s="22">
        <v>0.71999999999999997</v>
      </c>
      <c r="N3908" s="21">
        <v>653.45000000000005</v>
      </c>
      <c r="O3908" s="22">
        <v>0.72999999999999998</v>
      </c>
    </row>
    <row r="3909" ht="25.5">
      <c r="A3909" t="s">
        <v>3975</v>
      </c>
      <c r="B3909" s="19">
        <v>105808</v>
      </c>
      <c r="C3909" s="20" t="s">
        <v>3991</v>
      </c>
      <c r="D3909" s="19" t="s">
        <v>29</v>
      </c>
      <c r="E3909" s="21">
        <f t="shared" si="179"/>
        <v>419.93000000000001</v>
      </c>
      <c r="F3909" s="22"/>
      <c r="G3909" s="21">
        <f t="shared" si="180"/>
        <v>415.97000000000003</v>
      </c>
      <c r="H3909" s="22"/>
      <c r="I3909" s="23" t="str">
        <f t="shared" si="181"/>
        <v xml:space="preserve">COM VALOR</v>
      </c>
      <c r="J3909" s="19"/>
      <c r="L3909" s="21">
        <v>419.93000000000001</v>
      </c>
      <c r="M3909" s="22">
        <v>0.62</v>
      </c>
      <c r="N3909" s="21">
        <v>415.97000000000003</v>
      </c>
      <c r="O3909" s="22">
        <v>0.62</v>
      </c>
    </row>
    <row r="3910" ht="38.25">
      <c r="A3910" t="s">
        <v>3975</v>
      </c>
      <c r="B3910" s="19">
        <v>100341</v>
      </c>
      <c r="C3910" s="20" t="s">
        <v>3992</v>
      </c>
      <c r="D3910" s="19" t="s">
        <v>29</v>
      </c>
      <c r="E3910" s="21">
        <f t="shared" si="179"/>
        <v>43.189999999999998</v>
      </c>
      <c r="F3910" s="22"/>
      <c r="G3910" s="21">
        <f t="shared" si="180"/>
        <v>42.009999999999998</v>
      </c>
      <c r="H3910" s="22"/>
      <c r="I3910" s="23" t="str">
        <f t="shared" si="181"/>
        <v xml:space="preserve">COM VALOR</v>
      </c>
      <c r="J3910" s="19"/>
      <c r="L3910" s="21">
        <v>43.189999999999998</v>
      </c>
      <c r="M3910" s="22">
        <v>0</v>
      </c>
      <c r="N3910" s="21">
        <v>42.009999999999998</v>
      </c>
      <c r="O3910" s="22">
        <v>0</v>
      </c>
    </row>
    <row r="3911" ht="38.25">
      <c r="A3911" t="s">
        <v>3975</v>
      </c>
      <c r="B3911" s="19">
        <v>100351</v>
      </c>
      <c r="C3911" s="20" t="s">
        <v>3993</v>
      </c>
      <c r="D3911" s="19" t="s">
        <v>29</v>
      </c>
      <c r="E3911" s="21" t="str">
        <f t="shared" si="179"/>
        <v>VERIFICAR</v>
      </c>
      <c r="F3911" s="22"/>
      <c r="G3911" s="21" t="str">
        <f t="shared" si="180"/>
        <v>VERIFICAR</v>
      </c>
      <c r="H3911" s="22"/>
      <c r="I3911" s="23" t="str">
        <f t="shared" si="181"/>
        <v xml:space="preserve">COM VALOR</v>
      </c>
      <c r="J3911" s="19"/>
      <c r="L3911" s="21">
        <v>0</v>
      </c>
      <c r="M3911" s="22"/>
      <c r="N3911" s="21">
        <v>0</v>
      </c>
      <c r="O3911" s="22"/>
    </row>
    <row r="3912" ht="38.25">
      <c r="A3912" t="s">
        <v>3975</v>
      </c>
      <c r="B3912" s="19">
        <v>100353</v>
      </c>
      <c r="C3912" s="20" t="s">
        <v>3994</v>
      </c>
      <c r="D3912" s="19" t="s">
        <v>29</v>
      </c>
      <c r="E3912" s="21" t="str">
        <f t="shared" si="179"/>
        <v>VERIFICAR</v>
      </c>
      <c r="F3912" s="22"/>
      <c r="G3912" s="21" t="str">
        <f t="shared" si="180"/>
        <v>VERIFICAR</v>
      </c>
      <c r="H3912" s="22"/>
      <c r="I3912" s="23" t="str">
        <f t="shared" si="181"/>
        <v xml:space="preserve">COM VALOR</v>
      </c>
      <c r="J3912" s="19"/>
      <c r="L3912" s="21">
        <v>0</v>
      </c>
      <c r="M3912" s="22"/>
      <c r="N3912" s="21">
        <v>0</v>
      </c>
      <c r="O3912" s="22"/>
    </row>
    <row r="3913" ht="25.5">
      <c r="A3913" t="s">
        <v>3975</v>
      </c>
      <c r="B3913" s="19">
        <v>100350</v>
      </c>
      <c r="C3913" s="20" t="s">
        <v>3995</v>
      </c>
      <c r="D3913" s="19" t="s">
        <v>29</v>
      </c>
      <c r="E3913" s="21" t="str">
        <f t="shared" si="179"/>
        <v>VERIFICAR</v>
      </c>
      <c r="F3913" s="22"/>
      <c r="G3913" s="21" t="str">
        <f t="shared" si="180"/>
        <v>VERIFICAR</v>
      </c>
      <c r="H3913" s="22"/>
      <c r="I3913" s="23" t="str">
        <f t="shared" si="181"/>
        <v xml:space="preserve">COM VALOR</v>
      </c>
      <c r="J3913" s="19"/>
      <c r="L3913" s="21">
        <v>0</v>
      </c>
      <c r="M3913" s="22"/>
      <c r="N3913" s="21">
        <v>0</v>
      </c>
      <c r="O3913" s="22"/>
    </row>
    <row r="3914" ht="38.25">
      <c r="A3914" t="s">
        <v>3996</v>
      </c>
      <c r="B3914" s="19">
        <v>105043</v>
      </c>
      <c r="C3914" s="20" t="s">
        <v>3997</v>
      </c>
      <c r="D3914" s="19" t="s">
        <v>38</v>
      </c>
      <c r="E3914" s="21" t="str">
        <f t="shared" si="179"/>
        <v>VERIFICAR</v>
      </c>
      <c r="F3914" s="22">
        <v>0</v>
      </c>
      <c r="G3914" s="21" t="str">
        <f t="shared" si="180"/>
        <v>VERIFICAR</v>
      </c>
      <c r="H3914" s="22">
        <v>0</v>
      </c>
      <c r="I3914" s="23" t="str">
        <f t="shared" si="181"/>
        <v xml:space="preserve">COM VALOR</v>
      </c>
      <c r="J3914" s="19"/>
      <c r="L3914" s="21">
        <v>0</v>
      </c>
      <c r="M3914" s="22"/>
      <c r="N3914" s="21">
        <v>0</v>
      </c>
      <c r="O3914" s="22"/>
    </row>
    <row r="3915" ht="38.25">
      <c r="A3915" t="s">
        <v>3996</v>
      </c>
      <c r="B3915" s="19">
        <v>105047</v>
      </c>
      <c r="C3915" s="20" t="s">
        <v>3998</v>
      </c>
      <c r="D3915" s="19" t="s">
        <v>38</v>
      </c>
      <c r="E3915" s="21" t="str">
        <f t="shared" ref="E3915:E3978" si="182">IF(L3915=0,"VERIFICAR",L3915)</f>
        <v>VERIFICAR</v>
      </c>
      <c r="F3915" s="22">
        <v>0</v>
      </c>
      <c r="G3915" s="21" t="str">
        <f t="shared" ref="G3915:G3978" si="183">IF(N3915=0,"VERIFICAR",N3915)</f>
        <v>VERIFICAR</v>
      </c>
      <c r="H3915" s="22">
        <v>0</v>
      </c>
      <c r="I3915" s="23" t="str">
        <f t="shared" ref="I3915:I3978" si="184">IF(OR(E3915=0,G3915=0),"SEM VALOR","COM VALOR")</f>
        <v xml:space="preserve">COM VALOR</v>
      </c>
      <c r="J3915" s="19"/>
      <c r="L3915" s="21">
        <v>0</v>
      </c>
      <c r="M3915" s="22"/>
      <c r="N3915" s="21">
        <v>0</v>
      </c>
      <c r="O3915" s="22"/>
    </row>
    <row r="3916" ht="38.25">
      <c r="A3916" t="s">
        <v>3996</v>
      </c>
      <c r="B3916" s="19">
        <v>105044</v>
      </c>
      <c r="C3916" s="20" t="s">
        <v>3999</v>
      </c>
      <c r="D3916" s="19" t="s">
        <v>38</v>
      </c>
      <c r="E3916" s="21" t="str">
        <f t="shared" si="182"/>
        <v>VERIFICAR</v>
      </c>
      <c r="F3916" s="22">
        <v>0</v>
      </c>
      <c r="G3916" s="21" t="str">
        <f t="shared" si="183"/>
        <v>VERIFICAR</v>
      </c>
      <c r="H3916" s="22">
        <v>0</v>
      </c>
      <c r="I3916" s="23" t="str">
        <f t="shared" si="184"/>
        <v xml:space="preserve">COM VALOR</v>
      </c>
      <c r="J3916" s="19"/>
      <c r="L3916" s="21">
        <v>0</v>
      </c>
      <c r="M3916" s="22"/>
      <c r="N3916" s="21">
        <v>0</v>
      </c>
      <c r="O3916" s="22"/>
    </row>
    <row r="3917" ht="38.25">
      <c r="A3917" t="s">
        <v>3996</v>
      </c>
      <c r="B3917" s="19">
        <v>105094</v>
      </c>
      <c r="C3917" s="20" t="s">
        <v>4000</v>
      </c>
      <c r="D3917" s="19" t="s">
        <v>38</v>
      </c>
      <c r="E3917" s="21" t="str">
        <f t="shared" si="182"/>
        <v>VERIFICAR</v>
      </c>
      <c r="F3917" s="22">
        <v>0</v>
      </c>
      <c r="G3917" s="21" t="str">
        <f t="shared" si="183"/>
        <v>VERIFICAR</v>
      </c>
      <c r="H3917" s="22">
        <v>0</v>
      </c>
      <c r="I3917" s="23" t="str">
        <f t="shared" si="184"/>
        <v xml:space="preserve">COM VALOR</v>
      </c>
      <c r="J3917" s="19"/>
      <c r="L3917" s="21">
        <v>0</v>
      </c>
      <c r="M3917" s="22"/>
      <c r="N3917" s="21">
        <v>0</v>
      </c>
      <c r="O3917" s="22"/>
    </row>
    <row r="3918" ht="38.25">
      <c r="A3918" t="s">
        <v>3996</v>
      </c>
      <c r="B3918" s="19">
        <v>105096</v>
      </c>
      <c r="C3918" s="20" t="s">
        <v>4001</v>
      </c>
      <c r="D3918" s="19" t="s">
        <v>38</v>
      </c>
      <c r="E3918" s="21" t="str">
        <f t="shared" si="182"/>
        <v>VERIFICAR</v>
      </c>
      <c r="F3918" s="22">
        <v>0</v>
      </c>
      <c r="G3918" s="21" t="str">
        <f t="shared" si="183"/>
        <v>VERIFICAR</v>
      </c>
      <c r="H3918" s="22">
        <v>0</v>
      </c>
      <c r="I3918" s="23" t="str">
        <f t="shared" si="184"/>
        <v xml:space="preserve">COM VALOR</v>
      </c>
      <c r="J3918" s="19"/>
      <c r="L3918" s="21">
        <v>0</v>
      </c>
      <c r="M3918" s="22"/>
      <c r="N3918" s="21">
        <v>0</v>
      </c>
      <c r="O3918" s="22"/>
    </row>
    <row r="3919" ht="38.25">
      <c r="A3919" t="s">
        <v>3996</v>
      </c>
      <c r="B3919" s="19">
        <v>105048</v>
      </c>
      <c r="C3919" s="20" t="s">
        <v>4002</v>
      </c>
      <c r="D3919" s="19" t="s">
        <v>38</v>
      </c>
      <c r="E3919" s="21" t="str">
        <f t="shared" si="182"/>
        <v>VERIFICAR</v>
      </c>
      <c r="F3919" s="22">
        <v>0</v>
      </c>
      <c r="G3919" s="21" t="str">
        <f t="shared" si="183"/>
        <v>VERIFICAR</v>
      </c>
      <c r="H3919" s="22">
        <v>0</v>
      </c>
      <c r="I3919" s="23" t="str">
        <f t="shared" si="184"/>
        <v xml:space="preserve">COM VALOR</v>
      </c>
      <c r="J3919" s="19"/>
      <c r="L3919" s="21">
        <v>0</v>
      </c>
      <c r="M3919" s="22"/>
      <c r="N3919" s="21">
        <v>0</v>
      </c>
      <c r="O3919" s="22"/>
    </row>
    <row r="3920" ht="38.25">
      <c r="A3920" t="s">
        <v>3996</v>
      </c>
      <c r="B3920" s="19">
        <v>105097</v>
      </c>
      <c r="C3920" s="20" t="s">
        <v>4003</v>
      </c>
      <c r="D3920" s="19" t="s">
        <v>38</v>
      </c>
      <c r="E3920" s="21" t="str">
        <f t="shared" si="182"/>
        <v>VERIFICAR</v>
      </c>
      <c r="F3920" s="22">
        <v>0</v>
      </c>
      <c r="G3920" s="21" t="str">
        <f t="shared" si="183"/>
        <v>VERIFICAR</v>
      </c>
      <c r="H3920" s="22">
        <v>0</v>
      </c>
      <c r="I3920" s="23" t="str">
        <f t="shared" si="184"/>
        <v xml:space="preserve">COM VALOR</v>
      </c>
      <c r="J3920" s="19"/>
      <c r="L3920" s="21">
        <v>0</v>
      </c>
      <c r="M3920" s="22"/>
      <c r="N3920" s="21">
        <v>0</v>
      </c>
      <c r="O3920" s="22"/>
    </row>
    <row r="3921" ht="38.25">
      <c r="A3921" t="s">
        <v>3996</v>
      </c>
      <c r="B3921" s="19">
        <v>105049</v>
      </c>
      <c r="C3921" s="20" t="s">
        <v>4004</v>
      </c>
      <c r="D3921" s="19" t="s">
        <v>38</v>
      </c>
      <c r="E3921" s="21" t="str">
        <f t="shared" si="182"/>
        <v>VERIFICAR</v>
      </c>
      <c r="F3921" s="22"/>
      <c r="G3921" s="21" t="str">
        <f t="shared" si="183"/>
        <v>VERIFICAR</v>
      </c>
      <c r="H3921" s="22"/>
      <c r="I3921" s="23" t="str">
        <f t="shared" si="184"/>
        <v xml:space="preserve">COM VALOR</v>
      </c>
      <c r="J3921" s="19"/>
      <c r="L3921" s="21">
        <v>0</v>
      </c>
      <c r="M3921" s="22"/>
      <c r="N3921" s="21">
        <v>0</v>
      </c>
      <c r="O3921" s="22"/>
    </row>
    <row r="3922" ht="38.25">
      <c r="A3922" t="s">
        <v>3996</v>
      </c>
      <c r="B3922" s="19">
        <v>105051</v>
      </c>
      <c r="C3922" s="20" t="s">
        <v>4005</v>
      </c>
      <c r="D3922" s="19" t="s">
        <v>38</v>
      </c>
      <c r="E3922" s="21" t="str">
        <f t="shared" si="182"/>
        <v>VERIFICAR</v>
      </c>
      <c r="F3922" s="22">
        <v>0</v>
      </c>
      <c r="G3922" s="21" t="str">
        <f t="shared" si="183"/>
        <v>VERIFICAR</v>
      </c>
      <c r="H3922" s="22">
        <v>0</v>
      </c>
      <c r="I3922" s="23" t="str">
        <f t="shared" si="184"/>
        <v xml:space="preserve">COM VALOR</v>
      </c>
      <c r="J3922" s="19"/>
      <c r="L3922" s="21">
        <v>0</v>
      </c>
      <c r="M3922" s="22"/>
      <c r="N3922" s="21">
        <v>0</v>
      </c>
      <c r="O3922" s="22"/>
    </row>
    <row r="3923" ht="38.25">
      <c r="A3923" t="s">
        <v>3996</v>
      </c>
      <c r="B3923" s="19">
        <v>105054</v>
      </c>
      <c r="C3923" s="20" t="s">
        <v>4006</v>
      </c>
      <c r="D3923" s="19" t="s">
        <v>38</v>
      </c>
      <c r="E3923" s="21" t="str">
        <f t="shared" si="182"/>
        <v>VERIFICAR</v>
      </c>
      <c r="F3923" s="22">
        <v>0</v>
      </c>
      <c r="G3923" s="21" t="str">
        <f t="shared" si="183"/>
        <v>VERIFICAR</v>
      </c>
      <c r="H3923" s="22">
        <v>0</v>
      </c>
      <c r="I3923" s="23" t="str">
        <f t="shared" si="184"/>
        <v xml:space="preserve">COM VALOR</v>
      </c>
      <c r="J3923" s="19"/>
      <c r="L3923" s="21">
        <v>0</v>
      </c>
      <c r="M3923" s="22"/>
      <c r="N3923" s="21">
        <v>0</v>
      </c>
      <c r="O3923" s="22"/>
    </row>
    <row r="3924" ht="38.25">
      <c r="A3924" t="s">
        <v>3996</v>
      </c>
      <c r="B3924" s="19">
        <v>105052</v>
      </c>
      <c r="C3924" s="20" t="s">
        <v>4007</v>
      </c>
      <c r="D3924" s="19" t="s">
        <v>38</v>
      </c>
      <c r="E3924" s="21" t="str">
        <f t="shared" si="182"/>
        <v>VERIFICAR</v>
      </c>
      <c r="F3924" s="22">
        <v>0</v>
      </c>
      <c r="G3924" s="21" t="str">
        <f t="shared" si="183"/>
        <v>VERIFICAR</v>
      </c>
      <c r="H3924" s="22">
        <v>0</v>
      </c>
      <c r="I3924" s="23" t="str">
        <f t="shared" si="184"/>
        <v xml:space="preserve">COM VALOR</v>
      </c>
      <c r="J3924" s="19"/>
      <c r="L3924" s="21">
        <v>0</v>
      </c>
      <c r="M3924" s="22"/>
      <c r="N3924" s="21">
        <v>0</v>
      </c>
      <c r="O3924" s="22"/>
    </row>
    <row r="3925" ht="38.25">
      <c r="A3925" t="s">
        <v>3996</v>
      </c>
      <c r="B3925" s="19">
        <v>105055</v>
      </c>
      <c r="C3925" s="20" t="s">
        <v>4008</v>
      </c>
      <c r="D3925" s="19" t="s">
        <v>38</v>
      </c>
      <c r="E3925" s="21" t="str">
        <f t="shared" si="182"/>
        <v>VERIFICAR</v>
      </c>
      <c r="F3925" s="22">
        <v>0</v>
      </c>
      <c r="G3925" s="21" t="str">
        <f t="shared" si="183"/>
        <v>VERIFICAR</v>
      </c>
      <c r="H3925" s="22">
        <v>0</v>
      </c>
      <c r="I3925" s="23" t="str">
        <f t="shared" si="184"/>
        <v xml:space="preserve">COM VALOR</v>
      </c>
      <c r="J3925" s="19"/>
      <c r="L3925" s="21">
        <v>0</v>
      </c>
      <c r="M3925" s="22"/>
      <c r="N3925" s="21">
        <v>0</v>
      </c>
      <c r="O3925" s="22"/>
    </row>
    <row r="3926" ht="38.25">
      <c r="A3926" t="s">
        <v>3996</v>
      </c>
      <c r="B3926" s="19">
        <v>105065</v>
      </c>
      <c r="C3926" s="20" t="s">
        <v>4009</v>
      </c>
      <c r="D3926" s="19" t="s">
        <v>38</v>
      </c>
      <c r="E3926" s="21" t="str">
        <f t="shared" si="182"/>
        <v>VERIFICAR</v>
      </c>
      <c r="F3926" s="22">
        <v>0</v>
      </c>
      <c r="G3926" s="21" t="str">
        <f t="shared" si="183"/>
        <v>VERIFICAR</v>
      </c>
      <c r="H3926" s="22">
        <v>0</v>
      </c>
      <c r="I3926" s="23" t="str">
        <f t="shared" si="184"/>
        <v xml:space="preserve">COM VALOR</v>
      </c>
      <c r="J3926" s="19"/>
      <c r="L3926" s="21">
        <v>0</v>
      </c>
      <c r="M3926" s="22"/>
      <c r="N3926" s="21">
        <v>0</v>
      </c>
      <c r="O3926" s="22"/>
    </row>
    <row r="3927" ht="38.25">
      <c r="A3927" t="s">
        <v>3996</v>
      </c>
      <c r="B3927" s="19">
        <v>105059</v>
      </c>
      <c r="C3927" s="20" t="s">
        <v>4010</v>
      </c>
      <c r="D3927" s="19" t="s">
        <v>38</v>
      </c>
      <c r="E3927" s="21" t="str">
        <f t="shared" si="182"/>
        <v>VERIFICAR</v>
      </c>
      <c r="F3927" s="22">
        <v>0</v>
      </c>
      <c r="G3927" s="21" t="str">
        <f t="shared" si="183"/>
        <v>VERIFICAR</v>
      </c>
      <c r="H3927" s="22">
        <v>0</v>
      </c>
      <c r="I3927" s="23" t="str">
        <f t="shared" si="184"/>
        <v xml:space="preserve">COM VALOR</v>
      </c>
      <c r="J3927" s="19"/>
      <c r="L3927" s="21">
        <v>0</v>
      </c>
      <c r="M3927" s="22"/>
      <c r="N3927" s="21">
        <v>0</v>
      </c>
      <c r="O3927" s="22"/>
    </row>
    <row r="3928" ht="38.25">
      <c r="A3928" t="s">
        <v>3996</v>
      </c>
      <c r="B3928" s="19">
        <v>105057</v>
      </c>
      <c r="C3928" s="20" t="s">
        <v>4011</v>
      </c>
      <c r="D3928" s="19" t="s">
        <v>38</v>
      </c>
      <c r="E3928" s="21" t="str">
        <f t="shared" si="182"/>
        <v>VERIFICAR</v>
      </c>
      <c r="F3928" s="22">
        <v>0</v>
      </c>
      <c r="G3928" s="21" t="str">
        <f t="shared" si="183"/>
        <v>VERIFICAR</v>
      </c>
      <c r="H3928" s="22">
        <v>0</v>
      </c>
      <c r="I3928" s="23" t="str">
        <f t="shared" si="184"/>
        <v xml:space="preserve">COM VALOR</v>
      </c>
      <c r="J3928" s="19"/>
      <c r="L3928" s="21">
        <v>0</v>
      </c>
      <c r="M3928" s="22"/>
      <c r="N3928" s="21">
        <v>0</v>
      </c>
      <c r="O3928" s="22"/>
    </row>
    <row r="3929" ht="38.25">
      <c r="A3929" t="s">
        <v>3996</v>
      </c>
      <c r="B3929" s="19">
        <v>105060</v>
      </c>
      <c r="C3929" s="20" t="s">
        <v>4012</v>
      </c>
      <c r="D3929" s="19" t="s">
        <v>38</v>
      </c>
      <c r="E3929" s="21" t="str">
        <f t="shared" si="182"/>
        <v>VERIFICAR</v>
      </c>
      <c r="F3929" s="22">
        <v>0</v>
      </c>
      <c r="G3929" s="21" t="str">
        <f t="shared" si="183"/>
        <v>VERIFICAR</v>
      </c>
      <c r="H3929" s="22">
        <v>0</v>
      </c>
      <c r="I3929" s="23" t="str">
        <f t="shared" si="184"/>
        <v xml:space="preserve">COM VALOR</v>
      </c>
      <c r="J3929" s="19"/>
      <c r="L3929" s="21">
        <v>0</v>
      </c>
      <c r="M3929" s="22"/>
      <c r="N3929" s="21">
        <v>0</v>
      </c>
      <c r="O3929" s="22"/>
    </row>
    <row r="3930" ht="38.25">
      <c r="A3930" t="s">
        <v>3996</v>
      </c>
      <c r="B3930" s="19">
        <v>105042</v>
      </c>
      <c r="C3930" s="20" t="s">
        <v>4013</v>
      </c>
      <c r="D3930" s="19" t="s">
        <v>38</v>
      </c>
      <c r="E3930" s="21">
        <f t="shared" si="182"/>
        <v>84.760000000000005</v>
      </c>
      <c r="F3930" s="22"/>
      <c r="G3930" s="21">
        <f t="shared" si="183"/>
        <v>83.439999999999998</v>
      </c>
      <c r="H3930" s="22"/>
      <c r="I3930" s="23" t="str">
        <f t="shared" si="184"/>
        <v xml:space="preserve">COM VALOR</v>
      </c>
      <c r="J3930" s="19"/>
      <c r="L3930" s="21">
        <v>84.760000000000005</v>
      </c>
      <c r="M3930" s="22">
        <v>0</v>
      </c>
      <c r="N3930" s="21">
        <v>83.439999999999998</v>
      </c>
      <c r="O3930" s="22">
        <v>0</v>
      </c>
    </row>
    <row r="3931" ht="38.25">
      <c r="A3931" t="s">
        <v>3996</v>
      </c>
      <c r="B3931" s="19">
        <v>105046</v>
      </c>
      <c r="C3931" s="20" t="s">
        <v>4014</v>
      </c>
      <c r="D3931" s="19" t="s">
        <v>38</v>
      </c>
      <c r="E3931" s="21">
        <f t="shared" si="182"/>
        <v>74.540000000000006</v>
      </c>
      <c r="F3931" s="22">
        <v>0</v>
      </c>
      <c r="G3931" s="21">
        <f t="shared" si="183"/>
        <v>73.730000000000004</v>
      </c>
      <c r="H3931" s="22">
        <v>0</v>
      </c>
      <c r="I3931" s="23" t="str">
        <f t="shared" si="184"/>
        <v xml:space="preserve">COM VALOR</v>
      </c>
      <c r="J3931" s="19"/>
      <c r="L3931" s="21">
        <v>74.540000000000006</v>
      </c>
      <c r="M3931" s="22">
        <v>0</v>
      </c>
      <c r="N3931" s="21">
        <v>73.730000000000004</v>
      </c>
      <c r="O3931" s="22">
        <v>0</v>
      </c>
    </row>
    <row r="3932" ht="38.25">
      <c r="A3932" t="s">
        <v>3996</v>
      </c>
      <c r="B3932" s="19">
        <v>105095</v>
      </c>
      <c r="C3932" s="20" t="s">
        <v>4015</v>
      </c>
      <c r="D3932" s="19" t="s">
        <v>38</v>
      </c>
      <c r="E3932" s="21">
        <f t="shared" si="182"/>
        <v>133.59</v>
      </c>
      <c r="F3932" s="22">
        <v>0</v>
      </c>
      <c r="G3932" s="21">
        <f t="shared" si="183"/>
        <v>132.25999999999999</v>
      </c>
      <c r="H3932" s="22">
        <v>0</v>
      </c>
      <c r="I3932" s="23" t="str">
        <f t="shared" si="184"/>
        <v xml:space="preserve">COM VALOR</v>
      </c>
      <c r="J3932" s="19"/>
      <c r="L3932" s="21">
        <v>133.59</v>
      </c>
      <c r="M3932" s="22">
        <v>0</v>
      </c>
      <c r="N3932" s="21">
        <v>132.25999999999999</v>
      </c>
      <c r="O3932" s="22">
        <v>0</v>
      </c>
    </row>
    <row r="3933" ht="38.25">
      <c r="A3933" t="s">
        <v>3996</v>
      </c>
      <c r="B3933" s="19">
        <v>105098</v>
      </c>
      <c r="C3933" s="20" t="s">
        <v>4016</v>
      </c>
      <c r="D3933" s="19" t="s">
        <v>38</v>
      </c>
      <c r="E3933" s="21">
        <f t="shared" si="182"/>
        <v>123.39</v>
      </c>
      <c r="F3933" s="22">
        <v>0</v>
      </c>
      <c r="G3933" s="21">
        <f t="shared" si="183"/>
        <v>122.56999999999999</v>
      </c>
      <c r="H3933" s="22">
        <v>0</v>
      </c>
      <c r="I3933" s="23" t="str">
        <f t="shared" si="184"/>
        <v xml:space="preserve">COM VALOR</v>
      </c>
      <c r="J3933" s="19"/>
      <c r="L3933" s="21">
        <v>123.39</v>
      </c>
      <c r="M3933" s="22">
        <v>0</v>
      </c>
      <c r="N3933" s="21">
        <v>122.56999999999999</v>
      </c>
      <c r="O3933" s="22">
        <v>0</v>
      </c>
    </row>
    <row r="3934" ht="38.25">
      <c r="A3934" t="s">
        <v>3996</v>
      </c>
      <c r="B3934" s="19">
        <v>105050</v>
      </c>
      <c r="C3934" s="20" t="s">
        <v>4017</v>
      </c>
      <c r="D3934" s="19" t="s">
        <v>38</v>
      </c>
      <c r="E3934" s="21">
        <f t="shared" si="182"/>
        <v>293.37</v>
      </c>
      <c r="F3934" s="22">
        <v>0</v>
      </c>
      <c r="G3934" s="21">
        <f t="shared" si="183"/>
        <v>292.02999999999997</v>
      </c>
      <c r="H3934" s="22">
        <v>0</v>
      </c>
      <c r="I3934" s="23" t="str">
        <f t="shared" si="184"/>
        <v xml:space="preserve">COM VALOR</v>
      </c>
      <c r="J3934" s="19"/>
      <c r="L3934" s="21">
        <v>293.37</v>
      </c>
      <c r="M3934" s="22">
        <v>0</v>
      </c>
      <c r="N3934" s="21">
        <v>292.02999999999997</v>
      </c>
      <c r="O3934" s="22">
        <v>0</v>
      </c>
    </row>
    <row r="3935" ht="38.25">
      <c r="A3935" t="s">
        <v>3996</v>
      </c>
      <c r="B3935" s="19">
        <v>105053</v>
      </c>
      <c r="C3935" s="20" t="s">
        <v>4018</v>
      </c>
      <c r="D3935" s="19" t="s">
        <v>38</v>
      </c>
      <c r="E3935" s="21">
        <f t="shared" si="182"/>
        <v>283.29000000000002</v>
      </c>
      <c r="F3935" s="22">
        <v>1.e-002</v>
      </c>
      <c r="G3935" s="21">
        <f t="shared" si="183"/>
        <v>282.44999999999999</v>
      </c>
      <c r="H3935" s="22">
        <v>1.e-002</v>
      </c>
      <c r="I3935" s="23" t="str">
        <f t="shared" si="184"/>
        <v xml:space="preserve">COM VALOR</v>
      </c>
      <c r="J3935" s="19"/>
      <c r="L3935" s="21">
        <v>283.29000000000002</v>
      </c>
      <c r="M3935" s="22">
        <v>0</v>
      </c>
      <c r="N3935" s="21">
        <v>282.44999999999999</v>
      </c>
      <c r="O3935" s="22">
        <v>0</v>
      </c>
    </row>
    <row r="3936" ht="38.25">
      <c r="A3936" t="s">
        <v>3996</v>
      </c>
      <c r="B3936" s="19">
        <v>105056</v>
      </c>
      <c r="C3936" s="20" t="s">
        <v>4019</v>
      </c>
      <c r="D3936" s="19" t="s">
        <v>38</v>
      </c>
      <c r="E3936" s="21">
        <f t="shared" si="182"/>
        <v>410.74000000000001</v>
      </c>
      <c r="F3936" s="22">
        <v>1.e-002</v>
      </c>
      <c r="G3936" s="21">
        <f t="shared" si="183"/>
        <v>409.38999999999999</v>
      </c>
      <c r="H3936" s="22">
        <v>1.e-002</v>
      </c>
      <c r="I3936" s="23" t="str">
        <f t="shared" si="184"/>
        <v xml:space="preserve">COM VALOR</v>
      </c>
      <c r="J3936" s="19"/>
      <c r="L3936" s="21">
        <v>410.74000000000001</v>
      </c>
      <c r="M3936" s="22">
        <v>0</v>
      </c>
      <c r="N3936" s="21">
        <v>409.38999999999999</v>
      </c>
      <c r="O3936" s="22">
        <v>0</v>
      </c>
    </row>
    <row r="3937" ht="38.25">
      <c r="A3937" t="s">
        <v>3996</v>
      </c>
      <c r="B3937" s="19">
        <v>105058</v>
      </c>
      <c r="C3937" s="20" t="s">
        <v>4020</v>
      </c>
      <c r="D3937" s="19" t="s">
        <v>38</v>
      </c>
      <c r="E3937" s="21">
        <f t="shared" si="182"/>
        <v>401.37</v>
      </c>
      <c r="F3937" s="22">
        <v>1.e-002</v>
      </c>
      <c r="G3937" s="21">
        <f t="shared" si="183"/>
        <v>400.47000000000003</v>
      </c>
      <c r="H3937" s="22">
        <v>1.e-002</v>
      </c>
      <c r="I3937" s="23" t="str">
        <f t="shared" si="184"/>
        <v xml:space="preserve">COM VALOR</v>
      </c>
      <c r="J3937" s="19"/>
      <c r="L3937" s="21">
        <v>401.37</v>
      </c>
      <c r="M3937" s="22">
        <v>0</v>
      </c>
      <c r="N3937" s="21">
        <v>400.47000000000003</v>
      </c>
      <c r="O3937" s="22">
        <v>0</v>
      </c>
    </row>
    <row r="3938" ht="51">
      <c r="A3938" t="s">
        <v>3996</v>
      </c>
      <c r="B3938" s="19">
        <v>105062</v>
      </c>
      <c r="C3938" s="20" t="s">
        <v>4021</v>
      </c>
      <c r="D3938" s="19" t="s">
        <v>38</v>
      </c>
      <c r="E3938" s="21" t="str">
        <f t="shared" si="182"/>
        <v>VERIFICAR</v>
      </c>
      <c r="F3938" s="22">
        <v>0</v>
      </c>
      <c r="G3938" s="21" t="str">
        <f t="shared" si="183"/>
        <v>VERIFICAR</v>
      </c>
      <c r="H3938" s="22">
        <v>0</v>
      </c>
      <c r="I3938" s="23" t="str">
        <f t="shared" si="184"/>
        <v xml:space="preserve">COM VALOR</v>
      </c>
      <c r="J3938" s="19"/>
      <c r="L3938" s="21">
        <v>0</v>
      </c>
      <c r="M3938" s="22"/>
      <c r="N3938" s="21">
        <v>0</v>
      </c>
      <c r="O3938" s="22"/>
    </row>
    <row r="3939" ht="51">
      <c r="A3939" t="s">
        <v>3996</v>
      </c>
      <c r="B3939" s="19">
        <v>105066</v>
      </c>
      <c r="C3939" s="20" t="s">
        <v>4022</v>
      </c>
      <c r="D3939" s="19" t="s">
        <v>38</v>
      </c>
      <c r="E3939" s="21" t="str">
        <f t="shared" si="182"/>
        <v>VERIFICAR</v>
      </c>
      <c r="F3939" s="22">
        <v>1.e-002</v>
      </c>
      <c r="G3939" s="21" t="str">
        <f t="shared" si="183"/>
        <v>VERIFICAR</v>
      </c>
      <c r="H3939" s="22">
        <v>1.e-002</v>
      </c>
      <c r="I3939" s="23" t="str">
        <f t="shared" si="184"/>
        <v xml:space="preserve">COM VALOR</v>
      </c>
      <c r="J3939" s="19"/>
      <c r="L3939" s="21">
        <v>0</v>
      </c>
      <c r="M3939" s="22"/>
      <c r="N3939" s="21">
        <v>0</v>
      </c>
      <c r="O3939" s="22"/>
    </row>
    <row r="3940" ht="51">
      <c r="A3940" t="s">
        <v>3996</v>
      </c>
      <c r="B3940" s="19">
        <v>105063</v>
      </c>
      <c r="C3940" s="20" t="s">
        <v>4023</v>
      </c>
      <c r="D3940" s="19" t="s">
        <v>38</v>
      </c>
      <c r="E3940" s="21" t="str">
        <f t="shared" si="182"/>
        <v>VERIFICAR</v>
      </c>
      <c r="F3940" s="22">
        <v>1.e-002</v>
      </c>
      <c r="G3940" s="21" t="str">
        <f t="shared" si="183"/>
        <v>VERIFICAR</v>
      </c>
      <c r="H3940" s="22">
        <v>1.e-002</v>
      </c>
      <c r="I3940" s="23" t="str">
        <f t="shared" si="184"/>
        <v xml:space="preserve">COM VALOR</v>
      </c>
      <c r="J3940" s="19"/>
      <c r="L3940" s="21">
        <v>0</v>
      </c>
      <c r="M3940" s="22"/>
      <c r="N3940" s="21">
        <v>0</v>
      </c>
      <c r="O3940" s="22"/>
    </row>
    <row r="3941" ht="51">
      <c r="A3941" t="s">
        <v>3996</v>
      </c>
      <c r="B3941" s="19">
        <v>105067</v>
      </c>
      <c r="C3941" s="20" t="s">
        <v>4024</v>
      </c>
      <c r="D3941" s="19" t="s">
        <v>38</v>
      </c>
      <c r="E3941" s="21" t="str">
        <f t="shared" si="182"/>
        <v>VERIFICAR</v>
      </c>
      <c r="F3941" s="22">
        <v>1.e-002</v>
      </c>
      <c r="G3941" s="21" t="str">
        <f t="shared" si="183"/>
        <v>VERIFICAR</v>
      </c>
      <c r="H3941" s="22">
        <v>1.e-002</v>
      </c>
      <c r="I3941" s="23" t="str">
        <f t="shared" si="184"/>
        <v xml:space="preserve">COM VALOR</v>
      </c>
      <c r="J3941" s="19"/>
      <c r="L3941" s="21">
        <v>0</v>
      </c>
      <c r="M3941" s="22"/>
      <c r="N3941" s="21">
        <v>0</v>
      </c>
      <c r="O3941" s="22"/>
    </row>
    <row r="3942" ht="51">
      <c r="A3942" t="s">
        <v>3996</v>
      </c>
      <c r="B3942" s="19">
        <v>105069</v>
      </c>
      <c r="C3942" s="20" t="s">
        <v>4025</v>
      </c>
      <c r="D3942" s="19" t="s">
        <v>38</v>
      </c>
      <c r="E3942" s="21" t="str">
        <f t="shared" si="182"/>
        <v>VERIFICAR</v>
      </c>
      <c r="F3942" s="22">
        <v>1.e-002</v>
      </c>
      <c r="G3942" s="21" t="str">
        <f t="shared" si="183"/>
        <v>VERIFICAR</v>
      </c>
      <c r="H3942" s="22">
        <v>1.e-002</v>
      </c>
      <c r="I3942" s="23" t="str">
        <f t="shared" si="184"/>
        <v xml:space="preserve">COM VALOR</v>
      </c>
      <c r="J3942" s="19"/>
      <c r="L3942" s="21">
        <v>0</v>
      </c>
      <c r="M3942" s="22"/>
      <c r="N3942" s="21">
        <v>0</v>
      </c>
      <c r="O3942" s="22"/>
    </row>
    <row r="3943" ht="51">
      <c r="A3943" t="s">
        <v>3996</v>
      </c>
      <c r="B3943" s="19">
        <v>105072</v>
      </c>
      <c r="C3943" s="20" t="s">
        <v>4026</v>
      </c>
      <c r="D3943" s="19" t="s">
        <v>38</v>
      </c>
      <c r="E3943" s="21" t="str">
        <f t="shared" si="182"/>
        <v>VERIFICAR</v>
      </c>
      <c r="F3943" s="22">
        <v>1.e-002</v>
      </c>
      <c r="G3943" s="21" t="str">
        <f t="shared" si="183"/>
        <v>VERIFICAR</v>
      </c>
      <c r="H3943" s="22">
        <v>1.e-002</v>
      </c>
      <c r="I3943" s="23" t="str">
        <f t="shared" si="184"/>
        <v xml:space="preserve">COM VALOR</v>
      </c>
      <c r="J3943" s="19"/>
      <c r="L3943" s="21">
        <v>0</v>
      </c>
      <c r="M3943" s="22"/>
      <c r="N3943" s="21">
        <v>0</v>
      </c>
      <c r="O3943" s="22"/>
    </row>
    <row r="3944" ht="51">
      <c r="A3944" t="s">
        <v>3996</v>
      </c>
      <c r="B3944" s="19">
        <v>105070</v>
      </c>
      <c r="C3944" s="20" t="s">
        <v>4027</v>
      </c>
      <c r="D3944" s="19" t="s">
        <v>38</v>
      </c>
      <c r="E3944" s="21" t="str">
        <f t="shared" si="182"/>
        <v>VERIFICAR</v>
      </c>
      <c r="F3944" s="22">
        <v>0</v>
      </c>
      <c r="G3944" s="21" t="str">
        <f t="shared" si="183"/>
        <v>VERIFICAR</v>
      </c>
      <c r="H3944" s="22">
        <v>0</v>
      </c>
      <c r="I3944" s="23" t="str">
        <f t="shared" si="184"/>
        <v xml:space="preserve">COM VALOR</v>
      </c>
      <c r="J3944" s="19"/>
      <c r="L3944" s="21">
        <v>0</v>
      </c>
      <c r="M3944" s="22"/>
      <c r="N3944" s="21">
        <v>0</v>
      </c>
      <c r="O3944" s="22"/>
    </row>
    <row r="3945" ht="51">
      <c r="A3945" t="s">
        <v>3996</v>
      </c>
      <c r="B3945" s="19">
        <v>105073</v>
      </c>
      <c r="C3945" s="20" t="s">
        <v>4028</v>
      </c>
      <c r="D3945" s="19" t="s">
        <v>38</v>
      </c>
      <c r="E3945" s="21" t="str">
        <f t="shared" si="182"/>
        <v>VERIFICAR</v>
      </c>
      <c r="F3945" s="22">
        <v>0</v>
      </c>
      <c r="G3945" s="21" t="str">
        <f t="shared" si="183"/>
        <v>VERIFICAR</v>
      </c>
      <c r="H3945" s="22">
        <v>0</v>
      </c>
      <c r="I3945" s="23" t="str">
        <f t="shared" si="184"/>
        <v xml:space="preserve">COM VALOR</v>
      </c>
      <c r="J3945" s="19"/>
      <c r="L3945" s="21">
        <v>0</v>
      </c>
      <c r="M3945" s="22"/>
      <c r="N3945" s="21">
        <v>0</v>
      </c>
      <c r="O3945" s="22"/>
    </row>
    <row r="3946" ht="51">
      <c r="A3946" t="s">
        <v>3996</v>
      </c>
      <c r="B3946" s="19">
        <v>105075</v>
      </c>
      <c r="C3946" s="20" t="s">
        <v>4029</v>
      </c>
      <c r="D3946" s="19" t="s">
        <v>38</v>
      </c>
      <c r="E3946" s="21" t="str">
        <f t="shared" si="182"/>
        <v>VERIFICAR</v>
      </c>
      <c r="F3946" s="22">
        <v>0</v>
      </c>
      <c r="G3946" s="21" t="str">
        <f t="shared" si="183"/>
        <v>VERIFICAR</v>
      </c>
      <c r="H3946" s="22">
        <v>1.e-002</v>
      </c>
      <c r="I3946" s="23" t="str">
        <f t="shared" si="184"/>
        <v xml:space="preserve">COM VALOR</v>
      </c>
      <c r="J3946" s="19"/>
      <c r="L3946" s="21">
        <v>0</v>
      </c>
      <c r="M3946" s="22"/>
      <c r="N3946" s="21">
        <v>0</v>
      </c>
      <c r="O3946" s="22"/>
    </row>
    <row r="3947" ht="51">
      <c r="A3947" t="s">
        <v>3996</v>
      </c>
      <c r="B3947" s="19">
        <v>105078</v>
      </c>
      <c r="C3947" s="20" t="s">
        <v>4030</v>
      </c>
      <c r="D3947" s="19" t="s">
        <v>38</v>
      </c>
      <c r="E3947" s="21" t="str">
        <f t="shared" si="182"/>
        <v>VERIFICAR</v>
      </c>
      <c r="F3947" s="22">
        <v>1.e-002</v>
      </c>
      <c r="G3947" s="21" t="str">
        <f t="shared" si="183"/>
        <v>VERIFICAR</v>
      </c>
      <c r="H3947" s="22">
        <v>1.e-002</v>
      </c>
      <c r="I3947" s="23" t="str">
        <f t="shared" si="184"/>
        <v xml:space="preserve">COM VALOR</v>
      </c>
      <c r="J3947" s="19"/>
      <c r="L3947" s="21">
        <v>0</v>
      </c>
      <c r="M3947" s="22"/>
      <c r="N3947" s="21">
        <v>0</v>
      </c>
      <c r="O3947" s="22"/>
    </row>
    <row r="3948" ht="51">
      <c r="A3948" t="s">
        <v>3996</v>
      </c>
      <c r="B3948" s="19">
        <v>105076</v>
      </c>
      <c r="C3948" s="20" t="s">
        <v>4031</v>
      </c>
      <c r="D3948" s="19" t="s">
        <v>38</v>
      </c>
      <c r="E3948" s="21" t="str">
        <f t="shared" si="182"/>
        <v>VERIFICAR</v>
      </c>
      <c r="F3948" s="22">
        <v>1.e-002</v>
      </c>
      <c r="G3948" s="21" t="str">
        <f t="shared" si="183"/>
        <v>VERIFICAR</v>
      </c>
      <c r="H3948" s="22">
        <v>1.e-002</v>
      </c>
      <c r="I3948" s="23" t="str">
        <f t="shared" si="184"/>
        <v xml:space="preserve">COM VALOR</v>
      </c>
      <c r="J3948" s="19"/>
      <c r="L3948" s="21">
        <v>0</v>
      </c>
      <c r="M3948" s="22"/>
      <c r="N3948" s="21">
        <v>0</v>
      </c>
      <c r="O3948" s="22"/>
    </row>
    <row r="3949" ht="51">
      <c r="A3949" t="s">
        <v>3996</v>
      </c>
      <c r="B3949" s="19">
        <v>105079</v>
      </c>
      <c r="C3949" s="20" t="s">
        <v>4032</v>
      </c>
      <c r="D3949" s="19" t="s">
        <v>38</v>
      </c>
      <c r="E3949" s="21" t="str">
        <f t="shared" si="182"/>
        <v>VERIFICAR</v>
      </c>
      <c r="F3949" s="22">
        <v>1.e-002</v>
      </c>
      <c r="G3949" s="21" t="str">
        <f t="shared" si="183"/>
        <v>VERIFICAR</v>
      </c>
      <c r="H3949" s="22">
        <v>1.e-002</v>
      </c>
      <c r="I3949" s="23" t="str">
        <f t="shared" si="184"/>
        <v xml:space="preserve">COM VALOR</v>
      </c>
      <c r="J3949" s="19"/>
      <c r="L3949" s="21">
        <v>0</v>
      </c>
      <c r="M3949" s="22"/>
      <c r="N3949" s="21">
        <v>0</v>
      </c>
      <c r="O3949" s="22"/>
    </row>
    <row r="3950" ht="51">
      <c r="A3950" t="s">
        <v>3996</v>
      </c>
      <c r="B3950" s="19">
        <v>105061</v>
      </c>
      <c r="C3950" s="20" t="s">
        <v>4033</v>
      </c>
      <c r="D3950" s="19" t="s">
        <v>38</v>
      </c>
      <c r="E3950" s="21">
        <f t="shared" si="182"/>
        <v>104.06</v>
      </c>
      <c r="F3950" s="22">
        <v>1.e-002</v>
      </c>
      <c r="G3950" s="21">
        <f t="shared" si="183"/>
        <v>102.42</v>
      </c>
      <c r="H3950" s="22">
        <v>1.e-002</v>
      </c>
      <c r="I3950" s="23" t="str">
        <f t="shared" si="184"/>
        <v xml:space="preserve">COM VALOR</v>
      </c>
      <c r="J3950" s="19"/>
      <c r="L3950" s="21">
        <v>104.06</v>
      </c>
      <c r="M3950" s="22">
        <v>0</v>
      </c>
      <c r="N3950" s="21">
        <v>102.42</v>
      </c>
      <c r="O3950" s="22">
        <v>0</v>
      </c>
    </row>
    <row r="3951" ht="51">
      <c r="A3951" t="s">
        <v>3996</v>
      </c>
      <c r="B3951" s="19">
        <v>105064</v>
      </c>
      <c r="C3951" s="20" t="s">
        <v>4034</v>
      </c>
      <c r="D3951" s="19" t="s">
        <v>38</v>
      </c>
      <c r="E3951" s="21">
        <f t="shared" si="182"/>
        <v>91.019999999999996</v>
      </c>
      <c r="F3951" s="22">
        <v>1.e-002</v>
      </c>
      <c r="G3951" s="21">
        <f t="shared" si="183"/>
        <v>90.040000000000006</v>
      </c>
      <c r="H3951" s="22">
        <v>1.e-002</v>
      </c>
      <c r="I3951" s="23" t="str">
        <f t="shared" si="184"/>
        <v xml:space="preserve">COM VALOR</v>
      </c>
      <c r="J3951" s="19"/>
      <c r="L3951" s="21">
        <v>91.019999999999996</v>
      </c>
      <c r="M3951" s="22">
        <v>0</v>
      </c>
      <c r="N3951" s="21">
        <v>90.040000000000006</v>
      </c>
      <c r="O3951" s="22">
        <v>0</v>
      </c>
    </row>
    <row r="3952" ht="51">
      <c r="A3952" t="s">
        <v>3996</v>
      </c>
      <c r="B3952" s="19">
        <v>105068</v>
      </c>
      <c r="C3952" s="20" t="s">
        <v>4035</v>
      </c>
      <c r="D3952" s="19" t="s">
        <v>38</v>
      </c>
      <c r="E3952" s="21">
        <f t="shared" si="182"/>
        <v>173.19999999999999</v>
      </c>
      <c r="F3952" s="22">
        <v>1.e-002</v>
      </c>
      <c r="G3952" s="21">
        <f t="shared" si="183"/>
        <v>171.55000000000001</v>
      </c>
      <c r="H3952" s="22">
        <v>1.e-002</v>
      </c>
      <c r="I3952" s="23" t="str">
        <f t="shared" si="184"/>
        <v xml:space="preserve">COM VALOR</v>
      </c>
      <c r="J3952" s="19"/>
      <c r="L3952" s="21">
        <v>173.19999999999999</v>
      </c>
      <c r="M3952" s="22">
        <v>0</v>
      </c>
      <c r="N3952" s="21">
        <v>171.55000000000001</v>
      </c>
      <c r="O3952" s="22">
        <v>0</v>
      </c>
    </row>
    <row r="3953" ht="51">
      <c r="A3953" t="s">
        <v>3996</v>
      </c>
      <c r="B3953" s="19">
        <v>105071</v>
      </c>
      <c r="C3953" s="20" t="s">
        <v>4036</v>
      </c>
      <c r="D3953" s="19" t="s">
        <v>38</v>
      </c>
      <c r="E3953" s="21">
        <f t="shared" si="182"/>
        <v>160.16999999999999</v>
      </c>
      <c r="F3953" s="22">
        <v>1.e-002</v>
      </c>
      <c r="G3953" s="21">
        <f t="shared" si="183"/>
        <v>159.19999999999999</v>
      </c>
      <c r="H3953" s="22">
        <v>1.e-002</v>
      </c>
      <c r="I3953" s="23" t="str">
        <f t="shared" si="184"/>
        <v xml:space="preserve">COM VALOR</v>
      </c>
      <c r="J3953" s="19"/>
      <c r="L3953" s="21">
        <v>160.16999999999999</v>
      </c>
      <c r="M3953" s="22">
        <v>0</v>
      </c>
      <c r="N3953" s="21">
        <v>159.19999999999999</v>
      </c>
      <c r="O3953" s="22">
        <v>0</v>
      </c>
    </row>
    <row r="3954" ht="51">
      <c r="A3954" t="s">
        <v>3996</v>
      </c>
      <c r="B3954" s="19">
        <v>105074</v>
      </c>
      <c r="C3954" s="20" t="s">
        <v>4037</v>
      </c>
      <c r="D3954" s="19" t="s">
        <v>38</v>
      </c>
      <c r="E3954" s="21">
        <f t="shared" si="182"/>
        <v>269.93000000000001</v>
      </c>
      <c r="F3954" s="22">
        <v>0</v>
      </c>
      <c r="G3954" s="21">
        <f t="shared" si="183"/>
        <v>268.27999999999997</v>
      </c>
      <c r="H3954" s="22">
        <v>0</v>
      </c>
      <c r="I3954" s="23" t="str">
        <f t="shared" si="184"/>
        <v xml:space="preserve">COM VALOR</v>
      </c>
      <c r="J3954" s="19"/>
      <c r="L3954" s="21">
        <v>269.93000000000001</v>
      </c>
      <c r="M3954" s="22">
        <v>0</v>
      </c>
      <c r="N3954" s="21">
        <v>268.27999999999997</v>
      </c>
      <c r="O3954" s="22">
        <v>0</v>
      </c>
    </row>
    <row r="3955" ht="51">
      <c r="A3955" t="s">
        <v>3996</v>
      </c>
      <c r="B3955" s="19">
        <v>105077</v>
      </c>
      <c r="C3955" s="20" t="s">
        <v>4038</v>
      </c>
      <c r="D3955" s="19" t="s">
        <v>38</v>
      </c>
      <c r="E3955" s="21">
        <f t="shared" si="182"/>
        <v>256.97000000000003</v>
      </c>
      <c r="F3955" s="22">
        <v>0</v>
      </c>
      <c r="G3955" s="21">
        <f t="shared" si="183"/>
        <v>255.97999999999999</v>
      </c>
      <c r="H3955" s="22">
        <v>0</v>
      </c>
      <c r="I3955" s="23" t="str">
        <f t="shared" si="184"/>
        <v xml:space="preserve">COM VALOR</v>
      </c>
      <c r="J3955" s="19"/>
      <c r="L3955" s="21">
        <v>256.97000000000003</v>
      </c>
      <c r="M3955" s="22">
        <v>0</v>
      </c>
      <c r="N3955" s="21">
        <v>255.97999999999999</v>
      </c>
      <c r="O3955" s="22">
        <v>0</v>
      </c>
    </row>
    <row r="3956" ht="25.5">
      <c r="A3956" t="s">
        <v>3996</v>
      </c>
      <c r="B3956" s="19">
        <v>105090</v>
      </c>
      <c r="C3956" s="20" t="s">
        <v>4039</v>
      </c>
      <c r="D3956" s="19" t="s">
        <v>29</v>
      </c>
      <c r="E3956" s="21">
        <f t="shared" si="182"/>
        <v>577.25999999999999</v>
      </c>
      <c r="F3956" s="22">
        <v>0</v>
      </c>
      <c r="G3956" s="21">
        <f t="shared" si="183"/>
        <v>575.69000000000005</v>
      </c>
      <c r="H3956" s="22">
        <v>0</v>
      </c>
      <c r="I3956" s="23" t="str">
        <f t="shared" si="184"/>
        <v xml:space="preserve">COM VALOR</v>
      </c>
      <c r="J3956" s="19"/>
      <c r="L3956" s="21">
        <v>577.25999999999999</v>
      </c>
      <c r="M3956" s="22">
        <v>0.88</v>
      </c>
      <c r="N3956" s="21">
        <v>575.69000000000005</v>
      </c>
      <c r="O3956" s="22">
        <v>0.88</v>
      </c>
    </row>
    <row r="3957" ht="25.5">
      <c r="A3957" t="s">
        <v>3996</v>
      </c>
      <c r="B3957" s="19">
        <v>105099</v>
      </c>
      <c r="C3957" s="20" t="s">
        <v>4040</v>
      </c>
      <c r="D3957" s="19" t="s">
        <v>38</v>
      </c>
      <c r="E3957" s="21">
        <f t="shared" si="182"/>
        <v>97.209999999999994</v>
      </c>
      <c r="F3957" s="22">
        <v>0</v>
      </c>
      <c r="G3957" s="21">
        <f t="shared" si="183"/>
        <v>95.400000000000006</v>
      </c>
      <c r="H3957" s="22">
        <v>0</v>
      </c>
      <c r="I3957" s="23" t="str">
        <f t="shared" si="184"/>
        <v xml:space="preserve">COM VALOR</v>
      </c>
      <c r="J3957" s="19"/>
      <c r="L3957" s="21">
        <v>97.209999999999994</v>
      </c>
      <c r="M3957" s="22">
        <v>0</v>
      </c>
      <c r="N3957" s="21">
        <v>95.400000000000006</v>
      </c>
      <c r="O3957" s="22">
        <v>0</v>
      </c>
    </row>
    <row r="3958" ht="25.5">
      <c r="A3958" t="s">
        <v>3996</v>
      </c>
      <c r="B3958" s="19">
        <v>105100</v>
      </c>
      <c r="C3958" s="20" t="s">
        <v>4041</v>
      </c>
      <c r="D3958" s="19" t="s">
        <v>38</v>
      </c>
      <c r="E3958" s="21">
        <f t="shared" si="182"/>
        <v>148.77000000000001</v>
      </c>
      <c r="F3958" s="22">
        <v>0</v>
      </c>
      <c r="G3958" s="21">
        <f t="shared" si="183"/>
        <v>146.80000000000001</v>
      </c>
      <c r="H3958" s="22">
        <v>0</v>
      </c>
      <c r="I3958" s="23" t="str">
        <f t="shared" si="184"/>
        <v xml:space="preserve">COM VALOR</v>
      </c>
      <c r="J3958" s="19"/>
      <c r="L3958" s="21">
        <v>148.77000000000001</v>
      </c>
      <c r="M3958" s="22">
        <v>0</v>
      </c>
      <c r="N3958" s="21">
        <v>146.80000000000001</v>
      </c>
      <c r="O3958" s="22">
        <v>0</v>
      </c>
    </row>
    <row r="3959" ht="25.5">
      <c r="A3959" t="s">
        <v>3996</v>
      </c>
      <c r="B3959" s="19">
        <v>105101</v>
      </c>
      <c r="C3959" s="20" t="s">
        <v>4042</v>
      </c>
      <c r="D3959" s="19" t="s">
        <v>38</v>
      </c>
      <c r="E3959" s="21">
        <f t="shared" si="182"/>
        <v>314.26999999999998</v>
      </c>
      <c r="F3959" s="22">
        <v>0</v>
      </c>
      <c r="G3959" s="21">
        <f t="shared" si="183"/>
        <v>311.95999999999998</v>
      </c>
      <c r="H3959" s="22">
        <v>0</v>
      </c>
      <c r="I3959" s="23" t="str">
        <f t="shared" si="184"/>
        <v xml:space="preserve">COM VALOR</v>
      </c>
      <c r="J3959" s="19"/>
      <c r="L3959" s="21">
        <v>314.26999999999998</v>
      </c>
      <c r="M3959" s="22">
        <v>0</v>
      </c>
      <c r="N3959" s="21">
        <v>311.95999999999998</v>
      </c>
      <c r="O3959" s="22">
        <v>0</v>
      </c>
    </row>
    <row r="3960" ht="25.5">
      <c r="A3960" t="s">
        <v>3996</v>
      </c>
      <c r="B3960" s="19">
        <v>105102</v>
      </c>
      <c r="C3960" s="20" t="s">
        <v>4043</v>
      </c>
      <c r="D3960" s="19" t="s">
        <v>38</v>
      </c>
      <c r="E3960" s="21">
        <f t="shared" si="182"/>
        <v>439.06999999999999</v>
      </c>
      <c r="F3960" s="22">
        <v>0</v>
      </c>
      <c r="G3960" s="21">
        <f t="shared" si="183"/>
        <v>436.31</v>
      </c>
      <c r="H3960" s="22">
        <v>0</v>
      </c>
      <c r="I3960" s="23" t="str">
        <f t="shared" si="184"/>
        <v xml:space="preserve">COM VALOR</v>
      </c>
      <c r="J3960" s="19"/>
      <c r="L3960" s="21">
        <v>439.06999999999999</v>
      </c>
      <c r="M3960" s="22">
        <v>0</v>
      </c>
      <c r="N3960" s="21">
        <v>436.31</v>
      </c>
      <c r="O3960" s="22">
        <v>0</v>
      </c>
    </row>
    <row r="3961" ht="25.5">
      <c r="A3961" t="s">
        <v>3996</v>
      </c>
      <c r="B3961" s="19">
        <v>105080</v>
      </c>
      <c r="C3961" s="20" t="s">
        <v>4044</v>
      </c>
      <c r="D3961" s="19" t="s">
        <v>38</v>
      </c>
      <c r="E3961" s="21">
        <f t="shared" si="182"/>
        <v>67.510000000000005</v>
      </c>
      <c r="F3961" s="22">
        <v>0</v>
      </c>
      <c r="G3961" s="21">
        <f t="shared" si="183"/>
        <v>66.430000000000007</v>
      </c>
      <c r="H3961" s="22">
        <v>0</v>
      </c>
      <c r="I3961" s="23" t="str">
        <f t="shared" si="184"/>
        <v xml:space="preserve">COM VALOR</v>
      </c>
      <c r="J3961" s="19"/>
      <c r="L3961" s="21">
        <v>67.510000000000005</v>
      </c>
      <c r="M3961" s="22">
        <v>0</v>
      </c>
      <c r="N3961" s="21">
        <v>66.430000000000007</v>
      </c>
      <c r="O3961" s="22">
        <v>0</v>
      </c>
    </row>
    <row r="3962" ht="25.5">
      <c r="A3962" t="s">
        <v>3996</v>
      </c>
      <c r="B3962" s="19">
        <v>105081</v>
      </c>
      <c r="C3962" s="20" t="s">
        <v>4045</v>
      </c>
      <c r="D3962" s="19" t="s">
        <v>38</v>
      </c>
      <c r="E3962" s="21">
        <f t="shared" si="182"/>
        <v>78.359999999999999</v>
      </c>
      <c r="F3962" s="22">
        <v>0</v>
      </c>
      <c r="G3962" s="21">
        <f t="shared" si="183"/>
        <v>77.25</v>
      </c>
      <c r="H3962" s="22">
        <v>0</v>
      </c>
      <c r="I3962" s="23" t="str">
        <f t="shared" si="184"/>
        <v xml:space="preserve">COM VALOR</v>
      </c>
      <c r="J3962" s="19"/>
      <c r="L3962" s="21">
        <v>78.359999999999999</v>
      </c>
      <c r="M3962" s="22">
        <v>0</v>
      </c>
      <c r="N3962" s="21">
        <v>77.25</v>
      </c>
      <c r="O3962" s="22">
        <v>0</v>
      </c>
    </row>
    <row r="3963" ht="25.5">
      <c r="A3963" t="s">
        <v>3996</v>
      </c>
      <c r="B3963" s="19">
        <v>105091</v>
      </c>
      <c r="C3963" s="20" t="s">
        <v>4046</v>
      </c>
      <c r="D3963" s="19" t="s">
        <v>38</v>
      </c>
      <c r="E3963" s="21">
        <f t="shared" si="182"/>
        <v>138.03</v>
      </c>
      <c r="F3963" s="22">
        <v>0</v>
      </c>
      <c r="G3963" s="21">
        <f t="shared" si="183"/>
        <v>136.80000000000001</v>
      </c>
      <c r="H3963" s="22">
        <v>0</v>
      </c>
      <c r="I3963" s="23" t="str">
        <f t="shared" si="184"/>
        <v xml:space="preserve">COM VALOR</v>
      </c>
      <c r="J3963" s="19"/>
      <c r="L3963" s="21">
        <v>138.03</v>
      </c>
      <c r="M3963" s="22">
        <v>0</v>
      </c>
      <c r="N3963" s="21">
        <v>136.80000000000001</v>
      </c>
      <c r="O3963" s="22">
        <v>0</v>
      </c>
    </row>
    <row r="3964" ht="25.5">
      <c r="A3964" t="s">
        <v>3996</v>
      </c>
      <c r="B3964" s="19">
        <v>105089</v>
      </c>
      <c r="C3964" s="20" t="s">
        <v>4047</v>
      </c>
      <c r="D3964" s="19" t="s">
        <v>38</v>
      </c>
      <c r="E3964" s="21">
        <f t="shared" si="182"/>
        <v>174.58000000000001</v>
      </c>
      <c r="F3964" s="22">
        <v>1.e-002</v>
      </c>
      <c r="G3964" s="21">
        <f t="shared" si="183"/>
        <v>173.22999999999999</v>
      </c>
      <c r="H3964" s="22">
        <v>1.e-002</v>
      </c>
      <c r="I3964" s="23" t="str">
        <f t="shared" si="184"/>
        <v xml:space="preserve">COM VALOR</v>
      </c>
      <c r="J3964" s="19"/>
      <c r="L3964" s="21">
        <v>174.58000000000001</v>
      </c>
      <c r="M3964" s="22">
        <v>0</v>
      </c>
      <c r="N3964" s="21">
        <v>173.22999999999999</v>
      </c>
      <c r="O3964" s="22">
        <v>0</v>
      </c>
    </row>
    <row r="3965" ht="25.5">
      <c r="A3965" t="s">
        <v>3996</v>
      </c>
      <c r="B3965" s="19">
        <v>105082</v>
      </c>
      <c r="C3965" s="20" t="s">
        <v>4048</v>
      </c>
      <c r="D3965" s="19" t="s">
        <v>38</v>
      </c>
      <c r="E3965" s="21">
        <f t="shared" si="182"/>
        <v>70.459999999999994</v>
      </c>
      <c r="F3965" s="22">
        <v>1.e-002</v>
      </c>
      <c r="G3965" s="21">
        <f t="shared" si="183"/>
        <v>69.379999999999995</v>
      </c>
      <c r="H3965" s="22">
        <v>1.e-002</v>
      </c>
      <c r="I3965" s="23" t="str">
        <f t="shared" si="184"/>
        <v xml:space="preserve">COM VALOR</v>
      </c>
      <c r="J3965" s="19"/>
      <c r="L3965" s="21">
        <v>70.459999999999994</v>
      </c>
      <c r="M3965" s="22">
        <v>0</v>
      </c>
      <c r="N3965" s="21">
        <v>69.379999999999995</v>
      </c>
      <c r="O3965" s="22">
        <v>0</v>
      </c>
    </row>
    <row r="3966" ht="25.5">
      <c r="A3966" t="s">
        <v>3996</v>
      </c>
      <c r="B3966" s="19">
        <v>105083</v>
      </c>
      <c r="C3966" s="20" t="s">
        <v>4049</v>
      </c>
      <c r="D3966" s="19" t="s">
        <v>38</v>
      </c>
      <c r="E3966" s="21">
        <f t="shared" si="182"/>
        <v>79.709999999999994</v>
      </c>
      <c r="F3966" s="22">
        <v>1.e-002</v>
      </c>
      <c r="G3966" s="21">
        <f t="shared" si="183"/>
        <v>78.599999999999994</v>
      </c>
      <c r="H3966" s="22">
        <v>1.e-002</v>
      </c>
      <c r="I3966" s="23" t="str">
        <f t="shared" si="184"/>
        <v xml:space="preserve">COM VALOR</v>
      </c>
      <c r="J3966" s="19"/>
      <c r="L3966" s="21">
        <v>79.709999999999994</v>
      </c>
      <c r="M3966" s="22">
        <v>0</v>
      </c>
      <c r="N3966" s="21">
        <v>78.599999999999994</v>
      </c>
      <c r="O3966" s="22">
        <v>0</v>
      </c>
    </row>
    <row r="3967" ht="25.5">
      <c r="A3967" t="s">
        <v>3996</v>
      </c>
      <c r="B3967" s="19">
        <v>105084</v>
      </c>
      <c r="C3967" s="20" t="s">
        <v>4050</v>
      </c>
      <c r="D3967" s="19" t="s">
        <v>38</v>
      </c>
      <c r="E3967" s="21">
        <f t="shared" si="182"/>
        <v>99.459999999999994</v>
      </c>
      <c r="F3967" s="22">
        <v>1.e-002</v>
      </c>
      <c r="G3967" s="21">
        <f t="shared" si="183"/>
        <v>98.299999999999997</v>
      </c>
      <c r="H3967" s="22">
        <v>1.e-002</v>
      </c>
      <c r="I3967" s="23" t="str">
        <f t="shared" si="184"/>
        <v xml:space="preserve">COM VALOR</v>
      </c>
      <c r="J3967" s="19"/>
      <c r="L3967" s="21">
        <v>99.459999999999994</v>
      </c>
      <c r="M3967" s="22">
        <v>0</v>
      </c>
      <c r="N3967" s="21">
        <v>98.299999999999997</v>
      </c>
      <c r="O3967" s="22">
        <v>0</v>
      </c>
    </row>
    <row r="3968" ht="25.5">
      <c r="A3968" t="s">
        <v>3996</v>
      </c>
      <c r="B3968" s="19">
        <v>105086</v>
      </c>
      <c r="C3968" s="20" t="s">
        <v>4051</v>
      </c>
      <c r="D3968" s="19" t="s">
        <v>38</v>
      </c>
      <c r="E3968" s="21">
        <f t="shared" si="182"/>
        <v>92.150000000000006</v>
      </c>
      <c r="F3968" s="22">
        <v>1.e-002</v>
      </c>
      <c r="G3968" s="21">
        <f t="shared" si="183"/>
        <v>90.950000000000003</v>
      </c>
      <c r="H3968" s="22">
        <v>1.e-002</v>
      </c>
      <c r="I3968" s="23" t="str">
        <f t="shared" si="184"/>
        <v xml:space="preserve">COM VALOR</v>
      </c>
      <c r="J3968" s="19"/>
      <c r="L3968" s="21">
        <v>92.150000000000006</v>
      </c>
      <c r="M3968" s="22">
        <v>0</v>
      </c>
      <c r="N3968" s="21">
        <v>90.950000000000003</v>
      </c>
      <c r="O3968" s="22">
        <v>0</v>
      </c>
    </row>
    <row r="3969" ht="25.5">
      <c r="A3969" t="s">
        <v>3996</v>
      </c>
      <c r="B3969" s="19">
        <v>105087</v>
      </c>
      <c r="C3969" s="20" t="s">
        <v>4052</v>
      </c>
      <c r="D3969" s="19" t="s">
        <v>38</v>
      </c>
      <c r="E3969" s="21">
        <f t="shared" si="182"/>
        <v>103.7</v>
      </c>
      <c r="F3969" s="22">
        <v>1.e-002</v>
      </c>
      <c r="G3969" s="21">
        <f t="shared" si="183"/>
        <v>102.45</v>
      </c>
      <c r="H3969" s="22">
        <v>1.e-002</v>
      </c>
      <c r="I3969" s="23" t="str">
        <f t="shared" si="184"/>
        <v xml:space="preserve">COM VALOR</v>
      </c>
      <c r="J3969" s="19"/>
      <c r="L3969" s="21">
        <v>103.7</v>
      </c>
      <c r="M3969" s="22">
        <v>0</v>
      </c>
      <c r="N3969" s="21">
        <v>102.45</v>
      </c>
      <c r="O3969" s="22">
        <v>0</v>
      </c>
    </row>
    <row r="3970" ht="25.5">
      <c r="A3970" t="s">
        <v>3996</v>
      </c>
      <c r="B3970" s="19">
        <v>105088</v>
      </c>
      <c r="C3970" s="20" t="s">
        <v>4053</v>
      </c>
      <c r="D3970" s="19" t="s">
        <v>38</v>
      </c>
      <c r="E3970" s="21">
        <f t="shared" si="182"/>
        <v>189.38999999999999</v>
      </c>
      <c r="F3970" s="22">
        <v>1.e-002</v>
      </c>
      <c r="G3970" s="21">
        <f t="shared" si="183"/>
        <v>188.03999999999999</v>
      </c>
      <c r="H3970" s="22">
        <v>1.e-002</v>
      </c>
      <c r="I3970" s="23" t="str">
        <f t="shared" si="184"/>
        <v xml:space="preserve">COM VALOR</v>
      </c>
      <c r="J3970" s="19"/>
      <c r="L3970" s="21">
        <v>189.38999999999999</v>
      </c>
      <c r="M3970" s="22">
        <v>0</v>
      </c>
      <c r="N3970" s="21">
        <v>188.03999999999999</v>
      </c>
      <c r="O3970" s="22">
        <v>0</v>
      </c>
    </row>
    <row r="3971" ht="38.25">
      <c r="A3971" t="s">
        <v>3996</v>
      </c>
      <c r="B3971" s="19">
        <v>105092</v>
      </c>
      <c r="C3971" s="20" t="s">
        <v>4054</v>
      </c>
      <c r="D3971" s="19" t="s">
        <v>38</v>
      </c>
      <c r="E3971" s="21">
        <f t="shared" si="182"/>
        <v>150.36000000000001</v>
      </c>
      <c r="F3971" s="22">
        <v>1.e-002</v>
      </c>
      <c r="G3971" s="21">
        <f t="shared" si="183"/>
        <v>149.13</v>
      </c>
      <c r="H3971" s="22">
        <v>1.e-002</v>
      </c>
      <c r="I3971" s="23" t="str">
        <f t="shared" si="184"/>
        <v xml:space="preserve">COM VALOR</v>
      </c>
      <c r="J3971" s="19"/>
      <c r="L3971" s="21">
        <v>150.36000000000001</v>
      </c>
      <c r="M3971" s="22">
        <v>0</v>
      </c>
      <c r="N3971" s="21">
        <v>149.13</v>
      </c>
      <c r="O3971" s="22">
        <v>0</v>
      </c>
    </row>
    <row r="3972" ht="25.5">
      <c r="A3972" t="s">
        <v>3996</v>
      </c>
      <c r="B3972" s="19">
        <v>105085</v>
      </c>
      <c r="C3972" s="20" t="s">
        <v>4055</v>
      </c>
      <c r="D3972" s="19" t="s">
        <v>38</v>
      </c>
      <c r="E3972" s="21">
        <f t="shared" si="182"/>
        <v>104.04000000000001</v>
      </c>
      <c r="F3972" s="22">
        <v>0</v>
      </c>
      <c r="G3972" s="21">
        <f t="shared" si="183"/>
        <v>102.88</v>
      </c>
      <c r="H3972" s="22">
        <v>0</v>
      </c>
      <c r="I3972" s="23" t="str">
        <f t="shared" si="184"/>
        <v xml:space="preserve">COM VALOR</v>
      </c>
      <c r="J3972" s="19"/>
      <c r="L3972" s="21">
        <v>104.04000000000001</v>
      </c>
      <c r="M3972" s="22">
        <v>0</v>
      </c>
      <c r="N3972" s="21">
        <v>102.88</v>
      </c>
      <c r="O3972" s="22">
        <v>0</v>
      </c>
    </row>
    <row r="3973" ht="25.5">
      <c r="A3973" t="s">
        <v>3996</v>
      </c>
      <c r="B3973" s="19">
        <v>105093</v>
      </c>
      <c r="C3973" s="20" t="s">
        <v>4056</v>
      </c>
      <c r="D3973" s="19" t="s">
        <v>38</v>
      </c>
      <c r="E3973" s="21">
        <f t="shared" si="182"/>
        <v>152.36000000000001</v>
      </c>
      <c r="F3973" s="22">
        <v>1.e-002</v>
      </c>
      <c r="G3973" s="21">
        <f t="shared" si="183"/>
        <v>151.00999999999999</v>
      </c>
      <c r="H3973" s="22">
        <v>1.e-002</v>
      </c>
      <c r="I3973" s="23" t="str">
        <f t="shared" si="184"/>
        <v xml:space="preserve">COM VALOR</v>
      </c>
      <c r="J3973" s="19"/>
      <c r="L3973" s="21">
        <v>152.36000000000001</v>
      </c>
      <c r="M3973" s="22">
        <v>0</v>
      </c>
      <c r="N3973" s="21">
        <v>151.00999999999999</v>
      </c>
      <c r="O3973" s="22">
        <v>0</v>
      </c>
    </row>
    <row r="3974" ht="25.5">
      <c r="A3974" t="s">
        <v>3996</v>
      </c>
      <c r="B3974" s="19">
        <v>105041</v>
      </c>
      <c r="C3974" s="20" t="s">
        <v>4057</v>
      </c>
      <c r="D3974" s="19" t="s">
        <v>38</v>
      </c>
      <c r="E3974" s="21">
        <f t="shared" si="182"/>
        <v>50.759999999999998</v>
      </c>
      <c r="F3974" s="22">
        <v>0</v>
      </c>
      <c r="G3974" s="21">
        <f t="shared" si="183"/>
        <v>49.700000000000003</v>
      </c>
      <c r="H3974" s="22">
        <v>0</v>
      </c>
      <c r="I3974" s="23" t="str">
        <f t="shared" si="184"/>
        <v xml:space="preserve">COM VALOR</v>
      </c>
      <c r="J3974" s="19"/>
      <c r="L3974" s="21">
        <v>50.759999999999998</v>
      </c>
      <c r="M3974" s="22">
        <v>0</v>
      </c>
      <c r="N3974" s="21">
        <v>49.700000000000003</v>
      </c>
      <c r="O3974" s="22">
        <v>0</v>
      </c>
    </row>
    <row r="3975" ht="25.5">
      <c r="A3975" t="s">
        <v>3996</v>
      </c>
      <c r="B3975" s="19">
        <v>105045</v>
      </c>
      <c r="C3975" s="20" t="s">
        <v>4058</v>
      </c>
      <c r="D3975" s="19" t="s">
        <v>38</v>
      </c>
      <c r="E3975" s="21">
        <f t="shared" si="182"/>
        <v>57.289999999999999</v>
      </c>
      <c r="F3975" s="22">
        <v>0</v>
      </c>
      <c r="G3975" s="21">
        <f t="shared" si="183"/>
        <v>56.159999999999997</v>
      </c>
      <c r="H3975" s="22">
        <v>0</v>
      </c>
      <c r="I3975" s="23" t="str">
        <f t="shared" si="184"/>
        <v xml:space="preserve">COM VALOR</v>
      </c>
      <c r="J3975" s="19"/>
      <c r="L3975" s="21">
        <v>57.289999999999999</v>
      </c>
      <c r="M3975" s="22">
        <v>0</v>
      </c>
      <c r="N3975" s="21">
        <v>56.159999999999997</v>
      </c>
      <c r="O3975" s="22">
        <v>0</v>
      </c>
    </row>
    <row r="3976" ht="51">
      <c r="A3976" t="s">
        <v>4059</v>
      </c>
      <c r="B3976" s="19">
        <v>93961</v>
      </c>
      <c r="C3976" s="20" t="s">
        <v>4060</v>
      </c>
      <c r="D3976" s="19" t="s">
        <v>38</v>
      </c>
      <c r="E3976" s="21">
        <f t="shared" si="182"/>
        <v>215.81999999999999</v>
      </c>
      <c r="F3976" s="22">
        <v>0</v>
      </c>
      <c r="G3976" s="21">
        <f t="shared" si="183"/>
        <v>208.28</v>
      </c>
      <c r="H3976" s="22">
        <v>0</v>
      </c>
      <c r="I3976" s="23" t="str">
        <f t="shared" si="184"/>
        <v xml:space="preserve">COM VALOR</v>
      </c>
      <c r="J3976" s="19"/>
      <c r="L3976" s="21">
        <v>215.81999999999999</v>
      </c>
      <c r="M3976" s="22">
        <v>8.0000000000000002e-002</v>
      </c>
      <c r="N3976" s="21">
        <v>208.28</v>
      </c>
      <c r="O3976" s="22">
        <v>8.0000000000000002e-002</v>
      </c>
    </row>
    <row r="3977" ht="38.25">
      <c r="A3977" t="s">
        <v>4059</v>
      </c>
      <c r="B3977" s="19">
        <v>93971</v>
      </c>
      <c r="C3977" s="20" t="s">
        <v>4061</v>
      </c>
      <c r="D3977" s="19" t="s">
        <v>38</v>
      </c>
      <c r="E3977" s="21">
        <f t="shared" si="182"/>
        <v>182.34</v>
      </c>
      <c r="F3977" s="22">
        <v>0</v>
      </c>
      <c r="G3977" s="21">
        <f t="shared" si="183"/>
        <v>176.28</v>
      </c>
      <c r="H3977" s="22">
        <v>0</v>
      </c>
      <c r="I3977" s="23" t="str">
        <f t="shared" si="184"/>
        <v xml:space="preserve">COM VALOR</v>
      </c>
      <c r="J3977" s="19"/>
      <c r="L3977" s="21">
        <v>182.34</v>
      </c>
      <c r="M3977" s="22">
        <v>8.0000000000000002e-002</v>
      </c>
      <c r="N3977" s="21">
        <v>176.28</v>
      </c>
      <c r="O3977" s="22">
        <v>8.0000000000000002e-002</v>
      </c>
    </row>
    <row r="3978" ht="51">
      <c r="A3978" t="s">
        <v>4059</v>
      </c>
      <c r="B3978" s="19">
        <v>93959</v>
      </c>
      <c r="C3978" s="20" t="s">
        <v>4062</v>
      </c>
      <c r="D3978" s="19" t="s">
        <v>38</v>
      </c>
      <c r="E3978" s="21">
        <f t="shared" si="182"/>
        <v>240.00999999999999</v>
      </c>
      <c r="F3978" s="22">
        <v>0</v>
      </c>
      <c r="G3978" s="21">
        <f t="shared" si="183"/>
        <v>231.53</v>
      </c>
      <c r="H3978" s="22">
        <v>0</v>
      </c>
      <c r="I3978" s="23" t="str">
        <f t="shared" si="184"/>
        <v xml:space="preserve">COM VALOR</v>
      </c>
      <c r="J3978" s="19"/>
      <c r="L3978" s="21">
        <v>240.00999999999999</v>
      </c>
      <c r="M3978" s="22">
        <v>8.0000000000000002e-002</v>
      </c>
      <c r="N3978" s="21">
        <v>231.53</v>
      </c>
      <c r="O3978" s="22">
        <v>8.0000000000000002e-002</v>
      </c>
    </row>
    <row r="3979" ht="51">
      <c r="A3979" t="s">
        <v>4059</v>
      </c>
      <c r="B3979" s="19">
        <v>93969</v>
      </c>
      <c r="C3979" s="20" t="s">
        <v>4063</v>
      </c>
      <c r="D3979" s="19" t="s">
        <v>38</v>
      </c>
      <c r="E3979" s="21">
        <f t="shared" ref="E3979:E4042" si="185">IF(L3979=0,"VERIFICAR",L3979)</f>
        <v>201.84</v>
      </c>
      <c r="F3979" s="22">
        <v>0</v>
      </c>
      <c r="G3979" s="21">
        <f t="shared" ref="G3979:G4042" si="186">IF(N3979=0,"VERIFICAR",N3979)</f>
        <v>195.00999999999999</v>
      </c>
      <c r="H3979" s="22">
        <v>0</v>
      </c>
      <c r="I3979" s="23" t="str">
        <f t="shared" ref="I3979:I4042" si="187">IF(OR(E3979=0,G3979=0),"SEM VALOR","COM VALOR")</f>
        <v xml:space="preserve">COM VALOR</v>
      </c>
      <c r="J3979" s="19"/>
      <c r="L3979" s="21">
        <v>201.84</v>
      </c>
      <c r="M3979" s="22">
        <v>8.0000000000000002e-002</v>
      </c>
      <c r="N3979" s="21">
        <v>195.00999999999999</v>
      </c>
      <c r="O3979" s="22">
        <v>8.0000000000000002e-002</v>
      </c>
    </row>
    <row r="3980" ht="51">
      <c r="A3980" t="s">
        <v>4059</v>
      </c>
      <c r="B3980" s="19">
        <v>93957</v>
      </c>
      <c r="C3980" s="20" t="s">
        <v>4064</v>
      </c>
      <c r="D3980" s="19" t="s">
        <v>38</v>
      </c>
      <c r="E3980" s="21">
        <f t="shared" si="185"/>
        <v>297.57999999999998</v>
      </c>
      <c r="F3980" s="22">
        <v>0</v>
      </c>
      <c r="G3980" s="21">
        <f t="shared" si="186"/>
        <v>286.69999999999999</v>
      </c>
      <c r="H3980" s="22">
        <v>0</v>
      </c>
      <c r="I3980" s="23" t="str">
        <f t="shared" si="187"/>
        <v xml:space="preserve">COM VALOR</v>
      </c>
      <c r="J3980" s="19"/>
      <c r="L3980" s="21">
        <v>297.57999999999998</v>
      </c>
      <c r="M3980" s="22">
        <v>8.0000000000000002e-002</v>
      </c>
      <c r="N3980" s="21">
        <v>286.69999999999999</v>
      </c>
      <c r="O3980" s="22">
        <v>8.9999999999999997e-002</v>
      </c>
    </row>
    <row r="3981" ht="51">
      <c r="A3981" t="s">
        <v>4059</v>
      </c>
      <c r="B3981" s="19">
        <v>93967</v>
      </c>
      <c r="C3981" s="20" t="s">
        <v>4065</v>
      </c>
      <c r="D3981" s="19" t="s">
        <v>38</v>
      </c>
      <c r="E3981" s="21">
        <f t="shared" si="185"/>
        <v>249.78</v>
      </c>
      <c r="F3981" s="22">
        <v>1.e-002</v>
      </c>
      <c r="G3981" s="21">
        <f t="shared" si="186"/>
        <v>240.93000000000001</v>
      </c>
      <c r="H3981" s="22">
        <v>1.e-002</v>
      </c>
      <c r="I3981" s="23" t="str">
        <f t="shared" si="187"/>
        <v xml:space="preserve">COM VALOR</v>
      </c>
      <c r="J3981" s="19"/>
      <c r="L3981" s="21">
        <v>249.78</v>
      </c>
      <c r="M3981" s="22">
        <v>8.0000000000000002e-002</v>
      </c>
      <c r="N3981" s="21">
        <v>240.93000000000001</v>
      </c>
      <c r="O3981" s="22">
        <v>8.0000000000000002e-002</v>
      </c>
    </row>
    <row r="3982" ht="25.5">
      <c r="A3982" t="s">
        <v>4066</v>
      </c>
      <c r="B3982" s="19">
        <v>104878</v>
      </c>
      <c r="C3982" s="20" t="s">
        <v>4067</v>
      </c>
      <c r="D3982" s="19" t="s">
        <v>31</v>
      </c>
      <c r="E3982" s="21">
        <f t="shared" si="185"/>
        <v>2317.0900000000001</v>
      </c>
      <c r="F3982" s="22">
        <v>1.e-002</v>
      </c>
      <c r="G3982" s="21">
        <f t="shared" si="186"/>
        <v>2311.1900000000001</v>
      </c>
      <c r="H3982" s="22">
        <v>1.e-002</v>
      </c>
      <c r="I3982" s="23" t="str">
        <f t="shared" si="187"/>
        <v xml:space="preserve">COM VALOR</v>
      </c>
      <c r="J3982" s="19"/>
      <c r="L3982" s="21">
        <v>2317.0900000000001</v>
      </c>
      <c r="M3982" s="22">
        <v>0.92000000000000004</v>
      </c>
      <c r="N3982" s="21">
        <v>2311.1900000000001</v>
      </c>
      <c r="O3982" s="22">
        <v>0.92000000000000004</v>
      </c>
    </row>
    <row r="3983" ht="25.5">
      <c r="A3983" t="s">
        <v>4066</v>
      </c>
      <c r="B3983" s="19">
        <v>104877</v>
      </c>
      <c r="C3983" s="20" t="s">
        <v>4068</v>
      </c>
      <c r="D3983" s="19" t="s">
        <v>31</v>
      </c>
      <c r="E3983" s="21">
        <f t="shared" si="185"/>
        <v>614.69000000000005</v>
      </c>
      <c r="F3983" s="22">
        <v>1.e-002</v>
      </c>
      <c r="G3983" s="21">
        <f t="shared" si="186"/>
        <v>608.78999999999996</v>
      </c>
      <c r="H3983" s="22">
        <v>1.e-002</v>
      </c>
      <c r="I3983" s="23" t="str">
        <f t="shared" si="187"/>
        <v xml:space="preserve">COM VALOR</v>
      </c>
      <c r="J3983" s="19"/>
      <c r="L3983" s="21">
        <v>614.69000000000005</v>
      </c>
      <c r="M3983" s="22">
        <v>0.68999999999999995</v>
      </c>
      <c r="N3983" s="21">
        <v>608.78999999999996</v>
      </c>
      <c r="O3983" s="22">
        <v>0.69999999999999996</v>
      </c>
    </row>
    <row r="3984" ht="51">
      <c r="A3984" t="s">
        <v>4066</v>
      </c>
      <c r="B3984" s="19">
        <v>104841</v>
      </c>
      <c r="C3984" s="20" t="s">
        <v>4069</v>
      </c>
      <c r="D3984" s="19" t="s">
        <v>38</v>
      </c>
      <c r="E3984" s="21">
        <f t="shared" si="185"/>
        <v>91.599999999999994</v>
      </c>
      <c r="F3984" s="22">
        <v>1.e-002</v>
      </c>
      <c r="G3984" s="21">
        <f t="shared" si="186"/>
        <v>90.069999999999993</v>
      </c>
      <c r="H3984" s="22">
        <v>1.e-002</v>
      </c>
      <c r="I3984" s="23" t="str">
        <f t="shared" si="187"/>
        <v xml:space="preserve">COM VALOR</v>
      </c>
      <c r="J3984" s="19"/>
      <c r="L3984" s="21">
        <v>91.599999999999994</v>
      </c>
      <c r="M3984" s="22">
        <v>0.12</v>
      </c>
      <c r="N3984" s="21">
        <v>90.069999999999993</v>
      </c>
      <c r="O3984" s="22">
        <v>0.12</v>
      </c>
    </row>
    <row r="3985" ht="51">
      <c r="A3985" t="s">
        <v>4066</v>
      </c>
      <c r="B3985" s="19">
        <v>104849</v>
      </c>
      <c r="C3985" s="20" t="s">
        <v>4070</v>
      </c>
      <c r="D3985" s="19" t="s">
        <v>38</v>
      </c>
      <c r="E3985" s="21">
        <f t="shared" si="185"/>
        <v>64.680000000000007</v>
      </c>
      <c r="F3985" s="22">
        <v>0</v>
      </c>
      <c r="G3985" s="21">
        <f t="shared" si="186"/>
        <v>63.649999999999999</v>
      </c>
      <c r="H3985" s="22">
        <v>0</v>
      </c>
      <c r="I3985" s="23" t="str">
        <f t="shared" si="187"/>
        <v xml:space="preserve">COM VALOR</v>
      </c>
      <c r="J3985" s="19"/>
      <c r="L3985" s="21">
        <v>64.680000000000007</v>
      </c>
      <c r="M3985" s="22">
        <v>0.13</v>
      </c>
      <c r="N3985" s="21">
        <v>63.649999999999999</v>
      </c>
      <c r="O3985" s="22">
        <v>0.13</v>
      </c>
    </row>
    <row r="3986" ht="51">
      <c r="A3986" t="s">
        <v>4066</v>
      </c>
      <c r="B3986" s="19">
        <v>104887</v>
      </c>
      <c r="C3986" s="20" t="s">
        <v>4071</v>
      </c>
      <c r="D3986" s="19" t="s">
        <v>38</v>
      </c>
      <c r="E3986" s="21">
        <f t="shared" si="185"/>
        <v>50.060000000000002</v>
      </c>
      <c r="F3986" s="22">
        <v>1.e-002</v>
      </c>
      <c r="G3986" s="21">
        <f t="shared" si="186"/>
        <v>49.460000000000001</v>
      </c>
      <c r="H3986" s="22">
        <v>1.e-002</v>
      </c>
      <c r="I3986" s="23" t="str">
        <f t="shared" si="187"/>
        <v xml:space="preserve">COM VALOR</v>
      </c>
      <c r="J3986" s="19"/>
      <c r="L3986" s="21">
        <v>50.060000000000002</v>
      </c>
      <c r="M3986" s="22">
        <v>8.0000000000000002e-002</v>
      </c>
      <c r="N3986" s="21">
        <v>49.460000000000001</v>
      </c>
      <c r="O3986" s="22">
        <v>8.0000000000000002e-002</v>
      </c>
    </row>
    <row r="3987" ht="51">
      <c r="A3987" t="s">
        <v>4066</v>
      </c>
      <c r="B3987" s="19">
        <v>104844</v>
      </c>
      <c r="C3987" s="20" t="s">
        <v>4072</v>
      </c>
      <c r="D3987" s="19" t="s">
        <v>38</v>
      </c>
      <c r="E3987" s="21">
        <f t="shared" si="185"/>
        <v>100.8</v>
      </c>
      <c r="F3987" s="22">
        <v>0</v>
      </c>
      <c r="G3987" s="21">
        <f t="shared" si="186"/>
        <v>99.069999999999993</v>
      </c>
      <c r="H3987" s="22">
        <v>1.e-002</v>
      </c>
      <c r="I3987" s="23" t="str">
        <f t="shared" si="187"/>
        <v xml:space="preserve">COM VALOR</v>
      </c>
      <c r="J3987" s="19"/>
      <c r="L3987" s="21">
        <v>100.8</v>
      </c>
      <c r="M3987" s="22">
        <v>0.12</v>
      </c>
      <c r="N3987" s="21">
        <v>99.069999999999993</v>
      </c>
      <c r="O3987" s="22">
        <v>0.12</v>
      </c>
    </row>
    <row r="3988" ht="51">
      <c r="A3988" t="s">
        <v>4066</v>
      </c>
      <c r="B3988" s="19">
        <v>104852</v>
      </c>
      <c r="C3988" s="20" t="s">
        <v>4073</v>
      </c>
      <c r="D3988" s="19" t="s">
        <v>38</v>
      </c>
      <c r="E3988" s="21">
        <f t="shared" si="185"/>
        <v>70.959999999999994</v>
      </c>
      <c r="F3988" s="22">
        <v>1.e-002</v>
      </c>
      <c r="G3988" s="21">
        <f t="shared" si="186"/>
        <v>69.780000000000001</v>
      </c>
      <c r="H3988" s="22">
        <v>1.e-002</v>
      </c>
      <c r="I3988" s="23" t="str">
        <f t="shared" si="187"/>
        <v xml:space="preserve">COM VALOR</v>
      </c>
      <c r="J3988" s="19"/>
      <c r="L3988" s="21">
        <v>70.959999999999994</v>
      </c>
      <c r="M3988" s="22">
        <v>0.14000000000000001</v>
      </c>
      <c r="N3988" s="21">
        <v>69.780000000000001</v>
      </c>
      <c r="O3988" s="22">
        <v>0.14000000000000001</v>
      </c>
    </row>
    <row r="3989" ht="51">
      <c r="A3989" t="s">
        <v>4066</v>
      </c>
      <c r="B3989" s="19">
        <v>104846</v>
      </c>
      <c r="C3989" s="20" t="s">
        <v>4074</v>
      </c>
      <c r="D3989" s="19" t="s">
        <v>38</v>
      </c>
      <c r="E3989" s="21">
        <f t="shared" si="185"/>
        <v>114.5</v>
      </c>
      <c r="F3989" s="22">
        <v>1.e-002</v>
      </c>
      <c r="G3989" s="21">
        <f t="shared" si="186"/>
        <v>112.45999999999999</v>
      </c>
      <c r="H3989" s="22">
        <v>1.e-002</v>
      </c>
      <c r="I3989" s="23" t="str">
        <f t="shared" si="187"/>
        <v xml:space="preserve">COM VALOR</v>
      </c>
      <c r="J3989" s="19"/>
      <c r="L3989" s="21">
        <v>114.5</v>
      </c>
      <c r="M3989" s="22">
        <v>0.12</v>
      </c>
      <c r="N3989" s="21">
        <v>112.45999999999999</v>
      </c>
      <c r="O3989" s="22">
        <v>0.13</v>
      </c>
    </row>
    <row r="3990" ht="51">
      <c r="A3990" t="s">
        <v>4066</v>
      </c>
      <c r="B3990" s="19">
        <v>104854</v>
      </c>
      <c r="C3990" s="20" t="s">
        <v>4075</v>
      </c>
      <c r="D3990" s="19" t="s">
        <v>38</v>
      </c>
      <c r="E3990" s="21">
        <f t="shared" si="185"/>
        <v>80.310000000000002</v>
      </c>
      <c r="F3990" s="22">
        <v>1.e-002</v>
      </c>
      <c r="G3990" s="21">
        <f t="shared" si="186"/>
        <v>78.900000000000006</v>
      </c>
      <c r="H3990" s="22">
        <v>1.e-002</v>
      </c>
      <c r="I3990" s="23" t="str">
        <f t="shared" si="187"/>
        <v xml:space="preserve">COM VALOR</v>
      </c>
      <c r="J3990" s="19"/>
      <c r="L3990" s="21">
        <v>80.310000000000002</v>
      </c>
      <c r="M3990" s="22">
        <v>0.14999999999999999</v>
      </c>
      <c r="N3990" s="21">
        <v>78.900000000000006</v>
      </c>
      <c r="O3990" s="22">
        <v>0.14999999999999999</v>
      </c>
    </row>
    <row r="3991" ht="51">
      <c r="A3991" t="s">
        <v>4066</v>
      </c>
      <c r="B3991" s="19">
        <v>104890</v>
      </c>
      <c r="C3991" s="20" t="s">
        <v>4076</v>
      </c>
      <c r="D3991" s="19" t="s">
        <v>38</v>
      </c>
      <c r="E3991" s="21">
        <f t="shared" si="185"/>
        <v>56.969999999999999</v>
      </c>
      <c r="F3991" s="22">
        <v>1.e-002</v>
      </c>
      <c r="G3991" s="21">
        <f t="shared" si="186"/>
        <v>56.219999999999999</v>
      </c>
      <c r="H3991" s="22">
        <v>1.e-002</v>
      </c>
      <c r="I3991" s="23" t="str">
        <f t="shared" si="187"/>
        <v xml:space="preserve">COM VALOR</v>
      </c>
      <c r="J3991" s="19"/>
      <c r="L3991" s="21">
        <v>56.969999999999999</v>
      </c>
      <c r="M3991" s="22">
        <v>8.9999999999999997e-002</v>
      </c>
      <c r="N3991" s="21">
        <v>56.219999999999999</v>
      </c>
      <c r="O3991" s="22">
        <v>8.9999999999999997e-002</v>
      </c>
    </row>
    <row r="3992" ht="51">
      <c r="A3992" t="s">
        <v>4066</v>
      </c>
      <c r="B3992" s="19">
        <v>104842</v>
      </c>
      <c r="C3992" s="20" t="s">
        <v>4077</v>
      </c>
      <c r="D3992" s="19" t="s">
        <v>38</v>
      </c>
      <c r="E3992" s="21">
        <f t="shared" si="185"/>
        <v>78.700000000000003</v>
      </c>
      <c r="F3992" s="22">
        <v>0</v>
      </c>
      <c r="G3992" s="21">
        <f t="shared" si="186"/>
        <v>77.459999999999994</v>
      </c>
      <c r="H3992" s="22">
        <v>0</v>
      </c>
      <c r="I3992" s="23" t="str">
        <f t="shared" si="187"/>
        <v xml:space="preserve">COM VALOR</v>
      </c>
      <c r="J3992" s="19"/>
      <c r="L3992" s="21">
        <v>78.700000000000003</v>
      </c>
      <c r="M3992" s="22">
        <v>0.11</v>
      </c>
      <c r="N3992" s="21">
        <v>77.459999999999994</v>
      </c>
      <c r="O3992" s="22">
        <v>0.11</v>
      </c>
    </row>
    <row r="3993" ht="51">
      <c r="A3993" t="s">
        <v>4066</v>
      </c>
      <c r="B3993" s="19">
        <v>104850</v>
      </c>
      <c r="C3993" s="20" t="s">
        <v>4078</v>
      </c>
      <c r="D3993" s="19" t="s">
        <v>38</v>
      </c>
      <c r="E3993" s="21">
        <f t="shared" si="185"/>
        <v>57.890000000000001</v>
      </c>
      <c r="F3993" s="22">
        <v>0</v>
      </c>
      <c r="G3993" s="21">
        <f t="shared" si="186"/>
        <v>57.030000000000001</v>
      </c>
      <c r="H3993" s="22">
        <v>0</v>
      </c>
      <c r="I3993" s="23" t="str">
        <f t="shared" si="187"/>
        <v xml:space="preserve">COM VALOR</v>
      </c>
      <c r="J3993" s="19"/>
      <c r="L3993" s="21">
        <v>57.890000000000001</v>
      </c>
      <c r="M3993" s="22">
        <v>0.12</v>
      </c>
      <c r="N3993" s="21">
        <v>57.030000000000001</v>
      </c>
      <c r="O3993" s="22">
        <v>0.125</v>
      </c>
    </row>
    <row r="3994" ht="51">
      <c r="A3994" t="s">
        <v>4066</v>
      </c>
      <c r="B3994" s="19">
        <v>104888</v>
      </c>
      <c r="C3994" s="20" t="s">
        <v>4079</v>
      </c>
      <c r="D3994" s="19" t="s">
        <v>38</v>
      </c>
      <c r="E3994" s="21">
        <f t="shared" si="185"/>
        <v>45.700000000000003</v>
      </c>
      <c r="F3994" s="22">
        <v>0</v>
      </c>
      <c r="G3994" s="21">
        <f t="shared" si="186"/>
        <v>45.200000000000003</v>
      </c>
      <c r="H3994" s="22">
        <v>0</v>
      </c>
      <c r="I3994" s="23" t="str">
        <f t="shared" si="187"/>
        <v xml:space="preserve">COM VALOR</v>
      </c>
      <c r="J3994" s="19"/>
      <c r="L3994" s="21">
        <v>45.700000000000003</v>
      </c>
      <c r="M3994" s="22">
        <v>8.0000000000000002e-002</v>
      </c>
      <c r="N3994" s="21">
        <v>45.200000000000003</v>
      </c>
      <c r="O3994" s="22">
        <v>8.0000000000000002e-002</v>
      </c>
    </row>
    <row r="3995" ht="51">
      <c r="A3995" t="s">
        <v>4066</v>
      </c>
      <c r="B3995" s="19">
        <v>104879</v>
      </c>
      <c r="C3995" s="20" t="s">
        <v>4080</v>
      </c>
      <c r="D3995" s="19" t="s">
        <v>38</v>
      </c>
      <c r="E3995" s="21">
        <f t="shared" si="185"/>
        <v>86.379999999999995</v>
      </c>
      <c r="F3995" s="22">
        <v>0</v>
      </c>
      <c r="G3995" s="21">
        <f t="shared" si="186"/>
        <v>84.969999999999999</v>
      </c>
      <c r="H3995" s="22">
        <v>0</v>
      </c>
      <c r="I3995" s="23" t="str">
        <f t="shared" si="187"/>
        <v xml:space="preserve">COM VALOR</v>
      </c>
      <c r="J3995" s="19"/>
      <c r="L3995" s="21">
        <v>86.379999999999995</v>
      </c>
      <c r="M3995" s="22">
        <v>0.11</v>
      </c>
      <c r="N3995" s="21">
        <v>84.969999999999999</v>
      </c>
      <c r="O3995" s="22">
        <v>0.12</v>
      </c>
    </row>
    <row r="3996" ht="51">
      <c r="A3996" t="s">
        <v>4066</v>
      </c>
      <c r="B3996" s="19">
        <v>104853</v>
      </c>
      <c r="C3996" s="20" t="s">
        <v>4081</v>
      </c>
      <c r="D3996" s="19" t="s">
        <v>38</v>
      </c>
      <c r="E3996" s="21">
        <f t="shared" si="185"/>
        <v>63.149999999999999</v>
      </c>
      <c r="F3996" s="22">
        <v>0</v>
      </c>
      <c r="G3996" s="21">
        <f t="shared" si="186"/>
        <v>62.159999999999997</v>
      </c>
      <c r="H3996" s="22">
        <v>0</v>
      </c>
      <c r="I3996" s="23" t="str">
        <f t="shared" si="187"/>
        <v xml:space="preserve">COM VALOR</v>
      </c>
      <c r="J3996" s="19"/>
      <c r="L3996" s="21">
        <v>63.149999999999999</v>
      </c>
      <c r="M3996" s="22">
        <v>0.13</v>
      </c>
      <c r="N3996" s="21">
        <v>62.159999999999997</v>
      </c>
      <c r="O3996" s="22">
        <v>0.13</v>
      </c>
    </row>
    <row r="3997" ht="51">
      <c r="A3997" t="s">
        <v>4066</v>
      </c>
      <c r="B3997" s="19">
        <v>104847</v>
      </c>
      <c r="C3997" s="20" t="s">
        <v>4082</v>
      </c>
      <c r="D3997" s="19" t="s">
        <v>38</v>
      </c>
      <c r="E3997" s="21">
        <f t="shared" si="185"/>
        <v>97.780000000000001</v>
      </c>
      <c r="F3997" s="22">
        <v>0</v>
      </c>
      <c r="G3997" s="21">
        <f t="shared" si="186"/>
        <v>96.120000000000005</v>
      </c>
      <c r="H3997" s="22">
        <v>0</v>
      </c>
      <c r="I3997" s="23" t="str">
        <f t="shared" si="187"/>
        <v xml:space="preserve">COM VALOR</v>
      </c>
      <c r="J3997" s="19"/>
      <c r="L3997" s="21">
        <v>97.780000000000001</v>
      </c>
      <c r="M3997" s="22">
        <v>0.12</v>
      </c>
      <c r="N3997" s="21">
        <v>96.120000000000005</v>
      </c>
      <c r="O3997" s="22">
        <v>0.12</v>
      </c>
    </row>
    <row r="3998" ht="51">
      <c r="A3998" t="s">
        <v>4066</v>
      </c>
      <c r="B3998" s="19">
        <v>104855</v>
      </c>
      <c r="C3998" s="20" t="s">
        <v>4083</v>
      </c>
      <c r="D3998" s="19" t="s">
        <v>38</v>
      </c>
      <c r="E3998" s="21">
        <f t="shared" si="185"/>
        <v>70.900000000000006</v>
      </c>
      <c r="F3998" s="22">
        <v>0</v>
      </c>
      <c r="G3998" s="21">
        <f t="shared" si="186"/>
        <v>69.730000000000004</v>
      </c>
      <c r="H3998" s="22">
        <v>0</v>
      </c>
      <c r="I3998" s="23" t="str">
        <f t="shared" si="187"/>
        <v xml:space="preserve">COM VALOR</v>
      </c>
      <c r="J3998" s="19"/>
      <c r="L3998" s="21">
        <v>70.900000000000006</v>
      </c>
      <c r="M3998" s="22">
        <v>0.14000000000000001</v>
      </c>
      <c r="N3998" s="21">
        <v>69.730000000000004</v>
      </c>
      <c r="O3998" s="22">
        <v>0.14000000000000001</v>
      </c>
    </row>
    <row r="3999" ht="51">
      <c r="A3999" t="s">
        <v>4066</v>
      </c>
      <c r="B3999" s="19">
        <v>104891</v>
      </c>
      <c r="C3999" s="20" t="s">
        <v>4084</v>
      </c>
      <c r="D3999" s="19" t="s">
        <v>38</v>
      </c>
      <c r="E3999" s="21">
        <f t="shared" si="185"/>
        <v>51.539999999999999</v>
      </c>
      <c r="F3999" s="22">
        <v>0</v>
      </c>
      <c r="G3999" s="21">
        <f t="shared" si="186"/>
        <v>50.899999999999999</v>
      </c>
      <c r="H3999" s="22">
        <v>0</v>
      </c>
      <c r="I3999" s="23" t="str">
        <f t="shared" si="187"/>
        <v xml:space="preserve">COM VALOR</v>
      </c>
      <c r="J3999" s="19"/>
      <c r="L3999" s="21">
        <v>51.539999999999999</v>
      </c>
      <c r="M3999" s="22">
        <v>8.9999999999999997e-002</v>
      </c>
      <c r="N3999" s="21">
        <v>50.899999999999999</v>
      </c>
      <c r="O3999" s="22">
        <v>8.9999999999999997e-002</v>
      </c>
    </row>
    <row r="4000" ht="51">
      <c r="A4000" t="s">
        <v>4066</v>
      </c>
      <c r="B4000" s="19">
        <v>104892</v>
      </c>
      <c r="C4000" s="20" t="s">
        <v>4085</v>
      </c>
      <c r="D4000" s="19" t="s">
        <v>38</v>
      </c>
      <c r="E4000" s="21">
        <f t="shared" si="185"/>
        <v>113.15000000000001</v>
      </c>
      <c r="F4000" s="22">
        <v>0</v>
      </c>
      <c r="G4000" s="21">
        <f t="shared" si="186"/>
        <v>111.12</v>
      </c>
      <c r="H4000" s="22">
        <v>0</v>
      </c>
      <c r="I4000" s="23" t="str">
        <f t="shared" si="187"/>
        <v xml:space="preserve">COM VALOR</v>
      </c>
      <c r="J4000" s="19"/>
      <c r="L4000" s="21">
        <v>113.15000000000001</v>
      </c>
      <c r="M4000" s="22">
        <v>0.12</v>
      </c>
      <c r="N4000" s="21">
        <v>111.12</v>
      </c>
      <c r="O4000" s="22">
        <v>0.13</v>
      </c>
    </row>
    <row r="4001" ht="51">
      <c r="A4001" t="s">
        <v>4066</v>
      </c>
      <c r="B4001" s="19">
        <v>104848</v>
      </c>
      <c r="C4001" s="20" t="s">
        <v>4086</v>
      </c>
      <c r="D4001" s="19" t="s">
        <v>38</v>
      </c>
      <c r="E4001" s="21">
        <f t="shared" si="185"/>
        <v>74.819999999999993</v>
      </c>
      <c r="F4001" s="22">
        <v>0</v>
      </c>
      <c r="G4001" s="21">
        <f t="shared" si="186"/>
        <v>73.549999999999997</v>
      </c>
      <c r="H4001" s="22">
        <v>0</v>
      </c>
      <c r="I4001" s="23" t="str">
        <f t="shared" si="187"/>
        <v xml:space="preserve">COM VALOR</v>
      </c>
      <c r="J4001" s="19"/>
      <c r="L4001" s="21">
        <v>74.819999999999993</v>
      </c>
      <c r="M4001" s="22">
        <v>0.14000000000000001</v>
      </c>
      <c r="N4001" s="21">
        <v>73.549999999999997</v>
      </c>
      <c r="O4001" s="22">
        <v>0.14000000000000001</v>
      </c>
    </row>
    <row r="4002" ht="51">
      <c r="A4002" t="s">
        <v>4066</v>
      </c>
      <c r="B4002" s="19">
        <v>104886</v>
      </c>
      <c r="C4002" s="20" t="s">
        <v>4087</v>
      </c>
      <c r="D4002" s="19" t="s">
        <v>38</v>
      </c>
      <c r="E4002" s="21">
        <f t="shared" si="185"/>
        <v>56.5</v>
      </c>
      <c r="F4002" s="22">
        <v>0</v>
      </c>
      <c r="G4002" s="21">
        <f t="shared" si="186"/>
        <v>55.75</v>
      </c>
      <c r="H4002" s="22">
        <v>0</v>
      </c>
      <c r="I4002" s="23" t="str">
        <f t="shared" si="187"/>
        <v xml:space="preserve">COM VALOR</v>
      </c>
      <c r="J4002" s="19"/>
      <c r="L4002" s="21">
        <v>56.5</v>
      </c>
      <c r="M4002" s="22">
        <v>8.9999999999999997e-002</v>
      </c>
      <c r="N4002" s="21">
        <v>55.75</v>
      </c>
      <c r="O4002" s="22">
        <v>8.9999999999999997e-002</v>
      </c>
    </row>
    <row r="4003" ht="51">
      <c r="A4003" t="s">
        <v>4066</v>
      </c>
      <c r="B4003" s="19">
        <v>104843</v>
      </c>
      <c r="C4003" s="20" t="s">
        <v>4088</v>
      </c>
      <c r="D4003" s="19" t="s">
        <v>38</v>
      </c>
      <c r="E4003" s="21">
        <f t="shared" si="185"/>
        <v>124.63</v>
      </c>
      <c r="F4003" s="22">
        <v>0</v>
      </c>
      <c r="G4003" s="21">
        <f t="shared" si="186"/>
        <v>122.36</v>
      </c>
      <c r="H4003" s="22">
        <v>0</v>
      </c>
      <c r="I4003" s="23" t="str">
        <f t="shared" si="187"/>
        <v xml:space="preserve">COM VALOR</v>
      </c>
      <c r="J4003" s="19"/>
      <c r="L4003" s="21">
        <v>124.63</v>
      </c>
      <c r="M4003" s="22">
        <v>0.13</v>
      </c>
      <c r="N4003" s="21">
        <v>122.36</v>
      </c>
      <c r="O4003" s="22">
        <v>0.13</v>
      </c>
    </row>
    <row r="4004" ht="51">
      <c r="A4004" t="s">
        <v>4066</v>
      </c>
      <c r="B4004" s="19">
        <v>104851</v>
      </c>
      <c r="C4004" s="20" t="s">
        <v>4089</v>
      </c>
      <c r="D4004" s="19" t="s">
        <v>38</v>
      </c>
      <c r="E4004" s="21">
        <f t="shared" si="185"/>
        <v>82.689999999999998</v>
      </c>
      <c r="F4004" s="22">
        <v>0</v>
      </c>
      <c r="G4004" s="21">
        <f t="shared" si="186"/>
        <v>81.200000000000003</v>
      </c>
      <c r="H4004" s="22">
        <v>0</v>
      </c>
      <c r="I4004" s="23" t="str">
        <f t="shared" si="187"/>
        <v xml:space="preserve">COM VALOR</v>
      </c>
      <c r="J4004" s="19"/>
      <c r="L4004" s="21">
        <v>82.689999999999998</v>
      </c>
      <c r="M4004" s="22">
        <v>0.14999999999999999</v>
      </c>
      <c r="N4004" s="21">
        <v>81.200000000000003</v>
      </c>
      <c r="O4004" s="22">
        <v>0.14999999999999999</v>
      </c>
    </row>
    <row r="4005" ht="51">
      <c r="A4005" t="s">
        <v>4066</v>
      </c>
      <c r="B4005" s="19">
        <v>104845</v>
      </c>
      <c r="C4005" s="20" t="s">
        <v>4090</v>
      </c>
      <c r="D4005" s="19" t="s">
        <v>38</v>
      </c>
      <c r="E4005" s="21">
        <f t="shared" si="185"/>
        <v>141.66999999999999</v>
      </c>
      <c r="F4005" s="22">
        <v>0</v>
      </c>
      <c r="G4005" s="21">
        <f t="shared" si="186"/>
        <v>139.02000000000001</v>
      </c>
      <c r="H4005" s="22">
        <v>0</v>
      </c>
      <c r="I4005" s="23" t="str">
        <f t="shared" si="187"/>
        <v xml:space="preserve">COM VALOR</v>
      </c>
      <c r="J4005" s="19"/>
      <c r="L4005" s="21">
        <v>141.66999999999999</v>
      </c>
      <c r="M4005" s="22">
        <v>0.13</v>
      </c>
      <c r="N4005" s="21">
        <v>139.02000000000001</v>
      </c>
      <c r="O4005" s="22">
        <v>0.13</v>
      </c>
    </row>
    <row r="4006" ht="51">
      <c r="A4006" t="s">
        <v>4066</v>
      </c>
      <c r="B4006" s="19">
        <v>104880</v>
      </c>
      <c r="C4006" s="20" t="s">
        <v>4091</v>
      </c>
      <c r="D4006" s="19" t="s">
        <v>38</v>
      </c>
      <c r="E4006" s="21">
        <f t="shared" si="185"/>
        <v>94.310000000000002</v>
      </c>
      <c r="F4006" s="22">
        <v>0</v>
      </c>
      <c r="G4006" s="21">
        <f t="shared" si="186"/>
        <v>92.540000000000006</v>
      </c>
      <c r="H4006" s="22">
        <v>0</v>
      </c>
      <c r="I4006" s="23" t="str">
        <f t="shared" si="187"/>
        <v xml:space="preserve">COM VALOR</v>
      </c>
      <c r="J4006" s="19"/>
      <c r="L4006" s="21">
        <v>94.310000000000002</v>
      </c>
      <c r="M4006" s="22">
        <v>0.16</v>
      </c>
      <c r="N4006" s="21">
        <v>92.540000000000006</v>
      </c>
      <c r="O4006" s="22">
        <v>0.16</v>
      </c>
    </row>
    <row r="4007" ht="51">
      <c r="A4007" t="s">
        <v>4066</v>
      </c>
      <c r="B4007" s="19">
        <v>104889</v>
      </c>
      <c r="C4007" s="20" t="s">
        <v>4092</v>
      </c>
      <c r="D4007" s="19" t="s">
        <v>38</v>
      </c>
      <c r="E4007" s="21">
        <f t="shared" si="185"/>
        <v>65.079999999999998</v>
      </c>
      <c r="F4007" s="22">
        <v>0</v>
      </c>
      <c r="G4007" s="21">
        <f t="shared" si="186"/>
        <v>64.150000000000006</v>
      </c>
      <c r="H4007" s="22">
        <v>0</v>
      </c>
      <c r="I4007" s="23" t="str">
        <f t="shared" si="187"/>
        <v xml:space="preserve">COM VALOR</v>
      </c>
      <c r="J4007" s="19"/>
      <c r="L4007" s="21">
        <v>65.079999999999998</v>
      </c>
      <c r="M4007" s="22">
        <v>0.10000000000000001</v>
      </c>
      <c r="N4007" s="21">
        <v>64.150000000000006</v>
      </c>
      <c r="O4007" s="22">
        <v>0.10000000000000001</v>
      </c>
    </row>
    <row r="4008" ht="38.25">
      <c r="A4008" t="s">
        <v>4066</v>
      </c>
      <c r="B4008" s="19">
        <v>95108</v>
      </c>
      <c r="C4008" s="20" t="s">
        <v>4093</v>
      </c>
      <c r="D4008" s="19" t="s">
        <v>31</v>
      </c>
      <c r="E4008" s="21">
        <f t="shared" si="185"/>
        <v>38.030000000000001</v>
      </c>
      <c r="F4008" s="22">
        <v>0</v>
      </c>
      <c r="G4008" s="21">
        <f t="shared" si="186"/>
        <v>36.439999999999998</v>
      </c>
      <c r="H4008" s="22">
        <v>0</v>
      </c>
      <c r="I4008" s="23" t="str">
        <f t="shared" si="187"/>
        <v xml:space="preserve">COM VALOR</v>
      </c>
      <c r="J4008" s="19"/>
      <c r="L4008" s="21">
        <v>38.030000000000001</v>
      </c>
      <c r="M4008" s="22">
        <v>4.0000000000000001e-002</v>
      </c>
      <c r="N4008" s="21">
        <v>36.439999999999998</v>
      </c>
      <c r="O4008" s="22">
        <v>4.0000000000000001e-002</v>
      </c>
    </row>
    <row r="4009" ht="51">
      <c r="A4009" t="s">
        <v>4066</v>
      </c>
      <c r="B4009" s="19">
        <v>104857</v>
      </c>
      <c r="C4009" s="20" t="s">
        <v>4094</v>
      </c>
      <c r="D4009" s="19" t="s">
        <v>38</v>
      </c>
      <c r="E4009" s="21" t="str">
        <f t="shared" si="185"/>
        <v>VERIFICAR</v>
      </c>
      <c r="F4009" s="22">
        <v>0</v>
      </c>
      <c r="G4009" s="21" t="str">
        <f t="shared" si="186"/>
        <v>VERIFICAR</v>
      </c>
      <c r="H4009" s="22">
        <v>0</v>
      </c>
      <c r="I4009" s="23" t="str">
        <f t="shared" si="187"/>
        <v xml:space="preserve">COM VALOR</v>
      </c>
      <c r="J4009" s="19"/>
      <c r="L4009" s="21">
        <v>0</v>
      </c>
      <c r="M4009" s="22"/>
      <c r="N4009" s="21">
        <v>0</v>
      </c>
      <c r="O4009" s="22"/>
    </row>
    <row r="4010" ht="51">
      <c r="A4010" t="s">
        <v>4066</v>
      </c>
      <c r="B4010" s="19">
        <v>104859</v>
      </c>
      <c r="C4010" s="20" t="s">
        <v>4095</v>
      </c>
      <c r="D4010" s="19" t="s">
        <v>38</v>
      </c>
      <c r="E4010" s="21" t="str">
        <f t="shared" si="185"/>
        <v>VERIFICAR</v>
      </c>
      <c r="F4010" s="22">
        <v>0</v>
      </c>
      <c r="G4010" s="21" t="str">
        <f t="shared" si="186"/>
        <v>VERIFICAR</v>
      </c>
      <c r="H4010" s="22">
        <v>0</v>
      </c>
      <c r="I4010" s="23" t="str">
        <f t="shared" si="187"/>
        <v xml:space="preserve">COM VALOR</v>
      </c>
      <c r="J4010" s="19"/>
      <c r="L4010" s="21">
        <v>0</v>
      </c>
      <c r="M4010" s="22"/>
      <c r="N4010" s="21">
        <v>0</v>
      </c>
      <c r="O4010" s="22"/>
    </row>
    <row r="4011" ht="51">
      <c r="A4011" t="s">
        <v>4066</v>
      </c>
      <c r="B4011" s="19">
        <v>104861</v>
      </c>
      <c r="C4011" s="20" t="s">
        <v>4096</v>
      </c>
      <c r="D4011" s="19" t="s">
        <v>38</v>
      </c>
      <c r="E4011" s="21" t="str">
        <f t="shared" si="185"/>
        <v>VERIFICAR</v>
      </c>
      <c r="F4011" s="22">
        <v>0</v>
      </c>
      <c r="G4011" s="21" t="str">
        <f t="shared" si="186"/>
        <v>VERIFICAR</v>
      </c>
      <c r="H4011" s="22">
        <v>0</v>
      </c>
      <c r="I4011" s="23" t="str">
        <f t="shared" si="187"/>
        <v xml:space="preserve">COM VALOR</v>
      </c>
      <c r="J4011" s="19"/>
      <c r="L4011" s="21">
        <v>0</v>
      </c>
      <c r="M4011" s="22"/>
      <c r="N4011" s="21">
        <v>0</v>
      </c>
      <c r="O4011" s="22"/>
    </row>
    <row r="4012" ht="51">
      <c r="A4012" t="s">
        <v>4066</v>
      </c>
      <c r="B4012" s="19">
        <v>104856</v>
      </c>
      <c r="C4012" s="20" t="s">
        <v>4097</v>
      </c>
      <c r="D4012" s="19" t="s">
        <v>38</v>
      </c>
      <c r="E4012" s="21" t="str">
        <f t="shared" si="185"/>
        <v>VERIFICAR</v>
      </c>
      <c r="F4012" s="22">
        <v>0</v>
      </c>
      <c r="G4012" s="21" t="str">
        <f t="shared" si="186"/>
        <v>VERIFICAR</v>
      </c>
      <c r="H4012" s="22">
        <v>0</v>
      </c>
      <c r="I4012" s="23" t="str">
        <f t="shared" si="187"/>
        <v xml:space="preserve">COM VALOR</v>
      </c>
      <c r="J4012" s="19"/>
      <c r="L4012" s="21">
        <v>0</v>
      </c>
      <c r="M4012" s="22"/>
      <c r="N4012" s="21">
        <v>0</v>
      </c>
      <c r="O4012" s="22"/>
    </row>
    <row r="4013" ht="51">
      <c r="A4013" t="s">
        <v>4066</v>
      </c>
      <c r="B4013" s="19">
        <v>104858</v>
      </c>
      <c r="C4013" s="20" t="s">
        <v>4098</v>
      </c>
      <c r="D4013" s="19" t="s">
        <v>38</v>
      </c>
      <c r="E4013" s="21" t="str">
        <f t="shared" si="185"/>
        <v>VERIFICAR</v>
      </c>
      <c r="F4013" s="22">
        <v>0</v>
      </c>
      <c r="G4013" s="21" t="str">
        <f t="shared" si="186"/>
        <v>VERIFICAR</v>
      </c>
      <c r="H4013" s="22">
        <v>0</v>
      </c>
      <c r="I4013" s="23" t="str">
        <f t="shared" si="187"/>
        <v xml:space="preserve">COM VALOR</v>
      </c>
      <c r="J4013" s="19"/>
      <c r="L4013" s="21">
        <v>0</v>
      </c>
      <c r="M4013" s="22"/>
      <c r="N4013" s="21">
        <v>0</v>
      </c>
      <c r="O4013" s="22"/>
    </row>
    <row r="4014" ht="51">
      <c r="A4014" t="s">
        <v>4066</v>
      </c>
      <c r="B4014" s="19">
        <v>104860</v>
      </c>
      <c r="C4014" s="20" t="s">
        <v>4099</v>
      </c>
      <c r="D4014" s="19" t="s">
        <v>38</v>
      </c>
      <c r="E4014" s="21" t="str">
        <f t="shared" si="185"/>
        <v>VERIFICAR</v>
      </c>
      <c r="F4014" s="22">
        <v>0</v>
      </c>
      <c r="G4014" s="21" t="str">
        <f t="shared" si="186"/>
        <v>VERIFICAR</v>
      </c>
      <c r="H4014" s="22">
        <v>0</v>
      </c>
      <c r="I4014" s="23" t="str">
        <f t="shared" si="187"/>
        <v xml:space="preserve">COM VALOR</v>
      </c>
      <c r="J4014" s="19"/>
      <c r="L4014" s="21">
        <v>0</v>
      </c>
      <c r="M4014" s="22"/>
      <c r="N4014" s="21">
        <v>0</v>
      </c>
      <c r="O4014" s="22"/>
    </row>
    <row r="4015" ht="38.25">
      <c r="A4015" t="s">
        <v>4066</v>
      </c>
      <c r="B4015" s="19">
        <v>104871</v>
      </c>
      <c r="C4015" s="20" t="s">
        <v>4100</v>
      </c>
      <c r="D4015" s="19" t="s">
        <v>38</v>
      </c>
      <c r="E4015" s="21" t="str">
        <f t="shared" si="185"/>
        <v>VERIFICAR</v>
      </c>
      <c r="F4015" s="22">
        <v>0</v>
      </c>
      <c r="G4015" s="21" t="str">
        <f t="shared" si="186"/>
        <v>VERIFICAR</v>
      </c>
      <c r="H4015" s="22">
        <v>0</v>
      </c>
      <c r="I4015" s="23" t="str">
        <f t="shared" si="187"/>
        <v xml:space="preserve">COM VALOR</v>
      </c>
      <c r="J4015" s="19"/>
      <c r="L4015" s="21">
        <v>0</v>
      </c>
      <c r="M4015" s="22"/>
      <c r="N4015" s="21">
        <v>0</v>
      </c>
      <c r="O4015" s="22"/>
    </row>
    <row r="4016" ht="38.25">
      <c r="A4016" t="s">
        <v>4066</v>
      </c>
      <c r="B4016" s="19">
        <v>104883</v>
      </c>
      <c r="C4016" s="20" t="s">
        <v>4101</v>
      </c>
      <c r="D4016" s="19" t="s">
        <v>38</v>
      </c>
      <c r="E4016" s="21" t="str">
        <f t="shared" si="185"/>
        <v>VERIFICAR</v>
      </c>
      <c r="F4016" s="22">
        <v>0</v>
      </c>
      <c r="G4016" s="21" t="str">
        <f t="shared" si="186"/>
        <v>VERIFICAR</v>
      </c>
      <c r="H4016" s="22">
        <v>0</v>
      </c>
      <c r="I4016" s="23" t="str">
        <f t="shared" si="187"/>
        <v xml:space="preserve">COM VALOR</v>
      </c>
      <c r="J4016" s="19"/>
      <c r="L4016" s="21">
        <v>0</v>
      </c>
      <c r="M4016" s="22"/>
      <c r="N4016" s="21">
        <v>0</v>
      </c>
      <c r="O4016" s="22"/>
    </row>
    <row r="4017" ht="38.25">
      <c r="A4017" t="s">
        <v>4066</v>
      </c>
      <c r="B4017" s="19">
        <v>104865</v>
      </c>
      <c r="C4017" s="20" t="s">
        <v>4102</v>
      </c>
      <c r="D4017" s="19" t="s">
        <v>38</v>
      </c>
      <c r="E4017" s="21" t="str">
        <f t="shared" si="185"/>
        <v>VERIFICAR</v>
      </c>
      <c r="F4017" s="22">
        <v>0</v>
      </c>
      <c r="G4017" s="21" t="str">
        <f t="shared" si="186"/>
        <v>VERIFICAR</v>
      </c>
      <c r="H4017" s="22">
        <v>0</v>
      </c>
      <c r="I4017" s="23" t="str">
        <f t="shared" si="187"/>
        <v xml:space="preserve">COM VALOR</v>
      </c>
      <c r="J4017" s="19"/>
      <c r="L4017" s="21">
        <v>0</v>
      </c>
      <c r="M4017" s="22"/>
      <c r="N4017" s="21">
        <v>0</v>
      </c>
      <c r="O4017" s="22"/>
    </row>
    <row r="4018" ht="38.25">
      <c r="A4018" t="s">
        <v>4066</v>
      </c>
      <c r="B4018" s="19">
        <v>104872</v>
      </c>
      <c r="C4018" s="20" t="s">
        <v>4103</v>
      </c>
      <c r="D4018" s="19" t="s">
        <v>38</v>
      </c>
      <c r="E4018" s="21" t="str">
        <f t="shared" si="185"/>
        <v>VERIFICAR</v>
      </c>
      <c r="F4018" s="22">
        <v>0</v>
      </c>
      <c r="G4018" s="21" t="str">
        <f t="shared" si="186"/>
        <v>VERIFICAR</v>
      </c>
      <c r="H4018" s="22">
        <v>0</v>
      </c>
      <c r="I4018" s="23" t="str">
        <f t="shared" si="187"/>
        <v xml:space="preserve">COM VALOR</v>
      </c>
      <c r="J4018" s="19"/>
      <c r="L4018" s="21">
        <v>0</v>
      </c>
      <c r="M4018" s="22"/>
      <c r="N4018" s="21">
        <v>0</v>
      </c>
      <c r="O4018" s="22"/>
    </row>
    <row r="4019" ht="38.25">
      <c r="A4019" t="s">
        <v>4066</v>
      </c>
      <c r="B4019" s="19">
        <v>104884</v>
      </c>
      <c r="C4019" s="20" t="s">
        <v>4104</v>
      </c>
      <c r="D4019" s="19" t="s">
        <v>38</v>
      </c>
      <c r="E4019" s="21" t="str">
        <f t="shared" si="185"/>
        <v>VERIFICAR</v>
      </c>
      <c r="F4019" s="22">
        <v>0</v>
      </c>
      <c r="G4019" s="21" t="str">
        <f t="shared" si="186"/>
        <v>VERIFICAR</v>
      </c>
      <c r="H4019" s="22">
        <v>0</v>
      </c>
      <c r="I4019" s="23" t="str">
        <f t="shared" si="187"/>
        <v xml:space="preserve">COM VALOR</v>
      </c>
      <c r="J4019" s="19"/>
      <c r="L4019" s="21">
        <v>0</v>
      </c>
      <c r="M4019" s="22"/>
      <c r="N4019" s="21">
        <v>0</v>
      </c>
      <c r="O4019" s="22"/>
    </row>
    <row r="4020" ht="38.25">
      <c r="A4020" t="s">
        <v>4066</v>
      </c>
      <c r="B4020" s="19">
        <v>104866</v>
      </c>
      <c r="C4020" s="20" t="s">
        <v>4105</v>
      </c>
      <c r="D4020" s="19" t="s">
        <v>38</v>
      </c>
      <c r="E4020" s="21" t="str">
        <f t="shared" si="185"/>
        <v>VERIFICAR</v>
      </c>
      <c r="F4020" s="22">
        <v>0</v>
      </c>
      <c r="G4020" s="21" t="str">
        <f t="shared" si="186"/>
        <v>VERIFICAR</v>
      </c>
      <c r="H4020" s="22">
        <v>0</v>
      </c>
      <c r="I4020" s="23" t="str">
        <f t="shared" si="187"/>
        <v xml:space="preserve">COM VALOR</v>
      </c>
      <c r="J4020" s="19"/>
      <c r="L4020" s="21">
        <v>0</v>
      </c>
      <c r="M4020" s="22"/>
      <c r="N4020" s="21">
        <v>0</v>
      </c>
      <c r="O4020" s="22"/>
    </row>
    <row r="4021" ht="38.25">
      <c r="A4021" t="s">
        <v>4066</v>
      </c>
      <c r="B4021" s="19">
        <v>104873</v>
      </c>
      <c r="C4021" s="20" t="s">
        <v>4106</v>
      </c>
      <c r="D4021" s="19" t="s">
        <v>38</v>
      </c>
      <c r="E4021" s="21" t="str">
        <f t="shared" si="185"/>
        <v>VERIFICAR</v>
      </c>
      <c r="F4021" s="22">
        <v>0</v>
      </c>
      <c r="G4021" s="21" t="str">
        <f t="shared" si="186"/>
        <v>VERIFICAR</v>
      </c>
      <c r="H4021" s="22">
        <v>0</v>
      </c>
      <c r="I4021" s="23" t="str">
        <f t="shared" si="187"/>
        <v xml:space="preserve">COM VALOR</v>
      </c>
      <c r="J4021" s="19"/>
      <c r="L4021" s="21">
        <v>0</v>
      </c>
      <c r="M4021" s="22"/>
      <c r="N4021" s="21">
        <v>0</v>
      </c>
      <c r="O4021" s="22"/>
    </row>
    <row r="4022" ht="38.25">
      <c r="A4022" t="s">
        <v>4066</v>
      </c>
      <c r="B4022" s="19">
        <v>104885</v>
      </c>
      <c r="C4022" s="20" t="s">
        <v>4107</v>
      </c>
      <c r="D4022" s="19" t="s">
        <v>38</v>
      </c>
      <c r="E4022" s="21" t="str">
        <f t="shared" si="185"/>
        <v>VERIFICAR</v>
      </c>
      <c r="F4022" s="22">
        <v>0</v>
      </c>
      <c r="G4022" s="21" t="str">
        <f t="shared" si="186"/>
        <v>VERIFICAR</v>
      </c>
      <c r="H4022" s="22">
        <v>0</v>
      </c>
      <c r="I4022" s="23" t="str">
        <f t="shared" si="187"/>
        <v xml:space="preserve">COM VALOR</v>
      </c>
      <c r="J4022" s="19"/>
      <c r="L4022" s="21">
        <v>0</v>
      </c>
      <c r="M4022" s="22"/>
      <c r="N4022" s="21">
        <v>0</v>
      </c>
      <c r="O4022" s="22"/>
    </row>
    <row r="4023" ht="38.25">
      <c r="A4023" t="s">
        <v>4066</v>
      </c>
      <c r="B4023" s="19">
        <v>104867</v>
      </c>
      <c r="C4023" s="20" t="s">
        <v>4108</v>
      </c>
      <c r="D4023" s="19" t="s">
        <v>38</v>
      </c>
      <c r="E4023" s="21" t="str">
        <f t="shared" si="185"/>
        <v>VERIFICAR</v>
      </c>
      <c r="F4023" s="22">
        <v>0</v>
      </c>
      <c r="G4023" s="21" t="str">
        <f t="shared" si="186"/>
        <v>VERIFICAR</v>
      </c>
      <c r="H4023" s="22">
        <v>0</v>
      </c>
      <c r="I4023" s="23" t="str">
        <f t="shared" si="187"/>
        <v xml:space="preserve">COM VALOR</v>
      </c>
      <c r="J4023" s="19"/>
      <c r="L4023" s="21">
        <v>0</v>
      </c>
      <c r="M4023" s="22"/>
      <c r="N4023" s="21">
        <v>0</v>
      </c>
      <c r="O4023" s="22"/>
    </row>
    <row r="4024" ht="38.25">
      <c r="A4024" t="s">
        <v>4066</v>
      </c>
      <c r="B4024" s="19">
        <v>104868</v>
      </c>
      <c r="C4024" s="20" t="s">
        <v>4109</v>
      </c>
      <c r="D4024" s="19" t="s">
        <v>38</v>
      </c>
      <c r="E4024" s="21" t="str">
        <f t="shared" si="185"/>
        <v>VERIFICAR</v>
      </c>
      <c r="F4024" s="22">
        <v>0</v>
      </c>
      <c r="G4024" s="21" t="str">
        <f t="shared" si="186"/>
        <v>VERIFICAR</v>
      </c>
      <c r="H4024" s="22">
        <v>0</v>
      </c>
      <c r="I4024" s="23" t="str">
        <f t="shared" si="187"/>
        <v xml:space="preserve">COM VALOR</v>
      </c>
      <c r="J4024" s="19"/>
      <c r="L4024" s="21">
        <v>0</v>
      </c>
      <c r="M4024" s="22"/>
      <c r="N4024" s="21">
        <v>0</v>
      </c>
      <c r="O4024" s="22"/>
    </row>
    <row r="4025" ht="38.25">
      <c r="A4025" t="s">
        <v>4066</v>
      </c>
      <c r="B4025" s="19">
        <v>104874</v>
      </c>
      <c r="C4025" s="20" t="s">
        <v>4110</v>
      </c>
      <c r="D4025" s="19" t="s">
        <v>38</v>
      </c>
      <c r="E4025" s="21" t="str">
        <f t="shared" si="185"/>
        <v>VERIFICAR</v>
      </c>
      <c r="F4025" s="22">
        <v>0</v>
      </c>
      <c r="G4025" s="21" t="str">
        <f t="shared" si="186"/>
        <v>VERIFICAR</v>
      </c>
      <c r="H4025" s="22">
        <v>0</v>
      </c>
      <c r="I4025" s="23" t="str">
        <f t="shared" si="187"/>
        <v xml:space="preserve">COM VALOR</v>
      </c>
      <c r="J4025" s="19"/>
      <c r="L4025" s="21">
        <v>0</v>
      </c>
      <c r="M4025" s="22"/>
      <c r="N4025" s="21">
        <v>0</v>
      </c>
      <c r="O4025" s="22"/>
    </row>
    <row r="4026" ht="38.25">
      <c r="A4026" t="s">
        <v>4066</v>
      </c>
      <c r="B4026" s="19">
        <v>104862</v>
      </c>
      <c r="C4026" s="20" t="s">
        <v>4111</v>
      </c>
      <c r="D4026" s="19" t="s">
        <v>38</v>
      </c>
      <c r="E4026" s="21" t="str">
        <f t="shared" si="185"/>
        <v>VERIFICAR</v>
      </c>
      <c r="F4026" s="22"/>
      <c r="G4026" s="21" t="str">
        <f t="shared" si="186"/>
        <v>VERIFICAR</v>
      </c>
      <c r="H4026" s="22"/>
      <c r="I4026" s="23" t="str">
        <f t="shared" si="187"/>
        <v xml:space="preserve">COM VALOR</v>
      </c>
      <c r="J4026" s="19"/>
      <c r="L4026" s="21">
        <v>0</v>
      </c>
      <c r="M4026" s="22"/>
      <c r="N4026" s="21">
        <v>0</v>
      </c>
      <c r="O4026" s="22"/>
    </row>
    <row r="4027" ht="38.25">
      <c r="A4027" t="s">
        <v>4066</v>
      </c>
      <c r="B4027" s="19">
        <v>104869</v>
      </c>
      <c r="C4027" s="20" t="s">
        <v>4112</v>
      </c>
      <c r="D4027" s="19" t="s">
        <v>38</v>
      </c>
      <c r="E4027" s="21" t="str">
        <f t="shared" si="185"/>
        <v>VERIFICAR</v>
      </c>
      <c r="F4027" s="22"/>
      <c r="G4027" s="21" t="str">
        <f t="shared" si="186"/>
        <v>VERIFICAR</v>
      </c>
      <c r="H4027" s="22"/>
      <c r="I4027" s="23" t="str">
        <f t="shared" si="187"/>
        <v xml:space="preserve">COM VALOR</v>
      </c>
      <c r="J4027" s="19"/>
      <c r="L4027" s="21">
        <v>0</v>
      </c>
      <c r="M4027" s="22"/>
      <c r="N4027" s="21">
        <v>0</v>
      </c>
      <c r="O4027" s="22"/>
    </row>
    <row r="4028" ht="38.25">
      <c r="A4028" t="s">
        <v>4066</v>
      </c>
      <c r="B4028" s="19">
        <v>104881</v>
      </c>
      <c r="C4028" s="20" t="s">
        <v>4113</v>
      </c>
      <c r="D4028" s="19" t="s">
        <v>38</v>
      </c>
      <c r="E4028" s="21" t="str">
        <f t="shared" si="185"/>
        <v>VERIFICAR</v>
      </c>
      <c r="F4028" s="22"/>
      <c r="G4028" s="21" t="str">
        <f t="shared" si="186"/>
        <v>VERIFICAR</v>
      </c>
      <c r="H4028" s="22"/>
      <c r="I4028" s="23" t="str">
        <f t="shared" si="187"/>
        <v xml:space="preserve">COM VALOR</v>
      </c>
      <c r="J4028" s="19"/>
      <c r="L4028" s="21">
        <v>0</v>
      </c>
      <c r="M4028" s="22"/>
      <c r="N4028" s="21">
        <v>0</v>
      </c>
      <c r="O4028" s="22"/>
    </row>
    <row r="4029" ht="38.25">
      <c r="A4029" t="s">
        <v>4066</v>
      </c>
      <c r="B4029" s="19">
        <v>104863</v>
      </c>
      <c r="C4029" s="20" t="s">
        <v>4114</v>
      </c>
      <c r="D4029" s="19" t="s">
        <v>38</v>
      </c>
      <c r="E4029" s="21" t="str">
        <f t="shared" si="185"/>
        <v>VERIFICAR</v>
      </c>
      <c r="F4029" s="22"/>
      <c r="G4029" s="21" t="str">
        <f t="shared" si="186"/>
        <v>VERIFICAR</v>
      </c>
      <c r="H4029" s="22"/>
      <c r="I4029" s="23" t="str">
        <f t="shared" si="187"/>
        <v xml:space="preserve">COM VALOR</v>
      </c>
      <c r="J4029" s="19"/>
      <c r="L4029" s="21">
        <v>0</v>
      </c>
      <c r="M4029" s="22"/>
      <c r="N4029" s="21">
        <v>0</v>
      </c>
      <c r="O4029" s="22"/>
    </row>
    <row r="4030" ht="38.25">
      <c r="A4030" t="s">
        <v>4066</v>
      </c>
      <c r="B4030" s="19">
        <v>104870</v>
      </c>
      <c r="C4030" s="20" t="s">
        <v>4115</v>
      </c>
      <c r="D4030" s="19" t="s">
        <v>38</v>
      </c>
      <c r="E4030" s="21" t="str">
        <f t="shared" si="185"/>
        <v>VERIFICAR</v>
      </c>
      <c r="F4030" s="22">
        <v>0</v>
      </c>
      <c r="G4030" s="21" t="str">
        <f t="shared" si="186"/>
        <v>VERIFICAR</v>
      </c>
      <c r="H4030" s="22">
        <v>0</v>
      </c>
      <c r="I4030" s="23" t="str">
        <f t="shared" si="187"/>
        <v xml:space="preserve">COM VALOR</v>
      </c>
      <c r="J4030" s="19"/>
      <c r="L4030" s="21">
        <v>0</v>
      </c>
      <c r="M4030" s="22"/>
      <c r="N4030" s="21">
        <v>0</v>
      </c>
      <c r="O4030" s="22"/>
    </row>
    <row r="4031" ht="38.25">
      <c r="A4031" t="s">
        <v>4066</v>
      </c>
      <c r="B4031" s="19">
        <v>104882</v>
      </c>
      <c r="C4031" s="20" t="s">
        <v>4116</v>
      </c>
      <c r="D4031" s="19" t="s">
        <v>38</v>
      </c>
      <c r="E4031" s="21" t="str">
        <f t="shared" si="185"/>
        <v>VERIFICAR</v>
      </c>
      <c r="F4031" s="22">
        <v>0</v>
      </c>
      <c r="G4031" s="21" t="str">
        <f t="shared" si="186"/>
        <v>VERIFICAR</v>
      </c>
      <c r="H4031" s="22">
        <v>0</v>
      </c>
      <c r="I4031" s="23" t="str">
        <f t="shared" si="187"/>
        <v xml:space="preserve">COM VALOR</v>
      </c>
      <c r="J4031" s="19"/>
      <c r="L4031" s="21">
        <v>0</v>
      </c>
      <c r="M4031" s="22"/>
      <c r="N4031" s="21">
        <v>0</v>
      </c>
      <c r="O4031" s="22"/>
    </row>
    <row r="4032" ht="38.25">
      <c r="A4032" t="s">
        <v>4066</v>
      </c>
      <c r="B4032" s="19">
        <v>104864</v>
      </c>
      <c r="C4032" s="20" t="s">
        <v>4117</v>
      </c>
      <c r="D4032" s="19" t="s">
        <v>38</v>
      </c>
      <c r="E4032" s="21" t="str">
        <f t="shared" si="185"/>
        <v>VERIFICAR</v>
      </c>
      <c r="F4032" s="22">
        <v>0</v>
      </c>
      <c r="G4032" s="21" t="str">
        <f t="shared" si="186"/>
        <v>VERIFICAR</v>
      </c>
      <c r="H4032" s="22">
        <v>0</v>
      </c>
      <c r="I4032" s="23" t="str">
        <f t="shared" si="187"/>
        <v xml:space="preserve">COM VALOR</v>
      </c>
      <c r="J4032" s="19"/>
      <c r="L4032" s="21">
        <v>0</v>
      </c>
      <c r="M4032" s="22"/>
      <c r="N4032" s="21">
        <v>0</v>
      </c>
      <c r="O4032" s="22"/>
    </row>
    <row r="4033" ht="25.5">
      <c r="A4033" t="s">
        <v>4066</v>
      </c>
      <c r="B4033" s="19">
        <v>104876</v>
      </c>
      <c r="C4033" s="20" t="s">
        <v>4118</v>
      </c>
      <c r="D4033" s="19" t="s">
        <v>31</v>
      </c>
      <c r="E4033" s="21">
        <f t="shared" si="185"/>
        <v>24.559999999999999</v>
      </c>
      <c r="F4033" s="22">
        <v>0</v>
      </c>
      <c r="G4033" s="21">
        <f t="shared" si="186"/>
        <v>23.140000000000001</v>
      </c>
      <c r="H4033" s="22">
        <v>0</v>
      </c>
      <c r="I4033" s="23" t="str">
        <f t="shared" si="187"/>
        <v xml:space="preserve">COM VALOR</v>
      </c>
      <c r="J4033" s="19"/>
      <c r="L4033" s="21">
        <v>24.559999999999999</v>
      </c>
      <c r="M4033" s="22">
        <v>0</v>
      </c>
      <c r="N4033" s="21">
        <v>23.140000000000001</v>
      </c>
      <c r="O4033" s="22">
        <v>0</v>
      </c>
    </row>
    <row r="4034" ht="25.5">
      <c r="A4034" t="s">
        <v>4066</v>
      </c>
      <c r="B4034" s="19">
        <v>104875</v>
      </c>
      <c r="C4034" s="20" t="s">
        <v>4119</v>
      </c>
      <c r="D4034" s="19" t="s">
        <v>38</v>
      </c>
      <c r="E4034" s="21">
        <f t="shared" si="185"/>
        <v>129.81</v>
      </c>
      <c r="F4034" s="22">
        <v>0</v>
      </c>
      <c r="G4034" s="21">
        <f t="shared" si="186"/>
        <v>122.59999999999999</v>
      </c>
      <c r="H4034" s="22">
        <v>0</v>
      </c>
      <c r="I4034" s="23" t="str">
        <f t="shared" si="187"/>
        <v xml:space="preserve">COM VALOR</v>
      </c>
      <c r="J4034" s="19"/>
      <c r="L4034" s="21">
        <v>129.81</v>
      </c>
      <c r="M4034" s="22">
        <v>0</v>
      </c>
      <c r="N4034" s="21">
        <v>122.59999999999999</v>
      </c>
      <c r="O4034" s="22">
        <v>0</v>
      </c>
    </row>
    <row r="4035" ht="25.5">
      <c r="A4035" t="s">
        <v>4120</v>
      </c>
      <c r="B4035" s="19">
        <v>105942</v>
      </c>
      <c r="C4035" s="20" t="s">
        <v>4121</v>
      </c>
      <c r="D4035" s="19" t="s">
        <v>38</v>
      </c>
      <c r="E4035" s="21" t="str">
        <f t="shared" si="185"/>
        <v>VERIFICAR</v>
      </c>
      <c r="F4035" s="22">
        <v>0</v>
      </c>
      <c r="G4035" s="21" t="str">
        <f t="shared" si="186"/>
        <v>VERIFICAR</v>
      </c>
      <c r="H4035" s="22">
        <v>0</v>
      </c>
      <c r="I4035" s="23" t="str">
        <f t="shared" si="187"/>
        <v xml:space="preserve">COM VALOR</v>
      </c>
      <c r="J4035" s="19"/>
      <c r="L4035" s="21">
        <v>0</v>
      </c>
      <c r="M4035" s="22"/>
      <c r="N4035" s="21">
        <v>0</v>
      </c>
      <c r="O4035" s="22"/>
    </row>
    <row r="4036" ht="25.5">
      <c r="A4036" t="s">
        <v>4120</v>
      </c>
      <c r="B4036" s="19">
        <v>105943</v>
      </c>
      <c r="C4036" s="20" t="s">
        <v>4122</v>
      </c>
      <c r="D4036" s="19" t="s">
        <v>38</v>
      </c>
      <c r="E4036" s="21" t="str">
        <f t="shared" si="185"/>
        <v>VERIFICAR</v>
      </c>
      <c r="F4036" s="22">
        <v>0</v>
      </c>
      <c r="G4036" s="21" t="str">
        <f t="shared" si="186"/>
        <v>VERIFICAR</v>
      </c>
      <c r="H4036" s="22">
        <v>0</v>
      </c>
      <c r="I4036" s="23" t="str">
        <f t="shared" si="187"/>
        <v xml:space="preserve">COM VALOR</v>
      </c>
      <c r="J4036" s="19"/>
      <c r="L4036" s="21">
        <v>0</v>
      </c>
      <c r="M4036" s="22"/>
      <c r="N4036" s="21">
        <v>0</v>
      </c>
      <c r="O4036" s="22"/>
    </row>
    <row r="4037" ht="38.25">
      <c r="A4037" t="s">
        <v>4120</v>
      </c>
      <c r="B4037" s="19">
        <v>105941</v>
      </c>
      <c r="C4037" s="20" t="s">
        <v>4123</v>
      </c>
      <c r="D4037" s="19" t="s">
        <v>29</v>
      </c>
      <c r="E4037" s="21" t="str">
        <f t="shared" si="185"/>
        <v>VERIFICAR</v>
      </c>
      <c r="F4037" s="22">
        <v>0</v>
      </c>
      <c r="G4037" s="21" t="str">
        <f t="shared" si="186"/>
        <v>VERIFICAR</v>
      </c>
      <c r="H4037" s="22">
        <v>0</v>
      </c>
      <c r="I4037" s="23" t="str">
        <f t="shared" si="187"/>
        <v xml:space="preserve">COM VALOR</v>
      </c>
      <c r="J4037" s="19"/>
      <c r="L4037" s="21">
        <v>0</v>
      </c>
      <c r="M4037" s="22"/>
      <c r="N4037" s="21">
        <v>0</v>
      </c>
      <c r="O4037" s="22"/>
    </row>
    <row r="4038" ht="38.25">
      <c r="A4038" t="s">
        <v>4120</v>
      </c>
      <c r="B4038" s="19">
        <v>105940</v>
      </c>
      <c r="C4038" s="20" t="s">
        <v>4124</v>
      </c>
      <c r="D4038" s="19" t="s">
        <v>29</v>
      </c>
      <c r="E4038" s="21" t="str">
        <f t="shared" si="185"/>
        <v>VERIFICAR</v>
      </c>
      <c r="F4038" s="22">
        <v>0</v>
      </c>
      <c r="G4038" s="21" t="str">
        <f t="shared" si="186"/>
        <v>VERIFICAR</v>
      </c>
      <c r="H4038" s="22">
        <v>0</v>
      </c>
      <c r="I4038" s="23" t="str">
        <f t="shared" si="187"/>
        <v xml:space="preserve">COM VALOR</v>
      </c>
      <c r="J4038" s="19"/>
      <c r="L4038" s="21">
        <v>0</v>
      </c>
      <c r="M4038" s="22"/>
      <c r="N4038" s="21">
        <v>0</v>
      </c>
      <c r="O4038" s="22"/>
    </row>
    <row r="4039" ht="38.25">
      <c r="A4039" t="s">
        <v>4120</v>
      </c>
      <c r="B4039" s="19">
        <v>105938</v>
      </c>
      <c r="C4039" s="20" t="s">
        <v>4125</v>
      </c>
      <c r="D4039" s="19" t="s">
        <v>29</v>
      </c>
      <c r="E4039" s="21" t="str">
        <f t="shared" si="185"/>
        <v>VERIFICAR</v>
      </c>
      <c r="F4039" s="22">
        <v>0</v>
      </c>
      <c r="G4039" s="21" t="str">
        <f t="shared" si="186"/>
        <v>VERIFICAR</v>
      </c>
      <c r="H4039" s="22">
        <v>0</v>
      </c>
      <c r="I4039" s="23" t="str">
        <f t="shared" si="187"/>
        <v xml:space="preserve">COM VALOR</v>
      </c>
      <c r="J4039" s="19"/>
      <c r="L4039" s="21">
        <v>0</v>
      </c>
      <c r="M4039" s="22"/>
      <c r="N4039" s="21">
        <v>0</v>
      </c>
      <c r="O4039" s="22"/>
    </row>
    <row r="4040" ht="38.25">
      <c r="A4040" t="s">
        <v>4120</v>
      </c>
      <c r="B4040" s="19">
        <v>105939</v>
      </c>
      <c r="C4040" s="20" t="s">
        <v>4126</v>
      </c>
      <c r="D4040" s="19" t="s">
        <v>29</v>
      </c>
      <c r="E4040" s="21" t="str">
        <f t="shared" si="185"/>
        <v>VERIFICAR</v>
      </c>
      <c r="F4040" s="22">
        <v>0</v>
      </c>
      <c r="G4040" s="21" t="str">
        <f t="shared" si="186"/>
        <v>VERIFICAR</v>
      </c>
      <c r="H4040" s="22">
        <v>0</v>
      </c>
      <c r="I4040" s="23" t="str">
        <f t="shared" si="187"/>
        <v xml:space="preserve">COM VALOR</v>
      </c>
      <c r="J4040" s="19"/>
      <c r="L4040" s="21">
        <v>0</v>
      </c>
      <c r="M4040" s="22"/>
      <c r="N4040" s="21">
        <v>0</v>
      </c>
      <c r="O4040" s="22"/>
    </row>
    <row r="4041" ht="12.75">
      <c r="A4041" t="s">
        <v>4127</v>
      </c>
      <c r="B4041" s="19">
        <v>96120</v>
      </c>
      <c r="C4041" s="20" t="s">
        <v>4128</v>
      </c>
      <c r="D4041" s="19" t="s">
        <v>38</v>
      </c>
      <c r="E4041" s="21">
        <f t="shared" si="185"/>
        <v>3.1899999999999999</v>
      </c>
      <c r="F4041" s="22">
        <v>0</v>
      </c>
      <c r="G4041" s="21">
        <f t="shared" si="186"/>
        <v>3.0800000000000001</v>
      </c>
      <c r="H4041" s="22">
        <v>0</v>
      </c>
      <c r="I4041" s="23" t="str">
        <f t="shared" si="187"/>
        <v xml:space="preserve">COM VALOR</v>
      </c>
      <c r="J4041" s="19"/>
      <c r="L4041" s="21">
        <v>3.1899999999999999</v>
      </c>
      <c r="M4041" s="22">
        <v>0</v>
      </c>
      <c r="N4041" s="21">
        <v>3.0800000000000001</v>
      </c>
      <c r="O4041" s="22">
        <v>0</v>
      </c>
    </row>
    <row r="4042" ht="25.5">
      <c r="A4042" t="s">
        <v>4127</v>
      </c>
      <c r="B4042" s="19">
        <v>96123</v>
      </c>
      <c r="C4042" s="20" t="s">
        <v>4129</v>
      </c>
      <c r="D4042" s="19" t="s">
        <v>38</v>
      </c>
      <c r="E4042" s="21">
        <f t="shared" si="185"/>
        <v>28.579999999999998</v>
      </c>
      <c r="F4042" s="22">
        <v>0</v>
      </c>
      <c r="G4042" s="21">
        <f t="shared" si="186"/>
        <v>27.91</v>
      </c>
      <c r="H4042" s="22">
        <v>0</v>
      </c>
      <c r="I4042" s="23" t="str">
        <f t="shared" si="187"/>
        <v xml:space="preserve">COM VALOR</v>
      </c>
      <c r="J4042" s="19"/>
      <c r="L4042" s="21">
        <v>28.579999999999998</v>
      </c>
      <c r="M4042" s="22">
        <v>0</v>
      </c>
      <c r="N4042" s="21">
        <v>27.91</v>
      </c>
      <c r="O4042" s="22">
        <v>0</v>
      </c>
    </row>
    <row r="4043" ht="25.5">
      <c r="A4043" t="s">
        <v>4127</v>
      </c>
      <c r="B4043" s="19">
        <v>96122</v>
      </c>
      <c r="C4043" s="20" t="s">
        <v>4130</v>
      </c>
      <c r="D4043" s="19" t="s">
        <v>38</v>
      </c>
      <c r="E4043" s="21">
        <f t="shared" ref="E4043:E4106" si="188">IF(L4043=0,"VERIFICAR",L4043)</f>
        <v>47.219999999999999</v>
      </c>
      <c r="F4043" s="22">
        <v>0</v>
      </c>
      <c r="G4043" s="21">
        <f t="shared" ref="G4043:G4106" si="189">IF(N4043=0,"VERIFICAR",N4043)</f>
        <v>46.479999999999997</v>
      </c>
      <c r="H4043" s="22">
        <v>0</v>
      </c>
      <c r="I4043" s="23" t="str">
        <f t="shared" ref="I4043:I4106" si="190">IF(OR(E4043=0,G4043=0),"SEM VALOR","COM VALOR")</f>
        <v xml:space="preserve">COM VALOR</v>
      </c>
      <c r="J4043" s="19"/>
      <c r="L4043" s="21">
        <v>47.219999999999999</v>
      </c>
      <c r="M4043" s="22">
        <v>0</v>
      </c>
      <c r="N4043" s="21">
        <v>46.479999999999997</v>
      </c>
      <c r="O4043" s="22">
        <v>0</v>
      </c>
    </row>
    <row r="4044" ht="25.5">
      <c r="A4044" t="s">
        <v>4127</v>
      </c>
      <c r="B4044" s="19">
        <v>96121</v>
      </c>
      <c r="C4044" s="20" t="s">
        <v>4131</v>
      </c>
      <c r="D4044" s="19" t="s">
        <v>38</v>
      </c>
      <c r="E4044" s="21">
        <f t="shared" si="188"/>
        <v>14.369999999999999</v>
      </c>
      <c r="F4044" s="22">
        <v>5.0000000000000003e-002</v>
      </c>
      <c r="G4044" s="21">
        <f t="shared" si="189"/>
        <v>13.970000000000001</v>
      </c>
      <c r="H4044" s="22">
        <v>5.0000000000000003e-002</v>
      </c>
      <c r="I4044" s="23" t="str">
        <f t="shared" si="190"/>
        <v xml:space="preserve">COM VALOR</v>
      </c>
      <c r="J4044" s="19"/>
      <c r="L4044" s="21">
        <v>14.369999999999999</v>
      </c>
      <c r="M4044" s="22">
        <v>0</v>
      </c>
      <c r="N4044" s="21">
        <v>13.970000000000001</v>
      </c>
      <c r="O4044" s="22">
        <v>0</v>
      </c>
    </row>
    <row r="4045" ht="25.5">
      <c r="A4045" t="s">
        <v>4127</v>
      </c>
      <c r="B4045" s="19">
        <v>99054</v>
      </c>
      <c r="C4045" s="20" t="s">
        <v>4132</v>
      </c>
      <c r="D4045" s="19" t="s">
        <v>29</v>
      </c>
      <c r="E4045" s="21">
        <f t="shared" si="188"/>
        <v>63.32</v>
      </c>
      <c r="F4045" s="22">
        <v>5.0000000000000003e-002</v>
      </c>
      <c r="G4045" s="21">
        <f t="shared" si="189"/>
        <v>60.579999999999998</v>
      </c>
      <c r="H4045" s="22">
        <v>5.0000000000000003e-002</v>
      </c>
      <c r="I4045" s="23" t="str">
        <f t="shared" si="190"/>
        <v xml:space="preserve">COM VALOR</v>
      </c>
      <c r="J4045" s="19"/>
      <c r="L4045" s="21">
        <v>63.32</v>
      </c>
      <c r="M4045" s="22">
        <v>0</v>
      </c>
      <c r="N4045" s="21">
        <v>60.579999999999998</v>
      </c>
      <c r="O4045" s="22">
        <v>0</v>
      </c>
    </row>
    <row r="4046" ht="25.5">
      <c r="A4046" t="s">
        <v>4127</v>
      </c>
      <c r="B4046" s="19">
        <v>96110</v>
      </c>
      <c r="C4046" s="20" t="s">
        <v>4133</v>
      </c>
      <c r="D4046" s="19" t="s">
        <v>29</v>
      </c>
      <c r="E4046" s="21">
        <f t="shared" si="188"/>
        <v>74.969999999999999</v>
      </c>
      <c r="F4046" s="22">
        <v>5.9999999999999998e-002</v>
      </c>
      <c r="G4046" s="21">
        <f t="shared" si="189"/>
        <v>73.290000000000006</v>
      </c>
      <c r="H4046" s="22">
        <v>5.9999999999999998e-002</v>
      </c>
      <c r="I4046" s="23" t="str">
        <f t="shared" si="190"/>
        <v xml:space="preserve">COM VALOR</v>
      </c>
      <c r="J4046" s="19"/>
      <c r="L4046" s="21">
        <v>74.969999999999999</v>
      </c>
      <c r="M4046" s="22">
        <v>0</v>
      </c>
      <c r="N4046" s="21">
        <v>73.290000000000006</v>
      </c>
      <c r="O4046" s="22">
        <v>0</v>
      </c>
    </row>
    <row r="4047" ht="25.5">
      <c r="A4047" t="s">
        <v>4127</v>
      </c>
      <c r="B4047" s="19">
        <v>96114</v>
      </c>
      <c r="C4047" s="20" t="s">
        <v>4134</v>
      </c>
      <c r="D4047" s="19" t="s">
        <v>29</v>
      </c>
      <c r="E4047" s="21">
        <f t="shared" si="188"/>
        <v>74.989999999999995</v>
      </c>
      <c r="F4047" s="22">
        <v>5.9999999999999998e-002</v>
      </c>
      <c r="G4047" s="21">
        <f t="shared" si="189"/>
        <v>73.519999999999996</v>
      </c>
      <c r="H4047" s="22">
        <v>5.9999999999999998e-002</v>
      </c>
      <c r="I4047" s="23" t="str">
        <f t="shared" si="190"/>
        <v xml:space="preserve">COM VALOR</v>
      </c>
      <c r="J4047" s="19"/>
      <c r="L4047" s="21">
        <v>74.989999999999995</v>
      </c>
      <c r="M4047" s="22">
        <v>0</v>
      </c>
      <c r="N4047" s="21">
        <v>73.519999999999996</v>
      </c>
      <c r="O4047" s="22">
        <v>0</v>
      </c>
    </row>
    <row r="4048" ht="25.5">
      <c r="A4048" t="s">
        <v>4127</v>
      </c>
      <c r="B4048" s="19">
        <v>104757</v>
      </c>
      <c r="C4048" s="20" t="s">
        <v>4135</v>
      </c>
      <c r="D4048" s="19" t="s">
        <v>29</v>
      </c>
      <c r="E4048" s="21">
        <f t="shared" si="188"/>
        <v>124.69</v>
      </c>
      <c r="F4048" s="22">
        <v>4.0000000000000001e-002</v>
      </c>
      <c r="G4048" s="21">
        <f t="shared" si="189"/>
        <v>123.34</v>
      </c>
      <c r="H4048" s="22">
        <v>4.0000000000000001e-002</v>
      </c>
      <c r="I4048" s="23" t="str">
        <f t="shared" si="190"/>
        <v xml:space="preserve">COM VALOR</v>
      </c>
      <c r="J4048" s="19"/>
      <c r="L4048" s="21">
        <v>124.69</v>
      </c>
      <c r="M4048" s="22">
        <v>0.67000000000000004</v>
      </c>
      <c r="N4048" s="21">
        <v>123.34</v>
      </c>
      <c r="O4048" s="22">
        <v>0.68000000000000005</v>
      </c>
    </row>
    <row r="4049" ht="38.25">
      <c r="A4049" t="s">
        <v>4127</v>
      </c>
      <c r="B4049" s="19">
        <v>104756</v>
      </c>
      <c r="C4049" s="20" t="s">
        <v>4136</v>
      </c>
      <c r="D4049" s="19" t="s">
        <v>29</v>
      </c>
      <c r="E4049" s="21">
        <f t="shared" si="188"/>
        <v>196.44</v>
      </c>
      <c r="F4049" s="22">
        <v>4.0000000000000001e-002</v>
      </c>
      <c r="G4049" s="21">
        <f t="shared" si="189"/>
        <v>193.31999999999999</v>
      </c>
      <c r="H4049" s="22">
        <v>5.0000000000000003e-002</v>
      </c>
      <c r="I4049" s="23" t="str">
        <f t="shared" si="190"/>
        <v xml:space="preserve">COM VALOR</v>
      </c>
      <c r="J4049" s="19"/>
      <c r="L4049" s="21">
        <v>196.44</v>
      </c>
      <c r="M4049" s="22">
        <v>0</v>
      </c>
      <c r="N4049" s="21">
        <v>193.31999999999999</v>
      </c>
      <c r="O4049" s="22">
        <v>0</v>
      </c>
    </row>
    <row r="4050" ht="25.5">
      <c r="A4050" t="s">
        <v>4127</v>
      </c>
      <c r="B4050" s="19">
        <v>96112</v>
      </c>
      <c r="C4050" s="20" t="s">
        <v>4137</v>
      </c>
      <c r="D4050" s="19" t="s">
        <v>29</v>
      </c>
      <c r="E4050" s="21">
        <f t="shared" si="188"/>
        <v>143.25999999999999</v>
      </c>
      <c r="F4050" s="22">
        <v>5.0000000000000003e-002</v>
      </c>
      <c r="G4050" s="21">
        <f t="shared" si="189"/>
        <v>139.88999999999999</v>
      </c>
      <c r="H4050" s="22">
        <v>5.0000000000000003e-002</v>
      </c>
      <c r="I4050" s="23" t="str">
        <f t="shared" si="190"/>
        <v xml:space="preserve">COM VALOR</v>
      </c>
      <c r="J4050" s="19"/>
      <c r="L4050" s="21">
        <v>143.25999999999999</v>
      </c>
      <c r="M4050" s="22">
        <v>0</v>
      </c>
      <c r="N4050" s="21">
        <v>139.88999999999999</v>
      </c>
      <c r="O4050" s="22">
        <v>0</v>
      </c>
    </row>
    <row r="4051" ht="25.5">
      <c r="A4051" t="s">
        <v>4127</v>
      </c>
      <c r="B4051" s="19">
        <v>96113</v>
      </c>
      <c r="C4051" s="20" t="s">
        <v>4138</v>
      </c>
      <c r="D4051" s="19" t="s">
        <v>29</v>
      </c>
      <c r="E4051" s="21">
        <f t="shared" si="188"/>
        <v>49.630000000000003</v>
      </c>
      <c r="F4051" s="22">
        <v>5.0000000000000003e-002</v>
      </c>
      <c r="G4051" s="21">
        <f t="shared" si="189"/>
        <v>47.649999999999999</v>
      </c>
      <c r="H4051" s="22">
        <v>5.0000000000000003e-002</v>
      </c>
      <c r="I4051" s="23" t="str">
        <f t="shared" si="190"/>
        <v xml:space="preserve">COM VALOR</v>
      </c>
      <c r="J4051" s="19"/>
      <c r="L4051" s="21">
        <v>49.630000000000003</v>
      </c>
      <c r="M4051" s="22">
        <v>0</v>
      </c>
      <c r="N4051" s="21">
        <v>47.649999999999999</v>
      </c>
      <c r="O4051" s="22">
        <v>0</v>
      </c>
    </row>
    <row r="4052" ht="25.5">
      <c r="A4052" t="s">
        <v>4127</v>
      </c>
      <c r="B4052" s="19">
        <v>96109</v>
      </c>
      <c r="C4052" s="20" t="s">
        <v>4139</v>
      </c>
      <c r="D4052" s="19" t="s">
        <v>29</v>
      </c>
      <c r="E4052" s="21">
        <f t="shared" si="188"/>
        <v>55.159999999999997</v>
      </c>
      <c r="F4052" s="22">
        <v>0.10000000000000001</v>
      </c>
      <c r="G4052" s="21">
        <f t="shared" si="189"/>
        <v>52.880000000000003</v>
      </c>
      <c r="H4052" s="22">
        <v>0.10000000000000001</v>
      </c>
      <c r="I4052" s="23" t="str">
        <f t="shared" si="190"/>
        <v xml:space="preserve">COM VALOR</v>
      </c>
      <c r="J4052" s="19"/>
      <c r="L4052" s="21">
        <v>55.159999999999997</v>
      </c>
      <c r="M4052" s="22">
        <v>0</v>
      </c>
      <c r="N4052" s="21">
        <v>52.880000000000003</v>
      </c>
      <c r="O4052" s="22">
        <v>0</v>
      </c>
    </row>
    <row r="4053" ht="25.5">
      <c r="A4053" t="s">
        <v>4127</v>
      </c>
      <c r="B4053" s="19">
        <v>96116</v>
      </c>
      <c r="C4053" s="20" t="s">
        <v>4140</v>
      </c>
      <c r="D4053" s="19" t="s">
        <v>29</v>
      </c>
      <c r="E4053" s="21">
        <f t="shared" si="188"/>
        <v>72.400000000000006</v>
      </c>
      <c r="F4053" s="22">
        <v>0.10000000000000001</v>
      </c>
      <c r="G4053" s="21">
        <f t="shared" si="189"/>
        <v>71.280000000000001</v>
      </c>
      <c r="H4053" s="22">
        <v>0.11</v>
      </c>
      <c r="I4053" s="23" t="str">
        <f t="shared" si="190"/>
        <v xml:space="preserve">COM VALOR</v>
      </c>
      <c r="J4053" s="19"/>
      <c r="L4053" s="21">
        <v>72.400000000000006</v>
      </c>
      <c r="M4053" s="22">
        <v>0</v>
      </c>
      <c r="N4053" s="21">
        <v>71.280000000000001</v>
      </c>
      <c r="O4053" s="22">
        <v>0</v>
      </c>
    </row>
    <row r="4054" ht="25.5">
      <c r="A4054" t="s">
        <v>4127</v>
      </c>
      <c r="B4054" s="19">
        <v>96111</v>
      </c>
      <c r="C4054" s="20" t="s">
        <v>4141</v>
      </c>
      <c r="D4054" s="19" t="s">
        <v>29</v>
      </c>
      <c r="E4054" s="21">
        <f t="shared" si="188"/>
        <v>70.930000000000007</v>
      </c>
      <c r="F4054" s="22">
        <v>0.11</v>
      </c>
      <c r="G4054" s="21">
        <f t="shared" si="189"/>
        <v>69.620000000000005</v>
      </c>
      <c r="H4054" s="22">
        <v>0.11</v>
      </c>
      <c r="I4054" s="23" t="str">
        <f t="shared" si="190"/>
        <v xml:space="preserve">COM VALOR</v>
      </c>
      <c r="J4054" s="19"/>
      <c r="L4054" s="21">
        <v>70.930000000000007</v>
      </c>
      <c r="M4054" s="22">
        <v>0</v>
      </c>
      <c r="N4054" s="21">
        <v>69.620000000000005</v>
      </c>
      <c r="O4054" s="22">
        <v>0</v>
      </c>
    </row>
    <row r="4055" ht="25.5">
      <c r="A4055" t="s">
        <v>4127</v>
      </c>
      <c r="B4055" s="19">
        <v>96486</v>
      </c>
      <c r="C4055" s="20" t="s">
        <v>4142</v>
      </c>
      <c r="D4055" s="19" t="s">
        <v>29</v>
      </c>
      <c r="E4055" s="21">
        <f t="shared" si="188"/>
        <v>85.140000000000001</v>
      </c>
      <c r="F4055" s="22">
        <v>0.12</v>
      </c>
      <c r="G4055" s="21">
        <f t="shared" si="189"/>
        <v>84.019999999999996</v>
      </c>
      <c r="H4055" s="22">
        <v>0.13</v>
      </c>
      <c r="I4055" s="23" t="str">
        <f t="shared" si="190"/>
        <v xml:space="preserve">COM VALOR</v>
      </c>
      <c r="J4055" s="19"/>
      <c r="L4055" s="21">
        <v>85.140000000000001</v>
      </c>
      <c r="M4055" s="22">
        <v>0</v>
      </c>
      <c r="N4055" s="21">
        <v>84.019999999999996</v>
      </c>
      <c r="O4055" s="22">
        <v>0</v>
      </c>
    </row>
    <row r="4056" ht="25.5">
      <c r="A4056" t="s">
        <v>4127</v>
      </c>
      <c r="B4056" s="19">
        <v>96485</v>
      </c>
      <c r="C4056" s="20" t="s">
        <v>4143</v>
      </c>
      <c r="D4056" s="19" t="s">
        <v>29</v>
      </c>
      <c r="E4056" s="21">
        <f t="shared" si="188"/>
        <v>83.670000000000002</v>
      </c>
      <c r="F4056" s="22">
        <v>0</v>
      </c>
      <c r="G4056" s="21">
        <f t="shared" si="189"/>
        <v>82.359999999999999</v>
      </c>
      <c r="H4056" s="22">
        <v>0</v>
      </c>
      <c r="I4056" s="23" t="str">
        <f t="shared" si="190"/>
        <v xml:space="preserve">COM VALOR</v>
      </c>
      <c r="J4056" s="19"/>
      <c r="L4056" s="21">
        <v>83.670000000000002</v>
      </c>
      <c r="M4056" s="22">
        <v>0</v>
      </c>
      <c r="N4056" s="21">
        <v>82.359999999999999</v>
      </c>
      <c r="O4056" s="22">
        <v>0</v>
      </c>
    </row>
    <row r="4057" ht="25.5">
      <c r="A4057" t="s">
        <v>4127</v>
      </c>
      <c r="B4057" s="19">
        <v>97557</v>
      </c>
      <c r="C4057" s="20" t="s">
        <v>4144</v>
      </c>
      <c r="D4057" s="19" t="s">
        <v>29</v>
      </c>
      <c r="E4057" s="21" t="str">
        <f t="shared" si="188"/>
        <v>VERIFICAR</v>
      </c>
      <c r="F4057" s="22">
        <v>0</v>
      </c>
      <c r="G4057" s="21" t="str">
        <f t="shared" si="189"/>
        <v>VERIFICAR</v>
      </c>
      <c r="H4057" s="22">
        <v>0</v>
      </c>
      <c r="I4057" s="23" t="str">
        <f t="shared" si="190"/>
        <v xml:space="preserve">COM VALOR</v>
      </c>
      <c r="J4057" s="19"/>
      <c r="L4057" s="21">
        <v>0</v>
      </c>
      <c r="M4057" s="22"/>
      <c r="N4057" s="21">
        <v>0</v>
      </c>
      <c r="O4057" s="22"/>
    </row>
    <row r="4058" ht="38.25">
      <c r="A4058" t="s">
        <v>4145</v>
      </c>
      <c r="B4058" s="19">
        <v>101807</v>
      </c>
      <c r="C4058" s="20" t="s">
        <v>4146</v>
      </c>
      <c r="D4058" s="19" t="s">
        <v>31</v>
      </c>
      <c r="E4058" s="21">
        <f t="shared" si="188"/>
        <v>522.19000000000005</v>
      </c>
      <c r="F4058" s="22">
        <v>0</v>
      </c>
      <c r="G4058" s="21">
        <f t="shared" si="189"/>
        <v>505</v>
      </c>
      <c r="H4058" s="22">
        <v>0</v>
      </c>
      <c r="I4058" s="23" t="str">
        <f t="shared" si="190"/>
        <v xml:space="preserve">COM VALOR</v>
      </c>
      <c r="J4058" s="19"/>
      <c r="L4058" s="21">
        <v>522.19000000000005</v>
      </c>
      <c r="M4058" s="22">
        <v>0</v>
      </c>
      <c r="N4058" s="21">
        <v>505</v>
      </c>
      <c r="O4058" s="22">
        <v>0</v>
      </c>
    </row>
    <row r="4059" ht="38.25">
      <c r="A4059" t="s">
        <v>4145</v>
      </c>
      <c r="B4059" s="19">
        <v>101806</v>
      </c>
      <c r="C4059" s="20" t="s">
        <v>4147</v>
      </c>
      <c r="D4059" s="19" t="s">
        <v>31</v>
      </c>
      <c r="E4059" s="21">
        <f t="shared" si="188"/>
        <v>560.07000000000005</v>
      </c>
      <c r="F4059" s="22">
        <v>0</v>
      </c>
      <c r="G4059" s="21">
        <f t="shared" si="189"/>
        <v>541.13999999999999</v>
      </c>
      <c r="H4059" s="22">
        <v>0</v>
      </c>
      <c r="I4059" s="23" t="str">
        <f t="shared" si="190"/>
        <v xml:space="preserve">COM VALOR</v>
      </c>
      <c r="J4059" s="19"/>
      <c r="L4059" s="21">
        <v>560.07000000000005</v>
      </c>
      <c r="M4059" s="22">
        <v>0</v>
      </c>
      <c r="N4059" s="21">
        <v>541.13999999999999</v>
      </c>
      <c r="O4059" s="22">
        <v>0</v>
      </c>
    </row>
    <row r="4060" ht="38.25">
      <c r="A4060" t="s">
        <v>4145</v>
      </c>
      <c r="B4060" s="19">
        <v>101808</v>
      </c>
      <c r="C4060" s="20" t="s">
        <v>4148</v>
      </c>
      <c r="D4060" s="19" t="s">
        <v>31</v>
      </c>
      <c r="E4060" s="21">
        <f t="shared" si="188"/>
        <v>576.79999999999995</v>
      </c>
      <c r="F4060" s="22">
        <v>5.9999999999999998e-002</v>
      </c>
      <c r="G4060" s="21">
        <f t="shared" si="189"/>
        <v>572.54999999999995</v>
      </c>
      <c r="H4060" s="22">
        <v>5.9999999999999998e-002</v>
      </c>
      <c r="I4060" s="23" t="str">
        <f t="shared" si="190"/>
        <v xml:space="preserve">COM VALOR</v>
      </c>
      <c r="J4060" s="19"/>
      <c r="L4060" s="21">
        <v>576.79999999999995</v>
      </c>
      <c r="M4060" s="22">
        <v>0</v>
      </c>
      <c r="N4060" s="21">
        <v>572.54999999999995</v>
      </c>
      <c r="O4060" s="22">
        <v>0</v>
      </c>
    </row>
    <row r="4061" ht="38.25">
      <c r="A4061" t="s">
        <v>4145</v>
      </c>
      <c r="B4061" s="19">
        <v>98058</v>
      </c>
      <c r="C4061" s="20" t="s">
        <v>4149</v>
      </c>
      <c r="D4061" s="19" t="s">
        <v>31</v>
      </c>
      <c r="E4061" s="21">
        <f t="shared" si="188"/>
        <v>1829.03</v>
      </c>
      <c r="F4061" s="22">
        <v>8.0000000000000002e-002</v>
      </c>
      <c r="G4061" s="21">
        <f t="shared" si="189"/>
        <v>1809.1900000000001</v>
      </c>
      <c r="H4061" s="22">
        <v>8.0000000000000002e-002</v>
      </c>
      <c r="I4061" s="23" t="str">
        <f t="shared" si="190"/>
        <v xml:space="preserve">COM VALOR</v>
      </c>
      <c r="J4061" s="19"/>
      <c r="L4061" s="21">
        <v>1829.03</v>
      </c>
      <c r="M4061" s="22">
        <v>0</v>
      </c>
      <c r="N4061" s="21">
        <v>1809.1900000000001</v>
      </c>
      <c r="O4061" s="22">
        <v>0</v>
      </c>
    </row>
    <row r="4062" ht="38.25">
      <c r="A4062" t="s">
        <v>4145</v>
      </c>
      <c r="B4062" s="19">
        <v>98059</v>
      </c>
      <c r="C4062" s="20" t="s">
        <v>4150</v>
      </c>
      <c r="D4062" s="19" t="s">
        <v>31</v>
      </c>
      <c r="E4062" s="21">
        <f t="shared" si="188"/>
        <v>3934.98</v>
      </c>
      <c r="F4062" s="22">
        <v>8.9999999999999997e-002</v>
      </c>
      <c r="G4062" s="21">
        <f t="shared" si="189"/>
        <v>3905.7399999999998</v>
      </c>
      <c r="H4062" s="22">
        <v>8.9999999999999997e-002</v>
      </c>
      <c r="I4062" s="23" t="str">
        <f t="shared" si="190"/>
        <v xml:space="preserve">COM VALOR</v>
      </c>
      <c r="J4062" s="19"/>
      <c r="L4062" s="21">
        <v>3934.98</v>
      </c>
      <c r="M4062" s="22">
        <v>1.e-002</v>
      </c>
      <c r="N4062" s="21">
        <v>3905.7399999999998</v>
      </c>
      <c r="O4062" s="22">
        <v>1.e-002</v>
      </c>
    </row>
    <row r="4063" ht="38.25">
      <c r="A4063" t="s">
        <v>4145</v>
      </c>
      <c r="B4063" s="19">
        <v>98060</v>
      </c>
      <c r="C4063" s="20" t="s">
        <v>4151</v>
      </c>
      <c r="D4063" s="19" t="s">
        <v>31</v>
      </c>
      <c r="E4063" s="21">
        <f t="shared" si="188"/>
        <v>5480.9399999999996</v>
      </c>
      <c r="F4063" s="22">
        <v>0.10000000000000001</v>
      </c>
      <c r="G4063" s="21">
        <f t="shared" si="189"/>
        <v>5438.4399999999996</v>
      </c>
      <c r="H4063" s="22">
        <v>0.10000000000000001</v>
      </c>
      <c r="I4063" s="23" t="str">
        <f t="shared" si="190"/>
        <v xml:space="preserve">COM VALOR</v>
      </c>
      <c r="J4063" s="19"/>
      <c r="L4063" s="21">
        <v>5480.9399999999996</v>
      </c>
      <c r="M4063" s="22">
        <v>1.e-002</v>
      </c>
      <c r="N4063" s="21">
        <v>5438.4399999999996</v>
      </c>
      <c r="O4063" s="22">
        <v>1.e-002</v>
      </c>
    </row>
    <row r="4064" ht="38.25">
      <c r="A4064" t="s">
        <v>4145</v>
      </c>
      <c r="B4064" s="19">
        <v>98061</v>
      </c>
      <c r="C4064" s="20" t="s">
        <v>4152</v>
      </c>
      <c r="D4064" s="19" t="s">
        <v>31</v>
      </c>
      <c r="E4064" s="21">
        <f t="shared" si="188"/>
        <v>7642.04</v>
      </c>
      <c r="F4064" s="22">
        <v>0</v>
      </c>
      <c r="G4064" s="21">
        <f t="shared" si="189"/>
        <v>7583.5600000000004</v>
      </c>
      <c r="H4064" s="22">
        <v>0</v>
      </c>
      <c r="I4064" s="23" t="str">
        <f t="shared" si="190"/>
        <v xml:space="preserve">COM VALOR</v>
      </c>
      <c r="J4064" s="19"/>
      <c r="L4064" s="21">
        <v>7642.04</v>
      </c>
      <c r="M4064" s="22">
        <v>1.e-002</v>
      </c>
      <c r="N4064" s="21">
        <v>7583.5600000000004</v>
      </c>
      <c r="O4064" s="22">
        <v>1.e-002</v>
      </c>
    </row>
    <row r="4065" ht="38.25">
      <c r="A4065" t="s">
        <v>4145</v>
      </c>
      <c r="B4065" s="19">
        <v>98088</v>
      </c>
      <c r="C4065" s="20" t="s">
        <v>4153</v>
      </c>
      <c r="D4065" s="19" t="s">
        <v>31</v>
      </c>
      <c r="E4065" s="21">
        <f t="shared" si="188"/>
        <v>3310.6199999999999</v>
      </c>
      <c r="F4065" s="22">
        <v>0</v>
      </c>
      <c r="G4065" s="21">
        <f t="shared" si="189"/>
        <v>3225.5700000000002</v>
      </c>
      <c r="H4065" s="22">
        <v>0</v>
      </c>
      <c r="I4065" s="23" t="str">
        <f t="shared" si="190"/>
        <v xml:space="preserve">COM VALOR</v>
      </c>
      <c r="J4065" s="19"/>
      <c r="L4065" s="21">
        <v>3310.6199999999999</v>
      </c>
      <c r="M4065" s="22">
        <v>0</v>
      </c>
      <c r="N4065" s="21">
        <v>3225.5700000000002</v>
      </c>
      <c r="O4065" s="22">
        <v>0</v>
      </c>
    </row>
    <row r="4066" ht="38.25">
      <c r="A4066" t="s">
        <v>4145</v>
      </c>
      <c r="B4066" s="19">
        <v>98089</v>
      </c>
      <c r="C4066" s="20" t="s">
        <v>4154</v>
      </c>
      <c r="D4066" s="19" t="s">
        <v>31</v>
      </c>
      <c r="E4066" s="21">
        <f t="shared" si="188"/>
        <v>5221.5799999999999</v>
      </c>
      <c r="F4066" s="22">
        <v>0</v>
      </c>
      <c r="G4066" s="21">
        <f t="shared" si="189"/>
        <v>5085.7799999999997</v>
      </c>
      <c r="H4066" s="22">
        <v>0</v>
      </c>
      <c r="I4066" s="23" t="str">
        <f t="shared" si="190"/>
        <v xml:space="preserve">COM VALOR</v>
      </c>
      <c r="J4066" s="19"/>
      <c r="L4066" s="21">
        <v>5221.5799999999999</v>
      </c>
      <c r="M4066" s="22">
        <v>1.e-002</v>
      </c>
      <c r="N4066" s="21">
        <v>5085.7799999999997</v>
      </c>
      <c r="O4066" s="22">
        <v>1.e-002</v>
      </c>
    </row>
    <row r="4067" ht="38.25">
      <c r="A4067" t="s">
        <v>4145</v>
      </c>
      <c r="B4067" s="19">
        <v>98090</v>
      </c>
      <c r="C4067" s="20" t="s">
        <v>4155</v>
      </c>
      <c r="D4067" s="19" t="s">
        <v>31</v>
      </c>
      <c r="E4067" s="21">
        <f t="shared" si="188"/>
        <v>8186.3500000000004</v>
      </c>
      <c r="F4067" s="22">
        <v>4.0000000000000001e-002</v>
      </c>
      <c r="G4067" s="21">
        <f t="shared" si="189"/>
        <v>7972.0299999999997</v>
      </c>
      <c r="H4067" s="22">
        <v>4.0000000000000001e-002</v>
      </c>
      <c r="I4067" s="23" t="str">
        <f t="shared" si="190"/>
        <v xml:space="preserve">COM VALOR</v>
      </c>
      <c r="J4067" s="19"/>
      <c r="L4067" s="21">
        <v>8186.3500000000004</v>
      </c>
      <c r="M4067" s="22">
        <v>1.e-002</v>
      </c>
      <c r="N4067" s="21">
        <v>7972.0299999999997</v>
      </c>
      <c r="O4067" s="22">
        <v>1.e-002</v>
      </c>
    </row>
    <row r="4068" ht="38.25">
      <c r="A4068" t="s">
        <v>4145</v>
      </c>
      <c r="B4068" s="19">
        <v>98091</v>
      </c>
      <c r="C4068" s="20" t="s">
        <v>4156</v>
      </c>
      <c r="D4068" s="19" t="s">
        <v>31</v>
      </c>
      <c r="E4068" s="21">
        <f t="shared" si="188"/>
        <v>10685.879999999999</v>
      </c>
      <c r="F4068" s="22">
        <v>4.0000000000000001e-002</v>
      </c>
      <c r="G4068" s="21">
        <f t="shared" si="189"/>
        <v>10405.58</v>
      </c>
      <c r="H4068" s="22">
        <v>4.0000000000000001e-002</v>
      </c>
      <c r="I4068" s="23" t="str">
        <f t="shared" si="190"/>
        <v xml:space="preserve">COM VALOR</v>
      </c>
      <c r="J4068" s="19"/>
      <c r="L4068" s="21">
        <v>10685.879999999999</v>
      </c>
      <c r="M4068" s="22">
        <v>1.e-002</v>
      </c>
      <c r="N4068" s="21">
        <v>10405.58</v>
      </c>
      <c r="O4068" s="22">
        <v>1.e-002</v>
      </c>
    </row>
    <row r="4069" ht="38.25">
      <c r="A4069" t="s">
        <v>4145</v>
      </c>
      <c r="B4069" s="19">
        <v>98092</v>
      </c>
      <c r="C4069" s="20" t="s">
        <v>4157</v>
      </c>
      <c r="D4069" s="19" t="s">
        <v>31</v>
      </c>
      <c r="E4069" s="21">
        <f t="shared" si="188"/>
        <v>12399.639999999999</v>
      </c>
      <c r="F4069" s="22">
        <v>4.0000000000000001e-002</v>
      </c>
      <c r="G4069" s="21">
        <f t="shared" si="189"/>
        <v>12073.530000000001</v>
      </c>
      <c r="H4069" s="22">
        <v>4.0000000000000001e-002</v>
      </c>
      <c r="I4069" s="23" t="str">
        <f t="shared" si="190"/>
        <v xml:space="preserve">COM VALOR</v>
      </c>
      <c r="J4069" s="19"/>
      <c r="L4069" s="21">
        <v>12399.639999999999</v>
      </c>
      <c r="M4069" s="22">
        <v>1.e-002</v>
      </c>
      <c r="N4069" s="21">
        <v>12073.530000000001</v>
      </c>
      <c r="O4069" s="22">
        <v>1.e-002</v>
      </c>
    </row>
    <row r="4070" ht="38.25">
      <c r="A4070" t="s">
        <v>4145</v>
      </c>
      <c r="B4070" s="19">
        <v>98093</v>
      </c>
      <c r="C4070" s="20" t="s">
        <v>4158</v>
      </c>
      <c r="D4070" s="19" t="s">
        <v>31</v>
      </c>
      <c r="E4070" s="21">
        <f t="shared" si="188"/>
        <v>14631.219999999999</v>
      </c>
      <c r="F4070" s="22">
        <v>4.0000000000000001e-002</v>
      </c>
      <c r="G4070" s="21">
        <f t="shared" si="189"/>
        <v>14246.15</v>
      </c>
      <c r="H4070" s="22">
        <v>5.0000000000000003e-002</v>
      </c>
      <c r="I4070" s="23" t="str">
        <f t="shared" si="190"/>
        <v xml:space="preserve">COM VALOR</v>
      </c>
      <c r="J4070" s="19"/>
      <c r="L4070" s="21">
        <v>14631.219999999999</v>
      </c>
      <c r="M4070" s="22">
        <v>1.e-002</v>
      </c>
      <c r="N4070" s="21">
        <v>14246.15</v>
      </c>
      <c r="O4070" s="22">
        <v>1.e-002</v>
      </c>
    </row>
    <row r="4071" ht="38.25">
      <c r="A4071" t="s">
        <v>4145</v>
      </c>
      <c r="B4071" s="19">
        <v>98072</v>
      </c>
      <c r="C4071" s="20" t="s">
        <v>4159</v>
      </c>
      <c r="D4071" s="19" t="s">
        <v>31</v>
      </c>
      <c r="E4071" s="21">
        <f t="shared" si="188"/>
        <v>3941.5300000000002</v>
      </c>
      <c r="F4071" s="22">
        <v>4.0000000000000001e-002</v>
      </c>
      <c r="G4071" s="21">
        <f t="shared" si="189"/>
        <v>3834.8000000000002</v>
      </c>
      <c r="H4071" s="22">
        <v>4.0000000000000001e-002</v>
      </c>
      <c r="I4071" s="23" t="str">
        <f t="shared" si="190"/>
        <v xml:space="preserve">COM VALOR</v>
      </c>
      <c r="J4071" s="19"/>
      <c r="L4071" s="21">
        <v>3941.5300000000002</v>
      </c>
      <c r="M4071" s="22">
        <v>0</v>
      </c>
      <c r="N4071" s="21">
        <v>3834.8000000000002</v>
      </c>
      <c r="O4071" s="22">
        <v>0</v>
      </c>
    </row>
    <row r="4072" ht="38.25">
      <c r="A4072" t="s">
        <v>4145</v>
      </c>
      <c r="B4072" s="19">
        <v>98073</v>
      </c>
      <c r="C4072" s="20" t="s">
        <v>4160</v>
      </c>
      <c r="D4072" s="19" t="s">
        <v>31</v>
      </c>
      <c r="E4072" s="21">
        <f t="shared" si="188"/>
        <v>6189.8400000000001</v>
      </c>
      <c r="F4072" s="22">
        <v>5.9999999999999998e-002</v>
      </c>
      <c r="G4072" s="21">
        <f t="shared" si="189"/>
        <v>6021.6099999999997</v>
      </c>
      <c r="H4072" s="22">
        <v>5.9999999999999998e-002</v>
      </c>
      <c r="I4072" s="23" t="str">
        <f t="shared" si="190"/>
        <v xml:space="preserve">COM VALOR</v>
      </c>
      <c r="J4072" s="19"/>
      <c r="L4072" s="21">
        <v>6189.8400000000001</v>
      </c>
      <c r="M4072" s="22">
        <v>0</v>
      </c>
      <c r="N4072" s="21">
        <v>6021.6099999999997</v>
      </c>
      <c r="O4072" s="22">
        <v>0</v>
      </c>
    </row>
    <row r="4073" ht="38.25">
      <c r="A4073" t="s">
        <v>4145</v>
      </c>
      <c r="B4073" s="19">
        <v>98074</v>
      </c>
      <c r="C4073" s="20" t="s">
        <v>4161</v>
      </c>
      <c r="D4073" s="19" t="s">
        <v>31</v>
      </c>
      <c r="E4073" s="21">
        <f t="shared" si="188"/>
        <v>9644.25</v>
      </c>
      <c r="F4073" s="22">
        <v>7.0000000000000007e-002</v>
      </c>
      <c r="G4073" s="21">
        <f t="shared" si="189"/>
        <v>9381.9599999999991</v>
      </c>
      <c r="H4073" s="22">
        <v>7.0000000000000007e-002</v>
      </c>
      <c r="I4073" s="23" t="str">
        <f t="shared" si="190"/>
        <v xml:space="preserve">COM VALOR</v>
      </c>
      <c r="J4073" s="19"/>
      <c r="L4073" s="21">
        <v>9644.25</v>
      </c>
      <c r="M4073" s="22">
        <v>0</v>
      </c>
      <c r="N4073" s="21">
        <v>9381.9599999999991</v>
      </c>
      <c r="O4073" s="22">
        <v>0</v>
      </c>
    </row>
    <row r="4074" ht="38.25">
      <c r="A4074" t="s">
        <v>4145</v>
      </c>
      <c r="B4074" s="19">
        <v>98075</v>
      </c>
      <c r="C4074" s="20" t="s">
        <v>4162</v>
      </c>
      <c r="D4074" s="19" t="s">
        <v>31</v>
      </c>
      <c r="E4074" s="21">
        <f t="shared" si="188"/>
        <v>12557.549999999999</v>
      </c>
      <c r="F4074" s="22">
        <v>7.0000000000000007e-002</v>
      </c>
      <c r="G4074" s="21">
        <f t="shared" si="189"/>
        <v>12216.110000000001</v>
      </c>
      <c r="H4074" s="22">
        <v>7.0000000000000007e-002</v>
      </c>
      <c r="I4074" s="23" t="str">
        <f t="shared" si="190"/>
        <v xml:space="preserve">COM VALOR</v>
      </c>
      <c r="J4074" s="19"/>
      <c r="L4074" s="21">
        <v>12557.549999999999</v>
      </c>
      <c r="M4074" s="22">
        <v>0</v>
      </c>
      <c r="N4074" s="21">
        <v>12216.110000000001</v>
      </c>
      <c r="O4074" s="22">
        <v>5.0000000000000001e-003</v>
      </c>
    </row>
    <row r="4075" ht="38.25">
      <c r="A4075" t="s">
        <v>4145</v>
      </c>
      <c r="B4075" s="19">
        <v>98076</v>
      </c>
      <c r="C4075" s="20" t="s">
        <v>4163</v>
      </c>
      <c r="D4075" s="19" t="s">
        <v>31</v>
      </c>
      <c r="E4075" s="21">
        <f t="shared" si="188"/>
        <v>14491.84</v>
      </c>
      <c r="F4075" s="22">
        <v>7.0000000000000007e-002</v>
      </c>
      <c r="G4075" s="21">
        <f t="shared" si="189"/>
        <v>14097.67</v>
      </c>
      <c r="H4075" s="22">
        <v>8.0000000000000002e-002</v>
      </c>
      <c r="I4075" s="23" t="str">
        <f t="shared" si="190"/>
        <v xml:space="preserve">COM VALOR</v>
      </c>
      <c r="J4075" s="19"/>
      <c r="L4075" s="21">
        <v>14491.84</v>
      </c>
      <c r="M4075" s="22">
        <v>1.e-002</v>
      </c>
      <c r="N4075" s="21">
        <v>14097.67</v>
      </c>
      <c r="O4075" s="22">
        <v>1.e-002</v>
      </c>
    </row>
    <row r="4076" ht="38.25">
      <c r="A4076" t="s">
        <v>4145</v>
      </c>
      <c r="B4076" s="19">
        <v>98077</v>
      </c>
      <c r="C4076" s="20" t="s">
        <v>4164</v>
      </c>
      <c r="D4076" s="19" t="s">
        <v>31</v>
      </c>
      <c r="E4076" s="21">
        <f t="shared" si="188"/>
        <v>17072.82</v>
      </c>
      <c r="F4076" s="22">
        <v>5.9999999999999998e-002</v>
      </c>
      <c r="G4076" s="21">
        <f t="shared" si="189"/>
        <v>16608.549999999999</v>
      </c>
      <c r="H4076" s="22">
        <v>5.9999999999999998e-002</v>
      </c>
      <c r="I4076" s="23" t="str">
        <f t="shared" si="190"/>
        <v xml:space="preserve">COM VALOR</v>
      </c>
      <c r="J4076" s="19"/>
      <c r="L4076" s="21">
        <v>17072.82</v>
      </c>
      <c r="M4076" s="22">
        <v>1.e-002</v>
      </c>
      <c r="N4076" s="21">
        <v>16608.549999999999</v>
      </c>
      <c r="O4076" s="22">
        <v>1.e-002</v>
      </c>
    </row>
    <row r="4077" ht="38.25">
      <c r="A4077" t="s">
        <v>4145</v>
      </c>
      <c r="B4077" s="19">
        <v>98062</v>
      </c>
      <c r="C4077" s="20" t="s">
        <v>4165</v>
      </c>
      <c r="D4077" s="19" t="s">
        <v>31</v>
      </c>
      <c r="E4077" s="21">
        <f t="shared" si="188"/>
        <v>3188.6999999999998</v>
      </c>
      <c r="F4077" s="22">
        <v>0</v>
      </c>
      <c r="G4077" s="21">
        <f t="shared" si="189"/>
        <v>3169.5300000000002</v>
      </c>
      <c r="H4077" s="22">
        <v>0</v>
      </c>
      <c r="I4077" s="23" t="str">
        <f t="shared" si="190"/>
        <v xml:space="preserve">COM VALOR</v>
      </c>
      <c r="J4077" s="19"/>
      <c r="L4077" s="21">
        <v>3188.6999999999998</v>
      </c>
      <c r="M4077" s="22">
        <v>1.e-002</v>
      </c>
      <c r="N4077" s="21">
        <v>3169.5300000000002</v>
      </c>
      <c r="O4077" s="22">
        <v>1.e-002</v>
      </c>
    </row>
    <row r="4078" ht="38.25">
      <c r="A4078" t="s">
        <v>4145</v>
      </c>
      <c r="B4078" s="19">
        <v>98063</v>
      </c>
      <c r="C4078" s="20" t="s">
        <v>4166</v>
      </c>
      <c r="D4078" s="19" t="s">
        <v>31</v>
      </c>
      <c r="E4078" s="21">
        <f t="shared" si="188"/>
        <v>4873.7600000000002</v>
      </c>
      <c r="F4078" s="22">
        <v>0</v>
      </c>
      <c r="G4078" s="21">
        <f t="shared" si="189"/>
        <v>4845.3900000000003</v>
      </c>
      <c r="H4078" s="22">
        <v>0</v>
      </c>
      <c r="I4078" s="23" t="str">
        <f t="shared" si="190"/>
        <v xml:space="preserve">COM VALOR</v>
      </c>
      <c r="J4078" s="19"/>
      <c r="L4078" s="21">
        <v>4873.7600000000002</v>
      </c>
      <c r="M4078" s="22">
        <v>1.e-002</v>
      </c>
      <c r="N4078" s="21">
        <v>4845.3900000000003</v>
      </c>
      <c r="O4078" s="22">
        <v>1.e-002</v>
      </c>
    </row>
    <row r="4079" ht="38.25">
      <c r="A4079" t="s">
        <v>4145</v>
      </c>
      <c r="B4079" s="19">
        <v>98064</v>
      </c>
      <c r="C4079" s="20" t="s">
        <v>4167</v>
      </c>
      <c r="D4079" s="19" t="s">
        <v>31</v>
      </c>
      <c r="E4079" s="21">
        <f t="shared" si="188"/>
        <v>5654.5600000000004</v>
      </c>
      <c r="F4079" s="22">
        <v>0</v>
      </c>
      <c r="G4079" s="21">
        <f t="shared" si="189"/>
        <v>5624.7299999999996</v>
      </c>
      <c r="H4079" s="22">
        <v>0</v>
      </c>
      <c r="I4079" s="23" t="str">
        <f t="shared" si="190"/>
        <v xml:space="preserve">COM VALOR</v>
      </c>
      <c r="J4079" s="19"/>
      <c r="L4079" s="21">
        <v>5654.5600000000004</v>
      </c>
      <c r="M4079" s="22">
        <v>1.e-002</v>
      </c>
      <c r="N4079" s="21">
        <v>5624.7299999999996</v>
      </c>
      <c r="O4079" s="22">
        <v>1.e-002</v>
      </c>
    </row>
    <row r="4080" ht="38.25">
      <c r="A4080" t="s">
        <v>4145</v>
      </c>
      <c r="B4080" s="19">
        <v>98065</v>
      </c>
      <c r="C4080" s="20" t="s">
        <v>4168</v>
      </c>
      <c r="D4080" s="19" t="s">
        <v>31</v>
      </c>
      <c r="E4080" s="21">
        <f t="shared" si="188"/>
        <v>7859.54</v>
      </c>
      <c r="F4080" s="22">
        <v>0</v>
      </c>
      <c r="G4080" s="21">
        <f t="shared" si="189"/>
        <v>7820.0200000000004</v>
      </c>
      <c r="H4080" s="22">
        <v>0</v>
      </c>
      <c r="I4080" s="23" t="str">
        <f t="shared" si="190"/>
        <v xml:space="preserve">COM VALOR</v>
      </c>
      <c r="J4080" s="19"/>
      <c r="L4080" s="21">
        <v>7859.54</v>
      </c>
      <c r="M4080" s="22">
        <v>1.e-002</v>
      </c>
      <c r="N4080" s="21">
        <v>7820.0200000000004</v>
      </c>
      <c r="O4080" s="22">
        <v>1.e-002</v>
      </c>
    </row>
    <row r="4081" ht="38.25">
      <c r="A4081" t="s">
        <v>4145</v>
      </c>
      <c r="B4081" s="19">
        <v>98094</v>
      </c>
      <c r="C4081" s="20" t="s">
        <v>4169</v>
      </c>
      <c r="D4081" s="19" t="s">
        <v>31</v>
      </c>
      <c r="E4081" s="21">
        <f t="shared" si="188"/>
        <v>2820.0900000000001</v>
      </c>
      <c r="F4081" s="22">
        <v>0</v>
      </c>
      <c r="G4081" s="21">
        <f t="shared" si="189"/>
        <v>2752.4699999999998</v>
      </c>
      <c r="H4081" s="22">
        <v>0</v>
      </c>
      <c r="I4081" s="23" t="str">
        <f t="shared" si="190"/>
        <v xml:space="preserve">COM VALOR</v>
      </c>
      <c r="J4081" s="19"/>
      <c r="L4081" s="21">
        <v>2820.0900000000001</v>
      </c>
      <c r="M4081" s="22">
        <v>0</v>
      </c>
      <c r="N4081" s="21">
        <v>2752.4699999999998</v>
      </c>
      <c r="O4081" s="22">
        <v>0</v>
      </c>
    </row>
    <row r="4082" ht="38.25">
      <c r="A4082" t="s">
        <v>4145</v>
      </c>
      <c r="B4082" s="19">
        <v>98099</v>
      </c>
      <c r="C4082" s="20" t="s">
        <v>4170</v>
      </c>
      <c r="D4082" s="19" t="s">
        <v>31</v>
      </c>
      <c r="E4082" s="21">
        <f t="shared" si="188"/>
        <v>4811.7399999999998</v>
      </c>
      <c r="F4082" s="22">
        <v>0</v>
      </c>
      <c r="G4082" s="21">
        <f t="shared" si="189"/>
        <v>4695.5799999999999</v>
      </c>
      <c r="H4082" s="22">
        <v>0</v>
      </c>
      <c r="I4082" s="23" t="str">
        <f t="shared" si="190"/>
        <v xml:space="preserve">COM VALOR</v>
      </c>
      <c r="J4082" s="19"/>
      <c r="L4082" s="21">
        <v>4811.7399999999998</v>
      </c>
      <c r="M4082" s="22">
        <v>0</v>
      </c>
      <c r="N4082" s="21">
        <v>4695.5799999999999</v>
      </c>
      <c r="O4082" s="22">
        <v>0</v>
      </c>
    </row>
    <row r="4083" ht="38.25">
      <c r="A4083" t="s">
        <v>4145</v>
      </c>
      <c r="B4083" s="19">
        <v>98100</v>
      </c>
      <c r="C4083" s="20" t="s">
        <v>4171</v>
      </c>
      <c r="D4083" s="19" t="s">
        <v>31</v>
      </c>
      <c r="E4083" s="21">
        <f t="shared" si="188"/>
        <v>6279.6700000000001</v>
      </c>
      <c r="F4083" s="22">
        <v>0</v>
      </c>
      <c r="G4083" s="21">
        <f t="shared" si="189"/>
        <v>6126.1999999999998</v>
      </c>
      <c r="H4083" s="22">
        <v>0</v>
      </c>
      <c r="I4083" s="23" t="str">
        <f t="shared" si="190"/>
        <v xml:space="preserve">COM VALOR</v>
      </c>
      <c r="J4083" s="19"/>
      <c r="L4083" s="21">
        <v>6279.6700000000001</v>
      </c>
      <c r="M4083" s="22">
        <v>2.5000000000000001e-003</v>
      </c>
      <c r="N4083" s="21">
        <v>6126.1999999999998</v>
      </c>
      <c r="O4083" s="22">
        <v>0</v>
      </c>
    </row>
    <row r="4084" ht="38.25">
      <c r="A4084" t="s">
        <v>4145</v>
      </c>
      <c r="B4084" s="19">
        <v>98101</v>
      </c>
      <c r="C4084" s="20" t="s">
        <v>4172</v>
      </c>
      <c r="D4084" s="19" t="s">
        <v>31</v>
      </c>
      <c r="E4084" s="21">
        <f t="shared" si="188"/>
        <v>9267.5</v>
      </c>
      <c r="F4084" s="22">
        <v>0</v>
      </c>
      <c r="G4084" s="21">
        <f t="shared" si="189"/>
        <v>9039.1299999999992</v>
      </c>
      <c r="H4084" s="22">
        <v>0</v>
      </c>
      <c r="I4084" s="23" t="str">
        <f t="shared" si="190"/>
        <v xml:space="preserve">COM VALOR</v>
      </c>
      <c r="J4084" s="19"/>
      <c r="L4084" s="21">
        <v>9267.5</v>
      </c>
      <c r="M4084" s="22">
        <v>0</v>
      </c>
      <c r="N4084" s="21">
        <v>9039.1299999999992</v>
      </c>
      <c r="O4084" s="22">
        <v>0</v>
      </c>
    </row>
    <row r="4085" ht="38.25">
      <c r="A4085" t="s">
        <v>4145</v>
      </c>
      <c r="B4085" s="19">
        <v>98078</v>
      </c>
      <c r="C4085" s="20" t="s">
        <v>4173</v>
      </c>
      <c r="D4085" s="19" t="s">
        <v>31</v>
      </c>
      <c r="E4085" s="21">
        <f t="shared" si="188"/>
        <v>4335.7700000000004</v>
      </c>
      <c r="F4085" s="22">
        <v>0</v>
      </c>
      <c r="G4085" s="21">
        <f t="shared" si="189"/>
        <v>4228.0900000000001</v>
      </c>
      <c r="H4085" s="22">
        <v>0</v>
      </c>
      <c r="I4085" s="23" t="str">
        <f t="shared" si="190"/>
        <v xml:space="preserve">COM VALOR</v>
      </c>
      <c r="J4085" s="19"/>
      <c r="L4085" s="21">
        <v>4335.7700000000004</v>
      </c>
      <c r="M4085" s="22">
        <v>0</v>
      </c>
      <c r="N4085" s="21">
        <v>4228.0900000000001</v>
      </c>
      <c r="O4085" s="22">
        <v>0</v>
      </c>
    </row>
    <row r="4086" ht="38.25">
      <c r="A4086" t="s">
        <v>4145</v>
      </c>
      <c r="B4086" s="19">
        <v>98079</v>
      </c>
      <c r="C4086" s="20" t="s">
        <v>4174</v>
      </c>
      <c r="D4086" s="19" t="s">
        <v>31</v>
      </c>
      <c r="E4086" s="21">
        <f t="shared" si="188"/>
        <v>7596.9799999999996</v>
      </c>
      <c r="F4086" s="22">
        <v>0</v>
      </c>
      <c r="G4086" s="21">
        <f t="shared" si="189"/>
        <v>7408.0500000000002</v>
      </c>
      <c r="H4086" s="22">
        <v>0</v>
      </c>
      <c r="I4086" s="23" t="str">
        <f t="shared" si="190"/>
        <v xml:space="preserve">COM VALOR</v>
      </c>
      <c r="J4086" s="19"/>
      <c r="L4086" s="21">
        <v>7596.9799999999996</v>
      </c>
      <c r="M4086" s="22">
        <v>0</v>
      </c>
      <c r="N4086" s="21">
        <v>7408.0500000000002</v>
      </c>
      <c r="O4086" s="22">
        <v>0</v>
      </c>
    </row>
    <row r="4087" ht="38.25">
      <c r="A4087" t="s">
        <v>4145</v>
      </c>
      <c r="B4087" s="19">
        <v>98080</v>
      </c>
      <c r="C4087" s="20" t="s">
        <v>4175</v>
      </c>
      <c r="D4087" s="19" t="s">
        <v>31</v>
      </c>
      <c r="E4087" s="21">
        <f t="shared" si="188"/>
        <v>9770.2900000000009</v>
      </c>
      <c r="F4087" s="22">
        <v>0</v>
      </c>
      <c r="G4087" s="21">
        <f t="shared" si="189"/>
        <v>9525.8600000000006</v>
      </c>
      <c r="H4087" s="22">
        <v>0</v>
      </c>
      <c r="I4087" s="23" t="str">
        <f t="shared" si="190"/>
        <v xml:space="preserve">COM VALOR</v>
      </c>
      <c r="J4087" s="19"/>
      <c r="L4087" s="21">
        <v>9770.2900000000009</v>
      </c>
      <c r="M4087" s="22">
        <v>0</v>
      </c>
      <c r="N4087" s="21">
        <v>9525.8600000000006</v>
      </c>
      <c r="O4087" s="22">
        <v>0</v>
      </c>
    </row>
    <row r="4088" ht="38.25">
      <c r="A4088" t="s">
        <v>4145</v>
      </c>
      <c r="B4088" s="19">
        <v>98081</v>
      </c>
      <c r="C4088" s="20" t="s">
        <v>4176</v>
      </c>
      <c r="D4088" s="19" t="s">
        <v>31</v>
      </c>
      <c r="E4088" s="21">
        <f t="shared" si="188"/>
        <v>14475.58</v>
      </c>
      <c r="F4088" s="22">
        <v>0</v>
      </c>
      <c r="G4088" s="21">
        <f t="shared" si="189"/>
        <v>14112.309999999999</v>
      </c>
      <c r="H4088" s="22">
        <v>0</v>
      </c>
      <c r="I4088" s="23" t="str">
        <f t="shared" si="190"/>
        <v xml:space="preserve">COM VALOR</v>
      </c>
      <c r="J4088" s="19"/>
      <c r="L4088" s="21">
        <v>14475.58</v>
      </c>
      <c r="M4088" s="22">
        <v>0</v>
      </c>
      <c r="N4088" s="21">
        <v>14112.309999999999</v>
      </c>
      <c r="O4088" s="22">
        <v>0</v>
      </c>
    </row>
    <row r="4089" ht="38.25">
      <c r="A4089" t="s">
        <v>4145</v>
      </c>
      <c r="B4089" s="19">
        <v>98052</v>
      </c>
      <c r="C4089" s="20" t="s">
        <v>4177</v>
      </c>
      <c r="D4089" s="19" t="s">
        <v>31</v>
      </c>
      <c r="E4089" s="21">
        <f t="shared" si="188"/>
        <v>2159.4899999999998</v>
      </c>
      <c r="F4089" s="22">
        <v>0</v>
      </c>
      <c r="G4089" s="21">
        <f t="shared" si="189"/>
        <v>2142.4699999999998</v>
      </c>
      <c r="H4089" s="22">
        <v>0</v>
      </c>
      <c r="I4089" s="23" t="str">
        <f t="shared" si="190"/>
        <v xml:space="preserve">COM VALOR</v>
      </c>
      <c r="J4089" s="19"/>
      <c r="L4089" s="21">
        <v>2159.4899999999998</v>
      </c>
      <c r="M4089" s="22">
        <v>0</v>
      </c>
      <c r="N4089" s="21">
        <v>2142.4699999999998</v>
      </c>
      <c r="O4089" s="22">
        <v>0</v>
      </c>
    </row>
    <row r="4090" ht="38.25">
      <c r="A4090" t="s">
        <v>4145</v>
      </c>
      <c r="B4090" s="19">
        <v>98053</v>
      </c>
      <c r="C4090" s="20" t="s">
        <v>4178</v>
      </c>
      <c r="D4090" s="19" t="s">
        <v>31</v>
      </c>
      <c r="E4090" s="21">
        <f t="shared" si="188"/>
        <v>2969.27</v>
      </c>
      <c r="F4090" s="22">
        <v>0</v>
      </c>
      <c r="G4090" s="21">
        <f t="shared" si="189"/>
        <v>2946.4400000000001</v>
      </c>
      <c r="H4090" s="22">
        <v>0</v>
      </c>
      <c r="I4090" s="23" t="str">
        <f t="shared" si="190"/>
        <v xml:space="preserve">COM VALOR</v>
      </c>
      <c r="J4090" s="19"/>
      <c r="L4090" s="21">
        <v>2969.27</v>
      </c>
      <c r="M4090" s="22">
        <v>0</v>
      </c>
      <c r="N4090" s="21">
        <v>2946.4400000000001</v>
      </c>
      <c r="O4090" s="22">
        <v>0</v>
      </c>
    </row>
    <row r="4091" ht="38.25">
      <c r="A4091" t="s">
        <v>4145</v>
      </c>
      <c r="B4091" s="19">
        <v>98054</v>
      </c>
      <c r="C4091" s="20" t="s">
        <v>4179</v>
      </c>
      <c r="D4091" s="19" t="s">
        <v>31</v>
      </c>
      <c r="E4091" s="21">
        <f t="shared" si="188"/>
        <v>4839.1700000000001</v>
      </c>
      <c r="F4091" s="22">
        <v>0</v>
      </c>
      <c r="G4091" s="21">
        <f t="shared" si="189"/>
        <v>4815.1400000000003</v>
      </c>
      <c r="H4091" s="22">
        <v>0</v>
      </c>
      <c r="I4091" s="23" t="str">
        <f t="shared" si="190"/>
        <v xml:space="preserve">COM VALOR</v>
      </c>
      <c r="J4091" s="19"/>
      <c r="L4091" s="21">
        <v>4839.1700000000001</v>
      </c>
      <c r="M4091" s="22">
        <v>1.e-002</v>
      </c>
      <c r="N4091" s="21">
        <v>4815.1400000000003</v>
      </c>
      <c r="O4091" s="22">
        <v>1.e-002</v>
      </c>
    </row>
    <row r="4092" ht="38.25">
      <c r="A4092" t="s">
        <v>4145</v>
      </c>
      <c r="B4092" s="19">
        <v>98055</v>
      </c>
      <c r="C4092" s="20" t="s">
        <v>4180</v>
      </c>
      <c r="D4092" s="19" t="s">
        <v>31</v>
      </c>
      <c r="E4092" s="21">
        <f t="shared" si="188"/>
        <v>6572.0900000000001</v>
      </c>
      <c r="F4092" s="22">
        <v>0</v>
      </c>
      <c r="G4092" s="21">
        <f t="shared" si="189"/>
        <v>6539.0900000000001</v>
      </c>
      <c r="H4092" s="22">
        <v>0</v>
      </c>
      <c r="I4092" s="23" t="str">
        <f t="shared" si="190"/>
        <v xml:space="preserve">COM VALOR</v>
      </c>
      <c r="J4092" s="19"/>
      <c r="L4092" s="21">
        <v>6572.0900000000001</v>
      </c>
      <c r="M4092" s="22">
        <v>1.e-002</v>
      </c>
      <c r="N4092" s="21">
        <v>6539.0900000000001</v>
      </c>
      <c r="O4092" s="22">
        <v>1.e-002</v>
      </c>
    </row>
    <row r="4093" ht="38.25">
      <c r="A4093" t="s">
        <v>4145</v>
      </c>
      <c r="B4093" s="19">
        <v>98056</v>
      </c>
      <c r="C4093" s="20" t="s">
        <v>4181</v>
      </c>
      <c r="D4093" s="19" t="s">
        <v>31</v>
      </c>
      <c r="E4093" s="21">
        <f t="shared" si="188"/>
        <v>7691.6199999999999</v>
      </c>
      <c r="F4093" s="22">
        <v>0</v>
      </c>
      <c r="G4093" s="21">
        <f t="shared" si="189"/>
        <v>7656.2700000000004</v>
      </c>
      <c r="H4093" s="22">
        <v>0</v>
      </c>
      <c r="I4093" s="23" t="str">
        <f t="shared" si="190"/>
        <v xml:space="preserve">COM VALOR</v>
      </c>
      <c r="J4093" s="19"/>
      <c r="L4093" s="21">
        <v>7691.6199999999999</v>
      </c>
      <c r="M4093" s="22">
        <v>1.e-002</v>
      </c>
      <c r="N4093" s="21">
        <v>7656.2700000000004</v>
      </c>
      <c r="O4093" s="22">
        <v>1.e-002</v>
      </c>
    </row>
    <row r="4094" ht="38.25">
      <c r="A4094" t="s">
        <v>4145</v>
      </c>
      <c r="B4094" s="19">
        <v>98057</v>
      </c>
      <c r="C4094" s="20" t="s">
        <v>4182</v>
      </c>
      <c r="D4094" s="19" t="s">
        <v>31</v>
      </c>
      <c r="E4094" s="21">
        <f t="shared" si="188"/>
        <v>9136.4899999999998</v>
      </c>
      <c r="F4094" s="22">
        <v>0</v>
      </c>
      <c r="G4094" s="21">
        <f t="shared" si="189"/>
        <v>9092.9300000000003</v>
      </c>
      <c r="H4094" s="22">
        <v>0</v>
      </c>
      <c r="I4094" s="23" t="str">
        <f t="shared" si="190"/>
        <v xml:space="preserve">COM VALOR</v>
      </c>
      <c r="J4094" s="19"/>
      <c r="L4094" s="21">
        <v>9136.4899999999998</v>
      </c>
      <c r="M4094" s="22">
        <v>1.e-002</v>
      </c>
      <c r="N4094" s="21">
        <v>9092.9300000000003</v>
      </c>
      <c r="O4094" s="22">
        <v>1.e-002</v>
      </c>
    </row>
    <row r="4095" ht="38.25">
      <c r="A4095" t="s">
        <v>4145</v>
      </c>
      <c r="B4095" s="19">
        <v>98082</v>
      </c>
      <c r="C4095" s="20" t="s">
        <v>4183</v>
      </c>
      <c r="D4095" s="19" t="s">
        <v>31</v>
      </c>
      <c r="E4095" s="21">
        <f t="shared" si="188"/>
        <v>3833.7800000000002</v>
      </c>
      <c r="F4095" s="22">
        <v>0</v>
      </c>
      <c r="G4095" s="21">
        <f t="shared" si="189"/>
        <v>3734.3299999999999</v>
      </c>
      <c r="H4095" s="22">
        <v>0</v>
      </c>
      <c r="I4095" s="23" t="str">
        <f t="shared" si="190"/>
        <v xml:space="preserve">COM VALOR</v>
      </c>
      <c r="J4095" s="19"/>
      <c r="L4095" s="21">
        <v>3833.7800000000002</v>
      </c>
      <c r="M4095" s="22">
        <v>5.0000000000000001e-003</v>
      </c>
      <c r="N4095" s="21">
        <v>3734.3299999999999</v>
      </c>
      <c r="O4095" s="22">
        <v>1.e-002</v>
      </c>
    </row>
    <row r="4096" ht="38.25">
      <c r="A4096" t="s">
        <v>4145</v>
      </c>
      <c r="B4096" s="19">
        <v>98083</v>
      </c>
      <c r="C4096" s="20" t="s">
        <v>4184</v>
      </c>
      <c r="D4096" s="19" t="s">
        <v>31</v>
      </c>
      <c r="E4096" s="21">
        <f t="shared" si="188"/>
        <v>5057.5600000000004</v>
      </c>
      <c r="F4096" s="22">
        <v>0</v>
      </c>
      <c r="G4096" s="21">
        <f t="shared" si="189"/>
        <v>4925.3800000000001</v>
      </c>
      <c r="H4096" s="22">
        <v>0</v>
      </c>
      <c r="I4096" s="23" t="str">
        <f t="shared" si="190"/>
        <v xml:space="preserve">COM VALOR</v>
      </c>
      <c r="J4096" s="19"/>
      <c r="L4096" s="21">
        <v>5057.5600000000004</v>
      </c>
      <c r="M4096" s="22">
        <v>0</v>
      </c>
      <c r="N4096" s="21">
        <v>4925.3800000000001</v>
      </c>
      <c r="O4096" s="22">
        <v>1.e-002</v>
      </c>
    </row>
    <row r="4097" ht="38.25">
      <c r="A4097" t="s">
        <v>4145</v>
      </c>
      <c r="B4097" s="19">
        <v>98084</v>
      </c>
      <c r="C4097" s="20" t="s">
        <v>4185</v>
      </c>
      <c r="D4097" s="19" t="s">
        <v>31</v>
      </c>
      <c r="E4097" s="21">
        <f t="shared" si="188"/>
        <v>7090.1899999999996</v>
      </c>
      <c r="F4097" s="22">
        <v>0</v>
      </c>
      <c r="G4097" s="21">
        <f t="shared" si="189"/>
        <v>6903.21</v>
      </c>
      <c r="H4097" s="22">
        <v>0</v>
      </c>
      <c r="I4097" s="23" t="str">
        <f t="shared" si="190"/>
        <v xml:space="preserve">COM VALOR</v>
      </c>
      <c r="J4097" s="19"/>
      <c r="L4097" s="21">
        <v>7090.1899999999996</v>
      </c>
      <c r="M4097" s="22">
        <v>5.0000000000000001e-003</v>
      </c>
      <c r="N4097" s="21">
        <v>6903.21</v>
      </c>
      <c r="O4097" s="22">
        <v>1.e-002</v>
      </c>
    </row>
    <row r="4098" ht="38.25">
      <c r="A4098" t="s">
        <v>4145</v>
      </c>
      <c r="B4098" s="19">
        <v>98085</v>
      </c>
      <c r="C4098" s="20" t="s">
        <v>4186</v>
      </c>
      <c r="D4098" s="19" t="s">
        <v>31</v>
      </c>
      <c r="E4098" s="21">
        <f t="shared" si="188"/>
        <v>9596.5599999999995</v>
      </c>
      <c r="F4098" s="22">
        <v>0</v>
      </c>
      <c r="G4098" s="21">
        <f t="shared" si="189"/>
        <v>9340.9099999999999</v>
      </c>
      <c r="H4098" s="22">
        <v>0</v>
      </c>
      <c r="I4098" s="23" t="str">
        <f t="shared" si="190"/>
        <v xml:space="preserve">COM VALOR</v>
      </c>
      <c r="J4098" s="19"/>
      <c r="L4098" s="21">
        <v>9596.5599999999995</v>
      </c>
      <c r="M4098" s="22">
        <v>1.e-002</v>
      </c>
      <c r="N4098" s="21">
        <v>9340.9099999999999</v>
      </c>
      <c r="O4098" s="22">
        <v>1.e-002</v>
      </c>
    </row>
    <row r="4099" ht="38.25">
      <c r="A4099" t="s">
        <v>4145</v>
      </c>
      <c r="B4099" s="19">
        <v>98087</v>
      </c>
      <c r="C4099" s="20" t="s">
        <v>4187</v>
      </c>
      <c r="D4099" s="19" t="s">
        <v>31</v>
      </c>
      <c r="E4099" s="21">
        <f t="shared" si="188"/>
        <v>11603.780000000001</v>
      </c>
      <c r="F4099" s="22">
        <v>0</v>
      </c>
      <c r="G4099" s="21">
        <f t="shared" si="189"/>
        <v>11296.030000000001</v>
      </c>
      <c r="H4099" s="22">
        <v>0</v>
      </c>
      <c r="I4099" s="23" t="str">
        <f t="shared" si="190"/>
        <v xml:space="preserve">COM VALOR</v>
      </c>
      <c r="J4099" s="19"/>
      <c r="L4099" s="21">
        <v>11603.780000000001</v>
      </c>
      <c r="M4099" s="22">
        <v>0</v>
      </c>
      <c r="N4099" s="21">
        <v>11296.030000000001</v>
      </c>
      <c r="O4099" s="22">
        <v>0</v>
      </c>
    </row>
    <row r="4100" ht="38.25">
      <c r="A4100" t="s">
        <v>4145</v>
      </c>
      <c r="B4100" s="19">
        <v>98086</v>
      </c>
      <c r="C4100" s="20" t="s">
        <v>4188</v>
      </c>
      <c r="D4100" s="19" t="s">
        <v>31</v>
      </c>
      <c r="E4100" s="21">
        <f t="shared" si="188"/>
        <v>10845.049999999999</v>
      </c>
      <c r="F4100" s="22">
        <v>0</v>
      </c>
      <c r="G4100" s="21">
        <f t="shared" si="189"/>
        <v>10556.27</v>
      </c>
      <c r="H4100" s="22">
        <v>0</v>
      </c>
      <c r="I4100" s="23" t="str">
        <f t="shared" si="190"/>
        <v xml:space="preserve">COM VALOR</v>
      </c>
      <c r="J4100" s="19"/>
      <c r="L4100" s="21">
        <v>10845.049999999999</v>
      </c>
      <c r="M4100" s="22">
        <v>1.e-002</v>
      </c>
      <c r="N4100" s="21">
        <v>10556.27</v>
      </c>
      <c r="O4100" s="22">
        <v>1.e-002</v>
      </c>
    </row>
    <row r="4101" ht="38.25">
      <c r="A4101" t="s">
        <v>4145</v>
      </c>
      <c r="B4101" s="19">
        <v>98066</v>
      </c>
      <c r="C4101" s="20" t="s">
        <v>4189</v>
      </c>
      <c r="D4101" s="19" t="s">
        <v>31</v>
      </c>
      <c r="E4101" s="21">
        <f t="shared" si="188"/>
        <v>4691.6199999999999</v>
      </c>
      <c r="F4101" s="22">
        <v>0</v>
      </c>
      <c r="G4101" s="21">
        <f t="shared" si="189"/>
        <v>4565.5500000000002</v>
      </c>
      <c r="H4101" s="22">
        <v>0</v>
      </c>
      <c r="I4101" s="23" t="str">
        <f t="shared" si="190"/>
        <v xml:space="preserve">COM VALOR</v>
      </c>
      <c r="J4101" s="19"/>
      <c r="L4101" s="21">
        <v>4691.6199999999999</v>
      </c>
      <c r="M4101" s="22">
        <v>0</v>
      </c>
      <c r="N4101" s="21">
        <v>4565.5500000000002</v>
      </c>
      <c r="O4101" s="22">
        <v>0</v>
      </c>
    </row>
    <row r="4102" ht="38.25">
      <c r="A4102" t="s">
        <v>4145</v>
      </c>
      <c r="B4102" s="19">
        <v>98067</v>
      </c>
      <c r="C4102" s="20" t="s">
        <v>4190</v>
      </c>
      <c r="D4102" s="19" t="s">
        <v>31</v>
      </c>
      <c r="E4102" s="21">
        <f t="shared" si="188"/>
        <v>6255.7600000000002</v>
      </c>
      <c r="F4102" s="22">
        <v>0</v>
      </c>
      <c r="G4102" s="21">
        <f t="shared" si="189"/>
        <v>6087.0900000000001</v>
      </c>
      <c r="H4102" s="22">
        <v>0</v>
      </c>
      <c r="I4102" s="23" t="str">
        <f t="shared" si="190"/>
        <v xml:space="preserve">COM VALOR</v>
      </c>
      <c r="J4102" s="19"/>
      <c r="L4102" s="21">
        <v>6255.7600000000002</v>
      </c>
      <c r="M4102" s="22">
        <v>0</v>
      </c>
      <c r="N4102" s="21">
        <v>6087.0900000000001</v>
      </c>
      <c r="O4102" s="22">
        <v>0</v>
      </c>
    </row>
    <row r="4103" ht="38.25">
      <c r="A4103" t="s">
        <v>4145</v>
      </c>
      <c r="B4103" s="19">
        <v>98068</v>
      </c>
      <c r="C4103" s="20" t="s">
        <v>4191</v>
      </c>
      <c r="D4103" s="19" t="s">
        <v>31</v>
      </c>
      <c r="E4103" s="21">
        <f t="shared" si="188"/>
        <v>8839.4599999999991</v>
      </c>
      <c r="F4103" s="22">
        <v>0</v>
      </c>
      <c r="G4103" s="21">
        <f t="shared" si="189"/>
        <v>8600.1200000000008</v>
      </c>
      <c r="H4103" s="22">
        <v>0</v>
      </c>
      <c r="I4103" s="23" t="str">
        <f t="shared" si="190"/>
        <v xml:space="preserve">COM VALOR</v>
      </c>
      <c r="J4103" s="19"/>
      <c r="L4103" s="21">
        <v>8839.4599999999991</v>
      </c>
      <c r="M4103" s="22">
        <v>0</v>
      </c>
      <c r="N4103" s="21">
        <v>8600.1200000000008</v>
      </c>
      <c r="O4103" s="22">
        <v>0</v>
      </c>
    </row>
    <row r="4104" ht="38.25">
      <c r="A4104" t="s">
        <v>4145</v>
      </c>
      <c r="B4104" s="19">
        <v>98069</v>
      </c>
      <c r="C4104" s="20" t="s">
        <v>4192</v>
      </c>
      <c r="D4104" s="19" t="s">
        <v>31</v>
      </c>
      <c r="E4104" s="21">
        <f t="shared" si="188"/>
        <v>11889.42</v>
      </c>
      <c r="F4104" s="22">
        <v>0</v>
      </c>
      <c r="G4104" s="21">
        <f t="shared" si="189"/>
        <v>11565.540000000001</v>
      </c>
      <c r="H4104" s="22">
        <v>0</v>
      </c>
      <c r="I4104" s="23" t="str">
        <f t="shared" si="190"/>
        <v xml:space="preserve">COM VALOR</v>
      </c>
      <c r="J4104" s="19"/>
      <c r="L4104" s="21">
        <v>11889.42</v>
      </c>
      <c r="M4104" s="22">
        <v>0</v>
      </c>
      <c r="N4104" s="21">
        <v>11565.540000000001</v>
      </c>
      <c r="O4104" s="22">
        <v>0</v>
      </c>
    </row>
    <row r="4105" ht="38.25">
      <c r="A4105" t="s">
        <v>4145</v>
      </c>
      <c r="B4105" s="19">
        <v>98071</v>
      </c>
      <c r="C4105" s="20" t="s">
        <v>4193</v>
      </c>
      <c r="D4105" s="19" t="s">
        <v>31</v>
      </c>
      <c r="E4105" s="21">
        <f t="shared" si="188"/>
        <v>14820.440000000001</v>
      </c>
      <c r="F4105" s="22">
        <v>0</v>
      </c>
      <c r="G4105" s="21">
        <f t="shared" si="189"/>
        <v>14418.780000000001</v>
      </c>
      <c r="H4105" s="22">
        <v>0</v>
      </c>
      <c r="I4105" s="23" t="str">
        <f t="shared" si="190"/>
        <v xml:space="preserve">COM VALOR</v>
      </c>
      <c r="J4105" s="19"/>
      <c r="L4105" s="21">
        <v>14820.440000000001</v>
      </c>
      <c r="M4105" s="22">
        <v>0</v>
      </c>
      <c r="N4105" s="21">
        <v>14418.780000000001</v>
      </c>
      <c r="O4105" s="22">
        <v>0</v>
      </c>
    </row>
    <row r="4106" ht="38.25">
      <c r="A4106" t="s">
        <v>4145</v>
      </c>
      <c r="B4106" s="19">
        <v>98070</v>
      </c>
      <c r="C4106" s="20" t="s">
        <v>4194</v>
      </c>
      <c r="D4106" s="19" t="s">
        <v>31</v>
      </c>
      <c r="E4106" s="21">
        <f t="shared" si="188"/>
        <v>13584.4</v>
      </c>
      <c r="F4106" s="22">
        <v>0</v>
      </c>
      <c r="G4106" s="21">
        <f t="shared" si="189"/>
        <v>13214.809999999999</v>
      </c>
      <c r="H4106" s="22">
        <v>0</v>
      </c>
      <c r="I4106" s="23" t="str">
        <f t="shared" si="190"/>
        <v xml:space="preserve">COM VALOR</v>
      </c>
      <c r="J4106" s="19"/>
      <c r="L4106" s="21">
        <v>13584.4</v>
      </c>
      <c r="M4106" s="22">
        <v>0</v>
      </c>
      <c r="N4106" s="21">
        <v>13214.809999999999</v>
      </c>
      <c r="O4106" s="22">
        <v>0</v>
      </c>
    </row>
    <row r="4107" ht="25.5">
      <c r="A4107" t="s">
        <v>4195</v>
      </c>
      <c r="B4107" s="19">
        <v>104915</v>
      </c>
      <c r="C4107" s="20" t="s">
        <v>4196</v>
      </c>
      <c r="D4107" s="19" t="s">
        <v>302</v>
      </c>
      <c r="E4107" s="21">
        <f t="shared" ref="E4107:E4170" si="191">IF(L4107=0,"VERIFICAR",L4107)</f>
        <v>9.7899999999999991</v>
      </c>
      <c r="F4107" s="22">
        <v>0</v>
      </c>
      <c r="G4107" s="21">
        <f t="shared" ref="G4107:G4170" si="192">IF(N4107=0,"VERIFICAR",N4107)</f>
        <v>9.7699999999999996</v>
      </c>
      <c r="H4107" s="22">
        <v>0</v>
      </c>
      <c r="I4107" s="23" t="str">
        <f t="shared" ref="I4107:I4170" si="193">IF(OR(E4107=0,G4107=0),"SEM VALOR","COM VALOR")</f>
        <v xml:space="preserve">COM VALOR</v>
      </c>
      <c r="J4107" s="19"/>
      <c r="L4107" s="21">
        <v>9.7899999999999991</v>
      </c>
      <c r="M4107" s="22">
        <v>0</v>
      </c>
      <c r="N4107" s="21">
        <v>9.7699999999999996</v>
      </c>
      <c r="O4107" s="22">
        <v>0</v>
      </c>
    </row>
    <row r="4108" ht="25.5">
      <c r="A4108" t="s">
        <v>4195</v>
      </c>
      <c r="B4108" s="19">
        <v>96546</v>
      </c>
      <c r="C4108" s="20" t="s">
        <v>4197</v>
      </c>
      <c r="D4108" s="19" t="s">
        <v>302</v>
      </c>
      <c r="E4108" s="21">
        <f t="shared" si="191"/>
        <v>13.77</v>
      </c>
      <c r="F4108" s="22">
        <v>0</v>
      </c>
      <c r="G4108" s="21">
        <f t="shared" si="192"/>
        <v>13.51</v>
      </c>
      <c r="H4108" s="22">
        <v>0</v>
      </c>
      <c r="I4108" s="23" t="str">
        <f t="shared" si="193"/>
        <v xml:space="preserve">COM VALOR</v>
      </c>
      <c r="J4108" s="19"/>
      <c r="L4108" s="21">
        <v>13.77</v>
      </c>
      <c r="M4108" s="22">
        <v>1.e-002</v>
      </c>
      <c r="N4108" s="21">
        <v>13.51</v>
      </c>
      <c r="O4108" s="22">
        <v>1.e-002</v>
      </c>
    </row>
    <row r="4109" ht="25.5">
      <c r="A4109" t="s">
        <v>4195</v>
      </c>
      <c r="B4109" s="19">
        <v>96544</v>
      </c>
      <c r="C4109" s="20" t="s">
        <v>4198</v>
      </c>
      <c r="D4109" s="19" t="s">
        <v>302</v>
      </c>
      <c r="E4109" s="21">
        <f t="shared" si="191"/>
        <v>17.699999999999999</v>
      </c>
      <c r="F4109" s="22">
        <v>0</v>
      </c>
      <c r="G4109" s="21">
        <f t="shared" si="192"/>
        <v>17.23</v>
      </c>
      <c r="H4109" s="22">
        <v>0</v>
      </c>
      <c r="I4109" s="23" t="str">
        <f t="shared" si="193"/>
        <v xml:space="preserve">COM VALOR</v>
      </c>
      <c r="J4109" s="19"/>
      <c r="L4109" s="21">
        <v>17.699999999999999</v>
      </c>
      <c r="M4109" s="22">
        <v>1.e-002</v>
      </c>
      <c r="N4109" s="21">
        <v>17.23</v>
      </c>
      <c r="O4109" s="22">
        <v>1.e-002</v>
      </c>
    </row>
    <row r="4110" ht="25.5">
      <c r="A4110" t="s">
        <v>4195</v>
      </c>
      <c r="B4110" s="19">
        <v>96545</v>
      </c>
      <c r="C4110" s="20" t="s">
        <v>4199</v>
      </c>
      <c r="D4110" s="19" t="s">
        <v>302</v>
      </c>
      <c r="E4110" s="21">
        <f t="shared" si="191"/>
        <v>15.82</v>
      </c>
      <c r="F4110" s="22">
        <v>0</v>
      </c>
      <c r="G4110" s="21">
        <f t="shared" si="192"/>
        <v>15.48</v>
      </c>
      <c r="H4110" s="22">
        <v>0</v>
      </c>
      <c r="I4110" s="23" t="str">
        <f t="shared" si="193"/>
        <v xml:space="preserve">COM VALOR</v>
      </c>
      <c r="J4110" s="19"/>
      <c r="L4110" s="21">
        <v>15.82</v>
      </c>
      <c r="M4110" s="22">
        <v>1.e-002</v>
      </c>
      <c r="N4110" s="21">
        <v>15.48</v>
      </c>
      <c r="O4110" s="22">
        <v>1.e-002</v>
      </c>
    </row>
    <row r="4111" ht="25.5">
      <c r="A4111" t="s">
        <v>4195</v>
      </c>
      <c r="B4111" s="19">
        <v>96543</v>
      </c>
      <c r="C4111" s="20" t="s">
        <v>4200</v>
      </c>
      <c r="D4111" s="19" t="s">
        <v>302</v>
      </c>
      <c r="E4111" s="21">
        <f t="shared" si="191"/>
        <v>19.829999999999998</v>
      </c>
      <c r="F4111" s="22">
        <v>0</v>
      </c>
      <c r="G4111" s="21">
        <f t="shared" si="192"/>
        <v>19.210000000000001</v>
      </c>
      <c r="H4111" s="22">
        <v>0</v>
      </c>
      <c r="I4111" s="23" t="str">
        <f t="shared" si="193"/>
        <v xml:space="preserve">COM VALOR</v>
      </c>
      <c r="J4111" s="19"/>
      <c r="L4111" s="21">
        <v>19.829999999999998</v>
      </c>
      <c r="M4111" s="22">
        <v>1.e-002</v>
      </c>
      <c r="N4111" s="21">
        <v>19.210000000000001</v>
      </c>
      <c r="O4111" s="22">
        <v>1.e-002</v>
      </c>
    </row>
    <row r="4112" ht="25.5">
      <c r="A4112" t="s">
        <v>4195</v>
      </c>
      <c r="B4112" s="19">
        <v>104922</v>
      </c>
      <c r="C4112" s="20" t="s">
        <v>4201</v>
      </c>
      <c r="D4112" s="19" t="s">
        <v>302</v>
      </c>
      <c r="E4112" s="21">
        <f t="shared" si="191"/>
        <v>10.83</v>
      </c>
      <c r="F4112" s="22">
        <v>0</v>
      </c>
      <c r="G4112" s="21">
        <f t="shared" si="192"/>
        <v>10.75</v>
      </c>
      <c r="H4112" s="22">
        <v>0</v>
      </c>
      <c r="I4112" s="23" t="str">
        <f t="shared" si="193"/>
        <v xml:space="preserve">COM VALOR</v>
      </c>
      <c r="J4112" s="19"/>
      <c r="L4112" s="21">
        <v>10.83</v>
      </c>
      <c r="M4112" s="22">
        <v>0</v>
      </c>
      <c r="N4112" s="21">
        <v>10.75</v>
      </c>
      <c r="O4112" s="22">
        <v>0</v>
      </c>
    </row>
    <row r="4113" ht="25.5">
      <c r="A4113" t="s">
        <v>4195</v>
      </c>
      <c r="B4113" s="19">
        <v>104920</v>
      </c>
      <c r="C4113" s="20" t="s">
        <v>4202</v>
      </c>
      <c r="D4113" s="19" t="s">
        <v>302</v>
      </c>
      <c r="E4113" s="21">
        <f t="shared" si="191"/>
        <v>10.529999999999999</v>
      </c>
      <c r="F4113" s="22">
        <v>0</v>
      </c>
      <c r="G4113" s="21">
        <f t="shared" si="192"/>
        <v>10.380000000000001</v>
      </c>
      <c r="H4113" s="22">
        <v>0</v>
      </c>
      <c r="I4113" s="23" t="str">
        <f t="shared" si="193"/>
        <v xml:space="preserve">COM VALOR</v>
      </c>
      <c r="J4113" s="19"/>
      <c r="L4113" s="21">
        <v>10.529999999999999</v>
      </c>
      <c r="M4113" s="22">
        <v>1.e-002</v>
      </c>
      <c r="N4113" s="21">
        <v>10.380000000000001</v>
      </c>
      <c r="O4113" s="22">
        <v>1.e-002</v>
      </c>
    </row>
    <row r="4114" ht="25.5">
      <c r="A4114" t="s">
        <v>4195</v>
      </c>
      <c r="B4114" s="19">
        <v>104921</v>
      </c>
      <c r="C4114" s="20" t="s">
        <v>4203</v>
      </c>
      <c r="D4114" s="19" t="s">
        <v>302</v>
      </c>
      <c r="E4114" s="21">
        <f t="shared" si="191"/>
        <v>9.8800000000000008</v>
      </c>
      <c r="F4114" s="22">
        <v>0</v>
      </c>
      <c r="G4114" s="21">
        <f t="shared" si="192"/>
        <v>9.7699999999999996</v>
      </c>
      <c r="H4114" s="22">
        <v>0</v>
      </c>
      <c r="I4114" s="23" t="str">
        <f t="shared" si="193"/>
        <v xml:space="preserve">COM VALOR</v>
      </c>
      <c r="J4114" s="19"/>
      <c r="L4114" s="21">
        <v>9.8800000000000008</v>
      </c>
      <c r="M4114" s="22">
        <v>1.e-002</v>
      </c>
      <c r="N4114" s="21">
        <v>9.7699999999999996</v>
      </c>
      <c r="O4114" s="22">
        <v>1.e-002</v>
      </c>
    </row>
    <row r="4115" ht="25.5">
      <c r="A4115" t="s">
        <v>4195</v>
      </c>
      <c r="B4115" s="19">
        <v>104919</v>
      </c>
      <c r="C4115" s="20" t="s">
        <v>4204</v>
      </c>
      <c r="D4115" s="19" t="s">
        <v>302</v>
      </c>
      <c r="E4115" s="21">
        <f t="shared" si="191"/>
        <v>12.449999999999999</v>
      </c>
      <c r="F4115" s="22">
        <v>0</v>
      </c>
      <c r="G4115" s="21">
        <f t="shared" si="192"/>
        <v>12.27</v>
      </c>
      <c r="H4115" s="22">
        <v>0</v>
      </c>
      <c r="I4115" s="23" t="str">
        <f t="shared" si="193"/>
        <v xml:space="preserve">COM VALOR</v>
      </c>
      <c r="J4115" s="19"/>
      <c r="L4115" s="21">
        <v>12.449999999999999</v>
      </c>
      <c r="M4115" s="22">
        <v>1.e-002</v>
      </c>
      <c r="N4115" s="21">
        <v>12.27</v>
      </c>
      <c r="O4115" s="22">
        <v>1.e-002</v>
      </c>
    </row>
    <row r="4116" ht="25.5">
      <c r="A4116" t="s">
        <v>4195</v>
      </c>
      <c r="B4116" s="19">
        <v>104917</v>
      </c>
      <c r="C4116" s="20" t="s">
        <v>4205</v>
      </c>
      <c r="D4116" s="19" t="s">
        <v>302</v>
      </c>
      <c r="E4116" s="21">
        <f t="shared" si="191"/>
        <v>15.23</v>
      </c>
      <c r="F4116" s="22">
        <v>0</v>
      </c>
      <c r="G4116" s="21">
        <f t="shared" si="192"/>
        <v>14.91</v>
      </c>
      <c r="H4116" s="22">
        <v>0</v>
      </c>
      <c r="I4116" s="23" t="str">
        <f t="shared" si="193"/>
        <v xml:space="preserve">COM VALOR</v>
      </c>
      <c r="J4116" s="19"/>
      <c r="L4116" s="21">
        <v>15.23</v>
      </c>
      <c r="M4116" s="22">
        <v>1.e-002</v>
      </c>
      <c r="N4116" s="21">
        <v>14.91</v>
      </c>
      <c r="O4116" s="22">
        <v>1.e-002</v>
      </c>
    </row>
    <row r="4117" ht="25.5">
      <c r="A4117" t="s">
        <v>4195</v>
      </c>
      <c r="B4117" s="19">
        <v>104918</v>
      </c>
      <c r="C4117" s="20" t="s">
        <v>4206</v>
      </c>
      <c r="D4117" s="19" t="s">
        <v>302</v>
      </c>
      <c r="E4117" s="21">
        <f t="shared" si="191"/>
        <v>14.02</v>
      </c>
      <c r="F4117" s="22">
        <v>0</v>
      </c>
      <c r="G4117" s="21">
        <f t="shared" si="192"/>
        <v>13.779999999999999</v>
      </c>
      <c r="H4117" s="22">
        <v>0</v>
      </c>
      <c r="I4117" s="23" t="str">
        <f t="shared" si="193"/>
        <v xml:space="preserve">COM VALOR</v>
      </c>
      <c r="J4117" s="19"/>
      <c r="L4117" s="21">
        <v>14.02</v>
      </c>
      <c r="M4117" s="22">
        <v>1.e-002</v>
      </c>
      <c r="N4117" s="21">
        <v>13.779999999999999</v>
      </c>
      <c r="O4117" s="22">
        <v>1.e-002</v>
      </c>
    </row>
    <row r="4118" ht="25.5">
      <c r="A4118" t="s">
        <v>4195</v>
      </c>
      <c r="B4118" s="19">
        <v>104916</v>
      </c>
      <c r="C4118" s="20" t="s">
        <v>4207</v>
      </c>
      <c r="D4118" s="19" t="s">
        <v>302</v>
      </c>
      <c r="E4118" s="21">
        <f t="shared" si="191"/>
        <v>16.559999999999999</v>
      </c>
      <c r="F4118" s="22">
        <v>0</v>
      </c>
      <c r="G4118" s="21">
        <f t="shared" si="192"/>
        <v>16.109999999999999</v>
      </c>
      <c r="H4118" s="22">
        <v>0</v>
      </c>
      <c r="I4118" s="23" t="str">
        <f t="shared" si="193"/>
        <v xml:space="preserve">COM VALOR</v>
      </c>
      <c r="J4118" s="19"/>
      <c r="L4118" s="21">
        <v>16.559999999999999</v>
      </c>
      <c r="M4118" s="22">
        <v>1.e-002</v>
      </c>
      <c r="N4118" s="21">
        <v>16.109999999999999</v>
      </c>
      <c r="O4118" s="22">
        <v>1.e-002</v>
      </c>
    </row>
    <row r="4119" ht="38.25">
      <c r="A4119" t="s">
        <v>4195</v>
      </c>
      <c r="B4119" s="19">
        <v>96557</v>
      </c>
      <c r="C4119" s="20" t="s">
        <v>4208</v>
      </c>
      <c r="D4119" s="19" t="s">
        <v>121</v>
      </c>
      <c r="E4119" s="21">
        <f t="shared" si="191"/>
        <v>811.90999999999997</v>
      </c>
      <c r="F4119" s="22">
        <v>0</v>
      </c>
      <c r="G4119" s="21">
        <f t="shared" si="192"/>
        <v>810.75999999999999</v>
      </c>
      <c r="H4119" s="22">
        <v>0</v>
      </c>
      <c r="I4119" s="23" t="str">
        <f t="shared" si="193"/>
        <v xml:space="preserve">COM VALOR</v>
      </c>
      <c r="J4119" s="19"/>
      <c r="L4119" s="21">
        <v>811.90999999999997</v>
      </c>
      <c r="M4119" s="22">
        <v>0</v>
      </c>
      <c r="N4119" s="21">
        <v>810.75999999999999</v>
      </c>
      <c r="O4119" s="22">
        <v>0</v>
      </c>
    </row>
    <row r="4120" ht="38.25">
      <c r="A4120" t="s">
        <v>4195</v>
      </c>
      <c r="B4120" s="19">
        <v>96555</v>
      </c>
      <c r="C4120" s="20" t="s">
        <v>4209</v>
      </c>
      <c r="D4120" s="19" t="s">
        <v>121</v>
      </c>
      <c r="E4120" s="21">
        <f t="shared" si="191"/>
        <v>741.27999999999997</v>
      </c>
      <c r="F4120" s="22">
        <v>0</v>
      </c>
      <c r="G4120" s="21">
        <f t="shared" si="192"/>
        <v>728.66999999999996</v>
      </c>
      <c r="H4120" s="22">
        <v>0</v>
      </c>
      <c r="I4120" s="23" t="str">
        <f t="shared" si="193"/>
        <v xml:space="preserve">COM VALOR</v>
      </c>
      <c r="J4120" s="19"/>
      <c r="L4120" s="21">
        <v>741.27999999999997</v>
      </c>
      <c r="M4120" s="22">
        <v>0</v>
      </c>
      <c r="N4120" s="21">
        <v>728.66999999999996</v>
      </c>
      <c r="O4120" s="22">
        <v>0</v>
      </c>
    </row>
    <row r="4121" ht="25.5">
      <c r="A4121" t="s">
        <v>4195</v>
      </c>
      <c r="B4121" s="19">
        <v>104924</v>
      </c>
      <c r="C4121" s="20" t="s">
        <v>4210</v>
      </c>
      <c r="D4121" s="19" t="s">
        <v>121</v>
      </c>
      <c r="E4121" s="21">
        <f t="shared" si="191"/>
        <v>837.89999999999998</v>
      </c>
      <c r="F4121" s="22">
        <v>0</v>
      </c>
      <c r="G4121" s="21">
        <f t="shared" si="192"/>
        <v>836.38</v>
      </c>
      <c r="H4121" s="22">
        <v>0</v>
      </c>
      <c r="I4121" s="23" t="str">
        <f t="shared" si="193"/>
        <v xml:space="preserve">COM VALOR</v>
      </c>
      <c r="J4121" s="19"/>
      <c r="L4121" s="21">
        <v>837.89999999999998</v>
      </c>
      <c r="M4121" s="22">
        <v>0</v>
      </c>
      <c r="N4121" s="21">
        <v>836.38</v>
      </c>
      <c r="O4121" s="22">
        <v>0</v>
      </c>
    </row>
    <row r="4122" ht="25.5">
      <c r="A4122" t="s">
        <v>4195</v>
      </c>
      <c r="B4122" s="19">
        <v>104923</v>
      </c>
      <c r="C4122" s="20" t="s">
        <v>4211</v>
      </c>
      <c r="D4122" s="19" t="s">
        <v>121</v>
      </c>
      <c r="E4122" s="21">
        <f t="shared" si="191"/>
        <v>798.19000000000005</v>
      </c>
      <c r="F4122" s="22">
        <v>0</v>
      </c>
      <c r="G4122" s="21">
        <f t="shared" si="192"/>
        <v>783.21000000000004</v>
      </c>
      <c r="H4122" s="22">
        <v>0</v>
      </c>
      <c r="I4122" s="23" t="str">
        <f t="shared" si="193"/>
        <v xml:space="preserve">COM VALOR</v>
      </c>
      <c r="J4122" s="19"/>
      <c r="L4122" s="21">
        <v>798.19000000000005</v>
      </c>
      <c r="M4122" s="22">
        <v>0</v>
      </c>
      <c r="N4122" s="21">
        <v>783.21000000000004</v>
      </c>
      <c r="O4122" s="22">
        <v>0</v>
      </c>
    </row>
    <row r="4123" ht="25.5">
      <c r="A4123" t="s">
        <v>4195</v>
      </c>
      <c r="B4123" s="19">
        <v>96558</v>
      </c>
      <c r="C4123" s="20" t="s">
        <v>4212</v>
      </c>
      <c r="D4123" s="19" t="s">
        <v>121</v>
      </c>
      <c r="E4123" s="21">
        <f t="shared" si="191"/>
        <v>847.19000000000005</v>
      </c>
      <c r="F4123" s="22">
        <v>0</v>
      </c>
      <c r="G4123" s="21">
        <f t="shared" si="192"/>
        <v>845.16999999999996</v>
      </c>
      <c r="H4123" s="22">
        <v>0</v>
      </c>
      <c r="I4123" s="23" t="str">
        <f t="shared" si="193"/>
        <v xml:space="preserve">COM VALOR</v>
      </c>
      <c r="J4123" s="19"/>
      <c r="L4123" s="21">
        <v>847.19000000000005</v>
      </c>
      <c r="M4123" s="22">
        <v>0</v>
      </c>
      <c r="N4123" s="21">
        <v>845.16999999999996</v>
      </c>
      <c r="O4123" s="22">
        <v>0</v>
      </c>
    </row>
    <row r="4124" ht="25.5">
      <c r="A4124" t="s">
        <v>4195</v>
      </c>
      <c r="B4124" s="19">
        <v>96556</v>
      </c>
      <c r="C4124" s="20" t="s">
        <v>4213</v>
      </c>
      <c r="D4124" s="19" t="s">
        <v>121</v>
      </c>
      <c r="E4124" s="21">
        <f t="shared" si="191"/>
        <v>898.07000000000005</v>
      </c>
      <c r="F4124" s="22">
        <v>0</v>
      </c>
      <c r="G4124" s="21">
        <f t="shared" si="192"/>
        <v>877.51999999999998</v>
      </c>
      <c r="H4124" s="22">
        <v>0</v>
      </c>
      <c r="I4124" s="23" t="str">
        <f t="shared" si="193"/>
        <v xml:space="preserve">COM VALOR</v>
      </c>
      <c r="J4124" s="19"/>
      <c r="L4124" s="21">
        <v>898.07000000000005</v>
      </c>
      <c r="M4124" s="22">
        <v>0</v>
      </c>
      <c r="N4124" s="21">
        <v>877.51999999999998</v>
      </c>
      <c r="O4124" s="22">
        <v>0</v>
      </c>
    </row>
    <row r="4125" ht="25.5">
      <c r="A4125" t="s">
        <v>4195</v>
      </c>
      <c r="B4125" s="19">
        <v>96523</v>
      </c>
      <c r="C4125" s="20" t="s">
        <v>4214</v>
      </c>
      <c r="D4125" s="19" t="s">
        <v>121</v>
      </c>
      <c r="E4125" s="21">
        <f t="shared" si="191"/>
        <v>98.670000000000002</v>
      </c>
      <c r="F4125" s="22">
        <v>0</v>
      </c>
      <c r="G4125" s="21">
        <f t="shared" si="192"/>
        <v>93.310000000000002</v>
      </c>
      <c r="H4125" s="22">
        <v>0</v>
      </c>
      <c r="I4125" s="23" t="str">
        <f t="shared" si="193"/>
        <v xml:space="preserve">COM VALOR</v>
      </c>
      <c r="J4125" s="19"/>
      <c r="L4125" s="21">
        <v>98.670000000000002</v>
      </c>
      <c r="M4125" s="22">
        <v>0</v>
      </c>
      <c r="N4125" s="21">
        <v>93.310000000000002</v>
      </c>
      <c r="O4125" s="22">
        <v>0</v>
      </c>
    </row>
    <row r="4126" ht="25.5">
      <c r="A4126" t="s">
        <v>4195</v>
      </c>
      <c r="B4126" s="19">
        <v>96522</v>
      </c>
      <c r="C4126" s="20" t="s">
        <v>4215</v>
      </c>
      <c r="D4126" s="19" t="s">
        <v>121</v>
      </c>
      <c r="E4126" s="21">
        <f t="shared" si="191"/>
        <v>149.03</v>
      </c>
      <c r="F4126" s="22">
        <v>0</v>
      </c>
      <c r="G4126" s="21">
        <f t="shared" si="192"/>
        <v>140.91999999999999</v>
      </c>
      <c r="H4126" s="22">
        <v>0</v>
      </c>
      <c r="I4126" s="23" t="str">
        <f t="shared" si="193"/>
        <v xml:space="preserve">COM VALOR</v>
      </c>
      <c r="J4126" s="19"/>
      <c r="L4126" s="21">
        <v>149.03</v>
      </c>
      <c r="M4126" s="22">
        <v>0</v>
      </c>
      <c r="N4126" s="21">
        <v>140.91999999999999</v>
      </c>
      <c r="O4126" s="22">
        <v>0</v>
      </c>
    </row>
    <row r="4127" ht="25.5">
      <c r="A4127" t="s">
        <v>4195</v>
      </c>
      <c r="B4127" s="19">
        <v>96527</v>
      </c>
      <c r="C4127" s="20" t="s">
        <v>4216</v>
      </c>
      <c r="D4127" s="19" t="s">
        <v>121</v>
      </c>
      <c r="E4127" s="21">
        <f t="shared" si="191"/>
        <v>108.61</v>
      </c>
      <c r="F4127" s="22">
        <v>0</v>
      </c>
      <c r="G4127" s="21">
        <f t="shared" si="192"/>
        <v>102.70999999999999</v>
      </c>
      <c r="H4127" s="22">
        <v>0</v>
      </c>
      <c r="I4127" s="23" t="str">
        <f t="shared" si="193"/>
        <v xml:space="preserve">COM VALOR</v>
      </c>
      <c r="J4127" s="19"/>
      <c r="L4127" s="21">
        <v>108.61</v>
      </c>
      <c r="M4127" s="22">
        <v>0</v>
      </c>
      <c r="N4127" s="21">
        <v>102.70999999999999</v>
      </c>
      <c r="O4127" s="22">
        <v>0</v>
      </c>
    </row>
    <row r="4128" ht="25.5">
      <c r="A4128" t="s">
        <v>4195</v>
      </c>
      <c r="B4128" s="19">
        <v>96526</v>
      </c>
      <c r="C4128" s="20" t="s">
        <v>4217</v>
      </c>
      <c r="D4128" s="19" t="s">
        <v>121</v>
      </c>
      <c r="E4128" s="21">
        <f t="shared" si="191"/>
        <v>213.00999999999999</v>
      </c>
      <c r="F4128" s="22">
        <v>0</v>
      </c>
      <c r="G4128" s="21">
        <f t="shared" si="192"/>
        <v>201.38</v>
      </c>
      <c r="H4128" s="22">
        <v>0</v>
      </c>
      <c r="I4128" s="23" t="str">
        <f t="shared" si="193"/>
        <v xml:space="preserve">COM VALOR</v>
      </c>
      <c r="J4128" s="19"/>
      <c r="L4128" s="21">
        <v>213.00999999999999</v>
      </c>
      <c r="M4128" s="22">
        <v>0</v>
      </c>
      <c r="N4128" s="21">
        <v>201.38</v>
      </c>
      <c r="O4128" s="22">
        <v>0</v>
      </c>
    </row>
    <row r="4129" ht="38.25">
      <c r="A4129" t="s">
        <v>4195</v>
      </c>
      <c r="B4129" s="19">
        <v>96521</v>
      </c>
      <c r="C4129" s="20" t="s">
        <v>4218</v>
      </c>
      <c r="D4129" s="19" t="s">
        <v>121</v>
      </c>
      <c r="E4129" s="21">
        <f t="shared" si="191"/>
        <v>43.450000000000003</v>
      </c>
      <c r="F4129" s="22">
        <v>0</v>
      </c>
      <c r="G4129" s="21">
        <f t="shared" si="192"/>
        <v>42.469999999999999</v>
      </c>
      <c r="H4129" s="22">
        <v>0</v>
      </c>
      <c r="I4129" s="23" t="str">
        <f t="shared" si="193"/>
        <v xml:space="preserve">COM VALOR</v>
      </c>
      <c r="J4129" s="19"/>
      <c r="L4129" s="21">
        <v>43.450000000000003</v>
      </c>
      <c r="M4129" s="22">
        <v>0</v>
      </c>
      <c r="N4129" s="21">
        <v>42.469999999999999</v>
      </c>
      <c r="O4129" s="22">
        <v>0</v>
      </c>
    </row>
    <row r="4130" ht="38.25">
      <c r="A4130" t="s">
        <v>4195</v>
      </c>
      <c r="B4130" s="19">
        <v>96520</v>
      </c>
      <c r="C4130" s="20" t="s">
        <v>4219</v>
      </c>
      <c r="D4130" s="19" t="s">
        <v>121</v>
      </c>
      <c r="E4130" s="21">
        <f t="shared" si="191"/>
        <v>95.510000000000005</v>
      </c>
      <c r="F4130" s="22">
        <v>0</v>
      </c>
      <c r="G4130" s="21">
        <f t="shared" si="192"/>
        <v>92.109999999999999</v>
      </c>
      <c r="H4130" s="22">
        <v>0</v>
      </c>
      <c r="I4130" s="23" t="str">
        <f t="shared" si="193"/>
        <v xml:space="preserve">COM VALOR</v>
      </c>
      <c r="J4130" s="19"/>
      <c r="L4130" s="21">
        <v>95.510000000000005</v>
      </c>
      <c r="M4130" s="22">
        <v>0</v>
      </c>
      <c r="N4130" s="21">
        <v>92.109999999999999</v>
      </c>
      <c r="O4130" s="22">
        <v>0</v>
      </c>
    </row>
    <row r="4131" ht="38.25">
      <c r="A4131" t="s">
        <v>4195</v>
      </c>
      <c r="B4131" s="19">
        <v>96525</v>
      </c>
      <c r="C4131" s="20" t="s">
        <v>4220</v>
      </c>
      <c r="D4131" s="19" t="s">
        <v>121</v>
      </c>
      <c r="E4131" s="21">
        <f t="shared" si="191"/>
        <v>60.770000000000003</v>
      </c>
      <c r="F4131" s="22">
        <v>0</v>
      </c>
      <c r="G4131" s="21">
        <f t="shared" si="192"/>
        <v>59.420000000000002</v>
      </c>
      <c r="H4131" s="22">
        <v>0</v>
      </c>
      <c r="I4131" s="23" t="str">
        <f t="shared" si="193"/>
        <v xml:space="preserve">COM VALOR</v>
      </c>
      <c r="J4131" s="19"/>
      <c r="L4131" s="21">
        <v>60.770000000000003</v>
      </c>
      <c r="M4131" s="22">
        <v>0</v>
      </c>
      <c r="N4131" s="21">
        <v>59.420000000000002</v>
      </c>
      <c r="O4131" s="22">
        <v>0</v>
      </c>
    </row>
    <row r="4132" ht="38.25">
      <c r="A4132" t="s">
        <v>4195</v>
      </c>
      <c r="B4132" s="19">
        <v>96524</v>
      </c>
      <c r="C4132" s="20" t="s">
        <v>4221</v>
      </c>
      <c r="D4132" s="19" t="s">
        <v>121</v>
      </c>
      <c r="E4132" s="21">
        <f t="shared" si="191"/>
        <v>162.72999999999999</v>
      </c>
      <c r="F4132" s="22">
        <v>0</v>
      </c>
      <c r="G4132" s="21">
        <f t="shared" si="192"/>
        <v>156.41999999999999</v>
      </c>
      <c r="H4132" s="22">
        <v>0</v>
      </c>
      <c r="I4132" s="23" t="str">
        <f t="shared" si="193"/>
        <v xml:space="preserve">COM VALOR</v>
      </c>
      <c r="J4132" s="19"/>
      <c r="L4132" s="21">
        <v>162.72999999999999</v>
      </c>
      <c r="M4132" s="22">
        <v>0</v>
      </c>
      <c r="N4132" s="21">
        <v>156.41999999999999</v>
      </c>
      <c r="O4132" s="22">
        <v>0</v>
      </c>
    </row>
    <row r="4133" ht="38.25">
      <c r="A4133" t="s">
        <v>4195</v>
      </c>
      <c r="B4133" s="19">
        <v>96537</v>
      </c>
      <c r="C4133" s="20" t="s">
        <v>4222</v>
      </c>
      <c r="D4133" s="19" t="s">
        <v>29</v>
      </c>
      <c r="E4133" s="21">
        <f t="shared" si="191"/>
        <v>171.25</v>
      </c>
      <c r="F4133" s="22"/>
      <c r="G4133" s="21">
        <f t="shared" si="192"/>
        <v>165.59999999999999</v>
      </c>
      <c r="H4133" s="22"/>
      <c r="I4133" s="23" t="str">
        <f t="shared" si="193"/>
        <v xml:space="preserve">COM VALOR</v>
      </c>
      <c r="J4133" s="19"/>
      <c r="L4133" s="21">
        <v>171.25</v>
      </c>
      <c r="M4133" s="22">
        <v>0</v>
      </c>
      <c r="N4133" s="21">
        <v>165.59999999999999</v>
      </c>
      <c r="O4133" s="22">
        <v>0</v>
      </c>
    </row>
    <row r="4134" ht="38.25">
      <c r="A4134" t="s">
        <v>4195</v>
      </c>
      <c r="B4134" s="19">
        <v>96540</v>
      </c>
      <c r="C4134" s="20" t="s">
        <v>4223</v>
      </c>
      <c r="D4134" s="19" t="s">
        <v>29</v>
      </c>
      <c r="E4134" s="21">
        <f t="shared" si="191"/>
        <v>122.67</v>
      </c>
      <c r="F4134" s="22"/>
      <c r="G4134" s="21">
        <f t="shared" si="192"/>
        <v>117.88</v>
      </c>
      <c r="H4134" s="22"/>
      <c r="I4134" s="23" t="str">
        <f t="shared" si="193"/>
        <v xml:space="preserve">COM VALOR</v>
      </c>
      <c r="J4134" s="19"/>
      <c r="L4134" s="21">
        <v>122.67</v>
      </c>
      <c r="M4134" s="22">
        <v>0</v>
      </c>
      <c r="N4134" s="21">
        <v>117.88</v>
      </c>
      <c r="O4134" s="22">
        <v>0</v>
      </c>
    </row>
    <row r="4135" ht="38.25">
      <c r="A4135" t="s">
        <v>4195</v>
      </c>
      <c r="B4135" s="19">
        <v>96528</v>
      </c>
      <c r="C4135" s="20" t="s">
        <v>4224</v>
      </c>
      <c r="D4135" s="19" t="s">
        <v>29</v>
      </c>
      <c r="E4135" s="21">
        <f t="shared" si="191"/>
        <v>141.37</v>
      </c>
      <c r="F4135" s="22">
        <v>0</v>
      </c>
      <c r="G4135" s="21">
        <f t="shared" si="192"/>
        <v>137.59</v>
      </c>
      <c r="H4135" s="22">
        <v>0</v>
      </c>
      <c r="I4135" s="23" t="str">
        <f t="shared" si="193"/>
        <v xml:space="preserve">COM VALOR</v>
      </c>
      <c r="J4135" s="19"/>
      <c r="L4135" s="21">
        <v>141.37</v>
      </c>
      <c r="M4135" s="22">
        <v>0</v>
      </c>
      <c r="N4135" s="21">
        <v>137.59</v>
      </c>
      <c r="O4135" s="22">
        <v>0</v>
      </c>
    </row>
    <row r="4136" ht="38.25">
      <c r="A4136" t="s">
        <v>4195</v>
      </c>
      <c r="B4136" s="19">
        <v>96531</v>
      </c>
      <c r="C4136" s="20" t="s">
        <v>4225</v>
      </c>
      <c r="D4136" s="19" t="s">
        <v>29</v>
      </c>
      <c r="E4136" s="21">
        <f t="shared" si="191"/>
        <v>96.560000000000002</v>
      </c>
      <c r="F4136" s="22"/>
      <c r="G4136" s="21">
        <f t="shared" si="192"/>
        <v>93.290000000000006</v>
      </c>
      <c r="H4136" s="22"/>
      <c r="I4136" s="23" t="str">
        <f t="shared" si="193"/>
        <v xml:space="preserve">COM VALOR</v>
      </c>
      <c r="J4136" s="19"/>
      <c r="L4136" s="21">
        <v>96.560000000000002</v>
      </c>
      <c r="M4136" s="22">
        <v>0</v>
      </c>
      <c r="N4136" s="21">
        <v>93.290000000000006</v>
      </c>
      <c r="O4136" s="22">
        <v>0</v>
      </c>
    </row>
    <row r="4137" ht="38.25">
      <c r="A4137" t="s">
        <v>4195</v>
      </c>
      <c r="B4137" s="19">
        <v>96534</v>
      </c>
      <c r="C4137" s="20" t="s">
        <v>4226</v>
      </c>
      <c r="D4137" s="19" t="s">
        <v>29</v>
      </c>
      <c r="E4137" s="21">
        <f t="shared" si="191"/>
        <v>73.200000000000003</v>
      </c>
      <c r="F4137" s="22"/>
      <c r="G4137" s="21">
        <f t="shared" si="192"/>
        <v>70.200000000000003</v>
      </c>
      <c r="H4137" s="22"/>
      <c r="I4137" s="23" t="str">
        <f t="shared" si="193"/>
        <v xml:space="preserve">COM VALOR</v>
      </c>
      <c r="J4137" s="19"/>
      <c r="L4137" s="21">
        <v>73.200000000000003</v>
      </c>
      <c r="M4137" s="22">
        <v>0</v>
      </c>
      <c r="N4137" s="21">
        <v>70.200000000000003</v>
      </c>
      <c r="O4137" s="22">
        <v>0</v>
      </c>
    </row>
    <row r="4138" ht="38.25">
      <c r="A4138" t="s">
        <v>4195</v>
      </c>
      <c r="B4138" s="19">
        <v>104928</v>
      </c>
      <c r="C4138" s="20" t="s">
        <v>4227</v>
      </c>
      <c r="D4138" s="19" t="s">
        <v>29</v>
      </c>
      <c r="E4138" s="21">
        <f t="shared" si="191"/>
        <v>140.74000000000001</v>
      </c>
      <c r="F4138" s="22">
        <v>0</v>
      </c>
      <c r="G4138" s="21">
        <f t="shared" si="192"/>
        <v>135.72</v>
      </c>
      <c r="H4138" s="22">
        <v>0</v>
      </c>
      <c r="I4138" s="23" t="str">
        <f t="shared" si="193"/>
        <v xml:space="preserve">COM VALOR</v>
      </c>
      <c r="J4138" s="19"/>
      <c r="L4138" s="21">
        <v>140.74000000000001</v>
      </c>
      <c r="M4138" s="22">
        <v>0</v>
      </c>
      <c r="N4138" s="21">
        <v>135.72</v>
      </c>
      <c r="O4138" s="22">
        <v>0</v>
      </c>
    </row>
    <row r="4139" ht="38.25">
      <c r="A4139" t="s">
        <v>4195</v>
      </c>
      <c r="B4139" s="19">
        <v>104929</v>
      </c>
      <c r="C4139" s="20" t="s">
        <v>4228</v>
      </c>
      <c r="D4139" s="19" t="s">
        <v>29</v>
      </c>
      <c r="E4139" s="21">
        <f t="shared" si="191"/>
        <v>86.739999999999995</v>
      </c>
      <c r="F4139" s="22"/>
      <c r="G4139" s="21">
        <f t="shared" si="192"/>
        <v>83.400000000000006</v>
      </c>
      <c r="H4139" s="22"/>
      <c r="I4139" s="23" t="str">
        <f t="shared" si="193"/>
        <v xml:space="preserve">COM VALOR</v>
      </c>
      <c r="J4139" s="19"/>
      <c r="L4139" s="21">
        <v>86.739999999999995</v>
      </c>
      <c r="M4139" s="22">
        <v>0</v>
      </c>
      <c r="N4139" s="21">
        <v>83.400000000000006</v>
      </c>
      <c r="O4139" s="22">
        <v>0</v>
      </c>
    </row>
    <row r="4140" ht="25.5">
      <c r="A4140" t="s">
        <v>4195</v>
      </c>
      <c r="B4140" s="19">
        <v>104925</v>
      </c>
      <c r="C4140" s="20" t="s">
        <v>4229</v>
      </c>
      <c r="D4140" s="19" t="s">
        <v>29</v>
      </c>
      <c r="E4140" s="21">
        <f t="shared" si="191"/>
        <v>144.90000000000001</v>
      </c>
      <c r="F4140" s="22"/>
      <c r="G4140" s="21">
        <f t="shared" si="192"/>
        <v>141.28999999999999</v>
      </c>
      <c r="H4140" s="22"/>
      <c r="I4140" s="23" t="str">
        <f t="shared" si="193"/>
        <v xml:space="preserve">COM VALOR</v>
      </c>
      <c r="J4140" s="19"/>
      <c r="L4140" s="21">
        <v>144.90000000000001</v>
      </c>
      <c r="M4140" s="22">
        <v>0</v>
      </c>
      <c r="N4140" s="21">
        <v>141.28999999999999</v>
      </c>
      <c r="O4140" s="22">
        <v>0</v>
      </c>
    </row>
    <row r="4141" ht="25.5">
      <c r="A4141" t="s">
        <v>4195</v>
      </c>
      <c r="B4141" s="19">
        <v>104926</v>
      </c>
      <c r="C4141" s="20" t="s">
        <v>4230</v>
      </c>
      <c r="D4141" s="19" t="s">
        <v>29</v>
      </c>
      <c r="E4141" s="21">
        <f t="shared" si="191"/>
        <v>94.450000000000003</v>
      </c>
      <c r="F4141" s="22">
        <v>1.e-002</v>
      </c>
      <c r="G4141" s="21">
        <f t="shared" si="192"/>
        <v>91.549999999999997</v>
      </c>
      <c r="H4141" s="22">
        <v>1.e-002</v>
      </c>
      <c r="I4141" s="23" t="str">
        <f t="shared" si="193"/>
        <v xml:space="preserve">COM VALOR</v>
      </c>
      <c r="J4141" s="19"/>
      <c r="L4141" s="21">
        <v>94.450000000000003</v>
      </c>
      <c r="M4141" s="22">
        <v>0</v>
      </c>
      <c r="N4141" s="21">
        <v>91.549999999999997</v>
      </c>
      <c r="O4141" s="22">
        <v>0</v>
      </c>
    </row>
    <row r="4142" ht="25.5">
      <c r="A4142" t="s">
        <v>4195</v>
      </c>
      <c r="B4142" s="19">
        <v>104927</v>
      </c>
      <c r="C4142" s="20" t="s">
        <v>4231</v>
      </c>
      <c r="D4142" s="19" t="s">
        <v>29</v>
      </c>
      <c r="E4142" s="21">
        <f t="shared" si="191"/>
        <v>68.239999999999995</v>
      </c>
      <c r="F4142" s="22">
        <v>1.e-002</v>
      </c>
      <c r="G4142" s="21">
        <f t="shared" si="192"/>
        <v>65.689999999999998</v>
      </c>
      <c r="H4142" s="22">
        <v>1.e-002</v>
      </c>
      <c r="I4142" s="23" t="str">
        <f t="shared" si="193"/>
        <v xml:space="preserve">COM VALOR</v>
      </c>
      <c r="J4142" s="19"/>
      <c r="L4142" s="21">
        <v>68.239999999999995</v>
      </c>
      <c r="M4142" s="22">
        <v>0</v>
      </c>
      <c r="N4142" s="21">
        <v>65.689999999999998</v>
      </c>
      <c r="O4142" s="22">
        <v>0</v>
      </c>
    </row>
    <row r="4143" ht="38.25">
      <c r="A4143" t="s">
        <v>4195</v>
      </c>
      <c r="B4143" s="19">
        <v>96538</v>
      </c>
      <c r="C4143" s="20" t="s">
        <v>4232</v>
      </c>
      <c r="D4143" s="19" t="s">
        <v>29</v>
      </c>
      <c r="E4143" s="21">
        <f t="shared" si="191"/>
        <v>234.22999999999999</v>
      </c>
      <c r="F4143" s="22">
        <v>1.e-002</v>
      </c>
      <c r="G4143" s="21">
        <f t="shared" si="192"/>
        <v>224.72999999999999</v>
      </c>
      <c r="H4143" s="22">
        <v>1.e-002</v>
      </c>
      <c r="I4143" s="23" t="str">
        <f t="shared" si="193"/>
        <v xml:space="preserve">COM VALOR</v>
      </c>
      <c r="J4143" s="19"/>
      <c r="L4143" s="21">
        <v>234.22999999999999</v>
      </c>
      <c r="M4143" s="22">
        <v>0</v>
      </c>
      <c r="N4143" s="21">
        <v>224.72999999999999</v>
      </c>
      <c r="O4143" s="22">
        <v>0</v>
      </c>
    </row>
    <row r="4144" ht="38.25">
      <c r="A4144" t="s">
        <v>4195</v>
      </c>
      <c r="B4144" s="19">
        <v>96541</v>
      </c>
      <c r="C4144" s="20" t="s">
        <v>4233</v>
      </c>
      <c r="D4144" s="19" t="s">
        <v>29</v>
      </c>
      <c r="E4144" s="21">
        <f t="shared" si="191"/>
        <v>173.78</v>
      </c>
      <c r="F4144" s="22">
        <v>2.e-002</v>
      </c>
      <c r="G4144" s="21">
        <f t="shared" si="192"/>
        <v>166.00999999999999</v>
      </c>
      <c r="H4144" s="22">
        <v>2.e-002</v>
      </c>
      <c r="I4144" s="23" t="str">
        <f t="shared" si="193"/>
        <v xml:space="preserve">COM VALOR</v>
      </c>
      <c r="J4144" s="19"/>
      <c r="L4144" s="21">
        <v>173.78</v>
      </c>
      <c r="M4144" s="22">
        <v>0</v>
      </c>
      <c r="N4144" s="21">
        <v>166.00999999999999</v>
      </c>
      <c r="O4144" s="22">
        <v>0</v>
      </c>
    </row>
    <row r="4145" ht="25.5">
      <c r="A4145" t="s">
        <v>4195</v>
      </c>
      <c r="B4145" s="19">
        <v>96529</v>
      </c>
      <c r="C4145" s="20" t="s">
        <v>4234</v>
      </c>
      <c r="D4145" s="19" t="s">
        <v>29</v>
      </c>
      <c r="E4145" s="21">
        <f t="shared" si="191"/>
        <v>242.99000000000001</v>
      </c>
      <c r="F4145" s="22">
        <v>1.e-002</v>
      </c>
      <c r="G4145" s="21">
        <f t="shared" si="192"/>
        <v>233.97999999999999</v>
      </c>
      <c r="H4145" s="22">
        <v>1.e-002</v>
      </c>
      <c r="I4145" s="23" t="str">
        <f t="shared" si="193"/>
        <v xml:space="preserve">COM VALOR</v>
      </c>
      <c r="J4145" s="19"/>
      <c r="L4145" s="21">
        <v>242.99000000000001</v>
      </c>
      <c r="M4145" s="22">
        <v>0</v>
      </c>
      <c r="N4145" s="21">
        <v>233.97999999999999</v>
      </c>
      <c r="O4145" s="22">
        <v>0</v>
      </c>
    </row>
    <row r="4146" ht="25.5">
      <c r="A4146" t="s">
        <v>4195</v>
      </c>
      <c r="B4146" s="19">
        <v>96532</v>
      </c>
      <c r="C4146" s="20" t="s">
        <v>4235</v>
      </c>
      <c r="D4146" s="19" t="s">
        <v>29</v>
      </c>
      <c r="E4146" s="21">
        <f t="shared" si="191"/>
        <v>166.61000000000001</v>
      </c>
      <c r="F4146" s="22">
        <v>0</v>
      </c>
      <c r="G4146" s="21">
        <f t="shared" si="192"/>
        <v>159.66999999999999</v>
      </c>
      <c r="H4146" s="22">
        <v>0</v>
      </c>
      <c r="I4146" s="23" t="str">
        <f t="shared" si="193"/>
        <v xml:space="preserve">COM VALOR</v>
      </c>
      <c r="J4146" s="19"/>
      <c r="L4146" s="21">
        <v>166.61000000000001</v>
      </c>
      <c r="M4146" s="22">
        <v>0</v>
      </c>
      <c r="N4146" s="21">
        <v>159.66999999999999</v>
      </c>
      <c r="O4146" s="22">
        <v>0</v>
      </c>
    </row>
    <row r="4147" ht="25.5">
      <c r="A4147" t="s">
        <v>4195</v>
      </c>
      <c r="B4147" s="19">
        <v>96535</v>
      </c>
      <c r="C4147" s="20" t="s">
        <v>4236</v>
      </c>
      <c r="D4147" s="19" t="s">
        <v>29</v>
      </c>
      <c r="E4147" s="21">
        <f t="shared" si="191"/>
        <v>126.90000000000001</v>
      </c>
      <c r="F4147" s="22">
        <v>1.e-002</v>
      </c>
      <c r="G4147" s="21">
        <f t="shared" si="192"/>
        <v>121.01000000000001</v>
      </c>
      <c r="H4147" s="22">
        <v>1.e-002</v>
      </c>
      <c r="I4147" s="23" t="str">
        <f t="shared" si="193"/>
        <v xml:space="preserve">COM VALOR</v>
      </c>
      <c r="J4147" s="19"/>
      <c r="L4147" s="21">
        <v>126.90000000000001</v>
      </c>
      <c r="M4147" s="22">
        <v>0</v>
      </c>
      <c r="N4147" s="21">
        <v>121.01000000000001</v>
      </c>
      <c r="O4147" s="22">
        <v>0</v>
      </c>
    </row>
    <row r="4148" ht="38.25">
      <c r="A4148" t="s">
        <v>4195</v>
      </c>
      <c r="B4148" s="19">
        <v>96539</v>
      </c>
      <c r="C4148" s="20" t="s">
        <v>4237</v>
      </c>
      <c r="D4148" s="19" t="s">
        <v>29</v>
      </c>
      <c r="E4148" s="21">
        <f t="shared" si="191"/>
        <v>122.61</v>
      </c>
      <c r="F4148" s="22">
        <v>1.e-002</v>
      </c>
      <c r="G4148" s="21">
        <f t="shared" si="192"/>
        <v>118.31</v>
      </c>
      <c r="H4148" s="22">
        <v>1.e-002</v>
      </c>
      <c r="I4148" s="23" t="str">
        <f t="shared" si="193"/>
        <v xml:space="preserve">COM VALOR</v>
      </c>
      <c r="J4148" s="19"/>
      <c r="L4148" s="21">
        <v>122.61</v>
      </c>
      <c r="M4148" s="22">
        <v>0</v>
      </c>
      <c r="N4148" s="21">
        <v>118.31</v>
      </c>
      <c r="O4148" s="22">
        <v>0</v>
      </c>
    </row>
    <row r="4149" ht="38.25">
      <c r="A4149" t="s">
        <v>4195</v>
      </c>
      <c r="B4149" s="19">
        <v>96542</v>
      </c>
      <c r="C4149" s="20" t="s">
        <v>4238</v>
      </c>
      <c r="D4149" s="19" t="s">
        <v>29</v>
      </c>
      <c r="E4149" s="21">
        <f t="shared" si="191"/>
        <v>92.189999999999998</v>
      </c>
      <c r="F4149" s="22">
        <v>0</v>
      </c>
      <c r="G4149" s="21">
        <f t="shared" si="192"/>
        <v>88.370000000000005</v>
      </c>
      <c r="H4149" s="22">
        <v>0</v>
      </c>
      <c r="I4149" s="23" t="str">
        <f t="shared" si="193"/>
        <v xml:space="preserve">COM VALOR</v>
      </c>
      <c r="J4149" s="19"/>
      <c r="L4149" s="21">
        <v>92.189999999999998</v>
      </c>
      <c r="M4149" s="22">
        <v>0</v>
      </c>
      <c r="N4149" s="21">
        <v>88.370000000000005</v>
      </c>
      <c r="O4149" s="22">
        <v>0</v>
      </c>
    </row>
    <row r="4150" ht="25.5">
      <c r="A4150" t="s">
        <v>4195</v>
      </c>
      <c r="B4150" s="19">
        <v>96530</v>
      </c>
      <c r="C4150" s="20" t="s">
        <v>4239</v>
      </c>
      <c r="D4150" s="19" t="s">
        <v>29</v>
      </c>
      <c r="E4150" s="21">
        <f t="shared" si="191"/>
        <v>129.25999999999999</v>
      </c>
      <c r="F4150" s="22">
        <v>1.e-002</v>
      </c>
      <c r="G4150" s="21">
        <f t="shared" si="192"/>
        <v>125.91</v>
      </c>
      <c r="H4150" s="22">
        <v>1.e-002</v>
      </c>
      <c r="I4150" s="23" t="str">
        <f t="shared" si="193"/>
        <v xml:space="preserve">COM VALOR</v>
      </c>
      <c r="J4150" s="19"/>
      <c r="L4150" s="21">
        <v>129.25999999999999</v>
      </c>
      <c r="M4150" s="22">
        <v>0</v>
      </c>
      <c r="N4150" s="21">
        <v>125.91</v>
      </c>
      <c r="O4150" s="22">
        <v>0</v>
      </c>
    </row>
    <row r="4151" ht="25.5">
      <c r="A4151" t="s">
        <v>4195</v>
      </c>
      <c r="B4151" s="19">
        <v>96533</v>
      </c>
      <c r="C4151" s="20" t="s">
        <v>4240</v>
      </c>
      <c r="D4151" s="19" t="s">
        <v>29</v>
      </c>
      <c r="E4151" s="21">
        <f t="shared" si="191"/>
        <v>85.980000000000004</v>
      </c>
      <c r="F4151" s="22">
        <v>0.14999999999999999</v>
      </c>
      <c r="G4151" s="21">
        <f t="shared" si="192"/>
        <v>83.200000000000003</v>
      </c>
      <c r="H4151" s="22">
        <v>0.14999999999999999</v>
      </c>
      <c r="I4151" s="23" t="str">
        <f t="shared" si="193"/>
        <v xml:space="preserve">COM VALOR</v>
      </c>
      <c r="J4151" s="19"/>
      <c r="L4151" s="21">
        <v>85.980000000000004</v>
      </c>
      <c r="M4151" s="22">
        <v>0</v>
      </c>
      <c r="N4151" s="21">
        <v>83.200000000000003</v>
      </c>
      <c r="O4151" s="22">
        <v>0</v>
      </c>
    </row>
    <row r="4152" ht="25.5">
      <c r="A4152" t="s">
        <v>4195</v>
      </c>
      <c r="B4152" s="19">
        <v>96536</v>
      </c>
      <c r="C4152" s="20" t="s">
        <v>4241</v>
      </c>
      <c r="D4152" s="19" t="s">
        <v>29</v>
      </c>
      <c r="E4152" s="21">
        <f t="shared" si="191"/>
        <v>63.439999999999998</v>
      </c>
      <c r="F4152" s="22">
        <v>0.14999999999999999</v>
      </c>
      <c r="G4152" s="21">
        <f t="shared" si="192"/>
        <v>60.950000000000003</v>
      </c>
      <c r="H4152" s="22">
        <v>0.14999999999999999</v>
      </c>
      <c r="I4152" s="23" t="str">
        <f t="shared" si="193"/>
        <v xml:space="preserve">COM VALOR</v>
      </c>
      <c r="J4152" s="19"/>
      <c r="L4152" s="21">
        <v>63.439999999999998</v>
      </c>
      <c r="M4152" s="22">
        <v>0</v>
      </c>
      <c r="N4152" s="21">
        <v>60.950000000000003</v>
      </c>
      <c r="O4152" s="22">
        <v>0</v>
      </c>
    </row>
    <row r="4153" ht="38.25">
      <c r="A4153" t="s">
        <v>4242</v>
      </c>
      <c r="B4153" s="19">
        <v>105518</v>
      </c>
      <c r="C4153" s="20" t="s">
        <v>4243</v>
      </c>
      <c r="D4153" s="19" t="s">
        <v>29</v>
      </c>
      <c r="E4153" s="21" t="str">
        <f t="shared" si="191"/>
        <v>VERIFICAR</v>
      </c>
      <c r="F4153" s="22">
        <v>4.0000000000000001e-002</v>
      </c>
      <c r="G4153" s="21" t="str">
        <f t="shared" si="192"/>
        <v>VERIFICAR</v>
      </c>
      <c r="H4153" s="22">
        <v>4.0000000000000001e-002</v>
      </c>
      <c r="I4153" s="23" t="str">
        <f t="shared" si="193"/>
        <v xml:space="preserve">COM VALOR</v>
      </c>
      <c r="J4153" s="19"/>
      <c r="L4153" s="21">
        <v>0</v>
      </c>
      <c r="M4153" s="22"/>
      <c r="N4153" s="21">
        <v>0</v>
      </c>
      <c r="O4153" s="22"/>
    </row>
    <row r="4154" ht="38.25">
      <c r="A4154" t="s">
        <v>4242</v>
      </c>
      <c r="B4154" s="19">
        <v>105517</v>
      </c>
      <c r="C4154" s="20" t="s">
        <v>4244</v>
      </c>
      <c r="D4154" s="19" t="s">
        <v>29</v>
      </c>
      <c r="E4154" s="21" t="str">
        <f t="shared" si="191"/>
        <v>VERIFICAR</v>
      </c>
      <c r="F4154" s="22">
        <v>4.0000000000000001e-002</v>
      </c>
      <c r="G4154" s="21" t="str">
        <f t="shared" si="192"/>
        <v>VERIFICAR</v>
      </c>
      <c r="H4154" s="22">
        <v>4.0000000000000001e-002</v>
      </c>
      <c r="I4154" s="23" t="str">
        <f t="shared" si="193"/>
        <v xml:space="preserve">COM VALOR</v>
      </c>
      <c r="J4154" s="19"/>
      <c r="L4154" s="21">
        <v>0</v>
      </c>
      <c r="M4154" s="22"/>
      <c r="N4154" s="21">
        <v>0</v>
      </c>
      <c r="O4154" s="22"/>
    </row>
    <row r="4155" ht="38.25">
      <c r="A4155" t="s">
        <v>4242</v>
      </c>
      <c r="B4155" s="19">
        <v>105520</v>
      </c>
      <c r="C4155" s="20" t="s">
        <v>4245</v>
      </c>
      <c r="D4155" s="19" t="s">
        <v>29</v>
      </c>
      <c r="E4155" s="21" t="str">
        <f t="shared" si="191"/>
        <v>VERIFICAR</v>
      </c>
      <c r="F4155" s="22">
        <v>2.9999999999999999e-002</v>
      </c>
      <c r="G4155" s="21" t="str">
        <f t="shared" si="192"/>
        <v>VERIFICAR</v>
      </c>
      <c r="H4155" s="22">
        <v>2.9999999999999999e-002</v>
      </c>
      <c r="I4155" s="23" t="str">
        <f t="shared" si="193"/>
        <v xml:space="preserve">COM VALOR</v>
      </c>
      <c r="J4155" s="19"/>
      <c r="L4155" s="21">
        <v>0</v>
      </c>
      <c r="M4155" s="22"/>
      <c r="N4155" s="21">
        <v>0</v>
      </c>
      <c r="O4155" s="22"/>
    </row>
    <row r="4156" ht="38.25">
      <c r="A4156" t="s">
        <v>4242</v>
      </c>
      <c r="B4156" s="19">
        <v>105519</v>
      </c>
      <c r="C4156" s="20" t="s">
        <v>4246</v>
      </c>
      <c r="D4156" s="19" t="s">
        <v>29</v>
      </c>
      <c r="E4156" s="21" t="str">
        <f t="shared" si="191"/>
        <v>VERIFICAR</v>
      </c>
      <c r="F4156" s="22">
        <v>0</v>
      </c>
      <c r="G4156" s="21" t="str">
        <f t="shared" si="192"/>
        <v>VERIFICAR</v>
      </c>
      <c r="H4156" s="22">
        <v>0</v>
      </c>
      <c r="I4156" s="23" t="str">
        <f t="shared" si="193"/>
        <v xml:space="preserve">COM VALOR</v>
      </c>
      <c r="J4156" s="19"/>
      <c r="L4156" s="21">
        <v>0</v>
      </c>
      <c r="M4156" s="22"/>
      <c r="N4156" s="21">
        <v>0</v>
      </c>
      <c r="O4156" s="22"/>
    </row>
    <row r="4157" ht="25.5">
      <c r="A4157" t="s">
        <v>4247</v>
      </c>
      <c r="B4157" s="19">
        <v>101793</v>
      </c>
      <c r="C4157" s="20" t="s">
        <v>4248</v>
      </c>
      <c r="D4157" s="19" t="s">
        <v>121</v>
      </c>
      <c r="E4157" s="21">
        <f t="shared" si="191"/>
        <v>23.850000000000001</v>
      </c>
      <c r="F4157" s="22"/>
      <c r="G4157" s="21">
        <f t="shared" si="192"/>
        <v>23.239999999999998</v>
      </c>
      <c r="H4157" s="22"/>
      <c r="I4157" s="23" t="str">
        <f t="shared" si="193"/>
        <v xml:space="preserve">COM VALOR</v>
      </c>
      <c r="J4157" s="19"/>
      <c r="L4157" s="21">
        <v>23.850000000000001</v>
      </c>
      <c r="M4157" s="22">
        <v>0</v>
      </c>
      <c r="N4157" s="21">
        <v>23.239999999999998</v>
      </c>
      <c r="O4157" s="22">
        <v>0</v>
      </c>
    </row>
    <row r="4158" ht="25.5">
      <c r="A4158" t="s">
        <v>4247</v>
      </c>
      <c r="B4158" s="19">
        <v>101792</v>
      </c>
      <c r="C4158" s="20" t="s">
        <v>4249</v>
      </c>
      <c r="D4158" s="19" t="s">
        <v>121</v>
      </c>
      <c r="E4158" s="21">
        <f t="shared" si="191"/>
        <v>16.23</v>
      </c>
      <c r="F4158" s="22"/>
      <c r="G4158" s="21">
        <f t="shared" si="192"/>
        <v>15.77</v>
      </c>
      <c r="H4158" s="22"/>
      <c r="I4158" s="23" t="str">
        <f t="shared" si="193"/>
        <v xml:space="preserve">COM VALOR</v>
      </c>
      <c r="J4158" s="19"/>
      <c r="L4158" s="21">
        <v>16.23</v>
      </c>
      <c r="M4158" s="22">
        <v>0</v>
      </c>
      <c r="N4158" s="21">
        <v>15.77</v>
      </c>
      <c r="O4158" s="22">
        <v>0</v>
      </c>
    </row>
    <row r="4159" ht="25.5">
      <c r="A4159" t="s">
        <v>4247</v>
      </c>
      <c r="B4159" s="19">
        <v>92272</v>
      </c>
      <c r="C4159" s="20" t="s">
        <v>4250</v>
      </c>
      <c r="D4159" s="19" t="s">
        <v>38</v>
      </c>
      <c r="E4159" s="21">
        <f t="shared" si="191"/>
        <v>33.479999999999997</v>
      </c>
      <c r="F4159" s="22"/>
      <c r="G4159" s="21">
        <f t="shared" si="192"/>
        <v>33.090000000000003</v>
      </c>
      <c r="H4159" s="22"/>
      <c r="I4159" s="23" t="str">
        <f t="shared" si="193"/>
        <v xml:space="preserve">COM VALOR</v>
      </c>
      <c r="J4159" s="19"/>
      <c r="L4159" s="21">
        <v>33.479999999999997</v>
      </c>
      <c r="M4159" s="22">
        <v>0</v>
      </c>
      <c r="N4159" s="21">
        <v>33.090000000000003</v>
      </c>
      <c r="O4159" s="22">
        <v>0</v>
      </c>
    </row>
    <row r="4160" ht="25.5">
      <c r="A4160" t="s">
        <v>4247</v>
      </c>
      <c r="B4160" s="19">
        <v>101791</v>
      </c>
      <c r="C4160" s="20" t="s">
        <v>4251</v>
      </c>
      <c r="D4160" s="19" t="s">
        <v>38</v>
      </c>
      <c r="E4160" s="21">
        <f t="shared" si="191"/>
        <v>22.140000000000001</v>
      </c>
      <c r="F4160" s="22"/>
      <c r="G4160" s="21">
        <f t="shared" si="192"/>
        <v>22.010000000000002</v>
      </c>
      <c r="H4160" s="22"/>
      <c r="I4160" s="23" t="str">
        <f t="shared" si="193"/>
        <v xml:space="preserve">COM VALOR</v>
      </c>
      <c r="J4160" s="19"/>
      <c r="L4160" s="21">
        <v>22.140000000000001</v>
      </c>
      <c r="M4160" s="22">
        <v>0</v>
      </c>
      <c r="N4160" s="21">
        <v>22.010000000000002</v>
      </c>
      <c r="O4160" s="22">
        <v>0</v>
      </c>
    </row>
    <row r="4161" ht="25.5">
      <c r="A4161" t="s">
        <v>4247</v>
      </c>
      <c r="B4161" s="19">
        <v>92273</v>
      </c>
      <c r="C4161" s="20" t="s">
        <v>4252</v>
      </c>
      <c r="D4161" s="19" t="s">
        <v>38</v>
      </c>
      <c r="E4161" s="21">
        <f t="shared" si="191"/>
        <v>13.56</v>
      </c>
      <c r="F4161" s="22"/>
      <c r="G4161" s="21">
        <f t="shared" si="192"/>
        <v>13.32</v>
      </c>
      <c r="H4161" s="22"/>
      <c r="I4161" s="23" t="str">
        <f t="shared" si="193"/>
        <v xml:space="preserve">COM VALOR</v>
      </c>
      <c r="J4161" s="19"/>
      <c r="L4161" s="21">
        <v>13.56</v>
      </c>
      <c r="M4161" s="22">
        <v>0</v>
      </c>
      <c r="N4161" s="21">
        <v>13.32</v>
      </c>
      <c r="O4161" s="22">
        <v>0</v>
      </c>
    </row>
    <row r="4162" ht="25.5">
      <c r="A4162" t="s">
        <v>4247</v>
      </c>
      <c r="B4162" s="19">
        <v>92268</v>
      </c>
      <c r="C4162" s="20" t="s">
        <v>4253</v>
      </c>
      <c r="D4162" s="19" t="s">
        <v>29</v>
      </c>
      <c r="E4162" s="21">
        <f t="shared" si="191"/>
        <v>84.25</v>
      </c>
      <c r="F4162" s="22"/>
      <c r="G4162" s="21">
        <f t="shared" si="192"/>
        <v>84.180000000000007</v>
      </c>
      <c r="H4162" s="22"/>
      <c r="I4162" s="23" t="str">
        <f t="shared" si="193"/>
        <v xml:space="preserve">COM VALOR</v>
      </c>
      <c r="J4162" s="19"/>
      <c r="L4162" s="21">
        <v>84.25</v>
      </c>
      <c r="M4162" s="22">
        <v>0</v>
      </c>
      <c r="N4162" s="21">
        <v>84.180000000000007</v>
      </c>
      <c r="O4162" s="22">
        <v>0</v>
      </c>
    </row>
    <row r="4163" ht="25.5">
      <c r="A4163" t="s">
        <v>4247</v>
      </c>
      <c r="B4163" s="19">
        <v>92267</v>
      </c>
      <c r="C4163" s="20" t="s">
        <v>4254</v>
      </c>
      <c r="D4163" s="19" t="s">
        <v>29</v>
      </c>
      <c r="E4163" s="21">
        <f t="shared" si="191"/>
        <v>50.18</v>
      </c>
      <c r="F4163" s="22"/>
      <c r="G4163" s="21">
        <f t="shared" si="192"/>
        <v>50.109999999999999</v>
      </c>
      <c r="H4163" s="22"/>
      <c r="I4163" s="23" t="str">
        <f t="shared" si="193"/>
        <v xml:space="preserve">COM VALOR</v>
      </c>
      <c r="J4163" s="19"/>
      <c r="L4163" s="21">
        <v>50.18</v>
      </c>
      <c r="M4163" s="22">
        <v>0</v>
      </c>
      <c r="N4163" s="21">
        <v>50.109999999999999</v>
      </c>
      <c r="O4163" s="22">
        <v>0</v>
      </c>
    </row>
    <row r="4164" ht="25.5">
      <c r="A4164" t="s">
        <v>4247</v>
      </c>
      <c r="B4164" s="19">
        <v>92271</v>
      </c>
      <c r="C4164" s="20" t="s">
        <v>4255</v>
      </c>
      <c r="D4164" s="19" t="s">
        <v>29</v>
      </c>
      <c r="E4164" s="21">
        <f t="shared" si="191"/>
        <v>118.2</v>
      </c>
      <c r="F4164" s="22"/>
      <c r="G4164" s="21">
        <f t="shared" si="192"/>
        <v>118.17</v>
      </c>
      <c r="H4164" s="22"/>
      <c r="I4164" s="23" t="str">
        <f t="shared" si="193"/>
        <v xml:space="preserve">COM VALOR</v>
      </c>
      <c r="J4164" s="19"/>
      <c r="L4164" s="21">
        <v>118.2</v>
      </c>
      <c r="M4164" s="22">
        <v>0</v>
      </c>
      <c r="N4164" s="21">
        <v>118.17</v>
      </c>
      <c r="O4164" s="22">
        <v>0</v>
      </c>
    </row>
    <row r="4165" ht="25.5">
      <c r="A4165" t="s">
        <v>4247</v>
      </c>
      <c r="B4165" s="19">
        <v>92264</v>
      </c>
      <c r="C4165" s="20" t="s">
        <v>4256</v>
      </c>
      <c r="D4165" s="19" t="s">
        <v>29</v>
      </c>
      <c r="E4165" s="21">
        <f t="shared" si="191"/>
        <v>196.30000000000001</v>
      </c>
      <c r="F4165" s="22"/>
      <c r="G4165" s="21">
        <f t="shared" si="192"/>
        <v>193.49000000000001</v>
      </c>
      <c r="H4165" s="22"/>
      <c r="I4165" s="23" t="str">
        <f t="shared" si="193"/>
        <v xml:space="preserve">COM VALOR</v>
      </c>
      <c r="J4165" s="19"/>
      <c r="L4165" s="21">
        <v>196.30000000000001</v>
      </c>
      <c r="M4165" s="22">
        <v>0</v>
      </c>
      <c r="N4165" s="21">
        <v>193.49000000000001</v>
      </c>
      <c r="O4165" s="22">
        <v>0</v>
      </c>
    </row>
    <row r="4166" ht="25.5">
      <c r="A4166" t="s">
        <v>4247</v>
      </c>
      <c r="B4166" s="19">
        <v>92263</v>
      </c>
      <c r="C4166" s="20" t="s">
        <v>4257</v>
      </c>
      <c r="D4166" s="19" t="s">
        <v>29</v>
      </c>
      <c r="E4166" s="21">
        <f t="shared" si="191"/>
        <v>152.96000000000001</v>
      </c>
      <c r="F4166" s="22"/>
      <c r="G4166" s="21">
        <f t="shared" si="192"/>
        <v>150.15000000000001</v>
      </c>
      <c r="H4166" s="22"/>
      <c r="I4166" s="23" t="str">
        <f t="shared" si="193"/>
        <v xml:space="preserve">COM VALOR</v>
      </c>
      <c r="J4166" s="19"/>
      <c r="L4166" s="21">
        <v>152.96000000000001</v>
      </c>
      <c r="M4166" s="22">
        <v>0</v>
      </c>
      <c r="N4166" s="21">
        <v>150.15000000000001</v>
      </c>
      <c r="O4166" s="22">
        <v>0</v>
      </c>
    </row>
    <row r="4167" ht="25.5">
      <c r="A4167" t="s">
        <v>4247</v>
      </c>
      <c r="B4167" s="19">
        <v>92269</v>
      </c>
      <c r="C4167" s="20" t="s">
        <v>4258</v>
      </c>
      <c r="D4167" s="19" t="s">
        <v>29</v>
      </c>
      <c r="E4167" s="21">
        <f t="shared" si="191"/>
        <v>114.33</v>
      </c>
      <c r="F4167" s="22"/>
      <c r="G4167" s="21">
        <f t="shared" si="192"/>
        <v>112.70999999999999</v>
      </c>
      <c r="H4167" s="22"/>
      <c r="I4167" s="23" t="str">
        <f t="shared" si="193"/>
        <v xml:space="preserve">COM VALOR</v>
      </c>
      <c r="J4167" s="19"/>
      <c r="L4167" s="21">
        <v>114.33</v>
      </c>
      <c r="M4167" s="22">
        <v>0</v>
      </c>
      <c r="N4167" s="21">
        <v>112.70999999999999</v>
      </c>
      <c r="O4167" s="22">
        <v>0</v>
      </c>
    </row>
    <row r="4168" ht="25.5">
      <c r="A4168" t="s">
        <v>4247</v>
      </c>
      <c r="B4168" s="19">
        <v>92270</v>
      </c>
      <c r="C4168" s="20" t="s">
        <v>4259</v>
      </c>
      <c r="D4168" s="19" t="s">
        <v>29</v>
      </c>
      <c r="E4168" s="21">
        <f t="shared" si="191"/>
        <v>183.27000000000001</v>
      </c>
      <c r="F4168" s="22"/>
      <c r="G4168" s="21">
        <f t="shared" si="192"/>
        <v>181.22999999999999</v>
      </c>
      <c r="H4168" s="22"/>
      <c r="I4168" s="23" t="str">
        <f t="shared" si="193"/>
        <v xml:space="preserve">COM VALOR</v>
      </c>
      <c r="J4168" s="19"/>
      <c r="L4168" s="21">
        <v>183.27000000000001</v>
      </c>
      <c r="M4168" s="22">
        <v>0</v>
      </c>
      <c r="N4168" s="21">
        <v>181.22999999999999</v>
      </c>
      <c r="O4168" s="22">
        <v>0</v>
      </c>
    </row>
    <row r="4169" ht="25.5">
      <c r="A4169" t="s">
        <v>4247</v>
      </c>
      <c r="B4169" s="19">
        <v>92266</v>
      </c>
      <c r="C4169" s="20" t="s">
        <v>4260</v>
      </c>
      <c r="D4169" s="19" t="s">
        <v>29</v>
      </c>
      <c r="E4169" s="21">
        <f t="shared" si="191"/>
        <v>150.59999999999999</v>
      </c>
      <c r="F4169" s="22"/>
      <c r="G4169" s="21">
        <f t="shared" si="192"/>
        <v>148.33000000000001</v>
      </c>
      <c r="H4169" s="22"/>
      <c r="I4169" s="23" t="str">
        <f t="shared" si="193"/>
        <v xml:space="preserve">COM VALOR</v>
      </c>
      <c r="J4169" s="19"/>
      <c r="L4169" s="21">
        <v>150.59999999999999</v>
      </c>
      <c r="M4169" s="22">
        <v>0</v>
      </c>
      <c r="N4169" s="21">
        <v>148.33000000000001</v>
      </c>
      <c r="O4169" s="22">
        <v>0</v>
      </c>
    </row>
    <row r="4170" ht="25.5">
      <c r="A4170" t="s">
        <v>4247</v>
      </c>
      <c r="B4170" s="19">
        <v>92265</v>
      </c>
      <c r="C4170" s="20" t="s">
        <v>4261</v>
      </c>
      <c r="D4170" s="19" t="s">
        <v>29</v>
      </c>
      <c r="E4170" s="21">
        <f t="shared" si="191"/>
        <v>113.42</v>
      </c>
      <c r="F4170" s="22"/>
      <c r="G4170" s="21">
        <f t="shared" si="192"/>
        <v>111.15000000000001</v>
      </c>
      <c r="H4170" s="22"/>
      <c r="I4170" s="23" t="str">
        <f t="shared" si="193"/>
        <v xml:space="preserve">COM VALOR</v>
      </c>
      <c r="J4170" s="19"/>
      <c r="L4170" s="21">
        <v>113.42</v>
      </c>
      <c r="M4170" s="22">
        <v>0</v>
      </c>
      <c r="N4170" s="21">
        <v>111.15000000000001</v>
      </c>
      <c r="O4170" s="22">
        <v>0</v>
      </c>
    </row>
    <row r="4171" ht="38.25">
      <c r="A4171" t="s">
        <v>4247</v>
      </c>
      <c r="B4171" s="19">
        <v>92524</v>
      </c>
      <c r="C4171" s="20" t="s">
        <v>4262</v>
      </c>
      <c r="D4171" s="19" t="s">
        <v>29</v>
      </c>
      <c r="E4171" s="21">
        <f t="shared" ref="E4171:E4234" si="194">IF(L4171=0,"VERIFICAR",L4171)</f>
        <v>94.239999999999995</v>
      </c>
      <c r="F4171" s="22"/>
      <c r="G4171" s="21">
        <f t="shared" ref="G4171:G4234" si="195">IF(N4171=0,"VERIFICAR",N4171)</f>
        <v>92.640000000000001</v>
      </c>
      <c r="H4171" s="22"/>
      <c r="I4171" s="23" t="str">
        <f t="shared" ref="I4171:I4234" si="196">IF(OR(E4171=0,G4171=0),"SEM VALOR","COM VALOR")</f>
        <v xml:space="preserve">COM VALOR</v>
      </c>
      <c r="J4171" s="19"/>
      <c r="L4171" s="21">
        <v>94.239999999999995</v>
      </c>
      <c r="M4171" s="22">
        <v>5.0000000000000003e-002</v>
      </c>
      <c r="N4171" s="21">
        <v>92.640000000000001</v>
      </c>
      <c r="O4171" s="22">
        <v>5.0000000000000003e-002</v>
      </c>
    </row>
    <row r="4172" ht="38.25">
      <c r="A4172" t="s">
        <v>4247</v>
      </c>
      <c r="B4172" s="19">
        <v>92528</v>
      </c>
      <c r="C4172" s="20" t="s">
        <v>4263</v>
      </c>
      <c r="D4172" s="19" t="s">
        <v>29</v>
      </c>
      <c r="E4172" s="21">
        <f t="shared" si="194"/>
        <v>90.950000000000003</v>
      </c>
      <c r="F4172" s="22">
        <v>0</v>
      </c>
      <c r="G4172" s="21">
        <f t="shared" si="195"/>
        <v>89.469999999999999</v>
      </c>
      <c r="H4172" s="22">
        <v>0</v>
      </c>
      <c r="I4172" s="23" t="str">
        <f t="shared" si="196"/>
        <v xml:space="preserve">COM VALOR</v>
      </c>
      <c r="J4172" s="19"/>
      <c r="L4172" s="21">
        <v>90.950000000000003</v>
      </c>
      <c r="M4172" s="22">
        <v>5.9999999999999998e-002</v>
      </c>
      <c r="N4172" s="21">
        <v>89.469999999999999</v>
      </c>
      <c r="O4172" s="22">
        <v>5.9999999999999998e-002</v>
      </c>
    </row>
    <row r="4173" ht="38.25">
      <c r="A4173" t="s">
        <v>4247</v>
      </c>
      <c r="B4173" s="19">
        <v>92532</v>
      </c>
      <c r="C4173" s="20" t="s">
        <v>4264</v>
      </c>
      <c r="D4173" s="19" t="s">
        <v>29</v>
      </c>
      <c r="E4173" s="21">
        <f t="shared" si="194"/>
        <v>88.120000000000005</v>
      </c>
      <c r="F4173" s="22">
        <v>0</v>
      </c>
      <c r="G4173" s="21">
        <f t="shared" si="195"/>
        <v>86.739999999999995</v>
      </c>
      <c r="H4173" s="22">
        <v>0</v>
      </c>
      <c r="I4173" s="23" t="str">
        <f t="shared" si="196"/>
        <v xml:space="preserve">COM VALOR</v>
      </c>
      <c r="J4173" s="19"/>
      <c r="L4173" s="21">
        <v>88.120000000000005</v>
      </c>
      <c r="M4173" s="22">
        <v>5.9999999999999998e-002</v>
      </c>
      <c r="N4173" s="21">
        <v>86.739999999999995</v>
      </c>
      <c r="O4173" s="22">
        <v>5.9999999999999998e-002</v>
      </c>
    </row>
    <row r="4174" ht="38.25">
      <c r="A4174" t="s">
        <v>4247</v>
      </c>
      <c r="B4174" s="19">
        <v>92536</v>
      </c>
      <c r="C4174" s="20" t="s">
        <v>4265</v>
      </c>
      <c r="D4174" s="19" t="s">
        <v>29</v>
      </c>
      <c r="E4174" s="21">
        <f t="shared" si="194"/>
        <v>82.629999999999995</v>
      </c>
      <c r="F4174" s="22"/>
      <c r="G4174" s="21">
        <f t="shared" si="195"/>
        <v>81.459999999999994</v>
      </c>
      <c r="H4174" s="22"/>
      <c r="I4174" s="23" t="str">
        <f t="shared" si="196"/>
        <v xml:space="preserve">COM VALOR</v>
      </c>
      <c r="J4174" s="19"/>
      <c r="L4174" s="21">
        <v>82.629999999999995</v>
      </c>
      <c r="M4174" s="22">
        <v>5.9999999999999998e-002</v>
      </c>
      <c r="N4174" s="21">
        <v>81.459999999999994</v>
      </c>
      <c r="O4174" s="22">
        <v>5.9999999999999998e-002</v>
      </c>
    </row>
    <row r="4175" ht="38.25">
      <c r="A4175" t="s">
        <v>4247</v>
      </c>
      <c r="B4175" s="19">
        <v>92508</v>
      </c>
      <c r="C4175" s="20" t="s">
        <v>4266</v>
      </c>
      <c r="D4175" s="19" t="s">
        <v>29</v>
      </c>
      <c r="E4175" s="21">
        <f t="shared" si="194"/>
        <v>122.01000000000001</v>
      </c>
      <c r="F4175" s="22">
        <v>0</v>
      </c>
      <c r="G4175" s="21">
        <f t="shared" si="195"/>
        <v>119.79000000000001</v>
      </c>
      <c r="H4175" s="22">
        <v>0</v>
      </c>
      <c r="I4175" s="23" t="str">
        <f t="shared" si="196"/>
        <v xml:space="preserve">COM VALOR</v>
      </c>
      <c r="J4175" s="19"/>
      <c r="L4175" s="21">
        <v>122.01000000000001</v>
      </c>
      <c r="M4175" s="22">
        <v>4.0000000000000001e-002</v>
      </c>
      <c r="N4175" s="21">
        <v>119.79000000000001</v>
      </c>
      <c r="O4175" s="22">
        <v>4.0000000000000001e-002</v>
      </c>
    </row>
    <row r="4176" ht="38.25">
      <c r="A4176" t="s">
        <v>4247</v>
      </c>
      <c r="B4176" s="19">
        <v>92512</v>
      </c>
      <c r="C4176" s="20" t="s">
        <v>4267</v>
      </c>
      <c r="D4176" s="19" t="s">
        <v>29</v>
      </c>
      <c r="E4176" s="21">
        <f t="shared" si="194"/>
        <v>107.31</v>
      </c>
      <c r="F4176" s="22"/>
      <c r="G4176" s="21">
        <f t="shared" si="195"/>
        <v>105.26000000000001</v>
      </c>
      <c r="H4176" s="22"/>
      <c r="I4176" s="23" t="str">
        <f t="shared" si="196"/>
        <v xml:space="preserve">COM VALOR</v>
      </c>
      <c r="J4176" s="19"/>
      <c r="L4176" s="21">
        <v>107.31</v>
      </c>
      <c r="M4176" s="22">
        <v>5.0000000000000003e-002</v>
      </c>
      <c r="N4176" s="21">
        <v>105.26000000000001</v>
      </c>
      <c r="O4176" s="22">
        <v>5.0000000000000003e-002</v>
      </c>
    </row>
    <row r="4177" ht="38.25">
      <c r="A4177" t="s">
        <v>4247</v>
      </c>
      <c r="B4177" s="19">
        <v>92515</v>
      </c>
      <c r="C4177" s="20" t="s">
        <v>4268</v>
      </c>
      <c r="D4177" s="19" t="s">
        <v>29</v>
      </c>
      <c r="E4177" s="21">
        <f t="shared" si="194"/>
        <v>99.849999999999994</v>
      </c>
      <c r="F4177" s="22"/>
      <c r="G4177" s="21">
        <f t="shared" si="195"/>
        <v>97.950000000000003</v>
      </c>
      <c r="H4177" s="22"/>
      <c r="I4177" s="23" t="str">
        <f t="shared" si="196"/>
        <v xml:space="preserve">COM VALOR</v>
      </c>
      <c r="J4177" s="19"/>
      <c r="L4177" s="21">
        <v>99.849999999999994</v>
      </c>
      <c r="M4177" s="22">
        <v>5.0000000000000003e-002</v>
      </c>
      <c r="N4177" s="21">
        <v>97.950000000000003</v>
      </c>
      <c r="O4177" s="22">
        <v>5.0000000000000003e-002</v>
      </c>
    </row>
    <row r="4178" ht="38.25">
      <c r="A4178" t="s">
        <v>4247</v>
      </c>
      <c r="B4178" s="19">
        <v>92520</v>
      </c>
      <c r="C4178" s="20" t="s">
        <v>4269</v>
      </c>
      <c r="D4178" s="19" t="s">
        <v>29</v>
      </c>
      <c r="E4178" s="21">
        <f t="shared" si="194"/>
        <v>94.879999999999995</v>
      </c>
      <c r="F4178" s="22">
        <v>1.e-002</v>
      </c>
      <c r="G4178" s="21">
        <f t="shared" si="195"/>
        <v>93.140000000000001</v>
      </c>
      <c r="H4178" s="22">
        <v>1.e-002</v>
      </c>
      <c r="I4178" s="23" t="str">
        <f t="shared" si="196"/>
        <v xml:space="preserve">COM VALOR</v>
      </c>
      <c r="J4178" s="19"/>
      <c r="L4178" s="21">
        <v>94.879999999999995</v>
      </c>
      <c r="M4178" s="22">
        <v>5.0000000000000003e-002</v>
      </c>
      <c r="N4178" s="21">
        <v>93.140000000000001</v>
      </c>
      <c r="O4178" s="22">
        <v>5.0000000000000003e-002</v>
      </c>
    </row>
    <row r="4179" ht="38.25">
      <c r="A4179" t="s">
        <v>4247</v>
      </c>
      <c r="B4179" s="19">
        <v>92526</v>
      </c>
      <c r="C4179" s="20" t="s">
        <v>4270</v>
      </c>
      <c r="D4179" s="19" t="s">
        <v>29</v>
      </c>
      <c r="E4179" s="21">
        <f t="shared" si="194"/>
        <v>46.640000000000001</v>
      </c>
      <c r="F4179" s="22"/>
      <c r="G4179" s="21">
        <f t="shared" si="195"/>
        <v>45.700000000000003</v>
      </c>
      <c r="H4179" s="22"/>
      <c r="I4179" s="23" t="str">
        <f t="shared" si="196"/>
        <v xml:space="preserve">COM VALOR</v>
      </c>
      <c r="J4179" s="19"/>
      <c r="L4179" s="21">
        <v>46.640000000000001</v>
      </c>
      <c r="M4179" s="22">
        <v>0.11</v>
      </c>
      <c r="N4179" s="21">
        <v>45.700000000000003</v>
      </c>
      <c r="O4179" s="22">
        <v>0.11</v>
      </c>
    </row>
    <row r="4180" ht="38.25">
      <c r="A4180" t="s">
        <v>4247</v>
      </c>
      <c r="B4180" s="19">
        <v>92530</v>
      </c>
      <c r="C4180" s="20" t="s">
        <v>4271</v>
      </c>
      <c r="D4180" s="19" t="s">
        <v>29</v>
      </c>
      <c r="E4180" s="21">
        <f t="shared" si="194"/>
        <v>44.25</v>
      </c>
      <c r="F4180" s="22"/>
      <c r="G4180" s="21">
        <f t="shared" si="195"/>
        <v>43.380000000000003</v>
      </c>
      <c r="H4180" s="22"/>
      <c r="I4180" s="23" t="str">
        <f t="shared" si="196"/>
        <v xml:space="preserve">COM VALOR</v>
      </c>
      <c r="J4180" s="19"/>
      <c r="L4180" s="21">
        <v>44.25</v>
      </c>
      <c r="M4180" s="22">
        <v>0.11</v>
      </c>
      <c r="N4180" s="21">
        <v>43.380000000000003</v>
      </c>
      <c r="O4180" s="22">
        <v>0.12</v>
      </c>
    </row>
    <row r="4181" ht="38.25">
      <c r="A4181" t="s">
        <v>4247</v>
      </c>
      <c r="B4181" s="19">
        <v>92534</v>
      </c>
      <c r="C4181" s="20" t="s">
        <v>4272</v>
      </c>
      <c r="D4181" s="19" t="s">
        <v>29</v>
      </c>
      <c r="E4181" s="21">
        <f t="shared" si="194"/>
        <v>42.219999999999999</v>
      </c>
      <c r="F4181" s="22">
        <v>0.98999999999999999</v>
      </c>
      <c r="G4181" s="21">
        <f t="shared" si="195"/>
        <v>41.409999999999997</v>
      </c>
      <c r="H4181" s="22">
        <v>0.98999999999999999</v>
      </c>
      <c r="I4181" s="23" t="str">
        <f t="shared" si="196"/>
        <v xml:space="preserve">COM VALOR</v>
      </c>
      <c r="J4181" s="19"/>
      <c r="L4181" s="21">
        <v>42.219999999999999</v>
      </c>
      <c r="M4181" s="22">
        <v>0.12</v>
      </c>
      <c r="N4181" s="21">
        <v>41.409999999999997</v>
      </c>
      <c r="O4181" s="22">
        <v>0.12</v>
      </c>
    </row>
    <row r="4182" ht="38.25">
      <c r="A4182" t="s">
        <v>4247</v>
      </c>
      <c r="B4182" s="19">
        <v>92538</v>
      </c>
      <c r="C4182" s="20" t="s">
        <v>4273</v>
      </c>
      <c r="D4182" s="19" t="s">
        <v>29</v>
      </c>
      <c r="E4182" s="21">
        <f t="shared" si="194"/>
        <v>38.159999999999997</v>
      </c>
      <c r="F4182" s="22">
        <v>0</v>
      </c>
      <c r="G4182" s="21">
        <f t="shared" si="195"/>
        <v>37.490000000000002</v>
      </c>
      <c r="H4182" s="22">
        <v>0</v>
      </c>
      <c r="I4182" s="23" t="str">
        <f t="shared" si="196"/>
        <v xml:space="preserve">COM VALOR</v>
      </c>
      <c r="J4182" s="19"/>
      <c r="L4182" s="21">
        <v>38.159999999999997</v>
      </c>
      <c r="M4182" s="22">
        <v>0.13</v>
      </c>
      <c r="N4182" s="21">
        <v>37.490000000000002</v>
      </c>
      <c r="O4182" s="22">
        <v>0.13</v>
      </c>
    </row>
    <row r="4183" ht="38.25">
      <c r="A4183" t="s">
        <v>4247</v>
      </c>
      <c r="B4183" s="19">
        <v>103760</v>
      </c>
      <c r="C4183" s="20" t="s">
        <v>4274</v>
      </c>
      <c r="D4183" s="19" t="s">
        <v>29</v>
      </c>
      <c r="E4183" s="21">
        <f t="shared" si="194"/>
        <v>117.67</v>
      </c>
      <c r="F4183" s="22">
        <v>0</v>
      </c>
      <c r="G4183" s="21">
        <f t="shared" si="195"/>
        <v>115.54000000000001</v>
      </c>
      <c r="H4183" s="22">
        <v>0</v>
      </c>
      <c r="I4183" s="23" t="str">
        <f t="shared" si="196"/>
        <v xml:space="preserve">COM VALOR</v>
      </c>
      <c r="J4183" s="19"/>
      <c r="L4183" s="21">
        <v>117.67</v>
      </c>
      <c r="M4183" s="22">
        <v>0</v>
      </c>
      <c r="N4183" s="21">
        <v>115.54000000000001</v>
      </c>
      <c r="O4183" s="22">
        <v>0</v>
      </c>
    </row>
    <row r="4184" ht="38.25">
      <c r="A4184" t="s">
        <v>4247</v>
      </c>
      <c r="B4184" s="19">
        <v>103761</v>
      </c>
      <c r="C4184" s="20" t="s">
        <v>4275</v>
      </c>
      <c r="D4184" s="19" t="s">
        <v>29</v>
      </c>
      <c r="E4184" s="21">
        <f t="shared" si="194"/>
        <v>78.950000000000003</v>
      </c>
      <c r="F4184" s="22">
        <v>0</v>
      </c>
      <c r="G4184" s="21">
        <f t="shared" si="195"/>
        <v>77</v>
      </c>
      <c r="H4184" s="22">
        <v>0</v>
      </c>
      <c r="I4184" s="23" t="str">
        <f t="shared" si="196"/>
        <v xml:space="preserve">COM VALOR</v>
      </c>
      <c r="J4184" s="19"/>
      <c r="L4184" s="21">
        <v>78.950000000000003</v>
      </c>
      <c r="M4184" s="22">
        <v>0</v>
      </c>
      <c r="N4184" s="21">
        <v>77</v>
      </c>
      <c r="O4184" s="22">
        <v>0</v>
      </c>
    </row>
    <row r="4185" ht="38.25">
      <c r="A4185" t="s">
        <v>4247</v>
      </c>
      <c r="B4185" s="19">
        <v>103762</v>
      </c>
      <c r="C4185" s="20" t="s">
        <v>4276</v>
      </c>
      <c r="D4185" s="19" t="s">
        <v>29</v>
      </c>
      <c r="E4185" s="21">
        <f t="shared" si="194"/>
        <v>67.510000000000005</v>
      </c>
      <c r="F4185" s="22">
        <v>0</v>
      </c>
      <c r="G4185" s="21">
        <f t="shared" si="195"/>
        <v>65.719999999999999</v>
      </c>
      <c r="H4185" s="22">
        <v>0</v>
      </c>
      <c r="I4185" s="23" t="str">
        <f t="shared" si="196"/>
        <v xml:space="preserve">COM VALOR</v>
      </c>
      <c r="J4185" s="19"/>
      <c r="L4185" s="21">
        <v>67.510000000000005</v>
      </c>
      <c r="M4185" s="22">
        <v>0</v>
      </c>
      <c r="N4185" s="21">
        <v>65.719999999999999</v>
      </c>
      <c r="O4185" s="22">
        <v>0</v>
      </c>
    </row>
    <row r="4186" ht="38.25">
      <c r="A4186" t="s">
        <v>4247</v>
      </c>
      <c r="B4186" s="19">
        <v>103763</v>
      </c>
      <c r="C4186" s="20" t="s">
        <v>4277</v>
      </c>
      <c r="D4186" s="19" t="s">
        <v>29</v>
      </c>
      <c r="E4186" s="21">
        <f t="shared" si="194"/>
        <v>59.390000000000001</v>
      </c>
      <c r="F4186" s="22">
        <v>0</v>
      </c>
      <c r="G4186" s="21">
        <f t="shared" si="195"/>
        <v>57.740000000000002</v>
      </c>
      <c r="H4186" s="22">
        <v>0</v>
      </c>
      <c r="I4186" s="23" t="str">
        <f t="shared" si="196"/>
        <v xml:space="preserve">COM VALOR</v>
      </c>
      <c r="J4186" s="19"/>
      <c r="L4186" s="21">
        <v>59.390000000000001</v>
      </c>
      <c r="M4186" s="22">
        <v>0</v>
      </c>
      <c r="N4186" s="21">
        <v>57.740000000000002</v>
      </c>
      <c r="O4186" s="22">
        <v>0</v>
      </c>
    </row>
    <row r="4187" ht="38.25">
      <c r="A4187" t="s">
        <v>4247</v>
      </c>
      <c r="B4187" s="19">
        <v>92510</v>
      </c>
      <c r="C4187" s="20" t="s">
        <v>4278</v>
      </c>
      <c r="D4187" s="19" t="s">
        <v>29</v>
      </c>
      <c r="E4187" s="21">
        <f t="shared" si="194"/>
        <v>70.090000000000003</v>
      </c>
      <c r="F4187" s="22">
        <v>0</v>
      </c>
      <c r="G4187" s="21">
        <f t="shared" si="195"/>
        <v>68.790000000000006</v>
      </c>
      <c r="H4187" s="22">
        <v>0</v>
      </c>
      <c r="I4187" s="23" t="str">
        <f t="shared" si="196"/>
        <v xml:space="preserve">COM VALOR</v>
      </c>
      <c r="J4187" s="19"/>
      <c r="L4187" s="21">
        <v>70.090000000000003</v>
      </c>
      <c r="M4187" s="22">
        <v>7.0000000000000007e-002</v>
      </c>
      <c r="N4187" s="21">
        <v>68.790000000000006</v>
      </c>
      <c r="O4187" s="22">
        <v>7.0000000000000007e-002</v>
      </c>
    </row>
    <row r="4188" ht="38.25">
      <c r="A4188" t="s">
        <v>4247</v>
      </c>
      <c r="B4188" s="19">
        <v>92514</v>
      </c>
      <c r="C4188" s="20" t="s">
        <v>4279</v>
      </c>
      <c r="D4188" s="19" t="s">
        <v>29</v>
      </c>
      <c r="E4188" s="21">
        <f t="shared" si="194"/>
        <v>56.579999999999998</v>
      </c>
      <c r="F4188" s="22">
        <v>0</v>
      </c>
      <c r="G4188" s="21">
        <f t="shared" si="195"/>
        <v>55.380000000000003</v>
      </c>
      <c r="H4188" s="22">
        <v>0</v>
      </c>
      <c r="I4188" s="23" t="str">
        <f t="shared" si="196"/>
        <v xml:space="preserve">COM VALOR</v>
      </c>
      <c r="J4188" s="19"/>
      <c r="L4188" s="21">
        <v>56.579999999999998</v>
      </c>
      <c r="M4188" s="22">
        <v>8.9999999999999997e-002</v>
      </c>
      <c r="N4188" s="21">
        <v>55.380000000000003</v>
      </c>
      <c r="O4188" s="22">
        <v>8.9999999999999997e-002</v>
      </c>
    </row>
    <row r="4189" ht="38.25">
      <c r="A4189" t="s">
        <v>4247</v>
      </c>
      <c r="B4189" s="19">
        <v>92518</v>
      </c>
      <c r="C4189" s="20" t="s">
        <v>4280</v>
      </c>
      <c r="D4189" s="19" t="s">
        <v>29</v>
      </c>
      <c r="E4189" s="21">
        <f t="shared" si="194"/>
        <v>50.25</v>
      </c>
      <c r="F4189" s="22">
        <v>0</v>
      </c>
      <c r="G4189" s="21">
        <f t="shared" si="195"/>
        <v>49.140000000000001</v>
      </c>
      <c r="H4189" s="22">
        <v>0</v>
      </c>
      <c r="I4189" s="23" t="str">
        <f t="shared" si="196"/>
        <v xml:space="preserve">COM VALOR</v>
      </c>
      <c r="J4189" s="19"/>
      <c r="L4189" s="21">
        <v>50.25</v>
      </c>
      <c r="M4189" s="22">
        <v>0.10000000000000001</v>
      </c>
      <c r="N4189" s="21">
        <v>49.140000000000001</v>
      </c>
      <c r="O4189" s="22">
        <v>0.10000000000000001</v>
      </c>
    </row>
    <row r="4190" ht="38.25">
      <c r="A4190" t="s">
        <v>4247</v>
      </c>
      <c r="B4190" s="19">
        <v>92522</v>
      </c>
      <c r="C4190" s="20" t="s">
        <v>4281</v>
      </c>
      <c r="D4190" s="19" t="s">
        <v>29</v>
      </c>
      <c r="E4190" s="21">
        <f t="shared" si="194"/>
        <v>46.310000000000002</v>
      </c>
      <c r="F4190" s="22">
        <v>0</v>
      </c>
      <c r="G4190" s="21">
        <f t="shared" si="195"/>
        <v>45.299999999999997</v>
      </c>
      <c r="H4190" s="22">
        <v>0</v>
      </c>
      <c r="I4190" s="23" t="str">
        <f t="shared" si="196"/>
        <v xml:space="preserve">COM VALOR</v>
      </c>
      <c r="J4190" s="19"/>
      <c r="L4190" s="21">
        <v>46.310000000000002</v>
      </c>
      <c r="M4190" s="22">
        <v>0.11</v>
      </c>
      <c r="N4190" s="21">
        <v>45.299999999999997</v>
      </c>
      <c r="O4190" s="22">
        <v>0.11</v>
      </c>
    </row>
    <row r="4191" ht="25.5">
      <c r="A4191" t="s">
        <v>4247</v>
      </c>
      <c r="B4191" s="19">
        <v>92482</v>
      </c>
      <c r="C4191" s="20" t="s">
        <v>4282</v>
      </c>
      <c r="D4191" s="19" t="s">
        <v>29</v>
      </c>
      <c r="E4191" s="21">
        <f t="shared" si="194"/>
        <v>348.10000000000002</v>
      </c>
      <c r="F4191" s="22">
        <v>0</v>
      </c>
      <c r="G4191" s="21">
        <f t="shared" si="195"/>
        <v>340.43000000000001</v>
      </c>
      <c r="H4191" s="22">
        <v>0</v>
      </c>
      <c r="I4191" s="23" t="str">
        <f t="shared" si="196"/>
        <v xml:space="preserve">COM VALOR</v>
      </c>
      <c r="J4191" s="19"/>
      <c r="L4191" s="21">
        <v>348.10000000000002</v>
      </c>
      <c r="M4191" s="22">
        <v>0</v>
      </c>
      <c r="N4191" s="21">
        <v>340.43000000000001</v>
      </c>
      <c r="O4191" s="22">
        <v>0</v>
      </c>
    </row>
    <row r="4192" ht="25.5">
      <c r="A4192" t="s">
        <v>4247</v>
      </c>
      <c r="B4192" s="19">
        <v>92484</v>
      </c>
      <c r="C4192" s="20" t="s">
        <v>4283</v>
      </c>
      <c r="D4192" s="19" t="s">
        <v>29</v>
      </c>
      <c r="E4192" s="21">
        <f t="shared" si="194"/>
        <v>238.11000000000001</v>
      </c>
      <c r="F4192" s="22">
        <v>0</v>
      </c>
      <c r="G4192" s="21">
        <f t="shared" si="195"/>
        <v>231.77000000000001</v>
      </c>
      <c r="H4192" s="22">
        <v>0</v>
      </c>
      <c r="I4192" s="23" t="str">
        <f t="shared" si="196"/>
        <v xml:space="preserve">COM VALOR</v>
      </c>
      <c r="J4192" s="19"/>
      <c r="L4192" s="21">
        <v>238.11000000000001</v>
      </c>
      <c r="M4192" s="22">
        <v>0</v>
      </c>
      <c r="N4192" s="21">
        <v>231.77000000000001</v>
      </c>
      <c r="O4192" s="22">
        <v>0</v>
      </c>
    </row>
    <row r="4193" ht="25.5">
      <c r="A4193" t="s">
        <v>4247</v>
      </c>
      <c r="B4193" s="19">
        <v>92486</v>
      </c>
      <c r="C4193" s="20" t="s">
        <v>4284</v>
      </c>
      <c r="D4193" s="19" t="s">
        <v>29</v>
      </c>
      <c r="E4193" s="21">
        <f t="shared" si="194"/>
        <v>168.44</v>
      </c>
      <c r="F4193" s="22">
        <v>0</v>
      </c>
      <c r="G4193" s="21">
        <f t="shared" si="195"/>
        <v>163.19</v>
      </c>
      <c r="H4193" s="22">
        <v>0</v>
      </c>
      <c r="I4193" s="23" t="str">
        <f t="shared" si="196"/>
        <v xml:space="preserve">COM VALOR</v>
      </c>
      <c r="J4193" s="19"/>
      <c r="L4193" s="21">
        <v>168.44</v>
      </c>
      <c r="M4193" s="22">
        <v>0</v>
      </c>
      <c r="N4193" s="21">
        <v>163.19</v>
      </c>
      <c r="O4193" s="22">
        <v>0</v>
      </c>
    </row>
    <row r="4194" ht="38.25">
      <c r="A4194" t="s">
        <v>4247</v>
      </c>
      <c r="B4194" s="19">
        <v>92492</v>
      </c>
      <c r="C4194" s="20" t="s">
        <v>4285</v>
      </c>
      <c r="D4194" s="19" t="s">
        <v>29</v>
      </c>
      <c r="E4194" s="21">
        <f t="shared" si="194"/>
        <v>127.75</v>
      </c>
      <c r="F4194" s="22">
        <v>0</v>
      </c>
      <c r="G4194" s="21">
        <f t="shared" si="195"/>
        <v>125.12</v>
      </c>
      <c r="H4194" s="22">
        <v>0</v>
      </c>
      <c r="I4194" s="23" t="str">
        <f t="shared" si="196"/>
        <v xml:space="preserve">COM VALOR</v>
      </c>
      <c r="J4194" s="19"/>
      <c r="L4194" s="21">
        <v>127.75</v>
      </c>
      <c r="M4194" s="22">
        <v>4.0000000000000001e-002</v>
      </c>
      <c r="N4194" s="21">
        <v>125.12</v>
      </c>
      <c r="O4194" s="22">
        <v>4.0000000000000001e-002</v>
      </c>
    </row>
    <row r="4195" ht="38.25">
      <c r="A4195" t="s">
        <v>4247</v>
      </c>
      <c r="B4195" s="19">
        <v>92496</v>
      </c>
      <c r="C4195" s="20" t="s">
        <v>4286</v>
      </c>
      <c r="D4195" s="19" t="s">
        <v>29</v>
      </c>
      <c r="E4195" s="21">
        <f t="shared" si="194"/>
        <v>123.11</v>
      </c>
      <c r="F4195" s="22">
        <v>0</v>
      </c>
      <c r="G4195" s="21">
        <f t="shared" si="195"/>
        <v>120.66</v>
      </c>
      <c r="H4195" s="22">
        <v>0</v>
      </c>
      <c r="I4195" s="23" t="str">
        <f t="shared" si="196"/>
        <v xml:space="preserve">COM VALOR</v>
      </c>
      <c r="J4195" s="19"/>
      <c r="L4195" s="21">
        <v>123.11</v>
      </c>
      <c r="M4195" s="22">
        <v>4.0000000000000001e-002</v>
      </c>
      <c r="N4195" s="21">
        <v>120.66</v>
      </c>
      <c r="O4195" s="22">
        <v>4.0000000000000001e-002</v>
      </c>
    </row>
    <row r="4196" ht="38.25">
      <c r="A4196" t="s">
        <v>4247</v>
      </c>
      <c r="B4196" s="19">
        <v>92500</v>
      </c>
      <c r="C4196" s="20" t="s">
        <v>4287</v>
      </c>
      <c r="D4196" s="19" t="s">
        <v>29</v>
      </c>
      <c r="E4196" s="21">
        <f t="shared" si="194"/>
        <v>119.33</v>
      </c>
      <c r="F4196" s="22">
        <v>0</v>
      </c>
      <c r="G4196" s="21">
        <f t="shared" si="195"/>
        <v>117.09</v>
      </c>
      <c r="H4196" s="22">
        <v>0</v>
      </c>
      <c r="I4196" s="23" t="str">
        <f t="shared" si="196"/>
        <v xml:space="preserve">COM VALOR</v>
      </c>
      <c r="J4196" s="19"/>
      <c r="L4196" s="21">
        <v>119.33</v>
      </c>
      <c r="M4196" s="22">
        <v>4.0000000000000001e-002</v>
      </c>
      <c r="N4196" s="21">
        <v>117.09</v>
      </c>
      <c r="O4196" s="22">
        <v>4.0000000000000001e-002</v>
      </c>
    </row>
    <row r="4197" ht="38.25">
      <c r="A4197" t="s">
        <v>4247</v>
      </c>
      <c r="B4197" s="19">
        <v>92504</v>
      </c>
      <c r="C4197" s="20" t="s">
        <v>4288</v>
      </c>
      <c r="D4197" s="19" t="s">
        <v>29</v>
      </c>
      <c r="E4197" s="21">
        <f t="shared" si="194"/>
        <v>112.48</v>
      </c>
      <c r="F4197" s="22">
        <v>0</v>
      </c>
      <c r="G4197" s="21">
        <f t="shared" si="195"/>
        <v>110.56</v>
      </c>
      <c r="H4197" s="22">
        <v>0</v>
      </c>
      <c r="I4197" s="23" t="str">
        <f t="shared" si="196"/>
        <v xml:space="preserve">COM VALOR</v>
      </c>
      <c r="J4197" s="19"/>
      <c r="L4197" s="21">
        <v>112.48</v>
      </c>
      <c r="M4197" s="22">
        <v>4.0000000000000001e-002</v>
      </c>
      <c r="N4197" s="21">
        <v>110.56</v>
      </c>
      <c r="O4197" s="22">
        <v>5.0000000000000003e-002</v>
      </c>
    </row>
    <row r="4198" ht="38.25">
      <c r="A4198" t="s">
        <v>4247</v>
      </c>
      <c r="B4198" s="19">
        <v>92488</v>
      </c>
      <c r="C4198" s="20" t="s">
        <v>4289</v>
      </c>
      <c r="D4198" s="19" t="s">
        <v>29</v>
      </c>
      <c r="E4198" s="21">
        <f t="shared" si="194"/>
        <v>133.31999999999999</v>
      </c>
      <c r="F4198" s="22">
        <v>0</v>
      </c>
      <c r="G4198" s="21">
        <f t="shared" si="195"/>
        <v>130.47</v>
      </c>
      <c r="H4198" s="22">
        <v>0</v>
      </c>
      <c r="I4198" s="23" t="str">
        <f t="shared" si="196"/>
        <v xml:space="preserve">COM VALOR</v>
      </c>
      <c r="J4198" s="19"/>
      <c r="L4198" s="21">
        <v>133.31999999999999</v>
      </c>
      <c r="M4198" s="22">
        <v>4.0000000000000001e-002</v>
      </c>
      <c r="N4198" s="21">
        <v>130.47</v>
      </c>
      <c r="O4198" s="22">
        <v>4.0000000000000001e-002</v>
      </c>
    </row>
    <row r="4199" ht="38.25">
      <c r="A4199" t="s">
        <v>4247</v>
      </c>
      <c r="B4199" s="19">
        <v>92494</v>
      </c>
      <c r="C4199" s="20" t="s">
        <v>4290</v>
      </c>
      <c r="D4199" s="19" t="s">
        <v>29</v>
      </c>
      <c r="E4199" s="21">
        <f t="shared" si="194"/>
        <v>78.849999999999994</v>
      </c>
      <c r="F4199" s="22">
        <v>0</v>
      </c>
      <c r="G4199" s="21">
        <f t="shared" si="195"/>
        <v>76.980000000000004</v>
      </c>
      <c r="H4199" s="22">
        <v>0</v>
      </c>
      <c r="I4199" s="23" t="str">
        <f t="shared" si="196"/>
        <v xml:space="preserve">COM VALOR</v>
      </c>
      <c r="J4199" s="19"/>
      <c r="L4199" s="21">
        <v>78.849999999999994</v>
      </c>
      <c r="M4199" s="22">
        <v>5.9999999999999998e-002</v>
      </c>
      <c r="N4199" s="21">
        <v>76.980000000000004</v>
      </c>
      <c r="O4199" s="22">
        <v>7.0000000000000007e-002</v>
      </c>
    </row>
    <row r="4200" ht="38.25">
      <c r="A4200" t="s">
        <v>4247</v>
      </c>
      <c r="B4200" s="19">
        <v>92498</v>
      </c>
      <c r="C4200" s="20" t="s">
        <v>4291</v>
      </c>
      <c r="D4200" s="19" t="s">
        <v>29</v>
      </c>
      <c r="E4200" s="21">
        <f t="shared" si="194"/>
        <v>75.150000000000006</v>
      </c>
      <c r="F4200" s="22">
        <v>0</v>
      </c>
      <c r="G4200" s="21">
        <f t="shared" si="195"/>
        <v>73.400000000000006</v>
      </c>
      <c r="H4200" s="22">
        <v>0</v>
      </c>
      <c r="I4200" s="23" t="str">
        <f t="shared" si="196"/>
        <v xml:space="preserve">COM VALOR</v>
      </c>
      <c r="J4200" s="19"/>
      <c r="L4200" s="21">
        <v>75.150000000000006</v>
      </c>
      <c r="M4200" s="22">
        <v>7.0000000000000007e-002</v>
      </c>
      <c r="N4200" s="21">
        <v>73.400000000000006</v>
      </c>
      <c r="O4200" s="22">
        <v>7.0000000000000007e-002</v>
      </c>
    </row>
    <row r="4201" ht="38.25">
      <c r="A4201" t="s">
        <v>4247</v>
      </c>
      <c r="B4201" s="19">
        <v>92502</v>
      </c>
      <c r="C4201" s="20" t="s">
        <v>4292</v>
      </c>
      <c r="D4201" s="19" t="s">
        <v>29</v>
      </c>
      <c r="E4201" s="21">
        <f t="shared" si="194"/>
        <v>72.299999999999997</v>
      </c>
      <c r="F4201" s="22">
        <v>0</v>
      </c>
      <c r="G4201" s="21">
        <f t="shared" si="195"/>
        <v>70.700000000000003</v>
      </c>
      <c r="H4201" s="22">
        <v>0</v>
      </c>
      <c r="I4201" s="23" t="str">
        <f t="shared" si="196"/>
        <v xml:space="preserve">COM VALOR</v>
      </c>
      <c r="J4201" s="19"/>
      <c r="L4201" s="21">
        <v>72.299999999999997</v>
      </c>
      <c r="M4201" s="22">
        <v>7.0000000000000007e-002</v>
      </c>
      <c r="N4201" s="21">
        <v>70.700000000000003</v>
      </c>
      <c r="O4201" s="22">
        <v>7.0000000000000007e-002</v>
      </c>
    </row>
    <row r="4202" ht="38.25">
      <c r="A4202" t="s">
        <v>4247</v>
      </c>
      <c r="B4202" s="19">
        <v>92506</v>
      </c>
      <c r="C4202" s="20" t="s">
        <v>4293</v>
      </c>
      <c r="D4202" s="19" t="s">
        <v>29</v>
      </c>
      <c r="E4202" s="21">
        <f t="shared" si="194"/>
        <v>67.049999999999997</v>
      </c>
      <c r="F4202" s="22">
        <v>0</v>
      </c>
      <c r="G4202" s="21">
        <f t="shared" si="195"/>
        <v>65.670000000000002</v>
      </c>
      <c r="H4202" s="22">
        <v>0</v>
      </c>
      <c r="I4202" s="23" t="str">
        <f t="shared" si="196"/>
        <v xml:space="preserve">COM VALOR</v>
      </c>
      <c r="J4202" s="19"/>
      <c r="L4202" s="21">
        <v>67.049999999999997</v>
      </c>
      <c r="M4202" s="22">
        <v>8.0000000000000002e-002</v>
      </c>
      <c r="N4202" s="21">
        <v>65.670000000000002</v>
      </c>
      <c r="O4202" s="22">
        <v>8.0000000000000002e-002</v>
      </c>
    </row>
    <row r="4203" ht="38.25">
      <c r="A4203" t="s">
        <v>4247</v>
      </c>
      <c r="B4203" s="19">
        <v>92490</v>
      </c>
      <c r="C4203" s="20" t="s">
        <v>4294</v>
      </c>
      <c r="D4203" s="19" t="s">
        <v>29</v>
      </c>
      <c r="E4203" s="21">
        <f t="shared" si="194"/>
        <v>83.319999999999993</v>
      </c>
      <c r="F4203" s="22">
        <v>0</v>
      </c>
      <c r="G4203" s="21">
        <f t="shared" si="195"/>
        <v>81.269999999999996</v>
      </c>
      <c r="H4203" s="22">
        <v>0</v>
      </c>
      <c r="I4203" s="23" t="str">
        <f t="shared" si="196"/>
        <v xml:space="preserve">COM VALOR</v>
      </c>
      <c r="J4203" s="19"/>
      <c r="L4203" s="21">
        <v>83.319999999999993</v>
      </c>
      <c r="M4203" s="22">
        <v>5.9999999999999998e-002</v>
      </c>
      <c r="N4203" s="21">
        <v>81.269999999999996</v>
      </c>
      <c r="O4203" s="22">
        <v>5.9999999999999998e-002</v>
      </c>
    </row>
    <row r="4204" ht="38.25">
      <c r="A4204" t="s">
        <v>4247</v>
      </c>
      <c r="B4204" s="19">
        <v>92433</v>
      </c>
      <c r="C4204" s="20" t="s">
        <v>4295</v>
      </c>
      <c r="D4204" s="19" t="s">
        <v>29</v>
      </c>
      <c r="E4204" s="21">
        <f t="shared" si="194"/>
        <v>83.670000000000002</v>
      </c>
      <c r="F4204" s="22">
        <v>0</v>
      </c>
      <c r="G4204" s="21">
        <f t="shared" si="195"/>
        <v>81.359999999999999</v>
      </c>
      <c r="H4204" s="22">
        <v>0</v>
      </c>
      <c r="I4204" s="23" t="str">
        <f t="shared" si="196"/>
        <v xml:space="preserve">COM VALOR</v>
      </c>
      <c r="J4204" s="19"/>
      <c r="L4204" s="21">
        <v>83.670000000000002</v>
      </c>
      <c r="M4204" s="22">
        <v>0</v>
      </c>
      <c r="N4204" s="21">
        <v>81.359999999999999</v>
      </c>
      <c r="O4204" s="22">
        <v>0</v>
      </c>
    </row>
    <row r="4205" ht="38.25">
      <c r="A4205" t="s">
        <v>4247</v>
      </c>
      <c r="B4205" s="19">
        <v>92437</v>
      </c>
      <c r="C4205" s="20" t="s">
        <v>4296</v>
      </c>
      <c r="D4205" s="19" t="s">
        <v>29</v>
      </c>
      <c r="E4205" s="21">
        <f t="shared" si="194"/>
        <v>80.310000000000002</v>
      </c>
      <c r="F4205" s="22">
        <v>0</v>
      </c>
      <c r="G4205" s="21">
        <f t="shared" si="195"/>
        <v>78.109999999999999</v>
      </c>
      <c r="H4205" s="22">
        <v>0</v>
      </c>
      <c r="I4205" s="23" t="str">
        <f t="shared" si="196"/>
        <v xml:space="preserve">COM VALOR</v>
      </c>
      <c r="J4205" s="19"/>
      <c r="L4205" s="21">
        <v>80.310000000000002</v>
      </c>
      <c r="M4205" s="22">
        <v>0</v>
      </c>
      <c r="N4205" s="21">
        <v>78.109999999999999</v>
      </c>
      <c r="O4205" s="22">
        <v>0</v>
      </c>
    </row>
    <row r="4206" ht="38.25">
      <c r="A4206" t="s">
        <v>4247</v>
      </c>
      <c r="B4206" s="19">
        <v>92441</v>
      </c>
      <c r="C4206" s="20" t="s">
        <v>4297</v>
      </c>
      <c r="D4206" s="19" t="s">
        <v>29</v>
      </c>
      <c r="E4206" s="21">
        <f t="shared" si="194"/>
        <v>77.909999999999997</v>
      </c>
      <c r="F4206" s="22">
        <v>0</v>
      </c>
      <c r="G4206" s="21">
        <f t="shared" si="195"/>
        <v>75.780000000000001</v>
      </c>
      <c r="H4206" s="22">
        <v>0</v>
      </c>
      <c r="I4206" s="23" t="str">
        <f t="shared" si="196"/>
        <v xml:space="preserve">COM VALOR</v>
      </c>
      <c r="J4206" s="19"/>
      <c r="L4206" s="21">
        <v>77.909999999999997</v>
      </c>
      <c r="M4206" s="22">
        <v>0</v>
      </c>
      <c r="N4206" s="21">
        <v>75.780000000000001</v>
      </c>
      <c r="O4206" s="22">
        <v>0</v>
      </c>
    </row>
    <row r="4207" ht="38.25">
      <c r="A4207" t="s">
        <v>4247</v>
      </c>
      <c r="B4207" s="19">
        <v>92445</v>
      </c>
      <c r="C4207" s="20" t="s">
        <v>4298</v>
      </c>
      <c r="D4207" s="19" t="s">
        <v>29</v>
      </c>
      <c r="E4207" s="21">
        <f t="shared" si="194"/>
        <v>73.010000000000005</v>
      </c>
      <c r="F4207" s="22">
        <v>0</v>
      </c>
      <c r="G4207" s="21">
        <f t="shared" si="195"/>
        <v>71.010000000000005</v>
      </c>
      <c r="H4207" s="22">
        <v>0</v>
      </c>
      <c r="I4207" s="23" t="str">
        <f t="shared" si="196"/>
        <v xml:space="preserve">COM VALOR</v>
      </c>
      <c r="J4207" s="19"/>
      <c r="L4207" s="21">
        <v>73.010000000000005</v>
      </c>
      <c r="M4207" s="22">
        <v>0</v>
      </c>
      <c r="N4207" s="21">
        <v>71.010000000000005</v>
      </c>
      <c r="O4207" s="22">
        <v>0</v>
      </c>
    </row>
    <row r="4208" ht="38.25">
      <c r="A4208" t="s">
        <v>4247</v>
      </c>
      <c r="B4208" s="19">
        <v>92417</v>
      </c>
      <c r="C4208" s="20" t="s">
        <v>4299</v>
      </c>
      <c r="D4208" s="19" t="s">
        <v>29</v>
      </c>
      <c r="E4208" s="21">
        <f t="shared" si="194"/>
        <v>167.83000000000001</v>
      </c>
      <c r="F4208" s="22">
        <v>0</v>
      </c>
      <c r="G4208" s="21">
        <f t="shared" si="195"/>
        <v>162.94</v>
      </c>
      <c r="H4208" s="22">
        <v>0</v>
      </c>
      <c r="I4208" s="23" t="str">
        <f t="shared" si="196"/>
        <v xml:space="preserve">COM VALOR</v>
      </c>
      <c r="J4208" s="19"/>
      <c r="L4208" s="21">
        <v>167.83000000000001</v>
      </c>
      <c r="M4208" s="22">
        <v>0</v>
      </c>
      <c r="N4208" s="21">
        <v>162.94</v>
      </c>
      <c r="O4208" s="22">
        <v>0</v>
      </c>
    </row>
    <row r="4209" ht="38.25">
      <c r="A4209" t="s">
        <v>4247</v>
      </c>
      <c r="B4209" s="19">
        <v>92421</v>
      </c>
      <c r="C4209" s="20" t="s">
        <v>4300</v>
      </c>
      <c r="D4209" s="19" t="s">
        <v>29</v>
      </c>
      <c r="E4209" s="21">
        <f t="shared" si="194"/>
        <v>114.06</v>
      </c>
      <c r="F4209" s="22">
        <v>0</v>
      </c>
      <c r="G4209" s="21">
        <f t="shared" si="195"/>
        <v>110.69</v>
      </c>
      <c r="H4209" s="22">
        <v>0</v>
      </c>
      <c r="I4209" s="23" t="str">
        <f t="shared" si="196"/>
        <v xml:space="preserve">COM VALOR</v>
      </c>
      <c r="J4209" s="19"/>
      <c r="L4209" s="21">
        <v>114.06</v>
      </c>
      <c r="M4209" s="22">
        <v>0</v>
      </c>
      <c r="N4209" s="21">
        <v>110.69</v>
      </c>
      <c r="O4209" s="22">
        <v>0</v>
      </c>
    </row>
    <row r="4210" ht="38.25">
      <c r="A4210" t="s">
        <v>4247</v>
      </c>
      <c r="B4210" s="19">
        <v>92425</v>
      </c>
      <c r="C4210" s="20" t="s">
        <v>4301</v>
      </c>
      <c r="D4210" s="19" t="s">
        <v>29</v>
      </c>
      <c r="E4210" s="21">
        <f t="shared" si="194"/>
        <v>96.620000000000005</v>
      </c>
      <c r="F4210" s="22">
        <v>0</v>
      </c>
      <c r="G4210" s="21">
        <f t="shared" si="195"/>
        <v>93.819999999999993</v>
      </c>
      <c r="H4210" s="22">
        <v>0</v>
      </c>
      <c r="I4210" s="23" t="str">
        <f t="shared" si="196"/>
        <v xml:space="preserve">COM VALOR</v>
      </c>
      <c r="J4210" s="19"/>
      <c r="L4210" s="21">
        <v>96.620000000000005</v>
      </c>
      <c r="M4210" s="22">
        <v>0</v>
      </c>
      <c r="N4210" s="21">
        <v>93.819999999999993</v>
      </c>
      <c r="O4210" s="22">
        <v>0</v>
      </c>
    </row>
    <row r="4211" ht="38.25">
      <c r="A4211" t="s">
        <v>4247</v>
      </c>
      <c r="B4211" s="19">
        <v>92429</v>
      </c>
      <c r="C4211" s="20" t="s">
        <v>4302</v>
      </c>
      <c r="D4211" s="19" t="s">
        <v>29</v>
      </c>
      <c r="E4211" s="21">
        <f t="shared" si="194"/>
        <v>87.840000000000003</v>
      </c>
      <c r="F4211" s="22">
        <v>0</v>
      </c>
      <c r="G4211" s="21">
        <f t="shared" si="195"/>
        <v>85.319999999999993</v>
      </c>
      <c r="H4211" s="22">
        <v>0</v>
      </c>
      <c r="I4211" s="23" t="str">
        <f t="shared" si="196"/>
        <v xml:space="preserve">COM VALOR</v>
      </c>
      <c r="J4211" s="19"/>
      <c r="L4211" s="21">
        <v>87.840000000000003</v>
      </c>
      <c r="M4211" s="22">
        <v>0</v>
      </c>
      <c r="N4211" s="21">
        <v>85.319999999999993</v>
      </c>
      <c r="O4211" s="22">
        <v>0</v>
      </c>
    </row>
    <row r="4212" ht="38.25">
      <c r="A4212" t="s">
        <v>4247</v>
      </c>
      <c r="B4212" s="19">
        <v>92431</v>
      </c>
      <c r="C4212" s="20" t="s">
        <v>4303</v>
      </c>
      <c r="D4212" s="19" t="s">
        <v>29</v>
      </c>
      <c r="E4212" s="21">
        <f t="shared" si="194"/>
        <v>70.030000000000001</v>
      </c>
      <c r="F4212" s="22">
        <v>0</v>
      </c>
      <c r="G4212" s="21">
        <f t="shared" si="195"/>
        <v>68.510000000000005</v>
      </c>
      <c r="H4212" s="22">
        <v>0</v>
      </c>
      <c r="I4212" s="23" t="str">
        <f t="shared" si="196"/>
        <v xml:space="preserve">COM VALOR</v>
      </c>
      <c r="J4212" s="19"/>
      <c r="L4212" s="21">
        <v>70.030000000000001</v>
      </c>
      <c r="M4212" s="22">
        <v>0</v>
      </c>
      <c r="N4212" s="21">
        <v>68.510000000000005</v>
      </c>
      <c r="O4212" s="22">
        <v>0</v>
      </c>
    </row>
    <row r="4213" ht="38.25">
      <c r="A4213" t="s">
        <v>4247</v>
      </c>
      <c r="B4213" s="19">
        <v>92435</v>
      </c>
      <c r="C4213" s="20" t="s">
        <v>4304</v>
      </c>
      <c r="D4213" s="19" t="s">
        <v>29</v>
      </c>
      <c r="E4213" s="21">
        <f t="shared" si="194"/>
        <v>67.129999999999995</v>
      </c>
      <c r="F4213" s="22">
        <v>0</v>
      </c>
      <c r="G4213" s="21">
        <f t="shared" si="195"/>
        <v>65.700000000000003</v>
      </c>
      <c r="H4213" s="22">
        <v>0</v>
      </c>
      <c r="I4213" s="23" t="str">
        <f t="shared" si="196"/>
        <v xml:space="preserve">COM VALOR</v>
      </c>
      <c r="J4213" s="19"/>
      <c r="L4213" s="21">
        <v>67.129999999999995</v>
      </c>
      <c r="M4213" s="22">
        <v>0</v>
      </c>
      <c r="N4213" s="21">
        <v>65.700000000000003</v>
      </c>
      <c r="O4213" s="22">
        <v>0</v>
      </c>
    </row>
    <row r="4214" ht="38.25">
      <c r="A4214" t="s">
        <v>4247</v>
      </c>
      <c r="B4214" s="19">
        <v>92439</v>
      </c>
      <c r="C4214" s="20" t="s">
        <v>4305</v>
      </c>
      <c r="D4214" s="19" t="s">
        <v>29</v>
      </c>
      <c r="E4214" s="21">
        <f t="shared" si="194"/>
        <v>65.049999999999997</v>
      </c>
      <c r="F4214" s="22">
        <v>0</v>
      </c>
      <c r="G4214" s="21">
        <f t="shared" si="195"/>
        <v>63.670000000000002</v>
      </c>
      <c r="H4214" s="22">
        <v>0</v>
      </c>
      <c r="I4214" s="23" t="str">
        <f t="shared" si="196"/>
        <v xml:space="preserve">COM VALOR</v>
      </c>
      <c r="J4214" s="19"/>
      <c r="L4214" s="21">
        <v>65.049999999999997</v>
      </c>
      <c r="M4214" s="22">
        <v>0</v>
      </c>
      <c r="N4214" s="21">
        <v>63.670000000000002</v>
      </c>
      <c r="O4214" s="22">
        <v>0</v>
      </c>
    </row>
    <row r="4215" ht="38.25">
      <c r="A4215" t="s">
        <v>4247</v>
      </c>
      <c r="B4215" s="19">
        <v>92443</v>
      </c>
      <c r="C4215" s="20" t="s">
        <v>4306</v>
      </c>
      <c r="D4215" s="19" t="s">
        <v>29</v>
      </c>
      <c r="E4215" s="21">
        <f t="shared" si="194"/>
        <v>60.619999999999997</v>
      </c>
      <c r="F4215" s="22">
        <v>0</v>
      </c>
      <c r="G4215" s="21">
        <f t="shared" si="195"/>
        <v>59.32</v>
      </c>
      <c r="H4215" s="22">
        <v>0</v>
      </c>
      <c r="I4215" s="23" t="str">
        <f t="shared" si="196"/>
        <v xml:space="preserve">COM VALOR</v>
      </c>
      <c r="J4215" s="19"/>
      <c r="L4215" s="21">
        <v>60.619999999999997</v>
      </c>
      <c r="M4215" s="22">
        <v>0</v>
      </c>
      <c r="N4215" s="21">
        <v>59.32</v>
      </c>
      <c r="O4215" s="22">
        <v>0</v>
      </c>
    </row>
    <row r="4216" ht="38.25">
      <c r="A4216" t="s">
        <v>4247</v>
      </c>
      <c r="B4216" s="19">
        <v>92415</v>
      </c>
      <c r="C4216" s="20" t="s">
        <v>4307</v>
      </c>
      <c r="D4216" s="19" t="s">
        <v>29</v>
      </c>
      <c r="E4216" s="21">
        <f t="shared" si="194"/>
        <v>144.58000000000001</v>
      </c>
      <c r="F4216" s="22">
        <v>0</v>
      </c>
      <c r="G4216" s="21">
        <f t="shared" si="195"/>
        <v>141.03</v>
      </c>
      <c r="H4216" s="22">
        <v>0</v>
      </c>
      <c r="I4216" s="23" t="str">
        <f t="shared" si="196"/>
        <v xml:space="preserve">COM VALOR</v>
      </c>
      <c r="J4216" s="19"/>
      <c r="L4216" s="21">
        <v>144.58000000000001</v>
      </c>
      <c r="M4216" s="22">
        <v>0</v>
      </c>
      <c r="N4216" s="21">
        <v>141.03</v>
      </c>
      <c r="O4216" s="22">
        <v>0</v>
      </c>
    </row>
    <row r="4217" ht="38.25">
      <c r="A4217" t="s">
        <v>4247</v>
      </c>
      <c r="B4217" s="19">
        <v>92419</v>
      </c>
      <c r="C4217" s="20" t="s">
        <v>4308</v>
      </c>
      <c r="D4217" s="19" t="s">
        <v>29</v>
      </c>
      <c r="E4217" s="21">
        <f t="shared" si="194"/>
        <v>96.239999999999995</v>
      </c>
      <c r="F4217" s="22">
        <v>0</v>
      </c>
      <c r="G4217" s="21">
        <f t="shared" si="195"/>
        <v>93.900000000000006</v>
      </c>
      <c r="H4217" s="22">
        <v>0</v>
      </c>
      <c r="I4217" s="23" t="str">
        <f t="shared" si="196"/>
        <v xml:space="preserve">COM VALOR</v>
      </c>
      <c r="J4217" s="19"/>
      <c r="L4217" s="21">
        <v>96.239999999999995</v>
      </c>
      <c r="M4217" s="22">
        <v>0</v>
      </c>
      <c r="N4217" s="21">
        <v>93.900000000000006</v>
      </c>
      <c r="O4217" s="22">
        <v>0</v>
      </c>
    </row>
    <row r="4218" ht="38.25">
      <c r="A4218" t="s">
        <v>4247</v>
      </c>
      <c r="B4218" s="19">
        <v>92423</v>
      </c>
      <c r="C4218" s="20" t="s">
        <v>4309</v>
      </c>
      <c r="D4218" s="19" t="s">
        <v>29</v>
      </c>
      <c r="E4218" s="21">
        <f t="shared" si="194"/>
        <v>81.129999999999995</v>
      </c>
      <c r="F4218" s="22">
        <v>0</v>
      </c>
      <c r="G4218" s="21">
        <f t="shared" si="195"/>
        <v>79.200000000000003</v>
      </c>
      <c r="H4218" s="22">
        <v>0</v>
      </c>
      <c r="I4218" s="23" t="str">
        <f t="shared" si="196"/>
        <v xml:space="preserve">COM VALOR</v>
      </c>
      <c r="J4218" s="19"/>
      <c r="L4218" s="21">
        <v>81.129999999999995</v>
      </c>
      <c r="M4218" s="22">
        <v>0</v>
      </c>
      <c r="N4218" s="21">
        <v>79.200000000000003</v>
      </c>
      <c r="O4218" s="22">
        <v>0</v>
      </c>
    </row>
    <row r="4219" ht="38.25">
      <c r="A4219" t="s">
        <v>4247</v>
      </c>
      <c r="B4219" s="19">
        <v>92427</v>
      </c>
      <c r="C4219" s="20" t="s">
        <v>4310</v>
      </c>
      <c r="D4219" s="19" t="s">
        <v>29</v>
      </c>
      <c r="E4219" s="21">
        <f t="shared" si="194"/>
        <v>73.469999999999999</v>
      </c>
      <c r="F4219" s="22">
        <v>0</v>
      </c>
      <c r="G4219" s="21">
        <f t="shared" si="195"/>
        <v>71.780000000000001</v>
      </c>
      <c r="H4219" s="22">
        <v>0</v>
      </c>
      <c r="I4219" s="23" t="str">
        <f t="shared" si="196"/>
        <v xml:space="preserve">COM VALOR</v>
      </c>
      <c r="J4219" s="19"/>
      <c r="L4219" s="21">
        <v>73.469999999999999</v>
      </c>
      <c r="M4219" s="22">
        <v>0</v>
      </c>
      <c r="N4219" s="21">
        <v>71.780000000000001</v>
      </c>
      <c r="O4219" s="22">
        <v>0</v>
      </c>
    </row>
    <row r="4220" ht="38.25">
      <c r="A4220" t="s">
        <v>4247</v>
      </c>
      <c r="B4220" s="19">
        <v>92409</v>
      </c>
      <c r="C4220" s="20" t="s">
        <v>4311</v>
      </c>
      <c r="D4220" s="19" t="s">
        <v>29</v>
      </c>
      <c r="E4220" s="21">
        <f t="shared" si="194"/>
        <v>213.97</v>
      </c>
      <c r="F4220" s="22">
        <v>0</v>
      </c>
      <c r="G4220" s="21">
        <f t="shared" si="195"/>
        <v>206.75999999999999</v>
      </c>
      <c r="H4220" s="22">
        <v>0</v>
      </c>
      <c r="I4220" s="23" t="str">
        <f t="shared" si="196"/>
        <v xml:space="preserve">COM VALOR</v>
      </c>
      <c r="J4220" s="19"/>
      <c r="L4220" s="21">
        <v>213.97</v>
      </c>
      <c r="M4220" s="22">
        <v>0</v>
      </c>
      <c r="N4220" s="21">
        <v>206.75999999999999</v>
      </c>
      <c r="O4220" s="22">
        <v>0</v>
      </c>
    </row>
    <row r="4221" ht="38.25">
      <c r="A4221" t="s">
        <v>4247</v>
      </c>
      <c r="B4221" s="19">
        <v>92411</v>
      </c>
      <c r="C4221" s="20" t="s">
        <v>4312</v>
      </c>
      <c r="D4221" s="19" t="s">
        <v>29</v>
      </c>
      <c r="E4221" s="21">
        <f t="shared" si="194"/>
        <v>146.61000000000001</v>
      </c>
      <c r="F4221" s="22">
        <v>0</v>
      </c>
      <c r="G4221" s="21">
        <f t="shared" si="195"/>
        <v>140.84</v>
      </c>
      <c r="H4221" s="22">
        <v>0</v>
      </c>
      <c r="I4221" s="23" t="str">
        <f t="shared" si="196"/>
        <v xml:space="preserve">COM VALOR</v>
      </c>
      <c r="J4221" s="19"/>
      <c r="L4221" s="21">
        <v>146.61000000000001</v>
      </c>
      <c r="M4221" s="22">
        <v>0</v>
      </c>
      <c r="N4221" s="21">
        <v>140.84</v>
      </c>
      <c r="O4221" s="22">
        <v>0</v>
      </c>
    </row>
    <row r="4222" ht="38.25">
      <c r="A4222" t="s">
        <v>4247</v>
      </c>
      <c r="B4222" s="19">
        <v>92413</v>
      </c>
      <c r="C4222" s="20" t="s">
        <v>4313</v>
      </c>
      <c r="D4222" s="19" t="s">
        <v>29</v>
      </c>
      <c r="E4222" s="21">
        <f t="shared" si="194"/>
        <v>97.780000000000001</v>
      </c>
      <c r="F4222" s="22">
        <v>0</v>
      </c>
      <c r="G4222" s="21">
        <f t="shared" si="195"/>
        <v>93.540000000000006</v>
      </c>
      <c r="H4222" s="22">
        <v>0</v>
      </c>
      <c r="I4222" s="23" t="str">
        <f t="shared" si="196"/>
        <v xml:space="preserve">COM VALOR</v>
      </c>
      <c r="J4222" s="19"/>
      <c r="L4222" s="21">
        <v>97.780000000000001</v>
      </c>
      <c r="M4222" s="22">
        <v>0</v>
      </c>
      <c r="N4222" s="21">
        <v>93.540000000000006</v>
      </c>
      <c r="O4222" s="22">
        <v>0</v>
      </c>
    </row>
    <row r="4223" ht="38.25">
      <c r="A4223" t="s">
        <v>4247</v>
      </c>
      <c r="B4223" s="19">
        <v>92465</v>
      </c>
      <c r="C4223" s="20" t="s">
        <v>4314</v>
      </c>
      <c r="D4223" s="19" t="s">
        <v>29</v>
      </c>
      <c r="E4223" s="21">
        <f t="shared" si="194"/>
        <v>144.31999999999999</v>
      </c>
      <c r="F4223" s="22">
        <v>0</v>
      </c>
      <c r="G4223" s="21">
        <f t="shared" si="195"/>
        <v>140.91999999999999</v>
      </c>
      <c r="H4223" s="22">
        <v>0</v>
      </c>
      <c r="I4223" s="23" t="str">
        <f t="shared" si="196"/>
        <v xml:space="preserve">COM VALOR</v>
      </c>
      <c r="J4223" s="19"/>
      <c r="L4223" s="21">
        <v>144.31999999999999</v>
      </c>
      <c r="M4223" s="22">
        <v>0</v>
      </c>
      <c r="N4223" s="21">
        <v>140.91999999999999</v>
      </c>
      <c r="O4223" s="22">
        <v>0</v>
      </c>
    </row>
    <row r="4224" ht="38.25">
      <c r="A4224" t="s">
        <v>4247</v>
      </c>
      <c r="B4224" s="19">
        <v>92469</v>
      </c>
      <c r="C4224" s="20" t="s">
        <v>4315</v>
      </c>
      <c r="D4224" s="19" t="s">
        <v>29</v>
      </c>
      <c r="E4224" s="21">
        <f t="shared" si="194"/>
        <v>131.65000000000001</v>
      </c>
      <c r="F4224" s="22">
        <v>0</v>
      </c>
      <c r="G4224" s="21">
        <f t="shared" si="195"/>
        <v>128.53999999999999</v>
      </c>
      <c r="H4224" s="22">
        <v>0</v>
      </c>
      <c r="I4224" s="23" t="str">
        <f t="shared" si="196"/>
        <v xml:space="preserve">COM VALOR</v>
      </c>
      <c r="J4224" s="19"/>
      <c r="L4224" s="21">
        <v>131.65000000000001</v>
      </c>
      <c r="M4224" s="22">
        <v>0</v>
      </c>
      <c r="N4224" s="21">
        <v>128.53999999999999</v>
      </c>
      <c r="O4224" s="22">
        <v>0</v>
      </c>
    </row>
    <row r="4225" ht="38.25">
      <c r="A4225" t="s">
        <v>4247</v>
      </c>
      <c r="B4225" s="19">
        <v>92473</v>
      </c>
      <c r="C4225" s="20" t="s">
        <v>4316</v>
      </c>
      <c r="D4225" s="19" t="s">
        <v>29</v>
      </c>
      <c r="E4225" s="21">
        <f t="shared" si="194"/>
        <v>121.38</v>
      </c>
      <c r="F4225" s="22">
        <v>0</v>
      </c>
      <c r="G4225" s="21">
        <f t="shared" si="195"/>
        <v>118.51000000000001</v>
      </c>
      <c r="H4225" s="22">
        <v>0</v>
      </c>
      <c r="I4225" s="23" t="str">
        <f t="shared" si="196"/>
        <v xml:space="preserve">COM VALOR</v>
      </c>
      <c r="J4225" s="19"/>
      <c r="L4225" s="21">
        <v>121.38</v>
      </c>
      <c r="M4225" s="22">
        <v>0</v>
      </c>
      <c r="N4225" s="21">
        <v>118.51000000000001</v>
      </c>
      <c r="O4225" s="22">
        <v>0</v>
      </c>
    </row>
    <row r="4226" ht="38.25">
      <c r="A4226" t="s">
        <v>4247</v>
      </c>
      <c r="B4226" s="19">
        <v>92477</v>
      </c>
      <c r="C4226" s="20" t="s">
        <v>4317</v>
      </c>
      <c r="D4226" s="19" t="s">
        <v>29</v>
      </c>
      <c r="E4226" s="21">
        <f t="shared" si="194"/>
        <v>99.489999999999995</v>
      </c>
      <c r="F4226" s="22">
        <v>0</v>
      </c>
      <c r="G4226" s="21">
        <f t="shared" si="195"/>
        <v>97.109999999999999</v>
      </c>
      <c r="H4226" s="22">
        <v>0</v>
      </c>
      <c r="I4226" s="23" t="str">
        <f t="shared" si="196"/>
        <v xml:space="preserve">COM VALOR</v>
      </c>
      <c r="J4226" s="19"/>
      <c r="L4226" s="21">
        <v>99.489999999999995</v>
      </c>
      <c r="M4226" s="22">
        <v>0</v>
      </c>
      <c r="N4226" s="21">
        <v>97.109999999999999</v>
      </c>
      <c r="O4226" s="22">
        <v>0</v>
      </c>
    </row>
    <row r="4227" ht="38.25">
      <c r="A4227" t="s">
        <v>4247</v>
      </c>
      <c r="B4227" s="19">
        <v>92449</v>
      </c>
      <c r="C4227" s="20" t="s">
        <v>4318</v>
      </c>
      <c r="D4227" s="19" t="s">
        <v>29</v>
      </c>
      <c r="E4227" s="21">
        <f t="shared" si="194"/>
        <v>261.39999999999998</v>
      </c>
      <c r="F4227" s="22"/>
      <c r="G4227" s="21">
        <f t="shared" si="195"/>
        <v>255.50999999999999</v>
      </c>
      <c r="H4227" s="22"/>
      <c r="I4227" s="23" t="str">
        <f t="shared" si="196"/>
        <v xml:space="preserve">COM VALOR</v>
      </c>
      <c r="J4227" s="19"/>
      <c r="L4227" s="21">
        <v>261.39999999999998</v>
      </c>
      <c r="M4227" s="22">
        <v>0</v>
      </c>
      <c r="N4227" s="21">
        <v>255.50999999999999</v>
      </c>
      <c r="O4227" s="22">
        <v>0</v>
      </c>
    </row>
    <row r="4228" ht="38.25">
      <c r="A4228" t="s">
        <v>4247</v>
      </c>
      <c r="B4228" s="19">
        <v>92453</v>
      </c>
      <c r="C4228" s="20" t="s">
        <v>4319</v>
      </c>
      <c r="D4228" s="19" t="s">
        <v>29</v>
      </c>
      <c r="E4228" s="21">
        <f t="shared" si="194"/>
        <v>223.05000000000001</v>
      </c>
      <c r="F4228" s="22"/>
      <c r="G4228" s="21">
        <f t="shared" si="195"/>
        <v>217.94999999999999</v>
      </c>
      <c r="H4228" s="22"/>
      <c r="I4228" s="23" t="str">
        <f t="shared" si="196"/>
        <v xml:space="preserve">COM VALOR</v>
      </c>
      <c r="J4228" s="19"/>
      <c r="L4228" s="21">
        <v>223.05000000000001</v>
      </c>
      <c r="M4228" s="22">
        <v>0</v>
      </c>
      <c r="N4228" s="21">
        <v>217.94999999999999</v>
      </c>
      <c r="O4228" s="22">
        <v>0</v>
      </c>
    </row>
    <row r="4229" ht="38.25">
      <c r="A4229" t="s">
        <v>4247</v>
      </c>
      <c r="B4229" s="19">
        <v>92457</v>
      </c>
      <c r="C4229" s="20" t="s">
        <v>4320</v>
      </c>
      <c r="D4229" s="19" t="s">
        <v>29</v>
      </c>
      <c r="E4229" s="21">
        <f t="shared" si="194"/>
        <v>194.15000000000001</v>
      </c>
      <c r="F4229" s="22"/>
      <c r="G4229" s="21">
        <f t="shared" si="195"/>
        <v>189.66</v>
      </c>
      <c r="H4229" s="22"/>
      <c r="I4229" s="23" t="str">
        <f t="shared" si="196"/>
        <v xml:space="preserve">COM VALOR</v>
      </c>
      <c r="J4229" s="19"/>
      <c r="L4229" s="21">
        <v>194.15000000000001</v>
      </c>
      <c r="M4229" s="22">
        <v>0</v>
      </c>
      <c r="N4229" s="21">
        <v>189.66</v>
      </c>
      <c r="O4229" s="22">
        <v>0</v>
      </c>
    </row>
    <row r="4230" ht="38.25">
      <c r="A4230" t="s">
        <v>4247</v>
      </c>
      <c r="B4230" s="19">
        <v>92461</v>
      </c>
      <c r="C4230" s="20" t="s">
        <v>4321</v>
      </c>
      <c r="D4230" s="19" t="s">
        <v>29</v>
      </c>
      <c r="E4230" s="21">
        <f t="shared" si="194"/>
        <v>179.19999999999999</v>
      </c>
      <c r="F4230" s="22">
        <v>0</v>
      </c>
      <c r="G4230" s="21">
        <f t="shared" si="195"/>
        <v>175.09999999999999</v>
      </c>
      <c r="H4230" s="22">
        <v>0</v>
      </c>
      <c r="I4230" s="23" t="str">
        <f t="shared" si="196"/>
        <v xml:space="preserve">COM VALOR</v>
      </c>
      <c r="J4230" s="19"/>
      <c r="L4230" s="21">
        <v>179.19999999999999</v>
      </c>
      <c r="M4230" s="22">
        <v>0</v>
      </c>
      <c r="N4230" s="21">
        <v>175.09999999999999</v>
      </c>
      <c r="O4230" s="22">
        <v>0</v>
      </c>
    </row>
    <row r="4231" ht="38.25">
      <c r="A4231" t="s">
        <v>4247</v>
      </c>
      <c r="B4231" s="19">
        <v>92467</v>
      </c>
      <c r="C4231" s="20" t="s">
        <v>4322</v>
      </c>
      <c r="D4231" s="19" t="s">
        <v>29</v>
      </c>
      <c r="E4231" s="21">
        <f t="shared" si="194"/>
        <v>93.780000000000001</v>
      </c>
      <c r="F4231" s="22">
        <v>0.52000000000000002</v>
      </c>
      <c r="G4231" s="21">
        <f t="shared" si="195"/>
        <v>91.489999999999995</v>
      </c>
      <c r="H4231" s="22">
        <v>0.54000000000000004</v>
      </c>
      <c r="I4231" s="23" t="str">
        <f t="shared" si="196"/>
        <v xml:space="preserve">COM VALOR</v>
      </c>
      <c r="J4231" s="19"/>
      <c r="L4231" s="21">
        <v>93.780000000000001</v>
      </c>
      <c r="M4231" s="22">
        <v>0</v>
      </c>
      <c r="N4231" s="21">
        <v>91.489999999999995</v>
      </c>
      <c r="O4231" s="22">
        <v>0</v>
      </c>
    </row>
    <row r="4232" ht="38.25">
      <c r="A4232" t="s">
        <v>4247</v>
      </c>
      <c r="B4232" s="19">
        <v>92471</v>
      </c>
      <c r="C4232" s="20" t="s">
        <v>4323</v>
      </c>
      <c r="D4232" s="19" t="s">
        <v>29</v>
      </c>
      <c r="E4232" s="21">
        <f t="shared" si="194"/>
        <v>85.659999999999997</v>
      </c>
      <c r="F4232" s="22"/>
      <c r="G4232" s="21">
        <f t="shared" si="195"/>
        <v>83.569999999999993</v>
      </c>
      <c r="H4232" s="22"/>
      <c r="I4232" s="23" t="str">
        <f t="shared" si="196"/>
        <v xml:space="preserve">COM VALOR</v>
      </c>
      <c r="J4232" s="19"/>
      <c r="L4232" s="21">
        <v>85.659999999999997</v>
      </c>
      <c r="M4232" s="22">
        <v>0</v>
      </c>
      <c r="N4232" s="21">
        <v>83.569999999999993</v>
      </c>
      <c r="O4232" s="22">
        <v>0</v>
      </c>
    </row>
    <row r="4233" ht="38.25">
      <c r="A4233" t="s">
        <v>4247</v>
      </c>
      <c r="B4233" s="19">
        <v>92475</v>
      </c>
      <c r="C4233" s="20" t="s">
        <v>4324</v>
      </c>
      <c r="D4233" s="19" t="s">
        <v>29</v>
      </c>
      <c r="E4233" s="21">
        <f t="shared" si="194"/>
        <v>79.069999999999993</v>
      </c>
      <c r="F4233" s="22">
        <v>0</v>
      </c>
      <c r="G4233" s="21">
        <f t="shared" si="195"/>
        <v>77.140000000000001</v>
      </c>
      <c r="H4233" s="22">
        <v>0</v>
      </c>
      <c r="I4233" s="23" t="str">
        <f t="shared" si="196"/>
        <v xml:space="preserve">COM VALOR</v>
      </c>
      <c r="J4233" s="19"/>
      <c r="L4233" s="21">
        <v>79.069999999999993</v>
      </c>
      <c r="M4233" s="22">
        <v>0</v>
      </c>
      <c r="N4233" s="21">
        <v>77.140000000000001</v>
      </c>
      <c r="O4233" s="22">
        <v>0</v>
      </c>
    </row>
    <row r="4234" ht="38.25">
      <c r="A4234" t="s">
        <v>4247</v>
      </c>
      <c r="B4234" s="19">
        <v>92479</v>
      </c>
      <c r="C4234" s="20" t="s">
        <v>4325</v>
      </c>
      <c r="D4234" s="19" t="s">
        <v>29</v>
      </c>
      <c r="E4234" s="21">
        <f t="shared" si="194"/>
        <v>64.989999999999995</v>
      </c>
      <c r="F4234" s="22">
        <v>0</v>
      </c>
      <c r="G4234" s="21">
        <f t="shared" si="195"/>
        <v>63.390000000000001</v>
      </c>
      <c r="H4234" s="22">
        <v>0</v>
      </c>
      <c r="I4234" s="23" t="str">
        <f t="shared" si="196"/>
        <v xml:space="preserve">COM VALOR</v>
      </c>
      <c r="J4234" s="19"/>
      <c r="L4234" s="21">
        <v>64.989999999999995</v>
      </c>
      <c r="M4234" s="22">
        <v>0</v>
      </c>
      <c r="N4234" s="21">
        <v>63.390000000000001</v>
      </c>
      <c r="O4234" s="22">
        <v>0</v>
      </c>
    </row>
    <row r="4235" ht="38.25">
      <c r="A4235" t="s">
        <v>4247</v>
      </c>
      <c r="B4235" s="19">
        <v>92451</v>
      </c>
      <c r="C4235" s="20" t="s">
        <v>4326</v>
      </c>
      <c r="D4235" s="19" t="s">
        <v>29</v>
      </c>
      <c r="E4235" s="21">
        <f t="shared" ref="E4235:E4298" si="197">IF(L4235=0,"VERIFICAR",L4235)</f>
        <v>178.75</v>
      </c>
      <c r="F4235" s="22">
        <v>0.26000000000000001</v>
      </c>
      <c r="G4235" s="21">
        <f t="shared" ref="G4235:G4298" si="198">IF(N4235=0,"VERIFICAR",N4235)</f>
        <v>174.56</v>
      </c>
      <c r="H4235" s="22">
        <v>0.27000000000000002</v>
      </c>
      <c r="I4235" s="23" t="str">
        <f t="shared" ref="I4235:I4298" si="199">IF(OR(E4235=0,G4235=0),"SEM VALOR","COM VALOR")</f>
        <v xml:space="preserve">COM VALOR</v>
      </c>
      <c r="J4235" s="19"/>
      <c r="L4235" s="21">
        <v>178.75</v>
      </c>
      <c r="M4235" s="22">
        <v>0</v>
      </c>
      <c r="N4235" s="21">
        <v>174.56</v>
      </c>
      <c r="O4235" s="22">
        <v>0</v>
      </c>
    </row>
    <row r="4236" ht="38.25">
      <c r="A4236" t="s">
        <v>4247</v>
      </c>
      <c r="B4236" s="19">
        <v>92455</v>
      </c>
      <c r="C4236" s="20" t="s">
        <v>4327</v>
      </c>
      <c r="D4236" s="19" t="s">
        <v>29</v>
      </c>
      <c r="E4236" s="21">
        <f t="shared" si="197"/>
        <v>146.03</v>
      </c>
      <c r="F4236" s="22"/>
      <c r="G4236" s="21">
        <f t="shared" si="198"/>
        <v>142.50999999999999</v>
      </c>
      <c r="H4236" s="22"/>
      <c r="I4236" s="23" t="str">
        <f t="shared" si="199"/>
        <v xml:space="preserve">COM VALOR</v>
      </c>
      <c r="J4236" s="19"/>
      <c r="L4236" s="21">
        <v>146.03</v>
      </c>
      <c r="M4236" s="22">
        <v>0</v>
      </c>
      <c r="N4236" s="21">
        <v>142.50999999999999</v>
      </c>
      <c r="O4236" s="22">
        <v>0</v>
      </c>
    </row>
    <row r="4237" ht="38.25">
      <c r="A4237" t="s">
        <v>4247</v>
      </c>
      <c r="B4237" s="19">
        <v>92459</v>
      </c>
      <c r="C4237" s="20" t="s">
        <v>4328</v>
      </c>
      <c r="D4237" s="19" t="s">
        <v>29</v>
      </c>
      <c r="E4237" s="21">
        <f t="shared" si="197"/>
        <v>124.29000000000001</v>
      </c>
      <c r="F4237" s="22"/>
      <c r="G4237" s="21">
        <f t="shared" si="198"/>
        <v>121.26000000000001</v>
      </c>
      <c r="H4237" s="22"/>
      <c r="I4237" s="23" t="str">
        <f t="shared" si="199"/>
        <v xml:space="preserve">COM VALOR</v>
      </c>
      <c r="J4237" s="19"/>
      <c r="L4237" s="21">
        <v>124.29000000000001</v>
      </c>
      <c r="M4237" s="22">
        <v>0</v>
      </c>
      <c r="N4237" s="21">
        <v>121.26000000000001</v>
      </c>
      <c r="O4237" s="22">
        <v>0</v>
      </c>
    </row>
    <row r="4238" ht="38.25">
      <c r="A4238" t="s">
        <v>4247</v>
      </c>
      <c r="B4238" s="19">
        <v>92463</v>
      </c>
      <c r="C4238" s="20" t="s">
        <v>4329</v>
      </c>
      <c r="D4238" s="19" t="s">
        <v>29</v>
      </c>
      <c r="E4238" s="21">
        <f t="shared" si="197"/>
        <v>112.73999999999999</v>
      </c>
      <c r="F4238" s="22"/>
      <c r="G4238" s="21">
        <f t="shared" si="198"/>
        <v>109.98999999999999</v>
      </c>
      <c r="H4238" s="22"/>
      <c r="I4238" s="23" t="str">
        <f t="shared" si="199"/>
        <v xml:space="preserve">COM VALOR</v>
      </c>
      <c r="J4238" s="19"/>
      <c r="L4238" s="21">
        <v>112.73999999999999</v>
      </c>
      <c r="M4238" s="22">
        <v>0</v>
      </c>
      <c r="N4238" s="21">
        <v>109.98999999999999</v>
      </c>
      <c r="O4238" s="22">
        <v>0</v>
      </c>
    </row>
    <row r="4239" ht="38.25">
      <c r="A4239" t="s">
        <v>4247</v>
      </c>
      <c r="B4239" s="19">
        <v>92446</v>
      </c>
      <c r="C4239" s="20" t="s">
        <v>4330</v>
      </c>
      <c r="D4239" s="19" t="s">
        <v>29</v>
      </c>
      <c r="E4239" s="21">
        <f t="shared" si="197"/>
        <v>309.86000000000001</v>
      </c>
      <c r="F4239" s="22"/>
      <c r="G4239" s="21">
        <f t="shared" si="198"/>
        <v>302.80000000000001</v>
      </c>
      <c r="H4239" s="22"/>
      <c r="I4239" s="23" t="str">
        <f t="shared" si="199"/>
        <v xml:space="preserve">COM VALOR</v>
      </c>
      <c r="J4239" s="19"/>
      <c r="L4239" s="21">
        <v>309.86000000000001</v>
      </c>
      <c r="M4239" s="22">
        <v>0</v>
      </c>
      <c r="N4239" s="21">
        <v>302.80000000000001</v>
      </c>
      <c r="O4239" s="22">
        <v>0</v>
      </c>
    </row>
    <row r="4240" ht="38.25">
      <c r="A4240" t="s">
        <v>4247</v>
      </c>
      <c r="B4240" s="19">
        <v>92447</v>
      </c>
      <c r="C4240" s="20" t="s">
        <v>4331</v>
      </c>
      <c r="D4240" s="19" t="s">
        <v>29</v>
      </c>
      <c r="E4240" s="21">
        <f t="shared" si="197"/>
        <v>213.56</v>
      </c>
      <c r="F4240" s="22"/>
      <c r="G4240" s="21">
        <f t="shared" si="198"/>
        <v>208.15000000000001</v>
      </c>
      <c r="H4240" s="22"/>
      <c r="I4240" s="23" t="str">
        <f t="shared" si="199"/>
        <v xml:space="preserve">COM VALOR</v>
      </c>
      <c r="J4240" s="19"/>
      <c r="L4240" s="21">
        <v>213.56</v>
      </c>
      <c r="M4240" s="22">
        <v>0</v>
      </c>
      <c r="N4240" s="21">
        <v>208.15000000000001</v>
      </c>
      <c r="O4240" s="22">
        <v>0</v>
      </c>
    </row>
    <row r="4241" ht="38.25">
      <c r="A4241" t="s">
        <v>4247</v>
      </c>
      <c r="B4241" s="19">
        <v>92448</v>
      </c>
      <c r="C4241" s="20" t="s">
        <v>4332</v>
      </c>
      <c r="D4241" s="19" t="s">
        <v>29</v>
      </c>
      <c r="E4241" s="21">
        <f t="shared" si="197"/>
        <v>164.72999999999999</v>
      </c>
      <c r="F4241" s="22"/>
      <c r="G4241" s="21">
        <f t="shared" si="198"/>
        <v>160.31999999999999</v>
      </c>
      <c r="H4241" s="22"/>
      <c r="I4241" s="23" t="str">
        <f t="shared" si="199"/>
        <v xml:space="preserve">COM VALOR</v>
      </c>
      <c r="J4241" s="19"/>
      <c r="L4241" s="21">
        <v>164.72999999999999</v>
      </c>
      <c r="M4241" s="22">
        <v>0</v>
      </c>
      <c r="N4241" s="21">
        <v>160.31999999999999</v>
      </c>
      <c r="O4241" s="22">
        <v>0</v>
      </c>
    </row>
    <row r="4242" ht="38.25">
      <c r="A4242" t="s">
        <v>4247</v>
      </c>
      <c r="B4242" s="19">
        <v>92466</v>
      </c>
      <c r="C4242" s="20" t="s">
        <v>4333</v>
      </c>
      <c r="D4242" s="19" t="s">
        <v>29</v>
      </c>
      <c r="E4242" s="21">
        <f t="shared" si="197"/>
        <v>339.87</v>
      </c>
      <c r="F4242" s="22"/>
      <c r="G4242" s="21">
        <f t="shared" si="198"/>
        <v>336.32999999999998</v>
      </c>
      <c r="H4242" s="22"/>
      <c r="I4242" s="23" t="str">
        <f t="shared" si="199"/>
        <v xml:space="preserve">COM VALOR</v>
      </c>
      <c r="J4242" s="19"/>
      <c r="L4242" s="21">
        <v>339.87</v>
      </c>
      <c r="M4242" s="22">
        <v>0</v>
      </c>
      <c r="N4242" s="21">
        <v>336.32999999999998</v>
      </c>
      <c r="O4242" s="22">
        <v>0</v>
      </c>
    </row>
    <row r="4243" ht="38.25">
      <c r="A4243" t="s">
        <v>4247</v>
      </c>
      <c r="B4243" s="19">
        <v>92470</v>
      </c>
      <c r="C4243" s="20" t="s">
        <v>4334</v>
      </c>
      <c r="D4243" s="19" t="s">
        <v>29</v>
      </c>
      <c r="E4243" s="21">
        <f t="shared" si="197"/>
        <v>333.14999999999998</v>
      </c>
      <c r="F4243" s="22"/>
      <c r="G4243" s="21">
        <f t="shared" si="198"/>
        <v>329.88999999999999</v>
      </c>
      <c r="H4243" s="22"/>
      <c r="I4243" s="23" t="str">
        <f t="shared" si="199"/>
        <v xml:space="preserve">COM VALOR</v>
      </c>
      <c r="J4243" s="19"/>
      <c r="L4243" s="21">
        <v>333.14999999999998</v>
      </c>
      <c r="M4243" s="22">
        <v>0</v>
      </c>
      <c r="N4243" s="21">
        <v>329.88999999999999</v>
      </c>
      <c r="O4243" s="22">
        <v>0</v>
      </c>
    </row>
    <row r="4244" ht="38.25">
      <c r="A4244" t="s">
        <v>4247</v>
      </c>
      <c r="B4244" s="19">
        <v>92474</v>
      </c>
      <c r="C4244" s="20" t="s">
        <v>4335</v>
      </c>
      <c r="D4244" s="19" t="s">
        <v>29</v>
      </c>
      <c r="E4244" s="21">
        <f t="shared" si="197"/>
        <v>327.36000000000001</v>
      </c>
      <c r="F4244" s="22"/>
      <c r="G4244" s="21">
        <f t="shared" si="198"/>
        <v>324.35000000000002</v>
      </c>
      <c r="H4244" s="22"/>
      <c r="I4244" s="23" t="str">
        <f t="shared" si="199"/>
        <v xml:space="preserve">COM VALOR</v>
      </c>
      <c r="J4244" s="19"/>
      <c r="L4244" s="21">
        <v>327.36000000000001</v>
      </c>
      <c r="M4244" s="22">
        <v>0</v>
      </c>
      <c r="N4244" s="21">
        <v>324.35000000000002</v>
      </c>
      <c r="O4244" s="22">
        <v>0</v>
      </c>
    </row>
    <row r="4245" ht="38.25">
      <c r="A4245" t="s">
        <v>4247</v>
      </c>
      <c r="B4245" s="19">
        <v>92478</v>
      </c>
      <c r="C4245" s="20" t="s">
        <v>4336</v>
      </c>
      <c r="D4245" s="19" t="s">
        <v>29</v>
      </c>
      <c r="E4245" s="21">
        <f t="shared" si="197"/>
        <v>315.95999999999998</v>
      </c>
      <c r="F4245" s="22"/>
      <c r="G4245" s="21">
        <f t="shared" si="198"/>
        <v>313.41000000000003</v>
      </c>
      <c r="H4245" s="22"/>
      <c r="I4245" s="23" t="str">
        <f t="shared" si="199"/>
        <v xml:space="preserve">COM VALOR</v>
      </c>
      <c r="J4245" s="19"/>
      <c r="L4245" s="21">
        <v>315.95999999999998</v>
      </c>
      <c r="M4245" s="22">
        <v>0</v>
      </c>
      <c r="N4245" s="21">
        <v>313.41000000000003</v>
      </c>
      <c r="O4245" s="22">
        <v>0</v>
      </c>
    </row>
    <row r="4246" ht="38.25">
      <c r="A4246" t="s">
        <v>4247</v>
      </c>
      <c r="B4246" s="19">
        <v>92450</v>
      </c>
      <c r="C4246" s="20" t="s">
        <v>4337</v>
      </c>
      <c r="D4246" s="19" t="s">
        <v>29</v>
      </c>
      <c r="E4246" s="21">
        <f t="shared" si="197"/>
        <v>406.39999999999998</v>
      </c>
      <c r="F4246" s="22">
        <v>0.56000000000000005</v>
      </c>
      <c r="G4246" s="21">
        <f t="shared" si="198"/>
        <v>400.63</v>
      </c>
      <c r="H4246" s="22">
        <v>0.57999999999999996</v>
      </c>
      <c r="I4246" s="23" t="str">
        <f t="shared" si="199"/>
        <v xml:space="preserve">COM VALOR</v>
      </c>
      <c r="J4246" s="19"/>
      <c r="L4246" s="21">
        <v>406.39999999999998</v>
      </c>
      <c r="M4246" s="22">
        <v>0</v>
      </c>
      <c r="N4246" s="21">
        <v>400.63</v>
      </c>
      <c r="O4246" s="22">
        <v>0</v>
      </c>
    </row>
    <row r="4247" ht="38.25">
      <c r="A4247" t="s">
        <v>4247</v>
      </c>
      <c r="B4247" s="19">
        <v>92454</v>
      </c>
      <c r="C4247" s="20" t="s">
        <v>4338</v>
      </c>
      <c r="D4247" s="19" t="s">
        <v>29</v>
      </c>
      <c r="E4247" s="21">
        <f t="shared" si="197"/>
        <v>376.68000000000001</v>
      </c>
      <c r="F4247" s="22"/>
      <c r="G4247" s="21">
        <f t="shared" si="198"/>
        <v>371.72000000000003</v>
      </c>
      <c r="H4247" s="22"/>
      <c r="I4247" s="23" t="str">
        <f t="shared" si="199"/>
        <v xml:space="preserve">COM VALOR</v>
      </c>
      <c r="J4247" s="19"/>
      <c r="L4247" s="21">
        <v>376.68000000000001</v>
      </c>
      <c r="M4247" s="22">
        <v>0</v>
      </c>
      <c r="N4247" s="21">
        <v>371.72000000000003</v>
      </c>
      <c r="O4247" s="22">
        <v>0</v>
      </c>
    </row>
    <row r="4248" ht="38.25">
      <c r="A4248" t="s">
        <v>4247</v>
      </c>
      <c r="B4248" s="19">
        <v>92458</v>
      </c>
      <c r="C4248" s="20" t="s">
        <v>4339</v>
      </c>
      <c r="D4248" s="19" t="s">
        <v>29</v>
      </c>
      <c r="E4248" s="21">
        <f t="shared" si="197"/>
        <v>358.11000000000001</v>
      </c>
      <c r="F4248" s="22"/>
      <c r="G4248" s="21">
        <f t="shared" si="198"/>
        <v>353.74000000000001</v>
      </c>
      <c r="H4248" s="22"/>
      <c r="I4248" s="23" t="str">
        <f t="shared" si="199"/>
        <v xml:space="preserve">COM VALOR</v>
      </c>
      <c r="J4248" s="19"/>
      <c r="L4248" s="21">
        <v>358.11000000000001</v>
      </c>
      <c r="M4248" s="22">
        <v>0</v>
      </c>
      <c r="N4248" s="21">
        <v>353.74000000000001</v>
      </c>
      <c r="O4248" s="22">
        <v>0</v>
      </c>
    </row>
    <row r="4249" ht="38.25">
      <c r="A4249" t="s">
        <v>4247</v>
      </c>
      <c r="B4249" s="19">
        <v>92462</v>
      </c>
      <c r="C4249" s="20" t="s">
        <v>4340</v>
      </c>
      <c r="D4249" s="19" t="s">
        <v>29</v>
      </c>
      <c r="E4249" s="21">
        <f t="shared" si="197"/>
        <v>346.31</v>
      </c>
      <c r="F4249" s="22"/>
      <c r="G4249" s="21">
        <f t="shared" si="198"/>
        <v>342.35000000000002</v>
      </c>
      <c r="H4249" s="22"/>
      <c r="I4249" s="23" t="str">
        <f t="shared" si="199"/>
        <v xml:space="preserve">COM VALOR</v>
      </c>
      <c r="J4249" s="19"/>
      <c r="L4249" s="21">
        <v>346.31</v>
      </c>
      <c r="M4249" s="22">
        <v>0</v>
      </c>
      <c r="N4249" s="21">
        <v>342.35000000000002</v>
      </c>
      <c r="O4249" s="22">
        <v>0</v>
      </c>
    </row>
    <row r="4250" ht="38.25">
      <c r="A4250" t="s">
        <v>4247</v>
      </c>
      <c r="B4250" s="19">
        <v>92468</v>
      </c>
      <c r="C4250" s="20" t="s">
        <v>4341</v>
      </c>
      <c r="D4250" s="19" t="s">
        <v>29</v>
      </c>
      <c r="E4250" s="21">
        <f t="shared" si="197"/>
        <v>140.15000000000001</v>
      </c>
      <c r="F4250" s="22"/>
      <c r="G4250" s="21">
        <f t="shared" si="198"/>
        <v>137.40000000000001</v>
      </c>
      <c r="H4250" s="22"/>
      <c r="I4250" s="23" t="str">
        <f t="shared" si="199"/>
        <v xml:space="preserve">COM VALOR</v>
      </c>
      <c r="J4250" s="19"/>
      <c r="L4250" s="21">
        <v>140.15000000000001</v>
      </c>
      <c r="M4250" s="22">
        <v>0</v>
      </c>
      <c r="N4250" s="21">
        <v>137.40000000000001</v>
      </c>
      <c r="O4250" s="22">
        <v>0</v>
      </c>
    </row>
    <row r="4251" ht="38.25">
      <c r="A4251" t="s">
        <v>4247</v>
      </c>
      <c r="B4251" s="19">
        <v>92472</v>
      </c>
      <c r="C4251" s="20" t="s">
        <v>4342</v>
      </c>
      <c r="D4251" s="19" t="s">
        <v>29</v>
      </c>
      <c r="E4251" s="21">
        <f t="shared" si="197"/>
        <v>134.31</v>
      </c>
      <c r="F4251" s="22"/>
      <c r="G4251" s="21">
        <f t="shared" si="198"/>
        <v>131.78</v>
      </c>
      <c r="H4251" s="22"/>
      <c r="I4251" s="23" t="str">
        <f t="shared" si="199"/>
        <v xml:space="preserve">COM VALOR</v>
      </c>
      <c r="J4251" s="19"/>
      <c r="L4251" s="21">
        <v>134.31</v>
      </c>
      <c r="M4251" s="22">
        <v>0</v>
      </c>
      <c r="N4251" s="21">
        <v>131.78</v>
      </c>
      <c r="O4251" s="22">
        <v>0</v>
      </c>
    </row>
    <row r="4252" ht="38.25">
      <c r="A4252" t="s">
        <v>4247</v>
      </c>
      <c r="B4252" s="19">
        <v>92476</v>
      </c>
      <c r="C4252" s="20" t="s">
        <v>4343</v>
      </c>
      <c r="D4252" s="19" t="s">
        <v>29</v>
      </c>
      <c r="E4252" s="21">
        <f t="shared" si="197"/>
        <v>129.34999999999999</v>
      </c>
      <c r="F4252" s="22">
        <v>4.0000000000000001e-002</v>
      </c>
      <c r="G4252" s="21">
        <f t="shared" si="198"/>
        <v>127.01000000000001</v>
      </c>
      <c r="H4252" s="22">
        <v>4.0000000000000001e-002</v>
      </c>
      <c r="I4252" s="23" t="str">
        <f t="shared" si="199"/>
        <v xml:space="preserve">COM VALOR</v>
      </c>
      <c r="J4252" s="19"/>
      <c r="L4252" s="21">
        <v>129.34999999999999</v>
      </c>
      <c r="M4252" s="22">
        <v>0</v>
      </c>
      <c r="N4252" s="21">
        <v>127.01000000000001</v>
      </c>
      <c r="O4252" s="22">
        <v>0</v>
      </c>
    </row>
    <row r="4253" ht="38.25">
      <c r="A4253" t="s">
        <v>4247</v>
      </c>
      <c r="B4253" s="19">
        <v>92480</v>
      </c>
      <c r="C4253" s="20" t="s">
        <v>4344</v>
      </c>
      <c r="D4253" s="19" t="s">
        <v>29</v>
      </c>
      <c r="E4253" s="21">
        <f t="shared" si="197"/>
        <v>119.45</v>
      </c>
      <c r="F4253" s="22">
        <v>0</v>
      </c>
      <c r="G4253" s="21">
        <f t="shared" si="198"/>
        <v>117.47</v>
      </c>
      <c r="H4253" s="22">
        <v>0</v>
      </c>
      <c r="I4253" s="23" t="str">
        <f t="shared" si="199"/>
        <v xml:space="preserve">COM VALOR</v>
      </c>
      <c r="J4253" s="19"/>
      <c r="L4253" s="21">
        <v>119.45</v>
      </c>
      <c r="M4253" s="22">
        <v>0</v>
      </c>
      <c r="N4253" s="21">
        <v>117.47</v>
      </c>
      <c r="O4253" s="22">
        <v>0</v>
      </c>
    </row>
    <row r="4254" ht="38.25">
      <c r="A4254" t="s">
        <v>4247</v>
      </c>
      <c r="B4254" s="19">
        <v>92452</v>
      </c>
      <c r="C4254" s="20" t="s">
        <v>4345</v>
      </c>
      <c r="D4254" s="19" t="s">
        <v>29</v>
      </c>
      <c r="E4254" s="21">
        <f t="shared" si="197"/>
        <v>205.15000000000001</v>
      </c>
      <c r="F4254" s="22">
        <v>0</v>
      </c>
      <c r="G4254" s="21">
        <f t="shared" si="198"/>
        <v>200.46000000000001</v>
      </c>
      <c r="H4254" s="22">
        <v>0</v>
      </c>
      <c r="I4254" s="23" t="str">
        <f t="shared" si="199"/>
        <v xml:space="preserve">COM VALOR</v>
      </c>
      <c r="J4254" s="19"/>
      <c r="L4254" s="21">
        <v>205.15000000000001</v>
      </c>
      <c r="M4254" s="22">
        <v>0</v>
      </c>
      <c r="N4254" s="21">
        <v>200.46000000000001</v>
      </c>
      <c r="O4254" s="22">
        <v>0</v>
      </c>
    </row>
    <row r="4255" ht="38.25">
      <c r="A4255" t="s">
        <v>4247</v>
      </c>
      <c r="B4255" s="19">
        <v>92456</v>
      </c>
      <c r="C4255" s="20" t="s">
        <v>4346</v>
      </c>
      <c r="D4255" s="19" t="s">
        <v>29</v>
      </c>
      <c r="E4255" s="21">
        <f t="shared" si="197"/>
        <v>175.41</v>
      </c>
      <c r="F4255" s="22">
        <v>0</v>
      </c>
      <c r="G4255" s="21">
        <f t="shared" si="198"/>
        <v>171.46000000000001</v>
      </c>
      <c r="H4255" s="22">
        <v>0</v>
      </c>
      <c r="I4255" s="23" t="str">
        <f t="shared" si="199"/>
        <v xml:space="preserve">COM VALOR</v>
      </c>
      <c r="J4255" s="19"/>
      <c r="L4255" s="21">
        <v>175.41</v>
      </c>
      <c r="M4255" s="22">
        <v>0</v>
      </c>
      <c r="N4255" s="21">
        <v>171.46000000000001</v>
      </c>
      <c r="O4255" s="22">
        <v>0</v>
      </c>
    </row>
    <row r="4256" ht="38.25">
      <c r="A4256" t="s">
        <v>4247</v>
      </c>
      <c r="B4256" s="19">
        <v>92460</v>
      </c>
      <c r="C4256" s="20" t="s">
        <v>4347</v>
      </c>
      <c r="D4256" s="19" t="s">
        <v>29</v>
      </c>
      <c r="E4256" s="21">
        <f t="shared" si="197"/>
        <v>148.66999999999999</v>
      </c>
      <c r="F4256" s="22">
        <v>0</v>
      </c>
      <c r="G4256" s="21">
        <f t="shared" si="198"/>
        <v>145.22</v>
      </c>
      <c r="H4256" s="22">
        <v>0</v>
      </c>
      <c r="I4256" s="23" t="str">
        <f t="shared" si="199"/>
        <v xml:space="preserve">COM VALOR</v>
      </c>
      <c r="J4256" s="19"/>
      <c r="L4256" s="21">
        <v>148.66999999999999</v>
      </c>
      <c r="M4256" s="22">
        <v>0</v>
      </c>
      <c r="N4256" s="21">
        <v>145.22</v>
      </c>
      <c r="O4256" s="22">
        <v>0</v>
      </c>
    </row>
    <row r="4257" ht="38.25">
      <c r="A4257" t="s">
        <v>4247</v>
      </c>
      <c r="B4257" s="19">
        <v>92464</v>
      </c>
      <c r="C4257" s="20" t="s">
        <v>4348</v>
      </c>
      <c r="D4257" s="19" t="s">
        <v>29</v>
      </c>
      <c r="E4257" s="21">
        <f t="shared" si="197"/>
        <v>146.09</v>
      </c>
      <c r="F4257" s="22">
        <v>0</v>
      </c>
      <c r="G4257" s="21">
        <f t="shared" si="198"/>
        <v>142.99000000000001</v>
      </c>
      <c r="H4257" s="22">
        <v>0</v>
      </c>
      <c r="I4257" s="23" t="str">
        <f t="shared" si="199"/>
        <v xml:space="preserve">COM VALOR</v>
      </c>
      <c r="J4257" s="19"/>
      <c r="L4257" s="21">
        <v>146.09</v>
      </c>
      <c r="M4257" s="22">
        <v>0</v>
      </c>
      <c r="N4257" s="21">
        <v>142.99000000000001</v>
      </c>
      <c r="O4257" s="22">
        <v>0</v>
      </c>
    </row>
    <row r="4258" ht="25.5">
      <c r="A4258" t="s">
        <v>4349</v>
      </c>
      <c r="B4258" s="19">
        <v>105403</v>
      </c>
      <c r="C4258" s="20" t="s">
        <v>4350</v>
      </c>
      <c r="D4258" s="19" t="s">
        <v>29</v>
      </c>
      <c r="E4258" s="21">
        <f t="shared" si="197"/>
        <v>171.05000000000001</v>
      </c>
      <c r="F4258" s="22">
        <v>0</v>
      </c>
      <c r="G4258" s="21">
        <f t="shared" si="198"/>
        <v>169.36000000000001</v>
      </c>
      <c r="H4258" s="22">
        <v>0</v>
      </c>
      <c r="I4258" s="23" t="str">
        <f t="shared" si="199"/>
        <v xml:space="preserve">COM VALOR</v>
      </c>
      <c r="J4258" s="19"/>
      <c r="L4258" s="21">
        <v>171.05000000000001</v>
      </c>
      <c r="M4258" s="22">
        <v>0</v>
      </c>
      <c r="N4258" s="21">
        <v>169.36000000000001</v>
      </c>
      <c r="O4258" s="22">
        <v>0</v>
      </c>
    </row>
    <row r="4259" ht="25.5">
      <c r="A4259" t="s">
        <v>4349</v>
      </c>
      <c r="B4259" s="19">
        <v>96252</v>
      </c>
      <c r="C4259" s="20" t="s">
        <v>4351</v>
      </c>
      <c r="D4259" s="19" t="s">
        <v>29</v>
      </c>
      <c r="E4259" s="21">
        <f t="shared" si="197"/>
        <v>140.34</v>
      </c>
      <c r="F4259" s="22">
        <v>0</v>
      </c>
      <c r="G4259" s="21">
        <f t="shared" si="198"/>
        <v>138.81</v>
      </c>
      <c r="H4259" s="22">
        <v>0</v>
      </c>
      <c r="I4259" s="23" t="str">
        <f t="shared" si="199"/>
        <v xml:space="preserve">COM VALOR</v>
      </c>
      <c r="J4259" s="19"/>
      <c r="L4259" s="21">
        <v>140.34</v>
      </c>
      <c r="M4259" s="22">
        <v>0</v>
      </c>
      <c r="N4259" s="21">
        <v>138.81</v>
      </c>
      <c r="O4259" s="22">
        <v>0</v>
      </c>
    </row>
    <row r="4260" ht="25.5">
      <c r="A4260" t="s">
        <v>4349</v>
      </c>
      <c r="B4260" s="19">
        <v>96254</v>
      </c>
      <c r="C4260" s="20" t="s">
        <v>4352</v>
      </c>
      <c r="D4260" s="19" t="s">
        <v>38</v>
      </c>
      <c r="E4260" s="21" t="str">
        <f t="shared" si="197"/>
        <v>VERIFICAR</v>
      </c>
      <c r="F4260" s="22">
        <v>0</v>
      </c>
      <c r="G4260" s="21" t="str">
        <f t="shared" si="198"/>
        <v>VERIFICAR</v>
      </c>
      <c r="H4260" s="22">
        <v>0</v>
      </c>
      <c r="I4260" s="23" t="str">
        <f t="shared" si="199"/>
        <v xml:space="preserve">COM VALOR</v>
      </c>
      <c r="J4260" s="19"/>
      <c r="L4260" s="21">
        <v>0</v>
      </c>
      <c r="M4260" s="22"/>
      <c r="N4260" s="21">
        <v>0</v>
      </c>
      <c r="O4260" s="22"/>
    </row>
    <row r="4261" ht="38.25">
      <c r="A4261" t="s">
        <v>4349</v>
      </c>
      <c r="B4261" s="19">
        <v>96253</v>
      </c>
      <c r="C4261" s="20" t="s">
        <v>4353</v>
      </c>
      <c r="D4261" s="19" t="s">
        <v>38</v>
      </c>
      <c r="E4261" s="21" t="str">
        <f t="shared" si="197"/>
        <v>VERIFICAR</v>
      </c>
      <c r="F4261" s="22"/>
      <c r="G4261" s="21" t="str">
        <f t="shared" si="198"/>
        <v>VERIFICAR</v>
      </c>
      <c r="H4261" s="22"/>
      <c r="I4261" s="23" t="str">
        <f t="shared" si="199"/>
        <v xml:space="preserve">COM VALOR</v>
      </c>
      <c r="J4261" s="19"/>
      <c r="L4261" s="21">
        <v>0</v>
      </c>
      <c r="M4261" s="22"/>
      <c r="N4261" s="21">
        <v>0</v>
      </c>
      <c r="O4261" s="22"/>
    </row>
    <row r="4262" ht="25.5">
      <c r="A4262" t="s">
        <v>4349</v>
      </c>
      <c r="B4262" s="19">
        <v>105406</v>
      </c>
      <c r="C4262" s="20" t="s">
        <v>4354</v>
      </c>
      <c r="D4262" s="19" t="s">
        <v>29</v>
      </c>
      <c r="E4262" s="21">
        <f t="shared" si="197"/>
        <v>195.90000000000001</v>
      </c>
      <c r="F4262" s="22"/>
      <c r="G4262" s="21">
        <f t="shared" si="198"/>
        <v>190.50999999999999</v>
      </c>
      <c r="H4262" s="22"/>
      <c r="I4262" s="23" t="str">
        <f t="shared" si="199"/>
        <v xml:space="preserve">COM VALOR</v>
      </c>
      <c r="J4262" s="19"/>
      <c r="L4262" s="21">
        <v>195.90000000000001</v>
      </c>
      <c r="M4262" s="22">
        <v>0</v>
      </c>
      <c r="N4262" s="21">
        <v>190.50999999999999</v>
      </c>
      <c r="O4262" s="22">
        <v>0</v>
      </c>
    </row>
    <row r="4263" ht="25.5">
      <c r="A4263" t="s">
        <v>4349</v>
      </c>
      <c r="B4263" s="19">
        <v>96264</v>
      </c>
      <c r="C4263" s="20" t="s">
        <v>4355</v>
      </c>
      <c r="D4263" s="19" t="s">
        <v>29</v>
      </c>
      <c r="E4263" s="21" t="str">
        <f t="shared" si="197"/>
        <v>VERIFICAR</v>
      </c>
      <c r="F4263" s="22">
        <v>0</v>
      </c>
      <c r="G4263" s="21" t="str">
        <f t="shared" si="198"/>
        <v>VERIFICAR</v>
      </c>
      <c r="H4263" s="22">
        <v>0</v>
      </c>
      <c r="I4263" s="23" t="str">
        <f t="shared" si="199"/>
        <v xml:space="preserve">COM VALOR</v>
      </c>
      <c r="J4263" s="19"/>
      <c r="L4263" s="21">
        <v>0</v>
      </c>
      <c r="M4263" s="22"/>
      <c r="N4263" s="21">
        <v>0</v>
      </c>
      <c r="O4263" s="22"/>
    </row>
    <row r="4264" ht="25.5">
      <c r="A4264" t="s">
        <v>4349</v>
      </c>
      <c r="B4264" s="19">
        <v>105405</v>
      </c>
      <c r="C4264" s="20" t="s">
        <v>4356</v>
      </c>
      <c r="D4264" s="19" t="s">
        <v>29</v>
      </c>
      <c r="E4264" s="21" t="str">
        <f t="shared" si="197"/>
        <v>VERIFICAR</v>
      </c>
      <c r="F4264" s="22">
        <v>0</v>
      </c>
      <c r="G4264" s="21" t="str">
        <f t="shared" si="198"/>
        <v>VERIFICAR</v>
      </c>
      <c r="H4264" s="22">
        <v>0</v>
      </c>
      <c r="I4264" s="23" t="str">
        <f t="shared" si="199"/>
        <v xml:space="preserve">COM VALOR</v>
      </c>
      <c r="J4264" s="19"/>
      <c r="L4264" s="21">
        <v>0</v>
      </c>
      <c r="M4264" s="22"/>
      <c r="N4264" s="21">
        <v>0</v>
      </c>
      <c r="O4264" s="22"/>
    </row>
    <row r="4265" ht="25.5">
      <c r="A4265" t="s">
        <v>4349</v>
      </c>
      <c r="B4265" s="19">
        <v>96258</v>
      </c>
      <c r="C4265" s="20" t="s">
        <v>4357</v>
      </c>
      <c r="D4265" s="19" t="s">
        <v>29</v>
      </c>
      <c r="E4265" s="21">
        <f t="shared" si="197"/>
        <v>137.27000000000001</v>
      </c>
      <c r="F4265" s="22">
        <v>0</v>
      </c>
      <c r="G4265" s="21">
        <f t="shared" si="198"/>
        <v>133.25999999999999</v>
      </c>
      <c r="H4265" s="22">
        <v>0</v>
      </c>
      <c r="I4265" s="23" t="str">
        <f t="shared" si="199"/>
        <v xml:space="preserve">COM VALOR</v>
      </c>
      <c r="J4265" s="19"/>
      <c r="L4265" s="21">
        <v>137.27000000000001</v>
      </c>
      <c r="M4265" s="22">
        <v>0</v>
      </c>
      <c r="N4265" s="21">
        <v>133.25999999999999</v>
      </c>
      <c r="O4265" s="22">
        <v>0</v>
      </c>
    </row>
    <row r="4266" ht="25.5">
      <c r="A4266" t="s">
        <v>4349</v>
      </c>
      <c r="B4266" s="19">
        <v>96262</v>
      </c>
      <c r="C4266" s="20" t="s">
        <v>4358</v>
      </c>
      <c r="D4266" s="19" t="s">
        <v>29</v>
      </c>
      <c r="E4266" s="21" t="str">
        <f t="shared" si="197"/>
        <v>VERIFICAR</v>
      </c>
      <c r="F4266" s="22">
        <v>0</v>
      </c>
      <c r="G4266" s="21" t="str">
        <f t="shared" si="198"/>
        <v>VERIFICAR</v>
      </c>
      <c r="H4266" s="22">
        <v>0</v>
      </c>
      <c r="I4266" s="23" t="str">
        <f t="shared" si="199"/>
        <v xml:space="preserve">COM VALOR</v>
      </c>
      <c r="J4266" s="19"/>
      <c r="L4266" s="21">
        <v>0</v>
      </c>
      <c r="M4266" s="22"/>
      <c r="N4266" s="21">
        <v>0</v>
      </c>
      <c r="O4266" s="22"/>
    </row>
    <row r="4267" ht="25.5">
      <c r="A4267" t="s">
        <v>4349</v>
      </c>
      <c r="B4267" s="19">
        <v>105404</v>
      </c>
      <c r="C4267" s="20" t="s">
        <v>4359</v>
      </c>
      <c r="D4267" s="19" t="s">
        <v>29</v>
      </c>
      <c r="E4267" s="21" t="str">
        <f t="shared" si="197"/>
        <v>VERIFICAR</v>
      </c>
      <c r="F4267" s="22">
        <v>0</v>
      </c>
      <c r="G4267" s="21" t="str">
        <f t="shared" si="198"/>
        <v>VERIFICAR</v>
      </c>
      <c r="H4267" s="22">
        <v>0</v>
      </c>
      <c r="I4267" s="23" t="str">
        <f t="shared" si="199"/>
        <v xml:space="preserve">COM VALOR</v>
      </c>
      <c r="J4267" s="19"/>
      <c r="L4267" s="21">
        <v>0</v>
      </c>
      <c r="M4267" s="22"/>
      <c r="N4267" s="21">
        <v>0</v>
      </c>
      <c r="O4267" s="22"/>
    </row>
    <row r="4268" ht="38.25">
      <c r="A4268" t="s">
        <v>4360</v>
      </c>
      <c r="B4268" s="19">
        <v>92751</v>
      </c>
      <c r="C4268" s="20" t="s">
        <v>4361</v>
      </c>
      <c r="D4268" s="19" t="s">
        <v>121</v>
      </c>
      <c r="E4268" s="21">
        <f t="shared" si="197"/>
        <v>1752.5</v>
      </c>
      <c r="F4268" s="22">
        <v>0</v>
      </c>
      <c r="G4268" s="21">
        <f t="shared" si="198"/>
        <v>1733.3599999999999</v>
      </c>
      <c r="H4268" s="22">
        <v>0</v>
      </c>
      <c r="I4268" s="23" t="str">
        <f t="shared" si="199"/>
        <v xml:space="preserve">COM VALOR</v>
      </c>
      <c r="J4268" s="19"/>
      <c r="L4268" s="21">
        <v>1752.5</v>
      </c>
      <c r="M4268" s="22">
        <v>1.e-002</v>
      </c>
      <c r="N4268" s="21">
        <v>1733.3599999999999</v>
      </c>
      <c r="O4268" s="22">
        <v>1.e-002</v>
      </c>
    </row>
    <row r="4269" ht="38.25">
      <c r="A4269" t="s">
        <v>4360</v>
      </c>
      <c r="B4269" s="19">
        <v>92752</v>
      </c>
      <c r="C4269" s="20" t="s">
        <v>4362</v>
      </c>
      <c r="D4269" s="19" t="s">
        <v>121</v>
      </c>
      <c r="E4269" s="21">
        <f t="shared" si="197"/>
        <v>2074.2199999999998</v>
      </c>
      <c r="F4269" s="22">
        <v>0</v>
      </c>
      <c r="G4269" s="21">
        <f t="shared" si="198"/>
        <v>2052.4200000000001</v>
      </c>
      <c r="H4269" s="22">
        <v>0</v>
      </c>
      <c r="I4269" s="23" t="str">
        <f t="shared" si="199"/>
        <v xml:space="preserve">COM VALOR</v>
      </c>
      <c r="J4269" s="19"/>
      <c r="L4269" s="21">
        <v>2074.2199999999998</v>
      </c>
      <c r="M4269" s="22">
        <v>1.e-002</v>
      </c>
      <c r="N4269" s="21">
        <v>2052.4200000000001</v>
      </c>
      <c r="O4269" s="22">
        <v>1.e-002</v>
      </c>
    </row>
    <row r="4270" ht="38.25">
      <c r="A4270" t="s">
        <v>4360</v>
      </c>
      <c r="B4270" s="19">
        <v>92750</v>
      </c>
      <c r="C4270" s="20" t="s">
        <v>4363</v>
      </c>
      <c r="D4270" s="19" t="s">
        <v>121</v>
      </c>
      <c r="E4270" s="21">
        <f t="shared" si="197"/>
        <v>1428.26</v>
      </c>
      <c r="F4270" s="22">
        <v>0</v>
      </c>
      <c r="G4270" s="21">
        <f t="shared" si="198"/>
        <v>1411.8599999999999</v>
      </c>
      <c r="H4270" s="22">
        <v>0</v>
      </c>
      <c r="I4270" s="23" t="str">
        <f t="shared" si="199"/>
        <v xml:space="preserve">COM VALOR</v>
      </c>
      <c r="J4270" s="19"/>
      <c r="L4270" s="21">
        <v>1428.26</v>
      </c>
      <c r="M4270" s="22">
        <v>1.e-002</v>
      </c>
      <c r="N4270" s="21">
        <v>1411.8599999999999</v>
      </c>
      <c r="O4270" s="22">
        <v>1.e-002</v>
      </c>
    </row>
    <row r="4271" ht="38.25">
      <c r="A4271" t="s">
        <v>4360</v>
      </c>
      <c r="B4271" s="19">
        <v>92749</v>
      </c>
      <c r="C4271" s="20" t="s">
        <v>4364</v>
      </c>
      <c r="D4271" s="19" t="s">
        <v>121</v>
      </c>
      <c r="E4271" s="21">
        <f t="shared" si="197"/>
        <v>873.57000000000005</v>
      </c>
      <c r="F4271" s="22">
        <v>0</v>
      </c>
      <c r="G4271" s="21">
        <f t="shared" si="198"/>
        <v>861.79999999999995</v>
      </c>
      <c r="H4271" s="22">
        <v>0</v>
      </c>
      <c r="I4271" s="23" t="str">
        <f t="shared" si="199"/>
        <v xml:space="preserve">COM VALOR</v>
      </c>
      <c r="J4271" s="19"/>
      <c r="L4271" s="21">
        <v>873.57000000000005</v>
      </c>
      <c r="M4271" s="22">
        <v>2.e-002</v>
      </c>
      <c r="N4271" s="21">
        <v>861.79999999999995</v>
      </c>
      <c r="O4271" s="22">
        <v>2.e-002</v>
      </c>
    </row>
    <row r="4272" ht="51">
      <c r="A4272" t="s">
        <v>4360</v>
      </c>
      <c r="B4272" s="19">
        <v>92745</v>
      </c>
      <c r="C4272" s="20" t="s">
        <v>4365</v>
      </c>
      <c r="D4272" s="19" t="s">
        <v>121</v>
      </c>
      <c r="E4272" s="21">
        <f t="shared" si="197"/>
        <v>751.26999999999998</v>
      </c>
      <c r="F4272" s="22">
        <v>0</v>
      </c>
      <c r="G4272" s="21">
        <f t="shared" si="198"/>
        <v>739.36000000000001</v>
      </c>
      <c r="H4272" s="22">
        <v>0</v>
      </c>
      <c r="I4272" s="23" t="str">
        <f t="shared" si="199"/>
        <v xml:space="preserve">COM VALOR</v>
      </c>
      <c r="J4272" s="19"/>
      <c r="L4272" s="21">
        <v>751.26999999999998</v>
      </c>
      <c r="M4272" s="22">
        <v>1.e-002</v>
      </c>
      <c r="N4272" s="21">
        <v>739.36000000000001</v>
      </c>
      <c r="O4272" s="22">
        <v>1.e-002</v>
      </c>
    </row>
    <row r="4273" ht="51">
      <c r="A4273" t="s">
        <v>4360</v>
      </c>
      <c r="B4273" s="19">
        <v>92747</v>
      </c>
      <c r="C4273" s="20" t="s">
        <v>4366</v>
      </c>
      <c r="D4273" s="19" t="s">
        <v>121</v>
      </c>
      <c r="E4273" s="21">
        <f t="shared" si="197"/>
        <v>830.92999999999995</v>
      </c>
      <c r="F4273" s="22">
        <v>0</v>
      </c>
      <c r="G4273" s="21">
        <f t="shared" si="198"/>
        <v>817.73000000000002</v>
      </c>
      <c r="H4273" s="22">
        <v>0</v>
      </c>
      <c r="I4273" s="23" t="str">
        <f t="shared" si="199"/>
        <v xml:space="preserve">COM VALOR</v>
      </c>
      <c r="J4273" s="19"/>
      <c r="L4273" s="21">
        <v>830.92999999999995</v>
      </c>
      <c r="M4273" s="22">
        <v>0</v>
      </c>
      <c r="N4273" s="21">
        <v>817.73000000000002</v>
      </c>
      <c r="O4273" s="22">
        <v>0</v>
      </c>
    </row>
    <row r="4274" ht="51">
      <c r="A4274" t="s">
        <v>4360</v>
      </c>
      <c r="B4274" s="19">
        <v>92743</v>
      </c>
      <c r="C4274" s="20" t="s">
        <v>4367</v>
      </c>
      <c r="D4274" s="19" t="s">
        <v>121</v>
      </c>
      <c r="E4274" s="21">
        <f t="shared" si="197"/>
        <v>624.67999999999995</v>
      </c>
      <c r="F4274" s="22">
        <v>0</v>
      </c>
      <c r="G4274" s="21">
        <f t="shared" si="198"/>
        <v>614.44000000000005</v>
      </c>
      <c r="H4274" s="22">
        <v>0</v>
      </c>
      <c r="I4274" s="23" t="str">
        <f t="shared" si="199"/>
        <v xml:space="preserve">COM VALOR</v>
      </c>
      <c r="J4274" s="19"/>
      <c r="L4274" s="21">
        <v>624.67999999999995</v>
      </c>
      <c r="M4274" s="22">
        <v>1.e-002</v>
      </c>
      <c r="N4274" s="21">
        <v>614.44000000000005</v>
      </c>
      <c r="O4274" s="22">
        <v>1.e-002</v>
      </c>
    </row>
    <row r="4275" ht="51">
      <c r="A4275" t="s">
        <v>4360</v>
      </c>
      <c r="B4275" s="19">
        <v>92746</v>
      </c>
      <c r="C4275" s="20" t="s">
        <v>4368</v>
      </c>
      <c r="D4275" s="19" t="s">
        <v>121</v>
      </c>
      <c r="E4275" s="21">
        <f t="shared" si="197"/>
        <v>673.39999999999998</v>
      </c>
      <c r="F4275" s="22">
        <v>0</v>
      </c>
      <c r="G4275" s="21">
        <f t="shared" si="198"/>
        <v>665.72000000000003</v>
      </c>
      <c r="H4275" s="22">
        <v>0</v>
      </c>
      <c r="I4275" s="23" t="str">
        <f t="shared" si="199"/>
        <v xml:space="preserve">COM VALOR</v>
      </c>
      <c r="J4275" s="19"/>
      <c r="L4275" s="21">
        <v>673.39999999999998</v>
      </c>
      <c r="M4275" s="22">
        <v>1.e-002</v>
      </c>
      <c r="N4275" s="21">
        <v>665.72000000000003</v>
      </c>
      <c r="O4275" s="22">
        <v>1.e-002</v>
      </c>
    </row>
    <row r="4276" ht="51">
      <c r="A4276" t="s">
        <v>4360</v>
      </c>
      <c r="B4276" s="19">
        <v>92748</v>
      </c>
      <c r="C4276" s="20" t="s">
        <v>4369</v>
      </c>
      <c r="D4276" s="19" t="s">
        <v>121</v>
      </c>
      <c r="E4276" s="21">
        <f t="shared" si="197"/>
        <v>737.07000000000005</v>
      </c>
      <c r="F4276" s="22">
        <v>0</v>
      </c>
      <c r="G4276" s="21">
        <f t="shared" si="198"/>
        <v>728.07000000000005</v>
      </c>
      <c r="H4276" s="22">
        <v>0</v>
      </c>
      <c r="I4276" s="23" t="str">
        <f t="shared" si="199"/>
        <v xml:space="preserve">COM VALOR</v>
      </c>
      <c r="J4276" s="19"/>
      <c r="L4276" s="21">
        <v>737.07000000000005</v>
      </c>
      <c r="M4276" s="22">
        <v>0</v>
      </c>
      <c r="N4276" s="21">
        <v>728.07000000000005</v>
      </c>
      <c r="O4276" s="22">
        <v>5.0000000000000001e-003</v>
      </c>
    </row>
    <row r="4277" ht="51">
      <c r="A4277" t="s">
        <v>4360</v>
      </c>
      <c r="B4277" s="19">
        <v>92744</v>
      </c>
      <c r="C4277" s="20" t="s">
        <v>4370</v>
      </c>
      <c r="D4277" s="19" t="s">
        <v>121</v>
      </c>
      <c r="E4277" s="21">
        <f t="shared" si="197"/>
        <v>568.50999999999999</v>
      </c>
      <c r="F4277" s="22">
        <v>2.e-002</v>
      </c>
      <c r="G4277" s="21">
        <f t="shared" si="198"/>
        <v>562.83000000000004</v>
      </c>
      <c r="H4277" s="22">
        <v>2.e-002</v>
      </c>
      <c r="I4277" s="23" t="str">
        <f t="shared" si="199"/>
        <v xml:space="preserve">COM VALOR</v>
      </c>
      <c r="J4277" s="19"/>
      <c r="L4277" s="21">
        <v>568.50999999999999</v>
      </c>
      <c r="M4277" s="22">
        <v>1.e-002</v>
      </c>
      <c r="N4277" s="21">
        <v>562.83000000000004</v>
      </c>
      <c r="O4277" s="22">
        <v>1.e-002</v>
      </c>
    </row>
    <row r="4278" ht="51">
      <c r="A4278" t="s">
        <v>4360</v>
      </c>
      <c r="B4278" s="19">
        <v>92754</v>
      </c>
      <c r="C4278" s="20" t="s">
        <v>4371</v>
      </c>
      <c r="D4278" s="19" t="s">
        <v>121</v>
      </c>
      <c r="E4278" s="21">
        <f t="shared" si="197"/>
        <v>592.88999999999999</v>
      </c>
      <c r="F4278" s="22">
        <v>2.e-002</v>
      </c>
      <c r="G4278" s="21">
        <f t="shared" si="198"/>
        <v>583.75999999999999</v>
      </c>
      <c r="H4278" s="22">
        <v>2.e-002</v>
      </c>
      <c r="I4278" s="23" t="str">
        <f t="shared" si="199"/>
        <v xml:space="preserve">COM VALOR</v>
      </c>
      <c r="J4278" s="19"/>
      <c r="L4278" s="21">
        <v>592.88999999999999</v>
      </c>
      <c r="M4278" s="22">
        <v>0.17000000000000001</v>
      </c>
      <c r="N4278" s="21">
        <v>583.75999999999999</v>
      </c>
      <c r="O4278" s="22">
        <v>0.17000000000000001</v>
      </c>
    </row>
    <row r="4279" ht="51">
      <c r="A4279" t="s">
        <v>4360</v>
      </c>
      <c r="B4279" s="19">
        <v>92753</v>
      </c>
      <c r="C4279" s="20" t="s">
        <v>4372</v>
      </c>
      <c r="D4279" s="19" t="s">
        <v>121</v>
      </c>
      <c r="E4279" s="21">
        <f t="shared" si="197"/>
        <v>603.32000000000005</v>
      </c>
      <c r="F4279" s="22">
        <v>1.e-002</v>
      </c>
      <c r="G4279" s="21">
        <f t="shared" si="198"/>
        <v>595</v>
      </c>
      <c r="H4279" s="22">
        <v>1.e-002</v>
      </c>
      <c r="I4279" s="23" t="str">
        <f t="shared" si="199"/>
        <v xml:space="preserve">COM VALOR</v>
      </c>
      <c r="J4279" s="19"/>
      <c r="L4279" s="21">
        <v>603.32000000000005</v>
      </c>
      <c r="M4279" s="22">
        <v>0.17999999999999999</v>
      </c>
      <c r="N4279" s="21">
        <v>595</v>
      </c>
      <c r="O4279" s="22">
        <v>0.17999999999999999</v>
      </c>
    </row>
    <row r="4280" ht="38.25">
      <c r="A4280" t="s">
        <v>4360</v>
      </c>
      <c r="B4280" s="19">
        <v>92755</v>
      </c>
      <c r="C4280" s="20" t="s">
        <v>4373</v>
      </c>
      <c r="D4280" s="19" t="s">
        <v>29</v>
      </c>
      <c r="E4280" s="21">
        <f t="shared" si="197"/>
        <v>225.49000000000001</v>
      </c>
      <c r="F4280" s="22">
        <v>1.e-002</v>
      </c>
      <c r="G4280" s="21">
        <f t="shared" si="198"/>
        <v>221.84999999999999</v>
      </c>
      <c r="H4280" s="22">
        <v>1.e-002</v>
      </c>
      <c r="I4280" s="23" t="str">
        <f t="shared" si="199"/>
        <v xml:space="preserve">COM VALOR</v>
      </c>
      <c r="J4280" s="19"/>
      <c r="L4280" s="21">
        <v>225.49000000000001</v>
      </c>
      <c r="M4280" s="22">
        <v>4.0000000000000001e-002</v>
      </c>
      <c r="N4280" s="21">
        <v>221.84999999999999</v>
      </c>
      <c r="O4280" s="22">
        <v>4.0000000000000001e-002</v>
      </c>
    </row>
    <row r="4281" ht="38.25">
      <c r="A4281" t="s">
        <v>4360</v>
      </c>
      <c r="B4281" s="19">
        <v>92756</v>
      </c>
      <c r="C4281" s="20" t="s">
        <v>4374</v>
      </c>
      <c r="D4281" s="19" t="s">
        <v>29</v>
      </c>
      <c r="E4281" s="21">
        <f t="shared" si="197"/>
        <v>260.00999999999999</v>
      </c>
      <c r="F4281" s="22">
        <v>2.e-002</v>
      </c>
      <c r="G4281" s="21">
        <f t="shared" si="198"/>
        <v>255.66999999999999</v>
      </c>
      <c r="H4281" s="22">
        <v>2.e-002</v>
      </c>
      <c r="I4281" s="23" t="str">
        <f t="shared" si="199"/>
        <v xml:space="preserve">COM VALOR</v>
      </c>
      <c r="J4281" s="19"/>
      <c r="L4281" s="21">
        <v>260.00999999999999</v>
      </c>
      <c r="M4281" s="22">
        <v>4.0000000000000001e-002</v>
      </c>
      <c r="N4281" s="21">
        <v>255.66999999999999</v>
      </c>
      <c r="O4281" s="22">
        <v>4.0000000000000001e-002</v>
      </c>
    </row>
    <row r="4282" ht="38.25">
      <c r="A4282" t="s">
        <v>4360</v>
      </c>
      <c r="B4282" s="19">
        <v>92757</v>
      </c>
      <c r="C4282" s="20" t="s">
        <v>4375</v>
      </c>
      <c r="D4282" s="19" t="s">
        <v>29</v>
      </c>
      <c r="E4282" s="21">
        <f t="shared" si="197"/>
        <v>301.25999999999999</v>
      </c>
      <c r="F4282" s="22">
        <v>1.e-002</v>
      </c>
      <c r="G4282" s="21">
        <f t="shared" si="198"/>
        <v>296.10000000000002</v>
      </c>
      <c r="H4282" s="22">
        <v>1.e-002</v>
      </c>
      <c r="I4282" s="23" t="str">
        <f t="shared" si="199"/>
        <v xml:space="preserve">COM VALOR</v>
      </c>
      <c r="J4282" s="19"/>
      <c r="L4282" s="21">
        <v>301.25999999999999</v>
      </c>
      <c r="M4282" s="22">
        <v>2.9999999999999999e-002</v>
      </c>
      <c r="N4282" s="21">
        <v>296.10000000000002</v>
      </c>
      <c r="O4282" s="22">
        <v>2.9999999999999999e-002</v>
      </c>
    </row>
    <row r="4283" ht="38.25">
      <c r="A4283" t="s">
        <v>4360</v>
      </c>
      <c r="B4283" s="19">
        <v>92758</v>
      </c>
      <c r="C4283" s="20" t="s">
        <v>4376</v>
      </c>
      <c r="D4283" s="19" t="s">
        <v>121</v>
      </c>
      <c r="E4283" s="21">
        <f t="shared" si="197"/>
        <v>615.79999999999995</v>
      </c>
      <c r="F4283" s="22">
        <v>2.e-002</v>
      </c>
      <c r="G4283" s="21">
        <f t="shared" si="198"/>
        <v>610.78999999999996</v>
      </c>
      <c r="H4283" s="22">
        <v>2.e-002</v>
      </c>
      <c r="I4283" s="23" t="str">
        <f t="shared" si="199"/>
        <v xml:space="preserve">COM VALOR</v>
      </c>
      <c r="J4283" s="19"/>
      <c r="L4283" s="21">
        <v>615.79999999999995</v>
      </c>
      <c r="M4283" s="22">
        <v>0</v>
      </c>
      <c r="N4283" s="21">
        <v>610.78999999999996</v>
      </c>
      <c r="O4283" s="22">
        <v>0</v>
      </c>
    </row>
    <row r="4284" ht="51">
      <c r="A4284" t="s">
        <v>4377</v>
      </c>
      <c r="B4284" s="19">
        <v>104500</v>
      </c>
      <c r="C4284" s="20" t="s">
        <v>4378</v>
      </c>
      <c r="D4284" s="19" t="s">
        <v>38</v>
      </c>
      <c r="E4284" s="21" t="str">
        <f t="shared" si="197"/>
        <v>VERIFICAR</v>
      </c>
      <c r="F4284" s="22">
        <v>1.e-002</v>
      </c>
      <c r="G4284" s="21" t="str">
        <f t="shared" si="198"/>
        <v>VERIFICAR</v>
      </c>
      <c r="H4284" s="22">
        <v>1.e-002</v>
      </c>
      <c r="I4284" s="23" t="str">
        <f t="shared" si="199"/>
        <v xml:space="preserve">COM VALOR</v>
      </c>
      <c r="J4284" s="19"/>
      <c r="L4284" s="21">
        <v>0</v>
      </c>
      <c r="M4284" s="22"/>
      <c r="N4284" s="21">
        <v>0</v>
      </c>
      <c r="O4284" s="22"/>
    </row>
    <row r="4285" ht="51">
      <c r="A4285" t="s">
        <v>4377</v>
      </c>
      <c r="B4285" s="19">
        <v>104503</v>
      </c>
      <c r="C4285" s="20" t="s">
        <v>4379</v>
      </c>
      <c r="D4285" s="19" t="s">
        <v>38</v>
      </c>
      <c r="E4285" s="21" t="str">
        <f t="shared" si="197"/>
        <v>VERIFICAR</v>
      </c>
      <c r="F4285" s="22">
        <v>1.e-002</v>
      </c>
      <c r="G4285" s="21" t="str">
        <f t="shared" si="198"/>
        <v>VERIFICAR</v>
      </c>
      <c r="H4285" s="22">
        <v>1.e-002</v>
      </c>
      <c r="I4285" s="23" t="str">
        <f t="shared" si="199"/>
        <v xml:space="preserve">COM VALOR</v>
      </c>
      <c r="J4285" s="19"/>
      <c r="L4285" s="21">
        <v>0</v>
      </c>
      <c r="M4285" s="22"/>
      <c r="N4285" s="21">
        <v>0</v>
      </c>
      <c r="O4285" s="22"/>
    </row>
    <row r="4286" ht="51">
      <c r="A4286" t="s">
        <v>4377</v>
      </c>
      <c r="B4286" s="19">
        <v>104504</v>
      </c>
      <c r="C4286" s="20" t="s">
        <v>4380</v>
      </c>
      <c r="D4286" s="19" t="s">
        <v>38</v>
      </c>
      <c r="E4286" s="21" t="str">
        <f t="shared" si="197"/>
        <v>VERIFICAR</v>
      </c>
      <c r="F4286" s="22">
        <v>1.e-002</v>
      </c>
      <c r="G4286" s="21" t="str">
        <f t="shared" si="198"/>
        <v>VERIFICAR</v>
      </c>
      <c r="H4286" s="22">
        <v>1.e-002</v>
      </c>
      <c r="I4286" s="23" t="str">
        <f t="shared" si="199"/>
        <v xml:space="preserve">COM VALOR</v>
      </c>
      <c r="J4286" s="19"/>
      <c r="L4286" s="21">
        <v>0</v>
      </c>
      <c r="M4286" s="22"/>
      <c r="N4286" s="21">
        <v>0</v>
      </c>
      <c r="O4286" s="22"/>
    </row>
    <row r="4287" ht="51">
      <c r="A4287" t="s">
        <v>4377</v>
      </c>
      <c r="B4287" s="19">
        <v>104507</v>
      </c>
      <c r="C4287" s="20" t="s">
        <v>4381</v>
      </c>
      <c r="D4287" s="19" t="s">
        <v>38</v>
      </c>
      <c r="E4287" s="21" t="str">
        <f t="shared" si="197"/>
        <v>VERIFICAR</v>
      </c>
      <c r="F4287" s="22"/>
      <c r="G4287" s="21" t="str">
        <f t="shared" si="198"/>
        <v>VERIFICAR</v>
      </c>
      <c r="H4287" s="22"/>
      <c r="I4287" s="23" t="str">
        <f t="shared" si="199"/>
        <v xml:space="preserve">COM VALOR</v>
      </c>
      <c r="J4287" s="19"/>
      <c r="L4287" s="21">
        <v>0</v>
      </c>
      <c r="M4287" s="22"/>
      <c r="N4287" s="21">
        <v>0</v>
      </c>
      <c r="O4287" s="22"/>
    </row>
    <row r="4288" ht="51">
      <c r="A4288" t="s">
        <v>4377</v>
      </c>
      <c r="B4288" s="19">
        <v>104508</v>
      </c>
      <c r="C4288" s="20" t="s">
        <v>4382</v>
      </c>
      <c r="D4288" s="19" t="s">
        <v>38</v>
      </c>
      <c r="E4288" s="21" t="str">
        <f t="shared" si="197"/>
        <v>VERIFICAR</v>
      </c>
      <c r="F4288" s="22"/>
      <c r="G4288" s="21" t="str">
        <f t="shared" si="198"/>
        <v>VERIFICAR</v>
      </c>
      <c r="H4288" s="22"/>
      <c r="I4288" s="23" t="str">
        <f t="shared" si="199"/>
        <v xml:space="preserve">COM VALOR</v>
      </c>
      <c r="J4288" s="19"/>
      <c r="L4288" s="21">
        <v>0</v>
      </c>
      <c r="M4288" s="22"/>
      <c r="N4288" s="21">
        <v>0</v>
      </c>
      <c r="O4288" s="22"/>
    </row>
    <row r="4289" ht="51">
      <c r="A4289" t="s">
        <v>4377</v>
      </c>
      <c r="B4289" s="19">
        <v>104509</v>
      </c>
      <c r="C4289" s="20" t="s">
        <v>4383</v>
      </c>
      <c r="D4289" s="19" t="s">
        <v>38</v>
      </c>
      <c r="E4289" s="21" t="str">
        <f t="shared" si="197"/>
        <v>VERIFICAR</v>
      </c>
      <c r="F4289" s="22"/>
      <c r="G4289" s="21" t="str">
        <f t="shared" si="198"/>
        <v>VERIFICAR</v>
      </c>
      <c r="H4289" s="22"/>
      <c r="I4289" s="23" t="str">
        <f t="shared" si="199"/>
        <v xml:space="preserve">COM VALOR</v>
      </c>
      <c r="J4289" s="19"/>
      <c r="L4289" s="21">
        <v>0</v>
      </c>
      <c r="M4289" s="22"/>
      <c r="N4289" s="21">
        <v>0</v>
      </c>
      <c r="O4289" s="22"/>
    </row>
    <row r="4290" ht="51">
      <c r="A4290" t="s">
        <v>4377</v>
      </c>
      <c r="B4290" s="19">
        <v>104512</v>
      </c>
      <c r="C4290" s="20" t="s">
        <v>4384</v>
      </c>
      <c r="D4290" s="19" t="s">
        <v>38</v>
      </c>
      <c r="E4290" s="21" t="str">
        <f t="shared" si="197"/>
        <v>VERIFICAR</v>
      </c>
      <c r="F4290" s="22"/>
      <c r="G4290" s="21" t="str">
        <f t="shared" si="198"/>
        <v>VERIFICAR</v>
      </c>
      <c r="H4290" s="22"/>
      <c r="I4290" s="23" t="str">
        <f t="shared" si="199"/>
        <v xml:space="preserve">COM VALOR</v>
      </c>
      <c r="J4290" s="19"/>
      <c r="L4290" s="21">
        <v>0</v>
      </c>
      <c r="M4290" s="22"/>
      <c r="N4290" s="21">
        <v>0</v>
      </c>
      <c r="O4290" s="22"/>
    </row>
    <row r="4291" ht="51">
      <c r="A4291" t="s">
        <v>4377</v>
      </c>
      <c r="B4291" s="19">
        <v>104513</v>
      </c>
      <c r="C4291" s="20" t="s">
        <v>4385</v>
      </c>
      <c r="D4291" s="19" t="s">
        <v>38</v>
      </c>
      <c r="E4291" s="21" t="str">
        <f t="shared" si="197"/>
        <v>VERIFICAR</v>
      </c>
      <c r="F4291" s="22"/>
      <c r="G4291" s="21" t="str">
        <f t="shared" si="198"/>
        <v>VERIFICAR</v>
      </c>
      <c r="H4291" s="22"/>
      <c r="I4291" s="23" t="str">
        <f t="shared" si="199"/>
        <v xml:space="preserve">COM VALOR</v>
      </c>
      <c r="J4291" s="19"/>
      <c r="L4291" s="21">
        <v>0</v>
      </c>
      <c r="M4291" s="22"/>
      <c r="N4291" s="21">
        <v>0</v>
      </c>
      <c r="O4291" s="22"/>
    </row>
    <row r="4292" ht="51">
      <c r="A4292" t="s">
        <v>4377</v>
      </c>
      <c r="B4292" s="19">
        <v>104514</v>
      </c>
      <c r="C4292" s="20" t="s">
        <v>4386</v>
      </c>
      <c r="D4292" s="19" t="s">
        <v>38</v>
      </c>
      <c r="E4292" s="21" t="str">
        <f t="shared" si="197"/>
        <v>VERIFICAR</v>
      </c>
      <c r="F4292" s="22"/>
      <c r="G4292" s="21" t="str">
        <f t="shared" si="198"/>
        <v>VERIFICAR</v>
      </c>
      <c r="H4292" s="22"/>
      <c r="I4292" s="23" t="str">
        <f t="shared" si="199"/>
        <v xml:space="preserve">COM VALOR</v>
      </c>
      <c r="J4292" s="19"/>
      <c r="L4292" s="21">
        <v>0</v>
      </c>
      <c r="M4292" s="22"/>
      <c r="N4292" s="21">
        <v>0</v>
      </c>
      <c r="O4292" s="22"/>
    </row>
    <row r="4293" ht="51">
      <c r="A4293" t="s">
        <v>4377</v>
      </c>
      <c r="B4293" s="19">
        <v>104501</v>
      </c>
      <c r="C4293" s="20" t="s">
        <v>4387</v>
      </c>
      <c r="D4293" s="19" t="s">
        <v>38</v>
      </c>
      <c r="E4293" s="21" t="str">
        <f t="shared" si="197"/>
        <v>VERIFICAR</v>
      </c>
      <c r="F4293" s="22"/>
      <c r="G4293" s="21" t="str">
        <f t="shared" si="198"/>
        <v>VERIFICAR</v>
      </c>
      <c r="H4293" s="22"/>
      <c r="I4293" s="23" t="str">
        <f t="shared" si="199"/>
        <v xml:space="preserve">COM VALOR</v>
      </c>
      <c r="J4293" s="19"/>
      <c r="L4293" s="21">
        <v>0</v>
      </c>
      <c r="M4293" s="22"/>
      <c r="N4293" s="21">
        <v>0</v>
      </c>
      <c r="O4293" s="22"/>
    </row>
    <row r="4294" ht="51">
      <c r="A4294" t="s">
        <v>4377</v>
      </c>
      <c r="B4294" s="19">
        <v>104502</v>
      </c>
      <c r="C4294" s="20" t="s">
        <v>4388</v>
      </c>
      <c r="D4294" s="19" t="s">
        <v>38</v>
      </c>
      <c r="E4294" s="21" t="str">
        <f t="shared" si="197"/>
        <v>VERIFICAR</v>
      </c>
      <c r="F4294" s="22"/>
      <c r="G4294" s="21" t="str">
        <f t="shared" si="198"/>
        <v>VERIFICAR</v>
      </c>
      <c r="H4294" s="22"/>
      <c r="I4294" s="23" t="str">
        <f t="shared" si="199"/>
        <v xml:space="preserve">COM VALOR</v>
      </c>
      <c r="J4294" s="19"/>
      <c r="L4294" s="21">
        <v>0</v>
      </c>
      <c r="M4294" s="22"/>
      <c r="N4294" s="21">
        <v>0</v>
      </c>
      <c r="O4294" s="22"/>
    </row>
    <row r="4295" ht="51">
      <c r="A4295" t="s">
        <v>4377</v>
      </c>
      <c r="B4295" s="19">
        <v>104505</v>
      </c>
      <c r="C4295" s="20" t="s">
        <v>4389</v>
      </c>
      <c r="D4295" s="19" t="s">
        <v>38</v>
      </c>
      <c r="E4295" s="21" t="str">
        <f t="shared" si="197"/>
        <v>VERIFICAR</v>
      </c>
      <c r="F4295" s="22"/>
      <c r="G4295" s="21" t="str">
        <f t="shared" si="198"/>
        <v>VERIFICAR</v>
      </c>
      <c r="H4295" s="22"/>
      <c r="I4295" s="23" t="str">
        <f t="shared" si="199"/>
        <v xml:space="preserve">COM VALOR</v>
      </c>
      <c r="J4295" s="19"/>
      <c r="L4295" s="21">
        <v>0</v>
      </c>
      <c r="M4295" s="22"/>
      <c r="N4295" s="21">
        <v>0</v>
      </c>
      <c r="O4295" s="22"/>
    </row>
    <row r="4296" ht="51">
      <c r="A4296" t="s">
        <v>4377</v>
      </c>
      <c r="B4296" s="19">
        <v>104506</v>
      </c>
      <c r="C4296" s="20" t="s">
        <v>4390</v>
      </c>
      <c r="D4296" s="19" t="s">
        <v>38</v>
      </c>
      <c r="E4296" s="21" t="str">
        <f t="shared" si="197"/>
        <v>VERIFICAR</v>
      </c>
      <c r="F4296" s="22"/>
      <c r="G4296" s="21" t="str">
        <f t="shared" si="198"/>
        <v>VERIFICAR</v>
      </c>
      <c r="H4296" s="22"/>
      <c r="I4296" s="23" t="str">
        <f t="shared" si="199"/>
        <v xml:space="preserve">COM VALOR</v>
      </c>
      <c r="J4296" s="19"/>
      <c r="L4296" s="21">
        <v>0</v>
      </c>
      <c r="M4296" s="22"/>
      <c r="N4296" s="21">
        <v>0</v>
      </c>
      <c r="O4296" s="22"/>
    </row>
    <row r="4297" ht="51">
      <c r="A4297" t="s">
        <v>4377</v>
      </c>
      <c r="B4297" s="19">
        <v>104510</v>
      </c>
      <c r="C4297" s="20" t="s">
        <v>4391</v>
      </c>
      <c r="D4297" s="19" t="s">
        <v>38</v>
      </c>
      <c r="E4297" s="21" t="str">
        <f t="shared" si="197"/>
        <v>VERIFICAR</v>
      </c>
      <c r="F4297" s="22">
        <v>0.78000000000000003</v>
      </c>
      <c r="G4297" s="21" t="str">
        <f t="shared" si="198"/>
        <v>VERIFICAR</v>
      </c>
      <c r="H4297" s="22">
        <v>0.79000000000000004</v>
      </c>
      <c r="I4297" s="23" t="str">
        <f t="shared" si="199"/>
        <v xml:space="preserve">COM VALOR</v>
      </c>
      <c r="J4297" s="19"/>
      <c r="L4297" s="21">
        <v>0</v>
      </c>
      <c r="M4297" s="22"/>
      <c r="N4297" s="21">
        <v>0</v>
      </c>
      <c r="O4297" s="22"/>
    </row>
    <row r="4298" ht="51">
      <c r="A4298" t="s">
        <v>4377</v>
      </c>
      <c r="B4298" s="19">
        <v>104511</v>
      </c>
      <c r="C4298" s="20" t="s">
        <v>4392</v>
      </c>
      <c r="D4298" s="19" t="s">
        <v>38</v>
      </c>
      <c r="E4298" s="21" t="str">
        <f t="shared" si="197"/>
        <v>VERIFICAR</v>
      </c>
      <c r="F4298" s="22">
        <v>0.76000000000000001</v>
      </c>
      <c r="G4298" s="21" t="str">
        <f t="shared" si="198"/>
        <v>VERIFICAR</v>
      </c>
      <c r="H4298" s="22">
        <v>0.78000000000000003</v>
      </c>
      <c r="I4298" s="23" t="str">
        <f t="shared" si="199"/>
        <v xml:space="preserve">COM VALOR</v>
      </c>
      <c r="J4298" s="19"/>
      <c r="L4298" s="21">
        <v>0</v>
      </c>
      <c r="M4298" s="22"/>
      <c r="N4298" s="21">
        <v>0</v>
      </c>
      <c r="O4298" s="22"/>
    </row>
    <row r="4299" ht="51">
      <c r="A4299" t="s">
        <v>4377</v>
      </c>
      <c r="B4299" s="19">
        <v>104491</v>
      </c>
      <c r="C4299" s="20" t="s">
        <v>4393</v>
      </c>
      <c r="D4299" s="19" t="s">
        <v>38</v>
      </c>
      <c r="E4299" s="21">
        <f t="shared" ref="E4299:E4362" si="200">IF(L4299=0,"VERIFICAR",L4299)</f>
        <v>4267.9899999999998</v>
      </c>
      <c r="F4299" s="22">
        <v>0</v>
      </c>
      <c r="G4299" s="21">
        <f t="shared" ref="G4299:G4362" si="201">IF(N4299=0,"VERIFICAR",N4299)</f>
        <v>4263.8299999999999</v>
      </c>
      <c r="H4299" s="22">
        <v>0</v>
      </c>
      <c r="I4299" s="23" t="str">
        <f t="shared" ref="I4299:I4362" si="202">IF(OR(E4299=0,G4299=0),"SEM VALOR","COM VALOR")</f>
        <v xml:space="preserve">COM VALOR</v>
      </c>
      <c r="J4299" s="19"/>
      <c r="L4299" s="21">
        <v>4267.9899999999998</v>
      </c>
      <c r="M4299" s="22">
        <v>0</v>
      </c>
      <c r="N4299" s="21">
        <v>4263.8299999999999</v>
      </c>
      <c r="O4299" s="22">
        <v>0</v>
      </c>
    </row>
    <row r="4300" ht="51">
      <c r="A4300" t="s">
        <v>4377</v>
      </c>
      <c r="B4300" s="19">
        <v>104492</v>
      </c>
      <c r="C4300" s="20" t="s">
        <v>4394</v>
      </c>
      <c r="D4300" s="19" t="s">
        <v>38</v>
      </c>
      <c r="E4300" s="21">
        <f t="shared" si="200"/>
        <v>5337.04</v>
      </c>
      <c r="F4300" s="22"/>
      <c r="G4300" s="21">
        <f t="shared" si="201"/>
        <v>5331.96</v>
      </c>
      <c r="H4300" s="22"/>
      <c r="I4300" s="23" t="str">
        <f t="shared" si="202"/>
        <v xml:space="preserve">COM VALOR</v>
      </c>
      <c r="J4300" s="19"/>
      <c r="L4300" s="21">
        <v>5337.04</v>
      </c>
      <c r="M4300" s="22">
        <v>0</v>
      </c>
      <c r="N4300" s="21">
        <v>5331.96</v>
      </c>
      <c r="O4300" s="22">
        <v>0</v>
      </c>
    </row>
    <row r="4301" ht="51">
      <c r="A4301" t="s">
        <v>4377</v>
      </c>
      <c r="B4301" s="19">
        <v>104493</v>
      </c>
      <c r="C4301" s="20" t="s">
        <v>4395</v>
      </c>
      <c r="D4301" s="19" t="s">
        <v>38</v>
      </c>
      <c r="E4301" s="21" t="str">
        <f t="shared" si="200"/>
        <v>VERIFICAR</v>
      </c>
      <c r="F4301" s="22"/>
      <c r="G4301" s="21" t="str">
        <f t="shared" si="201"/>
        <v>VERIFICAR</v>
      </c>
      <c r="H4301" s="22"/>
      <c r="I4301" s="23" t="str">
        <f t="shared" si="202"/>
        <v xml:space="preserve">COM VALOR</v>
      </c>
      <c r="J4301" s="19"/>
      <c r="L4301" s="21">
        <v>0</v>
      </c>
      <c r="M4301" s="22"/>
      <c r="N4301" s="21">
        <v>0</v>
      </c>
      <c r="O4301" s="22"/>
    </row>
    <row r="4302" ht="51">
      <c r="A4302" t="s">
        <v>4377</v>
      </c>
      <c r="B4302" s="19">
        <v>104494</v>
      </c>
      <c r="C4302" s="20" t="s">
        <v>4396</v>
      </c>
      <c r="D4302" s="19" t="s">
        <v>38</v>
      </c>
      <c r="E4302" s="21">
        <f t="shared" si="200"/>
        <v>7210.7700000000004</v>
      </c>
      <c r="F4302" s="22"/>
      <c r="G4302" s="21">
        <f t="shared" si="201"/>
        <v>7204.8199999999997</v>
      </c>
      <c r="H4302" s="22"/>
      <c r="I4302" s="23" t="str">
        <f t="shared" si="202"/>
        <v xml:space="preserve">COM VALOR</v>
      </c>
      <c r="J4302" s="19"/>
      <c r="L4302" s="21">
        <v>7210.7700000000004</v>
      </c>
      <c r="M4302" s="22">
        <v>0</v>
      </c>
      <c r="N4302" s="21">
        <v>7204.8199999999997</v>
      </c>
      <c r="O4302" s="22">
        <v>0</v>
      </c>
    </row>
    <row r="4303" ht="51">
      <c r="A4303" t="s">
        <v>4377</v>
      </c>
      <c r="B4303" s="19">
        <v>104495</v>
      </c>
      <c r="C4303" s="20" t="s">
        <v>4397</v>
      </c>
      <c r="D4303" s="19" t="s">
        <v>38</v>
      </c>
      <c r="E4303" s="21" t="str">
        <f t="shared" si="200"/>
        <v>VERIFICAR</v>
      </c>
      <c r="F4303" s="22"/>
      <c r="G4303" s="21" t="str">
        <f t="shared" si="201"/>
        <v>VERIFICAR</v>
      </c>
      <c r="H4303" s="22"/>
      <c r="I4303" s="23" t="str">
        <f t="shared" si="202"/>
        <v xml:space="preserve">COM VALOR</v>
      </c>
      <c r="J4303" s="19"/>
      <c r="L4303" s="21">
        <v>0</v>
      </c>
      <c r="M4303" s="22"/>
      <c r="N4303" s="21">
        <v>0</v>
      </c>
      <c r="O4303" s="22"/>
    </row>
    <row r="4304" ht="51">
      <c r="A4304" t="s">
        <v>4377</v>
      </c>
      <c r="B4304" s="19">
        <v>104496</v>
      </c>
      <c r="C4304" s="20" t="s">
        <v>4398</v>
      </c>
      <c r="D4304" s="19" t="s">
        <v>38</v>
      </c>
      <c r="E4304" s="21" t="str">
        <f t="shared" si="200"/>
        <v>VERIFICAR</v>
      </c>
      <c r="F4304" s="22"/>
      <c r="G4304" s="21" t="str">
        <f t="shared" si="201"/>
        <v>VERIFICAR</v>
      </c>
      <c r="H4304" s="22"/>
      <c r="I4304" s="23" t="str">
        <f t="shared" si="202"/>
        <v xml:space="preserve">COM VALOR</v>
      </c>
      <c r="J4304" s="19"/>
      <c r="L4304" s="21">
        <v>0</v>
      </c>
      <c r="M4304" s="22"/>
      <c r="N4304" s="21">
        <v>0</v>
      </c>
      <c r="O4304" s="22"/>
    </row>
    <row r="4305" ht="51">
      <c r="A4305" t="s">
        <v>4377</v>
      </c>
      <c r="B4305" s="19">
        <v>104497</v>
      </c>
      <c r="C4305" s="20" t="s">
        <v>4399</v>
      </c>
      <c r="D4305" s="19" t="s">
        <v>38</v>
      </c>
      <c r="E4305" s="21">
        <f t="shared" si="200"/>
        <v>8641.3299999999999</v>
      </c>
      <c r="F4305" s="22"/>
      <c r="G4305" s="21">
        <f t="shared" si="201"/>
        <v>8633.4699999999993</v>
      </c>
      <c r="H4305" s="22"/>
      <c r="I4305" s="23" t="str">
        <f t="shared" si="202"/>
        <v xml:space="preserve">COM VALOR</v>
      </c>
      <c r="J4305" s="19"/>
      <c r="L4305" s="21">
        <v>8641.3299999999999</v>
      </c>
      <c r="M4305" s="22">
        <v>1.e-002</v>
      </c>
      <c r="N4305" s="21">
        <v>8633.4699999999993</v>
      </c>
      <c r="O4305" s="22">
        <v>1.e-002</v>
      </c>
    </row>
    <row r="4306" ht="51">
      <c r="A4306" t="s">
        <v>4377</v>
      </c>
      <c r="B4306" s="19">
        <v>104498</v>
      </c>
      <c r="C4306" s="20" t="s">
        <v>4400</v>
      </c>
      <c r="D4306" s="19" t="s">
        <v>38</v>
      </c>
      <c r="E4306" s="21" t="str">
        <f t="shared" si="200"/>
        <v>VERIFICAR</v>
      </c>
      <c r="F4306" s="22"/>
      <c r="G4306" s="21" t="str">
        <f t="shared" si="201"/>
        <v>VERIFICAR</v>
      </c>
      <c r="H4306" s="22"/>
      <c r="I4306" s="23" t="str">
        <f t="shared" si="202"/>
        <v xml:space="preserve">COM VALOR</v>
      </c>
      <c r="J4306" s="19"/>
      <c r="L4306" s="21">
        <v>0</v>
      </c>
      <c r="M4306" s="22"/>
      <c r="N4306" s="21">
        <v>0</v>
      </c>
      <c r="O4306" s="22"/>
    </row>
    <row r="4307" ht="51">
      <c r="A4307" t="s">
        <v>4377</v>
      </c>
      <c r="B4307" s="19">
        <v>104499</v>
      </c>
      <c r="C4307" s="20" t="s">
        <v>4401</v>
      </c>
      <c r="D4307" s="19" t="s">
        <v>38</v>
      </c>
      <c r="E4307" s="21" t="str">
        <f t="shared" si="200"/>
        <v>VERIFICAR</v>
      </c>
      <c r="F4307" s="22"/>
      <c r="G4307" s="21" t="str">
        <f t="shared" si="201"/>
        <v>VERIFICAR</v>
      </c>
      <c r="H4307" s="22"/>
      <c r="I4307" s="23" t="str">
        <f t="shared" si="202"/>
        <v xml:space="preserve">COM VALOR</v>
      </c>
      <c r="J4307" s="19"/>
      <c r="L4307" s="21">
        <v>0</v>
      </c>
      <c r="M4307" s="22"/>
      <c r="N4307" s="21">
        <v>0</v>
      </c>
      <c r="O4307" s="22"/>
    </row>
    <row r="4308" ht="25.5">
      <c r="A4308" t="s">
        <v>4377</v>
      </c>
      <c r="B4308" s="19">
        <v>104515</v>
      </c>
      <c r="C4308" s="20" t="s">
        <v>4402</v>
      </c>
      <c r="D4308" s="19" t="s">
        <v>29</v>
      </c>
      <c r="E4308" s="21">
        <f t="shared" si="200"/>
        <v>25.449999999999999</v>
      </c>
      <c r="F4308" s="22"/>
      <c r="G4308" s="21">
        <f t="shared" si="201"/>
        <v>25.420000000000002</v>
      </c>
      <c r="H4308" s="22"/>
      <c r="I4308" s="23" t="str">
        <f t="shared" si="202"/>
        <v xml:space="preserve">COM VALOR</v>
      </c>
      <c r="J4308" s="19"/>
      <c r="L4308" s="21">
        <v>25.449999999999999</v>
      </c>
      <c r="M4308" s="22">
        <v>0.97999999999999998</v>
      </c>
      <c r="N4308" s="21">
        <v>25.420000000000002</v>
      </c>
      <c r="O4308" s="22">
        <v>0.97999999999999998</v>
      </c>
    </row>
    <row r="4309" ht="25.5">
      <c r="A4309" t="s">
        <v>4403</v>
      </c>
      <c r="B4309" s="19">
        <v>106549</v>
      </c>
      <c r="C4309" s="20" t="s">
        <v>4404</v>
      </c>
      <c r="D4309" s="19" t="s">
        <v>38</v>
      </c>
      <c r="E4309" s="21" t="str">
        <f t="shared" si="200"/>
        <v>VERIFICAR</v>
      </c>
      <c r="F4309" s="22"/>
      <c r="G4309" s="21" t="str">
        <f t="shared" si="201"/>
        <v>VERIFICAR</v>
      </c>
      <c r="H4309" s="22"/>
      <c r="I4309" s="23" t="str">
        <f t="shared" si="202"/>
        <v xml:space="preserve">COM VALOR</v>
      </c>
      <c r="J4309" s="19"/>
      <c r="L4309" s="21">
        <v>0</v>
      </c>
      <c r="M4309" s="22"/>
      <c r="N4309" s="21">
        <v>0</v>
      </c>
      <c r="O4309" s="22"/>
    </row>
    <row r="4310" ht="25.5">
      <c r="A4310" t="s">
        <v>4403</v>
      </c>
      <c r="B4310" s="19">
        <v>106548</v>
      </c>
      <c r="C4310" s="20" t="s">
        <v>4405</v>
      </c>
      <c r="D4310" s="19" t="s">
        <v>38</v>
      </c>
      <c r="E4310" s="21" t="str">
        <f t="shared" si="200"/>
        <v>VERIFICAR</v>
      </c>
      <c r="F4310" s="22"/>
      <c r="G4310" s="21" t="str">
        <f t="shared" si="201"/>
        <v>VERIFICAR</v>
      </c>
      <c r="H4310" s="22"/>
      <c r="I4310" s="23" t="str">
        <f t="shared" si="202"/>
        <v xml:space="preserve">COM VALOR</v>
      </c>
      <c r="J4310" s="19"/>
      <c r="L4310" s="21">
        <v>0</v>
      </c>
      <c r="M4310" s="22"/>
      <c r="N4310" s="21">
        <v>0</v>
      </c>
      <c r="O4310" s="22"/>
    </row>
    <row r="4311" ht="12.75">
      <c r="A4311" t="s">
        <v>4403</v>
      </c>
      <c r="B4311" s="19">
        <v>106550</v>
      </c>
      <c r="C4311" s="20" t="s">
        <v>4406</v>
      </c>
      <c r="D4311" s="19" t="s">
        <v>38</v>
      </c>
      <c r="E4311" s="21">
        <f t="shared" si="200"/>
        <v>4.4100000000000001</v>
      </c>
      <c r="F4311" s="22"/>
      <c r="G4311" s="21">
        <f t="shared" si="201"/>
        <v>4.3200000000000003</v>
      </c>
      <c r="H4311" s="22"/>
      <c r="I4311" s="23" t="str">
        <f t="shared" si="202"/>
        <v xml:space="preserve">COM VALOR</v>
      </c>
      <c r="J4311" s="19"/>
      <c r="L4311" s="21">
        <v>4.4100000000000001</v>
      </c>
      <c r="M4311" s="22">
        <v>0</v>
      </c>
      <c r="N4311" s="21">
        <v>4.3200000000000003</v>
      </c>
      <c r="O4311" s="22">
        <v>0</v>
      </c>
    </row>
    <row r="4312" ht="38.25">
      <c r="A4312" t="s">
        <v>4407</v>
      </c>
      <c r="B4312" s="19">
        <v>87430</v>
      </c>
      <c r="C4312" s="20" t="s">
        <v>4408</v>
      </c>
      <c r="D4312" s="19" t="s">
        <v>29</v>
      </c>
      <c r="E4312" s="21">
        <f t="shared" si="200"/>
        <v>20.489999999999998</v>
      </c>
      <c r="F4312" s="22"/>
      <c r="G4312" s="21">
        <f t="shared" si="201"/>
        <v>19.719999999999999</v>
      </c>
      <c r="H4312" s="22"/>
      <c r="I4312" s="23" t="str">
        <f t="shared" si="202"/>
        <v xml:space="preserve">COM VALOR</v>
      </c>
      <c r="J4312" s="19"/>
      <c r="L4312" s="21">
        <v>20.489999999999998</v>
      </c>
      <c r="M4312" s="22">
        <v>0</v>
      </c>
      <c r="N4312" s="21">
        <v>19.719999999999999</v>
      </c>
      <c r="O4312" s="22">
        <v>0</v>
      </c>
    </row>
    <row r="4313" ht="38.25">
      <c r="A4313" t="s">
        <v>4407</v>
      </c>
      <c r="B4313" s="19">
        <v>87433</v>
      </c>
      <c r="C4313" s="20" t="s">
        <v>4409</v>
      </c>
      <c r="D4313" s="19" t="s">
        <v>29</v>
      </c>
      <c r="E4313" s="21">
        <f t="shared" si="200"/>
        <v>29.48</v>
      </c>
      <c r="F4313" s="22"/>
      <c r="G4313" s="21">
        <f t="shared" si="201"/>
        <v>28.489999999999998</v>
      </c>
      <c r="H4313" s="22"/>
      <c r="I4313" s="23" t="str">
        <f t="shared" si="202"/>
        <v xml:space="preserve">COM VALOR</v>
      </c>
      <c r="J4313" s="19"/>
      <c r="L4313" s="21">
        <v>29.48</v>
      </c>
      <c r="M4313" s="22">
        <v>0</v>
      </c>
      <c r="N4313" s="21">
        <v>28.489999999999998</v>
      </c>
      <c r="O4313" s="22">
        <v>0</v>
      </c>
    </row>
    <row r="4314" ht="38.25">
      <c r="A4314" t="s">
        <v>4407</v>
      </c>
      <c r="B4314" s="19">
        <v>87436</v>
      </c>
      <c r="C4314" s="20" t="s">
        <v>4410</v>
      </c>
      <c r="D4314" s="19" t="s">
        <v>29</v>
      </c>
      <c r="E4314" s="21">
        <f t="shared" si="200"/>
        <v>33.630000000000003</v>
      </c>
      <c r="F4314" s="22">
        <v>0</v>
      </c>
      <c r="G4314" s="21">
        <f t="shared" si="201"/>
        <v>32.409999999999997</v>
      </c>
      <c r="H4314" s="22">
        <v>0</v>
      </c>
      <c r="I4314" s="23" t="str">
        <f t="shared" si="202"/>
        <v xml:space="preserve">COM VALOR</v>
      </c>
      <c r="J4314" s="19"/>
      <c r="L4314" s="21">
        <v>33.630000000000003</v>
      </c>
      <c r="M4314" s="22">
        <v>0</v>
      </c>
      <c r="N4314" s="21">
        <v>32.409999999999997</v>
      </c>
      <c r="O4314" s="22">
        <v>0</v>
      </c>
    </row>
    <row r="4315" ht="38.25">
      <c r="A4315" t="s">
        <v>4407</v>
      </c>
      <c r="B4315" s="19">
        <v>87439</v>
      </c>
      <c r="C4315" s="20" t="s">
        <v>4411</v>
      </c>
      <c r="D4315" s="19" t="s">
        <v>29</v>
      </c>
      <c r="E4315" s="21">
        <f t="shared" si="200"/>
        <v>41.140000000000001</v>
      </c>
      <c r="F4315" s="22"/>
      <c r="G4315" s="21">
        <f t="shared" si="201"/>
        <v>39.700000000000003</v>
      </c>
      <c r="H4315" s="22"/>
      <c r="I4315" s="23" t="str">
        <f t="shared" si="202"/>
        <v xml:space="preserve">COM VALOR</v>
      </c>
      <c r="J4315" s="19"/>
      <c r="L4315" s="21">
        <v>41.140000000000001</v>
      </c>
      <c r="M4315" s="22">
        <v>0</v>
      </c>
      <c r="N4315" s="21">
        <v>39.700000000000003</v>
      </c>
      <c r="O4315" s="22">
        <v>0</v>
      </c>
    </row>
    <row r="4316" ht="25.5">
      <c r="A4316" t="s">
        <v>4407</v>
      </c>
      <c r="B4316" s="19">
        <v>104633</v>
      </c>
      <c r="C4316" s="20" t="s">
        <v>4412</v>
      </c>
      <c r="D4316" s="19" t="s">
        <v>29</v>
      </c>
      <c r="E4316" s="21">
        <f t="shared" si="200"/>
        <v>28.379999999999999</v>
      </c>
      <c r="F4316" s="22"/>
      <c r="G4316" s="21">
        <f t="shared" si="201"/>
        <v>27.210000000000001</v>
      </c>
      <c r="H4316" s="22"/>
      <c r="I4316" s="23" t="str">
        <f t="shared" si="202"/>
        <v xml:space="preserve">COM VALOR</v>
      </c>
      <c r="J4316" s="19"/>
      <c r="L4316" s="21">
        <v>28.379999999999999</v>
      </c>
      <c r="M4316" s="22">
        <v>0</v>
      </c>
      <c r="N4316" s="21">
        <v>27.210000000000001</v>
      </c>
      <c r="O4316" s="22">
        <v>0</v>
      </c>
    </row>
    <row r="4317" ht="25.5">
      <c r="A4317" t="s">
        <v>4407</v>
      </c>
      <c r="B4317" s="19">
        <v>104634</v>
      </c>
      <c r="C4317" s="20" t="s">
        <v>4413</v>
      </c>
      <c r="D4317" s="19" t="s">
        <v>29</v>
      </c>
      <c r="E4317" s="21">
        <f t="shared" si="200"/>
        <v>41.659999999999997</v>
      </c>
      <c r="F4317" s="22"/>
      <c r="G4317" s="21">
        <f t="shared" si="201"/>
        <v>40.060000000000002</v>
      </c>
      <c r="H4317" s="22"/>
      <c r="I4317" s="23" t="str">
        <f t="shared" si="202"/>
        <v xml:space="preserve">COM VALOR</v>
      </c>
      <c r="J4317" s="19"/>
      <c r="L4317" s="21">
        <v>41.659999999999997</v>
      </c>
      <c r="M4317" s="22">
        <v>0</v>
      </c>
      <c r="N4317" s="21">
        <v>40.060000000000002</v>
      </c>
      <c r="O4317" s="22">
        <v>0</v>
      </c>
    </row>
    <row r="4318" ht="25.5">
      <c r="A4318" t="s">
        <v>4407</v>
      </c>
      <c r="B4318" s="19">
        <v>87418</v>
      </c>
      <c r="C4318" s="20" t="s">
        <v>4414</v>
      </c>
      <c r="D4318" s="19" t="s">
        <v>29</v>
      </c>
      <c r="E4318" s="21">
        <f t="shared" si="200"/>
        <v>20.420000000000002</v>
      </c>
      <c r="F4318" s="22"/>
      <c r="G4318" s="21">
        <f t="shared" si="201"/>
        <v>19.699999999999999</v>
      </c>
      <c r="H4318" s="22"/>
      <c r="I4318" s="23" t="str">
        <f t="shared" si="202"/>
        <v xml:space="preserve">COM VALOR</v>
      </c>
      <c r="J4318" s="19"/>
      <c r="L4318" s="21">
        <v>20.420000000000002</v>
      </c>
      <c r="M4318" s="22">
        <v>0</v>
      </c>
      <c r="N4318" s="21">
        <v>19.699999999999999</v>
      </c>
      <c r="O4318" s="22">
        <v>0</v>
      </c>
    </row>
    <row r="4319" ht="25.5">
      <c r="A4319" t="s">
        <v>4407</v>
      </c>
      <c r="B4319" s="19">
        <v>87421</v>
      </c>
      <c r="C4319" s="20" t="s">
        <v>4415</v>
      </c>
      <c r="D4319" s="19" t="s">
        <v>29</v>
      </c>
      <c r="E4319" s="21">
        <f t="shared" si="200"/>
        <v>31.050000000000001</v>
      </c>
      <c r="F4319" s="22"/>
      <c r="G4319" s="21">
        <f t="shared" si="201"/>
        <v>30.059999999999999</v>
      </c>
      <c r="H4319" s="22"/>
      <c r="I4319" s="23" t="str">
        <f t="shared" si="202"/>
        <v xml:space="preserve">COM VALOR</v>
      </c>
      <c r="J4319" s="19"/>
      <c r="L4319" s="21">
        <v>31.050000000000001</v>
      </c>
      <c r="M4319" s="22">
        <v>0</v>
      </c>
      <c r="N4319" s="21">
        <v>30.059999999999999</v>
      </c>
      <c r="O4319" s="22">
        <v>0</v>
      </c>
    </row>
    <row r="4320" ht="38.25">
      <c r="A4320" t="s">
        <v>4407</v>
      </c>
      <c r="B4320" s="19">
        <v>104628</v>
      </c>
      <c r="C4320" s="20" t="s">
        <v>4416</v>
      </c>
      <c r="D4320" s="19" t="s">
        <v>29</v>
      </c>
      <c r="E4320" s="21">
        <f t="shared" si="200"/>
        <v>32.289999999999999</v>
      </c>
      <c r="F4320" s="22"/>
      <c r="G4320" s="21">
        <f t="shared" si="201"/>
        <v>30.879999999999999</v>
      </c>
      <c r="H4320" s="22"/>
      <c r="I4320" s="23" t="str">
        <f t="shared" si="202"/>
        <v xml:space="preserve">COM VALOR</v>
      </c>
      <c r="J4320" s="19"/>
      <c r="L4320" s="21">
        <v>32.289999999999999</v>
      </c>
      <c r="M4320" s="22">
        <v>0</v>
      </c>
      <c r="N4320" s="21">
        <v>30.879999999999999</v>
      </c>
      <c r="O4320" s="22">
        <v>0</v>
      </c>
    </row>
    <row r="4321" ht="38.25">
      <c r="A4321" t="s">
        <v>4407</v>
      </c>
      <c r="B4321" s="19">
        <v>104631</v>
      </c>
      <c r="C4321" s="20" t="s">
        <v>4417</v>
      </c>
      <c r="D4321" s="19" t="s">
        <v>29</v>
      </c>
      <c r="E4321" s="21">
        <f t="shared" si="200"/>
        <v>43.75</v>
      </c>
      <c r="F4321" s="22"/>
      <c r="G4321" s="21">
        <f t="shared" si="201"/>
        <v>42.039999999999999</v>
      </c>
      <c r="H4321" s="22"/>
      <c r="I4321" s="23" t="str">
        <f t="shared" si="202"/>
        <v xml:space="preserve">COM VALOR</v>
      </c>
      <c r="J4321" s="19"/>
      <c r="L4321" s="21">
        <v>43.75</v>
      </c>
      <c r="M4321" s="22">
        <v>0</v>
      </c>
      <c r="N4321" s="21">
        <v>42.039999999999999</v>
      </c>
      <c r="O4321" s="22">
        <v>0</v>
      </c>
    </row>
    <row r="4322" ht="38.25">
      <c r="A4322" t="s">
        <v>4407</v>
      </c>
      <c r="B4322" s="19">
        <v>104627</v>
      </c>
      <c r="C4322" s="20" t="s">
        <v>4418</v>
      </c>
      <c r="D4322" s="19" t="s">
        <v>29</v>
      </c>
      <c r="E4322" s="21">
        <f t="shared" si="200"/>
        <v>20.399999999999999</v>
      </c>
      <c r="F4322" s="22"/>
      <c r="G4322" s="21">
        <f t="shared" si="201"/>
        <v>19.68</v>
      </c>
      <c r="H4322" s="22"/>
      <c r="I4322" s="23" t="str">
        <f t="shared" si="202"/>
        <v xml:space="preserve">COM VALOR</v>
      </c>
      <c r="J4322" s="19"/>
      <c r="L4322" s="21">
        <v>20.399999999999999</v>
      </c>
      <c r="M4322" s="22">
        <v>0</v>
      </c>
      <c r="N4322" s="21">
        <v>19.68</v>
      </c>
      <c r="O4322" s="22">
        <v>0</v>
      </c>
    </row>
    <row r="4323" ht="38.25">
      <c r="A4323" t="s">
        <v>4407</v>
      </c>
      <c r="B4323" s="19">
        <v>104630</v>
      </c>
      <c r="C4323" s="20" t="s">
        <v>4419</v>
      </c>
      <c r="D4323" s="19" t="s">
        <v>29</v>
      </c>
      <c r="E4323" s="21">
        <f t="shared" si="200"/>
        <v>31.870000000000001</v>
      </c>
      <c r="F4323" s="22">
        <v>0</v>
      </c>
      <c r="G4323" s="21">
        <f t="shared" si="201"/>
        <v>30.829999999999998</v>
      </c>
      <c r="H4323" s="22">
        <v>0</v>
      </c>
      <c r="I4323" s="23" t="str">
        <f t="shared" si="202"/>
        <v xml:space="preserve">COM VALOR</v>
      </c>
      <c r="J4323" s="19"/>
      <c r="L4323" s="21">
        <v>31.870000000000001</v>
      </c>
      <c r="M4323" s="22">
        <v>0</v>
      </c>
      <c r="N4323" s="21">
        <v>30.829999999999998</v>
      </c>
      <c r="O4323" s="22">
        <v>0</v>
      </c>
    </row>
    <row r="4324" ht="38.25">
      <c r="A4324" t="s">
        <v>4407</v>
      </c>
      <c r="B4324" s="19">
        <v>104629</v>
      </c>
      <c r="C4324" s="20" t="s">
        <v>4420</v>
      </c>
      <c r="D4324" s="19" t="s">
        <v>29</v>
      </c>
      <c r="E4324" s="21">
        <f t="shared" si="200"/>
        <v>39.119999999999997</v>
      </c>
      <c r="F4324" s="22">
        <v>0</v>
      </c>
      <c r="G4324" s="21">
        <f t="shared" si="201"/>
        <v>37.32</v>
      </c>
      <c r="H4324" s="22">
        <v>0</v>
      </c>
      <c r="I4324" s="23" t="str">
        <f t="shared" si="202"/>
        <v xml:space="preserve">COM VALOR</v>
      </c>
      <c r="J4324" s="19"/>
      <c r="L4324" s="21">
        <v>39.119999999999997</v>
      </c>
      <c r="M4324" s="22">
        <v>0</v>
      </c>
      <c r="N4324" s="21">
        <v>37.32</v>
      </c>
      <c r="O4324" s="22">
        <v>0</v>
      </c>
    </row>
    <row r="4325" ht="38.25">
      <c r="A4325" t="s">
        <v>4407</v>
      </c>
      <c r="B4325" s="19">
        <v>104632</v>
      </c>
      <c r="C4325" s="20" t="s">
        <v>4421</v>
      </c>
      <c r="D4325" s="19" t="s">
        <v>29</v>
      </c>
      <c r="E4325" s="21">
        <f t="shared" si="200"/>
        <v>50.590000000000003</v>
      </c>
      <c r="F4325" s="22">
        <v>0</v>
      </c>
      <c r="G4325" s="21">
        <f t="shared" si="201"/>
        <v>48.479999999999997</v>
      </c>
      <c r="H4325" s="22">
        <v>0</v>
      </c>
      <c r="I4325" s="23" t="str">
        <f t="shared" si="202"/>
        <v xml:space="preserve">COM VALOR</v>
      </c>
      <c r="J4325" s="19"/>
      <c r="L4325" s="21">
        <v>50.590000000000003</v>
      </c>
      <c r="M4325" s="22">
        <v>0</v>
      </c>
      <c r="N4325" s="21">
        <v>48.479999999999997</v>
      </c>
      <c r="O4325" s="22">
        <v>0</v>
      </c>
    </row>
    <row r="4326" ht="38.25">
      <c r="A4326" t="s">
        <v>4407</v>
      </c>
      <c r="B4326" s="19">
        <v>87412</v>
      </c>
      <c r="C4326" s="20" t="s">
        <v>4422</v>
      </c>
      <c r="D4326" s="19" t="s">
        <v>29</v>
      </c>
      <c r="E4326" s="21">
        <f t="shared" si="200"/>
        <v>26.670000000000002</v>
      </c>
      <c r="F4326" s="22">
        <v>0</v>
      </c>
      <c r="G4326" s="21">
        <f t="shared" si="201"/>
        <v>25.59</v>
      </c>
      <c r="H4326" s="22">
        <v>0</v>
      </c>
      <c r="I4326" s="23" t="str">
        <f t="shared" si="202"/>
        <v xml:space="preserve">COM VALOR</v>
      </c>
      <c r="J4326" s="19"/>
      <c r="L4326" s="21">
        <v>26.670000000000002</v>
      </c>
      <c r="M4326" s="22">
        <v>0</v>
      </c>
      <c r="N4326" s="21">
        <v>25.59</v>
      </c>
      <c r="O4326" s="22">
        <v>0</v>
      </c>
    </row>
    <row r="4327" ht="38.25">
      <c r="A4327" t="s">
        <v>4407</v>
      </c>
      <c r="B4327" s="19">
        <v>87415</v>
      </c>
      <c r="C4327" s="20" t="s">
        <v>4423</v>
      </c>
      <c r="D4327" s="19" t="s">
        <v>29</v>
      </c>
      <c r="E4327" s="21">
        <f t="shared" si="200"/>
        <v>36.890000000000001</v>
      </c>
      <c r="F4327" s="22">
        <v>0</v>
      </c>
      <c r="G4327" s="21">
        <f t="shared" si="201"/>
        <v>35.560000000000002</v>
      </c>
      <c r="H4327" s="22">
        <v>0</v>
      </c>
      <c r="I4327" s="23" t="str">
        <f t="shared" si="202"/>
        <v xml:space="preserve">COM VALOR</v>
      </c>
      <c r="J4327" s="19"/>
      <c r="L4327" s="21">
        <v>36.890000000000001</v>
      </c>
      <c r="M4327" s="22">
        <v>0</v>
      </c>
      <c r="N4327" s="21">
        <v>35.560000000000002</v>
      </c>
      <c r="O4327" s="22">
        <v>0</v>
      </c>
    </row>
    <row r="4328" ht="38.25">
      <c r="A4328" t="s">
        <v>4407</v>
      </c>
      <c r="B4328" s="19">
        <v>87411</v>
      </c>
      <c r="C4328" s="20" t="s">
        <v>4424</v>
      </c>
      <c r="D4328" s="19" t="s">
        <v>29</v>
      </c>
      <c r="E4328" s="21">
        <f t="shared" si="200"/>
        <v>17.510000000000002</v>
      </c>
      <c r="F4328" s="22"/>
      <c r="G4328" s="21">
        <f t="shared" si="201"/>
        <v>16.960000000000001</v>
      </c>
      <c r="H4328" s="22"/>
      <c r="I4328" s="23" t="str">
        <f t="shared" si="202"/>
        <v xml:space="preserve">COM VALOR</v>
      </c>
      <c r="J4328" s="19"/>
      <c r="L4328" s="21">
        <v>17.510000000000002</v>
      </c>
      <c r="M4328" s="22">
        <v>0</v>
      </c>
      <c r="N4328" s="21">
        <v>16.960000000000001</v>
      </c>
      <c r="O4328" s="22">
        <v>0</v>
      </c>
    </row>
    <row r="4329" ht="38.25">
      <c r="A4329" t="s">
        <v>4407</v>
      </c>
      <c r="B4329" s="19">
        <v>87414</v>
      </c>
      <c r="C4329" s="20" t="s">
        <v>4425</v>
      </c>
      <c r="D4329" s="19" t="s">
        <v>29</v>
      </c>
      <c r="E4329" s="21">
        <f t="shared" si="200"/>
        <v>27.73</v>
      </c>
      <c r="F4329" s="22">
        <v>0.78000000000000003</v>
      </c>
      <c r="G4329" s="21">
        <f t="shared" si="201"/>
        <v>26.93</v>
      </c>
      <c r="H4329" s="22">
        <v>0.79000000000000004</v>
      </c>
      <c r="I4329" s="23" t="str">
        <f t="shared" si="202"/>
        <v xml:space="preserve">COM VALOR</v>
      </c>
      <c r="J4329" s="19"/>
      <c r="L4329" s="21">
        <v>27.73</v>
      </c>
      <c r="M4329" s="22">
        <v>0</v>
      </c>
      <c r="N4329" s="21">
        <v>26.93</v>
      </c>
      <c r="O4329" s="22">
        <v>0</v>
      </c>
    </row>
    <row r="4330" ht="38.25">
      <c r="A4330" t="s">
        <v>4407</v>
      </c>
      <c r="B4330" s="19">
        <v>87413</v>
      </c>
      <c r="C4330" s="20" t="s">
        <v>4426</v>
      </c>
      <c r="D4330" s="19" t="s">
        <v>29</v>
      </c>
      <c r="E4330" s="21">
        <f t="shared" si="200"/>
        <v>31.93</v>
      </c>
      <c r="F4330" s="22">
        <v>0.77000000000000002</v>
      </c>
      <c r="G4330" s="21">
        <f t="shared" si="201"/>
        <v>30.550000000000001</v>
      </c>
      <c r="H4330" s="22">
        <v>0.78000000000000003</v>
      </c>
      <c r="I4330" s="23" t="str">
        <f t="shared" si="202"/>
        <v xml:space="preserve">COM VALOR</v>
      </c>
      <c r="J4330" s="19"/>
      <c r="L4330" s="21">
        <v>31.93</v>
      </c>
      <c r="M4330" s="22">
        <v>0</v>
      </c>
      <c r="N4330" s="21">
        <v>30.550000000000001</v>
      </c>
      <c r="O4330" s="22">
        <v>0</v>
      </c>
    </row>
    <row r="4331" ht="38.25">
      <c r="A4331" t="s">
        <v>4407</v>
      </c>
      <c r="B4331" s="19">
        <v>87416</v>
      </c>
      <c r="C4331" s="20" t="s">
        <v>4427</v>
      </c>
      <c r="D4331" s="19" t="s">
        <v>29</v>
      </c>
      <c r="E4331" s="21">
        <f t="shared" si="200"/>
        <v>42.149999999999999</v>
      </c>
      <c r="F4331" s="22">
        <v>0.68000000000000005</v>
      </c>
      <c r="G4331" s="21">
        <f t="shared" si="201"/>
        <v>40.520000000000003</v>
      </c>
      <c r="H4331" s="22">
        <v>0.69999999999999996</v>
      </c>
      <c r="I4331" s="23" t="str">
        <f t="shared" si="202"/>
        <v xml:space="preserve">COM VALOR</v>
      </c>
      <c r="J4331" s="19"/>
      <c r="L4331" s="21">
        <v>42.149999999999999</v>
      </c>
      <c r="M4331" s="22">
        <v>0</v>
      </c>
      <c r="N4331" s="21">
        <v>40.520000000000003</v>
      </c>
      <c r="O4331" s="22">
        <v>0</v>
      </c>
    </row>
    <row r="4332" ht="25.5">
      <c r="A4332" t="s">
        <v>4407</v>
      </c>
      <c r="B4332" s="19">
        <v>104635</v>
      </c>
      <c r="C4332" s="20" t="s">
        <v>4428</v>
      </c>
      <c r="D4332" s="19" t="s">
        <v>29</v>
      </c>
      <c r="E4332" s="21">
        <f t="shared" si="200"/>
        <v>58.210000000000001</v>
      </c>
      <c r="F4332" s="22">
        <v>0.75</v>
      </c>
      <c r="G4332" s="21">
        <f t="shared" si="201"/>
        <v>55.659999999999997</v>
      </c>
      <c r="H4332" s="22">
        <v>0.77000000000000002</v>
      </c>
      <c r="I4332" s="23" t="str">
        <f t="shared" si="202"/>
        <v xml:space="preserve">COM VALOR</v>
      </c>
      <c r="J4332" s="19"/>
      <c r="L4332" s="21">
        <v>58.210000000000001</v>
      </c>
      <c r="M4332" s="22">
        <v>0</v>
      </c>
      <c r="N4332" s="21">
        <v>55.659999999999997</v>
      </c>
      <c r="O4332" s="22">
        <v>0</v>
      </c>
    </row>
    <row r="4333" ht="25.5">
      <c r="A4333" t="s">
        <v>4407</v>
      </c>
      <c r="B4333" s="19">
        <v>104636</v>
      </c>
      <c r="C4333" s="20" t="s">
        <v>4429</v>
      </c>
      <c r="D4333" s="19" t="s">
        <v>29</v>
      </c>
      <c r="E4333" s="21">
        <f t="shared" si="200"/>
        <v>67.450000000000003</v>
      </c>
      <c r="F4333" s="22"/>
      <c r="G4333" s="21">
        <f t="shared" si="201"/>
        <v>64.609999999999999</v>
      </c>
      <c r="H4333" s="22"/>
      <c r="I4333" s="23" t="str">
        <f t="shared" si="202"/>
        <v xml:space="preserve">COM VALOR</v>
      </c>
      <c r="J4333" s="19"/>
      <c r="L4333" s="21">
        <v>67.450000000000003</v>
      </c>
      <c r="M4333" s="22">
        <v>0</v>
      </c>
      <c r="N4333" s="21">
        <v>64.609999999999999</v>
      </c>
      <c r="O4333" s="22">
        <v>0</v>
      </c>
    </row>
    <row r="4334" ht="25.5">
      <c r="A4334" t="s">
        <v>4407</v>
      </c>
      <c r="B4334" s="19">
        <v>87424</v>
      </c>
      <c r="C4334" s="20" t="s">
        <v>4430</v>
      </c>
      <c r="D4334" s="19" t="s">
        <v>29</v>
      </c>
      <c r="E4334" s="21">
        <f t="shared" si="200"/>
        <v>41.280000000000001</v>
      </c>
      <c r="F4334" s="22">
        <v>0</v>
      </c>
      <c r="G4334" s="21">
        <f t="shared" si="201"/>
        <v>39.710000000000001</v>
      </c>
      <c r="H4334" s="22">
        <v>0</v>
      </c>
      <c r="I4334" s="23" t="str">
        <f t="shared" si="202"/>
        <v xml:space="preserve">COM VALOR</v>
      </c>
      <c r="J4334" s="19"/>
      <c r="L4334" s="21">
        <v>41.280000000000001</v>
      </c>
      <c r="M4334" s="22">
        <v>0</v>
      </c>
      <c r="N4334" s="21">
        <v>39.710000000000001</v>
      </c>
      <c r="O4334" s="22">
        <v>0</v>
      </c>
    </row>
    <row r="4335" ht="25.5">
      <c r="A4335" t="s">
        <v>4407</v>
      </c>
      <c r="B4335" s="19">
        <v>87427</v>
      </c>
      <c r="C4335" s="20" t="s">
        <v>4431</v>
      </c>
      <c r="D4335" s="19" t="s">
        <v>29</v>
      </c>
      <c r="E4335" s="21">
        <f t="shared" si="200"/>
        <v>48.68</v>
      </c>
      <c r="F4335" s="22">
        <v>0</v>
      </c>
      <c r="G4335" s="21">
        <f t="shared" si="201"/>
        <v>46.920000000000002</v>
      </c>
      <c r="H4335" s="22">
        <v>0</v>
      </c>
      <c r="I4335" s="23" t="str">
        <f t="shared" si="202"/>
        <v xml:space="preserve">COM VALOR</v>
      </c>
      <c r="J4335" s="19"/>
      <c r="L4335" s="21">
        <v>48.68</v>
      </c>
      <c r="M4335" s="22">
        <v>0</v>
      </c>
      <c r="N4335" s="21">
        <v>46.920000000000002</v>
      </c>
      <c r="O4335" s="22">
        <v>0</v>
      </c>
    </row>
    <row r="4336" ht="25.5">
      <c r="A4336" t="s">
        <v>4432</v>
      </c>
      <c r="B4336" s="19">
        <v>89998</v>
      </c>
      <c r="C4336" s="20" t="s">
        <v>4433</v>
      </c>
      <c r="D4336" s="19" t="s">
        <v>302</v>
      </c>
      <c r="E4336" s="21">
        <f t="shared" si="200"/>
        <v>9.9199999999999999</v>
      </c>
      <c r="F4336" s="22">
        <v>0.17999999999999999</v>
      </c>
      <c r="G4336" s="21">
        <f t="shared" si="201"/>
        <v>9.8000000000000007</v>
      </c>
      <c r="H4336" s="22">
        <v>0.19</v>
      </c>
      <c r="I4336" s="23" t="str">
        <f t="shared" si="202"/>
        <v xml:space="preserve">COM VALOR</v>
      </c>
      <c r="J4336" s="19"/>
      <c r="L4336" s="21">
        <v>9.9199999999999999</v>
      </c>
      <c r="M4336" s="22">
        <v>0</v>
      </c>
      <c r="N4336" s="21">
        <v>9.8000000000000007</v>
      </c>
      <c r="O4336" s="22">
        <v>0</v>
      </c>
    </row>
    <row r="4337" ht="25.5">
      <c r="A4337" t="s">
        <v>4432</v>
      </c>
      <c r="B4337" s="19">
        <v>102920</v>
      </c>
      <c r="C4337" s="20" t="s">
        <v>4434</v>
      </c>
      <c r="D4337" s="19" t="s">
        <v>302</v>
      </c>
      <c r="E4337" s="21">
        <f t="shared" si="200"/>
        <v>8.1099999999999994</v>
      </c>
      <c r="F4337" s="22">
        <v>0.67000000000000004</v>
      </c>
      <c r="G4337" s="21">
        <f t="shared" si="201"/>
        <v>8.0299999999999994</v>
      </c>
      <c r="H4337" s="22">
        <v>0.68999999999999995</v>
      </c>
      <c r="I4337" s="23" t="str">
        <f t="shared" si="202"/>
        <v xml:space="preserve">COM VALOR</v>
      </c>
      <c r="J4337" s="19"/>
      <c r="L4337" s="21">
        <v>8.1099999999999994</v>
      </c>
      <c r="M4337" s="22">
        <v>0</v>
      </c>
      <c r="N4337" s="21">
        <v>8.0299999999999994</v>
      </c>
      <c r="O4337" s="22">
        <v>0</v>
      </c>
    </row>
    <row r="4338" ht="25.5">
      <c r="A4338" t="s">
        <v>4432</v>
      </c>
      <c r="B4338" s="19">
        <v>102923</v>
      </c>
      <c r="C4338" s="20" t="s">
        <v>4435</v>
      </c>
      <c r="D4338" s="19" t="s">
        <v>302</v>
      </c>
      <c r="E4338" s="21">
        <f t="shared" si="200"/>
        <v>7.5700000000000003</v>
      </c>
      <c r="F4338" s="22"/>
      <c r="G4338" s="21">
        <f t="shared" si="201"/>
        <v>7.5199999999999996</v>
      </c>
      <c r="H4338" s="22"/>
      <c r="I4338" s="23" t="str">
        <f t="shared" si="202"/>
        <v xml:space="preserve">COM VALOR</v>
      </c>
      <c r="J4338" s="19"/>
      <c r="L4338" s="21">
        <v>7.5700000000000003</v>
      </c>
      <c r="M4338" s="22">
        <v>0</v>
      </c>
      <c r="N4338" s="21">
        <v>7.5199999999999996</v>
      </c>
      <c r="O4338" s="22">
        <v>0</v>
      </c>
    </row>
    <row r="4339" ht="25.5">
      <c r="A4339" t="s">
        <v>4432</v>
      </c>
      <c r="B4339" s="19">
        <v>90000</v>
      </c>
      <c r="C4339" s="20" t="s">
        <v>4436</v>
      </c>
      <c r="D4339" s="19" t="s">
        <v>302</v>
      </c>
      <c r="E4339" s="21">
        <f t="shared" si="200"/>
        <v>12.81</v>
      </c>
      <c r="F4339" s="22">
        <v>0.75</v>
      </c>
      <c r="G4339" s="21">
        <f t="shared" si="201"/>
        <v>12.529999999999999</v>
      </c>
      <c r="H4339" s="22">
        <v>0.77000000000000002</v>
      </c>
      <c r="I4339" s="23" t="str">
        <f t="shared" si="202"/>
        <v xml:space="preserve">COM VALOR</v>
      </c>
      <c r="J4339" s="19"/>
      <c r="L4339" s="21">
        <v>12.81</v>
      </c>
      <c r="M4339" s="22">
        <v>0</v>
      </c>
      <c r="N4339" s="21">
        <v>12.529999999999999</v>
      </c>
      <c r="O4339" s="22">
        <v>0</v>
      </c>
    </row>
    <row r="4340" ht="25.5">
      <c r="A4340" t="s">
        <v>4432</v>
      </c>
      <c r="B4340" s="19">
        <v>103088</v>
      </c>
      <c r="C4340" s="20" t="s">
        <v>4437</v>
      </c>
      <c r="D4340" s="19" t="s">
        <v>302</v>
      </c>
      <c r="E4340" s="21">
        <f t="shared" si="200"/>
        <v>9.9600000000000009</v>
      </c>
      <c r="F4340" s="22">
        <v>0.73999999999999999</v>
      </c>
      <c r="G4340" s="21">
        <f t="shared" si="201"/>
        <v>9.7799999999999994</v>
      </c>
      <c r="H4340" s="22">
        <v>0.76000000000000001</v>
      </c>
      <c r="I4340" s="23" t="str">
        <f t="shared" si="202"/>
        <v xml:space="preserve">COM VALOR</v>
      </c>
      <c r="J4340" s="19"/>
      <c r="L4340" s="21">
        <v>9.9600000000000009</v>
      </c>
      <c r="M4340" s="22">
        <v>0</v>
      </c>
      <c r="N4340" s="21">
        <v>9.7799999999999994</v>
      </c>
      <c r="O4340" s="22">
        <v>0</v>
      </c>
    </row>
    <row r="4341" ht="25.5">
      <c r="A4341" t="s">
        <v>4432</v>
      </c>
      <c r="B4341" s="19">
        <v>102922</v>
      </c>
      <c r="C4341" s="20" t="s">
        <v>4438</v>
      </c>
      <c r="D4341" s="19" t="s">
        <v>302</v>
      </c>
      <c r="E4341" s="21">
        <f t="shared" si="200"/>
        <v>8.7100000000000009</v>
      </c>
      <c r="F4341" s="22"/>
      <c r="G4341" s="21">
        <f t="shared" si="201"/>
        <v>8.5899999999999999</v>
      </c>
      <c r="H4341" s="22"/>
      <c r="I4341" s="23" t="str">
        <f t="shared" si="202"/>
        <v xml:space="preserve">COM VALOR</v>
      </c>
      <c r="J4341" s="19"/>
      <c r="L4341" s="21">
        <v>8.7100000000000009</v>
      </c>
      <c r="M4341" s="22">
        <v>0</v>
      </c>
      <c r="N4341" s="21">
        <v>8.5899999999999999</v>
      </c>
      <c r="O4341" s="22">
        <v>0</v>
      </c>
    </row>
    <row r="4342" ht="25.5">
      <c r="A4342" t="s">
        <v>4432</v>
      </c>
      <c r="B4342" s="19">
        <v>89999</v>
      </c>
      <c r="C4342" s="20" t="s">
        <v>4439</v>
      </c>
      <c r="D4342" s="19" t="s">
        <v>302</v>
      </c>
      <c r="E4342" s="21">
        <f t="shared" si="200"/>
        <v>16.109999999999999</v>
      </c>
      <c r="F4342" s="22">
        <v>0</v>
      </c>
      <c r="G4342" s="21">
        <f t="shared" si="201"/>
        <v>15.68</v>
      </c>
      <c r="H4342" s="22">
        <v>0</v>
      </c>
      <c r="I4342" s="23" t="str">
        <f t="shared" si="202"/>
        <v xml:space="preserve">COM VALOR</v>
      </c>
      <c r="J4342" s="19"/>
      <c r="L4342" s="21">
        <v>16.109999999999999</v>
      </c>
      <c r="M4342" s="22">
        <v>0</v>
      </c>
      <c r="N4342" s="21">
        <v>15.68</v>
      </c>
      <c r="O4342" s="22">
        <v>0</v>
      </c>
    </row>
    <row r="4343" ht="25.5">
      <c r="A4343" t="s">
        <v>4432</v>
      </c>
      <c r="B4343" s="19">
        <v>89996</v>
      </c>
      <c r="C4343" s="20" t="s">
        <v>4440</v>
      </c>
      <c r="D4343" s="19" t="s">
        <v>302</v>
      </c>
      <c r="E4343" s="21">
        <f t="shared" si="200"/>
        <v>10.470000000000001</v>
      </c>
      <c r="F4343" s="22">
        <v>0</v>
      </c>
      <c r="G4343" s="21">
        <f t="shared" si="201"/>
        <v>10.33</v>
      </c>
      <c r="H4343" s="22">
        <v>0</v>
      </c>
      <c r="I4343" s="23" t="str">
        <f t="shared" si="202"/>
        <v xml:space="preserve">COM VALOR</v>
      </c>
      <c r="J4343" s="19"/>
      <c r="L4343" s="21">
        <v>10.470000000000001</v>
      </c>
      <c r="M4343" s="22">
        <v>0</v>
      </c>
      <c r="N4343" s="21">
        <v>10.33</v>
      </c>
      <c r="O4343" s="22">
        <v>0</v>
      </c>
    </row>
    <row r="4344" ht="25.5">
      <c r="A4344" t="s">
        <v>4432</v>
      </c>
      <c r="B4344" s="19">
        <v>89997</v>
      </c>
      <c r="C4344" s="20" t="s">
        <v>4441</v>
      </c>
      <c r="D4344" s="19" t="s">
        <v>302</v>
      </c>
      <c r="E4344" s="21">
        <f t="shared" si="200"/>
        <v>8.4600000000000009</v>
      </c>
      <c r="F4344" s="22">
        <v>4.0000000000000001e-002</v>
      </c>
      <c r="G4344" s="21">
        <f t="shared" si="201"/>
        <v>8.3699999999999992</v>
      </c>
      <c r="H4344" s="22">
        <v>5.0000000000000003e-002</v>
      </c>
      <c r="I4344" s="23" t="str">
        <f t="shared" si="202"/>
        <v xml:space="preserve">COM VALOR</v>
      </c>
      <c r="J4344" s="19"/>
      <c r="L4344" s="21">
        <v>8.4600000000000009</v>
      </c>
      <c r="M4344" s="22">
        <v>0</v>
      </c>
      <c r="N4344" s="21">
        <v>8.3699999999999992</v>
      </c>
      <c r="O4344" s="22">
        <v>0</v>
      </c>
    </row>
    <row r="4345" ht="25.5">
      <c r="A4345" t="s">
        <v>4432</v>
      </c>
      <c r="B4345" s="19">
        <v>102921</v>
      </c>
      <c r="C4345" s="20" t="s">
        <v>4442</v>
      </c>
      <c r="D4345" s="19" t="s">
        <v>302</v>
      </c>
      <c r="E4345" s="21">
        <f t="shared" si="200"/>
        <v>7.79</v>
      </c>
      <c r="F4345" s="22">
        <v>2.9999999999999999e-002</v>
      </c>
      <c r="G4345" s="21">
        <f t="shared" si="201"/>
        <v>7.7300000000000004</v>
      </c>
      <c r="H4345" s="22">
        <v>4.0000000000000001e-002</v>
      </c>
      <c r="I4345" s="23" t="str">
        <f t="shared" si="202"/>
        <v xml:space="preserve">COM VALOR</v>
      </c>
      <c r="J4345" s="19"/>
      <c r="L4345" s="21">
        <v>7.79</v>
      </c>
      <c r="M4345" s="22">
        <v>0</v>
      </c>
      <c r="N4345" s="21">
        <v>7.7300000000000004</v>
      </c>
      <c r="O4345" s="22">
        <v>0</v>
      </c>
    </row>
    <row r="4346" ht="38.25">
      <c r="A4346" t="s">
        <v>4432</v>
      </c>
      <c r="B4346" s="19">
        <v>90278</v>
      </c>
      <c r="C4346" s="20" t="s">
        <v>4443</v>
      </c>
      <c r="D4346" s="19" t="s">
        <v>121</v>
      </c>
      <c r="E4346" s="21">
        <f t="shared" si="200"/>
        <v>529.53999999999996</v>
      </c>
      <c r="F4346" s="22">
        <v>2.9999999999999999e-002</v>
      </c>
      <c r="G4346" s="21">
        <f t="shared" si="201"/>
        <v>524.26999999999998</v>
      </c>
      <c r="H4346" s="22">
        <v>2.9999999999999999e-002</v>
      </c>
      <c r="I4346" s="23" t="str">
        <f t="shared" si="202"/>
        <v xml:space="preserve">COM VALOR</v>
      </c>
      <c r="J4346" s="19"/>
      <c r="L4346" s="21">
        <v>529.53999999999996</v>
      </c>
      <c r="M4346" s="22">
        <v>0</v>
      </c>
      <c r="N4346" s="21">
        <v>524.26999999999998</v>
      </c>
      <c r="O4346" s="22">
        <v>0</v>
      </c>
    </row>
    <row r="4347" ht="38.25">
      <c r="A4347" t="s">
        <v>4432</v>
      </c>
      <c r="B4347" s="19">
        <v>90282</v>
      </c>
      <c r="C4347" s="20" t="s">
        <v>4444</v>
      </c>
      <c r="D4347" s="19" t="s">
        <v>121</v>
      </c>
      <c r="E4347" s="21">
        <f t="shared" si="200"/>
        <v>515.16999999999996</v>
      </c>
      <c r="F4347" s="22">
        <v>5.0000000000000003e-002</v>
      </c>
      <c r="G4347" s="21">
        <f t="shared" si="201"/>
        <v>510.07999999999998</v>
      </c>
      <c r="H4347" s="22">
        <v>5.0000000000000003e-002</v>
      </c>
      <c r="I4347" s="23" t="str">
        <f t="shared" si="202"/>
        <v xml:space="preserve">COM VALOR</v>
      </c>
      <c r="J4347" s="19"/>
      <c r="L4347" s="21">
        <v>515.16999999999996</v>
      </c>
      <c r="M4347" s="22">
        <v>0</v>
      </c>
      <c r="N4347" s="21">
        <v>510.07999999999998</v>
      </c>
      <c r="O4347" s="22">
        <v>0</v>
      </c>
    </row>
    <row r="4348" ht="38.25">
      <c r="A4348" t="s">
        <v>4432</v>
      </c>
      <c r="B4348" s="19">
        <v>90279</v>
      </c>
      <c r="C4348" s="20" t="s">
        <v>4445</v>
      </c>
      <c r="D4348" s="19" t="s">
        <v>121</v>
      </c>
      <c r="E4348" s="21">
        <f t="shared" si="200"/>
        <v>590.23000000000002</v>
      </c>
      <c r="F4348" s="22">
        <v>4.0000000000000001e-002</v>
      </c>
      <c r="G4348" s="21">
        <f t="shared" si="201"/>
        <v>584.47000000000003</v>
      </c>
      <c r="H4348" s="22">
        <v>4.0000000000000001e-002</v>
      </c>
      <c r="I4348" s="23" t="str">
        <f t="shared" si="202"/>
        <v xml:space="preserve">COM VALOR</v>
      </c>
      <c r="J4348" s="19"/>
      <c r="L4348" s="21">
        <v>590.23000000000002</v>
      </c>
      <c r="M4348" s="22">
        <v>0</v>
      </c>
      <c r="N4348" s="21">
        <v>584.47000000000003</v>
      </c>
      <c r="O4348" s="22">
        <v>0</v>
      </c>
    </row>
    <row r="4349" ht="38.25">
      <c r="A4349" t="s">
        <v>4432</v>
      </c>
      <c r="B4349" s="19">
        <v>90283</v>
      </c>
      <c r="C4349" s="20" t="s">
        <v>4446</v>
      </c>
      <c r="D4349" s="19" t="s">
        <v>121</v>
      </c>
      <c r="E4349" s="21">
        <f t="shared" si="200"/>
        <v>575.25</v>
      </c>
      <c r="F4349" s="22">
        <v>5.9999999999999998e-002</v>
      </c>
      <c r="G4349" s="21">
        <f t="shared" si="201"/>
        <v>569.69000000000005</v>
      </c>
      <c r="H4349" s="22">
        <v>7.0000000000000007e-002</v>
      </c>
      <c r="I4349" s="23" t="str">
        <f t="shared" si="202"/>
        <v xml:space="preserve">COM VALOR</v>
      </c>
      <c r="J4349" s="19"/>
      <c r="L4349" s="21">
        <v>575.25</v>
      </c>
      <c r="M4349" s="22">
        <v>0</v>
      </c>
      <c r="N4349" s="21">
        <v>569.69000000000005</v>
      </c>
      <c r="O4349" s="22">
        <v>0</v>
      </c>
    </row>
    <row r="4350" ht="38.25">
      <c r="A4350" t="s">
        <v>4432</v>
      </c>
      <c r="B4350" s="19">
        <v>90280</v>
      </c>
      <c r="C4350" s="20" t="s">
        <v>4447</v>
      </c>
      <c r="D4350" s="19" t="s">
        <v>121</v>
      </c>
      <c r="E4350" s="21">
        <f t="shared" si="200"/>
        <v>659.36000000000001</v>
      </c>
      <c r="F4350" s="22">
        <v>0</v>
      </c>
      <c r="G4350" s="21">
        <f t="shared" si="201"/>
        <v>653.60000000000002</v>
      </c>
      <c r="H4350" s="22">
        <v>0</v>
      </c>
      <c r="I4350" s="23" t="str">
        <f t="shared" si="202"/>
        <v xml:space="preserve">COM VALOR</v>
      </c>
      <c r="J4350" s="19"/>
      <c r="L4350" s="21">
        <v>659.36000000000001</v>
      </c>
      <c r="M4350" s="22">
        <v>0</v>
      </c>
      <c r="N4350" s="21">
        <v>653.60000000000002</v>
      </c>
      <c r="O4350" s="22">
        <v>0</v>
      </c>
    </row>
    <row r="4351" ht="38.25">
      <c r="A4351" t="s">
        <v>4432</v>
      </c>
      <c r="B4351" s="19">
        <v>90284</v>
      </c>
      <c r="C4351" s="20" t="s">
        <v>4448</v>
      </c>
      <c r="D4351" s="19" t="s">
        <v>121</v>
      </c>
      <c r="E4351" s="21">
        <f t="shared" si="200"/>
        <v>649.19000000000005</v>
      </c>
      <c r="F4351" s="22">
        <v>0</v>
      </c>
      <c r="G4351" s="21">
        <f t="shared" si="201"/>
        <v>643.62</v>
      </c>
      <c r="H4351" s="22">
        <v>0</v>
      </c>
      <c r="I4351" s="23" t="str">
        <f t="shared" si="202"/>
        <v xml:space="preserve">COM VALOR</v>
      </c>
      <c r="J4351" s="19"/>
      <c r="L4351" s="21">
        <v>649.19000000000005</v>
      </c>
      <c r="M4351" s="22">
        <v>0</v>
      </c>
      <c r="N4351" s="21">
        <v>643.62</v>
      </c>
      <c r="O4351" s="22">
        <v>0</v>
      </c>
    </row>
    <row r="4352" ht="38.25">
      <c r="A4352" t="s">
        <v>4432</v>
      </c>
      <c r="B4352" s="19">
        <v>90281</v>
      </c>
      <c r="C4352" s="20" t="s">
        <v>4449</v>
      </c>
      <c r="D4352" s="19" t="s">
        <v>121</v>
      </c>
      <c r="E4352" s="21">
        <f t="shared" si="200"/>
        <v>775.20000000000005</v>
      </c>
      <c r="F4352" s="22">
        <v>0</v>
      </c>
      <c r="G4352" s="21">
        <f t="shared" si="201"/>
        <v>769.58000000000004</v>
      </c>
      <c r="H4352" s="22">
        <v>0</v>
      </c>
      <c r="I4352" s="23" t="str">
        <f t="shared" si="202"/>
        <v xml:space="preserve">COM VALOR</v>
      </c>
      <c r="J4352" s="19"/>
      <c r="L4352" s="21">
        <v>775.20000000000005</v>
      </c>
      <c r="M4352" s="22">
        <v>0</v>
      </c>
      <c r="N4352" s="21">
        <v>769.58000000000004</v>
      </c>
      <c r="O4352" s="22">
        <v>0</v>
      </c>
    </row>
    <row r="4353" ht="38.25">
      <c r="A4353" t="s">
        <v>4432</v>
      </c>
      <c r="B4353" s="19">
        <v>90285</v>
      </c>
      <c r="C4353" s="20" t="s">
        <v>4450</v>
      </c>
      <c r="D4353" s="19" t="s">
        <v>121</v>
      </c>
      <c r="E4353" s="21">
        <f t="shared" si="200"/>
        <v>769.96000000000004</v>
      </c>
      <c r="F4353" s="22">
        <v>0</v>
      </c>
      <c r="G4353" s="21">
        <f t="shared" si="201"/>
        <v>764.48000000000002</v>
      </c>
      <c r="H4353" s="22">
        <v>0</v>
      </c>
      <c r="I4353" s="23" t="str">
        <f t="shared" si="202"/>
        <v xml:space="preserve">COM VALOR</v>
      </c>
      <c r="J4353" s="19"/>
      <c r="L4353" s="21">
        <v>769.96000000000004</v>
      </c>
      <c r="M4353" s="22">
        <v>0</v>
      </c>
      <c r="N4353" s="21">
        <v>764.48000000000002</v>
      </c>
      <c r="O4353" s="22">
        <v>0</v>
      </c>
    </row>
    <row r="4354" ht="25.5">
      <c r="A4354" t="s">
        <v>4432</v>
      </c>
      <c r="B4354" s="19">
        <v>89994</v>
      </c>
      <c r="C4354" s="20" t="s">
        <v>4451</v>
      </c>
      <c r="D4354" s="19" t="s">
        <v>121</v>
      </c>
      <c r="E4354" s="21">
        <f t="shared" si="200"/>
        <v>921.71000000000004</v>
      </c>
      <c r="F4354" s="22">
        <v>0</v>
      </c>
      <c r="G4354" s="21">
        <f t="shared" si="201"/>
        <v>902.97000000000003</v>
      </c>
      <c r="H4354" s="22">
        <v>0</v>
      </c>
      <c r="I4354" s="23" t="str">
        <f t="shared" si="202"/>
        <v xml:space="preserve">COM VALOR</v>
      </c>
      <c r="J4354" s="19"/>
      <c r="L4354" s="21">
        <v>921.71000000000004</v>
      </c>
      <c r="M4354" s="22">
        <v>0</v>
      </c>
      <c r="N4354" s="21">
        <v>902.97000000000003</v>
      </c>
      <c r="O4354" s="22">
        <v>0</v>
      </c>
    </row>
    <row r="4355" ht="25.5">
      <c r="A4355" t="s">
        <v>4432</v>
      </c>
      <c r="B4355" s="19">
        <v>89995</v>
      </c>
      <c r="C4355" s="20" t="s">
        <v>4452</v>
      </c>
      <c r="D4355" s="19" t="s">
        <v>121</v>
      </c>
      <c r="E4355" s="21">
        <f t="shared" si="200"/>
        <v>1033.8599999999999</v>
      </c>
      <c r="F4355" s="22">
        <v>0.93000000000000005</v>
      </c>
      <c r="G4355" s="21">
        <f t="shared" si="201"/>
        <v>1008.86</v>
      </c>
      <c r="H4355" s="22">
        <v>0.93999999999999995</v>
      </c>
      <c r="I4355" s="23" t="str">
        <f t="shared" si="202"/>
        <v xml:space="preserve">COM VALOR</v>
      </c>
      <c r="J4355" s="19"/>
      <c r="L4355" s="21">
        <v>1033.8599999999999</v>
      </c>
      <c r="M4355" s="22">
        <v>0</v>
      </c>
      <c r="N4355" s="21">
        <v>1008.86</v>
      </c>
      <c r="O4355" s="22">
        <v>0</v>
      </c>
    </row>
    <row r="4356" ht="12.75">
      <c r="A4356" t="s">
        <v>4432</v>
      </c>
      <c r="B4356" s="19">
        <v>89993</v>
      </c>
      <c r="C4356" s="20" t="s">
        <v>4453</v>
      </c>
      <c r="D4356" s="19" t="s">
        <v>121</v>
      </c>
      <c r="E4356" s="21">
        <f t="shared" si="200"/>
        <v>1072.4000000000001</v>
      </c>
      <c r="F4356" s="22">
        <v>0</v>
      </c>
      <c r="G4356" s="21">
        <f t="shared" si="201"/>
        <v>1045.25</v>
      </c>
      <c r="H4356" s="22">
        <v>0</v>
      </c>
      <c r="I4356" s="23" t="str">
        <f t="shared" si="202"/>
        <v xml:space="preserve">COM VALOR</v>
      </c>
      <c r="J4356" s="19"/>
      <c r="L4356" s="21">
        <v>1072.4000000000001</v>
      </c>
      <c r="M4356" s="22">
        <v>0</v>
      </c>
      <c r="N4356" s="21">
        <v>1045.25</v>
      </c>
      <c r="O4356" s="22">
        <v>0</v>
      </c>
    </row>
    <row r="4357" ht="38.25">
      <c r="A4357" t="s">
        <v>4454</v>
      </c>
      <c r="B4357" s="19">
        <v>106212</v>
      </c>
      <c r="C4357" s="20" t="s">
        <v>4455</v>
      </c>
      <c r="D4357" s="19" t="s">
        <v>38</v>
      </c>
      <c r="E4357" s="21" t="str">
        <f t="shared" si="200"/>
        <v>VERIFICAR</v>
      </c>
      <c r="F4357" s="22">
        <v>0</v>
      </c>
      <c r="G4357" s="21" t="str">
        <f t="shared" si="201"/>
        <v>VERIFICAR</v>
      </c>
      <c r="H4357" s="22">
        <v>0</v>
      </c>
      <c r="I4357" s="23" t="str">
        <f t="shared" si="202"/>
        <v xml:space="preserve">COM VALOR</v>
      </c>
      <c r="J4357" s="19"/>
      <c r="L4357" s="21">
        <v>0</v>
      </c>
      <c r="M4357" s="22"/>
      <c r="N4357" s="21">
        <v>0</v>
      </c>
      <c r="O4357" s="22"/>
    </row>
    <row r="4358" ht="38.25">
      <c r="A4358" t="s">
        <v>4454</v>
      </c>
      <c r="B4358" s="19">
        <v>106216</v>
      </c>
      <c r="C4358" s="20" t="s">
        <v>4456</v>
      </c>
      <c r="D4358" s="19" t="s">
        <v>38</v>
      </c>
      <c r="E4358" s="21" t="str">
        <f t="shared" si="200"/>
        <v>VERIFICAR</v>
      </c>
      <c r="F4358" s="22">
        <v>0.28999999999999998</v>
      </c>
      <c r="G4358" s="21" t="str">
        <f t="shared" si="201"/>
        <v>VERIFICAR</v>
      </c>
      <c r="H4358" s="22">
        <v>0.29999999999999999</v>
      </c>
      <c r="I4358" s="23" t="str">
        <f t="shared" si="202"/>
        <v xml:space="preserve">COM VALOR</v>
      </c>
      <c r="J4358" s="19"/>
      <c r="L4358" s="21">
        <v>0</v>
      </c>
      <c r="M4358" s="22"/>
      <c r="N4358" s="21">
        <v>0</v>
      </c>
      <c r="O4358" s="22"/>
    </row>
    <row r="4359" ht="25.5">
      <c r="A4359" t="s">
        <v>4454</v>
      </c>
      <c r="B4359" s="19">
        <v>99860</v>
      </c>
      <c r="C4359" s="20" t="s">
        <v>4457</v>
      </c>
      <c r="D4359" s="19" t="s">
        <v>38</v>
      </c>
      <c r="E4359" s="21" t="str">
        <f t="shared" si="200"/>
        <v>VERIFICAR</v>
      </c>
      <c r="F4359" s="22"/>
      <c r="G4359" s="21" t="str">
        <f t="shared" si="201"/>
        <v>VERIFICAR</v>
      </c>
      <c r="H4359" s="22"/>
      <c r="I4359" s="23" t="str">
        <f t="shared" si="202"/>
        <v xml:space="preserve">COM VALOR</v>
      </c>
      <c r="J4359" s="19"/>
      <c r="L4359" s="21">
        <v>0</v>
      </c>
      <c r="M4359" s="22"/>
      <c r="N4359" s="21">
        <v>0</v>
      </c>
      <c r="O4359" s="22"/>
    </row>
    <row r="4360" ht="25.5">
      <c r="A4360" t="s">
        <v>4454</v>
      </c>
      <c r="B4360" s="19">
        <v>99858</v>
      </c>
      <c r="C4360" s="20" t="s">
        <v>4458</v>
      </c>
      <c r="D4360" s="19" t="s">
        <v>38</v>
      </c>
      <c r="E4360" s="21" t="str">
        <f t="shared" si="200"/>
        <v>VERIFICAR</v>
      </c>
      <c r="F4360" s="22"/>
      <c r="G4360" s="21" t="str">
        <f t="shared" si="201"/>
        <v>VERIFICAR</v>
      </c>
      <c r="H4360" s="22"/>
      <c r="I4360" s="23" t="str">
        <f t="shared" si="202"/>
        <v xml:space="preserve">COM VALOR</v>
      </c>
      <c r="J4360" s="19"/>
      <c r="L4360" s="21">
        <v>0</v>
      </c>
      <c r="M4360" s="22"/>
      <c r="N4360" s="21">
        <v>0</v>
      </c>
      <c r="O4360" s="22"/>
    </row>
    <row r="4361" ht="25.5">
      <c r="A4361" t="s">
        <v>4454</v>
      </c>
      <c r="B4361" s="19">
        <v>99859</v>
      </c>
      <c r="C4361" s="20" t="s">
        <v>4459</v>
      </c>
      <c r="D4361" s="19" t="s">
        <v>38</v>
      </c>
      <c r="E4361" s="21" t="str">
        <f t="shared" si="200"/>
        <v>VERIFICAR</v>
      </c>
      <c r="F4361" s="22">
        <v>0.62</v>
      </c>
      <c r="G4361" s="21" t="str">
        <f t="shared" si="201"/>
        <v>VERIFICAR</v>
      </c>
      <c r="H4361" s="22">
        <v>0.64000000000000001</v>
      </c>
      <c r="I4361" s="23" t="str">
        <f t="shared" si="202"/>
        <v xml:space="preserve">COM VALOR</v>
      </c>
      <c r="J4361" s="19"/>
      <c r="L4361" s="21">
        <v>0</v>
      </c>
      <c r="M4361" s="22"/>
      <c r="N4361" s="21">
        <v>0</v>
      </c>
      <c r="O4361" s="22"/>
    </row>
    <row r="4362" ht="38.25">
      <c r="A4362" t="s">
        <v>4454</v>
      </c>
      <c r="B4362" s="19">
        <v>106211</v>
      </c>
      <c r="C4362" s="20" t="s">
        <v>4460</v>
      </c>
      <c r="D4362" s="19" t="s">
        <v>38</v>
      </c>
      <c r="E4362" s="21" t="str">
        <f t="shared" si="200"/>
        <v>VERIFICAR</v>
      </c>
      <c r="F4362" s="22">
        <v>0</v>
      </c>
      <c r="G4362" s="21" t="str">
        <f t="shared" si="201"/>
        <v>VERIFICAR</v>
      </c>
      <c r="H4362" s="22">
        <v>0</v>
      </c>
      <c r="I4362" s="23" t="str">
        <f t="shared" si="202"/>
        <v xml:space="preserve">COM VALOR</v>
      </c>
      <c r="J4362" s="19"/>
      <c r="L4362" s="21">
        <v>0</v>
      </c>
      <c r="M4362" s="22"/>
      <c r="N4362" s="21">
        <v>0</v>
      </c>
      <c r="O4362" s="22"/>
    </row>
    <row r="4363" ht="38.25">
      <c r="A4363" t="s">
        <v>4454</v>
      </c>
      <c r="B4363" s="19">
        <v>106215</v>
      </c>
      <c r="C4363" s="20" t="s">
        <v>4461</v>
      </c>
      <c r="D4363" s="19" t="s">
        <v>38</v>
      </c>
      <c r="E4363" s="21" t="str">
        <f t="shared" ref="E4363:E4426" si="203">IF(L4363=0,"VERIFICAR",L4363)</f>
        <v>VERIFICAR</v>
      </c>
      <c r="F4363" s="22">
        <v>0</v>
      </c>
      <c r="G4363" s="21" t="str">
        <f t="shared" ref="G4363:G4426" si="204">IF(N4363=0,"VERIFICAR",N4363)</f>
        <v>VERIFICAR</v>
      </c>
      <c r="H4363" s="22">
        <v>0</v>
      </c>
      <c r="I4363" s="23" t="str">
        <f t="shared" ref="I4363:I4426" si="205">IF(OR(E4363=0,G4363=0),"SEM VALOR","COM VALOR")</f>
        <v xml:space="preserve">COM VALOR</v>
      </c>
      <c r="J4363" s="19"/>
      <c r="L4363" s="21">
        <v>0</v>
      </c>
      <c r="M4363" s="22"/>
      <c r="N4363" s="21">
        <v>0</v>
      </c>
      <c r="O4363" s="22"/>
    </row>
    <row r="4364" ht="25.5">
      <c r="A4364" t="s">
        <v>4454</v>
      </c>
      <c r="B4364" s="19">
        <v>99857</v>
      </c>
      <c r="C4364" s="20" t="s">
        <v>4462</v>
      </c>
      <c r="D4364" s="19" t="s">
        <v>38</v>
      </c>
      <c r="E4364" s="21">
        <f t="shared" si="203"/>
        <v>72.689999999999998</v>
      </c>
      <c r="F4364" s="22">
        <v>0</v>
      </c>
      <c r="G4364" s="21">
        <f t="shared" si="204"/>
        <v>71.060000000000002</v>
      </c>
      <c r="H4364" s="22">
        <v>0</v>
      </c>
      <c r="I4364" s="23" t="str">
        <f t="shared" si="205"/>
        <v xml:space="preserve">COM VALOR</v>
      </c>
      <c r="J4364" s="19"/>
      <c r="L4364" s="21">
        <v>72.689999999999998</v>
      </c>
      <c r="M4364" s="22">
        <v>0</v>
      </c>
      <c r="N4364" s="21">
        <v>71.060000000000002</v>
      </c>
      <c r="O4364" s="22">
        <v>0</v>
      </c>
    </row>
    <row r="4365" ht="25.5">
      <c r="A4365" t="s">
        <v>4454</v>
      </c>
      <c r="B4365" s="19">
        <v>99855</v>
      </c>
      <c r="C4365" s="20" t="s">
        <v>4463</v>
      </c>
      <c r="D4365" s="19" t="s">
        <v>38</v>
      </c>
      <c r="E4365" s="21">
        <f t="shared" si="203"/>
        <v>85.659999999999997</v>
      </c>
      <c r="F4365" s="22">
        <v>0</v>
      </c>
      <c r="G4365" s="21">
        <f t="shared" si="204"/>
        <v>84.290000000000006</v>
      </c>
      <c r="H4365" s="22">
        <v>0</v>
      </c>
      <c r="I4365" s="23" t="str">
        <f t="shared" si="205"/>
        <v xml:space="preserve">COM VALOR</v>
      </c>
      <c r="J4365" s="19"/>
      <c r="L4365" s="21">
        <v>85.659999999999997</v>
      </c>
      <c r="M4365" s="22">
        <v>0.63</v>
      </c>
      <c r="N4365" s="21">
        <v>84.290000000000006</v>
      </c>
      <c r="O4365" s="22">
        <v>0.64000000000000001</v>
      </c>
    </row>
    <row r="4366" ht="25.5">
      <c r="A4366" t="s">
        <v>4454</v>
      </c>
      <c r="B4366" s="19">
        <v>99856</v>
      </c>
      <c r="C4366" s="20" t="s">
        <v>4464</v>
      </c>
      <c r="D4366" s="19" t="s">
        <v>38</v>
      </c>
      <c r="E4366" s="21" t="str">
        <f t="shared" si="203"/>
        <v>VERIFICAR</v>
      </c>
      <c r="F4366" s="22">
        <v>0</v>
      </c>
      <c r="G4366" s="21" t="str">
        <f t="shared" si="204"/>
        <v>VERIFICAR</v>
      </c>
      <c r="H4366" s="22">
        <v>0</v>
      </c>
      <c r="I4366" s="23" t="str">
        <f t="shared" si="205"/>
        <v xml:space="preserve">COM VALOR</v>
      </c>
      <c r="J4366" s="19"/>
      <c r="L4366" s="21">
        <v>0</v>
      </c>
      <c r="M4366" s="22"/>
      <c r="N4366" s="21">
        <v>0</v>
      </c>
      <c r="O4366" s="22"/>
    </row>
    <row r="4367" ht="38.25">
      <c r="A4367" t="s">
        <v>4454</v>
      </c>
      <c r="B4367" s="19">
        <v>106210</v>
      </c>
      <c r="C4367" s="20" t="s">
        <v>4465</v>
      </c>
      <c r="D4367" s="19" t="s">
        <v>38</v>
      </c>
      <c r="E4367" s="21" t="str">
        <f t="shared" si="203"/>
        <v>VERIFICAR</v>
      </c>
      <c r="F4367" s="22">
        <v>0</v>
      </c>
      <c r="G4367" s="21" t="str">
        <f t="shared" si="204"/>
        <v>VERIFICAR</v>
      </c>
      <c r="H4367" s="22">
        <v>0</v>
      </c>
      <c r="I4367" s="23" t="str">
        <f t="shared" si="205"/>
        <v xml:space="preserve">COM VALOR</v>
      </c>
      <c r="J4367" s="19"/>
      <c r="L4367" s="21">
        <v>0</v>
      </c>
      <c r="M4367" s="22"/>
      <c r="N4367" s="21">
        <v>0</v>
      </c>
      <c r="O4367" s="22"/>
    </row>
    <row r="4368" ht="38.25">
      <c r="A4368" t="s">
        <v>4454</v>
      </c>
      <c r="B4368" s="19">
        <v>106214</v>
      </c>
      <c r="C4368" s="20" t="s">
        <v>4466</v>
      </c>
      <c r="D4368" s="19" t="s">
        <v>38</v>
      </c>
      <c r="E4368" s="21" t="str">
        <f t="shared" si="203"/>
        <v>VERIFICAR</v>
      </c>
      <c r="F4368" s="22">
        <v>0</v>
      </c>
      <c r="G4368" s="21" t="str">
        <f t="shared" si="204"/>
        <v>VERIFICAR</v>
      </c>
      <c r="H4368" s="22">
        <v>0</v>
      </c>
      <c r="I4368" s="23" t="str">
        <f t="shared" si="205"/>
        <v xml:space="preserve">COM VALOR</v>
      </c>
      <c r="J4368" s="19"/>
      <c r="L4368" s="21">
        <v>0</v>
      </c>
      <c r="M4368" s="22"/>
      <c r="N4368" s="21">
        <v>0</v>
      </c>
      <c r="O4368" s="22"/>
    </row>
    <row r="4369" ht="25.5">
      <c r="A4369" t="s">
        <v>4454</v>
      </c>
      <c r="B4369" s="19">
        <v>99862</v>
      </c>
      <c r="C4369" s="20" t="s">
        <v>4467</v>
      </c>
      <c r="D4369" s="19" t="s">
        <v>29</v>
      </c>
      <c r="E4369" s="21">
        <f t="shared" si="203"/>
        <v>580.69000000000005</v>
      </c>
      <c r="F4369" s="22">
        <v>0</v>
      </c>
      <c r="G4369" s="21">
        <f t="shared" si="204"/>
        <v>567.02999999999997</v>
      </c>
      <c r="H4369" s="22">
        <v>0</v>
      </c>
      <c r="I4369" s="23" t="str">
        <f t="shared" si="205"/>
        <v xml:space="preserve">COM VALOR</v>
      </c>
      <c r="J4369" s="19"/>
      <c r="L4369" s="21">
        <v>580.69000000000005</v>
      </c>
      <c r="M4369" s="22">
        <v>0</v>
      </c>
      <c r="N4369" s="21">
        <v>567.02999999999997</v>
      </c>
      <c r="O4369" s="22">
        <v>0</v>
      </c>
    </row>
    <row r="4370" ht="25.5">
      <c r="A4370" t="s">
        <v>4454</v>
      </c>
      <c r="B4370" s="19">
        <v>99861</v>
      </c>
      <c r="C4370" s="20" t="s">
        <v>4468</v>
      </c>
      <c r="D4370" s="19" t="s">
        <v>29</v>
      </c>
      <c r="E4370" s="21">
        <f t="shared" si="203"/>
        <v>499.00999999999999</v>
      </c>
      <c r="F4370" s="22">
        <v>0</v>
      </c>
      <c r="G4370" s="21">
        <f t="shared" si="204"/>
        <v>479.75999999999999</v>
      </c>
      <c r="H4370" s="22">
        <v>0</v>
      </c>
      <c r="I4370" s="23" t="str">
        <f t="shared" si="205"/>
        <v xml:space="preserve">COM VALOR</v>
      </c>
      <c r="J4370" s="19"/>
      <c r="L4370" s="21">
        <v>499.00999999999999</v>
      </c>
      <c r="M4370" s="22">
        <v>0.12</v>
      </c>
      <c r="N4370" s="21">
        <v>479.75999999999999</v>
      </c>
      <c r="O4370" s="22">
        <v>0.13</v>
      </c>
    </row>
    <row r="4371" ht="63.75">
      <c r="A4371" t="s">
        <v>4454</v>
      </c>
      <c r="B4371" s="19">
        <v>106213</v>
      </c>
      <c r="C4371" s="20" t="s">
        <v>4469</v>
      </c>
      <c r="D4371" s="19" t="s">
        <v>38</v>
      </c>
      <c r="E4371" s="21" t="str">
        <f t="shared" si="203"/>
        <v>VERIFICAR</v>
      </c>
      <c r="F4371" s="22">
        <v>0</v>
      </c>
      <c r="G4371" s="21" t="str">
        <f t="shared" si="204"/>
        <v>VERIFICAR</v>
      </c>
      <c r="H4371" s="22">
        <v>0</v>
      </c>
      <c r="I4371" s="23" t="str">
        <f t="shared" si="205"/>
        <v xml:space="preserve">COM VALOR</v>
      </c>
      <c r="J4371" s="19"/>
      <c r="L4371" s="21">
        <v>0</v>
      </c>
      <c r="M4371" s="22"/>
      <c r="N4371" s="21">
        <v>0</v>
      </c>
      <c r="O4371" s="22"/>
    </row>
    <row r="4372" ht="63.75">
      <c r="A4372" t="s">
        <v>4454</v>
      </c>
      <c r="B4372" s="19">
        <v>106220</v>
      </c>
      <c r="C4372" s="20" t="s">
        <v>4470</v>
      </c>
      <c r="D4372" s="19" t="s">
        <v>38</v>
      </c>
      <c r="E4372" s="21" t="str">
        <f t="shared" si="203"/>
        <v>VERIFICAR</v>
      </c>
      <c r="F4372" s="22">
        <v>0</v>
      </c>
      <c r="G4372" s="21" t="str">
        <f t="shared" si="204"/>
        <v>VERIFICAR</v>
      </c>
      <c r="H4372" s="22">
        <v>0</v>
      </c>
      <c r="I4372" s="23" t="str">
        <f t="shared" si="205"/>
        <v xml:space="preserve">COM VALOR</v>
      </c>
      <c r="J4372" s="19"/>
      <c r="L4372" s="21">
        <v>0</v>
      </c>
      <c r="M4372" s="22"/>
      <c r="N4372" s="21">
        <v>0</v>
      </c>
      <c r="O4372" s="22"/>
    </row>
    <row r="4373" ht="63.75">
      <c r="A4373" t="s">
        <v>4454</v>
      </c>
      <c r="B4373" s="19">
        <v>106221</v>
      </c>
      <c r="C4373" s="20" t="s">
        <v>4471</v>
      </c>
      <c r="D4373" s="19" t="s">
        <v>38</v>
      </c>
      <c r="E4373" s="21" t="str">
        <f t="shared" si="203"/>
        <v>VERIFICAR</v>
      </c>
      <c r="F4373" s="22">
        <v>0</v>
      </c>
      <c r="G4373" s="21" t="str">
        <f t="shared" si="204"/>
        <v>VERIFICAR</v>
      </c>
      <c r="H4373" s="22">
        <v>0</v>
      </c>
      <c r="I4373" s="23" t="str">
        <f t="shared" si="205"/>
        <v xml:space="preserve">COM VALOR</v>
      </c>
      <c r="J4373" s="19"/>
      <c r="L4373" s="21">
        <v>0</v>
      </c>
      <c r="M4373" s="22"/>
      <c r="N4373" s="21">
        <v>0</v>
      </c>
      <c r="O4373" s="22"/>
    </row>
    <row r="4374" ht="51">
      <c r="A4374" t="s">
        <v>4454</v>
      </c>
      <c r="B4374" s="19">
        <v>99853</v>
      </c>
      <c r="C4374" s="20" t="s">
        <v>4472</v>
      </c>
      <c r="D4374" s="19" t="s">
        <v>38</v>
      </c>
      <c r="E4374" s="21" t="str">
        <f t="shared" si="203"/>
        <v>VERIFICAR</v>
      </c>
      <c r="F4374" s="22"/>
      <c r="G4374" s="21" t="str">
        <f t="shared" si="204"/>
        <v>VERIFICAR</v>
      </c>
      <c r="H4374" s="22"/>
      <c r="I4374" s="23" t="str">
        <f t="shared" si="205"/>
        <v xml:space="preserve">COM VALOR</v>
      </c>
      <c r="J4374" s="19"/>
      <c r="L4374" s="21">
        <v>0</v>
      </c>
      <c r="M4374" s="22"/>
      <c r="N4374" s="21">
        <v>0</v>
      </c>
      <c r="O4374" s="22"/>
    </row>
    <row r="4375" ht="51">
      <c r="A4375" t="s">
        <v>4454</v>
      </c>
      <c r="B4375" s="19">
        <v>99851</v>
      </c>
      <c r="C4375" s="20" t="s">
        <v>4473</v>
      </c>
      <c r="D4375" s="19" t="s">
        <v>38</v>
      </c>
      <c r="E4375" s="21" t="str">
        <f t="shared" si="203"/>
        <v>VERIFICAR</v>
      </c>
      <c r="F4375" s="22"/>
      <c r="G4375" s="21" t="str">
        <f t="shared" si="204"/>
        <v>VERIFICAR</v>
      </c>
      <c r="H4375" s="22"/>
      <c r="I4375" s="23" t="str">
        <f t="shared" si="205"/>
        <v xml:space="preserve">COM VALOR</v>
      </c>
      <c r="J4375" s="19"/>
      <c r="L4375" s="21">
        <v>0</v>
      </c>
      <c r="M4375" s="22"/>
      <c r="N4375" s="21">
        <v>0</v>
      </c>
      <c r="O4375" s="22"/>
    </row>
    <row r="4376" ht="63.75">
      <c r="A4376" t="s">
        <v>4454</v>
      </c>
      <c r="B4376" s="19">
        <v>99854</v>
      </c>
      <c r="C4376" s="20" t="s">
        <v>4474</v>
      </c>
      <c r="D4376" s="19" t="s">
        <v>38</v>
      </c>
      <c r="E4376" s="21" t="str">
        <f t="shared" si="203"/>
        <v>VERIFICAR</v>
      </c>
      <c r="F4376" s="22"/>
      <c r="G4376" s="21" t="str">
        <f t="shared" si="204"/>
        <v>VERIFICAR</v>
      </c>
      <c r="H4376" s="22"/>
      <c r="I4376" s="23" t="str">
        <f t="shared" si="205"/>
        <v xml:space="preserve">COM VALOR</v>
      </c>
      <c r="J4376" s="19"/>
      <c r="L4376" s="21">
        <v>0</v>
      </c>
      <c r="M4376" s="22"/>
      <c r="N4376" s="21">
        <v>0</v>
      </c>
      <c r="O4376" s="22"/>
    </row>
    <row r="4377" ht="63.75">
      <c r="A4377" t="s">
        <v>4454</v>
      </c>
      <c r="B4377" s="19">
        <v>99852</v>
      </c>
      <c r="C4377" s="20" t="s">
        <v>4475</v>
      </c>
      <c r="D4377" s="19" t="s">
        <v>38</v>
      </c>
      <c r="E4377" s="21" t="str">
        <f t="shared" si="203"/>
        <v>VERIFICAR</v>
      </c>
      <c r="F4377" s="22"/>
      <c r="G4377" s="21" t="str">
        <f t="shared" si="204"/>
        <v>VERIFICAR</v>
      </c>
      <c r="H4377" s="22"/>
      <c r="I4377" s="23" t="str">
        <f t="shared" si="205"/>
        <v xml:space="preserve">COM VALOR</v>
      </c>
      <c r="J4377" s="19"/>
      <c r="L4377" s="21">
        <v>0</v>
      </c>
      <c r="M4377" s="22"/>
      <c r="N4377" s="21">
        <v>0</v>
      </c>
      <c r="O4377" s="22"/>
    </row>
    <row r="4378" ht="51">
      <c r="A4378" t="s">
        <v>4454</v>
      </c>
      <c r="B4378" s="19">
        <v>99844</v>
      </c>
      <c r="C4378" s="20" t="s">
        <v>4476</v>
      </c>
      <c r="D4378" s="19" t="s">
        <v>38</v>
      </c>
      <c r="E4378" s="21" t="str">
        <f t="shared" si="203"/>
        <v>VERIFICAR</v>
      </c>
      <c r="F4378" s="22"/>
      <c r="G4378" s="21" t="str">
        <f t="shared" si="204"/>
        <v>VERIFICAR</v>
      </c>
      <c r="H4378" s="22"/>
      <c r="I4378" s="23" t="str">
        <f t="shared" si="205"/>
        <v xml:space="preserve">COM VALOR</v>
      </c>
      <c r="J4378" s="19"/>
      <c r="L4378" s="21">
        <v>0</v>
      </c>
      <c r="M4378" s="22"/>
      <c r="N4378" s="21">
        <v>0</v>
      </c>
      <c r="O4378" s="22"/>
    </row>
    <row r="4379" ht="51">
      <c r="A4379" t="s">
        <v>4454</v>
      </c>
      <c r="B4379" s="19">
        <v>99842</v>
      </c>
      <c r="C4379" s="20" t="s">
        <v>4477</v>
      </c>
      <c r="D4379" s="19" t="s">
        <v>38</v>
      </c>
      <c r="E4379" s="21">
        <f t="shared" si="203"/>
        <v>501.82999999999998</v>
      </c>
      <c r="F4379" s="22"/>
      <c r="G4379" s="21">
        <f t="shared" si="204"/>
        <v>491.72000000000003</v>
      </c>
      <c r="H4379" s="22"/>
      <c r="I4379" s="23" t="str">
        <f t="shared" si="205"/>
        <v xml:space="preserve">COM VALOR</v>
      </c>
      <c r="J4379" s="19"/>
      <c r="L4379" s="21">
        <v>501.82999999999998</v>
      </c>
      <c r="M4379" s="22">
        <v>0.63</v>
      </c>
      <c r="N4379" s="21">
        <v>491.72000000000003</v>
      </c>
      <c r="O4379" s="22">
        <v>0.64000000000000001</v>
      </c>
    </row>
    <row r="4380" ht="63.75">
      <c r="A4380" t="s">
        <v>4454</v>
      </c>
      <c r="B4380" s="19">
        <v>99845</v>
      </c>
      <c r="C4380" s="20" t="s">
        <v>4478</v>
      </c>
      <c r="D4380" s="19" t="s">
        <v>38</v>
      </c>
      <c r="E4380" s="21" t="str">
        <f t="shared" si="203"/>
        <v>VERIFICAR</v>
      </c>
      <c r="F4380" s="22">
        <v>0</v>
      </c>
      <c r="G4380" s="21" t="str">
        <f t="shared" si="204"/>
        <v>VERIFICAR</v>
      </c>
      <c r="H4380" s="22">
        <v>0</v>
      </c>
      <c r="I4380" s="23" t="str">
        <f t="shared" si="205"/>
        <v xml:space="preserve">COM VALOR</v>
      </c>
      <c r="J4380" s="19"/>
      <c r="L4380" s="21">
        <v>0</v>
      </c>
      <c r="M4380" s="22"/>
      <c r="N4380" s="21">
        <v>0</v>
      </c>
      <c r="O4380" s="22"/>
    </row>
    <row r="4381" ht="51">
      <c r="A4381" t="s">
        <v>4454</v>
      </c>
      <c r="B4381" s="19">
        <v>99843</v>
      </c>
      <c r="C4381" s="20" t="s">
        <v>4479</v>
      </c>
      <c r="D4381" s="19" t="s">
        <v>38</v>
      </c>
      <c r="E4381" s="21" t="str">
        <f t="shared" si="203"/>
        <v>VERIFICAR</v>
      </c>
      <c r="F4381" s="22">
        <v>0.20999999999999999</v>
      </c>
      <c r="G4381" s="21" t="str">
        <f t="shared" si="204"/>
        <v>VERIFICAR</v>
      </c>
      <c r="H4381" s="22">
        <v>0.22</v>
      </c>
      <c r="I4381" s="23" t="str">
        <f t="shared" si="205"/>
        <v xml:space="preserve">COM VALOR</v>
      </c>
      <c r="J4381" s="19"/>
      <c r="L4381" s="21">
        <v>0</v>
      </c>
      <c r="M4381" s="22"/>
      <c r="N4381" s="21">
        <v>0</v>
      </c>
      <c r="O4381" s="22"/>
    </row>
    <row r="4382" ht="51">
      <c r="A4382" t="s">
        <v>4454</v>
      </c>
      <c r="B4382" s="19">
        <v>106217</v>
      </c>
      <c r="C4382" s="20" t="s">
        <v>4480</v>
      </c>
      <c r="D4382" s="19" t="s">
        <v>38</v>
      </c>
      <c r="E4382" s="21" t="str">
        <f t="shared" si="203"/>
        <v>VERIFICAR</v>
      </c>
      <c r="F4382" s="22">
        <v>0</v>
      </c>
      <c r="G4382" s="21" t="str">
        <f t="shared" si="204"/>
        <v>VERIFICAR</v>
      </c>
      <c r="H4382" s="22">
        <v>0</v>
      </c>
      <c r="I4382" s="23" t="str">
        <f t="shared" si="205"/>
        <v xml:space="preserve">COM VALOR</v>
      </c>
      <c r="J4382" s="19"/>
      <c r="L4382" s="21">
        <v>0</v>
      </c>
      <c r="M4382" s="22"/>
      <c r="N4382" s="21">
        <v>0</v>
      </c>
      <c r="O4382" s="22"/>
    </row>
    <row r="4383" ht="25.5">
      <c r="A4383" t="s">
        <v>4454</v>
      </c>
      <c r="B4383" s="19">
        <v>106218</v>
      </c>
      <c r="C4383" s="20" t="s">
        <v>4481</v>
      </c>
      <c r="D4383" s="19" t="s">
        <v>38</v>
      </c>
      <c r="E4383" s="21" t="str">
        <f t="shared" si="203"/>
        <v>VERIFICAR</v>
      </c>
      <c r="F4383" s="22">
        <v>5.0000000000000003e-002</v>
      </c>
      <c r="G4383" s="21" t="str">
        <f t="shared" si="204"/>
        <v>VERIFICAR</v>
      </c>
      <c r="H4383" s="22">
        <v>5.0000000000000003e-002</v>
      </c>
      <c r="I4383" s="23" t="str">
        <f t="shared" si="205"/>
        <v xml:space="preserve">COM VALOR</v>
      </c>
      <c r="J4383" s="19"/>
      <c r="L4383" s="21">
        <v>0</v>
      </c>
      <c r="M4383" s="22"/>
      <c r="N4383" s="21">
        <v>0</v>
      </c>
      <c r="O4383" s="22"/>
    </row>
    <row r="4384" ht="51">
      <c r="A4384" t="s">
        <v>4454</v>
      </c>
      <c r="B4384" s="19">
        <v>106219</v>
      </c>
      <c r="C4384" s="20" t="s">
        <v>4482</v>
      </c>
      <c r="D4384" s="19" t="s">
        <v>38</v>
      </c>
      <c r="E4384" s="21" t="str">
        <f t="shared" si="203"/>
        <v>VERIFICAR</v>
      </c>
      <c r="F4384" s="22">
        <v>0</v>
      </c>
      <c r="G4384" s="21" t="str">
        <f t="shared" si="204"/>
        <v>VERIFICAR</v>
      </c>
      <c r="H4384" s="22">
        <v>0</v>
      </c>
      <c r="I4384" s="23" t="str">
        <f t="shared" si="205"/>
        <v xml:space="preserve">COM VALOR</v>
      </c>
      <c r="J4384" s="19"/>
      <c r="L4384" s="21">
        <v>0</v>
      </c>
      <c r="M4384" s="22"/>
      <c r="N4384" s="21">
        <v>0</v>
      </c>
      <c r="O4384" s="22"/>
    </row>
    <row r="4385" ht="51">
      <c r="A4385" t="s">
        <v>4454</v>
      </c>
      <c r="B4385" s="19">
        <v>99846</v>
      </c>
      <c r="C4385" s="20" t="s">
        <v>4483</v>
      </c>
      <c r="D4385" s="19" t="s">
        <v>38</v>
      </c>
      <c r="E4385" s="21" t="str">
        <f t="shared" si="203"/>
        <v>VERIFICAR</v>
      </c>
      <c r="F4385" s="22">
        <v>0.13</v>
      </c>
      <c r="G4385" s="21" t="str">
        <f t="shared" si="204"/>
        <v>VERIFICAR</v>
      </c>
      <c r="H4385" s="22">
        <v>0.14000000000000001</v>
      </c>
      <c r="I4385" s="23" t="str">
        <f t="shared" si="205"/>
        <v xml:space="preserve">COM VALOR</v>
      </c>
      <c r="J4385" s="19"/>
      <c r="L4385" s="21">
        <v>0</v>
      </c>
      <c r="M4385" s="22"/>
      <c r="N4385" s="21">
        <v>0</v>
      </c>
      <c r="O4385" s="22"/>
    </row>
    <row r="4386" ht="51">
      <c r="A4386" t="s">
        <v>4484</v>
      </c>
      <c r="B4386" s="19">
        <v>94276</v>
      </c>
      <c r="C4386" s="20" t="s">
        <v>4485</v>
      </c>
      <c r="D4386" s="19" t="s">
        <v>38</v>
      </c>
      <c r="E4386" s="21">
        <f t="shared" si="203"/>
        <v>43.090000000000003</v>
      </c>
      <c r="F4386" s="22">
        <v>0</v>
      </c>
      <c r="G4386" s="21">
        <f t="shared" si="204"/>
        <v>42.32</v>
      </c>
      <c r="H4386" s="22">
        <v>0</v>
      </c>
      <c r="I4386" s="23" t="str">
        <f t="shared" si="205"/>
        <v xml:space="preserve">COM VALOR</v>
      </c>
      <c r="J4386" s="19"/>
      <c r="L4386" s="21">
        <v>43.090000000000003</v>
      </c>
      <c r="M4386" s="22">
        <v>0</v>
      </c>
      <c r="N4386" s="21">
        <v>42.32</v>
      </c>
      <c r="O4386" s="22">
        <v>0</v>
      </c>
    </row>
    <row r="4387" ht="51">
      <c r="A4387" t="s">
        <v>4484</v>
      </c>
      <c r="B4387" s="19">
        <v>94274</v>
      </c>
      <c r="C4387" s="20" t="s">
        <v>4486</v>
      </c>
      <c r="D4387" s="19" t="s">
        <v>38</v>
      </c>
      <c r="E4387" s="21">
        <f t="shared" si="203"/>
        <v>47.159999999999997</v>
      </c>
      <c r="F4387" s="22">
        <v>8.0000000000000002e-002</v>
      </c>
      <c r="G4387" s="21">
        <f t="shared" si="204"/>
        <v>46.340000000000003</v>
      </c>
      <c r="H4387" s="22">
        <v>8.9999999999999997e-002</v>
      </c>
      <c r="I4387" s="23" t="str">
        <f t="shared" si="205"/>
        <v xml:space="preserve">COM VALOR</v>
      </c>
      <c r="J4387" s="19"/>
      <c r="L4387" s="21">
        <v>47.159999999999997</v>
      </c>
      <c r="M4387" s="22">
        <v>0</v>
      </c>
      <c r="N4387" s="21">
        <v>46.340000000000003</v>
      </c>
      <c r="O4387" s="22">
        <v>0</v>
      </c>
    </row>
    <row r="4388" ht="63.75">
      <c r="A4388" t="s">
        <v>4484</v>
      </c>
      <c r="B4388" s="19">
        <v>94280</v>
      </c>
      <c r="C4388" s="20" t="s">
        <v>4487</v>
      </c>
      <c r="D4388" s="19" t="s">
        <v>38</v>
      </c>
      <c r="E4388" s="21">
        <f t="shared" si="203"/>
        <v>45.399999999999999</v>
      </c>
      <c r="F4388" s="22">
        <v>0</v>
      </c>
      <c r="G4388" s="21">
        <f t="shared" si="204"/>
        <v>44.689999999999998</v>
      </c>
      <c r="H4388" s="22">
        <v>0</v>
      </c>
      <c r="I4388" s="23" t="str">
        <f t="shared" si="205"/>
        <v xml:space="preserve">COM VALOR</v>
      </c>
      <c r="J4388" s="19"/>
      <c r="L4388" s="21">
        <v>45.399999999999999</v>
      </c>
      <c r="M4388" s="22">
        <v>0</v>
      </c>
      <c r="N4388" s="21">
        <v>44.689999999999998</v>
      </c>
      <c r="O4388" s="22">
        <v>0</v>
      </c>
    </row>
    <row r="4389" ht="51">
      <c r="A4389" t="s">
        <v>4484</v>
      </c>
      <c r="B4389" s="19">
        <v>94278</v>
      </c>
      <c r="C4389" s="20" t="s">
        <v>4488</v>
      </c>
      <c r="D4389" s="19" t="s">
        <v>38</v>
      </c>
      <c r="E4389" s="21">
        <f t="shared" si="203"/>
        <v>38.359999999999999</v>
      </c>
      <c r="F4389" s="22">
        <v>8.9999999999999997e-002</v>
      </c>
      <c r="G4389" s="21">
        <f t="shared" si="204"/>
        <v>37.609999999999999</v>
      </c>
      <c r="H4389" s="22">
        <v>0.10000000000000001</v>
      </c>
      <c r="I4389" s="23" t="str">
        <f t="shared" si="205"/>
        <v xml:space="preserve">COM VALOR</v>
      </c>
      <c r="J4389" s="19"/>
      <c r="L4389" s="21">
        <v>38.359999999999999</v>
      </c>
      <c r="M4389" s="22">
        <v>0</v>
      </c>
      <c r="N4389" s="21">
        <v>37.609999999999999</v>
      </c>
      <c r="O4389" s="22">
        <v>0</v>
      </c>
    </row>
    <row r="4390" ht="51">
      <c r="A4390" t="s">
        <v>4484</v>
      </c>
      <c r="B4390" s="19">
        <v>94275</v>
      </c>
      <c r="C4390" s="20" t="s">
        <v>4489</v>
      </c>
      <c r="D4390" s="19" t="s">
        <v>38</v>
      </c>
      <c r="E4390" s="21">
        <f t="shared" si="203"/>
        <v>40.210000000000001</v>
      </c>
      <c r="F4390" s="22">
        <v>0</v>
      </c>
      <c r="G4390" s="21">
        <f t="shared" si="204"/>
        <v>39.579999999999998</v>
      </c>
      <c r="H4390" s="22">
        <v>0</v>
      </c>
      <c r="I4390" s="23" t="str">
        <f t="shared" si="205"/>
        <v xml:space="preserve">COM VALOR</v>
      </c>
      <c r="J4390" s="19"/>
      <c r="L4390" s="21">
        <v>40.210000000000001</v>
      </c>
      <c r="M4390" s="22">
        <v>0</v>
      </c>
      <c r="N4390" s="21">
        <v>39.579999999999998</v>
      </c>
      <c r="O4390" s="22">
        <v>0</v>
      </c>
    </row>
    <row r="4391" ht="51">
      <c r="A4391" t="s">
        <v>4484</v>
      </c>
      <c r="B4391" s="19">
        <v>94273</v>
      </c>
      <c r="C4391" s="20" t="s">
        <v>4490</v>
      </c>
      <c r="D4391" s="19" t="s">
        <v>38</v>
      </c>
      <c r="E4391" s="21">
        <f t="shared" si="203"/>
        <v>44.270000000000003</v>
      </c>
      <c r="F4391" s="22">
        <v>0.23999999999999999</v>
      </c>
      <c r="G4391" s="21">
        <f t="shared" si="204"/>
        <v>43.600000000000001</v>
      </c>
      <c r="H4391" s="22">
        <v>0.25</v>
      </c>
      <c r="I4391" s="23" t="str">
        <f t="shared" si="205"/>
        <v xml:space="preserve">COM VALOR</v>
      </c>
      <c r="J4391" s="19"/>
      <c r="L4391" s="21">
        <v>44.270000000000003</v>
      </c>
      <c r="M4391" s="22">
        <v>0</v>
      </c>
      <c r="N4391" s="21">
        <v>43.600000000000001</v>
      </c>
      <c r="O4391" s="22">
        <v>0</v>
      </c>
    </row>
    <row r="4392" ht="51">
      <c r="A4392" t="s">
        <v>4484</v>
      </c>
      <c r="B4392" s="19">
        <v>94279</v>
      </c>
      <c r="C4392" s="20" t="s">
        <v>4491</v>
      </c>
      <c r="D4392" s="19" t="s">
        <v>38</v>
      </c>
      <c r="E4392" s="21">
        <f t="shared" si="203"/>
        <v>42.520000000000003</v>
      </c>
      <c r="F4392" s="22">
        <v>0</v>
      </c>
      <c r="G4392" s="21">
        <f t="shared" si="204"/>
        <v>41.969999999999999</v>
      </c>
      <c r="H4392" s="22">
        <v>0</v>
      </c>
      <c r="I4392" s="23" t="str">
        <f t="shared" si="205"/>
        <v xml:space="preserve">COM VALOR</v>
      </c>
      <c r="J4392" s="19"/>
      <c r="L4392" s="21">
        <v>42.520000000000003</v>
      </c>
      <c r="M4392" s="22">
        <v>0</v>
      </c>
      <c r="N4392" s="21">
        <v>41.969999999999999</v>
      </c>
      <c r="O4392" s="22">
        <v>0</v>
      </c>
    </row>
    <row r="4393" ht="51">
      <c r="A4393" t="s">
        <v>4484</v>
      </c>
      <c r="B4393" s="19">
        <v>94277</v>
      </c>
      <c r="C4393" s="20" t="s">
        <v>4492</v>
      </c>
      <c r="D4393" s="19" t="s">
        <v>38</v>
      </c>
      <c r="E4393" s="21">
        <f t="shared" si="203"/>
        <v>35.469999999999999</v>
      </c>
      <c r="F4393" s="22">
        <v>0.14999999999999999</v>
      </c>
      <c r="G4393" s="21">
        <f t="shared" si="204"/>
        <v>34.880000000000003</v>
      </c>
      <c r="H4393" s="22">
        <v>0.16</v>
      </c>
      <c r="I4393" s="23" t="str">
        <f t="shared" si="205"/>
        <v xml:space="preserve">COM VALOR</v>
      </c>
      <c r="J4393" s="19"/>
      <c r="L4393" s="21">
        <v>35.469999999999999</v>
      </c>
      <c r="M4393" s="22">
        <v>0</v>
      </c>
      <c r="N4393" s="21">
        <v>34.880000000000003</v>
      </c>
      <c r="O4393" s="22">
        <v>0</v>
      </c>
    </row>
    <row r="4394" ht="63.75">
      <c r="A4394" t="s">
        <v>4484</v>
      </c>
      <c r="B4394" s="19">
        <v>104930</v>
      </c>
      <c r="C4394" s="20" t="s">
        <v>4493</v>
      </c>
      <c r="D4394" s="19" t="s">
        <v>38</v>
      </c>
      <c r="E4394" s="21" t="str">
        <f t="shared" si="203"/>
        <v>VERIFICAR</v>
      </c>
      <c r="F4394" s="22">
        <v>0</v>
      </c>
      <c r="G4394" s="21" t="str">
        <f t="shared" si="204"/>
        <v>VERIFICAR</v>
      </c>
      <c r="H4394" s="22">
        <v>0</v>
      </c>
      <c r="I4394" s="23" t="str">
        <f t="shared" si="205"/>
        <v xml:space="preserve">COM VALOR</v>
      </c>
      <c r="J4394" s="19"/>
      <c r="L4394" s="21">
        <v>0</v>
      </c>
      <c r="M4394" s="22"/>
      <c r="N4394" s="21">
        <v>0</v>
      </c>
      <c r="O4394" s="22"/>
    </row>
    <row r="4395" ht="63.75">
      <c r="A4395" t="s">
        <v>4484</v>
      </c>
      <c r="B4395" s="19">
        <v>104931</v>
      </c>
      <c r="C4395" s="20" t="s">
        <v>4494</v>
      </c>
      <c r="D4395" s="19" t="s">
        <v>38</v>
      </c>
      <c r="E4395" s="21" t="str">
        <f t="shared" si="203"/>
        <v>VERIFICAR</v>
      </c>
      <c r="F4395" s="22">
        <v>0.11</v>
      </c>
      <c r="G4395" s="21" t="str">
        <f t="shared" si="204"/>
        <v>VERIFICAR</v>
      </c>
      <c r="H4395" s="22">
        <v>0.11</v>
      </c>
      <c r="I4395" s="23" t="str">
        <f t="shared" si="205"/>
        <v xml:space="preserve">COM VALOR</v>
      </c>
      <c r="J4395" s="19"/>
      <c r="L4395" s="21">
        <v>0</v>
      </c>
      <c r="M4395" s="22"/>
      <c r="N4395" s="21">
        <v>0</v>
      </c>
      <c r="O4395" s="22"/>
    </row>
    <row r="4396" ht="25.5">
      <c r="A4396" t="s">
        <v>4484</v>
      </c>
      <c r="B4396" s="19">
        <v>94294</v>
      </c>
      <c r="C4396" s="20" t="s">
        <v>4495</v>
      </c>
      <c r="D4396" s="19" t="s">
        <v>38</v>
      </c>
      <c r="E4396" s="21">
        <f t="shared" si="203"/>
        <v>8.0600000000000005</v>
      </c>
      <c r="F4396" s="22">
        <v>0</v>
      </c>
      <c r="G4396" s="21">
        <f t="shared" si="204"/>
        <v>7.9199999999999999</v>
      </c>
      <c r="H4396" s="22">
        <v>0</v>
      </c>
      <c r="I4396" s="23" t="str">
        <f t="shared" si="205"/>
        <v xml:space="preserve">COM VALOR</v>
      </c>
      <c r="J4396" s="19"/>
      <c r="L4396" s="21">
        <v>8.0600000000000005</v>
      </c>
      <c r="M4396" s="22">
        <v>0</v>
      </c>
      <c r="N4396" s="21">
        <v>7.9199999999999999</v>
      </c>
      <c r="O4396" s="22">
        <v>0</v>
      </c>
    </row>
    <row r="4397" ht="25.5">
      <c r="A4397" t="s">
        <v>4484</v>
      </c>
      <c r="B4397" s="19">
        <v>94288</v>
      </c>
      <c r="C4397" s="20" t="s">
        <v>4496</v>
      </c>
      <c r="D4397" s="19" t="s">
        <v>38</v>
      </c>
      <c r="E4397" s="21">
        <f t="shared" si="203"/>
        <v>41.909999999999997</v>
      </c>
      <c r="F4397" s="22">
        <v>0</v>
      </c>
      <c r="G4397" s="21">
        <f t="shared" si="204"/>
        <v>40.869999999999997</v>
      </c>
      <c r="H4397" s="22">
        <v>0</v>
      </c>
      <c r="I4397" s="23" t="str">
        <f t="shared" si="205"/>
        <v xml:space="preserve">COM VALOR</v>
      </c>
      <c r="J4397" s="19"/>
      <c r="L4397" s="21">
        <v>41.909999999999997</v>
      </c>
      <c r="M4397" s="22">
        <v>0</v>
      </c>
      <c r="N4397" s="21">
        <v>40.869999999999997</v>
      </c>
      <c r="O4397" s="22">
        <v>0</v>
      </c>
    </row>
    <row r="4398" ht="25.5">
      <c r="A4398" t="s">
        <v>4484</v>
      </c>
      <c r="B4398" s="19">
        <v>94282</v>
      </c>
      <c r="C4398" s="20" t="s">
        <v>4497</v>
      </c>
      <c r="D4398" s="19" t="s">
        <v>38</v>
      </c>
      <c r="E4398" s="21">
        <f t="shared" si="203"/>
        <v>54.600000000000001</v>
      </c>
      <c r="F4398" s="22">
        <v>0</v>
      </c>
      <c r="G4398" s="21">
        <f t="shared" si="204"/>
        <v>53.469999999999999</v>
      </c>
      <c r="H4398" s="22">
        <v>0</v>
      </c>
      <c r="I4398" s="23" t="str">
        <f t="shared" si="205"/>
        <v xml:space="preserve">COM VALOR</v>
      </c>
      <c r="J4398" s="19"/>
      <c r="L4398" s="21">
        <v>54.600000000000001</v>
      </c>
      <c r="M4398" s="22">
        <v>0</v>
      </c>
      <c r="N4398" s="21">
        <v>53.469999999999999</v>
      </c>
      <c r="O4398" s="22">
        <v>0</v>
      </c>
    </row>
    <row r="4399" ht="25.5">
      <c r="A4399" t="s">
        <v>4484</v>
      </c>
      <c r="B4399" s="19">
        <v>94290</v>
      </c>
      <c r="C4399" s="20" t="s">
        <v>4498</v>
      </c>
      <c r="D4399" s="19" t="s">
        <v>38</v>
      </c>
      <c r="E4399" s="21">
        <f t="shared" si="203"/>
        <v>53.039999999999999</v>
      </c>
      <c r="F4399" s="22">
        <v>0</v>
      </c>
      <c r="G4399" s="21">
        <f t="shared" si="204"/>
        <v>51.990000000000002</v>
      </c>
      <c r="H4399" s="22">
        <v>0</v>
      </c>
      <c r="I4399" s="23" t="str">
        <f t="shared" si="205"/>
        <v xml:space="preserve">COM VALOR</v>
      </c>
      <c r="J4399" s="19"/>
      <c r="L4399" s="21">
        <v>53.039999999999999</v>
      </c>
      <c r="M4399" s="22">
        <v>0</v>
      </c>
      <c r="N4399" s="21">
        <v>51.990000000000002</v>
      </c>
      <c r="O4399" s="22">
        <v>0</v>
      </c>
    </row>
    <row r="4400" ht="25.5">
      <c r="A4400" t="s">
        <v>4484</v>
      </c>
      <c r="B4400" s="19">
        <v>94284</v>
      </c>
      <c r="C4400" s="20" t="s">
        <v>4499</v>
      </c>
      <c r="D4400" s="19" t="s">
        <v>38</v>
      </c>
      <c r="E4400" s="21">
        <f t="shared" si="203"/>
        <v>72.180000000000007</v>
      </c>
      <c r="F4400" s="22">
        <v>0</v>
      </c>
      <c r="G4400" s="21">
        <f t="shared" si="204"/>
        <v>70.980000000000004</v>
      </c>
      <c r="H4400" s="22">
        <v>0</v>
      </c>
      <c r="I4400" s="23" t="str">
        <f t="shared" si="205"/>
        <v xml:space="preserve">COM VALOR</v>
      </c>
      <c r="J4400" s="19"/>
      <c r="L4400" s="21">
        <v>72.180000000000007</v>
      </c>
      <c r="M4400" s="22">
        <v>0</v>
      </c>
      <c r="N4400" s="21">
        <v>70.980000000000004</v>
      </c>
      <c r="O4400" s="22">
        <v>0</v>
      </c>
    </row>
    <row r="4401" ht="25.5">
      <c r="A4401" t="s">
        <v>4484</v>
      </c>
      <c r="B4401" s="19">
        <v>94292</v>
      </c>
      <c r="C4401" s="20" t="s">
        <v>4500</v>
      </c>
      <c r="D4401" s="19" t="s">
        <v>38</v>
      </c>
      <c r="E4401" s="21">
        <f t="shared" si="203"/>
        <v>64.689999999999998</v>
      </c>
      <c r="F4401" s="22">
        <v>0</v>
      </c>
      <c r="G4401" s="21">
        <f t="shared" si="204"/>
        <v>63.590000000000003</v>
      </c>
      <c r="H4401" s="22">
        <v>0</v>
      </c>
      <c r="I4401" s="23" t="str">
        <f t="shared" si="205"/>
        <v xml:space="preserve">COM VALOR</v>
      </c>
      <c r="J4401" s="19"/>
      <c r="L4401" s="21">
        <v>64.689999999999998</v>
      </c>
      <c r="M4401" s="22">
        <v>0</v>
      </c>
      <c r="N4401" s="21">
        <v>63.590000000000003</v>
      </c>
      <c r="O4401" s="22">
        <v>0</v>
      </c>
    </row>
    <row r="4402" ht="25.5">
      <c r="A4402" t="s">
        <v>4484</v>
      </c>
      <c r="B4402" s="19">
        <v>94286</v>
      </c>
      <c r="C4402" s="20" t="s">
        <v>4501</v>
      </c>
      <c r="D4402" s="19" t="s">
        <v>38</v>
      </c>
      <c r="E4402" s="21">
        <f t="shared" si="203"/>
        <v>92.140000000000001</v>
      </c>
      <c r="F4402" s="22">
        <v>0</v>
      </c>
      <c r="G4402" s="21">
        <f t="shared" si="204"/>
        <v>90.709999999999994</v>
      </c>
      <c r="H4402" s="22">
        <v>0</v>
      </c>
      <c r="I4402" s="23" t="str">
        <f t="shared" si="205"/>
        <v xml:space="preserve">COM VALOR</v>
      </c>
      <c r="J4402" s="19"/>
      <c r="L4402" s="21">
        <v>92.140000000000001</v>
      </c>
      <c r="M4402" s="22">
        <v>0</v>
      </c>
      <c r="N4402" s="21">
        <v>90.709999999999994</v>
      </c>
      <c r="O4402" s="22">
        <v>0</v>
      </c>
    </row>
    <row r="4403" ht="25.5">
      <c r="A4403" t="s">
        <v>4484</v>
      </c>
      <c r="B4403" s="19">
        <v>94287</v>
      </c>
      <c r="C4403" s="20" t="s">
        <v>4502</v>
      </c>
      <c r="D4403" s="19" t="s">
        <v>38</v>
      </c>
      <c r="E4403" s="21">
        <f t="shared" si="203"/>
        <v>35.119999999999997</v>
      </c>
      <c r="F4403" s="22">
        <v>0</v>
      </c>
      <c r="G4403" s="21">
        <f t="shared" si="204"/>
        <v>34.460000000000001</v>
      </c>
      <c r="H4403" s="22">
        <v>0</v>
      </c>
      <c r="I4403" s="23" t="str">
        <f t="shared" si="205"/>
        <v xml:space="preserve">COM VALOR</v>
      </c>
      <c r="J4403" s="19"/>
      <c r="L4403" s="21">
        <v>35.119999999999997</v>
      </c>
      <c r="M4403" s="22">
        <v>0</v>
      </c>
      <c r="N4403" s="21">
        <v>34.460000000000001</v>
      </c>
      <c r="O4403" s="22">
        <v>0</v>
      </c>
    </row>
    <row r="4404" ht="25.5">
      <c r="A4404" t="s">
        <v>4484</v>
      </c>
      <c r="B4404" s="19">
        <v>94281</v>
      </c>
      <c r="C4404" s="20" t="s">
        <v>4503</v>
      </c>
      <c r="D4404" s="19" t="s">
        <v>38</v>
      </c>
      <c r="E4404" s="21">
        <f t="shared" si="203"/>
        <v>46.969999999999999</v>
      </c>
      <c r="F4404" s="22">
        <v>0</v>
      </c>
      <c r="G4404" s="21">
        <f t="shared" si="204"/>
        <v>46.259999999999998</v>
      </c>
      <c r="H4404" s="22">
        <v>0</v>
      </c>
      <c r="I4404" s="23" t="str">
        <f t="shared" si="205"/>
        <v xml:space="preserve">COM VALOR</v>
      </c>
      <c r="J4404" s="19"/>
      <c r="L4404" s="21">
        <v>46.969999999999999</v>
      </c>
      <c r="M4404" s="22">
        <v>0</v>
      </c>
      <c r="N4404" s="21">
        <v>46.259999999999998</v>
      </c>
      <c r="O4404" s="22">
        <v>0</v>
      </c>
    </row>
    <row r="4405" ht="25.5">
      <c r="A4405" t="s">
        <v>4484</v>
      </c>
      <c r="B4405" s="19">
        <v>94289</v>
      </c>
      <c r="C4405" s="20" t="s">
        <v>4504</v>
      </c>
      <c r="D4405" s="19" t="s">
        <v>38</v>
      </c>
      <c r="E4405" s="21">
        <f t="shared" si="203"/>
        <v>46.25</v>
      </c>
      <c r="F4405" s="22">
        <v>0</v>
      </c>
      <c r="G4405" s="21">
        <f t="shared" si="204"/>
        <v>45.57</v>
      </c>
      <c r="H4405" s="22">
        <v>0</v>
      </c>
      <c r="I4405" s="23" t="str">
        <f t="shared" si="205"/>
        <v xml:space="preserve">COM VALOR</v>
      </c>
      <c r="J4405" s="19"/>
      <c r="L4405" s="21">
        <v>46.25</v>
      </c>
      <c r="M4405" s="22">
        <v>0</v>
      </c>
      <c r="N4405" s="21">
        <v>45.57</v>
      </c>
      <c r="O4405" s="22">
        <v>0</v>
      </c>
    </row>
    <row r="4406" ht="25.5">
      <c r="A4406" t="s">
        <v>4484</v>
      </c>
      <c r="B4406" s="19">
        <v>94283</v>
      </c>
      <c r="C4406" s="20" t="s">
        <v>4505</v>
      </c>
      <c r="D4406" s="19" t="s">
        <v>38</v>
      </c>
      <c r="E4406" s="21">
        <f t="shared" si="203"/>
        <v>64.549999999999997</v>
      </c>
      <c r="F4406" s="22">
        <v>0</v>
      </c>
      <c r="G4406" s="21">
        <f t="shared" si="204"/>
        <v>63.759999999999998</v>
      </c>
      <c r="H4406" s="22">
        <v>0</v>
      </c>
      <c r="I4406" s="23" t="str">
        <f t="shared" si="205"/>
        <v xml:space="preserve">COM VALOR</v>
      </c>
      <c r="J4406" s="19"/>
      <c r="L4406" s="21">
        <v>64.549999999999997</v>
      </c>
      <c r="M4406" s="22">
        <v>0</v>
      </c>
      <c r="N4406" s="21">
        <v>63.759999999999998</v>
      </c>
      <c r="O4406" s="22">
        <v>0</v>
      </c>
    </row>
    <row r="4407" ht="25.5">
      <c r="A4407" t="s">
        <v>4484</v>
      </c>
      <c r="B4407" s="19">
        <v>94291</v>
      </c>
      <c r="C4407" s="20" t="s">
        <v>4506</v>
      </c>
      <c r="D4407" s="19" t="s">
        <v>38</v>
      </c>
      <c r="E4407" s="21">
        <f t="shared" si="203"/>
        <v>57.890000000000001</v>
      </c>
      <c r="F4407" s="22">
        <v>0</v>
      </c>
      <c r="G4407" s="21">
        <f t="shared" si="204"/>
        <v>57.18</v>
      </c>
      <c r="H4407" s="22">
        <v>0</v>
      </c>
      <c r="I4407" s="23" t="str">
        <f t="shared" si="205"/>
        <v xml:space="preserve">COM VALOR</v>
      </c>
      <c r="J4407" s="19"/>
      <c r="L4407" s="21">
        <v>57.890000000000001</v>
      </c>
      <c r="M4407" s="22">
        <v>0</v>
      </c>
      <c r="N4407" s="21">
        <v>57.18</v>
      </c>
      <c r="O4407" s="22">
        <v>0</v>
      </c>
    </row>
    <row r="4408" ht="25.5">
      <c r="A4408" t="s">
        <v>4484</v>
      </c>
      <c r="B4408" s="19">
        <v>94285</v>
      </c>
      <c r="C4408" s="20" t="s">
        <v>4507</v>
      </c>
      <c r="D4408" s="19" t="s">
        <v>38</v>
      </c>
      <c r="E4408" s="21">
        <f t="shared" si="203"/>
        <v>84.5</v>
      </c>
      <c r="F4408" s="22">
        <v>0</v>
      </c>
      <c r="G4408" s="21">
        <f t="shared" si="204"/>
        <v>83.5</v>
      </c>
      <c r="H4408" s="22">
        <v>0</v>
      </c>
      <c r="I4408" s="23" t="str">
        <f t="shared" si="205"/>
        <v xml:space="preserve">COM VALOR</v>
      </c>
      <c r="J4408" s="19"/>
      <c r="L4408" s="21">
        <v>84.5</v>
      </c>
      <c r="M4408" s="22">
        <v>0</v>
      </c>
      <c r="N4408" s="21">
        <v>83.5</v>
      </c>
      <c r="O4408" s="22">
        <v>0</v>
      </c>
    </row>
    <row r="4409" ht="25.5">
      <c r="A4409" t="s">
        <v>4484</v>
      </c>
      <c r="B4409" s="19">
        <v>94293</v>
      </c>
      <c r="C4409" s="20" t="s">
        <v>4508</v>
      </c>
      <c r="D4409" s="19" t="s">
        <v>38</v>
      </c>
      <c r="E4409" s="21">
        <f t="shared" si="203"/>
        <v>189</v>
      </c>
      <c r="F4409" s="22">
        <v>0</v>
      </c>
      <c r="G4409" s="21">
        <f t="shared" si="204"/>
        <v>186.80000000000001</v>
      </c>
      <c r="H4409" s="22">
        <v>0</v>
      </c>
      <c r="I4409" s="23" t="str">
        <f t="shared" si="205"/>
        <v xml:space="preserve">COM VALOR</v>
      </c>
      <c r="J4409" s="19"/>
      <c r="L4409" s="21">
        <v>189</v>
      </c>
      <c r="M4409" s="22">
        <v>0</v>
      </c>
      <c r="N4409" s="21">
        <v>186.80000000000001</v>
      </c>
      <c r="O4409" s="22">
        <v>0</v>
      </c>
    </row>
    <row r="4410" ht="25.5">
      <c r="A4410" t="s">
        <v>4484</v>
      </c>
      <c r="B4410" s="19">
        <v>94264</v>
      </c>
      <c r="C4410" s="20" t="s">
        <v>4509</v>
      </c>
      <c r="D4410" s="19" t="s">
        <v>38</v>
      </c>
      <c r="E4410" s="21">
        <f t="shared" si="203"/>
        <v>41.57</v>
      </c>
      <c r="F4410" s="22">
        <v>0</v>
      </c>
      <c r="G4410" s="21">
        <f t="shared" si="204"/>
        <v>40.380000000000003</v>
      </c>
      <c r="H4410" s="22">
        <v>0</v>
      </c>
      <c r="I4410" s="23" t="str">
        <f t="shared" si="205"/>
        <v xml:space="preserve">COM VALOR</v>
      </c>
      <c r="J4410" s="19"/>
      <c r="L4410" s="21">
        <v>41.57</v>
      </c>
      <c r="M4410" s="22">
        <v>2.e-002</v>
      </c>
      <c r="N4410" s="21">
        <v>40.380000000000003</v>
      </c>
      <c r="O4410" s="22">
        <v>2.e-002</v>
      </c>
    </row>
    <row r="4411" ht="25.5">
      <c r="A4411" t="s">
        <v>4484</v>
      </c>
      <c r="B4411" s="19">
        <v>94266</v>
      </c>
      <c r="C4411" s="20" t="s">
        <v>4510</v>
      </c>
      <c r="D4411" s="19" t="s">
        <v>38</v>
      </c>
      <c r="E4411" s="21">
        <f t="shared" si="203"/>
        <v>56.200000000000003</v>
      </c>
      <c r="F4411" s="22">
        <v>0</v>
      </c>
      <c r="G4411" s="21">
        <f t="shared" si="204"/>
        <v>54.899999999999999</v>
      </c>
      <c r="H4411" s="22">
        <v>0</v>
      </c>
      <c r="I4411" s="23" t="str">
        <f t="shared" si="205"/>
        <v xml:space="preserve">COM VALOR</v>
      </c>
      <c r="J4411" s="19"/>
      <c r="L4411" s="21">
        <v>56.200000000000003</v>
      </c>
      <c r="M4411" s="22">
        <v>2.e-002</v>
      </c>
      <c r="N4411" s="21">
        <v>54.899999999999999</v>
      </c>
      <c r="O4411" s="22">
        <v>2.e-002</v>
      </c>
    </row>
    <row r="4412" ht="25.5">
      <c r="A4412" t="s">
        <v>4484</v>
      </c>
      <c r="B4412" s="19">
        <v>94263</v>
      </c>
      <c r="C4412" s="20" t="s">
        <v>4511</v>
      </c>
      <c r="D4412" s="19" t="s">
        <v>38</v>
      </c>
      <c r="E4412" s="21">
        <f t="shared" si="203"/>
        <v>36.829999999999998</v>
      </c>
      <c r="F4412" s="22">
        <v>0</v>
      </c>
      <c r="G4412" s="21">
        <f t="shared" si="204"/>
        <v>35.869999999999997</v>
      </c>
      <c r="H4412" s="22">
        <v>0</v>
      </c>
      <c r="I4412" s="23" t="str">
        <f t="shared" si="205"/>
        <v xml:space="preserve">COM VALOR</v>
      </c>
      <c r="J4412" s="19"/>
      <c r="L4412" s="21">
        <v>36.829999999999998</v>
      </c>
      <c r="M4412" s="22">
        <v>1.e-002</v>
      </c>
      <c r="N4412" s="21">
        <v>35.869999999999997</v>
      </c>
      <c r="O4412" s="22">
        <v>1.e-002</v>
      </c>
    </row>
    <row r="4413" ht="25.5">
      <c r="A4413" t="s">
        <v>4484</v>
      </c>
      <c r="B4413" s="19">
        <v>94265</v>
      </c>
      <c r="C4413" s="20" t="s">
        <v>4512</v>
      </c>
      <c r="D4413" s="19" t="s">
        <v>38</v>
      </c>
      <c r="E4413" s="21">
        <f t="shared" si="203"/>
        <v>50.770000000000003</v>
      </c>
      <c r="F4413" s="22">
        <v>0</v>
      </c>
      <c r="G4413" s="21">
        <f t="shared" si="204"/>
        <v>49.740000000000002</v>
      </c>
      <c r="H4413" s="22">
        <v>0</v>
      </c>
      <c r="I4413" s="23" t="str">
        <f t="shared" si="205"/>
        <v xml:space="preserve">COM VALOR</v>
      </c>
      <c r="J4413" s="19"/>
      <c r="L4413" s="21">
        <v>50.770000000000003</v>
      </c>
      <c r="M4413" s="22">
        <v>1.e-002</v>
      </c>
      <c r="N4413" s="21">
        <v>49.740000000000002</v>
      </c>
      <c r="O4413" s="22">
        <v>1.e-002</v>
      </c>
    </row>
    <row r="4414" ht="38.25">
      <c r="A4414" t="s">
        <v>4484</v>
      </c>
      <c r="B4414" s="19">
        <v>94268</v>
      </c>
      <c r="C4414" s="20" t="s">
        <v>4513</v>
      </c>
      <c r="D4414" s="19" t="s">
        <v>38</v>
      </c>
      <c r="E4414" s="21">
        <f t="shared" si="203"/>
        <v>66.959999999999994</v>
      </c>
      <c r="F4414" s="22">
        <v>0</v>
      </c>
      <c r="G4414" s="21">
        <f t="shared" si="204"/>
        <v>65.549999999999997</v>
      </c>
      <c r="H4414" s="22">
        <v>0</v>
      </c>
      <c r="I4414" s="23" t="str">
        <f t="shared" si="205"/>
        <v xml:space="preserve">COM VALOR</v>
      </c>
      <c r="J4414" s="19"/>
      <c r="L4414" s="21">
        <v>66.959999999999994</v>
      </c>
      <c r="M4414" s="22">
        <v>1.e-002</v>
      </c>
      <c r="N4414" s="21">
        <v>65.549999999999997</v>
      </c>
      <c r="O4414" s="22">
        <v>2.e-002</v>
      </c>
    </row>
    <row r="4415" ht="38.25">
      <c r="A4415" t="s">
        <v>4484</v>
      </c>
      <c r="B4415" s="19">
        <v>94270</v>
      </c>
      <c r="C4415" s="20" t="s">
        <v>4514</v>
      </c>
      <c r="D4415" s="19" t="s">
        <v>38</v>
      </c>
      <c r="E4415" s="21">
        <f t="shared" si="203"/>
        <v>96.459999999999994</v>
      </c>
      <c r="F4415" s="22">
        <v>0</v>
      </c>
      <c r="G4415" s="21">
        <f t="shared" si="204"/>
        <v>94.700000000000003</v>
      </c>
      <c r="H4415" s="22">
        <v>0</v>
      </c>
      <c r="I4415" s="23" t="str">
        <f t="shared" si="205"/>
        <v xml:space="preserve">COM VALOR</v>
      </c>
      <c r="J4415" s="19"/>
      <c r="L4415" s="21">
        <v>96.459999999999994</v>
      </c>
      <c r="M4415" s="22">
        <v>1.e-002</v>
      </c>
      <c r="N4415" s="21">
        <v>94.700000000000003</v>
      </c>
      <c r="O4415" s="22">
        <v>1.e-002</v>
      </c>
    </row>
    <row r="4416" ht="38.25">
      <c r="A4416" t="s">
        <v>4484</v>
      </c>
      <c r="B4416" s="19">
        <v>94272</v>
      </c>
      <c r="C4416" s="20" t="s">
        <v>4515</v>
      </c>
      <c r="D4416" s="19" t="s">
        <v>38</v>
      </c>
      <c r="E4416" s="21">
        <f t="shared" si="203"/>
        <v>118.93000000000001</v>
      </c>
      <c r="F4416" s="22">
        <v>0</v>
      </c>
      <c r="G4416" s="21">
        <f t="shared" si="204"/>
        <v>116.77</v>
      </c>
      <c r="H4416" s="22">
        <v>0</v>
      </c>
      <c r="I4416" s="23" t="str">
        <f t="shared" si="205"/>
        <v xml:space="preserve">COM VALOR</v>
      </c>
      <c r="J4416" s="19"/>
      <c r="L4416" s="21">
        <v>118.93000000000001</v>
      </c>
      <c r="M4416" s="22">
        <v>2.e-002</v>
      </c>
      <c r="N4416" s="21">
        <v>116.77</v>
      </c>
      <c r="O4416" s="22">
        <v>2.e-002</v>
      </c>
    </row>
    <row r="4417" ht="38.25">
      <c r="A4417" t="s">
        <v>4484</v>
      </c>
      <c r="B4417" s="19">
        <v>94267</v>
      </c>
      <c r="C4417" s="20" t="s">
        <v>4516</v>
      </c>
      <c r="D4417" s="19" t="s">
        <v>38</v>
      </c>
      <c r="E4417" s="21">
        <f t="shared" si="203"/>
        <v>60.969999999999999</v>
      </c>
      <c r="F4417" s="22">
        <v>0</v>
      </c>
      <c r="G4417" s="21">
        <f t="shared" si="204"/>
        <v>59.880000000000003</v>
      </c>
      <c r="H4417" s="22">
        <v>0</v>
      </c>
      <c r="I4417" s="23" t="str">
        <f t="shared" si="205"/>
        <v xml:space="preserve">COM VALOR</v>
      </c>
      <c r="J4417" s="19"/>
      <c r="L4417" s="21">
        <v>60.969999999999999</v>
      </c>
      <c r="M4417" s="22">
        <v>1.e-002</v>
      </c>
      <c r="N4417" s="21">
        <v>59.880000000000003</v>
      </c>
      <c r="O4417" s="22">
        <v>1.e-002</v>
      </c>
    </row>
    <row r="4418" ht="38.25">
      <c r="A4418" t="s">
        <v>4484</v>
      </c>
      <c r="B4418" s="19">
        <v>94269</v>
      </c>
      <c r="C4418" s="20" t="s">
        <v>4517</v>
      </c>
      <c r="D4418" s="19" t="s">
        <v>38</v>
      </c>
      <c r="E4418" s="21">
        <f t="shared" si="203"/>
        <v>88.129999999999995</v>
      </c>
      <c r="F4418" s="22">
        <v>0</v>
      </c>
      <c r="G4418" s="21">
        <f t="shared" si="204"/>
        <v>86.799999999999997</v>
      </c>
      <c r="H4418" s="22">
        <v>0</v>
      </c>
      <c r="I4418" s="23" t="str">
        <f t="shared" si="205"/>
        <v xml:space="preserve">COM VALOR</v>
      </c>
      <c r="J4418" s="19"/>
      <c r="L4418" s="21">
        <v>88.129999999999995</v>
      </c>
      <c r="M4418" s="22">
        <v>1.e-002</v>
      </c>
      <c r="N4418" s="21">
        <v>86.799999999999997</v>
      </c>
      <c r="O4418" s="22">
        <v>1.e-002</v>
      </c>
    </row>
    <row r="4419" ht="38.25">
      <c r="A4419" t="s">
        <v>4484</v>
      </c>
      <c r="B4419" s="19">
        <v>94271</v>
      </c>
      <c r="C4419" s="20" t="s">
        <v>4518</v>
      </c>
      <c r="D4419" s="19" t="s">
        <v>38</v>
      </c>
      <c r="E4419" s="21">
        <f t="shared" si="203"/>
        <v>107.81</v>
      </c>
      <c r="F4419" s="22">
        <v>0</v>
      </c>
      <c r="G4419" s="21">
        <f t="shared" si="204"/>
        <v>106.20999999999999</v>
      </c>
      <c r="H4419" s="22">
        <v>0</v>
      </c>
      <c r="I4419" s="23" t="str">
        <f t="shared" si="205"/>
        <v xml:space="preserve">COM VALOR</v>
      </c>
      <c r="J4419" s="19"/>
      <c r="L4419" s="21">
        <v>107.81</v>
      </c>
      <c r="M4419" s="22">
        <v>1.e-002</v>
      </c>
      <c r="N4419" s="21">
        <v>106.20999999999999</v>
      </c>
      <c r="O4419" s="22">
        <v>1.e-002</v>
      </c>
    </row>
    <row r="4420" ht="25.5">
      <c r="A4420" t="s">
        <v>4519</v>
      </c>
      <c r="B4420" s="19">
        <v>105555</v>
      </c>
      <c r="C4420" s="20" t="s">
        <v>4520</v>
      </c>
      <c r="D4420" s="19" t="s">
        <v>31</v>
      </c>
      <c r="E4420" s="21" t="str">
        <f t="shared" si="203"/>
        <v>VERIFICAR</v>
      </c>
      <c r="F4420" s="22">
        <v>0</v>
      </c>
      <c r="G4420" s="21" t="str">
        <f t="shared" si="204"/>
        <v>VERIFICAR</v>
      </c>
      <c r="H4420" s="22">
        <v>0</v>
      </c>
      <c r="I4420" s="23" t="str">
        <f t="shared" si="205"/>
        <v xml:space="preserve">COM VALOR</v>
      </c>
      <c r="J4420" s="19"/>
      <c r="L4420" s="21">
        <v>0</v>
      </c>
      <c r="M4420" s="22"/>
      <c r="N4420" s="21">
        <v>0</v>
      </c>
      <c r="O4420" s="22"/>
    </row>
    <row r="4421" ht="25.5">
      <c r="A4421" t="s">
        <v>4519</v>
      </c>
      <c r="B4421" s="19">
        <v>97603</v>
      </c>
      <c r="C4421" s="20" t="s">
        <v>4521</v>
      </c>
      <c r="D4421" s="19" t="s">
        <v>31</v>
      </c>
      <c r="E4421" s="21" t="str">
        <f t="shared" si="203"/>
        <v>VERIFICAR</v>
      </c>
      <c r="F4421" s="22">
        <v>0</v>
      </c>
      <c r="G4421" s="21" t="str">
        <f t="shared" si="204"/>
        <v>VERIFICAR</v>
      </c>
      <c r="H4421" s="22">
        <v>0</v>
      </c>
      <c r="I4421" s="23" t="str">
        <f t="shared" si="205"/>
        <v xml:space="preserve">COM VALOR</v>
      </c>
      <c r="J4421" s="19"/>
      <c r="L4421" s="21">
        <v>0</v>
      </c>
      <c r="M4421" s="22"/>
      <c r="N4421" s="21">
        <v>0</v>
      </c>
      <c r="O4421" s="22"/>
    </row>
    <row r="4422" ht="25.5">
      <c r="A4422" t="s">
        <v>4519</v>
      </c>
      <c r="B4422" s="19">
        <v>97602</v>
      </c>
      <c r="C4422" s="20" t="s">
        <v>4522</v>
      </c>
      <c r="D4422" s="19" t="s">
        <v>31</v>
      </c>
      <c r="E4422" s="21" t="str">
        <f t="shared" si="203"/>
        <v>VERIFICAR</v>
      </c>
      <c r="F4422" s="22">
        <v>0</v>
      </c>
      <c r="G4422" s="21" t="str">
        <f t="shared" si="204"/>
        <v>VERIFICAR</v>
      </c>
      <c r="H4422" s="22">
        <v>0</v>
      </c>
      <c r="I4422" s="23" t="str">
        <f t="shared" si="205"/>
        <v xml:space="preserve">COM VALOR</v>
      </c>
      <c r="J4422" s="19"/>
      <c r="L4422" s="21">
        <v>0</v>
      </c>
      <c r="M4422" s="22"/>
      <c r="N4422" s="21">
        <v>0</v>
      </c>
      <c r="O4422" s="22"/>
    </row>
    <row r="4423" ht="25.5">
      <c r="A4423" t="s">
        <v>4519</v>
      </c>
      <c r="B4423" s="19">
        <v>97604</v>
      </c>
      <c r="C4423" s="20" t="s">
        <v>4523</v>
      </c>
      <c r="D4423" s="19" t="s">
        <v>31</v>
      </c>
      <c r="E4423" s="21" t="str">
        <f t="shared" si="203"/>
        <v>VERIFICAR</v>
      </c>
      <c r="F4423" s="22">
        <v>0</v>
      </c>
      <c r="G4423" s="21" t="str">
        <f t="shared" si="204"/>
        <v>VERIFICAR</v>
      </c>
      <c r="H4423" s="22">
        <v>0</v>
      </c>
      <c r="I4423" s="23" t="str">
        <f t="shared" si="205"/>
        <v xml:space="preserve">COM VALOR</v>
      </c>
      <c r="J4423" s="19"/>
      <c r="L4423" s="21">
        <v>0</v>
      </c>
      <c r="M4423" s="22"/>
      <c r="N4423" s="21">
        <v>0</v>
      </c>
      <c r="O4423" s="22"/>
    </row>
    <row r="4424" ht="12.75">
      <c r="A4424" t="s">
        <v>4519</v>
      </c>
      <c r="B4424" s="19">
        <v>105553</v>
      </c>
      <c r="C4424" s="20" t="s">
        <v>4524</v>
      </c>
      <c r="D4424" s="19" t="s">
        <v>31</v>
      </c>
      <c r="E4424" s="21" t="str">
        <f t="shared" si="203"/>
        <v>VERIFICAR</v>
      </c>
      <c r="F4424" s="22">
        <v>0</v>
      </c>
      <c r="G4424" s="21" t="str">
        <f t="shared" si="204"/>
        <v>VERIFICAR</v>
      </c>
      <c r="H4424" s="22">
        <v>0</v>
      </c>
      <c r="I4424" s="23" t="str">
        <f t="shared" si="205"/>
        <v xml:space="preserve">COM VALOR</v>
      </c>
      <c r="J4424" s="19"/>
      <c r="L4424" s="21">
        <v>0</v>
      </c>
      <c r="M4424" s="22"/>
      <c r="N4424" s="21">
        <v>0</v>
      </c>
      <c r="O4424" s="22"/>
    </row>
    <row r="4425" ht="25.5">
      <c r="A4425" t="s">
        <v>4519</v>
      </c>
      <c r="B4425" s="19">
        <v>105552</v>
      </c>
      <c r="C4425" s="20" t="s">
        <v>4525</v>
      </c>
      <c r="D4425" s="19" t="s">
        <v>31</v>
      </c>
      <c r="E4425" s="21" t="str">
        <f t="shared" si="203"/>
        <v>VERIFICAR</v>
      </c>
      <c r="F4425" s="22">
        <v>0</v>
      </c>
      <c r="G4425" s="21" t="str">
        <f t="shared" si="204"/>
        <v>VERIFICAR</v>
      </c>
      <c r="H4425" s="22">
        <v>0</v>
      </c>
      <c r="I4425" s="23" t="str">
        <f t="shared" si="205"/>
        <v xml:space="preserve">COM VALOR</v>
      </c>
      <c r="J4425" s="19"/>
      <c r="L4425" s="21">
        <v>0</v>
      </c>
      <c r="M4425" s="22"/>
      <c r="N4425" s="21">
        <v>0</v>
      </c>
      <c r="O4425" s="22"/>
    </row>
    <row r="4426" ht="12.75">
      <c r="A4426" t="s">
        <v>4519</v>
      </c>
      <c r="B4426" s="19">
        <v>105550</v>
      </c>
      <c r="C4426" s="20" t="s">
        <v>4526</v>
      </c>
      <c r="D4426" s="19" t="s">
        <v>31</v>
      </c>
      <c r="E4426" s="21" t="str">
        <f t="shared" si="203"/>
        <v>VERIFICAR</v>
      </c>
      <c r="F4426" s="22">
        <v>0</v>
      </c>
      <c r="G4426" s="21" t="str">
        <f t="shared" si="204"/>
        <v>VERIFICAR</v>
      </c>
      <c r="H4426" s="22">
        <v>0</v>
      </c>
      <c r="I4426" s="23" t="str">
        <f t="shared" si="205"/>
        <v xml:space="preserve">COM VALOR</v>
      </c>
      <c r="J4426" s="19"/>
      <c r="L4426" s="21">
        <v>0</v>
      </c>
      <c r="M4426" s="22"/>
      <c r="N4426" s="21">
        <v>0</v>
      </c>
      <c r="O4426" s="22"/>
    </row>
    <row r="4427" ht="12.75">
      <c r="A4427" t="s">
        <v>4519</v>
      </c>
      <c r="B4427" s="19">
        <v>105551</v>
      </c>
      <c r="C4427" s="20" t="s">
        <v>4527</v>
      </c>
      <c r="D4427" s="19" t="s">
        <v>31</v>
      </c>
      <c r="E4427" s="21" t="str">
        <f t="shared" ref="E4427:E4490" si="206">IF(L4427=0,"VERIFICAR",L4427)</f>
        <v>VERIFICAR</v>
      </c>
      <c r="F4427" s="22">
        <v>0</v>
      </c>
      <c r="G4427" s="21" t="str">
        <f t="shared" ref="G4427:G4490" si="207">IF(N4427=0,"VERIFICAR",N4427)</f>
        <v>VERIFICAR</v>
      </c>
      <c r="H4427" s="22">
        <v>0</v>
      </c>
      <c r="I4427" s="23" t="str">
        <f t="shared" ref="I4427:I4490" si="208">IF(OR(E4427=0,G4427=0),"SEM VALOR","COM VALOR")</f>
        <v xml:space="preserve">COM VALOR</v>
      </c>
      <c r="J4427" s="19"/>
      <c r="L4427" s="21">
        <v>0</v>
      </c>
      <c r="M4427" s="22"/>
      <c r="N4427" s="21">
        <v>0</v>
      </c>
      <c r="O4427" s="22"/>
    </row>
    <row r="4428" ht="12.75">
      <c r="A4428" t="s">
        <v>4519</v>
      </c>
      <c r="B4428" s="19">
        <v>105549</v>
      </c>
      <c r="C4428" s="20" t="s">
        <v>4528</v>
      </c>
      <c r="D4428" s="19" t="s">
        <v>31</v>
      </c>
      <c r="E4428" s="21" t="str">
        <f t="shared" si="206"/>
        <v>VERIFICAR</v>
      </c>
      <c r="F4428" s="22">
        <v>0</v>
      </c>
      <c r="G4428" s="21" t="str">
        <f t="shared" si="207"/>
        <v>VERIFICAR</v>
      </c>
      <c r="H4428" s="22">
        <v>0</v>
      </c>
      <c r="I4428" s="23" t="str">
        <f t="shared" si="208"/>
        <v xml:space="preserve">COM VALOR</v>
      </c>
      <c r="J4428" s="19"/>
      <c r="L4428" s="21">
        <v>0</v>
      </c>
      <c r="M4428" s="22"/>
      <c r="N4428" s="21">
        <v>0</v>
      </c>
      <c r="O4428" s="22"/>
    </row>
    <row r="4429" ht="12.75">
      <c r="A4429" t="s">
        <v>4519</v>
      </c>
      <c r="B4429" s="19">
        <v>105547</v>
      </c>
      <c r="C4429" s="20" t="s">
        <v>4529</v>
      </c>
      <c r="D4429" s="19" t="s">
        <v>38</v>
      </c>
      <c r="E4429" s="21" t="str">
        <f t="shared" si="206"/>
        <v>VERIFICAR</v>
      </c>
      <c r="F4429" s="22">
        <v>0</v>
      </c>
      <c r="G4429" s="21" t="str">
        <f t="shared" si="207"/>
        <v>VERIFICAR</v>
      </c>
      <c r="H4429" s="22">
        <v>0</v>
      </c>
      <c r="I4429" s="23" t="str">
        <f t="shared" si="208"/>
        <v xml:space="preserve">COM VALOR</v>
      </c>
      <c r="J4429" s="19"/>
      <c r="L4429" s="21">
        <v>0</v>
      </c>
      <c r="M4429" s="22"/>
      <c r="N4429" s="21">
        <v>0</v>
      </c>
      <c r="O4429" s="22"/>
    </row>
    <row r="4430" ht="25.5">
      <c r="A4430" t="s">
        <v>4519</v>
      </c>
      <c r="B4430" s="19">
        <v>97605</v>
      </c>
      <c r="C4430" s="20" t="s">
        <v>4530</v>
      </c>
      <c r="D4430" s="19" t="s">
        <v>31</v>
      </c>
      <c r="E4430" s="21">
        <f t="shared" si="206"/>
        <v>73.040000000000006</v>
      </c>
      <c r="F4430" s="22">
        <v>0</v>
      </c>
      <c r="G4430" s="21">
        <f t="shared" si="207"/>
        <v>72.200000000000003</v>
      </c>
      <c r="H4430" s="22">
        <v>0</v>
      </c>
      <c r="I4430" s="23" t="str">
        <f t="shared" si="208"/>
        <v xml:space="preserve">COM VALOR</v>
      </c>
      <c r="J4430" s="19"/>
      <c r="L4430" s="21">
        <v>73.040000000000006</v>
      </c>
      <c r="M4430" s="22">
        <v>0.73999999999999999</v>
      </c>
      <c r="N4430" s="21">
        <v>72.200000000000003</v>
      </c>
      <c r="O4430" s="22">
        <v>0.75</v>
      </c>
    </row>
    <row r="4431" ht="38.25">
      <c r="A4431" t="s">
        <v>4519</v>
      </c>
      <c r="B4431" s="19">
        <v>97607</v>
      </c>
      <c r="C4431" s="20" t="s">
        <v>4531</v>
      </c>
      <c r="D4431" s="19" t="s">
        <v>31</v>
      </c>
      <c r="E4431" s="21">
        <f t="shared" si="206"/>
        <v>93.329999999999998</v>
      </c>
      <c r="F4431" s="22">
        <v>0</v>
      </c>
      <c r="G4431" s="21">
        <f t="shared" si="207"/>
        <v>92.049999999999997</v>
      </c>
      <c r="H4431" s="22">
        <v>0</v>
      </c>
      <c r="I4431" s="23" t="str">
        <f t="shared" si="208"/>
        <v xml:space="preserve">COM VALOR</v>
      </c>
      <c r="J4431" s="19"/>
      <c r="L4431" s="21">
        <v>93.329999999999998</v>
      </c>
      <c r="M4431" s="22">
        <v>0.71999999999999997</v>
      </c>
      <c r="N4431" s="21">
        <v>92.049999999999997</v>
      </c>
      <c r="O4431" s="22">
        <v>0.72999999999999998</v>
      </c>
    </row>
    <row r="4432" ht="25.5">
      <c r="A4432" t="s">
        <v>4519</v>
      </c>
      <c r="B4432" s="19">
        <v>97599</v>
      </c>
      <c r="C4432" s="20" t="s">
        <v>4532</v>
      </c>
      <c r="D4432" s="19" t="s">
        <v>31</v>
      </c>
      <c r="E4432" s="21">
        <f t="shared" si="206"/>
        <v>19.359999999999999</v>
      </c>
      <c r="F4432" s="22">
        <v>0</v>
      </c>
      <c r="G4432" s="21">
        <f t="shared" si="207"/>
        <v>18.969999999999999</v>
      </c>
      <c r="H4432" s="22">
        <v>0</v>
      </c>
      <c r="I4432" s="23" t="str">
        <f t="shared" si="208"/>
        <v xml:space="preserve">COM VALOR</v>
      </c>
      <c r="J4432" s="19"/>
      <c r="L4432" s="21">
        <v>19.359999999999999</v>
      </c>
      <c r="M4432" s="22">
        <v>0</v>
      </c>
      <c r="N4432" s="21">
        <v>18.969999999999999</v>
      </c>
      <c r="O4432" s="22">
        <v>0</v>
      </c>
    </row>
    <row r="4433" ht="25.5">
      <c r="A4433" t="s">
        <v>4519</v>
      </c>
      <c r="B4433" s="19">
        <v>105542</v>
      </c>
      <c r="C4433" s="20" t="s">
        <v>4533</v>
      </c>
      <c r="D4433" s="19" t="s">
        <v>31</v>
      </c>
      <c r="E4433" s="21" t="str">
        <f t="shared" si="206"/>
        <v>VERIFICAR</v>
      </c>
      <c r="F4433" s="22">
        <v>0</v>
      </c>
      <c r="G4433" s="21" t="str">
        <f t="shared" si="207"/>
        <v>VERIFICAR</v>
      </c>
      <c r="H4433" s="22">
        <v>0</v>
      </c>
      <c r="I4433" s="23" t="str">
        <f t="shared" si="208"/>
        <v xml:space="preserve">COM VALOR</v>
      </c>
      <c r="J4433" s="19"/>
      <c r="L4433" s="21">
        <v>0</v>
      </c>
      <c r="M4433" s="22"/>
      <c r="N4433" s="21">
        <v>0</v>
      </c>
      <c r="O4433" s="22"/>
    </row>
    <row r="4434" ht="25.5">
      <c r="A4434" t="s">
        <v>4519</v>
      </c>
      <c r="B4434" s="19">
        <v>105543</v>
      </c>
      <c r="C4434" s="20" t="s">
        <v>4534</v>
      </c>
      <c r="D4434" s="19" t="s">
        <v>31</v>
      </c>
      <c r="E4434" s="21" t="str">
        <f t="shared" si="206"/>
        <v>VERIFICAR</v>
      </c>
      <c r="F4434" s="22">
        <v>0</v>
      </c>
      <c r="G4434" s="21" t="str">
        <f t="shared" si="207"/>
        <v>VERIFICAR</v>
      </c>
      <c r="H4434" s="22">
        <v>0</v>
      </c>
      <c r="I4434" s="23" t="str">
        <f t="shared" si="208"/>
        <v xml:space="preserve">COM VALOR</v>
      </c>
      <c r="J4434" s="19"/>
      <c r="L4434" s="21">
        <v>0</v>
      </c>
      <c r="M4434" s="22"/>
      <c r="N4434" s="21">
        <v>0</v>
      </c>
      <c r="O4434" s="22"/>
    </row>
    <row r="4435" ht="25.5">
      <c r="A4435" t="s">
        <v>4519</v>
      </c>
      <c r="B4435" s="19">
        <v>105544</v>
      </c>
      <c r="C4435" s="20" t="s">
        <v>4535</v>
      </c>
      <c r="D4435" s="19" t="s">
        <v>31</v>
      </c>
      <c r="E4435" s="21" t="str">
        <f t="shared" si="206"/>
        <v>VERIFICAR</v>
      </c>
      <c r="F4435" s="22">
        <v>0</v>
      </c>
      <c r="G4435" s="21" t="str">
        <f t="shared" si="207"/>
        <v>VERIFICAR</v>
      </c>
      <c r="H4435" s="22">
        <v>0</v>
      </c>
      <c r="I4435" s="23" t="str">
        <f t="shared" si="208"/>
        <v xml:space="preserve">COM VALOR</v>
      </c>
      <c r="J4435" s="19"/>
      <c r="L4435" s="21">
        <v>0</v>
      </c>
      <c r="M4435" s="22"/>
      <c r="N4435" s="21">
        <v>0</v>
      </c>
      <c r="O4435" s="22"/>
    </row>
    <row r="4436" ht="25.5">
      <c r="A4436" t="s">
        <v>4519</v>
      </c>
      <c r="B4436" s="19">
        <v>100913</v>
      </c>
      <c r="C4436" s="20" t="s">
        <v>4536</v>
      </c>
      <c r="D4436" s="19" t="s">
        <v>31</v>
      </c>
      <c r="E4436" s="21" t="str">
        <f t="shared" si="206"/>
        <v>VERIFICAR</v>
      </c>
      <c r="F4436" s="22"/>
      <c r="G4436" s="21" t="str">
        <f t="shared" si="207"/>
        <v>VERIFICAR</v>
      </c>
      <c r="H4436" s="22"/>
      <c r="I4436" s="23" t="str">
        <f t="shared" si="208"/>
        <v xml:space="preserve">COM VALOR</v>
      </c>
      <c r="J4436" s="19"/>
      <c r="L4436" s="21">
        <v>0</v>
      </c>
      <c r="M4436" s="22"/>
      <c r="N4436" s="21">
        <v>0</v>
      </c>
      <c r="O4436" s="22"/>
    </row>
    <row r="4437" ht="25.5">
      <c r="A4437" t="s">
        <v>4519</v>
      </c>
      <c r="B4437" s="19">
        <v>100916</v>
      </c>
      <c r="C4437" s="20" t="s">
        <v>4537</v>
      </c>
      <c r="D4437" s="19" t="s">
        <v>31</v>
      </c>
      <c r="E4437" s="21" t="str">
        <f t="shared" si="206"/>
        <v>VERIFICAR</v>
      </c>
      <c r="F4437" s="22"/>
      <c r="G4437" s="21" t="str">
        <f t="shared" si="207"/>
        <v>VERIFICAR</v>
      </c>
      <c r="H4437" s="22"/>
      <c r="I4437" s="23" t="str">
        <f t="shared" si="208"/>
        <v xml:space="preserve">COM VALOR</v>
      </c>
      <c r="J4437" s="19"/>
      <c r="L4437" s="21">
        <v>0</v>
      </c>
      <c r="M4437" s="22"/>
      <c r="N4437" s="21">
        <v>0</v>
      </c>
      <c r="O4437" s="22"/>
    </row>
    <row r="4438" ht="25.5">
      <c r="A4438" t="s">
        <v>4519</v>
      </c>
      <c r="B4438" s="19">
        <v>100918</v>
      </c>
      <c r="C4438" s="20" t="s">
        <v>4538</v>
      </c>
      <c r="D4438" s="19" t="s">
        <v>31</v>
      </c>
      <c r="E4438" s="21" t="str">
        <f t="shared" si="206"/>
        <v>VERIFICAR</v>
      </c>
      <c r="F4438" s="22"/>
      <c r="G4438" s="21" t="str">
        <f t="shared" si="207"/>
        <v>VERIFICAR</v>
      </c>
      <c r="H4438" s="22"/>
      <c r="I4438" s="23" t="str">
        <f t="shared" si="208"/>
        <v xml:space="preserve">COM VALOR</v>
      </c>
      <c r="J4438" s="19"/>
      <c r="L4438" s="21">
        <v>0</v>
      </c>
      <c r="M4438" s="22"/>
      <c r="N4438" s="21">
        <v>0</v>
      </c>
      <c r="O4438" s="22"/>
    </row>
    <row r="4439" ht="38.25">
      <c r="A4439" t="s">
        <v>4519</v>
      </c>
      <c r="B4439" s="19">
        <v>100914</v>
      </c>
      <c r="C4439" s="20" t="s">
        <v>4539</v>
      </c>
      <c r="D4439" s="19" t="s">
        <v>31</v>
      </c>
      <c r="E4439" s="21" t="str">
        <f t="shared" si="206"/>
        <v>VERIFICAR</v>
      </c>
      <c r="F4439" s="22">
        <v>0</v>
      </c>
      <c r="G4439" s="21" t="str">
        <f t="shared" si="207"/>
        <v>VERIFICAR</v>
      </c>
      <c r="H4439" s="22">
        <v>0</v>
      </c>
      <c r="I4439" s="23" t="str">
        <f t="shared" si="208"/>
        <v xml:space="preserve">COM VALOR</v>
      </c>
      <c r="J4439" s="19"/>
      <c r="L4439" s="21">
        <v>0</v>
      </c>
      <c r="M4439" s="22"/>
      <c r="N4439" s="21">
        <v>0</v>
      </c>
      <c r="O4439" s="22"/>
    </row>
    <row r="4440" ht="38.25">
      <c r="A4440" t="s">
        <v>4519</v>
      </c>
      <c r="B4440" s="19">
        <v>100917</v>
      </c>
      <c r="C4440" s="20" t="s">
        <v>4540</v>
      </c>
      <c r="D4440" s="19" t="s">
        <v>31</v>
      </c>
      <c r="E4440" s="21" t="str">
        <f t="shared" si="206"/>
        <v>VERIFICAR</v>
      </c>
      <c r="F4440" s="22">
        <v>0</v>
      </c>
      <c r="G4440" s="21" t="str">
        <f t="shared" si="207"/>
        <v>VERIFICAR</v>
      </c>
      <c r="H4440" s="22">
        <v>0</v>
      </c>
      <c r="I4440" s="23" t="str">
        <f t="shared" si="208"/>
        <v xml:space="preserve">COM VALOR</v>
      </c>
      <c r="J4440" s="19"/>
      <c r="L4440" s="21">
        <v>0</v>
      </c>
      <c r="M4440" s="22"/>
      <c r="N4440" s="21">
        <v>0</v>
      </c>
      <c r="O4440" s="22"/>
    </row>
    <row r="4441" ht="25.5">
      <c r="A4441" t="s">
        <v>4519</v>
      </c>
      <c r="B4441" s="19">
        <v>100907</v>
      </c>
      <c r="C4441" s="20" t="s">
        <v>4541</v>
      </c>
      <c r="D4441" s="19" t="s">
        <v>31</v>
      </c>
      <c r="E4441" s="21" t="str">
        <f t="shared" si="206"/>
        <v>VERIFICAR</v>
      </c>
      <c r="F4441" s="22">
        <v>0</v>
      </c>
      <c r="G4441" s="21" t="str">
        <f t="shared" si="207"/>
        <v>VERIFICAR</v>
      </c>
      <c r="H4441" s="22">
        <v>0</v>
      </c>
      <c r="I4441" s="23" t="str">
        <f t="shared" si="208"/>
        <v xml:space="preserve">COM VALOR</v>
      </c>
      <c r="J4441" s="19"/>
      <c r="L4441" s="21">
        <v>0</v>
      </c>
      <c r="M4441" s="22"/>
      <c r="N4441" s="21">
        <v>0</v>
      </c>
      <c r="O4441" s="22"/>
    </row>
    <row r="4442" ht="25.5">
      <c r="A4442" t="s">
        <v>4519</v>
      </c>
      <c r="B4442" s="19">
        <v>102467</v>
      </c>
      <c r="C4442" s="20" t="s">
        <v>4542</v>
      </c>
      <c r="D4442" s="19" t="s">
        <v>31</v>
      </c>
      <c r="E4442" s="21" t="str">
        <f t="shared" si="206"/>
        <v>VERIFICAR</v>
      </c>
      <c r="F4442" s="22">
        <v>0</v>
      </c>
      <c r="G4442" s="21" t="str">
        <f t="shared" si="207"/>
        <v>VERIFICAR</v>
      </c>
      <c r="H4442" s="22">
        <v>0</v>
      </c>
      <c r="I4442" s="23" t="str">
        <f t="shared" si="208"/>
        <v xml:space="preserve">COM VALOR</v>
      </c>
      <c r="J4442" s="19"/>
      <c r="L4442" s="21">
        <v>0</v>
      </c>
      <c r="M4442" s="22"/>
      <c r="N4442" s="21">
        <v>0</v>
      </c>
      <c r="O4442" s="22"/>
    </row>
    <row r="4443" ht="25.5">
      <c r="A4443" t="s">
        <v>4519</v>
      </c>
      <c r="B4443" s="19">
        <v>100910</v>
      </c>
      <c r="C4443" s="20" t="s">
        <v>4543</v>
      </c>
      <c r="D4443" s="19" t="s">
        <v>31</v>
      </c>
      <c r="E4443" s="21" t="str">
        <f t="shared" si="206"/>
        <v>VERIFICAR</v>
      </c>
      <c r="F4443" s="22">
        <v>0</v>
      </c>
      <c r="G4443" s="21" t="str">
        <f t="shared" si="207"/>
        <v>VERIFICAR</v>
      </c>
      <c r="H4443" s="22">
        <v>0</v>
      </c>
      <c r="I4443" s="23" t="str">
        <f t="shared" si="208"/>
        <v xml:space="preserve">COM VALOR</v>
      </c>
      <c r="J4443" s="19"/>
      <c r="L4443" s="21">
        <v>0</v>
      </c>
      <c r="M4443" s="22"/>
      <c r="N4443" s="21">
        <v>0</v>
      </c>
      <c r="O4443" s="22"/>
    </row>
    <row r="4444" ht="25.5">
      <c r="A4444" t="s">
        <v>4519</v>
      </c>
      <c r="B4444" s="19">
        <v>105541</v>
      </c>
      <c r="C4444" s="20" t="s">
        <v>4544</v>
      </c>
      <c r="D4444" s="19" t="s">
        <v>31</v>
      </c>
      <c r="E4444" s="21" t="str">
        <f t="shared" si="206"/>
        <v>VERIFICAR</v>
      </c>
      <c r="F4444" s="22">
        <v>0</v>
      </c>
      <c r="G4444" s="21" t="str">
        <f t="shared" si="207"/>
        <v>VERIFICAR</v>
      </c>
      <c r="H4444" s="22">
        <v>0</v>
      </c>
      <c r="I4444" s="23" t="str">
        <f t="shared" si="208"/>
        <v xml:space="preserve">COM VALOR</v>
      </c>
      <c r="J4444" s="19"/>
      <c r="L4444" s="21">
        <v>0</v>
      </c>
      <c r="M4444" s="22"/>
      <c r="N4444" s="21">
        <v>0</v>
      </c>
      <c r="O4444" s="22"/>
    </row>
    <row r="4445" ht="38.25">
      <c r="A4445" t="s">
        <v>4519</v>
      </c>
      <c r="B4445" s="19">
        <v>100908</v>
      </c>
      <c r="C4445" s="20" t="s">
        <v>4545</v>
      </c>
      <c r="D4445" s="19" t="s">
        <v>31</v>
      </c>
      <c r="E4445" s="21" t="str">
        <f t="shared" si="206"/>
        <v>VERIFICAR</v>
      </c>
      <c r="F4445" s="22">
        <v>0</v>
      </c>
      <c r="G4445" s="21" t="str">
        <f t="shared" si="207"/>
        <v>VERIFICAR</v>
      </c>
      <c r="H4445" s="22">
        <v>0</v>
      </c>
      <c r="I4445" s="23" t="str">
        <f t="shared" si="208"/>
        <v xml:space="preserve">COM VALOR</v>
      </c>
      <c r="J4445" s="19"/>
      <c r="L4445" s="21">
        <v>0</v>
      </c>
      <c r="M4445" s="22"/>
      <c r="N4445" s="21">
        <v>0</v>
      </c>
      <c r="O4445" s="22"/>
    </row>
    <row r="4446" ht="38.25">
      <c r="A4446" t="s">
        <v>4519</v>
      </c>
      <c r="B4446" s="19">
        <v>100911</v>
      </c>
      <c r="C4446" s="20" t="s">
        <v>4546</v>
      </c>
      <c r="D4446" s="19" t="s">
        <v>31</v>
      </c>
      <c r="E4446" s="21" t="str">
        <f t="shared" si="206"/>
        <v>VERIFICAR</v>
      </c>
      <c r="F4446" s="22">
        <v>0</v>
      </c>
      <c r="G4446" s="21" t="str">
        <f t="shared" si="207"/>
        <v>VERIFICAR</v>
      </c>
      <c r="H4446" s="22">
        <v>0</v>
      </c>
      <c r="I4446" s="23" t="str">
        <f t="shared" si="208"/>
        <v xml:space="preserve">COM VALOR</v>
      </c>
      <c r="J4446" s="19"/>
      <c r="L4446" s="21">
        <v>0</v>
      </c>
      <c r="M4446" s="22"/>
      <c r="N4446" s="21">
        <v>0</v>
      </c>
      <c r="O4446" s="22"/>
    </row>
    <row r="4447" ht="25.5">
      <c r="A4447" t="s">
        <v>4519</v>
      </c>
      <c r="B4447" s="19">
        <v>103782</v>
      </c>
      <c r="C4447" s="20" t="s">
        <v>4547</v>
      </c>
      <c r="D4447" s="19" t="s">
        <v>31</v>
      </c>
      <c r="E4447" s="21">
        <f t="shared" si="206"/>
        <v>30.109999999999999</v>
      </c>
      <c r="F4447" s="22">
        <v>0</v>
      </c>
      <c r="G4447" s="21">
        <f t="shared" si="207"/>
        <v>29.039999999999999</v>
      </c>
      <c r="H4447" s="22">
        <v>0</v>
      </c>
      <c r="I4447" s="23" t="str">
        <f t="shared" si="208"/>
        <v xml:space="preserve">COM VALOR</v>
      </c>
      <c r="J4447" s="19"/>
      <c r="L4447" s="21">
        <v>30.109999999999999</v>
      </c>
      <c r="M4447" s="22">
        <v>0</v>
      </c>
      <c r="N4447" s="21">
        <v>29.039999999999999</v>
      </c>
      <c r="O4447" s="22">
        <v>0</v>
      </c>
    </row>
    <row r="4448" ht="25.5">
      <c r="A4448" t="s">
        <v>4519</v>
      </c>
      <c r="B4448" s="19">
        <v>103786</v>
      </c>
      <c r="C4448" s="20" t="s">
        <v>4548</v>
      </c>
      <c r="D4448" s="19" t="s">
        <v>31</v>
      </c>
      <c r="E4448" s="21" t="str">
        <f t="shared" si="206"/>
        <v>VERIFICAR</v>
      </c>
      <c r="F4448" s="22">
        <v>0</v>
      </c>
      <c r="G4448" s="21" t="str">
        <f t="shared" si="207"/>
        <v>VERIFICAR</v>
      </c>
      <c r="H4448" s="22">
        <v>0</v>
      </c>
      <c r="I4448" s="23" t="str">
        <f t="shared" si="208"/>
        <v xml:space="preserve">COM VALOR</v>
      </c>
      <c r="J4448" s="19"/>
      <c r="L4448" s="21">
        <v>0</v>
      </c>
      <c r="M4448" s="22"/>
      <c r="N4448" s="21">
        <v>0</v>
      </c>
      <c r="O4448" s="22"/>
    </row>
    <row r="4449" ht="25.5">
      <c r="A4449" t="s">
        <v>4519</v>
      </c>
      <c r="B4449" s="19">
        <v>103787</v>
      </c>
      <c r="C4449" s="20" t="s">
        <v>4549</v>
      </c>
      <c r="D4449" s="19" t="s">
        <v>31</v>
      </c>
      <c r="E4449" s="21" t="str">
        <f t="shared" si="206"/>
        <v>VERIFICAR</v>
      </c>
      <c r="F4449" s="22">
        <v>0</v>
      </c>
      <c r="G4449" s="21" t="str">
        <f t="shared" si="207"/>
        <v>VERIFICAR</v>
      </c>
      <c r="H4449" s="22">
        <v>0</v>
      </c>
      <c r="I4449" s="23" t="str">
        <f t="shared" si="208"/>
        <v xml:space="preserve">COM VALOR</v>
      </c>
      <c r="J4449" s="19"/>
      <c r="L4449" s="21">
        <v>0</v>
      </c>
      <c r="M4449" s="22"/>
      <c r="N4449" s="21">
        <v>0</v>
      </c>
      <c r="O4449" s="22"/>
    </row>
    <row r="4450" ht="25.5">
      <c r="A4450" t="s">
        <v>4519</v>
      </c>
      <c r="B4450" s="19">
        <v>103788</v>
      </c>
      <c r="C4450" s="20" t="s">
        <v>4550</v>
      </c>
      <c r="D4450" s="19" t="s">
        <v>31</v>
      </c>
      <c r="E4450" s="21" t="str">
        <f t="shared" si="206"/>
        <v>VERIFICAR</v>
      </c>
      <c r="F4450" s="22">
        <v>0</v>
      </c>
      <c r="G4450" s="21" t="str">
        <f t="shared" si="207"/>
        <v>VERIFICAR</v>
      </c>
      <c r="H4450" s="22">
        <v>0</v>
      </c>
      <c r="I4450" s="23" t="str">
        <f t="shared" si="208"/>
        <v xml:space="preserve">COM VALOR</v>
      </c>
      <c r="J4450" s="19"/>
      <c r="L4450" s="21">
        <v>0</v>
      </c>
      <c r="M4450" s="22"/>
      <c r="N4450" s="21">
        <v>0</v>
      </c>
      <c r="O4450" s="22"/>
    </row>
    <row r="4451" ht="25.5">
      <c r="A4451" t="s">
        <v>4519</v>
      </c>
      <c r="B4451" s="19">
        <v>103783</v>
      </c>
      <c r="C4451" s="20" t="s">
        <v>4551</v>
      </c>
      <c r="D4451" s="19" t="s">
        <v>31</v>
      </c>
      <c r="E4451" s="21" t="str">
        <f t="shared" si="206"/>
        <v>VERIFICAR</v>
      </c>
      <c r="F4451" s="22">
        <v>0</v>
      </c>
      <c r="G4451" s="21" t="str">
        <f t="shared" si="207"/>
        <v>VERIFICAR</v>
      </c>
      <c r="H4451" s="22">
        <v>0</v>
      </c>
      <c r="I4451" s="23" t="str">
        <f t="shared" si="208"/>
        <v xml:space="preserve">COM VALOR</v>
      </c>
      <c r="J4451" s="19"/>
      <c r="L4451" s="21">
        <v>0</v>
      </c>
      <c r="M4451" s="22"/>
      <c r="N4451" s="21">
        <v>0</v>
      </c>
      <c r="O4451" s="22"/>
    </row>
    <row r="4452" ht="25.5">
      <c r="A4452" t="s">
        <v>4519</v>
      </c>
      <c r="B4452" s="19">
        <v>103784</v>
      </c>
      <c r="C4452" s="20" t="s">
        <v>4552</v>
      </c>
      <c r="D4452" s="19" t="s">
        <v>31</v>
      </c>
      <c r="E4452" s="21" t="str">
        <f t="shared" si="206"/>
        <v>VERIFICAR</v>
      </c>
      <c r="F4452" s="22">
        <v>0</v>
      </c>
      <c r="G4452" s="21" t="str">
        <f t="shared" si="207"/>
        <v>VERIFICAR</v>
      </c>
      <c r="H4452" s="22">
        <v>0</v>
      </c>
      <c r="I4452" s="23" t="str">
        <f t="shared" si="208"/>
        <v xml:space="preserve">COM VALOR</v>
      </c>
      <c r="J4452" s="19"/>
      <c r="L4452" s="21">
        <v>0</v>
      </c>
      <c r="M4452" s="22"/>
      <c r="N4452" s="21">
        <v>0</v>
      </c>
      <c r="O4452" s="22"/>
    </row>
    <row r="4453" ht="25.5">
      <c r="A4453" t="s">
        <v>4519</v>
      </c>
      <c r="B4453" s="19">
        <v>103785</v>
      </c>
      <c r="C4453" s="20" t="s">
        <v>4553</v>
      </c>
      <c r="D4453" s="19" t="s">
        <v>31</v>
      </c>
      <c r="E4453" s="21" t="str">
        <f t="shared" si="206"/>
        <v>VERIFICAR</v>
      </c>
      <c r="F4453" s="22">
        <v>0</v>
      </c>
      <c r="G4453" s="21" t="str">
        <f t="shared" si="207"/>
        <v>VERIFICAR</v>
      </c>
      <c r="H4453" s="22">
        <v>0</v>
      </c>
      <c r="I4453" s="23" t="str">
        <f t="shared" si="208"/>
        <v xml:space="preserve">COM VALOR</v>
      </c>
      <c r="J4453" s="19"/>
      <c r="L4453" s="21">
        <v>0</v>
      </c>
      <c r="M4453" s="22"/>
      <c r="N4453" s="21">
        <v>0</v>
      </c>
      <c r="O4453" s="22"/>
    </row>
    <row r="4454" ht="25.5">
      <c r="A4454" t="s">
        <v>4519</v>
      </c>
      <c r="B4454" s="19">
        <v>105546</v>
      </c>
      <c r="C4454" s="20" t="s">
        <v>4554</v>
      </c>
      <c r="D4454" s="19" t="s">
        <v>31</v>
      </c>
      <c r="E4454" s="21" t="str">
        <f t="shared" si="206"/>
        <v>VERIFICAR</v>
      </c>
      <c r="F4454" s="22">
        <v>0</v>
      </c>
      <c r="G4454" s="21" t="str">
        <f t="shared" si="207"/>
        <v>VERIFICAR</v>
      </c>
      <c r="H4454" s="22">
        <v>0</v>
      </c>
      <c r="I4454" s="23" t="str">
        <f t="shared" si="208"/>
        <v xml:space="preserve">COM VALOR</v>
      </c>
      <c r="J4454" s="19"/>
      <c r="L4454" s="21">
        <v>0</v>
      </c>
      <c r="M4454" s="22"/>
      <c r="N4454" s="21">
        <v>0</v>
      </c>
      <c r="O4454" s="22"/>
    </row>
    <row r="4455" ht="25.5">
      <c r="A4455" t="s">
        <v>4519</v>
      </c>
      <c r="B4455" s="19">
        <v>105545</v>
      </c>
      <c r="C4455" s="20" t="s">
        <v>4555</v>
      </c>
      <c r="D4455" s="19" t="s">
        <v>31</v>
      </c>
      <c r="E4455" s="21" t="str">
        <f t="shared" si="206"/>
        <v>VERIFICAR</v>
      </c>
      <c r="F4455" s="22">
        <v>0</v>
      </c>
      <c r="G4455" s="21" t="str">
        <f t="shared" si="207"/>
        <v>VERIFICAR</v>
      </c>
      <c r="H4455" s="22">
        <v>0</v>
      </c>
      <c r="I4455" s="23" t="str">
        <f t="shared" si="208"/>
        <v xml:space="preserve">COM VALOR</v>
      </c>
      <c r="J4455" s="19"/>
      <c r="L4455" s="21">
        <v>0</v>
      </c>
      <c r="M4455" s="22"/>
      <c r="N4455" s="21">
        <v>0</v>
      </c>
      <c r="O4455" s="22"/>
    </row>
    <row r="4456" ht="25.5">
      <c r="A4456" t="s">
        <v>4519</v>
      </c>
      <c r="B4456" s="19">
        <v>97610</v>
      </c>
      <c r="C4456" s="20" t="s">
        <v>4556</v>
      </c>
      <c r="D4456" s="19" t="s">
        <v>31</v>
      </c>
      <c r="E4456" s="21">
        <f t="shared" si="206"/>
        <v>14.220000000000001</v>
      </c>
      <c r="F4456" s="22">
        <v>0</v>
      </c>
      <c r="G4456" s="21">
        <f t="shared" si="207"/>
        <v>13.859999999999999</v>
      </c>
      <c r="H4456" s="22">
        <v>0</v>
      </c>
      <c r="I4456" s="23" t="str">
        <f t="shared" si="208"/>
        <v xml:space="preserve">COM VALOR</v>
      </c>
      <c r="J4456" s="19"/>
      <c r="L4456" s="21">
        <v>14.220000000000001</v>
      </c>
      <c r="M4456" s="22">
        <v>0</v>
      </c>
      <c r="N4456" s="21">
        <v>13.859999999999999</v>
      </c>
      <c r="O4456" s="22">
        <v>0</v>
      </c>
    </row>
    <row r="4457" ht="25.5">
      <c r="A4457" t="s">
        <v>4519</v>
      </c>
      <c r="B4457" s="19">
        <v>97609</v>
      </c>
      <c r="C4457" s="20" t="s">
        <v>4557</v>
      </c>
      <c r="D4457" s="19" t="s">
        <v>31</v>
      </c>
      <c r="E4457" s="21">
        <f t="shared" si="206"/>
        <v>13.56</v>
      </c>
      <c r="F4457" s="22">
        <v>0</v>
      </c>
      <c r="G4457" s="21">
        <f t="shared" si="207"/>
        <v>13.199999999999999</v>
      </c>
      <c r="H4457" s="22">
        <v>0</v>
      </c>
      <c r="I4457" s="23" t="str">
        <f t="shared" si="208"/>
        <v xml:space="preserve">COM VALOR</v>
      </c>
      <c r="J4457" s="19"/>
      <c r="L4457" s="21">
        <v>13.56</v>
      </c>
      <c r="M4457" s="22">
        <v>0</v>
      </c>
      <c r="N4457" s="21">
        <v>13.199999999999999</v>
      </c>
      <c r="O4457" s="22">
        <v>0</v>
      </c>
    </row>
    <row r="4458" ht="25.5">
      <c r="A4458" t="s">
        <v>4519</v>
      </c>
      <c r="B4458" s="19">
        <v>105554</v>
      </c>
      <c r="C4458" s="20" t="s">
        <v>4558</v>
      </c>
      <c r="D4458" s="19" t="s">
        <v>31</v>
      </c>
      <c r="E4458" s="21">
        <f t="shared" si="206"/>
        <v>15.91</v>
      </c>
      <c r="F4458" s="22">
        <v>0</v>
      </c>
      <c r="G4458" s="21">
        <f t="shared" si="207"/>
        <v>15.369999999999999</v>
      </c>
      <c r="H4458" s="22">
        <v>0</v>
      </c>
      <c r="I4458" s="23" t="str">
        <f t="shared" si="208"/>
        <v xml:space="preserve">COM VALOR</v>
      </c>
      <c r="J4458" s="19"/>
      <c r="L4458" s="21">
        <v>15.91</v>
      </c>
      <c r="M4458" s="22">
        <v>0</v>
      </c>
      <c r="N4458" s="21">
        <v>15.369999999999999</v>
      </c>
      <c r="O4458" s="22">
        <v>0</v>
      </c>
    </row>
    <row r="4459" ht="25.5">
      <c r="A4459" t="s">
        <v>4519</v>
      </c>
      <c r="B4459" s="19">
        <v>100903</v>
      </c>
      <c r="C4459" s="20" t="s">
        <v>4559</v>
      </c>
      <c r="D4459" s="19" t="s">
        <v>31</v>
      </c>
      <c r="E4459" s="21">
        <f t="shared" si="206"/>
        <v>30.899999999999999</v>
      </c>
      <c r="F4459" s="22">
        <v>0</v>
      </c>
      <c r="G4459" s="21">
        <f t="shared" si="207"/>
        <v>30.02</v>
      </c>
      <c r="H4459" s="22">
        <v>0</v>
      </c>
      <c r="I4459" s="23" t="str">
        <f t="shared" si="208"/>
        <v xml:space="preserve">COM VALOR</v>
      </c>
      <c r="J4459" s="19"/>
      <c r="L4459" s="21">
        <v>30.899999999999999</v>
      </c>
      <c r="M4459" s="22">
        <v>0</v>
      </c>
      <c r="N4459" s="21">
        <v>30.02</v>
      </c>
      <c r="O4459" s="22">
        <v>0</v>
      </c>
    </row>
    <row r="4460" ht="25.5">
      <c r="A4460" t="s">
        <v>4519</v>
      </c>
      <c r="B4460" s="19">
        <v>100902</v>
      </c>
      <c r="C4460" s="20" t="s">
        <v>4560</v>
      </c>
      <c r="D4460" s="19" t="s">
        <v>31</v>
      </c>
      <c r="E4460" s="21">
        <f t="shared" si="206"/>
        <v>28</v>
      </c>
      <c r="F4460" s="22">
        <v>0</v>
      </c>
      <c r="G4460" s="21">
        <f t="shared" si="207"/>
        <v>27.120000000000001</v>
      </c>
      <c r="H4460" s="22">
        <v>0</v>
      </c>
      <c r="I4460" s="23" t="str">
        <f t="shared" si="208"/>
        <v xml:space="preserve">COM VALOR</v>
      </c>
      <c r="J4460" s="19"/>
      <c r="L4460" s="21">
        <v>28</v>
      </c>
      <c r="M4460" s="22">
        <v>0</v>
      </c>
      <c r="N4460" s="21">
        <v>27.120000000000001</v>
      </c>
      <c r="O4460" s="22">
        <v>0</v>
      </c>
    </row>
    <row r="4461" ht="12.75">
      <c r="A4461" t="s">
        <v>4519</v>
      </c>
      <c r="B4461" s="19">
        <v>105548</v>
      </c>
      <c r="C4461" s="20" t="s">
        <v>4561</v>
      </c>
      <c r="D4461" s="19" t="s">
        <v>38</v>
      </c>
      <c r="E4461" s="21" t="str">
        <f t="shared" si="206"/>
        <v>VERIFICAR</v>
      </c>
      <c r="F4461" s="22">
        <v>0</v>
      </c>
      <c r="G4461" s="21" t="str">
        <f t="shared" si="207"/>
        <v>VERIFICAR</v>
      </c>
      <c r="H4461" s="22">
        <v>0</v>
      </c>
      <c r="I4461" s="23" t="str">
        <f t="shared" si="208"/>
        <v xml:space="preserve">COM VALOR</v>
      </c>
      <c r="J4461" s="19"/>
      <c r="L4461" s="21">
        <v>0</v>
      </c>
      <c r="M4461" s="22"/>
      <c r="N4461" s="21">
        <v>0</v>
      </c>
      <c r="O4461" s="22"/>
    </row>
    <row r="4462" ht="25.5">
      <c r="A4462" t="s">
        <v>4519</v>
      </c>
      <c r="B4462" s="19">
        <v>97595</v>
      </c>
      <c r="C4462" s="20" t="s">
        <v>4562</v>
      </c>
      <c r="D4462" s="19" t="s">
        <v>31</v>
      </c>
      <c r="E4462" s="21">
        <f t="shared" si="206"/>
        <v>88.939999999999998</v>
      </c>
      <c r="F4462" s="22">
        <v>0</v>
      </c>
      <c r="G4462" s="21">
        <f t="shared" si="207"/>
        <v>87.549999999999997</v>
      </c>
      <c r="H4462" s="22">
        <v>0</v>
      </c>
      <c r="I4462" s="23" t="str">
        <f t="shared" si="208"/>
        <v xml:space="preserve">COM VALOR</v>
      </c>
      <c r="J4462" s="19"/>
      <c r="L4462" s="21">
        <v>88.939999999999998</v>
      </c>
      <c r="M4462" s="22">
        <v>0.72999999999999998</v>
      </c>
      <c r="N4462" s="21">
        <v>87.549999999999997</v>
      </c>
      <c r="O4462" s="22">
        <v>0.73999999999999999</v>
      </c>
    </row>
    <row r="4463" ht="25.5">
      <c r="A4463" t="s">
        <v>4519</v>
      </c>
      <c r="B4463" s="19">
        <v>97597</v>
      </c>
      <c r="C4463" s="20" t="s">
        <v>4563</v>
      </c>
      <c r="D4463" s="19" t="s">
        <v>31</v>
      </c>
      <c r="E4463" s="21">
        <f t="shared" si="206"/>
        <v>62.829999999999998</v>
      </c>
      <c r="F4463" s="22">
        <v>0</v>
      </c>
      <c r="G4463" s="21">
        <f t="shared" si="207"/>
        <v>61.799999999999997</v>
      </c>
      <c r="H4463" s="22">
        <v>0</v>
      </c>
      <c r="I4463" s="23" t="str">
        <f t="shared" si="208"/>
        <v xml:space="preserve">COM VALOR</v>
      </c>
      <c r="J4463" s="19"/>
      <c r="L4463" s="21">
        <v>62.829999999999998</v>
      </c>
      <c r="M4463" s="22">
        <v>0.71999999999999997</v>
      </c>
      <c r="N4463" s="21">
        <v>61.799999999999997</v>
      </c>
      <c r="O4463" s="22">
        <v>0.72999999999999998</v>
      </c>
    </row>
    <row r="4464" ht="25.5">
      <c r="A4464" t="s">
        <v>4519</v>
      </c>
      <c r="B4464" s="19">
        <v>97596</v>
      </c>
      <c r="C4464" s="20" t="s">
        <v>4564</v>
      </c>
      <c r="D4464" s="19" t="s">
        <v>31</v>
      </c>
      <c r="E4464" s="21">
        <f t="shared" si="206"/>
        <v>64.239999999999995</v>
      </c>
      <c r="F4464" s="22">
        <v>0</v>
      </c>
      <c r="G4464" s="21">
        <f t="shared" si="207"/>
        <v>62.850000000000001</v>
      </c>
      <c r="H4464" s="22">
        <v>0</v>
      </c>
      <c r="I4464" s="23" t="str">
        <f t="shared" si="208"/>
        <v xml:space="preserve">COM VALOR</v>
      </c>
      <c r="J4464" s="19"/>
      <c r="L4464" s="21">
        <v>64.239999999999995</v>
      </c>
      <c r="M4464" s="22">
        <v>0.62</v>
      </c>
      <c r="N4464" s="21">
        <v>62.850000000000001</v>
      </c>
      <c r="O4464" s="22">
        <v>0.64000000000000001</v>
      </c>
    </row>
    <row r="4465" ht="25.5">
      <c r="A4465" t="s">
        <v>4519</v>
      </c>
      <c r="B4465" s="19">
        <v>97598</v>
      </c>
      <c r="C4465" s="20" t="s">
        <v>4565</v>
      </c>
      <c r="D4465" s="19" t="s">
        <v>31</v>
      </c>
      <c r="E4465" s="21">
        <f t="shared" si="206"/>
        <v>59.670000000000002</v>
      </c>
      <c r="F4465" s="22">
        <v>0</v>
      </c>
      <c r="G4465" s="21">
        <f t="shared" si="207"/>
        <v>58.640000000000001</v>
      </c>
      <c r="H4465" s="22">
        <v>0</v>
      </c>
      <c r="I4465" s="23" t="str">
        <f t="shared" si="208"/>
        <v xml:space="preserve">COM VALOR</v>
      </c>
      <c r="J4465" s="19"/>
      <c r="L4465" s="21">
        <v>59.670000000000002</v>
      </c>
      <c r="M4465" s="22">
        <v>0.69999999999999996</v>
      </c>
      <c r="N4465" s="21">
        <v>58.640000000000001</v>
      </c>
      <c r="O4465" s="22">
        <v>0.70999999999999996</v>
      </c>
    </row>
    <row r="4466" ht="25.5">
      <c r="A4466" t="s">
        <v>4566</v>
      </c>
      <c r="B4466" s="19">
        <v>98549</v>
      </c>
      <c r="C4466" s="20" t="s">
        <v>4567</v>
      </c>
      <c r="D4466" s="19" t="s">
        <v>29</v>
      </c>
      <c r="E4466" s="21" t="str">
        <f t="shared" si="206"/>
        <v>VERIFICAR</v>
      </c>
      <c r="F4466" s="22">
        <v>0</v>
      </c>
      <c r="G4466" s="21" t="str">
        <f t="shared" si="207"/>
        <v>VERIFICAR</v>
      </c>
      <c r="H4466" s="22">
        <v>0</v>
      </c>
      <c r="I4466" s="23" t="str">
        <f t="shared" si="208"/>
        <v xml:space="preserve">COM VALOR</v>
      </c>
      <c r="J4466" s="19"/>
      <c r="L4466" s="21">
        <v>0</v>
      </c>
      <c r="M4466" s="22"/>
      <c r="N4466" s="21">
        <v>0</v>
      </c>
      <c r="O4466" s="22"/>
    </row>
    <row r="4467" ht="25.5">
      <c r="A4467" t="s">
        <v>4566</v>
      </c>
      <c r="B4467" s="19">
        <v>98562</v>
      </c>
      <c r="C4467" s="20" t="s">
        <v>4568</v>
      </c>
      <c r="D4467" s="19" t="s">
        <v>29</v>
      </c>
      <c r="E4467" s="21">
        <f t="shared" si="206"/>
        <v>50.270000000000003</v>
      </c>
      <c r="F4467" s="22">
        <v>0</v>
      </c>
      <c r="G4467" s="21">
        <f t="shared" si="207"/>
        <v>48.229999999999997</v>
      </c>
      <c r="H4467" s="22">
        <v>0</v>
      </c>
      <c r="I4467" s="23" t="str">
        <f t="shared" si="208"/>
        <v xml:space="preserve">COM VALOR</v>
      </c>
      <c r="J4467" s="19"/>
      <c r="L4467" s="21">
        <v>50.270000000000003</v>
      </c>
      <c r="M4467" s="22">
        <v>0</v>
      </c>
      <c r="N4467" s="21">
        <v>48.229999999999997</v>
      </c>
      <c r="O4467" s="22">
        <v>0</v>
      </c>
    </row>
    <row r="4468" ht="25.5">
      <c r="A4468" t="s">
        <v>4566</v>
      </c>
      <c r="B4468" s="19">
        <v>98555</v>
      </c>
      <c r="C4468" s="20" t="s">
        <v>4569</v>
      </c>
      <c r="D4468" s="19" t="s">
        <v>29</v>
      </c>
      <c r="E4468" s="21">
        <f t="shared" si="206"/>
        <v>31.219999999999999</v>
      </c>
      <c r="F4468" s="22">
        <v>0</v>
      </c>
      <c r="G4468" s="21">
        <f t="shared" si="207"/>
        <v>30.059999999999999</v>
      </c>
      <c r="H4468" s="22">
        <v>0</v>
      </c>
      <c r="I4468" s="23" t="str">
        <f t="shared" si="208"/>
        <v xml:space="preserve">COM VALOR</v>
      </c>
      <c r="J4468" s="19"/>
      <c r="L4468" s="21">
        <v>31.219999999999999</v>
      </c>
      <c r="M4468" s="22">
        <v>0</v>
      </c>
      <c r="N4468" s="21">
        <v>30.059999999999999</v>
      </c>
      <c r="O4468" s="22">
        <v>0</v>
      </c>
    </row>
    <row r="4469" ht="38.25">
      <c r="A4469" t="s">
        <v>4566</v>
      </c>
      <c r="B4469" s="19">
        <v>98556</v>
      </c>
      <c r="C4469" s="20" t="s">
        <v>4570</v>
      </c>
      <c r="D4469" s="19" t="s">
        <v>29</v>
      </c>
      <c r="E4469" s="21">
        <f t="shared" si="206"/>
        <v>57.740000000000002</v>
      </c>
      <c r="F4469" s="22">
        <v>0</v>
      </c>
      <c r="G4469" s="21">
        <f t="shared" si="207"/>
        <v>55.869999999999997</v>
      </c>
      <c r="H4469" s="22">
        <v>0</v>
      </c>
      <c r="I4469" s="23" t="str">
        <f t="shared" si="208"/>
        <v xml:space="preserve">COM VALOR</v>
      </c>
      <c r="J4469" s="19"/>
      <c r="L4469" s="21">
        <v>57.740000000000002</v>
      </c>
      <c r="M4469" s="22">
        <v>0.17000000000000001</v>
      </c>
      <c r="N4469" s="21">
        <v>55.869999999999997</v>
      </c>
      <c r="O4469" s="22">
        <v>0.17999999999999999</v>
      </c>
    </row>
    <row r="4470" ht="25.5">
      <c r="A4470" t="s">
        <v>4566</v>
      </c>
      <c r="B4470" s="19">
        <v>98557</v>
      </c>
      <c r="C4470" s="20" t="s">
        <v>4571</v>
      </c>
      <c r="D4470" s="19" t="s">
        <v>29</v>
      </c>
      <c r="E4470" s="21">
        <f t="shared" si="206"/>
        <v>38.259999999999998</v>
      </c>
      <c r="F4470" s="22">
        <v>0</v>
      </c>
      <c r="G4470" s="21">
        <f t="shared" si="207"/>
        <v>37.439999999999998</v>
      </c>
      <c r="H4470" s="22">
        <v>0</v>
      </c>
      <c r="I4470" s="23" t="str">
        <f t="shared" si="208"/>
        <v xml:space="preserve">COM VALOR</v>
      </c>
      <c r="J4470" s="19"/>
      <c r="L4470" s="21">
        <v>38.259999999999998</v>
      </c>
      <c r="M4470" s="22">
        <v>0.62</v>
      </c>
      <c r="N4470" s="21">
        <v>37.439999999999998</v>
      </c>
      <c r="O4470" s="22">
        <v>0.64000000000000001</v>
      </c>
    </row>
    <row r="4471" ht="25.5">
      <c r="A4471" t="s">
        <v>4566</v>
      </c>
      <c r="B4471" s="19">
        <v>98548</v>
      </c>
      <c r="C4471" s="20" t="s">
        <v>4572</v>
      </c>
      <c r="D4471" s="19" t="s">
        <v>29</v>
      </c>
      <c r="E4471" s="21" t="str">
        <f t="shared" si="206"/>
        <v>VERIFICAR</v>
      </c>
      <c r="F4471" s="22">
        <v>0</v>
      </c>
      <c r="G4471" s="21" t="str">
        <f t="shared" si="207"/>
        <v>VERIFICAR</v>
      </c>
      <c r="H4471" s="22">
        <v>0</v>
      </c>
      <c r="I4471" s="23" t="str">
        <f t="shared" si="208"/>
        <v xml:space="preserve">COM VALOR</v>
      </c>
      <c r="J4471" s="19"/>
      <c r="L4471" s="21">
        <v>0</v>
      </c>
      <c r="M4471" s="22"/>
      <c r="N4471" s="21">
        <v>0</v>
      </c>
      <c r="O4471" s="22"/>
    </row>
    <row r="4472" ht="38.25">
      <c r="A4472" t="s">
        <v>4566</v>
      </c>
      <c r="B4472" s="19">
        <v>98547</v>
      </c>
      <c r="C4472" s="20" t="s">
        <v>4573</v>
      </c>
      <c r="D4472" s="19" t="s">
        <v>29</v>
      </c>
      <c r="E4472" s="21">
        <f t="shared" si="206"/>
        <v>210.40000000000001</v>
      </c>
      <c r="F4472" s="22">
        <v>0</v>
      </c>
      <c r="G4472" s="21">
        <f t="shared" si="207"/>
        <v>207.58000000000001</v>
      </c>
      <c r="H4472" s="22">
        <v>0</v>
      </c>
      <c r="I4472" s="23" t="str">
        <f t="shared" si="208"/>
        <v xml:space="preserve">COM VALOR</v>
      </c>
      <c r="J4472" s="19"/>
      <c r="L4472" s="21">
        <v>210.40000000000001</v>
      </c>
      <c r="M4472" s="22">
        <v>0.68000000000000005</v>
      </c>
      <c r="N4472" s="21">
        <v>207.58000000000001</v>
      </c>
      <c r="O4472" s="22">
        <v>0.68000000000000005</v>
      </c>
    </row>
    <row r="4473" ht="38.25">
      <c r="A4473" t="s">
        <v>4566</v>
      </c>
      <c r="B4473" s="19">
        <v>98546</v>
      </c>
      <c r="C4473" s="20" t="s">
        <v>4574</v>
      </c>
      <c r="D4473" s="19" t="s">
        <v>29</v>
      </c>
      <c r="E4473" s="21">
        <f t="shared" si="206"/>
        <v>125.75</v>
      </c>
      <c r="F4473" s="22">
        <v>0</v>
      </c>
      <c r="G4473" s="21">
        <f t="shared" si="207"/>
        <v>123.98</v>
      </c>
      <c r="H4473" s="22">
        <v>0</v>
      </c>
      <c r="I4473" s="23" t="str">
        <f t="shared" si="208"/>
        <v xml:space="preserve">COM VALOR</v>
      </c>
      <c r="J4473" s="19"/>
      <c r="L4473" s="21">
        <v>125.75</v>
      </c>
      <c r="M4473" s="22">
        <v>0.62</v>
      </c>
      <c r="N4473" s="21">
        <v>123.98</v>
      </c>
      <c r="O4473" s="22">
        <v>0.63</v>
      </c>
    </row>
    <row r="4474" ht="25.5">
      <c r="A4474" t="s">
        <v>4566</v>
      </c>
      <c r="B4474" s="19">
        <v>98552</v>
      </c>
      <c r="C4474" s="20" t="s">
        <v>4575</v>
      </c>
      <c r="D4474" s="19" t="s">
        <v>29</v>
      </c>
      <c r="E4474" s="21" t="str">
        <f t="shared" si="206"/>
        <v>VERIFICAR</v>
      </c>
      <c r="F4474" s="22">
        <v>0</v>
      </c>
      <c r="G4474" s="21" t="str">
        <f t="shared" si="207"/>
        <v>VERIFICAR</v>
      </c>
      <c r="H4474" s="22">
        <v>0</v>
      </c>
      <c r="I4474" s="23" t="str">
        <f t="shared" si="208"/>
        <v xml:space="preserve">COM VALOR</v>
      </c>
      <c r="J4474" s="19"/>
      <c r="L4474" s="21">
        <v>0</v>
      </c>
      <c r="M4474" s="22"/>
      <c r="N4474" s="21">
        <v>0</v>
      </c>
      <c r="O4474" s="22"/>
    </row>
    <row r="4475" ht="25.5">
      <c r="A4475" t="s">
        <v>4566</v>
      </c>
      <c r="B4475" s="19">
        <v>98553</v>
      </c>
      <c r="C4475" s="20" t="s">
        <v>4576</v>
      </c>
      <c r="D4475" s="19" t="s">
        <v>29</v>
      </c>
      <c r="E4475" s="21">
        <f t="shared" si="206"/>
        <v>167.47</v>
      </c>
      <c r="F4475" s="22">
        <v>0</v>
      </c>
      <c r="G4475" s="21">
        <f t="shared" si="207"/>
        <v>166.52000000000001</v>
      </c>
      <c r="H4475" s="22">
        <v>0</v>
      </c>
      <c r="I4475" s="23" t="str">
        <f t="shared" si="208"/>
        <v xml:space="preserve">COM VALOR</v>
      </c>
      <c r="J4475" s="19"/>
      <c r="L4475" s="21">
        <v>167.47</v>
      </c>
      <c r="M4475" s="22">
        <v>0</v>
      </c>
      <c r="N4475" s="21">
        <v>166.52000000000001</v>
      </c>
      <c r="O4475" s="22">
        <v>0</v>
      </c>
    </row>
    <row r="4476" ht="25.5">
      <c r="A4476" t="s">
        <v>4566</v>
      </c>
      <c r="B4476" s="19">
        <v>98554</v>
      </c>
      <c r="C4476" s="20" t="s">
        <v>4577</v>
      </c>
      <c r="D4476" s="19" t="s">
        <v>29</v>
      </c>
      <c r="E4476" s="21">
        <f t="shared" si="206"/>
        <v>45.770000000000003</v>
      </c>
      <c r="F4476" s="22">
        <v>0</v>
      </c>
      <c r="G4476" s="21">
        <f t="shared" si="207"/>
        <v>44.689999999999998</v>
      </c>
      <c r="H4476" s="22">
        <v>0</v>
      </c>
      <c r="I4476" s="23" t="str">
        <f t="shared" si="208"/>
        <v xml:space="preserve">COM VALOR</v>
      </c>
      <c r="J4476" s="19"/>
      <c r="L4476" s="21">
        <v>45.770000000000003</v>
      </c>
      <c r="M4476" s="22">
        <v>0</v>
      </c>
      <c r="N4476" s="21">
        <v>44.689999999999998</v>
      </c>
      <c r="O4476" s="22">
        <v>0</v>
      </c>
    </row>
    <row r="4477" ht="25.5">
      <c r="A4477" t="s">
        <v>4566</v>
      </c>
      <c r="B4477" s="19">
        <v>98565</v>
      </c>
      <c r="C4477" s="20" t="s">
        <v>4578</v>
      </c>
      <c r="D4477" s="19" t="s">
        <v>29</v>
      </c>
      <c r="E4477" s="21">
        <f t="shared" si="206"/>
        <v>54.460000000000001</v>
      </c>
      <c r="F4477" s="22">
        <v>0</v>
      </c>
      <c r="G4477" s="21">
        <f t="shared" si="207"/>
        <v>52.659999999999997</v>
      </c>
      <c r="H4477" s="22">
        <v>0</v>
      </c>
      <c r="I4477" s="23" t="str">
        <f t="shared" si="208"/>
        <v xml:space="preserve">COM VALOR</v>
      </c>
      <c r="J4477" s="19"/>
      <c r="L4477" s="21">
        <v>54.460000000000001</v>
      </c>
      <c r="M4477" s="22">
        <v>4.0000000000000001e-002</v>
      </c>
      <c r="N4477" s="21">
        <v>52.659999999999997</v>
      </c>
      <c r="O4477" s="22">
        <v>4.0000000000000001e-002</v>
      </c>
    </row>
    <row r="4478" ht="25.5">
      <c r="A4478" t="s">
        <v>4566</v>
      </c>
      <c r="B4478" s="19">
        <v>98567</v>
      </c>
      <c r="C4478" s="20" t="s">
        <v>4579</v>
      </c>
      <c r="D4478" s="19" t="s">
        <v>29</v>
      </c>
      <c r="E4478" s="21">
        <f t="shared" si="206"/>
        <v>69.890000000000001</v>
      </c>
      <c r="F4478" s="22">
        <v>0</v>
      </c>
      <c r="G4478" s="21">
        <f t="shared" si="207"/>
        <v>67.510000000000005</v>
      </c>
      <c r="H4478" s="22">
        <v>0</v>
      </c>
      <c r="I4478" s="23" t="str">
        <f t="shared" si="208"/>
        <v xml:space="preserve">COM VALOR</v>
      </c>
      <c r="J4478" s="19"/>
      <c r="L4478" s="21">
        <v>69.890000000000001</v>
      </c>
      <c r="M4478" s="22">
        <v>2.9999999999999999e-002</v>
      </c>
      <c r="N4478" s="21">
        <v>67.510000000000005</v>
      </c>
      <c r="O4478" s="22">
        <v>2.9999999999999999e-002</v>
      </c>
    </row>
    <row r="4479" ht="25.5">
      <c r="A4479" t="s">
        <v>4566</v>
      </c>
      <c r="B4479" s="19">
        <v>98569</v>
      </c>
      <c r="C4479" s="20" t="s">
        <v>4580</v>
      </c>
      <c r="D4479" s="19" t="s">
        <v>29</v>
      </c>
      <c r="E4479" s="21">
        <f t="shared" si="206"/>
        <v>86.150000000000006</v>
      </c>
      <c r="F4479" s="22">
        <v>0</v>
      </c>
      <c r="G4479" s="21">
        <f t="shared" si="207"/>
        <v>83.170000000000002</v>
      </c>
      <c r="H4479" s="22">
        <v>0</v>
      </c>
      <c r="I4479" s="23" t="str">
        <f t="shared" si="208"/>
        <v xml:space="preserve">COM VALOR</v>
      </c>
      <c r="J4479" s="19"/>
      <c r="L4479" s="21">
        <v>86.150000000000006</v>
      </c>
      <c r="M4479" s="22">
        <v>2.9999999999999999e-002</v>
      </c>
      <c r="N4479" s="21">
        <v>83.170000000000002</v>
      </c>
      <c r="O4479" s="22">
        <v>2.9999999999999999e-002</v>
      </c>
    </row>
    <row r="4480" ht="25.5">
      <c r="A4480" t="s">
        <v>4566</v>
      </c>
      <c r="B4480" s="19">
        <v>98571</v>
      </c>
      <c r="C4480" s="20" t="s">
        <v>4581</v>
      </c>
      <c r="D4480" s="19" t="s">
        <v>29</v>
      </c>
      <c r="E4480" s="21">
        <f t="shared" si="206"/>
        <v>48.289999999999999</v>
      </c>
      <c r="F4480" s="22">
        <v>0</v>
      </c>
      <c r="G4480" s="21">
        <f t="shared" si="207"/>
        <v>47.020000000000003</v>
      </c>
      <c r="H4480" s="22">
        <v>0</v>
      </c>
      <c r="I4480" s="23" t="str">
        <f t="shared" si="208"/>
        <v xml:space="preserve">COM VALOR</v>
      </c>
      <c r="J4480" s="19"/>
      <c r="L4480" s="21">
        <v>48.289999999999999</v>
      </c>
      <c r="M4480" s="22">
        <v>5.0000000000000003e-002</v>
      </c>
      <c r="N4480" s="21">
        <v>47.020000000000003</v>
      </c>
      <c r="O4480" s="22">
        <v>5.0000000000000003e-002</v>
      </c>
    </row>
    <row r="4481" ht="25.5">
      <c r="A4481" t="s">
        <v>4566</v>
      </c>
      <c r="B4481" s="19">
        <v>98572</v>
      </c>
      <c r="C4481" s="20" t="s">
        <v>4582</v>
      </c>
      <c r="D4481" s="19" t="s">
        <v>29</v>
      </c>
      <c r="E4481" s="21">
        <f t="shared" si="206"/>
        <v>59.25</v>
      </c>
      <c r="F4481" s="22">
        <v>0</v>
      </c>
      <c r="G4481" s="21">
        <f t="shared" si="207"/>
        <v>57.670000000000002</v>
      </c>
      <c r="H4481" s="22">
        <v>0</v>
      </c>
      <c r="I4481" s="23" t="str">
        <f t="shared" si="208"/>
        <v xml:space="preserve">COM VALOR</v>
      </c>
      <c r="J4481" s="19"/>
      <c r="L4481" s="21">
        <v>59.25</v>
      </c>
      <c r="M4481" s="22">
        <v>4.0000000000000001e-002</v>
      </c>
      <c r="N4481" s="21">
        <v>57.670000000000002</v>
      </c>
      <c r="O4481" s="22">
        <v>4.0000000000000001e-002</v>
      </c>
    </row>
    <row r="4482" ht="25.5">
      <c r="A4482" t="s">
        <v>4566</v>
      </c>
      <c r="B4482" s="19">
        <v>98563</v>
      </c>
      <c r="C4482" s="20" t="s">
        <v>4583</v>
      </c>
      <c r="D4482" s="19" t="s">
        <v>29</v>
      </c>
      <c r="E4482" s="21">
        <f t="shared" si="206"/>
        <v>38.219999999999999</v>
      </c>
      <c r="F4482" s="22">
        <v>0</v>
      </c>
      <c r="G4482" s="21">
        <f t="shared" si="207"/>
        <v>37</v>
      </c>
      <c r="H4482" s="22">
        <v>0</v>
      </c>
      <c r="I4482" s="23" t="str">
        <f t="shared" si="208"/>
        <v xml:space="preserve">COM VALOR</v>
      </c>
      <c r="J4482" s="19"/>
      <c r="L4482" s="21">
        <v>38.219999999999999</v>
      </c>
      <c r="M4482" s="22">
        <v>5.9999999999999998e-002</v>
      </c>
      <c r="N4482" s="21">
        <v>37</v>
      </c>
      <c r="O4482" s="22">
        <v>5.9999999999999998e-002</v>
      </c>
    </row>
    <row r="4483" ht="25.5">
      <c r="A4483" t="s">
        <v>4566</v>
      </c>
      <c r="B4483" s="19">
        <v>98564</v>
      </c>
      <c r="C4483" s="20" t="s">
        <v>4584</v>
      </c>
      <c r="D4483" s="19" t="s">
        <v>29</v>
      </c>
      <c r="E4483" s="21">
        <f t="shared" si="206"/>
        <v>50</v>
      </c>
      <c r="F4483" s="22">
        <v>0</v>
      </c>
      <c r="G4483" s="21">
        <f t="shared" si="207"/>
        <v>48.670000000000002</v>
      </c>
      <c r="H4483" s="22">
        <v>0</v>
      </c>
      <c r="I4483" s="23" t="str">
        <f t="shared" si="208"/>
        <v xml:space="preserve">COM VALOR</v>
      </c>
      <c r="J4483" s="19"/>
      <c r="L4483" s="21">
        <v>50</v>
      </c>
      <c r="M4483" s="22">
        <v>0</v>
      </c>
      <c r="N4483" s="21">
        <v>48.670000000000002</v>
      </c>
      <c r="O4483" s="22">
        <v>0</v>
      </c>
    </row>
    <row r="4484" ht="25.5">
      <c r="A4484" t="s">
        <v>4566</v>
      </c>
      <c r="B4484" s="19">
        <v>98566</v>
      </c>
      <c r="C4484" s="20" t="s">
        <v>4585</v>
      </c>
      <c r="D4484" s="19" t="s">
        <v>29</v>
      </c>
      <c r="E4484" s="21">
        <f t="shared" si="206"/>
        <v>66.260000000000005</v>
      </c>
      <c r="F4484" s="22">
        <v>0</v>
      </c>
      <c r="G4484" s="21">
        <f t="shared" si="207"/>
        <v>64.329999999999998</v>
      </c>
      <c r="H4484" s="22">
        <v>0</v>
      </c>
      <c r="I4484" s="23" t="str">
        <f t="shared" si="208"/>
        <v xml:space="preserve">COM VALOR</v>
      </c>
      <c r="J4484" s="19"/>
      <c r="L4484" s="21">
        <v>66.260000000000005</v>
      </c>
      <c r="M4484" s="22">
        <v>0</v>
      </c>
      <c r="N4484" s="21">
        <v>64.329999999999998</v>
      </c>
      <c r="O4484" s="22">
        <v>0</v>
      </c>
    </row>
    <row r="4485" ht="25.5">
      <c r="A4485" t="s">
        <v>4566</v>
      </c>
      <c r="B4485" s="19">
        <v>98568</v>
      </c>
      <c r="C4485" s="20" t="s">
        <v>4586</v>
      </c>
      <c r="D4485" s="19" t="s">
        <v>29</v>
      </c>
      <c r="E4485" s="21">
        <f t="shared" si="206"/>
        <v>81.680000000000007</v>
      </c>
      <c r="F4485" s="22">
        <v>0</v>
      </c>
      <c r="G4485" s="21">
        <f t="shared" si="207"/>
        <v>79.180000000000007</v>
      </c>
      <c r="H4485" s="22">
        <v>0</v>
      </c>
      <c r="I4485" s="23" t="str">
        <f t="shared" si="208"/>
        <v xml:space="preserve">COM VALOR</v>
      </c>
      <c r="J4485" s="19"/>
      <c r="L4485" s="21">
        <v>81.680000000000007</v>
      </c>
      <c r="M4485" s="22">
        <v>0</v>
      </c>
      <c r="N4485" s="21">
        <v>79.180000000000007</v>
      </c>
      <c r="O4485" s="22">
        <v>0</v>
      </c>
    </row>
    <row r="4486" ht="25.5">
      <c r="A4486" t="s">
        <v>4566</v>
      </c>
      <c r="B4486" s="19">
        <v>98570</v>
      </c>
      <c r="C4486" s="20" t="s">
        <v>4587</v>
      </c>
      <c r="D4486" s="19" t="s">
        <v>29</v>
      </c>
      <c r="E4486" s="21">
        <f t="shared" si="206"/>
        <v>97.939999999999998</v>
      </c>
      <c r="F4486" s="22">
        <v>0</v>
      </c>
      <c r="G4486" s="21">
        <f t="shared" si="207"/>
        <v>94.849999999999994</v>
      </c>
      <c r="H4486" s="22">
        <v>0</v>
      </c>
      <c r="I4486" s="23" t="str">
        <f t="shared" si="208"/>
        <v xml:space="preserve">COM VALOR</v>
      </c>
      <c r="J4486" s="19"/>
      <c r="L4486" s="21">
        <v>97.939999999999998</v>
      </c>
      <c r="M4486" s="22">
        <v>0</v>
      </c>
      <c r="N4486" s="21">
        <v>94.849999999999994</v>
      </c>
      <c r="O4486" s="22">
        <v>0</v>
      </c>
    </row>
    <row r="4487" ht="25.5">
      <c r="A4487" t="s">
        <v>4566</v>
      </c>
      <c r="B4487" s="19">
        <v>98573</v>
      </c>
      <c r="C4487" s="20" t="s">
        <v>4588</v>
      </c>
      <c r="D4487" s="19" t="s">
        <v>29</v>
      </c>
      <c r="E4487" s="21">
        <f t="shared" si="206"/>
        <v>70.459999999999994</v>
      </c>
      <c r="F4487" s="22">
        <v>0</v>
      </c>
      <c r="G4487" s="21">
        <f t="shared" si="207"/>
        <v>68.790000000000006</v>
      </c>
      <c r="H4487" s="22">
        <v>0</v>
      </c>
      <c r="I4487" s="23" t="str">
        <f t="shared" si="208"/>
        <v xml:space="preserve">COM VALOR</v>
      </c>
      <c r="J4487" s="19"/>
      <c r="L4487" s="21">
        <v>70.459999999999994</v>
      </c>
      <c r="M4487" s="22">
        <v>0</v>
      </c>
      <c r="N4487" s="21">
        <v>68.790000000000006</v>
      </c>
      <c r="O4487" s="22">
        <v>0</v>
      </c>
    </row>
    <row r="4488" ht="25.5">
      <c r="A4488" t="s">
        <v>4566</v>
      </c>
      <c r="B4488" s="19">
        <v>98576</v>
      </c>
      <c r="C4488" s="20" t="s">
        <v>4589</v>
      </c>
      <c r="D4488" s="19" t="s">
        <v>38</v>
      </c>
      <c r="E4488" s="21">
        <f t="shared" si="206"/>
        <v>24.27</v>
      </c>
      <c r="F4488" s="22">
        <v>0</v>
      </c>
      <c r="G4488" s="21">
        <f t="shared" si="207"/>
        <v>24.210000000000001</v>
      </c>
      <c r="H4488" s="22">
        <v>0</v>
      </c>
      <c r="I4488" s="23" t="str">
        <f t="shared" si="208"/>
        <v xml:space="preserve">COM VALOR</v>
      </c>
      <c r="J4488" s="19"/>
      <c r="L4488" s="21">
        <v>24.27</v>
      </c>
      <c r="M4488" s="22">
        <v>0.76000000000000001</v>
      </c>
      <c r="N4488" s="21">
        <v>24.210000000000001</v>
      </c>
      <c r="O4488" s="22">
        <v>0.76000000000000001</v>
      </c>
    </row>
    <row r="4489" ht="38.25">
      <c r="A4489" t="s">
        <v>4566</v>
      </c>
      <c r="B4489" s="19">
        <v>98575</v>
      </c>
      <c r="C4489" s="20" t="s">
        <v>4590</v>
      </c>
      <c r="D4489" s="19" t="s">
        <v>38</v>
      </c>
      <c r="E4489" s="21">
        <f t="shared" si="206"/>
        <v>69.049999999999997</v>
      </c>
      <c r="F4489" s="22">
        <v>0</v>
      </c>
      <c r="G4489" s="21">
        <f t="shared" si="207"/>
        <v>66.569999999999993</v>
      </c>
      <c r="H4489" s="22">
        <v>0</v>
      </c>
      <c r="I4489" s="23" t="str">
        <f t="shared" si="208"/>
        <v xml:space="preserve">COM VALOR</v>
      </c>
      <c r="J4489" s="19"/>
      <c r="L4489" s="21">
        <v>69.049999999999997</v>
      </c>
      <c r="M4489" s="22">
        <v>0</v>
      </c>
      <c r="N4489" s="21">
        <v>66.569999999999993</v>
      </c>
      <c r="O4489" s="22">
        <v>0</v>
      </c>
    </row>
    <row r="4490" ht="25.5">
      <c r="A4490" t="s">
        <v>4566</v>
      </c>
      <c r="B4490" s="19">
        <v>98577</v>
      </c>
      <c r="C4490" s="20" t="s">
        <v>4591</v>
      </c>
      <c r="D4490" s="19" t="s">
        <v>38</v>
      </c>
      <c r="E4490" s="21">
        <f t="shared" si="206"/>
        <v>47.280000000000001</v>
      </c>
      <c r="F4490" s="22">
        <v>0</v>
      </c>
      <c r="G4490" s="21">
        <f t="shared" si="207"/>
        <v>45.100000000000001</v>
      </c>
      <c r="H4490" s="22">
        <v>0</v>
      </c>
      <c r="I4490" s="23" t="str">
        <f t="shared" si="208"/>
        <v xml:space="preserve">COM VALOR</v>
      </c>
      <c r="J4490" s="19"/>
      <c r="L4490" s="21">
        <v>47.280000000000001</v>
      </c>
      <c r="M4490" s="22">
        <v>0</v>
      </c>
      <c r="N4490" s="21">
        <v>45.100000000000001</v>
      </c>
      <c r="O4490" s="22">
        <v>0</v>
      </c>
    </row>
    <row r="4491" ht="38.25">
      <c r="A4491" t="s">
        <v>4566</v>
      </c>
      <c r="B4491" s="19">
        <v>98558</v>
      </c>
      <c r="C4491" s="20" t="s">
        <v>4592</v>
      </c>
      <c r="D4491" s="19" t="s">
        <v>31</v>
      </c>
      <c r="E4491" s="21">
        <f t="shared" ref="E4491:E4554" si="209">IF(L4491=0,"VERIFICAR",L4491)</f>
        <v>9.5199999999999996</v>
      </c>
      <c r="F4491" s="22">
        <v>0</v>
      </c>
      <c r="G4491" s="21">
        <f t="shared" ref="G4491:G4554" si="210">IF(N4491=0,"VERIFICAR",N4491)</f>
        <v>9.2599999999999998</v>
      </c>
      <c r="H4491" s="22">
        <v>0</v>
      </c>
      <c r="I4491" s="23" t="str">
        <f t="shared" ref="I4491:I4554" si="211">IF(OR(E4491=0,G4491=0),"SEM VALOR","COM VALOR")</f>
        <v xml:space="preserve">COM VALOR</v>
      </c>
      <c r="J4491" s="19"/>
      <c r="L4491" s="21">
        <v>9.5199999999999996</v>
      </c>
      <c r="M4491" s="22">
        <v>0.28000000000000003</v>
      </c>
      <c r="N4491" s="21">
        <v>9.2599999999999998</v>
      </c>
      <c r="O4491" s="22">
        <v>0.28000000000000003</v>
      </c>
    </row>
    <row r="4492" ht="25.5">
      <c r="A4492" t="s">
        <v>4566</v>
      </c>
      <c r="B4492" s="19">
        <v>106110</v>
      </c>
      <c r="C4492" s="20" t="s">
        <v>4593</v>
      </c>
      <c r="D4492" s="19" t="s">
        <v>31</v>
      </c>
      <c r="E4492" s="21" t="str">
        <f t="shared" si="209"/>
        <v>VERIFICAR</v>
      </c>
      <c r="F4492" s="22">
        <v>0</v>
      </c>
      <c r="G4492" s="21" t="str">
        <f t="shared" si="210"/>
        <v>VERIFICAR</v>
      </c>
      <c r="H4492" s="22">
        <v>0</v>
      </c>
      <c r="I4492" s="23" t="str">
        <f t="shared" si="211"/>
        <v xml:space="preserve">COM VALOR</v>
      </c>
      <c r="J4492" s="19"/>
      <c r="L4492" s="21">
        <v>0</v>
      </c>
      <c r="M4492" s="22"/>
      <c r="N4492" s="21">
        <v>0</v>
      </c>
      <c r="O4492" s="22"/>
    </row>
    <row r="4493" ht="25.5">
      <c r="A4493" t="s">
        <v>4566</v>
      </c>
      <c r="B4493" s="19">
        <v>98551</v>
      </c>
      <c r="C4493" s="20" t="s">
        <v>4594</v>
      </c>
      <c r="D4493" s="19" t="s">
        <v>38</v>
      </c>
      <c r="E4493" s="21" t="str">
        <f t="shared" si="209"/>
        <v>VERIFICAR</v>
      </c>
      <c r="F4493" s="22">
        <v>0</v>
      </c>
      <c r="G4493" s="21" t="str">
        <f t="shared" si="210"/>
        <v>VERIFICAR</v>
      </c>
      <c r="H4493" s="22">
        <v>0</v>
      </c>
      <c r="I4493" s="23" t="str">
        <f t="shared" si="211"/>
        <v xml:space="preserve">COM VALOR</v>
      </c>
      <c r="J4493" s="19"/>
      <c r="L4493" s="21">
        <v>0</v>
      </c>
      <c r="M4493" s="22"/>
      <c r="N4493" s="21">
        <v>0</v>
      </c>
      <c r="O4493" s="22"/>
    </row>
    <row r="4494" ht="12.75">
      <c r="A4494" t="s">
        <v>4566</v>
      </c>
      <c r="B4494" s="19">
        <v>98559</v>
      </c>
      <c r="C4494" s="20" t="s">
        <v>4595</v>
      </c>
      <c r="D4494" s="19" t="s">
        <v>38</v>
      </c>
      <c r="E4494" s="21">
        <f t="shared" si="209"/>
        <v>5.0099999999999998</v>
      </c>
      <c r="F4494" s="22">
        <v>0</v>
      </c>
      <c r="G4494" s="21">
        <f t="shared" si="210"/>
        <v>4.9000000000000004</v>
      </c>
      <c r="H4494" s="22">
        <v>0</v>
      </c>
      <c r="I4494" s="23" t="str">
        <f t="shared" si="211"/>
        <v xml:space="preserve">COM VALOR</v>
      </c>
      <c r="J4494" s="19"/>
      <c r="L4494" s="21">
        <v>5.0099999999999998</v>
      </c>
      <c r="M4494" s="22">
        <v>0.59999999999999998</v>
      </c>
      <c r="N4494" s="21">
        <v>4.9000000000000004</v>
      </c>
      <c r="O4494" s="22">
        <v>0.60999999999999999</v>
      </c>
    </row>
    <row r="4495" ht="25.5">
      <c r="A4495" t="s">
        <v>4596</v>
      </c>
      <c r="B4495" s="19">
        <v>91925</v>
      </c>
      <c r="C4495" s="20" t="s">
        <v>4597</v>
      </c>
      <c r="D4495" s="19" t="s">
        <v>38</v>
      </c>
      <c r="E4495" s="21">
        <f t="shared" si="209"/>
        <v>4.2800000000000002</v>
      </c>
      <c r="F4495" s="22">
        <v>0</v>
      </c>
      <c r="G4495" s="21">
        <f t="shared" si="210"/>
        <v>4.21</v>
      </c>
      <c r="H4495" s="22">
        <v>0</v>
      </c>
      <c r="I4495" s="23" t="str">
        <f t="shared" si="211"/>
        <v xml:space="preserve">COM VALOR</v>
      </c>
      <c r="J4495" s="19"/>
      <c r="L4495" s="21">
        <v>4.2800000000000002</v>
      </c>
      <c r="M4495" s="22">
        <v>0</v>
      </c>
      <c r="N4495" s="21">
        <v>4.21</v>
      </c>
      <c r="O4495" s="22">
        <v>0</v>
      </c>
    </row>
    <row r="4496" ht="25.5">
      <c r="A4496" t="s">
        <v>4596</v>
      </c>
      <c r="B4496" s="19">
        <v>91924</v>
      </c>
      <c r="C4496" s="20" t="s">
        <v>4598</v>
      </c>
      <c r="D4496" s="19" t="s">
        <v>38</v>
      </c>
      <c r="E4496" s="21">
        <f t="shared" si="209"/>
        <v>3.5099999999999998</v>
      </c>
      <c r="F4496" s="22">
        <v>0</v>
      </c>
      <c r="G4496" s="21">
        <f t="shared" si="210"/>
        <v>3.4399999999999999</v>
      </c>
      <c r="H4496" s="22">
        <v>0</v>
      </c>
      <c r="I4496" s="23" t="str">
        <f t="shared" si="211"/>
        <v xml:space="preserve">COM VALOR</v>
      </c>
      <c r="J4496" s="19"/>
      <c r="L4496" s="21">
        <v>3.5099999999999998</v>
      </c>
      <c r="M4496" s="22">
        <v>0</v>
      </c>
      <c r="N4496" s="21">
        <v>3.4399999999999999</v>
      </c>
      <c r="O4496" s="22">
        <v>0</v>
      </c>
    </row>
    <row r="4497" ht="25.5">
      <c r="A4497" t="s">
        <v>4596</v>
      </c>
      <c r="B4497" s="19">
        <v>91933</v>
      </c>
      <c r="C4497" s="20" t="s">
        <v>4599</v>
      </c>
      <c r="D4497" s="19" t="s">
        <v>38</v>
      </c>
      <c r="E4497" s="21">
        <f t="shared" si="209"/>
        <v>19.370000000000001</v>
      </c>
      <c r="F4497" s="22">
        <v>0</v>
      </c>
      <c r="G4497" s="21">
        <f t="shared" si="210"/>
        <v>19.129999999999999</v>
      </c>
      <c r="H4497" s="22">
        <v>0</v>
      </c>
      <c r="I4497" s="23" t="str">
        <f t="shared" si="211"/>
        <v xml:space="preserve">COM VALOR</v>
      </c>
      <c r="J4497" s="19"/>
      <c r="L4497" s="21">
        <v>19.370000000000001</v>
      </c>
      <c r="M4497" s="22">
        <v>0</v>
      </c>
      <c r="N4497" s="21">
        <v>19.129999999999999</v>
      </c>
      <c r="O4497" s="22">
        <v>0</v>
      </c>
    </row>
    <row r="4498" ht="25.5">
      <c r="A4498" t="s">
        <v>4596</v>
      </c>
      <c r="B4498" s="19">
        <v>91932</v>
      </c>
      <c r="C4498" s="20" t="s">
        <v>4600</v>
      </c>
      <c r="D4498" s="19" t="s">
        <v>38</v>
      </c>
      <c r="E4498" s="21">
        <f t="shared" si="209"/>
        <v>20.100000000000001</v>
      </c>
      <c r="F4498" s="22">
        <v>0</v>
      </c>
      <c r="G4498" s="21">
        <f t="shared" si="210"/>
        <v>19.859999999999999</v>
      </c>
      <c r="H4498" s="22">
        <v>0</v>
      </c>
      <c r="I4498" s="23" t="str">
        <f t="shared" si="211"/>
        <v xml:space="preserve">COM VALOR</v>
      </c>
      <c r="J4498" s="19"/>
      <c r="L4498" s="21">
        <v>20.100000000000001</v>
      </c>
      <c r="M4498" s="22">
        <v>0</v>
      </c>
      <c r="N4498" s="21">
        <v>19.859999999999999</v>
      </c>
      <c r="O4498" s="22">
        <v>0</v>
      </c>
    </row>
    <row r="4499" ht="25.5">
      <c r="A4499" t="s">
        <v>4596</v>
      </c>
      <c r="B4499" s="19">
        <v>91935</v>
      </c>
      <c r="C4499" s="20" t="s">
        <v>4601</v>
      </c>
      <c r="D4499" s="19" t="s">
        <v>38</v>
      </c>
      <c r="E4499" s="21">
        <f t="shared" si="209"/>
        <v>30.43</v>
      </c>
      <c r="F4499" s="22">
        <v>0</v>
      </c>
      <c r="G4499" s="21">
        <f t="shared" si="210"/>
        <v>30.079999999999998</v>
      </c>
      <c r="H4499" s="22">
        <v>0</v>
      </c>
      <c r="I4499" s="23" t="str">
        <f t="shared" si="211"/>
        <v xml:space="preserve">COM VALOR</v>
      </c>
      <c r="J4499" s="19"/>
      <c r="L4499" s="21">
        <v>30.43</v>
      </c>
      <c r="M4499" s="22">
        <v>0</v>
      </c>
      <c r="N4499" s="21">
        <v>30.079999999999998</v>
      </c>
      <c r="O4499" s="22">
        <v>0</v>
      </c>
    </row>
    <row r="4500" ht="25.5">
      <c r="A4500" t="s">
        <v>4596</v>
      </c>
      <c r="B4500" s="19">
        <v>91934</v>
      </c>
      <c r="C4500" s="20" t="s">
        <v>4602</v>
      </c>
      <c r="D4500" s="19" t="s">
        <v>38</v>
      </c>
      <c r="E4500" s="21">
        <f t="shared" si="209"/>
        <v>29</v>
      </c>
      <c r="F4500" s="22">
        <v>0</v>
      </c>
      <c r="G4500" s="21">
        <f t="shared" si="210"/>
        <v>28.649999999999999</v>
      </c>
      <c r="H4500" s="22">
        <v>0</v>
      </c>
      <c r="I4500" s="23" t="str">
        <f t="shared" si="211"/>
        <v xml:space="preserve">COM VALOR</v>
      </c>
      <c r="J4500" s="19"/>
      <c r="L4500" s="21">
        <v>29</v>
      </c>
      <c r="M4500" s="22">
        <v>0</v>
      </c>
      <c r="N4500" s="21">
        <v>28.649999999999999</v>
      </c>
      <c r="O4500" s="22">
        <v>0</v>
      </c>
    </row>
    <row r="4501" ht="25.5">
      <c r="A4501" t="s">
        <v>4596</v>
      </c>
      <c r="B4501" s="19">
        <v>91927</v>
      </c>
      <c r="C4501" s="20" t="s">
        <v>4603</v>
      </c>
      <c r="D4501" s="19" t="s">
        <v>38</v>
      </c>
      <c r="E4501" s="21">
        <f t="shared" si="209"/>
        <v>5.79</v>
      </c>
      <c r="F4501" s="22">
        <v>0</v>
      </c>
      <c r="G4501" s="21">
        <f t="shared" si="210"/>
        <v>5.7000000000000002</v>
      </c>
      <c r="H4501" s="22">
        <v>0</v>
      </c>
      <c r="I4501" s="23" t="str">
        <f t="shared" si="211"/>
        <v xml:space="preserve">COM VALOR</v>
      </c>
      <c r="J4501" s="19"/>
      <c r="L4501" s="21">
        <v>5.79</v>
      </c>
      <c r="M4501" s="22">
        <v>0</v>
      </c>
      <c r="N4501" s="21">
        <v>5.7000000000000002</v>
      </c>
      <c r="O4501" s="22">
        <v>0</v>
      </c>
    </row>
    <row r="4502" ht="25.5">
      <c r="A4502" t="s">
        <v>4596</v>
      </c>
      <c r="B4502" s="19">
        <v>91926</v>
      </c>
      <c r="C4502" s="20" t="s">
        <v>4604</v>
      </c>
      <c r="D4502" s="19" t="s">
        <v>38</v>
      </c>
      <c r="E4502" s="21">
        <f t="shared" si="209"/>
        <v>5.1299999999999999</v>
      </c>
      <c r="F4502" s="22">
        <v>0</v>
      </c>
      <c r="G4502" s="21">
        <f t="shared" si="210"/>
        <v>5.04</v>
      </c>
      <c r="H4502" s="22">
        <v>0</v>
      </c>
      <c r="I4502" s="23" t="str">
        <f t="shared" si="211"/>
        <v xml:space="preserve">COM VALOR</v>
      </c>
      <c r="J4502" s="19"/>
      <c r="L4502" s="21">
        <v>5.1299999999999999</v>
      </c>
      <c r="M4502" s="22">
        <v>0</v>
      </c>
      <c r="N4502" s="21">
        <v>5.04</v>
      </c>
      <c r="O4502" s="22">
        <v>0</v>
      </c>
    </row>
    <row r="4503" ht="25.5">
      <c r="A4503" t="s">
        <v>4596</v>
      </c>
      <c r="B4503" s="19">
        <v>91929</v>
      </c>
      <c r="C4503" s="20" t="s">
        <v>4605</v>
      </c>
      <c r="D4503" s="19" t="s">
        <v>38</v>
      </c>
      <c r="E4503" s="21">
        <f t="shared" si="209"/>
        <v>8.5399999999999991</v>
      </c>
      <c r="F4503" s="22">
        <v>0</v>
      </c>
      <c r="G4503" s="21">
        <f t="shared" si="210"/>
        <v>8.4199999999999999</v>
      </c>
      <c r="H4503" s="22">
        <v>0</v>
      </c>
      <c r="I4503" s="23" t="str">
        <f t="shared" si="211"/>
        <v xml:space="preserve">COM VALOR</v>
      </c>
      <c r="J4503" s="19"/>
      <c r="L4503" s="21">
        <v>8.5399999999999991</v>
      </c>
      <c r="M4503" s="22">
        <v>0</v>
      </c>
      <c r="N4503" s="21">
        <v>8.4199999999999999</v>
      </c>
      <c r="O4503" s="22">
        <v>0</v>
      </c>
    </row>
    <row r="4504" ht="25.5">
      <c r="A4504" t="s">
        <v>4596</v>
      </c>
      <c r="B4504" s="19">
        <v>91928</v>
      </c>
      <c r="C4504" s="20" t="s">
        <v>4606</v>
      </c>
      <c r="D4504" s="19" t="s">
        <v>38</v>
      </c>
      <c r="E4504" s="21">
        <f t="shared" si="209"/>
        <v>7.9699999999999998</v>
      </c>
      <c r="F4504" s="22">
        <v>0</v>
      </c>
      <c r="G4504" s="21">
        <f t="shared" si="210"/>
        <v>7.8499999999999996</v>
      </c>
      <c r="H4504" s="22">
        <v>0</v>
      </c>
      <c r="I4504" s="23" t="str">
        <f t="shared" si="211"/>
        <v xml:space="preserve">COM VALOR</v>
      </c>
      <c r="J4504" s="19"/>
      <c r="L4504" s="21">
        <v>7.9699999999999998</v>
      </c>
      <c r="M4504" s="22">
        <v>0</v>
      </c>
      <c r="N4504" s="21">
        <v>7.8499999999999996</v>
      </c>
      <c r="O4504" s="22">
        <v>0</v>
      </c>
    </row>
    <row r="4505" ht="25.5">
      <c r="A4505" t="s">
        <v>4596</v>
      </c>
      <c r="B4505" s="19">
        <v>91931</v>
      </c>
      <c r="C4505" s="20" t="s">
        <v>4607</v>
      </c>
      <c r="D4505" s="19" t="s">
        <v>38</v>
      </c>
      <c r="E4505" s="21">
        <f t="shared" si="209"/>
        <v>12.08</v>
      </c>
      <c r="F4505" s="22">
        <v>0</v>
      </c>
      <c r="G4505" s="21">
        <f t="shared" si="210"/>
        <v>11.92</v>
      </c>
      <c r="H4505" s="22">
        <v>0</v>
      </c>
      <c r="I4505" s="23" t="str">
        <f t="shared" si="211"/>
        <v xml:space="preserve">COM VALOR</v>
      </c>
      <c r="J4505" s="19"/>
      <c r="L4505" s="21">
        <v>12.08</v>
      </c>
      <c r="M4505" s="22">
        <v>0</v>
      </c>
      <c r="N4505" s="21">
        <v>11.92</v>
      </c>
      <c r="O4505" s="22">
        <v>0</v>
      </c>
    </row>
    <row r="4506" ht="25.5">
      <c r="A4506" t="s">
        <v>4596</v>
      </c>
      <c r="B4506" s="19">
        <v>91930</v>
      </c>
      <c r="C4506" s="20" t="s">
        <v>4608</v>
      </c>
      <c r="D4506" s="19" t="s">
        <v>38</v>
      </c>
      <c r="E4506" s="21">
        <f t="shared" si="209"/>
        <v>11.15</v>
      </c>
      <c r="F4506" s="22">
        <v>0</v>
      </c>
      <c r="G4506" s="21">
        <f t="shared" si="210"/>
        <v>10.99</v>
      </c>
      <c r="H4506" s="22">
        <v>0</v>
      </c>
      <c r="I4506" s="23" t="str">
        <f t="shared" si="211"/>
        <v xml:space="preserve">COM VALOR</v>
      </c>
      <c r="J4506" s="19"/>
      <c r="L4506" s="21">
        <v>11.15</v>
      </c>
      <c r="M4506" s="22">
        <v>0</v>
      </c>
      <c r="N4506" s="21">
        <v>10.99</v>
      </c>
      <c r="O4506" s="22">
        <v>0</v>
      </c>
    </row>
    <row r="4507" ht="38.25">
      <c r="A4507" t="s">
        <v>4596</v>
      </c>
      <c r="B4507" s="19">
        <v>104620</v>
      </c>
      <c r="C4507" s="20" t="s">
        <v>4609</v>
      </c>
      <c r="D4507" s="19" t="s">
        <v>31</v>
      </c>
      <c r="E4507" s="21" t="str">
        <f t="shared" si="209"/>
        <v>VERIFICAR</v>
      </c>
      <c r="F4507" s="22">
        <v>0</v>
      </c>
      <c r="G4507" s="21" t="str">
        <f t="shared" si="210"/>
        <v>VERIFICAR</v>
      </c>
      <c r="H4507" s="22">
        <v>0</v>
      </c>
      <c r="I4507" s="23" t="str">
        <f t="shared" si="211"/>
        <v xml:space="preserve">COM VALOR</v>
      </c>
      <c r="J4507" s="19"/>
      <c r="L4507" s="21">
        <v>0</v>
      </c>
      <c r="M4507" s="22"/>
      <c r="N4507" s="21">
        <v>0</v>
      </c>
      <c r="O4507" s="22"/>
    </row>
    <row r="4508" ht="38.25">
      <c r="A4508" t="s">
        <v>4596</v>
      </c>
      <c r="B4508" s="19">
        <v>104624</v>
      </c>
      <c r="C4508" s="20" t="s">
        <v>4610</v>
      </c>
      <c r="D4508" s="19" t="s">
        <v>31</v>
      </c>
      <c r="E4508" s="21" t="str">
        <f t="shared" si="209"/>
        <v>VERIFICAR</v>
      </c>
      <c r="F4508" s="22">
        <v>0</v>
      </c>
      <c r="G4508" s="21" t="str">
        <f t="shared" si="210"/>
        <v>VERIFICAR</v>
      </c>
      <c r="H4508" s="22">
        <v>0</v>
      </c>
      <c r="I4508" s="23" t="str">
        <f t="shared" si="211"/>
        <v xml:space="preserve">COM VALOR</v>
      </c>
      <c r="J4508" s="19"/>
      <c r="L4508" s="21">
        <v>0</v>
      </c>
      <c r="M4508" s="22"/>
      <c r="N4508" s="21">
        <v>0</v>
      </c>
      <c r="O4508" s="22"/>
    </row>
    <row r="4509" ht="38.25">
      <c r="A4509" t="s">
        <v>4596</v>
      </c>
      <c r="B4509" s="19">
        <v>104622</v>
      </c>
      <c r="C4509" s="20" t="s">
        <v>4611</v>
      </c>
      <c r="D4509" s="19" t="s">
        <v>31</v>
      </c>
      <c r="E4509" s="21" t="str">
        <f t="shared" si="209"/>
        <v>VERIFICAR</v>
      </c>
      <c r="F4509" s="22">
        <v>0</v>
      </c>
      <c r="G4509" s="21" t="str">
        <f t="shared" si="210"/>
        <v>VERIFICAR</v>
      </c>
      <c r="H4509" s="22">
        <v>0</v>
      </c>
      <c r="I4509" s="23" t="str">
        <f t="shared" si="211"/>
        <v xml:space="preserve">COM VALOR</v>
      </c>
      <c r="J4509" s="19"/>
      <c r="L4509" s="21">
        <v>0</v>
      </c>
      <c r="M4509" s="22"/>
      <c r="N4509" s="21">
        <v>0</v>
      </c>
      <c r="O4509" s="22"/>
    </row>
    <row r="4510" ht="38.25">
      <c r="A4510" t="s">
        <v>4596</v>
      </c>
      <c r="B4510" s="19">
        <v>104621</v>
      </c>
      <c r="C4510" s="20" t="s">
        <v>4612</v>
      </c>
      <c r="D4510" s="19" t="s">
        <v>31</v>
      </c>
      <c r="E4510" s="21" t="str">
        <f t="shared" si="209"/>
        <v>VERIFICAR</v>
      </c>
      <c r="F4510" s="22">
        <v>0</v>
      </c>
      <c r="G4510" s="21" t="str">
        <f t="shared" si="210"/>
        <v>VERIFICAR</v>
      </c>
      <c r="H4510" s="22">
        <v>0</v>
      </c>
      <c r="I4510" s="23" t="str">
        <f t="shared" si="211"/>
        <v xml:space="preserve">COM VALOR</v>
      </c>
      <c r="J4510" s="19"/>
      <c r="L4510" s="21">
        <v>0</v>
      </c>
      <c r="M4510" s="22"/>
      <c r="N4510" s="21">
        <v>0</v>
      </c>
      <c r="O4510" s="22"/>
    </row>
    <row r="4511" ht="38.25">
      <c r="A4511" t="s">
        <v>4596</v>
      </c>
      <c r="B4511" s="19">
        <v>104625</v>
      </c>
      <c r="C4511" s="20" t="s">
        <v>4613</v>
      </c>
      <c r="D4511" s="19" t="s">
        <v>31</v>
      </c>
      <c r="E4511" s="21" t="str">
        <f t="shared" si="209"/>
        <v>VERIFICAR</v>
      </c>
      <c r="F4511" s="22">
        <v>0</v>
      </c>
      <c r="G4511" s="21" t="str">
        <f t="shared" si="210"/>
        <v>VERIFICAR</v>
      </c>
      <c r="H4511" s="22">
        <v>0</v>
      </c>
      <c r="I4511" s="23" t="str">
        <f t="shared" si="211"/>
        <v xml:space="preserve">COM VALOR</v>
      </c>
      <c r="J4511" s="19"/>
      <c r="L4511" s="21">
        <v>0</v>
      </c>
      <c r="M4511" s="22"/>
      <c r="N4511" s="21">
        <v>0</v>
      </c>
      <c r="O4511" s="22"/>
    </row>
    <row r="4512" ht="38.25">
      <c r="A4512" t="s">
        <v>4596</v>
      </c>
      <c r="B4512" s="19">
        <v>104623</v>
      </c>
      <c r="C4512" s="20" t="s">
        <v>4614</v>
      </c>
      <c r="D4512" s="19" t="s">
        <v>31</v>
      </c>
      <c r="E4512" s="21" t="str">
        <f t="shared" si="209"/>
        <v>VERIFICAR</v>
      </c>
      <c r="F4512" s="22">
        <v>0</v>
      </c>
      <c r="G4512" s="21" t="str">
        <f t="shared" si="210"/>
        <v>VERIFICAR</v>
      </c>
      <c r="H4512" s="22">
        <v>0</v>
      </c>
      <c r="I4512" s="23" t="str">
        <f t="shared" si="211"/>
        <v xml:space="preserve">COM VALOR</v>
      </c>
      <c r="J4512" s="19"/>
      <c r="L4512" s="21">
        <v>0</v>
      </c>
      <c r="M4512" s="22"/>
      <c r="N4512" s="21">
        <v>0</v>
      </c>
      <c r="O4512" s="22"/>
    </row>
    <row r="4513" ht="25.5">
      <c r="A4513" t="s">
        <v>4596</v>
      </c>
      <c r="B4513" s="19">
        <v>91937</v>
      </c>
      <c r="C4513" s="20" t="s">
        <v>4615</v>
      </c>
      <c r="D4513" s="19" t="s">
        <v>31</v>
      </c>
      <c r="E4513" s="21">
        <f t="shared" si="209"/>
        <v>15.25</v>
      </c>
      <c r="F4513" s="22">
        <v>0</v>
      </c>
      <c r="G4513" s="21">
        <f t="shared" si="210"/>
        <v>14.550000000000001</v>
      </c>
      <c r="H4513" s="22">
        <v>0</v>
      </c>
      <c r="I4513" s="23" t="str">
        <f t="shared" si="211"/>
        <v xml:space="preserve">COM VALOR</v>
      </c>
      <c r="J4513" s="19"/>
      <c r="L4513" s="21">
        <v>15.25</v>
      </c>
      <c r="M4513" s="22">
        <v>0</v>
      </c>
      <c r="N4513" s="21">
        <v>14.550000000000001</v>
      </c>
      <c r="O4513" s="22">
        <v>0</v>
      </c>
    </row>
    <row r="4514" ht="25.5">
      <c r="A4514" t="s">
        <v>4596</v>
      </c>
      <c r="B4514" s="19">
        <v>92865</v>
      </c>
      <c r="C4514" s="20" t="s">
        <v>4616</v>
      </c>
      <c r="D4514" s="19" t="s">
        <v>31</v>
      </c>
      <c r="E4514" s="21">
        <f t="shared" si="209"/>
        <v>15.02</v>
      </c>
      <c r="F4514" s="22">
        <v>0</v>
      </c>
      <c r="G4514" s="21">
        <f t="shared" si="210"/>
        <v>14.32</v>
      </c>
      <c r="H4514" s="22">
        <v>0</v>
      </c>
      <c r="I4514" s="23" t="str">
        <f t="shared" si="211"/>
        <v xml:space="preserve">COM VALOR</v>
      </c>
      <c r="J4514" s="19"/>
      <c r="L4514" s="21">
        <v>15.02</v>
      </c>
      <c r="M4514" s="22">
        <v>0.19</v>
      </c>
      <c r="N4514" s="21">
        <v>14.32</v>
      </c>
      <c r="O4514" s="22">
        <v>0.20000000000000001</v>
      </c>
    </row>
    <row r="4515" ht="25.5">
      <c r="A4515" t="s">
        <v>4596</v>
      </c>
      <c r="B4515" s="19">
        <v>91936</v>
      </c>
      <c r="C4515" s="20" t="s">
        <v>4617</v>
      </c>
      <c r="D4515" s="19" t="s">
        <v>31</v>
      </c>
      <c r="E4515" s="21">
        <f t="shared" si="209"/>
        <v>16.600000000000001</v>
      </c>
      <c r="F4515" s="22">
        <v>0</v>
      </c>
      <c r="G4515" s="21">
        <f t="shared" si="210"/>
        <v>15.9</v>
      </c>
      <c r="H4515" s="22">
        <v>0</v>
      </c>
      <c r="I4515" s="23" t="str">
        <f t="shared" si="211"/>
        <v xml:space="preserve">COM VALOR</v>
      </c>
      <c r="J4515" s="19"/>
      <c r="L4515" s="21">
        <v>16.600000000000001</v>
      </c>
      <c r="M4515" s="22">
        <v>0</v>
      </c>
      <c r="N4515" s="21">
        <v>15.9</v>
      </c>
      <c r="O4515" s="22">
        <v>0</v>
      </c>
    </row>
    <row r="4516" ht="25.5">
      <c r="A4516" t="s">
        <v>4596</v>
      </c>
      <c r="B4516" s="19">
        <v>92867</v>
      </c>
      <c r="C4516" s="20" t="s">
        <v>4618</v>
      </c>
      <c r="D4516" s="19" t="s">
        <v>31</v>
      </c>
      <c r="E4516" s="21">
        <f t="shared" si="209"/>
        <v>32.149999999999999</v>
      </c>
      <c r="F4516" s="22">
        <v>0</v>
      </c>
      <c r="G4516" s="21">
        <f t="shared" si="210"/>
        <v>30.440000000000001</v>
      </c>
      <c r="H4516" s="22">
        <v>0</v>
      </c>
      <c r="I4516" s="23" t="str">
        <f t="shared" si="211"/>
        <v xml:space="preserve">COM VALOR</v>
      </c>
      <c r="J4516" s="19"/>
      <c r="L4516" s="21">
        <v>32.149999999999999</v>
      </c>
      <c r="M4516" s="22">
        <v>4.0000000000000001e-002</v>
      </c>
      <c r="N4516" s="21">
        <v>30.440000000000001</v>
      </c>
      <c r="O4516" s="22">
        <v>4.0000000000000001e-002</v>
      </c>
    </row>
    <row r="4517" ht="25.5">
      <c r="A4517" t="s">
        <v>4596</v>
      </c>
      <c r="B4517" s="19">
        <v>91939</v>
      </c>
      <c r="C4517" s="20" t="s">
        <v>4619</v>
      </c>
      <c r="D4517" s="19" t="s">
        <v>31</v>
      </c>
      <c r="E4517" s="21">
        <f t="shared" si="209"/>
        <v>32.520000000000003</v>
      </c>
      <c r="F4517" s="22">
        <v>0</v>
      </c>
      <c r="G4517" s="21">
        <f t="shared" si="210"/>
        <v>30.809999999999999</v>
      </c>
      <c r="H4517" s="22">
        <v>0</v>
      </c>
      <c r="I4517" s="23" t="str">
        <f t="shared" si="211"/>
        <v xml:space="preserve">COM VALOR</v>
      </c>
      <c r="J4517" s="19"/>
      <c r="L4517" s="21">
        <v>32.520000000000003</v>
      </c>
      <c r="M4517" s="22">
        <v>0</v>
      </c>
      <c r="N4517" s="21">
        <v>30.809999999999999</v>
      </c>
      <c r="O4517" s="22">
        <v>0</v>
      </c>
    </row>
    <row r="4518" ht="25.5">
      <c r="A4518" t="s">
        <v>4596</v>
      </c>
      <c r="B4518" s="19">
        <v>92869</v>
      </c>
      <c r="C4518" s="20" t="s">
        <v>4620</v>
      </c>
      <c r="D4518" s="19" t="s">
        <v>31</v>
      </c>
      <c r="E4518" s="21">
        <f t="shared" si="209"/>
        <v>10.93</v>
      </c>
      <c r="F4518" s="22">
        <v>0</v>
      </c>
      <c r="G4518" s="21">
        <f t="shared" si="210"/>
        <v>10.42</v>
      </c>
      <c r="H4518" s="22">
        <v>0</v>
      </c>
      <c r="I4518" s="23" t="str">
        <f t="shared" si="211"/>
        <v xml:space="preserve">COM VALOR</v>
      </c>
      <c r="J4518" s="19"/>
      <c r="L4518" s="21">
        <v>10.93</v>
      </c>
      <c r="M4518" s="22">
        <v>0.12</v>
      </c>
      <c r="N4518" s="21">
        <v>10.42</v>
      </c>
      <c r="O4518" s="22">
        <v>0.13</v>
      </c>
    </row>
    <row r="4519" ht="25.5">
      <c r="A4519" t="s">
        <v>4596</v>
      </c>
      <c r="B4519" s="19">
        <v>91941</v>
      </c>
      <c r="C4519" s="20" t="s">
        <v>4621</v>
      </c>
      <c r="D4519" s="19" t="s">
        <v>31</v>
      </c>
      <c r="E4519" s="21">
        <f t="shared" si="209"/>
        <v>11.300000000000001</v>
      </c>
      <c r="F4519" s="22">
        <v>0</v>
      </c>
      <c r="G4519" s="21">
        <f t="shared" si="210"/>
        <v>10.789999999999999</v>
      </c>
      <c r="H4519" s="22">
        <v>0</v>
      </c>
      <c r="I4519" s="23" t="str">
        <f t="shared" si="211"/>
        <v xml:space="preserve">COM VALOR</v>
      </c>
      <c r="J4519" s="19"/>
      <c r="L4519" s="21">
        <v>11.300000000000001</v>
      </c>
      <c r="M4519" s="22">
        <v>0</v>
      </c>
      <c r="N4519" s="21">
        <v>10.789999999999999</v>
      </c>
      <c r="O4519" s="22">
        <v>0</v>
      </c>
    </row>
    <row r="4520" ht="25.5">
      <c r="A4520" t="s">
        <v>4596</v>
      </c>
      <c r="B4520" s="19">
        <v>92868</v>
      </c>
      <c r="C4520" s="20" t="s">
        <v>4622</v>
      </c>
      <c r="D4520" s="19" t="s">
        <v>31</v>
      </c>
      <c r="E4520" s="21">
        <f t="shared" si="209"/>
        <v>17.920000000000002</v>
      </c>
      <c r="F4520" s="22">
        <v>0</v>
      </c>
      <c r="G4520" s="21">
        <f t="shared" si="210"/>
        <v>17.010000000000002</v>
      </c>
      <c r="H4520" s="22">
        <v>0</v>
      </c>
      <c r="I4520" s="23" t="str">
        <f t="shared" si="211"/>
        <v xml:space="preserve">COM VALOR</v>
      </c>
      <c r="J4520" s="19"/>
      <c r="L4520" s="21">
        <v>17.920000000000002</v>
      </c>
      <c r="M4520" s="22">
        <v>7.0000000000000007e-002</v>
      </c>
      <c r="N4520" s="21">
        <v>17.010000000000002</v>
      </c>
      <c r="O4520" s="22">
        <v>8.0000000000000002e-002</v>
      </c>
    </row>
    <row r="4521" ht="25.5">
      <c r="A4521" t="s">
        <v>4596</v>
      </c>
      <c r="B4521" s="19">
        <v>91940</v>
      </c>
      <c r="C4521" s="20" t="s">
        <v>4623</v>
      </c>
      <c r="D4521" s="19" t="s">
        <v>31</v>
      </c>
      <c r="E4521" s="21">
        <f t="shared" si="209"/>
        <v>18.289999999999999</v>
      </c>
      <c r="F4521" s="22">
        <v>0</v>
      </c>
      <c r="G4521" s="21">
        <f t="shared" si="210"/>
        <v>17.379999999999999</v>
      </c>
      <c r="H4521" s="22">
        <v>0</v>
      </c>
      <c r="I4521" s="23" t="str">
        <f t="shared" si="211"/>
        <v xml:space="preserve">COM VALOR</v>
      </c>
      <c r="J4521" s="19"/>
      <c r="L4521" s="21">
        <v>18.289999999999999</v>
      </c>
      <c r="M4521" s="22">
        <v>0</v>
      </c>
      <c r="N4521" s="21">
        <v>17.379999999999999</v>
      </c>
      <c r="O4521" s="22">
        <v>0</v>
      </c>
    </row>
    <row r="4522" ht="25.5">
      <c r="A4522" t="s">
        <v>4596</v>
      </c>
      <c r="B4522" s="19">
        <v>92870</v>
      </c>
      <c r="C4522" s="20" t="s">
        <v>4624</v>
      </c>
      <c r="D4522" s="19" t="s">
        <v>31</v>
      </c>
      <c r="E4522" s="21">
        <f t="shared" si="209"/>
        <v>34.890000000000001</v>
      </c>
      <c r="F4522" s="22">
        <v>0</v>
      </c>
      <c r="G4522" s="21">
        <f t="shared" si="210"/>
        <v>33.119999999999997</v>
      </c>
      <c r="H4522" s="22">
        <v>0</v>
      </c>
      <c r="I4522" s="23" t="str">
        <f t="shared" si="211"/>
        <v xml:space="preserve">COM VALOR</v>
      </c>
      <c r="J4522" s="19"/>
      <c r="L4522" s="21">
        <v>34.890000000000001</v>
      </c>
      <c r="M4522" s="22">
        <v>8.0000000000000002e-002</v>
      </c>
      <c r="N4522" s="21">
        <v>33.119999999999997</v>
      </c>
      <c r="O4522" s="22">
        <v>8.9999999999999997e-002</v>
      </c>
    </row>
    <row r="4523" ht="25.5">
      <c r="A4523" t="s">
        <v>4596</v>
      </c>
      <c r="B4523" s="19">
        <v>91942</v>
      </c>
      <c r="C4523" s="20" t="s">
        <v>4625</v>
      </c>
      <c r="D4523" s="19" t="s">
        <v>31</v>
      </c>
      <c r="E4523" s="21">
        <f t="shared" si="209"/>
        <v>35.460000000000001</v>
      </c>
      <c r="F4523" s="22">
        <v>0</v>
      </c>
      <c r="G4523" s="21">
        <f t="shared" si="210"/>
        <v>33.689999999999998</v>
      </c>
      <c r="H4523" s="22">
        <v>0</v>
      </c>
      <c r="I4523" s="23" t="str">
        <f t="shared" si="211"/>
        <v xml:space="preserve">COM VALOR</v>
      </c>
      <c r="J4523" s="19"/>
      <c r="L4523" s="21">
        <v>35.460000000000001</v>
      </c>
      <c r="M4523" s="22">
        <v>0</v>
      </c>
      <c r="N4523" s="21">
        <v>33.689999999999998</v>
      </c>
      <c r="O4523" s="22">
        <v>0</v>
      </c>
    </row>
    <row r="4524" ht="25.5">
      <c r="A4524" t="s">
        <v>4596</v>
      </c>
      <c r="B4524" s="19">
        <v>92872</v>
      </c>
      <c r="C4524" s="20" t="s">
        <v>4626</v>
      </c>
      <c r="D4524" s="19" t="s">
        <v>31</v>
      </c>
      <c r="E4524" s="21">
        <f t="shared" si="209"/>
        <v>12.91</v>
      </c>
      <c r="F4524" s="22">
        <v>0</v>
      </c>
      <c r="G4524" s="21">
        <f t="shared" si="210"/>
        <v>12.369999999999999</v>
      </c>
      <c r="H4524" s="22">
        <v>0</v>
      </c>
      <c r="I4524" s="23" t="str">
        <f t="shared" si="211"/>
        <v xml:space="preserve">COM VALOR</v>
      </c>
      <c r="J4524" s="19"/>
      <c r="L4524" s="21">
        <v>12.91</v>
      </c>
      <c r="M4524" s="22">
        <v>0.22</v>
      </c>
      <c r="N4524" s="21">
        <v>12.369999999999999</v>
      </c>
      <c r="O4524" s="22">
        <v>0.23000000000000001</v>
      </c>
    </row>
    <row r="4525" ht="25.5">
      <c r="A4525" t="s">
        <v>4596</v>
      </c>
      <c r="B4525" s="19">
        <v>91944</v>
      </c>
      <c r="C4525" s="20" t="s">
        <v>4627</v>
      </c>
      <c r="D4525" s="19" t="s">
        <v>31</v>
      </c>
      <c r="E4525" s="21">
        <f t="shared" si="209"/>
        <v>13.48</v>
      </c>
      <c r="F4525" s="22">
        <v>0</v>
      </c>
      <c r="G4525" s="21">
        <f t="shared" si="210"/>
        <v>12.94</v>
      </c>
      <c r="H4525" s="22">
        <v>0</v>
      </c>
      <c r="I4525" s="23" t="str">
        <f t="shared" si="211"/>
        <v xml:space="preserve">COM VALOR</v>
      </c>
      <c r="J4525" s="19"/>
      <c r="L4525" s="21">
        <v>13.48</v>
      </c>
      <c r="M4525" s="22">
        <v>0</v>
      </c>
      <c r="N4525" s="21">
        <v>12.94</v>
      </c>
      <c r="O4525" s="22">
        <v>0</v>
      </c>
    </row>
    <row r="4526" ht="25.5">
      <c r="A4526" t="s">
        <v>4596</v>
      </c>
      <c r="B4526" s="19">
        <v>92871</v>
      </c>
      <c r="C4526" s="20" t="s">
        <v>4628</v>
      </c>
      <c r="D4526" s="19" t="s">
        <v>31</v>
      </c>
      <c r="E4526" s="21">
        <f t="shared" si="209"/>
        <v>20.170000000000002</v>
      </c>
      <c r="F4526" s="22">
        <v>0</v>
      </c>
      <c r="G4526" s="21">
        <f t="shared" si="210"/>
        <v>19.219999999999999</v>
      </c>
      <c r="H4526" s="22">
        <v>0</v>
      </c>
      <c r="I4526" s="23" t="str">
        <f t="shared" si="211"/>
        <v xml:space="preserve">COM VALOR</v>
      </c>
      <c r="J4526" s="19"/>
      <c r="L4526" s="21">
        <v>20.170000000000002</v>
      </c>
      <c r="M4526" s="22">
        <v>0.14000000000000001</v>
      </c>
      <c r="N4526" s="21">
        <v>19.219999999999999</v>
      </c>
      <c r="O4526" s="22">
        <v>0.14999999999999999</v>
      </c>
    </row>
    <row r="4527" ht="25.5">
      <c r="A4527" t="s">
        <v>4596</v>
      </c>
      <c r="B4527" s="19">
        <v>91943</v>
      </c>
      <c r="C4527" s="20" t="s">
        <v>4629</v>
      </c>
      <c r="D4527" s="19" t="s">
        <v>31</v>
      </c>
      <c r="E4527" s="21">
        <f t="shared" si="209"/>
        <v>20.739999999999998</v>
      </c>
      <c r="F4527" s="22">
        <v>0</v>
      </c>
      <c r="G4527" s="21">
        <f t="shared" si="210"/>
        <v>19.789999999999999</v>
      </c>
      <c r="H4527" s="22">
        <v>0</v>
      </c>
      <c r="I4527" s="23" t="str">
        <f t="shared" si="211"/>
        <v xml:space="preserve">COM VALOR</v>
      </c>
      <c r="J4527" s="19"/>
      <c r="L4527" s="21">
        <v>20.739999999999998</v>
      </c>
      <c r="M4527" s="22">
        <v>0</v>
      </c>
      <c r="N4527" s="21">
        <v>19.789999999999999</v>
      </c>
      <c r="O4527" s="22">
        <v>0</v>
      </c>
    </row>
    <row r="4528" ht="25.5">
      <c r="A4528" t="s">
        <v>4596</v>
      </c>
      <c r="B4528" s="19">
        <v>92866</v>
      </c>
      <c r="C4528" s="20" t="s">
        <v>4630</v>
      </c>
      <c r="D4528" s="19" t="s">
        <v>31</v>
      </c>
      <c r="E4528" s="21">
        <f t="shared" si="209"/>
        <v>13.49</v>
      </c>
      <c r="F4528" s="22">
        <v>0</v>
      </c>
      <c r="G4528" s="21">
        <f t="shared" si="210"/>
        <v>12.789999999999999</v>
      </c>
      <c r="H4528" s="22">
        <v>0</v>
      </c>
      <c r="I4528" s="23" t="str">
        <f t="shared" si="211"/>
        <v xml:space="preserve">COM VALOR</v>
      </c>
      <c r="J4528" s="19"/>
      <c r="L4528" s="21">
        <v>13.49</v>
      </c>
      <c r="M4528" s="22">
        <v>0.10000000000000001</v>
      </c>
      <c r="N4528" s="21">
        <v>12.789999999999999</v>
      </c>
      <c r="O4528" s="22">
        <v>0.10000000000000001</v>
      </c>
    </row>
    <row r="4529" ht="25.5">
      <c r="A4529" t="s">
        <v>4596</v>
      </c>
      <c r="B4529" s="19">
        <v>91987</v>
      </c>
      <c r="C4529" s="20" t="s">
        <v>4631</v>
      </c>
      <c r="D4529" s="19" t="s">
        <v>31</v>
      </c>
      <c r="E4529" s="21">
        <f t="shared" si="209"/>
        <v>46.670000000000002</v>
      </c>
      <c r="F4529" s="22">
        <v>0</v>
      </c>
      <c r="G4529" s="21">
        <f t="shared" si="210"/>
        <v>45.140000000000001</v>
      </c>
      <c r="H4529" s="22">
        <v>0</v>
      </c>
      <c r="I4529" s="23" t="str">
        <f t="shared" si="211"/>
        <v xml:space="preserve">COM VALOR</v>
      </c>
      <c r="J4529" s="19"/>
      <c r="L4529" s="21">
        <v>46.670000000000002</v>
      </c>
      <c r="M4529" s="22">
        <v>0</v>
      </c>
      <c r="N4529" s="21">
        <v>45.140000000000001</v>
      </c>
      <c r="O4529" s="22">
        <v>0</v>
      </c>
    </row>
    <row r="4530" ht="25.5">
      <c r="A4530" t="s">
        <v>4596</v>
      </c>
      <c r="B4530" s="19">
        <v>91986</v>
      </c>
      <c r="C4530" s="20" t="s">
        <v>4632</v>
      </c>
      <c r="D4530" s="19" t="s">
        <v>31</v>
      </c>
      <c r="E4530" s="21">
        <f t="shared" si="209"/>
        <v>35.810000000000002</v>
      </c>
      <c r="F4530" s="22">
        <v>0</v>
      </c>
      <c r="G4530" s="21">
        <f t="shared" si="210"/>
        <v>34.68</v>
      </c>
      <c r="H4530" s="22">
        <v>0</v>
      </c>
      <c r="I4530" s="23" t="str">
        <f t="shared" si="211"/>
        <v xml:space="preserve">COM VALOR</v>
      </c>
      <c r="J4530" s="19"/>
      <c r="L4530" s="21">
        <v>35.810000000000002</v>
      </c>
      <c r="M4530" s="22">
        <v>0</v>
      </c>
      <c r="N4530" s="21">
        <v>34.68</v>
      </c>
      <c r="O4530" s="22">
        <v>0</v>
      </c>
    </row>
    <row r="4531" ht="38.25">
      <c r="A4531" t="s">
        <v>4596</v>
      </c>
      <c r="B4531" s="19">
        <v>97559</v>
      </c>
      <c r="C4531" s="20" t="s">
        <v>4633</v>
      </c>
      <c r="D4531" s="19" t="s">
        <v>31</v>
      </c>
      <c r="E4531" s="21">
        <f t="shared" si="209"/>
        <v>13.119999999999999</v>
      </c>
      <c r="F4531" s="22">
        <v>0</v>
      </c>
      <c r="G4531" s="21">
        <f t="shared" si="210"/>
        <v>12.48</v>
      </c>
      <c r="H4531" s="22">
        <v>0</v>
      </c>
      <c r="I4531" s="23" t="str">
        <f t="shared" si="211"/>
        <v xml:space="preserve">COM VALOR</v>
      </c>
      <c r="J4531" s="19"/>
      <c r="L4531" s="21">
        <v>13.119999999999999</v>
      </c>
      <c r="M4531" s="22">
        <v>0</v>
      </c>
      <c r="N4531" s="21">
        <v>12.48</v>
      </c>
      <c r="O4531" s="22">
        <v>0</v>
      </c>
    </row>
    <row r="4532" ht="38.25">
      <c r="A4532" t="s">
        <v>4596</v>
      </c>
      <c r="B4532" s="19">
        <v>97562</v>
      </c>
      <c r="C4532" s="20" t="s">
        <v>4634</v>
      </c>
      <c r="D4532" s="19" t="s">
        <v>31</v>
      </c>
      <c r="E4532" s="21">
        <f t="shared" si="209"/>
        <v>10.710000000000001</v>
      </c>
      <c r="F4532" s="22">
        <v>0</v>
      </c>
      <c r="G4532" s="21">
        <f t="shared" si="210"/>
        <v>10.199999999999999</v>
      </c>
      <c r="H4532" s="22">
        <v>0</v>
      </c>
      <c r="I4532" s="23" t="str">
        <f t="shared" si="211"/>
        <v xml:space="preserve">COM VALOR</v>
      </c>
      <c r="J4532" s="19"/>
      <c r="L4532" s="21">
        <v>10.710000000000001</v>
      </c>
      <c r="M4532" s="22">
        <v>0</v>
      </c>
      <c r="N4532" s="21">
        <v>10.199999999999999</v>
      </c>
      <c r="O4532" s="22">
        <v>0</v>
      </c>
    </row>
    <row r="4533" ht="38.25">
      <c r="A4533" t="s">
        <v>4596</v>
      </c>
      <c r="B4533" s="19">
        <v>97564</v>
      </c>
      <c r="C4533" s="20" t="s">
        <v>4635</v>
      </c>
      <c r="D4533" s="19" t="s">
        <v>31</v>
      </c>
      <c r="E4533" s="21">
        <f t="shared" si="209"/>
        <v>18.010000000000002</v>
      </c>
      <c r="F4533" s="22">
        <v>0</v>
      </c>
      <c r="G4533" s="21">
        <f t="shared" si="210"/>
        <v>17.09</v>
      </c>
      <c r="H4533" s="22">
        <v>0</v>
      </c>
      <c r="I4533" s="23" t="str">
        <f t="shared" si="211"/>
        <v xml:space="preserve">COM VALOR</v>
      </c>
      <c r="J4533" s="19"/>
      <c r="L4533" s="21">
        <v>18.010000000000002</v>
      </c>
      <c r="M4533" s="22">
        <v>0</v>
      </c>
      <c r="N4533" s="21">
        <v>17.09</v>
      </c>
      <c r="O4533" s="22">
        <v>0</v>
      </c>
    </row>
    <row r="4534" ht="38.25">
      <c r="A4534" t="s">
        <v>4596</v>
      </c>
      <c r="B4534" s="19">
        <v>91889</v>
      </c>
      <c r="C4534" s="20" t="s">
        <v>4636</v>
      </c>
      <c r="D4534" s="19" t="s">
        <v>31</v>
      </c>
      <c r="E4534" s="21">
        <f t="shared" si="209"/>
        <v>11.73</v>
      </c>
      <c r="F4534" s="22">
        <v>0</v>
      </c>
      <c r="G4534" s="21">
        <f t="shared" si="210"/>
        <v>11.17</v>
      </c>
      <c r="H4534" s="22">
        <v>0</v>
      </c>
      <c r="I4534" s="23" t="str">
        <f t="shared" si="211"/>
        <v xml:space="preserve">COM VALOR</v>
      </c>
      <c r="J4534" s="19"/>
      <c r="L4534" s="21">
        <v>11.73</v>
      </c>
      <c r="M4534" s="22">
        <v>0</v>
      </c>
      <c r="N4534" s="21">
        <v>11.17</v>
      </c>
      <c r="O4534" s="22">
        <v>0</v>
      </c>
    </row>
    <row r="4535" ht="38.25">
      <c r="A4535" t="s">
        <v>4596</v>
      </c>
      <c r="B4535" s="19">
        <v>91901</v>
      </c>
      <c r="C4535" s="20" t="s">
        <v>4637</v>
      </c>
      <c r="D4535" s="19" t="s">
        <v>31</v>
      </c>
      <c r="E4535" s="21">
        <f t="shared" si="209"/>
        <v>9.3100000000000005</v>
      </c>
      <c r="F4535" s="22">
        <v>0</v>
      </c>
      <c r="G4535" s="21">
        <f t="shared" si="210"/>
        <v>8.8900000000000006</v>
      </c>
      <c r="H4535" s="22">
        <v>0</v>
      </c>
      <c r="I4535" s="23" t="str">
        <f t="shared" si="211"/>
        <v xml:space="preserve">COM VALOR</v>
      </c>
      <c r="J4535" s="19"/>
      <c r="L4535" s="21">
        <v>9.3100000000000005</v>
      </c>
      <c r="M4535" s="22">
        <v>0</v>
      </c>
      <c r="N4535" s="21">
        <v>8.8900000000000006</v>
      </c>
      <c r="O4535" s="22">
        <v>0</v>
      </c>
    </row>
    <row r="4536" ht="38.25">
      <c r="A4536" t="s">
        <v>4596</v>
      </c>
      <c r="B4536" s="19">
        <v>91913</v>
      </c>
      <c r="C4536" s="20" t="s">
        <v>4638</v>
      </c>
      <c r="D4536" s="19" t="s">
        <v>31</v>
      </c>
      <c r="E4536" s="21">
        <f t="shared" si="209"/>
        <v>16.690000000000001</v>
      </c>
      <c r="F4536" s="22">
        <v>0</v>
      </c>
      <c r="G4536" s="21">
        <f t="shared" si="210"/>
        <v>15.84</v>
      </c>
      <c r="H4536" s="22">
        <v>0</v>
      </c>
      <c r="I4536" s="23" t="str">
        <f t="shared" si="211"/>
        <v xml:space="preserve">COM VALOR</v>
      </c>
      <c r="J4536" s="19"/>
      <c r="L4536" s="21">
        <v>16.690000000000001</v>
      </c>
      <c r="M4536" s="22">
        <v>0</v>
      </c>
      <c r="N4536" s="21">
        <v>15.84</v>
      </c>
      <c r="O4536" s="22">
        <v>0</v>
      </c>
    </row>
    <row r="4537" ht="38.25">
      <c r="A4537" t="s">
        <v>4596</v>
      </c>
      <c r="B4537" s="19">
        <v>91892</v>
      </c>
      <c r="C4537" s="20" t="s">
        <v>4639</v>
      </c>
      <c r="D4537" s="19" t="s">
        <v>31</v>
      </c>
      <c r="E4537" s="21">
        <f t="shared" si="209"/>
        <v>14.699999999999999</v>
      </c>
      <c r="F4537" s="22">
        <v>0</v>
      </c>
      <c r="G4537" s="21">
        <f t="shared" si="210"/>
        <v>14.06</v>
      </c>
      <c r="H4537" s="22">
        <v>0</v>
      </c>
      <c r="I4537" s="23" t="str">
        <f t="shared" si="211"/>
        <v xml:space="preserve">COM VALOR</v>
      </c>
      <c r="J4537" s="19"/>
      <c r="L4537" s="21">
        <v>14.699999999999999</v>
      </c>
      <c r="M4537" s="22">
        <v>0</v>
      </c>
      <c r="N4537" s="21">
        <v>14.06</v>
      </c>
      <c r="O4537" s="22">
        <v>0</v>
      </c>
    </row>
    <row r="4538" ht="38.25">
      <c r="A4538" t="s">
        <v>4596</v>
      </c>
      <c r="B4538" s="19">
        <v>91904</v>
      </c>
      <c r="C4538" s="20" t="s">
        <v>4640</v>
      </c>
      <c r="D4538" s="19" t="s">
        <v>31</v>
      </c>
      <c r="E4538" s="21">
        <f t="shared" si="209"/>
        <v>12.289999999999999</v>
      </c>
      <c r="F4538" s="22">
        <v>0</v>
      </c>
      <c r="G4538" s="21">
        <f t="shared" si="210"/>
        <v>11.779999999999999</v>
      </c>
      <c r="H4538" s="22">
        <v>0</v>
      </c>
      <c r="I4538" s="23" t="str">
        <f t="shared" si="211"/>
        <v xml:space="preserve">COM VALOR</v>
      </c>
      <c r="J4538" s="19"/>
      <c r="L4538" s="21">
        <v>12.289999999999999</v>
      </c>
      <c r="M4538" s="22">
        <v>0</v>
      </c>
      <c r="N4538" s="21">
        <v>11.779999999999999</v>
      </c>
      <c r="O4538" s="22">
        <v>0</v>
      </c>
    </row>
    <row r="4539" ht="38.25">
      <c r="A4539" t="s">
        <v>4596</v>
      </c>
      <c r="B4539" s="19">
        <v>91916</v>
      </c>
      <c r="C4539" s="20" t="s">
        <v>4641</v>
      </c>
      <c r="D4539" s="19" t="s">
        <v>31</v>
      </c>
      <c r="E4539" s="21">
        <f t="shared" si="209"/>
        <v>19.59</v>
      </c>
      <c r="F4539" s="22">
        <v>0</v>
      </c>
      <c r="G4539" s="21">
        <f t="shared" si="210"/>
        <v>18.670000000000002</v>
      </c>
      <c r="H4539" s="22">
        <v>0</v>
      </c>
      <c r="I4539" s="23" t="str">
        <f t="shared" si="211"/>
        <v xml:space="preserve">COM VALOR</v>
      </c>
      <c r="J4539" s="19"/>
      <c r="L4539" s="21">
        <v>19.59</v>
      </c>
      <c r="M4539" s="22">
        <v>0</v>
      </c>
      <c r="N4539" s="21">
        <v>18.670000000000002</v>
      </c>
      <c r="O4539" s="22">
        <v>0</v>
      </c>
    </row>
    <row r="4540" ht="38.25">
      <c r="A4540" t="s">
        <v>4596</v>
      </c>
      <c r="B4540" s="19">
        <v>91895</v>
      </c>
      <c r="C4540" s="20" t="s">
        <v>4642</v>
      </c>
      <c r="D4540" s="19" t="s">
        <v>31</v>
      </c>
      <c r="E4540" s="21">
        <f t="shared" si="209"/>
        <v>17.609999999999999</v>
      </c>
      <c r="F4540" s="22">
        <v>0</v>
      </c>
      <c r="G4540" s="21">
        <f t="shared" si="210"/>
        <v>16.859999999999999</v>
      </c>
      <c r="H4540" s="22">
        <v>0</v>
      </c>
      <c r="I4540" s="23" t="str">
        <f t="shared" si="211"/>
        <v xml:space="preserve">COM VALOR</v>
      </c>
      <c r="J4540" s="19"/>
      <c r="L4540" s="21">
        <v>17.609999999999999</v>
      </c>
      <c r="M4540" s="22">
        <v>0</v>
      </c>
      <c r="N4540" s="21">
        <v>16.859999999999999</v>
      </c>
      <c r="O4540" s="22">
        <v>0</v>
      </c>
    </row>
    <row r="4541" ht="38.25">
      <c r="A4541" t="s">
        <v>4596</v>
      </c>
      <c r="B4541" s="19">
        <v>91907</v>
      </c>
      <c r="C4541" s="20" t="s">
        <v>4643</v>
      </c>
      <c r="D4541" s="19" t="s">
        <v>31</v>
      </c>
      <c r="E4541" s="21">
        <f t="shared" si="209"/>
        <v>15.199999999999999</v>
      </c>
      <c r="F4541" s="22">
        <v>0</v>
      </c>
      <c r="G4541" s="21">
        <f t="shared" si="210"/>
        <v>14.58</v>
      </c>
      <c r="H4541" s="22">
        <v>0</v>
      </c>
      <c r="I4541" s="23" t="str">
        <f t="shared" si="211"/>
        <v xml:space="preserve">COM VALOR</v>
      </c>
      <c r="J4541" s="19"/>
      <c r="L4541" s="21">
        <v>15.199999999999999</v>
      </c>
      <c r="M4541" s="22">
        <v>0</v>
      </c>
      <c r="N4541" s="21">
        <v>14.58</v>
      </c>
      <c r="O4541" s="22">
        <v>0</v>
      </c>
    </row>
    <row r="4542" ht="38.25">
      <c r="A4542" t="s">
        <v>4596</v>
      </c>
      <c r="B4542" s="19">
        <v>91919</v>
      </c>
      <c r="C4542" s="20" t="s">
        <v>4644</v>
      </c>
      <c r="D4542" s="19" t="s">
        <v>31</v>
      </c>
      <c r="E4542" s="21">
        <f t="shared" si="209"/>
        <v>22.449999999999999</v>
      </c>
      <c r="F4542" s="22">
        <v>0</v>
      </c>
      <c r="G4542" s="21">
        <f t="shared" si="210"/>
        <v>21.43</v>
      </c>
      <c r="H4542" s="22">
        <v>0</v>
      </c>
      <c r="I4542" s="23" t="str">
        <f t="shared" si="211"/>
        <v xml:space="preserve">COM VALOR</v>
      </c>
      <c r="J4542" s="19"/>
      <c r="L4542" s="21">
        <v>22.449999999999999</v>
      </c>
      <c r="M4542" s="22">
        <v>0</v>
      </c>
      <c r="N4542" s="21">
        <v>21.43</v>
      </c>
      <c r="O4542" s="22">
        <v>0</v>
      </c>
    </row>
    <row r="4543" ht="38.25">
      <c r="A4543" t="s">
        <v>4596</v>
      </c>
      <c r="B4543" s="19">
        <v>91898</v>
      </c>
      <c r="C4543" s="20" t="s">
        <v>4645</v>
      </c>
      <c r="D4543" s="19" t="s">
        <v>31</v>
      </c>
      <c r="E4543" s="21">
        <f t="shared" si="209"/>
        <v>20.18</v>
      </c>
      <c r="F4543" s="22">
        <v>0</v>
      </c>
      <c r="G4543" s="21">
        <f t="shared" si="210"/>
        <v>19.32</v>
      </c>
      <c r="H4543" s="22">
        <v>0</v>
      </c>
      <c r="I4543" s="23" t="str">
        <f t="shared" si="211"/>
        <v xml:space="preserve">COM VALOR</v>
      </c>
      <c r="J4543" s="19"/>
      <c r="L4543" s="21">
        <v>20.18</v>
      </c>
      <c r="M4543" s="22">
        <v>0</v>
      </c>
      <c r="N4543" s="21">
        <v>19.32</v>
      </c>
      <c r="O4543" s="22">
        <v>0</v>
      </c>
    </row>
    <row r="4544" ht="38.25">
      <c r="A4544" t="s">
        <v>4596</v>
      </c>
      <c r="B4544" s="19">
        <v>91910</v>
      </c>
      <c r="C4544" s="20" t="s">
        <v>4646</v>
      </c>
      <c r="D4544" s="19" t="s">
        <v>31</v>
      </c>
      <c r="E4544" s="21">
        <f t="shared" si="209"/>
        <v>17.82</v>
      </c>
      <c r="F4544" s="22">
        <v>0</v>
      </c>
      <c r="G4544" s="21">
        <f t="shared" si="210"/>
        <v>17.09</v>
      </c>
      <c r="H4544" s="22">
        <v>0</v>
      </c>
      <c r="I4544" s="23" t="str">
        <f t="shared" si="211"/>
        <v xml:space="preserve">COM VALOR</v>
      </c>
      <c r="J4544" s="19"/>
      <c r="L4544" s="21">
        <v>17.82</v>
      </c>
      <c r="M4544" s="22">
        <v>0</v>
      </c>
      <c r="N4544" s="21">
        <v>17.09</v>
      </c>
      <c r="O4544" s="22">
        <v>0</v>
      </c>
    </row>
    <row r="4545" ht="38.25">
      <c r="A4545" t="s">
        <v>4596</v>
      </c>
      <c r="B4545" s="19">
        <v>91922</v>
      </c>
      <c r="C4545" s="20" t="s">
        <v>4647</v>
      </c>
      <c r="D4545" s="19" t="s">
        <v>31</v>
      </c>
      <c r="E4545" s="21">
        <f t="shared" si="209"/>
        <v>24.960000000000001</v>
      </c>
      <c r="F4545" s="22">
        <v>0</v>
      </c>
      <c r="G4545" s="21">
        <f t="shared" si="210"/>
        <v>23.829999999999998</v>
      </c>
      <c r="H4545" s="22">
        <v>0</v>
      </c>
      <c r="I4545" s="23" t="str">
        <f t="shared" si="211"/>
        <v xml:space="preserve">COM VALOR</v>
      </c>
      <c r="J4545" s="19"/>
      <c r="L4545" s="21">
        <v>24.960000000000001</v>
      </c>
      <c r="M4545" s="22">
        <v>0</v>
      </c>
      <c r="N4545" s="21">
        <v>23.829999999999998</v>
      </c>
      <c r="O4545" s="22">
        <v>0</v>
      </c>
    </row>
    <row r="4546" ht="38.25">
      <c r="A4546" t="s">
        <v>4596</v>
      </c>
      <c r="B4546" s="19">
        <v>91887</v>
      </c>
      <c r="C4546" s="20" t="s">
        <v>4648</v>
      </c>
      <c r="D4546" s="19" t="s">
        <v>31</v>
      </c>
      <c r="E4546" s="21">
        <f t="shared" si="209"/>
        <v>11.94</v>
      </c>
      <c r="F4546" s="22">
        <v>0</v>
      </c>
      <c r="G4546" s="21">
        <f t="shared" si="210"/>
        <v>11.380000000000001</v>
      </c>
      <c r="H4546" s="22">
        <v>0</v>
      </c>
      <c r="I4546" s="23" t="str">
        <f t="shared" si="211"/>
        <v xml:space="preserve">COM VALOR</v>
      </c>
      <c r="J4546" s="19"/>
      <c r="L4546" s="21">
        <v>11.94</v>
      </c>
      <c r="M4546" s="22">
        <v>0</v>
      </c>
      <c r="N4546" s="21">
        <v>11.380000000000001</v>
      </c>
      <c r="O4546" s="22">
        <v>0</v>
      </c>
    </row>
    <row r="4547" ht="38.25">
      <c r="A4547" t="s">
        <v>4596</v>
      </c>
      <c r="B4547" s="19">
        <v>91899</v>
      </c>
      <c r="C4547" s="20" t="s">
        <v>4649</v>
      </c>
      <c r="D4547" s="19" t="s">
        <v>31</v>
      </c>
      <c r="E4547" s="21">
        <f t="shared" si="209"/>
        <v>9.5199999999999996</v>
      </c>
      <c r="F4547" s="22">
        <v>0</v>
      </c>
      <c r="G4547" s="21">
        <f t="shared" si="210"/>
        <v>9.0999999999999996</v>
      </c>
      <c r="H4547" s="22">
        <v>0</v>
      </c>
      <c r="I4547" s="23" t="str">
        <f t="shared" si="211"/>
        <v xml:space="preserve">COM VALOR</v>
      </c>
      <c r="J4547" s="19"/>
      <c r="L4547" s="21">
        <v>9.5199999999999996</v>
      </c>
      <c r="M4547" s="22">
        <v>0</v>
      </c>
      <c r="N4547" s="21">
        <v>9.0999999999999996</v>
      </c>
      <c r="O4547" s="22">
        <v>0</v>
      </c>
    </row>
    <row r="4548" ht="38.25">
      <c r="A4548" t="s">
        <v>4596</v>
      </c>
      <c r="B4548" s="19">
        <v>91911</v>
      </c>
      <c r="C4548" s="20" t="s">
        <v>4650</v>
      </c>
      <c r="D4548" s="19" t="s">
        <v>31</v>
      </c>
      <c r="E4548" s="21">
        <f t="shared" si="209"/>
        <v>16.899999999999999</v>
      </c>
      <c r="F4548" s="22">
        <v>0</v>
      </c>
      <c r="G4548" s="21">
        <f t="shared" si="210"/>
        <v>16.050000000000001</v>
      </c>
      <c r="H4548" s="22">
        <v>0</v>
      </c>
      <c r="I4548" s="23" t="str">
        <f t="shared" si="211"/>
        <v xml:space="preserve">COM VALOR</v>
      </c>
      <c r="J4548" s="19"/>
      <c r="L4548" s="21">
        <v>16.899999999999999</v>
      </c>
      <c r="M4548" s="22">
        <v>0</v>
      </c>
      <c r="N4548" s="21">
        <v>16.050000000000001</v>
      </c>
      <c r="O4548" s="22">
        <v>0</v>
      </c>
    </row>
    <row r="4549" ht="38.25">
      <c r="A4549" t="s">
        <v>4596</v>
      </c>
      <c r="B4549" s="19">
        <v>91890</v>
      </c>
      <c r="C4549" s="20" t="s">
        <v>4651</v>
      </c>
      <c r="D4549" s="19" t="s">
        <v>31</v>
      </c>
      <c r="E4549" s="21">
        <f t="shared" si="209"/>
        <v>13.279999999999999</v>
      </c>
      <c r="F4549" s="22">
        <v>0</v>
      </c>
      <c r="G4549" s="21">
        <f t="shared" si="210"/>
        <v>12.640000000000001</v>
      </c>
      <c r="H4549" s="22">
        <v>0</v>
      </c>
      <c r="I4549" s="23" t="str">
        <f t="shared" si="211"/>
        <v xml:space="preserve">COM VALOR</v>
      </c>
      <c r="J4549" s="19"/>
      <c r="L4549" s="21">
        <v>13.279999999999999</v>
      </c>
      <c r="M4549" s="22">
        <v>0</v>
      </c>
      <c r="N4549" s="21">
        <v>12.640000000000001</v>
      </c>
      <c r="O4549" s="22">
        <v>0</v>
      </c>
    </row>
    <row r="4550" ht="38.25">
      <c r="A4550" t="s">
        <v>4596</v>
      </c>
      <c r="B4550" s="19">
        <v>91902</v>
      </c>
      <c r="C4550" s="20" t="s">
        <v>4652</v>
      </c>
      <c r="D4550" s="19" t="s">
        <v>31</v>
      </c>
      <c r="E4550" s="21">
        <f t="shared" si="209"/>
        <v>10.869999999999999</v>
      </c>
      <c r="F4550" s="22">
        <v>0</v>
      </c>
      <c r="G4550" s="21">
        <f t="shared" si="210"/>
        <v>10.359999999999999</v>
      </c>
      <c r="H4550" s="22">
        <v>0</v>
      </c>
      <c r="I4550" s="23" t="str">
        <f t="shared" si="211"/>
        <v xml:space="preserve">COM VALOR</v>
      </c>
      <c r="J4550" s="19"/>
      <c r="L4550" s="21">
        <v>10.869999999999999</v>
      </c>
      <c r="M4550" s="22">
        <v>0</v>
      </c>
      <c r="N4550" s="21">
        <v>10.359999999999999</v>
      </c>
      <c r="O4550" s="22">
        <v>0</v>
      </c>
    </row>
    <row r="4551" ht="38.25">
      <c r="A4551" t="s">
        <v>4596</v>
      </c>
      <c r="B4551" s="19">
        <v>91914</v>
      </c>
      <c r="C4551" s="20" t="s">
        <v>4653</v>
      </c>
      <c r="D4551" s="19" t="s">
        <v>31</v>
      </c>
      <c r="E4551" s="21">
        <f t="shared" si="209"/>
        <v>18.170000000000002</v>
      </c>
      <c r="F4551" s="22">
        <v>0</v>
      </c>
      <c r="G4551" s="21">
        <f t="shared" si="210"/>
        <v>17.25</v>
      </c>
      <c r="H4551" s="22">
        <v>0</v>
      </c>
      <c r="I4551" s="23" t="str">
        <f t="shared" si="211"/>
        <v xml:space="preserve">COM VALOR</v>
      </c>
      <c r="J4551" s="19"/>
      <c r="L4551" s="21">
        <v>18.170000000000002</v>
      </c>
      <c r="M4551" s="22">
        <v>0</v>
      </c>
      <c r="N4551" s="21">
        <v>17.25</v>
      </c>
      <c r="O4551" s="22">
        <v>0</v>
      </c>
    </row>
    <row r="4552" ht="38.25">
      <c r="A4552" t="s">
        <v>4596</v>
      </c>
      <c r="B4552" s="19">
        <v>91893</v>
      </c>
      <c r="C4552" s="20" t="s">
        <v>4654</v>
      </c>
      <c r="D4552" s="19" t="s">
        <v>31</v>
      </c>
      <c r="E4552" s="21">
        <f t="shared" si="209"/>
        <v>16.170000000000002</v>
      </c>
      <c r="F4552" s="22">
        <v>0</v>
      </c>
      <c r="G4552" s="21">
        <f t="shared" si="210"/>
        <v>15.42</v>
      </c>
      <c r="H4552" s="22">
        <v>0</v>
      </c>
      <c r="I4552" s="23" t="str">
        <f t="shared" si="211"/>
        <v xml:space="preserve">COM VALOR</v>
      </c>
      <c r="J4552" s="19"/>
      <c r="L4552" s="21">
        <v>16.170000000000002</v>
      </c>
      <c r="M4552" s="22">
        <v>0</v>
      </c>
      <c r="N4552" s="21">
        <v>15.42</v>
      </c>
      <c r="O4552" s="22">
        <v>0</v>
      </c>
    </row>
    <row r="4553" ht="38.25">
      <c r="A4553" t="s">
        <v>4596</v>
      </c>
      <c r="B4553" s="19">
        <v>91905</v>
      </c>
      <c r="C4553" s="20" t="s">
        <v>4655</v>
      </c>
      <c r="D4553" s="19" t="s">
        <v>31</v>
      </c>
      <c r="E4553" s="21">
        <f t="shared" si="209"/>
        <v>13.76</v>
      </c>
      <c r="F4553" s="22">
        <v>0</v>
      </c>
      <c r="G4553" s="21">
        <f t="shared" si="210"/>
        <v>13.140000000000001</v>
      </c>
      <c r="H4553" s="22">
        <v>0</v>
      </c>
      <c r="I4553" s="23" t="str">
        <f t="shared" si="211"/>
        <v xml:space="preserve">COM VALOR</v>
      </c>
      <c r="J4553" s="19"/>
      <c r="L4553" s="21">
        <v>13.76</v>
      </c>
      <c r="M4553" s="22">
        <v>0</v>
      </c>
      <c r="N4553" s="21">
        <v>13.140000000000001</v>
      </c>
      <c r="O4553" s="22">
        <v>0</v>
      </c>
    </row>
    <row r="4554" ht="38.25">
      <c r="A4554" t="s">
        <v>4596</v>
      </c>
      <c r="B4554" s="19">
        <v>91917</v>
      </c>
      <c r="C4554" s="20" t="s">
        <v>4656</v>
      </c>
      <c r="D4554" s="19" t="s">
        <v>31</v>
      </c>
      <c r="E4554" s="21">
        <f t="shared" si="209"/>
        <v>21.010000000000002</v>
      </c>
      <c r="F4554" s="22">
        <v>0</v>
      </c>
      <c r="G4554" s="21">
        <f t="shared" si="210"/>
        <v>19.989999999999998</v>
      </c>
      <c r="H4554" s="22">
        <v>0</v>
      </c>
      <c r="I4554" s="23" t="str">
        <f t="shared" si="211"/>
        <v xml:space="preserve">COM VALOR</v>
      </c>
      <c r="J4554" s="19"/>
      <c r="L4554" s="21">
        <v>21.010000000000002</v>
      </c>
      <c r="M4554" s="22">
        <v>0</v>
      </c>
      <c r="N4554" s="21">
        <v>19.989999999999998</v>
      </c>
      <c r="O4554" s="22">
        <v>0</v>
      </c>
    </row>
    <row r="4555" ht="38.25">
      <c r="A4555" t="s">
        <v>4596</v>
      </c>
      <c r="B4555" s="19">
        <v>91896</v>
      </c>
      <c r="C4555" s="20" t="s">
        <v>4657</v>
      </c>
      <c r="D4555" s="19" t="s">
        <v>31</v>
      </c>
      <c r="E4555" s="21">
        <f t="shared" ref="E4555:E4618" si="212">IF(L4555=0,"VERIFICAR",L4555)</f>
        <v>18.640000000000001</v>
      </c>
      <c r="F4555" s="22">
        <v>0</v>
      </c>
      <c r="G4555" s="21">
        <f t="shared" ref="G4555:G4618" si="213">IF(N4555=0,"VERIFICAR",N4555)</f>
        <v>17.780000000000001</v>
      </c>
      <c r="H4555" s="22">
        <v>0</v>
      </c>
      <c r="I4555" s="23" t="str">
        <f t="shared" ref="I4555:I4618" si="214">IF(OR(E4555=0,G4555=0),"SEM VALOR","COM VALOR")</f>
        <v xml:space="preserve">COM VALOR</v>
      </c>
      <c r="J4555" s="19"/>
      <c r="L4555" s="21">
        <v>18.640000000000001</v>
      </c>
      <c r="M4555" s="22">
        <v>0</v>
      </c>
      <c r="N4555" s="21">
        <v>17.780000000000001</v>
      </c>
      <c r="O4555" s="22">
        <v>0</v>
      </c>
    </row>
    <row r="4556" ht="38.25">
      <c r="A4556" t="s">
        <v>4596</v>
      </c>
      <c r="B4556" s="19">
        <v>91908</v>
      </c>
      <c r="C4556" s="20" t="s">
        <v>4658</v>
      </c>
      <c r="D4556" s="19" t="s">
        <v>31</v>
      </c>
      <c r="E4556" s="21">
        <f t="shared" si="212"/>
        <v>16.280000000000001</v>
      </c>
      <c r="F4556" s="22">
        <v>0</v>
      </c>
      <c r="G4556" s="21">
        <f t="shared" si="213"/>
        <v>15.550000000000001</v>
      </c>
      <c r="H4556" s="22">
        <v>0</v>
      </c>
      <c r="I4556" s="23" t="str">
        <f t="shared" si="214"/>
        <v xml:space="preserve">COM VALOR</v>
      </c>
      <c r="J4556" s="19"/>
      <c r="L4556" s="21">
        <v>16.280000000000001</v>
      </c>
      <c r="M4556" s="22">
        <v>0</v>
      </c>
      <c r="N4556" s="21">
        <v>15.550000000000001</v>
      </c>
      <c r="O4556" s="22">
        <v>0</v>
      </c>
    </row>
    <row r="4557" ht="38.25">
      <c r="A4557" t="s">
        <v>4596</v>
      </c>
      <c r="B4557" s="19">
        <v>91920</v>
      </c>
      <c r="C4557" s="20" t="s">
        <v>4659</v>
      </c>
      <c r="D4557" s="19" t="s">
        <v>31</v>
      </c>
      <c r="E4557" s="21">
        <f t="shared" si="212"/>
        <v>23.420000000000002</v>
      </c>
      <c r="F4557" s="22">
        <v>0</v>
      </c>
      <c r="G4557" s="21">
        <f t="shared" si="213"/>
        <v>22.289999999999999</v>
      </c>
      <c r="H4557" s="22">
        <v>0</v>
      </c>
      <c r="I4557" s="23" t="str">
        <f t="shared" si="214"/>
        <v xml:space="preserve">COM VALOR</v>
      </c>
      <c r="J4557" s="19"/>
      <c r="L4557" s="21">
        <v>23.420000000000002</v>
      </c>
      <c r="M4557" s="22">
        <v>0</v>
      </c>
      <c r="N4557" s="21">
        <v>22.289999999999999</v>
      </c>
      <c r="O4557" s="22">
        <v>0</v>
      </c>
    </row>
    <row r="4558" ht="25.5">
      <c r="A4558" t="s">
        <v>4596</v>
      </c>
      <c r="B4558" s="19">
        <v>91983</v>
      </c>
      <c r="C4558" s="20" t="s">
        <v>4660</v>
      </c>
      <c r="D4558" s="19" t="s">
        <v>31</v>
      </c>
      <c r="E4558" s="21">
        <f t="shared" si="212"/>
        <v>89.939999999999998</v>
      </c>
      <c r="F4558" s="22">
        <v>0</v>
      </c>
      <c r="G4558" s="21">
        <f t="shared" si="213"/>
        <v>88.819999999999993</v>
      </c>
      <c r="H4558" s="22">
        <v>0</v>
      </c>
      <c r="I4558" s="23" t="str">
        <f t="shared" si="214"/>
        <v xml:space="preserve">COM VALOR</v>
      </c>
      <c r="J4558" s="19"/>
      <c r="L4558" s="21">
        <v>89.939999999999998</v>
      </c>
      <c r="M4558" s="22">
        <v>0</v>
      </c>
      <c r="N4558" s="21">
        <v>88.819999999999993</v>
      </c>
      <c r="O4558" s="22">
        <v>0</v>
      </c>
    </row>
    <row r="4559" ht="25.5">
      <c r="A4559" t="s">
        <v>4596</v>
      </c>
      <c r="B4559" s="19">
        <v>91982</v>
      </c>
      <c r="C4559" s="20" t="s">
        <v>4661</v>
      </c>
      <c r="D4559" s="19" t="s">
        <v>31</v>
      </c>
      <c r="E4559" s="21">
        <f t="shared" si="212"/>
        <v>79.079999999999998</v>
      </c>
      <c r="F4559" s="22">
        <v>0</v>
      </c>
      <c r="G4559" s="21">
        <f t="shared" si="213"/>
        <v>78.359999999999999</v>
      </c>
      <c r="H4559" s="22">
        <v>0</v>
      </c>
      <c r="I4559" s="23" t="str">
        <f t="shared" si="214"/>
        <v xml:space="preserve">COM VALOR</v>
      </c>
      <c r="J4559" s="19"/>
      <c r="L4559" s="21">
        <v>79.079999999999998</v>
      </c>
      <c r="M4559" s="22">
        <v>0</v>
      </c>
      <c r="N4559" s="21">
        <v>78.359999999999999</v>
      </c>
      <c r="O4559" s="22">
        <v>0</v>
      </c>
    </row>
    <row r="4560" ht="38.25">
      <c r="A4560" t="s">
        <v>4596</v>
      </c>
      <c r="B4560" s="19">
        <v>91833</v>
      </c>
      <c r="C4560" s="20" t="s">
        <v>4662</v>
      </c>
      <c r="D4560" s="19" t="s">
        <v>38</v>
      </c>
      <c r="E4560" s="21">
        <f t="shared" si="212"/>
        <v>19.129999999999999</v>
      </c>
      <c r="F4560" s="22">
        <v>0</v>
      </c>
      <c r="G4560" s="21">
        <f t="shared" si="213"/>
        <v>18.48</v>
      </c>
      <c r="H4560" s="22">
        <v>0</v>
      </c>
      <c r="I4560" s="23" t="str">
        <f t="shared" si="214"/>
        <v xml:space="preserve">COM VALOR</v>
      </c>
      <c r="J4560" s="19"/>
      <c r="L4560" s="21">
        <v>19.129999999999999</v>
      </c>
      <c r="M4560" s="22">
        <v>0</v>
      </c>
      <c r="N4560" s="21">
        <v>18.48</v>
      </c>
      <c r="O4560" s="22">
        <v>0</v>
      </c>
    </row>
    <row r="4561" ht="38.25">
      <c r="A4561" t="s">
        <v>4596</v>
      </c>
      <c r="B4561" s="19">
        <v>91843</v>
      </c>
      <c r="C4561" s="20" t="s">
        <v>4663</v>
      </c>
      <c r="D4561" s="19" t="s">
        <v>38</v>
      </c>
      <c r="E4561" s="21">
        <f t="shared" si="212"/>
        <v>6.7800000000000002</v>
      </c>
      <c r="F4561" s="22">
        <v>0</v>
      </c>
      <c r="G4561" s="21">
        <f t="shared" si="213"/>
        <v>6.5899999999999999</v>
      </c>
      <c r="H4561" s="22">
        <v>0</v>
      </c>
      <c r="I4561" s="23" t="str">
        <f t="shared" si="214"/>
        <v xml:space="preserve">COM VALOR</v>
      </c>
      <c r="J4561" s="19"/>
      <c r="L4561" s="21">
        <v>6.7800000000000002</v>
      </c>
      <c r="M4561" s="22">
        <v>0</v>
      </c>
      <c r="N4561" s="21">
        <v>6.5899999999999999</v>
      </c>
      <c r="O4561" s="22">
        <v>0</v>
      </c>
    </row>
    <row r="4562" ht="38.25">
      <c r="A4562" t="s">
        <v>4596</v>
      </c>
      <c r="B4562" s="19">
        <v>91853</v>
      </c>
      <c r="C4562" s="20" t="s">
        <v>4664</v>
      </c>
      <c r="D4562" s="19" t="s">
        <v>38</v>
      </c>
      <c r="E4562" s="21">
        <f t="shared" si="212"/>
        <v>9.9600000000000009</v>
      </c>
      <c r="F4562" s="22">
        <v>0</v>
      </c>
      <c r="G4562" s="21">
        <f t="shared" si="213"/>
        <v>9.5700000000000003</v>
      </c>
      <c r="H4562" s="22">
        <v>0</v>
      </c>
      <c r="I4562" s="23" t="str">
        <f t="shared" si="214"/>
        <v xml:space="preserve">COM VALOR</v>
      </c>
      <c r="J4562" s="19"/>
      <c r="L4562" s="21">
        <v>9.9600000000000009</v>
      </c>
      <c r="M4562" s="22">
        <v>0</v>
      </c>
      <c r="N4562" s="21">
        <v>9.5700000000000003</v>
      </c>
      <c r="O4562" s="22">
        <v>0</v>
      </c>
    </row>
    <row r="4563" ht="38.25">
      <c r="A4563" t="s">
        <v>4596</v>
      </c>
      <c r="B4563" s="19">
        <v>91835</v>
      </c>
      <c r="C4563" s="20" t="s">
        <v>4665</v>
      </c>
      <c r="D4563" s="19" t="s">
        <v>38</v>
      </c>
      <c r="E4563" s="21">
        <f t="shared" si="212"/>
        <v>20.920000000000002</v>
      </c>
      <c r="F4563" s="22">
        <v>0</v>
      </c>
      <c r="G4563" s="21">
        <f t="shared" si="213"/>
        <v>20.239999999999998</v>
      </c>
      <c r="H4563" s="22">
        <v>0</v>
      </c>
      <c r="I4563" s="23" t="str">
        <f t="shared" si="214"/>
        <v xml:space="preserve">COM VALOR</v>
      </c>
      <c r="J4563" s="19"/>
      <c r="L4563" s="21">
        <v>20.920000000000002</v>
      </c>
      <c r="M4563" s="22">
        <v>0</v>
      </c>
      <c r="N4563" s="21">
        <v>20.239999999999998</v>
      </c>
      <c r="O4563" s="22">
        <v>0</v>
      </c>
    </row>
    <row r="4564" ht="38.25">
      <c r="A4564" t="s">
        <v>4596</v>
      </c>
      <c r="B4564" s="19">
        <v>91845</v>
      </c>
      <c r="C4564" s="20" t="s">
        <v>4666</v>
      </c>
      <c r="D4564" s="19" t="s">
        <v>38</v>
      </c>
      <c r="E4564" s="21">
        <f t="shared" si="212"/>
        <v>8.5299999999999994</v>
      </c>
      <c r="F4564" s="22">
        <v>0</v>
      </c>
      <c r="G4564" s="21">
        <f t="shared" si="213"/>
        <v>8.3100000000000005</v>
      </c>
      <c r="H4564" s="22">
        <v>0</v>
      </c>
      <c r="I4564" s="23" t="str">
        <f t="shared" si="214"/>
        <v xml:space="preserve">COM VALOR</v>
      </c>
      <c r="J4564" s="19"/>
      <c r="L4564" s="21">
        <v>8.5299999999999994</v>
      </c>
      <c r="M4564" s="22">
        <v>0</v>
      </c>
      <c r="N4564" s="21">
        <v>8.3100000000000005</v>
      </c>
      <c r="O4564" s="22">
        <v>0</v>
      </c>
    </row>
    <row r="4565" ht="38.25">
      <c r="A4565" t="s">
        <v>4596</v>
      </c>
      <c r="B4565" s="19">
        <v>91855</v>
      </c>
      <c r="C4565" s="20" t="s">
        <v>4667</v>
      </c>
      <c r="D4565" s="19" t="s">
        <v>38</v>
      </c>
      <c r="E4565" s="21">
        <f t="shared" si="212"/>
        <v>11.619999999999999</v>
      </c>
      <c r="F4565" s="22">
        <v>0</v>
      </c>
      <c r="G4565" s="21">
        <f t="shared" si="213"/>
        <v>11.199999999999999</v>
      </c>
      <c r="H4565" s="22">
        <v>0</v>
      </c>
      <c r="I4565" s="23" t="str">
        <f t="shared" si="214"/>
        <v xml:space="preserve">COM VALOR</v>
      </c>
      <c r="J4565" s="19"/>
      <c r="L4565" s="21">
        <v>11.619999999999999</v>
      </c>
      <c r="M4565" s="22">
        <v>0</v>
      </c>
      <c r="N4565" s="21">
        <v>11.199999999999999</v>
      </c>
      <c r="O4565" s="22">
        <v>0</v>
      </c>
    </row>
    <row r="4566" ht="38.25">
      <c r="A4566" t="s">
        <v>4596</v>
      </c>
      <c r="B4566" s="19">
        <v>91837</v>
      </c>
      <c r="C4566" s="20" t="s">
        <v>4668</v>
      </c>
      <c r="D4566" s="19" t="s">
        <v>38</v>
      </c>
      <c r="E4566" s="21">
        <f t="shared" si="212"/>
        <v>25.949999999999999</v>
      </c>
      <c r="F4566" s="22"/>
      <c r="G4566" s="21">
        <f t="shared" si="213"/>
        <v>25.219999999999999</v>
      </c>
      <c r="H4566" s="22"/>
      <c r="I4566" s="23" t="str">
        <f t="shared" si="214"/>
        <v xml:space="preserve">COM VALOR</v>
      </c>
      <c r="J4566" s="19"/>
      <c r="L4566" s="21">
        <v>25.949999999999999</v>
      </c>
      <c r="M4566" s="22">
        <v>0</v>
      </c>
      <c r="N4566" s="21">
        <v>25.219999999999999</v>
      </c>
      <c r="O4566" s="22">
        <v>0</v>
      </c>
    </row>
    <row r="4567" ht="38.25">
      <c r="A4567" t="s">
        <v>4596</v>
      </c>
      <c r="B4567" s="19">
        <v>91847</v>
      </c>
      <c r="C4567" s="20" t="s">
        <v>4669</v>
      </c>
      <c r="D4567" s="19" t="s">
        <v>38</v>
      </c>
      <c r="E4567" s="21">
        <f t="shared" si="212"/>
        <v>13.6</v>
      </c>
      <c r="F4567" s="22">
        <v>0</v>
      </c>
      <c r="G4567" s="21">
        <f t="shared" si="213"/>
        <v>13.34</v>
      </c>
      <c r="H4567" s="22">
        <v>0</v>
      </c>
      <c r="I4567" s="23" t="str">
        <f t="shared" si="214"/>
        <v xml:space="preserve">COM VALOR</v>
      </c>
      <c r="J4567" s="19"/>
      <c r="L4567" s="21">
        <v>13.6</v>
      </c>
      <c r="M4567" s="22">
        <v>0</v>
      </c>
      <c r="N4567" s="21">
        <v>13.34</v>
      </c>
      <c r="O4567" s="22">
        <v>0</v>
      </c>
    </row>
    <row r="4568" ht="38.25">
      <c r="A4568" t="s">
        <v>4596</v>
      </c>
      <c r="B4568" s="19">
        <v>91857</v>
      </c>
      <c r="C4568" s="20" t="s">
        <v>4670</v>
      </c>
      <c r="D4568" s="19" t="s">
        <v>38</v>
      </c>
      <c r="E4568" s="21">
        <f t="shared" si="212"/>
        <v>16.370000000000001</v>
      </c>
      <c r="F4568" s="22">
        <v>0</v>
      </c>
      <c r="G4568" s="21">
        <f t="shared" si="213"/>
        <v>15.9</v>
      </c>
      <c r="H4568" s="22">
        <v>0</v>
      </c>
      <c r="I4568" s="23" t="str">
        <f t="shared" si="214"/>
        <v xml:space="preserve">COM VALOR</v>
      </c>
      <c r="J4568" s="19"/>
      <c r="L4568" s="21">
        <v>16.370000000000001</v>
      </c>
      <c r="M4568" s="22">
        <v>0</v>
      </c>
      <c r="N4568" s="21">
        <v>15.9</v>
      </c>
      <c r="O4568" s="22">
        <v>0</v>
      </c>
    </row>
    <row r="4569" ht="38.25">
      <c r="A4569" t="s">
        <v>4596</v>
      </c>
      <c r="B4569" s="19">
        <v>91838</v>
      </c>
      <c r="C4569" s="20" t="s">
        <v>4671</v>
      </c>
      <c r="D4569" s="19" t="s">
        <v>38</v>
      </c>
      <c r="E4569" s="21" t="str">
        <f t="shared" si="212"/>
        <v>VERIFICAR</v>
      </c>
      <c r="F4569" s="22"/>
      <c r="G4569" s="21" t="str">
        <f t="shared" si="213"/>
        <v>VERIFICAR</v>
      </c>
      <c r="H4569" s="22"/>
      <c r="I4569" s="23" t="str">
        <f t="shared" si="214"/>
        <v xml:space="preserve">COM VALOR</v>
      </c>
      <c r="J4569" s="19"/>
      <c r="L4569" s="21">
        <v>0</v>
      </c>
      <c r="M4569" s="22"/>
      <c r="N4569" s="21">
        <v>0</v>
      </c>
      <c r="O4569" s="22"/>
    </row>
    <row r="4570" ht="38.25">
      <c r="A4570" t="s">
        <v>4596</v>
      </c>
      <c r="B4570" s="19">
        <v>91848</v>
      </c>
      <c r="C4570" s="20" t="s">
        <v>4672</v>
      </c>
      <c r="D4570" s="19" t="s">
        <v>38</v>
      </c>
      <c r="E4570" s="21" t="str">
        <f t="shared" si="212"/>
        <v>VERIFICAR</v>
      </c>
      <c r="F4570" s="22">
        <v>0</v>
      </c>
      <c r="G4570" s="21" t="str">
        <f t="shared" si="213"/>
        <v>VERIFICAR</v>
      </c>
      <c r="H4570" s="22">
        <v>0</v>
      </c>
      <c r="I4570" s="23" t="str">
        <f t="shared" si="214"/>
        <v xml:space="preserve">COM VALOR</v>
      </c>
      <c r="J4570" s="19"/>
      <c r="L4570" s="21">
        <v>0</v>
      </c>
      <c r="M4570" s="22"/>
      <c r="N4570" s="21">
        <v>0</v>
      </c>
      <c r="O4570" s="22"/>
    </row>
    <row r="4571" ht="38.25">
      <c r="A4571" t="s">
        <v>4596</v>
      </c>
      <c r="B4571" s="19">
        <v>91858</v>
      </c>
      <c r="C4571" s="20" t="s">
        <v>4673</v>
      </c>
      <c r="D4571" s="19" t="s">
        <v>38</v>
      </c>
      <c r="E4571" s="21" t="str">
        <f t="shared" si="212"/>
        <v>VERIFICAR</v>
      </c>
      <c r="F4571" s="22">
        <v>0</v>
      </c>
      <c r="G4571" s="21" t="str">
        <f t="shared" si="213"/>
        <v>VERIFICAR</v>
      </c>
      <c r="H4571" s="22">
        <v>0</v>
      </c>
      <c r="I4571" s="23" t="str">
        <f t="shared" si="214"/>
        <v xml:space="preserve">COM VALOR</v>
      </c>
      <c r="J4571" s="19"/>
      <c r="L4571" s="21">
        <v>0</v>
      </c>
      <c r="M4571" s="22"/>
      <c r="N4571" s="21">
        <v>0</v>
      </c>
      <c r="O4571" s="22"/>
    </row>
    <row r="4572" ht="38.25">
      <c r="A4572" t="s">
        <v>4596</v>
      </c>
      <c r="B4572" s="19">
        <v>91840</v>
      </c>
      <c r="C4572" s="20" t="s">
        <v>4674</v>
      </c>
      <c r="D4572" s="19" t="s">
        <v>38</v>
      </c>
      <c r="E4572" s="21">
        <f t="shared" si="212"/>
        <v>23.109999999999999</v>
      </c>
      <c r="F4572" s="22">
        <v>0</v>
      </c>
      <c r="G4572" s="21">
        <f t="shared" si="213"/>
        <v>22.32</v>
      </c>
      <c r="H4572" s="22">
        <v>0</v>
      </c>
      <c r="I4572" s="23" t="str">
        <f t="shared" si="214"/>
        <v xml:space="preserve">COM VALOR</v>
      </c>
      <c r="J4572" s="19"/>
      <c r="L4572" s="21">
        <v>23.109999999999999</v>
      </c>
      <c r="M4572" s="22">
        <v>0</v>
      </c>
      <c r="N4572" s="21">
        <v>22.32</v>
      </c>
      <c r="O4572" s="22">
        <v>0</v>
      </c>
    </row>
    <row r="4573" ht="38.25">
      <c r="A4573" t="s">
        <v>4596</v>
      </c>
      <c r="B4573" s="19">
        <v>91850</v>
      </c>
      <c r="C4573" s="20" t="s">
        <v>4675</v>
      </c>
      <c r="D4573" s="19" t="s">
        <v>38</v>
      </c>
      <c r="E4573" s="21">
        <f t="shared" si="212"/>
        <v>10.710000000000001</v>
      </c>
      <c r="F4573" s="22"/>
      <c r="G4573" s="21">
        <f t="shared" si="213"/>
        <v>10.390000000000001</v>
      </c>
      <c r="H4573" s="22"/>
      <c r="I4573" s="23" t="str">
        <f t="shared" si="214"/>
        <v xml:space="preserve">COM VALOR</v>
      </c>
      <c r="J4573" s="19"/>
      <c r="L4573" s="21">
        <v>10.710000000000001</v>
      </c>
      <c r="M4573" s="22">
        <v>0</v>
      </c>
      <c r="N4573" s="21">
        <v>10.390000000000001</v>
      </c>
      <c r="O4573" s="22">
        <v>0</v>
      </c>
    </row>
    <row r="4574" ht="38.25">
      <c r="A4574" t="s">
        <v>4596</v>
      </c>
      <c r="B4574" s="19">
        <v>91860</v>
      </c>
      <c r="C4574" s="20" t="s">
        <v>4676</v>
      </c>
      <c r="D4574" s="19" t="s">
        <v>38</v>
      </c>
      <c r="E4574" s="21">
        <f t="shared" si="212"/>
        <v>13.75</v>
      </c>
      <c r="F4574" s="22"/>
      <c r="G4574" s="21">
        <f t="shared" si="213"/>
        <v>13.24</v>
      </c>
      <c r="H4574" s="22"/>
      <c r="I4574" s="23" t="str">
        <f t="shared" si="214"/>
        <v xml:space="preserve">COM VALOR</v>
      </c>
      <c r="J4574" s="19"/>
      <c r="L4574" s="21">
        <v>13.75</v>
      </c>
      <c r="M4574" s="22">
        <v>0</v>
      </c>
      <c r="N4574" s="21">
        <v>13.24</v>
      </c>
      <c r="O4574" s="22">
        <v>0</v>
      </c>
    </row>
    <row r="4575" ht="38.25">
      <c r="A4575" t="s">
        <v>4596</v>
      </c>
      <c r="B4575" s="19">
        <v>91831</v>
      </c>
      <c r="C4575" s="20" t="s">
        <v>4677</v>
      </c>
      <c r="D4575" s="19" t="s">
        <v>38</v>
      </c>
      <c r="E4575" s="21">
        <f t="shared" si="212"/>
        <v>18.510000000000002</v>
      </c>
      <c r="F4575" s="22"/>
      <c r="G4575" s="21">
        <f t="shared" si="213"/>
        <v>17.859999999999999</v>
      </c>
      <c r="H4575" s="22"/>
      <c r="I4575" s="23" t="str">
        <f t="shared" si="214"/>
        <v xml:space="preserve">COM VALOR</v>
      </c>
      <c r="J4575" s="19"/>
      <c r="L4575" s="21">
        <v>18.510000000000002</v>
      </c>
      <c r="M4575" s="22">
        <v>0</v>
      </c>
      <c r="N4575" s="21">
        <v>17.859999999999999</v>
      </c>
      <c r="O4575" s="22">
        <v>0</v>
      </c>
    </row>
    <row r="4576" ht="38.25">
      <c r="A4576" t="s">
        <v>4596</v>
      </c>
      <c r="B4576" s="19">
        <v>91852</v>
      </c>
      <c r="C4576" s="20" t="s">
        <v>4678</v>
      </c>
      <c r="D4576" s="19" t="s">
        <v>38</v>
      </c>
      <c r="E4576" s="21">
        <f t="shared" si="212"/>
        <v>9.3900000000000006</v>
      </c>
      <c r="F4576" s="22"/>
      <c r="G4576" s="21">
        <f t="shared" si="213"/>
        <v>9</v>
      </c>
      <c r="H4576" s="22"/>
      <c r="I4576" s="23" t="str">
        <f t="shared" si="214"/>
        <v xml:space="preserve">COM VALOR</v>
      </c>
      <c r="J4576" s="19"/>
      <c r="L4576" s="21">
        <v>9.3900000000000006</v>
      </c>
      <c r="M4576" s="22">
        <v>0</v>
      </c>
      <c r="N4576" s="21">
        <v>9</v>
      </c>
      <c r="O4576" s="22">
        <v>0</v>
      </c>
    </row>
    <row r="4577" ht="38.25">
      <c r="A4577" t="s">
        <v>4596</v>
      </c>
      <c r="B4577" s="19">
        <v>91834</v>
      </c>
      <c r="C4577" s="20" t="s">
        <v>4679</v>
      </c>
      <c r="D4577" s="19" t="s">
        <v>38</v>
      </c>
      <c r="E4577" s="21">
        <f t="shared" si="212"/>
        <v>19.34</v>
      </c>
      <c r="F4577" s="22"/>
      <c r="G4577" s="21">
        <f t="shared" si="213"/>
        <v>18.66</v>
      </c>
      <c r="H4577" s="22"/>
      <c r="I4577" s="23" t="str">
        <f t="shared" si="214"/>
        <v xml:space="preserve">COM VALOR</v>
      </c>
      <c r="J4577" s="19"/>
      <c r="L4577" s="21">
        <v>19.34</v>
      </c>
      <c r="M4577" s="22">
        <v>0</v>
      </c>
      <c r="N4577" s="21">
        <v>18.66</v>
      </c>
      <c r="O4577" s="22">
        <v>0</v>
      </c>
    </row>
    <row r="4578" ht="38.25">
      <c r="A4578" t="s">
        <v>4596</v>
      </c>
      <c r="B4578" s="19">
        <v>91854</v>
      </c>
      <c r="C4578" s="20" t="s">
        <v>4680</v>
      </c>
      <c r="D4578" s="19" t="s">
        <v>38</v>
      </c>
      <c r="E4578" s="21">
        <f t="shared" si="212"/>
        <v>10.15</v>
      </c>
      <c r="F4578" s="22"/>
      <c r="G4578" s="21">
        <f t="shared" si="213"/>
        <v>9.7300000000000004</v>
      </c>
      <c r="H4578" s="22"/>
      <c r="I4578" s="23" t="str">
        <f t="shared" si="214"/>
        <v xml:space="preserve">COM VALOR</v>
      </c>
      <c r="J4578" s="19"/>
      <c r="L4578" s="21">
        <v>10.15</v>
      </c>
      <c r="M4578" s="22">
        <v>0</v>
      </c>
      <c r="N4578" s="21">
        <v>9.7300000000000004</v>
      </c>
      <c r="O4578" s="22">
        <v>0</v>
      </c>
    </row>
    <row r="4579" ht="38.25">
      <c r="A4579" t="s">
        <v>4596</v>
      </c>
      <c r="B4579" s="19">
        <v>91836</v>
      </c>
      <c r="C4579" s="20" t="s">
        <v>4681</v>
      </c>
      <c r="D4579" s="19" t="s">
        <v>38</v>
      </c>
      <c r="E4579" s="21">
        <f t="shared" si="212"/>
        <v>22.260000000000002</v>
      </c>
      <c r="F4579" s="22">
        <v>0</v>
      </c>
      <c r="G4579" s="21">
        <f t="shared" si="213"/>
        <v>21.530000000000001</v>
      </c>
      <c r="H4579" s="22">
        <v>0</v>
      </c>
      <c r="I4579" s="23" t="str">
        <f t="shared" si="214"/>
        <v xml:space="preserve">COM VALOR</v>
      </c>
      <c r="J4579" s="19"/>
      <c r="L4579" s="21">
        <v>22.260000000000002</v>
      </c>
      <c r="M4579" s="22">
        <v>0</v>
      </c>
      <c r="N4579" s="21">
        <v>21.530000000000001</v>
      </c>
      <c r="O4579" s="22">
        <v>0</v>
      </c>
    </row>
    <row r="4580" ht="38.25">
      <c r="A4580" t="s">
        <v>4596</v>
      </c>
      <c r="B4580" s="19">
        <v>91856</v>
      </c>
      <c r="C4580" s="20" t="s">
        <v>4682</v>
      </c>
      <c r="D4580" s="19" t="s">
        <v>38</v>
      </c>
      <c r="E4580" s="21">
        <f t="shared" si="212"/>
        <v>12.949999999999999</v>
      </c>
      <c r="F4580" s="22">
        <v>0</v>
      </c>
      <c r="G4580" s="21">
        <f t="shared" si="213"/>
        <v>12.48</v>
      </c>
      <c r="H4580" s="22">
        <v>0</v>
      </c>
      <c r="I4580" s="23" t="str">
        <f t="shared" si="214"/>
        <v xml:space="preserve">COM VALOR</v>
      </c>
      <c r="J4580" s="19"/>
      <c r="L4580" s="21">
        <v>12.949999999999999</v>
      </c>
      <c r="M4580" s="22">
        <v>0</v>
      </c>
      <c r="N4580" s="21">
        <v>12.48</v>
      </c>
      <c r="O4580" s="22">
        <v>0</v>
      </c>
    </row>
    <row r="4581" ht="38.25">
      <c r="A4581" t="s">
        <v>4596</v>
      </c>
      <c r="B4581" s="19">
        <v>91839</v>
      </c>
      <c r="C4581" s="20" t="s">
        <v>4683</v>
      </c>
      <c r="D4581" s="19" t="s">
        <v>38</v>
      </c>
      <c r="E4581" s="21">
        <f t="shared" si="212"/>
        <v>20.41</v>
      </c>
      <c r="F4581" s="22">
        <v>0</v>
      </c>
      <c r="G4581" s="21">
        <f t="shared" si="213"/>
        <v>19.68</v>
      </c>
      <c r="H4581" s="22">
        <v>0</v>
      </c>
      <c r="I4581" s="23" t="str">
        <f t="shared" si="214"/>
        <v xml:space="preserve">COM VALOR</v>
      </c>
      <c r="J4581" s="19"/>
      <c r="L4581" s="21">
        <v>20.41</v>
      </c>
      <c r="M4581" s="22">
        <v>0</v>
      </c>
      <c r="N4581" s="21">
        <v>19.68</v>
      </c>
      <c r="O4581" s="22">
        <v>0</v>
      </c>
    </row>
    <row r="4582" ht="38.25">
      <c r="A4582" t="s">
        <v>4596</v>
      </c>
      <c r="B4582" s="19">
        <v>91849</v>
      </c>
      <c r="C4582" s="20" t="s">
        <v>4684</v>
      </c>
      <c r="D4582" s="19" t="s">
        <v>38</v>
      </c>
      <c r="E4582" s="21">
        <f t="shared" si="212"/>
        <v>8.0600000000000005</v>
      </c>
      <c r="F4582" s="22">
        <v>0</v>
      </c>
      <c r="G4582" s="21">
        <f t="shared" si="213"/>
        <v>7.7999999999999998</v>
      </c>
      <c r="H4582" s="22">
        <v>0</v>
      </c>
      <c r="I4582" s="23" t="str">
        <f t="shared" si="214"/>
        <v xml:space="preserve">COM VALOR</v>
      </c>
      <c r="J4582" s="19"/>
      <c r="L4582" s="21">
        <v>8.0600000000000005</v>
      </c>
      <c r="M4582" s="22">
        <v>0</v>
      </c>
      <c r="N4582" s="21">
        <v>7.7999999999999998</v>
      </c>
      <c r="O4582" s="22">
        <v>0</v>
      </c>
    </row>
    <row r="4583" ht="38.25">
      <c r="A4583" t="s">
        <v>4596</v>
      </c>
      <c r="B4583" s="19">
        <v>91859</v>
      </c>
      <c r="C4583" s="20" t="s">
        <v>4685</v>
      </c>
      <c r="D4583" s="19" t="s">
        <v>38</v>
      </c>
      <c r="E4583" s="21">
        <f t="shared" si="212"/>
        <v>11.25</v>
      </c>
      <c r="F4583" s="22">
        <v>0</v>
      </c>
      <c r="G4583" s="21">
        <f t="shared" si="213"/>
        <v>10.779999999999999</v>
      </c>
      <c r="H4583" s="22">
        <v>0</v>
      </c>
      <c r="I4583" s="23" t="str">
        <f t="shared" si="214"/>
        <v xml:space="preserve">COM VALOR</v>
      </c>
      <c r="J4583" s="19"/>
      <c r="L4583" s="21">
        <v>11.25</v>
      </c>
      <c r="M4583" s="22">
        <v>0</v>
      </c>
      <c r="N4583" s="21">
        <v>10.779999999999999</v>
      </c>
      <c r="O4583" s="22">
        <v>0</v>
      </c>
    </row>
    <row r="4584" ht="38.25">
      <c r="A4584" t="s">
        <v>4596</v>
      </c>
      <c r="B4584" s="19">
        <v>91841</v>
      </c>
      <c r="C4584" s="20" t="s">
        <v>4686</v>
      </c>
      <c r="D4584" s="19" t="s">
        <v>38</v>
      </c>
      <c r="E4584" s="21">
        <f t="shared" si="212"/>
        <v>22.34</v>
      </c>
      <c r="F4584" s="22">
        <v>0</v>
      </c>
      <c r="G4584" s="21">
        <f t="shared" si="213"/>
        <v>21.550000000000001</v>
      </c>
      <c r="H4584" s="22">
        <v>0</v>
      </c>
      <c r="I4584" s="23" t="str">
        <f t="shared" si="214"/>
        <v xml:space="preserve">COM VALOR</v>
      </c>
      <c r="J4584" s="19"/>
      <c r="L4584" s="21">
        <v>22.34</v>
      </c>
      <c r="M4584" s="22">
        <v>0</v>
      </c>
      <c r="N4584" s="21">
        <v>21.550000000000001</v>
      </c>
      <c r="O4584" s="22">
        <v>0</v>
      </c>
    </row>
    <row r="4585" ht="38.25">
      <c r="A4585" t="s">
        <v>4596</v>
      </c>
      <c r="B4585" s="19">
        <v>91851</v>
      </c>
      <c r="C4585" s="20" t="s">
        <v>4687</v>
      </c>
      <c r="D4585" s="19" t="s">
        <v>38</v>
      </c>
      <c r="E4585" s="21">
        <f t="shared" si="212"/>
        <v>9.9399999999999995</v>
      </c>
      <c r="F4585" s="22"/>
      <c r="G4585" s="21">
        <f t="shared" si="213"/>
        <v>9.6199999999999992</v>
      </c>
      <c r="H4585" s="22"/>
      <c r="I4585" s="23" t="str">
        <f t="shared" si="214"/>
        <v xml:space="preserve">COM VALOR</v>
      </c>
      <c r="J4585" s="19"/>
      <c r="L4585" s="21">
        <v>9.9399999999999995</v>
      </c>
      <c r="M4585" s="22">
        <v>0</v>
      </c>
      <c r="N4585" s="21">
        <v>9.6199999999999992</v>
      </c>
      <c r="O4585" s="22">
        <v>0</v>
      </c>
    </row>
    <row r="4586" ht="38.25">
      <c r="A4586" t="s">
        <v>4596</v>
      </c>
      <c r="B4586" s="19">
        <v>91861</v>
      </c>
      <c r="C4586" s="20" t="s">
        <v>4688</v>
      </c>
      <c r="D4586" s="19" t="s">
        <v>38</v>
      </c>
      <c r="E4586" s="21">
        <f t="shared" si="212"/>
        <v>13.039999999999999</v>
      </c>
      <c r="F4586" s="22"/>
      <c r="G4586" s="21">
        <f t="shared" si="213"/>
        <v>12.529999999999999</v>
      </c>
      <c r="H4586" s="22"/>
      <c r="I4586" s="23" t="str">
        <f t="shared" si="214"/>
        <v xml:space="preserve">COM VALOR</v>
      </c>
      <c r="J4586" s="19"/>
      <c r="L4586" s="21">
        <v>13.039999999999999</v>
      </c>
      <c r="M4586" s="22">
        <v>0</v>
      </c>
      <c r="N4586" s="21">
        <v>12.529999999999999</v>
      </c>
      <c r="O4586" s="22">
        <v>0</v>
      </c>
    </row>
    <row r="4587" ht="38.25">
      <c r="A4587" t="s">
        <v>4596</v>
      </c>
      <c r="B4587" s="19">
        <v>91862</v>
      </c>
      <c r="C4587" s="20" t="s">
        <v>4689</v>
      </c>
      <c r="D4587" s="19" t="s">
        <v>38</v>
      </c>
      <c r="E4587" s="21">
        <f t="shared" si="212"/>
        <v>10.029999999999999</v>
      </c>
      <c r="F4587" s="22"/>
      <c r="G4587" s="21">
        <f t="shared" si="213"/>
        <v>9.6999999999999993</v>
      </c>
      <c r="H4587" s="22"/>
      <c r="I4587" s="23" t="str">
        <f t="shared" si="214"/>
        <v xml:space="preserve">COM VALOR</v>
      </c>
      <c r="J4587" s="19"/>
      <c r="L4587" s="21">
        <v>10.029999999999999</v>
      </c>
      <c r="M4587" s="22">
        <v>0</v>
      </c>
      <c r="N4587" s="21">
        <v>9.6999999999999993</v>
      </c>
      <c r="O4587" s="22">
        <v>0</v>
      </c>
    </row>
    <row r="4588" ht="38.25">
      <c r="A4588" t="s">
        <v>4596</v>
      </c>
      <c r="B4588" s="19">
        <v>91866</v>
      </c>
      <c r="C4588" s="20" t="s">
        <v>4690</v>
      </c>
      <c r="D4588" s="19" t="s">
        <v>38</v>
      </c>
      <c r="E4588" s="21">
        <f t="shared" si="212"/>
        <v>8.6899999999999995</v>
      </c>
      <c r="F4588" s="22">
        <v>0</v>
      </c>
      <c r="G4588" s="21">
        <f t="shared" si="213"/>
        <v>8.4399999999999995</v>
      </c>
      <c r="H4588" s="22">
        <v>0</v>
      </c>
      <c r="I4588" s="23" t="str">
        <f t="shared" si="214"/>
        <v xml:space="preserve">COM VALOR</v>
      </c>
      <c r="J4588" s="19"/>
      <c r="L4588" s="21">
        <v>8.6899999999999995</v>
      </c>
      <c r="M4588" s="22">
        <v>0</v>
      </c>
      <c r="N4588" s="21">
        <v>8.4399999999999995</v>
      </c>
      <c r="O4588" s="22">
        <v>0</v>
      </c>
    </row>
    <row r="4589" ht="38.25">
      <c r="A4589" t="s">
        <v>4596</v>
      </c>
      <c r="B4589" s="19">
        <v>91870</v>
      </c>
      <c r="C4589" s="20" t="s">
        <v>4691</v>
      </c>
      <c r="D4589" s="19" t="s">
        <v>38</v>
      </c>
      <c r="E4589" s="21">
        <f t="shared" si="212"/>
        <v>13.220000000000001</v>
      </c>
      <c r="F4589" s="22">
        <v>0</v>
      </c>
      <c r="G4589" s="21">
        <f t="shared" si="213"/>
        <v>12.710000000000001</v>
      </c>
      <c r="H4589" s="22">
        <v>0</v>
      </c>
      <c r="I4589" s="23" t="str">
        <f t="shared" si="214"/>
        <v xml:space="preserve">COM VALOR</v>
      </c>
      <c r="J4589" s="19"/>
      <c r="L4589" s="21">
        <v>13.220000000000001</v>
      </c>
      <c r="M4589" s="22">
        <v>0</v>
      </c>
      <c r="N4589" s="21">
        <v>12.710000000000001</v>
      </c>
      <c r="O4589" s="22">
        <v>0</v>
      </c>
    </row>
    <row r="4590" ht="38.25">
      <c r="A4590" t="s">
        <v>4596</v>
      </c>
      <c r="B4590" s="19">
        <v>91863</v>
      </c>
      <c r="C4590" s="20" t="s">
        <v>4692</v>
      </c>
      <c r="D4590" s="19" t="s">
        <v>38</v>
      </c>
      <c r="E4590" s="21">
        <f t="shared" si="212"/>
        <v>11.84</v>
      </c>
      <c r="F4590" s="22">
        <v>0</v>
      </c>
      <c r="G4590" s="21">
        <f t="shared" si="213"/>
        <v>11.470000000000001</v>
      </c>
      <c r="H4590" s="22">
        <v>0</v>
      </c>
      <c r="I4590" s="23" t="str">
        <f t="shared" si="214"/>
        <v xml:space="preserve">COM VALOR</v>
      </c>
      <c r="J4590" s="19"/>
      <c r="L4590" s="21">
        <v>11.84</v>
      </c>
      <c r="M4590" s="22">
        <v>0</v>
      </c>
      <c r="N4590" s="21">
        <v>11.470000000000001</v>
      </c>
      <c r="O4590" s="22">
        <v>0</v>
      </c>
    </row>
    <row r="4591" ht="38.25">
      <c r="A4591" t="s">
        <v>4596</v>
      </c>
      <c r="B4591" s="19">
        <v>91867</v>
      </c>
      <c r="C4591" s="20" t="s">
        <v>4693</v>
      </c>
      <c r="D4591" s="19" t="s">
        <v>38</v>
      </c>
      <c r="E4591" s="21">
        <f t="shared" si="212"/>
        <v>10.5</v>
      </c>
      <c r="F4591" s="22">
        <v>0</v>
      </c>
      <c r="G4591" s="21">
        <f t="shared" si="213"/>
        <v>10.199999999999999</v>
      </c>
      <c r="H4591" s="22">
        <v>0</v>
      </c>
      <c r="I4591" s="23" t="str">
        <f t="shared" si="214"/>
        <v xml:space="preserve">COM VALOR</v>
      </c>
      <c r="J4591" s="19"/>
      <c r="L4591" s="21">
        <v>10.5</v>
      </c>
      <c r="M4591" s="22">
        <v>0</v>
      </c>
      <c r="N4591" s="21">
        <v>10.199999999999999</v>
      </c>
      <c r="O4591" s="22">
        <v>0</v>
      </c>
    </row>
    <row r="4592" ht="38.25">
      <c r="A4592" t="s">
        <v>4596</v>
      </c>
      <c r="B4592" s="19">
        <v>91871</v>
      </c>
      <c r="C4592" s="20" t="s">
        <v>4694</v>
      </c>
      <c r="D4592" s="19" t="s">
        <v>38</v>
      </c>
      <c r="E4592" s="21">
        <f t="shared" si="212"/>
        <v>15.029999999999999</v>
      </c>
      <c r="F4592" s="22">
        <v>0</v>
      </c>
      <c r="G4592" s="21">
        <f t="shared" si="213"/>
        <v>14.470000000000001</v>
      </c>
      <c r="H4592" s="22">
        <v>0</v>
      </c>
      <c r="I4592" s="23" t="str">
        <f t="shared" si="214"/>
        <v xml:space="preserve">COM VALOR</v>
      </c>
      <c r="J4592" s="19"/>
      <c r="L4592" s="21">
        <v>15.029999999999999</v>
      </c>
      <c r="M4592" s="22">
        <v>0</v>
      </c>
      <c r="N4592" s="21">
        <v>14.470000000000001</v>
      </c>
      <c r="O4592" s="22">
        <v>0</v>
      </c>
    </row>
    <row r="4593" ht="38.25">
      <c r="A4593" t="s">
        <v>4596</v>
      </c>
      <c r="B4593" s="19">
        <v>91864</v>
      </c>
      <c r="C4593" s="20" t="s">
        <v>4695</v>
      </c>
      <c r="D4593" s="19" t="s">
        <v>38</v>
      </c>
      <c r="E4593" s="21">
        <f t="shared" si="212"/>
        <v>15.93</v>
      </c>
      <c r="F4593" s="22">
        <v>0</v>
      </c>
      <c r="G4593" s="21">
        <f t="shared" si="213"/>
        <v>15.5</v>
      </c>
      <c r="H4593" s="22">
        <v>0</v>
      </c>
      <c r="I4593" s="23" t="str">
        <f t="shared" si="214"/>
        <v xml:space="preserve">COM VALOR</v>
      </c>
      <c r="J4593" s="19"/>
      <c r="L4593" s="21">
        <v>15.93</v>
      </c>
      <c r="M4593" s="22">
        <v>0</v>
      </c>
      <c r="N4593" s="21">
        <v>15.5</v>
      </c>
      <c r="O4593" s="22">
        <v>0</v>
      </c>
    </row>
    <row r="4594" ht="38.25">
      <c r="A4594" t="s">
        <v>4596</v>
      </c>
      <c r="B4594" s="19">
        <v>91868</v>
      </c>
      <c r="C4594" s="20" t="s">
        <v>4696</v>
      </c>
      <c r="D4594" s="19" t="s">
        <v>38</v>
      </c>
      <c r="E4594" s="21">
        <f t="shared" si="212"/>
        <v>14.58</v>
      </c>
      <c r="F4594" s="22">
        <v>0</v>
      </c>
      <c r="G4594" s="21">
        <f t="shared" si="213"/>
        <v>14.23</v>
      </c>
      <c r="H4594" s="22">
        <v>0</v>
      </c>
      <c r="I4594" s="23" t="str">
        <f t="shared" si="214"/>
        <v xml:space="preserve">COM VALOR</v>
      </c>
      <c r="J4594" s="19"/>
      <c r="L4594" s="21">
        <v>14.58</v>
      </c>
      <c r="M4594" s="22">
        <v>0</v>
      </c>
      <c r="N4594" s="21">
        <v>14.23</v>
      </c>
      <c r="O4594" s="22">
        <v>0</v>
      </c>
    </row>
    <row r="4595" ht="38.25">
      <c r="A4595" t="s">
        <v>4596</v>
      </c>
      <c r="B4595" s="19">
        <v>91872</v>
      </c>
      <c r="C4595" s="20" t="s">
        <v>4697</v>
      </c>
      <c r="D4595" s="19" t="s">
        <v>38</v>
      </c>
      <c r="E4595" s="21">
        <f t="shared" si="212"/>
        <v>19.120000000000001</v>
      </c>
      <c r="F4595" s="22">
        <v>0</v>
      </c>
      <c r="G4595" s="21">
        <f t="shared" si="213"/>
        <v>18.510000000000002</v>
      </c>
      <c r="H4595" s="22">
        <v>0</v>
      </c>
      <c r="I4595" s="23" t="str">
        <f t="shared" si="214"/>
        <v xml:space="preserve">COM VALOR</v>
      </c>
      <c r="J4595" s="19"/>
      <c r="L4595" s="21">
        <v>19.120000000000001</v>
      </c>
      <c r="M4595" s="22">
        <v>0</v>
      </c>
      <c r="N4595" s="21">
        <v>18.510000000000002</v>
      </c>
      <c r="O4595" s="22">
        <v>0</v>
      </c>
    </row>
    <row r="4596" ht="38.25">
      <c r="A4596" t="s">
        <v>4596</v>
      </c>
      <c r="B4596" s="19">
        <v>91865</v>
      </c>
      <c r="C4596" s="20" t="s">
        <v>4698</v>
      </c>
      <c r="D4596" s="19" t="s">
        <v>38</v>
      </c>
      <c r="E4596" s="21">
        <f t="shared" si="212"/>
        <v>19.960000000000001</v>
      </c>
      <c r="F4596" s="22">
        <v>0</v>
      </c>
      <c r="G4596" s="21">
        <f t="shared" si="213"/>
        <v>19.449999999999999</v>
      </c>
      <c r="H4596" s="22">
        <v>0</v>
      </c>
      <c r="I4596" s="23" t="str">
        <f t="shared" si="214"/>
        <v xml:space="preserve">COM VALOR</v>
      </c>
      <c r="J4596" s="19"/>
      <c r="L4596" s="21">
        <v>19.960000000000001</v>
      </c>
      <c r="M4596" s="22">
        <v>0</v>
      </c>
      <c r="N4596" s="21">
        <v>19.449999999999999</v>
      </c>
      <c r="O4596" s="22">
        <v>0</v>
      </c>
    </row>
    <row r="4597" ht="38.25">
      <c r="A4597" t="s">
        <v>4596</v>
      </c>
      <c r="B4597" s="19">
        <v>91869</v>
      </c>
      <c r="C4597" s="20" t="s">
        <v>4699</v>
      </c>
      <c r="D4597" s="19" t="s">
        <v>38</v>
      </c>
      <c r="E4597" s="21">
        <f t="shared" si="212"/>
        <v>18.57</v>
      </c>
      <c r="F4597" s="22">
        <v>0</v>
      </c>
      <c r="G4597" s="21">
        <f t="shared" si="213"/>
        <v>18.140000000000001</v>
      </c>
      <c r="H4597" s="22">
        <v>0</v>
      </c>
      <c r="I4597" s="23" t="str">
        <f t="shared" si="214"/>
        <v xml:space="preserve">COM VALOR</v>
      </c>
      <c r="J4597" s="19"/>
      <c r="L4597" s="21">
        <v>18.57</v>
      </c>
      <c r="M4597" s="22">
        <v>0</v>
      </c>
      <c r="N4597" s="21">
        <v>18.140000000000001</v>
      </c>
      <c r="O4597" s="22">
        <v>0</v>
      </c>
    </row>
    <row r="4598" ht="38.25">
      <c r="A4598" t="s">
        <v>4596</v>
      </c>
      <c r="B4598" s="19">
        <v>91873</v>
      </c>
      <c r="C4598" s="20" t="s">
        <v>4700</v>
      </c>
      <c r="D4598" s="19" t="s">
        <v>38</v>
      </c>
      <c r="E4598" s="21">
        <f t="shared" si="212"/>
        <v>23.079999999999998</v>
      </c>
      <c r="F4598" s="22">
        <v>0</v>
      </c>
      <c r="G4598" s="21">
        <f t="shared" si="213"/>
        <v>22.41</v>
      </c>
      <c r="H4598" s="22">
        <v>0</v>
      </c>
      <c r="I4598" s="23" t="str">
        <f t="shared" si="214"/>
        <v xml:space="preserve">COM VALOR</v>
      </c>
      <c r="J4598" s="19"/>
      <c r="L4598" s="21">
        <v>23.079999999999998</v>
      </c>
      <c r="M4598" s="22">
        <v>0</v>
      </c>
      <c r="N4598" s="21">
        <v>22.41</v>
      </c>
      <c r="O4598" s="22">
        <v>0</v>
      </c>
    </row>
    <row r="4599" ht="25.5">
      <c r="A4599" t="s">
        <v>4596</v>
      </c>
      <c r="B4599" s="19">
        <v>91981</v>
      </c>
      <c r="C4599" s="20" t="s">
        <v>4701</v>
      </c>
      <c r="D4599" s="19" t="s">
        <v>31</v>
      </c>
      <c r="E4599" s="21">
        <f t="shared" si="212"/>
        <v>48.380000000000003</v>
      </c>
      <c r="F4599" s="22">
        <v>0</v>
      </c>
      <c r="G4599" s="21">
        <f t="shared" si="213"/>
        <v>46.740000000000002</v>
      </c>
      <c r="H4599" s="22">
        <v>0</v>
      </c>
      <c r="I4599" s="23" t="str">
        <f t="shared" si="214"/>
        <v xml:space="preserve">COM VALOR</v>
      </c>
      <c r="J4599" s="19"/>
      <c r="L4599" s="21">
        <v>48.380000000000003</v>
      </c>
      <c r="M4599" s="22">
        <v>0</v>
      </c>
      <c r="N4599" s="21">
        <v>46.740000000000002</v>
      </c>
      <c r="O4599" s="22">
        <v>0</v>
      </c>
    </row>
    <row r="4600" ht="25.5">
      <c r="A4600" t="s">
        <v>4596</v>
      </c>
      <c r="B4600" s="19">
        <v>91980</v>
      </c>
      <c r="C4600" s="20" t="s">
        <v>4702</v>
      </c>
      <c r="D4600" s="19" t="s">
        <v>31</v>
      </c>
      <c r="E4600" s="21">
        <f t="shared" si="212"/>
        <v>37.520000000000003</v>
      </c>
      <c r="F4600" s="22">
        <v>0</v>
      </c>
      <c r="G4600" s="21">
        <f t="shared" si="213"/>
        <v>36.280000000000001</v>
      </c>
      <c r="H4600" s="22">
        <v>0</v>
      </c>
      <c r="I4600" s="23" t="str">
        <f t="shared" si="214"/>
        <v xml:space="preserve">COM VALOR</v>
      </c>
      <c r="J4600" s="19"/>
      <c r="L4600" s="21">
        <v>37.520000000000003</v>
      </c>
      <c r="M4600" s="22">
        <v>0</v>
      </c>
      <c r="N4600" s="21">
        <v>36.280000000000001</v>
      </c>
      <c r="O4600" s="22">
        <v>0</v>
      </c>
    </row>
    <row r="4601" ht="25.5">
      <c r="A4601" t="s">
        <v>4596</v>
      </c>
      <c r="B4601" s="19">
        <v>91979</v>
      </c>
      <c r="C4601" s="20" t="s">
        <v>4703</v>
      </c>
      <c r="D4601" s="19" t="s">
        <v>31</v>
      </c>
      <c r="E4601" s="21">
        <f t="shared" si="212"/>
        <v>49.43</v>
      </c>
      <c r="F4601" s="22">
        <v>0</v>
      </c>
      <c r="G4601" s="21">
        <f t="shared" si="213"/>
        <v>47.789999999999999</v>
      </c>
      <c r="H4601" s="22">
        <v>0</v>
      </c>
      <c r="I4601" s="23" t="str">
        <f t="shared" si="214"/>
        <v xml:space="preserve">COM VALOR</v>
      </c>
      <c r="J4601" s="19"/>
      <c r="L4601" s="21">
        <v>49.43</v>
      </c>
      <c r="M4601" s="22">
        <v>0</v>
      </c>
      <c r="N4601" s="21">
        <v>47.789999999999999</v>
      </c>
      <c r="O4601" s="22">
        <v>0</v>
      </c>
    </row>
    <row r="4602" ht="25.5">
      <c r="A4602" t="s">
        <v>4596</v>
      </c>
      <c r="B4602" s="19">
        <v>91978</v>
      </c>
      <c r="C4602" s="20" t="s">
        <v>4704</v>
      </c>
      <c r="D4602" s="19" t="s">
        <v>31</v>
      </c>
      <c r="E4602" s="21">
        <f t="shared" si="212"/>
        <v>38.57</v>
      </c>
      <c r="F4602" s="22">
        <v>0</v>
      </c>
      <c r="G4602" s="21">
        <f t="shared" si="213"/>
        <v>37.329999999999998</v>
      </c>
      <c r="H4602" s="22">
        <v>0</v>
      </c>
      <c r="I4602" s="23" t="str">
        <f t="shared" si="214"/>
        <v xml:space="preserve">COM VALOR</v>
      </c>
      <c r="J4602" s="19"/>
      <c r="L4602" s="21">
        <v>38.57</v>
      </c>
      <c r="M4602" s="22">
        <v>0</v>
      </c>
      <c r="N4602" s="21">
        <v>37.329999999999998</v>
      </c>
      <c r="O4602" s="22">
        <v>0</v>
      </c>
    </row>
    <row r="4603" ht="38.25">
      <c r="A4603" t="s">
        <v>4596</v>
      </c>
      <c r="B4603" s="19">
        <v>92029</v>
      </c>
      <c r="C4603" s="20" t="s">
        <v>4705</v>
      </c>
      <c r="D4603" s="19" t="s">
        <v>31</v>
      </c>
      <c r="E4603" s="21">
        <f t="shared" si="212"/>
        <v>56.840000000000003</v>
      </c>
      <c r="F4603" s="22">
        <v>0</v>
      </c>
      <c r="G4603" s="21">
        <f t="shared" si="213"/>
        <v>54.659999999999997</v>
      </c>
      <c r="H4603" s="22">
        <v>0</v>
      </c>
      <c r="I4603" s="23" t="str">
        <f t="shared" si="214"/>
        <v xml:space="preserve">COM VALOR</v>
      </c>
      <c r="J4603" s="19"/>
      <c r="L4603" s="21">
        <v>56.840000000000003</v>
      </c>
      <c r="M4603" s="22">
        <v>0</v>
      </c>
      <c r="N4603" s="21">
        <v>54.659999999999997</v>
      </c>
      <c r="O4603" s="22">
        <v>0</v>
      </c>
    </row>
    <row r="4604" ht="38.25">
      <c r="A4604" t="s">
        <v>4596</v>
      </c>
      <c r="B4604" s="19">
        <v>92028</v>
      </c>
      <c r="C4604" s="20" t="s">
        <v>4706</v>
      </c>
      <c r="D4604" s="19" t="s">
        <v>31</v>
      </c>
      <c r="E4604" s="21">
        <f t="shared" si="212"/>
        <v>45.979999999999997</v>
      </c>
      <c r="F4604" s="22">
        <v>0</v>
      </c>
      <c r="G4604" s="21">
        <f t="shared" si="213"/>
        <v>44.200000000000003</v>
      </c>
      <c r="H4604" s="22">
        <v>0</v>
      </c>
      <c r="I4604" s="23" t="str">
        <f t="shared" si="214"/>
        <v xml:space="preserve">COM VALOR</v>
      </c>
      <c r="J4604" s="19"/>
      <c r="L4604" s="21">
        <v>45.979999999999997</v>
      </c>
      <c r="M4604" s="22">
        <v>0</v>
      </c>
      <c r="N4604" s="21">
        <v>44.200000000000003</v>
      </c>
      <c r="O4604" s="22">
        <v>0</v>
      </c>
    </row>
    <row r="4605" ht="38.25">
      <c r="A4605" t="s">
        <v>4596</v>
      </c>
      <c r="B4605" s="19">
        <v>92031</v>
      </c>
      <c r="C4605" s="20" t="s">
        <v>4707</v>
      </c>
      <c r="D4605" s="19" t="s">
        <v>31</v>
      </c>
      <c r="E4605" s="21">
        <f t="shared" si="212"/>
        <v>77.579999999999998</v>
      </c>
      <c r="F4605" s="22">
        <v>0</v>
      </c>
      <c r="G4605" s="21">
        <f t="shared" si="213"/>
        <v>74.599999999999994</v>
      </c>
      <c r="H4605" s="22">
        <v>0</v>
      </c>
      <c r="I4605" s="23" t="str">
        <f t="shared" si="214"/>
        <v xml:space="preserve">COM VALOR</v>
      </c>
      <c r="J4605" s="19"/>
      <c r="L4605" s="21">
        <v>77.579999999999998</v>
      </c>
      <c r="M4605" s="22">
        <v>0</v>
      </c>
      <c r="N4605" s="21">
        <v>74.599999999999994</v>
      </c>
      <c r="O4605" s="22">
        <v>0</v>
      </c>
    </row>
    <row r="4606" ht="38.25">
      <c r="A4606" t="s">
        <v>4596</v>
      </c>
      <c r="B4606" s="19">
        <v>92030</v>
      </c>
      <c r="C4606" s="20" t="s">
        <v>4708</v>
      </c>
      <c r="D4606" s="19" t="s">
        <v>31</v>
      </c>
      <c r="E4606" s="21">
        <f t="shared" si="212"/>
        <v>66.719999999999999</v>
      </c>
      <c r="F4606" s="22">
        <v>0</v>
      </c>
      <c r="G4606" s="21">
        <f t="shared" si="213"/>
        <v>64.140000000000001</v>
      </c>
      <c r="H4606" s="22">
        <v>0</v>
      </c>
      <c r="I4606" s="23" t="str">
        <f t="shared" si="214"/>
        <v xml:space="preserve">COM VALOR</v>
      </c>
      <c r="J4606" s="19"/>
      <c r="L4606" s="21">
        <v>66.719999999999999</v>
      </c>
      <c r="M4606" s="22">
        <v>0</v>
      </c>
      <c r="N4606" s="21">
        <v>64.140000000000001</v>
      </c>
      <c r="O4606" s="22">
        <v>0</v>
      </c>
    </row>
    <row r="4607" ht="25.5">
      <c r="A4607" t="s">
        <v>4596</v>
      </c>
      <c r="B4607" s="19">
        <v>91955</v>
      </c>
      <c r="C4607" s="20" t="s">
        <v>4709</v>
      </c>
      <c r="D4607" s="19" t="s">
        <v>31</v>
      </c>
      <c r="E4607" s="21">
        <f t="shared" si="212"/>
        <v>36.039999999999999</v>
      </c>
      <c r="F4607" s="22">
        <v>0</v>
      </c>
      <c r="G4607" s="21">
        <f t="shared" si="213"/>
        <v>34.649999999999999</v>
      </c>
      <c r="H4607" s="22">
        <v>0</v>
      </c>
      <c r="I4607" s="23" t="str">
        <f t="shared" si="214"/>
        <v xml:space="preserve">COM VALOR</v>
      </c>
      <c r="J4607" s="19"/>
      <c r="L4607" s="21">
        <v>36.039999999999999</v>
      </c>
      <c r="M4607" s="22">
        <v>0</v>
      </c>
      <c r="N4607" s="21">
        <v>34.649999999999999</v>
      </c>
      <c r="O4607" s="22">
        <v>0</v>
      </c>
    </row>
    <row r="4608" ht="25.5">
      <c r="A4608" t="s">
        <v>4596</v>
      </c>
      <c r="B4608" s="19">
        <v>91954</v>
      </c>
      <c r="C4608" s="20" t="s">
        <v>4710</v>
      </c>
      <c r="D4608" s="19" t="s">
        <v>31</v>
      </c>
      <c r="E4608" s="21">
        <f t="shared" si="212"/>
        <v>25.18</v>
      </c>
      <c r="F4608" s="22">
        <v>0</v>
      </c>
      <c r="G4608" s="21">
        <f t="shared" si="213"/>
        <v>24.190000000000001</v>
      </c>
      <c r="H4608" s="22">
        <v>0</v>
      </c>
      <c r="I4608" s="23" t="str">
        <f t="shared" si="214"/>
        <v xml:space="preserve">COM VALOR</v>
      </c>
      <c r="J4608" s="19"/>
      <c r="L4608" s="21">
        <v>25.18</v>
      </c>
      <c r="M4608" s="22">
        <v>0</v>
      </c>
      <c r="N4608" s="21">
        <v>24.190000000000001</v>
      </c>
      <c r="O4608" s="22">
        <v>0</v>
      </c>
    </row>
    <row r="4609" ht="38.25">
      <c r="A4609" t="s">
        <v>4596</v>
      </c>
      <c r="B4609" s="19">
        <v>92033</v>
      </c>
      <c r="C4609" s="20" t="s">
        <v>4711</v>
      </c>
      <c r="D4609" s="19" t="s">
        <v>31</v>
      </c>
      <c r="E4609" s="21">
        <f t="shared" si="212"/>
        <v>78.560000000000002</v>
      </c>
      <c r="F4609" s="22">
        <v>0</v>
      </c>
      <c r="G4609" s="21">
        <f t="shared" si="213"/>
        <v>75.579999999999998</v>
      </c>
      <c r="H4609" s="22">
        <v>0</v>
      </c>
      <c r="I4609" s="23" t="str">
        <f t="shared" si="214"/>
        <v xml:space="preserve">COM VALOR</v>
      </c>
      <c r="J4609" s="19"/>
      <c r="L4609" s="21">
        <v>78.560000000000002</v>
      </c>
      <c r="M4609" s="22">
        <v>0</v>
      </c>
      <c r="N4609" s="21">
        <v>75.579999999999998</v>
      </c>
      <c r="O4609" s="22">
        <v>0</v>
      </c>
    </row>
    <row r="4610" ht="38.25">
      <c r="A4610" t="s">
        <v>4596</v>
      </c>
      <c r="B4610" s="19">
        <v>92032</v>
      </c>
      <c r="C4610" s="20" t="s">
        <v>4712</v>
      </c>
      <c r="D4610" s="19" t="s">
        <v>31</v>
      </c>
      <c r="E4610" s="21">
        <f t="shared" si="212"/>
        <v>67.700000000000003</v>
      </c>
      <c r="F4610" s="22">
        <v>0</v>
      </c>
      <c r="G4610" s="21">
        <f t="shared" si="213"/>
        <v>65.120000000000005</v>
      </c>
      <c r="H4610" s="22">
        <v>0</v>
      </c>
      <c r="I4610" s="23" t="str">
        <f t="shared" si="214"/>
        <v xml:space="preserve">COM VALOR</v>
      </c>
      <c r="J4610" s="19"/>
      <c r="L4610" s="21">
        <v>67.700000000000003</v>
      </c>
      <c r="M4610" s="22">
        <v>0</v>
      </c>
      <c r="N4610" s="21">
        <v>65.120000000000005</v>
      </c>
      <c r="O4610" s="22">
        <v>0</v>
      </c>
    </row>
    <row r="4611" ht="25.5">
      <c r="A4611" t="s">
        <v>4596</v>
      </c>
      <c r="B4611" s="19">
        <v>91961</v>
      </c>
      <c r="C4611" s="20" t="s">
        <v>4713</v>
      </c>
      <c r="D4611" s="19" t="s">
        <v>31</v>
      </c>
      <c r="E4611" s="21">
        <f t="shared" si="212"/>
        <v>57.82</v>
      </c>
      <c r="F4611" s="22">
        <v>0</v>
      </c>
      <c r="G4611" s="21">
        <f t="shared" si="213"/>
        <v>55.640000000000001</v>
      </c>
      <c r="H4611" s="22">
        <v>0</v>
      </c>
      <c r="I4611" s="23" t="str">
        <f t="shared" si="214"/>
        <v xml:space="preserve">COM VALOR</v>
      </c>
      <c r="J4611" s="19"/>
      <c r="L4611" s="21">
        <v>57.82</v>
      </c>
      <c r="M4611" s="22">
        <v>0</v>
      </c>
      <c r="N4611" s="21">
        <v>55.640000000000001</v>
      </c>
      <c r="O4611" s="22">
        <v>0</v>
      </c>
    </row>
    <row r="4612" ht="25.5">
      <c r="A4612" t="s">
        <v>4596</v>
      </c>
      <c r="B4612" s="19">
        <v>91960</v>
      </c>
      <c r="C4612" s="20" t="s">
        <v>4714</v>
      </c>
      <c r="D4612" s="19" t="s">
        <v>31</v>
      </c>
      <c r="E4612" s="21">
        <f t="shared" si="212"/>
        <v>46.960000000000001</v>
      </c>
      <c r="F4612" s="22">
        <v>0</v>
      </c>
      <c r="G4612" s="21">
        <f t="shared" si="213"/>
        <v>45.18</v>
      </c>
      <c r="H4612" s="22">
        <v>0</v>
      </c>
      <c r="I4612" s="23" t="str">
        <f t="shared" si="214"/>
        <v xml:space="preserve">COM VALOR</v>
      </c>
      <c r="J4612" s="19"/>
      <c r="L4612" s="21">
        <v>46.960000000000001</v>
      </c>
      <c r="M4612" s="22">
        <v>0</v>
      </c>
      <c r="N4612" s="21">
        <v>45.18</v>
      </c>
      <c r="O4612" s="22">
        <v>0</v>
      </c>
    </row>
    <row r="4613" ht="25.5">
      <c r="A4613" t="s">
        <v>4596</v>
      </c>
      <c r="B4613" s="19">
        <v>91969</v>
      </c>
      <c r="C4613" s="20" t="s">
        <v>4715</v>
      </c>
      <c r="D4613" s="19" t="s">
        <v>31</v>
      </c>
      <c r="E4613" s="21">
        <f t="shared" si="212"/>
        <v>79.540000000000006</v>
      </c>
      <c r="F4613" s="22">
        <v>0</v>
      </c>
      <c r="G4613" s="21">
        <f t="shared" si="213"/>
        <v>76.560000000000002</v>
      </c>
      <c r="H4613" s="22">
        <v>0</v>
      </c>
      <c r="I4613" s="23" t="str">
        <f t="shared" si="214"/>
        <v xml:space="preserve">COM VALOR</v>
      </c>
      <c r="J4613" s="19"/>
      <c r="L4613" s="21">
        <v>79.540000000000006</v>
      </c>
      <c r="M4613" s="22">
        <v>0</v>
      </c>
      <c r="N4613" s="21">
        <v>76.560000000000002</v>
      </c>
      <c r="O4613" s="22">
        <v>0</v>
      </c>
    </row>
    <row r="4614" ht="25.5">
      <c r="A4614" t="s">
        <v>4596</v>
      </c>
      <c r="B4614" s="19">
        <v>91968</v>
      </c>
      <c r="C4614" s="20" t="s">
        <v>4716</v>
      </c>
      <c r="D4614" s="19" t="s">
        <v>31</v>
      </c>
      <c r="E4614" s="21">
        <f t="shared" si="212"/>
        <v>68.680000000000007</v>
      </c>
      <c r="F4614" s="22">
        <v>0</v>
      </c>
      <c r="G4614" s="21">
        <f t="shared" si="213"/>
        <v>66.099999999999994</v>
      </c>
      <c r="H4614" s="22">
        <v>0</v>
      </c>
      <c r="I4614" s="23" t="str">
        <f t="shared" si="214"/>
        <v xml:space="preserve">COM VALOR</v>
      </c>
      <c r="J4614" s="19"/>
      <c r="L4614" s="21">
        <v>68.680000000000007</v>
      </c>
      <c r="M4614" s="22">
        <v>0</v>
      </c>
      <c r="N4614" s="21">
        <v>66.099999999999994</v>
      </c>
      <c r="O4614" s="22">
        <v>0</v>
      </c>
    </row>
    <row r="4615" ht="25.5">
      <c r="A4615" t="s">
        <v>4596</v>
      </c>
      <c r="B4615" s="19">
        <v>91985</v>
      </c>
      <c r="C4615" s="20" t="s">
        <v>4717</v>
      </c>
      <c r="D4615" s="19" t="s">
        <v>31</v>
      </c>
      <c r="E4615" s="21">
        <f t="shared" si="212"/>
        <v>28.59</v>
      </c>
      <c r="F4615" s="22">
        <v>0</v>
      </c>
      <c r="G4615" s="21">
        <f t="shared" si="213"/>
        <v>27.469999999999999</v>
      </c>
      <c r="H4615" s="22">
        <v>0</v>
      </c>
      <c r="I4615" s="23" t="str">
        <f t="shared" si="214"/>
        <v xml:space="preserve">COM VALOR</v>
      </c>
      <c r="J4615" s="19"/>
      <c r="L4615" s="21">
        <v>28.59</v>
      </c>
      <c r="M4615" s="22">
        <v>0</v>
      </c>
      <c r="N4615" s="21">
        <v>27.469999999999999</v>
      </c>
      <c r="O4615" s="22">
        <v>0</v>
      </c>
    </row>
    <row r="4616" ht="25.5">
      <c r="A4616" t="s">
        <v>4596</v>
      </c>
      <c r="B4616" s="19">
        <v>91984</v>
      </c>
      <c r="C4616" s="20" t="s">
        <v>4718</v>
      </c>
      <c r="D4616" s="19" t="s">
        <v>31</v>
      </c>
      <c r="E4616" s="21">
        <f t="shared" si="212"/>
        <v>17.73</v>
      </c>
      <c r="F4616" s="22">
        <v>0</v>
      </c>
      <c r="G4616" s="21">
        <f t="shared" si="213"/>
        <v>17.010000000000002</v>
      </c>
      <c r="H4616" s="22">
        <v>0</v>
      </c>
      <c r="I4616" s="23" t="str">
        <f t="shared" si="214"/>
        <v xml:space="preserve">COM VALOR</v>
      </c>
      <c r="J4616" s="19"/>
      <c r="L4616" s="21">
        <v>17.73</v>
      </c>
      <c r="M4616" s="22">
        <v>0</v>
      </c>
      <c r="N4616" s="21">
        <v>17.010000000000002</v>
      </c>
      <c r="O4616" s="22">
        <v>0</v>
      </c>
    </row>
    <row r="4617" ht="25.5">
      <c r="A4617" t="s">
        <v>4596</v>
      </c>
      <c r="B4617" s="19">
        <v>91989</v>
      </c>
      <c r="C4617" s="20" t="s">
        <v>4719</v>
      </c>
      <c r="D4617" s="19" t="s">
        <v>31</v>
      </c>
      <c r="E4617" s="21">
        <f t="shared" si="212"/>
        <v>32.100000000000001</v>
      </c>
      <c r="F4617" s="22"/>
      <c r="G4617" s="21">
        <f t="shared" si="213"/>
        <v>30.98</v>
      </c>
      <c r="H4617" s="22"/>
      <c r="I4617" s="23" t="str">
        <f t="shared" si="214"/>
        <v xml:space="preserve">COM VALOR</v>
      </c>
      <c r="J4617" s="19"/>
      <c r="L4617" s="21">
        <v>32.100000000000001</v>
      </c>
      <c r="M4617" s="22">
        <v>0</v>
      </c>
      <c r="N4617" s="21">
        <v>30.98</v>
      </c>
      <c r="O4617" s="22">
        <v>0</v>
      </c>
    </row>
    <row r="4618" ht="25.5">
      <c r="A4618" t="s">
        <v>4596</v>
      </c>
      <c r="B4618" s="19">
        <v>91988</v>
      </c>
      <c r="C4618" s="20" t="s">
        <v>4720</v>
      </c>
      <c r="D4618" s="19" t="s">
        <v>31</v>
      </c>
      <c r="E4618" s="21">
        <f t="shared" si="212"/>
        <v>21.239999999999998</v>
      </c>
      <c r="F4618" s="22"/>
      <c r="G4618" s="21">
        <f t="shared" si="213"/>
        <v>20.52</v>
      </c>
      <c r="H4618" s="22"/>
      <c r="I4618" s="23" t="str">
        <f t="shared" si="214"/>
        <v xml:space="preserve">COM VALOR</v>
      </c>
      <c r="J4618" s="19"/>
      <c r="L4618" s="21">
        <v>21.239999999999998</v>
      </c>
      <c r="M4618" s="22">
        <v>0</v>
      </c>
      <c r="N4618" s="21">
        <v>20.52</v>
      </c>
      <c r="O4618" s="22">
        <v>0</v>
      </c>
    </row>
    <row r="4619" ht="38.25">
      <c r="A4619" t="s">
        <v>4596</v>
      </c>
      <c r="B4619" s="19">
        <v>92023</v>
      </c>
      <c r="C4619" s="20" t="s">
        <v>4721</v>
      </c>
      <c r="D4619" s="19" t="s">
        <v>31</v>
      </c>
      <c r="E4619" s="21">
        <f t="shared" ref="E4619:E4682" si="215">IF(L4619=0,"VERIFICAR",L4619)</f>
        <v>50.310000000000002</v>
      </c>
      <c r="F4619" s="22"/>
      <c r="G4619" s="21">
        <f t="shared" ref="G4619:G4682" si="216">IF(N4619=0,"VERIFICAR",N4619)</f>
        <v>48.390000000000001</v>
      </c>
      <c r="H4619" s="22"/>
      <c r="I4619" s="23" t="str">
        <f t="shared" ref="I4619:I4682" si="217">IF(OR(E4619=0,G4619=0),"SEM VALOR","COM VALOR")</f>
        <v xml:space="preserve">COM VALOR</v>
      </c>
      <c r="J4619" s="19"/>
      <c r="L4619" s="21">
        <v>50.310000000000002</v>
      </c>
      <c r="M4619" s="22">
        <v>0</v>
      </c>
      <c r="N4619" s="21">
        <v>48.390000000000001</v>
      </c>
      <c r="O4619" s="22">
        <v>0</v>
      </c>
    </row>
    <row r="4620" ht="38.25">
      <c r="A4620" t="s">
        <v>4596</v>
      </c>
      <c r="B4620" s="19">
        <v>92022</v>
      </c>
      <c r="C4620" s="20" t="s">
        <v>4722</v>
      </c>
      <c r="D4620" s="19" t="s">
        <v>31</v>
      </c>
      <c r="E4620" s="21">
        <f t="shared" si="215"/>
        <v>39.450000000000003</v>
      </c>
      <c r="F4620" s="22"/>
      <c r="G4620" s="21">
        <f t="shared" si="216"/>
        <v>37.93</v>
      </c>
      <c r="H4620" s="22"/>
      <c r="I4620" s="23" t="str">
        <f t="shared" si="217"/>
        <v xml:space="preserve">COM VALOR</v>
      </c>
      <c r="J4620" s="19"/>
      <c r="L4620" s="21">
        <v>39.450000000000003</v>
      </c>
      <c r="M4620" s="22">
        <v>0</v>
      </c>
      <c r="N4620" s="21">
        <v>37.93</v>
      </c>
      <c r="O4620" s="22">
        <v>0</v>
      </c>
    </row>
    <row r="4621" ht="38.25">
      <c r="A4621" t="s">
        <v>4596</v>
      </c>
      <c r="B4621" s="19">
        <v>92025</v>
      </c>
      <c r="C4621" s="20" t="s">
        <v>4723</v>
      </c>
      <c r="D4621" s="19" t="s">
        <v>31</v>
      </c>
      <c r="E4621" s="21">
        <f t="shared" si="215"/>
        <v>71.099999999999994</v>
      </c>
      <c r="F4621" s="22"/>
      <c r="G4621" s="21">
        <f t="shared" si="216"/>
        <v>68.400000000000006</v>
      </c>
      <c r="H4621" s="22"/>
      <c r="I4621" s="23" t="str">
        <f t="shared" si="217"/>
        <v xml:space="preserve">COM VALOR</v>
      </c>
      <c r="J4621" s="19"/>
      <c r="L4621" s="21">
        <v>71.099999999999994</v>
      </c>
      <c r="M4621" s="22">
        <v>0</v>
      </c>
      <c r="N4621" s="21">
        <v>68.400000000000006</v>
      </c>
      <c r="O4621" s="22">
        <v>0</v>
      </c>
    </row>
    <row r="4622" ht="38.25">
      <c r="A4622" t="s">
        <v>4596</v>
      </c>
      <c r="B4622" s="19">
        <v>92024</v>
      </c>
      <c r="C4622" s="20" t="s">
        <v>4724</v>
      </c>
      <c r="D4622" s="19" t="s">
        <v>31</v>
      </c>
      <c r="E4622" s="21">
        <f t="shared" si="215"/>
        <v>60.240000000000002</v>
      </c>
      <c r="F4622" s="22"/>
      <c r="G4622" s="21">
        <f t="shared" si="216"/>
        <v>57.939999999999998</v>
      </c>
      <c r="H4622" s="22"/>
      <c r="I4622" s="23" t="str">
        <f t="shared" si="217"/>
        <v xml:space="preserve">COM VALOR</v>
      </c>
      <c r="J4622" s="19"/>
      <c r="L4622" s="21">
        <v>60.240000000000002</v>
      </c>
      <c r="M4622" s="22">
        <v>0</v>
      </c>
      <c r="N4622" s="21">
        <v>57.939999999999998</v>
      </c>
      <c r="O4622" s="22">
        <v>0</v>
      </c>
    </row>
    <row r="4623" ht="38.25">
      <c r="A4623" t="s">
        <v>4596</v>
      </c>
      <c r="B4623" s="19">
        <v>91957</v>
      </c>
      <c r="C4623" s="20" t="s">
        <v>4725</v>
      </c>
      <c r="D4623" s="19" t="s">
        <v>31</v>
      </c>
      <c r="E4623" s="21">
        <f t="shared" si="215"/>
        <v>51.289999999999999</v>
      </c>
      <c r="F4623" s="22"/>
      <c r="G4623" s="21">
        <f t="shared" si="216"/>
        <v>49.369999999999997</v>
      </c>
      <c r="H4623" s="22"/>
      <c r="I4623" s="23" t="str">
        <f t="shared" si="217"/>
        <v xml:space="preserve">COM VALOR</v>
      </c>
      <c r="J4623" s="19"/>
      <c r="L4623" s="21">
        <v>51.289999999999999</v>
      </c>
      <c r="M4623" s="22">
        <v>0</v>
      </c>
      <c r="N4623" s="21">
        <v>49.369999999999997</v>
      </c>
      <c r="O4623" s="22">
        <v>0</v>
      </c>
    </row>
    <row r="4624" ht="38.25">
      <c r="A4624" t="s">
        <v>4596</v>
      </c>
      <c r="B4624" s="19">
        <v>91956</v>
      </c>
      <c r="C4624" s="20" t="s">
        <v>4726</v>
      </c>
      <c r="D4624" s="19" t="s">
        <v>31</v>
      </c>
      <c r="E4624" s="21">
        <f t="shared" si="215"/>
        <v>40.43</v>
      </c>
      <c r="F4624" s="22"/>
      <c r="G4624" s="21">
        <f t="shared" si="216"/>
        <v>38.909999999999997</v>
      </c>
      <c r="H4624" s="22"/>
      <c r="I4624" s="23" t="str">
        <f t="shared" si="217"/>
        <v xml:space="preserve">COM VALOR</v>
      </c>
      <c r="J4624" s="19"/>
      <c r="L4624" s="21">
        <v>40.43</v>
      </c>
      <c r="M4624" s="22">
        <v>0</v>
      </c>
      <c r="N4624" s="21">
        <v>38.909999999999997</v>
      </c>
      <c r="O4624" s="22">
        <v>0</v>
      </c>
    </row>
    <row r="4625" ht="38.25">
      <c r="A4625" t="s">
        <v>4596</v>
      </c>
      <c r="B4625" s="19">
        <v>91963</v>
      </c>
      <c r="C4625" s="20" t="s">
        <v>4727</v>
      </c>
      <c r="D4625" s="19" t="s">
        <v>31</v>
      </c>
      <c r="E4625" s="21">
        <f t="shared" si="215"/>
        <v>73.060000000000002</v>
      </c>
      <c r="F4625" s="22"/>
      <c r="G4625" s="21">
        <f t="shared" si="216"/>
        <v>70.359999999999999</v>
      </c>
      <c r="H4625" s="22"/>
      <c r="I4625" s="23" t="str">
        <f t="shared" si="217"/>
        <v xml:space="preserve">COM VALOR</v>
      </c>
      <c r="J4625" s="19"/>
      <c r="L4625" s="21">
        <v>73.060000000000002</v>
      </c>
      <c r="M4625" s="22">
        <v>0</v>
      </c>
      <c r="N4625" s="21">
        <v>70.359999999999999</v>
      </c>
      <c r="O4625" s="22">
        <v>0</v>
      </c>
    </row>
    <row r="4626" ht="38.25">
      <c r="A4626" t="s">
        <v>4596</v>
      </c>
      <c r="B4626" s="19">
        <v>91962</v>
      </c>
      <c r="C4626" s="20" t="s">
        <v>4728</v>
      </c>
      <c r="D4626" s="19" t="s">
        <v>31</v>
      </c>
      <c r="E4626" s="21">
        <f t="shared" si="215"/>
        <v>62.200000000000003</v>
      </c>
      <c r="F4626" s="22"/>
      <c r="G4626" s="21">
        <f t="shared" si="216"/>
        <v>59.899999999999999</v>
      </c>
      <c r="H4626" s="22"/>
      <c r="I4626" s="23" t="str">
        <f t="shared" si="217"/>
        <v xml:space="preserve">COM VALOR</v>
      </c>
      <c r="J4626" s="19"/>
      <c r="L4626" s="21">
        <v>62.200000000000003</v>
      </c>
      <c r="M4626" s="22">
        <v>0</v>
      </c>
      <c r="N4626" s="21">
        <v>59.899999999999999</v>
      </c>
      <c r="O4626" s="22">
        <v>0</v>
      </c>
    </row>
    <row r="4627" ht="25.5">
      <c r="A4627" t="s">
        <v>4596</v>
      </c>
      <c r="B4627" s="19">
        <v>91953</v>
      </c>
      <c r="C4627" s="20" t="s">
        <v>4729</v>
      </c>
      <c r="D4627" s="19" t="s">
        <v>31</v>
      </c>
      <c r="E4627" s="21">
        <f t="shared" si="215"/>
        <v>29.559999999999999</v>
      </c>
      <c r="F4627" s="22"/>
      <c r="G4627" s="21">
        <f t="shared" si="216"/>
        <v>28.440000000000001</v>
      </c>
      <c r="H4627" s="22"/>
      <c r="I4627" s="23" t="str">
        <f t="shared" si="217"/>
        <v xml:space="preserve">COM VALOR</v>
      </c>
      <c r="J4627" s="19"/>
      <c r="L4627" s="21">
        <v>29.559999999999999</v>
      </c>
      <c r="M4627" s="22">
        <v>0</v>
      </c>
      <c r="N4627" s="21">
        <v>28.440000000000001</v>
      </c>
      <c r="O4627" s="22">
        <v>0</v>
      </c>
    </row>
    <row r="4628" ht="25.5">
      <c r="A4628" t="s">
        <v>4596</v>
      </c>
      <c r="B4628" s="19">
        <v>91952</v>
      </c>
      <c r="C4628" s="20" t="s">
        <v>4730</v>
      </c>
      <c r="D4628" s="19" t="s">
        <v>31</v>
      </c>
      <c r="E4628" s="21">
        <f t="shared" si="215"/>
        <v>18.699999999999999</v>
      </c>
      <c r="F4628" s="22"/>
      <c r="G4628" s="21">
        <f t="shared" si="216"/>
        <v>17.98</v>
      </c>
      <c r="H4628" s="22"/>
      <c r="I4628" s="23" t="str">
        <f t="shared" si="217"/>
        <v xml:space="preserve">COM VALOR</v>
      </c>
      <c r="J4628" s="19"/>
      <c r="L4628" s="21">
        <v>18.699999999999999</v>
      </c>
      <c r="M4628" s="22">
        <v>0</v>
      </c>
      <c r="N4628" s="21">
        <v>17.98</v>
      </c>
      <c r="O4628" s="22">
        <v>0</v>
      </c>
    </row>
    <row r="4629" ht="38.25">
      <c r="A4629" t="s">
        <v>4596</v>
      </c>
      <c r="B4629" s="19">
        <v>92035</v>
      </c>
      <c r="C4629" s="20" t="s">
        <v>4731</v>
      </c>
      <c r="D4629" s="19" t="s">
        <v>31</v>
      </c>
      <c r="E4629" s="21">
        <f t="shared" si="215"/>
        <v>72.079999999999998</v>
      </c>
      <c r="F4629" s="22"/>
      <c r="G4629" s="21">
        <f t="shared" si="216"/>
        <v>69.379999999999995</v>
      </c>
      <c r="H4629" s="22"/>
      <c r="I4629" s="23" t="str">
        <f t="shared" si="217"/>
        <v xml:space="preserve">COM VALOR</v>
      </c>
      <c r="J4629" s="19"/>
      <c r="L4629" s="21">
        <v>72.079999999999998</v>
      </c>
      <c r="M4629" s="22">
        <v>0</v>
      </c>
      <c r="N4629" s="21">
        <v>69.379999999999995</v>
      </c>
      <c r="O4629" s="22">
        <v>0</v>
      </c>
    </row>
    <row r="4630" ht="38.25">
      <c r="A4630" t="s">
        <v>4596</v>
      </c>
      <c r="B4630" s="19">
        <v>92034</v>
      </c>
      <c r="C4630" s="20" t="s">
        <v>4732</v>
      </c>
      <c r="D4630" s="19" t="s">
        <v>31</v>
      </c>
      <c r="E4630" s="21">
        <f t="shared" si="215"/>
        <v>61.219999999999999</v>
      </c>
      <c r="F4630" s="22"/>
      <c r="G4630" s="21">
        <f t="shared" si="216"/>
        <v>58.920000000000002</v>
      </c>
      <c r="H4630" s="22"/>
      <c r="I4630" s="23" t="str">
        <f t="shared" si="217"/>
        <v xml:space="preserve">COM VALOR</v>
      </c>
      <c r="J4630" s="19"/>
      <c r="L4630" s="21">
        <v>61.219999999999999</v>
      </c>
      <c r="M4630" s="22">
        <v>0</v>
      </c>
      <c r="N4630" s="21">
        <v>58.920000000000002</v>
      </c>
      <c r="O4630" s="22">
        <v>0</v>
      </c>
    </row>
    <row r="4631" ht="38.25">
      <c r="A4631" t="s">
        <v>4596</v>
      </c>
      <c r="B4631" s="19">
        <v>92027</v>
      </c>
      <c r="C4631" s="20" t="s">
        <v>4733</v>
      </c>
      <c r="D4631" s="19" t="s">
        <v>31</v>
      </c>
      <c r="E4631" s="21">
        <f t="shared" si="215"/>
        <v>65.609999999999999</v>
      </c>
      <c r="F4631" s="22"/>
      <c r="G4631" s="21">
        <f t="shared" si="216"/>
        <v>63.170000000000002</v>
      </c>
      <c r="H4631" s="22"/>
      <c r="I4631" s="23" t="str">
        <f t="shared" si="217"/>
        <v xml:space="preserve">COM VALOR</v>
      </c>
      <c r="J4631" s="19"/>
      <c r="L4631" s="21">
        <v>65.609999999999999</v>
      </c>
      <c r="M4631" s="22">
        <v>0</v>
      </c>
      <c r="N4631" s="21">
        <v>63.170000000000002</v>
      </c>
      <c r="O4631" s="22">
        <v>0</v>
      </c>
    </row>
    <row r="4632" ht="38.25">
      <c r="A4632" t="s">
        <v>4596</v>
      </c>
      <c r="B4632" s="19">
        <v>92026</v>
      </c>
      <c r="C4632" s="20" t="s">
        <v>4734</v>
      </c>
      <c r="D4632" s="19" t="s">
        <v>31</v>
      </c>
      <c r="E4632" s="21">
        <f t="shared" si="215"/>
        <v>54.75</v>
      </c>
      <c r="F4632" s="22"/>
      <c r="G4632" s="21">
        <f t="shared" si="216"/>
        <v>52.710000000000001</v>
      </c>
      <c r="H4632" s="22"/>
      <c r="I4632" s="23" t="str">
        <f t="shared" si="217"/>
        <v xml:space="preserve">COM VALOR</v>
      </c>
      <c r="J4632" s="19"/>
      <c r="L4632" s="21">
        <v>54.75</v>
      </c>
      <c r="M4632" s="22">
        <v>0</v>
      </c>
      <c r="N4632" s="21">
        <v>52.710000000000001</v>
      </c>
      <c r="O4632" s="22">
        <v>0</v>
      </c>
    </row>
    <row r="4633" ht="38.25">
      <c r="A4633" t="s">
        <v>4596</v>
      </c>
      <c r="B4633" s="19">
        <v>91965</v>
      </c>
      <c r="C4633" s="20" t="s">
        <v>4735</v>
      </c>
      <c r="D4633" s="19" t="s">
        <v>31</v>
      </c>
      <c r="E4633" s="21">
        <f t="shared" si="215"/>
        <v>66.590000000000003</v>
      </c>
      <c r="F4633" s="22"/>
      <c r="G4633" s="21">
        <f t="shared" si="216"/>
        <v>64.150000000000006</v>
      </c>
      <c r="H4633" s="22"/>
      <c r="I4633" s="23" t="str">
        <f t="shared" si="217"/>
        <v xml:space="preserve">COM VALOR</v>
      </c>
      <c r="J4633" s="19"/>
      <c r="L4633" s="21">
        <v>66.590000000000003</v>
      </c>
      <c r="M4633" s="22">
        <v>0</v>
      </c>
      <c r="N4633" s="21">
        <v>64.150000000000006</v>
      </c>
      <c r="O4633" s="22">
        <v>0</v>
      </c>
    </row>
    <row r="4634" ht="38.25">
      <c r="A4634" t="s">
        <v>4596</v>
      </c>
      <c r="B4634" s="19">
        <v>91964</v>
      </c>
      <c r="C4634" s="20" t="s">
        <v>4736</v>
      </c>
      <c r="D4634" s="19" t="s">
        <v>31</v>
      </c>
      <c r="E4634" s="21">
        <f t="shared" si="215"/>
        <v>55.729999999999997</v>
      </c>
      <c r="F4634" s="22"/>
      <c r="G4634" s="21">
        <f t="shared" si="216"/>
        <v>53.689999999999998</v>
      </c>
      <c r="H4634" s="22"/>
      <c r="I4634" s="23" t="str">
        <f t="shared" si="217"/>
        <v xml:space="preserve">COM VALOR</v>
      </c>
      <c r="J4634" s="19"/>
      <c r="L4634" s="21">
        <v>55.729999999999997</v>
      </c>
      <c r="M4634" s="22">
        <v>0</v>
      </c>
      <c r="N4634" s="21">
        <v>53.689999999999998</v>
      </c>
      <c r="O4634" s="22">
        <v>0</v>
      </c>
    </row>
    <row r="4635" ht="38.25">
      <c r="A4635" t="s">
        <v>4596</v>
      </c>
      <c r="B4635" s="19">
        <v>91973</v>
      </c>
      <c r="C4635" s="20" t="s">
        <v>4737</v>
      </c>
      <c r="D4635" s="19" t="s">
        <v>31</v>
      </c>
      <c r="E4635" s="21">
        <f t="shared" si="215"/>
        <v>93.450000000000003</v>
      </c>
      <c r="F4635" s="22"/>
      <c r="G4635" s="21">
        <f t="shared" si="216"/>
        <v>90.129999999999995</v>
      </c>
      <c r="H4635" s="22"/>
      <c r="I4635" s="23" t="str">
        <f t="shared" si="217"/>
        <v xml:space="preserve">COM VALOR</v>
      </c>
      <c r="J4635" s="19"/>
      <c r="L4635" s="21">
        <v>93.450000000000003</v>
      </c>
      <c r="M4635" s="22">
        <v>0</v>
      </c>
      <c r="N4635" s="21">
        <v>90.129999999999995</v>
      </c>
      <c r="O4635" s="22">
        <v>0</v>
      </c>
    </row>
    <row r="4636" ht="38.25">
      <c r="A4636" t="s">
        <v>4596</v>
      </c>
      <c r="B4636" s="19">
        <v>91972</v>
      </c>
      <c r="C4636" s="20" t="s">
        <v>4738</v>
      </c>
      <c r="D4636" s="19" t="s">
        <v>31</v>
      </c>
      <c r="E4636" s="21">
        <f t="shared" si="215"/>
        <v>77.939999999999998</v>
      </c>
      <c r="F4636" s="22">
        <v>0</v>
      </c>
      <c r="G4636" s="21">
        <f t="shared" si="216"/>
        <v>75.090000000000003</v>
      </c>
      <c r="H4636" s="22">
        <v>0</v>
      </c>
      <c r="I4636" s="23" t="str">
        <f t="shared" si="217"/>
        <v xml:space="preserve">COM VALOR</v>
      </c>
      <c r="J4636" s="19"/>
      <c r="L4636" s="21">
        <v>77.939999999999998</v>
      </c>
      <c r="M4636" s="22">
        <v>0</v>
      </c>
      <c r="N4636" s="21">
        <v>75.090000000000003</v>
      </c>
      <c r="O4636" s="22">
        <v>0</v>
      </c>
    </row>
    <row r="4637" ht="25.5">
      <c r="A4637" t="s">
        <v>4596</v>
      </c>
      <c r="B4637" s="19">
        <v>91959</v>
      </c>
      <c r="C4637" s="20" t="s">
        <v>4739</v>
      </c>
      <c r="D4637" s="19" t="s">
        <v>31</v>
      </c>
      <c r="E4637" s="21">
        <f t="shared" si="215"/>
        <v>44.859999999999999</v>
      </c>
      <c r="F4637" s="22">
        <v>0</v>
      </c>
      <c r="G4637" s="21">
        <f t="shared" si="216"/>
        <v>43.219999999999999</v>
      </c>
      <c r="H4637" s="22">
        <v>0</v>
      </c>
      <c r="I4637" s="23" t="str">
        <f t="shared" si="217"/>
        <v xml:space="preserve">COM VALOR</v>
      </c>
      <c r="J4637" s="19"/>
      <c r="L4637" s="21">
        <v>44.859999999999999</v>
      </c>
      <c r="M4637" s="22">
        <v>0</v>
      </c>
      <c r="N4637" s="21">
        <v>43.219999999999999</v>
      </c>
      <c r="O4637" s="22">
        <v>0</v>
      </c>
    </row>
    <row r="4638" ht="25.5">
      <c r="A4638" t="s">
        <v>4596</v>
      </c>
      <c r="B4638" s="19">
        <v>91958</v>
      </c>
      <c r="C4638" s="20" t="s">
        <v>4740</v>
      </c>
      <c r="D4638" s="19" t="s">
        <v>31</v>
      </c>
      <c r="E4638" s="21">
        <f t="shared" si="215"/>
        <v>34</v>
      </c>
      <c r="F4638" s="22">
        <v>0</v>
      </c>
      <c r="G4638" s="21">
        <f t="shared" si="216"/>
        <v>32.759999999999998</v>
      </c>
      <c r="H4638" s="22">
        <v>0</v>
      </c>
      <c r="I4638" s="23" t="str">
        <f t="shared" si="217"/>
        <v xml:space="preserve">COM VALOR</v>
      </c>
      <c r="J4638" s="19"/>
      <c r="L4638" s="21">
        <v>34</v>
      </c>
      <c r="M4638" s="22">
        <v>0</v>
      </c>
      <c r="N4638" s="21">
        <v>32.759999999999998</v>
      </c>
      <c r="O4638" s="22">
        <v>0</v>
      </c>
    </row>
    <row r="4639" ht="38.25">
      <c r="A4639" t="s">
        <v>4596</v>
      </c>
      <c r="B4639" s="19">
        <v>91971</v>
      </c>
      <c r="C4639" s="20" t="s">
        <v>4741</v>
      </c>
      <c r="D4639" s="19" t="s">
        <v>31</v>
      </c>
      <c r="E4639" s="21">
        <f t="shared" si="215"/>
        <v>86.930000000000007</v>
      </c>
      <c r="F4639" s="22"/>
      <c r="G4639" s="21">
        <f t="shared" si="216"/>
        <v>83.870000000000005</v>
      </c>
      <c r="H4639" s="22"/>
      <c r="I4639" s="23" t="str">
        <f t="shared" si="217"/>
        <v xml:space="preserve">COM VALOR</v>
      </c>
      <c r="J4639" s="19"/>
      <c r="L4639" s="21">
        <v>86.930000000000007</v>
      </c>
      <c r="M4639" s="22">
        <v>0</v>
      </c>
      <c r="N4639" s="21">
        <v>83.870000000000005</v>
      </c>
      <c r="O4639" s="22">
        <v>0</v>
      </c>
    </row>
    <row r="4640" ht="38.25">
      <c r="A4640" t="s">
        <v>4596</v>
      </c>
      <c r="B4640" s="19">
        <v>91970</v>
      </c>
      <c r="C4640" s="20" t="s">
        <v>4742</v>
      </c>
      <c r="D4640" s="19" t="s">
        <v>31</v>
      </c>
      <c r="E4640" s="21">
        <f t="shared" si="215"/>
        <v>71.420000000000002</v>
      </c>
      <c r="F4640" s="22"/>
      <c r="G4640" s="21">
        <f t="shared" si="216"/>
        <v>68.829999999999998</v>
      </c>
      <c r="H4640" s="22"/>
      <c r="I4640" s="23" t="str">
        <f t="shared" si="217"/>
        <v xml:space="preserve">COM VALOR</v>
      </c>
      <c r="J4640" s="19"/>
      <c r="L4640" s="21">
        <v>71.420000000000002</v>
      </c>
      <c r="M4640" s="22">
        <v>0</v>
      </c>
      <c r="N4640" s="21">
        <v>68.829999999999998</v>
      </c>
      <c r="O4640" s="22">
        <v>0</v>
      </c>
    </row>
    <row r="4641" ht="25.5">
      <c r="A4641" t="s">
        <v>4596</v>
      </c>
      <c r="B4641" s="19">
        <v>91967</v>
      </c>
      <c r="C4641" s="20" t="s">
        <v>4743</v>
      </c>
      <c r="D4641" s="19" t="s">
        <v>31</v>
      </c>
      <c r="E4641" s="21">
        <f t="shared" si="215"/>
        <v>60.18</v>
      </c>
      <c r="F4641" s="22"/>
      <c r="G4641" s="21">
        <f t="shared" si="216"/>
        <v>58</v>
      </c>
      <c r="H4641" s="22"/>
      <c r="I4641" s="23" t="str">
        <f t="shared" si="217"/>
        <v xml:space="preserve">COM VALOR</v>
      </c>
      <c r="J4641" s="19"/>
      <c r="L4641" s="21">
        <v>60.18</v>
      </c>
      <c r="M4641" s="22">
        <v>0</v>
      </c>
      <c r="N4641" s="21">
        <v>58</v>
      </c>
      <c r="O4641" s="22">
        <v>0</v>
      </c>
    </row>
    <row r="4642" ht="25.5">
      <c r="A4642" t="s">
        <v>4596</v>
      </c>
      <c r="B4642" s="19">
        <v>91966</v>
      </c>
      <c r="C4642" s="20" t="s">
        <v>4744</v>
      </c>
      <c r="D4642" s="19" t="s">
        <v>31</v>
      </c>
      <c r="E4642" s="21">
        <f t="shared" si="215"/>
        <v>49.32</v>
      </c>
      <c r="F4642" s="22"/>
      <c r="G4642" s="21">
        <f t="shared" si="216"/>
        <v>47.539999999999999</v>
      </c>
      <c r="H4642" s="22"/>
      <c r="I4642" s="23" t="str">
        <f t="shared" si="217"/>
        <v xml:space="preserve">COM VALOR</v>
      </c>
      <c r="J4642" s="19"/>
      <c r="L4642" s="21">
        <v>49.32</v>
      </c>
      <c r="M4642" s="22">
        <v>0</v>
      </c>
      <c r="N4642" s="21">
        <v>47.539999999999999</v>
      </c>
      <c r="O4642" s="22">
        <v>0</v>
      </c>
    </row>
    <row r="4643" ht="25.5">
      <c r="A4643" t="s">
        <v>4596</v>
      </c>
      <c r="B4643" s="19">
        <v>91975</v>
      </c>
      <c r="C4643" s="20" t="s">
        <v>4745</v>
      </c>
      <c r="D4643" s="19" t="s">
        <v>31</v>
      </c>
      <c r="E4643" s="21">
        <f t="shared" si="215"/>
        <v>80.459999999999994</v>
      </c>
      <c r="F4643" s="22"/>
      <c r="G4643" s="21">
        <f t="shared" si="216"/>
        <v>77.659999999999997</v>
      </c>
      <c r="H4643" s="22"/>
      <c r="I4643" s="23" t="str">
        <f t="shared" si="217"/>
        <v xml:space="preserve">COM VALOR</v>
      </c>
      <c r="J4643" s="19"/>
      <c r="L4643" s="21">
        <v>80.459999999999994</v>
      </c>
      <c r="M4643" s="22">
        <v>0</v>
      </c>
      <c r="N4643" s="21">
        <v>77.659999999999997</v>
      </c>
      <c r="O4643" s="22">
        <v>0</v>
      </c>
    </row>
    <row r="4644" ht="25.5">
      <c r="A4644" t="s">
        <v>4596</v>
      </c>
      <c r="B4644" s="19">
        <v>91974</v>
      </c>
      <c r="C4644" s="20" t="s">
        <v>4746</v>
      </c>
      <c r="D4644" s="19" t="s">
        <v>31</v>
      </c>
      <c r="E4644" s="21">
        <f t="shared" si="215"/>
        <v>64.950000000000003</v>
      </c>
      <c r="F4644" s="22"/>
      <c r="G4644" s="21">
        <f t="shared" si="216"/>
        <v>62.619999999999997</v>
      </c>
      <c r="H4644" s="22"/>
      <c r="I4644" s="23" t="str">
        <f t="shared" si="217"/>
        <v xml:space="preserve">COM VALOR</v>
      </c>
      <c r="J4644" s="19"/>
      <c r="L4644" s="21">
        <v>64.950000000000003</v>
      </c>
      <c r="M4644" s="22">
        <v>0</v>
      </c>
      <c r="N4644" s="21">
        <v>62.619999999999997</v>
      </c>
      <c r="O4644" s="22">
        <v>0</v>
      </c>
    </row>
    <row r="4645" ht="25.5">
      <c r="A4645" t="s">
        <v>4596</v>
      </c>
      <c r="B4645" s="19">
        <v>91977</v>
      </c>
      <c r="C4645" s="20" t="s">
        <v>4747</v>
      </c>
      <c r="D4645" s="19" t="s">
        <v>31</v>
      </c>
      <c r="E4645" s="21">
        <f t="shared" si="215"/>
        <v>111.13</v>
      </c>
      <c r="F4645" s="22"/>
      <c r="G4645" s="21">
        <f t="shared" si="216"/>
        <v>107.26000000000001</v>
      </c>
      <c r="H4645" s="22"/>
      <c r="I4645" s="23" t="str">
        <f t="shared" si="217"/>
        <v xml:space="preserve">COM VALOR</v>
      </c>
      <c r="J4645" s="19"/>
      <c r="L4645" s="21">
        <v>111.13</v>
      </c>
      <c r="M4645" s="22">
        <v>0</v>
      </c>
      <c r="N4645" s="21">
        <v>107.26000000000001</v>
      </c>
      <c r="O4645" s="22">
        <v>0</v>
      </c>
    </row>
    <row r="4646" ht="25.5">
      <c r="A4646" t="s">
        <v>4596</v>
      </c>
      <c r="B4646" s="19">
        <v>91976</v>
      </c>
      <c r="C4646" s="20" t="s">
        <v>4748</v>
      </c>
      <c r="D4646" s="19" t="s">
        <v>31</v>
      </c>
      <c r="E4646" s="21">
        <f t="shared" si="215"/>
        <v>95.620000000000005</v>
      </c>
      <c r="F4646" s="22">
        <v>0</v>
      </c>
      <c r="G4646" s="21">
        <f t="shared" si="216"/>
        <v>92.219999999999999</v>
      </c>
      <c r="H4646" s="22">
        <v>0</v>
      </c>
      <c r="I4646" s="23" t="str">
        <f t="shared" si="217"/>
        <v xml:space="preserve">COM VALOR</v>
      </c>
      <c r="J4646" s="19"/>
      <c r="L4646" s="21">
        <v>95.620000000000005</v>
      </c>
      <c r="M4646" s="22">
        <v>0</v>
      </c>
      <c r="N4646" s="21">
        <v>92.219999999999999</v>
      </c>
      <c r="O4646" s="22">
        <v>0</v>
      </c>
    </row>
    <row r="4647" ht="38.25">
      <c r="A4647" t="s">
        <v>4596</v>
      </c>
      <c r="B4647" s="19">
        <v>91874</v>
      </c>
      <c r="C4647" s="20" t="s">
        <v>4749</v>
      </c>
      <c r="D4647" s="19" t="s">
        <v>31</v>
      </c>
      <c r="E4647" s="21">
        <f t="shared" si="215"/>
        <v>7.2199999999999998</v>
      </c>
      <c r="F4647" s="22">
        <v>0</v>
      </c>
      <c r="G4647" s="21">
        <f t="shared" si="216"/>
        <v>6.8399999999999999</v>
      </c>
      <c r="H4647" s="22">
        <v>0</v>
      </c>
      <c r="I4647" s="23" t="str">
        <f t="shared" si="217"/>
        <v xml:space="preserve">COM VALOR</v>
      </c>
      <c r="J4647" s="19"/>
      <c r="L4647" s="21">
        <v>7.2199999999999998</v>
      </c>
      <c r="M4647" s="22">
        <v>0</v>
      </c>
      <c r="N4647" s="21">
        <v>6.8399999999999999</v>
      </c>
      <c r="O4647" s="22">
        <v>0</v>
      </c>
    </row>
    <row r="4648" ht="38.25">
      <c r="A4648" t="s">
        <v>4596</v>
      </c>
      <c r="B4648" s="19">
        <v>91878</v>
      </c>
      <c r="C4648" s="20" t="s">
        <v>4750</v>
      </c>
      <c r="D4648" s="19" t="s">
        <v>31</v>
      </c>
      <c r="E4648" s="21">
        <f t="shared" si="215"/>
        <v>5.6299999999999999</v>
      </c>
      <c r="F4648" s="22">
        <v>0</v>
      </c>
      <c r="G4648" s="21">
        <f t="shared" si="216"/>
        <v>5.3399999999999999</v>
      </c>
      <c r="H4648" s="22">
        <v>0</v>
      </c>
      <c r="I4648" s="23" t="str">
        <f t="shared" si="217"/>
        <v xml:space="preserve">COM VALOR</v>
      </c>
      <c r="J4648" s="19"/>
      <c r="L4648" s="21">
        <v>5.6299999999999999</v>
      </c>
      <c r="M4648" s="22">
        <v>0</v>
      </c>
      <c r="N4648" s="21">
        <v>5.3399999999999999</v>
      </c>
      <c r="O4648" s="22">
        <v>0</v>
      </c>
    </row>
    <row r="4649" ht="38.25">
      <c r="A4649" t="s">
        <v>4596</v>
      </c>
      <c r="B4649" s="19">
        <v>91882</v>
      </c>
      <c r="C4649" s="20" t="s">
        <v>4751</v>
      </c>
      <c r="D4649" s="19" t="s">
        <v>31</v>
      </c>
      <c r="E4649" s="21">
        <f t="shared" si="215"/>
        <v>10.52</v>
      </c>
      <c r="F4649" s="22">
        <v>0</v>
      </c>
      <c r="G4649" s="21">
        <f t="shared" si="216"/>
        <v>9.9499999999999993</v>
      </c>
      <c r="H4649" s="22">
        <v>0</v>
      </c>
      <c r="I4649" s="23" t="str">
        <f t="shared" si="217"/>
        <v xml:space="preserve">COM VALOR</v>
      </c>
      <c r="J4649" s="19"/>
      <c r="L4649" s="21">
        <v>10.52</v>
      </c>
      <c r="M4649" s="22">
        <v>0</v>
      </c>
      <c r="N4649" s="21">
        <v>9.9499999999999993</v>
      </c>
      <c r="O4649" s="22">
        <v>0</v>
      </c>
    </row>
    <row r="4650" ht="38.25">
      <c r="A4650" t="s">
        <v>4596</v>
      </c>
      <c r="B4650" s="19">
        <v>91875</v>
      </c>
      <c r="C4650" s="20" t="s">
        <v>4752</v>
      </c>
      <c r="D4650" s="19" t="s">
        <v>31</v>
      </c>
      <c r="E4650" s="21">
        <f t="shared" si="215"/>
        <v>8.3699999999999992</v>
      </c>
      <c r="F4650" s="22">
        <v>0</v>
      </c>
      <c r="G4650" s="21">
        <f t="shared" si="216"/>
        <v>7.9400000000000004</v>
      </c>
      <c r="H4650" s="22">
        <v>0</v>
      </c>
      <c r="I4650" s="23" t="str">
        <f t="shared" si="217"/>
        <v xml:space="preserve">COM VALOR</v>
      </c>
      <c r="J4650" s="19"/>
      <c r="L4650" s="21">
        <v>8.3699999999999992</v>
      </c>
      <c r="M4650" s="22">
        <v>0</v>
      </c>
      <c r="N4650" s="21">
        <v>7.9400000000000004</v>
      </c>
      <c r="O4650" s="22">
        <v>0</v>
      </c>
    </row>
    <row r="4651" ht="38.25">
      <c r="A4651" t="s">
        <v>4596</v>
      </c>
      <c r="B4651" s="19">
        <v>91879</v>
      </c>
      <c r="C4651" s="20" t="s">
        <v>4753</v>
      </c>
      <c r="D4651" s="19" t="s">
        <v>31</v>
      </c>
      <c r="E4651" s="21">
        <f t="shared" si="215"/>
        <v>6.7800000000000002</v>
      </c>
      <c r="F4651" s="22">
        <v>0</v>
      </c>
      <c r="G4651" s="21">
        <f t="shared" si="216"/>
        <v>6.4400000000000004</v>
      </c>
      <c r="H4651" s="22">
        <v>0</v>
      </c>
      <c r="I4651" s="23" t="str">
        <f t="shared" si="217"/>
        <v xml:space="preserve">COM VALOR</v>
      </c>
      <c r="J4651" s="19"/>
      <c r="L4651" s="21">
        <v>6.7800000000000002</v>
      </c>
      <c r="M4651" s="22">
        <v>0</v>
      </c>
      <c r="N4651" s="21">
        <v>6.4400000000000004</v>
      </c>
      <c r="O4651" s="22">
        <v>0</v>
      </c>
    </row>
    <row r="4652" ht="38.25">
      <c r="A4652" t="s">
        <v>4596</v>
      </c>
      <c r="B4652" s="19">
        <v>91884</v>
      </c>
      <c r="C4652" s="20" t="s">
        <v>4754</v>
      </c>
      <c r="D4652" s="19" t="s">
        <v>31</v>
      </c>
      <c r="E4652" s="21">
        <f t="shared" si="215"/>
        <v>11.67</v>
      </c>
      <c r="F4652" s="22">
        <v>0</v>
      </c>
      <c r="G4652" s="21">
        <f t="shared" si="216"/>
        <v>11.06</v>
      </c>
      <c r="H4652" s="22">
        <v>0</v>
      </c>
      <c r="I4652" s="23" t="str">
        <f t="shared" si="217"/>
        <v xml:space="preserve">COM VALOR</v>
      </c>
      <c r="J4652" s="19"/>
      <c r="L4652" s="21">
        <v>11.67</v>
      </c>
      <c r="M4652" s="22">
        <v>0</v>
      </c>
      <c r="N4652" s="21">
        <v>11.06</v>
      </c>
      <c r="O4652" s="22">
        <v>0</v>
      </c>
    </row>
    <row r="4653" ht="38.25">
      <c r="A4653" t="s">
        <v>4596</v>
      </c>
      <c r="B4653" s="19">
        <v>91876</v>
      </c>
      <c r="C4653" s="20" t="s">
        <v>4755</v>
      </c>
      <c r="D4653" s="19" t="s">
        <v>31</v>
      </c>
      <c r="E4653" s="21">
        <f t="shared" si="215"/>
        <v>9.9800000000000004</v>
      </c>
      <c r="F4653" s="22">
        <v>0</v>
      </c>
      <c r="G4653" s="21">
        <f t="shared" si="216"/>
        <v>9.4800000000000004</v>
      </c>
      <c r="H4653" s="22">
        <v>0</v>
      </c>
      <c r="I4653" s="23" t="str">
        <f t="shared" si="217"/>
        <v xml:space="preserve">COM VALOR</v>
      </c>
      <c r="J4653" s="19"/>
      <c r="L4653" s="21">
        <v>9.9800000000000004</v>
      </c>
      <c r="M4653" s="22">
        <v>0</v>
      </c>
      <c r="N4653" s="21">
        <v>9.4800000000000004</v>
      </c>
      <c r="O4653" s="22">
        <v>0</v>
      </c>
    </row>
    <row r="4654" ht="38.25">
      <c r="A4654" t="s">
        <v>4596</v>
      </c>
      <c r="B4654" s="19">
        <v>91880</v>
      </c>
      <c r="C4654" s="20" t="s">
        <v>4756</v>
      </c>
      <c r="D4654" s="19" t="s">
        <v>31</v>
      </c>
      <c r="E4654" s="21">
        <f t="shared" si="215"/>
        <v>8.3800000000000008</v>
      </c>
      <c r="F4654" s="22">
        <v>0</v>
      </c>
      <c r="G4654" s="21">
        <f t="shared" si="216"/>
        <v>7.9800000000000004</v>
      </c>
      <c r="H4654" s="22">
        <v>0</v>
      </c>
      <c r="I4654" s="23" t="str">
        <f t="shared" si="217"/>
        <v xml:space="preserve">COM VALOR</v>
      </c>
      <c r="J4654" s="19"/>
      <c r="L4654" s="21">
        <v>8.3800000000000008</v>
      </c>
      <c r="M4654" s="22">
        <v>0</v>
      </c>
      <c r="N4654" s="21">
        <v>7.9800000000000004</v>
      </c>
      <c r="O4654" s="22">
        <v>0</v>
      </c>
    </row>
    <row r="4655" ht="38.25">
      <c r="A4655" t="s">
        <v>4596</v>
      </c>
      <c r="B4655" s="19">
        <v>91885</v>
      </c>
      <c r="C4655" s="20" t="s">
        <v>4757</v>
      </c>
      <c r="D4655" s="19" t="s">
        <v>31</v>
      </c>
      <c r="E4655" s="21">
        <f t="shared" si="215"/>
        <v>13.210000000000001</v>
      </c>
      <c r="F4655" s="22">
        <v>0</v>
      </c>
      <c r="G4655" s="21">
        <f t="shared" si="216"/>
        <v>12.539999999999999</v>
      </c>
      <c r="H4655" s="22">
        <v>0</v>
      </c>
      <c r="I4655" s="23" t="str">
        <f t="shared" si="217"/>
        <v xml:space="preserve">COM VALOR</v>
      </c>
      <c r="J4655" s="19"/>
      <c r="L4655" s="21">
        <v>13.210000000000001</v>
      </c>
      <c r="M4655" s="22">
        <v>0</v>
      </c>
      <c r="N4655" s="21">
        <v>12.539999999999999</v>
      </c>
      <c r="O4655" s="22">
        <v>0</v>
      </c>
    </row>
    <row r="4656" ht="38.25">
      <c r="A4656" t="s">
        <v>4596</v>
      </c>
      <c r="B4656" s="19">
        <v>91877</v>
      </c>
      <c r="C4656" s="20" t="s">
        <v>4758</v>
      </c>
      <c r="D4656" s="19" t="s">
        <v>31</v>
      </c>
      <c r="E4656" s="21">
        <f t="shared" si="215"/>
        <v>12.07</v>
      </c>
      <c r="F4656" s="22">
        <v>0</v>
      </c>
      <c r="G4656" s="21">
        <f t="shared" si="216"/>
        <v>11.49</v>
      </c>
      <c r="H4656" s="22">
        <v>0</v>
      </c>
      <c r="I4656" s="23" t="str">
        <f t="shared" si="217"/>
        <v xml:space="preserve">COM VALOR</v>
      </c>
      <c r="J4656" s="19"/>
      <c r="L4656" s="21">
        <v>12.07</v>
      </c>
      <c r="M4656" s="22">
        <v>0</v>
      </c>
      <c r="N4656" s="21">
        <v>11.49</v>
      </c>
      <c r="O4656" s="22">
        <v>0</v>
      </c>
    </row>
    <row r="4657" ht="38.25">
      <c r="A4657" t="s">
        <v>4596</v>
      </c>
      <c r="B4657" s="19">
        <v>91881</v>
      </c>
      <c r="C4657" s="20" t="s">
        <v>4759</v>
      </c>
      <c r="D4657" s="19" t="s">
        <v>31</v>
      </c>
      <c r="E4657" s="21">
        <f t="shared" si="215"/>
        <v>10.470000000000001</v>
      </c>
      <c r="F4657" s="22">
        <v>0</v>
      </c>
      <c r="G4657" s="21">
        <f t="shared" si="216"/>
        <v>9.9800000000000004</v>
      </c>
      <c r="H4657" s="22">
        <v>0</v>
      </c>
      <c r="I4657" s="23" t="str">
        <f t="shared" si="217"/>
        <v xml:space="preserve">COM VALOR</v>
      </c>
      <c r="J4657" s="19"/>
      <c r="L4657" s="21">
        <v>10.470000000000001</v>
      </c>
      <c r="M4657" s="22">
        <v>0</v>
      </c>
      <c r="N4657" s="21">
        <v>9.9800000000000004</v>
      </c>
      <c r="O4657" s="22">
        <v>0</v>
      </c>
    </row>
    <row r="4658" ht="38.25">
      <c r="A4658" t="s">
        <v>4596</v>
      </c>
      <c r="B4658" s="19">
        <v>91886</v>
      </c>
      <c r="C4658" s="20" t="s">
        <v>4760</v>
      </c>
      <c r="D4658" s="19" t="s">
        <v>31</v>
      </c>
      <c r="E4658" s="21">
        <f t="shared" si="215"/>
        <v>15.25</v>
      </c>
      <c r="F4658" s="22">
        <v>0</v>
      </c>
      <c r="G4658" s="21">
        <f t="shared" si="216"/>
        <v>14.49</v>
      </c>
      <c r="H4658" s="22">
        <v>0</v>
      </c>
      <c r="I4658" s="23" t="str">
        <f t="shared" si="217"/>
        <v xml:space="preserve">COM VALOR</v>
      </c>
      <c r="J4658" s="19"/>
      <c r="L4658" s="21">
        <v>15.25</v>
      </c>
      <c r="M4658" s="22">
        <v>0</v>
      </c>
      <c r="N4658" s="21">
        <v>14.49</v>
      </c>
      <c r="O4658" s="22">
        <v>0</v>
      </c>
    </row>
    <row r="4659" ht="38.25">
      <c r="A4659" t="s">
        <v>4596</v>
      </c>
      <c r="B4659" s="19">
        <v>91945</v>
      </c>
      <c r="C4659" s="20" t="s">
        <v>4761</v>
      </c>
      <c r="D4659" s="19" t="s">
        <v>31</v>
      </c>
      <c r="E4659" s="21">
        <f t="shared" si="215"/>
        <v>14.1</v>
      </c>
      <c r="F4659" s="22">
        <v>0</v>
      </c>
      <c r="G4659" s="21">
        <f t="shared" si="216"/>
        <v>13.52</v>
      </c>
      <c r="H4659" s="22">
        <v>0</v>
      </c>
      <c r="I4659" s="23" t="str">
        <f t="shared" si="217"/>
        <v xml:space="preserve">COM VALOR</v>
      </c>
      <c r="J4659" s="19"/>
      <c r="L4659" s="21">
        <v>14.1</v>
      </c>
      <c r="M4659" s="22">
        <v>0</v>
      </c>
      <c r="N4659" s="21">
        <v>13.52</v>
      </c>
      <c r="O4659" s="22">
        <v>0</v>
      </c>
    </row>
    <row r="4660" ht="38.25">
      <c r="A4660" t="s">
        <v>4596</v>
      </c>
      <c r="B4660" s="19">
        <v>91947</v>
      </c>
      <c r="C4660" s="20" t="s">
        <v>4762</v>
      </c>
      <c r="D4660" s="19" t="s">
        <v>31</v>
      </c>
      <c r="E4660" s="21">
        <f t="shared" si="215"/>
        <v>8.8200000000000003</v>
      </c>
      <c r="F4660" s="22">
        <v>0</v>
      </c>
      <c r="G4660" s="21">
        <f t="shared" si="216"/>
        <v>8.5399999999999991</v>
      </c>
      <c r="H4660" s="22">
        <v>0</v>
      </c>
      <c r="I4660" s="23" t="str">
        <f t="shared" si="217"/>
        <v xml:space="preserve">COM VALOR</v>
      </c>
      <c r="J4660" s="19"/>
      <c r="L4660" s="21">
        <v>8.8200000000000003</v>
      </c>
      <c r="M4660" s="22">
        <v>0</v>
      </c>
      <c r="N4660" s="21">
        <v>8.5399999999999991</v>
      </c>
      <c r="O4660" s="22">
        <v>0</v>
      </c>
    </row>
    <row r="4661" ht="38.25">
      <c r="A4661" t="s">
        <v>4596</v>
      </c>
      <c r="B4661" s="19">
        <v>91946</v>
      </c>
      <c r="C4661" s="20" t="s">
        <v>4763</v>
      </c>
      <c r="D4661" s="19" t="s">
        <v>31</v>
      </c>
      <c r="E4661" s="21">
        <f t="shared" si="215"/>
        <v>10.859999999999999</v>
      </c>
      <c r="F4661" s="22"/>
      <c r="G4661" s="21">
        <f t="shared" si="216"/>
        <v>10.460000000000001</v>
      </c>
      <c r="H4661" s="22"/>
      <c r="I4661" s="23" t="str">
        <f t="shared" si="217"/>
        <v xml:space="preserve">COM VALOR</v>
      </c>
      <c r="J4661" s="19"/>
      <c r="L4661" s="21">
        <v>10.859999999999999</v>
      </c>
      <c r="M4661" s="22">
        <v>0</v>
      </c>
      <c r="N4661" s="21">
        <v>10.460000000000001</v>
      </c>
      <c r="O4661" s="22">
        <v>0</v>
      </c>
    </row>
    <row r="4662" ht="38.25">
      <c r="A4662" t="s">
        <v>4596</v>
      </c>
      <c r="B4662" s="19">
        <v>91949</v>
      </c>
      <c r="C4662" s="20" t="s">
        <v>4764</v>
      </c>
      <c r="D4662" s="19" t="s">
        <v>31</v>
      </c>
      <c r="E4662" s="21">
        <f t="shared" si="215"/>
        <v>19.469999999999999</v>
      </c>
      <c r="F4662" s="22"/>
      <c r="G4662" s="21">
        <f t="shared" si="216"/>
        <v>18.77</v>
      </c>
      <c r="H4662" s="22"/>
      <c r="I4662" s="23" t="str">
        <f t="shared" si="217"/>
        <v xml:space="preserve">COM VALOR</v>
      </c>
      <c r="J4662" s="19"/>
      <c r="L4662" s="21">
        <v>19.469999999999999</v>
      </c>
      <c r="M4662" s="22">
        <v>0</v>
      </c>
      <c r="N4662" s="21">
        <v>18.77</v>
      </c>
      <c r="O4662" s="22">
        <v>0</v>
      </c>
    </row>
    <row r="4663" ht="38.25">
      <c r="A4663" t="s">
        <v>4596</v>
      </c>
      <c r="B4663" s="19">
        <v>91951</v>
      </c>
      <c r="C4663" s="20" t="s">
        <v>4765</v>
      </c>
      <c r="D4663" s="19" t="s">
        <v>31</v>
      </c>
      <c r="E4663" s="21">
        <f t="shared" si="215"/>
        <v>13.140000000000001</v>
      </c>
      <c r="F4663" s="22"/>
      <c r="G4663" s="21">
        <f t="shared" si="216"/>
        <v>12.81</v>
      </c>
      <c r="H4663" s="22"/>
      <c r="I4663" s="23" t="str">
        <f t="shared" si="217"/>
        <v xml:space="preserve">COM VALOR</v>
      </c>
      <c r="J4663" s="19"/>
      <c r="L4663" s="21">
        <v>13.140000000000001</v>
      </c>
      <c r="M4663" s="22">
        <v>0</v>
      </c>
      <c r="N4663" s="21">
        <v>12.81</v>
      </c>
      <c r="O4663" s="22">
        <v>0</v>
      </c>
    </row>
    <row r="4664" ht="38.25">
      <c r="A4664" t="s">
        <v>4596</v>
      </c>
      <c r="B4664" s="19">
        <v>91950</v>
      </c>
      <c r="C4664" s="20" t="s">
        <v>4766</v>
      </c>
      <c r="D4664" s="19" t="s">
        <v>31</v>
      </c>
      <c r="E4664" s="21">
        <f t="shared" si="215"/>
        <v>15.51</v>
      </c>
      <c r="F4664" s="22"/>
      <c r="G4664" s="21">
        <f t="shared" si="216"/>
        <v>15.039999999999999</v>
      </c>
      <c r="H4664" s="22"/>
      <c r="I4664" s="23" t="str">
        <f t="shared" si="217"/>
        <v xml:space="preserve">COM VALOR</v>
      </c>
      <c r="J4664" s="19"/>
      <c r="L4664" s="21">
        <v>15.51</v>
      </c>
      <c r="M4664" s="22">
        <v>0</v>
      </c>
      <c r="N4664" s="21">
        <v>15.039999999999999</v>
      </c>
      <c r="O4664" s="22">
        <v>0</v>
      </c>
    </row>
    <row r="4665" ht="25.5">
      <c r="A4665" t="s">
        <v>4596</v>
      </c>
      <c r="B4665" s="19">
        <v>91992</v>
      </c>
      <c r="C4665" s="20" t="s">
        <v>4767</v>
      </c>
      <c r="D4665" s="19" t="s">
        <v>31</v>
      </c>
      <c r="E4665" s="21">
        <f t="shared" si="215"/>
        <v>45.719999999999999</v>
      </c>
      <c r="F4665" s="22"/>
      <c r="G4665" s="21">
        <f t="shared" si="216"/>
        <v>43.729999999999997</v>
      </c>
      <c r="H4665" s="22"/>
      <c r="I4665" s="23" t="str">
        <f t="shared" si="217"/>
        <v xml:space="preserve">COM VALOR</v>
      </c>
      <c r="J4665" s="19"/>
      <c r="L4665" s="21">
        <v>45.719999999999999</v>
      </c>
      <c r="M4665" s="22">
        <v>0</v>
      </c>
      <c r="N4665" s="21">
        <v>43.729999999999997</v>
      </c>
      <c r="O4665" s="22">
        <v>0</v>
      </c>
    </row>
    <row r="4666" ht="25.5">
      <c r="A4666" t="s">
        <v>4596</v>
      </c>
      <c r="B4666" s="19">
        <v>91990</v>
      </c>
      <c r="C4666" s="20" t="s">
        <v>4768</v>
      </c>
      <c r="D4666" s="19" t="s">
        <v>31</v>
      </c>
      <c r="E4666" s="21">
        <f t="shared" si="215"/>
        <v>34.859999999999999</v>
      </c>
      <c r="F4666" s="22"/>
      <c r="G4666" s="21">
        <f t="shared" si="216"/>
        <v>33.270000000000003</v>
      </c>
      <c r="H4666" s="22"/>
      <c r="I4666" s="23" t="str">
        <f t="shared" si="217"/>
        <v xml:space="preserve">COM VALOR</v>
      </c>
      <c r="J4666" s="19"/>
      <c r="L4666" s="21">
        <v>34.859999999999999</v>
      </c>
      <c r="M4666" s="22">
        <v>0</v>
      </c>
      <c r="N4666" s="21">
        <v>33.270000000000003</v>
      </c>
      <c r="O4666" s="22">
        <v>0</v>
      </c>
    </row>
    <row r="4667" ht="25.5">
      <c r="A4667" t="s">
        <v>4596</v>
      </c>
      <c r="B4667" s="19">
        <v>91993</v>
      </c>
      <c r="C4667" s="20" t="s">
        <v>4769</v>
      </c>
      <c r="D4667" s="19" t="s">
        <v>31</v>
      </c>
      <c r="E4667" s="21">
        <f t="shared" si="215"/>
        <v>47.609999999999999</v>
      </c>
      <c r="F4667" s="22"/>
      <c r="G4667" s="21">
        <f t="shared" si="216"/>
        <v>45.619999999999997</v>
      </c>
      <c r="H4667" s="22"/>
      <c r="I4667" s="23" t="str">
        <f t="shared" si="217"/>
        <v xml:space="preserve">COM VALOR</v>
      </c>
      <c r="J4667" s="19"/>
      <c r="L4667" s="21">
        <v>47.609999999999999</v>
      </c>
      <c r="M4667" s="22">
        <v>0</v>
      </c>
      <c r="N4667" s="21">
        <v>45.619999999999997</v>
      </c>
      <c r="O4667" s="22">
        <v>0</v>
      </c>
    </row>
    <row r="4668" ht="25.5">
      <c r="A4668" t="s">
        <v>4596</v>
      </c>
      <c r="B4668" s="19">
        <v>91991</v>
      </c>
      <c r="C4668" s="20" t="s">
        <v>4770</v>
      </c>
      <c r="D4668" s="19" t="s">
        <v>31</v>
      </c>
      <c r="E4668" s="21">
        <f t="shared" si="215"/>
        <v>36.75</v>
      </c>
      <c r="F4668" s="22"/>
      <c r="G4668" s="21">
        <f t="shared" si="216"/>
        <v>35.159999999999997</v>
      </c>
      <c r="H4668" s="22"/>
      <c r="I4668" s="23" t="str">
        <f t="shared" si="217"/>
        <v xml:space="preserve">COM VALOR</v>
      </c>
      <c r="J4668" s="19"/>
      <c r="L4668" s="21">
        <v>36.75</v>
      </c>
      <c r="M4668" s="22">
        <v>0</v>
      </c>
      <c r="N4668" s="21">
        <v>35.159999999999997</v>
      </c>
      <c r="O4668" s="22">
        <v>0</v>
      </c>
    </row>
    <row r="4669" ht="25.5">
      <c r="A4669" t="s">
        <v>4596</v>
      </c>
      <c r="B4669" s="19">
        <v>92000</v>
      </c>
      <c r="C4669" s="20" t="s">
        <v>4771</v>
      </c>
      <c r="D4669" s="19" t="s">
        <v>31</v>
      </c>
      <c r="E4669" s="21">
        <f t="shared" si="215"/>
        <v>30.93</v>
      </c>
      <c r="F4669" s="22"/>
      <c r="G4669" s="21">
        <f t="shared" si="216"/>
        <v>29.780000000000001</v>
      </c>
      <c r="H4669" s="22"/>
      <c r="I4669" s="23" t="str">
        <f t="shared" si="217"/>
        <v xml:space="preserve">COM VALOR</v>
      </c>
      <c r="J4669" s="19"/>
      <c r="L4669" s="21">
        <v>30.93</v>
      </c>
      <c r="M4669" s="22">
        <v>0</v>
      </c>
      <c r="N4669" s="21">
        <v>29.780000000000001</v>
      </c>
      <c r="O4669" s="22">
        <v>0</v>
      </c>
    </row>
    <row r="4670" ht="25.5">
      <c r="A4670" t="s">
        <v>4596</v>
      </c>
      <c r="B4670" s="19">
        <v>91998</v>
      </c>
      <c r="C4670" s="20" t="s">
        <v>4772</v>
      </c>
      <c r="D4670" s="19" t="s">
        <v>31</v>
      </c>
      <c r="E4670" s="21">
        <f t="shared" si="215"/>
        <v>20.07</v>
      </c>
      <c r="F4670" s="22"/>
      <c r="G4670" s="21">
        <f t="shared" si="216"/>
        <v>19.32</v>
      </c>
      <c r="H4670" s="22"/>
      <c r="I4670" s="23" t="str">
        <f t="shared" si="217"/>
        <v xml:space="preserve">COM VALOR</v>
      </c>
      <c r="J4670" s="19"/>
      <c r="L4670" s="21">
        <v>20.07</v>
      </c>
      <c r="M4670" s="22">
        <v>0</v>
      </c>
      <c r="N4670" s="21">
        <v>19.32</v>
      </c>
      <c r="O4670" s="22">
        <v>0</v>
      </c>
    </row>
    <row r="4671" ht="25.5">
      <c r="A4671" t="s">
        <v>4596</v>
      </c>
      <c r="B4671" s="19">
        <v>92001</v>
      </c>
      <c r="C4671" s="20" t="s">
        <v>4773</v>
      </c>
      <c r="D4671" s="19" t="s">
        <v>31</v>
      </c>
      <c r="E4671" s="21">
        <f t="shared" si="215"/>
        <v>32.82</v>
      </c>
      <c r="F4671" s="22"/>
      <c r="G4671" s="21">
        <f t="shared" si="216"/>
        <v>31.670000000000002</v>
      </c>
      <c r="H4671" s="22"/>
      <c r="I4671" s="23" t="str">
        <f t="shared" si="217"/>
        <v xml:space="preserve">COM VALOR</v>
      </c>
      <c r="J4671" s="19"/>
      <c r="L4671" s="21">
        <v>32.82</v>
      </c>
      <c r="M4671" s="22">
        <v>0</v>
      </c>
      <c r="N4671" s="21">
        <v>31.670000000000002</v>
      </c>
      <c r="O4671" s="22">
        <v>0</v>
      </c>
    </row>
    <row r="4672" ht="25.5">
      <c r="A4672" t="s">
        <v>4596</v>
      </c>
      <c r="B4672" s="19">
        <v>91999</v>
      </c>
      <c r="C4672" s="20" t="s">
        <v>4774</v>
      </c>
      <c r="D4672" s="19" t="s">
        <v>31</v>
      </c>
      <c r="E4672" s="21">
        <f t="shared" si="215"/>
        <v>21.960000000000001</v>
      </c>
      <c r="F4672" s="22"/>
      <c r="G4672" s="21">
        <f t="shared" si="216"/>
        <v>21.210000000000001</v>
      </c>
      <c r="H4672" s="22"/>
      <c r="I4672" s="23" t="str">
        <f t="shared" si="217"/>
        <v xml:space="preserve">COM VALOR</v>
      </c>
      <c r="J4672" s="19"/>
      <c r="L4672" s="21">
        <v>21.960000000000001</v>
      </c>
      <c r="M4672" s="22">
        <v>0</v>
      </c>
      <c r="N4672" s="21">
        <v>21.210000000000001</v>
      </c>
      <c r="O4672" s="22">
        <v>0</v>
      </c>
    </row>
    <row r="4673" ht="25.5">
      <c r="A4673" t="s">
        <v>4596</v>
      </c>
      <c r="B4673" s="19">
        <v>92008</v>
      </c>
      <c r="C4673" s="20" t="s">
        <v>4775</v>
      </c>
      <c r="D4673" s="19" t="s">
        <v>31</v>
      </c>
      <c r="E4673" s="21">
        <f t="shared" si="215"/>
        <v>47.549999999999997</v>
      </c>
      <c r="F4673" s="22"/>
      <c r="G4673" s="21">
        <f t="shared" si="216"/>
        <v>45.840000000000003</v>
      </c>
      <c r="H4673" s="22"/>
      <c r="I4673" s="23" t="str">
        <f t="shared" si="217"/>
        <v xml:space="preserve">COM VALOR</v>
      </c>
      <c r="J4673" s="19"/>
      <c r="L4673" s="21">
        <v>47.549999999999997</v>
      </c>
      <c r="M4673" s="22">
        <v>0</v>
      </c>
      <c r="N4673" s="21">
        <v>45.840000000000003</v>
      </c>
      <c r="O4673" s="22">
        <v>0</v>
      </c>
    </row>
    <row r="4674" ht="25.5">
      <c r="A4674" t="s">
        <v>4596</v>
      </c>
      <c r="B4674" s="19">
        <v>92006</v>
      </c>
      <c r="C4674" s="20" t="s">
        <v>4776</v>
      </c>
      <c r="D4674" s="19" t="s">
        <v>31</v>
      </c>
      <c r="E4674" s="21">
        <f t="shared" si="215"/>
        <v>36.689999999999998</v>
      </c>
      <c r="F4674" s="22"/>
      <c r="G4674" s="21">
        <f t="shared" si="216"/>
        <v>35.380000000000003</v>
      </c>
      <c r="H4674" s="22"/>
      <c r="I4674" s="23" t="str">
        <f t="shared" si="217"/>
        <v xml:space="preserve">COM VALOR</v>
      </c>
      <c r="J4674" s="19"/>
      <c r="L4674" s="21">
        <v>36.689999999999998</v>
      </c>
      <c r="M4674" s="22">
        <v>0</v>
      </c>
      <c r="N4674" s="21">
        <v>35.380000000000003</v>
      </c>
      <c r="O4674" s="22">
        <v>0</v>
      </c>
    </row>
    <row r="4675" ht="25.5">
      <c r="A4675" t="s">
        <v>4596</v>
      </c>
      <c r="B4675" s="19">
        <v>92009</v>
      </c>
      <c r="C4675" s="20" t="s">
        <v>4777</v>
      </c>
      <c r="D4675" s="19" t="s">
        <v>31</v>
      </c>
      <c r="E4675" s="21">
        <f t="shared" si="215"/>
        <v>51.329999999999998</v>
      </c>
      <c r="F4675" s="22"/>
      <c r="G4675" s="21">
        <f t="shared" si="216"/>
        <v>49.619999999999997</v>
      </c>
      <c r="H4675" s="22"/>
      <c r="I4675" s="23" t="str">
        <f t="shared" si="217"/>
        <v xml:space="preserve">COM VALOR</v>
      </c>
      <c r="J4675" s="19"/>
      <c r="L4675" s="21">
        <v>51.329999999999998</v>
      </c>
      <c r="M4675" s="22">
        <v>0</v>
      </c>
      <c r="N4675" s="21">
        <v>49.619999999999997</v>
      </c>
      <c r="O4675" s="22">
        <v>0</v>
      </c>
    </row>
    <row r="4676" ht="25.5">
      <c r="A4676" t="s">
        <v>4596</v>
      </c>
      <c r="B4676" s="19">
        <v>92007</v>
      </c>
      <c r="C4676" s="20" t="s">
        <v>4778</v>
      </c>
      <c r="D4676" s="19" t="s">
        <v>31</v>
      </c>
      <c r="E4676" s="21">
        <f t="shared" si="215"/>
        <v>40.469999999999999</v>
      </c>
      <c r="F4676" s="22"/>
      <c r="G4676" s="21">
        <f t="shared" si="216"/>
        <v>39.159999999999997</v>
      </c>
      <c r="H4676" s="22"/>
      <c r="I4676" s="23" t="str">
        <f t="shared" si="217"/>
        <v xml:space="preserve">COM VALOR</v>
      </c>
      <c r="J4676" s="19"/>
      <c r="L4676" s="21">
        <v>40.469999999999999</v>
      </c>
      <c r="M4676" s="22">
        <v>0</v>
      </c>
      <c r="N4676" s="21">
        <v>39.159999999999997</v>
      </c>
      <c r="O4676" s="22">
        <v>0</v>
      </c>
    </row>
    <row r="4677" ht="25.5">
      <c r="A4677" t="s">
        <v>4596</v>
      </c>
      <c r="B4677" s="19">
        <v>92016</v>
      </c>
      <c r="C4677" s="20" t="s">
        <v>4779</v>
      </c>
      <c r="D4677" s="19" t="s">
        <v>31</v>
      </c>
      <c r="E4677" s="21">
        <f t="shared" si="215"/>
        <v>64.170000000000002</v>
      </c>
      <c r="F4677" s="22"/>
      <c r="G4677" s="21">
        <f t="shared" si="216"/>
        <v>61.909999999999997</v>
      </c>
      <c r="H4677" s="22"/>
      <c r="I4677" s="23" t="str">
        <f t="shared" si="217"/>
        <v xml:space="preserve">COM VALOR</v>
      </c>
      <c r="J4677" s="19"/>
      <c r="L4677" s="21">
        <v>64.170000000000002</v>
      </c>
      <c r="M4677" s="22">
        <v>0</v>
      </c>
      <c r="N4677" s="21">
        <v>61.909999999999997</v>
      </c>
      <c r="O4677" s="22">
        <v>0</v>
      </c>
    </row>
    <row r="4678" ht="25.5">
      <c r="A4678" t="s">
        <v>4596</v>
      </c>
      <c r="B4678" s="19">
        <v>92014</v>
      </c>
      <c r="C4678" s="20" t="s">
        <v>4780</v>
      </c>
      <c r="D4678" s="19" t="s">
        <v>31</v>
      </c>
      <c r="E4678" s="21">
        <f t="shared" si="215"/>
        <v>53.310000000000002</v>
      </c>
      <c r="F4678" s="22"/>
      <c r="G4678" s="21">
        <f t="shared" si="216"/>
        <v>51.450000000000003</v>
      </c>
      <c r="H4678" s="22"/>
      <c r="I4678" s="23" t="str">
        <f t="shared" si="217"/>
        <v xml:space="preserve">COM VALOR</v>
      </c>
      <c r="J4678" s="19"/>
      <c r="L4678" s="21">
        <v>53.310000000000002</v>
      </c>
      <c r="M4678" s="22">
        <v>0</v>
      </c>
      <c r="N4678" s="21">
        <v>51.450000000000003</v>
      </c>
      <c r="O4678" s="22">
        <v>0</v>
      </c>
    </row>
    <row r="4679" ht="25.5">
      <c r="A4679" t="s">
        <v>4596</v>
      </c>
      <c r="B4679" s="19">
        <v>92017</v>
      </c>
      <c r="C4679" s="20" t="s">
        <v>4781</v>
      </c>
      <c r="D4679" s="19" t="s">
        <v>31</v>
      </c>
      <c r="E4679" s="21">
        <f t="shared" si="215"/>
        <v>69.840000000000003</v>
      </c>
      <c r="F4679" s="22"/>
      <c r="G4679" s="21">
        <f t="shared" si="216"/>
        <v>67.579999999999998</v>
      </c>
      <c r="H4679" s="22"/>
      <c r="I4679" s="23" t="str">
        <f t="shared" si="217"/>
        <v xml:space="preserve">COM VALOR</v>
      </c>
      <c r="J4679" s="19"/>
      <c r="L4679" s="21">
        <v>69.840000000000003</v>
      </c>
      <c r="M4679" s="22">
        <v>0</v>
      </c>
      <c r="N4679" s="21">
        <v>67.579999999999998</v>
      </c>
      <c r="O4679" s="22">
        <v>0</v>
      </c>
    </row>
    <row r="4680" ht="25.5">
      <c r="A4680" t="s">
        <v>4596</v>
      </c>
      <c r="B4680" s="19">
        <v>92015</v>
      </c>
      <c r="C4680" s="20" t="s">
        <v>4782</v>
      </c>
      <c r="D4680" s="19" t="s">
        <v>31</v>
      </c>
      <c r="E4680" s="21">
        <f t="shared" si="215"/>
        <v>58.979999999999997</v>
      </c>
      <c r="F4680" s="22"/>
      <c r="G4680" s="21">
        <f t="shared" si="216"/>
        <v>57.119999999999997</v>
      </c>
      <c r="H4680" s="22"/>
      <c r="I4680" s="23" t="str">
        <f t="shared" si="217"/>
        <v xml:space="preserve">COM VALOR</v>
      </c>
      <c r="J4680" s="19"/>
      <c r="L4680" s="21">
        <v>58.979999999999997</v>
      </c>
      <c r="M4680" s="22">
        <v>0</v>
      </c>
      <c r="N4680" s="21">
        <v>57.119999999999997</v>
      </c>
      <c r="O4680" s="22">
        <v>0</v>
      </c>
    </row>
    <row r="4681" ht="25.5">
      <c r="A4681" t="s">
        <v>4596</v>
      </c>
      <c r="B4681" s="19">
        <v>92019</v>
      </c>
      <c r="C4681" s="20" t="s">
        <v>4783</v>
      </c>
      <c r="D4681" s="19" t="s">
        <v>31</v>
      </c>
      <c r="E4681" s="21">
        <f t="shared" si="215"/>
        <v>86.049999999999997</v>
      </c>
      <c r="F4681" s="22"/>
      <c r="G4681" s="21">
        <f t="shared" si="216"/>
        <v>83.120000000000005</v>
      </c>
      <c r="H4681" s="22"/>
      <c r="I4681" s="23" t="str">
        <f t="shared" si="217"/>
        <v xml:space="preserve">COM VALOR</v>
      </c>
      <c r="J4681" s="19"/>
      <c r="L4681" s="21">
        <v>86.049999999999997</v>
      </c>
      <c r="M4681" s="22">
        <v>0</v>
      </c>
      <c r="N4681" s="21">
        <v>83.120000000000005</v>
      </c>
      <c r="O4681" s="22">
        <v>0</v>
      </c>
    </row>
    <row r="4682" ht="25.5">
      <c r="A4682" t="s">
        <v>4596</v>
      </c>
      <c r="B4682" s="19">
        <v>92018</v>
      </c>
      <c r="C4682" s="20" t="s">
        <v>4784</v>
      </c>
      <c r="D4682" s="19" t="s">
        <v>31</v>
      </c>
      <c r="E4682" s="21">
        <f t="shared" si="215"/>
        <v>70.540000000000006</v>
      </c>
      <c r="F4682" s="22"/>
      <c r="G4682" s="21">
        <f t="shared" si="216"/>
        <v>68.079999999999998</v>
      </c>
      <c r="H4682" s="22"/>
      <c r="I4682" s="23" t="str">
        <f t="shared" si="217"/>
        <v xml:space="preserve">COM VALOR</v>
      </c>
      <c r="J4682" s="19"/>
      <c r="L4682" s="21">
        <v>70.540000000000006</v>
      </c>
      <c r="M4682" s="22">
        <v>0</v>
      </c>
      <c r="N4682" s="21">
        <v>68.079999999999998</v>
      </c>
      <c r="O4682" s="22">
        <v>0</v>
      </c>
    </row>
    <row r="4683" ht="25.5">
      <c r="A4683" t="s">
        <v>4596</v>
      </c>
      <c r="B4683" s="19">
        <v>92021</v>
      </c>
      <c r="C4683" s="20" t="s">
        <v>4785</v>
      </c>
      <c r="D4683" s="19" t="s">
        <v>31</v>
      </c>
      <c r="E4683" s="21">
        <f t="shared" ref="E4683:E4746" si="218">IF(L4683=0,"VERIFICAR",L4683)</f>
        <v>119.56</v>
      </c>
      <c r="F4683" s="22"/>
      <c r="G4683" s="21">
        <f t="shared" ref="G4683:G4746" si="219">IF(N4683=0,"VERIFICAR",N4683)</f>
        <v>115.5</v>
      </c>
      <c r="H4683" s="22"/>
      <c r="I4683" s="23" t="str">
        <f t="shared" ref="I4683:I4746" si="220">IF(OR(E4683=0,G4683=0),"SEM VALOR","COM VALOR")</f>
        <v xml:space="preserve">COM VALOR</v>
      </c>
      <c r="J4683" s="19"/>
      <c r="L4683" s="21">
        <v>119.56</v>
      </c>
      <c r="M4683" s="22">
        <v>0</v>
      </c>
      <c r="N4683" s="21">
        <v>115.5</v>
      </c>
      <c r="O4683" s="22">
        <v>0</v>
      </c>
    </row>
    <row r="4684" ht="25.5">
      <c r="A4684" t="s">
        <v>4596</v>
      </c>
      <c r="B4684" s="19">
        <v>92020</v>
      </c>
      <c r="C4684" s="20" t="s">
        <v>4786</v>
      </c>
      <c r="D4684" s="19" t="s">
        <v>31</v>
      </c>
      <c r="E4684" s="21">
        <f t="shared" si="218"/>
        <v>104.05</v>
      </c>
      <c r="F4684" s="22"/>
      <c r="G4684" s="21">
        <f t="shared" si="219"/>
        <v>100.45999999999999</v>
      </c>
      <c r="H4684" s="22"/>
      <c r="I4684" s="23" t="str">
        <f t="shared" si="220"/>
        <v xml:space="preserve">COM VALOR</v>
      </c>
      <c r="J4684" s="19"/>
      <c r="L4684" s="21">
        <v>104.05</v>
      </c>
      <c r="M4684" s="22">
        <v>0</v>
      </c>
      <c r="N4684" s="21">
        <v>100.45999999999999</v>
      </c>
      <c r="O4684" s="22">
        <v>0</v>
      </c>
    </row>
    <row r="4685" ht="25.5">
      <c r="A4685" t="s">
        <v>4596</v>
      </c>
      <c r="B4685" s="19">
        <v>91996</v>
      </c>
      <c r="C4685" s="20" t="s">
        <v>4787</v>
      </c>
      <c r="D4685" s="19" t="s">
        <v>31</v>
      </c>
      <c r="E4685" s="21">
        <f t="shared" si="218"/>
        <v>35.060000000000002</v>
      </c>
      <c r="F4685" s="22">
        <v>0</v>
      </c>
      <c r="G4685" s="21">
        <f t="shared" si="219"/>
        <v>33.670000000000002</v>
      </c>
      <c r="H4685" s="22">
        <v>0</v>
      </c>
      <c r="I4685" s="23" t="str">
        <f t="shared" si="220"/>
        <v xml:space="preserve">COM VALOR</v>
      </c>
      <c r="J4685" s="19"/>
      <c r="L4685" s="21">
        <v>35.060000000000002</v>
      </c>
      <c r="M4685" s="22">
        <v>0</v>
      </c>
      <c r="N4685" s="21">
        <v>33.670000000000002</v>
      </c>
      <c r="O4685" s="22">
        <v>0</v>
      </c>
    </row>
    <row r="4686" ht="25.5">
      <c r="A4686" t="s">
        <v>4596</v>
      </c>
      <c r="B4686" s="19">
        <v>91994</v>
      </c>
      <c r="C4686" s="20" t="s">
        <v>4788</v>
      </c>
      <c r="D4686" s="19" t="s">
        <v>31</v>
      </c>
      <c r="E4686" s="21">
        <f t="shared" si="218"/>
        <v>24.199999999999999</v>
      </c>
      <c r="F4686" s="22">
        <v>0</v>
      </c>
      <c r="G4686" s="21">
        <f t="shared" si="219"/>
        <v>23.210000000000001</v>
      </c>
      <c r="H4686" s="22">
        <v>0</v>
      </c>
      <c r="I4686" s="23" t="str">
        <f t="shared" si="220"/>
        <v xml:space="preserve">COM VALOR</v>
      </c>
      <c r="J4686" s="19"/>
      <c r="L4686" s="21">
        <v>24.199999999999999</v>
      </c>
      <c r="M4686" s="22">
        <v>0</v>
      </c>
      <c r="N4686" s="21">
        <v>23.210000000000001</v>
      </c>
      <c r="O4686" s="22">
        <v>0</v>
      </c>
    </row>
    <row r="4687" ht="25.5">
      <c r="A4687" t="s">
        <v>4596</v>
      </c>
      <c r="B4687" s="19">
        <v>91997</v>
      </c>
      <c r="C4687" s="20" t="s">
        <v>4789</v>
      </c>
      <c r="D4687" s="19" t="s">
        <v>31</v>
      </c>
      <c r="E4687" s="21">
        <f t="shared" si="218"/>
        <v>36.950000000000003</v>
      </c>
      <c r="F4687" s="22">
        <v>0</v>
      </c>
      <c r="G4687" s="21">
        <f t="shared" si="219"/>
        <v>35.560000000000002</v>
      </c>
      <c r="H4687" s="22">
        <v>0</v>
      </c>
      <c r="I4687" s="23" t="str">
        <f t="shared" si="220"/>
        <v xml:space="preserve">COM VALOR</v>
      </c>
      <c r="J4687" s="19"/>
      <c r="L4687" s="21">
        <v>36.950000000000003</v>
      </c>
      <c r="M4687" s="22">
        <v>0</v>
      </c>
      <c r="N4687" s="21">
        <v>35.560000000000002</v>
      </c>
      <c r="O4687" s="22">
        <v>0</v>
      </c>
    </row>
    <row r="4688" ht="25.5">
      <c r="A4688" t="s">
        <v>4596</v>
      </c>
      <c r="B4688" s="19">
        <v>91995</v>
      </c>
      <c r="C4688" s="20" t="s">
        <v>4790</v>
      </c>
      <c r="D4688" s="19" t="s">
        <v>31</v>
      </c>
      <c r="E4688" s="21">
        <f t="shared" si="218"/>
        <v>26.09</v>
      </c>
      <c r="F4688" s="22">
        <v>0</v>
      </c>
      <c r="G4688" s="21">
        <f t="shared" si="219"/>
        <v>25.100000000000001</v>
      </c>
      <c r="H4688" s="22">
        <v>0</v>
      </c>
      <c r="I4688" s="23" t="str">
        <f t="shared" si="220"/>
        <v xml:space="preserve">COM VALOR</v>
      </c>
      <c r="J4688" s="19"/>
      <c r="L4688" s="21">
        <v>26.09</v>
      </c>
      <c r="M4688" s="22">
        <v>0</v>
      </c>
      <c r="N4688" s="21">
        <v>25.100000000000001</v>
      </c>
      <c r="O4688" s="22">
        <v>0</v>
      </c>
    </row>
    <row r="4689" ht="25.5">
      <c r="A4689" t="s">
        <v>4596</v>
      </c>
      <c r="B4689" s="19">
        <v>92004</v>
      </c>
      <c r="C4689" s="20" t="s">
        <v>4791</v>
      </c>
      <c r="D4689" s="19" t="s">
        <v>31</v>
      </c>
      <c r="E4689" s="21">
        <f t="shared" si="218"/>
        <v>55.859999999999999</v>
      </c>
      <c r="F4689" s="22">
        <v>0</v>
      </c>
      <c r="G4689" s="21">
        <f t="shared" si="219"/>
        <v>53.68</v>
      </c>
      <c r="H4689" s="22">
        <v>0</v>
      </c>
      <c r="I4689" s="23" t="str">
        <f t="shared" si="220"/>
        <v xml:space="preserve">COM VALOR</v>
      </c>
      <c r="J4689" s="19"/>
      <c r="L4689" s="21">
        <v>55.859999999999999</v>
      </c>
      <c r="M4689" s="22">
        <v>0</v>
      </c>
      <c r="N4689" s="21">
        <v>53.68</v>
      </c>
      <c r="O4689" s="22">
        <v>0</v>
      </c>
    </row>
    <row r="4690" ht="25.5">
      <c r="A4690" t="s">
        <v>4596</v>
      </c>
      <c r="B4690" s="19">
        <v>92002</v>
      </c>
      <c r="C4690" s="20" t="s">
        <v>4792</v>
      </c>
      <c r="D4690" s="19" t="s">
        <v>31</v>
      </c>
      <c r="E4690" s="21">
        <f t="shared" si="218"/>
        <v>45</v>
      </c>
      <c r="F4690" s="22">
        <v>0</v>
      </c>
      <c r="G4690" s="21">
        <f t="shared" si="219"/>
        <v>43.219999999999999</v>
      </c>
      <c r="H4690" s="22">
        <v>0</v>
      </c>
      <c r="I4690" s="23" t="str">
        <f t="shared" si="220"/>
        <v xml:space="preserve">COM VALOR</v>
      </c>
      <c r="J4690" s="19"/>
      <c r="L4690" s="21">
        <v>45</v>
      </c>
      <c r="M4690" s="22">
        <v>0</v>
      </c>
      <c r="N4690" s="21">
        <v>43.219999999999999</v>
      </c>
      <c r="O4690" s="22">
        <v>0</v>
      </c>
    </row>
    <row r="4691" ht="25.5">
      <c r="A4691" t="s">
        <v>4596</v>
      </c>
      <c r="B4691" s="19">
        <v>92005</v>
      </c>
      <c r="C4691" s="20" t="s">
        <v>4793</v>
      </c>
      <c r="D4691" s="19" t="s">
        <v>31</v>
      </c>
      <c r="E4691" s="21">
        <f t="shared" si="218"/>
        <v>59.640000000000001</v>
      </c>
      <c r="F4691" s="22">
        <v>0</v>
      </c>
      <c r="G4691" s="21">
        <f t="shared" si="219"/>
        <v>57.460000000000001</v>
      </c>
      <c r="H4691" s="22">
        <v>0</v>
      </c>
      <c r="I4691" s="23" t="str">
        <f t="shared" si="220"/>
        <v xml:space="preserve">COM VALOR</v>
      </c>
      <c r="J4691" s="19"/>
      <c r="L4691" s="21">
        <v>59.640000000000001</v>
      </c>
      <c r="M4691" s="22">
        <v>0</v>
      </c>
      <c r="N4691" s="21">
        <v>57.460000000000001</v>
      </c>
      <c r="O4691" s="22">
        <v>0</v>
      </c>
    </row>
    <row r="4692" ht="25.5">
      <c r="A4692" t="s">
        <v>4596</v>
      </c>
      <c r="B4692" s="19">
        <v>92003</v>
      </c>
      <c r="C4692" s="20" t="s">
        <v>4794</v>
      </c>
      <c r="D4692" s="19" t="s">
        <v>31</v>
      </c>
      <c r="E4692" s="21">
        <f t="shared" si="218"/>
        <v>48.780000000000001</v>
      </c>
      <c r="F4692" s="22">
        <v>0</v>
      </c>
      <c r="G4692" s="21">
        <f t="shared" si="219"/>
        <v>47</v>
      </c>
      <c r="H4692" s="22">
        <v>0</v>
      </c>
      <c r="I4692" s="23" t="str">
        <f t="shared" si="220"/>
        <v xml:space="preserve">COM VALOR</v>
      </c>
      <c r="J4692" s="19"/>
      <c r="L4692" s="21">
        <v>48.780000000000001</v>
      </c>
      <c r="M4692" s="22">
        <v>0</v>
      </c>
      <c r="N4692" s="21">
        <v>47</v>
      </c>
      <c r="O4692" s="22">
        <v>0</v>
      </c>
    </row>
    <row r="4693" ht="25.5">
      <c r="A4693" t="s">
        <v>4596</v>
      </c>
      <c r="B4693" s="19">
        <v>92012</v>
      </c>
      <c r="C4693" s="20" t="s">
        <v>4795</v>
      </c>
      <c r="D4693" s="19" t="s">
        <v>31</v>
      </c>
      <c r="E4693" s="21">
        <f t="shared" si="218"/>
        <v>76.599999999999994</v>
      </c>
      <c r="F4693" s="22"/>
      <c r="G4693" s="21">
        <f t="shared" si="219"/>
        <v>73.620000000000005</v>
      </c>
      <c r="H4693" s="22"/>
      <c r="I4693" s="23" t="str">
        <f t="shared" si="220"/>
        <v xml:space="preserve">COM VALOR</v>
      </c>
      <c r="J4693" s="19"/>
      <c r="L4693" s="21">
        <v>76.599999999999994</v>
      </c>
      <c r="M4693" s="22">
        <v>0</v>
      </c>
      <c r="N4693" s="21">
        <v>73.620000000000005</v>
      </c>
      <c r="O4693" s="22">
        <v>0</v>
      </c>
    </row>
    <row r="4694" ht="25.5">
      <c r="A4694" t="s">
        <v>4596</v>
      </c>
      <c r="B4694" s="19">
        <v>92010</v>
      </c>
      <c r="C4694" s="20" t="s">
        <v>4796</v>
      </c>
      <c r="D4694" s="19" t="s">
        <v>31</v>
      </c>
      <c r="E4694" s="21">
        <f t="shared" si="218"/>
        <v>65.739999999999995</v>
      </c>
      <c r="F4694" s="22"/>
      <c r="G4694" s="21">
        <f t="shared" si="219"/>
        <v>63.159999999999997</v>
      </c>
      <c r="H4694" s="22"/>
      <c r="I4694" s="23" t="str">
        <f t="shared" si="220"/>
        <v xml:space="preserve">COM VALOR</v>
      </c>
      <c r="J4694" s="19"/>
      <c r="L4694" s="21">
        <v>65.739999999999995</v>
      </c>
      <c r="M4694" s="22">
        <v>0</v>
      </c>
      <c r="N4694" s="21">
        <v>63.159999999999997</v>
      </c>
      <c r="O4694" s="22">
        <v>0</v>
      </c>
    </row>
    <row r="4695" ht="25.5">
      <c r="A4695" t="s">
        <v>4596</v>
      </c>
      <c r="B4695" s="19">
        <v>92013</v>
      </c>
      <c r="C4695" s="20" t="s">
        <v>4797</v>
      </c>
      <c r="D4695" s="19" t="s">
        <v>31</v>
      </c>
      <c r="E4695" s="21">
        <f t="shared" si="218"/>
        <v>82.269999999999996</v>
      </c>
      <c r="F4695" s="22">
        <v>0</v>
      </c>
      <c r="G4695" s="21">
        <f t="shared" si="219"/>
        <v>79.290000000000006</v>
      </c>
      <c r="H4695" s="22">
        <v>0</v>
      </c>
      <c r="I4695" s="23" t="str">
        <f t="shared" si="220"/>
        <v xml:space="preserve">COM VALOR</v>
      </c>
      <c r="J4695" s="19"/>
      <c r="L4695" s="21">
        <v>82.269999999999996</v>
      </c>
      <c r="M4695" s="22">
        <v>0</v>
      </c>
      <c r="N4695" s="21">
        <v>79.290000000000006</v>
      </c>
      <c r="O4695" s="22">
        <v>0</v>
      </c>
    </row>
    <row r="4696" ht="25.5">
      <c r="A4696" t="s">
        <v>4596</v>
      </c>
      <c r="B4696" s="19">
        <v>92011</v>
      </c>
      <c r="C4696" s="20" t="s">
        <v>4798</v>
      </c>
      <c r="D4696" s="19" t="s">
        <v>31</v>
      </c>
      <c r="E4696" s="21">
        <f t="shared" si="218"/>
        <v>71.409999999999997</v>
      </c>
      <c r="F4696" s="22">
        <v>0</v>
      </c>
      <c r="G4696" s="21">
        <f t="shared" si="219"/>
        <v>68.829999999999998</v>
      </c>
      <c r="H4696" s="22">
        <v>0</v>
      </c>
      <c r="I4696" s="23" t="str">
        <f t="shared" si="220"/>
        <v xml:space="preserve">COM VALOR</v>
      </c>
      <c r="J4696" s="19"/>
      <c r="L4696" s="21">
        <v>71.409999999999997</v>
      </c>
      <c r="M4696" s="22">
        <v>0</v>
      </c>
      <c r="N4696" s="21">
        <v>68.829999999999998</v>
      </c>
      <c r="O4696" s="22">
        <v>0</v>
      </c>
    </row>
    <row r="4697" ht="38.25">
      <c r="A4697" t="s">
        <v>4799</v>
      </c>
      <c r="B4697" s="19">
        <v>95777</v>
      </c>
      <c r="C4697" s="20" t="s">
        <v>4800</v>
      </c>
      <c r="D4697" s="19" t="s">
        <v>31</v>
      </c>
      <c r="E4697" s="21">
        <f t="shared" si="218"/>
        <v>24.91</v>
      </c>
      <c r="F4697" s="22">
        <v>0</v>
      </c>
      <c r="G4697" s="21">
        <f t="shared" si="219"/>
        <v>24.27</v>
      </c>
      <c r="H4697" s="22">
        <v>0</v>
      </c>
      <c r="I4697" s="23" t="str">
        <f t="shared" si="220"/>
        <v xml:space="preserve">COM VALOR</v>
      </c>
      <c r="J4697" s="19"/>
      <c r="L4697" s="21">
        <v>24.91</v>
      </c>
      <c r="M4697" s="22">
        <v>0</v>
      </c>
      <c r="N4697" s="21">
        <v>24.27</v>
      </c>
      <c r="O4697" s="22">
        <v>0</v>
      </c>
    </row>
    <row r="4698" ht="38.25">
      <c r="A4698" t="s">
        <v>4799</v>
      </c>
      <c r="B4698" s="19">
        <v>95780</v>
      </c>
      <c r="C4698" s="20" t="s">
        <v>4801</v>
      </c>
      <c r="D4698" s="19" t="s">
        <v>31</v>
      </c>
      <c r="E4698" s="21">
        <f t="shared" si="218"/>
        <v>28.850000000000001</v>
      </c>
      <c r="F4698" s="22">
        <v>0</v>
      </c>
      <c r="G4698" s="21">
        <f t="shared" si="219"/>
        <v>28.199999999999999</v>
      </c>
      <c r="H4698" s="22">
        <v>0</v>
      </c>
      <c r="I4698" s="23" t="str">
        <f t="shared" si="220"/>
        <v xml:space="preserve">COM VALOR</v>
      </c>
      <c r="J4698" s="19"/>
      <c r="L4698" s="21">
        <v>28.850000000000001</v>
      </c>
      <c r="M4698" s="22">
        <v>0</v>
      </c>
      <c r="N4698" s="21">
        <v>28.199999999999999</v>
      </c>
      <c r="O4698" s="22">
        <v>0</v>
      </c>
    </row>
    <row r="4699" ht="38.25">
      <c r="A4699" t="s">
        <v>4799</v>
      </c>
      <c r="B4699" s="19">
        <v>95783</v>
      </c>
      <c r="C4699" s="20" t="s">
        <v>4802</v>
      </c>
      <c r="D4699" s="19" t="s">
        <v>31</v>
      </c>
      <c r="E4699" s="21" t="str">
        <f t="shared" si="218"/>
        <v>VERIFICAR</v>
      </c>
      <c r="F4699" s="22">
        <v>0</v>
      </c>
      <c r="G4699" s="21" t="str">
        <f t="shared" si="219"/>
        <v>VERIFICAR</v>
      </c>
      <c r="H4699" s="22">
        <v>0</v>
      </c>
      <c r="I4699" s="23" t="str">
        <f t="shared" si="220"/>
        <v xml:space="preserve">COM VALOR</v>
      </c>
      <c r="J4699" s="19"/>
      <c r="L4699" s="21">
        <v>0</v>
      </c>
      <c r="M4699" s="22"/>
      <c r="N4699" s="21">
        <v>0</v>
      </c>
      <c r="O4699" s="22"/>
    </row>
    <row r="4700" ht="38.25">
      <c r="A4700" t="s">
        <v>4799</v>
      </c>
      <c r="B4700" s="19">
        <v>95778</v>
      </c>
      <c r="C4700" s="20" t="s">
        <v>4803</v>
      </c>
      <c r="D4700" s="19" t="s">
        <v>31</v>
      </c>
      <c r="E4700" s="21">
        <f t="shared" si="218"/>
        <v>28.859999999999999</v>
      </c>
      <c r="F4700" s="22">
        <v>0</v>
      </c>
      <c r="G4700" s="21">
        <f t="shared" si="219"/>
        <v>28.039999999999999</v>
      </c>
      <c r="H4700" s="22">
        <v>0</v>
      </c>
      <c r="I4700" s="23" t="str">
        <f t="shared" si="220"/>
        <v xml:space="preserve">COM VALOR</v>
      </c>
      <c r="J4700" s="19"/>
      <c r="L4700" s="21">
        <v>28.859999999999999</v>
      </c>
      <c r="M4700" s="22">
        <v>0</v>
      </c>
      <c r="N4700" s="21">
        <v>28.039999999999999</v>
      </c>
      <c r="O4700" s="22">
        <v>0</v>
      </c>
    </row>
    <row r="4701" ht="38.25">
      <c r="A4701" t="s">
        <v>4799</v>
      </c>
      <c r="B4701" s="19">
        <v>95781</v>
      </c>
      <c r="C4701" s="20" t="s">
        <v>4804</v>
      </c>
      <c r="D4701" s="19" t="s">
        <v>31</v>
      </c>
      <c r="E4701" s="21">
        <f t="shared" si="218"/>
        <v>32.75</v>
      </c>
      <c r="F4701" s="22">
        <v>0</v>
      </c>
      <c r="G4701" s="21">
        <f t="shared" si="219"/>
        <v>31.91</v>
      </c>
      <c r="H4701" s="22">
        <v>0</v>
      </c>
      <c r="I4701" s="23" t="str">
        <f t="shared" si="220"/>
        <v xml:space="preserve">COM VALOR</v>
      </c>
      <c r="J4701" s="19"/>
      <c r="L4701" s="21">
        <v>32.75</v>
      </c>
      <c r="M4701" s="22">
        <v>0</v>
      </c>
      <c r="N4701" s="21">
        <v>31.91</v>
      </c>
      <c r="O4701" s="22">
        <v>0</v>
      </c>
    </row>
    <row r="4702" ht="38.25">
      <c r="A4702" t="s">
        <v>4799</v>
      </c>
      <c r="B4702" s="19">
        <v>95784</v>
      </c>
      <c r="C4702" s="20" t="s">
        <v>4805</v>
      </c>
      <c r="D4702" s="19" t="s">
        <v>31</v>
      </c>
      <c r="E4702" s="21" t="str">
        <f t="shared" si="218"/>
        <v>VERIFICAR</v>
      </c>
      <c r="F4702" s="22">
        <v>0</v>
      </c>
      <c r="G4702" s="21" t="str">
        <f t="shared" si="219"/>
        <v>VERIFICAR</v>
      </c>
      <c r="H4702" s="22">
        <v>0</v>
      </c>
      <c r="I4702" s="23" t="str">
        <f t="shared" si="220"/>
        <v xml:space="preserve">COM VALOR</v>
      </c>
      <c r="J4702" s="19"/>
      <c r="L4702" s="21">
        <v>0</v>
      </c>
      <c r="M4702" s="22"/>
      <c r="N4702" s="21">
        <v>0</v>
      </c>
      <c r="O4702" s="22"/>
    </row>
    <row r="4703" ht="25.5">
      <c r="A4703" t="s">
        <v>4799</v>
      </c>
      <c r="B4703" s="19">
        <v>95782</v>
      </c>
      <c r="C4703" s="20" t="s">
        <v>4806</v>
      </c>
      <c r="D4703" s="19" t="s">
        <v>31</v>
      </c>
      <c r="E4703" s="21">
        <f t="shared" si="218"/>
        <v>31.030000000000001</v>
      </c>
      <c r="F4703" s="22">
        <v>0</v>
      </c>
      <c r="G4703" s="21">
        <f t="shared" si="219"/>
        <v>30.379999999999999</v>
      </c>
      <c r="H4703" s="22">
        <v>0</v>
      </c>
      <c r="I4703" s="23" t="str">
        <f t="shared" si="220"/>
        <v xml:space="preserve">COM VALOR</v>
      </c>
      <c r="J4703" s="19"/>
      <c r="L4703" s="21">
        <v>31.030000000000001</v>
      </c>
      <c r="M4703" s="22">
        <v>0</v>
      </c>
      <c r="N4703" s="21">
        <v>30.379999999999999</v>
      </c>
      <c r="O4703" s="22">
        <v>0</v>
      </c>
    </row>
    <row r="4704" ht="38.25">
      <c r="A4704" t="s">
        <v>4799</v>
      </c>
      <c r="B4704" s="19">
        <v>95779</v>
      </c>
      <c r="C4704" s="20" t="s">
        <v>4807</v>
      </c>
      <c r="D4704" s="19" t="s">
        <v>31</v>
      </c>
      <c r="E4704" s="21">
        <f t="shared" si="218"/>
        <v>23.010000000000002</v>
      </c>
      <c r="F4704" s="22">
        <v>0</v>
      </c>
      <c r="G4704" s="21">
        <f t="shared" si="219"/>
        <v>22.370000000000001</v>
      </c>
      <c r="H4704" s="22">
        <v>0</v>
      </c>
      <c r="I4704" s="23" t="str">
        <f t="shared" si="220"/>
        <v xml:space="preserve">COM VALOR</v>
      </c>
      <c r="J4704" s="19"/>
      <c r="L4704" s="21">
        <v>23.010000000000002</v>
      </c>
      <c r="M4704" s="22">
        <v>0</v>
      </c>
      <c r="N4704" s="21">
        <v>22.370000000000001</v>
      </c>
      <c r="O4704" s="22">
        <v>0</v>
      </c>
    </row>
    <row r="4705" ht="38.25">
      <c r="A4705" t="s">
        <v>4799</v>
      </c>
      <c r="B4705" s="19">
        <v>95785</v>
      </c>
      <c r="C4705" s="20" t="s">
        <v>4808</v>
      </c>
      <c r="D4705" s="19" t="s">
        <v>31</v>
      </c>
      <c r="E4705" s="21">
        <f t="shared" si="218"/>
        <v>35.640000000000001</v>
      </c>
      <c r="F4705" s="22">
        <v>0</v>
      </c>
      <c r="G4705" s="21">
        <f t="shared" si="219"/>
        <v>34.979999999999997</v>
      </c>
      <c r="H4705" s="22">
        <v>0</v>
      </c>
      <c r="I4705" s="23" t="str">
        <f t="shared" si="220"/>
        <v xml:space="preserve">COM VALOR</v>
      </c>
      <c r="J4705" s="19"/>
      <c r="L4705" s="21">
        <v>35.640000000000001</v>
      </c>
      <c r="M4705" s="22">
        <v>0</v>
      </c>
      <c r="N4705" s="21">
        <v>34.979999999999997</v>
      </c>
      <c r="O4705" s="22">
        <v>0</v>
      </c>
    </row>
    <row r="4706" ht="38.25">
      <c r="A4706" t="s">
        <v>4799</v>
      </c>
      <c r="B4706" s="19">
        <v>95792</v>
      </c>
      <c r="C4706" s="20" t="s">
        <v>4809</v>
      </c>
      <c r="D4706" s="19" t="s">
        <v>31</v>
      </c>
      <c r="E4706" s="21" t="str">
        <f t="shared" si="218"/>
        <v>VERIFICAR</v>
      </c>
      <c r="F4706" s="22">
        <v>0</v>
      </c>
      <c r="G4706" s="21" t="str">
        <f t="shared" si="219"/>
        <v>VERIFICAR</v>
      </c>
      <c r="H4706" s="22">
        <v>0</v>
      </c>
      <c r="I4706" s="23" t="str">
        <f t="shared" si="220"/>
        <v xml:space="preserve">COM VALOR</v>
      </c>
      <c r="J4706" s="19"/>
      <c r="L4706" s="21">
        <v>0</v>
      </c>
      <c r="M4706" s="22"/>
      <c r="N4706" s="21">
        <v>0</v>
      </c>
      <c r="O4706" s="22"/>
    </row>
    <row r="4707" ht="38.25">
      <c r="A4707" t="s">
        <v>4799</v>
      </c>
      <c r="B4707" s="19">
        <v>95793</v>
      </c>
      <c r="C4707" s="20" t="s">
        <v>4810</v>
      </c>
      <c r="D4707" s="19" t="s">
        <v>31</v>
      </c>
      <c r="E4707" s="21" t="str">
        <f t="shared" si="218"/>
        <v>VERIFICAR</v>
      </c>
      <c r="F4707" s="22">
        <v>0</v>
      </c>
      <c r="G4707" s="21" t="str">
        <f t="shared" si="219"/>
        <v>VERIFICAR</v>
      </c>
      <c r="H4707" s="22">
        <v>0</v>
      </c>
      <c r="I4707" s="23" t="str">
        <f t="shared" si="220"/>
        <v xml:space="preserve">COM VALOR</v>
      </c>
      <c r="J4707" s="19"/>
      <c r="L4707" s="21">
        <v>0</v>
      </c>
      <c r="M4707" s="22"/>
      <c r="N4707" s="21">
        <v>0</v>
      </c>
      <c r="O4707" s="22"/>
    </row>
    <row r="4708" ht="38.25">
      <c r="A4708" t="s">
        <v>4799</v>
      </c>
      <c r="B4708" s="19">
        <v>95794</v>
      </c>
      <c r="C4708" s="20" t="s">
        <v>4811</v>
      </c>
      <c r="D4708" s="19" t="s">
        <v>31</v>
      </c>
      <c r="E4708" s="21" t="str">
        <f t="shared" si="218"/>
        <v>VERIFICAR</v>
      </c>
      <c r="F4708" s="22">
        <v>0</v>
      </c>
      <c r="G4708" s="21" t="str">
        <f t="shared" si="219"/>
        <v>VERIFICAR</v>
      </c>
      <c r="H4708" s="22">
        <v>0</v>
      </c>
      <c r="I4708" s="23" t="str">
        <f t="shared" si="220"/>
        <v xml:space="preserve">COM VALOR</v>
      </c>
      <c r="J4708" s="19"/>
      <c r="L4708" s="21">
        <v>0</v>
      </c>
      <c r="M4708" s="22"/>
      <c r="N4708" s="21">
        <v>0</v>
      </c>
      <c r="O4708" s="22"/>
    </row>
    <row r="4709" ht="38.25">
      <c r="A4709" t="s">
        <v>4799</v>
      </c>
      <c r="B4709" s="19">
        <v>95786</v>
      </c>
      <c r="C4709" s="20" t="s">
        <v>4812</v>
      </c>
      <c r="D4709" s="19" t="s">
        <v>31</v>
      </c>
      <c r="E4709" s="21" t="str">
        <f t="shared" si="218"/>
        <v>VERIFICAR</v>
      </c>
      <c r="F4709" s="22">
        <v>0</v>
      </c>
      <c r="G4709" s="21" t="str">
        <f t="shared" si="219"/>
        <v>VERIFICAR</v>
      </c>
      <c r="H4709" s="22">
        <v>0</v>
      </c>
      <c r="I4709" s="23" t="str">
        <f t="shared" si="220"/>
        <v xml:space="preserve">COM VALOR</v>
      </c>
      <c r="J4709" s="19"/>
      <c r="L4709" s="21">
        <v>0</v>
      </c>
      <c r="M4709" s="22"/>
      <c r="N4709" s="21">
        <v>0</v>
      </c>
      <c r="O4709" s="22"/>
    </row>
    <row r="4710" ht="38.25">
      <c r="A4710" t="s">
        <v>4799</v>
      </c>
      <c r="B4710" s="19">
        <v>95788</v>
      </c>
      <c r="C4710" s="20" t="s">
        <v>4813</v>
      </c>
      <c r="D4710" s="19" t="s">
        <v>31</v>
      </c>
      <c r="E4710" s="21" t="str">
        <f t="shared" si="218"/>
        <v>VERIFICAR</v>
      </c>
      <c r="F4710" s="22"/>
      <c r="G4710" s="21" t="str">
        <f t="shared" si="219"/>
        <v>VERIFICAR</v>
      </c>
      <c r="H4710" s="22"/>
      <c r="I4710" s="23" t="str">
        <f t="shared" si="220"/>
        <v xml:space="preserve">COM VALOR</v>
      </c>
      <c r="J4710" s="19"/>
      <c r="L4710" s="21">
        <v>0</v>
      </c>
      <c r="M4710" s="22"/>
      <c r="N4710" s="21">
        <v>0</v>
      </c>
      <c r="O4710" s="22"/>
    </row>
    <row r="4711" ht="38.25">
      <c r="A4711" t="s">
        <v>4799</v>
      </c>
      <c r="B4711" s="19">
        <v>95790</v>
      </c>
      <c r="C4711" s="20" t="s">
        <v>4814</v>
      </c>
      <c r="D4711" s="19" t="s">
        <v>31</v>
      </c>
      <c r="E4711" s="21" t="str">
        <f t="shared" si="218"/>
        <v>VERIFICAR</v>
      </c>
      <c r="F4711" s="22"/>
      <c r="G4711" s="21" t="str">
        <f t="shared" si="219"/>
        <v>VERIFICAR</v>
      </c>
      <c r="H4711" s="22"/>
      <c r="I4711" s="23" t="str">
        <f t="shared" si="220"/>
        <v xml:space="preserve">COM VALOR</v>
      </c>
      <c r="J4711" s="19"/>
      <c r="L4711" s="21">
        <v>0</v>
      </c>
      <c r="M4711" s="22"/>
      <c r="N4711" s="21">
        <v>0</v>
      </c>
      <c r="O4711" s="22"/>
    </row>
    <row r="4712" ht="38.25">
      <c r="A4712" t="s">
        <v>4799</v>
      </c>
      <c r="B4712" s="19">
        <v>95787</v>
      </c>
      <c r="C4712" s="20" t="s">
        <v>4815</v>
      </c>
      <c r="D4712" s="19" t="s">
        <v>31</v>
      </c>
      <c r="E4712" s="21">
        <f t="shared" si="218"/>
        <v>29.670000000000002</v>
      </c>
      <c r="F4712" s="22">
        <v>0</v>
      </c>
      <c r="G4712" s="21">
        <f t="shared" si="219"/>
        <v>28.66</v>
      </c>
      <c r="H4712" s="22">
        <v>0</v>
      </c>
      <c r="I4712" s="23" t="str">
        <f t="shared" si="220"/>
        <v xml:space="preserve">COM VALOR</v>
      </c>
      <c r="J4712" s="19"/>
      <c r="L4712" s="21">
        <v>29.670000000000002</v>
      </c>
      <c r="M4712" s="22">
        <v>0</v>
      </c>
      <c r="N4712" s="21">
        <v>28.66</v>
      </c>
      <c r="O4712" s="22">
        <v>0</v>
      </c>
    </row>
    <row r="4713" ht="38.25">
      <c r="A4713" t="s">
        <v>4799</v>
      </c>
      <c r="B4713" s="19">
        <v>95789</v>
      </c>
      <c r="C4713" s="20" t="s">
        <v>4816</v>
      </c>
      <c r="D4713" s="19" t="s">
        <v>31</v>
      </c>
      <c r="E4713" s="21">
        <f t="shared" si="218"/>
        <v>36.979999999999997</v>
      </c>
      <c r="F4713" s="22">
        <v>0</v>
      </c>
      <c r="G4713" s="21">
        <f t="shared" si="219"/>
        <v>35.950000000000003</v>
      </c>
      <c r="H4713" s="22">
        <v>0</v>
      </c>
      <c r="I4713" s="23" t="str">
        <f t="shared" si="220"/>
        <v xml:space="preserve">COM VALOR</v>
      </c>
      <c r="J4713" s="19"/>
      <c r="L4713" s="21">
        <v>36.979999999999997</v>
      </c>
      <c r="M4713" s="22">
        <v>0</v>
      </c>
      <c r="N4713" s="21">
        <v>35.950000000000003</v>
      </c>
      <c r="O4713" s="22">
        <v>0</v>
      </c>
    </row>
    <row r="4714" ht="38.25">
      <c r="A4714" t="s">
        <v>4799</v>
      </c>
      <c r="B4714" s="19">
        <v>95791</v>
      </c>
      <c r="C4714" s="20" t="s">
        <v>4817</v>
      </c>
      <c r="D4714" s="19" t="s">
        <v>31</v>
      </c>
      <c r="E4714" s="21">
        <f t="shared" si="218"/>
        <v>47.939999999999998</v>
      </c>
      <c r="F4714" s="22">
        <v>0</v>
      </c>
      <c r="G4714" s="21">
        <f t="shared" si="219"/>
        <v>46.869999999999997</v>
      </c>
      <c r="H4714" s="22">
        <v>0</v>
      </c>
      <c r="I4714" s="23" t="str">
        <f t="shared" si="220"/>
        <v xml:space="preserve">COM VALOR</v>
      </c>
      <c r="J4714" s="19"/>
      <c r="L4714" s="21">
        <v>47.939999999999998</v>
      </c>
      <c r="M4714" s="22">
        <v>0</v>
      </c>
      <c r="N4714" s="21">
        <v>46.869999999999997</v>
      </c>
      <c r="O4714" s="22">
        <v>0</v>
      </c>
    </row>
    <row r="4715" ht="38.25">
      <c r="A4715" t="s">
        <v>4799</v>
      </c>
      <c r="B4715" s="19">
        <v>95795</v>
      </c>
      <c r="C4715" s="20" t="s">
        <v>4818</v>
      </c>
      <c r="D4715" s="19" t="s">
        <v>31</v>
      </c>
      <c r="E4715" s="21">
        <f t="shared" si="218"/>
        <v>34.640000000000001</v>
      </c>
      <c r="F4715" s="22">
        <v>0</v>
      </c>
      <c r="G4715" s="21">
        <f t="shared" si="219"/>
        <v>33.460000000000001</v>
      </c>
      <c r="H4715" s="22">
        <v>0</v>
      </c>
      <c r="I4715" s="23" t="str">
        <f t="shared" si="220"/>
        <v xml:space="preserve">COM VALOR</v>
      </c>
      <c r="J4715" s="19"/>
      <c r="L4715" s="21">
        <v>34.640000000000001</v>
      </c>
      <c r="M4715" s="22">
        <v>0</v>
      </c>
      <c r="N4715" s="21">
        <v>33.460000000000001</v>
      </c>
      <c r="O4715" s="22">
        <v>0</v>
      </c>
    </row>
    <row r="4716" ht="38.25">
      <c r="A4716" t="s">
        <v>4799</v>
      </c>
      <c r="B4716" s="19">
        <v>95796</v>
      </c>
      <c r="C4716" s="20" t="s">
        <v>4819</v>
      </c>
      <c r="D4716" s="19" t="s">
        <v>31</v>
      </c>
      <c r="E4716" s="21">
        <f t="shared" si="218"/>
        <v>43.68</v>
      </c>
      <c r="F4716" s="22">
        <v>0</v>
      </c>
      <c r="G4716" s="21">
        <f t="shared" si="219"/>
        <v>42.460000000000001</v>
      </c>
      <c r="H4716" s="22">
        <v>0</v>
      </c>
      <c r="I4716" s="23" t="str">
        <f t="shared" si="220"/>
        <v xml:space="preserve">COM VALOR</v>
      </c>
      <c r="J4716" s="19"/>
      <c r="L4716" s="21">
        <v>43.68</v>
      </c>
      <c r="M4716" s="22">
        <v>0</v>
      </c>
      <c r="N4716" s="21">
        <v>42.460000000000001</v>
      </c>
      <c r="O4716" s="22">
        <v>0</v>
      </c>
    </row>
    <row r="4717" ht="38.25">
      <c r="A4717" t="s">
        <v>4799</v>
      </c>
      <c r="B4717" s="19">
        <v>95797</v>
      </c>
      <c r="C4717" s="20" t="s">
        <v>4820</v>
      </c>
      <c r="D4717" s="19" t="s">
        <v>31</v>
      </c>
      <c r="E4717" s="21">
        <f t="shared" si="218"/>
        <v>55.350000000000001</v>
      </c>
      <c r="F4717" s="22">
        <v>0</v>
      </c>
      <c r="G4717" s="21">
        <f t="shared" si="219"/>
        <v>54.079999999999998</v>
      </c>
      <c r="H4717" s="22">
        <v>0</v>
      </c>
      <c r="I4717" s="23" t="str">
        <f t="shared" si="220"/>
        <v xml:space="preserve">COM VALOR</v>
      </c>
      <c r="J4717" s="19"/>
      <c r="L4717" s="21">
        <v>55.350000000000001</v>
      </c>
      <c r="M4717" s="22">
        <v>0</v>
      </c>
      <c r="N4717" s="21">
        <v>54.079999999999998</v>
      </c>
      <c r="O4717" s="22">
        <v>0</v>
      </c>
    </row>
    <row r="4718" ht="38.25">
      <c r="A4718" t="s">
        <v>4799</v>
      </c>
      <c r="B4718" s="19">
        <v>95798</v>
      </c>
      <c r="C4718" s="20" t="s">
        <v>4821</v>
      </c>
      <c r="D4718" s="19" t="s">
        <v>31</v>
      </c>
      <c r="E4718" s="21" t="str">
        <f t="shared" si="218"/>
        <v>VERIFICAR</v>
      </c>
      <c r="F4718" s="22">
        <v>0</v>
      </c>
      <c r="G4718" s="21" t="str">
        <f t="shared" si="219"/>
        <v>VERIFICAR</v>
      </c>
      <c r="H4718" s="22">
        <v>0</v>
      </c>
      <c r="I4718" s="23" t="str">
        <f t="shared" si="220"/>
        <v xml:space="preserve">COM VALOR</v>
      </c>
      <c r="J4718" s="19"/>
      <c r="L4718" s="21">
        <v>0</v>
      </c>
      <c r="M4718" s="22"/>
      <c r="N4718" s="21">
        <v>0</v>
      </c>
      <c r="O4718" s="22"/>
    </row>
    <row r="4719" ht="38.25">
      <c r="A4719" t="s">
        <v>4799</v>
      </c>
      <c r="B4719" s="19">
        <v>95799</v>
      </c>
      <c r="C4719" s="20" t="s">
        <v>4822</v>
      </c>
      <c r="D4719" s="19" t="s">
        <v>31</v>
      </c>
      <c r="E4719" s="21" t="str">
        <f t="shared" si="218"/>
        <v>VERIFICAR</v>
      </c>
      <c r="F4719" s="22">
        <v>0</v>
      </c>
      <c r="G4719" s="21" t="str">
        <f t="shared" si="219"/>
        <v>VERIFICAR</v>
      </c>
      <c r="H4719" s="22">
        <v>0</v>
      </c>
      <c r="I4719" s="23" t="str">
        <f t="shared" si="220"/>
        <v xml:space="preserve">COM VALOR</v>
      </c>
      <c r="J4719" s="19"/>
      <c r="L4719" s="21">
        <v>0</v>
      </c>
      <c r="M4719" s="22"/>
      <c r="N4719" s="21">
        <v>0</v>
      </c>
      <c r="O4719" s="22"/>
    </row>
    <row r="4720" ht="38.25">
      <c r="A4720" t="s">
        <v>4799</v>
      </c>
      <c r="B4720" s="19">
        <v>95800</v>
      </c>
      <c r="C4720" s="20" t="s">
        <v>4823</v>
      </c>
      <c r="D4720" s="19" t="s">
        <v>31</v>
      </c>
      <c r="E4720" s="21" t="str">
        <f t="shared" si="218"/>
        <v>VERIFICAR</v>
      </c>
      <c r="F4720" s="22">
        <v>0</v>
      </c>
      <c r="G4720" s="21" t="str">
        <f t="shared" si="219"/>
        <v>VERIFICAR</v>
      </c>
      <c r="H4720" s="22">
        <v>0</v>
      </c>
      <c r="I4720" s="23" t="str">
        <f t="shared" si="220"/>
        <v xml:space="preserve">COM VALOR</v>
      </c>
      <c r="J4720" s="19"/>
      <c r="L4720" s="21">
        <v>0</v>
      </c>
      <c r="M4720" s="22"/>
      <c r="N4720" s="21">
        <v>0</v>
      </c>
      <c r="O4720" s="22"/>
    </row>
    <row r="4721" ht="38.25">
      <c r="A4721" t="s">
        <v>4799</v>
      </c>
      <c r="B4721" s="19">
        <v>95801</v>
      </c>
      <c r="C4721" s="20" t="s">
        <v>4824</v>
      </c>
      <c r="D4721" s="19" t="s">
        <v>31</v>
      </c>
      <c r="E4721" s="21">
        <f t="shared" si="218"/>
        <v>42.18</v>
      </c>
      <c r="F4721" s="22"/>
      <c r="G4721" s="21">
        <f t="shared" si="219"/>
        <v>40.829999999999998</v>
      </c>
      <c r="H4721" s="22"/>
      <c r="I4721" s="23" t="str">
        <f t="shared" si="220"/>
        <v xml:space="preserve">COM VALOR</v>
      </c>
      <c r="J4721" s="19"/>
      <c r="L4721" s="21">
        <v>42.18</v>
      </c>
      <c r="M4721" s="22">
        <v>0</v>
      </c>
      <c r="N4721" s="21">
        <v>40.829999999999998</v>
      </c>
      <c r="O4721" s="22">
        <v>0</v>
      </c>
    </row>
    <row r="4722" ht="38.25">
      <c r="A4722" t="s">
        <v>4799</v>
      </c>
      <c r="B4722" s="19">
        <v>95802</v>
      </c>
      <c r="C4722" s="20" t="s">
        <v>4825</v>
      </c>
      <c r="D4722" s="19" t="s">
        <v>31</v>
      </c>
      <c r="E4722" s="21">
        <f t="shared" si="218"/>
        <v>46.030000000000001</v>
      </c>
      <c r="F4722" s="22"/>
      <c r="G4722" s="21">
        <f t="shared" si="219"/>
        <v>44.630000000000003</v>
      </c>
      <c r="H4722" s="22"/>
      <c r="I4722" s="23" t="str">
        <f t="shared" si="220"/>
        <v xml:space="preserve">COM VALOR</v>
      </c>
      <c r="J4722" s="19"/>
      <c r="L4722" s="21">
        <v>46.030000000000001</v>
      </c>
      <c r="M4722" s="22">
        <v>0</v>
      </c>
      <c r="N4722" s="21">
        <v>44.630000000000003</v>
      </c>
      <c r="O4722" s="22">
        <v>0</v>
      </c>
    </row>
    <row r="4723" ht="38.25">
      <c r="A4723" t="s">
        <v>4799</v>
      </c>
      <c r="B4723" s="19">
        <v>95803</v>
      </c>
      <c r="C4723" s="20" t="s">
        <v>4826</v>
      </c>
      <c r="D4723" s="19" t="s">
        <v>31</v>
      </c>
      <c r="E4723" s="21">
        <f t="shared" si="218"/>
        <v>60.759999999999998</v>
      </c>
      <c r="F4723" s="22"/>
      <c r="G4723" s="21">
        <f t="shared" si="219"/>
        <v>59.299999999999997</v>
      </c>
      <c r="H4723" s="22"/>
      <c r="I4723" s="23" t="str">
        <f t="shared" si="220"/>
        <v xml:space="preserve">COM VALOR</v>
      </c>
      <c r="J4723" s="19"/>
      <c r="L4723" s="21">
        <v>60.759999999999998</v>
      </c>
      <c r="M4723" s="22">
        <v>0</v>
      </c>
      <c r="N4723" s="21">
        <v>59.299999999999997</v>
      </c>
      <c r="O4723" s="22">
        <v>0</v>
      </c>
    </row>
    <row r="4724" ht="25.5">
      <c r="A4724" t="s">
        <v>4799</v>
      </c>
      <c r="B4724" s="19">
        <v>95804</v>
      </c>
      <c r="C4724" s="20" t="s">
        <v>4827</v>
      </c>
      <c r="D4724" s="19" t="s">
        <v>31</v>
      </c>
      <c r="E4724" s="21">
        <f t="shared" si="218"/>
        <v>16.93</v>
      </c>
      <c r="F4724" s="22"/>
      <c r="G4724" s="21">
        <f t="shared" si="219"/>
        <v>16.390000000000001</v>
      </c>
      <c r="H4724" s="22"/>
      <c r="I4724" s="23" t="str">
        <f t="shared" si="220"/>
        <v xml:space="preserve">COM VALOR</v>
      </c>
      <c r="J4724" s="19"/>
      <c r="L4724" s="21">
        <v>16.93</v>
      </c>
      <c r="M4724" s="22">
        <v>0</v>
      </c>
      <c r="N4724" s="21">
        <v>16.390000000000001</v>
      </c>
      <c r="O4724" s="22">
        <v>0</v>
      </c>
    </row>
    <row r="4725" ht="25.5">
      <c r="A4725" t="s">
        <v>4799</v>
      </c>
      <c r="B4725" s="19">
        <v>95805</v>
      </c>
      <c r="C4725" s="20" t="s">
        <v>4828</v>
      </c>
      <c r="D4725" s="19" t="s">
        <v>31</v>
      </c>
      <c r="E4725" s="21">
        <f t="shared" si="218"/>
        <v>17.09</v>
      </c>
      <c r="F4725" s="22"/>
      <c r="G4725" s="21">
        <f t="shared" si="219"/>
        <v>16.530000000000001</v>
      </c>
      <c r="H4725" s="22"/>
      <c r="I4725" s="23" t="str">
        <f t="shared" si="220"/>
        <v xml:space="preserve">COM VALOR</v>
      </c>
      <c r="J4725" s="19"/>
      <c r="L4725" s="21">
        <v>17.09</v>
      </c>
      <c r="M4725" s="22">
        <v>0</v>
      </c>
      <c r="N4725" s="21">
        <v>16.530000000000001</v>
      </c>
      <c r="O4725" s="22">
        <v>0</v>
      </c>
    </row>
    <row r="4726" ht="25.5">
      <c r="A4726" t="s">
        <v>4799</v>
      </c>
      <c r="B4726" s="19">
        <v>95806</v>
      </c>
      <c r="C4726" s="20" t="s">
        <v>4829</v>
      </c>
      <c r="D4726" s="19" t="s">
        <v>31</v>
      </c>
      <c r="E4726" s="21">
        <f t="shared" si="218"/>
        <v>17.640000000000001</v>
      </c>
      <c r="F4726" s="22"/>
      <c r="G4726" s="21">
        <f t="shared" si="219"/>
        <v>17.079999999999998</v>
      </c>
      <c r="H4726" s="22"/>
      <c r="I4726" s="23" t="str">
        <f t="shared" si="220"/>
        <v xml:space="preserve">COM VALOR</v>
      </c>
      <c r="J4726" s="19"/>
      <c r="L4726" s="21">
        <v>17.640000000000001</v>
      </c>
      <c r="M4726" s="22">
        <v>0</v>
      </c>
      <c r="N4726" s="21">
        <v>17.079999999999998</v>
      </c>
      <c r="O4726" s="22">
        <v>0</v>
      </c>
    </row>
    <row r="4727" ht="25.5">
      <c r="A4727" t="s">
        <v>4799</v>
      </c>
      <c r="B4727" s="19">
        <v>104401</v>
      </c>
      <c r="C4727" s="20" t="s">
        <v>4830</v>
      </c>
      <c r="D4727" s="19" t="s">
        <v>31</v>
      </c>
      <c r="E4727" s="21">
        <f t="shared" si="218"/>
        <v>19.109999999999999</v>
      </c>
      <c r="F4727" s="22"/>
      <c r="G4727" s="21">
        <f t="shared" si="219"/>
        <v>18.48</v>
      </c>
      <c r="H4727" s="22"/>
      <c r="I4727" s="23" t="str">
        <f t="shared" si="220"/>
        <v xml:space="preserve">COM VALOR</v>
      </c>
      <c r="J4727" s="19"/>
      <c r="L4727" s="21">
        <v>19.109999999999999</v>
      </c>
      <c r="M4727" s="22">
        <v>0</v>
      </c>
      <c r="N4727" s="21">
        <v>18.48</v>
      </c>
      <c r="O4727" s="22">
        <v>0</v>
      </c>
    </row>
    <row r="4728" ht="25.5">
      <c r="A4728" t="s">
        <v>4799</v>
      </c>
      <c r="B4728" s="19">
        <v>104402</v>
      </c>
      <c r="C4728" s="20" t="s">
        <v>4831</v>
      </c>
      <c r="D4728" s="19" t="s">
        <v>31</v>
      </c>
      <c r="E4728" s="21">
        <f t="shared" si="218"/>
        <v>18.559999999999999</v>
      </c>
      <c r="F4728" s="22"/>
      <c r="G4728" s="21">
        <f t="shared" si="219"/>
        <v>17.920000000000002</v>
      </c>
      <c r="H4728" s="22"/>
      <c r="I4728" s="23" t="str">
        <f t="shared" si="220"/>
        <v xml:space="preserve">COM VALOR</v>
      </c>
      <c r="J4728" s="19"/>
      <c r="L4728" s="21">
        <v>18.559999999999999</v>
      </c>
      <c r="M4728" s="22">
        <v>0</v>
      </c>
      <c r="N4728" s="21">
        <v>17.920000000000002</v>
      </c>
      <c r="O4728" s="22">
        <v>0</v>
      </c>
    </row>
    <row r="4729" ht="25.5">
      <c r="A4729" t="s">
        <v>4799</v>
      </c>
      <c r="B4729" s="19">
        <v>104403</v>
      </c>
      <c r="C4729" s="20" t="s">
        <v>4832</v>
      </c>
      <c r="D4729" s="19" t="s">
        <v>31</v>
      </c>
      <c r="E4729" s="21">
        <f t="shared" si="218"/>
        <v>20.809999999999999</v>
      </c>
      <c r="F4729" s="22"/>
      <c r="G4729" s="21">
        <f t="shared" si="219"/>
        <v>20.129999999999999</v>
      </c>
      <c r="H4729" s="22"/>
      <c r="I4729" s="23" t="str">
        <f t="shared" si="220"/>
        <v xml:space="preserve">COM VALOR</v>
      </c>
      <c r="J4729" s="19"/>
      <c r="L4729" s="21">
        <v>20.809999999999999</v>
      </c>
      <c r="M4729" s="22">
        <v>0</v>
      </c>
      <c r="N4729" s="21">
        <v>20.129999999999999</v>
      </c>
      <c r="O4729" s="22">
        <v>0</v>
      </c>
    </row>
    <row r="4730" ht="25.5">
      <c r="A4730" t="s">
        <v>4799</v>
      </c>
      <c r="B4730" s="19">
        <v>104395</v>
      </c>
      <c r="C4730" s="20" t="s">
        <v>4833</v>
      </c>
      <c r="D4730" s="19" t="s">
        <v>31</v>
      </c>
      <c r="E4730" s="21">
        <f t="shared" si="218"/>
        <v>16.600000000000001</v>
      </c>
      <c r="F4730" s="22"/>
      <c r="G4730" s="21">
        <f t="shared" si="219"/>
        <v>16.059999999999999</v>
      </c>
      <c r="H4730" s="22"/>
      <c r="I4730" s="23" t="str">
        <f t="shared" si="220"/>
        <v xml:space="preserve">COM VALOR</v>
      </c>
      <c r="J4730" s="19"/>
      <c r="L4730" s="21">
        <v>16.600000000000001</v>
      </c>
      <c r="M4730" s="22">
        <v>0</v>
      </c>
      <c r="N4730" s="21">
        <v>16.059999999999999</v>
      </c>
      <c r="O4730" s="22">
        <v>0</v>
      </c>
    </row>
    <row r="4731" ht="25.5">
      <c r="A4731" t="s">
        <v>4799</v>
      </c>
      <c r="B4731" s="19">
        <v>104396</v>
      </c>
      <c r="C4731" s="20" t="s">
        <v>4834</v>
      </c>
      <c r="D4731" s="19" t="s">
        <v>31</v>
      </c>
      <c r="E4731" s="21">
        <f t="shared" si="218"/>
        <v>16.219999999999999</v>
      </c>
      <c r="F4731" s="22"/>
      <c r="G4731" s="21">
        <f t="shared" si="219"/>
        <v>15.66</v>
      </c>
      <c r="H4731" s="22"/>
      <c r="I4731" s="23" t="str">
        <f t="shared" si="220"/>
        <v xml:space="preserve">COM VALOR</v>
      </c>
      <c r="J4731" s="19"/>
      <c r="L4731" s="21">
        <v>16.219999999999999</v>
      </c>
      <c r="M4731" s="22">
        <v>0</v>
      </c>
      <c r="N4731" s="21">
        <v>15.66</v>
      </c>
      <c r="O4731" s="22">
        <v>0</v>
      </c>
    </row>
    <row r="4732" ht="25.5">
      <c r="A4732" t="s">
        <v>4799</v>
      </c>
      <c r="B4732" s="19">
        <v>104397</v>
      </c>
      <c r="C4732" s="20" t="s">
        <v>4835</v>
      </c>
      <c r="D4732" s="19" t="s">
        <v>31</v>
      </c>
      <c r="E4732" s="21">
        <f t="shared" si="218"/>
        <v>18.059999999999999</v>
      </c>
      <c r="F4732" s="22">
        <v>0.91000000000000003</v>
      </c>
      <c r="G4732" s="21">
        <f t="shared" si="219"/>
        <v>17.5</v>
      </c>
      <c r="H4732" s="22">
        <v>0.91000000000000003</v>
      </c>
      <c r="I4732" s="23" t="str">
        <f t="shared" si="220"/>
        <v xml:space="preserve">COM VALOR</v>
      </c>
      <c r="J4732" s="19"/>
      <c r="L4732" s="21">
        <v>18.059999999999999</v>
      </c>
      <c r="M4732" s="22">
        <v>0</v>
      </c>
      <c r="N4732" s="21">
        <v>17.5</v>
      </c>
      <c r="O4732" s="22">
        <v>0</v>
      </c>
    </row>
    <row r="4733" ht="25.5">
      <c r="A4733" t="s">
        <v>4799</v>
      </c>
      <c r="B4733" s="19">
        <v>95810</v>
      </c>
      <c r="C4733" s="20" t="s">
        <v>4836</v>
      </c>
      <c r="D4733" s="19" t="s">
        <v>31</v>
      </c>
      <c r="E4733" s="21">
        <f t="shared" si="218"/>
        <v>12.27</v>
      </c>
      <c r="F4733" s="22">
        <v>0.92000000000000004</v>
      </c>
      <c r="G4733" s="21">
        <f t="shared" si="219"/>
        <v>12.01</v>
      </c>
      <c r="H4733" s="22">
        <v>0.93000000000000005</v>
      </c>
      <c r="I4733" s="23" t="str">
        <f t="shared" si="220"/>
        <v xml:space="preserve">COM VALOR</v>
      </c>
      <c r="J4733" s="19"/>
      <c r="L4733" s="21">
        <v>12.27</v>
      </c>
      <c r="M4733" s="22">
        <v>0</v>
      </c>
      <c r="N4733" s="21">
        <v>12.01</v>
      </c>
      <c r="O4733" s="22">
        <v>0</v>
      </c>
    </row>
    <row r="4734" ht="25.5">
      <c r="A4734" t="s">
        <v>4799</v>
      </c>
      <c r="B4734" s="19">
        <v>95811</v>
      </c>
      <c r="C4734" s="20" t="s">
        <v>4837</v>
      </c>
      <c r="D4734" s="19" t="s">
        <v>31</v>
      </c>
      <c r="E4734" s="21">
        <f t="shared" si="218"/>
        <v>12.74</v>
      </c>
      <c r="F4734" s="22">
        <v>0.93000000000000005</v>
      </c>
      <c r="G4734" s="21">
        <f t="shared" si="219"/>
        <v>12.470000000000001</v>
      </c>
      <c r="H4734" s="22">
        <v>0.93000000000000005</v>
      </c>
      <c r="I4734" s="23" t="str">
        <f t="shared" si="220"/>
        <v xml:space="preserve">COM VALOR</v>
      </c>
      <c r="J4734" s="19"/>
      <c r="L4734" s="21">
        <v>12.74</v>
      </c>
      <c r="M4734" s="22">
        <v>0</v>
      </c>
      <c r="N4734" s="21">
        <v>12.470000000000001</v>
      </c>
      <c r="O4734" s="22">
        <v>0</v>
      </c>
    </row>
    <row r="4735" ht="25.5">
      <c r="A4735" t="s">
        <v>4799</v>
      </c>
      <c r="B4735" s="19">
        <v>95812</v>
      </c>
      <c r="C4735" s="20" t="s">
        <v>4838</v>
      </c>
      <c r="D4735" s="19" t="s">
        <v>31</v>
      </c>
      <c r="E4735" s="21">
        <f t="shared" si="218"/>
        <v>14.710000000000001</v>
      </c>
      <c r="F4735" s="22">
        <v>0.92000000000000004</v>
      </c>
      <c r="G4735" s="21">
        <f t="shared" si="219"/>
        <v>14.390000000000001</v>
      </c>
      <c r="H4735" s="22">
        <v>0.93000000000000005</v>
      </c>
      <c r="I4735" s="23" t="str">
        <f t="shared" si="220"/>
        <v xml:space="preserve">COM VALOR</v>
      </c>
      <c r="J4735" s="19"/>
      <c r="L4735" s="21">
        <v>14.710000000000001</v>
      </c>
      <c r="M4735" s="22">
        <v>0</v>
      </c>
      <c r="N4735" s="21">
        <v>14.390000000000001</v>
      </c>
      <c r="O4735" s="22">
        <v>0</v>
      </c>
    </row>
    <row r="4736" ht="25.5">
      <c r="A4736" t="s">
        <v>4799</v>
      </c>
      <c r="B4736" s="19">
        <v>95807</v>
      </c>
      <c r="C4736" s="20" t="s">
        <v>4839</v>
      </c>
      <c r="D4736" s="19" t="s">
        <v>31</v>
      </c>
      <c r="E4736" s="21">
        <f t="shared" si="218"/>
        <v>20.579999999999998</v>
      </c>
      <c r="F4736" s="22">
        <v>0.95999999999999996</v>
      </c>
      <c r="G4736" s="21">
        <f t="shared" si="219"/>
        <v>19.879999999999999</v>
      </c>
      <c r="H4736" s="22">
        <v>0.95999999999999996</v>
      </c>
      <c r="I4736" s="23" t="str">
        <f t="shared" si="220"/>
        <v xml:space="preserve">COM VALOR</v>
      </c>
      <c r="J4736" s="19"/>
      <c r="L4736" s="21">
        <v>20.579999999999998</v>
      </c>
      <c r="M4736" s="22">
        <v>0</v>
      </c>
      <c r="N4736" s="21">
        <v>19.879999999999999</v>
      </c>
      <c r="O4736" s="22">
        <v>0</v>
      </c>
    </row>
    <row r="4737" ht="25.5">
      <c r="A4737" t="s">
        <v>4799</v>
      </c>
      <c r="B4737" s="19">
        <v>95808</v>
      </c>
      <c r="C4737" s="20" t="s">
        <v>4840</v>
      </c>
      <c r="D4737" s="19" t="s">
        <v>31</v>
      </c>
      <c r="E4737" s="21">
        <f t="shared" si="218"/>
        <v>21.07</v>
      </c>
      <c r="F4737" s="22">
        <v>0.94999999999999996</v>
      </c>
      <c r="G4737" s="21">
        <f t="shared" si="219"/>
        <v>20.32</v>
      </c>
      <c r="H4737" s="22">
        <v>0.94999999999999996</v>
      </c>
      <c r="I4737" s="23" t="str">
        <f t="shared" si="220"/>
        <v xml:space="preserve">COM VALOR</v>
      </c>
      <c r="J4737" s="19"/>
      <c r="L4737" s="21">
        <v>21.07</v>
      </c>
      <c r="M4737" s="22">
        <v>0</v>
      </c>
      <c r="N4737" s="21">
        <v>20.32</v>
      </c>
      <c r="O4737" s="22">
        <v>0</v>
      </c>
    </row>
    <row r="4738" ht="25.5">
      <c r="A4738" t="s">
        <v>4799</v>
      </c>
      <c r="B4738" s="19">
        <v>95809</v>
      </c>
      <c r="C4738" s="20" t="s">
        <v>4841</v>
      </c>
      <c r="D4738" s="19" t="s">
        <v>31</v>
      </c>
      <c r="E4738" s="21">
        <f t="shared" si="218"/>
        <v>23.030000000000001</v>
      </c>
      <c r="F4738" s="22">
        <v>0.83999999999999997</v>
      </c>
      <c r="G4738" s="21">
        <f t="shared" si="219"/>
        <v>22.260000000000002</v>
      </c>
      <c r="H4738" s="22">
        <v>0.84999999999999998</v>
      </c>
      <c r="I4738" s="23" t="str">
        <f t="shared" si="220"/>
        <v xml:space="preserve">COM VALOR</v>
      </c>
      <c r="J4738" s="19"/>
      <c r="L4738" s="21">
        <v>23.030000000000001</v>
      </c>
      <c r="M4738" s="22">
        <v>0</v>
      </c>
      <c r="N4738" s="21">
        <v>22.260000000000002</v>
      </c>
      <c r="O4738" s="22">
        <v>0</v>
      </c>
    </row>
    <row r="4739" ht="25.5">
      <c r="A4739" t="s">
        <v>4799</v>
      </c>
      <c r="B4739" s="19">
        <v>104398</v>
      </c>
      <c r="C4739" s="20" t="s">
        <v>4842</v>
      </c>
      <c r="D4739" s="19" t="s">
        <v>31</v>
      </c>
      <c r="E4739" s="21">
        <f t="shared" si="218"/>
        <v>20.57</v>
      </c>
      <c r="F4739" s="22">
        <v>0</v>
      </c>
      <c r="G4739" s="21">
        <f t="shared" si="219"/>
        <v>19.870000000000001</v>
      </c>
      <c r="H4739" s="22">
        <v>0</v>
      </c>
      <c r="I4739" s="23" t="str">
        <f t="shared" si="220"/>
        <v xml:space="preserve">COM VALOR</v>
      </c>
      <c r="J4739" s="19"/>
      <c r="L4739" s="21">
        <v>20.57</v>
      </c>
      <c r="M4739" s="22">
        <v>0</v>
      </c>
      <c r="N4739" s="21">
        <v>19.870000000000001</v>
      </c>
      <c r="O4739" s="22">
        <v>0</v>
      </c>
    </row>
    <row r="4740" ht="25.5">
      <c r="A4740" t="s">
        <v>4799</v>
      </c>
      <c r="B4740" s="19">
        <v>104399</v>
      </c>
      <c r="C4740" s="20" t="s">
        <v>4843</v>
      </c>
      <c r="D4740" s="19" t="s">
        <v>31</v>
      </c>
      <c r="E4740" s="21">
        <f t="shared" si="218"/>
        <v>20.190000000000001</v>
      </c>
      <c r="F4740" s="22">
        <v>0</v>
      </c>
      <c r="G4740" s="21">
        <f t="shared" si="219"/>
        <v>19.440000000000001</v>
      </c>
      <c r="H4740" s="22">
        <v>0</v>
      </c>
      <c r="I4740" s="23" t="str">
        <f t="shared" si="220"/>
        <v xml:space="preserve">COM VALOR</v>
      </c>
      <c r="J4740" s="19"/>
      <c r="L4740" s="21">
        <v>20.190000000000001</v>
      </c>
      <c r="M4740" s="22">
        <v>0</v>
      </c>
      <c r="N4740" s="21">
        <v>19.440000000000001</v>
      </c>
      <c r="O4740" s="22">
        <v>0</v>
      </c>
    </row>
    <row r="4741" ht="25.5">
      <c r="A4741" t="s">
        <v>4799</v>
      </c>
      <c r="B4741" s="19">
        <v>104400</v>
      </c>
      <c r="C4741" s="20" t="s">
        <v>4844</v>
      </c>
      <c r="D4741" s="19" t="s">
        <v>31</v>
      </c>
      <c r="E4741" s="21">
        <f t="shared" si="218"/>
        <v>22.649999999999999</v>
      </c>
      <c r="F4741" s="22"/>
      <c r="G4741" s="21">
        <f t="shared" si="219"/>
        <v>21.879999999999999</v>
      </c>
      <c r="H4741" s="22"/>
      <c r="I4741" s="23" t="str">
        <f t="shared" si="220"/>
        <v xml:space="preserve">COM VALOR</v>
      </c>
      <c r="J4741" s="19"/>
      <c r="L4741" s="21">
        <v>22.649999999999999</v>
      </c>
      <c r="M4741" s="22">
        <v>0</v>
      </c>
      <c r="N4741" s="21">
        <v>21.879999999999999</v>
      </c>
      <c r="O4741" s="22">
        <v>0</v>
      </c>
    </row>
    <row r="4742" ht="25.5">
      <c r="A4742" t="s">
        <v>4799</v>
      </c>
      <c r="B4742" s="19">
        <v>104404</v>
      </c>
      <c r="C4742" s="20" t="s">
        <v>4845</v>
      </c>
      <c r="D4742" s="19" t="s">
        <v>31</v>
      </c>
      <c r="E4742" s="21">
        <f t="shared" si="218"/>
        <v>23.219999999999999</v>
      </c>
      <c r="F4742" s="22"/>
      <c r="G4742" s="21">
        <f t="shared" si="219"/>
        <v>22.390000000000001</v>
      </c>
      <c r="H4742" s="22"/>
      <c r="I4742" s="23" t="str">
        <f t="shared" si="220"/>
        <v xml:space="preserve">COM VALOR</v>
      </c>
      <c r="J4742" s="19"/>
      <c r="L4742" s="21">
        <v>23.219999999999999</v>
      </c>
      <c r="M4742" s="22">
        <v>0</v>
      </c>
      <c r="N4742" s="21">
        <v>22.390000000000001</v>
      </c>
      <c r="O4742" s="22">
        <v>0</v>
      </c>
    </row>
    <row r="4743" ht="25.5">
      <c r="A4743" t="s">
        <v>4799</v>
      </c>
      <c r="B4743" s="19">
        <v>104405</v>
      </c>
      <c r="C4743" s="20" t="s">
        <v>4846</v>
      </c>
      <c r="D4743" s="19" t="s">
        <v>31</v>
      </c>
      <c r="E4743" s="21">
        <f t="shared" si="218"/>
        <v>27.16</v>
      </c>
      <c r="F4743" s="22"/>
      <c r="G4743" s="21">
        <f t="shared" si="219"/>
        <v>26.280000000000001</v>
      </c>
      <c r="H4743" s="22"/>
      <c r="I4743" s="23" t="str">
        <f t="shared" si="220"/>
        <v xml:space="preserve">COM VALOR</v>
      </c>
      <c r="J4743" s="19"/>
      <c r="L4743" s="21">
        <v>27.16</v>
      </c>
      <c r="M4743" s="22">
        <v>0</v>
      </c>
      <c r="N4743" s="21">
        <v>26.280000000000001</v>
      </c>
      <c r="O4743" s="22">
        <v>0</v>
      </c>
    </row>
    <row r="4744" ht="25.5">
      <c r="A4744" t="s">
        <v>4799</v>
      </c>
      <c r="B4744" s="19">
        <v>95813</v>
      </c>
      <c r="C4744" s="20" t="s">
        <v>4847</v>
      </c>
      <c r="D4744" s="19" t="s">
        <v>31</v>
      </c>
      <c r="E4744" s="21">
        <f t="shared" si="218"/>
        <v>14.539999999999999</v>
      </c>
      <c r="F4744" s="22"/>
      <c r="G4744" s="21">
        <f t="shared" si="219"/>
        <v>14.220000000000001</v>
      </c>
      <c r="H4744" s="22"/>
      <c r="I4744" s="23" t="str">
        <f t="shared" si="220"/>
        <v xml:space="preserve">COM VALOR</v>
      </c>
      <c r="J4744" s="19"/>
      <c r="L4744" s="21">
        <v>14.539999999999999</v>
      </c>
      <c r="M4744" s="22">
        <v>0</v>
      </c>
      <c r="N4744" s="21">
        <v>14.220000000000001</v>
      </c>
      <c r="O4744" s="22">
        <v>0</v>
      </c>
    </row>
    <row r="4745" ht="25.5">
      <c r="A4745" t="s">
        <v>4799</v>
      </c>
      <c r="B4745" s="19">
        <v>95814</v>
      </c>
      <c r="C4745" s="20" t="s">
        <v>4848</v>
      </c>
      <c r="D4745" s="19" t="s">
        <v>31</v>
      </c>
      <c r="E4745" s="21">
        <f t="shared" si="218"/>
        <v>15.18</v>
      </c>
      <c r="F4745" s="22">
        <v>0</v>
      </c>
      <c r="G4745" s="21">
        <f t="shared" si="219"/>
        <v>14.81</v>
      </c>
      <c r="H4745" s="22">
        <v>0</v>
      </c>
      <c r="I4745" s="23" t="str">
        <f t="shared" si="220"/>
        <v xml:space="preserve">COM VALOR</v>
      </c>
      <c r="J4745" s="19"/>
      <c r="L4745" s="21">
        <v>15.18</v>
      </c>
      <c r="M4745" s="22">
        <v>0</v>
      </c>
      <c r="N4745" s="21">
        <v>14.81</v>
      </c>
      <c r="O4745" s="22">
        <v>0</v>
      </c>
    </row>
    <row r="4746" ht="25.5">
      <c r="A4746" t="s">
        <v>4799</v>
      </c>
      <c r="B4746" s="19">
        <v>95815</v>
      </c>
      <c r="C4746" s="20" t="s">
        <v>4849</v>
      </c>
      <c r="D4746" s="19" t="s">
        <v>31</v>
      </c>
      <c r="E4746" s="21">
        <f t="shared" si="218"/>
        <v>18.850000000000001</v>
      </c>
      <c r="F4746" s="22">
        <v>0</v>
      </c>
      <c r="G4746" s="21">
        <f t="shared" si="219"/>
        <v>18.420000000000002</v>
      </c>
      <c r="H4746" s="22">
        <v>0</v>
      </c>
      <c r="I4746" s="23" t="str">
        <f t="shared" si="220"/>
        <v xml:space="preserve">COM VALOR</v>
      </c>
      <c r="J4746" s="19"/>
      <c r="L4746" s="21">
        <v>18.850000000000001</v>
      </c>
      <c r="M4746" s="22">
        <v>0</v>
      </c>
      <c r="N4746" s="21">
        <v>18.420000000000002</v>
      </c>
      <c r="O4746" s="22">
        <v>0</v>
      </c>
    </row>
    <row r="4747" ht="25.5">
      <c r="A4747" t="s">
        <v>4799</v>
      </c>
      <c r="B4747" s="19">
        <v>95816</v>
      </c>
      <c r="C4747" s="20" t="s">
        <v>4850</v>
      </c>
      <c r="D4747" s="19" t="s">
        <v>31</v>
      </c>
      <c r="E4747" s="21">
        <f t="shared" ref="E4747:E4810" si="221">IF(L4747=0,"VERIFICAR",L4747)</f>
        <v>25.309999999999999</v>
      </c>
      <c r="F4747" s="22">
        <v>0</v>
      </c>
      <c r="G4747" s="21">
        <f t="shared" ref="G4747:G4810" si="222">IF(N4747=0,"VERIFICAR",N4747)</f>
        <v>24.43</v>
      </c>
      <c r="H4747" s="22">
        <v>0</v>
      </c>
      <c r="I4747" s="23" t="str">
        <f t="shared" ref="I4747:I4810" si="223">IF(OR(E4747=0,G4747=0),"SEM VALOR","COM VALOR")</f>
        <v xml:space="preserve">COM VALOR</v>
      </c>
      <c r="J4747" s="19"/>
      <c r="L4747" s="21">
        <v>25.309999999999999</v>
      </c>
      <c r="M4747" s="22">
        <v>0</v>
      </c>
      <c r="N4747" s="21">
        <v>24.43</v>
      </c>
      <c r="O4747" s="22">
        <v>0</v>
      </c>
    </row>
    <row r="4748" ht="25.5">
      <c r="A4748" t="s">
        <v>4799</v>
      </c>
      <c r="B4748" s="19">
        <v>95817</v>
      </c>
      <c r="C4748" s="20" t="s">
        <v>4851</v>
      </c>
      <c r="D4748" s="19" t="s">
        <v>31</v>
      </c>
      <c r="E4748" s="21">
        <f t="shared" si="221"/>
        <v>25.780000000000001</v>
      </c>
      <c r="F4748" s="22">
        <v>0</v>
      </c>
      <c r="G4748" s="21">
        <f t="shared" si="222"/>
        <v>24.859999999999999</v>
      </c>
      <c r="H4748" s="22">
        <v>0</v>
      </c>
      <c r="I4748" s="23" t="str">
        <f t="shared" si="223"/>
        <v xml:space="preserve">COM VALOR</v>
      </c>
      <c r="J4748" s="19"/>
      <c r="L4748" s="21">
        <v>25.780000000000001</v>
      </c>
      <c r="M4748" s="22">
        <v>0</v>
      </c>
      <c r="N4748" s="21">
        <v>24.859999999999999</v>
      </c>
      <c r="O4748" s="22">
        <v>0</v>
      </c>
    </row>
    <row r="4749" ht="25.5">
      <c r="A4749" t="s">
        <v>4799</v>
      </c>
      <c r="B4749" s="19">
        <v>95818</v>
      </c>
      <c r="C4749" s="20" t="s">
        <v>4852</v>
      </c>
      <c r="D4749" s="19" t="s">
        <v>31</v>
      </c>
      <c r="E4749" s="21">
        <f t="shared" si="221"/>
        <v>30.649999999999999</v>
      </c>
      <c r="F4749" s="22">
        <v>0.96999999999999997</v>
      </c>
      <c r="G4749" s="21">
        <f t="shared" si="222"/>
        <v>29.66</v>
      </c>
      <c r="H4749" s="22">
        <v>0.97999999999999998</v>
      </c>
      <c r="I4749" s="23" t="str">
        <f t="shared" si="223"/>
        <v xml:space="preserve">COM VALOR</v>
      </c>
      <c r="J4749" s="19"/>
      <c r="L4749" s="21">
        <v>30.649999999999999</v>
      </c>
      <c r="M4749" s="22">
        <v>0</v>
      </c>
      <c r="N4749" s="21">
        <v>29.66</v>
      </c>
      <c r="O4749" s="22">
        <v>0</v>
      </c>
    </row>
    <row r="4750" ht="38.25">
      <c r="A4750" t="s">
        <v>4799</v>
      </c>
      <c r="B4750" s="19">
        <v>106668</v>
      </c>
      <c r="C4750" s="20" t="s">
        <v>4853</v>
      </c>
      <c r="D4750" s="19" t="s">
        <v>31</v>
      </c>
      <c r="E4750" s="21" t="str">
        <f t="shared" si="221"/>
        <v>VERIFICAR</v>
      </c>
      <c r="F4750" s="22">
        <v>0</v>
      </c>
      <c r="G4750" s="21" t="str">
        <f t="shared" si="222"/>
        <v>VERIFICAR</v>
      </c>
      <c r="H4750" s="22">
        <v>0</v>
      </c>
      <c r="I4750" s="23" t="str">
        <f t="shared" si="223"/>
        <v xml:space="preserve">COM VALOR</v>
      </c>
      <c r="J4750" s="19"/>
      <c r="L4750" s="21">
        <v>0</v>
      </c>
      <c r="M4750" s="22"/>
      <c r="N4750" s="21">
        <v>0</v>
      </c>
      <c r="O4750" s="22"/>
    </row>
    <row r="4751" ht="38.25">
      <c r="A4751" t="s">
        <v>4799</v>
      </c>
      <c r="B4751" s="19">
        <v>106667</v>
      </c>
      <c r="C4751" s="20" t="s">
        <v>4854</v>
      </c>
      <c r="D4751" s="19" t="s">
        <v>31</v>
      </c>
      <c r="E4751" s="21" t="str">
        <f t="shared" si="221"/>
        <v>VERIFICAR</v>
      </c>
      <c r="F4751" s="22">
        <v>0</v>
      </c>
      <c r="G4751" s="21" t="str">
        <f t="shared" si="222"/>
        <v>VERIFICAR</v>
      </c>
      <c r="H4751" s="22">
        <v>0</v>
      </c>
      <c r="I4751" s="23" t="str">
        <f t="shared" si="223"/>
        <v xml:space="preserve">COM VALOR</v>
      </c>
      <c r="J4751" s="19"/>
      <c r="L4751" s="21">
        <v>0</v>
      </c>
      <c r="M4751" s="22"/>
      <c r="N4751" s="21">
        <v>0</v>
      </c>
      <c r="O4751" s="22"/>
    </row>
    <row r="4752" ht="38.25">
      <c r="A4752" t="s">
        <v>4799</v>
      </c>
      <c r="B4752" s="19">
        <v>106666</v>
      </c>
      <c r="C4752" s="20" t="s">
        <v>4855</v>
      </c>
      <c r="D4752" s="19" t="s">
        <v>31</v>
      </c>
      <c r="E4752" s="21" t="str">
        <f t="shared" si="221"/>
        <v>VERIFICAR</v>
      </c>
      <c r="F4752" s="22">
        <v>0</v>
      </c>
      <c r="G4752" s="21" t="str">
        <f t="shared" si="222"/>
        <v>VERIFICAR</v>
      </c>
      <c r="H4752" s="22">
        <v>0</v>
      </c>
      <c r="I4752" s="23" t="str">
        <f t="shared" si="223"/>
        <v xml:space="preserve">COM VALOR</v>
      </c>
      <c r="J4752" s="19"/>
      <c r="L4752" s="21">
        <v>0</v>
      </c>
      <c r="M4752" s="22"/>
      <c r="N4752" s="21">
        <v>0</v>
      </c>
      <c r="O4752" s="22"/>
    </row>
    <row r="4753" ht="25.5">
      <c r="A4753" t="s">
        <v>4799</v>
      </c>
      <c r="B4753" s="19">
        <v>104391</v>
      </c>
      <c r="C4753" s="20" t="s">
        <v>4856</v>
      </c>
      <c r="D4753" s="19" t="s">
        <v>31</v>
      </c>
      <c r="E4753" s="21">
        <f t="shared" si="221"/>
        <v>17.010000000000002</v>
      </c>
      <c r="F4753" s="22">
        <v>0</v>
      </c>
      <c r="G4753" s="21">
        <f t="shared" si="222"/>
        <v>16.469999999999999</v>
      </c>
      <c r="H4753" s="22">
        <v>0</v>
      </c>
      <c r="I4753" s="23" t="str">
        <f t="shared" si="223"/>
        <v xml:space="preserve">COM VALOR</v>
      </c>
      <c r="J4753" s="19"/>
      <c r="L4753" s="21">
        <v>17.010000000000002</v>
      </c>
      <c r="M4753" s="22">
        <v>0</v>
      </c>
      <c r="N4753" s="21">
        <v>16.469999999999999</v>
      </c>
      <c r="O4753" s="22">
        <v>0</v>
      </c>
    </row>
    <row r="4754" ht="25.5">
      <c r="A4754" t="s">
        <v>4799</v>
      </c>
      <c r="B4754" s="19">
        <v>104392</v>
      </c>
      <c r="C4754" s="20" t="s">
        <v>4857</v>
      </c>
      <c r="D4754" s="19" t="s">
        <v>31</v>
      </c>
      <c r="E4754" s="21">
        <f t="shared" si="221"/>
        <v>20.760000000000002</v>
      </c>
      <c r="F4754" s="22">
        <v>0</v>
      </c>
      <c r="G4754" s="21">
        <f t="shared" si="222"/>
        <v>20.199999999999999</v>
      </c>
      <c r="H4754" s="22">
        <v>0</v>
      </c>
      <c r="I4754" s="23" t="str">
        <f t="shared" si="223"/>
        <v xml:space="preserve">COM VALOR</v>
      </c>
      <c r="J4754" s="19"/>
      <c r="L4754" s="21">
        <v>20.760000000000002</v>
      </c>
      <c r="M4754" s="22">
        <v>0</v>
      </c>
      <c r="N4754" s="21">
        <v>20.199999999999999</v>
      </c>
      <c r="O4754" s="22">
        <v>0</v>
      </c>
    </row>
    <row r="4755" ht="25.5">
      <c r="A4755" t="s">
        <v>4799</v>
      </c>
      <c r="B4755" s="19">
        <v>104393</v>
      </c>
      <c r="C4755" s="20" t="s">
        <v>4858</v>
      </c>
      <c r="D4755" s="19" t="s">
        <v>31</v>
      </c>
      <c r="E4755" s="21">
        <f t="shared" si="221"/>
        <v>32.409999999999997</v>
      </c>
      <c r="F4755" s="22">
        <v>4.0000000000000001e-002</v>
      </c>
      <c r="G4755" s="21">
        <f t="shared" si="222"/>
        <v>31.809999999999999</v>
      </c>
      <c r="H4755" s="22">
        <v>4.0000000000000001e-002</v>
      </c>
      <c r="I4755" s="23" t="str">
        <f t="shared" si="223"/>
        <v xml:space="preserve">COM VALOR</v>
      </c>
      <c r="J4755" s="19"/>
      <c r="L4755" s="21">
        <v>32.409999999999997</v>
      </c>
      <c r="M4755" s="22">
        <v>0</v>
      </c>
      <c r="N4755" s="21">
        <v>31.809999999999999</v>
      </c>
      <c r="O4755" s="22">
        <v>0</v>
      </c>
    </row>
    <row r="4756" ht="25.5">
      <c r="A4756" t="s">
        <v>4799</v>
      </c>
      <c r="B4756" s="19">
        <v>104394</v>
      </c>
      <c r="C4756" s="20" t="s">
        <v>4859</v>
      </c>
      <c r="D4756" s="19" t="s">
        <v>31</v>
      </c>
      <c r="E4756" s="21">
        <f t="shared" si="221"/>
        <v>43.25</v>
      </c>
      <c r="F4756" s="22">
        <v>5.9999999999999998e-002</v>
      </c>
      <c r="G4756" s="21">
        <f t="shared" si="222"/>
        <v>42.600000000000001</v>
      </c>
      <c r="H4756" s="22">
        <v>5.9999999999999998e-002</v>
      </c>
      <c r="I4756" s="23" t="str">
        <f t="shared" si="223"/>
        <v xml:space="preserve">COM VALOR</v>
      </c>
      <c r="J4756" s="19"/>
      <c r="L4756" s="21">
        <v>43.25</v>
      </c>
      <c r="M4756" s="22">
        <v>0</v>
      </c>
      <c r="N4756" s="21">
        <v>42.600000000000001</v>
      </c>
      <c r="O4756" s="22">
        <v>0</v>
      </c>
    </row>
    <row r="4757" ht="25.5">
      <c r="A4757" t="s">
        <v>4799</v>
      </c>
      <c r="B4757" s="19">
        <v>95761</v>
      </c>
      <c r="C4757" s="20" t="s">
        <v>4860</v>
      </c>
      <c r="D4757" s="19" t="s">
        <v>31</v>
      </c>
      <c r="E4757" s="21">
        <f t="shared" si="221"/>
        <v>15.970000000000001</v>
      </c>
      <c r="F4757" s="22">
        <v>5.0000000000000003e-002</v>
      </c>
      <c r="G4757" s="21">
        <f t="shared" si="222"/>
        <v>15.43</v>
      </c>
      <c r="H4757" s="22">
        <v>5.0000000000000003e-002</v>
      </c>
      <c r="I4757" s="23" t="str">
        <f t="shared" si="223"/>
        <v xml:space="preserve">COM VALOR</v>
      </c>
      <c r="J4757" s="19"/>
      <c r="L4757" s="21">
        <v>15.970000000000001</v>
      </c>
      <c r="M4757" s="22">
        <v>0</v>
      </c>
      <c r="N4757" s="21">
        <v>15.43</v>
      </c>
      <c r="O4757" s="22">
        <v>0</v>
      </c>
    </row>
    <row r="4758" ht="25.5">
      <c r="A4758" t="s">
        <v>4799</v>
      </c>
      <c r="B4758" s="19">
        <v>95763</v>
      </c>
      <c r="C4758" s="20" t="s">
        <v>4861</v>
      </c>
      <c r="D4758" s="19" t="s">
        <v>31</v>
      </c>
      <c r="E4758" s="21">
        <f t="shared" si="221"/>
        <v>18.059999999999999</v>
      </c>
      <c r="F4758" s="22">
        <v>7.0000000000000007e-002</v>
      </c>
      <c r="G4758" s="21">
        <f t="shared" si="222"/>
        <v>17.5</v>
      </c>
      <c r="H4758" s="22">
        <v>7.0000000000000007e-002</v>
      </c>
      <c r="I4758" s="23" t="str">
        <f t="shared" si="223"/>
        <v xml:space="preserve">COM VALOR</v>
      </c>
      <c r="J4758" s="19"/>
      <c r="L4758" s="21">
        <v>18.059999999999999</v>
      </c>
      <c r="M4758" s="22">
        <v>0</v>
      </c>
      <c r="N4758" s="21">
        <v>17.5</v>
      </c>
      <c r="O4758" s="22">
        <v>0</v>
      </c>
    </row>
    <row r="4759" ht="25.5">
      <c r="A4759" t="s">
        <v>4799</v>
      </c>
      <c r="B4759" s="19">
        <v>95765</v>
      </c>
      <c r="C4759" s="20" t="s">
        <v>4862</v>
      </c>
      <c r="D4759" s="19" t="s">
        <v>31</v>
      </c>
      <c r="E4759" s="21" t="str">
        <f t="shared" si="221"/>
        <v>VERIFICAR</v>
      </c>
      <c r="F4759" s="22">
        <v>5.0000000000000003e-002</v>
      </c>
      <c r="G4759" s="21" t="str">
        <f t="shared" si="222"/>
        <v>VERIFICAR</v>
      </c>
      <c r="H4759" s="22">
        <v>5.0000000000000003e-002</v>
      </c>
      <c r="I4759" s="23" t="str">
        <f t="shared" si="223"/>
        <v xml:space="preserve">COM VALOR</v>
      </c>
      <c r="J4759" s="19"/>
      <c r="L4759" s="21">
        <v>0</v>
      </c>
      <c r="M4759" s="22"/>
      <c r="N4759" s="21">
        <v>0</v>
      </c>
      <c r="O4759" s="22"/>
    </row>
    <row r="4760" ht="25.5">
      <c r="A4760" t="s">
        <v>4799</v>
      </c>
      <c r="B4760" s="19">
        <v>95767</v>
      </c>
      <c r="C4760" s="20" t="s">
        <v>4863</v>
      </c>
      <c r="D4760" s="19" t="s">
        <v>31</v>
      </c>
      <c r="E4760" s="21">
        <f t="shared" si="221"/>
        <v>33.57</v>
      </c>
      <c r="F4760" s="22">
        <v>5.9999999999999998e-002</v>
      </c>
      <c r="G4760" s="21">
        <f t="shared" si="222"/>
        <v>32.920000000000002</v>
      </c>
      <c r="H4760" s="22">
        <v>5.9999999999999998e-002</v>
      </c>
      <c r="I4760" s="23" t="str">
        <f t="shared" si="223"/>
        <v xml:space="preserve">COM VALOR</v>
      </c>
      <c r="J4760" s="19"/>
      <c r="L4760" s="21">
        <v>33.57</v>
      </c>
      <c r="M4760" s="22">
        <v>0</v>
      </c>
      <c r="N4760" s="21">
        <v>32.920000000000002</v>
      </c>
      <c r="O4760" s="22">
        <v>0</v>
      </c>
    </row>
    <row r="4761" ht="25.5">
      <c r="A4761" t="s">
        <v>4799</v>
      </c>
      <c r="B4761" s="19">
        <v>95762</v>
      </c>
      <c r="C4761" s="20" t="s">
        <v>4864</v>
      </c>
      <c r="D4761" s="19" t="s">
        <v>31</v>
      </c>
      <c r="E4761" s="21">
        <f t="shared" si="221"/>
        <v>16.02</v>
      </c>
      <c r="F4761" s="22">
        <v>5.0000000000000003e-002</v>
      </c>
      <c r="G4761" s="21">
        <f t="shared" si="222"/>
        <v>15.48</v>
      </c>
      <c r="H4761" s="22">
        <v>5.0000000000000003e-002</v>
      </c>
      <c r="I4761" s="23" t="str">
        <f t="shared" si="223"/>
        <v xml:space="preserve">COM VALOR</v>
      </c>
      <c r="J4761" s="19"/>
      <c r="L4761" s="21">
        <v>16.02</v>
      </c>
      <c r="M4761" s="22">
        <v>0</v>
      </c>
      <c r="N4761" s="21">
        <v>15.48</v>
      </c>
      <c r="O4761" s="22">
        <v>0</v>
      </c>
    </row>
    <row r="4762" ht="25.5">
      <c r="A4762" t="s">
        <v>4799</v>
      </c>
      <c r="B4762" s="19">
        <v>95764</v>
      </c>
      <c r="C4762" s="20" t="s">
        <v>4865</v>
      </c>
      <c r="D4762" s="19" t="s">
        <v>31</v>
      </c>
      <c r="E4762" s="21">
        <f t="shared" si="221"/>
        <v>18.300000000000001</v>
      </c>
      <c r="F4762" s="22">
        <v>5.9999999999999998e-002</v>
      </c>
      <c r="G4762" s="21">
        <f t="shared" si="222"/>
        <v>17.739999999999998</v>
      </c>
      <c r="H4762" s="22">
        <v>5.9999999999999998e-002</v>
      </c>
      <c r="I4762" s="23" t="str">
        <f t="shared" si="223"/>
        <v xml:space="preserve">COM VALOR</v>
      </c>
      <c r="J4762" s="19"/>
      <c r="L4762" s="21">
        <v>18.300000000000001</v>
      </c>
      <c r="M4762" s="22">
        <v>0</v>
      </c>
      <c r="N4762" s="21">
        <v>17.739999999999998</v>
      </c>
      <c r="O4762" s="22">
        <v>0</v>
      </c>
    </row>
    <row r="4763" ht="25.5">
      <c r="A4763" t="s">
        <v>4799</v>
      </c>
      <c r="B4763" s="19">
        <v>95766</v>
      </c>
      <c r="C4763" s="20" t="s">
        <v>4866</v>
      </c>
      <c r="D4763" s="19" t="s">
        <v>31</v>
      </c>
      <c r="E4763" s="21">
        <f t="shared" si="221"/>
        <v>28.079999999999998</v>
      </c>
      <c r="F4763" s="22">
        <v>0</v>
      </c>
      <c r="G4763" s="21">
        <f t="shared" si="222"/>
        <v>27.48</v>
      </c>
      <c r="H4763" s="22">
        <v>0</v>
      </c>
      <c r="I4763" s="23" t="str">
        <f t="shared" si="223"/>
        <v xml:space="preserve">COM VALOR</v>
      </c>
      <c r="J4763" s="19"/>
      <c r="L4763" s="21">
        <v>28.079999999999998</v>
      </c>
      <c r="M4763" s="22">
        <v>0</v>
      </c>
      <c r="N4763" s="21">
        <v>27.48</v>
      </c>
      <c r="O4763" s="22">
        <v>0</v>
      </c>
    </row>
    <row r="4764" ht="25.5">
      <c r="A4764" t="s">
        <v>4799</v>
      </c>
      <c r="B4764" s="19">
        <v>95768</v>
      </c>
      <c r="C4764" s="20" t="s">
        <v>4867</v>
      </c>
      <c r="D4764" s="19" t="s">
        <v>31</v>
      </c>
      <c r="E4764" s="21">
        <f t="shared" si="221"/>
        <v>34.030000000000001</v>
      </c>
      <c r="F4764" s="22">
        <v>0</v>
      </c>
      <c r="G4764" s="21">
        <f t="shared" si="222"/>
        <v>33.380000000000003</v>
      </c>
      <c r="H4764" s="22">
        <v>0</v>
      </c>
      <c r="I4764" s="23" t="str">
        <f t="shared" si="223"/>
        <v xml:space="preserve">COM VALOR</v>
      </c>
      <c r="J4764" s="19"/>
      <c r="L4764" s="21">
        <v>34.030000000000001</v>
      </c>
      <c r="M4764" s="22">
        <v>0</v>
      </c>
      <c r="N4764" s="21">
        <v>33.380000000000003</v>
      </c>
      <c r="O4764" s="22">
        <v>0</v>
      </c>
    </row>
    <row r="4765" ht="25.5">
      <c r="A4765" t="s">
        <v>4799</v>
      </c>
      <c r="B4765" s="19">
        <v>95739</v>
      </c>
      <c r="C4765" s="20" t="s">
        <v>4868</v>
      </c>
      <c r="D4765" s="19" t="s">
        <v>31</v>
      </c>
      <c r="E4765" s="21" t="str">
        <f t="shared" si="221"/>
        <v>VERIFICAR</v>
      </c>
      <c r="F4765" s="22">
        <v>0</v>
      </c>
      <c r="G4765" s="21" t="str">
        <f t="shared" si="222"/>
        <v>VERIFICAR</v>
      </c>
      <c r="H4765" s="22">
        <v>0</v>
      </c>
      <c r="I4765" s="23" t="str">
        <f t="shared" si="223"/>
        <v xml:space="preserve">COM VALOR</v>
      </c>
      <c r="J4765" s="19"/>
      <c r="L4765" s="21">
        <v>0</v>
      </c>
      <c r="M4765" s="22"/>
      <c r="N4765" s="21">
        <v>0</v>
      </c>
      <c r="O4765" s="22"/>
    </row>
    <row r="4766" ht="25.5">
      <c r="A4766" t="s">
        <v>4799</v>
      </c>
      <c r="B4766" s="19">
        <v>95740</v>
      </c>
      <c r="C4766" s="20" t="s">
        <v>4869</v>
      </c>
      <c r="D4766" s="19" t="s">
        <v>31</v>
      </c>
      <c r="E4766" s="21" t="str">
        <f t="shared" si="221"/>
        <v>VERIFICAR</v>
      </c>
      <c r="F4766" s="22">
        <v>0</v>
      </c>
      <c r="G4766" s="21" t="str">
        <f t="shared" si="222"/>
        <v>VERIFICAR</v>
      </c>
      <c r="H4766" s="22">
        <v>0</v>
      </c>
      <c r="I4766" s="23" t="str">
        <f t="shared" si="223"/>
        <v xml:space="preserve">COM VALOR</v>
      </c>
      <c r="J4766" s="19"/>
      <c r="L4766" s="21">
        <v>0</v>
      </c>
      <c r="M4766" s="22"/>
      <c r="N4766" s="21">
        <v>0</v>
      </c>
      <c r="O4766" s="22"/>
    </row>
    <row r="4767" ht="25.5">
      <c r="A4767" t="s">
        <v>4799</v>
      </c>
      <c r="B4767" s="19">
        <v>95741</v>
      </c>
      <c r="C4767" s="20" t="s">
        <v>4870</v>
      </c>
      <c r="D4767" s="19" t="s">
        <v>31</v>
      </c>
      <c r="E4767" s="21" t="str">
        <f t="shared" si="221"/>
        <v>VERIFICAR</v>
      </c>
      <c r="F4767" s="22">
        <v>0</v>
      </c>
      <c r="G4767" s="21" t="str">
        <f t="shared" si="222"/>
        <v>VERIFICAR</v>
      </c>
      <c r="H4767" s="22">
        <v>0</v>
      </c>
      <c r="I4767" s="23" t="str">
        <f t="shared" si="223"/>
        <v xml:space="preserve">COM VALOR</v>
      </c>
      <c r="J4767" s="19"/>
      <c r="L4767" s="21">
        <v>0</v>
      </c>
      <c r="M4767" s="22"/>
      <c r="N4767" s="21">
        <v>0</v>
      </c>
      <c r="O4767" s="22"/>
    </row>
    <row r="4768" ht="25.5">
      <c r="A4768" t="s">
        <v>4799</v>
      </c>
      <c r="B4768" s="19">
        <v>106671</v>
      </c>
      <c r="C4768" s="20" t="s">
        <v>4871</v>
      </c>
      <c r="D4768" s="19" t="s">
        <v>38</v>
      </c>
      <c r="E4768" s="21">
        <f t="shared" si="221"/>
        <v>19.149999999999999</v>
      </c>
      <c r="F4768" s="22">
        <v>0</v>
      </c>
      <c r="G4768" s="21">
        <f t="shared" si="222"/>
        <v>19.039999999999999</v>
      </c>
      <c r="H4768" s="22">
        <v>0</v>
      </c>
      <c r="I4768" s="23" t="str">
        <f t="shared" si="223"/>
        <v xml:space="preserve">COM VALOR</v>
      </c>
      <c r="J4768" s="19"/>
      <c r="L4768" s="21">
        <v>19.149999999999999</v>
      </c>
      <c r="M4768" s="22">
        <v>0</v>
      </c>
      <c r="N4768" s="21">
        <v>19.039999999999999</v>
      </c>
      <c r="O4768" s="22">
        <v>0</v>
      </c>
    </row>
    <row r="4769" ht="25.5">
      <c r="A4769" t="s">
        <v>4799</v>
      </c>
      <c r="B4769" s="19">
        <v>106670</v>
      </c>
      <c r="C4769" s="20" t="s">
        <v>4872</v>
      </c>
      <c r="D4769" s="19" t="s">
        <v>38</v>
      </c>
      <c r="E4769" s="21">
        <f t="shared" si="221"/>
        <v>13.1</v>
      </c>
      <c r="F4769" s="22">
        <v>0</v>
      </c>
      <c r="G4769" s="21">
        <f t="shared" si="222"/>
        <v>13</v>
      </c>
      <c r="H4769" s="22">
        <v>0</v>
      </c>
      <c r="I4769" s="23" t="str">
        <f t="shared" si="223"/>
        <v xml:space="preserve">COM VALOR</v>
      </c>
      <c r="J4769" s="19"/>
      <c r="L4769" s="21">
        <v>13.1</v>
      </c>
      <c r="M4769" s="22">
        <v>0</v>
      </c>
      <c r="N4769" s="21">
        <v>13</v>
      </c>
      <c r="O4769" s="22">
        <v>0</v>
      </c>
    </row>
    <row r="4770" ht="25.5">
      <c r="A4770" t="s">
        <v>4799</v>
      </c>
      <c r="B4770" s="19">
        <v>106669</v>
      </c>
      <c r="C4770" s="20" t="s">
        <v>4873</v>
      </c>
      <c r="D4770" s="19" t="s">
        <v>38</v>
      </c>
      <c r="E4770" s="21">
        <f t="shared" si="221"/>
        <v>10.220000000000001</v>
      </c>
      <c r="F4770" s="22">
        <v>0</v>
      </c>
      <c r="G4770" s="21">
        <f t="shared" si="222"/>
        <v>10.140000000000001</v>
      </c>
      <c r="H4770" s="22">
        <v>0</v>
      </c>
      <c r="I4770" s="23" t="str">
        <f t="shared" si="223"/>
        <v xml:space="preserve">COM VALOR</v>
      </c>
      <c r="J4770" s="19"/>
      <c r="L4770" s="21">
        <v>10.220000000000001</v>
      </c>
      <c r="M4770" s="22">
        <v>0</v>
      </c>
      <c r="N4770" s="21">
        <v>10.140000000000001</v>
      </c>
      <c r="O4770" s="22">
        <v>0</v>
      </c>
    </row>
    <row r="4771" ht="25.5">
      <c r="A4771" t="s">
        <v>4799</v>
      </c>
      <c r="B4771" s="19">
        <v>95726</v>
      </c>
      <c r="C4771" s="20" t="s">
        <v>4874</v>
      </c>
      <c r="D4771" s="19" t="s">
        <v>38</v>
      </c>
      <c r="E4771" s="21">
        <f t="shared" si="221"/>
        <v>17.780000000000001</v>
      </c>
      <c r="F4771" s="22"/>
      <c r="G4771" s="21">
        <f t="shared" si="222"/>
        <v>17.170000000000002</v>
      </c>
      <c r="H4771" s="22"/>
      <c r="I4771" s="23" t="str">
        <f t="shared" si="223"/>
        <v xml:space="preserve">COM VALOR</v>
      </c>
      <c r="J4771" s="19"/>
      <c r="L4771" s="21">
        <v>17.780000000000001</v>
      </c>
      <c r="M4771" s="22">
        <v>0</v>
      </c>
      <c r="N4771" s="21">
        <v>17.170000000000002</v>
      </c>
      <c r="O4771" s="22">
        <v>0</v>
      </c>
    </row>
    <row r="4772" ht="25.5">
      <c r="A4772" t="s">
        <v>4799</v>
      </c>
      <c r="B4772" s="19">
        <v>95727</v>
      </c>
      <c r="C4772" s="20" t="s">
        <v>4875</v>
      </c>
      <c r="D4772" s="19" t="s">
        <v>38</v>
      </c>
      <c r="E4772" s="21">
        <f t="shared" si="221"/>
        <v>18.870000000000001</v>
      </c>
      <c r="F4772" s="22"/>
      <c r="G4772" s="21">
        <f t="shared" si="222"/>
        <v>18.23</v>
      </c>
      <c r="H4772" s="22"/>
      <c r="I4772" s="23" t="str">
        <f t="shared" si="223"/>
        <v xml:space="preserve">COM VALOR</v>
      </c>
      <c r="J4772" s="19"/>
      <c r="L4772" s="21">
        <v>18.870000000000001</v>
      </c>
      <c r="M4772" s="22">
        <v>0</v>
      </c>
      <c r="N4772" s="21">
        <v>18.23</v>
      </c>
      <c r="O4772" s="22">
        <v>0</v>
      </c>
    </row>
    <row r="4773" ht="25.5">
      <c r="A4773" t="s">
        <v>4799</v>
      </c>
      <c r="B4773" s="19">
        <v>95728</v>
      </c>
      <c r="C4773" s="20" t="s">
        <v>4876</v>
      </c>
      <c r="D4773" s="19" t="s">
        <v>38</v>
      </c>
      <c r="E4773" s="21">
        <f t="shared" si="221"/>
        <v>21.210000000000001</v>
      </c>
      <c r="F4773" s="22"/>
      <c r="G4773" s="21">
        <f t="shared" si="222"/>
        <v>20.52</v>
      </c>
      <c r="H4773" s="22"/>
      <c r="I4773" s="23" t="str">
        <f t="shared" si="223"/>
        <v xml:space="preserve">COM VALOR</v>
      </c>
      <c r="J4773" s="19"/>
      <c r="L4773" s="21">
        <v>21.210000000000001</v>
      </c>
      <c r="M4773" s="22">
        <v>0</v>
      </c>
      <c r="N4773" s="21">
        <v>20.52</v>
      </c>
      <c r="O4773" s="22">
        <v>0</v>
      </c>
    </row>
    <row r="4774" ht="25.5">
      <c r="A4774" t="s">
        <v>4799</v>
      </c>
      <c r="B4774" s="19">
        <v>104409</v>
      </c>
      <c r="C4774" s="20" t="s">
        <v>4877</v>
      </c>
      <c r="D4774" s="19" t="s">
        <v>38</v>
      </c>
      <c r="E4774" s="21" t="str">
        <f t="shared" si="221"/>
        <v>VERIFICAR</v>
      </c>
      <c r="F4774" s="22">
        <v>2.9999999999999999e-002</v>
      </c>
      <c r="G4774" s="21" t="str">
        <f t="shared" si="222"/>
        <v>VERIFICAR</v>
      </c>
      <c r="H4774" s="22">
        <v>2.9999999999999999e-002</v>
      </c>
      <c r="I4774" s="23" t="str">
        <f t="shared" si="223"/>
        <v xml:space="preserve">COM VALOR</v>
      </c>
      <c r="J4774" s="19"/>
      <c r="L4774" s="21">
        <v>0</v>
      </c>
      <c r="M4774" s="22"/>
      <c r="N4774" s="21">
        <v>0</v>
      </c>
      <c r="O4774" s="22"/>
    </row>
    <row r="4775" ht="25.5">
      <c r="A4775" t="s">
        <v>4799</v>
      </c>
      <c r="B4775" s="19">
        <v>104408</v>
      </c>
      <c r="C4775" s="20" t="s">
        <v>4878</v>
      </c>
      <c r="D4775" s="19" t="s">
        <v>38</v>
      </c>
      <c r="E4775" s="21" t="str">
        <f t="shared" si="221"/>
        <v>VERIFICAR</v>
      </c>
      <c r="F4775" s="22">
        <v>2.9999999999999999e-002</v>
      </c>
      <c r="G4775" s="21" t="str">
        <f t="shared" si="222"/>
        <v>VERIFICAR</v>
      </c>
      <c r="H4775" s="22">
        <v>2.9999999999999999e-002</v>
      </c>
      <c r="I4775" s="23" t="str">
        <f t="shared" si="223"/>
        <v xml:space="preserve">COM VALOR</v>
      </c>
      <c r="J4775" s="19"/>
      <c r="L4775" s="21">
        <v>0</v>
      </c>
      <c r="M4775" s="22"/>
      <c r="N4775" s="21">
        <v>0</v>
      </c>
      <c r="O4775" s="22"/>
    </row>
    <row r="4776" ht="25.5">
      <c r="A4776" t="s">
        <v>4799</v>
      </c>
      <c r="B4776" s="19">
        <v>104407</v>
      </c>
      <c r="C4776" s="20" t="s">
        <v>4879</v>
      </c>
      <c r="D4776" s="19" t="s">
        <v>38</v>
      </c>
      <c r="E4776" s="21" t="str">
        <f t="shared" si="221"/>
        <v>VERIFICAR</v>
      </c>
      <c r="F4776" s="22">
        <v>2.9999999999999999e-002</v>
      </c>
      <c r="G4776" s="21" t="str">
        <f t="shared" si="222"/>
        <v>VERIFICAR</v>
      </c>
      <c r="H4776" s="22">
        <v>2.9999999999999999e-002</v>
      </c>
      <c r="I4776" s="23" t="str">
        <f t="shared" si="223"/>
        <v xml:space="preserve">COM VALOR</v>
      </c>
      <c r="J4776" s="19"/>
      <c r="L4776" s="21">
        <v>0</v>
      </c>
      <c r="M4776" s="22"/>
      <c r="N4776" s="21">
        <v>0</v>
      </c>
      <c r="O4776" s="22"/>
    </row>
    <row r="4777" ht="25.5">
      <c r="A4777" t="s">
        <v>4799</v>
      </c>
      <c r="B4777" s="19">
        <v>104406</v>
      </c>
      <c r="C4777" s="20" t="s">
        <v>4880</v>
      </c>
      <c r="D4777" s="19" t="s">
        <v>38</v>
      </c>
      <c r="E4777" s="21" t="str">
        <f t="shared" si="221"/>
        <v>VERIFICAR</v>
      </c>
      <c r="F4777" s="22">
        <v>2.e-002</v>
      </c>
      <c r="G4777" s="21" t="str">
        <f t="shared" si="222"/>
        <v>VERIFICAR</v>
      </c>
      <c r="H4777" s="22">
        <v>2.9999999999999999e-002</v>
      </c>
      <c r="I4777" s="23" t="str">
        <f t="shared" si="223"/>
        <v xml:space="preserve">COM VALOR</v>
      </c>
      <c r="J4777" s="19"/>
      <c r="L4777" s="21">
        <v>0</v>
      </c>
      <c r="M4777" s="22"/>
      <c r="N4777" s="21">
        <v>0</v>
      </c>
      <c r="O4777" s="22"/>
    </row>
    <row r="4778" ht="25.5">
      <c r="A4778" t="s">
        <v>4799</v>
      </c>
      <c r="B4778" s="19">
        <v>104452</v>
      </c>
      <c r="C4778" s="20" t="s">
        <v>4881</v>
      </c>
      <c r="D4778" s="19" t="s">
        <v>31</v>
      </c>
      <c r="E4778" s="21">
        <f t="shared" si="221"/>
        <v>7.6900000000000004</v>
      </c>
      <c r="F4778" s="22">
        <v>2.9999999999999999e-002</v>
      </c>
      <c r="G4778" s="21">
        <f t="shared" si="222"/>
        <v>7.3300000000000001</v>
      </c>
      <c r="H4778" s="22">
        <v>2.9999999999999999e-002</v>
      </c>
      <c r="I4778" s="23" t="str">
        <f t="shared" si="223"/>
        <v xml:space="preserve">COM VALOR</v>
      </c>
      <c r="J4778" s="19"/>
      <c r="L4778" s="21">
        <v>7.6900000000000004</v>
      </c>
      <c r="M4778" s="22">
        <v>0</v>
      </c>
      <c r="N4778" s="21">
        <v>7.3300000000000001</v>
      </c>
      <c r="O4778" s="22">
        <v>0</v>
      </c>
    </row>
    <row r="4779" ht="25.5">
      <c r="A4779" t="s">
        <v>4799</v>
      </c>
      <c r="B4779" s="19">
        <v>104448</v>
      </c>
      <c r="C4779" s="20" t="s">
        <v>4882</v>
      </c>
      <c r="D4779" s="19" t="s">
        <v>31</v>
      </c>
      <c r="E4779" s="21">
        <f t="shared" si="221"/>
        <v>8.2400000000000002</v>
      </c>
      <c r="F4779" s="22">
        <v>2.9999999999999999e-002</v>
      </c>
      <c r="G4779" s="21">
        <f t="shared" si="222"/>
        <v>7.8600000000000003</v>
      </c>
      <c r="H4779" s="22">
        <v>2.9999999999999999e-002</v>
      </c>
      <c r="I4779" s="23" t="str">
        <f t="shared" si="223"/>
        <v xml:space="preserve">COM VALOR</v>
      </c>
      <c r="J4779" s="19"/>
      <c r="L4779" s="21">
        <v>8.2400000000000002</v>
      </c>
      <c r="M4779" s="22">
        <v>0</v>
      </c>
      <c r="N4779" s="21">
        <v>7.8600000000000003</v>
      </c>
      <c r="O4779" s="22">
        <v>0</v>
      </c>
    </row>
    <row r="4780" ht="25.5">
      <c r="A4780" t="s">
        <v>4799</v>
      </c>
      <c r="B4780" s="19">
        <v>104449</v>
      </c>
      <c r="C4780" s="20" t="s">
        <v>4883</v>
      </c>
      <c r="D4780" s="19" t="s">
        <v>31</v>
      </c>
      <c r="E4780" s="21">
        <f t="shared" si="221"/>
        <v>9.9600000000000009</v>
      </c>
      <c r="F4780" s="22">
        <v>2.9999999999999999e-002</v>
      </c>
      <c r="G4780" s="21">
        <f t="shared" si="222"/>
        <v>9.5600000000000005</v>
      </c>
      <c r="H4780" s="22">
        <v>2.9999999999999999e-002</v>
      </c>
      <c r="I4780" s="23" t="str">
        <f t="shared" si="223"/>
        <v xml:space="preserve">COM VALOR</v>
      </c>
      <c r="J4780" s="19"/>
      <c r="L4780" s="21">
        <v>9.9600000000000009</v>
      </c>
      <c r="M4780" s="22">
        <v>0</v>
      </c>
      <c r="N4780" s="21">
        <v>9.5600000000000005</v>
      </c>
      <c r="O4780" s="22">
        <v>0</v>
      </c>
    </row>
    <row r="4781" ht="25.5">
      <c r="A4781" t="s">
        <v>4799</v>
      </c>
      <c r="B4781" s="19">
        <v>104450</v>
      </c>
      <c r="C4781" s="20" t="s">
        <v>4884</v>
      </c>
      <c r="D4781" s="19" t="s">
        <v>31</v>
      </c>
      <c r="E4781" s="21">
        <f t="shared" si="221"/>
        <v>11.779999999999999</v>
      </c>
      <c r="F4781" s="22">
        <v>2.e-002</v>
      </c>
      <c r="G4781" s="21">
        <f t="shared" si="222"/>
        <v>11.35</v>
      </c>
      <c r="H4781" s="22">
        <v>2.9999999999999999e-002</v>
      </c>
      <c r="I4781" s="23" t="str">
        <f t="shared" si="223"/>
        <v xml:space="preserve">COM VALOR</v>
      </c>
      <c r="J4781" s="19"/>
      <c r="L4781" s="21">
        <v>11.779999999999999</v>
      </c>
      <c r="M4781" s="22">
        <v>0</v>
      </c>
      <c r="N4781" s="21">
        <v>11.35</v>
      </c>
      <c r="O4781" s="22">
        <v>0</v>
      </c>
    </row>
    <row r="4782" ht="25.5">
      <c r="A4782" t="s">
        <v>4799</v>
      </c>
      <c r="B4782" s="19">
        <v>104445</v>
      </c>
      <c r="C4782" s="20" t="s">
        <v>4885</v>
      </c>
      <c r="D4782" s="19" t="s">
        <v>31</v>
      </c>
      <c r="E4782" s="21" t="str">
        <f t="shared" si="221"/>
        <v>VERIFICAR</v>
      </c>
      <c r="F4782" s="22">
        <v>4.0000000000000001e-002</v>
      </c>
      <c r="G4782" s="21" t="str">
        <f t="shared" si="222"/>
        <v>VERIFICAR</v>
      </c>
      <c r="H4782" s="22">
        <v>4.0000000000000001e-002</v>
      </c>
      <c r="I4782" s="23" t="str">
        <f t="shared" si="223"/>
        <v xml:space="preserve">COM VALOR</v>
      </c>
      <c r="J4782" s="19"/>
      <c r="L4782" s="21">
        <v>0</v>
      </c>
      <c r="M4782" s="22"/>
      <c r="N4782" s="21">
        <v>0</v>
      </c>
      <c r="O4782" s="22"/>
    </row>
    <row r="4783" ht="25.5">
      <c r="A4783" t="s">
        <v>4799</v>
      </c>
      <c r="B4783" s="19">
        <v>104446</v>
      </c>
      <c r="C4783" s="20" t="s">
        <v>4886</v>
      </c>
      <c r="D4783" s="19" t="s">
        <v>31</v>
      </c>
      <c r="E4783" s="21" t="str">
        <f t="shared" si="221"/>
        <v>VERIFICAR</v>
      </c>
      <c r="F4783" s="22">
        <v>2.9999999999999999e-002</v>
      </c>
      <c r="G4783" s="21" t="str">
        <f t="shared" si="222"/>
        <v>VERIFICAR</v>
      </c>
      <c r="H4783" s="22">
        <v>2.9999999999999999e-002</v>
      </c>
      <c r="I4783" s="23" t="str">
        <f t="shared" si="223"/>
        <v xml:space="preserve">COM VALOR</v>
      </c>
      <c r="J4783" s="19"/>
      <c r="L4783" s="21">
        <v>0</v>
      </c>
      <c r="M4783" s="22"/>
      <c r="N4783" s="21">
        <v>0</v>
      </c>
      <c r="O4783" s="22"/>
    </row>
    <row r="4784" ht="25.5">
      <c r="A4784" t="s">
        <v>4799</v>
      </c>
      <c r="B4784" s="19">
        <v>104447</v>
      </c>
      <c r="C4784" s="20" t="s">
        <v>4887</v>
      </c>
      <c r="D4784" s="19" t="s">
        <v>31</v>
      </c>
      <c r="E4784" s="21" t="str">
        <f t="shared" si="221"/>
        <v>VERIFICAR</v>
      </c>
      <c r="F4784" s="22">
        <v>2.9999999999999999e-002</v>
      </c>
      <c r="G4784" s="21" t="str">
        <f t="shared" si="222"/>
        <v>VERIFICAR</v>
      </c>
      <c r="H4784" s="22">
        <v>2.9999999999999999e-002</v>
      </c>
      <c r="I4784" s="23" t="str">
        <f t="shared" si="223"/>
        <v xml:space="preserve">COM VALOR</v>
      </c>
      <c r="J4784" s="19"/>
      <c r="L4784" s="21">
        <v>0</v>
      </c>
      <c r="M4784" s="22"/>
      <c r="N4784" s="21">
        <v>0</v>
      </c>
      <c r="O4784" s="22"/>
    </row>
    <row r="4785" ht="38.25">
      <c r="A4785" t="s">
        <v>4888</v>
      </c>
      <c r="B4785" s="19">
        <v>101884</v>
      </c>
      <c r="C4785" s="20" t="s">
        <v>4889</v>
      </c>
      <c r="D4785" s="19" t="s">
        <v>38</v>
      </c>
      <c r="E4785" s="21">
        <f t="shared" si="221"/>
        <v>13.359999999999999</v>
      </c>
      <c r="F4785" s="22">
        <v>2.9999999999999999e-002</v>
      </c>
      <c r="G4785" s="21">
        <f t="shared" si="222"/>
        <v>13.35</v>
      </c>
      <c r="H4785" s="22">
        <v>2.9999999999999999e-002</v>
      </c>
      <c r="I4785" s="23" t="str">
        <f t="shared" si="223"/>
        <v xml:space="preserve">COM VALOR</v>
      </c>
      <c r="J4785" s="19"/>
      <c r="L4785" s="21">
        <v>13.359999999999999</v>
      </c>
      <c r="M4785" s="22">
        <v>0</v>
      </c>
      <c r="N4785" s="21">
        <v>13.35</v>
      </c>
      <c r="O4785" s="22">
        <v>0</v>
      </c>
    </row>
    <row r="4786" ht="38.25">
      <c r="A4786" t="s">
        <v>4888</v>
      </c>
      <c r="B4786" s="19">
        <v>101886</v>
      </c>
      <c r="C4786" s="20" t="s">
        <v>4890</v>
      </c>
      <c r="D4786" s="19" t="s">
        <v>38</v>
      </c>
      <c r="E4786" s="21">
        <f t="shared" si="221"/>
        <v>19.149999999999999</v>
      </c>
      <c r="F4786" s="22">
        <v>4.0000000000000001e-002</v>
      </c>
      <c r="G4786" s="21">
        <f t="shared" si="222"/>
        <v>19.140000000000001</v>
      </c>
      <c r="H4786" s="22">
        <v>4.0000000000000001e-002</v>
      </c>
      <c r="I4786" s="23" t="str">
        <f t="shared" si="223"/>
        <v xml:space="preserve">COM VALOR</v>
      </c>
      <c r="J4786" s="19"/>
      <c r="L4786" s="21">
        <v>19.149999999999999</v>
      </c>
      <c r="M4786" s="22">
        <v>0</v>
      </c>
      <c r="N4786" s="21">
        <v>19.140000000000001</v>
      </c>
      <c r="O4786" s="22">
        <v>0</v>
      </c>
    </row>
    <row r="4787" ht="38.25">
      <c r="A4787" t="s">
        <v>4888</v>
      </c>
      <c r="B4787" s="19">
        <v>101888</v>
      </c>
      <c r="C4787" s="20" t="s">
        <v>4891</v>
      </c>
      <c r="D4787" s="19" t="s">
        <v>38</v>
      </c>
      <c r="E4787" s="21">
        <f t="shared" si="221"/>
        <v>30.5</v>
      </c>
      <c r="F4787" s="22">
        <v>2.9999999999999999e-002</v>
      </c>
      <c r="G4787" s="21">
        <f t="shared" si="222"/>
        <v>30.440000000000001</v>
      </c>
      <c r="H4787" s="22">
        <v>2.9999999999999999e-002</v>
      </c>
      <c r="I4787" s="23" t="str">
        <f t="shared" si="223"/>
        <v xml:space="preserve">COM VALOR</v>
      </c>
      <c r="J4787" s="19"/>
      <c r="L4787" s="21">
        <v>30.5</v>
      </c>
      <c r="M4787" s="22">
        <v>0</v>
      </c>
      <c r="N4787" s="21">
        <v>30.440000000000001</v>
      </c>
      <c r="O4787" s="22">
        <v>0</v>
      </c>
    </row>
    <row r="4788" ht="25.5">
      <c r="A4788" t="s">
        <v>4888</v>
      </c>
      <c r="B4788" s="19">
        <v>101938</v>
      </c>
      <c r="C4788" s="20" t="s">
        <v>4892</v>
      </c>
      <c r="D4788" s="19" t="s">
        <v>31</v>
      </c>
      <c r="E4788" s="21">
        <f t="shared" si="221"/>
        <v>148.56999999999999</v>
      </c>
      <c r="F4788" s="22">
        <v>2.9999999999999999e-002</v>
      </c>
      <c r="G4788" s="21">
        <f t="shared" si="222"/>
        <v>144.97</v>
      </c>
      <c r="H4788" s="22">
        <v>2.9999999999999999e-002</v>
      </c>
      <c r="I4788" s="23" t="str">
        <f t="shared" si="223"/>
        <v xml:space="preserve">COM VALOR</v>
      </c>
      <c r="J4788" s="19"/>
      <c r="L4788" s="21">
        <v>148.56999999999999</v>
      </c>
      <c r="M4788" s="22">
        <v>0</v>
      </c>
      <c r="N4788" s="21">
        <v>144.97</v>
      </c>
      <c r="O4788" s="22">
        <v>0</v>
      </c>
    </row>
    <row r="4789" ht="25.5">
      <c r="A4789" t="s">
        <v>4888</v>
      </c>
      <c r="B4789" s="19">
        <v>101904</v>
      </c>
      <c r="C4789" s="20" t="s">
        <v>4893</v>
      </c>
      <c r="D4789" s="19" t="s">
        <v>31</v>
      </c>
      <c r="E4789" s="21">
        <f t="shared" si="221"/>
        <v>1900.73</v>
      </c>
      <c r="F4789" s="22">
        <v>2.9999999999999999e-002</v>
      </c>
      <c r="G4789" s="21">
        <f t="shared" si="222"/>
        <v>1898.46</v>
      </c>
      <c r="H4789" s="22">
        <v>2.9999999999999999e-002</v>
      </c>
      <c r="I4789" s="23" t="str">
        <f t="shared" si="223"/>
        <v xml:space="preserve">COM VALOR</v>
      </c>
      <c r="J4789" s="19"/>
      <c r="L4789" s="21">
        <v>1900.73</v>
      </c>
      <c r="M4789" s="22">
        <v>0</v>
      </c>
      <c r="N4789" s="21">
        <v>1898.46</v>
      </c>
      <c r="O4789" s="22">
        <v>0</v>
      </c>
    </row>
    <row r="4790" ht="25.5">
      <c r="A4790" t="s">
        <v>4888</v>
      </c>
      <c r="B4790" s="19">
        <v>101901</v>
      </c>
      <c r="C4790" s="20" t="s">
        <v>4894</v>
      </c>
      <c r="D4790" s="19" t="s">
        <v>31</v>
      </c>
      <c r="E4790" s="21">
        <f t="shared" si="221"/>
        <v>197.47999999999999</v>
      </c>
      <c r="F4790" s="22">
        <v>0.14999999999999999</v>
      </c>
      <c r="G4790" s="21">
        <f t="shared" si="222"/>
        <v>197.15000000000001</v>
      </c>
      <c r="H4790" s="22">
        <v>0.14999999999999999</v>
      </c>
      <c r="I4790" s="23" t="str">
        <f t="shared" si="223"/>
        <v xml:space="preserve">COM VALOR</v>
      </c>
      <c r="J4790" s="19"/>
      <c r="L4790" s="21">
        <v>197.47999999999999</v>
      </c>
      <c r="M4790" s="22">
        <v>0</v>
      </c>
      <c r="N4790" s="21">
        <v>197.15000000000001</v>
      </c>
      <c r="O4790" s="22">
        <v>0</v>
      </c>
    </row>
    <row r="4791" ht="25.5">
      <c r="A4791" t="s">
        <v>4888</v>
      </c>
      <c r="B4791" s="19">
        <v>101902</v>
      </c>
      <c r="C4791" s="20" t="s">
        <v>4895</v>
      </c>
      <c r="D4791" s="19" t="s">
        <v>31</v>
      </c>
      <c r="E4791" s="21">
        <f t="shared" si="221"/>
        <v>242.93000000000001</v>
      </c>
      <c r="F4791" s="22">
        <v>0.14000000000000001</v>
      </c>
      <c r="G4791" s="21">
        <f t="shared" si="222"/>
        <v>242.5</v>
      </c>
      <c r="H4791" s="22">
        <v>0.14000000000000001</v>
      </c>
      <c r="I4791" s="23" t="str">
        <f t="shared" si="223"/>
        <v xml:space="preserve">COM VALOR</v>
      </c>
      <c r="J4791" s="19"/>
      <c r="L4791" s="21">
        <v>242.93000000000001</v>
      </c>
      <c r="M4791" s="22">
        <v>0</v>
      </c>
      <c r="N4791" s="21">
        <v>242.5</v>
      </c>
      <c r="O4791" s="22">
        <v>0</v>
      </c>
    </row>
    <row r="4792" ht="25.5">
      <c r="A4792" t="s">
        <v>4888</v>
      </c>
      <c r="B4792" s="19">
        <v>101903</v>
      </c>
      <c r="C4792" s="20" t="s">
        <v>4896</v>
      </c>
      <c r="D4792" s="19" t="s">
        <v>31</v>
      </c>
      <c r="E4792" s="21">
        <f t="shared" si="221"/>
        <v>506.66000000000003</v>
      </c>
      <c r="F4792" s="22">
        <v>0.13</v>
      </c>
      <c r="G4792" s="21">
        <f t="shared" si="222"/>
        <v>505.83999999999997</v>
      </c>
      <c r="H4792" s="22">
        <v>0.13</v>
      </c>
      <c r="I4792" s="23" t="str">
        <f t="shared" si="223"/>
        <v xml:space="preserve">COM VALOR</v>
      </c>
      <c r="J4792" s="19"/>
      <c r="L4792" s="21">
        <v>506.66000000000003</v>
      </c>
      <c r="M4792" s="22">
        <v>0</v>
      </c>
      <c r="N4792" s="21">
        <v>505.83999999999997</v>
      </c>
      <c r="O4792" s="22">
        <v>0</v>
      </c>
    </row>
    <row r="4793" ht="25.5">
      <c r="A4793" t="s">
        <v>4888</v>
      </c>
      <c r="B4793" s="19">
        <v>97414</v>
      </c>
      <c r="C4793" s="20" t="s">
        <v>4897</v>
      </c>
      <c r="D4793" s="19" t="s">
        <v>31</v>
      </c>
      <c r="E4793" s="21" t="str">
        <f t="shared" si="221"/>
        <v>VERIFICAR</v>
      </c>
      <c r="F4793" s="22">
        <v>0.12</v>
      </c>
      <c r="G4793" s="21" t="str">
        <f t="shared" si="222"/>
        <v>VERIFICAR</v>
      </c>
      <c r="H4793" s="22">
        <v>0.12</v>
      </c>
      <c r="I4793" s="23" t="str">
        <f t="shared" si="223"/>
        <v xml:space="preserve">COM VALOR</v>
      </c>
      <c r="J4793" s="19"/>
      <c r="L4793" s="21">
        <v>0</v>
      </c>
      <c r="M4793" s="22"/>
      <c r="N4793" s="21">
        <v>0</v>
      </c>
      <c r="O4793" s="22"/>
    </row>
    <row r="4794" ht="25.5">
      <c r="A4794" t="s">
        <v>4888</v>
      </c>
      <c r="B4794" s="19">
        <v>97415</v>
      </c>
      <c r="C4794" s="20" t="s">
        <v>4898</v>
      </c>
      <c r="D4794" s="19" t="s">
        <v>31</v>
      </c>
      <c r="E4794" s="21" t="str">
        <f t="shared" si="221"/>
        <v>VERIFICAR</v>
      </c>
      <c r="F4794" s="22">
        <v>2.9999999999999999e-002</v>
      </c>
      <c r="G4794" s="21" t="str">
        <f t="shared" si="222"/>
        <v>VERIFICAR</v>
      </c>
      <c r="H4794" s="22">
        <v>2.9999999999999999e-002</v>
      </c>
      <c r="I4794" s="23" t="str">
        <f t="shared" si="223"/>
        <v xml:space="preserve">COM VALOR</v>
      </c>
      <c r="J4794" s="19"/>
      <c r="L4794" s="21">
        <v>0</v>
      </c>
      <c r="M4794" s="22"/>
      <c r="N4794" s="21">
        <v>0</v>
      </c>
      <c r="O4794" s="22"/>
    </row>
    <row r="4795" ht="25.5">
      <c r="A4795" t="s">
        <v>4888</v>
      </c>
      <c r="B4795" s="19">
        <v>97416</v>
      </c>
      <c r="C4795" s="20" t="s">
        <v>4899</v>
      </c>
      <c r="D4795" s="19" t="s">
        <v>31</v>
      </c>
      <c r="E4795" s="21" t="str">
        <f t="shared" si="221"/>
        <v>VERIFICAR</v>
      </c>
      <c r="F4795" s="22">
        <v>2.9999999999999999e-002</v>
      </c>
      <c r="G4795" s="21" t="str">
        <f t="shared" si="222"/>
        <v>VERIFICAR</v>
      </c>
      <c r="H4795" s="22">
        <v>2.9999999999999999e-002</v>
      </c>
      <c r="I4795" s="23" t="str">
        <f t="shared" si="223"/>
        <v xml:space="preserve">COM VALOR</v>
      </c>
      <c r="J4795" s="19"/>
      <c r="L4795" s="21">
        <v>0</v>
      </c>
      <c r="M4795" s="22"/>
      <c r="N4795" s="21">
        <v>0</v>
      </c>
      <c r="O4795" s="22"/>
    </row>
    <row r="4796" ht="25.5">
      <c r="A4796" t="s">
        <v>4888</v>
      </c>
      <c r="B4796" s="19">
        <v>97417</v>
      </c>
      <c r="C4796" s="20" t="s">
        <v>4900</v>
      </c>
      <c r="D4796" s="19" t="s">
        <v>31</v>
      </c>
      <c r="E4796" s="21" t="str">
        <f t="shared" si="221"/>
        <v>VERIFICAR</v>
      </c>
      <c r="F4796" s="22">
        <v>2.9999999999999999e-002</v>
      </c>
      <c r="G4796" s="21" t="str">
        <f t="shared" si="222"/>
        <v>VERIFICAR</v>
      </c>
      <c r="H4796" s="22">
        <v>2.9999999999999999e-002</v>
      </c>
      <c r="I4796" s="23" t="str">
        <f t="shared" si="223"/>
        <v xml:space="preserve">COM VALOR</v>
      </c>
      <c r="J4796" s="19"/>
      <c r="L4796" s="21">
        <v>0</v>
      </c>
      <c r="M4796" s="22"/>
      <c r="N4796" s="21">
        <v>0</v>
      </c>
      <c r="O4796" s="22"/>
    </row>
    <row r="4797" ht="25.5">
      <c r="A4797" t="s">
        <v>4888</v>
      </c>
      <c r="B4797" s="19">
        <v>97418</v>
      </c>
      <c r="C4797" s="20" t="s">
        <v>4901</v>
      </c>
      <c r="D4797" s="19" t="s">
        <v>31</v>
      </c>
      <c r="E4797" s="21" t="str">
        <f t="shared" si="221"/>
        <v>VERIFICAR</v>
      </c>
      <c r="F4797" s="22">
        <v>2.e-002</v>
      </c>
      <c r="G4797" s="21" t="str">
        <f t="shared" si="222"/>
        <v>VERIFICAR</v>
      </c>
      <c r="H4797" s="22">
        <v>2.e-002</v>
      </c>
      <c r="I4797" s="23" t="str">
        <f t="shared" si="223"/>
        <v xml:space="preserve">COM VALOR</v>
      </c>
      <c r="J4797" s="19"/>
      <c r="L4797" s="21">
        <v>0</v>
      </c>
      <c r="M4797" s="22"/>
      <c r="N4797" s="21">
        <v>0</v>
      </c>
      <c r="O4797" s="22"/>
    </row>
    <row r="4798" ht="25.5">
      <c r="A4798" t="s">
        <v>4888</v>
      </c>
      <c r="B4798" s="19">
        <v>97409</v>
      </c>
      <c r="C4798" s="20" t="s">
        <v>4902</v>
      </c>
      <c r="D4798" s="19" t="s">
        <v>31</v>
      </c>
      <c r="E4798" s="21" t="str">
        <f t="shared" si="221"/>
        <v>VERIFICAR</v>
      </c>
      <c r="F4798" s="22">
        <v>0</v>
      </c>
      <c r="G4798" s="21" t="str">
        <f t="shared" si="222"/>
        <v>VERIFICAR</v>
      </c>
      <c r="H4798" s="22">
        <v>0</v>
      </c>
      <c r="I4798" s="23" t="str">
        <f t="shared" si="223"/>
        <v xml:space="preserve">COM VALOR</v>
      </c>
      <c r="J4798" s="19"/>
      <c r="L4798" s="21">
        <v>0</v>
      </c>
      <c r="M4798" s="22"/>
      <c r="N4798" s="21">
        <v>0</v>
      </c>
      <c r="O4798" s="22"/>
    </row>
    <row r="4799" ht="25.5">
      <c r="A4799" t="s">
        <v>4888</v>
      </c>
      <c r="B4799" s="19">
        <v>97410</v>
      </c>
      <c r="C4799" s="20" t="s">
        <v>4903</v>
      </c>
      <c r="D4799" s="19" t="s">
        <v>31</v>
      </c>
      <c r="E4799" s="21" t="str">
        <f t="shared" si="221"/>
        <v>VERIFICAR</v>
      </c>
      <c r="F4799" s="22">
        <v>0</v>
      </c>
      <c r="G4799" s="21" t="str">
        <f t="shared" si="222"/>
        <v>VERIFICAR</v>
      </c>
      <c r="H4799" s="22">
        <v>0</v>
      </c>
      <c r="I4799" s="23" t="str">
        <f t="shared" si="223"/>
        <v xml:space="preserve">COM VALOR</v>
      </c>
      <c r="J4799" s="19"/>
      <c r="L4799" s="21">
        <v>0</v>
      </c>
      <c r="M4799" s="22"/>
      <c r="N4799" s="21">
        <v>0</v>
      </c>
      <c r="O4799" s="22"/>
    </row>
    <row r="4800" ht="25.5">
      <c r="A4800" t="s">
        <v>4888</v>
      </c>
      <c r="B4800" s="19">
        <v>97411</v>
      </c>
      <c r="C4800" s="20" t="s">
        <v>4904</v>
      </c>
      <c r="D4800" s="19" t="s">
        <v>31</v>
      </c>
      <c r="E4800" s="21" t="str">
        <f t="shared" si="221"/>
        <v>VERIFICAR</v>
      </c>
      <c r="F4800" s="22">
        <v>0</v>
      </c>
      <c r="G4800" s="21" t="str">
        <f t="shared" si="222"/>
        <v>VERIFICAR</v>
      </c>
      <c r="H4800" s="22">
        <v>0</v>
      </c>
      <c r="I4800" s="23" t="str">
        <f t="shared" si="223"/>
        <v xml:space="preserve">COM VALOR</v>
      </c>
      <c r="J4800" s="19"/>
      <c r="L4800" s="21">
        <v>0</v>
      </c>
      <c r="M4800" s="22"/>
      <c r="N4800" s="21">
        <v>0</v>
      </c>
      <c r="O4800" s="22"/>
    </row>
    <row r="4801" ht="25.5">
      <c r="A4801" t="s">
        <v>4888</v>
      </c>
      <c r="B4801" s="19">
        <v>97412</v>
      </c>
      <c r="C4801" s="20" t="s">
        <v>4905</v>
      </c>
      <c r="D4801" s="19" t="s">
        <v>31</v>
      </c>
      <c r="E4801" s="21" t="str">
        <f t="shared" si="221"/>
        <v>VERIFICAR</v>
      </c>
      <c r="F4801" s="22">
        <v>0</v>
      </c>
      <c r="G4801" s="21" t="str">
        <f t="shared" si="222"/>
        <v>VERIFICAR</v>
      </c>
      <c r="H4801" s="22">
        <v>0</v>
      </c>
      <c r="I4801" s="23" t="str">
        <f t="shared" si="223"/>
        <v xml:space="preserve">COM VALOR</v>
      </c>
      <c r="J4801" s="19"/>
      <c r="L4801" s="21">
        <v>0</v>
      </c>
      <c r="M4801" s="22"/>
      <c r="N4801" s="21">
        <v>0</v>
      </c>
      <c r="O4801" s="22"/>
    </row>
    <row r="4802" ht="25.5">
      <c r="A4802" t="s">
        <v>4888</v>
      </c>
      <c r="B4802" s="19">
        <v>97413</v>
      </c>
      <c r="C4802" s="20" t="s">
        <v>4906</v>
      </c>
      <c r="D4802" s="19" t="s">
        <v>31</v>
      </c>
      <c r="E4802" s="21" t="str">
        <f t="shared" si="221"/>
        <v>VERIFICAR</v>
      </c>
      <c r="F4802" s="22">
        <v>0</v>
      </c>
      <c r="G4802" s="21" t="str">
        <f t="shared" si="222"/>
        <v>VERIFICAR</v>
      </c>
      <c r="H4802" s="22">
        <v>0</v>
      </c>
      <c r="I4802" s="23" t="str">
        <f t="shared" si="223"/>
        <v xml:space="preserve">COM VALOR</v>
      </c>
      <c r="J4802" s="19"/>
      <c r="L4802" s="21">
        <v>0</v>
      </c>
      <c r="M4802" s="22"/>
      <c r="N4802" s="21">
        <v>0</v>
      </c>
      <c r="O4802" s="22"/>
    </row>
    <row r="4803" ht="25.5">
      <c r="A4803" t="s">
        <v>4888</v>
      </c>
      <c r="B4803" s="19">
        <v>101900</v>
      </c>
      <c r="C4803" s="20" t="s">
        <v>4907</v>
      </c>
      <c r="D4803" s="19" t="s">
        <v>31</v>
      </c>
      <c r="E4803" s="21">
        <f t="shared" si="221"/>
        <v>4680.71</v>
      </c>
      <c r="F4803" s="22">
        <v>0</v>
      </c>
      <c r="G4803" s="21">
        <f t="shared" si="222"/>
        <v>4676.9099999999999</v>
      </c>
      <c r="H4803" s="22">
        <v>0</v>
      </c>
      <c r="I4803" s="23" t="str">
        <f t="shared" si="223"/>
        <v xml:space="preserve">COM VALOR</v>
      </c>
      <c r="J4803" s="19"/>
      <c r="L4803" s="21">
        <v>4680.71</v>
      </c>
      <c r="M4803" s="22">
        <v>0</v>
      </c>
      <c r="N4803" s="21">
        <v>4676.9099999999999</v>
      </c>
      <c r="O4803" s="22">
        <v>0</v>
      </c>
    </row>
    <row r="4804" ht="12.75">
      <c r="A4804" t="s">
        <v>4888</v>
      </c>
      <c r="B4804" s="19">
        <v>106030</v>
      </c>
      <c r="C4804" s="20" t="s">
        <v>4908</v>
      </c>
      <c r="D4804" s="19" t="s">
        <v>31</v>
      </c>
      <c r="E4804" s="21">
        <f t="shared" si="221"/>
        <v>178.86000000000001</v>
      </c>
      <c r="F4804" s="22">
        <v>0</v>
      </c>
      <c r="G4804" s="21">
        <f t="shared" si="222"/>
        <v>177.77000000000001</v>
      </c>
      <c r="H4804" s="22">
        <v>0</v>
      </c>
      <c r="I4804" s="23" t="str">
        <f t="shared" si="223"/>
        <v xml:space="preserve">COM VALOR</v>
      </c>
      <c r="J4804" s="19"/>
      <c r="L4804" s="21">
        <v>178.86000000000001</v>
      </c>
      <c r="M4804" s="22">
        <v>0</v>
      </c>
      <c r="N4804" s="21">
        <v>177.77000000000001</v>
      </c>
      <c r="O4804" s="22">
        <v>0</v>
      </c>
    </row>
    <row r="4805" ht="25.5">
      <c r="A4805" t="s">
        <v>4888</v>
      </c>
      <c r="B4805" s="19">
        <v>93660</v>
      </c>
      <c r="C4805" s="20" t="s">
        <v>4909</v>
      </c>
      <c r="D4805" s="19" t="s">
        <v>31</v>
      </c>
      <c r="E4805" s="21">
        <f t="shared" si="221"/>
        <v>59.090000000000003</v>
      </c>
      <c r="F4805" s="22">
        <v>0</v>
      </c>
      <c r="G4805" s="21">
        <f t="shared" si="222"/>
        <v>58.869999999999997</v>
      </c>
      <c r="H4805" s="22">
        <v>0</v>
      </c>
      <c r="I4805" s="23" t="str">
        <f t="shared" si="223"/>
        <v xml:space="preserve">COM VALOR</v>
      </c>
      <c r="J4805" s="19"/>
      <c r="L4805" s="21">
        <v>59.090000000000003</v>
      </c>
      <c r="M4805" s="22">
        <v>0</v>
      </c>
      <c r="N4805" s="21">
        <v>58.869999999999997</v>
      </c>
      <c r="O4805" s="22">
        <v>0</v>
      </c>
    </row>
    <row r="4806" ht="25.5">
      <c r="A4806" t="s">
        <v>4888</v>
      </c>
      <c r="B4806" s="19">
        <v>93661</v>
      </c>
      <c r="C4806" s="20" t="s">
        <v>4910</v>
      </c>
      <c r="D4806" s="19" t="s">
        <v>31</v>
      </c>
      <c r="E4806" s="21">
        <f t="shared" si="221"/>
        <v>59.090000000000003</v>
      </c>
      <c r="F4806" s="22">
        <v>0</v>
      </c>
      <c r="G4806" s="21">
        <f t="shared" si="222"/>
        <v>58.869999999999997</v>
      </c>
      <c r="H4806" s="22">
        <v>0</v>
      </c>
      <c r="I4806" s="23" t="str">
        <f t="shared" si="223"/>
        <v xml:space="preserve">COM VALOR</v>
      </c>
      <c r="J4806" s="19"/>
      <c r="L4806" s="21">
        <v>59.090000000000003</v>
      </c>
      <c r="M4806" s="22">
        <v>0</v>
      </c>
      <c r="N4806" s="21">
        <v>58.869999999999997</v>
      </c>
      <c r="O4806" s="22">
        <v>0</v>
      </c>
    </row>
    <row r="4807" ht="25.5">
      <c r="A4807" t="s">
        <v>4888</v>
      </c>
      <c r="B4807" s="19">
        <v>93662</v>
      </c>
      <c r="C4807" s="20" t="s">
        <v>4911</v>
      </c>
      <c r="D4807" s="19" t="s">
        <v>31</v>
      </c>
      <c r="E4807" s="21">
        <f t="shared" si="221"/>
        <v>60.969999999999999</v>
      </c>
      <c r="F4807" s="22">
        <v>0</v>
      </c>
      <c r="G4807" s="21">
        <f t="shared" si="222"/>
        <v>60.68</v>
      </c>
      <c r="H4807" s="22">
        <v>0</v>
      </c>
      <c r="I4807" s="23" t="str">
        <f t="shared" si="223"/>
        <v xml:space="preserve">COM VALOR</v>
      </c>
      <c r="J4807" s="19"/>
      <c r="L4807" s="21">
        <v>60.969999999999999</v>
      </c>
      <c r="M4807" s="22">
        <v>0</v>
      </c>
      <c r="N4807" s="21">
        <v>60.68</v>
      </c>
      <c r="O4807" s="22">
        <v>0</v>
      </c>
    </row>
    <row r="4808" ht="25.5">
      <c r="A4808" t="s">
        <v>4888</v>
      </c>
      <c r="B4808" s="19">
        <v>93663</v>
      </c>
      <c r="C4808" s="20" t="s">
        <v>4912</v>
      </c>
      <c r="D4808" s="19" t="s">
        <v>31</v>
      </c>
      <c r="E4808" s="21">
        <f t="shared" si="221"/>
        <v>62.850000000000001</v>
      </c>
      <c r="F4808" s="22">
        <v>0</v>
      </c>
      <c r="G4808" s="21">
        <f t="shared" si="222"/>
        <v>62.460000000000001</v>
      </c>
      <c r="H4808" s="22">
        <v>0</v>
      </c>
      <c r="I4808" s="23" t="str">
        <f t="shared" si="223"/>
        <v xml:space="preserve">COM VALOR</v>
      </c>
      <c r="J4808" s="19"/>
      <c r="L4808" s="21">
        <v>62.850000000000001</v>
      </c>
      <c r="M4808" s="22">
        <v>0</v>
      </c>
      <c r="N4808" s="21">
        <v>62.460000000000001</v>
      </c>
      <c r="O4808" s="22">
        <v>0</v>
      </c>
    </row>
    <row r="4809" ht="25.5">
      <c r="A4809" t="s">
        <v>4888</v>
      </c>
      <c r="B4809" s="19">
        <v>93664</v>
      </c>
      <c r="C4809" s="20" t="s">
        <v>4913</v>
      </c>
      <c r="D4809" s="19" t="s">
        <v>31</v>
      </c>
      <c r="E4809" s="21">
        <f t="shared" si="221"/>
        <v>65.900000000000006</v>
      </c>
      <c r="F4809" s="22">
        <v>0</v>
      </c>
      <c r="G4809" s="21">
        <f t="shared" si="222"/>
        <v>65.359999999999999</v>
      </c>
      <c r="H4809" s="22">
        <v>0</v>
      </c>
      <c r="I4809" s="23" t="str">
        <f t="shared" si="223"/>
        <v xml:space="preserve">COM VALOR</v>
      </c>
      <c r="J4809" s="19"/>
      <c r="L4809" s="21">
        <v>65.900000000000006</v>
      </c>
      <c r="M4809" s="22">
        <v>0</v>
      </c>
      <c r="N4809" s="21">
        <v>65.359999999999999</v>
      </c>
      <c r="O4809" s="22">
        <v>0</v>
      </c>
    </row>
    <row r="4810" ht="25.5">
      <c r="A4810" t="s">
        <v>4888</v>
      </c>
      <c r="B4810" s="19">
        <v>93665</v>
      </c>
      <c r="C4810" s="20" t="s">
        <v>4914</v>
      </c>
      <c r="D4810" s="19" t="s">
        <v>31</v>
      </c>
      <c r="E4810" s="21">
        <f t="shared" si="221"/>
        <v>69.769999999999996</v>
      </c>
      <c r="F4810" s="22">
        <v>0</v>
      </c>
      <c r="G4810" s="21">
        <f t="shared" si="222"/>
        <v>68.989999999999995</v>
      </c>
      <c r="H4810" s="22">
        <v>0</v>
      </c>
      <c r="I4810" s="23" t="str">
        <f t="shared" si="223"/>
        <v xml:space="preserve">COM VALOR</v>
      </c>
      <c r="J4810" s="19"/>
      <c r="L4810" s="21">
        <v>69.769999999999996</v>
      </c>
      <c r="M4810" s="22">
        <v>0</v>
      </c>
      <c r="N4810" s="21">
        <v>68.989999999999995</v>
      </c>
      <c r="O4810" s="22">
        <v>0</v>
      </c>
    </row>
    <row r="4811" ht="25.5">
      <c r="A4811" t="s">
        <v>4888</v>
      </c>
      <c r="B4811" s="19">
        <v>93666</v>
      </c>
      <c r="C4811" s="20" t="s">
        <v>4915</v>
      </c>
      <c r="D4811" s="19" t="s">
        <v>31</v>
      </c>
      <c r="E4811" s="21">
        <f t="shared" ref="E4811:E4874" si="224">IF(L4811=0,"VERIFICAR",L4811)</f>
        <v>75.870000000000005</v>
      </c>
      <c r="F4811" s="22">
        <v>0</v>
      </c>
      <c r="G4811" s="21">
        <f t="shared" ref="G4811:G4874" si="225">IF(N4811=0,"VERIFICAR",N4811)</f>
        <v>74.780000000000001</v>
      </c>
      <c r="H4811" s="22">
        <v>0</v>
      </c>
      <c r="I4811" s="23" t="str">
        <f t="shared" ref="I4811:I4874" si="226">IF(OR(E4811=0,G4811=0),"SEM VALOR","COM VALOR")</f>
        <v xml:space="preserve">COM VALOR</v>
      </c>
      <c r="J4811" s="19"/>
      <c r="L4811" s="21">
        <v>75.870000000000005</v>
      </c>
      <c r="M4811" s="22">
        <v>0</v>
      </c>
      <c r="N4811" s="21">
        <v>74.780000000000001</v>
      </c>
      <c r="O4811" s="22">
        <v>0</v>
      </c>
    </row>
    <row r="4812" ht="25.5">
      <c r="A4812" t="s">
        <v>4888</v>
      </c>
      <c r="B4812" s="19">
        <v>93674</v>
      </c>
      <c r="C4812" s="20" t="s">
        <v>4916</v>
      </c>
      <c r="D4812" s="19" t="s">
        <v>31</v>
      </c>
      <c r="E4812" s="21">
        <f t="shared" si="224"/>
        <v>152.40000000000001</v>
      </c>
      <c r="F4812" s="22">
        <v>0</v>
      </c>
      <c r="G4812" s="21">
        <f t="shared" si="225"/>
        <v>152.00999999999999</v>
      </c>
      <c r="H4812" s="22">
        <v>0</v>
      </c>
      <c r="I4812" s="23" t="str">
        <f t="shared" si="226"/>
        <v xml:space="preserve">COM VALOR</v>
      </c>
      <c r="J4812" s="19"/>
      <c r="L4812" s="21">
        <v>152.40000000000001</v>
      </c>
      <c r="M4812" s="22">
        <v>0</v>
      </c>
      <c r="N4812" s="21">
        <v>152.00999999999999</v>
      </c>
      <c r="O4812" s="22">
        <v>0</v>
      </c>
    </row>
    <row r="4813" ht="25.5">
      <c r="A4813" t="s">
        <v>4888</v>
      </c>
      <c r="B4813" s="19">
        <v>93675</v>
      </c>
      <c r="C4813" s="20" t="s">
        <v>4917</v>
      </c>
      <c r="D4813" s="19" t="s">
        <v>31</v>
      </c>
      <c r="E4813" s="21">
        <f t="shared" si="224"/>
        <v>162.68000000000001</v>
      </c>
      <c r="F4813" s="22">
        <v>0</v>
      </c>
      <c r="G4813" s="21">
        <f t="shared" si="225"/>
        <v>161.90000000000001</v>
      </c>
      <c r="H4813" s="22">
        <v>0</v>
      </c>
      <c r="I4813" s="23" t="str">
        <f t="shared" si="226"/>
        <v xml:space="preserve">COM VALOR</v>
      </c>
      <c r="J4813" s="19"/>
      <c r="L4813" s="21">
        <v>162.68000000000001</v>
      </c>
      <c r="M4813" s="22">
        <v>0</v>
      </c>
      <c r="N4813" s="21">
        <v>161.90000000000001</v>
      </c>
      <c r="O4813" s="22">
        <v>0</v>
      </c>
    </row>
    <row r="4814" ht="25.5">
      <c r="A4814" t="s">
        <v>4888</v>
      </c>
      <c r="B4814" s="19">
        <v>101892</v>
      </c>
      <c r="C4814" s="20" t="s">
        <v>4918</v>
      </c>
      <c r="D4814" s="19" t="s">
        <v>31</v>
      </c>
      <c r="E4814" s="21">
        <f t="shared" si="224"/>
        <v>74.319999999999993</v>
      </c>
      <c r="F4814" s="22">
        <v>0.19</v>
      </c>
      <c r="G4814" s="21">
        <f t="shared" si="225"/>
        <v>73.930000000000007</v>
      </c>
      <c r="H4814" s="22">
        <v>0.20000000000000001</v>
      </c>
      <c r="I4814" s="23" t="str">
        <f t="shared" si="226"/>
        <v xml:space="preserve">COM VALOR</v>
      </c>
      <c r="J4814" s="19"/>
      <c r="L4814" s="21">
        <v>74.319999999999993</v>
      </c>
      <c r="M4814" s="22">
        <v>0</v>
      </c>
      <c r="N4814" s="21">
        <v>73.930000000000007</v>
      </c>
      <c r="O4814" s="22">
        <v>0</v>
      </c>
    </row>
    <row r="4815" ht="25.5">
      <c r="A4815" t="s">
        <v>4888</v>
      </c>
      <c r="B4815" s="19">
        <v>93653</v>
      </c>
      <c r="C4815" s="20" t="s">
        <v>4919</v>
      </c>
      <c r="D4815" s="19" t="s">
        <v>31</v>
      </c>
      <c r="E4815" s="21">
        <f t="shared" si="224"/>
        <v>12.25</v>
      </c>
      <c r="F4815" s="22">
        <v>0.16</v>
      </c>
      <c r="G4815" s="21">
        <f t="shared" si="225"/>
        <v>12.130000000000001</v>
      </c>
      <c r="H4815" s="22">
        <v>0.16</v>
      </c>
      <c r="I4815" s="23" t="str">
        <f t="shared" si="226"/>
        <v xml:space="preserve">COM VALOR</v>
      </c>
      <c r="J4815" s="19"/>
      <c r="L4815" s="21">
        <v>12.25</v>
      </c>
      <c r="M4815" s="22">
        <v>0</v>
      </c>
      <c r="N4815" s="21">
        <v>12.130000000000001</v>
      </c>
      <c r="O4815" s="22">
        <v>0</v>
      </c>
    </row>
    <row r="4816" ht="25.5">
      <c r="A4816" t="s">
        <v>4888</v>
      </c>
      <c r="B4816" s="19">
        <v>93654</v>
      </c>
      <c r="C4816" s="20" t="s">
        <v>4920</v>
      </c>
      <c r="D4816" s="19" t="s">
        <v>31</v>
      </c>
      <c r="E4816" s="21">
        <f t="shared" si="224"/>
        <v>12.25</v>
      </c>
      <c r="F4816" s="22">
        <v>0.14999999999999999</v>
      </c>
      <c r="G4816" s="21">
        <f t="shared" si="225"/>
        <v>12.130000000000001</v>
      </c>
      <c r="H4816" s="22">
        <v>0.14999999999999999</v>
      </c>
      <c r="I4816" s="23" t="str">
        <f t="shared" si="226"/>
        <v xml:space="preserve">COM VALOR</v>
      </c>
      <c r="J4816" s="19"/>
      <c r="L4816" s="21">
        <v>12.25</v>
      </c>
      <c r="M4816" s="22">
        <v>0</v>
      </c>
      <c r="N4816" s="21">
        <v>12.130000000000001</v>
      </c>
      <c r="O4816" s="22">
        <v>0</v>
      </c>
    </row>
    <row r="4817" ht="25.5">
      <c r="A4817" t="s">
        <v>4888</v>
      </c>
      <c r="B4817" s="19">
        <v>93655</v>
      </c>
      <c r="C4817" s="20" t="s">
        <v>4921</v>
      </c>
      <c r="D4817" s="19" t="s">
        <v>31</v>
      </c>
      <c r="E4817" s="21">
        <f t="shared" si="224"/>
        <v>13.18</v>
      </c>
      <c r="F4817" s="22">
        <v>0.13</v>
      </c>
      <c r="G4817" s="21">
        <f t="shared" si="225"/>
        <v>13.039999999999999</v>
      </c>
      <c r="H4817" s="22">
        <v>0.13</v>
      </c>
      <c r="I4817" s="23" t="str">
        <f t="shared" si="226"/>
        <v xml:space="preserve">COM VALOR</v>
      </c>
      <c r="J4817" s="19"/>
      <c r="L4817" s="21">
        <v>13.18</v>
      </c>
      <c r="M4817" s="22">
        <v>0</v>
      </c>
      <c r="N4817" s="21">
        <v>13.039999999999999</v>
      </c>
      <c r="O4817" s="22">
        <v>0</v>
      </c>
    </row>
    <row r="4818" ht="25.5">
      <c r="A4818" t="s">
        <v>4888</v>
      </c>
      <c r="B4818" s="19">
        <v>93656</v>
      </c>
      <c r="C4818" s="20" t="s">
        <v>4922</v>
      </c>
      <c r="D4818" s="19" t="s">
        <v>31</v>
      </c>
      <c r="E4818" s="21">
        <f t="shared" si="224"/>
        <v>14.130000000000001</v>
      </c>
      <c r="F4818" s="22">
        <v>0</v>
      </c>
      <c r="G4818" s="21">
        <f t="shared" si="225"/>
        <v>13.93</v>
      </c>
      <c r="H4818" s="22">
        <v>0</v>
      </c>
      <c r="I4818" s="23" t="str">
        <f t="shared" si="226"/>
        <v xml:space="preserve">COM VALOR</v>
      </c>
      <c r="J4818" s="19"/>
      <c r="L4818" s="21">
        <v>14.130000000000001</v>
      </c>
      <c r="M4818" s="22">
        <v>0</v>
      </c>
      <c r="N4818" s="21">
        <v>13.93</v>
      </c>
      <c r="O4818" s="22">
        <v>0</v>
      </c>
    </row>
    <row r="4819" ht="25.5">
      <c r="A4819" t="s">
        <v>4888</v>
      </c>
      <c r="B4819" s="19">
        <v>93657</v>
      </c>
      <c r="C4819" s="20" t="s">
        <v>4923</v>
      </c>
      <c r="D4819" s="19" t="s">
        <v>31</v>
      </c>
      <c r="E4819" s="21">
        <f t="shared" si="224"/>
        <v>15.710000000000001</v>
      </c>
      <c r="F4819" s="22">
        <v>0</v>
      </c>
      <c r="G4819" s="21">
        <f t="shared" si="225"/>
        <v>15.43</v>
      </c>
      <c r="H4819" s="22">
        <v>0</v>
      </c>
      <c r="I4819" s="23" t="str">
        <f t="shared" si="226"/>
        <v xml:space="preserve">COM VALOR</v>
      </c>
      <c r="J4819" s="19"/>
      <c r="L4819" s="21">
        <v>15.710000000000001</v>
      </c>
      <c r="M4819" s="22">
        <v>0</v>
      </c>
      <c r="N4819" s="21">
        <v>15.43</v>
      </c>
      <c r="O4819" s="22">
        <v>0</v>
      </c>
    </row>
    <row r="4820" ht="25.5">
      <c r="A4820" t="s">
        <v>4888</v>
      </c>
      <c r="B4820" s="19">
        <v>93658</v>
      </c>
      <c r="C4820" s="20" t="s">
        <v>4924</v>
      </c>
      <c r="D4820" s="19" t="s">
        <v>31</v>
      </c>
      <c r="E4820" s="21">
        <f t="shared" si="224"/>
        <v>22.469999999999999</v>
      </c>
      <c r="F4820" s="22">
        <v>0</v>
      </c>
      <c r="G4820" s="21">
        <f t="shared" si="225"/>
        <v>22.079999999999998</v>
      </c>
      <c r="H4820" s="22">
        <v>0</v>
      </c>
      <c r="I4820" s="23" t="str">
        <f t="shared" si="226"/>
        <v xml:space="preserve">COM VALOR</v>
      </c>
      <c r="J4820" s="19"/>
      <c r="L4820" s="21">
        <v>22.469999999999999</v>
      </c>
      <c r="M4820" s="22">
        <v>0</v>
      </c>
      <c r="N4820" s="21">
        <v>22.079999999999998</v>
      </c>
      <c r="O4820" s="22">
        <v>0</v>
      </c>
    </row>
    <row r="4821" ht="25.5">
      <c r="A4821" t="s">
        <v>4888</v>
      </c>
      <c r="B4821" s="19">
        <v>93659</v>
      </c>
      <c r="C4821" s="20" t="s">
        <v>4925</v>
      </c>
      <c r="D4821" s="19" t="s">
        <v>31</v>
      </c>
      <c r="E4821" s="21">
        <f t="shared" si="224"/>
        <v>25.52</v>
      </c>
      <c r="F4821" s="22">
        <v>0</v>
      </c>
      <c r="G4821" s="21">
        <f t="shared" si="225"/>
        <v>24.98</v>
      </c>
      <c r="H4821" s="22">
        <v>0</v>
      </c>
      <c r="I4821" s="23" t="str">
        <f t="shared" si="226"/>
        <v xml:space="preserve">COM VALOR</v>
      </c>
      <c r="J4821" s="19"/>
      <c r="L4821" s="21">
        <v>25.52</v>
      </c>
      <c r="M4821" s="22">
        <v>0</v>
      </c>
      <c r="N4821" s="21">
        <v>24.98</v>
      </c>
      <c r="O4821" s="22">
        <v>0</v>
      </c>
    </row>
    <row r="4822" ht="25.5">
      <c r="A4822" t="s">
        <v>4888</v>
      </c>
      <c r="B4822" s="19">
        <v>101890</v>
      </c>
      <c r="C4822" s="20" t="s">
        <v>4926</v>
      </c>
      <c r="D4822" s="19" t="s">
        <v>31</v>
      </c>
      <c r="E4822" s="21">
        <f t="shared" si="224"/>
        <v>15.92</v>
      </c>
      <c r="F4822" s="22">
        <v>0</v>
      </c>
      <c r="G4822" s="21">
        <f t="shared" si="225"/>
        <v>15.779999999999999</v>
      </c>
      <c r="H4822" s="22">
        <v>0</v>
      </c>
      <c r="I4822" s="23" t="str">
        <f t="shared" si="226"/>
        <v xml:space="preserve">COM VALOR</v>
      </c>
      <c r="J4822" s="19"/>
      <c r="L4822" s="21">
        <v>15.92</v>
      </c>
      <c r="M4822" s="22">
        <v>0</v>
      </c>
      <c r="N4822" s="21">
        <v>15.779999999999999</v>
      </c>
      <c r="O4822" s="22">
        <v>0</v>
      </c>
    </row>
    <row r="4823" ht="25.5">
      <c r="A4823" t="s">
        <v>4888</v>
      </c>
      <c r="B4823" s="19">
        <v>101891</v>
      </c>
      <c r="C4823" s="20" t="s">
        <v>4927</v>
      </c>
      <c r="D4823" s="19" t="s">
        <v>31</v>
      </c>
      <c r="E4823" s="21">
        <f t="shared" si="224"/>
        <v>28.859999999999999</v>
      </c>
      <c r="F4823" s="22">
        <v>0</v>
      </c>
      <c r="G4823" s="21">
        <f t="shared" si="225"/>
        <v>28.469999999999999</v>
      </c>
      <c r="H4823" s="22">
        <v>0</v>
      </c>
      <c r="I4823" s="23" t="str">
        <f t="shared" si="226"/>
        <v xml:space="preserve">COM VALOR</v>
      </c>
      <c r="J4823" s="19"/>
      <c r="L4823" s="21">
        <v>28.859999999999999</v>
      </c>
      <c r="M4823" s="22">
        <v>0</v>
      </c>
      <c r="N4823" s="21">
        <v>28.469999999999999</v>
      </c>
      <c r="O4823" s="22">
        <v>0</v>
      </c>
    </row>
    <row r="4824" ht="25.5">
      <c r="A4824" t="s">
        <v>4888</v>
      </c>
      <c r="B4824" s="19">
        <v>101895</v>
      </c>
      <c r="C4824" s="20" t="s">
        <v>4928</v>
      </c>
      <c r="D4824" s="19" t="s">
        <v>31</v>
      </c>
      <c r="E4824" s="21">
        <f t="shared" si="224"/>
        <v>439.10000000000002</v>
      </c>
      <c r="F4824" s="22">
        <v>0</v>
      </c>
      <c r="G4824" s="21">
        <f t="shared" si="225"/>
        <v>435.30000000000001</v>
      </c>
      <c r="H4824" s="22">
        <v>0</v>
      </c>
      <c r="I4824" s="23" t="str">
        <f t="shared" si="226"/>
        <v xml:space="preserve">COM VALOR</v>
      </c>
      <c r="J4824" s="19"/>
      <c r="L4824" s="21">
        <v>439.10000000000002</v>
      </c>
      <c r="M4824" s="22">
        <v>0</v>
      </c>
      <c r="N4824" s="21">
        <v>435.30000000000001</v>
      </c>
      <c r="O4824" s="22">
        <v>0</v>
      </c>
    </row>
    <row r="4825" ht="25.5">
      <c r="A4825" t="s">
        <v>4888</v>
      </c>
      <c r="B4825" s="19">
        <v>101896</v>
      </c>
      <c r="C4825" s="20" t="s">
        <v>4929</v>
      </c>
      <c r="D4825" s="19" t="s">
        <v>31</v>
      </c>
      <c r="E4825" s="21">
        <f t="shared" si="224"/>
        <v>658.35000000000002</v>
      </c>
      <c r="F4825" s="22">
        <v>0</v>
      </c>
      <c r="G4825" s="21">
        <f t="shared" si="225"/>
        <v>654.54999999999995</v>
      </c>
      <c r="H4825" s="22">
        <v>0</v>
      </c>
      <c r="I4825" s="23" t="str">
        <f t="shared" si="226"/>
        <v xml:space="preserve">COM VALOR</v>
      </c>
      <c r="J4825" s="19"/>
      <c r="L4825" s="21">
        <v>658.35000000000002</v>
      </c>
      <c r="M4825" s="22">
        <v>0</v>
      </c>
      <c r="N4825" s="21">
        <v>654.54999999999995</v>
      </c>
      <c r="O4825" s="22">
        <v>0</v>
      </c>
    </row>
    <row r="4826" ht="25.5">
      <c r="A4826" t="s">
        <v>4888</v>
      </c>
      <c r="B4826" s="19">
        <v>101897</v>
      </c>
      <c r="C4826" s="20" t="s">
        <v>4930</v>
      </c>
      <c r="D4826" s="19" t="s">
        <v>31</v>
      </c>
      <c r="E4826" s="21">
        <f t="shared" si="224"/>
        <v>1050.1400000000001</v>
      </c>
      <c r="F4826" s="22">
        <v>0</v>
      </c>
      <c r="G4826" s="21">
        <f t="shared" si="225"/>
        <v>1046.3399999999999</v>
      </c>
      <c r="H4826" s="22">
        <v>0</v>
      </c>
      <c r="I4826" s="23" t="str">
        <f t="shared" si="226"/>
        <v xml:space="preserve">COM VALOR</v>
      </c>
      <c r="J4826" s="19"/>
      <c r="L4826" s="21">
        <v>1050.1400000000001</v>
      </c>
      <c r="M4826" s="22">
        <v>0</v>
      </c>
      <c r="N4826" s="21">
        <v>1046.3399999999999</v>
      </c>
      <c r="O4826" s="22">
        <v>0</v>
      </c>
    </row>
    <row r="4827" ht="25.5">
      <c r="A4827" t="s">
        <v>4888</v>
      </c>
      <c r="B4827" s="19">
        <v>101898</v>
      </c>
      <c r="C4827" s="20" t="s">
        <v>4931</v>
      </c>
      <c r="D4827" s="19" t="s">
        <v>31</v>
      </c>
      <c r="E4827" s="21">
        <f t="shared" si="224"/>
        <v>1403.71</v>
      </c>
      <c r="F4827" s="22">
        <v>0</v>
      </c>
      <c r="G4827" s="21">
        <f t="shared" si="225"/>
        <v>1399.9100000000001</v>
      </c>
      <c r="H4827" s="22">
        <v>0</v>
      </c>
      <c r="I4827" s="23" t="str">
        <f t="shared" si="226"/>
        <v xml:space="preserve">COM VALOR</v>
      </c>
      <c r="J4827" s="19"/>
      <c r="L4827" s="21">
        <v>1403.71</v>
      </c>
      <c r="M4827" s="22">
        <v>0</v>
      </c>
      <c r="N4827" s="21">
        <v>1399.9100000000001</v>
      </c>
      <c r="O4827" s="22">
        <v>0</v>
      </c>
    </row>
    <row r="4828" ht="25.5">
      <c r="A4828" t="s">
        <v>4888</v>
      </c>
      <c r="B4828" s="19">
        <v>101899</v>
      </c>
      <c r="C4828" s="20" t="s">
        <v>4932</v>
      </c>
      <c r="D4828" s="19" t="s">
        <v>31</v>
      </c>
      <c r="E4828" s="21">
        <f t="shared" si="224"/>
        <v>2244.7399999999998</v>
      </c>
      <c r="F4828" s="22">
        <v>0</v>
      </c>
      <c r="G4828" s="21">
        <f t="shared" si="225"/>
        <v>2240.9400000000001</v>
      </c>
      <c r="H4828" s="22">
        <v>0</v>
      </c>
      <c r="I4828" s="23" t="str">
        <f t="shared" si="226"/>
        <v xml:space="preserve">COM VALOR</v>
      </c>
      <c r="J4828" s="19"/>
      <c r="L4828" s="21">
        <v>2244.7399999999998</v>
      </c>
      <c r="M4828" s="22">
        <v>0</v>
      </c>
      <c r="N4828" s="21">
        <v>2240.9400000000001</v>
      </c>
      <c r="O4828" s="22">
        <v>0</v>
      </c>
    </row>
    <row r="4829" ht="25.5">
      <c r="A4829" t="s">
        <v>4888</v>
      </c>
      <c r="B4829" s="19">
        <v>93676</v>
      </c>
      <c r="C4829" s="20" t="s">
        <v>4933</v>
      </c>
      <c r="D4829" s="19" t="s">
        <v>31</v>
      </c>
      <c r="E4829" s="21">
        <f t="shared" si="224"/>
        <v>182.03</v>
      </c>
      <c r="F4829" s="22">
        <v>0</v>
      </c>
      <c r="G4829" s="21">
        <f t="shared" si="225"/>
        <v>181.24000000000001</v>
      </c>
      <c r="H4829" s="22">
        <v>0</v>
      </c>
      <c r="I4829" s="23" t="str">
        <f t="shared" si="226"/>
        <v xml:space="preserve">COM VALOR</v>
      </c>
      <c r="J4829" s="19"/>
      <c r="L4829" s="21">
        <v>182.03</v>
      </c>
      <c r="M4829" s="22">
        <v>0</v>
      </c>
      <c r="N4829" s="21">
        <v>181.24000000000001</v>
      </c>
      <c r="O4829" s="22">
        <v>0</v>
      </c>
    </row>
    <row r="4830" ht="25.5">
      <c r="A4830" t="s">
        <v>4888</v>
      </c>
      <c r="B4830" s="19">
        <v>97711</v>
      </c>
      <c r="C4830" s="20" t="s">
        <v>4934</v>
      </c>
      <c r="D4830" s="19" t="s">
        <v>31</v>
      </c>
      <c r="E4830" s="21">
        <f t="shared" si="224"/>
        <v>197.63999999999999</v>
      </c>
      <c r="F4830" s="22">
        <v>0</v>
      </c>
      <c r="G4830" s="21">
        <f t="shared" si="225"/>
        <v>196.06999999999999</v>
      </c>
      <c r="H4830" s="22">
        <v>0</v>
      </c>
      <c r="I4830" s="23" t="str">
        <f t="shared" si="226"/>
        <v xml:space="preserve">COM VALOR</v>
      </c>
      <c r="J4830" s="19"/>
      <c r="L4830" s="21">
        <v>197.63999999999999</v>
      </c>
      <c r="M4830" s="22">
        <v>0</v>
      </c>
      <c r="N4830" s="21">
        <v>196.06999999999999</v>
      </c>
      <c r="O4830" s="22">
        <v>0</v>
      </c>
    </row>
    <row r="4831" ht="25.5">
      <c r="A4831" t="s">
        <v>4888</v>
      </c>
      <c r="B4831" s="19">
        <v>106020</v>
      </c>
      <c r="C4831" s="20" t="s">
        <v>4935</v>
      </c>
      <c r="D4831" s="19" t="s">
        <v>31</v>
      </c>
      <c r="E4831" s="21">
        <f t="shared" si="224"/>
        <v>113.09999999999999</v>
      </c>
      <c r="F4831" s="22">
        <v>0</v>
      </c>
      <c r="G4831" s="21">
        <f t="shared" si="225"/>
        <v>111.45999999999999</v>
      </c>
      <c r="H4831" s="22">
        <v>0</v>
      </c>
      <c r="I4831" s="23" t="str">
        <f t="shared" si="226"/>
        <v xml:space="preserve">COM VALOR</v>
      </c>
      <c r="J4831" s="19"/>
      <c r="L4831" s="21">
        <v>113.09999999999999</v>
      </c>
      <c r="M4831" s="22">
        <v>0</v>
      </c>
      <c r="N4831" s="21">
        <v>111.45999999999999</v>
      </c>
      <c r="O4831" s="22">
        <v>0</v>
      </c>
    </row>
    <row r="4832" ht="25.5">
      <c r="A4832" t="s">
        <v>4888</v>
      </c>
      <c r="B4832" s="19">
        <v>106031</v>
      </c>
      <c r="C4832" s="20" t="s">
        <v>4936</v>
      </c>
      <c r="D4832" s="19" t="s">
        <v>31</v>
      </c>
      <c r="E4832" s="21" t="str">
        <f t="shared" si="224"/>
        <v>VERIFICAR</v>
      </c>
      <c r="F4832" s="22">
        <v>0</v>
      </c>
      <c r="G4832" s="21" t="str">
        <f t="shared" si="225"/>
        <v>VERIFICAR</v>
      </c>
      <c r="H4832" s="22">
        <v>0</v>
      </c>
      <c r="I4832" s="23" t="str">
        <f t="shared" si="226"/>
        <v xml:space="preserve">COM VALOR</v>
      </c>
      <c r="J4832" s="19"/>
      <c r="L4832" s="21">
        <v>0</v>
      </c>
      <c r="M4832" s="22"/>
      <c r="N4832" s="21">
        <v>0</v>
      </c>
      <c r="O4832" s="22"/>
    </row>
    <row r="4833" ht="25.5">
      <c r="A4833" t="s">
        <v>4888</v>
      </c>
      <c r="B4833" s="19">
        <v>93667</v>
      </c>
      <c r="C4833" s="20" t="s">
        <v>4937</v>
      </c>
      <c r="D4833" s="19" t="s">
        <v>31</v>
      </c>
      <c r="E4833" s="21">
        <f t="shared" si="224"/>
        <v>74.049999999999997</v>
      </c>
      <c r="F4833" s="22">
        <v>0</v>
      </c>
      <c r="G4833" s="21">
        <f t="shared" si="225"/>
        <v>73.719999999999999</v>
      </c>
      <c r="H4833" s="22">
        <v>0</v>
      </c>
      <c r="I4833" s="23" t="str">
        <f t="shared" si="226"/>
        <v xml:space="preserve">COM VALOR</v>
      </c>
      <c r="J4833" s="19"/>
      <c r="L4833" s="21">
        <v>74.049999999999997</v>
      </c>
      <c r="M4833" s="22">
        <v>0</v>
      </c>
      <c r="N4833" s="21">
        <v>73.719999999999999</v>
      </c>
      <c r="O4833" s="22">
        <v>0</v>
      </c>
    </row>
    <row r="4834" ht="25.5">
      <c r="A4834" t="s">
        <v>4888</v>
      </c>
      <c r="B4834" s="19">
        <v>93668</v>
      </c>
      <c r="C4834" s="20" t="s">
        <v>4938</v>
      </c>
      <c r="D4834" s="19" t="s">
        <v>31</v>
      </c>
      <c r="E4834" s="21">
        <f t="shared" si="224"/>
        <v>74.049999999999997</v>
      </c>
      <c r="F4834" s="22">
        <v>0</v>
      </c>
      <c r="G4834" s="21">
        <f t="shared" si="225"/>
        <v>73.719999999999999</v>
      </c>
      <c r="H4834" s="22">
        <v>0</v>
      </c>
      <c r="I4834" s="23" t="str">
        <f t="shared" si="226"/>
        <v xml:space="preserve">COM VALOR</v>
      </c>
      <c r="J4834" s="19"/>
      <c r="L4834" s="21">
        <v>74.049999999999997</v>
      </c>
      <c r="M4834" s="22">
        <v>0</v>
      </c>
      <c r="N4834" s="21">
        <v>73.719999999999999</v>
      </c>
      <c r="O4834" s="22">
        <v>0</v>
      </c>
    </row>
    <row r="4835" ht="25.5">
      <c r="A4835" t="s">
        <v>4888</v>
      </c>
      <c r="B4835" s="19">
        <v>93669</v>
      </c>
      <c r="C4835" s="20" t="s">
        <v>4939</v>
      </c>
      <c r="D4835" s="19" t="s">
        <v>31</v>
      </c>
      <c r="E4835" s="21">
        <f t="shared" si="224"/>
        <v>76.859999999999999</v>
      </c>
      <c r="F4835" s="22">
        <v>0</v>
      </c>
      <c r="G4835" s="21">
        <f t="shared" si="225"/>
        <v>76.430000000000007</v>
      </c>
      <c r="H4835" s="22">
        <v>0</v>
      </c>
      <c r="I4835" s="23" t="str">
        <f t="shared" si="226"/>
        <v xml:space="preserve">COM VALOR</v>
      </c>
      <c r="J4835" s="19"/>
      <c r="L4835" s="21">
        <v>76.859999999999999</v>
      </c>
      <c r="M4835" s="22">
        <v>0</v>
      </c>
      <c r="N4835" s="21">
        <v>76.430000000000007</v>
      </c>
      <c r="O4835" s="22">
        <v>0</v>
      </c>
    </row>
    <row r="4836" ht="25.5">
      <c r="A4836" t="s">
        <v>4888</v>
      </c>
      <c r="B4836" s="19">
        <v>93670</v>
      </c>
      <c r="C4836" s="20" t="s">
        <v>4940</v>
      </c>
      <c r="D4836" s="19" t="s">
        <v>31</v>
      </c>
      <c r="E4836" s="21">
        <f t="shared" si="224"/>
        <v>79.689999999999998</v>
      </c>
      <c r="F4836" s="22">
        <v>0</v>
      </c>
      <c r="G4836" s="21">
        <f t="shared" si="225"/>
        <v>79.090000000000003</v>
      </c>
      <c r="H4836" s="22">
        <v>0</v>
      </c>
      <c r="I4836" s="23" t="str">
        <f t="shared" si="226"/>
        <v xml:space="preserve">COM VALOR</v>
      </c>
      <c r="J4836" s="19"/>
      <c r="L4836" s="21">
        <v>79.689999999999998</v>
      </c>
      <c r="M4836" s="22">
        <v>0</v>
      </c>
      <c r="N4836" s="21">
        <v>79.090000000000003</v>
      </c>
      <c r="O4836" s="22">
        <v>0</v>
      </c>
    </row>
    <row r="4837" ht="25.5">
      <c r="A4837" t="s">
        <v>4888</v>
      </c>
      <c r="B4837" s="19">
        <v>93671</v>
      </c>
      <c r="C4837" s="20" t="s">
        <v>4941</v>
      </c>
      <c r="D4837" s="19" t="s">
        <v>31</v>
      </c>
      <c r="E4837" s="21">
        <f t="shared" si="224"/>
        <v>84.260000000000005</v>
      </c>
      <c r="F4837" s="22">
        <v>0</v>
      </c>
      <c r="G4837" s="21">
        <f t="shared" si="225"/>
        <v>83.450000000000003</v>
      </c>
      <c r="H4837" s="22">
        <v>0</v>
      </c>
      <c r="I4837" s="23" t="str">
        <f t="shared" si="226"/>
        <v xml:space="preserve">COM VALOR</v>
      </c>
      <c r="J4837" s="19"/>
      <c r="L4837" s="21">
        <v>84.260000000000005</v>
      </c>
      <c r="M4837" s="22">
        <v>0</v>
      </c>
      <c r="N4837" s="21">
        <v>83.450000000000003</v>
      </c>
      <c r="O4837" s="22">
        <v>0</v>
      </c>
    </row>
    <row r="4838" ht="25.5">
      <c r="A4838" t="s">
        <v>4888</v>
      </c>
      <c r="B4838" s="19">
        <v>93672</v>
      </c>
      <c r="C4838" s="20" t="s">
        <v>4942</v>
      </c>
      <c r="D4838" s="19" t="s">
        <v>31</v>
      </c>
      <c r="E4838" s="21">
        <f t="shared" si="224"/>
        <v>91.299999999999997</v>
      </c>
      <c r="F4838" s="22">
        <v>0</v>
      </c>
      <c r="G4838" s="21">
        <f t="shared" si="225"/>
        <v>90.120000000000005</v>
      </c>
      <c r="H4838" s="22">
        <v>0</v>
      </c>
      <c r="I4838" s="23" t="str">
        <f t="shared" si="226"/>
        <v xml:space="preserve">COM VALOR</v>
      </c>
      <c r="J4838" s="19"/>
      <c r="L4838" s="21">
        <v>91.299999999999997</v>
      </c>
      <c r="M4838" s="22">
        <v>0</v>
      </c>
      <c r="N4838" s="21">
        <v>90.120000000000005</v>
      </c>
      <c r="O4838" s="22">
        <v>0</v>
      </c>
    </row>
    <row r="4839" ht="25.5">
      <c r="A4839" t="s">
        <v>4888</v>
      </c>
      <c r="B4839" s="19">
        <v>93673</v>
      </c>
      <c r="C4839" s="20" t="s">
        <v>4943</v>
      </c>
      <c r="D4839" s="19" t="s">
        <v>31</v>
      </c>
      <c r="E4839" s="21">
        <f t="shared" si="224"/>
        <v>100.45</v>
      </c>
      <c r="F4839" s="22">
        <v>0</v>
      </c>
      <c r="G4839" s="21">
        <f t="shared" si="225"/>
        <v>98.810000000000002</v>
      </c>
      <c r="H4839" s="22">
        <v>0</v>
      </c>
      <c r="I4839" s="23" t="str">
        <f t="shared" si="226"/>
        <v xml:space="preserve">COM VALOR</v>
      </c>
      <c r="J4839" s="19"/>
      <c r="L4839" s="21">
        <v>100.45</v>
      </c>
      <c r="M4839" s="22">
        <v>0</v>
      </c>
      <c r="N4839" s="21">
        <v>98.810000000000002</v>
      </c>
      <c r="O4839" s="22">
        <v>0</v>
      </c>
    </row>
    <row r="4840" ht="25.5">
      <c r="A4840" t="s">
        <v>4888</v>
      </c>
      <c r="B4840" s="19">
        <v>101893</v>
      </c>
      <c r="C4840" s="20" t="s">
        <v>4944</v>
      </c>
      <c r="D4840" s="19" t="s">
        <v>31</v>
      </c>
      <c r="E4840" s="21">
        <f t="shared" si="224"/>
        <v>95.170000000000002</v>
      </c>
      <c r="F4840" s="22">
        <v>0</v>
      </c>
      <c r="G4840" s="21">
        <f t="shared" si="225"/>
        <v>94.569999999999993</v>
      </c>
      <c r="H4840" s="22">
        <v>0</v>
      </c>
      <c r="I4840" s="23" t="str">
        <f t="shared" si="226"/>
        <v xml:space="preserve">COM VALOR</v>
      </c>
      <c r="J4840" s="19"/>
      <c r="L4840" s="21">
        <v>95.170000000000002</v>
      </c>
      <c r="M4840" s="22">
        <v>0</v>
      </c>
      <c r="N4840" s="21">
        <v>94.569999999999993</v>
      </c>
      <c r="O4840" s="22">
        <v>0</v>
      </c>
    </row>
    <row r="4841" ht="25.5">
      <c r="A4841" t="s">
        <v>4888</v>
      </c>
      <c r="B4841" s="19">
        <v>101894</v>
      </c>
      <c r="C4841" s="20" t="s">
        <v>4945</v>
      </c>
      <c r="D4841" s="19" t="s">
        <v>31</v>
      </c>
      <c r="E4841" s="21">
        <f t="shared" si="224"/>
        <v>162.12</v>
      </c>
      <c r="F4841" s="22">
        <v>0</v>
      </c>
      <c r="G4841" s="21">
        <f t="shared" si="225"/>
        <v>159.84999999999999</v>
      </c>
      <c r="H4841" s="22">
        <v>0</v>
      </c>
      <c r="I4841" s="23" t="str">
        <f t="shared" si="226"/>
        <v xml:space="preserve">COM VALOR</v>
      </c>
      <c r="J4841" s="19"/>
      <c r="L4841" s="21">
        <v>162.12</v>
      </c>
      <c r="M4841" s="22">
        <v>0</v>
      </c>
      <c r="N4841" s="21">
        <v>159.84999999999999</v>
      </c>
      <c r="O4841" s="22">
        <v>0</v>
      </c>
    </row>
    <row r="4842" ht="25.5">
      <c r="A4842" t="s">
        <v>4888</v>
      </c>
      <c r="B4842" s="19">
        <v>106027</v>
      </c>
      <c r="C4842" s="20" t="s">
        <v>4946</v>
      </c>
      <c r="D4842" s="19" t="s">
        <v>31</v>
      </c>
      <c r="E4842" s="21">
        <f t="shared" si="224"/>
        <v>78.230000000000004</v>
      </c>
      <c r="F4842" s="22">
        <v>0</v>
      </c>
      <c r="G4842" s="21">
        <f t="shared" si="225"/>
        <v>77.819999999999993</v>
      </c>
      <c r="H4842" s="22">
        <v>0</v>
      </c>
      <c r="I4842" s="23" t="str">
        <f t="shared" si="226"/>
        <v xml:space="preserve">COM VALOR</v>
      </c>
      <c r="J4842" s="19"/>
      <c r="L4842" s="21">
        <v>78.230000000000004</v>
      </c>
      <c r="M4842" s="22">
        <v>0</v>
      </c>
      <c r="N4842" s="21">
        <v>77.819999999999993</v>
      </c>
      <c r="O4842" s="22">
        <v>0</v>
      </c>
    </row>
    <row r="4843" ht="25.5">
      <c r="A4843" t="s">
        <v>4888</v>
      </c>
      <c r="B4843" s="19">
        <v>106028</v>
      </c>
      <c r="C4843" s="20" t="s">
        <v>4947</v>
      </c>
      <c r="D4843" s="19" t="s">
        <v>31</v>
      </c>
      <c r="E4843" s="21" t="str">
        <f t="shared" si="224"/>
        <v>VERIFICAR</v>
      </c>
      <c r="F4843" s="22">
        <v>0</v>
      </c>
      <c r="G4843" s="21" t="str">
        <f t="shared" si="225"/>
        <v>VERIFICAR</v>
      </c>
      <c r="H4843" s="22">
        <v>0</v>
      </c>
      <c r="I4843" s="23" t="str">
        <f t="shared" si="226"/>
        <v xml:space="preserve">COM VALOR</v>
      </c>
      <c r="J4843" s="19"/>
      <c r="L4843" s="21">
        <v>0</v>
      </c>
      <c r="M4843" s="22"/>
      <c r="N4843" s="21">
        <v>0</v>
      </c>
      <c r="O4843" s="22"/>
    </row>
    <row r="4844" ht="12.75">
      <c r="A4844" t="s">
        <v>4888</v>
      </c>
      <c r="B4844" s="19">
        <v>106029</v>
      </c>
      <c r="C4844" s="20" t="s">
        <v>4948</v>
      </c>
      <c r="D4844" s="19" t="s">
        <v>31</v>
      </c>
      <c r="E4844" s="21" t="str">
        <f t="shared" si="224"/>
        <v>VERIFICAR</v>
      </c>
      <c r="F4844" s="22">
        <v>0</v>
      </c>
      <c r="G4844" s="21" t="str">
        <f t="shared" si="225"/>
        <v>VERIFICAR</v>
      </c>
      <c r="H4844" s="22">
        <v>0</v>
      </c>
      <c r="I4844" s="23" t="str">
        <f t="shared" si="226"/>
        <v xml:space="preserve">COM VALOR</v>
      </c>
      <c r="J4844" s="19"/>
      <c r="L4844" s="21">
        <v>0</v>
      </c>
      <c r="M4844" s="22"/>
      <c r="N4844" s="21">
        <v>0</v>
      </c>
      <c r="O4844" s="22"/>
    </row>
    <row r="4845" ht="25.5">
      <c r="A4845" t="s">
        <v>4888</v>
      </c>
      <c r="B4845" s="19">
        <v>97421</v>
      </c>
      <c r="C4845" s="20" t="s">
        <v>4949</v>
      </c>
      <c r="D4845" s="19" t="s">
        <v>31</v>
      </c>
      <c r="E4845" s="21" t="str">
        <f t="shared" si="224"/>
        <v>VERIFICAR</v>
      </c>
      <c r="F4845" s="22">
        <v>0</v>
      </c>
      <c r="G4845" s="21" t="str">
        <f t="shared" si="225"/>
        <v>VERIFICAR</v>
      </c>
      <c r="H4845" s="22">
        <v>0</v>
      </c>
      <c r="I4845" s="23" t="str">
        <f t="shared" si="226"/>
        <v xml:space="preserve">COM VALOR</v>
      </c>
      <c r="J4845" s="19"/>
      <c r="L4845" s="21">
        <v>0</v>
      </c>
      <c r="M4845" s="22"/>
      <c r="N4845" s="21">
        <v>0</v>
      </c>
      <c r="O4845" s="22"/>
    </row>
    <row r="4846" ht="25.5">
      <c r="A4846" t="s">
        <v>4888</v>
      </c>
      <c r="B4846" s="19">
        <v>97373</v>
      </c>
      <c r="C4846" s="20" t="s">
        <v>4950</v>
      </c>
      <c r="D4846" s="19" t="s">
        <v>38</v>
      </c>
      <c r="E4846" s="21" t="str">
        <f t="shared" si="224"/>
        <v>VERIFICAR</v>
      </c>
      <c r="F4846" s="22">
        <v>0</v>
      </c>
      <c r="G4846" s="21" t="str">
        <f t="shared" si="225"/>
        <v>VERIFICAR</v>
      </c>
      <c r="H4846" s="22">
        <v>0</v>
      </c>
      <c r="I4846" s="23" t="str">
        <f t="shared" si="226"/>
        <v xml:space="preserve">COM VALOR</v>
      </c>
      <c r="J4846" s="19"/>
      <c r="L4846" s="21">
        <v>0</v>
      </c>
      <c r="M4846" s="22"/>
      <c r="N4846" s="21">
        <v>0</v>
      </c>
      <c r="O4846" s="22"/>
    </row>
    <row r="4847" ht="25.5">
      <c r="A4847" t="s">
        <v>4888</v>
      </c>
      <c r="B4847" s="19">
        <v>97374</v>
      </c>
      <c r="C4847" s="20" t="s">
        <v>4951</v>
      </c>
      <c r="D4847" s="19" t="s">
        <v>38</v>
      </c>
      <c r="E4847" s="21" t="str">
        <f t="shared" si="224"/>
        <v>VERIFICAR</v>
      </c>
      <c r="F4847" s="22">
        <v>0</v>
      </c>
      <c r="G4847" s="21" t="str">
        <f t="shared" si="225"/>
        <v>VERIFICAR</v>
      </c>
      <c r="H4847" s="22">
        <v>0</v>
      </c>
      <c r="I4847" s="23" t="str">
        <f t="shared" si="226"/>
        <v xml:space="preserve">COM VALOR</v>
      </c>
      <c r="J4847" s="19"/>
      <c r="L4847" s="21">
        <v>0</v>
      </c>
      <c r="M4847" s="22"/>
      <c r="N4847" s="21">
        <v>0</v>
      </c>
      <c r="O4847" s="22"/>
    </row>
    <row r="4848" ht="25.5">
      <c r="A4848" t="s">
        <v>4888</v>
      </c>
      <c r="B4848" s="19">
        <v>97375</v>
      </c>
      <c r="C4848" s="20" t="s">
        <v>4952</v>
      </c>
      <c r="D4848" s="19" t="s">
        <v>38</v>
      </c>
      <c r="E4848" s="21" t="str">
        <f t="shared" si="224"/>
        <v>VERIFICAR</v>
      </c>
      <c r="F4848" s="22">
        <v>0</v>
      </c>
      <c r="G4848" s="21" t="str">
        <f t="shared" si="225"/>
        <v>VERIFICAR</v>
      </c>
      <c r="H4848" s="22">
        <v>0</v>
      </c>
      <c r="I4848" s="23" t="str">
        <f t="shared" si="226"/>
        <v xml:space="preserve">COM VALOR</v>
      </c>
      <c r="J4848" s="19"/>
      <c r="L4848" s="21">
        <v>0</v>
      </c>
      <c r="M4848" s="22"/>
      <c r="N4848" s="21">
        <v>0</v>
      </c>
      <c r="O4848" s="22"/>
    </row>
    <row r="4849" ht="25.5">
      <c r="A4849" t="s">
        <v>4888</v>
      </c>
      <c r="B4849" s="19">
        <v>97376</v>
      </c>
      <c r="C4849" s="20" t="s">
        <v>4953</v>
      </c>
      <c r="D4849" s="19" t="s">
        <v>38</v>
      </c>
      <c r="E4849" s="21" t="str">
        <f t="shared" si="224"/>
        <v>VERIFICAR</v>
      </c>
      <c r="F4849" s="22">
        <v>0</v>
      </c>
      <c r="G4849" s="21" t="str">
        <f t="shared" si="225"/>
        <v>VERIFICAR</v>
      </c>
      <c r="H4849" s="22">
        <v>0</v>
      </c>
      <c r="I4849" s="23" t="str">
        <f t="shared" si="226"/>
        <v xml:space="preserve">COM VALOR</v>
      </c>
      <c r="J4849" s="19"/>
      <c r="L4849" s="21">
        <v>0</v>
      </c>
      <c r="M4849" s="22"/>
      <c r="N4849" s="21">
        <v>0</v>
      </c>
      <c r="O4849" s="22"/>
    </row>
    <row r="4850" ht="25.5">
      <c r="A4850" t="s">
        <v>4888</v>
      </c>
      <c r="B4850" s="19">
        <v>97377</v>
      </c>
      <c r="C4850" s="20" t="s">
        <v>4954</v>
      </c>
      <c r="D4850" s="19" t="s">
        <v>38</v>
      </c>
      <c r="E4850" s="21" t="str">
        <f t="shared" si="224"/>
        <v>VERIFICAR</v>
      </c>
      <c r="F4850" s="22">
        <v>0</v>
      </c>
      <c r="G4850" s="21" t="str">
        <f t="shared" si="225"/>
        <v>VERIFICAR</v>
      </c>
      <c r="H4850" s="22">
        <v>0</v>
      </c>
      <c r="I4850" s="23" t="str">
        <f t="shared" si="226"/>
        <v xml:space="preserve">COM VALOR</v>
      </c>
      <c r="J4850" s="19"/>
      <c r="L4850" s="21">
        <v>0</v>
      </c>
      <c r="M4850" s="22"/>
      <c r="N4850" s="21">
        <v>0</v>
      </c>
      <c r="O4850" s="22"/>
    </row>
    <row r="4851" ht="25.5">
      <c r="A4851" t="s">
        <v>4888</v>
      </c>
      <c r="B4851" s="19">
        <v>97368</v>
      </c>
      <c r="C4851" s="20" t="s">
        <v>4955</v>
      </c>
      <c r="D4851" s="19" t="s">
        <v>38</v>
      </c>
      <c r="E4851" s="21" t="str">
        <f t="shared" si="224"/>
        <v>VERIFICAR</v>
      </c>
      <c r="F4851" s="22">
        <v>0</v>
      </c>
      <c r="G4851" s="21" t="str">
        <f t="shared" si="225"/>
        <v>VERIFICAR</v>
      </c>
      <c r="H4851" s="22">
        <v>0</v>
      </c>
      <c r="I4851" s="23" t="str">
        <f t="shared" si="226"/>
        <v xml:space="preserve">COM VALOR</v>
      </c>
      <c r="J4851" s="19"/>
      <c r="L4851" s="21">
        <v>0</v>
      </c>
      <c r="M4851" s="22"/>
      <c r="N4851" s="21">
        <v>0</v>
      </c>
      <c r="O4851" s="22"/>
    </row>
    <row r="4852" ht="25.5">
      <c r="A4852" t="s">
        <v>4888</v>
      </c>
      <c r="B4852" s="19">
        <v>97369</v>
      </c>
      <c r="C4852" s="20" t="s">
        <v>4956</v>
      </c>
      <c r="D4852" s="19" t="s">
        <v>38</v>
      </c>
      <c r="E4852" s="21" t="str">
        <f t="shared" si="224"/>
        <v>VERIFICAR</v>
      </c>
      <c r="F4852" s="22">
        <v>0</v>
      </c>
      <c r="G4852" s="21" t="str">
        <f t="shared" si="225"/>
        <v>VERIFICAR</v>
      </c>
      <c r="H4852" s="22">
        <v>0</v>
      </c>
      <c r="I4852" s="23" t="str">
        <f t="shared" si="226"/>
        <v xml:space="preserve">COM VALOR</v>
      </c>
      <c r="J4852" s="19"/>
      <c r="L4852" s="21">
        <v>0</v>
      </c>
      <c r="M4852" s="22"/>
      <c r="N4852" s="21">
        <v>0</v>
      </c>
      <c r="O4852" s="22"/>
    </row>
    <row r="4853" ht="25.5">
      <c r="A4853" t="s">
        <v>4888</v>
      </c>
      <c r="B4853" s="19">
        <v>97370</v>
      </c>
      <c r="C4853" s="20" t="s">
        <v>4957</v>
      </c>
      <c r="D4853" s="19" t="s">
        <v>38</v>
      </c>
      <c r="E4853" s="21" t="str">
        <f t="shared" si="224"/>
        <v>VERIFICAR</v>
      </c>
      <c r="F4853" s="22">
        <v>0</v>
      </c>
      <c r="G4853" s="21" t="str">
        <f t="shared" si="225"/>
        <v>VERIFICAR</v>
      </c>
      <c r="H4853" s="22">
        <v>0</v>
      </c>
      <c r="I4853" s="23" t="str">
        <f t="shared" si="226"/>
        <v xml:space="preserve">COM VALOR</v>
      </c>
      <c r="J4853" s="19"/>
      <c r="L4853" s="21">
        <v>0</v>
      </c>
      <c r="M4853" s="22"/>
      <c r="N4853" s="21">
        <v>0</v>
      </c>
      <c r="O4853" s="22"/>
    </row>
    <row r="4854" ht="25.5">
      <c r="A4854" t="s">
        <v>4888</v>
      </c>
      <c r="B4854" s="19">
        <v>97371</v>
      </c>
      <c r="C4854" s="20" t="s">
        <v>4958</v>
      </c>
      <c r="D4854" s="19" t="s">
        <v>38</v>
      </c>
      <c r="E4854" s="21" t="str">
        <f t="shared" si="224"/>
        <v>VERIFICAR</v>
      </c>
      <c r="F4854" s="22">
        <v>0.90000000000000002</v>
      </c>
      <c r="G4854" s="21" t="str">
        <f t="shared" si="225"/>
        <v>VERIFICAR</v>
      </c>
      <c r="H4854" s="22">
        <v>0.91000000000000003</v>
      </c>
      <c r="I4854" s="23" t="str">
        <f t="shared" si="226"/>
        <v xml:space="preserve">COM VALOR</v>
      </c>
      <c r="J4854" s="19"/>
      <c r="L4854" s="21">
        <v>0</v>
      </c>
      <c r="M4854" s="22"/>
      <c r="N4854" s="21">
        <v>0</v>
      </c>
      <c r="O4854" s="22"/>
    </row>
    <row r="4855" ht="25.5">
      <c r="A4855" t="s">
        <v>4888</v>
      </c>
      <c r="B4855" s="19">
        <v>97372</v>
      </c>
      <c r="C4855" s="20" t="s">
        <v>4959</v>
      </c>
      <c r="D4855" s="19" t="s">
        <v>38</v>
      </c>
      <c r="E4855" s="21" t="str">
        <f t="shared" si="224"/>
        <v>VERIFICAR</v>
      </c>
      <c r="F4855" s="22">
        <v>0</v>
      </c>
      <c r="G4855" s="21" t="str">
        <f t="shared" si="225"/>
        <v>VERIFICAR</v>
      </c>
      <c r="H4855" s="22">
        <v>0</v>
      </c>
      <c r="I4855" s="23" t="str">
        <f t="shared" si="226"/>
        <v xml:space="preserve">COM VALOR</v>
      </c>
      <c r="J4855" s="19"/>
      <c r="L4855" s="21">
        <v>0</v>
      </c>
      <c r="M4855" s="22"/>
      <c r="N4855" s="21">
        <v>0</v>
      </c>
      <c r="O4855" s="22"/>
    </row>
    <row r="4856" ht="38.25">
      <c r="A4856" t="s">
        <v>4888</v>
      </c>
      <c r="B4856" s="19">
        <v>101875</v>
      </c>
      <c r="C4856" s="20" t="s">
        <v>4960</v>
      </c>
      <c r="D4856" s="19" t="s">
        <v>31</v>
      </c>
      <c r="E4856" s="21">
        <f t="shared" si="224"/>
        <v>390.25</v>
      </c>
      <c r="F4856" s="22">
        <v>0</v>
      </c>
      <c r="G4856" s="21">
        <f t="shared" si="225"/>
        <v>385.58999999999997</v>
      </c>
      <c r="H4856" s="22">
        <v>0</v>
      </c>
      <c r="I4856" s="23" t="str">
        <f t="shared" si="226"/>
        <v xml:space="preserve">COM VALOR</v>
      </c>
      <c r="J4856" s="19"/>
      <c r="L4856" s="21">
        <v>390.25</v>
      </c>
      <c r="M4856" s="22">
        <v>0.77000000000000002</v>
      </c>
      <c r="N4856" s="21">
        <v>385.58999999999997</v>
      </c>
      <c r="O4856" s="22">
        <v>0.78000000000000003</v>
      </c>
    </row>
    <row r="4857" ht="38.25">
      <c r="A4857" t="s">
        <v>4888</v>
      </c>
      <c r="B4857" s="19">
        <v>101883</v>
      </c>
      <c r="C4857" s="20" t="s">
        <v>4961</v>
      </c>
      <c r="D4857" s="19" t="s">
        <v>31</v>
      </c>
      <c r="E4857" s="21">
        <f t="shared" si="224"/>
        <v>523.84000000000003</v>
      </c>
      <c r="F4857" s="22">
        <v>0</v>
      </c>
      <c r="G4857" s="21">
        <f t="shared" si="225"/>
        <v>518.50999999999999</v>
      </c>
      <c r="H4857" s="22">
        <v>0</v>
      </c>
      <c r="I4857" s="23" t="str">
        <f t="shared" si="226"/>
        <v xml:space="preserve">COM VALOR</v>
      </c>
      <c r="J4857" s="19"/>
      <c r="L4857" s="21">
        <v>523.84000000000003</v>
      </c>
      <c r="M4857" s="22">
        <v>0.81000000000000005</v>
      </c>
      <c r="N4857" s="21">
        <v>518.50999999999999</v>
      </c>
      <c r="O4857" s="22">
        <v>0.81999999999999995</v>
      </c>
    </row>
    <row r="4858" ht="38.25">
      <c r="A4858" t="s">
        <v>4888</v>
      </c>
      <c r="B4858" s="19">
        <v>101879</v>
      </c>
      <c r="C4858" s="20" t="s">
        <v>4962</v>
      </c>
      <c r="D4858" s="19" t="s">
        <v>31</v>
      </c>
      <c r="E4858" s="21">
        <f t="shared" si="224"/>
        <v>546.30999999999995</v>
      </c>
      <c r="F4858" s="22">
        <v>0</v>
      </c>
      <c r="G4858" s="21">
        <f t="shared" si="225"/>
        <v>540.97000000000003</v>
      </c>
      <c r="H4858" s="22">
        <v>0</v>
      </c>
      <c r="I4858" s="23" t="str">
        <f t="shared" si="226"/>
        <v xml:space="preserve">COM VALOR</v>
      </c>
      <c r="J4858" s="19"/>
      <c r="L4858" s="21">
        <v>546.30999999999995</v>
      </c>
      <c r="M4858" s="22">
        <v>0.81000000000000005</v>
      </c>
      <c r="N4858" s="21">
        <v>540.97000000000003</v>
      </c>
      <c r="O4858" s="22">
        <v>0.82250000000000001</v>
      </c>
    </row>
    <row r="4859" ht="38.25">
      <c r="A4859" t="s">
        <v>4888</v>
      </c>
      <c r="B4859" s="19">
        <v>106021</v>
      </c>
      <c r="C4859" s="20" t="s">
        <v>4963</v>
      </c>
      <c r="D4859" s="19" t="s">
        <v>31</v>
      </c>
      <c r="E4859" s="21" t="str">
        <f t="shared" si="224"/>
        <v>VERIFICAR</v>
      </c>
      <c r="F4859" s="22">
        <v>0</v>
      </c>
      <c r="G4859" s="21" t="str">
        <f t="shared" si="225"/>
        <v>VERIFICAR</v>
      </c>
      <c r="H4859" s="22">
        <v>0</v>
      </c>
      <c r="I4859" s="23" t="str">
        <f t="shared" si="226"/>
        <v xml:space="preserve">COM VALOR</v>
      </c>
      <c r="J4859" s="19"/>
      <c r="L4859" s="21">
        <v>0</v>
      </c>
      <c r="M4859" s="22"/>
      <c r="N4859" s="21">
        <v>0</v>
      </c>
      <c r="O4859" s="22"/>
    </row>
    <row r="4860" ht="38.25">
      <c r="A4860" t="s">
        <v>4888</v>
      </c>
      <c r="B4860" s="19">
        <v>101880</v>
      </c>
      <c r="C4860" s="20" t="s">
        <v>4964</v>
      </c>
      <c r="D4860" s="19" t="s">
        <v>31</v>
      </c>
      <c r="E4860" s="21">
        <f t="shared" si="224"/>
        <v>636</v>
      </c>
      <c r="F4860" s="22">
        <v>0</v>
      </c>
      <c r="G4860" s="21">
        <f t="shared" si="225"/>
        <v>629.39999999999998</v>
      </c>
      <c r="H4860" s="22">
        <v>0</v>
      </c>
      <c r="I4860" s="23" t="str">
        <f t="shared" si="226"/>
        <v xml:space="preserve">COM VALOR</v>
      </c>
      <c r="J4860" s="19"/>
      <c r="L4860" s="21">
        <v>636</v>
      </c>
      <c r="M4860" s="22">
        <v>0.80000000000000004</v>
      </c>
      <c r="N4860" s="21">
        <v>629.39999999999998</v>
      </c>
      <c r="O4860" s="22">
        <v>0.81000000000000005</v>
      </c>
    </row>
    <row r="4861" ht="38.25">
      <c r="A4861" t="s">
        <v>4888</v>
      </c>
      <c r="B4861" s="19">
        <v>101882</v>
      </c>
      <c r="C4861" s="20" t="s">
        <v>4965</v>
      </c>
      <c r="D4861" s="19" t="s">
        <v>31</v>
      </c>
      <c r="E4861" s="21">
        <f t="shared" si="224"/>
        <v>1203.3699999999999</v>
      </c>
      <c r="F4861" s="22">
        <v>0</v>
      </c>
      <c r="G4861" s="21">
        <f t="shared" si="225"/>
        <v>1196.77</v>
      </c>
      <c r="H4861" s="22">
        <v>0</v>
      </c>
      <c r="I4861" s="23" t="str">
        <f t="shared" si="226"/>
        <v xml:space="preserve">COM VALOR</v>
      </c>
      <c r="J4861" s="19"/>
      <c r="L4861" s="21">
        <v>1203.3699999999999</v>
      </c>
      <c r="M4861" s="22">
        <v>0.90000000000000002</v>
      </c>
      <c r="N4861" s="21">
        <v>1196.77</v>
      </c>
      <c r="O4861" s="22">
        <v>0.90000000000000002</v>
      </c>
    </row>
    <row r="4862" ht="38.25">
      <c r="A4862" t="s">
        <v>4888</v>
      </c>
      <c r="B4862" s="19">
        <v>106022</v>
      </c>
      <c r="C4862" s="20" t="s">
        <v>4966</v>
      </c>
      <c r="D4862" s="19" t="s">
        <v>31</v>
      </c>
      <c r="E4862" s="21" t="str">
        <f t="shared" si="224"/>
        <v>VERIFICAR</v>
      </c>
      <c r="F4862" s="22">
        <v>0</v>
      </c>
      <c r="G4862" s="21" t="str">
        <f t="shared" si="225"/>
        <v>VERIFICAR</v>
      </c>
      <c r="H4862" s="22">
        <v>0</v>
      </c>
      <c r="I4862" s="23" t="str">
        <f t="shared" si="226"/>
        <v xml:space="preserve">COM VALOR</v>
      </c>
      <c r="J4862" s="19"/>
      <c r="L4862" s="21">
        <v>0</v>
      </c>
      <c r="M4862" s="22"/>
      <c r="N4862" s="21">
        <v>0</v>
      </c>
      <c r="O4862" s="22"/>
    </row>
    <row r="4863" ht="38.25">
      <c r="A4863" t="s">
        <v>4888</v>
      </c>
      <c r="B4863" s="19">
        <v>101881</v>
      </c>
      <c r="C4863" s="20" t="s">
        <v>4967</v>
      </c>
      <c r="D4863" s="19" t="s">
        <v>31</v>
      </c>
      <c r="E4863" s="21">
        <f t="shared" si="224"/>
        <v>875.27999999999997</v>
      </c>
      <c r="F4863" s="22">
        <v>0</v>
      </c>
      <c r="G4863" s="21">
        <f t="shared" si="225"/>
        <v>868.63999999999999</v>
      </c>
      <c r="H4863" s="22">
        <v>0</v>
      </c>
      <c r="I4863" s="23" t="str">
        <f t="shared" si="226"/>
        <v xml:space="preserve">COM VALOR</v>
      </c>
      <c r="J4863" s="19"/>
      <c r="L4863" s="21">
        <v>875.27999999999997</v>
      </c>
      <c r="M4863" s="22">
        <v>0.85999999999999999</v>
      </c>
      <c r="N4863" s="21">
        <v>868.63999999999999</v>
      </c>
      <c r="O4863" s="22">
        <v>0.85999999999999999</v>
      </c>
    </row>
    <row r="4864" ht="38.25">
      <c r="A4864" t="s">
        <v>4888</v>
      </c>
      <c r="B4864" s="19">
        <v>106023</v>
      </c>
      <c r="C4864" s="20" t="s">
        <v>4968</v>
      </c>
      <c r="D4864" s="19" t="s">
        <v>31</v>
      </c>
      <c r="E4864" s="21" t="str">
        <f t="shared" si="224"/>
        <v>VERIFICAR</v>
      </c>
      <c r="F4864" s="22">
        <v>0.54000000000000004</v>
      </c>
      <c r="G4864" s="21" t="str">
        <f t="shared" si="225"/>
        <v>VERIFICAR</v>
      </c>
      <c r="H4864" s="22">
        <v>0.56000000000000005</v>
      </c>
      <c r="I4864" s="23" t="str">
        <f t="shared" si="226"/>
        <v xml:space="preserve">COM VALOR</v>
      </c>
      <c r="J4864" s="19"/>
      <c r="L4864" s="21">
        <v>0</v>
      </c>
      <c r="M4864" s="22"/>
      <c r="N4864" s="21">
        <v>0</v>
      </c>
      <c r="O4864" s="22"/>
    </row>
    <row r="4865" ht="38.25">
      <c r="A4865" t="s">
        <v>4888</v>
      </c>
      <c r="B4865" s="19">
        <v>101878</v>
      </c>
      <c r="C4865" s="20" t="s">
        <v>4969</v>
      </c>
      <c r="D4865" s="19" t="s">
        <v>31</v>
      </c>
      <c r="E4865" s="21">
        <f t="shared" si="224"/>
        <v>409.32999999999998</v>
      </c>
      <c r="F4865" s="22">
        <v>0.55000000000000004</v>
      </c>
      <c r="G4865" s="21">
        <f t="shared" si="225"/>
        <v>408.33999999999997</v>
      </c>
      <c r="H4865" s="22">
        <v>0.56999999999999995</v>
      </c>
      <c r="I4865" s="23" t="str">
        <f t="shared" si="226"/>
        <v xml:space="preserve">COM VALOR</v>
      </c>
      <c r="J4865" s="19"/>
      <c r="L4865" s="21">
        <v>409.32999999999998</v>
      </c>
      <c r="M4865" s="22">
        <v>0.95999999999999996</v>
      </c>
      <c r="N4865" s="21">
        <v>408.33999999999997</v>
      </c>
      <c r="O4865" s="22">
        <v>0.95999999999999996</v>
      </c>
    </row>
    <row r="4866" ht="38.25">
      <c r="A4866" t="s">
        <v>4888</v>
      </c>
      <c r="B4866" s="19">
        <v>106024</v>
      </c>
      <c r="C4866" s="20" t="s">
        <v>4970</v>
      </c>
      <c r="D4866" s="19" t="s">
        <v>31</v>
      </c>
      <c r="E4866" s="21" t="str">
        <f t="shared" si="224"/>
        <v>VERIFICAR</v>
      </c>
      <c r="F4866" s="22">
        <v>0.73999999999999999</v>
      </c>
      <c r="G4866" s="21" t="str">
        <f t="shared" si="225"/>
        <v>VERIFICAR</v>
      </c>
      <c r="H4866" s="22">
        <v>0.76000000000000001</v>
      </c>
      <c r="I4866" s="23" t="str">
        <f t="shared" si="226"/>
        <v xml:space="preserve">COM VALOR</v>
      </c>
      <c r="J4866" s="19"/>
      <c r="L4866" s="21">
        <v>0</v>
      </c>
      <c r="M4866" s="22"/>
      <c r="N4866" s="21">
        <v>0</v>
      </c>
      <c r="O4866" s="22"/>
    </row>
    <row r="4867" ht="38.25">
      <c r="A4867" t="s">
        <v>4888</v>
      </c>
      <c r="B4867" s="19">
        <v>106025</v>
      </c>
      <c r="C4867" s="20" t="s">
        <v>4971</v>
      </c>
      <c r="D4867" s="19" t="s">
        <v>31</v>
      </c>
      <c r="E4867" s="21" t="str">
        <f t="shared" si="224"/>
        <v>VERIFICAR</v>
      </c>
      <c r="F4867" s="22">
        <v>0.81999999999999995</v>
      </c>
      <c r="G4867" s="21" t="str">
        <f t="shared" si="225"/>
        <v>VERIFICAR</v>
      </c>
      <c r="H4867" s="22">
        <v>0.82999999999999996</v>
      </c>
      <c r="I4867" s="23" t="str">
        <f t="shared" si="226"/>
        <v xml:space="preserve">COM VALOR</v>
      </c>
      <c r="J4867" s="19"/>
      <c r="L4867" s="21">
        <v>0</v>
      </c>
      <c r="M4867" s="22"/>
      <c r="N4867" s="21">
        <v>0</v>
      </c>
      <c r="O4867" s="22"/>
    </row>
    <row r="4868" ht="38.25">
      <c r="A4868" t="s">
        <v>4888</v>
      </c>
      <c r="B4868" s="19">
        <v>106026</v>
      </c>
      <c r="C4868" s="20" t="s">
        <v>4972</v>
      </c>
      <c r="D4868" s="19" t="s">
        <v>31</v>
      </c>
      <c r="E4868" s="21" t="str">
        <f t="shared" si="224"/>
        <v>VERIFICAR</v>
      </c>
      <c r="F4868" s="22">
        <v>0.76000000000000001</v>
      </c>
      <c r="G4868" s="21" t="str">
        <f t="shared" si="225"/>
        <v>VERIFICAR</v>
      </c>
      <c r="H4868" s="22">
        <v>0.77000000000000002</v>
      </c>
      <c r="I4868" s="23" t="str">
        <f t="shared" si="226"/>
        <v xml:space="preserve">COM VALOR</v>
      </c>
      <c r="J4868" s="19"/>
      <c r="L4868" s="21">
        <v>0</v>
      </c>
      <c r="M4868" s="22"/>
      <c r="N4868" s="21">
        <v>0</v>
      </c>
      <c r="O4868" s="22"/>
    </row>
    <row r="4869" ht="38.25">
      <c r="A4869" t="s">
        <v>4888</v>
      </c>
      <c r="B4869" s="19">
        <v>101877</v>
      </c>
      <c r="C4869" s="20" t="s">
        <v>4973</v>
      </c>
      <c r="D4869" s="19" t="s">
        <v>31</v>
      </c>
      <c r="E4869" s="21">
        <f t="shared" si="224"/>
        <v>80.150000000000006</v>
      </c>
      <c r="F4869" s="22"/>
      <c r="G4869" s="21">
        <f t="shared" si="225"/>
        <v>77.849999999999994</v>
      </c>
      <c r="H4869" s="22"/>
      <c r="I4869" s="23" t="str">
        <f t="shared" si="226"/>
        <v xml:space="preserve">COM VALOR</v>
      </c>
      <c r="J4869" s="19"/>
      <c r="L4869" s="21">
        <v>80.150000000000006</v>
      </c>
      <c r="M4869" s="22">
        <v>0</v>
      </c>
      <c r="N4869" s="21">
        <v>77.849999999999994</v>
      </c>
      <c r="O4869" s="22">
        <v>0</v>
      </c>
    </row>
    <row r="4870" ht="38.25">
      <c r="A4870" t="s">
        <v>4888</v>
      </c>
      <c r="B4870" s="19">
        <v>101876</v>
      </c>
      <c r="C4870" s="20" t="s">
        <v>4974</v>
      </c>
      <c r="D4870" s="19" t="s">
        <v>31</v>
      </c>
      <c r="E4870" s="21">
        <f t="shared" si="224"/>
        <v>110.17</v>
      </c>
      <c r="F4870" s="22"/>
      <c r="G4870" s="21">
        <f t="shared" si="225"/>
        <v>107.45999999999999</v>
      </c>
      <c r="H4870" s="22"/>
      <c r="I4870" s="23" t="str">
        <f t="shared" si="226"/>
        <v xml:space="preserve">COM VALOR</v>
      </c>
      <c r="J4870" s="19"/>
      <c r="L4870" s="21">
        <v>110.17</v>
      </c>
      <c r="M4870" s="22">
        <v>0</v>
      </c>
      <c r="N4870" s="21">
        <v>107.45999999999999</v>
      </c>
      <c r="O4870" s="22">
        <v>0</v>
      </c>
    </row>
    <row r="4871" ht="25.5">
      <c r="A4871" t="s">
        <v>4888</v>
      </c>
      <c r="B4871" s="19">
        <v>101873</v>
      </c>
      <c r="C4871" s="20" t="s">
        <v>4975</v>
      </c>
      <c r="D4871" s="19" t="s">
        <v>31</v>
      </c>
      <c r="E4871" s="21" t="str">
        <f t="shared" si="224"/>
        <v>VERIFICAR</v>
      </c>
      <c r="F4871" s="22"/>
      <c r="G4871" s="21" t="str">
        <f t="shared" si="225"/>
        <v>VERIFICAR</v>
      </c>
      <c r="H4871" s="22"/>
      <c r="I4871" s="23" t="str">
        <f t="shared" si="226"/>
        <v xml:space="preserve">COM VALOR</v>
      </c>
      <c r="J4871" s="19"/>
      <c r="L4871" s="21">
        <v>0</v>
      </c>
      <c r="M4871" s="22"/>
      <c r="N4871" s="21">
        <v>0</v>
      </c>
      <c r="O4871" s="22"/>
    </row>
    <row r="4872" ht="25.5">
      <c r="A4872" t="s">
        <v>4888</v>
      </c>
      <c r="B4872" s="19">
        <v>101874</v>
      </c>
      <c r="C4872" s="20" t="s">
        <v>4976</v>
      </c>
      <c r="D4872" s="19" t="s">
        <v>31</v>
      </c>
      <c r="E4872" s="21" t="str">
        <f t="shared" si="224"/>
        <v>VERIFICAR</v>
      </c>
      <c r="F4872" s="22"/>
      <c r="G4872" s="21" t="str">
        <f t="shared" si="225"/>
        <v>VERIFICAR</v>
      </c>
      <c r="H4872" s="22"/>
      <c r="I4872" s="23" t="str">
        <f t="shared" si="226"/>
        <v xml:space="preserve">COM VALOR</v>
      </c>
      <c r="J4872" s="19"/>
      <c r="L4872" s="21">
        <v>0</v>
      </c>
      <c r="M4872" s="22"/>
      <c r="N4872" s="21">
        <v>0</v>
      </c>
      <c r="O4872" s="22"/>
    </row>
    <row r="4873" ht="25.5">
      <c r="A4873" t="s">
        <v>4888</v>
      </c>
      <c r="B4873" s="19">
        <v>101871</v>
      </c>
      <c r="C4873" s="20" t="s">
        <v>4977</v>
      </c>
      <c r="D4873" s="19" t="s">
        <v>31</v>
      </c>
      <c r="E4873" s="21" t="str">
        <f t="shared" si="224"/>
        <v>VERIFICAR</v>
      </c>
      <c r="F4873" s="22">
        <v>0.83999999999999997</v>
      </c>
      <c r="G4873" s="21" t="str">
        <f t="shared" si="225"/>
        <v>VERIFICAR</v>
      </c>
      <c r="H4873" s="22">
        <v>0.84999999999999998</v>
      </c>
      <c r="I4873" s="23" t="str">
        <f t="shared" si="226"/>
        <v xml:space="preserve">COM VALOR</v>
      </c>
      <c r="J4873" s="19"/>
      <c r="L4873" s="21">
        <v>0</v>
      </c>
      <c r="M4873" s="22"/>
      <c r="N4873" s="21">
        <v>0</v>
      </c>
      <c r="O4873" s="22"/>
    </row>
    <row r="4874" ht="25.5">
      <c r="A4874" t="s">
        <v>4888</v>
      </c>
      <c r="B4874" s="19">
        <v>101872</v>
      </c>
      <c r="C4874" s="20" t="s">
        <v>4978</v>
      </c>
      <c r="D4874" s="19" t="s">
        <v>31</v>
      </c>
      <c r="E4874" s="21" t="str">
        <f t="shared" si="224"/>
        <v>VERIFICAR</v>
      </c>
      <c r="F4874" s="22">
        <v>0.85999999999999999</v>
      </c>
      <c r="G4874" s="21" t="str">
        <f t="shared" si="225"/>
        <v>VERIFICAR</v>
      </c>
      <c r="H4874" s="22">
        <v>0.87</v>
      </c>
      <c r="I4874" s="23" t="str">
        <f t="shared" si="226"/>
        <v xml:space="preserve">COM VALOR</v>
      </c>
      <c r="J4874" s="19"/>
      <c r="L4874" s="21">
        <v>0</v>
      </c>
      <c r="M4874" s="22"/>
      <c r="N4874" s="21">
        <v>0</v>
      </c>
      <c r="O4874" s="22"/>
    </row>
    <row r="4875" ht="25.5">
      <c r="A4875" t="s">
        <v>4888</v>
      </c>
      <c r="B4875" s="19">
        <v>97360</v>
      </c>
      <c r="C4875" s="20" t="s">
        <v>4979</v>
      </c>
      <c r="D4875" s="19" t="s">
        <v>31</v>
      </c>
      <c r="E4875" s="21">
        <f t="shared" ref="E4875:E4938" si="227">IF(L4875=0,"VERIFICAR",L4875)</f>
        <v>6759.1300000000001</v>
      </c>
      <c r="F4875" s="22">
        <v>0</v>
      </c>
      <c r="G4875" s="21">
        <f t="shared" ref="G4875:G4938" si="228">IF(N4875=0,"VERIFICAR",N4875)</f>
        <v>6742.8900000000003</v>
      </c>
      <c r="H4875" s="22">
        <v>0</v>
      </c>
      <c r="I4875" s="23" t="str">
        <f t="shared" ref="I4875:I4938" si="229">IF(OR(E4875=0,G4875=0),"SEM VALOR","COM VALOR")</f>
        <v xml:space="preserve">COM VALOR</v>
      </c>
      <c r="J4875" s="19"/>
      <c r="L4875" s="21">
        <v>6759.1300000000001</v>
      </c>
      <c r="M4875" s="22">
        <v>0</v>
      </c>
      <c r="N4875" s="21">
        <v>6742.8900000000003</v>
      </c>
      <c r="O4875" s="22">
        <v>0</v>
      </c>
    </row>
    <row r="4876" ht="25.5">
      <c r="A4876" t="s">
        <v>4888</v>
      </c>
      <c r="B4876" s="19">
        <v>97361</v>
      </c>
      <c r="C4876" s="20" t="s">
        <v>4980</v>
      </c>
      <c r="D4876" s="19" t="s">
        <v>31</v>
      </c>
      <c r="E4876" s="21">
        <f t="shared" si="227"/>
        <v>9012.1800000000003</v>
      </c>
      <c r="F4876" s="22">
        <v>0</v>
      </c>
      <c r="G4876" s="21">
        <f t="shared" si="228"/>
        <v>8990.5200000000004</v>
      </c>
      <c r="H4876" s="22">
        <v>0</v>
      </c>
      <c r="I4876" s="23" t="str">
        <f t="shared" si="229"/>
        <v xml:space="preserve">COM VALOR</v>
      </c>
      <c r="J4876" s="19"/>
      <c r="L4876" s="21">
        <v>9012.1800000000003</v>
      </c>
      <c r="M4876" s="22">
        <v>0</v>
      </c>
      <c r="N4876" s="21">
        <v>8990.5200000000004</v>
      </c>
      <c r="O4876" s="22">
        <v>0</v>
      </c>
    </row>
    <row r="4877" ht="25.5">
      <c r="A4877" t="s">
        <v>4888</v>
      </c>
      <c r="B4877" s="19">
        <v>97359</v>
      </c>
      <c r="C4877" s="20" t="s">
        <v>4981</v>
      </c>
      <c r="D4877" s="19" t="s">
        <v>31</v>
      </c>
      <c r="E4877" s="21">
        <f t="shared" si="227"/>
        <v>3510.3800000000001</v>
      </c>
      <c r="F4877" s="22">
        <v>0</v>
      </c>
      <c r="G4877" s="21">
        <f t="shared" si="228"/>
        <v>3499.5500000000002</v>
      </c>
      <c r="H4877" s="22">
        <v>0</v>
      </c>
      <c r="I4877" s="23" t="str">
        <f t="shared" si="229"/>
        <v xml:space="preserve">COM VALOR</v>
      </c>
      <c r="J4877" s="19"/>
      <c r="L4877" s="21">
        <v>3510.3800000000001</v>
      </c>
      <c r="M4877" s="22">
        <v>0</v>
      </c>
      <c r="N4877" s="21">
        <v>3499.5500000000002</v>
      </c>
      <c r="O4877" s="22">
        <v>0</v>
      </c>
    </row>
    <row r="4878" ht="25.5">
      <c r="A4878" t="s">
        <v>4888</v>
      </c>
      <c r="B4878" s="19">
        <v>101946</v>
      </c>
      <c r="C4878" s="20" t="s">
        <v>4982</v>
      </c>
      <c r="D4878" s="19" t="s">
        <v>31</v>
      </c>
      <c r="E4878" s="21">
        <f t="shared" si="227"/>
        <v>110.13</v>
      </c>
      <c r="F4878" s="22">
        <v>0</v>
      </c>
      <c r="G4878" s="21">
        <f t="shared" si="228"/>
        <v>108.5</v>
      </c>
      <c r="H4878" s="22">
        <v>0</v>
      </c>
      <c r="I4878" s="23" t="str">
        <f t="shared" si="229"/>
        <v xml:space="preserve">COM VALOR</v>
      </c>
      <c r="J4878" s="19"/>
      <c r="L4878" s="21">
        <v>110.13</v>
      </c>
      <c r="M4878" s="22">
        <v>0</v>
      </c>
      <c r="N4878" s="21">
        <v>108.5</v>
      </c>
      <c r="O4878" s="22">
        <v>0</v>
      </c>
    </row>
    <row r="4879" ht="38.25">
      <c r="A4879" t="s">
        <v>4888</v>
      </c>
      <c r="B4879" s="19">
        <v>97362</v>
      </c>
      <c r="C4879" s="20" t="s">
        <v>4983</v>
      </c>
      <c r="D4879" s="19" t="s">
        <v>31</v>
      </c>
      <c r="E4879" s="21">
        <f t="shared" si="227"/>
        <v>1535.6800000000001</v>
      </c>
      <c r="F4879" s="22">
        <v>0</v>
      </c>
      <c r="G4879" s="21">
        <f t="shared" si="228"/>
        <v>1533.1700000000001</v>
      </c>
      <c r="H4879" s="22">
        <v>0</v>
      </c>
      <c r="I4879" s="23" t="str">
        <f t="shared" si="229"/>
        <v xml:space="preserve">COM VALOR</v>
      </c>
      <c r="J4879" s="19"/>
      <c r="L4879" s="21">
        <v>1535.6800000000001</v>
      </c>
      <c r="M4879" s="22">
        <v>0.96999999999999997</v>
      </c>
      <c r="N4879" s="21">
        <v>1533.1700000000001</v>
      </c>
      <c r="O4879" s="22">
        <v>0.96999999999999997</v>
      </c>
    </row>
    <row r="4880" ht="25.5">
      <c r="A4880" t="s">
        <v>4984</v>
      </c>
      <c r="B4880" s="19">
        <v>101553</v>
      </c>
      <c r="C4880" s="20" t="s">
        <v>4985</v>
      </c>
      <c r="D4880" s="19" t="s">
        <v>31</v>
      </c>
      <c r="E4880" s="21">
        <f t="shared" si="227"/>
        <v>23.93</v>
      </c>
      <c r="F4880" s="22">
        <v>0</v>
      </c>
      <c r="G4880" s="21">
        <f t="shared" si="228"/>
        <v>23.629999999999999</v>
      </c>
      <c r="H4880" s="22">
        <v>0</v>
      </c>
      <c r="I4880" s="23" t="str">
        <f t="shared" si="229"/>
        <v xml:space="preserve">COM VALOR</v>
      </c>
      <c r="J4880" s="19"/>
      <c r="L4880" s="21">
        <v>23.93</v>
      </c>
      <c r="M4880" s="22">
        <v>0</v>
      </c>
      <c r="N4880" s="21">
        <v>23.629999999999999</v>
      </c>
      <c r="O4880" s="22">
        <v>0</v>
      </c>
    </row>
    <row r="4881" ht="25.5">
      <c r="A4881" t="s">
        <v>4984</v>
      </c>
      <c r="B4881" s="19">
        <v>101554</v>
      </c>
      <c r="C4881" s="20" t="s">
        <v>4986</v>
      </c>
      <c r="D4881" s="19" t="s">
        <v>31</v>
      </c>
      <c r="E4881" s="21">
        <f t="shared" si="227"/>
        <v>16.449999999999999</v>
      </c>
      <c r="F4881" s="22">
        <v>0</v>
      </c>
      <c r="G4881" s="21">
        <f t="shared" si="228"/>
        <v>16.149999999999999</v>
      </c>
      <c r="H4881" s="22">
        <v>0</v>
      </c>
      <c r="I4881" s="23" t="str">
        <f t="shared" si="229"/>
        <v xml:space="preserve">COM VALOR</v>
      </c>
      <c r="J4881" s="19"/>
      <c r="L4881" s="21">
        <v>16.449999999999999</v>
      </c>
      <c r="M4881" s="22">
        <v>0</v>
      </c>
      <c r="N4881" s="21">
        <v>16.149999999999999</v>
      </c>
      <c r="O4881" s="22">
        <v>0</v>
      </c>
    </row>
    <row r="4882" ht="25.5">
      <c r="A4882" t="s">
        <v>4984</v>
      </c>
      <c r="B4882" s="19">
        <v>101555</v>
      </c>
      <c r="C4882" s="20" t="s">
        <v>4987</v>
      </c>
      <c r="D4882" s="19" t="s">
        <v>31</v>
      </c>
      <c r="E4882" s="21">
        <f t="shared" si="227"/>
        <v>9.6400000000000006</v>
      </c>
      <c r="F4882" s="22">
        <v>0</v>
      </c>
      <c r="G4882" s="21">
        <f t="shared" si="228"/>
        <v>9.3399999999999999</v>
      </c>
      <c r="H4882" s="22">
        <v>0</v>
      </c>
      <c r="I4882" s="23" t="str">
        <f t="shared" si="229"/>
        <v xml:space="preserve">COM VALOR</v>
      </c>
      <c r="J4882" s="19"/>
      <c r="L4882" s="21">
        <v>9.6400000000000006</v>
      </c>
      <c r="M4882" s="22">
        <v>0</v>
      </c>
      <c r="N4882" s="21">
        <v>9.3399999999999999</v>
      </c>
      <c r="O4882" s="22">
        <v>0</v>
      </c>
    </row>
    <row r="4883" ht="25.5">
      <c r="A4883" t="s">
        <v>4984</v>
      </c>
      <c r="B4883" s="19">
        <v>101556</v>
      </c>
      <c r="C4883" s="20" t="s">
        <v>4988</v>
      </c>
      <c r="D4883" s="19" t="s">
        <v>31</v>
      </c>
      <c r="E4883" s="21">
        <f t="shared" si="227"/>
        <v>8.5500000000000007</v>
      </c>
      <c r="F4883" s="22">
        <v>0.33000000000000002</v>
      </c>
      <c r="G4883" s="21">
        <f t="shared" si="228"/>
        <v>8.25</v>
      </c>
      <c r="H4883" s="22">
        <v>0.34000000000000002</v>
      </c>
      <c r="I4883" s="23" t="str">
        <f t="shared" si="229"/>
        <v xml:space="preserve">COM VALOR</v>
      </c>
      <c r="J4883" s="19"/>
      <c r="L4883" s="21">
        <v>8.5500000000000007</v>
      </c>
      <c r="M4883" s="22">
        <v>0</v>
      </c>
      <c r="N4883" s="21">
        <v>8.25</v>
      </c>
      <c r="O4883" s="22">
        <v>0</v>
      </c>
    </row>
    <row r="4884" ht="25.5">
      <c r="A4884" t="s">
        <v>4984</v>
      </c>
      <c r="B4884" s="19">
        <v>101537</v>
      </c>
      <c r="C4884" s="20" t="s">
        <v>4989</v>
      </c>
      <c r="D4884" s="19" t="s">
        <v>31</v>
      </c>
      <c r="E4884" s="21">
        <f t="shared" si="227"/>
        <v>98.310000000000002</v>
      </c>
      <c r="F4884" s="22">
        <v>0.34000000000000002</v>
      </c>
      <c r="G4884" s="21">
        <f t="shared" si="228"/>
        <v>95.810000000000002</v>
      </c>
      <c r="H4884" s="22">
        <v>0.34999999999999998</v>
      </c>
      <c r="I4884" s="23" t="str">
        <f t="shared" si="229"/>
        <v xml:space="preserve">COM VALOR</v>
      </c>
      <c r="J4884" s="19"/>
      <c r="L4884" s="21">
        <v>98.310000000000002</v>
      </c>
      <c r="M4884" s="22">
        <v>0</v>
      </c>
      <c r="N4884" s="21">
        <v>95.810000000000002</v>
      </c>
      <c r="O4884" s="22">
        <v>0</v>
      </c>
    </row>
    <row r="4885" ht="25.5">
      <c r="A4885" t="s">
        <v>4984</v>
      </c>
      <c r="B4885" s="19">
        <v>101538</v>
      </c>
      <c r="C4885" s="20" t="s">
        <v>4990</v>
      </c>
      <c r="D4885" s="19" t="s">
        <v>31</v>
      </c>
      <c r="E4885" s="21">
        <f t="shared" si="227"/>
        <v>67.290000000000006</v>
      </c>
      <c r="F4885" s="22">
        <v>0.34999999999999998</v>
      </c>
      <c r="G4885" s="21">
        <f t="shared" si="228"/>
        <v>66.590000000000003</v>
      </c>
      <c r="H4885" s="22">
        <v>0.35999999999999999</v>
      </c>
      <c r="I4885" s="23" t="str">
        <f t="shared" si="229"/>
        <v xml:space="preserve">COM VALOR</v>
      </c>
      <c r="J4885" s="19"/>
      <c r="L4885" s="21">
        <v>67.290000000000006</v>
      </c>
      <c r="M4885" s="22">
        <v>4.0000000000000001e-002</v>
      </c>
      <c r="N4885" s="21">
        <v>66.590000000000003</v>
      </c>
      <c r="O4885" s="22">
        <v>4.0000000000000001e-002</v>
      </c>
    </row>
    <row r="4886" ht="25.5">
      <c r="A4886" t="s">
        <v>4984</v>
      </c>
      <c r="B4886" s="19">
        <v>101542</v>
      </c>
      <c r="C4886" s="20" t="s">
        <v>4991</v>
      </c>
      <c r="D4886" s="19" t="s">
        <v>31</v>
      </c>
      <c r="E4886" s="21">
        <f t="shared" si="227"/>
        <v>49.840000000000003</v>
      </c>
      <c r="F4886" s="22">
        <v>0.34999999999999998</v>
      </c>
      <c r="G4886" s="21">
        <f t="shared" si="228"/>
        <v>49.259999999999998</v>
      </c>
      <c r="H4886" s="22">
        <v>0.35999999999999999</v>
      </c>
      <c r="I4886" s="23" t="str">
        <f t="shared" si="229"/>
        <v xml:space="preserve">COM VALOR</v>
      </c>
      <c r="J4886" s="19"/>
      <c r="L4886" s="21">
        <v>49.840000000000003</v>
      </c>
      <c r="M4886" s="22">
        <v>5.0000000000000003e-002</v>
      </c>
      <c r="N4886" s="21">
        <v>49.259999999999998</v>
      </c>
      <c r="O4886" s="22">
        <v>5.0000000000000003e-002</v>
      </c>
    </row>
    <row r="4887" ht="25.5">
      <c r="A4887" t="s">
        <v>4984</v>
      </c>
      <c r="B4887" s="19">
        <v>101539</v>
      </c>
      <c r="C4887" s="20" t="s">
        <v>4992</v>
      </c>
      <c r="D4887" s="19" t="s">
        <v>31</v>
      </c>
      <c r="E4887" s="21">
        <f t="shared" si="227"/>
        <v>108.2</v>
      </c>
      <c r="F4887" s="22">
        <v>0</v>
      </c>
      <c r="G4887" s="21">
        <f t="shared" si="228"/>
        <v>106.8</v>
      </c>
      <c r="H4887" s="22">
        <v>0</v>
      </c>
      <c r="I4887" s="23" t="str">
        <f t="shared" si="229"/>
        <v xml:space="preserve">COM VALOR</v>
      </c>
      <c r="J4887" s="19"/>
      <c r="L4887" s="21">
        <v>108.2</v>
      </c>
      <c r="M4887" s="22">
        <v>5.0000000000000003e-002</v>
      </c>
      <c r="N4887" s="21">
        <v>106.8</v>
      </c>
      <c r="O4887" s="22">
        <v>5.0000000000000003e-002</v>
      </c>
    </row>
    <row r="4888" ht="25.5">
      <c r="A4888" t="s">
        <v>4984</v>
      </c>
      <c r="B4888" s="19">
        <v>101543</v>
      </c>
      <c r="C4888" s="20" t="s">
        <v>4993</v>
      </c>
      <c r="D4888" s="19" t="s">
        <v>31</v>
      </c>
      <c r="E4888" s="21">
        <f t="shared" si="227"/>
        <v>86.939999999999998</v>
      </c>
      <c r="F4888" s="22">
        <v>0</v>
      </c>
      <c r="G4888" s="21">
        <f t="shared" si="228"/>
        <v>85.760000000000005</v>
      </c>
      <c r="H4888" s="22">
        <v>0</v>
      </c>
      <c r="I4888" s="23" t="str">
        <f t="shared" si="229"/>
        <v xml:space="preserve">COM VALOR</v>
      </c>
      <c r="J4888" s="19"/>
      <c r="L4888" s="21">
        <v>86.939999999999998</v>
      </c>
      <c r="M4888" s="22">
        <v>5.9999999999999998e-002</v>
      </c>
      <c r="N4888" s="21">
        <v>85.760000000000005</v>
      </c>
      <c r="O4888" s="22">
        <v>5.9999999999999998e-002</v>
      </c>
    </row>
    <row r="4889" ht="25.5">
      <c r="A4889" t="s">
        <v>4984</v>
      </c>
      <c r="B4889" s="19">
        <v>101540</v>
      </c>
      <c r="C4889" s="20" t="s">
        <v>4994</v>
      </c>
      <c r="D4889" s="19" t="s">
        <v>31</v>
      </c>
      <c r="E4889" s="21">
        <f t="shared" si="227"/>
        <v>185.75999999999999</v>
      </c>
      <c r="F4889" s="22">
        <v>0</v>
      </c>
      <c r="G4889" s="21">
        <f t="shared" si="228"/>
        <v>183.66</v>
      </c>
      <c r="H4889" s="22">
        <v>0</v>
      </c>
      <c r="I4889" s="23" t="str">
        <f t="shared" si="229"/>
        <v xml:space="preserve">COM VALOR</v>
      </c>
      <c r="J4889" s="19"/>
      <c r="L4889" s="21">
        <v>185.75999999999999</v>
      </c>
      <c r="M4889" s="22">
        <v>4.0000000000000001e-002</v>
      </c>
      <c r="N4889" s="21">
        <v>183.66</v>
      </c>
      <c r="O4889" s="22">
        <v>4.0000000000000001e-002</v>
      </c>
    </row>
    <row r="4890" ht="25.5">
      <c r="A4890" t="s">
        <v>4984</v>
      </c>
      <c r="B4890" s="19">
        <v>101544</v>
      </c>
      <c r="C4890" s="20" t="s">
        <v>4995</v>
      </c>
      <c r="D4890" s="19" t="s">
        <v>31</v>
      </c>
      <c r="E4890" s="21">
        <f t="shared" si="227"/>
        <v>140.56999999999999</v>
      </c>
      <c r="F4890" s="22">
        <v>0</v>
      </c>
      <c r="G4890" s="21">
        <f t="shared" si="228"/>
        <v>138.83000000000001</v>
      </c>
      <c r="H4890" s="22">
        <v>0</v>
      </c>
      <c r="I4890" s="23" t="str">
        <f t="shared" si="229"/>
        <v xml:space="preserve">COM VALOR</v>
      </c>
      <c r="J4890" s="19"/>
      <c r="L4890" s="21">
        <v>140.56999999999999</v>
      </c>
      <c r="M4890" s="22">
        <v>5.9999999999999998e-002</v>
      </c>
      <c r="N4890" s="21">
        <v>138.83000000000001</v>
      </c>
      <c r="O4890" s="22">
        <v>5.9999999999999998e-002</v>
      </c>
    </row>
    <row r="4891" ht="25.5">
      <c r="A4891" t="s">
        <v>4984</v>
      </c>
      <c r="B4891" s="19">
        <v>101541</v>
      </c>
      <c r="C4891" s="20" t="s">
        <v>4996</v>
      </c>
      <c r="D4891" s="19" t="s">
        <v>31</v>
      </c>
      <c r="E4891" s="21">
        <f t="shared" si="227"/>
        <v>241.49000000000001</v>
      </c>
      <c r="F4891" s="22">
        <v>0</v>
      </c>
      <c r="G4891" s="21">
        <f t="shared" si="228"/>
        <v>238.69999999999999</v>
      </c>
      <c r="H4891" s="22">
        <v>0</v>
      </c>
      <c r="I4891" s="23" t="str">
        <f t="shared" si="229"/>
        <v xml:space="preserve">COM VALOR</v>
      </c>
      <c r="J4891" s="19"/>
      <c r="L4891" s="21">
        <v>241.49000000000001</v>
      </c>
      <c r="M4891" s="22">
        <v>4.0000000000000001e-002</v>
      </c>
      <c r="N4891" s="21">
        <v>238.69999999999999</v>
      </c>
      <c r="O4891" s="22">
        <v>4.0000000000000001e-002</v>
      </c>
    </row>
    <row r="4892" ht="25.5">
      <c r="A4892" t="s">
        <v>4984</v>
      </c>
      <c r="B4892" s="19">
        <v>101545</v>
      </c>
      <c r="C4892" s="20" t="s">
        <v>4997</v>
      </c>
      <c r="D4892" s="19" t="s">
        <v>31</v>
      </c>
      <c r="E4892" s="21">
        <f t="shared" si="227"/>
        <v>206.63</v>
      </c>
      <c r="F4892" s="22">
        <v>0</v>
      </c>
      <c r="G4892" s="21">
        <f t="shared" si="228"/>
        <v>204.28999999999999</v>
      </c>
      <c r="H4892" s="22">
        <v>0</v>
      </c>
      <c r="I4892" s="23" t="str">
        <f t="shared" si="229"/>
        <v xml:space="preserve">COM VALOR</v>
      </c>
      <c r="J4892" s="19"/>
      <c r="L4892" s="21">
        <v>206.63</v>
      </c>
      <c r="M4892" s="22">
        <v>5.0000000000000003e-002</v>
      </c>
      <c r="N4892" s="21">
        <v>204.28999999999999</v>
      </c>
      <c r="O4892" s="22">
        <v>5.0000000000000003e-002</v>
      </c>
    </row>
    <row r="4893" ht="38.25">
      <c r="A4893" t="s">
        <v>4984</v>
      </c>
      <c r="B4893" s="19">
        <v>106502</v>
      </c>
      <c r="C4893" s="20" t="s">
        <v>4998</v>
      </c>
      <c r="D4893" s="19" t="s">
        <v>38</v>
      </c>
      <c r="E4893" s="21">
        <f t="shared" si="227"/>
        <v>13.970000000000001</v>
      </c>
      <c r="F4893" s="22">
        <v>0</v>
      </c>
      <c r="G4893" s="21">
        <f t="shared" si="228"/>
        <v>13.960000000000001</v>
      </c>
      <c r="H4893" s="22">
        <v>0</v>
      </c>
      <c r="I4893" s="23" t="str">
        <f t="shared" si="229"/>
        <v xml:space="preserve">COM VALOR</v>
      </c>
      <c r="J4893" s="19"/>
      <c r="L4893" s="21">
        <v>13.970000000000001</v>
      </c>
      <c r="M4893" s="22">
        <v>0</v>
      </c>
      <c r="N4893" s="21">
        <v>13.960000000000001</v>
      </c>
      <c r="O4893" s="22">
        <v>0</v>
      </c>
    </row>
    <row r="4894" ht="38.25">
      <c r="A4894" t="s">
        <v>4984</v>
      </c>
      <c r="B4894" s="19">
        <v>106503</v>
      </c>
      <c r="C4894" s="20" t="s">
        <v>4999</v>
      </c>
      <c r="D4894" s="19" t="s">
        <v>38</v>
      </c>
      <c r="E4894" s="21">
        <f t="shared" si="227"/>
        <v>8.7899999999999991</v>
      </c>
      <c r="F4894" s="22">
        <v>0</v>
      </c>
      <c r="G4894" s="21">
        <f t="shared" si="228"/>
        <v>8.7799999999999994</v>
      </c>
      <c r="H4894" s="22">
        <v>0</v>
      </c>
      <c r="I4894" s="23" t="str">
        <f t="shared" si="229"/>
        <v xml:space="preserve">COM VALOR</v>
      </c>
      <c r="J4894" s="19"/>
      <c r="L4894" s="21">
        <v>8.7899999999999991</v>
      </c>
      <c r="M4894" s="22">
        <v>0</v>
      </c>
      <c r="N4894" s="21">
        <v>8.7799999999999994</v>
      </c>
      <c r="O4894" s="22">
        <v>0</v>
      </c>
    </row>
    <row r="4895" ht="38.25">
      <c r="A4895" t="s">
        <v>4984</v>
      </c>
      <c r="B4895" s="19">
        <v>106504</v>
      </c>
      <c r="C4895" s="20" t="s">
        <v>5000</v>
      </c>
      <c r="D4895" s="19" t="s">
        <v>38</v>
      </c>
      <c r="E4895" s="21">
        <f t="shared" si="227"/>
        <v>17.609999999999999</v>
      </c>
      <c r="F4895" s="22">
        <v>0</v>
      </c>
      <c r="G4895" s="21">
        <f t="shared" si="228"/>
        <v>17.59</v>
      </c>
      <c r="H4895" s="22">
        <v>0</v>
      </c>
      <c r="I4895" s="23" t="str">
        <f t="shared" si="229"/>
        <v xml:space="preserve">COM VALOR</v>
      </c>
      <c r="J4895" s="19"/>
      <c r="L4895" s="21">
        <v>17.609999999999999</v>
      </c>
      <c r="M4895" s="22">
        <v>0</v>
      </c>
      <c r="N4895" s="21">
        <v>17.59</v>
      </c>
      <c r="O4895" s="22">
        <v>0</v>
      </c>
    </row>
    <row r="4896" ht="38.25">
      <c r="A4896" t="s">
        <v>4984</v>
      </c>
      <c r="B4896" s="19">
        <v>106505</v>
      </c>
      <c r="C4896" s="20" t="s">
        <v>5001</v>
      </c>
      <c r="D4896" s="19" t="s">
        <v>38</v>
      </c>
      <c r="E4896" s="21">
        <f t="shared" si="227"/>
        <v>5.6799999999999997</v>
      </c>
      <c r="F4896" s="22">
        <v>0.95999999999999996</v>
      </c>
      <c r="G4896" s="21">
        <f t="shared" si="228"/>
        <v>5.6699999999999999</v>
      </c>
      <c r="H4896" s="22">
        <v>0.96999999999999997</v>
      </c>
      <c r="I4896" s="23" t="str">
        <f t="shared" si="229"/>
        <v xml:space="preserve">COM VALOR</v>
      </c>
      <c r="J4896" s="19"/>
      <c r="L4896" s="21">
        <v>5.6799999999999997</v>
      </c>
      <c r="M4896" s="22">
        <v>0</v>
      </c>
      <c r="N4896" s="21">
        <v>5.6699999999999999</v>
      </c>
      <c r="O4896" s="22">
        <v>0</v>
      </c>
    </row>
    <row r="4897" ht="38.25">
      <c r="A4897" t="s">
        <v>4984</v>
      </c>
      <c r="B4897" s="19">
        <v>106526</v>
      </c>
      <c r="C4897" s="20" t="s">
        <v>5002</v>
      </c>
      <c r="D4897" s="19" t="s">
        <v>38</v>
      </c>
      <c r="E4897" s="21" t="str">
        <f t="shared" si="227"/>
        <v>VERIFICAR</v>
      </c>
      <c r="F4897" s="22">
        <v>0.79000000000000004</v>
      </c>
      <c r="G4897" s="21" t="str">
        <f t="shared" si="228"/>
        <v>VERIFICAR</v>
      </c>
      <c r="H4897" s="22">
        <v>0.81000000000000005</v>
      </c>
      <c r="I4897" s="23" t="str">
        <f t="shared" si="229"/>
        <v xml:space="preserve">COM VALOR</v>
      </c>
      <c r="J4897" s="19"/>
      <c r="L4897" s="21">
        <v>0</v>
      </c>
      <c r="M4897" s="22"/>
      <c r="N4897" s="21">
        <v>0</v>
      </c>
      <c r="O4897" s="22"/>
    </row>
    <row r="4898" ht="38.25">
      <c r="A4898" t="s">
        <v>4984</v>
      </c>
      <c r="B4898" s="19">
        <v>106506</v>
      </c>
      <c r="C4898" s="20" t="s">
        <v>5003</v>
      </c>
      <c r="D4898" s="19" t="s">
        <v>38</v>
      </c>
      <c r="E4898" s="21">
        <f t="shared" si="227"/>
        <v>10.67</v>
      </c>
      <c r="F4898" s="22">
        <v>0.93000000000000005</v>
      </c>
      <c r="G4898" s="21">
        <f t="shared" si="228"/>
        <v>10.65</v>
      </c>
      <c r="H4898" s="22">
        <v>0.93000000000000005</v>
      </c>
      <c r="I4898" s="23" t="str">
        <f t="shared" si="229"/>
        <v xml:space="preserve">COM VALOR</v>
      </c>
      <c r="J4898" s="19"/>
      <c r="L4898" s="21">
        <v>10.67</v>
      </c>
      <c r="M4898" s="22">
        <v>0</v>
      </c>
      <c r="N4898" s="21">
        <v>10.65</v>
      </c>
      <c r="O4898" s="22">
        <v>0</v>
      </c>
    </row>
    <row r="4899" ht="38.25">
      <c r="A4899" t="s">
        <v>4984</v>
      </c>
      <c r="B4899" s="19">
        <v>106507</v>
      </c>
      <c r="C4899" s="20" t="s">
        <v>5004</v>
      </c>
      <c r="D4899" s="19" t="s">
        <v>38</v>
      </c>
      <c r="E4899" s="21">
        <f t="shared" si="227"/>
        <v>6.8200000000000003</v>
      </c>
      <c r="F4899" s="22">
        <v>0.92000000000000004</v>
      </c>
      <c r="G4899" s="21">
        <f t="shared" si="228"/>
        <v>6.8099999999999996</v>
      </c>
      <c r="H4899" s="22">
        <v>0.93000000000000005</v>
      </c>
      <c r="I4899" s="23" t="str">
        <f t="shared" si="229"/>
        <v xml:space="preserve">COM VALOR</v>
      </c>
      <c r="J4899" s="19"/>
      <c r="L4899" s="21">
        <v>6.8200000000000003</v>
      </c>
      <c r="M4899" s="22">
        <v>0</v>
      </c>
      <c r="N4899" s="21">
        <v>6.8099999999999996</v>
      </c>
      <c r="O4899" s="22">
        <v>0</v>
      </c>
    </row>
    <row r="4900" ht="38.25">
      <c r="A4900" t="s">
        <v>4984</v>
      </c>
      <c r="B4900" s="19">
        <v>106508</v>
      </c>
      <c r="C4900" s="20" t="s">
        <v>5005</v>
      </c>
      <c r="D4900" s="19" t="s">
        <v>38</v>
      </c>
      <c r="E4900" s="21">
        <f t="shared" si="227"/>
        <v>13.470000000000001</v>
      </c>
      <c r="F4900" s="22">
        <v>0</v>
      </c>
      <c r="G4900" s="21">
        <f t="shared" si="228"/>
        <v>13.44</v>
      </c>
      <c r="H4900" s="22">
        <v>0</v>
      </c>
      <c r="I4900" s="23" t="str">
        <f t="shared" si="229"/>
        <v xml:space="preserve">COM VALOR</v>
      </c>
      <c r="J4900" s="19"/>
      <c r="L4900" s="21">
        <v>13.470000000000001</v>
      </c>
      <c r="M4900" s="22">
        <v>0</v>
      </c>
      <c r="N4900" s="21">
        <v>13.44</v>
      </c>
      <c r="O4900" s="22">
        <v>0</v>
      </c>
    </row>
    <row r="4901" ht="38.25">
      <c r="A4901" t="s">
        <v>4984</v>
      </c>
      <c r="B4901" s="19">
        <v>106509</v>
      </c>
      <c r="C4901" s="20" t="s">
        <v>5006</v>
      </c>
      <c r="D4901" s="19" t="s">
        <v>38</v>
      </c>
      <c r="E4901" s="21">
        <f t="shared" si="227"/>
        <v>4.3899999999999997</v>
      </c>
      <c r="F4901" s="22">
        <v>0</v>
      </c>
      <c r="G4901" s="21">
        <f t="shared" si="228"/>
        <v>4.3799999999999999</v>
      </c>
      <c r="H4901" s="22">
        <v>0</v>
      </c>
      <c r="I4901" s="23" t="str">
        <f t="shared" si="229"/>
        <v xml:space="preserve">COM VALOR</v>
      </c>
      <c r="J4901" s="19"/>
      <c r="L4901" s="21">
        <v>4.3899999999999997</v>
      </c>
      <c r="M4901" s="22">
        <v>0</v>
      </c>
      <c r="N4901" s="21">
        <v>4.3799999999999999</v>
      </c>
      <c r="O4901" s="22">
        <v>0</v>
      </c>
    </row>
    <row r="4902" ht="38.25">
      <c r="A4902" t="s">
        <v>4984</v>
      </c>
      <c r="B4902" s="19">
        <v>106527</v>
      </c>
      <c r="C4902" s="20" t="s">
        <v>5007</v>
      </c>
      <c r="D4902" s="19" t="s">
        <v>38</v>
      </c>
      <c r="E4902" s="21" t="str">
        <f t="shared" si="227"/>
        <v>VERIFICAR</v>
      </c>
      <c r="F4902" s="22">
        <v>0</v>
      </c>
      <c r="G4902" s="21" t="str">
        <f t="shared" si="228"/>
        <v>VERIFICAR</v>
      </c>
      <c r="H4902" s="22">
        <v>0</v>
      </c>
      <c r="I4902" s="23" t="str">
        <f t="shared" si="229"/>
        <v xml:space="preserve">COM VALOR</v>
      </c>
      <c r="J4902" s="19"/>
      <c r="L4902" s="21">
        <v>0</v>
      </c>
      <c r="M4902" s="22"/>
      <c r="N4902" s="21">
        <v>0</v>
      </c>
      <c r="O4902" s="22"/>
    </row>
    <row r="4903" ht="38.25">
      <c r="A4903" t="s">
        <v>4984</v>
      </c>
      <c r="B4903" s="19">
        <v>106499</v>
      </c>
      <c r="C4903" s="20" t="s">
        <v>5008</v>
      </c>
      <c r="D4903" s="19" t="s">
        <v>38</v>
      </c>
      <c r="E4903" s="21" t="str">
        <f t="shared" si="227"/>
        <v>VERIFICAR</v>
      </c>
      <c r="F4903" s="22">
        <v>0</v>
      </c>
      <c r="G4903" s="21" t="str">
        <f t="shared" si="228"/>
        <v>VERIFICAR</v>
      </c>
      <c r="H4903" s="22">
        <v>0</v>
      </c>
      <c r="I4903" s="23" t="str">
        <f t="shared" si="229"/>
        <v xml:space="preserve">COM VALOR</v>
      </c>
      <c r="J4903" s="19"/>
      <c r="L4903" s="21">
        <v>0</v>
      </c>
      <c r="M4903" s="22"/>
      <c r="N4903" s="21">
        <v>0</v>
      </c>
      <c r="O4903" s="22"/>
    </row>
    <row r="4904" ht="38.25">
      <c r="A4904" t="s">
        <v>4984</v>
      </c>
      <c r="B4904" s="19">
        <v>106500</v>
      </c>
      <c r="C4904" s="20" t="s">
        <v>5009</v>
      </c>
      <c r="D4904" s="19" t="s">
        <v>38</v>
      </c>
      <c r="E4904" s="21" t="str">
        <f t="shared" si="227"/>
        <v>VERIFICAR</v>
      </c>
      <c r="F4904" s="22">
        <v>0</v>
      </c>
      <c r="G4904" s="21" t="str">
        <f t="shared" si="228"/>
        <v>VERIFICAR</v>
      </c>
      <c r="H4904" s="22">
        <v>0</v>
      </c>
      <c r="I4904" s="23" t="str">
        <f t="shared" si="229"/>
        <v xml:space="preserve">COM VALOR</v>
      </c>
      <c r="J4904" s="19"/>
      <c r="L4904" s="21">
        <v>0</v>
      </c>
      <c r="M4904" s="22"/>
      <c r="N4904" s="21">
        <v>0</v>
      </c>
      <c r="O4904" s="22"/>
    </row>
    <row r="4905" ht="38.25">
      <c r="A4905" t="s">
        <v>4984</v>
      </c>
      <c r="B4905" s="19">
        <v>106501</v>
      </c>
      <c r="C4905" s="20" t="s">
        <v>5010</v>
      </c>
      <c r="D4905" s="19" t="s">
        <v>38</v>
      </c>
      <c r="E4905" s="21" t="str">
        <f t="shared" si="227"/>
        <v>VERIFICAR</v>
      </c>
      <c r="F4905" s="22">
        <v>0</v>
      </c>
      <c r="G4905" s="21" t="str">
        <f t="shared" si="228"/>
        <v>VERIFICAR</v>
      </c>
      <c r="H4905" s="22">
        <v>0</v>
      </c>
      <c r="I4905" s="23" t="str">
        <f t="shared" si="229"/>
        <v xml:space="preserve">COM VALOR</v>
      </c>
      <c r="J4905" s="19"/>
      <c r="L4905" s="21">
        <v>0</v>
      </c>
      <c r="M4905" s="22"/>
      <c r="N4905" s="21">
        <v>0</v>
      </c>
      <c r="O4905" s="22"/>
    </row>
    <row r="4906" ht="38.25">
      <c r="A4906" t="s">
        <v>4984</v>
      </c>
      <c r="B4906" s="19">
        <v>101560</v>
      </c>
      <c r="C4906" s="20" t="s">
        <v>5011</v>
      </c>
      <c r="D4906" s="19" t="s">
        <v>38</v>
      </c>
      <c r="E4906" s="21">
        <f t="shared" si="227"/>
        <v>12.75</v>
      </c>
      <c r="F4906" s="22">
        <v>0</v>
      </c>
      <c r="G4906" s="21">
        <f t="shared" si="228"/>
        <v>12.74</v>
      </c>
      <c r="H4906" s="22">
        <v>0</v>
      </c>
      <c r="I4906" s="23" t="str">
        <f t="shared" si="229"/>
        <v xml:space="preserve">COM VALOR</v>
      </c>
      <c r="J4906" s="19"/>
      <c r="L4906" s="21">
        <v>12.75</v>
      </c>
      <c r="M4906" s="22">
        <v>0</v>
      </c>
      <c r="N4906" s="21">
        <v>12.74</v>
      </c>
      <c r="O4906" s="22">
        <v>0</v>
      </c>
    </row>
    <row r="4907" ht="38.25">
      <c r="A4907" t="s">
        <v>4984</v>
      </c>
      <c r="B4907" s="19">
        <v>101568</v>
      </c>
      <c r="C4907" s="20" t="s">
        <v>5012</v>
      </c>
      <c r="D4907" s="19" t="s">
        <v>38</v>
      </c>
      <c r="E4907" s="21">
        <f t="shared" si="227"/>
        <v>155.36000000000001</v>
      </c>
      <c r="F4907" s="22"/>
      <c r="G4907" s="21">
        <f t="shared" si="228"/>
        <v>155.34999999999999</v>
      </c>
      <c r="H4907" s="22"/>
      <c r="I4907" s="23" t="str">
        <f t="shared" si="229"/>
        <v xml:space="preserve">COM VALOR</v>
      </c>
      <c r="J4907" s="19"/>
      <c r="L4907" s="21">
        <v>155.36000000000001</v>
      </c>
      <c r="M4907" s="22">
        <v>0</v>
      </c>
      <c r="N4907" s="21">
        <v>155.34999999999999</v>
      </c>
      <c r="O4907" s="22">
        <v>0</v>
      </c>
    </row>
    <row r="4908" ht="38.25">
      <c r="A4908" t="s">
        <v>4984</v>
      </c>
      <c r="B4908" s="19">
        <v>101561</v>
      </c>
      <c r="C4908" s="20" t="s">
        <v>5013</v>
      </c>
      <c r="D4908" s="19" t="s">
        <v>38</v>
      </c>
      <c r="E4908" s="21">
        <f t="shared" si="227"/>
        <v>20.260000000000002</v>
      </c>
      <c r="F4908" s="22">
        <v>0</v>
      </c>
      <c r="G4908" s="21">
        <f t="shared" si="228"/>
        <v>20.25</v>
      </c>
      <c r="H4908" s="22">
        <v>0</v>
      </c>
      <c r="I4908" s="23" t="str">
        <f t="shared" si="229"/>
        <v xml:space="preserve">COM VALOR</v>
      </c>
      <c r="J4908" s="19"/>
      <c r="L4908" s="21">
        <v>20.260000000000002</v>
      </c>
      <c r="M4908" s="22">
        <v>0</v>
      </c>
      <c r="N4908" s="21">
        <v>20.25</v>
      </c>
      <c r="O4908" s="22">
        <v>0</v>
      </c>
    </row>
    <row r="4909" ht="38.25">
      <c r="A4909" t="s">
        <v>4984</v>
      </c>
      <c r="B4909" s="19">
        <v>101562</v>
      </c>
      <c r="C4909" s="20" t="s">
        <v>5014</v>
      </c>
      <c r="D4909" s="19" t="s">
        <v>38</v>
      </c>
      <c r="E4909" s="21">
        <f t="shared" si="227"/>
        <v>31.370000000000001</v>
      </c>
      <c r="F4909" s="22">
        <v>0</v>
      </c>
      <c r="G4909" s="21">
        <f t="shared" si="228"/>
        <v>31.359999999999999</v>
      </c>
      <c r="H4909" s="22">
        <v>0</v>
      </c>
      <c r="I4909" s="23" t="str">
        <f t="shared" si="229"/>
        <v xml:space="preserve">COM VALOR</v>
      </c>
      <c r="J4909" s="19"/>
      <c r="L4909" s="21">
        <v>31.370000000000001</v>
      </c>
      <c r="M4909" s="22">
        <v>0</v>
      </c>
      <c r="N4909" s="21">
        <v>31.359999999999999</v>
      </c>
      <c r="O4909" s="22">
        <v>0</v>
      </c>
    </row>
    <row r="4910" ht="38.25">
      <c r="A4910" t="s">
        <v>4984</v>
      </c>
      <c r="B4910" s="19">
        <v>101563</v>
      </c>
      <c r="C4910" s="20" t="s">
        <v>5015</v>
      </c>
      <c r="D4910" s="19" t="s">
        <v>38</v>
      </c>
      <c r="E4910" s="21">
        <f t="shared" si="227"/>
        <v>44.289999999999999</v>
      </c>
      <c r="F4910" s="22"/>
      <c r="G4910" s="21">
        <f t="shared" si="228"/>
        <v>44.280000000000001</v>
      </c>
      <c r="H4910" s="22"/>
      <c r="I4910" s="23" t="str">
        <f t="shared" si="229"/>
        <v xml:space="preserve">COM VALOR</v>
      </c>
      <c r="J4910" s="19"/>
      <c r="L4910" s="21">
        <v>44.289999999999999</v>
      </c>
      <c r="M4910" s="22">
        <v>0</v>
      </c>
      <c r="N4910" s="21">
        <v>44.280000000000001</v>
      </c>
      <c r="O4910" s="22">
        <v>0</v>
      </c>
    </row>
    <row r="4911" ht="38.25">
      <c r="A4911" t="s">
        <v>4984</v>
      </c>
      <c r="B4911" s="19">
        <v>101564</v>
      </c>
      <c r="C4911" s="20" t="s">
        <v>5016</v>
      </c>
      <c r="D4911" s="19" t="s">
        <v>38</v>
      </c>
      <c r="E4911" s="21">
        <f t="shared" si="227"/>
        <v>65.459999999999994</v>
      </c>
      <c r="F4911" s="22"/>
      <c r="G4911" s="21">
        <f t="shared" si="228"/>
        <v>65.450000000000003</v>
      </c>
      <c r="H4911" s="22"/>
      <c r="I4911" s="23" t="str">
        <f t="shared" si="229"/>
        <v xml:space="preserve">COM VALOR</v>
      </c>
      <c r="J4911" s="19"/>
      <c r="L4911" s="21">
        <v>65.459999999999994</v>
      </c>
      <c r="M4911" s="22">
        <v>0</v>
      </c>
      <c r="N4911" s="21">
        <v>65.450000000000003</v>
      </c>
      <c r="O4911" s="22">
        <v>0</v>
      </c>
    </row>
    <row r="4912" ht="38.25">
      <c r="A4912" t="s">
        <v>4984</v>
      </c>
      <c r="B4912" s="19">
        <v>101565</v>
      </c>
      <c r="C4912" s="20" t="s">
        <v>5017</v>
      </c>
      <c r="D4912" s="19" t="s">
        <v>38</v>
      </c>
      <c r="E4912" s="21">
        <f t="shared" si="227"/>
        <v>91.530000000000001</v>
      </c>
      <c r="F4912" s="22"/>
      <c r="G4912" s="21">
        <f t="shared" si="228"/>
        <v>91.530000000000001</v>
      </c>
      <c r="H4912" s="22"/>
      <c r="I4912" s="23" t="str">
        <f t="shared" si="229"/>
        <v xml:space="preserve">COM VALOR</v>
      </c>
      <c r="J4912" s="19"/>
      <c r="L4912" s="21">
        <v>91.530000000000001</v>
      </c>
      <c r="M4912" s="22">
        <v>0</v>
      </c>
      <c r="N4912" s="21">
        <v>91.530000000000001</v>
      </c>
      <c r="O4912" s="22">
        <v>0</v>
      </c>
    </row>
    <row r="4913" ht="38.25">
      <c r="A4913" t="s">
        <v>4984</v>
      </c>
      <c r="B4913" s="19">
        <v>101567</v>
      </c>
      <c r="C4913" s="20" t="s">
        <v>5018</v>
      </c>
      <c r="D4913" s="19" t="s">
        <v>38</v>
      </c>
      <c r="E4913" s="21">
        <f t="shared" si="227"/>
        <v>118.81999999999999</v>
      </c>
      <c r="F4913" s="22"/>
      <c r="G4913" s="21">
        <f t="shared" si="228"/>
        <v>118.81</v>
      </c>
      <c r="H4913" s="22"/>
      <c r="I4913" s="23" t="str">
        <f t="shared" si="229"/>
        <v xml:space="preserve">COM VALOR</v>
      </c>
      <c r="J4913" s="19"/>
      <c r="L4913" s="21">
        <v>118.81999999999999</v>
      </c>
      <c r="M4913" s="22">
        <v>0</v>
      </c>
      <c r="N4913" s="21">
        <v>118.81</v>
      </c>
      <c r="O4913" s="22">
        <v>0</v>
      </c>
    </row>
    <row r="4914" ht="12.75">
      <c r="A4914" t="s">
        <v>4984</v>
      </c>
      <c r="B4914" s="19">
        <v>106524</v>
      </c>
      <c r="C4914" s="20" t="s">
        <v>5019</v>
      </c>
      <c r="D4914" s="19" t="s">
        <v>38</v>
      </c>
      <c r="E4914" s="21" t="str">
        <f t="shared" si="227"/>
        <v>VERIFICAR</v>
      </c>
      <c r="F4914" s="22"/>
      <c r="G4914" s="21" t="str">
        <f t="shared" si="228"/>
        <v>VERIFICAR</v>
      </c>
      <c r="H4914" s="22"/>
      <c r="I4914" s="23" t="str">
        <f t="shared" si="229"/>
        <v xml:space="preserve">COM VALOR</v>
      </c>
      <c r="J4914" s="19"/>
      <c r="L4914" s="21">
        <v>0</v>
      </c>
      <c r="M4914" s="22"/>
      <c r="N4914" s="21">
        <v>0</v>
      </c>
      <c r="O4914" s="22"/>
    </row>
    <row r="4915" ht="38.25">
      <c r="A4915" t="s">
        <v>4984</v>
      </c>
      <c r="B4915" s="19">
        <v>106525</v>
      </c>
      <c r="C4915" s="20" t="s">
        <v>5020</v>
      </c>
      <c r="D4915" s="19" t="s">
        <v>31</v>
      </c>
      <c r="E4915" s="21" t="str">
        <f t="shared" si="227"/>
        <v>VERIFICAR</v>
      </c>
      <c r="F4915" s="22">
        <v>0</v>
      </c>
      <c r="G4915" s="21" t="str">
        <f t="shared" si="228"/>
        <v>VERIFICAR</v>
      </c>
      <c r="H4915" s="22">
        <v>0</v>
      </c>
      <c r="I4915" s="23" t="str">
        <f t="shared" si="229"/>
        <v xml:space="preserve">COM VALOR</v>
      </c>
      <c r="J4915" s="19"/>
      <c r="L4915" s="21">
        <v>0</v>
      </c>
      <c r="M4915" s="22"/>
      <c r="N4915" s="21">
        <v>0</v>
      </c>
      <c r="O4915" s="22"/>
    </row>
    <row r="4916" ht="25.5">
      <c r="A4916" t="s">
        <v>4984</v>
      </c>
      <c r="B4916" s="19">
        <v>101551</v>
      </c>
      <c r="C4916" s="20" t="s">
        <v>5021</v>
      </c>
      <c r="D4916" s="19" t="s">
        <v>31</v>
      </c>
      <c r="E4916" s="21" t="str">
        <f t="shared" si="227"/>
        <v>VERIFICAR</v>
      </c>
      <c r="F4916" s="22">
        <v>0</v>
      </c>
      <c r="G4916" s="21" t="str">
        <f t="shared" si="228"/>
        <v>VERIFICAR</v>
      </c>
      <c r="H4916" s="22">
        <v>0</v>
      </c>
      <c r="I4916" s="23" t="str">
        <f t="shared" si="229"/>
        <v xml:space="preserve">COM VALOR</v>
      </c>
      <c r="J4916" s="19"/>
      <c r="L4916" s="21">
        <v>0</v>
      </c>
      <c r="M4916" s="22"/>
      <c r="N4916" s="21">
        <v>0</v>
      </c>
      <c r="O4916" s="22"/>
    </row>
    <row r="4917" ht="25.5">
      <c r="A4917" t="s">
        <v>4984</v>
      </c>
      <c r="B4917" s="19">
        <v>101552</v>
      </c>
      <c r="C4917" s="20" t="s">
        <v>5022</v>
      </c>
      <c r="D4917" s="19" t="s">
        <v>31</v>
      </c>
      <c r="E4917" s="21" t="str">
        <f t="shared" si="227"/>
        <v>VERIFICAR</v>
      </c>
      <c r="F4917" s="22">
        <v>0</v>
      </c>
      <c r="G4917" s="21" t="str">
        <f t="shared" si="228"/>
        <v>VERIFICAR</v>
      </c>
      <c r="H4917" s="22">
        <v>0</v>
      </c>
      <c r="I4917" s="23" t="str">
        <f t="shared" si="229"/>
        <v xml:space="preserve">COM VALOR</v>
      </c>
      <c r="J4917" s="19"/>
      <c r="L4917" s="21">
        <v>0</v>
      </c>
      <c r="M4917" s="22"/>
      <c r="N4917" s="21">
        <v>0</v>
      </c>
      <c r="O4917" s="22"/>
    </row>
    <row r="4918" ht="38.25">
      <c r="A4918" t="s">
        <v>4984</v>
      </c>
      <c r="B4918" s="19">
        <v>101550</v>
      </c>
      <c r="C4918" s="20" t="s">
        <v>5023</v>
      </c>
      <c r="D4918" s="19" t="s">
        <v>31</v>
      </c>
      <c r="E4918" s="21" t="str">
        <f t="shared" si="227"/>
        <v>VERIFICAR</v>
      </c>
      <c r="F4918" s="22">
        <v>0</v>
      </c>
      <c r="G4918" s="21" t="str">
        <f t="shared" si="228"/>
        <v>VERIFICAR</v>
      </c>
      <c r="H4918" s="22">
        <v>0</v>
      </c>
      <c r="I4918" s="23" t="str">
        <f t="shared" si="229"/>
        <v xml:space="preserve">COM VALOR</v>
      </c>
      <c r="J4918" s="19"/>
      <c r="L4918" s="21">
        <v>0</v>
      </c>
      <c r="M4918" s="22"/>
      <c r="N4918" s="21">
        <v>0</v>
      </c>
      <c r="O4918" s="22"/>
    </row>
    <row r="4919" ht="38.25">
      <c r="A4919" t="s">
        <v>4984</v>
      </c>
      <c r="B4919" s="19">
        <v>101501</v>
      </c>
      <c r="C4919" s="20" t="s">
        <v>5024</v>
      </c>
      <c r="D4919" s="19" t="s">
        <v>31</v>
      </c>
      <c r="E4919" s="21">
        <f t="shared" si="227"/>
        <v>1917.97</v>
      </c>
      <c r="F4919" s="22">
        <v>0</v>
      </c>
      <c r="G4919" s="21">
        <f t="shared" si="228"/>
        <v>1888.3299999999999</v>
      </c>
      <c r="H4919" s="22">
        <v>0</v>
      </c>
      <c r="I4919" s="23" t="str">
        <f t="shared" si="229"/>
        <v xml:space="preserve">COM VALOR</v>
      </c>
      <c r="J4919" s="19"/>
      <c r="L4919" s="21">
        <v>1917.97</v>
      </c>
      <c r="M4919" s="22">
        <v>2.9999999999999999e-002</v>
      </c>
      <c r="N4919" s="21">
        <v>1888.3299999999999</v>
      </c>
      <c r="O4919" s="22">
        <v>2.9999999999999999e-002</v>
      </c>
    </row>
    <row r="4920" ht="38.25">
      <c r="A4920" t="s">
        <v>4984</v>
      </c>
      <c r="B4920" s="19">
        <v>101502</v>
      </c>
      <c r="C4920" s="20" t="s">
        <v>5025</v>
      </c>
      <c r="D4920" s="19" t="s">
        <v>31</v>
      </c>
      <c r="E4920" s="21">
        <f t="shared" si="227"/>
        <v>2102.1100000000001</v>
      </c>
      <c r="F4920" s="22">
        <v>0</v>
      </c>
      <c r="G4920" s="21">
        <f t="shared" si="228"/>
        <v>2070.6500000000001</v>
      </c>
      <c r="H4920" s="22">
        <v>0</v>
      </c>
      <c r="I4920" s="23" t="str">
        <f t="shared" si="229"/>
        <v xml:space="preserve">COM VALOR</v>
      </c>
      <c r="J4920" s="19"/>
      <c r="L4920" s="21">
        <v>2102.1100000000001</v>
      </c>
      <c r="M4920" s="22">
        <v>2.9999999999999999e-002</v>
      </c>
      <c r="N4920" s="21">
        <v>2070.6500000000001</v>
      </c>
      <c r="O4920" s="22">
        <v>2.9999999999999999e-002</v>
      </c>
    </row>
    <row r="4921" ht="38.25">
      <c r="A4921" t="s">
        <v>4984</v>
      </c>
      <c r="B4921" s="19">
        <v>101503</v>
      </c>
      <c r="C4921" s="20" t="s">
        <v>5026</v>
      </c>
      <c r="D4921" s="19" t="s">
        <v>31</v>
      </c>
      <c r="E4921" s="21">
        <f t="shared" si="227"/>
        <v>2160.0599999999999</v>
      </c>
      <c r="F4921" s="22">
        <v>0</v>
      </c>
      <c r="G4921" s="21">
        <f t="shared" si="228"/>
        <v>2131.4200000000001</v>
      </c>
      <c r="H4921" s="22">
        <v>0</v>
      </c>
      <c r="I4921" s="23" t="str">
        <f t="shared" si="229"/>
        <v xml:space="preserve">COM VALOR</v>
      </c>
      <c r="J4921" s="19"/>
      <c r="L4921" s="21">
        <v>2160.0599999999999</v>
      </c>
      <c r="M4921" s="22">
        <v>2.9999999999999999e-002</v>
      </c>
      <c r="N4921" s="21">
        <v>2131.4200000000001</v>
      </c>
      <c r="O4921" s="22">
        <v>2.9999999999999999e-002</v>
      </c>
    </row>
    <row r="4922" ht="38.25">
      <c r="A4922" t="s">
        <v>4984</v>
      </c>
      <c r="B4922" s="19">
        <v>101504</v>
      </c>
      <c r="C4922" s="20" t="s">
        <v>5027</v>
      </c>
      <c r="D4922" s="19" t="s">
        <v>31</v>
      </c>
      <c r="E4922" s="21">
        <f t="shared" si="227"/>
        <v>2409.0900000000001</v>
      </c>
      <c r="F4922" s="22">
        <v>0</v>
      </c>
      <c r="G4922" s="21">
        <f t="shared" si="228"/>
        <v>2379.1199999999999</v>
      </c>
      <c r="H4922" s="22">
        <v>0</v>
      </c>
      <c r="I4922" s="23" t="str">
        <f t="shared" si="229"/>
        <v xml:space="preserve">COM VALOR</v>
      </c>
      <c r="J4922" s="19"/>
      <c r="L4922" s="21">
        <v>2409.0900000000001</v>
      </c>
      <c r="M4922" s="22">
        <v>2.e-002</v>
      </c>
      <c r="N4922" s="21">
        <v>2379.1199999999999</v>
      </c>
      <c r="O4922" s="22">
        <v>2.e-002</v>
      </c>
    </row>
    <row r="4923" ht="38.25">
      <c r="A4923" t="s">
        <v>4984</v>
      </c>
      <c r="B4923" s="19">
        <v>101497</v>
      </c>
      <c r="C4923" s="20" t="s">
        <v>5028</v>
      </c>
      <c r="D4923" s="19" t="s">
        <v>31</v>
      </c>
      <c r="E4923" s="21">
        <f t="shared" si="227"/>
        <v>1926</v>
      </c>
      <c r="F4923" s="22">
        <v>0</v>
      </c>
      <c r="G4923" s="21">
        <f t="shared" si="228"/>
        <v>1895.47</v>
      </c>
      <c r="H4923" s="22">
        <v>0</v>
      </c>
      <c r="I4923" s="23" t="str">
        <f t="shared" si="229"/>
        <v xml:space="preserve">COM VALOR</v>
      </c>
      <c r="J4923" s="19"/>
      <c r="L4923" s="21">
        <v>1926</v>
      </c>
      <c r="M4923" s="22">
        <v>2.9999999999999999e-002</v>
      </c>
      <c r="N4923" s="21">
        <v>1895.47</v>
      </c>
      <c r="O4923" s="22">
        <v>2.9999999999999999e-002</v>
      </c>
    </row>
    <row r="4924" ht="38.25">
      <c r="A4924" t="s">
        <v>4984</v>
      </c>
      <c r="B4924" s="19">
        <v>101498</v>
      </c>
      <c r="C4924" s="20" t="s">
        <v>5029</v>
      </c>
      <c r="D4924" s="19" t="s">
        <v>31</v>
      </c>
      <c r="E4924" s="21">
        <f t="shared" si="227"/>
        <v>2110.1399999999999</v>
      </c>
      <c r="F4924" s="22">
        <v>0</v>
      </c>
      <c r="G4924" s="21">
        <f t="shared" si="228"/>
        <v>2077.79</v>
      </c>
      <c r="H4924" s="22">
        <v>0</v>
      </c>
      <c r="I4924" s="23" t="str">
        <f t="shared" si="229"/>
        <v xml:space="preserve">COM VALOR</v>
      </c>
      <c r="J4924" s="19"/>
      <c r="L4924" s="21">
        <v>2110.1399999999999</v>
      </c>
      <c r="M4924" s="22">
        <v>2.9999999999999999e-002</v>
      </c>
      <c r="N4924" s="21">
        <v>2077.79</v>
      </c>
      <c r="O4924" s="22">
        <v>2.9999999999999999e-002</v>
      </c>
    </row>
    <row r="4925" ht="38.25">
      <c r="A4925" t="s">
        <v>4984</v>
      </c>
      <c r="B4925" s="19">
        <v>101499</v>
      </c>
      <c r="C4925" s="20" t="s">
        <v>5030</v>
      </c>
      <c r="D4925" s="19" t="s">
        <v>31</v>
      </c>
      <c r="E4925" s="21">
        <f t="shared" si="227"/>
        <v>2168.0900000000001</v>
      </c>
      <c r="F4925" s="22">
        <v>0</v>
      </c>
      <c r="G4925" s="21">
        <f t="shared" si="228"/>
        <v>2138.5599999999999</v>
      </c>
      <c r="H4925" s="22">
        <v>0</v>
      </c>
      <c r="I4925" s="23" t="str">
        <f t="shared" si="229"/>
        <v xml:space="preserve">COM VALOR</v>
      </c>
      <c r="J4925" s="19"/>
      <c r="L4925" s="21">
        <v>2168.0900000000001</v>
      </c>
      <c r="M4925" s="22">
        <v>2.9999999999999999e-002</v>
      </c>
      <c r="N4925" s="21">
        <v>2138.5599999999999</v>
      </c>
      <c r="O4925" s="22">
        <v>2.9999999999999999e-002</v>
      </c>
    </row>
    <row r="4926" ht="38.25">
      <c r="A4926" t="s">
        <v>4984</v>
      </c>
      <c r="B4926" s="19">
        <v>101500</v>
      </c>
      <c r="C4926" s="20" t="s">
        <v>5031</v>
      </c>
      <c r="D4926" s="19" t="s">
        <v>31</v>
      </c>
      <c r="E4926" s="21">
        <f t="shared" si="227"/>
        <v>2417.1199999999999</v>
      </c>
      <c r="F4926" s="22">
        <v>0</v>
      </c>
      <c r="G4926" s="21">
        <f t="shared" si="228"/>
        <v>2386.2600000000002</v>
      </c>
      <c r="H4926" s="22">
        <v>0</v>
      </c>
      <c r="I4926" s="23" t="str">
        <f t="shared" si="229"/>
        <v xml:space="preserve">COM VALOR</v>
      </c>
      <c r="J4926" s="19"/>
      <c r="L4926" s="21">
        <v>2417.1199999999999</v>
      </c>
      <c r="M4926" s="22">
        <v>2.e-002</v>
      </c>
      <c r="N4926" s="21">
        <v>2386.2600000000002</v>
      </c>
      <c r="O4926" s="22">
        <v>2.e-002</v>
      </c>
    </row>
    <row r="4927" ht="38.25">
      <c r="A4927" t="s">
        <v>4984</v>
      </c>
      <c r="B4927" s="19">
        <v>101493</v>
      </c>
      <c r="C4927" s="20" t="s">
        <v>5032</v>
      </c>
      <c r="D4927" s="19" t="s">
        <v>31</v>
      </c>
      <c r="E4927" s="21">
        <f t="shared" si="227"/>
        <v>1639</v>
      </c>
      <c r="F4927" s="22">
        <v>0</v>
      </c>
      <c r="G4927" s="21">
        <f t="shared" si="228"/>
        <v>1611.52</v>
      </c>
      <c r="H4927" s="22">
        <v>0</v>
      </c>
      <c r="I4927" s="23" t="str">
        <f t="shared" si="229"/>
        <v xml:space="preserve">COM VALOR</v>
      </c>
      <c r="J4927" s="19"/>
      <c r="L4927" s="21">
        <v>1639</v>
      </c>
      <c r="M4927" s="22">
        <v>2.9999999999999999e-002</v>
      </c>
      <c r="N4927" s="21">
        <v>1611.52</v>
      </c>
      <c r="O4927" s="22">
        <v>2.9999999999999999e-002</v>
      </c>
    </row>
    <row r="4928" ht="38.25">
      <c r="A4928" t="s">
        <v>4984</v>
      </c>
      <c r="B4928" s="19">
        <v>101494</v>
      </c>
      <c r="C4928" s="20" t="s">
        <v>5033</v>
      </c>
      <c r="D4928" s="19" t="s">
        <v>31</v>
      </c>
      <c r="E4928" s="21">
        <f t="shared" si="227"/>
        <v>1760.6600000000001</v>
      </c>
      <c r="F4928" s="22">
        <v>0</v>
      </c>
      <c r="G4928" s="21">
        <f t="shared" si="228"/>
        <v>1731.97</v>
      </c>
      <c r="H4928" s="22">
        <v>0</v>
      </c>
      <c r="I4928" s="23" t="str">
        <f t="shared" si="229"/>
        <v xml:space="preserve">COM VALOR</v>
      </c>
      <c r="J4928" s="19"/>
      <c r="L4928" s="21">
        <v>1760.6600000000001</v>
      </c>
      <c r="M4928" s="22">
        <v>2.9999999999999999e-002</v>
      </c>
      <c r="N4928" s="21">
        <v>1731.97</v>
      </c>
      <c r="O4928" s="22">
        <v>2.9999999999999999e-002</v>
      </c>
    </row>
    <row r="4929" ht="38.25">
      <c r="A4929" t="s">
        <v>4984</v>
      </c>
      <c r="B4929" s="19">
        <v>101495</v>
      </c>
      <c r="C4929" s="20" t="s">
        <v>5034</v>
      </c>
      <c r="D4929" s="19" t="s">
        <v>31</v>
      </c>
      <c r="E4929" s="21">
        <f t="shared" si="227"/>
        <v>1798.9400000000001</v>
      </c>
      <c r="F4929" s="22">
        <v>0</v>
      </c>
      <c r="G4929" s="21">
        <f t="shared" si="228"/>
        <v>1772.1199999999999</v>
      </c>
      <c r="H4929" s="22">
        <v>0</v>
      </c>
      <c r="I4929" s="23" t="str">
        <f t="shared" si="229"/>
        <v xml:space="preserve">COM VALOR</v>
      </c>
      <c r="J4929" s="19"/>
      <c r="L4929" s="21">
        <v>1798.9400000000001</v>
      </c>
      <c r="M4929" s="22">
        <v>2.9999999999999999e-002</v>
      </c>
      <c r="N4929" s="21">
        <v>1772.1199999999999</v>
      </c>
      <c r="O4929" s="22">
        <v>2.9999999999999999e-002</v>
      </c>
    </row>
    <row r="4930" ht="38.25">
      <c r="A4930" t="s">
        <v>4984</v>
      </c>
      <c r="B4930" s="19">
        <v>101496</v>
      </c>
      <c r="C4930" s="20" t="s">
        <v>5035</v>
      </c>
      <c r="D4930" s="19" t="s">
        <v>31</v>
      </c>
      <c r="E4930" s="21">
        <f t="shared" si="227"/>
        <v>1973.96</v>
      </c>
      <c r="F4930" s="22">
        <v>0</v>
      </c>
      <c r="G4930" s="21">
        <f t="shared" si="228"/>
        <v>1946.03</v>
      </c>
      <c r="H4930" s="22">
        <v>0</v>
      </c>
      <c r="I4930" s="23" t="str">
        <f t="shared" si="229"/>
        <v xml:space="preserve">COM VALOR</v>
      </c>
      <c r="J4930" s="19"/>
      <c r="L4930" s="21">
        <v>1973.96</v>
      </c>
      <c r="M4930" s="22">
        <v>2.9999999999999999e-002</v>
      </c>
      <c r="N4930" s="21">
        <v>1946.03</v>
      </c>
      <c r="O4930" s="22">
        <v>2.9999999999999999e-002</v>
      </c>
    </row>
    <row r="4931" ht="38.25">
      <c r="A4931" t="s">
        <v>4984</v>
      </c>
      <c r="B4931" s="19">
        <v>101489</v>
      </c>
      <c r="C4931" s="20" t="s">
        <v>5036</v>
      </c>
      <c r="D4931" s="19" t="s">
        <v>31</v>
      </c>
      <c r="E4931" s="21">
        <f t="shared" si="227"/>
        <v>1655.24</v>
      </c>
      <c r="F4931" s="22">
        <v>0</v>
      </c>
      <c r="G4931" s="21">
        <f t="shared" si="228"/>
        <v>1626.6199999999999</v>
      </c>
      <c r="H4931" s="22">
        <v>0</v>
      </c>
      <c r="I4931" s="23" t="str">
        <f t="shared" si="229"/>
        <v xml:space="preserve">COM VALOR</v>
      </c>
      <c r="J4931" s="19"/>
      <c r="L4931" s="21">
        <v>1655.24</v>
      </c>
      <c r="M4931" s="22">
        <v>2.9999999999999999e-002</v>
      </c>
      <c r="N4931" s="21">
        <v>1626.6199999999999</v>
      </c>
      <c r="O4931" s="22">
        <v>2.9999999999999999e-002</v>
      </c>
    </row>
    <row r="4932" ht="38.25">
      <c r="A4932" t="s">
        <v>4984</v>
      </c>
      <c r="B4932" s="19">
        <v>101490</v>
      </c>
      <c r="C4932" s="20" t="s">
        <v>5037</v>
      </c>
      <c r="D4932" s="19" t="s">
        <v>31</v>
      </c>
      <c r="E4932" s="21">
        <f t="shared" si="227"/>
        <v>1776.9000000000001</v>
      </c>
      <c r="F4932" s="22"/>
      <c r="G4932" s="21">
        <f t="shared" si="228"/>
        <v>1747.0699999999999</v>
      </c>
      <c r="H4932" s="22"/>
      <c r="I4932" s="23" t="str">
        <f t="shared" si="229"/>
        <v xml:space="preserve">COM VALOR</v>
      </c>
      <c r="J4932" s="19"/>
      <c r="L4932" s="21">
        <v>1776.9000000000001</v>
      </c>
      <c r="M4932" s="22">
        <v>2.9999999999999999e-002</v>
      </c>
      <c r="N4932" s="21">
        <v>1747.0699999999999</v>
      </c>
      <c r="O4932" s="22">
        <v>2.9999999999999999e-002</v>
      </c>
    </row>
    <row r="4933" ht="38.25">
      <c r="A4933" t="s">
        <v>4984</v>
      </c>
      <c r="B4933" s="19">
        <v>101491</v>
      </c>
      <c r="C4933" s="20" t="s">
        <v>5038</v>
      </c>
      <c r="D4933" s="19" t="s">
        <v>31</v>
      </c>
      <c r="E4933" s="21">
        <f t="shared" si="227"/>
        <v>1815.1800000000001</v>
      </c>
      <c r="F4933" s="22">
        <v>0.81999999999999995</v>
      </c>
      <c r="G4933" s="21">
        <f t="shared" si="228"/>
        <v>1787.22</v>
      </c>
      <c r="H4933" s="22">
        <v>0.82999999999999996</v>
      </c>
      <c r="I4933" s="23" t="str">
        <f t="shared" si="229"/>
        <v xml:space="preserve">COM VALOR</v>
      </c>
      <c r="J4933" s="19"/>
      <c r="L4933" s="21">
        <v>1815.1800000000001</v>
      </c>
      <c r="M4933" s="22">
        <v>2.9999999999999999e-002</v>
      </c>
      <c r="N4933" s="21">
        <v>1787.22</v>
      </c>
      <c r="O4933" s="22">
        <v>2.9999999999999999e-002</v>
      </c>
    </row>
    <row r="4934" ht="38.25">
      <c r="A4934" t="s">
        <v>4984</v>
      </c>
      <c r="B4934" s="19">
        <v>101492</v>
      </c>
      <c r="C4934" s="20" t="s">
        <v>5039</v>
      </c>
      <c r="D4934" s="19" t="s">
        <v>31</v>
      </c>
      <c r="E4934" s="21">
        <f t="shared" si="227"/>
        <v>1990.2</v>
      </c>
      <c r="F4934" s="22">
        <v>0.91000000000000003</v>
      </c>
      <c r="G4934" s="21">
        <f t="shared" si="228"/>
        <v>1961.1300000000001</v>
      </c>
      <c r="H4934" s="22">
        <v>0.92000000000000004</v>
      </c>
      <c r="I4934" s="23" t="str">
        <f t="shared" si="229"/>
        <v xml:space="preserve">COM VALOR</v>
      </c>
      <c r="J4934" s="19"/>
      <c r="L4934" s="21">
        <v>1990.2</v>
      </c>
      <c r="M4934" s="22">
        <v>2.9999999999999999e-002</v>
      </c>
      <c r="N4934" s="21">
        <v>1961.1300000000001</v>
      </c>
      <c r="O4934" s="22">
        <v>2.9999999999999999e-002</v>
      </c>
    </row>
    <row r="4935" ht="38.25">
      <c r="A4935" t="s">
        <v>4984</v>
      </c>
      <c r="B4935" s="19">
        <v>101509</v>
      </c>
      <c r="C4935" s="20" t="s">
        <v>5040</v>
      </c>
      <c r="D4935" s="19" t="s">
        <v>31</v>
      </c>
      <c r="E4935" s="21">
        <f t="shared" si="227"/>
        <v>2086.27</v>
      </c>
      <c r="F4935" s="22"/>
      <c r="G4935" s="21">
        <f t="shared" si="228"/>
        <v>2054.71</v>
      </c>
      <c r="H4935" s="22"/>
      <c r="I4935" s="23" t="str">
        <f t="shared" si="229"/>
        <v xml:space="preserve">COM VALOR</v>
      </c>
      <c r="J4935" s="19"/>
      <c r="L4935" s="21">
        <v>2086.27</v>
      </c>
      <c r="M4935" s="22">
        <v>0.13</v>
      </c>
      <c r="N4935" s="21">
        <v>2054.71</v>
      </c>
      <c r="O4935" s="22">
        <v>0.14000000000000001</v>
      </c>
    </row>
    <row r="4936" ht="38.25">
      <c r="A4936" t="s">
        <v>4984</v>
      </c>
      <c r="B4936" s="19">
        <v>101510</v>
      </c>
      <c r="C4936" s="20" t="s">
        <v>5041</v>
      </c>
      <c r="D4936" s="19" t="s">
        <v>31</v>
      </c>
      <c r="E4936" s="21">
        <f t="shared" si="227"/>
        <v>2331.8000000000002</v>
      </c>
      <c r="F4936" s="22">
        <v>0.67000000000000004</v>
      </c>
      <c r="G4936" s="21">
        <f t="shared" si="228"/>
        <v>2297.8000000000002</v>
      </c>
      <c r="H4936" s="22">
        <v>0.68999999999999995</v>
      </c>
      <c r="I4936" s="23" t="str">
        <f t="shared" si="229"/>
        <v xml:space="preserve">COM VALOR</v>
      </c>
      <c r="J4936" s="19"/>
      <c r="L4936" s="21">
        <v>2331.8000000000002</v>
      </c>
      <c r="M4936" s="22">
        <v>0.12</v>
      </c>
      <c r="N4936" s="21">
        <v>2297.8000000000002</v>
      </c>
      <c r="O4936" s="22">
        <v>0.12</v>
      </c>
    </row>
    <row r="4937" ht="38.25">
      <c r="A4937" t="s">
        <v>4984</v>
      </c>
      <c r="B4937" s="19">
        <v>101511</v>
      </c>
      <c r="C4937" s="20" t="s">
        <v>5042</v>
      </c>
      <c r="D4937" s="19" t="s">
        <v>31</v>
      </c>
      <c r="E4937" s="21">
        <f t="shared" si="227"/>
        <v>2409.0599999999999</v>
      </c>
      <c r="F4937" s="22">
        <v>0.75</v>
      </c>
      <c r="G4937" s="21">
        <f t="shared" si="228"/>
        <v>2378.8299999999999</v>
      </c>
      <c r="H4937" s="22">
        <v>0.76000000000000001</v>
      </c>
      <c r="I4937" s="23" t="str">
        <f t="shared" si="229"/>
        <v xml:space="preserve">COM VALOR</v>
      </c>
      <c r="J4937" s="19"/>
      <c r="L4937" s="21">
        <v>2409.0599999999999</v>
      </c>
      <c r="M4937" s="22">
        <v>0.12</v>
      </c>
      <c r="N4937" s="21">
        <v>2378.8299999999999</v>
      </c>
      <c r="O4937" s="22">
        <v>0.12</v>
      </c>
    </row>
    <row r="4938" ht="38.25">
      <c r="A4938" t="s">
        <v>4984</v>
      </c>
      <c r="B4938" s="19">
        <v>101512</v>
      </c>
      <c r="C4938" s="20" t="s">
        <v>5043</v>
      </c>
      <c r="D4938" s="19" t="s">
        <v>31</v>
      </c>
      <c r="E4938" s="21">
        <f t="shared" si="227"/>
        <v>2730.8000000000002</v>
      </c>
      <c r="F4938" s="22">
        <v>0</v>
      </c>
      <c r="G4938" s="21">
        <f t="shared" si="228"/>
        <v>2699.0100000000002</v>
      </c>
      <c r="H4938" s="22">
        <v>0</v>
      </c>
      <c r="I4938" s="23" t="str">
        <f t="shared" si="229"/>
        <v xml:space="preserve">COM VALOR</v>
      </c>
      <c r="J4938" s="19"/>
      <c r="L4938" s="21">
        <v>2730.8000000000002</v>
      </c>
      <c r="M4938" s="22">
        <v>0.10000000000000001</v>
      </c>
      <c r="N4938" s="21">
        <v>2699.0100000000002</v>
      </c>
      <c r="O4938" s="22">
        <v>0.10000000000000001</v>
      </c>
    </row>
    <row r="4939" ht="38.25">
      <c r="A4939" t="s">
        <v>4984</v>
      </c>
      <c r="B4939" s="19">
        <v>101505</v>
      </c>
      <c r="C4939" s="20" t="s">
        <v>5044</v>
      </c>
      <c r="D4939" s="19" t="s">
        <v>31</v>
      </c>
      <c r="E4939" s="21">
        <f t="shared" ref="E4939:E5002" si="230">IF(L4939=0,"VERIFICAR",L4939)</f>
        <v>2058.0799999999999</v>
      </c>
      <c r="F4939" s="22">
        <v>0</v>
      </c>
      <c r="G4939" s="21">
        <f t="shared" ref="G4939:G5002" si="231">IF(N4939=0,"VERIFICAR",N4939)</f>
        <v>2025.6700000000001</v>
      </c>
      <c r="H4939" s="22">
        <v>0</v>
      </c>
      <c r="I4939" s="23" t="str">
        <f t="shared" ref="I4939:I5002" si="232">IF(OR(E4939=0,G4939=0),"SEM VALOR","COM VALOR")</f>
        <v xml:space="preserve">COM VALOR</v>
      </c>
      <c r="J4939" s="19"/>
      <c r="L4939" s="21">
        <v>2058.0799999999999</v>
      </c>
      <c r="M4939" s="22">
        <v>2.9999999999999999e-002</v>
      </c>
      <c r="N4939" s="21">
        <v>2025.6700000000001</v>
      </c>
      <c r="O4939" s="22">
        <v>2.9999999999999999e-002</v>
      </c>
    </row>
    <row r="4940" ht="38.25">
      <c r="A4940" t="s">
        <v>4984</v>
      </c>
      <c r="B4940" s="19">
        <v>101506</v>
      </c>
      <c r="C4940" s="20" t="s">
        <v>5045</v>
      </c>
      <c r="D4940" s="19" t="s">
        <v>31</v>
      </c>
      <c r="E4940" s="21">
        <f t="shared" si="230"/>
        <v>2303.6100000000001</v>
      </c>
      <c r="F4940" s="22">
        <v>0</v>
      </c>
      <c r="G4940" s="21">
        <f t="shared" si="231"/>
        <v>2268.7600000000002</v>
      </c>
      <c r="H4940" s="22">
        <v>0</v>
      </c>
      <c r="I4940" s="23" t="str">
        <f t="shared" si="232"/>
        <v xml:space="preserve">COM VALOR</v>
      </c>
      <c r="J4940" s="19"/>
      <c r="L4940" s="21">
        <v>2303.6100000000001</v>
      </c>
      <c r="M4940" s="22">
        <v>2.e-002</v>
      </c>
      <c r="N4940" s="21">
        <v>2268.7600000000002</v>
      </c>
      <c r="O4940" s="22">
        <v>2.e-002</v>
      </c>
    </row>
    <row r="4941" ht="38.25">
      <c r="A4941" t="s">
        <v>4984</v>
      </c>
      <c r="B4941" s="19">
        <v>101507</v>
      </c>
      <c r="C4941" s="20" t="s">
        <v>5046</v>
      </c>
      <c r="D4941" s="19" t="s">
        <v>31</v>
      </c>
      <c r="E4941" s="21">
        <f t="shared" si="230"/>
        <v>2380.8699999999999</v>
      </c>
      <c r="F4941" s="22">
        <v>0</v>
      </c>
      <c r="G4941" s="21">
        <f t="shared" si="231"/>
        <v>2349.79</v>
      </c>
      <c r="H4941" s="22">
        <v>0</v>
      </c>
      <c r="I4941" s="23" t="str">
        <f t="shared" si="232"/>
        <v xml:space="preserve">COM VALOR</v>
      </c>
      <c r="J4941" s="19"/>
      <c r="L4941" s="21">
        <v>2380.8699999999999</v>
      </c>
      <c r="M4941" s="22">
        <v>2.e-002</v>
      </c>
      <c r="N4941" s="21">
        <v>2349.79</v>
      </c>
      <c r="O4941" s="22">
        <v>2.e-002</v>
      </c>
    </row>
    <row r="4942" ht="38.25">
      <c r="A4942" t="s">
        <v>4984</v>
      </c>
      <c r="B4942" s="19">
        <v>101508</v>
      </c>
      <c r="C4942" s="20" t="s">
        <v>5047</v>
      </c>
      <c r="D4942" s="19" t="s">
        <v>31</v>
      </c>
      <c r="E4942" s="21">
        <f t="shared" si="230"/>
        <v>2702.6100000000001</v>
      </c>
      <c r="F4942" s="22">
        <v>0</v>
      </c>
      <c r="G4942" s="21">
        <f t="shared" si="231"/>
        <v>2669.9699999999998</v>
      </c>
      <c r="H4942" s="22">
        <v>0</v>
      </c>
      <c r="I4942" s="23" t="str">
        <f t="shared" si="232"/>
        <v xml:space="preserve">COM VALOR</v>
      </c>
      <c r="J4942" s="19"/>
      <c r="L4942" s="21">
        <v>2702.6100000000001</v>
      </c>
      <c r="M4942" s="22">
        <v>2.e-002</v>
      </c>
      <c r="N4942" s="21">
        <v>2669.9699999999998</v>
      </c>
      <c r="O4942" s="22">
        <v>2.e-002</v>
      </c>
    </row>
    <row r="4943" ht="38.25">
      <c r="A4943" t="s">
        <v>4984</v>
      </c>
      <c r="B4943" s="19">
        <v>101525</v>
      </c>
      <c r="C4943" s="20" t="s">
        <v>5048</v>
      </c>
      <c r="D4943" s="19" t="s">
        <v>31</v>
      </c>
      <c r="E4943" s="21">
        <f t="shared" si="230"/>
        <v>1122.6500000000001</v>
      </c>
      <c r="F4943" s="22">
        <v>0</v>
      </c>
      <c r="G4943" s="21">
        <f t="shared" si="231"/>
        <v>1109.49</v>
      </c>
      <c r="H4943" s="22">
        <v>0</v>
      </c>
      <c r="I4943" s="23" t="str">
        <f t="shared" si="232"/>
        <v xml:space="preserve">COM VALOR</v>
      </c>
      <c r="J4943" s="19"/>
      <c r="L4943" s="21">
        <v>1122.6500000000001</v>
      </c>
      <c r="M4943" s="22">
        <v>0</v>
      </c>
      <c r="N4943" s="21">
        <v>1109.49</v>
      </c>
      <c r="O4943" s="22">
        <v>0</v>
      </c>
    </row>
    <row r="4944" ht="38.25">
      <c r="A4944" t="s">
        <v>4984</v>
      </c>
      <c r="B4944" s="19">
        <v>101526</v>
      </c>
      <c r="C4944" s="20" t="s">
        <v>5049</v>
      </c>
      <c r="D4944" s="19" t="s">
        <v>31</v>
      </c>
      <c r="E4944" s="21">
        <f t="shared" si="230"/>
        <v>1341.6400000000001</v>
      </c>
      <c r="F4944" s="22">
        <v>0</v>
      </c>
      <c r="G4944" s="21">
        <f t="shared" si="231"/>
        <v>1326.3</v>
      </c>
      <c r="H4944" s="22">
        <v>0</v>
      </c>
      <c r="I4944" s="23" t="str">
        <f t="shared" si="232"/>
        <v xml:space="preserve">COM VALOR</v>
      </c>
      <c r="J4944" s="19"/>
      <c r="L4944" s="21">
        <v>1341.6400000000001</v>
      </c>
      <c r="M4944" s="22">
        <v>0</v>
      </c>
      <c r="N4944" s="21">
        <v>1326.3</v>
      </c>
      <c r="O4944" s="22">
        <v>0</v>
      </c>
    </row>
    <row r="4945" ht="38.25">
      <c r="A4945" t="s">
        <v>4984</v>
      </c>
      <c r="B4945" s="19">
        <v>101527</v>
      </c>
      <c r="C4945" s="20" t="s">
        <v>5050</v>
      </c>
      <c r="D4945" s="19" t="s">
        <v>31</v>
      </c>
      <c r="E4945" s="21">
        <f t="shared" si="230"/>
        <v>1410.54</v>
      </c>
      <c r="F4945" s="22"/>
      <c r="G4945" s="21">
        <f t="shared" si="231"/>
        <v>1398.5699999999999</v>
      </c>
      <c r="H4945" s="22"/>
      <c r="I4945" s="23" t="str">
        <f t="shared" si="232"/>
        <v xml:space="preserve">COM VALOR</v>
      </c>
      <c r="J4945" s="19"/>
      <c r="L4945" s="21">
        <v>1410.54</v>
      </c>
      <c r="M4945" s="22">
        <v>0</v>
      </c>
      <c r="N4945" s="21">
        <v>1398.5699999999999</v>
      </c>
      <c r="O4945" s="22">
        <v>0</v>
      </c>
    </row>
    <row r="4946" ht="38.25">
      <c r="A4946" t="s">
        <v>4984</v>
      </c>
      <c r="B4946" s="19">
        <v>101528</v>
      </c>
      <c r="C4946" s="20" t="s">
        <v>5051</v>
      </c>
      <c r="D4946" s="19" t="s">
        <v>31</v>
      </c>
      <c r="E4946" s="21">
        <f t="shared" si="230"/>
        <v>1669.9200000000001</v>
      </c>
      <c r="F4946" s="22"/>
      <c r="G4946" s="21">
        <f t="shared" si="231"/>
        <v>1657.1600000000001</v>
      </c>
      <c r="H4946" s="22"/>
      <c r="I4946" s="23" t="str">
        <f t="shared" si="232"/>
        <v xml:space="preserve">COM VALOR</v>
      </c>
      <c r="J4946" s="19"/>
      <c r="L4946" s="21">
        <v>1669.9200000000001</v>
      </c>
      <c r="M4946" s="22">
        <v>0</v>
      </c>
      <c r="N4946" s="21">
        <v>1657.1600000000001</v>
      </c>
      <c r="O4946" s="22">
        <v>0</v>
      </c>
    </row>
    <row r="4947" ht="38.25">
      <c r="A4947" t="s">
        <v>4984</v>
      </c>
      <c r="B4947" s="19">
        <v>101521</v>
      </c>
      <c r="C4947" s="20" t="s">
        <v>5052</v>
      </c>
      <c r="D4947" s="19" t="s">
        <v>31</v>
      </c>
      <c r="E4947" s="21">
        <f t="shared" si="230"/>
        <v>1130.6800000000001</v>
      </c>
      <c r="F4947" s="22"/>
      <c r="G4947" s="21">
        <f t="shared" si="231"/>
        <v>1116.6199999999999</v>
      </c>
      <c r="H4947" s="22"/>
      <c r="I4947" s="23" t="str">
        <f t="shared" si="232"/>
        <v xml:space="preserve">COM VALOR</v>
      </c>
      <c r="J4947" s="19"/>
      <c r="L4947" s="21">
        <v>1130.6800000000001</v>
      </c>
      <c r="M4947" s="22">
        <v>0</v>
      </c>
      <c r="N4947" s="21">
        <v>1116.6199999999999</v>
      </c>
      <c r="O4947" s="22">
        <v>0</v>
      </c>
    </row>
    <row r="4948" ht="38.25">
      <c r="A4948" t="s">
        <v>4984</v>
      </c>
      <c r="B4948" s="19">
        <v>101522</v>
      </c>
      <c r="C4948" s="20" t="s">
        <v>5053</v>
      </c>
      <c r="D4948" s="19" t="s">
        <v>31</v>
      </c>
      <c r="E4948" s="21">
        <f t="shared" si="230"/>
        <v>1349.6700000000001</v>
      </c>
      <c r="F4948" s="22"/>
      <c r="G4948" s="21">
        <f t="shared" si="231"/>
        <v>1333.4300000000001</v>
      </c>
      <c r="H4948" s="22"/>
      <c r="I4948" s="23" t="str">
        <f t="shared" si="232"/>
        <v xml:space="preserve">COM VALOR</v>
      </c>
      <c r="J4948" s="19"/>
      <c r="L4948" s="21">
        <v>1349.6700000000001</v>
      </c>
      <c r="M4948" s="22">
        <v>0</v>
      </c>
      <c r="N4948" s="21">
        <v>1333.4300000000001</v>
      </c>
      <c r="O4948" s="22">
        <v>0</v>
      </c>
    </row>
    <row r="4949" ht="38.25">
      <c r="A4949" t="s">
        <v>4984</v>
      </c>
      <c r="B4949" s="19">
        <v>101523</v>
      </c>
      <c r="C4949" s="20" t="s">
        <v>5054</v>
      </c>
      <c r="D4949" s="19" t="s">
        <v>31</v>
      </c>
      <c r="E4949" s="21">
        <f t="shared" si="230"/>
        <v>1418.5699999999999</v>
      </c>
      <c r="F4949" s="22">
        <v>0</v>
      </c>
      <c r="G4949" s="21">
        <f t="shared" si="231"/>
        <v>1405.7</v>
      </c>
      <c r="H4949" s="22">
        <v>0</v>
      </c>
      <c r="I4949" s="23" t="str">
        <f t="shared" si="232"/>
        <v xml:space="preserve">COM VALOR</v>
      </c>
      <c r="J4949" s="19"/>
      <c r="L4949" s="21">
        <v>1418.5699999999999</v>
      </c>
      <c r="M4949" s="22">
        <v>0</v>
      </c>
      <c r="N4949" s="21">
        <v>1405.7</v>
      </c>
      <c r="O4949" s="22">
        <v>0</v>
      </c>
    </row>
    <row r="4950" ht="38.25">
      <c r="A4950" t="s">
        <v>4984</v>
      </c>
      <c r="B4950" s="19">
        <v>101524</v>
      </c>
      <c r="C4950" s="20" t="s">
        <v>5055</v>
      </c>
      <c r="D4950" s="19" t="s">
        <v>31</v>
      </c>
      <c r="E4950" s="21">
        <f t="shared" si="230"/>
        <v>1677.95</v>
      </c>
      <c r="F4950" s="22">
        <v>0</v>
      </c>
      <c r="G4950" s="21">
        <f t="shared" si="231"/>
        <v>1664.29</v>
      </c>
      <c r="H4950" s="22">
        <v>0</v>
      </c>
      <c r="I4950" s="23" t="str">
        <f t="shared" si="232"/>
        <v xml:space="preserve">COM VALOR</v>
      </c>
      <c r="J4950" s="19"/>
      <c r="L4950" s="21">
        <v>1677.95</v>
      </c>
      <c r="M4950" s="22">
        <v>0</v>
      </c>
      <c r="N4950" s="21">
        <v>1664.29</v>
      </c>
      <c r="O4950" s="22">
        <v>0</v>
      </c>
    </row>
    <row r="4951" ht="38.25">
      <c r="A4951" t="s">
        <v>4984</v>
      </c>
      <c r="B4951" s="19">
        <v>101517</v>
      </c>
      <c r="C4951" s="20" t="s">
        <v>5056</v>
      </c>
      <c r="D4951" s="19" t="s">
        <v>31</v>
      </c>
      <c r="E4951" s="21">
        <f t="shared" si="230"/>
        <v>825.27999999999997</v>
      </c>
      <c r="F4951" s="22">
        <v>0</v>
      </c>
      <c r="G4951" s="21">
        <f t="shared" si="231"/>
        <v>814.49000000000001</v>
      </c>
      <c r="H4951" s="22">
        <v>0</v>
      </c>
      <c r="I4951" s="23" t="str">
        <f t="shared" si="232"/>
        <v xml:space="preserve">COM VALOR</v>
      </c>
      <c r="J4951" s="19"/>
      <c r="L4951" s="21">
        <v>825.27999999999997</v>
      </c>
      <c r="M4951" s="22">
        <v>0</v>
      </c>
      <c r="N4951" s="21">
        <v>814.49000000000001</v>
      </c>
      <c r="O4951" s="22">
        <v>0</v>
      </c>
    </row>
    <row r="4952" ht="38.25">
      <c r="A4952" t="s">
        <v>4984</v>
      </c>
      <c r="B4952" s="19">
        <v>101518</v>
      </c>
      <c r="C4952" s="20" t="s">
        <v>5057</v>
      </c>
      <c r="D4952" s="19" t="s">
        <v>31</v>
      </c>
      <c r="E4952" s="21">
        <f t="shared" si="230"/>
        <v>971.26999999999998</v>
      </c>
      <c r="F4952" s="22">
        <v>0</v>
      </c>
      <c r="G4952" s="21">
        <f t="shared" si="231"/>
        <v>959.02999999999997</v>
      </c>
      <c r="H4952" s="22">
        <v>0</v>
      </c>
      <c r="I4952" s="23" t="str">
        <f t="shared" si="232"/>
        <v xml:space="preserve">COM VALOR</v>
      </c>
      <c r="J4952" s="19"/>
      <c r="L4952" s="21">
        <v>971.26999999999998</v>
      </c>
      <c r="M4952" s="22">
        <v>0</v>
      </c>
      <c r="N4952" s="21">
        <v>959.02999999999997</v>
      </c>
      <c r="O4952" s="22">
        <v>0</v>
      </c>
    </row>
    <row r="4953" ht="38.25">
      <c r="A4953" t="s">
        <v>4984</v>
      </c>
      <c r="B4953" s="19">
        <v>101519</v>
      </c>
      <c r="C4953" s="20" t="s">
        <v>5058</v>
      </c>
      <c r="D4953" s="19" t="s">
        <v>31</v>
      </c>
      <c r="E4953" s="21">
        <f t="shared" si="230"/>
        <v>1017.21</v>
      </c>
      <c r="F4953" s="22">
        <v>0</v>
      </c>
      <c r="G4953" s="21">
        <f t="shared" si="231"/>
        <v>1007.21</v>
      </c>
      <c r="H4953" s="22">
        <v>0</v>
      </c>
      <c r="I4953" s="23" t="str">
        <f t="shared" si="232"/>
        <v xml:space="preserve">COM VALOR</v>
      </c>
      <c r="J4953" s="19"/>
      <c r="L4953" s="21">
        <v>1017.21</v>
      </c>
      <c r="M4953" s="22">
        <v>0</v>
      </c>
      <c r="N4953" s="21">
        <v>1007.21</v>
      </c>
      <c r="O4953" s="22">
        <v>0</v>
      </c>
    </row>
    <row r="4954" ht="38.25">
      <c r="A4954" t="s">
        <v>4984</v>
      </c>
      <c r="B4954" s="19">
        <v>101520</v>
      </c>
      <c r="C4954" s="20" t="s">
        <v>5059</v>
      </c>
      <c r="D4954" s="19" t="s">
        <v>31</v>
      </c>
      <c r="E4954" s="21">
        <f t="shared" si="230"/>
        <v>1190.1300000000001</v>
      </c>
      <c r="F4954" s="22">
        <v>0</v>
      </c>
      <c r="G4954" s="21">
        <f t="shared" si="231"/>
        <v>1179.5999999999999</v>
      </c>
      <c r="H4954" s="22">
        <v>0</v>
      </c>
      <c r="I4954" s="23" t="str">
        <f t="shared" si="232"/>
        <v xml:space="preserve">COM VALOR</v>
      </c>
      <c r="J4954" s="19"/>
      <c r="L4954" s="21">
        <v>1190.1300000000001</v>
      </c>
      <c r="M4954" s="22">
        <v>0</v>
      </c>
      <c r="N4954" s="21">
        <v>1179.5999999999999</v>
      </c>
      <c r="O4954" s="22">
        <v>0</v>
      </c>
    </row>
    <row r="4955" ht="38.25">
      <c r="A4955" t="s">
        <v>4984</v>
      </c>
      <c r="B4955" s="19">
        <v>101513</v>
      </c>
      <c r="C4955" s="20" t="s">
        <v>5060</v>
      </c>
      <c r="D4955" s="19" t="s">
        <v>31</v>
      </c>
      <c r="E4955" s="21">
        <f t="shared" si="230"/>
        <v>841.51999999999998</v>
      </c>
      <c r="F4955" s="22">
        <v>0</v>
      </c>
      <c r="G4955" s="21">
        <f t="shared" si="231"/>
        <v>829.59000000000003</v>
      </c>
      <c r="H4955" s="22">
        <v>0</v>
      </c>
      <c r="I4955" s="23" t="str">
        <f t="shared" si="232"/>
        <v xml:space="preserve">COM VALOR</v>
      </c>
      <c r="J4955" s="19"/>
      <c r="L4955" s="21">
        <v>841.51999999999998</v>
      </c>
      <c r="M4955" s="22">
        <v>0</v>
      </c>
      <c r="N4955" s="21">
        <v>829.59000000000003</v>
      </c>
      <c r="O4955" s="22">
        <v>0</v>
      </c>
    </row>
    <row r="4956" ht="38.25">
      <c r="A4956" t="s">
        <v>4984</v>
      </c>
      <c r="B4956" s="19">
        <v>101514</v>
      </c>
      <c r="C4956" s="20" t="s">
        <v>5061</v>
      </c>
      <c r="D4956" s="19" t="s">
        <v>31</v>
      </c>
      <c r="E4956" s="21">
        <f t="shared" si="230"/>
        <v>987.50999999999999</v>
      </c>
      <c r="F4956" s="22">
        <v>0</v>
      </c>
      <c r="G4956" s="21">
        <f t="shared" si="231"/>
        <v>974.13</v>
      </c>
      <c r="H4956" s="22">
        <v>0</v>
      </c>
      <c r="I4956" s="23" t="str">
        <f t="shared" si="232"/>
        <v xml:space="preserve">COM VALOR</v>
      </c>
      <c r="J4956" s="19"/>
      <c r="L4956" s="21">
        <v>987.50999999999999</v>
      </c>
      <c r="M4956" s="22">
        <v>0</v>
      </c>
      <c r="N4956" s="21">
        <v>974.13</v>
      </c>
      <c r="O4956" s="22">
        <v>0</v>
      </c>
    </row>
    <row r="4957" ht="38.25">
      <c r="A4957" t="s">
        <v>4984</v>
      </c>
      <c r="B4957" s="19">
        <v>101515</v>
      </c>
      <c r="C4957" s="20" t="s">
        <v>5062</v>
      </c>
      <c r="D4957" s="19" t="s">
        <v>31</v>
      </c>
      <c r="E4957" s="21">
        <f t="shared" si="230"/>
        <v>1033.45</v>
      </c>
      <c r="F4957" s="22">
        <v>0</v>
      </c>
      <c r="G4957" s="21">
        <f t="shared" si="231"/>
        <v>1022.3099999999999</v>
      </c>
      <c r="H4957" s="22">
        <v>0</v>
      </c>
      <c r="I4957" s="23" t="str">
        <f t="shared" si="232"/>
        <v xml:space="preserve">COM VALOR</v>
      </c>
      <c r="J4957" s="19"/>
      <c r="L4957" s="21">
        <v>1033.45</v>
      </c>
      <c r="M4957" s="22">
        <v>0</v>
      </c>
      <c r="N4957" s="21">
        <v>1022.3099999999999</v>
      </c>
      <c r="O4957" s="22">
        <v>0</v>
      </c>
    </row>
    <row r="4958" ht="38.25">
      <c r="A4958" t="s">
        <v>4984</v>
      </c>
      <c r="B4958" s="19">
        <v>101516</v>
      </c>
      <c r="C4958" s="20" t="s">
        <v>5063</v>
      </c>
      <c r="D4958" s="19" t="s">
        <v>31</v>
      </c>
      <c r="E4958" s="21">
        <f t="shared" si="230"/>
        <v>1206.3699999999999</v>
      </c>
      <c r="F4958" s="22">
        <v>0.91000000000000003</v>
      </c>
      <c r="G4958" s="21">
        <f t="shared" si="231"/>
        <v>1194.7</v>
      </c>
      <c r="H4958" s="22">
        <v>0.91000000000000003</v>
      </c>
      <c r="I4958" s="23" t="str">
        <f t="shared" si="232"/>
        <v xml:space="preserve">COM VALOR</v>
      </c>
      <c r="J4958" s="19"/>
      <c r="L4958" s="21">
        <v>1206.3699999999999</v>
      </c>
      <c r="M4958" s="22">
        <v>0</v>
      </c>
      <c r="N4958" s="21">
        <v>1194.7</v>
      </c>
      <c r="O4958" s="22">
        <v>0</v>
      </c>
    </row>
    <row r="4959" ht="38.25">
      <c r="A4959" t="s">
        <v>4984</v>
      </c>
      <c r="B4959" s="19">
        <v>101533</v>
      </c>
      <c r="C4959" s="20" t="s">
        <v>5064</v>
      </c>
      <c r="D4959" s="19" t="s">
        <v>31</v>
      </c>
      <c r="E4959" s="21">
        <f t="shared" si="230"/>
        <v>1311.29</v>
      </c>
      <c r="F4959" s="22">
        <v>0.27000000000000002</v>
      </c>
      <c r="G4959" s="21">
        <f t="shared" si="231"/>
        <v>1295.96</v>
      </c>
      <c r="H4959" s="22">
        <v>0.28999999999999998</v>
      </c>
      <c r="I4959" s="23" t="str">
        <f t="shared" si="232"/>
        <v xml:space="preserve">COM VALOR</v>
      </c>
      <c r="J4959" s="19"/>
      <c r="L4959" s="21">
        <v>1311.29</v>
      </c>
      <c r="M4959" s="22">
        <v>0.17000000000000001</v>
      </c>
      <c r="N4959" s="21">
        <v>1295.96</v>
      </c>
      <c r="O4959" s="22">
        <v>0.17000000000000001</v>
      </c>
    </row>
    <row r="4960" ht="38.25">
      <c r="A4960" t="s">
        <v>4984</v>
      </c>
      <c r="B4960" s="19">
        <v>101534</v>
      </c>
      <c r="C4960" s="20" t="s">
        <v>5065</v>
      </c>
      <c r="D4960" s="19" t="s">
        <v>31</v>
      </c>
      <c r="E4960" s="21">
        <f t="shared" si="230"/>
        <v>1603.28</v>
      </c>
      <c r="F4960" s="22">
        <v>0.31</v>
      </c>
      <c r="G4960" s="21">
        <f t="shared" si="231"/>
        <v>1585.04</v>
      </c>
      <c r="H4960" s="22">
        <v>0.33000000000000002</v>
      </c>
      <c r="I4960" s="23" t="str">
        <f t="shared" si="232"/>
        <v xml:space="preserve">COM VALOR</v>
      </c>
      <c r="J4960" s="19"/>
      <c r="L4960" s="21">
        <v>1603.28</v>
      </c>
      <c r="M4960" s="22">
        <v>0.14000000000000001</v>
      </c>
      <c r="N4960" s="21">
        <v>1585.04</v>
      </c>
      <c r="O4960" s="22">
        <v>0.14000000000000001</v>
      </c>
    </row>
    <row r="4961" ht="38.25">
      <c r="A4961" t="s">
        <v>4984</v>
      </c>
      <c r="B4961" s="19">
        <v>101535</v>
      </c>
      <c r="C4961" s="20" t="s">
        <v>5066</v>
      </c>
      <c r="D4961" s="19" t="s">
        <v>31</v>
      </c>
      <c r="E4961" s="21">
        <f t="shared" si="230"/>
        <v>1695.1500000000001</v>
      </c>
      <c r="F4961" s="22">
        <v>0.38</v>
      </c>
      <c r="G4961" s="21">
        <f t="shared" si="231"/>
        <v>1681.4000000000001</v>
      </c>
      <c r="H4961" s="22">
        <v>0.39000000000000001</v>
      </c>
      <c r="I4961" s="23" t="str">
        <f t="shared" si="232"/>
        <v xml:space="preserve">COM VALOR</v>
      </c>
      <c r="J4961" s="19"/>
      <c r="L4961" s="21">
        <v>1695.1500000000001</v>
      </c>
      <c r="M4961" s="22">
        <v>0.13</v>
      </c>
      <c r="N4961" s="21">
        <v>1681.4000000000001</v>
      </c>
      <c r="O4961" s="22">
        <v>0.13</v>
      </c>
    </row>
    <row r="4962" ht="38.25">
      <c r="A4962" t="s">
        <v>4984</v>
      </c>
      <c r="B4962" s="19">
        <v>101536</v>
      </c>
      <c r="C4962" s="20" t="s">
        <v>5067</v>
      </c>
      <c r="D4962" s="19" t="s">
        <v>31</v>
      </c>
      <c r="E4962" s="21">
        <f t="shared" si="230"/>
        <v>2040.99</v>
      </c>
      <c r="F4962" s="22">
        <v>0.53000000000000003</v>
      </c>
      <c r="G4962" s="21">
        <f t="shared" si="231"/>
        <v>2026.1800000000001</v>
      </c>
      <c r="H4962" s="22">
        <v>0.55000000000000004</v>
      </c>
      <c r="I4962" s="23" t="str">
        <f t="shared" si="232"/>
        <v xml:space="preserve">COM VALOR</v>
      </c>
      <c r="J4962" s="19"/>
      <c r="L4962" s="21">
        <v>2040.99</v>
      </c>
      <c r="M4962" s="22">
        <v>0.11</v>
      </c>
      <c r="N4962" s="21">
        <v>2026.1800000000001</v>
      </c>
      <c r="O4962" s="22">
        <v>0.11</v>
      </c>
    </row>
    <row r="4963" ht="38.25">
      <c r="A4963" t="s">
        <v>4984</v>
      </c>
      <c r="B4963" s="19">
        <v>101529</v>
      </c>
      <c r="C4963" s="20" t="s">
        <v>5068</v>
      </c>
      <c r="D4963" s="19" t="s">
        <v>31</v>
      </c>
      <c r="E4963" s="21">
        <f t="shared" si="230"/>
        <v>1283.0999999999999</v>
      </c>
      <c r="F4963" s="22">
        <v>0.59999999999999998</v>
      </c>
      <c r="G4963" s="21">
        <f t="shared" si="231"/>
        <v>1266.9100000000001</v>
      </c>
      <c r="H4963" s="22">
        <v>0.62</v>
      </c>
      <c r="I4963" s="23" t="str">
        <f t="shared" si="232"/>
        <v xml:space="preserve">COM VALOR</v>
      </c>
      <c r="J4963" s="19"/>
      <c r="L4963" s="21">
        <v>1283.0999999999999</v>
      </c>
      <c r="M4963" s="22">
        <v>0</v>
      </c>
      <c r="N4963" s="21">
        <v>1266.9100000000001</v>
      </c>
      <c r="O4963" s="22">
        <v>0</v>
      </c>
    </row>
    <row r="4964" ht="38.25">
      <c r="A4964" t="s">
        <v>4984</v>
      </c>
      <c r="B4964" s="19">
        <v>101530</v>
      </c>
      <c r="C4964" s="20" t="s">
        <v>5069</v>
      </c>
      <c r="D4964" s="19" t="s">
        <v>31</v>
      </c>
      <c r="E4964" s="21">
        <f t="shared" si="230"/>
        <v>1575.0899999999999</v>
      </c>
      <c r="F4964" s="22">
        <v>0.64000000000000001</v>
      </c>
      <c r="G4964" s="21">
        <f t="shared" si="231"/>
        <v>1555.99</v>
      </c>
      <c r="H4964" s="22">
        <v>0.66000000000000003</v>
      </c>
      <c r="I4964" s="23" t="str">
        <f t="shared" si="232"/>
        <v xml:space="preserve">COM VALOR</v>
      </c>
      <c r="J4964" s="19"/>
      <c r="L4964" s="21">
        <v>1575.0899999999999</v>
      </c>
      <c r="M4964" s="22">
        <v>0</v>
      </c>
      <c r="N4964" s="21">
        <v>1555.99</v>
      </c>
      <c r="O4964" s="22">
        <v>0</v>
      </c>
    </row>
    <row r="4965" ht="38.25">
      <c r="A4965" t="s">
        <v>4984</v>
      </c>
      <c r="B4965" s="19">
        <v>101531</v>
      </c>
      <c r="C4965" s="20" t="s">
        <v>5070</v>
      </c>
      <c r="D4965" s="19" t="s">
        <v>31</v>
      </c>
      <c r="E4965" s="21">
        <f t="shared" si="230"/>
        <v>1666.96</v>
      </c>
      <c r="F4965" s="22">
        <v>0.80000000000000004</v>
      </c>
      <c r="G4965" s="21">
        <f t="shared" si="231"/>
        <v>1652.3499999999999</v>
      </c>
      <c r="H4965" s="22">
        <v>0.81000000000000005</v>
      </c>
      <c r="I4965" s="23" t="str">
        <f t="shared" si="232"/>
        <v xml:space="preserve">COM VALOR</v>
      </c>
      <c r="J4965" s="19"/>
      <c r="L4965" s="21">
        <v>1666.96</v>
      </c>
      <c r="M4965" s="22">
        <v>0</v>
      </c>
      <c r="N4965" s="21">
        <v>1652.3499999999999</v>
      </c>
      <c r="O4965" s="22">
        <v>0</v>
      </c>
    </row>
    <row r="4966" ht="38.25">
      <c r="A4966" t="s">
        <v>4984</v>
      </c>
      <c r="B4966" s="19">
        <v>101532</v>
      </c>
      <c r="C4966" s="20" t="s">
        <v>5071</v>
      </c>
      <c r="D4966" s="19" t="s">
        <v>31</v>
      </c>
      <c r="E4966" s="21">
        <f t="shared" si="230"/>
        <v>2012.8</v>
      </c>
      <c r="F4966" s="22">
        <v>0.80000000000000004</v>
      </c>
      <c r="G4966" s="21">
        <f t="shared" si="231"/>
        <v>1997.1300000000001</v>
      </c>
      <c r="H4966" s="22">
        <v>0.81000000000000005</v>
      </c>
      <c r="I4966" s="23" t="str">
        <f t="shared" si="232"/>
        <v xml:space="preserve">COM VALOR</v>
      </c>
      <c r="J4966" s="19"/>
      <c r="L4966" s="21">
        <v>2012.8</v>
      </c>
      <c r="M4966" s="22">
        <v>0</v>
      </c>
      <c r="N4966" s="21">
        <v>1997.1300000000001</v>
      </c>
      <c r="O4966" s="22">
        <v>0</v>
      </c>
    </row>
    <row r="4967" ht="12.75">
      <c r="A4967" t="s">
        <v>4984</v>
      </c>
      <c r="B4967" s="19">
        <v>106510</v>
      </c>
      <c r="C4967" s="20" t="s">
        <v>5072</v>
      </c>
      <c r="D4967" s="19" t="s">
        <v>31</v>
      </c>
      <c r="E4967" s="21" t="str">
        <f t="shared" si="230"/>
        <v>VERIFICAR</v>
      </c>
      <c r="F4967" s="22">
        <v>0</v>
      </c>
      <c r="G4967" s="21" t="str">
        <f t="shared" si="231"/>
        <v>VERIFICAR</v>
      </c>
      <c r="H4967" s="22">
        <v>0</v>
      </c>
      <c r="I4967" s="23" t="str">
        <f t="shared" si="232"/>
        <v xml:space="preserve">COM VALOR</v>
      </c>
      <c r="J4967" s="19"/>
      <c r="L4967" s="21">
        <v>0</v>
      </c>
      <c r="M4967" s="22"/>
      <c r="N4967" s="21">
        <v>0</v>
      </c>
      <c r="O4967" s="22"/>
    </row>
    <row r="4968" ht="12.75">
      <c r="A4968" t="s">
        <v>4984</v>
      </c>
      <c r="B4968" s="19">
        <v>106514</v>
      </c>
      <c r="C4968" s="20" t="s">
        <v>5073</v>
      </c>
      <c r="D4968" s="19" t="s">
        <v>31</v>
      </c>
      <c r="E4968" s="21" t="str">
        <f t="shared" si="230"/>
        <v>VERIFICAR</v>
      </c>
      <c r="F4968" s="22">
        <v>0</v>
      </c>
      <c r="G4968" s="21" t="str">
        <f t="shared" si="231"/>
        <v>VERIFICAR</v>
      </c>
      <c r="H4968" s="22">
        <v>0</v>
      </c>
      <c r="I4968" s="23" t="str">
        <f t="shared" si="232"/>
        <v xml:space="preserve">COM VALOR</v>
      </c>
      <c r="J4968" s="19"/>
      <c r="L4968" s="21">
        <v>0</v>
      </c>
      <c r="M4968" s="22"/>
      <c r="N4968" s="21">
        <v>0</v>
      </c>
      <c r="O4968" s="22"/>
    </row>
    <row r="4969" ht="12.75">
      <c r="A4969" t="s">
        <v>4984</v>
      </c>
      <c r="B4969" s="19">
        <v>106511</v>
      </c>
      <c r="C4969" s="20" t="s">
        <v>5074</v>
      </c>
      <c r="D4969" s="19" t="s">
        <v>31</v>
      </c>
      <c r="E4969" s="21" t="str">
        <f t="shared" si="230"/>
        <v>VERIFICAR</v>
      </c>
      <c r="F4969" s="22">
        <v>0</v>
      </c>
      <c r="G4969" s="21" t="str">
        <f t="shared" si="231"/>
        <v>VERIFICAR</v>
      </c>
      <c r="H4969" s="22">
        <v>0</v>
      </c>
      <c r="I4969" s="23" t="str">
        <f t="shared" si="232"/>
        <v xml:space="preserve">COM VALOR</v>
      </c>
      <c r="J4969" s="19"/>
      <c r="L4969" s="21">
        <v>0</v>
      </c>
      <c r="M4969" s="22"/>
      <c r="N4969" s="21">
        <v>0</v>
      </c>
      <c r="O4969" s="22"/>
    </row>
    <row r="4970" ht="12.75">
      <c r="A4970" t="s">
        <v>4984</v>
      </c>
      <c r="B4970" s="19">
        <v>106515</v>
      </c>
      <c r="C4970" s="20" t="s">
        <v>5075</v>
      </c>
      <c r="D4970" s="19" t="s">
        <v>31</v>
      </c>
      <c r="E4970" s="21" t="str">
        <f t="shared" si="230"/>
        <v>VERIFICAR</v>
      </c>
      <c r="F4970" s="22">
        <v>0</v>
      </c>
      <c r="G4970" s="21" t="str">
        <f t="shared" si="231"/>
        <v>VERIFICAR</v>
      </c>
      <c r="H4970" s="22">
        <v>0</v>
      </c>
      <c r="I4970" s="23" t="str">
        <f t="shared" si="232"/>
        <v xml:space="preserve">COM VALOR</v>
      </c>
      <c r="J4970" s="19"/>
      <c r="L4970" s="21">
        <v>0</v>
      </c>
      <c r="M4970" s="22"/>
      <c r="N4970" s="21">
        <v>0</v>
      </c>
      <c r="O4970" s="22"/>
    </row>
    <row r="4971" ht="12.75">
      <c r="A4971" t="s">
        <v>4984</v>
      </c>
      <c r="B4971" s="19">
        <v>106512</v>
      </c>
      <c r="C4971" s="20" t="s">
        <v>5076</v>
      </c>
      <c r="D4971" s="19" t="s">
        <v>31</v>
      </c>
      <c r="E4971" s="21" t="str">
        <f t="shared" si="230"/>
        <v>VERIFICAR</v>
      </c>
      <c r="F4971" s="22">
        <v>0</v>
      </c>
      <c r="G4971" s="21" t="str">
        <f t="shared" si="231"/>
        <v>VERIFICAR</v>
      </c>
      <c r="H4971" s="22">
        <v>0</v>
      </c>
      <c r="I4971" s="23" t="str">
        <f t="shared" si="232"/>
        <v xml:space="preserve">COM VALOR</v>
      </c>
      <c r="J4971" s="19"/>
      <c r="L4971" s="21">
        <v>0</v>
      </c>
      <c r="M4971" s="22"/>
      <c r="N4971" s="21">
        <v>0</v>
      </c>
      <c r="O4971" s="22"/>
    </row>
    <row r="4972" ht="12.75">
      <c r="A4972" t="s">
        <v>4984</v>
      </c>
      <c r="B4972" s="19">
        <v>106516</v>
      </c>
      <c r="C4972" s="20" t="s">
        <v>5077</v>
      </c>
      <c r="D4972" s="19" t="s">
        <v>31</v>
      </c>
      <c r="E4972" s="21" t="str">
        <f t="shared" si="230"/>
        <v>VERIFICAR</v>
      </c>
      <c r="F4972" s="22">
        <v>0</v>
      </c>
      <c r="G4972" s="21" t="str">
        <f t="shared" si="231"/>
        <v>VERIFICAR</v>
      </c>
      <c r="H4972" s="22">
        <v>0</v>
      </c>
      <c r="I4972" s="23" t="str">
        <f t="shared" si="232"/>
        <v xml:space="preserve">COM VALOR</v>
      </c>
      <c r="J4972" s="19"/>
      <c r="L4972" s="21">
        <v>0</v>
      </c>
      <c r="M4972" s="22"/>
      <c r="N4972" s="21">
        <v>0</v>
      </c>
      <c r="O4972" s="22"/>
    </row>
    <row r="4973" ht="12.75">
      <c r="A4973" t="s">
        <v>4984</v>
      </c>
      <c r="B4973" s="19">
        <v>106513</v>
      </c>
      <c r="C4973" s="20" t="s">
        <v>5078</v>
      </c>
      <c r="D4973" s="19" t="s">
        <v>31</v>
      </c>
      <c r="E4973" s="21" t="str">
        <f t="shared" si="230"/>
        <v>VERIFICAR</v>
      </c>
      <c r="F4973" s="22">
        <v>0</v>
      </c>
      <c r="G4973" s="21" t="str">
        <f t="shared" si="231"/>
        <v>VERIFICAR</v>
      </c>
      <c r="H4973" s="22">
        <v>0</v>
      </c>
      <c r="I4973" s="23" t="str">
        <f t="shared" si="232"/>
        <v xml:space="preserve">COM VALOR</v>
      </c>
      <c r="J4973" s="19"/>
      <c r="L4973" s="21">
        <v>0</v>
      </c>
      <c r="M4973" s="22"/>
      <c r="N4973" s="21">
        <v>0</v>
      </c>
      <c r="O4973" s="22"/>
    </row>
    <row r="4974" ht="12.75">
      <c r="A4974" t="s">
        <v>4984</v>
      </c>
      <c r="B4974" s="19">
        <v>106517</v>
      </c>
      <c r="C4974" s="20" t="s">
        <v>5079</v>
      </c>
      <c r="D4974" s="19" t="s">
        <v>31</v>
      </c>
      <c r="E4974" s="21" t="str">
        <f t="shared" si="230"/>
        <v>VERIFICAR</v>
      </c>
      <c r="F4974" s="22">
        <v>0</v>
      </c>
      <c r="G4974" s="21" t="str">
        <f t="shared" si="231"/>
        <v>VERIFICAR</v>
      </c>
      <c r="H4974" s="22">
        <v>0</v>
      </c>
      <c r="I4974" s="23" t="str">
        <f t="shared" si="232"/>
        <v xml:space="preserve">COM VALOR</v>
      </c>
      <c r="J4974" s="19"/>
      <c r="L4974" s="21">
        <v>0</v>
      </c>
      <c r="M4974" s="22"/>
      <c r="N4974" s="21">
        <v>0</v>
      </c>
      <c r="O4974" s="22"/>
    </row>
    <row r="4975" ht="25.5">
      <c r="A4975" t="s">
        <v>4984</v>
      </c>
      <c r="B4975" s="19">
        <v>106518</v>
      </c>
      <c r="C4975" s="20" t="s">
        <v>5080</v>
      </c>
      <c r="D4975" s="19" t="s">
        <v>31</v>
      </c>
      <c r="E4975" s="21" t="str">
        <f t="shared" si="230"/>
        <v>VERIFICAR</v>
      </c>
      <c r="F4975" s="22">
        <v>0</v>
      </c>
      <c r="G4975" s="21" t="str">
        <f t="shared" si="231"/>
        <v>VERIFICAR</v>
      </c>
      <c r="H4975" s="22">
        <v>0</v>
      </c>
      <c r="I4975" s="23" t="str">
        <f t="shared" si="232"/>
        <v xml:space="preserve">COM VALOR</v>
      </c>
      <c r="J4975" s="19"/>
      <c r="L4975" s="21">
        <v>0</v>
      </c>
      <c r="M4975" s="22"/>
      <c r="N4975" s="21">
        <v>0</v>
      </c>
      <c r="O4975" s="22"/>
    </row>
    <row r="4976" ht="25.5">
      <c r="A4976" t="s">
        <v>4984</v>
      </c>
      <c r="B4976" s="19">
        <v>106519</v>
      </c>
      <c r="C4976" s="20" t="s">
        <v>5081</v>
      </c>
      <c r="D4976" s="19" t="s">
        <v>31</v>
      </c>
      <c r="E4976" s="21" t="str">
        <f t="shared" si="230"/>
        <v>VERIFICAR</v>
      </c>
      <c r="F4976" s="22">
        <v>0</v>
      </c>
      <c r="G4976" s="21" t="str">
        <f t="shared" si="231"/>
        <v>VERIFICAR</v>
      </c>
      <c r="H4976" s="22">
        <v>0</v>
      </c>
      <c r="I4976" s="23" t="str">
        <f t="shared" si="232"/>
        <v xml:space="preserve">COM VALOR</v>
      </c>
      <c r="J4976" s="19"/>
      <c r="L4976" s="21">
        <v>0</v>
      </c>
      <c r="M4976" s="22"/>
      <c r="N4976" s="21">
        <v>0</v>
      </c>
      <c r="O4976" s="22"/>
    </row>
    <row r="4977" ht="25.5">
      <c r="A4977" t="s">
        <v>4984</v>
      </c>
      <c r="B4977" s="19">
        <v>106520</v>
      </c>
      <c r="C4977" s="20" t="s">
        <v>5082</v>
      </c>
      <c r="D4977" s="19" t="s">
        <v>31</v>
      </c>
      <c r="E4977" s="21" t="str">
        <f t="shared" si="230"/>
        <v>VERIFICAR</v>
      </c>
      <c r="F4977" s="22">
        <v>0</v>
      </c>
      <c r="G4977" s="21" t="str">
        <f t="shared" si="231"/>
        <v>VERIFICAR</v>
      </c>
      <c r="H4977" s="22">
        <v>0</v>
      </c>
      <c r="I4977" s="23" t="str">
        <f t="shared" si="232"/>
        <v xml:space="preserve">COM VALOR</v>
      </c>
      <c r="J4977" s="19"/>
      <c r="L4977" s="21">
        <v>0</v>
      </c>
      <c r="M4977" s="22"/>
      <c r="N4977" s="21">
        <v>0</v>
      </c>
      <c r="O4977" s="22"/>
    </row>
    <row r="4978" ht="25.5">
      <c r="A4978" t="s">
        <v>4984</v>
      </c>
      <c r="B4978" s="19">
        <v>106521</v>
      </c>
      <c r="C4978" s="20" t="s">
        <v>5083</v>
      </c>
      <c r="D4978" s="19" t="s">
        <v>31</v>
      </c>
      <c r="E4978" s="21" t="str">
        <f t="shared" si="230"/>
        <v>VERIFICAR</v>
      </c>
      <c r="F4978" s="22">
        <v>0</v>
      </c>
      <c r="G4978" s="21" t="str">
        <f t="shared" si="231"/>
        <v>VERIFICAR</v>
      </c>
      <c r="H4978" s="22">
        <v>0</v>
      </c>
      <c r="I4978" s="23" t="str">
        <f t="shared" si="232"/>
        <v xml:space="preserve">COM VALOR</v>
      </c>
      <c r="J4978" s="19"/>
      <c r="L4978" s="21">
        <v>0</v>
      </c>
      <c r="M4978" s="22"/>
      <c r="N4978" s="21">
        <v>0</v>
      </c>
      <c r="O4978" s="22"/>
    </row>
    <row r="4979" ht="25.5">
      <c r="A4979" t="s">
        <v>4984</v>
      </c>
      <c r="B4979" s="19">
        <v>106522</v>
      </c>
      <c r="C4979" s="20" t="s">
        <v>5084</v>
      </c>
      <c r="D4979" s="19" t="s">
        <v>31</v>
      </c>
      <c r="E4979" s="21" t="str">
        <f t="shared" si="230"/>
        <v>VERIFICAR</v>
      </c>
      <c r="F4979" s="22">
        <v>0</v>
      </c>
      <c r="G4979" s="21" t="str">
        <f t="shared" si="231"/>
        <v>VERIFICAR</v>
      </c>
      <c r="H4979" s="22">
        <v>0</v>
      </c>
      <c r="I4979" s="23" t="str">
        <f t="shared" si="232"/>
        <v xml:space="preserve">COM VALOR</v>
      </c>
      <c r="J4979" s="19"/>
      <c r="L4979" s="21">
        <v>0</v>
      </c>
      <c r="M4979" s="22"/>
      <c r="N4979" s="21">
        <v>0</v>
      </c>
      <c r="O4979" s="22"/>
    </row>
    <row r="4980" ht="25.5">
      <c r="A4980" t="s">
        <v>4984</v>
      </c>
      <c r="B4980" s="19">
        <v>106523</v>
      </c>
      <c r="C4980" s="20" t="s">
        <v>5085</v>
      </c>
      <c r="D4980" s="19" t="s">
        <v>31</v>
      </c>
      <c r="E4980" s="21" t="str">
        <f t="shared" si="230"/>
        <v>VERIFICAR</v>
      </c>
      <c r="F4980" s="22">
        <v>0</v>
      </c>
      <c r="G4980" s="21" t="str">
        <f t="shared" si="231"/>
        <v>VERIFICAR</v>
      </c>
      <c r="H4980" s="22">
        <v>0</v>
      </c>
      <c r="I4980" s="23" t="str">
        <f t="shared" si="232"/>
        <v xml:space="preserve">COM VALOR</v>
      </c>
      <c r="J4980" s="19"/>
      <c r="L4980" s="21">
        <v>0</v>
      </c>
      <c r="M4980" s="22"/>
      <c r="N4980" s="21">
        <v>0</v>
      </c>
      <c r="O4980" s="22"/>
    </row>
    <row r="4981" ht="38.25">
      <c r="A4981" t="s">
        <v>4984</v>
      </c>
      <c r="B4981" s="19">
        <v>101549</v>
      </c>
      <c r="C4981" s="20" t="s">
        <v>5086</v>
      </c>
      <c r="D4981" s="19" t="s">
        <v>31</v>
      </c>
      <c r="E4981" s="21">
        <f t="shared" si="230"/>
        <v>16.960000000000001</v>
      </c>
      <c r="F4981" s="22">
        <v>0.29999999999999999</v>
      </c>
      <c r="G4981" s="21">
        <f t="shared" si="231"/>
        <v>16.59</v>
      </c>
      <c r="H4981" s="22">
        <v>0.31</v>
      </c>
      <c r="I4981" s="23" t="str">
        <f t="shared" si="232"/>
        <v xml:space="preserve">COM VALOR</v>
      </c>
      <c r="J4981" s="19"/>
      <c r="L4981" s="21">
        <v>16.960000000000001</v>
      </c>
      <c r="M4981" s="22">
        <v>0</v>
      </c>
      <c r="N4981" s="21">
        <v>16.59</v>
      </c>
      <c r="O4981" s="22">
        <v>0</v>
      </c>
    </row>
    <row r="4982" ht="25.5">
      <c r="A4982" t="s">
        <v>4984</v>
      </c>
      <c r="B4982" s="19">
        <v>101547</v>
      </c>
      <c r="C4982" s="20" t="s">
        <v>5087</v>
      </c>
      <c r="D4982" s="19" t="s">
        <v>31</v>
      </c>
      <c r="E4982" s="21">
        <f t="shared" si="230"/>
        <v>80</v>
      </c>
      <c r="F4982" s="22">
        <v>0.34999999999999998</v>
      </c>
      <c r="G4982" s="21">
        <f t="shared" si="231"/>
        <v>79.890000000000001</v>
      </c>
      <c r="H4982" s="22">
        <v>0.35999999999999999</v>
      </c>
      <c r="I4982" s="23" t="str">
        <f t="shared" si="232"/>
        <v xml:space="preserve">COM VALOR</v>
      </c>
      <c r="J4982" s="19"/>
      <c r="L4982" s="21">
        <v>80</v>
      </c>
      <c r="M4982" s="22">
        <v>0</v>
      </c>
      <c r="N4982" s="21">
        <v>79.890000000000001</v>
      </c>
      <c r="O4982" s="22">
        <v>0</v>
      </c>
    </row>
    <row r="4983" ht="25.5">
      <c r="A4983" t="s">
        <v>4984</v>
      </c>
      <c r="B4983" s="19">
        <v>101546</v>
      </c>
      <c r="C4983" s="20" t="s">
        <v>5088</v>
      </c>
      <c r="D4983" s="19" t="s">
        <v>31</v>
      </c>
      <c r="E4983" s="21">
        <f t="shared" si="230"/>
        <v>25.870000000000001</v>
      </c>
      <c r="F4983" s="22">
        <v>0.65000000000000002</v>
      </c>
      <c r="G4983" s="21">
        <f t="shared" si="231"/>
        <v>25.760000000000002</v>
      </c>
      <c r="H4983" s="22">
        <v>0.66000000000000003</v>
      </c>
      <c r="I4983" s="23" t="str">
        <f t="shared" si="232"/>
        <v xml:space="preserve">COM VALOR</v>
      </c>
      <c r="J4983" s="19"/>
      <c r="L4983" s="21">
        <v>25.870000000000001</v>
      </c>
      <c r="M4983" s="22">
        <v>0</v>
      </c>
      <c r="N4983" s="21">
        <v>25.760000000000002</v>
      </c>
      <c r="O4983" s="22">
        <v>0</v>
      </c>
    </row>
    <row r="4984" ht="25.5">
      <c r="A4984" t="s">
        <v>4984</v>
      </c>
      <c r="B4984" s="19">
        <v>101548</v>
      </c>
      <c r="C4984" s="20" t="s">
        <v>5089</v>
      </c>
      <c r="D4984" s="19" t="s">
        <v>31</v>
      </c>
      <c r="E4984" s="21">
        <f t="shared" si="230"/>
        <v>6.7800000000000002</v>
      </c>
      <c r="F4984" s="22">
        <v>0.69999999999999996</v>
      </c>
      <c r="G4984" s="21">
        <f t="shared" si="231"/>
        <v>6.6699999999999999</v>
      </c>
      <c r="H4984" s="22">
        <v>0.71999999999999997</v>
      </c>
      <c r="I4984" s="23" t="str">
        <f t="shared" si="232"/>
        <v xml:space="preserve">COM VALOR</v>
      </c>
      <c r="J4984" s="19"/>
      <c r="L4984" s="21">
        <v>6.7800000000000002</v>
      </c>
      <c r="M4984" s="22">
        <v>0</v>
      </c>
      <c r="N4984" s="21">
        <v>6.6699999999999999</v>
      </c>
      <c r="O4984" s="22">
        <v>0</v>
      </c>
    </row>
    <row r="4985" ht="12.75">
      <c r="A4985" t="s">
        <v>4984</v>
      </c>
      <c r="B4985" s="19">
        <v>106528</v>
      </c>
      <c r="C4985" s="20" t="s">
        <v>5090</v>
      </c>
      <c r="D4985" s="19" t="s">
        <v>31</v>
      </c>
      <c r="E4985" s="21" t="str">
        <f t="shared" si="230"/>
        <v>VERIFICAR</v>
      </c>
      <c r="F4985" s="22">
        <v>0.75</v>
      </c>
      <c r="G4985" s="21" t="str">
        <f t="shared" si="231"/>
        <v>VERIFICAR</v>
      </c>
      <c r="H4985" s="22">
        <v>0.76000000000000001</v>
      </c>
      <c r="I4985" s="23" t="str">
        <f t="shared" si="232"/>
        <v xml:space="preserve">COM VALOR</v>
      </c>
      <c r="J4985" s="19"/>
      <c r="L4985" s="21">
        <v>0</v>
      </c>
      <c r="M4985" s="22"/>
      <c r="N4985" s="21">
        <v>0</v>
      </c>
      <c r="O4985" s="22"/>
    </row>
    <row r="4986" ht="38.25">
      <c r="A4986" t="s">
        <v>5091</v>
      </c>
      <c r="B4986" s="19">
        <v>94764</v>
      </c>
      <c r="C4986" s="20" t="s">
        <v>5092</v>
      </c>
      <c r="D4986" s="19" t="s">
        <v>31</v>
      </c>
      <c r="E4986" s="21">
        <f t="shared" si="230"/>
        <v>40.100000000000001</v>
      </c>
      <c r="F4986" s="22">
        <v>0.81999999999999995</v>
      </c>
      <c r="G4986" s="21">
        <f t="shared" si="231"/>
        <v>39.729999999999997</v>
      </c>
      <c r="H4986" s="22">
        <v>0.82999999999999996</v>
      </c>
      <c r="I4986" s="23" t="str">
        <f t="shared" si="232"/>
        <v xml:space="preserve">COM VALOR</v>
      </c>
      <c r="J4986" s="19"/>
      <c r="L4986" s="21">
        <v>40.100000000000001</v>
      </c>
      <c r="M4986" s="22">
        <v>0</v>
      </c>
      <c r="N4986" s="21">
        <v>39.729999999999997</v>
      </c>
      <c r="O4986" s="22">
        <v>0</v>
      </c>
    </row>
    <row r="4987" ht="38.25">
      <c r="A4987" t="s">
        <v>5091</v>
      </c>
      <c r="B4987" s="19">
        <v>94765</v>
      </c>
      <c r="C4987" s="20" t="s">
        <v>5093</v>
      </c>
      <c r="D4987" s="19" t="s">
        <v>31</v>
      </c>
      <c r="E4987" s="21">
        <f t="shared" si="230"/>
        <v>44.270000000000003</v>
      </c>
      <c r="F4987" s="22">
        <v>0.85999999999999999</v>
      </c>
      <c r="G4987" s="21">
        <f t="shared" si="231"/>
        <v>43.890000000000001</v>
      </c>
      <c r="H4987" s="22">
        <v>0.87</v>
      </c>
      <c r="I4987" s="23" t="str">
        <f t="shared" si="232"/>
        <v xml:space="preserve">COM VALOR</v>
      </c>
      <c r="J4987" s="19"/>
      <c r="L4987" s="21">
        <v>44.270000000000003</v>
      </c>
      <c r="M4987" s="22">
        <v>0</v>
      </c>
      <c r="N4987" s="21">
        <v>43.890000000000001</v>
      </c>
      <c r="O4987" s="22">
        <v>0</v>
      </c>
    </row>
    <row r="4988" ht="38.25">
      <c r="A4988" t="s">
        <v>5091</v>
      </c>
      <c r="B4988" s="19">
        <v>94766</v>
      </c>
      <c r="C4988" s="20" t="s">
        <v>5094</v>
      </c>
      <c r="D4988" s="19" t="s">
        <v>31</v>
      </c>
      <c r="E4988" s="21">
        <f t="shared" si="230"/>
        <v>49.609999999999999</v>
      </c>
      <c r="F4988" s="22">
        <v>0.53000000000000003</v>
      </c>
      <c r="G4988" s="21">
        <f t="shared" si="231"/>
        <v>49.219999999999999</v>
      </c>
      <c r="H4988" s="22">
        <v>0.55000000000000004</v>
      </c>
      <c r="I4988" s="23" t="str">
        <f t="shared" si="232"/>
        <v xml:space="preserve">COM VALOR</v>
      </c>
      <c r="J4988" s="19"/>
      <c r="L4988" s="21">
        <v>49.609999999999999</v>
      </c>
      <c r="M4988" s="22">
        <v>0</v>
      </c>
      <c r="N4988" s="21">
        <v>49.219999999999999</v>
      </c>
      <c r="O4988" s="22">
        <v>0</v>
      </c>
    </row>
    <row r="4989" ht="38.25">
      <c r="A4989" t="s">
        <v>5091</v>
      </c>
      <c r="B4989" s="19">
        <v>94767</v>
      </c>
      <c r="C4989" s="20" t="s">
        <v>5095</v>
      </c>
      <c r="D4989" s="19" t="s">
        <v>31</v>
      </c>
      <c r="E4989" s="21">
        <f t="shared" si="230"/>
        <v>74.030000000000001</v>
      </c>
      <c r="F4989" s="22">
        <v>0</v>
      </c>
      <c r="G4989" s="21">
        <f t="shared" si="231"/>
        <v>73.629999999999995</v>
      </c>
      <c r="H4989" s="22">
        <v>0</v>
      </c>
      <c r="I4989" s="23" t="str">
        <f t="shared" si="232"/>
        <v xml:space="preserve">COM VALOR</v>
      </c>
      <c r="J4989" s="19"/>
      <c r="L4989" s="21">
        <v>74.030000000000001</v>
      </c>
      <c r="M4989" s="22">
        <v>0</v>
      </c>
      <c r="N4989" s="21">
        <v>73.629999999999995</v>
      </c>
      <c r="O4989" s="22">
        <v>0</v>
      </c>
    </row>
    <row r="4990" ht="38.25">
      <c r="A4990" t="s">
        <v>5091</v>
      </c>
      <c r="B4990" s="19">
        <v>94768</v>
      </c>
      <c r="C4990" s="20" t="s">
        <v>5096</v>
      </c>
      <c r="D4990" s="19" t="s">
        <v>31</v>
      </c>
      <c r="E4990" s="21">
        <f t="shared" si="230"/>
        <v>83.969999999999999</v>
      </c>
      <c r="F4990" s="22">
        <v>0</v>
      </c>
      <c r="G4990" s="21">
        <f t="shared" si="231"/>
        <v>83.569999999999993</v>
      </c>
      <c r="H4990" s="22">
        <v>0</v>
      </c>
      <c r="I4990" s="23" t="str">
        <f t="shared" si="232"/>
        <v xml:space="preserve">COM VALOR</v>
      </c>
      <c r="J4990" s="19"/>
      <c r="L4990" s="21">
        <v>83.969999999999999</v>
      </c>
      <c r="M4990" s="22">
        <v>0</v>
      </c>
      <c r="N4990" s="21">
        <v>83.569999999999993</v>
      </c>
      <c r="O4990" s="22">
        <v>0</v>
      </c>
    </row>
    <row r="4991" ht="38.25">
      <c r="A4991" t="s">
        <v>5091</v>
      </c>
      <c r="B4991" s="19">
        <v>94769</v>
      </c>
      <c r="C4991" s="20" t="s">
        <v>5097</v>
      </c>
      <c r="D4991" s="19" t="s">
        <v>31</v>
      </c>
      <c r="E4991" s="21">
        <f t="shared" si="230"/>
        <v>112.47</v>
      </c>
      <c r="F4991" s="22">
        <v>0</v>
      </c>
      <c r="G4991" s="21">
        <f t="shared" si="231"/>
        <v>112.04000000000001</v>
      </c>
      <c r="H4991" s="22">
        <v>0</v>
      </c>
      <c r="I4991" s="23" t="str">
        <f t="shared" si="232"/>
        <v xml:space="preserve">COM VALOR</v>
      </c>
      <c r="J4991" s="19"/>
      <c r="L4991" s="21">
        <v>112.47</v>
      </c>
      <c r="M4991" s="22">
        <v>0</v>
      </c>
      <c r="N4991" s="21">
        <v>112.04000000000001</v>
      </c>
      <c r="O4991" s="22">
        <v>0</v>
      </c>
    </row>
    <row r="4992" ht="38.25">
      <c r="A4992" t="s">
        <v>5091</v>
      </c>
      <c r="B4992" s="19">
        <v>94783</v>
      </c>
      <c r="C4992" s="20" t="s">
        <v>5098</v>
      </c>
      <c r="D4992" s="19" t="s">
        <v>31</v>
      </c>
      <c r="E4992" s="21">
        <f t="shared" si="230"/>
        <v>18.899999999999999</v>
      </c>
      <c r="F4992" s="22">
        <v>0</v>
      </c>
      <c r="G4992" s="21">
        <f t="shared" si="231"/>
        <v>18.52</v>
      </c>
      <c r="H4992" s="22">
        <v>0</v>
      </c>
      <c r="I4992" s="23" t="str">
        <f t="shared" si="232"/>
        <v xml:space="preserve">COM VALOR</v>
      </c>
      <c r="J4992" s="19"/>
      <c r="L4992" s="21">
        <v>18.899999999999999</v>
      </c>
      <c r="M4992" s="22">
        <v>0</v>
      </c>
      <c r="N4992" s="21">
        <v>18.52</v>
      </c>
      <c r="O4992" s="22">
        <v>0</v>
      </c>
    </row>
    <row r="4993" ht="38.25">
      <c r="A4993" t="s">
        <v>5091</v>
      </c>
      <c r="B4993" s="19">
        <v>94703</v>
      </c>
      <c r="C4993" s="20" t="s">
        <v>5099</v>
      </c>
      <c r="D4993" s="19" t="s">
        <v>31</v>
      </c>
      <c r="E4993" s="21">
        <f t="shared" si="230"/>
        <v>20.23</v>
      </c>
      <c r="F4993" s="22">
        <v>0</v>
      </c>
      <c r="G4993" s="21">
        <f t="shared" si="231"/>
        <v>19.84</v>
      </c>
      <c r="H4993" s="22">
        <v>0</v>
      </c>
      <c r="I4993" s="23" t="str">
        <f t="shared" si="232"/>
        <v xml:space="preserve">COM VALOR</v>
      </c>
      <c r="J4993" s="19"/>
      <c r="L4993" s="21">
        <v>20.23</v>
      </c>
      <c r="M4993" s="22">
        <v>0</v>
      </c>
      <c r="N4993" s="21">
        <v>19.84</v>
      </c>
      <c r="O4993" s="22">
        <v>0</v>
      </c>
    </row>
    <row r="4994" ht="38.25">
      <c r="A4994" t="s">
        <v>5091</v>
      </c>
      <c r="B4994" s="19">
        <v>94704</v>
      </c>
      <c r="C4994" s="20" t="s">
        <v>5100</v>
      </c>
      <c r="D4994" s="19" t="s">
        <v>31</v>
      </c>
      <c r="E4994" s="21">
        <f t="shared" si="230"/>
        <v>27.129999999999999</v>
      </c>
      <c r="F4994" s="22">
        <v>0</v>
      </c>
      <c r="G4994" s="21">
        <f t="shared" si="231"/>
        <v>26.73</v>
      </c>
      <c r="H4994" s="22">
        <v>0</v>
      </c>
      <c r="I4994" s="23" t="str">
        <f t="shared" si="232"/>
        <v xml:space="preserve">COM VALOR</v>
      </c>
      <c r="J4994" s="19"/>
      <c r="L4994" s="21">
        <v>27.129999999999999</v>
      </c>
      <c r="M4994" s="22">
        <v>0</v>
      </c>
      <c r="N4994" s="21">
        <v>26.73</v>
      </c>
      <c r="O4994" s="22">
        <v>0</v>
      </c>
    </row>
    <row r="4995" ht="38.25">
      <c r="A4995" t="s">
        <v>5091</v>
      </c>
      <c r="B4995" s="19">
        <v>94705</v>
      </c>
      <c r="C4995" s="20" t="s">
        <v>5101</v>
      </c>
      <c r="D4995" s="19" t="s">
        <v>31</v>
      </c>
      <c r="E4995" s="21">
        <f t="shared" si="230"/>
        <v>37.189999999999998</v>
      </c>
      <c r="F4995" s="22">
        <v>0</v>
      </c>
      <c r="G4995" s="21">
        <f t="shared" si="231"/>
        <v>36.789999999999999</v>
      </c>
      <c r="H4995" s="22">
        <v>0</v>
      </c>
      <c r="I4995" s="23" t="str">
        <f t="shared" si="232"/>
        <v xml:space="preserve">COM VALOR</v>
      </c>
      <c r="J4995" s="19"/>
      <c r="L4995" s="21">
        <v>37.189999999999998</v>
      </c>
      <c r="M4995" s="22">
        <v>0</v>
      </c>
      <c r="N4995" s="21">
        <v>36.789999999999999</v>
      </c>
      <c r="O4995" s="22">
        <v>0</v>
      </c>
    </row>
    <row r="4996" ht="38.25">
      <c r="A4996" t="s">
        <v>5091</v>
      </c>
      <c r="B4996" s="19">
        <v>94706</v>
      </c>
      <c r="C4996" s="20" t="s">
        <v>5102</v>
      </c>
      <c r="D4996" s="19" t="s">
        <v>31</v>
      </c>
      <c r="E4996" s="21">
        <f t="shared" si="230"/>
        <v>36.409999999999997</v>
      </c>
      <c r="F4996" s="22">
        <v>0.94999999999999996</v>
      </c>
      <c r="G4996" s="21">
        <f t="shared" si="231"/>
        <v>35.979999999999997</v>
      </c>
      <c r="H4996" s="22">
        <v>0.94999999999999996</v>
      </c>
      <c r="I4996" s="23" t="str">
        <f t="shared" si="232"/>
        <v xml:space="preserve">COM VALOR</v>
      </c>
      <c r="J4996" s="19"/>
      <c r="L4996" s="21">
        <v>36.409999999999997</v>
      </c>
      <c r="M4996" s="22">
        <v>0</v>
      </c>
      <c r="N4996" s="21">
        <v>35.979999999999997</v>
      </c>
      <c r="O4996" s="22">
        <v>0</v>
      </c>
    </row>
    <row r="4997" ht="38.25">
      <c r="A4997" t="s">
        <v>5091</v>
      </c>
      <c r="B4997" s="19">
        <v>94707</v>
      </c>
      <c r="C4997" s="20" t="s">
        <v>5103</v>
      </c>
      <c r="D4997" s="19" t="s">
        <v>31</v>
      </c>
      <c r="E4997" s="21">
        <f t="shared" si="230"/>
        <v>57.649999999999999</v>
      </c>
      <c r="F4997" s="22">
        <v>0</v>
      </c>
      <c r="G4997" s="21">
        <f t="shared" si="231"/>
        <v>57.210000000000001</v>
      </c>
      <c r="H4997" s="22">
        <v>0</v>
      </c>
      <c r="I4997" s="23" t="str">
        <f t="shared" si="232"/>
        <v xml:space="preserve">COM VALOR</v>
      </c>
      <c r="J4997" s="19"/>
      <c r="L4997" s="21">
        <v>57.649999999999999</v>
      </c>
      <c r="M4997" s="22">
        <v>0</v>
      </c>
      <c r="N4997" s="21">
        <v>57.210000000000001</v>
      </c>
      <c r="O4997" s="22">
        <v>0</v>
      </c>
    </row>
    <row r="4998" ht="38.25">
      <c r="A4998" t="s">
        <v>5091</v>
      </c>
      <c r="B4998" s="19">
        <v>94715</v>
      </c>
      <c r="C4998" s="20" t="s">
        <v>5104</v>
      </c>
      <c r="D4998" s="19" t="s">
        <v>31</v>
      </c>
      <c r="E4998" s="21">
        <f t="shared" si="230"/>
        <v>299.33999999999997</v>
      </c>
      <c r="F4998" s="22">
        <v>0</v>
      </c>
      <c r="G4998" s="21">
        <f t="shared" si="231"/>
        <v>298.47000000000003</v>
      </c>
      <c r="H4998" s="22">
        <v>0</v>
      </c>
      <c r="I4998" s="23" t="str">
        <f t="shared" si="232"/>
        <v xml:space="preserve">COM VALOR</v>
      </c>
      <c r="J4998" s="19"/>
      <c r="L4998" s="21">
        <v>299.33999999999997</v>
      </c>
      <c r="M4998" s="22">
        <v>0</v>
      </c>
      <c r="N4998" s="21">
        <v>298.47000000000003</v>
      </c>
      <c r="O4998" s="22">
        <v>0</v>
      </c>
    </row>
    <row r="4999" ht="38.25">
      <c r="A4999" t="s">
        <v>5091</v>
      </c>
      <c r="B4999" s="19">
        <v>94713</v>
      </c>
      <c r="C4999" s="20" t="s">
        <v>5105</v>
      </c>
      <c r="D4999" s="19" t="s">
        <v>31</v>
      </c>
      <c r="E4999" s="21">
        <f t="shared" si="230"/>
        <v>239.69999999999999</v>
      </c>
      <c r="F4999" s="22">
        <v>0</v>
      </c>
      <c r="G4999" s="21">
        <f t="shared" si="231"/>
        <v>238.91999999999999</v>
      </c>
      <c r="H4999" s="22">
        <v>0</v>
      </c>
      <c r="I4999" s="23" t="str">
        <f t="shared" si="232"/>
        <v xml:space="preserve">COM VALOR</v>
      </c>
      <c r="J4999" s="19"/>
      <c r="L4999" s="21">
        <v>239.69999999999999</v>
      </c>
      <c r="M4999" s="22">
        <v>0</v>
      </c>
      <c r="N4999" s="21">
        <v>238.91999999999999</v>
      </c>
      <c r="O4999" s="22">
        <v>0</v>
      </c>
    </row>
    <row r="5000" ht="38.25">
      <c r="A5000" t="s">
        <v>5091</v>
      </c>
      <c r="B5000" s="19">
        <v>94714</v>
      </c>
      <c r="C5000" s="20" t="s">
        <v>5106</v>
      </c>
      <c r="D5000" s="19" t="s">
        <v>31</v>
      </c>
      <c r="E5000" s="21">
        <f t="shared" si="230"/>
        <v>336.66000000000003</v>
      </c>
      <c r="F5000" s="22">
        <v>0</v>
      </c>
      <c r="G5000" s="21">
        <f t="shared" si="231"/>
        <v>335.85000000000002</v>
      </c>
      <c r="H5000" s="22">
        <v>0</v>
      </c>
      <c r="I5000" s="23" t="str">
        <f t="shared" si="232"/>
        <v xml:space="preserve">COM VALOR</v>
      </c>
      <c r="J5000" s="19"/>
      <c r="L5000" s="21">
        <v>336.66000000000003</v>
      </c>
      <c r="M5000" s="22">
        <v>0</v>
      </c>
      <c r="N5000" s="21">
        <v>335.85000000000002</v>
      </c>
      <c r="O5000" s="22">
        <v>0</v>
      </c>
    </row>
    <row r="5001" ht="38.25">
      <c r="A5001" t="s">
        <v>5091</v>
      </c>
      <c r="B5001" s="19">
        <v>94670</v>
      </c>
      <c r="C5001" s="20" t="s">
        <v>5107</v>
      </c>
      <c r="D5001" s="19" t="s">
        <v>31</v>
      </c>
      <c r="E5001" s="21">
        <f t="shared" si="230"/>
        <v>69.900000000000006</v>
      </c>
      <c r="F5001" s="22">
        <v>0</v>
      </c>
      <c r="G5001" s="21">
        <f t="shared" si="231"/>
        <v>68.810000000000002</v>
      </c>
      <c r="H5001" s="22">
        <v>0</v>
      </c>
      <c r="I5001" s="23" t="str">
        <f t="shared" si="232"/>
        <v xml:space="preserve">COM VALOR</v>
      </c>
      <c r="J5001" s="19"/>
      <c r="L5001" s="21">
        <v>69.900000000000006</v>
      </c>
      <c r="M5001" s="22">
        <v>0</v>
      </c>
      <c r="N5001" s="21">
        <v>68.810000000000002</v>
      </c>
      <c r="O5001" s="22">
        <v>0</v>
      </c>
    </row>
    <row r="5002" ht="38.25">
      <c r="A5002" t="s">
        <v>5091</v>
      </c>
      <c r="B5002" s="19">
        <v>94656</v>
      </c>
      <c r="C5002" s="20" t="s">
        <v>5108</v>
      </c>
      <c r="D5002" s="19" t="s">
        <v>31</v>
      </c>
      <c r="E5002" s="21">
        <f t="shared" si="230"/>
        <v>3.5499999999999998</v>
      </c>
      <c r="F5002" s="22">
        <v>0</v>
      </c>
      <c r="G5002" s="21">
        <f t="shared" si="231"/>
        <v>3.4399999999999999</v>
      </c>
      <c r="H5002" s="22">
        <v>0</v>
      </c>
      <c r="I5002" s="23" t="str">
        <f t="shared" si="232"/>
        <v xml:space="preserve">COM VALOR</v>
      </c>
      <c r="J5002" s="19"/>
      <c r="L5002" s="21">
        <v>3.5499999999999998</v>
      </c>
      <c r="M5002" s="22">
        <v>0</v>
      </c>
      <c r="N5002" s="21">
        <v>3.4399999999999999</v>
      </c>
      <c r="O5002" s="22">
        <v>0</v>
      </c>
    </row>
    <row r="5003" ht="38.25">
      <c r="A5003" t="s">
        <v>5091</v>
      </c>
      <c r="B5003" s="19">
        <v>94658</v>
      </c>
      <c r="C5003" s="20" t="s">
        <v>5109</v>
      </c>
      <c r="D5003" s="19" t="s">
        <v>31</v>
      </c>
      <c r="E5003" s="21">
        <f t="shared" ref="E5003:E5066" si="233">IF(L5003=0,"VERIFICAR",L5003)</f>
        <v>5.3600000000000003</v>
      </c>
      <c r="F5003" s="22">
        <v>0</v>
      </c>
      <c r="G5003" s="21">
        <f t="shared" ref="G5003:G5066" si="234">IF(N5003=0,"VERIFICAR",N5003)</f>
        <v>5.21</v>
      </c>
      <c r="H5003" s="22">
        <v>0</v>
      </c>
      <c r="I5003" s="23" t="str">
        <f t="shared" ref="I5003:I5066" si="235">IF(OR(E5003=0,G5003=0),"SEM VALOR","COM VALOR")</f>
        <v xml:space="preserve">COM VALOR</v>
      </c>
      <c r="J5003" s="19"/>
      <c r="L5003" s="21">
        <v>5.3600000000000003</v>
      </c>
      <c r="M5003" s="22">
        <v>0</v>
      </c>
      <c r="N5003" s="21">
        <v>5.21</v>
      </c>
      <c r="O5003" s="22">
        <v>0</v>
      </c>
    </row>
    <row r="5004" ht="38.25">
      <c r="A5004" t="s">
        <v>5091</v>
      </c>
      <c r="B5004" s="19">
        <v>94660</v>
      </c>
      <c r="C5004" s="20" t="s">
        <v>5110</v>
      </c>
      <c r="D5004" s="19" t="s">
        <v>31</v>
      </c>
      <c r="E5004" s="21">
        <f t="shared" si="233"/>
        <v>8.4700000000000006</v>
      </c>
      <c r="F5004" s="22">
        <v>0.76000000000000001</v>
      </c>
      <c r="G5004" s="21">
        <f t="shared" si="234"/>
        <v>8.2699999999999996</v>
      </c>
      <c r="H5004" s="22">
        <v>0.78000000000000003</v>
      </c>
      <c r="I5004" s="23" t="str">
        <f t="shared" si="235"/>
        <v xml:space="preserve">COM VALOR</v>
      </c>
      <c r="J5004" s="19"/>
      <c r="L5004" s="21">
        <v>8.4700000000000006</v>
      </c>
      <c r="M5004" s="22">
        <v>0</v>
      </c>
      <c r="N5004" s="21">
        <v>8.2699999999999996</v>
      </c>
      <c r="O5004" s="22">
        <v>0</v>
      </c>
    </row>
    <row r="5005" ht="38.25">
      <c r="A5005" t="s">
        <v>5091</v>
      </c>
      <c r="B5005" s="19">
        <v>94662</v>
      </c>
      <c r="C5005" s="20" t="s">
        <v>5111</v>
      </c>
      <c r="D5005" s="19" t="s">
        <v>31</v>
      </c>
      <c r="E5005" s="21">
        <f t="shared" si="233"/>
        <v>11.15</v>
      </c>
      <c r="F5005" s="22">
        <v>0.90000000000000002</v>
      </c>
      <c r="G5005" s="21">
        <f t="shared" si="234"/>
        <v>10.869999999999999</v>
      </c>
      <c r="H5005" s="22">
        <v>0.91000000000000003</v>
      </c>
      <c r="I5005" s="23" t="str">
        <f t="shared" si="235"/>
        <v xml:space="preserve">COM VALOR</v>
      </c>
      <c r="J5005" s="19"/>
      <c r="L5005" s="21">
        <v>11.15</v>
      </c>
      <c r="M5005" s="22">
        <v>0</v>
      </c>
      <c r="N5005" s="21">
        <v>10.869999999999999</v>
      </c>
      <c r="O5005" s="22">
        <v>0</v>
      </c>
    </row>
    <row r="5006" ht="38.25">
      <c r="A5006" t="s">
        <v>5091</v>
      </c>
      <c r="B5006" s="19">
        <v>94664</v>
      </c>
      <c r="C5006" s="20" t="s">
        <v>5112</v>
      </c>
      <c r="D5006" s="19" t="s">
        <v>31</v>
      </c>
      <c r="E5006" s="21">
        <f t="shared" si="233"/>
        <v>20.359999999999999</v>
      </c>
      <c r="F5006" s="22">
        <v>0.93000000000000005</v>
      </c>
      <c r="G5006" s="21">
        <f t="shared" si="234"/>
        <v>20</v>
      </c>
      <c r="H5006" s="22">
        <v>0.93999999999999995</v>
      </c>
      <c r="I5006" s="23" t="str">
        <f t="shared" si="235"/>
        <v xml:space="preserve">COM VALOR</v>
      </c>
      <c r="J5006" s="19"/>
      <c r="L5006" s="21">
        <v>20.359999999999999</v>
      </c>
      <c r="M5006" s="22">
        <v>0</v>
      </c>
      <c r="N5006" s="21">
        <v>20</v>
      </c>
      <c r="O5006" s="22">
        <v>0</v>
      </c>
    </row>
    <row r="5007" ht="38.25">
      <c r="A5007" t="s">
        <v>5091</v>
      </c>
      <c r="B5007" s="19">
        <v>94666</v>
      </c>
      <c r="C5007" s="20" t="s">
        <v>5113</v>
      </c>
      <c r="D5007" s="19" t="s">
        <v>31</v>
      </c>
      <c r="E5007" s="21">
        <f t="shared" si="233"/>
        <v>33.119999999999997</v>
      </c>
      <c r="F5007" s="22">
        <v>0</v>
      </c>
      <c r="G5007" s="21">
        <f t="shared" si="234"/>
        <v>32.590000000000003</v>
      </c>
      <c r="H5007" s="22">
        <v>0</v>
      </c>
      <c r="I5007" s="23" t="str">
        <f t="shared" si="235"/>
        <v xml:space="preserve">COM VALOR</v>
      </c>
      <c r="J5007" s="19"/>
      <c r="L5007" s="21">
        <v>33.119999999999997</v>
      </c>
      <c r="M5007" s="22">
        <v>0</v>
      </c>
      <c r="N5007" s="21">
        <v>32.590000000000003</v>
      </c>
      <c r="O5007" s="22">
        <v>0</v>
      </c>
    </row>
    <row r="5008" ht="38.25">
      <c r="A5008" t="s">
        <v>5091</v>
      </c>
      <c r="B5008" s="19">
        <v>94668</v>
      </c>
      <c r="C5008" s="20" t="s">
        <v>5114</v>
      </c>
      <c r="D5008" s="19" t="s">
        <v>31</v>
      </c>
      <c r="E5008" s="21">
        <f t="shared" si="233"/>
        <v>44.020000000000003</v>
      </c>
      <c r="F5008" s="22">
        <v>0</v>
      </c>
      <c r="G5008" s="21">
        <f t="shared" si="234"/>
        <v>43.359999999999999</v>
      </c>
      <c r="H5008" s="22">
        <v>0</v>
      </c>
      <c r="I5008" s="23" t="str">
        <f t="shared" si="235"/>
        <v xml:space="preserve">COM VALOR</v>
      </c>
      <c r="J5008" s="19"/>
      <c r="L5008" s="21">
        <v>44.020000000000003</v>
      </c>
      <c r="M5008" s="22">
        <v>0</v>
      </c>
      <c r="N5008" s="21">
        <v>43.359999999999999</v>
      </c>
      <c r="O5008" s="22">
        <v>0</v>
      </c>
    </row>
    <row r="5009" ht="38.25">
      <c r="A5009" t="s">
        <v>5091</v>
      </c>
      <c r="B5009" s="19">
        <v>105215</v>
      </c>
      <c r="C5009" s="20" t="s">
        <v>5115</v>
      </c>
      <c r="D5009" s="19" t="s">
        <v>31</v>
      </c>
      <c r="E5009" s="21">
        <f t="shared" si="233"/>
        <v>10.27</v>
      </c>
      <c r="F5009" s="22">
        <v>0</v>
      </c>
      <c r="G5009" s="21">
        <f t="shared" si="234"/>
        <v>10.16</v>
      </c>
      <c r="H5009" s="22">
        <v>0</v>
      </c>
      <c r="I5009" s="23" t="str">
        <f t="shared" si="235"/>
        <v xml:space="preserve">COM VALOR</v>
      </c>
      <c r="J5009" s="19"/>
      <c r="L5009" s="21">
        <v>10.27</v>
      </c>
      <c r="M5009" s="22">
        <v>0</v>
      </c>
      <c r="N5009" s="21">
        <v>10.16</v>
      </c>
      <c r="O5009" s="22">
        <v>0</v>
      </c>
    </row>
    <row r="5010" ht="38.25">
      <c r="A5010" t="s">
        <v>5091</v>
      </c>
      <c r="B5010" s="19">
        <v>105216</v>
      </c>
      <c r="C5010" s="20" t="s">
        <v>5116</v>
      </c>
      <c r="D5010" s="19" t="s">
        <v>31</v>
      </c>
      <c r="E5010" s="21">
        <f t="shared" si="233"/>
        <v>38.899999999999999</v>
      </c>
      <c r="F5010" s="22">
        <v>0</v>
      </c>
      <c r="G5010" s="21">
        <f t="shared" si="234"/>
        <v>38.759999999999998</v>
      </c>
      <c r="H5010" s="22">
        <v>0</v>
      </c>
      <c r="I5010" s="23" t="str">
        <f t="shared" si="235"/>
        <v xml:space="preserve">COM VALOR</v>
      </c>
      <c r="J5010" s="19"/>
      <c r="L5010" s="21">
        <v>38.899999999999999</v>
      </c>
      <c r="M5010" s="22">
        <v>0</v>
      </c>
      <c r="N5010" s="21">
        <v>38.759999999999998</v>
      </c>
      <c r="O5010" s="22">
        <v>0</v>
      </c>
    </row>
    <row r="5011" ht="38.25">
      <c r="A5011" t="s">
        <v>5091</v>
      </c>
      <c r="B5011" s="19">
        <v>105217</v>
      </c>
      <c r="C5011" s="20" t="s">
        <v>5117</v>
      </c>
      <c r="D5011" s="19" t="s">
        <v>31</v>
      </c>
      <c r="E5011" s="21">
        <f t="shared" si="233"/>
        <v>43.840000000000003</v>
      </c>
      <c r="F5011" s="22">
        <v>0</v>
      </c>
      <c r="G5011" s="21">
        <f t="shared" si="234"/>
        <v>43.689999999999998</v>
      </c>
      <c r="H5011" s="22">
        <v>0</v>
      </c>
      <c r="I5011" s="23" t="str">
        <f t="shared" si="235"/>
        <v xml:space="preserve">COM VALOR</v>
      </c>
      <c r="J5011" s="19"/>
      <c r="L5011" s="21">
        <v>43.840000000000003</v>
      </c>
      <c r="M5011" s="22">
        <v>0</v>
      </c>
      <c r="N5011" s="21">
        <v>43.689999999999998</v>
      </c>
      <c r="O5011" s="22">
        <v>0</v>
      </c>
    </row>
    <row r="5012" ht="38.25">
      <c r="A5012" t="s">
        <v>5091</v>
      </c>
      <c r="B5012" s="19">
        <v>105214</v>
      </c>
      <c r="C5012" s="20" t="s">
        <v>5118</v>
      </c>
      <c r="D5012" s="19" t="s">
        <v>31</v>
      </c>
      <c r="E5012" s="21">
        <f t="shared" si="233"/>
        <v>45.729999999999997</v>
      </c>
      <c r="F5012" s="22">
        <v>0</v>
      </c>
      <c r="G5012" s="21">
        <f t="shared" si="234"/>
        <v>45.520000000000003</v>
      </c>
      <c r="H5012" s="22">
        <v>0</v>
      </c>
      <c r="I5012" s="23" t="str">
        <f t="shared" si="235"/>
        <v xml:space="preserve">COM VALOR</v>
      </c>
      <c r="J5012" s="19"/>
      <c r="L5012" s="21">
        <v>45.729999999999997</v>
      </c>
      <c r="M5012" s="22">
        <v>0</v>
      </c>
      <c r="N5012" s="21">
        <v>45.520000000000003</v>
      </c>
      <c r="O5012" s="22">
        <v>0</v>
      </c>
    </row>
    <row r="5013" ht="38.25">
      <c r="A5013" t="s">
        <v>5091</v>
      </c>
      <c r="B5013" s="19">
        <v>105218</v>
      </c>
      <c r="C5013" s="20" t="s">
        <v>5119</v>
      </c>
      <c r="D5013" s="19" t="s">
        <v>31</v>
      </c>
      <c r="E5013" s="21">
        <f t="shared" si="233"/>
        <v>76.049999999999997</v>
      </c>
      <c r="F5013" s="22">
        <v>0</v>
      </c>
      <c r="G5013" s="21">
        <f t="shared" si="234"/>
        <v>75.819999999999993</v>
      </c>
      <c r="H5013" s="22">
        <v>0</v>
      </c>
      <c r="I5013" s="23" t="str">
        <f t="shared" si="235"/>
        <v xml:space="preserve">COM VALOR</v>
      </c>
      <c r="J5013" s="19"/>
      <c r="L5013" s="21">
        <v>76.049999999999997</v>
      </c>
      <c r="M5013" s="22">
        <v>0</v>
      </c>
      <c r="N5013" s="21">
        <v>75.819999999999993</v>
      </c>
      <c r="O5013" s="22">
        <v>0</v>
      </c>
    </row>
    <row r="5014" ht="38.25">
      <c r="A5014" t="s">
        <v>5091</v>
      </c>
      <c r="B5014" s="19">
        <v>105213</v>
      </c>
      <c r="C5014" s="20" t="s">
        <v>5120</v>
      </c>
      <c r="D5014" s="19" t="s">
        <v>31</v>
      </c>
      <c r="E5014" s="21">
        <f t="shared" si="233"/>
        <v>192.94999999999999</v>
      </c>
      <c r="F5014" s="22">
        <v>0</v>
      </c>
      <c r="G5014" s="21">
        <f t="shared" si="234"/>
        <v>191.75</v>
      </c>
      <c r="H5014" s="22">
        <v>0</v>
      </c>
      <c r="I5014" s="23" t="str">
        <f t="shared" si="235"/>
        <v xml:space="preserve">COM VALOR</v>
      </c>
      <c r="J5014" s="19"/>
      <c r="L5014" s="21">
        <v>192.94999999999999</v>
      </c>
      <c r="M5014" s="22">
        <v>0.89000000000000001</v>
      </c>
      <c r="N5014" s="21">
        <v>191.75</v>
      </c>
      <c r="O5014" s="22">
        <v>0.89000000000000001</v>
      </c>
    </row>
    <row r="5015" ht="38.25">
      <c r="A5015" t="s">
        <v>5091</v>
      </c>
      <c r="B5015" s="19">
        <v>105233</v>
      </c>
      <c r="C5015" s="20" t="s">
        <v>5121</v>
      </c>
      <c r="D5015" s="19" t="s">
        <v>31</v>
      </c>
      <c r="E5015" s="21">
        <f t="shared" si="233"/>
        <v>8.1699999999999999</v>
      </c>
      <c r="F5015" s="22">
        <v>0</v>
      </c>
      <c r="G5015" s="21">
        <f t="shared" si="234"/>
        <v>8.0199999999999996</v>
      </c>
      <c r="H5015" s="22">
        <v>0</v>
      </c>
      <c r="I5015" s="23" t="str">
        <f t="shared" si="235"/>
        <v xml:space="preserve">COM VALOR</v>
      </c>
      <c r="J5015" s="19"/>
      <c r="L5015" s="21">
        <v>8.1699999999999999</v>
      </c>
      <c r="M5015" s="22">
        <v>0</v>
      </c>
      <c r="N5015" s="21">
        <v>8.0199999999999996</v>
      </c>
      <c r="O5015" s="22">
        <v>0</v>
      </c>
    </row>
    <row r="5016" ht="38.25">
      <c r="A5016" t="s">
        <v>5091</v>
      </c>
      <c r="B5016" s="19">
        <v>105234</v>
      </c>
      <c r="C5016" s="20" t="s">
        <v>5122</v>
      </c>
      <c r="D5016" s="19" t="s">
        <v>31</v>
      </c>
      <c r="E5016" s="21">
        <f t="shared" si="233"/>
        <v>9.9900000000000002</v>
      </c>
      <c r="F5016" s="22">
        <v>0</v>
      </c>
      <c r="G5016" s="21">
        <f t="shared" si="234"/>
        <v>9.8000000000000007</v>
      </c>
      <c r="H5016" s="22">
        <v>0</v>
      </c>
      <c r="I5016" s="23" t="str">
        <f t="shared" si="235"/>
        <v xml:space="preserve">COM VALOR</v>
      </c>
      <c r="J5016" s="19"/>
      <c r="L5016" s="21">
        <v>9.9900000000000002</v>
      </c>
      <c r="M5016" s="22">
        <v>0</v>
      </c>
      <c r="N5016" s="21">
        <v>9.8000000000000007</v>
      </c>
      <c r="O5016" s="22">
        <v>0</v>
      </c>
    </row>
    <row r="5017" ht="38.25">
      <c r="A5017" t="s">
        <v>5091</v>
      </c>
      <c r="B5017" s="19">
        <v>105228</v>
      </c>
      <c r="C5017" s="20" t="s">
        <v>5123</v>
      </c>
      <c r="D5017" s="19" t="s">
        <v>31</v>
      </c>
      <c r="E5017" s="21">
        <f t="shared" si="233"/>
        <v>12.050000000000001</v>
      </c>
      <c r="F5017" s="22">
        <v>0</v>
      </c>
      <c r="G5017" s="21">
        <f t="shared" si="234"/>
        <v>11.85</v>
      </c>
      <c r="H5017" s="22">
        <v>0</v>
      </c>
      <c r="I5017" s="23" t="str">
        <f t="shared" si="235"/>
        <v xml:space="preserve">COM VALOR</v>
      </c>
      <c r="J5017" s="19"/>
      <c r="L5017" s="21">
        <v>12.050000000000001</v>
      </c>
      <c r="M5017" s="22">
        <v>0</v>
      </c>
      <c r="N5017" s="21">
        <v>11.85</v>
      </c>
      <c r="O5017" s="22">
        <v>0</v>
      </c>
    </row>
    <row r="5018" ht="38.25">
      <c r="A5018" t="s">
        <v>5091</v>
      </c>
      <c r="B5018" s="19">
        <v>105138</v>
      </c>
      <c r="C5018" s="20" t="s">
        <v>5124</v>
      </c>
      <c r="D5018" s="19" t="s">
        <v>31</v>
      </c>
      <c r="E5018" s="21">
        <f t="shared" si="233"/>
        <v>17.550000000000001</v>
      </c>
      <c r="F5018" s="22">
        <v>0</v>
      </c>
      <c r="G5018" s="21">
        <f t="shared" si="234"/>
        <v>17.32</v>
      </c>
      <c r="H5018" s="22">
        <v>0</v>
      </c>
      <c r="I5018" s="23" t="str">
        <f t="shared" si="235"/>
        <v xml:space="preserve">COM VALOR</v>
      </c>
      <c r="J5018" s="19"/>
      <c r="L5018" s="21">
        <v>17.550000000000001</v>
      </c>
      <c r="M5018" s="22">
        <v>0</v>
      </c>
      <c r="N5018" s="21">
        <v>17.32</v>
      </c>
      <c r="O5018" s="22">
        <v>0</v>
      </c>
    </row>
    <row r="5019" ht="38.25">
      <c r="A5019" t="s">
        <v>5091</v>
      </c>
      <c r="B5019" s="19">
        <v>105139</v>
      </c>
      <c r="C5019" s="20" t="s">
        <v>5125</v>
      </c>
      <c r="D5019" s="19" t="s">
        <v>31</v>
      </c>
      <c r="E5019" s="21">
        <f t="shared" si="233"/>
        <v>20.629999999999999</v>
      </c>
      <c r="F5019" s="22">
        <v>0</v>
      </c>
      <c r="G5019" s="21">
        <f t="shared" si="234"/>
        <v>20.379999999999999</v>
      </c>
      <c r="H5019" s="22">
        <v>0</v>
      </c>
      <c r="I5019" s="23" t="str">
        <f t="shared" si="235"/>
        <v xml:space="preserve">COM VALOR</v>
      </c>
      <c r="J5019" s="19"/>
      <c r="L5019" s="21">
        <v>20.629999999999999</v>
      </c>
      <c r="M5019" s="22">
        <v>0</v>
      </c>
      <c r="N5019" s="21">
        <v>20.379999999999999</v>
      </c>
      <c r="O5019" s="22">
        <v>0</v>
      </c>
    </row>
    <row r="5020" ht="38.25">
      <c r="A5020" t="s">
        <v>5091</v>
      </c>
      <c r="B5020" s="19">
        <v>105140</v>
      </c>
      <c r="C5020" s="20" t="s">
        <v>5126</v>
      </c>
      <c r="D5020" s="19" t="s">
        <v>31</v>
      </c>
      <c r="E5020" s="21">
        <f t="shared" si="233"/>
        <v>26.510000000000002</v>
      </c>
      <c r="F5020" s="22">
        <v>0.81000000000000005</v>
      </c>
      <c r="G5020" s="21">
        <f t="shared" si="234"/>
        <v>26.199999999999999</v>
      </c>
      <c r="H5020" s="22">
        <v>0.81999999999999995</v>
      </c>
      <c r="I5020" s="23" t="str">
        <f t="shared" si="235"/>
        <v xml:space="preserve">COM VALOR</v>
      </c>
      <c r="J5020" s="19"/>
      <c r="L5020" s="21">
        <v>26.510000000000002</v>
      </c>
      <c r="M5020" s="22">
        <v>0</v>
      </c>
      <c r="N5020" s="21">
        <v>26.199999999999999</v>
      </c>
      <c r="O5020" s="22">
        <v>0</v>
      </c>
    </row>
    <row r="5021" ht="38.25">
      <c r="A5021" t="s">
        <v>5091</v>
      </c>
      <c r="B5021" s="19">
        <v>105141</v>
      </c>
      <c r="C5021" s="20" t="s">
        <v>5127</v>
      </c>
      <c r="D5021" s="19" t="s">
        <v>31</v>
      </c>
      <c r="E5021" s="21">
        <f t="shared" si="233"/>
        <v>31.579999999999998</v>
      </c>
      <c r="F5021" s="22">
        <v>0.40999999999999998</v>
      </c>
      <c r="G5021" s="21">
        <f t="shared" si="234"/>
        <v>31.170000000000002</v>
      </c>
      <c r="H5021" s="22">
        <v>0.42999999999999999</v>
      </c>
      <c r="I5021" s="23" t="str">
        <f t="shared" si="235"/>
        <v xml:space="preserve">COM VALOR</v>
      </c>
      <c r="J5021" s="19"/>
      <c r="L5021" s="21">
        <v>31.579999999999998</v>
      </c>
      <c r="M5021" s="22">
        <v>0</v>
      </c>
      <c r="N5021" s="21">
        <v>31.170000000000002</v>
      </c>
      <c r="O5021" s="22">
        <v>0</v>
      </c>
    </row>
    <row r="5022" ht="38.25">
      <c r="A5022" t="s">
        <v>5091</v>
      </c>
      <c r="B5022" s="19">
        <v>105172</v>
      </c>
      <c r="C5022" s="20" t="s">
        <v>5128</v>
      </c>
      <c r="D5022" s="19" t="s">
        <v>31</v>
      </c>
      <c r="E5022" s="21">
        <f t="shared" si="233"/>
        <v>93.719999999999999</v>
      </c>
      <c r="F5022" s="22">
        <v>0.37</v>
      </c>
      <c r="G5022" s="21">
        <f t="shared" si="234"/>
        <v>92.640000000000001</v>
      </c>
      <c r="H5022" s="22">
        <v>0.39000000000000001</v>
      </c>
      <c r="I5022" s="23" t="str">
        <f t="shared" si="235"/>
        <v xml:space="preserve">COM VALOR</v>
      </c>
      <c r="J5022" s="19"/>
      <c r="L5022" s="21">
        <v>93.719999999999999</v>
      </c>
      <c r="M5022" s="22">
        <v>0</v>
      </c>
      <c r="N5022" s="21">
        <v>92.640000000000001</v>
      </c>
      <c r="O5022" s="22">
        <v>0</v>
      </c>
    </row>
    <row r="5023" ht="38.25">
      <c r="A5023" t="s">
        <v>5091</v>
      </c>
      <c r="B5023" s="19">
        <v>105169</v>
      </c>
      <c r="C5023" s="20" t="s">
        <v>5129</v>
      </c>
      <c r="D5023" s="19" t="s">
        <v>31</v>
      </c>
      <c r="E5023" s="21">
        <f t="shared" si="233"/>
        <v>93.439999999999998</v>
      </c>
      <c r="F5023" s="22">
        <v>0.47999999999999998</v>
      </c>
      <c r="G5023" s="21">
        <f t="shared" si="234"/>
        <v>92.280000000000001</v>
      </c>
      <c r="H5023" s="22">
        <v>0.5</v>
      </c>
      <c r="I5023" s="23" t="str">
        <f t="shared" si="235"/>
        <v xml:space="preserve">COM VALOR</v>
      </c>
      <c r="J5023" s="19"/>
      <c r="L5023" s="21">
        <v>93.439999999999998</v>
      </c>
      <c r="M5023" s="22">
        <v>0</v>
      </c>
      <c r="N5023" s="21">
        <v>92.280000000000001</v>
      </c>
      <c r="O5023" s="22">
        <v>0</v>
      </c>
    </row>
    <row r="5024" ht="25.5">
      <c r="A5024" t="s">
        <v>5091</v>
      </c>
      <c r="B5024" s="19">
        <v>105230</v>
      </c>
      <c r="C5024" s="20" t="s">
        <v>5130</v>
      </c>
      <c r="D5024" s="19" t="s">
        <v>31</v>
      </c>
      <c r="E5024" s="21">
        <f t="shared" si="233"/>
        <v>8.1899999999999995</v>
      </c>
      <c r="F5024" s="22">
        <v>0.68000000000000005</v>
      </c>
      <c r="G5024" s="21">
        <f t="shared" si="234"/>
        <v>7.9800000000000004</v>
      </c>
      <c r="H5024" s="22">
        <v>0.69999999999999996</v>
      </c>
      <c r="I5024" s="23" t="str">
        <f t="shared" si="235"/>
        <v xml:space="preserve">COM VALOR</v>
      </c>
      <c r="J5024" s="19"/>
      <c r="L5024" s="21">
        <v>8.1899999999999995</v>
      </c>
      <c r="M5024" s="22">
        <v>0.56000000000000005</v>
      </c>
      <c r="N5024" s="21">
        <v>7.9800000000000004</v>
      </c>
      <c r="O5024" s="22">
        <v>0.56999999999999995</v>
      </c>
    </row>
    <row r="5025" ht="25.5">
      <c r="A5025" t="s">
        <v>5091</v>
      </c>
      <c r="B5025" s="19">
        <v>105231</v>
      </c>
      <c r="C5025" s="20" t="s">
        <v>5131</v>
      </c>
      <c r="D5025" s="19" t="s">
        <v>31</v>
      </c>
      <c r="E5025" s="21">
        <f t="shared" si="233"/>
        <v>9.6400000000000006</v>
      </c>
      <c r="F5025" s="22">
        <v>0.68000000000000005</v>
      </c>
      <c r="G5025" s="21">
        <f t="shared" si="234"/>
        <v>9.4100000000000001</v>
      </c>
      <c r="H5025" s="22">
        <v>0.68999999999999995</v>
      </c>
      <c r="I5025" s="23" t="str">
        <f t="shared" si="235"/>
        <v xml:space="preserve">COM VALOR</v>
      </c>
      <c r="J5025" s="19"/>
      <c r="L5025" s="21">
        <v>9.6400000000000006</v>
      </c>
      <c r="M5025" s="22">
        <v>0.57999999999999996</v>
      </c>
      <c r="N5025" s="21">
        <v>9.4100000000000001</v>
      </c>
      <c r="O5025" s="22">
        <v>0.58999999999999997</v>
      </c>
    </row>
    <row r="5026" ht="25.5">
      <c r="A5026" t="s">
        <v>5091</v>
      </c>
      <c r="B5026" s="19">
        <v>105232</v>
      </c>
      <c r="C5026" s="20" t="s">
        <v>5132</v>
      </c>
      <c r="D5026" s="19" t="s">
        <v>31</v>
      </c>
      <c r="E5026" s="21">
        <f t="shared" si="233"/>
        <v>18.969999999999999</v>
      </c>
      <c r="F5026" s="22">
        <v>0.71999999999999997</v>
      </c>
      <c r="G5026" s="21">
        <f t="shared" si="234"/>
        <v>18.710000000000001</v>
      </c>
      <c r="H5026" s="22">
        <v>0.73999999999999999</v>
      </c>
      <c r="I5026" s="23" t="str">
        <f t="shared" si="235"/>
        <v xml:space="preserve">COM VALOR</v>
      </c>
      <c r="J5026" s="19"/>
      <c r="L5026" s="21">
        <v>18.969999999999999</v>
      </c>
      <c r="M5026" s="22">
        <v>0.76000000000000001</v>
      </c>
      <c r="N5026" s="21">
        <v>18.710000000000001</v>
      </c>
      <c r="O5026" s="22">
        <v>0.77000000000000002</v>
      </c>
    </row>
    <row r="5027" ht="25.5">
      <c r="A5027" t="s">
        <v>5091</v>
      </c>
      <c r="B5027" s="19">
        <v>105229</v>
      </c>
      <c r="C5027" s="20" t="s">
        <v>5133</v>
      </c>
      <c r="D5027" s="19" t="s">
        <v>31</v>
      </c>
      <c r="E5027" s="21">
        <f t="shared" si="233"/>
        <v>30.399999999999999</v>
      </c>
      <c r="F5027" s="22">
        <v>0.79000000000000004</v>
      </c>
      <c r="G5027" s="21">
        <f t="shared" si="234"/>
        <v>30.109999999999999</v>
      </c>
      <c r="H5027" s="22">
        <v>0.80000000000000004</v>
      </c>
      <c r="I5027" s="23" t="str">
        <f t="shared" si="235"/>
        <v xml:space="preserve">COM VALOR</v>
      </c>
      <c r="J5027" s="19"/>
      <c r="L5027" s="21">
        <v>30.399999999999999</v>
      </c>
      <c r="M5027" s="22">
        <v>0.82999999999999996</v>
      </c>
      <c r="N5027" s="21">
        <v>30.109999999999999</v>
      </c>
      <c r="O5027" s="22">
        <v>0.83999999999999997</v>
      </c>
    </row>
    <row r="5028" ht="25.5">
      <c r="A5028" t="s">
        <v>5091</v>
      </c>
      <c r="B5028" s="19">
        <v>105146</v>
      </c>
      <c r="C5028" s="20" t="s">
        <v>5134</v>
      </c>
      <c r="D5028" s="19" t="s">
        <v>31</v>
      </c>
      <c r="E5028" s="21">
        <f t="shared" si="233"/>
        <v>24.34</v>
      </c>
      <c r="F5028" s="22">
        <v>0.81999999999999995</v>
      </c>
      <c r="G5028" s="21">
        <f t="shared" si="234"/>
        <v>24.030000000000001</v>
      </c>
      <c r="H5028" s="22">
        <v>0.82999999999999996</v>
      </c>
      <c r="I5028" s="23" t="str">
        <f t="shared" si="235"/>
        <v xml:space="preserve">COM VALOR</v>
      </c>
      <c r="J5028" s="19"/>
      <c r="L5028" s="21">
        <v>24.34</v>
      </c>
      <c r="M5028" s="22">
        <v>0.77000000000000002</v>
      </c>
      <c r="N5028" s="21">
        <v>24.030000000000001</v>
      </c>
      <c r="O5028" s="22">
        <v>0.78000000000000003</v>
      </c>
    </row>
    <row r="5029" ht="38.25">
      <c r="A5029" t="s">
        <v>5091</v>
      </c>
      <c r="B5029" s="19">
        <v>94613</v>
      </c>
      <c r="C5029" s="20" t="s">
        <v>5135</v>
      </c>
      <c r="D5029" s="19" t="s">
        <v>31</v>
      </c>
      <c r="E5029" s="21" t="str">
        <f t="shared" si="233"/>
        <v>VERIFICAR</v>
      </c>
      <c r="F5029" s="22">
        <v>0</v>
      </c>
      <c r="G5029" s="21" t="str">
        <f t="shared" si="234"/>
        <v>VERIFICAR</v>
      </c>
      <c r="H5029" s="22">
        <v>0</v>
      </c>
      <c r="I5029" s="23" t="str">
        <f t="shared" si="235"/>
        <v xml:space="preserve">COM VALOR</v>
      </c>
      <c r="J5029" s="19"/>
      <c r="L5029" s="21">
        <v>0</v>
      </c>
      <c r="M5029" s="22"/>
      <c r="N5029" s="21">
        <v>0</v>
      </c>
      <c r="O5029" s="22"/>
    </row>
    <row r="5030" ht="38.25">
      <c r="A5030" t="s">
        <v>5091</v>
      </c>
      <c r="B5030" s="19">
        <v>94607</v>
      </c>
      <c r="C5030" s="20" t="s">
        <v>5136</v>
      </c>
      <c r="D5030" s="19" t="s">
        <v>31</v>
      </c>
      <c r="E5030" s="21" t="str">
        <f t="shared" si="233"/>
        <v>VERIFICAR</v>
      </c>
      <c r="F5030" s="22">
        <v>0</v>
      </c>
      <c r="G5030" s="21" t="str">
        <f t="shared" si="234"/>
        <v>VERIFICAR</v>
      </c>
      <c r="H5030" s="22">
        <v>0</v>
      </c>
      <c r="I5030" s="23" t="str">
        <f t="shared" si="235"/>
        <v xml:space="preserve">COM VALOR</v>
      </c>
      <c r="J5030" s="19"/>
      <c r="L5030" s="21">
        <v>0</v>
      </c>
      <c r="M5030" s="22"/>
      <c r="N5030" s="21">
        <v>0</v>
      </c>
      <c r="O5030" s="22"/>
    </row>
    <row r="5031" ht="38.25">
      <c r="A5031" t="s">
        <v>5091</v>
      </c>
      <c r="B5031" s="19">
        <v>94609</v>
      </c>
      <c r="C5031" s="20" t="s">
        <v>5137</v>
      </c>
      <c r="D5031" s="19" t="s">
        <v>31</v>
      </c>
      <c r="E5031" s="21" t="str">
        <f t="shared" si="233"/>
        <v>VERIFICAR</v>
      </c>
      <c r="F5031" s="22">
        <v>0</v>
      </c>
      <c r="G5031" s="21" t="str">
        <f t="shared" si="234"/>
        <v>VERIFICAR</v>
      </c>
      <c r="H5031" s="22">
        <v>0</v>
      </c>
      <c r="I5031" s="23" t="str">
        <f t="shared" si="235"/>
        <v xml:space="preserve">COM VALOR</v>
      </c>
      <c r="J5031" s="19"/>
      <c r="L5031" s="21">
        <v>0</v>
      </c>
      <c r="M5031" s="22"/>
      <c r="N5031" s="21">
        <v>0</v>
      </c>
      <c r="O5031" s="22"/>
    </row>
    <row r="5032" ht="38.25">
      <c r="A5032" t="s">
        <v>5091</v>
      </c>
      <c r="B5032" s="19">
        <v>94611</v>
      </c>
      <c r="C5032" s="20" t="s">
        <v>5138</v>
      </c>
      <c r="D5032" s="19" t="s">
        <v>31</v>
      </c>
      <c r="E5032" s="21" t="str">
        <f t="shared" si="233"/>
        <v>VERIFICAR</v>
      </c>
      <c r="F5032" s="22">
        <v>0</v>
      </c>
      <c r="G5032" s="21" t="str">
        <f t="shared" si="234"/>
        <v>VERIFICAR</v>
      </c>
      <c r="H5032" s="22">
        <v>0</v>
      </c>
      <c r="I5032" s="23" t="str">
        <f t="shared" si="235"/>
        <v xml:space="preserve">COM VALOR</v>
      </c>
      <c r="J5032" s="19"/>
      <c r="L5032" s="21">
        <v>0</v>
      </c>
      <c r="M5032" s="22"/>
      <c r="N5032" s="21">
        <v>0</v>
      </c>
      <c r="O5032" s="22"/>
    </row>
    <row r="5033" ht="25.5">
      <c r="A5033" t="s">
        <v>5091</v>
      </c>
      <c r="B5033" s="19">
        <v>96738</v>
      </c>
      <c r="C5033" s="20" t="s">
        <v>5139</v>
      </c>
      <c r="D5033" s="19" t="s">
        <v>31</v>
      </c>
      <c r="E5033" s="21">
        <f t="shared" si="233"/>
        <v>25.550000000000001</v>
      </c>
      <c r="F5033" s="22">
        <v>0</v>
      </c>
      <c r="G5033" s="21">
        <f t="shared" si="234"/>
        <v>25.34</v>
      </c>
      <c r="H5033" s="22">
        <v>0</v>
      </c>
      <c r="I5033" s="23" t="str">
        <f t="shared" si="235"/>
        <v xml:space="preserve">COM VALOR</v>
      </c>
      <c r="J5033" s="19"/>
      <c r="L5033" s="21">
        <v>25.550000000000001</v>
      </c>
      <c r="M5033" s="22">
        <v>0.84999999999999998</v>
      </c>
      <c r="N5033" s="21">
        <v>25.34</v>
      </c>
      <c r="O5033" s="22">
        <v>0.85999999999999999</v>
      </c>
    </row>
    <row r="5034" ht="25.5">
      <c r="A5034" t="s">
        <v>5091</v>
      </c>
      <c r="B5034" s="19">
        <v>96740</v>
      </c>
      <c r="C5034" s="20" t="s">
        <v>5140</v>
      </c>
      <c r="D5034" s="19" t="s">
        <v>31</v>
      </c>
      <c r="E5034" s="21">
        <f t="shared" si="233"/>
        <v>35.509999999999998</v>
      </c>
      <c r="F5034" s="22">
        <v>0</v>
      </c>
      <c r="G5034" s="21">
        <f t="shared" si="234"/>
        <v>35.259999999999998</v>
      </c>
      <c r="H5034" s="22">
        <v>0</v>
      </c>
      <c r="I5034" s="23" t="str">
        <f t="shared" si="235"/>
        <v xml:space="preserve">COM VALOR</v>
      </c>
      <c r="J5034" s="19"/>
      <c r="L5034" s="21">
        <v>35.509999999999998</v>
      </c>
      <c r="M5034" s="22">
        <v>0.875</v>
      </c>
      <c r="N5034" s="21">
        <v>35.259999999999998</v>
      </c>
      <c r="O5034" s="22">
        <v>0.88</v>
      </c>
    </row>
    <row r="5035" ht="38.25">
      <c r="A5035" t="s">
        <v>5091</v>
      </c>
      <c r="B5035" s="19">
        <v>94738</v>
      </c>
      <c r="C5035" s="20" t="s">
        <v>5141</v>
      </c>
      <c r="D5035" s="19" t="s">
        <v>31</v>
      </c>
      <c r="E5035" s="21">
        <f t="shared" si="233"/>
        <v>1820.3900000000001</v>
      </c>
      <c r="F5035" s="22">
        <v>0</v>
      </c>
      <c r="G5035" s="21">
        <f t="shared" si="234"/>
        <v>1819.24</v>
      </c>
      <c r="H5035" s="22">
        <v>0</v>
      </c>
      <c r="I5035" s="23" t="str">
        <f t="shared" si="235"/>
        <v xml:space="preserve">COM VALOR</v>
      </c>
      <c r="J5035" s="19"/>
      <c r="L5035" s="21">
        <v>1820.3900000000001</v>
      </c>
      <c r="M5035" s="22">
        <v>0</v>
      </c>
      <c r="N5035" s="21">
        <v>1819.24</v>
      </c>
      <c r="O5035" s="22">
        <v>0</v>
      </c>
    </row>
    <row r="5036" ht="38.25">
      <c r="A5036" t="s">
        <v>5091</v>
      </c>
      <c r="B5036" s="19">
        <v>94724</v>
      </c>
      <c r="C5036" s="20" t="s">
        <v>5142</v>
      </c>
      <c r="D5036" s="19" t="s">
        <v>31</v>
      </c>
      <c r="E5036" s="21">
        <f t="shared" si="233"/>
        <v>28.66</v>
      </c>
      <c r="F5036" s="22">
        <v>0</v>
      </c>
      <c r="G5036" s="21">
        <f t="shared" si="234"/>
        <v>28.559999999999999</v>
      </c>
      <c r="H5036" s="22">
        <v>0</v>
      </c>
      <c r="I5036" s="23" t="str">
        <f t="shared" si="235"/>
        <v xml:space="preserve">COM VALOR</v>
      </c>
      <c r="J5036" s="19"/>
      <c r="L5036" s="21">
        <v>28.66</v>
      </c>
      <c r="M5036" s="22">
        <v>0</v>
      </c>
      <c r="N5036" s="21">
        <v>28.559999999999999</v>
      </c>
      <c r="O5036" s="22">
        <v>0</v>
      </c>
    </row>
    <row r="5037" ht="38.25">
      <c r="A5037" t="s">
        <v>5091</v>
      </c>
      <c r="B5037" s="19">
        <v>94726</v>
      </c>
      <c r="C5037" s="20" t="s">
        <v>5143</v>
      </c>
      <c r="D5037" s="19" t="s">
        <v>31</v>
      </c>
      <c r="E5037" s="21">
        <f t="shared" si="233"/>
        <v>36.950000000000003</v>
      </c>
      <c r="F5037" s="22">
        <v>0</v>
      </c>
      <c r="G5037" s="21">
        <f t="shared" si="234"/>
        <v>36.829999999999998</v>
      </c>
      <c r="H5037" s="22">
        <v>0</v>
      </c>
      <c r="I5037" s="23" t="str">
        <f t="shared" si="235"/>
        <v xml:space="preserve">COM VALOR</v>
      </c>
      <c r="J5037" s="19"/>
      <c r="L5037" s="21">
        <v>36.950000000000003</v>
      </c>
      <c r="M5037" s="22">
        <v>0</v>
      </c>
      <c r="N5037" s="21">
        <v>36.829999999999998</v>
      </c>
      <c r="O5037" s="22">
        <v>0</v>
      </c>
    </row>
    <row r="5038" ht="38.25">
      <c r="A5038" t="s">
        <v>5091</v>
      </c>
      <c r="B5038" s="19">
        <v>94728</v>
      </c>
      <c r="C5038" s="20" t="s">
        <v>5144</v>
      </c>
      <c r="D5038" s="19" t="s">
        <v>31</v>
      </c>
      <c r="E5038" s="21">
        <f t="shared" si="233"/>
        <v>57.710000000000001</v>
      </c>
      <c r="F5038" s="22">
        <v>0</v>
      </c>
      <c r="G5038" s="21">
        <f t="shared" si="234"/>
        <v>57.549999999999997</v>
      </c>
      <c r="H5038" s="22">
        <v>0</v>
      </c>
      <c r="I5038" s="23" t="str">
        <f t="shared" si="235"/>
        <v xml:space="preserve">COM VALOR</v>
      </c>
      <c r="J5038" s="19"/>
      <c r="L5038" s="21">
        <v>57.710000000000001</v>
      </c>
      <c r="M5038" s="22">
        <v>0</v>
      </c>
      <c r="N5038" s="21">
        <v>57.549999999999997</v>
      </c>
      <c r="O5038" s="22">
        <v>0</v>
      </c>
    </row>
    <row r="5039" ht="38.25">
      <c r="A5039" t="s">
        <v>5091</v>
      </c>
      <c r="B5039" s="19">
        <v>94730</v>
      </c>
      <c r="C5039" s="20" t="s">
        <v>5145</v>
      </c>
      <c r="D5039" s="19" t="s">
        <v>31</v>
      </c>
      <c r="E5039" s="21">
        <f t="shared" si="233"/>
        <v>70.75</v>
      </c>
      <c r="F5039" s="22">
        <v>0</v>
      </c>
      <c r="G5039" s="21">
        <f t="shared" si="234"/>
        <v>70.549999999999997</v>
      </c>
      <c r="H5039" s="22">
        <v>0</v>
      </c>
      <c r="I5039" s="23" t="str">
        <f t="shared" si="235"/>
        <v xml:space="preserve">COM VALOR</v>
      </c>
      <c r="J5039" s="19"/>
      <c r="L5039" s="21">
        <v>70.75</v>
      </c>
      <c r="M5039" s="22">
        <v>0</v>
      </c>
      <c r="N5039" s="21">
        <v>70.549999999999997</v>
      </c>
      <c r="O5039" s="22">
        <v>0</v>
      </c>
    </row>
    <row r="5040" ht="38.25">
      <c r="A5040" t="s">
        <v>5091</v>
      </c>
      <c r="B5040" s="19">
        <v>94732</v>
      </c>
      <c r="C5040" s="20" t="s">
        <v>5146</v>
      </c>
      <c r="D5040" s="19" t="s">
        <v>31</v>
      </c>
      <c r="E5040" s="21">
        <f t="shared" si="233"/>
        <v>113.48</v>
      </c>
      <c r="F5040" s="22">
        <v>0</v>
      </c>
      <c r="G5040" s="21">
        <f t="shared" si="234"/>
        <v>113.18000000000001</v>
      </c>
      <c r="H5040" s="22">
        <v>0</v>
      </c>
      <c r="I5040" s="23" t="str">
        <f t="shared" si="235"/>
        <v xml:space="preserve">COM VALOR</v>
      </c>
      <c r="J5040" s="19"/>
      <c r="L5040" s="21">
        <v>113.48</v>
      </c>
      <c r="M5040" s="22">
        <v>0</v>
      </c>
      <c r="N5040" s="21">
        <v>113.18000000000001</v>
      </c>
      <c r="O5040" s="22">
        <v>0</v>
      </c>
    </row>
    <row r="5041" ht="38.25">
      <c r="A5041" t="s">
        <v>5091</v>
      </c>
      <c r="B5041" s="19">
        <v>94734</v>
      </c>
      <c r="C5041" s="20" t="s">
        <v>5147</v>
      </c>
      <c r="D5041" s="19" t="s">
        <v>31</v>
      </c>
      <c r="E5041" s="21">
        <f t="shared" si="233"/>
        <v>415.16000000000003</v>
      </c>
      <c r="F5041" s="22">
        <v>0</v>
      </c>
      <c r="G5041" s="21">
        <f t="shared" si="234"/>
        <v>414.64999999999998</v>
      </c>
      <c r="H5041" s="22">
        <v>0</v>
      </c>
      <c r="I5041" s="23" t="str">
        <f t="shared" si="235"/>
        <v xml:space="preserve">COM VALOR</v>
      </c>
      <c r="J5041" s="19"/>
      <c r="L5041" s="21">
        <v>415.16000000000003</v>
      </c>
      <c r="M5041" s="22">
        <v>0</v>
      </c>
      <c r="N5041" s="21">
        <v>414.64999999999998</v>
      </c>
      <c r="O5041" s="22">
        <v>0</v>
      </c>
    </row>
    <row r="5042" ht="38.25">
      <c r="A5042" t="s">
        <v>5091</v>
      </c>
      <c r="B5042" s="19">
        <v>94736</v>
      </c>
      <c r="C5042" s="20" t="s">
        <v>5148</v>
      </c>
      <c r="D5042" s="19" t="s">
        <v>31</v>
      </c>
      <c r="E5042" s="21">
        <f t="shared" si="233"/>
        <v>603.65999999999997</v>
      </c>
      <c r="F5042" s="22">
        <v>0</v>
      </c>
      <c r="G5042" s="21">
        <f t="shared" si="234"/>
        <v>602.92999999999995</v>
      </c>
      <c r="H5042" s="22">
        <v>0</v>
      </c>
      <c r="I5042" s="23" t="str">
        <f t="shared" si="235"/>
        <v xml:space="preserve">COM VALOR</v>
      </c>
      <c r="J5042" s="19"/>
      <c r="L5042" s="21">
        <v>603.65999999999997</v>
      </c>
      <c r="M5042" s="22">
        <v>0</v>
      </c>
      <c r="N5042" s="21">
        <v>602.92999999999995</v>
      </c>
      <c r="O5042" s="22">
        <v>0</v>
      </c>
    </row>
    <row r="5043" ht="51">
      <c r="A5043" t="s">
        <v>5091</v>
      </c>
      <c r="B5043" s="19">
        <v>94483</v>
      </c>
      <c r="C5043" s="20" t="s">
        <v>5149</v>
      </c>
      <c r="D5043" s="19" t="s">
        <v>31</v>
      </c>
      <c r="E5043" s="21">
        <f t="shared" si="233"/>
        <v>1371.46</v>
      </c>
      <c r="F5043" s="22">
        <v>0</v>
      </c>
      <c r="G5043" s="21">
        <f t="shared" si="234"/>
        <v>1346.21</v>
      </c>
      <c r="H5043" s="22">
        <v>0</v>
      </c>
      <c r="I5043" s="23" t="str">
        <f t="shared" si="235"/>
        <v xml:space="preserve">COM VALOR</v>
      </c>
      <c r="J5043" s="19"/>
      <c r="L5043" s="21">
        <v>1371.46</v>
      </c>
      <c r="M5043" s="22">
        <v>0.33000000000000002</v>
      </c>
      <c r="N5043" s="21">
        <v>1346.21</v>
      </c>
      <c r="O5043" s="22">
        <v>0.33000000000000002</v>
      </c>
    </row>
    <row r="5044" ht="51">
      <c r="A5044" t="s">
        <v>5091</v>
      </c>
      <c r="B5044" s="19">
        <v>94482</v>
      </c>
      <c r="C5044" s="20" t="s">
        <v>5150</v>
      </c>
      <c r="D5044" s="19" t="s">
        <v>31</v>
      </c>
      <c r="E5044" s="21">
        <f t="shared" si="233"/>
        <v>1646.3900000000001</v>
      </c>
      <c r="F5044" s="22">
        <v>0</v>
      </c>
      <c r="G5044" s="21">
        <f t="shared" si="234"/>
        <v>1619.95</v>
      </c>
      <c r="H5044" s="22">
        <v>0</v>
      </c>
      <c r="I5044" s="23" t="str">
        <f t="shared" si="235"/>
        <v xml:space="preserve">COM VALOR</v>
      </c>
      <c r="J5044" s="19"/>
      <c r="L5044" s="21">
        <v>1646.3900000000001</v>
      </c>
      <c r="M5044" s="22">
        <v>0.33000000000000002</v>
      </c>
      <c r="N5044" s="21">
        <v>1619.95</v>
      </c>
      <c r="O5044" s="22">
        <v>0.34000000000000002</v>
      </c>
    </row>
    <row r="5045" ht="51">
      <c r="A5045" t="s">
        <v>5091</v>
      </c>
      <c r="B5045" s="19">
        <v>94481</v>
      </c>
      <c r="C5045" s="20" t="s">
        <v>5151</v>
      </c>
      <c r="D5045" s="19" t="s">
        <v>31</v>
      </c>
      <c r="E5045" s="21">
        <f t="shared" si="233"/>
        <v>2117.9499999999998</v>
      </c>
      <c r="F5045" s="22">
        <v>0</v>
      </c>
      <c r="G5045" s="21">
        <f t="shared" si="234"/>
        <v>2090.0900000000001</v>
      </c>
      <c r="H5045" s="22">
        <v>0</v>
      </c>
      <c r="I5045" s="23" t="str">
        <f t="shared" si="235"/>
        <v xml:space="preserve">COM VALOR</v>
      </c>
      <c r="J5045" s="19"/>
      <c r="L5045" s="21">
        <v>2117.9499999999998</v>
      </c>
      <c r="M5045" s="22">
        <v>0.34000000000000002</v>
      </c>
      <c r="N5045" s="21">
        <v>2090.0900000000001</v>
      </c>
      <c r="O5045" s="22">
        <v>0.34999999999999998</v>
      </c>
    </row>
    <row r="5046" ht="51">
      <c r="A5046" t="s">
        <v>5091</v>
      </c>
      <c r="B5046" s="19">
        <v>94480</v>
      </c>
      <c r="C5046" s="20" t="s">
        <v>5152</v>
      </c>
      <c r="D5046" s="19" t="s">
        <v>31</v>
      </c>
      <c r="E5046" s="21">
        <f t="shared" si="233"/>
        <v>3016.1100000000001</v>
      </c>
      <c r="F5046" s="22">
        <v>0</v>
      </c>
      <c r="G5046" s="21">
        <f t="shared" si="234"/>
        <v>2986.25</v>
      </c>
      <c r="H5046" s="22">
        <v>0</v>
      </c>
      <c r="I5046" s="23" t="str">
        <f t="shared" si="235"/>
        <v xml:space="preserve">COM VALOR</v>
      </c>
      <c r="J5046" s="19"/>
      <c r="L5046" s="21">
        <v>3016.1100000000001</v>
      </c>
      <c r="M5046" s="22">
        <v>0.34000000000000002</v>
      </c>
      <c r="N5046" s="21">
        <v>2986.25</v>
      </c>
      <c r="O5046" s="22">
        <v>0.34999999999999998</v>
      </c>
    </row>
    <row r="5047" ht="38.25">
      <c r="A5047" t="s">
        <v>5091</v>
      </c>
      <c r="B5047" s="19">
        <v>94472</v>
      </c>
      <c r="C5047" s="20" t="s">
        <v>5153</v>
      </c>
      <c r="D5047" s="19" t="s">
        <v>31</v>
      </c>
      <c r="E5047" s="21">
        <f t="shared" si="233"/>
        <v>83.120000000000005</v>
      </c>
      <c r="F5047" s="22">
        <v>0.96999999999999997</v>
      </c>
      <c r="G5047" s="21">
        <f t="shared" si="234"/>
        <v>81.760000000000005</v>
      </c>
      <c r="H5047" s="22">
        <v>0.96999999999999997</v>
      </c>
      <c r="I5047" s="23" t="str">
        <f t="shared" si="235"/>
        <v xml:space="preserve">COM VALOR</v>
      </c>
      <c r="J5047" s="19"/>
      <c r="L5047" s="21">
        <v>83.120000000000005</v>
      </c>
      <c r="M5047" s="22">
        <v>0</v>
      </c>
      <c r="N5047" s="21">
        <v>81.760000000000005</v>
      </c>
      <c r="O5047" s="22">
        <v>0</v>
      </c>
    </row>
    <row r="5048" ht="38.25">
      <c r="A5048" t="s">
        <v>5091</v>
      </c>
      <c r="B5048" s="19">
        <v>94474</v>
      </c>
      <c r="C5048" s="20" t="s">
        <v>5154</v>
      </c>
      <c r="D5048" s="19" t="s">
        <v>31</v>
      </c>
      <c r="E5048" s="21">
        <f t="shared" si="233"/>
        <v>141.99000000000001</v>
      </c>
      <c r="F5048" s="22">
        <v>0.81000000000000005</v>
      </c>
      <c r="G5048" s="21">
        <f t="shared" si="234"/>
        <v>140.41</v>
      </c>
      <c r="H5048" s="22">
        <v>0.81999999999999995</v>
      </c>
      <c r="I5048" s="23" t="str">
        <f t="shared" si="235"/>
        <v xml:space="preserve">COM VALOR</v>
      </c>
      <c r="J5048" s="19"/>
      <c r="L5048" s="21">
        <v>141.99000000000001</v>
      </c>
      <c r="M5048" s="22">
        <v>0</v>
      </c>
      <c r="N5048" s="21">
        <v>140.41</v>
      </c>
      <c r="O5048" s="22">
        <v>0</v>
      </c>
    </row>
    <row r="5049" ht="38.25">
      <c r="A5049" t="s">
        <v>5091</v>
      </c>
      <c r="B5049" s="19">
        <v>94476</v>
      </c>
      <c r="C5049" s="20" t="s">
        <v>5155</v>
      </c>
      <c r="D5049" s="19" t="s">
        <v>31</v>
      </c>
      <c r="E5049" s="21">
        <f t="shared" si="233"/>
        <v>199.50999999999999</v>
      </c>
      <c r="F5049" s="22">
        <v>0.92000000000000004</v>
      </c>
      <c r="G5049" s="21">
        <f t="shared" si="234"/>
        <v>197.63999999999999</v>
      </c>
      <c r="H5049" s="22">
        <v>0.92000000000000004</v>
      </c>
      <c r="I5049" s="23" t="str">
        <f t="shared" si="235"/>
        <v xml:space="preserve">COM VALOR</v>
      </c>
      <c r="J5049" s="19"/>
      <c r="L5049" s="21">
        <v>199.50999999999999</v>
      </c>
      <c r="M5049" s="22">
        <v>0</v>
      </c>
      <c r="N5049" s="21">
        <v>197.63999999999999</v>
      </c>
      <c r="O5049" s="22">
        <v>0</v>
      </c>
    </row>
    <row r="5050" ht="38.25">
      <c r="A5050" t="s">
        <v>5091</v>
      </c>
      <c r="B5050" s="19">
        <v>94471</v>
      </c>
      <c r="C5050" s="20" t="s">
        <v>5156</v>
      </c>
      <c r="D5050" s="19" t="s">
        <v>31</v>
      </c>
      <c r="E5050" s="21">
        <f t="shared" si="233"/>
        <v>80.549999999999997</v>
      </c>
      <c r="F5050" s="22">
        <v>0.93999999999999995</v>
      </c>
      <c r="G5050" s="21">
        <f t="shared" si="234"/>
        <v>79.189999999999998</v>
      </c>
      <c r="H5050" s="22">
        <v>0.94999999999999996</v>
      </c>
      <c r="I5050" s="23" t="str">
        <f t="shared" si="235"/>
        <v xml:space="preserve">COM VALOR</v>
      </c>
      <c r="J5050" s="19"/>
      <c r="L5050" s="21">
        <v>80.549999999999997</v>
      </c>
      <c r="M5050" s="22">
        <v>0</v>
      </c>
      <c r="N5050" s="21">
        <v>79.189999999999998</v>
      </c>
      <c r="O5050" s="22">
        <v>0</v>
      </c>
    </row>
    <row r="5051" ht="38.25">
      <c r="A5051" t="s">
        <v>5091</v>
      </c>
      <c r="B5051" s="19">
        <v>94473</v>
      </c>
      <c r="C5051" s="20" t="s">
        <v>5157</v>
      </c>
      <c r="D5051" s="19" t="s">
        <v>31</v>
      </c>
      <c r="E5051" s="21">
        <f t="shared" si="233"/>
        <v>130.69999999999999</v>
      </c>
      <c r="F5051" s="22">
        <v>0</v>
      </c>
      <c r="G5051" s="21">
        <f t="shared" si="234"/>
        <v>129.12</v>
      </c>
      <c r="H5051" s="22">
        <v>0</v>
      </c>
      <c r="I5051" s="23" t="str">
        <f t="shared" si="235"/>
        <v xml:space="preserve">COM VALOR</v>
      </c>
      <c r="J5051" s="19"/>
      <c r="L5051" s="21">
        <v>130.69999999999999</v>
      </c>
      <c r="M5051" s="22">
        <v>0</v>
      </c>
      <c r="N5051" s="21">
        <v>129.12</v>
      </c>
      <c r="O5051" s="22">
        <v>0</v>
      </c>
    </row>
    <row r="5052" ht="38.25">
      <c r="A5052" t="s">
        <v>5091</v>
      </c>
      <c r="B5052" s="19">
        <v>94475</v>
      </c>
      <c r="C5052" s="20" t="s">
        <v>5158</v>
      </c>
      <c r="D5052" s="19" t="s">
        <v>31</v>
      </c>
      <c r="E5052" s="21">
        <f t="shared" si="233"/>
        <v>177.74000000000001</v>
      </c>
      <c r="F5052" s="22">
        <v>0</v>
      </c>
      <c r="G5052" s="21">
        <f t="shared" si="234"/>
        <v>175.87</v>
      </c>
      <c r="H5052" s="22">
        <v>0</v>
      </c>
      <c r="I5052" s="23" t="str">
        <f t="shared" si="235"/>
        <v xml:space="preserve">COM VALOR</v>
      </c>
      <c r="J5052" s="19"/>
      <c r="L5052" s="21">
        <v>177.74000000000001</v>
      </c>
      <c r="M5052" s="22">
        <v>0</v>
      </c>
      <c r="N5052" s="21">
        <v>175.87</v>
      </c>
      <c r="O5052" s="22">
        <v>0</v>
      </c>
    </row>
    <row r="5053" ht="38.25">
      <c r="A5053" t="s">
        <v>5091</v>
      </c>
      <c r="B5053" s="19">
        <v>105194</v>
      </c>
      <c r="C5053" s="20" t="s">
        <v>5159</v>
      </c>
      <c r="D5053" s="19" t="s">
        <v>31</v>
      </c>
      <c r="E5053" s="21">
        <f t="shared" si="233"/>
        <v>90.159999999999997</v>
      </c>
      <c r="F5053" s="22">
        <v>0</v>
      </c>
      <c r="G5053" s="21">
        <f t="shared" si="234"/>
        <v>88.799999999999997</v>
      </c>
      <c r="H5053" s="22">
        <v>0</v>
      </c>
      <c r="I5053" s="23" t="str">
        <f t="shared" si="235"/>
        <v xml:space="preserve">COM VALOR</v>
      </c>
      <c r="J5053" s="19"/>
      <c r="L5053" s="21">
        <v>90.159999999999997</v>
      </c>
      <c r="M5053" s="22">
        <v>0</v>
      </c>
      <c r="N5053" s="21">
        <v>88.799999999999997</v>
      </c>
      <c r="O5053" s="22">
        <v>0</v>
      </c>
    </row>
    <row r="5054" ht="38.25">
      <c r="A5054" t="s">
        <v>5091</v>
      </c>
      <c r="B5054" s="19">
        <v>105195</v>
      </c>
      <c r="C5054" s="20" t="s">
        <v>5160</v>
      </c>
      <c r="D5054" s="19" t="s">
        <v>31</v>
      </c>
      <c r="E5054" s="21">
        <f t="shared" si="233"/>
        <v>236.19</v>
      </c>
      <c r="F5054" s="22">
        <v>0</v>
      </c>
      <c r="G5054" s="21">
        <f t="shared" si="234"/>
        <v>234.31999999999999</v>
      </c>
      <c r="H5054" s="22">
        <v>0</v>
      </c>
      <c r="I5054" s="23" t="str">
        <f t="shared" si="235"/>
        <v xml:space="preserve">COM VALOR</v>
      </c>
      <c r="J5054" s="19"/>
      <c r="L5054" s="21">
        <v>236.19</v>
      </c>
      <c r="M5054" s="22">
        <v>0</v>
      </c>
      <c r="N5054" s="21">
        <v>234.31999999999999</v>
      </c>
      <c r="O5054" s="22">
        <v>0</v>
      </c>
    </row>
    <row r="5055" ht="51">
      <c r="A5055" t="s">
        <v>5091</v>
      </c>
      <c r="B5055" s="19">
        <v>105178</v>
      </c>
      <c r="C5055" s="20" t="s">
        <v>5161</v>
      </c>
      <c r="D5055" s="19" t="s">
        <v>31</v>
      </c>
      <c r="E5055" s="21">
        <f t="shared" si="233"/>
        <v>147.66999999999999</v>
      </c>
      <c r="F5055" s="22">
        <v>0</v>
      </c>
      <c r="G5055" s="21">
        <f t="shared" si="234"/>
        <v>146.19</v>
      </c>
      <c r="H5055" s="22">
        <v>0</v>
      </c>
      <c r="I5055" s="23" t="str">
        <f t="shared" si="235"/>
        <v xml:space="preserve">COM VALOR</v>
      </c>
      <c r="J5055" s="19"/>
      <c r="L5055" s="21">
        <v>147.66999999999999</v>
      </c>
      <c r="M5055" s="22">
        <v>0</v>
      </c>
      <c r="N5055" s="21">
        <v>146.19</v>
      </c>
      <c r="O5055" s="22">
        <v>0</v>
      </c>
    </row>
    <row r="5056" ht="38.25">
      <c r="A5056" t="s">
        <v>5091</v>
      </c>
      <c r="B5056" s="19">
        <v>94620</v>
      </c>
      <c r="C5056" s="20" t="s">
        <v>5162</v>
      </c>
      <c r="D5056" s="19" t="s">
        <v>31</v>
      </c>
      <c r="E5056" s="21">
        <f t="shared" si="233"/>
        <v>893.82000000000005</v>
      </c>
      <c r="F5056" s="22">
        <v>0</v>
      </c>
      <c r="G5056" s="21">
        <f t="shared" si="234"/>
        <v>891.74000000000001</v>
      </c>
      <c r="H5056" s="22">
        <v>0</v>
      </c>
      <c r="I5056" s="23" t="str">
        <f t="shared" si="235"/>
        <v xml:space="preserve">COM VALOR</v>
      </c>
      <c r="J5056" s="19"/>
      <c r="L5056" s="21">
        <v>893.82000000000005</v>
      </c>
      <c r="M5056" s="22">
        <v>0.95999999999999996</v>
      </c>
      <c r="N5056" s="21">
        <v>891.74000000000001</v>
      </c>
      <c r="O5056" s="22">
        <v>0.95999999999999996</v>
      </c>
    </row>
    <row r="5057" ht="38.25">
      <c r="A5057" t="s">
        <v>5091</v>
      </c>
      <c r="B5057" s="19">
        <v>94614</v>
      </c>
      <c r="C5057" s="20" t="s">
        <v>5163</v>
      </c>
      <c r="D5057" s="19" t="s">
        <v>31</v>
      </c>
      <c r="E5057" s="21">
        <f t="shared" si="233"/>
        <v>141.21000000000001</v>
      </c>
      <c r="F5057" s="22">
        <v>0</v>
      </c>
      <c r="G5057" s="21">
        <f t="shared" si="234"/>
        <v>139.44999999999999</v>
      </c>
      <c r="H5057" s="22">
        <v>0</v>
      </c>
      <c r="I5057" s="23" t="str">
        <f t="shared" si="235"/>
        <v xml:space="preserve">COM VALOR</v>
      </c>
      <c r="J5057" s="19"/>
      <c r="L5057" s="21">
        <v>141.21000000000001</v>
      </c>
      <c r="M5057" s="22">
        <v>0.78000000000000003</v>
      </c>
      <c r="N5057" s="21">
        <v>139.44999999999999</v>
      </c>
      <c r="O5057" s="22">
        <v>0.79000000000000004</v>
      </c>
    </row>
    <row r="5058" ht="38.25">
      <c r="A5058" t="s">
        <v>5091</v>
      </c>
      <c r="B5058" s="19">
        <v>94616</v>
      </c>
      <c r="C5058" s="20" t="s">
        <v>5164</v>
      </c>
      <c r="D5058" s="19" t="s">
        <v>31</v>
      </c>
      <c r="E5058" s="21">
        <f t="shared" si="233"/>
        <v>397.88</v>
      </c>
      <c r="F5058" s="22">
        <v>0</v>
      </c>
      <c r="G5058" s="21">
        <f t="shared" si="234"/>
        <v>396.04000000000002</v>
      </c>
      <c r="H5058" s="22">
        <v>0</v>
      </c>
      <c r="I5058" s="23" t="str">
        <f t="shared" si="235"/>
        <v xml:space="preserve">COM VALOR</v>
      </c>
      <c r="J5058" s="19"/>
      <c r="L5058" s="21">
        <v>397.88</v>
      </c>
      <c r="M5058" s="22">
        <v>0.92000000000000004</v>
      </c>
      <c r="N5058" s="21">
        <v>396.04000000000002</v>
      </c>
      <c r="O5058" s="22">
        <v>0.92000000000000004</v>
      </c>
    </row>
    <row r="5059" ht="38.25">
      <c r="A5059" t="s">
        <v>5091</v>
      </c>
      <c r="B5059" s="19">
        <v>94618</v>
      </c>
      <c r="C5059" s="20" t="s">
        <v>5165</v>
      </c>
      <c r="D5059" s="19" t="s">
        <v>31</v>
      </c>
      <c r="E5059" s="21">
        <f t="shared" si="233"/>
        <v>386.63999999999999</v>
      </c>
      <c r="F5059" s="22">
        <v>0.81999999999999995</v>
      </c>
      <c r="G5059" s="21">
        <f t="shared" si="234"/>
        <v>384.72000000000003</v>
      </c>
      <c r="H5059" s="22">
        <v>0.82999999999999996</v>
      </c>
      <c r="I5059" s="23" t="str">
        <f t="shared" si="235"/>
        <v xml:space="preserve">COM VALOR</v>
      </c>
      <c r="J5059" s="19"/>
      <c r="L5059" s="21">
        <v>386.63999999999999</v>
      </c>
      <c r="M5059" s="22">
        <v>0.91000000000000003</v>
      </c>
      <c r="N5059" s="21">
        <v>384.72000000000003</v>
      </c>
      <c r="O5059" s="22">
        <v>0.92000000000000004</v>
      </c>
    </row>
    <row r="5060" ht="38.25">
      <c r="A5060" t="s">
        <v>5091</v>
      </c>
      <c r="B5060" s="19">
        <v>105193</v>
      </c>
      <c r="C5060" s="20" t="s">
        <v>5166</v>
      </c>
      <c r="D5060" s="19" t="s">
        <v>31</v>
      </c>
      <c r="E5060" s="21">
        <f t="shared" si="233"/>
        <v>161.72</v>
      </c>
      <c r="F5060" s="22">
        <v>0.82999999999999996</v>
      </c>
      <c r="G5060" s="21">
        <f t="shared" si="234"/>
        <v>160.13999999999999</v>
      </c>
      <c r="H5060" s="22">
        <v>0.83999999999999997</v>
      </c>
      <c r="I5060" s="23" t="str">
        <f t="shared" si="235"/>
        <v xml:space="preserve">COM VALOR</v>
      </c>
      <c r="J5060" s="19"/>
      <c r="L5060" s="21">
        <v>161.72</v>
      </c>
      <c r="M5060" s="22">
        <v>0</v>
      </c>
      <c r="N5060" s="21">
        <v>160.13999999999999</v>
      </c>
      <c r="O5060" s="22">
        <v>0</v>
      </c>
    </row>
    <row r="5061" ht="38.25">
      <c r="A5061" t="s">
        <v>5091</v>
      </c>
      <c r="B5061" s="19">
        <v>105197</v>
      </c>
      <c r="C5061" s="20" t="s">
        <v>5167</v>
      </c>
      <c r="D5061" s="19" t="s">
        <v>31</v>
      </c>
      <c r="E5061" s="21">
        <f t="shared" si="233"/>
        <v>173.75</v>
      </c>
      <c r="F5061" s="22">
        <v>0.83999999999999997</v>
      </c>
      <c r="G5061" s="21">
        <f t="shared" si="234"/>
        <v>172.38999999999999</v>
      </c>
      <c r="H5061" s="22">
        <v>0.84999999999999998</v>
      </c>
      <c r="I5061" s="23" t="str">
        <f t="shared" si="235"/>
        <v xml:space="preserve">COM VALOR</v>
      </c>
      <c r="J5061" s="19"/>
      <c r="L5061" s="21">
        <v>173.75</v>
      </c>
      <c r="M5061" s="22">
        <v>0</v>
      </c>
      <c r="N5061" s="21">
        <v>172.38999999999999</v>
      </c>
      <c r="O5061" s="22">
        <v>0</v>
      </c>
    </row>
    <row r="5062" ht="38.25">
      <c r="A5062" t="s">
        <v>5091</v>
      </c>
      <c r="B5062" s="19">
        <v>105196</v>
      </c>
      <c r="C5062" s="20" t="s">
        <v>5168</v>
      </c>
      <c r="D5062" s="19" t="s">
        <v>31</v>
      </c>
      <c r="E5062" s="21">
        <f t="shared" si="233"/>
        <v>253.53</v>
      </c>
      <c r="F5062" s="22">
        <v>0.95999999999999996</v>
      </c>
      <c r="G5062" s="21">
        <f t="shared" si="234"/>
        <v>251.94999999999999</v>
      </c>
      <c r="H5062" s="22">
        <v>0.95999999999999996</v>
      </c>
      <c r="I5062" s="23" t="str">
        <f t="shared" si="235"/>
        <v xml:space="preserve">COM VALOR</v>
      </c>
      <c r="J5062" s="19"/>
      <c r="L5062" s="21">
        <v>253.53</v>
      </c>
      <c r="M5062" s="22">
        <v>0</v>
      </c>
      <c r="N5062" s="21">
        <v>251.94999999999999</v>
      </c>
      <c r="O5062" s="22">
        <v>0</v>
      </c>
    </row>
    <row r="5063" ht="38.25">
      <c r="A5063" t="s">
        <v>5091</v>
      </c>
      <c r="B5063" s="19">
        <v>105198</v>
      </c>
      <c r="C5063" s="20" t="s">
        <v>5169</v>
      </c>
      <c r="D5063" s="19" t="s">
        <v>31</v>
      </c>
      <c r="E5063" s="21">
        <f t="shared" si="233"/>
        <v>360.85000000000002</v>
      </c>
      <c r="F5063" s="22">
        <v>0.90000000000000002</v>
      </c>
      <c r="G5063" s="21">
        <f t="shared" si="234"/>
        <v>358.98000000000002</v>
      </c>
      <c r="H5063" s="22">
        <v>0.91000000000000003</v>
      </c>
      <c r="I5063" s="23" t="str">
        <f t="shared" si="235"/>
        <v xml:space="preserve">COM VALOR</v>
      </c>
      <c r="J5063" s="19"/>
      <c r="L5063" s="21">
        <v>360.85000000000002</v>
      </c>
      <c r="M5063" s="22">
        <v>0</v>
      </c>
      <c r="N5063" s="21">
        <v>358.98000000000002</v>
      </c>
      <c r="O5063" s="22">
        <v>0</v>
      </c>
    </row>
    <row r="5064" ht="38.25">
      <c r="A5064" t="s">
        <v>5091</v>
      </c>
      <c r="B5064" s="19">
        <v>105200</v>
      </c>
      <c r="C5064" s="20" t="s">
        <v>5170</v>
      </c>
      <c r="D5064" s="19" t="s">
        <v>31</v>
      </c>
      <c r="E5064" s="21">
        <f t="shared" si="233"/>
        <v>136.13</v>
      </c>
      <c r="F5064" s="22">
        <v>0.92000000000000004</v>
      </c>
      <c r="G5064" s="21">
        <f t="shared" si="234"/>
        <v>134.77000000000001</v>
      </c>
      <c r="H5064" s="22">
        <v>0.93000000000000005</v>
      </c>
      <c r="I5064" s="23" t="str">
        <f t="shared" si="235"/>
        <v xml:space="preserve">COM VALOR</v>
      </c>
      <c r="J5064" s="19"/>
      <c r="L5064" s="21">
        <v>136.13</v>
      </c>
      <c r="M5064" s="22">
        <v>0</v>
      </c>
      <c r="N5064" s="21">
        <v>134.77000000000001</v>
      </c>
      <c r="O5064" s="22">
        <v>0</v>
      </c>
    </row>
    <row r="5065" ht="38.25">
      <c r="A5065" t="s">
        <v>5091</v>
      </c>
      <c r="B5065" s="19">
        <v>105199</v>
      </c>
      <c r="C5065" s="20" t="s">
        <v>5171</v>
      </c>
      <c r="D5065" s="19" t="s">
        <v>31</v>
      </c>
      <c r="E5065" s="21">
        <f t="shared" si="233"/>
        <v>229.94999999999999</v>
      </c>
      <c r="F5065" s="22">
        <v>0.94999999999999996</v>
      </c>
      <c r="G5065" s="21">
        <f t="shared" si="234"/>
        <v>228.37</v>
      </c>
      <c r="H5065" s="22">
        <v>0.94999999999999996</v>
      </c>
      <c r="I5065" s="23" t="str">
        <f t="shared" si="235"/>
        <v xml:space="preserve">COM VALOR</v>
      </c>
      <c r="J5065" s="19"/>
      <c r="L5065" s="21">
        <v>229.94999999999999</v>
      </c>
      <c r="M5065" s="22">
        <v>0</v>
      </c>
      <c r="N5065" s="21">
        <v>228.37</v>
      </c>
      <c r="O5065" s="22">
        <v>0</v>
      </c>
    </row>
    <row r="5066" ht="38.25">
      <c r="A5066" t="s">
        <v>5091</v>
      </c>
      <c r="B5066" s="19">
        <v>105201</v>
      </c>
      <c r="C5066" s="20" t="s">
        <v>5172</v>
      </c>
      <c r="D5066" s="19" t="s">
        <v>31</v>
      </c>
      <c r="E5066" s="21">
        <f t="shared" si="233"/>
        <v>315.66000000000003</v>
      </c>
      <c r="F5066" s="22">
        <v>0</v>
      </c>
      <c r="G5066" s="21">
        <f t="shared" si="234"/>
        <v>313.79000000000002</v>
      </c>
      <c r="H5066" s="22">
        <v>0</v>
      </c>
      <c r="I5066" s="23" t="str">
        <f t="shared" si="235"/>
        <v xml:space="preserve">COM VALOR</v>
      </c>
      <c r="J5066" s="19"/>
      <c r="L5066" s="21">
        <v>315.66000000000003</v>
      </c>
      <c r="M5066" s="22">
        <v>0</v>
      </c>
      <c r="N5066" s="21">
        <v>313.79000000000002</v>
      </c>
      <c r="O5066" s="22">
        <v>0</v>
      </c>
    </row>
    <row r="5067" ht="38.25">
      <c r="A5067" t="s">
        <v>5091</v>
      </c>
      <c r="B5067" s="19">
        <v>94755</v>
      </c>
      <c r="C5067" s="20" t="s">
        <v>5173</v>
      </c>
      <c r="D5067" s="19" t="s">
        <v>31</v>
      </c>
      <c r="E5067" s="21" t="str">
        <f t="shared" ref="E5067:E5130" si="236">IF(L5067=0,"VERIFICAR",L5067)</f>
        <v>VERIFICAR</v>
      </c>
      <c r="F5067" s="22">
        <v>0</v>
      </c>
      <c r="G5067" s="21" t="str">
        <f t="shared" ref="G5067:G5130" si="237">IF(N5067=0,"VERIFICAR",N5067)</f>
        <v>VERIFICAR</v>
      </c>
      <c r="H5067" s="22">
        <v>0</v>
      </c>
      <c r="I5067" s="23" t="str">
        <f t="shared" ref="I5067:I5130" si="238">IF(OR(E5067=0,G5067=0),"SEM VALOR","COM VALOR")</f>
        <v xml:space="preserve">COM VALOR</v>
      </c>
      <c r="J5067" s="19"/>
      <c r="L5067" s="21">
        <v>0</v>
      </c>
      <c r="M5067" s="22"/>
      <c r="N5067" s="21">
        <v>0</v>
      </c>
      <c r="O5067" s="22"/>
    </row>
    <row r="5068" ht="38.25">
      <c r="A5068" t="s">
        <v>5091</v>
      </c>
      <c r="B5068" s="19">
        <v>94741</v>
      </c>
      <c r="C5068" s="20" t="s">
        <v>5174</v>
      </c>
      <c r="D5068" s="19" t="s">
        <v>31</v>
      </c>
      <c r="E5068" s="21">
        <f t="shared" si="236"/>
        <v>13.949999999999999</v>
      </c>
      <c r="F5068" s="22">
        <v>0</v>
      </c>
      <c r="G5068" s="21">
        <f t="shared" si="237"/>
        <v>13.789999999999999</v>
      </c>
      <c r="H5068" s="22">
        <v>0</v>
      </c>
      <c r="I5068" s="23" t="str">
        <f t="shared" si="238"/>
        <v xml:space="preserve">COM VALOR</v>
      </c>
      <c r="J5068" s="19"/>
      <c r="L5068" s="21">
        <v>13.949999999999999</v>
      </c>
      <c r="M5068" s="22">
        <v>0</v>
      </c>
      <c r="N5068" s="21">
        <v>13.789999999999999</v>
      </c>
      <c r="O5068" s="22">
        <v>0</v>
      </c>
    </row>
    <row r="5069" ht="38.25">
      <c r="A5069" t="s">
        <v>5091</v>
      </c>
      <c r="B5069" s="19">
        <v>94743</v>
      </c>
      <c r="C5069" s="20" t="s">
        <v>5175</v>
      </c>
      <c r="D5069" s="19" t="s">
        <v>31</v>
      </c>
      <c r="E5069" s="21">
        <f t="shared" si="236"/>
        <v>22.850000000000001</v>
      </c>
      <c r="F5069" s="22">
        <v>0</v>
      </c>
      <c r="G5069" s="21">
        <f t="shared" si="237"/>
        <v>22.670000000000002</v>
      </c>
      <c r="H5069" s="22">
        <v>0</v>
      </c>
      <c r="I5069" s="23" t="str">
        <f t="shared" si="238"/>
        <v xml:space="preserve">COM VALOR</v>
      </c>
      <c r="J5069" s="19"/>
      <c r="L5069" s="21">
        <v>22.850000000000001</v>
      </c>
      <c r="M5069" s="22">
        <v>0</v>
      </c>
      <c r="N5069" s="21">
        <v>22.670000000000002</v>
      </c>
      <c r="O5069" s="22">
        <v>0</v>
      </c>
    </row>
    <row r="5070" ht="38.25">
      <c r="A5070" t="s">
        <v>5091</v>
      </c>
      <c r="B5070" s="19">
        <v>94745</v>
      </c>
      <c r="C5070" s="20" t="s">
        <v>5176</v>
      </c>
      <c r="D5070" s="19" t="s">
        <v>31</v>
      </c>
      <c r="E5070" s="21" t="str">
        <f t="shared" si="236"/>
        <v>VERIFICAR</v>
      </c>
      <c r="F5070" s="22">
        <v>0</v>
      </c>
      <c r="G5070" s="21" t="str">
        <f t="shared" si="237"/>
        <v>VERIFICAR</v>
      </c>
      <c r="H5070" s="22">
        <v>0</v>
      </c>
      <c r="I5070" s="23" t="str">
        <f t="shared" si="238"/>
        <v xml:space="preserve">COM VALOR</v>
      </c>
      <c r="J5070" s="19"/>
      <c r="L5070" s="21">
        <v>0</v>
      </c>
      <c r="M5070" s="22"/>
      <c r="N5070" s="21">
        <v>0</v>
      </c>
      <c r="O5070" s="22"/>
    </row>
    <row r="5071" ht="38.25">
      <c r="A5071" t="s">
        <v>5091</v>
      </c>
      <c r="B5071" s="19">
        <v>94747</v>
      </c>
      <c r="C5071" s="20" t="s">
        <v>5177</v>
      </c>
      <c r="D5071" s="19" t="s">
        <v>31</v>
      </c>
      <c r="E5071" s="21" t="str">
        <f t="shared" si="236"/>
        <v>VERIFICAR</v>
      </c>
      <c r="F5071" s="22">
        <v>0</v>
      </c>
      <c r="G5071" s="21" t="str">
        <f t="shared" si="237"/>
        <v>VERIFICAR</v>
      </c>
      <c r="H5071" s="22">
        <v>0</v>
      </c>
      <c r="I5071" s="23" t="str">
        <f t="shared" si="238"/>
        <v xml:space="preserve">COM VALOR</v>
      </c>
      <c r="J5071" s="19"/>
      <c r="L5071" s="21">
        <v>0</v>
      </c>
      <c r="M5071" s="22"/>
      <c r="N5071" s="21">
        <v>0</v>
      </c>
      <c r="O5071" s="22"/>
    </row>
    <row r="5072" ht="38.25">
      <c r="A5072" t="s">
        <v>5091</v>
      </c>
      <c r="B5072" s="19">
        <v>94749</v>
      </c>
      <c r="C5072" s="20" t="s">
        <v>5178</v>
      </c>
      <c r="D5072" s="19" t="s">
        <v>31</v>
      </c>
      <c r="E5072" s="21" t="str">
        <f t="shared" si="236"/>
        <v>VERIFICAR</v>
      </c>
      <c r="F5072" s="22">
        <v>0</v>
      </c>
      <c r="G5072" s="21" t="str">
        <f t="shared" si="237"/>
        <v>VERIFICAR</v>
      </c>
      <c r="H5072" s="22">
        <v>0</v>
      </c>
      <c r="I5072" s="23" t="str">
        <f t="shared" si="238"/>
        <v xml:space="preserve">COM VALOR</v>
      </c>
      <c r="J5072" s="19"/>
      <c r="L5072" s="21">
        <v>0</v>
      </c>
      <c r="M5072" s="22"/>
      <c r="N5072" s="21">
        <v>0</v>
      </c>
      <c r="O5072" s="22"/>
    </row>
    <row r="5073" ht="38.25">
      <c r="A5073" t="s">
        <v>5091</v>
      </c>
      <c r="B5073" s="19">
        <v>94751</v>
      </c>
      <c r="C5073" s="20" t="s">
        <v>5179</v>
      </c>
      <c r="D5073" s="19" t="s">
        <v>31</v>
      </c>
      <c r="E5073" s="21" t="str">
        <f t="shared" si="236"/>
        <v>VERIFICAR</v>
      </c>
      <c r="F5073" s="22">
        <v>0</v>
      </c>
      <c r="G5073" s="21" t="str">
        <f t="shared" si="237"/>
        <v>VERIFICAR</v>
      </c>
      <c r="H5073" s="22">
        <v>0</v>
      </c>
      <c r="I5073" s="23" t="str">
        <f t="shared" si="238"/>
        <v xml:space="preserve">COM VALOR</v>
      </c>
      <c r="J5073" s="19"/>
      <c r="L5073" s="21">
        <v>0</v>
      </c>
      <c r="M5073" s="22"/>
      <c r="N5073" s="21">
        <v>0</v>
      </c>
      <c r="O5073" s="22"/>
    </row>
    <row r="5074" ht="38.25">
      <c r="A5074" t="s">
        <v>5091</v>
      </c>
      <c r="B5074" s="19">
        <v>94753</v>
      </c>
      <c r="C5074" s="20" t="s">
        <v>5180</v>
      </c>
      <c r="D5074" s="19" t="s">
        <v>31</v>
      </c>
      <c r="E5074" s="21" t="str">
        <f t="shared" si="236"/>
        <v>VERIFICAR</v>
      </c>
      <c r="F5074" s="22">
        <v>0.84999999999999998</v>
      </c>
      <c r="G5074" s="21" t="str">
        <f t="shared" si="237"/>
        <v>VERIFICAR</v>
      </c>
      <c r="H5074" s="22">
        <v>0.85999999999999999</v>
      </c>
      <c r="I5074" s="23" t="str">
        <f t="shared" si="238"/>
        <v xml:space="preserve">COM VALOR</v>
      </c>
      <c r="J5074" s="19"/>
      <c r="L5074" s="21">
        <v>0</v>
      </c>
      <c r="M5074" s="22"/>
      <c r="N5074" s="21">
        <v>0</v>
      </c>
      <c r="O5074" s="22"/>
    </row>
    <row r="5075" ht="38.25">
      <c r="A5075" t="s">
        <v>5091</v>
      </c>
      <c r="B5075" s="19">
        <v>105209</v>
      </c>
      <c r="C5075" s="20" t="s">
        <v>5181</v>
      </c>
      <c r="D5075" s="19" t="s">
        <v>31</v>
      </c>
      <c r="E5075" s="21">
        <f t="shared" si="236"/>
        <v>168.12</v>
      </c>
      <c r="F5075" s="22">
        <v>0.90000000000000002</v>
      </c>
      <c r="G5075" s="21">
        <f t="shared" si="237"/>
        <v>166.75999999999999</v>
      </c>
      <c r="H5075" s="22">
        <v>0.91000000000000003</v>
      </c>
      <c r="I5075" s="23" t="str">
        <f t="shared" si="238"/>
        <v xml:space="preserve">COM VALOR</v>
      </c>
      <c r="J5075" s="19"/>
      <c r="L5075" s="21">
        <v>168.12</v>
      </c>
      <c r="M5075" s="22">
        <v>0</v>
      </c>
      <c r="N5075" s="21">
        <v>166.75999999999999</v>
      </c>
      <c r="O5075" s="22">
        <v>0</v>
      </c>
    </row>
    <row r="5076" ht="38.25">
      <c r="A5076" t="s">
        <v>5091</v>
      </c>
      <c r="B5076" s="19">
        <v>105208</v>
      </c>
      <c r="C5076" s="20" t="s">
        <v>5182</v>
      </c>
      <c r="D5076" s="19" t="s">
        <v>31</v>
      </c>
      <c r="E5076" s="21">
        <f t="shared" si="236"/>
        <v>349.64999999999998</v>
      </c>
      <c r="F5076" s="22">
        <v>0.71999999999999997</v>
      </c>
      <c r="G5076" s="21">
        <f t="shared" si="237"/>
        <v>348.06999999999999</v>
      </c>
      <c r="H5076" s="22">
        <v>0.72999999999999998</v>
      </c>
      <c r="I5076" s="23" t="str">
        <f t="shared" si="238"/>
        <v xml:space="preserve">COM VALOR</v>
      </c>
      <c r="J5076" s="19"/>
      <c r="L5076" s="21">
        <v>349.64999999999998</v>
      </c>
      <c r="M5076" s="22">
        <v>0</v>
      </c>
      <c r="N5076" s="21">
        <v>348.06999999999999</v>
      </c>
      <c r="O5076" s="22">
        <v>0</v>
      </c>
    </row>
    <row r="5077" ht="38.25">
      <c r="A5077" t="s">
        <v>5091</v>
      </c>
      <c r="B5077" s="19">
        <v>105210</v>
      </c>
      <c r="C5077" s="20" t="s">
        <v>5183</v>
      </c>
      <c r="D5077" s="19" t="s">
        <v>31</v>
      </c>
      <c r="E5077" s="21">
        <f t="shared" si="236"/>
        <v>451.88</v>
      </c>
      <c r="F5077" s="22">
        <v>0.68999999999999995</v>
      </c>
      <c r="G5077" s="21">
        <f t="shared" si="237"/>
        <v>450.00999999999999</v>
      </c>
      <c r="H5077" s="22">
        <v>0.70999999999999996</v>
      </c>
      <c r="I5077" s="23" t="str">
        <f t="shared" si="238"/>
        <v xml:space="preserve">COM VALOR</v>
      </c>
      <c r="J5077" s="19"/>
      <c r="L5077" s="21">
        <v>451.88</v>
      </c>
      <c r="M5077" s="22">
        <v>0</v>
      </c>
      <c r="N5077" s="21">
        <v>450.00999999999999</v>
      </c>
      <c r="O5077" s="22">
        <v>0</v>
      </c>
    </row>
    <row r="5078" ht="38.25">
      <c r="A5078" t="s">
        <v>5091</v>
      </c>
      <c r="B5078" s="19">
        <v>105203</v>
      </c>
      <c r="C5078" s="20" t="s">
        <v>5184</v>
      </c>
      <c r="D5078" s="19" t="s">
        <v>31</v>
      </c>
      <c r="E5078" s="21">
        <f t="shared" si="236"/>
        <v>172.97</v>
      </c>
      <c r="F5078" s="22">
        <v>0.76000000000000001</v>
      </c>
      <c r="G5078" s="21">
        <f t="shared" si="237"/>
        <v>171.61000000000001</v>
      </c>
      <c r="H5078" s="22">
        <v>0.77000000000000002</v>
      </c>
      <c r="I5078" s="23" t="str">
        <f t="shared" si="238"/>
        <v xml:space="preserve">COM VALOR</v>
      </c>
      <c r="J5078" s="19"/>
      <c r="L5078" s="21">
        <v>172.97</v>
      </c>
      <c r="M5078" s="22">
        <v>0</v>
      </c>
      <c r="N5078" s="21">
        <v>171.61000000000001</v>
      </c>
      <c r="O5078" s="22">
        <v>0</v>
      </c>
    </row>
    <row r="5079" ht="38.25">
      <c r="A5079" t="s">
        <v>5091</v>
      </c>
      <c r="B5079" s="19">
        <v>105202</v>
      </c>
      <c r="C5079" s="20" t="s">
        <v>5185</v>
      </c>
      <c r="D5079" s="19" t="s">
        <v>31</v>
      </c>
      <c r="E5079" s="21">
        <f t="shared" si="236"/>
        <v>286.33999999999997</v>
      </c>
      <c r="F5079" s="22">
        <v>0.73999999999999999</v>
      </c>
      <c r="G5079" s="21">
        <f t="shared" si="237"/>
        <v>284.75999999999999</v>
      </c>
      <c r="H5079" s="22">
        <v>0.76000000000000001</v>
      </c>
      <c r="I5079" s="23" t="str">
        <f t="shared" si="238"/>
        <v xml:space="preserve">COM VALOR</v>
      </c>
      <c r="J5079" s="19"/>
      <c r="L5079" s="21">
        <v>286.33999999999997</v>
      </c>
      <c r="M5079" s="22">
        <v>0</v>
      </c>
      <c r="N5079" s="21">
        <v>284.75999999999999</v>
      </c>
      <c r="O5079" s="22">
        <v>0</v>
      </c>
    </row>
    <row r="5080" ht="38.25">
      <c r="A5080" t="s">
        <v>5091</v>
      </c>
      <c r="B5080" s="19">
        <v>105204</v>
      </c>
      <c r="C5080" s="20" t="s">
        <v>5186</v>
      </c>
      <c r="D5080" s="19" t="s">
        <v>31</v>
      </c>
      <c r="E5080" s="21">
        <f t="shared" si="236"/>
        <v>381.64999999999998</v>
      </c>
      <c r="F5080" s="22">
        <v>0.68999999999999995</v>
      </c>
      <c r="G5080" s="21">
        <f t="shared" si="237"/>
        <v>379.77999999999997</v>
      </c>
      <c r="H5080" s="22">
        <v>0.70999999999999996</v>
      </c>
      <c r="I5080" s="23" t="str">
        <f t="shared" si="238"/>
        <v xml:space="preserve">COM VALOR</v>
      </c>
      <c r="J5080" s="19"/>
      <c r="L5080" s="21">
        <v>381.64999999999998</v>
      </c>
      <c r="M5080" s="22">
        <v>0</v>
      </c>
      <c r="N5080" s="21">
        <v>379.77999999999997</v>
      </c>
      <c r="O5080" s="22">
        <v>0</v>
      </c>
    </row>
    <row r="5081" ht="38.25">
      <c r="A5081" t="s">
        <v>5091</v>
      </c>
      <c r="B5081" s="19">
        <v>105206</v>
      </c>
      <c r="C5081" s="20" t="s">
        <v>5187</v>
      </c>
      <c r="D5081" s="19" t="s">
        <v>31</v>
      </c>
      <c r="E5081" s="21">
        <f t="shared" si="236"/>
        <v>164.61000000000001</v>
      </c>
      <c r="F5081" s="22">
        <v>0.77000000000000002</v>
      </c>
      <c r="G5081" s="21">
        <f t="shared" si="237"/>
        <v>163.25</v>
      </c>
      <c r="H5081" s="22">
        <v>0.78000000000000003</v>
      </c>
      <c r="I5081" s="23" t="str">
        <f t="shared" si="238"/>
        <v xml:space="preserve">COM VALOR</v>
      </c>
      <c r="J5081" s="19"/>
      <c r="L5081" s="21">
        <v>164.61000000000001</v>
      </c>
      <c r="M5081" s="22">
        <v>0</v>
      </c>
      <c r="N5081" s="21">
        <v>163.25</v>
      </c>
      <c r="O5081" s="22">
        <v>0</v>
      </c>
    </row>
    <row r="5082" ht="38.25">
      <c r="A5082" t="s">
        <v>5091</v>
      </c>
      <c r="B5082" s="19">
        <v>105205</v>
      </c>
      <c r="C5082" s="20" t="s">
        <v>5188</v>
      </c>
      <c r="D5082" s="19" t="s">
        <v>31</v>
      </c>
      <c r="E5082" s="21">
        <f t="shared" si="236"/>
        <v>264.08999999999997</v>
      </c>
      <c r="F5082" s="22">
        <v>0.70999999999999996</v>
      </c>
      <c r="G5082" s="21">
        <f t="shared" si="237"/>
        <v>262.50999999999999</v>
      </c>
      <c r="H5082" s="22">
        <v>0.72999999999999998</v>
      </c>
      <c r="I5082" s="23" t="str">
        <f t="shared" si="238"/>
        <v xml:space="preserve">COM VALOR</v>
      </c>
      <c r="J5082" s="19"/>
      <c r="L5082" s="21">
        <v>264.08999999999997</v>
      </c>
      <c r="M5082" s="22">
        <v>0</v>
      </c>
      <c r="N5082" s="21">
        <v>262.50999999999999</v>
      </c>
      <c r="O5082" s="22">
        <v>0</v>
      </c>
    </row>
    <row r="5083" ht="38.25">
      <c r="A5083" t="s">
        <v>5091</v>
      </c>
      <c r="B5083" s="19">
        <v>105207</v>
      </c>
      <c r="C5083" s="20" t="s">
        <v>5189</v>
      </c>
      <c r="D5083" s="19" t="s">
        <v>31</v>
      </c>
      <c r="E5083" s="21">
        <f t="shared" si="236"/>
        <v>370.51999999999998</v>
      </c>
      <c r="F5083" s="22">
        <v>0.80000000000000004</v>
      </c>
      <c r="G5083" s="21">
        <f t="shared" si="237"/>
        <v>368.64999999999998</v>
      </c>
      <c r="H5083" s="22">
        <v>0.81000000000000005</v>
      </c>
      <c r="I5083" s="23" t="str">
        <f t="shared" si="238"/>
        <v xml:space="preserve">COM VALOR</v>
      </c>
      <c r="J5083" s="19"/>
      <c r="L5083" s="21">
        <v>370.51999999999998</v>
      </c>
      <c r="M5083" s="22">
        <v>0</v>
      </c>
      <c r="N5083" s="21">
        <v>368.64999999999998</v>
      </c>
      <c r="O5083" s="22">
        <v>0</v>
      </c>
    </row>
    <row r="5084" ht="38.25">
      <c r="A5084" t="s">
        <v>5091</v>
      </c>
      <c r="B5084" s="19">
        <v>94687</v>
      </c>
      <c r="C5084" s="20" t="s">
        <v>5190</v>
      </c>
      <c r="D5084" s="19" t="s">
        <v>31</v>
      </c>
      <c r="E5084" s="21">
        <f t="shared" si="236"/>
        <v>230.77000000000001</v>
      </c>
      <c r="F5084" s="22">
        <v>0.77000000000000002</v>
      </c>
      <c r="G5084" s="21">
        <f t="shared" si="237"/>
        <v>229.13999999999999</v>
      </c>
      <c r="H5084" s="22">
        <v>0.78000000000000003</v>
      </c>
      <c r="I5084" s="23" t="str">
        <f t="shared" si="238"/>
        <v xml:space="preserve">COM VALOR</v>
      </c>
      <c r="J5084" s="19"/>
      <c r="L5084" s="21">
        <v>230.77000000000001</v>
      </c>
      <c r="M5084" s="22">
        <v>0</v>
      </c>
      <c r="N5084" s="21">
        <v>229.13999999999999</v>
      </c>
      <c r="O5084" s="22">
        <v>0</v>
      </c>
    </row>
    <row r="5085" ht="38.25">
      <c r="A5085" t="s">
        <v>5091</v>
      </c>
      <c r="B5085" s="19">
        <v>94673</v>
      </c>
      <c r="C5085" s="20" t="s">
        <v>5191</v>
      </c>
      <c r="D5085" s="19" t="s">
        <v>31</v>
      </c>
      <c r="E5085" s="21">
        <f t="shared" si="236"/>
        <v>7.2699999999999996</v>
      </c>
      <c r="F5085" s="22">
        <v>0.82999999999999996</v>
      </c>
      <c r="G5085" s="21">
        <f t="shared" si="237"/>
        <v>7.1100000000000003</v>
      </c>
      <c r="H5085" s="22">
        <v>0.83999999999999997</v>
      </c>
      <c r="I5085" s="23" t="str">
        <f t="shared" si="238"/>
        <v xml:space="preserve">COM VALOR</v>
      </c>
      <c r="J5085" s="19"/>
      <c r="L5085" s="21">
        <v>7.2699999999999996</v>
      </c>
      <c r="M5085" s="22">
        <v>0</v>
      </c>
      <c r="N5085" s="21">
        <v>7.1100000000000003</v>
      </c>
      <c r="O5085" s="22">
        <v>0</v>
      </c>
    </row>
    <row r="5086" ht="38.25">
      <c r="A5086" t="s">
        <v>5091</v>
      </c>
      <c r="B5086" s="19">
        <v>94675</v>
      </c>
      <c r="C5086" s="20" t="s">
        <v>5192</v>
      </c>
      <c r="D5086" s="19" t="s">
        <v>31</v>
      </c>
      <c r="E5086" s="21">
        <f t="shared" si="236"/>
        <v>12.23</v>
      </c>
      <c r="F5086" s="22">
        <v>0.80000000000000004</v>
      </c>
      <c r="G5086" s="21">
        <f t="shared" si="237"/>
        <v>12.01</v>
      </c>
      <c r="H5086" s="22">
        <v>0.81000000000000005</v>
      </c>
      <c r="I5086" s="23" t="str">
        <f t="shared" si="238"/>
        <v xml:space="preserve">COM VALOR</v>
      </c>
      <c r="J5086" s="19"/>
      <c r="L5086" s="21">
        <v>12.23</v>
      </c>
      <c r="M5086" s="22">
        <v>0</v>
      </c>
      <c r="N5086" s="21">
        <v>12.01</v>
      </c>
      <c r="O5086" s="22">
        <v>0</v>
      </c>
    </row>
    <row r="5087" ht="38.25">
      <c r="A5087" t="s">
        <v>5091</v>
      </c>
      <c r="B5087" s="19">
        <v>94677</v>
      </c>
      <c r="C5087" s="20" t="s">
        <v>5193</v>
      </c>
      <c r="D5087" s="19" t="s">
        <v>31</v>
      </c>
      <c r="E5087" s="21">
        <f t="shared" si="236"/>
        <v>19.780000000000001</v>
      </c>
      <c r="F5087" s="22">
        <v>0.87</v>
      </c>
      <c r="G5087" s="21">
        <f t="shared" si="237"/>
        <v>19.489999999999998</v>
      </c>
      <c r="H5087" s="22">
        <v>0.88</v>
      </c>
      <c r="I5087" s="23" t="str">
        <f t="shared" si="238"/>
        <v xml:space="preserve">COM VALOR</v>
      </c>
      <c r="J5087" s="19"/>
      <c r="L5087" s="21">
        <v>19.780000000000001</v>
      </c>
      <c r="M5087" s="22">
        <v>0</v>
      </c>
      <c r="N5087" s="21">
        <v>19.489999999999998</v>
      </c>
      <c r="O5087" s="22">
        <v>0</v>
      </c>
    </row>
    <row r="5088" ht="38.25">
      <c r="A5088" t="s">
        <v>5091</v>
      </c>
      <c r="B5088" s="19">
        <v>94679</v>
      </c>
      <c r="C5088" s="20" t="s">
        <v>5194</v>
      </c>
      <c r="D5088" s="19" t="s">
        <v>31</v>
      </c>
      <c r="E5088" s="21">
        <f t="shared" si="236"/>
        <v>23.93</v>
      </c>
      <c r="F5088" s="22">
        <v>0.80000000000000004</v>
      </c>
      <c r="G5088" s="21">
        <f t="shared" si="237"/>
        <v>23.52</v>
      </c>
      <c r="H5088" s="22">
        <v>0.81000000000000005</v>
      </c>
      <c r="I5088" s="23" t="str">
        <f t="shared" si="238"/>
        <v xml:space="preserve">COM VALOR</v>
      </c>
      <c r="J5088" s="19"/>
      <c r="L5088" s="21">
        <v>23.93</v>
      </c>
      <c r="M5088" s="22">
        <v>0</v>
      </c>
      <c r="N5088" s="21">
        <v>23.52</v>
      </c>
      <c r="O5088" s="22">
        <v>0</v>
      </c>
    </row>
    <row r="5089" ht="38.25">
      <c r="A5089" t="s">
        <v>5091</v>
      </c>
      <c r="B5089" s="19">
        <v>94681</v>
      </c>
      <c r="C5089" s="20" t="s">
        <v>5195</v>
      </c>
      <c r="D5089" s="19" t="s">
        <v>31</v>
      </c>
      <c r="E5089" s="21">
        <f t="shared" si="236"/>
        <v>49.420000000000002</v>
      </c>
      <c r="F5089" s="22">
        <v>0.88</v>
      </c>
      <c r="G5089" s="21">
        <f t="shared" si="237"/>
        <v>48.880000000000003</v>
      </c>
      <c r="H5089" s="22">
        <v>0.88</v>
      </c>
      <c r="I5089" s="23" t="str">
        <f t="shared" si="238"/>
        <v xml:space="preserve">COM VALOR</v>
      </c>
      <c r="J5089" s="19"/>
      <c r="L5089" s="21">
        <v>49.420000000000002</v>
      </c>
      <c r="M5089" s="22">
        <v>0</v>
      </c>
      <c r="N5089" s="21">
        <v>48.880000000000003</v>
      </c>
      <c r="O5089" s="22">
        <v>0</v>
      </c>
    </row>
    <row r="5090" ht="38.25">
      <c r="A5090" t="s">
        <v>5091</v>
      </c>
      <c r="B5090" s="19">
        <v>94683</v>
      </c>
      <c r="C5090" s="20" t="s">
        <v>5196</v>
      </c>
      <c r="D5090" s="19" t="s">
        <v>31</v>
      </c>
      <c r="E5090" s="21">
        <f t="shared" si="236"/>
        <v>75.109999999999999</v>
      </c>
      <c r="F5090" s="22">
        <v>0.83999999999999997</v>
      </c>
      <c r="G5090" s="21">
        <f t="shared" si="237"/>
        <v>74.310000000000002</v>
      </c>
      <c r="H5090" s="22">
        <v>0.84999999999999998</v>
      </c>
      <c r="I5090" s="23" t="str">
        <f t="shared" si="238"/>
        <v xml:space="preserve">COM VALOR</v>
      </c>
      <c r="J5090" s="19"/>
      <c r="L5090" s="21">
        <v>75.109999999999999</v>
      </c>
      <c r="M5090" s="22">
        <v>0</v>
      </c>
      <c r="N5090" s="21">
        <v>74.310000000000002</v>
      </c>
      <c r="O5090" s="22">
        <v>0</v>
      </c>
    </row>
    <row r="5091" ht="38.25">
      <c r="A5091" t="s">
        <v>5091</v>
      </c>
      <c r="B5091" s="19">
        <v>94685</v>
      </c>
      <c r="C5091" s="20" t="s">
        <v>5197</v>
      </c>
      <c r="D5091" s="19" t="s">
        <v>31</v>
      </c>
      <c r="E5091" s="21">
        <f t="shared" si="236"/>
        <v>95.659999999999997</v>
      </c>
      <c r="F5091" s="22">
        <v>0.90000000000000002</v>
      </c>
      <c r="G5091" s="21">
        <f t="shared" si="237"/>
        <v>94.659999999999997</v>
      </c>
      <c r="H5091" s="22">
        <v>0.91000000000000003</v>
      </c>
      <c r="I5091" s="23" t="str">
        <f t="shared" si="238"/>
        <v xml:space="preserve">COM VALOR</v>
      </c>
      <c r="J5091" s="19"/>
      <c r="L5091" s="21">
        <v>95.659999999999997</v>
      </c>
      <c r="M5091" s="22">
        <v>0</v>
      </c>
      <c r="N5091" s="21">
        <v>94.659999999999997</v>
      </c>
      <c r="O5091" s="22">
        <v>0</v>
      </c>
    </row>
    <row r="5092" ht="38.25">
      <c r="A5092" t="s">
        <v>5091</v>
      </c>
      <c r="B5092" s="19">
        <v>94621</v>
      </c>
      <c r="C5092" s="20" t="s">
        <v>5198</v>
      </c>
      <c r="D5092" s="19" t="s">
        <v>31</v>
      </c>
      <c r="E5092" s="21" t="str">
        <f t="shared" si="236"/>
        <v>VERIFICAR</v>
      </c>
      <c r="F5092" s="22">
        <v>0</v>
      </c>
      <c r="G5092" s="21" t="str">
        <f t="shared" si="237"/>
        <v>VERIFICAR</v>
      </c>
      <c r="H5092" s="22">
        <v>0</v>
      </c>
      <c r="I5092" s="23" t="str">
        <f t="shared" si="238"/>
        <v xml:space="preserve">COM VALOR</v>
      </c>
      <c r="J5092" s="19"/>
      <c r="L5092" s="21">
        <v>0</v>
      </c>
      <c r="M5092" s="22"/>
      <c r="N5092" s="21">
        <v>0</v>
      </c>
      <c r="O5092" s="22"/>
    </row>
    <row r="5093" ht="38.25">
      <c r="A5093" t="s">
        <v>5091</v>
      </c>
      <c r="B5093" s="19">
        <v>94615</v>
      </c>
      <c r="C5093" s="20" t="s">
        <v>5199</v>
      </c>
      <c r="D5093" s="19" t="s">
        <v>31</v>
      </c>
      <c r="E5093" s="21">
        <f t="shared" si="236"/>
        <v>160.49000000000001</v>
      </c>
      <c r="F5093" s="22">
        <v>0</v>
      </c>
      <c r="G5093" s="21">
        <f t="shared" si="237"/>
        <v>158.72999999999999</v>
      </c>
      <c r="H5093" s="22">
        <v>0</v>
      </c>
      <c r="I5093" s="23" t="str">
        <f t="shared" si="238"/>
        <v xml:space="preserve">COM VALOR</v>
      </c>
      <c r="J5093" s="19"/>
      <c r="L5093" s="21">
        <v>160.49000000000001</v>
      </c>
      <c r="M5093" s="22">
        <v>0.80000000000000004</v>
      </c>
      <c r="N5093" s="21">
        <v>158.72999999999999</v>
      </c>
      <c r="O5093" s="22">
        <v>0.81000000000000005</v>
      </c>
    </row>
    <row r="5094" ht="38.25">
      <c r="A5094" t="s">
        <v>5091</v>
      </c>
      <c r="B5094" s="19">
        <v>94617</v>
      </c>
      <c r="C5094" s="20" t="s">
        <v>5200</v>
      </c>
      <c r="D5094" s="19" t="s">
        <v>31</v>
      </c>
      <c r="E5094" s="21">
        <f t="shared" si="236"/>
        <v>330.83999999999997</v>
      </c>
      <c r="F5094" s="22">
        <v>0</v>
      </c>
      <c r="G5094" s="21">
        <f t="shared" si="237"/>
        <v>329</v>
      </c>
      <c r="H5094" s="22">
        <v>0</v>
      </c>
      <c r="I5094" s="23" t="str">
        <f t="shared" si="238"/>
        <v xml:space="preserve">COM VALOR</v>
      </c>
      <c r="J5094" s="19"/>
      <c r="L5094" s="21">
        <v>330.83999999999997</v>
      </c>
      <c r="M5094" s="22">
        <v>0.90000000000000002</v>
      </c>
      <c r="N5094" s="21">
        <v>329</v>
      </c>
      <c r="O5094" s="22">
        <v>0.91000000000000003</v>
      </c>
    </row>
    <row r="5095" ht="38.25">
      <c r="A5095" t="s">
        <v>5091</v>
      </c>
      <c r="B5095" s="19">
        <v>94619</v>
      </c>
      <c r="C5095" s="20" t="s">
        <v>5201</v>
      </c>
      <c r="D5095" s="19" t="s">
        <v>31</v>
      </c>
      <c r="E5095" s="21" t="str">
        <f t="shared" si="236"/>
        <v>VERIFICAR</v>
      </c>
      <c r="F5095" s="22">
        <v>0</v>
      </c>
      <c r="G5095" s="21" t="str">
        <f t="shared" si="237"/>
        <v>VERIFICAR</v>
      </c>
      <c r="H5095" s="22">
        <v>0</v>
      </c>
      <c r="I5095" s="23" t="str">
        <f t="shared" si="238"/>
        <v xml:space="preserve">COM VALOR</v>
      </c>
      <c r="J5095" s="19"/>
      <c r="L5095" s="21">
        <v>0</v>
      </c>
      <c r="M5095" s="22"/>
      <c r="N5095" s="21">
        <v>0</v>
      </c>
      <c r="O5095" s="22"/>
    </row>
    <row r="5096" ht="25.5">
      <c r="A5096" t="s">
        <v>5091</v>
      </c>
      <c r="B5096" s="19">
        <v>105147</v>
      </c>
      <c r="C5096" s="20" t="s">
        <v>5202</v>
      </c>
      <c r="D5096" s="19" t="s">
        <v>31</v>
      </c>
      <c r="E5096" s="21">
        <f t="shared" si="236"/>
        <v>16.699999999999999</v>
      </c>
      <c r="F5096" s="22">
        <v>0</v>
      </c>
      <c r="G5096" s="21">
        <f t="shared" si="237"/>
        <v>16.420000000000002</v>
      </c>
      <c r="H5096" s="22">
        <v>0</v>
      </c>
      <c r="I5096" s="23" t="str">
        <f t="shared" si="238"/>
        <v xml:space="preserve">COM VALOR</v>
      </c>
      <c r="J5096" s="19"/>
      <c r="L5096" s="21">
        <v>16.699999999999999</v>
      </c>
      <c r="M5096" s="22">
        <v>0.68999999999999995</v>
      </c>
      <c r="N5096" s="21">
        <v>16.420000000000002</v>
      </c>
      <c r="O5096" s="22">
        <v>0.69999999999999996</v>
      </c>
    </row>
    <row r="5097" ht="25.5">
      <c r="A5097" t="s">
        <v>5091</v>
      </c>
      <c r="B5097" s="19">
        <v>105148</v>
      </c>
      <c r="C5097" s="20" t="s">
        <v>5203</v>
      </c>
      <c r="D5097" s="19" t="s">
        <v>31</v>
      </c>
      <c r="E5097" s="21">
        <f t="shared" si="236"/>
        <v>24.23</v>
      </c>
      <c r="F5097" s="22">
        <v>0</v>
      </c>
      <c r="G5097" s="21">
        <f t="shared" si="237"/>
        <v>23.91</v>
      </c>
      <c r="H5097" s="22">
        <v>0</v>
      </c>
      <c r="I5097" s="23" t="str">
        <f t="shared" si="238"/>
        <v xml:space="preserve">COM VALOR</v>
      </c>
      <c r="J5097" s="19"/>
      <c r="L5097" s="21">
        <v>24.23</v>
      </c>
      <c r="M5097" s="22">
        <v>0.77000000000000002</v>
      </c>
      <c r="N5097" s="21">
        <v>23.91</v>
      </c>
      <c r="O5097" s="22">
        <v>0.78000000000000003</v>
      </c>
    </row>
    <row r="5098" ht="38.25">
      <c r="A5098" t="s">
        <v>5091</v>
      </c>
      <c r="B5098" s="19">
        <v>105154</v>
      </c>
      <c r="C5098" s="20" t="s">
        <v>5204</v>
      </c>
      <c r="D5098" s="19" t="s">
        <v>31</v>
      </c>
      <c r="E5098" s="21">
        <f t="shared" si="236"/>
        <v>6.7199999999999998</v>
      </c>
      <c r="F5098" s="22">
        <v>0</v>
      </c>
      <c r="G5098" s="21">
        <f t="shared" si="237"/>
        <v>6.5599999999999996</v>
      </c>
      <c r="H5098" s="22">
        <v>0</v>
      </c>
      <c r="I5098" s="23" t="str">
        <f t="shared" si="238"/>
        <v xml:space="preserve">COM VALOR</v>
      </c>
      <c r="J5098" s="19"/>
      <c r="L5098" s="21">
        <v>6.7199999999999998</v>
      </c>
      <c r="M5098" s="22">
        <v>0</v>
      </c>
      <c r="N5098" s="21">
        <v>6.5599999999999996</v>
      </c>
      <c r="O5098" s="22">
        <v>0</v>
      </c>
    </row>
    <row r="5099" ht="38.25">
      <c r="A5099" t="s">
        <v>5091</v>
      </c>
      <c r="B5099" s="19">
        <v>105155</v>
      </c>
      <c r="C5099" s="20" t="s">
        <v>5205</v>
      </c>
      <c r="D5099" s="19" t="s">
        <v>31</v>
      </c>
      <c r="E5099" s="21">
        <f t="shared" si="236"/>
        <v>10.16</v>
      </c>
      <c r="F5099" s="22">
        <v>0</v>
      </c>
      <c r="G5099" s="21">
        <f t="shared" si="237"/>
        <v>9.9399999999999995</v>
      </c>
      <c r="H5099" s="22">
        <v>0</v>
      </c>
      <c r="I5099" s="23" t="str">
        <f t="shared" si="238"/>
        <v xml:space="preserve">COM VALOR</v>
      </c>
      <c r="J5099" s="19"/>
      <c r="L5099" s="21">
        <v>10.16</v>
      </c>
      <c r="M5099" s="22">
        <v>0</v>
      </c>
      <c r="N5099" s="21">
        <v>9.9399999999999995</v>
      </c>
      <c r="O5099" s="22">
        <v>0</v>
      </c>
    </row>
    <row r="5100" ht="38.25">
      <c r="A5100" t="s">
        <v>5091</v>
      </c>
      <c r="B5100" s="19">
        <v>105156</v>
      </c>
      <c r="C5100" s="20" t="s">
        <v>5206</v>
      </c>
      <c r="D5100" s="19" t="s">
        <v>31</v>
      </c>
      <c r="E5100" s="21">
        <f t="shared" si="236"/>
        <v>12.9</v>
      </c>
      <c r="F5100" s="22">
        <v>0</v>
      </c>
      <c r="G5100" s="21">
        <f t="shared" si="237"/>
        <v>12.609999999999999</v>
      </c>
      <c r="H5100" s="22">
        <v>0</v>
      </c>
      <c r="I5100" s="23" t="str">
        <f t="shared" si="238"/>
        <v xml:space="preserve">COM VALOR</v>
      </c>
      <c r="J5100" s="19"/>
      <c r="L5100" s="21">
        <v>12.9</v>
      </c>
      <c r="M5100" s="22">
        <v>0</v>
      </c>
      <c r="N5100" s="21">
        <v>12.609999999999999</v>
      </c>
      <c r="O5100" s="22">
        <v>0</v>
      </c>
    </row>
    <row r="5101" ht="38.25">
      <c r="A5101" t="s">
        <v>5091</v>
      </c>
      <c r="B5101" s="19">
        <v>105157</v>
      </c>
      <c r="C5101" s="20" t="s">
        <v>5207</v>
      </c>
      <c r="D5101" s="19" t="s">
        <v>31</v>
      </c>
      <c r="E5101" s="21">
        <f t="shared" si="236"/>
        <v>20</v>
      </c>
      <c r="F5101" s="22">
        <v>0</v>
      </c>
      <c r="G5101" s="21">
        <f t="shared" si="237"/>
        <v>19.59</v>
      </c>
      <c r="H5101" s="22">
        <v>0</v>
      </c>
      <c r="I5101" s="23" t="str">
        <f t="shared" si="238"/>
        <v xml:space="preserve">COM VALOR</v>
      </c>
      <c r="J5101" s="19"/>
      <c r="L5101" s="21">
        <v>20</v>
      </c>
      <c r="M5101" s="22">
        <v>0</v>
      </c>
      <c r="N5101" s="21">
        <v>19.59</v>
      </c>
      <c r="O5101" s="22">
        <v>0</v>
      </c>
    </row>
    <row r="5102" ht="38.25">
      <c r="A5102" t="s">
        <v>5091</v>
      </c>
      <c r="B5102" s="19">
        <v>105158</v>
      </c>
      <c r="C5102" s="20" t="s">
        <v>5208</v>
      </c>
      <c r="D5102" s="19" t="s">
        <v>31</v>
      </c>
      <c r="E5102" s="21">
        <f t="shared" si="236"/>
        <v>29.48</v>
      </c>
      <c r="F5102" s="22">
        <v>0</v>
      </c>
      <c r="G5102" s="21">
        <f t="shared" si="237"/>
        <v>28.940000000000001</v>
      </c>
      <c r="H5102" s="22">
        <v>0</v>
      </c>
      <c r="I5102" s="23" t="str">
        <f t="shared" si="238"/>
        <v xml:space="preserve">COM VALOR</v>
      </c>
      <c r="J5102" s="19"/>
      <c r="L5102" s="21">
        <v>29.48</v>
      </c>
      <c r="M5102" s="22">
        <v>0</v>
      </c>
      <c r="N5102" s="21">
        <v>28.940000000000001</v>
      </c>
      <c r="O5102" s="22">
        <v>0</v>
      </c>
    </row>
    <row r="5103" ht="38.25">
      <c r="A5103" t="s">
        <v>5091</v>
      </c>
      <c r="B5103" s="19">
        <v>105159</v>
      </c>
      <c r="C5103" s="20" t="s">
        <v>5209</v>
      </c>
      <c r="D5103" s="19" t="s">
        <v>31</v>
      </c>
      <c r="E5103" s="21">
        <f t="shared" si="236"/>
        <v>52.799999999999997</v>
      </c>
      <c r="F5103" s="22">
        <v>0</v>
      </c>
      <c r="G5103" s="21">
        <f t="shared" si="237"/>
        <v>52</v>
      </c>
      <c r="H5103" s="22">
        <v>0</v>
      </c>
      <c r="I5103" s="23" t="str">
        <f t="shared" si="238"/>
        <v xml:space="preserve">COM VALOR</v>
      </c>
      <c r="J5103" s="19"/>
      <c r="L5103" s="21">
        <v>52.799999999999997</v>
      </c>
      <c r="M5103" s="22">
        <v>0</v>
      </c>
      <c r="N5103" s="21">
        <v>52</v>
      </c>
      <c r="O5103" s="22">
        <v>0</v>
      </c>
    </row>
    <row r="5104" ht="38.25">
      <c r="A5104" t="s">
        <v>5091</v>
      </c>
      <c r="B5104" s="19">
        <v>105160</v>
      </c>
      <c r="C5104" s="20" t="s">
        <v>5210</v>
      </c>
      <c r="D5104" s="19" t="s">
        <v>31</v>
      </c>
      <c r="E5104" s="21">
        <f t="shared" si="236"/>
        <v>65.129999999999995</v>
      </c>
      <c r="F5104" s="22">
        <v>0</v>
      </c>
      <c r="G5104" s="21">
        <f t="shared" si="237"/>
        <v>64.129999999999995</v>
      </c>
      <c r="H5104" s="22">
        <v>0</v>
      </c>
      <c r="I5104" s="23" t="str">
        <f t="shared" si="238"/>
        <v xml:space="preserve">COM VALOR</v>
      </c>
      <c r="J5104" s="19"/>
      <c r="L5104" s="21">
        <v>65.129999999999995</v>
      </c>
      <c r="M5104" s="22">
        <v>0</v>
      </c>
      <c r="N5104" s="21">
        <v>64.129999999999995</v>
      </c>
      <c r="O5104" s="22">
        <v>0</v>
      </c>
    </row>
    <row r="5105" ht="38.25">
      <c r="A5105" t="s">
        <v>5091</v>
      </c>
      <c r="B5105" s="19">
        <v>94634</v>
      </c>
      <c r="C5105" s="20" t="s">
        <v>5211</v>
      </c>
      <c r="D5105" s="19" t="s">
        <v>31</v>
      </c>
      <c r="E5105" s="21" t="str">
        <f t="shared" si="236"/>
        <v>VERIFICAR</v>
      </c>
      <c r="F5105" s="22">
        <v>0</v>
      </c>
      <c r="G5105" s="21" t="str">
        <f t="shared" si="237"/>
        <v>VERIFICAR</v>
      </c>
      <c r="H5105" s="22">
        <v>0</v>
      </c>
      <c r="I5105" s="23" t="str">
        <f t="shared" si="238"/>
        <v xml:space="preserve">COM VALOR</v>
      </c>
      <c r="J5105" s="19"/>
      <c r="L5105" s="21">
        <v>0</v>
      </c>
      <c r="M5105" s="22"/>
      <c r="N5105" s="21">
        <v>0</v>
      </c>
      <c r="O5105" s="22"/>
    </row>
    <row r="5106" ht="25.5">
      <c r="A5106" t="s">
        <v>5091</v>
      </c>
      <c r="B5106" s="19">
        <v>94631</v>
      </c>
      <c r="C5106" s="20" t="s">
        <v>5212</v>
      </c>
      <c r="D5106" s="19" t="s">
        <v>31</v>
      </c>
      <c r="E5106" s="21" t="str">
        <f t="shared" si="236"/>
        <v>VERIFICAR</v>
      </c>
      <c r="F5106" s="22">
        <v>0</v>
      </c>
      <c r="G5106" s="21" t="str">
        <f t="shared" si="237"/>
        <v>VERIFICAR</v>
      </c>
      <c r="H5106" s="22">
        <v>0</v>
      </c>
      <c r="I5106" s="23" t="str">
        <f t="shared" si="238"/>
        <v xml:space="preserve">COM VALOR</v>
      </c>
      <c r="J5106" s="19"/>
      <c r="L5106" s="21">
        <v>0</v>
      </c>
      <c r="M5106" s="22"/>
      <c r="N5106" s="21">
        <v>0</v>
      </c>
      <c r="O5106" s="22"/>
    </row>
    <row r="5107" ht="38.25">
      <c r="A5107" t="s">
        <v>5091</v>
      </c>
      <c r="B5107" s="19">
        <v>94632</v>
      </c>
      <c r="C5107" s="20" t="s">
        <v>5213</v>
      </c>
      <c r="D5107" s="19" t="s">
        <v>31</v>
      </c>
      <c r="E5107" s="21" t="str">
        <f t="shared" si="236"/>
        <v>VERIFICAR</v>
      </c>
      <c r="F5107" s="22">
        <v>0</v>
      </c>
      <c r="G5107" s="21" t="str">
        <f t="shared" si="237"/>
        <v>VERIFICAR</v>
      </c>
      <c r="H5107" s="22">
        <v>0</v>
      </c>
      <c r="I5107" s="23" t="str">
        <f t="shared" si="238"/>
        <v xml:space="preserve">COM VALOR</v>
      </c>
      <c r="J5107" s="19"/>
      <c r="L5107" s="21">
        <v>0</v>
      </c>
      <c r="M5107" s="22"/>
      <c r="N5107" s="21">
        <v>0</v>
      </c>
      <c r="O5107" s="22"/>
    </row>
    <row r="5108" ht="25.5">
      <c r="A5108" t="s">
        <v>5091</v>
      </c>
      <c r="B5108" s="19">
        <v>94633</v>
      </c>
      <c r="C5108" s="20" t="s">
        <v>5214</v>
      </c>
      <c r="D5108" s="19" t="s">
        <v>31</v>
      </c>
      <c r="E5108" s="21" t="str">
        <f t="shared" si="236"/>
        <v>VERIFICAR</v>
      </c>
      <c r="F5108" s="22">
        <v>0</v>
      </c>
      <c r="G5108" s="21" t="str">
        <f t="shared" si="237"/>
        <v>VERIFICAR</v>
      </c>
      <c r="H5108" s="22">
        <v>0</v>
      </c>
      <c r="I5108" s="23" t="str">
        <f t="shared" si="238"/>
        <v xml:space="preserve">COM VALOR</v>
      </c>
      <c r="J5108" s="19"/>
      <c r="L5108" s="21">
        <v>0</v>
      </c>
      <c r="M5108" s="22"/>
      <c r="N5108" s="21">
        <v>0</v>
      </c>
      <c r="O5108" s="22"/>
    </row>
    <row r="5109" ht="38.25">
      <c r="A5109" t="s">
        <v>5091</v>
      </c>
      <c r="B5109" s="19">
        <v>94672</v>
      </c>
      <c r="C5109" s="20" t="s">
        <v>5215</v>
      </c>
      <c r="D5109" s="19" t="s">
        <v>31</v>
      </c>
      <c r="E5109" s="21">
        <f t="shared" si="236"/>
        <v>6.1299999999999999</v>
      </c>
      <c r="F5109" s="22">
        <v>0</v>
      </c>
      <c r="G5109" s="21">
        <f t="shared" si="237"/>
        <v>5.9699999999999998</v>
      </c>
      <c r="H5109" s="22">
        <v>0</v>
      </c>
      <c r="I5109" s="23" t="str">
        <f t="shared" si="238"/>
        <v xml:space="preserve">COM VALOR</v>
      </c>
      <c r="J5109" s="19"/>
      <c r="L5109" s="21">
        <v>6.1299999999999999</v>
      </c>
      <c r="M5109" s="22">
        <v>0</v>
      </c>
      <c r="N5109" s="21">
        <v>5.9699999999999998</v>
      </c>
      <c r="O5109" s="22">
        <v>0</v>
      </c>
    </row>
    <row r="5110" ht="38.25">
      <c r="A5110" t="s">
        <v>5091</v>
      </c>
      <c r="B5110" s="19">
        <v>94754</v>
      </c>
      <c r="C5110" s="20" t="s">
        <v>5216</v>
      </c>
      <c r="D5110" s="19" t="s">
        <v>31</v>
      </c>
      <c r="E5110" s="21">
        <f t="shared" si="236"/>
        <v>314.06</v>
      </c>
      <c r="F5110" s="22">
        <v>0.85999999999999999</v>
      </c>
      <c r="G5110" s="21">
        <f t="shared" si="237"/>
        <v>312.32999999999998</v>
      </c>
      <c r="H5110" s="22">
        <v>0.87</v>
      </c>
      <c r="I5110" s="23" t="str">
        <f t="shared" si="238"/>
        <v xml:space="preserve">COM VALOR</v>
      </c>
      <c r="J5110" s="19"/>
      <c r="L5110" s="21">
        <v>314.06</v>
      </c>
      <c r="M5110" s="22">
        <v>0</v>
      </c>
      <c r="N5110" s="21">
        <v>312.32999999999998</v>
      </c>
      <c r="O5110" s="22">
        <v>0</v>
      </c>
    </row>
    <row r="5111" ht="38.25">
      <c r="A5111" t="s">
        <v>5091</v>
      </c>
      <c r="B5111" s="19">
        <v>94740</v>
      </c>
      <c r="C5111" s="20" t="s">
        <v>5217</v>
      </c>
      <c r="D5111" s="19" t="s">
        <v>31</v>
      </c>
      <c r="E5111" s="21">
        <f t="shared" si="236"/>
        <v>10.68</v>
      </c>
      <c r="F5111" s="22">
        <v>0.34999999999999998</v>
      </c>
      <c r="G5111" s="21">
        <f t="shared" si="237"/>
        <v>10.52</v>
      </c>
      <c r="H5111" s="22">
        <v>0.37</v>
      </c>
      <c r="I5111" s="23" t="str">
        <f t="shared" si="238"/>
        <v xml:space="preserve">COM VALOR</v>
      </c>
      <c r="J5111" s="19"/>
      <c r="L5111" s="21">
        <v>10.68</v>
      </c>
      <c r="M5111" s="22">
        <v>0</v>
      </c>
      <c r="N5111" s="21">
        <v>10.52</v>
      </c>
      <c r="O5111" s="22">
        <v>0</v>
      </c>
    </row>
    <row r="5112" ht="38.25">
      <c r="A5112" t="s">
        <v>5091</v>
      </c>
      <c r="B5112" s="19">
        <v>94742</v>
      </c>
      <c r="C5112" s="20" t="s">
        <v>5218</v>
      </c>
      <c r="D5112" s="19" t="s">
        <v>31</v>
      </c>
      <c r="E5112" s="21">
        <f t="shared" si="236"/>
        <v>17.940000000000001</v>
      </c>
      <c r="F5112" s="22">
        <v>0.29999999999999999</v>
      </c>
      <c r="G5112" s="21">
        <f t="shared" si="237"/>
        <v>17.760000000000002</v>
      </c>
      <c r="H5112" s="22">
        <v>0.31</v>
      </c>
      <c r="I5112" s="23" t="str">
        <f t="shared" si="238"/>
        <v xml:space="preserve">COM VALOR</v>
      </c>
      <c r="J5112" s="19"/>
      <c r="L5112" s="21">
        <v>17.940000000000001</v>
      </c>
      <c r="M5112" s="22">
        <v>0</v>
      </c>
      <c r="N5112" s="21">
        <v>17.760000000000002</v>
      </c>
      <c r="O5112" s="22">
        <v>0</v>
      </c>
    </row>
    <row r="5113" ht="38.25">
      <c r="A5113" t="s">
        <v>5091</v>
      </c>
      <c r="B5113" s="19">
        <v>94744</v>
      </c>
      <c r="C5113" s="20" t="s">
        <v>5219</v>
      </c>
      <c r="D5113" s="19" t="s">
        <v>31</v>
      </c>
      <c r="E5113" s="21">
        <f t="shared" si="236"/>
        <v>28.440000000000001</v>
      </c>
      <c r="F5113" s="22">
        <v>0.46999999999999997</v>
      </c>
      <c r="G5113" s="21">
        <f t="shared" si="237"/>
        <v>28.199999999999999</v>
      </c>
      <c r="H5113" s="22">
        <v>0.48999999999999999</v>
      </c>
      <c r="I5113" s="23" t="str">
        <f t="shared" si="238"/>
        <v xml:space="preserve">COM VALOR</v>
      </c>
      <c r="J5113" s="19"/>
      <c r="L5113" s="21">
        <v>28.440000000000001</v>
      </c>
      <c r="M5113" s="22">
        <v>0</v>
      </c>
      <c r="N5113" s="21">
        <v>28.199999999999999</v>
      </c>
      <c r="O5113" s="22">
        <v>0</v>
      </c>
    </row>
    <row r="5114" ht="38.25">
      <c r="A5114" t="s">
        <v>5091</v>
      </c>
      <c r="B5114" s="19">
        <v>94746</v>
      </c>
      <c r="C5114" s="20" t="s">
        <v>5220</v>
      </c>
      <c r="D5114" s="19" t="s">
        <v>31</v>
      </c>
      <c r="E5114" s="21">
        <f t="shared" si="236"/>
        <v>40.909999999999997</v>
      </c>
      <c r="F5114" s="22">
        <v>0.57999999999999996</v>
      </c>
      <c r="G5114" s="21">
        <f t="shared" si="237"/>
        <v>40.609999999999999</v>
      </c>
      <c r="H5114" s="22">
        <v>0.59999999999999998</v>
      </c>
      <c r="I5114" s="23" t="str">
        <f t="shared" si="238"/>
        <v xml:space="preserve">COM VALOR</v>
      </c>
      <c r="J5114" s="19"/>
      <c r="L5114" s="21">
        <v>40.909999999999997</v>
      </c>
      <c r="M5114" s="22">
        <v>0</v>
      </c>
      <c r="N5114" s="21">
        <v>40.609999999999999</v>
      </c>
      <c r="O5114" s="22">
        <v>0</v>
      </c>
    </row>
    <row r="5115" ht="38.25">
      <c r="A5115" t="s">
        <v>5091</v>
      </c>
      <c r="B5115" s="19">
        <v>94748</v>
      </c>
      <c r="C5115" s="20" t="s">
        <v>5221</v>
      </c>
      <c r="D5115" s="19" t="s">
        <v>31</v>
      </c>
      <c r="E5115" s="21">
        <f t="shared" si="236"/>
        <v>90.390000000000001</v>
      </c>
      <c r="F5115" s="22">
        <v>0.68000000000000005</v>
      </c>
      <c r="G5115" s="21">
        <f t="shared" si="237"/>
        <v>89.939999999999998</v>
      </c>
      <c r="H5115" s="22">
        <v>0.68999999999999995</v>
      </c>
      <c r="I5115" s="23" t="str">
        <f t="shared" si="238"/>
        <v xml:space="preserve">COM VALOR</v>
      </c>
      <c r="J5115" s="19"/>
      <c r="L5115" s="21">
        <v>90.390000000000001</v>
      </c>
      <c r="M5115" s="22">
        <v>0</v>
      </c>
      <c r="N5115" s="21">
        <v>89.939999999999998</v>
      </c>
      <c r="O5115" s="22">
        <v>0</v>
      </c>
    </row>
    <row r="5116" ht="38.25">
      <c r="A5116" t="s">
        <v>5091</v>
      </c>
      <c r="B5116" s="19">
        <v>94750</v>
      </c>
      <c r="C5116" s="20" t="s">
        <v>5222</v>
      </c>
      <c r="D5116" s="19" t="s">
        <v>31</v>
      </c>
      <c r="E5116" s="21">
        <f t="shared" si="236"/>
        <v>182.93000000000001</v>
      </c>
      <c r="F5116" s="22">
        <v>0.70999999999999996</v>
      </c>
      <c r="G5116" s="21">
        <f t="shared" si="237"/>
        <v>182.16</v>
      </c>
      <c r="H5116" s="22">
        <v>0.72999999999999998</v>
      </c>
      <c r="I5116" s="23" t="str">
        <f t="shared" si="238"/>
        <v xml:space="preserve">COM VALOR</v>
      </c>
      <c r="J5116" s="19"/>
      <c r="L5116" s="21">
        <v>182.93000000000001</v>
      </c>
      <c r="M5116" s="22">
        <v>0</v>
      </c>
      <c r="N5116" s="21">
        <v>182.16</v>
      </c>
      <c r="O5116" s="22">
        <v>0</v>
      </c>
    </row>
    <row r="5117" ht="38.25">
      <c r="A5117" t="s">
        <v>5091</v>
      </c>
      <c r="B5117" s="19">
        <v>94752</v>
      </c>
      <c r="C5117" s="20" t="s">
        <v>5223</v>
      </c>
      <c r="D5117" s="19" t="s">
        <v>31</v>
      </c>
      <c r="E5117" s="21">
        <f t="shared" si="236"/>
        <v>219.50999999999999</v>
      </c>
      <c r="F5117" s="22">
        <v>0.80000000000000004</v>
      </c>
      <c r="G5117" s="21">
        <f t="shared" si="237"/>
        <v>218.41</v>
      </c>
      <c r="H5117" s="22">
        <v>0.81999999999999995</v>
      </c>
      <c r="I5117" s="23" t="str">
        <f t="shared" si="238"/>
        <v xml:space="preserve">COM VALOR</v>
      </c>
      <c r="J5117" s="19"/>
      <c r="L5117" s="21">
        <v>219.50999999999999</v>
      </c>
      <c r="M5117" s="22">
        <v>0</v>
      </c>
      <c r="N5117" s="21">
        <v>218.41</v>
      </c>
      <c r="O5117" s="22">
        <v>0</v>
      </c>
    </row>
    <row r="5118" ht="25.5">
      <c r="A5118" t="s">
        <v>5091</v>
      </c>
      <c r="B5118" s="19">
        <v>96755</v>
      </c>
      <c r="C5118" s="20" t="s">
        <v>5224</v>
      </c>
      <c r="D5118" s="19" t="s">
        <v>31</v>
      </c>
      <c r="E5118" s="21">
        <f t="shared" si="236"/>
        <v>371.85000000000002</v>
      </c>
      <c r="F5118" s="22">
        <v>0.81000000000000005</v>
      </c>
      <c r="G5118" s="21">
        <f t="shared" si="237"/>
        <v>370.06999999999999</v>
      </c>
      <c r="H5118" s="22">
        <v>0.81999999999999995</v>
      </c>
      <c r="I5118" s="23" t="str">
        <f t="shared" si="238"/>
        <v xml:space="preserve">COM VALOR</v>
      </c>
      <c r="J5118" s="19"/>
      <c r="L5118" s="21">
        <v>371.85000000000002</v>
      </c>
      <c r="M5118" s="22">
        <v>0.91000000000000003</v>
      </c>
      <c r="N5118" s="21">
        <v>370.06999999999999</v>
      </c>
      <c r="O5118" s="22">
        <v>0.92000000000000004</v>
      </c>
    </row>
    <row r="5119" ht="25.5">
      <c r="A5119" t="s">
        <v>5091</v>
      </c>
      <c r="B5119" s="19">
        <v>96747</v>
      </c>
      <c r="C5119" s="20" t="s">
        <v>5225</v>
      </c>
      <c r="D5119" s="19" t="s">
        <v>31</v>
      </c>
      <c r="E5119" s="21">
        <f t="shared" si="236"/>
        <v>7.2800000000000002</v>
      </c>
      <c r="F5119" s="22">
        <v>0</v>
      </c>
      <c r="G5119" s="21">
        <f t="shared" si="237"/>
        <v>7</v>
      </c>
      <c r="H5119" s="22">
        <v>0</v>
      </c>
      <c r="I5119" s="23" t="str">
        <f t="shared" si="238"/>
        <v xml:space="preserve">COM VALOR</v>
      </c>
      <c r="J5119" s="19"/>
      <c r="L5119" s="21">
        <v>7.2800000000000002</v>
      </c>
      <c r="M5119" s="22">
        <v>0.28999999999999998</v>
      </c>
      <c r="N5119" s="21">
        <v>7</v>
      </c>
      <c r="O5119" s="22">
        <v>0.29999999999999999</v>
      </c>
    </row>
    <row r="5120" ht="25.5">
      <c r="A5120" t="s">
        <v>5091</v>
      </c>
      <c r="B5120" s="19">
        <v>96748</v>
      </c>
      <c r="C5120" s="20" t="s">
        <v>5226</v>
      </c>
      <c r="D5120" s="19" t="s">
        <v>31</v>
      </c>
      <c r="E5120" s="21">
        <f t="shared" si="236"/>
        <v>8.5299999999999994</v>
      </c>
      <c r="F5120" s="22">
        <v>0</v>
      </c>
      <c r="G5120" s="21">
        <f t="shared" si="237"/>
        <v>8.2100000000000009</v>
      </c>
      <c r="H5120" s="22">
        <v>0</v>
      </c>
      <c r="I5120" s="23" t="str">
        <f t="shared" si="238"/>
        <v xml:space="preserve">COM VALOR</v>
      </c>
      <c r="J5120" s="19"/>
      <c r="L5120" s="21">
        <v>8.5299999999999994</v>
      </c>
      <c r="M5120" s="22">
        <v>0.33000000000000002</v>
      </c>
      <c r="N5120" s="21">
        <v>8.2100000000000009</v>
      </c>
      <c r="O5120" s="22">
        <v>0.34999999999999998</v>
      </c>
    </row>
    <row r="5121" ht="25.5">
      <c r="A5121" t="s">
        <v>5091</v>
      </c>
      <c r="B5121" s="19">
        <v>96749</v>
      </c>
      <c r="C5121" s="20" t="s">
        <v>5227</v>
      </c>
      <c r="D5121" s="19" t="s">
        <v>31</v>
      </c>
      <c r="E5121" s="21">
        <f t="shared" si="236"/>
        <v>10.93</v>
      </c>
      <c r="F5121" s="22">
        <v>0</v>
      </c>
      <c r="G5121" s="21">
        <f t="shared" si="237"/>
        <v>10.56</v>
      </c>
      <c r="H5121" s="22">
        <v>0</v>
      </c>
      <c r="I5121" s="23" t="str">
        <f t="shared" si="238"/>
        <v xml:space="preserve">COM VALOR</v>
      </c>
      <c r="J5121" s="19"/>
      <c r="L5121" s="21">
        <v>10.93</v>
      </c>
      <c r="M5121" s="22">
        <v>0.40000000000000002</v>
      </c>
      <c r="N5121" s="21">
        <v>10.56</v>
      </c>
      <c r="O5121" s="22">
        <v>0.40999999999999998</v>
      </c>
    </row>
    <row r="5122" ht="25.5">
      <c r="A5122" t="s">
        <v>5091</v>
      </c>
      <c r="B5122" s="19">
        <v>96750</v>
      </c>
      <c r="C5122" s="20" t="s">
        <v>5228</v>
      </c>
      <c r="D5122" s="19" t="s">
        <v>31</v>
      </c>
      <c r="E5122" s="21">
        <f t="shared" si="236"/>
        <v>17.670000000000002</v>
      </c>
      <c r="F5122" s="22">
        <v>0</v>
      </c>
      <c r="G5122" s="21">
        <f t="shared" si="237"/>
        <v>17.23</v>
      </c>
      <c r="H5122" s="22">
        <v>0</v>
      </c>
      <c r="I5122" s="23" t="str">
        <f t="shared" si="238"/>
        <v xml:space="preserve">COM VALOR</v>
      </c>
      <c r="J5122" s="19"/>
      <c r="L5122" s="21">
        <v>17.670000000000002</v>
      </c>
      <c r="M5122" s="22">
        <v>0.55000000000000004</v>
      </c>
      <c r="N5122" s="21">
        <v>17.23</v>
      </c>
      <c r="O5122" s="22">
        <v>0.56999999999999995</v>
      </c>
    </row>
    <row r="5123" ht="25.5">
      <c r="A5123" t="s">
        <v>5091</v>
      </c>
      <c r="B5123" s="19">
        <v>96751</v>
      </c>
      <c r="C5123" s="20" t="s">
        <v>5229</v>
      </c>
      <c r="D5123" s="19" t="s">
        <v>31</v>
      </c>
      <c r="E5123" s="21">
        <f t="shared" si="236"/>
        <v>26.140000000000001</v>
      </c>
      <c r="F5123" s="22">
        <v>0</v>
      </c>
      <c r="G5123" s="21">
        <f t="shared" si="237"/>
        <v>25.579999999999998</v>
      </c>
      <c r="H5123" s="22">
        <v>0</v>
      </c>
      <c r="I5123" s="23" t="str">
        <f t="shared" si="238"/>
        <v xml:space="preserve">COM VALOR</v>
      </c>
      <c r="J5123" s="19"/>
      <c r="L5123" s="21">
        <v>26.140000000000001</v>
      </c>
      <c r="M5123" s="22">
        <v>0.62</v>
      </c>
      <c r="N5123" s="21">
        <v>25.579999999999998</v>
      </c>
      <c r="O5123" s="22">
        <v>0.63</v>
      </c>
    </row>
    <row r="5124" ht="25.5">
      <c r="A5124" t="s">
        <v>5091</v>
      </c>
      <c r="B5124" s="19">
        <v>96752</v>
      </c>
      <c r="C5124" s="20" t="s">
        <v>5230</v>
      </c>
      <c r="D5124" s="19" t="s">
        <v>31</v>
      </c>
      <c r="E5124" s="21">
        <f t="shared" si="236"/>
        <v>39.539999999999999</v>
      </c>
      <c r="F5124" s="22">
        <v>0</v>
      </c>
      <c r="G5124" s="21">
        <f t="shared" si="237"/>
        <v>38.810000000000002</v>
      </c>
      <c r="H5124" s="22">
        <v>0</v>
      </c>
      <c r="I5124" s="23" t="str">
        <f t="shared" si="238"/>
        <v xml:space="preserve">COM VALOR</v>
      </c>
      <c r="J5124" s="19"/>
      <c r="L5124" s="21">
        <v>39.539999999999999</v>
      </c>
      <c r="M5124" s="22">
        <v>0.67000000000000004</v>
      </c>
      <c r="N5124" s="21">
        <v>38.810000000000002</v>
      </c>
      <c r="O5124" s="22">
        <v>0.68000000000000005</v>
      </c>
    </row>
    <row r="5125" ht="25.5">
      <c r="A5125" t="s">
        <v>5091</v>
      </c>
      <c r="B5125" s="19">
        <v>96753</v>
      </c>
      <c r="C5125" s="20" t="s">
        <v>5231</v>
      </c>
      <c r="D5125" s="19" t="s">
        <v>31</v>
      </c>
      <c r="E5125" s="21">
        <f t="shared" si="236"/>
        <v>93.340000000000003</v>
      </c>
      <c r="F5125" s="22">
        <v>0</v>
      </c>
      <c r="G5125" s="21">
        <f t="shared" si="237"/>
        <v>92.390000000000001</v>
      </c>
      <c r="H5125" s="22">
        <v>0</v>
      </c>
      <c r="I5125" s="23" t="str">
        <f t="shared" si="238"/>
        <v xml:space="preserve">COM VALOR</v>
      </c>
      <c r="J5125" s="19"/>
      <c r="L5125" s="21">
        <v>93.340000000000003</v>
      </c>
      <c r="M5125" s="22">
        <v>0.81999999999999995</v>
      </c>
      <c r="N5125" s="21">
        <v>92.390000000000001</v>
      </c>
      <c r="O5125" s="22">
        <v>0.82999999999999996</v>
      </c>
    </row>
    <row r="5126" ht="25.5">
      <c r="A5126" t="s">
        <v>5091</v>
      </c>
      <c r="B5126" s="19">
        <v>96754</v>
      </c>
      <c r="C5126" s="20" t="s">
        <v>5232</v>
      </c>
      <c r="D5126" s="19" t="s">
        <v>31</v>
      </c>
      <c r="E5126" s="21">
        <f t="shared" si="236"/>
        <v>119.63</v>
      </c>
      <c r="F5126" s="22">
        <v>0</v>
      </c>
      <c r="G5126" s="21">
        <f t="shared" si="237"/>
        <v>118.36</v>
      </c>
      <c r="H5126" s="22">
        <v>0</v>
      </c>
      <c r="I5126" s="23" t="str">
        <f t="shared" si="238"/>
        <v xml:space="preserve">COM VALOR</v>
      </c>
      <c r="J5126" s="19"/>
      <c r="L5126" s="21">
        <v>119.63</v>
      </c>
      <c r="M5126" s="22">
        <v>0.81000000000000005</v>
      </c>
      <c r="N5126" s="21">
        <v>118.36</v>
      </c>
      <c r="O5126" s="22">
        <v>0.81999999999999995</v>
      </c>
    </row>
    <row r="5127" ht="38.25">
      <c r="A5127" t="s">
        <v>5091</v>
      </c>
      <c r="B5127" s="19">
        <v>94686</v>
      </c>
      <c r="C5127" s="20" t="s">
        <v>5233</v>
      </c>
      <c r="D5127" s="19" t="s">
        <v>31</v>
      </c>
      <c r="E5127" s="21">
        <f t="shared" si="236"/>
        <v>254.99000000000001</v>
      </c>
      <c r="F5127" s="22">
        <v>0.68000000000000005</v>
      </c>
      <c r="G5127" s="21">
        <f t="shared" si="237"/>
        <v>253.36000000000001</v>
      </c>
      <c r="H5127" s="22">
        <v>0.69999999999999996</v>
      </c>
      <c r="I5127" s="23" t="str">
        <f t="shared" si="238"/>
        <v xml:space="preserve">COM VALOR</v>
      </c>
      <c r="J5127" s="19"/>
      <c r="L5127" s="21">
        <v>254.99000000000001</v>
      </c>
      <c r="M5127" s="22">
        <v>0</v>
      </c>
      <c r="N5127" s="21">
        <v>253.36000000000001</v>
      </c>
      <c r="O5127" s="22">
        <v>0</v>
      </c>
    </row>
    <row r="5128" ht="38.25">
      <c r="A5128" t="s">
        <v>5091</v>
      </c>
      <c r="B5128" s="19">
        <v>94674</v>
      </c>
      <c r="C5128" s="20" t="s">
        <v>5234</v>
      </c>
      <c r="D5128" s="19" t="s">
        <v>31</v>
      </c>
      <c r="E5128" s="21">
        <f t="shared" si="236"/>
        <v>8.0299999999999994</v>
      </c>
      <c r="F5128" s="22"/>
      <c r="G5128" s="21">
        <f t="shared" si="237"/>
        <v>7.8099999999999996</v>
      </c>
      <c r="H5128" s="22"/>
      <c r="I5128" s="23" t="str">
        <f t="shared" si="238"/>
        <v xml:space="preserve">COM VALOR</v>
      </c>
      <c r="J5128" s="19"/>
      <c r="L5128" s="21">
        <v>8.0299999999999994</v>
      </c>
      <c r="M5128" s="22">
        <v>0</v>
      </c>
      <c r="N5128" s="21">
        <v>7.8099999999999996</v>
      </c>
      <c r="O5128" s="22">
        <v>0</v>
      </c>
    </row>
    <row r="5129" ht="38.25">
      <c r="A5129" t="s">
        <v>5091</v>
      </c>
      <c r="B5129" s="19">
        <v>94676</v>
      </c>
      <c r="C5129" s="20" t="s">
        <v>5235</v>
      </c>
      <c r="D5129" s="19" t="s">
        <v>31</v>
      </c>
      <c r="E5129" s="21">
        <f t="shared" si="236"/>
        <v>13.4</v>
      </c>
      <c r="F5129" s="22"/>
      <c r="G5129" s="21">
        <f t="shared" si="237"/>
        <v>13.109999999999999</v>
      </c>
      <c r="H5129" s="22"/>
      <c r="I5129" s="23" t="str">
        <f t="shared" si="238"/>
        <v xml:space="preserve">COM VALOR</v>
      </c>
      <c r="J5129" s="19"/>
      <c r="L5129" s="21">
        <v>13.4</v>
      </c>
      <c r="M5129" s="22">
        <v>0</v>
      </c>
      <c r="N5129" s="21">
        <v>13.109999999999999</v>
      </c>
      <c r="O5129" s="22">
        <v>0</v>
      </c>
    </row>
    <row r="5130" ht="38.25">
      <c r="A5130" t="s">
        <v>5091</v>
      </c>
      <c r="B5130" s="19">
        <v>94678</v>
      </c>
      <c r="C5130" s="20" t="s">
        <v>5236</v>
      </c>
      <c r="D5130" s="19" t="s">
        <v>31</v>
      </c>
      <c r="E5130" s="21">
        <f t="shared" si="236"/>
        <v>15.539999999999999</v>
      </c>
      <c r="F5130" s="22"/>
      <c r="G5130" s="21">
        <f t="shared" si="237"/>
        <v>15.130000000000001</v>
      </c>
      <c r="H5130" s="22"/>
      <c r="I5130" s="23" t="str">
        <f t="shared" si="238"/>
        <v xml:space="preserve">COM VALOR</v>
      </c>
      <c r="J5130" s="19"/>
      <c r="L5130" s="21">
        <v>15.539999999999999</v>
      </c>
      <c r="M5130" s="22">
        <v>0</v>
      </c>
      <c r="N5130" s="21">
        <v>15.130000000000001</v>
      </c>
      <c r="O5130" s="22">
        <v>0</v>
      </c>
    </row>
    <row r="5131" ht="38.25">
      <c r="A5131" t="s">
        <v>5091</v>
      </c>
      <c r="B5131" s="19">
        <v>94680</v>
      </c>
      <c r="C5131" s="20" t="s">
        <v>5237</v>
      </c>
      <c r="D5131" s="19" t="s">
        <v>31</v>
      </c>
      <c r="E5131" s="21">
        <f t="shared" ref="E5131:E5194" si="239">IF(L5131=0,"VERIFICAR",L5131)</f>
        <v>44.049999999999997</v>
      </c>
      <c r="F5131" s="22"/>
      <c r="G5131" s="21">
        <f t="shared" ref="G5131:G5194" si="240">IF(N5131=0,"VERIFICAR",N5131)</f>
        <v>43.509999999999998</v>
      </c>
      <c r="H5131" s="22"/>
      <c r="I5131" s="23" t="str">
        <f t="shared" ref="I5131:I5194" si="241">IF(OR(E5131=0,G5131=0),"SEM VALOR","COM VALOR")</f>
        <v xml:space="preserve">COM VALOR</v>
      </c>
      <c r="J5131" s="19"/>
      <c r="L5131" s="21">
        <v>44.049999999999997</v>
      </c>
      <c r="M5131" s="22">
        <v>0</v>
      </c>
      <c r="N5131" s="21">
        <v>43.509999999999998</v>
      </c>
      <c r="O5131" s="22">
        <v>0</v>
      </c>
    </row>
    <row r="5132" ht="38.25">
      <c r="A5132" t="s">
        <v>5091</v>
      </c>
      <c r="B5132" s="19">
        <v>94682</v>
      </c>
      <c r="C5132" s="20" t="s">
        <v>5238</v>
      </c>
      <c r="D5132" s="19" t="s">
        <v>31</v>
      </c>
      <c r="E5132" s="21">
        <f t="shared" si="239"/>
        <v>109.54000000000001</v>
      </c>
      <c r="F5132" s="22">
        <v>0.56000000000000005</v>
      </c>
      <c r="G5132" s="21">
        <f t="shared" si="240"/>
        <v>108.73999999999999</v>
      </c>
      <c r="H5132" s="22">
        <v>0.57999999999999996</v>
      </c>
      <c r="I5132" s="23" t="str">
        <f t="shared" si="241"/>
        <v xml:space="preserve">COM VALOR</v>
      </c>
      <c r="J5132" s="19"/>
      <c r="L5132" s="21">
        <v>109.54000000000001</v>
      </c>
      <c r="M5132" s="22">
        <v>0</v>
      </c>
      <c r="N5132" s="21">
        <v>108.73999999999999</v>
      </c>
      <c r="O5132" s="22">
        <v>0</v>
      </c>
    </row>
    <row r="5133" ht="38.25">
      <c r="A5133" t="s">
        <v>5091</v>
      </c>
      <c r="B5133" s="19">
        <v>94684</v>
      </c>
      <c r="C5133" s="20" t="s">
        <v>5239</v>
      </c>
      <c r="D5133" s="19" t="s">
        <v>31</v>
      </c>
      <c r="E5133" s="21">
        <f t="shared" si="239"/>
        <v>132.15000000000001</v>
      </c>
      <c r="F5133" s="22">
        <v>0.55000000000000004</v>
      </c>
      <c r="G5133" s="21">
        <f t="shared" si="240"/>
        <v>131.15000000000001</v>
      </c>
      <c r="H5133" s="22">
        <v>0.56999999999999995</v>
      </c>
      <c r="I5133" s="23" t="str">
        <f t="shared" si="241"/>
        <v xml:space="preserve">COM VALOR</v>
      </c>
      <c r="J5133" s="19"/>
      <c r="L5133" s="21">
        <v>132.15000000000001</v>
      </c>
      <c r="M5133" s="22">
        <v>0</v>
      </c>
      <c r="N5133" s="21">
        <v>131.15000000000001</v>
      </c>
      <c r="O5133" s="22">
        <v>0</v>
      </c>
    </row>
    <row r="5134" ht="38.25">
      <c r="A5134" t="s">
        <v>5091</v>
      </c>
      <c r="B5134" s="19">
        <v>105219</v>
      </c>
      <c r="C5134" s="20" t="s">
        <v>5240</v>
      </c>
      <c r="D5134" s="19" t="s">
        <v>31</v>
      </c>
      <c r="E5134" s="21">
        <f t="shared" si="239"/>
        <v>12.5</v>
      </c>
      <c r="F5134" s="22">
        <v>0.56000000000000005</v>
      </c>
      <c r="G5134" s="21">
        <f t="shared" si="240"/>
        <v>12.34</v>
      </c>
      <c r="H5134" s="22">
        <v>0.57999999999999996</v>
      </c>
      <c r="I5134" s="23" t="str">
        <f t="shared" si="241"/>
        <v xml:space="preserve">COM VALOR</v>
      </c>
      <c r="J5134" s="19"/>
      <c r="L5134" s="21">
        <v>12.5</v>
      </c>
      <c r="M5134" s="22">
        <v>0</v>
      </c>
      <c r="N5134" s="21">
        <v>12.34</v>
      </c>
      <c r="O5134" s="22">
        <v>0</v>
      </c>
    </row>
    <row r="5135" ht="38.25">
      <c r="A5135" t="s">
        <v>5091</v>
      </c>
      <c r="B5135" s="19">
        <v>105220</v>
      </c>
      <c r="C5135" s="20" t="s">
        <v>5241</v>
      </c>
      <c r="D5135" s="19" t="s">
        <v>31</v>
      </c>
      <c r="E5135" s="21">
        <f t="shared" si="239"/>
        <v>17.190000000000001</v>
      </c>
      <c r="F5135" s="22">
        <v>0.66000000000000003</v>
      </c>
      <c r="G5135" s="21">
        <f t="shared" si="240"/>
        <v>17.010000000000002</v>
      </c>
      <c r="H5135" s="22">
        <v>0.68000000000000005</v>
      </c>
      <c r="I5135" s="23" t="str">
        <f t="shared" si="241"/>
        <v xml:space="preserve">COM VALOR</v>
      </c>
      <c r="J5135" s="19"/>
      <c r="L5135" s="21">
        <v>17.190000000000001</v>
      </c>
      <c r="M5135" s="22">
        <v>0</v>
      </c>
      <c r="N5135" s="21">
        <v>17.010000000000002</v>
      </c>
      <c r="O5135" s="22">
        <v>0</v>
      </c>
    </row>
    <row r="5136" ht="38.25">
      <c r="A5136" t="s">
        <v>5091</v>
      </c>
      <c r="B5136" s="19">
        <v>105221</v>
      </c>
      <c r="C5136" s="20" t="s">
        <v>5242</v>
      </c>
      <c r="D5136" s="19" t="s">
        <v>31</v>
      </c>
      <c r="E5136" s="21">
        <f t="shared" si="239"/>
        <v>26.579999999999998</v>
      </c>
      <c r="F5136" s="22">
        <v>0.57999999999999996</v>
      </c>
      <c r="G5136" s="21">
        <f t="shared" si="240"/>
        <v>26.34</v>
      </c>
      <c r="H5136" s="22">
        <v>0.59999999999999998</v>
      </c>
      <c r="I5136" s="23" t="str">
        <f t="shared" si="241"/>
        <v xml:space="preserve">COM VALOR</v>
      </c>
      <c r="J5136" s="19"/>
      <c r="L5136" s="21">
        <v>26.579999999999998</v>
      </c>
      <c r="M5136" s="22">
        <v>0</v>
      </c>
      <c r="N5136" s="21">
        <v>26.34</v>
      </c>
      <c r="O5136" s="22">
        <v>0</v>
      </c>
    </row>
    <row r="5137" ht="38.25">
      <c r="A5137" t="s">
        <v>5091</v>
      </c>
      <c r="B5137" s="19">
        <v>105166</v>
      </c>
      <c r="C5137" s="20" t="s">
        <v>5243</v>
      </c>
      <c r="D5137" s="19" t="s">
        <v>31</v>
      </c>
      <c r="E5137" s="21">
        <f t="shared" si="239"/>
        <v>40.450000000000003</v>
      </c>
      <c r="F5137" s="22">
        <v>0.67000000000000004</v>
      </c>
      <c r="G5137" s="21">
        <f t="shared" si="240"/>
        <v>40.149999999999999</v>
      </c>
      <c r="H5137" s="22">
        <v>0.68000000000000005</v>
      </c>
      <c r="I5137" s="23" t="str">
        <f t="shared" si="241"/>
        <v xml:space="preserve">COM VALOR</v>
      </c>
      <c r="J5137" s="19"/>
      <c r="L5137" s="21">
        <v>40.450000000000003</v>
      </c>
      <c r="M5137" s="22">
        <v>0</v>
      </c>
      <c r="N5137" s="21">
        <v>40.149999999999999</v>
      </c>
      <c r="O5137" s="22">
        <v>0</v>
      </c>
    </row>
    <row r="5138" ht="38.25">
      <c r="A5138" t="s">
        <v>5091</v>
      </c>
      <c r="B5138" s="19">
        <v>105222</v>
      </c>
      <c r="C5138" s="20" t="s">
        <v>5244</v>
      </c>
      <c r="D5138" s="19" t="s">
        <v>31</v>
      </c>
      <c r="E5138" s="21">
        <f t="shared" si="239"/>
        <v>76.829999999999998</v>
      </c>
      <c r="F5138" s="22">
        <v>0.57999999999999996</v>
      </c>
      <c r="G5138" s="21">
        <f t="shared" si="240"/>
        <v>76.379999999999995</v>
      </c>
      <c r="H5138" s="22">
        <v>0.59999999999999998</v>
      </c>
      <c r="I5138" s="23" t="str">
        <f t="shared" si="241"/>
        <v xml:space="preserve">COM VALOR</v>
      </c>
      <c r="J5138" s="19"/>
      <c r="L5138" s="21">
        <v>76.829999999999998</v>
      </c>
      <c r="M5138" s="22">
        <v>0</v>
      </c>
      <c r="N5138" s="21">
        <v>76.379999999999995</v>
      </c>
      <c r="O5138" s="22">
        <v>0</v>
      </c>
    </row>
    <row r="5139" ht="38.25">
      <c r="A5139" t="s">
        <v>5091</v>
      </c>
      <c r="B5139" s="19">
        <v>105223</v>
      </c>
      <c r="C5139" s="20" t="s">
        <v>5245</v>
      </c>
      <c r="D5139" s="19" t="s">
        <v>31</v>
      </c>
      <c r="E5139" s="21">
        <f t="shared" si="239"/>
        <v>176.78999999999999</v>
      </c>
      <c r="F5139" s="22">
        <v>0.59999999999999998</v>
      </c>
      <c r="G5139" s="21">
        <f t="shared" si="240"/>
        <v>176.02000000000001</v>
      </c>
      <c r="H5139" s="22">
        <v>0.62</v>
      </c>
      <c r="I5139" s="23" t="str">
        <f t="shared" si="241"/>
        <v xml:space="preserve">COM VALOR</v>
      </c>
      <c r="J5139" s="19"/>
      <c r="L5139" s="21">
        <v>176.78999999999999</v>
      </c>
      <c r="M5139" s="22">
        <v>0</v>
      </c>
      <c r="N5139" s="21">
        <v>176.02000000000001</v>
      </c>
      <c r="O5139" s="22">
        <v>0</v>
      </c>
    </row>
    <row r="5140" ht="38.25">
      <c r="A5140" t="s">
        <v>5091</v>
      </c>
      <c r="B5140" s="19">
        <v>105224</v>
      </c>
      <c r="C5140" s="20" t="s">
        <v>5246</v>
      </c>
      <c r="D5140" s="19" t="s">
        <v>31</v>
      </c>
      <c r="E5140" s="21">
        <f t="shared" si="239"/>
        <v>257.67000000000002</v>
      </c>
      <c r="F5140" s="22">
        <v>0.64000000000000001</v>
      </c>
      <c r="G5140" s="21">
        <f t="shared" si="240"/>
        <v>256.56999999999999</v>
      </c>
      <c r="H5140" s="22">
        <v>0.66000000000000003</v>
      </c>
      <c r="I5140" s="23" t="str">
        <f t="shared" si="241"/>
        <v xml:space="preserve">COM VALOR</v>
      </c>
      <c r="J5140" s="19"/>
      <c r="L5140" s="21">
        <v>257.67000000000002</v>
      </c>
      <c r="M5140" s="22">
        <v>0</v>
      </c>
      <c r="N5140" s="21">
        <v>256.56999999999999</v>
      </c>
      <c r="O5140" s="22">
        <v>0</v>
      </c>
    </row>
    <row r="5141" ht="38.25">
      <c r="A5141" t="s">
        <v>5091</v>
      </c>
      <c r="B5141" s="19">
        <v>105149</v>
      </c>
      <c r="C5141" s="20" t="s">
        <v>5247</v>
      </c>
      <c r="D5141" s="19" t="s">
        <v>31</v>
      </c>
      <c r="E5141" s="21">
        <f t="shared" si="239"/>
        <v>7.5499999999999998</v>
      </c>
      <c r="F5141" s="22">
        <v>0.69999999999999996</v>
      </c>
      <c r="G5141" s="21">
        <f t="shared" si="240"/>
        <v>7.2699999999999996</v>
      </c>
      <c r="H5141" s="22">
        <v>0.71999999999999997</v>
      </c>
      <c r="I5141" s="23" t="str">
        <f t="shared" si="241"/>
        <v xml:space="preserve">COM VALOR</v>
      </c>
      <c r="J5141" s="19"/>
      <c r="L5141" s="21">
        <v>7.5499999999999998</v>
      </c>
      <c r="M5141" s="22">
        <v>0.32000000000000001</v>
      </c>
      <c r="N5141" s="21">
        <v>7.2699999999999996</v>
      </c>
      <c r="O5141" s="22">
        <v>0.33000000000000002</v>
      </c>
    </row>
    <row r="5142" ht="38.25">
      <c r="A5142" t="s">
        <v>5091</v>
      </c>
      <c r="B5142" s="19">
        <v>105150</v>
      </c>
      <c r="C5142" s="20" t="s">
        <v>5248</v>
      </c>
      <c r="D5142" s="19" t="s">
        <v>31</v>
      </c>
      <c r="E5142" s="21">
        <f t="shared" si="239"/>
        <v>8.9700000000000006</v>
      </c>
      <c r="F5142" s="22"/>
      <c r="G5142" s="21">
        <f t="shared" si="240"/>
        <v>8.6500000000000004</v>
      </c>
      <c r="H5142" s="22"/>
      <c r="I5142" s="23" t="str">
        <f t="shared" si="241"/>
        <v xml:space="preserve">COM VALOR</v>
      </c>
      <c r="J5142" s="19"/>
      <c r="L5142" s="21">
        <v>8.9700000000000006</v>
      </c>
      <c r="M5142" s="22">
        <v>0.37</v>
      </c>
      <c r="N5142" s="21">
        <v>8.6500000000000004</v>
      </c>
      <c r="O5142" s="22">
        <v>0.38</v>
      </c>
    </row>
    <row r="5143" ht="38.25">
      <c r="A5143" t="s">
        <v>5091</v>
      </c>
      <c r="B5143" s="19">
        <v>105151</v>
      </c>
      <c r="C5143" s="20" t="s">
        <v>5249</v>
      </c>
      <c r="D5143" s="19" t="s">
        <v>31</v>
      </c>
      <c r="E5143" s="21">
        <f t="shared" si="239"/>
        <v>23.719999999999999</v>
      </c>
      <c r="F5143" s="22"/>
      <c r="G5143" s="21">
        <f t="shared" si="240"/>
        <v>23.280000000000001</v>
      </c>
      <c r="H5143" s="22"/>
      <c r="I5143" s="23" t="str">
        <f t="shared" si="241"/>
        <v xml:space="preserve">COM VALOR</v>
      </c>
      <c r="J5143" s="19"/>
      <c r="L5143" s="21">
        <v>23.719999999999999</v>
      </c>
      <c r="M5143" s="22">
        <v>0.67000000000000004</v>
      </c>
      <c r="N5143" s="21">
        <v>23.280000000000001</v>
      </c>
      <c r="O5143" s="22">
        <v>0.68000000000000005</v>
      </c>
    </row>
    <row r="5144" ht="38.25">
      <c r="A5144" t="s">
        <v>5091</v>
      </c>
      <c r="B5144" s="19">
        <v>105152</v>
      </c>
      <c r="C5144" s="20" t="s">
        <v>5250</v>
      </c>
      <c r="D5144" s="19" t="s">
        <v>31</v>
      </c>
      <c r="E5144" s="21">
        <f t="shared" si="239"/>
        <v>35.719999999999999</v>
      </c>
      <c r="F5144" s="22"/>
      <c r="G5144" s="21">
        <f t="shared" si="240"/>
        <v>35.159999999999997</v>
      </c>
      <c r="H5144" s="22"/>
      <c r="I5144" s="23" t="str">
        <f t="shared" si="241"/>
        <v xml:space="preserve">COM VALOR</v>
      </c>
      <c r="J5144" s="19"/>
      <c r="L5144" s="21">
        <v>35.719999999999999</v>
      </c>
      <c r="M5144" s="22">
        <v>0.71999999999999997</v>
      </c>
      <c r="N5144" s="21">
        <v>35.159999999999997</v>
      </c>
      <c r="O5144" s="22">
        <v>0.72999999999999998</v>
      </c>
    </row>
    <row r="5145" ht="38.25">
      <c r="A5145" t="s">
        <v>5091</v>
      </c>
      <c r="B5145" s="19">
        <v>105153</v>
      </c>
      <c r="C5145" s="20" t="s">
        <v>5251</v>
      </c>
      <c r="D5145" s="19" t="s">
        <v>31</v>
      </c>
      <c r="E5145" s="21">
        <f t="shared" si="239"/>
        <v>56.630000000000003</v>
      </c>
      <c r="F5145" s="22"/>
      <c r="G5145" s="21">
        <f t="shared" si="240"/>
        <v>55.899999999999999</v>
      </c>
      <c r="H5145" s="22"/>
      <c r="I5145" s="23" t="str">
        <f t="shared" si="241"/>
        <v xml:space="preserve">COM VALOR</v>
      </c>
      <c r="J5145" s="19"/>
      <c r="L5145" s="21">
        <v>56.630000000000003</v>
      </c>
      <c r="M5145" s="22">
        <v>0.77000000000000002</v>
      </c>
      <c r="N5145" s="21">
        <v>55.899999999999999</v>
      </c>
      <c r="O5145" s="22">
        <v>0.78000000000000003</v>
      </c>
    </row>
    <row r="5146" ht="38.25">
      <c r="A5146" t="s">
        <v>5091</v>
      </c>
      <c r="B5146" s="19">
        <v>105161</v>
      </c>
      <c r="C5146" s="20" t="s">
        <v>5252</v>
      </c>
      <c r="D5146" s="19" t="s">
        <v>31</v>
      </c>
      <c r="E5146" s="21">
        <f t="shared" si="239"/>
        <v>103.77</v>
      </c>
      <c r="F5146" s="22"/>
      <c r="G5146" s="21">
        <f t="shared" si="240"/>
        <v>102.81999999999999</v>
      </c>
      <c r="H5146" s="22"/>
      <c r="I5146" s="23" t="str">
        <f t="shared" si="241"/>
        <v xml:space="preserve">COM VALOR</v>
      </c>
      <c r="J5146" s="19"/>
      <c r="L5146" s="21">
        <v>103.77</v>
      </c>
      <c r="M5146" s="22">
        <v>0.83999999999999997</v>
      </c>
      <c r="N5146" s="21">
        <v>102.81999999999999</v>
      </c>
      <c r="O5146" s="22">
        <v>0.83999999999999997</v>
      </c>
    </row>
    <row r="5147" ht="38.25">
      <c r="A5147" t="s">
        <v>5091</v>
      </c>
      <c r="B5147" s="19">
        <v>105162</v>
      </c>
      <c r="C5147" s="20" t="s">
        <v>5253</v>
      </c>
      <c r="D5147" s="19" t="s">
        <v>31</v>
      </c>
      <c r="E5147" s="21">
        <f t="shared" si="239"/>
        <v>178.72</v>
      </c>
      <c r="F5147" s="22"/>
      <c r="G5147" s="21">
        <f t="shared" si="240"/>
        <v>177.44999999999999</v>
      </c>
      <c r="H5147" s="22"/>
      <c r="I5147" s="23" t="str">
        <f t="shared" si="241"/>
        <v xml:space="preserve">COM VALOR</v>
      </c>
      <c r="J5147" s="19"/>
      <c r="L5147" s="21">
        <v>178.72</v>
      </c>
      <c r="M5147" s="22">
        <v>0.87</v>
      </c>
      <c r="N5147" s="21">
        <v>177.44999999999999</v>
      </c>
      <c r="O5147" s="22">
        <v>0.88</v>
      </c>
    </row>
    <row r="5148" ht="38.25">
      <c r="A5148" t="s">
        <v>5091</v>
      </c>
      <c r="B5148" s="19">
        <v>105163</v>
      </c>
      <c r="C5148" s="20" t="s">
        <v>5254</v>
      </c>
      <c r="D5148" s="19" t="s">
        <v>31</v>
      </c>
      <c r="E5148" s="21">
        <f t="shared" si="239"/>
        <v>14.65</v>
      </c>
      <c r="F5148" s="22"/>
      <c r="G5148" s="21">
        <f t="shared" si="240"/>
        <v>14.279999999999999</v>
      </c>
      <c r="H5148" s="22"/>
      <c r="I5148" s="23" t="str">
        <f t="shared" si="241"/>
        <v xml:space="preserve">COM VALOR</v>
      </c>
      <c r="J5148" s="19"/>
      <c r="L5148" s="21">
        <v>14.65</v>
      </c>
      <c r="M5148" s="22">
        <v>0.55000000000000004</v>
      </c>
      <c r="N5148" s="21">
        <v>14.279999999999999</v>
      </c>
      <c r="O5148" s="22">
        <v>0.56999999999999995</v>
      </c>
    </row>
    <row r="5149" ht="38.25">
      <c r="A5149" t="s">
        <v>5091</v>
      </c>
      <c r="B5149" s="19">
        <v>105170</v>
      </c>
      <c r="C5149" s="20" t="s">
        <v>5255</v>
      </c>
      <c r="D5149" s="19" t="s">
        <v>31</v>
      </c>
      <c r="E5149" s="21">
        <f t="shared" si="239"/>
        <v>5.7199999999999998</v>
      </c>
      <c r="F5149" s="22"/>
      <c r="G5149" s="21">
        <f t="shared" si="240"/>
        <v>5.5599999999999996</v>
      </c>
      <c r="H5149" s="22"/>
      <c r="I5149" s="23" t="str">
        <f t="shared" si="241"/>
        <v xml:space="preserve">COM VALOR</v>
      </c>
      <c r="J5149" s="19"/>
      <c r="L5149" s="21">
        <v>5.7199999999999998</v>
      </c>
      <c r="M5149" s="22">
        <v>0</v>
      </c>
      <c r="N5149" s="21">
        <v>5.5599999999999996</v>
      </c>
      <c r="O5149" s="22">
        <v>0</v>
      </c>
    </row>
    <row r="5150" ht="38.25">
      <c r="A5150" t="s">
        <v>5091</v>
      </c>
      <c r="B5150" s="19">
        <v>105179</v>
      </c>
      <c r="C5150" s="20" t="s">
        <v>5256</v>
      </c>
      <c r="D5150" s="19" t="s">
        <v>31</v>
      </c>
      <c r="E5150" s="21">
        <f t="shared" si="239"/>
        <v>9.8200000000000003</v>
      </c>
      <c r="F5150" s="22">
        <v>0.55000000000000004</v>
      </c>
      <c r="G5150" s="21">
        <f t="shared" si="240"/>
        <v>9.5999999999999996</v>
      </c>
      <c r="H5150" s="22">
        <v>0.56000000000000005</v>
      </c>
      <c r="I5150" s="23" t="str">
        <f t="shared" si="241"/>
        <v xml:space="preserve">COM VALOR</v>
      </c>
      <c r="J5150" s="19"/>
      <c r="L5150" s="21">
        <v>9.8200000000000003</v>
      </c>
      <c r="M5150" s="22">
        <v>0</v>
      </c>
      <c r="N5150" s="21">
        <v>9.5999999999999996</v>
      </c>
      <c r="O5150" s="22">
        <v>0</v>
      </c>
    </row>
    <row r="5151" ht="38.25">
      <c r="A5151" t="s">
        <v>5091</v>
      </c>
      <c r="B5151" s="19">
        <v>105180</v>
      </c>
      <c r="C5151" s="20" t="s">
        <v>5257</v>
      </c>
      <c r="D5151" s="19" t="s">
        <v>31</v>
      </c>
      <c r="E5151" s="21">
        <f t="shared" si="239"/>
        <v>13.460000000000001</v>
      </c>
      <c r="F5151" s="22"/>
      <c r="G5151" s="21">
        <f t="shared" si="240"/>
        <v>13.17</v>
      </c>
      <c r="H5151" s="22"/>
      <c r="I5151" s="23" t="str">
        <f t="shared" si="241"/>
        <v xml:space="preserve">COM VALOR</v>
      </c>
      <c r="J5151" s="19"/>
      <c r="L5151" s="21">
        <v>13.460000000000001</v>
      </c>
      <c r="M5151" s="22">
        <v>0</v>
      </c>
      <c r="N5151" s="21">
        <v>13.17</v>
      </c>
      <c r="O5151" s="22">
        <v>0</v>
      </c>
    </row>
    <row r="5152" ht="38.25">
      <c r="A5152" t="s">
        <v>5091</v>
      </c>
      <c r="B5152" s="19">
        <v>105181</v>
      </c>
      <c r="C5152" s="20" t="s">
        <v>5258</v>
      </c>
      <c r="D5152" s="19" t="s">
        <v>31</v>
      </c>
      <c r="E5152" s="21">
        <f t="shared" si="239"/>
        <v>18.129999999999999</v>
      </c>
      <c r="F5152" s="22"/>
      <c r="G5152" s="21">
        <f t="shared" si="240"/>
        <v>17.719999999999999</v>
      </c>
      <c r="H5152" s="22"/>
      <c r="I5152" s="23" t="str">
        <f t="shared" si="241"/>
        <v xml:space="preserve">COM VALOR</v>
      </c>
      <c r="J5152" s="19"/>
      <c r="L5152" s="21">
        <v>18.129999999999999</v>
      </c>
      <c r="M5152" s="22">
        <v>0</v>
      </c>
      <c r="N5152" s="21">
        <v>17.719999999999999</v>
      </c>
      <c r="O5152" s="22">
        <v>0</v>
      </c>
    </row>
    <row r="5153" ht="38.25">
      <c r="A5153" t="s">
        <v>5091</v>
      </c>
      <c r="B5153" s="19">
        <v>105182</v>
      </c>
      <c r="C5153" s="20" t="s">
        <v>5259</v>
      </c>
      <c r="D5153" s="19" t="s">
        <v>31</v>
      </c>
      <c r="E5153" s="21">
        <f t="shared" si="239"/>
        <v>42.229999999999997</v>
      </c>
      <c r="F5153" s="22"/>
      <c r="G5153" s="21">
        <f t="shared" si="240"/>
        <v>41.689999999999998</v>
      </c>
      <c r="H5153" s="22"/>
      <c r="I5153" s="23" t="str">
        <f t="shared" si="241"/>
        <v xml:space="preserve">COM VALOR</v>
      </c>
      <c r="J5153" s="19"/>
      <c r="L5153" s="21">
        <v>42.229999999999997</v>
      </c>
      <c r="M5153" s="22">
        <v>0</v>
      </c>
      <c r="N5153" s="21">
        <v>41.689999999999998</v>
      </c>
      <c r="O5153" s="22">
        <v>0</v>
      </c>
    </row>
    <row r="5154" ht="38.25">
      <c r="A5154" t="s">
        <v>5091</v>
      </c>
      <c r="B5154" s="19">
        <v>105183</v>
      </c>
      <c r="C5154" s="20" t="s">
        <v>5260</v>
      </c>
      <c r="D5154" s="19" t="s">
        <v>31</v>
      </c>
      <c r="E5154" s="21">
        <f t="shared" si="239"/>
        <v>88.519999999999996</v>
      </c>
      <c r="F5154" s="22"/>
      <c r="G5154" s="21">
        <f t="shared" si="240"/>
        <v>87.719999999999999</v>
      </c>
      <c r="H5154" s="22"/>
      <c r="I5154" s="23" t="str">
        <f t="shared" si="241"/>
        <v xml:space="preserve">COM VALOR</v>
      </c>
      <c r="J5154" s="19"/>
      <c r="L5154" s="21">
        <v>88.519999999999996</v>
      </c>
      <c r="M5154" s="22">
        <v>0</v>
      </c>
      <c r="N5154" s="21">
        <v>87.719999999999999</v>
      </c>
      <c r="O5154" s="22">
        <v>0</v>
      </c>
    </row>
    <row r="5155" ht="38.25">
      <c r="A5155" t="s">
        <v>5091</v>
      </c>
      <c r="B5155" s="19">
        <v>105184</v>
      </c>
      <c r="C5155" s="20" t="s">
        <v>5261</v>
      </c>
      <c r="D5155" s="19" t="s">
        <v>31</v>
      </c>
      <c r="E5155" s="21">
        <f t="shared" si="239"/>
        <v>109.65000000000001</v>
      </c>
      <c r="F5155" s="22"/>
      <c r="G5155" s="21">
        <f t="shared" si="240"/>
        <v>108.65000000000001</v>
      </c>
      <c r="H5155" s="22"/>
      <c r="I5155" s="23" t="str">
        <f t="shared" si="241"/>
        <v xml:space="preserve">COM VALOR</v>
      </c>
      <c r="J5155" s="19"/>
      <c r="L5155" s="21">
        <v>109.65000000000001</v>
      </c>
      <c r="M5155" s="22">
        <v>0</v>
      </c>
      <c r="N5155" s="21">
        <v>108.65000000000001</v>
      </c>
      <c r="O5155" s="22">
        <v>0</v>
      </c>
    </row>
    <row r="5156" ht="38.25">
      <c r="A5156" t="s">
        <v>5091</v>
      </c>
      <c r="B5156" s="19">
        <v>94612</v>
      </c>
      <c r="C5156" s="20" t="s">
        <v>5262</v>
      </c>
      <c r="D5156" s="19" t="s">
        <v>31</v>
      </c>
      <c r="E5156" s="21">
        <f t="shared" si="239"/>
        <v>433.85000000000002</v>
      </c>
      <c r="F5156" s="22"/>
      <c r="G5156" s="21">
        <f t="shared" si="240"/>
        <v>432.45999999999998</v>
      </c>
      <c r="H5156" s="22"/>
      <c r="I5156" s="23" t="str">
        <f t="shared" si="241"/>
        <v xml:space="preserve">COM VALOR</v>
      </c>
      <c r="J5156" s="19"/>
      <c r="L5156" s="21">
        <v>433.85000000000002</v>
      </c>
      <c r="M5156" s="22">
        <v>0.93999999999999995</v>
      </c>
      <c r="N5156" s="21">
        <v>432.45999999999998</v>
      </c>
      <c r="O5156" s="22">
        <v>0.94999999999999996</v>
      </c>
    </row>
    <row r="5157" ht="38.25">
      <c r="A5157" t="s">
        <v>5091</v>
      </c>
      <c r="B5157" s="19">
        <v>105142</v>
      </c>
      <c r="C5157" s="20" t="s">
        <v>5263</v>
      </c>
      <c r="D5157" s="19" t="s">
        <v>31</v>
      </c>
      <c r="E5157" s="21">
        <f t="shared" si="239"/>
        <v>6.9500000000000002</v>
      </c>
      <c r="F5157" s="22">
        <v>0.69999999999999996</v>
      </c>
      <c r="G5157" s="21">
        <f t="shared" si="240"/>
        <v>6.8300000000000001</v>
      </c>
      <c r="H5157" s="22">
        <v>0.71999999999999997</v>
      </c>
      <c r="I5157" s="23" t="str">
        <f t="shared" si="241"/>
        <v xml:space="preserve">COM VALOR</v>
      </c>
      <c r="J5157" s="19"/>
      <c r="L5157" s="21">
        <v>6.9500000000000002</v>
      </c>
      <c r="M5157" s="22">
        <v>0</v>
      </c>
      <c r="N5157" s="21">
        <v>6.8300000000000001</v>
      </c>
      <c r="O5157" s="22">
        <v>0</v>
      </c>
    </row>
    <row r="5158" ht="38.25">
      <c r="A5158" t="s">
        <v>5091</v>
      </c>
      <c r="B5158" s="19">
        <v>105143</v>
      </c>
      <c r="C5158" s="20" t="s">
        <v>5264</v>
      </c>
      <c r="D5158" s="19" t="s">
        <v>31</v>
      </c>
      <c r="E5158" s="21">
        <f t="shared" si="239"/>
        <v>10.4</v>
      </c>
      <c r="F5158" s="22">
        <v>0.64000000000000001</v>
      </c>
      <c r="G5158" s="21">
        <f t="shared" si="240"/>
        <v>10.23</v>
      </c>
      <c r="H5158" s="22">
        <v>0.66000000000000003</v>
      </c>
      <c r="I5158" s="23" t="str">
        <f t="shared" si="241"/>
        <v xml:space="preserve">COM VALOR</v>
      </c>
      <c r="J5158" s="19"/>
      <c r="L5158" s="21">
        <v>10.4</v>
      </c>
      <c r="M5158" s="22">
        <v>0</v>
      </c>
      <c r="N5158" s="21">
        <v>10.23</v>
      </c>
      <c r="O5158" s="22">
        <v>0</v>
      </c>
    </row>
    <row r="5159" ht="38.25">
      <c r="A5159" t="s">
        <v>5091</v>
      </c>
      <c r="B5159" s="19">
        <v>105144</v>
      </c>
      <c r="C5159" s="20" t="s">
        <v>5265</v>
      </c>
      <c r="D5159" s="19" t="s">
        <v>31</v>
      </c>
      <c r="E5159" s="21">
        <f t="shared" si="239"/>
        <v>22.059999999999999</v>
      </c>
      <c r="F5159" s="22">
        <v>0.81000000000000005</v>
      </c>
      <c r="G5159" s="21">
        <f t="shared" si="240"/>
        <v>21.75</v>
      </c>
      <c r="H5159" s="22">
        <v>0.81999999999999995</v>
      </c>
      <c r="I5159" s="23" t="str">
        <f t="shared" si="241"/>
        <v xml:space="preserve">COM VALOR</v>
      </c>
      <c r="J5159" s="19"/>
      <c r="L5159" s="21">
        <v>22.059999999999999</v>
      </c>
      <c r="M5159" s="22">
        <v>0</v>
      </c>
      <c r="N5159" s="21">
        <v>21.75</v>
      </c>
      <c r="O5159" s="22">
        <v>0</v>
      </c>
    </row>
    <row r="5160" ht="38.25">
      <c r="A5160" t="s">
        <v>5091</v>
      </c>
      <c r="B5160" s="19">
        <v>105173</v>
      </c>
      <c r="C5160" s="20" t="s">
        <v>5266</v>
      </c>
      <c r="D5160" s="19" t="s">
        <v>31</v>
      </c>
      <c r="E5160" s="21">
        <f t="shared" si="239"/>
        <v>94.819999999999993</v>
      </c>
      <c r="F5160" s="22">
        <v>0.81999999999999995</v>
      </c>
      <c r="G5160" s="21">
        <f t="shared" si="240"/>
        <v>93.840000000000003</v>
      </c>
      <c r="H5160" s="22">
        <v>0.82999999999999996</v>
      </c>
      <c r="I5160" s="23" t="str">
        <f t="shared" si="241"/>
        <v xml:space="preserve">COM VALOR</v>
      </c>
      <c r="J5160" s="19"/>
      <c r="L5160" s="21">
        <v>94.819999999999993</v>
      </c>
      <c r="M5160" s="22">
        <v>0</v>
      </c>
      <c r="N5160" s="21">
        <v>93.840000000000003</v>
      </c>
      <c r="O5160" s="22">
        <v>0</v>
      </c>
    </row>
    <row r="5161" ht="38.25">
      <c r="A5161" t="s">
        <v>5091</v>
      </c>
      <c r="B5161" s="19">
        <v>105175</v>
      </c>
      <c r="C5161" s="20" t="s">
        <v>5267</v>
      </c>
      <c r="D5161" s="19" t="s">
        <v>31</v>
      </c>
      <c r="E5161" s="21">
        <f t="shared" si="239"/>
        <v>136.81</v>
      </c>
      <c r="F5161" s="22">
        <v>0.70999999999999996</v>
      </c>
      <c r="G5161" s="21">
        <f t="shared" si="240"/>
        <v>135.72999999999999</v>
      </c>
      <c r="H5161" s="22">
        <v>0.72999999999999998</v>
      </c>
      <c r="I5161" s="23" t="str">
        <f t="shared" si="241"/>
        <v xml:space="preserve">COM VALOR</v>
      </c>
      <c r="J5161" s="19"/>
      <c r="L5161" s="21">
        <v>136.81</v>
      </c>
      <c r="M5161" s="22">
        <v>0</v>
      </c>
      <c r="N5161" s="21">
        <v>135.72999999999999</v>
      </c>
      <c r="O5161" s="22">
        <v>0</v>
      </c>
    </row>
    <row r="5162" ht="38.25">
      <c r="A5162" t="s">
        <v>5091</v>
      </c>
      <c r="B5162" s="19">
        <v>105174</v>
      </c>
      <c r="C5162" s="20" t="s">
        <v>5268</v>
      </c>
      <c r="D5162" s="19" t="s">
        <v>31</v>
      </c>
      <c r="E5162" s="21">
        <f t="shared" si="239"/>
        <v>138.22999999999999</v>
      </c>
      <c r="F5162" s="22">
        <v>0.66000000000000003</v>
      </c>
      <c r="G5162" s="21">
        <f t="shared" si="240"/>
        <v>137.06999999999999</v>
      </c>
      <c r="H5162" s="22">
        <v>0.67000000000000004</v>
      </c>
      <c r="I5162" s="23" t="str">
        <f t="shared" si="241"/>
        <v xml:space="preserve">COM VALOR</v>
      </c>
      <c r="J5162" s="19"/>
      <c r="L5162" s="21">
        <v>138.22999999999999</v>
      </c>
      <c r="M5162" s="22">
        <v>0</v>
      </c>
      <c r="N5162" s="21">
        <v>137.06999999999999</v>
      </c>
      <c r="O5162" s="22">
        <v>0</v>
      </c>
    </row>
    <row r="5163" ht="38.25">
      <c r="A5163" t="s">
        <v>5091</v>
      </c>
      <c r="B5163" s="19">
        <v>105145</v>
      </c>
      <c r="C5163" s="20" t="s">
        <v>5269</v>
      </c>
      <c r="D5163" s="19" t="s">
        <v>31</v>
      </c>
      <c r="E5163" s="21">
        <f t="shared" si="239"/>
        <v>12.06</v>
      </c>
      <c r="F5163" s="22">
        <v>0.81000000000000005</v>
      </c>
      <c r="G5163" s="21">
        <f t="shared" si="240"/>
        <v>11.869999999999999</v>
      </c>
      <c r="H5163" s="22">
        <v>0.81999999999999995</v>
      </c>
      <c r="I5163" s="23" t="str">
        <f t="shared" si="241"/>
        <v xml:space="preserve">COM VALOR</v>
      </c>
      <c r="J5163" s="19"/>
      <c r="L5163" s="21">
        <v>12.06</v>
      </c>
      <c r="M5163" s="22">
        <v>0</v>
      </c>
      <c r="N5163" s="21">
        <v>11.869999999999999</v>
      </c>
      <c r="O5163" s="22">
        <v>0</v>
      </c>
    </row>
    <row r="5164" ht="38.25">
      <c r="A5164" t="s">
        <v>5091</v>
      </c>
      <c r="B5164" s="19">
        <v>94606</v>
      </c>
      <c r="C5164" s="20" t="s">
        <v>5270</v>
      </c>
      <c r="D5164" s="19" t="s">
        <v>31</v>
      </c>
      <c r="E5164" s="21">
        <f t="shared" si="239"/>
        <v>82.689999999999998</v>
      </c>
      <c r="F5164" s="22">
        <v>0.82999999999999996</v>
      </c>
      <c r="G5164" s="21">
        <f t="shared" si="240"/>
        <v>81.519999999999996</v>
      </c>
      <c r="H5164" s="22">
        <v>0.83999999999999997</v>
      </c>
      <c r="I5164" s="23" t="str">
        <f t="shared" si="241"/>
        <v xml:space="preserve">COM VALOR</v>
      </c>
      <c r="J5164" s="19"/>
      <c r="L5164" s="21">
        <v>82.689999999999998</v>
      </c>
      <c r="M5164" s="22">
        <v>0.75</v>
      </c>
      <c r="N5164" s="21">
        <v>81.519999999999996</v>
      </c>
      <c r="O5164" s="22">
        <v>0.76000000000000001</v>
      </c>
    </row>
    <row r="5165" ht="38.25">
      <c r="A5165" t="s">
        <v>5091</v>
      </c>
      <c r="B5165" s="19">
        <v>94608</v>
      </c>
      <c r="C5165" s="20" t="s">
        <v>5271</v>
      </c>
      <c r="D5165" s="19" t="s">
        <v>31</v>
      </c>
      <c r="E5165" s="21">
        <f t="shared" si="239"/>
        <v>208.33000000000001</v>
      </c>
      <c r="F5165" s="22">
        <v>0.56000000000000005</v>
      </c>
      <c r="G5165" s="21">
        <f t="shared" si="240"/>
        <v>207.09999999999999</v>
      </c>
      <c r="H5165" s="22">
        <v>0.57999999999999996</v>
      </c>
      <c r="I5165" s="23" t="str">
        <f t="shared" si="241"/>
        <v xml:space="preserve">COM VALOR</v>
      </c>
      <c r="J5165" s="19"/>
      <c r="L5165" s="21">
        <v>208.33000000000001</v>
      </c>
      <c r="M5165" s="22">
        <v>0.89000000000000001</v>
      </c>
      <c r="N5165" s="21">
        <v>207.09999999999999</v>
      </c>
      <c r="O5165" s="22">
        <v>0.90000000000000002</v>
      </c>
    </row>
    <row r="5166" ht="38.25">
      <c r="A5166" t="s">
        <v>5091</v>
      </c>
      <c r="B5166" s="19">
        <v>94610</v>
      </c>
      <c r="C5166" s="20" t="s">
        <v>5272</v>
      </c>
      <c r="D5166" s="19" t="s">
        <v>31</v>
      </c>
      <c r="E5166" s="21">
        <f t="shared" si="239"/>
        <v>305.06999999999999</v>
      </c>
      <c r="F5166" s="22">
        <v>0.56999999999999995</v>
      </c>
      <c r="G5166" s="21">
        <f t="shared" si="240"/>
        <v>303.80000000000001</v>
      </c>
      <c r="H5166" s="22">
        <v>0.58999999999999997</v>
      </c>
      <c r="I5166" s="23" t="str">
        <f t="shared" si="241"/>
        <v xml:space="preserve">COM VALOR</v>
      </c>
      <c r="J5166" s="19"/>
      <c r="L5166" s="21">
        <v>305.06999999999999</v>
      </c>
      <c r="M5166" s="22">
        <v>0.92500000000000004</v>
      </c>
      <c r="N5166" s="21">
        <v>303.80000000000001</v>
      </c>
      <c r="O5166" s="22">
        <v>0.93000000000000005</v>
      </c>
    </row>
    <row r="5167" ht="25.5">
      <c r="A5167" t="s">
        <v>5091</v>
      </c>
      <c r="B5167" s="19">
        <v>94657</v>
      </c>
      <c r="C5167" s="20" t="s">
        <v>5273</v>
      </c>
      <c r="D5167" s="19" t="s">
        <v>31</v>
      </c>
      <c r="E5167" s="21">
        <f t="shared" si="239"/>
        <v>4.0300000000000002</v>
      </c>
      <c r="F5167" s="22">
        <v>0.68000000000000005</v>
      </c>
      <c r="G5167" s="21">
        <f t="shared" si="240"/>
        <v>3.9199999999999999</v>
      </c>
      <c r="H5167" s="22">
        <v>0.69999999999999996</v>
      </c>
      <c r="I5167" s="23" t="str">
        <f t="shared" si="241"/>
        <v xml:space="preserve">COM VALOR</v>
      </c>
      <c r="J5167" s="19"/>
      <c r="L5167" s="21">
        <v>4.0300000000000002</v>
      </c>
      <c r="M5167" s="22">
        <v>0</v>
      </c>
      <c r="N5167" s="21">
        <v>3.9199999999999999</v>
      </c>
      <c r="O5167" s="22">
        <v>0</v>
      </c>
    </row>
    <row r="5168" ht="25.5">
      <c r="A5168" t="s">
        <v>5091</v>
      </c>
      <c r="B5168" s="19">
        <v>94659</v>
      </c>
      <c r="C5168" s="20" t="s">
        <v>5274</v>
      </c>
      <c r="D5168" s="19" t="s">
        <v>31</v>
      </c>
      <c r="E5168" s="21">
        <f t="shared" si="239"/>
        <v>6.3099999999999996</v>
      </c>
      <c r="F5168" s="22">
        <v>0.69999999999999996</v>
      </c>
      <c r="G5168" s="21">
        <f t="shared" si="240"/>
        <v>6.1600000000000001</v>
      </c>
      <c r="H5168" s="22">
        <v>0.71999999999999997</v>
      </c>
      <c r="I5168" s="23" t="str">
        <f t="shared" si="241"/>
        <v xml:space="preserve">COM VALOR</v>
      </c>
      <c r="J5168" s="19"/>
      <c r="L5168" s="21">
        <v>6.3099999999999996</v>
      </c>
      <c r="M5168" s="22">
        <v>0</v>
      </c>
      <c r="N5168" s="21">
        <v>6.1600000000000001</v>
      </c>
      <c r="O5168" s="22">
        <v>0</v>
      </c>
    </row>
    <row r="5169" ht="25.5">
      <c r="A5169" t="s">
        <v>5091</v>
      </c>
      <c r="B5169" s="19">
        <v>94739</v>
      </c>
      <c r="C5169" s="20" t="s">
        <v>5275</v>
      </c>
      <c r="D5169" s="19" t="s">
        <v>31</v>
      </c>
      <c r="E5169" s="21">
        <f t="shared" si="239"/>
        <v>257.17000000000002</v>
      </c>
      <c r="F5169" s="22">
        <v>0.62</v>
      </c>
      <c r="G5169" s="21">
        <f t="shared" si="240"/>
        <v>256.01999999999998</v>
      </c>
      <c r="H5169" s="22">
        <v>0.64000000000000001</v>
      </c>
      <c r="I5169" s="23" t="str">
        <f t="shared" si="241"/>
        <v xml:space="preserve">COM VALOR</v>
      </c>
      <c r="J5169" s="19"/>
      <c r="L5169" s="21">
        <v>257.17000000000002</v>
      </c>
      <c r="M5169" s="22">
        <v>0</v>
      </c>
      <c r="N5169" s="21">
        <v>256.01999999999998</v>
      </c>
      <c r="O5169" s="22">
        <v>0</v>
      </c>
    </row>
    <row r="5170" ht="25.5">
      <c r="A5170" t="s">
        <v>5091</v>
      </c>
      <c r="B5170" s="19">
        <v>94725</v>
      </c>
      <c r="C5170" s="20" t="s">
        <v>5276</v>
      </c>
      <c r="D5170" s="19" t="s">
        <v>31</v>
      </c>
      <c r="E5170" s="21">
        <f t="shared" si="239"/>
        <v>7.6100000000000003</v>
      </c>
      <c r="F5170" s="22">
        <v>0.65000000000000002</v>
      </c>
      <c r="G5170" s="21">
        <f t="shared" si="240"/>
        <v>7.5099999999999998</v>
      </c>
      <c r="H5170" s="22">
        <v>0.66000000000000003</v>
      </c>
      <c r="I5170" s="23" t="str">
        <f t="shared" si="241"/>
        <v xml:space="preserve">COM VALOR</v>
      </c>
      <c r="J5170" s="19"/>
      <c r="L5170" s="21">
        <v>7.6100000000000003</v>
      </c>
      <c r="M5170" s="22">
        <v>0</v>
      </c>
      <c r="N5170" s="21">
        <v>7.5099999999999998</v>
      </c>
      <c r="O5170" s="22">
        <v>0</v>
      </c>
    </row>
    <row r="5171" ht="25.5">
      <c r="A5171" t="s">
        <v>5091</v>
      </c>
      <c r="B5171" s="19">
        <v>94727</v>
      </c>
      <c r="C5171" s="20" t="s">
        <v>5277</v>
      </c>
      <c r="D5171" s="19" t="s">
        <v>31</v>
      </c>
      <c r="E5171" s="21">
        <f t="shared" si="239"/>
        <v>12.449999999999999</v>
      </c>
      <c r="F5171" s="22">
        <v>0.72999999999999998</v>
      </c>
      <c r="G5171" s="21">
        <f t="shared" si="240"/>
        <v>12.33</v>
      </c>
      <c r="H5171" s="22">
        <v>0.75</v>
      </c>
      <c r="I5171" s="23" t="str">
        <f t="shared" si="241"/>
        <v xml:space="preserve">COM VALOR</v>
      </c>
      <c r="J5171" s="19"/>
      <c r="L5171" s="21">
        <v>12.449999999999999</v>
      </c>
      <c r="M5171" s="22">
        <v>0</v>
      </c>
      <c r="N5171" s="21">
        <v>12.33</v>
      </c>
      <c r="O5171" s="22">
        <v>0</v>
      </c>
    </row>
    <row r="5172" ht="25.5">
      <c r="A5172" t="s">
        <v>5091</v>
      </c>
      <c r="B5172" s="19">
        <v>94729</v>
      </c>
      <c r="C5172" s="20" t="s">
        <v>5278</v>
      </c>
      <c r="D5172" s="19" t="s">
        <v>31</v>
      </c>
      <c r="E5172" s="21">
        <f t="shared" si="239"/>
        <v>21.609999999999999</v>
      </c>
      <c r="F5172" s="22">
        <v>0.5</v>
      </c>
      <c r="G5172" s="21">
        <f t="shared" si="240"/>
        <v>21.449999999999999</v>
      </c>
      <c r="H5172" s="22">
        <v>0.52000000000000002</v>
      </c>
      <c r="I5172" s="23" t="str">
        <f t="shared" si="241"/>
        <v xml:space="preserve">COM VALOR</v>
      </c>
      <c r="J5172" s="19"/>
      <c r="L5172" s="21">
        <v>21.609999999999999</v>
      </c>
      <c r="M5172" s="22">
        <v>0</v>
      </c>
      <c r="N5172" s="21">
        <v>21.449999999999999</v>
      </c>
      <c r="O5172" s="22">
        <v>0</v>
      </c>
    </row>
    <row r="5173" ht="25.5">
      <c r="A5173" t="s">
        <v>5091</v>
      </c>
      <c r="B5173" s="19">
        <v>94731</v>
      </c>
      <c r="C5173" s="20" t="s">
        <v>5279</v>
      </c>
      <c r="D5173" s="19" t="s">
        <v>31</v>
      </c>
      <c r="E5173" s="21">
        <f t="shared" si="239"/>
        <v>28.670000000000002</v>
      </c>
      <c r="F5173" s="22">
        <v>0.52000000000000002</v>
      </c>
      <c r="G5173" s="21">
        <f t="shared" si="240"/>
        <v>28.469999999999999</v>
      </c>
      <c r="H5173" s="22">
        <v>0.54000000000000004</v>
      </c>
      <c r="I5173" s="23" t="str">
        <f t="shared" si="241"/>
        <v xml:space="preserve">COM VALOR</v>
      </c>
      <c r="J5173" s="19"/>
      <c r="L5173" s="21">
        <v>28.670000000000002</v>
      </c>
      <c r="M5173" s="22">
        <v>0</v>
      </c>
      <c r="N5173" s="21">
        <v>28.469999999999999</v>
      </c>
      <c r="O5173" s="22">
        <v>0</v>
      </c>
    </row>
    <row r="5174" ht="25.5">
      <c r="A5174" t="s">
        <v>5091</v>
      </c>
      <c r="B5174" s="19">
        <v>94733</v>
      </c>
      <c r="C5174" s="20" t="s">
        <v>5280</v>
      </c>
      <c r="D5174" s="19" t="s">
        <v>31</v>
      </c>
      <c r="E5174" s="21">
        <f t="shared" si="239"/>
        <v>50.369999999999997</v>
      </c>
      <c r="F5174" s="22">
        <v>0.54000000000000004</v>
      </c>
      <c r="G5174" s="21">
        <f t="shared" si="240"/>
        <v>50.07</v>
      </c>
      <c r="H5174" s="22">
        <v>0.56000000000000005</v>
      </c>
      <c r="I5174" s="23" t="str">
        <f t="shared" si="241"/>
        <v xml:space="preserve">COM VALOR</v>
      </c>
      <c r="J5174" s="19"/>
      <c r="L5174" s="21">
        <v>50.369999999999997</v>
      </c>
      <c r="M5174" s="22">
        <v>0</v>
      </c>
      <c r="N5174" s="21">
        <v>50.07</v>
      </c>
      <c r="O5174" s="22">
        <v>0</v>
      </c>
    </row>
    <row r="5175" ht="25.5">
      <c r="A5175" t="s">
        <v>5091</v>
      </c>
      <c r="B5175" s="19">
        <v>94863</v>
      </c>
      <c r="C5175" s="20" t="s">
        <v>5281</v>
      </c>
      <c r="D5175" s="19" t="s">
        <v>31</v>
      </c>
      <c r="E5175" s="21">
        <f t="shared" si="239"/>
        <v>175.99000000000001</v>
      </c>
      <c r="F5175" s="22">
        <v>0.57999999999999996</v>
      </c>
      <c r="G5175" s="21">
        <f t="shared" si="240"/>
        <v>175.47999999999999</v>
      </c>
      <c r="H5175" s="22">
        <v>0.59999999999999998</v>
      </c>
      <c r="I5175" s="23" t="str">
        <f t="shared" si="241"/>
        <v xml:space="preserve">COM VALOR</v>
      </c>
      <c r="J5175" s="19"/>
      <c r="L5175" s="21">
        <v>175.99000000000001</v>
      </c>
      <c r="M5175" s="22">
        <v>0</v>
      </c>
      <c r="N5175" s="21">
        <v>175.47999999999999</v>
      </c>
      <c r="O5175" s="22">
        <v>0</v>
      </c>
    </row>
    <row r="5176" ht="25.5">
      <c r="A5176" t="s">
        <v>5091</v>
      </c>
      <c r="B5176" s="19">
        <v>94737</v>
      </c>
      <c r="C5176" s="20" t="s">
        <v>5282</v>
      </c>
      <c r="D5176" s="19" t="s">
        <v>31</v>
      </c>
      <c r="E5176" s="21">
        <f t="shared" si="239"/>
        <v>209.59999999999999</v>
      </c>
      <c r="F5176" s="22">
        <v>0.53000000000000003</v>
      </c>
      <c r="G5176" s="21">
        <f t="shared" si="240"/>
        <v>208.87</v>
      </c>
      <c r="H5176" s="22">
        <v>0.55000000000000004</v>
      </c>
      <c r="I5176" s="23" t="str">
        <f t="shared" si="241"/>
        <v xml:space="preserve">COM VALOR</v>
      </c>
      <c r="J5176" s="19"/>
      <c r="L5176" s="21">
        <v>209.59999999999999</v>
      </c>
      <c r="M5176" s="22">
        <v>0</v>
      </c>
      <c r="N5176" s="21">
        <v>208.87</v>
      </c>
      <c r="O5176" s="22">
        <v>0</v>
      </c>
    </row>
    <row r="5177" ht="38.25">
      <c r="A5177" t="s">
        <v>5091</v>
      </c>
      <c r="B5177" s="19">
        <v>94465</v>
      </c>
      <c r="C5177" s="20" t="s">
        <v>5283</v>
      </c>
      <c r="D5177" s="19" t="s">
        <v>31</v>
      </c>
      <c r="E5177" s="21">
        <f t="shared" si="239"/>
        <v>56</v>
      </c>
      <c r="F5177" s="22">
        <v>0.54000000000000004</v>
      </c>
      <c r="G5177" s="21">
        <f t="shared" si="240"/>
        <v>55.100000000000001</v>
      </c>
      <c r="H5177" s="22">
        <v>0.56000000000000005</v>
      </c>
      <c r="I5177" s="23" t="str">
        <f t="shared" si="241"/>
        <v xml:space="preserve">COM VALOR</v>
      </c>
      <c r="J5177" s="19"/>
      <c r="L5177" s="21">
        <v>56</v>
      </c>
      <c r="M5177" s="22">
        <v>0</v>
      </c>
      <c r="N5177" s="21">
        <v>55.100000000000001</v>
      </c>
      <c r="O5177" s="22">
        <v>0</v>
      </c>
    </row>
    <row r="5178" ht="38.25">
      <c r="A5178" t="s">
        <v>5091</v>
      </c>
      <c r="B5178" s="19">
        <v>94467</v>
      </c>
      <c r="C5178" s="20" t="s">
        <v>5284</v>
      </c>
      <c r="D5178" s="19" t="s">
        <v>31</v>
      </c>
      <c r="E5178" s="21">
        <f t="shared" si="239"/>
        <v>91.370000000000005</v>
      </c>
      <c r="F5178" s="22">
        <v>0.57999999999999996</v>
      </c>
      <c r="G5178" s="21">
        <f t="shared" si="240"/>
        <v>90.319999999999993</v>
      </c>
      <c r="H5178" s="22">
        <v>0.59999999999999998</v>
      </c>
      <c r="I5178" s="23" t="str">
        <f t="shared" si="241"/>
        <v xml:space="preserve">COM VALOR</v>
      </c>
      <c r="J5178" s="19"/>
      <c r="L5178" s="21">
        <v>91.370000000000005</v>
      </c>
      <c r="M5178" s="22">
        <v>0</v>
      </c>
      <c r="N5178" s="21">
        <v>90.319999999999993</v>
      </c>
      <c r="O5178" s="22">
        <v>0</v>
      </c>
    </row>
    <row r="5179" ht="38.25">
      <c r="A5179" t="s">
        <v>5091</v>
      </c>
      <c r="B5179" s="19">
        <v>94469</v>
      </c>
      <c r="C5179" s="20" t="s">
        <v>5285</v>
      </c>
      <c r="D5179" s="19" t="s">
        <v>31</v>
      </c>
      <c r="E5179" s="21">
        <f t="shared" si="239"/>
        <v>131.47</v>
      </c>
      <c r="F5179" s="22"/>
      <c r="G5179" s="21">
        <f t="shared" si="240"/>
        <v>130.22999999999999</v>
      </c>
      <c r="H5179" s="22"/>
      <c r="I5179" s="23" t="str">
        <f t="shared" si="241"/>
        <v xml:space="preserve">COM VALOR</v>
      </c>
      <c r="J5179" s="19"/>
      <c r="L5179" s="21">
        <v>131.47</v>
      </c>
      <c r="M5179" s="22">
        <v>0</v>
      </c>
      <c r="N5179" s="21">
        <v>130.22999999999999</v>
      </c>
      <c r="O5179" s="22">
        <v>0</v>
      </c>
    </row>
    <row r="5180" ht="25.5">
      <c r="A5180" t="s">
        <v>5091</v>
      </c>
      <c r="B5180" s="19">
        <v>96746</v>
      </c>
      <c r="C5180" s="20" t="s">
        <v>5286</v>
      </c>
      <c r="D5180" s="19" t="s">
        <v>31</v>
      </c>
      <c r="E5180" s="21">
        <f t="shared" si="239"/>
        <v>120.73</v>
      </c>
      <c r="F5180" s="22">
        <v>0.66000000000000003</v>
      </c>
      <c r="G5180" s="21">
        <f t="shared" si="240"/>
        <v>119.56</v>
      </c>
      <c r="H5180" s="22">
        <v>0.68000000000000005</v>
      </c>
      <c r="I5180" s="23" t="str">
        <f t="shared" si="241"/>
        <v xml:space="preserve">COM VALOR</v>
      </c>
      <c r="J5180" s="19"/>
      <c r="L5180" s="21">
        <v>120.73</v>
      </c>
      <c r="M5180" s="22">
        <v>0.81999999999999995</v>
      </c>
      <c r="N5180" s="21">
        <v>119.56</v>
      </c>
      <c r="O5180" s="22">
        <v>0.82999999999999996</v>
      </c>
    </row>
    <row r="5181" ht="25.5">
      <c r="A5181" t="s">
        <v>5091</v>
      </c>
      <c r="B5181" s="19">
        <v>96736</v>
      </c>
      <c r="C5181" s="20" t="s">
        <v>5287</v>
      </c>
      <c r="D5181" s="19" t="s">
        <v>31</v>
      </c>
      <c r="E5181" s="21">
        <f t="shared" si="239"/>
        <v>6.1100000000000003</v>
      </c>
      <c r="F5181" s="22"/>
      <c r="G5181" s="21">
        <f t="shared" si="240"/>
        <v>5.9199999999999999</v>
      </c>
      <c r="H5181" s="22"/>
      <c r="I5181" s="23" t="str">
        <f t="shared" si="241"/>
        <v xml:space="preserve">COM VALOR</v>
      </c>
      <c r="J5181" s="19"/>
      <c r="L5181" s="21">
        <v>6.1100000000000003</v>
      </c>
      <c r="M5181" s="22">
        <v>0.44</v>
      </c>
      <c r="N5181" s="21">
        <v>5.9199999999999999</v>
      </c>
      <c r="O5181" s="22">
        <v>0.45000000000000001</v>
      </c>
    </row>
    <row r="5182" ht="25.5">
      <c r="A5182" t="s">
        <v>5091</v>
      </c>
      <c r="B5182" s="19">
        <v>96737</v>
      </c>
      <c r="C5182" s="20" t="s">
        <v>5288</v>
      </c>
      <c r="D5182" s="19" t="s">
        <v>31</v>
      </c>
      <c r="E5182" s="21">
        <f t="shared" si="239"/>
        <v>6.2199999999999998</v>
      </c>
      <c r="F5182" s="22"/>
      <c r="G5182" s="21">
        <f t="shared" si="240"/>
        <v>6.0099999999999998</v>
      </c>
      <c r="H5182" s="22"/>
      <c r="I5182" s="23" t="str">
        <f t="shared" si="241"/>
        <v xml:space="preserve">COM VALOR</v>
      </c>
      <c r="J5182" s="19"/>
      <c r="L5182" s="21">
        <v>6.2199999999999998</v>
      </c>
      <c r="M5182" s="22">
        <v>0.39000000000000001</v>
      </c>
      <c r="N5182" s="21">
        <v>6.0099999999999998</v>
      </c>
      <c r="O5182" s="22">
        <v>0.40999999999999998</v>
      </c>
    </row>
    <row r="5183" ht="25.5">
      <c r="A5183" t="s">
        <v>5091</v>
      </c>
      <c r="B5183" s="19">
        <v>96739</v>
      </c>
      <c r="C5183" s="20" t="s">
        <v>5289</v>
      </c>
      <c r="D5183" s="19" t="s">
        <v>31</v>
      </c>
      <c r="E5183" s="21">
        <f t="shared" si="239"/>
        <v>8.7599999999999998</v>
      </c>
      <c r="F5183" s="22"/>
      <c r="G5183" s="21">
        <f t="shared" si="240"/>
        <v>8.5099999999999998</v>
      </c>
      <c r="H5183" s="22"/>
      <c r="I5183" s="23" t="str">
        <f t="shared" si="241"/>
        <v xml:space="preserve">COM VALOR</v>
      </c>
      <c r="J5183" s="19"/>
      <c r="L5183" s="21">
        <v>8.7599999999999998</v>
      </c>
      <c r="M5183" s="22">
        <v>0.5</v>
      </c>
      <c r="N5183" s="21">
        <v>8.5099999999999998</v>
      </c>
      <c r="O5183" s="22">
        <v>0.51000000000000001</v>
      </c>
    </row>
    <row r="5184" ht="25.5">
      <c r="A5184" t="s">
        <v>5091</v>
      </c>
      <c r="B5184" s="19">
        <v>96741</v>
      </c>
      <c r="C5184" s="20" t="s">
        <v>5290</v>
      </c>
      <c r="D5184" s="19" t="s">
        <v>31</v>
      </c>
      <c r="E5184" s="21">
        <f t="shared" si="239"/>
        <v>17.699999999999999</v>
      </c>
      <c r="F5184" s="22"/>
      <c r="G5184" s="21">
        <f t="shared" si="240"/>
        <v>17.399999999999999</v>
      </c>
      <c r="H5184" s="22"/>
      <c r="I5184" s="23" t="str">
        <f t="shared" si="241"/>
        <v xml:space="preserve">COM VALOR</v>
      </c>
      <c r="J5184" s="19"/>
      <c r="L5184" s="21">
        <v>17.699999999999999</v>
      </c>
      <c r="M5184" s="22">
        <v>0.69999999999999996</v>
      </c>
      <c r="N5184" s="21">
        <v>17.399999999999999</v>
      </c>
      <c r="O5184" s="22">
        <v>0.70999999999999996</v>
      </c>
    </row>
    <row r="5185" ht="25.5">
      <c r="A5185" t="s">
        <v>5091</v>
      </c>
      <c r="B5185" s="19">
        <v>96742</v>
      </c>
      <c r="C5185" s="20" t="s">
        <v>5291</v>
      </c>
      <c r="D5185" s="19" t="s">
        <v>31</v>
      </c>
      <c r="E5185" s="21">
        <f t="shared" si="239"/>
        <v>21.699999999999999</v>
      </c>
      <c r="F5185" s="22"/>
      <c r="G5185" s="21">
        <f t="shared" si="240"/>
        <v>21.32</v>
      </c>
      <c r="H5185" s="22"/>
      <c r="I5185" s="23" t="str">
        <f t="shared" si="241"/>
        <v xml:space="preserve">COM VALOR</v>
      </c>
      <c r="J5185" s="19"/>
      <c r="L5185" s="21">
        <v>21.699999999999999</v>
      </c>
      <c r="M5185" s="22">
        <v>0.69999999999999996</v>
      </c>
      <c r="N5185" s="21">
        <v>21.32</v>
      </c>
      <c r="O5185" s="22">
        <v>0.70999999999999996</v>
      </c>
    </row>
    <row r="5186" ht="25.5">
      <c r="A5186" t="s">
        <v>5091</v>
      </c>
      <c r="B5186" s="19">
        <v>96743</v>
      </c>
      <c r="C5186" s="20" t="s">
        <v>5292</v>
      </c>
      <c r="D5186" s="19" t="s">
        <v>31</v>
      </c>
      <c r="E5186" s="21">
        <f t="shared" si="239"/>
        <v>34.170000000000002</v>
      </c>
      <c r="F5186" s="22"/>
      <c r="G5186" s="21">
        <f t="shared" si="240"/>
        <v>33.670000000000002</v>
      </c>
      <c r="H5186" s="22"/>
      <c r="I5186" s="23" t="str">
        <f t="shared" si="241"/>
        <v xml:space="preserve">COM VALOR</v>
      </c>
      <c r="J5186" s="19"/>
      <c r="L5186" s="21">
        <v>34.170000000000002</v>
      </c>
      <c r="M5186" s="22">
        <v>0.73999999999999999</v>
      </c>
      <c r="N5186" s="21">
        <v>33.670000000000002</v>
      </c>
      <c r="O5186" s="22">
        <v>0.75</v>
      </c>
    </row>
    <row r="5187" ht="25.5">
      <c r="A5187" t="s">
        <v>5091</v>
      </c>
      <c r="B5187" s="19">
        <v>96744</v>
      </c>
      <c r="C5187" s="20" t="s">
        <v>5293</v>
      </c>
      <c r="D5187" s="19" t="s">
        <v>31</v>
      </c>
      <c r="E5187" s="21">
        <f t="shared" si="239"/>
        <v>58.359999999999999</v>
      </c>
      <c r="F5187" s="22"/>
      <c r="G5187" s="21">
        <f t="shared" si="240"/>
        <v>57.740000000000002</v>
      </c>
      <c r="H5187" s="22"/>
      <c r="I5187" s="23" t="str">
        <f t="shared" si="241"/>
        <v xml:space="preserve">COM VALOR</v>
      </c>
      <c r="J5187" s="19"/>
      <c r="L5187" s="21">
        <v>58.359999999999999</v>
      </c>
      <c r="M5187" s="22">
        <v>0.81000000000000005</v>
      </c>
      <c r="N5187" s="21">
        <v>57.740000000000002</v>
      </c>
      <c r="O5187" s="22">
        <v>0.81000000000000005</v>
      </c>
    </row>
    <row r="5188" ht="25.5">
      <c r="A5188" t="s">
        <v>5091</v>
      </c>
      <c r="B5188" s="19">
        <v>96745</v>
      </c>
      <c r="C5188" s="20" t="s">
        <v>5294</v>
      </c>
      <c r="D5188" s="19" t="s">
        <v>31</v>
      </c>
      <c r="E5188" s="21">
        <f t="shared" si="239"/>
        <v>92.019999999999996</v>
      </c>
      <c r="F5188" s="22"/>
      <c r="G5188" s="21">
        <f t="shared" si="240"/>
        <v>91.180000000000007</v>
      </c>
      <c r="H5188" s="22"/>
      <c r="I5188" s="23" t="str">
        <f t="shared" si="241"/>
        <v xml:space="preserve">COM VALOR</v>
      </c>
      <c r="J5188" s="19"/>
      <c r="L5188" s="21">
        <v>92.019999999999996</v>
      </c>
      <c r="M5188" s="22">
        <v>0.83999999999999997</v>
      </c>
      <c r="N5188" s="21">
        <v>91.180000000000007</v>
      </c>
      <c r="O5188" s="22">
        <v>0.83999999999999997</v>
      </c>
    </row>
    <row r="5189" ht="25.5">
      <c r="A5189" t="s">
        <v>5091</v>
      </c>
      <c r="B5189" s="19">
        <v>94671</v>
      </c>
      <c r="C5189" s="20" t="s">
        <v>5295</v>
      </c>
      <c r="D5189" s="19" t="s">
        <v>31</v>
      </c>
      <c r="E5189" s="21">
        <f t="shared" si="239"/>
        <v>107.47</v>
      </c>
      <c r="F5189" s="22"/>
      <c r="G5189" s="21">
        <f t="shared" si="240"/>
        <v>106.38</v>
      </c>
      <c r="H5189" s="22"/>
      <c r="I5189" s="23" t="str">
        <f t="shared" si="241"/>
        <v xml:space="preserve">COM VALOR</v>
      </c>
      <c r="J5189" s="19"/>
      <c r="L5189" s="21">
        <v>107.47</v>
      </c>
      <c r="M5189" s="22">
        <v>0</v>
      </c>
      <c r="N5189" s="21">
        <v>106.38</v>
      </c>
      <c r="O5189" s="22">
        <v>0</v>
      </c>
    </row>
    <row r="5190" ht="25.5">
      <c r="A5190" t="s">
        <v>5091</v>
      </c>
      <c r="B5190" s="19">
        <v>94661</v>
      </c>
      <c r="C5190" s="20" t="s">
        <v>5296</v>
      </c>
      <c r="D5190" s="19" t="s">
        <v>31</v>
      </c>
      <c r="E5190" s="21">
        <f t="shared" si="239"/>
        <v>9.9900000000000002</v>
      </c>
      <c r="F5190" s="22"/>
      <c r="G5190" s="21">
        <f t="shared" si="240"/>
        <v>9.7899999999999991</v>
      </c>
      <c r="H5190" s="22"/>
      <c r="I5190" s="23" t="str">
        <f t="shared" si="241"/>
        <v xml:space="preserve">COM VALOR</v>
      </c>
      <c r="J5190" s="19"/>
      <c r="L5190" s="21">
        <v>9.9900000000000002</v>
      </c>
      <c r="M5190" s="22">
        <v>0</v>
      </c>
      <c r="N5190" s="21">
        <v>9.7899999999999991</v>
      </c>
      <c r="O5190" s="22">
        <v>0</v>
      </c>
    </row>
    <row r="5191" ht="25.5">
      <c r="A5191" t="s">
        <v>5091</v>
      </c>
      <c r="B5191" s="19">
        <v>94663</v>
      </c>
      <c r="C5191" s="20" t="s">
        <v>5297</v>
      </c>
      <c r="D5191" s="19" t="s">
        <v>31</v>
      </c>
      <c r="E5191" s="21">
        <f t="shared" si="239"/>
        <v>12.5</v>
      </c>
      <c r="F5191" s="22">
        <v>0.54000000000000004</v>
      </c>
      <c r="G5191" s="21">
        <f t="shared" si="240"/>
        <v>12.220000000000001</v>
      </c>
      <c r="H5191" s="22">
        <v>0.56000000000000005</v>
      </c>
      <c r="I5191" s="23" t="str">
        <f t="shared" si="241"/>
        <v xml:space="preserve">COM VALOR</v>
      </c>
      <c r="J5191" s="19"/>
      <c r="L5191" s="21">
        <v>12.5</v>
      </c>
      <c r="M5191" s="22">
        <v>0</v>
      </c>
      <c r="N5191" s="21">
        <v>12.220000000000001</v>
      </c>
      <c r="O5191" s="22">
        <v>0</v>
      </c>
    </row>
    <row r="5192" ht="25.5">
      <c r="A5192" t="s">
        <v>5091</v>
      </c>
      <c r="B5192" s="19">
        <v>94665</v>
      </c>
      <c r="C5192" s="20" t="s">
        <v>5298</v>
      </c>
      <c r="D5192" s="19" t="s">
        <v>31</v>
      </c>
      <c r="E5192" s="21">
        <f t="shared" si="239"/>
        <v>24.600000000000001</v>
      </c>
      <c r="F5192" s="22">
        <v>0.56999999999999995</v>
      </c>
      <c r="G5192" s="21">
        <f t="shared" si="240"/>
        <v>24.239999999999998</v>
      </c>
      <c r="H5192" s="22">
        <v>0.58999999999999997</v>
      </c>
      <c r="I5192" s="23" t="str">
        <f t="shared" si="241"/>
        <v xml:space="preserve">COM VALOR</v>
      </c>
      <c r="J5192" s="19"/>
      <c r="L5192" s="21">
        <v>24.600000000000001</v>
      </c>
      <c r="M5192" s="22">
        <v>0</v>
      </c>
      <c r="N5192" s="21">
        <v>24.239999999999998</v>
      </c>
      <c r="O5192" s="22">
        <v>0</v>
      </c>
    </row>
    <row r="5193" ht="25.5">
      <c r="A5193" t="s">
        <v>5091</v>
      </c>
      <c r="B5193" s="19">
        <v>94667</v>
      </c>
      <c r="C5193" s="20" t="s">
        <v>5299</v>
      </c>
      <c r="D5193" s="19" t="s">
        <v>31</v>
      </c>
      <c r="E5193" s="21">
        <f t="shared" si="239"/>
        <v>36.189999999999998</v>
      </c>
      <c r="F5193" s="22">
        <v>0.56000000000000005</v>
      </c>
      <c r="G5193" s="21">
        <f t="shared" si="240"/>
        <v>35.659999999999997</v>
      </c>
      <c r="H5193" s="22">
        <v>0.57999999999999996</v>
      </c>
      <c r="I5193" s="23" t="str">
        <f t="shared" si="241"/>
        <v xml:space="preserve">COM VALOR</v>
      </c>
      <c r="J5193" s="19"/>
      <c r="L5193" s="21">
        <v>36.189999999999998</v>
      </c>
      <c r="M5193" s="22">
        <v>0</v>
      </c>
      <c r="N5193" s="21">
        <v>35.659999999999997</v>
      </c>
      <c r="O5193" s="22">
        <v>0</v>
      </c>
    </row>
    <row r="5194" ht="25.5">
      <c r="A5194" t="s">
        <v>5091</v>
      </c>
      <c r="B5194" s="19">
        <v>94669</v>
      </c>
      <c r="C5194" s="20" t="s">
        <v>5300</v>
      </c>
      <c r="D5194" s="19" t="s">
        <v>31</v>
      </c>
      <c r="E5194" s="21">
        <f t="shared" si="239"/>
        <v>65.549999999999997</v>
      </c>
      <c r="F5194" s="22">
        <v>0.52000000000000002</v>
      </c>
      <c r="G5194" s="21">
        <f t="shared" si="240"/>
        <v>64.890000000000001</v>
      </c>
      <c r="H5194" s="22">
        <v>0.54000000000000004</v>
      </c>
      <c r="I5194" s="23" t="str">
        <f t="shared" si="241"/>
        <v xml:space="preserve">COM VALOR</v>
      </c>
      <c r="J5194" s="19"/>
      <c r="L5194" s="21">
        <v>65.549999999999997</v>
      </c>
      <c r="M5194" s="22">
        <v>0</v>
      </c>
      <c r="N5194" s="21">
        <v>64.890000000000001</v>
      </c>
      <c r="O5194" s="22">
        <v>0</v>
      </c>
    </row>
    <row r="5195" ht="38.25">
      <c r="A5195" t="s">
        <v>5091</v>
      </c>
      <c r="B5195" s="19">
        <v>105177</v>
      </c>
      <c r="C5195" s="20" t="s">
        <v>5301</v>
      </c>
      <c r="D5195" s="19" t="s">
        <v>31</v>
      </c>
      <c r="E5195" s="21">
        <f t="shared" ref="E5195:E5258" si="242">IF(L5195=0,"VERIFICAR",L5195)</f>
        <v>154.72999999999999</v>
      </c>
      <c r="F5195" s="22"/>
      <c r="G5195" s="21">
        <f t="shared" ref="G5195:G5258" si="243">IF(N5195=0,"VERIFICAR",N5195)</f>
        <v>153.65000000000001</v>
      </c>
      <c r="H5195" s="22"/>
      <c r="I5195" s="23" t="str">
        <f t="shared" ref="I5195:I5258" si="244">IF(OR(E5195=0,G5195=0),"SEM VALOR","COM VALOR")</f>
        <v xml:space="preserve">COM VALOR</v>
      </c>
      <c r="J5195" s="19"/>
      <c r="L5195" s="21">
        <v>154.72999999999999</v>
      </c>
      <c r="M5195" s="22">
        <v>0</v>
      </c>
      <c r="N5195" s="21">
        <v>153.65000000000001</v>
      </c>
      <c r="O5195" s="22">
        <v>0</v>
      </c>
    </row>
    <row r="5196" ht="38.25">
      <c r="A5196" t="s">
        <v>5091</v>
      </c>
      <c r="B5196" s="19">
        <v>105176</v>
      </c>
      <c r="C5196" s="20" t="s">
        <v>5302</v>
      </c>
      <c r="D5196" s="19" t="s">
        <v>31</v>
      </c>
      <c r="E5196" s="21">
        <f t="shared" si="242"/>
        <v>174.00999999999999</v>
      </c>
      <c r="F5196" s="22"/>
      <c r="G5196" s="21">
        <f t="shared" si="243"/>
        <v>172.84999999999999</v>
      </c>
      <c r="H5196" s="22"/>
      <c r="I5196" s="23" t="str">
        <f t="shared" si="244"/>
        <v xml:space="preserve">COM VALOR</v>
      </c>
      <c r="J5196" s="19"/>
      <c r="L5196" s="21">
        <v>174.00999999999999</v>
      </c>
      <c r="M5196" s="22">
        <v>0</v>
      </c>
      <c r="N5196" s="21">
        <v>172.84999999999999</v>
      </c>
      <c r="O5196" s="22">
        <v>0</v>
      </c>
    </row>
    <row r="5197" ht="38.25">
      <c r="A5197" t="s">
        <v>5091</v>
      </c>
      <c r="B5197" s="19">
        <v>94466</v>
      </c>
      <c r="C5197" s="20" t="s">
        <v>5303</v>
      </c>
      <c r="D5197" s="19" t="s">
        <v>31</v>
      </c>
      <c r="E5197" s="21">
        <f t="shared" si="242"/>
        <v>56.030000000000001</v>
      </c>
      <c r="F5197" s="22"/>
      <c r="G5197" s="21">
        <f t="shared" si="243"/>
        <v>55.130000000000003</v>
      </c>
      <c r="H5197" s="22"/>
      <c r="I5197" s="23" t="str">
        <f t="shared" si="244"/>
        <v xml:space="preserve">COM VALOR</v>
      </c>
      <c r="J5197" s="19"/>
      <c r="L5197" s="21">
        <v>56.030000000000001</v>
      </c>
      <c r="M5197" s="22">
        <v>0</v>
      </c>
      <c r="N5197" s="21">
        <v>55.130000000000003</v>
      </c>
      <c r="O5197" s="22">
        <v>0</v>
      </c>
    </row>
    <row r="5198" ht="38.25">
      <c r="A5198" t="s">
        <v>5091</v>
      </c>
      <c r="B5198" s="19">
        <v>94468</v>
      </c>
      <c r="C5198" s="20" t="s">
        <v>5304</v>
      </c>
      <c r="D5198" s="19" t="s">
        <v>31</v>
      </c>
      <c r="E5198" s="21">
        <f t="shared" si="242"/>
        <v>79.829999999999998</v>
      </c>
      <c r="F5198" s="22">
        <v>0.89000000000000001</v>
      </c>
      <c r="G5198" s="21">
        <f t="shared" si="243"/>
        <v>78.780000000000001</v>
      </c>
      <c r="H5198" s="22">
        <v>0.90000000000000002</v>
      </c>
      <c r="I5198" s="23" t="str">
        <f t="shared" si="244"/>
        <v xml:space="preserve">COM VALOR</v>
      </c>
      <c r="J5198" s="19"/>
      <c r="L5198" s="21">
        <v>79.829999999999998</v>
      </c>
      <c r="M5198" s="22">
        <v>0</v>
      </c>
      <c r="N5198" s="21">
        <v>78.780000000000001</v>
      </c>
      <c r="O5198" s="22">
        <v>0</v>
      </c>
    </row>
    <row r="5199" ht="38.25">
      <c r="A5199" t="s">
        <v>5091</v>
      </c>
      <c r="B5199" s="19">
        <v>94470</v>
      </c>
      <c r="C5199" s="20" t="s">
        <v>5305</v>
      </c>
      <c r="D5199" s="19" t="s">
        <v>31</v>
      </c>
      <c r="E5199" s="21">
        <f t="shared" si="242"/>
        <v>121.19</v>
      </c>
      <c r="F5199" s="22">
        <v>0.95999999999999996</v>
      </c>
      <c r="G5199" s="21">
        <f t="shared" si="243"/>
        <v>119.95</v>
      </c>
      <c r="H5199" s="22">
        <v>0.95999999999999996</v>
      </c>
      <c r="I5199" s="23" t="str">
        <f t="shared" si="244"/>
        <v xml:space="preserve">COM VALOR</v>
      </c>
      <c r="J5199" s="19"/>
      <c r="L5199" s="21">
        <v>121.19</v>
      </c>
      <c r="M5199" s="22">
        <v>0</v>
      </c>
      <c r="N5199" s="21">
        <v>119.95</v>
      </c>
      <c r="O5199" s="22">
        <v>0</v>
      </c>
    </row>
    <row r="5200" ht="25.5">
      <c r="A5200" t="s">
        <v>5091</v>
      </c>
      <c r="B5200" s="19">
        <v>105225</v>
      </c>
      <c r="C5200" s="20" t="s">
        <v>5306</v>
      </c>
      <c r="D5200" s="19" t="s">
        <v>31</v>
      </c>
      <c r="E5200" s="21">
        <f t="shared" si="242"/>
        <v>18.600000000000001</v>
      </c>
      <c r="F5200" s="22">
        <v>0.75</v>
      </c>
      <c r="G5200" s="21">
        <f t="shared" si="243"/>
        <v>18.370000000000001</v>
      </c>
      <c r="H5200" s="22">
        <v>0.76000000000000001</v>
      </c>
      <c r="I5200" s="23" t="str">
        <f t="shared" si="244"/>
        <v xml:space="preserve">COM VALOR</v>
      </c>
      <c r="J5200" s="19"/>
      <c r="L5200" s="21">
        <v>18.600000000000001</v>
      </c>
      <c r="M5200" s="22">
        <v>0</v>
      </c>
      <c r="N5200" s="21">
        <v>18.370000000000001</v>
      </c>
      <c r="O5200" s="22">
        <v>0</v>
      </c>
    </row>
    <row r="5201" ht="25.5">
      <c r="A5201" t="s">
        <v>5091</v>
      </c>
      <c r="B5201" s="19">
        <v>105226</v>
      </c>
      <c r="C5201" s="20" t="s">
        <v>5307</v>
      </c>
      <c r="D5201" s="19" t="s">
        <v>31</v>
      </c>
      <c r="E5201" s="21">
        <f t="shared" si="242"/>
        <v>43.990000000000002</v>
      </c>
      <c r="F5201" s="22">
        <v>0.81000000000000005</v>
      </c>
      <c r="G5201" s="21">
        <f t="shared" si="243"/>
        <v>43.689999999999998</v>
      </c>
      <c r="H5201" s="22">
        <v>0.81999999999999995</v>
      </c>
      <c r="I5201" s="23" t="str">
        <f t="shared" si="244"/>
        <v xml:space="preserve">COM VALOR</v>
      </c>
      <c r="J5201" s="19"/>
      <c r="L5201" s="21">
        <v>43.990000000000002</v>
      </c>
      <c r="M5201" s="22">
        <v>0</v>
      </c>
      <c r="N5201" s="21">
        <v>43.689999999999998</v>
      </c>
      <c r="O5201" s="22">
        <v>0</v>
      </c>
    </row>
    <row r="5202" ht="25.5">
      <c r="A5202" t="s">
        <v>5091</v>
      </c>
      <c r="B5202" s="19">
        <v>105227</v>
      </c>
      <c r="C5202" s="20" t="s">
        <v>5308</v>
      </c>
      <c r="D5202" s="19" t="s">
        <v>31</v>
      </c>
      <c r="E5202" s="21">
        <f t="shared" si="242"/>
        <v>63.039999999999999</v>
      </c>
      <c r="F5202" s="22">
        <v>0.68999999999999995</v>
      </c>
      <c r="G5202" s="21">
        <f t="shared" si="243"/>
        <v>62.659999999999997</v>
      </c>
      <c r="H5202" s="22">
        <v>0.70999999999999996</v>
      </c>
      <c r="I5202" s="23" t="str">
        <f t="shared" si="244"/>
        <v xml:space="preserve">COM VALOR</v>
      </c>
      <c r="J5202" s="19"/>
      <c r="L5202" s="21">
        <v>63.039999999999999</v>
      </c>
      <c r="M5202" s="22">
        <v>0</v>
      </c>
      <c r="N5202" s="21">
        <v>62.659999999999997</v>
      </c>
      <c r="O5202" s="22">
        <v>0</v>
      </c>
    </row>
    <row r="5203" ht="38.25">
      <c r="A5203" t="s">
        <v>5091</v>
      </c>
      <c r="B5203" s="19">
        <v>105212</v>
      </c>
      <c r="C5203" s="20" t="s">
        <v>5309</v>
      </c>
      <c r="D5203" s="19" t="s">
        <v>31</v>
      </c>
      <c r="E5203" s="21">
        <f t="shared" si="242"/>
        <v>261.11000000000001</v>
      </c>
      <c r="F5203" s="22">
        <v>0.70999999999999996</v>
      </c>
      <c r="G5203" s="21">
        <f t="shared" si="243"/>
        <v>258.85000000000002</v>
      </c>
      <c r="H5203" s="22">
        <v>0.72999999999999998</v>
      </c>
      <c r="I5203" s="23" t="str">
        <f t="shared" si="244"/>
        <v xml:space="preserve">COM VALOR</v>
      </c>
      <c r="J5203" s="19"/>
      <c r="L5203" s="21">
        <v>261.11000000000001</v>
      </c>
      <c r="M5203" s="22">
        <v>0</v>
      </c>
      <c r="N5203" s="21">
        <v>258.85000000000002</v>
      </c>
      <c r="O5203" s="22">
        <v>0</v>
      </c>
    </row>
    <row r="5204" ht="38.25">
      <c r="A5204" t="s">
        <v>5091</v>
      </c>
      <c r="B5204" s="19">
        <v>105211</v>
      </c>
      <c r="C5204" s="20" t="s">
        <v>5310</v>
      </c>
      <c r="D5204" s="19" t="s">
        <v>31</v>
      </c>
      <c r="E5204" s="21">
        <f t="shared" si="242"/>
        <v>262.99000000000001</v>
      </c>
      <c r="F5204" s="22">
        <v>0.75</v>
      </c>
      <c r="G5204" s="21">
        <f t="shared" si="243"/>
        <v>260.63</v>
      </c>
      <c r="H5204" s="22">
        <v>0.77000000000000002</v>
      </c>
      <c r="I5204" s="23" t="str">
        <f t="shared" si="244"/>
        <v xml:space="preserve">COM VALOR</v>
      </c>
      <c r="J5204" s="19"/>
      <c r="L5204" s="21">
        <v>262.99000000000001</v>
      </c>
      <c r="M5204" s="22">
        <v>0</v>
      </c>
      <c r="N5204" s="21">
        <v>260.63</v>
      </c>
      <c r="O5204" s="22">
        <v>0</v>
      </c>
    </row>
    <row r="5205" ht="38.25">
      <c r="A5205" t="s">
        <v>5091</v>
      </c>
      <c r="B5205" s="19">
        <v>105189</v>
      </c>
      <c r="C5205" s="20" t="s">
        <v>5311</v>
      </c>
      <c r="D5205" s="19" t="s">
        <v>31</v>
      </c>
      <c r="E5205" s="21">
        <f t="shared" si="242"/>
        <v>22.059999999999999</v>
      </c>
      <c r="F5205" s="22">
        <v>0.79000000000000004</v>
      </c>
      <c r="G5205" s="21">
        <f t="shared" si="243"/>
        <v>21.629999999999999</v>
      </c>
      <c r="H5205" s="22">
        <v>0.80000000000000004</v>
      </c>
      <c r="I5205" s="23" t="str">
        <f t="shared" si="244"/>
        <v xml:space="preserve">COM VALOR</v>
      </c>
      <c r="J5205" s="19"/>
      <c r="L5205" s="21">
        <v>22.059999999999999</v>
      </c>
      <c r="M5205" s="22">
        <v>0</v>
      </c>
      <c r="N5205" s="21">
        <v>21.629999999999999</v>
      </c>
      <c r="O5205" s="22">
        <v>0</v>
      </c>
    </row>
    <row r="5206" ht="38.25">
      <c r="A5206" t="s">
        <v>5091</v>
      </c>
      <c r="B5206" s="19">
        <v>105190</v>
      </c>
      <c r="C5206" s="20" t="s">
        <v>5312</v>
      </c>
      <c r="D5206" s="19" t="s">
        <v>31</v>
      </c>
      <c r="E5206" s="21">
        <f t="shared" si="242"/>
        <v>27.510000000000002</v>
      </c>
      <c r="F5206" s="22">
        <v>0.81000000000000005</v>
      </c>
      <c r="G5206" s="21">
        <f t="shared" si="243"/>
        <v>27.059999999999999</v>
      </c>
      <c r="H5206" s="22">
        <v>0.81999999999999995</v>
      </c>
      <c r="I5206" s="23" t="str">
        <f t="shared" si="244"/>
        <v xml:space="preserve">COM VALOR</v>
      </c>
      <c r="J5206" s="19"/>
      <c r="L5206" s="21">
        <v>27.510000000000002</v>
      </c>
      <c r="M5206" s="22">
        <v>0</v>
      </c>
      <c r="N5206" s="21">
        <v>27.059999999999999</v>
      </c>
      <c r="O5206" s="22">
        <v>0</v>
      </c>
    </row>
    <row r="5207" ht="38.25">
      <c r="A5207" t="s">
        <v>5091</v>
      </c>
      <c r="B5207" s="19">
        <v>94625</v>
      </c>
      <c r="C5207" s="20" t="s">
        <v>5313</v>
      </c>
      <c r="D5207" s="19" t="s">
        <v>31</v>
      </c>
      <c r="E5207" s="21">
        <f t="shared" si="242"/>
        <v>1557.45</v>
      </c>
      <c r="F5207" s="22">
        <v>0.57999999999999996</v>
      </c>
      <c r="G5207" s="21">
        <f t="shared" si="243"/>
        <v>1554.6800000000001</v>
      </c>
      <c r="H5207" s="22">
        <v>0.59999999999999998</v>
      </c>
      <c r="I5207" s="23" t="str">
        <f t="shared" si="244"/>
        <v xml:space="preserve">COM VALOR</v>
      </c>
      <c r="J5207" s="19"/>
      <c r="L5207" s="21">
        <v>1557.45</v>
      </c>
      <c r="M5207" s="22">
        <v>0.96999999999999997</v>
      </c>
      <c r="N5207" s="21">
        <v>1554.6800000000001</v>
      </c>
      <c r="O5207" s="22">
        <v>0.96999999999999997</v>
      </c>
    </row>
    <row r="5208" ht="38.25">
      <c r="A5208" t="s">
        <v>5091</v>
      </c>
      <c r="B5208" s="19">
        <v>94622</v>
      </c>
      <c r="C5208" s="20" t="s">
        <v>5314</v>
      </c>
      <c r="D5208" s="19" t="s">
        <v>31</v>
      </c>
      <c r="E5208" s="21">
        <f t="shared" si="242"/>
        <v>206.16</v>
      </c>
      <c r="F5208" s="22">
        <v>0.66000000000000003</v>
      </c>
      <c r="G5208" s="21">
        <f t="shared" si="243"/>
        <v>203.81</v>
      </c>
      <c r="H5208" s="22">
        <v>0.68000000000000005</v>
      </c>
      <c r="I5208" s="23" t="str">
        <f t="shared" si="244"/>
        <v xml:space="preserve">COM VALOR</v>
      </c>
      <c r="J5208" s="19"/>
      <c r="L5208" s="21">
        <v>206.16</v>
      </c>
      <c r="M5208" s="22">
        <v>0.80000000000000004</v>
      </c>
      <c r="N5208" s="21">
        <v>203.81</v>
      </c>
      <c r="O5208" s="22">
        <v>0.81000000000000005</v>
      </c>
    </row>
    <row r="5209" ht="38.25">
      <c r="A5209" t="s">
        <v>5091</v>
      </c>
      <c r="B5209" s="19">
        <v>94623</v>
      </c>
      <c r="C5209" s="20" t="s">
        <v>5315</v>
      </c>
      <c r="D5209" s="19" t="s">
        <v>31</v>
      </c>
      <c r="E5209" s="21">
        <f t="shared" si="242"/>
        <v>492.67000000000002</v>
      </c>
      <c r="F5209" s="22">
        <v>0.66000000000000003</v>
      </c>
      <c r="G5209" s="21">
        <f t="shared" si="243"/>
        <v>490.22000000000003</v>
      </c>
      <c r="H5209" s="22">
        <v>0.68000000000000005</v>
      </c>
      <c r="I5209" s="23" t="str">
        <f t="shared" si="244"/>
        <v xml:space="preserve">COM VALOR</v>
      </c>
      <c r="J5209" s="19"/>
      <c r="L5209" s="21">
        <v>492.67000000000002</v>
      </c>
      <c r="M5209" s="22">
        <v>0.91000000000000003</v>
      </c>
      <c r="N5209" s="21">
        <v>490.22000000000003</v>
      </c>
      <c r="O5209" s="22">
        <v>0.92000000000000004</v>
      </c>
    </row>
    <row r="5210" ht="38.25">
      <c r="A5210" t="s">
        <v>5091</v>
      </c>
      <c r="B5210" s="19">
        <v>94624</v>
      </c>
      <c r="C5210" s="20" t="s">
        <v>5316</v>
      </c>
      <c r="D5210" s="19" t="s">
        <v>31</v>
      </c>
      <c r="E5210" s="21">
        <f t="shared" si="242"/>
        <v>742.79999999999995</v>
      </c>
      <c r="F5210" s="22"/>
      <c r="G5210" s="21">
        <f t="shared" si="243"/>
        <v>740.24000000000001</v>
      </c>
      <c r="H5210" s="22"/>
      <c r="I5210" s="23" t="str">
        <f t="shared" si="244"/>
        <v xml:space="preserve">COM VALOR</v>
      </c>
      <c r="J5210" s="19"/>
      <c r="L5210" s="21">
        <v>742.79999999999995</v>
      </c>
      <c r="M5210" s="22">
        <v>0.93999999999999995</v>
      </c>
      <c r="N5210" s="21">
        <v>740.24000000000001</v>
      </c>
      <c r="O5210" s="22">
        <v>0.93999999999999995</v>
      </c>
    </row>
    <row r="5211" ht="25.5">
      <c r="A5211" t="s">
        <v>5091</v>
      </c>
      <c r="B5211" s="19">
        <v>94763</v>
      </c>
      <c r="C5211" s="20" t="s">
        <v>5317</v>
      </c>
      <c r="D5211" s="19" t="s">
        <v>31</v>
      </c>
      <c r="E5211" s="21">
        <f t="shared" si="242"/>
        <v>391.13999999999999</v>
      </c>
      <c r="F5211" s="22">
        <v>0.68999999999999995</v>
      </c>
      <c r="G5211" s="21">
        <f t="shared" si="243"/>
        <v>388.82999999999998</v>
      </c>
      <c r="H5211" s="22">
        <v>0.70999999999999996</v>
      </c>
      <c r="I5211" s="23" t="str">
        <f t="shared" si="244"/>
        <v xml:space="preserve">COM VALOR</v>
      </c>
      <c r="J5211" s="19"/>
      <c r="L5211" s="21">
        <v>391.13999999999999</v>
      </c>
      <c r="M5211" s="22">
        <v>0</v>
      </c>
      <c r="N5211" s="21">
        <v>388.82999999999998</v>
      </c>
      <c r="O5211" s="22">
        <v>0</v>
      </c>
    </row>
    <row r="5212" ht="25.5">
      <c r="A5212" t="s">
        <v>5091</v>
      </c>
      <c r="B5212" s="19">
        <v>94756</v>
      </c>
      <c r="C5212" s="20" t="s">
        <v>5318</v>
      </c>
      <c r="D5212" s="19" t="s">
        <v>31</v>
      </c>
      <c r="E5212" s="21">
        <f t="shared" si="242"/>
        <v>13.75</v>
      </c>
      <c r="F5212" s="22">
        <v>0.62</v>
      </c>
      <c r="G5212" s="21">
        <f t="shared" si="243"/>
        <v>13.550000000000001</v>
      </c>
      <c r="H5212" s="22">
        <v>0.64000000000000001</v>
      </c>
      <c r="I5212" s="23" t="str">
        <f t="shared" si="244"/>
        <v xml:space="preserve">COM VALOR</v>
      </c>
      <c r="J5212" s="19"/>
      <c r="L5212" s="21">
        <v>13.75</v>
      </c>
      <c r="M5212" s="22">
        <v>0</v>
      </c>
      <c r="N5212" s="21">
        <v>13.550000000000001</v>
      </c>
      <c r="O5212" s="22">
        <v>0</v>
      </c>
    </row>
    <row r="5213" ht="25.5">
      <c r="A5213" t="s">
        <v>5091</v>
      </c>
      <c r="B5213" s="19">
        <v>94757</v>
      </c>
      <c r="C5213" s="20" t="s">
        <v>5319</v>
      </c>
      <c r="D5213" s="19" t="s">
        <v>31</v>
      </c>
      <c r="E5213" s="21">
        <f t="shared" si="242"/>
        <v>21.800000000000001</v>
      </c>
      <c r="F5213" s="22">
        <v>0.62</v>
      </c>
      <c r="G5213" s="21">
        <f t="shared" si="243"/>
        <v>21.559999999999999</v>
      </c>
      <c r="H5213" s="22">
        <v>0.63</v>
      </c>
      <c r="I5213" s="23" t="str">
        <f t="shared" si="244"/>
        <v xml:space="preserve">COM VALOR</v>
      </c>
      <c r="J5213" s="19"/>
      <c r="L5213" s="21">
        <v>21.800000000000001</v>
      </c>
      <c r="M5213" s="22">
        <v>0</v>
      </c>
      <c r="N5213" s="21">
        <v>21.559999999999999</v>
      </c>
      <c r="O5213" s="22">
        <v>0</v>
      </c>
    </row>
    <row r="5214" ht="25.5">
      <c r="A5214" t="s">
        <v>5091</v>
      </c>
      <c r="B5214" s="19">
        <v>94758</v>
      </c>
      <c r="C5214" s="20" t="s">
        <v>5320</v>
      </c>
      <c r="D5214" s="19" t="s">
        <v>31</v>
      </c>
      <c r="E5214" s="21">
        <f t="shared" si="242"/>
        <v>56.009999999999998</v>
      </c>
      <c r="F5214" s="22">
        <v>0.70999999999999996</v>
      </c>
      <c r="G5214" s="21">
        <f t="shared" si="243"/>
        <v>55.689999999999998</v>
      </c>
      <c r="H5214" s="22">
        <v>0.72999999999999998</v>
      </c>
      <c r="I5214" s="23" t="str">
        <f t="shared" si="244"/>
        <v xml:space="preserve">COM VALOR</v>
      </c>
      <c r="J5214" s="19"/>
      <c r="L5214" s="21">
        <v>56.009999999999998</v>
      </c>
      <c r="M5214" s="22">
        <v>0</v>
      </c>
      <c r="N5214" s="21">
        <v>55.689999999999998</v>
      </c>
      <c r="O5214" s="22">
        <v>0</v>
      </c>
    </row>
    <row r="5215" ht="25.5">
      <c r="A5215" t="s">
        <v>5091</v>
      </c>
      <c r="B5215" s="19">
        <v>94759</v>
      </c>
      <c r="C5215" s="20" t="s">
        <v>5321</v>
      </c>
      <c r="D5215" s="19" t="s">
        <v>31</v>
      </c>
      <c r="E5215" s="21">
        <f t="shared" si="242"/>
        <v>71.269999999999996</v>
      </c>
      <c r="F5215" s="22">
        <v>0.73999999999999999</v>
      </c>
      <c r="G5215" s="21">
        <f t="shared" si="243"/>
        <v>70.859999999999999</v>
      </c>
      <c r="H5215" s="22">
        <v>0.76000000000000001</v>
      </c>
      <c r="I5215" s="23" t="str">
        <f t="shared" si="244"/>
        <v xml:space="preserve">COM VALOR</v>
      </c>
      <c r="J5215" s="19"/>
      <c r="L5215" s="21">
        <v>71.269999999999996</v>
      </c>
      <c r="M5215" s="22">
        <v>0</v>
      </c>
      <c r="N5215" s="21">
        <v>70.859999999999999</v>
      </c>
      <c r="O5215" s="22">
        <v>0</v>
      </c>
    </row>
    <row r="5216" ht="25.5">
      <c r="A5216" t="s">
        <v>5091</v>
      </c>
      <c r="B5216" s="19">
        <v>94760</v>
      </c>
      <c r="C5216" s="20" t="s">
        <v>5322</v>
      </c>
      <c r="D5216" s="19" t="s">
        <v>31</v>
      </c>
      <c r="E5216" s="21">
        <f t="shared" si="242"/>
        <v>113.59999999999999</v>
      </c>
      <c r="F5216" s="22">
        <v>0.57999999999999996</v>
      </c>
      <c r="G5216" s="21">
        <f t="shared" si="243"/>
        <v>112.98999999999999</v>
      </c>
      <c r="H5216" s="22">
        <v>0.59999999999999998</v>
      </c>
      <c r="I5216" s="23" t="str">
        <f t="shared" si="244"/>
        <v xml:space="preserve">COM VALOR</v>
      </c>
      <c r="J5216" s="19"/>
      <c r="L5216" s="21">
        <v>113.59999999999999</v>
      </c>
      <c r="M5216" s="22">
        <v>0</v>
      </c>
      <c r="N5216" s="21">
        <v>112.98999999999999</v>
      </c>
      <c r="O5216" s="22">
        <v>0</v>
      </c>
    </row>
    <row r="5217" ht="25.5">
      <c r="A5217" t="s">
        <v>5091</v>
      </c>
      <c r="B5217" s="19">
        <v>94761</v>
      </c>
      <c r="C5217" s="20" t="s">
        <v>5323</v>
      </c>
      <c r="D5217" s="19" t="s">
        <v>31</v>
      </c>
      <c r="E5217" s="21">
        <f t="shared" si="242"/>
        <v>246.16999999999999</v>
      </c>
      <c r="F5217" s="22">
        <v>0.60999999999999999</v>
      </c>
      <c r="G5217" s="21">
        <f t="shared" si="243"/>
        <v>245.16</v>
      </c>
      <c r="H5217" s="22">
        <v>0.63</v>
      </c>
      <c r="I5217" s="23" t="str">
        <f t="shared" si="244"/>
        <v xml:space="preserve">COM VALOR</v>
      </c>
      <c r="J5217" s="19"/>
      <c r="L5217" s="21">
        <v>246.16999999999999</v>
      </c>
      <c r="M5217" s="22">
        <v>0</v>
      </c>
      <c r="N5217" s="21">
        <v>245.16</v>
      </c>
      <c r="O5217" s="22">
        <v>0</v>
      </c>
    </row>
    <row r="5218" ht="25.5">
      <c r="A5218" t="s">
        <v>5091</v>
      </c>
      <c r="B5218" s="19">
        <v>94762</v>
      </c>
      <c r="C5218" s="20" t="s">
        <v>5324</v>
      </c>
      <c r="D5218" s="19" t="s">
        <v>31</v>
      </c>
      <c r="E5218" s="21">
        <f t="shared" si="242"/>
        <v>298.25</v>
      </c>
      <c r="F5218" s="22">
        <v>0.71999999999999997</v>
      </c>
      <c r="G5218" s="21">
        <f t="shared" si="243"/>
        <v>296.79000000000002</v>
      </c>
      <c r="H5218" s="22">
        <v>0.72999999999999998</v>
      </c>
      <c r="I5218" s="23" t="str">
        <f t="shared" si="244"/>
        <v xml:space="preserve">COM VALOR</v>
      </c>
      <c r="J5218" s="19"/>
      <c r="L5218" s="21">
        <v>298.25</v>
      </c>
      <c r="M5218" s="22">
        <v>0</v>
      </c>
      <c r="N5218" s="21">
        <v>296.79000000000002</v>
      </c>
      <c r="O5218" s="22">
        <v>0</v>
      </c>
    </row>
    <row r="5219" ht="38.25">
      <c r="A5219" t="s">
        <v>5091</v>
      </c>
      <c r="B5219" s="19">
        <v>94462</v>
      </c>
      <c r="C5219" s="20" t="s">
        <v>5325</v>
      </c>
      <c r="D5219" s="19" t="s">
        <v>38</v>
      </c>
      <c r="E5219" s="21">
        <f t="shared" si="242"/>
        <v>96.120000000000005</v>
      </c>
      <c r="F5219" s="22">
        <v>0.70999999999999996</v>
      </c>
      <c r="G5219" s="21">
        <f t="shared" si="243"/>
        <v>95.030000000000001</v>
      </c>
      <c r="H5219" s="22">
        <v>0.72999999999999998</v>
      </c>
      <c r="I5219" s="23" t="str">
        <f t="shared" si="244"/>
        <v xml:space="preserve">COM VALOR</v>
      </c>
      <c r="J5219" s="19"/>
      <c r="L5219" s="21">
        <v>96.120000000000005</v>
      </c>
      <c r="M5219" s="22">
        <v>0.80000000000000004</v>
      </c>
      <c r="N5219" s="21">
        <v>95.030000000000001</v>
      </c>
      <c r="O5219" s="22">
        <v>0.81000000000000005</v>
      </c>
    </row>
    <row r="5220" ht="38.25">
      <c r="A5220" t="s">
        <v>5091</v>
      </c>
      <c r="B5220" s="19">
        <v>94463</v>
      </c>
      <c r="C5220" s="20" t="s">
        <v>5326</v>
      </c>
      <c r="D5220" s="19" t="s">
        <v>38</v>
      </c>
      <c r="E5220" s="21">
        <f t="shared" si="242"/>
        <v>117.90000000000001</v>
      </c>
      <c r="F5220" s="22"/>
      <c r="G5220" s="21">
        <f t="shared" si="243"/>
        <v>116.63</v>
      </c>
      <c r="H5220" s="22"/>
      <c r="I5220" s="23" t="str">
        <f t="shared" si="244"/>
        <v xml:space="preserve">COM VALOR</v>
      </c>
      <c r="J5220" s="19"/>
      <c r="L5220" s="21">
        <v>117.90000000000001</v>
      </c>
      <c r="M5220" s="22">
        <v>0.81000000000000005</v>
      </c>
      <c r="N5220" s="21">
        <v>116.63</v>
      </c>
      <c r="O5220" s="22">
        <v>0.81999999999999995</v>
      </c>
    </row>
    <row r="5221" ht="38.25">
      <c r="A5221" t="s">
        <v>5091</v>
      </c>
      <c r="B5221" s="19">
        <v>94464</v>
      </c>
      <c r="C5221" s="20" t="s">
        <v>5327</v>
      </c>
      <c r="D5221" s="19" t="s">
        <v>38</v>
      </c>
      <c r="E5221" s="21">
        <f t="shared" si="242"/>
        <v>154.94</v>
      </c>
      <c r="F5221" s="22"/>
      <c r="G5221" s="21">
        <f t="shared" si="243"/>
        <v>153.44999999999999</v>
      </c>
      <c r="H5221" s="22"/>
      <c r="I5221" s="23" t="str">
        <f t="shared" si="244"/>
        <v xml:space="preserve">COM VALOR</v>
      </c>
      <c r="J5221" s="19"/>
      <c r="L5221" s="21">
        <v>154.94</v>
      </c>
      <c r="M5221" s="22">
        <v>0.82999999999999996</v>
      </c>
      <c r="N5221" s="21">
        <v>153.44999999999999</v>
      </c>
      <c r="O5221" s="22">
        <v>0.83999999999999997</v>
      </c>
    </row>
    <row r="5222" ht="38.25">
      <c r="A5222" t="s">
        <v>5091</v>
      </c>
      <c r="B5222" s="19">
        <v>94605</v>
      </c>
      <c r="C5222" s="20" t="s">
        <v>5328</v>
      </c>
      <c r="D5222" s="19" t="s">
        <v>38</v>
      </c>
      <c r="E5222" s="21">
        <f t="shared" si="242"/>
        <v>660.98000000000002</v>
      </c>
      <c r="F5222" s="22"/>
      <c r="G5222" s="21">
        <f t="shared" si="243"/>
        <v>659.30999999999995</v>
      </c>
      <c r="H5222" s="22"/>
      <c r="I5222" s="23" t="str">
        <f t="shared" si="244"/>
        <v xml:space="preserve">COM VALOR</v>
      </c>
      <c r="J5222" s="19"/>
      <c r="L5222" s="21">
        <v>660.98000000000002</v>
      </c>
      <c r="M5222" s="22">
        <v>0.94999999999999996</v>
      </c>
      <c r="N5222" s="21">
        <v>659.30999999999995</v>
      </c>
      <c r="O5222" s="22">
        <v>0.95999999999999996</v>
      </c>
    </row>
    <row r="5223" ht="38.25">
      <c r="A5223" t="s">
        <v>5091</v>
      </c>
      <c r="B5223" s="19">
        <v>94602</v>
      </c>
      <c r="C5223" s="20" t="s">
        <v>5329</v>
      </c>
      <c r="D5223" s="19" t="s">
        <v>38</v>
      </c>
      <c r="E5223" s="21">
        <f t="shared" si="242"/>
        <v>233.09</v>
      </c>
      <c r="F5223" s="22">
        <v>0.64000000000000001</v>
      </c>
      <c r="G5223" s="21">
        <f t="shared" si="243"/>
        <v>231.68000000000001</v>
      </c>
      <c r="H5223" s="22">
        <v>0.66000000000000003</v>
      </c>
      <c r="I5223" s="23" t="str">
        <f t="shared" si="244"/>
        <v xml:space="preserve">COM VALOR</v>
      </c>
      <c r="J5223" s="19"/>
      <c r="L5223" s="21">
        <v>233.09</v>
      </c>
      <c r="M5223" s="22">
        <v>0.89000000000000001</v>
      </c>
      <c r="N5223" s="21">
        <v>231.68000000000001</v>
      </c>
      <c r="O5223" s="22">
        <v>0.90000000000000002</v>
      </c>
    </row>
    <row r="5224" ht="38.25">
      <c r="A5224" t="s">
        <v>5091</v>
      </c>
      <c r="B5224" s="19">
        <v>94603</v>
      </c>
      <c r="C5224" s="20" t="s">
        <v>5330</v>
      </c>
      <c r="D5224" s="19" t="s">
        <v>38</v>
      </c>
      <c r="E5224" s="21">
        <f t="shared" si="242"/>
        <v>319.16000000000003</v>
      </c>
      <c r="F5224" s="22">
        <v>0.65000000000000002</v>
      </c>
      <c r="G5224" s="21">
        <f t="shared" si="243"/>
        <v>317.67000000000002</v>
      </c>
      <c r="H5224" s="22">
        <v>0.66000000000000003</v>
      </c>
      <c r="I5224" s="23" t="str">
        <f t="shared" si="244"/>
        <v xml:space="preserve">COM VALOR</v>
      </c>
      <c r="J5224" s="19"/>
      <c r="L5224" s="21">
        <v>319.16000000000003</v>
      </c>
      <c r="M5224" s="22">
        <v>0.91749999999999998</v>
      </c>
      <c r="N5224" s="21">
        <v>317.67000000000002</v>
      </c>
      <c r="O5224" s="22">
        <v>0.92000000000000004</v>
      </c>
    </row>
    <row r="5225" ht="38.25">
      <c r="A5225" t="s">
        <v>5091</v>
      </c>
      <c r="B5225" s="19">
        <v>94604</v>
      </c>
      <c r="C5225" s="20" t="s">
        <v>5331</v>
      </c>
      <c r="D5225" s="19" t="s">
        <v>38</v>
      </c>
      <c r="E5225" s="21">
        <f t="shared" si="242"/>
        <v>455.56</v>
      </c>
      <c r="F5225" s="22">
        <v>0.67000000000000004</v>
      </c>
      <c r="G5225" s="21">
        <f t="shared" si="243"/>
        <v>454.01999999999998</v>
      </c>
      <c r="H5225" s="22">
        <v>0.68999999999999995</v>
      </c>
      <c r="I5225" s="23" t="str">
        <f t="shared" si="244"/>
        <v xml:space="preserve">COM VALOR</v>
      </c>
      <c r="J5225" s="19"/>
      <c r="L5225" s="21">
        <v>455.56</v>
      </c>
      <c r="M5225" s="22">
        <v>0.93999999999999995</v>
      </c>
      <c r="N5225" s="21">
        <v>454.01999999999998</v>
      </c>
      <c r="O5225" s="22">
        <v>0.93999999999999995</v>
      </c>
    </row>
    <row r="5226" ht="25.5">
      <c r="A5226" t="s">
        <v>5091</v>
      </c>
      <c r="B5226" s="19">
        <v>94723</v>
      </c>
      <c r="C5226" s="20" t="s">
        <v>5332</v>
      </c>
      <c r="D5226" s="19" t="s">
        <v>38</v>
      </c>
      <c r="E5226" s="21">
        <f t="shared" si="242"/>
        <v>504.97000000000003</v>
      </c>
      <c r="F5226" s="22">
        <v>0.71999999999999997</v>
      </c>
      <c r="G5226" s="21">
        <f t="shared" si="243"/>
        <v>503.56999999999999</v>
      </c>
      <c r="H5226" s="22">
        <v>0.73999999999999999</v>
      </c>
      <c r="I5226" s="23" t="str">
        <f t="shared" si="244"/>
        <v xml:space="preserve">COM VALOR</v>
      </c>
      <c r="J5226" s="19"/>
      <c r="L5226" s="21">
        <v>504.97000000000003</v>
      </c>
      <c r="M5226" s="22">
        <v>0</v>
      </c>
      <c r="N5226" s="21">
        <v>503.56999999999999</v>
      </c>
      <c r="O5226" s="22">
        <v>0</v>
      </c>
    </row>
    <row r="5227" ht="25.5">
      <c r="A5227" t="s">
        <v>5091</v>
      </c>
      <c r="B5227" s="19">
        <v>94716</v>
      </c>
      <c r="C5227" s="20" t="s">
        <v>5333</v>
      </c>
      <c r="D5227" s="19" t="s">
        <v>38</v>
      </c>
      <c r="E5227" s="21">
        <f t="shared" si="242"/>
        <v>24.629999999999999</v>
      </c>
      <c r="F5227" s="22"/>
      <c r="G5227" s="21">
        <f t="shared" si="243"/>
        <v>24.52</v>
      </c>
      <c r="H5227" s="22"/>
      <c r="I5227" s="23" t="str">
        <f t="shared" si="244"/>
        <v xml:space="preserve">COM VALOR</v>
      </c>
      <c r="J5227" s="19"/>
      <c r="L5227" s="21">
        <v>24.629999999999999</v>
      </c>
      <c r="M5227" s="22">
        <v>0</v>
      </c>
      <c r="N5227" s="21">
        <v>24.52</v>
      </c>
      <c r="O5227" s="22">
        <v>0</v>
      </c>
    </row>
    <row r="5228" ht="25.5">
      <c r="A5228" t="s">
        <v>5091</v>
      </c>
      <c r="B5228" s="19">
        <v>94717</v>
      </c>
      <c r="C5228" s="20" t="s">
        <v>5334</v>
      </c>
      <c r="D5228" s="19" t="s">
        <v>38</v>
      </c>
      <c r="E5228" s="21">
        <f t="shared" si="242"/>
        <v>41.479999999999997</v>
      </c>
      <c r="F5228" s="22"/>
      <c r="G5228" s="21">
        <f t="shared" si="243"/>
        <v>41.329999999999998</v>
      </c>
      <c r="H5228" s="22"/>
      <c r="I5228" s="23" t="str">
        <f t="shared" si="244"/>
        <v xml:space="preserve">COM VALOR</v>
      </c>
      <c r="J5228" s="19"/>
      <c r="L5228" s="21">
        <v>41.479999999999997</v>
      </c>
      <c r="M5228" s="22">
        <v>0</v>
      </c>
      <c r="N5228" s="21">
        <v>41.329999999999998</v>
      </c>
      <c r="O5228" s="22">
        <v>0</v>
      </c>
    </row>
    <row r="5229" ht="25.5">
      <c r="A5229" t="s">
        <v>5091</v>
      </c>
      <c r="B5229" s="19">
        <v>94718</v>
      </c>
      <c r="C5229" s="20" t="s">
        <v>5335</v>
      </c>
      <c r="D5229" s="19" t="s">
        <v>38</v>
      </c>
      <c r="E5229" s="21">
        <f t="shared" si="242"/>
        <v>54.18</v>
      </c>
      <c r="F5229" s="22"/>
      <c r="G5229" s="21">
        <f t="shared" si="243"/>
        <v>53.979999999999997</v>
      </c>
      <c r="H5229" s="22"/>
      <c r="I5229" s="23" t="str">
        <f t="shared" si="244"/>
        <v xml:space="preserve">COM VALOR</v>
      </c>
      <c r="J5229" s="19"/>
      <c r="L5229" s="21">
        <v>54.18</v>
      </c>
      <c r="M5229" s="22">
        <v>0</v>
      </c>
      <c r="N5229" s="21">
        <v>53.979999999999997</v>
      </c>
      <c r="O5229" s="22">
        <v>0</v>
      </c>
    </row>
    <row r="5230" ht="25.5">
      <c r="A5230" t="s">
        <v>5091</v>
      </c>
      <c r="B5230" s="19">
        <v>94719</v>
      </c>
      <c r="C5230" s="20" t="s">
        <v>5336</v>
      </c>
      <c r="D5230" s="19" t="s">
        <v>38</v>
      </c>
      <c r="E5230" s="21">
        <f t="shared" si="242"/>
        <v>72.340000000000003</v>
      </c>
      <c r="F5230" s="22"/>
      <c r="G5230" s="21">
        <f t="shared" si="243"/>
        <v>72.090000000000003</v>
      </c>
      <c r="H5230" s="22"/>
      <c r="I5230" s="23" t="str">
        <f t="shared" si="244"/>
        <v xml:space="preserve">COM VALOR</v>
      </c>
      <c r="J5230" s="19"/>
      <c r="L5230" s="21">
        <v>72.340000000000003</v>
      </c>
      <c r="M5230" s="22">
        <v>0</v>
      </c>
      <c r="N5230" s="21">
        <v>72.090000000000003</v>
      </c>
      <c r="O5230" s="22">
        <v>0</v>
      </c>
    </row>
    <row r="5231" ht="25.5">
      <c r="A5231" t="s">
        <v>5091</v>
      </c>
      <c r="B5231" s="19">
        <v>94720</v>
      </c>
      <c r="C5231" s="20" t="s">
        <v>5337</v>
      </c>
      <c r="D5231" s="19" t="s">
        <v>38</v>
      </c>
      <c r="E5231" s="21">
        <f t="shared" si="242"/>
        <v>105.91</v>
      </c>
      <c r="F5231" s="22"/>
      <c r="G5231" s="21">
        <f t="shared" si="243"/>
        <v>105.55</v>
      </c>
      <c r="H5231" s="22"/>
      <c r="I5231" s="23" t="str">
        <f t="shared" si="244"/>
        <v xml:space="preserve">COM VALOR</v>
      </c>
      <c r="J5231" s="19"/>
      <c r="L5231" s="21">
        <v>105.91</v>
      </c>
      <c r="M5231" s="22">
        <v>0</v>
      </c>
      <c r="N5231" s="21">
        <v>105.55</v>
      </c>
      <c r="O5231" s="22">
        <v>0</v>
      </c>
    </row>
    <row r="5232" ht="25.5">
      <c r="A5232" t="s">
        <v>5091</v>
      </c>
      <c r="B5232" s="19">
        <v>94721</v>
      </c>
      <c r="C5232" s="20" t="s">
        <v>5338</v>
      </c>
      <c r="D5232" s="19" t="s">
        <v>38</v>
      </c>
      <c r="E5232" s="21">
        <f t="shared" si="242"/>
        <v>171.61000000000001</v>
      </c>
      <c r="F5232" s="22"/>
      <c r="G5232" s="21">
        <f t="shared" si="243"/>
        <v>171</v>
      </c>
      <c r="H5232" s="22"/>
      <c r="I5232" s="23" t="str">
        <f t="shared" si="244"/>
        <v xml:space="preserve">COM VALOR</v>
      </c>
      <c r="J5232" s="19"/>
      <c r="L5232" s="21">
        <v>171.61000000000001</v>
      </c>
      <c r="M5232" s="22">
        <v>0</v>
      </c>
      <c r="N5232" s="21">
        <v>171</v>
      </c>
      <c r="O5232" s="22">
        <v>0</v>
      </c>
    </row>
    <row r="5233" ht="25.5">
      <c r="A5233" t="s">
        <v>5091</v>
      </c>
      <c r="B5233" s="19">
        <v>94722</v>
      </c>
      <c r="C5233" s="20" t="s">
        <v>5339</v>
      </c>
      <c r="D5233" s="19" t="s">
        <v>38</v>
      </c>
      <c r="E5233" s="21">
        <f t="shared" si="242"/>
        <v>267.87</v>
      </c>
      <c r="F5233" s="22"/>
      <c r="G5233" s="21">
        <f t="shared" si="243"/>
        <v>267</v>
      </c>
      <c r="H5233" s="22"/>
      <c r="I5233" s="23" t="str">
        <f t="shared" si="244"/>
        <v xml:space="preserve">COM VALOR</v>
      </c>
      <c r="J5233" s="19"/>
      <c r="L5233" s="21">
        <v>267.87</v>
      </c>
      <c r="M5233" s="22">
        <v>0</v>
      </c>
      <c r="N5233" s="21">
        <v>267</v>
      </c>
      <c r="O5233" s="22">
        <v>0</v>
      </c>
    </row>
    <row r="5234" ht="25.5">
      <c r="A5234" t="s">
        <v>5091</v>
      </c>
      <c r="B5234" s="19">
        <v>96726</v>
      </c>
      <c r="C5234" s="20" t="s">
        <v>5340</v>
      </c>
      <c r="D5234" s="19" t="s">
        <v>38</v>
      </c>
      <c r="E5234" s="21">
        <f t="shared" si="242"/>
        <v>179.83000000000001</v>
      </c>
      <c r="F5234" s="22"/>
      <c r="G5234" s="21">
        <f t="shared" si="243"/>
        <v>178.40000000000001</v>
      </c>
      <c r="H5234" s="22"/>
      <c r="I5234" s="23" t="str">
        <f t="shared" si="244"/>
        <v xml:space="preserve">COM VALOR</v>
      </c>
      <c r="J5234" s="19"/>
      <c r="L5234" s="21">
        <v>179.83000000000001</v>
      </c>
      <c r="M5234" s="22">
        <v>0.85999999999999999</v>
      </c>
      <c r="N5234" s="21">
        <v>178.40000000000001</v>
      </c>
      <c r="O5234" s="22">
        <v>0.85999999999999999</v>
      </c>
    </row>
    <row r="5235" ht="25.5">
      <c r="A5235" t="s">
        <v>5091</v>
      </c>
      <c r="B5235" s="19">
        <v>96735</v>
      </c>
      <c r="C5235" s="20" t="s">
        <v>5341</v>
      </c>
      <c r="D5235" s="19" t="s">
        <v>38</v>
      </c>
      <c r="E5235" s="21">
        <f t="shared" si="242"/>
        <v>343.08999999999997</v>
      </c>
      <c r="F5235" s="22"/>
      <c r="G5235" s="21">
        <f t="shared" si="243"/>
        <v>341.32999999999998</v>
      </c>
      <c r="H5235" s="22"/>
      <c r="I5235" s="23" t="str">
        <f t="shared" si="244"/>
        <v xml:space="preserve">COM VALOR</v>
      </c>
      <c r="J5235" s="19"/>
      <c r="L5235" s="21">
        <v>343.08999999999997</v>
      </c>
      <c r="M5235" s="22">
        <v>0.91000000000000003</v>
      </c>
      <c r="N5235" s="21">
        <v>341.32999999999998</v>
      </c>
      <c r="O5235" s="22">
        <v>0.91000000000000003</v>
      </c>
    </row>
    <row r="5236" ht="25.5">
      <c r="A5236" t="s">
        <v>5091</v>
      </c>
      <c r="B5236" s="19">
        <v>96718</v>
      </c>
      <c r="C5236" s="20" t="s">
        <v>5342</v>
      </c>
      <c r="D5236" s="19" t="s">
        <v>38</v>
      </c>
      <c r="E5236" s="21">
        <f t="shared" si="242"/>
        <v>15.779999999999999</v>
      </c>
      <c r="F5236" s="22"/>
      <c r="G5236" s="21">
        <f t="shared" si="243"/>
        <v>15.539999999999999</v>
      </c>
      <c r="H5236" s="22"/>
      <c r="I5236" s="23" t="str">
        <f t="shared" si="244"/>
        <v xml:space="preserve">COM VALOR</v>
      </c>
      <c r="J5236" s="19"/>
      <c r="L5236" s="21">
        <v>15.779999999999999</v>
      </c>
      <c r="M5236" s="22">
        <v>0.73999999999999999</v>
      </c>
      <c r="N5236" s="21">
        <v>15.539999999999999</v>
      </c>
      <c r="O5236" s="22">
        <v>0.75</v>
      </c>
    </row>
    <row r="5237" ht="25.5">
      <c r="A5237" t="s">
        <v>5091</v>
      </c>
      <c r="B5237" s="19">
        <v>96727</v>
      </c>
      <c r="C5237" s="20" t="s">
        <v>5343</v>
      </c>
      <c r="D5237" s="19" t="s">
        <v>38</v>
      </c>
      <c r="E5237" s="21">
        <f t="shared" si="242"/>
        <v>17.879999999999999</v>
      </c>
      <c r="F5237" s="22"/>
      <c r="G5237" s="21">
        <f t="shared" si="243"/>
        <v>17.59</v>
      </c>
      <c r="H5237" s="22"/>
      <c r="I5237" s="23" t="str">
        <f t="shared" si="244"/>
        <v xml:space="preserve">COM VALOR</v>
      </c>
      <c r="J5237" s="19"/>
      <c r="L5237" s="21">
        <v>17.879999999999999</v>
      </c>
      <c r="M5237" s="22">
        <v>0.70999999999999996</v>
      </c>
      <c r="N5237" s="21">
        <v>17.59</v>
      </c>
      <c r="O5237" s="22">
        <v>0.72999999999999998</v>
      </c>
    </row>
    <row r="5238" ht="25.5">
      <c r="A5238" t="s">
        <v>5091</v>
      </c>
      <c r="B5238" s="19">
        <v>96719</v>
      </c>
      <c r="C5238" s="20" t="s">
        <v>5344</v>
      </c>
      <c r="D5238" s="19" t="s">
        <v>38</v>
      </c>
      <c r="E5238" s="21">
        <f t="shared" si="242"/>
        <v>20.34</v>
      </c>
      <c r="F5238" s="22"/>
      <c r="G5238" s="21">
        <f t="shared" si="243"/>
        <v>20.07</v>
      </c>
      <c r="H5238" s="22"/>
      <c r="I5238" s="23" t="str">
        <f t="shared" si="244"/>
        <v xml:space="preserve">COM VALOR</v>
      </c>
      <c r="J5238" s="19"/>
      <c r="L5238" s="21">
        <v>20.34</v>
      </c>
      <c r="M5238" s="22">
        <v>0.77000000000000002</v>
      </c>
      <c r="N5238" s="21">
        <v>20.07</v>
      </c>
      <c r="O5238" s="22">
        <v>0.79000000000000004</v>
      </c>
    </row>
    <row r="5239" ht="25.5">
      <c r="A5239" t="s">
        <v>5091</v>
      </c>
      <c r="B5239" s="19">
        <v>96728</v>
      </c>
      <c r="C5239" s="20" t="s">
        <v>5345</v>
      </c>
      <c r="D5239" s="19" t="s">
        <v>38</v>
      </c>
      <c r="E5239" s="21">
        <f t="shared" si="242"/>
        <v>23.289999999999999</v>
      </c>
      <c r="F5239" s="22"/>
      <c r="G5239" s="21">
        <f t="shared" si="243"/>
        <v>22.98</v>
      </c>
      <c r="H5239" s="22"/>
      <c r="I5239" s="23" t="str">
        <f t="shared" si="244"/>
        <v xml:space="preserve">COM VALOR</v>
      </c>
      <c r="J5239" s="19"/>
      <c r="L5239" s="21">
        <v>23.289999999999999</v>
      </c>
      <c r="M5239" s="22">
        <v>0.76000000000000001</v>
      </c>
      <c r="N5239" s="21">
        <v>22.98</v>
      </c>
      <c r="O5239" s="22">
        <v>0.77000000000000002</v>
      </c>
    </row>
    <row r="5240" ht="25.5">
      <c r="A5240" t="s">
        <v>5091</v>
      </c>
      <c r="B5240" s="19">
        <v>96720</v>
      </c>
      <c r="C5240" s="20" t="s">
        <v>5346</v>
      </c>
      <c r="D5240" s="19" t="s">
        <v>38</v>
      </c>
      <c r="E5240" s="21">
        <f t="shared" si="242"/>
        <v>18.23</v>
      </c>
      <c r="F5240" s="22"/>
      <c r="G5240" s="21">
        <f t="shared" si="243"/>
        <v>17.93</v>
      </c>
      <c r="H5240" s="22"/>
      <c r="I5240" s="23" t="str">
        <f t="shared" si="244"/>
        <v xml:space="preserve">COM VALOR</v>
      </c>
      <c r="J5240" s="19"/>
      <c r="L5240" s="21">
        <v>18.23</v>
      </c>
      <c r="M5240" s="22">
        <v>0.70999999999999996</v>
      </c>
      <c r="N5240" s="21">
        <v>17.93</v>
      </c>
      <c r="O5240" s="22">
        <v>0.71999999999999997</v>
      </c>
    </row>
    <row r="5241" ht="25.5">
      <c r="A5241" t="s">
        <v>5091</v>
      </c>
      <c r="B5241" s="19">
        <v>96729</v>
      </c>
      <c r="C5241" s="20" t="s">
        <v>5347</v>
      </c>
      <c r="D5241" s="19" t="s">
        <v>38</v>
      </c>
      <c r="E5241" s="21">
        <f t="shared" si="242"/>
        <v>30.149999999999999</v>
      </c>
      <c r="F5241" s="22"/>
      <c r="G5241" s="21">
        <f t="shared" si="243"/>
        <v>29.780000000000001</v>
      </c>
      <c r="H5241" s="22"/>
      <c r="I5241" s="23" t="str">
        <f t="shared" si="244"/>
        <v xml:space="preserve">COM VALOR</v>
      </c>
      <c r="J5241" s="19"/>
      <c r="L5241" s="21">
        <v>30.149999999999999</v>
      </c>
      <c r="M5241" s="22">
        <v>0.78000000000000003</v>
      </c>
      <c r="N5241" s="21">
        <v>29.780000000000001</v>
      </c>
      <c r="O5241" s="22">
        <v>0.79000000000000004</v>
      </c>
    </row>
    <row r="5242" ht="25.5">
      <c r="A5242" t="s">
        <v>5091</v>
      </c>
      <c r="B5242" s="19">
        <v>96721</v>
      </c>
      <c r="C5242" s="20" t="s">
        <v>5348</v>
      </c>
      <c r="D5242" s="19" t="s">
        <v>38</v>
      </c>
      <c r="E5242" s="21">
        <f t="shared" si="242"/>
        <v>23.800000000000001</v>
      </c>
      <c r="F5242" s="22"/>
      <c r="G5242" s="21">
        <f t="shared" si="243"/>
        <v>23.440000000000001</v>
      </c>
      <c r="H5242" s="22"/>
      <c r="I5242" s="23" t="str">
        <f t="shared" si="244"/>
        <v xml:space="preserve">COM VALOR</v>
      </c>
      <c r="J5242" s="19"/>
      <c r="L5242" s="21">
        <v>23.800000000000001</v>
      </c>
      <c r="M5242" s="22">
        <v>0.72999999999999998</v>
      </c>
      <c r="N5242" s="21">
        <v>23.440000000000001</v>
      </c>
      <c r="O5242" s="22">
        <v>0.73999999999999999</v>
      </c>
    </row>
    <row r="5243" ht="25.5">
      <c r="A5243" t="s">
        <v>5091</v>
      </c>
      <c r="B5243" s="19">
        <v>96730</v>
      </c>
      <c r="C5243" s="20" t="s">
        <v>5349</v>
      </c>
      <c r="D5243" s="19" t="s">
        <v>38</v>
      </c>
      <c r="E5243" s="21">
        <f t="shared" si="242"/>
        <v>41.93</v>
      </c>
      <c r="F5243" s="22"/>
      <c r="G5243" s="21">
        <f t="shared" si="243"/>
        <v>41.490000000000002</v>
      </c>
      <c r="H5243" s="22"/>
      <c r="I5243" s="23" t="str">
        <f t="shared" si="244"/>
        <v xml:space="preserve">COM VALOR</v>
      </c>
      <c r="J5243" s="19"/>
      <c r="L5243" s="21">
        <v>41.93</v>
      </c>
      <c r="M5243" s="22">
        <v>0.81000000000000005</v>
      </c>
      <c r="N5243" s="21">
        <v>41.490000000000002</v>
      </c>
      <c r="O5243" s="22">
        <v>0.81999999999999995</v>
      </c>
    </row>
    <row r="5244" ht="25.5">
      <c r="A5244" t="s">
        <v>5091</v>
      </c>
      <c r="B5244" s="19">
        <v>96722</v>
      </c>
      <c r="C5244" s="20" t="s">
        <v>5350</v>
      </c>
      <c r="D5244" s="19" t="s">
        <v>38</v>
      </c>
      <c r="E5244" s="21">
        <f t="shared" si="242"/>
        <v>36.829999999999998</v>
      </c>
      <c r="F5244" s="22"/>
      <c r="G5244" s="21">
        <f t="shared" si="243"/>
        <v>36.380000000000003</v>
      </c>
      <c r="H5244" s="22"/>
      <c r="I5244" s="23" t="str">
        <f t="shared" si="244"/>
        <v xml:space="preserve">COM VALOR</v>
      </c>
      <c r="J5244" s="19"/>
      <c r="L5244" s="21">
        <v>36.829999999999998</v>
      </c>
      <c r="M5244" s="22">
        <v>0.78000000000000003</v>
      </c>
      <c r="N5244" s="21">
        <v>36.380000000000003</v>
      </c>
      <c r="O5244" s="22">
        <v>0.79000000000000004</v>
      </c>
    </row>
    <row r="5245" ht="25.5">
      <c r="A5245" t="s">
        <v>5091</v>
      </c>
      <c r="B5245" s="19">
        <v>96731</v>
      </c>
      <c r="C5245" s="20" t="s">
        <v>5351</v>
      </c>
      <c r="D5245" s="19" t="s">
        <v>38</v>
      </c>
      <c r="E5245" s="21">
        <f t="shared" si="242"/>
        <v>63.75</v>
      </c>
      <c r="F5245" s="22"/>
      <c r="G5245" s="21">
        <f t="shared" si="243"/>
        <v>63.200000000000003</v>
      </c>
      <c r="H5245" s="22"/>
      <c r="I5245" s="23" t="str">
        <f t="shared" si="244"/>
        <v xml:space="preserve">COM VALOR</v>
      </c>
      <c r="J5245" s="19"/>
      <c r="L5245" s="21">
        <v>63.75</v>
      </c>
      <c r="M5245" s="22">
        <v>0.84999999999999998</v>
      </c>
      <c r="N5245" s="21">
        <v>63.200000000000003</v>
      </c>
      <c r="O5245" s="22">
        <v>0.84999999999999998</v>
      </c>
    </row>
    <row r="5246" ht="25.5">
      <c r="A5246" t="s">
        <v>5091</v>
      </c>
      <c r="B5246" s="19">
        <v>96723</v>
      </c>
      <c r="C5246" s="20" t="s">
        <v>5352</v>
      </c>
      <c r="D5246" s="19" t="s">
        <v>38</v>
      </c>
      <c r="E5246" s="21">
        <f t="shared" si="242"/>
        <v>57.479999999999997</v>
      </c>
      <c r="F5246" s="22"/>
      <c r="G5246" s="21">
        <f t="shared" si="243"/>
        <v>56.890000000000001</v>
      </c>
      <c r="H5246" s="22"/>
      <c r="I5246" s="23" t="str">
        <f t="shared" si="244"/>
        <v xml:space="preserve">COM VALOR</v>
      </c>
      <c r="J5246" s="19"/>
      <c r="L5246" s="21">
        <v>57.479999999999997</v>
      </c>
      <c r="M5246" s="22">
        <v>0.81000000000000005</v>
      </c>
      <c r="N5246" s="21">
        <v>56.890000000000001</v>
      </c>
      <c r="O5246" s="22">
        <v>0.81999999999999995</v>
      </c>
    </row>
    <row r="5247" ht="25.5">
      <c r="A5247" t="s">
        <v>5091</v>
      </c>
      <c r="B5247" s="19">
        <v>96732</v>
      </c>
      <c r="C5247" s="20" t="s">
        <v>5353</v>
      </c>
      <c r="D5247" s="19" t="s">
        <v>38</v>
      </c>
      <c r="E5247" s="21">
        <f t="shared" si="242"/>
        <v>108</v>
      </c>
      <c r="F5247" s="22"/>
      <c r="G5247" s="21">
        <f t="shared" si="243"/>
        <v>107.27</v>
      </c>
      <c r="H5247" s="22"/>
      <c r="I5247" s="23" t="str">
        <f t="shared" si="244"/>
        <v xml:space="preserve">COM VALOR</v>
      </c>
      <c r="J5247" s="19"/>
      <c r="L5247" s="21">
        <v>108</v>
      </c>
      <c r="M5247" s="22">
        <v>0.88</v>
      </c>
      <c r="N5247" s="21">
        <v>107.27</v>
      </c>
      <c r="O5247" s="22">
        <v>0.88</v>
      </c>
    </row>
    <row r="5248" ht="25.5">
      <c r="A5248" t="s">
        <v>5091</v>
      </c>
      <c r="B5248" s="19">
        <v>96724</v>
      </c>
      <c r="C5248" s="20" t="s">
        <v>5354</v>
      </c>
      <c r="D5248" s="19" t="s">
        <v>38</v>
      </c>
      <c r="E5248" s="21">
        <f t="shared" si="242"/>
        <v>73.790000000000006</v>
      </c>
      <c r="F5248" s="22"/>
      <c r="G5248" s="21">
        <f t="shared" si="243"/>
        <v>73.019999999999996</v>
      </c>
      <c r="H5248" s="22"/>
      <c r="I5248" s="23" t="str">
        <f t="shared" si="244"/>
        <v xml:space="preserve">COM VALOR</v>
      </c>
      <c r="J5248" s="19"/>
      <c r="L5248" s="21">
        <v>73.790000000000006</v>
      </c>
      <c r="M5248" s="22">
        <v>0.81000000000000005</v>
      </c>
      <c r="N5248" s="21">
        <v>73.019999999999996</v>
      </c>
      <c r="O5248" s="22">
        <v>0.81999999999999995</v>
      </c>
    </row>
    <row r="5249" ht="25.5">
      <c r="A5249" t="s">
        <v>5091</v>
      </c>
      <c r="B5249" s="19">
        <v>96733</v>
      </c>
      <c r="C5249" s="20" t="s">
        <v>5355</v>
      </c>
      <c r="D5249" s="19" t="s">
        <v>38</v>
      </c>
      <c r="E5249" s="21">
        <f t="shared" si="242"/>
        <v>147.33000000000001</v>
      </c>
      <c r="F5249" s="22"/>
      <c r="G5249" s="21">
        <f t="shared" si="243"/>
        <v>146.38999999999999</v>
      </c>
      <c r="H5249" s="22"/>
      <c r="I5249" s="23" t="str">
        <f t="shared" si="244"/>
        <v xml:space="preserve">COM VALOR</v>
      </c>
      <c r="J5249" s="19"/>
      <c r="L5249" s="21">
        <v>147.33000000000001</v>
      </c>
      <c r="M5249" s="22">
        <v>0.89000000000000001</v>
      </c>
      <c r="N5249" s="21">
        <v>146.38999999999999</v>
      </c>
      <c r="O5249" s="22">
        <v>0.89000000000000001</v>
      </c>
    </row>
    <row r="5250" ht="25.5">
      <c r="A5250" t="s">
        <v>5091</v>
      </c>
      <c r="B5250" s="19">
        <v>96725</v>
      </c>
      <c r="C5250" s="20" t="s">
        <v>5356</v>
      </c>
      <c r="D5250" s="19" t="s">
        <v>38</v>
      </c>
      <c r="E5250" s="21">
        <f t="shared" si="242"/>
        <v>121.48999999999999</v>
      </c>
      <c r="F5250" s="22"/>
      <c r="G5250" s="21">
        <f t="shared" si="243"/>
        <v>120.48</v>
      </c>
      <c r="H5250" s="22"/>
      <c r="I5250" s="23" t="str">
        <f t="shared" si="244"/>
        <v xml:space="preserve">COM VALOR</v>
      </c>
      <c r="J5250" s="19"/>
      <c r="L5250" s="21">
        <v>121.48999999999999</v>
      </c>
      <c r="M5250" s="22">
        <v>0.84999999999999998</v>
      </c>
      <c r="N5250" s="21">
        <v>120.48</v>
      </c>
      <c r="O5250" s="22">
        <v>0.85999999999999999</v>
      </c>
    </row>
    <row r="5251" ht="25.5">
      <c r="A5251" t="s">
        <v>5091</v>
      </c>
      <c r="B5251" s="19">
        <v>96734</v>
      </c>
      <c r="C5251" s="20" t="s">
        <v>5357</v>
      </c>
      <c r="D5251" s="19" t="s">
        <v>38</v>
      </c>
      <c r="E5251" s="21">
        <f t="shared" si="242"/>
        <v>246.72</v>
      </c>
      <c r="F5251" s="22">
        <v>0.58999999999999997</v>
      </c>
      <c r="G5251" s="21">
        <f t="shared" si="243"/>
        <v>245.46000000000001</v>
      </c>
      <c r="H5251" s="22">
        <v>0.60999999999999999</v>
      </c>
      <c r="I5251" s="23" t="str">
        <f t="shared" si="244"/>
        <v xml:space="preserve">COM VALOR</v>
      </c>
      <c r="J5251" s="19"/>
      <c r="L5251" s="21">
        <v>246.72</v>
      </c>
      <c r="M5251" s="22">
        <v>0.91000000000000003</v>
      </c>
      <c r="N5251" s="21">
        <v>245.46000000000001</v>
      </c>
      <c r="O5251" s="22">
        <v>0.91000000000000003</v>
      </c>
    </row>
    <row r="5252" ht="25.5">
      <c r="A5252" t="s">
        <v>5091</v>
      </c>
      <c r="B5252" s="19">
        <v>94655</v>
      </c>
      <c r="C5252" s="20" t="s">
        <v>5358</v>
      </c>
      <c r="D5252" s="19" t="s">
        <v>38</v>
      </c>
      <c r="E5252" s="21">
        <f t="shared" si="242"/>
        <v>123.37</v>
      </c>
      <c r="F5252" s="22">
        <v>0.60999999999999999</v>
      </c>
      <c r="G5252" s="21">
        <f t="shared" si="243"/>
        <v>122.06999999999999</v>
      </c>
      <c r="H5252" s="22">
        <v>0.63</v>
      </c>
      <c r="I5252" s="23" t="str">
        <f t="shared" si="244"/>
        <v xml:space="preserve">COM VALOR</v>
      </c>
      <c r="J5252" s="19"/>
      <c r="L5252" s="21">
        <v>123.37</v>
      </c>
      <c r="M5252" s="22">
        <v>0</v>
      </c>
      <c r="N5252" s="21">
        <v>122.06999999999999</v>
      </c>
      <c r="O5252" s="22">
        <v>0</v>
      </c>
    </row>
    <row r="5253" ht="25.5">
      <c r="A5253" t="s">
        <v>5091</v>
      </c>
      <c r="B5253" s="19">
        <v>94648</v>
      </c>
      <c r="C5253" s="20" t="s">
        <v>5359</v>
      </c>
      <c r="D5253" s="19" t="s">
        <v>38</v>
      </c>
      <c r="E5253" s="21">
        <f t="shared" si="242"/>
        <v>6.8899999999999997</v>
      </c>
      <c r="F5253" s="22">
        <v>0.67000000000000004</v>
      </c>
      <c r="G5253" s="21">
        <f t="shared" si="243"/>
        <v>6.7599999999999998</v>
      </c>
      <c r="H5253" s="22">
        <v>0.68999999999999995</v>
      </c>
      <c r="I5253" s="23" t="str">
        <f t="shared" si="244"/>
        <v xml:space="preserve">COM VALOR</v>
      </c>
      <c r="J5253" s="19"/>
      <c r="L5253" s="21">
        <v>6.8899999999999997</v>
      </c>
      <c r="M5253" s="22">
        <v>0</v>
      </c>
      <c r="N5253" s="21">
        <v>6.7599999999999998</v>
      </c>
      <c r="O5253" s="22">
        <v>0</v>
      </c>
    </row>
    <row r="5254" ht="25.5">
      <c r="A5254" t="s">
        <v>5091</v>
      </c>
      <c r="B5254" s="19">
        <v>94649</v>
      </c>
      <c r="C5254" s="20" t="s">
        <v>5360</v>
      </c>
      <c r="D5254" s="19" t="s">
        <v>38</v>
      </c>
      <c r="E5254" s="21">
        <f t="shared" si="242"/>
        <v>12.890000000000001</v>
      </c>
      <c r="F5254" s="22">
        <v>0.68999999999999995</v>
      </c>
      <c r="G5254" s="21">
        <f t="shared" si="243"/>
        <v>12.710000000000001</v>
      </c>
      <c r="H5254" s="22">
        <v>0.70999999999999996</v>
      </c>
      <c r="I5254" s="23" t="str">
        <f t="shared" si="244"/>
        <v xml:space="preserve">COM VALOR</v>
      </c>
      <c r="J5254" s="19"/>
      <c r="L5254" s="21">
        <v>12.890000000000001</v>
      </c>
      <c r="M5254" s="22">
        <v>0</v>
      </c>
      <c r="N5254" s="21">
        <v>12.710000000000001</v>
      </c>
      <c r="O5254" s="22">
        <v>0</v>
      </c>
    </row>
    <row r="5255" ht="25.5">
      <c r="A5255" t="s">
        <v>5091</v>
      </c>
      <c r="B5255" s="19">
        <v>94650</v>
      </c>
      <c r="C5255" s="20" t="s">
        <v>5361</v>
      </c>
      <c r="D5255" s="19" t="s">
        <v>38</v>
      </c>
      <c r="E5255" s="21">
        <f t="shared" si="242"/>
        <v>19.510000000000002</v>
      </c>
      <c r="F5255" s="22">
        <v>0.56000000000000005</v>
      </c>
      <c r="G5255" s="21">
        <f t="shared" si="243"/>
        <v>19.280000000000001</v>
      </c>
      <c r="H5255" s="22">
        <v>0.57999999999999996</v>
      </c>
      <c r="I5255" s="23" t="str">
        <f t="shared" si="244"/>
        <v xml:space="preserve">COM VALOR</v>
      </c>
      <c r="J5255" s="19"/>
      <c r="L5255" s="21">
        <v>19.510000000000002</v>
      </c>
      <c r="M5255" s="22">
        <v>0</v>
      </c>
      <c r="N5255" s="21">
        <v>19.280000000000001</v>
      </c>
      <c r="O5255" s="22">
        <v>0</v>
      </c>
    </row>
    <row r="5256" ht="25.5">
      <c r="A5256" t="s">
        <v>5091</v>
      </c>
      <c r="B5256" s="19">
        <v>94651</v>
      </c>
      <c r="C5256" s="20" t="s">
        <v>5362</v>
      </c>
      <c r="D5256" s="19" t="s">
        <v>38</v>
      </c>
      <c r="E5256" s="21">
        <f t="shared" si="242"/>
        <v>22.640000000000001</v>
      </c>
      <c r="F5256" s="22">
        <v>0.67000000000000004</v>
      </c>
      <c r="G5256" s="21">
        <f t="shared" si="243"/>
        <v>22.309999999999999</v>
      </c>
      <c r="H5256" s="22">
        <v>0.68000000000000005</v>
      </c>
      <c r="I5256" s="23" t="str">
        <f t="shared" si="244"/>
        <v xml:space="preserve">COM VALOR</v>
      </c>
      <c r="J5256" s="19"/>
      <c r="L5256" s="21">
        <v>22.640000000000001</v>
      </c>
      <c r="M5256" s="22">
        <v>0</v>
      </c>
      <c r="N5256" s="21">
        <v>22.309999999999999</v>
      </c>
      <c r="O5256" s="22">
        <v>0</v>
      </c>
    </row>
    <row r="5257" ht="25.5">
      <c r="A5257" t="s">
        <v>5091</v>
      </c>
      <c r="B5257" s="19">
        <v>94652</v>
      </c>
      <c r="C5257" s="20" t="s">
        <v>5363</v>
      </c>
      <c r="D5257" s="19" t="s">
        <v>38</v>
      </c>
      <c r="E5257" s="21">
        <f t="shared" si="242"/>
        <v>35.530000000000001</v>
      </c>
      <c r="F5257" s="22">
        <v>0.73999999999999999</v>
      </c>
      <c r="G5257" s="21">
        <f t="shared" si="243"/>
        <v>35.090000000000003</v>
      </c>
      <c r="H5257" s="22">
        <v>0.75</v>
      </c>
      <c r="I5257" s="23" t="str">
        <f t="shared" si="244"/>
        <v xml:space="preserve">COM VALOR</v>
      </c>
      <c r="J5257" s="19"/>
      <c r="L5257" s="21">
        <v>35.530000000000001</v>
      </c>
      <c r="M5257" s="22">
        <v>0</v>
      </c>
      <c r="N5257" s="21">
        <v>35.090000000000003</v>
      </c>
      <c r="O5257" s="22">
        <v>0</v>
      </c>
    </row>
    <row r="5258" ht="25.5">
      <c r="A5258" t="s">
        <v>5091</v>
      </c>
      <c r="B5258" s="19">
        <v>94653</v>
      </c>
      <c r="C5258" s="20" t="s">
        <v>5364</v>
      </c>
      <c r="D5258" s="19" t="s">
        <v>38</v>
      </c>
      <c r="E5258" s="21">
        <f t="shared" si="242"/>
        <v>57.460000000000001</v>
      </c>
      <c r="F5258" s="22">
        <v>0.71999999999999997</v>
      </c>
      <c r="G5258" s="21">
        <f t="shared" si="243"/>
        <v>56.82</v>
      </c>
      <c r="H5258" s="22">
        <v>0.72999999999999998</v>
      </c>
      <c r="I5258" s="23" t="str">
        <f t="shared" si="244"/>
        <v xml:space="preserve">COM VALOR</v>
      </c>
      <c r="J5258" s="19"/>
      <c r="L5258" s="21">
        <v>57.460000000000001</v>
      </c>
      <c r="M5258" s="22">
        <v>0</v>
      </c>
      <c r="N5258" s="21">
        <v>56.82</v>
      </c>
      <c r="O5258" s="22">
        <v>0</v>
      </c>
    </row>
    <row r="5259" ht="25.5">
      <c r="A5259" t="s">
        <v>5091</v>
      </c>
      <c r="B5259" s="19">
        <v>94654</v>
      </c>
      <c r="C5259" s="20" t="s">
        <v>5365</v>
      </c>
      <c r="D5259" s="19" t="s">
        <v>38</v>
      </c>
      <c r="E5259" s="21">
        <f t="shared" ref="E5259:E5322" si="245">IF(L5259=0,"VERIFICAR",L5259)</f>
        <v>78.349999999999994</v>
      </c>
      <c r="F5259" s="22">
        <v>0.59999999999999998</v>
      </c>
      <c r="G5259" s="21">
        <f t="shared" ref="G5259:G5322" si="246">IF(N5259=0,"VERIFICAR",N5259)</f>
        <v>77.549999999999997</v>
      </c>
      <c r="H5259" s="22">
        <v>0.62</v>
      </c>
      <c r="I5259" s="23" t="str">
        <f t="shared" ref="I5259:I5322" si="247">IF(OR(E5259=0,G5259=0),"SEM VALOR","COM VALOR")</f>
        <v xml:space="preserve">COM VALOR</v>
      </c>
      <c r="J5259" s="19"/>
      <c r="L5259" s="21">
        <v>78.349999999999994</v>
      </c>
      <c r="M5259" s="22">
        <v>0</v>
      </c>
      <c r="N5259" s="21">
        <v>77.549999999999997</v>
      </c>
      <c r="O5259" s="22">
        <v>0</v>
      </c>
    </row>
    <row r="5260" ht="38.25">
      <c r="A5260" t="s">
        <v>5091</v>
      </c>
      <c r="B5260" s="19">
        <v>94689</v>
      </c>
      <c r="C5260" s="20" t="s">
        <v>5366</v>
      </c>
      <c r="D5260" s="19" t="s">
        <v>31</v>
      </c>
      <c r="E5260" s="21">
        <f t="shared" si="245"/>
        <v>9.6199999999999992</v>
      </c>
      <c r="F5260" s="22">
        <v>0.56999999999999995</v>
      </c>
      <c r="G5260" s="21">
        <f t="shared" si="246"/>
        <v>9.4000000000000004</v>
      </c>
      <c r="H5260" s="22">
        <v>0.58999999999999997</v>
      </c>
      <c r="I5260" s="23" t="str">
        <f t="shared" si="247"/>
        <v xml:space="preserve">COM VALOR</v>
      </c>
      <c r="J5260" s="19"/>
      <c r="L5260" s="21">
        <v>9.6199999999999992</v>
      </c>
      <c r="M5260" s="22">
        <v>0</v>
      </c>
      <c r="N5260" s="21">
        <v>9.4000000000000004</v>
      </c>
      <c r="O5260" s="22">
        <v>0</v>
      </c>
    </row>
    <row r="5261" ht="38.25">
      <c r="A5261" t="s">
        <v>5091</v>
      </c>
      <c r="B5261" s="19">
        <v>94702</v>
      </c>
      <c r="C5261" s="20" t="s">
        <v>5367</v>
      </c>
      <c r="D5261" s="19" t="s">
        <v>31</v>
      </c>
      <c r="E5261" s="21">
        <f t="shared" si="245"/>
        <v>191.05000000000001</v>
      </c>
      <c r="F5261" s="22">
        <v>0.56999999999999995</v>
      </c>
      <c r="G5261" s="21">
        <f t="shared" si="246"/>
        <v>189.36000000000001</v>
      </c>
      <c r="H5261" s="22">
        <v>0.58999999999999997</v>
      </c>
      <c r="I5261" s="23" t="str">
        <f t="shared" si="247"/>
        <v xml:space="preserve">COM VALOR</v>
      </c>
      <c r="J5261" s="19"/>
      <c r="L5261" s="21">
        <v>191.05000000000001</v>
      </c>
      <c r="M5261" s="22">
        <v>0</v>
      </c>
      <c r="N5261" s="21">
        <v>189.36000000000001</v>
      </c>
      <c r="O5261" s="22">
        <v>0</v>
      </c>
    </row>
    <row r="5262" ht="38.25">
      <c r="A5262" t="s">
        <v>5091</v>
      </c>
      <c r="B5262" s="19">
        <v>94691</v>
      </c>
      <c r="C5262" s="20" t="s">
        <v>5368</v>
      </c>
      <c r="D5262" s="19" t="s">
        <v>31</v>
      </c>
      <c r="E5262" s="21">
        <f t="shared" si="245"/>
        <v>13.880000000000001</v>
      </c>
      <c r="F5262" s="22">
        <v>0.57999999999999996</v>
      </c>
      <c r="G5262" s="21">
        <f t="shared" si="246"/>
        <v>13.609999999999999</v>
      </c>
      <c r="H5262" s="22">
        <v>0.59999999999999998</v>
      </c>
      <c r="I5262" s="23" t="str">
        <f t="shared" si="247"/>
        <v xml:space="preserve">COM VALOR</v>
      </c>
      <c r="J5262" s="19"/>
      <c r="L5262" s="21">
        <v>13.880000000000001</v>
      </c>
      <c r="M5262" s="22">
        <v>0</v>
      </c>
      <c r="N5262" s="21">
        <v>13.609999999999999</v>
      </c>
      <c r="O5262" s="22">
        <v>0</v>
      </c>
    </row>
    <row r="5263" ht="38.25">
      <c r="A5263" t="s">
        <v>5091</v>
      </c>
      <c r="B5263" s="19">
        <v>94693</v>
      </c>
      <c r="C5263" s="20" t="s">
        <v>5369</v>
      </c>
      <c r="D5263" s="19" t="s">
        <v>31</v>
      </c>
      <c r="E5263" s="21">
        <f t="shared" si="245"/>
        <v>18.16</v>
      </c>
      <c r="F5263" s="22">
        <v>0.66000000000000003</v>
      </c>
      <c r="G5263" s="21">
        <f t="shared" si="246"/>
        <v>17.800000000000001</v>
      </c>
      <c r="H5263" s="22">
        <v>0.68000000000000005</v>
      </c>
      <c r="I5263" s="23" t="str">
        <f t="shared" si="247"/>
        <v xml:space="preserve">COM VALOR</v>
      </c>
      <c r="J5263" s="19"/>
      <c r="L5263" s="21">
        <v>18.16</v>
      </c>
      <c r="M5263" s="22">
        <v>0</v>
      </c>
      <c r="N5263" s="21">
        <v>17.800000000000001</v>
      </c>
      <c r="O5263" s="22">
        <v>0</v>
      </c>
    </row>
    <row r="5264" ht="38.25">
      <c r="A5264" t="s">
        <v>5091</v>
      </c>
      <c r="B5264" s="19">
        <v>94695</v>
      </c>
      <c r="C5264" s="20" t="s">
        <v>5370</v>
      </c>
      <c r="D5264" s="19" t="s">
        <v>31</v>
      </c>
      <c r="E5264" s="21">
        <f t="shared" si="245"/>
        <v>31.73</v>
      </c>
      <c r="F5264" s="22">
        <v>0.66000000000000003</v>
      </c>
      <c r="G5264" s="21">
        <f t="shared" si="246"/>
        <v>31.25</v>
      </c>
      <c r="H5264" s="22">
        <v>0.68000000000000005</v>
      </c>
      <c r="I5264" s="23" t="str">
        <f t="shared" si="247"/>
        <v xml:space="preserve">COM VALOR</v>
      </c>
      <c r="J5264" s="19"/>
      <c r="L5264" s="21">
        <v>31.73</v>
      </c>
      <c r="M5264" s="22">
        <v>0</v>
      </c>
      <c r="N5264" s="21">
        <v>31.25</v>
      </c>
      <c r="O5264" s="22">
        <v>0</v>
      </c>
    </row>
    <row r="5265" ht="38.25">
      <c r="A5265" t="s">
        <v>5091</v>
      </c>
      <c r="B5265" s="19">
        <v>94698</v>
      </c>
      <c r="C5265" s="20" t="s">
        <v>5371</v>
      </c>
      <c r="D5265" s="19" t="s">
        <v>31</v>
      </c>
      <c r="E5265" s="21">
        <f t="shared" si="245"/>
        <v>68.150000000000006</v>
      </c>
      <c r="F5265" s="22">
        <v>0.68999999999999995</v>
      </c>
      <c r="G5265" s="21">
        <f t="shared" si="246"/>
        <v>67.260000000000005</v>
      </c>
      <c r="H5265" s="22">
        <v>0.70999999999999996</v>
      </c>
      <c r="I5265" s="23" t="str">
        <f t="shared" si="247"/>
        <v xml:space="preserve">COM VALOR</v>
      </c>
      <c r="J5265" s="19"/>
      <c r="L5265" s="21">
        <v>68.150000000000006</v>
      </c>
      <c r="M5265" s="22">
        <v>0</v>
      </c>
      <c r="N5265" s="21">
        <v>67.260000000000005</v>
      </c>
      <c r="O5265" s="22">
        <v>0</v>
      </c>
    </row>
    <row r="5266" ht="38.25">
      <c r="A5266" t="s">
        <v>5091</v>
      </c>
      <c r="B5266" s="19">
        <v>94700</v>
      </c>
      <c r="C5266" s="20" t="s">
        <v>5372</v>
      </c>
      <c r="D5266" s="19" t="s">
        <v>31</v>
      </c>
      <c r="E5266" s="21">
        <f t="shared" si="245"/>
        <v>132.78</v>
      </c>
      <c r="F5266" s="22">
        <v>0.51000000000000001</v>
      </c>
      <c r="G5266" s="21">
        <f t="shared" si="246"/>
        <v>131.65000000000001</v>
      </c>
      <c r="H5266" s="22">
        <v>0.53000000000000003</v>
      </c>
      <c r="I5266" s="23" t="str">
        <f t="shared" si="247"/>
        <v xml:space="preserve">COM VALOR</v>
      </c>
      <c r="J5266" s="19"/>
      <c r="L5266" s="21">
        <v>132.78</v>
      </c>
      <c r="M5266" s="22">
        <v>0</v>
      </c>
      <c r="N5266" s="21">
        <v>131.65000000000001</v>
      </c>
      <c r="O5266" s="22">
        <v>0</v>
      </c>
    </row>
    <row r="5267" ht="38.25">
      <c r="A5267" t="s">
        <v>5091</v>
      </c>
      <c r="B5267" s="19">
        <v>94477</v>
      </c>
      <c r="C5267" s="20" t="s">
        <v>5373</v>
      </c>
      <c r="D5267" s="19" t="s">
        <v>31</v>
      </c>
      <c r="E5267" s="21">
        <f t="shared" si="245"/>
        <v>107.3</v>
      </c>
      <c r="F5267" s="22">
        <v>0.54000000000000004</v>
      </c>
      <c r="G5267" s="21">
        <f t="shared" si="246"/>
        <v>105.5</v>
      </c>
      <c r="H5267" s="22">
        <v>0.56000000000000005</v>
      </c>
      <c r="I5267" s="23" t="str">
        <f t="shared" si="247"/>
        <v xml:space="preserve">COM VALOR</v>
      </c>
      <c r="J5267" s="19"/>
      <c r="L5267" s="21">
        <v>107.3</v>
      </c>
      <c r="M5267" s="22">
        <v>0</v>
      </c>
      <c r="N5267" s="21">
        <v>105.5</v>
      </c>
      <c r="O5267" s="22">
        <v>0</v>
      </c>
    </row>
    <row r="5268" ht="38.25">
      <c r="A5268" t="s">
        <v>5091</v>
      </c>
      <c r="B5268" s="19">
        <v>94478</v>
      </c>
      <c r="C5268" s="20" t="s">
        <v>5374</v>
      </c>
      <c r="D5268" s="19" t="s">
        <v>31</v>
      </c>
      <c r="E5268" s="21">
        <f t="shared" si="245"/>
        <v>179.88999999999999</v>
      </c>
      <c r="F5268" s="22">
        <v>0.65000000000000002</v>
      </c>
      <c r="G5268" s="21">
        <f t="shared" si="246"/>
        <v>177.78999999999999</v>
      </c>
      <c r="H5268" s="22">
        <v>0.67000000000000004</v>
      </c>
      <c r="I5268" s="23" t="str">
        <f t="shared" si="247"/>
        <v xml:space="preserve">COM VALOR</v>
      </c>
      <c r="J5268" s="19"/>
      <c r="L5268" s="21">
        <v>179.88999999999999</v>
      </c>
      <c r="M5268" s="22">
        <v>0</v>
      </c>
      <c r="N5268" s="21">
        <v>177.78999999999999</v>
      </c>
      <c r="O5268" s="22">
        <v>0</v>
      </c>
    </row>
    <row r="5269" ht="38.25">
      <c r="A5269" t="s">
        <v>5091</v>
      </c>
      <c r="B5269" s="19">
        <v>94479</v>
      </c>
      <c r="C5269" s="20" t="s">
        <v>5375</v>
      </c>
      <c r="D5269" s="19" t="s">
        <v>31</v>
      </c>
      <c r="E5269" s="21">
        <f t="shared" si="245"/>
        <v>234.81</v>
      </c>
      <c r="F5269" s="22">
        <v>0.65000000000000002</v>
      </c>
      <c r="G5269" s="21">
        <f t="shared" si="246"/>
        <v>232.31999999999999</v>
      </c>
      <c r="H5269" s="22">
        <v>0.66000000000000003</v>
      </c>
      <c r="I5269" s="23" t="str">
        <f t="shared" si="247"/>
        <v xml:space="preserve">COM VALOR</v>
      </c>
      <c r="J5269" s="19"/>
      <c r="L5269" s="21">
        <v>234.81</v>
      </c>
      <c r="M5269" s="22">
        <v>0</v>
      </c>
      <c r="N5269" s="21">
        <v>232.31999999999999</v>
      </c>
      <c r="O5269" s="22">
        <v>0</v>
      </c>
    </row>
    <row r="5270" ht="25.5">
      <c r="A5270" t="s">
        <v>5091</v>
      </c>
      <c r="B5270" s="19">
        <v>96764</v>
      </c>
      <c r="C5270" s="20" t="s">
        <v>5376</v>
      </c>
      <c r="D5270" s="19" t="s">
        <v>31</v>
      </c>
      <c r="E5270" s="21">
        <f t="shared" si="245"/>
        <v>336.32999999999998</v>
      </c>
      <c r="F5270" s="22">
        <v>0.42999999999999999</v>
      </c>
      <c r="G5270" s="21">
        <f t="shared" si="246"/>
        <v>333.95999999999998</v>
      </c>
      <c r="H5270" s="22">
        <v>0.45000000000000001</v>
      </c>
      <c r="I5270" s="23" t="str">
        <f t="shared" si="247"/>
        <v xml:space="preserve">COM VALOR</v>
      </c>
      <c r="J5270" s="19"/>
      <c r="L5270" s="21">
        <v>336.32999999999998</v>
      </c>
      <c r="M5270" s="22">
        <v>0.87</v>
      </c>
      <c r="N5270" s="21">
        <v>333.95999999999998</v>
      </c>
      <c r="O5270" s="22">
        <v>0.88</v>
      </c>
    </row>
    <row r="5271" ht="25.5">
      <c r="A5271" t="s">
        <v>5091</v>
      </c>
      <c r="B5271" s="19">
        <v>105164</v>
      </c>
      <c r="C5271" s="20" t="s">
        <v>5377</v>
      </c>
      <c r="D5271" s="19" t="s">
        <v>31</v>
      </c>
      <c r="E5271" s="21">
        <f t="shared" si="245"/>
        <v>10.960000000000001</v>
      </c>
      <c r="F5271" s="22">
        <v>0.54000000000000004</v>
      </c>
      <c r="G5271" s="21">
        <f t="shared" si="246"/>
        <v>10.57</v>
      </c>
      <c r="H5271" s="22">
        <v>0.56000000000000005</v>
      </c>
      <c r="I5271" s="23" t="str">
        <f t="shared" si="247"/>
        <v xml:space="preserve">COM VALOR</v>
      </c>
      <c r="J5271" s="19"/>
      <c r="L5271" s="21">
        <v>10.960000000000001</v>
      </c>
      <c r="M5271" s="22">
        <v>0.37</v>
      </c>
      <c r="N5271" s="21">
        <v>10.57</v>
      </c>
      <c r="O5271" s="22">
        <v>0.38</v>
      </c>
    </row>
    <row r="5272" ht="25.5">
      <c r="A5272" t="s">
        <v>5091</v>
      </c>
      <c r="B5272" s="19">
        <v>105165</v>
      </c>
      <c r="C5272" s="20" t="s">
        <v>5378</v>
      </c>
      <c r="D5272" s="19" t="s">
        <v>31</v>
      </c>
      <c r="E5272" s="21">
        <f t="shared" si="245"/>
        <v>11.07</v>
      </c>
      <c r="F5272" s="22">
        <v>0.64000000000000001</v>
      </c>
      <c r="G5272" s="21">
        <f t="shared" si="246"/>
        <v>10.640000000000001</v>
      </c>
      <c r="H5272" s="22">
        <v>0.66000000000000003</v>
      </c>
      <c r="I5272" s="23" t="str">
        <f t="shared" si="247"/>
        <v xml:space="preserve">COM VALOR</v>
      </c>
      <c r="J5272" s="19"/>
      <c r="L5272" s="21">
        <v>11.07</v>
      </c>
      <c r="M5272" s="22">
        <v>0.32000000000000001</v>
      </c>
      <c r="N5272" s="21">
        <v>10.640000000000001</v>
      </c>
      <c r="O5272" s="22">
        <v>0.33000000000000002</v>
      </c>
    </row>
    <row r="5273" ht="25.5">
      <c r="A5273" t="s">
        <v>5091</v>
      </c>
      <c r="B5273" s="19">
        <v>96758</v>
      </c>
      <c r="C5273" s="20" t="s">
        <v>5379</v>
      </c>
      <c r="D5273" s="19" t="s">
        <v>31</v>
      </c>
      <c r="E5273" s="21">
        <f t="shared" si="245"/>
        <v>17.48</v>
      </c>
      <c r="F5273" s="22">
        <v>0.75</v>
      </c>
      <c r="G5273" s="21">
        <f t="shared" si="246"/>
        <v>16.98</v>
      </c>
      <c r="H5273" s="22">
        <v>0.76000000000000001</v>
      </c>
      <c r="I5273" s="23" t="str">
        <f t="shared" si="247"/>
        <v xml:space="preserve">COM VALOR</v>
      </c>
      <c r="J5273" s="19"/>
      <c r="L5273" s="21">
        <v>17.48</v>
      </c>
      <c r="M5273" s="22">
        <v>0.5</v>
      </c>
      <c r="N5273" s="21">
        <v>16.98</v>
      </c>
      <c r="O5273" s="22">
        <v>0.51000000000000001</v>
      </c>
    </row>
    <row r="5274" ht="25.5">
      <c r="A5274" t="s">
        <v>5091</v>
      </c>
      <c r="B5274" s="19">
        <v>96759</v>
      </c>
      <c r="C5274" s="20" t="s">
        <v>5380</v>
      </c>
      <c r="D5274" s="19" t="s">
        <v>31</v>
      </c>
      <c r="E5274" s="21">
        <f t="shared" si="245"/>
        <v>26.370000000000001</v>
      </c>
      <c r="F5274" s="22">
        <v>0.40000000000000002</v>
      </c>
      <c r="G5274" s="21">
        <f t="shared" si="246"/>
        <v>25.780000000000001</v>
      </c>
      <c r="H5274" s="22">
        <v>0.41999999999999998</v>
      </c>
      <c r="I5274" s="23" t="str">
        <f t="shared" si="247"/>
        <v xml:space="preserve">COM VALOR</v>
      </c>
      <c r="J5274" s="19"/>
      <c r="L5274" s="21">
        <v>26.370000000000001</v>
      </c>
      <c r="M5274" s="22">
        <v>0.59999999999999998</v>
      </c>
      <c r="N5274" s="21">
        <v>25.780000000000001</v>
      </c>
      <c r="O5274" s="22">
        <v>0.60999999999999999</v>
      </c>
    </row>
    <row r="5275" ht="25.5">
      <c r="A5275" t="s">
        <v>5091</v>
      </c>
      <c r="B5275" s="19">
        <v>96760</v>
      </c>
      <c r="C5275" s="20" t="s">
        <v>5381</v>
      </c>
      <c r="D5275" s="19" t="s">
        <v>31</v>
      </c>
      <c r="E5275" s="21">
        <f t="shared" si="245"/>
        <v>43.75</v>
      </c>
      <c r="F5275" s="22">
        <v>0.65000000000000002</v>
      </c>
      <c r="G5275" s="21">
        <f t="shared" si="246"/>
        <v>43</v>
      </c>
      <c r="H5275" s="22">
        <v>0.67000000000000004</v>
      </c>
      <c r="I5275" s="23" t="str">
        <f t="shared" si="247"/>
        <v xml:space="preserve">COM VALOR</v>
      </c>
      <c r="J5275" s="19"/>
      <c r="L5275" s="21">
        <v>43.75</v>
      </c>
      <c r="M5275" s="22">
        <v>0.69999999999999996</v>
      </c>
      <c r="N5275" s="21">
        <v>43</v>
      </c>
      <c r="O5275" s="22">
        <v>0.70999999999999996</v>
      </c>
    </row>
    <row r="5276" ht="25.5">
      <c r="A5276" t="s">
        <v>5091</v>
      </c>
      <c r="B5276" s="19">
        <v>96761</v>
      </c>
      <c r="C5276" s="20" t="s">
        <v>5382</v>
      </c>
      <c r="D5276" s="19" t="s">
        <v>31</v>
      </c>
      <c r="E5276" s="21">
        <f t="shared" si="245"/>
        <v>65.629999999999995</v>
      </c>
      <c r="F5276" s="22">
        <v>0.71999999999999997</v>
      </c>
      <c r="G5276" s="21">
        <f t="shared" si="246"/>
        <v>64.640000000000001</v>
      </c>
      <c r="H5276" s="22">
        <v>0.73999999999999999</v>
      </c>
      <c r="I5276" s="23" t="str">
        <f t="shared" si="247"/>
        <v xml:space="preserve">COM VALOR</v>
      </c>
      <c r="J5276" s="19"/>
      <c r="L5276" s="21">
        <v>65.629999999999995</v>
      </c>
      <c r="M5276" s="22">
        <v>0.72999999999999998</v>
      </c>
      <c r="N5276" s="21">
        <v>64.640000000000001</v>
      </c>
      <c r="O5276" s="22">
        <v>0.73999999999999999</v>
      </c>
    </row>
    <row r="5277" ht="25.5">
      <c r="A5277" t="s">
        <v>5091</v>
      </c>
      <c r="B5277" s="19">
        <v>96762</v>
      </c>
      <c r="C5277" s="20" t="s">
        <v>5383</v>
      </c>
      <c r="D5277" s="19" t="s">
        <v>31</v>
      </c>
      <c r="E5277" s="21">
        <f t="shared" si="245"/>
        <v>125.64</v>
      </c>
      <c r="F5277" s="22">
        <v>0.64000000000000001</v>
      </c>
      <c r="G5277" s="21">
        <f t="shared" si="246"/>
        <v>124.38</v>
      </c>
      <c r="H5277" s="22">
        <v>0.66000000000000003</v>
      </c>
      <c r="I5277" s="23" t="str">
        <f t="shared" si="247"/>
        <v xml:space="preserve">COM VALOR</v>
      </c>
      <c r="J5277" s="19"/>
      <c r="L5277" s="21">
        <v>125.64</v>
      </c>
      <c r="M5277" s="22">
        <v>0.81999999999999995</v>
      </c>
      <c r="N5277" s="21">
        <v>124.38</v>
      </c>
      <c r="O5277" s="22">
        <v>0.82999999999999996</v>
      </c>
    </row>
    <row r="5278" ht="25.5">
      <c r="A5278" t="s">
        <v>5091</v>
      </c>
      <c r="B5278" s="19">
        <v>96763</v>
      </c>
      <c r="C5278" s="20" t="s">
        <v>5384</v>
      </c>
      <c r="D5278" s="19" t="s">
        <v>31</v>
      </c>
      <c r="E5278" s="21">
        <f t="shared" si="245"/>
        <v>168.34</v>
      </c>
      <c r="F5278" s="22">
        <v>0.87</v>
      </c>
      <c r="G5278" s="21">
        <f t="shared" si="246"/>
        <v>166.66</v>
      </c>
      <c r="H5278" s="22">
        <v>0.87</v>
      </c>
      <c r="I5278" s="23" t="str">
        <f t="shared" si="247"/>
        <v xml:space="preserve">COM VALOR</v>
      </c>
      <c r="J5278" s="19"/>
      <c r="L5278" s="21">
        <v>168.34</v>
      </c>
      <c r="M5278" s="22">
        <v>0.81999999999999995</v>
      </c>
      <c r="N5278" s="21">
        <v>166.66</v>
      </c>
      <c r="O5278" s="22">
        <v>0.82999999999999996</v>
      </c>
    </row>
    <row r="5279" ht="25.5">
      <c r="A5279" t="s">
        <v>5091</v>
      </c>
      <c r="B5279" s="19">
        <v>94701</v>
      </c>
      <c r="C5279" s="20" t="s">
        <v>5385</v>
      </c>
      <c r="D5279" s="19" t="s">
        <v>31</v>
      </c>
      <c r="E5279" s="21">
        <f t="shared" si="245"/>
        <v>229.11000000000001</v>
      </c>
      <c r="F5279" s="22">
        <v>0.77000000000000002</v>
      </c>
      <c r="G5279" s="21">
        <f t="shared" si="246"/>
        <v>226.94</v>
      </c>
      <c r="H5279" s="22">
        <v>0.78000000000000003</v>
      </c>
      <c r="I5279" s="23" t="str">
        <f t="shared" si="247"/>
        <v xml:space="preserve">COM VALOR</v>
      </c>
      <c r="J5279" s="19"/>
      <c r="L5279" s="21">
        <v>229.11000000000001</v>
      </c>
      <c r="M5279" s="22">
        <v>0</v>
      </c>
      <c r="N5279" s="21">
        <v>226.94</v>
      </c>
      <c r="O5279" s="22">
        <v>0</v>
      </c>
    </row>
    <row r="5280" ht="25.5">
      <c r="A5280" t="s">
        <v>5091</v>
      </c>
      <c r="B5280" s="19">
        <v>94688</v>
      </c>
      <c r="C5280" s="20" t="s">
        <v>5386</v>
      </c>
      <c r="D5280" s="19" t="s">
        <v>31</v>
      </c>
      <c r="E5280" s="21">
        <f t="shared" si="245"/>
        <v>7.0099999999999998</v>
      </c>
      <c r="F5280" s="22">
        <v>0.81999999999999995</v>
      </c>
      <c r="G5280" s="21">
        <f t="shared" si="246"/>
        <v>6.79</v>
      </c>
      <c r="H5280" s="22">
        <v>0.82999999999999996</v>
      </c>
      <c r="I5280" s="23" t="str">
        <f t="shared" si="247"/>
        <v xml:space="preserve">COM VALOR</v>
      </c>
      <c r="J5280" s="19"/>
      <c r="L5280" s="21">
        <v>7.0099999999999998</v>
      </c>
      <c r="M5280" s="22">
        <v>0</v>
      </c>
      <c r="N5280" s="21">
        <v>6.79</v>
      </c>
      <c r="O5280" s="22">
        <v>0</v>
      </c>
    </row>
    <row r="5281" ht="25.5">
      <c r="A5281" t="s">
        <v>5091</v>
      </c>
      <c r="B5281" s="19">
        <v>94690</v>
      </c>
      <c r="C5281" s="20" t="s">
        <v>5387</v>
      </c>
      <c r="D5281" s="19" t="s">
        <v>31</v>
      </c>
      <c r="E5281" s="21">
        <f t="shared" si="245"/>
        <v>11.550000000000001</v>
      </c>
      <c r="F5281" s="22">
        <v>0.76000000000000001</v>
      </c>
      <c r="G5281" s="21">
        <f t="shared" si="246"/>
        <v>11.26</v>
      </c>
      <c r="H5281" s="22">
        <v>0.77000000000000002</v>
      </c>
      <c r="I5281" s="23" t="str">
        <f t="shared" si="247"/>
        <v xml:space="preserve">COM VALOR</v>
      </c>
      <c r="J5281" s="19"/>
      <c r="L5281" s="21">
        <v>11.550000000000001</v>
      </c>
      <c r="M5281" s="22">
        <v>0</v>
      </c>
      <c r="N5281" s="21">
        <v>11.26</v>
      </c>
      <c r="O5281" s="22">
        <v>0</v>
      </c>
    </row>
    <row r="5282" ht="25.5">
      <c r="A5282" t="s">
        <v>5091</v>
      </c>
      <c r="B5282" s="19">
        <v>94692</v>
      </c>
      <c r="C5282" s="20" t="s">
        <v>5388</v>
      </c>
      <c r="D5282" s="19" t="s">
        <v>31</v>
      </c>
      <c r="E5282" s="21">
        <f t="shared" si="245"/>
        <v>19.640000000000001</v>
      </c>
      <c r="F5282" s="22">
        <v>0.87</v>
      </c>
      <c r="G5282" s="21">
        <f t="shared" si="246"/>
        <v>19.260000000000002</v>
      </c>
      <c r="H5282" s="22">
        <v>0.88</v>
      </c>
      <c r="I5282" s="23" t="str">
        <f t="shared" si="247"/>
        <v xml:space="preserve">COM VALOR</v>
      </c>
      <c r="J5282" s="19"/>
      <c r="L5282" s="21">
        <v>19.640000000000001</v>
      </c>
      <c r="M5282" s="22">
        <v>0</v>
      </c>
      <c r="N5282" s="21">
        <v>19.260000000000002</v>
      </c>
      <c r="O5282" s="22">
        <v>0</v>
      </c>
    </row>
    <row r="5283" ht="25.5">
      <c r="A5283" t="s">
        <v>5091</v>
      </c>
      <c r="B5283" s="19">
        <v>94694</v>
      </c>
      <c r="C5283" s="20" t="s">
        <v>5389</v>
      </c>
      <c r="D5283" s="19" t="s">
        <v>31</v>
      </c>
      <c r="E5283" s="21">
        <f t="shared" si="245"/>
        <v>24.370000000000001</v>
      </c>
      <c r="F5283" s="22">
        <v>0.65000000000000002</v>
      </c>
      <c r="G5283" s="21">
        <f t="shared" si="246"/>
        <v>23.829999999999998</v>
      </c>
      <c r="H5283" s="22">
        <v>0.67000000000000004</v>
      </c>
      <c r="I5283" s="23" t="str">
        <f t="shared" si="247"/>
        <v xml:space="preserve">COM VALOR</v>
      </c>
      <c r="J5283" s="19"/>
      <c r="L5283" s="21">
        <v>24.370000000000001</v>
      </c>
      <c r="M5283" s="22">
        <v>0</v>
      </c>
      <c r="N5283" s="21">
        <v>23.829999999999998</v>
      </c>
      <c r="O5283" s="22">
        <v>0</v>
      </c>
    </row>
    <row r="5284" ht="25.5">
      <c r="A5284" t="s">
        <v>5091</v>
      </c>
      <c r="B5284" s="19">
        <v>94696</v>
      </c>
      <c r="C5284" s="20" t="s">
        <v>5390</v>
      </c>
      <c r="D5284" s="19" t="s">
        <v>31</v>
      </c>
      <c r="E5284" s="21">
        <f t="shared" si="245"/>
        <v>51.479999999999997</v>
      </c>
      <c r="F5284" s="22">
        <v>0.56000000000000005</v>
      </c>
      <c r="G5284" s="21">
        <f t="shared" si="246"/>
        <v>50.759999999999998</v>
      </c>
      <c r="H5284" s="22">
        <v>0.57999999999999996</v>
      </c>
      <c r="I5284" s="23" t="str">
        <f t="shared" si="247"/>
        <v xml:space="preserve">COM VALOR</v>
      </c>
      <c r="J5284" s="19"/>
      <c r="L5284" s="21">
        <v>51.479999999999997</v>
      </c>
      <c r="M5284" s="22">
        <v>0</v>
      </c>
      <c r="N5284" s="21">
        <v>50.759999999999998</v>
      </c>
      <c r="O5284" s="22">
        <v>0</v>
      </c>
    </row>
    <row r="5285" ht="25.5">
      <c r="A5285" t="s">
        <v>5091</v>
      </c>
      <c r="B5285" s="19">
        <v>94697</v>
      </c>
      <c r="C5285" s="20" t="s">
        <v>5391</v>
      </c>
      <c r="D5285" s="19" t="s">
        <v>31</v>
      </c>
      <c r="E5285" s="21">
        <f t="shared" si="245"/>
        <v>88.310000000000002</v>
      </c>
      <c r="F5285" s="22">
        <v>0.28000000000000003</v>
      </c>
      <c r="G5285" s="21">
        <f t="shared" si="246"/>
        <v>87.25</v>
      </c>
      <c r="H5285" s="22">
        <v>0.29999999999999999</v>
      </c>
      <c r="I5285" s="23" t="str">
        <f t="shared" si="247"/>
        <v xml:space="preserve">COM VALOR</v>
      </c>
      <c r="J5285" s="19"/>
      <c r="L5285" s="21">
        <v>88.310000000000002</v>
      </c>
      <c r="M5285" s="22">
        <v>0</v>
      </c>
      <c r="N5285" s="21">
        <v>87.25</v>
      </c>
      <c r="O5285" s="22">
        <v>0</v>
      </c>
    </row>
    <row r="5286" ht="25.5">
      <c r="A5286" t="s">
        <v>5091</v>
      </c>
      <c r="B5286" s="19">
        <v>94699</v>
      </c>
      <c r="C5286" s="20" t="s">
        <v>5392</v>
      </c>
      <c r="D5286" s="19" t="s">
        <v>31</v>
      </c>
      <c r="E5286" s="21">
        <f t="shared" si="245"/>
        <v>117.06</v>
      </c>
      <c r="F5286" s="22">
        <v>0.25</v>
      </c>
      <c r="G5286" s="21">
        <f t="shared" si="246"/>
        <v>115.73</v>
      </c>
      <c r="H5286" s="22">
        <v>0.27000000000000002</v>
      </c>
      <c r="I5286" s="23" t="str">
        <f t="shared" si="247"/>
        <v xml:space="preserve">COM VALOR</v>
      </c>
      <c r="J5286" s="19"/>
      <c r="L5286" s="21">
        <v>117.06</v>
      </c>
      <c r="M5286" s="22">
        <v>0</v>
      </c>
      <c r="N5286" s="21">
        <v>115.73</v>
      </c>
      <c r="O5286" s="22">
        <v>0</v>
      </c>
    </row>
    <row r="5287" ht="38.25">
      <c r="A5287" t="s">
        <v>5091</v>
      </c>
      <c r="B5287" s="19">
        <v>105167</v>
      </c>
      <c r="C5287" s="20" t="s">
        <v>5393</v>
      </c>
      <c r="D5287" s="19" t="s">
        <v>31</v>
      </c>
      <c r="E5287" s="21">
        <f t="shared" si="245"/>
        <v>230.06</v>
      </c>
      <c r="F5287" s="22">
        <v>0.32000000000000001</v>
      </c>
      <c r="G5287" s="21">
        <f t="shared" si="246"/>
        <v>226.16999999999999</v>
      </c>
      <c r="H5287" s="22">
        <v>0.34000000000000002</v>
      </c>
      <c r="I5287" s="23" t="str">
        <f t="shared" si="247"/>
        <v xml:space="preserve">COM VALOR</v>
      </c>
      <c r="J5287" s="19"/>
      <c r="L5287" s="21">
        <v>230.06</v>
      </c>
      <c r="M5287" s="22">
        <v>0.69999999999999996</v>
      </c>
      <c r="N5287" s="21">
        <v>226.16999999999999</v>
      </c>
      <c r="O5287" s="22">
        <v>0.70999999999999996</v>
      </c>
    </row>
    <row r="5288" ht="38.25">
      <c r="A5288" t="s">
        <v>5091</v>
      </c>
      <c r="B5288" s="19">
        <v>105168</v>
      </c>
      <c r="C5288" s="20" t="s">
        <v>5394</v>
      </c>
      <c r="D5288" s="19" t="s">
        <v>31</v>
      </c>
      <c r="E5288" s="21" t="str">
        <f t="shared" si="245"/>
        <v>VERIFICAR</v>
      </c>
      <c r="F5288" s="22">
        <v>0.17999999999999999</v>
      </c>
      <c r="G5288" s="21" t="str">
        <f t="shared" si="246"/>
        <v>VERIFICAR</v>
      </c>
      <c r="H5288" s="22">
        <v>0.20000000000000001</v>
      </c>
      <c r="I5288" s="23" t="str">
        <f t="shared" si="247"/>
        <v xml:space="preserve">COM VALOR</v>
      </c>
      <c r="J5288" s="19"/>
      <c r="L5288" s="21">
        <v>0</v>
      </c>
      <c r="M5288" s="22"/>
      <c r="N5288" s="21">
        <v>0</v>
      </c>
      <c r="O5288" s="22"/>
    </row>
    <row r="5289" ht="38.25">
      <c r="A5289" t="s">
        <v>5091</v>
      </c>
      <c r="B5289" s="19">
        <v>105171</v>
      </c>
      <c r="C5289" s="20" t="s">
        <v>5395</v>
      </c>
      <c r="D5289" s="19" t="s">
        <v>31</v>
      </c>
      <c r="E5289" s="21" t="str">
        <f t="shared" si="245"/>
        <v>VERIFICAR</v>
      </c>
      <c r="F5289" s="22">
        <v>0.40000000000000002</v>
      </c>
      <c r="G5289" s="21" t="str">
        <f t="shared" si="246"/>
        <v>VERIFICAR</v>
      </c>
      <c r="H5289" s="22">
        <v>0.41999999999999998</v>
      </c>
      <c r="I5289" s="23" t="str">
        <f t="shared" si="247"/>
        <v xml:space="preserve">COM VALOR</v>
      </c>
      <c r="J5289" s="19"/>
      <c r="L5289" s="21">
        <v>0</v>
      </c>
      <c r="M5289" s="22"/>
      <c r="N5289" s="21">
        <v>0</v>
      </c>
      <c r="O5289" s="22"/>
    </row>
    <row r="5290" ht="38.25">
      <c r="A5290" t="s">
        <v>5091</v>
      </c>
      <c r="B5290" s="19">
        <v>105191</v>
      </c>
      <c r="C5290" s="20" t="s">
        <v>5396</v>
      </c>
      <c r="D5290" s="19" t="s">
        <v>31</v>
      </c>
      <c r="E5290" s="21" t="str">
        <f t="shared" si="245"/>
        <v>VERIFICAR</v>
      </c>
      <c r="F5290" s="22">
        <v>0.52000000000000002</v>
      </c>
      <c r="G5290" s="21" t="str">
        <f t="shared" si="246"/>
        <v>VERIFICAR</v>
      </c>
      <c r="H5290" s="22">
        <v>0.54000000000000004</v>
      </c>
      <c r="I5290" s="23" t="str">
        <f t="shared" si="247"/>
        <v xml:space="preserve">COM VALOR</v>
      </c>
      <c r="J5290" s="19"/>
      <c r="L5290" s="21">
        <v>0</v>
      </c>
      <c r="M5290" s="22"/>
      <c r="N5290" s="21">
        <v>0</v>
      </c>
      <c r="O5290" s="22"/>
    </row>
    <row r="5291" ht="38.25">
      <c r="A5291" t="s">
        <v>5091</v>
      </c>
      <c r="B5291" s="19">
        <v>105192</v>
      </c>
      <c r="C5291" s="20" t="s">
        <v>5397</v>
      </c>
      <c r="D5291" s="19" t="s">
        <v>31</v>
      </c>
      <c r="E5291" s="21" t="str">
        <f t="shared" si="245"/>
        <v>VERIFICAR</v>
      </c>
      <c r="F5291" s="22">
        <v>0.52000000000000002</v>
      </c>
      <c r="G5291" s="21" t="str">
        <f t="shared" si="246"/>
        <v>VERIFICAR</v>
      </c>
      <c r="H5291" s="22">
        <v>0.54000000000000004</v>
      </c>
      <c r="I5291" s="23" t="str">
        <f t="shared" si="247"/>
        <v xml:space="preserve">COM VALOR</v>
      </c>
      <c r="J5291" s="19"/>
      <c r="L5291" s="21">
        <v>0</v>
      </c>
      <c r="M5291" s="22"/>
      <c r="N5291" s="21">
        <v>0</v>
      </c>
      <c r="O5291" s="22"/>
    </row>
    <row r="5292" ht="38.25">
      <c r="A5292" t="s">
        <v>5398</v>
      </c>
      <c r="B5292" s="19">
        <v>96809</v>
      </c>
      <c r="C5292" s="20" t="s">
        <v>5399</v>
      </c>
      <c r="D5292" s="19" t="s">
        <v>31</v>
      </c>
      <c r="E5292" s="21">
        <f t="shared" si="245"/>
        <v>18.719999999999999</v>
      </c>
      <c r="F5292" s="22">
        <v>0.67000000000000004</v>
      </c>
      <c r="G5292" s="21">
        <f t="shared" si="246"/>
        <v>18.219999999999999</v>
      </c>
      <c r="H5292" s="22">
        <v>0.68999999999999995</v>
      </c>
      <c r="I5292" s="23" t="str">
        <f t="shared" si="247"/>
        <v xml:space="preserve">COM VALOR</v>
      </c>
      <c r="J5292" s="19"/>
      <c r="L5292" s="21">
        <v>18.719999999999999</v>
      </c>
      <c r="M5292" s="22">
        <v>0.53000000000000003</v>
      </c>
      <c r="N5292" s="21">
        <v>18.219999999999999</v>
      </c>
      <c r="O5292" s="22">
        <v>0.54000000000000004</v>
      </c>
    </row>
    <row r="5293" ht="38.25">
      <c r="A5293" t="s">
        <v>5398</v>
      </c>
      <c r="B5293" s="19">
        <v>96812</v>
      </c>
      <c r="C5293" s="20" t="s">
        <v>5400</v>
      </c>
      <c r="D5293" s="19" t="s">
        <v>31</v>
      </c>
      <c r="E5293" s="21">
        <f t="shared" si="245"/>
        <v>19.5</v>
      </c>
      <c r="F5293" s="22">
        <v>0.59999999999999998</v>
      </c>
      <c r="G5293" s="21">
        <f t="shared" si="246"/>
        <v>18.960000000000001</v>
      </c>
      <c r="H5293" s="22">
        <v>0.62</v>
      </c>
      <c r="I5293" s="23" t="str">
        <f t="shared" si="247"/>
        <v xml:space="preserve">COM VALOR</v>
      </c>
      <c r="J5293" s="19"/>
      <c r="L5293" s="21">
        <v>19.5</v>
      </c>
      <c r="M5293" s="22">
        <v>0.52000000000000002</v>
      </c>
      <c r="N5293" s="21">
        <v>18.960000000000001</v>
      </c>
      <c r="O5293" s="22">
        <v>0.53000000000000003</v>
      </c>
    </row>
    <row r="5294" ht="38.25">
      <c r="A5294" t="s">
        <v>5398</v>
      </c>
      <c r="B5294" s="19">
        <v>96813</v>
      </c>
      <c r="C5294" s="20" t="s">
        <v>5401</v>
      </c>
      <c r="D5294" s="19" t="s">
        <v>31</v>
      </c>
      <c r="E5294" s="21">
        <f t="shared" si="245"/>
        <v>22.260000000000002</v>
      </c>
      <c r="F5294" s="22">
        <v>0.67000000000000004</v>
      </c>
      <c r="G5294" s="21">
        <f t="shared" si="246"/>
        <v>21.66</v>
      </c>
      <c r="H5294" s="22">
        <v>0.68999999999999995</v>
      </c>
      <c r="I5294" s="23" t="str">
        <f t="shared" si="247"/>
        <v xml:space="preserve">COM VALOR</v>
      </c>
      <c r="J5294" s="19"/>
      <c r="L5294" s="21">
        <v>22.260000000000002</v>
      </c>
      <c r="M5294" s="22">
        <v>0.53000000000000003</v>
      </c>
      <c r="N5294" s="21">
        <v>21.66</v>
      </c>
      <c r="O5294" s="22">
        <v>0.54000000000000004</v>
      </c>
    </row>
    <row r="5295" ht="38.25">
      <c r="A5295" t="s">
        <v>5398</v>
      </c>
      <c r="B5295" s="19">
        <v>96817</v>
      </c>
      <c r="C5295" s="20" t="s">
        <v>5402</v>
      </c>
      <c r="D5295" s="19" t="s">
        <v>31</v>
      </c>
      <c r="E5295" s="21">
        <f t="shared" si="245"/>
        <v>33.810000000000002</v>
      </c>
      <c r="F5295" s="22">
        <v>0.77000000000000002</v>
      </c>
      <c r="G5295" s="21">
        <f t="shared" si="246"/>
        <v>33.100000000000001</v>
      </c>
      <c r="H5295" s="22">
        <v>0.79000000000000004</v>
      </c>
      <c r="I5295" s="23" t="str">
        <f t="shared" si="247"/>
        <v xml:space="preserve">COM VALOR</v>
      </c>
      <c r="J5295" s="19"/>
      <c r="L5295" s="21">
        <v>33.810000000000002</v>
      </c>
      <c r="M5295" s="22">
        <v>0.63</v>
      </c>
      <c r="N5295" s="21">
        <v>33.100000000000001</v>
      </c>
      <c r="O5295" s="22">
        <v>0.64000000000000001</v>
      </c>
    </row>
    <row r="5296" ht="38.25">
      <c r="A5296" t="s">
        <v>5398</v>
      </c>
      <c r="B5296" s="19">
        <v>96816</v>
      </c>
      <c r="C5296" s="20" t="s">
        <v>5403</v>
      </c>
      <c r="D5296" s="19" t="s">
        <v>31</v>
      </c>
      <c r="E5296" s="21">
        <f t="shared" si="245"/>
        <v>25.190000000000001</v>
      </c>
      <c r="F5296" s="22">
        <v>0.83999999999999997</v>
      </c>
      <c r="G5296" s="21">
        <f t="shared" si="246"/>
        <v>24.550000000000001</v>
      </c>
      <c r="H5296" s="22">
        <v>0.84999999999999998</v>
      </c>
      <c r="I5296" s="23" t="str">
        <f t="shared" si="247"/>
        <v xml:space="preserve">COM VALOR</v>
      </c>
      <c r="J5296" s="19"/>
      <c r="L5296" s="21">
        <v>25.190000000000001</v>
      </c>
      <c r="M5296" s="22">
        <v>0.55000000000000004</v>
      </c>
      <c r="N5296" s="21">
        <v>24.550000000000001</v>
      </c>
      <c r="O5296" s="22">
        <v>0.56999999999999995</v>
      </c>
    </row>
    <row r="5297" ht="38.25">
      <c r="A5297" t="s">
        <v>5398</v>
      </c>
      <c r="B5297" s="19">
        <v>96821</v>
      </c>
      <c r="C5297" s="20" t="s">
        <v>5404</v>
      </c>
      <c r="D5297" s="19" t="s">
        <v>31</v>
      </c>
      <c r="E5297" s="21">
        <f t="shared" si="245"/>
        <v>37.659999999999997</v>
      </c>
      <c r="F5297" s="22">
        <v>0.90000000000000002</v>
      </c>
      <c r="G5297" s="21">
        <f t="shared" si="246"/>
        <v>36.880000000000003</v>
      </c>
      <c r="H5297" s="22">
        <v>0.91000000000000003</v>
      </c>
      <c r="I5297" s="23" t="str">
        <f t="shared" si="247"/>
        <v xml:space="preserve">COM VALOR</v>
      </c>
      <c r="J5297" s="19"/>
      <c r="L5297" s="21">
        <v>37.659999999999997</v>
      </c>
      <c r="M5297" s="22">
        <v>0.64000000000000001</v>
      </c>
      <c r="N5297" s="21">
        <v>36.880000000000003</v>
      </c>
      <c r="O5297" s="22">
        <v>0.65000000000000002</v>
      </c>
    </row>
    <row r="5298" ht="38.25">
      <c r="A5298" t="s">
        <v>5398</v>
      </c>
      <c r="B5298" s="19">
        <v>96824</v>
      </c>
      <c r="C5298" s="20" t="s">
        <v>5405</v>
      </c>
      <c r="D5298" s="19" t="s">
        <v>31</v>
      </c>
      <c r="E5298" s="21">
        <f t="shared" si="245"/>
        <v>17.59</v>
      </c>
      <c r="F5298" s="22">
        <v>0.26000000000000001</v>
      </c>
      <c r="G5298" s="21">
        <f t="shared" si="246"/>
        <v>17.140000000000001</v>
      </c>
      <c r="H5298" s="22">
        <v>0.27000000000000002</v>
      </c>
      <c r="I5298" s="23" t="str">
        <f t="shared" si="247"/>
        <v xml:space="preserve">COM VALOR</v>
      </c>
      <c r="J5298" s="19"/>
      <c r="L5298" s="21">
        <v>17.59</v>
      </c>
      <c r="M5298" s="22">
        <v>0.55000000000000004</v>
      </c>
      <c r="N5298" s="21">
        <v>17.140000000000001</v>
      </c>
      <c r="O5298" s="22">
        <v>0.56999999999999995</v>
      </c>
    </row>
    <row r="5299" ht="38.25">
      <c r="A5299" t="s">
        <v>5398</v>
      </c>
      <c r="B5299" s="19">
        <v>96827</v>
      </c>
      <c r="C5299" s="20" t="s">
        <v>5406</v>
      </c>
      <c r="D5299" s="19" t="s">
        <v>31</v>
      </c>
      <c r="E5299" s="21">
        <f t="shared" si="245"/>
        <v>19.190000000000001</v>
      </c>
      <c r="F5299" s="22">
        <v>0.23000000000000001</v>
      </c>
      <c r="G5299" s="21">
        <f t="shared" si="246"/>
        <v>18.719999999999999</v>
      </c>
      <c r="H5299" s="22">
        <v>0.23999999999999999</v>
      </c>
      <c r="I5299" s="23" t="str">
        <f t="shared" si="247"/>
        <v xml:space="preserve">COM VALOR</v>
      </c>
      <c r="J5299" s="19"/>
      <c r="L5299" s="21">
        <v>19.190000000000001</v>
      </c>
      <c r="M5299" s="22">
        <v>0.56999999999999995</v>
      </c>
      <c r="N5299" s="21">
        <v>18.719999999999999</v>
      </c>
      <c r="O5299" s="22">
        <v>0.57999999999999996</v>
      </c>
    </row>
    <row r="5300" ht="38.25">
      <c r="A5300" t="s">
        <v>5398</v>
      </c>
      <c r="B5300" s="19">
        <v>96828</v>
      </c>
      <c r="C5300" s="20" t="s">
        <v>5407</v>
      </c>
      <c r="D5300" s="19" t="s">
        <v>31</v>
      </c>
      <c r="E5300" s="21">
        <f t="shared" si="245"/>
        <v>23.73</v>
      </c>
      <c r="F5300" s="22">
        <v>0.28999999999999998</v>
      </c>
      <c r="G5300" s="21">
        <f t="shared" si="246"/>
        <v>23.199999999999999</v>
      </c>
      <c r="H5300" s="22">
        <v>0.31</v>
      </c>
      <c r="I5300" s="23" t="str">
        <f t="shared" si="247"/>
        <v xml:space="preserve">COM VALOR</v>
      </c>
      <c r="J5300" s="19"/>
      <c r="L5300" s="21">
        <v>23.73</v>
      </c>
      <c r="M5300" s="22">
        <v>0.60999999999999999</v>
      </c>
      <c r="N5300" s="21">
        <v>23.199999999999999</v>
      </c>
      <c r="O5300" s="22">
        <v>0.62</v>
      </c>
    </row>
    <row r="5301" ht="38.25">
      <c r="A5301" t="s">
        <v>5398</v>
      </c>
      <c r="B5301" s="19">
        <v>96832</v>
      </c>
      <c r="C5301" s="20" t="s">
        <v>5408</v>
      </c>
      <c r="D5301" s="19" t="s">
        <v>31</v>
      </c>
      <c r="E5301" s="21">
        <f t="shared" si="245"/>
        <v>29.989999999999998</v>
      </c>
      <c r="F5301" s="22">
        <v>0.16</v>
      </c>
      <c r="G5301" s="21">
        <f t="shared" si="246"/>
        <v>29.440000000000001</v>
      </c>
      <c r="H5301" s="22">
        <v>0.17000000000000001</v>
      </c>
      <c r="I5301" s="23" t="str">
        <f t="shared" si="247"/>
        <v xml:space="preserve">COM VALOR</v>
      </c>
      <c r="J5301" s="19"/>
      <c r="L5301" s="21">
        <v>29.989999999999998</v>
      </c>
      <c r="M5301" s="22">
        <v>0.67000000000000004</v>
      </c>
      <c r="N5301" s="21">
        <v>29.440000000000001</v>
      </c>
      <c r="O5301" s="22">
        <v>0.68999999999999995</v>
      </c>
    </row>
    <row r="5302" ht="38.25">
      <c r="A5302" t="s">
        <v>5398</v>
      </c>
      <c r="B5302" s="19">
        <v>104525</v>
      </c>
      <c r="C5302" s="20" t="s">
        <v>5409</v>
      </c>
      <c r="D5302" s="19" t="s">
        <v>31</v>
      </c>
      <c r="E5302" s="21" t="str">
        <f t="shared" si="245"/>
        <v>VERIFICAR</v>
      </c>
      <c r="F5302" s="22">
        <v>0.27000000000000002</v>
      </c>
      <c r="G5302" s="21" t="str">
        <f t="shared" si="246"/>
        <v>VERIFICAR</v>
      </c>
      <c r="H5302" s="22">
        <v>0.28000000000000003</v>
      </c>
      <c r="I5302" s="23" t="str">
        <f t="shared" si="247"/>
        <v xml:space="preserve">COM VALOR</v>
      </c>
      <c r="J5302" s="19"/>
      <c r="L5302" s="21">
        <v>0</v>
      </c>
      <c r="M5302" s="22"/>
      <c r="N5302" s="21">
        <v>0</v>
      </c>
      <c r="O5302" s="22"/>
    </row>
    <row r="5303" ht="38.25">
      <c r="A5303" t="s">
        <v>5398</v>
      </c>
      <c r="B5303" s="19">
        <v>104563</v>
      </c>
      <c r="C5303" s="20" t="s">
        <v>5410</v>
      </c>
      <c r="D5303" s="19" t="s">
        <v>31</v>
      </c>
      <c r="E5303" s="21" t="str">
        <f t="shared" si="245"/>
        <v>VERIFICAR</v>
      </c>
      <c r="F5303" s="22">
        <v>0.37</v>
      </c>
      <c r="G5303" s="21" t="str">
        <f t="shared" si="246"/>
        <v>VERIFICAR</v>
      </c>
      <c r="H5303" s="22">
        <v>0.39000000000000001</v>
      </c>
      <c r="I5303" s="23" t="str">
        <f t="shared" si="247"/>
        <v xml:space="preserve">COM VALOR</v>
      </c>
      <c r="J5303" s="19"/>
      <c r="L5303" s="21">
        <v>0</v>
      </c>
      <c r="M5303" s="22"/>
      <c r="N5303" s="21">
        <v>0</v>
      </c>
      <c r="O5303" s="22"/>
    </row>
    <row r="5304" ht="38.25">
      <c r="A5304" t="s">
        <v>5398</v>
      </c>
      <c r="B5304" s="19">
        <v>104531</v>
      </c>
      <c r="C5304" s="20" t="s">
        <v>5411</v>
      </c>
      <c r="D5304" s="19" t="s">
        <v>31</v>
      </c>
      <c r="E5304" s="21" t="str">
        <f t="shared" si="245"/>
        <v>VERIFICAR</v>
      </c>
      <c r="F5304" s="22">
        <v>0.40999999999999998</v>
      </c>
      <c r="G5304" s="21" t="str">
        <f t="shared" si="246"/>
        <v>VERIFICAR</v>
      </c>
      <c r="H5304" s="22">
        <v>0.41999999999999998</v>
      </c>
      <c r="I5304" s="23" t="str">
        <f t="shared" si="247"/>
        <v xml:space="preserve">COM VALOR</v>
      </c>
      <c r="J5304" s="19"/>
      <c r="L5304" s="21">
        <v>0</v>
      </c>
      <c r="M5304" s="22"/>
      <c r="N5304" s="21">
        <v>0</v>
      </c>
      <c r="O5304" s="22"/>
    </row>
    <row r="5305" ht="38.25">
      <c r="A5305" t="s">
        <v>5398</v>
      </c>
      <c r="B5305" s="19">
        <v>104527</v>
      </c>
      <c r="C5305" s="20" t="s">
        <v>5412</v>
      </c>
      <c r="D5305" s="19" t="s">
        <v>31</v>
      </c>
      <c r="E5305" s="21" t="str">
        <f t="shared" si="245"/>
        <v>VERIFICAR</v>
      </c>
      <c r="F5305" s="22">
        <v>0.56000000000000005</v>
      </c>
      <c r="G5305" s="21" t="str">
        <f t="shared" si="246"/>
        <v>VERIFICAR</v>
      </c>
      <c r="H5305" s="22">
        <v>0.57999999999999996</v>
      </c>
      <c r="I5305" s="23" t="str">
        <f t="shared" si="247"/>
        <v xml:space="preserve">COM VALOR</v>
      </c>
      <c r="J5305" s="19"/>
      <c r="L5305" s="21">
        <v>0</v>
      </c>
      <c r="M5305" s="22"/>
      <c r="N5305" s="21">
        <v>0</v>
      </c>
      <c r="O5305" s="22"/>
    </row>
    <row r="5306" ht="38.25">
      <c r="A5306" t="s">
        <v>5398</v>
      </c>
      <c r="B5306" s="19">
        <v>104529</v>
      </c>
      <c r="C5306" s="20" t="s">
        <v>5413</v>
      </c>
      <c r="D5306" s="19" t="s">
        <v>31</v>
      </c>
      <c r="E5306" s="21" t="str">
        <f t="shared" si="245"/>
        <v>VERIFICAR</v>
      </c>
      <c r="F5306" s="22">
        <v>0.47999999999999998</v>
      </c>
      <c r="G5306" s="21" t="str">
        <f t="shared" si="246"/>
        <v>VERIFICAR</v>
      </c>
      <c r="H5306" s="22">
        <v>0.5</v>
      </c>
      <c r="I5306" s="23" t="str">
        <f t="shared" si="247"/>
        <v xml:space="preserve">COM VALOR</v>
      </c>
      <c r="J5306" s="19"/>
      <c r="L5306" s="21">
        <v>0</v>
      </c>
      <c r="M5306" s="22"/>
      <c r="N5306" s="21">
        <v>0</v>
      </c>
      <c r="O5306" s="22"/>
    </row>
    <row r="5307" ht="38.25">
      <c r="A5307" t="s">
        <v>5398</v>
      </c>
      <c r="B5307" s="19">
        <v>104564</v>
      </c>
      <c r="C5307" s="20" t="s">
        <v>5414</v>
      </c>
      <c r="D5307" s="19" t="s">
        <v>31</v>
      </c>
      <c r="E5307" s="21" t="str">
        <f t="shared" si="245"/>
        <v>VERIFICAR</v>
      </c>
      <c r="F5307" s="22">
        <v>0.55000000000000004</v>
      </c>
      <c r="G5307" s="21" t="str">
        <f t="shared" si="246"/>
        <v>VERIFICAR</v>
      </c>
      <c r="H5307" s="22">
        <v>0.56999999999999995</v>
      </c>
      <c r="I5307" s="23" t="str">
        <f t="shared" si="247"/>
        <v xml:space="preserve">COM VALOR</v>
      </c>
      <c r="J5307" s="19"/>
      <c r="L5307" s="21">
        <v>0</v>
      </c>
      <c r="M5307" s="22"/>
      <c r="N5307" s="21">
        <v>0</v>
      </c>
      <c r="O5307" s="22"/>
    </row>
    <row r="5308" ht="38.25">
      <c r="A5308" t="s">
        <v>5398</v>
      </c>
      <c r="B5308" s="19">
        <v>104533</v>
      </c>
      <c r="C5308" s="20" t="s">
        <v>5415</v>
      </c>
      <c r="D5308" s="19" t="s">
        <v>31</v>
      </c>
      <c r="E5308" s="21" t="str">
        <f t="shared" si="245"/>
        <v>VERIFICAR</v>
      </c>
      <c r="F5308" s="22">
        <v>0.75</v>
      </c>
      <c r="G5308" s="21" t="str">
        <f t="shared" si="246"/>
        <v>VERIFICAR</v>
      </c>
      <c r="H5308" s="22">
        <v>0.77000000000000002</v>
      </c>
      <c r="I5308" s="23" t="str">
        <f t="shared" si="247"/>
        <v xml:space="preserve">COM VALOR</v>
      </c>
      <c r="J5308" s="19"/>
      <c r="L5308" s="21">
        <v>0</v>
      </c>
      <c r="M5308" s="22"/>
      <c r="N5308" s="21">
        <v>0</v>
      </c>
      <c r="O5308" s="22"/>
    </row>
    <row r="5309" ht="38.25">
      <c r="A5309" t="s">
        <v>5398</v>
      </c>
      <c r="B5309" s="19">
        <v>104535</v>
      </c>
      <c r="C5309" s="20" t="s">
        <v>5416</v>
      </c>
      <c r="D5309" s="19" t="s">
        <v>31</v>
      </c>
      <c r="E5309" s="21" t="str">
        <f t="shared" si="245"/>
        <v>VERIFICAR</v>
      </c>
      <c r="F5309" s="22">
        <v>0.76000000000000001</v>
      </c>
      <c r="G5309" s="21" t="str">
        <f t="shared" si="246"/>
        <v>VERIFICAR</v>
      </c>
      <c r="H5309" s="22">
        <v>0.78000000000000003</v>
      </c>
      <c r="I5309" s="23" t="str">
        <f t="shared" si="247"/>
        <v xml:space="preserve">COM VALOR</v>
      </c>
      <c r="J5309" s="19"/>
      <c r="L5309" s="21">
        <v>0</v>
      </c>
      <c r="M5309" s="22"/>
      <c r="N5309" s="21">
        <v>0</v>
      </c>
      <c r="O5309" s="22"/>
    </row>
    <row r="5310" ht="38.25">
      <c r="A5310" t="s">
        <v>5398</v>
      </c>
      <c r="B5310" s="19">
        <v>96810</v>
      </c>
      <c r="C5310" s="20" t="s">
        <v>5417</v>
      </c>
      <c r="D5310" s="19" t="s">
        <v>31</v>
      </c>
      <c r="E5310" s="21">
        <f t="shared" si="245"/>
        <v>20.309999999999999</v>
      </c>
      <c r="F5310" s="22">
        <v>0.81000000000000005</v>
      </c>
      <c r="G5310" s="21">
        <f t="shared" si="246"/>
        <v>19.75</v>
      </c>
      <c r="H5310" s="22">
        <v>0.81999999999999995</v>
      </c>
      <c r="I5310" s="23" t="str">
        <f t="shared" si="247"/>
        <v xml:space="preserve">COM VALOR</v>
      </c>
      <c r="J5310" s="19"/>
      <c r="L5310" s="21">
        <v>20.309999999999999</v>
      </c>
      <c r="M5310" s="22">
        <v>0.51500000000000001</v>
      </c>
      <c r="N5310" s="21">
        <v>19.75</v>
      </c>
      <c r="O5310" s="22">
        <v>0.53000000000000003</v>
      </c>
    </row>
    <row r="5311" ht="38.25">
      <c r="A5311" t="s">
        <v>5398</v>
      </c>
      <c r="B5311" s="19">
        <v>104524</v>
      </c>
      <c r="C5311" s="20" t="s">
        <v>5418</v>
      </c>
      <c r="D5311" s="19" t="s">
        <v>31</v>
      </c>
      <c r="E5311" s="21" t="str">
        <f t="shared" si="245"/>
        <v>VERIFICAR</v>
      </c>
      <c r="F5311" s="22">
        <v>0.39000000000000001</v>
      </c>
      <c r="G5311" s="21" t="str">
        <f t="shared" si="246"/>
        <v>VERIFICAR</v>
      </c>
      <c r="H5311" s="22">
        <v>0.40999999999999998</v>
      </c>
      <c r="I5311" s="23" t="str">
        <f t="shared" si="247"/>
        <v xml:space="preserve">COM VALOR</v>
      </c>
      <c r="J5311" s="19"/>
      <c r="L5311" s="21">
        <v>0</v>
      </c>
      <c r="M5311" s="22"/>
      <c r="N5311" s="21">
        <v>0</v>
      </c>
      <c r="O5311" s="22"/>
    </row>
    <row r="5312" ht="38.25">
      <c r="A5312" t="s">
        <v>5398</v>
      </c>
      <c r="B5312" s="19">
        <v>104530</v>
      </c>
      <c r="C5312" s="20" t="s">
        <v>5419</v>
      </c>
      <c r="D5312" s="19" t="s">
        <v>31</v>
      </c>
      <c r="E5312" s="21" t="str">
        <f t="shared" si="245"/>
        <v>VERIFICAR</v>
      </c>
      <c r="F5312" s="22">
        <v>0.27000000000000002</v>
      </c>
      <c r="G5312" s="21" t="str">
        <f t="shared" si="246"/>
        <v>VERIFICAR</v>
      </c>
      <c r="H5312" s="22">
        <v>0.28999999999999998</v>
      </c>
      <c r="I5312" s="23" t="str">
        <f t="shared" si="247"/>
        <v xml:space="preserve">COM VALOR</v>
      </c>
      <c r="J5312" s="19"/>
      <c r="L5312" s="21">
        <v>0</v>
      </c>
      <c r="M5312" s="22"/>
      <c r="N5312" s="21">
        <v>0</v>
      </c>
      <c r="O5312" s="22"/>
    </row>
    <row r="5313" ht="38.25">
      <c r="A5313" t="s">
        <v>5398</v>
      </c>
      <c r="B5313" s="19">
        <v>104526</v>
      </c>
      <c r="C5313" s="20" t="s">
        <v>5420</v>
      </c>
      <c r="D5313" s="19" t="s">
        <v>31</v>
      </c>
      <c r="E5313" s="21" t="str">
        <f t="shared" si="245"/>
        <v>VERIFICAR</v>
      </c>
      <c r="F5313" s="22">
        <v>0.34000000000000002</v>
      </c>
      <c r="G5313" s="21" t="str">
        <f t="shared" si="246"/>
        <v>VERIFICAR</v>
      </c>
      <c r="H5313" s="22">
        <v>0.35999999999999999</v>
      </c>
      <c r="I5313" s="23" t="str">
        <f t="shared" si="247"/>
        <v xml:space="preserve">COM VALOR</v>
      </c>
      <c r="J5313" s="19"/>
      <c r="L5313" s="21">
        <v>0</v>
      </c>
      <c r="M5313" s="22"/>
      <c r="N5313" s="21">
        <v>0</v>
      </c>
      <c r="O5313" s="22"/>
    </row>
    <row r="5314" ht="38.25">
      <c r="A5314" t="s">
        <v>5398</v>
      </c>
      <c r="B5314" s="19">
        <v>104528</v>
      </c>
      <c r="C5314" s="20" t="s">
        <v>5421</v>
      </c>
      <c r="D5314" s="19" t="s">
        <v>31</v>
      </c>
      <c r="E5314" s="21" t="str">
        <f t="shared" si="245"/>
        <v>VERIFICAR</v>
      </c>
      <c r="F5314" s="22">
        <v>0.20000000000000001</v>
      </c>
      <c r="G5314" s="21" t="str">
        <f t="shared" si="246"/>
        <v>VERIFICAR</v>
      </c>
      <c r="H5314" s="22">
        <v>0.20999999999999999</v>
      </c>
      <c r="I5314" s="23" t="str">
        <f t="shared" si="247"/>
        <v xml:space="preserve">COM VALOR</v>
      </c>
      <c r="J5314" s="19"/>
      <c r="L5314" s="21">
        <v>0</v>
      </c>
      <c r="M5314" s="22"/>
      <c r="N5314" s="21">
        <v>0</v>
      </c>
      <c r="O5314" s="22"/>
    </row>
    <row r="5315" ht="38.25">
      <c r="A5315" t="s">
        <v>5398</v>
      </c>
      <c r="B5315" s="19">
        <v>104532</v>
      </c>
      <c r="C5315" s="20" t="s">
        <v>5422</v>
      </c>
      <c r="D5315" s="19" t="s">
        <v>31</v>
      </c>
      <c r="E5315" s="21" t="str">
        <f t="shared" si="245"/>
        <v>VERIFICAR</v>
      </c>
      <c r="F5315" s="22">
        <v>0.35999999999999999</v>
      </c>
      <c r="G5315" s="21" t="str">
        <f t="shared" si="246"/>
        <v>VERIFICAR</v>
      </c>
      <c r="H5315" s="22">
        <v>0.37</v>
      </c>
      <c r="I5315" s="23" t="str">
        <f t="shared" si="247"/>
        <v xml:space="preserve">COM VALOR</v>
      </c>
      <c r="J5315" s="19"/>
      <c r="L5315" s="21">
        <v>0</v>
      </c>
      <c r="M5315" s="22"/>
      <c r="N5315" s="21">
        <v>0</v>
      </c>
      <c r="O5315" s="22"/>
    </row>
    <row r="5316" ht="38.25">
      <c r="A5316" t="s">
        <v>5398</v>
      </c>
      <c r="B5316" s="19">
        <v>104534</v>
      </c>
      <c r="C5316" s="20" t="s">
        <v>5423</v>
      </c>
      <c r="D5316" s="19" t="s">
        <v>31</v>
      </c>
      <c r="E5316" s="21" t="str">
        <f t="shared" si="245"/>
        <v>VERIFICAR</v>
      </c>
      <c r="F5316" s="22">
        <v>0.46999999999999997</v>
      </c>
      <c r="G5316" s="21" t="str">
        <f t="shared" si="246"/>
        <v>VERIFICAR</v>
      </c>
      <c r="H5316" s="22">
        <v>0.48999999999999999</v>
      </c>
      <c r="I5316" s="23" t="str">
        <f t="shared" si="247"/>
        <v xml:space="preserve">COM VALOR</v>
      </c>
      <c r="J5316" s="19"/>
      <c r="L5316" s="21">
        <v>0</v>
      </c>
      <c r="M5316" s="22"/>
      <c r="N5316" s="21">
        <v>0</v>
      </c>
      <c r="O5316" s="22"/>
    </row>
    <row r="5317" ht="38.25">
      <c r="A5317" t="s">
        <v>5398</v>
      </c>
      <c r="B5317" s="19">
        <v>96873</v>
      </c>
      <c r="C5317" s="20" t="s">
        <v>5424</v>
      </c>
      <c r="D5317" s="19" t="s">
        <v>31</v>
      </c>
      <c r="E5317" s="21">
        <f t="shared" si="245"/>
        <v>64.019999999999996</v>
      </c>
      <c r="F5317" s="22">
        <v>0.56999999999999995</v>
      </c>
      <c r="G5317" s="21">
        <f t="shared" si="246"/>
        <v>62.850000000000001</v>
      </c>
      <c r="H5317" s="22">
        <v>0.57999999999999996</v>
      </c>
      <c r="I5317" s="23" t="str">
        <f t="shared" si="247"/>
        <v xml:space="preserve">COM VALOR</v>
      </c>
      <c r="J5317" s="19"/>
      <c r="L5317" s="21">
        <v>64.019999999999996</v>
      </c>
      <c r="M5317" s="22">
        <v>0.68000000000000005</v>
      </c>
      <c r="N5317" s="21">
        <v>62.850000000000001</v>
      </c>
      <c r="O5317" s="22">
        <v>0.68999999999999995</v>
      </c>
    </row>
    <row r="5318" ht="38.25">
      <c r="A5318" t="s">
        <v>5398</v>
      </c>
      <c r="B5318" s="19">
        <v>96872</v>
      </c>
      <c r="C5318" s="20" t="s">
        <v>5425</v>
      </c>
      <c r="D5318" s="19" t="s">
        <v>31</v>
      </c>
      <c r="E5318" s="21">
        <f t="shared" si="245"/>
        <v>47.840000000000003</v>
      </c>
      <c r="F5318" s="22">
        <v>0.70999999999999996</v>
      </c>
      <c r="G5318" s="21">
        <f t="shared" si="246"/>
        <v>46.789999999999999</v>
      </c>
      <c r="H5318" s="22">
        <v>0.71999999999999997</v>
      </c>
      <c r="I5318" s="23" t="str">
        <f t="shared" si="247"/>
        <v xml:space="preserve">COM VALOR</v>
      </c>
      <c r="J5318" s="19"/>
      <c r="L5318" s="21">
        <v>47.840000000000003</v>
      </c>
      <c r="M5318" s="22">
        <v>0.62</v>
      </c>
      <c r="N5318" s="21">
        <v>46.789999999999999</v>
      </c>
      <c r="O5318" s="22">
        <v>0.63</v>
      </c>
    </row>
    <row r="5319" ht="38.25">
      <c r="A5319" t="s">
        <v>5398</v>
      </c>
      <c r="B5319" s="19">
        <v>96876</v>
      </c>
      <c r="C5319" s="20" t="s">
        <v>5426</v>
      </c>
      <c r="D5319" s="19" t="s">
        <v>31</v>
      </c>
      <c r="E5319" s="21">
        <f t="shared" si="245"/>
        <v>181.75999999999999</v>
      </c>
      <c r="F5319" s="22">
        <v>0.56999999999999995</v>
      </c>
      <c r="G5319" s="21">
        <f t="shared" si="246"/>
        <v>180.52000000000001</v>
      </c>
      <c r="H5319" s="22">
        <v>0.57999999999999996</v>
      </c>
      <c r="I5319" s="23" t="str">
        <f t="shared" si="247"/>
        <v xml:space="preserve">COM VALOR</v>
      </c>
      <c r="J5319" s="19"/>
      <c r="L5319" s="21">
        <v>181.75999999999999</v>
      </c>
      <c r="M5319" s="22">
        <v>0.78000000000000003</v>
      </c>
      <c r="N5319" s="21">
        <v>180.52000000000001</v>
      </c>
      <c r="O5319" s="22">
        <v>0.79000000000000004</v>
      </c>
    </row>
    <row r="5320" ht="38.25">
      <c r="A5320" t="s">
        <v>5398</v>
      </c>
      <c r="B5320" s="19">
        <v>96878</v>
      </c>
      <c r="C5320" s="20" t="s">
        <v>5427</v>
      </c>
      <c r="D5320" s="19" t="s">
        <v>31</v>
      </c>
      <c r="E5320" s="21">
        <f t="shared" si="245"/>
        <v>204.00999999999999</v>
      </c>
      <c r="F5320" s="22">
        <v>0.64000000000000001</v>
      </c>
      <c r="G5320" s="21">
        <f t="shared" si="246"/>
        <v>202.66</v>
      </c>
      <c r="H5320" s="22">
        <v>0.66000000000000003</v>
      </c>
      <c r="I5320" s="23" t="str">
        <f t="shared" si="247"/>
        <v xml:space="preserve">COM VALOR</v>
      </c>
      <c r="J5320" s="19"/>
      <c r="L5320" s="21">
        <v>204.00999999999999</v>
      </c>
      <c r="M5320" s="22">
        <v>0.80000000000000004</v>
      </c>
      <c r="N5320" s="21">
        <v>202.66</v>
      </c>
      <c r="O5320" s="22">
        <v>0.80000000000000004</v>
      </c>
    </row>
    <row r="5321" ht="38.25">
      <c r="A5321" t="s">
        <v>5398</v>
      </c>
      <c r="B5321" s="19">
        <v>96875</v>
      </c>
      <c r="C5321" s="20" t="s">
        <v>5428</v>
      </c>
      <c r="D5321" s="19" t="s">
        <v>31</v>
      </c>
      <c r="E5321" s="21">
        <f t="shared" si="245"/>
        <v>76.75</v>
      </c>
      <c r="F5321" s="22">
        <v>0.73999999999999999</v>
      </c>
      <c r="G5321" s="21">
        <f t="shared" si="246"/>
        <v>75.390000000000001</v>
      </c>
      <c r="H5321" s="22">
        <v>0.75</v>
      </c>
      <c r="I5321" s="23" t="str">
        <f t="shared" si="247"/>
        <v xml:space="preserve">COM VALOR</v>
      </c>
      <c r="J5321" s="19"/>
      <c r="L5321" s="21">
        <v>76.75</v>
      </c>
      <c r="M5321" s="22">
        <v>0.68999999999999995</v>
      </c>
      <c r="N5321" s="21">
        <v>75.390000000000001</v>
      </c>
      <c r="O5321" s="22">
        <v>0.69999999999999996</v>
      </c>
    </row>
    <row r="5322" ht="38.25">
      <c r="A5322" t="s">
        <v>5398</v>
      </c>
      <c r="B5322" s="19">
        <v>96874</v>
      </c>
      <c r="C5322" s="20" t="s">
        <v>5429</v>
      </c>
      <c r="D5322" s="19" t="s">
        <v>31</v>
      </c>
      <c r="E5322" s="21">
        <f t="shared" si="245"/>
        <v>58.200000000000003</v>
      </c>
      <c r="F5322" s="22">
        <v>0.79000000000000004</v>
      </c>
      <c r="G5322" s="21">
        <f t="shared" si="246"/>
        <v>56.969999999999999</v>
      </c>
      <c r="H5322" s="22">
        <v>0.81000000000000005</v>
      </c>
      <c r="I5322" s="23" t="str">
        <f t="shared" si="247"/>
        <v xml:space="preserve">COM VALOR</v>
      </c>
      <c r="J5322" s="19"/>
      <c r="L5322" s="21">
        <v>58.200000000000003</v>
      </c>
      <c r="M5322" s="22">
        <v>0.63</v>
      </c>
      <c r="N5322" s="21">
        <v>56.969999999999999</v>
      </c>
      <c r="O5322" s="22">
        <v>0.64000000000000001</v>
      </c>
    </row>
    <row r="5323" ht="38.25">
      <c r="A5323" t="s">
        <v>5398</v>
      </c>
      <c r="B5323" s="19">
        <v>96879</v>
      </c>
      <c r="C5323" s="20" t="s">
        <v>5430</v>
      </c>
      <c r="D5323" s="19" t="s">
        <v>31</v>
      </c>
      <c r="E5323" s="21">
        <f t="shared" ref="E5323:E5386" si="248">IF(L5323=0,"VERIFICAR",L5323)</f>
        <v>197.62</v>
      </c>
      <c r="F5323" s="22">
        <v>0.89000000000000001</v>
      </c>
      <c r="G5323" s="21">
        <f t="shared" ref="G5323:G5386" si="249">IF(N5323=0,"VERIFICAR",N5323)</f>
        <v>196.25</v>
      </c>
      <c r="H5323" s="22">
        <v>0.89000000000000001</v>
      </c>
      <c r="I5323" s="23" t="str">
        <f t="shared" ref="I5323:I5386" si="250">IF(OR(E5323=0,G5323=0),"SEM VALOR","COM VALOR")</f>
        <v xml:space="preserve">COM VALOR</v>
      </c>
      <c r="J5323" s="19"/>
      <c r="L5323" s="21">
        <v>197.62</v>
      </c>
      <c r="M5323" s="22">
        <v>0.79000000000000004</v>
      </c>
      <c r="N5323" s="21">
        <v>196.25</v>
      </c>
      <c r="O5323" s="22">
        <v>0.79000000000000004</v>
      </c>
    </row>
    <row r="5324" ht="38.25">
      <c r="A5324" t="s">
        <v>5398</v>
      </c>
      <c r="B5324" s="19">
        <v>96881</v>
      </c>
      <c r="C5324" s="20" t="s">
        <v>5431</v>
      </c>
      <c r="D5324" s="19" t="s">
        <v>31</v>
      </c>
      <c r="E5324" s="21">
        <f t="shared" si="248"/>
        <v>234.34999999999999</v>
      </c>
      <c r="F5324" s="22">
        <v>0.92000000000000004</v>
      </c>
      <c r="G5324" s="21">
        <f t="shared" si="249"/>
        <v>232.81</v>
      </c>
      <c r="H5324" s="22">
        <v>0.93000000000000005</v>
      </c>
      <c r="I5324" s="23" t="str">
        <f t="shared" si="250"/>
        <v xml:space="preserve">COM VALOR</v>
      </c>
      <c r="J5324" s="19"/>
      <c r="L5324" s="21">
        <v>234.34999999999999</v>
      </c>
      <c r="M5324" s="22">
        <v>0.81000000000000005</v>
      </c>
      <c r="N5324" s="21">
        <v>232.81</v>
      </c>
      <c r="O5324" s="22">
        <v>0.81499999999999995</v>
      </c>
    </row>
    <row r="5325" ht="38.25">
      <c r="A5325" t="s">
        <v>5398</v>
      </c>
      <c r="B5325" s="19">
        <v>96837</v>
      </c>
      <c r="C5325" s="20" t="s">
        <v>5432</v>
      </c>
      <c r="D5325" s="19" t="s">
        <v>31</v>
      </c>
      <c r="E5325" s="21">
        <f t="shared" si="248"/>
        <v>20.850000000000001</v>
      </c>
      <c r="F5325" s="22">
        <v>0.47999999999999998</v>
      </c>
      <c r="G5325" s="21">
        <f t="shared" si="249"/>
        <v>20.289999999999999</v>
      </c>
      <c r="H5325" s="22">
        <v>0.5</v>
      </c>
      <c r="I5325" s="23" t="str">
        <f t="shared" si="250"/>
        <v xml:space="preserve">COM VALOR</v>
      </c>
      <c r="J5325" s="19"/>
      <c r="L5325" s="21">
        <v>20.850000000000001</v>
      </c>
      <c r="M5325" s="22">
        <v>0.53000000000000003</v>
      </c>
      <c r="N5325" s="21">
        <v>20.289999999999999</v>
      </c>
      <c r="O5325" s="22">
        <v>0.54000000000000004</v>
      </c>
    </row>
    <row r="5326" ht="38.25">
      <c r="A5326" t="s">
        <v>5398</v>
      </c>
      <c r="B5326" s="19">
        <v>96840</v>
      </c>
      <c r="C5326" s="20" t="s">
        <v>5433</v>
      </c>
      <c r="D5326" s="19" t="s">
        <v>31</v>
      </c>
      <c r="E5326" s="21">
        <f t="shared" si="248"/>
        <v>25.190000000000001</v>
      </c>
      <c r="F5326" s="22">
        <v>0.48999999999999999</v>
      </c>
      <c r="G5326" s="21">
        <f t="shared" si="249"/>
        <v>24.530000000000001</v>
      </c>
      <c r="H5326" s="22">
        <v>0.51000000000000001</v>
      </c>
      <c r="I5326" s="23" t="str">
        <f t="shared" si="250"/>
        <v xml:space="preserve">COM VALOR</v>
      </c>
      <c r="J5326" s="19"/>
      <c r="L5326" s="21">
        <v>25.190000000000001</v>
      </c>
      <c r="M5326" s="22">
        <v>0.54000000000000004</v>
      </c>
      <c r="N5326" s="21">
        <v>24.530000000000001</v>
      </c>
      <c r="O5326" s="22">
        <v>0.55000000000000004</v>
      </c>
    </row>
    <row r="5327" ht="38.25">
      <c r="A5327" t="s">
        <v>5398</v>
      </c>
      <c r="B5327" s="19">
        <v>96845</v>
      </c>
      <c r="C5327" s="20" t="s">
        <v>5434</v>
      </c>
      <c r="D5327" s="19" t="s">
        <v>31</v>
      </c>
      <c r="E5327" s="21">
        <f t="shared" si="248"/>
        <v>40.009999999999998</v>
      </c>
      <c r="F5327" s="22">
        <v>0.79000000000000004</v>
      </c>
      <c r="G5327" s="21">
        <f t="shared" si="249"/>
        <v>39.210000000000001</v>
      </c>
      <c r="H5327" s="22">
        <v>0.81000000000000005</v>
      </c>
      <c r="I5327" s="23" t="str">
        <f t="shared" si="250"/>
        <v xml:space="preserve">COM VALOR</v>
      </c>
      <c r="J5327" s="19"/>
      <c r="L5327" s="21">
        <v>40.009999999999998</v>
      </c>
      <c r="M5327" s="22">
        <v>0.65000000000000002</v>
      </c>
      <c r="N5327" s="21">
        <v>39.210000000000001</v>
      </c>
      <c r="O5327" s="22">
        <v>0.66000000000000003</v>
      </c>
    </row>
    <row r="5328" ht="38.25">
      <c r="A5328" t="s">
        <v>5398</v>
      </c>
      <c r="B5328" s="19">
        <v>96848</v>
      </c>
      <c r="C5328" s="20" t="s">
        <v>5435</v>
      </c>
      <c r="D5328" s="19" t="s">
        <v>31</v>
      </c>
      <c r="E5328" s="21">
        <f t="shared" si="248"/>
        <v>53.210000000000001</v>
      </c>
      <c r="F5328" s="22">
        <v>0.62</v>
      </c>
      <c r="G5328" s="21">
        <f t="shared" si="249"/>
        <v>52.229999999999997</v>
      </c>
      <c r="H5328" s="22">
        <v>0.64000000000000001</v>
      </c>
      <c r="I5328" s="23" t="str">
        <f t="shared" si="250"/>
        <v xml:space="preserve">COM VALOR</v>
      </c>
      <c r="J5328" s="19"/>
      <c r="L5328" s="21">
        <v>53.210000000000001</v>
      </c>
      <c r="M5328" s="22">
        <v>0.68000000000000005</v>
      </c>
      <c r="N5328" s="21">
        <v>52.229999999999997</v>
      </c>
      <c r="O5328" s="22">
        <v>0.68999999999999995</v>
      </c>
    </row>
    <row r="5329" ht="25.5">
      <c r="A5329" t="s">
        <v>5398</v>
      </c>
      <c r="B5329" s="19">
        <v>96849</v>
      </c>
      <c r="C5329" s="20" t="s">
        <v>5436</v>
      </c>
      <c r="D5329" s="19" t="s">
        <v>31</v>
      </c>
      <c r="E5329" s="21">
        <f t="shared" si="248"/>
        <v>16.699999999999999</v>
      </c>
      <c r="F5329" s="22">
        <v>0.34000000000000002</v>
      </c>
      <c r="G5329" s="21">
        <f t="shared" si="249"/>
        <v>16.300000000000001</v>
      </c>
      <c r="H5329" s="22">
        <v>0.35999999999999999</v>
      </c>
      <c r="I5329" s="23" t="str">
        <f t="shared" si="250"/>
        <v xml:space="preserve">COM VALOR</v>
      </c>
      <c r="J5329" s="19"/>
      <c r="L5329" s="21">
        <v>16.699999999999999</v>
      </c>
      <c r="M5329" s="22">
        <v>0.58999999999999997</v>
      </c>
      <c r="N5329" s="21">
        <v>16.300000000000001</v>
      </c>
      <c r="O5329" s="22">
        <v>0.59999999999999998</v>
      </c>
    </row>
    <row r="5330" ht="25.5">
      <c r="A5330" t="s">
        <v>5398</v>
      </c>
      <c r="B5330" s="19">
        <v>96852</v>
      </c>
      <c r="C5330" s="20" t="s">
        <v>5437</v>
      </c>
      <c r="D5330" s="19" t="s">
        <v>31</v>
      </c>
      <c r="E5330" s="21">
        <f t="shared" si="248"/>
        <v>21.300000000000001</v>
      </c>
      <c r="F5330" s="22">
        <v>0.35999999999999999</v>
      </c>
      <c r="G5330" s="21">
        <f t="shared" si="249"/>
        <v>20.84</v>
      </c>
      <c r="H5330" s="22">
        <v>0.38</v>
      </c>
      <c r="I5330" s="23" t="str">
        <f t="shared" si="250"/>
        <v xml:space="preserve">COM VALOR</v>
      </c>
      <c r="J5330" s="19"/>
      <c r="L5330" s="21">
        <v>21.300000000000001</v>
      </c>
      <c r="M5330" s="22">
        <v>0.62</v>
      </c>
      <c r="N5330" s="21">
        <v>20.84</v>
      </c>
      <c r="O5330" s="22">
        <v>0.63</v>
      </c>
    </row>
    <row r="5331" ht="25.5">
      <c r="A5331" t="s">
        <v>5398</v>
      </c>
      <c r="B5331" s="19">
        <v>96855</v>
      </c>
      <c r="C5331" s="20" t="s">
        <v>5438</v>
      </c>
      <c r="D5331" s="19" t="s">
        <v>31</v>
      </c>
      <c r="E5331" s="21">
        <f t="shared" si="248"/>
        <v>33.659999999999997</v>
      </c>
      <c r="F5331" s="22">
        <v>0.69999999999999996</v>
      </c>
      <c r="G5331" s="21">
        <f t="shared" si="249"/>
        <v>33.119999999999997</v>
      </c>
      <c r="H5331" s="22">
        <v>0.71999999999999997</v>
      </c>
      <c r="I5331" s="23" t="str">
        <f t="shared" si="250"/>
        <v xml:space="preserve">COM VALOR</v>
      </c>
      <c r="J5331" s="19"/>
      <c r="L5331" s="21">
        <v>33.659999999999997</v>
      </c>
      <c r="M5331" s="22">
        <v>0.70999999999999996</v>
      </c>
      <c r="N5331" s="21">
        <v>33.119999999999997</v>
      </c>
      <c r="O5331" s="22">
        <v>0.72250000000000003</v>
      </c>
    </row>
    <row r="5332" ht="38.25">
      <c r="A5332" t="s">
        <v>5398</v>
      </c>
      <c r="B5332" s="19">
        <v>96838</v>
      </c>
      <c r="C5332" s="20" t="s">
        <v>5439</v>
      </c>
      <c r="D5332" s="19" t="s">
        <v>31</v>
      </c>
      <c r="E5332" s="21">
        <f t="shared" si="248"/>
        <v>25</v>
      </c>
      <c r="F5332" s="22">
        <v>0.64000000000000001</v>
      </c>
      <c r="G5332" s="21">
        <f t="shared" si="249"/>
        <v>24.239999999999998</v>
      </c>
      <c r="H5332" s="22">
        <v>0.66000000000000003</v>
      </c>
      <c r="I5332" s="23" t="str">
        <f t="shared" si="250"/>
        <v xml:space="preserve">COM VALOR</v>
      </c>
      <c r="J5332" s="19"/>
      <c r="L5332" s="21">
        <v>25</v>
      </c>
      <c r="M5332" s="22">
        <v>0.46999999999999997</v>
      </c>
      <c r="N5332" s="21">
        <v>24.239999999999998</v>
      </c>
      <c r="O5332" s="22">
        <v>0.48999999999999999</v>
      </c>
    </row>
    <row r="5333" ht="38.25">
      <c r="A5333" t="s">
        <v>5398</v>
      </c>
      <c r="B5333" s="19">
        <v>96841</v>
      </c>
      <c r="C5333" s="20" t="s">
        <v>5440</v>
      </c>
      <c r="D5333" s="19" t="s">
        <v>31</v>
      </c>
      <c r="E5333" s="21">
        <f t="shared" si="248"/>
        <v>27.789999999999999</v>
      </c>
      <c r="F5333" s="22">
        <v>0.66000000000000003</v>
      </c>
      <c r="G5333" s="21">
        <f t="shared" si="249"/>
        <v>26.989999999999998</v>
      </c>
      <c r="H5333" s="22">
        <v>0.68000000000000005</v>
      </c>
      <c r="I5333" s="23" t="str">
        <f t="shared" si="250"/>
        <v xml:space="preserve">COM VALOR</v>
      </c>
      <c r="J5333" s="19"/>
      <c r="L5333" s="21">
        <v>27.789999999999999</v>
      </c>
      <c r="M5333" s="22">
        <v>0.48999999999999999</v>
      </c>
      <c r="N5333" s="21">
        <v>26.989999999999998</v>
      </c>
      <c r="O5333" s="22">
        <v>0.51000000000000001</v>
      </c>
    </row>
    <row r="5334" ht="38.25">
      <c r="A5334" t="s">
        <v>5398</v>
      </c>
      <c r="B5334" s="19">
        <v>96842</v>
      </c>
      <c r="C5334" s="20" t="s">
        <v>5441</v>
      </c>
      <c r="D5334" s="19" t="s">
        <v>31</v>
      </c>
      <c r="E5334" s="21">
        <f t="shared" si="248"/>
        <v>31.890000000000001</v>
      </c>
      <c r="F5334" s="22">
        <v>0.57999999999999996</v>
      </c>
      <c r="G5334" s="21">
        <f t="shared" si="249"/>
        <v>30.989999999999998</v>
      </c>
      <c r="H5334" s="22">
        <v>0.58999999999999997</v>
      </c>
      <c r="I5334" s="23" t="str">
        <f t="shared" si="250"/>
        <v xml:space="preserve">COM VALOR</v>
      </c>
      <c r="J5334" s="19"/>
      <c r="L5334" s="21">
        <v>31.890000000000001</v>
      </c>
      <c r="M5334" s="22">
        <v>0.51000000000000001</v>
      </c>
      <c r="N5334" s="21">
        <v>30.989999999999998</v>
      </c>
      <c r="O5334" s="22">
        <v>0.52000000000000002</v>
      </c>
    </row>
    <row r="5335" ht="38.25">
      <c r="A5335" t="s">
        <v>5398</v>
      </c>
      <c r="B5335" s="19">
        <v>96846</v>
      </c>
      <c r="C5335" s="20" t="s">
        <v>5442</v>
      </c>
      <c r="D5335" s="19" t="s">
        <v>31</v>
      </c>
      <c r="E5335" s="21">
        <f t="shared" si="248"/>
        <v>37.289999999999999</v>
      </c>
      <c r="F5335" s="22">
        <v>0.71999999999999997</v>
      </c>
      <c r="G5335" s="21">
        <f t="shared" si="249"/>
        <v>36.340000000000003</v>
      </c>
      <c r="H5335" s="22">
        <v>0.73999999999999999</v>
      </c>
      <c r="I5335" s="23" t="str">
        <f t="shared" si="250"/>
        <v xml:space="preserve">COM VALOR</v>
      </c>
      <c r="J5335" s="19"/>
      <c r="L5335" s="21">
        <v>37.289999999999999</v>
      </c>
      <c r="M5335" s="22">
        <v>0.55000000000000004</v>
      </c>
      <c r="N5335" s="21">
        <v>36.340000000000003</v>
      </c>
      <c r="O5335" s="22">
        <v>0.56000000000000005</v>
      </c>
    </row>
    <row r="5336" ht="38.25">
      <c r="A5336" t="s">
        <v>5398</v>
      </c>
      <c r="B5336" s="19">
        <v>96850</v>
      </c>
      <c r="C5336" s="20" t="s">
        <v>5443</v>
      </c>
      <c r="D5336" s="19" t="s">
        <v>31</v>
      </c>
      <c r="E5336" s="21">
        <f t="shared" si="248"/>
        <v>23.359999999999999</v>
      </c>
      <c r="F5336" s="22">
        <v>0.68999999999999995</v>
      </c>
      <c r="G5336" s="21">
        <f t="shared" si="249"/>
        <v>22.690000000000001</v>
      </c>
      <c r="H5336" s="22">
        <v>0.70999999999999996</v>
      </c>
      <c r="I5336" s="23" t="str">
        <f t="shared" si="250"/>
        <v xml:space="preserve">COM VALOR</v>
      </c>
      <c r="J5336" s="19"/>
      <c r="L5336" s="21">
        <v>23.359999999999999</v>
      </c>
      <c r="M5336" s="22">
        <v>0.5</v>
      </c>
      <c r="N5336" s="21">
        <v>22.690000000000001</v>
      </c>
      <c r="O5336" s="22">
        <v>0.51000000000000001</v>
      </c>
    </row>
    <row r="5337" ht="38.25">
      <c r="A5337" t="s">
        <v>5398</v>
      </c>
      <c r="B5337" s="19">
        <v>96853</v>
      </c>
      <c r="C5337" s="20" t="s">
        <v>5444</v>
      </c>
      <c r="D5337" s="19" t="s">
        <v>31</v>
      </c>
      <c r="E5337" s="21">
        <f t="shared" si="248"/>
        <v>25.129999999999999</v>
      </c>
      <c r="F5337" s="22">
        <v>0.68999999999999995</v>
      </c>
      <c r="G5337" s="21">
        <f t="shared" si="249"/>
        <v>24.420000000000002</v>
      </c>
      <c r="H5337" s="22">
        <v>0.69999999999999996</v>
      </c>
      <c r="I5337" s="23" t="str">
        <f t="shared" si="250"/>
        <v xml:space="preserve">COM VALOR</v>
      </c>
      <c r="J5337" s="19"/>
      <c r="L5337" s="21">
        <v>25.129999999999999</v>
      </c>
      <c r="M5337" s="22">
        <v>0.51000000000000001</v>
      </c>
      <c r="N5337" s="21">
        <v>24.420000000000002</v>
      </c>
      <c r="O5337" s="22">
        <v>0.52249999999999996</v>
      </c>
    </row>
    <row r="5338" ht="38.25">
      <c r="A5338" t="s">
        <v>5398</v>
      </c>
      <c r="B5338" s="19">
        <v>96854</v>
      </c>
      <c r="C5338" s="20" t="s">
        <v>5445</v>
      </c>
      <c r="D5338" s="19" t="s">
        <v>31</v>
      </c>
      <c r="E5338" s="21">
        <f t="shared" si="248"/>
        <v>31.050000000000001</v>
      </c>
      <c r="F5338" s="22">
        <v>0.63</v>
      </c>
      <c r="G5338" s="21">
        <f t="shared" si="249"/>
        <v>30.260000000000002</v>
      </c>
      <c r="H5338" s="22">
        <v>0.65000000000000002</v>
      </c>
      <c r="I5338" s="23" t="str">
        <f t="shared" si="250"/>
        <v xml:space="preserve">COM VALOR</v>
      </c>
      <c r="J5338" s="19"/>
      <c r="L5338" s="21">
        <v>31.050000000000001</v>
      </c>
      <c r="M5338" s="22">
        <v>0.55000000000000004</v>
      </c>
      <c r="N5338" s="21">
        <v>30.260000000000002</v>
      </c>
      <c r="O5338" s="22">
        <v>0.56999999999999995</v>
      </c>
    </row>
    <row r="5339" ht="38.25">
      <c r="A5339" t="s">
        <v>5398</v>
      </c>
      <c r="B5339" s="19">
        <v>104571</v>
      </c>
      <c r="C5339" s="20" t="s">
        <v>5446</v>
      </c>
      <c r="D5339" s="19" t="s">
        <v>31</v>
      </c>
      <c r="E5339" s="21" t="str">
        <f t="shared" si="248"/>
        <v>VERIFICAR</v>
      </c>
      <c r="F5339" s="22">
        <v>0.76000000000000001</v>
      </c>
      <c r="G5339" s="21" t="str">
        <f t="shared" si="249"/>
        <v>VERIFICAR</v>
      </c>
      <c r="H5339" s="22">
        <v>0.77000000000000002</v>
      </c>
      <c r="I5339" s="23" t="str">
        <f t="shared" si="250"/>
        <v xml:space="preserve">COM VALOR</v>
      </c>
      <c r="J5339" s="19"/>
      <c r="L5339" s="21">
        <v>0</v>
      </c>
      <c r="M5339" s="22"/>
      <c r="N5339" s="21">
        <v>0</v>
      </c>
      <c r="O5339" s="22"/>
    </row>
    <row r="5340" ht="38.25">
      <c r="A5340" t="s">
        <v>5398</v>
      </c>
      <c r="B5340" s="19">
        <v>96856</v>
      </c>
      <c r="C5340" s="20" t="s">
        <v>5447</v>
      </c>
      <c r="D5340" s="19" t="s">
        <v>31</v>
      </c>
      <c r="E5340" s="21">
        <f t="shared" si="248"/>
        <v>35.829999999999998</v>
      </c>
      <c r="F5340" s="22">
        <v>0.76000000000000001</v>
      </c>
      <c r="G5340" s="21">
        <f t="shared" si="249"/>
        <v>35.079999999999998</v>
      </c>
      <c r="H5340" s="22">
        <v>0.77000000000000002</v>
      </c>
      <c r="I5340" s="23" t="str">
        <f t="shared" si="250"/>
        <v xml:space="preserve">COM VALOR</v>
      </c>
      <c r="J5340" s="19"/>
      <c r="L5340" s="21">
        <v>35.829999999999998</v>
      </c>
      <c r="M5340" s="22">
        <v>0.63</v>
      </c>
      <c r="N5340" s="21">
        <v>35.079999999999998</v>
      </c>
      <c r="O5340" s="22">
        <v>0.65000000000000002</v>
      </c>
    </row>
    <row r="5341" ht="38.25">
      <c r="A5341" t="s">
        <v>5398</v>
      </c>
      <c r="B5341" s="19">
        <v>104566</v>
      </c>
      <c r="C5341" s="20" t="s">
        <v>5448</v>
      </c>
      <c r="D5341" s="19" t="s">
        <v>31</v>
      </c>
      <c r="E5341" s="21" t="str">
        <f t="shared" si="248"/>
        <v>VERIFICAR</v>
      </c>
      <c r="F5341" s="22">
        <v>0.75</v>
      </c>
      <c r="G5341" s="21" t="str">
        <f t="shared" si="249"/>
        <v>VERIFICAR</v>
      </c>
      <c r="H5341" s="22">
        <v>0.76000000000000001</v>
      </c>
      <c r="I5341" s="23" t="str">
        <f t="shared" si="250"/>
        <v xml:space="preserve">COM VALOR</v>
      </c>
      <c r="J5341" s="19"/>
      <c r="L5341" s="21">
        <v>0</v>
      </c>
      <c r="M5341" s="22"/>
      <c r="N5341" s="21">
        <v>0</v>
      </c>
      <c r="O5341" s="22"/>
    </row>
    <row r="5342" ht="38.25">
      <c r="A5342" t="s">
        <v>5398</v>
      </c>
      <c r="B5342" s="19">
        <v>104536</v>
      </c>
      <c r="C5342" s="20" t="s">
        <v>5449</v>
      </c>
      <c r="D5342" s="19" t="s">
        <v>31</v>
      </c>
      <c r="E5342" s="21" t="str">
        <f t="shared" si="248"/>
        <v>VERIFICAR</v>
      </c>
      <c r="F5342" s="22">
        <v>0.80000000000000004</v>
      </c>
      <c r="G5342" s="21" t="str">
        <f t="shared" si="249"/>
        <v>VERIFICAR</v>
      </c>
      <c r="H5342" s="22">
        <v>0.81999999999999995</v>
      </c>
      <c r="I5342" s="23" t="str">
        <f t="shared" si="250"/>
        <v xml:space="preserve">COM VALOR</v>
      </c>
      <c r="J5342" s="19"/>
      <c r="L5342" s="21">
        <v>0</v>
      </c>
      <c r="M5342" s="22"/>
      <c r="N5342" s="21">
        <v>0</v>
      </c>
      <c r="O5342" s="22"/>
    </row>
    <row r="5343" ht="38.25">
      <c r="A5343" t="s">
        <v>5398</v>
      </c>
      <c r="B5343" s="19">
        <v>104537</v>
      </c>
      <c r="C5343" s="20" t="s">
        <v>5450</v>
      </c>
      <c r="D5343" s="19" t="s">
        <v>31</v>
      </c>
      <c r="E5343" s="21" t="str">
        <f t="shared" si="248"/>
        <v>VERIFICAR</v>
      </c>
      <c r="F5343" s="22">
        <v>0.80000000000000004</v>
      </c>
      <c r="G5343" s="21" t="str">
        <f t="shared" si="249"/>
        <v>VERIFICAR</v>
      </c>
      <c r="H5343" s="22">
        <v>0.81000000000000005</v>
      </c>
      <c r="I5343" s="23" t="str">
        <f t="shared" si="250"/>
        <v xml:space="preserve">COM VALOR</v>
      </c>
      <c r="J5343" s="19"/>
      <c r="L5343" s="21">
        <v>0</v>
      </c>
      <c r="M5343" s="22"/>
      <c r="N5343" s="21">
        <v>0</v>
      </c>
      <c r="O5343" s="22"/>
    </row>
    <row r="5344" ht="38.25">
      <c r="A5344" t="s">
        <v>5398</v>
      </c>
      <c r="B5344" s="19">
        <v>104572</v>
      </c>
      <c r="C5344" s="20" t="s">
        <v>5451</v>
      </c>
      <c r="D5344" s="19" t="s">
        <v>31</v>
      </c>
      <c r="E5344" s="21" t="str">
        <f t="shared" si="248"/>
        <v>VERIFICAR</v>
      </c>
      <c r="F5344" s="22">
        <v>0.84999999999999998</v>
      </c>
      <c r="G5344" s="21" t="str">
        <f t="shared" si="249"/>
        <v>VERIFICAR</v>
      </c>
      <c r="H5344" s="22">
        <v>0.85999999999999999</v>
      </c>
      <c r="I5344" s="23" t="str">
        <f t="shared" si="250"/>
        <v xml:space="preserve">COM VALOR</v>
      </c>
      <c r="J5344" s="19"/>
      <c r="L5344" s="21">
        <v>0</v>
      </c>
      <c r="M5344" s="22"/>
      <c r="N5344" s="21">
        <v>0</v>
      </c>
      <c r="O5344" s="22"/>
    </row>
    <row r="5345" ht="38.25">
      <c r="A5345" t="s">
        <v>5398</v>
      </c>
      <c r="B5345" s="19">
        <v>104568</v>
      </c>
      <c r="C5345" s="20" t="s">
        <v>5452</v>
      </c>
      <c r="D5345" s="19" t="s">
        <v>31</v>
      </c>
      <c r="E5345" s="21" t="str">
        <f t="shared" si="248"/>
        <v>VERIFICAR</v>
      </c>
      <c r="F5345" s="22">
        <v>0.81000000000000005</v>
      </c>
      <c r="G5345" s="21" t="str">
        <f t="shared" si="249"/>
        <v>VERIFICAR</v>
      </c>
      <c r="H5345" s="22">
        <v>0.81999999999999995</v>
      </c>
      <c r="I5345" s="23" t="str">
        <f t="shared" si="250"/>
        <v xml:space="preserve">COM VALOR</v>
      </c>
      <c r="J5345" s="19"/>
      <c r="L5345" s="21">
        <v>0</v>
      </c>
      <c r="M5345" s="22"/>
      <c r="N5345" s="21">
        <v>0</v>
      </c>
      <c r="O5345" s="22"/>
    </row>
    <row r="5346" ht="38.25">
      <c r="A5346" t="s">
        <v>5398</v>
      </c>
      <c r="B5346" s="19">
        <v>104538</v>
      </c>
      <c r="C5346" s="20" t="s">
        <v>5453</v>
      </c>
      <c r="D5346" s="19" t="s">
        <v>31</v>
      </c>
      <c r="E5346" s="21" t="str">
        <f t="shared" si="248"/>
        <v>VERIFICAR</v>
      </c>
      <c r="F5346" s="22">
        <v>0.87</v>
      </c>
      <c r="G5346" s="21" t="str">
        <f t="shared" si="249"/>
        <v>VERIFICAR</v>
      </c>
      <c r="H5346" s="22">
        <v>0.88</v>
      </c>
      <c r="I5346" s="23" t="str">
        <f t="shared" si="250"/>
        <v xml:space="preserve">COM VALOR</v>
      </c>
      <c r="J5346" s="19"/>
      <c r="L5346" s="21">
        <v>0</v>
      </c>
      <c r="M5346" s="22"/>
      <c r="N5346" s="21">
        <v>0</v>
      </c>
      <c r="O5346" s="22"/>
    </row>
    <row r="5347" ht="38.25">
      <c r="A5347" t="s">
        <v>5398</v>
      </c>
      <c r="B5347" s="19">
        <v>104570</v>
      </c>
      <c r="C5347" s="20" t="s">
        <v>5454</v>
      </c>
      <c r="D5347" s="19" t="s">
        <v>31</v>
      </c>
      <c r="E5347" s="21" t="str">
        <f t="shared" si="248"/>
        <v>VERIFICAR</v>
      </c>
      <c r="F5347" s="22">
        <v>0.85999999999999999</v>
      </c>
      <c r="G5347" s="21" t="str">
        <f t="shared" si="249"/>
        <v>VERIFICAR</v>
      </c>
      <c r="H5347" s="22">
        <v>0.87</v>
      </c>
      <c r="I5347" s="23" t="str">
        <f t="shared" si="250"/>
        <v xml:space="preserve">COM VALOR</v>
      </c>
      <c r="J5347" s="19"/>
      <c r="L5347" s="21">
        <v>0</v>
      </c>
      <c r="M5347" s="22"/>
      <c r="N5347" s="21">
        <v>0</v>
      </c>
      <c r="O5347" s="22"/>
    </row>
    <row r="5348" ht="38.25">
      <c r="A5348" t="s">
        <v>5398</v>
      </c>
      <c r="B5348" s="19">
        <v>104565</v>
      </c>
      <c r="C5348" s="20" t="s">
        <v>5455</v>
      </c>
      <c r="D5348" s="19" t="s">
        <v>31</v>
      </c>
      <c r="E5348" s="21" t="str">
        <f t="shared" si="248"/>
        <v>VERIFICAR</v>
      </c>
      <c r="F5348" s="22">
        <v>0.91000000000000003</v>
      </c>
      <c r="G5348" s="21" t="str">
        <f t="shared" si="249"/>
        <v>VERIFICAR</v>
      </c>
      <c r="H5348" s="22">
        <v>0.91000000000000003</v>
      </c>
      <c r="I5348" s="23" t="str">
        <f t="shared" si="250"/>
        <v xml:space="preserve">COM VALOR</v>
      </c>
      <c r="J5348" s="19"/>
      <c r="L5348" s="21">
        <v>0</v>
      </c>
      <c r="M5348" s="22"/>
      <c r="N5348" s="21">
        <v>0</v>
      </c>
      <c r="O5348" s="22"/>
    </row>
    <row r="5349" ht="38.25">
      <c r="A5349" t="s">
        <v>5398</v>
      </c>
      <c r="B5349" s="19">
        <v>104567</v>
      </c>
      <c r="C5349" s="20" t="s">
        <v>5456</v>
      </c>
      <c r="D5349" s="19" t="s">
        <v>31</v>
      </c>
      <c r="E5349" s="21" t="str">
        <f t="shared" si="248"/>
        <v>VERIFICAR</v>
      </c>
      <c r="F5349" s="22">
        <v>0.71999999999999997</v>
      </c>
      <c r="G5349" s="21" t="str">
        <f t="shared" si="249"/>
        <v>VERIFICAR</v>
      </c>
      <c r="H5349" s="22">
        <v>0.73999999999999999</v>
      </c>
      <c r="I5349" s="23" t="str">
        <f t="shared" si="250"/>
        <v xml:space="preserve">COM VALOR</v>
      </c>
      <c r="J5349" s="19"/>
      <c r="L5349" s="21">
        <v>0</v>
      </c>
      <c r="M5349" s="22"/>
      <c r="N5349" s="21">
        <v>0</v>
      </c>
      <c r="O5349" s="22"/>
    </row>
    <row r="5350" ht="38.25">
      <c r="A5350" t="s">
        <v>5398</v>
      </c>
      <c r="B5350" s="19">
        <v>104569</v>
      </c>
      <c r="C5350" s="20" t="s">
        <v>5457</v>
      </c>
      <c r="D5350" s="19" t="s">
        <v>31</v>
      </c>
      <c r="E5350" s="21" t="str">
        <f t="shared" si="248"/>
        <v>VERIFICAR</v>
      </c>
      <c r="F5350" s="22">
        <v>0.62</v>
      </c>
      <c r="G5350" s="21" t="str">
        <f t="shared" si="249"/>
        <v>VERIFICAR</v>
      </c>
      <c r="H5350" s="22">
        <v>0.64000000000000001</v>
      </c>
      <c r="I5350" s="23" t="str">
        <f t="shared" si="250"/>
        <v xml:space="preserve">COM VALOR</v>
      </c>
      <c r="J5350" s="19"/>
      <c r="L5350" s="21">
        <v>0</v>
      </c>
      <c r="M5350" s="22"/>
      <c r="N5350" s="21">
        <v>0</v>
      </c>
      <c r="O5350" s="22"/>
    </row>
    <row r="5351" ht="38.25">
      <c r="A5351" t="s">
        <v>5398</v>
      </c>
      <c r="B5351" s="19">
        <v>96843</v>
      </c>
      <c r="C5351" s="20" t="s">
        <v>5458</v>
      </c>
      <c r="D5351" s="19" t="s">
        <v>31</v>
      </c>
      <c r="E5351" s="21">
        <f t="shared" si="248"/>
        <v>28.989999999999998</v>
      </c>
      <c r="F5351" s="22">
        <v>0.56999999999999995</v>
      </c>
      <c r="G5351" s="21">
        <f t="shared" si="249"/>
        <v>28.190000000000001</v>
      </c>
      <c r="H5351" s="22">
        <v>0.58999999999999997</v>
      </c>
      <c r="I5351" s="23" t="str">
        <f t="shared" si="250"/>
        <v xml:space="preserve">COM VALOR</v>
      </c>
      <c r="J5351" s="19"/>
      <c r="L5351" s="21">
        <v>28.989999999999998</v>
      </c>
      <c r="M5351" s="22">
        <v>0.51000000000000001</v>
      </c>
      <c r="N5351" s="21">
        <v>28.190000000000001</v>
      </c>
      <c r="O5351" s="22">
        <v>0.52749999999999997</v>
      </c>
    </row>
    <row r="5352" ht="38.25">
      <c r="A5352" t="s">
        <v>5398</v>
      </c>
      <c r="B5352" s="19">
        <v>96847</v>
      </c>
      <c r="C5352" s="20" t="s">
        <v>5459</v>
      </c>
      <c r="D5352" s="19" t="s">
        <v>31</v>
      </c>
      <c r="E5352" s="21">
        <f t="shared" si="248"/>
        <v>36.759999999999998</v>
      </c>
      <c r="F5352" s="22">
        <v>0.33000000000000002</v>
      </c>
      <c r="G5352" s="21">
        <f t="shared" si="249"/>
        <v>35.810000000000002</v>
      </c>
      <c r="H5352" s="22">
        <v>0.34999999999999998</v>
      </c>
      <c r="I5352" s="23" t="str">
        <f t="shared" si="250"/>
        <v xml:space="preserve">COM VALOR</v>
      </c>
      <c r="J5352" s="19"/>
      <c r="L5352" s="21">
        <v>36.759999999999998</v>
      </c>
      <c r="M5352" s="22">
        <v>0.54000000000000004</v>
      </c>
      <c r="N5352" s="21">
        <v>35.810000000000002</v>
      </c>
      <c r="O5352" s="22">
        <v>0.56000000000000005</v>
      </c>
    </row>
    <row r="5353" ht="38.25">
      <c r="A5353" t="s">
        <v>5398</v>
      </c>
      <c r="B5353" s="19">
        <v>96844</v>
      </c>
      <c r="C5353" s="20" t="s">
        <v>5460</v>
      </c>
      <c r="D5353" s="19" t="s">
        <v>31</v>
      </c>
      <c r="E5353" s="21">
        <f t="shared" si="248"/>
        <v>33.439999999999998</v>
      </c>
      <c r="F5353" s="22">
        <v>0.85999999999999999</v>
      </c>
      <c r="G5353" s="21">
        <f t="shared" si="249"/>
        <v>32.539999999999999</v>
      </c>
      <c r="H5353" s="22">
        <v>0.87</v>
      </c>
      <c r="I5353" s="23" t="str">
        <f t="shared" si="250"/>
        <v xml:space="preserve">COM VALOR</v>
      </c>
      <c r="J5353" s="19"/>
      <c r="L5353" s="21">
        <v>33.439999999999998</v>
      </c>
      <c r="M5353" s="22">
        <v>0.53000000000000003</v>
      </c>
      <c r="N5353" s="21">
        <v>32.539999999999999</v>
      </c>
      <c r="O5353" s="22">
        <v>0.55000000000000004</v>
      </c>
    </row>
    <row r="5354" ht="38.25">
      <c r="A5354" t="s">
        <v>5398</v>
      </c>
      <c r="B5354" s="19">
        <v>96839</v>
      </c>
      <c r="C5354" s="20" t="s">
        <v>5461</v>
      </c>
      <c r="D5354" s="19" t="s">
        <v>31</v>
      </c>
      <c r="E5354" s="21">
        <f t="shared" si="248"/>
        <v>25.890000000000001</v>
      </c>
      <c r="F5354" s="22">
        <v>0.20999999999999999</v>
      </c>
      <c r="G5354" s="21">
        <f t="shared" si="249"/>
        <v>25.129999999999999</v>
      </c>
      <c r="H5354" s="22">
        <v>0.22</v>
      </c>
      <c r="I5354" s="23" t="str">
        <f t="shared" si="250"/>
        <v xml:space="preserve">COM VALOR</v>
      </c>
      <c r="J5354" s="19"/>
      <c r="L5354" s="21">
        <v>25.890000000000001</v>
      </c>
      <c r="M5354" s="22">
        <v>0.48999999999999999</v>
      </c>
      <c r="N5354" s="21">
        <v>25.129999999999999</v>
      </c>
      <c r="O5354" s="22">
        <v>0.5</v>
      </c>
    </row>
    <row r="5355" ht="38.25">
      <c r="A5355" t="s">
        <v>5398</v>
      </c>
      <c r="B5355" s="19">
        <v>104574</v>
      </c>
      <c r="C5355" s="20" t="s">
        <v>5462</v>
      </c>
      <c r="D5355" s="19" t="s">
        <v>31</v>
      </c>
      <c r="E5355" s="21" t="str">
        <f t="shared" si="248"/>
        <v>VERIFICAR</v>
      </c>
      <c r="F5355" s="22">
        <v>0.27000000000000002</v>
      </c>
      <c r="G5355" s="21" t="str">
        <f t="shared" si="249"/>
        <v>VERIFICAR</v>
      </c>
      <c r="H5355" s="22">
        <v>0.28999999999999998</v>
      </c>
      <c r="I5355" s="23" t="str">
        <f t="shared" si="250"/>
        <v xml:space="preserve">COM VALOR</v>
      </c>
      <c r="J5355" s="19"/>
      <c r="L5355" s="21">
        <v>0</v>
      </c>
      <c r="M5355" s="22"/>
      <c r="N5355" s="21">
        <v>0</v>
      </c>
      <c r="O5355" s="22"/>
    </row>
    <row r="5356" ht="38.25">
      <c r="A5356" t="s">
        <v>5398</v>
      </c>
      <c r="B5356" s="19">
        <v>104575</v>
      </c>
      <c r="C5356" s="20" t="s">
        <v>5463</v>
      </c>
      <c r="D5356" s="19" t="s">
        <v>31</v>
      </c>
      <c r="E5356" s="21" t="str">
        <f t="shared" si="248"/>
        <v>VERIFICAR</v>
      </c>
      <c r="F5356" s="22">
        <v>0.14999999999999999</v>
      </c>
      <c r="G5356" s="21" t="str">
        <f t="shared" si="249"/>
        <v>VERIFICAR</v>
      </c>
      <c r="H5356" s="22">
        <v>0.16</v>
      </c>
      <c r="I5356" s="23" t="str">
        <f t="shared" si="250"/>
        <v xml:space="preserve">COM VALOR</v>
      </c>
      <c r="J5356" s="19"/>
      <c r="L5356" s="21">
        <v>0</v>
      </c>
      <c r="M5356" s="22"/>
      <c r="N5356" s="21">
        <v>0</v>
      </c>
      <c r="O5356" s="22"/>
    </row>
    <row r="5357" ht="38.25">
      <c r="A5357" t="s">
        <v>5398</v>
      </c>
      <c r="B5357" s="19">
        <v>104573</v>
      </c>
      <c r="C5357" s="20" t="s">
        <v>5464</v>
      </c>
      <c r="D5357" s="19" t="s">
        <v>31</v>
      </c>
      <c r="E5357" s="21" t="str">
        <f t="shared" si="248"/>
        <v>VERIFICAR</v>
      </c>
      <c r="F5357" s="22">
        <v>0.34999999999999998</v>
      </c>
      <c r="G5357" s="21" t="str">
        <f t="shared" si="249"/>
        <v>VERIFICAR</v>
      </c>
      <c r="H5357" s="22">
        <v>0.37</v>
      </c>
      <c r="I5357" s="23" t="str">
        <f t="shared" si="250"/>
        <v xml:space="preserve">COM VALOR</v>
      </c>
      <c r="J5357" s="19"/>
      <c r="L5357" s="21">
        <v>0</v>
      </c>
      <c r="M5357" s="22"/>
      <c r="N5357" s="21">
        <v>0</v>
      </c>
      <c r="O5357" s="22"/>
    </row>
    <row r="5358" ht="38.25">
      <c r="A5358" t="s">
        <v>5398</v>
      </c>
      <c r="B5358" s="19">
        <v>96805</v>
      </c>
      <c r="C5358" s="20" t="s">
        <v>5465</v>
      </c>
      <c r="D5358" s="19" t="s">
        <v>31</v>
      </c>
      <c r="E5358" s="21">
        <f t="shared" si="248"/>
        <v>221.30000000000001</v>
      </c>
      <c r="F5358" s="22">
        <v>0.46999999999999997</v>
      </c>
      <c r="G5358" s="21">
        <f t="shared" si="249"/>
        <v>219.78999999999999</v>
      </c>
      <c r="H5358" s="22">
        <v>0.48999999999999999</v>
      </c>
      <c r="I5358" s="23" t="str">
        <f t="shared" si="250"/>
        <v xml:space="preserve">COM VALOR</v>
      </c>
      <c r="J5358" s="19"/>
      <c r="L5358" s="21">
        <v>221.30000000000001</v>
      </c>
      <c r="M5358" s="22">
        <v>0.88</v>
      </c>
      <c r="N5358" s="21">
        <v>219.78999999999999</v>
      </c>
      <c r="O5358" s="22">
        <v>0.89000000000000001</v>
      </c>
    </row>
    <row r="5359" ht="38.25">
      <c r="A5359" t="s">
        <v>5398</v>
      </c>
      <c r="B5359" s="19">
        <v>96802</v>
      </c>
      <c r="C5359" s="20" t="s">
        <v>5466</v>
      </c>
      <c r="D5359" s="19" t="s">
        <v>31</v>
      </c>
      <c r="E5359" s="21">
        <f t="shared" si="248"/>
        <v>430.76999999999998</v>
      </c>
      <c r="F5359" s="22">
        <v>0.45000000000000001</v>
      </c>
      <c r="G5359" s="21">
        <f t="shared" si="249"/>
        <v>429.64999999999998</v>
      </c>
      <c r="H5359" s="22">
        <v>0.46999999999999997</v>
      </c>
      <c r="I5359" s="23" t="str">
        <f t="shared" si="250"/>
        <v xml:space="preserve">COM VALOR</v>
      </c>
      <c r="J5359" s="19"/>
      <c r="L5359" s="21">
        <v>430.76999999999998</v>
      </c>
      <c r="M5359" s="22">
        <v>0.94999999999999996</v>
      </c>
      <c r="N5359" s="21">
        <v>429.64999999999998</v>
      </c>
      <c r="O5359" s="22">
        <v>0.95999999999999996</v>
      </c>
    </row>
    <row r="5360" ht="38.25">
      <c r="A5360" t="s">
        <v>5398</v>
      </c>
      <c r="B5360" s="19">
        <v>96806</v>
      </c>
      <c r="C5360" s="20" t="s">
        <v>5467</v>
      </c>
      <c r="D5360" s="19" t="s">
        <v>31</v>
      </c>
      <c r="E5360" s="21">
        <f t="shared" si="248"/>
        <v>84.109999999999999</v>
      </c>
      <c r="F5360" s="22">
        <v>0.59999999999999998</v>
      </c>
      <c r="G5360" s="21">
        <f t="shared" si="249"/>
        <v>82.799999999999997</v>
      </c>
      <c r="H5360" s="22">
        <v>0.62</v>
      </c>
      <c r="I5360" s="23" t="str">
        <f t="shared" si="250"/>
        <v xml:space="preserve">COM VALOR</v>
      </c>
      <c r="J5360" s="19"/>
      <c r="L5360" s="21">
        <v>84.109999999999999</v>
      </c>
      <c r="M5360" s="22">
        <v>0.72999999999999998</v>
      </c>
      <c r="N5360" s="21">
        <v>82.799999999999997</v>
      </c>
      <c r="O5360" s="22">
        <v>0.73999999999999999</v>
      </c>
    </row>
    <row r="5361" ht="38.25">
      <c r="A5361" t="s">
        <v>5398</v>
      </c>
      <c r="B5361" s="19">
        <v>96803</v>
      </c>
      <c r="C5361" s="20" t="s">
        <v>5468</v>
      </c>
      <c r="D5361" s="19" t="s">
        <v>31</v>
      </c>
      <c r="E5361" s="21">
        <f t="shared" si="248"/>
        <v>77.390000000000001</v>
      </c>
      <c r="F5361" s="22">
        <v>0.56999999999999995</v>
      </c>
      <c r="G5361" s="21">
        <f t="shared" si="249"/>
        <v>76.459999999999994</v>
      </c>
      <c r="H5361" s="22">
        <v>0.58999999999999997</v>
      </c>
      <c r="I5361" s="23" t="str">
        <f t="shared" si="250"/>
        <v xml:space="preserve">COM VALOR</v>
      </c>
      <c r="J5361" s="19"/>
      <c r="L5361" s="21">
        <v>77.390000000000001</v>
      </c>
      <c r="M5361" s="22">
        <v>0.79000000000000004</v>
      </c>
      <c r="N5361" s="21">
        <v>76.459999999999994</v>
      </c>
      <c r="O5361" s="22">
        <v>0.80000000000000004</v>
      </c>
    </row>
    <row r="5362" ht="51">
      <c r="A5362" t="s">
        <v>5398</v>
      </c>
      <c r="B5362" s="19">
        <v>96807</v>
      </c>
      <c r="C5362" s="20" t="s">
        <v>5469</v>
      </c>
      <c r="D5362" s="19" t="s">
        <v>31</v>
      </c>
      <c r="E5362" s="21">
        <f t="shared" si="248"/>
        <v>134.37</v>
      </c>
      <c r="F5362" s="22">
        <v>0.63</v>
      </c>
      <c r="G5362" s="21">
        <f t="shared" si="249"/>
        <v>131.77000000000001</v>
      </c>
      <c r="H5362" s="22">
        <v>0.64000000000000001</v>
      </c>
      <c r="I5362" s="23" t="str">
        <f t="shared" si="250"/>
        <v xml:space="preserve">COM VALOR</v>
      </c>
      <c r="J5362" s="19"/>
      <c r="L5362" s="21">
        <v>134.37</v>
      </c>
      <c r="M5362" s="22">
        <v>0.66000000000000003</v>
      </c>
      <c r="N5362" s="21">
        <v>131.77000000000001</v>
      </c>
      <c r="O5362" s="22">
        <v>0.67000000000000004</v>
      </c>
    </row>
    <row r="5363" ht="51">
      <c r="A5363" t="s">
        <v>5398</v>
      </c>
      <c r="B5363" s="19">
        <v>96804</v>
      </c>
      <c r="C5363" s="20" t="s">
        <v>5470</v>
      </c>
      <c r="D5363" s="19" t="s">
        <v>31</v>
      </c>
      <c r="E5363" s="21">
        <f t="shared" si="248"/>
        <v>123.59999999999999</v>
      </c>
      <c r="F5363" s="22">
        <v>0.75</v>
      </c>
      <c r="G5363" s="21">
        <f t="shared" si="249"/>
        <v>121.40000000000001</v>
      </c>
      <c r="H5363" s="22">
        <v>0.77000000000000002</v>
      </c>
      <c r="I5363" s="23" t="str">
        <f t="shared" si="250"/>
        <v xml:space="preserve">COM VALOR</v>
      </c>
      <c r="J5363" s="19"/>
      <c r="L5363" s="21">
        <v>123.59999999999999</v>
      </c>
      <c r="M5363" s="22">
        <v>0.68999999999999995</v>
      </c>
      <c r="N5363" s="21">
        <v>121.40000000000001</v>
      </c>
      <c r="O5363" s="22">
        <v>0.69999999999999996</v>
      </c>
    </row>
    <row r="5364" ht="25.5">
      <c r="A5364" t="s">
        <v>5398</v>
      </c>
      <c r="B5364" s="19">
        <v>96829</v>
      </c>
      <c r="C5364" s="20" t="s">
        <v>5471</v>
      </c>
      <c r="D5364" s="19" t="s">
        <v>31</v>
      </c>
      <c r="E5364" s="21">
        <f t="shared" si="248"/>
        <v>18.59</v>
      </c>
      <c r="F5364" s="22">
        <v>0.78000000000000003</v>
      </c>
      <c r="G5364" s="21">
        <f t="shared" si="249"/>
        <v>18.309999999999999</v>
      </c>
      <c r="H5364" s="22">
        <v>0.79000000000000004</v>
      </c>
      <c r="I5364" s="23" t="str">
        <f t="shared" si="250"/>
        <v xml:space="preserve">COM VALOR</v>
      </c>
      <c r="J5364" s="19"/>
      <c r="L5364" s="21">
        <v>18.59</v>
      </c>
      <c r="M5364" s="22">
        <v>0.72999999999999998</v>
      </c>
      <c r="N5364" s="21">
        <v>18.309999999999999</v>
      </c>
      <c r="O5364" s="22">
        <v>0.73999999999999999</v>
      </c>
    </row>
    <row r="5365" ht="25.5">
      <c r="A5365" t="s">
        <v>5398</v>
      </c>
      <c r="B5365" s="19">
        <v>96833</v>
      </c>
      <c r="C5365" s="20" t="s">
        <v>5472</v>
      </c>
      <c r="D5365" s="19" t="s">
        <v>31</v>
      </c>
      <c r="E5365" s="21">
        <f t="shared" si="248"/>
        <v>23.780000000000001</v>
      </c>
      <c r="F5365" s="22">
        <v>0</v>
      </c>
      <c r="G5365" s="21">
        <f t="shared" si="249"/>
        <v>23.469999999999999</v>
      </c>
      <c r="H5365" s="22">
        <v>0</v>
      </c>
      <c r="I5365" s="23" t="str">
        <f t="shared" si="250"/>
        <v xml:space="preserve">COM VALOR</v>
      </c>
      <c r="J5365" s="19"/>
      <c r="L5365" s="21">
        <v>23.780000000000001</v>
      </c>
      <c r="M5365" s="22">
        <v>0.76749999999999996</v>
      </c>
      <c r="N5365" s="21">
        <v>23.469999999999999</v>
      </c>
      <c r="O5365" s="22">
        <v>0.78000000000000003</v>
      </c>
    </row>
    <row r="5366" ht="25.5">
      <c r="A5366" t="s">
        <v>5398</v>
      </c>
      <c r="B5366" s="19">
        <v>96836</v>
      </c>
      <c r="C5366" s="20" t="s">
        <v>5473</v>
      </c>
      <c r="D5366" s="19" t="s">
        <v>31</v>
      </c>
      <c r="E5366" s="21">
        <f t="shared" si="248"/>
        <v>34.090000000000003</v>
      </c>
      <c r="F5366" s="22">
        <v>0</v>
      </c>
      <c r="G5366" s="21">
        <f t="shared" si="249"/>
        <v>33.670000000000002</v>
      </c>
      <c r="H5366" s="22">
        <v>0</v>
      </c>
      <c r="I5366" s="23" t="str">
        <f t="shared" si="250"/>
        <v xml:space="preserve">COM VALOR</v>
      </c>
      <c r="J5366" s="19"/>
      <c r="L5366" s="21">
        <v>34.090000000000003</v>
      </c>
      <c r="M5366" s="22">
        <v>0.79000000000000004</v>
      </c>
      <c r="N5366" s="21">
        <v>33.670000000000002</v>
      </c>
      <c r="O5366" s="22">
        <v>0.80000000000000004</v>
      </c>
    </row>
    <row r="5367" ht="25.5">
      <c r="A5367" t="s">
        <v>5398</v>
      </c>
      <c r="B5367" s="19">
        <v>104576</v>
      </c>
      <c r="C5367" s="20" t="s">
        <v>5474</v>
      </c>
      <c r="D5367" s="19" t="s">
        <v>31</v>
      </c>
      <c r="E5367" s="21">
        <f t="shared" si="248"/>
        <v>16.02</v>
      </c>
      <c r="F5367" s="22">
        <v>0</v>
      </c>
      <c r="G5367" s="21">
        <f t="shared" si="249"/>
        <v>15.619999999999999</v>
      </c>
      <c r="H5367" s="22">
        <v>0</v>
      </c>
      <c r="I5367" s="23" t="str">
        <f t="shared" si="250"/>
        <v xml:space="preserve">COM VALOR</v>
      </c>
      <c r="J5367" s="19"/>
      <c r="L5367" s="21">
        <v>16.02</v>
      </c>
      <c r="M5367" s="22">
        <v>0.55000000000000004</v>
      </c>
      <c r="N5367" s="21">
        <v>15.619999999999999</v>
      </c>
      <c r="O5367" s="22">
        <v>0.56999999999999995</v>
      </c>
    </row>
    <row r="5368" ht="25.5">
      <c r="A5368" t="s">
        <v>5398</v>
      </c>
      <c r="B5368" s="19">
        <v>104577</v>
      </c>
      <c r="C5368" s="20" t="s">
        <v>5475</v>
      </c>
      <c r="D5368" s="19" t="s">
        <v>31</v>
      </c>
      <c r="E5368" s="21">
        <f t="shared" si="248"/>
        <v>21.690000000000001</v>
      </c>
      <c r="F5368" s="22">
        <v>0</v>
      </c>
      <c r="G5368" s="21">
        <f t="shared" si="249"/>
        <v>21.25</v>
      </c>
      <c r="H5368" s="22">
        <v>0</v>
      </c>
      <c r="I5368" s="23" t="str">
        <f t="shared" si="250"/>
        <v xml:space="preserve">COM VALOR</v>
      </c>
      <c r="J5368" s="19"/>
      <c r="L5368" s="21">
        <v>21.690000000000001</v>
      </c>
      <c r="M5368" s="22">
        <v>0.63</v>
      </c>
      <c r="N5368" s="21">
        <v>21.25</v>
      </c>
      <c r="O5368" s="22">
        <v>0.65000000000000002</v>
      </c>
    </row>
    <row r="5369" ht="25.5">
      <c r="A5369" t="s">
        <v>5398</v>
      </c>
      <c r="B5369" s="19">
        <v>104578</v>
      </c>
      <c r="C5369" s="20" t="s">
        <v>5476</v>
      </c>
      <c r="D5369" s="19" t="s">
        <v>31</v>
      </c>
      <c r="E5369" s="21">
        <f t="shared" si="248"/>
        <v>23.260000000000002</v>
      </c>
      <c r="F5369" s="22"/>
      <c r="G5369" s="21">
        <f t="shared" si="249"/>
        <v>22.77</v>
      </c>
      <c r="H5369" s="22"/>
      <c r="I5369" s="23" t="str">
        <f t="shared" si="250"/>
        <v xml:space="preserve">COM VALOR</v>
      </c>
      <c r="J5369" s="19"/>
      <c r="L5369" s="21">
        <v>23.260000000000002</v>
      </c>
      <c r="M5369" s="22">
        <v>0.63</v>
      </c>
      <c r="N5369" s="21">
        <v>22.77</v>
      </c>
      <c r="O5369" s="22">
        <v>0.65000000000000002</v>
      </c>
    </row>
    <row r="5370" ht="38.25">
      <c r="A5370" t="s">
        <v>5398</v>
      </c>
      <c r="B5370" s="19">
        <v>104580</v>
      </c>
      <c r="C5370" s="20" t="s">
        <v>5477</v>
      </c>
      <c r="D5370" s="19" t="s">
        <v>31</v>
      </c>
      <c r="E5370" s="21">
        <f t="shared" si="248"/>
        <v>20.289999999999999</v>
      </c>
      <c r="F5370" s="22">
        <v>0</v>
      </c>
      <c r="G5370" s="21">
        <f t="shared" si="249"/>
        <v>19.91</v>
      </c>
      <c r="H5370" s="22">
        <v>0</v>
      </c>
      <c r="I5370" s="23" t="str">
        <f t="shared" si="250"/>
        <v xml:space="preserve">COM VALOR</v>
      </c>
      <c r="J5370" s="19"/>
      <c r="L5370" s="21">
        <v>20.289999999999999</v>
      </c>
      <c r="M5370" s="22">
        <v>0.67000000000000004</v>
      </c>
      <c r="N5370" s="21">
        <v>19.91</v>
      </c>
      <c r="O5370" s="22">
        <v>0.68000000000000005</v>
      </c>
    </row>
    <row r="5371" ht="25.5">
      <c r="A5371" t="s">
        <v>5398</v>
      </c>
      <c r="B5371" s="19">
        <v>104579</v>
      </c>
      <c r="C5371" s="20" t="s">
        <v>5478</v>
      </c>
      <c r="D5371" s="19" t="s">
        <v>31</v>
      </c>
      <c r="E5371" s="21">
        <f t="shared" si="248"/>
        <v>30.600000000000001</v>
      </c>
      <c r="F5371" s="22">
        <v>0</v>
      </c>
      <c r="G5371" s="21">
        <f t="shared" si="249"/>
        <v>30.02</v>
      </c>
      <c r="H5371" s="22">
        <v>0</v>
      </c>
      <c r="I5371" s="23" t="str">
        <f t="shared" si="250"/>
        <v xml:space="preserve">COM VALOR</v>
      </c>
      <c r="J5371" s="19"/>
      <c r="L5371" s="21">
        <v>30.600000000000001</v>
      </c>
      <c r="M5371" s="22">
        <v>0.66000000000000003</v>
      </c>
      <c r="N5371" s="21">
        <v>30.02</v>
      </c>
      <c r="O5371" s="22">
        <v>0.67000000000000004</v>
      </c>
    </row>
    <row r="5372" ht="25.5">
      <c r="A5372" t="s">
        <v>5398</v>
      </c>
      <c r="B5372" s="19">
        <v>96823</v>
      </c>
      <c r="C5372" s="20" t="s">
        <v>5479</v>
      </c>
      <c r="D5372" s="19" t="s">
        <v>31</v>
      </c>
      <c r="E5372" s="21">
        <f t="shared" si="248"/>
        <v>11.31</v>
      </c>
      <c r="F5372" s="22">
        <v>0</v>
      </c>
      <c r="G5372" s="21">
        <f t="shared" si="249"/>
        <v>11.050000000000001</v>
      </c>
      <c r="H5372" s="22">
        <v>0</v>
      </c>
      <c r="I5372" s="23" t="str">
        <f t="shared" si="250"/>
        <v xml:space="preserve">COM VALOR</v>
      </c>
      <c r="J5372" s="19"/>
      <c r="L5372" s="21">
        <v>11.31</v>
      </c>
      <c r="M5372" s="22">
        <v>0.59999999999999998</v>
      </c>
      <c r="N5372" s="21">
        <v>11.050000000000001</v>
      </c>
      <c r="O5372" s="22">
        <v>0.60999999999999999</v>
      </c>
    </row>
    <row r="5373" ht="25.5">
      <c r="A5373" t="s">
        <v>5398</v>
      </c>
      <c r="B5373" s="19">
        <v>96826</v>
      </c>
      <c r="C5373" s="20" t="s">
        <v>5480</v>
      </c>
      <c r="D5373" s="19" t="s">
        <v>31</v>
      </c>
      <c r="E5373" s="21">
        <f t="shared" si="248"/>
        <v>13.1</v>
      </c>
      <c r="F5373" s="22">
        <v>0</v>
      </c>
      <c r="G5373" s="21">
        <f t="shared" si="249"/>
        <v>12.800000000000001</v>
      </c>
      <c r="H5373" s="22">
        <v>0</v>
      </c>
      <c r="I5373" s="23" t="str">
        <f t="shared" si="250"/>
        <v xml:space="preserve">COM VALOR</v>
      </c>
      <c r="J5373" s="19"/>
      <c r="L5373" s="21">
        <v>13.1</v>
      </c>
      <c r="M5373" s="22">
        <v>0.58999999999999997</v>
      </c>
      <c r="N5373" s="21">
        <v>12.800000000000001</v>
      </c>
      <c r="O5373" s="22">
        <v>0.59999999999999998</v>
      </c>
    </row>
    <row r="5374" ht="25.5">
      <c r="A5374" t="s">
        <v>5398</v>
      </c>
      <c r="B5374" s="19">
        <v>96830</v>
      </c>
      <c r="C5374" s="20" t="s">
        <v>5481</v>
      </c>
      <c r="D5374" s="19" t="s">
        <v>31</v>
      </c>
      <c r="E5374" s="21">
        <f t="shared" si="248"/>
        <v>20.82</v>
      </c>
      <c r="F5374" s="22">
        <v>0</v>
      </c>
      <c r="G5374" s="21">
        <f t="shared" si="249"/>
        <v>20.449999999999999</v>
      </c>
      <c r="H5374" s="22">
        <v>0</v>
      </c>
      <c r="I5374" s="23" t="str">
        <f t="shared" si="250"/>
        <v xml:space="preserve">COM VALOR</v>
      </c>
      <c r="J5374" s="19"/>
      <c r="L5374" s="21">
        <v>20.82</v>
      </c>
      <c r="M5374" s="22">
        <v>0.68999999999999995</v>
      </c>
      <c r="N5374" s="21">
        <v>20.449999999999999</v>
      </c>
      <c r="O5374" s="22">
        <v>0.69999999999999996</v>
      </c>
    </row>
    <row r="5375" ht="25.5">
      <c r="A5375" t="s">
        <v>5398</v>
      </c>
      <c r="B5375" s="19">
        <v>96834</v>
      </c>
      <c r="C5375" s="20" t="s">
        <v>5482</v>
      </c>
      <c r="D5375" s="19" t="s">
        <v>31</v>
      </c>
      <c r="E5375" s="21">
        <f t="shared" si="248"/>
        <v>28.289999999999999</v>
      </c>
      <c r="F5375" s="22">
        <v>0</v>
      </c>
      <c r="G5375" s="21">
        <f t="shared" si="249"/>
        <v>27.829999999999998</v>
      </c>
      <c r="H5375" s="22">
        <v>0</v>
      </c>
      <c r="I5375" s="23" t="str">
        <f t="shared" si="250"/>
        <v xml:space="preserve">COM VALOR</v>
      </c>
      <c r="J5375" s="19"/>
      <c r="L5375" s="21">
        <v>28.289999999999999</v>
      </c>
      <c r="M5375" s="22">
        <v>0.71999999999999997</v>
      </c>
      <c r="N5375" s="21">
        <v>27.829999999999998</v>
      </c>
      <c r="O5375" s="22">
        <v>0.72999999999999998</v>
      </c>
    </row>
    <row r="5376" ht="25.5">
      <c r="A5376" t="s">
        <v>5398</v>
      </c>
      <c r="B5376" s="19">
        <v>104581</v>
      </c>
      <c r="C5376" s="20" t="s">
        <v>5483</v>
      </c>
      <c r="D5376" s="19" t="s">
        <v>31</v>
      </c>
      <c r="E5376" s="21">
        <f t="shared" si="248"/>
        <v>14.640000000000001</v>
      </c>
      <c r="F5376" s="22">
        <v>0</v>
      </c>
      <c r="G5376" s="21">
        <f t="shared" si="249"/>
        <v>14.27</v>
      </c>
      <c r="H5376" s="22">
        <v>0</v>
      </c>
      <c r="I5376" s="23" t="str">
        <f t="shared" si="250"/>
        <v xml:space="preserve">COM VALOR</v>
      </c>
      <c r="J5376" s="19"/>
      <c r="L5376" s="21">
        <v>14.640000000000001</v>
      </c>
      <c r="M5376" s="22">
        <v>0.55000000000000004</v>
      </c>
      <c r="N5376" s="21">
        <v>14.27</v>
      </c>
      <c r="O5376" s="22">
        <v>0.56999999999999995</v>
      </c>
    </row>
    <row r="5377" ht="25.5">
      <c r="A5377" t="s">
        <v>5398</v>
      </c>
      <c r="B5377" s="19">
        <v>104582</v>
      </c>
      <c r="C5377" s="20" t="s">
        <v>5484</v>
      </c>
      <c r="D5377" s="19" t="s">
        <v>31</v>
      </c>
      <c r="E5377" s="21">
        <f t="shared" si="248"/>
        <v>18.73</v>
      </c>
      <c r="F5377" s="22">
        <v>0</v>
      </c>
      <c r="G5377" s="21">
        <f t="shared" si="249"/>
        <v>18.289999999999999</v>
      </c>
      <c r="H5377" s="22">
        <v>0</v>
      </c>
      <c r="I5377" s="23" t="str">
        <f t="shared" si="250"/>
        <v xml:space="preserve">COM VALOR</v>
      </c>
      <c r="J5377" s="19"/>
      <c r="L5377" s="21">
        <v>18.73</v>
      </c>
      <c r="M5377" s="22">
        <v>0.57999999999999996</v>
      </c>
      <c r="N5377" s="21">
        <v>18.289999999999999</v>
      </c>
      <c r="O5377" s="22">
        <v>0.59999999999999998</v>
      </c>
    </row>
    <row r="5378" ht="25.5">
      <c r="A5378" t="s">
        <v>5398</v>
      </c>
      <c r="B5378" s="19">
        <v>104583</v>
      </c>
      <c r="C5378" s="20" t="s">
        <v>5485</v>
      </c>
      <c r="D5378" s="19" t="s">
        <v>31</v>
      </c>
      <c r="E5378" s="21">
        <f t="shared" si="248"/>
        <v>30.329999999999998</v>
      </c>
      <c r="F5378" s="22">
        <v>0</v>
      </c>
      <c r="G5378" s="21">
        <f t="shared" si="249"/>
        <v>29.800000000000001</v>
      </c>
      <c r="H5378" s="22">
        <v>0</v>
      </c>
      <c r="I5378" s="23" t="str">
        <f t="shared" si="250"/>
        <v xml:space="preserve">COM VALOR</v>
      </c>
      <c r="J5378" s="19"/>
      <c r="L5378" s="21">
        <v>30.329999999999998</v>
      </c>
      <c r="M5378" s="22">
        <v>0.68999999999999995</v>
      </c>
      <c r="N5378" s="21">
        <v>29.800000000000001</v>
      </c>
      <c r="O5378" s="22">
        <v>0.70999999999999996</v>
      </c>
    </row>
    <row r="5379" ht="25.5">
      <c r="A5379" t="s">
        <v>5398</v>
      </c>
      <c r="B5379" s="19">
        <v>104584</v>
      </c>
      <c r="C5379" s="20" t="s">
        <v>5486</v>
      </c>
      <c r="D5379" s="19" t="s">
        <v>31</v>
      </c>
      <c r="E5379" s="21">
        <f t="shared" si="248"/>
        <v>36.350000000000001</v>
      </c>
      <c r="F5379" s="22">
        <v>0</v>
      </c>
      <c r="G5379" s="21">
        <f t="shared" si="249"/>
        <v>35.689999999999998</v>
      </c>
      <c r="H5379" s="22">
        <v>0</v>
      </c>
      <c r="I5379" s="23" t="str">
        <f t="shared" si="250"/>
        <v xml:space="preserve">COM VALOR</v>
      </c>
      <c r="J5379" s="19"/>
      <c r="L5379" s="21">
        <v>36.350000000000001</v>
      </c>
      <c r="M5379" s="22">
        <v>0.68999999999999995</v>
      </c>
      <c r="N5379" s="21">
        <v>35.689999999999998</v>
      </c>
      <c r="O5379" s="22">
        <v>0.69999999999999996</v>
      </c>
    </row>
    <row r="5380" ht="25.5">
      <c r="A5380" t="s">
        <v>5398</v>
      </c>
      <c r="B5380" s="19">
        <v>104585</v>
      </c>
      <c r="C5380" s="20" t="s">
        <v>5487</v>
      </c>
      <c r="D5380" s="19" t="s">
        <v>31</v>
      </c>
      <c r="E5380" s="21" t="str">
        <f t="shared" si="248"/>
        <v>VERIFICAR</v>
      </c>
      <c r="F5380" s="22">
        <v>0</v>
      </c>
      <c r="G5380" s="21" t="str">
        <f t="shared" si="249"/>
        <v>VERIFICAR</v>
      </c>
      <c r="H5380" s="22">
        <v>0</v>
      </c>
      <c r="I5380" s="23" t="str">
        <f t="shared" si="250"/>
        <v xml:space="preserve">COM VALOR</v>
      </c>
      <c r="J5380" s="19"/>
      <c r="L5380" s="21">
        <v>0</v>
      </c>
      <c r="M5380" s="22"/>
      <c r="N5380" s="21">
        <v>0</v>
      </c>
      <c r="O5380" s="22"/>
    </row>
    <row r="5381" ht="25.5">
      <c r="A5381" t="s">
        <v>5398</v>
      </c>
      <c r="B5381" s="19">
        <v>104587</v>
      </c>
      <c r="C5381" s="20" t="s">
        <v>5488</v>
      </c>
      <c r="D5381" s="19" t="s">
        <v>31</v>
      </c>
      <c r="E5381" s="21" t="str">
        <f t="shared" si="248"/>
        <v>VERIFICAR</v>
      </c>
      <c r="F5381" s="22">
        <v>0</v>
      </c>
      <c r="G5381" s="21" t="str">
        <f t="shared" si="249"/>
        <v>VERIFICAR</v>
      </c>
      <c r="H5381" s="22">
        <v>0</v>
      </c>
      <c r="I5381" s="23" t="str">
        <f t="shared" si="250"/>
        <v xml:space="preserve">COM VALOR</v>
      </c>
      <c r="J5381" s="19"/>
      <c r="L5381" s="21">
        <v>0</v>
      </c>
      <c r="M5381" s="22"/>
      <c r="N5381" s="21">
        <v>0</v>
      </c>
      <c r="O5381" s="22"/>
    </row>
    <row r="5382" ht="25.5">
      <c r="A5382" t="s">
        <v>5398</v>
      </c>
      <c r="B5382" s="19">
        <v>104586</v>
      </c>
      <c r="C5382" s="20" t="s">
        <v>5489</v>
      </c>
      <c r="D5382" s="19" t="s">
        <v>31</v>
      </c>
      <c r="E5382" s="21" t="str">
        <f t="shared" si="248"/>
        <v>VERIFICAR</v>
      </c>
      <c r="F5382" s="22">
        <v>0</v>
      </c>
      <c r="G5382" s="21" t="str">
        <f t="shared" si="249"/>
        <v>VERIFICAR</v>
      </c>
      <c r="H5382" s="22">
        <v>0</v>
      </c>
      <c r="I5382" s="23" t="str">
        <f t="shared" si="250"/>
        <v xml:space="preserve">COM VALOR</v>
      </c>
      <c r="J5382" s="19"/>
      <c r="L5382" s="21">
        <v>0</v>
      </c>
      <c r="M5382" s="22"/>
      <c r="N5382" s="21">
        <v>0</v>
      </c>
      <c r="O5382" s="22"/>
    </row>
    <row r="5383" ht="25.5">
      <c r="A5383" t="s">
        <v>5398</v>
      </c>
      <c r="B5383" s="19">
        <v>96798</v>
      </c>
      <c r="C5383" s="20" t="s">
        <v>5490</v>
      </c>
      <c r="D5383" s="19" t="s">
        <v>38</v>
      </c>
      <c r="E5383" s="21">
        <f t="shared" si="248"/>
        <v>8.4100000000000001</v>
      </c>
      <c r="F5383" s="22">
        <v>0</v>
      </c>
      <c r="G5383" s="21">
        <f t="shared" si="249"/>
        <v>8.2400000000000002</v>
      </c>
      <c r="H5383" s="22">
        <v>0</v>
      </c>
      <c r="I5383" s="23" t="str">
        <f t="shared" si="250"/>
        <v xml:space="preserve">COM VALOR</v>
      </c>
      <c r="J5383" s="19"/>
      <c r="L5383" s="21">
        <v>8.4100000000000001</v>
      </c>
      <c r="M5383" s="22">
        <v>0.64000000000000001</v>
      </c>
      <c r="N5383" s="21">
        <v>8.2400000000000002</v>
      </c>
      <c r="O5383" s="22">
        <v>0.66000000000000003</v>
      </c>
    </row>
    <row r="5384" ht="25.5">
      <c r="A5384" t="s">
        <v>5398</v>
      </c>
      <c r="B5384" s="19">
        <v>96799</v>
      </c>
      <c r="C5384" s="20" t="s">
        <v>5491</v>
      </c>
      <c r="D5384" s="19" t="s">
        <v>38</v>
      </c>
      <c r="E5384" s="21">
        <f t="shared" si="248"/>
        <v>10.779999999999999</v>
      </c>
      <c r="F5384" s="22">
        <v>0</v>
      </c>
      <c r="G5384" s="21">
        <f t="shared" si="249"/>
        <v>10.56</v>
      </c>
      <c r="H5384" s="22">
        <v>0</v>
      </c>
      <c r="I5384" s="23" t="str">
        <f t="shared" si="250"/>
        <v xml:space="preserve">COM VALOR</v>
      </c>
      <c r="J5384" s="19"/>
      <c r="L5384" s="21">
        <v>10.779999999999999</v>
      </c>
      <c r="M5384" s="22">
        <v>0.65000000000000002</v>
      </c>
      <c r="N5384" s="21">
        <v>10.56</v>
      </c>
      <c r="O5384" s="22">
        <v>0.66000000000000003</v>
      </c>
    </row>
    <row r="5385" ht="25.5">
      <c r="A5385" t="s">
        <v>5398</v>
      </c>
      <c r="B5385" s="19">
        <v>96800</v>
      </c>
      <c r="C5385" s="20" t="s">
        <v>5492</v>
      </c>
      <c r="D5385" s="19" t="s">
        <v>38</v>
      </c>
      <c r="E5385" s="21">
        <f t="shared" si="248"/>
        <v>14.720000000000001</v>
      </c>
      <c r="F5385" s="22">
        <v>0</v>
      </c>
      <c r="G5385" s="21">
        <f t="shared" si="249"/>
        <v>14.449999999999999</v>
      </c>
      <c r="H5385" s="22">
        <v>0</v>
      </c>
      <c r="I5385" s="23" t="str">
        <f t="shared" si="250"/>
        <v xml:space="preserve">COM VALOR</v>
      </c>
      <c r="J5385" s="19"/>
      <c r="L5385" s="21">
        <v>14.720000000000001</v>
      </c>
      <c r="M5385" s="22">
        <v>0.68000000000000005</v>
      </c>
      <c r="N5385" s="21">
        <v>14.449999999999999</v>
      </c>
      <c r="O5385" s="22">
        <v>0.68999999999999995</v>
      </c>
    </row>
    <row r="5386" ht="25.5">
      <c r="A5386" t="s">
        <v>5398</v>
      </c>
      <c r="B5386" s="19">
        <v>96801</v>
      </c>
      <c r="C5386" s="20" t="s">
        <v>5493</v>
      </c>
      <c r="D5386" s="19" t="s">
        <v>38</v>
      </c>
      <c r="E5386" s="21">
        <f t="shared" si="248"/>
        <v>22.43</v>
      </c>
      <c r="F5386" s="22">
        <v>0</v>
      </c>
      <c r="G5386" s="21">
        <f t="shared" si="249"/>
        <v>22.079999999999998</v>
      </c>
      <c r="H5386" s="22">
        <v>0</v>
      </c>
      <c r="I5386" s="23" t="str">
        <f t="shared" si="250"/>
        <v xml:space="preserve">COM VALOR</v>
      </c>
      <c r="J5386" s="19"/>
      <c r="L5386" s="21">
        <v>22.43</v>
      </c>
      <c r="M5386" s="22">
        <v>0.72999999999999998</v>
      </c>
      <c r="N5386" s="21">
        <v>22.079999999999998</v>
      </c>
      <c r="O5386" s="22">
        <v>0.73999999999999999</v>
      </c>
    </row>
    <row r="5387" ht="25.5">
      <c r="A5387" t="s">
        <v>5398</v>
      </c>
      <c r="B5387" s="19">
        <v>104539</v>
      </c>
      <c r="C5387" s="20" t="s">
        <v>5494</v>
      </c>
      <c r="D5387" s="19" t="s">
        <v>31</v>
      </c>
      <c r="E5387" s="21" t="str">
        <f t="shared" ref="E5387:E5450" si="251">IF(L5387=0,"VERIFICAR",L5387)</f>
        <v>VERIFICAR</v>
      </c>
      <c r="F5387" s="22">
        <v>0</v>
      </c>
      <c r="G5387" s="21" t="str">
        <f t="shared" ref="G5387:G5450" si="252">IF(N5387=0,"VERIFICAR",N5387)</f>
        <v>VERIFICAR</v>
      </c>
      <c r="H5387" s="22">
        <v>0</v>
      </c>
      <c r="I5387" s="23" t="str">
        <f t="shared" ref="I5387:I5450" si="253">IF(OR(E5387=0,G5387=0),"SEM VALOR","COM VALOR")</f>
        <v xml:space="preserve">COM VALOR</v>
      </c>
      <c r="J5387" s="19"/>
      <c r="L5387" s="21">
        <v>0</v>
      </c>
      <c r="M5387" s="22"/>
      <c r="N5387" s="21">
        <v>0</v>
      </c>
      <c r="O5387" s="22"/>
    </row>
    <row r="5388" ht="25.5">
      <c r="A5388" t="s">
        <v>5398</v>
      </c>
      <c r="B5388" s="19">
        <v>104541</v>
      </c>
      <c r="C5388" s="20" t="s">
        <v>5495</v>
      </c>
      <c r="D5388" s="19" t="s">
        <v>31</v>
      </c>
      <c r="E5388" s="21" t="str">
        <f t="shared" si="251"/>
        <v>VERIFICAR</v>
      </c>
      <c r="F5388" s="22">
        <v>0</v>
      </c>
      <c r="G5388" s="21" t="str">
        <f t="shared" si="252"/>
        <v>VERIFICAR</v>
      </c>
      <c r="H5388" s="22">
        <v>0</v>
      </c>
      <c r="I5388" s="23" t="str">
        <f t="shared" si="253"/>
        <v xml:space="preserve">COM VALOR</v>
      </c>
      <c r="J5388" s="19"/>
      <c r="L5388" s="21">
        <v>0</v>
      </c>
      <c r="M5388" s="22"/>
      <c r="N5388" s="21">
        <v>0</v>
      </c>
      <c r="O5388" s="22"/>
    </row>
    <row r="5389" ht="25.5">
      <c r="A5389" t="s">
        <v>5398</v>
      </c>
      <c r="B5389" s="19">
        <v>104540</v>
      </c>
      <c r="C5389" s="20" t="s">
        <v>5496</v>
      </c>
      <c r="D5389" s="19" t="s">
        <v>31</v>
      </c>
      <c r="E5389" s="21" t="str">
        <f t="shared" si="251"/>
        <v>VERIFICAR</v>
      </c>
      <c r="F5389" s="22">
        <v>0</v>
      </c>
      <c r="G5389" s="21" t="str">
        <f t="shared" si="252"/>
        <v>VERIFICAR</v>
      </c>
      <c r="H5389" s="22">
        <v>0</v>
      </c>
      <c r="I5389" s="23" t="str">
        <f t="shared" si="253"/>
        <v xml:space="preserve">COM VALOR</v>
      </c>
      <c r="J5389" s="19"/>
      <c r="L5389" s="21">
        <v>0</v>
      </c>
      <c r="M5389" s="22"/>
      <c r="N5389" s="21">
        <v>0</v>
      </c>
      <c r="O5389" s="22"/>
    </row>
    <row r="5390" ht="25.5">
      <c r="A5390" t="s">
        <v>5398</v>
      </c>
      <c r="B5390" s="19">
        <v>104543</v>
      </c>
      <c r="C5390" s="20" t="s">
        <v>5497</v>
      </c>
      <c r="D5390" s="19" t="s">
        <v>31</v>
      </c>
      <c r="E5390" s="21" t="str">
        <f t="shared" si="251"/>
        <v>VERIFICAR</v>
      </c>
      <c r="F5390" s="22">
        <v>0</v>
      </c>
      <c r="G5390" s="21" t="str">
        <f t="shared" si="252"/>
        <v>VERIFICAR</v>
      </c>
      <c r="H5390" s="22">
        <v>0</v>
      </c>
      <c r="I5390" s="23" t="str">
        <f t="shared" si="253"/>
        <v xml:space="preserve">COM VALOR</v>
      </c>
      <c r="J5390" s="19"/>
      <c r="L5390" s="21">
        <v>0</v>
      </c>
      <c r="M5390" s="22"/>
      <c r="N5390" s="21">
        <v>0</v>
      </c>
      <c r="O5390" s="22"/>
    </row>
    <row r="5391" ht="25.5">
      <c r="A5391" t="s">
        <v>5398</v>
      </c>
      <c r="B5391" s="19">
        <v>104544</v>
      </c>
      <c r="C5391" s="20" t="s">
        <v>5498</v>
      </c>
      <c r="D5391" s="19" t="s">
        <v>31</v>
      </c>
      <c r="E5391" s="21" t="str">
        <f t="shared" si="251"/>
        <v>VERIFICAR</v>
      </c>
      <c r="F5391" s="22">
        <v>0</v>
      </c>
      <c r="G5391" s="21" t="str">
        <f t="shared" si="252"/>
        <v>VERIFICAR</v>
      </c>
      <c r="H5391" s="22">
        <v>0</v>
      </c>
      <c r="I5391" s="23" t="str">
        <f t="shared" si="253"/>
        <v xml:space="preserve">COM VALOR</v>
      </c>
      <c r="J5391" s="19"/>
      <c r="L5391" s="21">
        <v>0</v>
      </c>
      <c r="M5391" s="22"/>
      <c r="N5391" s="21">
        <v>0</v>
      </c>
      <c r="O5391" s="22"/>
    </row>
    <row r="5392" ht="25.5">
      <c r="A5392" t="s">
        <v>5398</v>
      </c>
      <c r="B5392" s="19">
        <v>104545</v>
      </c>
      <c r="C5392" s="20" t="s">
        <v>5499</v>
      </c>
      <c r="D5392" s="19" t="s">
        <v>31</v>
      </c>
      <c r="E5392" s="21" t="str">
        <f t="shared" si="251"/>
        <v>VERIFICAR</v>
      </c>
      <c r="F5392" s="22">
        <v>0</v>
      </c>
      <c r="G5392" s="21" t="str">
        <f t="shared" si="252"/>
        <v>VERIFICAR</v>
      </c>
      <c r="H5392" s="22">
        <v>0</v>
      </c>
      <c r="I5392" s="23" t="str">
        <f t="shared" si="253"/>
        <v xml:space="preserve">COM VALOR</v>
      </c>
      <c r="J5392" s="19"/>
      <c r="L5392" s="21">
        <v>0</v>
      </c>
      <c r="M5392" s="22"/>
      <c r="N5392" s="21">
        <v>0</v>
      </c>
      <c r="O5392" s="22"/>
    </row>
    <row r="5393" ht="25.5">
      <c r="A5393" t="s">
        <v>5398</v>
      </c>
      <c r="B5393" s="19">
        <v>104542</v>
      </c>
      <c r="C5393" s="20" t="s">
        <v>5500</v>
      </c>
      <c r="D5393" s="19" t="s">
        <v>31</v>
      </c>
      <c r="E5393" s="21" t="str">
        <f t="shared" si="251"/>
        <v>VERIFICAR</v>
      </c>
      <c r="F5393" s="22">
        <v>0</v>
      </c>
      <c r="G5393" s="21" t="str">
        <f t="shared" si="252"/>
        <v>VERIFICAR</v>
      </c>
      <c r="H5393" s="22">
        <v>0</v>
      </c>
      <c r="I5393" s="23" t="str">
        <f t="shared" si="253"/>
        <v xml:space="preserve">COM VALOR</v>
      </c>
      <c r="J5393" s="19"/>
      <c r="L5393" s="21">
        <v>0</v>
      </c>
      <c r="M5393" s="22"/>
      <c r="N5393" s="21">
        <v>0</v>
      </c>
      <c r="O5393" s="22"/>
    </row>
    <row r="5394" ht="25.5">
      <c r="A5394" t="s">
        <v>5398</v>
      </c>
      <c r="B5394" s="19">
        <v>104592</v>
      </c>
      <c r="C5394" s="20" t="s">
        <v>5501</v>
      </c>
      <c r="D5394" s="19" t="s">
        <v>31</v>
      </c>
      <c r="E5394" s="21" t="str">
        <f t="shared" si="251"/>
        <v>VERIFICAR</v>
      </c>
      <c r="F5394" s="22">
        <v>0</v>
      </c>
      <c r="G5394" s="21" t="str">
        <f t="shared" si="252"/>
        <v>VERIFICAR</v>
      </c>
      <c r="H5394" s="22">
        <v>0</v>
      </c>
      <c r="I5394" s="23" t="str">
        <f t="shared" si="253"/>
        <v xml:space="preserve">COM VALOR</v>
      </c>
      <c r="J5394" s="19"/>
      <c r="L5394" s="21">
        <v>0</v>
      </c>
      <c r="M5394" s="22"/>
      <c r="N5394" s="21">
        <v>0</v>
      </c>
      <c r="O5394" s="22"/>
    </row>
    <row r="5395" ht="25.5">
      <c r="A5395" t="s">
        <v>5398</v>
      </c>
      <c r="B5395" s="19">
        <v>104548</v>
      </c>
      <c r="C5395" s="20" t="s">
        <v>5502</v>
      </c>
      <c r="D5395" s="19" t="s">
        <v>31</v>
      </c>
      <c r="E5395" s="21" t="str">
        <f t="shared" si="251"/>
        <v>VERIFICAR</v>
      </c>
      <c r="F5395" s="22">
        <v>0</v>
      </c>
      <c r="G5395" s="21" t="str">
        <f t="shared" si="252"/>
        <v>VERIFICAR</v>
      </c>
      <c r="H5395" s="22">
        <v>0</v>
      </c>
      <c r="I5395" s="23" t="str">
        <f t="shared" si="253"/>
        <v xml:space="preserve">COM VALOR</v>
      </c>
      <c r="J5395" s="19"/>
      <c r="L5395" s="21">
        <v>0</v>
      </c>
      <c r="M5395" s="22"/>
      <c r="N5395" s="21">
        <v>0</v>
      </c>
      <c r="O5395" s="22"/>
    </row>
    <row r="5396" ht="25.5">
      <c r="A5396" t="s">
        <v>5398</v>
      </c>
      <c r="B5396" s="19">
        <v>104546</v>
      </c>
      <c r="C5396" s="20" t="s">
        <v>5503</v>
      </c>
      <c r="D5396" s="19" t="s">
        <v>31</v>
      </c>
      <c r="E5396" s="21" t="str">
        <f t="shared" si="251"/>
        <v>VERIFICAR</v>
      </c>
      <c r="F5396" s="22">
        <v>0</v>
      </c>
      <c r="G5396" s="21" t="str">
        <f t="shared" si="252"/>
        <v>VERIFICAR</v>
      </c>
      <c r="H5396" s="22">
        <v>0</v>
      </c>
      <c r="I5396" s="23" t="str">
        <f t="shared" si="253"/>
        <v xml:space="preserve">COM VALOR</v>
      </c>
      <c r="J5396" s="19"/>
      <c r="L5396" s="21">
        <v>0</v>
      </c>
      <c r="M5396" s="22"/>
      <c r="N5396" s="21">
        <v>0</v>
      </c>
      <c r="O5396" s="22"/>
    </row>
    <row r="5397" ht="25.5">
      <c r="A5397" t="s">
        <v>5398</v>
      </c>
      <c r="B5397" s="19">
        <v>104549</v>
      </c>
      <c r="C5397" s="20" t="s">
        <v>5504</v>
      </c>
      <c r="D5397" s="19" t="s">
        <v>31</v>
      </c>
      <c r="E5397" s="21" t="str">
        <f t="shared" si="251"/>
        <v>VERIFICAR</v>
      </c>
      <c r="F5397" s="22">
        <v>0</v>
      </c>
      <c r="G5397" s="21" t="str">
        <f t="shared" si="252"/>
        <v>VERIFICAR</v>
      </c>
      <c r="H5397" s="22">
        <v>0</v>
      </c>
      <c r="I5397" s="23" t="str">
        <f t="shared" si="253"/>
        <v xml:space="preserve">COM VALOR</v>
      </c>
      <c r="J5397" s="19"/>
      <c r="L5397" s="21">
        <v>0</v>
      </c>
      <c r="M5397" s="22"/>
      <c r="N5397" s="21">
        <v>0</v>
      </c>
      <c r="O5397" s="22"/>
    </row>
    <row r="5398" ht="25.5">
      <c r="A5398" t="s">
        <v>5398</v>
      </c>
      <c r="B5398" s="19">
        <v>104550</v>
      </c>
      <c r="C5398" s="20" t="s">
        <v>5505</v>
      </c>
      <c r="D5398" s="19" t="s">
        <v>31</v>
      </c>
      <c r="E5398" s="21" t="str">
        <f t="shared" si="251"/>
        <v>VERIFICAR</v>
      </c>
      <c r="F5398" s="22">
        <v>0</v>
      </c>
      <c r="G5398" s="21" t="str">
        <f t="shared" si="252"/>
        <v>VERIFICAR</v>
      </c>
      <c r="H5398" s="22">
        <v>0</v>
      </c>
      <c r="I5398" s="23" t="str">
        <f t="shared" si="253"/>
        <v xml:space="preserve">COM VALOR</v>
      </c>
      <c r="J5398" s="19"/>
      <c r="L5398" s="21">
        <v>0</v>
      </c>
      <c r="M5398" s="22"/>
      <c r="N5398" s="21">
        <v>0</v>
      </c>
      <c r="O5398" s="22"/>
    </row>
    <row r="5399" ht="25.5">
      <c r="A5399" t="s">
        <v>5398</v>
      </c>
      <c r="B5399" s="19">
        <v>104552</v>
      </c>
      <c r="C5399" s="20" t="s">
        <v>5506</v>
      </c>
      <c r="D5399" s="19" t="s">
        <v>31</v>
      </c>
      <c r="E5399" s="21" t="str">
        <f t="shared" si="251"/>
        <v>VERIFICAR</v>
      </c>
      <c r="F5399" s="22">
        <v>0</v>
      </c>
      <c r="G5399" s="21" t="str">
        <f t="shared" si="252"/>
        <v>VERIFICAR</v>
      </c>
      <c r="H5399" s="22">
        <v>0</v>
      </c>
      <c r="I5399" s="23" t="str">
        <f t="shared" si="253"/>
        <v xml:space="preserve">COM VALOR</v>
      </c>
      <c r="J5399" s="19"/>
      <c r="L5399" s="21">
        <v>0</v>
      </c>
      <c r="M5399" s="22"/>
      <c r="N5399" s="21">
        <v>0</v>
      </c>
      <c r="O5399" s="22"/>
    </row>
    <row r="5400" ht="25.5">
      <c r="A5400" t="s">
        <v>5398</v>
      </c>
      <c r="B5400" s="19">
        <v>104551</v>
      </c>
      <c r="C5400" s="20" t="s">
        <v>5507</v>
      </c>
      <c r="D5400" s="19" t="s">
        <v>31</v>
      </c>
      <c r="E5400" s="21" t="str">
        <f t="shared" si="251"/>
        <v>VERIFICAR</v>
      </c>
      <c r="F5400" s="22">
        <v>0</v>
      </c>
      <c r="G5400" s="21" t="str">
        <f t="shared" si="252"/>
        <v>VERIFICAR</v>
      </c>
      <c r="H5400" s="22">
        <v>0</v>
      </c>
      <c r="I5400" s="23" t="str">
        <f t="shared" si="253"/>
        <v xml:space="preserve">COM VALOR</v>
      </c>
      <c r="J5400" s="19"/>
      <c r="L5400" s="21">
        <v>0</v>
      </c>
      <c r="M5400" s="22"/>
      <c r="N5400" s="21">
        <v>0</v>
      </c>
      <c r="O5400" s="22"/>
    </row>
    <row r="5401" ht="25.5">
      <c r="A5401" t="s">
        <v>5398</v>
      </c>
      <c r="B5401" s="19">
        <v>104553</v>
      </c>
      <c r="C5401" s="20" t="s">
        <v>5508</v>
      </c>
      <c r="D5401" s="19" t="s">
        <v>31</v>
      </c>
      <c r="E5401" s="21" t="str">
        <f t="shared" si="251"/>
        <v>VERIFICAR</v>
      </c>
      <c r="F5401" s="22">
        <v>0</v>
      </c>
      <c r="G5401" s="21" t="str">
        <f t="shared" si="252"/>
        <v>VERIFICAR</v>
      </c>
      <c r="H5401" s="22">
        <v>0</v>
      </c>
      <c r="I5401" s="23" t="str">
        <f t="shared" si="253"/>
        <v xml:space="preserve">COM VALOR</v>
      </c>
      <c r="J5401" s="19"/>
      <c r="L5401" s="21">
        <v>0</v>
      </c>
      <c r="M5401" s="22"/>
      <c r="N5401" s="21">
        <v>0</v>
      </c>
      <c r="O5401" s="22"/>
    </row>
    <row r="5402" ht="25.5">
      <c r="A5402" t="s">
        <v>5398</v>
      </c>
      <c r="B5402" s="19">
        <v>104554</v>
      </c>
      <c r="C5402" s="20" t="s">
        <v>5509</v>
      </c>
      <c r="D5402" s="19" t="s">
        <v>31</v>
      </c>
      <c r="E5402" s="21" t="str">
        <f t="shared" si="251"/>
        <v>VERIFICAR</v>
      </c>
      <c r="F5402" s="22">
        <v>0</v>
      </c>
      <c r="G5402" s="21" t="str">
        <f t="shared" si="252"/>
        <v>VERIFICAR</v>
      </c>
      <c r="H5402" s="22">
        <v>0</v>
      </c>
      <c r="I5402" s="23" t="str">
        <f t="shared" si="253"/>
        <v xml:space="preserve">COM VALOR</v>
      </c>
      <c r="J5402" s="19"/>
      <c r="L5402" s="21">
        <v>0</v>
      </c>
      <c r="M5402" s="22"/>
      <c r="N5402" s="21">
        <v>0</v>
      </c>
      <c r="O5402" s="22"/>
    </row>
    <row r="5403" ht="25.5">
      <c r="A5403" t="s">
        <v>5398</v>
      </c>
      <c r="B5403" s="19">
        <v>104555</v>
      </c>
      <c r="C5403" s="20" t="s">
        <v>5510</v>
      </c>
      <c r="D5403" s="19" t="s">
        <v>31</v>
      </c>
      <c r="E5403" s="21" t="str">
        <f t="shared" si="251"/>
        <v>VERIFICAR</v>
      </c>
      <c r="F5403" s="22">
        <v>0</v>
      </c>
      <c r="G5403" s="21" t="str">
        <f t="shared" si="252"/>
        <v>VERIFICAR</v>
      </c>
      <c r="H5403" s="22">
        <v>0</v>
      </c>
      <c r="I5403" s="23" t="str">
        <f t="shared" si="253"/>
        <v xml:space="preserve">COM VALOR</v>
      </c>
      <c r="J5403" s="19"/>
      <c r="L5403" s="21">
        <v>0</v>
      </c>
      <c r="M5403" s="22"/>
      <c r="N5403" s="21">
        <v>0</v>
      </c>
      <c r="O5403" s="22"/>
    </row>
    <row r="5404" ht="25.5">
      <c r="A5404" t="s">
        <v>5398</v>
      </c>
      <c r="B5404" s="19">
        <v>104556</v>
      </c>
      <c r="C5404" s="20" t="s">
        <v>5511</v>
      </c>
      <c r="D5404" s="19" t="s">
        <v>31</v>
      </c>
      <c r="E5404" s="21" t="str">
        <f t="shared" si="251"/>
        <v>VERIFICAR</v>
      </c>
      <c r="F5404" s="22">
        <v>0</v>
      </c>
      <c r="G5404" s="21" t="str">
        <f t="shared" si="252"/>
        <v>VERIFICAR</v>
      </c>
      <c r="H5404" s="22">
        <v>0</v>
      </c>
      <c r="I5404" s="23" t="str">
        <f t="shared" si="253"/>
        <v xml:space="preserve">COM VALOR</v>
      </c>
      <c r="J5404" s="19"/>
      <c r="L5404" s="21">
        <v>0</v>
      </c>
      <c r="M5404" s="22"/>
      <c r="N5404" s="21">
        <v>0</v>
      </c>
      <c r="O5404" s="22"/>
    </row>
    <row r="5405" ht="25.5">
      <c r="A5405" t="s">
        <v>5398</v>
      </c>
      <c r="B5405" s="19">
        <v>104558</v>
      </c>
      <c r="C5405" s="20" t="s">
        <v>5512</v>
      </c>
      <c r="D5405" s="19" t="s">
        <v>31</v>
      </c>
      <c r="E5405" s="21" t="str">
        <f t="shared" si="251"/>
        <v>VERIFICAR</v>
      </c>
      <c r="F5405" s="22">
        <v>0</v>
      </c>
      <c r="G5405" s="21" t="str">
        <f t="shared" si="252"/>
        <v>VERIFICAR</v>
      </c>
      <c r="H5405" s="22">
        <v>0</v>
      </c>
      <c r="I5405" s="23" t="str">
        <f t="shared" si="253"/>
        <v xml:space="preserve">COM VALOR</v>
      </c>
      <c r="J5405" s="19"/>
      <c r="L5405" s="21">
        <v>0</v>
      </c>
      <c r="M5405" s="22"/>
      <c r="N5405" s="21">
        <v>0</v>
      </c>
      <c r="O5405" s="22"/>
    </row>
    <row r="5406" ht="25.5">
      <c r="A5406" t="s">
        <v>5398</v>
      </c>
      <c r="B5406" s="19">
        <v>104559</v>
      </c>
      <c r="C5406" s="20" t="s">
        <v>5513</v>
      </c>
      <c r="D5406" s="19" t="s">
        <v>31</v>
      </c>
      <c r="E5406" s="21" t="str">
        <f t="shared" si="251"/>
        <v>VERIFICAR</v>
      </c>
      <c r="F5406" s="22">
        <v>0</v>
      </c>
      <c r="G5406" s="21" t="str">
        <f t="shared" si="252"/>
        <v>VERIFICAR</v>
      </c>
      <c r="H5406" s="22">
        <v>0</v>
      </c>
      <c r="I5406" s="23" t="str">
        <f t="shared" si="253"/>
        <v xml:space="preserve">COM VALOR</v>
      </c>
      <c r="J5406" s="19"/>
      <c r="L5406" s="21">
        <v>0</v>
      </c>
      <c r="M5406" s="22"/>
      <c r="N5406" s="21">
        <v>0</v>
      </c>
      <c r="O5406" s="22"/>
    </row>
    <row r="5407" ht="25.5">
      <c r="A5407" t="s">
        <v>5398</v>
      </c>
      <c r="B5407" s="19">
        <v>104560</v>
      </c>
      <c r="C5407" s="20" t="s">
        <v>5514</v>
      </c>
      <c r="D5407" s="19" t="s">
        <v>31</v>
      </c>
      <c r="E5407" s="21" t="str">
        <f t="shared" si="251"/>
        <v>VERIFICAR</v>
      </c>
      <c r="F5407" s="22">
        <v>0</v>
      </c>
      <c r="G5407" s="21" t="str">
        <f t="shared" si="252"/>
        <v>VERIFICAR</v>
      </c>
      <c r="H5407" s="22">
        <v>0</v>
      </c>
      <c r="I5407" s="23" t="str">
        <f t="shared" si="253"/>
        <v xml:space="preserve">COM VALOR</v>
      </c>
      <c r="J5407" s="19"/>
      <c r="L5407" s="21">
        <v>0</v>
      </c>
      <c r="M5407" s="22"/>
      <c r="N5407" s="21">
        <v>0</v>
      </c>
      <c r="O5407" s="22"/>
    </row>
    <row r="5408" ht="25.5">
      <c r="A5408" t="s">
        <v>5398</v>
      </c>
      <c r="B5408" s="19">
        <v>104557</v>
      </c>
      <c r="C5408" s="20" t="s">
        <v>5515</v>
      </c>
      <c r="D5408" s="19" t="s">
        <v>31</v>
      </c>
      <c r="E5408" s="21" t="str">
        <f t="shared" si="251"/>
        <v>VERIFICAR</v>
      </c>
      <c r="F5408" s="22">
        <v>0</v>
      </c>
      <c r="G5408" s="21" t="str">
        <f t="shared" si="252"/>
        <v>VERIFICAR</v>
      </c>
      <c r="H5408" s="22">
        <v>0</v>
      </c>
      <c r="I5408" s="23" t="str">
        <f t="shared" si="253"/>
        <v xml:space="preserve">COM VALOR</v>
      </c>
      <c r="J5408" s="19"/>
      <c r="L5408" s="21">
        <v>0</v>
      </c>
      <c r="M5408" s="22"/>
      <c r="N5408" s="21">
        <v>0</v>
      </c>
      <c r="O5408" s="22"/>
    </row>
    <row r="5409" ht="25.5">
      <c r="A5409" t="s">
        <v>5398</v>
      </c>
      <c r="B5409" s="19">
        <v>104561</v>
      </c>
      <c r="C5409" s="20" t="s">
        <v>5516</v>
      </c>
      <c r="D5409" s="19" t="s">
        <v>31</v>
      </c>
      <c r="E5409" s="21" t="str">
        <f t="shared" si="251"/>
        <v>VERIFICAR</v>
      </c>
      <c r="F5409" s="22">
        <v>0</v>
      </c>
      <c r="G5409" s="21" t="str">
        <f t="shared" si="252"/>
        <v>VERIFICAR</v>
      </c>
      <c r="H5409" s="22">
        <v>0</v>
      </c>
      <c r="I5409" s="23" t="str">
        <f t="shared" si="253"/>
        <v xml:space="preserve">COM VALOR</v>
      </c>
      <c r="J5409" s="19"/>
      <c r="L5409" s="21">
        <v>0</v>
      </c>
      <c r="M5409" s="22"/>
      <c r="N5409" s="21">
        <v>0</v>
      </c>
      <c r="O5409" s="22"/>
    </row>
    <row r="5410" ht="25.5">
      <c r="A5410" t="s">
        <v>5398</v>
      </c>
      <c r="B5410" s="19">
        <v>104562</v>
      </c>
      <c r="C5410" s="20" t="s">
        <v>5517</v>
      </c>
      <c r="D5410" s="19" t="s">
        <v>31</v>
      </c>
      <c r="E5410" s="21" t="str">
        <f t="shared" si="251"/>
        <v>VERIFICAR</v>
      </c>
      <c r="F5410" s="22">
        <v>0</v>
      </c>
      <c r="G5410" s="21" t="str">
        <f t="shared" si="252"/>
        <v>VERIFICAR</v>
      </c>
      <c r="H5410" s="22">
        <v>0</v>
      </c>
      <c r="I5410" s="23" t="str">
        <f t="shared" si="253"/>
        <v xml:space="preserve">COM VALOR</v>
      </c>
      <c r="J5410" s="19"/>
      <c r="L5410" s="21">
        <v>0</v>
      </c>
      <c r="M5410" s="22"/>
      <c r="N5410" s="21">
        <v>0</v>
      </c>
      <c r="O5410" s="22"/>
    </row>
    <row r="5411" ht="25.5">
      <c r="A5411" t="s">
        <v>5398</v>
      </c>
      <c r="B5411" s="19">
        <v>96860</v>
      </c>
      <c r="C5411" s="20" t="s">
        <v>5518</v>
      </c>
      <c r="D5411" s="19" t="s">
        <v>31</v>
      </c>
      <c r="E5411" s="21">
        <f t="shared" si="251"/>
        <v>29.899999999999999</v>
      </c>
      <c r="F5411" s="22">
        <v>0</v>
      </c>
      <c r="G5411" s="21">
        <f t="shared" si="252"/>
        <v>29.149999999999999</v>
      </c>
      <c r="H5411" s="22">
        <v>0</v>
      </c>
      <c r="I5411" s="23" t="str">
        <f t="shared" si="253"/>
        <v xml:space="preserve">COM VALOR</v>
      </c>
      <c r="J5411" s="19"/>
      <c r="L5411" s="21">
        <v>29.899999999999999</v>
      </c>
      <c r="M5411" s="22">
        <v>0.56000000000000005</v>
      </c>
      <c r="N5411" s="21">
        <v>29.149999999999999</v>
      </c>
      <c r="O5411" s="22">
        <v>0.57999999999999996</v>
      </c>
    </row>
    <row r="5412" ht="25.5">
      <c r="A5412" t="s">
        <v>5398</v>
      </c>
      <c r="B5412" s="19">
        <v>96862</v>
      </c>
      <c r="C5412" s="20" t="s">
        <v>5519</v>
      </c>
      <c r="D5412" s="19" t="s">
        <v>31</v>
      </c>
      <c r="E5412" s="21">
        <f t="shared" si="251"/>
        <v>36.799999999999997</v>
      </c>
      <c r="F5412" s="22">
        <v>0</v>
      </c>
      <c r="G5412" s="21">
        <f t="shared" si="252"/>
        <v>35.920000000000002</v>
      </c>
      <c r="H5412" s="22">
        <v>0</v>
      </c>
      <c r="I5412" s="23" t="str">
        <f t="shared" si="253"/>
        <v xml:space="preserve">COM VALOR</v>
      </c>
      <c r="J5412" s="19"/>
      <c r="L5412" s="21">
        <v>36.799999999999997</v>
      </c>
      <c r="M5412" s="22">
        <v>0.57999999999999996</v>
      </c>
      <c r="N5412" s="21">
        <v>35.920000000000002</v>
      </c>
      <c r="O5412" s="22">
        <v>0.58999999999999997</v>
      </c>
    </row>
    <row r="5413" ht="25.5">
      <c r="A5413" t="s">
        <v>5398</v>
      </c>
      <c r="B5413" s="19">
        <v>96864</v>
      </c>
      <c r="C5413" s="20" t="s">
        <v>5520</v>
      </c>
      <c r="D5413" s="19" t="s">
        <v>31</v>
      </c>
      <c r="E5413" s="21">
        <f t="shared" si="251"/>
        <v>52.259999999999998</v>
      </c>
      <c r="F5413" s="22">
        <v>0</v>
      </c>
      <c r="G5413" s="21">
        <f t="shared" si="252"/>
        <v>51.200000000000003</v>
      </c>
      <c r="H5413" s="22">
        <v>0</v>
      </c>
      <c r="I5413" s="23" t="str">
        <f t="shared" si="253"/>
        <v xml:space="preserve">COM VALOR</v>
      </c>
      <c r="J5413" s="19"/>
      <c r="L5413" s="21">
        <v>52.259999999999998</v>
      </c>
      <c r="M5413" s="22">
        <v>0.64000000000000001</v>
      </c>
      <c r="N5413" s="21">
        <v>51.200000000000003</v>
      </c>
      <c r="O5413" s="22">
        <v>0.66000000000000003</v>
      </c>
    </row>
    <row r="5414" ht="25.5">
      <c r="A5414" t="s">
        <v>5398</v>
      </c>
      <c r="B5414" s="19">
        <v>96866</v>
      </c>
      <c r="C5414" s="20" t="s">
        <v>5521</v>
      </c>
      <c r="D5414" s="19" t="s">
        <v>31</v>
      </c>
      <c r="E5414" s="21">
        <f t="shared" si="251"/>
        <v>68.099999999999994</v>
      </c>
      <c r="F5414" s="22">
        <v>0</v>
      </c>
      <c r="G5414" s="21">
        <f t="shared" si="252"/>
        <v>66.790000000000006</v>
      </c>
      <c r="H5414" s="22">
        <v>0</v>
      </c>
      <c r="I5414" s="23" t="str">
        <f t="shared" si="253"/>
        <v xml:space="preserve">COM VALOR</v>
      </c>
      <c r="J5414" s="19"/>
      <c r="L5414" s="21">
        <v>68.099999999999994</v>
      </c>
      <c r="M5414" s="22">
        <v>0.66000000000000003</v>
      </c>
      <c r="N5414" s="21">
        <v>66.790000000000006</v>
      </c>
      <c r="O5414" s="22">
        <v>0.68000000000000005</v>
      </c>
    </row>
    <row r="5415" ht="25.5">
      <c r="A5415" t="s">
        <v>5398</v>
      </c>
      <c r="B5415" s="19">
        <v>96868</v>
      </c>
      <c r="C5415" s="20" t="s">
        <v>5522</v>
      </c>
      <c r="D5415" s="19" t="s">
        <v>31</v>
      </c>
      <c r="E5415" s="21">
        <f t="shared" si="251"/>
        <v>19.48</v>
      </c>
      <c r="F5415" s="22">
        <v>0</v>
      </c>
      <c r="G5415" s="21">
        <f t="shared" si="252"/>
        <v>18.960000000000001</v>
      </c>
      <c r="H5415" s="22">
        <v>0</v>
      </c>
      <c r="I5415" s="23" t="str">
        <f t="shared" si="253"/>
        <v xml:space="preserve">COM VALOR</v>
      </c>
      <c r="J5415" s="19"/>
      <c r="L5415" s="21">
        <v>19.48</v>
      </c>
      <c r="M5415" s="22">
        <v>0.53000000000000003</v>
      </c>
      <c r="N5415" s="21">
        <v>18.960000000000001</v>
      </c>
      <c r="O5415" s="22">
        <v>0.54000000000000004</v>
      </c>
    </row>
    <row r="5416" ht="25.5">
      <c r="A5416" t="s">
        <v>5398</v>
      </c>
      <c r="B5416" s="19">
        <v>96869</v>
      </c>
      <c r="C5416" s="20" t="s">
        <v>5523</v>
      </c>
      <c r="D5416" s="19" t="s">
        <v>31</v>
      </c>
      <c r="E5416" s="21">
        <f t="shared" si="251"/>
        <v>30.109999999999999</v>
      </c>
      <c r="F5416" s="22">
        <v>0</v>
      </c>
      <c r="G5416" s="21">
        <f t="shared" si="252"/>
        <v>29.48</v>
      </c>
      <c r="H5416" s="22">
        <v>0</v>
      </c>
      <c r="I5416" s="23" t="str">
        <f t="shared" si="253"/>
        <v xml:space="preserve">COM VALOR</v>
      </c>
      <c r="J5416" s="19"/>
      <c r="L5416" s="21">
        <v>30.109999999999999</v>
      </c>
      <c r="M5416" s="22">
        <v>0.64000000000000001</v>
      </c>
      <c r="N5416" s="21">
        <v>29.48</v>
      </c>
      <c r="O5416" s="22">
        <v>0.65000000000000002</v>
      </c>
    </row>
    <row r="5417" ht="25.5">
      <c r="A5417" t="s">
        <v>5398</v>
      </c>
      <c r="B5417" s="19">
        <v>96870</v>
      </c>
      <c r="C5417" s="20" t="s">
        <v>5524</v>
      </c>
      <c r="D5417" s="19" t="s">
        <v>31</v>
      </c>
      <c r="E5417" s="21">
        <f t="shared" si="251"/>
        <v>45.469999999999999</v>
      </c>
      <c r="F5417" s="22">
        <v>0</v>
      </c>
      <c r="G5417" s="21">
        <f t="shared" si="252"/>
        <v>44.740000000000002</v>
      </c>
      <c r="H5417" s="22">
        <v>0</v>
      </c>
      <c r="I5417" s="23" t="str">
        <f t="shared" si="253"/>
        <v xml:space="preserve">COM VALOR</v>
      </c>
      <c r="J5417" s="19"/>
      <c r="L5417" s="21">
        <v>45.469999999999999</v>
      </c>
      <c r="M5417" s="22">
        <v>0.70999999999999996</v>
      </c>
      <c r="N5417" s="21">
        <v>44.740000000000002</v>
      </c>
      <c r="O5417" s="22">
        <v>0.72999999999999998</v>
      </c>
    </row>
    <row r="5418" ht="25.5">
      <c r="A5418" t="s">
        <v>5398</v>
      </c>
      <c r="B5418" s="19">
        <v>96871</v>
      </c>
      <c r="C5418" s="20" t="s">
        <v>5525</v>
      </c>
      <c r="D5418" s="19" t="s">
        <v>31</v>
      </c>
      <c r="E5418" s="21">
        <f t="shared" si="251"/>
        <v>51.899999999999999</v>
      </c>
      <c r="F5418" s="22">
        <v>0</v>
      </c>
      <c r="G5418" s="21">
        <f t="shared" si="252"/>
        <v>50.990000000000002</v>
      </c>
      <c r="H5418" s="22">
        <v>0</v>
      </c>
      <c r="I5418" s="23" t="str">
        <f t="shared" si="253"/>
        <v xml:space="preserve">COM VALOR</v>
      </c>
      <c r="J5418" s="19"/>
      <c r="L5418" s="21">
        <v>51.899999999999999</v>
      </c>
      <c r="M5418" s="22">
        <v>0.68999999999999995</v>
      </c>
      <c r="N5418" s="21">
        <v>50.990000000000002</v>
      </c>
      <c r="O5418" s="22">
        <v>0.69999999999999996</v>
      </c>
    </row>
    <row r="5419" ht="38.25">
      <c r="A5419" t="s">
        <v>5398</v>
      </c>
      <c r="B5419" s="19">
        <v>96861</v>
      </c>
      <c r="C5419" s="20" t="s">
        <v>5526</v>
      </c>
      <c r="D5419" s="19" t="s">
        <v>31</v>
      </c>
      <c r="E5419" s="21">
        <f t="shared" si="251"/>
        <v>37.82</v>
      </c>
      <c r="F5419" s="22">
        <v>0</v>
      </c>
      <c r="G5419" s="21">
        <f t="shared" si="252"/>
        <v>36.909999999999997</v>
      </c>
      <c r="H5419" s="22">
        <v>0</v>
      </c>
      <c r="I5419" s="23" t="str">
        <f t="shared" si="253"/>
        <v xml:space="preserve">COM VALOR</v>
      </c>
      <c r="J5419" s="19"/>
      <c r="L5419" s="21">
        <v>37.82</v>
      </c>
      <c r="M5419" s="22">
        <v>0.56999999999999995</v>
      </c>
      <c r="N5419" s="21">
        <v>36.909999999999997</v>
      </c>
      <c r="O5419" s="22">
        <v>0.58999999999999997</v>
      </c>
    </row>
    <row r="5420" ht="38.25">
      <c r="A5420" t="s">
        <v>5398</v>
      </c>
      <c r="B5420" s="19">
        <v>96863</v>
      </c>
      <c r="C5420" s="20" t="s">
        <v>5527</v>
      </c>
      <c r="D5420" s="19" t="s">
        <v>31</v>
      </c>
      <c r="E5420" s="21">
        <f t="shared" si="251"/>
        <v>38.670000000000002</v>
      </c>
      <c r="F5420" s="22">
        <v>0</v>
      </c>
      <c r="G5420" s="21">
        <f t="shared" si="252"/>
        <v>37.649999999999999</v>
      </c>
      <c r="H5420" s="22">
        <v>0</v>
      </c>
      <c r="I5420" s="23" t="str">
        <f t="shared" si="253"/>
        <v xml:space="preserve">COM VALOR</v>
      </c>
      <c r="J5420" s="19"/>
      <c r="L5420" s="21">
        <v>38.670000000000002</v>
      </c>
      <c r="M5420" s="22">
        <v>0.54000000000000004</v>
      </c>
      <c r="N5420" s="21">
        <v>37.649999999999999</v>
      </c>
      <c r="O5420" s="22">
        <v>0.56000000000000005</v>
      </c>
    </row>
    <row r="5421" ht="38.25">
      <c r="A5421" t="s">
        <v>5398</v>
      </c>
      <c r="B5421" s="19">
        <v>96865</v>
      </c>
      <c r="C5421" s="20" t="s">
        <v>5528</v>
      </c>
      <c r="D5421" s="19" t="s">
        <v>31</v>
      </c>
      <c r="E5421" s="21">
        <f t="shared" si="251"/>
        <v>45.609999999999999</v>
      </c>
      <c r="F5421" s="22">
        <v>0</v>
      </c>
      <c r="G5421" s="21">
        <f t="shared" si="252"/>
        <v>44.409999999999997</v>
      </c>
      <c r="H5421" s="22">
        <v>0</v>
      </c>
      <c r="I5421" s="23" t="str">
        <f t="shared" si="253"/>
        <v xml:space="preserve">COM VALOR</v>
      </c>
      <c r="J5421" s="19"/>
      <c r="L5421" s="21">
        <v>45.609999999999999</v>
      </c>
      <c r="M5421" s="22">
        <v>0.54000000000000004</v>
      </c>
      <c r="N5421" s="21">
        <v>44.409999999999997</v>
      </c>
      <c r="O5421" s="22">
        <v>0.55000000000000004</v>
      </c>
    </row>
    <row r="5422" ht="38.25">
      <c r="A5422" t="s">
        <v>5398</v>
      </c>
      <c r="B5422" s="19">
        <v>96814</v>
      </c>
      <c r="C5422" s="20" t="s">
        <v>5529</v>
      </c>
      <c r="D5422" s="19" t="s">
        <v>31</v>
      </c>
      <c r="E5422" s="21">
        <f t="shared" si="251"/>
        <v>16.02</v>
      </c>
      <c r="F5422" s="22">
        <v>0</v>
      </c>
      <c r="G5422" s="21">
        <f t="shared" si="252"/>
        <v>15.619999999999999</v>
      </c>
      <c r="H5422" s="22">
        <v>0</v>
      </c>
      <c r="I5422" s="23" t="str">
        <f t="shared" si="253"/>
        <v xml:space="preserve">COM VALOR</v>
      </c>
      <c r="J5422" s="19"/>
      <c r="L5422" s="21">
        <v>16.02</v>
      </c>
      <c r="M5422" s="22">
        <v>0.55000000000000004</v>
      </c>
      <c r="N5422" s="21">
        <v>15.619999999999999</v>
      </c>
      <c r="O5422" s="22">
        <v>0.56999999999999995</v>
      </c>
    </row>
    <row r="5423" ht="38.25">
      <c r="A5423" t="s">
        <v>5398</v>
      </c>
      <c r="B5423" s="19">
        <v>96818</v>
      </c>
      <c r="C5423" s="20" t="s">
        <v>5530</v>
      </c>
      <c r="D5423" s="19" t="s">
        <v>31</v>
      </c>
      <c r="E5423" s="21">
        <f t="shared" si="251"/>
        <v>21.690000000000001</v>
      </c>
      <c r="F5423" s="22">
        <v>0</v>
      </c>
      <c r="G5423" s="21">
        <f t="shared" si="252"/>
        <v>21.25</v>
      </c>
      <c r="H5423" s="22">
        <v>0</v>
      </c>
      <c r="I5423" s="23" t="str">
        <f t="shared" si="253"/>
        <v xml:space="preserve">COM VALOR</v>
      </c>
      <c r="J5423" s="19"/>
      <c r="L5423" s="21">
        <v>21.690000000000001</v>
      </c>
      <c r="M5423" s="22">
        <v>0.63</v>
      </c>
      <c r="N5423" s="21">
        <v>21.25</v>
      </c>
      <c r="O5423" s="22">
        <v>0.65000000000000002</v>
      </c>
    </row>
    <row r="5424" ht="38.25">
      <c r="A5424" t="s">
        <v>5398</v>
      </c>
      <c r="B5424" s="19">
        <v>96819</v>
      </c>
      <c r="C5424" s="20" t="s">
        <v>5531</v>
      </c>
      <c r="D5424" s="19" t="s">
        <v>31</v>
      </c>
      <c r="E5424" s="21">
        <f t="shared" si="251"/>
        <v>23.260000000000002</v>
      </c>
      <c r="F5424" s="22">
        <v>0</v>
      </c>
      <c r="G5424" s="21">
        <f t="shared" si="252"/>
        <v>22.77</v>
      </c>
      <c r="H5424" s="22">
        <v>0</v>
      </c>
      <c r="I5424" s="23" t="str">
        <f t="shared" si="253"/>
        <v xml:space="preserve">COM VALOR</v>
      </c>
      <c r="J5424" s="19"/>
      <c r="L5424" s="21">
        <v>23.260000000000002</v>
      </c>
      <c r="M5424" s="22">
        <v>0.63</v>
      </c>
      <c r="N5424" s="21">
        <v>22.77</v>
      </c>
      <c r="O5424" s="22">
        <v>0.65000000000000002</v>
      </c>
    </row>
    <row r="5425" ht="38.25">
      <c r="A5425" t="s">
        <v>5398</v>
      </c>
      <c r="B5425" s="19">
        <v>96822</v>
      </c>
      <c r="C5425" s="20" t="s">
        <v>5532</v>
      </c>
      <c r="D5425" s="19" t="s">
        <v>31</v>
      </c>
      <c r="E5425" s="21">
        <f t="shared" si="251"/>
        <v>30.600000000000001</v>
      </c>
      <c r="F5425" s="22">
        <v>0</v>
      </c>
      <c r="G5425" s="21">
        <f t="shared" si="252"/>
        <v>30.02</v>
      </c>
      <c r="H5425" s="22">
        <v>0</v>
      </c>
      <c r="I5425" s="23" t="str">
        <f t="shared" si="253"/>
        <v xml:space="preserve">COM VALOR</v>
      </c>
      <c r="J5425" s="19"/>
      <c r="L5425" s="21">
        <v>30.600000000000001</v>
      </c>
      <c r="M5425" s="22">
        <v>0.66000000000000003</v>
      </c>
      <c r="N5425" s="21">
        <v>30.02</v>
      </c>
      <c r="O5425" s="22">
        <v>0.67000000000000004</v>
      </c>
    </row>
    <row r="5426" ht="25.5">
      <c r="A5426" t="s">
        <v>5398</v>
      </c>
      <c r="B5426" s="19">
        <v>96808</v>
      </c>
      <c r="C5426" s="20" t="s">
        <v>5533</v>
      </c>
      <c r="D5426" s="19" t="s">
        <v>31</v>
      </c>
      <c r="E5426" s="21">
        <f t="shared" si="251"/>
        <v>16.899999999999999</v>
      </c>
      <c r="F5426" s="22">
        <v>0</v>
      </c>
      <c r="G5426" s="21">
        <f t="shared" si="252"/>
        <v>16.399999999999999</v>
      </c>
      <c r="H5426" s="22">
        <v>0</v>
      </c>
      <c r="I5426" s="23" t="str">
        <f t="shared" si="253"/>
        <v xml:space="preserve">COM VALOR</v>
      </c>
      <c r="J5426" s="19"/>
      <c r="L5426" s="21">
        <v>16.899999999999999</v>
      </c>
      <c r="M5426" s="22">
        <v>0.47999999999999998</v>
      </c>
      <c r="N5426" s="21">
        <v>16.399999999999999</v>
      </c>
      <c r="O5426" s="22">
        <v>0.48999999999999999</v>
      </c>
    </row>
    <row r="5427" ht="25.5">
      <c r="A5427" t="s">
        <v>5398</v>
      </c>
      <c r="B5427" s="19">
        <v>96811</v>
      </c>
      <c r="C5427" s="20" t="s">
        <v>5534</v>
      </c>
      <c r="D5427" s="19" t="s">
        <v>31</v>
      </c>
      <c r="E5427" s="21">
        <f t="shared" si="251"/>
        <v>21.41</v>
      </c>
      <c r="F5427" s="22">
        <v>0</v>
      </c>
      <c r="G5427" s="21">
        <f t="shared" si="252"/>
        <v>20.809999999999999</v>
      </c>
      <c r="H5427" s="22">
        <v>0</v>
      </c>
      <c r="I5427" s="23" t="str">
        <f t="shared" si="253"/>
        <v xml:space="preserve">COM VALOR</v>
      </c>
      <c r="J5427" s="19"/>
      <c r="L5427" s="21">
        <v>21.41</v>
      </c>
      <c r="M5427" s="22">
        <v>0.51000000000000001</v>
      </c>
      <c r="N5427" s="21">
        <v>20.809999999999999</v>
      </c>
      <c r="O5427" s="22">
        <v>0.53000000000000003</v>
      </c>
    </row>
    <row r="5428" ht="25.5">
      <c r="A5428" t="s">
        <v>5398</v>
      </c>
      <c r="B5428" s="19">
        <v>96815</v>
      </c>
      <c r="C5428" s="20" t="s">
        <v>5535</v>
      </c>
      <c r="D5428" s="19" t="s">
        <v>31</v>
      </c>
      <c r="E5428" s="21">
        <f t="shared" si="251"/>
        <v>33.530000000000001</v>
      </c>
      <c r="F5428" s="22">
        <v>0</v>
      </c>
      <c r="G5428" s="21">
        <f t="shared" si="252"/>
        <v>32.82</v>
      </c>
      <c r="H5428" s="22">
        <v>0</v>
      </c>
      <c r="I5428" s="23" t="str">
        <f t="shared" si="253"/>
        <v xml:space="preserve">COM VALOR</v>
      </c>
      <c r="J5428" s="19"/>
      <c r="L5428" s="21">
        <v>33.530000000000001</v>
      </c>
      <c r="M5428" s="22">
        <v>0.63</v>
      </c>
      <c r="N5428" s="21">
        <v>32.82</v>
      </c>
      <c r="O5428" s="22">
        <v>0.64000000000000001</v>
      </c>
    </row>
    <row r="5429" ht="25.5">
      <c r="A5429" t="s">
        <v>5398</v>
      </c>
      <c r="B5429" s="19">
        <v>96820</v>
      </c>
      <c r="C5429" s="20" t="s">
        <v>5536</v>
      </c>
      <c r="D5429" s="19" t="s">
        <v>31</v>
      </c>
      <c r="E5429" s="21">
        <f t="shared" si="251"/>
        <v>40.289999999999999</v>
      </c>
      <c r="F5429" s="22">
        <v>0</v>
      </c>
      <c r="G5429" s="21">
        <f t="shared" si="252"/>
        <v>39.420000000000002</v>
      </c>
      <c r="H5429" s="22">
        <v>0</v>
      </c>
      <c r="I5429" s="23" t="str">
        <f t="shared" si="253"/>
        <v xml:space="preserve">COM VALOR</v>
      </c>
      <c r="J5429" s="19"/>
      <c r="L5429" s="21">
        <v>40.289999999999999</v>
      </c>
      <c r="M5429" s="22">
        <v>0.62</v>
      </c>
      <c r="N5429" s="21">
        <v>39.420000000000002</v>
      </c>
      <c r="O5429" s="22">
        <v>0.63</v>
      </c>
    </row>
    <row r="5430" ht="25.5">
      <c r="A5430" t="s">
        <v>5537</v>
      </c>
      <c r="B5430" s="19">
        <v>96702</v>
      </c>
      <c r="C5430" s="20" t="s">
        <v>5538</v>
      </c>
      <c r="D5430" s="19" t="s">
        <v>31</v>
      </c>
      <c r="E5430" s="21">
        <f t="shared" si="251"/>
        <v>12.130000000000001</v>
      </c>
      <c r="F5430" s="22">
        <v>0</v>
      </c>
      <c r="G5430" s="21">
        <f t="shared" si="252"/>
        <v>11.77</v>
      </c>
      <c r="H5430" s="22">
        <v>0</v>
      </c>
      <c r="I5430" s="23" t="str">
        <f t="shared" si="253"/>
        <v xml:space="preserve">COM VALOR</v>
      </c>
      <c r="J5430" s="19"/>
      <c r="L5430" s="21">
        <v>12.130000000000001</v>
      </c>
      <c r="M5430" s="22">
        <v>0.46000000000000002</v>
      </c>
      <c r="N5430" s="21">
        <v>11.77</v>
      </c>
      <c r="O5430" s="22">
        <v>0.46999999999999997</v>
      </c>
    </row>
    <row r="5431" ht="25.5">
      <c r="A5431" t="s">
        <v>5537</v>
      </c>
      <c r="B5431" s="19">
        <v>96662</v>
      </c>
      <c r="C5431" s="20" t="s">
        <v>5539</v>
      </c>
      <c r="D5431" s="19" t="s">
        <v>31</v>
      </c>
      <c r="E5431" s="21">
        <f t="shared" si="251"/>
        <v>9.9100000000000001</v>
      </c>
      <c r="F5431" s="22">
        <v>0</v>
      </c>
      <c r="G5431" s="21">
        <f t="shared" si="252"/>
        <v>9.6600000000000001</v>
      </c>
      <c r="H5431" s="22">
        <v>0</v>
      </c>
      <c r="I5431" s="23" t="str">
        <f t="shared" si="253"/>
        <v xml:space="preserve">COM VALOR</v>
      </c>
      <c r="J5431" s="19"/>
      <c r="L5431" s="21">
        <v>9.9100000000000001</v>
      </c>
      <c r="M5431" s="22">
        <v>0.56000000000000005</v>
      </c>
      <c r="N5431" s="21">
        <v>9.6600000000000001</v>
      </c>
      <c r="O5431" s="22">
        <v>0.57999999999999996</v>
      </c>
    </row>
    <row r="5432" ht="25.5">
      <c r="A5432" t="s">
        <v>5537</v>
      </c>
      <c r="B5432" s="19">
        <v>96704</v>
      </c>
      <c r="C5432" s="20" t="s">
        <v>5540</v>
      </c>
      <c r="D5432" s="19" t="s">
        <v>31</v>
      </c>
      <c r="E5432" s="21">
        <f t="shared" si="251"/>
        <v>21.760000000000002</v>
      </c>
      <c r="F5432" s="22">
        <v>0</v>
      </c>
      <c r="G5432" s="21">
        <f t="shared" si="252"/>
        <v>21.350000000000001</v>
      </c>
      <c r="H5432" s="22">
        <v>0</v>
      </c>
      <c r="I5432" s="23" t="str">
        <f t="shared" si="253"/>
        <v xml:space="preserve">COM VALOR</v>
      </c>
      <c r="J5432" s="19"/>
      <c r="L5432" s="21">
        <v>21.760000000000002</v>
      </c>
      <c r="M5432" s="22">
        <v>0.66000000000000003</v>
      </c>
      <c r="N5432" s="21">
        <v>21.350000000000001</v>
      </c>
      <c r="O5432" s="22">
        <v>0.68000000000000005</v>
      </c>
    </row>
    <row r="5433" ht="25.5">
      <c r="A5433" t="s">
        <v>5537</v>
      </c>
      <c r="B5433" s="19">
        <v>96664</v>
      </c>
      <c r="C5433" s="20" t="s">
        <v>5541</v>
      </c>
      <c r="D5433" s="19" t="s">
        <v>31</v>
      </c>
      <c r="E5433" s="21">
        <f t="shared" si="251"/>
        <v>18.93</v>
      </c>
      <c r="F5433" s="22">
        <v>0</v>
      </c>
      <c r="G5433" s="21">
        <f t="shared" si="252"/>
        <v>18.670000000000002</v>
      </c>
      <c r="H5433" s="22">
        <v>0</v>
      </c>
      <c r="I5433" s="23" t="str">
        <f t="shared" si="253"/>
        <v xml:space="preserve">COM VALOR</v>
      </c>
      <c r="J5433" s="19"/>
      <c r="L5433" s="21">
        <v>18.93</v>
      </c>
      <c r="M5433" s="22">
        <v>0.76000000000000001</v>
      </c>
      <c r="N5433" s="21">
        <v>18.670000000000002</v>
      </c>
      <c r="O5433" s="22">
        <v>0.77000000000000002</v>
      </c>
    </row>
    <row r="5434" ht="25.5">
      <c r="A5434" t="s">
        <v>5537</v>
      </c>
      <c r="B5434" s="19">
        <v>104191</v>
      </c>
      <c r="C5434" s="20" t="s">
        <v>5542</v>
      </c>
      <c r="D5434" s="19" t="s">
        <v>31</v>
      </c>
      <c r="E5434" s="21">
        <f t="shared" si="251"/>
        <v>10.890000000000001</v>
      </c>
      <c r="F5434" s="22">
        <v>0</v>
      </c>
      <c r="G5434" s="21">
        <f t="shared" si="252"/>
        <v>10.539999999999999</v>
      </c>
      <c r="H5434" s="22">
        <v>0</v>
      </c>
      <c r="I5434" s="23" t="str">
        <f t="shared" si="253"/>
        <v xml:space="preserve">COM VALOR</v>
      </c>
      <c r="J5434" s="19"/>
      <c r="L5434" s="21">
        <v>10.890000000000001</v>
      </c>
      <c r="M5434" s="22">
        <v>0.41999999999999998</v>
      </c>
      <c r="N5434" s="21">
        <v>10.539999999999999</v>
      </c>
      <c r="O5434" s="22">
        <v>0.42999999999999999</v>
      </c>
    </row>
    <row r="5435" ht="25.5">
      <c r="A5435" t="s">
        <v>5537</v>
      </c>
      <c r="B5435" s="19">
        <v>96700</v>
      </c>
      <c r="C5435" s="20" t="s">
        <v>5543</v>
      </c>
      <c r="D5435" s="19" t="s">
        <v>31</v>
      </c>
      <c r="E5435" s="21">
        <f t="shared" si="251"/>
        <v>18.07</v>
      </c>
      <c r="F5435" s="22">
        <v>0</v>
      </c>
      <c r="G5435" s="21">
        <f t="shared" si="252"/>
        <v>17.73</v>
      </c>
      <c r="H5435" s="22">
        <v>0</v>
      </c>
      <c r="I5435" s="23" t="str">
        <f t="shared" si="253"/>
        <v xml:space="preserve">COM VALOR</v>
      </c>
      <c r="J5435" s="19"/>
      <c r="L5435" s="21">
        <v>18.07</v>
      </c>
      <c r="M5435" s="22">
        <v>0.67000000000000004</v>
      </c>
      <c r="N5435" s="21">
        <v>17.73</v>
      </c>
      <c r="O5435" s="22">
        <v>0.68999999999999995</v>
      </c>
    </row>
    <row r="5436" ht="25.5">
      <c r="A5436" t="s">
        <v>5537</v>
      </c>
      <c r="B5436" s="19">
        <v>96658</v>
      </c>
      <c r="C5436" s="20" t="s">
        <v>5544</v>
      </c>
      <c r="D5436" s="19" t="s">
        <v>31</v>
      </c>
      <c r="E5436" s="21">
        <f t="shared" si="251"/>
        <v>16.390000000000001</v>
      </c>
      <c r="F5436" s="22">
        <v>0</v>
      </c>
      <c r="G5436" s="21">
        <f t="shared" si="252"/>
        <v>16.140000000000001</v>
      </c>
      <c r="H5436" s="22">
        <v>0</v>
      </c>
      <c r="I5436" s="23" t="str">
        <f t="shared" si="253"/>
        <v xml:space="preserve">COM VALOR</v>
      </c>
      <c r="J5436" s="19"/>
      <c r="L5436" s="21">
        <v>16.390000000000001</v>
      </c>
      <c r="M5436" s="22">
        <v>0.73999999999999999</v>
      </c>
      <c r="N5436" s="21">
        <v>16.140000000000001</v>
      </c>
      <c r="O5436" s="22">
        <v>0.75</v>
      </c>
    </row>
    <row r="5437" ht="25.5">
      <c r="A5437" t="s">
        <v>5537</v>
      </c>
      <c r="B5437" s="19">
        <v>96641</v>
      </c>
      <c r="C5437" s="20" t="s">
        <v>5545</v>
      </c>
      <c r="D5437" s="19" t="s">
        <v>31</v>
      </c>
      <c r="E5437" s="21">
        <f t="shared" si="251"/>
        <v>18.469999999999999</v>
      </c>
      <c r="F5437" s="22">
        <v>0</v>
      </c>
      <c r="G5437" s="21">
        <f t="shared" si="252"/>
        <v>18.120000000000001</v>
      </c>
      <c r="H5437" s="22">
        <v>0</v>
      </c>
      <c r="I5437" s="23" t="str">
        <f t="shared" si="253"/>
        <v xml:space="preserve">COM VALOR</v>
      </c>
      <c r="J5437" s="19"/>
      <c r="L5437" s="21">
        <v>18.469999999999999</v>
      </c>
      <c r="M5437" s="22">
        <v>0.66000000000000003</v>
      </c>
      <c r="N5437" s="21">
        <v>18.120000000000001</v>
      </c>
      <c r="O5437" s="22">
        <v>0.67000000000000004</v>
      </c>
    </row>
    <row r="5438" ht="25.5">
      <c r="A5438" t="s">
        <v>5537</v>
      </c>
      <c r="B5438" s="19">
        <v>96661</v>
      </c>
      <c r="C5438" s="20" t="s">
        <v>5546</v>
      </c>
      <c r="D5438" s="19" t="s">
        <v>31</v>
      </c>
      <c r="E5438" s="21">
        <f t="shared" si="251"/>
        <v>35.079999999999998</v>
      </c>
      <c r="F5438" s="22">
        <v>0</v>
      </c>
      <c r="G5438" s="21">
        <f t="shared" si="252"/>
        <v>34.829999999999998</v>
      </c>
      <c r="H5438" s="22">
        <v>0</v>
      </c>
      <c r="I5438" s="23" t="str">
        <f t="shared" si="253"/>
        <v xml:space="preserve">COM VALOR</v>
      </c>
      <c r="J5438" s="19"/>
      <c r="L5438" s="21">
        <v>35.079999999999998</v>
      </c>
      <c r="M5438" s="22">
        <v>0.88</v>
      </c>
      <c r="N5438" s="21">
        <v>34.829999999999998</v>
      </c>
      <c r="O5438" s="22">
        <v>0.88</v>
      </c>
    </row>
    <row r="5439" ht="25.5">
      <c r="A5439" t="s">
        <v>5537</v>
      </c>
      <c r="B5439" s="19">
        <v>96699</v>
      </c>
      <c r="C5439" s="20" t="s">
        <v>5547</v>
      </c>
      <c r="D5439" s="19" t="s">
        <v>31</v>
      </c>
      <c r="E5439" s="21">
        <f t="shared" si="251"/>
        <v>27.640000000000001</v>
      </c>
      <c r="F5439" s="22">
        <v>0</v>
      </c>
      <c r="G5439" s="21">
        <f t="shared" si="252"/>
        <v>27.300000000000001</v>
      </c>
      <c r="H5439" s="22">
        <v>0</v>
      </c>
      <c r="I5439" s="23" t="str">
        <f t="shared" si="253"/>
        <v xml:space="preserve">COM VALOR</v>
      </c>
      <c r="J5439" s="19"/>
      <c r="L5439" s="21">
        <v>27.640000000000001</v>
      </c>
      <c r="M5439" s="22">
        <v>0.79000000000000004</v>
      </c>
      <c r="N5439" s="21">
        <v>27.300000000000001</v>
      </c>
      <c r="O5439" s="22">
        <v>0.80000000000000004</v>
      </c>
    </row>
    <row r="5440" ht="25.5">
      <c r="A5440" t="s">
        <v>5537</v>
      </c>
      <c r="B5440" s="19">
        <v>96657</v>
      </c>
      <c r="C5440" s="20" t="s">
        <v>5548</v>
      </c>
      <c r="D5440" s="19" t="s">
        <v>31</v>
      </c>
      <c r="E5440" s="21">
        <f t="shared" si="251"/>
        <v>25.960000000000001</v>
      </c>
      <c r="F5440" s="22">
        <v>0</v>
      </c>
      <c r="G5440" s="21">
        <f t="shared" si="252"/>
        <v>25.710000000000001</v>
      </c>
      <c r="H5440" s="22">
        <v>0</v>
      </c>
      <c r="I5440" s="23" t="str">
        <f t="shared" si="253"/>
        <v xml:space="preserve">COM VALOR</v>
      </c>
      <c r="J5440" s="19"/>
      <c r="L5440" s="21">
        <v>25.960000000000001</v>
      </c>
      <c r="M5440" s="22">
        <v>0.83999999999999997</v>
      </c>
      <c r="N5440" s="21">
        <v>25.710000000000001</v>
      </c>
      <c r="O5440" s="22">
        <v>0.83999999999999997</v>
      </c>
    </row>
    <row r="5441" ht="25.5">
      <c r="A5441" t="s">
        <v>5537</v>
      </c>
      <c r="B5441" s="19">
        <v>96640</v>
      </c>
      <c r="C5441" s="20" t="s">
        <v>5549</v>
      </c>
      <c r="D5441" s="19" t="s">
        <v>31</v>
      </c>
      <c r="E5441" s="21">
        <f t="shared" si="251"/>
        <v>28.039999999999999</v>
      </c>
      <c r="F5441" s="22">
        <v>0</v>
      </c>
      <c r="G5441" s="21">
        <f t="shared" si="252"/>
        <v>27.690000000000001</v>
      </c>
      <c r="H5441" s="22">
        <v>0</v>
      </c>
      <c r="I5441" s="23" t="str">
        <f t="shared" si="253"/>
        <v xml:space="preserve">COM VALOR</v>
      </c>
      <c r="J5441" s="19"/>
      <c r="L5441" s="21">
        <v>28.039999999999999</v>
      </c>
      <c r="M5441" s="22">
        <v>0.77000000000000002</v>
      </c>
      <c r="N5441" s="21">
        <v>27.690000000000001</v>
      </c>
      <c r="O5441" s="22">
        <v>0.78000000000000003</v>
      </c>
    </row>
    <row r="5442" ht="25.5">
      <c r="A5442" t="s">
        <v>5537</v>
      </c>
      <c r="B5442" s="19">
        <v>96660</v>
      </c>
      <c r="C5442" s="20" t="s">
        <v>5550</v>
      </c>
      <c r="D5442" s="19" t="s">
        <v>31</v>
      </c>
      <c r="E5442" s="21">
        <f t="shared" si="251"/>
        <v>35.420000000000002</v>
      </c>
      <c r="F5442" s="22">
        <v>0</v>
      </c>
      <c r="G5442" s="21">
        <f t="shared" si="252"/>
        <v>35.170000000000002</v>
      </c>
      <c r="H5442" s="22">
        <v>0</v>
      </c>
      <c r="I5442" s="23" t="str">
        <f t="shared" si="253"/>
        <v xml:space="preserve">COM VALOR</v>
      </c>
      <c r="J5442" s="19"/>
      <c r="L5442" s="21">
        <v>35.420000000000002</v>
      </c>
      <c r="M5442" s="22">
        <v>0.88</v>
      </c>
      <c r="N5442" s="21">
        <v>35.170000000000002</v>
      </c>
      <c r="O5442" s="22">
        <v>0.88</v>
      </c>
    </row>
    <row r="5443" ht="25.5">
      <c r="A5443" t="s">
        <v>5537</v>
      </c>
      <c r="B5443" s="19">
        <v>104196</v>
      </c>
      <c r="C5443" s="20" t="s">
        <v>5551</v>
      </c>
      <c r="D5443" s="19" t="s">
        <v>31</v>
      </c>
      <c r="E5443" s="21">
        <f t="shared" si="251"/>
        <v>17.149999999999999</v>
      </c>
      <c r="F5443" s="22">
        <v>0</v>
      </c>
      <c r="G5443" s="21">
        <f t="shared" si="252"/>
        <v>16.829999999999998</v>
      </c>
      <c r="H5443" s="22">
        <v>0</v>
      </c>
      <c r="I5443" s="23" t="str">
        <f t="shared" si="253"/>
        <v xml:space="preserve">COM VALOR</v>
      </c>
      <c r="J5443" s="19"/>
      <c r="L5443" s="21">
        <v>17.149999999999999</v>
      </c>
      <c r="M5443" s="22">
        <v>0.67000000000000004</v>
      </c>
      <c r="N5443" s="21">
        <v>16.829999999999998</v>
      </c>
      <c r="O5443" s="22">
        <v>0.68999999999999995</v>
      </c>
    </row>
    <row r="5444" ht="25.5">
      <c r="A5444" t="s">
        <v>5537</v>
      </c>
      <c r="B5444" s="19">
        <v>104197</v>
      </c>
      <c r="C5444" s="20" t="s">
        <v>5552</v>
      </c>
      <c r="D5444" s="19" t="s">
        <v>31</v>
      </c>
      <c r="E5444" s="21">
        <f t="shared" si="251"/>
        <v>31.920000000000002</v>
      </c>
      <c r="F5444" s="22">
        <v>0</v>
      </c>
      <c r="G5444" s="21">
        <f t="shared" si="252"/>
        <v>31.170000000000002</v>
      </c>
      <c r="H5444" s="22">
        <v>0</v>
      </c>
      <c r="I5444" s="23" t="str">
        <f t="shared" si="253"/>
        <v xml:space="preserve">COM VALOR</v>
      </c>
      <c r="J5444" s="19"/>
      <c r="L5444" s="21">
        <v>31.920000000000002</v>
      </c>
      <c r="M5444" s="22">
        <v>0.57999999999999996</v>
      </c>
      <c r="N5444" s="21">
        <v>31.170000000000002</v>
      </c>
      <c r="O5444" s="22">
        <v>0.59999999999999998</v>
      </c>
    </row>
    <row r="5445" ht="25.5">
      <c r="A5445" t="s">
        <v>5537</v>
      </c>
      <c r="B5445" s="19">
        <v>104198</v>
      </c>
      <c r="C5445" s="20" t="s">
        <v>5553</v>
      </c>
      <c r="D5445" s="19" t="s">
        <v>31</v>
      </c>
      <c r="E5445" s="21">
        <f t="shared" si="251"/>
        <v>8</v>
      </c>
      <c r="F5445" s="22">
        <v>0</v>
      </c>
      <c r="G5445" s="21">
        <f t="shared" si="252"/>
        <v>7.6799999999999997</v>
      </c>
      <c r="H5445" s="22">
        <v>0</v>
      </c>
      <c r="I5445" s="23" t="str">
        <f t="shared" si="253"/>
        <v xml:space="preserve">COM VALOR</v>
      </c>
      <c r="J5445" s="19"/>
      <c r="L5445" s="21">
        <v>8</v>
      </c>
      <c r="M5445" s="22">
        <v>0.29999999999999999</v>
      </c>
      <c r="N5445" s="21">
        <v>7.6799999999999997</v>
      </c>
      <c r="O5445" s="22">
        <v>0.31</v>
      </c>
    </row>
    <row r="5446" ht="25.5">
      <c r="A5446" t="s">
        <v>5537</v>
      </c>
      <c r="B5446" s="19">
        <v>96685</v>
      </c>
      <c r="C5446" s="20" t="s">
        <v>5554</v>
      </c>
      <c r="D5446" s="19" t="s">
        <v>31</v>
      </c>
      <c r="E5446" s="21">
        <f t="shared" si="251"/>
        <v>12.19</v>
      </c>
      <c r="F5446" s="22">
        <v>0</v>
      </c>
      <c r="G5446" s="21">
        <f t="shared" si="252"/>
        <v>11.69</v>
      </c>
      <c r="H5446" s="22">
        <v>0</v>
      </c>
      <c r="I5446" s="23" t="str">
        <f t="shared" si="253"/>
        <v xml:space="preserve">COM VALOR</v>
      </c>
      <c r="J5446" s="19"/>
      <c r="L5446" s="21">
        <v>12.19</v>
      </c>
      <c r="M5446" s="22">
        <v>0.27000000000000002</v>
      </c>
      <c r="N5446" s="21">
        <v>11.69</v>
      </c>
      <c r="O5446" s="22">
        <v>0.28000000000000003</v>
      </c>
    </row>
    <row r="5447" ht="38.25">
      <c r="A5447" t="s">
        <v>5537</v>
      </c>
      <c r="B5447" s="19">
        <v>96651</v>
      </c>
      <c r="C5447" s="20" t="s">
        <v>5555</v>
      </c>
      <c r="D5447" s="19" t="s">
        <v>31</v>
      </c>
      <c r="E5447" s="21">
        <f t="shared" si="251"/>
        <v>9.6600000000000001</v>
      </c>
      <c r="F5447" s="22">
        <v>0</v>
      </c>
      <c r="G5447" s="21">
        <f t="shared" si="252"/>
        <v>9.3000000000000007</v>
      </c>
      <c r="H5447" s="22">
        <v>0</v>
      </c>
      <c r="I5447" s="23" t="str">
        <f t="shared" si="253"/>
        <v xml:space="preserve">COM VALOR</v>
      </c>
      <c r="J5447" s="19"/>
      <c r="L5447" s="21">
        <v>9.6600000000000001</v>
      </c>
      <c r="M5447" s="22">
        <v>0.34000000000000002</v>
      </c>
      <c r="N5447" s="21">
        <v>9.3000000000000007</v>
      </c>
      <c r="O5447" s="22">
        <v>0.34999999999999998</v>
      </c>
    </row>
    <row r="5448" ht="38.25">
      <c r="A5448" t="s">
        <v>5537</v>
      </c>
      <c r="B5448" s="19">
        <v>96638</v>
      </c>
      <c r="C5448" s="20" t="s">
        <v>5556</v>
      </c>
      <c r="D5448" s="19" t="s">
        <v>31</v>
      </c>
      <c r="E5448" s="21">
        <f t="shared" si="251"/>
        <v>16.66</v>
      </c>
      <c r="F5448" s="22">
        <v>0</v>
      </c>
      <c r="G5448" s="21">
        <f t="shared" si="252"/>
        <v>15.91</v>
      </c>
      <c r="H5448" s="22">
        <v>0</v>
      </c>
      <c r="I5448" s="23" t="str">
        <f t="shared" si="253"/>
        <v xml:space="preserve">COM VALOR</v>
      </c>
      <c r="J5448" s="19"/>
      <c r="L5448" s="21">
        <v>16.66</v>
      </c>
      <c r="M5448" s="22">
        <v>0.19750000000000001</v>
      </c>
      <c r="N5448" s="21">
        <v>15.91</v>
      </c>
      <c r="O5448" s="22">
        <v>0.20999999999999999</v>
      </c>
    </row>
    <row r="5449" ht="25.5">
      <c r="A5449" t="s">
        <v>5537</v>
      </c>
      <c r="B5449" s="19">
        <v>96687</v>
      </c>
      <c r="C5449" s="20" t="s">
        <v>5557</v>
      </c>
      <c r="D5449" s="19" t="s">
        <v>31</v>
      </c>
      <c r="E5449" s="21">
        <f t="shared" si="251"/>
        <v>18.91</v>
      </c>
      <c r="F5449" s="22">
        <v>0</v>
      </c>
      <c r="G5449" s="21">
        <f t="shared" si="252"/>
        <v>18.300000000000001</v>
      </c>
      <c r="H5449" s="22">
        <v>0</v>
      </c>
      <c r="I5449" s="23" t="str">
        <f t="shared" si="253"/>
        <v xml:space="preserve">COM VALOR</v>
      </c>
      <c r="J5449" s="19"/>
      <c r="L5449" s="21">
        <v>18.91</v>
      </c>
      <c r="M5449" s="22">
        <v>0.42999999999999999</v>
      </c>
      <c r="N5449" s="21">
        <v>18.300000000000001</v>
      </c>
      <c r="O5449" s="22">
        <v>0.44</v>
      </c>
    </row>
    <row r="5450" ht="38.25">
      <c r="A5450" t="s">
        <v>5537</v>
      </c>
      <c r="B5450" s="19">
        <v>96653</v>
      </c>
      <c r="C5450" s="20" t="s">
        <v>5558</v>
      </c>
      <c r="D5450" s="19" t="s">
        <v>31</v>
      </c>
      <c r="E5450" s="21">
        <f t="shared" si="251"/>
        <v>14.77</v>
      </c>
      <c r="F5450" s="22">
        <v>0</v>
      </c>
      <c r="G5450" s="21">
        <f t="shared" si="252"/>
        <v>14.390000000000001</v>
      </c>
      <c r="H5450" s="22">
        <v>0</v>
      </c>
      <c r="I5450" s="23" t="str">
        <f t="shared" si="253"/>
        <v xml:space="preserve">COM VALOR</v>
      </c>
      <c r="J5450" s="19"/>
      <c r="L5450" s="21">
        <v>14.77</v>
      </c>
      <c r="M5450" s="22">
        <v>0.55000000000000004</v>
      </c>
      <c r="N5450" s="21">
        <v>14.390000000000001</v>
      </c>
      <c r="O5450" s="22">
        <v>0.56000000000000005</v>
      </c>
    </row>
    <row r="5451" ht="25.5">
      <c r="A5451" t="s">
        <v>5537</v>
      </c>
      <c r="B5451" s="19">
        <v>96689</v>
      </c>
      <c r="C5451" s="20" t="s">
        <v>5559</v>
      </c>
      <c r="D5451" s="19" t="s">
        <v>31</v>
      </c>
      <c r="E5451" s="21">
        <f t="shared" ref="E5451:E5514" si="254">IF(L5451=0,"VERIFICAR",L5451)</f>
        <v>28.899999999999999</v>
      </c>
      <c r="F5451" s="22">
        <v>0</v>
      </c>
      <c r="G5451" s="21">
        <f t="shared" ref="G5451:G5514" si="255">IF(N5451=0,"VERIFICAR",N5451)</f>
        <v>28.170000000000002</v>
      </c>
      <c r="H5451" s="22">
        <v>0</v>
      </c>
      <c r="I5451" s="23" t="str">
        <f t="shared" ref="I5451:I5514" si="256">IF(OR(E5451=0,G5451=0),"SEM VALOR","COM VALOR")</f>
        <v xml:space="preserve">COM VALOR</v>
      </c>
      <c r="J5451" s="19"/>
      <c r="L5451" s="21">
        <v>28.899999999999999</v>
      </c>
      <c r="M5451" s="22">
        <v>0.55000000000000004</v>
      </c>
      <c r="N5451" s="21">
        <v>28.170000000000002</v>
      </c>
      <c r="O5451" s="22">
        <v>0.56000000000000005</v>
      </c>
    </row>
    <row r="5452" ht="38.25">
      <c r="A5452" t="s">
        <v>5537</v>
      </c>
      <c r="B5452" s="19">
        <v>96655</v>
      </c>
      <c r="C5452" s="20" t="s">
        <v>5560</v>
      </c>
      <c r="D5452" s="19" t="s">
        <v>31</v>
      </c>
      <c r="E5452" s="21">
        <f t="shared" si="254"/>
        <v>22.91</v>
      </c>
      <c r="F5452" s="22">
        <v>0</v>
      </c>
      <c r="G5452" s="21">
        <f t="shared" si="255"/>
        <v>22.510000000000002</v>
      </c>
      <c r="H5452" s="22">
        <v>0</v>
      </c>
      <c r="I5452" s="23" t="str">
        <f t="shared" si="256"/>
        <v xml:space="preserve">COM VALOR</v>
      </c>
      <c r="J5452" s="19"/>
      <c r="L5452" s="21">
        <v>22.91</v>
      </c>
      <c r="M5452" s="22">
        <v>0.68999999999999995</v>
      </c>
      <c r="N5452" s="21">
        <v>22.510000000000002</v>
      </c>
      <c r="O5452" s="22">
        <v>0.69999999999999996</v>
      </c>
    </row>
    <row r="5453" ht="25.5">
      <c r="A5453" t="s">
        <v>5537</v>
      </c>
      <c r="B5453" s="19">
        <v>96691</v>
      </c>
      <c r="C5453" s="20" t="s">
        <v>5561</v>
      </c>
      <c r="D5453" s="19" t="s">
        <v>31</v>
      </c>
      <c r="E5453" s="21">
        <f t="shared" si="254"/>
        <v>41.659999999999997</v>
      </c>
      <c r="F5453" s="22">
        <v>0</v>
      </c>
      <c r="G5453" s="21">
        <f t="shared" si="255"/>
        <v>40.770000000000003</v>
      </c>
      <c r="H5453" s="22">
        <v>0</v>
      </c>
      <c r="I5453" s="23" t="str">
        <f t="shared" si="256"/>
        <v xml:space="preserve">COM VALOR</v>
      </c>
      <c r="J5453" s="19"/>
      <c r="L5453" s="21">
        <v>41.659999999999997</v>
      </c>
      <c r="M5453" s="22">
        <v>0.62</v>
      </c>
      <c r="N5453" s="21">
        <v>40.770000000000003</v>
      </c>
      <c r="O5453" s="22">
        <v>0.63</v>
      </c>
    </row>
    <row r="5454" ht="25.5">
      <c r="A5454" t="s">
        <v>5537</v>
      </c>
      <c r="B5454" s="19">
        <v>96693</v>
      </c>
      <c r="C5454" s="20" t="s">
        <v>5562</v>
      </c>
      <c r="D5454" s="19" t="s">
        <v>31</v>
      </c>
      <c r="E5454" s="21">
        <f t="shared" si="254"/>
        <v>62.890000000000001</v>
      </c>
      <c r="F5454" s="22">
        <v>0</v>
      </c>
      <c r="G5454" s="21">
        <f t="shared" si="255"/>
        <v>61.789999999999999</v>
      </c>
      <c r="H5454" s="22">
        <v>0</v>
      </c>
      <c r="I5454" s="23" t="str">
        <f t="shared" si="256"/>
        <v xml:space="preserve">COM VALOR</v>
      </c>
      <c r="J5454" s="19"/>
      <c r="L5454" s="21">
        <v>62.890000000000001</v>
      </c>
      <c r="M5454" s="22">
        <v>0.68999999999999995</v>
      </c>
      <c r="N5454" s="21">
        <v>61.789999999999999</v>
      </c>
      <c r="O5454" s="22">
        <v>0.69999999999999996</v>
      </c>
    </row>
    <row r="5455" ht="25.5">
      <c r="A5455" t="s">
        <v>5537</v>
      </c>
      <c r="B5455" s="19">
        <v>96695</v>
      </c>
      <c r="C5455" s="20" t="s">
        <v>5563</v>
      </c>
      <c r="D5455" s="19" t="s">
        <v>31</v>
      </c>
      <c r="E5455" s="21">
        <f t="shared" si="254"/>
        <v>109.65000000000001</v>
      </c>
      <c r="F5455" s="22">
        <v>0</v>
      </c>
      <c r="G5455" s="21">
        <f t="shared" si="255"/>
        <v>108.37</v>
      </c>
      <c r="H5455" s="22">
        <v>0</v>
      </c>
      <c r="I5455" s="23" t="str">
        <f t="shared" si="256"/>
        <v xml:space="preserve">COM VALOR</v>
      </c>
      <c r="J5455" s="19"/>
      <c r="L5455" s="21">
        <v>109.65000000000001</v>
      </c>
      <c r="M5455" s="22">
        <v>0.79000000000000004</v>
      </c>
      <c r="N5455" s="21">
        <v>108.37</v>
      </c>
      <c r="O5455" s="22">
        <v>0.80000000000000004</v>
      </c>
    </row>
    <row r="5456" ht="25.5">
      <c r="A5456" t="s">
        <v>5537</v>
      </c>
      <c r="B5456" s="19">
        <v>104193</v>
      </c>
      <c r="C5456" s="20" t="s">
        <v>5564</v>
      </c>
      <c r="D5456" s="19" t="s">
        <v>31</v>
      </c>
      <c r="E5456" s="21">
        <f t="shared" si="254"/>
        <v>183.18000000000001</v>
      </c>
      <c r="F5456" s="22">
        <v>0</v>
      </c>
      <c r="G5456" s="21">
        <f t="shared" si="255"/>
        <v>181.65000000000001</v>
      </c>
      <c r="H5456" s="22">
        <v>0</v>
      </c>
      <c r="I5456" s="23" t="str">
        <f t="shared" si="256"/>
        <v xml:space="preserve">COM VALOR</v>
      </c>
      <c r="J5456" s="19"/>
      <c r="L5456" s="21">
        <v>183.18000000000001</v>
      </c>
      <c r="M5456" s="22">
        <v>0.84999999999999998</v>
      </c>
      <c r="N5456" s="21">
        <v>181.65000000000001</v>
      </c>
      <c r="O5456" s="22">
        <v>0.85999999999999999</v>
      </c>
    </row>
    <row r="5457" ht="25.5">
      <c r="A5457" t="s">
        <v>5537</v>
      </c>
      <c r="B5457" s="19">
        <v>96697</v>
      </c>
      <c r="C5457" s="20" t="s">
        <v>5565</v>
      </c>
      <c r="D5457" s="19" t="s">
        <v>31</v>
      </c>
      <c r="E5457" s="21">
        <f t="shared" si="254"/>
        <v>372.81</v>
      </c>
      <c r="F5457" s="22">
        <v>0</v>
      </c>
      <c r="G5457" s="21">
        <f t="shared" si="255"/>
        <v>370.98000000000002</v>
      </c>
      <c r="H5457" s="22">
        <v>0</v>
      </c>
      <c r="I5457" s="23" t="str">
        <f t="shared" si="256"/>
        <v xml:space="preserve">COM VALOR</v>
      </c>
      <c r="J5457" s="19"/>
      <c r="L5457" s="21">
        <v>372.81</v>
      </c>
      <c r="M5457" s="22">
        <v>0.91000000000000003</v>
      </c>
      <c r="N5457" s="21">
        <v>370.98000000000002</v>
      </c>
      <c r="O5457" s="22">
        <v>0.92000000000000004</v>
      </c>
    </row>
    <row r="5458" ht="25.5">
      <c r="A5458" t="s">
        <v>5537</v>
      </c>
      <c r="B5458" s="19">
        <v>104199</v>
      </c>
      <c r="C5458" s="20" t="s">
        <v>5566</v>
      </c>
      <c r="D5458" s="19" t="s">
        <v>31</v>
      </c>
      <c r="E5458" s="21">
        <f t="shared" si="254"/>
        <v>7.7300000000000004</v>
      </c>
      <c r="F5458" s="22">
        <v>0</v>
      </c>
      <c r="G5458" s="21">
        <f t="shared" si="255"/>
        <v>7.4100000000000001</v>
      </c>
      <c r="H5458" s="22">
        <v>0</v>
      </c>
      <c r="I5458" s="23" t="str">
        <f t="shared" si="256"/>
        <v xml:space="preserve">COM VALOR</v>
      </c>
      <c r="J5458" s="19"/>
      <c r="L5458" s="21">
        <v>7.7300000000000004</v>
      </c>
      <c r="M5458" s="22">
        <v>0.27000000000000002</v>
      </c>
      <c r="N5458" s="21">
        <v>7.4100000000000001</v>
      </c>
      <c r="O5458" s="22">
        <v>0.28999999999999998</v>
      </c>
    </row>
    <row r="5459" ht="25.5">
      <c r="A5459" t="s">
        <v>5537</v>
      </c>
      <c r="B5459" s="19">
        <v>96684</v>
      </c>
      <c r="C5459" s="20" t="s">
        <v>5567</v>
      </c>
      <c r="D5459" s="19" t="s">
        <v>31</v>
      </c>
      <c r="E5459" s="21">
        <f t="shared" si="254"/>
        <v>11.75</v>
      </c>
      <c r="F5459" s="22">
        <v>0</v>
      </c>
      <c r="G5459" s="21">
        <f t="shared" si="255"/>
        <v>11.25</v>
      </c>
      <c r="H5459" s="22">
        <v>0</v>
      </c>
      <c r="I5459" s="23" t="str">
        <f t="shared" si="256"/>
        <v xml:space="preserve">COM VALOR</v>
      </c>
      <c r="J5459" s="19"/>
      <c r="L5459" s="21">
        <v>11.75</v>
      </c>
      <c r="M5459" s="22">
        <v>0.23999999999999999</v>
      </c>
      <c r="N5459" s="21">
        <v>11.25</v>
      </c>
      <c r="O5459" s="22">
        <v>0.25</v>
      </c>
    </row>
    <row r="5460" ht="25.5">
      <c r="A5460" t="s">
        <v>5537</v>
      </c>
      <c r="B5460" s="19">
        <v>96650</v>
      </c>
      <c r="C5460" s="20" t="s">
        <v>5568</v>
      </c>
      <c r="D5460" s="19" t="s">
        <v>31</v>
      </c>
      <c r="E5460" s="21">
        <f t="shared" si="254"/>
        <v>9.2200000000000006</v>
      </c>
      <c r="F5460" s="22">
        <v>0</v>
      </c>
      <c r="G5460" s="21">
        <f t="shared" si="255"/>
        <v>8.8599999999999994</v>
      </c>
      <c r="H5460" s="22">
        <v>0</v>
      </c>
      <c r="I5460" s="23" t="str">
        <f t="shared" si="256"/>
        <v xml:space="preserve">COM VALOR</v>
      </c>
      <c r="J5460" s="19"/>
      <c r="L5460" s="21">
        <v>9.2200000000000006</v>
      </c>
      <c r="M5460" s="22">
        <v>0.31</v>
      </c>
      <c r="N5460" s="21">
        <v>8.8599999999999994</v>
      </c>
      <c r="O5460" s="22">
        <v>0.32000000000000001</v>
      </c>
    </row>
    <row r="5461" ht="38.25">
      <c r="A5461" t="s">
        <v>5537</v>
      </c>
      <c r="B5461" s="19">
        <v>96637</v>
      </c>
      <c r="C5461" s="20" t="s">
        <v>5569</v>
      </c>
      <c r="D5461" s="19" t="s">
        <v>31</v>
      </c>
      <c r="E5461" s="21">
        <f t="shared" si="254"/>
        <v>16.219999999999999</v>
      </c>
      <c r="F5461" s="22">
        <v>0</v>
      </c>
      <c r="G5461" s="21">
        <f t="shared" si="255"/>
        <v>15.470000000000001</v>
      </c>
      <c r="H5461" s="22">
        <v>0</v>
      </c>
      <c r="I5461" s="23" t="str">
        <f t="shared" si="256"/>
        <v xml:space="preserve">COM VALOR</v>
      </c>
      <c r="J5461" s="19"/>
      <c r="L5461" s="21">
        <v>16.219999999999999</v>
      </c>
      <c r="M5461" s="22">
        <v>0.17999999999999999</v>
      </c>
      <c r="N5461" s="21">
        <v>15.470000000000001</v>
      </c>
      <c r="O5461" s="22">
        <v>0.17999999999999999</v>
      </c>
    </row>
    <row r="5462" ht="25.5">
      <c r="A5462" t="s">
        <v>5537</v>
      </c>
      <c r="B5462" s="19">
        <v>96686</v>
      </c>
      <c r="C5462" s="20" t="s">
        <v>5570</v>
      </c>
      <c r="D5462" s="19" t="s">
        <v>31</v>
      </c>
      <c r="E5462" s="21">
        <f t="shared" si="254"/>
        <v>15.19</v>
      </c>
      <c r="F5462" s="22">
        <v>0</v>
      </c>
      <c r="G5462" s="21">
        <f t="shared" si="255"/>
        <v>14.58</v>
      </c>
      <c r="H5462" s="22">
        <v>0</v>
      </c>
      <c r="I5462" s="23" t="str">
        <f t="shared" si="256"/>
        <v xml:space="preserve">COM VALOR</v>
      </c>
      <c r="J5462" s="19"/>
      <c r="L5462" s="21">
        <v>15.19</v>
      </c>
      <c r="M5462" s="22">
        <v>0.28999999999999998</v>
      </c>
      <c r="N5462" s="21">
        <v>14.58</v>
      </c>
      <c r="O5462" s="22">
        <v>0.29999999999999999</v>
      </c>
    </row>
    <row r="5463" ht="25.5">
      <c r="A5463" t="s">
        <v>5537</v>
      </c>
      <c r="B5463" s="19">
        <v>96652</v>
      </c>
      <c r="C5463" s="20" t="s">
        <v>5571</v>
      </c>
      <c r="D5463" s="19" t="s">
        <v>31</v>
      </c>
      <c r="E5463" s="21">
        <f t="shared" si="254"/>
        <v>11.050000000000001</v>
      </c>
      <c r="F5463" s="22">
        <v>0</v>
      </c>
      <c r="G5463" s="21">
        <f t="shared" si="255"/>
        <v>10.67</v>
      </c>
      <c r="H5463" s="22">
        <v>0</v>
      </c>
      <c r="I5463" s="23" t="str">
        <f t="shared" si="256"/>
        <v xml:space="preserve">COM VALOR</v>
      </c>
      <c r="J5463" s="19"/>
      <c r="L5463" s="21">
        <v>11.050000000000001</v>
      </c>
      <c r="M5463" s="22">
        <v>0.39000000000000001</v>
      </c>
      <c r="N5463" s="21">
        <v>10.67</v>
      </c>
      <c r="O5463" s="22">
        <v>0.40999999999999998</v>
      </c>
    </row>
    <row r="5464" ht="25.5">
      <c r="A5464" t="s">
        <v>5537</v>
      </c>
      <c r="B5464" s="19">
        <v>96688</v>
      </c>
      <c r="C5464" s="20" t="s">
        <v>5572</v>
      </c>
      <c r="D5464" s="19" t="s">
        <v>31</v>
      </c>
      <c r="E5464" s="21">
        <f t="shared" si="254"/>
        <v>22.850000000000001</v>
      </c>
      <c r="F5464" s="22">
        <v>0</v>
      </c>
      <c r="G5464" s="21">
        <f t="shared" si="255"/>
        <v>22.120000000000001</v>
      </c>
      <c r="H5464" s="22">
        <v>0</v>
      </c>
      <c r="I5464" s="23" t="str">
        <f t="shared" si="256"/>
        <v xml:space="preserve">COM VALOR</v>
      </c>
      <c r="J5464" s="19"/>
      <c r="L5464" s="21">
        <v>22.850000000000001</v>
      </c>
      <c r="M5464" s="22">
        <v>0.42999999999999999</v>
      </c>
      <c r="N5464" s="21">
        <v>22.120000000000001</v>
      </c>
      <c r="O5464" s="22">
        <v>0.44</v>
      </c>
    </row>
    <row r="5465" ht="25.5">
      <c r="A5465" t="s">
        <v>5537</v>
      </c>
      <c r="B5465" s="19">
        <v>96654</v>
      </c>
      <c r="C5465" s="20" t="s">
        <v>5573</v>
      </c>
      <c r="D5465" s="19" t="s">
        <v>31</v>
      </c>
      <c r="E5465" s="21">
        <f t="shared" si="254"/>
        <v>16.859999999999999</v>
      </c>
      <c r="F5465" s="22">
        <v>0</v>
      </c>
      <c r="G5465" s="21">
        <f t="shared" si="255"/>
        <v>16.460000000000001</v>
      </c>
      <c r="H5465" s="22">
        <v>0</v>
      </c>
      <c r="I5465" s="23" t="str">
        <f t="shared" si="256"/>
        <v xml:space="preserve">COM VALOR</v>
      </c>
      <c r="J5465" s="19"/>
      <c r="L5465" s="21">
        <v>16.859999999999999</v>
      </c>
      <c r="M5465" s="22">
        <v>0.57999999999999996</v>
      </c>
      <c r="N5465" s="21">
        <v>16.460000000000001</v>
      </c>
      <c r="O5465" s="22">
        <v>0.58999999999999997</v>
      </c>
    </row>
    <row r="5466" ht="25.5">
      <c r="A5466" t="s">
        <v>5537</v>
      </c>
      <c r="B5466" s="19">
        <v>96690</v>
      </c>
      <c r="C5466" s="20" t="s">
        <v>5574</v>
      </c>
      <c r="D5466" s="19" t="s">
        <v>31</v>
      </c>
      <c r="E5466" s="21">
        <f t="shared" si="254"/>
        <v>32.079999999999998</v>
      </c>
      <c r="F5466" s="22">
        <v>0</v>
      </c>
      <c r="G5466" s="21">
        <f t="shared" si="255"/>
        <v>31.190000000000001</v>
      </c>
      <c r="H5466" s="22">
        <v>0</v>
      </c>
      <c r="I5466" s="23" t="str">
        <f t="shared" si="256"/>
        <v xml:space="preserve">COM VALOR</v>
      </c>
      <c r="J5466" s="19"/>
      <c r="L5466" s="21">
        <v>32.079999999999998</v>
      </c>
      <c r="M5466" s="22">
        <v>0.51000000000000001</v>
      </c>
      <c r="N5466" s="21">
        <v>31.190000000000001</v>
      </c>
      <c r="O5466" s="22">
        <v>0.52000000000000002</v>
      </c>
    </row>
    <row r="5467" ht="25.5">
      <c r="A5467" t="s">
        <v>5537</v>
      </c>
      <c r="B5467" s="19">
        <v>96692</v>
      </c>
      <c r="C5467" s="20" t="s">
        <v>5575</v>
      </c>
      <c r="D5467" s="19" t="s">
        <v>31</v>
      </c>
      <c r="E5467" s="21">
        <f t="shared" si="254"/>
        <v>45.799999999999997</v>
      </c>
      <c r="F5467" s="22">
        <v>0</v>
      </c>
      <c r="G5467" s="21">
        <f t="shared" si="255"/>
        <v>44.700000000000003</v>
      </c>
      <c r="H5467" s="22">
        <v>0</v>
      </c>
      <c r="I5467" s="23" t="str">
        <f t="shared" si="256"/>
        <v xml:space="preserve">COM VALOR</v>
      </c>
      <c r="J5467" s="19"/>
      <c r="L5467" s="21">
        <v>45.799999999999997</v>
      </c>
      <c r="M5467" s="22">
        <v>0.56999999999999995</v>
      </c>
      <c r="N5467" s="21">
        <v>44.700000000000003</v>
      </c>
      <c r="O5467" s="22">
        <v>0.58999999999999997</v>
      </c>
    </row>
    <row r="5468" ht="25.5">
      <c r="A5468" t="s">
        <v>5537</v>
      </c>
      <c r="B5468" s="19">
        <v>96694</v>
      </c>
      <c r="C5468" s="20" t="s">
        <v>5576</v>
      </c>
      <c r="D5468" s="19" t="s">
        <v>31</v>
      </c>
      <c r="E5468" s="21">
        <f t="shared" si="254"/>
        <v>99.219999999999999</v>
      </c>
      <c r="F5468" s="22">
        <v>0</v>
      </c>
      <c r="G5468" s="21">
        <f t="shared" si="255"/>
        <v>97.939999999999998</v>
      </c>
      <c r="H5468" s="22">
        <v>0</v>
      </c>
      <c r="I5468" s="23" t="str">
        <f t="shared" si="256"/>
        <v xml:space="preserve">COM VALOR</v>
      </c>
      <c r="J5468" s="19"/>
      <c r="L5468" s="21">
        <v>99.219999999999999</v>
      </c>
      <c r="M5468" s="22">
        <v>0.77000000000000002</v>
      </c>
      <c r="N5468" s="21">
        <v>97.939999999999998</v>
      </c>
      <c r="O5468" s="22">
        <v>0.78000000000000003</v>
      </c>
    </row>
    <row r="5469" ht="25.5">
      <c r="A5469" t="s">
        <v>5537</v>
      </c>
      <c r="B5469" s="19">
        <v>96696</v>
      </c>
      <c r="C5469" s="20" t="s">
        <v>5577</v>
      </c>
      <c r="D5469" s="19" t="s">
        <v>31</v>
      </c>
      <c r="E5469" s="21">
        <f t="shared" si="254"/>
        <v>124.09</v>
      </c>
      <c r="F5469" s="22">
        <v>0</v>
      </c>
      <c r="G5469" s="21">
        <f t="shared" si="255"/>
        <v>122.56</v>
      </c>
      <c r="H5469" s="22">
        <v>0</v>
      </c>
      <c r="I5469" s="23" t="str">
        <f t="shared" si="256"/>
        <v xml:space="preserve">COM VALOR</v>
      </c>
      <c r="J5469" s="19"/>
      <c r="L5469" s="21">
        <v>124.09</v>
      </c>
      <c r="M5469" s="22">
        <v>0.78000000000000003</v>
      </c>
      <c r="N5469" s="21">
        <v>122.56</v>
      </c>
      <c r="O5469" s="22">
        <v>0.79000000000000004</v>
      </c>
    </row>
    <row r="5470" ht="25.5">
      <c r="A5470" t="s">
        <v>5537</v>
      </c>
      <c r="B5470" s="19">
        <v>96709</v>
      </c>
      <c r="C5470" s="20" t="s">
        <v>5578</v>
      </c>
      <c r="D5470" s="19" t="s">
        <v>31</v>
      </c>
      <c r="E5470" s="21">
        <f t="shared" si="254"/>
        <v>121.38</v>
      </c>
      <c r="F5470" s="22">
        <v>0</v>
      </c>
      <c r="G5470" s="21">
        <f t="shared" si="255"/>
        <v>120.17</v>
      </c>
      <c r="H5470" s="22">
        <v>0</v>
      </c>
      <c r="I5470" s="23" t="str">
        <f t="shared" si="256"/>
        <v xml:space="preserve">COM VALOR</v>
      </c>
      <c r="J5470" s="19"/>
      <c r="L5470" s="21">
        <v>121.38</v>
      </c>
      <c r="M5470" s="22">
        <v>0.81999999999999995</v>
      </c>
      <c r="N5470" s="21">
        <v>120.17</v>
      </c>
      <c r="O5470" s="22">
        <v>0.82999999999999996</v>
      </c>
    </row>
    <row r="5471" ht="25.5">
      <c r="A5471" t="s">
        <v>5537</v>
      </c>
      <c r="B5471" s="19">
        <v>104200</v>
      </c>
      <c r="C5471" s="20" t="s">
        <v>5579</v>
      </c>
      <c r="D5471" s="19" t="s">
        <v>31</v>
      </c>
      <c r="E5471" s="21">
        <f t="shared" si="254"/>
        <v>6.4000000000000004</v>
      </c>
      <c r="F5471" s="22">
        <v>0</v>
      </c>
      <c r="G5471" s="21">
        <f t="shared" si="255"/>
        <v>6.2000000000000002</v>
      </c>
      <c r="H5471" s="22">
        <v>0</v>
      </c>
      <c r="I5471" s="23" t="str">
        <f t="shared" si="256"/>
        <v xml:space="preserve">COM VALOR</v>
      </c>
      <c r="J5471" s="19"/>
      <c r="L5471" s="21">
        <v>6.4000000000000004</v>
      </c>
      <c r="M5471" s="22">
        <v>0.41999999999999998</v>
      </c>
      <c r="N5471" s="21">
        <v>6.2000000000000002</v>
      </c>
      <c r="O5471" s="22">
        <v>0.42999999999999999</v>
      </c>
    </row>
    <row r="5472" ht="25.5">
      <c r="A5472" t="s">
        <v>5537</v>
      </c>
      <c r="B5472" s="19">
        <v>96698</v>
      </c>
      <c r="C5472" s="20" t="s">
        <v>5580</v>
      </c>
      <c r="D5472" s="19" t="s">
        <v>31</v>
      </c>
      <c r="E5472" s="21">
        <f t="shared" si="254"/>
        <v>8.3599999999999994</v>
      </c>
      <c r="F5472" s="22">
        <v>0</v>
      </c>
      <c r="G5472" s="21">
        <f t="shared" si="255"/>
        <v>8.0199999999999996</v>
      </c>
      <c r="H5472" s="22">
        <v>0</v>
      </c>
      <c r="I5472" s="23" t="str">
        <f t="shared" si="256"/>
        <v xml:space="preserve">COM VALOR</v>
      </c>
      <c r="J5472" s="19"/>
      <c r="L5472" s="21">
        <v>8.3599999999999994</v>
      </c>
      <c r="M5472" s="22">
        <v>0.28999999999999998</v>
      </c>
      <c r="N5472" s="21">
        <v>8.0199999999999996</v>
      </c>
      <c r="O5472" s="22">
        <v>0.29999999999999999</v>
      </c>
    </row>
    <row r="5473" ht="25.5">
      <c r="A5473" t="s">
        <v>5537</v>
      </c>
      <c r="B5473" s="19">
        <v>96656</v>
      </c>
      <c r="C5473" s="20" t="s">
        <v>5581</v>
      </c>
      <c r="D5473" s="19" t="s">
        <v>31</v>
      </c>
      <c r="E5473" s="21">
        <f t="shared" si="254"/>
        <v>6.6799999999999997</v>
      </c>
      <c r="F5473" s="22">
        <v>0</v>
      </c>
      <c r="G5473" s="21">
        <f t="shared" si="255"/>
        <v>6.4299999999999997</v>
      </c>
      <c r="H5473" s="22">
        <v>0</v>
      </c>
      <c r="I5473" s="23" t="str">
        <f t="shared" si="256"/>
        <v xml:space="preserve">COM VALOR</v>
      </c>
      <c r="J5473" s="19"/>
      <c r="L5473" s="21">
        <v>6.6799999999999997</v>
      </c>
      <c r="M5473" s="22">
        <v>0.37</v>
      </c>
      <c r="N5473" s="21">
        <v>6.4299999999999997</v>
      </c>
      <c r="O5473" s="22">
        <v>0.38</v>
      </c>
    </row>
    <row r="5474" ht="25.5">
      <c r="A5474" t="s">
        <v>5537</v>
      </c>
      <c r="B5474" s="19">
        <v>96639</v>
      </c>
      <c r="C5474" s="20" t="s">
        <v>5582</v>
      </c>
      <c r="D5474" s="19" t="s">
        <v>31</v>
      </c>
      <c r="E5474" s="21">
        <f t="shared" si="254"/>
        <v>11.35</v>
      </c>
      <c r="F5474" s="22">
        <v>0</v>
      </c>
      <c r="G5474" s="21">
        <f t="shared" si="255"/>
        <v>10.85</v>
      </c>
      <c r="H5474" s="22">
        <v>0</v>
      </c>
      <c r="I5474" s="23" t="str">
        <f t="shared" si="256"/>
        <v xml:space="preserve">COM VALOR</v>
      </c>
      <c r="J5474" s="19"/>
      <c r="L5474" s="21">
        <v>11.35</v>
      </c>
      <c r="M5474" s="22">
        <v>0.215</v>
      </c>
      <c r="N5474" s="21">
        <v>10.85</v>
      </c>
      <c r="O5474" s="22">
        <v>0.22</v>
      </c>
    </row>
    <row r="5475" ht="25.5">
      <c r="A5475" t="s">
        <v>5537</v>
      </c>
      <c r="B5475" s="19">
        <v>96701</v>
      </c>
      <c r="C5475" s="20" t="s">
        <v>5583</v>
      </c>
      <c r="D5475" s="19" t="s">
        <v>31</v>
      </c>
      <c r="E5475" s="21">
        <f t="shared" si="254"/>
        <v>11.59</v>
      </c>
      <c r="F5475" s="22">
        <v>0</v>
      </c>
      <c r="G5475" s="21">
        <f t="shared" si="255"/>
        <v>11.19</v>
      </c>
      <c r="H5475" s="22">
        <v>0</v>
      </c>
      <c r="I5475" s="23" t="str">
        <f t="shared" si="256"/>
        <v xml:space="preserve">COM VALOR</v>
      </c>
      <c r="J5475" s="19"/>
      <c r="L5475" s="21">
        <v>11.59</v>
      </c>
      <c r="M5475" s="22">
        <v>0.38</v>
      </c>
      <c r="N5475" s="21">
        <v>11.19</v>
      </c>
      <c r="O5475" s="22">
        <v>0.39000000000000001</v>
      </c>
    </row>
    <row r="5476" ht="25.5">
      <c r="A5476" t="s">
        <v>5537</v>
      </c>
      <c r="B5476" s="19">
        <v>96659</v>
      </c>
      <c r="C5476" s="20" t="s">
        <v>5584</v>
      </c>
      <c r="D5476" s="19" t="s">
        <v>31</v>
      </c>
      <c r="E5476" s="21">
        <f t="shared" si="254"/>
        <v>8.8399999999999999</v>
      </c>
      <c r="F5476" s="22">
        <v>0</v>
      </c>
      <c r="G5476" s="21">
        <f t="shared" si="255"/>
        <v>8.5899999999999999</v>
      </c>
      <c r="H5476" s="22">
        <v>0</v>
      </c>
      <c r="I5476" s="23" t="str">
        <f t="shared" si="256"/>
        <v xml:space="preserve">COM VALOR</v>
      </c>
      <c r="J5476" s="19"/>
      <c r="L5476" s="21">
        <v>8.8399999999999999</v>
      </c>
      <c r="M5476" s="22">
        <v>0.48999999999999999</v>
      </c>
      <c r="N5476" s="21">
        <v>8.5899999999999999</v>
      </c>
      <c r="O5476" s="22">
        <v>0.51000000000000001</v>
      </c>
    </row>
    <row r="5477" ht="25.5">
      <c r="A5477" t="s">
        <v>5537</v>
      </c>
      <c r="B5477" s="19">
        <v>96703</v>
      </c>
      <c r="C5477" s="20" t="s">
        <v>5585</v>
      </c>
      <c r="D5477" s="19" t="s">
        <v>31</v>
      </c>
      <c r="E5477" s="21">
        <f t="shared" si="254"/>
        <v>21.149999999999999</v>
      </c>
      <c r="F5477" s="22">
        <v>0</v>
      </c>
      <c r="G5477" s="21">
        <f t="shared" si="255"/>
        <v>20.649999999999999</v>
      </c>
      <c r="H5477" s="22">
        <v>0</v>
      </c>
      <c r="I5477" s="23" t="str">
        <f t="shared" si="256"/>
        <v xml:space="preserve">COM VALOR</v>
      </c>
      <c r="J5477" s="19"/>
      <c r="L5477" s="21">
        <v>21.149999999999999</v>
      </c>
      <c r="M5477" s="22">
        <v>0.58999999999999997</v>
      </c>
      <c r="N5477" s="21">
        <v>20.649999999999999</v>
      </c>
      <c r="O5477" s="22">
        <v>0.59999999999999998</v>
      </c>
    </row>
    <row r="5478" ht="25.5">
      <c r="A5478" t="s">
        <v>5537</v>
      </c>
      <c r="B5478" s="19">
        <v>96663</v>
      </c>
      <c r="C5478" s="20" t="s">
        <v>5586</v>
      </c>
      <c r="D5478" s="19" t="s">
        <v>31</v>
      </c>
      <c r="E5478" s="21">
        <f t="shared" si="254"/>
        <v>17.149999999999999</v>
      </c>
      <c r="F5478" s="22">
        <v>0</v>
      </c>
      <c r="G5478" s="21">
        <f t="shared" si="255"/>
        <v>16.879999999999999</v>
      </c>
      <c r="H5478" s="22">
        <v>0</v>
      </c>
      <c r="I5478" s="23" t="str">
        <f t="shared" si="256"/>
        <v xml:space="preserve">COM VALOR</v>
      </c>
      <c r="J5478" s="19"/>
      <c r="L5478" s="21">
        <v>17.149999999999999</v>
      </c>
      <c r="M5478" s="22">
        <v>0.72999999999999998</v>
      </c>
      <c r="N5478" s="21">
        <v>16.879999999999999</v>
      </c>
      <c r="O5478" s="22">
        <v>0.73999999999999999</v>
      </c>
    </row>
    <row r="5479" ht="25.5">
      <c r="A5479" t="s">
        <v>5537</v>
      </c>
      <c r="B5479" s="19">
        <v>96705</v>
      </c>
      <c r="C5479" s="20" t="s">
        <v>5587</v>
      </c>
      <c r="D5479" s="19" t="s">
        <v>31</v>
      </c>
      <c r="E5479" s="21">
        <f t="shared" si="254"/>
        <v>25.670000000000002</v>
      </c>
      <c r="F5479" s="22">
        <v>0</v>
      </c>
      <c r="G5479" s="21">
        <f t="shared" si="255"/>
        <v>25.07</v>
      </c>
      <c r="H5479" s="22">
        <v>0</v>
      </c>
      <c r="I5479" s="23" t="str">
        <f t="shared" si="256"/>
        <v xml:space="preserve">COM VALOR</v>
      </c>
      <c r="J5479" s="19"/>
      <c r="L5479" s="21">
        <v>25.670000000000002</v>
      </c>
      <c r="M5479" s="22">
        <v>0.58999999999999997</v>
      </c>
      <c r="N5479" s="21">
        <v>25.07</v>
      </c>
      <c r="O5479" s="22">
        <v>0.59999999999999998</v>
      </c>
    </row>
    <row r="5480" ht="25.5">
      <c r="A5480" t="s">
        <v>5537</v>
      </c>
      <c r="B5480" s="19">
        <v>96706</v>
      </c>
      <c r="C5480" s="20" t="s">
        <v>5588</v>
      </c>
      <c r="D5480" s="19" t="s">
        <v>31</v>
      </c>
      <c r="E5480" s="21">
        <f t="shared" si="254"/>
        <v>38.329999999999998</v>
      </c>
      <c r="F5480" s="22">
        <v>0</v>
      </c>
      <c r="G5480" s="21">
        <f t="shared" si="255"/>
        <v>37.600000000000001</v>
      </c>
      <c r="H5480" s="22">
        <v>0</v>
      </c>
      <c r="I5480" s="23" t="str">
        <f t="shared" si="256"/>
        <v xml:space="preserve">COM VALOR</v>
      </c>
      <c r="J5480" s="19"/>
      <c r="L5480" s="21">
        <v>38.329999999999998</v>
      </c>
      <c r="M5480" s="22">
        <v>0.66000000000000003</v>
      </c>
      <c r="N5480" s="21">
        <v>37.600000000000001</v>
      </c>
      <c r="O5480" s="22">
        <v>0.67000000000000004</v>
      </c>
    </row>
    <row r="5481" ht="25.5">
      <c r="A5481" t="s">
        <v>5537</v>
      </c>
      <c r="B5481" s="19">
        <v>96707</v>
      </c>
      <c r="C5481" s="20" t="s">
        <v>5589</v>
      </c>
      <c r="D5481" s="19" t="s">
        <v>31</v>
      </c>
      <c r="E5481" s="21">
        <f t="shared" si="254"/>
        <v>62.289999999999999</v>
      </c>
      <c r="F5481" s="22">
        <v>0</v>
      </c>
      <c r="G5481" s="21">
        <f t="shared" si="255"/>
        <v>61.43</v>
      </c>
      <c r="H5481" s="22">
        <v>0</v>
      </c>
      <c r="I5481" s="23" t="str">
        <f t="shared" si="256"/>
        <v xml:space="preserve">COM VALOR</v>
      </c>
      <c r="J5481" s="19"/>
      <c r="L5481" s="21">
        <v>62.289999999999999</v>
      </c>
      <c r="M5481" s="22">
        <v>0.75</v>
      </c>
      <c r="N5481" s="21">
        <v>61.43</v>
      </c>
      <c r="O5481" s="22">
        <v>0.77000000000000002</v>
      </c>
    </row>
    <row r="5482" ht="25.5">
      <c r="A5482" t="s">
        <v>5537</v>
      </c>
      <c r="B5482" s="19">
        <v>96708</v>
      </c>
      <c r="C5482" s="20" t="s">
        <v>5590</v>
      </c>
      <c r="D5482" s="19" t="s">
        <v>31</v>
      </c>
      <c r="E5482" s="21">
        <f t="shared" si="254"/>
        <v>95.010000000000005</v>
      </c>
      <c r="F5482" s="22">
        <v>0</v>
      </c>
      <c r="G5482" s="21">
        <f t="shared" si="255"/>
        <v>93.989999999999995</v>
      </c>
      <c r="H5482" s="22">
        <v>0</v>
      </c>
      <c r="I5482" s="23" t="str">
        <f t="shared" si="256"/>
        <v xml:space="preserve">COM VALOR</v>
      </c>
      <c r="J5482" s="19"/>
      <c r="L5482" s="21">
        <v>95.010000000000005</v>
      </c>
      <c r="M5482" s="22">
        <v>0.81000000000000005</v>
      </c>
      <c r="N5482" s="21">
        <v>93.989999999999995</v>
      </c>
      <c r="O5482" s="22">
        <v>0.81999999999999995</v>
      </c>
    </row>
    <row r="5483" ht="25.5">
      <c r="A5483" t="s">
        <v>5537</v>
      </c>
      <c r="B5483" s="19">
        <v>96675</v>
      </c>
      <c r="C5483" s="20" t="s">
        <v>5591</v>
      </c>
      <c r="D5483" s="19" t="s">
        <v>38</v>
      </c>
      <c r="E5483" s="21">
        <f t="shared" si="254"/>
        <v>172.43000000000001</v>
      </c>
      <c r="F5483" s="22">
        <v>0</v>
      </c>
      <c r="G5483" s="21">
        <f t="shared" si="255"/>
        <v>171.40000000000001</v>
      </c>
      <c r="H5483" s="22">
        <v>0</v>
      </c>
      <c r="I5483" s="23" t="str">
        <f t="shared" si="256"/>
        <v xml:space="preserve">COM VALOR</v>
      </c>
      <c r="J5483" s="19"/>
      <c r="L5483" s="21">
        <v>172.43000000000001</v>
      </c>
      <c r="M5483" s="22">
        <v>0.89000000000000001</v>
      </c>
      <c r="N5483" s="21">
        <v>171.40000000000001</v>
      </c>
      <c r="O5483" s="22">
        <v>0.90000000000000002</v>
      </c>
    </row>
    <row r="5484" ht="25.5">
      <c r="A5484" t="s">
        <v>5537</v>
      </c>
      <c r="B5484" s="19">
        <v>96683</v>
      </c>
      <c r="C5484" s="20" t="s">
        <v>5592</v>
      </c>
      <c r="D5484" s="19" t="s">
        <v>38</v>
      </c>
      <c r="E5484" s="21">
        <f t="shared" si="254"/>
        <v>336.44999999999999</v>
      </c>
      <c r="F5484" s="22">
        <v>0</v>
      </c>
      <c r="G5484" s="21">
        <f t="shared" si="255"/>
        <v>335.06</v>
      </c>
      <c r="H5484" s="22">
        <v>0</v>
      </c>
      <c r="I5484" s="23" t="str">
        <f t="shared" si="256"/>
        <v xml:space="preserve">COM VALOR</v>
      </c>
      <c r="J5484" s="19"/>
      <c r="L5484" s="21">
        <v>336.44999999999999</v>
      </c>
      <c r="M5484" s="22">
        <v>0.93000000000000005</v>
      </c>
      <c r="N5484" s="21">
        <v>335.06</v>
      </c>
      <c r="O5484" s="22">
        <v>0.93000000000000005</v>
      </c>
    </row>
    <row r="5485" ht="25.5">
      <c r="A5485" t="s">
        <v>5537</v>
      </c>
      <c r="B5485" s="19">
        <v>104194</v>
      </c>
      <c r="C5485" s="20" t="s">
        <v>5593</v>
      </c>
      <c r="D5485" s="19" t="s">
        <v>38</v>
      </c>
      <c r="E5485" s="21">
        <f t="shared" si="254"/>
        <v>23.23</v>
      </c>
      <c r="F5485" s="22">
        <v>0</v>
      </c>
      <c r="G5485" s="21">
        <f t="shared" si="255"/>
        <v>22.579999999999998</v>
      </c>
      <c r="H5485" s="22">
        <v>0</v>
      </c>
      <c r="I5485" s="23" t="str">
        <f t="shared" si="256"/>
        <v xml:space="preserve">COM VALOR</v>
      </c>
      <c r="J5485" s="19"/>
      <c r="L5485" s="21">
        <v>23.23</v>
      </c>
      <c r="M5485" s="22">
        <v>0.5</v>
      </c>
      <c r="N5485" s="21">
        <v>22.579999999999998</v>
      </c>
      <c r="O5485" s="22">
        <v>0.51000000000000001</v>
      </c>
    </row>
    <row r="5486" ht="25.5">
      <c r="A5486" t="s">
        <v>5537</v>
      </c>
      <c r="B5486" s="19">
        <v>104195</v>
      </c>
      <c r="C5486" s="20" t="s">
        <v>5594</v>
      </c>
      <c r="D5486" s="19" t="s">
        <v>38</v>
      </c>
      <c r="E5486" s="21">
        <f t="shared" si="254"/>
        <v>24.710000000000001</v>
      </c>
      <c r="F5486" s="22">
        <v>0</v>
      </c>
      <c r="G5486" s="21">
        <f t="shared" si="255"/>
        <v>24.039999999999999</v>
      </c>
      <c r="H5486" s="22">
        <v>0</v>
      </c>
      <c r="I5486" s="23" t="str">
        <f t="shared" si="256"/>
        <v xml:space="preserve">COM VALOR</v>
      </c>
      <c r="J5486" s="19"/>
      <c r="L5486" s="21">
        <v>24.710000000000001</v>
      </c>
      <c r="M5486" s="22">
        <v>0.52000000000000002</v>
      </c>
      <c r="N5486" s="21">
        <v>24.039999999999999</v>
      </c>
      <c r="O5486" s="22">
        <v>0.53000000000000003</v>
      </c>
    </row>
    <row r="5487" ht="25.5">
      <c r="A5487" t="s">
        <v>5537</v>
      </c>
      <c r="B5487" s="19">
        <v>96668</v>
      </c>
      <c r="C5487" s="20" t="s">
        <v>5595</v>
      </c>
      <c r="D5487" s="19" t="s">
        <v>38</v>
      </c>
      <c r="E5487" s="21">
        <f t="shared" si="254"/>
        <v>19.52</v>
      </c>
      <c r="F5487" s="22">
        <v>0</v>
      </c>
      <c r="G5487" s="21">
        <f t="shared" si="255"/>
        <v>19.309999999999999</v>
      </c>
      <c r="H5487" s="22">
        <v>0</v>
      </c>
      <c r="I5487" s="23" t="str">
        <f t="shared" si="256"/>
        <v xml:space="preserve">COM VALOR</v>
      </c>
      <c r="J5487" s="19"/>
      <c r="L5487" s="21">
        <v>19.52</v>
      </c>
      <c r="M5487" s="22">
        <v>0.81000000000000005</v>
      </c>
      <c r="N5487" s="21">
        <v>19.309999999999999</v>
      </c>
      <c r="O5487" s="22">
        <v>0.81999999999999995</v>
      </c>
    </row>
    <row r="5488" ht="25.5">
      <c r="A5488" t="s">
        <v>5537</v>
      </c>
      <c r="B5488" s="19">
        <v>96644</v>
      </c>
      <c r="C5488" s="20" t="s">
        <v>5596</v>
      </c>
      <c r="D5488" s="19" t="s">
        <v>38</v>
      </c>
      <c r="E5488" s="21">
        <f t="shared" si="254"/>
        <v>24.550000000000001</v>
      </c>
      <c r="F5488" s="22">
        <v>0</v>
      </c>
      <c r="G5488" s="21">
        <f t="shared" si="255"/>
        <v>24.050000000000001</v>
      </c>
      <c r="H5488" s="22">
        <v>0</v>
      </c>
      <c r="I5488" s="23" t="str">
        <f t="shared" si="256"/>
        <v xml:space="preserve">COM VALOR</v>
      </c>
      <c r="J5488" s="19"/>
      <c r="L5488" s="21">
        <v>24.550000000000001</v>
      </c>
      <c r="M5488" s="22">
        <v>0.64000000000000001</v>
      </c>
      <c r="N5488" s="21">
        <v>24.050000000000001</v>
      </c>
      <c r="O5488" s="22">
        <v>0.66000000000000003</v>
      </c>
    </row>
    <row r="5489" ht="25.5">
      <c r="A5489" t="s">
        <v>5537</v>
      </c>
      <c r="B5489" s="19">
        <v>96635</v>
      </c>
      <c r="C5489" s="20" t="s">
        <v>5597</v>
      </c>
      <c r="D5489" s="19" t="s">
        <v>38</v>
      </c>
      <c r="E5489" s="21">
        <f t="shared" si="254"/>
        <v>43.420000000000002</v>
      </c>
      <c r="F5489" s="22">
        <v>0</v>
      </c>
      <c r="G5489" s="21">
        <f t="shared" si="255"/>
        <v>41.859999999999999</v>
      </c>
      <c r="H5489" s="22">
        <v>0</v>
      </c>
      <c r="I5489" s="23" t="str">
        <f t="shared" si="256"/>
        <v xml:space="preserve">COM VALOR</v>
      </c>
      <c r="J5489" s="19"/>
      <c r="L5489" s="21">
        <v>43.420000000000002</v>
      </c>
      <c r="M5489" s="22">
        <v>0.35999999999999999</v>
      </c>
      <c r="N5489" s="21">
        <v>41.859999999999999</v>
      </c>
      <c r="O5489" s="22">
        <v>0.38</v>
      </c>
    </row>
    <row r="5490" ht="25.5">
      <c r="A5490" t="s">
        <v>5537</v>
      </c>
      <c r="B5490" s="19">
        <v>96636</v>
      </c>
      <c r="C5490" s="20" t="s">
        <v>5598</v>
      </c>
      <c r="D5490" s="19" t="s">
        <v>38</v>
      </c>
      <c r="E5490" s="21">
        <f t="shared" si="254"/>
        <v>46.140000000000001</v>
      </c>
      <c r="F5490" s="22">
        <v>0</v>
      </c>
      <c r="G5490" s="21">
        <f t="shared" si="255"/>
        <v>44.539999999999999</v>
      </c>
      <c r="H5490" s="22">
        <v>0</v>
      </c>
      <c r="I5490" s="23" t="str">
        <f t="shared" si="256"/>
        <v xml:space="preserve">COM VALOR</v>
      </c>
      <c r="J5490" s="19"/>
      <c r="L5490" s="21">
        <v>46.140000000000001</v>
      </c>
      <c r="M5490" s="22">
        <v>0.38</v>
      </c>
      <c r="N5490" s="21">
        <v>44.539999999999999</v>
      </c>
      <c r="O5490" s="22">
        <v>0.40000000000000002</v>
      </c>
    </row>
    <row r="5491" ht="25.5">
      <c r="A5491" t="s">
        <v>5537</v>
      </c>
      <c r="B5491" s="19">
        <v>96676</v>
      </c>
      <c r="C5491" s="20" t="s">
        <v>5599</v>
      </c>
      <c r="D5491" s="19" t="s">
        <v>38</v>
      </c>
      <c r="E5491" s="21">
        <f t="shared" si="254"/>
        <v>24.399999999999999</v>
      </c>
      <c r="F5491" s="22">
        <v>0</v>
      </c>
      <c r="G5491" s="21">
        <f t="shared" si="255"/>
        <v>24.030000000000001</v>
      </c>
      <c r="H5491" s="22">
        <v>0</v>
      </c>
      <c r="I5491" s="23" t="str">
        <f t="shared" si="256"/>
        <v xml:space="preserve">COM VALOR</v>
      </c>
      <c r="J5491" s="19"/>
      <c r="L5491" s="21">
        <v>24.399999999999999</v>
      </c>
      <c r="M5491" s="22">
        <v>0.71999999999999997</v>
      </c>
      <c r="N5491" s="21">
        <v>24.030000000000001</v>
      </c>
      <c r="O5491" s="22">
        <v>0.73999999999999999</v>
      </c>
    </row>
    <row r="5492" ht="25.5">
      <c r="A5492" t="s">
        <v>5537</v>
      </c>
      <c r="B5492" s="19">
        <v>96647</v>
      </c>
      <c r="C5492" s="20" t="s">
        <v>5600</v>
      </c>
      <c r="D5492" s="19" t="s">
        <v>38</v>
      </c>
      <c r="E5492" s="21">
        <f t="shared" si="254"/>
        <v>26.710000000000001</v>
      </c>
      <c r="F5492" s="22">
        <v>0</v>
      </c>
      <c r="G5492" s="21">
        <f t="shared" si="255"/>
        <v>26.199999999999999</v>
      </c>
      <c r="H5492" s="22">
        <v>0</v>
      </c>
      <c r="I5492" s="23" t="str">
        <f t="shared" si="256"/>
        <v xml:space="preserve">COM VALOR</v>
      </c>
      <c r="J5492" s="19"/>
      <c r="L5492" s="21">
        <v>26.710000000000001</v>
      </c>
      <c r="M5492" s="22">
        <v>0.66000000000000003</v>
      </c>
      <c r="N5492" s="21">
        <v>26.199999999999999</v>
      </c>
      <c r="O5492" s="22">
        <v>0.67000000000000004</v>
      </c>
    </row>
    <row r="5493" ht="25.5">
      <c r="A5493" t="s">
        <v>5537</v>
      </c>
      <c r="B5493" s="19">
        <v>96669</v>
      </c>
      <c r="C5493" s="20" t="s">
        <v>5601</v>
      </c>
      <c r="D5493" s="19" t="s">
        <v>38</v>
      </c>
      <c r="E5493" s="21">
        <f t="shared" si="254"/>
        <v>18.940000000000001</v>
      </c>
      <c r="F5493" s="22">
        <v>0</v>
      </c>
      <c r="G5493" s="21">
        <f t="shared" si="255"/>
        <v>18.600000000000001</v>
      </c>
      <c r="H5493" s="22">
        <v>0</v>
      </c>
      <c r="I5493" s="23" t="str">
        <f t="shared" si="256"/>
        <v xml:space="preserve">COM VALOR</v>
      </c>
      <c r="J5493" s="19"/>
      <c r="L5493" s="21">
        <v>18.940000000000001</v>
      </c>
      <c r="M5493" s="22">
        <v>0.68000000000000005</v>
      </c>
      <c r="N5493" s="21">
        <v>18.600000000000001</v>
      </c>
      <c r="O5493" s="22">
        <v>0.69999999999999996</v>
      </c>
    </row>
    <row r="5494" ht="25.5">
      <c r="A5494" t="s">
        <v>5537</v>
      </c>
      <c r="B5494" s="19">
        <v>96645</v>
      </c>
      <c r="C5494" s="20" t="s">
        <v>5602</v>
      </c>
      <c r="D5494" s="19" t="s">
        <v>38</v>
      </c>
      <c r="E5494" s="21">
        <f t="shared" si="254"/>
        <v>21.620000000000001</v>
      </c>
      <c r="F5494" s="22">
        <v>0</v>
      </c>
      <c r="G5494" s="21">
        <f t="shared" si="255"/>
        <v>21.140000000000001</v>
      </c>
      <c r="H5494" s="22">
        <v>0</v>
      </c>
      <c r="I5494" s="23" t="str">
        <f t="shared" si="256"/>
        <v xml:space="preserve">COM VALOR</v>
      </c>
      <c r="J5494" s="19"/>
      <c r="L5494" s="21">
        <v>21.620000000000001</v>
      </c>
      <c r="M5494" s="22">
        <v>0.59999999999999998</v>
      </c>
      <c r="N5494" s="21">
        <v>21.140000000000001</v>
      </c>
      <c r="O5494" s="22">
        <v>0.60999999999999999</v>
      </c>
    </row>
    <row r="5495" ht="25.5">
      <c r="A5495" t="s">
        <v>5537</v>
      </c>
      <c r="B5495" s="19">
        <v>96677</v>
      </c>
      <c r="C5495" s="20" t="s">
        <v>5603</v>
      </c>
      <c r="D5495" s="19" t="s">
        <v>38</v>
      </c>
      <c r="E5495" s="21">
        <f t="shared" si="254"/>
        <v>31.859999999999999</v>
      </c>
      <c r="F5495" s="22">
        <v>0</v>
      </c>
      <c r="G5495" s="21">
        <f t="shared" si="255"/>
        <v>31.390000000000001</v>
      </c>
      <c r="H5495" s="22">
        <v>0</v>
      </c>
      <c r="I5495" s="23" t="str">
        <f t="shared" si="256"/>
        <v xml:space="preserve">COM VALOR</v>
      </c>
      <c r="J5495" s="19"/>
      <c r="L5495" s="21">
        <v>31.859999999999999</v>
      </c>
      <c r="M5495" s="22">
        <v>0.73999999999999999</v>
      </c>
      <c r="N5495" s="21">
        <v>31.390000000000001</v>
      </c>
      <c r="O5495" s="22">
        <v>0.75</v>
      </c>
    </row>
    <row r="5496" ht="25.5">
      <c r="A5496" t="s">
        <v>5537</v>
      </c>
      <c r="B5496" s="19">
        <v>96648</v>
      </c>
      <c r="C5496" s="20" t="s">
        <v>5604</v>
      </c>
      <c r="D5496" s="19" t="s">
        <v>38</v>
      </c>
      <c r="E5496" s="21">
        <f t="shared" si="254"/>
        <v>33.140000000000001</v>
      </c>
      <c r="F5496" s="22">
        <v>0</v>
      </c>
      <c r="G5496" s="21">
        <f t="shared" si="255"/>
        <v>32.609999999999999</v>
      </c>
      <c r="H5496" s="22">
        <v>0</v>
      </c>
      <c r="I5496" s="23" t="str">
        <f t="shared" si="256"/>
        <v xml:space="preserve">COM VALOR</v>
      </c>
      <c r="J5496" s="19"/>
      <c r="L5496" s="21">
        <v>33.140000000000001</v>
      </c>
      <c r="M5496" s="22">
        <v>0.70999999999999996</v>
      </c>
      <c r="N5496" s="21">
        <v>32.609999999999999</v>
      </c>
      <c r="O5496" s="22">
        <v>0.71999999999999997</v>
      </c>
    </row>
    <row r="5497" ht="25.5">
      <c r="A5497" t="s">
        <v>5537</v>
      </c>
      <c r="B5497" s="19">
        <v>96670</v>
      </c>
      <c r="C5497" s="20" t="s">
        <v>5605</v>
      </c>
      <c r="D5497" s="19" t="s">
        <v>38</v>
      </c>
      <c r="E5497" s="21">
        <f t="shared" si="254"/>
        <v>24.710000000000001</v>
      </c>
      <c r="F5497" s="22">
        <v>0</v>
      </c>
      <c r="G5497" s="21">
        <f t="shared" si="255"/>
        <v>24.300000000000001</v>
      </c>
      <c r="H5497" s="22">
        <v>0</v>
      </c>
      <c r="I5497" s="23" t="str">
        <f t="shared" si="256"/>
        <v xml:space="preserve">COM VALOR</v>
      </c>
      <c r="J5497" s="19"/>
      <c r="L5497" s="21">
        <v>24.710000000000001</v>
      </c>
      <c r="M5497" s="22">
        <v>0.70999999999999996</v>
      </c>
      <c r="N5497" s="21">
        <v>24.300000000000001</v>
      </c>
      <c r="O5497" s="22">
        <v>0.71999999999999997</v>
      </c>
    </row>
    <row r="5498" ht="25.5">
      <c r="A5498" t="s">
        <v>5537</v>
      </c>
      <c r="B5498" s="19">
        <v>96646</v>
      </c>
      <c r="C5498" s="20" t="s">
        <v>5606</v>
      </c>
      <c r="D5498" s="19" t="s">
        <v>38</v>
      </c>
      <c r="E5498" s="21">
        <f t="shared" si="254"/>
        <v>26.640000000000001</v>
      </c>
      <c r="F5498" s="22">
        <v>0</v>
      </c>
      <c r="G5498" s="21">
        <f t="shared" si="255"/>
        <v>26.120000000000001</v>
      </c>
      <c r="H5498" s="22">
        <v>0</v>
      </c>
      <c r="I5498" s="23" t="str">
        <f t="shared" si="256"/>
        <v xml:space="preserve">COM VALOR</v>
      </c>
      <c r="J5498" s="19"/>
      <c r="L5498" s="21">
        <v>26.640000000000001</v>
      </c>
      <c r="M5498" s="22">
        <v>0.65500000000000003</v>
      </c>
      <c r="N5498" s="21">
        <v>26.120000000000001</v>
      </c>
      <c r="O5498" s="22">
        <v>0.67000000000000004</v>
      </c>
    </row>
    <row r="5499" ht="25.5">
      <c r="A5499" t="s">
        <v>5537</v>
      </c>
      <c r="B5499" s="19">
        <v>96678</v>
      </c>
      <c r="C5499" s="20" t="s">
        <v>5607</v>
      </c>
      <c r="D5499" s="19" t="s">
        <v>38</v>
      </c>
      <c r="E5499" s="21">
        <f t="shared" si="254"/>
        <v>44.039999999999999</v>
      </c>
      <c r="F5499" s="22">
        <v>0</v>
      </c>
      <c r="G5499" s="21">
        <f t="shared" si="255"/>
        <v>43.490000000000002</v>
      </c>
      <c r="H5499" s="22">
        <v>0</v>
      </c>
      <c r="I5499" s="23" t="str">
        <f t="shared" si="256"/>
        <v xml:space="preserve">COM VALOR</v>
      </c>
      <c r="J5499" s="19"/>
      <c r="L5499" s="21">
        <v>44.039999999999999</v>
      </c>
      <c r="M5499" s="22">
        <v>0.77500000000000002</v>
      </c>
      <c r="N5499" s="21">
        <v>43.490000000000002</v>
      </c>
      <c r="O5499" s="22">
        <v>0.78000000000000003</v>
      </c>
    </row>
    <row r="5500" ht="25.5">
      <c r="A5500" t="s">
        <v>5537</v>
      </c>
      <c r="B5500" s="19">
        <v>96649</v>
      </c>
      <c r="C5500" s="20" t="s">
        <v>5608</v>
      </c>
      <c r="D5500" s="19" t="s">
        <v>38</v>
      </c>
      <c r="E5500" s="21">
        <f t="shared" si="254"/>
        <v>44.170000000000002</v>
      </c>
      <c r="F5500" s="22">
        <v>0</v>
      </c>
      <c r="G5500" s="21">
        <f t="shared" si="255"/>
        <v>43.619999999999997</v>
      </c>
      <c r="H5500" s="22">
        <v>0</v>
      </c>
      <c r="I5500" s="23" t="str">
        <f t="shared" si="256"/>
        <v xml:space="preserve">COM VALOR</v>
      </c>
      <c r="J5500" s="19"/>
      <c r="L5500" s="21">
        <v>44.170000000000002</v>
      </c>
      <c r="M5500" s="22">
        <v>0.77000000000000002</v>
      </c>
      <c r="N5500" s="21">
        <v>43.619999999999997</v>
      </c>
      <c r="O5500" s="22">
        <v>0.78000000000000003</v>
      </c>
    </row>
    <row r="5501" ht="25.5">
      <c r="A5501" t="s">
        <v>5537</v>
      </c>
      <c r="B5501" s="19">
        <v>96671</v>
      </c>
      <c r="C5501" s="20" t="s">
        <v>5609</v>
      </c>
      <c r="D5501" s="19" t="s">
        <v>38</v>
      </c>
      <c r="E5501" s="21">
        <f t="shared" si="254"/>
        <v>37.649999999999999</v>
      </c>
      <c r="F5501" s="22">
        <v>0</v>
      </c>
      <c r="G5501" s="21">
        <f t="shared" si="255"/>
        <v>37.149999999999999</v>
      </c>
      <c r="H5501" s="22">
        <v>0</v>
      </c>
      <c r="I5501" s="23" t="str">
        <f t="shared" si="256"/>
        <v xml:space="preserve">COM VALOR</v>
      </c>
      <c r="J5501" s="19"/>
      <c r="L5501" s="21">
        <v>37.649999999999999</v>
      </c>
      <c r="M5501" s="22">
        <v>0.77000000000000002</v>
      </c>
      <c r="N5501" s="21">
        <v>37.149999999999999</v>
      </c>
      <c r="O5501" s="22">
        <v>0.78000000000000003</v>
      </c>
    </row>
    <row r="5502" ht="25.5">
      <c r="A5502" t="s">
        <v>5537</v>
      </c>
      <c r="B5502" s="19">
        <v>96679</v>
      </c>
      <c r="C5502" s="20" t="s">
        <v>5610</v>
      </c>
      <c r="D5502" s="19" t="s">
        <v>38</v>
      </c>
      <c r="E5502" s="21">
        <f t="shared" si="254"/>
        <v>65.950000000000003</v>
      </c>
      <c r="F5502" s="22">
        <v>0</v>
      </c>
      <c r="G5502" s="21">
        <f t="shared" si="255"/>
        <v>65.269999999999996</v>
      </c>
      <c r="H5502" s="22">
        <v>0</v>
      </c>
      <c r="I5502" s="23" t="str">
        <f t="shared" si="256"/>
        <v xml:space="preserve">COM VALOR</v>
      </c>
      <c r="J5502" s="19"/>
      <c r="L5502" s="21">
        <v>65.950000000000003</v>
      </c>
      <c r="M5502" s="22">
        <v>0.81999999999999995</v>
      </c>
      <c r="N5502" s="21">
        <v>65.269999999999996</v>
      </c>
      <c r="O5502" s="22">
        <v>0.82999999999999996</v>
      </c>
    </row>
    <row r="5503" ht="25.5">
      <c r="A5503" t="s">
        <v>5537</v>
      </c>
      <c r="B5503" s="19">
        <v>96672</v>
      </c>
      <c r="C5503" s="20" t="s">
        <v>5611</v>
      </c>
      <c r="D5503" s="19" t="s">
        <v>38</v>
      </c>
      <c r="E5503" s="21">
        <f t="shared" si="254"/>
        <v>57.640000000000001</v>
      </c>
      <c r="F5503" s="22">
        <v>0</v>
      </c>
      <c r="G5503" s="21">
        <f t="shared" si="255"/>
        <v>57.030000000000001</v>
      </c>
      <c r="H5503" s="22">
        <v>0</v>
      </c>
      <c r="I5503" s="23" t="str">
        <f t="shared" si="256"/>
        <v xml:space="preserve">COM VALOR</v>
      </c>
      <c r="J5503" s="19"/>
      <c r="L5503" s="21">
        <v>57.640000000000001</v>
      </c>
      <c r="M5503" s="22">
        <v>0.81000000000000005</v>
      </c>
      <c r="N5503" s="21">
        <v>57.030000000000001</v>
      </c>
      <c r="O5503" s="22">
        <v>0.81999999999999995</v>
      </c>
    </row>
    <row r="5504" ht="25.5">
      <c r="A5504" t="s">
        <v>5537</v>
      </c>
      <c r="B5504" s="19">
        <v>96680</v>
      </c>
      <c r="C5504" s="20" t="s">
        <v>5612</v>
      </c>
      <c r="D5504" s="19" t="s">
        <v>38</v>
      </c>
      <c r="E5504" s="21">
        <f t="shared" si="254"/>
        <v>109.66</v>
      </c>
      <c r="F5504" s="22">
        <v>0</v>
      </c>
      <c r="G5504" s="21">
        <f t="shared" si="255"/>
        <v>108.83</v>
      </c>
      <c r="H5504" s="22">
        <v>0</v>
      </c>
      <c r="I5504" s="23" t="str">
        <f t="shared" si="256"/>
        <v xml:space="preserve">COM VALOR</v>
      </c>
      <c r="J5504" s="19"/>
      <c r="L5504" s="21">
        <v>109.66</v>
      </c>
      <c r="M5504" s="22">
        <v>0.87</v>
      </c>
      <c r="N5504" s="21">
        <v>108.83</v>
      </c>
      <c r="O5504" s="22">
        <v>0.87</v>
      </c>
    </row>
    <row r="5505" ht="25.5">
      <c r="A5505" t="s">
        <v>5537</v>
      </c>
      <c r="B5505" s="19">
        <v>96673</v>
      </c>
      <c r="C5505" s="20" t="s">
        <v>5613</v>
      </c>
      <c r="D5505" s="19" t="s">
        <v>38</v>
      </c>
      <c r="E5505" s="21">
        <f t="shared" si="254"/>
        <v>72.790000000000006</v>
      </c>
      <c r="F5505" s="22">
        <v>0</v>
      </c>
      <c r="G5505" s="21">
        <f t="shared" si="255"/>
        <v>72.079999999999998</v>
      </c>
      <c r="H5505" s="22">
        <v>0</v>
      </c>
      <c r="I5505" s="23" t="str">
        <f t="shared" si="256"/>
        <v xml:space="preserve">COM VALOR</v>
      </c>
      <c r="J5505" s="19"/>
      <c r="L5505" s="21">
        <v>72.790000000000006</v>
      </c>
      <c r="M5505" s="22">
        <v>0.82499999999999996</v>
      </c>
      <c r="N5505" s="21">
        <v>72.079999999999998</v>
      </c>
      <c r="O5505" s="22">
        <v>0.82999999999999996</v>
      </c>
    </row>
    <row r="5506" ht="25.5">
      <c r="A5506" t="s">
        <v>5537</v>
      </c>
      <c r="B5506" s="19">
        <v>96681</v>
      </c>
      <c r="C5506" s="20" t="s">
        <v>5614</v>
      </c>
      <c r="D5506" s="19" t="s">
        <v>38</v>
      </c>
      <c r="E5506" s="21">
        <f t="shared" si="254"/>
        <v>147.81999999999999</v>
      </c>
      <c r="F5506" s="22">
        <v>0</v>
      </c>
      <c r="G5506" s="21">
        <f t="shared" si="255"/>
        <v>146.86000000000001</v>
      </c>
      <c r="H5506" s="22">
        <v>0</v>
      </c>
      <c r="I5506" s="23" t="str">
        <f t="shared" si="256"/>
        <v xml:space="preserve">COM VALOR</v>
      </c>
      <c r="J5506" s="19"/>
      <c r="L5506" s="21">
        <v>147.81999999999999</v>
      </c>
      <c r="M5506" s="22">
        <v>0.88</v>
      </c>
      <c r="N5506" s="21">
        <v>146.86000000000001</v>
      </c>
      <c r="O5506" s="22">
        <v>0.89000000000000001</v>
      </c>
    </row>
    <row r="5507" ht="25.5">
      <c r="A5507" t="s">
        <v>5537</v>
      </c>
      <c r="B5507" s="19">
        <v>96674</v>
      </c>
      <c r="C5507" s="20" t="s">
        <v>5615</v>
      </c>
      <c r="D5507" s="19" t="s">
        <v>38</v>
      </c>
      <c r="E5507" s="21">
        <f t="shared" si="254"/>
        <v>118.3</v>
      </c>
      <c r="F5507" s="22">
        <v>0</v>
      </c>
      <c r="G5507" s="21">
        <f t="shared" si="255"/>
        <v>117.45</v>
      </c>
      <c r="H5507" s="22">
        <v>0</v>
      </c>
      <c r="I5507" s="23" t="str">
        <f t="shared" si="256"/>
        <v xml:space="preserve">COM VALOR</v>
      </c>
      <c r="J5507" s="19"/>
      <c r="L5507" s="21">
        <v>118.3</v>
      </c>
      <c r="M5507" s="22">
        <v>0.87</v>
      </c>
      <c r="N5507" s="21">
        <v>117.45</v>
      </c>
      <c r="O5507" s="22">
        <v>0.88</v>
      </c>
    </row>
    <row r="5508" ht="25.5">
      <c r="A5508" t="s">
        <v>5537</v>
      </c>
      <c r="B5508" s="19">
        <v>96682</v>
      </c>
      <c r="C5508" s="20" t="s">
        <v>5616</v>
      </c>
      <c r="D5508" s="19" t="s">
        <v>38</v>
      </c>
      <c r="E5508" s="21">
        <f t="shared" si="254"/>
        <v>244.83000000000001</v>
      </c>
      <c r="F5508" s="22">
        <v>0</v>
      </c>
      <c r="G5508" s="21">
        <f t="shared" si="255"/>
        <v>243.69</v>
      </c>
      <c r="H5508" s="22">
        <v>0</v>
      </c>
      <c r="I5508" s="23" t="str">
        <f t="shared" si="256"/>
        <v xml:space="preserve">COM VALOR</v>
      </c>
      <c r="J5508" s="19"/>
      <c r="L5508" s="21">
        <v>244.83000000000001</v>
      </c>
      <c r="M5508" s="22">
        <v>0.92000000000000004</v>
      </c>
      <c r="N5508" s="21">
        <v>243.69</v>
      </c>
      <c r="O5508" s="22">
        <v>0.92000000000000004</v>
      </c>
    </row>
    <row r="5509" ht="25.5">
      <c r="A5509" t="s">
        <v>5537</v>
      </c>
      <c r="B5509" s="19">
        <v>96643</v>
      </c>
      <c r="C5509" s="20" t="s">
        <v>5617</v>
      </c>
      <c r="D5509" s="19" t="s">
        <v>31</v>
      </c>
      <c r="E5509" s="21">
        <f t="shared" si="254"/>
        <v>48.979999999999997</v>
      </c>
      <c r="F5509" s="22">
        <v>0</v>
      </c>
      <c r="G5509" s="21">
        <f t="shared" si="255"/>
        <v>48.270000000000003</v>
      </c>
      <c r="H5509" s="22">
        <v>0</v>
      </c>
      <c r="I5509" s="23" t="str">
        <f t="shared" si="256"/>
        <v xml:space="preserve">COM VALOR</v>
      </c>
      <c r="J5509" s="19"/>
      <c r="L5509" s="21">
        <v>48.979999999999997</v>
      </c>
      <c r="M5509" s="22">
        <v>0.73999999999999999</v>
      </c>
      <c r="N5509" s="21">
        <v>48.270000000000003</v>
      </c>
      <c r="O5509" s="22">
        <v>0.75</v>
      </c>
    </row>
    <row r="5510" ht="25.5">
      <c r="A5510" t="s">
        <v>5537</v>
      </c>
      <c r="B5510" s="19">
        <v>104201</v>
      </c>
      <c r="C5510" s="20" t="s">
        <v>5618</v>
      </c>
      <c r="D5510" s="19" t="s">
        <v>31</v>
      </c>
      <c r="E5510" s="21">
        <f t="shared" si="254"/>
        <v>21.100000000000001</v>
      </c>
      <c r="F5510" s="22">
        <v>0</v>
      </c>
      <c r="G5510" s="21">
        <f t="shared" si="255"/>
        <v>20.68</v>
      </c>
      <c r="H5510" s="22">
        <v>0</v>
      </c>
      <c r="I5510" s="23" t="str">
        <f t="shared" si="256"/>
        <v xml:space="preserve">COM VALOR</v>
      </c>
      <c r="J5510" s="19"/>
      <c r="L5510" s="21">
        <v>21.100000000000001</v>
      </c>
      <c r="M5510" s="22">
        <v>0.65000000000000002</v>
      </c>
      <c r="N5510" s="21">
        <v>20.68</v>
      </c>
      <c r="O5510" s="22">
        <v>0.66000000000000003</v>
      </c>
    </row>
    <row r="5511" ht="25.5">
      <c r="A5511" t="s">
        <v>5537</v>
      </c>
      <c r="B5511" s="19">
        <v>104192</v>
      </c>
      <c r="C5511" s="20" t="s">
        <v>5619</v>
      </c>
      <c r="D5511" s="19" t="s">
        <v>31</v>
      </c>
      <c r="E5511" s="21">
        <f t="shared" si="254"/>
        <v>30.890000000000001</v>
      </c>
      <c r="F5511" s="22">
        <v>0</v>
      </c>
      <c r="G5511" s="21">
        <f t="shared" si="255"/>
        <v>30.18</v>
      </c>
      <c r="H5511" s="22">
        <v>0</v>
      </c>
      <c r="I5511" s="23" t="str">
        <f t="shared" si="256"/>
        <v xml:space="preserve">COM VALOR</v>
      </c>
      <c r="J5511" s="19"/>
      <c r="L5511" s="21">
        <v>30.890000000000001</v>
      </c>
      <c r="M5511" s="22">
        <v>0.58999999999999997</v>
      </c>
      <c r="N5511" s="21">
        <v>30.18</v>
      </c>
      <c r="O5511" s="22">
        <v>0.59999999999999998</v>
      </c>
    </row>
    <row r="5512" ht="25.5">
      <c r="A5512" t="s">
        <v>5537</v>
      </c>
      <c r="B5512" s="19">
        <v>104202</v>
      </c>
      <c r="C5512" s="20" t="s">
        <v>5620</v>
      </c>
      <c r="D5512" s="19" t="s">
        <v>31</v>
      </c>
      <c r="E5512" s="21">
        <f t="shared" si="254"/>
        <v>11.539999999999999</v>
      </c>
      <c r="F5512" s="22">
        <v>0</v>
      </c>
      <c r="G5512" s="21">
        <f t="shared" si="255"/>
        <v>11.119999999999999</v>
      </c>
      <c r="H5512" s="22">
        <v>0</v>
      </c>
      <c r="I5512" s="23" t="str">
        <f t="shared" si="256"/>
        <v xml:space="preserve">COM VALOR</v>
      </c>
      <c r="J5512" s="19"/>
      <c r="L5512" s="21">
        <v>11.539999999999999</v>
      </c>
      <c r="M5512" s="22">
        <v>0.34999999999999998</v>
      </c>
      <c r="N5512" s="21">
        <v>11.119999999999999</v>
      </c>
      <c r="O5512" s="22">
        <v>0.37</v>
      </c>
    </row>
    <row r="5513" ht="25.5">
      <c r="A5513" t="s">
        <v>5537</v>
      </c>
      <c r="B5513" s="19">
        <v>96717</v>
      </c>
      <c r="C5513" s="20" t="s">
        <v>5621</v>
      </c>
      <c r="D5513" s="19" t="s">
        <v>31</v>
      </c>
      <c r="E5513" s="21">
        <f t="shared" si="254"/>
        <v>337.61000000000001</v>
      </c>
      <c r="F5513" s="22">
        <v>0</v>
      </c>
      <c r="G5513" s="21">
        <f t="shared" si="255"/>
        <v>335.18000000000001</v>
      </c>
      <c r="H5513" s="22">
        <v>0</v>
      </c>
      <c r="I5513" s="23" t="str">
        <f t="shared" si="256"/>
        <v xml:space="preserve">COM VALOR</v>
      </c>
      <c r="J5513" s="19"/>
      <c r="L5513" s="21">
        <v>337.61000000000001</v>
      </c>
      <c r="M5513" s="22">
        <v>0.87</v>
      </c>
      <c r="N5513" s="21">
        <v>335.18000000000001</v>
      </c>
      <c r="O5513" s="22">
        <v>0.88</v>
      </c>
    </row>
    <row r="5514" ht="25.5">
      <c r="A5514" t="s">
        <v>5537</v>
      </c>
      <c r="B5514" s="19">
        <v>96710</v>
      </c>
      <c r="C5514" s="20" t="s">
        <v>5622</v>
      </c>
      <c r="D5514" s="19" t="s">
        <v>31</v>
      </c>
      <c r="E5514" s="21">
        <f t="shared" si="254"/>
        <v>15.34</v>
      </c>
      <c r="F5514" s="22">
        <v>0</v>
      </c>
      <c r="G5514" s="21">
        <f t="shared" si="255"/>
        <v>14.68</v>
      </c>
      <c r="H5514" s="22">
        <v>0</v>
      </c>
      <c r="I5514" s="23" t="str">
        <f t="shared" si="256"/>
        <v xml:space="preserve">COM VALOR</v>
      </c>
      <c r="J5514" s="19"/>
      <c r="L5514" s="21">
        <v>15.34</v>
      </c>
      <c r="M5514" s="22">
        <v>0.22750000000000001</v>
      </c>
      <c r="N5514" s="21">
        <v>14.68</v>
      </c>
      <c r="O5514" s="22">
        <v>0.23999999999999999</v>
      </c>
    </row>
    <row r="5515" ht="25.5">
      <c r="A5515" t="s">
        <v>5537</v>
      </c>
      <c r="B5515" s="19">
        <v>96665</v>
      </c>
      <c r="C5515" s="20" t="s">
        <v>5623</v>
      </c>
      <c r="D5515" s="19" t="s">
        <v>31</v>
      </c>
      <c r="E5515" s="21">
        <f t="shared" ref="E5515:E5578" si="257">IF(L5515=0,"VERIFICAR",L5515)</f>
        <v>11.98</v>
      </c>
      <c r="F5515" s="22">
        <v>0</v>
      </c>
      <c r="G5515" s="21">
        <f t="shared" ref="G5515:G5578" si="258">IF(N5515=0,"VERIFICAR",N5515)</f>
        <v>11.5</v>
      </c>
      <c r="H5515" s="22">
        <v>0</v>
      </c>
      <c r="I5515" s="23" t="str">
        <f t="shared" ref="I5515:I5578" si="259">IF(OR(E5515=0,G5515=0),"SEM VALOR","COM VALOR")</f>
        <v xml:space="preserve">COM VALOR</v>
      </c>
      <c r="J5515" s="19"/>
      <c r="L5515" s="21">
        <v>11.98</v>
      </c>
      <c r="M5515" s="22">
        <v>0.28999999999999998</v>
      </c>
      <c r="N5515" s="21">
        <v>11.5</v>
      </c>
      <c r="O5515" s="22">
        <v>0.29999999999999999</v>
      </c>
    </row>
    <row r="5516" ht="25.5">
      <c r="A5516" t="s">
        <v>5537</v>
      </c>
      <c r="B5516" s="19">
        <v>96642</v>
      </c>
      <c r="C5516" s="20" t="s">
        <v>5624</v>
      </c>
      <c r="D5516" s="19" t="s">
        <v>31</v>
      </c>
      <c r="E5516" s="21">
        <f t="shared" si="257"/>
        <v>21.32</v>
      </c>
      <c r="F5516" s="22">
        <v>0</v>
      </c>
      <c r="G5516" s="21">
        <f t="shared" si="258"/>
        <v>20.329999999999998</v>
      </c>
      <c r="H5516" s="22">
        <v>0</v>
      </c>
      <c r="I5516" s="23" t="str">
        <f t="shared" si="259"/>
        <v xml:space="preserve">COM VALOR</v>
      </c>
      <c r="J5516" s="19"/>
      <c r="L5516" s="21">
        <v>21.32</v>
      </c>
      <c r="M5516" s="22">
        <v>0.16</v>
      </c>
      <c r="N5516" s="21">
        <v>20.329999999999998</v>
      </c>
      <c r="O5516" s="22">
        <v>0.17000000000000001</v>
      </c>
    </row>
    <row r="5517" ht="25.5">
      <c r="A5517" t="s">
        <v>5537</v>
      </c>
      <c r="B5517" s="19">
        <v>96711</v>
      </c>
      <c r="C5517" s="20" t="s">
        <v>5625</v>
      </c>
      <c r="D5517" s="19" t="s">
        <v>31</v>
      </c>
      <c r="E5517" s="21">
        <f t="shared" si="257"/>
        <v>23.149999999999999</v>
      </c>
      <c r="F5517" s="22">
        <v>0</v>
      </c>
      <c r="G5517" s="21">
        <f t="shared" si="258"/>
        <v>22.34</v>
      </c>
      <c r="H5517" s="22">
        <v>0</v>
      </c>
      <c r="I5517" s="23" t="str">
        <f t="shared" si="259"/>
        <v xml:space="preserve">COM VALOR</v>
      </c>
      <c r="J5517" s="19"/>
      <c r="L5517" s="21">
        <v>23.149999999999999</v>
      </c>
      <c r="M5517" s="22">
        <v>0.38</v>
      </c>
      <c r="N5517" s="21">
        <v>22.34</v>
      </c>
      <c r="O5517" s="22">
        <v>0.39000000000000001</v>
      </c>
    </row>
    <row r="5518" ht="25.5">
      <c r="A5518" t="s">
        <v>5537</v>
      </c>
      <c r="B5518" s="19">
        <v>96666</v>
      </c>
      <c r="C5518" s="20" t="s">
        <v>5626</v>
      </c>
      <c r="D5518" s="19" t="s">
        <v>31</v>
      </c>
      <c r="E5518" s="21">
        <f t="shared" si="257"/>
        <v>17.629999999999999</v>
      </c>
      <c r="F5518" s="22">
        <v>0</v>
      </c>
      <c r="G5518" s="21">
        <f t="shared" si="258"/>
        <v>17.129999999999999</v>
      </c>
      <c r="H5518" s="22">
        <v>0</v>
      </c>
      <c r="I5518" s="23" t="str">
        <f t="shared" si="259"/>
        <v xml:space="preserve">COM VALOR</v>
      </c>
      <c r="J5518" s="19"/>
      <c r="L5518" s="21">
        <v>17.629999999999999</v>
      </c>
      <c r="M5518" s="22">
        <v>0.48999999999999999</v>
      </c>
      <c r="N5518" s="21">
        <v>17.129999999999999</v>
      </c>
      <c r="O5518" s="22">
        <v>0.51000000000000001</v>
      </c>
    </row>
    <row r="5519" ht="25.5">
      <c r="A5519" t="s">
        <v>5537</v>
      </c>
      <c r="B5519" s="19">
        <v>96712</v>
      </c>
      <c r="C5519" s="20" t="s">
        <v>5627</v>
      </c>
      <c r="D5519" s="19" t="s">
        <v>31</v>
      </c>
      <c r="E5519" s="21">
        <f t="shared" si="257"/>
        <v>33.270000000000003</v>
      </c>
      <c r="F5519" s="22">
        <v>0</v>
      </c>
      <c r="G5519" s="21">
        <f t="shared" si="258"/>
        <v>32.289999999999999</v>
      </c>
      <c r="H5519" s="22">
        <v>0</v>
      </c>
      <c r="I5519" s="23" t="str">
        <f t="shared" si="259"/>
        <v xml:space="preserve">COM VALOR</v>
      </c>
      <c r="J5519" s="19"/>
      <c r="L5519" s="21">
        <v>33.270000000000003</v>
      </c>
      <c r="M5519" s="22">
        <v>0.47999999999999998</v>
      </c>
      <c r="N5519" s="21">
        <v>32.289999999999999</v>
      </c>
      <c r="O5519" s="22">
        <v>0.48999999999999999</v>
      </c>
    </row>
    <row r="5520" ht="25.5">
      <c r="A5520" t="s">
        <v>5537</v>
      </c>
      <c r="B5520" s="19">
        <v>96667</v>
      </c>
      <c r="C5520" s="20" t="s">
        <v>5628</v>
      </c>
      <c r="D5520" s="19" t="s">
        <v>31</v>
      </c>
      <c r="E5520" s="21">
        <f t="shared" si="257"/>
        <v>25.27</v>
      </c>
      <c r="F5520" s="22">
        <v>0</v>
      </c>
      <c r="G5520" s="21">
        <f t="shared" si="258"/>
        <v>24.75</v>
      </c>
      <c r="H5520" s="22">
        <v>0</v>
      </c>
      <c r="I5520" s="23" t="str">
        <f t="shared" si="259"/>
        <v xml:space="preserve">COM VALOR</v>
      </c>
      <c r="J5520" s="19"/>
      <c r="L5520" s="21">
        <v>25.27</v>
      </c>
      <c r="M5520" s="22">
        <v>0.63</v>
      </c>
      <c r="N5520" s="21">
        <v>24.75</v>
      </c>
      <c r="O5520" s="22">
        <v>0.64000000000000001</v>
      </c>
    </row>
    <row r="5521" ht="25.5">
      <c r="A5521" t="s">
        <v>5537</v>
      </c>
      <c r="B5521" s="19">
        <v>96713</v>
      </c>
      <c r="C5521" s="20" t="s">
        <v>5629</v>
      </c>
      <c r="D5521" s="19" t="s">
        <v>31</v>
      </c>
      <c r="E5521" s="21">
        <f t="shared" si="257"/>
        <v>51.670000000000002</v>
      </c>
      <c r="F5521" s="22">
        <v>0</v>
      </c>
      <c r="G5521" s="21">
        <f t="shared" si="258"/>
        <v>50.479999999999997</v>
      </c>
      <c r="H5521" s="22">
        <v>0</v>
      </c>
      <c r="I5521" s="23" t="str">
        <f t="shared" si="259"/>
        <v xml:space="preserve">COM VALOR</v>
      </c>
      <c r="J5521" s="19"/>
      <c r="L5521" s="21">
        <v>51.670000000000002</v>
      </c>
      <c r="M5521" s="22">
        <v>0.58999999999999997</v>
      </c>
      <c r="N5521" s="21">
        <v>50.479999999999997</v>
      </c>
      <c r="O5521" s="22">
        <v>0.59999999999999998</v>
      </c>
    </row>
    <row r="5522" ht="25.5">
      <c r="A5522" t="s">
        <v>5537</v>
      </c>
      <c r="B5522" s="19">
        <v>96714</v>
      </c>
      <c r="C5522" s="20" t="s">
        <v>5630</v>
      </c>
      <c r="D5522" s="19" t="s">
        <v>31</v>
      </c>
      <c r="E5522" s="21">
        <f t="shared" si="257"/>
        <v>73.959999999999994</v>
      </c>
      <c r="F5522" s="22">
        <v>0</v>
      </c>
      <c r="G5522" s="21">
        <f t="shared" si="258"/>
        <v>72.5</v>
      </c>
      <c r="H5522" s="22">
        <v>0</v>
      </c>
      <c r="I5522" s="23" t="str">
        <f t="shared" si="259"/>
        <v xml:space="preserve">COM VALOR</v>
      </c>
      <c r="J5522" s="19"/>
      <c r="L5522" s="21">
        <v>73.959999999999994</v>
      </c>
      <c r="M5522" s="22">
        <v>0.65000000000000002</v>
      </c>
      <c r="N5522" s="21">
        <v>72.5</v>
      </c>
      <c r="O5522" s="22">
        <v>0.66000000000000003</v>
      </c>
    </row>
    <row r="5523" ht="25.5">
      <c r="A5523" t="s">
        <v>5537</v>
      </c>
      <c r="B5523" s="19">
        <v>96715</v>
      </c>
      <c r="C5523" s="20" t="s">
        <v>5631</v>
      </c>
      <c r="D5523" s="19" t="s">
        <v>31</v>
      </c>
      <c r="E5523" s="21">
        <f t="shared" si="257"/>
        <v>133.5</v>
      </c>
      <c r="F5523" s="22">
        <v>0</v>
      </c>
      <c r="G5523" s="21">
        <f t="shared" si="258"/>
        <v>131.78999999999999</v>
      </c>
      <c r="H5523" s="22">
        <v>0</v>
      </c>
      <c r="I5523" s="23" t="str">
        <f t="shared" si="259"/>
        <v xml:space="preserve">COM VALOR</v>
      </c>
      <c r="J5523" s="19"/>
      <c r="L5523" s="21">
        <v>133.5</v>
      </c>
      <c r="M5523" s="22">
        <v>0.77000000000000002</v>
      </c>
      <c r="N5523" s="21">
        <v>131.78999999999999</v>
      </c>
      <c r="O5523" s="22">
        <v>0.78000000000000003</v>
      </c>
    </row>
    <row r="5524" ht="25.5">
      <c r="A5524" t="s">
        <v>5537</v>
      </c>
      <c r="B5524" s="19">
        <v>96716</v>
      </c>
      <c r="C5524" s="20" t="s">
        <v>5632</v>
      </c>
      <c r="D5524" s="19" t="s">
        <v>31</v>
      </c>
      <c r="E5524" s="21">
        <f t="shared" si="257"/>
        <v>174.30000000000001</v>
      </c>
      <c r="F5524" s="22">
        <v>0</v>
      </c>
      <c r="G5524" s="21">
        <f t="shared" si="258"/>
        <v>172.27000000000001</v>
      </c>
      <c r="H5524" s="22">
        <v>0</v>
      </c>
      <c r="I5524" s="23" t="str">
        <f t="shared" si="259"/>
        <v xml:space="preserve">COM VALOR</v>
      </c>
      <c r="J5524" s="19"/>
      <c r="L5524" s="21">
        <v>174.30000000000001</v>
      </c>
      <c r="M5524" s="22">
        <v>0.79000000000000004</v>
      </c>
      <c r="N5524" s="21">
        <v>172.27000000000001</v>
      </c>
      <c r="O5524" s="22">
        <v>0.80000000000000004</v>
      </c>
    </row>
    <row r="5525" ht="38.25">
      <c r="A5525" t="s">
        <v>5633</v>
      </c>
      <c r="B5525" s="19">
        <v>104328</v>
      </c>
      <c r="C5525" s="20" t="s">
        <v>5634</v>
      </c>
      <c r="D5525" s="19" t="s">
        <v>31</v>
      </c>
      <c r="E5525" s="21">
        <f t="shared" si="257"/>
        <v>77.099999999999994</v>
      </c>
      <c r="F5525" s="22">
        <v>0</v>
      </c>
      <c r="G5525" s="21">
        <f t="shared" si="258"/>
        <v>75.890000000000001</v>
      </c>
      <c r="H5525" s="22">
        <v>0</v>
      </c>
      <c r="I5525" s="23" t="str">
        <f t="shared" si="259"/>
        <v xml:space="preserve">COM VALOR</v>
      </c>
      <c r="J5525" s="19"/>
      <c r="L5525" s="21">
        <v>77.099999999999994</v>
      </c>
      <c r="M5525" s="22">
        <v>0</v>
      </c>
      <c r="N5525" s="21">
        <v>75.890000000000001</v>
      </c>
      <c r="O5525" s="22">
        <v>0</v>
      </c>
    </row>
    <row r="5526" ht="38.25">
      <c r="A5526" t="s">
        <v>5633</v>
      </c>
      <c r="B5526" s="19">
        <v>104329</v>
      </c>
      <c r="C5526" s="20" t="s">
        <v>5635</v>
      </c>
      <c r="D5526" s="19" t="s">
        <v>31</v>
      </c>
      <c r="E5526" s="21">
        <f t="shared" si="257"/>
        <v>87.269999999999996</v>
      </c>
      <c r="F5526" s="22">
        <v>0</v>
      </c>
      <c r="G5526" s="21">
        <f t="shared" si="258"/>
        <v>86.060000000000002</v>
      </c>
      <c r="H5526" s="22">
        <v>0</v>
      </c>
      <c r="I5526" s="23" t="str">
        <f t="shared" si="259"/>
        <v xml:space="preserve">COM VALOR</v>
      </c>
      <c r="J5526" s="19"/>
      <c r="L5526" s="21">
        <v>87.269999999999996</v>
      </c>
      <c r="M5526" s="22">
        <v>0</v>
      </c>
      <c r="N5526" s="21">
        <v>86.060000000000002</v>
      </c>
      <c r="O5526" s="22">
        <v>0</v>
      </c>
    </row>
    <row r="5527" ht="38.25">
      <c r="A5527" t="s">
        <v>5633</v>
      </c>
      <c r="B5527" s="19">
        <v>89707</v>
      </c>
      <c r="C5527" s="20" t="s">
        <v>5636</v>
      </c>
      <c r="D5527" s="19" t="s">
        <v>31</v>
      </c>
      <c r="E5527" s="21">
        <f t="shared" si="257"/>
        <v>52.810000000000002</v>
      </c>
      <c r="F5527" s="22">
        <v>0</v>
      </c>
      <c r="G5527" s="21">
        <f t="shared" si="258"/>
        <v>51.670000000000002</v>
      </c>
      <c r="H5527" s="22">
        <v>0</v>
      </c>
      <c r="I5527" s="23" t="str">
        <f t="shared" si="259"/>
        <v xml:space="preserve">COM VALOR</v>
      </c>
      <c r="J5527" s="19"/>
      <c r="L5527" s="21">
        <v>52.810000000000002</v>
      </c>
      <c r="M5527" s="22">
        <v>0</v>
      </c>
      <c r="N5527" s="21">
        <v>51.670000000000002</v>
      </c>
      <c r="O5527" s="22">
        <v>0</v>
      </c>
    </row>
    <row r="5528" ht="38.25">
      <c r="A5528" t="s">
        <v>5633</v>
      </c>
      <c r="B5528" s="19">
        <v>89708</v>
      </c>
      <c r="C5528" s="20" t="s">
        <v>5637</v>
      </c>
      <c r="D5528" s="19" t="s">
        <v>31</v>
      </c>
      <c r="E5528" s="21">
        <f t="shared" si="257"/>
        <v>114.31</v>
      </c>
      <c r="F5528" s="22">
        <v>0</v>
      </c>
      <c r="G5528" s="21">
        <f t="shared" si="258"/>
        <v>112.94</v>
      </c>
      <c r="H5528" s="22">
        <v>0</v>
      </c>
      <c r="I5528" s="23" t="str">
        <f t="shared" si="259"/>
        <v xml:space="preserve">COM VALOR</v>
      </c>
      <c r="J5528" s="19"/>
      <c r="L5528" s="21">
        <v>114.31</v>
      </c>
      <c r="M5528" s="22">
        <v>0</v>
      </c>
      <c r="N5528" s="21">
        <v>112.94</v>
      </c>
      <c r="O5528" s="22">
        <v>0</v>
      </c>
    </row>
    <row r="5529" ht="38.25">
      <c r="A5529" t="s">
        <v>5633</v>
      </c>
      <c r="B5529" s="19">
        <v>104330</v>
      </c>
      <c r="C5529" s="20" t="s">
        <v>5638</v>
      </c>
      <c r="D5529" s="19" t="s">
        <v>31</v>
      </c>
      <c r="E5529" s="21" t="str">
        <f t="shared" si="257"/>
        <v>VERIFICAR</v>
      </c>
      <c r="F5529" s="22">
        <v>0</v>
      </c>
      <c r="G5529" s="21" t="str">
        <f t="shared" si="258"/>
        <v>VERIFICAR</v>
      </c>
      <c r="H5529" s="22">
        <v>0</v>
      </c>
      <c r="I5529" s="23" t="str">
        <f t="shared" si="259"/>
        <v xml:space="preserve">COM VALOR</v>
      </c>
      <c r="J5529" s="19"/>
      <c r="L5529" s="21">
        <v>0</v>
      </c>
      <c r="M5529" s="22"/>
      <c r="N5529" s="21">
        <v>0</v>
      </c>
      <c r="O5529" s="22"/>
    </row>
    <row r="5530" ht="38.25">
      <c r="A5530" t="s">
        <v>5633</v>
      </c>
      <c r="B5530" s="19">
        <v>104326</v>
      </c>
      <c r="C5530" s="20" t="s">
        <v>5639</v>
      </c>
      <c r="D5530" s="19" t="s">
        <v>31</v>
      </c>
      <c r="E5530" s="21">
        <f t="shared" si="257"/>
        <v>21.68</v>
      </c>
      <c r="F5530" s="22">
        <v>0</v>
      </c>
      <c r="G5530" s="21">
        <f t="shared" si="258"/>
        <v>21.210000000000001</v>
      </c>
      <c r="H5530" s="22">
        <v>0</v>
      </c>
      <c r="I5530" s="23" t="str">
        <f t="shared" si="259"/>
        <v xml:space="preserve">COM VALOR</v>
      </c>
      <c r="J5530" s="19"/>
      <c r="L5530" s="21">
        <v>21.68</v>
      </c>
      <c r="M5530" s="22">
        <v>0</v>
      </c>
      <c r="N5530" s="21">
        <v>21.210000000000001</v>
      </c>
      <c r="O5530" s="22">
        <v>0</v>
      </c>
    </row>
    <row r="5531" ht="38.25">
      <c r="A5531" t="s">
        <v>5633</v>
      </c>
      <c r="B5531" s="19">
        <v>89710</v>
      </c>
      <c r="C5531" s="20" t="s">
        <v>5640</v>
      </c>
      <c r="D5531" s="19" t="s">
        <v>31</v>
      </c>
      <c r="E5531" s="21">
        <f t="shared" si="257"/>
        <v>19.920000000000002</v>
      </c>
      <c r="F5531" s="22">
        <v>0</v>
      </c>
      <c r="G5531" s="21">
        <f t="shared" si="258"/>
        <v>19.449999999999999</v>
      </c>
      <c r="H5531" s="22">
        <v>0</v>
      </c>
      <c r="I5531" s="23" t="str">
        <f t="shared" si="259"/>
        <v xml:space="preserve">COM VALOR</v>
      </c>
      <c r="J5531" s="19"/>
      <c r="L5531" s="21">
        <v>19.920000000000002</v>
      </c>
      <c r="M5531" s="22">
        <v>0</v>
      </c>
      <c r="N5531" s="21">
        <v>19.449999999999999</v>
      </c>
      <c r="O5531" s="22">
        <v>0</v>
      </c>
    </row>
    <row r="5532" ht="38.25">
      <c r="A5532" t="s">
        <v>5633</v>
      </c>
      <c r="B5532" s="19">
        <v>104327</v>
      </c>
      <c r="C5532" s="20" t="s">
        <v>5641</v>
      </c>
      <c r="D5532" s="19" t="s">
        <v>31</v>
      </c>
      <c r="E5532" s="21">
        <f t="shared" si="257"/>
        <v>20.640000000000001</v>
      </c>
      <c r="F5532" s="22">
        <v>0</v>
      </c>
      <c r="G5532" s="21">
        <f t="shared" si="258"/>
        <v>20.170000000000002</v>
      </c>
      <c r="H5532" s="22">
        <v>0</v>
      </c>
      <c r="I5532" s="23" t="str">
        <f t="shared" si="259"/>
        <v xml:space="preserve">COM VALOR</v>
      </c>
      <c r="J5532" s="19"/>
      <c r="L5532" s="21">
        <v>20.640000000000001</v>
      </c>
      <c r="M5532" s="22">
        <v>0</v>
      </c>
      <c r="N5532" s="21">
        <v>20.170000000000002</v>
      </c>
      <c r="O5532" s="22">
        <v>0</v>
      </c>
    </row>
    <row r="5533" ht="38.25">
      <c r="A5533" t="s">
        <v>5633</v>
      </c>
      <c r="B5533" s="19">
        <v>89709</v>
      </c>
      <c r="C5533" s="20" t="s">
        <v>5642</v>
      </c>
      <c r="D5533" s="19" t="s">
        <v>31</v>
      </c>
      <c r="E5533" s="21">
        <f t="shared" si="257"/>
        <v>22.77</v>
      </c>
      <c r="F5533" s="22">
        <v>0</v>
      </c>
      <c r="G5533" s="21">
        <f t="shared" si="258"/>
        <v>22.300000000000001</v>
      </c>
      <c r="H5533" s="22">
        <v>0</v>
      </c>
      <c r="I5533" s="23" t="str">
        <f t="shared" si="259"/>
        <v xml:space="preserve">COM VALOR</v>
      </c>
      <c r="J5533" s="19"/>
      <c r="L5533" s="21">
        <v>22.77</v>
      </c>
      <c r="M5533" s="22">
        <v>0</v>
      </c>
      <c r="N5533" s="21">
        <v>22.300000000000001</v>
      </c>
      <c r="O5533" s="22">
        <v>0</v>
      </c>
    </row>
    <row r="5534" ht="38.25">
      <c r="A5534" t="s">
        <v>5643</v>
      </c>
      <c r="B5534" s="19">
        <v>104341</v>
      </c>
      <c r="C5534" s="20" t="s">
        <v>5644</v>
      </c>
      <c r="D5534" s="19" t="s">
        <v>31</v>
      </c>
      <c r="E5534" s="21">
        <f t="shared" si="257"/>
        <v>11.460000000000001</v>
      </c>
      <c r="F5534" s="22">
        <v>0</v>
      </c>
      <c r="G5534" s="21">
        <f t="shared" si="258"/>
        <v>11.210000000000001</v>
      </c>
      <c r="H5534" s="22">
        <v>0</v>
      </c>
      <c r="I5534" s="23" t="str">
        <f t="shared" si="259"/>
        <v xml:space="preserve">COM VALOR</v>
      </c>
      <c r="J5534" s="19"/>
      <c r="L5534" s="21">
        <v>11.460000000000001</v>
      </c>
      <c r="M5534" s="22">
        <v>0</v>
      </c>
      <c r="N5534" s="21">
        <v>11.210000000000001</v>
      </c>
      <c r="O5534" s="22">
        <v>0</v>
      </c>
    </row>
    <row r="5535" ht="38.25">
      <c r="A5535" t="s">
        <v>5643</v>
      </c>
      <c r="B5535" s="19">
        <v>104357</v>
      </c>
      <c r="C5535" s="20" t="s">
        <v>5645</v>
      </c>
      <c r="D5535" s="19" t="s">
        <v>31</v>
      </c>
      <c r="E5535" s="21">
        <f t="shared" si="257"/>
        <v>20.359999999999999</v>
      </c>
      <c r="F5535" s="22">
        <v>0</v>
      </c>
      <c r="G5535" s="21">
        <f t="shared" si="258"/>
        <v>20.100000000000001</v>
      </c>
      <c r="H5535" s="22">
        <v>0</v>
      </c>
      <c r="I5535" s="23" t="str">
        <f t="shared" si="259"/>
        <v xml:space="preserve">COM VALOR</v>
      </c>
      <c r="J5535" s="19"/>
      <c r="L5535" s="21">
        <v>20.359999999999999</v>
      </c>
      <c r="M5535" s="22">
        <v>0</v>
      </c>
      <c r="N5535" s="21">
        <v>20.100000000000001</v>
      </c>
      <c r="O5535" s="22">
        <v>0</v>
      </c>
    </row>
    <row r="5536" ht="38.25">
      <c r="A5536" t="s">
        <v>5643</v>
      </c>
      <c r="B5536" s="19">
        <v>89811</v>
      </c>
      <c r="C5536" s="20" t="s">
        <v>5646</v>
      </c>
      <c r="D5536" s="19" t="s">
        <v>31</v>
      </c>
      <c r="E5536" s="21">
        <f t="shared" si="257"/>
        <v>46.890000000000001</v>
      </c>
      <c r="F5536" s="22">
        <v>0</v>
      </c>
      <c r="G5536" s="21">
        <f t="shared" si="258"/>
        <v>46.259999999999998</v>
      </c>
      <c r="H5536" s="22">
        <v>0</v>
      </c>
      <c r="I5536" s="23" t="str">
        <f t="shared" si="259"/>
        <v xml:space="preserve">COM VALOR</v>
      </c>
      <c r="J5536" s="19"/>
      <c r="L5536" s="21">
        <v>46.890000000000001</v>
      </c>
      <c r="M5536" s="22">
        <v>0</v>
      </c>
      <c r="N5536" s="21">
        <v>46.259999999999998</v>
      </c>
      <c r="O5536" s="22">
        <v>0</v>
      </c>
    </row>
    <row r="5537" ht="38.25">
      <c r="A5537" t="s">
        <v>5643</v>
      </c>
      <c r="B5537" s="19">
        <v>89748</v>
      </c>
      <c r="C5537" s="20" t="s">
        <v>5647</v>
      </c>
      <c r="D5537" s="19" t="s">
        <v>31</v>
      </c>
      <c r="E5537" s="21">
        <f t="shared" si="257"/>
        <v>45.640000000000001</v>
      </c>
      <c r="F5537" s="22">
        <v>0</v>
      </c>
      <c r="G5537" s="21">
        <f t="shared" si="258"/>
        <v>45.079999999999998</v>
      </c>
      <c r="H5537" s="22">
        <v>0</v>
      </c>
      <c r="I5537" s="23" t="str">
        <f t="shared" si="259"/>
        <v xml:space="preserve">COM VALOR</v>
      </c>
      <c r="J5537" s="19"/>
      <c r="L5537" s="21">
        <v>45.640000000000001</v>
      </c>
      <c r="M5537" s="22">
        <v>0</v>
      </c>
      <c r="N5537" s="21">
        <v>45.079999999999998</v>
      </c>
      <c r="O5537" s="22">
        <v>0</v>
      </c>
    </row>
    <row r="5538" ht="38.25">
      <c r="A5538" t="s">
        <v>5643</v>
      </c>
      <c r="B5538" s="19">
        <v>89852</v>
      </c>
      <c r="C5538" s="20" t="s">
        <v>5648</v>
      </c>
      <c r="D5538" s="19" t="s">
        <v>31</v>
      </c>
      <c r="E5538" s="21">
        <f t="shared" si="257"/>
        <v>49.950000000000003</v>
      </c>
      <c r="F5538" s="22">
        <v>0</v>
      </c>
      <c r="G5538" s="21">
        <f t="shared" si="258"/>
        <v>49.149999999999999</v>
      </c>
      <c r="H5538" s="22">
        <v>0</v>
      </c>
      <c r="I5538" s="23" t="str">
        <f t="shared" si="259"/>
        <v xml:space="preserve">COM VALOR</v>
      </c>
      <c r="J5538" s="19"/>
      <c r="L5538" s="21">
        <v>49.950000000000003</v>
      </c>
      <c r="M5538" s="22">
        <v>0</v>
      </c>
      <c r="N5538" s="21">
        <v>49.149999999999999</v>
      </c>
      <c r="O5538" s="22">
        <v>0</v>
      </c>
    </row>
    <row r="5539" ht="38.25">
      <c r="A5539" t="s">
        <v>5643</v>
      </c>
      <c r="B5539" s="19">
        <v>89728</v>
      </c>
      <c r="C5539" s="20" t="s">
        <v>5649</v>
      </c>
      <c r="D5539" s="19" t="s">
        <v>31</v>
      </c>
      <c r="E5539" s="21">
        <f t="shared" si="257"/>
        <v>14.17</v>
      </c>
      <c r="F5539" s="22">
        <v>0</v>
      </c>
      <c r="G5539" s="21">
        <f t="shared" si="258"/>
        <v>13.800000000000001</v>
      </c>
      <c r="H5539" s="22">
        <v>0</v>
      </c>
      <c r="I5539" s="23" t="str">
        <f t="shared" si="259"/>
        <v xml:space="preserve">COM VALOR</v>
      </c>
      <c r="J5539" s="19"/>
      <c r="L5539" s="21">
        <v>14.17</v>
      </c>
      <c r="M5539" s="22">
        <v>0</v>
      </c>
      <c r="N5539" s="21">
        <v>13.800000000000001</v>
      </c>
      <c r="O5539" s="22">
        <v>0</v>
      </c>
    </row>
    <row r="5540" ht="38.25">
      <c r="A5540" t="s">
        <v>5643</v>
      </c>
      <c r="B5540" s="19">
        <v>89803</v>
      </c>
      <c r="C5540" s="20" t="s">
        <v>5650</v>
      </c>
      <c r="D5540" s="19" t="s">
        <v>31</v>
      </c>
      <c r="E5540" s="21">
        <f t="shared" si="257"/>
        <v>19.609999999999999</v>
      </c>
      <c r="F5540" s="22">
        <v>0</v>
      </c>
      <c r="G5540" s="21">
        <f t="shared" si="258"/>
        <v>19.510000000000002</v>
      </c>
      <c r="H5540" s="22">
        <v>0</v>
      </c>
      <c r="I5540" s="23" t="str">
        <f t="shared" si="259"/>
        <v xml:space="preserve">COM VALOR</v>
      </c>
      <c r="J5540" s="19"/>
      <c r="L5540" s="21">
        <v>19.609999999999999</v>
      </c>
      <c r="M5540" s="22">
        <v>0</v>
      </c>
      <c r="N5540" s="21">
        <v>19.510000000000002</v>
      </c>
      <c r="O5540" s="22">
        <v>0</v>
      </c>
    </row>
    <row r="5541" ht="38.25">
      <c r="A5541" t="s">
        <v>5643</v>
      </c>
      <c r="B5541" s="19">
        <v>89733</v>
      </c>
      <c r="C5541" s="20" t="s">
        <v>5651</v>
      </c>
      <c r="D5541" s="19" t="s">
        <v>31</v>
      </c>
      <c r="E5541" s="21">
        <f t="shared" si="257"/>
        <v>24.879999999999999</v>
      </c>
      <c r="F5541" s="22">
        <v>0</v>
      </c>
      <c r="G5541" s="21">
        <f t="shared" si="258"/>
        <v>24.48</v>
      </c>
      <c r="H5541" s="22">
        <v>0</v>
      </c>
      <c r="I5541" s="23" t="str">
        <f t="shared" si="259"/>
        <v xml:space="preserve">COM VALOR</v>
      </c>
      <c r="J5541" s="19"/>
      <c r="L5541" s="21">
        <v>24.879999999999999</v>
      </c>
      <c r="M5541" s="22">
        <v>0</v>
      </c>
      <c r="N5541" s="21">
        <v>24.48</v>
      </c>
      <c r="O5541" s="22">
        <v>0</v>
      </c>
    </row>
    <row r="5542" ht="38.25">
      <c r="A5542" t="s">
        <v>5643</v>
      </c>
      <c r="B5542" s="19">
        <v>89807</v>
      </c>
      <c r="C5542" s="20" t="s">
        <v>5652</v>
      </c>
      <c r="D5542" s="19" t="s">
        <v>31</v>
      </c>
      <c r="E5542" s="21">
        <f t="shared" si="257"/>
        <v>40.689999999999998</v>
      </c>
      <c r="F5542" s="22">
        <v>0</v>
      </c>
      <c r="G5542" s="21">
        <f t="shared" si="258"/>
        <v>40.340000000000003</v>
      </c>
      <c r="H5542" s="22">
        <v>0</v>
      </c>
      <c r="I5542" s="23" t="str">
        <f t="shared" si="259"/>
        <v xml:space="preserve">COM VALOR</v>
      </c>
      <c r="J5542" s="19"/>
      <c r="L5542" s="21">
        <v>40.689999999999998</v>
      </c>
      <c r="M5542" s="22">
        <v>0</v>
      </c>
      <c r="N5542" s="21">
        <v>40.340000000000003</v>
      </c>
      <c r="O5542" s="22">
        <v>0</v>
      </c>
    </row>
    <row r="5543" ht="38.25">
      <c r="A5543" t="s">
        <v>5643</v>
      </c>
      <c r="B5543" s="19">
        <v>89742</v>
      </c>
      <c r="C5543" s="20" t="s">
        <v>5653</v>
      </c>
      <c r="D5543" s="19" t="s">
        <v>31</v>
      </c>
      <c r="E5543" s="21">
        <f t="shared" si="257"/>
        <v>42.700000000000003</v>
      </c>
      <c r="F5543" s="22">
        <v>0</v>
      </c>
      <c r="G5543" s="21">
        <f t="shared" si="258"/>
        <v>42.229999999999997</v>
      </c>
      <c r="H5543" s="22">
        <v>0</v>
      </c>
      <c r="I5543" s="23" t="str">
        <f t="shared" si="259"/>
        <v xml:space="preserve">COM VALOR</v>
      </c>
      <c r="J5543" s="19"/>
      <c r="L5543" s="21">
        <v>42.700000000000003</v>
      </c>
      <c r="M5543" s="22">
        <v>0</v>
      </c>
      <c r="N5543" s="21">
        <v>42.229999999999997</v>
      </c>
      <c r="O5543" s="22">
        <v>0</v>
      </c>
    </row>
    <row r="5544" ht="38.25">
      <c r="A5544" t="s">
        <v>5643</v>
      </c>
      <c r="B5544" s="19">
        <v>89812</v>
      </c>
      <c r="C5544" s="20" t="s">
        <v>5654</v>
      </c>
      <c r="D5544" s="19" t="s">
        <v>31</v>
      </c>
      <c r="E5544" s="21">
        <f t="shared" si="257"/>
        <v>86.189999999999998</v>
      </c>
      <c r="F5544" s="22">
        <v>0</v>
      </c>
      <c r="G5544" s="21">
        <f t="shared" si="258"/>
        <v>85.560000000000002</v>
      </c>
      <c r="H5544" s="22">
        <v>0</v>
      </c>
      <c r="I5544" s="23" t="str">
        <f t="shared" si="259"/>
        <v xml:space="preserve">COM VALOR</v>
      </c>
      <c r="J5544" s="19"/>
      <c r="L5544" s="21">
        <v>86.189999999999998</v>
      </c>
      <c r="M5544" s="22">
        <v>0</v>
      </c>
      <c r="N5544" s="21">
        <v>85.560000000000002</v>
      </c>
      <c r="O5544" s="22">
        <v>0</v>
      </c>
    </row>
    <row r="5545" ht="38.25">
      <c r="A5545" t="s">
        <v>5643</v>
      </c>
      <c r="B5545" s="19">
        <v>89750</v>
      </c>
      <c r="C5545" s="20" t="s">
        <v>5655</v>
      </c>
      <c r="D5545" s="19" t="s">
        <v>31</v>
      </c>
      <c r="E5545" s="21">
        <f t="shared" si="257"/>
        <v>84.939999999999998</v>
      </c>
      <c r="F5545" s="22">
        <v>0</v>
      </c>
      <c r="G5545" s="21">
        <f t="shared" si="258"/>
        <v>84.379999999999995</v>
      </c>
      <c r="H5545" s="22">
        <v>0</v>
      </c>
      <c r="I5545" s="23" t="str">
        <f t="shared" si="259"/>
        <v xml:space="preserve">COM VALOR</v>
      </c>
      <c r="J5545" s="19"/>
      <c r="L5545" s="21">
        <v>84.939999999999998</v>
      </c>
      <c r="M5545" s="22">
        <v>0</v>
      </c>
      <c r="N5545" s="21">
        <v>84.379999999999995</v>
      </c>
      <c r="O5545" s="22">
        <v>0</v>
      </c>
    </row>
    <row r="5546" ht="38.25">
      <c r="A5546" t="s">
        <v>5643</v>
      </c>
      <c r="B5546" s="19">
        <v>89853</v>
      </c>
      <c r="C5546" s="20" t="s">
        <v>5656</v>
      </c>
      <c r="D5546" s="19" t="s">
        <v>31</v>
      </c>
      <c r="E5546" s="21">
        <f t="shared" si="257"/>
        <v>89.25</v>
      </c>
      <c r="F5546" s="22">
        <v>0</v>
      </c>
      <c r="G5546" s="21">
        <f t="shared" si="258"/>
        <v>88.450000000000003</v>
      </c>
      <c r="H5546" s="22">
        <v>0</v>
      </c>
      <c r="I5546" s="23" t="str">
        <f t="shared" si="259"/>
        <v xml:space="preserve">COM VALOR</v>
      </c>
      <c r="J5546" s="19"/>
      <c r="L5546" s="21">
        <v>89.25</v>
      </c>
      <c r="M5546" s="22">
        <v>0</v>
      </c>
      <c r="N5546" s="21">
        <v>88.450000000000003</v>
      </c>
      <c r="O5546" s="22">
        <v>0</v>
      </c>
    </row>
    <row r="5547" ht="38.25">
      <c r="A5547" t="s">
        <v>5643</v>
      </c>
      <c r="B5547" s="19">
        <v>89730</v>
      </c>
      <c r="C5547" s="20" t="s">
        <v>5657</v>
      </c>
      <c r="D5547" s="19" t="s">
        <v>31</v>
      </c>
      <c r="E5547" s="21">
        <f t="shared" si="257"/>
        <v>16.300000000000001</v>
      </c>
      <c r="F5547" s="22">
        <v>0</v>
      </c>
      <c r="G5547" s="21">
        <f t="shared" si="258"/>
        <v>15.93</v>
      </c>
      <c r="H5547" s="22">
        <v>0</v>
      </c>
      <c r="I5547" s="23" t="str">
        <f t="shared" si="259"/>
        <v xml:space="preserve">COM VALOR</v>
      </c>
      <c r="J5547" s="19"/>
      <c r="L5547" s="21">
        <v>16.300000000000001</v>
      </c>
      <c r="M5547" s="22">
        <v>0</v>
      </c>
      <c r="N5547" s="21">
        <v>15.93</v>
      </c>
      <c r="O5547" s="22">
        <v>0</v>
      </c>
    </row>
    <row r="5548" ht="38.25">
      <c r="A5548" t="s">
        <v>5643</v>
      </c>
      <c r="B5548" s="19">
        <v>89804</v>
      </c>
      <c r="C5548" s="20" t="s">
        <v>5658</v>
      </c>
      <c r="D5548" s="19" t="s">
        <v>31</v>
      </c>
      <c r="E5548" s="21">
        <f t="shared" si="257"/>
        <v>22.059999999999999</v>
      </c>
      <c r="F5548" s="22">
        <v>0</v>
      </c>
      <c r="G5548" s="21">
        <f t="shared" si="258"/>
        <v>21.960000000000001</v>
      </c>
      <c r="H5548" s="22">
        <v>0</v>
      </c>
      <c r="I5548" s="23" t="str">
        <f t="shared" si="259"/>
        <v xml:space="preserve">COM VALOR</v>
      </c>
      <c r="J5548" s="19"/>
      <c r="L5548" s="21">
        <v>22.059999999999999</v>
      </c>
      <c r="M5548" s="22">
        <v>0</v>
      </c>
      <c r="N5548" s="21">
        <v>21.960000000000001</v>
      </c>
      <c r="O5548" s="22">
        <v>0</v>
      </c>
    </row>
    <row r="5549" ht="38.25">
      <c r="A5549" t="s">
        <v>5643</v>
      </c>
      <c r="B5549" s="19">
        <v>89735</v>
      </c>
      <c r="C5549" s="20" t="s">
        <v>5659</v>
      </c>
      <c r="D5549" s="19" t="s">
        <v>31</v>
      </c>
      <c r="E5549" s="21">
        <f t="shared" si="257"/>
        <v>27.329999999999998</v>
      </c>
      <c r="F5549" s="22">
        <v>0</v>
      </c>
      <c r="G5549" s="21">
        <f t="shared" si="258"/>
        <v>26.93</v>
      </c>
      <c r="H5549" s="22">
        <v>0</v>
      </c>
      <c r="I5549" s="23" t="str">
        <f t="shared" si="259"/>
        <v xml:space="preserve">COM VALOR</v>
      </c>
      <c r="J5549" s="19"/>
      <c r="L5549" s="21">
        <v>27.329999999999998</v>
      </c>
      <c r="M5549" s="22">
        <v>0</v>
      </c>
      <c r="N5549" s="21">
        <v>26.93</v>
      </c>
      <c r="O5549" s="22">
        <v>0</v>
      </c>
    </row>
    <row r="5550" ht="38.25">
      <c r="A5550" t="s">
        <v>5643</v>
      </c>
      <c r="B5550" s="19">
        <v>89808</v>
      </c>
      <c r="C5550" s="20" t="s">
        <v>5660</v>
      </c>
      <c r="D5550" s="19" t="s">
        <v>31</v>
      </c>
      <c r="E5550" s="21">
        <f t="shared" si="257"/>
        <v>63.780000000000001</v>
      </c>
      <c r="F5550" s="22">
        <v>0</v>
      </c>
      <c r="G5550" s="21">
        <f t="shared" si="258"/>
        <v>63.43</v>
      </c>
      <c r="H5550" s="22">
        <v>0</v>
      </c>
      <c r="I5550" s="23" t="str">
        <f t="shared" si="259"/>
        <v xml:space="preserve">COM VALOR</v>
      </c>
      <c r="J5550" s="19"/>
      <c r="L5550" s="21">
        <v>63.780000000000001</v>
      </c>
      <c r="M5550" s="22">
        <v>0</v>
      </c>
      <c r="N5550" s="21">
        <v>63.43</v>
      </c>
      <c r="O5550" s="22">
        <v>0</v>
      </c>
    </row>
    <row r="5551" ht="38.25">
      <c r="A5551" t="s">
        <v>5643</v>
      </c>
      <c r="B5551" s="19">
        <v>89743</v>
      </c>
      <c r="C5551" s="20" t="s">
        <v>5661</v>
      </c>
      <c r="D5551" s="19" t="s">
        <v>31</v>
      </c>
      <c r="E5551" s="21">
        <f t="shared" si="257"/>
        <v>65.790000000000006</v>
      </c>
      <c r="F5551" s="22">
        <v>0</v>
      </c>
      <c r="G5551" s="21">
        <f t="shared" si="258"/>
        <v>65.319999999999993</v>
      </c>
      <c r="H5551" s="22">
        <v>0</v>
      </c>
      <c r="I5551" s="23" t="str">
        <f t="shared" si="259"/>
        <v xml:space="preserve">COM VALOR</v>
      </c>
      <c r="J5551" s="19"/>
      <c r="L5551" s="21">
        <v>65.790000000000006</v>
      </c>
      <c r="M5551" s="22">
        <v>0</v>
      </c>
      <c r="N5551" s="21">
        <v>65.319999999999993</v>
      </c>
      <c r="O5551" s="22">
        <v>0</v>
      </c>
    </row>
    <row r="5552" ht="38.25">
      <c r="A5552" t="s">
        <v>5643</v>
      </c>
      <c r="B5552" s="19">
        <v>89810</v>
      </c>
      <c r="C5552" s="20" t="s">
        <v>5662</v>
      </c>
      <c r="D5552" s="19" t="s">
        <v>31</v>
      </c>
      <c r="E5552" s="21">
        <f t="shared" si="257"/>
        <v>30.960000000000001</v>
      </c>
      <c r="F5552" s="22">
        <v>0</v>
      </c>
      <c r="G5552" s="21">
        <f t="shared" si="258"/>
        <v>30.329999999999998</v>
      </c>
      <c r="H5552" s="22">
        <v>0</v>
      </c>
      <c r="I5552" s="23" t="str">
        <f t="shared" si="259"/>
        <v xml:space="preserve">COM VALOR</v>
      </c>
      <c r="J5552" s="19"/>
      <c r="L5552" s="21">
        <v>30.960000000000001</v>
      </c>
      <c r="M5552" s="22">
        <v>0</v>
      </c>
      <c r="N5552" s="21">
        <v>30.329999999999998</v>
      </c>
      <c r="O5552" s="22">
        <v>0</v>
      </c>
    </row>
    <row r="5553" ht="38.25">
      <c r="A5553" t="s">
        <v>5643</v>
      </c>
      <c r="B5553" s="19">
        <v>89746</v>
      </c>
      <c r="C5553" s="20" t="s">
        <v>5663</v>
      </c>
      <c r="D5553" s="19" t="s">
        <v>31</v>
      </c>
      <c r="E5553" s="21">
        <f t="shared" si="257"/>
        <v>29.710000000000001</v>
      </c>
      <c r="F5553" s="22">
        <v>0</v>
      </c>
      <c r="G5553" s="21">
        <f t="shared" si="258"/>
        <v>29.149999999999999</v>
      </c>
      <c r="H5553" s="22">
        <v>0</v>
      </c>
      <c r="I5553" s="23" t="str">
        <f t="shared" si="259"/>
        <v xml:space="preserve">COM VALOR</v>
      </c>
      <c r="J5553" s="19"/>
      <c r="L5553" s="21">
        <v>29.710000000000001</v>
      </c>
      <c r="M5553" s="22">
        <v>0</v>
      </c>
      <c r="N5553" s="21">
        <v>29.149999999999999</v>
      </c>
      <c r="O5553" s="22">
        <v>0</v>
      </c>
    </row>
    <row r="5554" ht="38.25">
      <c r="A5554" t="s">
        <v>5643</v>
      </c>
      <c r="B5554" s="19">
        <v>89851</v>
      </c>
      <c r="C5554" s="20" t="s">
        <v>5664</v>
      </c>
      <c r="D5554" s="19" t="s">
        <v>31</v>
      </c>
      <c r="E5554" s="21">
        <f t="shared" si="257"/>
        <v>34.020000000000003</v>
      </c>
      <c r="F5554" s="22">
        <v>0</v>
      </c>
      <c r="G5554" s="21">
        <f t="shared" si="258"/>
        <v>33.219999999999999</v>
      </c>
      <c r="H5554" s="22">
        <v>0</v>
      </c>
      <c r="I5554" s="23" t="str">
        <f t="shared" si="259"/>
        <v xml:space="preserve">COM VALOR</v>
      </c>
      <c r="J5554" s="19"/>
      <c r="L5554" s="21">
        <v>34.020000000000003</v>
      </c>
      <c r="M5554" s="22">
        <v>0</v>
      </c>
      <c r="N5554" s="21">
        <v>33.219999999999999</v>
      </c>
      <c r="O5554" s="22">
        <v>0</v>
      </c>
    </row>
    <row r="5555" ht="38.25">
      <c r="A5555" t="s">
        <v>5643</v>
      </c>
      <c r="B5555" s="19">
        <v>89855</v>
      </c>
      <c r="C5555" s="20" t="s">
        <v>5665</v>
      </c>
      <c r="D5555" s="19" t="s">
        <v>31</v>
      </c>
      <c r="E5555" s="21">
        <f t="shared" si="257"/>
        <v>118.40000000000001</v>
      </c>
      <c r="F5555" s="22">
        <v>0</v>
      </c>
      <c r="G5555" s="21">
        <f t="shared" si="258"/>
        <v>117.37</v>
      </c>
      <c r="H5555" s="22">
        <v>0</v>
      </c>
      <c r="I5555" s="23" t="str">
        <f t="shared" si="259"/>
        <v xml:space="preserve">COM VALOR</v>
      </c>
      <c r="J5555" s="19"/>
      <c r="L5555" s="21">
        <v>118.40000000000001</v>
      </c>
      <c r="M5555" s="22">
        <v>0</v>
      </c>
      <c r="N5555" s="21">
        <v>117.37</v>
      </c>
      <c r="O5555" s="22">
        <v>0</v>
      </c>
    </row>
    <row r="5556" ht="38.25">
      <c r="A5556" t="s">
        <v>5643</v>
      </c>
      <c r="B5556" s="19">
        <v>89726</v>
      </c>
      <c r="C5556" s="20" t="s">
        <v>5666</v>
      </c>
      <c r="D5556" s="19" t="s">
        <v>31</v>
      </c>
      <c r="E5556" s="21">
        <f t="shared" si="257"/>
        <v>11.15</v>
      </c>
      <c r="F5556" s="22">
        <v>0</v>
      </c>
      <c r="G5556" s="21">
        <f t="shared" si="258"/>
        <v>10.779999999999999</v>
      </c>
      <c r="H5556" s="22">
        <v>0</v>
      </c>
      <c r="I5556" s="23" t="str">
        <f t="shared" si="259"/>
        <v xml:space="preserve">COM VALOR</v>
      </c>
      <c r="J5556" s="19"/>
      <c r="L5556" s="21">
        <v>11.15</v>
      </c>
      <c r="M5556" s="22">
        <v>0</v>
      </c>
      <c r="N5556" s="21">
        <v>10.779999999999999</v>
      </c>
      <c r="O5556" s="22">
        <v>0</v>
      </c>
    </row>
    <row r="5557" ht="38.25">
      <c r="A5557" t="s">
        <v>5643</v>
      </c>
      <c r="B5557" s="19">
        <v>89802</v>
      </c>
      <c r="C5557" s="20" t="s">
        <v>5667</v>
      </c>
      <c r="D5557" s="19" t="s">
        <v>31</v>
      </c>
      <c r="E5557" s="21">
        <f t="shared" si="257"/>
        <v>10.949999999999999</v>
      </c>
      <c r="F5557" s="22">
        <v>0</v>
      </c>
      <c r="G5557" s="21">
        <f t="shared" si="258"/>
        <v>10.85</v>
      </c>
      <c r="H5557" s="22">
        <v>0</v>
      </c>
      <c r="I5557" s="23" t="str">
        <f t="shared" si="259"/>
        <v xml:space="preserve">COM VALOR</v>
      </c>
      <c r="J5557" s="19"/>
      <c r="L5557" s="21">
        <v>10.949999999999999</v>
      </c>
      <c r="M5557" s="22">
        <v>0</v>
      </c>
      <c r="N5557" s="21">
        <v>10.85</v>
      </c>
      <c r="O5557" s="22">
        <v>0</v>
      </c>
    </row>
    <row r="5558" ht="38.25">
      <c r="A5558" t="s">
        <v>5643</v>
      </c>
      <c r="B5558" s="19">
        <v>89732</v>
      </c>
      <c r="C5558" s="20" t="s">
        <v>5668</v>
      </c>
      <c r="D5558" s="19" t="s">
        <v>31</v>
      </c>
      <c r="E5558" s="21">
        <f t="shared" si="257"/>
        <v>16.219999999999999</v>
      </c>
      <c r="F5558" s="22">
        <v>0</v>
      </c>
      <c r="G5558" s="21">
        <f t="shared" si="258"/>
        <v>15.82</v>
      </c>
      <c r="H5558" s="22">
        <v>0</v>
      </c>
      <c r="I5558" s="23" t="str">
        <f t="shared" si="259"/>
        <v xml:space="preserve">COM VALOR</v>
      </c>
      <c r="J5558" s="19"/>
      <c r="L5558" s="21">
        <v>16.219999999999999</v>
      </c>
      <c r="M5558" s="22">
        <v>0</v>
      </c>
      <c r="N5558" s="21">
        <v>15.82</v>
      </c>
      <c r="O5558" s="22">
        <v>0</v>
      </c>
    </row>
    <row r="5559" ht="38.25">
      <c r="A5559" t="s">
        <v>5643</v>
      </c>
      <c r="B5559" s="19">
        <v>89806</v>
      </c>
      <c r="C5559" s="20" t="s">
        <v>5669</v>
      </c>
      <c r="D5559" s="19" t="s">
        <v>31</v>
      </c>
      <c r="E5559" s="21">
        <f t="shared" si="257"/>
        <v>22.640000000000001</v>
      </c>
      <c r="F5559" s="22">
        <v>0</v>
      </c>
      <c r="G5559" s="21">
        <f t="shared" si="258"/>
        <v>22.289999999999999</v>
      </c>
      <c r="H5559" s="22">
        <v>0</v>
      </c>
      <c r="I5559" s="23" t="str">
        <f t="shared" si="259"/>
        <v xml:space="preserve">COM VALOR</v>
      </c>
      <c r="J5559" s="19"/>
      <c r="L5559" s="21">
        <v>22.640000000000001</v>
      </c>
      <c r="M5559" s="22">
        <v>0</v>
      </c>
      <c r="N5559" s="21">
        <v>22.289999999999999</v>
      </c>
      <c r="O5559" s="22">
        <v>0</v>
      </c>
    </row>
    <row r="5560" ht="38.25">
      <c r="A5560" t="s">
        <v>5643</v>
      </c>
      <c r="B5560" s="19">
        <v>89739</v>
      </c>
      <c r="C5560" s="20" t="s">
        <v>5670</v>
      </c>
      <c r="D5560" s="19" t="s">
        <v>31</v>
      </c>
      <c r="E5560" s="21">
        <f t="shared" si="257"/>
        <v>24.649999999999999</v>
      </c>
      <c r="F5560" s="22">
        <v>0</v>
      </c>
      <c r="G5560" s="21">
        <f t="shared" si="258"/>
        <v>24.18</v>
      </c>
      <c r="H5560" s="22">
        <v>0</v>
      </c>
      <c r="I5560" s="23" t="str">
        <f t="shared" si="259"/>
        <v xml:space="preserve">COM VALOR</v>
      </c>
      <c r="J5560" s="19"/>
      <c r="L5560" s="21">
        <v>24.649999999999999</v>
      </c>
      <c r="M5560" s="22">
        <v>0</v>
      </c>
      <c r="N5560" s="21">
        <v>24.18</v>
      </c>
      <c r="O5560" s="22">
        <v>0</v>
      </c>
    </row>
    <row r="5561" ht="38.25">
      <c r="A5561" t="s">
        <v>5643</v>
      </c>
      <c r="B5561" s="19">
        <v>89809</v>
      </c>
      <c r="C5561" s="20" t="s">
        <v>5671</v>
      </c>
      <c r="D5561" s="19" t="s">
        <v>31</v>
      </c>
      <c r="E5561" s="21">
        <f t="shared" si="257"/>
        <v>30.02</v>
      </c>
      <c r="F5561" s="22">
        <v>0</v>
      </c>
      <c r="G5561" s="21">
        <f t="shared" si="258"/>
        <v>29.390000000000001</v>
      </c>
      <c r="H5561" s="22">
        <v>0</v>
      </c>
      <c r="I5561" s="23" t="str">
        <f t="shared" si="259"/>
        <v xml:space="preserve">COM VALOR</v>
      </c>
      <c r="J5561" s="19"/>
      <c r="L5561" s="21">
        <v>30.02</v>
      </c>
      <c r="M5561" s="22">
        <v>0</v>
      </c>
      <c r="N5561" s="21">
        <v>29.390000000000001</v>
      </c>
      <c r="O5561" s="22">
        <v>0</v>
      </c>
    </row>
    <row r="5562" ht="38.25">
      <c r="A5562" t="s">
        <v>5643</v>
      </c>
      <c r="B5562" s="19">
        <v>89744</v>
      </c>
      <c r="C5562" s="20" t="s">
        <v>5672</v>
      </c>
      <c r="D5562" s="19" t="s">
        <v>31</v>
      </c>
      <c r="E5562" s="21">
        <f t="shared" si="257"/>
        <v>28.77</v>
      </c>
      <c r="F5562" s="22">
        <v>0</v>
      </c>
      <c r="G5562" s="21">
        <f t="shared" si="258"/>
        <v>28.210000000000001</v>
      </c>
      <c r="H5562" s="22">
        <v>0</v>
      </c>
      <c r="I5562" s="23" t="str">
        <f t="shared" si="259"/>
        <v xml:space="preserve">COM VALOR</v>
      </c>
      <c r="J5562" s="19"/>
      <c r="L5562" s="21">
        <v>28.77</v>
      </c>
      <c r="M5562" s="22">
        <v>0</v>
      </c>
      <c r="N5562" s="21">
        <v>28.210000000000001</v>
      </c>
      <c r="O5562" s="22">
        <v>0</v>
      </c>
    </row>
    <row r="5563" ht="38.25">
      <c r="A5563" t="s">
        <v>5643</v>
      </c>
      <c r="B5563" s="19">
        <v>89850</v>
      </c>
      <c r="C5563" s="20" t="s">
        <v>5673</v>
      </c>
      <c r="D5563" s="19" t="s">
        <v>31</v>
      </c>
      <c r="E5563" s="21">
        <f t="shared" si="257"/>
        <v>33.079999999999998</v>
      </c>
      <c r="F5563" s="22">
        <v>0</v>
      </c>
      <c r="G5563" s="21">
        <f t="shared" si="258"/>
        <v>32.280000000000001</v>
      </c>
      <c r="H5563" s="22">
        <v>0</v>
      </c>
      <c r="I5563" s="23" t="str">
        <f t="shared" si="259"/>
        <v xml:space="preserve">COM VALOR</v>
      </c>
      <c r="J5563" s="19"/>
      <c r="L5563" s="21">
        <v>33.079999999999998</v>
      </c>
      <c r="M5563" s="22">
        <v>0</v>
      </c>
      <c r="N5563" s="21">
        <v>32.280000000000001</v>
      </c>
      <c r="O5563" s="22">
        <v>0</v>
      </c>
    </row>
    <row r="5564" ht="38.25">
      <c r="A5564" t="s">
        <v>5643</v>
      </c>
      <c r="B5564" s="19">
        <v>89854</v>
      </c>
      <c r="C5564" s="20" t="s">
        <v>5674</v>
      </c>
      <c r="D5564" s="19" t="s">
        <v>31</v>
      </c>
      <c r="E5564" s="21">
        <f t="shared" si="257"/>
        <v>112.55</v>
      </c>
      <c r="F5564" s="22">
        <v>0</v>
      </c>
      <c r="G5564" s="21">
        <f t="shared" si="258"/>
        <v>111.52</v>
      </c>
      <c r="H5564" s="22">
        <v>0</v>
      </c>
      <c r="I5564" s="23" t="str">
        <f t="shared" si="259"/>
        <v xml:space="preserve">COM VALOR</v>
      </c>
      <c r="J5564" s="19"/>
      <c r="L5564" s="21">
        <v>112.55</v>
      </c>
      <c r="M5564" s="22">
        <v>0</v>
      </c>
      <c r="N5564" s="21">
        <v>111.52</v>
      </c>
      <c r="O5564" s="22">
        <v>0</v>
      </c>
    </row>
    <row r="5565" ht="38.25">
      <c r="A5565" t="s">
        <v>5643</v>
      </c>
      <c r="B5565" s="19">
        <v>89724</v>
      </c>
      <c r="C5565" s="20" t="s">
        <v>5675</v>
      </c>
      <c r="D5565" s="19" t="s">
        <v>31</v>
      </c>
      <c r="E5565" s="21">
        <f t="shared" si="257"/>
        <v>10.890000000000001</v>
      </c>
      <c r="F5565" s="22">
        <v>0</v>
      </c>
      <c r="G5565" s="21">
        <f t="shared" si="258"/>
        <v>10.52</v>
      </c>
      <c r="H5565" s="22">
        <v>0</v>
      </c>
      <c r="I5565" s="23" t="str">
        <f t="shared" si="259"/>
        <v xml:space="preserve">COM VALOR</v>
      </c>
      <c r="J5565" s="19"/>
      <c r="L5565" s="21">
        <v>10.890000000000001</v>
      </c>
      <c r="M5565" s="22">
        <v>0</v>
      </c>
      <c r="N5565" s="21">
        <v>10.52</v>
      </c>
      <c r="O5565" s="22">
        <v>0</v>
      </c>
    </row>
    <row r="5566" ht="38.25">
      <c r="A5566" t="s">
        <v>5643</v>
      </c>
      <c r="B5566" s="19">
        <v>89801</v>
      </c>
      <c r="C5566" s="20" t="s">
        <v>5676</v>
      </c>
      <c r="D5566" s="19" t="s">
        <v>31</v>
      </c>
      <c r="E5566" s="21">
        <f t="shared" si="257"/>
        <v>10.130000000000001</v>
      </c>
      <c r="F5566" s="22">
        <v>0</v>
      </c>
      <c r="G5566" s="21">
        <f t="shared" si="258"/>
        <v>10.029999999999999</v>
      </c>
      <c r="H5566" s="22">
        <v>0</v>
      </c>
      <c r="I5566" s="23" t="str">
        <f t="shared" si="259"/>
        <v xml:space="preserve">COM VALOR</v>
      </c>
      <c r="J5566" s="19"/>
      <c r="L5566" s="21">
        <v>10.130000000000001</v>
      </c>
      <c r="M5566" s="22">
        <v>0</v>
      </c>
      <c r="N5566" s="21">
        <v>10.029999999999999</v>
      </c>
      <c r="O5566" s="22">
        <v>0</v>
      </c>
    </row>
    <row r="5567" ht="38.25">
      <c r="A5567" t="s">
        <v>5643</v>
      </c>
      <c r="B5567" s="19">
        <v>89731</v>
      </c>
      <c r="C5567" s="20" t="s">
        <v>5677</v>
      </c>
      <c r="D5567" s="19" t="s">
        <v>31</v>
      </c>
      <c r="E5567" s="21">
        <f t="shared" si="257"/>
        <v>15.4</v>
      </c>
      <c r="F5567" s="22">
        <v>0</v>
      </c>
      <c r="G5567" s="21">
        <f t="shared" si="258"/>
        <v>15</v>
      </c>
      <c r="H5567" s="22">
        <v>0</v>
      </c>
      <c r="I5567" s="23" t="str">
        <f t="shared" si="259"/>
        <v xml:space="preserve">COM VALOR</v>
      </c>
      <c r="J5567" s="19"/>
      <c r="L5567" s="21">
        <v>15.4</v>
      </c>
      <c r="M5567" s="22">
        <v>0</v>
      </c>
      <c r="N5567" s="21">
        <v>15</v>
      </c>
      <c r="O5567" s="22">
        <v>0</v>
      </c>
    </row>
    <row r="5568" ht="38.25">
      <c r="A5568" t="s">
        <v>5643</v>
      </c>
      <c r="B5568" s="19">
        <v>89805</v>
      </c>
      <c r="C5568" s="20" t="s">
        <v>5678</v>
      </c>
      <c r="D5568" s="19" t="s">
        <v>31</v>
      </c>
      <c r="E5568" s="21">
        <f t="shared" si="257"/>
        <v>21.550000000000001</v>
      </c>
      <c r="F5568" s="22">
        <v>0</v>
      </c>
      <c r="G5568" s="21">
        <f t="shared" si="258"/>
        <v>21.199999999999999</v>
      </c>
      <c r="H5568" s="22">
        <v>0</v>
      </c>
      <c r="I5568" s="23" t="str">
        <f t="shared" si="259"/>
        <v xml:space="preserve">COM VALOR</v>
      </c>
      <c r="J5568" s="19"/>
      <c r="L5568" s="21">
        <v>21.550000000000001</v>
      </c>
      <c r="M5568" s="22">
        <v>0</v>
      </c>
      <c r="N5568" s="21">
        <v>21.199999999999999</v>
      </c>
      <c r="O5568" s="22">
        <v>0</v>
      </c>
    </row>
    <row r="5569" ht="38.25">
      <c r="A5569" t="s">
        <v>5643</v>
      </c>
      <c r="B5569" s="19">
        <v>89737</v>
      </c>
      <c r="C5569" s="20" t="s">
        <v>5679</v>
      </c>
      <c r="D5569" s="19" t="s">
        <v>31</v>
      </c>
      <c r="E5569" s="21">
        <f t="shared" si="257"/>
        <v>23.559999999999999</v>
      </c>
      <c r="F5569" s="22">
        <v>0</v>
      </c>
      <c r="G5569" s="21">
        <f t="shared" si="258"/>
        <v>23.09</v>
      </c>
      <c r="H5569" s="22">
        <v>0</v>
      </c>
      <c r="I5569" s="23" t="str">
        <f t="shared" si="259"/>
        <v xml:space="preserve">COM VALOR</v>
      </c>
      <c r="J5569" s="19"/>
      <c r="L5569" s="21">
        <v>23.559999999999999</v>
      </c>
      <c r="M5569" s="22">
        <v>0</v>
      </c>
      <c r="N5569" s="21">
        <v>23.09</v>
      </c>
      <c r="O5569" s="22">
        <v>0</v>
      </c>
    </row>
    <row r="5570" ht="38.25">
      <c r="A5570" t="s">
        <v>5643</v>
      </c>
      <c r="B5570" s="19">
        <v>104355</v>
      </c>
      <c r="C5570" s="20" t="s">
        <v>5680</v>
      </c>
      <c r="D5570" s="19" t="s">
        <v>31</v>
      </c>
      <c r="E5570" s="21">
        <f t="shared" si="257"/>
        <v>50.909999999999997</v>
      </c>
      <c r="F5570" s="22">
        <v>0</v>
      </c>
      <c r="G5570" s="21">
        <f t="shared" si="258"/>
        <v>50.189999999999998</v>
      </c>
      <c r="H5570" s="22">
        <v>0</v>
      </c>
      <c r="I5570" s="23" t="str">
        <f t="shared" si="259"/>
        <v xml:space="preserve">COM VALOR</v>
      </c>
      <c r="J5570" s="19"/>
      <c r="L5570" s="21">
        <v>50.909999999999997</v>
      </c>
      <c r="M5570" s="22">
        <v>0</v>
      </c>
      <c r="N5570" s="21">
        <v>50.189999999999998</v>
      </c>
      <c r="O5570" s="22">
        <v>0</v>
      </c>
    </row>
    <row r="5571" ht="38.25">
      <c r="A5571" t="s">
        <v>5643</v>
      </c>
      <c r="B5571" s="19">
        <v>104347</v>
      </c>
      <c r="C5571" s="20" t="s">
        <v>5681</v>
      </c>
      <c r="D5571" s="19" t="s">
        <v>31</v>
      </c>
      <c r="E5571" s="21">
        <f t="shared" si="257"/>
        <v>50.689999999999998</v>
      </c>
      <c r="F5571" s="22">
        <v>0</v>
      </c>
      <c r="G5571" s="21">
        <f t="shared" si="258"/>
        <v>49.990000000000002</v>
      </c>
      <c r="H5571" s="22">
        <v>0</v>
      </c>
      <c r="I5571" s="23" t="str">
        <f t="shared" si="259"/>
        <v xml:space="preserve">COM VALOR</v>
      </c>
      <c r="J5571" s="19"/>
      <c r="L5571" s="21">
        <v>50.689999999999998</v>
      </c>
      <c r="M5571" s="22">
        <v>0</v>
      </c>
      <c r="N5571" s="21">
        <v>49.990000000000002</v>
      </c>
      <c r="O5571" s="22">
        <v>0</v>
      </c>
    </row>
    <row r="5572" ht="38.25">
      <c r="A5572" t="s">
        <v>5643</v>
      </c>
      <c r="B5572" s="19">
        <v>104353</v>
      </c>
      <c r="C5572" s="20" t="s">
        <v>5682</v>
      </c>
      <c r="D5572" s="19" t="s">
        <v>31</v>
      </c>
      <c r="E5572" s="21">
        <f t="shared" si="257"/>
        <v>44.140000000000001</v>
      </c>
      <c r="F5572" s="22">
        <v>0</v>
      </c>
      <c r="G5572" s="21">
        <f t="shared" si="258"/>
        <v>43.549999999999997</v>
      </c>
      <c r="H5572" s="22">
        <v>0</v>
      </c>
      <c r="I5572" s="23" t="str">
        <f t="shared" si="259"/>
        <v xml:space="preserve">COM VALOR</v>
      </c>
      <c r="J5572" s="19"/>
      <c r="L5572" s="21">
        <v>44.140000000000001</v>
      </c>
      <c r="M5572" s="22">
        <v>0</v>
      </c>
      <c r="N5572" s="21">
        <v>43.549999999999997</v>
      </c>
      <c r="O5572" s="22">
        <v>0</v>
      </c>
    </row>
    <row r="5573" ht="38.25">
      <c r="A5573" t="s">
        <v>5643</v>
      </c>
      <c r="B5573" s="19">
        <v>104345</v>
      </c>
      <c r="C5573" s="20" t="s">
        <v>5683</v>
      </c>
      <c r="D5573" s="19" t="s">
        <v>31</v>
      </c>
      <c r="E5573" s="21">
        <f t="shared" si="257"/>
        <v>45.380000000000003</v>
      </c>
      <c r="F5573" s="22">
        <v>0</v>
      </c>
      <c r="G5573" s="21">
        <f t="shared" si="258"/>
        <v>44.710000000000001</v>
      </c>
      <c r="H5573" s="22">
        <v>0</v>
      </c>
      <c r="I5573" s="23" t="str">
        <f t="shared" si="259"/>
        <v xml:space="preserve">COM VALOR</v>
      </c>
      <c r="J5573" s="19"/>
      <c r="L5573" s="21">
        <v>45.380000000000003</v>
      </c>
      <c r="M5573" s="22">
        <v>0</v>
      </c>
      <c r="N5573" s="21">
        <v>44.710000000000001</v>
      </c>
      <c r="O5573" s="22">
        <v>0</v>
      </c>
    </row>
    <row r="5574" ht="38.25">
      <c r="A5574" t="s">
        <v>5643</v>
      </c>
      <c r="B5574" s="19">
        <v>104350</v>
      </c>
      <c r="C5574" s="20" t="s">
        <v>5684</v>
      </c>
      <c r="D5574" s="19" t="s">
        <v>31</v>
      </c>
      <c r="E5574" s="21">
        <f t="shared" si="257"/>
        <v>31.600000000000001</v>
      </c>
      <c r="F5574" s="22">
        <v>0</v>
      </c>
      <c r="G5574" s="21">
        <f t="shared" si="258"/>
        <v>31.23</v>
      </c>
      <c r="H5574" s="22">
        <v>0</v>
      </c>
      <c r="I5574" s="23" t="str">
        <f t="shared" si="259"/>
        <v xml:space="preserve">COM VALOR</v>
      </c>
      <c r="J5574" s="19"/>
      <c r="L5574" s="21">
        <v>31.600000000000001</v>
      </c>
      <c r="M5574" s="22">
        <v>0</v>
      </c>
      <c r="N5574" s="21">
        <v>31.23</v>
      </c>
      <c r="O5574" s="22">
        <v>0</v>
      </c>
    </row>
    <row r="5575" ht="38.25">
      <c r="A5575" t="s">
        <v>5643</v>
      </c>
      <c r="B5575" s="19">
        <v>104343</v>
      </c>
      <c r="C5575" s="20" t="s">
        <v>5685</v>
      </c>
      <c r="D5575" s="19" t="s">
        <v>31</v>
      </c>
      <c r="E5575" s="21">
        <f t="shared" si="257"/>
        <v>35.729999999999997</v>
      </c>
      <c r="F5575" s="22">
        <v>0</v>
      </c>
      <c r="G5575" s="21">
        <f t="shared" si="258"/>
        <v>35.130000000000003</v>
      </c>
      <c r="H5575" s="22">
        <v>0</v>
      </c>
      <c r="I5575" s="23" t="str">
        <f t="shared" si="259"/>
        <v xml:space="preserve">COM VALOR</v>
      </c>
      <c r="J5575" s="19"/>
      <c r="L5575" s="21">
        <v>35.729999999999997</v>
      </c>
      <c r="M5575" s="22">
        <v>0</v>
      </c>
      <c r="N5575" s="21">
        <v>35.130000000000003</v>
      </c>
      <c r="O5575" s="22">
        <v>0</v>
      </c>
    </row>
    <row r="5576" ht="38.25">
      <c r="A5576" t="s">
        <v>5643</v>
      </c>
      <c r="B5576" s="19">
        <v>89834</v>
      </c>
      <c r="C5576" s="20" t="s">
        <v>5686</v>
      </c>
      <c r="D5576" s="19" t="s">
        <v>31</v>
      </c>
      <c r="E5576" s="21">
        <f t="shared" si="257"/>
        <v>56.18</v>
      </c>
      <c r="F5576" s="22">
        <v>0</v>
      </c>
      <c r="G5576" s="21">
        <f t="shared" si="258"/>
        <v>55.350000000000001</v>
      </c>
      <c r="H5576" s="22">
        <v>0</v>
      </c>
      <c r="I5576" s="23" t="str">
        <f t="shared" si="259"/>
        <v xml:space="preserve">COM VALOR</v>
      </c>
      <c r="J5576" s="19"/>
      <c r="L5576" s="21">
        <v>56.18</v>
      </c>
      <c r="M5576" s="22">
        <v>0</v>
      </c>
      <c r="N5576" s="21">
        <v>55.350000000000001</v>
      </c>
      <c r="O5576" s="22">
        <v>0</v>
      </c>
    </row>
    <row r="5577" ht="38.25">
      <c r="A5577" t="s">
        <v>5643</v>
      </c>
      <c r="B5577" s="19">
        <v>89797</v>
      </c>
      <c r="C5577" s="20" t="s">
        <v>5687</v>
      </c>
      <c r="D5577" s="19" t="s">
        <v>31</v>
      </c>
      <c r="E5577" s="21">
        <f t="shared" si="257"/>
        <v>54.509999999999998</v>
      </c>
      <c r="F5577" s="22">
        <v>0</v>
      </c>
      <c r="G5577" s="21">
        <f t="shared" si="258"/>
        <v>53.780000000000001</v>
      </c>
      <c r="H5577" s="22">
        <v>0</v>
      </c>
      <c r="I5577" s="23" t="str">
        <f t="shared" si="259"/>
        <v xml:space="preserve">COM VALOR</v>
      </c>
      <c r="J5577" s="19"/>
      <c r="L5577" s="21">
        <v>54.509999999999998</v>
      </c>
      <c r="M5577" s="22">
        <v>0</v>
      </c>
      <c r="N5577" s="21">
        <v>53.780000000000001</v>
      </c>
      <c r="O5577" s="22">
        <v>0</v>
      </c>
    </row>
    <row r="5578" ht="38.25">
      <c r="A5578" t="s">
        <v>5643</v>
      </c>
      <c r="B5578" s="19">
        <v>89861</v>
      </c>
      <c r="C5578" s="20" t="s">
        <v>5688</v>
      </c>
      <c r="D5578" s="19" t="s">
        <v>31</v>
      </c>
      <c r="E5578" s="21">
        <f t="shared" si="257"/>
        <v>60.259999999999998</v>
      </c>
      <c r="F5578" s="22">
        <v>0</v>
      </c>
      <c r="G5578" s="21">
        <f t="shared" si="258"/>
        <v>59.189999999999998</v>
      </c>
      <c r="H5578" s="22">
        <v>0</v>
      </c>
      <c r="I5578" s="23" t="str">
        <f t="shared" si="259"/>
        <v xml:space="preserve">COM VALOR</v>
      </c>
      <c r="J5578" s="19"/>
      <c r="L5578" s="21">
        <v>60.259999999999998</v>
      </c>
      <c r="M5578" s="22">
        <v>0</v>
      </c>
      <c r="N5578" s="21">
        <v>59.189999999999998</v>
      </c>
      <c r="O5578" s="22">
        <v>0</v>
      </c>
    </row>
    <row r="5579" ht="38.25">
      <c r="A5579" t="s">
        <v>5643</v>
      </c>
      <c r="B5579" s="19">
        <v>89783</v>
      </c>
      <c r="C5579" s="20" t="s">
        <v>5689</v>
      </c>
      <c r="D5579" s="19" t="s">
        <v>31</v>
      </c>
      <c r="E5579" s="21">
        <f t="shared" ref="E5579:E5642" si="260">IF(L5579=0,"VERIFICAR",L5579)</f>
        <v>15.970000000000001</v>
      </c>
      <c r="F5579" s="22">
        <v>0</v>
      </c>
      <c r="G5579" s="21">
        <f t="shared" ref="G5579:G5642" si="261">IF(N5579=0,"VERIFICAR",N5579)</f>
        <v>15.470000000000001</v>
      </c>
      <c r="H5579" s="22">
        <v>0</v>
      </c>
      <c r="I5579" s="23" t="str">
        <f t="shared" ref="I5579:I5642" si="262">IF(OR(E5579=0,G5579=0),"SEM VALOR","COM VALOR")</f>
        <v xml:space="preserve">COM VALOR</v>
      </c>
      <c r="J5579" s="19"/>
      <c r="L5579" s="21">
        <v>15.970000000000001</v>
      </c>
      <c r="M5579" s="22">
        <v>0</v>
      </c>
      <c r="N5579" s="21">
        <v>15.470000000000001</v>
      </c>
      <c r="O5579" s="22">
        <v>0</v>
      </c>
    </row>
    <row r="5580" ht="38.25">
      <c r="A5580" t="s">
        <v>5643</v>
      </c>
      <c r="B5580" s="19">
        <v>89827</v>
      </c>
      <c r="C5580" s="20" t="s">
        <v>5690</v>
      </c>
      <c r="D5580" s="19" t="s">
        <v>31</v>
      </c>
      <c r="E5580" s="21">
        <f t="shared" si="260"/>
        <v>20.850000000000001</v>
      </c>
      <c r="F5580" s="22">
        <v>0</v>
      </c>
      <c r="G5580" s="21">
        <f t="shared" si="261"/>
        <v>20.710000000000001</v>
      </c>
      <c r="H5580" s="22">
        <v>0</v>
      </c>
      <c r="I5580" s="23" t="str">
        <f t="shared" si="262"/>
        <v xml:space="preserve">COM VALOR</v>
      </c>
      <c r="J5580" s="19"/>
      <c r="L5580" s="21">
        <v>20.850000000000001</v>
      </c>
      <c r="M5580" s="22">
        <v>0</v>
      </c>
      <c r="N5580" s="21">
        <v>20.710000000000001</v>
      </c>
      <c r="O5580" s="22">
        <v>0</v>
      </c>
    </row>
    <row r="5581" ht="38.25">
      <c r="A5581" t="s">
        <v>5643</v>
      </c>
      <c r="B5581" s="19">
        <v>89785</v>
      </c>
      <c r="C5581" s="20" t="s">
        <v>5691</v>
      </c>
      <c r="D5581" s="19" t="s">
        <v>31</v>
      </c>
      <c r="E5581" s="21">
        <f t="shared" si="260"/>
        <v>27.859999999999999</v>
      </c>
      <c r="F5581" s="22">
        <v>0</v>
      </c>
      <c r="G5581" s="21">
        <f t="shared" si="261"/>
        <v>27.34</v>
      </c>
      <c r="H5581" s="22">
        <v>0</v>
      </c>
      <c r="I5581" s="23" t="str">
        <f t="shared" si="262"/>
        <v xml:space="preserve">COM VALOR</v>
      </c>
      <c r="J5581" s="19"/>
      <c r="L5581" s="21">
        <v>27.859999999999999</v>
      </c>
      <c r="M5581" s="22">
        <v>0</v>
      </c>
      <c r="N5581" s="21">
        <v>27.34</v>
      </c>
      <c r="O5581" s="22">
        <v>0</v>
      </c>
    </row>
    <row r="5582" ht="38.25">
      <c r="A5582" t="s">
        <v>5643</v>
      </c>
      <c r="B5582" s="19">
        <v>89830</v>
      </c>
      <c r="C5582" s="20" t="s">
        <v>5692</v>
      </c>
      <c r="D5582" s="19" t="s">
        <v>31</v>
      </c>
      <c r="E5582" s="21">
        <f t="shared" si="260"/>
        <v>40.539999999999999</v>
      </c>
      <c r="F5582" s="22">
        <v>0</v>
      </c>
      <c r="G5582" s="21">
        <f t="shared" si="261"/>
        <v>40.060000000000002</v>
      </c>
      <c r="H5582" s="22">
        <v>0</v>
      </c>
      <c r="I5582" s="23" t="str">
        <f t="shared" si="262"/>
        <v xml:space="preserve">COM VALOR</v>
      </c>
      <c r="J5582" s="19"/>
      <c r="L5582" s="21">
        <v>40.539999999999999</v>
      </c>
      <c r="M5582" s="22">
        <v>0</v>
      </c>
      <c r="N5582" s="21">
        <v>40.060000000000002</v>
      </c>
      <c r="O5582" s="22">
        <v>0</v>
      </c>
    </row>
    <row r="5583" ht="38.25">
      <c r="A5583" t="s">
        <v>5643</v>
      </c>
      <c r="B5583" s="19">
        <v>89795</v>
      </c>
      <c r="C5583" s="20" t="s">
        <v>5693</v>
      </c>
      <c r="D5583" s="19" t="s">
        <v>31</v>
      </c>
      <c r="E5583" s="21">
        <f t="shared" si="260"/>
        <v>43.219999999999999</v>
      </c>
      <c r="F5583" s="22">
        <v>0</v>
      </c>
      <c r="G5583" s="21">
        <f t="shared" si="261"/>
        <v>42.579999999999998</v>
      </c>
      <c r="H5583" s="22">
        <v>0</v>
      </c>
      <c r="I5583" s="23" t="str">
        <f t="shared" si="262"/>
        <v xml:space="preserve">COM VALOR</v>
      </c>
      <c r="J5583" s="19"/>
      <c r="L5583" s="21">
        <v>43.219999999999999</v>
      </c>
      <c r="M5583" s="22">
        <v>0</v>
      </c>
      <c r="N5583" s="21">
        <v>42.579999999999998</v>
      </c>
      <c r="O5583" s="22">
        <v>0</v>
      </c>
    </row>
    <row r="5584" ht="38.25">
      <c r="A5584" t="s">
        <v>5643</v>
      </c>
      <c r="B5584" s="19">
        <v>89823</v>
      </c>
      <c r="C5584" s="20" t="s">
        <v>5694</v>
      </c>
      <c r="D5584" s="19" t="s">
        <v>31</v>
      </c>
      <c r="E5584" s="21">
        <f t="shared" si="260"/>
        <v>37.740000000000002</v>
      </c>
      <c r="F5584" s="22">
        <v>0</v>
      </c>
      <c r="G5584" s="21">
        <f t="shared" si="261"/>
        <v>37.32</v>
      </c>
      <c r="H5584" s="22">
        <v>0</v>
      </c>
      <c r="I5584" s="23" t="str">
        <f t="shared" si="262"/>
        <v xml:space="preserve">COM VALOR</v>
      </c>
      <c r="J5584" s="19"/>
      <c r="L5584" s="21">
        <v>37.740000000000002</v>
      </c>
      <c r="M5584" s="22">
        <v>0</v>
      </c>
      <c r="N5584" s="21">
        <v>37.32</v>
      </c>
      <c r="O5584" s="22">
        <v>0</v>
      </c>
    </row>
    <row r="5585" ht="38.25">
      <c r="A5585" t="s">
        <v>5643</v>
      </c>
      <c r="B5585" s="19">
        <v>89779</v>
      </c>
      <c r="C5585" s="20" t="s">
        <v>5695</v>
      </c>
      <c r="D5585" s="19" t="s">
        <v>31</v>
      </c>
      <c r="E5585" s="21">
        <f t="shared" si="260"/>
        <v>36.909999999999997</v>
      </c>
      <c r="F5585" s="22">
        <v>0</v>
      </c>
      <c r="G5585" s="21">
        <f t="shared" si="261"/>
        <v>36.539999999999999</v>
      </c>
      <c r="H5585" s="22">
        <v>0</v>
      </c>
      <c r="I5585" s="23" t="str">
        <f t="shared" si="262"/>
        <v xml:space="preserve">COM VALOR</v>
      </c>
      <c r="J5585" s="19"/>
      <c r="L5585" s="21">
        <v>36.909999999999997</v>
      </c>
      <c r="M5585" s="22">
        <v>0</v>
      </c>
      <c r="N5585" s="21">
        <v>36.539999999999999</v>
      </c>
      <c r="O5585" s="22">
        <v>0</v>
      </c>
    </row>
    <row r="5586" ht="38.25">
      <c r="A5586" t="s">
        <v>5643</v>
      </c>
      <c r="B5586" s="19">
        <v>89857</v>
      </c>
      <c r="C5586" s="20" t="s">
        <v>5696</v>
      </c>
      <c r="D5586" s="19" t="s">
        <v>31</v>
      </c>
      <c r="E5586" s="21">
        <f t="shared" si="260"/>
        <v>39.780000000000001</v>
      </c>
      <c r="F5586" s="22">
        <v>0</v>
      </c>
      <c r="G5586" s="21">
        <f t="shared" si="261"/>
        <v>39.240000000000002</v>
      </c>
      <c r="H5586" s="22">
        <v>0</v>
      </c>
      <c r="I5586" s="23" t="str">
        <f t="shared" si="262"/>
        <v xml:space="preserve">COM VALOR</v>
      </c>
      <c r="J5586" s="19"/>
      <c r="L5586" s="21">
        <v>39.780000000000001</v>
      </c>
      <c r="M5586" s="22">
        <v>0</v>
      </c>
      <c r="N5586" s="21">
        <v>39.240000000000002</v>
      </c>
      <c r="O5586" s="22">
        <v>0</v>
      </c>
    </row>
    <row r="5587" ht="38.25">
      <c r="A5587" t="s">
        <v>5643</v>
      </c>
      <c r="B5587" s="19">
        <v>89814</v>
      </c>
      <c r="C5587" s="20" t="s">
        <v>5697</v>
      </c>
      <c r="D5587" s="19" t="s">
        <v>31</v>
      </c>
      <c r="E5587" s="21">
        <f t="shared" si="260"/>
        <v>18.75</v>
      </c>
      <c r="F5587" s="22">
        <v>0</v>
      </c>
      <c r="G5587" s="21">
        <f t="shared" si="261"/>
        <v>18.68</v>
      </c>
      <c r="H5587" s="22">
        <v>0</v>
      </c>
      <c r="I5587" s="23" t="str">
        <f t="shared" si="262"/>
        <v xml:space="preserve">COM VALOR</v>
      </c>
      <c r="J5587" s="19"/>
      <c r="L5587" s="21">
        <v>18.75</v>
      </c>
      <c r="M5587" s="22">
        <v>0</v>
      </c>
      <c r="N5587" s="21">
        <v>18.68</v>
      </c>
      <c r="O5587" s="22">
        <v>0</v>
      </c>
    </row>
    <row r="5588" ht="38.25">
      <c r="A5588" t="s">
        <v>5643</v>
      </c>
      <c r="B5588" s="19">
        <v>89754</v>
      </c>
      <c r="C5588" s="20" t="s">
        <v>5698</v>
      </c>
      <c r="D5588" s="19" t="s">
        <v>31</v>
      </c>
      <c r="E5588" s="21">
        <f t="shared" si="260"/>
        <v>22.260000000000002</v>
      </c>
      <c r="F5588" s="22">
        <v>0</v>
      </c>
      <c r="G5588" s="21">
        <f t="shared" si="261"/>
        <v>21.989999999999998</v>
      </c>
      <c r="H5588" s="22">
        <v>0</v>
      </c>
      <c r="I5588" s="23" t="str">
        <f t="shared" si="262"/>
        <v xml:space="preserve">COM VALOR</v>
      </c>
      <c r="J5588" s="19"/>
      <c r="L5588" s="21">
        <v>22.260000000000002</v>
      </c>
      <c r="M5588" s="22">
        <v>0</v>
      </c>
      <c r="N5588" s="21">
        <v>21.989999999999998</v>
      </c>
      <c r="O5588" s="22">
        <v>0</v>
      </c>
    </row>
    <row r="5589" ht="38.25">
      <c r="A5589" t="s">
        <v>5643</v>
      </c>
      <c r="B5589" s="19">
        <v>89819</v>
      </c>
      <c r="C5589" s="20" t="s">
        <v>5699</v>
      </c>
      <c r="D5589" s="19" t="s">
        <v>31</v>
      </c>
      <c r="E5589" s="21">
        <f t="shared" si="260"/>
        <v>25.649999999999999</v>
      </c>
      <c r="F5589" s="22">
        <v>0</v>
      </c>
      <c r="G5589" s="21">
        <f t="shared" si="261"/>
        <v>25.41</v>
      </c>
      <c r="H5589" s="22">
        <v>0</v>
      </c>
      <c r="I5589" s="23" t="str">
        <f t="shared" si="262"/>
        <v xml:space="preserve">COM VALOR</v>
      </c>
      <c r="J5589" s="19"/>
      <c r="L5589" s="21">
        <v>25.649999999999999</v>
      </c>
      <c r="M5589" s="22">
        <v>0</v>
      </c>
      <c r="N5589" s="21">
        <v>25.41</v>
      </c>
      <c r="O5589" s="22">
        <v>0</v>
      </c>
    </row>
    <row r="5590" ht="38.25">
      <c r="A5590" t="s">
        <v>5643</v>
      </c>
      <c r="B5590" s="19">
        <v>89776</v>
      </c>
      <c r="C5590" s="20" t="s">
        <v>5700</v>
      </c>
      <c r="D5590" s="19" t="s">
        <v>31</v>
      </c>
      <c r="E5590" s="21">
        <f t="shared" si="260"/>
        <v>26.989999999999998</v>
      </c>
      <c r="F5590" s="22">
        <v>0</v>
      </c>
      <c r="G5590" s="21">
        <f t="shared" si="261"/>
        <v>26.670000000000002</v>
      </c>
      <c r="H5590" s="22">
        <v>0</v>
      </c>
      <c r="I5590" s="23" t="str">
        <f t="shared" si="262"/>
        <v xml:space="preserve">COM VALOR</v>
      </c>
      <c r="J5590" s="19"/>
      <c r="L5590" s="21">
        <v>26.989999999999998</v>
      </c>
      <c r="M5590" s="22">
        <v>0</v>
      </c>
      <c r="N5590" s="21">
        <v>26.670000000000002</v>
      </c>
      <c r="O5590" s="22">
        <v>0</v>
      </c>
    </row>
    <row r="5591" ht="38.25">
      <c r="A5591" t="s">
        <v>5643</v>
      </c>
      <c r="B5591" s="19">
        <v>89821</v>
      </c>
      <c r="C5591" s="20" t="s">
        <v>5701</v>
      </c>
      <c r="D5591" s="19" t="s">
        <v>31</v>
      </c>
      <c r="E5591" s="21">
        <f t="shared" si="260"/>
        <v>20.09</v>
      </c>
      <c r="F5591" s="22">
        <v>0</v>
      </c>
      <c r="G5591" s="21">
        <f t="shared" si="261"/>
        <v>19.670000000000002</v>
      </c>
      <c r="H5591" s="22">
        <v>0</v>
      </c>
      <c r="I5591" s="23" t="str">
        <f t="shared" si="262"/>
        <v xml:space="preserve">COM VALOR</v>
      </c>
      <c r="J5591" s="19"/>
      <c r="L5591" s="21">
        <v>20.09</v>
      </c>
      <c r="M5591" s="22">
        <v>0</v>
      </c>
      <c r="N5591" s="21">
        <v>19.670000000000002</v>
      </c>
      <c r="O5591" s="22">
        <v>0</v>
      </c>
    </row>
    <row r="5592" ht="38.25">
      <c r="A5592" t="s">
        <v>5643</v>
      </c>
      <c r="B5592" s="19">
        <v>89778</v>
      </c>
      <c r="C5592" s="20" t="s">
        <v>5702</v>
      </c>
      <c r="D5592" s="19" t="s">
        <v>31</v>
      </c>
      <c r="E5592" s="21">
        <f t="shared" si="260"/>
        <v>19.260000000000002</v>
      </c>
      <c r="F5592" s="22">
        <v>0</v>
      </c>
      <c r="G5592" s="21">
        <f t="shared" si="261"/>
        <v>18.890000000000001</v>
      </c>
      <c r="H5592" s="22">
        <v>0</v>
      </c>
      <c r="I5592" s="23" t="str">
        <f t="shared" si="262"/>
        <v xml:space="preserve">COM VALOR</v>
      </c>
      <c r="J5592" s="19"/>
      <c r="L5592" s="21">
        <v>19.260000000000002</v>
      </c>
      <c r="M5592" s="22">
        <v>0</v>
      </c>
      <c r="N5592" s="21">
        <v>18.890000000000001</v>
      </c>
      <c r="O5592" s="22">
        <v>0</v>
      </c>
    </row>
    <row r="5593" ht="38.25">
      <c r="A5593" t="s">
        <v>5643</v>
      </c>
      <c r="B5593" s="19">
        <v>89856</v>
      </c>
      <c r="C5593" s="20" t="s">
        <v>5703</v>
      </c>
      <c r="D5593" s="19" t="s">
        <v>31</v>
      </c>
      <c r="E5593" s="21">
        <f t="shared" si="260"/>
        <v>22.140000000000001</v>
      </c>
      <c r="F5593" s="22">
        <v>0</v>
      </c>
      <c r="G5593" s="21">
        <f t="shared" si="261"/>
        <v>21.600000000000001</v>
      </c>
      <c r="H5593" s="22">
        <v>0</v>
      </c>
      <c r="I5593" s="23" t="str">
        <f t="shared" si="262"/>
        <v xml:space="preserve">COM VALOR</v>
      </c>
      <c r="J5593" s="19"/>
      <c r="L5593" s="21">
        <v>22.140000000000001</v>
      </c>
      <c r="M5593" s="22">
        <v>0</v>
      </c>
      <c r="N5593" s="21">
        <v>21.600000000000001</v>
      </c>
      <c r="O5593" s="22">
        <v>0</v>
      </c>
    </row>
    <row r="5594" ht="38.25">
      <c r="A5594" t="s">
        <v>5643</v>
      </c>
      <c r="B5594" s="19">
        <v>89752</v>
      </c>
      <c r="C5594" s="20" t="s">
        <v>5704</v>
      </c>
      <c r="D5594" s="19" t="s">
        <v>31</v>
      </c>
      <c r="E5594" s="21">
        <f t="shared" si="260"/>
        <v>8.1699999999999999</v>
      </c>
      <c r="F5594" s="22">
        <v>0</v>
      </c>
      <c r="G5594" s="21">
        <f t="shared" si="261"/>
        <v>7.9199999999999999</v>
      </c>
      <c r="H5594" s="22">
        <v>0</v>
      </c>
      <c r="I5594" s="23" t="str">
        <f t="shared" si="262"/>
        <v xml:space="preserve">COM VALOR</v>
      </c>
      <c r="J5594" s="19"/>
      <c r="L5594" s="21">
        <v>8.1699999999999999</v>
      </c>
      <c r="M5594" s="22">
        <v>0</v>
      </c>
      <c r="N5594" s="21">
        <v>7.9199999999999999</v>
      </c>
      <c r="O5594" s="22">
        <v>0</v>
      </c>
    </row>
    <row r="5595" ht="38.25">
      <c r="A5595" t="s">
        <v>5643</v>
      </c>
      <c r="B5595" s="19">
        <v>89813</v>
      </c>
      <c r="C5595" s="20" t="s">
        <v>5705</v>
      </c>
      <c r="D5595" s="19" t="s">
        <v>31</v>
      </c>
      <c r="E5595" s="21">
        <f t="shared" si="260"/>
        <v>6.4000000000000004</v>
      </c>
      <c r="F5595" s="22">
        <v>0</v>
      </c>
      <c r="G5595" s="21">
        <f t="shared" si="261"/>
        <v>6.3300000000000001</v>
      </c>
      <c r="H5595" s="22">
        <v>0</v>
      </c>
      <c r="I5595" s="23" t="str">
        <f t="shared" si="262"/>
        <v xml:space="preserve">COM VALOR</v>
      </c>
      <c r="J5595" s="19"/>
      <c r="L5595" s="21">
        <v>6.4000000000000004</v>
      </c>
      <c r="M5595" s="22">
        <v>0</v>
      </c>
      <c r="N5595" s="21">
        <v>6.3300000000000001</v>
      </c>
      <c r="O5595" s="22">
        <v>0</v>
      </c>
    </row>
    <row r="5596" ht="38.25">
      <c r="A5596" t="s">
        <v>5643</v>
      </c>
      <c r="B5596" s="19">
        <v>89753</v>
      </c>
      <c r="C5596" s="20" t="s">
        <v>5706</v>
      </c>
      <c r="D5596" s="19" t="s">
        <v>31</v>
      </c>
      <c r="E5596" s="21">
        <f t="shared" si="260"/>
        <v>10</v>
      </c>
      <c r="F5596" s="22">
        <v>0</v>
      </c>
      <c r="G5596" s="21">
        <f t="shared" si="261"/>
        <v>9.7300000000000004</v>
      </c>
      <c r="H5596" s="22">
        <v>0</v>
      </c>
      <c r="I5596" s="23" t="str">
        <f t="shared" si="262"/>
        <v xml:space="preserve">COM VALOR</v>
      </c>
      <c r="J5596" s="19"/>
      <c r="L5596" s="21">
        <v>10</v>
      </c>
      <c r="M5596" s="22">
        <v>0</v>
      </c>
      <c r="N5596" s="21">
        <v>9.7300000000000004</v>
      </c>
      <c r="O5596" s="22">
        <v>0</v>
      </c>
    </row>
    <row r="5597" ht="38.25">
      <c r="A5597" t="s">
        <v>5643</v>
      </c>
      <c r="B5597" s="19">
        <v>89817</v>
      </c>
      <c r="C5597" s="20" t="s">
        <v>5707</v>
      </c>
      <c r="D5597" s="19" t="s">
        <v>31</v>
      </c>
      <c r="E5597" s="21">
        <f t="shared" si="260"/>
        <v>15.42</v>
      </c>
      <c r="F5597" s="22">
        <v>0</v>
      </c>
      <c r="G5597" s="21">
        <f t="shared" si="261"/>
        <v>15.18</v>
      </c>
      <c r="H5597" s="22">
        <v>0</v>
      </c>
      <c r="I5597" s="23" t="str">
        <f t="shared" si="262"/>
        <v xml:space="preserve">COM VALOR</v>
      </c>
      <c r="J5597" s="19"/>
      <c r="L5597" s="21">
        <v>15.42</v>
      </c>
      <c r="M5597" s="22">
        <v>0</v>
      </c>
      <c r="N5597" s="21">
        <v>15.18</v>
      </c>
      <c r="O5597" s="22">
        <v>0</v>
      </c>
    </row>
    <row r="5598" ht="38.25">
      <c r="A5598" t="s">
        <v>5643</v>
      </c>
      <c r="B5598" s="19">
        <v>89774</v>
      </c>
      <c r="C5598" s="20" t="s">
        <v>5708</v>
      </c>
      <c r="D5598" s="19" t="s">
        <v>31</v>
      </c>
      <c r="E5598" s="21">
        <f t="shared" si="260"/>
        <v>16.800000000000001</v>
      </c>
      <c r="F5598" s="22">
        <v>0</v>
      </c>
      <c r="G5598" s="21">
        <f t="shared" si="261"/>
        <v>16.48</v>
      </c>
      <c r="H5598" s="22">
        <v>0</v>
      </c>
      <c r="I5598" s="23" t="str">
        <f t="shared" si="262"/>
        <v xml:space="preserve">COM VALOR</v>
      </c>
      <c r="J5598" s="19"/>
      <c r="L5598" s="21">
        <v>16.800000000000001</v>
      </c>
      <c r="M5598" s="22">
        <v>0</v>
      </c>
      <c r="N5598" s="21">
        <v>16.48</v>
      </c>
      <c r="O5598" s="22">
        <v>0</v>
      </c>
    </row>
    <row r="5599" ht="38.25">
      <c r="A5599" t="s">
        <v>5643</v>
      </c>
      <c r="B5599" s="19">
        <v>95693</v>
      </c>
      <c r="C5599" s="20" t="s">
        <v>5709</v>
      </c>
      <c r="D5599" s="19" t="s">
        <v>31</v>
      </c>
      <c r="E5599" s="21">
        <f t="shared" si="260"/>
        <v>55.789999999999999</v>
      </c>
      <c r="F5599" s="22">
        <v>0</v>
      </c>
      <c r="G5599" s="21">
        <f t="shared" si="261"/>
        <v>55.109999999999999</v>
      </c>
      <c r="H5599" s="22">
        <v>0</v>
      </c>
      <c r="I5599" s="23" t="str">
        <f t="shared" si="262"/>
        <v xml:space="preserve">COM VALOR</v>
      </c>
      <c r="J5599" s="19"/>
      <c r="L5599" s="21">
        <v>55.789999999999999</v>
      </c>
      <c r="M5599" s="22">
        <v>0</v>
      </c>
      <c r="N5599" s="21">
        <v>55.109999999999999</v>
      </c>
      <c r="O5599" s="22">
        <v>0</v>
      </c>
    </row>
    <row r="5600" ht="38.25">
      <c r="A5600" t="s">
        <v>5643</v>
      </c>
      <c r="B5600" s="19">
        <v>89833</v>
      </c>
      <c r="C5600" s="20" t="s">
        <v>5710</v>
      </c>
      <c r="D5600" s="19" t="s">
        <v>31</v>
      </c>
      <c r="E5600" s="21">
        <f t="shared" si="260"/>
        <v>47.159999999999997</v>
      </c>
      <c r="F5600" s="22">
        <v>0</v>
      </c>
      <c r="G5600" s="21">
        <f t="shared" si="261"/>
        <v>46.329999999999998</v>
      </c>
      <c r="H5600" s="22">
        <v>0</v>
      </c>
      <c r="I5600" s="23" t="str">
        <f t="shared" si="262"/>
        <v xml:space="preserve">COM VALOR</v>
      </c>
      <c r="J5600" s="19"/>
      <c r="L5600" s="21">
        <v>47.159999999999997</v>
      </c>
      <c r="M5600" s="22">
        <v>0</v>
      </c>
      <c r="N5600" s="21">
        <v>46.329999999999998</v>
      </c>
      <c r="O5600" s="22">
        <v>0</v>
      </c>
    </row>
    <row r="5601" ht="38.25">
      <c r="A5601" t="s">
        <v>5643</v>
      </c>
      <c r="B5601" s="19">
        <v>89796</v>
      </c>
      <c r="C5601" s="20" t="s">
        <v>5711</v>
      </c>
      <c r="D5601" s="19" t="s">
        <v>31</v>
      </c>
      <c r="E5601" s="21">
        <f t="shared" si="260"/>
        <v>45.490000000000002</v>
      </c>
      <c r="F5601" s="22">
        <v>0</v>
      </c>
      <c r="G5601" s="21">
        <f t="shared" si="261"/>
        <v>44.759999999999998</v>
      </c>
      <c r="H5601" s="22">
        <v>0</v>
      </c>
      <c r="I5601" s="23" t="str">
        <f t="shared" si="262"/>
        <v xml:space="preserve">COM VALOR</v>
      </c>
      <c r="J5601" s="19"/>
      <c r="L5601" s="21">
        <v>45.490000000000002</v>
      </c>
      <c r="M5601" s="22">
        <v>0</v>
      </c>
      <c r="N5601" s="21">
        <v>44.759999999999998</v>
      </c>
      <c r="O5601" s="22">
        <v>0</v>
      </c>
    </row>
    <row r="5602" ht="38.25">
      <c r="A5602" t="s">
        <v>5643</v>
      </c>
      <c r="B5602" s="19">
        <v>89860</v>
      </c>
      <c r="C5602" s="20" t="s">
        <v>5712</v>
      </c>
      <c r="D5602" s="19" t="s">
        <v>31</v>
      </c>
      <c r="E5602" s="21">
        <f t="shared" si="260"/>
        <v>51.240000000000002</v>
      </c>
      <c r="F5602" s="22">
        <v>0</v>
      </c>
      <c r="G5602" s="21">
        <f t="shared" si="261"/>
        <v>50.170000000000002</v>
      </c>
      <c r="H5602" s="22">
        <v>0</v>
      </c>
      <c r="I5602" s="23" t="str">
        <f t="shared" si="262"/>
        <v xml:space="preserve">COM VALOR</v>
      </c>
      <c r="J5602" s="19"/>
      <c r="L5602" s="21">
        <v>51.240000000000002</v>
      </c>
      <c r="M5602" s="22">
        <v>0</v>
      </c>
      <c r="N5602" s="21">
        <v>50.170000000000002</v>
      </c>
      <c r="O5602" s="22">
        <v>0</v>
      </c>
    </row>
    <row r="5603" ht="38.25">
      <c r="A5603" t="s">
        <v>5643</v>
      </c>
      <c r="B5603" s="19">
        <v>89782</v>
      </c>
      <c r="C5603" s="20" t="s">
        <v>5713</v>
      </c>
      <c r="D5603" s="19" t="s">
        <v>31</v>
      </c>
      <c r="E5603" s="21">
        <f t="shared" si="260"/>
        <v>15.85</v>
      </c>
      <c r="F5603" s="22">
        <v>0</v>
      </c>
      <c r="G5603" s="21">
        <f t="shared" si="261"/>
        <v>15.35</v>
      </c>
      <c r="H5603" s="22">
        <v>0</v>
      </c>
      <c r="I5603" s="23" t="str">
        <f t="shared" si="262"/>
        <v xml:space="preserve">COM VALOR</v>
      </c>
      <c r="J5603" s="19"/>
      <c r="L5603" s="21">
        <v>15.85</v>
      </c>
      <c r="M5603" s="22">
        <v>0</v>
      </c>
      <c r="N5603" s="21">
        <v>15.35</v>
      </c>
      <c r="O5603" s="22">
        <v>0</v>
      </c>
    </row>
    <row r="5604" ht="38.25">
      <c r="A5604" t="s">
        <v>5643</v>
      </c>
      <c r="B5604" s="19">
        <v>89825</v>
      </c>
      <c r="C5604" s="20" t="s">
        <v>5714</v>
      </c>
      <c r="D5604" s="19" t="s">
        <v>31</v>
      </c>
      <c r="E5604" s="21">
        <f t="shared" si="260"/>
        <v>18.210000000000001</v>
      </c>
      <c r="F5604" s="22">
        <v>0</v>
      </c>
      <c r="G5604" s="21">
        <f t="shared" si="261"/>
        <v>18.07</v>
      </c>
      <c r="H5604" s="22">
        <v>0</v>
      </c>
      <c r="I5604" s="23" t="str">
        <f t="shared" si="262"/>
        <v xml:space="preserve">COM VALOR</v>
      </c>
      <c r="J5604" s="19"/>
      <c r="L5604" s="21">
        <v>18.210000000000001</v>
      </c>
      <c r="M5604" s="22">
        <v>0</v>
      </c>
      <c r="N5604" s="21">
        <v>18.07</v>
      </c>
      <c r="O5604" s="22">
        <v>0</v>
      </c>
    </row>
    <row r="5605" ht="38.25">
      <c r="A5605" t="s">
        <v>5643</v>
      </c>
      <c r="B5605" s="19">
        <v>89784</v>
      </c>
      <c r="C5605" s="20" t="s">
        <v>5715</v>
      </c>
      <c r="D5605" s="19" t="s">
        <v>31</v>
      </c>
      <c r="E5605" s="21">
        <f t="shared" si="260"/>
        <v>25.219999999999999</v>
      </c>
      <c r="F5605" s="22">
        <v>0</v>
      </c>
      <c r="G5605" s="21">
        <f t="shared" si="261"/>
        <v>24.699999999999999</v>
      </c>
      <c r="H5605" s="22">
        <v>0</v>
      </c>
      <c r="I5605" s="23" t="str">
        <f t="shared" si="262"/>
        <v xml:space="preserve">COM VALOR</v>
      </c>
      <c r="J5605" s="19"/>
      <c r="L5605" s="21">
        <v>25.219999999999999</v>
      </c>
      <c r="M5605" s="22">
        <v>0</v>
      </c>
      <c r="N5605" s="21">
        <v>24.699999999999999</v>
      </c>
      <c r="O5605" s="22">
        <v>0</v>
      </c>
    </row>
    <row r="5606" ht="38.25">
      <c r="A5606" t="s">
        <v>5643</v>
      </c>
      <c r="B5606" s="19">
        <v>89829</v>
      </c>
      <c r="C5606" s="20" t="s">
        <v>5716</v>
      </c>
      <c r="D5606" s="19" t="s">
        <v>31</v>
      </c>
      <c r="E5606" s="21">
        <f t="shared" si="260"/>
        <v>38.210000000000001</v>
      </c>
      <c r="F5606" s="22">
        <v>0</v>
      </c>
      <c r="G5606" s="21">
        <f t="shared" si="261"/>
        <v>37.729999999999997</v>
      </c>
      <c r="H5606" s="22">
        <v>0</v>
      </c>
      <c r="I5606" s="23" t="str">
        <f t="shared" si="262"/>
        <v xml:space="preserve">COM VALOR</v>
      </c>
      <c r="J5606" s="19"/>
      <c r="L5606" s="21">
        <v>38.210000000000001</v>
      </c>
      <c r="M5606" s="22">
        <v>0</v>
      </c>
      <c r="N5606" s="21">
        <v>37.729999999999997</v>
      </c>
      <c r="O5606" s="22">
        <v>0</v>
      </c>
    </row>
    <row r="5607" ht="38.25">
      <c r="A5607" t="s">
        <v>5643</v>
      </c>
      <c r="B5607" s="19">
        <v>89786</v>
      </c>
      <c r="C5607" s="20" t="s">
        <v>5717</v>
      </c>
      <c r="D5607" s="19" t="s">
        <v>31</v>
      </c>
      <c r="E5607" s="21">
        <f t="shared" si="260"/>
        <v>40.890000000000001</v>
      </c>
      <c r="F5607" s="22">
        <v>0</v>
      </c>
      <c r="G5607" s="21">
        <f t="shared" si="261"/>
        <v>40.25</v>
      </c>
      <c r="H5607" s="22">
        <v>0</v>
      </c>
      <c r="I5607" s="23" t="str">
        <f t="shared" si="262"/>
        <v xml:space="preserve">COM VALOR</v>
      </c>
      <c r="J5607" s="19"/>
      <c r="L5607" s="21">
        <v>40.890000000000001</v>
      </c>
      <c r="M5607" s="22">
        <v>0</v>
      </c>
      <c r="N5607" s="21">
        <v>40.25</v>
      </c>
      <c r="O5607" s="22">
        <v>0</v>
      </c>
    </row>
    <row r="5608" ht="38.25">
      <c r="A5608" t="s">
        <v>5643</v>
      </c>
      <c r="B5608" s="19">
        <v>104352</v>
      </c>
      <c r="C5608" s="20" t="s">
        <v>5718</v>
      </c>
      <c r="D5608" s="19" t="s">
        <v>31</v>
      </c>
      <c r="E5608" s="21">
        <f t="shared" si="260"/>
        <v>41.810000000000002</v>
      </c>
      <c r="F5608" s="22">
        <v>0</v>
      </c>
      <c r="G5608" s="21">
        <f t="shared" si="261"/>
        <v>41.219999999999999</v>
      </c>
      <c r="H5608" s="22">
        <v>0</v>
      </c>
      <c r="I5608" s="23" t="str">
        <f t="shared" si="262"/>
        <v xml:space="preserve">COM VALOR</v>
      </c>
      <c r="J5608" s="19"/>
      <c r="L5608" s="21">
        <v>41.810000000000002</v>
      </c>
      <c r="M5608" s="22">
        <v>0</v>
      </c>
      <c r="N5608" s="21">
        <v>41.219999999999999</v>
      </c>
      <c r="O5608" s="22">
        <v>0</v>
      </c>
    </row>
    <row r="5609" ht="38.25">
      <c r="A5609" t="s">
        <v>5643</v>
      </c>
      <c r="B5609" s="19">
        <v>104344</v>
      </c>
      <c r="C5609" s="20" t="s">
        <v>5719</v>
      </c>
      <c r="D5609" s="19" t="s">
        <v>31</v>
      </c>
      <c r="E5609" s="21">
        <f t="shared" si="260"/>
        <v>43.049999999999997</v>
      </c>
      <c r="F5609" s="22">
        <v>0</v>
      </c>
      <c r="G5609" s="21">
        <f t="shared" si="261"/>
        <v>42.380000000000003</v>
      </c>
      <c r="H5609" s="22">
        <v>0</v>
      </c>
      <c r="I5609" s="23" t="str">
        <f t="shared" si="262"/>
        <v xml:space="preserve">COM VALOR</v>
      </c>
      <c r="J5609" s="19"/>
      <c r="L5609" s="21">
        <v>43.049999999999997</v>
      </c>
      <c r="M5609" s="22">
        <v>0</v>
      </c>
      <c r="N5609" s="21">
        <v>42.380000000000003</v>
      </c>
      <c r="O5609" s="22">
        <v>0</v>
      </c>
    </row>
    <row r="5610" ht="38.25">
      <c r="A5610" t="s">
        <v>5643</v>
      </c>
      <c r="B5610" s="19">
        <v>104354</v>
      </c>
      <c r="C5610" s="20" t="s">
        <v>5720</v>
      </c>
      <c r="D5610" s="19" t="s">
        <v>31</v>
      </c>
      <c r="E5610" s="21">
        <f t="shared" si="260"/>
        <v>47.909999999999997</v>
      </c>
      <c r="F5610" s="22">
        <v>0</v>
      </c>
      <c r="G5610" s="21">
        <f t="shared" si="261"/>
        <v>47.189999999999998</v>
      </c>
      <c r="H5610" s="22">
        <v>0</v>
      </c>
      <c r="I5610" s="23" t="str">
        <f t="shared" si="262"/>
        <v xml:space="preserve">COM VALOR</v>
      </c>
      <c r="J5610" s="19"/>
      <c r="L5610" s="21">
        <v>47.909999999999997</v>
      </c>
      <c r="M5610" s="22">
        <v>0</v>
      </c>
      <c r="N5610" s="21">
        <v>47.189999999999998</v>
      </c>
      <c r="O5610" s="22">
        <v>0</v>
      </c>
    </row>
    <row r="5611" ht="38.25">
      <c r="A5611" t="s">
        <v>5643</v>
      </c>
      <c r="B5611" s="19">
        <v>104346</v>
      </c>
      <c r="C5611" s="20" t="s">
        <v>5721</v>
      </c>
      <c r="D5611" s="19" t="s">
        <v>31</v>
      </c>
      <c r="E5611" s="21">
        <f t="shared" si="260"/>
        <v>47.689999999999998</v>
      </c>
      <c r="F5611" s="22">
        <v>0</v>
      </c>
      <c r="G5611" s="21">
        <f t="shared" si="261"/>
        <v>46.990000000000002</v>
      </c>
      <c r="H5611" s="22">
        <v>0</v>
      </c>
      <c r="I5611" s="23" t="str">
        <f t="shared" si="262"/>
        <v xml:space="preserve">COM VALOR</v>
      </c>
      <c r="J5611" s="19"/>
      <c r="L5611" s="21">
        <v>47.689999999999998</v>
      </c>
      <c r="M5611" s="22">
        <v>0</v>
      </c>
      <c r="N5611" s="21">
        <v>46.990000000000002</v>
      </c>
      <c r="O5611" s="22">
        <v>0</v>
      </c>
    </row>
    <row r="5612" ht="38.25">
      <c r="A5612" t="s">
        <v>5643</v>
      </c>
      <c r="B5612" s="19">
        <v>104356</v>
      </c>
      <c r="C5612" s="20" t="s">
        <v>5722</v>
      </c>
      <c r="D5612" s="19" t="s">
        <v>31</v>
      </c>
      <c r="E5612" s="21">
        <f t="shared" si="260"/>
        <v>33.689999999999998</v>
      </c>
      <c r="F5612" s="22">
        <v>0</v>
      </c>
      <c r="G5612" s="21">
        <f t="shared" si="261"/>
        <v>33.479999999999997</v>
      </c>
      <c r="H5612" s="22">
        <v>0</v>
      </c>
      <c r="I5612" s="23" t="str">
        <f t="shared" si="262"/>
        <v xml:space="preserve">COM VALOR</v>
      </c>
      <c r="J5612" s="19"/>
      <c r="L5612" s="21">
        <v>33.689999999999998</v>
      </c>
      <c r="M5612" s="22">
        <v>0</v>
      </c>
      <c r="N5612" s="21">
        <v>33.479999999999997</v>
      </c>
      <c r="O5612" s="22">
        <v>0</v>
      </c>
    </row>
    <row r="5613" ht="38.25">
      <c r="A5613" t="s">
        <v>5643</v>
      </c>
      <c r="B5613" s="19">
        <v>104348</v>
      </c>
      <c r="C5613" s="20" t="s">
        <v>5723</v>
      </c>
      <c r="D5613" s="19" t="s">
        <v>31</v>
      </c>
      <c r="E5613" s="21">
        <f t="shared" si="260"/>
        <v>12.359999999999999</v>
      </c>
      <c r="F5613" s="22">
        <v>0</v>
      </c>
      <c r="G5613" s="21">
        <f t="shared" si="261"/>
        <v>12.32</v>
      </c>
      <c r="H5613" s="22">
        <v>0</v>
      </c>
      <c r="I5613" s="23" t="str">
        <f t="shared" si="262"/>
        <v xml:space="preserve">COM VALOR</v>
      </c>
      <c r="J5613" s="19"/>
      <c r="L5613" s="21">
        <v>12.359999999999999</v>
      </c>
      <c r="M5613" s="22">
        <v>0</v>
      </c>
      <c r="N5613" s="21">
        <v>12.32</v>
      </c>
      <c r="O5613" s="22">
        <v>0</v>
      </c>
    </row>
    <row r="5614" ht="38.25">
      <c r="A5614" t="s">
        <v>5643</v>
      </c>
      <c r="B5614" s="19">
        <v>104351</v>
      </c>
      <c r="C5614" s="20" t="s">
        <v>5724</v>
      </c>
      <c r="D5614" s="19" t="s">
        <v>31</v>
      </c>
      <c r="E5614" s="21">
        <f t="shared" si="260"/>
        <v>25.469999999999999</v>
      </c>
      <c r="F5614" s="22">
        <v>0</v>
      </c>
      <c r="G5614" s="21">
        <f t="shared" si="261"/>
        <v>25.350000000000001</v>
      </c>
      <c r="H5614" s="22">
        <v>0</v>
      </c>
      <c r="I5614" s="23" t="str">
        <f t="shared" si="262"/>
        <v xml:space="preserve">COM VALOR</v>
      </c>
      <c r="J5614" s="19"/>
      <c r="L5614" s="21">
        <v>25.469999999999999</v>
      </c>
      <c r="M5614" s="22">
        <v>0</v>
      </c>
      <c r="N5614" s="21">
        <v>25.350000000000001</v>
      </c>
      <c r="O5614" s="22">
        <v>0</v>
      </c>
    </row>
    <row r="5615" ht="38.25">
      <c r="A5615" t="s">
        <v>5643</v>
      </c>
      <c r="B5615" s="19">
        <v>89800</v>
      </c>
      <c r="C5615" s="20" t="s">
        <v>5725</v>
      </c>
      <c r="D5615" s="19" t="s">
        <v>38</v>
      </c>
      <c r="E5615" s="21">
        <f t="shared" si="260"/>
        <v>31.07</v>
      </c>
      <c r="F5615" s="22">
        <v>0</v>
      </c>
      <c r="G5615" s="21">
        <f t="shared" si="261"/>
        <v>30.309999999999999</v>
      </c>
      <c r="H5615" s="22">
        <v>0</v>
      </c>
      <c r="I5615" s="23" t="str">
        <f t="shared" si="262"/>
        <v xml:space="preserve">COM VALOR</v>
      </c>
      <c r="J5615" s="19"/>
      <c r="L5615" s="21">
        <v>31.07</v>
      </c>
      <c r="M5615" s="22">
        <v>0</v>
      </c>
      <c r="N5615" s="21">
        <v>30.309999999999999</v>
      </c>
      <c r="O5615" s="22">
        <v>0</v>
      </c>
    </row>
    <row r="5616" ht="38.25">
      <c r="A5616" t="s">
        <v>5643</v>
      </c>
      <c r="B5616" s="19">
        <v>89714</v>
      </c>
      <c r="C5616" s="20" t="s">
        <v>5726</v>
      </c>
      <c r="D5616" s="19" t="s">
        <v>38</v>
      </c>
      <c r="E5616" s="21">
        <f t="shared" si="260"/>
        <v>40.310000000000002</v>
      </c>
      <c r="F5616" s="22">
        <v>0</v>
      </c>
      <c r="G5616" s="21">
        <f t="shared" si="261"/>
        <v>39.030000000000001</v>
      </c>
      <c r="H5616" s="22">
        <v>0</v>
      </c>
      <c r="I5616" s="23" t="str">
        <f t="shared" si="262"/>
        <v xml:space="preserve">COM VALOR</v>
      </c>
      <c r="J5616" s="19"/>
      <c r="L5616" s="21">
        <v>40.310000000000002</v>
      </c>
      <c r="M5616" s="22">
        <v>0</v>
      </c>
      <c r="N5616" s="21">
        <v>39.030000000000001</v>
      </c>
      <c r="O5616" s="22">
        <v>0</v>
      </c>
    </row>
    <row r="5617" ht="25.5">
      <c r="A5617" t="s">
        <v>5643</v>
      </c>
      <c r="B5617" s="19">
        <v>89848</v>
      </c>
      <c r="C5617" s="20" t="s">
        <v>5727</v>
      </c>
      <c r="D5617" s="19" t="s">
        <v>38</v>
      </c>
      <c r="E5617" s="21">
        <f t="shared" si="260"/>
        <v>29.870000000000001</v>
      </c>
      <c r="F5617" s="22">
        <v>0</v>
      </c>
      <c r="G5617" s="21">
        <f t="shared" si="261"/>
        <v>29.18</v>
      </c>
      <c r="H5617" s="22">
        <v>0</v>
      </c>
      <c r="I5617" s="23" t="str">
        <f t="shared" si="262"/>
        <v xml:space="preserve">COM VALOR</v>
      </c>
      <c r="J5617" s="19"/>
      <c r="L5617" s="21">
        <v>29.870000000000001</v>
      </c>
      <c r="M5617" s="22">
        <v>0</v>
      </c>
      <c r="N5617" s="21">
        <v>29.18</v>
      </c>
      <c r="O5617" s="22">
        <v>0</v>
      </c>
    </row>
    <row r="5618" ht="25.5">
      <c r="A5618" t="s">
        <v>5643</v>
      </c>
      <c r="B5618" s="19">
        <v>89849</v>
      </c>
      <c r="C5618" s="20" t="s">
        <v>5728</v>
      </c>
      <c r="D5618" s="19" t="s">
        <v>38</v>
      </c>
      <c r="E5618" s="21">
        <f t="shared" si="260"/>
        <v>62.039999999999999</v>
      </c>
      <c r="F5618" s="22">
        <v>0</v>
      </c>
      <c r="G5618" s="21">
        <f t="shared" si="261"/>
        <v>61.149999999999999</v>
      </c>
      <c r="H5618" s="22">
        <v>0</v>
      </c>
      <c r="I5618" s="23" t="str">
        <f t="shared" si="262"/>
        <v xml:space="preserve">COM VALOR</v>
      </c>
      <c r="J5618" s="19"/>
      <c r="L5618" s="21">
        <v>62.039999999999999</v>
      </c>
      <c r="M5618" s="22">
        <v>0</v>
      </c>
      <c r="N5618" s="21">
        <v>61.149999999999999</v>
      </c>
      <c r="O5618" s="22">
        <v>0</v>
      </c>
    </row>
    <row r="5619" ht="38.25">
      <c r="A5619" t="s">
        <v>5643</v>
      </c>
      <c r="B5619" s="19">
        <v>89711</v>
      </c>
      <c r="C5619" s="20" t="s">
        <v>5729</v>
      </c>
      <c r="D5619" s="19" t="s">
        <v>38</v>
      </c>
      <c r="E5619" s="21">
        <f t="shared" si="260"/>
        <v>22.640000000000001</v>
      </c>
      <c r="F5619" s="22">
        <v>0</v>
      </c>
      <c r="G5619" s="21">
        <f t="shared" si="261"/>
        <v>21.800000000000001</v>
      </c>
      <c r="H5619" s="22">
        <v>0</v>
      </c>
      <c r="I5619" s="23" t="str">
        <f t="shared" si="262"/>
        <v xml:space="preserve">COM VALOR</v>
      </c>
      <c r="J5619" s="19"/>
      <c r="L5619" s="21">
        <v>22.640000000000001</v>
      </c>
      <c r="M5619" s="22">
        <v>0</v>
      </c>
      <c r="N5619" s="21">
        <v>21.800000000000001</v>
      </c>
      <c r="O5619" s="22">
        <v>0</v>
      </c>
    </row>
    <row r="5620" ht="38.25">
      <c r="A5620" t="s">
        <v>5643</v>
      </c>
      <c r="B5620" s="19">
        <v>89798</v>
      </c>
      <c r="C5620" s="20" t="s">
        <v>5730</v>
      </c>
      <c r="D5620" s="19" t="s">
        <v>38</v>
      </c>
      <c r="E5620" s="21">
        <f t="shared" si="260"/>
        <v>14.9</v>
      </c>
      <c r="F5620" s="22">
        <v>0</v>
      </c>
      <c r="G5620" s="21">
        <f t="shared" si="261"/>
        <v>14.779999999999999</v>
      </c>
      <c r="H5620" s="22">
        <v>0</v>
      </c>
      <c r="I5620" s="23" t="str">
        <f t="shared" si="262"/>
        <v xml:space="preserve">COM VALOR</v>
      </c>
      <c r="J5620" s="19"/>
      <c r="L5620" s="21">
        <v>14.9</v>
      </c>
      <c r="M5620" s="22">
        <v>0</v>
      </c>
      <c r="N5620" s="21">
        <v>14.779999999999999</v>
      </c>
      <c r="O5620" s="22">
        <v>0</v>
      </c>
    </row>
    <row r="5621" ht="38.25">
      <c r="A5621" t="s">
        <v>5643</v>
      </c>
      <c r="B5621" s="19">
        <v>89712</v>
      </c>
      <c r="C5621" s="20" t="s">
        <v>5731</v>
      </c>
      <c r="D5621" s="19" t="s">
        <v>38</v>
      </c>
      <c r="E5621" s="21">
        <f t="shared" si="260"/>
        <v>28.949999999999999</v>
      </c>
      <c r="F5621" s="22">
        <v>0</v>
      </c>
      <c r="G5621" s="21">
        <f t="shared" si="261"/>
        <v>28.039999999999999</v>
      </c>
      <c r="H5621" s="22">
        <v>0</v>
      </c>
      <c r="I5621" s="23" t="str">
        <f t="shared" si="262"/>
        <v xml:space="preserve">COM VALOR</v>
      </c>
      <c r="J5621" s="19"/>
      <c r="L5621" s="21">
        <v>28.949999999999999</v>
      </c>
      <c r="M5621" s="22">
        <v>0</v>
      </c>
      <c r="N5621" s="21">
        <v>28.039999999999999</v>
      </c>
      <c r="O5621" s="22">
        <v>0</v>
      </c>
    </row>
    <row r="5622" ht="38.25">
      <c r="A5622" t="s">
        <v>5643</v>
      </c>
      <c r="B5622" s="19">
        <v>89799</v>
      </c>
      <c r="C5622" s="20" t="s">
        <v>5732</v>
      </c>
      <c r="D5622" s="19" t="s">
        <v>38</v>
      </c>
      <c r="E5622" s="21">
        <f t="shared" si="260"/>
        <v>24.489999999999998</v>
      </c>
      <c r="F5622" s="22">
        <v>0</v>
      </c>
      <c r="G5622" s="21">
        <f t="shared" si="261"/>
        <v>24.050000000000001</v>
      </c>
      <c r="H5622" s="22">
        <v>0</v>
      </c>
      <c r="I5622" s="23" t="str">
        <f t="shared" si="262"/>
        <v xml:space="preserve">COM VALOR</v>
      </c>
      <c r="J5622" s="19"/>
      <c r="L5622" s="21">
        <v>24.489999999999998</v>
      </c>
      <c r="M5622" s="22">
        <v>0</v>
      </c>
      <c r="N5622" s="21">
        <v>24.050000000000001</v>
      </c>
      <c r="O5622" s="22">
        <v>0</v>
      </c>
    </row>
    <row r="5623" ht="38.25">
      <c r="A5623" t="s">
        <v>5643</v>
      </c>
      <c r="B5623" s="19">
        <v>89713</v>
      </c>
      <c r="C5623" s="20" t="s">
        <v>5733</v>
      </c>
      <c r="D5623" s="19" t="s">
        <v>38</v>
      </c>
      <c r="E5623" s="21">
        <f t="shared" si="260"/>
        <v>36.159999999999997</v>
      </c>
      <c r="F5623" s="22">
        <v>0</v>
      </c>
      <c r="G5623" s="21">
        <f t="shared" si="261"/>
        <v>35.060000000000002</v>
      </c>
      <c r="H5623" s="22">
        <v>0</v>
      </c>
      <c r="I5623" s="23" t="str">
        <f t="shared" si="262"/>
        <v xml:space="preserve">COM VALOR</v>
      </c>
      <c r="J5623" s="19"/>
      <c r="L5623" s="21">
        <v>36.159999999999997</v>
      </c>
      <c r="M5623" s="22">
        <v>0</v>
      </c>
      <c r="N5623" s="21">
        <v>35.060000000000002</v>
      </c>
      <c r="O5623" s="22">
        <v>0</v>
      </c>
    </row>
    <row r="5624" ht="38.25">
      <c r="A5624" t="s">
        <v>5734</v>
      </c>
      <c r="B5624" s="19">
        <v>89376</v>
      </c>
      <c r="C5624" s="20" t="s">
        <v>5735</v>
      </c>
      <c r="D5624" s="19" t="s">
        <v>31</v>
      </c>
      <c r="E5624" s="21">
        <f t="shared" si="260"/>
        <v>5.9000000000000004</v>
      </c>
      <c r="F5624" s="22">
        <v>0</v>
      </c>
      <c r="G5624" s="21">
        <f t="shared" si="261"/>
        <v>5.6600000000000001</v>
      </c>
      <c r="H5624" s="22">
        <v>0</v>
      </c>
      <c r="I5624" s="23" t="str">
        <f t="shared" si="262"/>
        <v xml:space="preserve">COM VALOR</v>
      </c>
      <c r="J5624" s="19"/>
      <c r="L5624" s="21">
        <v>5.9000000000000004</v>
      </c>
      <c r="M5624" s="22">
        <v>0</v>
      </c>
      <c r="N5624" s="21">
        <v>5.6600000000000001</v>
      </c>
      <c r="O5624" s="22">
        <v>0</v>
      </c>
    </row>
    <row r="5625" ht="38.25">
      <c r="A5625" t="s">
        <v>5734</v>
      </c>
      <c r="B5625" s="19">
        <v>89429</v>
      </c>
      <c r="C5625" s="20" t="s">
        <v>5736</v>
      </c>
      <c r="D5625" s="19" t="s">
        <v>31</v>
      </c>
      <c r="E5625" s="21">
        <f t="shared" si="260"/>
        <v>6.3499999999999996</v>
      </c>
      <c r="F5625" s="22">
        <v>0</v>
      </c>
      <c r="G5625" s="21">
        <f t="shared" si="261"/>
        <v>6.1100000000000003</v>
      </c>
      <c r="H5625" s="22">
        <v>0</v>
      </c>
      <c r="I5625" s="23" t="str">
        <f t="shared" si="262"/>
        <v xml:space="preserve">COM VALOR</v>
      </c>
      <c r="J5625" s="19"/>
      <c r="L5625" s="21">
        <v>6.3499999999999996</v>
      </c>
      <c r="M5625" s="22">
        <v>0</v>
      </c>
      <c r="N5625" s="21">
        <v>6.1100000000000003</v>
      </c>
      <c r="O5625" s="22">
        <v>0</v>
      </c>
    </row>
    <row r="5626" ht="38.25">
      <c r="A5626" t="s">
        <v>5734</v>
      </c>
      <c r="B5626" s="19">
        <v>89383</v>
      </c>
      <c r="C5626" s="20" t="s">
        <v>5737</v>
      </c>
      <c r="D5626" s="19" t="s">
        <v>31</v>
      </c>
      <c r="E5626" s="21">
        <f t="shared" si="260"/>
        <v>6.8700000000000001</v>
      </c>
      <c r="F5626" s="22">
        <v>0</v>
      </c>
      <c r="G5626" s="21">
        <f t="shared" si="261"/>
        <v>6.5999999999999996</v>
      </c>
      <c r="H5626" s="22">
        <v>0</v>
      </c>
      <c r="I5626" s="23" t="str">
        <f t="shared" si="262"/>
        <v xml:space="preserve">COM VALOR</v>
      </c>
      <c r="J5626" s="19"/>
      <c r="L5626" s="21">
        <v>6.8700000000000001</v>
      </c>
      <c r="M5626" s="22">
        <v>0</v>
      </c>
      <c r="N5626" s="21">
        <v>6.5999999999999996</v>
      </c>
      <c r="O5626" s="22">
        <v>0</v>
      </c>
    </row>
    <row r="5627" ht="38.25">
      <c r="A5627" t="s">
        <v>5734</v>
      </c>
      <c r="B5627" s="19">
        <v>89553</v>
      </c>
      <c r="C5627" s="20" t="s">
        <v>5738</v>
      </c>
      <c r="D5627" s="19" t="s">
        <v>31</v>
      </c>
      <c r="E5627" s="21">
        <f t="shared" si="260"/>
        <v>6</v>
      </c>
      <c r="F5627" s="22">
        <v>0</v>
      </c>
      <c r="G5627" s="21">
        <f t="shared" si="261"/>
        <v>5.8499999999999996</v>
      </c>
      <c r="H5627" s="22">
        <v>0</v>
      </c>
      <c r="I5627" s="23" t="str">
        <f t="shared" si="262"/>
        <v xml:space="preserve">COM VALOR</v>
      </c>
      <c r="J5627" s="19"/>
      <c r="L5627" s="21">
        <v>6</v>
      </c>
      <c r="M5627" s="22">
        <v>0</v>
      </c>
      <c r="N5627" s="21">
        <v>5.8499999999999996</v>
      </c>
      <c r="O5627" s="22">
        <v>0</v>
      </c>
    </row>
    <row r="5628" ht="38.25">
      <c r="A5628" t="s">
        <v>5734</v>
      </c>
      <c r="B5628" s="19">
        <v>89436</v>
      </c>
      <c r="C5628" s="20" t="s">
        <v>5739</v>
      </c>
      <c r="D5628" s="19" t="s">
        <v>31</v>
      </c>
      <c r="E5628" s="21">
        <f t="shared" si="260"/>
        <v>8.4499999999999993</v>
      </c>
      <c r="F5628" s="22">
        <v>0</v>
      </c>
      <c r="G5628" s="21">
        <f t="shared" si="261"/>
        <v>8.1600000000000001</v>
      </c>
      <c r="H5628" s="22">
        <v>0</v>
      </c>
      <c r="I5628" s="23" t="str">
        <f t="shared" si="262"/>
        <v xml:space="preserve">COM VALOR</v>
      </c>
      <c r="J5628" s="19"/>
      <c r="L5628" s="21">
        <v>8.4499999999999993</v>
      </c>
      <c r="M5628" s="22">
        <v>0</v>
      </c>
      <c r="N5628" s="21">
        <v>8.1600000000000001</v>
      </c>
      <c r="O5628" s="22">
        <v>0</v>
      </c>
    </row>
    <row r="5629" ht="38.25">
      <c r="A5629" t="s">
        <v>5734</v>
      </c>
      <c r="B5629" s="19">
        <v>89391</v>
      </c>
      <c r="C5629" s="20" t="s">
        <v>5740</v>
      </c>
      <c r="D5629" s="19" t="s">
        <v>31</v>
      </c>
      <c r="E5629" s="21">
        <f t="shared" si="260"/>
        <v>9.0700000000000003</v>
      </c>
      <c r="F5629" s="22">
        <v>0</v>
      </c>
      <c r="G5629" s="21">
        <f t="shared" si="261"/>
        <v>8.75</v>
      </c>
      <c r="H5629" s="22">
        <v>0</v>
      </c>
      <c r="I5629" s="23" t="str">
        <f t="shared" si="262"/>
        <v xml:space="preserve">COM VALOR</v>
      </c>
      <c r="J5629" s="19"/>
      <c r="L5629" s="21">
        <v>9.0700000000000003</v>
      </c>
      <c r="M5629" s="22">
        <v>0</v>
      </c>
      <c r="N5629" s="21">
        <v>8.75</v>
      </c>
      <c r="O5629" s="22">
        <v>0</v>
      </c>
    </row>
    <row r="5630" ht="38.25">
      <c r="A5630" t="s">
        <v>5734</v>
      </c>
      <c r="B5630" s="19">
        <v>103994</v>
      </c>
      <c r="C5630" s="20" t="s">
        <v>5741</v>
      </c>
      <c r="D5630" s="19" t="s">
        <v>31</v>
      </c>
      <c r="E5630" s="21">
        <f t="shared" si="260"/>
        <v>14.59</v>
      </c>
      <c r="F5630" s="22">
        <v>0</v>
      </c>
      <c r="G5630" s="21">
        <f t="shared" si="261"/>
        <v>14.25</v>
      </c>
      <c r="H5630" s="22">
        <v>0</v>
      </c>
      <c r="I5630" s="23" t="str">
        <f t="shared" si="262"/>
        <v xml:space="preserve">COM VALOR</v>
      </c>
      <c r="J5630" s="19"/>
      <c r="L5630" s="21">
        <v>14.59</v>
      </c>
      <c r="M5630" s="22">
        <v>0</v>
      </c>
      <c r="N5630" s="21">
        <v>14.25</v>
      </c>
      <c r="O5630" s="22">
        <v>0</v>
      </c>
    </row>
    <row r="5631" ht="38.25">
      <c r="A5631" t="s">
        <v>5734</v>
      </c>
      <c r="B5631" s="19">
        <v>89570</v>
      </c>
      <c r="C5631" s="20" t="s">
        <v>5742</v>
      </c>
      <c r="D5631" s="19" t="s">
        <v>31</v>
      </c>
      <c r="E5631" s="21">
        <f t="shared" si="260"/>
        <v>11.76</v>
      </c>
      <c r="F5631" s="22">
        <v>0</v>
      </c>
      <c r="G5631" s="21">
        <f t="shared" si="261"/>
        <v>11.57</v>
      </c>
      <c r="H5631" s="22">
        <v>0</v>
      </c>
      <c r="I5631" s="23" t="str">
        <f t="shared" si="262"/>
        <v xml:space="preserve">COM VALOR</v>
      </c>
      <c r="J5631" s="19"/>
      <c r="L5631" s="21">
        <v>11.76</v>
      </c>
      <c r="M5631" s="22">
        <v>0</v>
      </c>
      <c r="N5631" s="21">
        <v>11.57</v>
      </c>
      <c r="O5631" s="22">
        <v>0</v>
      </c>
    </row>
    <row r="5632" ht="38.25">
      <c r="A5632" t="s">
        <v>5734</v>
      </c>
      <c r="B5632" s="19">
        <v>103992</v>
      </c>
      <c r="C5632" s="20" t="s">
        <v>5743</v>
      </c>
      <c r="D5632" s="19" t="s">
        <v>31</v>
      </c>
      <c r="E5632" s="21">
        <f t="shared" si="260"/>
        <v>11.85</v>
      </c>
      <c r="F5632" s="22">
        <v>0</v>
      </c>
      <c r="G5632" s="21">
        <f t="shared" si="261"/>
        <v>11.51</v>
      </c>
      <c r="H5632" s="22">
        <v>0</v>
      </c>
      <c r="I5632" s="23" t="str">
        <f t="shared" si="262"/>
        <v xml:space="preserve">COM VALOR</v>
      </c>
      <c r="J5632" s="19"/>
      <c r="L5632" s="21">
        <v>11.85</v>
      </c>
      <c r="M5632" s="22">
        <v>0</v>
      </c>
      <c r="N5632" s="21">
        <v>11.51</v>
      </c>
      <c r="O5632" s="22">
        <v>0</v>
      </c>
    </row>
    <row r="5633" ht="38.25">
      <c r="A5633" t="s">
        <v>5734</v>
      </c>
      <c r="B5633" s="19">
        <v>89572</v>
      </c>
      <c r="C5633" s="20" t="s">
        <v>5744</v>
      </c>
      <c r="D5633" s="19" t="s">
        <v>31</v>
      </c>
      <c r="E5633" s="21">
        <f t="shared" si="260"/>
        <v>9</v>
      </c>
      <c r="F5633" s="22">
        <v>0</v>
      </c>
      <c r="G5633" s="21">
        <f t="shared" si="261"/>
        <v>8.8200000000000003</v>
      </c>
      <c r="H5633" s="22">
        <v>0</v>
      </c>
      <c r="I5633" s="23" t="str">
        <f t="shared" si="262"/>
        <v xml:space="preserve">COM VALOR</v>
      </c>
      <c r="J5633" s="19"/>
      <c r="L5633" s="21">
        <v>9</v>
      </c>
      <c r="M5633" s="22">
        <v>0</v>
      </c>
      <c r="N5633" s="21">
        <v>8.8200000000000003</v>
      </c>
      <c r="O5633" s="22">
        <v>0</v>
      </c>
    </row>
    <row r="5634" ht="38.25">
      <c r="A5634" t="s">
        <v>5734</v>
      </c>
      <c r="B5634" s="19">
        <v>104001</v>
      </c>
      <c r="C5634" s="20" t="s">
        <v>5745</v>
      </c>
      <c r="D5634" s="19" t="s">
        <v>31</v>
      </c>
      <c r="E5634" s="21">
        <f t="shared" si="260"/>
        <v>14.24</v>
      </c>
      <c r="F5634" s="22">
        <v>0</v>
      </c>
      <c r="G5634" s="21">
        <f t="shared" si="261"/>
        <v>13.859999999999999</v>
      </c>
      <c r="H5634" s="22">
        <v>0</v>
      </c>
      <c r="I5634" s="23" t="str">
        <f t="shared" si="262"/>
        <v xml:space="preserve">COM VALOR</v>
      </c>
      <c r="J5634" s="19"/>
      <c r="L5634" s="21">
        <v>14.24</v>
      </c>
      <c r="M5634" s="22">
        <v>0</v>
      </c>
      <c r="N5634" s="21">
        <v>13.859999999999999</v>
      </c>
      <c r="O5634" s="22">
        <v>0</v>
      </c>
    </row>
    <row r="5635" ht="38.25">
      <c r="A5635" t="s">
        <v>5734</v>
      </c>
      <c r="B5635" s="19">
        <v>89596</v>
      </c>
      <c r="C5635" s="20" t="s">
        <v>5746</v>
      </c>
      <c r="D5635" s="19" t="s">
        <v>31</v>
      </c>
      <c r="E5635" s="21">
        <f t="shared" si="260"/>
        <v>10.83</v>
      </c>
      <c r="F5635" s="22">
        <v>0</v>
      </c>
      <c r="G5635" s="21">
        <f t="shared" si="261"/>
        <v>10.619999999999999</v>
      </c>
      <c r="H5635" s="22">
        <v>0</v>
      </c>
      <c r="I5635" s="23" t="str">
        <f t="shared" si="262"/>
        <v xml:space="preserve">COM VALOR</v>
      </c>
      <c r="J5635" s="19"/>
      <c r="L5635" s="21">
        <v>10.83</v>
      </c>
      <c r="M5635" s="22">
        <v>0</v>
      </c>
      <c r="N5635" s="21">
        <v>10.619999999999999</v>
      </c>
      <c r="O5635" s="22">
        <v>0</v>
      </c>
    </row>
    <row r="5636" ht="38.25">
      <c r="A5636" t="s">
        <v>5734</v>
      </c>
      <c r="B5636" s="19">
        <v>104002</v>
      </c>
      <c r="C5636" s="20" t="s">
        <v>5747</v>
      </c>
      <c r="D5636" s="19" t="s">
        <v>31</v>
      </c>
      <c r="E5636" s="21">
        <f t="shared" si="260"/>
        <v>17.960000000000001</v>
      </c>
      <c r="F5636" s="22">
        <v>0</v>
      </c>
      <c r="G5636" s="21">
        <f t="shared" si="261"/>
        <v>17.579999999999998</v>
      </c>
      <c r="H5636" s="22">
        <v>0</v>
      </c>
      <c r="I5636" s="23" t="str">
        <f t="shared" si="262"/>
        <v xml:space="preserve">COM VALOR</v>
      </c>
      <c r="J5636" s="19"/>
      <c r="L5636" s="21">
        <v>17.960000000000001</v>
      </c>
      <c r="M5636" s="22">
        <v>0</v>
      </c>
      <c r="N5636" s="21">
        <v>17.579999999999998</v>
      </c>
      <c r="O5636" s="22">
        <v>0</v>
      </c>
    </row>
    <row r="5637" ht="38.25">
      <c r="A5637" t="s">
        <v>5734</v>
      </c>
      <c r="B5637" s="19">
        <v>89595</v>
      </c>
      <c r="C5637" s="20" t="s">
        <v>5748</v>
      </c>
      <c r="D5637" s="19" t="s">
        <v>31</v>
      </c>
      <c r="E5637" s="21">
        <f t="shared" si="260"/>
        <v>14.85</v>
      </c>
      <c r="F5637" s="22">
        <v>0</v>
      </c>
      <c r="G5637" s="21">
        <f t="shared" si="261"/>
        <v>14.640000000000001</v>
      </c>
      <c r="H5637" s="22">
        <v>0</v>
      </c>
      <c r="I5637" s="23" t="str">
        <f t="shared" si="262"/>
        <v xml:space="preserve">COM VALOR</v>
      </c>
      <c r="J5637" s="19"/>
      <c r="L5637" s="21">
        <v>14.85</v>
      </c>
      <c r="M5637" s="22">
        <v>0</v>
      </c>
      <c r="N5637" s="21">
        <v>14.640000000000001</v>
      </c>
      <c r="O5637" s="22">
        <v>0</v>
      </c>
    </row>
    <row r="5638" ht="38.25">
      <c r="A5638" t="s">
        <v>5734</v>
      </c>
      <c r="B5638" s="19">
        <v>89610</v>
      </c>
      <c r="C5638" s="20" t="s">
        <v>5749</v>
      </c>
      <c r="D5638" s="19" t="s">
        <v>31</v>
      </c>
      <c r="E5638" s="21">
        <f t="shared" si="260"/>
        <v>20.100000000000001</v>
      </c>
      <c r="F5638" s="22">
        <v>0</v>
      </c>
      <c r="G5638" s="21">
        <f t="shared" si="261"/>
        <v>19.829999999999998</v>
      </c>
      <c r="H5638" s="22">
        <v>0</v>
      </c>
      <c r="I5638" s="23" t="str">
        <f t="shared" si="262"/>
        <v xml:space="preserve">COM VALOR</v>
      </c>
      <c r="J5638" s="19"/>
      <c r="L5638" s="21">
        <v>20.100000000000001</v>
      </c>
      <c r="M5638" s="22">
        <v>0</v>
      </c>
      <c r="N5638" s="21">
        <v>19.829999999999998</v>
      </c>
      <c r="O5638" s="22">
        <v>0</v>
      </c>
    </row>
    <row r="5639" ht="38.25">
      <c r="A5639" t="s">
        <v>5734</v>
      </c>
      <c r="B5639" s="19">
        <v>89613</v>
      </c>
      <c r="C5639" s="20" t="s">
        <v>5750</v>
      </c>
      <c r="D5639" s="19" t="s">
        <v>31</v>
      </c>
      <c r="E5639" s="21">
        <f t="shared" si="260"/>
        <v>31.260000000000002</v>
      </c>
      <c r="F5639" s="22">
        <v>0</v>
      </c>
      <c r="G5639" s="21">
        <f t="shared" si="261"/>
        <v>30.940000000000001</v>
      </c>
      <c r="H5639" s="22">
        <v>0</v>
      </c>
      <c r="I5639" s="23" t="str">
        <f t="shared" si="262"/>
        <v xml:space="preserve">COM VALOR</v>
      </c>
      <c r="J5639" s="19"/>
      <c r="L5639" s="21">
        <v>31.260000000000002</v>
      </c>
      <c r="M5639" s="22">
        <v>0</v>
      </c>
      <c r="N5639" s="21">
        <v>30.940000000000001</v>
      </c>
      <c r="O5639" s="22">
        <v>0</v>
      </c>
    </row>
    <row r="5640" ht="38.25">
      <c r="A5640" t="s">
        <v>5734</v>
      </c>
      <c r="B5640" s="19">
        <v>89616</v>
      </c>
      <c r="C5640" s="20" t="s">
        <v>5751</v>
      </c>
      <c r="D5640" s="19" t="s">
        <v>31</v>
      </c>
      <c r="E5640" s="21">
        <f t="shared" si="260"/>
        <v>41.75</v>
      </c>
      <c r="F5640" s="22">
        <v>0</v>
      </c>
      <c r="G5640" s="21">
        <f t="shared" si="261"/>
        <v>41.380000000000003</v>
      </c>
      <c r="H5640" s="22">
        <v>0</v>
      </c>
      <c r="I5640" s="23" t="str">
        <f t="shared" si="262"/>
        <v xml:space="preserve">COM VALOR</v>
      </c>
      <c r="J5640" s="19"/>
      <c r="L5640" s="21">
        <v>41.75</v>
      </c>
      <c r="M5640" s="22">
        <v>0</v>
      </c>
      <c r="N5640" s="21">
        <v>41.380000000000003</v>
      </c>
      <c r="O5640" s="22">
        <v>0</v>
      </c>
    </row>
    <row r="5641" ht="38.25">
      <c r="A5641" t="s">
        <v>5734</v>
      </c>
      <c r="B5641" s="19">
        <v>103952</v>
      </c>
      <c r="C5641" s="20" t="s">
        <v>5752</v>
      </c>
      <c r="D5641" s="19" t="s">
        <v>31</v>
      </c>
      <c r="E5641" s="21">
        <f t="shared" si="260"/>
        <v>6.04</v>
      </c>
      <c r="F5641" s="22">
        <v>0</v>
      </c>
      <c r="G5641" s="21">
        <f t="shared" si="261"/>
        <v>5.7999999999999998</v>
      </c>
      <c r="H5641" s="22">
        <v>0</v>
      </c>
      <c r="I5641" s="23" t="str">
        <f t="shared" si="262"/>
        <v xml:space="preserve">COM VALOR</v>
      </c>
      <c r="J5641" s="19"/>
      <c r="L5641" s="21">
        <v>6.04</v>
      </c>
      <c r="M5641" s="22">
        <v>0</v>
      </c>
      <c r="N5641" s="21">
        <v>5.7999999999999998</v>
      </c>
      <c r="O5641" s="22">
        <v>0</v>
      </c>
    </row>
    <row r="5642" ht="38.25">
      <c r="A5642" t="s">
        <v>5734</v>
      </c>
      <c r="B5642" s="19">
        <v>103947</v>
      </c>
      <c r="C5642" s="20" t="s">
        <v>5753</v>
      </c>
      <c r="D5642" s="19" t="s">
        <v>31</v>
      </c>
      <c r="E5642" s="21">
        <f t="shared" si="260"/>
        <v>6.5599999999999996</v>
      </c>
      <c r="F5642" s="22">
        <v>0</v>
      </c>
      <c r="G5642" s="21">
        <f t="shared" si="261"/>
        <v>6.29</v>
      </c>
      <c r="H5642" s="22">
        <v>0</v>
      </c>
      <c r="I5642" s="23" t="str">
        <f t="shared" si="262"/>
        <v xml:space="preserve">COM VALOR</v>
      </c>
      <c r="J5642" s="19"/>
      <c r="L5642" s="21">
        <v>6.5599999999999996</v>
      </c>
      <c r="M5642" s="22">
        <v>0</v>
      </c>
      <c r="N5642" s="21">
        <v>6.29</v>
      </c>
      <c r="O5642" s="22">
        <v>0</v>
      </c>
    </row>
    <row r="5643" ht="38.25">
      <c r="A5643" t="s">
        <v>5734</v>
      </c>
      <c r="B5643" s="19">
        <v>103957</v>
      </c>
      <c r="C5643" s="20" t="s">
        <v>5754</v>
      </c>
      <c r="D5643" s="19" t="s">
        <v>31</v>
      </c>
      <c r="E5643" s="21">
        <f t="shared" ref="E5643:E5706" si="263">IF(L5643=0,"VERIFICAR",L5643)</f>
        <v>5.1200000000000001</v>
      </c>
      <c r="F5643" s="22">
        <v>0</v>
      </c>
      <c r="G5643" s="21">
        <f t="shared" ref="G5643:G5706" si="264">IF(N5643=0,"VERIFICAR",N5643)</f>
        <v>4.9699999999999998</v>
      </c>
      <c r="H5643" s="22">
        <v>0</v>
      </c>
      <c r="I5643" s="23" t="str">
        <f t="shared" ref="I5643:I5706" si="265">IF(OR(E5643=0,G5643=0),"SEM VALOR","COM VALOR")</f>
        <v xml:space="preserve">COM VALOR</v>
      </c>
      <c r="J5643" s="19"/>
      <c r="L5643" s="21">
        <v>5.1200000000000001</v>
      </c>
      <c r="M5643" s="22">
        <v>0</v>
      </c>
      <c r="N5643" s="21">
        <v>4.9699999999999998</v>
      </c>
      <c r="O5643" s="22">
        <v>0</v>
      </c>
    </row>
    <row r="5644" ht="38.25">
      <c r="A5644" t="s">
        <v>5734</v>
      </c>
      <c r="B5644" s="19">
        <v>103953</v>
      </c>
      <c r="C5644" s="20" t="s">
        <v>5755</v>
      </c>
      <c r="D5644" s="19" t="s">
        <v>31</v>
      </c>
      <c r="E5644" s="21">
        <f t="shared" si="263"/>
        <v>7.5700000000000003</v>
      </c>
      <c r="F5644" s="22">
        <v>0</v>
      </c>
      <c r="G5644" s="21">
        <f t="shared" si="264"/>
        <v>7.2800000000000002</v>
      </c>
      <c r="H5644" s="22">
        <v>0</v>
      </c>
      <c r="I5644" s="23" t="str">
        <f t="shared" si="265"/>
        <v xml:space="preserve">COM VALOR</v>
      </c>
      <c r="J5644" s="19"/>
      <c r="L5644" s="21">
        <v>7.5700000000000003</v>
      </c>
      <c r="M5644" s="22">
        <v>0</v>
      </c>
      <c r="N5644" s="21">
        <v>7.2800000000000002</v>
      </c>
      <c r="O5644" s="22">
        <v>0</v>
      </c>
    </row>
    <row r="5645" ht="38.25">
      <c r="A5645" t="s">
        <v>5734</v>
      </c>
      <c r="B5645" s="19">
        <v>103948</v>
      </c>
      <c r="C5645" s="20" t="s">
        <v>5756</v>
      </c>
      <c r="D5645" s="19" t="s">
        <v>31</v>
      </c>
      <c r="E5645" s="21">
        <f t="shared" si="263"/>
        <v>8.1899999999999995</v>
      </c>
      <c r="F5645" s="22">
        <v>0</v>
      </c>
      <c r="G5645" s="21">
        <f t="shared" si="264"/>
        <v>7.8700000000000001</v>
      </c>
      <c r="H5645" s="22">
        <v>0</v>
      </c>
      <c r="I5645" s="23" t="str">
        <f t="shared" si="265"/>
        <v xml:space="preserve">COM VALOR</v>
      </c>
      <c r="J5645" s="19"/>
      <c r="L5645" s="21">
        <v>8.1899999999999995</v>
      </c>
      <c r="M5645" s="22">
        <v>0</v>
      </c>
      <c r="N5645" s="21">
        <v>7.8700000000000001</v>
      </c>
      <c r="O5645" s="22">
        <v>0</v>
      </c>
    </row>
    <row r="5646" ht="38.25">
      <c r="A5646" t="s">
        <v>5734</v>
      </c>
      <c r="B5646" s="19">
        <v>103958</v>
      </c>
      <c r="C5646" s="20" t="s">
        <v>5757</v>
      </c>
      <c r="D5646" s="19" t="s">
        <v>31</v>
      </c>
      <c r="E5646" s="21">
        <f t="shared" si="263"/>
        <v>10.41</v>
      </c>
      <c r="F5646" s="22">
        <v>0</v>
      </c>
      <c r="G5646" s="21">
        <f t="shared" si="264"/>
        <v>10.19</v>
      </c>
      <c r="H5646" s="22">
        <v>0</v>
      </c>
      <c r="I5646" s="23" t="str">
        <f t="shared" si="265"/>
        <v xml:space="preserve">COM VALOR</v>
      </c>
      <c r="J5646" s="19"/>
      <c r="L5646" s="21">
        <v>10.41</v>
      </c>
      <c r="M5646" s="22">
        <v>0</v>
      </c>
      <c r="N5646" s="21">
        <v>10.19</v>
      </c>
      <c r="O5646" s="22">
        <v>0</v>
      </c>
    </row>
    <row r="5647" ht="38.25">
      <c r="A5647" t="s">
        <v>5734</v>
      </c>
      <c r="B5647" s="19">
        <v>104009</v>
      </c>
      <c r="C5647" s="20" t="s">
        <v>5758</v>
      </c>
      <c r="D5647" s="19" t="s">
        <v>31</v>
      </c>
      <c r="E5647" s="21">
        <f t="shared" si="263"/>
        <v>13.73</v>
      </c>
      <c r="F5647" s="22">
        <v>0</v>
      </c>
      <c r="G5647" s="21">
        <f t="shared" si="264"/>
        <v>13.32</v>
      </c>
      <c r="H5647" s="22">
        <v>0</v>
      </c>
      <c r="I5647" s="23" t="str">
        <f t="shared" si="265"/>
        <v xml:space="preserve">COM VALOR</v>
      </c>
      <c r="J5647" s="19"/>
      <c r="L5647" s="21">
        <v>13.73</v>
      </c>
      <c r="M5647" s="22">
        <v>0</v>
      </c>
      <c r="N5647" s="21">
        <v>13.32</v>
      </c>
      <c r="O5647" s="22">
        <v>0</v>
      </c>
    </row>
    <row r="5648" ht="38.25">
      <c r="A5648" t="s">
        <v>5734</v>
      </c>
      <c r="B5648" s="19">
        <v>103959</v>
      </c>
      <c r="C5648" s="20" t="s">
        <v>5759</v>
      </c>
      <c r="D5648" s="19" t="s">
        <v>31</v>
      </c>
      <c r="E5648" s="21">
        <f t="shared" si="263"/>
        <v>15.56</v>
      </c>
      <c r="F5648" s="22">
        <v>0</v>
      </c>
      <c r="G5648" s="21">
        <f t="shared" si="264"/>
        <v>15.289999999999999</v>
      </c>
      <c r="H5648" s="22">
        <v>0</v>
      </c>
      <c r="I5648" s="23" t="str">
        <f t="shared" si="265"/>
        <v xml:space="preserve">COM VALOR</v>
      </c>
      <c r="J5648" s="19"/>
      <c r="L5648" s="21">
        <v>15.56</v>
      </c>
      <c r="M5648" s="22">
        <v>0</v>
      </c>
      <c r="N5648" s="21">
        <v>15.289999999999999</v>
      </c>
      <c r="O5648" s="22">
        <v>0</v>
      </c>
    </row>
    <row r="5649" ht="38.25">
      <c r="A5649" t="s">
        <v>5734</v>
      </c>
      <c r="B5649" s="19">
        <v>103962</v>
      </c>
      <c r="C5649" s="20" t="s">
        <v>5760</v>
      </c>
      <c r="D5649" s="19" t="s">
        <v>31</v>
      </c>
      <c r="E5649" s="21">
        <f t="shared" si="263"/>
        <v>6.6600000000000001</v>
      </c>
      <c r="F5649" s="22">
        <v>0</v>
      </c>
      <c r="G5649" s="21">
        <f t="shared" si="264"/>
        <v>6.5199999999999996</v>
      </c>
      <c r="H5649" s="22">
        <v>0</v>
      </c>
      <c r="I5649" s="23" t="str">
        <f t="shared" si="265"/>
        <v xml:space="preserve">COM VALOR</v>
      </c>
      <c r="J5649" s="19"/>
      <c r="L5649" s="21">
        <v>6.6600000000000001</v>
      </c>
      <c r="M5649" s="22">
        <v>0</v>
      </c>
      <c r="N5649" s="21">
        <v>6.5199999999999996</v>
      </c>
      <c r="O5649" s="22">
        <v>0</v>
      </c>
    </row>
    <row r="5650" ht="38.25">
      <c r="A5650" t="s">
        <v>5734</v>
      </c>
      <c r="B5650" s="19">
        <v>103954</v>
      </c>
      <c r="C5650" s="20" t="s">
        <v>5761</v>
      </c>
      <c r="D5650" s="19" t="s">
        <v>31</v>
      </c>
      <c r="E5650" s="21">
        <f t="shared" si="263"/>
        <v>9.0199999999999996</v>
      </c>
      <c r="F5650" s="22">
        <v>0</v>
      </c>
      <c r="G5650" s="21">
        <f t="shared" si="264"/>
        <v>8.75</v>
      </c>
      <c r="H5650" s="22">
        <v>0</v>
      </c>
      <c r="I5650" s="23" t="str">
        <f t="shared" si="265"/>
        <v xml:space="preserve">COM VALOR</v>
      </c>
      <c r="J5650" s="19"/>
      <c r="L5650" s="21">
        <v>9.0199999999999996</v>
      </c>
      <c r="M5650" s="22">
        <v>0</v>
      </c>
      <c r="N5650" s="21">
        <v>8.75</v>
      </c>
      <c r="O5650" s="22">
        <v>0</v>
      </c>
    </row>
    <row r="5651" ht="38.25">
      <c r="A5651" t="s">
        <v>5734</v>
      </c>
      <c r="B5651" s="19">
        <v>103949</v>
      </c>
      <c r="C5651" s="20" t="s">
        <v>5762</v>
      </c>
      <c r="D5651" s="19" t="s">
        <v>31</v>
      </c>
      <c r="E5651" s="21">
        <f t="shared" si="263"/>
        <v>9.5899999999999999</v>
      </c>
      <c r="F5651" s="22">
        <v>0</v>
      </c>
      <c r="G5651" s="21">
        <f t="shared" si="264"/>
        <v>9.2899999999999991</v>
      </c>
      <c r="H5651" s="22">
        <v>0</v>
      </c>
      <c r="I5651" s="23" t="str">
        <f t="shared" si="265"/>
        <v xml:space="preserve">COM VALOR</v>
      </c>
      <c r="J5651" s="19"/>
      <c r="L5651" s="21">
        <v>9.5899999999999999</v>
      </c>
      <c r="M5651" s="22">
        <v>0</v>
      </c>
      <c r="N5651" s="21">
        <v>9.2899999999999991</v>
      </c>
      <c r="O5651" s="22">
        <v>0</v>
      </c>
    </row>
    <row r="5652" ht="38.25">
      <c r="A5652" t="s">
        <v>5734</v>
      </c>
      <c r="B5652" s="19">
        <v>103964</v>
      </c>
      <c r="C5652" s="20" t="s">
        <v>5763</v>
      </c>
      <c r="D5652" s="19" t="s">
        <v>31</v>
      </c>
      <c r="E5652" s="21">
        <f t="shared" si="263"/>
        <v>8.4600000000000009</v>
      </c>
      <c r="F5652" s="22">
        <v>0</v>
      </c>
      <c r="G5652" s="21">
        <f t="shared" si="264"/>
        <v>8.2899999999999991</v>
      </c>
      <c r="H5652" s="22">
        <v>0</v>
      </c>
      <c r="I5652" s="23" t="str">
        <f t="shared" si="265"/>
        <v xml:space="preserve">COM VALOR</v>
      </c>
      <c r="J5652" s="19"/>
      <c r="L5652" s="21">
        <v>8.4600000000000009</v>
      </c>
      <c r="M5652" s="22">
        <v>0</v>
      </c>
      <c r="N5652" s="21">
        <v>8.2899999999999991</v>
      </c>
      <c r="O5652" s="22">
        <v>0</v>
      </c>
    </row>
    <row r="5653" ht="38.25">
      <c r="A5653" t="s">
        <v>5734</v>
      </c>
      <c r="B5653" s="19">
        <v>104014</v>
      </c>
      <c r="C5653" s="20" t="s">
        <v>5764</v>
      </c>
      <c r="D5653" s="19" t="s">
        <v>31</v>
      </c>
      <c r="E5653" s="21">
        <f t="shared" si="263"/>
        <v>11.130000000000001</v>
      </c>
      <c r="F5653" s="22">
        <v>0</v>
      </c>
      <c r="G5653" s="21">
        <f t="shared" si="264"/>
        <v>10.81</v>
      </c>
      <c r="H5653" s="22">
        <v>0</v>
      </c>
      <c r="I5653" s="23" t="str">
        <f t="shared" si="265"/>
        <v xml:space="preserve">COM VALOR</v>
      </c>
      <c r="J5653" s="19"/>
      <c r="L5653" s="21">
        <v>11.130000000000001</v>
      </c>
      <c r="M5653" s="22">
        <v>0</v>
      </c>
      <c r="N5653" s="21">
        <v>10.81</v>
      </c>
      <c r="O5653" s="22">
        <v>0</v>
      </c>
    </row>
    <row r="5654" ht="38.25">
      <c r="A5654" t="s">
        <v>5734</v>
      </c>
      <c r="B5654" s="19">
        <v>103966</v>
      </c>
      <c r="C5654" s="20" t="s">
        <v>5765</v>
      </c>
      <c r="D5654" s="19" t="s">
        <v>31</v>
      </c>
      <c r="E5654" s="21">
        <f t="shared" si="263"/>
        <v>10</v>
      </c>
      <c r="F5654" s="22">
        <v>0</v>
      </c>
      <c r="G5654" s="21">
        <f t="shared" si="264"/>
        <v>9.8100000000000005</v>
      </c>
      <c r="H5654" s="22">
        <v>0</v>
      </c>
      <c r="I5654" s="23" t="str">
        <f t="shared" si="265"/>
        <v xml:space="preserve">COM VALOR</v>
      </c>
      <c r="J5654" s="19"/>
      <c r="L5654" s="21">
        <v>10</v>
      </c>
      <c r="M5654" s="22">
        <v>0</v>
      </c>
      <c r="N5654" s="21">
        <v>9.8100000000000005</v>
      </c>
      <c r="O5654" s="22">
        <v>0</v>
      </c>
    </row>
    <row r="5655" ht="38.25">
      <c r="A5655" t="s">
        <v>5734</v>
      </c>
      <c r="B5655" s="19">
        <v>103999</v>
      </c>
      <c r="C5655" s="20" t="s">
        <v>5766</v>
      </c>
      <c r="D5655" s="19" t="s">
        <v>31</v>
      </c>
      <c r="E5655" s="21">
        <f t="shared" si="263"/>
        <v>12.93</v>
      </c>
      <c r="F5655" s="22">
        <v>0</v>
      </c>
      <c r="G5655" s="21">
        <f t="shared" si="264"/>
        <v>12.57</v>
      </c>
      <c r="H5655" s="22">
        <v>0</v>
      </c>
      <c r="I5655" s="23" t="str">
        <f t="shared" si="265"/>
        <v xml:space="preserve">COM VALOR</v>
      </c>
      <c r="J5655" s="19"/>
      <c r="L5655" s="21">
        <v>12.93</v>
      </c>
      <c r="M5655" s="22">
        <v>0</v>
      </c>
      <c r="N5655" s="21">
        <v>12.57</v>
      </c>
      <c r="O5655" s="22">
        <v>0</v>
      </c>
    </row>
    <row r="5656" ht="38.25">
      <c r="A5656" t="s">
        <v>5734</v>
      </c>
      <c r="B5656" s="19">
        <v>103967</v>
      </c>
      <c r="C5656" s="20" t="s">
        <v>5767</v>
      </c>
      <c r="D5656" s="19" t="s">
        <v>31</v>
      </c>
      <c r="E5656" s="21">
        <f t="shared" si="263"/>
        <v>12.02</v>
      </c>
      <c r="F5656" s="22">
        <v>0</v>
      </c>
      <c r="G5656" s="21">
        <f t="shared" si="264"/>
        <v>11.81</v>
      </c>
      <c r="H5656" s="22">
        <v>0</v>
      </c>
      <c r="I5656" s="23" t="str">
        <f t="shared" si="265"/>
        <v xml:space="preserve">COM VALOR</v>
      </c>
      <c r="J5656" s="19"/>
      <c r="L5656" s="21">
        <v>12.02</v>
      </c>
      <c r="M5656" s="22">
        <v>0</v>
      </c>
      <c r="N5656" s="21">
        <v>11.81</v>
      </c>
      <c r="O5656" s="22">
        <v>0</v>
      </c>
    </row>
    <row r="5657" ht="38.25">
      <c r="A5657" t="s">
        <v>5734</v>
      </c>
      <c r="B5657" s="19">
        <v>104003</v>
      </c>
      <c r="C5657" s="20" t="s">
        <v>5768</v>
      </c>
      <c r="D5657" s="19" t="s">
        <v>31</v>
      </c>
      <c r="E5657" s="21">
        <f t="shared" si="263"/>
        <v>15.130000000000001</v>
      </c>
      <c r="F5657" s="22">
        <v>0</v>
      </c>
      <c r="G5657" s="21">
        <f t="shared" si="264"/>
        <v>14.75</v>
      </c>
      <c r="H5657" s="22">
        <v>0</v>
      </c>
      <c r="I5657" s="23" t="str">
        <f t="shared" si="265"/>
        <v xml:space="preserve">COM VALOR</v>
      </c>
      <c r="J5657" s="19"/>
      <c r="L5657" s="21">
        <v>15.130000000000001</v>
      </c>
      <c r="M5657" s="22">
        <v>0</v>
      </c>
      <c r="N5657" s="21">
        <v>14.75</v>
      </c>
      <c r="O5657" s="22">
        <v>0</v>
      </c>
    </row>
    <row r="5658" ht="38.25">
      <c r="A5658" t="s">
        <v>5734</v>
      </c>
      <c r="B5658" s="19">
        <v>103968</v>
      </c>
      <c r="C5658" s="20" t="s">
        <v>5769</v>
      </c>
      <c r="D5658" s="19" t="s">
        <v>31</v>
      </c>
      <c r="E5658" s="21">
        <f t="shared" si="263"/>
        <v>17.100000000000001</v>
      </c>
      <c r="F5658" s="22">
        <v>0</v>
      </c>
      <c r="G5658" s="21">
        <f t="shared" si="264"/>
        <v>16.890000000000001</v>
      </c>
      <c r="H5658" s="22">
        <v>0</v>
      </c>
      <c r="I5658" s="23" t="str">
        <f t="shared" si="265"/>
        <v xml:space="preserve">COM VALOR</v>
      </c>
      <c r="J5658" s="19"/>
      <c r="L5658" s="21">
        <v>17.100000000000001</v>
      </c>
      <c r="M5658" s="22">
        <v>0</v>
      </c>
      <c r="N5658" s="21">
        <v>16.890000000000001</v>
      </c>
      <c r="O5658" s="22">
        <v>0</v>
      </c>
    </row>
    <row r="5659" ht="38.25">
      <c r="A5659" t="s">
        <v>5734</v>
      </c>
      <c r="B5659" s="19">
        <v>103969</v>
      </c>
      <c r="C5659" s="20" t="s">
        <v>5770</v>
      </c>
      <c r="D5659" s="19" t="s">
        <v>31</v>
      </c>
      <c r="E5659" s="21">
        <f t="shared" si="263"/>
        <v>20.18</v>
      </c>
      <c r="F5659" s="22">
        <v>0</v>
      </c>
      <c r="G5659" s="21">
        <f t="shared" si="264"/>
        <v>19.949999999999999</v>
      </c>
      <c r="H5659" s="22">
        <v>0</v>
      </c>
      <c r="I5659" s="23" t="str">
        <f t="shared" si="265"/>
        <v xml:space="preserve">COM VALOR</v>
      </c>
      <c r="J5659" s="19"/>
      <c r="L5659" s="21">
        <v>20.18</v>
      </c>
      <c r="M5659" s="22">
        <v>0</v>
      </c>
      <c r="N5659" s="21">
        <v>19.949999999999999</v>
      </c>
      <c r="O5659" s="22">
        <v>0</v>
      </c>
    </row>
    <row r="5660" ht="38.25">
      <c r="A5660" t="s">
        <v>5734</v>
      </c>
      <c r="B5660" s="19">
        <v>103971</v>
      </c>
      <c r="C5660" s="20" t="s">
        <v>5771</v>
      </c>
      <c r="D5660" s="19" t="s">
        <v>31</v>
      </c>
      <c r="E5660" s="21">
        <f t="shared" si="263"/>
        <v>25.649999999999999</v>
      </c>
      <c r="F5660" s="22">
        <v>0</v>
      </c>
      <c r="G5660" s="21">
        <f t="shared" si="264"/>
        <v>25.379999999999999</v>
      </c>
      <c r="H5660" s="22">
        <v>0</v>
      </c>
      <c r="I5660" s="23" t="str">
        <f t="shared" si="265"/>
        <v xml:space="preserve">COM VALOR</v>
      </c>
      <c r="J5660" s="19"/>
      <c r="L5660" s="21">
        <v>25.649999999999999</v>
      </c>
      <c r="M5660" s="22">
        <v>0</v>
      </c>
      <c r="N5660" s="21">
        <v>25.379999999999999</v>
      </c>
      <c r="O5660" s="22">
        <v>0</v>
      </c>
    </row>
    <row r="5661" ht="38.25">
      <c r="A5661" t="s">
        <v>5734</v>
      </c>
      <c r="B5661" s="19">
        <v>103972</v>
      </c>
      <c r="C5661" s="20" t="s">
        <v>5772</v>
      </c>
      <c r="D5661" s="19" t="s">
        <v>31</v>
      </c>
      <c r="E5661" s="21">
        <f t="shared" si="263"/>
        <v>29.760000000000002</v>
      </c>
      <c r="F5661" s="22">
        <v>0</v>
      </c>
      <c r="G5661" s="21">
        <f t="shared" si="264"/>
        <v>29.460000000000001</v>
      </c>
      <c r="H5661" s="22">
        <v>0</v>
      </c>
      <c r="I5661" s="23" t="str">
        <f t="shared" si="265"/>
        <v xml:space="preserve">COM VALOR</v>
      </c>
      <c r="J5661" s="19"/>
      <c r="L5661" s="21">
        <v>29.760000000000002</v>
      </c>
      <c r="M5661" s="22">
        <v>0</v>
      </c>
      <c r="N5661" s="21">
        <v>29.460000000000001</v>
      </c>
      <c r="O5661" s="22">
        <v>0</v>
      </c>
    </row>
    <row r="5662" ht="38.25">
      <c r="A5662" t="s">
        <v>5734</v>
      </c>
      <c r="B5662" s="19">
        <v>103993</v>
      </c>
      <c r="C5662" s="20" t="s">
        <v>5773</v>
      </c>
      <c r="D5662" s="19" t="s">
        <v>31</v>
      </c>
      <c r="E5662" s="21">
        <f t="shared" si="263"/>
        <v>10.18</v>
      </c>
      <c r="F5662" s="22">
        <v>0</v>
      </c>
      <c r="G5662" s="21">
        <f t="shared" si="264"/>
        <v>9.8399999999999999</v>
      </c>
      <c r="H5662" s="22">
        <v>0</v>
      </c>
      <c r="I5662" s="23" t="str">
        <f t="shared" si="265"/>
        <v xml:space="preserve">COM VALOR</v>
      </c>
      <c r="J5662" s="19"/>
      <c r="L5662" s="21">
        <v>10.18</v>
      </c>
      <c r="M5662" s="22">
        <v>0</v>
      </c>
      <c r="N5662" s="21">
        <v>9.8399999999999999</v>
      </c>
      <c r="O5662" s="22">
        <v>0</v>
      </c>
    </row>
    <row r="5663" ht="25.5">
      <c r="A5663" t="s">
        <v>5734</v>
      </c>
      <c r="B5663" s="19">
        <v>89407</v>
      </c>
      <c r="C5663" s="20" t="s">
        <v>5774</v>
      </c>
      <c r="D5663" s="19" t="s">
        <v>31</v>
      </c>
      <c r="E5663" s="21">
        <f t="shared" si="263"/>
        <v>9.1799999999999997</v>
      </c>
      <c r="F5663" s="22">
        <v>0</v>
      </c>
      <c r="G5663" s="21">
        <f t="shared" si="264"/>
        <v>8.8399999999999999</v>
      </c>
      <c r="H5663" s="22">
        <v>0</v>
      </c>
      <c r="I5663" s="23" t="str">
        <f t="shared" si="265"/>
        <v xml:space="preserve">COM VALOR</v>
      </c>
      <c r="J5663" s="19"/>
      <c r="L5663" s="21">
        <v>9.1799999999999997</v>
      </c>
      <c r="M5663" s="22">
        <v>0</v>
      </c>
      <c r="N5663" s="21">
        <v>8.8399999999999999</v>
      </c>
      <c r="O5663" s="22">
        <v>0</v>
      </c>
    </row>
    <row r="5664" ht="25.5">
      <c r="A5664" t="s">
        <v>5734</v>
      </c>
      <c r="B5664" s="19">
        <v>89361</v>
      </c>
      <c r="C5664" s="20" t="s">
        <v>5775</v>
      </c>
      <c r="D5664" s="19" t="s">
        <v>31</v>
      </c>
      <c r="E5664" s="21">
        <f t="shared" si="263"/>
        <v>9.8900000000000006</v>
      </c>
      <c r="F5664" s="22">
        <v>0</v>
      </c>
      <c r="G5664" s="21">
        <f t="shared" si="264"/>
        <v>9.5099999999999998</v>
      </c>
      <c r="H5664" s="22">
        <v>0</v>
      </c>
      <c r="I5664" s="23" t="str">
        <f t="shared" si="265"/>
        <v xml:space="preserve">COM VALOR</v>
      </c>
      <c r="J5664" s="19"/>
      <c r="L5664" s="21">
        <v>9.8900000000000006</v>
      </c>
      <c r="M5664" s="22">
        <v>0</v>
      </c>
      <c r="N5664" s="21">
        <v>9.5099999999999998</v>
      </c>
      <c r="O5664" s="22">
        <v>0</v>
      </c>
    </row>
    <row r="5665" ht="25.5">
      <c r="A5665" t="s">
        <v>5734</v>
      </c>
      <c r="B5665" s="19">
        <v>89490</v>
      </c>
      <c r="C5665" s="20" t="s">
        <v>5776</v>
      </c>
      <c r="D5665" s="19" t="s">
        <v>31</v>
      </c>
      <c r="E5665" s="21">
        <f t="shared" si="263"/>
        <v>7.4000000000000004</v>
      </c>
      <c r="F5665" s="22">
        <v>0</v>
      </c>
      <c r="G5665" s="21">
        <f t="shared" si="264"/>
        <v>7.2000000000000002</v>
      </c>
      <c r="H5665" s="22">
        <v>0</v>
      </c>
      <c r="I5665" s="23" t="str">
        <f t="shared" si="265"/>
        <v xml:space="preserve">COM VALOR</v>
      </c>
      <c r="J5665" s="19"/>
      <c r="L5665" s="21">
        <v>7.4000000000000004</v>
      </c>
      <c r="M5665" s="22">
        <v>0</v>
      </c>
      <c r="N5665" s="21">
        <v>7.2000000000000002</v>
      </c>
      <c r="O5665" s="22">
        <v>0</v>
      </c>
    </row>
    <row r="5666" ht="25.5">
      <c r="A5666" t="s">
        <v>5734</v>
      </c>
      <c r="B5666" s="19">
        <v>89411</v>
      </c>
      <c r="C5666" s="20" t="s">
        <v>5777</v>
      </c>
      <c r="D5666" s="19" t="s">
        <v>31</v>
      </c>
      <c r="E5666" s="21">
        <f t="shared" si="263"/>
        <v>10.779999999999999</v>
      </c>
      <c r="F5666" s="22">
        <v>0</v>
      </c>
      <c r="G5666" s="21">
        <f t="shared" si="264"/>
        <v>10.390000000000001</v>
      </c>
      <c r="H5666" s="22">
        <v>0</v>
      </c>
      <c r="I5666" s="23" t="str">
        <f t="shared" si="265"/>
        <v xml:space="preserve">COM VALOR</v>
      </c>
      <c r="J5666" s="19"/>
      <c r="L5666" s="21">
        <v>10.779999999999999</v>
      </c>
      <c r="M5666" s="22">
        <v>0</v>
      </c>
      <c r="N5666" s="21">
        <v>10.390000000000001</v>
      </c>
      <c r="O5666" s="22">
        <v>0</v>
      </c>
    </row>
    <row r="5667" ht="25.5">
      <c r="A5667" t="s">
        <v>5734</v>
      </c>
      <c r="B5667" s="19">
        <v>89365</v>
      </c>
      <c r="C5667" s="20" t="s">
        <v>5778</v>
      </c>
      <c r="D5667" s="19" t="s">
        <v>31</v>
      </c>
      <c r="E5667" s="21">
        <f t="shared" si="263"/>
        <v>11.609999999999999</v>
      </c>
      <c r="F5667" s="22">
        <v>0</v>
      </c>
      <c r="G5667" s="21">
        <f t="shared" si="264"/>
        <v>11.17</v>
      </c>
      <c r="H5667" s="22">
        <v>0</v>
      </c>
      <c r="I5667" s="23" t="str">
        <f t="shared" si="265"/>
        <v xml:space="preserve">COM VALOR</v>
      </c>
      <c r="J5667" s="19"/>
      <c r="L5667" s="21">
        <v>11.609999999999999</v>
      </c>
      <c r="M5667" s="22">
        <v>0</v>
      </c>
      <c r="N5667" s="21">
        <v>11.17</v>
      </c>
      <c r="O5667" s="22">
        <v>0</v>
      </c>
    </row>
    <row r="5668" ht="25.5">
      <c r="A5668" t="s">
        <v>5734</v>
      </c>
      <c r="B5668" s="19">
        <v>89496</v>
      </c>
      <c r="C5668" s="20" t="s">
        <v>5779</v>
      </c>
      <c r="D5668" s="19" t="s">
        <v>31</v>
      </c>
      <c r="E5668" s="21">
        <f t="shared" si="263"/>
        <v>10.720000000000001</v>
      </c>
      <c r="F5668" s="22">
        <v>0</v>
      </c>
      <c r="G5668" s="21">
        <f t="shared" si="264"/>
        <v>10.470000000000001</v>
      </c>
      <c r="H5668" s="22">
        <v>0</v>
      </c>
      <c r="I5668" s="23" t="str">
        <f t="shared" si="265"/>
        <v xml:space="preserve">COM VALOR</v>
      </c>
      <c r="J5668" s="19"/>
      <c r="L5668" s="21">
        <v>10.720000000000001</v>
      </c>
      <c r="M5668" s="22">
        <v>0</v>
      </c>
      <c r="N5668" s="21">
        <v>10.470000000000001</v>
      </c>
      <c r="O5668" s="22">
        <v>0</v>
      </c>
    </row>
    <row r="5669" ht="25.5">
      <c r="A5669" t="s">
        <v>5734</v>
      </c>
      <c r="B5669" s="19">
        <v>89416</v>
      </c>
      <c r="C5669" s="20" t="s">
        <v>5780</v>
      </c>
      <c r="D5669" s="19" t="s">
        <v>31</v>
      </c>
      <c r="E5669" s="21">
        <f t="shared" si="263"/>
        <v>14.66</v>
      </c>
      <c r="F5669" s="22">
        <v>0</v>
      </c>
      <c r="G5669" s="21">
        <f t="shared" si="264"/>
        <v>14.199999999999999</v>
      </c>
      <c r="H5669" s="22">
        <v>0</v>
      </c>
      <c r="I5669" s="23" t="str">
        <f t="shared" si="265"/>
        <v xml:space="preserve">COM VALOR</v>
      </c>
      <c r="J5669" s="19"/>
      <c r="L5669" s="21">
        <v>14.66</v>
      </c>
      <c r="M5669" s="22">
        <v>0</v>
      </c>
      <c r="N5669" s="21">
        <v>14.199999999999999</v>
      </c>
      <c r="O5669" s="22">
        <v>0</v>
      </c>
    </row>
    <row r="5670" ht="25.5">
      <c r="A5670" t="s">
        <v>5734</v>
      </c>
      <c r="B5670" s="19">
        <v>89370</v>
      </c>
      <c r="C5670" s="20" t="s">
        <v>5781</v>
      </c>
      <c r="D5670" s="19" t="s">
        <v>31</v>
      </c>
      <c r="E5670" s="21">
        <f t="shared" si="263"/>
        <v>15.65</v>
      </c>
      <c r="F5670" s="22">
        <v>0</v>
      </c>
      <c r="G5670" s="21">
        <f t="shared" si="264"/>
        <v>15.130000000000001</v>
      </c>
      <c r="H5670" s="22">
        <v>0</v>
      </c>
      <c r="I5670" s="23" t="str">
        <f t="shared" si="265"/>
        <v xml:space="preserve">COM VALOR</v>
      </c>
      <c r="J5670" s="19"/>
      <c r="L5670" s="21">
        <v>15.65</v>
      </c>
      <c r="M5670" s="22">
        <v>0</v>
      </c>
      <c r="N5670" s="21">
        <v>15.130000000000001</v>
      </c>
      <c r="O5670" s="22">
        <v>0</v>
      </c>
    </row>
    <row r="5671" ht="25.5">
      <c r="A5671" t="s">
        <v>5734</v>
      </c>
      <c r="B5671" s="19">
        <v>89500</v>
      </c>
      <c r="C5671" s="20" t="s">
        <v>5782</v>
      </c>
      <c r="D5671" s="19" t="s">
        <v>31</v>
      </c>
      <c r="E5671" s="21">
        <f t="shared" si="263"/>
        <v>13.119999999999999</v>
      </c>
      <c r="F5671" s="22">
        <v>0</v>
      </c>
      <c r="G5671" s="21">
        <f t="shared" si="264"/>
        <v>12.82</v>
      </c>
      <c r="H5671" s="22">
        <v>0</v>
      </c>
      <c r="I5671" s="23" t="str">
        <f t="shared" si="265"/>
        <v xml:space="preserve">COM VALOR</v>
      </c>
      <c r="J5671" s="19"/>
      <c r="L5671" s="21">
        <v>13.119999999999999</v>
      </c>
      <c r="M5671" s="22">
        <v>0</v>
      </c>
      <c r="N5671" s="21">
        <v>12.82</v>
      </c>
      <c r="O5671" s="22">
        <v>0</v>
      </c>
    </row>
    <row r="5672" ht="25.5">
      <c r="A5672" t="s">
        <v>5734</v>
      </c>
      <c r="B5672" s="19">
        <v>103983</v>
      </c>
      <c r="C5672" s="20" t="s">
        <v>5783</v>
      </c>
      <c r="D5672" s="19" t="s">
        <v>31</v>
      </c>
      <c r="E5672" s="21">
        <f t="shared" si="263"/>
        <v>17.640000000000001</v>
      </c>
      <c r="F5672" s="22">
        <v>0</v>
      </c>
      <c r="G5672" s="21">
        <f t="shared" si="264"/>
        <v>17.09</v>
      </c>
      <c r="H5672" s="22">
        <v>0</v>
      </c>
      <c r="I5672" s="23" t="str">
        <f t="shared" si="265"/>
        <v xml:space="preserve">COM VALOR</v>
      </c>
      <c r="J5672" s="19"/>
      <c r="L5672" s="21">
        <v>17.640000000000001</v>
      </c>
      <c r="M5672" s="22">
        <v>0</v>
      </c>
      <c r="N5672" s="21">
        <v>17.09</v>
      </c>
      <c r="O5672" s="22">
        <v>0</v>
      </c>
    </row>
    <row r="5673" ht="25.5">
      <c r="A5673" t="s">
        <v>5734</v>
      </c>
      <c r="B5673" s="19">
        <v>89504</v>
      </c>
      <c r="C5673" s="20" t="s">
        <v>5784</v>
      </c>
      <c r="D5673" s="19" t="s">
        <v>31</v>
      </c>
      <c r="E5673" s="21">
        <f t="shared" si="263"/>
        <v>19.34</v>
      </c>
      <c r="F5673" s="22">
        <v>0</v>
      </c>
      <c r="G5673" s="21">
        <f t="shared" si="264"/>
        <v>18.98</v>
      </c>
      <c r="H5673" s="22">
        <v>0</v>
      </c>
      <c r="I5673" s="23" t="str">
        <f t="shared" si="265"/>
        <v xml:space="preserve">COM VALOR</v>
      </c>
      <c r="J5673" s="19"/>
      <c r="L5673" s="21">
        <v>19.34</v>
      </c>
      <c r="M5673" s="22">
        <v>0</v>
      </c>
      <c r="N5673" s="21">
        <v>18.98</v>
      </c>
      <c r="O5673" s="22">
        <v>0</v>
      </c>
    </row>
    <row r="5674" ht="25.5">
      <c r="A5674" t="s">
        <v>5734</v>
      </c>
      <c r="B5674" s="19">
        <v>103987</v>
      </c>
      <c r="C5674" s="20" t="s">
        <v>5785</v>
      </c>
      <c r="D5674" s="19" t="s">
        <v>31</v>
      </c>
      <c r="E5674" s="21">
        <f t="shared" si="263"/>
        <v>24.640000000000001</v>
      </c>
      <c r="F5674" s="22">
        <v>0</v>
      </c>
      <c r="G5674" s="21">
        <f t="shared" si="264"/>
        <v>23.98</v>
      </c>
      <c r="H5674" s="22">
        <v>0</v>
      </c>
      <c r="I5674" s="23" t="str">
        <f t="shared" si="265"/>
        <v xml:space="preserve">COM VALOR</v>
      </c>
      <c r="J5674" s="19"/>
      <c r="L5674" s="21">
        <v>24.640000000000001</v>
      </c>
      <c r="M5674" s="22">
        <v>0</v>
      </c>
      <c r="N5674" s="21">
        <v>23.98</v>
      </c>
      <c r="O5674" s="22">
        <v>0</v>
      </c>
    </row>
    <row r="5675" ht="25.5">
      <c r="A5675" t="s">
        <v>5734</v>
      </c>
      <c r="B5675" s="19">
        <v>89510</v>
      </c>
      <c r="C5675" s="20" t="s">
        <v>5786</v>
      </c>
      <c r="D5675" s="19" t="s">
        <v>31</v>
      </c>
      <c r="E5675" s="21">
        <f t="shared" si="263"/>
        <v>27.559999999999999</v>
      </c>
      <c r="F5675" s="22">
        <v>0</v>
      </c>
      <c r="G5675" s="21">
        <f t="shared" si="264"/>
        <v>27.120000000000001</v>
      </c>
      <c r="H5675" s="22">
        <v>0</v>
      </c>
      <c r="I5675" s="23" t="str">
        <f t="shared" si="265"/>
        <v xml:space="preserve">COM VALOR</v>
      </c>
      <c r="J5675" s="19"/>
      <c r="L5675" s="21">
        <v>27.559999999999999</v>
      </c>
      <c r="M5675" s="22">
        <v>0</v>
      </c>
      <c r="N5675" s="21">
        <v>27.120000000000001</v>
      </c>
      <c r="O5675" s="22">
        <v>0</v>
      </c>
    </row>
    <row r="5676" ht="25.5">
      <c r="A5676" t="s">
        <v>5734</v>
      </c>
      <c r="B5676" s="19">
        <v>89519</v>
      </c>
      <c r="C5676" s="20" t="s">
        <v>5787</v>
      </c>
      <c r="D5676" s="19" t="s">
        <v>31</v>
      </c>
      <c r="E5676" s="21">
        <f t="shared" si="263"/>
        <v>48.07</v>
      </c>
      <c r="F5676" s="22">
        <v>0</v>
      </c>
      <c r="G5676" s="21">
        <f t="shared" si="264"/>
        <v>47.539999999999999</v>
      </c>
      <c r="H5676" s="22">
        <v>0</v>
      </c>
      <c r="I5676" s="23" t="str">
        <f t="shared" si="265"/>
        <v xml:space="preserve">COM VALOR</v>
      </c>
      <c r="J5676" s="19"/>
      <c r="L5676" s="21">
        <v>48.07</v>
      </c>
      <c r="M5676" s="22">
        <v>0</v>
      </c>
      <c r="N5676" s="21">
        <v>47.539999999999999</v>
      </c>
      <c r="O5676" s="22">
        <v>0</v>
      </c>
    </row>
    <row r="5677" ht="25.5">
      <c r="A5677" t="s">
        <v>5734</v>
      </c>
      <c r="B5677" s="19">
        <v>89527</v>
      </c>
      <c r="C5677" s="20" t="s">
        <v>5788</v>
      </c>
      <c r="D5677" s="19" t="s">
        <v>31</v>
      </c>
      <c r="E5677" s="21">
        <f t="shared" si="263"/>
        <v>57.950000000000003</v>
      </c>
      <c r="F5677" s="22">
        <v>0</v>
      </c>
      <c r="G5677" s="21">
        <f t="shared" si="264"/>
        <v>57.359999999999999</v>
      </c>
      <c r="H5677" s="22">
        <v>0</v>
      </c>
      <c r="I5677" s="23" t="str">
        <f t="shared" si="265"/>
        <v xml:space="preserve">COM VALOR</v>
      </c>
      <c r="J5677" s="19"/>
      <c r="L5677" s="21">
        <v>57.950000000000003</v>
      </c>
      <c r="M5677" s="22">
        <v>0</v>
      </c>
      <c r="N5677" s="21">
        <v>57.359999999999999</v>
      </c>
      <c r="O5677" s="22">
        <v>0</v>
      </c>
    </row>
    <row r="5678" ht="25.5">
      <c r="A5678" t="s">
        <v>5734</v>
      </c>
      <c r="B5678" s="19">
        <v>89406</v>
      </c>
      <c r="C5678" s="20" t="s">
        <v>5789</v>
      </c>
      <c r="D5678" s="19" t="s">
        <v>31</v>
      </c>
      <c r="E5678" s="21">
        <f t="shared" si="263"/>
        <v>9.0999999999999996</v>
      </c>
      <c r="F5678" s="22">
        <v>0</v>
      </c>
      <c r="G5678" s="21">
        <f t="shared" si="264"/>
        <v>8.7599999999999998</v>
      </c>
      <c r="H5678" s="22">
        <v>0</v>
      </c>
      <c r="I5678" s="23" t="str">
        <f t="shared" si="265"/>
        <v xml:space="preserve">COM VALOR</v>
      </c>
      <c r="J5678" s="19"/>
      <c r="L5678" s="21">
        <v>9.0999999999999996</v>
      </c>
      <c r="M5678" s="22">
        <v>0</v>
      </c>
      <c r="N5678" s="21">
        <v>8.7599999999999998</v>
      </c>
      <c r="O5678" s="22">
        <v>0</v>
      </c>
    </row>
    <row r="5679" ht="25.5">
      <c r="A5679" t="s">
        <v>5734</v>
      </c>
      <c r="B5679" s="19">
        <v>89360</v>
      </c>
      <c r="C5679" s="20" t="s">
        <v>5790</v>
      </c>
      <c r="D5679" s="19" t="s">
        <v>31</v>
      </c>
      <c r="E5679" s="21">
        <f t="shared" si="263"/>
        <v>9.8100000000000005</v>
      </c>
      <c r="F5679" s="22">
        <v>0</v>
      </c>
      <c r="G5679" s="21">
        <f t="shared" si="264"/>
        <v>9.4299999999999997</v>
      </c>
      <c r="H5679" s="22">
        <v>0</v>
      </c>
      <c r="I5679" s="23" t="str">
        <f t="shared" si="265"/>
        <v xml:space="preserve">COM VALOR</v>
      </c>
      <c r="J5679" s="19"/>
      <c r="L5679" s="21">
        <v>9.8100000000000005</v>
      </c>
      <c r="M5679" s="22">
        <v>0</v>
      </c>
      <c r="N5679" s="21">
        <v>9.4299999999999997</v>
      </c>
      <c r="O5679" s="22">
        <v>0</v>
      </c>
    </row>
    <row r="5680" ht="25.5">
      <c r="A5680" t="s">
        <v>5734</v>
      </c>
      <c r="B5680" s="19">
        <v>89489</v>
      </c>
      <c r="C5680" s="20" t="s">
        <v>5791</v>
      </c>
      <c r="D5680" s="19" t="s">
        <v>31</v>
      </c>
      <c r="E5680" s="21">
        <f t="shared" si="263"/>
        <v>7.9500000000000002</v>
      </c>
      <c r="F5680" s="22">
        <v>0</v>
      </c>
      <c r="G5680" s="21">
        <f t="shared" si="264"/>
        <v>7.75</v>
      </c>
      <c r="H5680" s="22">
        <v>0</v>
      </c>
      <c r="I5680" s="23" t="str">
        <f t="shared" si="265"/>
        <v xml:space="preserve">COM VALOR</v>
      </c>
      <c r="J5680" s="19"/>
      <c r="L5680" s="21">
        <v>7.9500000000000002</v>
      </c>
      <c r="M5680" s="22">
        <v>0</v>
      </c>
      <c r="N5680" s="21">
        <v>7.75</v>
      </c>
      <c r="O5680" s="22">
        <v>0</v>
      </c>
    </row>
    <row r="5681" ht="25.5">
      <c r="A5681" t="s">
        <v>5734</v>
      </c>
      <c r="B5681" s="19">
        <v>89410</v>
      </c>
      <c r="C5681" s="20" t="s">
        <v>5792</v>
      </c>
      <c r="D5681" s="19" t="s">
        <v>31</v>
      </c>
      <c r="E5681" s="21">
        <f t="shared" si="263"/>
        <v>11.33</v>
      </c>
      <c r="F5681" s="22">
        <v>0</v>
      </c>
      <c r="G5681" s="21">
        <f t="shared" si="264"/>
        <v>10.94</v>
      </c>
      <c r="H5681" s="22">
        <v>0</v>
      </c>
      <c r="I5681" s="23" t="str">
        <f t="shared" si="265"/>
        <v xml:space="preserve">COM VALOR</v>
      </c>
      <c r="J5681" s="19"/>
      <c r="L5681" s="21">
        <v>11.33</v>
      </c>
      <c r="M5681" s="22">
        <v>0</v>
      </c>
      <c r="N5681" s="21">
        <v>10.94</v>
      </c>
      <c r="O5681" s="22">
        <v>0</v>
      </c>
    </row>
    <row r="5682" ht="25.5">
      <c r="A5682" t="s">
        <v>5734</v>
      </c>
      <c r="B5682" s="19">
        <v>89364</v>
      </c>
      <c r="C5682" s="20" t="s">
        <v>5793</v>
      </c>
      <c r="D5682" s="19" t="s">
        <v>31</v>
      </c>
      <c r="E5682" s="21">
        <f t="shared" si="263"/>
        <v>12.16</v>
      </c>
      <c r="F5682" s="22">
        <v>0</v>
      </c>
      <c r="G5682" s="21">
        <f t="shared" si="264"/>
        <v>11.720000000000001</v>
      </c>
      <c r="H5682" s="22">
        <v>0</v>
      </c>
      <c r="I5682" s="23" t="str">
        <f t="shared" si="265"/>
        <v xml:space="preserve">COM VALOR</v>
      </c>
      <c r="J5682" s="19"/>
      <c r="L5682" s="21">
        <v>12.16</v>
      </c>
      <c r="M5682" s="22">
        <v>0</v>
      </c>
      <c r="N5682" s="21">
        <v>11.720000000000001</v>
      </c>
      <c r="O5682" s="22">
        <v>0</v>
      </c>
    </row>
    <row r="5683" ht="25.5">
      <c r="A5683" t="s">
        <v>5734</v>
      </c>
      <c r="B5683" s="19">
        <v>89494</v>
      </c>
      <c r="C5683" s="20" t="s">
        <v>5794</v>
      </c>
      <c r="D5683" s="19" t="s">
        <v>31</v>
      </c>
      <c r="E5683" s="21">
        <f t="shared" si="263"/>
        <v>12.789999999999999</v>
      </c>
      <c r="F5683" s="22">
        <v>0</v>
      </c>
      <c r="G5683" s="21">
        <f t="shared" si="264"/>
        <v>12.539999999999999</v>
      </c>
      <c r="H5683" s="22">
        <v>0</v>
      </c>
      <c r="I5683" s="23" t="str">
        <f t="shared" si="265"/>
        <v xml:space="preserve">COM VALOR</v>
      </c>
      <c r="J5683" s="19"/>
      <c r="L5683" s="21">
        <v>12.789999999999999</v>
      </c>
      <c r="M5683" s="22">
        <v>0</v>
      </c>
      <c r="N5683" s="21">
        <v>12.539999999999999</v>
      </c>
      <c r="O5683" s="22">
        <v>0</v>
      </c>
    </row>
    <row r="5684" ht="25.5">
      <c r="A5684" t="s">
        <v>5734</v>
      </c>
      <c r="B5684" s="19">
        <v>89415</v>
      </c>
      <c r="C5684" s="20" t="s">
        <v>5795</v>
      </c>
      <c r="D5684" s="19" t="s">
        <v>31</v>
      </c>
      <c r="E5684" s="21">
        <f t="shared" si="263"/>
        <v>16.73</v>
      </c>
      <c r="F5684" s="22">
        <v>0</v>
      </c>
      <c r="G5684" s="21">
        <f t="shared" si="264"/>
        <v>16.27</v>
      </c>
      <c r="H5684" s="22">
        <v>0</v>
      </c>
      <c r="I5684" s="23" t="str">
        <f t="shared" si="265"/>
        <v xml:space="preserve">COM VALOR</v>
      </c>
      <c r="J5684" s="19"/>
      <c r="L5684" s="21">
        <v>16.73</v>
      </c>
      <c r="M5684" s="22">
        <v>0</v>
      </c>
      <c r="N5684" s="21">
        <v>16.27</v>
      </c>
      <c r="O5684" s="22">
        <v>0</v>
      </c>
    </row>
    <row r="5685" ht="25.5">
      <c r="A5685" t="s">
        <v>5734</v>
      </c>
      <c r="B5685" s="19">
        <v>89369</v>
      </c>
      <c r="C5685" s="20" t="s">
        <v>5796</v>
      </c>
      <c r="D5685" s="19" t="s">
        <v>31</v>
      </c>
      <c r="E5685" s="21">
        <f t="shared" si="263"/>
        <v>17.719999999999999</v>
      </c>
      <c r="F5685" s="22">
        <v>0</v>
      </c>
      <c r="G5685" s="21">
        <f t="shared" si="264"/>
        <v>17.199999999999999</v>
      </c>
      <c r="H5685" s="22">
        <v>0</v>
      </c>
      <c r="I5685" s="23" t="str">
        <f t="shared" si="265"/>
        <v xml:space="preserve">COM VALOR</v>
      </c>
      <c r="J5685" s="19"/>
      <c r="L5685" s="21">
        <v>17.719999999999999</v>
      </c>
      <c r="M5685" s="22">
        <v>0</v>
      </c>
      <c r="N5685" s="21">
        <v>17.199999999999999</v>
      </c>
      <c r="O5685" s="22">
        <v>0</v>
      </c>
    </row>
    <row r="5686" ht="25.5">
      <c r="A5686" t="s">
        <v>5734</v>
      </c>
      <c r="B5686" s="19">
        <v>89499</v>
      </c>
      <c r="C5686" s="20" t="s">
        <v>5797</v>
      </c>
      <c r="D5686" s="19" t="s">
        <v>31</v>
      </c>
      <c r="E5686" s="21">
        <f t="shared" si="263"/>
        <v>20</v>
      </c>
      <c r="F5686" s="22">
        <v>0</v>
      </c>
      <c r="G5686" s="21">
        <f t="shared" si="264"/>
        <v>19.699999999999999</v>
      </c>
      <c r="H5686" s="22">
        <v>0</v>
      </c>
      <c r="I5686" s="23" t="str">
        <f t="shared" si="265"/>
        <v xml:space="preserve">COM VALOR</v>
      </c>
      <c r="J5686" s="19"/>
      <c r="L5686" s="21">
        <v>20</v>
      </c>
      <c r="M5686" s="22">
        <v>0</v>
      </c>
      <c r="N5686" s="21">
        <v>19.699999999999999</v>
      </c>
      <c r="O5686" s="22">
        <v>0</v>
      </c>
    </row>
    <row r="5687" ht="25.5">
      <c r="A5687" t="s">
        <v>5734</v>
      </c>
      <c r="B5687" s="19">
        <v>103982</v>
      </c>
      <c r="C5687" s="20" t="s">
        <v>5798</v>
      </c>
      <c r="D5687" s="19" t="s">
        <v>31</v>
      </c>
      <c r="E5687" s="21">
        <f t="shared" si="263"/>
        <v>24.52</v>
      </c>
      <c r="F5687" s="22">
        <v>0</v>
      </c>
      <c r="G5687" s="21">
        <f t="shared" si="264"/>
        <v>23.969999999999999</v>
      </c>
      <c r="H5687" s="22">
        <v>0</v>
      </c>
      <c r="I5687" s="23" t="str">
        <f t="shared" si="265"/>
        <v xml:space="preserve">COM VALOR</v>
      </c>
      <c r="J5687" s="19"/>
      <c r="L5687" s="21">
        <v>24.52</v>
      </c>
      <c r="M5687" s="22">
        <v>0</v>
      </c>
      <c r="N5687" s="21">
        <v>23.969999999999999</v>
      </c>
      <c r="O5687" s="22">
        <v>0</v>
      </c>
    </row>
    <row r="5688" ht="25.5">
      <c r="A5688" t="s">
        <v>5734</v>
      </c>
      <c r="B5688" s="19">
        <v>89503</v>
      </c>
      <c r="C5688" s="20" t="s">
        <v>5799</v>
      </c>
      <c r="D5688" s="19" t="s">
        <v>31</v>
      </c>
      <c r="E5688" s="21">
        <f t="shared" si="263"/>
        <v>23.27</v>
      </c>
      <c r="F5688" s="22">
        <v>0</v>
      </c>
      <c r="G5688" s="21">
        <f t="shared" si="264"/>
        <v>22.91</v>
      </c>
      <c r="H5688" s="22">
        <v>0</v>
      </c>
      <c r="I5688" s="23" t="str">
        <f t="shared" si="265"/>
        <v xml:space="preserve">COM VALOR</v>
      </c>
      <c r="J5688" s="19"/>
      <c r="L5688" s="21">
        <v>23.27</v>
      </c>
      <c r="M5688" s="22">
        <v>0</v>
      </c>
      <c r="N5688" s="21">
        <v>22.91</v>
      </c>
      <c r="O5688" s="22">
        <v>0</v>
      </c>
    </row>
    <row r="5689" ht="25.5">
      <c r="A5689" t="s">
        <v>5734</v>
      </c>
      <c r="B5689" s="19">
        <v>103986</v>
      </c>
      <c r="C5689" s="20" t="s">
        <v>5800</v>
      </c>
      <c r="D5689" s="19" t="s">
        <v>31</v>
      </c>
      <c r="E5689" s="21">
        <f t="shared" si="263"/>
        <v>28.57</v>
      </c>
      <c r="F5689" s="22">
        <v>0</v>
      </c>
      <c r="G5689" s="21">
        <f t="shared" si="264"/>
        <v>27.91</v>
      </c>
      <c r="H5689" s="22">
        <v>0</v>
      </c>
      <c r="I5689" s="23" t="str">
        <f t="shared" si="265"/>
        <v xml:space="preserve">COM VALOR</v>
      </c>
      <c r="J5689" s="19"/>
      <c r="L5689" s="21">
        <v>28.57</v>
      </c>
      <c r="M5689" s="22">
        <v>0</v>
      </c>
      <c r="N5689" s="21">
        <v>27.91</v>
      </c>
      <c r="O5689" s="22">
        <v>0</v>
      </c>
    </row>
    <row r="5690" ht="25.5">
      <c r="A5690" t="s">
        <v>5734</v>
      </c>
      <c r="B5690" s="19">
        <v>89507</v>
      </c>
      <c r="C5690" s="20" t="s">
        <v>5801</v>
      </c>
      <c r="D5690" s="19" t="s">
        <v>31</v>
      </c>
      <c r="E5690" s="21">
        <f t="shared" si="263"/>
        <v>47.5</v>
      </c>
      <c r="F5690" s="22">
        <v>0</v>
      </c>
      <c r="G5690" s="21">
        <f t="shared" si="264"/>
        <v>47.060000000000002</v>
      </c>
      <c r="H5690" s="22">
        <v>0</v>
      </c>
      <c r="I5690" s="23" t="str">
        <f t="shared" si="265"/>
        <v xml:space="preserve">COM VALOR</v>
      </c>
      <c r="J5690" s="19"/>
      <c r="L5690" s="21">
        <v>47.5</v>
      </c>
      <c r="M5690" s="22">
        <v>0</v>
      </c>
      <c r="N5690" s="21">
        <v>47.060000000000002</v>
      </c>
      <c r="O5690" s="22">
        <v>0</v>
      </c>
    </row>
    <row r="5691" ht="25.5">
      <c r="A5691" t="s">
        <v>5734</v>
      </c>
      <c r="B5691" s="19">
        <v>89517</v>
      </c>
      <c r="C5691" s="20" t="s">
        <v>5802</v>
      </c>
      <c r="D5691" s="19" t="s">
        <v>31</v>
      </c>
      <c r="E5691" s="21">
        <f t="shared" si="263"/>
        <v>70.379999999999995</v>
      </c>
      <c r="F5691" s="22">
        <v>0</v>
      </c>
      <c r="G5691" s="21">
        <f t="shared" si="264"/>
        <v>69.849999999999994</v>
      </c>
      <c r="H5691" s="22">
        <v>0</v>
      </c>
      <c r="I5691" s="23" t="str">
        <f t="shared" si="265"/>
        <v xml:space="preserve">COM VALOR</v>
      </c>
      <c r="J5691" s="19"/>
      <c r="L5691" s="21">
        <v>70.379999999999995</v>
      </c>
      <c r="M5691" s="22">
        <v>0</v>
      </c>
      <c r="N5691" s="21">
        <v>69.849999999999994</v>
      </c>
      <c r="O5691" s="22">
        <v>0</v>
      </c>
    </row>
    <row r="5692" ht="25.5">
      <c r="A5692" t="s">
        <v>5734</v>
      </c>
      <c r="B5692" s="19">
        <v>89525</v>
      </c>
      <c r="C5692" s="20" t="s">
        <v>5803</v>
      </c>
      <c r="D5692" s="19" t="s">
        <v>31</v>
      </c>
      <c r="E5692" s="21">
        <f t="shared" si="263"/>
        <v>88.480000000000004</v>
      </c>
      <c r="F5692" s="22">
        <v>0</v>
      </c>
      <c r="G5692" s="21">
        <f t="shared" si="264"/>
        <v>87.890000000000001</v>
      </c>
      <c r="H5692" s="22">
        <v>0</v>
      </c>
      <c r="I5692" s="23" t="str">
        <f t="shared" si="265"/>
        <v xml:space="preserve">COM VALOR</v>
      </c>
      <c r="J5692" s="19"/>
      <c r="L5692" s="21">
        <v>88.480000000000004</v>
      </c>
      <c r="M5692" s="22">
        <v>0</v>
      </c>
      <c r="N5692" s="21">
        <v>87.890000000000001</v>
      </c>
      <c r="O5692" s="22">
        <v>0</v>
      </c>
    </row>
    <row r="5693" ht="38.25">
      <c r="A5693" t="s">
        <v>5734</v>
      </c>
      <c r="B5693" s="19">
        <v>89423</v>
      </c>
      <c r="C5693" s="20" t="s">
        <v>5804</v>
      </c>
      <c r="D5693" s="19" t="s">
        <v>31</v>
      </c>
      <c r="E5693" s="21">
        <f t="shared" si="263"/>
        <v>10.039999999999999</v>
      </c>
      <c r="F5693" s="22">
        <v>0</v>
      </c>
      <c r="G5693" s="21">
        <f t="shared" si="264"/>
        <v>9.8100000000000005</v>
      </c>
      <c r="H5693" s="22">
        <v>0</v>
      </c>
      <c r="I5693" s="23" t="str">
        <f t="shared" si="265"/>
        <v xml:space="preserve">COM VALOR</v>
      </c>
      <c r="J5693" s="19"/>
      <c r="L5693" s="21">
        <v>10.039999999999999</v>
      </c>
      <c r="M5693" s="22">
        <v>0</v>
      </c>
      <c r="N5693" s="21">
        <v>9.8100000000000005</v>
      </c>
      <c r="O5693" s="22">
        <v>0</v>
      </c>
    </row>
    <row r="5694" ht="38.25">
      <c r="A5694" t="s">
        <v>5734</v>
      </c>
      <c r="B5694" s="19">
        <v>89377</v>
      </c>
      <c r="C5694" s="20" t="s">
        <v>5805</v>
      </c>
      <c r="D5694" s="19" t="s">
        <v>31</v>
      </c>
      <c r="E5694" s="21">
        <f t="shared" si="263"/>
        <v>10.52</v>
      </c>
      <c r="F5694" s="22">
        <v>0</v>
      </c>
      <c r="G5694" s="21">
        <f t="shared" si="264"/>
        <v>10.27</v>
      </c>
      <c r="H5694" s="22">
        <v>0</v>
      </c>
      <c r="I5694" s="23" t="str">
        <f t="shared" si="265"/>
        <v xml:space="preserve">COM VALOR</v>
      </c>
      <c r="J5694" s="19"/>
      <c r="L5694" s="21">
        <v>10.52</v>
      </c>
      <c r="M5694" s="22">
        <v>0</v>
      </c>
      <c r="N5694" s="21">
        <v>10.27</v>
      </c>
      <c r="O5694" s="22">
        <v>0</v>
      </c>
    </row>
    <row r="5695" ht="25.5">
      <c r="A5695" t="s">
        <v>5734</v>
      </c>
      <c r="B5695" s="19">
        <v>89540</v>
      </c>
      <c r="C5695" s="20" t="s">
        <v>5806</v>
      </c>
      <c r="D5695" s="19" t="s">
        <v>31</v>
      </c>
      <c r="E5695" s="21">
        <f t="shared" si="263"/>
        <v>10.619999999999999</v>
      </c>
      <c r="F5695" s="22">
        <v>0</v>
      </c>
      <c r="G5695" s="21">
        <f t="shared" si="264"/>
        <v>10.48</v>
      </c>
      <c r="H5695" s="22">
        <v>0</v>
      </c>
      <c r="I5695" s="23" t="str">
        <f t="shared" si="265"/>
        <v xml:space="preserve">COM VALOR</v>
      </c>
      <c r="J5695" s="19"/>
      <c r="L5695" s="21">
        <v>10.619999999999999</v>
      </c>
      <c r="M5695" s="22">
        <v>0</v>
      </c>
      <c r="N5695" s="21">
        <v>10.48</v>
      </c>
      <c r="O5695" s="22">
        <v>0</v>
      </c>
    </row>
    <row r="5696" ht="38.25">
      <c r="A5696" t="s">
        <v>5734</v>
      </c>
      <c r="B5696" s="19">
        <v>89430</v>
      </c>
      <c r="C5696" s="20" t="s">
        <v>5807</v>
      </c>
      <c r="D5696" s="19" t="s">
        <v>31</v>
      </c>
      <c r="E5696" s="21">
        <f t="shared" si="263"/>
        <v>12.890000000000001</v>
      </c>
      <c r="F5696" s="22">
        <v>0</v>
      </c>
      <c r="G5696" s="21">
        <f t="shared" si="264"/>
        <v>12.619999999999999</v>
      </c>
      <c r="H5696" s="22">
        <v>0</v>
      </c>
      <c r="I5696" s="23" t="str">
        <f t="shared" si="265"/>
        <v xml:space="preserve">COM VALOR</v>
      </c>
      <c r="J5696" s="19"/>
      <c r="L5696" s="21">
        <v>12.890000000000001</v>
      </c>
      <c r="M5696" s="22">
        <v>0</v>
      </c>
      <c r="N5696" s="21">
        <v>12.619999999999999</v>
      </c>
      <c r="O5696" s="22">
        <v>0</v>
      </c>
    </row>
    <row r="5697" ht="38.25">
      <c r="A5697" t="s">
        <v>5734</v>
      </c>
      <c r="B5697" s="19">
        <v>89384</v>
      </c>
      <c r="C5697" s="20" t="s">
        <v>5808</v>
      </c>
      <c r="D5697" s="19" t="s">
        <v>31</v>
      </c>
      <c r="E5697" s="21">
        <f t="shared" si="263"/>
        <v>13.44</v>
      </c>
      <c r="F5697" s="22">
        <v>0</v>
      </c>
      <c r="G5697" s="21">
        <f t="shared" si="264"/>
        <v>13.15</v>
      </c>
      <c r="H5697" s="22">
        <v>0</v>
      </c>
      <c r="I5697" s="23" t="str">
        <f t="shared" si="265"/>
        <v xml:space="preserve">COM VALOR</v>
      </c>
      <c r="J5697" s="19"/>
      <c r="L5697" s="21">
        <v>13.44</v>
      </c>
      <c r="M5697" s="22">
        <v>0</v>
      </c>
      <c r="N5697" s="21">
        <v>13.15</v>
      </c>
      <c r="O5697" s="22">
        <v>0</v>
      </c>
    </row>
    <row r="5698" ht="25.5">
      <c r="A5698" t="s">
        <v>5734</v>
      </c>
      <c r="B5698" s="19">
        <v>89555</v>
      </c>
      <c r="C5698" s="20" t="s">
        <v>5809</v>
      </c>
      <c r="D5698" s="19" t="s">
        <v>31</v>
      </c>
      <c r="E5698" s="21">
        <f t="shared" si="263"/>
        <v>21.82</v>
      </c>
      <c r="F5698" s="22">
        <v>0</v>
      </c>
      <c r="G5698" s="21">
        <f t="shared" si="264"/>
        <v>21.66</v>
      </c>
      <c r="H5698" s="22">
        <v>0</v>
      </c>
      <c r="I5698" s="23" t="str">
        <f t="shared" si="265"/>
        <v xml:space="preserve">COM VALOR</v>
      </c>
      <c r="J5698" s="19"/>
      <c r="L5698" s="21">
        <v>21.82</v>
      </c>
      <c r="M5698" s="22">
        <v>0</v>
      </c>
      <c r="N5698" s="21">
        <v>21.66</v>
      </c>
      <c r="O5698" s="22">
        <v>0</v>
      </c>
    </row>
    <row r="5699" ht="38.25">
      <c r="A5699" t="s">
        <v>5734</v>
      </c>
      <c r="B5699" s="19">
        <v>89437</v>
      </c>
      <c r="C5699" s="20" t="s">
        <v>5810</v>
      </c>
      <c r="D5699" s="19" t="s">
        <v>31</v>
      </c>
      <c r="E5699" s="21">
        <f t="shared" si="263"/>
        <v>24.449999999999999</v>
      </c>
      <c r="F5699" s="22">
        <v>0</v>
      </c>
      <c r="G5699" s="21">
        <f t="shared" si="264"/>
        <v>24.140000000000001</v>
      </c>
      <c r="H5699" s="22">
        <v>0</v>
      </c>
      <c r="I5699" s="23" t="str">
        <f t="shared" si="265"/>
        <v xml:space="preserve">COM VALOR</v>
      </c>
      <c r="J5699" s="19"/>
      <c r="L5699" s="21">
        <v>24.449999999999999</v>
      </c>
      <c r="M5699" s="22">
        <v>0</v>
      </c>
      <c r="N5699" s="21">
        <v>24.140000000000001</v>
      </c>
      <c r="O5699" s="22">
        <v>0</v>
      </c>
    </row>
    <row r="5700" ht="38.25">
      <c r="A5700" t="s">
        <v>5734</v>
      </c>
      <c r="B5700" s="19">
        <v>89392</v>
      </c>
      <c r="C5700" s="20" t="s">
        <v>5811</v>
      </c>
      <c r="D5700" s="19" t="s">
        <v>31</v>
      </c>
      <c r="E5700" s="21">
        <f t="shared" si="263"/>
        <v>25.120000000000001</v>
      </c>
      <c r="F5700" s="22">
        <v>0</v>
      </c>
      <c r="G5700" s="21">
        <f t="shared" si="264"/>
        <v>24.77</v>
      </c>
      <c r="H5700" s="22">
        <v>0</v>
      </c>
      <c r="I5700" s="23" t="str">
        <f t="shared" si="265"/>
        <v xml:space="preserve">COM VALOR</v>
      </c>
      <c r="J5700" s="19"/>
      <c r="L5700" s="21">
        <v>25.120000000000001</v>
      </c>
      <c r="M5700" s="22">
        <v>0</v>
      </c>
      <c r="N5700" s="21">
        <v>24.77</v>
      </c>
      <c r="O5700" s="22">
        <v>0</v>
      </c>
    </row>
    <row r="5701" ht="25.5">
      <c r="A5701" t="s">
        <v>5734</v>
      </c>
      <c r="B5701" s="19">
        <v>89405</v>
      </c>
      <c r="C5701" s="20" t="s">
        <v>5812</v>
      </c>
      <c r="D5701" s="19" t="s">
        <v>31</v>
      </c>
      <c r="E5701" s="21">
        <f t="shared" si="263"/>
        <v>8.0800000000000001</v>
      </c>
      <c r="F5701" s="22">
        <v>0</v>
      </c>
      <c r="G5701" s="21">
        <f t="shared" si="264"/>
        <v>7.7400000000000002</v>
      </c>
      <c r="H5701" s="22">
        <v>0</v>
      </c>
      <c r="I5701" s="23" t="str">
        <f t="shared" si="265"/>
        <v xml:space="preserve">COM VALOR</v>
      </c>
      <c r="J5701" s="19"/>
      <c r="L5701" s="21">
        <v>8.0800000000000001</v>
      </c>
      <c r="M5701" s="22">
        <v>0</v>
      </c>
      <c r="N5701" s="21">
        <v>7.7400000000000002</v>
      </c>
      <c r="O5701" s="22">
        <v>0</v>
      </c>
    </row>
    <row r="5702" ht="25.5">
      <c r="A5702" t="s">
        <v>5734</v>
      </c>
      <c r="B5702" s="19">
        <v>89359</v>
      </c>
      <c r="C5702" s="20" t="s">
        <v>5813</v>
      </c>
      <c r="D5702" s="19" t="s">
        <v>31</v>
      </c>
      <c r="E5702" s="21">
        <f t="shared" si="263"/>
        <v>8.7899999999999991</v>
      </c>
      <c r="F5702" s="22">
        <v>0</v>
      </c>
      <c r="G5702" s="21">
        <f t="shared" si="264"/>
        <v>8.4100000000000001</v>
      </c>
      <c r="H5702" s="22">
        <v>0</v>
      </c>
      <c r="I5702" s="23" t="str">
        <f t="shared" si="265"/>
        <v xml:space="preserve">COM VALOR</v>
      </c>
      <c r="J5702" s="19"/>
      <c r="L5702" s="21">
        <v>8.7899999999999991</v>
      </c>
      <c r="M5702" s="22">
        <v>0</v>
      </c>
      <c r="N5702" s="21">
        <v>8.4100000000000001</v>
      </c>
      <c r="O5702" s="22">
        <v>0</v>
      </c>
    </row>
    <row r="5703" ht="25.5">
      <c r="A5703" t="s">
        <v>5734</v>
      </c>
      <c r="B5703" s="19">
        <v>89485</v>
      </c>
      <c r="C5703" s="20" t="s">
        <v>5814</v>
      </c>
      <c r="D5703" s="19" t="s">
        <v>31</v>
      </c>
      <c r="E5703" s="21">
        <f t="shared" si="263"/>
        <v>6.4000000000000004</v>
      </c>
      <c r="F5703" s="22">
        <v>0</v>
      </c>
      <c r="G5703" s="21">
        <f t="shared" si="264"/>
        <v>6.2000000000000002</v>
      </c>
      <c r="H5703" s="22">
        <v>0</v>
      </c>
      <c r="I5703" s="23" t="str">
        <f t="shared" si="265"/>
        <v xml:space="preserve">COM VALOR</v>
      </c>
      <c r="J5703" s="19"/>
      <c r="L5703" s="21">
        <v>6.4000000000000004</v>
      </c>
      <c r="M5703" s="22">
        <v>0</v>
      </c>
      <c r="N5703" s="21">
        <v>6.2000000000000002</v>
      </c>
      <c r="O5703" s="22">
        <v>0</v>
      </c>
    </row>
    <row r="5704" ht="25.5">
      <c r="A5704" t="s">
        <v>5734</v>
      </c>
      <c r="B5704" s="19">
        <v>89409</v>
      </c>
      <c r="C5704" s="20" t="s">
        <v>5815</v>
      </c>
      <c r="D5704" s="19" t="s">
        <v>31</v>
      </c>
      <c r="E5704" s="21">
        <f t="shared" si="263"/>
        <v>9.7799999999999994</v>
      </c>
      <c r="F5704" s="22">
        <v>0</v>
      </c>
      <c r="G5704" s="21">
        <f t="shared" si="264"/>
        <v>9.3900000000000006</v>
      </c>
      <c r="H5704" s="22">
        <v>0</v>
      </c>
      <c r="I5704" s="23" t="str">
        <f t="shared" si="265"/>
        <v xml:space="preserve">COM VALOR</v>
      </c>
      <c r="J5704" s="19"/>
      <c r="L5704" s="21">
        <v>9.7799999999999994</v>
      </c>
      <c r="M5704" s="22">
        <v>0</v>
      </c>
      <c r="N5704" s="21">
        <v>9.3900000000000006</v>
      </c>
      <c r="O5704" s="22">
        <v>0</v>
      </c>
    </row>
    <row r="5705" ht="25.5">
      <c r="A5705" t="s">
        <v>5734</v>
      </c>
      <c r="B5705" s="19">
        <v>89363</v>
      </c>
      <c r="C5705" s="20" t="s">
        <v>5816</v>
      </c>
      <c r="D5705" s="19" t="s">
        <v>31</v>
      </c>
      <c r="E5705" s="21">
        <f t="shared" si="263"/>
        <v>10.609999999999999</v>
      </c>
      <c r="F5705" s="22">
        <v>0</v>
      </c>
      <c r="G5705" s="21">
        <f t="shared" si="264"/>
        <v>10.17</v>
      </c>
      <c r="H5705" s="22">
        <v>0</v>
      </c>
      <c r="I5705" s="23" t="str">
        <f t="shared" si="265"/>
        <v xml:space="preserve">COM VALOR</v>
      </c>
      <c r="J5705" s="19"/>
      <c r="L5705" s="21">
        <v>10.609999999999999</v>
      </c>
      <c r="M5705" s="22">
        <v>0</v>
      </c>
      <c r="N5705" s="21">
        <v>10.17</v>
      </c>
      <c r="O5705" s="22">
        <v>0</v>
      </c>
    </row>
    <row r="5706" ht="25.5">
      <c r="A5706" t="s">
        <v>5734</v>
      </c>
      <c r="B5706" s="19">
        <v>89493</v>
      </c>
      <c r="C5706" s="20" t="s">
        <v>5817</v>
      </c>
      <c r="D5706" s="19" t="s">
        <v>31</v>
      </c>
      <c r="E5706" s="21">
        <f t="shared" si="263"/>
        <v>10.380000000000001</v>
      </c>
      <c r="F5706" s="22">
        <v>0</v>
      </c>
      <c r="G5706" s="21">
        <f t="shared" si="264"/>
        <v>10.130000000000001</v>
      </c>
      <c r="H5706" s="22">
        <v>0</v>
      </c>
      <c r="I5706" s="23" t="str">
        <f t="shared" si="265"/>
        <v xml:space="preserve">COM VALOR</v>
      </c>
      <c r="J5706" s="19"/>
      <c r="L5706" s="21">
        <v>10.380000000000001</v>
      </c>
      <c r="M5706" s="22">
        <v>0</v>
      </c>
      <c r="N5706" s="21">
        <v>10.130000000000001</v>
      </c>
      <c r="O5706" s="22">
        <v>0</v>
      </c>
    </row>
    <row r="5707" ht="25.5">
      <c r="A5707" t="s">
        <v>5734</v>
      </c>
      <c r="B5707" s="19">
        <v>89414</v>
      </c>
      <c r="C5707" s="20" t="s">
        <v>5818</v>
      </c>
      <c r="D5707" s="19" t="s">
        <v>31</v>
      </c>
      <c r="E5707" s="21">
        <f t="shared" ref="E5707:E5770" si="266">IF(L5707=0,"VERIFICAR",L5707)</f>
        <v>14.32</v>
      </c>
      <c r="F5707" s="22">
        <v>0</v>
      </c>
      <c r="G5707" s="21">
        <f t="shared" ref="G5707:G5770" si="267">IF(N5707=0,"VERIFICAR",N5707)</f>
        <v>13.859999999999999</v>
      </c>
      <c r="H5707" s="22">
        <v>0</v>
      </c>
      <c r="I5707" s="23" t="str">
        <f t="shared" ref="I5707:I5770" si="268">IF(OR(E5707=0,G5707=0),"SEM VALOR","COM VALOR")</f>
        <v xml:space="preserve">COM VALOR</v>
      </c>
      <c r="J5707" s="19"/>
      <c r="L5707" s="21">
        <v>14.32</v>
      </c>
      <c r="M5707" s="22">
        <v>0</v>
      </c>
      <c r="N5707" s="21">
        <v>13.859999999999999</v>
      </c>
      <c r="O5707" s="22">
        <v>0</v>
      </c>
    </row>
    <row r="5708" ht="25.5">
      <c r="A5708" t="s">
        <v>5734</v>
      </c>
      <c r="B5708" s="19">
        <v>89368</v>
      </c>
      <c r="C5708" s="20" t="s">
        <v>5819</v>
      </c>
      <c r="D5708" s="19" t="s">
        <v>31</v>
      </c>
      <c r="E5708" s="21">
        <f t="shared" si="266"/>
        <v>15.31</v>
      </c>
      <c r="F5708" s="22">
        <v>0</v>
      </c>
      <c r="G5708" s="21">
        <f t="shared" si="267"/>
        <v>14.789999999999999</v>
      </c>
      <c r="H5708" s="22">
        <v>0</v>
      </c>
      <c r="I5708" s="23" t="str">
        <f t="shared" si="268"/>
        <v xml:space="preserve">COM VALOR</v>
      </c>
      <c r="J5708" s="19"/>
      <c r="L5708" s="21">
        <v>15.31</v>
      </c>
      <c r="M5708" s="22">
        <v>0</v>
      </c>
      <c r="N5708" s="21">
        <v>14.789999999999999</v>
      </c>
      <c r="O5708" s="22">
        <v>0</v>
      </c>
    </row>
    <row r="5709" ht="25.5">
      <c r="A5709" t="s">
        <v>5734</v>
      </c>
      <c r="B5709" s="19">
        <v>89498</v>
      </c>
      <c r="C5709" s="20" t="s">
        <v>5820</v>
      </c>
      <c r="D5709" s="19" t="s">
        <v>31</v>
      </c>
      <c r="E5709" s="21">
        <f t="shared" si="266"/>
        <v>13.68</v>
      </c>
      <c r="F5709" s="22">
        <v>0</v>
      </c>
      <c r="G5709" s="21">
        <f t="shared" si="267"/>
        <v>13.380000000000001</v>
      </c>
      <c r="H5709" s="22">
        <v>0</v>
      </c>
      <c r="I5709" s="23" t="str">
        <f t="shared" si="268"/>
        <v xml:space="preserve">COM VALOR</v>
      </c>
      <c r="J5709" s="19"/>
      <c r="L5709" s="21">
        <v>13.68</v>
      </c>
      <c r="M5709" s="22">
        <v>0</v>
      </c>
      <c r="N5709" s="21">
        <v>13.380000000000001</v>
      </c>
      <c r="O5709" s="22">
        <v>0</v>
      </c>
    </row>
    <row r="5710" ht="25.5">
      <c r="A5710" t="s">
        <v>5734</v>
      </c>
      <c r="B5710" s="19">
        <v>103981</v>
      </c>
      <c r="C5710" s="20" t="s">
        <v>5821</v>
      </c>
      <c r="D5710" s="19" t="s">
        <v>31</v>
      </c>
      <c r="E5710" s="21">
        <f t="shared" si="266"/>
        <v>18.199999999999999</v>
      </c>
      <c r="F5710" s="22">
        <v>0</v>
      </c>
      <c r="G5710" s="21">
        <f t="shared" si="267"/>
        <v>17.649999999999999</v>
      </c>
      <c r="H5710" s="22">
        <v>0</v>
      </c>
      <c r="I5710" s="23" t="str">
        <f t="shared" si="268"/>
        <v xml:space="preserve">COM VALOR</v>
      </c>
      <c r="J5710" s="19"/>
      <c r="L5710" s="21">
        <v>18.199999999999999</v>
      </c>
      <c r="M5710" s="22">
        <v>0</v>
      </c>
      <c r="N5710" s="21">
        <v>17.649999999999999</v>
      </c>
      <c r="O5710" s="22">
        <v>0</v>
      </c>
    </row>
    <row r="5711" ht="25.5">
      <c r="A5711" t="s">
        <v>5734</v>
      </c>
      <c r="B5711" s="19">
        <v>89502</v>
      </c>
      <c r="C5711" s="20" t="s">
        <v>5822</v>
      </c>
      <c r="D5711" s="19" t="s">
        <v>31</v>
      </c>
      <c r="E5711" s="21">
        <f t="shared" si="266"/>
        <v>17.469999999999999</v>
      </c>
      <c r="F5711" s="22">
        <v>0</v>
      </c>
      <c r="G5711" s="21">
        <f t="shared" si="267"/>
        <v>17.109999999999999</v>
      </c>
      <c r="H5711" s="22">
        <v>0</v>
      </c>
      <c r="I5711" s="23" t="str">
        <f t="shared" si="268"/>
        <v xml:space="preserve">COM VALOR</v>
      </c>
      <c r="J5711" s="19"/>
      <c r="L5711" s="21">
        <v>17.469999999999999</v>
      </c>
      <c r="M5711" s="22">
        <v>0</v>
      </c>
      <c r="N5711" s="21">
        <v>17.109999999999999</v>
      </c>
      <c r="O5711" s="22">
        <v>0</v>
      </c>
    </row>
    <row r="5712" ht="25.5">
      <c r="A5712" t="s">
        <v>5734</v>
      </c>
      <c r="B5712" s="19">
        <v>103985</v>
      </c>
      <c r="C5712" s="20" t="s">
        <v>5823</v>
      </c>
      <c r="D5712" s="19" t="s">
        <v>31</v>
      </c>
      <c r="E5712" s="21">
        <f t="shared" si="266"/>
        <v>22.77</v>
      </c>
      <c r="F5712" s="22">
        <v>0</v>
      </c>
      <c r="G5712" s="21">
        <f t="shared" si="267"/>
        <v>22.109999999999999</v>
      </c>
      <c r="H5712" s="22">
        <v>0</v>
      </c>
      <c r="I5712" s="23" t="str">
        <f t="shared" si="268"/>
        <v xml:space="preserve">COM VALOR</v>
      </c>
      <c r="J5712" s="19"/>
      <c r="L5712" s="21">
        <v>22.77</v>
      </c>
      <c r="M5712" s="22">
        <v>0</v>
      </c>
      <c r="N5712" s="21">
        <v>22.109999999999999</v>
      </c>
      <c r="O5712" s="22">
        <v>0</v>
      </c>
    </row>
    <row r="5713" ht="25.5">
      <c r="A5713" t="s">
        <v>5734</v>
      </c>
      <c r="B5713" s="19">
        <v>89506</v>
      </c>
      <c r="C5713" s="20" t="s">
        <v>5824</v>
      </c>
      <c r="D5713" s="19" t="s">
        <v>31</v>
      </c>
      <c r="E5713" s="21">
        <f t="shared" si="266"/>
        <v>40.310000000000002</v>
      </c>
      <c r="F5713" s="22">
        <v>0</v>
      </c>
      <c r="G5713" s="21">
        <f t="shared" si="267"/>
        <v>39.869999999999997</v>
      </c>
      <c r="H5713" s="22">
        <v>0</v>
      </c>
      <c r="I5713" s="23" t="str">
        <f t="shared" si="268"/>
        <v xml:space="preserve">COM VALOR</v>
      </c>
      <c r="J5713" s="19"/>
      <c r="L5713" s="21">
        <v>40.310000000000002</v>
      </c>
      <c r="M5713" s="22">
        <v>0</v>
      </c>
      <c r="N5713" s="21">
        <v>39.869999999999997</v>
      </c>
      <c r="O5713" s="22">
        <v>0</v>
      </c>
    </row>
    <row r="5714" ht="25.5">
      <c r="A5714" t="s">
        <v>5734</v>
      </c>
      <c r="B5714" s="19">
        <v>89515</v>
      </c>
      <c r="C5714" s="20" t="s">
        <v>5825</v>
      </c>
      <c r="D5714" s="19" t="s">
        <v>31</v>
      </c>
      <c r="E5714" s="21">
        <f t="shared" si="266"/>
        <v>83.790000000000006</v>
      </c>
      <c r="F5714" s="22">
        <v>0</v>
      </c>
      <c r="G5714" s="21">
        <f t="shared" si="267"/>
        <v>83.260000000000005</v>
      </c>
      <c r="H5714" s="22">
        <v>0</v>
      </c>
      <c r="I5714" s="23" t="str">
        <f t="shared" si="268"/>
        <v xml:space="preserve">COM VALOR</v>
      </c>
      <c r="J5714" s="19"/>
      <c r="L5714" s="21">
        <v>83.790000000000006</v>
      </c>
      <c r="M5714" s="22">
        <v>0</v>
      </c>
      <c r="N5714" s="21">
        <v>83.260000000000005</v>
      </c>
      <c r="O5714" s="22">
        <v>0</v>
      </c>
    </row>
    <row r="5715" ht="25.5">
      <c r="A5715" t="s">
        <v>5734</v>
      </c>
      <c r="B5715" s="19">
        <v>89523</v>
      </c>
      <c r="C5715" s="20" t="s">
        <v>5826</v>
      </c>
      <c r="D5715" s="19" t="s">
        <v>31</v>
      </c>
      <c r="E5715" s="21">
        <f t="shared" si="266"/>
        <v>102.47</v>
      </c>
      <c r="F5715" s="22">
        <v>0</v>
      </c>
      <c r="G5715" s="21">
        <f t="shared" si="267"/>
        <v>101.88</v>
      </c>
      <c r="H5715" s="22">
        <v>0</v>
      </c>
      <c r="I5715" s="23" t="str">
        <f t="shared" si="268"/>
        <v xml:space="preserve">COM VALOR</v>
      </c>
      <c r="J5715" s="19"/>
      <c r="L5715" s="21">
        <v>102.47</v>
      </c>
      <c r="M5715" s="22">
        <v>0</v>
      </c>
      <c r="N5715" s="21">
        <v>101.88</v>
      </c>
      <c r="O5715" s="22">
        <v>0</v>
      </c>
    </row>
    <row r="5716" ht="38.25">
      <c r="A5716" t="s">
        <v>5734</v>
      </c>
      <c r="B5716" s="19">
        <v>90373</v>
      </c>
      <c r="C5716" s="20" t="s">
        <v>5827</v>
      </c>
      <c r="D5716" s="19" t="s">
        <v>31</v>
      </c>
      <c r="E5716" s="21">
        <f t="shared" si="266"/>
        <v>13.390000000000001</v>
      </c>
      <c r="F5716" s="22">
        <v>0</v>
      </c>
      <c r="G5716" s="21">
        <f t="shared" si="267"/>
        <v>13.02</v>
      </c>
      <c r="H5716" s="22">
        <v>0</v>
      </c>
      <c r="I5716" s="23" t="str">
        <f t="shared" si="268"/>
        <v xml:space="preserve">COM VALOR</v>
      </c>
      <c r="J5716" s="19"/>
      <c r="L5716" s="21">
        <v>13.390000000000001</v>
      </c>
      <c r="M5716" s="22">
        <v>0</v>
      </c>
      <c r="N5716" s="21">
        <v>13.02</v>
      </c>
      <c r="O5716" s="22">
        <v>0</v>
      </c>
    </row>
    <row r="5717" ht="38.25">
      <c r="A5717" t="s">
        <v>5734</v>
      </c>
      <c r="B5717" s="19">
        <v>89366</v>
      </c>
      <c r="C5717" s="20" t="s">
        <v>5828</v>
      </c>
      <c r="D5717" s="19" t="s">
        <v>31</v>
      </c>
      <c r="E5717" s="21">
        <f t="shared" si="266"/>
        <v>16.75</v>
      </c>
      <c r="F5717" s="22">
        <v>0</v>
      </c>
      <c r="G5717" s="21">
        <f t="shared" si="267"/>
        <v>16.34</v>
      </c>
      <c r="H5717" s="22">
        <v>0</v>
      </c>
      <c r="I5717" s="23" t="str">
        <f t="shared" si="268"/>
        <v xml:space="preserve">COM VALOR</v>
      </c>
      <c r="J5717" s="19"/>
      <c r="L5717" s="21">
        <v>16.75</v>
      </c>
      <c r="M5717" s="22">
        <v>0</v>
      </c>
      <c r="N5717" s="21">
        <v>16.34</v>
      </c>
      <c r="O5717" s="22">
        <v>0</v>
      </c>
    </row>
    <row r="5718" ht="25.5">
      <c r="A5718" t="s">
        <v>5734</v>
      </c>
      <c r="B5718" s="19">
        <v>89404</v>
      </c>
      <c r="C5718" s="20" t="s">
        <v>5829</v>
      </c>
      <c r="D5718" s="19" t="s">
        <v>31</v>
      </c>
      <c r="E5718" s="21">
        <f t="shared" si="266"/>
        <v>7.5199999999999996</v>
      </c>
      <c r="F5718" s="22">
        <v>0</v>
      </c>
      <c r="G5718" s="21">
        <f t="shared" si="267"/>
        <v>7.1799999999999997</v>
      </c>
      <c r="H5718" s="22">
        <v>0</v>
      </c>
      <c r="I5718" s="23" t="str">
        <f t="shared" si="268"/>
        <v xml:space="preserve">COM VALOR</v>
      </c>
      <c r="J5718" s="19"/>
      <c r="L5718" s="21">
        <v>7.5199999999999996</v>
      </c>
      <c r="M5718" s="22">
        <v>0</v>
      </c>
      <c r="N5718" s="21">
        <v>7.1799999999999997</v>
      </c>
      <c r="O5718" s="22">
        <v>0</v>
      </c>
    </row>
    <row r="5719" ht="25.5">
      <c r="A5719" t="s">
        <v>5734</v>
      </c>
      <c r="B5719" s="19">
        <v>89358</v>
      </c>
      <c r="C5719" s="20" t="s">
        <v>5830</v>
      </c>
      <c r="D5719" s="19" t="s">
        <v>31</v>
      </c>
      <c r="E5719" s="21">
        <f t="shared" si="266"/>
        <v>8.2300000000000004</v>
      </c>
      <c r="F5719" s="22">
        <v>0</v>
      </c>
      <c r="G5719" s="21">
        <f t="shared" si="267"/>
        <v>7.8499999999999996</v>
      </c>
      <c r="H5719" s="22">
        <v>0</v>
      </c>
      <c r="I5719" s="23" t="str">
        <f t="shared" si="268"/>
        <v xml:space="preserve">COM VALOR</v>
      </c>
      <c r="J5719" s="19"/>
      <c r="L5719" s="21">
        <v>8.2300000000000004</v>
      </c>
      <c r="M5719" s="22">
        <v>0</v>
      </c>
      <c r="N5719" s="21">
        <v>7.8499999999999996</v>
      </c>
      <c r="O5719" s="22">
        <v>0</v>
      </c>
    </row>
    <row r="5720" ht="25.5">
      <c r="A5720" t="s">
        <v>5734</v>
      </c>
      <c r="B5720" s="19">
        <v>89481</v>
      </c>
      <c r="C5720" s="20" t="s">
        <v>5831</v>
      </c>
      <c r="D5720" s="19" t="s">
        <v>31</v>
      </c>
      <c r="E5720" s="21">
        <f t="shared" si="266"/>
        <v>5.5999999999999996</v>
      </c>
      <c r="F5720" s="22">
        <v>0</v>
      </c>
      <c r="G5720" s="21">
        <f t="shared" si="267"/>
        <v>5.4000000000000004</v>
      </c>
      <c r="H5720" s="22">
        <v>0</v>
      </c>
      <c r="I5720" s="23" t="str">
        <f t="shared" si="268"/>
        <v xml:space="preserve">COM VALOR</v>
      </c>
      <c r="J5720" s="19"/>
      <c r="L5720" s="21">
        <v>5.5999999999999996</v>
      </c>
      <c r="M5720" s="22">
        <v>0</v>
      </c>
      <c r="N5720" s="21">
        <v>5.4000000000000004</v>
      </c>
      <c r="O5720" s="22">
        <v>0</v>
      </c>
    </row>
    <row r="5721" ht="25.5">
      <c r="A5721" t="s">
        <v>5734</v>
      </c>
      <c r="B5721" s="19">
        <v>89408</v>
      </c>
      <c r="C5721" s="20" t="s">
        <v>5832</v>
      </c>
      <c r="D5721" s="19" t="s">
        <v>31</v>
      </c>
      <c r="E5721" s="21">
        <f t="shared" si="266"/>
        <v>8.9800000000000004</v>
      </c>
      <c r="F5721" s="22">
        <v>0</v>
      </c>
      <c r="G5721" s="21">
        <f t="shared" si="267"/>
        <v>8.5899999999999999</v>
      </c>
      <c r="H5721" s="22">
        <v>0</v>
      </c>
      <c r="I5721" s="23" t="str">
        <f t="shared" si="268"/>
        <v xml:space="preserve">COM VALOR</v>
      </c>
      <c r="J5721" s="19"/>
      <c r="L5721" s="21">
        <v>8.9800000000000004</v>
      </c>
      <c r="M5721" s="22">
        <v>0</v>
      </c>
      <c r="N5721" s="21">
        <v>8.5899999999999999</v>
      </c>
      <c r="O5721" s="22">
        <v>0</v>
      </c>
    </row>
    <row r="5722" ht="25.5">
      <c r="A5722" t="s">
        <v>5734</v>
      </c>
      <c r="B5722" s="19">
        <v>89362</v>
      </c>
      <c r="C5722" s="20" t="s">
        <v>5833</v>
      </c>
      <c r="D5722" s="19" t="s">
        <v>31</v>
      </c>
      <c r="E5722" s="21">
        <f t="shared" si="266"/>
        <v>9.8100000000000005</v>
      </c>
      <c r="F5722" s="22">
        <v>0</v>
      </c>
      <c r="G5722" s="21">
        <f t="shared" si="267"/>
        <v>9.3699999999999992</v>
      </c>
      <c r="H5722" s="22">
        <v>0</v>
      </c>
      <c r="I5722" s="23" t="str">
        <f t="shared" si="268"/>
        <v xml:space="preserve">COM VALOR</v>
      </c>
      <c r="J5722" s="19"/>
      <c r="L5722" s="21">
        <v>9.8100000000000005</v>
      </c>
      <c r="M5722" s="22">
        <v>0</v>
      </c>
      <c r="N5722" s="21">
        <v>9.3699999999999992</v>
      </c>
      <c r="O5722" s="22">
        <v>0</v>
      </c>
    </row>
    <row r="5723" ht="38.25">
      <c r="A5723" t="s">
        <v>5734</v>
      </c>
      <c r="B5723" s="19">
        <v>89412</v>
      </c>
      <c r="C5723" s="20" t="s">
        <v>5834</v>
      </c>
      <c r="D5723" s="19" t="s">
        <v>31</v>
      </c>
      <c r="E5723" s="21">
        <f t="shared" si="266"/>
        <v>10.1</v>
      </c>
      <c r="F5723" s="22">
        <v>0</v>
      </c>
      <c r="G5723" s="21">
        <f t="shared" si="267"/>
        <v>9.7300000000000004</v>
      </c>
      <c r="H5723" s="22">
        <v>0</v>
      </c>
      <c r="I5723" s="23" t="str">
        <f t="shared" si="268"/>
        <v xml:space="preserve">COM VALOR</v>
      </c>
      <c r="J5723" s="19"/>
      <c r="L5723" s="21">
        <v>10.1</v>
      </c>
      <c r="M5723" s="22">
        <v>0</v>
      </c>
      <c r="N5723" s="21">
        <v>9.7300000000000004</v>
      </c>
      <c r="O5723" s="22">
        <v>0</v>
      </c>
    </row>
    <row r="5724" ht="25.5">
      <c r="A5724" t="s">
        <v>5734</v>
      </c>
      <c r="B5724" s="19">
        <v>89492</v>
      </c>
      <c r="C5724" s="20" t="s">
        <v>5835</v>
      </c>
      <c r="D5724" s="19" t="s">
        <v>31</v>
      </c>
      <c r="E5724" s="21">
        <f t="shared" si="266"/>
        <v>8.5899999999999999</v>
      </c>
      <c r="F5724" s="22">
        <v>0</v>
      </c>
      <c r="G5724" s="21">
        <f t="shared" si="267"/>
        <v>8.3399999999999999</v>
      </c>
      <c r="H5724" s="22">
        <v>0</v>
      </c>
      <c r="I5724" s="23" t="str">
        <f t="shared" si="268"/>
        <v xml:space="preserve">COM VALOR</v>
      </c>
      <c r="J5724" s="19"/>
      <c r="L5724" s="21">
        <v>8.5899999999999999</v>
      </c>
      <c r="M5724" s="22">
        <v>0</v>
      </c>
      <c r="N5724" s="21">
        <v>8.3399999999999999</v>
      </c>
      <c r="O5724" s="22">
        <v>0</v>
      </c>
    </row>
    <row r="5725" ht="25.5">
      <c r="A5725" t="s">
        <v>5734</v>
      </c>
      <c r="B5725" s="19">
        <v>89413</v>
      </c>
      <c r="C5725" s="20" t="s">
        <v>5836</v>
      </c>
      <c r="D5725" s="19" t="s">
        <v>31</v>
      </c>
      <c r="E5725" s="21">
        <f t="shared" si="266"/>
        <v>12.529999999999999</v>
      </c>
      <c r="F5725" s="22">
        <v>0</v>
      </c>
      <c r="G5725" s="21">
        <f t="shared" si="267"/>
        <v>12.07</v>
      </c>
      <c r="H5725" s="22">
        <v>0</v>
      </c>
      <c r="I5725" s="23" t="str">
        <f t="shared" si="268"/>
        <v xml:space="preserve">COM VALOR</v>
      </c>
      <c r="J5725" s="19"/>
      <c r="L5725" s="21">
        <v>12.529999999999999</v>
      </c>
      <c r="M5725" s="22">
        <v>0</v>
      </c>
      <c r="N5725" s="21">
        <v>12.07</v>
      </c>
      <c r="O5725" s="22">
        <v>0</v>
      </c>
    </row>
    <row r="5726" ht="25.5">
      <c r="A5726" t="s">
        <v>5734</v>
      </c>
      <c r="B5726" s="19">
        <v>89367</v>
      </c>
      <c r="C5726" s="20" t="s">
        <v>5837</v>
      </c>
      <c r="D5726" s="19" t="s">
        <v>31</v>
      </c>
      <c r="E5726" s="21">
        <f t="shared" si="266"/>
        <v>13.52</v>
      </c>
      <c r="F5726" s="22">
        <v>0</v>
      </c>
      <c r="G5726" s="21">
        <f t="shared" si="267"/>
        <v>13</v>
      </c>
      <c r="H5726" s="22">
        <v>0</v>
      </c>
      <c r="I5726" s="23" t="str">
        <f t="shared" si="268"/>
        <v xml:space="preserve">COM VALOR</v>
      </c>
      <c r="J5726" s="19"/>
      <c r="L5726" s="21">
        <v>13.52</v>
      </c>
      <c r="M5726" s="22">
        <v>0</v>
      </c>
      <c r="N5726" s="21">
        <v>13</v>
      </c>
      <c r="O5726" s="22">
        <v>0</v>
      </c>
    </row>
    <row r="5727" ht="25.5">
      <c r="A5727" t="s">
        <v>5734</v>
      </c>
      <c r="B5727" s="19">
        <v>89497</v>
      </c>
      <c r="C5727" s="20" t="s">
        <v>5838</v>
      </c>
      <c r="D5727" s="19" t="s">
        <v>31</v>
      </c>
      <c r="E5727" s="21">
        <f t="shared" si="266"/>
        <v>13.619999999999999</v>
      </c>
      <c r="F5727" s="22">
        <v>0</v>
      </c>
      <c r="G5727" s="21">
        <f t="shared" si="267"/>
        <v>13.32</v>
      </c>
      <c r="H5727" s="22">
        <v>0</v>
      </c>
      <c r="I5727" s="23" t="str">
        <f t="shared" si="268"/>
        <v xml:space="preserve">COM VALOR</v>
      </c>
      <c r="J5727" s="19"/>
      <c r="L5727" s="21">
        <v>13.619999999999999</v>
      </c>
      <c r="M5727" s="22">
        <v>0</v>
      </c>
      <c r="N5727" s="21">
        <v>13.32</v>
      </c>
      <c r="O5727" s="22">
        <v>0</v>
      </c>
    </row>
    <row r="5728" ht="25.5">
      <c r="A5728" t="s">
        <v>5734</v>
      </c>
      <c r="B5728" s="19">
        <v>103980</v>
      </c>
      <c r="C5728" s="20" t="s">
        <v>5839</v>
      </c>
      <c r="D5728" s="19" t="s">
        <v>31</v>
      </c>
      <c r="E5728" s="21">
        <f t="shared" si="266"/>
        <v>18.140000000000001</v>
      </c>
      <c r="F5728" s="22">
        <v>0</v>
      </c>
      <c r="G5728" s="21">
        <f t="shared" si="267"/>
        <v>17.59</v>
      </c>
      <c r="H5728" s="22">
        <v>0</v>
      </c>
      <c r="I5728" s="23" t="str">
        <f t="shared" si="268"/>
        <v xml:space="preserve">COM VALOR</v>
      </c>
      <c r="J5728" s="19"/>
      <c r="L5728" s="21">
        <v>18.140000000000001</v>
      </c>
      <c r="M5728" s="22">
        <v>0</v>
      </c>
      <c r="N5728" s="21">
        <v>17.59</v>
      </c>
      <c r="O5728" s="22">
        <v>0</v>
      </c>
    </row>
    <row r="5729" ht="25.5">
      <c r="A5729" t="s">
        <v>5734</v>
      </c>
      <c r="B5729" s="19">
        <v>89501</v>
      </c>
      <c r="C5729" s="20" t="s">
        <v>5840</v>
      </c>
      <c r="D5729" s="19" t="s">
        <v>31</v>
      </c>
      <c r="E5729" s="21">
        <f t="shared" si="266"/>
        <v>14.880000000000001</v>
      </c>
      <c r="F5729" s="22">
        <v>0</v>
      </c>
      <c r="G5729" s="21">
        <f t="shared" si="267"/>
        <v>14.52</v>
      </c>
      <c r="H5729" s="22">
        <v>0</v>
      </c>
      <c r="I5729" s="23" t="str">
        <f t="shared" si="268"/>
        <v xml:space="preserve">COM VALOR</v>
      </c>
      <c r="J5729" s="19"/>
      <c r="L5729" s="21">
        <v>14.880000000000001</v>
      </c>
      <c r="M5729" s="22">
        <v>0</v>
      </c>
      <c r="N5729" s="21">
        <v>14.52</v>
      </c>
      <c r="O5729" s="22">
        <v>0</v>
      </c>
    </row>
    <row r="5730" ht="25.5">
      <c r="A5730" t="s">
        <v>5734</v>
      </c>
      <c r="B5730" s="19">
        <v>103984</v>
      </c>
      <c r="C5730" s="20" t="s">
        <v>5841</v>
      </c>
      <c r="D5730" s="19" t="s">
        <v>31</v>
      </c>
      <c r="E5730" s="21">
        <f t="shared" si="266"/>
        <v>20.18</v>
      </c>
      <c r="F5730" s="22">
        <v>0</v>
      </c>
      <c r="G5730" s="21">
        <f t="shared" si="267"/>
        <v>19.52</v>
      </c>
      <c r="H5730" s="22">
        <v>0</v>
      </c>
      <c r="I5730" s="23" t="str">
        <f t="shared" si="268"/>
        <v xml:space="preserve">COM VALOR</v>
      </c>
      <c r="J5730" s="19"/>
      <c r="L5730" s="21">
        <v>20.18</v>
      </c>
      <c r="M5730" s="22">
        <v>0</v>
      </c>
      <c r="N5730" s="21">
        <v>19.52</v>
      </c>
      <c r="O5730" s="22">
        <v>0</v>
      </c>
    </row>
    <row r="5731" ht="25.5">
      <c r="A5731" t="s">
        <v>5734</v>
      </c>
      <c r="B5731" s="19">
        <v>89505</v>
      </c>
      <c r="C5731" s="20" t="s">
        <v>5842</v>
      </c>
      <c r="D5731" s="19" t="s">
        <v>31</v>
      </c>
      <c r="E5731" s="21">
        <f t="shared" si="266"/>
        <v>42.130000000000003</v>
      </c>
      <c r="F5731" s="22">
        <v>0</v>
      </c>
      <c r="G5731" s="21">
        <f t="shared" si="267"/>
        <v>41.689999999999998</v>
      </c>
      <c r="H5731" s="22">
        <v>0</v>
      </c>
      <c r="I5731" s="23" t="str">
        <f t="shared" si="268"/>
        <v xml:space="preserve">COM VALOR</v>
      </c>
      <c r="J5731" s="19"/>
      <c r="L5731" s="21">
        <v>42.130000000000003</v>
      </c>
      <c r="M5731" s="22">
        <v>0</v>
      </c>
      <c r="N5731" s="21">
        <v>41.689999999999998</v>
      </c>
      <c r="O5731" s="22">
        <v>0</v>
      </c>
    </row>
    <row r="5732" ht="25.5">
      <c r="A5732" t="s">
        <v>5734</v>
      </c>
      <c r="B5732" s="19">
        <v>89513</v>
      </c>
      <c r="C5732" s="20" t="s">
        <v>5843</v>
      </c>
      <c r="D5732" s="19" t="s">
        <v>31</v>
      </c>
      <c r="E5732" s="21">
        <f t="shared" si="266"/>
        <v>104.81</v>
      </c>
      <c r="F5732" s="22">
        <v>0</v>
      </c>
      <c r="G5732" s="21">
        <f t="shared" si="267"/>
        <v>104.28</v>
      </c>
      <c r="H5732" s="22">
        <v>0</v>
      </c>
      <c r="I5732" s="23" t="str">
        <f t="shared" si="268"/>
        <v xml:space="preserve">COM VALOR</v>
      </c>
      <c r="J5732" s="19"/>
      <c r="L5732" s="21">
        <v>104.81</v>
      </c>
      <c r="M5732" s="22">
        <v>0</v>
      </c>
      <c r="N5732" s="21">
        <v>104.28</v>
      </c>
      <c r="O5732" s="22">
        <v>0</v>
      </c>
    </row>
    <row r="5733" ht="25.5">
      <c r="A5733" t="s">
        <v>5734</v>
      </c>
      <c r="B5733" s="19">
        <v>89521</v>
      </c>
      <c r="C5733" s="20" t="s">
        <v>5844</v>
      </c>
      <c r="D5733" s="19" t="s">
        <v>31</v>
      </c>
      <c r="E5733" s="21">
        <f t="shared" si="266"/>
        <v>124.97</v>
      </c>
      <c r="F5733" s="22">
        <v>0</v>
      </c>
      <c r="G5733" s="21">
        <f t="shared" si="267"/>
        <v>124.38</v>
      </c>
      <c r="H5733" s="22">
        <v>0</v>
      </c>
      <c r="I5733" s="23" t="str">
        <f t="shared" si="268"/>
        <v xml:space="preserve">COM VALOR</v>
      </c>
      <c r="J5733" s="19"/>
      <c r="L5733" s="21">
        <v>124.97</v>
      </c>
      <c r="M5733" s="22">
        <v>0</v>
      </c>
      <c r="N5733" s="21">
        <v>124.38</v>
      </c>
      <c r="O5733" s="22">
        <v>0</v>
      </c>
    </row>
    <row r="5734" ht="38.25">
      <c r="A5734" t="s">
        <v>5734</v>
      </c>
      <c r="B5734" s="19">
        <v>103955</v>
      </c>
      <c r="C5734" s="20" t="s">
        <v>5845</v>
      </c>
      <c r="D5734" s="19" t="s">
        <v>31</v>
      </c>
      <c r="E5734" s="21">
        <f t="shared" si="266"/>
        <v>10.42</v>
      </c>
      <c r="F5734" s="22">
        <v>0</v>
      </c>
      <c r="G5734" s="21">
        <f t="shared" si="267"/>
        <v>10.050000000000001</v>
      </c>
      <c r="H5734" s="22">
        <v>0</v>
      </c>
      <c r="I5734" s="23" t="str">
        <f t="shared" si="268"/>
        <v xml:space="preserve">COM VALOR</v>
      </c>
      <c r="J5734" s="19"/>
      <c r="L5734" s="21">
        <v>10.42</v>
      </c>
      <c r="M5734" s="22">
        <v>0</v>
      </c>
      <c r="N5734" s="21">
        <v>10.050000000000001</v>
      </c>
      <c r="O5734" s="22">
        <v>0</v>
      </c>
    </row>
    <row r="5735" ht="38.25">
      <c r="A5735" t="s">
        <v>5734</v>
      </c>
      <c r="B5735" s="19">
        <v>103950</v>
      </c>
      <c r="C5735" s="20" t="s">
        <v>5846</v>
      </c>
      <c r="D5735" s="19" t="s">
        <v>31</v>
      </c>
      <c r="E5735" s="21">
        <f t="shared" si="266"/>
        <v>11.19</v>
      </c>
      <c r="F5735" s="22">
        <v>0</v>
      </c>
      <c r="G5735" s="21">
        <f t="shared" si="267"/>
        <v>10.779999999999999</v>
      </c>
      <c r="H5735" s="22">
        <v>0</v>
      </c>
      <c r="I5735" s="23" t="str">
        <f t="shared" si="268"/>
        <v xml:space="preserve">COM VALOR</v>
      </c>
      <c r="J5735" s="19"/>
      <c r="L5735" s="21">
        <v>11.19</v>
      </c>
      <c r="M5735" s="22">
        <v>0</v>
      </c>
      <c r="N5735" s="21">
        <v>10.779999999999999</v>
      </c>
      <c r="O5735" s="22">
        <v>0</v>
      </c>
    </row>
    <row r="5736" ht="38.25">
      <c r="A5736" t="s">
        <v>5734</v>
      </c>
      <c r="B5736" s="19">
        <v>103974</v>
      </c>
      <c r="C5736" s="20" t="s">
        <v>5847</v>
      </c>
      <c r="D5736" s="19" t="s">
        <v>31</v>
      </c>
      <c r="E5736" s="21">
        <f t="shared" si="266"/>
        <v>10.84</v>
      </c>
      <c r="F5736" s="22">
        <v>0</v>
      </c>
      <c r="G5736" s="21">
        <f t="shared" si="267"/>
        <v>10.619999999999999</v>
      </c>
      <c r="H5736" s="22">
        <v>0</v>
      </c>
      <c r="I5736" s="23" t="str">
        <f t="shared" si="268"/>
        <v xml:space="preserve">COM VALOR</v>
      </c>
      <c r="J5736" s="19"/>
      <c r="L5736" s="21">
        <v>10.84</v>
      </c>
      <c r="M5736" s="22">
        <v>0</v>
      </c>
      <c r="N5736" s="21">
        <v>10.619999999999999</v>
      </c>
      <c r="O5736" s="22">
        <v>0</v>
      </c>
    </row>
    <row r="5737" ht="38.25">
      <c r="A5737" t="s">
        <v>5734</v>
      </c>
      <c r="B5737" s="19">
        <v>103956</v>
      </c>
      <c r="C5737" s="20" t="s">
        <v>5848</v>
      </c>
      <c r="D5737" s="19" t="s">
        <v>31</v>
      </c>
      <c r="E5737" s="21">
        <f t="shared" si="266"/>
        <v>14.5</v>
      </c>
      <c r="F5737" s="22">
        <v>0</v>
      </c>
      <c r="G5737" s="21">
        <f t="shared" si="267"/>
        <v>14.07</v>
      </c>
      <c r="H5737" s="22">
        <v>0</v>
      </c>
      <c r="I5737" s="23" t="str">
        <f t="shared" si="268"/>
        <v xml:space="preserve">COM VALOR</v>
      </c>
      <c r="J5737" s="19"/>
      <c r="L5737" s="21">
        <v>14.5</v>
      </c>
      <c r="M5737" s="22">
        <v>0</v>
      </c>
      <c r="N5737" s="21">
        <v>14.07</v>
      </c>
      <c r="O5737" s="22">
        <v>0</v>
      </c>
    </row>
    <row r="5738" ht="38.25">
      <c r="A5738" t="s">
        <v>5734</v>
      </c>
      <c r="B5738" s="19">
        <v>103951</v>
      </c>
      <c r="C5738" s="20" t="s">
        <v>5849</v>
      </c>
      <c r="D5738" s="19" t="s">
        <v>31</v>
      </c>
      <c r="E5738" s="21">
        <f t="shared" si="266"/>
        <v>15.42</v>
      </c>
      <c r="F5738" s="22">
        <v>0</v>
      </c>
      <c r="G5738" s="21">
        <f t="shared" si="267"/>
        <v>14.94</v>
      </c>
      <c r="H5738" s="22">
        <v>0</v>
      </c>
      <c r="I5738" s="23" t="str">
        <f t="shared" si="268"/>
        <v xml:space="preserve">COM VALOR</v>
      </c>
      <c r="J5738" s="19"/>
      <c r="L5738" s="21">
        <v>15.42</v>
      </c>
      <c r="M5738" s="22">
        <v>0</v>
      </c>
      <c r="N5738" s="21">
        <v>14.94</v>
      </c>
      <c r="O5738" s="22">
        <v>0</v>
      </c>
    </row>
    <row r="5739" ht="38.25">
      <c r="A5739" t="s">
        <v>5734</v>
      </c>
      <c r="B5739" s="19">
        <v>89374</v>
      </c>
      <c r="C5739" s="20" t="s">
        <v>5850</v>
      </c>
      <c r="D5739" s="19" t="s">
        <v>31</v>
      </c>
      <c r="E5739" s="21">
        <f t="shared" si="266"/>
        <v>10.43</v>
      </c>
      <c r="F5739" s="22">
        <v>0</v>
      </c>
      <c r="G5739" s="21">
        <f t="shared" si="267"/>
        <v>10.19</v>
      </c>
      <c r="H5739" s="22">
        <v>0</v>
      </c>
      <c r="I5739" s="23" t="str">
        <f t="shared" si="268"/>
        <v xml:space="preserve">COM VALOR</v>
      </c>
      <c r="J5739" s="19"/>
      <c r="L5739" s="21">
        <v>10.43</v>
      </c>
      <c r="M5739" s="22">
        <v>0</v>
      </c>
      <c r="N5739" s="21">
        <v>10.19</v>
      </c>
      <c r="O5739" s="22">
        <v>0</v>
      </c>
    </row>
    <row r="5740" ht="38.25">
      <c r="A5740" t="s">
        <v>5734</v>
      </c>
      <c r="B5740" s="19">
        <v>89427</v>
      </c>
      <c r="C5740" s="20" t="s">
        <v>5851</v>
      </c>
      <c r="D5740" s="19" t="s">
        <v>31</v>
      </c>
      <c r="E5740" s="21">
        <f t="shared" si="266"/>
        <v>12.27</v>
      </c>
      <c r="F5740" s="22">
        <v>0</v>
      </c>
      <c r="G5740" s="21">
        <f t="shared" si="267"/>
        <v>12.029999999999999</v>
      </c>
      <c r="H5740" s="22">
        <v>0</v>
      </c>
      <c r="I5740" s="23" t="str">
        <f t="shared" si="268"/>
        <v xml:space="preserve">COM VALOR</v>
      </c>
      <c r="J5740" s="19"/>
      <c r="L5740" s="21">
        <v>12.27</v>
      </c>
      <c r="M5740" s="22">
        <v>0</v>
      </c>
      <c r="N5740" s="21">
        <v>12.029999999999999</v>
      </c>
      <c r="O5740" s="22">
        <v>0</v>
      </c>
    </row>
    <row r="5741" ht="38.25">
      <c r="A5741" t="s">
        <v>5734</v>
      </c>
      <c r="B5741" s="19">
        <v>89381</v>
      </c>
      <c r="C5741" s="20" t="s">
        <v>5852</v>
      </c>
      <c r="D5741" s="19" t="s">
        <v>31</v>
      </c>
      <c r="E5741" s="21">
        <f t="shared" si="266"/>
        <v>12.789999999999999</v>
      </c>
      <c r="F5741" s="22">
        <v>0</v>
      </c>
      <c r="G5741" s="21">
        <f t="shared" si="267"/>
        <v>12.52</v>
      </c>
      <c r="H5741" s="22">
        <v>0</v>
      </c>
      <c r="I5741" s="23" t="str">
        <f t="shared" si="268"/>
        <v xml:space="preserve">COM VALOR</v>
      </c>
      <c r="J5741" s="19"/>
      <c r="L5741" s="21">
        <v>12.789999999999999</v>
      </c>
      <c r="M5741" s="22">
        <v>0</v>
      </c>
      <c r="N5741" s="21">
        <v>12.52</v>
      </c>
      <c r="O5741" s="22">
        <v>0</v>
      </c>
    </row>
    <row r="5742" ht="38.25">
      <c r="A5742" t="s">
        <v>5734</v>
      </c>
      <c r="B5742" s="19">
        <v>95237</v>
      </c>
      <c r="C5742" s="20" t="s">
        <v>5853</v>
      </c>
      <c r="D5742" s="19" t="s">
        <v>31</v>
      </c>
      <c r="E5742" s="21">
        <f t="shared" si="266"/>
        <v>24.690000000000001</v>
      </c>
      <c r="F5742" s="22">
        <v>0</v>
      </c>
      <c r="G5742" s="21">
        <f t="shared" si="267"/>
        <v>24.399999999999999</v>
      </c>
      <c r="H5742" s="22">
        <v>0</v>
      </c>
      <c r="I5742" s="23" t="str">
        <f t="shared" si="268"/>
        <v xml:space="preserve">COM VALOR</v>
      </c>
      <c r="J5742" s="19"/>
      <c r="L5742" s="21">
        <v>24.690000000000001</v>
      </c>
      <c r="M5742" s="22">
        <v>0</v>
      </c>
      <c r="N5742" s="21">
        <v>24.399999999999999</v>
      </c>
      <c r="O5742" s="22">
        <v>0</v>
      </c>
    </row>
    <row r="5743" ht="38.25">
      <c r="A5743" t="s">
        <v>5734</v>
      </c>
      <c r="B5743" s="19">
        <v>89979</v>
      </c>
      <c r="C5743" s="20" t="s">
        <v>5854</v>
      </c>
      <c r="D5743" s="19" t="s">
        <v>31</v>
      </c>
      <c r="E5743" s="21">
        <f t="shared" si="266"/>
        <v>25.309999999999999</v>
      </c>
      <c r="F5743" s="22">
        <v>0</v>
      </c>
      <c r="G5743" s="21">
        <f t="shared" si="267"/>
        <v>24.989999999999998</v>
      </c>
      <c r="H5743" s="22">
        <v>0</v>
      </c>
      <c r="I5743" s="23" t="str">
        <f t="shared" si="268"/>
        <v xml:space="preserve">COM VALOR</v>
      </c>
      <c r="J5743" s="19"/>
      <c r="L5743" s="21">
        <v>25.309999999999999</v>
      </c>
      <c r="M5743" s="22">
        <v>0</v>
      </c>
      <c r="N5743" s="21">
        <v>24.989999999999998</v>
      </c>
      <c r="O5743" s="22">
        <v>0</v>
      </c>
    </row>
    <row r="5744" ht="38.25">
      <c r="A5744" t="s">
        <v>5734</v>
      </c>
      <c r="B5744" s="19">
        <v>103991</v>
      </c>
      <c r="C5744" s="20" t="s">
        <v>5855</v>
      </c>
      <c r="D5744" s="19" t="s">
        <v>31</v>
      </c>
      <c r="E5744" s="21">
        <f t="shared" si="266"/>
        <v>18.75</v>
      </c>
      <c r="F5744" s="22">
        <v>0</v>
      </c>
      <c r="G5744" s="21">
        <f t="shared" si="267"/>
        <v>18.41</v>
      </c>
      <c r="H5744" s="22">
        <v>0</v>
      </c>
      <c r="I5744" s="23" t="str">
        <f t="shared" si="268"/>
        <v xml:space="preserve">COM VALOR</v>
      </c>
      <c r="J5744" s="19"/>
      <c r="L5744" s="21">
        <v>18.75</v>
      </c>
      <c r="M5744" s="22">
        <v>0</v>
      </c>
      <c r="N5744" s="21">
        <v>18.41</v>
      </c>
      <c r="O5744" s="22">
        <v>0</v>
      </c>
    </row>
    <row r="5745" ht="25.5">
      <c r="A5745" t="s">
        <v>5734</v>
      </c>
      <c r="B5745" s="19">
        <v>89564</v>
      </c>
      <c r="C5745" s="20" t="s">
        <v>5856</v>
      </c>
      <c r="D5745" s="19" t="s">
        <v>31</v>
      </c>
      <c r="E5745" s="21">
        <f t="shared" si="266"/>
        <v>15.9</v>
      </c>
      <c r="F5745" s="22">
        <v>0</v>
      </c>
      <c r="G5745" s="21">
        <f t="shared" si="267"/>
        <v>15.720000000000001</v>
      </c>
      <c r="H5745" s="22">
        <v>0</v>
      </c>
      <c r="I5745" s="23" t="str">
        <f t="shared" si="268"/>
        <v xml:space="preserve">COM VALOR</v>
      </c>
      <c r="J5745" s="19"/>
      <c r="L5745" s="21">
        <v>15.9</v>
      </c>
      <c r="M5745" s="22">
        <v>0</v>
      </c>
      <c r="N5745" s="21">
        <v>15.720000000000001</v>
      </c>
      <c r="O5745" s="22">
        <v>0</v>
      </c>
    </row>
    <row r="5746" ht="38.25">
      <c r="A5746" t="s">
        <v>5734</v>
      </c>
      <c r="B5746" s="19">
        <v>104000</v>
      </c>
      <c r="C5746" s="20" t="s">
        <v>5857</v>
      </c>
      <c r="D5746" s="19" t="s">
        <v>31</v>
      </c>
      <c r="E5746" s="21">
        <f t="shared" si="266"/>
        <v>28.640000000000001</v>
      </c>
      <c r="F5746" s="22">
        <v>0</v>
      </c>
      <c r="G5746" s="21">
        <f t="shared" si="267"/>
        <v>28.260000000000002</v>
      </c>
      <c r="H5746" s="22">
        <v>0</v>
      </c>
      <c r="I5746" s="23" t="str">
        <f t="shared" si="268"/>
        <v xml:space="preserve">COM VALOR</v>
      </c>
      <c r="J5746" s="19"/>
      <c r="L5746" s="21">
        <v>28.640000000000001</v>
      </c>
      <c r="M5746" s="22">
        <v>0</v>
      </c>
      <c r="N5746" s="21">
        <v>28.260000000000002</v>
      </c>
      <c r="O5746" s="22">
        <v>0</v>
      </c>
    </row>
    <row r="5747" ht="25.5">
      <c r="A5747" t="s">
        <v>5734</v>
      </c>
      <c r="B5747" s="19">
        <v>89593</v>
      </c>
      <c r="C5747" s="20" t="s">
        <v>5858</v>
      </c>
      <c r="D5747" s="19" t="s">
        <v>31</v>
      </c>
      <c r="E5747" s="21">
        <f t="shared" si="266"/>
        <v>25.23</v>
      </c>
      <c r="F5747" s="22">
        <v>0</v>
      </c>
      <c r="G5747" s="21">
        <f t="shared" si="267"/>
        <v>25.02</v>
      </c>
      <c r="H5747" s="22">
        <v>0</v>
      </c>
      <c r="I5747" s="23" t="str">
        <f t="shared" si="268"/>
        <v xml:space="preserve">COM VALOR</v>
      </c>
      <c r="J5747" s="19"/>
      <c r="L5747" s="21">
        <v>25.23</v>
      </c>
      <c r="M5747" s="22">
        <v>0</v>
      </c>
      <c r="N5747" s="21">
        <v>25.02</v>
      </c>
      <c r="O5747" s="22">
        <v>0</v>
      </c>
    </row>
    <row r="5748" ht="25.5">
      <c r="A5748" t="s">
        <v>5734</v>
      </c>
      <c r="B5748" s="19">
        <v>89418</v>
      </c>
      <c r="C5748" s="20" t="s">
        <v>5859</v>
      </c>
      <c r="D5748" s="19" t="s">
        <v>31</v>
      </c>
      <c r="E5748" s="21">
        <f t="shared" si="266"/>
        <v>15.960000000000001</v>
      </c>
      <c r="F5748" s="22">
        <v>0</v>
      </c>
      <c r="G5748" s="21">
        <f t="shared" si="267"/>
        <v>15.73</v>
      </c>
      <c r="H5748" s="22">
        <v>0</v>
      </c>
      <c r="I5748" s="23" t="str">
        <f t="shared" si="268"/>
        <v xml:space="preserve">COM VALOR</v>
      </c>
      <c r="J5748" s="19"/>
      <c r="L5748" s="21">
        <v>15.960000000000001</v>
      </c>
      <c r="M5748" s="22">
        <v>0</v>
      </c>
      <c r="N5748" s="21">
        <v>15.73</v>
      </c>
      <c r="O5748" s="22">
        <v>0</v>
      </c>
    </row>
    <row r="5749" ht="25.5">
      <c r="A5749" t="s">
        <v>5734</v>
      </c>
      <c r="B5749" s="19">
        <v>89372</v>
      </c>
      <c r="C5749" s="20" t="s">
        <v>5860</v>
      </c>
      <c r="D5749" s="19" t="s">
        <v>31</v>
      </c>
      <c r="E5749" s="21">
        <f t="shared" si="266"/>
        <v>16.440000000000001</v>
      </c>
      <c r="F5749" s="22">
        <v>0</v>
      </c>
      <c r="G5749" s="21">
        <f t="shared" si="267"/>
        <v>16.190000000000001</v>
      </c>
      <c r="H5749" s="22">
        <v>0</v>
      </c>
      <c r="I5749" s="23" t="str">
        <f t="shared" si="268"/>
        <v xml:space="preserve">COM VALOR</v>
      </c>
      <c r="J5749" s="19"/>
      <c r="L5749" s="21">
        <v>16.440000000000001</v>
      </c>
      <c r="M5749" s="22">
        <v>0</v>
      </c>
      <c r="N5749" s="21">
        <v>16.190000000000001</v>
      </c>
      <c r="O5749" s="22">
        <v>0</v>
      </c>
    </row>
    <row r="5750" ht="25.5">
      <c r="A5750" t="s">
        <v>5734</v>
      </c>
      <c r="B5750" s="19">
        <v>89530</v>
      </c>
      <c r="C5750" s="20" t="s">
        <v>5861</v>
      </c>
      <c r="D5750" s="19" t="s">
        <v>31</v>
      </c>
      <c r="E5750" s="21">
        <f t="shared" si="266"/>
        <v>16.52</v>
      </c>
      <c r="F5750" s="22">
        <v>0</v>
      </c>
      <c r="G5750" s="21">
        <f t="shared" si="267"/>
        <v>16.379999999999999</v>
      </c>
      <c r="H5750" s="22">
        <v>0</v>
      </c>
      <c r="I5750" s="23" t="str">
        <f t="shared" si="268"/>
        <v xml:space="preserve">COM VALOR</v>
      </c>
      <c r="J5750" s="19"/>
      <c r="L5750" s="21">
        <v>16.52</v>
      </c>
      <c r="M5750" s="22">
        <v>0</v>
      </c>
      <c r="N5750" s="21">
        <v>16.379999999999999</v>
      </c>
      <c r="O5750" s="22">
        <v>0</v>
      </c>
    </row>
    <row r="5751" ht="25.5">
      <c r="A5751" t="s">
        <v>5734</v>
      </c>
      <c r="B5751" s="19">
        <v>89425</v>
      </c>
      <c r="C5751" s="20" t="s">
        <v>5862</v>
      </c>
      <c r="D5751" s="19" t="s">
        <v>31</v>
      </c>
      <c r="E5751" s="21">
        <f t="shared" si="266"/>
        <v>18.789999999999999</v>
      </c>
      <c r="F5751" s="22">
        <v>0</v>
      </c>
      <c r="G5751" s="21">
        <f t="shared" si="267"/>
        <v>18.52</v>
      </c>
      <c r="H5751" s="22">
        <v>0</v>
      </c>
      <c r="I5751" s="23" t="str">
        <f t="shared" si="268"/>
        <v xml:space="preserve">COM VALOR</v>
      </c>
      <c r="J5751" s="19"/>
      <c r="L5751" s="21">
        <v>18.789999999999999</v>
      </c>
      <c r="M5751" s="22">
        <v>0</v>
      </c>
      <c r="N5751" s="21">
        <v>18.52</v>
      </c>
      <c r="O5751" s="22">
        <v>0</v>
      </c>
    </row>
    <row r="5752" ht="25.5">
      <c r="A5752" t="s">
        <v>5734</v>
      </c>
      <c r="B5752" s="19">
        <v>89379</v>
      </c>
      <c r="C5752" s="20" t="s">
        <v>5863</v>
      </c>
      <c r="D5752" s="19" t="s">
        <v>31</v>
      </c>
      <c r="E5752" s="21">
        <f t="shared" si="266"/>
        <v>19.34</v>
      </c>
      <c r="F5752" s="22">
        <v>0</v>
      </c>
      <c r="G5752" s="21">
        <f t="shared" si="267"/>
        <v>19.050000000000001</v>
      </c>
      <c r="H5752" s="22">
        <v>0</v>
      </c>
      <c r="I5752" s="23" t="str">
        <f t="shared" si="268"/>
        <v xml:space="preserve">COM VALOR</v>
      </c>
      <c r="J5752" s="19"/>
      <c r="L5752" s="21">
        <v>19.34</v>
      </c>
      <c r="M5752" s="22">
        <v>0</v>
      </c>
      <c r="N5752" s="21">
        <v>19.050000000000001</v>
      </c>
      <c r="O5752" s="22">
        <v>0</v>
      </c>
    </row>
    <row r="5753" ht="25.5">
      <c r="A5753" t="s">
        <v>5734</v>
      </c>
      <c r="B5753" s="19">
        <v>89542</v>
      </c>
      <c r="C5753" s="20" t="s">
        <v>5864</v>
      </c>
      <c r="D5753" s="19" t="s">
        <v>31</v>
      </c>
      <c r="E5753" s="21">
        <f t="shared" si="266"/>
        <v>27.460000000000001</v>
      </c>
      <c r="F5753" s="22">
        <v>0</v>
      </c>
      <c r="G5753" s="21">
        <f t="shared" si="267"/>
        <v>27.300000000000001</v>
      </c>
      <c r="H5753" s="22">
        <v>0</v>
      </c>
      <c r="I5753" s="23" t="str">
        <f t="shared" si="268"/>
        <v xml:space="preserve">COM VALOR</v>
      </c>
      <c r="J5753" s="19"/>
      <c r="L5753" s="21">
        <v>27.460000000000001</v>
      </c>
      <c r="M5753" s="22">
        <v>0</v>
      </c>
      <c r="N5753" s="21">
        <v>27.300000000000001</v>
      </c>
      <c r="O5753" s="22">
        <v>0</v>
      </c>
    </row>
    <row r="5754" ht="25.5">
      <c r="A5754" t="s">
        <v>5734</v>
      </c>
      <c r="B5754" s="19">
        <v>89432</v>
      </c>
      <c r="C5754" s="20" t="s">
        <v>5865</v>
      </c>
      <c r="D5754" s="19" t="s">
        <v>31</v>
      </c>
      <c r="E5754" s="21">
        <f t="shared" si="266"/>
        <v>30.09</v>
      </c>
      <c r="F5754" s="22">
        <v>0</v>
      </c>
      <c r="G5754" s="21">
        <f t="shared" si="267"/>
        <v>29.780000000000001</v>
      </c>
      <c r="H5754" s="22">
        <v>0</v>
      </c>
      <c r="I5754" s="23" t="str">
        <f t="shared" si="268"/>
        <v xml:space="preserve">COM VALOR</v>
      </c>
      <c r="J5754" s="19"/>
      <c r="L5754" s="21">
        <v>30.09</v>
      </c>
      <c r="M5754" s="22">
        <v>0</v>
      </c>
      <c r="N5754" s="21">
        <v>29.780000000000001</v>
      </c>
      <c r="O5754" s="22">
        <v>0</v>
      </c>
    </row>
    <row r="5755" ht="25.5">
      <c r="A5755" t="s">
        <v>5734</v>
      </c>
      <c r="B5755" s="19">
        <v>89387</v>
      </c>
      <c r="C5755" s="20" t="s">
        <v>5866</v>
      </c>
      <c r="D5755" s="19" t="s">
        <v>31</v>
      </c>
      <c r="E5755" s="21">
        <f t="shared" si="266"/>
        <v>30.760000000000002</v>
      </c>
      <c r="F5755" s="22">
        <v>0</v>
      </c>
      <c r="G5755" s="21">
        <f t="shared" si="267"/>
        <v>30.41</v>
      </c>
      <c r="H5755" s="22">
        <v>0</v>
      </c>
      <c r="I5755" s="23" t="str">
        <f t="shared" si="268"/>
        <v xml:space="preserve">COM VALOR</v>
      </c>
      <c r="J5755" s="19"/>
      <c r="L5755" s="21">
        <v>30.760000000000002</v>
      </c>
      <c r="M5755" s="22">
        <v>0</v>
      </c>
      <c r="N5755" s="21">
        <v>30.41</v>
      </c>
      <c r="O5755" s="22">
        <v>0</v>
      </c>
    </row>
    <row r="5756" ht="25.5">
      <c r="A5756" t="s">
        <v>5734</v>
      </c>
      <c r="B5756" s="19">
        <v>89560</v>
      </c>
      <c r="C5756" s="20" t="s">
        <v>5867</v>
      </c>
      <c r="D5756" s="19" t="s">
        <v>31</v>
      </c>
      <c r="E5756" s="21">
        <f t="shared" si="266"/>
        <v>35.210000000000001</v>
      </c>
      <c r="F5756" s="22">
        <v>0</v>
      </c>
      <c r="G5756" s="21">
        <f t="shared" si="267"/>
        <v>35</v>
      </c>
      <c r="H5756" s="22">
        <v>0</v>
      </c>
      <c r="I5756" s="23" t="str">
        <f t="shared" si="268"/>
        <v xml:space="preserve">COM VALOR</v>
      </c>
      <c r="J5756" s="19"/>
      <c r="L5756" s="21">
        <v>35.210000000000001</v>
      </c>
      <c r="M5756" s="22">
        <v>0</v>
      </c>
      <c r="N5756" s="21">
        <v>35</v>
      </c>
      <c r="O5756" s="22">
        <v>0</v>
      </c>
    </row>
    <row r="5757" ht="25.5">
      <c r="A5757" t="s">
        <v>5734</v>
      </c>
      <c r="B5757" s="19">
        <v>104159</v>
      </c>
      <c r="C5757" s="20" t="s">
        <v>5868</v>
      </c>
      <c r="D5757" s="19" t="s">
        <v>31</v>
      </c>
      <c r="E5757" s="21">
        <f t="shared" si="266"/>
        <v>38.270000000000003</v>
      </c>
      <c r="F5757" s="22">
        <v>0</v>
      </c>
      <c r="G5757" s="21">
        <f t="shared" si="267"/>
        <v>37.899999999999999</v>
      </c>
      <c r="H5757" s="22">
        <v>0</v>
      </c>
      <c r="I5757" s="23" t="str">
        <f t="shared" si="268"/>
        <v xml:space="preserve">COM VALOR</v>
      </c>
      <c r="J5757" s="19"/>
      <c r="L5757" s="21">
        <v>38.270000000000003</v>
      </c>
      <c r="M5757" s="22">
        <v>0</v>
      </c>
      <c r="N5757" s="21">
        <v>37.899999999999999</v>
      </c>
      <c r="O5757" s="22">
        <v>0</v>
      </c>
    </row>
    <row r="5758" ht="25.5">
      <c r="A5758" t="s">
        <v>5734</v>
      </c>
      <c r="B5758" s="19">
        <v>89577</v>
      </c>
      <c r="C5758" s="20" t="s">
        <v>5869</v>
      </c>
      <c r="D5758" s="19" t="s">
        <v>31</v>
      </c>
      <c r="E5758" s="21">
        <f t="shared" si="266"/>
        <v>37.289999999999999</v>
      </c>
      <c r="F5758" s="22">
        <v>0</v>
      </c>
      <c r="G5758" s="21">
        <f t="shared" si="267"/>
        <v>37.060000000000002</v>
      </c>
      <c r="H5758" s="22">
        <v>0</v>
      </c>
      <c r="I5758" s="23" t="str">
        <f t="shared" si="268"/>
        <v xml:space="preserve">COM VALOR</v>
      </c>
      <c r="J5758" s="19"/>
      <c r="L5758" s="21">
        <v>37.289999999999999</v>
      </c>
      <c r="M5758" s="22">
        <v>0</v>
      </c>
      <c r="N5758" s="21">
        <v>37.060000000000002</v>
      </c>
      <c r="O5758" s="22">
        <v>0</v>
      </c>
    </row>
    <row r="5759" ht="25.5">
      <c r="A5759" t="s">
        <v>5734</v>
      </c>
      <c r="B5759" s="19">
        <v>103996</v>
      </c>
      <c r="C5759" s="20" t="s">
        <v>5870</v>
      </c>
      <c r="D5759" s="19" t="s">
        <v>31</v>
      </c>
      <c r="E5759" s="21">
        <f t="shared" si="266"/>
        <v>40.859999999999999</v>
      </c>
      <c r="F5759" s="22">
        <v>0</v>
      </c>
      <c r="G5759" s="21">
        <f t="shared" si="267"/>
        <v>40.43</v>
      </c>
      <c r="H5759" s="22">
        <v>0</v>
      </c>
      <c r="I5759" s="23" t="str">
        <f t="shared" si="268"/>
        <v xml:space="preserve">COM VALOR</v>
      </c>
      <c r="J5759" s="19"/>
      <c r="L5759" s="21">
        <v>40.859999999999999</v>
      </c>
      <c r="M5759" s="22">
        <v>0</v>
      </c>
      <c r="N5759" s="21">
        <v>40.43</v>
      </c>
      <c r="O5759" s="22">
        <v>0</v>
      </c>
    </row>
    <row r="5760" ht="25.5">
      <c r="A5760" t="s">
        <v>5734</v>
      </c>
      <c r="B5760" s="19">
        <v>89598</v>
      </c>
      <c r="C5760" s="20" t="s">
        <v>5871</v>
      </c>
      <c r="D5760" s="19" t="s">
        <v>31</v>
      </c>
      <c r="E5760" s="21">
        <f t="shared" si="266"/>
        <v>50.299999999999997</v>
      </c>
      <c r="F5760" s="22">
        <v>0</v>
      </c>
      <c r="G5760" s="21">
        <f t="shared" si="267"/>
        <v>50.020000000000003</v>
      </c>
      <c r="H5760" s="22">
        <v>0</v>
      </c>
      <c r="I5760" s="23" t="str">
        <f t="shared" si="268"/>
        <v xml:space="preserve">COM VALOR</v>
      </c>
      <c r="J5760" s="19"/>
      <c r="L5760" s="21">
        <v>50.299999999999997</v>
      </c>
      <c r="M5760" s="22">
        <v>0</v>
      </c>
      <c r="N5760" s="21">
        <v>50.020000000000003</v>
      </c>
      <c r="O5760" s="22">
        <v>0</v>
      </c>
    </row>
    <row r="5761" ht="38.25">
      <c r="A5761" t="s">
        <v>5734</v>
      </c>
      <c r="B5761" s="19">
        <v>89419</v>
      </c>
      <c r="C5761" s="20" t="s">
        <v>5872</v>
      </c>
      <c r="D5761" s="19" t="s">
        <v>31</v>
      </c>
      <c r="E5761" s="21">
        <f t="shared" si="266"/>
        <v>6.8799999999999999</v>
      </c>
      <c r="F5761" s="22">
        <v>0</v>
      </c>
      <c r="G5761" s="21">
        <f t="shared" si="267"/>
        <v>6.6399999999999997</v>
      </c>
      <c r="H5761" s="22">
        <v>0</v>
      </c>
      <c r="I5761" s="23" t="str">
        <f t="shared" si="268"/>
        <v xml:space="preserve">COM VALOR</v>
      </c>
      <c r="J5761" s="19"/>
      <c r="L5761" s="21">
        <v>6.8799999999999999</v>
      </c>
      <c r="M5761" s="22">
        <v>0</v>
      </c>
      <c r="N5761" s="21">
        <v>6.6399999999999997</v>
      </c>
      <c r="O5761" s="22">
        <v>0</v>
      </c>
    </row>
    <row r="5762" ht="38.25">
      <c r="A5762" t="s">
        <v>5734</v>
      </c>
      <c r="B5762" s="19">
        <v>89373</v>
      </c>
      <c r="C5762" s="20" t="s">
        <v>5873</v>
      </c>
      <c r="D5762" s="19" t="s">
        <v>31</v>
      </c>
      <c r="E5762" s="21">
        <f t="shared" si="266"/>
        <v>7.4000000000000004</v>
      </c>
      <c r="F5762" s="22">
        <v>0</v>
      </c>
      <c r="G5762" s="21">
        <f t="shared" si="267"/>
        <v>7.1299999999999999</v>
      </c>
      <c r="H5762" s="22">
        <v>0</v>
      </c>
      <c r="I5762" s="23" t="str">
        <f t="shared" si="268"/>
        <v xml:space="preserve">COM VALOR</v>
      </c>
      <c r="J5762" s="19"/>
      <c r="L5762" s="21">
        <v>7.4000000000000004</v>
      </c>
      <c r="M5762" s="22">
        <v>0</v>
      </c>
      <c r="N5762" s="21">
        <v>7.1299999999999999</v>
      </c>
      <c r="O5762" s="22">
        <v>0</v>
      </c>
    </row>
    <row r="5763" ht="25.5">
      <c r="A5763" t="s">
        <v>5734</v>
      </c>
      <c r="B5763" s="19">
        <v>89532</v>
      </c>
      <c r="C5763" s="20" t="s">
        <v>5874</v>
      </c>
      <c r="D5763" s="19" t="s">
        <v>31</v>
      </c>
      <c r="E5763" s="21">
        <f t="shared" si="266"/>
        <v>7.3700000000000001</v>
      </c>
      <c r="F5763" s="22">
        <v>0</v>
      </c>
      <c r="G5763" s="21">
        <f t="shared" si="267"/>
        <v>7.2199999999999998</v>
      </c>
      <c r="H5763" s="22">
        <v>0</v>
      </c>
      <c r="I5763" s="23" t="str">
        <f t="shared" si="268"/>
        <v xml:space="preserve">COM VALOR</v>
      </c>
      <c r="J5763" s="19"/>
      <c r="L5763" s="21">
        <v>7.3700000000000001</v>
      </c>
      <c r="M5763" s="22">
        <v>0</v>
      </c>
      <c r="N5763" s="21">
        <v>7.2199999999999998</v>
      </c>
      <c r="O5763" s="22">
        <v>0</v>
      </c>
    </row>
    <row r="5764" ht="38.25">
      <c r="A5764" t="s">
        <v>5734</v>
      </c>
      <c r="B5764" s="19">
        <v>89426</v>
      </c>
      <c r="C5764" s="20" t="s">
        <v>5875</v>
      </c>
      <c r="D5764" s="19" t="s">
        <v>31</v>
      </c>
      <c r="E5764" s="21">
        <f t="shared" si="266"/>
        <v>9.8200000000000003</v>
      </c>
      <c r="F5764" s="22">
        <v>0</v>
      </c>
      <c r="G5764" s="21">
        <f t="shared" si="267"/>
        <v>9.5299999999999994</v>
      </c>
      <c r="H5764" s="22">
        <v>0</v>
      </c>
      <c r="I5764" s="23" t="str">
        <f t="shared" si="268"/>
        <v xml:space="preserve">COM VALOR</v>
      </c>
      <c r="J5764" s="19"/>
      <c r="L5764" s="21">
        <v>9.8200000000000003</v>
      </c>
      <c r="M5764" s="22">
        <v>0</v>
      </c>
      <c r="N5764" s="21">
        <v>9.5299999999999994</v>
      </c>
      <c r="O5764" s="22">
        <v>0</v>
      </c>
    </row>
    <row r="5765" ht="38.25">
      <c r="A5765" t="s">
        <v>5734</v>
      </c>
      <c r="B5765" s="19">
        <v>89380</v>
      </c>
      <c r="C5765" s="20" t="s">
        <v>5876</v>
      </c>
      <c r="D5765" s="19" t="s">
        <v>31</v>
      </c>
      <c r="E5765" s="21">
        <f t="shared" si="266"/>
        <v>10.44</v>
      </c>
      <c r="F5765" s="22">
        <v>0</v>
      </c>
      <c r="G5765" s="21">
        <f t="shared" si="267"/>
        <v>10.119999999999999</v>
      </c>
      <c r="H5765" s="22">
        <v>0</v>
      </c>
      <c r="I5765" s="23" t="str">
        <f t="shared" si="268"/>
        <v xml:space="preserve">COM VALOR</v>
      </c>
      <c r="J5765" s="19"/>
      <c r="L5765" s="21">
        <v>10.44</v>
      </c>
      <c r="M5765" s="22">
        <v>0</v>
      </c>
      <c r="N5765" s="21">
        <v>10.119999999999999</v>
      </c>
      <c r="O5765" s="22">
        <v>0</v>
      </c>
    </row>
    <row r="5766" ht="25.5">
      <c r="A5766" t="s">
        <v>5734</v>
      </c>
      <c r="B5766" s="19">
        <v>89562</v>
      </c>
      <c r="C5766" s="20" t="s">
        <v>5877</v>
      </c>
      <c r="D5766" s="19" t="s">
        <v>31</v>
      </c>
      <c r="E5766" s="21">
        <f t="shared" si="266"/>
        <v>10.66</v>
      </c>
      <c r="F5766" s="22">
        <v>0</v>
      </c>
      <c r="G5766" s="21">
        <f t="shared" si="267"/>
        <v>10.48</v>
      </c>
      <c r="H5766" s="22">
        <v>0</v>
      </c>
      <c r="I5766" s="23" t="str">
        <f t="shared" si="268"/>
        <v xml:space="preserve">COM VALOR</v>
      </c>
      <c r="J5766" s="19"/>
      <c r="L5766" s="21">
        <v>10.66</v>
      </c>
      <c r="M5766" s="22">
        <v>0</v>
      </c>
      <c r="N5766" s="21">
        <v>10.48</v>
      </c>
      <c r="O5766" s="22">
        <v>0</v>
      </c>
    </row>
    <row r="5767" ht="38.25">
      <c r="A5767" t="s">
        <v>5734</v>
      </c>
      <c r="B5767" s="19">
        <v>89433</v>
      </c>
      <c r="C5767" s="20" t="s">
        <v>5878</v>
      </c>
      <c r="D5767" s="19" t="s">
        <v>31</v>
      </c>
      <c r="E5767" s="21">
        <f t="shared" si="266"/>
        <v>13.51</v>
      </c>
      <c r="F5767" s="22">
        <v>0</v>
      </c>
      <c r="G5767" s="21">
        <f t="shared" si="267"/>
        <v>13.17</v>
      </c>
      <c r="H5767" s="22">
        <v>0</v>
      </c>
      <c r="I5767" s="23" t="str">
        <f t="shared" si="268"/>
        <v xml:space="preserve">COM VALOR</v>
      </c>
      <c r="J5767" s="19"/>
      <c r="L5767" s="21">
        <v>13.51</v>
      </c>
      <c r="M5767" s="22">
        <v>0</v>
      </c>
      <c r="N5767" s="21">
        <v>13.17</v>
      </c>
      <c r="O5767" s="22">
        <v>0</v>
      </c>
    </row>
    <row r="5768" ht="25.5">
      <c r="A5768" t="s">
        <v>5734</v>
      </c>
      <c r="B5768" s="19">
        <v>89579</v>
      </c>
      <c r="C5768" s="20" t="s">
        <v>5879</v>
      </c>
      <c r="D5768" s="19" t="s">
        <v>31</v>
      </c>
      <c r="E5768" s="21">
        <f t="shared" si="266"/>
        <v>12.07</v>
      </c>
      <c r="F5768" s="22">
        <v>0</v>
      </c>
      <c r="G5768" s="21">
        <f t="shared" si="267"/>
        <v>11.880000000000001</v>
      </c>
      <c r="H5768" s="22">
        <v>0</v>
      </c>
      <c r="I5768" s="23" t="str">
        <f t="shared" si="268"/>
        <v xml:space="preserve">COM VALOR</v>
      </c>
      <c r="J5768" s="19"/>
      <c r="L5768" s="21">
        <v>12.07</v>
      </c>
      <c r="M5768" s="22">
        <v>0</v>
      </c>
      <c r="N5768" s="21">
        <v>11.880000000000001</v>
      </c>
      <c r="O5768" s="22">
        <v>0</v>
      </c>
    </row>
    <row r="5769" ht="38.25">
      <c r="A5769" t="s">
        <v>5734</v>
      </c>
      <c r="B5769" s="19">
        <v>103998</v>
      </c>
      <c r="C5769" s="20" t="s">
        <v>5880</v>
      </c>
      <c r="D5769" s="19" t="s">
        <v>31</v>
      </c>
      <c r="E5769" s="21">
        <f t="shared" si="266"/>
        <v>15</v>
      </c>
      <c r="F5769" s="22">
        <v>0</v>
      </c>
      <c r="G5769" s="21">
        <f t="shared" si="267"/>
        <v>14.640000000000001</v>
      </c>
      <c r="H5769" s="22">
        <v>0</v>
      </c>
      <c r="I5769" s="23" t="str">
        <f t="shared" si="268"/>
        <v xml:space="preserve">COM VALOR</v>
      </c>
      <c r="J5769" s="19"/>
      <c r="L5769" s="21">
        <v>15</v>
      </c>
      <c r="M5769" s="22">
        <v>0</v>
      </c>
      <c r="N5769" s="21">
        <v>14.640000000000001</v>
      </c>
      <c r="O5769" s="22">
        <v>0</v>
      </c>
    </row>
    <row r="5770" ht="25.5">
      <c r="A5770" t="s">
        <v>5734</v>
      </c>
      <c r="B5770" s="19">
        <v>89605</v>
      </c>
      <c r="C5770" s="20" t="s">
        <v>5881</v>
      </c>
      <c r="D5770" s="19" t="s">
        <v>31</v>
      </c>
      <c r="E5770" s="21">
        <f t="shared" si="266"/>
        <v>21.199999999999999</v>
      </c>
      <c r="F5770" s="22">
        <v>0</v>
      </c>
      <c r="G5770" s="21">
        <f t="shared" si="267"/>
        <v>20.93</v>
      </c>
      <c r="H5770" s="22">
        <v>0</v>
      </c>
      <c r="I5770" s="23" t="str">
        <f t="shared" si="268"/>
        <v xml:space="preserve">COM VALOR</v>
      </c>
      <c r="J5770" s="19"/>
      <c r="L5770" s="21">
        <v>21.199999999999999</v>
      </c>
      <c r="M5770" s="22">
        <v>0</v>
      </c>
      <c r="N5770" s="21">
        <v>20.93</v>
      </c>
      <c r="O5770" s="22">
        <v>0</v>
      </c>
    </row>
    <row r="5771" ht="38.25">
      <c r="A5771" t="s">
        <v>5734</v>
      </c>
      <c r="B5771" s="19">
        <v>89981</v>
      </c>
      <c r="C5771" s="20" t="s">
        <v>5882</v>
      </c>
      <c r="D5771" s="19" t="s">
        <v>31</v>
      </c>
      <c r="E5771" s="21">
        <f t="shared" ref="E5771:E5834" si="269">IF(L5771=0,"VERIFICAR",L5771)</f>
        <v>22.239999999999998</v>
      </c>
      <c r="F5771" s="22">
        <v>0</v>
      </c>
      <c r="G5771" s="21">
        <f t="shared" ref="G5771:G5834" si="270">IF(N5771=0,"VERIFICAR",N5771)</f>
        <v>22.09</v>
      </c>
      <c r="H5771" s="22">
        <v>0</v>
      </c>
      <c r="I5771" s="23" t="str">
        <f t="shared" ref="I5771:I5834" si="271">IF(OR(E5771=0,G5771=0),"SEM VALOR","COM VALOR")</f>
        <v xml:space="preserve">COM VALOR</v>
      </c>
      <c r="J5771" s="19"/>
      <c r="L5771" s="21">
        <v>22.239999999999998</v>
      </c>
      <c r="M5771" s="22">
        <v>0</v>
      </c>
      <c r="N5771" s="21">
        <v>22.09</v>
      </c>
      <c r="O5771" s="22">
        <v>0</v>
      </c>
    </row>
    <row r="5772" ht="38.25">
      <c r="A5772" t="s">
        <v>5734</v>
      </c>
      <c r="B5772" s="19">
        <v>89385</v>
      </c>
      <c r="C5772" s="20" t="s">
        <v>5883</v>
      </c>
      <c r="D5772" s="19" t="s">
        <v>31</v>
      </c>
      <c r="E5772" s="21">
        <f t="shared" si="269"/>
        <v>7.5199999999999996</v>
      </c>
      <c r="F5772" s="22">
        <v>0</v>
      </c>
      <c r="G5772" s="21">
        <f t="shared" si="270"/>
        <v>7.25</v>
      </c>
      <c r="H5772" s="22">
        <v>0</v>
      </c>
      <c r="I5772" s="23" t="str">
        <f t="shared" si="271"/>
        <v xml:space="preserve">COM VALOR</v>
      </c>
      <c r="J5772" s="19"/>
      <c r="L5772" s="21">
        <v>7.5199999999999996</v>
      </c>
      <c r="M5772" s="22">
        <v>0</v>
      </c>
      <c r="N5772" s="21">
        <v>7.25</v>
      </c>
      <c r="O5772" s="22">
        <v>0</v>
      </c>
    </row>
    <row r="5773" ht="38.25">
      <c r="A5773" t="s">
        <v>5734</v>
      </c>
      <c r="B5773" s="19">
        <v>89551</v>
      </c>
      <c r="C5773" s="20" t="s">
        <v>5884</v>
      </c>
      <c r="D5773" s="19" t="s">
        <v>31</v>
      </c>
      <c r="E5773" s="21">
        <f t="shared" si="269"/>
        <v>8.8300000000000001</v>
      </c>
      <c r="F5773" s="22">
        <v>0</v>
      </c>
      <c r="G5773" s="21">
        <f t="shared" si="270"/>
        <v>8.6799999999999997</v>
      </c>
      <c r="H5773" s="22">
        <v>0</v>
      </c>
      <c r="I5773" s="23" t="str">
        <f t="shared" si="271"/>
        <v xml:space="preserve">COM VALOR</v>
      </c>
      <c r="J5773" s="19"/>
      <c r="L5773" s="21">
        <v>8.8300000000000001</v>
      </c>
      <c r="M5773" s="22">
        <v>0</v>
      </c>
      <c r="N5773" s="21">
        <v>8.6799999999999997</v>
      </c>
      <c r="O5773" s="22">
        <v>0</v>
      </c>
    </row>
    <row r="5774" ht="38.25">
      <c r="A5774" t="s">
        <v>5734</v>
      </c>
      <c r="B5774" s="19">
        <v>89434</v>
      </c>
      <c r="C5774" s="20" t="s">
        <v>5885</v>
      </c>
      <c r="D5774" s="19" t="s">
        <v>31</v>
      </c>
      <c r="E5774" s="21">
        <f t="shared" si="269"/>
        <v>11.279999999999999</v>
      </c>
      <c r="F5774" s="22">
        <v>0</v>
      </c>
      <c r="G5774" s="21">
        <f t="shared" si="270"/>
        <v>10.99</v>
      </c>
      <c r="H5774" s="22">
        <v>0</v>
      </c>
      <c r="I5774" s="23" t="str">
        <f t="shared" si="271"/>
        <v xml:space="preserve">COM VALOR</v>
      </c>
      <c r="J5774" s="19"/>
      <c r="L5774" s="21">
        <v>11.279999999999999</v>
      </c>
      <c r="M5774" s="22">
        <v>0</v>
      </c>
      <c r="N5774" s="21">
        <v>10.99</v>
      </c>
      <c r="O5774" s="22">
        <v>0</v>
      </c>
    </row>
    <row r="5775" ht="38.25">
      <c r="A5775" t="s">
        <v>5734</v>
      </c>
      <c r="B5775" s="19">
        <v>89389</v>
      </c>
      <c r="C5775" s="20" t="s">
        <v>5886</v>
      </c>
      <c r="D5775" s="19" t="s">
        <v>31</v>
      </c>
      <c r="E5775" s="21">
        <f t="shared" si="269"/>
        <v>11.9</v>
      </c>
      <c r="F5775" s="22">
        <v>0</v>
      </c>
      <c r="G5775" s="21">
        <f t="shared" si="270"/>
        <v>11.58</v>
      </c>
      <c r="H5775" s="22">
        <v>0</v>
      </c>
      <c r="I5775" s="23" t="str">
        <f t="shared" si="271"/>
        <v xml:space="preserve">COM VALOR</v>
      </c>
      <c r="J5775" s="19"/>
      <c r="L5775" s="21">
        <v>11.9</v>
      </c>
      <c r="M5775" s="22">
        <v>0</v>
      </c>
      <c r="N5775" s="21">
        <v>11.58</v>
      </c>
      <c r="O5775" s="22">
        <v>0</v>
      </c>
    </row>
    <row r="5776" ht="25.5">
      <c r="A5776" t="s">
        <v>5734</v>
      </c>
      <c r="B5776" s="19">
        <v>89417</v>
      </c>
      <c r="C5776" s="20" t="s">
        <v>5887</v>
      </c>
      <c r="D5776" s="19" t="s">
        <v>31</v>
      </c>
      <c r="E5776" s="21">
        <f t="shared" si="269"/>
        <v>5.71</v>
      </c>
      <c r="F5776" s="22">
        <v>0</v>
      </c>
      <c r="G5776" s="21">
        <f t="shared" si="270"/>
        <v>5.4800000000000004</v>
      </c>
      <c r="H5776" s="22">
        <v>0</v>
      </c>
      <c r="I5776" s="23" t="str">
        <f t="shared" si="271"/>
        <v xml:space="preserve">COM VALOR</v>
      </c>
      <c r="J5776" s="19"/>
      <c r="L5776" s="21">
        <v>5.71</v>
      </c>
      <c r="M5776" s="22">
        <v>0</v>
      </c>
      <c r="N5776" s="21">
        <v>5.4800000000000004</v>
      </c>
      <c r="O5776" s="22">
        <v>0</v>
      </c>
    </row>
    <row r="5777" ht="25.5">
      <c r="A5777" t="s">
        <v>5734</v>
      </c>
      <c r="B5777" s="19">
        <v>89371</v>
      </c>
      <c r="C5777" s="20" t="s">
        <v>5888</v>
      </c>
      <c r="D5777" s="19" t="s">
        <v>31</v>
      </c>
      <c r="E5777" s="21">
        <f t="shared" si="269"/>
        <v>6.1900000000000004</v>
      </c>
      <c r="F5777" s="22">
        <v>0</v>
      </c>
      <c r="G5777" s="21">
        <f t="shared" si="270"/>
        <v>5.9400000000000004</v>
      </c>
      <c r="H5777" s="22">
        <v>0</v>
      </c>
      <c r="I5777" s="23" t="str">
        <f t="shared" si="271"/>
        <v xml:space="preserve">COM VALOR</v>
      </c>
      <c r="J5777" s="19"/>
      <c r="L5777" s="21">
        <v>6.1900000000000004</v>
      </c>
      <c r="M5777" s="22">
        <v>0</v>
      </c>
      <c r="N5777" s="21">
        <v>5.9400000000000004</v>
      </c>
      <c r="O5777" s="22">
        <v>0</v>
      </c>
    </row>
    <row r="5778" ht="25.5">
      <c r="A5778" t="s">
        <v>5734</v>
      </c>
      <c r="B5778" s="19">
        <v>89528</v>
      </c>
      <c r="C5778" s="20" t="s">
        <v>5889</v>
      </c>
      <c r="D5778" s="19" t="s">
        <v>31</v>
      </c>
      <c r="E5778" s="21">
        <f t="shared" si="269"/>
        <v>4.5</v>
      </c>
      <c r="F5778" s="22">
        <v>0</v>
      </c>
      <c r="G5778" s="21">
        <f t="shared" si="270"/>
        <v>4.3600000000000003</v>
      </c>
      <c r="H5778" s="22">
        <v>0</v>
      </c>
      <c r="I5778" s="23" t="str">
        <f t="shared" si="271"/>
        <v xml:space="preserve">COM VALOR</v>
      </c>
      <c r="J5778" s="19"/>
      <c r="L5778" s="21">
        <v>4.5</v>
      </c>
      <c r="M5778" s="22">
        <v>0</v>
      </c>
      <c r="N5778" s="21">
        <v>4.3600000000000003</v>
      </c>
      <c r="O5778" s="22">
        <v>0</v>
      </c>
    </row>
    <row r="5779" ht="25.5">
      <c r="A5779" t="s">
        <v>5734</v>
      </c>
      <c r="B5779" s="19">
        <v>89424</v>
      </c>
      <c r="C5779" s="20" t="s">
        <v>5890</v>
      </c>
      <c r="D5779" s="19" t="s">
        <v>31</v>
      </c>
      <c r="E5779" s="21">
        <f t="shared" si="269"/>
        <v>6.7699999999999996</v>
      </c>
      <c r="F5779" s="22">
        <v>0</v>
      </c>
      <c r="G5779" s="21">
        <f t="shared" si="270"/>
        <v>6.5</v>
      </c>
      <c r="H5779" s="22">
        <v>0</v>
      </c>
      <c r="I5779" s="23" t="str">
        <f t="shared" si="271"/>
        <v xml:space="preserve">COM VALOR</v>
      </c>
      <c r="J5779" s="19"/>
      <c r="L5779" s="21">
        <v>6.7699999999999996</v>
      </c>
      <c r="M5779" s="22">
        <v>0</v>
      </c>
      <c r="N5779" s="21">
        <v>6.5</v>
      </c>
      <c r="O5779" s="22">
        <v>0</v>
      </c>
    </row>
    <row r="5780" ht="25.5">
      <c r="A5780" t="s">
        <v>5734</v>
      </c>
      <c r="B5780" s="19">
        <v>89378</v>
      </c>
      <c r="C5780" s="20" t="s">
        <v>5891</v>
      </c>
      <c r="D5780" s="19" t="s">
        <v>31</v>
      </c>
      <c r="E5780" s="21">
        <f t="shared" si="269"/>
        <v>7.3200000000000003</v>
      </c>
      <c r="F5780" s="22">
        <v>0</v>
      </c>
      <c r="G5780" s="21">
        <f t="shared" si="270"/>
        <v>7.0300000000000002</v>
      </c>
      <c r="H5780" s="22">
        <v>0</v>
      </c>
      <c r="I5780" s="23" t="str">
        <f t="shared" si="271"/>
        <v xml:space="preserve">COM VALOR</v>
      </c>
      <c r="J5780" s="19"/>
      <c r="L5780" s="21">
        <v>7.3200000000000003</v>
      </c>
      <c r="M5780" s="22">
        <v>0</v>
      </c>
      <c r="N5780" s="21">
        <v>7.0300000000000002</v>
      </c>
      <c r="O5780" s="22">
        <v>0</v>
      </c>
    </row>
    <row r="5781" ht="25.5">
      <c r="A5781" t="s">
        <v>5734</v>
      </c>
      <c r="B5781" s="19">
        <v>89541</v>
      </c>
      <c r="C5781" s="20" t="s">
        <v>5892</v>
      </c>
      <c r="D5781" s="19" t="s">
        <v>31</v>
      </c>
      <c r="E5781" s="21">
        <f t="shared" si="269"/>
        <v>6.7000000000000002</v>
      </c>
      <c r="F5781" s="22">
        <v>0</v>
      </c>
      <c r="G5781" s="21">
        <f t="shared" si="270"/>
        <v>6.54</v>
      </c>
      <c r="H5781" s="22">
        <v>0</v>
      </c>
      <c r="I5781" s="23" t="str">
        <f t="shared" si="271"/>
        <v xml:space="preserve">COM VALOR</v>
      </c>
      <c r="J5781" s="19"/>
      <c r="L5781" s="21">
        <v>6.7000000000000002</v>
      </c>
      <c r="M5781" s="22">
        <v>0</v>
      </c>
      <c r="N5781" s="21">
        <v>6.54</v>
      </c>
      <c r="O5781" s="22">
        <v>0</v>
      </c>
    </row>
    <row r="5782" ht="25.5">
      <c r="A5782" t="s">
        <v>5734</v>
      </c>
      <c r="B5782" s="19">
        <v>89431</v>
      </c>
      <c r="C5782" s="20" t="s">
        <v>5893</v>
      </c>
      <c r="D5782" s="19" t="s">
        <v>31</v>
      </c>
      <c r="E5782" s="21">
        <f t="shared" si="269"/>
        <v>9.3300000000000001</v>
      </c>
      <c r="F5782" s="22">
        <v>0</v>
      </c>
      <c r="G5782" s="21">
        <f t="shared" si="270"/>
        <v>9.0199999999999996</v>
      </c>
      <c r="H5782" s="22">
        <v>0</v>
      </c>
      <c r="I5782" s="23" t="str">
        <f t="shared" si="271"/>
        <v xml:space="preserve">COM VALOR</v>
      </c>
      <c r="J5782" s="19"/>
      <c r="L5782" s="21">
        <v>9.3300000000000001</v>
      </c>
      <c r="M5782" s="22">
        <v>0</v>
      </c>
      <c r="N5782" s="21">
        <v>9.0199999999999996</v>
      </c>
      <c r="O5782" s="22">
        <v>0</v>
      </c>
    </row>
    <row r="5783" ht="25.5">
      <c r="A5783" t="s">
        <v>5734</v>
      </c>
      <c r="B5783" s="19">
        <v>89386</v>
      </c>
      <c r="C5783" s="20" t="s">
        <v>5894</v>
      </c>
      <c r="D5783" s="19" t="s">
        <v>31</v>
      </c>
      <c r="E5783" s="21">
        <f t="shared" si="269"/>
        <v>10</v>
      </c>
      <c r="F5783" s="22">
        <v>0</v>
      </c>
      <c r="G5783" s="21">
        <f t="shared" si="270"/>
        <v>9.6500000000000004</v>
      </c>
      <c r="H5783" s="22">
        <v>0</v>
      </c>
      <c r="I5783" s="23" t="str">
        <f t="shared" si="271"/>
        <v xml:space="preserve">COM VALOR</v>
      </c>
      <c r="J5783" s="19"/>
      <c r="L5783" s="21">
        <v>10</v>
      </c>
      <c r="M5783" s="22">
        <v>0</v>
      </c>
      <c r="N5783" s="21">
        <v>9.6500000000000004</v>
      </c>
      <c r="O5783" s="22">
        <v>0</v>
      </c>
    </row>
    <row r="5784" ht="25.5">
      <c r="A5784" t="s">
        <v>5734</v>
      </c>
      <c r="B5784" s="19">
        <v>89558</v>
      </c>
      <c r="C5784" s="20" t="s">
        <v>5895</v>
      </c>
      <c r="D5784" s="19" t="s">
        <v>31</v>
      </c>
      <c r="E5784" s="21">
        <f t="shared" si="269"/>
        <v>10.119999999999999</v>
      </c>
      <c r="F5784" s="22">
        <v>0</v>
      </c>
      <c r="G5784" s="21">
        <f t="shared" si="270"/>
        <v>9.9100000000000001</v>
      </c>
      <c r="H5784" s="22">
        <v>0</v>
      </c>
      <c r="I5784" s="23" t="str">
        <f t="shared" si="271"/>
        <v xml:space="preserve">COM VALOR</v>
      </c>
      <c r="J5784" s="19"/>
      <c r="L5784" s="21">
        <v>10.119999999999999</v>
      </c>
      <c r="M5784" s="22">
        <v>0</v>
      </c>
      <c r="N5784" s="21">
        <v>9.9100000000000001</v>
      </c>
      <c r="O5784" s="22">
        <v>0</v>
      </c>
    </row>
    <row r="5785" ht="25.5">
      <c r="A5785" t="s">
        <v>5734</v>
      </c>
      <c r="B5785" s="19">
        <v>103988</v>
      </c>
      <c r="C5785" s="20" t="s">
        <v>5896</v>
      </c>
      <c r="D5785" s="19" t="s">
        <v>31</v>
      </c>
      <c r="E5785" s="21">
        <f t="shared" si="269"/>
        <v>13.18</v>
      </c>
      <c r="F5785" s="22">
        <v>0</v>
      </c>
      <c r="G5785" s="21">
        <f t="shared" si="270"/>
        <v>12.81</v>
      </c>
      <c r="H5785" s="22">
        <v>0</v>
      </c>
      <c r="I5785" s="23" t="str">
        <f t="shared" si="271"/>
        <v xml:space="preserve">COM VALOR</v>
      </c>
      <c r="J5785" s="19"/>
      <c r="L5785" s="21">
        <v>13.18</v>
      </c>
      <c r="M5785" s="22">
        <v>0</v>
      </c>
      <c r="N5785" s="21">
        <v>12.81</v>
      </c>
      <c r="O5785" s="22">
        <v>0</v>
      </c>
    </row>
    <row r="5786" ht="25.5">
      <c r="A5786" t="s">
        <v>5734</v>
      </c>
      <c r="B5786" s="19">
        <v>89575</v>
      </c>
      <c r="C5786" s="20" t="s">
        <v>5897</v>
      </c>
      <c r="D5786" s="19" t="s">
        <v>31</v>
      </c>
      <c r="E5786" s="21">
        <f t="shared" si="269"/>
        <v>12.06</v>
      </c>
      <c r="F5786" s="22">
        <v>0</v>
      </c>
      <c r="G5786" s="21">
        <f t="shared" si="270"/>
        <v>11.83</v>
      </c>
      <c r="H5786" s="22">
        <v>0</v>
      </c>
      <c r="I5786" s="23" t="str">
        <f t="shared" si="271"/>
        <v xml:space="preserve">COM VALOR</v>
      </c>
      <c r="J5786" s="19"/>
      <c r="L5786" s="21">
        <v>12.06</v>
      </c>
      <c r="M5786" s="22">
        <v>0</v>
      </c>
      <c r="N5786" s="21">
        <v>11.83</v>
      </c>
      <c r="O5786" s="22">
        <v>0</v>
      </c>
    </row>
    <row r="5787" ht="25.5">
      <c r="A5787" t="s">
        <v>5734</v>
      </c>
      <c r="B5787" s="19">
        <v>103995</v>
      </c>
      <c r="C5787" s="20" t="s">
        <v>5898</v>
      </c>
      <c r="D5787" s="19" t="s">
        <v>31</v>
      </c>
      <c r="E5787" s="21">
        <f t="shared" si="269"/>
        <v>15.630000000000001</v>
      </c>
      <c r="F5787" s="22">
        <v>0</v>
      </c>
      <c r="G5787" s="21">
        <f t="shared" si="270"/>
        <v>15.199999999999999</v>
      </c>
      <c r="H5787" s="22">
        <v>0</v>
      </c>
      <c r="I5787" s="23" t="str">
        <f t="shared" si="271"/>
        <v xml:space="preserve">COM VALOR</v>
      </c>
      <c r="J5787" s="19"/>
      <c r="L5787" s="21">
        <v>15.630000000000001</v>
      </c>
      <c r="M5787" s="22">
        <v>0</v>
      </c>
      <c r="N5787" s="21">
        <v>15.199999999999999</v>
      </c>
      <c r="O5787" s="22">
        <v>0</v>
      </c>
    </row>
    <row r="5788" ht="25.5">
      <c r="A5788" t="s">
        <v>5734</v>
      </c>
      <c r="B5788" s="19">
        <v>89597</v>
      </c>
      <c r="C5788" s="20" t="s">
        <v>5899</v>
      </c>
      <c r="D5788" s="19" t="s">
        <v>31</v>
      </c>
      <c r="E5788" s="21">
        <f t="shared" si="269"/>
        <v>23.300000000000001</v>
      </c>
      <c r="F5788" s="22">
        <v>0</v>
      </c>
      <c r="G5788" s="21">
        <f t="shared" si="270"/>
        <v>23.02</v>
      </c>
      <c r="H5788" s="22">
        <v>0</v>
      </c>
      <c r="I5788" s="23" t="str">
        <f t="shared" si="271"/>
        <v xml:space="preserve">COM VALOR</v>
      </c>
      <c r="J5788" s="19"/>
      <c r="L5788" s="21">
        <v>23.300000000000001</v>
      </c>
      <c r="M5788" s="22">
        <v>0</v>
      </c>
      <c r="N5788" s="21">
        <v>23.02</v>
      </c>
      <c r="O5788" s="22">
        <v>0</v>
      </c>
    </row>
    <row r="5789" ht="25.5">
      <c r="A5789" t="s">
        <v>5734</v>
      </c>
      <c r="B5789" s="19">
        <v>89611</v>
      </c>
      <c r="C5789" s="20" t="s">
        <v>5900</v>
      </c>
      <c r="D5789" s="19" t="s">
        <v>31</v>
      </c>
      <c r="E5789" s="21">
        <f t="shared" si="269"/>
        <v>32.990000000000002</v>
      </c>
      <c r="F5789" s="22">
        <v>0</v>
      </c>
      <c r="G5789" s="21">
        <f t="shared" si="270"/>
        <v>32.630000000000003</v>
      </c>
      <c r="H5789" s="22">
        <v>0</v>
      </c>
      <c r="I5789" s="23" t="str">
        <f t="shared" si="271"/>
        <v xml:space="preserve">COM VALOR</v>
      </c>
      <c r="J5789" s="19"/>
      <c r="L5789" s="21">
        <v>32.990000000000002</v>
      </c>
      <c r="M5789" s="22">
        <v>0</v>
      </c>
      <c r="N5789" s="21">
        <v>32.630000000000003</v>
      </c>
      <c r="O5789" s="22">
        <v>0</v>
      </c>
    </row>
    <row r="5790" ht="25.5">
      <c r="A5790" t="s">
        <v>5734</v>
      </c>
      <c r="B5790" s="19">
        <v>89614</v>
      </c>
      <c r="C5790" s="20" t="s">
        <v>5901</v>
      </c>
      <c r="D5790" s="19" t="s">
        <v>31</v>
      </c>
      <c r="E5790" s="21">
        <f t="shared" si="269"/>
        <v>60.740000000000002</v>
      </c>
      <c r="F5790" s="22">
        <v>0</v>
      </c>
      <c r="G5790" s="21">
        <f t="shared" si="270"/>
        <v>60.350000000000001</v>
      </c>
      <c r="H5790" s="22">
        <v>0</v>
      </c>
      <c r="I5790" s="23" t="str">
        <f t="shared" si="271"/>
        <v xml:space="preserve">COM VALOR</v>
      </c>
      <c r="J5790" s="19"/>
      <c r="L5790" s="21">
        <v>60.740000000000002</v>
      </c>
      <c r="M5790" s="22">
        <v>0</v>
      </c>
      <c r="N5790" s="21">
        <v>60.350000000000001</v>
      </c>
      <c r="O5790" s="22">
        <v>0</v>
      </c>
    </row>
    <row r="5791" ht="38.25">
      <c r="A5791" t="s">
        <v>5734</v>
      </c>
      <c r="B5791" s="19">
        <v>103975</v>
      </c>
      <c r="C5791" s="20" t="s">
        <v>5902</v>
      </c>
      <c r="D5791" s="19" t="s">
        <v>31</v>
      </c>
      <c r="E5791" s="21">
        <f t="shared" si="269"/>
        <v>18.329999999999998</v>
      </c>
      <c r="F5791" s="22">
        <v>0</v>
      </c>
      <c r="G5791" s="21">
        <f t="shared" si="270"/>
        <v>17.98</v>
      </c>
      <c r="H5791" s="22">
        <v>0</v>
      </c>
      <c r="I5791" s="23" t="str">
        <f t="shared" si="271"/>
        <v xml:space="preserve">COM VALOR</v>
      </c>
      <c r="J5791" s="19"/>
      <c r="L5791" s="21">
        <v>18.329999999999998</v>
      </c>
      <c r="M5791" s="22">
        <v>0</v>
      </c>
      <c r="N5791" s="21">
        <v>17.98</v>
      </c>
      <c r="O5791" s="22">
        <v>0</v>
      </c>
    </row>
    <row r="5792" ht="38.25">
      <c r="A5792" t="s">
        <v>5734</v>
      </c>
      <c r="B5792" s="19">
        <v>104007</v>
      </c>
      <c r="C5792" s="20" t="s">
        <v>5903</v>
      </c>
      <c r="D5792" s="19" t="s">
        <v>31</v>
      </c>
      <c r="E5792" s="21">
        <f t="shared" si="269"/>
        <v>22.649999999999999</v>
      </c>
      <c r="F5792" s="22">
        <v>0</v>
      </c>
      <c r="G5792" s="21">
        <f t="shared" si="270"/>
        <v>22.059999999999999</v>
      </c>
      <c r="H5792" s="22">
        <v>0</v>
      </c>
      <c r="I5792" s="23" t="str">
        <f t="shared" si="271"/>
        <v xml:space="preserve">COM VALOR</v>
      </c>
      <c r="J5792" s="19"/>
      <c r="L5792" s="21">
        <v>22.649999999999999</v>
      </c>
      <c r="M5792" s="22">
        <v>0</v>
      </c>
      <c r="N5792" s="21">
        <v>22.059999999999999</v>
      </c>
      <c r="O5792" s="22">
        <v>0</v>
      </c>
    </row>
    <row r="5793" ht="38.25">
      <c r="A5793" t="s">
        <v>5734</v>
      </c>
      <c r="B5793" s="19">
        <v>103976</v>
      </c>
      <c r="C5793" s="20" t="s">
        <v>5904</v>
      </c>
      <c r="D5793" s="19" t="s">
        <v>31</v>
      </c>
      <c r="E5793" s="21">
        <f t="shared" si="269"/>
        <v>26.370000000000001</v>
      </c>
      <c r="F5793" s="22">
        <v>0</v>
      </c>
      <c r="G5793" s="21">
        <f t="shared" si="270"/>
        <v>25.960000000000001</v>
      </c>
      <c r="H5793" s="22">
        <v>0</v>
      </c>
      <c r="I5793" s="23" t="str">
        <f t="shared" si="271"/>
        <v xml:space="preserve">COM VALOR</v>
      </c>
      <c r="J5793" s="19"/>
      <c r="L5793" s="21">
        <v>26.370000000000001</v>
      </c>
      <c r="M5793" s="22">
        <v>0</v>
      </c>
      <c r="N5793" s="21">
        <v>25.960000000000001</v>
      </c>
      <c r="O5793" s="22">
        <v>0</v>
      </c>
    </row>
    <row r="5794" ht="38.25">
      <c r="A5794" t="s">
        <v>5734</v>
      </c>
      <c r="B5794" s="19">
        <v>104008</v>
      </c>
      <c r="C5794" s="20" t="s">
        <v>5905</v>
      </c>
      <c r="D5794" s="19" t="s">
        <v>31</v>
      </c>
      <c r="E5794" s="21">
        <f t="shared" si="269"/>
        <v>32.530000000000001</v>
      </c>
      <c r="F5794" s="22">
        <v>0</v>
      </c>
      <c r="G5794" s="21">
        <f t="shared" si="270"/>
        <v>31.780000000000001</v>
      </c>
      <c r="H5794" s="22">
        <v>0</v>
      </c>
      <c r="I5794" s="23" t="str">
        <f t="shared" si="271"/>
        <v xml:space="preserve">COM VALOR</v>
      </c>
      <c r="J5794" s="19"/>
      <c r="L5794" s="21">
        <v>32.530000000000001</v>
      </c>
      <c r="M5794" s="22">
        <v>0</v>
      </c>
      <c r="N5794" s="21">
        <v>31.780000000000001</v>
      </c>
      <c r="O5794" s="22">
        <v>0</v>
      </c>
    </row>
    <row r="5795" ht="25.5">
      <c r="A5795" t="s">
        <v>5734</v>
      </c>
      <c r="B5795" s="19">
        <v>89630</v>
      </c>
      <c r="C5795" s="20" t="s">
        <v>5906</v>
      </c>
      <c r="D5795" s="19" t="s">
        <v>31</v>
      </c>
      <c r="E5795" s="21">
        <f t="shared" si="269"/>
        <v>62.210000000000001</v>
      </c>
      <c r="F5795" s="22">
        <v>0</v>
      </c>
      <c r="G5795" s="21">
        <f t="shared" si="270"/>
        <v>61.609999999999999</v>
      </c>
      <c r="H5795" s="22">
        <v>0</v>
      </c>
      <c r="I5795" s="23" t="str">
        <f t="shared" si="271"/>
        <v xml:space="preserve">COM VALOR</v>
      </c>
      <c r="J5795" s="19"/>
      <c r="L5795" s="21">
        <v>62.210000000000001</v>
      </c>
      <c r="M5795" s="22">
        <v>0</v>
      </c>
      <c r="N5795" s="21">
        <v>61.609999999999999</v>
      </c>
      <c r="O5795" s="22">
        <v>0</v>
      </c>
    </row>
    <row r="5796" ht="25.5">
      <c r="A5796" t="s">
        <v>5734</v>
      </c>
      <c r="B5796" s="19">
        <v>89632</v>
      </c>
      <c r="C5796" s="20" t="s">
        <v>5907</v>
      </c>
      <c r="D5796" s="19" t="s">
        <v>31</v>
      </c>
      <c r="E5796" s="21">
        <f t="shared" si="269"/>
        <v>123.97</v>
      </c>
      <c r="F5796" s="22">
        <v>0</v>
      </c>
      <c r="G5796" s="21">
        <f t="shared" si="270"/>
        <v>123.28</v>
      </c>
      <c r="H5796" s="22">
        <v>0</v>
      </c>
      <c r="I5796" s="23" t="str">
        <f t="shared" si="271"/>
        <v xml:space="preserve">COM VALOR</v>
      </c>
      <c r="J5796" s="19"/>
      <c r="L5796" s="21">
        <v>123.97</v>
      </c>
      <c r="M5796" s="22">
        <v>0</v>
      </c>
      <c r="N5796" s="21">
        <v>123.28</v>
      </c>
      <c r="O5796" s="22">
        <v>0</v>
      </c>
    </row>
    <row r="5797" ht="25.5">
      <c r="A5797" t="s">
        <v>5734</v>
      </c>
      <c r="B5797" s="19">
        <v>89438</v>
      </c>
      <c r="C5797" s="20" t="s">
        <v>5908</v>
      </c>
      <c r="D5797" s="19" t="s">
        <v>31</v>
      </c>
      <c r="E5797" s="21">
        <f t="shared" si="269"/>
        <v>10.48</v>
      </c>
      <c r="F5797" s="22">
        <v>0</v>
      </c>
      <c r="G5797" s="21">
        <f t="shared" si="270"/>
        <v>10.02</v>
      </c>
      <c r="H5797" s="22">
        <v>0</v>
      </c>
      <c r="I5797" s="23" t="str">
        <f t="shared" si="271"/>
        <v xml:space="preserve">COM VALOR</v>
      </c>
      <c r="J5797" s="19"/>
      <c r="L5797" s="21">
        <v>10.48</v>
      </c>
      <c r="M5797" s="22">
        <v>0</v>
      </c>
      <c r="N5797" s="21">
        <v>10.02</v>
      </c>
      <c r="O5797" s="22">
        <v>0</v>
      </c>
    </row>
    <row r="5798" ht="25.5">
      <c r="A5798" t="s">
        <v>5734</v>
      </c>
      <c r="B5798" s="19">
        <v>89393</v>
      </c>
      <c r="C5798" s="20" t="s">
        <v>5909</v>
      </c>
      <c r="D5798" s="19" t="s">
        <v>31</v>
      </c>
      <c r="E5798" s="21">
        <f t="shared" si="269"/>
        <v>11.43</v>
      </c>
      <c r="F5798" s="22">
        <v>0</v>
      </c>
      <c r="G5798" s="21">
        <f t="shared" si="270"/>
        <v>10.93</v>
      </c>
      <c r="H5798" s="22">
        <v>0</v>
      </c>
      <c r="I5798" s="23" t="str">
        <f t="shared" si="271"/>
        <v xml:space="preserve">COM VALOR</v>
      </c>
      <c r="J5798" s="19"/>
      <c r="L5798" s="21">
        <v>11.43</v>
      </c>
      <c r="M5798" s="22">
        <v>0</v>
      </c>
      <c r="N5798" s="21">
        <v>10.93</v>
      </c>
      <c r="O5798" s="22">
        <v>0</v>
      </c>
    </row>
    <row r="5799" ht="25.5">
      <c r="A5799" t="s">
        <v>5734</v>
      </c>
      <c r="B5799" s="19">
        <v>89617</v>
      </c>
      <c r="C5799" s="20" t="s">
        <v>5910</v>
      </c>
      <c r="D5799" s="19" t="s">
        <v>31</v>
      </c>
      <c r="E5799" s="21">
        <f t="shared" si="269"/>
        <v>7.9100000000000001</v>
      </c>
      <c r="F5799" s="22">
        <v>0</v>
      </c>
      <c r="G5799" s="21">
        <f t="shared" si="270"/>
        <v>7.6399999999999997</v>
      </c>
      <c r="H5799" s="22">
        <v>0</v>
      </c>
      <c r="I5799" s="23" t="str">
        <f t="shared" si="271"/>
        <v xml:space="preserve">COM VALOR</v>
      </c>
      <c r="J5799" s="19"/>
      <c r="L5799" s="21">
        <v>7.9100000000000001</v>
      </c>
      <c r="M5799" s="22">
        <v>0</v>
      </c>
      <c r="N5799" s="21">
        <v>7.6399999999999997</v>
      </c>
      <c r="O5799" s="22">
        <v>0</v>
      </c>
    </row>
    <row r="5800" ht="25.5">
      <c r="A5800" t="s">
        <v>5734</v>
      </c>
      <c r="B5800" s="19">
        <v>89440</v>
      </c>
      <c r="C5800" s="20" t="s">
        <v>5911</v>
      </c>
      <c r="D5800" s="19" t="s">
        <v>31</v>
      </c>
      <c r="E5800" s="21">
        <f t="shared" si="269"/>
        <v>12.43</v>
      </c>
      <c r="F5800" s="22">
        <v>0</v>
      </c>
      <c r="G5800" s="21">
        <f t="shared" si="270"/>
        <v>11.91</v>
      </c>
      <c r="H5800" s="22">
        <v>0</v>
      </c>
      <c r="I5800" s="23" t="str">
        <f t="shared" si="271"/>
        <v xml:space="preserve">COM VALOR</v>
      </c>
      <c r="J5800" s="19"/>
      <c r="L5800" s="21">
        <v>12.43</v>
      </c>
      <c r="M5800" s="22">
        <v>0</v>
      </c>
      <c r="N5800" s="21">
        <v>11.91</v>
      </c>
      <c r="O5800" s="22">
        <v>0</v>
      </c>
    </row>
    <row r="5801" ht="25.5">
      <c r="A5801" t="s">
        <v>5734</v>
      </c>
      <c r="B5801" s="19">
        <v>89395</v>
      </c>
      <c r="C5801" s="20" t="s">
        <v>5912</v>
      </c>
      <c r="D5801" s="19" t="s">
        <v>31</v>
      </c>
      <c r="E5801" s="21">
        <f t="shared" si="269"/>
        <v>13.539999999999999</v>
      </c>
      <c r="F5801" s="22">
        <v>0</v>
      </c>
      <c r="G5801" s="21">
        <f t="shared" si="270"/>
        <v>12.960000000000001</v>
      </c>
      <c r="H5801" s="22">
        <v>0</v>
      </c>
      <c r="I5801" s="23" t="str">
        <f t="shared" si="271"/>
        <v xml:space="preserve">COM VALOR</v>
      </c>
      <c r="J5801" s="19"/>
      <c r="L5801" s="21">
        <v>13.539999999999999</v>
      </c>
      <c r="M5801" s="22">
        <v>0</v>
      </c>
      <c r="N5801" s="21">
        <v>12.960000000000001</v>
      </c>
      <c r="O5801" s="22">
        <v>0</v>
      </c>
    </row>
    <row r="5802" ht="25.5">
      <c r="A5802" t="s">
        <v>5734</v>
      </c>
      <c r="B5802" s="19">
        <v>89620</v>
      </c>
      <c r="C5802" s="20" t="s">
        <v>5913</v>
      </c>
      <c r="D5802" s="19" t="s">
        <v>31</v>
      </c>
      <c r="E5802" s="21">
        <f t="shared" si="269"/>
        <v>12.34</v>
      </c>
      <c r="F5802" s="22">
        <v>0</v>
      </c>
      <c r="G5802" s="21">
        <f t="shared" si="270"/>
        <v>12.01</v>
      </c>
      <c r="H5802" s="22">
        <v>0</v>
      </c>
      <c r="I5802" s="23" t="str">
        <f t="shared" si="271"/>
        <v xml:space="preserve">COM VALOR</v>
      </c>
      <c r="J5802" s="19"/>
      <c r="L5802" s="21">
        <v>12.34</v>
      </c>
      <c r="M5802" s="22">
        <v>0</v>
      </c>
      <c r="N5802" s="21">
        <v>12.01</v>
      </c>
      <c r="O5802" s="22">
        <v>0</v>
      </c>
    </row>
    <row r="5803" ht="25.5">
      <c r="A5803" t="s">
        <v>5734</v>
      </c>
      <c r="B5803" s="19">
        <v>89443</v>
      </c>
      <c r="C5803" s="20" t="s">
        <v>5914</v>
      </c>
      <c r="D5803" s="19" t="s">
        <v>31</v>
      </c>
      <c r="E5803" s="21">
        <f t="shared" si="269"/>
        <v>17.57</v>
      </c>
      <c r="F5803" s="22">
        <v>0</v>
      </c>
      <c r="G5803" s="21">
        <f t="shared" si="270"/>
        <v>16.949999999999999</v>
      </c>
      <c r="H5803" s="22">
        <v>0</v>
      </c>
      <c r="I5803" s="23" t="str">
        <f t="shared" si="271"/>
        <v xml:space="preserve">COM VALOR</v>
      </c>
      <c r="J5803" s="19"/>
      <c r="L5803" s="21">
        <v>17.57</v>
      </c>
      <c r="M5803" s="22">
        <v>0</v>
      </c>
      <c r="N5803" s="21">
        <v>16.949999999999999</v>
      </c>
      <c r="O5803" s="22">
        <v>0</v>
      </c>
    </row>
    <row r="5804" ht="25.5">
      <c r="A5804" t="s">
        <v>5734</v>
      </c>
      <c r="B5804" s="19">
        <v>89398</v>
      </c>
      <c r="C5804" s="20" t="s">
        <v>5915</v>
      </c>
      <c r="D5804" s="19" t="s">
        <v>31</v>
      </c>
      <c r="E5804" s="21">
        <f t="shared" si="269"/>
        <v>18.890000000000001</v>
      </c>
      <c r="F5804" s="22">
        <v>0</v>
      </c>
      <c r="G5804" s="21">
        <f t="shared" si="270"/>
        <v>18.190000000000001</v>
      </c>
      <c r="H5804" s="22">
        <v>0</v>
      </c>
      <c r="I5804" s="23" t="str">
        <f t="shared" si="271"/>
        <v xml:space="preserve">COM VALOR</v>
      </c>
      <c r="J5804" s="19"/>
      <c r="L5804" s="21">
        <v>18.890000000000001</v>
      </c>
      <c r="M5804" s="22">
        <v>0</v>
      </c>
      <c r="N5804" s="21">
        <v>18.190000000000001</v>
      </c>
      <c r="O5804" s="22">
        <v>0</v>
      </c>
    </row>
    <row r="5805" ht="25.5">
      <c r="A5805" t="s">
        <v>5734</v>
      </c>
      <c r="B5805" s="19">
        <v>89623</v>
      </c>
      <c r="C5805" s="20" t="s">
        <v>5916</v>
      </c>
      <c r="D5805" s="19" t="s">
        <v>31</v>
      </c>
      <c r="E5805" s="21">
        <f t="shared" si="269"/>
        <v>19.969999999999999</v>
      </c>
      <c r="F5805" s="22">
        <v>0</v>
      </c>
      <c r="G5805" s="21">
        <f t="shared" si="270"/>
        <v>19.579999999999998</v>
      </c>
      <c r="H5805" s="22">
        <v>0</v>
      </c>
      <c r="I5805" s="23" t="str">
        <f t="shared" si="271"/>
        <v xml:space="preserve">COM VALOR</v>
      </c>
      <c r="J5805" s="19"/>
      <c r="L5805" s="21">
        <v>19.969999999999999</v>
      </c>
      <c r="M5805" s="22">
        <v>0</v>
      </c>
      <c r="N5805" s="21">
        <v>19.579999999999998</v>
      </c>
      <c r="O5805" s="22">
        <v>0</v>
      </c>
    </row>
    <row r="5806" ht="25.5">
      <c r="A5806" t="s">
        <v>5734</v>
      </c>
      <c r="B5806" s="19">
        <v>104011</v>
      </c>
      <c r="C5806" s="20" t="s">
        <v>5917</v>
      </c>
      <c r="D5806" s="19" t="s">
        <v>31</v>
      </c>
      <c r="E5806" s="21">
        <f t="shared" si="269"/>
        <v>25.989999999999998</v>
      </c>
      <c r="F5806" s="22">
        <v>0</v>
      </c>
      <c r="G5806" s="21">
        <f t="shared" si="270"/>
        <v>25.260000000000002</v>
      </c>
      <c r="H5806" s="22">
        <v>0</v>
      </c>
      <c r="I5806" s="23" t="str">
        <f t="shared" si="271"/>
        <v xml:space="preserve">COM VALOR</v>
      </c>
      <c r="J5806" s="19"/>
      <c r="L5806" s="21">
        <v>25.989999999999998</v>
      </c>
      <c r="M5806" s="22">
        <v>0</v>
      </c>
      <c r="N5806" s="21">
        <v>25.260000000000002</v>
      </c>
      <c r="O5806" s="22">
        <v>0</v>
      </c>
    </row>
    <row r="5807" ht="25.5">
      <c r="A5807" t="s">
        <v>5734</v>
      </c>
      <c r="B5807" s="19">
        <v>89625</v>
      </c>
      <c r="C5807" s="20" t="s">
        <v>5918</v>
      </c>
      <c r="D5807" s="19" t="s">
        <v>31</v>
      </c>
      <c r="E5807" s="21">
        <f t="shared" si="269"/>
        <v>23.5</v>
      </c>
      <c r="F5807" s="22">
        <v>0</v>
      </c>
      <c r="G5807" s="21">
        <f t="shared" si="270"/>
        <v>23.02</v>
      </c>
      <c r="H5807" s="22">
        <v>0</v>
      </c>
      <c r="I5807" s="23" t="str">
        <f t="shared" si="271"/>
        <v xml:space="preserve">COM VALOR</v>
      </c>
      <c r="J5807" s="19"/>
      <c r="L5807" s="21">
        <v>23.5</v>
      </c>
      <c r="M5807" s="22">
        <v>0</v>
      </c>
      <c r="N5807" s="21">
        <v>23.02</v>
      </c>
      <c r="O5807" s="22">
        <v>0</v>
      </c>
    </row>
    <row r="5808" ht="25.5">
      <c r="A5808" t="s">
        <v>5734</v>
      </c>
      <c r="B5808" s="19">
        <v>104004</v>
      </c>
      <c r="C5808" s="20" t="s">
        <v>5919</v>
      </c>
      <c r="D5808" s="19" t="s">
        <v>31</v>
      </c>
      <c r="E5808" s="21">
        <f t="shared" si="269"/>
        <v>30.59</v>
      </c>
      <c r="F5808" s="22">
        <v>0</v>
      </c>
      <c r="G5808" s="21">
        <f t="shared" si="270"/>
        <v>29.710000000000001</v>
      </c>
      <c r="H5808" s="22">
        <v>0</v>
      </c>
      <c r="I5808" s="23" t="str">
        <f t="shared" si="271"/>
        <v xml:space="preserve">COM VALOR</v>
      </c>
      <c r="J5808" s="19"/>
      <c r="L5808" s="21">
        <v>30.59</v>
      </c>
      <c r="M5808" s="22">
        <v>0</v>
      </c>
      <c r="N5808" s="21">
        <v>29.710000000000001</v>
      </c>
      <c r="O5808" s="22">
        <v>0</v>
      </c>
    </row>
    <row r="5809" ht="25.5">
      <c r="A5809" t="s">
        <v>5734</v>
      </c>
      <c r="B5809" s="19">
        <v>89628</v>
      </c>
      <c r="C5809" s="20" t="s">
        <v>5920</v>
      </c>
      <c r="D5809" s="19" t="s">
        <v>31</v>
      </c>
      <c r="E5809" s="21">
        <f t="shared" si="269"/>
        <v>48.880000000000003</v>
      </c>
      <c r="F5809" s="22">
        <v>0</v>
      </c>
      <c r="G5809" s="21">
        <f t="shared" si="270"/>
        <v>48.310000000000002</v>
      </c>
      <c r="H5809" s="22">
        <v>0</v>
      </c>
      <c r="I5809" s="23" t="str">
        <f t="shared" si="271"/>
        <v xml:space="preserve">COM VALOR</v>
      </c>
      <c r="J5809" s="19"/>
      <c r="L5809" s="21">
        <v>48.880000000000003</v>
      </c>
      <c r="M5809" s="22">
        <v>0</v>
      </c>
      <c r="N5809" s="21">
        <v>48.310000000000002</v>
      </c>
      <c r="O5809" s="22">
        <v>0</v>
      </c>
    </row>
    <row r="5810" ht="25.5">
      <c r="A5810" t="s">
        <v>5734</v>
      </c>
      <c r="B5810" s="19">
        <v>89629</v>
      </c>
      <c r="C5810" s="20" t="s">
        <v>5921</v>
      </c>
      <c r="D5810" s="19" t="s">
        <v>31</v>
      </c>
      <c r="E5810" s="21">
        <f t="shared" si="269"/>
        <v>81.989999999999995</v>
      </c>
      <c r="F5810" s="22">
        <v>0</v>
      </c>
      <c r="G5810" s="21">
        <f t="shared" si="270"/>
        <v>81.280000000000001</v>
      </c>
      <c r="H5810" s="22">
        <v>0</v>
      </c>
      <c r="I5810" s="23" t="str">
        <f t="shared" si="271"/>
        <v xml:space="preserve">COM VALOR</v>
      </c>
      <c r="J5810" s="19"/>
      <c r="L5810" s="21">
        <v>81.989999999999995</v>
      </c>
      <c r="M5810" s="22">
        <v>0</v>
      </c>
      <c r="N5810" s="21">
        <v>81.280000000000001</v>
      </c>
      <c r="O5810" s="22">
        <v>0</v>
      </c>
    </row>
    <row r="5811" ht="25.5">
      <c r="A5811" t="s">
        <v>5734</v>
      </c>
      <c r="B5811" s="19">
        <v>89631</v>
      </c>
      <c r="C5811" s="20" t="s">
        <v>5922</v>
      </c>
      <c r="D5811" s="19" t="s">
        <v>31</v>
      </c>
      <c r="E5811" s="21">
        <f t="shared" si="269"/>
        <v>107.48999999999999</v>
      </c>
      <c r="F5811" s="22">
        <v>0</v>
      </c>
      <c r="G5811" s="21">
        <f t="shared" si="270"/>
        <v>106.69</v>
      </c>
      <c r="H5811" s="22">
        <v>0</v>
      </c>
      <c r="I5811" s="23" t="str">
        <f t="shared" si="271"/>
        <v xml:space="preserve">COM VALOR</v>
      </c>
      <c r="J5811" s="19"/>
      <c r="L5811" s="21">
        <v>107.48999999999999</v>
      </c>
      <c r="M5811" s="22">
        <v>0</v>
      </c>
      <c r="N5811" s="21">
        <v>106.69</v>
      </c>
      <c r="O5811" s="22">
        <v>0</v>
      </c>
    </row>
    <row r="5812" ht="25.5">
      <c r="A5812" t="s">
        <v>5734</v>
      </c>
      <c r="B5812" s="19">
        <v>89401</v>
      </c>
      <c r="C5812" s="20" t="s">
        <v>5923</v>
      </c>
      <c r="D5812" s="19" t="s">
        <v>38</v>
      </c>
      <c r="E5812" s="21">
        <f t="shared" si="269"/>
        <v>11.050000000000001</v>
      </c>
      <c r="F5812" s="22">
        <v>0</v>
      </c>
      <c r="G5812" s="21">
        <f t="shared" si="270"/>
        <v>10.66</v>
      </c>
      <c r="H5812" s="22">
        <v>0</v>
      </c>
      <c r="I5812" s="23" t="str">
        <f t="shared" si="271"/>
        <v xml:space="preserve">COM VALOR</v>
      </c>
      <c r="J5812" s="19"/>
      <c r="L5812" s="21">
        <v>11.050000000000001</v>
      </c>
      <c r="M5812" s="22">
        <v>0</v>
      </c>
      <c r="N5812" s="21">
        <v>10.66</v>
      </c>
      <c r="O5812" s="22">
        <v>0</v>
      </c>
    </row>
    <row r="5813" ht="25.5">
      <c r="A5813" t="s">
        <v>5734</v>
      </c>
      <c r="B5813" s="19">
        <v>89355</v>
      </c>
      <c r="C5813" s="20" t="s">
        <v>5924</v>
      </c>
      <c r="D5813" s="19" t="s">
        <v>38</v>
      </c>
      <c r="E5813" s="21">
        <f t="shared" si="269"/>
        <v>20.899999999999999</v>
      </c>
      <c r="F5813" s="22">
        <v>0</v>
      </c>
      <c r="G5813" s="21">
        <f t="shared" si="270"/>
        <v>19.960000000000001</v>
      </c>
      <c r="H5813" s="22">
        <v>0</v>
      </c>
      <c r="I5813" s="23" t="str">
        <f t="shared" si="271"/>
        <v xml:space="preserve">COM VALOR</v>
      </c>
      <c r="J5813" s="19"/>
      <c r="L5813" s="21">
        <v>20.899999999999999</v>
      </c>
      <c r="M5813" s="22">
        <v>0</v>
      </c>
      <c r="N5813" s="21">
        <v>19.960000000000001</v>
      </c>
      <c r="O5813" s="22">
        <v>0</v>
      </c>
    </row>
    <row r="5814" ht="25.5">
      <c r="A5814" t="s">
        <v>5734</v>
      </c>
      <c r="B5814" s="19">
        <v>89446</v>
      </c>
      <c r="C5814" s="20" t="s">
        <v>5925</v>
      </c>
      <c r="D5814" s="19" t="s">
        <v>38</v>
      </c>
      <c r="E5814" s="21">
        <f t="shared" si="269"/>
        <v>5.5300000000000002</v>
      </c>
      <c r="F5814" s="22">
        <v>0</v>
      </c>
      <c r="G5814" s="21">
        <f t="shared" si="270"/>
        <v>5.4800000000000004</v>
      </c>
      <c r="H5814" s="22">
        <v>0</v>
      </c>
      <c r="I5814" s="23" t="str">
        <f t="shared" si="271"/>
        <v xml:space="preserve">COM VALOR</v>
      </c>
      <c r="J5814" s="19"/>
      <c r="L5814" s="21">
        <v>5.5300000000000002</v>
      </c>
      <c r="M5814" s="22">
        <v>0</v>
      </c>
      <c r="N5814" s="21">
        <v>5.4800000000000004</v>
      </c>
      <c r="O5814" s="22">
        <v>0</v>
      </c>
    </row>
    <row r="5815" ht="25.5">
      <c r="A5815" t="s">
        <v>5734</v>
      </c>
      <c r="B5815" s="19">
        <v>89402</v>
      </c>
      <c r="C5815" s="20" t="s">
        <v>5926</v>
      </c>
      <c r="D5815" s="19" t="s">
        <v>38</v>
      </c>
      <c r="E5815" s="21">
        <f t="shared" si="269"/>
        <v>12.699999999999999</v>
      </c>
      <c r="F5815" s="22">
        <v>0</v>
      </c>
      <c r="G5815" s="21">
        <f t="shared" si="270"/>
        <v>12.24</v>
      </c>
      <c r="H5815" s="22">
        <v>0</v>
      </c>
      <c r="I5815" s="23" t="str">
        <f t="shared" si="271"/>
        <v xml:space="preserve">COM VALOR</v>
      </c>
      <c r="J5815" s="19"/>
      <c r="L5815" s="21">
        <v>12.699999999999999</v>
      </c>
      <c r="M5815" s="22">
        <v>0</v>
      </c>
      <c r="N5815" s="21">
        <v>12.24</v>
      </c>
      <c r="O5815" s="22">
        <v>0</v>
      </c>
    </row>
    <row r="5816" ht="25.5">
      <c r="A5816" t="s">
        <v>5734</v>
      </c>
      <c r="B5816" s="19">
        <v>89356</v>
      </c>
      <c r="C5816" s="20" t="s">
        <v>5927</v>
      </c>
      <c r="D5816" s="19" t="s">
        <v>38</v>
      </c>
      <c r="E5816" s="21">
        <f t="shared" si="269"/>
        <v>24.100000000000001</v>
      </c>
      <c r="F5816" s="22">
        <v>0</v>
      </c>
      <c r="G5816" s="21">
        <f t="shared" si="270"/>
        <v>23.010000000000002</v>
      </c>
      <c r="H5816" s="22">
        <v>0</v>
      </c>
      <c r="I5816" s="23" t="str">
        <f t="shared" si="271"/>
        <v xml:space="preserve">COM VALOR</v>
      </c>
      <c r="J5816" s="19"/>
      <c r="L5816" s="21">
        <v>24.100000000000001</v>
      </c>
      <c r="M5816" s="22">
        <v>0</v>
      </c>
      <c r="N5816" s="21">
        <v>23.010000000000002</v>
      </c>
      <c r="O5816" s="22">
        <v>0</v>
      </c>
    </row>
    <row r="5817" ht="25.5">
      <c r="A5817" t="s">
        <v>5734</v>
      </c>
      <c r="B5817" s="19">
        <v>89447</v>
      </c>
      <c r="C5817" s="20" t="s">
        <v>5928</v>
      </c>
      <c r="D5817" s="19" t="s">
        <v>38</v>
      </c>
      <c r="E5817" s="21">
        <f t="shared" si="269"/>
        <v>11</v>
      </c>
      <c r="F5817" s="22">
        <v>0</v>
      </c>
      <c r="G5817" s="21">
        <f t="shared" si="270"/>
        <v>10.93</v>
      </c>
      <c r="H5817" s="22">
        <v>0</v>
      </c>
      <c r="I5817" s="23" t="str">
        <f t="shared" si="271"/>
        <v xml:space="preserve">COM VALOR</v>
      </c>
      <c r="J5817" s="19"/>
      <c r="L5817" s="21">
        <v>11</v>
      </c>
      <c r="M5817" s="22">
        <v>0</v>
      </c>
      <c r="N5817" s="21">
        <v>10.93</v>
      </c>
      <c r="O5817" s="22">
        <v>0</v>
      </c>
    </row>
    <row r="5818" ht="25.5">
      <c r="A5818" t="s">
        <v>5734</v>
      </c>
      <c r="B5818" s="19">
        <v>89403</v>
      </c>
      <c r="C5818" s="20" t="s">
        <v>5929</v>
      </c>
      <c r="D5818" s="19" t="s">
        <v>38</v>
      </c>
      <c r="E5818" s="21">
        <f t="shared" si="269"/>
        <v>19.530000000000001</v>
      </c>
      <c r="F5818" s="22">
        <v>0</v>
      </c>
      <c r="G5818" s="21">
        <f t="shared" si="270"/>
        <v>18.98</v>
      </c>
      <c r="H5818" s="22">
        <v>0</v>
      </c>
      <c r="I5818" s="23" t="str">
        <f t="shared" si="271"/>
        <v xml:space="preserve">COM VALOR</v>
      </c>
      <c r="J5818" s="19"/>
      <c r="L5818" s="21">
        <v>19.530000000000001</v>
      </c>
      <c r="M5818" s="22">
        <v>0</v>
      </c>
      <c r="N5818" s="21">
        <v>18.98</v>
      </c>
      <c r="O5818" s="22">
        <v>0</v>
      </c>
    </row>
    <row r="5819" ht="25.5">
      <c r="A5819" t="s">
        <v>5734</v>
      </c>
      <c r="B5819" s="19">
        <v>89357</v>
      </c>
      <c r="C5819" s="20" t="s">
        <v>5930</v>
      </c>
      <c r="D5819" s="19" t="s">
        <v>38</v>
      </c>
      <c r="E5819" s="21">
        <f t="shared" si="269"/>
        <v>33.130000000000003</v>
      </c>
      <c r="F5819" s="22">
        <v>0</v>
      </c>
      <c r="G5819" s="21">
        <f t="shared" si="270"/>
        <v>31.82</v>
      </c>
      <c r="H5819" s="22">
        <v>0</v>
      </c>
      <c r="I5819" s="23" t="str">
        <f t="shared" si="271"/>
        <v xml:space="preserve">COM VALOR</v>
      </c>
      <c r="J5819" s="19"/>
      <c r="L5819" s="21">
        <v>33.130000000000003</v>
      </c>
      <c r="M5819" s="22">
        <v>0</v>
      </c>
      <c r="N5819" s="21">
        <v>31.82</v>
      </c>
      <c r="O5819" s="22">
        <v>0</v>
      </c>
    </row>
    <row r="5820" ht="25.5">
      <c r="A5820" t="s">
        <v>5734</v>
      </c>
      <c r="B5820" s="19">
        <v>89448</v>
      </c>
      <c r="C5820" s="20" t="s">
        <v>5931</v>
      </c>
      <c r="D5820" s="19" t="s">
        <v>38</v>
      </c>
      <c r="E5820" s="21">
        <f t="shared" si="269"/>
        <v>16.82</v>
      </c>
      <c r="F5820" s="22">
        <v>0</v>
      </c>
      <c r="G5820" s="21">
        <f t="shared" si="270"/>
        <v>16.739999999999998</v>
      </c>
      <c r="H5820" s="22">
        <v>0</v>
      </c>
      <c r="I5820" s="23" t="str">
        <f t="shared" si="271"/>
        <v xml:space="preserve">COM VALOR</v>
      </c>
      <c r="J5820" s="19"/>
      <c r="L5820" s="21">
        <v>16.82</v>
      </c>
      <c r="M5820" s="22">
        <v>0</v>
      </c>
      <c r="N5820" s="21">
        <v>16.739999999999998</v>
      </c>
      <c r="O5820" s="22">
        <v>0</v>
      </c>
    </row>
    <row r="5821" ht="25.5">
      <c r="A5821" t="s">
        <v>5734</v>
      </c>
      <c r="B5821" s="19">
        <v>103978</v>
      </c>
      <c r="C5821" s="20" t="s">
        <v>5932</v>
      </c>
      <c r="D5821" s="19" t="s">
        <v>38</v>
      </c>
      <c r="E5821" s="21">
        <f t="shared" si="269"/>
        <v>26.829999999999998</v>
      </c>
      <c r="F5821" s="22">
        <v>0</v>
      </c>
      <c r="G5821" s="21">
        <f t="shared" si="270"/>
        <v>26.190000000000001</v>
      </c>
      <c r="H5821" s="22">
        <v>0</v>
      </c>
      <c r="I5821" s="23" t="str">
        <f t="shared" si="271"/>
        <v xml:space="preserve">COM VALOR</v>
      </c>
      <c r="J5821" s="19"/>
      <c r="L5821" s="21">
        <v>26.829999999999998</v>
      </c>
      <c r="M5821" s="22">
        <v>0</v>
      </c>
      <c r="N5821" s="21">
        <v>26.190000000000001</v>
      </c>
      <c r="O5821" s="22">
        <v>0</v>
      </c>
    </row>
    <row r="5822" ht="25.5">
      <c r="A5822" t="s">
        <v>5734</v>
      </c>
      <c r="B5822" s="19">
        <v>89449</v>
      </c>
      <c r="C5822" s="20" t="s">
        <v>5933</v>
      </c>
      <c r="D5822" s="19" t="s">
        <v>38</v>
      </c>
      <c r="E5822" s="21">
        <f t="shared" si="269"/>
        <v>18.620000000000001</v>
      </c>
      <c r="F5822" s="22">
        <v>0</v>
      </c>
      <c r="G5822" s="21">
        <f t="shared" si="270"/>
        <v>18.530000000000001</v>
      </c>
      <c r="H5822" s="22">
        <v>0</v>
      </c>
      <c r="I5822" s="23" t="str">
        <f t="shared" si="271"/>
        <v xml:space="preserve">COM VALOR</v>
      </c>
      <c r="J5822" s="19"/>
      <c r="L5822" s="21">
        <v>18.620000000000001</v>
      </c>
      <c r="M5822" s="22">
        <v>0</v>
      </c>
      <c r="N5822" s="21">
        <v>18.530000000000001</v>
      </c>
      <c r="O5822" s="22">
        <v>0</v>
      </c>
    </row>
    <row r="5823" ht="25.5">
      <c r="A5823" t="s">
        <v>5734</v>
      </c>
      <c r="B5823" s="19">
        <v>103979</v>
      </c>
      <c r="C5823" s="20" t="s">
        <v>5934</v>
      </c>
      <c r="D5823" s="19" t="s">
        <v>38</v>
      </c>
      <c r="E5823" s="21">
        <f t="shared" si="269"/>
        <v>30.57</v>
      </c>
      <c r="F5823" s="22">
        <v>0</v>
      </c>
      <c r="G5823" s="21">
        <f t="shared" si="270"/>
        <v>29.789999999999999</v>
      </c>
      <c r="H5823" s="22">
        <v>0</v>
      </c>
      <c r="I5823" s="23" t="str">
        <f t="shared" si="271"/>
        <v xml:space="preserve">COM VALOR</v>
      </c>
      <c r="J5823" s="19"/>
      <c r="L5823" s="21">
        <v>30.57</v>
      </c>
      <c r="M5823" s="22">
        <v>0</v>
      </c>
      <c r="N5823" s="21">
        <v>29.789999999999999</v>
      </c>
      <c r="O5823" s="22">
        <v>0</v>
      </c>
    </row>
    <row r="5824" ht="25.5">
      <c r="A5824" t="s">
        <v>5734</v>
      </c>
      <c r="B5824" s="19">
        <v>89450</v>
      </c>
      <c r="C5824" s="20" t="s">
        <v>5935</v>
      </c>
      <c r="D5824" s="19" t="s">
        <v>38</v>
      </c>
      <c r="E5824" s="21">
        <f t="shared" si="269"/>
        <v>29.82</v>
      </c>
      <c r="F5824" s="22">
        <v>0</v>
      </c>
      <c r="G5824" s="21">
        <f t="shared" si="270"/>
        <v>29.699999999999999</v>
      </c>
      <c r="H5824" s="22">
        <v>0</v>
      </c>
      <c r="I5824" s="23" t="str">
        <f t="shared" si="271"/>
        <v xml:space="preserve">COM VALOR</v>
      </c>
      <c r="J5824" s="19"/>
      <c r="L5824" s="21">
        <v>29.82</v>
      </c>
      <c r="M5824" s="22">
        <v>0</v>
      </c>
      <c r="N5824" s="21">
        <v>29.699999999999999</v>
      </c>
      <c r="O5824" s="22">
        <v>0</v>
      </c>
    </row>
    <row r="5825" ht="25.5">
      <c r="A5825" t="s">
        <v>5734</v>
      </c>
      <c r="B5825" s="19">
        <v>89451</v>
      </c>
      <c r="C5825" s="20" t="s">
        <v>5936</v>
      </c>
      <c r="D5825" s="19" t="s">
        <v>38</v>
      </c>
      <c r="E5825" s="21">
        <f t="shared" si="269"/>
        <v>48.57</v>
      </c>
      <c r="F5825" s="22">
        <v>0</v>
      </c>
      <c r="G5825" s="21">
        <f t="shared" si="270"/>
        <v>48.43</v>
      </c>
      <c r="H5825" s="22">
        <v>0</v>
      </c>
      <c r="I5825" s="23" t="str">
        <f t="shared" si="271"/>
        <v xml:space="preserve">COM VALOR</v>
      </c>
      <c r="J5825" s="19"/>
      <c r="L5825" s="21">
        <v>48.57</v>
      </c>
      <c r="M5825" s="22">
        <v>0</v>
      </c>
      <c r="N5825" s="21">
        <v>48.43</v>
      </c>
      <c r="O5825" s="22">
        <v>0</v>
      </c>
    </row>
    <row r="5826" ht="25.5">
      <c r="A5826" t="s">
        <v>5734</v>
      </c>
      <c r="B5826" s="19">
        <v>89452</v>
      </c>
      <c r="C5826" s="20" t="s">
        <v>5937</v>
      </c>
      <c r="D5826" s="19" t="s">
        <v>38</v>
      </c>
      <c r="E5826" s="21">
        <f t="shared" si="269"/>
        <v>66.870000000000005</v>
      </c>
      <c r="F5826" s="22">
        <v>0</v>
      </c>
      <c r="G5826" s="21">
        <f t="shared" si="270"/>
        <v>66.709999999999994</v>
      </c>
      <c r="H5826" s="22">
        <v>0</v>
      </c>
      <c r="I5826" s="23" t="str">
        <f t="shared" si="271"/>
        <v xml:space="preserve">COM VALOR</v>
      </c>
      <c r="J5826" s="19"/>
      <c r="L5826" s="21">
        <v>66.870000000000005</v>
      </c>
      <c r="M5826" s="22">
        <v>0</v>
      </c>
      <c r="N5826" s="21">
        <v>66.709999999999994</v>
      </c>
      <c r="O5826" s="22">
        <v>0</v>
      </c>
    </row>
    <row r="5827" ht="38.25">
      <c r="A5827" t="s">
        <v>5734</v>
      </c>
      <c r="B5827" s="19">
        <v>89394</v>
      </c>
      <c r="C5827" s="20" t="s">
        <v>5938</v>
      </c>
      <c r="D5827" s="19" t="s">
        <v>31</v>
      </c>
      <c r="E5827" s="21">
        <f t="shared" si="269"/>
        <v>19.16</v>
      </c>
      <c r="F5827" s="22">
        <v>0</v>
      </c>
      <c r="G5827" s="21">
        <f t="shared" si="270"/>
        <v>18.699999999999999</v>
      </c>
      <c r="H5827" s="22">
        <v>0</v>
      </c>
      <c r="I5827" s="23" t="str">
        <f t="shared" si="271"/>
        <v xml:space="preserve">COM VALOR</v>
      </c>
      <c r="J5827" s="19"/>
      <c r="L5827" s="21">
        <v>19.16</v>
      </c>
      <c r="M5827" s="22">
        <v>0</v>
      </c>
      <c r="N5827" s="21">
        <v>18.699999999999999</v>
      </c>
      <c r="O5827" s="22">
        <v>0</v>
      </c>
    </row>
    <row r="5828" ht="38.25">
      <c r="A5828" t="s">
        <v>5734</v>
      </c>
      <c r="B5828" s="19">
        <v>89396</v>
      </c>
      <c r="C5828" s="20" t="s">
        <v>5939</v>
      </c>
      <c r="D5828" s="19" t="s">
        <v>31</v>
      </c>
      <c r="E5828" s="21">
        <f t="shared" si="269"/>
        <v>21.02</v>
      </c>
      <c r="F5828" s="22">
        <v>0</v>
      </c>
      <c r="G5828" s="21">
        <f t="shared" si="270"/>
        <v>20.52</v>
      </c>
      <c r="H5828" s="22">
        <v>0</v>
      </c>
      <c r="I5828" s="23" t="str">
        <f t="shared" si="271"/>
        <v xml:space="preserve">COM VALOR</v>
      </c>
      <c r="J5828" s="19"/>
      <c r="L5828" s="21">
        <v>21.02</v>
      </c>
      <c r="M5828" s="22">
        <v>0</v>
      </c>
      <c r="N5828" s="21">
        <v>20.52</v>
      </c>
      <c r="O5828" s="22">
        <v>0</v>
      </c>
    </row>
    <row r="5829" ht="38.25">
      <c r="A5829" t="s">
        <v>5734</v>
      </c>
      <c r="B5829" s="19">
        <v>90374</v>
      </c>
      <c r="C5829" s="20" t="s">
        <v>5940</v>
      </c>
      <c r="D5829" s="19" t="s">
        <v>31</v>
      </c>
      <c r="E5829" s="21">
        <f t="shared" si="269"/>
        <v>22.780000000000001</v>
      </c>
      <c r="F5829" s="22">
        <v>0</v>
      </c>
      <c r="G5829" s="21">
        <f t="shared" si="270"/>
        <v>22.239999999999998</v>
      </c>
      <c r="H5829" s="22">
        <v>0</v>
      </c>
      <c r="I5829" s="23" t="str">
        <f t="shared" si="271"/>
        <v xml:space="preserve">COM VALOR</v>
      </c>
      <c r="J5829" s="19"/>
      <c r="L5829" s="21">
        <v>22.780000000000001</v>
      </c>
      <c r="M5829" s="22">
        <v>0</v>
      </c>
      <c r="N5829" s="21">
        <v>22.239999999999998</v>
      </c>
      <c r="O5829" s="22">
        <v>0</v>
      </c>
    </row>
    <row r="5830" ht="38.25">
      <c r="A5830" t="s">
        <v>5734</v>
      </c>
      <c r="B5830" s="19">
        <v>89444</v>
      </c>
      <c r="C5830" s="20" t="s">
        <v>5941</v>
      </c>
      <c r="D5830" s="19" t="s">
        <v>31</v>
      </c>
      <c r="E5830" s="21">
        <f t="shared" si="269"/>
        <v>24.879999999999999</v>
      </c>
      <c r="F5830" s="22">
        <v>0</v>
      </c>
      <c r="G5830" s="21">
        <f t="shared" si="270"/>
        <v>24.34</v>
      </c>
      <c r="H5830" s="22">
        <v>0</v>
      </c>
      <c r="I5830" s="23" t="str">
        <f t="shared" si="271"/>
        <v xml:space="preserve">COM VALOR</v>
      </c>
      <c r="J5830" s="19"/>
      <c r="L5830" s="21">
        <v>24.879999999999999</v>
      </c>
      <c r="M5830" s="22">
        <v>0</v>
      </c>
      <c r="N5830" s="21">
        <v>24.34</v>
      </c>
      <c r="O5830" s="22">
        <v>0</v>
      </c>
    </row>
    <row r="5831" ht="38.25">
      <c r="A5831" t="s">
        <v>5734</v>
      </c>
      <c r="B5831" s="19">
        <v>89399</v>
      </c>
      <c r="C5831" s="20" t="s">
        <v>5942</v>
      </c>
      <c r="D5831" s="19" t="s">
        <v>31</v>
      </c>
      <c r="E5831" s="21">
        <f t="shared" si="269"/>
        <v>25.52</v>
      </c>
      <c r="F5831" s="22">
        <v>0</v>
      </c>
      <c r="G5831" s="21">
        <f t="shared" si="270"/>
        <v>24.949999999999999</v>
      </c>
      <c r="H5831" s="22">
        <v>0</v>
      </c>
      <c r="I5831" s="23" t="str">
        <f t="shared" si="271"/>
        <v xml:space="preserve">COM VALOR</v>
      </c>
      <c r="J5831" s="19"/>
      <c r="L5831" s="21">
        <v>25.52</v>
      </c>
      <c r="M5831" s="22">
        <v>0</v>
      </c>
      <c r="N5831" s="21">
        <v>24.949999999999999</v>
      </c>
      <c r="O5831" s="22">
        <v>0</v>
      </c>
    </row>
    <row r="5832" ht="38.25">
      <c r="A5832" t="s">
        <v>5734</v>
      </c>
      <c r="B5832" s="19">
        <v>89442</v>
      </c>
      <c r="C5832" s="20" t="s">
        <v>5943</v>
      </c>
      <c r="D5832" s="19" t="s">
        <v>31</v>
      </c>
      <c r="E5832" s="21">
        <f t="shared" si="269"/>
        <v>14.279999999999999</v>
      </c>
      <c r="F5832" s="22">
        <v>0</v>
      </c>
      <c r="G5832" s="21">
        <f t="shared" si="270"/>
        <v>13.789999999999999</v>
      </c>
      <c r="H5832" s="22">
        <v>0</v>
      </c>
      <c r="I5832" s="23" t="str">
        <f t="shared" si="271"/>
        <v xml:space="preserve">COM VALOR</v>
      </c>
      <c r="J5832" s="19"/>
      <c r="L5832" s="21">
        <v>14.279999999999999</v>
      </c>
      <c r="M5832" s="22">
        <v>0</v>
      </c>
      <c r="N5832" s="21">
        <v>13.789999999999999</v>
      </c>
      <c r="O5832" s="22">
        <v>0</v>
      </c>
    </row>
    <row r="5833" ht="38.25">
      <c r="A5833" t="s">
        <v>5734</v>
      </c>
      <c r="B5833" s="19">
        <v>89397</v>
      </c>
      <c r="C5833" s="20" t="s">
        <v>5944</v>
      </c>
      <c r="D5833" s="19" t="s">
        <v>31</v>
      </c>
      <c r="E5833" s="21">
        <f t="shared" si="269"/>
        <v>15.300000000000001</v>
      </c>
      <c r="F5833" s="22">
        <v>0</v>
      </c>
      <c r="G5833" s="21">
        <f t="shared" si="270"/>
        <v>14.76</v>
      </c>
      <c r="H5833" s="22">
        <v>0</v>
      </c>
      <c r="I5833" s="23" t="str">
        <f t="shared" si="271"/>
        <v xml:space="preserve">COM VALOR</v>
      </c>
      <c r="J5833" s="19"/>
      <c r="L5833" s="21">
        <v>15.300000000000001</v>
      </c>
      <c r="M5833" s="22">
        <v>0</v>
      </c>
      <c r="N5833" s="21">
        <v>14.76</v>
      </c>
      <c r="O5833" s="22">
        <v>0</v>
      </c>
    </row>
    <row r="5834" ht="25.5">
      <c r="A5834" t="s">
        <v>5734</v>
      </c>
      <c r="B5834" s="19">
        <v>89622</v>
      </c>
      <c r="C5834" s="20" t="s">
        <v>5945</v>
      </c>
      <c r="D5834" s="19" t="s">
        <v>31</v>
      </c>
      <c r="E5834" s="21">
        <f t="shared" si="269"/>
        <v>14.52</v>
      </c>
      <c r="F5834" s="22">
        <v>0</v>
      </c>
      <c r="G5834" s="21">
        <f t="shared" si="270"/>
        <v>14.220000000000001</v>
      </c>
      <c r="H5834" s="22">
        <v>0</v>
      </c>
      <c r="I5834" s="23" t="str">
        <f t="shared" si="271"/>
        <v xml:space="preserve">COM VALOR</v>
      </c>
      <c r="J5834" s="19"/>
      <c r="L5834" s="21">
        <v>14.52</v>
      </c>
      <c r="M5834" s="22">
        <v>0</v>
      </c>
      <c r="N5834" s="21">
        <v>14.220000000000001</v>
      </c>
      <c r="O5834" s="22">
        <v>0</v>
      </c>
    </row>
    <row r="5835" ht="38.25">
      <c r="A5835" t="s">
        <v>5734</v>
      </c>
      <c r="B5835" s="19">
        <v>89445</v>
      </c>
      <c r="C5835" s="20" t="s">
        <v>5946</v>
      </c>
      <c r="D5835" s="19" t="s">
        <v>31</v>
      </c>
      <c r="E5835" s="21">
        <f t="shared" ref="E5835:E5898" si="272">IF(L5835=0,"VERIFICAR",L5835)</f>
        <v>19.399999999999999</v>
      </c>
      <c r="F5835" s="22">
        <v>0</v>
      </c>
      <c r="G5835" s="21">
        <f t="shared" ref="G5835:G5898" si="273">IF(N5835=0,"VERIFICAR",N5835)</f>
        <v>18.82</v>
      </c>
      <c r="H5835" s="22">
        <v>0</v>
      </c>
      <c r="I5835" s="23" t="str">
        <f t="shared" ref="I5835:I5898" si="274">IF(OR(E5835=0,G5835=0),"SEM VALOR","COM VALOR")</f>
        <v xml:space="preserve">COM VALOR</v>
      </c>
      <c r="J5835" s="19"/>
      <c r="L5835" s="21">
        <v>19.399999999999999</v>
      </c>
      <c r="M5835" s="22">
        <v>0</v>
      </c>
      <c r="N5835" s="21">
        <v>18.82</v>
      </c>
      <c r="O5835" s="22">
        <v>0</v>
      </c>
    </row>
    <row r="5836" ht="38.25">
      <c r="A5836" t="s">
        <v>5734</v>
      </c>
      <c r="B5836" s="19">
        <v>89400</v>
      </c>
      <c r="C5836" s="20" t="s">
        <v>5947</v>
      </c>
      <c r="D5836" s="19" t="s">
        <v>31</v>
      </c>
      <c r="E5836" s="21">
        <f t="shared" si="272"/>
        <v>20.609999999999999</v>
      </c>
      <c r="F5836" s="22">
        <v>0</v>
      </c>
      <c r="G5836" s="21">
        <f t="shared" si="273"/>
        <v>19.969999999999999</v>
      </c>
      <c r="H5836" s="22">
        <v>0</v>
      </c>
      <c r="I5836" s="23" t="str">
        <f t="shared" si="274"/>
        <v xml:space="preserve">COM VALOR</v>
      </c>
      <c r="J5836" s="19"/>
      <c r="L5836" s="21">
        <v>20.609999999999999</v>
      </c>
      <c r="M5836" s="22">
        <v>0</v>
      </c>
      <c r="N5836" s="21">
        <v>19.969999999999999</v>
      </c>
      <c r="O5836" s="22">
        <v>0</v>
      </c>
    </row>
    <row r="5837" ht="25.5">
      <c r="A5837" t="s">
        <v>5734</v>
      </c>
      <c r="B5837" s="19">
        <v>89624</v>
      </c>
      <c r="C5837" s="20" t="s">
        <v>5948</v>
      </c>
      <c r="D5837" s="19" t="s">
        <v>31</v>
      </c>
      <c r="E5837" s="21">
        <f t="shared" si="272"/>
        <v>18.43</v>
      </c>
      <c r="F5837" s="22">
        <v>0</v>
      </c>
      <c r="G5837" s="21">
        <f t="shared" si="273"/>
        <v>18.059999999999999</v>
      </c>
      <c r="H5837" s="22">
        <v>0</v>
      </c>
      <c r="I5837" s="23" t="str">
        <f t="shared" si="274"/>
        <v xml:space="preserve">COM VALOR</v>
      </c>
      <c r="J5837" s="19"/>
      <c r="L5837" s="21">
        <v>18.43</v>
      </c>
      <c r="M5837" s="22">
        <v>0</v>
      </c>
      <c r="N5837" s="21">
        <v>18.059999999999999</v>
      </c>
      <c r="O5837" s="22">
        <v>0</v>
      </c>
    </row>
    <row r="5838" ht="38.25">
      <c r="A5838" t="s">
        <v>5734</v>
      </c>
      <c r="B5838" s="19">
        <v>104012</v>
      </c>
      <c r="C5838" s="20" t="s">
        <v>5949</v>
      </c>
      <c r="D5838" s="19" t="s">
        <v>31</v>
      </c>
      <c r="E5838" s="21">
        <f t="shared" si="272"/>
        <v>24.059999999999999</v>
      </c>
      <c r="F5838" s="22">
        <v>0</v>
      </c>
      <c r="G5838" s="21">
        <f t="shared" si="273"/>
        <v>23.390000000000001</v>
      </c>
      <c r="H5838" s="22">
        <v>0</v>
      </c>
      <c r="I5838" s="23" t="str">
        <f t="shared" si="274"/>
        <v xml:space="preserve">COM VALOR</v>
      </c>
      <c r="J5838" s="19"/>
      <c r="L5838" s="21">
        <v>24.059999999999999</v>
      </c>
      <c r="M5838" s="22">
        <v>0</v>
      </c>
      <c r="N5838" s="21">
        <v>23.390000000000001</v>
      </c>
      <c r="O5838" s="22">
        <v>0</v>
      </c>
    </row>
    <row r="5839" ht="25.5">
      <c r="A5839" t="s">
        <v>5734</v>
      </c>
      <c r="B5839" s="19">
        <v>89627</v>
      </c>
      <c r="C5839" s="20" t="s">
        <v>5950</v>
      </c>
      <c r="D5839" s="19" t="s">
        <v>31</v>
      </c>
      <c r="E5839" s="21">
        <f t="shared" si="272"/>
        <v>20.68</v>
      </c>
      <c r="F5839" s="22">
        <v>0</v>
      </c>
      <c r="G5839" s="21">
        <f t="shared" si="273"/>
        <v>20.300000000000001</v>
      </c>
      <c r="H5839" s="22">
        <v>0</v>
      </c>
      <c r="I5839" s="23" t="str">
        <f t="shared" si="274"/>
        <v xml:space="preserve">COM VALOR</v>
      </c>
      <c r="J5839" s="19"/>
      <c r="L5839" s="21">
        <v>20.68</v>
      </c>
      <c r="M5839" s="22">
        <v>0</v>
      </c>
      <c r="N5839" s="21">
        <v>20.300000000000001</v>
      </c>
      <c r="O5839" s="22">
        <v>0</v>
      </c>
    </row>
    <row r="5840" ht="38.25">
      <c r="A5840" t="s">
        <v>5734</v>
      </c>
      <c r="B5840" s="19">
        <v>104006</v>
      </c>
      <c r="C5840" s="20" t="s">
        <v>5951</v>
      </c>
      <c r="D5840" s="19" t="s">
        <v>31</v>
      </c>
      <c r="E5840" s="21">
        <f t="shared" si="272"/>
        <v>25.850000000000001</v>
      </c>
      <c r="F5840" s="22">
        <v>0</v>
      </c>
      <c r="G5840" s="21">
        <f t="shared" si="273"/>
        <v>25.18</v>
      </c>
      <c r="H5840" s="22">
        <v>0</v>
      </c>
      <c r="I5840" s="23" t="str">
        <f t="shared" si="274"/>
        <v xml:space="preserve">COM VALOR</v>
      </c>
      <c r="J5840" s="19"/>
      <c r="L5840" s="21">
        <v>25.850000000000001</v>
      </c>
      <c r="M5840" s="22">
        <v>0</v>
      </c>
      <c r="N5840" s="21">
        <v>25.18</v>
      </c>
      <c r="O5840" s="22">
        <v>0</v>
      </c>
    </row>
    <row r="5841" ht="25.5">
      <c r="A5841" t="s">
        <v>5734</v>
      </c>
      <c r="B5841" s="19">
        <v>89626</v>
      </c>
      <c r="C5841" s="20" t="s">
        <v>5952</v>
      </c>
      <c r="D5841" s="19" t="s">
        <v>31</v>
      </c>
      <c r="E5841" s="21">
        <f t="shared" si="272"/>
        <v>30.77</v>
      </c>
      <c r="F5841" s="22">
        <v>0</v>
      </c>
      <c r="G5841" s="21">
        <f t="shared" si="273"/>
        <v>30.329999999999998</v>
      </c>
      <c r="H5841" s="22">
        <v>0</v>
      </c>
      <c r="I5841" s="23" t="str">
        <f t="shared" si="274"/>
        <v xml:space="preserve">COM VALOR</v>
      </c>
      <c r="J5841" s="19"/>
      <c r="L5841" s="21">
        <v>30.77</v>
      </c>
      <c r="M5841" s="22">
        <v>0</v>
      </c>
      <c r="N5841" s="21">
        <v>30.329999999999998</v>
      </c>
      <c r="O5841" s="22">
        <v>0</v>
      </c>
    </row>
    <row r="5842" ht="38.25">
      <c r="A5842" t="s">
        <v>5734</v>
      </c>
      <c r="B5842" s="19">
        <v>104005</v>
      </c>
      <c r="C5842" s="20" t="s">
        <v>5953</v>
      </c>
      <c r="D5842" s="19" t="s">
        <v>31</v>
      </c>
      <c r="E5842" s="21">
        <f t="shared" si="272"/>
        <v>37.329999999999998</v>
      </c>
      <c r="F5842" s="22">
        <v>0</v>
      </c>
      <c r="G5842" s="21">
        <f t="shared" si="273"/>
        <v>36.509999999999998</v>
      </c>
      <c r="H5842" s="22">
        <v>0</v>
      </c>
      <c r="I5842" s="23" t="str">
        <f t="shared" si="274"/>
        <v xml:space="preserve">COM VALOR</v>
      </c>
      <c r="J5842" s="19"/>
      <c r="L5842" s="21">
        <v>37.329999999999998</v>
      </c>
      <c r="M5842" s="22">
        <v>0</v>
      </c>
      <c r="N5842" s="21">
        <v>36.509999999999998</v>
      </c>
      <c r="O5842" s="22">
        <v>0</v>
      </c>
    </row>
    <row r="5843" ht="38.25">
      <c r="A5843" t="s">
        <v>5734</v>
      </c>
      <c r="B5843" s="19">
        <v>89439</v>
      </c>
      <c r="C5843" s="20" t="s">
        <v>5954</v>
      </c>
      <c r="D5843" s="19" t="s">
        <v>31</v>
      </c>
      <c r="E5843" s="21">
        <f t="shared" si="272"/>
        <v>12.01</v>
      </c>
      <c r="F5843" s="22">
        <v>0</v>
      </c>
      <c r="G5843" s="21">
        <f t="shared" si="273"/>
        <v>11.550000000000001</v>
      </c>
      <c r="H5843" s="22">
        <v>0</v>
      </c>
      <c r="I5843" s="23" t="str">
        <f t="shared" si="274"/>
        <v xml:space="preserve">COM VALOR</v>
      </c>
      <c r="J5843" s="19"/>
      <c r="L5843" s="21">
        <v>12.01</v>
      </c>
      <c r="M5843" s="22">
        <v>0</v>
      </c>
      <c r="N5843" s="21">
        <v>11.550000000000001</v>
      </c>
      <c r="O5843" s="22">
        <v>0</v>
      </c>
    </row>
    <row r="5844" ht="25.5">
      <c r="A5844" t="s">
        <v>5734</v>
      </c>
      <c r="B5844" s="19">
        <v>89421</v>
      </c>
      <c r="C5844" s="20" t="s">
        <v>5955</v>
      </c>
      <c r="D5844" s="19" t="s">
        <v>31</v>
      </c>
      <c r="E5844" s="21">
        <f t="shared" si="272"/>
        <v>11.82</v>
      </c>
      <c r="F5844" s="22">
        <v>0</v>
      </c>
      <c r="G5844" s="21">
        <f t="shared" si="273"/>
        <v>11.59</v>
      </c>
      <c r="H5844" s="22">
        <v>0</v>
      </c>
      <c r="I5844" s="23" t="str">
        <f t="shared" si="274"/>
        <v xml:space="preserve">COM VALOR</v>
      </c>
      <c r="J5844" s="19"/>
      <c r="L5844" s="21">
        <v>11.82</v>
      </c>
      <c r="M5844" s="22">
        <v>0</v>
      </c>
      <c r="N5844" s="21">
        <v>11.59</v>
      </c>
      <c r="O5844" s="22">
        <v>0</v>
      </c>
    </row>
    <row r="5845" ht="25.5">
      <c r="A5845" t="s">
        <v>5734</v>
      </c>
      <c r="B5845" s="19">
        <v>89375</v>
      </c>
      <c r="C5845" s="20" t="s">
        <v>5956</v>
      </c>
      <c r="D5845" s="19" t="s">
        <v>31</v>
      </c>
      <c r="E5845" s="21">
        <f t="shared" si="272"/>
        <v>12.300000000000001</v>
      </c>
      <c r="F5845" s="22">
        <v>0</v>
      </c>
      <c r="G5845" s="21">
        <f t="shared" si="273"/>
        <v>12.050000000000001</v>
      </c>
      <c r="H5845" s="22">
        <v>0</v>
      </c>
      <c r="I5845" s="23" t="str">
        <f t="shared" si="274"/>
        <v xml:space="preserve">COM VALOR</v>
      </c>
      <c r="J5845" s="19"/>
      <c r="L5845" s="21">
        <v>12.300000000000001</v>
      </c>
      <c r="M5845" s="22">
        <v>0</v>
      </c>
      <c r="N5845" s="21">
        <v>12.050000000000001</v>
      </c>
      <c r="O5845" s="22">
        <v>0</v>
      </c>
    </row>
    <row r="5846" ht="25.5">
      <c r="A5846" t="s">
        <v>5734</v>
      </c>
      <c r="B5846" s="19">
        <v>89536</v>
      </c>
      <c r="C5846" s="20" t="s">
        <v>5957</v>
      </c>
      <c r="D5846" s="19" t="s">
        <v>31</v>
      </c>
      <c r="E5846" s="21">
        <f t="shared" si="272"/>
        <v>11.98</v>
      </c>
      <c r="F5846" s="22">
        <v>0</v>
      </c>
      <c r="G5846" s="21">
        <f t="shared" si="273"/>
        <v>11.84</v>
      </c>
      <c r="H5846" s="22">
        <v>0</v>
      </c>
      <c r="I5846" s="23" t="str">
        <f t="shared" si="274"/>
        <v xml:space="preserve">COM VALOR</v>
      </c>
      <c r="J5846" s="19"/>
      <c r="L5846" s="21">
        <v>11.98</v>
      </c>
      <c r="M5846" s="22">
        <v>0</v>
      </c>
      <c r="N5846" s="21">
        <v>11.84</v>
      </c>
      <c r="O5846" s="22">
        <v>0</v>
      </c>
    </row>
    <row r="5847" ht="25.5">
      <c r="A5847" t="s">
        <v>5734</v>
      </c>
      <c r="B5847" s="19">
        <v>89428</v>
      </c>
      <c r="C5847" s="20" t="s">
        <v>5958</v>
      </c>
      <c r="D5847" s="19" t="s">
        <v>31</v>
      </c>
      <c r="E5847" s="21">
        <f t="shared" si="272"/>
        <v>14.25</v>
      </c>
      <c r="F5847" s="22">
        <v>0</v>
      </c>
      <c r="G5847" s="21">
        <f t="shared" si="273"/>
        <v>13.98</v>
      </c>
      <c r="H5847" s="22">
        <v>0</v>
      </c>
      <c r="I5847" s="23" t="str">
        <f t="shared" si="274"/>
        <v xml:space="preserve">COM VALOR</v>
      </c>
      <c r="J5847" s="19"/>
      <c r="L5847" s="21">
        <v>14.25</v>
      </c>
      <c r="M5847" s="22">
        <v>0</v>
      </c>
      <c r="N5847" s="21">
        <v>13.98</v>
      </c>
      <c r="O5847" s="22">
        <v>0</v>
      </c>
    </row>
    <row r="5848" ht="25.5">
      <c r="A5848" t="s">
        <v>5734</v>
      </c>
      <c r="B5848" s="19">
        <v>89382</v>
      </c>
      <c r="C5848" s="20" t="s">
        <v>5959</v>
      </c>
      <c r="D5848" s="19" t="s">
        <v>31</v>
      </c>
      <c r="E5848" s="21">
        <f t="shared" si="272"/>
        <v>14.800000000000001</v>
      </c>
      <c r="F5848" s="22">
        <v>0</v>
      </c>
      <c r="G5848" s="21">
        <f t="shared" si="273"/>
        <v>14.51</v>
      </c>
      <c r="H5848" s="22">
        <v>0</v>
      </c>
      <c r="I5848" s="23" t="str">
        <f t="shared" si="274"/>
        <v xml:space="preserve">COM VALOR</v>
      </c>
      <c r="J5848" s="19"/>
      <c r="L5848" s="21">
        <v>14.800000000000001</v>
      </c>
      <c r="M5848" s="22">
        <v>0</v>
      </c>
      <c r="N5848" s="21">
        <v>14.51</v>
      </c>
      <c r="O5848" s="22">
        <v>0</v>
      </c>
    </row>
    <row r="5849" ht="25.5">
      <c r="A5849" t="s">
        <v>5734</v>
      </c>
      <c r="B5849" s="19">
        <v>89552</v>
      </c>
      <c r="C5849" s="20" t="s">
        <v>5960</v>
      </c>
      <c r="D5849" s="19" t="s">
        <v>31</v>
      </c>
      <c r="E5849" s="21">
        <f t="shared" si="272"/>
        <v>18.649999999999999</v>
      </c>
      <c r="F5849" s="22">
        <v>0</v>
      </c>
      <c r="G5849" s="21">
        <f t="shared" si="273"/>
        <v>18.489999999999998</v>
      </c>
      <c r="H5849" s="22">
        <v>0</v>
      </c>
      <c r="I5849" s="23" t="str">
        <f t="shared" si="274"/>
        <v xml:space="preserve">COM VALOR</v>
      </c>
      <c r="J5849" s="19"/>
      <c r="L5849" s="21">
        <v>18.649999999999999</v>
      </c>
      <c r="M5849" s="22">
        <v>0</v>
      </c>
      <c r="N5849" s="21">
        <v>18.489999999999998</v>
      </c>
      <c r="O5849" s="22">
        <v>0</v>
      </c>
    </row>
    <row r="5850" ht="25.5">
      <c r="A5850" t="s">
        <v>5734</v>
      </c>
      <c r="B5850" s="19">
        <v>89435</v>
      </c>
      <c r="C5850" s="20" t="s">
        <v>5961</v>
      </c>
      <c r="D5850" s="19" t="s">
        <v>31</v>
      </c>
      <c r="E5850" s="21">
        <f t="shared" si="272"/>
        <v>21.280000000000001</v>
      </c>
      <c r="F5850" s="22">
        <v>0</v>
      </c>
      <c r="G5850" s="21">
        <f t="shared" si="273"/>
        <v>20.969999999999999</v>
      </c>
      <c r="H5850" s="22">
        <v>0</v>
      </c>
      <c r="I5850" s="23" t="str">
        <f t="shared" si="274"/>
        <v xml:space="preserve">COM VALOR</v>
      </c>
      <c r="J5850" s="19"/>
      <c r="L5850" s="21">
        <v>21.280000000000001</v>
      </c>
      <c r="M5850" s="22">
        <v>0</v>
      </c>
      <c r="N5850" s="21">
        <v>20.969999999999999</v>
      </c>
      <c r="O5850" s="22">
        <v>0</v>
      </c>
    </row>
    <row r="5851" ht="25.5">
      <c r="A5851" t="s">
        <v>5734</v>
      </c>
      <c r="B5851" s="19">
        <v>89390</v>
      </c>
      <c r="C5851" s="20" t="s">
        <v>5962</v>
      </c>
      <c r="D5851" s="19" t="s">
        <v>31</v>
      </c>
      <c r="E5851" s="21">
        <f t="shared" si="272"/>
        <v>21.949999999999999</v>
      </c>
      <c r="F5851" s="22">
        <v>0</v>
      </c>
      <c r="G5851" s="21">
        <f t="shared" si="273"/>
        <v>21.600000000000001</v>
      </c>
      <c r="H5851" s="22">
        <v>0</v>
      </c>
      <c r="I5851" s="23" t="str">
        <f t="shared" si="274"/>
        <v xml:space="preserve">COM VALOR</v>
      </c>
      <c r="J5851" s="19"/>
      <c r="L5851" s="21">
        <v>21.949999999999999</v>
      </c>
      <c r="M5851" s="22">
        <v>0</v>
      </c>
      <c r="N5851" s="21">
        <v>21.600000000000001</v>
      </c>
      <c r="O5851" s="22">
        <v>0</v>
      </c>
    </row>
    <row r="5852" ht="25.5">
      <c r="A5852" t="s">
        <v>5734</v>
      </c>
      <c r="B5852" s="19">
        <v>89568</v>
      </c>
      <c r="C5852" s="20" t="s">
        <v>5963</v>
      </c>
      <c r="D5852" s="19" t="s">
        <v>31</v>
      </c>
      <c r="E5852" s="21">
        <f t="shared" si="272"/>
        <v>32.659999999999997</v>
      </c>
      <c r="F5852" s="22">
        <v>0</v>
      </c>
      <c r="G5852" s="21">
        <f t="shared" si="273"/>
        <v>32.450000000000003</v>
      </c>
      <c r="H5852" s="22">
        <v>0</v>
      </c>
      <c r="I5852" s="23" t="str">
        <f t="shared" si="274"/>
        <v xml:space="preserve">COM VALOR</v>
      </c>
      <c r="J5852" s="19"/>
      <c r="L5852" s="21">
        <v>32.659999999999997</v>
      </c>
      <c r="M5852" s="22">
        <v>0</v>
      </c>
      <c r="N5852" s="21">
        <v>32.450000000000003</v>
      </c>
      <c r="O5852" s="22">
        <v>0</v>
      </c>
    </row>
    <row r="5853" ht="25.5">
      <c r="A5853" t="s">
        <v>5734</v>
      </c>
      <c r="B5853" s="19">
        <v>103990</v>
      </c>
      <c r="C5853" s="20" t="s">
        <v>5964</v>
      </c>
      <c r="D5853" s="19" t="s">
        <v>31</v>
      </c>
      <c r="E5853" s="21">
        <f t="shared" si="272"/>
        <v>35.719999999999999</v>
      </c>
      <c r="F5853" s="22">
        <v>0</v>
      </c>
      <c r="G5853" s="21">
        <f t="shared" si="273"/>
        <v>35.350000000000001</v>
      </c>
      <c r="H5853" s="22">
        <v>0</v>
      </c>
      <c r="I5853" s="23" t="str">
        <f t="shared" si="274"/>
        <v xml:space="preserve">COM VALOR</v>
      </c>
      <c r="J5853" s="19"/>
      <c r="L5853" s="21">
        <v>35.719999999999999</v>
      </c>
      <c r="M5853" s="22">
        <v>0</v>
      </c>
      <c r="N5853" s="21">
        <v>35.350000000000001</v>
      </c>
      <c r="O5853" s="22">
        <v>0</v>
      </c>
    </row>
    <row r="5854" ht="25.5">
      <c r="A5854" t="s">
        <v>5734</v>
      </c>
      <c r="B5854" s="19">
        <v>89594</v>
      </c>
      <c r="C5854" s="20" t="s">
        <v>5965</v>
      </c>
      <c r="D5854" s="19" t="s">
        <v>31</v>
      </c>
      <c r="E5854" s="21">
        <f t="shared" si="272"/>
        <v>36.32</v>
      </c>
      <c r="F5854" s="22">
        <v>0</v>
      </c>
      <c r="G5854" s="21">
        <f t="shared" si="273"/>
        <v>36.090000000000003</v>
      </c>
      <c r="H5854" s="22">
        <v>0</v>
      </c>
      <c r="I5854" s="23" t="str">
        <f t="shared" si="274"/>
        <v xml:space="preserve">COM VALOR</v>
      </c>
      <c r="J5854" s="19"/>
      <c r="L5854" s="21">
        <v>36.32</v>
      </c>
      <c r="M5854" s="22">
        <v>0</v>
      </c>
      <c r="N5854" s="21">
        <v>36.090000000000003</v>
      </c>
      <c r="O5854" s="22">
        <v>0</v>
      </c>
    </row>
    <row r="5855" ht="25.5">
      <c r="A5855" t="s">
        <v>5734</v>
      </c>
      <c r="B5855" s="19">
        <v>103997</v>
      </c>
      <c r="C5855" s="20" t="s">
        <v>5966</v>
      </c>
      <c r="D5855" s="19" t="s">
        <v>31</v>
      </c>
      <c r="E5855" s="21">
        <f t="shared" si="272"/>
        <v>39.890000000000001</v>
      </c>
      <c r="F5855" s="22">
        <v>0</v>
      </c>
      <c r="G5855" s="21">
        <f t="shared" si="273"/>
        <v>39.460000000000001</v>
      </c>
      <c r="H5855" s="22">
        <v>0</v>
      </c>
      <c r="I5855" s="23" t="str">
        <f t="shared" si="274"/>
        <v xml:space="preserve">COM VALOR</v>
      </c>
      <c r="J5855" s="19"/>
      <c r="L5855" s="21">
        <v>39.890000000000001</v>
      </c>
      <c r="M5855" s="22">
        <v>0</v>
      </c>
      <c r="N5855" s="21">
        <v>39.460000000000001</v>
      </c>
      <c r="O5855" s="22">
        <v>0</v>
      </c>
    </row>
    <row r="5856" ht="25.5">
      <c r="A5856" t="s">
        <v>5734</v>
      </c>
      <c r="B5856" s="19">
        <v>89609</v>
      </c>
      <c r="C5856" s="20" t="s">
        <v>5967</v>
      </c>
      <c r="D5856" s="19" t="s">
        <v>31</v>
      </c>
      <c r="E5856" s="21">
        <f t="shared" si="272"/>
        <v>84.329999999999998</v>
      </c>
      <c r="F5856" s="22">
        <v>0</v>
      </c>
      <c r="G5856" s="21">
        <f t="shared" si="273"/>
        <v>84.049999999999997</v>
      </c>
      <c r="H5856" s="22">
        <v>0</v>
      </c>
      <c r="I5856" s="23" t="str">
        <f t="shared" si="274"/>
        <v xml:space="preserve">COM VALOR</v>
      </c>
      <c r="J5856" s="19"/>
      <c r="L5856" s="21">
        <v>84.329999999999998</v>
      </c>
      <c r="M5856" s="22">
        <v>0</v>
      </c>
      <c r="N5856" s="21">
        <v>84.049999999999997</v>
      </c>
      <c r="O5856" s="22">
        <v>0</v>
      </c>
    </row>
    <row r="5857" ht="25.5">
      <c r="A5857" t="s">
        <v>5734</v>
      </c>
      <c r="B5857" s="19">
        <v>89612</v>
      </c>
      <c r="C5857" s="20" t="s">
        <v>5968</v>
      </c>
      <c r="D5857" s="19" t="s">
        <v>31</v>
      </c>
      <c r="E5857" s="21">
        <f t="shared" si="272"/>
        <v>165.28999999999999</v>
      </c>
      <c r="F5857" s="22">
        <v>0</v>
      </c>
      <c r="G5857" s="21">
        <f t="shared" si="273"/>
        <v>164.93000000000001</v>
      </c>
      <c r="H5857" s="22">
        <v>0</v>
      </c>
      <c r="I5857" s="23" t="str">
        <f t="shared" si="274"/>
        <v xml:space="preserve">COM VALOR</v>
      </c>
      <c r="J5857" s="19"/>
      <c r="L5857" s="21">
        <v>165.28999999999999</v>
      </c>
      <c r="M5857" s="22">
        <v>0</v>
      </c>
      <c r="N5857" s="21">
        <v>164.93000000000001</v>
      </c>
      <c r="O5857" s="22">
        <v>0</v>
      </c>
    </row>
    <row r="5858" ht="25.5">
      <c r="A5858" t="s">
        <v>5734</v>
      </c>
      <c r="B5858" s="19">
        <v>89615</v>
      </c>
      <c r="C5858" s="20" t="s">
        <v>5969</v>
      </c>
      <c r="D5858" s="19" t="s">
        <v>31</v>
      </c>
      <c r="E5858" s="21">
        <f t="shared" si="272"/>
        <v>195.27000000000001</v>
      </c>
      <c r="F5858" s="22">
        <v>0</v>
      </c>
      <c r="G5858" s="21">
        <f t="shared" si="273"/>
        <v>194.88</v>
      </c>
      <c r="H5858" s="22">
        <v>0</v>
      </c>
      <c r="I5858" s="23" t="str">
        <f t="shared" si="274"/>
        <v xml:space="preserve">COM VALOR</v>
      </c>
      <c r="J5858" s="19"/>
      <c r="L5858" s="21">
        <v>195.27000000000001</v>
      </c>
      <c r="M5858" s="22">
        <v>0</v>
      </c>
      <c r="N5858" s="21">
        <v>194.88</v>
      </c>
      <c r="O5858" s="22">
        <v>0</v>
      </c>
    </row>
    <row r="5859" ht="25.5">
      <c r="A5859" t="s">
        <v>5970</v>
      </c>
      <c r="B5859" s="19">
        <v>89747</v>
      </c>
      <c r="C5859" s="20" t="s">
        <v>5971</v>
      </c>
      <c r="D5859" s="19" t="s">
        <v>31</v>
      </c>
      <c r="E5859" s="21">
        <f t="shared" si="272"/>
        <v>33.310000000000002</v>
      </c>
      <c r="F5859" s="22">
        <v>0</v>
      </c>
      <c r="G5859" s="21">
        <f t="shared" si="273"/>
        <v>33.060000000000002</v>
      </c>
      <c r="H5859" s="22">
        <v>0</v>
      </c>
      <c r="I5859" s="23" t="str">
        <f t="shared" si="274"/>
        <v xml:space="preserve">COM VALOR</v>
      </c>
      <c r="J5859" s="19"/>
      <c r="L5859" s="21">
        <v>33.310000000000002</v>
      </c>
      <c r="M5859" s="22">
        <v>0</v>
      </c>
      <c r="N5859" s="21">
        <v>33.060000000000002</v>
      </c>
      <c r="O5859" s="22">
        <v>0</v>
      </c>
    </row>
    <row r="5860" ht="25.5">
      <c r="A5860" t="s">
        <v>5970</v>
      </c>
      <c r="B5860" s="19">
        <v>89656</v>
      </c>
      <c r="C5860" s="20" t="s">
        <v>5972</v>
      </c>
      <c r="D5860" s="19" t="s">
        <v>31</v>
      </c>
      <c r="E5860" s="21">
        <f t="shared" si="272"/>
        <v>25.199999999999999</v>
      </c>
      <c r="F5860" s="22">
        <v>0</v>
      </c>
      <c r="G5860" s="21">
        <f t="shared" si="273"/>
        <v>24.989999999999998</v>
      </c>
      <c r="H5860" s="22">
        <v>0</v>
      </c>
      <c r="I5860" s="23" t="str">
        <f t="shared" si="274"/>
        <v xml:space="preserve">COM VALOR</v>
      </c>
      <c r="J5860" s="19"/>
      <c r="L5860" s="21">
        <v>25.199999999999999</v>
      </c>
      <c r="M5860" s="22">
        <v>0</v>
      </c>
      <c r="N5860" s="21">
        <v>24.989999999999998</v>
      </c>
      <c r="O5860" s="22">
        <v>0</v>
      </c>
    </row>
    <row r="5861" ht="25.5">
      <c r="A5861" t="s">
        <v>5970</v>
      </c>
      <c r="B5861" s="19">
        <v>89663</v>
      </c>
      <c r="C5861" s="20" t="s">
        <v>5973</v>
      </c>
      <c r="D5861" s="19" t="s">
        <v>31</v>
      </c>
      <c r="E5861" s="21">
        <f t="shared" si="272"/>
        <v>33.799999999999997</v>
      </c>
      <c r="F5861" s="22">
        <v>0</v>
      </c>
      <c r="G5861" s="21">
        <f t="shared" si="273"/>
        <v>33.539999999999999</v>
      </c>
      <c r="H5861" s="22">
        <v>0</v>
      </c>
      <c r="I5861" s="23" t="str">
        <f t="shared" si="274"/>
        <v xml:space="preserve">COM VALOR</v>
      </c>
      <c r="J5861" s="19"/>
      <c r="L5861" s="21">
        <v>33.799999999999997</v>
      </c>
      <c r="M5861" s="22">
        <v>0</v>
      </c>
      <c r="N5861" s="21">
        <v>33.539999999999999</v>
      </c>
      <c r="O5861" s="22">
        <v>0</v>
      </c>
    </row>
    <row r="5862" ht="38.25">
      <c r="A5862" t="s">
        <v>5970</v>
      </c>
      <c r="B5862" s="19">
        <v>89759</v>
      </c>
      <c r="C5862" s="20" t="s">
        <v>5974</v>
      </c>
      <c r="D5862" s="19" t="s">
        <v>31</v>
      </c>
      <c r="E5862" s="21">
        <f t="shared" si="272"/>
        <v>12.92</v>
      </c>
      <c r="F5862" s="22">
        <v>0</v>
      </c>
      <c r="G5862" s="21">
        <f t="shared" si="273"/>
        <v>12.65</v>
      </c>
      <c r="H5862" s="22">
        <v>0</v>
      </c>
      <c r="I5862" s="23" t="str">
        <f t="shared" si="274"/>
        <v xml:space="preserve">COM VALOR</v>
      </c>
      <c r="J5862" s="19"/>
      <c r="L5862" s="21">
        <v>12.92</v>
      </c>
      <c r="M5862" s="22">
        <v>0</v>
      </c>
      <c r="N5862" s="21">
        <v>12.65</v>
      </c>
      <c r="O5862" s="22">
        <v>0</v>
      </c>
    </row>
    <row r="5863" ht="38.25">
      <c r="A5863" t="s">
        <v>5970</v>
      </c>
      <c r="B5863" s="19">
        <v>89832</v>
      </c>
      <c r="C5863" s="20" t="s">
        <v>5975</v>
      </c>
      <c r="D5863" s="19" t="s">
        <v>31</v>
      </c>
      <c r="E5863" s="21">
        <f t="shared" si="272"/>
        <v>46.640000000000001</v>
      </c>
      <c r="F5863" s="22">
        <v>0</v>
      </c>
      <c r="G5863" s="21">
        <f t="shared" si="273"/>
        <v>46.329999999999998</v>
      </c>
      <c r="H5863" s="22">
        <v>0</v>
      </c>
      <c r="I5863" s="23" t="str">
        <f t="shared" si="274"/>
        <v xml:space="preserve">COM VALOR</v>
      </c>
      <c r="J5863" s="19"/>
      <c r="L5863" s="21">
        <v>46.640000000000001</v>
      </c>
      <c r="M5863" s="22">
        <v>0</v>
      </c>
      <c r="N5863" s="21">
        <v>46.329999999999998</v>
      </c>
      <c r="O5863" s="22">
        <v>0</v>
      </c>
    </row>
    <row r="5864" ht="38.25">
      <c r="A5864" t="s">
        <v>5970</v>
      </c>
      <c r="B5864" s="19">
        <v>89666</v>
      </c>
      <c r="C5864" s="20" t="s">
        <v>5976</v>
      </c>
      <c r="D5864" s="19" t="s">
        <v>31</v>
      </c>
      <c r="E5864" s="21">
        <f t="shared" si="272"/>
        <v>8.1799999999999997</v>
      </c>
      <c r="F5864" s="22">
        <v>0</v>
      </c>
      <c r="G5864" s="21">
        <f t="shared" si="273"/>
        <v>7.9500000000000002</v>
      </c>
      <c r="H5864" s="22">
        <v>0</v>
      </c>
      <c r="I5864" s="23" t="str">
        <f t="shared" si="274"/>
        <v xml:space="preserve">COM VALOR</v>
      </c>
      <c r="J5864" s="19"/>
      <c r="L5864" s="21">
        <v>8.1799999999999997</v>
      </c>
      <c r="M5864" s="22">
        <v>0</v>
      </c>
      <c r="N5864" s="21">
        <v>7.9500000000000002</v>
      </c>
      <c r="O5864" s="22">
        <v>0</v>
      </c>
    </row>
    <row r="5865" ht="38.25">
      <c r="A5865" t="s">
        <v>5970</v>
      </c>
      <c r="B5865" s="19">
        <v>89678</v>
      </c>
      <c r="C5865" s="20" t="s">
        <v>5977</v>
      </c>
      <c r="D5865" s="19" t="s">
        <v>31</v>
      </c>
      <c r="E5865" s="21">
        <f t="shared" si="272"/>
        <v>13.470000000000001</v>
      </c>
      <c r="F5865" s="22">
        <v>0</v>
      </c>
      <c r="G5865" s="21">
        <f t="shared" si="273"/>
        <v>13.17</v>
      </c>
      <c r="H5865" s="22">
        <v>0</v>
      </c>
      <c r="I5865" s="23" t="str">
        <f t="shared" si="274"/>
        <v xml:space="preserve">COM VALOR</v>
      </c>
      <c r="J5865" s="19"/>
      <c r="L5865" s="21">
        <v>13.470000000000001</v>
      </c>
      <c r="M5865" s="22">
        <v>0</v>
      </c>
      <c r="N5865" s="21">
        <v>13.17</v>
      </c>
      <c r="O5865" s="22">
        <v>0</v>
      </c>
    </row>
    <row r="5866" ht="38.25">
      <c r="A5866" t="s">
        <v>5970</v>
      </c>
      <c r="B5866" s="19">
        <v>89764</v>
      </c>
      <c r="C5866" s="20" t="s">
        <v>5978</v>
      </c>
      <c r="D5866" s="19" t="s">
        <v>31</v>
      </c>
      <c r="E5866" s="21">
        <f t="shared" si="272"/>
        <v>41.82</v>
      </c>
      <c r="F5866" s="22">
        <v>0</v>
      </c>
      <c r="G5866" s="21">
        <f t="shared" si="273"/>
        <v>41.520000000000003</v>
      </c>
      <c r="H5866" s="22">
        <v>0</v>
      </c>
      <c r="I5866" s="23" t="str">
        <f t="shared" si="274"/>
        <v xml:space="preserve">COM VALOR</v>
      </c>
      <c r="J5866" s="19"/>
      <c r="L5866" s="21">
        <v>41.82</v>
      </c>
      <c r="M5866" s="22">
        <v>0</v>
      </c>
      <c r="N5866" s="21">
        <v>41.520000000000003</v>
      </c>
      <c r="O5866" s="22">
        <v>0</v>
      </c>
    </row>
    <row r="5867" ht="38.25">
      <c r="A5867" t="s">
        <v>5970</v>
      </c>
      <c r="B5867" s="19">
        <v>89689</v>
      </c>
      <c r="C5867" s="20" t="s">
        <v>5979</v>
      </c>
      <c r="D5867" s="19" t="s">
        <v>31</v>
      </c>
      <c r="E5867" s="21">
        <f t="shared" si="272"/>
        <v>42.460000000000001</v>
      </c>
      <c r="F5867" s="22">
        <v>0</v>
      </c>
      <c r="G5867" s="21">
        <f t="shared" si="273"/>
        <v>42.119999999999997</v>
      </c>
      <c r="H5867" s="22">
        <v>0</v>
      </c>
      <c r="I5867" s="23" t="str">
        <f t="shared" si="274"/>
        <v xml:space="preserve">COM VALOR</v>
      </c>
      <c r="J5867" s="19"/>
      <c r="L5867" s="21">
        <v>42.460000000000001</v>
      </c>
      <c r="M5867" s="22">
        <v>0</v>
      </c>
      <c r="N5867" s="21">
        <v>42.119999999999997</v>
      </c>
      <c r="O5867" s="22">
        <v>0</v>
      </c>
    </row>
    <row r="5868" ht="25.5">
      <c r="A5868" t="s">
        <v>5970</v>
      </c>
      <c r="B5868" s="19">
        <v>89655</v>
      </c>
      <c r="C5868" s="20" t="s">
        <v>5980</v>
      </c>
      <c r="D5868" s="19" t="s">
        <v>31</v>
      </c>
      <c r="E5868" s="21">
        <f t="shared" si="272"/>
        <v>27.059999999999999</v>
      </c>
      <c r="F5868" s="22">
        <v>0</v>
      </c>
      <c r="G5868" s="21">
        <f t="shared" si="273"/>
        <v>26.850000000000001</v>
      </c>
      <c r="H5868" s="22">
        <v>0</v>
      </c>
      <c r="I5868" s="23" t="str">
        <f t="shared" si="274"/>
        <v xml:space="preserve">COM VALOR</v>
      </c>
      <c r="J5868" s="19"/>
      <c r="L5868" s="21">
        <v>27.059999999999999</v>
      </c>
      <c r="M5868" s="22">
        <v>0</v>
      </c>
      <c r="N5868" s="21">
        <v>26.850000000000001</v>
      </c>
      <c r="O5868" s="22">
        <v>0</v>
      </c>
    </row>
    <row r="5869" ht="25.5">
      <c r="A5869" t="s">
        <v>5970</v>
      </c>
      <c r="B5869" s="19">
        <v>89662</v>
      </c>
      <c r="C5869" s="20" t="s">
        <v>5981</v>
      </c>
      <c r="D5869" s="19" t="s">
        <v>31</v>
      </c>
      <c r="E5869" s="21">
        <f t="shared" si="272"/>
        <v>35.079999999999998</v>
      </c>
      <c r="F5869" s="22">
        <v>0</v>
      </c>
      <c r="G5869" s="21">
        <f t="shared" si="273"/>
        <v>34.850000000000001</v>
      </c>
      <c r="H5869" s="22">
        <v>0</v>
      </c>
      <c r="I5869" s="23" t="str">
        <f t="shared" si="274"/>
        <v xml:space="preserve">COM VALOR</v>
      </c>
      <c r="J5869" s="19"/>
      <c r="L5869" s="21">
        <v>35.079999999999998</v>
      </c>
      <c r="M5869" s="22">
        <v>0</v>
      </c>
      <c r="N5869" s="21">
        <v>34.850000000000001</v>
      </c>
      <c r="O5869" s="22">
        <v>0</v>
      </c>
    </row>
    <row r="5870" ht="25.5">
      <c r="A5870" t="s">
        <v>5970</v>
      </c>
      <c r="B5870" s="19">
        <v>89758</v>
      </c>
      <c r="C5870" s="20" t="s">
        <v>5982</v>
      </c>
      <c r="D5870" s="19" t="s">
        <v>31</v>
      </c>
      <c r="E5870" s="21">
        <f t="shared" si="272"/>
        <v>41.560000000000002</v>
      </c>
      <c r="F5870" s="22">
        <v>0</v>
      </c>
      <c r="G5870" s="21">
        <f t="shared" si="273"/>
        <v>41.289999999999999</v>
      </c>
      <c r="H5870" s="22">
        <v>0</v>
      </c>
      <c r="I5870" s="23" t="str">
        <f t="shared" si="274"/>
        <v xml:space="preserve">COM VALOR</v>
      </c>
      <c r="J5870" s="19"/>
      <c r="L5870" s="21">
        <v>41.560000000000002</v>
      </c>
      <c r="M5870" s="22">
        <v>0</v>
      </c>
      <c r="N5870" s="21">
        <v>41.289999999999999</v>
      </c>
      <c r="O5870" s="22">
        <v>0</v>
      </c>
    </row>
    <row r="5871" ht="25.5">
      <c r="A5871" t="s">
        <v>5970</v>
      </c>
      <c r="B5871" s="19">
        <v>89676</v>
      </c>
      <c r="C5871" s="20" t="s">
        <v>5983</v>
      </c>
      <c r="D5871" s="19" t="s">
        <v>31</v>
      </c>
      <c r="E5871" s="21">
        <f t="shared" si="272"/>
        <v>41.600000000000001</v>
      </c>
      <c r="F5871" s="22">
        <v>0</v>
      </c>
      <c r="G5871" s="21">
        <f t="shared" si="273"/>
        <v>41.299999999999997</v>
      </c>
      <c r="H5871" s="22">
        <v>0</v>
      </c>
      <c r="I5871" s="23" t="str">
        <f t="shared" si="274"/>
        <v xml:space="preserve">COM VALOR</v>
      </c>
      <c r="J5871" s="19"/>
      <c r="L5871" s="21">
        <v>41.600000000000001</v>
      </c>
      <c r="M5871" s="22">
        <v>0</v>
      </c>
      <c r="N5871" s="21">
        <v>41.299999999999997</v>
      </c>
      <c r="O5871" s="22">
        <v>0</v>
      </c>
    </row>
    <row r="5872" ht="25.5">
      <c r="A5872" t="s">
        <v>5970</v>
      </c>
      <c r="B5872" s="19">
        <v>89818</v>
      </c>
      <c r="C5872" s="20" t="s">
        <v>5984</v>
      </c>
      <c r="D5872" s="19" t="s">
        <v>31</v>
      </c>
      <c r="E5872" s="21">
        <f t="shared" si="272"/>
        <v>60.399999999999999</v>
      </c>
      <c r="F5872" s="22">
        <v>0</v>
      </c>
      <c r="G5872" s="21">
        <f t="shared" si="273"/>
        <v>60.229999999999997</v>
      </c>
      <c r="H5872" s="22">
        <v>0</v>
      </c>
      <c r="I5872" s="23" t="str">
        <f t="shared" si="274"/>
        <v xml:space="preserve">COM VALOR</v>
      </c>
      <c r="J5872" s="19"/>
      <c r="L5872" s="21">
        <v>60.399999999999999</v>
      </c>
      <c r="M5872" s="22">
        <v>0</v>
      </c>
      <c r="N5872" s="21">
        <v>60.229999999999997</v>
      </c>
      <c r="O5872" s="22">
        <v>0</v>
      </c>
    </row>
    <row r="5873" ht="25.5">
      <c r="A5873" t="s">
        <v>5970</v>
      </c>
      <c r="B5873" s="19">
        <v>89763</v>
      </c>
      <c r="C5873" s="20" t="s">
        <v>5985</v>
      </c>
      <c r="D5873" s="19" t="s">
        <v>31</v>
      </c>
      <c r="E5873" s="21">
        <f t="shared" si="272"/>
        <v>63.039999999999999</v>
      </c>
      <c r="F5873" s="22">
        <v>0</v>
      </c>
      <c r="G5873" s="21">
        <f t="shared" si="273"/>
        <v>62.710000000000001</v>
      </c>
      <c r="H5873" s="22">
        <v>0</v>
      </c>
      <c r="I5873" s="23" t="str">
        <f t="shared" si="274"/>
        <v xml:space="preserve">COM VALOR</v>
      </c>
      <c r="J5873" s="19"/>
      <c r="L5873" s="21">
        <v>63.039999999999999</v>
      </c>
      <c r="M5873" s="22">
        <v>0</v>
      </c>
      <c r="N5873" s="21">
        <v>62.710000000000001</v>
      </c>
      <c r="O5873" s="22">
        <v>0</v>
      </c>
    </row>
    <row r="5874" ht="25.5">
      <c r="A5874" t="s">
        <v>5970</v>
      </c>
      <c r="B5874" s="19">
        <v>89686</v>
      </c>
      <c r="C5874" s="20" t="s">
        <v>5986</v>
      </c>
      <c r="D5874" s="19" t="s">
        <v>31</v>
      </c>
      <c r="E5874" s="21">
        <f t="shared" si="272"/>
        <v>63.710000000000001</v>
      </c>
      <c r="F5874" s="22">
        <v>0</v>
      </c>
      <c r="G5874" s="21">
        <f t="shared" si="273"/>
        <v>63.340000000000003</v>
      </c>
      <c r="H5874" s="22">
        <v>0</v>
      </c>
      <c r="I5874" s="23" t="str">
        <f t="shared" si="274"/>
        <v xml:space="preserve">COM VALOR</v>
      </c>
      <c r="J5874" s="19"/>
      <c r="L5874" s="21">
        <v>63.710000000000001</v>
      </c>
      <c r="M5874" s="22">
        <v>0</v>
      </c>
      <c r="N5874" s="21">
        <v>63.340000000000003</v>
      </c>
      <c r="O5874" s="22">
        <v>0</v>
      </c>
    </row>
    <row r="5875" ht="25.5">
      <c r="A5875" t="s">
        <v>5970</v>
      </c>
      <c r="B5875" s="19">
        <v>104029</v>
      </c>
      <c r="C5875" s="20" t="s">
        <v>5987</v>
      </c>
      <c r="D5875" s="19" t="s">
        <v>31</v>
      </c>
      <c r="E5875" s="21">
        <f t="shared" si="272"/>
        <v>75.890000000000001</v>
      </c>
      <c r="F5875" s="22">
        <v>0</v>
      </c>
      <c r="G5875" s="21">
        <f t="shared" si="273"/>
        <v>75.530000000000001</v>
      </c>
      <c r="H5875" s="22">
        <v>0</v>
      </c>
      <c r="I5875" s="23" t="str">
        <f t="shared" si="274"/>
        <v xml:space="preserve">COM VALOR</v>
      </c>
      <c r="J5875" s="19"/>
      <c r="L5875" s="21">
        <v>75.890000000000001</v>
      </c>
      <c r="M5875" s="22">
        <v>0</v>
      </c>
      <c r="N5875" s="21">
        <v>75.530000000000001</v>
      </c>
      <c r="O5875" s="22">
        <v>0</v>
      </c>
    </row>
    <row r="5876" ht="25.5">
      <c r="A5876" t="s">
        <v>5970</v>
      </c>
      <c r="B5876" s="19">
        <v>89831</v>
      </c>
      <c r="C5876" s="20" t="s">
        <v>5988</v>
      </c>
      <c r="D5876" s="19" t="s">
        <v>31</v>
      </c>
      <c r="E5876" s="21">
        <f t="shared" si="272"/>
        <v>73.010000000000005</v>
      </c>
      <c r="F5876" s="22">
        <v>0</v>
      </c>
      <c r="G5876" s="21">
        <f t="shared" si="273"/>
        <v>72.819999999999993</v>
      </c>
      <c r="H5876" s="22">
        <v>0</v>
      </c>
      <c r="I5876" s="23" t="str">
        <f t="shared" si="274"/>
        <v xml:space="preserve">COM VALOR</v>
      </c>
      <c r="J5876" s="19"/>
      <c r="L5876" s="21">
        <v>73.010000000000005</v>
      </c>
      <c r="M5876" s="22">
        <v>0</v>
      </c>
      <c r="N5876" s="21">
        <v>72.819999999999993</v>
      </c>
      <c r="O5876" s="22">
        <v>0</v>
      </c>
    </row>
    <row r="5877" ht="25.5">
      <c r="A5877" t="s">
        <v>5970</v>
      </c>
      <c r="B5877" s="19">
        <v>89668</v>
      </c>
      <c r="C5877" s="20" t="s">
        <v>5989</v>
      </c>
      <c r="D5877" s="19" t="s">
        <v>31</v>
      </c>
      <c r="E5877" s="21">
        <f t="shared" si="272"/>
        <v>33.009999999999998</v>
      </c>
      <c r="F5877" s="22">
        <v>0</v>
      </c>
      <c r="G5877" s="21">
        <f t="shared" si="273"/>
        <v>32.75</v>
      </c>
      <c r="H5877" s="22">
        <v>0</v>
      </c>
      <c r="I5877" s="23" t="str">
        <f t="shared" si="274"/>
        <v xml:space="preserve">COM VALOR</v>
      </c>
      <c r="J5877" s="19"/>
      <c r="L5877" s="21">
        <v>33.009999999999998</v>
      </c>
      <c r="M5877" s="22">
        <v>0</v>
      </c>
      <c r="N5877" s="21">
        <v>32.75</v>
      </c>
      <c r="O5877" s="22">
        <v>0</v>
      </c>
    </row>
    <row r="5878" ht="25.5">
      <c r="A5878" t="s">
        <v>5970</v>
      </c>
      <c r="B5878" s="19">
        <v>89639</v>
      </c>
      <c r="C5878" s="20" t="s">
        <v>5990</v>
      </c>
      <c r="D5878" s="19" t="s">
        <v>31</v>
      </c>
      <c r="E5878" s="21">
        <f t="shared" si="272"/>
        <v>13.470000000000001</v>
      </c>
      <c r="F5878" s="22">
        <v>0</v>
      </c>
      <c r="G5878" s="21">
        <f t="shared" si="273"/>
        <v>13.15</v>
      </c>
      <c r="H5878" s="22">
        <v>0</v>
      </c>
      <c r="I5878" s="23" t="str">
        <f t="shared" si="274"/>
        <v xml:space="preserve">COM VALOR</v>
      </c>
      <c r="J5878" s="19"/>
      <c r="L5878" s="21">
        <v>13.470000000000001</v>
      </c>
      <c r="M5878" s="22">
        <v>0</v>
      </c>
      <c r="N5878" s="21">
        <v>13.15</v>
      </c>
      <c r="O5878" s="22">
        <v>0</v>
      </c>
    </row>
    <row r="5879" ht="25.5">
      <c r="A5879" t="s">
        <v>5970</v>
      </c>
      <c r="B5879" s="19">
        <v>89721</v>
      </c>
      <c r="C5879" s="20" t="s">
        <v>5991</v>
      </c>
      <c r="D5879" s="19" t="s">
        <v>31</v>
      </c>
      <c r="E5879" s="21">
        <f t="shared" si="272"/>
        <v>17.670000000000002</v>
      </c>
      <c r="F5879" s="22">
        <v>0</v>
      </c>
      <c r="G5879" s="21">
        <f t="shared" si="273"/>
        <v>17.300000000000001</v>
      </c>
      <c r="H5879" s="22">
        <v>0</v>
      </c>
      <c r="I5879" s="23" t="str">
        <f t="shared" si="274"/>
        <v xml:space="preserve">COM VALOR</v>
      </c>
      <c r="J5879" s="19"/>
      <c r="L5879" s="21">
        <v>17.670000000000002</v>
      </c>
      <c r="M5879" s="22">
        <v>0</v>
      </c>
      <c r="N5879" s="21">
        <v>17.300000000000001</v>
      </c>
      <c r="O5879" s="22">
        <v>0</v>
      </c>
    </row>
    <row r="5880" ht="25.5">
      <c r="A5880" t="s">
        <v>5970</v>
      </c>
      <c r="B5880" s="19">
        <v>89643</v>
      </c>
      <c r="C5880" s="20" t="s">
        <v>5992</v>
      </c>
      <c r="D5880" s="19" t="s">
        <v>31</v>
      </c>
      <c r="E5880" s="21">
        <f t="shared" si="272"/>
        <v>18.420000000000002</v>
      </c>
      <c r="F5880" s="22">
        <v>0</v>
      </c>
      <c r="G5880" s="21">
        <f t="shared" si="273"/>
        <v>18.02</v>
      </c>
      <c r="H5880" s="22">
        <v>0</v>
      </c>
      <c r="I5880" s="23" t="str">
        <f t="shared" si="274"/>
        <v xml:space="preserve">COM VALOR</v>
      </c>
      <c r="J5880" s="19"/>
      <c r="L5880" s="21">
        <v>18.420000000000002</v>
      </c>
      <c r="M5880" s="22">
        <v>0</v>
      </c>
      <c r="N5880" s="21">
        <v>18.02</v>
      </c>
      <c r="O5880" s="22">
        <v>0</v>
      </c>
    </row>
    <row r="5881" ht="25.5">
      <c r="A5881" t="s">
        <v>5970</v>
      </c>
      <c r="B5881" s="19">
        <v>89727</v>
      </c>
      <c r="C5881" s="20" t="s">
        <v>5993</v>
      </c>
      <c r="D5881" s="19" t="s">
        <v>31</v>
      </c>
      <c r="E5881" s="21">
        <f t="shared" si="272"/>
        <v>27.050000000000001</v>
      </c>
      <c r="F5881" s="22">
        <v>0</v>
      </c>
      <c r="G5881" s="21">
        <f t="shared" si="273"/>
        <v>26.620000000000001</v>
      </c>
      <c r="H5881" s="22">
        <v>0</v>
      </c>
      <c r="I5881" s="23" t="str">
        <f t="shared" si="274"/>
        <v xml:space="preserve">COM VALOR</v>
      </c>
      <c r="J5881" s="19"/>
      <c r="L5881" s="21">
        <v>27.050000000000001</v>
      </c>
      <c r="M5881" s="22">
        <v>0</v>
      </c>
      <c r="N5881" s="21">
        <v>26.620000000000001</v>
      </c>
      <c r="O5881" s="22">
        <v>0</v>
      </c>
    </row>
    <row r="5882" ht="25.5">
      <c r="A5882" t="s">
        <v>5970</v>
      </c>
      <c r="B5882" s="19">
        <v>89648</v>
      </c>
      <c r="C5882" s="20" t="s">
        <v>5994</v>
      </c>
      <c r="D5882" s="19" t="s">
        <v>31</v>
      </c>
      <c r="E5882" s="21">
        <f t="shared" si="272"/>
        <v>27.93</v>
      </c>
      <c r="F5882" s="22">
        <v>0</v>
      </c>
      <c r="G5882" s="21">
        <f t="shared" si="273"/>
        <v>27.460000000000001</v>
      </c>
      <c r="H5882" s="22">
        <v>0</v>
      </c>
      <c r="I5882" s="23" t="str">
        <f t="shared" si="274"/>
        <v xml:space="preserve">COM VALOR</v>
      </c>
      <c r="J5882" s="19"/>
      <c r="L5882" s="21">
        <v>27.93</v>
      </c>
      <c r="M5882" s="22">
        <v>0</v>
      </c>
      <c r="N5882" s="21">
        <v>27.460000000000001</v>
      </c>
      <c r="O5882" s="22">
        <v>0</v>
      </c>
    </row>
    <row r="5883" ht="38.25">
      <c r="A5883" t="s">
        <v>5970</v>
      </c>
      <c r="B5883" s="19">
        <v>89749</v>
      </c>
      <c r="C5883" s="20" t="s">
        <v>5995</v>
      </c>
      <c r="D5883" s="19" t="s">
        <v>31</v>
      </c>
      <c r="E5883" s="21">
        <f t="shared" si="272"/>
        <v>18.73</v>
      </c>
      <c r="F5883" s="22">
        <v>0</v>
      </c>
      <c r="G5883" s="21">
        <f t="shared" si="273"/>
        <v>18.48</v>
      </c>
      <c r="H5883" s="22">
        <v>0</v>
      </c>
      <c r="I5883" s="23" t="str">
        <f t="shared" si="274"/>
        <v xml:space="preserve">COM VALOR</v>
      </c>
      <c r="J5883" s="19"/>
      <c r="L5883" s="21">
        <v>18.73</v>
      </c>
      <c r="M5883" s="22">
        <v>0</v>
      </c>
      <c r="N5883" s="21">
        <v>18.48</v>
      </c>
      <c r="O5883" s="22">
        <v>0</v>
      </c>
    </row>
    <row r="5884" ht="38.25">
      <c r="A5884" t="s">
        <v>5970</v>
      </c>
      <c r="B5884" s="19">
        <v>89657</v>
      </c>
      <c r="C5884" s="20" t="s">
        <v>5996</v>
      </c>
      <c r="D5884" s="19" t="s">
        <v>31</v>
      </c>
      <c r="E5884" s="21">
        <f t="shared" si="272"/>
        <v>15.550000000000001</v>
      </c>
      <c r="F5884" s="22">
        <v>0</v>
      </c>
      <c r="G5884" s="21">
        <f t="shared" si="273"/>
        <v>15.34</v>
      </c>
      <c r="H5884" s="22">
        <v>0</v>
      </c>
      <c r="I5884" s="23" t="str">
        <f t="shared" si="274"/>
        <v xml:space="preserve">COM VALOR</v>
      </c>
      <c r="J5884" s="19"/>
      <c r="L5884" s="21">
        <v>15.550000000000001</v>
      </c>
      <c r="M5884" s="22">
        <v>0</v>
      </c>
      <c r="N5884" s="21">
        <v>15.34</v>
      </c>
      <c r="O5884" s="22">
        <v>0</v>
      </c>
    </row>
    <row r="5885" ht="38.25">
      <c r="A5885" t="s">
        <v>5970</v>
      </c>
      <c r="B5885" s="19">
        <v>89664</v>
      </c>
      <c r="C5885" s="20" t="s">
        <v>5997</v>
      </c>
      <c r="D5885" s="19" t="s">
        <v>31</v>
      </c>
      <c r="E5885" s="21">
        <f t="shared" si="272"/>
        <v>19.219999999999999</v>
      </c>
      <c r="F5885" s="22">
        <v>0</v>
      </c>
      <c r="G5885" s="21">
        <f t="shared" si="273"/>
        <v>18.960000000000001</v>
      </c>
      <c r="H5885" s="22">
        <v>0</v>
      </c>
      <c r="I5885" s="23" t="str">
        <f t="shared" si="274"/>
        <v xml:space="preserve">COM VALOR</v>
      </c>
      <c r="J5885" s="19"/>
      <c r="L5885" s="21">
        <v>19.219999999999999</v>
      </c>
      <c r="M5885" s="22">
        <v>0</v>
      </c>
      <c r="N5885" s="21">
        <v>18.960000000000001</v>
      </c>
      <c r="O5885" s="22">
        <v>0</v>
      </c>
    </row>
    <row r="5886" ht="25.5">
      <c r="A5886" t="s">
        <v>5970</v>
      </c>
      <c r="B5886" s="19">
        <v>89638</v>
      </c>
      <c r="C5886" s="20" t="s">
        <v>5998</v>
      </c>
      <c r="D5886" s="19" t="s">
        <v>31</v>
      </c>
      <c r="E5886" s="21">
        <f t="shared" si="272"/>
        <v>12.74</v>
      </c>
      <c r="F5886" s="22">
        <v>0</v>
      </c>
      <c r="G5886" s="21">
        <f t="shared" si="273"/>
        <v>12.42</v>
      </c>
      <c r="H5886" s="22">
        <v>0</v>
      </c>
      <c r="I5886" s="23" t="str">
        <f t="shared" si="274"/>
        <v xml:space="preserve">COM VALOR</v>
      </c>
      <c r="J5886" s="19"/>
      <c r="L5886" s="21">
        <v>12.74</v>
      </c>
      <c r="M5886" s="22">
        <v>0</v>
      </c>
      <c r="N5886" s="21">
        <v>12.42</v>
      </c>
      <c r="O5886" s="22">
        <v>0</v>
      </c>
    </row>
    <row r="5887" ht="25.5">
      <c r="A5887" t="s">
        <v>5970</v>
      </c>
      <c r="B5887" s="19">
        <v>89720</v>
      </c>
      <c r="C5887" s="20" t="s">
        <v>5999</v>
      </c>
      <c r="D5887" s="19" t="s">
        <v>31</v>
      </c>
      <c r="E5887" s="21">
        <f t="shared" si="272"/>
        <v>16.219999999999999</v>
      </c>
      <c r="F5887" s="22">
        <v>0</v>
      </c>
      <c r="G5887" s="21">
        <f t="shared" si="273"/>
        <v>15.85</v>
      </c>
      <c r="H5887" s="22">
        <v>0</v>
      </c>
      <c r="I5887" s="23" t="str">
        <f t="shared" si="274"/>
        <v xml:space="preserve">COM VALOR</v>
      </c>
      <c r="J5887" s="19"/>
      <c r="L5887" s="21">
        <v>16.219999999999999</v>
      </c>
      <c r="M5887" s="22">
        <v>0</v>
      </c>
      <c r="N5887" s="21">
        <v>15.85</v>
      </c>
      <c r="O5887" s="22">
        <v>0</v>
      </c>
    </row>
    <row r="5888" ht="25.5">
      <c r="A5888" t="s">
        <v>5970</v>
      </c>
      <c r="B5888" s="19">
        <v>89642</v>
      </c>
      <c r="C5888" s="20" t="s">
        <v>6000</v>
      </c>
      <c r="D5888" s="19" t="s">
        <v>31</v>
      </c>
      <c r="E5888" s="21">
        <f t="shared" si="272"/>
        <v>16.969999999999999</v>
      </c>
      <c r="F5888" s="22">
        <v>0</v>
      </c>
      <c r="G5888" s="21">
        <f t="shared" si="273"/>
        <v>16.57</v>
      </c>
      <c r="H5888" s="22">
        <v>0</v>
      </c>
      <c r="I5888" s="23" t="str">
        <f t="shared" si="274"/>
        <v xml:space="preserve">COM VALOR</v>
      </c>
      <c r="J5888" s="19"/>
      <c r="L5888" s="21">
        <v>16.969999999999999</v>
      </c>
      <c r="M5888" s="22">
        <v>0</v>
      </c>
      <c r="N5888" s="21">
        <v>16.57</v>
      </c>
      <c r="O5888" s="22">
        <v>0</v>
      </c>
    </row>
    <row r="5889" ht="25.5">
      <c r="A5889" t="s">
        <v>5970</v>
      </c>
      <c r="B5889" s="19">
        <v>89725</v>
      </c>
      <c r="C5889" s="20" t="s">
        <v>6001</v>
      </c>
      <c r="D5889" s="19" t="s">
        <v>31</v>
      </c>
      <c r="E5889" s="21">
        <f t="shared" si="272"/>
        <v>21.390000000000001</v>
      </c>
      <c r="F5889" s="22">
        <v>0</v>
      </c>
      <c r="G5889" s="21">
        <f t="shared" si="273"/>
        <v>20.960000000000001</v>
      </c>
      <c r="H5889" s="22">
        <v>0</v>
      </c>
      <c r="I5889" s="23" t="str">
        <f t="shared" si="274"/>
        <v xml:space="preserve">COM VALOR</v>
      </c>
      <c r="J5889" s="19"/>
      <c r="L5889" s="21">
        <v>21.390000000000001</v>
      </c>
      <c r="M5889" s="22">
        <v>0</v>
      </c>
      <c r="N5889" s="21">
        <v>20.960000000000001</v>
      </c>
      <c r="O5889" s="22">
        <v>0</v>
      </c>
    </row>
    <row r="5890" ht="25.5">
      <c r="A5890" t="s">
        <v>5970</v>
      </c>
      <c r="B5890" s="19">
        <v>89647</v>
      </c>
      <c r="C5890" s="20" t="s">
        <v>6002</v>
      </c>
      <c r="D5890" s="19" t="s">
        <v>31</v>
      </c>
      <c r="E5890" s="21">
        <f t="shared" si="272"/>
        <v>22.27</v>
      </c>
      <c r="F5890" s="22">
        <v>0</v>
      </c>
      <c r="G5890" s="21">
        <f t="shared" si="273"/>
        <v>21.800000000000001</v>
      </c>
      <c r="H5890" s="22">
        <v>0</v>
      </c>
      <c r="I5890" s="23" t="str">
        <f t="shared" si="274"/>
        <v xml:space="preserve">COM VALOR</v>
      </c>
      <c r="J5890" s="19"/>
      <c r="L5890" s="21">
        <v>22.27</v>
      </c>
      <c r="M5890" s="22">
        <v>0</v>
      </c>
      <c r="N5890" s="21">
        <v>21.800000000000001</v>
      </c>
      <c r="O5890" s="22">
        <v>0</v>
      </c>
    </row>
    <row r="5891" ht="25.5">
      <c r="A5891" t="s">
        <v>5970</v>
      </c>
      <c r="B5891" s="19">
        <v>89780</v>
      </c>
      <c r="C5891" s="20" t="s">
        <v>6003</v>
      </c>
      <c r="D5891" s="19" t="s">
        <v>31</v>
      </c>
      <c r="E5891" s="21">
        <f t="shared" si="272"/>
        <v>27.030000000000001</v>
      </c>
      <c r="F5891" s="22">
        <v>0</v>
      </c>
      <c r="G5891" s="21">
        <f t="shared" si="273"/>
        <v>26.760000000000002</v>
      </c>
      <c r="H5891" s="22">
        <v>0</v>
      </c>
      <c r="I5891" s="23" t="str">
        <f t="shared" si="274"/>
        <v xml:space="preserve">COM VALOR</v>
      </c>
      <c r="J5891" s="19"/>
      <c r="L5891" s="21">
        <v>27.030000000000001</v>
      </c>
      <c r="M5891" s="22">
        <v>0</v>
      </c>
      <c r="N5891" s="21">
        <v>26.760000000000002</v>
      </c>
      <c r="O5891" s="22">
        <v>0</v>
      </c>
    </row>
    <row r="5892" ht="25.5">
      <c r="A5892" t="s">
        <v>5970</v>
      </c>
      <c r="B5892" s="19">
        <v>89734</v>
      </c>
      <c r="C5892" s="20" t="s">
        <v>6004</v>
      </c>
      <c r="D5892" s="19" t="s">
        <v>31</v>
      </c>
      <c r="E5892" s="21">
        <f t="shared" si="272"/>
        <v>31.120000000000001</v>
      </c>
      <c r="F5892" s="22">
        <v>0</v>
      </c>
      <c r="G5892" s="21">
        <f t="shared" si="273"/>
        <v>30.620000000000001</v>
      </c>
      <c r="H5892" s="22">
        <v>0</v>
      </c>
      <c r="I5892" s="23" t="str">
        <f t="shared" si="274"/>
        <v xml:space="preserve">COM VALOR</v>
      </c>
      <c r="J5892" s="19"/>
      <c r="L5892" s="21">
        <v>31.120000000000001</v>
      </c>
      <c r="M5892" s="22">
        <v>0</v>
      </c>
      <c r="N5892" s="21">
        <v>30.620000000000001</v>
      </c>
      <c r="O5892" s="22">
        <v>0</v>
      </c>
    </row>
    <row r="5893" ht="25.5">
      <c r="A5893" t="s">
        <v>5970</v>
      </c>
      <c r="B5893" s="19">
        <v>89650</v>
      </c>
      <c r="C5893" s="20" t="s">
        <v>6005</v>
      </c>
      <c r="D5893" s="19" t="s">
        <v>31</v>
      </c>
      <c r="E5893" s="21">
        <f t="shared" si="272"/>
        <v>32.159999999999997</v>
      </c>
      <c r="F5893" s="22">
        <v>0</v>
      </c>
      <c r="G5893" s="21">
        <f t="shared" si="273"/>
        <v>31.59</v>
      </c>
      <c r="H5893" s="22">
        <v>0</v>
      </c>
      <c r="I5893" s="23" t="str">
        <f t="shared" si="274"/>
        <v xml:space="preserve">COM VALOR</v>
      </c>
      <c r="J5893" s="19"/>
      <c r="L5893" s="21">
        <v>32.159999999999997</v>
      </c>
      <c r="M5893" s="22">
        <v>0</v>
      </c>
      <c r="N5893" s="21">
        <v>31.59</v>
      </c>
      <c r="O5893" s="22">
        <v>0</v>
      </c>
    </row>
    <row r="5894" ht="25.5">
      <c r="A5894" t="s">
        <v>5970</v>
      </c>
      <c r="B5894" s="19">
        <v>89787</v>
      </c>
      <c r="C5894" s="20" t="s">
        <v>6006</v>
      </c>
      <c r="D5894" s="19" t="s">
        <v>31</v>
      </c>
      <c r="E5894" s="21">
        <f t="shared" si="272"/>
        <v>40.539999999999999</v>
      </c>
      <c r="F5894" s="22">
        <v>0</v>
      </c>
      <c r="G5894" s="21">
        <f t="shared" si="273"/>
        <v>40.219999999999999</v>
      </c>
      <c r="H5894" s="22">
        <v>0</v>
      </c>
      <c r="I5894" s="23" t="str">
        <f t="shared" si="274"/>
        <v xml:space="preserve">COM VALOR</v>
      </c>
      <c r="J5894" s="19"/>
      <c r="L5894" s="21">
        <v>40.539999999999999</v>
      </c>
      <c r="M5894" s="22">
        <v>0</v>
      </c>
      <c r="N5894" s="21">
        <v>40.219999999999999</v>
      </c>
      <c r="O5894" s="22">
        <v>0</v>
      </c>
    </row>
    <row r="5895" ht="25.5">
      <c r="A5895" t="s">
        <v>5970</v>
      </c>
      <c r="B5895" s="19">
        <v>104024</v>
      </c>
      <c r="C5895" s="20" t="s">
        <v>6007</v>
      </c>
      <c r="D5895" s="19" t="s">
        <v>31</v>
      </c>
      <c r="E5895" s="21">
        <f t="shared" si="272"/>
        <v>45.119999999999997</v>
      </c>
      <c r="F5895" s="22">
        <v>0</v>
      </c>
      <c r="G5895" s="21">
        <f t="shared" si="273"/>
        <v>44.549999999999997</v>
      </c>
      <c r="H5895" s="22">
        <v>0</v>
      </c>
      <c r="I5895" s="23" t="str">
        <f t="shared" si="274"/>
        <v xml:space="preserve">COM VALOR</v>
      </c>
      <c r="J5895" s="19"/>
      <c r="L5895" s="21">
        <v>45.119999999999997</v>
      </c>
      <c r="M5895" s="22">
        <v>0</v>
      </c>
      <c r="N5895" s="21">
        <v>44.549999999999997</v>
      </c>
      <c r="O5895" s="22">
        <v>0</v>
      </c>
    </row>
    <row r="5896" ht="25.5">
      <c r="A5896" t="s">
        <v>5970</v>
      </c>
      <c r="B5896" s="19">
        <v>89789</v>
      </c>
      <c r="C5896" s="20" t="s">
        <v>6008</v>
      </c>
      <c r="D5896" s="19" t="s">
        <v>31</v>
      </c>
      <c r="E5896" s="21">
        <f t="shared" si="272"/>
        <v>75.719999999999999</v>
      </c>
      <c r="F5896" s="22">
        <v>0</v>
      </c>
      <c r="G5896" s="21">
        <f t="shared" si="273"/>
        <v>75.319999999999993</v>
      </c>
      <c r="H5896" s="22">
        <v>0</v>
      </c>
      <c r="I5896" s="23" t="str">
        <f t="shared" si="274"/>
        <v xml:space="preserve">COM VALOR</v>
      </c>
      <c r="J5896" s="19"/>
      <c r="L5896" s="21">
        <v>75.719999999999999</v>
      </c>
      <c r="M5896" s="22">
        <v>0</v>
      </c>
      <c r="N5896" s="21">
        <v>75.319999999999993</v>
      </c>
      <c r="O5896" s="22">
        <v>0</v>
      </c>
    </row>
    <row r="5897" ht="25.5">
      <c r="A5897" t="s">
        <v>5970</v>
      </c>
      <c r="B5897" s="19">
        <v>89791</v>
      </c>
      <c r="C5897" s="20" t="s">
        <v>6009</v>
      </c>
      <c r="D5897" s="19" t="s">
        <v>31</v>
      </c>
      <c r="E5897" s="21">
        <f t="shared" si="272"/>
        <v>172.49000000000001</v>
      </c>
      <c r="F5897" s="22">
        <v>0</v>
      </c>
      <c r="G5897" s="21">
        <f t="shared" si="273"/>
        <v>171.97</v>
      </c>
      <c r="H5897" s="22">
        <v>0</v>
      </c>
      <c r="I5897" s="23" t="str">
        <f t="shared" si="274"/>
        <v xml:space="preserve">COM VALOR</v>
      </c>
      <c r="J5897" s="19"/>
      <c r="L5897" s="21">
        <v>172.49000000000001</v>
      </c>
      <c r="M5897" s="22">
        <v>0</v>
      </c>
      <c r="N5897" s="21">
        <v>171.97</v>
      </c>
      <c r="O5897" s="22">
        <v>0</v>
      </c>
    </row>
    <row r="5898" ht="25.5">
      <c r="A5898" t="s">
        <v>5970</v>
      </c>
      <c r="B5898" s="19">
        <v>89793</v>
      </c>
      <c r="C5898" s="20" t="s">
        <v>6010</v>
      </c>
      <c r="D5898" s="19" t="s">
        <v>31</v>
      </c>
      <c r="E5898" s="21">
        <f t="shared" si="272"/>
        <v>249.41999999999999</v>
      </c>
      <c r="F5898" s="22">
        <v>0</v>
      </c>
      <c r="G5898" s="21">
        <f t="shared" si="273"/>
        <v>248.80000000000001</v>
      </c>
      <c r="H5898" s="22">
        <v>0</v>
      </c>
      <c r="I5898" s="23" t="str">
        <f t="shared" si="274"/>
        <v xml:space="preserve">COM VALOR</v>
      </c>
      <c r="J5898" s="19"/>
      <c r="L5898" s="21">
        <v>249.41999999999999</v>
      </c>
      <c r="M5898" s="22">
        <v>0</v>
      </c>
      <c r="N5898" s="21">
        <v>248.80000000000001</v>
      </c>
      <c r="O5898" s="22">
        <v>0</v>
      </c>
    </row>
    <row r="5899" ht="25.5">
      <c r="A5899" t="s">
        <v>5970</v>
      </c>
      <c r="B5899" s="19">
        <v>89637</v>
      </c>
      <c r="C5899" s="20" t="s">
        <v>6011</v>
      </c>
      <c r="D5899" s="19" t="s">
        <v>31</v>
      </c>
      <c r="E5899" s="21">
        <f t="shared" ref="E5899:E5962" si="275">IF(L5899=0,"VERIFICAR",L5899)</f>
        <v>11.710000000000001</v>
      </c>
      <c r="F5899" s="22">
        <v>0</v>
      </c>
      <c r="G5899" s="21">
        <f t="shared" ref="G5899:G5962" si="276">IF(N5899=0,"VERIFICAR",N5899)</f>
        <v>11.390000000000001</v>
      </c>
      <c r="H5899" s="22">
        <v>0</v>
      </c>
      <c r="I5899" s="23" t="str">
        <f t="shared" ref="I5899:I5962" si="277">IF(OR(E5899=0,G5899=0),"SEM VALOR","COM VALOR")</f>
        <v xml:space="preserve">COM VALOR</v>
      </c>
      <c r="J5899" s="19"/>
      <c r="L5899" s="21">
        <v>11.710000000000001</v>
      </c>
      <c r="M5899" s="22">
        <v>0</v>
      </c>
      <c r="N5899" s="21">
        <v>11.390000000000001</v>
      </c>
      <c r="O5899" s="22">
        <v>0</v>
      </c>
    </row>
    <row r="5900" ht="25.5">
      <c r="A5900" t="s">
        <v>5970</v>
      </c>
      <c r="B5900" s="19">
        <v>89719</v>
      </c>
      <c r="C5900" s="20" t="s">
        <v>6012</v>
      </c>
      <c r="D5900" s="19" t="s">
        <v>31</v>
      </c>
      <c r="E5900" s="21">
        <f t="shared" si="275"/>
        <v>14.4</v>
      </c>
      <c r="F5900" s="22">
        <v>0</v>
      </c>
      <c r="G5900" s="21">
        <f t="shared" si="276"/>
        <v>14.029999999999999</v>
      </c>
      <c r="H5900" s="22">
        <v>0</v>
      </c>
      <c r="I5900" s="23" t="str">
        <f t="shared" si="277"/>
        <v xml:space="preserve">COM VALOR</v>
      </c>
      <c r="J5900" s="19"/>
      <c r="L5900" s="21">
        <v>14.4</v>
      </c>
      <c r="M5900" s="22">
        <v>0</v>
      </c>
      <c r="N5900" s="21">
        <v>14.029999999999999</v>
      </c>
      <c r="O5900" s="22">
        <v>0</v>
      </c>
    </row>
    <row r="5901" ht="25.5">
      <c r="A5901" t="s">
        <v>5970</v>
      </c>
      <c r="B5901" s="19">
        <v>89641</v>
      </c>
      <c r="C5901" s="20" t="s">
        <v>6013</v>
      </c>
      <c r="D5901" s="19" t="s">
        <v>31</v>
      </c>
      <c r="E5901" s="21">
        <f t="shared" si="275"/>
        <v>15.15</v>
      </c>
      <c r="F5901" s="22">
        <v>0</v>
      </c>
      <c r="G5901" s="21">
        <f t="shared" si="276"/>
        <v>14.75</v>
      </c>
      <c r="H5901" s="22">
        <v>0</v>
      </c>
      <c r="I5901" s="23" t="str">
        <f t="shared" si="277"/>
        <v xml:space="preserve">COM VALOR</v>
      </c>
      <c r="J5901" s="19"/>
      <c r="L5901" s="21">
        <v>15.15</v>
      </c>
      <c r="M5901" s="22">
        <v>0</v>
      </c>
      <c r="N5901" s="21">
        <v>14.75</v>
      </c>
      <c r="O5901" s="22">
        <v>0</v>
      </c>
    </row>
    <row r="5902" ht="25.5">
      <c r="A5902" t="s">
        <v>5970</v>
      </c>
      <c r="B5902" s="19">
        <v>89723</v>
      </c>
      <c r="C5902" s="20" t="s">
        <v>6014</v>
      </c>
      <c r="D5902" s="19" t="s">
        <v>31</v>
      </c>
      <c r="E5902" s="21">
        <f t="shared" si="275"/>
        <v>22.140000000000001</v>
      </c>
      <c r="F5902" s="22">
        <v>0</v>
      </c>
      <c r="G5902" s="21">
        <f t="shared" si="276"/>
        <v>21.710000000000001</v>
      </c>
      <c r="H5902" s="22">
        <v>0</v>
      </c>
      <c r="I5902" s="23" t="str">
        <f t="shared" si="277"/>
        <v xml:space="preserve">COM VALOR</v>
      </c>
      <c r="J5902" s="19"/>
      <c r="L5902" s="21">
        <v>22.140000000000001</v>
      </c>
      <c r="M5902" s="22">
        <v>0</v>
      </c>
      <c r="N5902" s="21">
        <v>21.710000000000001</v>
      </c>
      <c r="O5902" s="22">
        <v>0</v>
      </c>
    </row>
    <row r="5903" ht="25.5">
      <c r="A5903" t="s">
        <v>5970</v>
      </c>
      <c r="B5903" s="19">
        <v>89646</v>
      </c>
      <c r="C5903" s="20" t="s">
        <v>6015</v>
      </c>
      <c r="D5903" s="19" t="s">
        <v>31</v>
      </c>
      <c r="E5903" s="21">
        <f t="shared" si="275"/>
        <v>23.02</v>
      </c>
      <c r="F5903" s="22">
        <v>0</v>
      </c>
      <c r="G5903" s="21">
        <f t="shared" si="276"/>
        <v>22.550000000000001</v>
      </c>
      <c r="H5903" s="22">
        <v>0</v>
      </c>
      <c r="I5903" s="23" t="str">
        <f t="shared" si="277"/>
        <v xml:space="preserve">COM VALOR</v>
      </c>
      <c r="J5903" s="19"/>
      <c r="L5903" s="21">
        <v>23.02</v>
      </c>
      <c r="M5903" s="22">
        <v>0</v>
      </c>
      <c r="N5903" s="21">
        <v>22.550000000000001</v>
      </c>
      <c r="O5903" s="22">
        <v>0</v>
      </c>
    </row>
    <row r="5904" ht="25.5">
      <c r="A5904" t="s">
        <v>5970</v>
      </c>
      <c r="B5904" s="19">
        <v>89777</v>
      </c>
      <c r="C5904" s="20" t="s">
        <v>6016</v>
      </c>
      <c r="D5904" s="19" t="s">
        <v>31</v>
      </c>
      <c r="E5904" s="21">
        <f t="shared" si="275"/>
        <v>28.890000000000001</v>
      </c>
      <c r="F5904" s="22">
        <v>0</v>
      </c>
      <c r="G5904" s="21">
        <f t="shared" si="276"/>
        <v>28.620000000000001</v>
      </c>
      <c r="H5904" s="22">
        <v>0</v>
      </c>
      <c r="I5904" s="23" t="str">
        <f t="shared" si="277"/>
        <v xml:space="preserve">COM VALOR</v>
      </c>
      <c r="J5904" s="19"/>
      <c r="L5904" s="21">
        <v>28.890000000000001</v>
      </c>
      <c r="M5904" s="22">
        <v>0</v>
      </c>
      <c r="N5904" s="21">
        <v>28.620000000000001</v>
      </c>
      <c r="O5904" s="22">
        <v>0</v>
      </c>
    </row>
    <row r="5905" ht="25.5">
      <c r="A5905" t="s">
        <v>5970</v>
      </c>
      <c r="B5905" s="19">
        <v>89729</v>
      </c>
      <c r="C5905" s="20" t="s">
        <v>6017</v>
      </c>
      <c r="D5905" s="19" t="s">
        <v>31</v>
      </c>
      <c r="E5905" s="21">
        <f t="shared" si="275"/>
        <v>32.979999999999997</v>
      </c>
      <c r="F5905" s="22">
        <v>0</v>
      </c>
      <c r="G5905" s="21">
        <f t="shared" si="276"/>
        <v>32.479999999999997</v>
      </c>
      <c r="H5905" s="22">
        <v>0</v>
      </c>
      <c r="I5905" s="23" t="str">
        <f t="shared" si="277"/>
        <v xml:space="preserve">COM VALOR</v>
      </c>
      <c r="J5905" s="19"/>
      <c r="L5905" s="21">
        <v>32.979999999999997</v>
      </c>
      <c r="M5905" s="22">
        <v>0</v>
      </c>
      <c r="N5905" s="21">
        <v>32.479999999999997</v>
      </c>
      <c r="O5905" s="22">
        <v>0</v>
      </c>
    </row>
    <row r="5906" ht="25.5">
      <c r="A5906" t="s">
        <v>5970</v>
      </c>
      <c r="B5906" s="19">
        <v>89649</v>
      </c>
      <c r="C5906" s="20" t="s">
        <v>6018</v>
      </c>
      <c r="D5906" s="19" t="s">
        <v>31</v>
      </c>
      <c r="E5906" s="21">
        <f t="shared" si="275"/>
        <v>34.020000000000003</v>
      </c>
      <c r="F5906" s="22">
        <v>0</v>
      </c>
      <c r="G5906" s="21">
        <f t="shared" si="276"/>
        <v>33.450000000000003</v>
      </c>
      <c r="H5906" s="22">
        <v>0</v>
      </c>
      <c r="I5906" s="23" t="str">
        <f t="shared" si="277"/>
        <v xml:space="preserve">COM VALOR</v>
      </c>
      <c r="J5906" s="19"/>
      <c r="L5906" s="21">
        <v>34.020000000000003</v>
      </c>
      <c r="M5906" s="22">
        <v>0</v>
      </c>
      <c r="N5906" s="21">
        <v>33.450000000000003</v>
      </c>
      <c r="O5906" s="22">
        <v>0</v>
      </c>
    </row>
    <row r="5907" ht="25.5">
      <c r="A5907" t="s">
        <v>5970</v>
      </c>
      <c r="B5907" s="19">
        <v>89781</v>
      </c>
      <c r="C5907" s="20" t="s">
        <v>6019</v>
      </c>
      <c r="D5907" s="19" t="s">
        <v>31</v>
      </c>
      <c r="E5907" s="21">
        <f t="shared" si="275"/>
        <v>41</v>
      </c>
      <c r="F5907" s="22">
        <v>0</v>
      </c>
      <c r="G5907" s="21">
        <f t="shared" si="276"/>
        <v>40.68</v>
      </c>
      <c r="H5907" s="22">
        <v>0</v>
      </c>
      <c r="I5907" s="23" t="str">
        <f t="shared" si="277"/>
        <v xml:space="preserve">COM VALOR</v>
      </c>
      <c r="J5907" s="19"/>
      <c r="L5907" s="21">
        <v>41</v>
      </c>
      <c r="M5907" s="22">
        <v>0</v>
      </c>
      <c r="N5907" s="21">
        <v>40.68</v>
      </c>
      <c r="O5907" s="22">
        <v>0</v>
      </c>
    </row>
    <row r="5908" ht="25.5">
      <c r="A5908" t="s">
        <v>5970</v>
      </c>
      <c r="B5908" s="19">
        <v>104023</v>
      </c>
      <c r="C5908" s="20" t="s">
        <v>6020</v>
      </c>
      <c r="D5908" s="19" t="s">
        <v>31</v>
      </c>
      <c r="E5908" s="21">
        <f t="shared" si="275"/>
        <v>45.579999999999998</v>
      </c>
      <c r="F5908" s="22">
        <v>0</v>
      </c>
      <c r="G5908" s="21">
        <f t="shared" si="276"/>
        <v>45.009999999999998</v>
      </c>
      <c r="H5908" s="22">
        <v>0</v>
      </c>
      <c r="I5908" s="23" t="str">
        <f t="shared" si="277"/>
        <v xml:space="preserve">COM VALOR</v>
      </c>
      <c r="J5908" s="19"/>
      <c r="L5908" s="21">
        <v>45.579999999999998</v>
      </c>
      <c r="M5908" s="22">
        <v>0</v>
      </c>
      <c r="N5908" s="21">
        <v>45.009999999999998</v>
      </c>
      <c r="O5908" s="22">
        <v>0</v>
      </c>
    </row>
    <row r="5909" ht="25.5">
      <c r="A5909" t="s">
        <v>5970</v>
      </c>
      <c r="B5909" s="19">
        <v>89788</v>
      </c>
      <c r="C5909" s="20" t="s">
        <v>6021</v>
      </c>
      <c r="D5909" s="19" t="s">
        <v>31</v>
      </c>
      <c r="E5909" s="21">
        <f t="shared" si="275"/>
        <v>89.280000000000001</v>
      </c>
      <c r="F5909" s="22">
        <v>0</v>
      </c>
      <c r="G5909" s="21">
        <f t="shared" si="276"/>
        <v>88.879999999999995</v>
      </c>
      <c r="H5909" s="22">
        <v>0</v>
      </c>
      <c r="I5909" s="23" t="str">
        <f t="shared" si="277"/>
        <v xml:space="preserve">COM VALOR</v>
      </c>
      <c r="J5909" s="19"/>
      <c r="L5909" s="21">
        <v>89.280000000000001</v>
      </c>
      <c r="M5909" s="22">
        <v>0</v>
      </c>
      <c r="N5909" s="21">
        <v>88.879999999999995</v>
      </c>
      <c r="O5909" s="22">
        <v>0</v>
      </c>
    </row>
    <row r="5910" ht="25.5">
      <c r="A5910" t="s">
        <v>5970</v>
      </c>
      <c r="B5910" s="19">
        <v>89790</v>
      </c>
      <c r="C5910" s="20" t="s">
        <v>6022</v>
      </c>
      <c r="D5910" s="19" t="s">
        <v>31</v>
      </c>
      <c r="E5910" s="21">
        <f t="shared" si="275"/>
        <v>178.63</v>
      </c>
      <c r="F5910" s="22">
        <v>0</v>
      </c>
      <c r="G5910" s="21">
        <f t="shared" si="276"/>
        <v>178.11000000000001</v>
      </c>
      <c r="H5910" s="22">
        <v>0</v>
      </c>
      <c r="I5910" s="23" t="str">
        <f t="shared" si="277"/>
        <v xml:space="preserve">COM VALOR</v>
      </c>
      <c r="J5910" s="19"/>
      <c r="L5910" s="21">
        <v>178.63</v>
      </c>
      <c r="M5910" s="22">
        <v>0</v>
      </c>
      <c r="N5910" s="21">
        <v>178.11000000000001</v>
      </c>
      <c r="O5910" s="22">
        <v>0</v>
      </c>
    </row>
    <row r="5911" ht="25.5">
      <c r="A5911" t="s">
        <v>5970</v>
      </c>
      <c r="B5911" s="19">
        <v>89792</v>
      </c>
      <c r="C5911" s="20" t="s">
        <v>6023</v>
      </c>
      <c r="D5911" s="19" t="s">
        <v>31</v>
      </c>
      <c r="E5911" s="21">
        <f t="shared" si="275"/>
        <v>211.25999999999999</v>
      </c>
      <c r="F5911" s="22">
        <v>0</v>
      </c>
      <c r="G5911" s="21">
        <f t="shared" si="276"/>
        <v>210.63999999999999</v>
      </c>
      <c r="H5911" s="22">
        <v>0</v>
      </c>
      <c r="I5911" s="23" t="str">
        <f t="shared" si="277"/>
        <v xml:space="preserve">COM VALOR</v>
      </c>
      <c r="J5911" s="19"/>
      <c r="L5911" s="21">
        <v>211.25999999999999</v>
      </c>
      <c r="M5911" s="22">
        <v>0</v>
      </c>
      <c r="N5911" s="21">
        <v>210.63999999999999</v>
      </c>
      <c r="O5911" s="22">
        <v>0</v>
      </c>
    </row>
    <row r="5912" ht="38.25">
      <c r="A5912" t="s">
        <v>5970</v>
      </c>
      <c r="B5912" s="19">
        <v>89640</v>
      </c>
      <c r="C5912" s="20" t="s">
        <v>6024</v>
      </c>
      <c r="D5912" s="19" t="s">
        <v>31</v>
      </c>
      <c r="E5912" s="21">
        <f t="shared" si="275"/>
        <v>21.329999999999998</v>
      </c>
      <c r="F5912" s="22">
        <v>0</v>
      </c>
      <c r="G5912" s="21">
        <f t="shared" si="276"/>
        <v>21.010000000000002</v>
      </c>
      <c r="H5912" s="22">
        <v>0</v>
      </c>
      <c r="I5912" s="23" t="str">
        <f t="shared" si="277"/>
        <v xml:space="preserve">COM VALOR</v>
      </c>
      <c r="J5912" s="19"/>
      <c r="L5912" s="21">
        <v>21.329999999999998</v>
      </c>
      <c r="M5912" s="22">
        <v>0</v>
      </c>
      <c r="N5912" s="21">
        <v>21.010000000000002</v>
      </c>
      <c r="O5912" s="22">
        <v>0</v>
      </c>
    </row>
    <row r="5913" ht="38.25">
      <c r="A5913" t="s">
        <v>5970</v>
      </c>
      <c r="B5913" s="19">
        <v>89644</v>
      </c>
      <c r="C5913" s="20" t="s">
        <v>6025</v>
      </c>
      <c r="D5913" s="19" t="s">
        <v>31</v>
      </c>
      <c r="E5913" s="21">
        <f t="shared" si="275"/>
        <v>26.059999999999999</v>
      </c>
      <c r="F5913" s="22">
        <v>0</v>
      </c>
      <c r="G5913" s="21">
        <f t="shared" si="276"/>
        <v>25.699999999999999</v>
      </c>
      <c r="H5913" s="22">
        <v>0</v>
      </c>
      <c r="I5913" s="23" t="str">
        <f t="shared" si="277"/>
        <v xml:space="preserve">COM VALOR</v>
      </c>
      <c r="J5913" s="19"/>
      <c r="L5913" s="21">
        <v>26.059999999999999</v>
      </c>
      <c r="M5913" s="22">
        <v>0</v>
      </c>
      <c r="N5913" s="21">
        <v>25.699999999999999</v>
      </c>
      <c r="O5913" s="22">
        <v>0</v>
      </c>
    </row>
    <row r="5914" ht="38.25">
      <c r="A5914" t="s">
        <v>5970</v>
      </c>
      <c r="B5914" s="19">
        <v>89645</v>
      </c>
      <c r="C5914" s="20" t="s">
        <v>6026</v>
      </c>
      <c r="D5914" s="19" t="s">
        <v>31</v>
      </c>
      <c r="E5914" s="21">
        <f t="shared" si="275"/>
        <v>36.520000000000003</v>
      </c>
      <c r="F5914" s="22">
        <v>0</v>
      </c>
      <c r="G5914" s="21">
        <f t="shared" si="276"/>
        <v>36.130000000000003</v>
      </c>
      <c r="H5914" s="22">
        <v>0</v>
      </c>
      <c r="I5914" s="23" t="str">
        <f t="shared" si="277"/>
        <v xml:space="preserve">COM VALOR</v>
      </c>
      <c r="J5914" s="19"/>
      <c r="L5914" s="21">
        <v>36.520000000000003</v>
      </c>
      <c r="M5914" s="22">
        <v>0</v>
      </c>
      <c r="N5914" s="21">
        <v>36.130000000000003</v>
      </c>
      <c r="O5914" s="22">
        <v>0</v>
      </c>
    </row>
    <row r="5915" ht="25.5">
      <c r="A5915" t="s">
        <v>5970</v>
      </c>
      <c r="B5915" s="19">
        <v>89652</v>
      </c>
      <c r="C5915" s="20" t="s">
        <v>6027</v>
      </c>
      <c r="D5915" s="19" t="s">
        <v>31</v>
      </c>
      <c r="E5915" s="21">
        <f t="shared" si="275"/>
        <v>13.699999999999999</v>
      </c>
      <c r="F5915" s="22">
        <v>0</v>
      </c>
      <c r="G5915" s="21">
        <f t="shared" si="276"/>
        <v>13.49</v>
      </c>
      <c r="H5915" s="22">
        <v>0</v>
      </c>
      <c r="I5915" s="23" t="str">
        <f t="shared" si="277"/>
        <v xml:space="preserve">COM VALOR</v>
      </c>
      <c r="J5915" s="19"/>
      <c r="L5915" s="21">
        <v>13.699999999999999</v>
      </c>
      <c r="M5915" s="22">
        <v>0</v>
      </c>
      <c r="N5915" s="21">
        <v>13.49</v>
      </c>
      <c r="O5915" s="22">
        <v>0</v>
      </c>
    </row>
    <row r="5916" ht="25.5">
      <c r="A5916" t="s">
        <v>5970</v>
      </c>
      <c r="B5916" s="19">
        <v>89738</v>
      </c>
      <c r="C5916" s="20" t="s">
        <v>6028</v>
      </c>
      <c r="D5916" s="19" t="s">
        <v>31</v>
      </c>
      <c r="E5916" s="21">
        <f t="shared" si="275"/>
        <v>18.809999999999999</v>
      </c>
      <c r="F5916" s="22">
        <v>0</v>
      </c>
      <c r="G5916" s="21">
        <f t="shared" si="276"/>
        <v>18.559999999999999</v>
      </c>
      <c r="H5916" s="22">
        <v>0</v>
      </c>
      <c r="I5916" s="23" t="str">
        <f t="shared" si="277"/>
        <v xml:space="preserve">COM VALOR</v>
      </c>
      <c r="J5916" s="19"/>
      <c r="L5916" s="21">
        <v>18.809999999999999</v>
      </c>
      <c r="M5916" s="22">
        <v>0</v>
      </c>
      <c r="N5916" s="21">
        <v>18.559999999999999</v>
      </c>
      <c r="O5916" s="22">
        <v>0</v>
      </c>
    </row>
    <row r="5917" ht="25.5">
      <c r="A5917" t="s">
        <v>5970</v>
      </c>
      <c r="B5917" s="19">
        <v>89659</v>
      </c>
      <c r="C5917" s="20" t="s">
        <v>6029</v>
      </c>
      <c r="D5917" s="19" t="s">
        <v>31</v>
      </c>
      <c r="E5917" s="21">
        <f t="shared" si="275"/>
        <v>19.300000000000001</v>
      </c>
      <c r="F5917" s="22">
        <v>0</v>
      </c>
      <c r="G5917" s="21">
        <f t="shared" si="276"/>
        <v>19.039999999999999</v>
      </c>
      <c r="H5917" s="22">
        <v>0</v>
      </c>
      <c r="I5917" s="23" t="str">
        <f t="shared" si="277"/>
        <v xml:space="preserve">COM VALOR</v>
      </c>
      <c r="J5917" s="19"/>
      <c r="L5917" s="21">
        <v>19.300000000000001</v>
      </c>
      <c r="M5917" s="22">
        <v>0</v>
      </c>
      <c r="N5917" s="21">
        <v>19.039999999999999</v>
      </c>
      <c r="O5917" s="22">
        <v>0</v>
      </c>
    </row>
    <row r="5918" ht="25.5">
      <c r="A5918" t="s">
        <v>5970</v>
      </c>
      <c r="B5918" s="19">
        <v>89756</v>
      </c>
      <c r="C5918" s="20" t="s">
        <v>6030</v>
      </c>
      <c r="D5918" s="19" t="s">
        <v>31</v>
      </c>
      <c r="E5918" s="21">
        <f t="shared" si="275"/>
        <v>26.09</v>
      </c>
      <c r="F5918" s="22">
        <v>0</v>
      </c>
      <c r="G5918" s="21">
        <f t="shared" si="276"/>
        <v>25.809999999999999</v>
      </c>
      <c r="H5918" s="22">
        <v>0</v>
      </c>
      <c r="I5918" s="23" t="str">
        <f t="shared" si="277"/>
        <v xml:space="preserve">COM VALOR</v>
      </c>
      <c r="J5918" s="19"/>
      <c r="L5918" s="21">
        <v>26.09</v>
      </c>
      <c r="M5918" s="22">
        <v>0</v>
      </c>
      <c r="N5918" s="21">
        <v>25.809999999999999</v>
      </c>
      <c r="O5918" s="22">
        <v>0</v>
      </c>
    </row>
    <row r="5919" ht="25.5">
      <c r="A5919" t="s">
        <v>5970</v>
      </c>
      <c r="B5919" s="19">
        <v>89672</v>
      </c>
      <c r="C5919" s="20" t="s">
        <v>6031</v>
      </c>
      <c r="D5919" s="19" t="s">
        <v>31</v>
      </c>
      <c r="E5919" s="21">
        <f t="shared" si="275"/>
        <v>26.68</v>
      </c>
      <c r="F5919" s="22">
        <v>0</v>
      </c>
      <c r="G5919" s="21">
        <f t="shared" si="276"/>
        <v>26.359999999999999</v>
      </c>
      <c r="H5919" s="22">
        <v>0</v>
      </c>
      <c r="I5919" s="23" t="str">
        <f t="shared" si="277"/>
        <v xml:space="preserve">COM VALOR</v>
      </c>
      <c r="J5919" s="19"/>
      <c r="L5919" s="21">
        <v>26.68</v>
      </c>
      <c r="M5919" s="22">
        <v>0</v>
      </c>
      <c r="N5919" s="21">
        <v>26.359999999999999</v>
      </c>
      <c r="O5919" s="22">
        <v>0</v>
      </c>
    </row>
    <row r="5920" ht="25.5">
      <c r="A5920" t="s">
        <v>5970</v>
      </c>
      <c r="B5920" s="19">
        <v>89815</v>
      </c>
      <c r="C5920" s="20" t="s">
        <v>6032</v>
      </c>
      <c r="D5920" s="19" t="s">
        <v>31</v>
      </c>
      <c r="E5920" s="21">
        <f t="shared" si="275"/>
        <v>32.170000000000002</v>
      </c>
      <c r="F5920" s="22">
        <v>0</v>
      </c>
      <c r="G5920" s="21">
        <f t="shared" si="276"/>
        <v>31.989999999999998</v>
      </c>
      <c r="H5920" s="22">
        <v>0</v>
      </c>
      <c r="I5920" s="23" t="str">
        <f t="shared" si="277"/>
        <v xml:space="preserve">COM VALOR</v>
      </c>
      <c r="J5920" s="19"/>
      <c r="L5920" s="21">
        <v>32.170000000000002</v>
      </c>
      <c r="M5920" s="22">
        <v>0</v>
      </c>
      <c r="N5920" s="21">
        <v>31.989999999999998</v>
      </c>
      <c r="O5920" s="22">
        <v>0</v>
      </c>
    </row>
    <row r="5921" ht="25.5">
      <c r="A5921" t="s">
        <v>5970</v>
      </c>
      <c r="B5921" s="19">
        <v>89761</v>
      </c>
      <c r="C5921" s="20" t="s">
        <v>6033</v>
      </c>
      <c r="D5921" s="19" t="s">
        <v>31</v>
      </c>
      <c r="E5921" s="21">
        <f t="shared" si="275"/>
        <v>34.869999999999997</v>
      </c>
      <c r="F5921" s="22">
        <v>0</v>
      </c>
      <c r="G5921" s="21">
        <f t="shared" si="276"/>
        <v>34.530000000000001</v>
      </c>
      <c r="H5921" s="22">
        <v>0</v>
      </c>
      <c r="I5921" s="23" t="str">
        <f t="shared" si="277"/>
        <v xml:space="preserve">COM VALOR</v>
      </c>
      <c r="J5921" s="19"/>
      <c r="L5921" s="21">
        <v>34.869999999999997</v>
      </c>
      <c r="M5921" s="22">
        <v>0</v>
      </c>
      <c r="N5921" s="21">
        <v>34.530000000000001</v>
      </c>
      <c r="O5921" s="22">
        <v>0</v>
      </c>
    </row>
    <row r="5922" ht="25.5">
      <c r="A5922" t="s">
        <v>5970</v>
      </c>
      <c r="B5922" s="19">
        <v>89682</v>
      </c>
      <c r="C5922" s="20" t="s">
        <v>6034</v>
      </c>
      <c r="D5922" s="19" t="s">
        <v>31</v>
      </c>
      <c r="E5922" s="21">
        <f t="shared" si="275"/>
        <v>35.560000000000002</v>
      </c>
      <c r="F5922" s="22"/>
      <c r="G5922" s="21">
        <f t="shared" si="276"/>
        <v>35.189999999999998</v>
      </c>
      <c r="H5922" s="22"/>
      <c r="I5922" s="23" t="str">
        <f t="shared" si="277"/>
        <v xml:space="preserve">COM VALOR</v>
      </c>
      <c r="J5922" s="19"/>
      <c r="L5922" s="21">
        <v>35.560000000000002</v>
      </c>
      <c r="M5922" s="22">
        <v>0</v>
      </c>
      <c r="N5922" s="21">
        <v>35.189999999999998</v>
      </c>
      <c r="O5922" s="22">
        <v>0</v>
      </c>
    </row>
    <row r="5923" ht="25.5">
      <c r="A5923" t="s">
        <v>5970</v>
      </c>
      <c r="B5923" s="19">
        <v>89824</v>
      </c>
      <c r="C5923" s="20" t="s">
        <v>6035</v>
      </c>
      <c r="D5923" s="19" t="s">
        <v>31</v>
      </c>
      <c r="E5923" s="21">
        <f t="shared" si="275"/>
        <v>43.759999999999998</v>
      </c>
      <c r="F5923" s="22"/>
      <c r="G5923" s="21">
        <f t="shared" si="276"/>
        <v>43.560000000000002</v>
      </c>
      <c r="H5923" s="22"/>
      <c r="I5923" s="23" t="str">
        <f t="shared" si="277"/>
        <v xml:space="preserve">COM VALOR</v>
      </c>
      <c r="J5923" s="19"/>
      <c r="L5923" s="21">
        <v>43.759999999999998</v>
      </c>
      <c r="M5923" s="22">
        <v>0</v>
      </c>
      <c r="N5923" s="21">
        <v>43.560000000000002</v>
      </c>
      <c r="O5923" s="22">
        <v>0</v>
      </c>
    </row>
    <row r="5924" ht="25.5">
      <c r="A5924" t="s">
        <v>5970</v>
      </c>
      <c r="B5924" s="19">
        <v>104026</v>
      </c>
      <c r="C5924" s="20" t="s">
        <v>6036</v>
      </c>
      <c r="D5924" s="19" t="s">
        <v>31</v>
      </c>
      <c r="E5924" s="21">
        <f t="shared" si="275"/>
        <v>46.82</v>
      </c>
      <c r="F5924" s="22"/>
      <c r="G5924" s="21">
        <f t="shared" si="276"/>
        <v>46.439999999999998</v>
      </c>
      <c r="H5924" s="22"/>
      <c r="I5924" s="23" t="str">
        <f t="shared" si="277"/>
        <v xml:space="preserve">COM VALOR</v>
      </c>
      <c r="J5924" s="19"/>
      <c r="L5924" s="21">
        <v>46.82</v>
      </c>
      <c r="M5924" s="22">
        <v>0</v>
      </c>
      <c r="N5924" s="21">
        <v>46.439999999999998</v>
      </c>
      <c r="O5924" s="22">
        <v>0</v>
      </c>
    </row>
    <row r="5925" ht="38.25">
      <c r="A5925" t="s">
        <v>5970</v>
      </c>
      <c r="B5925" s="19">
        <v>89740</v>
      </c>
      <c r="C5925" s="20" t="s">
        <v>6037</v>
      </c>
      <c r="D5925" s="19" t="s">
        <v>31</v>
      </c>
      <c r="E5925" s="21">
        <f t="shared" si="275"/>
        <v>10.24</v>
      </c>
      <c r="F5925" s="22"/>
      <c r="G5925" s="21">
        <f t="shared" si="276"/>
        <v>9.9900000000000002</v>
      </c>
      <c r="H5925" s="22"/>
      <c r="I5925" s="23" t="str">
        <f t="shared" si="277"/>
        <v xml:space="preserve">COM VALOR</v>
      </c>
      <c r="J5925" s="19"/>
      <c r="L5925" s="21">
        <v>10.24</v>
      </c>
      <c r="M5925" s="22">
        <v>0</v>
      </c>
      <c r="N5925" s="21">
        <v>9.9900000000000002</v>
      </c>
      <c r="O5925" s="22">
        <v>0</v>
      </c>
    </row>
    <row r="5926" ht="25.5">
      <c r="A5926" t="s">
        <v>5970</v>
      </c>
      <c r="B5926" s="19">
        <v>89836</v>
      </c>
      <c r="C5926" s="20" t="s">
        <v>6038</v>
      </c>
      <c r="D5926" s="19" t="s">
        <v>31</v>
      </c>
      <c r="E5926" s="21">
        <f t="shared" si="275"/>
        <v>225.69999999999999</v>
      </c>
      <c r="F5926" s="22"/>
      <c r="G5926" s="21">
        <f t="shared" si="276"/>
        <v>225.44</v>
      </c>
      <c r="H5926" s="22"/>
      <c r="I5926" s="23" t="str">
        <f t="shared" si="277"/>
        <v xml:space="preserve">COM VALOR</v>
      </c>
      <c r="J5926" s="19"/>
      <c r="L5926" s="21">
        <v>225.69999999999999</v>
      </c>
      <c r="M5926" s="22">
        <v>0</v>
      </c>
      <c r="N5926" s="21">
        <v>225.44</v>
      </c>
      <c r="O5926" s="22">
        <v>0</v>
      </c>
    </row>
    <row r="5927" ht="38.25">
      <c r="A5927" t="s">
        <v>5970</v>
      </c>
      <c r="B5927" s="19">
        <v>89653</v>
      </c>
      <c r="C5927" s="20" t="s">
        <v>6039</v>
      </c>
      <c r="D5927" s="19" t="s">
        <v>31</v>
      </c>
      <c r="E5927" s="21">
        <f t="shared" si="275"/>
        <v>19.550000000000001</v>
      </c>
      <c r="F5927" s="22"/>
      <c r="G5927" s="21">
        <f t="shared" si="276"/>
        <v>19.34</v>
      </c>
      <c r="H5927" s="22"/>
      <c r="I5927" s="23" t="str">
        <f t="shared" si="277"/>
        <v xml:space="preserve">COM VALOR</v>
      </c>
      <c r="J5927" s="19"/>
      <c r="L5927" s="21">
        <v>19.550000000000001</v>
      </c>
      <c r="M5927" s="22">
        <v>0</v>
      </c>
      <c r="N5927" s="21">
        <v>19.34</v>
      </c>
      <c r="O5927" s="22">
        <v>0</v>
      </c>
    </row>
    <row r="5928" ht="38.25">
      <c r="A5928" t="s">
        <v>5970</v>
      </c>
      <c r="B5928" s="19">
        <v>89660</v>
      </c>
      <c r="C5928" s="20" t="s">
        <v>6040</v>
      </c>
      <c r="D5928" s="19" t="s">
        <v>31</v>
      </c>
      <c r="E5928" s="21">
        <f t="shared" si="275"/>
        <v>10.77</v>
      </c>
      <c r="F5928" s="22"/>
      <c r="G5928" s="21">
        <f t="shared" si="276"/>
        <v>10.49</v>
      </c>
      <c r="H5928" s="22"/>
      <c r="I5928" s="23" t="str">
        <f t="shared" si="277"/>
        <v xml:space="preserve">COM VALOR</v>
      </c>
      <c r="J5928" s="19"/>
      <c r="L5928" s="21">
        <v>10.77</v>
      </c>
      <c r="M5928" s="22">
        <v>0</v>
      </c>
      <c r="N5928" s="21">
        <v>10.49</v>
      </c>
      <c r="O5928" s="22">
        <v>0</v>
      </c>
    </row>
    <row r="5929" ht="38.25">
      <c r="A5929" t="s">
        <v>5970</v>
      </c>
      <c r="B5929" s="19">
        <v>104028</v>
      </c>
      <c r="C5929" s="20" t="s">
        <v>6041</v>
      </c>
      <c r="D5929" s="19" t="s">
        <v>31</v>
      </c>
      <c r="E5929" s="21">
        <f t="shared" si="275"/>
        <v>146.36000000000001</v>
      </c>
      <c r="F5929" s="22"/>
      <c r="G5929" s="21">
        <f t="shared" si="276"/>
        <v>146</v>
      </c>
      <c r="H5929" s="22"/>
      <c r="I5929" s="23" t="str">
        <f t="shared" si="277"/>
        <v xml:space="preserve">COM VALOR</v>
      </c>
      <c r="J5929" s="19"/>
      <c r="L5929" s="21">
        <v>146.36000000000001</v>
      </c>
      <c r="M5929" s="22">
        <v>0</v>
      </c>
      <c r="N5929" s="21">
        <v>146</v>
      </c>
      <c r="O5929" s="22">
        <v>0</v>
      </c>
    </row>
    <row r="5930" ht="25.5">
      <c r="A5930" t="s">
        <v>5970</v>
      </c>
      <c r="B5930" s="19">
        <v>89826</v>
      </c>
      <c r="C5930" s="20" t="s">
        <v>6042</v>
      </c>
      <c r="D5930" s="19" t="s">
        <v>31</v>
      </c>
      <c r="E5930" s="21">
        <f t="shared" si="275"/>
        <v>143.47999999999999</v>
      </c>
      <c r="F5930" s="22"/>
      <c r="G5930" s="21">
        <f t="shared" si="276"/>
        <v>143.28999999999999</v>
      </c>
      <c r="H5930" s="22"/>
      <c r="I5930" s="23" t="str">
        <f t="shared" si="277"/>
        <v xml:space="preserve">COM VALOR</v>
      </c>
      <c r="J5930" s="19"/>
      <c r="L5930" s="21">
        <v>143.47999999999999</v>
      </c>
      <c r="M5930" s="22">
        <v>0</v>
      </c>
      <c r="N5930" s="21">
        <v>143.28999999999999</v>
      </c>
      <c r="O5930" s="22">
        <v>0</v>
      </c>
    </row>
    <row r="5931" ht="25.5">
      <c r="A5931" t="s">
        <v>5970</v>
      </c>
      <c r="B5931" s="19">
        <v>89651</v>
      </c>
      <c r="C5931" s="20" t="s">
        <v>6043</v>
      </c>
      <c r="D5931" s="19" t="s">
        <v>31</v>
      </c>
      <c r="E5931" s="21">
        <f t="shared" si="275"/>
        <v>7.9299999999999997</v>
      </c>
      <c r="F5931" s="22">
        <v>0</v>
      </c>
      <c r="G5931" s="21">
        <f t="shared" si="276"/>
        <v>7.7199999999999998</v>
      </c>
      <c r="H5931" s="22">
        <v>0</v>
      </c>
      <c r="I5931" s="23" t="str">
        <f t="shared" si="277"/>
        <v xml:space="preserve">COM VALOR</v>
      </c>
      <c r="J5931" s="19"/>
      <c r="L5931" s="21">
        <v>7.9299999999999997</v>
      </c>
      <c r="M5931" s="22">
        <v>0</v>
      </c>
      <c r="N5931" s="21">
        <v>7.7199999999999998</v>
      </c>
      <c r="O5931" s="22">
        <v>0</v>
      </c>
    </row>
    <row r="5932" ht="25.5">
      <c r="A5932" t="s">
        <v>5970</v>
      </c>
      <c r="B5932" s="19">
        <v>89736</v>
      </c>
      <c r="C5932" s="20" t="s">
        <v>6044</v>
      </c>
      <c r="D5932" s="19" t="s">
        <v>31</v>
      </c>
      <c r="E5932" s="21">
        <f t="shared" si="275"/>
        <v>10.1</v>
      </c>
      <c r="F5932" s="22">
        <v>0</v>
      </c>
      <c r="G5932" s="21">
        <f t="shared" si="276"/>
        <v>9.8499999999999996</v>
      </c>
      <c r="H5932" s="22">
        <v>0</v>
      </c>
      <c r="I5932" s="23" t="str">
        <f t="shared" si="277"/>
        <v xml:space="preserve">COM VALOR</v>
      </c>
      <c r="J5932" s="19"/>
      <c r="L5932" s="21">
        <v>10.1</v>
      </c>
      <c r="M5932" s="22">
        <v>0</v>
      </c>
      <c r="N5932" s="21">
        <v>9.8499999999999996</v>
      </c>
      <c r="O5932" s="22">
        <v>0</v>
      </c>
    </row>
    <row r="5933" ht="25.5">
      <c r="A5933" t="s">
        <v>5970</v>
      </c>
      <c r="B5933" s="19">
        <v>89658</v>
      </c>
      <c r="C5933" s="20" t="s">
        <v>6045</v>
      </c>
      <c r="D5933" s="19" t="s">
        <v>31</v>
      </c>
      <c r="E5933" s="21">
        <f t="shared" si="275"/>
        <v>10.59</v>
      </c>
      <c r="F5933" s="22">
        <v>0.68000000000000005</v>
      </c>
      <c r="G5933" s="21">
        <f t="shared" si="276"/>
        <v>10.33</v>
      </c>
      <c r="H5933" s="22">
        <v>0.68999999999999995</v>
      </c>
      <c r="I5933" s="23" t="str">
        <f t="shared" si="277"/>
        <v xml:space="preserve">COM VALOR</v>
      </c>
      <c r="J5933" s="19"/>
      <c r="L5933" s="21">
        <v>10.59</v>
      </c>
      <c r="M5933" s="22">
        <v>0</v>
      </c>
      <c r="N5933" s="21">
        <v>10.33</v>
      </c>
      <c r="O5933" s="22">
        <v>0</v>
      </c>
    </row>
    <row r="5934" ht="25.5">
      <c r="A5934" t="s">
        <v>5970</v>
      </c>
      <c r="B5934" s="19">
        <v>89755</v>
      </c>
      <c r="C5934" s="20" t="s">
        <v>6046</v>
      </c>
      <c r="D5934" s="19" t="s">
        <v>31</v>
      </c>
      <c r="E5934" s="21">
        <f t="shared" si="275"/>
        <v>15.26</v>
      </c>
      <c r="F5934" s="22"/>
      <c r="G5934" s="21">
        <f t="shared" si="276"/>
        <v>14.98</v>
      </c>
      <c r="H5934" s="22"/>
      <c r="I5934" s="23" t="str">
        <f t="shared" si="277"/>
        <v xml:space="preserve">COM VALOR</v>
      </c>
      <c r="J5934" s="19"/>
      <c r="L5934" s="21">
        <v>15.26</v>
      </c>
      <c r="M5934" s="22">
        <v>0</v>
      </c>
      <c r="N5934" s="21">
        <v>14.98</v>
      </c>
      <c r="O5934" s="22">
        <v>0</v>
      </c>
    </row>
    <row r="5935" ht="25.5">
      <c r="A5935" t="s">
        <v>5970</v>
      </c>
      <c r="B5935" s="19">
        <v>89670</v>
      </c>
      <c r="C5935" s="20" t="s">
        <v>6047</v>
      </c>
      <c r="D5935" s="19" t="s">
        <v>31</v>
      </c>
      <c r="E5935" s="21">
        <f t="shared" si="275"/>
        <v>15.85</v>
      </c>
      <c r="F5935" s="22"/>
      <c r="G5935" s="21">
        <f t="shared" si="276"/>
        <v>15.529999999999999</v>
      </c>
      <c r="H5935" s="22"/>
      <c r="I5935" s="23" t="str">
        <f t="shared" si="277"/>
        <v xml:space="preserve">COM VALOR</v>
      </c>
      <c r="J5935" s="19"/>
      <c r="L5935" s="21">
        <v>15.85</v>
      </c>
      <c r="M5935" s="22">
        <v>0</v>
      </c>
      <c r="N5935" s="21">
        <v>15.529999999999999</v>
      </c>
      <c r="O5935" s="22">
        <v>0</v>
      </c>
    </row>
    <row r="5936" ht="25.5">
      <c r="A5936" t="s">
        <v>5970</v>
      </c>
      <c r="B5936" s="19">
        <v>89794</v>
      </c>
      <c r="C5936" s="20" t="s">
        <v>6048</v>
      </c>
      <c r="D5936" s="19" t="s">
        <v>31</v>
      </c>
      <c r="E5936" s="21">
        <f t="shared" si="275"/>
        <v>21.940000000000001</v>
      </c>
      <c r="F5936" s="22">
        <v>0</v>
      </c>
      <c r="G5936" s="21">
        <f t="shared" si="276"/>
        <v>21.760000000000002</v>
      </c>
      <c r="H5936" s="22">
        <v>0</v>
      </c>
      <c r="I5936" s="23" t="str">
        <f t="shared" si="277"/>
        <v xml:space="preserve">COM VALOR</v>
      </c>
      <c r="J5936" s="19"/>
      <c r="L5936" s="21">
        <v>21.940000000000001</v>
      </c>
      <c r="M5936" s="22">
        <v>0</v>
      </c>
      <c r="N5936" s="21">
        <v>21.760000000000002</v>
      </c>
      <c r="O5936" s="22">
        <v>0</v>
      </c>
    </row>
    <row r="5937" ht="25.5">
      <c r="A5937" t="s">
        <v>5970</v>
      </c>
      <c r="B5937" s="19">
        <v>89760</v>
      </c>
      <c r="C5937" s="20" t="s">
        <v>6049</v>
      </c>
      <c r="D5937" s="19" t="s">
        <v>31</v>
      </c>
      <c r="E5937" s="21">
        <f t="shared" si="275"/>
        <v>24.640000000000001</v>
      </c>
      <c r="F5937" s="22"/>
      <c r="G5937" s="21">
        <f t="shared" si="276"/>
        <v>24.300000000000001</v>
      </c>
      <c r="H5937" s="22"/>
      <c r="I5937" s="23" t="str">
        <f t="shared" si="277"/>
        <v xml:space="preserve">COM VALOR</v>
      </c>
      <c r="J5937" s="19"/>
      <c r="L5937" s="21">
        <v>24.640000000000001</v>
      </c>
      <c r="M5937" s="22">
        <v>0</v>
      </c>
      <c r="N5937" s="21">
        <v>24.300000000000001</v>
      </c>
      <c r="O5937" s="22">
        <v>0</v>
      </c>
    </row>
    <row r="5938" ht="25.5">
      <c r="A5938" t="s">
        <v>5970</v>
      </c>
      <c r="B5938" s="19">
        <v>89680</v>
      </c>
      <c r="C5938" s="20" t="s">
        <v>6050</v>
      </c>
      <c r="D5938" s="19" t="s">
        <v>31</v>
      </c>
      <c r="E5938" s="21">
        <f t="shared" si="275"/>
        <v>25.329999999999998</v>
      </c>
      <c r="F5938" s="22"/>
      <c r="G5938" s="21">
        <f t="shared" si="276"/>
        <v>24.960000000000001</v>
      </c>
      <c r="H5938" s="22"/>
      <c r="I5938" s="23" t="str">
        <f t="shared" si="277"/>
        <v xml:space="preserve">COM VALOR</v>
      </c>
      <c r="J5938" s="19"/>
      <c r="L5938" s="21">
        <v>25.329999999999998</v>
      </c>
      <c r="M5938" s="22">
        <v>0</v>
      </c>
      <c r="N5938" s="21">
        <v>24.960000000000001</v>
      </c>
      <c r="O5938" s="22">
        <v>0</v>
      </c>
    </row>
    <row r="5939" ht="25.5">
      <c r="A5939" t="s">
        <v>5970</v>
      </c>
      <c r="B5939" s="19">
        <v>89822</v>
      </c>
      <c r="C5939" s="20" t="s">
        <v>6051</v>
      </c>
      <c r="D5939" s="19" t="s">
        <v>31</v>
      </c>
      <c r="E5939" s="21">
        <f t="shared" si="275"/>
        <v>28.719999999999999</v>
      </c>
      <c r="F5939" s="22"/>
      <c r="G5939" s="21">
        <f t="shared" si="276"/>
        <v>28.52</v>
      </c>
      <c r="H5939" s="22"/>
      <c r="I5939" s="23" t="str">
        <f t="shared" si="277"/>
        <v xml:space="preserve">COM VALOR</v>
      </c>
      <c r="J5939" s="19"/>
      <c r="L5939" s="21">
        <v>28.719999999999999</v>
      </c>
      <c r="M5939" s="22">
        <v>0</v>
      </c>
      <c r="N5939" s="21">
        <v>28.52</v>
      </c>
      <c r="O5939" s="22">
        <v>0</v>
      </c>
    </row>
    <row r="5940" ht="25.5">
      <c r="A5940" t="s">
        <v>5970</v>
      </c>
      <c r="B5940" s="19">
        <v>104025</v>
      </c>
      <c r="C5940" s="20" t="s">
        <v>6052</v>
      </c>
      <c r="D5940" s="19" t="s">
        <v>31</v>
      </c>
      <c r="E5940" s="21">
        <f t="shared" si="275"/>
        <v>31.780000000000001</v>
      </c>
      <c r="F5940" s="22"/>
      <c r="G5940" s="21">
        <f t="shared" si="276"/>
        <v>31.399999999999999</v>
      </c>
      <c r="H5940" s="22"/>
      <c r="I5940" s="23" t="str">
        <f t="shared" si="277"/>
        <v xml:space="preserve">COM VALOR</v>
      </c>
      <c r="J5940" s="19"/>
      <c r="L5940" s="21">
        <v>31.780000000000001</v>
      </c>
      <c r="M5940" s="22">
        <v>0</v>
      </c>
      <c r="N5940" s="21">
        <v>31.399999999999999</v>
      </c>
      <c r="O5940" s="22">
        <v>0</v>
      </c>
    </row>
    <row r="5941" ht="25.5">
      <c r="A5941" t="s">
        <v>5970</v>
      </c>
      <c r="B5941" s="19">
        <v>89835</v>
      </c>
      <c r="C5941" s="20" t="s">
        <v>6053</v>
      </c>
      <c r="D5941" s="19" t="s">
        <v>31</v>
      </c>
      <c r="E5941" s="21">
        <f t="shared" si="275"/>
        <v>49.619999999999997</v>
      </c>
      <c r="F5941" s="22"/>
      <c r="G5941" s="21">
        <f t="shared" si="276"/>
        <v>49.350000000000001</v>
      </c>
      <c r="H5941" s="22"/>
      <c r="I5941" s="23" t="str">
        <f t="shared" si="277"/>
        <v xml:space="preserve">COM VALOR</v>
      </c>
      <c r="J5941" s="19"/>
      <c r="L5941" s="21">
        <v>49.619999999999997</v>
      </c>
      <c r="M5941" s="22">
        <v>0</v>
      </c>
      <c r="N5941" s="21">
        <v>49.350000000000001</v>
      </c>
      <c r="O5941" s="22">
        <v>0</v>
      </c>
    </row>
    <row r="5942" ht="25.5">
      <c r="A5942" t="s">
        <v>5970</v>
      </c>
      <c r="B5942" s="19">
        <v>89838</v>
      </c>
      <c r="C5942" s="20" t="s">
        <v>6054</v>
      </c>
      <c r="D5942" s="19" t="s">
        <v>31</v>
      </c>
      <c r="E5942" s="21">
        <f t="shared" si="275"/>
        <v>173.12</v>
      </c>
      <c r="F5942" s="22"/>
      <c r="G5942" s="21">
        <f t="shared" si="276"/>
        <v>172.77000000000001</v>
      </c>
      <c r="H5942" s="22"/>
      <c r="I5942" s="23" t="str">
        <f t="shared" si="277"/>
        <v xml:space="preserve">COM VALOR</v>
      </c>
      <c r="J5942" s="19"/>
      <c r="L5942" s="21">
        <v>173.12</v>
      </c>
      <c r="M5942" s="22">
        <v>0</v>
      </c>
      <c r="N5942" s="21">
        <v>172.77000000000001</v>
      </c>
      <c r="O5942" s="22">
        <v>0</v>
      </c>
    </row>
    <row r="5943" ht="25.5">
      <c r="A5943" t="s">
        <v>5970</v>
      </c>
      <c r="B5943" s="19">
        <v>89840</v>
      </c>
      <c r="C5943" s="20" t="s">
        <v>6055</v>
      </c>
      <c r="D5943" s="19" t="s">
        <v>31</v>
      </c>
      <c r="E5943" s="21">
        <f t="shared" si="275"/>
        <v>204.12</v>
      </c>
      <c r="F5943" s="22"/>
      <c r="G5943" s="21">
        <f t="shared" si="276"/>
        <v>203.71000000000001</v>
      </c>
      <c r="H5943" s="22"/>
      <c r="I5943" s="23" t="str">
        <f t="shared" si="277"/>
        <v xml:space="preserve">COM VALOR</v>
      </c>
      <c r="J5943" s="19"/>
      <c r="L5943" s="21">
        <v>204.12</v>
      </c>
      <c r="M5943" s="22">
        <v>0</v>
      </c>
      <c r="N5943" s="21">
        <v>203.71000000000001</v>
      </c>
      <c r="O5943" s="22">
        <v>0</v>
      </c>
    </row>
    <row r="5944" ht="38.25">
      <c r="A5944" t="s">
        <v>5970</v>
      </c>
      <c r="B5944" s="19">
        <v>104015</v>
      </c>
      <c r="C5944" s="20" t="s">
        <v>6056</v>
      </c>
      <c r="D5944" s="19" t="s">
        <v>31</v>
      </c>
      <c r="E5944" s="21">
        <f t="shared" si="275"/>
        <v>18.190000000000001</v>
      </c>
      <c r="F5944" s="22"/>
      <c r="G5944" s="21">
        <f t="shared" si="276"/>
        <v>17.710000000000001</v>
      </c>
      <c r="H5944" s="22"/>
      <c r="I5944" s="23" t="str">
        <f t="shared" si="277"/>
        <v xml:space="preserve">COM VALOR</v>
      </c>
      <c r="J5944" s="19"/>
      <c r="L5944" s="21">
        <v>18.190000000000001</v>
      </c>
      <c r="M5944" s="22">
        <v>0</v>
      </c>
      <c r="N5944" s="21">
        <v>17.710000000000001</v>
      </c>
      <c r="O5944" s="22">
        <v>0</v>
      </c>
    </row>
    <row r="5945" ht="38.25">
      <c r="A5945" t="s">
        <v>5970</v>
      </c>
      <c r="B5945" s="19">
        <v>104018</v>
      </c>
      <c r="C5945" s="20" t="s">
        <v>6057</v>
      </c>
      <c r="D5945" s="19" t="s">
        <v>31</v>
      </c>
      <c r="E5945" s="21">
        <f t="shared" si="275"/>
        <v>23.469999999999999</v>
      </c>
      <c r="F5945" s="22"/>
      <c r="G5945" s="21">
        <f t="shared" si="276"/>
        <v>22.949999999999999</v>
      </c>
      <c r="H5945" s="22"/>
      <c r="I5945" s="23" t="str">
        <f t="shared" si="277"/>
        <v xml:space="preserve">COM VALOR</v>
      </c>
      <c r="J5945" s="19"/>
      <c r="L5945" s="21">
        <v>23.469999999999999</v>
      </c>
      <c r="M5945" s="22">
        <v>0</v>
      </c>
      <c r="N5945" s="21">
        <v>22.949999999999999</v>
      </c>
      <c r="O5945" s="22">
        <v>0</v>
      </c>
    </row>
    <row r="5946" ht="38.25">
      <c r="A5946" t="s">
        <v>5970</v>
      </c>
      <c r="B5946" s="19">
        <v>104016</v>
      </c>
      <c r="C5946" s="20" t="s">
        <v>6058</v>
      </c>
      <c r="D5946" s="19" t="s">
        <v>31</v>
      </c>
      <c r="E5946" s="21">
        <f t="shared" si="275"/>
        <v>24.57</v>
      </c>
      <c r="F5946" s="22">
        <v>0</v>
      </c>
      <c r="G5946" s="21">
        <f t="shared" si="276"/>
        <v>23.98</v>
      </c>
      <c r="H5946" s="22">
        <v>0</v>
      </c>
      <c r="I5946" s="23" t="str">
        <f t="shared" si="277"/>
        <v xml:space="preserve">COM VALOR</v>
      </c>
      <c r="J5946" s="19"/>
      <c r="L5946" s="21">
        <v>24.57</v>
      </c>
      <c r="M5946" s="22">
        <v>0</v>
      </c>
      <c r="N5946" s="21">
        <v>23.98</v>
      </c>
      <c r="O5946" s="22">
        <v>0</v>
      </c>
    </row>
    <row r="5947" ht="38.25">
      <c r="A5947" t="s">
        <v>5970</v>
      </c>
      <c r="B5947" s="19">
        <v>104019</v>
      </c>
      <c r="C5947" s="20" t="s">
        <v>6059</v>
      </c>
      <c r="D5947" s="19" t="s">
        <v>31</v>
      </c>
      <c r="E5947" s="21">
        <f t="shared" si="275"/>
        <v>49.340000000000003</v>
      </c>
      <c r="F5947" s="22">
        <v>0</v>
      </c>
      <c r="G5947" s="21">
        <f t="shared" si="276"/>
        <v>48.729999999999997</v>
      </c>
      <c r="H5947" s="22">
        <v>0</v>
      </c>
      <c r="I5947" s="23" t="str">
        <f t="shared" si="277"/>
        <v xml:space="preserve">COM VALOR</v>
      </c>
      <c r="J5947" s="19"/>
      <c r="L5947" s="21">
        <v>49.340000000000003</v>
      </c>
      <c r="M5947" s="22">
        <v>0</v>
      </c>
      <c r="N5947" s="21">
        <v>48.729999999999997</v>
      </c>
      <c r="O5947" s="22">
        <v>0</v>
      </c>
    </row>
    <row r="5948" ht="38.25">
      <c r="A5948" t="s">
        <v>5970</v>
      </c>
      <c r="B5948" s="19">
        <v>104017</v>
      </c>
      <c r="C5948" s="20" t="s">
        <v>6060</v>
      </c>
      <c r="D5948" s="19" t="s">
        <v>31</v>
      </c>
      <c r="E5948" s="21">
        <f t="shared" si="275"/>
        <v>50.619999999999997</v>
      </c>
      <c r="F5948" s="22">
        <v>0.56999999999999995</v>
      </c>
      <c r="G5948" s="21">
        <f t="shared" si="276"/>
        <v>49.93</v>
      </c>
      <c r="H5948" s="22">
        <v>0.58999999999999997</v>
      </c>
      <c r="I5948" s="23" t="str">
        <f t="shared" si="277"/>
        <v xml:space="preserve">COM VALOR</v>
      </c>
      <c r="J5948" s="19"/>
      <c r="L5948" s="21">
        <v>50.619999999999997</v>
      </c>
      <c r="M5948" s="22">
        <v>0</v>
      </c>
      <c r="N5948" s="21">
        <v>49.93</v>
      </c>
      <c r="O5948" s="22">
        <v>0</v>
      </c>
    </row>
    <row r="5949" ht="25.5">
      <c r="A5949" t="s">
        <v>5970</v>
      </c>
      <c r="B5949" s="19">
        <v>104020</v>
      </c>
      <c r="C5949" s="20" t="s">
        <v>6061</v>
      </c>
      <c r="D5949" s="19" t="s">
        <v>31</v>
      </c>
      <c r="E5949" s="21">
        <f t="shared" si="275"/>
        <v>62.890000000000001</v>
      </c>
      <c r="F5949" s="22">
        <v>0</v>
      </c>
      <c r="G5949" s="21">
        <f t="shared" si="276"/>
        <v>62.5</v>
      </c>
      <c r="H5949" s="22">
        <v>0</v>
      </c>
      <c r="I5949" s="23" t="str">
        <f t="shared" si="277"/>
        <v xml:space="preserve">COM VALOR</v>
      </c>
      <c r="J5949" s="19"/>
      <c r="L5949" s="21">
        <v>62.890000000000001</v>
      </c>
      <c r="M5949" s="22">
        <v>0</v>
      </c>
      <c r="N5949" s="21">
        <v>62.5</v>
      </c>
      <c r="O5949" s="22">
        <v>0</v>
      </c>
    </row>
    <row r="5950" ht="38.25">
      <c r="A5950" t="s">
        <v>5970</v>
      </c>
      <c r="B5950" s="19">
        <v>104030</v>
      </c>
      <c r="C5950" s="20" t="s">
        <v>6062</v>
      </c>
      <c r="D5950" s="19" t="s">
        <v>31</v>
      </c>
      <c r="E5950" s="21">
        <f t="shared" si="275"/>
        <v>68.650000000000006</v>
      </c>
      <c r="F5950" s="22">
        <v>0</v>
      </c>
      <c r="G5950" s="21">
        <f t="shared" si="276"/>
        <v>67.930000000000007</v>
      </c>
      <c r="H5950" s="22">
        <v>0</v>
      </c>
      <c r="I5950" s="23" t="str">
        <f t="shared" si="277"/>
        <v xml:space="preserve">COM VALOR</v>
      </c>
      <c r="J5950" s="19"/>
      <c r="L5950" s="21">
        <v>68.650000000000006</v>
      </c>
      <c r="M5950" s="22">
        <v>0</v>
      </c>
      <c r="N5950" s="21">
        <v>67.930000000000007</v>
      </c>
      <c r="O5950" s="22">
        <v>0</v>
      </c>
    </row>
    <row r="5951" ht="38.25">
      <c r="A5951" t="s">
        <v>5970</v>
      </c>
      <c r="B5951" s="19">
        <v>89694</v>
      </c>
      <c r="C5951" s="20" t="s">
        <v>6063</v>
      </c>
      <c r="D5951" s="19" t="s">
        <v>31</v>
      </c>
      <c r="E5951" s="21">
        <f t="shared" si="275"/>
        <v>22.48</v>
      </c>
      <c r="F5951" s="22">
        <v>0.55000000000000004</v>
      </c>
      <c r="G5951" s="21">
        <f t="shared" si="276"/>
        <v>22.059999999999999</v>
      </c>
      <c r="H5951" s="22">
        <v>0.56999999999999995</v>
      </c>
      <c r="I5951" s="23" t="str">
        <f t="shared" si="277"/>
        <v xml:space="preserve">COM VALOR</v>
      </c>
      <c r="J5951" s="19"/>
      <c r="L5951" s="21">
        <v>22.48</v>
      </c>
      <c r="M5951" s="22">
        <v>0</v>
      </c>
      <c r="N5951" s="21">
        <v>22.059999999999999</v>
      </c>
      <c r="O5951" s="22">
        <v>0</v>
      </c>
    </row>
    <row r="5952" ht="38.25">
      <c r="A5952" t="s">
        <v>5970</v>
      </c>
      <c r="B5952" s="19">
        <v>89700</v>
      </c>
      <c r="C5952" s="20" t="s">
        <v>6064</v>
      </c>
      <c r="D5952" s="19" t="s">
        <v>31</v>
      </c>
      <c r="E5952" s="21">
        <f t="shared" si="275"/>
        <v>25.73</v>
      </c>
      <c r="F5952" s="22">
        <v>0.54000000000000004</v>
      </c>
      <c r="G5952" s="21">
        <f t="shared" si="276"/>
        <v>25.25</v>
      </c>
      <c r="H5952" s="22">
        <v>0.56000000000000005</v>
      </c>
      <c r="I5952" s="23" t="str">
        <f t="shared" si="277"/>
        <v xml:space="preserve">COM VALOR</v>
      </c>
      <c r="J5952" s="19"/>
      <c r="L5952" s="21">
        <v>25.73</v>
      </c>
      <c r="M5952" s="22">
        <v>0</v>
      </c>
      <c r="N5952" s="21">
        <v>25.25</v>
      </c>
      <c r="O5952" s="22">
        <v>0</v>
      </c>
    </row>
    <row r="5953" ht="38.25">
      <c r="A5953" t="s">
        <v>5970</v>
      </c>
      <c r="B5953" s="19">
        <v>89703</v>
      </c>
      <c r="C5953" s="20" t="s">
        <v>6065</v>
      </c>
      <c r="D5953" s="19" t="s">
        <v>31</v>
      </c>
      <c r="E5953" s="21">
        <f t="shared" si="275"/>
        <v>53.82</v>
      </c>
      <c r="F5953" s="22">
        <v>0.53000000000000003</v>
      </c>
      <c r="G5953" s="21">
        <f t="shared" si="276"/>
        <v>53.310000000000002</v>
      </c>
      <c r="H5953" s="22">
        <v>0.55000000000000004</v>
      </c>
      <c r="I5953" s="23" t="str">
        <f t="shared" si="277"/>
        <v xml:space="preserve">COM VALOR</v>
      </c>
      <c r="J5953" s="19"/>
      <c r="L5953" s="21">
        <v>53.82</v>
      </c>
      <c r="M5953" s="22">
        <v>0</v>
      </c>
      <c r="N5953" s="21">
        <v>53.310000000000002</v>
      </c>
      <c r="O5953" s="22">
        <v>0</v>
      </c>
    </row>
    <row r="5954" ht="25.5">
      <c r="A5954" t="s">
        <v>5970</v>
      </c>
      <c r="B5954" s="19">
        <v>89691</v>
      </c>
      <c r="C5954" s="20" t="s">
        <v>6066</v>
      </c>
      <c r="D5954" s="19" t="s">
        <v>31</v>
      </c>
      <c r="E5954" s="21">
        <f t="shared" si="275"/>
        <v>15.07</v>
      </c>
      <c r="F5954" s="22">
        <v>0</v>
      </c>
      <c r="G5954" s="21">
        <f t="shared" si="276"/>
        <v>14.65</v>
      </c>
      <c r="H5954" s="22">
        <v>0</v>
      </c>
      <c r="I5954" s="23" t="str">
        <f t="shared" si="277"/>
        <v xml:space="preserve">COM VALOR</v>
      </c>
      <c r="J5954" s="19"/>
      <c r="L5954" s="21">
        <v>15.07</v>
      </c>
      <c r="M5954" s="22">
        <v>0</v>
      </c>
      <c r="N5954" s="21">
        <v>14.65</v>
      </c>
      <c r="O5954" s="22">
        <v>0</v>
      </c>
    </row>
    <row r="5955" ht="25.5">
      <c r="A5955" t="s">
        <v>5970</v>
      </c>
      <c r="B5955" s="19">
        <v>89765</v>
      </c>
      <c r="C5955" s="20" t="s">
        <v>6067</v>
      </c>
      <c r="D5955" s="19" t="s">
        <v>31</v>
      </c>
      <c r="E5955" s="21">
        <f t="shared" si="275"/>
        <v>18.719999999999999</v>
      </c>
      <c r="F5955" s="22">
        <v>0</v>
      </c>
      <c r="G5955" s="21">
        <f t="shared" si="276"/>
        <v>18.239999999999998</v>
      </c>
      <c r="H5955" s="22">
        <v>0</v>
      </c>
      <c r="I5955" s="23" t="str">
        <f t="shared" si="277"/>
        <v xml:space="preserve">COM VALOR</v>
      </c>
      <c r="J5955" s="19"/>
      <c r="L5955" s="21">
        <v>18.719999999999999</v>
      </c>
      <c r="M5955" s="22">
        <v>0</v>
      </c>
      <c r="N5955" s="21">
        <v>18.239999999999998</v>
      </c>
      <c r="O5955" s="22">
        <v>0</v>
      </c>
    </row>
    <row r="5956" ht="25.5">
      <c r="A5956" t="s">
        <v>5970</v>
      </c>
      <c r="B5956" s="19">
        <v>89697</v>
      </c>
      <c r="C5956" s="20" t="s">
        <v>6068</v>
      </c>
      <c r="D5956" s="19" t="s">
        <v>31</v>
      </c>
      <c r="E5956" s="21">
        <f t="shared" si="275"/>
        <v>19.719999999999999</v>
      </c>
      <c r="F5956" s="22">
        <v>0</v>
      </c>
      <c r="G5956" s="21">
        <f t="shared" si="276"/>
        <v>19.190000000000001</v>
      </c>
      <c r="H5956" s="22">
        <v>0</v>
      </c>
      <c r="I5956" s="23" t="str">
        <f t="shared" si="277"/>
        <v xml:space="preserve">COM VALOR</v>
      </c>
      <c r="J5956" s="19"/>
      <c r="L5956" s="21">
        <v>19.719999999999999</v>
      </c>
      <c r="M5956" s="22">
        <v>0</v>
      </c>
      <c r="N5956" s="21">
        <v>19.190000000000001</v>
      </c>
      <c r="O5956" s="22">
        <v>0</v>
      </c>
    </row>
    <row r="5957" ht="25.5">
      <c r="A5957" t="s">
        <v>5970</v>
      </c>
      <c r="B5957" s="19">
        <v>89844</v>
      </c>
      <c r="C5957" s="20" t="s">
        <v>6069</v>
      </c>
      <c r="D5957" s="19" t="s">
        <v>31</v>
      </c>
      <c r="E5957" s="21">
        <f t="shared" si="275"/>
        <v>71.390000000000001</v>
      </c>
      <c r="F5957" s="22">
        <v>0.69999999999999996</v>
      </c>
      <c r="G5957" s="21">
        <f t="shared" si="276"/>
        <v>70.969999999999999</v>
      </c>
      <c r="H5957" s="22">
        <v>0.71999999999999997</v>
      </c>
      <c r="I5957" s="23" t="str">
        <f t="shared" si="277"/>
        <v xml:space="preserve">COM VALOR</v>
      </c>
      <c r="J5957" s="19"/>
      <c r="L5957" s="21">
        <v>71.390000000000001</v>
      </c>
      <c r="M5957" s="22">
        <v>0</v>
      </c>
      <c r="N5957" s="21">
        <v>70.969999999999999</v>
      </c>
      <c r="O5957" s="22">
        <v>0</v>
      </c>
    </row>
    <row r="5958" ht="25.5">
      <c r="A5958" t="s">
        <v>5970</v>
      </c>
      <c r="B5958" s="19">
        <v>104022</v>
      </c>
      <c r="C5958" s="20" t="s">
        <v>6070</v>
      </c>
      <c r="D5958" s="19" t="s">
        <v>31</v>
      </c>
      <c r="E5958" s="21">
        <f t="shared" si="275"/>
        <v>77.489999999999995</v>
      </c>
      <c r="F5958" s="22">
        <v>0.70999999999999996</v>
      </c>
      <c r="G5958" s="21">
        <f t="shared" si="276"/>
        <v>76.730000000000004</v>
      </c>
      <c r="H5958" s="22">
        <v>0.71999999999999997</v>
      </c>
      <c r="I5958" s="23" t="str">
        <f t="shared" si="277"/>
        <v xml:space="preserve">COM VALOR</v>
      </c>
      <c r="J5958" s="19"/>
      <c r="L5958" s="21">
        <v>77.489999999999995</v>
      </c>
      <c r="M5958" s="22">
        <v>0</v>
      </c>
      <c r="N5958" s="21">
        <v>76.730000000000004</v>
      </c>
      <c r="O5958" s="22">
        <v>0</v>
      </c>
    </row>
    <row r="5959" ht="25.5">
      <c r="A5959" t="s">
        <v>5970</v>
      </c>
      <c r="B5959" s="19">
        <v>89633</v>
      </c>
      <c r="C5959" s="20" t="s">
        <v>6071</v>
      </c>
      <c r="D5959" s="19" t="s">
        <v>38</v>
      </c>
      <c r="E5959" s="21">
        <f t="shared" si="275"/>
        <v>28.120000000000001</v>
      </c>
      <c r="F5959" s="22">
        <v>0.70999999999999996</v>
      </c>
      <c r="G5959" s="21">
        <f t="shared" si="276"/>
        <v>27.329999999999998</v>
      </c>
      <c r="H5959" s="22">
        <v>0.71999999999999997</v>
      </c>
      <c r="I5959" s="23" t="str">
        <f t="shared" si="277"/>
        <v xml:space="preserve">COM VALOR</v>
      </c>
      <c r="J5959" s="19"/>
      <c r="L5959" s="21">
        <v>28.120000000000001</v>
      </c>
      <c r="M5959" s="22">
        <v>0</v>
      </c>
      <c r="N5959" s="21">
        <v>27.329999999999998</v>
      </c>
      <c r="O5959" s="22">
        <v>0</v>
      </c>
    </row>
    <row r="5960" ht="25.5">
      <c r="A5960" t="s">
        <v>5970</v>
      </c>
      <c r="B5960" s="19">
        <v>89716</v>
      </c>
      <c r="C5960" s="20" t="s">
        <v>6072</v>
      </c>
      <c r="D5960" s="19" t="s">
        <v>38</v>
      </c>
      <c r="E5960" s="21">
        <f t="shared" si="275"/>
        <v>29.940000000000001</v>
      </c>
      <c r="F5960" s="22">
        <v>0.60999999999999999</v>
      </c>
      <c r="G5960" s="21">
        <f t="shared" si="276"/>
        <v>29.52</v>
      </c>
      <c r="H5960" s="22">
        <v>0.63</v>
      </c>
      <c r="I5960" s="23" t="str">
        <f t="shared" si="277"/>
        <v xml:space="preserve">COM VALOR</v>
      </c>
      <c r="J5960" s="19"/>
      <c r="L5960" s="21">
        <v>29.940000000000001</v>
      </c>
      <c r="M5960" s="22">
        <v>0</v>
      </c>
      <c r="N5960" s="21">
        <v>29.52</v>
      </c>
      <c r="O5960" s="22">
        <v>0</v>
      </c>
    </row>
    <row r="5961" ht="25.5">
      <c r="A5961" t="s">
        <v>5970</v>
      </c>
      <c r="B5961" s="19">
        <v>89634</v>
      </c>
      <c r="C5961" s="20" t="s">
        <v>6073</v>
      </c>
      <c r="D5961" s="19" t="s">
        <v>38</v>
      </c>
      <c r="E5961" s="21">
        <f t="shared" si="275"/>
        <v>40.259999999999998</v>
      </c>
      <c r="F5961" s="22">
        <v>0.55000000000000004</v>
      </c>
      <c r="G5961" s="21">
        <f t="shared" si="276"/>
        <v>39.259999999999998</v>
      </c>
      <c r="H5961" s="22">
        <v>0.56999999999999995</v>
      </c>
      <c r="I5961" s="23" t="str">
        <f t="shared" si="277"/>
        <v xml:space="preserve">COM VALOR</v>
      </c>
      <c r="J5961" s="19"/>
      <c r="L5961" s="21">
        <v>40.259999999999998</v>
      </c>
      <c r="M5961" s="22">
        <v>0</v>
      </c>
      <c r="N5961" s="21">
        <v>39.259999999999998</v>
      </c>
      <c r="O5961" s="22">
        <v>0</v>
      </c>
    </row>
    <row r="5962" ht="25.5">
      <c r="A5962" t="s">
        <v>5970</v>
      </c>
      <c r="B5962" s="19">
        <v>89717</v>
      </c>
      <c r="C5962" s="20" t="s">
        <v>6074</v>
      </c>
      <c r="D5962" s="19" t="s">
        <v>38</v>
      </c>
      <c r="E5962" s="21">
        <f t="shared" si="275"/>
        <v>47.560000000000002</v>
      </c>
      <c r="F5962" s="22">
        <v>0.46999999999999997</v>
      </c>
      <c r="G5962" s="21">
        <f t="shared" si="276"/>
        <v>47.060000000000002</v>
      </c>
      <c r="H5962" s="22">
        <v>0.48999999999999999</v>
      </c>
      <c r="I5962" s="23" t="str">
        <f t="shared" si="277"/>
        <v xml:space="preserve">COM VALOR</v>
      </c>
      <c r="J5962" s="19"/>
      <c r="L5962" s="21">
        <v>47.560000000000002</v>
      </c>
      <c r="M5962" s="22">
        <v>0</v>
      </c>
      <c r="N5962" s="21">
        <v>47.060000000000002</v>
      </c>
      <c r="O5962" s="22">
        <v>0</v>
      </c>
    </row>
    <row r="5963" ht="25.5">
      <c r="A5963" t="s">
        <v>5970</v>
      </c>
      <c r="B5963" s="19">
        <v>89635</v>
      </c>
      <c r="C5963" s="20" t="s">
        <v>6075</v>
      </c>
      <c r="D5963" s="19" t="s">
        <v>38</v>
      </c>
      <c r="E5963" s="21">
        <f t="shared" ref="E5963:E6026" si="278">IF(L5963=0,"VERIFICAR",L5963)</f>
        <v>59.75</v>
      </c>
      <c r="F5963" s="22">
        <v>0.68999999999999995</v>
      </c>
      <c r="G5963" s="21">
        <f t="shared" ref="G5963:G6026" si="279">IF(N5963=0,"VERIFICAR",N5963)</f>
        <v>58.560000000000002</v>
      </c>
      <c r="H5963" s="22">
        <v>0.70999999999999996</v>
      </c>
      <c r="I5963" s="23" t="str">
        <f t="shared" ref="I5963:I6026" si="280">IF(OR(E5963=0,G5963=0),"SEM VALOR","COM VALOR")</f>
        <v xml:space="preserve">COM VALOR</v>
      </c>
      <c r="J5963" s="19"/>
      <c r="L5963" s="21">
        <v>59.75</v>
      </c>
      <c r="M5963" s="22">
        <v>0</v>
      </c>
      <c r="N5963" s="21">
        <v>58.560000000000002</v>
      </c>
      <c r="O5963" s="22">
        <v>0</v>
      </c>
    </row>
    <row r="5964" ht="25.5">
      <c r="A5964" t="s">
        <v>5970</v>
      </c>
      <c r="B5964" s="19">
        <v>89770</v>
      </c>
      <c r="C5964" s="20" t="s">
        <v>6076</v>
      </c>
      <c r="D5964" s="19" t="s">
        <v>38</v>
      </c>
      <c r="E5964" s="21">
        <f t="shared" si="278"/>
        <v>51.990000000000002</v>
      </c>
      <c r="F5964" s="22">
        <v>0.73999999999999999</v>
      </c>
      <c r="G5964" s="21">
        <f t="shared" si="279"/>
        <v>51.920000000000002</v>
      </c>
      <c r="H5964" s="22">
        <v>0.76000000000000001</v>
      </c>
      <c r="I5964" s="23" t="str">
        <f t="shared" si="280"/>
        <v xml:space="preserve">COM VALOR</v>
      </c>
      <c r="J5964" s="19"/>
      <c r="L5964" s="21">
        <v>51.990000000000002</v>
      </c>
      <c r="M5964" s="22">
        <v>0</v>
      </c>
      <c r="N5964" s="21">
        <v>51.920000000000002</v>
      </c>
      <c r="O5964" s="22">
        <v>0</v>
      </c>
    </row>
    <row r="5965" ht="25.5">
      <c r="A5965" t="s">
        <v>5970</v>
      </c>
      <c r="B5965" s="19">
        <v>89718</v>
      </c>
      <c r="C5965" s="20" t="s">
        <v>6077</v>
      </c>
      <c r="D5965" s="19" t="s">
        <v>38</v>
      </c>
      <c r="E5965" s="21">
        <f t="shared" si="278"/>
        <v>61.009999999999998</v>
      </c>
      <c r="F5965" s="22">
        <v>0.72999999999999998</v>
      </c>
      <c r="G5965" s="21">
        <f t="shared" si="279"/>
        <v>60.439999999999998</v>
      </c>
      <c r="H5965" s="22">
        <v>0.73999999999999999</v>
      </c>
      <c r="I5965" s="23" t="str">
        <f t="shared" si="280"/>
        <v xml:space="preserve">COM VALOR</v>
      </c>
      <c r="J5965" s="19"/>
      <c r="L5965" s="21">
        <v>61.009999999999998</v>
      </c>
      <c r="M5965" s="22">
        <v>0</v>
      </c>
      <c r="N5965" s="21">
        <v>60.439999999999998</v>
      </c>
      <c r="O5965" s="22">
        <v>0</v>
      </c>
    </row>
    <row r="5966" ht="25.5">
      <c r="A5966" t="s">
        <v>5970</v>
      </c>
      <c r="B5966" s="19">
        <v>89636</v>
      </c>
      <c r="C5966" s="20" t="s">
        <v>6078</v>
      </c>
      <c r="D5966" s="19" t="s">
        <v>38</v>
      </c>
      <c r="E5966" s="21">
        <f t="shared" si="278"/>
        <v>75.359999999999999</v>
      </c>
      <c r="F5966" s="22">
        <v>0.79000000000000004</v>
      </c>
      <c r="G5966" s="21">
        <f t="shared" si="279"/>
        <v>73.959999999999994</v>
      </c>
      <c r="H5966" s="22">
        <v>0.81000000000000005</v>
      </c>
      <c r="I5966" s="23" t="str">
        <f t="shared" si="280"/>
        <v xml:space="preserve">COM VALOR</v>
      </c>
      <c r="J5966" s="19"/>
      <c r="L5966" s="21">
        <v>75.359999999999999</v>
      </c>
      <c r="M5966" s="22">
        <v>0</v>
      </c>
      <c r="N5966" s="21">
        <v>73.959999999999994</v>
      </c>
      <c r="O5966" s="22">
        <v>0</v>
      </c>
    </row>
    <row r="5967" ht="25.5">
      <c r="A5967" t="s">
        <v>5970</v>
      </c>
      <c r="B5967" s="19">
        <v>89771</v>
      </c>
      <c r="C5967" s="20" t="s">
        <v>6079</v>
      </c>
      <c r="D5967" s="19" t="s">
        <v>38</v>
      </c>
      <c r="E5967" s="21">
        <f t="shared" si="278"/>
        <v>69.420000000000002</v>
      </c>
      <c r="F5967" s="22">
        <v>0.76000000000000001</v>
      </c>
      <c r="G5967" s="21">
        <f t="shared" si="279"/>
        <v>69.340000000000003</v>
      </c>
      <c r="H5967" s="22">
        <v>0.77000000000000002</v>
      </c>
      <c r="I5967" s="23" t="str">
        <f t="shared" si="280"/>
        <v xml:space="preserve">COM VALOR</v>
      </c>
      <c r="J5967" s="19"/>
      <c r="L5967" s="21">
        <v>69.420000000000002</v>
      </c>
      <c r="M5967" s="22">
        <v>0</v>
      </c>
      <c r="N5967" s="21">
        <v>69.340000000000003</v>
      </c>
      <c r="O5967" s="22">
        <v>0</v>
      </c>
    </row>
    <row r="5968" ht="25.5">
      <c r="A5968" t="s">
        <v>5970</v>
      </c>
      <c r="B5968" s="19">
        <v>104021</v>
      </c>
      <c r="C5968" s="20" t="s">
        <v>6080</v>
      </c>
      <c r="D5968" s="19" t="s">
        <v>38</v>
      </c>
      <c r="E5968" s="21">
        <f t="shared" si="278"/>
        <v>79.769999999999996</v>
      </c>
      <c r="F5968" s="22">
        <v>0.82999999999999996</v>
      </c>
      <c r="G5968" s="21">
        <f t="shared" si="279"/>
        <v>79.090000000000003</v>
      </c>
      <c r="H5968" s="22">
        <v>0.83999999999999997</v>
      </c>
      <c r="I5968" s="23" t="str">
        <f t="shared" si="280"/>
        <v xml:space="preserve">COM VALOR</v>
      </c>
      <c r="J5968" s="19"/>
      <c r="L5968" s="21">
        <v>79.769999999999996</v>
      </c>
      <c r="M5968" s="22">
        <v>0</v>
      </c>
      <c r="N5968" s="21">
        <v>79.090000000000003</v>
      </c>
      <c r="O5968" s="22">
        <v>0</v>
      </c>
    </row>
    <row r="5969" ht="25.5">
      <c r="A5969" t="s">
        <v>5970</v>
      </c>
      <c r="B5969" s="19">
        <v>89772</v>
      </c>
      <c r="C5969" s="20" t="s">
        <v>6081</v>
      </c>
      <c r="D5969" s="19" t="s">
        <v>38</v>
      </c>
      <c r="E5969" s="21">
        <f t="shared" si="278"/>
        <v>101.28</v>
      </c>
      <c r="F5969" s="22">
        <v>0.68000000000000005</v>
      </c>
      <c r="G5969" s="21">
        <f t="shared" si="279"/>
        <v>101.18000000000001</v>
      </c>
      <c r="H5969" s="22">
        <v>0.69999999999999996</v>
      </c>
      <c r="I5969" s="23" t="str">
        <f t="shared" si="280"/>
        <v xml:space="preserve">COM VALOR</v>
      </c>
      <c r="J5969" s="19"/>
      <c r="L5969" s="21">
        <v>101.28</v>
      </c>
      <c r="M5969" s="22">
        <v>0</v>
      </c>
      <c r="N5969" s="21">
        <v>101.18000000000001</v>
      </c>
      <c r="O5969" s="22">
        <v>0</v>
      </c>
    </row>
    <row r="5970" ht="25.5">
      <c r="A5970" t="s">
        <v>5970</v>
      </c>
      <c r="B5970" s="19">
        <v>89773</v>
      </c>
      <c r="C5970" s="20" t="s">
        <v>6082</v>
      </c>
      <c r="D5970" s="19" t="s">
        <v>38</v>
      </c>
      <c r="E5970" s="21">
        <f t="shared" si="278"/>
        <v>163.24000000000001</v>
      </c>
      <c r="F5970" s="22">
        <v>0.78000000000000003</v>
      </c>
      <c r="G5970" s="21">
        <f t="shared" si="279"/>
        <v>163.09999999999999</v>
      </c>
      <c r="H5970" s="22">
        <v>0.79000000000000004</v>
      </c>
      <c r="I5970" s="23" t="str">
        <f t="shared" si="280"/>
        <v xml:space="preserve">COM VALOR</v>
      </c>
      <c r="J5970" s="19"/>
      <c r="L5970" s="21">
        <v>163.24000000000001</v>
      </c>
      <c r="M5970" s="22">
        <v>0</v>
      </c>
      <c r="N5970" s="21">
        <v>163.09999999999999</v>
      </c>
      <c r="O5970" s="22">
        <v>0</v>
      </c>
    </row>
    <row r="5971" ht="25.5">
      <c r="A5971" t="s">
        <v>5970</v>
      </c>
      <c r="B5971" s="19">
        <v>89775</v>
      </c>
      <c r="C5971" s="20" t="s">
        <v>6083</v>
      </c>
      <c r="D5971" s="19" t="s">
        <v>38</v>
      </c>
      <c r="E5971" s="21">
        <f t="shared" si="278"/>
        <v>255.31</v>
      </c>
      <c r="F5971" s="22">
        <v>0.85999999999999999</v>
      </c>
      <c r="G5971" s="21">
        <f t="shared" si="279"/>
        <v>255.15000000000001</v>
      </c>
      <c r="H5971" s="22">
        <v>0.87</v>
      </c>
      <c r="I5971" s="23" t="str">
        <f t="shared" si="280"/>
        <v xml:space="preserve">COM VALOR</v>
      </c>
      <c r="J5971" s="19"/>
      <c r="L5971" s="21">
        <v>255.31</v>
      </c>
      <c r="M5971" s="22">
        <v>0</v>
      </c>
      <c r="N5971" s="21">
        <v>255.15000000000001</v>
      </c>
      <c r="O5971" s="22">
        <v>0</v>
      </c>
    </row>
    <row r="5972" ht="25.5">
      <c r="A5972" t="s">
        <v>5970</v>
      </c>
      <c r="B5972" s="19">
        <v>89767</v>
      </c>
      <c r="C5972" s="20" t="s">
        <v>6084</v>
      </c>
      <c r="D5972" s="19" t="s">
        <v>31</v>
      </c>
      <c r="E5972" s="21">
        <f t="shared" si="278"/>
        <v>23.579999999999998</v>
      </c>
      <c r="F5972" s="22">
        <v>0.79000000000000004</v>
      </c>
      <c r="G5972" s="21">
        <f t="shared" si="279"/>
        <v>23.100000000000001</v>
      </c>
      <c r="H5972" s="22">
        <v>0.80000000000000004</v>
      </c>
      <c r="I5972" s="23" t="str">
        <f t="shared" si="280"/>
        <v xml:space="preserve">COM VALOR</v>
      </c>
      <c r="J5972" s="19"/>
      <c r="L5972" s="21">
        <v>23.579999999999998</v>
      </c>
      <c r="M5972" s="22">
        <v>0</v>
      </c>
      <c r="N5972" s="21">
        <v>23.100000000000001</v>
      </c>
      <c r="O5972" s="22">
        <v>0</v>
      </c>
    </row>
    <row r="5973" ht="25.5">
      <c r="A5973" t="s">
        <v>5970</v>
      </c>
      <c r="B5973" s="19">
        <v>89695</v>
      </c>
      <c r="C5973" s="20" t="s">
        <v>6085</v>
      </c>
      <c r="D5973" s="19" t="s">
        <v>31</v>
      </c>
      <c r="E5973" s="21">
        <f t="shared" si="278"/>
        <v>19.059999999999999</v>
      </c>
      <c r="F5973" s="22">
        <v>0.83999999999999997</v>
      </c>
      <c r="G5973" s="21">
        <f t="shared" si="279"/>
        <v>18.640000000000001</v>
      </c>
      <c r="H5973" s="22">
        <v>0.84999999999999998</v>
      </c>
      <c r="I5973" s="23" t="str">
        <f t="shared" si="280"/>
        <v xml:space="preserve">COM VALOR</v>
      </c>
      <c r="J5973" s="19"/>
      <c r="L5973" s="21">
        <v>19.059999999999999</v>
      </c>
      <c r="M5973" s="22">
        <v>0</v>
      </c>
      <c r="N5973" s="21">
        <v>18.640000000000001</v>
      </c>
      <c r="O5973" s="22">
        <v>0</v>
      </c>
    </row>
    <row r="5974" ht="25.5">
      <c r="A5974" t="s">
        <v>5970</v>
      </c>
      <c r="B5974" s="19">
        <v>89702</v>
      </c>
      <c r="C5974" s="20" t="s">
        <v>6086</v>
      </c>
      <c r="D5974" s="19" t="s">
        <v>31</v>
      </c>
      <c r="E5974" s="21">
        <f t="shared" si="278"/>
        <v>24.579999999999998</v>
      </c>
      <c r="F5974" s="22">
        <v>0.91000000000000003</v>
      </c>
      <c r="G5974" s="21">
        <f t="shared" si="279"/>
        <v>24.050000000000001</v>
      </c>
      <c r="H5974" s="22">
        <v>0.91000000000000003</v>
      </c>
      <c r="I5974" s="23" t="str">
        <f t="shared" si="280"/>
        <v xml:space="preserve">COM VALOR</v>
      </c>
      <c r="J5974" s="19"/>
      <c r="L5974" s="21">
        <v>24.579999999999998</v>
      </c>
      <c r="M5974" s="22">
        <v>0</v>
      </c>
      <c r="N5974" s="21">
        <v>24.050000000000001</v>
      </c>
      <c r="O5974" s="22">
        <v>0</v>
      </c>
    </row>
    <row r="5975" ht="25.5">
      <c r="A5975" t="s">
        <v>5970</v>
      </c>
      <c r="B5975" s="19">
        <v>89768</v>
      </c>
      <c r="C5975" s="20" t="s">
        <v>6087</v>
      </c>
      <c r="D5975" s="19" t="s">
        <v>31</v>
      </c>
      <c r="E5975" s="21">
        <f t="shared" si="278"/>
        <v>27.41</v>
      </c>
      <c r="F5975" s="22">
        <v>0.90000000000000002</v>
      </c>
      <c r="G5975" s="21">
        <f t="shared" si="279"/>
        <v>26.84</v>
      </c>
      <c r="H5975" s="22">
        <v>0.91000000000000003</v>
      </c>
      <c r="I5975" s="23" t="str">
        <f t="shared" si="280"/>
        <v xml:space="preserve">COM VALOR</v>
      </c>
      <c r="J5975" s="19"/>
      <c r="L5975" s="21">
        <v>27.41</v>
      </c>
      <c r="M5975" s="22">
        <v>0</v>
      </c>
      <c r="N5975" s="21">
        <v>26.84</v>
      </c>
      <c r="O5975" s="22">
        <v>0</v>
      </c>
    </row>
    <row r="5976" ht="25.5">
      <c r="A5976" t="s">
        <v>5970</v>
      </c>
      <c r="B5976" s="19">
        <v>89842</v>
      </c>
      <c r="C5976" s="20" t="s">
        <v>6088</v>
      </c>
      <c r="D5976" s="19" t="s">
        <v>31</v>
      </c>
      <c r="E5976" s="21">
        <f t="shared" si="278"/>
        <v>56.659999999999997</v>
      </c>
      <c r="F5976" s="22">
        <v>0.92000000000000004</v>
      </c>
      <c r="G5976" s="21">
        <f t="shared" si="279"/>
        <v>56.289999999999999</v>
      </c>
      <c r="H5976" s="22">
        <v>0.92000000000000004</v>
      </c>
      <c r="I5976" s="23" t="str">
        <f t="shared" si="280"/>
        <v xml:space="preserve">COM VALOR</v>
      </c>
      <c r="J5976" s="19"/>
      <c r="L5976" s="21">
        <v>56.659999999999997</v>
      </c>
      <c r="M5976" s="22">
        <v>0</v>
      </c>
      <c r="N5976" s="21">
        <v>56.289999999999999</v>
      </c>
      <c r="O5976" s="22">
        <v>0</v>
      </c>
    </row>
    <row r="5977" ht="25.5">
      <c r="A5977" t="s">
        <v>5970</v>
      </c>
      <c r="B5977" s="19">
        <v>89845</v>
      </c>
      <c r="C5977" s="20" t="s">
        <v>6089</v>
      </c>
      <c r="D5977" s="19" t="s">
        <v>31</v>
      </c>
      <c r="E5977" s="21">
        <f t="shared" si="278"/>
        <v>112.14</v>
      </c>
      <c r="F5977" s="22">
        <v>0.95999999999999996</v>
      </c>
      <c r="G5977" s="21">
        <f t="shared" si="279"/>
        <v>111.62</v>
      </c>
      <c r="H5977" s="22">
        <v>0.95999999999999996</v>
      </c>
      <c r="I5977" s="23" t="str">
        <f t="shared" si="280"/>
        <v xml:space="preserve">COM VALOR</v>
      </c>
      <c r="J5977" s="19"/>
      <c r="L5977" s="21">
        <v>112.14</v>
      </c>
      <c r="M5977" s="22">
        <v>0</v>
      </c>
      <c r="N5977" s="21">
        <v>111.62</v>
      </c>
      <c r="O5977" s="22">
        <v>0</v>
      </c>
    </row>
    <row r="5978" ht="25.5">
      <c r="A5978" t="s">
        <v>5970</v>
      </c>
      <c r="B5978" s="19">
        <v>89846</v>
      </c>
      <c r="C5978" s="20" t="s">
        <v>6090</v>
      </c>
      <c r="D5978" s="19" t="s">
        <v>31</v>
      </c>
      <c r="E5978" s="21">
        <f t="shared" si="278"/>
        <v>240.44999999999999</v>
      </c>
      <c r="F5978" s="22">
        <v>0.70999999999999996</v>
      </c>
      <c r="G5978" s="21">
        <f t="shared" si="279"/>
        <v>239.75999999999999</v>
      </c>
      <c r="H5978" s="22">
        <v>0.71999999999999997</v>
      </c>
      <c r="I5978" s="23" t="str">
        <f t="shared" si="280"/>
        <v xml:space="preserve">COM VALOR</v>
      </c>
      <c r="J5978" s="19"/>
      <c r="L5978" s="21">
        <v>240.44999999999999</v>
      </c>
      <c r="M5978" s="22">
        <v>0</v>
      </c>
      <c r="N5978" s="21">
        <v>239.75999999999999</v>
      </c>
      <c r="O5978" s="22">
        <v>0</v>
      </c>
    </row>
    <row r="5979" ht="25.5">
      <c r="A5979" t="s">
        <v>5970</v>
      </c>
      <c r="B5979" s="19">
        <v>89847</v>
      </c>
      <c r="C5979" s="20" t="s">
        <v>6091</v>
      </c>
      <c r="D5979" s="19" t="s">
        <v>31</v>
      </c>
      <c r="E5979" s="21">
        <f t="shared" si="278"/>
        <v>287.24000000000001</v>
      </c>
      <c r="F5979" s="22">
        <v>0.70999999999999996</v>
      </c>
      <c r="G5979" s="21">
        <f t="shared" si="279"/>
        <v>286.41000000000003</v>
      </c>
      <c r="H5979" s="22">
        <v>0.72999999999999998</v>
      </c>
      <c r="I5979" s="23" t="str">
        <f t="shared" si="280"/>
        <v xml:space="preserve">COM VALOR</v>
      </c>
      <c r="J5979" s="19"/>
      <c r="L5979" s="21">
        <v>287.24000000000001</v>
      </c>
      <c r="M5979" s="22">
        <v>0</v>
      </c>
      <c r="N5979" s="21">
        <v>286.41000000000003</v>
      </c>
      <c r="O5979" s="22">
        <v>0</v>
      </c>
    </row>
    <row r="5980" ht="25.5">
      <c r="A5980" t="s">
        <v>5970</v>
      </c>
      <c r="B5980" s="19">
        <v>89705</v>
      </c>
      <c r="C5980" s="20" t="s">
        <v>6092</v>
      </c>
      <c r="D5980" s="19" t="s">
        <v>31</v>
      </c>
      <c r="E5980" s="21">
        <f t="shared" si="278"/>
        <v>28.579999999999998</v>
      </c>
      <c r="F5980" s="22">
        <v>0.71999999999999997</v>
      </c>
      <c r="G5980" s="21">
        <f t="shared" si="279"/>
        <v>27.949999999999999</v>
      </c>
      <c r="H5980" s="22">
        <v>0.72999999999999998</v>
      </c>
      <c r="I5980" s="23" t="str">
        <f t="shared" si="280"/>
        <v xml:space="preserve">COM VALOR</v>
      </c>
      <c r="J5980" s="19"/>
      <c r="L5980" s="21">
        <v>28.579999999999998</v>
      </c>
      <c r="M5980" s="22">
        <v>0</v>
      </c>
      <c r="N5980" s="21">
        <v>27.949999999999999</v>
      </c>
      <c r="O5980" s="22">
        <v>0</v>
      </c>
    </row>
    <row r="5981" ht="25.5">
      <c r="A5981" t="s">
        <v>5970</v>
      </c>
      <c r="B5981" s="19">
        <v>89769</v>
      </c>
      <c r="C5981" s="20" t="s">
        <v>6093</v>
      </c>
      <c r="D5981" s="19" t="s">
        <v>31</v>
      </c>
      <c r="E5981" s="21">
        <f t="shared" si="278"/>
        <v>62.07</v>
      </c>
      <c r="F5981" s="22">
        <v>0.60999999999999999</v>
      </c>
      <c r="G5981" s="21">
        <f t="shared" si="279"/>
        <v>61.399999999999999</v>
      </c>
      <c r="H5981" s="22">
        <v>0.63</v>
      </c>
      <c r="I5981" s="23" t="str">
        <f t="shared" si="280"/>
        <v xml:space="preserve">COM VALOR</v>
      </c>
      <c r="J5981" s="19"/>
      <c r="L5981" s="21">
        <v>62.07</v>
      </c>
      <c r="M5981" s="22">
        <v>0</v>
      </c>
      <c r="N5981" s="21">
        <v>61.399999999999999</v>
      </c>
      <c r="O5981" s="22">
        <v>0</v>
      </c>
    </row>
    <row r="5982" ht="25.5">
      <c r="A5982" t="s">
        <v>5970</v>
      </c>
      <c r="B5982" s="19">
        <v>89706</v>
      </c>
      <c r="C5982" s="20" t="s">
        <v>6094</v>
      </c>
      <c r="D5982" s="19" t="s">
        <v>31</v>
      </c>
      <c r="E5982" s="21">
        <f t="shared" si="278"/>
        <v>63.450000000000003</v>
      </c>
      <c r="F5982" s="22">
        <v>0.55000000000000004</v>
      </c>
      <c r="G5982" s="21">
        <f t="shared" si="279"/>
        <v>62.710000000000001</v>
      </c>
      <c r="H5982" s="22">
        <v>0.56999999999999995</v>
      </c>
      <c r="I5982" s="23" t="str">
        <f t="shared" si="280"/>
        <v xml:space="preserve">COM VALOR</v>
      </c>
      <c r="J5982" s="19"/>
      <c r="L5982" s="21">
        <v>63.450000000000003</v>
      </c>
      <c r="M5982" s="22">
        <v>0</v>
      </c>
      <c r="N5982" s="21">
        <v>62.710000000000001</v>
      </c>
      <c r="O5982" s="22">
        <v>0</v>
      </c>
    </row>
    <row r="5983" ht="25.5">
      <c r="A5983" t="s">
        <v>5970</v>
      </c>
      <c r="B5983" s="19">
        <v>89741</v>
      </c>
      <c r="C5983" s="20" t="s">
        <v>6095</v>
      </c>
      <c r="D5983" s="19" t="s">
        <v>31</v>
      </c>
      <c r="E5983" s="21">
        <f t="shared" si="278"/>
        <v>25.960000000000001</v>
      </c>
      <c r="F5983" s="22">
        <v>0.46999999999999997</v>
      </c>
      <c r="G5983" s="21">
        <f t="shared" si="279"/>
        <v>25.710000000000001</v>
      </c>
      <c r="H5983" s="22">
        <v>0.48999999999999999</v>
      </c>
      <c r="I5983" s="23" t="str">
        <f t="shared" si="280"/>
        <v xml:space="preserve">COM VALOR</v>
      </c>
      <c r="J5983" s="19"/>
      <c r="L5983" s="21">
        <v>25.960000000000001</v>
      </c>
      <c r="M5983" s="22">
        <v>0</v>
      </c>
      <c r="N5983" s="21">
        <v>25.710000000000001</v>
      </c>
      <c r="O5983" s="22">
        <v>0</v>
      </c>
    </row>
    <row r="5984" ht="25.5">
      <c r="A5984" t="s">
        <v>5970</v>
      </c>
      <c r="B5984" s="19">
        <v>89757</v>
      </c>
      <c r="C5984" s="20" t="s">
        <v>6096</v>
      </c>
      <c r="D5984" s="19" t="s">
        <v>31</v>
      </c>
      <c r="E5984" s="21">
        <f t="shared" si="278"/>
        <v>33.93</v>
      </c>
      <c r="F5984" s="22">
        <v>0.68999999999999995</v>
      </c>
      <c r="G5984" s="21">
        <f t="shared" si="279"/>
        <v>33.649999999999999</v>
      </c>
      <c r="H5984" s="22">
        <v>0.70999999999999996</v>
      </c>
      <c r="I5984" s="23" t="str">
        <f t="shared" si="280"/>
        <v xml:space="preserve">COM VALOR</v>
      </c>
      <c r="J5984" s="19"/>
      <c r="L5984" s="21">
        <v>33.93</v>
      </c>
      <c r="M5984" s="22">
        <v>0</v>
      </c>
      <c r="N5984" s="21">
        <v>33.649999999999999</v>
      </c>
      <c r="O5984" s="22">
        <v>0</v>
      </c>
    </row>
    <row r="5985" ht="25.5">
      <c r="A5985" t="s">
        <v>5970</v>
      </c>
      <c r="B5985" s="19">
        <v>104027</v>
      </c>
      <c r="C5985" s="20" t="s">
        <v>6097</v>
      </c>
      <c r="D5985" s="19" t="s">
        <v>31</v>
      </c>
      <c r="E5985" s="21">
        <f t="shared" si="278"/>
        <v>71.319999999999993</v>
      </c>
      <c r="F5985" s="22">
        <v>0.73999999999999999</v>
      </c>
      <c r="G5985" s="21">
        <f t="shared" si="279"/>
        <v>70.939999999999998</v>
      </c>
      <c r="H5985" s="22">
        <v>0.76000000000000001</v>
      </c>
      <c r="I5985" s="23" t="str">
        <f t="shared" si="280"/>
        <v xml:space="preserve">COM VALOR</v>
      </c>
      <c r="J5985" s="19"/>
      <c r="L5985" s="21">
        <v>71.319999999999993</v>
      </c>
      <c r="M5985" s="22">
        <v>0</v>
      </c>
      <c r="N5985" s="21">
        <v>70.939999999999998</v>
      </c>
      <c r="O5985" s="22">
        <v>0</v>
      </c>
    </row>
    <row r="5986" ht="25.5">
      <c r="A5986" t="s">
        <v>5970</v>
      </c>
      <c r="B5986" s="19">
        <v>89837</v>
      </c>
      <c r="C5986" s="20" t="s">
        <v>6098</v>
      </c>
      <c r="D5986" s="19" t="s">
        <v>31</v>
      </c>
      <c r="E5986" s="21">
        <f t="shared" si="278"/>
        <v>151.22</v>
      </c>
      <c r="F5986" s="22">
        <v>0.72999999999999998</v>
      </c>
      <c r="G5986" s="21">
        <f t="shared" si="279"/>
        <v>150.94999999999999</v>
      </c>
      <c r="H5986" s="22">
        <v>0.73999999999999999</v>
      </c>
      <c r="I5986" s="23" t="str">
        <f t="shared" si="280"/>
        <v xml:space="preserve">COM VALOR</v>
      </c>
      <c r="J5986" s="19"/>
      <c r="L5986" s="21">
        <v>151.22</v>
      </c>
      <c r="M5986" s="22">
        <v>0</v>
      </c>
      <c r="N5986" s="21">
        <v>150.94999999999999</v>
      </c>
      <c r="O5986" s="22">
        <v>0</v>
      </c>
    </row>
    <row r="5987" ht="25.5">
      <c r="A5987" t="s">
        <v>5970</v>
      </c>
      <c r="B5987" s="19">
        <v>89839</v>
      </c>
      <c r="C5987" s="20" t="s">
        <v>6099</v>
      </c>
      <c r="D5987" s="19" t="s">
        <v>31</v>
      </c>
      <c r="E5987" s="21">
        <f t="shared" si="278"/>
        <v>196.38</v>
      </c>
      <c r="F5987" s="22">
        <v>0.79000000000000004</v>
      </c>
      <c r="G5987" s="21">
        <f t="shared" si="279"/>
        <v>196.03</v>
      </c>
      <c r="H5987" s="22">
        <v>0.81000000000000005</v>
      </c>
      <c r="I5987" s="23" t="str">
        <f t="shared" si="280"/>
        <v xml:space="preserve">COM VALOR</v>
      </c>
      <c r="J5987" s="19"/>
      <c r="L5987" s="21">
        <v>196.38</v>
      </c>
      <c r="M5987" s="22">
        <v>0</v>
      </c>
      <c r="N5987" s="21">
        <v>196.03</v>
      </c>
      <c r="O5987" s="22">
        <v>0</v>
      </c>
    </row>
    <row r="5988" ht="25.5">
      <c r="A5988" t="s">
        <v>5970</v>
      </c>
      <c r="B5988" s="19">
        <v>89841</v>
      </c>
      <c r="C5988" s="20" t="s">
        <v>6100</v>
      </c>
      <c r="D5988" s="19" t="s">
        <v>31</v>
      </c>
      <c r="E5988" s="21">
        <f t="shared" si="278"/>
        <v>298.47000000000003</v>
      </c>
      <c r="F5988" s="22">
        <v>0.76000000000000001</v>
      </c>
      <c r="G5988" s="21">
        <f t="shared" si="279"/>
        <v>298.06</v>
      </c>
      <c r="H5988" s="22">
        <v>0.77000000000000002</v>
      </c>
      <c r="I5988" s="23" t="str">
        <f t="shared" si="280"/>
        <v xml:space="preserve">COM VALOR</v>
      </c>
      <c r="J5988" s="19"/>
      <c r="L5988" s="21">
        <v>298.47000000000003</v>
      </c>
      <c r="M5988" s="22">
        <v>0</v>
      </c>
      <c r="N5988" s="21">
        <v>298.06</v>
      </c>
      <c r="O5988" s="22">
        <v>0</v>
      </c>
    </row>
    <row r="5989" ht="25.5">
      <c r="A5989" t="s">
        <v>5970</v>
      </c>
      <c r="B5989" s="19">
        <v>89654</v>
      </c>
      <c r="C5989" s="20" t="s">
        <v>6101</v>
      </c>
      <c r="D5989" s="19" t="s">
        <v>31</v>
      </c>
      <c r="E5989" s="21">
        <f t="shared" si="278"/>
        <v>22.68</v>
      </c>
      <c r="F5989" s="22">
        <v>0.82999999999999996</v>
      </c>
      <c r="G5989" s="21">
        <f t="shared" si="279"/>
        <v>22.469999999999999</v>
      </c>
      <c r="H5989" s="22">
        <v>0.83999999999999997</v>
      </c>
      <c r="I5989" s="23" t="str">
        <f t="shared" si="280"/>
        <v xml:space="preserve">COM VALOR</v>
      </c>
      <c r="J5989" s="19"/>
      <c r="L5989" s="21">
        <v>22.68</v>
      </c>
      <c r="M5989" s="22">
        <v>0</v>
      </c>
      <c r="N5989" s="21">
        <v>22.469999999999999</v>
      </c>
      <c r="O5989" s="22">
        <v>0</v>
      </c>
    </row>
    <row r="5990" ht="25.5">
      <c r="A5990" t="s">
        <v>5970</v>
      </c>
      <c r="B5990" s="19">
        <v>89661</v>
      </c>
      <c r="C5990" s="20" t="s">
        <v>6102</v>
      </c>
      <c r="D5990" s="19" t="s">
        <v>31</v>
      </c>
      <c r="E5990" s="21">
        <f t="shared" si="278"/>
        <v>26.449999999999999</v>
      </c>
      <c r="F5990" s="22">
        <v>0.69999999999999996</v>
      </c>
      <c r="G5990" s="21">
        <f t="shared" si="279"/>
        <v>26.190000000000001</v>
      </c>
      <c r="H5990" s="22">
        <v>0.70999999999999996</v>
      </c>
      <c r="I5990" s="23" t="str">
        <f t="shared" si="280"/>
        <v xml:space="preserve">COM VALOR</v>
      </c>
      <c r="J5990" s="19"/>
      <c r="L5990" s="21">
        <v>26.449999999999999</v>
      </c>
      <c r="M5990" s="22">
        <v>0</v>
      </c>
      <c r="N5990" s="21">
        <v>26.190000000000001</v>
      </c>
      <c r="O5990" s="22">
        <v>0</v>
      </c>
    </row>
    <row r="5991" ht="25.5">
      <c r="A5991" t="s">
        <v>5970</v>
      </c>
      <c r="B5991" s="19">
        <v>89674</v>
      </c>
      <c r="C5991" s="20" t="s">
        <v>6103</v>
      </c>
      <c r="D5991" s="19" t="s">
        <v>31</v>
      </c>
      <c r="E5991" s="21">
        <f t="shared" si="278"/>
        <v>34.520000000000003</v>
      </c>
      <c r="F5991" s="22">
        <v>0.80000000000000004</v>
      </c>
      <c r="G5991" s="21">
        <f t="shared" si="279"/>
        <v>34.200000000000003</v>
      </c>
      <c r="H5991" s="22">
        <v>0.81000000000000005</v>
      </c>
      <c r="I5991" s="23" t="str">
        <f t="shared" si="280"/>
        <v xml:space="preserve">COM VALOR</v>
      </c>
      <c r="J5991" s="19"/>
      <c r="L5991" s="21">
        <v>34.520000000000003</v>
      </c>
      <c r="M5991" s="22">
        <v>0</v>
      </c>
      <c r="N5991" s="21">
        <v>34.200000000000003</v>
      </c>
      <c r="O5991" s="22">
        <v>0</v>
      </c>
    </row>
    <row r="5992" ht="25.5">
      <c r="A5992" t="s">
        <v>5970</v>
      </c>
      <c r="B5992" s="19">
        <v>89816</v>
      </c>
      <c r="C5992" s="20" t="s">
        <v>6104</v>
      </c>
      <c r="D5992" s="19" t="s">
        <v>31</v>
      </c>
      <c r="E5992" s="21">
        <f t="shared" si="278"/>
        <v>46.810000000000002</v>
      </c>
      <c r="F5992" s="22">
        <v>0.87</v>
      </c>
      <c r="G5992" s="21">
        <f t="shared" si="279"/>
        <v>46.630000000000003</v>
      </c>
      <c r="H5992" s="22">
        <v>0.88</v>
      </c>
      <c r="I5992" s="23" t="str">
        <f t="shared" si="280"/>
        <v xml:space="preserve">COM VALOR</v>
      </c>
      <c r="J5992" s="19"/>
      <c r="L5992" s="21">
        <v>46.810000000000002</v>
      </c>
      <c r="M5992" s="22">
        <v>0</v>
      </c>
      <c r="N5992" s="21">
        <v>46.630000000000003</v>
      </c>
      <c r="O5992" s="22">
        <v>0</v>
      </c>
    </row>
    <row r="5993" ht="25.5">
      <c r="A5993" t="s">
        <v>5970</v>
      </c>
      <c r="B5993" s="19">
        <v>89762</v>
      </c>
      <c r="C5993" s="20" t="s">
        <v>6105</v>
      </c>
      <c r="D5993" s="19" t="s">
        <v>31</v>
      </c>
      <c r="E5993" s="21">
        <f t="shared" si="278"/>
        <v>49.509999999999998</v>
      </c>
      <c r="F5993" s="22">
        <v>0.80000000000000004</v>
      </c>
      <c r="G5993" s="21">
        <f t="shared" si="279"/>
        <v>49.170000000000002</v>
      </c>
      <c r="H5993" s="22">
        <v>0.81000000000000005</v>
      </c>
      <c r="I5993" s="23" t="str">
        <f t="shared" si="280"/>
        <v xml:space="preserve">COM VALOR</v>
      </c>
      <c r="J5993" s="19"/>
      <c r="L5993" s="21">
        <v>49.509999999999998</v>
      </c>
      <c r="M5993" s="22">
        <v>0</v>
      </c>
      <c r="N5993" s="21">
        <v>49.170000000000002</v>
      </c>
      <c r="O5993" s="22">
        <v>0</v>
      </c>
    </row>
    <row r="5994" ht="25.5">
      <c r="A5994" t="s">
        <v>5970</v>
      </c>
      <c r="B5994" s="19">
        <v>89684</v>
      </c>
      <c r="C5994" s="20" t="s">
        <v>6106</v>
      </c>
      <c r="D5994" s="19" t="s">
        <v>31</v>
      </c>
      <c r="E5994" s="21">
        <f t="shared" si="278"/>
        <v>50.200000000000003</v>
      </c>
      <c r="F5994" s="22">
        <v>0.84999999999999998</v>
      </c>
      <c r="G5994" s="21">
        <f t="shared" si="279"/>
        <v>49.829999999999998</v>
      </c>
      <c r="H5994" s="22">
        <v>0.85999999999999999</v>
      </c>
      <c r="I5994" s="23" t="str">
        <f t="shared" si="280"/>
        <v xml:space="preserve">COM VALOR</v>
      </c>
      <c r="J5994" s="19"/>
      <c r="L5994" s="21">
        <v>50.200000000000003</v>
      </c>
      <c r="M5994" s="22">
        <v>0</v>
      </c>
      <c r="N5994" s="21">
        <v>49.829999999999998</v>
      </c>
      <c r="O5994" s="22">
        <v>0</v>
      </c>
    </row>
    <row r="5995" ht="25.5">
      <c r="A5995" t="s">
        <v>5970</v>
      </c>
      <c r="B5995" s="19">
        <v>89828</v>
      </c>
      <c r="C5995" s="20" t="s">
        <v>6107</v>
      </c>
      <c r="D5995" s="19" t="s">
        <v>31</v>
      </c>
      <c r="E5995" s="21">
        <f t="shared" si="278"/>
        <v>68.260000000000005</v>
      </c>
      <c r="F5995" s="22">
        <v>0.91000000000000003</v>
      </c>
      <c r="G5995" s="21">
        <f t="shared" si="279"/>
        <v>68.060000000000002</v>
      </c>
      <c r="H5995" s="22">
        <v>0.92000000000000004</v>
      </c>
      <c r="I5995" s="23" t="str">
        <f t="shared" si="280"/>
        <v xml:space="preserve">COM VALOR</v>
      </c>
      <c r="J5995" s="19"/>
      <c r="L5995" s="21">
        <v>68.260000000000005</v>
      </c>
      <c r="M5995" s="22">
        <v>0</v>
      </c>
      <c r="N5995" s="21">
        <v>68.060000000000002</v>
      </c>
      <c r="O5995" s="22">
        <v>0</v>
      </c>
    </row>
    <row r="5996" ht="38.25">
      <c r="A5996" t="s">
        <v>6108</v>
      </c>
      <c r="B5996" s="19">
        <v>89546</v>
      </c>
      <c r="C5996" s="20" t="s">
        <v>6109</v>
      </c>
      <c r="D5996" s="19" t="s">
        <v>31</v>
      </c>
      <c r="E5996" s="21">
        <f t="shared" si="278"/>
        <v>11.84</v>
      </c>
      <c r="F5996" s="22">
        <v>0.89000000000000001</v>
      </c>
      <c r="G5996" s="21">
        <f t="shared" si="279"/>
        <v>11.74</v>
      </c>
      <c r="H5996" s="22">
        <v>0.89000000000000001</v>
      </c>
      <c r="I5996" s="23" t="str">
        <f t="shared" si="280"/>
        <v xml:space="preserve">COM VALOR</v>
      </c>
      <c r="J5996" s="19"/>
      <c r="L5996" s="21">
        <v>11.84</v>
      </c>
      <c r="M5996" s="22">
        <v>0</v>
      </c>
      <c r="N5996" s="21">
        <v>11.74</v>
      </c>
      <c r="O5996" s="22">
        <v>0</v>
      </c>
    </row>
    <row r="5997" ht="25.5">
      <c r="A5997" t="s">
        <v>6108</v>
      </c>
      <c r="B5997" s="19">
        <v>89482</v>
      </c>
      <c r="C5997" s="20" t="s">
        <v>6110</v>
      </c>
      <c r="D5997" s="19" t="s">
        <v>31</v>
      </c>
      <c r="E5997" s="21">
        <f t="shared" si="278"/>
        <v>43.590000000000003</v>
      </c>
      <c r="F5997" s="22">
        <v>0.91000000000000003</v>
      </c>
      <c r="G5997" s="21">
        <f t="shared" si="279"/>
        <v>42.960000000000001</v>
      </c>
      <c r="H5997" s="22">
        <v>0.91000000000000003</v>
      </c>
      <c r="I5997" s="23" t="str">
        <f t="shared" si="280"/>
        <v xml:space="preserve">COM VALOR</v>
      </c>
      <c r="J5997" s="19"/>
      <c r="L5997" s="21">
        <v>43.590000000000003</v>
      </c>
      <c r="M5997" s="22">
        <v>0</v>
      </c>
      <c r="N5997" s="21">
        <v>42.960000000000001</v>
      </c>
      <c r="O5997" s="22">
        <v>0</v>
      </c>
    </row>
    <row r="5998" ht="25.5">
      <c r="A5998" t="s">
        <v>6108</v>
      </c>
      <c r="B5998" s="19">
        <v>89491</v>
      </c>
      <c r="C5998" s="20" t="s">
        <v>6111</v>
      </c>
      <c r="D5998" s="19" t="s">
        <v>31</v>
      </c>
      <c r="E5998" s="21">
        <f t="shared" si="278"/>
        <v>110.79000000000001</v>
      </c>
      <c r="F5998" s="22">
        <v>0.94999999999999996</v>
      </c>
      <c r="G5998" s="21">
        <f t="shared" si="279"/>
        <v>109.81999999999999</v>
      </c>
      <c r="H5998" s="22">
        <v>0.94999999999999996</v>
      </c>
      <c r="I5998" s="23" t="str">
        <f t="shared" si="280"/>
        <v xml:space="preserve">COM VALOR</v>
      </c>
      <c r="J5998" s="19"/>
      <c r="L5998" s="21">
        <v>110.79000000000001</v>
      </c>
      <c r="M5998" s="22">
        <v>0</v>
      </c>
      <c r="N5998" s="21">
        <v>109.81999999999999</v>
      </c>
      <c r="O5998" s="22">
        <v>0</v>
      </c>
    </row>
    <row r="5999" ht="25.5">
      <c r="A5999" t="s">
        <v>6108</v>
      </c>
      <c r="B5999" s="19">
        <v>104178</v>
      </c>
      <c r="C5999" s="20" t="s">
        <v>6112</v>
      </c>
      <c r="D5999" s="19" t="s">
        <v>31</v>
      </c>
      <c r="E5999" s="21">
        <f t="shared" si="278"/>
        <v>23.07</v>
      </c>
      <c r="F5999" s="22">
        <v>0</v>
      </c>
      <c r="G5999" s="21">
        <f t="shared" si="279"/>
        <v>22.890000000000001</v>
      </c>
      <c r="H5999" s="22">
        <v>0</v>
      </c>
      <c r="I5999" s="23" t="str">
        <f t="shared" si="280"/>
        <v xml:space="preserve">COM VALOR</v>
      </c>
      <c r="J5999" s="19"/>
      <c r="L5999" s="21">
        <v>23.07</v>
      </c>
      <c r="M5999" s="22">
        <v>0</v>
      </c>
      <c r="N5999" s="21">
        <v>22.890000000000001</v>
      </c>
      <c r="O5999" s="22">
        <v>0</v>
      </c>
    </row>
    <row r="6000" ht="25.5">
      <c r="A6000" t="s">
        <v>6108</v>
      </c>
      <c r="B6000" s="19">
        <v>104179</v>
      </c>
      <c r="C6000" s="20" t="s">
        <v>6113</v>
      </c>
      <c r="D6000" s="19" t="s">
        <v>31</v>
      </c>
      <c r="E6000" s="21">
        <f t="shared" si="278"/>
        <v>89.180000000000007</v>
      </c>
      <c r="F6000" s="22">
        <v>0</v>
      </c>
      <c r="G6000" s="21">
        <f t="shared" si="279"/>
        <v>88.930000000000007</v>
      </c>
      <c r="H6000" s="22">
        <v>0</v>
      </c>
      <c r="I6000" s="23" t="str">
        <f t="shared" si="280"/>
        <v xml:space="preserve">COM VALOR</v>
      </c>
      <c r="J6000" s="19"/>
      <c r="L6000" s="21">
        <v>89.180000000000007</v>
      </c>
      <c r="M6000" s="22">
        <v>0</v>
      </c>
      <c r="N6000" s="21">
        <v>88.930000000000007</v>
      </c>
      <c r="O6000" s="22">
        <v>0</v>
      </c>
    </row>
    <row r="6001" ht="38.25">
      <c r="A6001" t="s">
        <v>6108</v>
      </c>
      <c r="B6001" s="19">
        <v>89587</v>
      </c>
      <c r="C6001" s="20" t="s">
        <v>6114</v>
      </c>
      <c r="D6001" s="19" t="s">
        <v>31</v>
      </c>
      <c r="E6001" s="21">
        <f t="shared" si="278"/>
        <v>52.460000000000001</v>
      </c>
      <c r="F6001" s="22">
        <v>0</v>
      </c>
      <c r="G6001" s="21">
        <f t="shared" si="279"/>
        <v>51.68</v>
      </c>
      <c r="H6001" s="22">
        <v>0</v>
      </c>
      <c r="I6001" s="23" t="str">
        <f t="shared" si="280"/>
        <v xml:space="preserve">COM VALOR</v>
      </c>
      <c r="J6001" s="19"/>
      <c r="L6001" s="21">
        <v>52.460000000000001</v>
      </c>
      <c r="M6001" s="22">
        <v>0</v>
      </c>
      <c r="N6001" s="21">
        <v>51.68</v>
      </c>
      <c r="O6001" s="22">
        <v>0</v>
      </c>
    </row>
    <row r="6002" ht="38.25">
      <c r="A6002" t="s">
        <v>6108</v>
      </c>
      <c r="B6002" s="19">
        <v>89535</v>
      </c>
      <c r="C6002" s="20" t="s">
        <v>6115</v>
      </c>
      <c r="D6002" s="19" t="s">
        <v>31</v>
      </c>
      <c r="E6002" s="21">
        <f t="shared" si="278"/>
        <v>45.140000000000001</v>
      </c>
      <c r="F6002" s="22">
        <v>0</v>
      </c>
      <c r="G6002" s="21">
        <f t="shared" si="279"/>
        <v>44.759999999999998</v>
      </c>
      <c r="H6002" s="22">
        <v>0</v>
      </c>
      <c r="I6002" s="23" t="str">
        <f t="shared" si="280"/>
        <v xml:space="preserve">COM VALOR</v>
      </c>
      <c r="J6002" s="19"/>
      <c r="L6002" s="21">
        <v>45.140000000000001</v>
      </c>
      <c r="M6002" s="22">
        <v>0</v>
      </c>
      <c r="N6002" s="21">
        <v>44.759999999999998</v>
      </c>
      <c r="O6002" s="22">
        <v>0</v>
      </c>
    </row>
    <row r="6003" ht="38.25">
      <c r="A6003" t="s">
        <v>6108</v>
      </c>
      <c r="B6003" s="19">
        <v>89592</v>
      </c>
      <c r="C6003" s="20" t="s">
        <v>6116</v>
      </c>
      <c r="D6003" s="19" t="s">
        <v>31</v>
      </c>
      <c r="E6003" s="21">
        <f t="shared" si="278"/>
        <v>167.93000000000001</v>
      </c>
      <c r="F6003" s="22">
        <v>0</v>
      </c>
      <c r="G6003" s="21">
        <f t="shared" si="279"/>
        <v>166.56999999999999</v>
      </c>
      <c r="H6003" s="22">
        <v>0</v>
      </c>
      <c r="I6003" s="23" t="str">
        <f t="shared" si="280"/>
        <v xml:space="preserve">COM VALOR</v>
      </c>
      <c r="J6003" s="19"/>
      <c r="L6003" s="21">
        <v>167.93000000000001</v>
      </c>
      <c r="M6003" s="22">
        <v>0</v>
      </c>
      <c r="N6003" s="21">
        <v>166.56999999999999</v>
      </c>
      <c r="O6003" s="22">
        <v>0</v>
      </c>
    </row>
    <row r="6004" ht="38.25">
      <c r="A6004" t="s">
        <v>6108</v>
      </c>
      <c r="B6004" s="19">
        <v>104169</v>
      </c>
      <c r="C6004" s="20" t="s">
        <v>6117</v>
      </c>
      <c r="D6004" s="19" t="s">
        <v>31</v>
      </c>
      <c r="E6004" s="21">
        <f t="shared" si="278"/>
        <v>157.19</v>
      </c>
      <c r="F6004" s="22">
        <v>0</v>
      </c>
      <c r="G6004" s="21">
        <f t="shared" si="279"/>
        <v>156.44</v>
      </c>
      <c r="H6004" s="22">
        <v>0</v>
      </c>
      <c r="I6004" s="23" t="str">
        <f t="shared" si="280"/>
        <v xml:space="preserve">COM VALOR</v>
      </c>
      <c r="J6004" s="19"/>
      <c r="L6004" s="21">
        <v>157.19</v>
      </c>
      <c r="M6004" s="22">
        <v>0</v>
      </c>
      <c r="N6004" s="21">
        <v>156.44</v>
      </c>
      <c r="O6004" s="22">
        <v>0</v>
      </c>
    </row>
    <row r="6005" ht="38.25">
      <c r="A6005" t="s">
        <v>6108</v>
      </c>
      <c r="B6005" s="19">
        <v>89583</v>
      </c>
      <c r="C6005" s="20" t="s">
        <v>6118</v>
      </c>
      <c r="D6005" s="19" t="s">
        <v>31</v>
      </c>
      <c r="E6005" s="21">
        <f t="shared" si="278"/>
        <v>45.490000000000002</v>
      </c>
      <c r="F6005" s="22">
        <v>0</v>
      </c>
      <c r="G6005" s="21">
        <f t="shared" si="279"/>
        <v>44.990000000000002</v>
      </c>
      <c r="H6005" s="22">
        <v>0</v>
      </c>
      <c r="I6005" s="23" t="str">
        <f t="shared" si="280"/>
        <v xml:space="preserve">COM VALOR</v>
      </c>
      <c r="J6005" s="19"/>
      <c r="L6005" s="21">
        <v>45.490000000000002</v>
      </c>
      <c r="M6005" s="22">
        <v>0</v>
      </c>
      <c r="N6005" s="21">
        <v>44.990000000000002</v>
      </c>
      <c r="O6005" s="22">
        <v>0</v>
      </c>
    </row>
    <row r="6006" ht="38.25">
      <c r="A6006" t="s">
        <v>6108</v>
      </c>
      <c r="B6006" s="19">
        <v>89526</v>
      </c>
      <c r="C6006" s="20" t="s">
        <v>6119</v>
      </c>
      <c r="D6006" s="19" t="s">
        <v>31</v>
      </c>
      <c r="E6006" s="21">
        <f t="shared" si="278"/>
        <v>41.439999999999998</v>
      </c>
      <c r="F6006" s="22">
        <v>0.93999999999999995</v>
      </c>
      <c r="G6006" s="21">
        <f t="shared" si="279"/>
        <v>41.170000000000002</v>
      </c>
      <c r="H6006" s="22">
        <v>0.93999999999999995</v>
      </c>
      <c r="I6006" s="23" t="str">
        <f t="shared" si="280"/>
        <v xml:space="preserve">COM VALOR</v>
      </c>
      <c r="J6006" s="19"/>
      <c r="L6006" s="21">
        <v>41.439999999999998</v>
      </c>
      <c r="M6006" s="22">
        <v>0</v>
      </c>
      <c r="N6006" s="21">
        <v>41.170000000000002</v>
      </c>
      <c r="O6006" s="22">
        <v>0</v>
      </c>
    </row>
    <row r="6007" ht="38.25">
      <c r="A6007" t="s">
        <v>6108</v>
      </c>
      <c r="B6007" s="19">
        <v>95695</v>
      </c>
      <c r="C6007" s="20" t="s">
        <v>6120</v>
      </c>
      <c r="D6007" s="19" t="s">
        <v>31</v>
      </c>
      <c r="E6007" s="21">
        <f t="shared" si="278"/>
        <v>64.409999999999997</v>
      </c>
      <c r="F6007" s="22">
        <v>8.0000000000000002e-002</v>
      </c>
      <c r="G6007" s="21">
        <f t="shared" si="279"/>
        <v>63.630000000000003</v>
      </c>
      <c r="H6007" s="22">
        <v>8.0000000000000002e-002</v>
      </c>
      <c r="I6007" s="23" t="str">
        <f t="shared" si="280"/>
        <v xml:space="preserve">COM VALOR</v>
      </c>
      <c r="J6007" s="19"/>
      <c r="L6007" s="21">
        <v>64.409999999999997</v>
      </c>
      <c r="M6007" s="22">
        <v>0</v>
      </c>
      <c r="N6007" s="21">
        <v>63.630000000000003</v>
      </c>
      <c r="O6007" s="22">
        <v>0</v>
      </c>
    </row>
    <row r="6008" ht="38.25">
      <c r="A6008" t="s">
        <v>6108</v>
      </c>
      <c r="B6008" s="19">
        <v>95694</v>
      </c>
      <c r="C6008" s="20" t="s">
        <v>6121</v>
      </c>
      <c r="D6008" s="19" t="s">
        <v>31</v>
      </c>
      <c r="E6008" s="21">
        <f t="shared" si="278"/>
        <v>57.090000000000003</v>
      </c>
      <c r="F6008" s="22">
        <v>5.9999999999999998e-002</v>
      </c>
      <c r="G6008" s="21">
        <f t="shared" si="279"/>
        <v>56.710000000000001</v>
      </c>
      <c r="H6008" s="22">
        <v>7.0000000000000007e-002</v>
      </c>
      <c r="I6008" s="23" t="str">
        <f t="shared" si="280"/>
        <v xml:space="preserve">COM VALOR</v>
      </c>
      <c r="J6008" s="19"/>
      <c r="L6008" s="21">
        <v>57.090000000000003</v>
      </c>
      <c r="M6008" s="22">
        <v>0</v>
      </c>
      <c r="N6008" s="21">
        <v>56.710000000000001</v>
      </c>
      <c r="O6008" s="22">
        <v>0</v>
      </c>
    </row>
    <row r="6009" ht="38.25">
      <c r="A6009" t="s">
        <v>6108</v>
      </c>
      <c r="B6009" s="19">
        <v>89585</v>
      </c>
      <c r="C6009" s="20" t="s">
        <v>6122</v>
      </c>
      <c r="D6009" s="19" t="s">
        <v>31</v>
      </c>
      <c r="E6009" s="21">
        <f t="shared" si="278"/>
        <v>47.509999999999998</v>
      </c>
      <c r="F6009" s="22">
        <v>0</v>
      </c>
      <c r="G6009" s="21">
        <f t="shared" si="279"/>
        <v>46.729999999999997</v>
      </c>
      <c r="H6009" s="22">
        <v>0</v>
      </c>
      <c r="I6009" s="23" t="str">
        <f t="shared" si="280"/>
        <v xml:space="preserve">COM VALOR</v>
      </c>
      <c r="J6009" s="19"/>
      <c r="L6009" s="21">
        <v>47.509999999999998</v>
      </c>
      <c r="M6009" s="22">
        <v>0</v>
      </c>
      <c r="N6009" s="21">
        <v>46.729999999999997</v>
      </c>
      <c r="O6009" s="22">
        <v>0</v>
      </c>
    </row>
    <row r="6010" ht="38.25">
      <c r="A6010" t="s">
        <v>6108</v>
      </c>
      <c r="B6010" s="19">
        <v>89531</v>
      </c>
      <c r="C6010" s="20" t="s">
        <v>6123</v>
      </c>
      <c r="D6010" s="19" t="s">
        <v>31</v>
      </c>
      <c r="E6010" s="21">
        <f t="shared" si="278"/>
        <v>40.189999999999998</v>
      </c>
      <c r="F6010" s="22">
        <v>0</v>
      </c>
      <c r="G6010" s="21">
        <f t="shared" si="279"/>
        <v>39.810000000000002</v>
      </c>
      <c r="H6010" s="22">
        <v>0</v>
      </c>
      <c r="I6010" s="23" t="str">
        <f t="shared" si="280"/>
        <v xml:space="preserve">COM VALOR</v>
      </c>
      <c r="J6010" s="19"/>
      <c r="L6010" s="21">
        <v>40.189999999999998</v>
      </c>
      <c r="M6010" s="22">
        <v>0</v>
      </c>
      <c r="N6010" s="21">
        <v>39.810000000000002</v>
      </c>
      <c r="O6010" s="22">
        <v>0</v>
      </c>
    </row>
    <row r="6011" ht="38.25">
      <c r="A6011" t="s">
        <v>6108</v>
      </c>
      <c r="B6011" s="19">
        <v>89591</v>
      </c>
      <c r="C6011" s="20" t="s">
        <v>6124</v>
      </c>
      <c r="D6011" s="19" t="s">
        <v>31</v>
      </c>
      <c r="E6011" s="21">
        <f t="shared" si="278"/>
        <v>136.94999999999999</v>
      </c>
      <c r="F6011" s="22">
        <v>0</v>
      </c>
      <c r="G6011" s="21">
        <f t="shared" si="279"/>
        <v>135.59</v>
      </c>
      <c r="H6011" s="22">
        <v>0</v>
      </c>
      <c r="I6011" s="23" t="str">
        <f t="shared" si="280"/>
        <v xml:space="preserve">COM VALOR</v>
      </c>
      <c r="J6011" s="19"/>
      <c r="L6011" s="21">
        <v>136.94999999999999</v>
      </c>
      <c r="M6011" s="22">
        <v>0</v>
      </c>
      <c r="N6011" s="21">
        <v>135.59</v>
      </c>
      <c r="O6011" s="22">
        <v>0</v>
      </c>
    </row>
    <row r="6012" ht="38.25">
      <c r="A6012" t="s">
        <v>6108</v>
      </c>
      <c r="B6012" s="19">
        <v>104168</v>
      </c>
      <c r="C6012" s="20" t="s">
        <v>6125</v>
      </c>
      <c r="D6012" s="19" t="s">
        <v>31</v>
      </c>
      <c r="E6012" s="21">
        <f t="shared" si="278"/>
        <v>126.20999999999999</v>
      </c>
      <c r="F6012" s="22">
        <v>0</v>
      </c>
      <c r="G6012" s="21">
        <f t="shared" si="279"/>
        <v>125.45999999999999</v>
      </c>
      <c r="H6012" s="22">
        <v>0</v>
      </c>
      <c r="I6012" s="23" t="str">
        <f t="shared" si="280"/>
        <v xml:space="preserve">COM VALOR</v>
      </c>
      <c r="J6012" s="19"/>
      <c r="L6012" s="21">
        <v>126.20999999999999</v>
      </c>
      <c r="M6012" s="22">
        <v>0</v>
      </c>
      <c r="N6012" s="21">
        <v>125.45999999999999</v>
      </c>
      <c r="O6012" s="22">
        <v>0</v>
      </c>
    </row>
    <row r="6013" ht="38.25">
      <c r="A6013" t="s">
        <v>6108</v>
      </c>
      <c r="B6013" s="19">
        <v>89516</v>
      </c>
      <c r="C6013" s="20" t="s">
        <v>6126</v>
      </c>
      <c r="D6013" s="19" t="s">
        <v>31</v>
      </c>
      <c r="E6013" s="21">
        <f t="shared" si="278"/>
        <v>9.0500000000000007</v>
      </c>
      <c r="F6013" s="22">
        <v>0</v>
      </c>
      <c r="G6013" s="21">
        <f t="shared" si="279"/>
        <v>8.9100000000000001</v>
      </c>
      <c r="H6013" s="22">
        <v>0</v>
      </c>
      <c r="I6013" s="23" t="str">
        <f t="shared" si="280"/>
        <v xml:space="preserve">COM VALOR</v>
      </c>
      <c r="J6013" s="19"/>
      <c r="L6013" s="21">
        <v>9.0500000000000007</v>
      </c>
      <c r="M6013" s="22">
        <v>0</v>
      </c>
      <c r="N6013" s="21">
        <v>8.9100000000000001</v>
      </c>
      <c r="O6013" s="22">
        <v>0</v>
      </c>
    </row>
    <row r="6014" ht="38.25">
      <c r="A6014" t="s">
        <v>6108</v>
      </c>
      <c r="B6014" s="19">
        <v>89520</v>
      </c>
      <c r="C6014" s="20" t="s">
        <v>6127</v>
      </c>
      <c r="D6014" s="19" t="s">
        <v>31</v>
      </c>
      <c r="E6014" s="21">
        <f t="shared" si="278"/>
        <v>16.629999999999999</v>
      </c>
      <c r="F6014" s="22">
        <v>0</v>
      </c>
      <c r="G6014" s="21">
        <f t="shared" si="279"/>
        <v>16.460000000000001</v>
      </c>
      <c r="H6014" s="22">
        <v>0</v>
      </c>
      <c r="I6014" s="23" t="str">
        <f t="shared" si="280"/>
        <v xml:space="preserve">COM VALOR</v>
      </c>
      <c r="J6014" s="19"/>
      <c r="L6014" s="21">
        <v>16.629999999999999</v>
      </c>
      <c r="M6014" s="22">
        <v>0</v>
      </c>
      <c r="N6014" s="21">
        <v>16.460000000000001</v>
      </c>
      <c r="O6014" s="22">
        <v>0</v>
      </c>
    </row>
    <row r="6015" ht="38.25">
      <c r="A6015" t="s">
        <v>6108</v>
      </c>
      <c r="B6015" s="19">
        <v>89582</v>
      </c>
      <c r="C6015" s="20" t="s">
        <v>6128</v>
      </c>
      <c r="D6015" s="19" t="s">
        <v>31</v>
      </c>
      <c r="E6015" s="21">
        <f t="shared" si="278"/>
        <v>36.030000000000001</v>
      </c>
      <c r="F6015" s="22">
        <v>0</v>
      </c>
      <c r="G6015" s="21">
        <f t="shared" si="279"/>
        <v>35.530000000000001</v>
      </c>
      <c r="H6015" s="22">
        <v>0</v>
      </c>
      <c r="I6015" s="23" t="str">
        <f t="shared" si="280"/>
        <v xml:space="preserve">COM VALOR</v>
      </c>
      <c r="J6015" s="19"/>
      <c r="L6015" s="21">
        <v>36.030000000000001</v>
      </c>
      <c r="M6015" s="22">
        <v>0</v>
      </c>
      <c r="N6015" s="21">
        <v>35.530000000000001</v>
      </c>
      <c r="O6015" s="22">
        <v>0</v>
      </c>
    </row>
    <row r="6016" ht="38.25">
      <c r="A6016" t="s">
        <v>6108</v>
      </c>
      <c r="B6016" s="19">
        <v>89524</v>
      </c>
      <c r="C6016" s="20" t="s">
        <v>6129</v>
      </c>
      <c r="D6016" s="19" t="s">
        <v>31</v>
      </c>
      <c r="E6016" s="21">
        <f t="shared" si="278"/>
        <v>31.98</v>
      </c>
      <c r="F6016" s="22">
        <v>0</v>
      </c>
      <c r="G6016" s="21">
        <f t="shared" si="279"/>
        <v>31.710000000000001</v>
      </c>
      <c r="H6016" s="22">
        <v>0</v>
      </c>
      <c r="I6016" s="23" t="str">
        <f t="shared" si="280"/>
        <v xml:space="preserve">COM VALOR</v>
      </c>
      <c r="J6016" s="19"/>
      <c r="L6016" s="21">
        <v>31.98</v>
      </c>
      <c r="M6016" s="22">
        <v>0</v>
      </c>
      <c r="N6016" s="21">
        <v>31.710000000000001</v>
      </c>
      <c r="O6016" s="22">
        <v>0</v>
      </c>
    </row>
    <row r="6017" ht="38.25">
      <c r="A6017" t="s">
        <v>6108</v>
      </c>
      <c r="B6017" s="19">
        <v>89584</v>
      </c>
      <c r="C6017" s="20" t="s">
        <v>6130</v>
      </c>
      <c r="D6017" s="19" t="s">
        <v>31</v>
      </c>
      <c r="E6017" s="21">
        <f t="shared" si="278"/>
        <v>46.359999999999999</v>
      </c>
      <c r="F6017" s="22">
        <v>0</v>
      </c>
      <c r="G6017" s="21">
        <f t="shared" si="279"/>
        <v>45.579999999999998</v>
      </c>
      <c r="H6017" s="22">
        <v>0</v>
      </c>
      <c r="I6017" s="23" t="str">
        <f t="shared" si="280"/>
        <v xml:space="preserve">COM VALOR</v>
      </c>
      <c r="J6017" s="19"/>
      <c r="L6017" s="21">
        <v>46.359999999999999</v>
      </c>
      <c r="M6017" s="22">
        <v>0</v>
      </c>
      <c r="N6017" s="21">
        <v>45.579999999999998</v>
      </c>
      <c r="O6017" s="22">
        <v>0</v>
      </c>
    </row>
    <row r="6018" ht="38.25">
      <c r="A6018" t="s">
        <v>6108</v>
      </c>
      <c r="B6018" s="19">
        <v>89529</v>
      </c>
      <c r="C6018" s="20" t="s">
        <v>6131</v>
      </c>
      <c r="D6018" s="19" t="s">
        <v>31</v>
      </c>
      <c r="E6018" s="21">
        <f t="shared" si="278"/>
        <v>39.039999999999999</v>
      </c>
      <c r="F6018" s="22">
        <v>0</v>
      </c>
      <c r="G6018" s="21">
        <f t="shared" si="279"/>
        <v>38.659999999999997</v>
      </c>
      <c r="H6018" s="22">
        <v>0</v>
      </c>
      <c r="I6018" s="23" t="str">
        <f t="shared" si="280"/>
        <v xml:space="preserve">COM VALOR</v>
      </c>
      <c r="J6018" s="19"/>
      <c r="L6018" s="21">
        <v>39.039999999999999</v>
      </c>
      <c r="M6018" s="22">
        <v>0</v>
      </c>
      <c r="N6018" s="21">
        <v>38.659999999999997</v>
      </c>
      <c r="O6018" s="22">
        <v>0</v>
      </c>
    </row>
    <row r="6019" ht="38.25">
      <c r="A6019" t="s">
        <v>6108</v>
      </c>
      <c r="B6019" s="19">
        <v>89590</v>
      </c>
      <c r="C6019" s="20" t="s">
        <v>6132</v>
      </c>
      <c r="D6019" s="19" t="s">
        <v>31</v>
      </c>
      <c r="E6019" s="21">
        <f t="shared" si="278"/>
        <v>140.47999999999999</v>
      </c>
      <c r="F6019" s="22">
        <v>0</v>
      </c>
      <c r="G6019" s="21">
        <f t="shared" si="279"/>
        <v>139.12</v>
      </c>
      <c r="H6019" s="22">
        <v>0</v>
      </c>
      <c r="I6019" s="23" t="str">
        <f t="shared" si="280"/>
        <v xml:space="preserve">COM VALOR</v>
      </c>
      <c r="J6019" s="19"/>
      <c r="L6019" s="21">
        <v>140.47999999999999</v>
      </c>
      <c r="M6019" s="22">
        <v>0</v>
      </c>
      <c r="N6019" s="21">
        <v>139.12</v>
      </c>
      <c r="O6019" s="22">
        <v>0</v>
      </c>
    </row>
    <row r="6020" ht="38.25">
      <c r="A6020" t="s">
        <v>6108</v>
      </c>
      <c r="B6020" s="19">
        <v>104167</v>
      </c>
      <c r="C6020" s="20" t="s">
        <v>6133</v>
      </c>
      <c r="D6020" s="19" t="s">
        <v>31</v>
      </c>
      <c r="E6020" s="21">
        <f t="shared" si="278"/>
        <v>129.74000000000001</v>
      </c>
      <c r="F6020" s="22">
        <v>0</v>
      </c>
      <c r="G6020" s="21">
        <f t="shared" si="279"/>
        <v>128.99000000000001</v>
      </c>
      <c r="H6020" s="22">
        <v>0</v>
      </c>
      <c r="I6020" s="23" t="str">
        <f t="shared" si="280"/>
        <v xml:space="preserve">COM VALOR</v>
      </c>
      <c r="J6020" s="19"/>
      <c r="L6020" s="21">
        <v>129.74000000000001</v>
      </c>
      <c r="M6020" s="22">
        <v>0</v>
      </c>
      <c r="N6020" s="21">
        <v>128.99000000000001</v>
      </c>
      <c r="O6020" s="22">
        <v>0</v>
      </c>
    </row>
    <row r="6021" ht="38.25">
      <c r="A6021" t="s">
        <v>6108</v>
      </c>
      <c r="B6021" s="19">
        <v>89514</v>
      </c>
      <c r="C6021" s="20" t="s">
        <v>6134</v>
      </c>
      <c r="D6021" s="19" t="s">
        <v>31</v>
      </c>
      <c r="E6021" s="21">
        <f t="shared" si="278"/>
        <v>8.9600000000000009</v>
      </c>
      <c r="F6021" s="22">
        <v>0</v>
      </c>
      <c r="G6021" s="21">
        <f t="shared" si="279"/>
        <v>8.8200000000000003</v>
      </c>
      <c r="H6021" s="22">
        <v>0</v>
      </c>
      <c r="I6021" s="23" t="str">
        <f t="shared" si="280"/>
        <v xml:space="preserve">COM VALOR</v>
      </c>
      <c r="J6021" s="19"/>
      <c r="L6021" s="21">
        <v>8.9600000000000009</v>
      </c>
      <c r="M6021" s="22">
        <v>0</v>
      </c>
      <c r="N6021" s="21">
        <v>8.8200000000000003</v>
      </c>
      <c r="O6021" s="22">
        <v>0</v>
      </c>
    </row>
    <row r="6022" ht="38.25">
      <c r="A6022" t="s">
        <v>6108</v>
      </c>
      <c r="B6022" s="19">
        <v>89518</v>
      </c>
      <c r="C6022" s="20" t="s">
        <v>6135</v>
      </c>
      <c r="D6022" s="19" t="s">
        <v>31</v>
      </c>
      <c r="E6022" s="21">
        <f t="shared" si="278"/>
        <v>15.82</v>
      </c>
      <c r="F6022" s="22">
        <v>0</v>
      </c>
      <c r="G6022" s="21">
        <f t="shared" si="279"/>
        <v>15.65</v>
      </c>
      <c r="H6022" s="22">
        <v>0</v>
      </c>
      <c r="I6022" s="23" t="str">
        <f t="shared" si="280"/>
        <v xml:space="preserve">COM VALOR</v>
      </c>
      <c r="J6022" s="19"/>
      <c r="L6022" s="21">
        <v>15.82</v>
      </c>
      <c r="M6022" s="22">
        <v>0</v>
      </c>
      <c r="N6022" s="21">
        <v>15.65</v>
      </c>
      <c r="O6022" s="22">
        <v>0</v>
      </c>
    </row>
    <row r="6023" ht="38.25">
      <c r="A6023" t="s">
        <v>6108</v>
      </c>
      <c r="B6023" s="19">
        <v>89581</v>
      </c>
      <c r="C6023" s="20" t="s">
        <v>6136</v>
      </c>
      <c r="D6023" s="19" t="s">
        <v>31</v>
      </c>
      <c r="E6023" s="21">
        <f t="shared" si="278"/>
        <v>35.520000000000003</v>
      </c>
      <c r="F6023" s="22">
        <v>0</v>
      </c>
      <c r="G6023" s="21">
        <f t="shared" si="279"/>
        <v>35.020000000000003</v>
      </c>
      <c r="H6023" s="22">
        <v>0</v>
      </c>
      <c r="I6023" s="23" t="str">
        <f t="shared" si="280"/>
        <v xml:space="preserve">COM VALOR</v>
      </c>
      <c r="J6023" s="19"/>
      <c r="L6023" s="21">
        <v>35.520000000000003</v>
      </c>
      <c r="M6023" s="22">
        <v>0</v>
      </c>
      <c r="N6023" s="21">
        <v>35.020000000000003</v>
      </c>
      <c r="O6023" s="22">
        <v>0</v>
      </c>
    </row>
    <row r="6024" ht="38.25">
      <c r="A6024" t="s">
        <v>6108</v>
      </c>
      <c r="B6024" s="19">
        <v>89522</v>
      </c>
      <c r="C6024" s="20" t="s">
        <v>6137</v>
      </c>
      <c r="D6024" s="19" t="s">
        <v>31</v>
      </c>
      <c r="E6024" s="21">
        <f t="shared" si="278"/>
        <v>31.469999999999999</v>
      </c>
      <c r="F6024" s="22">
        <v>0</v>
      </c>
      <c r="G6024" s="21">
        <f t="shared" si="279"/>
        <v>31.199999999999999</v>
      </c>
      <c r="H6024" s="22">
        <v>0</v>
      </c>
      <c r="I6024" s="23" t="str">
        <f t="shared" si="280"/>
        <v xml:space="preserve">COM VALOR</v>
      </c>
      <c r="J6024" s="19"/>
      <c r="L6024" s="21">
        <v>31.469999999999999</v>
      </c>
      <c r="M6024" s="22">
        <v>0</v>
      </c>
      <c r="N6024" s="21">
        <v>31.199999999999999</v>
      </c>
      <c r="O6024" s="22">
        <v>0</v>
      </c>
    </row>
    <row r="6025" ht="38.25">
      <c r="A6025" t="s">
        <v>6108</v>
      </c>
      <c r="B6025" s="19">
        <v>89574</v>
      </c>
      <c r="C6025" s="20" t="s">
        <v>6138</v>
      </c>
      <c r="D6025" s="19" t="s">
        <v>31</v>
      </c>
      <c r="E6025" s="21">
        <f t="shared" si="278"/>
        <v>166.22999999999999</v>
      </c>
      <c r="F6025" s="22">
        <v>0</v>
      </c>
      <c r="G6025" s="21">
        <f t="shared" si="279"/>
        <v>165.5</v>
      </c>
      <c r="H6025" s="22">
        <v>0</v>
      </c>
      <c r="I6025" s="23" t="str">
        <f t="shared" si="280"/>
        <v xml:space="preserve">COM VALOR</v>
      </c>
      <c r="J6025" s="19"/>
      <c r="L6025" s="21">
        <v>166.22999999999999</v>
      </c>
      <c r="M6025" s="22">
        <v>0</v>
      </c>
      <c r="N6025" s="21">
        <v>165.5</v>
      </c>
      <c r="O6025" s="22">
        <v>0</v>
      </c>
    </row>
    <row r="6026" ht="38.25">
      <c r="A6026" t="s">
        <v>6108</v>
      </c>
      <c r="B6026" s="19">
        <v>89690</v>
      </c>
      <c r="C6026" s="20" t="s">
        <v>6139</v>
      </c>
      <c r="D6026" s="19" t="s">
        <v>31</v>
      </c>
      <c r="E6026" s="21">
        <f t="shared" si="278"/>
        <v>95.400000000000006</v>
      </c>
      <c r="F6026" s="22">
        <v>0</v>
      </c>
      <c r="G6026" s="21">
        <f t="shared" si="279"/>
        <v>94.349999999999994</v>
      </c>
      <c r="H6026" s="22">
        <v>0</v>
      </c>
      <c r="I6026" s="23" t="str">
        <f t="shared" si="280"/>
        <v xml:space="preserve">COM VALOR</v>
      </c>
      <c r="J6026" s="19"/>
      <c r="L6026" s="21">
        <v>95.400000000000006</v>
      </c>
      <c r="M6026" s="22">
        <v>0</v>
      </c>
      <c r="N6026" s="21">
        <v>94.349999999999994</v>
      </c>
      <c r="O6026" s="22">
        <v>0</v>
      </c>
    </row>
    <row r="6027" ht="38.25">
      <c r="A6027" t="s">
        <v>6108</v>
      </c>
      <c r="B6027" s="19">
        <v>89567</v>
      </c>
      <c r="C6027" s="20" t="s">
        <v>6140</v>
      </c>
      <c r="D6027" s="19" t="s">
        <v>31</v>
      </c>
      <c r="E6027" s="21">
        <f t="shared" ref="E6027:E6090" si="281">IF(L6027=0,"VERIFICAR",L6027)</f>
        <v>85.640000000000001</v>
      </c>
      <c r="F6027" s="22">
        <v>0</v>
      </c>
      <c r="G6027" s="21">
        <f t="shared" ref="G6027:G6090" si="282">IF(N6027=0,"VERIFICAR",N6027)</f>
        <v>85.150000000000006</v>
      </c>
      <c r="H6027" s="22">
        <v>0</v>
      </c>
      <c r="I6027" s="23" t="str">
        <f t="shared" ref="I6027:I6090" si="283">IF(OR(E6027=0,G6027=0),"SEM VALOR","COM VALOR")</f>
        <v xml:space="preserve">COM VALOR</v>
      </c>
      <c r="J6027" s="19"/>
      <c r="L6027" s="21">
        <v>85.640000000000001</v>
      </c>
      <c r="M6027" s="22">
        <v>0</v>
      </c>
      <c r="N6027" s="21">
        <v>85.150000000000006</v>
      </c>
      <c r="O6027" s="22">
        <v>0</v>
      </c>
    </row>
    <row r="6028" ht="38.25">
      <c r="A6028" t="s">
        <v>6108</v>
      </c>
      <c r="B6028" s="19">
        <v>89692</v>
      </c>
      <c r="C6028" s="20" t="s">
        <v>6141</v>
      </c>
      <c r="D6028" s="19" t="s">
        <v>31</v>
      </c>
      <c r="E6028" s="21">
        <f t="shared" si="281"/>
        <v>108.72</v>
      </c>
      <c r="F6028" s="22">
        <v>0</v>
      </c>
      <c r="G6028" s="21">
        <f t="shared" si="282"/>
        <v>107.8</v>
      </c>
      <c r="H6028" s="22">
        <v>0</v>
      </c>
      <c r="I6028" s="23" t="str">
        <f t="shared" si="283"/>
        <v xml:space="preserve">COM VALOR</v>
      </c>
      <c r="J6028" s="19"/>
      <c r="L6028" s="21">
        <v>108.72</v>
      </c>
      <c r="M6028" s="22">
        <v>0</v>
      </c>
      <c r="N6028" s="21">
        <v>107.8</v>
      </c>
      <c r="O6028" s="22">
        <v>0</v>
      </c>
    </row>
    <row r="6029" ht="38.25">
      <c r="A6029" t="s">
        <v>6108</v>
      </c>
      <c r="B6029" s="19">
        <v>89569</v>
      </c>
      <c r="C6029" s="20" t="s">
        <v>6142</v>
      </c>
      <c r="D6029" s="19" t="s">
        <v>31</v>
      </c>
      <c r="E6029" s="21">
        <f t="shared" si="281"/>
        <v>100.42</v>
      </c>
      <c r="F6029" s="22">
        <v>0</v>
      </c>
      <c r="G6029" s="21">
        <f t="shared" si="282"/>
        <v>99.959999999999994</v>
      </c>
      <c r="H6029" s="22">
        <v>0</v>
      </c>
      <c r="I6029" s="23" t="str">
        <f t="shared" si="283"/>
        <v xml:space="preserve">COM VALOR</v>
      </c>
      <c r="J6029" s="19"/>
      <c r="L6029" s="21">
        <v>100.42</v>
      </c>
      <c r="M6029" s="22">
        <v>0</v>
      </c>
      <c r="N6029" s="21">
        <v>99.959999999999994</v>
      </c>
      <c r="O6029" s="22">
        <v>0</v>
      </c>
    </row>
    <row r="6030" ht="38.25">
      <c r="A6030" t="s">
        <v>6108</v>
      </c>
      <c r="B6030" s="19">
        <v>89699</v>
      </c>
      <c r="C6030" s="20" t="s">
        <v>6143</v>
      </c>
      <c r="D6030" s="19" t="s">
        <v>31</v>
      </c>
      <c r="E6030" s="21">
        <f t="shared" si="281"/>
        <v>212.96000000000001</v>
      </c>
      <c r="F6030" s="22">
        <v>0</v>
      </c>
      <c r="G6030" s="21">
        <f t="shared" si="282"/>
        <v>211.41</v>
      </c>
      <c r="H6030" s="22">
        <v>0</v>
      </c>
      <c r="I6030" s="23" t="str">
        <f t="shared" si="283"/>
        <v xml:space="preserve">COM VALOR</v>
      </c>
      <c r="J6030" s="19"/>
      <c r="L6030" s="21">
        <v>212.96000000000001</v>
      </c>
      <c r="M6030" s="22">
        <v>0</v>
      </c>
      <c r="N6030" s="21">
        <v>211.41</v>
      </c>
      <c r="O6030" s="22">
        <v>0</v>
      </c>
    </row>
    <row r="6031" ht="38.25">
      <c r="A6031" t="s">
        <v>6108</v>
      </c>
      <c r="B6031" s="19">
        <v>104174</v>
      </c>
      <c r="C6031" s="20" t="s">
        <v>6144</v>
      </c>
      <c r="D6031" s="19" t="s">
        <v>31</v>
      </c>
      <c r="E6031" s="21">
        <f t="shared" si="281"/>
        <v>201.66999999999999</v>
      </c>
      <c r="F6031" s="22">
        <v>0</v>
      </c>
      <c r="G6031" s="21">
        <f t="shared" si="282"/>
        <v>200.75</v>
      </c>
      <c r="H6031" s="22">
        <v>0</v>
      </c>
      <c r="I6031" s="23" t="str">
        <f t="shared" si="283"/>
        <v xml:space="preserve">COM VALOR</v>
      </c>
      <c r="J6031" s="19"/>
      <c r="L6031" s="21">
        <v>201.66999999999999</v>
      </c>
      <c r="M6031" s="22">
        <v>0</v>
      </c>
      <c r="N6031" s="21">
        <v>200.75</v>
      </c>
      <c r="O6031" s="22">
        <v>0</v>
      </c>
    </row>
    <row r="6032" ht="38.25">
      <c r="A6032" t="s">
        <v>6108</v>
      </c>
      <c r="B6032" s="19">
        <v>89698</v>
      </c>
      <c r="C6032" s="20" t="s">
        <v>6145</v>
      </c>
      <c r="D6032" s="19" t="s">
        <v>31</v>
      </c>
      <c r="E6032" s="21">
        <f t="shared" si="281"/>
        <v>282.20999999999998</v>
      </c>
      <c r="F6032" s="22">
        <v>0</v>
      </c>
      <c r="G6032" s="21">
        <f t="shared" si="282"/>
        <v>280.39999999999998</v>
      </c>
      <c r="H6032" s="22">
        <v>0</v>
      </c>
      <c r="I6032" s="23" t="str">
        <f t="shared" si="283"/>
        <v xml:space="preserve">COM VALOR</v>
      </c>
      <c r="J6032" s="19"/>
      <c r="L6032" s="21">
        <v>282.20999999999998</v>
      </c>
      <c r="M6032" s="22">
        <v>0</v>
      </c>
      <c r="N6032" s="21">
        <v>280.39999999999998</v>
      </c>
      <c r="O6032" s="22">
        <v>0</v>
      </c>
    </row>
    <row r="6033" ht="38.25">
      <c r="A6033" t="s">
        <v>6108</v>
      </c>
      <c r="B6033" s="19">
        <v>104176</v>
      </c>
      <c r="C6033" s="20" t="s">
        <v>6146</v>
      </c>
      <c r="D6033" s="19" t="s">
        <v>31</v>
      </c>
      <c r="E6033" s="21">
        <f t="shared" si="281"/>
        <v>267.89999999999998</v>
      </c>
      <c r="F6033" s="22">
        <v>0</v>
      </c>
      <c r="G6033" s="21">
        <f t="shared" si="282"/>
        <v>266.89999999999998</v>
      </c>
      <c r="H6033" s="22">
        <v>0</v>
      </c>
      <c r="I6033" s="23" t="str">
        <f t="shared" si="283"/>
        <v xml:space="preserve">COM VALOR</v>
      </c>
      <c r="J6033" s="19"/>
      <c r="L6033" s="21">
        <v>267.89999999999998</v>
      </c>
      <c r="M6033" s="22">
        <v>0</v>
      </c>
      <c r="N6033" s="21">
        <v>266.89999999999998</v>
      </c>
      <c r="O6033" s="22">
        <v>0</v>
      </c>
    </row>
    <row r="6034" ht="38.25">
      <c r="A6034" t="s">
        <v>6108</v>
      </c>
      <c r="B6034" s="19">
        <v>89561</v>
      </c>
      <c r="C6034" s="20" t="s">
        <v>6147</v>
      </c>
      <c r="D6034" s="19" t="s">
        <v>31</v>
      </c>
      <c r="E6034" s="21">
        <f t="shared" si="281"/>
        <v>16.039999999999999</v>
      </c>
      <c r="F6034" s="22">
        <v>0</v>
      </c>
      <c r="G6034" s="21">
        <f t="shared" si="282"/>
        <v>15.85</v>
      </c>
      <c r="H6034" s="22">
        <v>0</v>
      </c>
      <c r="I6034" s="23" t="str">
        <f t="shared" si="283"/>
        <v xml:space="preserve">COM VALOR</v>
      </c>
      <c r="J6034" s="19"/>
      <c r="L6034" s="21">
        <v>16.039999999999999</v>
      </c>
      <c r="M6034" s="22">
        <v>0</v>
      </c>
      <c r="N6034" s="21">
        <v>15.85</v>
      </c>
      <c r="O6034" s="22">
        <v>0</v>
      </c>
    </row>
    <row r="6035" ht="38.25">
      <c r="A6035" t="s">
        <v>6108</v>
      </c>
      <c r="B6035" s="19">
        <v>89563</v>
      </c>
      <c r="C6035" s="20" t="s">
        <v>6148</v>
      </c>
      <c r="D6035" s="19" t="s">
        <v>31</v>
      </c>
      <c r="E6035" s="21">
        <f t="shared" si="281"/>
        <v>36.740000000000002</v>
      </c>
      <c r="F6035" s="22">
        <v>0</v>
      </c>
      <c r="G6035" s="21">
        <f t="shared" si="282"/>
        <v>36.509999999999998</v>
      </c>
      <c r="H6035" s="22">
        <v>0</v>
      </c>
      <c r="I6035" s="23" t="str">
        <f t="shared" si="283"/>
        <v xml:space="preserve">COM VALOR</v>
      </c>
      <c r="J6035" s="19"/>
      <c r="L6035" s="21">
        <v>36.740000000000002</v>
      </c>
      <c r="M6035" s="22">
        <v>0</v>
      </c>
      <c r="N6035" s="21">
        <v>36.509999999999998</v>
      </c>
      <c r="O6035" s="22">
        <v>0</v>
      </c>
    </row>
    <row r="6036" ht="38.25">
      <c r="A6036" t="s">
        <v>6108</v>
      </c>
      <c r="B6036" s="19">
        <v>89685</v>
      </c>
      <c r="C6036" s="20" t="s">
        <v>6149</v>
      </c>
      <c r="D6036" s="19" t="s">
        <v>31</v>
      </c>
      <c r="E6036" s="21">
        <f t="shared" si="281"/>
        <v>64.950000000000003</v>
      </c>
      <c r="F6036" s="22">
        <v>0</v>
      </c>
      <c r="G6036" s="21">
        <f t="shared" si="282"/>
        <v>64.290000000000006</v>
      </c>
      <c r="H6036" s="22">
        <v>0</v>
      </c>
      <c r="I6036" s="23" t="str">
        <f t="shared" si="283"/>
        <v xml:space="preserve">COM VALOR</v>
      </c>
      <c r="J6036" s="19"/>
      <c r="L6036" s="21">
        <v>64.950000000000003</v>
      </c>
      <c r="M6036" s="22">
        <v>0</v>
      </c>
      <c r="N6036" s="21">
        <v>64.290000000000006</v>
      </c>
      <c r="O6036" s="22">
        <v>0</v>
      </c>
    </row>
    <row r="6037" ht="38.25">
      <c r="A6037" t="s">
        <v>6108</v>
      </c>
      <c r="B6037" s="19">
        <v>89565</v>
      </c>
      <c r="C6037" s="20" t="s">
        <v>6150</v>
      </c>
      <c r="D6037" s="19" t="s">
        <v>31</v>
      </c>
      <c r="E6037" s="21">
        <f t="shared" si="281"/>
        <v>59.560000000000002</v>
      </c>
      <c r="F6037" s="22">
        <v>0</v>
      </c>
      <c r="G6037" s="21">
        <f t="shared" si="282"/>
        <v>59.189999999999998</v>
      </c>
      <c r="H6037" s="22">
        <v>0</v>
      </c>
      <c r="I6037" s="23" t="str">
        <f t="shared" si="283"/>
        <v xml:space="preserve">COM VALOR</v>
      </c>
      <c r="J6037" s="19"/>
      <c r="L6037" s="21">
        <v>59.560000000000002</v>
      </c>
      <c r="M6037" s="22">
        <v>0</v>
      </c>
      <c r="N6037" s="21">
        <v>59.189999999999998</v>
      </c>
      <c r="O6037" s="22">
        <v>0</v>
      </c>
    </row>
    <row r="6038" ht="38.25">
      <c r="A6038" t="s">
        <v>6108</v>
      </c>
      <c r="B6038" s="19">
        <v>89671</v>
      </c>
      <c r="C6038" s="20" t="s">
        <v>6151</v>
      </c>
      <c r="D6038" s="19" t="s">
        <v>31</v>
      </c>
      <c r="E6038" s="21">
        <f t="shared" si="281"/>
        <v>47.469999999999999</v>
      </c>
      <c r="F6038" s="22">
        <v>0</v>
      </c>
      <c r="G6038" s="21">
        <f t="shared" si="282"/>
        <v>46.939999999999998</v>
      </c>
      <c r="H6038" s="22">
        <v>0</v>
      </c>
      <c r="I6038" s="23" t="str">
        <f t="shared" si="283"/>
        <v xml:space="preserve">COM VALOR</v>
      </c>
      <c r="J6038" s="19"/>
      <c r="L6038" s="21">
        <v>47.469999999999999</v>
      </c>
      <c r="M6038" s="22">
        <v>0</v>
      </c>
      <c r="N6038" s="21">
        <v>46.939999999999998</v>
      </c>
      <c r="O6038" s="22">
        <v>0</v>
      </c>
    </row>
    <row r="6039" ht="38.25">
      <c r="A6039" t="s">
        <v>6108</v>
      </c>
      <c r="B6039" s="19">
        <v>89556</v>
      </c>
      <c r="C6039" s="20" t="s">
        <v>6152</v>
      </c>
      <c r="D6039" s="19" t="s">
        <v>31</v>
      </c>
      <c r="E6039" s="21">
        <f t="shared" si="281"/>
        <v>42.579999999999998</v>
      </c>
      <c r="F6039" s="22">
        <v>0</v>
      </c>
      <c r="G6039" s="21">
        <f t="shared" si="282"/>
        <v>42.329999999999998</v>
      </c>
      <c r="H6039" s="22">
        <v>0</v>
      </c>
      <c r="I6039" s="23" t="str">
        <f t="shared" si="283"/>
        <v xml:space="preserve">COM VALOR</v>
      </c>
      <c r="J6039" s="19"/>
      <c r="L6039" s="21">
        <v>42.579999999999998</v>
      </c>
      <c r="M6039" s="22">
        <v>0</v>
      </c>
      <c r="N6039" s="21">
        <v>42.329999999999998</v>
      </c>
      <c r="O6039" s="22">
        <v>0</v>
      </c>
    </row>
    <row r="6040" ht="38.25">
      <c r="A6040" t="s">
        <v>6108</v>
      </c>
      <c r="B6040" s="19">
        <v>89679</v>
      </c>
      <c r="C6040" s="20" t="s">
        <v>6153</v>
      </c>
      <c r="D6040" s="19" t="s">
        <v>31</v>
      </c>
      <c r="E6040" s="21">
        <f t="shared" si="281"/>
        <v>129.97999999999999</v>
      </c>
      <c r="F6040" s="22">
        <v>0</v>
      </c>
      <c r="G6040" s="21">
        <f t="shared" si="282"/>
        <v>129.06999999999999</v>
      </c>
      <c r="H6040" s="22">
        <v>0</v>
      </c>
      <c r="I6040" s="23" t="str">
        <f t="shared" si="283"/>
        <v xml:space="preserve">COM VALOR</v>
      </c>
      <c r="J6040" s="19"/>
      <c r="L6040" s="21">
        <v>129.97999999999999</v>
      </c>
      <c r="M6040" s="22">
        <v>0</v>
      </c>
      <c r="N6040" s="21">
        <v>129.06999999999999</v>
      </c>
      <c r="O6040" s="22">
        <v>0</v>
      </c>
    </row>
    <row r="6041" ht="38.25">
      <c r="A6041" t="s">
        <v>6108</v>
      </c>
      <c r="B6041" s="19">
        <v>104171</v>
      </c>
      <c r="C6041" s="20" t="s">
        <v>6154</v>
      </c>
      <c r="D6041" s="19" t="s">
        <v>31</v>
      </c>
      <c r="E6041" s="21">
        <f t="shared" si="281"/>
        <v>103.59999999999999</v>
      </c>
      <c r="F6041" s="22">
        <v>0</v>
      </c>
      <c r="G6041" s="21">
        <f t="shared" si="282"/>
        <v>103.09999999999999</v>
      </c>
      <c r="H6041" s="22">
        <v>0</v>
      </c>
      <c r="I6041" s="23" t="str">
        <f t="shared" si="283"/>
        <v xml:space="preserve">COM VALOR</v>
      </c>
      <c r="J6041" s="19"/>
      <c r="L6041" s="21">
        <v>103.59999999999999</v>
      </c>
      <c r="M6041" s="22">
        <v>0</v>
      </c>
      <c r="N6041" s="21">
        <v>103.09999999999999</v>
      </c>
      <c r="O6041" s="22">
        <v>0</v>
      </c>
    </row>
    <row r="6042" ht="38.25">
      <c r="A6042" t="s">
        <v>6108</v>
      </c>
      <c r="B6042" s="19">
        <v>89600</v>
      </c>
      <c r="C6042" s="20" t="s">
        <v>6155</v>
      </c>
      <c r="D6042" s="19" t="s">
        <v>31</v>
      </c>
      <c r="E6042" s="21">
        <f t="shared" si="281"/>
        <v>26.890000000000001</v>
      </c>
      <c r="F6042" s="22">
        <v>0</v>
      </c>
      <c r="G6042" s="21">
        <f t="shared" si="282"/>
        <v>26.550000000000001</v>
      </c>
      <c r="H6042" s="22">
        <v>0</v>
      </c>
      <c r="I6042" s="23" t="str">
        <f t="shared" si="283"/>
        <v xml:space="preserve">COM VALOR</v>
      </c>
      <c r="J6042" s="19"/>
      <c r="L6042" s="21">
        <v>26.890000000000001</v>
      </c>
      <c r="M6042" s="22">
        <v>0</v>
      </c>
      <c r="N6042" s="21">
        <v>26.550000000000001</v>
      </c>
      <c r="O6042" s="22">
        <v>0</v>
      </c>
    </row>
    <row r="6043" ht="38.25">
      <c r="A6043" t="s">
        <v>6108</v>
      </c>
      <c r="B6043" s="19">
        <v>89548</v>
      </c>
      <c r="C6043" s="20" t="s">
        <v>6156</v>
      </c>
      <c r="D6043" s="19" t="s">
        <v>31</v>
      </c>
      <c r="E6043" s="21">
        <f t="shared" si="281"/>
        <v>24.190000000000001</v>
      </c>
      <c r="F6043" s="22">
        <v>0</v>
      </c>
      <c r="G6043" s="21">
        <f t="shared" si="282"/>
        <v>24.010000000000002</v>
      </c>
      <c r="H6043" s="22">
        <v>0</v>
      </c>
      <c r="I6043" s="23" t="str">
        <f t="shared" si="283"/>
        <v xml:space="preserve">COM VALOR</v>
      </c>
      <c r="J6043" s="19"/>
      <c r="L6043" s="21">
        <v>24.190000000000001</v>
      </c>
      <c r="M6043" s="22">
        <v>0</v>
      </c>
      <c r="N6043" s="21">
        <v>24.010000000000002</v>
      </c>
      <c r="O6043" s="22">
        <v>0</v>
      </c>
    </row>
    <row r="6044" ht="38.25">
      <c r="A6044" t="s">
        <v>6108</v>
      </c>
      <c r="B6044" s="19">
        <v>89669</v>
      </c>
      <c r="C6044" s="20" t="s">
        <v>6157</v>
      </c>
      <c r="D6044" s="19" t="s">
        <v>31</v>
      </c>
      <c r="E6044" s="21">
        <f t="shared" si="281"/>
        <v>35.350000000000001</v>
      </c>
      <c r="F6044" s="22">
        <v>0</v>
      </c>
      <c r="G6044" s="21">
        <f t="shared" si="282"/>
        <v>34.82</v>
      </c>
      <c r="H6044" s="22">
        <v>0</v>
      </c>
      <c r="I6044" s="23" t="str">
        <f t="shared" si="283"/>
        <v xml:space="preserve">COM VALOR</v>
      </c>
      <c r="J6044" s="19"/>
      <c r="L6044" s="21">
        <v>35.350000000000001</v>
      </c>
      <c r="M6044" s="22">
        <v>0</v>
      </c>
      <c r="N6044" s="21">
        <v>34.82</v>
      </c>
      <c r="O6044" s="22">
        <v>0</v>
      </c>
    </row>
    <row r="6045" ht="38.25">
      <c r="A6045" t="s">
        <v>6108</v>
      </c>
      <c r="B6045" s="19">
        <v>89554</v>
      </c>
      <c r="C6045" s="20" t="s">
        <v>6158</v>
      </c>
      <c r="D6045" s="19" t="s">
        <v>31</v>
      </c>
      <c r="E6045" s="21">
        <f t="shared" si="281"/>
        <v>30.41</v>
      </c>
      <c r="F6045" s="22">
        <v>0</v>
      </c>
      <c r="G6045" s="21">
        <f t="shared" si="282"/>
        <v>30.16</v>
      </c>
      <c r="H6045" s="22">
        <v>0</v>
      </c>
      <c r="I6045" s="23" t="str">
        <f t="shared" si="283"/>
        <v xml:space="preserve">COM VALOR</v>
      </c>
      <c r="J6045" s="19"/>
      <c r="L6045" s="21">
        <v>30.41</v>
      </c>
      <c r="M6045" s="22">
        <v>0</v>
      </c>
      <c r="N6045" s="21">
        <v>30.16</v>
      </c>
      <c r="O6045" s="22">
        <v>0</v>
      </c>
    </row>
    <row r="6046" ht="38.25">
      <c r="A6046" t="s">
        <v>6108</v>
      </c>
      <c r="B6046" s="19">
        <v>89677</v>
      </c>
      <c r="C6046" s="20" t="s">
        <v>6159</v>
      </c>
      <c r="D6046" s="19" t="s">
        <v>31</v>
      </c>
      <c r="E6046" s="21">
        <f t="shared" si="281"/>
        <v>81.859999999999999</v>
      </c>
      <c r="F6046" s="22">
        <v>0</v>
      </c>
      <c r="G6046" s="21">
        <f t="shared" si="282"/>
        <v>80.950000000000003</v>
      </c>
      <c r="H6046" s="22">
        <v>0</v>
      </c>
      <c r="I6046" s="23" t="str">
        <f t="shared" si="283"/>
        <v xml:space="preserve">COM VALOR</v>
      </c>
      <c r="J6046" s="19"/>
      <c r="L6046" s="21">
        <v>81.859999999999999</v>
      </c>
      <c r="M6046" s="22">
        <v>0</v>
      </c>
      <c r="N6046" s="21">
        <v>80.950000000000003</v>
      </c>
      <c r="O6046" s="22">
        <v>0</v>
      </c>
    </row>
    <row r="6047" ht="38.25">
      <c r="A6047" t="s">
        <v>6108</v>
      </c>
      <c r="B6047" s="19">
        <v>104170</v>
      </c>
      <c r="C6047" s="20" t="s">
        <v>6160</v>
      </c>
      <c r="D6047" s="19" t="s">
        <v>31</v>
      </c>
      <c r="E6047" s="21">
        <f t="shared" si="281"/>
        <v>74.439999999999998</v>
      </c>
      <c r="F6047" s="22">
        <v>0.45000000000000001</v>
      </c>
      <c r="G6047" s="21">
        <f t="shared" si="282"/>
        <v>73.939999999999998</v>
      </c>
      <c r="H6047" s="22">
        <v>0.46999999999999997</v>
      </c>
      <c r="I6047" s="23" t="str">
        <f t="shared" si="283"/>
        <v xml:space="preserve">COM VALOR</v>
      </c>
      <c r="J6047" s="19"/>
      <c r="L6047" s="21">
        <v>74.439999999999998</v>
      </c>
      <c r="M6047" s="22">
        <v>0</v>
      </c>
      <c r="N6047" s="21">
        <v>73.939999999999998</v>
      </c>
      <c r="O6047" s="22">
        <v>0</v>
      </c>
    </row>
    <row r="6048" ht="38.25">
      <c r="A6048" t="s">
        <v>6108</v>
      </c>
      <c r="B6048" s="19">
        <v>89544</v>
      </c>
      <c r="C6048" s="20" t="s">
        <v>6161</v>
      </c>
      <c r="D6048" s="19" t="s">
        <v>31</v>
      </c>
      <c r="E6048" s="21">
        <f t="shared" si="281"/>
        <v>9.25</v>
      </c>
      <c r="F6048" s="22">
        <v>0.58999999999999997</v>
      </c>
      <c r="G6048" s="21">
        <f t="shared" si="282"/>
        <v>9.1600000000000001</v>
      </c>
      <c r="H6048" s="22">
        <v>0.60999999999999999</v>
      </c>
      <c r="I6048" s="23" t="str">
        <f t="shared" si="283"/>
        <v xml:space="preserve">COM VALOR</v>
      </c>
      <c r="J6048" s="19"/>
      <c r="L6048" s="21">
        <v>9.25</v>
      </c>
      <c r="M6048" s="22">
        <v>0</v>
      </c>
      <c r="N6048" s="21">
        <v>9.1600000000000001</v>
      </c>
      <c r="O6048" s="22">
        <v>0</v>
      </c>
    </row>
    <row r="6049" ht="38.25">
      <c r="A6049" t="s">
        <v>6108</v>
      </c>
      <c r="B6049" s="19">
        <v>89545</v>
      </c>
      <c r="C6049" s="20" t="s">
        <v>6162</v>
      </c>
      <c r="D6049" s="19" t="s">
        <v>31</v>
      </c>
      <c r="E6049" s="21">
        <f t="shared" si="281"/>
        <v>18</v>
      </c>
      <c r="F6049" s="22">
        <v>0.37</v>
      </c>
      <c r="G6049" s="21">
        <f t="shared" si="282"/>
        <v>17.890000000000001</v>
      </c>
      <c r="H6049" s="22">
        <v>0.39000000000000001</v>
      </c>
      <c r="I6049" s="23" t="str">
        <f t="shared" si="283"/>
        <v xml:space="preserve">COM VALOR</v>
      </c>
      <c r="J6049" s="19"/>
      <c r="L6049" s="21">
        <v>18</v>
      </c>
      <c r="M6049" s="22">
        <v>0</v>
      </c>
      <c r="N6049" s="21">
        <v>17.890000000000001</v>
      </c>
      <c r="O6049" s="22">
        <v>0</v>
      </c>
    </row>
    <row r="6050" ht="38.25">
      <c r="A6050" t="s">
        <v>6108</v>
      </c>
      <c r="B6050" s="19">
        <v>89599</v>
      </c>
      <c r="C6050" s="20" t="s">
        <v>6163</v>
      </c>
      <c r="D6050" s="19" t="s">
        <v>31</v>
      </c>
      <c r="E6050" s="21">
        <f t="shared" si="281"/>
        <v>26.690000000000001</v>
      </c>
      <c r="F6050" s="22">
        <v>0.65000000000000002</v>
      </c>
      <c r="G6050" s="21">
        <f t="shared" si="282"/>
        <v>26.350000000000001</v>
      </c>
      <c r="H6050" s="22">
        <v>0.67000000000000004</v>
      </c>
      <c r="I6050" s="23" t="str">
        <f t="shared" si="283"/>
        <v xml:space="preserve">COM VALOR</v>
      </c>
      <c r="J6050" s="19"/>
      <c r="L6050" s="21">
        <v>26.690000000000001</v>
      </c>
      <c r="M6050" s="22">
        <v>0</v>
      </c>
      <c r="N6050" s="21">
        <v>26.350000000000001</v>
      </c>
      <c r="O6050" s="22">
        <v>0</v>
      </c>
    </row>
    <row r="6051" ht="38.25">
      <c r="A6051" t="s">
        <v>6108</v>
      </c>
      <c r="B6051" s="19">
        <v>89547</v>
      </c>
      <c r="C6051" s="20" t="s">
        <v>6164</v>
      </c>
      <c r="D6051" s="19" t="s">
        <v>31</v>
      </c>
      <c r="E6051" s="21">
        <f t="shared" si="281"/>
        <v>23.969999999999999</v>
      </c>
      <c r="F6051" s="22">
        <v>0.75</v>
      </c>
      <c r="G6051" s="21">
        <f t="shared" si="282"/>
        <v>23.789999999999999</v>
      </c>
      <c r="H6051" s="22">
        <v>0.76000000000000001</v>
      </c>
      <c r="I6051" s="23" t="str">
        <f t="shared" si="283"/>
        <v xml:space="preserve">COM VALOR</v>
      </c>
      <c r="J6051" s="19"/>
      <c r="L6051" s="21">
        <v>23.969999999999999</v>
      </c>
      <c r="M6051" s="22">
        <v>0</v>
      </c>
      <c r="N6051" s="21">
        <v>23.789999999999999</v>
      </c>
      <c r="O6051" s="22">
        <v>0</v>
      </c>
    </row>
    <row r="6052" ht="38.25">
      <c r="A6052" t="s">
        <v>6108</v>
      </c>
      <c r="B6052" s="19">
        <v>89495</v>
      </c>
      <c r="C6052" s="20" t="s">
        <v>6165</v>
      </c>
      <c r="D6052" s="19" t="s">
        <v>31</v>
      </c>
      <c r="E6052" s="21">
        <f t="shared" si="281"/>
        <v>20</v>
      </c>
      <c r="F6052" s="22">
        <v>0.81000000000000005</v>
      </c>
      <c r="G6052" s="21">
        <f t="shared" si="282"/>
        <v>19.68</v>
      </c>
      <c r="H6052" s="22">
        <v>0.81999999999999995</v>
      </c>
      <c r="I6052" s="23" t="str">
        <f t="shared" si="283"/>
        <v xml:space="preserve">COM VALOR</v>
      </c>
      <c r="J6052" s="19"/>
      <c r="L6052" s="21">
        <v>20</v>
      </c>
      <c r="M6052" s="22">
        <v>0</v>
      </c>
      <c r="N6052" s="21">
        <v>19.68</v>
      </c>
      <c r="O6052" s="22">
        <v>0</v>
      </c>
    </row>
    <row r="6053" ht="38.25">
      <c r="A6053" t="s">
        <v>6108</v>
      </c>
      <c r="B6053" s="19">
        <v>89673</v>
      </c>
      <c r="C6053" s="20" t="s">
        <v>6166</v>
      </c>
      <c r="D6053" s="19" t="s">
        <v>31</v>
      </c>
      <c r="E6053" s="21">
        <f t="shared" si="281"/>
        <v>37.5</v>
      </c>
      <c r="F6053" s="22">
        <v>0.75</v>
      </c>
      <c r="G6053" s="21">
        <f t="shared" si="282"/>
        <v>37.07</v>
      </c>
      <c r="H6053" s="22">
        <v>0.77000000000000002</v>
      </c>
      <c r="I6053" s="23" t="str">
        <f t="shared" si="283"/>
        <v xml:space="preserve">COM VALOR</v>
      </c>
      <c r="J6053" s="19"/>
      <c r="L6053" s="21">
        <v>37.5</v>
      </c>
      <c r="M6053" s="22">
        <v>0</v>
      </c>
      <c r="N6053" s="21">
        <v>37.07</v>
      </c>
      <c r="O6053" s="22">
        <v>0</v>
      </c>
    </row>
    <row r="6054" ht="38.25">
      <c r="A6054" t="s">
        <v>6108</v>
      </c>
      <c r="B6054" s="19">
        <v>89557</v>
      </c>
      <c r="C6054" s="20" t="s">
        <v>6167</v>
      </c>
      <c r="D6054" s="19" t="s">
        <v>31</v>
      </c>
      <c r="E6054" s="21">
        <f t="shared" si="281"/>
        <v>33.700000000000003</v>
      </c>
      <c r="F6054" s="22">
        <v>0.82999999999999996</v>
      </c>
      <c r="G6054" s="21">
        <f t="shared" si="282"/>
        <v>33.490000000000002</v>
      </c>
      <c r="H6054" s="22">
        <v>0.83999999999999997</v>
      </c>
      <c r="I6054" s="23" t="str">
        <f t="shared" si="283"/>
        <v xml:space="preserve">COM VALOR</v>
      </c>
      <c r="J6054" s="19"/>
      <c r="L6054" s="21">
        <v>33.700000000000003</v>
      </c>
      <c r="M6054" s="22">
        <v>0</v>
      </c>
      <c r="N6054" s="21">
        <v>33.490000000000002</v>
      </c>
      <c r="O6054" s="22">
        <v>0</v>
      </c>
    </row>
    <row r="6055" ht="38.25">
      <c r="A6055" t="s">
        <v>6108</v>
      </c>
      <c r="B6055" s="19">
        <v>89681</v>
      </c>
      <c r="C6055" s="20" t="s">
        <v>6168</v>
      </c>
      <c r="D6055" s="19" t="s">
        <v>31</v>
      </c>
      <c r="E6055" s="21">
        <f t="shared" si="281"/>
        <v>94.989999999999995</v>
      </c>
      <c r="F6055" s="22">
        <v>0.69999999999999996</v>
      </c>
      <c r="G6055" s="21">
        <f t="shared" si="282"/>
        <v>94.280000000000001</v>
      </c>
      <c r="H6055" s="22">
        <v>0.70999999999999996</v>
      </c>
      <c r="I6055" s="23" t="str">
        <f t="shared" si="283"/>
        <v xml:space="preserve">COM VALOR</v>
      </c>
      <c r="J6055" s="19"/>
      <c r="L6055" s="21">
        <v>94.989999999999995</v>
      </c>
      <c r="M6055" s="22">
        <v>0</v>
      </c>
      <c r="N6055" s="21">
        <v>94.280000000000001</v>
      </c>
      <c r="O6055" s="22">
        <v>0</v>
      </c>
    </row>
    <row r="6056" ht="38.25">
      <c r="A6056" t="s">
        <v>6108</v>
      </c>
      <c r="B6056" s="19">
        <v>104173</v>
      </c>
      <c r="C6056" s="20" t="s">
        <v>6169</v>
      </c>
      <c r="D6056" s="19" t="s">
        <v>31</v>
      </c>
      <c r="E6056" s="21">
        <f t="shared" si="281"/>
        <v>90.090000000000003</v>
      </c>
      <c r="F6056" s="22">
        <v>0.79000000000000004</v>
      </c>
      <c r="G6056" s="21">
        <f t="shared" si="282"/>
        <v>89.659999999999997</v>
      </c>
      <c r="H6056" s="22">
        <v>0.81000000000000005</v>
      </c>
      <c r="I6056" s="23" t="str">
        <f t="shared" si="283"/>
        <v xml:space="preserve">COM VALOR</v>
      </c>
      <c r="J6056" s="19"/>
      <c r="L6056" s="21">
        <v>90.090000000000003</v>
      </c>
      <c r="M6056" s="22">
        <v>0</v>
      </c>
      <c r="N6056" s="21">
        <v>89.659999999999997</v>
      </c>
      <c r="O6056" s="22">
        <v>0</v>
      </c>
    </row>
    <row r="6057" ht="38.25">
      <c r="A6057" t="s">
        <v>6108</v>
      </c>
      <c r="B6057" s="19">
        <v>89549</v>
      </c>
      <c r="C6057" s="20" t="s">
        <v>6170</v>
      </c>
      <c r="D6057" s="19" t="s">
        <v>31</v>
      </c>
      <c r="E6057" s="21">
        <f t="shared" si="281"/>
        <v>19.989999999999998</v>
      </c>
      <c r="F6057" s="22">
        <v>0.85999999999999999</v>
      </c>
      <c r="G6057" s="21">
        <f t="shared" si="282"/>
        <v>19.850000000000001</v>
      </c>
      <c r="H6057" s="22">
        <v>0.87</v>
      </c>
      <c r="I6057" s="23" t="str">
        <f t="shared" si="283"/>
        <v xml:space="preserve">COM VALOR</v>
      </c>
      <c r="J6057" s="19"/>
      <c r="L6057" s="21">
        <v>19.989999999999998</v>
      </c>
      <c r="M6057" s="22">
        <v>0</v>
      </c>
      <c r="N6057" s="21">
        <v>19.850000000000001</v>
      </c>
      <c r="O6057" s="22">
        <v>0</v>
      </c>
    </row>
    <row r="6058" ht="25.5">
      <c r="A6058" t="s">
        <v>6108</v>
      </c>
      <c r="B6058" s="19">
        <v>89578</v>
      </c>
      <c r="C6058" s="20" t="s">
        <v>6171</v>
      </c>
      <c r="D6058" s="19" t="s">
        <v>38</v>
      </c>
      <c r="E6058" s="21">
        <f t="shared" si="281"/>
        <v>36.619999999999997</v>
      </c>
      <c r="F6058" s="22">
        <v>0.81000000000000005</v>
      </c>
      <c r="G6058" s="21">
        <f t="shared" si="282"/>
        <v>36.390000000000001</v>
      </c>
      <c r="H6058" s="22">
        <v>0.81999999999999995</v>
      </c>
      <c r="I6058" s="23" t="str">
        <f t="shared" si="283"/>
        <v xml:space="preserve">COM VALOR</v>
      </c>
      <c r="J6058" s="19"/>
      <c r="L6058" s="21">
        <v>36.619999999999997</v>
      </c>
      <c r="M6058" s="22">
        <v>0</v>
      </c>
      <c r="N6058" s="21">
        <v>36.390000000000001</v>
      </c>
      <c r="O6058" s="22">
        <v>0</v>
      </c>
    </row>
    <row r="6059" ht="25.5">
      <c r="A6059" t="s">
        <v>6108</v>
      </c>
      <c r="B6059" s="19">
        <v>89512</v>
      </c>
      <c r="C6059" s="20" t="s">
        <v>6172</v>
      </c>
      <c r="D6059" s="19" t="s">
        <v>38</v>
      </c>
      <c r="E6059" s="21">
        <f t="shared" si="281"/>
        <v>53.159999999999997</v>
      </c>
      <c r="F6059" s="22">
        <v>0.84999999999999998</v>
      </c>
      <c r="G6059" s="21">
        <f t="shared" si="282"/>
        <v>52</v>
      </c>
      <c r="H6059" s="22">
        <v>0.85999999999999999</v>
      </c>
      <c r="I6059" s="23" t="str">
        <f t="shared" si="283"/>
        <v xml:space="preserve">COM VALOR</v>
      </c>
      <c r="J6059" s="19"/>
      <c r="L6059" s="21">
        <v>53.159999999999997</v>
      </c>
      <c r="M6059" s="22">
        <v>0</v>
      </c>
      <c r="N6059" s="21">
        <v>52</v>
      </c>
      <c r="O6059" s="22">
        <v>0</v>
      </c>
    </row>
    <row r="6060" ht="25.5">
      <c r="A6060" t="s">
        <v>6108</v>
      </c>
      <c r="B6060" s="19">
        <v>89580</v>
      </c>
      <c r="C6060" s="20" t="s">
        <v>6173</v>
      </c>
      <c r="D6060" s="19" t="s">
        <v>38</v>
      </c>
      <c r="E6060" s="21">
        <f t="shared" si="281"/>
        <v>75.840000000000003</v>
      </c>
      <c r="F6060" s="22">
        <v>0.91000000000000003</v>
      </c>
      <c r="G6060" s="21">
        <f t="shared" si="282"/>
        <v>75.469999999999999</v>
      </c>
      <c r="H6060" s="22">
        <v>0.92000000000000004</v>
      </c>
      <c r="I6060" s="23" t="str">
        <f t="shared" si="283"/>
        <v xml:space="preserve">COM VALOR</v>
      </c>
      <c r="J6060" s="19"/>
      <c r="L6060" s="21">
        <v>75.840000000000003</v>
      </c>
      <c r="M6060" s="22">
        <v>0</v>
      </c>
      <c r="N6060" s="21">
        <v>75.469999999999999</v>
      </c>
      <c r="O6060" s="22">
        <v>0</v>
      </c>
    </row>
    <row r="6061" ht="25.5">
      <c r="A6061" t="s">
        <v>6108</v>
      </c>
      <c r="B6061" s="19">
        <v>104166</v>
      </c>
      <c r="C6061" s="20" t="s">
        <v>6174</v>
      </c>
      <c r="D6061" s="19" t="s">
        <v>38</v>
      </c>
      <c r="E6061" s="21">
        <f t="shared" si="281"/>
        <v>81.890000000000001</v>
      </c>
      <c r="F6061" s="22">
        <v>0.82999999999999996</v>
      </c>
      <c r="G6061" s="21">
        <f t="shared" si="282"/>
        <v>81.159999999999997</v>
      </c>
      <c r="H6061" s="22">
        <v>0.83999999999999997</v>
      </c>
      <c r="I6061" s="23" t="str">
        <f t="shared" si="283"/>
        <v xml:space="preserve">COM VALOR</v>
      </c>
      <c r="J6061" s="19"/>
      <c r="L6061" s="21">
        <v>81.890000000000001</v>
      </c>
      <c r="M6061" s="22">
        <v>0</v>
      </c>
      <c r="N6061" s="21">
        <v>81.159999999999997</v>
      </c>
      <c r="O6061" s="22">
        <v>0</v>
      </c>
    </row>
    <row r="6062" ht="25.5">
      <c r="A6062" t="s">
        <v>6108</v>
      </c>
      <c r="B6062" s="19">
        <v>89508</v>
      </c>
      <c r="C6062" s="20" t="s">
        <v>6175</v>
      </c>
      <c r="D6062" s="19" t="s">
        <v>38</v>
      </c>
      <c r="E6062" s="21">
        <f t="shared" si="281"/>
        <v>18.129999999999999</v>
      </c>
      <c r="F6062" s="22">
        <v>0.85999999999999999</v>
      </c>
      <c r="G6062" s="21">
        <f t="shared" si="282"/>
        <v>17.710000000000001</v>
      </c>
      <c r="H6062" s="22">
        <v>0.87</v>
      </c>
      <c r="I6062" s="23" t="str">
        <f t="shared" si="283"/>
        <v xml:space="preserve">COM VALOR</v>
      </c>
      <c r="J6062" s="19"/>
      <c r="L6062" s="21">
        <v>18.129999999999999</v>
      </c>
      <c r="M6062" s="22">
        <v>0</v>
      </c>
      <c r="N6062" s="21">
        <v>17.710000000000001</v>
      </c>
      <c r="O6062" s="22">
        <v>0</v>
      </c>
    </row>
    <row r="6063" ht="25.5">
      <c r="A6063" t="s">
        <v>6108</v>
      </c>
      <c r="B6063" s="19">
        <v>89509</v>
      </c>
      <c r="C6063" s="20" t="s">
        <v>6176</v>
      </c>
      <c r="D6063" s="19" t="s">
        <v>38</v>
      </c>
      <c r="E6063" s="21">
        <f t="shared" si="281"/>
        <v>24.579999999999998</v>
      </c>
      <c r="F6063" s="22">
        <v>0.92000000000000004</v>
      </c>
      <c r="G6063" s="21">
        <f t="shared" si="282"/>
        <v>24.030000000000001</v>
      </c>
      <c r="H6063" s="22">
        <v>0.93000000000000005</v>
      </c>
      <c r="I6063" s="23" t="str">
        <f t="shared" si="283"/>
        <v xml:space="preserve">COM VALOR</v>
      </c>
      <c r="J6063" s="19"/>
      <c r="L6063" s="21">
        <v>24.579999999999998</v>
      </c>
      <c r="M6063" s="22">
        <v>0</v>
      </c>
      <c r="N6063" s="21">
        <v>24.030000000000001</v>
      </c>
      <c r="O6063" s="22">
        <v>0</v>
      </c>
    </row>
    <row r="6064" ht="25.5">
      <c r="A6064" t="s">
        <v>6108</v>
      </c>
      <c r="B6064" s="19">
        <v>89576</v>
      </c>
      <c r="C6064" s="20" t="s">
        <v>6177</v>
      </c>
      <c r="D6064" s="19" t="s">
        <v>38</v>
      </c>
      <c r="E6064" s="21">
        <f t="shared" si="281"/>
        <v>29.57</v>
      </c>
      <c r="F6064" s="22">
        <v>0</v>
      </c>
      <c r="G6064" s="21">
        <f t="shared" si="282"/>
        <v>29.43</v>
      </c>
      <c r="H6064" s="22">
        <v>0</v>
      </c>
      <c r="I6064" s="23" t="str">
        <f t="shared" si="283"/>
        <v xml:space="preserve">COM VALOR</v>
      </c>
      <c r="J6064" s="19"/>
      <c r="L6064" s="21">
        <v>29.57</v>
      </c>
      <c r="M6064" s="22">
        <v>0</v>
      </c>
      <c r="N6064" s="21">
        <v>29.43</v>
      </c>
      <c r="O6064" s="22">
        <v>0</v>
      </c>
    </row>
    <row r="6065" ht="25.5">
      <c r="A6065" t="s">
        <v>6108</v>
      </c>
      <c r="B6065" s="19">
        <v>89511</v>
      </c>
      <c r="C6065" s="20" t="s">
        <v>6178</v>
      </c>
      <c r="D6065" s="19" t="s">
        <v>38</v>
      </c>
      <c r="E6065" s="21">
        <f t="shared" si="281"/>
        <v>42.020000000000003</v>
      </c>
      <c r="F6065" s="22">
        <v>0</v>
      </c>
      <c r="G6065" s="21">
        <f t="shared" si="282"/>
        <v>41.170000000000002</v>
      </c>
      <c r="H6065" s="22">
        <v>0</v>
      </c>
      <c r="I6065" s="23" t="str">
        <f t="shared" si="283"/>
        <v xml:space="preserve">COM VALOR</v>
      </c>
      <c r="J6065" s="19"/>
      <c r="L6065" s="21">
        <v>42.020000000000003</v>
      </c>
      <c r="M6065" s="22">
        <v>0</v>
      </c>
      <c r="N6065" s="21">
        <v>41.170000000000002</v>
      </c>
      <c r="O6065" s="22">
        <v>0</v>
      </c>
    </row>
    <row r="6066" ht="38.25">
      <c r="A6066" t="s">
        <v>6108</v>
      </c>
      <c r="B6066" s="19">
        <v>89675</v>
      </c>
      <c r="C6066" s="20" t="s">
        <v>6179</v>
      </c>
      <c r="D6066" s="19" t="s">
        <v>31</v>
      </c>
      <c r="E6066" s="21">
        <f t="shared" si="281"/>
        <v>76.75</v>
      </c>
      <c r="F6066" s="22">
        <v>0</v>
      </c>
      <c r="G6066" s="21">
        <f t="shared" si="282"/>
        <v>76.219999999999999</v>
      </c>
      <c r="H6066" s="22">
        <v>0</v>
      </c>
      <c r="I6066" s="23" t="str">
        <f t="shared" si="283"/>
        <v xml:space="preserve">COM VALOR</v>
      </c>
      <c r="J6066" s="19"/>
      <c r="L6066" s="21">
        <v>76.75</v>
      </c>
      <c r="M6066" s="22">
        <v>0</v>
      </c>
      <c r="N6066" s="21">
        <v>76.219999999999999</v>
      </c>
      <c r="O6066" s="22">
        <v>0</v>
      </c>
    </row>
    <row r="6067" ht="38.25">
      <c r="A6067" t="s">
        <v>6108</v>
      </c>
      <c r="B6067" s="19">
        <v>89559</v>
      </c>
      <c r="C6067" s="20" t="s">
        <v>6180</v>
      </c>
      <c r="D6067" s="19" t="s">
        <v>31</v>
      </c>
      <c r="E6067" s="21">
        <f t="shared" si="281"/>
        <v>71.859999999999999</v>
      </c>
      <c r="F6067" s="22">
        <v>0</v>
      </c>
      <c r="G6067" s="21">
        <f t="shared" si="282"/>
        <v>71.609999999999999</v>
      </c>
      <c r="H6067" s="22">
        <v>0</v>
      </c>
      <c r="I6067" s="23" t="str">
        <f t="shared" si="283"/>
        <v xml:space="preserve">COM VALOR</v>
      </c>
      <c r="J6067" s="19"/>
      <c r="L6067" s="21">
        <v>71.859999999999999</v>
      </c>
      <c r="M6067" s="22">
        <v>0</v>
      </c>
      <c r="N6067" s="21">
        <v>71.609999999999999</v>
      </c>
      <c r="O6067" s="22">
        <v>0</v>
      </c>
    </row>
    <row r="6068" ht="38.25">
      <c r="A6068" t="s">
        <v>6108</v>
      </c>
      <c r="B6068" s="19">
        <v>104172</v>
      </c>
      <c r="C6068" s="20" t="s">
        <v>6181</v>
      </c>
      <c r="D6068" s="19" t="s">
        <v>31</v>
      </c>
      <c r="E6068" s="21">
        <f t="shared" si="281"/>
        <v>296.56999999999999</v>
      </c>
      <c r="F6068" s="22">
        <v>0</v>
      </c>
      <c r="G6068" s="21">
        <f t="shared" si="282"/>
        <v>296.06999999999999</v>
      </c>
      <c r="H6068" s="22">
        <v>0</v>
      </c>
      <c r="I6068" s="23" t="str">
        <f t="shared" si="283"/>
        <v xml:space="preserve">COM VALOR</v>
      </c>
      <c r="J6068" s="19"/>
      <c r="L6068" s="21">
        <v>296.56999999999999</v>
      </c>
      <c r="M6068" s="22">
        <v>0</v>
      </c>
      <c r="N6068" s="21">
        <v>296.06999999999999</v>
      </c>
      <c r="O6068" s="22">
        <v>0</v>
      </c>
    </row>
    <row r="6069" ht="38.25">
      <c r="A6069" t="s">
        <v>6108</v>
      </c>
      <c r="B6069" s="19">
        <v>89683</v>
      </c>
      <c r="C6069" s="20" t="s">
        <v>6182</v>
      </c>
      <c r="D6069" s="19" t="s">
        <v>31</v>
      </c>
      <c r="E6069" s="21">
        <f t="shared" si="281"/>
        <v>303.73000000000002</v>
      </c>
      <c r="F6069" s="22">
        <v>0</v>
      </c>
      <c r="G6069" s="21">
        <f t="shared" si="282"/>
        <v>302.81999999999999</v>
      </c>
      <c r="H6069" s="22">
        <v>0</v>
      </c>
      <c r="I6069" s="23" t="str">
        <f t="shared" si="283"/>
        <v xml:space="preserve">COM VALOR</v>
      </c>
      <c r="J6069" s="19"/>
      <c r="L6069" s="21">
        <v>303.73000000000002</v>
      </c>
      <c r="M6069" s="22">
        <v>0</v>
      </c>
      <c r="N6069" s="21">
        <v>302.81999999999999</v>
      </c>
      <c r="O6069" s="22">
        <v>0</v>
      </c>
    </row>
    <row r="6070" ht="38.25">
      <c r="A6070" t="s">
        <v>6108</v>
      </c>
      <c r="B6070" s="19">
        <v>89667</v>
      </c>
      <c r="C6070" s="20" t="s">
        <v>6183</v>
      </c>
      <c r="D6070" s="19" t="s">
        <v>31</v>
      </c>
      <c r="E6070" s="21">
        <f t="shared" si="281"/>
        <v>46.700000000000003</v>
      </c>
      <c r="F6070" s="22">
        <v>0</v>
      </c>
      <c r="G6070" s="21">
        <f t="shared" si="282"/>
        <v>46.359999999999999</v>
      </c>
      <c r="H6070" s="22">
        <v>0</v>
      </c>
      <c r="I6070" s="23" t="str">
        <f t="shared" si="283"/>
        <v xml:space="preserve">COM VALOR</v>
      </c>
      <c r="J6070" s="19"/>
      <c r="L6070" s="21">
        <v>46.700000000000003</v>
      </c>
      <c r="M6070" s="22">
        <v>0</v>
      </c>
      <c r="N6070" s="21">
        <v>46.359999999999999</v>
      </c>
      <c r="O6070" s="22">
        <v>0</v>
      </c>
    </row>
    <row r="6071" ht="38.25">
      <c r="A6071" t="s">
        <v>6108</v>
      </c>
      <c r="B6071" s="19">
        <v>89550</v>
      </c>
      <c r="C6071" s="20" t="s">
        <v>6184</v>
      </c>
      <c r="D6071" s="19" t="s">
        <v>31</v>
      </c>
      <c r="E6071" s="21">
        <f t="shared" si="281"/>
        <v>44</v>
      </c>
      <c r="F6071" s="22">
        <v>0</v>
      </c>
      <c r="G6071" s="21">
        <f t="shared" si="282"/>
        <v>43.82</v>
      </c>
      <c r="H6071" s="22">
        <v>0</v>
      </c>
      <c r="I6071" s="23" t="str">
        <f t="shared" si="283"/>
        <v xml:space="preserve">COM VALOR</v>
      </c>
      <c r="J6071" s="19"/>
      <c r="L6071" s="21">
        <v>44</v>
      </c>
      <c r="M6071" s="22">
        <v>0</v>
      </c>
      <c r="N6071" s="21">
        <v>43.82</v>
      </c>
      <c r="O6071" s="22">
        <v>0</v>
      </c>
    </row>
    <row r="6072" ht="38.25">
      <c r="A6072" t="s">
        <v>6108</v>
      </c>
      <c r="B6072" s="19">
        <v>89693</v>
      </c>
      <c r="C6072" s="20" t="s">
        <v>6185</v>
      </c>
      <c r="D6072" s="19" t="s">
        <v>31</v>
      </c>
      <c r="E6072" s="21">
        <f t="shared" si="281"/>
        <v>83.700000000000003</v>
      </c>
      <c r="F6072" s="22">
        <v>0</v>
      </c>
      <c r="G6072" s="21">
        <f t="shared" si="282"/>
        <v>82.650000000000006</v>
      </c>
      <c r="H6072" s="22">
        <v>0</v>
      </c>
      <c r="I6072" s="23" t="str">
        <f t="shared" si="283"/>
        <v xml:space="preserve">COM VALOR</v>
      </c>
      <c r="J6072" s="19"/>
      <c r="L6072" s="21">
        <v>83.700000000000003</v>
      </c>
      <c r="M6072" s="22">
        <v>0</v>
      </c>
      <c r="N6072" s="21">
        <v>82.650000000000006</v>
      </c>
      <c r="O6072" s="22">
        <v>0</v>
      </c>
    </row>
    <row r="6073" ht="25.5">
      <c r="A6073" t="s">
        <v>6108</v>
      </c>
      <c r="B6073" s="19">
        <v>89571</v>
      </c>
      <c r="C6073" s="20" t="s">
        <v>6186</v>
      </c>
      <c r="D6073" s="19" t="s">
        <v>31</v>
      </c>
      <c r="E6073" s="21">
        <f t="shared" si="281"/>
        <v>73.939999999999998</v>
      </c>
      <c r="F6073" s="22">
        <v>0</v>
      </c>
      <c r="G6073" s="21">
        <f t="shared" si="282"/>
        <v>73.450000000000003</v>
      </c>
      <c r="H6073" s="22">
        <v>0</v>
      </c>
      <c r="I6073" s="23" t="str">
        <f t="shared" si="283"/>
        <v xml:space="preserve">COM VALOR</v>
      </c>
      <c r="J6073" s="19"/>
      <c r="L6073" s="21">
        <v>73.939999999999998</v>
      </c>
      <c r="M6073" s="22">
        <v>0</v>
      </c>
      <c r="N6073" s="21">
        <v>73.450000000000003</v>
      </c>
      <c r="O6073" s="22">
        <v>0</v>
      </c>
    </row>
    <row r="6074" ht="38.25">
      <c r="A6074" t="s">
        <v>6108</v>
      </c>
      <c r="B6074" s="19">
        <v>89696</v>
      </c>
      <c r="C6074" s="20" t="s">
        <v>6187</v>
      </c>
      <c r="D6074" s="19" t="s">
        <v>31</v>
      </c>
      <c r="E6074" s="21">
        <f t="shared" si="281"/>
        <v>89.780000000000001</v>
      </c>
      <c r="F6074" s="22">
        <v>0</v>
      </c>
      <c r="G6074" s="21">
        <f t="shared" si="282"/>
        <v>88.859999999999999</v>
      </c>
      <c r="H6074" s="22">
        <v>0</v>
      </c>
      <c r="I6074" s="23" t="str">
        <f t="shared" si="283"/>
        <v xml:space="preserve">COM VALOR</v>
      </c>
      <c r="J6074" s="19"/>
      <c r="L6074" s="21">
        <v>89.780000000000001</v>
      </c>
      <c r="M6074" s="22">
        <v>0</v>
      </c>
      <c r="N6074" s="21">
        <v>88.859999999999999</v>
      </c>
      <c r="O6074" s="22">
        <v>0</v>
      </c>
    </row>
    <row r="6075" ht="25.5">
      <c r="A6075" t="s">
        <v>6108</v>
      </c>
      <c r="B6075" s="19">
        <v>89573</v>
      </c>
      <c r="C6075" s="20" t="s">
        <v>6188</v>
      </c>
      <c r="D6075" s="19" t="s">
        <v>31</v>
      </c>
      <c r="E6075" s="21">
        <f t="shared" si="281"/>
        <v>81.480000000000004</v>
      </c>
      <c r="F6075" s="22">
        <v>0</v>
      </c>
      <c r="G6075" s="21">
        <f t="shared" si="282"/>
        <v>81.019999999999996</v>
      </c>
      <c r="H6075" s="22">
        <v>0</v>
      </c>
      <c r="I6075" s="23" t="str">
        <f t="shared" si="283"/>
        <v xml:space="preserve">COM VALOR</v>
      </c>
      <c r="J6075" s="19"/>
      <c r="L6075" s="21">
        <v>81.480000000000004</v>
      </c>
      <c r="M6075" s="22">
        <v>0</v>
      </c>
      <c r="N6075" s="21">
        <v>81.019999999999996</v>
      </c>
      <c r="O6075" s="22">
        <v>0</v>
      </c>
    </row>
    <row r="6076" ht="38.25">
      <c r="A6076" t="s">
        <v>6108</v>
      </c>
      <c r="B6076" s="19">
        <v>89704</v>
      </c>
      <c r="C6076" s="20" t="s">
        <v>6189</v>
      </c>
      <c r="D6076" s="19" t="s">
        <v>31</v>
      </c>
      <c r="E6076" s="21">
        <f t="shared" si="281"/>
        <v>160.02000000000001</v>
      </c>
      <c r="F6076" s="22">
        <v>0</v>
      </c>
      <c r="G6076" s="21">
        <f t="shared" si="282"/>
        <v>158.47</v>
      </c>
      <c r="H6076" s="22">
        <v>0</v>
      </c>
      <c r="I6076" s="23" t="str">
        <f t="shared" si="283"/>
        <v xml:space="preserve">COM VALOR</v>
      </c>
      <c r="J6076" s="19"/>
      <c r="L6076" s="21">
        <v>160.02000000000001</v>
      </c>
      <c r="M6076" s="22">
        <v>0</v>
      </c>
      <c r="N6076" s="21">
        <v>158.47</v>
      </c>
      <c r="O6076" s="22">
        <v>0</v>
      </c>
    </row>
    <row r="6077" ht="25.5">
      <c r="A6077" t="s">
        <v>6108</v>
      </c>
      <c r="B6077" s="19">
        <v>104175</v>
      </c>
      <c r="C6077" s="20" t="s">
        <v>6190</v>
      </c>
      <c r="D6077" s="19" t="s">
        <v>31</v>
      </c>
      <c r="E6077" s="21">
        <f t="shared" si="281"/>
        <v>148.72999999999999</v>
      </c>
      <c r="F6077" s="22">
        <v>0</v>
      </c>
      <c r="G6077" s="21">
        <f t="shared" si="282"/>
        <v>147.81</v>
      </c>
      <c r="H6077" s="22">
        <v>0</v>
      </c>
      <c r="I6077" s="23" t="str">
        <f t="shared" si="283"/>
        <v xml:space="preserve">COM VALOR</v>
      </c>
      <c r="J6077" s="19"/>
      <c r="L6077" s="21">
        <v>148.72999999999999</v>
      </c>
      <c r="M6077" s="22">
        <v>0</v>
      </c>
      <c r="N6077" s="21">
        <v>147.81</v>
      </c>
      <c r="O6077" s="22">
        <v>0</v>
      </c>
    </row>
    <row r="6078" ht="38.25">
      <c r="A6078" t="s">
        <v>6108</v>
      </c>
      <c r="B6078" s="19">
        <v>89701</v>
      </c>
      <c r="C6078" s="20" t="s">
        <v>6191</v>
      </c>
      <c r="D6078" s="19" t="s">
        <v>31</v>
      </c>
      <c r="E6078" s="21">
        <f t="shared" si="281"/>
        <v>207.09999999999999</v>
      </c>
      <c r="F6078" s="22">
        <v>0</v>
      </c>
      <c r="G6078" s="21">
        <f t="shared" si="282"/>
        <v>205.28999999999999</v>
      </c>
      <c r="H6078" s="22">
        <v>0</v>
      </c>
      <c r="I6078" s="23" t="str">
        <f t="shared" si="283"/>
        <v xml:space="preserve">COM VALOR</v>
      </c>
      <c r="J6078" s="19"/>
      <c r="L6078" s="21">
        <v>207.09999999999999</v>
      </c>
      <c r="M6078" s="22">
        <v>0</v>
      </c>
      <c r="N6078" s="21">
        <v>205.28999999999999</v>
      </c>
      <c r="O6078" s="22">
        <v>0</v>
      </c>
    </row>
    <row r="6079" ht="25.5">
      <c r="A6079" t="s">
        <v>6108</v>
      </c>
      <c r="B6079" s="19">
        <v>104177</v>
      </c>
      <c r="C6079" s="20" t="s">
        <v>6192</v>
      </c>
      <c r="D6079" s="19" t="s">
        <v>31</v>
      </c>
      <c r="E6079" s="21">
        <f t="shared" si="281"/>
        <v>192.78999999999999</v>
      </c>
      <c r="F6079" s="22">
        <v>0</v>
      </c>
      <c r="G6079" s="21">
        <f t="shared" si="282"/>
        <v>191.78999999999999</v>
      </c>
      <c r="H6079" s="22">
        <v>0</v>
      </c>
      <c r="I6079" s="23" t="str">
        <f t="shared" si="283"/>
        <v xml:space="preserve">COM VALOR</v>
      </c>
      <c r="J6079" s="19"/>
      <c r="L6079" s="21">
        <v>192.78999999999999</v>
      </c>
      <c r="M6079" s="22">
        <v>0</v>
      </c>
      <c r="N6079" s="21">
        <v>191.78999999999999</v>
      </c>
      <c r="O6079" s="22">
        <v>0</v>
      </c>
    </row>
    <row r="6080" ht="25.5">
      <c r="A6080" t="s">
        <v>6108</v>
      </c>
      <c r="B6080" s="19">
        <v>89566</v>
      </c>
      <c r="C6080" s="20" t="s">
        <v>6193</v>
      </c>
      <c r="D6080" s="19" t="s">
        <v>31</v>
      </c>
      <c r="E6080" s="21">
        <f t="shared" si="281"/>
        <v>50.270000000000003</v>
      </c>
      <c r="F6080" s="22">
        <v>0</v>
      </c>
      <c r="G6080" s="21">
        <f t="shared" si="282"/>
        <v>49.899999999999999</v>
      </c>
      <c r="H6080" s="22">
        <v>0</v>
      </c>
      <c r="I6080" s="23" t="str">
        <f t="shared" si="283"/>
        <v xml:space="preserve">COM VALOR</v>
      </c>
      <c r="J6080" s="19"/>
      <c r="L6080" s="21">
        <v>50.270000000000003</v>
      </c>
      <c r="M6080" s="22">
        <v>0</v>
      </c>
      <c r="N6080" s="21">
        <v>49.899999999999999</v>
      </c>
      <c r="O6080" s="22">
        <v>0</v>
      </c>
    </row>
    <row r="6081" ht="38.25">
      <c r="A6081" t="s">
        <v>6108</v>
      </c>
      <c r="B6081" s="19">
        <v>89687</v>
      </c>
      <c r="C6081" s="20" t="s">
        <v>6194</v>
      </c>
      <c r="D6081" s="19" t="s">
        <v>31</v>
      </c>
      <c r="E6081" s="21">
        <f t="shared" si="281"/>
        <v>55.659999999999997</v>
      </c>
      <c r="F6081" s="22">
        <v>0</v>
      </c>
      <c r="G6081" s="21">
        <f t="shared" si="282"/>
        <v>55</v>
      </c>
      <c r="H6081" s="22">
        <v>0</v>
      </c>
      <c r="I6081" s="23" t="str">
        <f t="shared" si="283"/>
        <v xml:space="preserve">COM VALOR</v>
      </c>
      <c r="J6081" s="19"/>
      <c r="L6081" s="21">
        <v>55.659999999999997</v>
      </c>
      <c r="M6081" s="22">
        <v>0</v>
      </c>
      <c r="N6081" s="21">
        <v>55</v>
      </c>
      <c r="O6081" s="22">
        <v>0</v>
      </c>
    </row>
    <row r="6082" ht="25.5">
      <c r="A6082" t="s">
        <v>6195</v>
      </c>
      <c r="B6082" s="19">
        <v>102450</v>
      </c>
      <c r="C6082" s="20" t="s">
        <v>6196</v>
      </c>
      <c r="D6082" s="19" t="s">
        <v>29</v>
      </c>
      <c r="E6082" s="21" t="str">
        <f t="shared" si="281"/>
        <v>VERIFICAR</v>
      </c>
      <c r="F6082" s="22">
        <v>0</v>
      </c>
      <c r="G6082" s="21" t="str">
        <f t="shared" si="282"/>
        <v>VERIFICAR</v>
      </c>
      <c r="H6082" s="22">
        <v>0</v>
      </c>
      <c r="I6082" s="23" t="str">
        <f t="shared" si="283"/>
        <v xml:space="preserve">COM VALOR</v>
      </c>
      <c r="J6082" s="19"/>
      <c r="L6082" s="21">
        <v>0</v>
      </c>
      <c r="M6082" s="22"/>
      <c r="N6082" s="21">
        <v>0</v>
      </c>
      <c r="O6082" s="22"/>
    </row>
    <row r="6083" ht="25.5">
      <c r="A6083" t="s">
        <v>6195</v>
      </c>
      <c r="B6083" s="19">
        <v>102250</v>
      </c>
      <c r="C6083" s="20" t="s">
        <v>6197</v>
      </c>
      <c r="D6083" s="19" t="s">
        <v>29</v>
      </c>
      <c r="E6083" s="21" t="str">
        <f t="shared" si="281"/>
        <v>VERIFICAR</v>
      </c>
      <c r="F6083" s="22">
        <v>0</v>
      </c>
      <c r="G6083" s="21" t="str">
        <f t="shared" si="282"/>
        <v>VERIFICAR</v>
      </c>
      <c r="H6083" s="22">
        <v>0</v>
      </c>
      <c r="I6083" s="23" t="str">
        <f t="shared" si="283"/>
        <v xml:space="preserve">COM VALOR</v>
      </c>
      <c r="J6083" s="19"/>
      <c r="L6083" s="21">
        <v>0</v>
      </c>
      <c r="M6083" s="22"/>
      <c r="N6083" s="21">
        <v>0</v>
      </c>
      <c r="O6083" s="22"/>
    </row>
    <row r="6084" ht="25.5">
      <c r="A6084" t="s">
        <v>6195</v>
      </c>
      <c r="B6084" s="19">
        <v>102240</v>
      </c>
      <c r="C6084" s="20" t="s">
        <v>6198</v>
      </c>
      <c r="D6084" s="19" t="s">
        <v>29</v>
      </c>
      <c r="E6084" s="21" t="str">
        <f t="shared" si="281"/>
        <v>VERIFICAR</v>
      </c>
      <c r="F6084" s="22">
        <v>0</v>
      </c>
      <c r="G6084" s="21" t="str">
        <f t="shared" si="282"/>
        <v>VERIFICAR</v>
      </c>
      <c r="H6084" s="22">
        <v>0</v>
      </c>
      <c r="I6084" s="23" t="str">
        <f t="shared" si="283"/>
        <v xml:space="preserve">COM VALOR</v>
      </c>
      <c r="J6084" s="19"/>
      <c r="L6084" s="21">
        <v>0</v>
      </c>
      <c r="M6084" s="22"/>
      <c r="N6084" s="21">
        <v>0</v>
      </c>
      <c r="O6084" s="22"/>
    </row>
    <row r="6085" ht="25.5">
      <c r="A6085" t="s">
        <v>6195</v>
      </c>
      <c r="B6085" s="19">
        <v>102449</v>
      </c>
      <c r="C6085" s="20" t="s">
        <v>6199</v>
      </c>
      <c r="D6085" s="19" t="s">
        <v>29</v>
      </c>
      <c r="E6085" s="21" t="str">
        <f t="shared" si="281"/>
        <v>VERIFICAR</v>
      </c>
      <c r="F6085" s="22">
        <v>0</v>
      </c>
      <c r="G6085" s="21" t="str">
        <f t="shared" si="282"/>
        <v>VERIFICAR</v>
      </c>
      <c r="H6085" s="22">
        <v>0</v>
      </c>
      <c r="I6085" s="23" t="str">
        <f t="shared" si="283"/>
        <v xml:space="preserve">COM VALOR</v>
      </c>
      <c r="J6085" s="19"/>
      <c r="L6085" s="21">
        <v>0</v>
      </c>
      <c r="M6085" s="22"/>
      <c r="N6085" s="21">
        <v>0</v>
      </c>
      <c r="O6085" s="22"/>
    </row>
    <row r="6086" ht="25.5">
      <c r="A6086" t="s">
        <v>6195</v>
      </c>
      <c r="B6086" s="19">
        <v>102249</v>
      </c>
      <c r="C6086" s="20" t="s">
        <v>6200</v>
      </c>
      <c r="D6086" s="19" t="s">
        <v>29</v>
      </c>
      <c r="E6086" s="21" t="str">
        <f t="shared" si="281"/>
        <v>VERIFICAR</v>
      </c>
      <c r="F6086" s="22">
        <v>0</v>
      </c>
      <c r="G6086" s="21" t="str">
        <f t="shared" si="282"/>
        <v>VERIFICAR</v>
      </c>
      <c r="H6086" s="22">
        <v>0</v>
      </c>
      <c r="I6086" s="23" t="str">
        <f t="shared" si="283"/>
        <v xml:space="preserve">COM VALOR</v>
      </c>
      <c r="J6086" s="19"/>
      <c r="L6086" s="21">
        <v>0</v>
      </c>
      <c r="M6086" s="22"/>
      <c r="N6086" s="21">
        <v>0</v>
      </c>
      <c r="O6086" s="22"/>
    </row>
    <row r="6087" ht="25.5">
      <c r="A6087" t="s">
        <v>6195</v>
      </c>
      <c r="B6087" s="19">
        <v>102238</v>
      </c>
      <c r="C6087" s="20" t="s">
        <v>6201</v>
      </c>
      <c r="D6087" s="19" t="s">
        <v>29</v>
      </c>
      <c r="E6087" s="21" t="str">
        <f t="shared" si="281"/>
        <v>VERIFICAR</v>
      </c>
      <c r="F6087" s="22">
        <v>0</v>
      </c>
      <c r="G6087" s="21" t="str">
        <f t="shared" si="282"/>
        <v>VERIFICAR</v>
      </c>
      <c r="H6087" s="22">
        <v>0</v>
      </c>
      <c r="I6087" s="23" t="str">
        <f t="shared" si="283"/>
        <v xml:space="preserve">COM VALOR</v>
      </c>
      <c r="J6087" s="19"/>
      <c r="L6087" s="21">
        <v>0</v>
      </c>
      <c r="M6087" s="22"/>
      <c r="N6087" s="21">
        <v>0</v>
      </c>
      <c r="O6087" s="22"/>
    </row>
    <row r="6088" ht="25.5">
      <c r="A6088" t="s">
        <v>6195</v>
      </c>
      <c r="B6088" s="19">
        <v>102448</v>
      </c>
      <c r="C6088" s="20" t="s">
        <v>6202</v>
      </c>
      <c r="D6088" s="19" t="s">
        <v>29</v>
      </c>
      <c r="E6088" s="21" t="str">
        <f t="shared" si="281"/>
        <v>VERIFICAR</v>
      </c>
      <c r="F6088" s="22">
        <v>0</v>
      </c>
      <c r="G6088" s="21" t="str">
        <f t="shared" si="282"/>
        <v>VERIFICAR</v>
      </c>
      <c r="H6088" s="22">
        <v>0</v>
      </c>
      <c r="I6088" s="23" t="str">
        <f t="shared" si="283"/>
        <v xml:space="preserve">COM VALOR</v>
      </c>
      <c r="J6088" s="19"/>
      <c r="L6088" s="21">
        <v>0</v>
      </c>
      <c r="M6088" s="22"/>
      <c r="N6088" s="21">
        <v>0</v>
      </c>
      <c r="O6088" s="22"/>
    </row>
    <row r="6089" ht="25.5">
      <c r="A6089" t="s">
        <v>6195</v>
      </c>
      <c r="B6089" s="19">
        <v>102248</v>
      </c>
      <c r="C6089" s="20" t="s">
        <v>6203</v>
      </c>
      <c r="D6089" s="19" t="s">
        <v>29</v>
      </c>
      <c r="E6089" s="21" t="str">
        <f t="shared" si="281"/>
        <v>VERIFICAR</v>
      </c>
      <c r="F6089" s="22">
        <v>0</v>
      </c>
      <c r="G6089" s="21" t="str">
        <f t="shared" si="282"/>
        <v>VERIFICAR</v>
      </c>
      <c r="H6089" s="22">
        <v>0</v>
      </c>
      <c r="I6089" s="23" t="str">
        <f t="shared" si="283"/>
        <v xml:space="preserve">COM VALOR</v>
      </c>
      <c r="J6089" s="19"/>
      <c r="L6089" s="21">
        <v>0</v>
      </c>
      <c r="M6089" s="22"/>
      <c r="N6089" s="21">
        <v>0</v>
      </c>
      <c r="O6089" s="22"/>
    </row>
    <row r="6090" ht="25.5">
      <c r="A6090" t="s">
        <v>6195</v>
      </c>
      <c r="B6090" s="19">
        <v>102253</v>
      </c>
      <c r="C6090" s="20" t="s">
        <v>6204</v>
      </c>
      <c r="D6090" s="19" t="s">
        <v>29</v>
      </c>
      <c r="E6090" s="21">
        <f t="shared" si="281"/>
        <v>946.71000000000004</v>
      </c>
      <c r="F6090" s="22">
        <v>0</v>
      </c>
      <c r="G6090" s="21">
        <f t="shared" si="282"/>
        <v>939.16999999999996</v>
      </c>
      <c r="H6090" s="22">
        <v>0</v>
      </c>
      <c r="I6090" s="23" t="str">
        <f t="shared" si="283"/>
        <v xml:space="preserve">COM VALOR</v>
      </c>
      <c r="J6090" s="19"/>
      <c r="L6090" s="21">
        <v>946.71000000000004</v>
      </c>
      <c r="M6090" s="22">
        <v>0</v>
      </c>
      <c r="N6090" s="21">
        <v>939.16999999999996</v>
      </c>
      <c r="O6090" s="22">
        <v>0</v>
      </c>
    </row>
    <row r="6091" ht="25.5">
      <c r="A6091" t="s">
        <v>6195</v>
      </c>
      <c r="B6091" s="19">
        <v>102254</v>
      </c>
      <c r="C6091" s="20" t="s">
        <v>6205</v>
      </c>
      <c r="D6091" s="19" t="s">
        <v>29</v>
      </c>
      <c r="E6091" s="21">
        <f t="shared" ref="E6091:E6154" si="284">IF(L6091=0,"VERIFICAR",L6091)</f>
        <v>1012.51</v>
      </c>
      <c r="F6091" s="22">
        <v>0</v>
      </c>
      <c r="G6091" s="21">
        <f t="shared" ref="G6091:G6154" si="285">IF(N6091=0,"VERIFICAR",N6091)</f>
        <v>1004.97</v>
      </c>
      <c r="H6091" s="22">
        <v>0</v>
      </c>
      <c r="I6091" s="23" t="str">
        <f t="shared" ref="I6091:I6154" si="286">IF(OR(E6091=0,G6091=0),"SEM VALOR","COM VALOR")</f>
        <v xml:space="preserve">COM VALOR</v>
      </c>
      <c r="J6091" s="19"/>
      <c r="L6091" s="21">
        <v>1012.51</v>
      </c>
      <c r="M6091" s="22">
        <v>0</v>
      </c>
      <c r="N6091" s="21">
        <v>1004.97</v>
      </c>
      <c r="O6091" s="22">
        <v>0</v>
      </c>
    </row>
    <row r="6092" ht="25.5">
      <c r="A6092" t="s">
        <v>6195</v>
      </c>
      <c r="B6092" s="19">
        <v>102257</v>
      </c>
      <c r="C6092" s="20" t="s">
        <v>6206</v>
      </c>
      <c r="D6092" s="19" t="s">
        <v>29</v>
      </c>
      <c r="E6092" s="21">
        <f t="shared" si="284"/>
        <v>382.16000000000003</v>
      </c>
      <c r="F6092" s="22">
        <v>0</v>
      </c>
      <c r="G6092" s="21">
        <f t="shared" si="285"/>
        <v>375.31999999999999</v>
      </c>
      <c r="H6092" s="22">
        <v>0</v>
      </c>
      <c r="I6092" s="23" t="str">
        <f t="shared" si="286"/>
        <v xml:space="preserve">COM VALOR</v>
      </c>
      <c r="J6092" s="19"/>
      <c r="L6092" s="21">
        <v>382.16000000000003</v>
      </c>
      <c r="M6092" s="22">
        <v>0.62</v>
      </c>
      <c r="N6092" s="21">
        <v>375.31999999999999</v>
      </c>
      <c r="O6092" s="22">
        <v>0.63</v>
      </c>
    </row>
    <row r="6093" ht="25.5">
      <c r="A6093" t="s">
        <v>6195</v>
      </c>
      <c r="B6093" s="19">
        <v>102239</v>
      </c>
      <c r="C6093" s="20" t="s">
        <v>6207</v>
      </c>
      <c r="D6093" s="19" t="s">
        <v>29</v>
      </c>
      <c r="E6093" s="21" t="str">
        <f t="shared" si="284"/>
        <v>VERIFICAR</v>
      </c>
      <c r="F6093" s="22">
        <v>0</v>
      </c>
      <c r="G6093" s="21" t="str">
        <f t="shared" si="285"/>
        <v>VERIFICAR</v>
      </c>
      <c r="H6093" s="22">
        <v>0</v>
      </c>
      <c r="I6093" s="23" t="str">
        <f t="shared" si="286"/>
        <v xml:space="preserve">COM VALOR</v>
      </c>
      <c r="J6093" s="19"/>
      <c r="L6093" s="21">
        <v>0</v>
      </c>
      <c r="M6093" s="22"/>
      <c r="N6093" s="21">
        <v>0</v>
      </c>
      <c r="O6093" s="22"/>
    </row>
    <row r="6094" ht="25.5">
      <c r="A6094" t="s">
        <v>6195</v>
      </c>
      <c r="B6094" s="19">
        <v>102236</v>
      </c>
      <c r="C6094" s="20" t="s">
        <v>6208</v>
      </c>
      <c r="D6094" s="19" t="s">
        <v>29</v>
      </c>
      <c r="E6094" s="21" t="str">
        <f t="shared" si="284"/>
        <v>VERIFICAR</v>
      </c>
      <c r="F6094" s="22">
        <v>0</v>
      </c>
      <c r="G6094" s="21" t="str">
        <f t="shared" si="285"/>
        <v>VERIFICAR</v>
      </c>
      <c r="H6094" s="22">
        <v>0</v>
      </c>
      <c r="I6094" s="23" t="str">
        <f t="shared" si="286"/>
        <v xml:space="preserve">COM VALOR</v>
      </c>
      <c r="J6094" s="19"/>
      <c r="L6094" s="21">
        <v>0</v>
      </c>
      <c r="M6094" s="22"/>
      <c r="N6094" s="21">
        <v>0</v>
      </c>
      <c r="O6094" s="22"/>
    </row>
    <row r="6095" ht="25.5">
      <c r="A6095" t="s">
        <v>6195</v>
      </c>
      <c r="B6095" s="19">
        <v>102235</v>
      </c>
      <c r="C6095" s="20" t="s">
        <v>6209</v>
      </c>
      <c r="D6095" s="19" t="s">
        <v>29</v>
      </c>
      <c r="E6095" s="21">
        <f t="shared" si="284"/>
        <v>497.52999999999997</v>
      </c>
      <c r="F6095" s="22">
        <v>0</v>
      </c>
      <c r="G6095" s="21">
        <f t="shared" si="285"/>
        <v>494.81999999999999</v>
      </c>
      <c r="H6095" s="22">
        <v>0</v>
      </c>
      <c r="I6095" s="23" t="str">
        <f t="shared" si="286"/>
        <v xml:space="preserve">COM VALOR</v>
      </c>
      <c r="J6095" s="19"/>
      <c r="L6095" s="21">
        <v>497.52999999999997</v>
      </c>
      <c r="M6095" s="22">
        <v>0</v>
      </c>
      <c r="N6095" s="21">
        <v>494.81999999999999</v>
      </c>
      <c r="O6095" s="22">
        <v>0</v>
      </c>
    </row>
    <row r="6096" ht="38.25">
      <c r="A6096" t="s">
        <v>6195</v>
      </c>
      <c r="B6096" s="19">
        <v>106164</v>
      </c>
      <c r="C6096" s="20" t="s">
        <v>6210</v>
      </c>
      <c r="D6096" s="19" t="s">
        <v>29</v>
      </c>
      <c r="E6096" s="21" t="str">
        <f t="shared" si="284"/>
        <v>VERIFICAR</v>
      </c>
      <c r="F6096" s="22">
        <v>0</v>
      </c>
      <c r="G6096" s="21" t="str">
        <f t="shared" si="285"/>
        <v>VERIFICAR</v>
      </c>
      <c r="H6096" s="22">
        <v>0</v>
      </c>
      <c r="I6096" s="23" t="str">
        <f t="shared" si="286"/>
        <v xml:space="preserve">COM VALOR</v>
      </c>
      <c r="J6096" s="19"/>
      <c r="L6096" s="21">
        <v>0</v>
      </c>
      <c r="M6096" s="22"/>
      <c r="N6096" s="21">
        <v>0</v>
      </c>
      <c r="O6096" s="22"/>
    </row>
    <row r="6097" ht="25.5">
      <c r="A6097" t="s">
        <v>6195</v>
      </c>
      <c r="B6097" s="19">
        <v>102260</v>
      </c>
      <c r="C6097" s="20" t="s">
        <v>6211</v>
      </c>
      <c r="D6097" s="19" t="s">
        <v>29</v>
      </c>
      <c r="E6097" s="21" t="str">
        <f t="shared" si="284"/>
        <v>VERIFICAR</v>
      </c>
      <c r="F6097" s="22">
        <v>0</v>
      </c>
      <c r="G6097" s="21" t="str">
        <f t="shared" si="285"/>
        <v>VERIFICAR</v>
      </c>
      <c r="H6097" s="22">
        <v>0</v>
      </c>
      <c r="I6097" s="23" t="str">
        <f t="shared" si="286"/>
        <v xml:space="preserve">COM VALOR</v>
      </c>
      <c r="J6097" s="19"/>
      <c r="L6097" s="21">
        <v>0</v>
      </c>
      <c r="M6097" s="22"/>
      <c r="N6097" s="21">
        <v>0</v>
      </c>
      <c r="O6097" s="22"/>
    </row>
    <row r="6098" ht="25.5">
      <c r="A6098" t="s">
        <v>6195</v>
      </c>
      <c r="B6098" s="19">
        <v>102259</v>
      </c>
      <c r="C6098" s="20" t="s">
        <v>6212</v>
      </c>
      <c r="D6098" s="19" t="s">
        <v>29</v>
      </c>
      <c r="E6098" s="21" t="str">
        <f t="shared" si="284"/>
        <v>VERIFICAR</v>
      </c>
      <c r="F6098" s="22">
        <v>0</v>
      </c>
      <c r="G6098" s="21" t="str">
        <f t="shared" si="285"/>
        <v>VERIFICAR</v>
      </c>
      <c r="H6098" s="22">
        <v>0</v>
      </c>
      <c r="I6098" s="23" t="str">
        <f t="shared" si="286"/>
        <v xml:space="preserve">COM VALOR</v>
      </c>
      <c r="J6098" s="19"/>
      <c r="L6098" s="21">
        <v>0</v>
      </c>
      <c r="M6098" s="22"/>
      <c r="N6098" s="21">
        <v>0</v>
      </c>
      <c r="O6098" s="22"/>
    </row>
    <row r="6099" ht="25.5">
      <c r="A6099" t="s">
        <v>6195</v>
      </c>
      <c r="B6099" s="19">
        <v>102262</v>
      </c>
      <c r="C6099" s="20" t="s">
        <v>6213</v>
      </c>
      <c r="D6099" s="19" t="s">
        <v>31</v>
      </c>
      <c r="E6099" s="21" t="str">
        <f t="shared" si="284"/>
        <v>VERIFICAR</v>
      </c>
      <c r="F6099" s="22">
        <v>0</v>
      </c>
      <c r="G6099" s="21" t="str">
        <f t="shared" si="285"/>
        <v>VERIFICAR</v>
      </c>
      <c r="H6099" s="22">
        <v>0</v>
      </c>
      <c r="I6099" s="23" t="str">
        <f t="shared" si="286"/>
        <v xml:space="preserve">COM VALOR</v>
      </c>
      <c r="J6099" s="19"/>
      <c r="L6099" s="21">
        <v>0</v>
      </c>
      <c r="M6099" s="22"/>
      <c r="N6099" s="21">
        <v>0</v>
      </c>
      <c r="O6099" s="22"/>
    </row>
    <row r="6100" ht="38.25">
      <c r="A6100" t="s">
        <v>6195</v>
      </c>
      <c r="B6100" s="19">
        <v>102242</v>
      </c>
      <c r="C6100" s="20" t="s">
        <v>6214</v>
      </c>
      <c r="D6100" s="19" t="s">
        <v>29</v>
      </c>
      <c r="E6100" s="21" t="str">
        <f t="shared" si="284"/>
        <v>VERIFICAR</v>
      </c>
      <c r="F6100" s="22">
        <v>0</v>
      </c>
      <c r="G6100" s="21" t="str">
        <f t="shared" si="285"/>
        <v>VERIFICAR</v>
      </c>
      <c r="H6100" s="22">
        <v>0</v>
      </c>
      <c r="I6100" s="23" t="str">
        <f t="shared" si="286"/>
        <v xml:space="preserve">COM VALOR</v>
      </c>
      <c r="J6100" s="19"/>
      <c r="L6100" s="21">
        <v>0</v>
      </c>
      <c r="M6100" s="22"/>
      <c r="N6100" s="21">
        <v>0</v>
      </c>
      <c r="O6100" s="22"/>
    </row>
    <row r="6101" ht="12.75">
      <c r="A6101" t="s">
        <v>6195</v>
      </c>
      <c r="B6101" s="19">
        <v>106165</v>
      </c>
      <c r="C6101" s="20" t="s">
        <v>6215</v>
      </c>
      <c r="D6101" s="19" t="s">
        <v>31</v>
      </c>
      <c r="E6101" s="21" t="str">
        <f t="shared" si="284"/>
        <v>VERIFICAR</v>
      </c>
      <c r="F6101" s="22">
        <v>0</v>
      </c>
      <c r="G6101" s="21" t="str">
        <f t="shared" si="285"/>
        <v>VERIFICAR</v>
      </c>
      <c r="H6101" s="22">
        <v>0</v>
      </c>
      <c r="I6101" s="23" t="str">
        <f t="shared" si="286"/>
        <v xml:space="preserve">COM VALOR</v>
      </c>
      <c r="J6101" s="19"/>
      <c r="L6101" s="21">
        <v>0</v>
      </c>
      <c r="M6101" s="22"/>
      <c r="N6101" s="21">
        <v>0</v>
      </c>
      <c r="O6101" s="22"/>
    </row>
    <row r="6102" ht="38.25">
      <c r="A6102" t="s">
        <v>6195</v>
      </c>
      <c r="B6102" s="19">
        <v>102246</v>
      </c>
      <c r="C6102" s="20" t="s">
        <v>6216</v>
      </c>
      <c r="D6102" s="19" t="s">
        <v>29</v>
      </c>
      <c r="E6102" s="21" t="str">
        <f t="shared" si="284"/>
        <v>VERIFICAR</v>
      </c>
      <c r="F6102" s="22">
        <v>0</v>
      </c>
      <c r="G6102" s="21" t="str">
        <f t="shared" si="285"/>
        <v>VERIFICAR</v>
      </c>
      <c r="H6102" s="22">
        <v>0</v>
      </c>
      <c r="I6102" s="23" t="str">
        <f t="shared" si="286"/>
        <v xml:space="preserve">COM VALOR</v>
      </c>
      <c r="J6102" s="19"/>
      <c r="L6102" s="21">
        <v>0</v>
      </c>
      <c r="M6102" s="22"/>
      <c r="N6102" s="21">
        <v>0</v>
      </c>
      <c r="O6102" s="22"/>
    </row>
    <row r="6103" ht="38.25">
      <c r="A6103" t="s">
        <v>6195</v>
      </c>
      <c r="B6103" s="19">
        <v>102252</v>
      </c>
      <c r="C6103" s="20" t="s">
        <v>6217</v>
      </c>
      <c r="D6103" s="19" t="s">
        <v>29</v>
      </c>
      <c r="E6103" s="21" t="str">
        <f t="shared" si="284"/>
        <v>VERIFICAR</v>
      </c>
      <c r="F6103" s="22">
        <v>0</v>
      </c>
      <c r="G6103" s="21" t="str">
        <f t="shared" si="285"/>
        <v>VERIFICAR</v>
      </c>
      <c r="H6103" s="22">
        <v>0</v>
      </c>
      <c r="I6103" s="23" t="str">
        <f t="shared" si="286"/>
        <v xml:space="preserve">COM VALOR</v>
      </c>
      <c r="J6103" s="19"/>
      <c r="L6103" s="21">
        <v>0</v>
      </c>
      <c r="M6103" s="22"/>
      <c r="N6103" s="21">
        <v>0</v>
      </c>
      <c r="O6103" s="22"/>
    </row>
    <row r="6104" ht="51">
      <c r="A6104" t="s">
        <v>6218</v>
      </c>
      <c r="B6104" s="19">
        <v>101912</v>
      </c>
      <c r="C6104" s="20" t="s">
        <v>6219</v>
      </c>
      <c r="D6104" s="19" t="s">
        <v>31</v>
      </c>
      <c r="E6104" s="21">
        <f t="shared" si="284"/>
        <v>1531.4200000000001</v>
      </c>
      <c r="F6104" s="22">
        <v>0</v>
      </c>
      <c r="G6104" s="21">
        <f t="shared" si="285"/>
        <v>1524.77</v>
      </c>
      <c r="H6104" s="22">
        <v>0</v>
      </c>
      <c r="I6104" s="23" t="str">
        <f t="shared" si="286"/>
        <v xml:space="preserve">COM VALOR</v>
      </c>
      <c r="J6104" s="19"/>
      <c r="L6104" s="21">
        <v>1531.4200000000001</v>
      </c>
      <c r="M6104" s="22">
        <v>0</v>
      </c>
      <c r="N6104" s="21">
        <v>1524.77</v>
      </c>
      <c r="O6104" s="22">
        <v>0</v>
      </c>
    </row>
    <row r="6105" ht="51">
      <c r="A6105" t="s">
        <v>6218</v>
      </c>
      <c r="B6105" s="19">
        <v>96765</v>
      </c>
      <c r="C6105" s="20" t="s">
        <v>6220</v>
      </c>
      <c r="D6105" s="19" t="s">
        <v>31</v>
      </c>
      <c r="E6105" s="21">
        <f t="shared" si="284"/>
        <v>1685.23</v>
      </c>
      <c r="F6105" s="22">
        <v>0</v>
      </c>
      <c r="G6105" s="21">
        <f t="shared" si="285"/>
        <v>1677.6600000000001</v>
      </c>
      <c r="H6105" s="22">
        <v>0</v>
      </c>
      <c r="I6105" s="23" t="str">
        <f t="shared" si="286"/>
        <v xml:space="preserve">COM VALOR</v>
      </c>
      <c r="J6105" s="19"/>
      <c r="L6105" s="21">
        <v>1685.23</v>
      </c>
      <c r="M6105" s="22">
        <v>0</v>
      </c>
      <c r="N6105" s="21">
        <v>1677.6600000000001</v>
      </c>
      <c r="O6105" s="22">
        <v>0</v>
      </c>
    </row>
    <row r="6106" ht="25.5">
      <c r="A6106" t="s">
        <v>6218</v>
      </c>
      <c r="B6106" s="19">
        <v>97430</v>
      </c>
      <c r="C6106" s="20" t="s">
        <v>6221</v>
      </c>
      <c r="D6106" s="19" t="s">
        <v>31</v>
      </c>
      <c r="E6106" s="21">
        <f t="shared" si="284"/>
        <v>42.68</v>
      </c>
      <c r="F6106" s="22">
        <v>0</v>
      </c>
      <c r="G6106" s="21">
        <f t="shared" si="285"/>
        <v>41.560000000000002</v>
      </c>
      <c r="H6106" s="22">
        <v>0</v>
      </c>
      <c r="I6106" s="23" t="str">
        <f t="shared" si="286"/>
        <v xml:space="preserve">COM VALOR</v>
      </c>
      <c r="J6106" s="19"/>
      <c r="L6106" s="21">
        <v>42.68</v>
      </c>
      <c r="M6106" s="22">
        <v>0.54000000000000004</v>
      </c>
      <c r="N6106" s="21">
        <v>41.560000000000002</v>
      </c>
      <c r="O6106" s="22">
        <v>0.55000000000000004</v>
      </c>
    </row>
    <row r="6107" ht="25.5">
      <c r="A6107" t="s">
        <v>6218</v>
      </c>
      <c r="B6107" s="19">
        <v>97431</v>
      </c>
      <c r="C6107" s="20" t="s">
        <v>6222</v>
      </c>
      <c r="D6107" s="19" t="s">
        <v>31</v>
      </c>
      <c r="E6107" s="21">
        <f t="shared" si="284"/>
        <v>45.329999999999998</v>
      </c>
      <c r="F6107" s="22">
        <v>0</v>
      </c>
      <c r="G6107" s="21">
        <f t="shared" si="285"/>
        <v>44.18</v>
      </c>
      <c r="H6107" s="22">
        <v>0</v>
      </c>
      <c r="I6107" s="23" t="str">
        <f t="shared" si="286"/>
        <v xml:space="preserve">COM VALOR</v>
      </c>
      <c r="J6107" s="19"/>
      <c r="L6107" s="21">
        <v>45.329999999999998</v>
      </c>
      <c r="M6107" s="22">
        <v>0.55000000000000004</v>
      </c>
      <c r="N6107" s="21">
        <v>44.18</v>
      </c>
      <c r="O6107" s="22">
        <v>0.56999999999999995</v>
      </c>
    </row>
    <row r="6108" ht="25.5">
      <c r="A6108" t="s">
        <v>6218</v>
      </c>
      <c r="B6108" s="19">
        <v>97432</v>
      </c>
      <c r="C6108" s="20" t="s">
        <v>6223</v>
      </c>
      <c r="D6108" s="19" t="s">
        <v>31</v>
      </c>
      <c r="E6108" s="21">
        <f t="shared" si="284"/>
        <v>49.07</v>
      </c>
      <c r="F6108" s="22">
        <v>0</v>
      </c>
      <c r="G6108" s="21">
        <f t="shared" si="285"/>
        <v>47.880000000000003</v>
      </c>
      <c r="H6108" s="22">
        <v>0</v>
      </c>
      <c r="I6108" s="23" t="str">
        <f t="shared" si="286"/>
        <v xml:space="preserve">COM VALOR</v>
      </c>
      <c r="J6108" s="19"/>
      <c r="L6108" s="21">
        <v>49.07</v>
      </c>
      <c r="M6108" s="22">
        <v>0.56999999999999995</v>
      </c>
      <c r="N6108" s="21">
        <v>47.880000000000003</v>
      </c>
      <c r="O6108" s="22">
        <v>0.58999999999999997</v>
      </c>
    </row>
    <row r="6109" ht="25.5">
      <c r="A6109" t="s">
        <v>6218</v>
      </c>
      <c r="B6109" s="19">
        <v>101913</v>
      </c>
      <c r="C6109" s="20" t="s">
        <v>6224</v>
      </c>
      <c r="D6109" s="19" t="s">
        <v>31</v>
      </c>
      <c r="E6109" s="21">
        <f t="shared" si="284"/>
        <v>472.73000000000002</v>
      </c>
      <c r="F6109" s="22">
        <v>0.64000000000000001</v>
      </c>
      <c r="G6109" s="21">
        <f t="shared" si="285"/>
        <v>468.66000000000003</v>
      </c>
      <c r="H6109" s="22">
        <v>0.65000000000000002</v>
      </c>
      <c r="I6109" s="23" t="str">
        <f t="shared" si="286"/>
        <v xml:space="preserve">COM VALOR</v>
      </c>
      <c r="J6109" s="19"/>
      <c r="L6109" s="21">
        <v>472.73000000000002</v>
      </c>
      <c r="M6109" s="22">
        <v>0</v>
      </c>
      <c r="N6109" s="21">
        <v>468.66000000000003</v>
      </c>
      <c r="O6109" s="22">
        <v>0</v>
      </c>
    </row>
    <row r="6110" ht="25.5">
      <c r="A6110" t="s">
        <v>6218</v>
      </c>
      <c r="B6110" s="19">
        <v>101914</v>
      </c>
      <c r="C6110" s="20" t="s">
        <v>6225</v>
      </c>
      <c r="D6110" s="19" t="s">
        <v>31</v>
      </c>
      <c r="E6110" s="21">
        <f t="shared" si="284"/>
        <v>579.15999999999997</v>
      </c>
      <c r="F6110" s="22">
        <v>0.54000000000000004</v>
      </c>
      <c r="G6110" s="21">
        <f t="shared" si="285"/>
        <v>575.09000000000003</v>
      </c>
      <c r="H6110" s="22">
        <v>0.55000000000000004</v>
      </c>
      <c r="I6110" s="23" t="str">
        <f t="shared" si="286"/>
        <v xml:space="preserve">COM VALOR</v>
      </c>
      <c r="J6110" s="19"/>
      <c r="L6110" s="21">
        <v>579.15999999999997</v>
      </c>
      <c r="M6110" s="22">
        <v>0</v>
      </c>
      <c r="N6110" s="21">
        <v>575.09000000000003</v>
      </c>
      <c r="O6110" s="22">
        <v>0</v>
      </c>
    </row>
    <row r="6111" ht="38.25">
      <c r="A6111" t="s">
        <v>6218</v>
      </c>
      <c r="B6111" s="19">
        <v>101915</v>
      </c>
      <c r="C6111" s="20" t="s">
        <v>6226</v>
      </c>
      <c r="D6111" s="19" t="s">
        <v>31</v>
      </c>
      <c r="E6111" s="21">
        <f t="shared" si="284"/>
        <v>486.73000000000002</v>
      </c>
      <c r="F6111" s="22">
        <v>0.44</v>
      </c>
      <c r="G6111" s="21">
        <f t="shared" si="285"/>
        <v>486.35000000000002</v>
      </c>
      <c r="H6111" s="22">
        <v>0.46000000000000002</v>
      </c>
      <c r="I6111" s="23" t="str">
        <f t="shared" si="286"/>
        <v xml:space="preserve">COM VALOR</v>
      </c>
      <c r="J6111" s="19"/>
      <c r="L6111" s="21">
        <v>486.73000000000002</v>
      </c>
      <c r="M6111" s="22">
        <v>0</v>
      </c>
      <c r="N6111" s="21">
        <v>486.35000000000002</v>
      </c>
      <c r="O6111" s="22">
        <v>0</v>
      </c>
    </row>
    <row r="6112" ht="25.5">
      <c r="A6112" t="s">
        <v>6218</v>
      </c>
      <c r="B6112" s="19">
        <v>97433</v>
      </c>
      <c r="C6112" s="20" t="s">
        <v>6227</v>
      </c>
      <c r="D6112" s="19" t="s">
        <v>31</v>
      </c>
      <c r="E6112" s="21">
        <f t="shared" si="284"/>
        <v>95.730000000000004</v>
      </c>
      <c r="F6112" s="22">
        <v>0.66000000000000003</v>
      </c>
      <c r="G6112" s="21">
        <f t="shared" si="285"/>
        <v>94.060000000000002</v>
      </c>
      <c r="H6112" s="22">
        <v>0.68000000000000005</v>
      </c>
      <c r="I6112" s="23" t="str">
        <f t="shared" si="286"/>
        <v xml:space="preserve">COM VALOR</v>
      </c>
      <c r="J6112" s="19"/>
      <c r="L6112" s="21">
        <v>95.730000000000004</v>
      </c>
      <c r="M6112" s="22">
        <v>0.68999999999999995</v>
      </c>
      <c r="N6112" s="21">
        <v>94.060000000000002</v>
      </c>
      <c r="O6112" s="22">
        <v>0.69999999999999996</v>
      </c>
    </row>
    <row r="6113" ht="25.5">
      <c r="A6113" t="s">
        <v>6218</v>
      </c>
      <c r="B6113" s="19">
        <v>97435</v>
      </c>
      <c r="C6113" s="20" t="s">
        <v>6228</v>
      </c>
      <c r="D6113" s="19" t="s">
        <v>31</v>
      </c>
      <c r="E6113" s="21">
        <f t="shared" si="284"/>
        <v>108.41</v>
      </c>
      <c r="F6113" s="22">
        <v>0.70999999999999996</v>
      </c>
      <c r="G6113" s="21">
        <f t="shared" si="285"/>
        <v>106.68000000000001</v>
      </c>
      <c r="H6113" s="22">
        <v>0.72999999999999998</v>
      </c>
      <c r="I6113" s="23" t="str">
        <f t="shared" si="286"/>
        <v xml:space="preserve">COM VALOR</v>
      </c>
      <c r="J6113" s="19"/>
      <c r="L6113" s="21">
        <v>108.41</v>
      </c>
      <c r="M6113" s="22">
        <v>0.71999999999999997</v>
      </c>
      <c r="N6113" s="21">
        <v>106.68000000000001</v>
      </c>
      <c r="O6113" s="22">
        <v>0.72999999999999998</v>
      </c>
    </row>
    <row r="6114" ht="25.5">
      <c r="A6114" t="s">
        <v>6218</v>
      </c>
      <c r="B6114" s="19">
        <v>97437</v>
      </c>
      <c r="C6114" s="20" t="s">
        <v>6229</v>
      </c>
      <c r="D6114" s="19" t="s">
        <v>31</v>
      </c>
      <c r="E6114" s="21">
        <f t="shared" si="284"/>
        <v>120.94</v>
      </c>
      <c r="F6114" s="22">
        <v>0.69999999999999996</v>
      </c>
      <c r="G6114" s="21">
        <f t="shared" si="285"/>
        <v>119.16</v>
      </c>
      <c r="H6114" s="22">
        <v>0.71999999999999997</v>
      </c>
      <c r="I6114" s="23" t="str">
        <f t="shared" si="286"/>
        <v xml:space="preserve">COM VALOR</v>
      </c>
      <c r="J6114" s="19"/>
      <c r="L6114" s="21">
        <v>120.94</v>
      </c>
      <c r="M6114" s="22">
        <v>0.73999999999999999</v>
      </c>
      <c r="N6114" s="21">
        <v>119.16</v>
      </c>
      <c r="O6114" s="22">
        <v>0.75</v>
      </c>
    </row>
    <row r="6115" ht="38.25">
      <c r="A6115" t="s">
        <v>6218</v>
      </c>
      <c r="B6115" s="19">
        <v>97546</v>
      </c>
      <c r="C6115" s="20" t="s">
        <v>6230</v>
      </c>
      <c r="D6115" s="19" t="s">
        <v>31</v>
      </c>
      <c r="E6115" s="21">
        <f t="shared" si="284"/>
        <v>33.960000000000001</v>
      </c>
      <c r="F6115" s="22">
        <v>0.77000000000000002</v>
      </c>
      <c r="G6115" s="21">
        <f t="shared" si="285"/>
        <v>33.229999999999997</v>
      </c>
      <c r="H6115" s="22">
        <v>0.78000000000000003</v>
      </c>
      <c r="I6115" s="23" t="str">
        <f t="shared" si="286"/>
        <v xml:space="preserve">COM VALOR</v>
      </c>
      <c r="J6115" s="19"/>
      <c r="L6115" s="21">
        <v>33.960000000000001</v>
      </c>
      <c r="M6115" s="22">
        <v>0.60999999999999999</v>
      </c>
      <c r="N6115" s="21">
        <v>33.229999999999997</v>
      </c>
      <c r="O6115" s="22">
        <v>0.62</v>
      </c>
    </row>
    <row r="6116" ht="38.25">
      <c r="A6116" t="s">
        <v>6218</v>
      </c>
      <c r="B6116" s="19">
        <v>97548</v>
      </c>
      <c r="C6116" s="20" t="s">
        <v>6231</v>
      </c>
      <c r="D6116" s="19" t="s">
        <v>31</v>
      </c>
      <c r="E6116" s="21">
        <f t="shared" si="284"/>
        <v>50.240000000000002</v>
      </c>
      <c r="F6116" s="22">
        <v>0.70999999999999996</v>
      </c>
      <c r="G6116" s="21">
        <f t="shared" si="285"/>
        <v>49</v>
      </c>
      <c r="H6116" s="22">
        <v>0.71999999999999997</v>
      </c>
      <c r="I6116" s="23" t="str">
        <f t="shared" si="286"/>
        <v xml:space="preserve">COM VALOR</v>
      </c>
      <c r="J6116" s="19"/>
      <c r="L6116" s="21">
        <v>50.240000000000002</v>
      </c>
      <c r="M6116" s="22">
        <v>0.55000000000000004</v>
      </c>
      <c r="N6116" s="21">
        <v>49</v>
      </c>
      <c r="O6116" s="22">
        <v>0.56000000000000005</v>
      </c>
    </row>
    <row r="6117" ht="38.25">
      <c r="A6117" t="s">
        <v>6218</v>
      </c>
      <c r="B6117" s="19">
        <v>97550</v>
      </c>
      <c r="C6117" s="20" t="s">
        <v>6232</v>
      </c>
      <c r="D6117" s="19" t="s">
        <v>31</v>
      </c>
      <c r="E6117" s="21">
        <f t="shared" si="284"/>
        <v>83.049999999999997</v>
      </c>
      <c r="F6117" s="22">
        <v>0.79000000000000004</v>
      </c>
      <c r="G6117" s="21">
        <f t="shared" si="285"/>
        <v>80.629999999999995</v>
      </c>
      <c r="H6117" s="22">
        <v>0.80000000000000004</v>
      </c>
      <c r="I6117" s="23" t="str">
        <f t="shared" si="286"/>
        <v xml:space="preserve">COM VALOR</v>
      </c>
      <c r="J6117" s="19"/>
      <c r="L6117" s="21">
        <v>83.049999999999997</v>
      </c>
      <c r="M6117" s="22">
        <v>0.46999999999999997</v>
      </c>
      <c r="N6117" s="21">
        <v>80.629999999999995</v>
      </c>
      <c r="O6117" s="22">
        <v>0.47999999999999998</v>
      </c>
    </row>
    <row r="6118" ht="38.25">
      <c r="A6118" t="s">
        <v>6218</v>
      </c>
      <c r="B6118" s="19">
        <v>97479</v>
      </c>
      <c r="C6118" s="20" t="s">
        <v>6233</v>
      </c>
      <c r="D6118" s="19" t="s">
        <v>31</v>
      </c>
      <c r="E6118" s="21">
        <f t="shared" si="284"/>
        <v>56.159999999999997</v>
      </c>
      <c r="F6118" s="22">
        <v>0.64000000000000001</v>
      </c>
      <c r="G6118" s="21">
        <f t="shared" si="285"/>
        <v>55.25</v>
      </c>
      <c r="H6118" s="22">
        <v>0.66000000000000003</v>
      </c>
      <c r="I6118" s="23" t="str">
        <f t="shared" si="286"/>
        <v xml:space="preserve">COM VALOR</v>
      </c>
      <c r="J6118" s="19"/>
      <c r="L6118" s="21">
        <v>56.159999999999997</v>
      </c>
      <c r="M6118" s="22">
        <v>0.69999999999999996</v>
      </c>
      <c r="N6118" s="21">
        <v>55.25</v>
      </c>
      <c r="O6118" s="22">
        <v>0.70999999999999996</v>
      </c>
    </row>
    <row r="6119" ht="38.25">
      <c r="A6119" t="s">
        <v>6218</v>
      </c>
      <c r="B6119" s="19">
        <v>97517</v>
      </c>
      <c r="C6119" s="20" t="s">
        <v>6234</v>
      </c>
      <c r="D6119" s="19" t="s">
        <v>31</v>
      </c>
      <c r="E6119" s="21">
        <f t="shared" si="284"/>
        <v>52.850000000000001</v>
      </c>
      <c r="F6119" s="22">
        <v>0.75</v>
      </c>
      <c r="G6119" s="21">
        <f t="shared" si="285"/>
        <v>52.119999999999997</v>
      </c>
      <c r="H6119" s="22">
        <v>0.76000000000000001</v>
      </c>
      <c r="I6119" s="23" t="str">
        <f t="shared" si="286"/>
        <v xml:space="preserve">COM VALOR</v>
      </c>
      <c r="J6119" s="19"/>
      <c r="L6119" s="21">
        <v>52.850000000000001</v>
      </c>
      <c r="M6119" s="22">
        <v>0.73999999999999999</v>
      </c>
      <c r="N6119" s="21">
        <v>52.119999999999997</v>
      </c>
      <c r="O6119" s="22">
        <v>0.75</v>
      </c>
    </row>
    <row r="6120" ht="38.25">
      <c r="A6120" t="s">
        <v>6218</v>
      </c>
      <c r="B6120" s="19">
        <v>97481</v>
      </c>
      <c r="C6120" s="20" t="s">
        <v>6235</v>
      </c>
      <c r="D6120" s="19" t="s">
        <v>31</v>
      </c>
      <c r="E6120" s="21">
        <f t="shared" si="284"/>
        <v>81.400000000000006</v>
      </c>
      <c r="F6120" s="22">
        <v>0.82999999999999996</v>
      </c>
      <c r="G6120" s="21">
        <f t="shared" si="285"/>
        <v>80.239999999999995</v>
      </c>
      <c r="H6120" s="22">
        <v>0.83999999999999997</v>
      </c>
      <c r="I6120" s="23" t="str">
        <f t="shared" si="286"/>
        <v xml:space="preserve">COM VALOR</v>
      </c>
      <c r="J6120" s="19"/>
      <c r="L6120" s="21">
        <v>81.400000000000006</v>
      </c>
      <c r="M6120" s="22">
        <v>0.72999999999999998</v>
      </c>
      <c r="N6120" s="21">
        <v>80.239999999999995</v>
      </c>
      <c r="O6120" s="22">
        <v>0.73999999999999999</v>
      </c>
    </row>
    <row r="6121" ht="38.25">
      <c r="A6121" t="s">
        <v>6218</v>
      </c>
      <c r="B6121" s="19">
        <v>97519</v>
      </c>
      <c r="C6121" s="20" t="s">
        <v>6236</v>
      </c>
      <c r="D6121" s="19" t="s">
        <v>31</v>
      </c>
      <c r="E6121" s="21">
        <f t="shared" si="284"/>
        <v>75.569999999999993</v>
      </c>
      <c r="F6121" s="22">
        <v>0.81000000000000005</v>
      </c>
      <c r="G6121" s="21">
        <f t="shared" si="285"/>
        <v>74.730000000000004</v>
      </c>
      <c r="H6121" s="22">
        <v>0.81999999999999995</v>
      </c>
      <c r="I6121" s="23" t="str">
        <f t="shared" si="286"/>
        <v xml:space="preserve">COM VALOR</v>
      </c>
      <c r="J6121" s="19"/>
      <c r="L6121" s="21">
        <v>75.569999999999993</v>
      </c>
      <c r="M6121" s="22">
        <v>0.79000000000000004</v>
      </c>
      <c r="N6121" s="21">
        <v>74.730000000000004</v>
      </c>
      <c r="O6121" s="22">
        <v>0.80000000000000004</v>
      </c>
    </row>
    <row r="6122" ht="38.25">
      <c r="A6122" t="s">
        <v>6218</v>
      </c>
      <c r="B6122" s="19">
        <v>97483</v>
      </c>
      <c r="C6122" s="20" t="s">
        <v>6237</v>
      </c>
      <c r="D6122" s="19" t="s">
        <v>31</v>
      </c>
      <c r="E6122" s="21">
        <f t="shared" si="284"/>
        <v>114.09</v>
      </c>
      <c r="F6122" s="22">
        <v>0.81999999999999995</v>
      </c>
      <c r="G6122" s="21">
        <f t="shared" si="285"/>
        <v>112.65000000000001</v>
      </c>
      <c r="H6122" s="22">
        <v>0.82999999999999996</v>
      </c>
      <c r="I6122" s="23" t="str">
        <f t="shared" si="286"/>
        <v xml:space="preserve">COM VALOR</v>
      </c>
      <c r="J6122" s="19"/>
      <c r="L6122" s="21">
        <v>114.09</v>
      </c>
      <c r="M6122" s="22">
        <v>0.77000000000000002</v>
      </c>
      <c r="N6122" s="21">
        <v>112.65000000000001</v>
      </c>
      <c r="O6122" s="22">
        <v>0.77000000000000002</v>
      </c>
    </row>
    <row r="6123" ht="38.25">
      <c r="A6123" t="s">
        <v>6218</v>
      </c>
      <c r="B6123" s="19">
        <v>97521</v>
      </c>
      <c r="C6123" s="20" t="s">
        <v>6238</v>
      </c>
      <c r="D6123" s="19" t="s">
        <v>31</v>
      </c>
      <c r="E6123" s="21">
        <f t="shared" si="284"/>
        <v>105.37</v>
      </c>
      <c r="F6123" s="22">
        <v>0.89000000000000001</v>
      </c>
      <c r="G6123" s="21">
        <f t="shared" si="285"/>
        <v>104.41</v>
      </c>
      <c r="H6123" s="22">
        <v>0.90000000000000002</v>
      </c>
      <c r="I6123" s="23" t="str">
        <f t="shared" si="286"/>
        <v xml:space="preserve">COM VALOR</v>
      </c>
      <c r="J6123" s="19"/>
      <c r="L6123" s="21">
        <v>105.37</v>
      </c>
      <c r="M6123" s="22">
        <v>0.82999999999999996</v>
      </c>
      <c r="N6123" s="21">
        <v>104.41</v>
      </c>
      <c r="O6123" s="22">
        <v>0.83999999999999997</v>
      </c>
    </row>
    <row r="6124" ht="25.5">
      <c r="A6124" t="s">
        <v>6218</v>
      </c>
      <c r="B6124" s="19">
        <v>97452</v>
      </c>
      <c r="C6124" s="20" t="s">
        <v>6239</v>
      </c>
      <c r="D6124" s="19" t="s">
        <v>31</v>
      </c>
      <c r="E6124" s="21">
        <f t="shared" si="284"/>
        <v>184.03999999999999</v>
      </c>
      <c r="F6124" s="22">
        <v>0.80000000000000004</v>
      </c>
      <c r="G6124" s="21">
        <f t="shared" si="285"/>
        <v>180.75999999999999</v>
      </c>
      <c r="H6124" s="22">
        <v>0.81000000000000005</v>
      </c>
      <c r="I6124" s="23" t="str">
        <f t="shared" si="286"/>
        <v xml:space="preserve">COM VALOR</v>
      </c>
      <c r="J6124" s="19"/>
      <c r="L6124" s="21">
        <v>184.03999999999999</v>
      </c>
      <c r="M6124" s="22">
        <v>0.67000000000000004</v>
      </c>
      <c r="N6124" s="21">
        <v>180.75999999999999</v>
      </c>
      <c r="O6124" s="22">
        <v>0.68999999999999995</v>
      </c>
    </row>
    <row r="6125" ht="38.25">
      <c r="A6125" t="s">
        <v>6218</v>
      </c>
      <c r="B6125" s="19">
        <v>97485</v>
      </c>
      <c r="C6125" s="20" t="s">
        <v>6240</v>
      </c>
      <c r="D6125" s="19" t="s">
        <v>31</v>
      </c>
      <c r="E6125" s="21">
        <f t="shared" si="284"/>
        <v>157.5</v>
      </c>
      <c r="F6125" s="22">
        <v>0.82999999999999996</v>
      </c>
      <c r="G6125" s="21">
        <f t="shared" si="285"/>
        <v>155.71000000000001</v>
      </c>
      <c r="H6125" s="22">
        <v>0.83999999999999997</v>
      </c>
      <c r="I6125" s="23" t="str">
        <f t="shared" si="286"/>
        <v xml:space="preserve">COM VALOR</v>
      </c>
      <c r="J6125" s="19"/>
      <c r="L6125" s="21">
        <v>157.5</v>
      </c>
      <c r="M6125" s="22">
        <v>0.79000000000000004</v>
      </c>
      <c r="N6125" s="21">
        <v>155.71000000000001</v>
      </c>
      <c r="O6125" s="22">
        <v>0.80000000000000004</v>
      </c>
    </row>
    <row r="6126" ht="38.25">
      <c r="A6126" t="s">
        <v>6218</v>
      </c>
      <c r="B6126" s="19">
        <v>97523</v>
      </c>
      <c r="C6126" s="20" t="s">
        <v>6241</v>
      </c>
      <c r="D6126" s="19" t="s">
        <v>31</v>
      </c>
      <c r="E6126" s="21">
        <f t="shared" si="284"/>
        <v>145.16</v>
      </c>
      <c r="F6126" s="22">
        <v>0.90000000000000002</v>
      </c>
      <c r="G6126" s="21">
        <f t="shared" si="285"/>
        <v>144.06</v>
      </c>
      <c r="H6126" s="22">
        <v>0.91000000000000003</v>
      </c>
      <c r="I6126" s="23" t="str">
        <f t="shared" si="286"/>
        <v xml:space="preserve">COM VALOR</v>
      </c>
      <c r="J6126" s="19"/>
      <c r="L6126" s="21">
        <v>145.16</v>
      </c>
      <c r="M6126" s="22">
        <v>0.85499999999999998</v>
      </c>
      <c r="N6126" s="21">
        <v>144.06</v>
      </c>
      <c r="O6126" s="22">
        <v>0.85999999999999999</v>
      </c>
    </row>
    <row r="6127" ht="25.5">
      <c r="A6127" t="s">
        <v>6218</v>
      </c>
      <c r="B6127" s="19">
        <v>97454</v>
      </c>
      <c r="C6127" s="20" t="s">
        <v>6242</v>
      </c>
      <c r="D6127" s="19" t="s">
        <v>31</v>
      </c>
      <c r="E6127" s="21">
        <f t="shared" si="284"/>
        <v>310.41000000000003</v>
      </c>
      <c r="F6127" s="22">
        <v>0</v>
      </c>
      <c r="G6127" s="21">
        <f t="shared" si="285"/>
        <v>307.05000000000001</v>
      </c>
      <c r="H6127" s="22">
        <v>0</v>
      </c>
      <c r="I6127" s="23" t="str">
        <f t="shared" si="286"/>
        <v xml:space="preserve">COM VALOR</v>
      </c>
      <c r="J6127" s="19"/>
      <c r="L6127" s="21">
        <v>310.41000000000003</v>
      </c>
      <c r="M6127" s="22">
        <v>0.80000000000000004</v>
      </c>
      <c r="N6127" s="21">
        <v>307.05000000000001</v>
      </c>
      <c r="O6127" s="22">
        <v>0.8075</v>
      </c>
    </row>
    <row r="6128" ht="38.25">
      <c r="A6128" t="s">
        <v>6218</v>
      </c>
      <c r="B6128" s="19">
        <v>97487</v>
      </c>
      <c r="C6128" s="20" t="s">
        <v>6243</v>
      </c>
      <c r="D6128" s="19" t="s">
        <v>31</v>
      </c>
      <c r="E6128" s="21">
        <f t="shared" si="284"/>
        <v>291.66000000000003</v>
      </c>
      <c r="F6128" s="22">
        <v>0</v>
      </c>
      <c r="G6128" s="21">
        <f t="shared" si="285"/>
        <v>289.35000000000002</v>
      </c>
      <c r="H6128" s="22">
        <v>0</v>
      </c>
      <c r="I6128" s="23" t="str">
        <f t="shared" si="286"/>
        <v xml:space="preserve">COM VALOR</v>
      </c>
      <c r="J6128" s="19"/>
      <c r="L6128" s="21">
        <v>291.66000000000003</v>
      </c>
      <c r="M6128" s="22">
        <v>0.84999999999999998</v>
      </c>
      <c r="N6128" s="21">
        <v>289.35000000000002</v>
      </c>
      <c r="O6128" s="22">
        <v>0.85999999999999999</v>
      </c>
    </row>
    <row r="6129" ht="38.25">
      <c r="A6129" t="s">
        <v>6218</v>
      </c>
      <c r="B6129" s="19">
        <v>97525</v>
      </c>
      <c r="C6129" s="20" t="s">
        <v>6244</v>
      </c>
      <c r="D6129" s="19" t="s">
        <v>31</v>
      </c>
      <c r="E6129" s="21">
        <f t="shared" si="284"/>
        <v>273.89999999999998</v>
      </c>
      <c r="F6129" s="22">
        <v>0</v>
      </c>
      <c r="G6129" s="21">
        <f t="shared" si="285"/>
        <v>272.58999999999997</v>
      </c>
      <c r="H6129" s="22">
        <v>0</v>
      </c>
      <c r="I6129" s="23" t="str">
        <f t="shared" si="286"/>
        <v xml:space="preserve">COM VALOR</v>
      </c>
      <c r="J6129" s="19"/>
      <c r="L6129" s="21">
        <v>273.89999999999998</v>
      </c>
      <c r="M6129" s="22">
        <v>0.91000000000000003</v>
      </c>
      <c r="N6129" s="21">
        <v>272.58999999999997</v>
      </c>
      <c r="O6129" s="22">
        <v>0.91000000000000003</v>
      </c>
    </row>
    <row r="6130" ht="25.5">
      <c r="A6130" t="s">
        <v>6218</v>
      </c>
      <c r="B6130" s="19">
        <v>97456</v>
      </c>
      <c r="C6130" s="20" t="s">
        <v>6245</v>
      </c>
      <c r="D6130" s="19" t="s">
        <v>31</v>
      </c>
      <c r="E6130" s="21">
        <f t="shared" si="284"/>
        <v>708.37</v>
      </c>
      <c r="F6130" s="22">
        <v>0</v>
      </c>
      <c r="G6130" s="21">
        <f t="shared" si="285"/>
        <v>704.90999999999997</v>
      </c>
      <c r="H6130" s="22">
        <v>0</v>
      </c>
      <c r="I6130" s="23" t="str">
        <f t="shared" si="286"/>
        <v xml:space="preserve">COM VALOR</v>
      </c>
      <c r="J6130" s="19"/>
      <c r="L6130" s="21">
        <v>708.37</v>
      </c>
      <c r="M6130" s="22">
        <v>0.91000000000000003</v>
      </c>
      <c r="N6130" s="21">
        <v>704.90999999999997</v>
      </c>
      <c r="O6130" s="22">
        <v>0.91000000000000003</v>
      </c>
    </row>
    <row r="6131" ht="38.25">
      <c r="A6131" t="s">
        <v>6218</v>
      </c>
      <c r="B6131" s="19">
        <v>97489</v>
      </c>
      <c r="C6131" s="20" t="s">
        <v>6246</v>
      </c>
      <c r="D6131" s="19" t="s">
        <v>31</v>
      </c>
      <c r="E6131" s="21">
        <f t="shared" si="284"/>
        <v>697.38999999999999</v>
      </c>
      <c r="F6131" s="22">
        <v>0</v>
      </c>
      <c r="G6131" s="21">
        <f t="shared" si="285"/>
        <v>694.54999999999995</v>
      </c>
      <c r="H6131" s="22">
        <v>0</v>
      </c>
      <c r="I6131" s="23" t="str">
        <f t="shared" si="286"/>
        <v xml:space="preserve">COM VALOR</v>
      </c>
      <c r="J6131" s="19"/>
      <c r="L6131" s="21">
        <v>697.38999999999999</v>
      </c>
      <c r="M6131" s="22">
        <v>0.92000000000000004</v>
      </c>
      <c r="N6131" s="21">
        <v>694.54999999999995</v>
      </c>
      <c r="O6131" s="22">
        <v>0.93000000000000005</v>
      </c>
    </row>
    <row r="6132" ht="38.25">
      <c r="A6132" t="s">
        <v>6218</v>
      </c>
      <c r="B6132" s="19">
        <v>97527</v>
      </c>
      <c r="C6132" s="20" t="s">
        <v>6247</v>
      </c>
      <c r="D6132" s="19" t="s">
        <v>31</v>
      </c>
      <c r="E6132" s="21">
        <f t="shared" si="284"/>
        <v>674.23000000000002</v>
      </c>
      <c r="F6132" s="22">
        <v>0</v>
      </c>
      <c r="G6132" s="21">
        <f t="shared" si="285"/>
        <v>672.67999999999995</v>
      </c>
      <c r="H6132" s="22">
        <v>0</v>
      </c>
      <c r="I6132" s="23" t="str">
        <f t="shared" si="286"/>
        <v xml:space="preserve">COM VALOR</v>
      </c>
      <c r="J6132" s="19"/>
      <c r="L6132" s="21">
        <v>674.23000000000002</v>
      </c>
      <c r="M6132" s="22">
        <v>0.94999999999999996</v>
      </c>
      <c r="N6132" s="21">
        <v>672.67999999999995</v>
      </c>
      <c r="O6132" s="22">
        <v>0.95999999999999996</v>
      </c>
    </row>
    <row r="6133" ht="25.5">
      <c r="A6133" t="s">
        <v>6218</v>
      </c>
      <c r="B6133" s="19">
        <v>97434</v>
      </c>
      <c r="C6133" s="20" t="s">
        <v>6248</v>
      </c>
      <c r="D6133" s="19" t="s">
        <v>31</v>
      </c>
      <c r="E6133" s="21">
        <f t="shared" si="284"/>
        <v>97.469999999999999</v>
      </c>
      <c r="F6133" s="22">
        <v>0</v>
      </c>
      <c r="G6133" s="21">
        <f t="shared" si="285"/>
        <v>95.799999999999997</v>
      </c>
      <c r="H6133" s="22">
        <v>0</v>
      </c>
      <c r="I6133" s="23" t="str">
        <f t="shared" si="286"/>
        <v xml:space="preserve">COM VALOR</v>
      </c>
      <c r="J6133" s="19"/>
      <c r="L6133" s="21">
        <v>97.469999999999999</v>
      </c>
      <c r="M6133" s="22">
        <v>0.69750000000000001</v>
      </c>
      <c r="N6133" s="21">
        <v>95.799999999999997</v>
      </c>
      <c r="O6133" s="22">
        <v>0.70999999999999996</v>
      </c>
    </row>
    <row r="6134" ht="25.5">
      <c r="A6134" t="s">
        <v>6218</v>
      </c>
      <c r="B6134" s="19">
        <v>97436</v>
      </c>
      <c r="C6134" s="20" t="s">
        <v>6249</v>
      </c>
      <c r="D6134" s="19" t="s">
        <v>31</v>
      </c>
      <c r="E6134" s="21">
        <f t="shared" si="284"/>
        <v>111.75</v>
      </c>
      <c r="F6134" s="22">
        <v>0</v>
      </c>
      <c r="G6134" s="21">
        <f t="shared" si="285"/>
        <v>110.02</v>
      </c>
      <c r="H6134" s="22">
        <v>0</v>
      </c>
      <c r="I6134" s="23" t="str">
        <f t="shared" si="286"/>
        <v xml:space="preserve">COM VALOR</v>
      </c>
      <c r="J6134" s="19"/>
      <c r="L6134" s="21">
        <v>111.75</v>
      </c>
      <c r="M6134" s="22">
        <v>0.72999999999999998</v>
      </c>
      <c r="N6134" s="21">
        <v>110.02</v>
      </c>
      <c r="O6134" s="22">
        <v>0.73999999999999999</v>
      </c>
    </row>
    <row r="6135" ht="25.5">
      <c r="A6135" t="s">
        <v>6218</v>
      </c>
      <c r="B6135" s="19">
        <v>97438</v>
      </c>
      <c r="C6135" s="20" t="s">
        <v>6250</v>
      </c>
      <c r="D6135" s="19" t="s">
        <v>31</v>
      </c>
      <c r="E6135" s="21">
        <f t="shared" si="284"/>
        <v>124.52</v>
      </c>
      <c r="F6135" s="22">
        <v>0</v>
      </c>
      <c r="G6135" s="21">
        <f t="shared" si="285"/>
        <v>122.73999999999999</v>
      </c>
      <c r="H6135" s="22">
        <v>0</v>
      </c>
      <c r="I6135" s="23" t="str">
        <f t="shared" si="286"/>
        <v xml:space="preserve">COM VALOR</v>
      </c>
      <c r="J6135" s="19"/>
      <c r="L6135" s="21">
        <v>124.52</v>
      </c>
      <c r="M6135" s="22">
        <v>0.75</v>
      </c>
      <c r="N6135" s="21">
        <v>122.73999999999999</v>
      </c>
      <c r="O6135" s="22">
        <v>0.76000000000000001</v>
      </c>
    </row>
    <row r="6136" ht="38.25">
      <c r="A6136" t="s">
        <v>6218</v>
      </c>
      <c r="B6136" s="19">
        <v>97547</v>
      </c>
      <c r="C6136" s="20" t="s">
        <v>6251</v>
      </c>
      <c r="D6136" s="19" t="s">
        <v>31</v>
      </c>
      <c r="E6136" s="21">
        <f t="shared" si="284"/>
        <v>33.960000000000001</v>
      </c>
      <c r="F6136" s="22">
        <v>0</v>
      </c>
      <c r="G6136" s="21">
        <f t="shared" si="285"/>
        <v>33.229999999999997</v>
      </c>
      <c r="H6136" s="22">
        <v>0</v>
      </c>
      <c r="I6136" s="23" t="str">
        <f t="shared" si="286"/>
        <v xml:space="preserve">COM VALOR</v>
      </c>
      <c r="J6136" s="19"/>
      <c r="L6136" s="21">
        <v>33.960000000000001</v>
      </c>
      <c r="M6136" s="22">
        <v>0.60999999999999999</v>
      </c>
      <c r="N6136" s="21">
        <v>33.229999999999997</v>
      </c>
      <c r="O6136" s="22">
        <v>0.62</v>
      </c>
    </row>
    <row r="6137" ht="38.25">
      <c r="A6137" t="s">
        <v>6218</v>
      </c>
      <c r="B6137" s="19">
        <v>97549</v>
      </c>
      <c r="C6137" s="20" t="s">
        <v>6252</v>
      </c>
      <c r="D6137" s="19" t="s">
        <v>31</v>
      </c>
      <c r="E6137" s="21">
        <f t="shared" si="284"/>
        <v>50.240000000000002</v>
      </c>
      <c r="F6137" s="22">
        <v>0</v>
      </c>
      <c r="G6137" s="21">
        <f t="shared" si="285"/>
        <v>49</v>
      </c>
      <c r="H6137" s="22">
        <v>0</v>
      </c>
      <c r="I6137" s="23" t="str">
        <f t="shared" si="286"/>
        <v xml:space="preserve">COM VALOR</v>
      </c>
      <c r="J6137" s="19"/>
      <c r="L6137" s="21">
        <v>50.240000000000002</v>
      </c>
      <c r="M6137" s="22">
        <v>0.55000000000000004</v>
      </c>
      <c r="N6137" s="21">
        <v>49</v>
      </c>
      <c r="O6137" s="22">
        <v>0.56000000000000005</v>
      </c>
    </row>
    <row r="6138" ht="38.25">
      <c r="A6138" t="s">
        <v>6218</v>
      </c>
      <c r="B6138" s="19">
        <v>97551</v>
      </c>
      <c r="C6138" s="20" t="s">
        <v>6253</v>
      </c>
      <c r="D6138" s="19" t="s">
        <v>31</v>
      </c>
      <c r="E6138" s="21">
        <f t="shared" si="284"/>
        <v>83.049999999999997</v>
      </c>
      <c r="F6138" s="22">
        <v>0</v>
      </c>
      <c r="G6138" s="21">
        <f t="shared" si="285"/>
        <v>80.629999999999995</v>
      </c>
      <c r="H6138" s="22">
        <v>0</v>
      </c>
      <c r="I6138" s="23" t="str">
        <f t="shared" si="286"/>
        <v xml:space="preserve">COM VALOR</v>
      </c>
      <c r="J6138" s="19"/>
      <c r="L6138" s="21">
        <v>83.049999999999997</v>
      </c>
      <c r="M6138" s="22">
        <v>0.46999999999999997</v>
      </c>
      <c r="N6138" s="21">
        <v>80.629999999999995</v>
      </c>
      <c r="O6138" s="22">
        <v>0.47999999999999998</v>
      </c>
    </row>
    <row r="6139" ht="38.25">
      <c r="A6139" t="s">
        <v>6218</v>
      </c>
      <c r="B6139" s="19">
        <v>97480</v>
      </c>
      <c r="C6139" s="20" t="s">
        <v>6254</v>
      </c>
      <c r="D6139" s="19" t="s">
        <v>31</v>
      </c>
      <c r="E6139" s="21">
        <f t="shared" si="284"/>
        <v>56.159999999999997</v>
      </c>
      <c r="F6139" s="22">
        <v>0</v>
      </c>
      <c r="G6139" s="21">
        <f t="shared" si="285"/>
        <v>55.25</v>
      </c>
      <c r="H6139" s="22">
        <v>0</v>
      </c>
      <c r="I6139" s="23" t="str">
        <f t="shared" si="286"/>
        <v xml:space="preserve">COM VALOR</v>
      </c>
      <c r="J6139" s="19"/>
      <c r="L6139" s="21">
        <v>56.159999999999997</v>
      </c>
      <c r="M6139" s="22">
        <v>0.69999999999999996</v>
      </c>
      <c r="N6139" s="21">
        <v>55.25</v>
      </c>
      <c r="O6139" s="22">
        <v>0.70999999999999996</v>
      </c>
    </row>
    <row r="6140" ht="38.25">
      <c r="A6140" t="s">
        <v>6218</v>
      </c>
      <c r="B6140" s="19">
        <v>97518</v>
      </c>
      <c r="C6140" s="20" t="s">
        <v>6255</v>
      </c>
      <c r="D6140" s="19" t="s">
        <v>31</v>
      </c>
      <c r="E6140" s="21">
        <f t="shared" si="284"/>
        <v>52.850000000000001</v>
      </c>
      <c r="F6140" s="22">
        <v>0</v>
      </c>
      <c r="G6140" s="21">
        <f t="shared" si="285"/>
        <v>52.119999999999997</v>
      </c>
      <c r="H6140" s="22">
        <v>0</v>
      </c>
      <c r="I6140" s="23" t="str">
        <f t="shared" si="286"/>
        <v xml:space="preserve">COM VALOR</v>
      </c>
      <c r="J6140" s="19"/>
      <c r="L6140" s="21">
        <v>52.850000000000001</v>
      </c>
      <c r="M6140" s="22">
        <v>0.73999999999999999</v>
      </c>
      <c r="N6140" s="21">
        <v>52.119999999999997</v>
      </c>
      <c r="O6140" s="22">
        <v>0.75</v>
      </c>
    </row>
    <row r="6141" ht="38.25">
      <c r="A6141" t="s">
        <v>6218</v>
      </c>
      <c r="B6141" s="19">
        <v>97482</v>
      </c>
      <c r="C6141" s="20" t="s">
        <v>6256</v>
      </c>
      <c r="D6141" s="19" t="s">
        <v>31</v>
      </c>
      <c r="E6141" s="21">
        <f t="shared" si="284"/>
        <v>81.400000000000006</v>
      </c>
      <c r="F6141" s="22">
        <v>0</v>
      </c>
      <c r="G6141" s="21">
        <f t="shared" si="285"/>
        <v>80.239999999999995</v>
      </c>
      <c r="H6141" s="22">
        <v>0</v>
      </c>
      <c r="I6141" s="23" t="str">
        <f t="shared" si="286"/>
        <v xml:space="preserve">COM VALOR</v>
      </c>
      <c r="J6141" s="19"/>
      <c r="L6141" s="21">
        <v>81.400000000000006</v>
      </c>
      <c r="M6141" s="22">
        <v>0.72999999999999998</v>
      </c>
      <c r="N6141" s="21">
        <v>80.239999999999995</v>
      </c>
      <c r="O6141" s="22">
        <v>0.73999999999999999</v>
      </c>
    </row>
    <row r="6142" ht="38.25">
      <c r="A6142" t="s">
        <v>6218</v>
      </c>
      <c r="B6142" s="19">
        <v>97520</v>
      </c>
      <c r="C6142" s="20" t="s">
        <v>6257</v>
      </c>
      <c r="D6142" s="19" t="s">
        <v>31</v>
      </c>
      <c r="E6142" s="21">
        <f t="shared" si="284"/>
        <v>75.569999999999993</v>
      </c>
      <c r="F6142" s="22">
        <v>0</v>
      </c>
      <c r="G6142" s="21">
        <f t="shared" si="285"/>
        <v>74.730000000000004</v>
      </c>
      <c r="H6142" s="22">
        <v>0</v>
      </c>
      <c r="I6142" s="23" t="str">
        <f t="shared" si="286"/>
        <v xml:space="preserve">COM VALOR</v>
      </c>
      <c r="J6142" s="19"/>
      <c r="L6142" s="21">
        <v>75.569999999999993</v>
      </c>
      <c r="M6142" s="22">
        <v>0.79000000000000004</v>
      </c>
      <c r="N6142" s="21">
        <v>74.730000000000004</v>
      </c>
      <c r="O6142" s="22">
        <v>0.80000000000000004</v>
      </c>
    </row>
    <row r="6143" ht="38.25">
      <c r="A6143" t="s">
        <v>6218</v>
      </c>
      <c r="B6143" s="19">
        <v>97484</v>
      </c>
      <c r="C6143" s="20" t="s">
        <v>6258</v>
      </c>
      <c r="D6143" s="19" t="s">
        <v>31</v>
      </c>
      <c r="E6143" s="21">
        <f t="shared" si="284"/>
        <v>114.09</v>
      </c>
      <c r="F6143" s="22">
        <v>0</v>
      </c>
      <c r="G6143" s="21">
        <f t="shared" si="285"/>
        <v>112.65000000000001</v>
      </c>
      <c r="H6143" s="22">
        <v>0</v>
      </c>
      <c r="I6143" s="23" t="str">
        <f t="shared" si="286"/>
        <v xml:space="preserve">COM VALOR</v>
      </c>
      <c r="J6143" s="19"/>
      <c r="L6143" s="21">
        <v>114.09</v>
      </c>
      <c r="M6143" s="22">
        <v>0.77000000000000002</v>
      </c>
      <c r="N6143" s="21">
        <v>112.65000000000001</v>
      </c>
      <c r="O6143" s="22">
        <v>0.77000000000000002</v>
      </c>
    </row>
    <row r="6144" ht="38.25">
      <c r="A6144" t="s">
        <v>6218</v>
      </c>
      <c r="B6144" s="19">
        <v>97522</v>
      </c>
      <c r="C6144" s="20" t="s">
        <v>6259</v>
      </c>
      <c r="D6144" s="19" t="s">
        <v>31</v>
      </c>
      <c r="E6144" s="21">
        <f t="shared" si="284"/>
        <v>105.37</v>
      </c>
      <c r="F6144" s="22">
        <v>0</v>
      </c>
      <c r="G6144" s="21">
        <f t="shared" si="285"/>
        <v>104.41</v>
      </c>
      <c r="H6144" s="22">
        <v>0</v>
      </c>
      <c r="I6144" s="23" t="str">
        <f t="shared" si="286"/>
        <v xml:space="preserve">COM VALOR</v>
      </c>
      <c r="J6144" s="19"/>
      <c r="L6144" s="21">
        <v>105.37</v>
      </c>
      <c r="M6144" s="22">
        <v>0.82999999999999996</v>
      </c>
      <c r="N6144" s="21">
        <v>104.41</v>
      </c>
      <c r="O6144" s="22">
        <v>0.83999999999999997</v>
      </c>
    </row>
    <row r="6145" ht="25.5">
      <c r="A6145" t="s">
        <v>6218</v>
      </c>
      <c r="B6145" s="19">
        <v>97453</v>
      </c>
      <c r="C6145" s="20" t="s">
        <v>6260</v>
      </c>
      <c r="D6145" s="19" t="s">
        <v>31</v>
      </c>
      <c r="E6145" s="21">
        <f t="shared" si="284"/>
        <v>195.55000000000001</v>
      </c>
      <c r="F6145" s="22">
        <v>0</v>
      </c>
      <c r="G6145" s="21">
        <f t="shared" si="285"/>
        <v>192.27000000000001</v>
      </c>
      <c r="H6145" s="22">
        <v>0</v>
      </c>
      <c r="I6145" s="23" t="str">
        <f t="shared" si="286"/>
        <v xml:space="preserve">COM VALOR</v>
      </c>
      <c r="J6145" s="19"/>
      <c r="L6145" s="21">
        <v>195.55000000000001</v>
      </c>
      <c r="M6145" s="22">
        <v>0.68999999999999995</v>
      </c>
      <c r="N6145" s="21">
        <v>192.27000000000001</v>
      </c>
      <c r="O6145" s="22">
        <v>0.70999999999999996</v>
      </c>
    </row>
    <row r="6146" ht="38.25">
      <c r="A6146" t="s">
        <v>6218</v>
      </c>
      <c r="B6146" s="19">
        <v>97486</v>
      </c>
      <c r="C6146" s="20" t="s">
        <v>6261</v>
      </c>
      <c r="D6146" s="19" t="s">
        <v>31</v>
      </c>
      <c r="E6146" s="21">
        <f t="shared" si="284"/>
        <v>169.00999999999999</v>
      </c>
      <c r="F6146" s="22">
        <v>0</v>
      </c>
      <c r="G6146" s="21">
        <f t="shared" si="285"/>
        <v>167.22</v>
      </c>
      <c r="H6146" s="22">
        <v>0</v>
      </c>
      <c r="I6146" s="23" t="str">
        <f t="shared" si="286"/>
        <v xml:space="preserve">COM VALOR</v>
      </c>
      <c r="J6146" s="19"/>
      <c r="L6146" s="21">
        <v>169.00999999999999</v>
      </c>
      <c r="M6146" s="22">
        <v>0.80000000000000004</v>
      </c>
      <c r="N6146" s="21">
        <v>167.22</v>
      </c>
      <c r="O6146" s="22">
        <v>0.81000000000000005</v>
      </c>
    </row>
    <row r="6147" ht="38.25">
      <c r="A6147" t="s">
        <v>6218</v>
      </c>
      <c r="B6147" s="19">
        <v>97524</v>
      </c>
      <c r="C6147" s="20" t="s">
        <v>6262</v>
      </c>
      <c r="D6147" s="19" t="s">
        <v>31</v>
      </c>
      <c r="E6147" s="21">
        <f t="shared" si="284"/>
        <v>156.66999999999999</v>
      </c>
      <c r="F6147" s="22">
        <v>0.78000000000000003</v>
      </c>
      <c r="G6147" s="21">
        <f t="shared" si="285"/>
        <v>155.56999999999999</v>
      </c>
      <c r="H6147" s="22">
        <v>0.79000000000000004</v>
      </c>
      <c r="I6147" s="23" t="str">
        <f t="shared" si="286"/>
        <v xml:space="preserve">COM VALOR</v>
      </c>
      <c r="J6147" s="19"/>
      <c r="L6147" s="21">
        <v>156.66999999999999</v>
      </c>
      <c r="M6147" s="22">
        <v>0.87</v>
      </c>
      <c r="N6147" s="21">
        <v>155.56999999999999</v>
      </c>
      <c r="O6147" s="22">
        <v>0.87</v>
      </c>
    </row>
    <row r="6148" ht="25.5">
      <c r="A6148" t="s">
        <v>6218</v>
      </c>
      <c r="B6148" s="19">
        <v>97455</v>
      </c>
      <c r="C6148" s="20" t="s">
        <v>6263</v>
      </c>
      <c r="D6148" s="19" t="s">
        <v>31</v>
      </c>
      <c r="E6148" s="21">
        <f t="shared" si="284"/>
        <v>328.81999999999999</v>
      </c>
      <c r="F6148" s="22">
        <v>0</v>
      </c>
      <c r="G6148" s="21">
        <f t="shared" si="285"/>
        <v>325.45999999999998</v>
      </c>
      <c r="H6148" s="22">
        <v>0</v>
      </c>
      <c r="I6148" s="23" t="str">
        <f t="shared" si="286"/>
        <v xml:space="preserve">COM VALOR</v>
      </c>
      <c r="J6148" s="19"/>
      <c r="L6148" s="21">
        <v>328.81999999999999</v>
      </c>
      <c r="M6148" s="22">
        <v>0.81000000000000005</v>
      </c>
      <c r="N6148" s="21">
        <v>325.45999999999998</v>
      </c>
      <c r="O6148" s="22">
        <v>0.81999999999999995</v>
      </c>
    </row>
    <row r="6149" ht="38.25">
      <c r="A6149" t="s">
        <v>6218</v>
      </c>
      <c r="B6149" s="19">
        <v>97488</v>
      </c>
      <c r="C6149" s="20" t="s">
        <v>6264</v>
      </c>
      <c r="D6149" s="19" t="s">
        <v>31</v>
      </c>
      <c r="E6149" s="21">
        <f t="shared" si="284"/>
        <v>310.06999999999999</v>
      </c>
      <c r="F6149" s="22">
        <v>0</v>
      </c>
      <c r="G6149" s="21">
        <f t="shared" si="285"/>
        <v>307.75999999999999</v>
      </c>
      <c r="H6149" s="22">
        <v>0</v>
      </c>
      <c r="I6149" s="23" t="str">
        <f t="shared" si="286"/>
        <v xml:space="preserve">COM VALOR</v>
      </c>
      <c r="J6149" s="19"/>
      <c r="L6149" s="21">
        <v>310.06999999999999</v>
      </c>
      <c r="M6149" s="22">
        <v>0.85999999999999999</v>
      </c>
      <c r="N6149" s="21">
        <v>307.75999999999999</v>
      </c>
      <c r="O6149" s="22">
        <v>0.87</v>
      </c>
    </row>
    <row r="6150" ht="38.25">
      <c r="A6150" t="s">
        <v>6218</v>
      </c>
      <c r="B6150" s="19">
        <v>97526</v>
      </c>
      <c r="C6150" s="20" t="s">
        <v>6265</v>
      </c>
      <c r="D6150" s="19" t="s">
        <v>31</v>
      </c>
      <c r="E6150" s="21">
        <f t="shared" si="284"/>
        <v>292.31</v>
      </c>
      <c r="F6150" s="22">
        <v>0</v>
      </c>
      <c r="G6150" s="21">
        <f t="shared" si="285"/>
        <v>291</v>
      </c>
      <c r="H6150" s="22">
        <v>0</v>
      </c>
      <c r="I6150" s="23" t="str">
        <f t="shared" si="286"/>
        <v xml:space="preserve">COM VALOR</v>
      </c>
      <c r="J6150" s="19"/>
      <c r="L6150" s="21">
        <v>292.31</v>
      </c>
      <c r="M6150" s="22">
        <v>0.91000000000000003</v>
      </c>
      <c r="N6150" s="21">
        <v>291</v>
      </c>
      <c r="O6150" s="22">
        <v>0.92000000000000004</v>
      </c>
    </row>
    <row r="6151" ht="25.5">
      <c r="A6151" t="s">
        <v>6218</v>
      </c>
      <c r="B6151" s="19">
        <v>97457</v>
      </c>
      <c r="C6151" s="20" t="s">
        <v>6266</v>
      </c>
      <c r="D6151" s="19" t="s">
        <v>31</v>
      </c>
      <c r="E6151" s="21">
        <f t="shared" si="284"/>
        <v>625.78999999999996</v>
      </c>
      <c r="F6151" s="22">
        <v>0</v>
      </c>
      <c r="G6151" s="21">
        <f t="shared" si="285"/>
        <v>622.33000000000004</v>
      </c>
      <c r="H6151" s="22">
        <v>0</v>
      </c>
      <c r="I6151" s="23" t="str">
        <f t="shared" si="286"/>
        <v xml:space="preserve">COM VALOR</v>
      </c>
      <c r="J6151" s="19"/>
      <c r="L6151" s="21">
        <v>625.78999999999996</v>
      </c>
      <c r="M6151" s="22">
        <v>0.90000000000000002</v>
      </c>
      <c r="N6151" s="21">
        <v>622.33000000000004</v>
      </c>
      <c r="O6151" s="22">
        <v>0.90000000000000002</v>
      </c>
    </row>
    <row r="6152" ht="38.25">
      <c r="A6152" t="s">
        <v>6218</v>
      </c>
      <c r="B6152" s="19">
        <v>97490</v>
      </c>
      <c r="C6152" s="20" t="s">
        <v>6267</v>
      </c>
      <c r="D6152" s="19" t="s">
        <v>31</v>
      </c>
      <c r="E6152" s="21">
        <f t="shared" si="284"/>
        <v>614.80999999999995</v>
      </c>
      <c r="F6152" s="22">
        <v>0</v>
      </c>
      <c r="G6152" s="21">
        <f t="shared" si="285"/>
        <v>611.97000000000003</v>
      </c>
      <c r="H6152" s="22">
        <v>0</v>
      </c>
      <c r="I6152" s="23" t="str">
        <f t="shared" si="286"/>
        <v xml:space="preserve">COM VALOR</v>
      </c>
      <c r="J6152" s="19"/>
      <c r="L6152" s="21">
        <v>614.80999999999995</v>
      </c>
      <c r="M6152" s="22">
        <v>0.91249999999999998</v>
      </c>
      <c r="N6152" s="21">
        <v>611.97000000000003</v>
      </c>
      <c r="O6152" s="22">
        <v>0.92000000000000004</v>
      </c>
    </row>
    <row r="6153" ht="38.25">
      <c r="A6153" t="s">
        <v>6218</v>
      </c>
      <c r="B6153" s="19">
        <v>97528</v>
      </c>
      <c r="C6153" s="20" t="s">
        <v>6268</v>
      </c>
      <c r="D6153" s="19" t="s">
        <v>31</v>
      </c>
      <c r="E6153" s="21">
        <f t="shared" si="284"/>
        <v>591.64999999999998</v>
      </c>
      <c r="F6153" s="22">
        <v>0</v>
      </c>
      <c r="G6153" s="21">
        <f t="shared" si="285"/>
        <v>590.10000000000002</v>
      </c>
      <c r="H6153" s="22">
        <v>0</v>
      </c>
      <c r="I6153" s="23" t="str">
        <f t="shared" si="286"/>
        <v xml:space="preserve">COM VALOR</v>
      </c>
      <c r="J6153" s="19"/>
      <c r="L6153" s="21">
        <v>591.64999999999998</v>
      </c>
      <c r="M6153" s="22">
        <v>0.94999999999999996</v>
      </c>
      <c r="N6153" s="21">
        <v>590.10000000000002</v>
      </c>
      <c r="O6153" s="22">
        <v>0.94999999999999996</v>
      </c>
    </row>
    <row r="6154" ht="25.5">
      <c r="A6154" t="s">
        <v>6218</v>
      </c>
      <c r="B6154" s="19">
        <v>101906</v>
      </c>
      <c r="C6154" s="20" t="s">
        <v>6269</v>
      </c>
      <c r="D6154" s="19" t="s">
        <v>31</v>
      </c>
      <c r="E6154" s="21">
        <f t="shared" si="284"/>
        <v>742.22000000000003</v>
      </c>
      <c r="F6154" s="22">
        <v>0</v>
      </c>
      <c r="G6154" s="21">
        <f t="shared" si="285"/>
        <v>740.98000000000002</v>
      </c>
      <c r="H6154" s="22">
        <v>0</v>
      </c>
      <c r="I6154" s="23" t="str">
        <f t="shared" si="286"/>
        <v xml:space="preserve">COM VALOR</v>
      </c>
      <c r="J6154" s="19"/>
      <c r="L6154" s="21">
        <v>742.22000000000003</v>
      </c>
      <c r="M6154" s="22">
        <v>0</v>
      </c>
      <c r="N6154" s="21">
        <v>740.98000000000002</v>
      </c>
      <c r="O6154" s="22">
        <v>0</v>
      </c>
    </row>
    <row r="6155" ht="25.5">
      <c r="A6155" t="s">
        <v>6218</v>
      </c>
      <c r="B6155" s="19">
        <v>101907</v>
      </c>
      <c r="C6155" s="20" t="s">
        <v>6270</v>
      </c>
      <c r="D6155" s="19" t="s">
        <v>31</v>
      </c>
      <c r="E6155" s="21">
        <f t="shared" ref="E6155:E6218" si="287">IF(L6155=0,"VERIFICAR",L6155)</f>
        <v>802.13</v>
      </c>
      <c r="F6155" s="22">
        <v>0</v>
      </c>
      <c r="G6155" s="21">
        <f t="shared" ref="G6155:G6218" si="288">IF(N6155=0,"VERIFICAR",N6155)</f>
        <v>800.88999999999999</v>
      </c>
      <c r="H6155" s="22">
        <v>0</v>
      </c>
      <c r="I6155" s="23" t="str">
        <f t="shared" ref="I6155:I6218" si="289">IF(OR(E6155=0,G6155=0),"SEM VALOR","COM VALOR")</f>
        <v xml:space="preserve">COM VALOR</v>
      </c>
      <c r="J6155" s="19"/>
      <c r="L6155" s="21">
        <v>802.13</v>
      </c>
      <c r="M6155" s="22">
        <v>0</v>
      </c>
      <c r="N6155" s="21">
        <v>800.88999999999999</v>
      </c>
      <c r="O6155" s="22">
        <v>0</v>
      </c>
    </row>
    <row r="6156" ht="25.5">
      <c r="A6156" t="s">
        <v>6218</v>
      </c>
      <c r="B6156" s="19">
        <v>101911</v>
      </c>
      <c r="C6156" s="20" t="s">
        <v>6271</v>
      </c>
      <c r="D6156" s="19" t="s">
        <v>31</v>
      </c>
      <c r="E6156" s="21">
        <f t="shared" si="287"/>
        <v>382.79000000000002</v>
      </c>
      <c r="F6156" s="22">
        <v>0</v>
      </c>
      <c r="G6156" s="21">
        <f t="shared" si="288"/>
        <v>381.55000000000001</v>
      </c>
      <c r="H6156" s="22">
        <v>0</v>
      </c>
      <c r="I6156" s="23" t="str">
        <f t="shared" si="289"/>
        <v xml:space="preserve">COM VALOR</v>
      </c>
      <c r="J6156" s="19"/>
      <c r="L6156" s="21">
        <v>382.79000000000002</v>
      </c>
      <c r="M6156" s="22">
        <v>0</v>
      </c>
      <c r="N6156" s="21">
        <v>381.55000000000001</v>
      </c>
      <c r="O6156" s="22">
        <v>0</v>
      </c>
    </row>
    <row r="6157" ht="25.5">
      <c r="A6157" t="s">
        <v>6218</v>
      </c>
      <c r="B6157" s="19">
        <v>101908</v>
      </c>
      <c r="C6157" s="20" t="s">
        <v>6272</v>
      </c>
      <c r="D6157" s="19" t="s">
        <v>31</v>
      </c>
      <c r="E6157" s="21">
        <f t="shared" si="287"/>
        <v>243.00999999999999</v>
      </c>
      <c r="F6157" s="22">
        <v>0</v>
      </c>
      <c r="G6157" s="21">
        <f t="shared" si="288"/>
        <v>241.77000000000001</v>
      </c>
      <c r="H6157" s="22">
        <v>0</v>
      </c>
      <c r="I6157" s="23" t="str">
        <f t="shared" si="289"/>
        <v xml:space="preserve">COM VALOR</v>
      </c>
      <c r="J6157" s="19"/>
      <c r="L6157" s="21">
        <v>243.00999999999999</v>
      </c>
      <c r="M6157" s="22">
        <v>0</v>
      </c>
      <c r="N6157" s="21">
        <v>241.77000000000001</v>
      </c>
      <c r="O6157" s="22">
        <v>0</v>
      </c>
    </row>
    <row r="6158" ht="25.5">
      <c r="A6158" t="s">
        <v>6218</v>
      </c>
      <c r="B6158" s="19">
        <v>101909</v>
      </c>
      <c r="C6158" s="20" t="s">
        <v>6273</v>
      </c>
      <c r="D6158" s="19" t="s">
        <v>31</v>
      </c>
      <c r="E6158" s="21">
        <f t="shared" si="287"/>
        <v>282.94999999999999</v>
      </c>
      <c r="F6158" s="22">
        <v>0</v>
      </c>
      <c r="G6158" s="21">
        <f t="shared" si="288"/>
        <v>281.70999999999998</v>
      </c>
      <c r="H6158" s="22">
        <v>0</v>
      </c>
      <c r="I6158" s="23" t="str">
        <f t="shared" si="289"/>
        <v xml:space="preserve">COM VALOR</v>
      </c>
      <c r="J6158" s="19"/>
      <c r="L6158" s="21">
        <v>282.94999999999999</v>
      </c>
      <c r="M6158" s="22">
        <v>0</v>
      </c>
      <c r="N6158" s="21">
        <v>281.70999999999998</v>
      </c>
      <c r="O6158" s="22">
        <v>0</v>
      </c>
    </row>
    <row r="6159" ht="25.5">
      <c r="A6159" t="s">
        <v>6218</v>
      </c>
      <c r="B6159" s="19">
        <v>101910</v>
      </c>
      <c r="C6159" s="20" t="s">
        <v>6274</v>
      </c>
      <c r="D6159" s="19" t="s">
        <v>31</v>
      </c>
      <c r="E6159" s="21">
        <f t="shared" si="287"/>
        <v>332.87</v>
      </c>
      <c r="F6159" s="22">
        <v>0</v>
      </c>
      <c r="G6159" s="21">
        <f t="shared" si="288"/>
        <v>331.63</v>
      </c>
      <c r="H6159" s="22">
        <v>0</v>
      </c>
      <c r="I6159" s="23" t="str">
        <f t="shared" si="289"/>
        <v xml:space="preserve">COM VALOR</v>
      </c>
      <c r="J6159" s="19"/>
      <c r="L6159" s="21">
        <v>332.87</v>
      </c>
      <c r="M6159" s="22">
        <v>0</v>
      </c>
      <c r="N6159" s="21">
        <v>331.63</v>
      </c>
      <c r="O6159" s="22">
        <v>0</v>
      </c>
    </row>
    <row r="6160" ht="25.5">
      <c r="A6160" t="s">
        <v>6218</v>
      </c>
      <c r="B6160" s="19">
        <v>101905</v>
      </c>
      <c r="C6160" s="20" t="s">
        <v>6275</v>
      </c>
      <c r="D6160" s="19" t="s">
        <v>31</v>
      </c>
      <c r="E6160" s="21">
        <f t="shared" si="287"/>
        <v>250.5</v>
      </c>
      <c r="F6160" s="22">
        <v>0</v>
      </c>
      <c r="G6160" s="21">
        <f t="shared" si="288"/>
        <v>249.25999999999999</v>
      </c>
      <c r="H6160" s="22">
        <v>0</v>
      </c>
      <c r="I6160" s="23" t="str">
        <f t="shared" si="289"/>
        <v xml:space="preserve">COM VALOR</v>
      </c>
      <c r="J6160" s="19"/>
      <c r="L6160" s="21">
        <v>250.5</v>
      </c>
      <c r="M6160" s="22">
        <v>0</v>
      </c>
      <c r="N6160" s="21">
        <v>249.25999999999999</v>
      </c>
      <c r="O6160" s="22">
        <v>0</v>
      </c>
    </row>
    <row r="6161" ht="38.25">
      <c r="A6161" t="s">
        <v>6218</v>
      </c>
      <c r="B6161" s="19">
        <v>92698</v>
      </c>
      <c r="C6161" s="20" t="s">
        <v>6276</v>
      </c>
      <c r="D6161" s="19" t="s">
        <v>31</v>
      </c>
      <c r="E6161" s="21">
        <f t="shared" si="287"/>
        <v>21.93</v>
      </c>
      <c r="F6161" s="22">
        <v>0</v>
      </c>
      <c r="G6161" s="21">
        <f t="shared" si="288"/>
        <v>21.23</v>
      </c>
      <c r="H6161" s="22">
        <v>0</v>
      </c>
      <c r="I6161" s="23" t="str">
        <f t="shared" si="289"/>
        <v xml:space="preserve">COM VALOR</v>
      </c>
      <c r="J6161" s="19"/>
      <c r="L6161" s="21">
        <v>21.93</v>
      </c>
      <c r="M6161" s="22">
        <v>0</v>
      </c>
      <c r="N6161" s="21">
        <v>21.23</v>
      </c>
      <c r="O6161" s="22">
        <v>0</v>
      </c>
    </row>
    <row r="6162" ht="38.25">
      <c r="A6162" t="s">
        <v>6218</v>
      </c>
      <c r="B6162" s="19">
        <v>92700</v>
      </c>
      <c r="C6162" s="20" t="s">
        <v>6277</v>
      </c>
      <c r="D6162" s="19" t="s">
        <v>31</v>
      </c>
      <c r="E6162" s="21">
        <f t="shared" si="287"/>
        <v>35.469999999999999</v>
      </c>
      <c r="F6162" s="22">
        <v>0</v>
      </c>
      <c r="G6162" s="21">
        <f t="shared" si="288"/>
        <v>34.259999999999998</v>
      </c>
      <c r="H6162" s="22">
        <v>0</v>
      </c>
      <c r="I6162" s="23" t="str">
        <f t="shared" si="289"/>
        <v xml:space="preserve">COM VALOR</v>
      </c>
      <c r="J6162" s="19"/>
      <c r="L6162" s="21">
        <v>35.469999999999999</v>
      </c>
      <c r="M6162" s="22">
        <v>0</v>
      </c>
      <c r="N6162" s="21">
        <v>34.259999999999998</v>
      </c>
      <c r="O6162" s="22">
        <v>0</v>
      </c>
    </row>
    <row r="6163" ht="38.25">
      <c r="A6163" t="s">
        <v>6218</v>
      </c>
      <c r="B6163" s="19">
        <v>92702</v>
      </c>
      <c r="C6163" s="20" t="s">
        <v>6278</v>
      </c>
      <c r="D6163" s="19" t="s">
        <v>31</v>
      </c>
      <c r="E6163" s="21">
        <f t="shared" si="287"/>
        <v>55.270000000000003</v>
      </c>
      <c r="F6163" s="22">
        <v>0</v>
      </c>
      <c r="G6163" s="21">
        <f t="shared" si="288"/>
        <v>53.310000000000002</v>
      </c>
      <c r="H6163" s="22">
        <v>0</v>
      </c>
      <c r="I6163" s="23" t="str">
        <f t="shared" si="289"/>
        <v xml:space="preserve">COM VALOR</v>
      </c>
      <c r="J6163" s="19"/>
      <c r="L6163" s="21">
        <v>55.270000000000003</v>
      </c>
      <c r="M6163" s="22">
        <v>0</v>
      </c>
      <c r="N6163" s="21">
        <v>53.310000000000002</v>
      </c>
      <c r="O6163" s="22">
        <v>0</v>
      </c>
    </row>
    <row r="6164" ht="38.25">
      <c r="A6164" t="s">
        <v>6218</v>
      </c>
      <c r="B6164" s="19">
        <v>92669</v>
      </c>
      <c r="C6164" s="20" t="s">
        <v>6279</v>
      </c>
      <c r="D6164" s="19" t="s">
        <v>31</v>
      </c>
      <c r="E6164" s="21">
        <f t="shared" si="287"/>
        <v>42.07</v>
      </c>
      <c r="F6164" s="22">
        <v>0</v>
      </c>
      <c r="G6164" s="21">
        <f t="shared" si="288"/>
        <v>40.850000000000001</v>
      </c>
      <c r="H6164" s="22">
        <v>0</v>
      </c>
      <c r="I6164" s="23" t="str">
        <f t="shared" si="289"/>
        <v xml:space="preserve">COM VALOR</v>
      </c>
      <c r="J6164" s="19"/>
      <c r="L6164" s="21">
        <v>42.07</v>
      </c>
      <c r="M6164" s="22">
        <v>0</v>
      </c>
      <c r="N6164" s="21">
        <v>40.850000000000001</v>
      </c>
      <c r="O6164" s="22">
        <v>0</v>
      </c>
    </row>
    <row r="6165" ht="38.25">
      <c r="A6165" t="s">
        <v>6218</v>
      </c>
      <c r="B6165" s="19">
        <v>92671</v>
      </c>
      <c r="C6165" s="20" t="s">
        <v>6280</v>
      </c>
      <c r="D6165" s="19" t="s">
        <v>31</v>
      </c>
      <c r="E6165" s="21">
        <f t="shared" si="287"/>
        <v>56.969999999999999</v>
      </c>
      <c r="F6165" s="22">
        <v>0</v>
      </c>
      <c r="G6165" s="21">
        <f t="shared" si="288"/>
        <v>55.640000000000001</v>
      </c>
      <c r="H6165" s="22">
        <v>0</v>
      </c>
      <c r="I6165" s="23" t="str">
        <f t="shared" si="289"/>
        <v xml:space="preserve">COM VALOR</v>
      </c>
      <c r="J6165" s="19"/>
      <c r="L6165" s="21">
        <v>56.969999999999999</v>
      </c>
      <c r="M6165" s="22">
        <v>0</v>
      </c>
      <c r="N6165" s="21">
        <v>55.640000000000001</v>
      </c>
      <c r="O6165" s="22">
        <v>0</v>
      </c>
    </row>
    <row r="6166" ht="38.25">
      <c r="A6166" t="s">
        <v>6218</v>
      </c>
      <c r="B6166" s="19">
        <v>92673</v>
      </c>
      <c r="C6166" s="20" t="s">
        <v>6281</v>
      </c>
      <c r="D6166" s="19" t="s">
        <v>31</v>
      </c>
      <c r="E6166" s="21">
        <f t="shared" si="287"/>
        <v>66.909999999999997</v>
      </c>
      <c r="F6166" s="22">
        <v>0</v>
      </c>
      <c r="G6166" s="21">
        <f t="shared" si="288"/>
        <v>65.430000000000007</v>
      </c>
      <c r="H6166" s="22">
        <v>0</v>
      </c>
      <c r="I6166" s="23" t="str">
        <f t="shared" si="289"/>
        <v xml:space="preserve">COM VALOR</v>
      </c>
      <c r="J6166" s="19"/>
      <c r="L6166" s="21">
        <v>66.909999999999997</v>
      </c>
      <c r="M6166" s="22">
        <v>0</v>
      </c>
      <c r="N6166" s="21">
        <v>65.430000000000007</v>
      </c>
      <c r="O6166" s="22">
        <v>0</v>
      </c>
    </row>
    <row r="6167" ht="38.25">
      <c r="A6167" t="s">
        <v>6218</v>
      </c>
      <c r="B6167" s="19">
        <v>92675</v>
      </c>
      <c r="C6167" s="20" t="s">
        <v>6282</v>
      </c>
      <c r="D6167" s="19" t="s">
        <v>31</v>
      </c>
      <c r="E6167" s="21">
        <f t="shared" si="287"/>
        <v>88.409999999999997</v>
      </c>
      <c r="F6167" s="22">
        <v>0</v>
      </c>
      <c r="G6167" s="21">
        <f t="shared" si="288"/>
        <v>86.760000000000005</v>
      </c>
      <c r="H6167" s="22">
        <v>0</v>
      </c>
      <c r="I6167" s="23" t="str">
        <f t="shared" si="289"/>
        <v xml:space="preserve">COM VALOR</v>
      </c>
      <c r="J6167" s="19"/>
      <c r="L6167" s="21">
        <v>88.409999999999997</v>
      </c>
      <c r="M6167" s="22">
        <v>0</v>
      </c>
      <c r="N6167" s="21">
        <v>86.760000000000005</v>
      </c>
      <c r="O6167" s="22">
        <v>0</v>
      </c>
    </row>
    <row r="6168" ht="38.25">
      <c r="A6168" t="s">
        <v>6218</v>
      </c>
      <c r="B6168" s="19">
        <v>92677</v>
      </c>
      <c r="C6168" s="20" t="s">
        <v>6283</v>
      </c>
      <c r="D6168" s="19" t="s">
        <v>31</v>
      </c>
      <c r="E6168" s="21">
        <f t="shared" si="287"/>
        <v>147.88</v>
      </c>
      <c r="F6168" s="22">
        <v>0</v>
      </c>
      <c r="G6168" s="21">
        <f t="shared" si="288"/>
        <v>145.96000000000001</v>
      </c>
      <c r="H6168" s="22">
        <v>0</v>
      </c>
      <c r="I6168" s="23" t="str">
        <f t="shared" si="289"/>
        <v xml:space="preserve">COM VALOR</v>
      </c>
      <c r="J6168" s="19"/>
      <c r="L6168" s="21">
        <v>147.88</v>
      </c>
      <c r="M6168" s="22">
        <v>0</v>
      </c>
      <c r="N6168" s="21">
        <v>145.96000000000001</v>
      </c>
      <c r="O6168" s="22">
        <v>0</v>
      </c>
    </row>
    <row r="6169" ht="38.25">
      <c r="A6169" t="s">
        <v>6218</v>
      </c>
      <c r="B6169" s="19">
        <v>92635</v>
      </c>
      <c r="C6169" s="20" t="s">
        <v>6284</v>
      </c>
      <c r="D6169" s="19" t="s">
        <v>31</v>
      </c>
      <c r="E6169" s="21">
        <f t="shared" si="287"/>
        <v>229.21000000000001</v>
      </c>
      <c r="F6169" s="22">
        <v>0.85999999999999999</v>
      </c>
      <c r="G6169" s="21">
        <f t="shared" si="288"/>
        <v>225.66</v>
      </c>
      <c r="H6169" s="22">
        <v>0.87</v>
      </c>
      <c r="I6169" s="23" t="str">
        <f t="shared" si="289"/>
        <v xml:space="preserve">COM VALOR</v>
      </c>
      <c r="J6169" s="19"/>
      <c r="L6169" s="21">
        <v>229.21000000000001</v>
      </c>
      <c r="M6169" s="22">
        <v>0</v>
      </c>
      <c r="N6169" s="21">
        <v>225.66</v>
      </c>
      <c r="O6169" s="22">
        <v>0</v>
      </c>
    </row>
    <row r="6170" ht="38.25">
      <c r="A6170" t="s">
        <v>6218</v>
      </c>
      <c r="B6170" s="19">
        <v>92679</v>
      </c>
      <c r="C6170" s="20" t="s">
        <v>6285</v>
      </c>
      <c r="D6170" s="19" t="s">
        <v>31</v>
      </c>
      <c r="E6170" s="21">
        <f t="shared" si="287"/>
        <v>204.97</v>
      </c>
      <c r="F6170" s="22">
        <v>0.87</v>
      </c>
      <c r="G6170" s="21">
        <f t="shared" si="288"/>
        <v>202.80000000000001</v>
      </c>
      <c r="H6170" s="22">
        <v>0.88</v>
      </c>
      <c r="I6170" s="23" t="str">
        <f t="shared" si="289"/>
        <v xml:space="preserve">COM VALOR</v>
      </c>
      <c r="J6170" s="19"/>
      <c r="L6170" s="21">
        <v>204.97</v>
      </c>
      <c r="M6170" s="22">
        <v>0</v>
      </c>
      <c r="N6170" s="21">
        <v>202.80000000000001</v>
      </c>
      <c r="O6170" s="22">
        <v>0</v>
      </c>
    </row>
    <row r="6171" ht="38.25">
      <c r="A6171" t="s">
        <v>6218</v>
      </c>
      <c r="B6171" s="19">
        <v>92381</v>
      </c>
      <c r="C6171" s="20" t="s">
        <v>6286</v>
      </c>
      <c r="D6171" s="19" t="s">
        <v>31</v>
      </c>
      <c r="E6171" s="21">
        <f t="shared" si="287"/>
        <v>53.75</v>
      </c>
      <c r="F6171" s="22">
        <v>0.89000000000000001</v>
      </c>
      <c r="G6171" s="21">
        <f t="shared" si="288"/>
        <v>51.869999999999997</v>
      </c>
      <c r="H6171" s="22">
        <v>0.90000000000000002</v>
      </c>
      <c r="I6171" s="23" t="str">
        <f t="shared" si="289"/>
        <v xml:space="preserve">COM VALOR</v>
      </c>
      <c r="J6171" s="19"/>
      <c r="L6171" s="21">
        <v>53.75</v>
      </c>
      <c r="M6171" s="22">
        <v>0</v>
      </c>
      <c r="N6171" s="21">
        <v>51.869999999999997</v>
      </c>
      <c r="O6171" s="22">
        <v>0</v>
      </c>
    </row>
    <row r="6172" ht="38.25">
      <c r="A6172" t="s">
        <v>6218</v>
      </c>
      <c r="B6172" s="19">
        <v>92383</v>
      </c>
      <c r="C6172" s="20" t="s">
        <v>6287</v>
      </c>
      <c r="D6172" s="19" t="s">
        <v>31</v>
      </c>
      <c r="E6172" s="21">
        <f t="shared" si="287"/>
        <v>70.25</v>
      </c>
      <c r="F6172" s="22">
        <v>0.70999999999999996</v>
      </c>
      <c r="G6172" s="21">
        <f t="shared" si="288"/>
        <v>68.159999999999997</v>
      </c>
      <c r="H6172" s="22">
        <v>0.72999999999999998</v>
      </c>
      <c r="I6172" s="23" t="str">
        <f t="shared" si="289"/>
        <v xml:space="preserve">COM VALOR</v>
      </c>
      <c r="J6172" s="19"/>
      <c r="L6172" s="21">
        <v>70.25</v>
      </c>
      <c r="M6172" s="22">
        <v>0</v>
      </c>
      <c r="N6172" s="21">
        <v>68.159999999999997</v>
      </c>
      <c r="O6172" s="22">
        <v>0</v>
      </c>
    </row>
    <row r="6173" ht="38.25">
      <c r="A6173" t="s">
        <v>6218</v>
      </c>
      <c r="B6173" s="19">
        <v>92385</v>
      </c>
      <c r="C6173" s="20" t="s">
        <v>6288</v>
      </c>
      <c r="D6173" s="19" t="s">
        <v>31</v>
      </c>
      <c r="E6173" s="21">
        <f t="shared" si="287"/>
        <v>82.010000000000005</v>
      </c>
      <c r="F6173" s="22">
        <v>0.65000000000000002</v>
      </c>
      <c r="G6173" s="21">
        <f t="shared" si="288"/>
        <v>79.680000000000007</v>
      </c>
      <c r="H6173" s="22">
        <v>0.66000000000000003</v>
      </c>
      <c r="I6173" s="23" t="str">
        <f t="shared" si="289"/>
        <v xml:space="preserve">COM VALOR</v>
      </c>
      <c r="J6173" s="19"/>
      <c r="L6173" s="21">
        <v>82.010000000000005</v>
      </c>
      <c r="M6173" s="22">
        <v>0</v>
      </c>
      <c r="N6173" s="21">
        <v>79.680000000000007</v>
      </c>
      <c r="O6173" s="22">
        <v>0</v>
      </c>
    </row>
    <row r="6174" ht="38.25">
      <c r="A6174" t="s">
        <v>6218</v>
      </c>
      <c r="B6174" s="19">
        <v>92350</v>
      </c>
      <c r="C6174" s="20" t="s">
        <v>6289</v>
      </c>
      <c r="D6174" s="19" t="s">
        <v>31</v>
      </c>
      <c r="E6174" s="21">
        <f t="shared" si="287"/>
        <v>110.56999999999999</v>
      </c>
      <c r="F6174" s="22">
        <v>0.62</v>
      </c>
      <c r="G6174" s="21">
        <f t="shared" si="288"/>
        <v>107.67</v>
      </c>
      <c r="H6174" s="22">
        <v>0.64000000000000001</v>
      </c>
      <c r="I6174" s="23" t="str">
        <f t="shared" si="289"/>
        <v xml:space="preserve">COM VALOR</v>
      </c>
      <c r="J6174" s="19"/>
      <c r="L6174" s="21">
        <v>110.56999999999999</v>
      </c>
      <c r="M6174" s="22">
        <v>0</v>
      </c>
      <c r="N6174" s="21">
        <v>107.67</v>
      </c>
      <c r="O6174" s="22">
        <v>0</v>
      </c>
    </row>
    <row r="6175" ht="38.25">
      <c r="A6175" t="s">
        <v>6218</v>
      </c>
      <c r="B6175" s="19">
        <v>92387</v>
      </c>
      <c r="C6175" s="20" t="s">
        <v>6290</v>
      </c>
      <c r="D6175" s="19" t="s">
        <v>31</v>
      </c>
      <c r="E6175" s="21">
        <f t="shared" si="287"/>
        <v>105.8</v>
      </c>
      <c r="F6175" s="22">
        <v>0.76000000000000001</v>
      </c>
      <c r="G6175" s="21">
        <f t="shared" si="288"/>
        <v>103.16</v>
      </c>
      <c r="H6175" s="22">
        <v>0.77000000000000002</v>
      </c>
      <c r="I6175" s="23" t="str">
        <f t="shared" si="289"/>
        <v xml:space="preserve">COM VALOR</v>
      </c>
      <c r="J6175" s="19"/>
      <c r="L6175" s="21">
        <v>105.8</v>
      </c>
      <c r="M6175" s="22">
        <v>0</v>
      </c>
      <c r="N6175" s="21">
        <v>103.16</v>
      </c>
      <c r="O6175" s="22">
        <v>0</v>
      </c>
    </row>
    <row r="6176" ht="38.25">
      <c r="A6176" t="s">
        <v>6218</v>
      </c>
      <c r="B6176" s="19">
        <v>92352</v>
      </c>
      <c r="C6176" s="20" t="s">
        <v>6291</v>
      </c>
      <c r="D6176" s="19" t="s">
        <v>31</v>
      </c>
      <c r="E6176" s="21">
        <f t="shared" si="287"/>
        <v>168.78</v>
      </c>
      <c r="F6176" s="22">
        <v>0.79000000000000004</v>
      </c>
      <c r="G6176" s="21">
        <f t="shared" si="288"/>
        <v>165.69</v>
      </c>
      <c r="H6176" s="22">
        <v>0.80000000000000004</v>
      </c>
      <c r="I6176" s="23" t="str">
        <f t="shared" si="289"/>
        <v xml:space="preserve">COM VALOR</v>
      </c>
      <c r="J6176" s="19"/>
      <c r="L6176" s="21">
        <v>168.78</v>
      </c>
      <c r="M6176" s="22">
        <v>0</v>
      </c>
      <c r="N6176" s="21">
        <v>165.69</v>
      </c>
      <c r="O6176" s="22">
        <v>0</v>
      </c>
    </row>
    <row r="6177" ht="38.25">
      <c r="A6177" t="s">
        <v>6218</v>
      </c>
      <c r="B6177" s="19">
        <v>92389</v>
      </c>
      <c r="C6177" s="20" t="s">
        <v>6292</v>
      </c>
      <c r="D6177" s="19" t="s">
        <v>31</v>
      </c>
      <c r="E6177" s="21">
        <f t="shared" si="287"/>
        <v>168.69</v>
      </c>
      <c r="F6177" s="22">
        <v>0.80000000000000004</v>
      </c>
      <c r="G6177" s="21">
        <f t="shared" si="288"/>
        <v>165.59999999999999</v>
      </c>
      <c r="H6177" s="22">
        <v>0.81000000000000005</v>
      </c>
      <c r="I6177" s="23" t="str">
        <f t="shared" si="289"/>
        <v xml:space="preserve">COM VALOR</v>
      </c>
      <c r="J6177" s="19"/>
      <c r="L6177" s="21">
        <v>168.69</v>
      </c>
      <c r="M6177" s="22">
        <v>0</v>
      </c>
      <c r="N6177" s="21">
        <v>165.59999999999999</v>
      </c>
      <c r="O6177" s="22">
        <v>0</v>
      </c>
    </row>
    <row r="6178" ht="38.25">
      <c r="A6178" t="s">
        <v>6218</v>
      </c>
      <c r="B6178" s="19">
        <v>92354</v>
      </c>
      <c r="C6178" s="20" t="s">
        <v>6293</v>
      </c>
      <c r="D6178" s="19" t="s">
        <v>31</v>
      </c>
      <c r="E6178" s="21">
        <f t="shared" si="287"/>
        <v>224.62</v>
      </c>
      <c r="F6178" s="22">
        <v>0.83999999999999997</v>
      </c>
      <c r="G6178" s="21">
        <f t="shared" si="288"/>
        <v>221.33000000000001</v>
      </c>
      <c r="H6178" s="22">
        <v>0.84999999999999998</v>
      </c>
      <c r="I6178" s="23" t="str">
        <f t="shared" si="289"/>
        <v xml:space="preserve">COM VALOR</v>
      </c>
      <c r="J6178" s="19"/>
      <c r="L6178" s="21">
        <v>224.62</v>
      </c>
      <c r="M6178" s="22">
        <v>0</v>
      </c>
      <c r="N6178" s="21">
        <v>221.33000000000001</v>
      </c>
      <c r="O6178" s="22">
        <v>0</v>
      </c>
    </row>
    <row r="6179" ht="38.25">
      <c r="A6179" t="s">
        <v>6218</v>
      </c>
      <c r="B6179" s="19">
        <v>92699</v>
      </c>
      <c r="C6179" s="20" t="s">
        <v>6294</v>
      </c>
      <c r="D6179" s="19" t="s">
        <v>31</v>
      </c>
      <c r="E6179" s="21">
        <f t="shared" si="287"/>
        <v>20.43</v>
      </c>
      <c r="F6179" s="22">
        <v>0.85999999999999999</v>
      </c>
      <c r="G6179" s="21">
        <f t="shared" si="288"/>
        <v>19.73</v>
      </c>
      <c r="H6179" s="22">
        <v>0.87</v>
      </c>
      <c r="I6179" s="23" t="str">
        <f t="shared" si="289"/>
        <v xml:space="preserve">COM VALOR</v>
      </c>
      <c r="J6179" s="19"/>
      <c r="L6179" s="21">
        <v>20.43</v>
      </c>
      <c r="M6179" s="22">
        <v>0</v>
      </c>
      <c r="N6179" s="21">
        <v>19.73</v>
      </c>
      <c r="O6179" s="22">
        <v>0</v>
      </c>
    </row>
    <row r="6180" ht="38.25">
      <c r="A6180" t="s">
        <v>6218</v>
      </c>
      <c r="B6180" s="19">
        <v>92701</v>
      </c>
      <c r="C6180" s="20" t="s">
        <v>6295</v>
      </c>
      <c r="D6180" s="19" t="s">
        <v>31</v>
      </c>
      <c r="E6180" s="21">
        <f t="shared" si="287"/>
        <v>33.229999999999997</v>
      </c>
      <c r="F6180" s="22">
        <v>0.88</v>
      </c>
      <c r="G6180" s="21">
        <f t="shared" si="288"/>
        <v>32.020000000000003</v>
      </c>
      <c r="H6180" s="22">
        <v>0.89000000000000001</v>
      </c>
      <c r="I6180" s="23" t="str">
        <f t="shared" si="289"/>
        <v xml:space="preserve">COM VALOR</v>
      </c>
      <c r="J6180" s="19"/>
      <c r="L6180" s="21">
        <v>33.229999999999997</v>
      </c>
      <c r="M6180" s="22">
        <v>0</v>
      </c>
      <c r="N6180" s="21">
        <v>32.020000000000003</v>
      </c>
      <c r="O6180" s="22">
        <v>0</v>
      </c>
    </row>
    <row r="6181" ht="38.25">
      <c r="A6181" t="s">
        <v>6218</v>
      </c>
      <c r="B6181" s="19">
        <v>92703</v>
      </c>
      <c r="C6181" s="20" t="s">
        <v>6296</v>
      </c>
      <c r="D6181" s="19" t="s">
        <v>31</v>
      </c>
      <c r="E6181" s="21">
        <f t="shared" si="287"/>
        <v>52.520000000000003</v>
      </c>
      <c r="F6181" s="22">
        <v>0.85999999999999999</v>
      </c>
      <c r="G6181" s="21">
        <f t="shared" si="288"/>
        <v>50.560000000000002</v>
      </c>
      <c r="H6181" s="22">
        <v>0.87</v>
      </c>
      <c r="I6181" s="23" t="str">
        <f t="shared" si="289"/>
        <v xml:space="preserve">COM VALOR</v>
      </c>
      <c r="J6181" s="19"/>
      <c r="L6181" s="21">
        <v>52.520000000000003</v>
      </c>
      <c r="M6181" s="22">
        <v>0</v>
      </c>
      <c r="N6181" s="21">
        <v>50.560000000000002</v>
      </c>
      <c r="O6181" s="22">
        <v>0</v>
      </c>
    </row>
    <row r="6182" ht="38.25">
      <c r="A6182" t="s">
        <v>6218</v>
      </c>
      <c r="B6182" s="19">
        <v>92670</v>
      </c>
      <c r="C6182" s="20" t="s">
        <v>6297</v>
      </c>
      <c r="D6182" s="19" t="s">
        <v>31</v>
      </c>
      <c r="E6182" s="21">
        <f t="shared" si="287"/>
        <v>39.32</v>
      </c>
      <c r="F6182" s="22">
        <v>0.92000000000000004</v>
      </c>
      <c r="G6182" s="21">
        <f t="shared" si="288"/>
        <v>38.100000000000001</v>
      </c>
      <c r="H6182" s="22">
        <v>0.93000000000000005</v>
      </c>
      <c r="I6182" s="23" t="str">
        <f t="shared" si="289"/>
        <v xml:space="preserve">COM VALOR</v>
      </c>
      <c r="J6182" s="19"/>
      <c r="L6182" s="21">
        <v>39.32</v>
      </c>
      <c r="M6182" s="22">
        <v>0</v>
      </c>
      <c r="N6182" s="21">
        <v>38.100000000000001</v>
      </c>
      <c r="O6182" s="22">
        <v>0</v>
      </c>
    </row>
    <row r="6183" ht="38.25">
      <c r="A6183" t="s">
        <v>6218</v>
      </c>
      <c r="B6183" s="19">
        <v>92672</v>
      </c>
      <c r="C6183" s="20" t="s">
        <v>6298</v>
      </c>
      <c r="D6183" s="19" t="s">
        <v>31</v>
      </c>
      <c r="E6183" s="21">
        <f t="shared" si="287"/>
        <v>51.479999999999997</v>
      </c>
      <c r="F6183" s="22">
        <v>0.82999999999999996</v>
      </c>
      <c r="G6183" s="21">
        <f t="shared" si="288"/>
        <v>50.149999999999999</v>
      </c>
      <c r="H6183" s="22">
        <v>0.83999999999999997</v>
      </c>
      <c r="I6183" s="23" t="str">
        <f t="shared" si="289"/>
        <v xml:space="preserve">COM VALOR</v>
      </c>
      <c r="J6183" s="19"/>
      <c r="L6183" s="21">
        <v>51.479999999999997</v>
      </c>
      <c r="M6183" s="22">
        <v>0</v>
      </c>
      <c r="N6183" s="21">
        <v>50.149999999999999</v>
      </c>
      <c r="O6183" s="22">
        <v>0</v>
      </c>
    </row>
    <row r="6184" ht="38.25">
      <c r="A6184" t="s">
        <v>6218</v>
      </c>
      <c r="B6184" s="19">
        <v>92674</v>
      </c>
      <c r="C6184" s="20" t="s">
        <v>6299</v>
      </c>
      <c r="D6184" s="19" t="s">
        <v>31</v>
      </c>
      <c r="E6184" s="21">
        <f t="shared" si="287"/>
        <v>63.130000000000003</v>
      </c>
      <c r="F6184" s="22">
        <v>0.84999999999999998</v>
      </c>
      <c r="G6184" s="21">
        <f t="shared" si="288"/>
        <v>61.649999999999999</v>
      </c>
      <c r="H6184" s="22">
        <v>0.85999999999999999</v>
      </c>
      <c r="I6184" s="23" t="str">
        <f t="shared" si="289"/>
        <v xml:space="preserve">COM VALOR</v>
      </c>
      <c r="J6184" s="19"/>
      <c r="L6184" s="21">
        <v>63.130000000000003</v>
      </c>
      <c r="M6184" s="22">
        <v>0</v>
      </c>
      <c r="N6184" s="21">
        <v>61.649999999999999</v>
      </c>
      <c r="O6184" s="22">
        <v>0</v>
      </c>
    </row>
    <row r="6185" ht="38.25">
      <c r="A6185" t="s">
        <v>6218</v>
      </c>
      <c r="B6185" s="19">
        <v>92676</v>
      </c>
      <c r="C6185" s="20" t="s">
        <v>6300</v>
      </c>
      <c r="D6185" s="19" t="s">
        <v>31</v>
      </c>
      <c r="E6185" s="21">
        <f t="shared" si="287"/>
        <v>85.840000000000003</v>
      </c>
      <c r="F6185" s="22">
        <v>0.85999999999999999</v>
      </c>
      <c r="G6185" s="21">
        <f t="shared" si="288"/>
        <v>84.189999999999998</v>
      </c>
      <c r="H6185" s="22">
        <v>0.87</v>
      </c>
      <c r="I6185" s="23" t="str">
        <f t="shared" si="289"/>
        <v xml:space="preserve">COM VALOR</v>
      </c>
      <c r="J6185" s="19"/>
      <c r="L6185" s="21">
        <v>85.840000000000003</v>
      </c>
      <c r="M6185" s="22">
        <v>0</v>
      </c>
      <c r="N6185" s="21">
        <v>84.189999999999998</v>
      </c>
      <c r="O6185" s="22">
        <v>0</v>
      </c>
    </row>
    <row r="6186" ht="38.25">
      <c r="A6186" t="s">
        <v>6218</v>
      </c>
      <c r="B6186" s="19">
        <v>92678</v>
      </c>
      <c r="C6186" s="20" t="s">
        <v>6301</v>
      </c>
      <c r="D6186" s="19" t="s">
        <v>31</v>
      </c>
      <c r="E6186" s="21">
        <f t="shared" si="287"/>
        <v>136.59</v>
      </c>
      <c r="F6186" s="22">
        <v>0.78000000000000003</v>
      </c>
      <c r="G6186" s="21">
        <f t="shared" si="288"/>
        <v>134.66999999999999</v>
      </c>
      <c r="H6186" s="22">
        <v>0.79000000000000004</v>
      </c>
      <c r="I6186" s="23" t="str">
        <f t="shared" si="289"/>
        <v xml:space="preserve">COM VALOR</v>
      </c>
      <c r="J6186" s="19"/>
      <c r="L6186" s="21">
        <v>136.59</v>
      </c>
      <c r="M6186" s="22">
        <v>0</v>
      </c>
      <c r="N6186" s="21">
        <v>134.66999999999999</v>
      </c>
      <c r="O6186" s="22">
        <v>0</v>
      </c>
    </row>
    <row r="6187" ht="38.25">
      <c r="A6187" t="s">
        <v>6218</v>
      </c>
      <c r="B6187" s="19">
        <v>92636</v>
      </c>
      <c r="C6187" s="20" t="s">
        <v>6302</v>
      </c>
      <c r="D6187" s="19" t="s">
        <v>31</v>
      </c>
      <c r="E6187" s="21">
        <f t="shared" si="287"/>
        <v>207.44</v>
      </c>
      <c r="F6187" s="22">
        <v>0.89000000000000001</v>
      </c>
      <c r="G6187" s="21">
        <f t="shared" si="288"/>
        <v>203.88999999999999</v>
      </c>
      <c r="H6187" s="22">
        <v>0.90000000000000002</v>
      </c>
      <c r="I6187" s="23" t="str">
        <f t="shared" si="289"/>
        <v xml:space="preserve">COM VALOR</v>
      </c>
      <c r="J6187" s="19"/>
      <c r="L6187" s="21">
        <v>207.44</v>
      </c>
      <c r="M6187" s="22">
        <v>0</v>
      </c>
      <c r="N6187" s="21">
        <v>203.88999999999999</v>
      </c>
      <c r="O6187" s="22">
        <v>0</v>
      </c>
    </row>
    <row r="6188" ht="38.25">
      <c r="A6188" t="s">
        <v>6218</v>
      </c>
      <c r="B6188" s="19">
        <v>92680</v>
      </c>
      <c r="C6188" s="20" t="s">
        <v>6303</v>
      </c>
      <c r="D6188" s="19" t="s">
        <v>31</v>
      </c>
      <c r="E6188" s="21">
        <f t="shared" si="287"/>
        <v>183.19999999999999</v>
      </c>
      <c r="F6188" s="22">
        <v>0.80000000000000004</v>
      </c>
      <c r="G6188" s="21">
        <f t="shared" si="288"/>
        <v>181.03</v>
      </c>
      <c r="H6188" s="22">
        <v>0.81000000000000005</v>
      </c>
      <c r="I6188" s="23" t="str">
        <f t="shared" si="289"/>
        <v xml:space="preserve">COM VALOR</v>
      </c>
      <c r="J6188" s="19"/>
      <c r="L6188" s="21">
        <v>183.19999999999999</v>
      </c>
      <c r="M6188" s="22">
        <v>0</v>
      </c>
      <c r="N6188" s="21">
        <v>181.03</v>
      </c>
      <c r="O6188" s="22">
        <v>0</v>
      </c>
    </row>
    <row r="6189" ht="38.25">
      <c r="A6189" t="s">
        <v>6218</v>
      </c>
      <c r="B6189" s="19">
        <v>92382</v>
      </c>
      <c r="C6189" s="20" t="s">
        <v>6304</v>
      </c>
      <c r="D6189" s="19" t="s">
        <v>31</v>
      </c>
      <c r="E6189" s="21">
        <f t="shared" si="287"/>
        <v>51</v>
      </c>
      <c r="F6189" s="22">
        <v>0.90000000000000002</v>
      </c>
      <c r="G6189" s="21">
        <f t="shared" si="288"/>
        <v>49.119999999999997</v>
      </c>
      <c r="H6189" s="22">
        <v>0.90000000000000002</v>
      </c>
      <c r="I6189" s="23" t="str">
        <f t="shared" si="289"/>
        <v xml:space="preserve">COM VALOR</v>
      </c>
      <c r="J6189" s="19"/>
      <c r="L6189" s="21">
        <v>51</v>
      </c>
      <c r="M6189" s="22">
        <v>0</v>
      </c>
      <c r="N6189" s="21">
        <v>49.119999999999997</v>
      </c>
      <c r="O6189" s="22">
        <v>0</v>
      </c>
    </row>
    <row r="6190" ht="38.25">
      <c r="A6190" t="s">
        <v>6218</v>
      </c>
      <c r="B6190" s="19">
        <v>92384</v>
      </c>
      <c r="C6190" s="20" t="s">
        <v>6305</v>
      </c>
      <c r="D6190" s="19" t="s">
        <v>31</v>
      </c>
      <c r="E6190" s="21">
        <f t="shared" si="287"/>
        <v>64.760000000000005</v>
      </c>
      <c r="F6190" s="22">
        <v>0.82999999999999996</v>
      </c>
      <c r="G6190" s="21">
        <f t="shared" si="288"/>
        <v>62.670000000000002</v>
      </c>
      <c r="H6190" s="22">
        <v>0.83999999999999997</v>
      </c>
      <c r="I6190" s="23" t="str">
        <f t="shared" si="289"/>
        <v xml:space="preserve">COM VALOR</v>
      </c>
      <c r="J6190" s="19"/>
      <c r="L6190" s="21">
        <v>64.760000000000005</v>
      </c>
      <c r="M6190" s="22">
        <v>0</v>
      </c>
      <c r="N6190" s="21">
        <v>62.670000000000002</v>
      </c>
      <c r="O6190" s="22">
        <v>0</v>
      </c>
    </row>
    <row r="6191" ht="38.25">
      <c r="A6191" t="s">
        <v>6218</v>
      </c>
      <c r="B6191" s="19">
        <v>92386</v>
      </c>
      <c r="C6191" s="20" t="s">
        <v>6306</v>
      </c>
      <c r="D6191" s="19" t="s">
        <v>31</v>
      </c>
      <c r="E6191" s="21">
        <f t="shared" si="287"/>
        <v>78.230000000000004</v>
      </c>
      <c r="F6191" s="22">
        <v>0.91000000000000003</v>
      </c>
      <c r="G6191" s="21">
        <f t="shared" si="288"/>
        <v>75.900000000000006</v>
      </c>
      <c r="H6191" s="22">
        <v>0.92000000000000004</v>
      </c>
      <c r="I6191" s="23" t="str">
        <f t="shared" si="289"/>
        <v xml:space="preserve">COM VALOR</v>
      </c>
      <c r="J6191" s="19"/>
      <c r="L6191" s="21">
        <v>78.230000000000004</v>
      </c>
      <c r="M6191" s="22">
        <v>0</v>
      </c>
      <c r="N6191" s="21">
        <v>75.900000000000006</v>
      </c>
      <c r="O6191" s="22">
        <v>0</v>
      </c>
    </row>
    <row r="6192" ht="38.25">
      <c r="A6192" t="s">
        <v>6218</v>
      </c>
      <c r="B6192" s="19">
        <v>92351</v>
      </c>
      <c r="C6192" s="20" t="s">
        <v>6307</v>
      </c>
      <c r="D6192" s="19" t="s">
        <v>31</v>
      </c>
      <c r="E6192" s="21">
        <f t="shared" si="287"/>
        <v>108</v>
      </c>
      <c r="F6192" s="22">
        <v>0.83999999999999997</v>
      </c>
      <c r="G6192" s="21">
        <f t="shared" si="288"/>
        <v>105.09999999999999</v>
      </c>
      <c r="H6192" s="22">
        <v>0.84999999999999998</v>
      </c>
      <c r="I6192" s="23" t="str">
        <f t="shared" si="289"/>
        <v xml:space="preserve">COM VALOR</v>
      </c>
      <c r="J6192" s="19"/>
      <c r="L6192" s="21">
        <v>108</v>
      </c>
      <c r="M6192" s="22">
        <v>0</v>
      </c>
      <c r="N6192" s="21">
        <v>105.09999999999999</v>
      </c>
      <c r="O6192" s="22">
        <v>0</v>
      </c>
    </row>
    <row r="6193" ht="38.25">
      <c r="A6193" t="s">
        <v>6218</v>
      </c>
      <c r="B6193" s="19">
        <v>92388</v>
      </c>
      <c r="C6193" s="20" t="s">
        <v>6308</v>
      </c>
      <c r="D6193" s="19" t="s">
        <v>31</v>
      </c>
      <c r="E6193" s="21">
        <f t="shared" si="287"/>
        <v>103.23</v>
      </c>
      <c r="F6193" s="22">
        <v>0.81000000000000005</v>
      </c>
      <c r="G6193" s="21">
        <f t="shared" si="288"/>
        <v>100.59</v>
      </c>
      <c r="H6193" s="22">
        <v>0.81999999999999995</v>
      </c>
      <c r="I6193" s="23" t="str">
        <f t="shared" si="289"/>
        <v xml:space="preserve">COM VALOR</v>
      </c>
      <c r="J6193" s="19"/>
      <c r="L6193" s="21">
        <v>103.23</v>
      </c>
      <c r="M6193" s="22">
        <v>0</v>
      </c>
      <c r="N6193" s="21">
        <v>100.59</v>
      </c>
      <c r="O6193" s="22">
        <v>0</v>
      </c>
    </row>
    <row r="6194" ht="38.25">
      <c r="A6194" t="s">
        <v>6218</v>
      </c>
      <c r="B6194" s="19">
        <v>92353</v>
      </c>
      <c r="C6194" s="20" t="s">
        <v>6309</v>
      </c>
      <c r="D6194" s="19" t="s">
        <v>31</v>
      </c>
      <c r="E6194" s="21">
        <f t="shared" si="287"/>
        <v>157.49000000000001</v>
      </c>
      <c r="F6194" s="22">
        <v>0.70999999999999996</v>
      </c>
      <c r="G6194" s="21">
        <f t="shared" si="288"/>
        <v>154.40000000000001</v>
      </c>
      <c r="H6194" s="22">
        <v>0.71999999999999997</v>
      </c>
      <c r="I6194" s="23" t="str">
        <f t="shared" si="289"/>
        <v xml:space="preserve">COM VALOR</v>
      </c>
      <c r="J6194" s="19"/>
      <c r="L6194" s="21">
        <v>157.49000000000001</v>
      </c>
      <c r="M6194" s="22">
        <v>0</v>
      </c>
      <c r="N6194" s="21">
        <v>154.40000000000001</v>
      </c>
      <c r="O6194" s="22">
        <v>0</v>
      </c>
    </row>
    <row r="6195" ht="38.25">
      <c r="A6195" t="s">
        <v>6218</v>
      </c>
      <c r="B6195" s="19">
        <v>92390</v>
      </c>
      <c r="C6195" s="20" t="s">
        <v>6310</v>
      </c>
      <c r="D6195" s="19" t="s">
        <v>31</v>
      </c>
      <c r="E6195" s="21">
        <f t="shared" si="287"/>
        <v>157.40000000000001</v>
      </c>
      <c r="F6195" s="22">
        <v>0.94999999999999996</v>
      </c>
      <c r="G6195" s="21">
        <f t="shared" si="288"/>
        <v>154.31</v>
      </c>
      <c r="H6195" s="22">
        <v>0.94999999999999996</v>
      </c>
      <c r="I6195" s="23" t="str">
        <f t="shared" si="289"/>
        <v xml:space="preserve">COM VALOR</v>
      </c>
      <c r="J6195" s="19"/>
      <c r="L6195" s="21">
        <v>157.40000000000001</v>
      </c>
      <c r="M6195" s="22">
        <v>0</v>
      </c>
      <c r="N6195" s="21">
        <v>154.31</v>
      </c>
      <c r="O6195" s="22">
        <v>0</v>
      </c>
    </row>
    <row r="6196" ht="38.25">
      <c r="A6196" t="s">
        <v>6218</v>
      </c>
      <c r="B6196" s="19">
        <v>92355</v>
      </c>
      <c r="C6196" s="20" t="s">
        <v>6311</v>
      </c>
      <c r="D6196" s="19" t="s">
        <v>31</v>
      </c>
      <c r="E6196" s="21">
        <f t="shared" si="287"/>
        <v>202.84999999999999</v>
      </c>
      <c r="F6196" s="22">
        <v>0.90000000000000002</v>
      </c>
      <c r="G6196" s="21">
        <f t="shared" si="288"/>
        <v>199.56</v>
      </c>
      <c r="H6196" s="22">
        <v>0.91000000000000003</v>
      </c>
      <c r="I6196" s="23" t="str">
        <f t="shared" si="289"/>
        <v xml:space="preserve">COM VALOR</v>
      </c>
      <c r="J6196" s="19"/>
      <c r="L6196" s="21">
        <v>202.84999999999999</v>
      </c>
      <c r="M6196" s="22">
        <v>0</v>
      </c>
      <c r="N6196" s="21">
        <v>199.56</v>
      </c>
      <c r="O6196" s="22">
        <v>0</v>
      </c>
    </row>
    <row r="6197" ht="25.5">
      <c r="A6197" t="s">
        <v>6218</v>
      </c>
      <c r="B6197" s="19">
        <v>101925</v>
      </c>
      <c r="C6197" s="20" t="s">
        <v>6312</v>
      </c>
      <c r="D6197" s="19" t="s">
        <v>31</v>
      </c>
      <c r="E6197" s="21">
        <f t="shared" si="287"/>
        <v>337.31999999999999</v>
      </c>
      <c r="F6197" s="22">
        <v>0.94999999999999996</v>
      </c>
      <c r="G6197" s="21">
        <f t="shared" si="288"/>
        <v>333.76999999999998</v>
      </c>
      <c r="H6197" s="22">
        <v>0.94999999999999996</v>
      </c>
      <c r="I6197" s="23" t="str">
        <f t="shared" si="289"/>
        <v xml:space="preserve">COM VALOR</v>
      </c>
      <c r="J6197" s="19"/>
      <c r="L6197" s="21">
        <v>337.31999999999999</v>
      </c>
      <c r="M6197" s="22">
        <v>0</v>
      </c>
      <c r="N6197" s="21">
        <v>333.76999999999998</v>
      </c>
      <c r="O6197" s="22">
        <v>0</v>
      </c>
    </row>
    <row r="6198" ht="38.25">
      <c r="A6198" t="s">
        <v>6218</v>
      </c>
      <c r="B6198" s="19">
        <v>101934</v>
      </c>
      <c r="C6198" s="20" t="s">
        <v>6313</v>
      </c>
      <c r="D6198" s="19" t="s">
        <v>31</v>
      </c>
      <c r="E6198" s="21">
        <f t="shared" si="287"/>
        <v>348.17000000000002</v>
      </c>
      <c r="F6198" s="22">
        <v>0.92000000000000004</v>
      </c>
      <c r="G6198" s="21">
        <f t="shared" si="288"/>
        <v>344.00999999999999</v>
      </c>
      <c r="H6198" s="22">
        <v>0.92000000000000004</v>
      </c>
      <c r="I6198" s="23" t="str">
        <f t="shared" si="289"/>
        <v xml:space="preserve">COM VALOR</v>
      </c>
      <c r="J6198" s="19"/>
      <c r="L6198" s="21">
        <v>348.17000000000002</v>
      </c>
      <c r="M6198" s="22">
        <v>0</v>
      </c>
      <c r="N6198" s="21">
        <v>344.00999999999999</v>
      </c>
      <c r="O6198" s="22">
        <v>0</v>
      </c>
    </row>
    <row r="6199" ht="38.25">
      <c r="A6199" t="s">
        <v>6218</v>
      </c>
      <c r="B6199" s="19">
        <v>97541</v>
      </c>
      <c r="C6199" s="20" t="s">
        <v>6314</v>
      </c>
      <c r="D6199" s="19" t="s">
        <v>31</v>
      </c>
      <c r="E6199" s="21">
        <f t="shared" si="287"/>
        <v>24.489999999999998</v>
      </c>
      <c r="F6199" s="22">
        <v>0.93999999999999995</v>
      </c>
      <c r="G6199" s="21">
        <f t="shared" si="288"/>
        <v>23.84</v>
      </c>
      <c r="H6199" s="22">
        <v>0.94999999999999996</v>
      </c>
      <c r="I6199" s="23" t="str">
        <f t="shared" si="289"/>
        <v xml:space="preserve">COM VALOR</v>
      </c>
      <c r="J6199" s="19"/>
      <c r="L6199" s="21">
        <v>24.489999999999998</v>
      </c>
      <c r="M6199" s="22">
        <v>0.51000000000000001</v>
      </c>
      <c r="N6199" s="21">
        <v>23.84</v>
      </c>
      <c r="O6199" s="22">
        <v>0.52000000000000002</v>
      </c>
    </row>
    <row r="6200" ht="38.25">
      <c r="A6200" t="s">
        <v>6218</v>
      </c>
      <c r="B6200" s="19">
        <v>97462</v>
      </c>
      <c r="C6200" s="20" t="s">
        <v>6315</v>
      </c>
      <c r="D6200" s="19" t="s">
        <v>31</v>
      </c>
      <c r="E6200" s="21">
        <f t="shared" si="287"/>
        <v>27.719999999999999</v>
      </c>
      <c r="F6200" s="22">
        <v>0.91000000000000003</v>
      </c>
      <c r="G6200" s="21">
        <f t="shared" si="288"/>
        <v>27.16</v>
      </c>
      <c r="H6200" s="22">
        <v>0.92000000000000004</v>
      </c>
      <c r="I6200" s="23" t="str">
        <f t="shared" si="289"/>
        <v xml:space="preserve">COM VALOR</v>
      </c>
      <c r="J6200" s="19"/>
      <c r="L6200" s="21">
        <v>27.719999999999999</v>
      </c>
      <c r="M6200" s="22">
        <v>0.62</v>
      </c>
      <c r="N6200" s="21">
        <v>27.16</v>
      </c>
      <c r="O6200" s="22">
        <v>0.64000000000000001</v>
      </c>
    </row>
    <row r="6201" ht="38.25">
      <c r="A6201" t="s">
        <v>6218</v>
      </c>
      <c r="B6201" s="19">
        <v>97544</v>
      </c>
      <c r="C6201" s="20" t="s">
        <v>6316</v>
      </c>
      <c r="D6201" s="19" t="s">
        <v>31</v>
      </c>
      <c r="E6201" s="21">
        <f t="shared" si="287"/>
        <v>39.649999999999999</v>
      </c>
      <c r="F6201" s="22">
        <v>0.81000000000000005</v>
      </c>
      <c r="G6201" s="21">
        <f t="shared" si="288"/>
        <v>38.43</v>
      </c>
      <c r="H6201" s="22">
        <v>0.82999999999999996</v>
      </c>
      <c r="I6201" s="23" t="str">
        <f t="shared" si="289"/>
        <v xml:space="preserve">COM VALOR</v>
      </c>
      <c r="J6201" s="19"/>
      <c r="L6201" s="21">
        <v>39.649999999999999</v>
      </c>
      <c r="M6201" s="22">
        <v>0.44</v>
      </c>
      <c r="N6201" s="21">
        <v>38.43</v>
      </c>
      <c r="O6201" s="22">
        <v>0.45000000000000001</v>
      </c>
    </row>
    <row r="6202" ht="38.25">
      <c r="A6202" t="s">
        <v>6218</v>
      </c>
      <c r="B6202" s="19">
        <v>97500</v>
      </c>
      <c r="C6202" s="20" t="s">
        <v>6317</v>
      </c>
      <c r="D6202" s="19" t="s">
        <v>31</v>
      </c>
      <c r="E6202" s="21">
        <f t="shared" si="287"/>
        <v>26.109999999999999</v>
      </c>
      <c r="F6202" s="22">
        <v>0.93999999999999995</v>
      </c>
      <c r="G6202" s="21">
        <f t="shared" si="288"/>
        <v>25.640000000000001</v>
      </c>
      <c r="H6202" s="22">
        <v>0.94999999999999996</v>
      </c>
      <c r="I6202" s="23" t="str">
        <f t="shared" si="289"/>
        <v xml:space="preserve">COM VALOR</v>
      </c>
      <c r="J6202" s="19"/>
      <c r="L6202" s="21">
        <v>26.109999999999999</v>
      </c>
      <c r="M6202" s="22">
        <v>0.66000000000000003</v>
      </c>
      <c r="N6202" s="21">
        <v>25.640000000000001</v>
      </c>
      <c r="O6202" s="22">
        <v>0.67000000000000004</v>
      </c>
    </row>
    <row r="6203" ht="38.25">
      <c r="A6203" t="s">
        <v>6218</v>
      </c>
      <c r="B6203" s="19">
        <v>97465</v>
      </c>
      <c r="C6203" s="20" t="s">
        <v>6318</v>
      </c>
      <c r="D6203" s="19" t="s">
        <v>31</v>
      </c>
      <c r="E6203" s="21">
        <f t="shared" si="287"/>
        <v>58.469999999999999</v>
      </c>
      <c r="F6203" s="22">
        <v>0.92000000000000004</v>
      </c>
      <c r="G6203" s="21">
        <f t="shared" si="288"/>
        <v>57.780000000000001</v>
      </c>
      <c r="H6203" s="22">
        <v>0.92000000000000004</v>
      </c>
      <c r="I6203" s="23" t="str">
        <f t="shared" si="289"/>
        <v xml:space="preserve">COM VALOR</v>
      </c>
      <c r="J6203" s="19"/>
      <c r="L6203" s="21">
        <v>58.469999999999999</v>
      </c>
      <c r="M6203" s="22">
        <v>0.78000000000000003</v>
      </c>
      <c r="N6203" s="21">
        <v>57.780000000000001</v>
      </c>
      <c r="O6203" s="22">
        <v>0.78000000000000003</v>
      </c>
    </row>
    <row r="6204" ht="38.25">
      <c r="A6204" t="s">
        <v>6218</v>
      </c>
      <c r="B6204" s="19">
        <v>97503</v>
      </c>
      <c r="C6204" s="20" t="s">
        <v>6319</v>
      </c>
      <c r="D6204" s="19" t="s">
        <v>31</v>
      </c>
      <c r="E6204" s="21">
        <f t="shared" si="287"/>
        <v>55.43</v>
      </c>
      <c r="F6204" s="22">
        <v>0.85999999999999999</v>
      </c>
      <c r="G6204" s="21">
        <f t="shared" si="288"/>
        <v>54.899999999999999</v>
      </c>
      <c r="H6204" s="22">
        <v>0.87</v>
      </c>
      <c r="I6204" s="23" t="str">
        <f t="shared" si="289"/>
        <v xml:space="preserve">COM VALOR</v>
      </c>
      <c r="J6204" s="19"/>
      <c r="L6204" s="21">
        <v>55.43</v>
      </c>
      <c r="M6204" s="22">
        <v>0.81999999999999995</v>
      </c>
      <c r="N6204" s="21">
        <v>54.899999999999999</v>
      </c>
      <c r="O6204" s="22">
        <v>0.82999999999999996</v>
      </c>
    </row>
    <row r="6205" ht="38.25">
      <c r="A6205" t="s">
        <v>6218</v>
      </c>
      <c r="B6205" s="19">
        <v>97468</v>
      </c>
      <c r="C6205" s="20" t="s">
        <v>6320</v>
      </c>
      <c r="D6205" s="19" t="s">
        <v>31</v>
      </c>
      <c r="E6205" s="21">
        <f t="shared" si="287"/>
        <v>74.420000000000002</v>
      </c>
      <c r="F6205" s="22">
        <v>0.94999999999999996</v>
      </c>
      <c r="G6205" s="21">
        <f t="shared" si="288"/>
        <v>73.549999999999997</v>
      </c>
      <c r="H6205" s="22">
        <v>0.95999999999999996</v>
      </c>
      <c r="I6205" s="23" t="str">
        <f t="shared" si="289"/>
        <v xml:space="preserve">COM VALOR</v>
      </c>
      <c r="J6205" s="19"/>
      <c r="L6205" s="21">
        <v>74.420000000000002</v>
      </c>
      <c r="M6205" s="22">
        <v>0.78000000000000003</v>
      </c>
      <c r="N6205" s="21">
        <v>73.549999999999997</v>
      </c>
      <c r="O6205" s="22">
        <v>0.79000000000000004</v>
      </c>
    </row>
    <row r="6206" ht="38.25">
      <c r="A6206" t="s">
        <v>6218</v>
      </c>
      <c r="B6206" s="19">
        <v>97506</v>
      </c>
      <c r="C6206" s="20" t="s">
        <v>6321</v>
      </c>
      <c r="D6206" s="19" t="s">
        <v>31</v>
      </c>
      <c r="E6206" s="21">
        <f t="shared" si="287"/>
        <v>69.569999999999993</v>
      </c>
      <c r="F6206" s="22">
        <v>0.93999999999999995</v>
      </c>
      <c r="G6206" s="21">
        <f t="shared" si="288"/>
        <v>68.980000000000004</v>
      </c>
      <c r="H6206" s="22">
        <v>0.93999999999999995</v>
      </c>
      <c r="I6206" s="23" t="str">
        <f t="shared" si="289"/>
        <v xml:space="preserve">COM VALOR</v>
      </c>
      <c r="J6206" s="19"/>
      <c r="L6206" s="21">
        <v>69.569999999999993</v>
      </c>
      <c r="M6206" s="22">
        <v>0.82999999999999996</v>
      </c>
      <c r="N6206" s="21">
        <v>68.980000000000004</v>
      </c>
      <c r="O6206" s="22">
        <v>0.83999999999999997</v>
      </c>
    </row>
    <row r="6207" ht="38.25">
      <c r="A6207" t="s">
        <v>6218</v>
      </c>
      <c r="B6207" s="19">
        <v>97444</v>
      </c>
      <c r="C6207" s="20" t="s">
        <v>6322</v>
      </c>
      <c r="D6207" s="19" t="s">
        <v>31</v>
      </c>
      <c r="E6207" s="21">
        <f t="shared" si="287"/>
        <v>131.31</v>
      </c>
      <c r="F6207" s="22">
        <v>0.73999999999999999</v>
      </c>
      <c r="G6207" s="21">
        <f t="shared" si="288"/>
        <v>129.13999999999999</v>
      </c>
      <c r="H6207" s="22">
        <v>0.75</v>
      </c>
      <c r="I6207" s="23" t="str">
        <f t="shared" si="289"/>
        <v xml:space="preserve">COM VALOR</v>
      </c>
      <c r="J6207" s="19"/>
      <c r="L6207" s="21">
        <v>131.31</v>
      </c>
      <c r="M6207" s="22">
        <v>0.69999999999999996</v>
      </c>
      <c r="N6207" s="21">
        <v>129.13999999999999</v>
      </c>
      <c r="O6207" s="22">
        <v>0.70999999999999996</v>
      </c>
    </row>
    <row r="6208" ht="38.25">
      <c r="A6208" t="s">
        <v>6218</v>
      </c>
      <c r="B6208" s="19">
        <v>97471</v>
      </c>
      <c r="C6208" s="20" t="s">
        <v>6323</v>
      </c>
      <c r="D6208" s="19" t="s">
        <v>31</v>
      </c>
      <c r="E6208" s="21">
        <f t="shared" si="287"/>
        <v>111.88</v>
      </c>
      <c r="F6208" s="22">
        <v>0.75</v>
      </c>
      <c r="G6208" s="21">
        <f t="shared" si="288"/>
        <v>110.8</v>
      </c>
      <c r="H6208" s="22">
        <v>0.76000000000000001</v>
      </c>
      <c r="I6208" s="23" t="str">
        <f t="shared" si="289"/>
        <v xml:space="preserve">COM VALOR</v>
      </c>
      <c r="J6208" s="19"/>
      <c r="L6208" s="21">
        <v>111.88</v>
      </c>
      <c r="M6208" s="22">
        <v>0.81999999999999995</v>
      </c>
      <c r="N6208" s="21">
        <v>110.8</v>
      </c>
      <c r="O6208" s="22">
        <v>0.82999999999999996</v>
      </c>
    </row>
    <row r="6209" ht="38.25">
      <c r="A6209" t="s">
        <v>6218</v>
      </c>
      <c r="B6209" s="19">
        <v>97509</v>
      </c>
      <c r="C6209" s="20" t="s">
        <v>6324</v>
      </c>
      <c r="D6209" s="19" t="s">
        <v>31</v>
      </c>
      <c r="E6209" s="21">
        <f t="shared" si="287"/>
        <v>104.86</v>
      </c>
      <c r="F6209" s="22">
        <v>0.73999999999999999</v>
      </c>
      <c r="G6209" s="21">
        <f t="shared" si="288"/>
        <v>104.18000000000001</v>
      </c>
      <c r="H6209" s="22">
        <v>0.76000000000000001</v>
      </c>
      <c r="I6209" s="23" t="str">
        <f t="shared" si="289"/>
        <v xml:space="preserve">COM VALOR</v>
      </c>
      <c r="J6209" s="19"/>
      <c r="L6209" s="21">
        <v>104.86</v>
      </c>
      <c r="M6209" s="22">
        <v>0.87</v>
      </c>
      <c r="N6209" s="21">
        <v>104.18000000000001</v>
      </c>
      <c r="O6209" s="22">
        <v>0.88</v>
      </c>
    </row>
    <row r="6210" ht="38.25">
      <c r="A6210" t="s">
        <v>6218</v>
      </c>
      <c r="B6210" s="19">
        <v>97447</v>
      </c>
      <c r="C6210" s="20" t="s">
        <v>6325</v>
      </c>
      <c r="D6210" s="19" t="s">
        <v>31</v>
      </c>
      <c r="E6210" s="21">
        <f t="shared" si="287"/>
        <v>225.36000000000001</v>
      </c>
      <c r="F6210" s="22">
        <v>0.64000000000000001</v>
      </c>
      <c r="G6210" s="21">
        <f t="shared" si="288"/>
        <v>223.15000000000001</v>
      </c>
      <c r="H6210" s="22">
        <v>0.66000000000000003</v>
      </c>
      <c r="I6210" s="23" t="str">
        <f t="shared" si="289"/>
        <v xml:space="preserve">COM VALOR</v>
      </c>
      <c r="J6210" s="19"/>
      <c r="L6210" s="21">
        <v>225.36000000000001</v>
      </c>
      <c r="M6210" s="22">
        <v>0.81999999999999995</v>
      </c>
      <c r="N6210" s="21">
        <v>223.15000000000001</v>
      </c>
      <c r="O6210" s="22">
        <v>0.81999999999999995</v>
      </c>
    </row>
    <row r="6211" ht="38.25">
      <c r="A6211" t="s">
        <v>6218</v>
      </c>
      <c r="B6211" s="19">
        <v>97475</v>
      </c>
      <c r="C6211" s="20" t="s">
        <v>6326</v>
      </c>
      <c r="D6211" s="19" t="s">
        <v>31</v>
      </c>
      <c r="E6211" s="21">
        <f t="shared" si="287"/>
        <v>210.27000000000001</v>
      </c>
      <c r="F6211" s="22">
        <v>0.57999999999999996</v>
      </c>
      <c r="G6211" s="21">
        <f t="shared" si="288"/>
        <v>208.90000000000001</v>
      </c>
      <c r="H6211" s="22">
        <v>0.59999999999999998</v>
      </c>
      <c r="I6211" s="23" t="str">
        <f t="shared" si="289"/>
        <v xml:space="preserve">COM VALOR</v>
      </c>
      <c r="J6211" s="19"/>
      <c r="L6211" s="21">
        <v>210.27000000000001</v>
      </c>
      <c r="M6211" s="22">
        <v>0.87</v>
      </c>
      <c r="N6211" s="21">
        <v>208.90000000000001</v>
      </c>
      <c r="O6211" s="22">
        <v>0.88</v>
      </c>
    </row>
    <row r="6212" ht="38.25">
      <c r="A6212" t="s">
        <v>6218</v>
      </c>
      <c r="B6212" s="19">
        <v>97512</v>
      </c>
      <c r="C6212" s="20" t="s">
        <v>6327</v>
      </c>
      <c r="D6212" s="19" t="s">
        <v>31</v>
      </c>
      <c r="E6212" s="21">
        <f t="shared" si="287"/>
        <v>200.24000000000001</v>
      </c>
      <c r="F6212" s="22">
        <v>0.53000000000000003</v>
      </c>
      <c r="G6212" s="21">
        <f t="shared" si="288"/>
        <v>199.43000000000001</v>
      </c>
      <c r="H6212" s="22">
        <v>0.55000000000000004</v>
      </c>
      <c r="I6212" s="23" t="str">
        <f t="shared" si="289"/>
        <v xml:space="preserve">COM VALOR</v>
      </c>
      <c r="J6212" s="19"/>
      <c r="L6212" s="21">
        <v>200.24000000000001</v>
      </c>
      <c r="M6212" s="22">
        <v>0.92000000000000004</v>
      </c>
      <c r="N6212" s="21">
        <v>199.43000000000001</v>
      </c>
      <c r="O6212" s="22">
        <v>0.92249999999999999</v>
      </c>
    </row>
    <row r="6213" ht="38.25">
      <c r="A6213" t="s">
        <v>6218</v>
      </c>
      <c r="B6213" s="19">
        <v>97450</v>
      </c>
      <c r="C6213" s="20" t="s">
        <v>6328</v>
      </c>
      <c r="D6213" s="19" t="s">
        <v>31</v>
      </c>
      <c r="E6213" s="21">
        <f t="shared" si="287"/>
        <v>292.06999999999999</v>
      </c>
      <c r="F6213" s="22">
        <v>0.72999999999999998</v>
      </c>
      <c r="G6213" s="21">
        <f t="shared" si="288"/>
        <v>289.79000000000002</v>
      </c>
      <c r="H6213" s="22">
        <v>0.75</v>
      </c>
      <c r="I6213" s="23" t="str">
        <f t="shared" si="289"/>
        <v xml:space="preserve">COM VALOR</v>
      </c>
      <c r="J6213" s="19"/>
      <c r="L6213" s="21">
        <v>292.06999999999999</v>
      </c>
      <c r="M6213" s="22">
        <v>0.84999999999999998</v>
      </c>
      <c r="N6213" s="21">
        <v>289.79000000000002</v>
      </c>
      <c r="O6213" s="22">
        <v>0.85999999999999999</v>
      </c>
    </row>
    <row r="6214" ht="38.25">
      <c r="A6214" t="s">
        <v>6218</v>
      </c>
      <c r="B6214" s="19">
        <v>97478</v>
      </c>
      <c r="C6214" s="20" t="s">
        <v>6329</v>
      </c>
      <c r="D6214" s="19" t="s">
        <v>31</v>
      </c>
      <c r="E6214" s="21">
        <f t="shared" si="287"/>
        <v>282.16000000000003</v>
      </c>
      <c r="F6214" s="22">
        <v>0.78000000000000003</v>
      </c>
      <c r="G6214" s="21">
        <f t="shared" si="288"/>
        <v>280.44</v>
      </c>
      <c r="H6214" s="22">
        <v>0.79000000000000004</v>
      </c>
      <c r="I6214" s="23" t="str">
        <f t="shared" si="289"/>
        <v xml:space="preserve">COM VALOR</v>
      </c>
      <c r="J6214" s="19"/>
      <c r="L6214" s="21">
        <v>282.16000000000003</v>
      </c>
      <c r="M6214" s="22">
        <v>0.88</v>
      </c>
      <c r="N6214" s="21">
        <v>280.44</v>
      </c>
      <c r="O6214" s="22">
        <v>0.89000000000000001</v>
      </c>
    </row>
    <row r="6215" ht="38.25">
      <c r="A6215" t="s">
        <v>6218</v>
      </c>
      <c r="B6215" s="19">
        <v>97515</v>
      </c>
      <c r="C6215" s="20" t="s">
        <v>6330</v>
      </c>
      <c r="D6215" s="19" t="s">
        <v>31</v>
      </c>
      <c r="E6215" s="21">
        <f t="shared" si="287"/>
        <v>268.50999999999999</v>
      </c>
      <c r="F6215" s="22">
        <v>0.77000000000000002</v>
      </c>
      <c r="G6215" s="21">
        <f t="shared" si="288"/>
        <v>267.56</v>
      </c>
      <c r="H6215" s="22">
        <v>0.78000000000000003</v>
      </c>
      <c r="I6215" s="23" t="str">
        <f t="shared" si="289"/>
        <v xml:space="preserve">COM VALOR</v>
      </c>
      <c r="J6215" s="19"/>
      <c r="L6215" s="21">
        <v>268.50999999999999</v>
      </c>
      <c r="M6215" s="22">
        <v>0.93000000000000005</v>
      </c>
      <c r="N6215" s="21">
        <v>267.56</v>
      </c>
      <c r="O6215" s="22">
        <v>0.93000000000000005</v>
      </c>
    </row>
    <row r="6216" ht="38.25">
      <c r="A6216" t="s">
        <v>6218</v>
      </c>
      <c r="B6216" s="19">
        <v>92928</v>
      </c>
      <c r="C6216" s="20" t="s">
        <v>6331</v>
      </c>
      <c r="D6216" s="19" t="s">
        <v>31</v>
      </c>
      <c r="E6216" s="21">
        <f t="shared" si="287"/>
        <v>53.869999999999997</v>
      </c>
      <c r="F6216" s="22">
        <v>0.81999999999999995</v>
      </c>
      <c r="G6216" s="21">
        <f t="shared" si="288"/>
        <v>52.399999999999999</v>
      </c>
      <c r="H6216" s="22">
        <v>0.83999999999999997</v>
      </c>
      <c r="I6216" s="23" t="str">
        <f t="shared" si="289"/>
        <v xml:space="preserve">COM VALOR</v>
      </c>
      <c r="J6216" s="19"/>
      <c r="L6216" s="21">
        <v>53.869999999999997</v>
      </c>
      <c r="M6216" s="22">
        <v>0</v>
      </c>
      <c r="N6216" s="21">
        <v>52.399999999999999</v>
      </c>
      <c r="O6216" s="22">
        <v>0</v>
      </c>
    </row>
    <row r="6217" ht="38.25">
      <c r="A6217" t="s">
        <v>6218</v>
      </c>
      <c r="B6217" s="19">
        <v>92943</v>
      </c>
      <c r="C6217" s="20" t="s">
        <v>6332</v>
      </c>
      <c r="D6217" s="19" t="s">
        <v>31</v>
      </c>
      <c r="E6217" s="21">
        <f t="shared" si="287"/>
        <v>44.399999999999999</v>
      </c>
      <c r="F6217" s="22">
        <v>0.78000000000000003</v>
      </c>
      <c r="G6217" s="21">
        <f t="shared" si="288"/>
        <v>43.469999999999999</v>
      </c>
      <c r="H6217" s="22">
        <v>0.79000000000000004</v>
      </c>
      <c r="I6217" s="23" t="str">
        <f t="shared" si="289"/>
        <v xml:space="preserve">COM VALOR</v>
      </c>
      <c r="J6217" s="19"/>
      <c r="L6217" s="21">
        <v>44.399999999999999</v>
      </c>
      <c r="M6217" s="22">
        <v>0</v>
      </c>
      <c r="N6217" s="21">
        <v>43.469999999999999</v>
      </c>
      <c r="O6217" s="22">
        <v>0</v>
      </c>
    </row>
    <row r="6218" ht="38.25">
      <c r="A6218" t="s">
        <v>6218</v>
      </c>
      <c r="B6218" s="19">
        <v>92929</v>
      </c>
      <c r="C6218" s="20" t="s">
        <v>6333</v>
      </c>
      <c r="D6218" s="19" t="s">
        <v>31</v>
      </c>
      <c r="E6218" s="21">
        <f t="shared" si="287"/>
        <v>52.579999999999998</v>
      </c>
      <c r="F6218" s="22">
        <v>0.83999999999999997</v>
      </c>
      <c r="G6218" s="21">
        <f t="shared" si="288"/>
        <v>51.170000000000002</v>
      </c>
      <c r="H6218" s="22">
        <v>0.84999999999999998</v>
      </c>
      <c r="I6218" s="23" t="str">
        <f t="shared" si="289"/>
        <v xml:space="preserve">COM VALOR</v>
      </c>
      <c r="J6218" s="19"/>
      <c r="L6218" s="21">
        <v>52.579999999999998</v>
      </c>
      <c r="M6218" s="22">
        <v>0</v>
      </c>
      <c r="N6218" s="21">
        <v>51.170000000000002</v>
      </c>
      <c r="O6218" s="22">
        <v>0</v>
      </c>
    </row>
    <row r="6219" ht="38.25">
      <c r="A6219" t="s">
        <v>6218</v>
      </c>
      <c r="B6219" s="19">
        <v>92944</v>
      </c>
      <c r="C6219" s="20" t="s">
        <v>6334</v>
      </c>
      <c r="D6219" s="19" t="s">
        <v>31</v>
      </c>
      <c r="E6219" s="21">
        <f t="shared" ref="E6219:E6282" si="290">IF(L6219=0,"VERIFICAR",L6219)</f>
        <v>43.649999999999999</v>
      </c>
      <c r="F6219" s="22">
        <v>0.72999999999999998</v>
      </c>
      <c r="G6219" s="21">
        <f t="shared" ref="G6219:G6282" si="291">IF(N6219=0,"VERIFICAR",N6219)</f>
        <v>42.740000000000002</v>
      </c>
      <c r="H6219" s="22">
        <v>0.73999999999999999</v>
      </c>
      <c r="I6219" s="23" t="str">
        <f t="shared" ref="I6219:I6282" si="292">IF(OR(E6219=0,G6219=0),"SEM VALOR","COM VALOR")</f>
        <v xml:space="preserve">COM VALOR</v>
      </c>
      <c r="J6219" s="19"/>
      <c r="L6219" s="21">
        <v>43.649999999999999</v>
      </c>
      <c r="M6219" s="22">
        <v>0</v>
      </c>
      <c r="N6219" s="21">
        <v>42.740000000000002</v>
      </c>
      <c r="O6219" s="22">
        <v>0</v>
      </c>
    </row>
    <row r="6220" ht="38.25">
      <c r="A6220" t="s">
        <v>6218</v>
      </c>
      <c r="B6220" s="19">
        <v>92930</v>
      </c>
      <c r="C6220" s="20" t="s">
        <v>6335</v>
      </c>
      <c r="D6220" s="19" t="s">
        <v>31</v>
      </c>
      <c r="E6220" s="21">
        <f t="shared" si="290"/>
        <v>51.630000000000003</v>
      </c>
      <c r="F6220" s="22">
        <v>0.81999999999999995</v>
      </c>
      <c r="G6220" s="21">
        <f t="shared" si="291"/>
        <v>50.280000000000001</v>
      </c>
      <c r="H6220" s="22">
        <v>0.82999999999999996</v>
      </c>
      <c r="I6220" s="23" t="str">
        <f t="shared" si="292"/>
        <v xml:space="preserve">COM VALOR</v>
      </c>
      <c r="J6220" s="19"/>
      <c r="L6220" s="21">
        <v>51.630000000000003</v>
      </c>
      <c r="M6220" s="22">
        <v>0</v>
      </c>
      <c r="N6220" s="21">
        <v>50.280000000000001</v>
      </c>
      <c r="O6220" s="22">
        <v>0</v>
      </c>
    </row>
    <row r="6221" ht="38.25">
      <c r="A6221" t="s">
        <v>6218</v>
      </c>
      <c r="B6221" s="19">
        <v>92945</v>
      </c>
      <c r="C6221" s="20" t="s">
        <v>6336</v>
      </c>
      <c r="D6221" s="19" t="s">
        <v>31</v>
      </c>
      <c r="E6221" s="21">
        <f t="shared" si="290"/>
        <v>43.090000000000003</v>
      </c>
      <c r="F6221" s="22">
        <v>0.88</v>
      </c>
      <c r="G6221" s="21">
        <f t="shared" si="291"/>
        <v>42.210000000000001</v>
      </c>
      <c r="H6221" s="22">
        <v>0.89000000000000001</v>
      </c>
      <c r="I6221" s="23" t="str">
        <f t="shared" si="292"/>
        <v xml:space="preserve">COM VALOR</v>
      </c>
      <c r="J6221" s="19"/>
      <c r="L6221" s="21">
        <v>43.090000000000003</v>
      </c>
      <c r="M6221" s="22">
        <v>0</v>
      </c>
      <c r="N6221" s="21">
        <v>42.210000000000001</v>
      </c>
      <c r="O6221" s="22">
        <v>0</v>
      </c>
    </row>
    <row r="6222" ht="38.25">
      <c r="A6222" t="s">
        <v>6218</v>
      </c>
      <c r="B6222" s="19">
        <v>92925</v>
      </c>
      <c r="C6222" s="20" t="s">
        <v>6337</v>
      </c>
      <c r="D6222" s="19" t="s">
        <v>31</v>
      </c>
      <c r="E6222" s="21">
        <f t="shared" si="290"/>
        <v>46.340000000000003</v>
      </c>
      <c r="F6222" s="22">
        <v>0.81999999999999995</v>
      </c>
      <c r="G6222" s="21">
        <f t="shared" si="291"/>
        <v>45.009999999999998</v>
      </c>
      <c r="H6222" s="22">
        <v>0.83999999999999997</v>
      </c>
      <c r="I6222" s="23" t="str">
        <f t="shared" si="292"/>
        <v xml:space="preserve">COM VALOR</v>
      </c>
      <c r="J6222" s="19"/>
      <c r="L6222" s="21">
        <v>46.340000000000003</v>
      </c>
      <c r="M6222" s="22">
        <v>0</v>
      </c>
      <c r="N6222" s="21">
        <v>45.009999999999998</v>
      </c>
      <c r="O6222" s="22">
        <v>0</v>
      </c>
    </row>
    <row r="6223" ht="38.25">
      <c r="A6223" t="s">
        <v>6218</v>
      </c>
      <c r="B6223" s="19">
        <v>92940</v>
      </c>
      <c r="C6223" s="20" t="s">
        <v>6338</v>
      </c>
      <c r="D6223" s="19" t="s">
        <v>31</v>
      </c>
      <c r="E6223" s="21">
        <f t="shared" si="290"/>
        <v>38.020000000000003</v>
      </c>
      <c r="F6223" s="22">
        <v>0.87</v>
      </c>
      <c r="G6223" s="21">
        <f t="shared" si="291"/>
        <v>37.159999999999997</v>
      </c>
      <c r="H6223" s="22">
        <v>0.88</v>
      </c>
      <c r="I6223" s="23" t="str">
        <f t="shared" si="292"/>
        <v xml:space="preserve">COM VALOR</v>
      </c>
      <c r="J6223" s="19"/>
      <c r="L6223" s="21">
        <v>38.020000000000003</v>
      </c>
      <c r="M6223" s="22">
        <v>0</v>
      </c>
      <c r="N6223" s="21">
        <v>37.159999999999997</v>
      </c>
      <c r="O6223" s="22">
        <v>0</v>
      </c>
    </row>
    <row r="6224" ht="38.25">
      <c r="A6224" t="s">
        <v>6218</v>
      </c>
      <c r="B6224" s="19">
        <v>92926</v>
      </c>
      <c r="C6224" s="20" t="s">
        <v>6339</v>
      </c>
      <c r="D6224" s="19" t="s">
        <v>31</v>
      </c>
      <c r="E6224" s="21">
        <f t="shared" si="290"/>
        <v>44.469999999999999</v>
      </c>
      <c r="F6224" s="22">
        <v>0.91000000000000003</v>
      </c>
      <c r="G6224" s="21">
        <f t="shared" si="291"/>
        <v>43.25</v>
      </c>
      <c r="H6224" s="22">
        <v>0.92000000000000004</v>
      </c>
      <c r="I6224" s="23" t="str">
        <f t="shared" si="292"/>
        <v xml:space="preserve">COM VALOR</v>
      </c>
      <c r="J6224" s="19"/>
      <c r="L6224" s="21">
        <v>44.469999999999999</v>
      </c>
      <c r="M6224" s="22">
        <v>0</v>
      </c>
      <c r="N6224" s="21">
        <v>43.25</v>
      </c>
      <c r="O6224" s="22">
        <v>0</v>
      </c>
    </row>
    <row r="6225" ht="38.25">
      <c r="A6225" t="s">
        <v>6218</v>
      </c>
      <c r="B6225" s="19">
        <v>92941</v>
      </c>
      <c r="C6225" s="20" t="s">
        <v>6340</v>
      </c>
      <c r="D6225" s="19" t="s">
        <v>31</v>
      </c>
      <c r="E6225" s="21">
        <f t="shared" si="290"/>
        <v>36.909999999999997</v>
      </c>
      <c r="F6225" s="22">
        <v>0.87</v>
      </c>
      <c r="G6225" s="21">
        <f t="shared" si="291"/>
        <v>36.109999999999999</v>
      </c>
      <c r="H6225" s="22">
        <v>0.88</v>
      </c>
      <c r="I6225" s="23" t="str">
        <f t="shared" si="292"/>
        <v xml:space="preserve">COM VALOR</v>
      </c>
      <c r="J6225" s="19"/>
      <c r="L6225" s="21">
        <v>36.909999999999997</v>
      </c>
      <c r="M6225" s="22">
        <v>0</v>
      </c>
      <c r="N6225" s="21">
        <v>36.109999999999999</v>
      </c>
      <c r="O6225" s="22">
        <v>0</v>
      </c>
    </row>
    <row r="6226" ht="38.25">
      <c r="A6226" t="s">
        <v>6218</v>
      </c>
      <c r="B6226" s="19">
        <v>92927</v>
      </c>
      <c r="C6226" s="20" t="s">
        <v>6341</v>
      </c>
      <c r="D6226" s="19" t="s">
        <v>31</v>
      </c>
      <c r="E6226" s="21">
        <f t="shared" si="290"/>
        <v>45.380000000000003</v>
      </c>
      <c r="F6226" s="22">
        <v>0.90000000000000002</v>
      </c>
      <c r="G6226" s="21">
        <f t="shared" si="291"/>
        <v>44.109999999999999</v>
      </c>
      <c r="H6226" s="22">
        <v>0.91000000000000003</v>
      </c>
      <c r="I6226" s="23" t="str">
        <f t="shared" si="292"/>
        <v xml:space="preserve">COM VALOR</v>
      </c>
      <c r="J6226" s="19"/>
      <c r="L6226" s="21">
        <v>45.380000000000003</v>
      </c>
      <c r="M6226" s="22">
        <v>0</v>
      </c>
      <c r="N6226" s="21">
        <v>44.109999999999999</v>
      </c>
      <c r="O6226" s="22">
        <v>0</v>
      </c>
    </row>
    <row r="6227" ht="38.25">
      <c r="A6227" t="s">
        <v>6218</v>
      </c>
      <c r="B6227" s="19">
        <v>92942</v>
      </c>
      <c r="C6227" s="20" t="s">
        <v>6342</v>
      </c>
      <c r="D6227" s="19" t="s">
        <v>31</v>
      </c>
      <c r="E6227" s="21">
        <f t="shared" si="290"/>
        <v>37.439999999999998</v>
      </c>
      <c r="F6227" s="22">
        <v>0.93999999999999995</v>
      </c>
      <c r="G6227" s="21">
        <f t="shared" si="291"/>
        <v>36.619999999999997</v>
      </c>
      <c r="H6227" s="22">
        <v>0.94999999999999996</v>
      </c>
      <c r="I6227" s="23" t="str">
        <f t="shared" si="292"/>
        <v xml:space="preserve">COM VALOR</v>
      </c>
      <c r="J6227" s="19"/>
      <c r="L6227" s="21">
        <v>37.439999999999998</v>
      </c>
      <c r="M6227" s="22">
        <v>0</v>
      </c>
      <c r="N6227" s="21">
        <v>36.619999999999997</v>
      </c>
      <c r="O6227" s="22">
        <v>0</v>
      </c>
    </row>
    <row r="6228" ht="38.25">
      <c r="A6228" t="s">
        <v>6218</v>
      </c>
      <c r="B6228" s="19">
        <v>92918</v>
      </c>
      <c r="C6228" s="20" t="s">
        <v>6343</v>
      </c>
      <c r="D6228" s="19" t="s">
        <v>31</v>
      </c>
      <c r="E6228" s="21">
        <f t="shared" si="290"/>
        <v>35.479999999999997</v>
      </c>
      <c r="F6228" s="22">
        <v>0</v>
      </c>
      <c r="G6228" s="21">
        <f t="shared" si="291"/>
        <v>34.329999999999998</v>
      </c>
      <c r="H6228" s="22">
        <v>0</v>
      </c>
      <c r="I6228" s="23" t="str">
        <f t="shared" si="292"/>
        <v xml:space="preserve">COM VALOR</v>
      </c>
      <c r="J6228" s="19"/>
      <c r="L6228" s="21">
        <v>35.479999999999997</v>
      </c>
      <c r="M6228" s="22">
        <v>0</v>
      </c>
      <c r="N6228" s="21">
        <v>34.329999999999998</v>
      </c>
      <c r="O6228" s="22">
        <v>0</v>
      </c>
    </row>
    <row r="6229" ht="38.25">
      <c r="A6229" t="s">
        <v>6218</v>
      </c>
      <c r="B6229" s="19">
        <v>92938</v>
      </c>
      <c r="C6229" s="20" t="s">
        <v>6344</v>
      </c>
      <c r="D6229" s="19" t="s">
        <v>31</v>
      </c>
      <c r="E6229" s="21">
        <f t="shared" si="290"/>
        <v>28.460000000000001</v>
      </c>
      <c r="F6229" s="22">
        <v>0</v>
      </c>
      <c r="G6229" s="21">
        <f t="shared" si="291"/>
        <v>27.699999999999999</v>
      </c>
      <c r="H6229" s="22">
        <v>0</v>
      </c>
      <c r="I6229" s="23" t="str">
        <f t="shared" si="292"/>
        <v xml:space="preserve">COM VALOR</v>
      </c>
      <c r="J6229" s="19"/>
      <c r="L6229" s="21">
        <v>28.460000000000001</v>
      </c>
      <c r="M6229" s="22">
        <v>0</v>
      </c>
      <c r="N6229" s="21">
        <v>27.699999999999999</v>
      </c>
      <c r="O6229" s="22">
        <v>0</v>
      </c>
    </row>
    <row r="6230" ht="38.25">
      <c r="A6230" t="s">
        <v>6218</v>
      </c>
      <c r="B6230" s="19">
        <v>92920</v>
      </c>
      <c r="C6230" s="20" t="s">
        <v>6345</v>
      </c>
      <c r="D6230" s="19" t="s">
        <v>31</v>
      </c>
      <c r="E6230" s="21">
        <f t="shared" si="290"/>
        <v>36.670000000000002</v>
      </c>
      <c r="F6230" s="22">
        <v>0</v>
      </c>
      <c r="G6230" s="21">
        <f t="shared" si="291"/>
        <v>35.469999999999999</v>
      </c>
      <c r="H6230" s="22">
        <v>0</v>
      </c>
      <c r="I6230" s="23" t="str">
        <f t="shared" si="292"/>
        <v xml:space="preserve">COM VALOR</v>
      </c>
      <c r="J6230" s="19"/>
      <c r="L6230" s="21">
        <v>36.670000000000002</v>
      </c>
      <c r="M6230" s="22">
        <v>0</v>
      </c>
      <c r="N6230" s="21">
        <v>35.469999999999999</v>
      </c>
      <c r="O6230" s="22">
        <v>0</v>
      </c>
    </row>
    <row r="6231" ht="38.25">
      <c r="A6231" t="s">
        <v>6218</v>
      </c>
      <c r="B6231" s="19">
        <v>92939</v>
      </c>
      <c r="C6231" s="20" t="s">
        <v>6346</v>
      </c>
      <c r="D6231" s="19" t="s">
        <v>31</v>
      </c>
      <c r="E6231" s="21">
        <f t="shared" si="290"/>
        <v>29.27</v>
      </c>
      <c r="F6231" s="22">
        <v>0</v>
      </c>
      <c r="G6231" s="21">
        <f t="shared" si="291"/>
        <v>28.489999999999998</v>
      </c>
      <c r="H6231" s="22">
        <v>0</v>
      </c>
      <c r="I6231" s="23" t="str">
        <f t="shared" si="292"/>
        <v xml:space="preserve">COM VALOR</v>
      </c>
      <c r="J6231" s="19"/>
      <c r="L6231" s="21">
        <v>29.27</v>
      </c>
      <c r="M6231" s="22">
        <v>0</v>
      </c>
      <c r="N6231" s="21">
        <v>28.489999999999998</v>
      </c>
      <c r="O6231" s="22">
        <v>0</v>
      </c>
    </row>
    <row r="6232" ht="38.25">
      <c r="A6232" t="s">
        <v>6218</v>
      </c>
      <c r="B6232" s="19">
        <v>92910</v>
      </c>
      <c r="C6232" s="20" t="s">
        <v>6347</v>
      </c>
      <c r="D6232" s="19" t="s">
        <v>31</v>
      </c>
      <c r="E6232" s="21">
        <f t="shared" si="290"/>
        <v>112.09</v>
      </c>
      <c r="F6232" s="22">
        <v>0</v>
      </c>
      <c r="G6232" s="21">
        <f t="shared" si="291"/>
        <v>110.14</v>
      </c>
      <c r="H6232" s="22">
        <v>0</v>
      </c>
      <c r="I6232" s="23" t="str">
        <f t="shared" si="292"/>
        <v xml:space="preserve">COM VALOR</v>
      </c>
      <c r="J6232" s="19"/>
      <c r="L6232" s="21">
        <v>112.09</v>
      </c>
      <c r="M6232" s="22">
        <v>0</v>
      </c>
      <c r="N6232" s="21">
        <v>110.14</v>
      </c>
      <c r="O6232" s="22">
        <v>0</v>
      </c>
    </row>
    <row r="6233" ht="38.25">
      <c r="A6233" t="s">
        <v>6218</v>
      </c>
      <c r="B6233" s="19">
        <v>92934</v>
      </c>
      <c r="C6233" s="20" t="s">
        <v>6348</v>
      </c>
      <c r="D6233" s="19" t="s">
        <v>31</v>
      </c>
      <c r="E6233" s="21">
        <f t="shared" si="290"/>
        <v>109.44</v>
      </c>
      <c r="F6233" s="22">
        <v>0</v>
      </c>
      <c r="G6233" s="21">
        <f t="shared" si="291"/>
        <v>107.63</v>
      </c>
      <c r="H6233" s="22">
        <v>0</v>
      </c>
      <c r="I6233" s="23" t="str">
        <f t="shared" si="292"/>
        <v xml:space="preserve">COM VALOR</v>
      </c>
      <c r="J6233" s="19"/>
      <c r="L6233" s="21">
        <v>109.44</v>
      </c>
      <c r="M6233" s="22">
        <v>0</v>
      </c>
      <c r="N6233" s="21">
        <v>107.63</v>
      </c>
      <c r="O6233" s="22">
        <v>0</v>
      </c>
    </row>
    <row r="6234" ht="38.25">
      <c r="A6234" t="s">
        <v>6218</v>
      </c>
      <c r="B6234" s="19">
        <v>92949</v>
      </c>
      <c r="C6234" s="20" t="s">
        <v>6349</v>
      </c>
      <c r="D6234" s="19" t="s">
        <v>31</v>
      </c>
      <c r="E6234" s="21">
        <f t="shared" si="290"/>
        <v>97.459999999999994</v>
      </c>
      <c r="F6234" s="22">
        <v>0</v>
      </c>
      <c r="G6234" s="21">
        <f t="shared" si="291"/>
        <v>96.329999999999998</v>
      </c>
      <c r="H6234" s="22">
        <v>0</v>
      </c>
      <c r="I6234" s="23" t="str">
        <f t="shared" si="292"/>
        <v xml:space="preserve">COM VALOR</v>
      </c>
      <c r="J6234" s="19"/>
      <c r="L6234" s="21">
        <v>97.459999999999994</v>
      </c>
      <c r="M6234" s="22">
        <v>0</v>
      </c>
      <c r="N6234" s="21">
        <v>96.329999999999998</v>
      </c>
      <c r="O6234" s="22">
        <v>0</v>
      </c>
    </row>
    <row r="6235" ht="38.25">
      <c r="A6235" t="s">
        <v>6218</v>
      </c>
      <c r="B6235" s="19">
        <v>92911</v>
      </c>
      <c r="C6235" s="20" t="s">
        <v>6350</v>
      </c>
      <c r="D6235" s="19" t="s">
        <v>31</v>
      </c>
      <c r="E6235" s="21">
        <f t="shared" si="290"/>
        <v>112.90000000000001</v>
      </c>
      <c r="F6235" s="22">
        <v>0</v>
      </c>
      <c r="G6235" s="21">
        <f t="shared" si="291"/>
        <v>110.90000000000001</v>
      </c>
      <c r="H6235" s="22">
        <v>0</v>
      </c>
      <c r="I6235" s="23" t="str">
        <f t="shared" si="292"/>
        <v xml:space="preserve">COM VALOR</v>
      </c>
      <c r="J6235" s="19"/>
      <c r="L6235" s="21">
        <v>112.90000000000001</v>
      </c>
      <c r="M6235" s="22">
        <v>0</v>
      </c>
      <c r="N6235" s="21">
        <v>110.90000000000001</v>
      </c>
      <c r="O6235" s="22">
        <v>0</v>
      </c>
    </row>
    <row r="6236" ht="38.25">
      <c r="A6236" t="s">
        <v>6218</v>
      </c>
      <c r="B6236" s="19">
        <v>92935</v>
      </c>
      <c r="C6236" s="20" t="s">
        <v>6351</v>
      </c>
      <c r="D6236" s="19" t="s">
        <v>31</v>
      </c>
      <c r="E6236" s="21">
        <f t="shared" si="290"/>
        <v>111.28</v>
      </c>
      <c r="F6236" s="22">
        <v>0</v>
      </c>
      <c r="G6236" s="21">
        <f t="shared" si="291"/>
        <v>109.37</v>
      </c>
      <c r="H6236" s="22">
        <v>0</v>
      </c>
      <c r="I6236" s="23" t="str">
        <f t="shared" si="292"/>
        <v xml:space="preserve">COM VALOR</v>
      </c>
      <c r="J6236" s="19"/>
      <c r="L6236" s="21">
        <v>111.28</v>
      </c>
      <c r="M6236" s="22">
        <v>0</v>
      </c>
      <c r="N6236" s="21">
        <v>109.37</v>
      </c>
      <c r="O6236" s="22">
        <v>0</v>
      </c>
    </row>
    <row r="6237" ht="38.25">
      <c r="A6237" t="s">
        <v>6218</v>
      </c>
      <c r="B6237" s="19">
        <v>92950</v>
      </c>
      <c r="C6237" s="20" t="s">
        <v>6352</v>
      </c>
      <c r="D6237" s="19" t="s">
        <v>31</v>
      </c>
      <c r="E6237" s="21">
        <f t="shared" si="290"/>
        <v>98.549999999999997</v>
      </c>
      <c r="F6237" s="22">
        <v>0</v>
      </c>
      <c r="G6237" s="21">
        <f t="shared" si="291"/>
        <v>97.359999999999999</v>
      </c>
      <c r="H6237" s="22">
        <v>0</v>
      </c>
      <c r="I6237" s="23" t="str">
        <f t="shared" si="292"/>
        <v xml:space="preserve">COM VALOR</v>
      </c>
      <c r="J6237" s="19"/>
      <c r="L6237" s="21">
        <v>98.549999999999997</v>
      </c>
      <c r="M6237" s="22">
        <v>0</v>
      </c>
      <c r="N6237" s="21">
        <v>97.359999999999999</v>
      </c>
      <c r="O6237" s="22">
        <v>0</v>
      </c>
    </row>
    <row r="6238" ht="38.25">
      <c r="A6238" t="s">
        <v>6218</v>
      </c>
      <c r="B6238" s="19">
        <v>92907</v>
      </c>
      <c r="C6238" s="20" t="s">
        <v>6353</v>
      </c>
      <c r="D6238" s="19" t="s">
        <v>31</v>
      </c>
      <c r="E6238" s="21">
        <f t="shared" si="290"/>
        <v>77.859999999999999</v>
      </c>
      <c r="F6238" s="22">
        <v>0</v>
      </c>
      <c r="G6238" s="21">
        <f t="shared" si="291"/>
        <v>75.969999999999999</v>
      </c>
      <c r="H6238" s="22">
        <v>0</v>
      </c>
      <c r="I6238" s="23" t="str">
        <f t="shared" si="292"/>
        <v xml:space="preserve">COM VALOR</v>
      </c>
      <c r="J6238" s="19"/>
      <c r="L6238" s="21">
        <v>77.859999999999999</v>
      </c>
      <c r="M6238" s="22">
        <v>0</v>
      </c>
      <c r="N6238" s="21">
        <v>75.969999999999999</v>
      </c>
      <c r="O6238" s="22">
        <v>0</v>
      </c>
    </row>
    <row r="6239" ht="38.25">
      <c r="A6239" t="s">
        <v>6218</v>
      </c>
      <c r="B6239" s="19">
        <v>92931</v>
      </c>
      <c r="C6239" s="20" t="s">
        <v>6354</v>
      </c>
      <c r="D6239" s="19" t="s">
        <v>31</v>
      </c>
      <c r="E6239" s="21">
        <f t="shared" si="290"/>
        <v>73.640000000000001</v>
      </c>
      <c r="F6239" s="22">
        <v>0</v>
      </c>
      <c r="G6239" s="21">
        <f t="shared" si="291"/>
        <v>71.969999999999999</v>
      </c>
      <c r="H6239" s="22">
        <v>0</v>
      </c>
      <c r="I6239" s="23" t="str">
        <f t="shared" si="292"/>
        <v xml:space="preserve">COM VALOR</v>
      </c>
      <c r="J6239" s="19"/>
      <c r="L6239" s="21">
        <v>73.640000000000001</v>
      </c>
      <c r="M6239" s="22">
        <v>0</v>
      </c>
      <c r="N6239" s="21">
        <v>71.969999999999999</v>
      </c>
      <c r="O6239" s="22">
        <v>0</v>
      </c>
    </row>
    <row r="6240" ht="38.25">
      <c r="A6240" t="s">
        <v>6218</v>
      </c>
      <c r="B6240" s="19">
        <v>92946</v>
      </c>
      <c r="C6240" s="20" t="s">
        <v>6355</v>
      </c>
      <c r="D6240" s="19" t="s">
        <v>31</v>
      </c>
      <c r="E6240" s="21">
        <f t="shared" si="290"/>
        <v>62.799999999999997</v>
      </c>
      <c r="F6240" s="22">
        <v>0</v>
      </c>
      <c r="G6240" s="21">
        <f t="shared" si="291"/>
        <v>61.759999999999998</v>
      </c>
      <c r="H6240" s="22">
        <v>0</v>
      </c>
      <c r="I6240" s="23" t="str">
        <f t="shared" si="292"/>
        <v xml:space="preserve">COM VALOR</v>
      </c>
      <c r="J6240" s="19"/>
      <c r="L6240" s="21">
        <v>62.799999999999997</v>
      </c>
      <c r="M6240" s="22">
        <v>0</v>
      </c>
      <c r="N6240" s="21">
        <v>61.759999999999998</v>
      </c>
      <c r="O6240" s="22">
        <v>0</v>
      </c>
    </row>
    <row r="6241" ht="38.25">
      <c r="A6241" t="s">
        <v>6218</v>
      </c>
      <c r="B6241" s="19">
        <v>92908</v>
      </c>
      <c r="C6241" s="20" t="s">
        <v>6356</v>
      </c>
      <c r="D6241" s="19" t="s">
        <v>31</v>
      </c>
      <c r="E6241" s="21">
        <f t="shared" si="290"/>
        <v>77.239999999999995</v>
      </c>
      <c r="F6241" s="22">
        <v>0</v>
      </c>
      <c r="G6241" s="21">
        <f t="shared" si="291"/>
        <v>75.370000000000005</v>
      </c>
      <c r="H6241" s="22">
        <v>0</v>
      </c>
      <c r="I6241" s="23" t="str">
        <f t="shared" si="292"/>
        <v xml:space="preserve">COM VALOR</v>
      </c>
      <c r="J6241" s="19"/>
      <c r="L6241" s="21">
        <v>77.239999999999995</v>
      </c>
      <c r="M6241" s="22">
        <v>0</v>
      </c>
      <c r="N6241" s="21">
        <v>75.370000000000005</v>
      </c>
      <c r="O6241" s="22">
        <v>0</v>
      </c>
    </row>
    <row r="6242" ht="38.25">
      <c r="A6242" t="s">
        <v>6218</v>
      </c>
      <c r="B6242" s="19">
        <v>92932</v>
      </c>
      <c r="C6242" s="20" t="s">
        <v>6357</v>
      </c>
      <c r="D6242" s="19" t="s">
        <v>31</v>
      </c>
      <c r="E6242" s="21">
        <f t="shared" si="290"/>
        <v>72.170000000000002</v>
      </c>
      <c r="F6242" s="22">
        <v>0</v>
      </c>
      <c r="G6242" s="21">
        <f t="shared" si="291"/>
        <v>70.599999999999994</v>
      </c>
      <c r="H6242" s="22">
        <v>0</v>
      </c>
      <c r="I6242" s="23" t="str">
        <f t="shared" si="292"/>
        <v xml:space="preserve">COM VALOR</v>
      </c>
      <c r="J6242" s="19"/>
      <c r="L6242" s="21">
        <v>72.170000000000002</v>
      </c>
      <c r="M6242" s="22">
        <v>0</v>
      </c>
      <c r="N6242" s="21">
        <v>70.599999999999994</v>
      </c>
      <c r="O6242" s="22">
        <v>0</v>
      </c>
    </row>
    <row r="6243" ht="38.25">
      <c r="A6243" t="s">
        <v>6218</v>
      </c>
      <c r="B6243" s="19">
        <v>92947</v>
      </c>
      <c r="C6243" s="20" t="s">
        <v>6358</v>
      </c>
      <c r="D6243" s="19" t="s">
        <v>31</v>
      </c>
      <c r="E6243" s="21">
        <f t="shared" si="290"/>
        <v>61.960000000000001</v>
      </c>
      <c r="F6243" s="22">
        <v>0</v>
      </c>
      <c r="G6243" s="21">
        <f t="shared" si="291"/>
        <v>60.950000000000003</v>
      </c>
      <c r="H6243" s="22">
        <v>0</v>
      </c>
      <c r="I6243" s="23" t="str">
        <f t="shared" si="292"/>
        <v xml:space="preserve">COM VALOR</v>
      </c>
      <c r="J6243" s="19"/>
      <c r="L6243" s="21">
        <v>61.960000000000001</v>
      </c>
      <c r="M6243" s="22">
        <v>0</v>
      </c>
      <c r="N6243" s="21">
        <v>60.950000000000003</v>
      </c>
      <c r="O6243" s="22">
        <v>0</v>
      </c>
    </row>
    <row r="6244" ht="38.25">
      <c r="A6244" t="s">
        <v>6218</v>
      </c>
      <c r="B6244" s="19">
        <v>92909</v>
      </c>
      <c r="C6244" s="20" t="s">
        <v>6359</v>
      </c>
      <c r="D6244" s="19" t="s">
        <v>31</v>
      </c>
      <c r="E6244" s="21">
        <f t="shared" si="290"/>
        <v>76.659999999999997</v>
      </c>
      <c r="F6244" s="22">
        <v>0</v>
      </c>
      <c r="G6244" s="21">
        <f t="shared" si="291"/>
        <v>74.829999999999998</v>
      </c>
      <c r="H6244" s="22">
        <v>0</v>
      </c>
      <c r="I6244" s="23" t="str">
        <f t="shared" si="292"/>
        <v xml:space="preserve">COM VALOR</v>
      </c>
      <c r="J6244" s="19"/>
      <c r="L6244" s="21">
        <v>76.659999999999997</v>
      </c>
      <c r="M6244" s="22">
        <v>0</v>
      </c>
      <c r="N6244" s="21">
        <v>74.829999999999998</v>
      </c>
      <c r="O6244" s="22">
        <v>0</v>
      </c>
    </row>
    <row r="6245" ht="38.25">
      <c r="A6245" t="s">
        <v>6218</v>
      </c>
      <c r="B6245" s="19">
        <v>92933</v>
      </c>
      <c r="C6245" s="20" t="s">
        <v>6360</v>
      </c>
      <c r="D6245" s="19" t="s">
        <v>31</v>
      </c>
      <c r="E6245" s="21">
        <f t="shared" si="290"/>
        <v>70.870000000000005</v>
      </c>
      <c r="F6245" s="22">
        <v>0</v>
      </c>
      <c r="G6245" s="21">
        <f t="shared" si="291"/>
        <v>69.359999999999999</v>
      </c>
      <c r="H6245" s="22">
        <v>0</v>
      </c>
      <c r="I6245" s="23" t="str">
        <f t="shared" si="292"/>
        <v xml:space="preserve">COM VALOR</v>
      </c>
      <c r="J6245" s="19"/>
      <c r="L6245" s="21">
        <v>70.870000000000005</v>
      </c>
      <c r="M6245" s="22">
        <v>0</v>
      </c>
      <c r="N6245" s="21">
        <v>69.359999999999999</v>
      </c>
      <c r="O6245" s="22">
        <v>0</v>
      </c>
    </row>
    <row r="6246" ht="38.25">
      <c r="A6246" t="s">
        <v>6218</v>
      </c>
      <c r="B6246" s="19">
        <v>92948</v>
      </c>
      <c r="C6246" s="20" t="s">
        <v>6361</v>
      </c>
      <c r="D6246" s="19" t="s">
        <v>31</v>
      </c>
      <c r="E6246" s="21">
        <f t="shared" si="290"/>
        <v>61.18</v>
      </c>
      <c r="F6246" s="22">
        <v>0</v>
      </c>
      <c r="G6246" s="21">
        <f t="shared" si="291"/>
        <v>60.219999999999999</v>
      </c>
      <c r="H6246" s="22">
        <v>0</v>
      </c>
      <c r="I6246" s="23" t="str">
        <f t="shared" si="292"/>
        <v xml:space="preserve">COM VALOR</v>
      </c>
      <c r="J6246" s="19"/>
      <c r="L6246" s="21">
        <v>61.18</v>
      </c>
      <c r="M6246" s="22">
        <v>0</v>
      </c>
      <c r="N6246" s="21">
        <v>60.219999999999999</v>
      </c>
      <c r="O6246" s="22">
        <v>0</v>
      </c>
    </row>
    <row r="6247" ht="38.25">
      <c r="A6247" t="s">
        <v>6218</v>
      </c>
      <c r="B6247" s="19">
        <v>92912</v>
      </c>
      <c r="C6247" s="20" t="s">
        <v>6362</v>
      </c>
      <c r="D6247" s="19" t="s">
        <v>31</v>
      </c>
      <c r="E6247" s="21">
        <f t="shared" si="290"/>
        <v>153.53</v>
      </c>
      <c r="F6247" s="22">
        <v>0</v>
      </c>
      <c r="G6247" s="21">
        <f t="shared" si="291"/>
        <v>151.5</v>
      </c>
      <c r="H6247" s="22">
        <v>0</v>
      </c>
      <c r="I6247" s="23" t="str">
        <f t="shared" si="292"/>
        <v xml:space="preserve">COM VALOR</v>
      </c>
      <c r="J6247" s="19"/>
      <c r="L6247" s="21">
        <v>153.53</v>
      </c>
      <c r="M6247" s="22">
        <v>0</v>
      </c>
      <c r="N6247" s="21">
        <v>151.5</v>
      </c>
      <c r="O6247" s="22">
        <v>0</v>
      </c>
    </row>
    <row r="6248" ht="38.25">
      <c r="A6248" t="s">
        <v>6218</v>
      </c>
      <c r="B6248" s="19">
        <v>92913</v>
      </c>
      <c r="C6248" s="20" t="s">
        <v>6363</v>
      </c>
      <c r="D6248" s="19" t="s">
        <v>31</v>
      </c>
      <c r="E6248" s="21">
        <f t="shared" si="290"/>
        <v>155.53</v>
      </c>
      <c r="F6248" s="22">
        <v>0</v>
      </c>
      <c r="G6248" s="21">
        <f t="shared" si="291"/>
        <v>153.40000000000001</v>
      </c>
      <c r="H6248" s="22">
        <v>0</v>
      </c>
      <c r="I6248" s="23" t="str">
        <f t="shared" si="292"/>
        <v xml:space="preserve">COM VALOR</v>
      </c>
      <c r="J6248" s="19"/>
      <c r="L6248" s="21">
        <v>155.53</v>
      </c>
      <c r="M6248" s="22">
        <v>0</v>
      </c>
      <c r="N6248" s="21">
        <v>153.40000000000001</v>
      </c>
      <c r="O6248" s="22">
        <v>0</v>
      </c>
    </row>
    <row r="6249" ht="38.25">
      <c r="A6249" t="s">
        <v>6218</v>
      </c>
      <c r="B6249" s="19">
        <v>92936</v>
      </c>
      <c r="C6249" s="20" t="s">
        <v>6364</v>
      </c>
      <c r="D6249" s="19" t="s">
        <v>31</v>
      </c>
      <c r="E6249" s="21">
        <f t="shared" si="290"/>
        <v>157.03</v>
      </c>
      <c r="F6249" s="22">
        <v>0</v>
      </c>
      <c r="G6249" s="21">
        <f t="shared" si="291"/>
        <v>154.81</v>
      </c>
      <c r="H6249" s="22">
        <v>0</v>
      </c>
      <c r="I6249" s="23" t="str">
        <f t="shared" si="292"/>
        <v xml:space="preserve">COM VALOR</v>
      </c>
      <c r="J6249" s="19"/>
      <c r="L6249" s="21">
        <v>157.03</v>
      </c>
      <c r="M6249" s="22">
        <v>0</v>
      </c>
      <c r="N6249" s="21">
        <v>154.81</v>
      </c>
      <c r="O6249" s="22">
        <v>0</v>
      </c>
    </row>
    <row r="6250" ht="38.25">
      <c r="A6250" t="s">
        <v>6218</v>
      </c>
      <c r="B6250" s="19">
        <v>92951</v>
      </c>
      <c r="C6250" s="20" t="s">
        <v>6365</v>
      </c>
      <c r="D6250" s="19" t="s">
        <v>31</v>
      </c>
      <c r="E6250" s="21">
        <f t="shared" si="290"/>
        <v>142.00999999999999</v>
      </c>
      <c r="F6250" s="22">
        <v>0</v>
      </c>
      <c r="G6250" s="21">
        <f t="shared" si="291"/>
        <v>140.65000000000001</v>
      </c>
      <c r="H6250" s="22">
        <v>0</v>
      </c>
      <c r="I6250" s="23" t="str">
        <f t="shared" si="292"/>
        <v xml:space="preserve">COM VALOR</v>
      </c>
      <c r="J6250" s="19"/>
      <c r="L6250" s="21">
        <v>142.00999999999999</v>
      </c>
      <c r="M6250" s="22">
        <v>0</v>
      </c>
      <c r="N6250" s="21">
        <v>140.65000000000001</v>
      </c>
      <c r="O6250" s="22">
        <v>0</v>
      </c>
    </row>
    <row r="6251" ht="38.25">
      <c r="A6251" t="s">
        <v>6218</v>
      </c>
      <c r="B6251" s="19">
        <v>92914</v>
      </c>
      <c r="C6251" s="20" t="s">
        <v>6366</v>
      </c>
      <c r="D6251" s="19" t="s">
        <v>31</v>
      </c>
      <c r="E6251" s="21">
        <f t="shared" si="290"/>
        <v>154.33000000000001</v>
      </c>
      <c r="F6251" s="22">
        <v>0</v>
      </c>
      <c r="G6251" s="21">
        <f t="shared" si="291"/>
        <v>152.25999999999999</v>
      </c>
      <c r="H6251" s="22">
        <v>0</v>
      </c>
      <c r="I6251" s="23" t="str">
        <f t="shared" si="292"/>
        <v xml:space="preserve">COM VALOR</v>
      </c>
      <c r="J6251" s="19"/>
      <c r="L6251" s="21">
        <v>154.33000000000001</v>
      </c>
      <c r="M6251" s="22">
        <v>0</v>
      </c>
      <c r="N6251" s="21">
        <v>152.25999999999999</v>
      </c>
      <c r="O6251" s="22">
        <v>0</v>
      </c>
    </row>
    <row r="6252" ht="38.25">
      <c r="A6252" t="s">
        <v>6218</v>
      </c>
      <c r="B6252" s="19">
        <v>92937</v>
      </c>
      <c r="C6252" s="20" t="s">
        <v>6367</v>
      </c>
      <c r="D6252" s="19" t="s">
        <v>31</v>
      </c>
      <c r="E6252" s="21">
        <f t="shared" si="290"/>
        <v>154.27000000000001</v>
      </c>
      <c r="F6252" s="22">
        <v>0</v>
      </c>
      <c r="G6252" s="21">
        <f t="shared" si="291"/>
        <v>152.21000000000001</v>
      </c>
      <c r="H6252" s="22">
        <v>0</v>
      </c>
      <c r="I6252" s="23" t="str">
        <f t="shared" si="292"/>
        <v xml:space="preserve">COM VALOR</v>
      </c>
      <c r="J6252" s="19"/>
      <c r="L6252" s="21">
        <v>154.27000000000001</v>
      </c>
      <c r="M6252" s="22">
        <v>0</v>
      </c>
      <c r="N6252" s="21">
        <v>152.21000000000001</v>
      </c>
      <c r="O6252" s="22">
        <v>0</v>
      </c>
    </row>
    <row r="6253" ht="38.25">
      <c r="A6253" t="s">
        <v>6218</v>
      </c>
      <c r="B6253" s="19">
        <v>92952</v>
      </c>
      <c r="C6253" s="20" t="s">
        <v>6368</v>
      </c>
      <c r="D6253" s="19" t="s">
        <v>31</v>
      </c>
      <c r="E6253" s="21">
        <f t="shared" si="290"/>
        <v>140.38999999999999</v>
      </c>
      <c r="F6253" s="22">
        <v>0</v>
      </c>
      <c r="G6253" s="21">
        <f t="shared" si="291"/>
        <v>139.11000000000001</v>
      </c>
      <c r="H6253" s="22">
        <v>0</v>
      </c>
      <c r="I6253" s="23" t="str">
        <f t="shared" si="292"/>
        <v xml:space="preserve">COM VALOR</v>
      </c>
      <c r="J6253" s="19"/>
      <c r="L6253" s="21">
        <v>140.38999999999999</v>
      </c>
      <c r="M6253" s="22">
        <v>0</v>
      </c>
      <c r="N6253" s="21">
        <v>139.11000000000001</v>
      </c>
      <c r="O6253" s="22">
        <v>0</v>
      </c>
    </row>
    <row r="6254" ht="38.25">
      <c r="A6254" t="s">
        <v>6218</v>
      </c>
      <c r="B6254" s="19">
        <v>92953</v>
      </c>
      <c r="C6254" s="20" t="s">
        <v>6369</v>
      </c>
      <c r="D6254" s="19" t="s">
        <v>31</v>
      </c>
      <c r="E6254" s="21">
        <f t="shared" si="290"/>
        <v>22.239999999999998</v>
      </c>
      <c r="F6254" s="22">
        <v>0</v>
      </c>
      <c r="G6254" s="21">
        <f t="shared" si="291"/>
        <v>21.600000000000001</v>
      </c>
      <c r="H6254" s="22">
        <v>0</v>
      </c>
      <c r="I6254" s="23" t="str">
        <f t="shared" si="292"/>
        <v xml:space="preserve">COM VALOR</v>
      </c>
      <c r="J6254" s="19"/>
      <c r="L6254" s="21">
        <v>22.239999999999998</v>
      </c>
      <c r="M6254" s="22">
        <v>0</v>
      </c>
      <c r="N6254" s="21">
        <v>21.600000000000001</v>
      </c>
      <c r="O6254" s="22">
        <v>0</v>
      </c>
    </row>
    <row r="6255" ht="38.25">
      <c r="A6255" t="s">
        <v>6218</v>
      </c>
      <c r="B6255" s="19">
        <v>101921</v>
      </c>
      <c r="C6255" s="20" t="s">
        <v>6370</v>
      </c>
      <c r="D6255" s="19" t="s">
        <v>31</v>
      </c>
      <c r="E6255" s="21">
        <f t="shared" si="290"/>
        <v>242.25</v>
      </c>
      <c r="F6255" s="22">
        <v>0</v>
      </c>
      <c r="G6255" s="21">
        <f t="shared" si="291"/>
        <v>240.03999999999999</v>
      </c>
      <c r="H6255" s="22">
        <v>0</v>
      </c>
      <c r="I6255" s="23" t="str">
        <f t="shared" si="292"/>
        <v xml:space="preserve">COM VALOR</v>
      </c>
      <c r="J6255" s="19"/>
      <c r="L6255" s="21">
        <v>242.25</v>
      </c>
      <c r="M6255" s="22">
        <v>0</v>
      </c>
      <c r="N6255" s="21">
        <v>240.03999999999999</v>
      </c>
      <c r="O6255" s="22">
        <v>0</v>
      </c>
    </row>
    <row r="6256" ht="38.25">
      <c r="A6256" t="s">
        <v>6218</v>
      </c>
      <c r="B6256" s="19">
        <v>101930</v>
      </c>
      <c r="C6256" s="20" t="s">
        <v>6371</v>
      </c>
      <c r="D6256" s="19" t="s">
        <v>31</v>
      </c>
      <c r="E6256" s="21">
        <f t="shared" si="290"/>
        <v>245.84</v>
      </c>
      <c r="F6256" s="22">
        <v>0</v>
      </c>
      <c r="G6256" s="21">
        <f t="shared" si="291"/>
        <v>243.41999999999999</v>
      </c>
      <c r="H6256" s="22">
        <v>0</v>
      </c>
      <c r="I6256" s="23" t="str">
        <f t="shared" si="292"/>
        <v xml:space="preserve">COM VALOR</v>
      </c>
      <c r="J6256" s="19"/>
      <c r="L6256" s="21">
        <v>245.84</v>
      </c>
      <c r="M6256" s="22">
        <v>0</v>
      </c>
      <c r="N6256" s="21">
        <v>243.41999999999999</v>
      </c>
      <c r="O6256" s="22">
        <v>0</v>
      </c>
    </row>
    <row r="6257" ht="38.25">
      <c r="A6257" t="s">
        <v>6218</v>
      </c>
      <c r="B6257" s="19">
        <v>101922</v>
      </c>
      <c r="C6257" s="20" t="s">
        <v>6372</v>
      </c>
      <c r="D6257" s="19" t="s">
        <v>31</v>
      </c>
      <c r="E6257" s="21">
        <f t="shared" si="290"/>
        <v>241.03999999999999</v>
      </c>
      <c r="F6257" s="22">
        <v>0</v>
      </c>
      <c r="G6257" s="21">
        <f t="shared" si="291"/>
        <v>238.88999999999999</v>
      </c>
      <c r="H6257" s="22">
        <v>0</v>
      </c>
      <c r="I6257" s="23" t="str">
        <f t="shared" si="292"/>
        <v xml:space="preserve">COM VALOR</v>
      </c>
      <c r="J6257" s="19"/>
      <c r="L6257" s="21">
        <v>241.03999999999999</v>
      </c>
      <c r="M6257" s="22">
        <v>0</v>
      </c>
      <c r="N6257" s="21">
        <v>238.88999999999999</v>
      </c>
      <c r="O6257" s="22">
        <v>0</v>
      </c>
    </row>
    <row r="6258" ht="38.25">
      <c r="A6258" t="s">
        <v>6218</v>
      </c>
      <c r="B6258" s="19">
        <v>101931</v>
      </c>
      <c r="C6258" s="20" t="s">
        <v>6373</v>
      </c>
      <c r="D6258" s="19" t="s">
        <v>31</v>
      </c>
      <c r="E6258" s="21">
        <f t="shared" si="290"/>
        <v>243.06</v>
      </c>
      <c r="F6258" s="22">
        <v>0</v>
      </c>
      <c r="G6258" s="21">
        <f t="shared" si="291"/>
        <v>240.78999999999999</v>
      </c>
      <c r="H6258" s="22">
        <v>0</v>
      </c>
      <c r="I6258" s="23" t="str">
        <f t="shared" si="292"/>
        <v xml:space="preserve">COM VALOR</v>
      </c>
      <c r="J6258" s="19"/>
      <c r="L6258" s="21">
        <v>243.06</v>
      </c>
      <c r="M6258" s="22">
        <v>0</v>
      </c>
      <c r="N6258" s="21">
        <v>240.78999999999999</v>
      </c>
      <c r="O6258" s="22">
        <v>0</v>
      </c>
    </row>
    <row r="6259" ht="38.25">
      <c r="A6259" t="s">
        <v>6218</v>
      </c>
      <c r="B6259" s="19">
        <v>101923</v>
      </c>
      <c r="C6259" s="20" t="s">
        <v>6374</v>
      </c>
      <c r="D6259" s="19" t="s">
        <v>31</v>
      </c>
      <c r="E6259" s="21">
        <f t="shared" si="290"/>
        <v>243.44</v>
      </c>
      <c r="F6259" s="22">
        <v>0</v>
      </c>
      <c r="G6259" s="21">
        <f t="shared" si="291"/>
        <v>241.15000000000001</v>
      </c>
      <c r="H6259" s="22">
        <v>0</v>
      </c>
      <c r="I6259" s="23" t="str">
        <f t="shared" si="292"/>
        <v xml:space="preserve">COM VALOR</v>
      </c>
      <c r="J6259" s="19"/>
      <c r="L6259" s="21">
        <v>243.44</v>
      </c>
      <c r="M6259" s="22">
        <v>0</v>
      </c>
      <c r="N6259" s="21">
        <v>241.15000000000001</v>
      </c>
      <c r="O6259" s="22">
        <v>0</v>
      </c>
    </row>
    <row r="6260" ht="38.25">
      <c r="A6260" t="s">
        <v>6218</v>
      </c>
      <c r="B6260" s="19">
        <v>101932</v>
      </c>
      <c r="C6260" s="20" t="s">
        <v>6375</v>
      </c>
      <c r="D6260" s="19" t="s">
        <v>31</v>
      </c>
      <c r="E6260" s="21">
        <f t="shared" si="290"/>
        <v>248.58000000000001</v>
      </c>
      <c r="F6260" s="22">
        <v>0</v>
      </c>
      <c r="G6260" s="21">
        <f t="shared" si="291"/>
        <v>246.02000000000001</v>
      </c>
      <c r="H6260" s="22">
        <v>0</v>
      </c>
      <c r="I6260" s="23" t="str">
        <f t="shared" si="292"/>
        <v xml:space="preserve">COM VALOR</v>
      </c>
      <c r="J6260" s="19"/>
      <c r="L6260" s="21">
        <v>248.58000000000001</v>
      </c>
      <c r="M6260" s="22">
        <v>0</v>
      </c>
      <c r="N6260" s="21">
        <v>246.02000000000001</v>
      </c>
      <c r="O6260" s="22">
        <v>0</v>
      </c>
    </row>
    <row r="6261" ht="25.5">
      <c r="A6261" t="s">
        <v>6218</v>
      </c>
      <c r="B6261" s="19">
        <v>97537</v>
      </c>
      <c r="C6261" s="20" t="s">
        <v>6376</v>
      </c>
      <c r="D6261" s="19" t="s">
        <v>31</v>
      </c>
      <c r="E6261" s="21">
        <f t="shared" si="290"/>
        <v>24.359999999999999</v>
      </c>
      <c r="F6261" s="22">
        <v>0</v>
      </c>
      <c r="G6261" s="21">
        <f t="shared" si="291"/>
        <v>23.879999999999999</v>
      </c>
      <c r="H6261" s="22">
        <v>0</v>
      </c>
      <c r="I6261" s="23" t="str">
        <f t="shared" si="292"/>
        <v xml:space="preserve">COM VALOR</v>
      </c>
      <c r="J6261" s="19"/>
      <c r="L6261" s="21">
        <v>24.359999999999999</v>
      </c>
      <c r="M6261" s="22">
        <v>0.63</v>
      </c>
      <c r="N6261" s="21">
        <v>23.879999999999999</v>
      </c>
      <c r="O6261" s="22">
        <v>0.64000000000000001</v>
      </c>
    </row>
    <row r="6262" ht="25.5">
      <c r="A6262" t="s">
        <v>6218</v>
      </c>
      <c r="B6262" s="19">
        <v>97540</v>
      </c>
      <c r="C6262" s="20" t="s">
        <v>6377</v>
      </c>
      <c r="D6262" s="19" t="s">
        <v>31</v>
      </c>
      <c r="E6262" s="21">
        <f t="shared" si="290"/>
        <v>32.539999999999999</v>
      </c>
      <c r="F6262" s="22">
        <v>0</v>
      </c>
      <c r="G6262" s="21">
        <f t="shared" si="291"/>
        <v>31.699999999999999</v>
      </c>
      <c r="H6262" s="22">
        <v>0</v>
      </c>
      <c r="I6262" s="23" t="str">
        <f t="shared" si="292"/>
        <v xml:space="preserve">COM VALOR</v>
      </c>
      <c r="J6262" s="19"/>
      <c r="L6262" s="21">
        <v>32.539999999999999</v>
      </c>
      <c r="M6262" s="22">
        <v>0.53000000000000003</v>
      </c>
      <c r="N6262" s="21">
        <v>31.699999999999999</v>
      </c>
      <c r="O6262" s="22">
        <v>0.55000000000000004</v>
      </c>
    </row>
    <row r="6263" ht="25.5">
      <c r="A6263" t="s">
        <v>6218</v>
      </c>
      <c r="B6263" s="19">
        <v>97543</v>
      </c>
      <c r="C6263" s="20" t="s">
        <v>6378</v>
      </c>
      <c r="D6263" s="19" t="s">
        <v>31</v>
      </c>
      <c r="E6263" s="21">
        <f t="shared" si="290"/>
        <v>52.689999999999998</v>
      </c>
      <c r="F6263" s="22">
        <v>0</v>
      </c>
      <c r="G6263" s="21">
        <f t="shared" si="291"/>
        <v>51.07</v>
      </c>
      <c r="H6263" s="22">
        <v>0</v>
      </c>
      <c r="I6263" s="23" t="str">
        <f t="shared" si="292"/>
        <v xml:space="preserve">COM VALOR</v>
      </c>
      <c r="J6263" s="19"/>
      <c r="L6263" s="21">
        <v>52.689999999999998</v>
      </c>
      <c r="M6263" s="22">
        <v>0.44</v>
      </c>
      <c r="N6263" s="21">
        <v>51.07</v>
      </c>
      <c r="O6263" s="22">
        <v>0.45000000000000001</v>
      </c>
    </row>
    <row r="6264" ht="38.25">
      <c r="A6264" t="s">
        <v>6218</v>
      </c>
      <c r="B6264" s="19">
        <v>97461</v>
      </c>
      <c r="C6264" s="20" t="s">
        <v>6379</v>
      </c>
      <c r="D6264" s="19" t="s">
        <v>31</v>
      </c>
      <c r="E6264" s="21">
        <f t="shared" si="290"/>
        <v>34.759999999999998</v>
      </c>
      <c r="F6264" s="22">
        <v>0</v>
      </c>
      <c r="G6264" s="21">
        <f t="shared" si="291"/>
        <v>34.149999999999999</v>
      </c>
      <c r="H6264" s="22">
        <v>0</v>
      </c>
      <c r="I6264" s="23" t="str">
        <f t="shared" si="292"/>
        <v xml:space="preserve">COM VALOR</v>
      </c>
      <c r="J6264" s="19"/>
      <c r="L6264" s="21">
        <v>34.759999999999998</v>
      </c>
      <c r="M6264" s="22">
        <v>0.67000000000000004</v>
      </c>
      <c r="N6264" s="21">
        <v>34.149999999999999</v>
      </c>
      <c r="O6264" s="22">
        <v>0.68000000000000005</v>
      </c>
    </row>
    <row r="6265" ht="38.25">
      <c r="A6265" t="s">
        <v>6218</v>
      </c>
      <c r="B6265" s="19">
        <v>97499</v>
      </c>
      <c r="C6265" s="20" t="s">
        <v>6380</v>
      </c>
      <c r="D6265" s="19" t="s">
        <v>31</v>
      </c>
      <c r="E6265" s="21">
        <f t="shared" si="290"/>
        <v>32.549999999999997</v>
      </c>
      <c r="F6265" s="22">
        <v>0</v>
      </c>
      <c r="G6265" s="21">
        <f t="shared" si="291"/>
        <v>32.07</v>
      </c>
      <c r="H6265" s="22">
        <v>0</v>
      </c>
      <c r="I6265" s="23" t="str">
        <f t="shared" si="292"/>
        <v xml:space="preserve">COM VALOR</v>
      </c>
      <c r="J6265" s="19"/>
      <c r="L6265" s="21">
        <v>32.549999999999997</v>
      </c>
      <c r="M6265" s="22">
        <v>0.70999999999999996</v>
      </c>
      <c r="N6265" s="21">
        <v>32.07</v>
      </c>
      <c r="O6265" s="22">
        <v>0.71999999999999997</v>
      </c>
    </row>
    <row r="6266" ht="38.25">
      <c r="A6266" t="s">
        <v>6218</v>
      </c>
      <c r="B6266" s="19">
        <v>97464</v>
      </c>
      <c r="C6266" s="20" t="s">
        <v>6381</v>
      </c>
      <c r="D6266" s="19" t="s">
        <v>31</v>
      </c>
      <c r="E6266" s="21">
        <f t="shared" si="290"/>
        <v>50.07</v>
      </c>
      <c r="F6266" s="22">
        <v>0</v>
      </c>
      <c r="G6266" s="21">
        <f t="shared" si="291"/>
        <v>49.299999999999997</v>
      </c>
      <c r="H6266" s="22">
        <v>0</v>
      </c>
      <c r="I6266" s="23" t="str">
        <f t="shared" si="292"/>
        <v xml:space="preserve">COM VALOR</v>
      </c>
      <c r="J6266" s="19"/>
      <c r="L6266" s="21">
        <v>50.07</v>
      </c>
      <c r="M6266" s="22">
        <v>0.70999999999999996</v>
      </c>
      <c r="N6266" s="21">
        <v>49.299999999999997</v>
      </c>
      <c r="O6266" s="22">
        <v>0.71999999999999997</v>
      </c>
    </row>
    <row r="6267" ht="38.25">
      <c r="A6267" t="s">
        <v>6218</v>
      </c>
      <c r="B6267" s="19">
        <v>97502</v>
      </c>
      <c r="C6267" s="20" t="s">
        <v>6382</v>
      </c>
      <c r="D6267" s="19" t="s">
        <v>31</v>
      </c>
      <c r="E6267" s="21">
        <f t="shared" si="290"/>
        <v>46.18</v>
      </c>
      <c r="F6267" s="22">
        <v>0</v>
      </c>
      <c r="G6267" s="21">
        <f t="shared" si="291"/>
        <v>45.619999999999997</v>
      </c>
      <c r="H6267" s="22">
        <v>0</v>
      </c>
      <c r="I6267" s="23" t="str">
        <f t="shared" si="292"/>
        <v xml:space="preserve">COM VALOR</v>
      </c>
      <c r="J6267" s="19"/>
      <c r="L6267" s="21">
        <v>46.18</v>
      </c>
      <c r="M6267" s="22">
        <v>0.77000000000000002</v>
      </c>
      <c r="N6267" s="21">
        <v>45.619999999999997</v>
      </c>
      <c r="O6267" s="22">
        <v>0.78000000000000003</v>
      </c>
    </row>
    <row r="6268" ht="38.25">
      <c r="A6268" t="s">
        <v>6218</v>
      </c>
      <c r="B6268" s="19">
        <v>97467</v>
      </c>
      <c r="C6268" s="20" t="s">
        <v>6383</v>
      </c>
      <c r="D6268" s="19" t="s">
        <v>31</v>
      </c>
      <c r="E6268" s="21">
        <f t="shared" si="290"/>
        <v>63.420000000000002</v>
      </c>
      <c r="F6268" s="22"/>
      <c r="G6268" s="21">
        <f t="shared" si="291"/>
        <v>62.450000000000003</v>
      </c>
      <c r="H6268" s="22"/>
      <c r="I6268" s="23" t="str">
        <f t="shared" si="292"/>
        <v xml:space="preserve">COM VALOR</v>
      </c>
      <c r="J6268" s="19"/>
      <c r="L6268" s="21">
        <v>63.420000000000002</v>
      </c>
      <c r="M6268" s="22">
        <v>0.70999999999999996</v>
      </c>
      <c r="N6268" s="21">
        <v>62.450000000000003</v>
      </c>
      <c r="O6268" s="22">
        <v>0.71999999999999997</v>
      </c>
    </row>
    <row r="6269" ht="38.25">
      <c r="A6269" t="s">
        <v>6218</v>
      </c>
      <c r="B6269" s="19">
        <v>97505</v>
      </c>
      <c r="C6269" s="20" t="s">
        <v>6384</v>
      </c>
      <c r="D6269" s="19" t="s">
        <v>31</v>
      </c>
      <c r="E6269" s="21">
        <f t="shared" si="290"/>
        <v>57.609999999999999</v>
      </c>
      <c r="F6269" s="22"/>
      <c r="G6269" s="21">
        <f t="shared" si="291"/>
        <v>56.969999999999999</v>
      </c>
      <c r="H6269" s="22"/>
      <c r="I6269" s="23" t="str">
        <f t="shared" si="292"/>
        <v xml:space="preserve">COM VALOR</v>
      </c>
      <c r="J6269" s="19"/>
      <c r="L6269" s="21">
        <v>57.609999999999999</v>
      </c>
      <c r="M6269" s="22">
        <v>0.79000000000000004</v>
      </c>
      <c r="N6269" s="21">
        <v>56.969999999999999</v>
      </c>
      <c r="O6269" s="22">
        <v>0.79000000000000004</v>
      </c>
    </row>
    <row r="6270" ht="25.5">
      <c r="A6270" t="s">
        <v>6218</v>
      </c>
      <c r="B6270" s="19">
        <v>97443</v>
      </c>
      <c r="C6270" s="20" t="s">
        <v>6385</v>
      </c>
      <c r="D6270" s="19" t="s">
        <v>31</v>
      </c>
      <c r="E6270" s="21">
        <f t="shared" si="290"/>
        <v>111.66</v>
      </c>
      <c r="F6270" s="22"/>
      <c r="G6270" s="21">
        <f t="shared" si="291"/>
        <v>109.47</v>
      </c>
      <c r="H6270" s="22"/>
      <c r="I6270" s="23" t="str">
        <f t="shared" si="292"/>
        <v xml:space="preserve">COM VALOR</v>
      </c>
      <c r="J6270" s="19"/>
      <c r="L6270" s="21">
        <v>111.66</v>
      </c>
      <c r="M6270" s="22">
        <v>0.64000000000000001</v>
      </c>
      <c r="N6270" s="21">
        <v>109.47</v>
      </c>
      <c r="O6270" s="22">
        <v>0.65000000000000002</v>
      </c>
    </row>
    <row r="6271" ht="38.25">
      <c r="A6271" t="s">
        <v>6218</v>
      </c>
      <c r="B6271" s="19">
        <v>97470</v>
      </c>
      <c r="C6271" s="20" t="s">
        <v>6386</v>
      </c>
      <c r="D6271" s="19" t="s">
        <v>31</v>
      </c>
      <c r="E6271" s="21">
        <f t="shared" si="290"/>
        <v>93.959999999999994</v>
      </c>
      <c r="F6271" s="22"/>
      <c r="G6271" s="21">
        <f t="shared" si="291"/>
        <v>92.769999999999996</v>
      </c>
      <c r="H6271" s="22"/>
      <c r="I6271" s="23" t="str">
        <f t="shared" si="292"/>
        <v xml:space="preserve">COM VALOR</v>
      </c>
      <c r="J6271" s="19"/>
      <c r="L6271" s="21">
        <v>93.959999999999994</v>
      </c>
      <c r="M6271" s="22">
        <v>0.76000000000000001</v>
      </c>
      <c r="N6271" s="21">
        <v>92.769999999999996</v>
      </c>
      <c r="O6271" s="22">
        <v>0.77000000000000002</v>
      </c>
    </row>
    <row r="6272" ht="38.25">
      <c r="A6272" t="s">
        <v>6218</v>
      </c>
      <c r="B6272" s="19">
        <v>97508</v>
      </c>
      <c r="C6272" s="20" t="s">
        <v>6387</v>
      </c>
      <c r="D6272" s="19" t="s">
        <v>31</v>
      </c>
      <c r="E6272" s="21">
        <f t="shared" si="290"/>
        <v>85.739999999999995</v>
      </c>
      <c r="F6272" s="22"/>
      <c r="G6272" s="21">
        <f t="shared" si="291"/>
        <v>85</v>
      </c>
      <c r="H6272" s="22"/>
      <c r="I6272" s="23" t="str">
        <f t="shared" si="292"/>
        <v xml:space="preserve">COM VALOR</v>
      </c>
      <c r="J6272" s="19"/>
      <c r="L6272" s="21">
        <v>85.739999999999995</v>
      </c>
      <c r="M6272" s="22">
        <v>0.82999999999999996</v>
      </c>
      <c r="N6272" s="21">
        <v>85</v>
      </c>
      <c r="O6272" s="22">
        <v>0.83999999999999997</v>
      </c>
    </row>
    <row r="6273" ht="25.5">
      <c r="A6273" t="s">
        <v>6218</v>
      </c>
      <c r="B6273" s="19">
        <v>97446</v>
      </c>
      <c r="C6273" s="20" t="s">
        <v>6388</v>
      </c>
      <c r="D6273" s="19" t="s">
        <v>31</v>
      </c>
      <c r="E6273" s="21">
        <f t="shared" si="290"/>
        <v>185.59999999999999</v>
      </c>
      <c r="F6273" s="22"/>
      <c r="G6273" s="21">
        <f t="shared" si="291"/>
        <v>183.37</v>
      </c>
      <c r="H6273" s="22"/>
      <c r="I6273" s="23" t="str">
        <f t="shared" si="292"/>
        <v xml:space="preserve">COM VALOR</v>
      </c>
      <c r="J6273" s="19"/>
      <c r="L6273" s="21">
        <v>185.59999999999999</v>
      </c>
      <c r="M6273" s="22">
        <v>0.77000000000000002</v>
      </c>
      <c r="N6273" s="21">
        <v>183.37</v>
      </c>
      <c r="O6273" s="22">
        <v>0.78000000000000003</v>
      </c>
    </row>
    <row r="6274" ht="38.25">
      <c r="A6274" t="s">
        <v>6218</v>
      </c>
      <c r="B6274" s="19">
        <v>97474</v>
      </c>
      <c r="C6274" s="20" t="s">
        <v>6389</v>
      </c>
      <c r="D6274" s="19" t="s">
        <v>31</v>
      </c>
      <c r="E6274" s="21">
        <f t="shared" si="290"/>
        <v>173.11000000000001</v>
      </c>
      <c r="F6274" s="22"/>
      <c r="G6274" s="21">
        <f t="shared" si="291"/>
        <v>171.56</v>
      </c>
      <c r="H6274" s="22"/>
      <c r="I6274" s="23" t="str">
        <f t="shared" si="292"/>
        <v xml:space="preserve">COM VALOR</v>
      </c>
      <c r="J6274" s="19"/>
      <c r="L6274" s="21">
        <v>173.11000000000001</v>
      </c>
      <c r="M6274" s="22">
        <v>0.82999999999999996</v>
      </c>
      <c r="N6274" s="21">
        <v>171.56</v>
      </c>
      <c r="O6274" s="22">
        <v>0.82999999999999996</v>
      </c>
    </row>
    <row r="6275" ht="38.25">
      <c r="A6275" t="s">
        <v>6218</v>
      </c>
      <c r="B6275" s="19">
        <v>97511</v>
      </c>
      <c r="C6275" s="20" t="s">
        <v>6390</v>
      </c>
      <c r="D6275" s="19" t="s">
        <v>31</v>
      </c>
      <c r="E6275" s="21">
        <f t="shared" si="290"/>
        <v>161.27000000000001</v>
      </c>
      <c r="F6275" s="22"/>
      <c r="G6275" s="21">
        <f t="shared" si="291"/>
        <v>160.38999999999999</v>
      </c>
      <c r="H6275" s="22"/>
      <c r="I6275" s="23" t="str">
        <f t="shared" si="292"/>
        <v xml:space="preserve">COM VALOR</v>
      </c>
      <c r="J6275" s="19"/>
      <c r="L6275" s="21">
        <v>161.27000000000001</v>
      </c>
      <c r="M6275" s="22">
        <v>0.89000000000000001</v>
      </c>
      <c r="N6275" s="21">
        <v>160.38999999999999</v>
      </c>
      <c r="O6275" s="22">
        <v>0.89000000000000001</v>
      </c>
    </row>
    <row r="6276" ht="25.5">
      <c r="A6276" t="s">
        <v>6218</v>
      </c>
      <c r="B6276" s="19">
        <v>97449</v>
      </c>
      <c r="C6276" s="20" t="s">
        <v>6391</v>
      </c>
      <c r="D6276" s="19" t="s">
        <v>31</v>
      </c>
      <c r="E6276" s="21">
        <f t="shared" si="290"/>
        <v>238.05000000000001</v>
      </c>
      <c r="F6276" s="22"/>
      <c r="G6276" s="21">
        <f t="shared" si="291"/>
        <v>235.75</v>
      </c>
      <c r="H6276" s="22"/>
      <c r="I6276" s="23" t="str">
        <f t="shared" si="292"/>
        <v xml:space="preserve">COM VALOR</v>
      </c>
      <c r="J6276" s="19"/>
      <c r="L6276" s="21">
        <v>238.05000000000001</v>
      </c>
      <c r="M6276" s="22">
        <v>0.81000000000000005</v>
      </c>
      <c r="N6276" s="21">
        <v>235.75</v>
      </c>
      <c r="O6276" s="22">
        <v>0.81999999999999995</v>
      </c>
    </row>
    <row r="6277" ht="38.25">
      <c r="A6277" t="s">
        <v>6218</v>
      </c>
      <c r="B6277" s="19">
        <v>97477</v>
      </c>
      <c r="C6277" s="20" t="s">
        <v>6392</v>
      </c>
      <c r="D6277" s="19" t="s">
        <v>31</v>
      </c>
      <c r="E6277" s="21">
        <f t="shared" si="290"/>
        <v>230.74000000000001</v>
      </c>
      <c r="F6277" s="22"/>
      <c r="G6277" s="21">
        <f t="shared" si="291"/>
        <v>228.84999999999999</v>
      </c>
      <c r="H6277" s="22"/>
      <c r="I6277" s="23" t="str">
        <f t="shared" si="292"/>
        <v xml:space="preserve">COM VALOR</v>
      </c>
      <c r="J6277" s="19"/>
      <c r="L6277" s="21">
        <v>230.74000000000001</v>
      </c>
      <c r="M6277" s="22">
        <v>0.83999999999999997</v>
      </c>
      <c r="N6277" s="21">
        <v>228.84999999999999</v>
      </c>
      <c r="O6277" s="22">
        <v>0.84999999999999998</v>
      </c>
    </row>
    <row r="6278" ht="38.25">
      <c r="A6278" t="s">
        <v>6218</v>
      </c>
      <c r="B6278" s="19">
        <v>97514</v>
      </c>
      <c r="C6278" s="20" t="s">
        <v>6393</v>
      </c>
      <c r="D6278" s="19" t="s">
        <v>31</v>
      </c>
      <c r="E6278" s="21">
        <f t="shared" si="290"/>
        <v>215.30000000000001</v>
      </c>
      <c r="F6278" s="22"/>
      <c r="G6278" s="21">
        <f t="shared" si="291"/>
        <v>214.27000000000001</v>
      </c>
      <c r="H6278" s="22"/>
      <c r="I6278" s="23" t="str">
        <f t="shared" si="292"/>
        <v xml:space="preserve">COM VALOR</v>
      </c>
      <c r="J6278" s="19"/>
      <c r="L6278" s="21">
        <v>215.30000000000001</v>
      </c>
      <c r="M6278" s="22">
        <v>0.90000000000000002</v>
      </c>
      <c r="N6278" s="21">
        <v>214.27000000000001</v>
      </c>
      <c r="O6278" s="22">
        <v>0.90000000000000002</v>
      </c>
    </row>
    <row r="6279" ht="25.5">
      <c r="A6279" t="s">
        <v>6218</v>
      </c>
      <c r="B6279" s="19">
        <v>101920</v>
      </c>
      <c r="C6279" s="20" t="s">
        <v>6394</v>
      </c>
      <c r="D6279" s="19" t="s">
        <v>31</v>
      </c>
      <c r="E6279" s="21">
        <f t="shared" si="290"/>
        <v>214.09999999999999</v>
      </c>
      <c r="F6279" s="22"/>
      <c r="G6279" s="21">
        <f t="shared" si="291"/>
        <v>211.72999999999999</v>
      </c>
      <c r="H6279" s="22"/>
      <c r="I6279" s="23" t="str">
        <f t="shared" si="292"/>
        <v xml:space="preserve">COM VALOR</v>
      </c>
      <c r="J6279" s="19"/>
      <c r="L6279" s="21">
        <v>214.09999999999999</v>
      </c>
      <c r="M6279" s="22">
        <v>0</v>
      </c>
      <c r="N6279" s="21">
        <v>211.72999999999999</v>
      </c>
      <c r="O6279" s="22">
        <v>0</v>
      </c>
    </row>
    <row r="6280" ht="38.25">
      <c r="A6280" t="s">
        <v>6218</v>
      </c>
      <c r="B6280" s="19">
        <v>101929</v>
      </c>
      <c r="C6280" s="20" t="s">
        <v>6395</v>
      </c>
      <c r="D6280" s="19" t="s">
        <v>31</v>
      </c>
      <c r="E6280" s="21">
        <f t="shared" si="290"/>
        <v>221.33000000000001</v>
      </c>
      <c r="F6280" s="22"/>
      <c r="G6280" s="21">
        <f t="shared" si="291"/>
        <v>218.55000000000001</v>
      </c>
      <c r="H6280" s="22"/>
      <c r="I6280" s="23" t="str">
        <f t="shared" si="292"/>
        <v xml:space="preserve">COM VALOR</v>
      </c>
      <c r="J6280" s="19"/>
      <c r="L6280" s="21">
        <v>221.33000000000001</v>
      </c>
      <c r="M6280" s="22">
        <v>0</v>
      </c>
      <c r="N6280" s="21">
        <v>218.55000000000001</v>
      </c>
      <c r="O6280" s="22">
        <v>0</v>
      </c>
    </row>
    <row r="6281" ht="38.25">
      <c r="A6281" t="s">
        <v>6218</v>
      </c>
      <c r="B6281" s="19">
        <v>92693</v>
      </c>
      <c r="C6281" s="20" t="s">
        <v>6396</v>
      </c>
      <c r="D6281" s="19" t="s">
        <v>31</v>
      </c>
      <c r="E6281" s="21">
        <f t="shared" si="290"/>
        <v>15.300000000000001</v>
      </c>
      <c r="F6281" s="22"/>
      <c r="G6281" s="21">
        <f t="shared" si="291"/>
        <v>14.84</v>
      </c>
      <c r="H6281" s="22"/>
      <c r="I6281" s="23" t="str">
        <f t="shared" si="292"/>
        <v xml:space="preserve">COM VALOR</v>
      </c>
      <c r="J6281" s="19"/>
      <c r="L6281" s="21">
        <v>15.300000000000001</v>
      </c>
      <c r="M6281" s="22">
        <v>0</v>
      </c>
      <c r="N6281" s="21">
        <v>14.84</v>
      </c>
      <c r="O6281" s="22">
        <v>0</v>
      </c>
    </row>
    <row r="6282" ht="38.25">
      <c r="A6282" t="s">
        <v>6218</v>
      </c>
      <c r="B6282" s="19">
        <v>92695</v>
      </c>
      <c r="C6282" s="20" t="s">
        <v>6397</v>
      </c>
      <c r="D6282" s="19" t="s">
        <v>31</v>
      </c>
      <c r="E6282" s="21">
        <f t="shared" si="290"/>
        <v>23.73</v>
      </c>
      <c r="F6282" s="22"/>
      <c r="G6282" s="21">
        <f t="shared" si="291"/>
        <v>22.93</v>
      </c>
      <c r="H6282" s="22"/>
      <c r="I6282" s="23" t="str">
        <f t="shared" si="292"/>
        <v xml:space="preserve">COM VALOR</v>
      </c>
      <c r="J6282" s="19"/>
      <c r="L6282" s="21">
        <v>23.73</v>
      </c>
      <c r="M6282" s="22">
        <v>0</v>
      </c>
      <c r="N6282" s="21">
        <v>22.93</v>
      </c>
      <c r="O6282" s="22">
        <v>0</v>
      </c>
    </row>
    <row r="6283" ht="38.25">
      <c r="A6283" t="s">
        <v>6218</v>
      </c>
      <c r="B6283" s="19">
        <v>92697</v>
      </c>
      <c r="C6283" s="20" t="s">
        <v>6398</v>
      </c>
      <c r="D6283" s="19" t="s">
        <v>31</v>
      </c>
      <c r="E6283" s="21">
        <f t="shared" ref="E6283:E6346" si="293">IF(L6283=0,"VERIFICAR",L6283)</f>
        <v>38.520000000000003</v>
      </c>
      <c r="F6283" s="22"/>
      <c r="G6283" s="21">
        <f t="shared" ref="G6283:G6346" si="294">IF(N6283=0,"VERIFICAR",N6283)</f>
        <v>37.210000000000001</v>
      </c>
      <c r="H6283" s="22"/>
      <c r="I6283" s="23" t="str">
        <f t="shared" ref="I6283:I6346" si="295">IF(OR(E6283=0,G6283=0),"SEM VALOR","COM VALOR")</f>
        <v xml:space="preserve">COM VALOR</v>
      </c>
      <c r="J6283" s="19"/>
      <c r="L6283" s="21">
        <v>38.520000000000003</v>
      </c>
      <c r="M6283" s="22">
        <v>0</v>
      </c>
      <c r="N6283" s="21">
        <v>37.210000000000001</v>
      </c>
      <c r="O6283" s="22">
        <v>0</v>
      </c>
    </row>
    <row r="6284" ht="38.25">
      <c r="A6284" t="s">
        <v>6218</v>
      </c>
      <c r="B6284" s="19">
        <v>92658</v>
      </c>
      <c r="C6284" s="20" t="s">
        <v>6399</v>
      </c>
      <c r="D6284" s="19" t="s">
        <v>31</v>
      </c>
      <c r="E6284" s="21">
        <f t="shared" si="293"/>
        <v>29.719999999999999</v>
      </c>
      <c r="F6284" s="22"/>
      <c r="G6284" s="21">
        <f t="shared" si="294"/>
        <v>28.91</v>
      </c>
      <c r="H6284" s="22"/>
      <c r="I6284" s="23" t="str">
        <f t="shared" si="295"/>
        <v xml:space="preserve">COM VALOR</v>
      </c>
      <c r="J6284" s="19"/>
      <c r="L6284" s="21">
        <v>29.719999999999999</v>
      </c>
      <c r="M6284" s="22">
        <v>0</v>
      </c>
      <c r="N6284" s="21">
        <v>28.91</v>
      </c>
      <c r="O6284" s="22">
        <v>0</v>
      </c>
    </row>
    <row r="6285" ht="38.25">
      <c r="A6285" t="s">
        <v>6218</v>
      </c>
      <c r="B6285" s="19">
        <v>92660</v>
      </c>
      <c r="C6285" s="20" t="s">
        <v>6400</v>
      </c>
      <c r="D6285" s="19" t="s">
        <v>31</v>
      </c>
      <c r="E6285" s="21">
        <f t="shared" si="293"/>
        <v>37.229999999999997</v>
      </c>
      <c r="F6285" s="22"/>
      <c r="G6285" s="21">
        <f t="shared" si="294"/>
        <v>36.340000000000003</v>
      </c>
      <c r="H6285" s="22"/>
      <c r="I6285" s="23" t="str">
        <f t="shared" si="295"/>
        <v xml:space="preserve">COM VALOR</v>
      </c>
      <c r="J6285" s="19"/>
      <c r="L6285" s="21">
        <v>37.229999999999997</v>
      </c>
      <c r="M6285" s="22">
        <v>0</v>
      </c>
      <c r="N6285" s="21">
        <v>36.340000000000003</v>
      </c>
      <c r="O6285" s="22">
        <v>0</v>
      </c>
    </row>
    <row r="6286" ht="38.25">
      <c r="A6286" t="s">
        <v>6218</v>
      </c>
      <c r="B6286" s="19">
        <v>92662</v>
      </c>
      <c r="C6286" s="20" t="s">
        <v>6401</v>
      </c>
      <c r="D6286" s="19" t="s">
        <v>31</v>
      </c>
      <c r="E6286" s="21">
        <f t="shared" si="293"/>
        <v>43.649999999999999</v>
      </c>
      <c r="F6286" s="22"/>
      <c r="G6286" s="21">
        <f t="shared" si="294"/>
        <v>42.670000000000002</v>
      </c>
      <c r="H6286" s="22"/>
      <c r="I6286" s="23" t="str">
        <f t="shared" si="295"/>
        <v xml:space="preserve">COM VALOR</v>
      </c>
      <c r="J6286" s="19"/>
      <c r="L6286" s="21">
        <v>43.649999999999999</v>
      </c>
      <c r="M6286" s="22">
        <v>0</v>
      </c>
      <c r="N6286" s="21">
        <v>42.670000000000002</v>
      </c>
      <c r="O6286" s="22">
        <v>0</v>
      </c>
    </row>
    <row r="6287" ht="38.25">
      <c r="A6287" t="s">
        <v>6218</v>
      </c>
      <c r="B6287" s="19">
        <v>92664</v>
      </c>
      <c r="C6287" s="20" t="s">
        <v>6402</v>
      </c>
      <c r="D6287" s="19" t="s">
        <v>31</v>
      </c>
      <c r="E6287" s="21">
        <f t="shared" si="293"/>
        <v>59.530000000000001</v>
      </c>
      <c r="F6287" s="22"/>
      <c r="G6287" s="21">
        <f t="shared" si="294"/>
        <v>58.43</v>
      </c>
      <c r="H6287" s="22"/>
      <c r="I6287" s="23" t="str">
        <f t="shared" si="295"/>
        <v xml:space="preserve">COM VALOR</v>
      </c>
      <c r="J6287" s="19"/>
      <c r="L6287" s="21">
        <v>59.530000000000001</v>
      </c>
      <c r="M6287" s="22">
        <v>0</v>
      </c>
      <c r="N6287" s="21">
        <v>58.43</v>
      </c>
      <c r="O6287" s="22">
        <v>0</v>
      </c>
    </row>
    <row r="6288" ht="38.25">
      <c r="A6288" t="s">
        <v>6218</v>
      </c>
      <c r="B6288" s="19">
        <v>92666</v>
      </c>
      <c r="C6288" s="20" t="s">
        <v>6403</v>
      </c>
      <c r="D6288" s="19" t="s">
        <v>31</v>
      </c>
      <c r="E6288" s="21">
        <f t="shared" si="293"/>
        <v>95.290000000000006</v>
      </c>
      <c r="F6288" s="22"/>
      <c r="G6288" s="21">
        <f t="shared" si="294"/>
        <v>94.010000000000005</v>
      </c>
      <c r="H6288" s="22"/>
      <c r="I6288" s="23" t="str">
        <f t="shared" si="295"/>
        <v xml:space="preserve">COM VALOR</v>
      </c>
      <c r="J6288" s="19"/>
      <c r="L6288" s="21">
        <v>95.290000000000006</v>
      </c>
      <c r="M6288" s="22">
        <v>0</v>
      </c>
      <c r="N6288" s="21">
        <v>94.010000000000005</v>
      </c>
      <c r="O6288" s="22">
        <v>0</v>
      </c>
    </row>
    <row r="6289" ht="38.25">
      <c r="A6289" t="s">
        <v>6218</v>
      </c>
      <c r="B6289" s="19">
        <v>92668</v>
      </c>
      <c r="C6289" s="20" t="s">
        <v>6404</v>
      </c>
      <c r="D6289" s="19" t="s">
        <v>31</v>
      </c>
      <c r="E6289" s="21">
        <f t="shared" si="293"/>
        <v>135.11000000000001</v>
      </c>
      <c r="F6289" s="22"/>
      <c r="G6289" s="21">
        <f t="shared" si="294"/>
        <v>133.66</v>
      </c>
      <c r="H6289" s="22"/>
      <c r="I6289" s="23" t="str">
        <f t="shared" si="295"/>
        <v xml:space="preserve">COM VALOR</v>
      </c>
      <c r="J6289" s="19"/>
      <c r="L6289" s="21">
        <v>135.11000000000001</v>
      </c>
      <c r="M6289" s="22">
        <v>0</v>
      </c>
      <c r="N6289" s="21">
        <v>133.66</v>
      </c>
      <c r="O6289" s="22">
        <v>0</v>
      </c>
    </row>
    <row r="6290" ht="38.25">
      <c r="A6290" t="s">
        <v>6218</v>
      </c>
      <c r="B6290" s="19">
        <v>92370</v>
      </c>
      <c r="C6290" s="20" t="s">
        <v>6405</v>
      </c>
      <c r="D6290" s="19" t="s">
        <v>31</v>
      </c>
      <c r="E6290" s="21">
        <f t="shared" si="293"/>
        <v>37.5</v>
      </c>
      <c r="F6290" s="22"/>
      <c r="G6290" s="21">
        <f t="shared" si="294"/>
        <v>36.259999999999998</v>
      </c>
      <c r="H6290" s="22"/>
      <c r="I6290" s="23" t="str">
        <f t="shared" si="295"/>
        <v xml:space="preserve">COM VALOR</v>
      </c>
      <c r="J6290" s="19"/>
      <c r="L6290" s="21">
        <v>37.5</v>
      </c>
      <c r="M6290" s="22">
        <v>0</v>
      </c>
      <c r="N6290" s="21">
        <v>36.259999999999998</v>
      </c>
      <c r="O6290" s="22">
        <v>0</v>
      </c>
    </row>
    <row r="6291" ht="38.25">
      <c r="A6291" t="s">
        <v>6218</v>
      </c>
      <c r="B6291" s="19">
        <v>92372</v>
      </c>
      <c r="C6291" s="20" t="s">
        <v>6406</v>
      </c>
      <c r="D6291" s="19" t="s">
        <v>31</v>
      </c>
      <c r="E6291" s="21">
        <f t="shared" si="293"/>
        <v>46.079999999999998</v>
      </c>
      <c r="F6291" s="22">
        <v>4.0000000000000001e-002</v>
      </c>
      <c r="G6291" s="21">
        <f t="shared" si="294"/>
        <v>44.689999999999998</v>
      </c>
      <c r="H6291" s="22">
        <v>4.0000000000000001e-002</v>
      </c>
      <c r="I6291" s="23" t="str">
        <f t="shared" si="295"/>
        <v xml:space="preserve">COM VALOR</v>
      </c>
      <c r="J6291" s="19"/>
      <c r="L6291" s="21">
        <v>46.079999999999998</v>
      </c>
      <c r="M6291" s="22">
        <v>0</v>
      </c>
      <c r="N6291" s="21">
        <v>44.689999999999998</v>
      </c>
      <c r="O6291" s="22">
        <v>0</v>
      </c>
    </row>
    <row r="6292" ht="38.25">
      <c r="A6292" t="s">
        <v>6218</v>
      </c>
      <c r="B6292" s="19">
        <v>92374</v>
      </c>
      <c r="C6292" s="20" t="s">
        <v>6407</v>
      </c>
      <c r="D6292" s="19" t="s">
        <v>31</v>
      </c>
      <c r="E6292" s="21">
        <f t="shared" si="293"/>
        <v>53.729999999999997</v>
      </c>
      <c r="F6292" s="22"/>
      <c r="G6292" s="21">
        <f t="shared" si="294"/>
        <v>52.170000000000002</v>
      </c>
      <c r="H6292" s="22"/>
      <c r="I6292" s="23" t="str">
        <f t="shared" si="295"/>
        <v xml:space="preserve">COM VALOR</v>
      </c>
      <c r="J6292" s="19"/>
      <c r="L6292" s="21">
        <v>53.729999999999997</v>
      </c>
      <c r="M6292" s="22">
        <v>0</v>
      </c>
      <c r="N6292" s="21">
        <v>52.170000000000002</v>
      </c>
      <c r="O6292" s="22">
        <v>0</v>
      </c>
    </row>
    <row r="6293" ht="25.5">
      <c r="A6293" t="s">
        <v>6218</v>
      </c>
      <c r="B6293" s="19">
        <v>92345</v>
      </c>
      <c r="C6293" s="20" t="s">
        <v>6408</v>
      </c>
      <c r="D6293" s="19" t="s">
        <v>31</v>
      </c>
      <c r="E6293" s="21">
        <f t="shared" si="293"/>
        <v>74.299999999999997</v>
      </c>
      <c r="F6293" s="22"/>
      <c r="G6293" s="21">
        <f t="shared" si="294"/>
        <v>72.370000000000005</v>
      </c>
      <c r="H6293" s="22"/>
      <c r="I6293" s="23" t="str">
        <f t="shared" si="295"/>
        <v xml:space="preserve">COM VALOR</v>
      </c>
      <c r="J6293" s="19"/>
      <c r="L6293" s="21">
        <v>74.299999999999997</v>
      </c>
      <c r="M6293" s="22">
        <v>0</v>
      </c>
      <c r="N6293" s="21">
        <v>72.370000000000005</v>
      </c>
      <c r="O6293" s="22">
        <v>0</v>
      </c>
    </row>
    <row r="6294" ht="38.25">
      <c r="A6294" t="s">
        <v>6218</v>
      </c>
      <c r="B6294" s="19">
        <v>92376</v>
      </c>
      <c r="C6294" s="20" t="s">
        <v>6409</v>
      </c>
      <c r="D6294" s="19" t="s">
        <v>31</v>
      </c>
      <c r="E6294" s="21">
        <f t="shared" si="293"/>
        <v>71.120000000000005</v>
      </c>
      <c r="F6294" s="22"/>
      <c r="G6294" s="21">
        <f t="shared" si="294"/>
        <v>69.359999999999999</v>
      </c>
      <c r="H6294" s="22"/>
      <c r="I6294" s="23" t="str">
        <f t="shared" si="295"/>
        <v xml:space="preserve">COM VALOR</v>
      </c>
      <c r="J6294" s="19"/>
      <c r="L6294" s="21">
        <v>71.120000000000005</v>
      </c>
      <c r="M6294" s="22">
        <v>0</v>
      </c>
      <c r="N6294" s="21">
        <v>69.359999999999999</v>
      </c>
      <c r="O6294" s="22">
        <v>0</v>
      </c>
    </row>
    <row r="6295" ht="25.5">
      <c r="A6295" t="s">
        <v>6218</v>
      </c>
      <c r="B6295" s="19">
        <v>92347</v>
      </c>
      <c r="C6295" s="20" t="s">
        <v>6410</v>
      </c>
      <c r="D6295" s="19" t="s">
        <v>31</v>
      </c>
      <c r="E6295" s="21">
        <f t="shared" si="293"/>
        <v>109.23</v>
      </c>
      <c r="F6295" s="22"/>
      <c r="G6295" s="21">
        <f t="shared" si="294"/>
        <v>107.16</v>
      </c>
      <c r="H6295" s="22"/>
      <c r="I6295" s="23" t="str">
        <f t="shared" si="295"/>
        <v xml:space="preserve">COM VALOR</v>
      </c>
      <c r="J6295" s="19"/>
      <c r="L6295" s="21">
        <v>109.23</v>
      </c>
      <c r="M6295" s="22">
        <v>0</v>
      </c>
      <c r="N6295" s="21">
        <v>107.16</v>
      </c>
      <c r="O6295" s="22">
        <v>0</v>
      </c>
    </row>
    <row r="6296" ht="38.25">
      <c r="A6296" t="s">
        <v>6218</v>
      </c>
      <c r="B6296" s="19">
        <v>92378</v>
      </c>
      <c r="C6296" s="20" t="s">
        <v>6411</v>
      </c>
      <c r="D6296" s="19" t="s">
        <v>31</v>
      </c>
      <c r="E6296" s="21">
        <f t="shared" si="293"/>
        <v>109.17</v>
      </c>
      <c r="F6296" s="22"/>
      <c r="G6296" s="21">
        <f t="shared" si="294"/>
        <v>107.11</v>
      </c>
      <c r="H6296" s="22"/>
      <c r="I6296" s="23" t="str">
        <f t="shared" si="295"/>
        <v xml:space="preserve">COM VALOR</v>
      </c>
      <c r="J6296" s="19"/>
      <c r="L6296" s="21">
        <v>109.17</v>
      </c>
      <c r="M6296" s="22">
        <v>0</v>
      </c>
      <c r="N6296" s="21">
        <v>107.11</v>
      </c>
      <c r="O6296" s="22">
        <v>0</v>
      </c>
    </row>
    <row r="6297" ht="25.5">
      <c r="A6297" t="s">
        <v>6218</v>
      </c>
      <c r="B6297" s="19">
        <v>92349</v>
      </c>
      <c r="C6297" s="20" t="s">
        <v>6412</v>
      </c>
      <c r="D6297" s="19" t="s">
        <v>31</v>
      </c>
      <c r="E6297" s="21">
        <f t="shared" si="293"/>
        <v>148.21000000000001</v>
      </c>
      <c r="F6297" s="22"/>
      <c r="G6297" s="21">
        <f t="shared" si="294"/>
        <v>146.02000000000001</v>
      </c>
      <c r="H6297" s="22"/>
      <c r="I6297" s="23" t="str">
        <f t="shared" si="295"/>
        <v xml:space="preserve">COM VALOR</v>
      </c>
      <c r="J6297" s="19"/>
      <c r="L6297" s="21">
        <v>148.21000000000001</v>
      </c>
      <c r="M6297" s="22">
        <v>0</v>
      </c>
      <c r="N6297" s="21">
        <v>146.02000000000001</v>
      </c>
      <c r="O6297" s="22">
        <v>0</v>
      </c>
    </row>
    <row r="6298" ht="38.25">
      <c r="A6298" t="s">
        <v>6218</v>
      </c>
      <c r="B6298" s="19">
        <v>92380</v>
      </c>
      <c r="C6298" s="20" t="s">
        <v>6413</v>
      </c>
      <c r="D6298" s="19" t="s">
        <v>31</v>
      </c>
      <c r="E6298" s="21">
        <f t="shared" si="293"/>
        <v>151.27000000000001</v>
      </c>
      <c r="F6298" s="22"/>
      <c r="G6298" s="21">
        <f t="shared" si="294"/>
        <v>148.91</v>
      </c>
      <c r="H6298" s="22"/>
      <c r="I6298" s="23" t="str">
        <f t="shared" si="295"/>
        <v xml:space="preserve">COM VALOR</v>
      </c>
      <c r="J6298" s="19"/>
      <c r="L6298" s="21">
        <v>151.27000000000001</v>
      </c>
      <c r="M6298" s="22">
        <v>0</v>
      </c>
      <c r="N6298" s="21">
        <v>148.91</v>
      </c>
      <c r="O6298" s="22">
        <v>0</v>
      </c>
    </row>
    <row r="6299" ht="25.5">
      <c r="A6299" t="s">
        <v>6218</v>
      </c>
      <c r="B6299" s="19">
        <v>101917</v>
      </c>
      <c r="C6299" s="20" t="s">
        <v>6414</v>
      </c>
      <c r="D6299" s="19" t="s">
        <v>31</v>
      </c>
      <c r="E6299" s="21">
        <f t="shared" si="293"/>
        <v>182.44999999999999</v>
      </c>
      <c r="F6299" s="22"/>
      <c r="G6299" s="21">
        <f t="shared" si="294"/>
        <v>180.16999999999999</v>
      </c>
      <c r="H6299" s="22"/>
      <c r="I6299" s="23" t="str">
        <f t="shared" si="295"/>
        <v xml:space="preserve">COM VALOR</v>
      </c>
      <c r="J6299" s="19"/>
      <c r="L6299" s="21">
        <v>182.44999999999999</v>
      </c>
      <c r="M6299" s="22">
        <v>0.78000000000000003</v>
      </c>
      <c r="N6299" s="21">
        <v>180.16999999999999</v>
      </c>
      <c r="O6299" s="22">
        <v>0.79000000000000004</v>
      </c>
    </row>
    <row r="6300" ht="25.5">
      <c r="A6300" t="s">
        <v>6218</v>
      </c>
      <c r="B6300" s="19">
        <v>101924</v>
      </c>
      <c r="C6300" s="20" t="s">
        <v>6415</v>
      </c>
      <c r="D6300" s="19" t="s">
        <v>31</v>
      </c>
      <c r="E6300" s="21">
        <f t="shared" si="293"/>
        <v>201.13999999999999</v>
      </c>
      <c r="F6300" s="22"/>
      <c r="G6300" s="21">
        <f t="shared" si="294"/>
        <v>198.77000000000001</v>
      </c>
      <c r="H6300" s="22"/>
      <c r="I6300" s="23" t="str">
        <f t="shared" si="295"/>
        <v xml:space="preserve">COM VALOR</v>
      </c>
      <c r="J6300" s="19"/>
      <c r="L6300" s="21">
        <v>201.13999999999999</v>
      </c>
      <c r="M6300" s="22">
        <v>0</v>
      </c>
      <c r="N6300" s="21">
        <v>198.77000000000001</v>
      </c>
      <c r="O6300" s="22">
        <v>0</v>
      </c>
    </row>
    <row r="6301" ht="38.25">
      <c r="A6301" t="s">
        <v>6218</v>
      </c>
      <c r="B6301" s="19">
        <v>101933</v>
      </c>
      <c r="C6301" s="20" t="s">
        <v>6416</v>
      </c>
      <c r="D6301" s="19" t="s">
        <v>31</v>
      </c>
      <c r="E6301" s="21">
        <f t="shared" si="293"/>
        <v>208.37</v>
      </c>
      <c r="F6301" s="22"/>
      <c r="G6301" s="21">
        <f t="shared" si="294"/>
        <v>205.59</v>
      </c>
      <c r="H6301" s="22"/>
      <c r="I6301" s="23" t="str">
        <f t="shared" si="295"/>
        <v xml:space="preserve">COM VALOR</v>
      </c>
      <c r="J6301" s="19"/>
      <c r="L6301" s="21">
        <v>208.37</v>
      </c>
      <c r="M6301" s="22">
        <v>0</v>
      </c>
      <c r="N6301" s="21">
        <v>205.59</v>
      </c>
      <c r="O6301" s="22">
        <v>0</v>
      </c>
    </row>
    <row r="6302" ht="38.25">
      <c r="A6302" t="s">
        <v>6218</v>
      </c>
      <c r="B6302" s="19">
        <v>92692</v>
      </c>
      <c r="C6302" s="20" t="s">
        <v>6417</v>
      </c>
      <c r="D6302" s="19" t="s">
        <v>31</v>
      </c>
      <c r="E6302" s="21">
        <f t="shared" si="293"/>
        <v>14.83</v>
      </c>
      <c r="F6302" s="22"/>
      <c r="G6302" s="21">
        <f t="shared" si="294"/>
        <v>14.369999999999999</v>
      </c>
      <c r="H6302" s="22"/>
      <c r="I6302" s="23" t="str">
        <f t="shared" si="295"/>
        <v xml:space="preserve">COM VALOR</v>
      </c>
      <c r="J6302" s="19"/>
      <c r="L6302" s="21">
        <v>14.83</v>
      </c>
      <c r="M6302" s="22">
        <v>0</v>
      </c>
      <c r="N6302" s="21">
        <v>14.369999999999999</v>
      </c>
      <c r="O6302" s="22">
        <v>0</v>
      </c>
    </row>
    <row r="6303" ht="38.25">
      <c r="A6303" t="s">
        <v>6218</v>
      </c>
      <c r="B6303" s="19">
        <v>92694</v>
      </c>
      <c r="C6303" s="20" t="s">
        <v>6418</v>
      </c>
      <c r="D6303" s="19" t="s">
        <v>31</v>
      </c>
      <c r="E6303" s="21">
        <f t="shared" si="293"/>
        <v>23.27</v>
      </c>
      <c r="F6303" s="22"/>
      <c r="G6303" s="21">
        <f t="shared" si="294"/>
        <v>22.469999999999999</v>
      </c>
      <c r="H6303" s="22"/>
      <c r="I6303" s="23" t="str">
        <f t="shared" si="295"/>
        <v xml:space="preserve">COM VALOR</v>
      </c>
      <c r="J6303" s="19"/>
      <c r="L6303" s="21">
        <v>23.27</v>
      </c>
      <c r="M6303" s="22">
        <v>0</v>
      </c>
      <c r="N6303" s="21">
        <v>22.469999999999999</v>
      </c>
      <c r="O6303" s="22">
        <v>0</v>
      </c>
    </row>
    <row r="6304" ht="38.25">
      <c r="A6304" t="s">
        <v>6218</v>
      </c>
      <c r="B6304" s="19">
        <v>92696</v>
      </c>
      <c r="C6304" s="20" t="s">
        <v>6419</v>
      </c>
      <c r="D6304" s="19" t="s">
        <v>31</v>
      </c>
      <c r="E6304" s="21">
        <f t="shared" si="293"/>
        <v>36.439999999999998</v>
      </c>
      <c r="F6304" s="22"/>
      <c r="G6304" s="21">
        <f t="shared" si="294"/>
        <v>35.130000000000003</v>
      </c>
      <c r="H6304" s="22"/>
      <c r="I6304" s="23" t="str">
        <f t="shared" si="295"/>
        <v xml:space="preserve">COM VALOR</v>
      </c>
      <c r="J6304" s="19"/>
      <c r="L6304" s="21">
        <v>36.439999999999998</v>
      </c>
      <c r="M6304" s="22">
        <v>0</v>
      </c>
      <c r="N6304" s="21">
        <v>35.130000000000003</v>
      </c>
      <c r="O6304" s="22">
        <v>0</v>
      </c>
    </row>
    <row r="6305" ht="38.25">
      <c r="A6305" t="s">
        <v>6218</v>
      </c>
      <c r="B6305" s="19">
        <v>92657</v>
      </c>
      <c r="C6305" s="20" t="s">
        <v>6420</v>
      </c>
      <c r="D6305" s="19" t="s">
        <v>31</v>
      </c>
      <c r="E6305" s="21">
        <f t="shared" si="293"/>
        <v>27.640000000000001</v>
      </c>
      <c r="F6305" s="22"/>
      <c r="G6305" s="21">
        <f t="shared" si="294"/>
        <v>26.829999999999998</v>
      </c>
      <c r="H6305" s="22"/>
      <c r="I6305" s="23" t="str">
        <f t="shared" si="295"/>
        <v xml:space="preserve">COM VALOR</v>
      </c>
      <c r="J6305" s="19"/>
      <c r="L6305" s="21">
        <v>27.640000000000001</v>
      </c>
      <c r="M6305" s="22">
        <v>0</v>
      </c>
      <c r="N6305" s="21">
        <v>26.829999999999998</v>
      </c>
      <c r="O6305" s="22">
        <v>0</v>
      </c>
    </row>
    <row r="6306" ht="38.25">
      <c r="A6306" t="s">
        <v>6218</v>
      </c>
      <c r="B6306" s="19">
        <v>92659</v>
      </c>
      <c r="C6306" s="20" t="s">
        <v>6421</v>
      </c>
      <c r="D6306" s="19" t="s">
        <v>31</v>
      </c>
      <c r="E6306" s="21">
        <f t="shared" si="293"/>
        <v>35.289999999999999</v>
      </c>
      <c r="F6306" s="22"/>
      <c r="G6306" s="21">
        <f t="shared" si="294"/>
        <v>34.399999999999999</v>
      </c>
      <c r="H6306" s="22"/>
      <c r="I6306" s="23" t="str">
        <f t="shared" si="295"/>
        <v xml:space="preserve">COM VALOR</v>
      </c>
      <c r="J6306" s="19"/>
      <c r="L6306" s="21">
        <v>35.289999999999999</v>
      </c>
      <c r="M6306" s="22">
        <v>0</v>
      </c>
      <c r="N6306" s="21">
        <v>34.399999999999999</v>
      </c>
      <c r="O6306" s="22">
        <v>0</v>
      </c>
    </row>
    <row r="6307" ht="38.25">
      <c r="A6307" t="s">
        <v>6218</v>
      </c>
      <c r="B6307" s="19">
        <v>92661</v>
      </c>
      <c r="C6307" s="20" t="s">
        <v>6422</v>
      </c>
      <c r="D6307" s="19" t="s">
        <v>31</v>
      </c>
      <c r="E6307" s="21">
        <f t="shared" si="293"/>
        <v>43.280000000000001</v>
      </c>
      <c r="F6307" s="22">
        <v>0.54000000000000004</v>
      </c>
      <c r="G6307" s="21">
        <f t="shared" si="294"/>
        <v>42.299999999999997</v>
      </c>
      <c r="H6307" s="22">
        <v>0.56000000000000005</v>
      </c>
      <c r="I6307" s="23" t="str">
        <f t="shared" si="295"/>
        <v xml:space="preserve">COM VALOR</v>
      </c>
      <c r="J6307" s="19"/>
      <c r="L6307" s="21">
        <v>43.280000000000001</v>
      </c>
      <c r="M6307" s="22">
        <v>0</v>
      </c>
      <c r="N6307" s="21">
        <v>42.299999999999997</v>
      </c>
      <c r="O6307" s="22">
        <v>0</v>
      </c>
    </row>
    <row r="6308" ht="38.25">
      <c r="A6308" t="s">
        <v>6218</v>
      </c>
      <c r="B6308" s="19">
        <v>92663</v>
      </c>
      <c r="C6308" s="20" t="s">
        <v>6423</v>
      </c>
      <c r="D6308" s="19" t="s">
        <v>31</v>
      </c>
      <c r="E6308" s="21">
        <f t="shared" si="293"/>
        <v>59.560000000000002</v>
      </c>
      <c r="F6308" s="22">
        <v>0.40999999999999998</v>
      </c>
      <c r="G6308" s="21">
        <f t="shared" si="294"/>
        <v>58.460000000000001</v>
      </c>
      <c r="H6308" s="22">
        <v>0.42999999999999999</v>
      </c>
      <c r="I6308" s="23" t="str">
        <f t="shared" si="295"/>
        <v xml:space="preserve">COM VALOR</v>
      </c>
      <c r="J6308" s="19"/>
      <c r="L6308" s="21">
        <v>59.560000000000002</v>
      </c>
      <c r="M6308" s="22">
        <v>0</v>
      </c>
      <c r="N6308" s="21">
        <v>58.460000000000001</v>
      </c>
      <c r="O6308" s="22">
        <v>0</v>
      </c>
    </row>
    <row r="6309" ht="38.25">
      <c r="A6309" t="s">
        <v>6218</v>
      </c>
      <c r="B6309" s="19">
        <v>92665</v>
      </c>
      <c r="C6309" s="20" t="s">
        <v>6424</v>
      </c>
      <c r="D6309" s="19" t="s">
        <v>31</v>
      </c>
      <c r="E6309" s="21">
        <f t="shared" si="293"/>
        <v>83.75</v>
      </c>
      <c r="F6309" s="22">
        <v>0.62</v>
      </c>
      <c r="G6309" s="21">
        <f t="shared" si="294"/>
        <v>82.469999999999999</v>
      </c>
      <c r="H6309" s="22">
        <v>0.64000000000000001</v>
      </c>
      <c r="I6309" s="23" t="str">
        <f t="shared" si="295"/>
        <v xml:space="preserve">COM VALOR</v>
      </c>
      <c r="J6309" s="19"/>
      <c r="L6309" s="21">
        <v>83.75</v>
      </c>
      <c r="M6309" s="22">
        <v>0</v>
      </c>
      <c r="N6309" s="21">
        <v>82.469999999999999</v>
      </c>
      <c r="O6309" s="22">
        <v>0</v>
      </c>
    </row>
    <row r="6310" ht="38.25">
      <c r="A6310" t="s">
        <v>6218</v>
      </c>
      <c r="B6310" s="19">
        <v>92667</v>
      </c>
      <c r="C6310" s="20" t="s">
        <v>6425</v>
      </c>
      <c r="D6310" s="19" t="s">
        <v>31</v>
      </c>
      <c r="E6310" s="21">
        <f t="shared" si="293"/>
        <v>124.83</v>
      </c>
      <c r="F6310" s="22">
        <v>0.48999999999999999</v>
      </c>
      <c r="G6310" s="21">
        <f t="shared" si="294"/>
        <v>123.38</v>
      </c>
      <c r="H6310" s="22">
        <v>0.51000000000000001</v>
      </c>
      <c r="I6310" s="23" t="str">
        <f t="shared" si="295"/>
        <v xml:space="preserve">COM VALOR</v>
      </c>
      <c r="J6310" s="19"/>
      <c r="L6310" s="21">
        <v>124.83</v>
      </c>
      <c r="M6310" s="22">
        <v>0</v>
      </c>
      <c r="N6310" s="21">
        <v>123.38</v>
      </c>
      <c r="O6310" s="22">
        <v>0</v>
      </c>
    </row>
    <row r="6311" ht="38.25">
      <c r="A6311" t="s">
        <v>6218</v>
      </c>
      <c r="B6311" s="19">
        <v>92369</v>
      </c>
      <c r="C6311" s="20" t="s">
        <v>6426</v>
      </c>
      <c r="D6311" s="19" t="s">
        <v>31</v>
      </c>
      <c r="E6311" s="21">
        <f t="shared" si="293"/>
        <v>35.420000000000002</v>
      </c>
      <c r="F6311" s="22">
        <v>0.66000000000000003</v>
      </c>
      <c r="G6311" s="21">
        <f t="shared" si="294"/>
        <v>34.18</v>
      </c>
      <c r="H6311" s="22">
        <v>0.68000000000000005</v>
      </c>
      <c r="I6311" s="23" t="str">
        <f t="shared" si="295"/>
        <v xml:space="preserve">COM VALOR</v>
      </c>
      <c r="J6311" s="19"/>
      <c r="L6311" s="21">
        <v>35.420000000000002</v>
      </c>
      <c r="M6311" s="22">
        <v>0</v>
      </c>
      <c r="N6311" s="21">
        <v>34.18</v>
      </c>
      <c r="O6311" s="22">
        <v>0</v>
      </c>
    </row>
    <row r="6312" ht="38.25">
      <c r="A6312" t="s">
        <v>6218</v>
      </c>
      <c r="B6312" s="19">
        <v>92371</v>
      </c>
      <c r="C6312" s="20" t="s">
        <v>6427</v>
      </c>
      <c r="D6312" s="19" t="s">
        <v>31</v>
      </c>
      <c r="E6312" s="21">
        <f t="shared" si="293"/>
        <v>44.140000000000001</v>
      </c>
      <c r="F6312" s="22">
        <v>0.53000000000000003</v>
      </c>
      <c r="G6312" s="21">
        <f t="shared" si="294"/>
        <v>42.75</v>
      </c>
      <c r="H6312" s="22">
        <v>0.55000000000000004</v>
      </c>
      <c r="I6312" s="23" t="str">
        <f t="shared" si="295"/>
        <v xml:space="preserve">COM VALOR</v>
      </c>
      <c r="J6312" s="19"/>
      <c r="L6312" s="21">
        <v>44.140000000000001</v>
      </c>
      <c r="M6312" s="22">
        <v>0</v>
      </c>
      <c r="N6312" s="21">
        <v>42.75</v>
      </c>
      <c r="O6312" s="22">
        <v>0</v>
      </c>
    </row>
    <row r="6313" ht="38.25">
      <c r="A6313" t="s">
        <v>6218</v>
      </c>
      <c r="B6313" s="19">
        <v>92373</v>
      </c>
      <c r="C6313" s="20" t="s">
        <v>6428</v>
      </c>
      <c r="D6313" s="19" t="s">
        <v>31</v>
      </c>
      <c r="E6313" s="21">
        <f t="shared" si="293"/>
        <v>53.359999999999999</v>
      </c>
      <c r="F6313" s="22">
        <v>0.68999999999999995</v>
      </c>
      <c r="G6313" s="21">
        <f t="shared" si="294"/>
        <v>51.799999999999997</v>
      </c>
      <c r="H6313" s="22">
        <v>0.70999999999999996</v>
      </c>
      <c r="I6313" s="23" t="str">
        <f t="shared" si="295"/>
        <v xml:space="preserve">COM VALOR</v>
      </c>
      <c r="J6313" s="19"/>
      <c r="L6313" s="21">
        <v>53.359999999999999</v>
      </c>
      <c r="M6313" s="22">
        <v>0</v>
      </c>
      <c r="N6313" s="21">
        <v>51.799999999999997</v>
      </c>
      <c r="O6313" s="22">
        <v>0</v>
      </c>
    </row>
    <row r="6314" ht="25.5">
      <c r="A6314" t="s">
        <v>6218</v>
      </c>
      <c r="B6314" s="19">
        <v>92344</v>
      </c>
      <c r="C6314" s="20" t="s">
        <v>6429</v>
      </c>
      <c r="D6314" s="19" t="s">
        <v>31</v>
      </c>
      <c r="E6314" s="21">
        <f t="shared" si="293"/>
        <v>74.329999999999998</v>
      </c>
      <c r="F6314" s="22">
        <v>0.56000000000000005</v>
      </c>
      <c r="G6314" s="21">
        <f t="shared" si="294"/>
        <v>72.400000000000006</v>
      </c>
      <c r="H6314" s="22">
        <v>0.57999999999999996</v>
      </c>
      <c r="I6314" s="23" t="str">
        <f t="shared" si="295"/>
        <v xml:space="preserve">COM VALOR</v>
      </c>
      <c r="J6314" s="19"/>
      <c r="L6314" s="21">
        <v>74.329999999999998</v>
      </c>
      <c r="M6314" s="22">
        <v>0</v>
      </c>
      <c r="N6314" s="21">
        <v>72.400000000000006</v>
      </c>
      <c r="O6314" s="22">
        <v>0</v>
      </c>
    </row>
    <row r="6315" ht="38.25">
      <c r="A6315" t="s">
        <v>6218</v>
      </c>
      <c r="B6315" s="19">
        <v>92375</v>
      </c>
      <c r="C6315" s="20" t="s">
        <v>6430</v>
      </c>
      <c r="D6315" s="19" t="s">
        <v>31</v>
      </c>
      <c r="E6315" s="21">
        <f t="shared" si="293"/>
        <v>71.150000000000006</v>
      </c>
      <c r="F6315" s="22">
        <v>0.56000000000000005</v>
      </c>
      <c r="G6315" s="21">
        <f t="shared" si="294"/>
        <v>69.390000000000001</v>
      </c>
      <c r="H6315" s="22">
        <v>0.57999999999999996</v>
      </c>
      <c r="I6315" s="23" t="str">
        <f t="shared" si="295"/>
        <v xml:space="preserve">COM VALOR</v>
      </c>
      <c r="J6315" s="19"/>
      <c r="L6315" s="21">
        <v>71.150000000000006</v>
      </c>
      <c r="M6315" s="22">
        <v>0</v>
      </c>
      <c r="N6315" s="21">
        <v>69.390000000000001</v>
      </c>
      <c r="O6315" s="22">
        <v>0</v>
      </c>
    </row>
    <row r="6316" ht="25.5">
      <c r="A6316" t="s">
        <v>6218</v>
      </c>
      <c r="B6316" s="19">
        <v>92346</v>
      </c>
      <c r="C6316" s="20" t="s">
        <v>6431</v>
      </c>
      <c r="D6316" s="19" t="s">
        <v>31</v>
      </c>
      <c r="E6316" s="21">
        <f t="shared" si="293"/>
        <v>97.689999999999998</v>
      </c>
      <c r="F6316" s="22">
        <v>0.58999999999999997</v>
      </c>
      <c r="G6316" s="21">
        <f t="shared" si="294"/>
        <v>95.620000000000005</v>
      </c>
      <c r="H6316" s="22">
        <v>0.60999999999999999</v>
      </c>
      <c r="I6316" s="23" t="str">
        <f t="shared" si="295"/>
        <v xml:space="preserve">COM VALOR</v>
      </c>
      <c r="J6316" s="19"/>
      <c r="L6316" s="21">
        <v>97.689999999999998</v>
      </c>
      <c r="M6316" s="22">
        <v>0</v>
      </c>
      <c r="N6316" s="21">
        <v>95.620000000000005</v>
      </c>
      <c r="O6316" s="22">
        <v>0</v>
      </c>
    </row>
    <row r="6317" ht="38.25">
      <c r="A6317" t="s">
        <v>6218</v>
      </c>
      <c r="B6317" s="19">
        <v>92377</v>
      </c>
      <c r="C6317" s="20" t="s">
        <v>6432</v>
      </c>
      <c r="D6317" s="19" t="s">
        <v>31</v>
      </c>
      <c r="E6317" s="21">
        <f t="shared" si="293"/>
        <v>97.629999999999995</v>
      </c>
      <c r="F6317" s="22">
        <v>0.64000000000000001</v>
      </c>
      <c r="G6317" s="21">
        <f t="shared" si="294"/>
        <v>95.569999999999993</v>
      </c>
      <c r="H6317" s="22">
        <v>0.65000000000000002</v>
      </c>
      <c r="I6317" s="23" t="str">
        <f t="shared" si="295"/>
        <v xml:space="preserve">COM VALOR</v>
      </c>
      <c r="J6317" s="19"/>
      <c r="L6317" s="21">
        <v>97.629999999999995</v>
      </c>
      <c r="M6317" s="22">
        <v>0</v>
      </c>
      <c r="N6317" s="21">
        <v>95.569999999999993</v>
      </c>
      <c r="O6317" s="22">
        <v>0</v>
      </c>
    </row>
    <row r="6318" ht="25.5">
      <c r="A6318" t="s">
        <v>6218</v>
      </c>
      <c r="B6318" s="19">
        <v>92348</v>
      </c>
      <c r="C6318" s="20" t="s">
        <v>6433</v>
      </c>
      <c r="D6318" s="19" t="s">
        <v>31</v>
      </c>
      <c r="E6318" s="21">
        <f t="shared" si="293"/>
        <v>137.93000000000001</v>
      </c>
      <c r="F6318" s="22">
        <v>0.67000000000000004</v>
      </c>
      <c r="G6318" s="21">
        <f t="shared" si="294"/>
        <v>135.74000000000001</v>
      </c>
      <c r="H6318" s="22">
        <v>0.68999999999999995</v>
      </c>
      <c r="I6318" s="23" t="str">
        <f t="shared" si="295"/>
        <v xml:space="preserve">COM VALOR</v>
      </c>
      <c r="J6318" s="19"/>
      <c r="L6318" s="21">
        <v>137.93000000000001</v>
      </c>
      <c r="M6318" s="22">
        <v>0</v>
      </c>
      <c r="N6318" s="21">
        <v>135.74000000000001</v>
      </c>
      <c r="O6318" s="22">
        <v>0</v>
      </c>
    </row>
    <row r="6319" ht="38.25">
      <c r="A6319" t="s">
        <v>6218</v>
      </c>
      <c r="B6319" s="19">
        <v>92379</v>
      </c>
      <c r="C6319" s="20" t="s">
        <v>6434</v>
      </c>
      <c r="D6319" s="19" t="s">
        <v>31</v>
      </c>
      <c r="E6319" s="21">
        <f t="shared" si="293"/>
        <v>140.99000000000001</v>
      </c>
      <c r="F6319" s="22">
        <v>0.67000000000000004</v>
      </c>
      <c r="G6319" s="21">
        <f t="shared" si="294"/>
        <v>138.63</v>
      </c>
      <c r="H6319" s="22">
        <v>0.68999999999999995</v>
      </c>
      <c r="I6319" s="23" t="str">
        <f t="shared" si="295"/>
        <v xml:space="preserve">COM VALOR</v>
      </c>
      <c r="J6319" s="19"/>
      <c r="L6319" s="21">
        <v>140.99000000000001</v>
      </c>
      <c r="M6319" s="22">
        <v>0</v>
      </c>
      <c r="N6319" s="21">
        <v>138.63</v>
      </c>
      <c r="O6319" s="22">
        <v>0</v>
      </c>
    </row>
    <row r="6320" ht="25.5">
      <c r="A6320" t="s">
        <v>6218</v>
      </c>
      <c r="B6320" s="19">
        <v>106677</v>
      </c>
      <c r="C6320" s="20" t="s">
        <v>6435</v>
      </c>
      <c r="D6320" s="19" t="s">
        <v>31</v>
      </c>
      <c r="E6320" s="21">
        <f t="shared" si="293"/>
        <v>855.20000000000005</v>
      </c>
      <c r="F6320" s="22">
        <v>0.69999999999999996</v>
      </c>
      <c r="G6320" s="21">
        <f t="shared" si="294"/>
        <v>842.82000000000005</v>
      </c>
      <c r="H6320" s="22">
        <v>0.71999999999999997</v>
      </c>
      <c r="I6320" s="23" t="str">
        <f t="shared" si="295"/>
        <v xml:space="preserve">COM VALOR</v>
      </c>
      <c r="J6320" s="19"/>
      <c r="L6320" s="21">
        <v>855.20000000000005</v>
      </c>
      <c r="M6320" s="22">
        <v>0</v>
      </c>
      <c r="N6320" s="21">
        <v>842.82000000000005</v>
      </c>
      <c r="O6320" s="22">
        <v>0</v>
      </c>
    </row>
    <row r="6321" ht="25.5">
      <c r="A6321" t="s">
        <v>6218</v>
      </c>
      <c r="B6321" s="19">
        <v>95696</v>
      </c>
      <c r="C6321" s="20" t="s">
        <v>6436</v>
      </c>
      <c r="D6321" s="19" t="s">
        <v>31</v>
      </c>
      <c r="E6321" s="21">
        <f t="shared" si="293"/>
        <v>71.450000000000003</v>
      </c>
      <c r="F6321" s="22">
        <v>0.69999999999999996</v>
      </c>
      <c r="G6321" s="21">
        <f t="shared" si="294"/>
        <v>71.25</v>
      </c>
      <c r="H6321" s="22">
        <v>0.70999999999999996</v>
      </c>
      <c r="I6321" s="23" t="str">
        <f t="shared" si="295"/>
        <v xml:space="preserve">COM VALOR</v>
      </c>
      <c r="J6321" s="19"/>
      <c r="L6321" s="21">
        <v>71.450000000000003</v>
      </c>
      <c r="M6321" s="22">
        <v>0</v>
      </c>
      <c r="N6321" s="21">
        <v>71.25</v>
      </c>
      <c r="O6321" s="22">
        <v>0</v>
      </c>
    </row>
    <row r="6322" ht="38.25">
      <c r="A6322" t="s">
        <v>6218</v>
      </c>
      <c r="B6322" s="19">
        <v>92335</v>
      </c>
      <c r="C6322" s="20" t="s">
        <v>6437</v>
      </c>
      <c r="D6322" s="19" t="s">
        <v>38</v>
      </c>
      <c r="E6322" s="21">
        <f t="shared" si="293"/>
        <v>91.180000000000007</v>
      </c>
      <c r="F6322" s="22">
        <v>0.72999999999999998</v>
      </c>
      <c r="G6322" s="21">
        <f t="shared" si="294"/>
        <v>90.359999999999999</v>
      </c>
      <c r="H6322" s="22">
        <v>0.73999999999999999</v>
      </c>
      <c r="I6322" s="23" t="str">
        <f t="shared" si="295"/>
        <v xml:space="preserve">COM VALOR</v>
      </c>
      <c r="J6322" s="19"/>
      <c r="L6322" s="21">
        <v>91.180000000000007</v>
      </c>
      <c r="M6322" s="22">
        <v>0.83999999999999997</v>
      </c>
      <c r="N6322" s="21">
        <v>90.359999999999999</v>
      </c>
      <c r="O6322" s="22">
        <v>0.84999999999999998</v>
      </c>
    </row>
    <row r="6323" ht="38.25">
      <c r="A6323" t="s">
        <v>6218</v>
      </c>
      <c r="B6323" s="19">
        <v>92336</v>
      </c>
      <c r="C6323" s="20" t="s">
        <v>6438</v>
      </c>
      <c r="D6323" s="19" t="s">
        <v>38</v>
      </c>
      <c r="E6323" s="21">
        <f t="shared" si="293"/>
        <v>110.16</v>
      </c>
      <c r="F6323" s="22"/>
      <c r="G6323" s="21">
        <f t="shared" si="294"/>
        <v>109.31</v>
      </c>
      <c r="H6323" s="22"/>
      <c r="I6323" s="23" t="str">
        <f t="shared" si="295"/>
        <v xml:space="preserve">COM VALOR</v>
      </c>
      <c r="J6323" s="19"/>
      <c r="L6323" s="21">
        <v>110.16</v>
      </c>
      <c r="M6323" s="22">
        <v>0.85999999999999999</v>
      </c>
      <c r="N6323" s="21">
        <v>109.31</v>
      </c>
      <c r="O6323" s="22">
        <v>0.87</v>
      </c>
    </row>
    <row r="6324" ht="38.25">
      <c r="A6324" t="s">
        <v>6218</v>
      </c>
      <c r="B6324" s="19">
        <v>92337</v>
      </c>
      <c r="C6324" s="20" t="s">
        <v>6439</v>
      </c>
      <c r="D6324" s="19" t="s">
        <v>38</v>
      </c>
      <c r="E6324" s="21">
        <f t="shared" si="293"/>
        <v>143.56</v>
      </c>
      <c r="F6324" s="22"/>
      <c r="G6324" s="21">
        <f t="shared" si="294"/>
        <v>142.66999999999999</v>
      </c>
      <c r="H6324" s="22"/>
      <c r="I6324" s="23" t="str">
        <f t="shared" si="295"/>
        <v xml:space="preserve">COM VALOR</v>
      </c>
      <c r="J6324" s="19"/>
      <c r="L6324" s="21">
        <v>143.56</v>
      </c>
      <c r="M6324" s="22">
        <v>0.89000000000000001</v>
      </c>
      <c r="N6324" s="21">
        <v>142.66999999999999</v>
      </c>
      <c r="O6324" s="22">
        <v>0.89749999999999996</v>
      </c>
    </row>
    <row r="6325" ht="38.25">
      <c r="A6325" t="s">
        <v>6218</v>
      </c>
      <c r="B6325" s="19">
        <v>92687</v>
      </c>
      <c r="C6325" s="20" t="s">
        <v>6440</v>
      </c>
      <c r="D6325" s="19" t="s">
        <v>38</v>
      </c>
      <c r="E6325" s="21">
        <f t="shared" si="293"/>
        <v>27.600000000000001</v>
      </c>
      <c r="F6325" s="22"/>
      <c r="G6325" s="21">
        <f t="shared" si="294"/>
        <v>27.140000000000001</v>
      </c>
      <c r="H6325" s="22"/>
      <c r="I6325" s="23" t="str">
        <f t="shared" si="295"/>
        <v xml:space="preserve">COM VALOR</v>
      </c>
      <c r="J6325" s="19"/>
      <c r="L6325" s="21">
        <v>27.600000000000001</v>
      </c>
      <c r="M6325" s="22">
        <v>0.69999999999999996</v>
      </c>
      <c r="N6325" s="21">
        <v>27.140000000000001</v>
      </c>
      <c r="O6325" s="22">
        <v>0.70999999999999996</v>
      </c>
    </row>
    <row r="6326" ht="38.25">
      <c r="A6326" t="s">
        <v>6218</v>
      </c>
      <c r="B6326" s="19">
        <v>92688</v>
      </c>
      <c r="C6326" s="20" t="s">
        <v>6441</v>
      </c>
      <c r="D6326" s="19" t="s">
        <v>38</v>
      </c>
      <c r="E6326" s="21">
        <f t="shared" si="293"/>
        <v>38.649999999999999</v>
      </c>
      <c r="F6326" s="22"/>
      <c r="G6326" s="21">
        <f t="shared" si="294"/>
        <v>37.850000000000001</v>
      </c>
      <c r="H6326" s="22"/>
      <c r="I6326" s="23" t="str">
        <f t="shared" si="295"/>
        <v xml:space="preserve">COM VALOR</v>
      </c>
      <c r="J6326" s="19"/>
      <c r="L6326" s="21">
        <v>38.649999999999999</v>
      </c>
      <c r="M6326" s="22">
        <v>0.63</v>
      </c>
      <c r="N6326" s="21">
        <v>37.850000000000001</v>
      </c>
      <c r="O6326" s="22">
        <v>0.65000000000000002</v>
      </c>
    </row>
    <row r="6327" ht="38.25">
      <c r="A6327" t="s">
        <v>6218</v>
      </c>
      <c r="B6327" s="19">
        <v>97536</v>
      </c>
      <c r="C6327" s="20" t="s">
        <v>6442</v>
      </c>
      <c r="D6327" s="19" t="s">
        <v>38</v>
      </c>
      <c r="E6327" s="21">
        <f t="shared" si="293"/>
        <v>59.399999999999999</v>
      </c>
      <c r="F6327" s="22"/>
      <c r="G6327" s="21">
        <f t="shared" si="294"/>
        <v>58.090000000000003</v>
      </c>
      <c r="H6327" s="22"/>
      <c r="I6327" s="23" t="str">
        <f t="shared" si="295"/>
        <v xml:space="preserve">COM VALOR</v>
      </c>
      <c r="J6327" s="19"/>
      <c r="L6327" s="21">
        <v>59.399999999999999</v>
      </c>
      <c r="M6327" s="22">
        <v>0.60999999999999999</v>
      </c>
      <c r="N6327" s="21">
        <v>58.090000000000003</v>
      </c>
      <c r="O6327" s="22">
        <v>0.62</v>
      </c>
    </row>
    <row r="6328" ht="38.25">
      <c r="A6328" t="s">
        <v>6218</v>
      </c>
      <c r="B6328" s="19">
        <v>97535</v>
      </c>
      <c r="C6328" s="20" t="s">
        <v>6443</v>
      </c>
      <c r="D6328" s="19" t="s">
        <v>38</v>
      </c>
      <c r="E6328" s="21">
        <f t="shared" si="293"/>
        <v>48.659999999999997</v>
      </c>
      <c r="F6328" s="22"/>
      <c r="G6328" s="21">
        <f t="shared" si="294"/>
        <v>47.960000000000001</v>
      </c>
      <c r="H6328" s="22"/>
      <c r="I6328" s="23" t="str">
        <f t="shared" si="295"/>
        <v xml:space="preserve">COM VALOR</v>
      </c>
      <c r="J6328" s="19"/>
      <c r="L6328" s="21">
        <v>48.659999999999997</v>
      </c>
      <c r="M6328" s="22">
        <v>0.75</v>
      </c>
      <c r="N6328" s="21">
        <v>47.960000000000001</v>
      </c>
      <c r="O6328" s="22">
        <v>0.76000000000000001</v>
      </c>
    </row>
    <row r="6329" ht="38.25">
      <c r="A6329" t="s">
        <v>6218</v>
      </c>
      <c r="B6329" s="19">
        <v>92652</v>
      </c>
      <c r="C6329" s="20" t="s">
        <v>6444</v>
      </c>
      <c r="D6329" s="19" t="s">
        <v>38</v>
      </c>
      <c r="E6329" s="21">
        <f t="shared" si="293"/>
        <v>59.390000000000001</v>
      </c>
      <c r="F6329" s="22"/>
      <c r="G6329" s="21">
        <f t="shared" si="294"/>
        <v>58.609999999999999</v>
      </c>
      <c r="H6329" s="22"/>
      <c r="I6329" s="23" t="str">
        <f t="shared" si="295"/>
        <v xml:space="preserve">COM VALOR</v>
      </c>
      <c r="J6329" s="19"/>
      <c r="L6329" s="21">
        <v>59.390000000000001</v>
      </c>
      <c r="M6329" s="22">
        <v>0.77000000000000002</v>
      </c>
      <c r="N6329" s="21">
        <v>58.609999999999999</v>
      </c>
      <c r="O6329" s="22">
        <v>0.78000000000000003</v>
      </c>
    </row>
    <row r="6330" ht="38.25">
      <c r="A6330" t="s">
        <v>6218</v>
      </c>
      <c r="B6330" s="19">
        <v>92653</v>
      </c>
      <c r="C6330" s="20" t="s">
        <v>6445</v>
      </c>
      <c r="D6330" s="19" t="s">
        <v>38</v>
      </c>
      <c r="E6330" s="21">
        <f t="shared" si="293"/>
        <v>68.189999999999998</v>
      </c>
      <c r="F6330" s="22"/>
      <c r="G6330" s="21">
        <f t="shared" si="294"/>
        <v>67.329999999999998</v>
      </c>
      <c r="H6330" s="22"/>
      <c r="I6330" s="23" t="str">
        <f t="shared" si="295"/>
        <v xml:space="preserve">COM VALOR</v>
      </c>
      <c r="J6330" s="19"/>
      <c r="L6330" s="21">
        <v>68.189999999999998</v>
      </c>
      <c r="M6330" s="22">
        <v>0.78000000000000003</v>
      </c>
      <c r="N6330" s="21">
        <v>67.329999999999998</v>
      </c>
      <c r="O6330" s="22">
        <v>0.79000000000000004</v>
      </c>
    </row>
    <row r="6331" ht="38.25">
      <c r="A6331" t="s">
        <v>6218</v>
      </c>
      <c r="B6331" s="19">
        <v>92654</v>
      </c>
      <c r="C6331" s="20" t="s">
        <v>6446</v>
      </c>
      <c r="D6331" s="19" t="s">
        <v>38</v>
      </c>
      <c r="E6331" s="21">
        <f t="shared" si="293"/>
        <v>93.459999999999994</v>
      </c>
      <c r="F6331" s="22"/>
      <c r="G6331" s="21">
        <f t="shared" si="294"/>
        <v>92.510000000000005</v>
      </c>
      <c r="H6331" s="22"/>
      <c r="I6331" s="23" t="str">
        <f t="shared" si="295"/>
        <v xml:space="preserve">COM VALOR</v>
      </c>
      <c r="J6331" s="19"/>
      <c r="L6331" s="21">
        <v>93.459999999999994</v>
      </c>
      <c r="M6331" s="22">
        <v>0.81999999999999995</v>
      </c>
      <c r="N6331" s="21">
        <v>92.510000000000005</v>
      </c>
      <c r="O6331" s="22">
        <v>0.82999999999999996</v>
      </c>
    </row>
    <row r="6332" ht="38.25">
      <c r="A6332" t="s">
        <v>6218</v>
      </c>
      <c r="B6332" s="19">
        <v>92655</v>
      </c>
      <c r="C6332" s="20" t="s">
        <v>6447</v>
      </c>
      <c r="D6332" s="19" t="s">
        <v>38</v>
      </c>
      <c r="E6332" s="21">
        <f t="shared" si="293"/>
        <v>114.59999999999999</v>
      </c>
      <c r="F6332" s="22"/>
      <c r="G6332" s="21">
        <f t="shared" si="294"/>
        <v>113.5</v>
      </c>
      <c r="H6332" s="22"/>
      <c r="I6332" s="23" t="str">
        <f t="shared" si="295"/>
        <v xml:space="preserve">COM VALOR</v>
      </c>
      <c r="J6332" s="19"/>
      <c r="L6332" s="21">
        <v>114.59999999999999</v>
      </c>
      <c r="M6332" s="22">
        <v>0.82999999999999996</v>
      </c>
      <c r="N6332" s="21">
        <v>113.5</v>
      </c>
      <c r="O6332" s="22">
        <v>0.83999999999999997</v>
      </c>
    </row>
    <row r="6333" ht="38.25">
      <c r="A6333" t="s">
        <v>6218</v>
      </c>
      <c r="B6333" s="19">
        <v>92656</v>
      </c>
      <c r="C6333" s="20" t="s">
        <v>6448</v>
      </c>
      <c r="D6333" s="19" t="s">
        <v>38</v>
      </c>
      <c r="E6333" s="21">
        <f t="shared" si="293"/>
        <v>150.16999999999999</v>
      </c>
      <c r="F6333" s="22">
        <v>0.93000000000000005</v>
      </c>
      <c r="G6333" s="21">
        <f t="shared" si="294"/>
        <v>148.91</v>
      </c>
      <c r="H6333" s="22">
        <v>0.93000000000000005</v>
      </c>
      <c r="I6333" s="23" t="str">
        <f t="shared" si="295"/>
        <v xml:space="preserve">COM VALOR</v>
      </c>
      <c r="J6333" s="19"/>
      <c r="L6333" s="21">
        <v>150.16999999999999</v>
      </c>
      <c r="M6333" s="22">
        <v>0.84999999999999998</v>
      </c>
      <c r="N6333" s="21">
        <v>148.91</v>
      </c>
      <c r="O6333" s="22">
        <v>0.85999999999999999</v>
      </c>
    </row>
    <row r="6334" ht="38.25">
      <c r="A6334" t="s">
        <v>6218</v>
      </c>
      <c r="B6334" s="19">
        <v>101918</v>
      </c>
      <c r="C6334" s="20" t="s">
        <v>6449</v>
      </c>
      <c r="D6334" s="19" t="s">
        <v>38</v>
      </c>
      <c r="E6334" s="21">
        <f t="shared" si="293"/>
        <v>207.19999999999999</v>
      </c>
      <c r="F6334" s="22">
        <v>0.94999999999999996</v>
      </c>
      <c r="G6334" s="21">
        <f t="shared" si="294"/>
        <v>205.44999999999999</v>
      </c>
      <c r="H6334" s="22">
        <v>0.94999999999999996</v>
      </c>
      <c r="I6334" s="23" t="str">
        <f t="shared" si="295"/>
        <v xml:space="preserve">COM VALOR</v>
      </c>
      <c r="J6334" s="19"/>
      <c r="L6334" s="21">
        <v>207.19999999999999</v>
      </c>
      <c r="M6334" s="22">
        <v>0.84999999999999998</v>
      </c>
      <c r="N6334" s="21">
        <v>205.44999999999999</v>
      </c>
      <c r="O6334" s="22">
        <v>0.85999999999999999</v>
      </c>
    </row>
    <row r="6335" ht="38.25">
      <c r="A6335" t="s">
        <v>6218</v>
      </c>
      <c r="B6335" s="19">
        <v>101927</v>
      </c>
      <c r="C6335" s="20" t="s">
        <v>6450</v>
      </c>
      <c r="D6335" s="19" t="s">
        <v>38</v>
      </c>
      <c r="E6335" s="21">
        <f t="shared" si="293"/>
        <v>194.18000000000001</v>
      </c>
      <c r="F6335" s="22">
        <v>0.95999999999999996</v>
      </c>
      <c r="G6335" s="21">
        <f t="shared" si="294"/>
        <v>193.16999999999999</v>
      </c>
      <c r="H6335" s="22">
        <v>0.95999999999999996</v>
      </c>
      <c r="I6335" s="23" t="str">
        <f t="shared" si="295"/>
        <v xml:space="preserve">COM VALOR</v>
      </c>
      <c r="J6335" s="19"/>
      <c r="L6335" s="21">
        <v>194.18000000000001</v>
      </c>
      <c r="M6335" s="22">
        <v>0.91000000000000003</v>
      </c>
      <c r="N6335" s="21">
        <v>193.16999999999999</v>
      </c>
      <c r="O6335" s="22">
        <v>0.91000000000000003</v>
      </c>
    </row>
    <row r="6336" ht="38.25">
      <c r="A6336" t="s">
        <v>6218</v>
      </c>
      <c r="B6336" s="19">
        <v>97498</v>
      </c>
      <c r="C6336" s="20" t="s">
        <v>6451</v>
      </c>
      <c r="D6336" s="19" t="s">
        <v>38</v>
      </c>
      <c r="E6336" s="21">
        <f t="shared" si="293"/>
        <v>44.340000000000003</v>
      </c>
      <c r="F6336" s="22">
        <v>0.92000000000000004</v>
      </c>
      <c r="G6336" s="21">
        <f t="shared" si="294"/>
        <v>43.890000000000001</v>
      </c>
      <c r="H6336" s="22">
        <v>0.93000000000000005</v>
      </c>
      <c r="I6336" s="23" t="str">
        <f t="shared" si="295"/>
        <v xml:space="preserve">COM VALOR</v>
      </c>
      <c r="J6336" s="19"/>
      <c r="L6336" s="21">
        <v>44.340000000000003</v>
      </c>
      <c r="M6336" s="22">
        <v>0.81999999999999995</v>
      </c>
      <c r="N6336" s="21">
        <v>43.890000000000001</v>
      </c>
      <c r="O6336" s="22">
        <v>0.82999999999999996</v>
      </c>
    </row>
    <row r="6337" ht="38.25">
      <c r="A6337" t="s">
        <v>6218</v>
      </c>
      <c r="B6337" s="19">
        <v>92364</v>
      </c>
      <c r="C6337" s="20" t="s">
        <v>6452</v>
      </c>
      <c r="D6337" s="19" t="s">
        <v>38</v>
      </c>
      <c r="E6337" s="21">
        <f t="shared" si="293"/>
        <v>54.740000000000002</v>
      </c>
      <c r="F6337" s="22">
        <v>0.96999999999999997</v>
      </c>
      <c r="G6337" s="21">
        <f t="shared" si="294"/>
        <v>54.229999999999997</v>
      </c>
      <c r="H6337" s="22">
        <v>0.96999999999999997</v>
      </c>
      <c r="I6337" s="23" t="str">
        <f t="shared" si="295"/>
        <v xml:space="preserve">COM VALOR</v>
      </c>
      <c r="J6337" s="19"/>
      <c r="L6337" s="21">
        <v>54.740000000000002</v>
      </c>
      <c r="M6337" s="22">
        <v>0.83999999999999997</v>
      </c>
      <c r="N6337" s="21">
        <v>54.229999999999997</v>
      </c>
      <c r="O6337" s="22">
        <v>0.83999999999999997</v>
      </c>
    </row>
    <row r="6338" ht="38.25">
      <c r="A6338" t="s">
        <v>6218</v>
      </c>
      <c r="B6338" s="19">
        <v>92365</v>
      </c>
      <c r="C6338" s="20" t="s">
        <v>6453</v>
      </c>
      <c r="D6338" s="19" t="s">
        <v>38</v>
      </c>
      <c r="E6338" s="21">
        <f t="shared" si="293"/>
        <v>63.18</v>
      </c>
      <c r="F6338" s="22">
        <v>0.97999999999999998</v>
      </c>
      <c r="G6338" s="21">
        <f t="shared" si="294"/>
        <v>62.609999999999999</v>
      </c>
      <c r="H6338" s="22">
        <v>0.97999999999999998</v>
      </c>
      <c r="I6338" s="23" t="str">
        <f t="shared" si="295"/>
        <v xml:space="preserve">COM VALOR</v>
      </c>
      <c r="J6338" s="19"/>
      <c r="L6338" s="21">
        <v>63.18</v>
      </c>
      <c r="M6338" s="22">
        <v>0.83999999999999997</v>
      </c>
      <c r="N6338" s="21">
        <v>62.609999999999999</v>
      </c>
      <c r="O6338" s="22">
        <v>0.84999999999999998</v>
      </c>
    </row>
    <row r="6339" ht="38.25">
      <c r="A6339" t="s">
        <v>6218</v>
      </c>
      <c r="B6339" s="19">
        <v>92341</v>
      </c>
      <c r="C6339" s="20" t="s">
        <v>6454</v>
      </c>
      <c r="D6339" s="19" t="s">
        <v>38</v>
      </c>
      <c r="E6339" s="21">
        <f t="shared" si="293"/>
        <v>102</v>
      </c>
      <c r="F6339" s="22">
        <v>0.95999999999999996</v>
      </c>
      <c r="G6339" s="21">
        <f t="shared" si="294"/>
        <v>100.56</v>
      </c>
      <c r="H6339" s="22">
        <v>0.95999999999999996</v>
      </c>
      <c r="I6339" s="23" t="str">
        <f t="shared" si="295"/>
        <v xml:space="preserve">COM VALOR</v>
      </c>
      <c r="J6339" s="19"/>
      <c r="L6339" s="21">
        <v>102</v>
      </c>
      <c r="M6339" s="22">
        <v>0.75</v>
      </c>
      <c r="N6339" s="21">
        <v>100.56</v>
      </c>
      <c r="O6339" s="22">
        <v>0.76000000000000001</v>
      </c>
    </row>
    <row r="6340" ht="38.25">
      <c r="A6340" t="s">
        <v>6218</v>
      </c>
      <c r="B6340" s="19">
        <v>92366</v>
      </c>
      <c r="C6340" s="20" t="s">
        <v>6455</v>
      </c>
      <c r="D6340" s="19" t="s">
        <v>38</v>
      </c>
      <c r="E6340" s="21">
        <f t="shared" si="293"/>
        <v>87.980000000000004</v>
      </c>
      <c r="F6340" s="22">
        <v>0.97999999999999998</v>
      </c>
      <c r="G6340" s="21">
        <f t="shared" si="294"/>
        <v>87.340000000000003</v>
      </c>
      <c r="H6340" s="22">
        <v>0.97999999999999998</v>
      </c>
      <c r="I6340" s="23" t="str">
        <f t="shared" si="295"/>
        <v xml:space="preserve">COM VALOR</v>
      </c>
      <c r="J6340" s="19"/>
      <c r="L6340" s="21">
        <v>87.980000000000004</v>
      </c>
      <c r="M6340" s="22">
        <v>0.87</v>
      </c>
      <c r="N6340" s="21">
        <v>87.340000000000003</v>
      </c>
      <c r="O6340" s="22">
        <v>0.88</v>
      </c>
    </row>
    <row r="6341" ht="38.25">
      <c r="A6341" t="s">
        <v>6218</v>
      </c>
      <c r="B6341" s="19">
        <v>92342</v>
      </c>
      <c r="C6341" s="20" t="s">
        <v>6456</v>
      </c>
      <c r="D6341" s="19" t="s">
        <v>38</v>
      </c>
      <c r="E6341" s="21">
        <f t="shared" si="293"/>
        <v>122.14</v>
      </c>
      <c r="F6341" s="22">
        <v>0.97999999999999998</v>
      </c>
      <c r="G6341" s="21">
        <f t="shared" si="294"/>
        <v>120.61</v>
      </c>
      <c r="H6341" s="22">
        <v>0.97999999999999998</v>
      </c>
      <c r="I6341" s="23" t="str">
        <f t="shared" si="295"/>
        <v xml:space="preserve">COM VALOR</v>
      </c>
      <c r="J6341" s="19"/>
      <c r="L6341" s="21">
        <v>122.14</v>
      </c>
      <c r="M6341" s="22">
        <v>0.78000000000000003</v>
      </c>
      <c r="N6341" s="21">
        <v>120.61</v>
      </c>
      <c r="O6341" s="22">
        <v>0.79000000000000004</v>
      </c>
    </row>
    <row r="6342" ht="38.25">
      <c r="A6342" t="s">
        <v>6218</v>
      </c>
      <c r="B6342" s="19">
        <v>92367</v>
      </c>
      <c r="C6342" s="20" t="s">
        <v>6457</v>
      </c>
      <c r="D6342" s="19" t="s">
        <v>38</v>
      </c>
      <c r="E6342" s="21">
        <f t="shared" si="293"/>
        <v>108.41</v>
      </c>
      <c r="F6342" s="22">
        <v>0.98999999999999999</v>
      </c>
      <c r="G6342" s="21">
        <f t="shared" si="294"/>
        <v>107.66</v>
      </c>
      <c r="H6342" s="22">
        <v>0.98999999999999999</v>
      </c>
      <c r="I6342" s="23" t="str">
        <f t="shared" si="295"/>
        <v xml:space="preserve">COM VALOR</v>
      </c>
      <c r="J6342" s="19"/>
      <c r="L6342" s="21">
        <v>108.41</v>
      </c>
      <c r="M6342" s="22">
        <v>0.88</v>
      </c>
      <c r="N6342" s="21">
        <v>107.66</v>
      </c>
      <c r="O6342" s="22">
        <v>0.88</v>
      </c>
    </row>
    <row r="6343" ht="38.25">
      <c r="A6343" t="s">
        <v>6218</v>
      </c>
      <c r="B6343" s="19">
        <v>92343</v>
      </c>
      <c r="C6343" s="20" t="s">
        <v>6458</v>
      </c>
      <c r="D6343" s="19" t="s">
        <v>38</v>
      </c>
      <c r="E6343" s="21">
        <f t="shared" si="293"/>
        <v>156.69</v>
      </c>
      <c r="F6343" s="22">
        <v>0.95999999999999996</v>
      </c>
      <c r="G6343" s="21">
        <f t="shared" si="294"/>
        <v>155.06999999999999</v>
      </c>
      <c r="H6343" s="22">
        <v>0.95999999999999996</v>
      </c>
      <c r="I6343" s="23" t="str">
        <f t="shared" si="295"/>
        <v xml:space="preserve">COM VALOR</v>
      </c>
      <c r="J6343" s="19"/>
      <c r="L6343" s="21">
        <v>156.69</v>
      </c>
      <c r="M6343" s="22">
        <v>0.81999999999999995</v>
      </c>
      <c r="N6343" s="21">
        <v>155.06999999999999</v>
      </c>
      <c r="O6343" s="22">
        <v>0.82999999999999996</v>
      </c>
    </row>
    <row r="6344" ht="38.25">
      <c r="A6344" t="s">
        <v>6218</v>
      </c>
      <c r="B6344" s="19">
        <v>92368</v>
      </c>
      <c r="C6344" s="20" t="s">
        <v>6459</v>
      </c>
      <c r="D6344" s="19" t="s">
        <v>38</v>
      </c>
      <c r="E6344" s="21">
        <f t="shared" si="293"/>
        <v>143.27000000000001</v>
      </c>
      <c r="F6344" s="22">
        <v>0.95999999999999996</v>
      </c>
      <c r="G6344" s="21">
        <f t="shared" si="294"/>
        <v>142.41</v>
      </c>
      <c r="H6344" s="22">
        <v>0.96999999999999997</v>
      </c>
      <c r="I6344" s="23" t="str">
        <f t="shared" si="295"/>
        <v xml:space="preserve">COM VALOR</v>
      </c>
      <c r="J6344" s="19"/>
      <c r="L6344" s="21">
        <v>143.27000000000001</v>
      </c>
      <c r="M6344" s="22">
        <v>0.89000000000000001</v>
      </c>
      <c r="N6344" s="21">
        <v>142.41</v>
      </c>
      <c r="O6344" s="22">
        <v>0.90000000000000002</v>
      </c>
    </row>
    <row r="6345" ht="38.25">
      <c r="A6345" t="s">
        <v>6218</v>
      </c>
      <c r="B6345" s="19">
        <v>92689</v>
      </c>
      <c r="C6345" s="20" t="s">
        <v>6460</v>
      </c>
      <c r="D6345" s="19" t="s">
        <v>38</v>
      </c>
      <c r="E6345" s="21">
        <f t="shared" si="293"/>
        <v>50.859999999999999</v>
      </c>
      <c r="F6345" s="22">
        <v>0.96999999999999997</v>
      </c>
      <c r="G6345" s="21">
        <f t="shared" si="294"/>
        <v>50.380000000000003</v>
      </c>
      <c r="H6345" s="22">
        <v>0.96999999999999997</v>
      </c>
      <c r="I6345" s="23" t="str">
        <f t="shared" si="295"/>
        <v xml:space="preserve">COM VALOR</v>
      </c>
      <c r="J6345" s="19"/>
      <c r="L6345" s="21">
        <v>50.859999999999999</v>
      </c>
      <c r="M6345" s="22">
        <v>0.82999999999999996</v>
      </c>
      <c r="N6345" s="21">
        <v>50.380000000000003</v>
      </c>
      <c r="O6345" s="22">
        <v>0.83999999999999997</v>
      </c>
    </row>
    <row r="6346" ht="38.25">
      <c r="A6346" t="s">
        <v>6218</v>
      </c>
      <c r="B6346" s="19">
        <v>92690</v>
      </c>
      <c r="C6346" s="20" t="s">
        <v>6461</v>
      </c>
      <c r="D6346" s="19" t="s">
        <v>38</v>
      </c>
      <c r="E6346" s="21">
        <f t="shared" si="293"/>
        <v>72.430000000000007</v>
      </c>
      <c r="F6346" s="22">
        <v>0.97999999999999998</v>
      </c>
      <c r="G6346" s="21">
        <f t="shared" si="294"/>
        <v>71.590000000000003</v>
      </c>
      <c r="H6346" s="22">
        <v>0.97999999999999998</v>
      </c>
      <c r="I6346" s="23" t="str">
        <f t="shared" si="295"/>
        <v xml:space="preserve">COM VALOR</v>
      </c>
      <c r="J6346" s="19"/>
      <c r="L6346" s="21">
        <v>72.430000000000007</v>
      </c>
      <c r="M6346" s="22">
        <v>0.79500000000000004</v>
      </c>
      <c r="N6346" s="21">
        <v>71.590000000000003</v>
      </c>
      <c r="O6346" s="22">
        <v>0.80000000000000004</v>
      </c>
    </row>
    <row r="6347" ht="38.25">
      <c r="A6347" t="s">
        <v>6218</v>
      </c>
      <c r="B6347" s="19">
        <v>92691</v>
      </c>
      <c r="C6347" s="20" t="s">
        <v>6462</v>
      </c>
      <c r="D6347" s="19" t="s">
        <v>38</v>
      </c>
      <c r="E6347" s="21">
        <f t="shared" ref="E6347:E6410" si="296">IF(L6347=0,"VERIFICAR",L6347)</f>
        <v>93.689999999999998</v>
      </c>
      <c r="F6347" s="22">
        <v>0.97999999999999998</v>
      </c>
      <c r="G6347" s="21">
        <f t="shared" ref="G6347:G6410" si="297">IF(N6347=0,"VERIFICAR",N6347)</f>
        <v>92.069999999999993</v>
      </c>
      <c r="H6347" s="22">
        <v>0.97999999999999998</v>
      </c>
      <c r="I6347" s="23" t="str">
        <f t="shared" ref="I6347:I6410" si="298">IF(OR(E6347=0,G6347=0),"SEM VALOR","COM VALOR")</f>
        <v xml:space="preserve">COM VALOR</v>
      </c>
      <c r="J6347" s="19"/>
      <c r="L6347" s="21">
        <v>93.689999999999998</v>
      </c>
      <c r="M6347" s="22">
        <v>0.68999999999999995</v>
      </c>
      <c r="N6347" s="21">
        <v>92.069999999999993</v>
      </c>
      <c r="O6347" s="22">
        <v>0.69999999999999996</v>
      </c>
    </row>
    <row r="6348" ht="38.25">
      <c r="A6348" t="s">
        <v>6218</v>
      </c>
      <c r="B6348" s="19">
        <v>92359</v>
      </c>
      <c r="C6348" s="20" t="s">
        <v>6463</v>
      </c>
      <c r="D6348" s="19" t="s">
        <v>38</v>
      </c>
      <c r="E6348" s="21">
        <f t="shared" si="296"/>
        <v>68.790000000000006</v>
      </c>
      <c r="F6348" s="22">
        <v>0.95999999999999996</v>
      </c>
      <c r="G6348" s="21">
        <f t="shared" si="297"/>
        <v>68.569999999999993</v>
      </c>
      <c r="H6348" s="22">
        <v>0.95999999999999996</v>
      </c>
      <c r="I6348" s="23" t="str">
        <f t="shared" si="298"/>
        <v xml:space="preserve">COM VALOR</v>
      </c>
      <c r="J6348" s="19"/>
      <c r="L6348" s="21">
        <v>68.790000000000006</v>
      </c>
      <c r="M6348" s="22">
        <v>0.93999999999999995</v>
      </c>
      <c r="N6348" s="21">
        <v>68.569999999999993</v>
      </c>
      <c r="O6348" s="22">
        <v>0.94499999999999995</v>
      </c>
    </row>
    <row r="6349" ht="38.25">
      <c r="A6349" t="s">
        <v>6218</v>
      </c>
      <c r="B6349" s="19">
        <v>92645</v>
      </c>
      <c r="C6349" s="20" t="s">
        <v>6464</v>
      </c>
      <c r="D6349" s="19" t="s">
        <v>38</v>
      </c>
      <c r="E6349" s="21">
        <f t="shared" si="296"/>
        <v>72.359999999999999</v>
      </c>
      <c r="F6349" s="22">
        <v>0.95999999999999996</v>
      </c>
      <c r="G6349" s="21">
        <f t="shared" si="297"/>
        <v>71.939999999999998</v>
      </c>
      <c r="H6349" s="22">
        <v>0.95999999999999996</v>
      </c>
      <c r="I6349" s="23" t="str">
        <f t="shared" si="298"/>
        <v xml:space="preserve">COM VALOR</v>
      </c>
      <c r="J6349" s="19"/>
      <c r="L6349" s="21">
        <v>72.359999999999999</v>
      </c>
      <c r="M6349" s="22">
        <v>0.90000000000000002</v>
      </c>
      <c r="N6349" s="21">
        <v>71.939999999999998</v>
      </c>
      <c r="O6349" s="22">
        <v>0.90000000000000002</v>
      </c>
    </row>
    <row r="6350" ht="38.25">
      <c r="A6350" t="s">
        <v>6218</v>
      </c>
      <c r="B6350" s="19">
        <v>92360</v>
      </c>
      <c r="C6350" s="20" t="s">
        <v>6465</v>
      </c>
      <c r="D6350" s="19" t="s">
        <v>38</v>
      </c>
      <c r="E6350" s="21">
        <f t="shared" si="296"/>
        <v>91.890000000000001</v>
      </c>
      <c r="F6350" s="22">
        <v>0.96999999999999997</v>
      </c>
      <c r="G6350" s="21">
        <f t="shared" si="297"/>
        <v>91.620000000000005</v>
      </c>
      <c r="H6350" s="22">
        <v>0.96999999999999997</v>
      </c>
      <c r="I6350" s="23" t="str">
        <f t="shared" si="298"/>
        <v xml:space="preserve">COM VALOR</v>
      </c>
      <c r="J6350" s="19"/>
      <c r="L6350" s="21">
        <v>91.890000000000001</v>
      </c>
      <c r="M6350" s="22">
        <v>0.94499999999999995</v>
      </c>
      <c r="N6350" s="21">
        <v>91.620000000000005</v>
      </c>
      <c r="O6350" s="22">
        <v>0.94999999999999996</v>
      </c>
    </row>
    <row r="6351" ht="38.25">
      <c r="A6351" t="s">
        <v>6218</v>
      </c>
      <c r="B6351" s="19">
        <v>92646</v>
      </c>
      <c r="C6351" s="20" t="s">
        <v>6466</v>
      </c>
      <c r="D6351" s="19" t="s">
        <v>38</v>
      </c>
      <c r="E6351" s="21">
        <f t="shared" si="296"/>
        <v>95.469999999999999</v>
      </c>
      <c r="F6351" s="22">
        <v>0.96999999999999997</v>
      </c>
      <c r="G6351" s="21">
        <f t="shared" si="297"/>
        <v>94.989999999999995</v>
      </c>
      <c r="H6351" s="22">
        <v>0.96999999999999997</v>
      </c>
      <c r="I6351" s="23" t="str">
        <f t="shared" si="298"/>
        <v xml:space="preserve">COM VALOR</v>
      </c>
      <c r="J6351" s="19"/>
      <c r="L6351" s="21">
        <v>95.469999999999999</v>
      </c>
      <c r="M6351" s="22">
        <v>0.91000000000000003</v>
      </c>
      <c r="N6351" s="21">
        <v>94.989999999999995</v>
      </c>
      <c r="O6351" s="22">
        <v>0.91000000000000003</v>
      </c>
    </row>
    <row r="6352" ht="38.25">
      <c r="A6352" t="s">
        <v>6218</v>
      </c>
      <c r="B6352" s="19">
        <v>95697</v>
      </c>
      <c r="C6352" s="20" t="s">
        <v>6467</v>
      </c>
      <c r="D6352" s="19" t="s">
        <v>38</v>
      </c>
      <c r="E6352" s="21">
        <f t="shared" si="296"/>
        <v>100.91</v>
      </c>
      <c r="F6352" s="22">
        <v>0.97999999999999998</v>
      </c>
      <c r="G6352" s="21">
        <f t="shared" si="297"/>
        <v>100.56</v>
      </c>
      <c r="H6352" s="22">
        <v>0.97999999999999998</v>
      </c>
      <c r="I6352" s="23" t="str">
        <f t="shared" si="298"/>
        <v xml:space="preserve">COM VALOR</v>
      </c>
      <c r="J6352" s="19"/>
      <c r="L6352" s="21">
        <v>100.91</v>
      </c>
      <c r="M6352" s="22">
        <v>0.93999999999999995</v>
      </c>
      <c r="N6352" s="21">
        <v>100.56</v>
      </c>
      <c r="O6352" s="22">
        <v>0.93999999999999995</v>
      </c>
    </row>
    <row r="6353" ht="38.25">
      <c r="A6353" t="s">
        <v>6218</v>
      </c>
      <c r="B6353" s="19">
        <v>92648</v>
      </c>
      <c r="C6353" s="20" t="s">
        <v>6468</v>
      </c>
      <c r="D6353" s="19" t="s">
        <v>38</v>
      </c>
      <c r="E6353" s="21">
        <f t="shared" si="296"/>
        <v>104.48999999999999</v>
      </c>
      <c r="F6353" s="22">
        <v>0.92000000000000004</v>
      </c>
      <c r="G6353" s="21">
        <f t="shared" si="297"/>
        <v>103.93000000000001</v>
      </c>
      <c r="H6353" s="22">
        <v>0.92000000000000004</v>
      </c>
      <c r="I6353" s="23" t="str">
        <f t="shared" si="298"/>
        <v xml:space="preserve">COM VALOR</v>
      </c>
      <c r="J6353" s="19"/>
      <c r="L6353" s="21">
        <v>104.48999999999999</v>
      </c>
      <c r="M6353" s="22">
        <v>0.91000000000000003</v>
      </c>
      <c r="N6353" s="21">
        <v>103.93000000000001</v>
      </c>
      <c r="O6353" s="22">
        <v>0.91000000000000003</v>
      </c>
    </row>
    <row r="6354" ht="25.5">
      <c r="A6354" t="s">
        <v>6218</v>
      </c>
      <c r="B6354" s="19">
        <v>92338</v>
      </c>
      <c r="C6354" s="20" t="s">
        <v>6469</v>
      </c>
      <c r="D6354" s="19" t="s">
        <v>38</v>
      </c>
      <c r="E6354" s="21">
        <f t="shared" si="296"/>
        <v>145.06999999999999</v>
      </c>
      <c r="F6354" s="22">
        <v>0.92000000000000004</v>
      </c>
      <c r="G6354" s="21">
        <f t="shared" si="297"/>
        <v>143.46000000000001</v>
      </c>
      <c r="H6354" s="22">
        <v>0.93000000000000005</v>
      </c>
      <c r="I6354" s="23" t="str">
        <f t="shared" si="298"/>
        <v xml:space="preserve">COM VALOR</v>
      </c>
      <c r="J6354" s="19"/>
      <c r="L6354" s="21">
        <v>145.06999999999999</v>
      </c>
      <c r="M6354" s="22">
        <v>0.80000000000000004</v>
      </c>
      <c r="N6354" s="21">
        <v>143.46000000000001</v>
      </c>
      <c r="O6354" s="22">
        <v>0.81000000000000005</v>
      </c>
    </row>
    <row r="6355" ht="38.25">
      <c r="A6355" t="s">
        <v>6218</v>
      </c>
      <c r="B6355" s="19">
        <v>92361</v>
      </c>
      <c r="C6355" s="20" t="s">
        <v>6470</v>
      </c>
      <c r="D6355" s="19" t="s">
        <v>38</v>
      </c>
      <c r="E6355" s="21">
        <f t="shared" si="296"/>
        <v>123.94</v>
      </c>
      <c r="F6355" s="22">
        <v>0.93999999999999995</v>
      </c>
      <c r="G6355" s="21">
        <f t="shared" si="297"/>
        <v>123.5</v>
      </c>
      <c r="H6355" s="22">
        <v>0.93999999999999995</v>
      </c>
      <c r="I6355" s="23" t="str">
        <f t="shared" si="298"/>
        <v xml:space="preserve">COM VALOR</v>
      </c>
      <c r="J6355" s="19"/>
      <c r="L6355" s="21">
        <v>123.94</v>
      </c>
      <c r="M6355" s="22">
        <v>0.93999999999999995</v>
      </c>
      <c r="N6355" s="21">
        <v>123.5</v>
      </c>
      <c r="O6355" s="22">
        <v>0.93999999999999995</v>
      </c>
    </row>
    <row r="6356" ht="38.25">
      <c r="A6356" t="s">
        <v>6218</v>
      </c>
      <c r="B6356" s="19">
        <v>92649</v>
      </c>
      <c r="C6356" s="20" t="s">
        <v>6471</v>
      </c>
      <c r="D6356" s="19" t="s">
        <v>38</v>
      </c>
      <c r="E6356" s="21">
        <f t="shared" si="296"/>
        <v>127.51000000000001</v>
      </c>
      <c r="F6356" s="22">
        <v>0.93999999999999995</v>
      </c>
      <c r="G6356" s="21">
        <f t="shared" si="297"/>
        <v>126.87</v>
      </c>
      <c r="H6356" s="22">
        <v>0.94999999999999996</v>
      </c>
      <c r="I6356" s="23" t="str">
        <f t="shared" si="298"/>
        <v xml:space="preserve">COM VALOR</v>
      </c>
      <c r="J6356" s="19"/>
      <c r="L6356" s="21">
        <v>127.51000000000001</v>
      </c>
      <c r="M6356" s="22">
        <v>0.91000000000000003</v>
      </c>
      <c r="N6356" s="21">
        <v>126.87</v>
      </c>
      <c r="O6356" s="22">
        <v>0.92000000000000004</v>
      </c>
    </row>
    <row r="6357" ht="25.5">
      <c r="A6357" t="s">
        <v>6218</v>
      </c>
      <c r="B6357" s="19">
        <v>92339</v>
      </c>
      <c r="C6357" s="20" t="s">
        <v>6472</v>
      </c>
      <c r="D6357" s="19" t="s">
        <v>38</v>
      </c>
      <c r="E6357" s="21">
        <f t="shared" si="296"/>
        <v>217.88</v>
      </c>
      <c r="F6357" s="22">
        <v>0.94999999999999996</v>
      </c>
      <c r="G6357" s="21">
        <f t="shared" si="297"/>
        <v>216.21000000000001</v>
      </c>
      <c r="H6357" s="22">
        <v>0.94999999999999996</v>
      </c>
      <c r="I6357" s="23" t="str">
        <f t="shared" si="298"/>
        <v xml:space="preserve">COM VALOR</v>
      </c>
      <c r="J6357" s="19"/>
      <c r="L6357" s="21">
        <v>217.88</v>
      </c>
      <c r="M6357" s="22">
        <v>0.85999999999999999</v>
      </c>
      <c r="N6357" s="21">
        <v>216.21000000000001</v>
      </c>
      <c r="O6357" s="22">
        <v>0.87</v>
      </c>
    </row>
    <row r="6358" ht="38.25">
      <c r="A6358" t="s">
        <v>6218</v>
      </c>
      <c r="B6358" s="19">
        <v>92362</v>
      </c>
      <c r="C6358" s="20" t="s">
        <v>6473</v>
      </c>
      <c r="D6358" s="19" t="s">
        <v>38</v>
      </c>
      <c r="E6358" s="21">
        <f t="shared" si="296"/>
        <v>198.22999999999999</v>
      </c>
      <c r="F6358" s="22">
        <v>0.95999999999999996</v>
      </c>
      <c r="G6358" s="21">
        <f t="shared" si="297"/>
        <v>197.66</v>
      </c>
      <c r="H6358" s="22">
        <v>0.95999999999999996</v>
      </c>
      <c r="I6358" s="23" t="str">
        <f t="shared" si="298"/>
        <v xml:space="preserve">COM VALOR</v>
      </c>
      <c r="J6358" s="19"/>
      <c r="L6358" s="21">
        <v>198.22999999999999</v>
      </c>
      <c r="M6358" s="22">
        <v>0.94999999999999996</v>
      </c>
      <c r="N6358" s="21">
        <v>197.66</v>
      </c>
      <c r="O6358" s="22">
        <v>0.94999999999999996</v>
      </c>
    </row>
    <row r="6359" ht="38.25">
      <c r="A6359" t="s">
        <v>6218</v>
      </c>
      <c r="B6359" s="19">
        <v>92650</v>
      </c>
      <c r="C6359" s="20" t="s">
        <v>6474</v>
      </c>
      <c r="D6359" s="19" t="s">
        <v>38</v>
      </c>
      <c r="E6359" s="21">
        <f t="shared" si="296"/>
        <v>201.81</v>
      </c>
      <c r="F6359" s="22">
        <v>0.90000000000000002</v>
      </c>
      <c r="G6359" s="21">
        <f t="shared" si="297"/>
        <v>201.05000000000001</v>
      </c>
      <c r="H6359" s="22">
        <v>0.91000000000000003</v>
      </c>
      <c r="I6359" s="23" t="str">
        <f t="shared" si="298"/>
        <v xml:space="preserve">COM VALOR</v>
      </c>
      <c r="J6359" s="19"/>
      <c r="L6359" s="21">
        <v>201.81</v>
      </c>
      <c r="M6359" s="22">
        <v>0.93000000000000005</v>
      </c>
      <c r="N6359" s="21">
        <v>201.05000000000001</v>
      </c>
      <c r="O6359" s="22">
        <v>0.93999999999999995</v>
      </c>
    </row>
    <row r="6360" ht="25.5">
      <c r="A6360" t="s">
        <v>6218</v>
      </c>
      <c r="B6360" s="19">
        <v>106674</v>
      </c>
      <c r="C6360" s="20" t="s">
        <v>6475</v>
      </c>
      <c r="D6360" s="19" t="s">
        <v>38</v>
      </c>
      <c r="E6360" s="21">
        <f t="shared" si="296"/>
        <v>267.41000000000003</v>
      </c>
      <c r="F6360" s="22">
        <v>0.91000000000000003</v>
      </c>
      <c r="G6360" s="21">
        <f t="shared" si="297"/>
        <v>265.70999999999998</v>
      </c>
      <c r="H6360" s="22">
        <v>0.92000000000000004</v>
      </c>
      <c r="I6360" s="23" t="str">
        <f t="shared" si="298"/>
        <v xml:space="preserve">COM VALOR</v>
      </c>
      <c r="J6360" s="19"/>
      <c r="L6360" s="21">
        <v>267.41000000000003</v>
      </c>
      <c r="M6360" s="22">
        <v>0.89000000000000001</v>
      </c>
      <c r="N6360" s="21">
        <v>265.70999999999998</v>
      </c>
      <c r="O6360" s="22">
        <v>0.89000000000000001</v>
      </c>
    </row>
    <row r="6361" ht="38.25">
      <c r="A6361" t="s">
        <v>6218</v>
      </c>
      <c r="B6361" s="19">
        <v>106675</v>
      </c>
      <c r="C6361" s="20" t="s">
        <v>6476</v>
      </c>
      <c r="D6361" s="19" t="s">
        <v>38</v>
      </c>
      <c r="E6361" s="21">
        <f t="shared" si="296"/>
        <v>249.25999999999999</v>
      </c>
      <c r="F6361" s="22">
        <v>0.94999999999999996</v>
      </c>
      <c r="G6361" s="21">
        <f t="shared" si="297"/>
        <v>248.56999999999999</v>
      </c>
      <c r="H6361" s="22">
        <v>0.95999999999999996</v>
      </c>
      <c r="I6361" s="23" t="str">
        <f t="shared" si="298"/>
        <v xml:space="preserve">COM VALOR</v>
      </c>
      <c r="J6361" s="19"/>
      <c r="L6361" s="21">
        <v>249.25999999999999</v>
      </c>
      <c r="M6361" s="22">
        <v>0.94999999999999996</v>
      </c>
      <c r="N6361" s="21">
        <v>248.56999999999999</v>
      </c>
      <c r="O6361" s="22">
        <v>0.94999999999999996</v>
      </c>
    </row>
    <row r="6362" ht="38.25">
      <c r="A6362" t="s">
        <v>6218</v>
      </c>
      <c r="B6362" s="19">
        <v>106676</v>
      </c>
      <c r="C6362" s="20" t="s">
        <v>6477</v>
      </c>
      <c r="D6362" s="19" t="s">
        <v>38</v>
      </c>
      <c r="E6362" s="21">
        <f t="shared" si="296"/>
        <v>252.84</v>
      </c>
      <c r="F6362" s="22">
        <v>0.94999999999999996</v>
      </c>
      <c r="G6362" s="21">
        <f t="shared" si="297"/>
        <v>251.94999999999999</v>
      </c>
      <c r="H6362" s="22">
        <v>0.95999999999999996</v>
      </c>
      <c r="I6362" s="23" t="str">
        <f t="shared" si="298"/>
        <v xml:space="preserve">COM VALOR</v>
      </c>
      <c r="J6362" s="19"/>
      <c r="L6362" s="21">
        <v>252.84</v>
      </c>
      <c r="M6362" s="22">
        <v>0.93999999999999995</v>
      </c>
      <c r="N6362" s="21">
        <v>251.94999999999999</v>
      </c>
      <c r="O6362" s="22">
        <v>0.93999999999999995</v>
      </c>
    </row>
    <row r="6363" ht="25.5">
      <c r="A6363" t="s">
        <v>6218</v>
      </c>
      <c r="B6363" s="19">
        <v>97439</v>
      </c>
      <c r="C6363" s="20" t="s">
        <v>6478</v>
      </c>
      <c r="D6363" s="19" t="s">
        <v>31</v>
      </c>
      <c r="E6363" s="21">
        <f t="shared" si="296"/>
        <v>144.34</v>
      </c>
      <c r="F6363" s="22">
        <v>0.95999999999999996</v>
      </c>
      <c r="G6363" s="21">
        <f t="shared" si="297"/>
        <v>142.12</v>
      </c>
      <c r="H6363" s="22">
        <v>0.95999999999999996</v>
      </c>
      <c r="I6363" s="23" t="str">
        <f t="shared" si="298"/>
        <v xml:space="preserve">COM VALOR</v>
      </c>
      <c r="J6363" s="19"/>
      <c r="L6363" s="21">
        <v>144.34</v>
      </c>
      <c r="M6363" s="22">
        <v>0.72750000000000004</v>
      </c>
      <c r="N6363" s="21">
        <v>142.12</v>
      </c>
      <c r="O6363" s="22">
        <v>0.73999999999999999</v>
      </c>
    </row>
    <row r="6364" ht="25.5">
      <c r="A6364" t="s">
        <v>6218</v>
      </c>
      <c r="B6364" s="19">
        <v>97440</v>
      </c>
      <c r="C6364" s="20" t="s">
        <v>6479</v>
      </c>
      <c r="D6364" s="19" t="s">
        <v>31</v>
      </c>
      <c r="E6364" s="21">
        <f t="shared" si="296"/>
        <v>168.09999999999999</v>
      </c>
      <c r="F6364" s="22">
        <v>0.96999999999999997</v>
      </c>
      <c r="G6364" s="21">
        <f t="shared" si="297"/>
        <v>165.78999999999999</v>
      </c>
      <c r="H6364" s="22">
        <v>0.96999999999999997</v>
      </c>
      <c r="I6364" s="23" t="str">
        <f t="shared" si="298"/>
        <v xml:space="preserve">COM VALOR</v>
      </c>
      <c r="J6364" s="19"/>
      <c r="L6364" s="21">
        <v>168.09999999999999</v>
      </c>
      <c r="M6364" s="22">
        <v>0.76000000000000001</v>
      </c>
      <c r="N6364" s="21">
        <v>165.78999999999999</v>
      </c>
      <c r="O6364" s="22">
        <v>0.77000000000000002</v>
      </c>
    </row>
    <row r="6365" ht="25.5">
      <c r="A6365" t="s">
        <v>6218</v>
      </c>
      <c r="B6365" s="19">
        <v>97442</v>
      </c>
      <c r="C6365" s="20" t="s">
        <v>6480</v>
      </c>
      <c r="D6365" s="19" t="s">
        <v>31</v>
      </c>
      <c r="E6365" s="21">
        <f t="shared" si="296"/>
        <v>182.05000000000001</v>
      </c>
      <c r="F6365" s="22">
        <v>0.96999999999999997</v>
      </c>
      <c r="G6365" s="21">
        <f t="shared" si="297"/>
        <v>179.66999999999999</v>
      </c>
      <c r="H6365" s="22">
        <v>0.96999999999999997</v>
      </c>
      <c r="I6365" s="23" t="str">
        <f t="shared" si="298"/>
        <v xml:space="preserve">COM VALOR</v>
      </c>
      <c r="J6365" s="19"/>
      <c r="L6365" s="21">
        <v>182.05000000000001</v>
      </c>
      <c r="M6365" s="22">
        <v>0.77000000000000002</v>
      </c>
      <c r="N6365" s="21">
        <v>179.66999999999999</v>
      </c>
      <c r="O6365" s="22">
        <v>0.78000000000000003</v>
      </c>
    </row>
    <row r="6366" ht="25.5">
      <c r="A6366" t="s">
        <v>6218</v>
      </c>
      <c r="B6366" s="19">
        <v>97552</v>
      </c>
      <c r="C6366" s="20" t="s">
        <v>6481</v>
      </c>
      <c r="D6366" s="19" t="s">
        <v>31</v>
      </c>
      <c r="E6366" s="21">
        <f t="shared" si="296"/>
        <v>49.57</v>
      </c>
      <c r="F6366" s="22">
        <v>0.98999999999999999</v>
      </c>
      <c r="G6366" s="21">
        <f t="shared" si="297"/>
        <v>48.600000000000001</v>
      </c>
      <c r="H6366" s="22">
        <v>0.98999999999999999</v>
      </c>
      <c r="I6366" s="23" t="str">
        <f t="shared" si="298"/>
        <v xml:space="preserve">COM VALOR</v>
      </c>
      <c r="J6366" s="19"/>
      <c r="L6366" s="21">
        <v>49.57</v>
      </c>
      <c r="M6366" s="22">
        <v>0.64000000000000001</v>
      </c>
      <c r="N6366" s="21">
        <v>48.600000000000001</v>
      </c>
      <c r="O6366" s="22">
        <v>0.65000000000000002</v>
      </c>
    </row>
    <row r="6367" ht="25.5">
      <c r="A6367" t="s">
        <v>6218</v>
      </c>
      <c r="B6367" s="19">
        <v>97553</v>
      </c>
      <c r="C6367" s="20" t="s">
        <v>6482</v>
      </c>
      <c r="D6367" s="19" t="s">
        <v>31</v>
      </c>
      <c r="E6367" s="21">
        <f t="shared" si="296"/>
        <v>71.260000000000005</v>
      </c>
      <c r="F6367" s="22">
        <v>0.98999999999999999</v>
      </c>
      <c r="G6367" s="21">
        <f t="shared" si="297"/>
        <v>69.590000000000003</v>
      </c>
      <c r="H6367" s="22">
        <v>0.98999999999999999</v>
      </c>
      <c r="I6367" s="23" t="str">
        <f t="shared" si="298"/>
        <v xml:space="preserve">COM VALOR</v>
      </c>
      <c r="J6367" s="19"/>
      <c r="L6367" s="21">
        <v>71.260000000000005</v>
      </c>
      <c r="M6367" s="22">
        <v>0.56999999999999995</v>
      </c>
      <c r="N6367" s="21">
        <v>69.590000000000003</v>
      </c>
      <c r="O6367" s="22">
        <v>0.58999999999999997</v>
      </c>
    </row>
    <row r="6368" ht="25.5">
      <c r="A6368" t="s">
        <v>6218</v>
      </c>
      <c r="B6368" s="19">
        <v>97554</v>
      </c>
      <c r="C6368" s="20" t="s">
        <v>6483</v>
      </c>
      <c r="D6368" s="19" t="s">
        <v>31</v>
      </c>
      <c r="E6368" s="21">
        <f t="shared" si="296"/>
        <v>123.02</v>
      </c>
      <c r="F6368" s="22"/>
      <c r="G6368" s="21">
        <f t="shared" si="297"/>
        <v>119.78</v>
      </c>
      <c r="H6368" s="22"/>
      <c r="I6368" s="23" t="str">
        <f t="shared" si="298"/>
        <v xml:space="preserve">COM VALOR</v>
      </c>
      <c r="J6368" s="19"/>
      <c r="L6368" s="21">
        <v>123.02</v>
      </c>
      <c r="M6368" s="22">
        <v>0.52000000000000002</v>
      </c>
      <c r="N6368" s="21">
        <v>119.78</v>
      </c>
      <c r="O6368" s="22">
        <v>0.54000000000000004</v>
      </c>
    </row>
    <row r="6369" ht="38.25">
      <c r="A6369" t="s">
        <v>6218</v>
      </c>
      <c r="B6369" s="19">
        <v>97491</v>
      </c>
      <c r="C6369" s="20" t="s">
        <v>6484</v>
      </c>
      <c r="D6369" s="19" t="s">
        <v>31</v>
      </c>
      <c r="E6369" s="21">
        <f t="shared" si="296"/>
        <v>87.159999999999997</v>
      </c>
      <c r="F6369" s="22"/>
      <c r="G6369" s="21">
        <f t="shared" si="297"/>
        <v>85.939999999999998</v>
      </c>
      <c r="H6369" s="22"/>
      <c r="I6369" s="23" t="str">
        <f t="shared" si="298"/>
        <v xml:space="preserve">COM VALOR</v>
      </c>
      <c r="J6369" s="19"/>
      <c r="L6369" s="21">
        <v>87.159999999999997</v>
      </c>
      <c r="M6369" s="22">
        <v>0.73999999999999999</v>
      </c>
      <c r="N6369" s="21">
        <v>85.939999999999998</v>
      </c>
      <c r="O6369" s="22">
        <v>0.75</v>
      </c>
    </row>
    <row r="6370" ht="38.25">
      <c r="A6370" t="s">
        <v>6218</v>
      </c>
      <c r="B6370" s="19">
        <v>97529</v>
      </c>
      <c r="C6370" s="20" t="s">
        <v>6485</v>
      </c>
      <c r="D6370" s="19" t="s">
        <v>31</v>
      </c>
      <c r="E6370" s="21">
        <f t="shared" si="296"/>
        <v>82.739999999999995</v>
      </c>
      <c r="F6370" s="22"/>
      <c r="G6370" s="21">
        <f t="shared" si="297"/>
        <v>81.769999999999996</v>
      </c>
      <c r="H6370" s="22"/>
      <c r="I6370" s="23" t="str">
        <f t="shared" si="298"/>
        <v xml:space="preserve">COM VALOR</v>
      </c>
      <c r="J6370" s="19"/>
      <c r="L6370" s="21">
        <v>82.739999999999995</v>
      </c>
      <c r="M6370" s="22">
        <v>0.78000000000000003</v>
      </c>
      <c r="N6370" s="21">
        <v>81.769999999999996</v>
      </c>
      <c r="O6370" s="22">
        <v>0.79000000000000004</v>
      </c>
    </row>
    <row r="6371" ht="38.25">
      <c r="A6371" t="s">
        <v>6218</v>
      </c>
      <c r="B6371" s="19">
        <v>97492</v>
      </c>
      <c r="C6371" s="20" t="s">
        <v>6486</v>
      </c>
      <c r="D6371" s="19" t="s">
        <v>31</v>
      </c>
      <c r="E6371" s="21">
        <f t="shared" si="296"/>
        <v>127.76000000000001</v>
      </c>
      <c r="F6371" s="22">
        <v>0</v>
      </c>
      <c r="G6371" s="21">
        <f t="shared" si="297"/>
        <v>126.22</v>
      </c>
      <c r="H6371" s="22">
        <v>0</v>
      </c>
      <c r="I6371" s="23" t="str">
        <f t="shared" si="298"/>
        <v xml:space="preserve">COM VALOR</v>
      </c>
      <c r="J6371" s="19"/>
      <c r="L6371" s="21">
        <v>127.76000000000001</v>
      </c>
      <c r="M6371" s="22">
        <v>0.77000000000000002</v>
      </c>
      <c r="N6371" s="21">
        <v>126.22</v>
      </c>
      <c r="O6371" s="22">
        <v>0.78000000000000003</v>
      </c>
    </row>
    <row r="6372" ht="38.25">
      <c r="A6372" t="s">
        <v>6218</v>
      </c>
      <c r="B6372" s="19">
        <v>97530</v>
      </c>
      <c r="C6372" s="20" t="s">
        <v>6487</v>
      </c>
      <c r="D6372" s="19" t="s">
        <v>31</v>
      </c>
      <c r="E6372" s="21">
        <f t="shared" si="296"/>
        <v>119.98</v>
      </c>
      <c r="F6372" s="22">
        <v>0.87</v>
      </c>
      <c r="G6372" s="21">
        <f t="shared" si="297"/>
        <v>118.86</v>
      </c>
      <c r="H6372" s="22">
        <v>0.88</v>
      </c>
      <c r="I6372" s="23" t="str">
        <f t="shared" si="298"/>
        <v xml:space="preserve">COM VALOR</v>
      </c>
      <c r="J6372" s="19"/>
      <c r="L6372" s="21">
        <v>119.98</v>
      </c>
      <c r="M6372" s="22">
        <v>0.81999999999999995</v>
      </c>
      <c r="N6372" s="21">
        <v>118.86</v>
      </c>
      <c r="O6372" s="22">
        <v>0.82999999999999996</v>
      </c>
    </row>
    <row r="6373" ht="38.25">
      <c r="A6373" t="s">
        <v>6218</v>
      </c>
      <c r="B6373" s="19">
        <v>97493</v>
      </c>
      <c r="C6373" s="20" t="s">
        <v>6488</v>
      </c>
      <c r="D6373" s="19" t="s">
        <v>31</v>
      </c>
      <c r="E6373" s="21">
        <f t="shared" si="296"/>
        <v>164.59999999999999</v>
      </c>
      <c r="F6373" s="22">
        <v>0.77000000000000002</v>
      </c>
      <c r="G6373" s="21">
        <f t="shared" si="297"/>
        <v>162.68000000000001</v>
      </c>
      <c r="H6373" s="22">
        <v>0.78000000000000003</v>
      </c>
      <c r="I6373" s="23" t="str">
        <f t="shared" si="298"/>
        <v xml:space="preserve">COM VALOR</v>
      </c>
      <c r="J6373" s="19"/>
      <c r="L6373" s="21">
        <v>164.59999999999999</v>
      </c>
      <c r="M6373" s="22">
        <v>0.78000000000000003</v>
      </c>
      <c r="N6373" s="21">
        <v>162.68000000000001</v>
      </c>
      <c r="O6373" s="22">
        <v>0.79000000000000004</v>
      </c>
    </row>
    <row r="6374" ht="38.25">
      <c r="A6374" t="s">
        <v>6218</v>
      </c>
      <c r="B6374" s="19">
        <v>97531</v>
      </c>
      <c r="C6374" s="20" t="s">
        <v>6489</v>
      </c>
      <c r="D6374" s="19" t="s">
        <v>31</v>
      </c>
      <c r="E6374" s="21">
        <f t="shared" si="296"/>
        <v>152.97</v>
      </c>
      <c r="F6374" s="22">
        <v>0.84999999999999998</v>
      </c>
      <c r="G6374" s="21">
        <f t="shared" si="297"/>
        <v>151.69999999999999</v>
      </c>
      <c r="H6374" s="22">
        <v>0.84999999999999998</v>
      </c>
      <c r="I6374" s="23" t="str">
        <f t="shared" si="298"/>
        <v xml:space="preserve">COM VALOR</v>
      </c>
      <c r="J6374" s="19"/>
      <c r="L6374" s="21">
        <v>152.97</v>
      </c>
      <c r="M6374" s="22">
        <v>0.83999999999999997</v>
      </c>
      <c r="N6374" s="21">
        <v>151.69999999999999</v>
      </c>
      <c r="O6374" s="22">
        <v>0.84999999999999998</v>
      </c>
    </row>
    <row r="6375" ht="25.5">
      <c r="A6375" t="s">
        <v>6218</v>
      </c>
      <c r="B6375" s="19">
        <v>97458</v>
      </c>
      <c r="C6375" s="20" t="s">
        <v>6490</v>
      </c>
      <c r="D6375" s="19" t="s">
        <v>31</v>
      </c>
      <c r="E6375" s="21">
        <f t="shared" si="296"/>
        <v>291.56999999999999</v>
      </c>
      <c r="F6375" s="22">
        <v>0.89000000000000001</v>
      </c>
      <c r="G6375" s="21">
        <f t="shared" si="297"/>
        <v>287.19999999999999</v>
      </c>
      <c r="H6375" s="22">
        <v>0.90000000000000002</v>
      </c>
      <c r="I6375" s="23" t="str">
        <f t="shared" si="298"/>
        <v xml:space="preserve">COM VALOR</v>
      </c>
      <c r="J6375" s="19"/>
      <c r="L6375" s="21">
        <v>291.56999999999999</v>
      </c>
      <c r="M6375" s="22">
        <v>0.72999999999999998</v>
      </c>
      <c r="N6375" s="21">
        <v>287.19999999999999</v>
      </c>
      <c r="O6375" s="22">
        <v>0.73999999999999999</v>
      </c>
    </row>
    <row r="6376" ht="38.25">
      <c r="A6376" t="s">
        <v>6218</v>
      </c>
      <c r="B6376" s="19">
        <v>97494</v>
      </c>
      <c r="C6376" s="20" t="s">
        <v>6491</v>
      </c>
      <c r="D6376" s="19" t="s">
        <v>31</v>
      </c>
      <c r="E6376" s="21">
        <f t="shared" si="296"/>
        <v>256.19</v>
      </c>
      <c r="F6376" s="22">
        <v>0.93999999999999995</v>
      </c>
      <c r="G6376" s="21">
        <f t="shared" si="297"/>
        <v>253.80000000000001</v>
      </c>
      <c r="H6376" s="22">
        <v>0.94999999999999996</v>
      </c>
      <c r="I6376" s="23" t="str">
        <f t="shared" si="298"/>
        <v xml:space="preserve">COM VALOR</v>
      </c>
      <c r="J6376" s="19"/>
      <c r="L6376" s="21">
        <v>256.19</v>
      </c>
      <c r="M6376" s="22">
        <v>0.82999999999999996</v>
      </c>
      <c r="N6376" s="21">
        <v>253.80000000000001</v>
      </c>
      <c r="O6376" s="22">
        <v>0.82999999999999996</v>
      </c>
    </row>
    <row r="6377" ht="38.25">
      <c r="A6377" t="s">
        <v>6218</v>
      </c>
      <c r="B6377" s="19">
        <v>97532</v>
      </c>
      <c r="C6377" s="20" t="s">
        <v>6492</v>
      </c>
      <c r="D6377" s="19" t="s">
        <v>31</v>
      </c>
      <c r="E6377" s="21">
        <f t="shared" si="296"/>
        <v>239.74000000000001</v>
      </c>
      <c r="F6377" s="22">
        <v>0.94999999999999996</v>
      </c>
      <c r="G6377" s="21">
        <f t="shared" si="297"/>
        <v>238.25999999999999</v>
      </c>
      <c r="H6377" s="22">
        <v>0.94999999999999996</v>
      </c>
      <c r="I6377" s="23" t="str">
        <f t="shared" si="298"/>
        <v xml:space="preserve">COM VALOR</v>
      </c>
      <c r="J6377" s="19"/>
      <c r="L6377" s="21">
        <v>239.74000000000001</v>
      </c>
      <c r="M6377" s="22">
        <v>0.88</v>
      </c>
      <c r="N6377" s="21">
        <v>238.25999999999999</v>
      </c>
      <c r="O6377" s="22">
        <v>0.89000000000000001</v>
      </c>
    </row>
    <row r="6378" ht="25.5">
      <c r="A6378" t="s">
        <v>6218</v>
      </c>
      <c r="B6378" s="19">
        <v>97459</v>
      </c>
      <c r="C6378" s="20" t="s">
        <v>6493</v>
      </c>
      <c r="D6378" s="19" t="s">
        <v>31</v>
      </c>
      <c r="E6378" s="21">
        <f t="shared" si="296"/>
        <v>496.52999999999997</v>
      </c>
      <c r="F6378" s="22">
        <v>0.90000000000000002</v>
      </c>
      <c r="G6378" s="21">
        <f t="shared" si="297"/>
        <v>492.06</v>
      </c>
      <c r="H6378" s="22">
        <v>0.91000000000000003</v>
      </c>
      <c r="I6378" s="23" t="str">
        <f t="shared" si="298"/>
        <v xml:space="preserve">COM VALOR</v>
      </c>
      <c r="J6378" s="19"/>
      <c r="L6378" s="21">
        <v>496.52999999999997</v>
      </c>
      <c r="M6378" s="22">
        <v>0.82999999999999996</v>
      </c>
      <c r="N6378" s="21">
        <v>492.06</v>
      </c>
      <c r="O6378" s="22">
        <v>0.83999999999999997</v>
      </c>
    </row>
    <row r="6379" ht="38.25">
      <c r="A6379" t="s">
        <v>6218</v>
      </c>
      <c r="B6379" s="19">
        <v>97495</v>
      </c>
      <c r="C6379" s="20" t="s">
        <v>6494</v>
      </c>
      <c r="D6379" s="19" t="s">
        <v>31</v>
      </c>
      <c r="E6379" s="21">
        <f t="shared" si="296"/>
        <v>471.52999999999997</v>
      </c>
      <c r="F6379" s="22">
        <v>0.91000000000000003</v>
      </c>
      <c r="G6379" s="21">
        <f t="shared" si="297"/>
        <v>468.44</v>
      </c>
      <c r="H6379" s="22">
        <v>0.92000000000000004</v>
      </c>
      <c r="I6379" s="23" t="str">
        <f t="shared" si="298"/>
        <v xml:space="preserve">COM VALOR</v>
      </c>
      <c r="J6379" s="19"/>
      <c r="L6379" s="21">
        <v>471.52999999999997</v>
      </c>
      <c r="M6379" s="22">
        <v>0.88</v>
      </c>
      <c r="N6379" s="21">
        <v>468.44</v>
      </c>
      <c r="O6379" s="22">
        <v>0.88</v>
      </c>
    </row>
    <row r="6380" ht="38.25">
      <c r="A6380" t="s">
        <v>6218</v>
      </c>
      <c r="B6380" s="19">
        <v>97533</v>
      </c>
      <c r="C6380" s="20" t="s">
        <v>6495</v>
      </c>
      <c r="D6380" s="19" t="s">
        <v>31</v>
      </c>
      <c r="E6380" s="21">
        <f t="shared" si="296"/>
        <v>447.86000000000001</v>
      </c>
      <c r="F6380" s="22">
        <v>0.93000000000000005</v>
      </c>
      <c r="G6380" s="21">
        <f t="shared" si="297"/>
        <v>446.08999999999997</v>
      </c>
      <c r="H6380" s="22">
        <v>0.93999999999999995</v>
      </c>
      <c r="I6380" s="23" t="str">
        <f t="shared" si="298"/>
        <v xml:space="preserve">COM VALOR</v>
      </c>
      <c r="J6380" s="19"/>
      <c r="L6380" s="21">
        <v>447.86000000000001</v>
      </c>
      <c r="M6380" s="22">
        <v>0.92000000000000004</v>
      </c>
      <c r="N6380" s="21">
        <v>446.08999999999997</v>
      </c>
      <c r="O6380" s="22">
        <v>0.93000000000000005</v>
      </c>
    </row>
    <row r="6381" ht="25.5">
      <c r="A6381" t="s">
        <v>6218</v>
      </c>
      <c r="B6381" s="19">
        <v>97460</v>
      </c>
      <c r="C6381" s="20" t="s">
        <v>6496</v>
      </c>
      <c r="D6381" s="19" t="s">
        <v>31</v>
      </c>
      <c r="E6381" s="21">
        <f t="shared" si="296"/>
        <v>762.34000000000003</v>
      </c>
      <c r="F6381" s="22">
        <v>0.93999999999999995</v>
      </c>
      <c r="G6381" s="21">
        <f t="shared" si="297"/>
        <v>757.74000000000001</v>
      </c>
      <c r="H6381" s="22">
        <v>0.94999999999999996</v>
      </c>
      <c r="I6381" s="23" t="str">
        <f t="shared" si="298"/>
        <v xml:space="preserve">COM VALOR</v>
      </c>
      <c r="J6381" s="19"/>
      <c r="L6381" s="21">
        <v>762.34000000000003</v>
      </c>
      <c r="M6381" s="22">
        <v>0.89000000000000001</v>
      </c>
      <c r="N6381" s="21">
        <v>757.74000000000001</v>
      </c>
      <c r="O6381" s="22">
        <v>0.89000000000000001</v>
      </c>
    </row>
    <row r="6382" ht="38.25">
      <c r="A6382" t="s">
        <v>6218</v>
      </c>
      <c r="B6382" s="19">
        <v>97496</v>
      </c>
      <c r="C6382" s="20" t="s">
        <v>6497</v>
      </c>
      <c r="D6382" s="19" t="s">
        <v>31</v>
      </c>
      <c r="E6382" s="21">
        <f t="shared" si="296"/>
        <v>747.71000000000004</v>
      </c>
      <c r="F6382" s="22">
        <v>0.94999999999999996</v>
      </c>
      <c r="G6382" s="21">
        <f t="shared" si="297"/>
        <v>743.92999999999995</v>
      </c>
      <c r="H6382" s="22">
        <v>0.95999999999999996</v>
      </c>
      <c r="I6382" s="23" t="str">
        <f t="shared" si="298"/>
        <v xml:space="preserve">COM VALOR</v>
      </c>
      <c r="J6382" s="19"/>
      <c r="L6382" s="21">
        <v>747.71000000000004</v>
      </c>
      <c r="M6382" s="22">
        <v>0.90000000000000002</v>
      </c>
      <c r="N6382" s="21">
        <v>743.92999999999995</v>
      </c>
      <c r="O6382" s="22">
        <v>0.91000000000000003</v>
      </c>
    </row>
    <row r="6383" ht="38.25">
      <c r="A6383" t="s">
        <v>6218</v>
      </c>
      <c r="B6383" s="19">
        <v>97534</v>
      </c>
      <c r="C6383" s="20" t="s">
        <v>6498</v>
      </c>
      <c r="D6383" s="19" t="s">
        <v>31</v>
      </c>
      <c r="E6383" s="21">
        <f t="shared" si="296"/>
        <v>716.83000000000004</v>
      </c>
      <c r="F6383" s="22">
        <v>0.95999999999999996</v>
      </c>
      <c r="G6383" s="21">
        <f t="shared" si="297"/>
        <v>714.75999999999999</v>
      </c>
      <c r="H6383" s="22">
        <v>0.95999999999999996</v>
      </c>
      <c r="I6383" s="23" t="str">
        <f t="shared" si="298"/>
        <v xml:space="preserve">COM VALOR</v>
      </c>
      <c r="J6383" s="19"/>
      <c r="L6383" s="21">
        <v>716.83000000000004</v>
      </c>
      <c r="M6383" s="22">
        <v>0.93999999999999995</v>
      </c>
      <c r="N6383" s="21">
        <v>714.75999999999999</v>
      </c>
      <c r="O6383" s="22">
        <v>0.94499999999999995</v>
      </c>
    </row>
    <row r="6384" ht="25.5">
      <c r="A6384" t="s">
        <v>6218</v>
      </c>
      <c r="B6384" s="19">
        <v>101926</v>
      </c>
      <c r="C6384" s="20" t="s">
        <v>6499</v>
      </c>
      <c r="D6384" s="19" t="s">
        <v>31</v>
      </c>
      <c r="E6384" s="21">
        <f t="shared" si="296"/>
        <v>434.54000000000002</v>
      </c>
      <c r="F6384" s="22">
        <v>0.5</v>
      </c>
      <c r="G6384" s="21">
        <f t="shared" si="297"/>
        <v>429.81</v>
      </c>
      <c r="H6384" s="22">
        <v>0.52000000000000002</v>
      </c>
      <c r="I6384" s="23" t="str">
        <f t="shared" si="298"/>
        <v xml:space="preserve">COM VALOR</v>
      </c>
      <c r="J6384" s="19"/>
      <c r="L6384" s="21">
        <v>434.54000000000002</v>
      </c>
      <c r="M6384" s="22">
        <v>0</v>
      </c>
      <c r="N6384" s="21">
        <v>429.81</v>
      </c>
      <c r="O6384" s="22">
        <v>0</v>
      </c>
    </row>
    <row r="6385" ht="38.25">
      <c r="A6385" t="s">
        <v>6218</v>
      </c>
      <c r="B6385" s="19">
        <v>101935</v>
      </c>
      <c r="C6385" s="20" t="s">
        <v>6500</v>
      </c>
      <c r="D6385" s="19" t="s">
        <v>31</v>
      </c>
      <c r="E6385" s="21">
        <f t="shared" si="296"/>
        <v>449</v>
      </c>
      <c r="F6385" s="22">
        <v>0.47999999999999998</v>
      </c>
      <c r="G6385" s="21">
        <f t="shared" si="297"/>
        <v>443.44999999999999</v>
      </c>
      <c r="H6385" s="22">
        <v>0.5</v>
      </c>
      <c r="I6385" s="23" t="str">
        <f t="shared" si="298"/>
        <v xml:space="preserve">COM VALOR</v>
      </c>
      <c r="J6385" s="19"/>
      <c r="L6385" s="21">
        <v>449</v>
      </c>
      <c r="M6385" s="22">
        <v>0</v>
      </c>
      <c r="N6385" s="21">
        <v>443.44999999999999</v>
      </c>
      <c r="O6385" s="22">
        <v>0</v>
      </c>
    </row>
    <row r="6386" ht="38.25">
      <c r="A6386" t="s">
        <v>6218</v>
      </c>
      <c r="B6386" s="19">
        <v>92704</v>
      </c>
      <c r="C6386" s="20" t="s">
        <v>6501</v>
      </c>
      <c r="D6386" s="19" t="s">
        <v>31</v>
      </c>
      <c r="E6386" s="21">
        <f t="shared" si="296"/>
        <v>27.48</v>
      </c>
      <c r="F6386" s="22">
        <v>0.41999999999999998</v>
      </c>
      <c r="G6386" s="21">
        <f t="shared" si="297"/>
        <v>26.539999999999999</v>
      </c>
      <c r="H6386" s="22">
        <v>0.44</v>
      </c>
      <c r="I6386" s="23" t="str">
        <f t="shared" si="298"/>
        <v xml:space="preserve">COM VALOR</v>
      </c>
      <c r="J6386" s="19"/>
      <c r="L6386" s="21">
        <v>27.48</v>
      </c>
      <c r="M6386" s="22">
        <v>0</v>
      </c>
      <c r="N6386" s="21">
        <v>26.539999999999999</v>
      </c>
      <c r="O6386" s="22">
        <v>0</v>
      </c>
    </row>
    <row r="6387" ht="38.25">
      <c r="A6387" t="s">
        <v>6218</v>
      </c>
      <c r="B6387" s="19">
        <v>92705</v>
      </c>
      <c r="C6387" s="20" t="s">
        <v>6502</v>
      </c>
      <c r="D6387" s="19" t="s">
        <v>31</v>
      </c>
      <c r="E6387" s="21">
        <f t="shared" si="296"/>
        <v>43.890000000000001</v>
      </c>
      <c r="F6387" s="22">
        <v>0.46999999999999997</v>
      </c>
      <c r="G6387" s="21">
        <f t="shared" si="297"/>
        <v>42.289999999999999</v>
      </c>
      <c r="H6387" s="22">
        <v>0.48999999999999999</v>
      </c>
      <c r="I6387" s="23" t="str">
        <f t="shared" si="298"/>
        <v xml:space="preserve">COM VALOR</v>
      </c>
      <c r="J6387" s="19"/>
      <c r="L6387" s="21">
        <v>43.890000000000001</v>
      </c>
      <c r="M6387" s="22">
        <v>0</v>
      </c>
      <c r="N6387" s="21">
        <v>42.289999999999999</v>
      </c>
      <c r="O6387" s="22">
        <v>0</v>
      </c>
    </row>
    <row r="6388" ht="38.25">
      <c r="A6388" t="s">
        <v>6218</v>
      </c>
      <c r="B6388" s="19">
        <v>92706</v>
      </c>
      <c r="C6388" s="20" t="s">
        <v>6503</v>
      </c>
      <c r="D6388" s="19" t="s">
        <v>31</v>
      </c>
      <c r="E6388" s="21">
        <f t="shared" si="296"/>
        <v>71.010000000000005</v>
      </c>
      <c r="F6388" s="22">
        <v>0.55000000000000004</v>
      </c>
      <c r="G6388" s="21">
        <f t="shared" si="297"/>
        <v>68.400000000000006</v>
      </c>
      <c r="H6388" s="22">
        <v>0.56999999999999995</v>
      </c>
      <c r="I6388" s="23" t="str">
        <f t="shared" si="298"/>
        <v xml:space="preserve">COM VALOR</v>
      </c>
      <c r="J6388" s="19"/>
      <c r="L6388" s="21">
        <v>71.010000000000005</v>
      </c>
      <c r="M6388" s="22">
        <v>0</v>
      </c>
      <c r="N6388" s="21">
        <v>68.400000000000006</v>
      </c>
      <c r="O6388" s="22">
        <v>0</v>
      </c>
    </row>
    <row r="6389" ht="38.25">
      <c r="A6389" t="s">
        <v>6218</v>
      </c>
      <c r="B6389" s="19">
        <v>92637</v>
      </c>
      <c r="C6389" s="20" t="s">
        <v>6504</v>
      </c>
      <c r="D6389" s="19" t="s">
        <v>31</v>
      </c>
      <c r="E6389" s="21">
        <f t="shared" si="296"/>
        <v>109.02</v>
      </c>
      <c r="F6389" s="22">
        <v>0.66000000000000003</v>
      </c>
      <c r="G6389" s="21">
        <f t="shared" si="297"/>
        <v>106.52</v>
      </c>
      <c r="H6389" s="22">
        <v>0.68000000000000005</v>
      </c>
      <c r="I6389" s="23" t="str">
        <f t="shared" si="298"/>
        <v xml:space="preserve">COM VALOR</v>
      </c>
      <c r="J6389" s="19"/>
      <c r="L6389" s="21">
        <v>109.02</v>
      </c>
      <c r="M6389" s="22">
        <v>0.58999999999999997</v>
      </c>
      <c r="N6389" s="21">
        <v>106.52</v>
      </c>
      <c r="O6389" s="22">
        <v>0.59999999999999998</v>
      </c>
    </row>
    <row r="6390" ht="38.25">
      <c r="A6390" t="s">
        <v>6218</v>
      </c>
      <c r="B6390" s="19">
        <v>92681</v>
      </c>
      <c r="C6390" s="20" t="s">
        <v>6505</v>
      </c>
      <c r="D6390" s="19" t="s">
        <v>31</v>
      </c>
      <c r="E6390" s="21">
        <f t="shared" si="296"/>
        <v>53.409999999999997</v>
      </c>
      <c r="F6390" s="22">
        <v>0.54000000000000004</v>
      </c>
      <c r="G6390" s="21">
        <f t="shared" si="297"/>
        <v>51.789999999999999</v>
      </c>
      <c r="H6390" s="22">
        <v>0.56000000000000005</v>
      </c>
      <c r="I6390" s="23" t="str">
        <f t="shared" si="298"/>
        <v xml:space="preserve">COM VALOR</v>
      </c>
      <c r="J6390" s="19"/>
      <c r="L6390" s="21">
        <v>53.409999999999997</v>
      </c>
      <c r="M6390" s="22">
        <v>0</v>
      </c>
      <c r="N6390" s="21">
        <v>51.789999999999999</v>
      </c>
      <c r="O6390" s="22">
        <v>0</v>
      </c>
    </row>
    <row r="6391" ht="38.25">
      <c r="A6391" t="s">
        <v>6218</v>
      </c>
      <c r="B6391" s="19">
        <v>92638</v>
      </c>
      <c r="C6391" s="20" t="s">
        <v>6506</v>
      </c>
      <c r="D6391" s="19" t="s">
        <v>31</v>
      </c>
      <c r="E6391" s="21">
        <f t="shared" si="296"/>
        <v>148.63</v>
      </c>
      <c r="F6391" s="22">
        <v>0.41999999999999998</v>
      </c>
      <c r="G6391" s="21">
        <f t="shared" si="297"/>
        <v>145.84</v>
      </c>
      <c r="H6391" s="22">
        <v>0.44</v>
      </c>
      <c r="I6391" s="23" t="str">
        <f t="shared" si="298"/>
        <v xml:space="preserve">COM VALOR</v>
      </c>
      <c r="J6391" s="19"/>
      <c r="L6391" s="21">
        <v>148.63</v>
      </c>
      <c r="M6391" s="22">
        <v>0.66000000000000003</v>
      </c>
      <c r="N6391" s="21">
        <v>145.84</v>
      </c>
      <c r="O6391" s="22">
        <v>0.68000000000000005</v>
      </c>
    </row>
    <row r="6392" ht="38.25">
      <c r="A6392" t="s">
        <v>6218</v>
      </c>
      <c r="B6392" s="19">
        <v>92682</v>
      </c>
      <c r="C6392" s="20" t="s">
        <v>6507</v>
      </c>
      <c r="D6392" s="19" t="s">
        <v>31</v>
      </c>
      <c r="E6392" s="21">
        <f t="shared" si="296"/>
        <v>69.299999999999997</v>
      </c>
      <c r="F6392" s="22">
        <v>0.51000000000000001</v>
      </c>
      <c r="G6392" s="21">
        <f t="shared" si="297"/>
        <v>67.519999999999996</v>
      </c>
      <c r="H6392" s="22">
        <v>0.53000000000000003</v>
      </c>
      <c r="I6392" s="23" t="str">
        <f t="shared" si="298"/>
        <v xml:space="preserve">COM VALOR</v>
      </c>
      <c r="J6392" s="19"/>
      <c r="L6392" s="21">
        <v>69.299999999999997</v>
      </c>
      <c r="M6392" s="22">
        <v>0</v>
      </c>
      <c r="N6392" s="21">
        <v>67.519999999999996</v>
      </c>
      <c r="O6392" s="22">
        <v>0</v>
      </c>
    </row>
    <row r="6393" ht="38.25">
      <c r="A6393" t="s">
        <v>6218</v>
      </c>
      <c r="B6393" s="19">
        <v>92639</v>
      </c>
      <c r="C6393" s="20" t="s">
        <v>6508</v>
      </c>
      <c r="D6393" s="19" t="s">
        <v>31</v>
      </c>
      <c r="E6393" s="21">
        <f t="shared" si="296"/>
        <v>184.37</v>
      </c>
      <c r="F6393" s="22">
        <v>0.56999999999999995</v>
      </c>
      <c r="G6393" s="21">
        <f t="shared" si="297"/>
        <v>181.25999999999999</v>
      </c>
      <c r="H6393" s="22">
        <v>0.58999999999999997</v>
      </c>
      <c r="I6393" s="23" t="str">
        <f t="shared" si="298"/>
        <v xml:space="preserve">COM VALOR</v>
      </c>
      <c r="J6393" s="19"/>
      <c r="L6393" s="21">
        <v>184.37</v>
      </c>
      <c r="M6393" s="22">
        <v>0.69999999999999996</v>
      </c>
      <c r="N6393" s="21">
        <v>181.25999999999999</v>
      </c>
      <c r="O6393" s="22">
        <v>0.70999999999999996</v>
      </c>
    </row>
    <row r="6394" ht="38.25">
      <c r="A6394" t="s">
        <v>6218</v>
      </c>
      <c r="B6394" s="19">
        <v>92683</v>
      </c>
      <c r="C6394" s="20" t="s">
        <v>6509</v>
      </c>
      <c r="D6394" s="19" t="s">
        <v>31</v>
      </c>
      <c r="E6394" s="21">
        <f t="shared" si="296"/>
        <v>82.590000000000003</v>
      </c>
      <c r="F6394" s="22">
        <v>0.78000000000000003</v>
      </c>
      <c r="G6394" s="21">
        <f t="shared" si="297"/>
        <v>80.620000000000005</v>
      </c>
      <c r="H6394" s="22">
        <v>0.79000000000000004</v>
      </c>
      <c r="I6394" s="23" t="str">
        <f t="shared" si="298"/>
        <v xml:space="preserve">COM VALOR</v>
      </c>
      <c r="J6394" s="19"/>
      <c r="L6394" s="21">
        <v>82.590000000000003</v>
      </c>
      <c r="M6394" s="22">
        <v>0</v>
      </c>
      <c r="N6394" s="21">
        <v>80.620000000000005</v>
      </c>
      <c r="O6394" s="22">
        <v>0</v>
      </c>
    </row>
    <row r="6395" ht="51">
      <c r="A6395" t="s">
        <v>6218</v>
      </c>
      <c r="B6395" s="19">
        <v>92640</v>
      </c>
      <c r="C6395" s="20" t="s">
        <v>6510</v>
      </c>
      <c r="D6395" s="19" t="s">
        <v>31</v>
      </c>
      <c r="E6395" s="21">
        <f t="shared" si="296"/>
        <v>137.53999999999999</v>
      </c>
      <c r="F6395" s="22">
        <v>0.84999999999999998</v>
      </c>
      <c r="G6395" s="21">
        <f t="shared" si="297"/>
        <v>134.02000000000001</v>
      </c>
      <c r="H6395" s="22">
        <v>0.85999999999999999</v>
      </c>
      <c r="I6395" s="23" t="str">
        <f t="shared" si="298"/>
        <v xml:space="preserve">COM VALOR</v>
      </c>
      <c r="J6395" s="19"/>
      <c r="L6395" s="21">
        <v>137.53999999999999</v>
      </c>
      <c r="M6395" s="22">
        <v>0</v>
      </c>
      <c r="N6395" s="21">
        <v>134.02000000000001</v>
      </c>
      <c r="O6395" s="22">
        <v>0</v>
      </c>
    </row>
    <row r="6396" ht="38.25">
      <c r="A6396" t="s">
        <v>6218</v>
      </c>
      <c r="B6396" s="19">
        <v>92684</v>
      </c>
      <c r="C6396" s="20" t="s">
        <v>6511</v>
      </c>
      <c r="D6396" s="19" t="s">
        <v>31</v>
      </c>
      <c r="E6396" s="21">
        <f t="shared" si="296"/>
        <v>114.36</v>
      </c>
      <c r="F6396" s="22">
        <v>0.89000000000000001</v>
      </c>
      <c r="G6396" s="21">
        <f t="shared" si="297"/>
        <v>112.15000000000001</v>
      </c>
      <c r="H6396" s="22">
        <v>0.90000000000000002</v>
      </c>
      <c r="I6396" s="23" t="str">
        <f t="shared" si="298"/>
        <v xml:space="preserve">COM VALOR</v>
      </c>
      <c r="J6396" s="19"/>
      <c r="L6396" s="21">
        <v>114.36</v>
      </c>
      <c r="M6396" s="22">
        <v>0</v>
      </c>
      <c r="N6396" s="21">
        <v>112.15000000000001</v>
      </c>
      <c r="O6396" s="22">
        <v>0</v>
      </c>
    </row>
    <row r="6397" ht="38.25">
      <c r="A6397" t="s">
        <v>6218</v>
      </c>
      <c r="B6397" s="19">
        <v>92642</v>
      </c>
      <c r="C6397" s="20" t="s">
        <v>6512</v>
      </c>
      <c r="D6397" s="19" t="s">
        <v>31</v>
      </c>
      <c r="E6397" s="21">
        <f t="shared" si="296"/>
        <v>215.49000000000001</v>
      </c>
      <c r="F6397" s="22">
        <v>0.90000000000000002</v>
      </c>
      <c r="G6397" s="21">
        <f t="shared" si="297"/>
        <v>211.37</v>
      </c>
      <c r="H6397" s="22">
        <v>0.91000000000000003</v>
      </c>
      <c r="I6397" s="23" t="str">
        <f t="shared" si="298"/>
        <v xml:space="preserve">COM VALOR</v>
      </c>
      <c r="J6397" s="19"/>
      <c r="L6397" s="21">
        <v>215.49000000000001</v>
      </c>
      <c r="M6397" s="22">
        <v>0</v>
      </c>
      <c r="N6397" s="21">
        <v>211.37</v>
      </c>
      <c r="O6397" s="22">
        <v>0</v>
      </c>
    </row>
    <row r="6398" ht="38.25">
      <c r="A6398" t="s">
        <v>6218</v>
      </c>
      <c r="B6398" s="19">
        <v>92685</v>
      </c>
      <c r="C6398" s="20" t="s">
        <v>6513</v>
      </c>
      <c r="D6398" s="19" t="s">
        <v>31</v>
      </c>
      <c r="E6398" s="21">
        <f t="shared" si="296"/>
        <v>187.74000000000001</v>
      </c>
      <c r="F6398" s="22">
        <v>0.94999999999999996</v>
      </c>
      <c r="G6398" s="21">
        <f t="shared" si="297"/>
        <v>185.18000000000001</v>
      </c>
      <c r="H6398" s="22">
        <v>0.95999999999999996</v>
      </c>
      <c r="I6398" s="23" t="str">
        <f t="shared" si="298"/>
        <v xml:space="preserve">COM VALOR</v>
      </c>
      <c r="J6398" s="19"/>
      <c r="L6398" s="21">
        <v>187.74000000000001</v>
      </c>
      <c r="M6398" s="22">
        <v>0</v>
      </c>
      <c r="N6398" s="21">
        <v>185.18000000000001</v>
      </c>
      <c r="O6398" s="22">
        <v>0</v>
      </c>
    </row>
    <row r="6399" ht="38.25">
      <c r="A6399" t="s">
        <v>6218</v>
      </c>
      <c r="B6399" s="19">
        <v>92644</v>
      </c>
      <c r="C6399" s="20" t="s">
        <v>6514</v>
      </c>
      <c r="D6399" s="19" t="s">
        <v>31</v>
      </c>
      <c r="E6399" s="21">
        <f t="shared" si="296"/>
        <v>274.43000000000001</v>
      </c>
      <c r="F6399" s="22">
        <v>0.79000000000000004</v>
      </c>
      <c r="G6399" s="21">
        <f t="shared" si="297"/>
        <v>269.69999999999999</v>
      </c>
      <c r="H6399" s="22">
        <v>0.80000000000000004</v>
      </c>
      <c r="I6399" s="23" t="str">
        <f t="shared" si="298"/>
        <v xml:space="preserve">COM VALOR</v>
      </c>
      <c r="J6399" s="19"/>
      <c r="L6399" s="21">
        <v>274.43000000000001</v>
      </c>
      <c r="M6399" s="22">
        <v>0</v>
      </c>
      <c r="N6399" s="21">
        <v>269.69999999999999</v>
      </c>
      <c r="O6399" s="22">
        <v>0</v>
      </c>
    </row>
    <row r="6400" ht="38.25">
      <c r="A6400" t="s">
        <v>6218</v>
      </c>
      <c r="B6400" s="19">
        <v>92686</v>
      </c>
      <c r="C6400" s="20" t="s">
        <v>6515</v>
      </c>
      <c r="D6400" s="19" t="s">
        <v>31</v>
      </c>
      <c r="E6400" s="21">
        <f t="shared" si="296"/>
        <v>242.11000000000001</v>
      </c>
      <c r="F6400" s="22">
        <v>0.72999999999999998</v>
      </c>
      <c r="G6400" s="21">
        <f t="shared" si="297"/>
        <v>239.22</v>
      </c>
      <c r="H6400" s="22">
        <v>0.75</v>
      </c>
      <c r="I6400" s="23" t="str">
        <f t="shared" si="298"/>
        <v xml:space="preserve">COM VALOR</v>
      </c>
      <c r="J6400" s="19"/>
      <c r="L6400" s="21">
        <v>242.11000000000001</v>
      </c>
      <c r="M6400" s="22">
        <v>0</v>
      </c>
      <c r="N6400" s="21">
        <v>239.22</v>
      </c>
      <c r="O6400" s="22">
        <v>0</v>
      </c>
    </row>
    <row r="6401" ht="25.5">
      <c r="A6401" t="s">
        <v>6218</v>
      </c>
      <c r="B6401" s="19">
        <v>92356</v>
      </c>
      <c r="C6401" s="20" t="s">
        <v>6516</v>
      </c>
      <c r="D6401" s="19" t="s">
        <v>31</v>
      </c>
      <c r="E6401" s="21">
        <f t="shared" si="296"/>
        <v>143.91</v>
      </c>
      <c r="F6401" s="22">
        <v>0.72999999999999998</v>
      </c>
      <c r="G6401" s="21">
        <f t="shared" si="297"/>
        <v>140.03</v>
      </c>
      <c r="H6401" s="22">
        <v>0.75</v>
      </c>
      <c r="I6401" s="23" t="str">
        <f t="shared" si="298"/>
        <v xml:space="preserve">COM VALOR</v>
      </c>
      <c r="J6401" s="19"/>
      <c r="L6401" s="21">
        <v>143.91</v>
      </c>
      <c r="M6401" s="22">
        <v>0</v>
      </c>
      <c r="N6401" s="21">
        <v>140.03</v>
      </c>
      <c r="O6401" s="22">
        <v>0</v>
      </c>
    </row>
    <row r="6402" ht="25.5">
      <c r="A6402" t="s">
        <v>6218</v>
      </c>
      <c r="B6402" s="19">
        <v>92357</v>
      </c>
      <c r="C6402" s="20" t="s">
        <v>6517</v>
      </c>
      <c r="D6402" s="19" t="s">
        <v>31</v>
      </c>
      <c r="E6402" s="21">
        <f t="shared" si="296"/>
        <v>215.61000000000001</v>
      </c>
      <c r="F6402" s="22">
        <v>0.73999999999999999</v>
      </c>
      <c r="G6402" s="21">
        <f t="shared" si="297"/>
        <v>211.47999999999999</v>
      </c>
      <c r="H6402" s="22">
        <v>0.76000000000000001</v>
      </c>
      <c r="I6402" s="23" t="str">
        <f t="shared" si="298"/>
        <v xml:space="preserve">COM VALOR</v>
      </c>
      <c r="J6402" s="19"/>
      <c r="L6402" s="21">
        <v>215.61000000000001</v>
      </c>
      <c r="M6402" s="22">
        <v>0</v>
      </c>
      <c r="N6402" s="21">
        <v>211.47999999999999</v>
      </c>
      <c r="O6402" s="22">
        <v>0</v>
      </c>
    </row>
    <row r="6403" ht="25.5">
      <c r="A6403" t="s">
        <v>6218</v>
      </c>
      <c r="B6403" s="19">
        <v>92358</v>
      </c>
      <c r="C6403" s="20" t="s">
        <v>6518</v>
      </c>
      <c r="D6403" s="19" t="s">
        <v>31</v>
      </c>
      <c r="E6403" s="21">
        <f t="shared" si="296"/>
        <v>268.30000000000001</v>
      </c>
      <c r="F6403" s="22">
        <v>0.79000000000000004</v>
      </c>
      <c r="G6403" s="21">
        <f t="shared" si="297"/>
        <v>263.92000000000002</v>
      </c>
      <c r="H6403" s="22">
        <v>0.80000000000000004</v>
      </c>
      <c r="I6403" s="23" t="str">
        <f t="shared" si="298"/>
        <v xml:space="preserve">COM VALOR</v>
      </c>
      <c r="J6403" s="19"/>
      <c r="L6403" s="21">
        <v>268.30000000000001</v>
      </c>
      <c r="M6403" s="22">
        <v>0</v>
      </c>
      <c r="N6403" s="21">
        <v>263.92000000000002</v>
      </c>
      <c r="O6403" s="22">
        <v>0</v>
      </c>
    </row>
    <row r="6404" ht="25.5">
      <c r="A6404" t="s">
        <v>6218</v>
      </c>
      <c r="B6404" s="19">
        <v>101919</v>
      </c>
      <c r="C6404" s="20" t="s">
        <v>6519</v>
      </c>
      <c r="D6404" s="19" t="s">
        <v>31</v>
      </c>
      <c r="E6404" s="21">
        <f t="shared" si="296"/>
        <v>454.56999999999999</v>
      </c>
      <c r="F6404" s="22">
        <v>0.82999999999999996</v>
      </c>
      <c r="G6404" s="21">
        <f t="shared" si="297"/>
        <v>452.19999999999999</v>
      </c>
      <c r="H6404" s="22">
        <v>0.83999999999999997</v>
      </c>
      <c r="I6404" s="23" t="str">
        <f t="shared" si="298"/>
        <v xml:space="preserve">COM VALOR</v>
      </c>
      <c r="J6404" s="19"/>
      <c r="L6404" s="21">
        <v>454.56999999999999</v>
      </c>
      <c r="M6404" s="22">
        <v>0</v>
      </c>
      <c r="N6404" s="21">
        <v>452.19999999999999</v>
      </c>
      <c r="O6404" s="22">
        <v>0</v>
      </c>
    </row>
    <row r="6405" ht="38.25">
      <c r="A6405" t="s">
        <v>6218</v>
      </c>
      <c r="B6405" s="19">
        <v>101928</v>
      </c>
      <c r="C6405" s="20" t="s">
        <v>6520</v>
      </c>
      <c r="D6405" s="19" t="s">
        <v>31</v>
      </c>
      <c r="E6405" s="21">
        <f t="shared" si="296"/>
        <v>461.80000000000001</v>
      </c>
      <c r="F6405" s="22">
        <v>0.78000000000000003</v>
      </c>
      <c r="G6405" s="21">
        <f t="shared" si="297"/>
        <v>459.01999999999998</v>
      </c>
      <c r="H6405" s="22">
        <v>0.79000000000000004</v>
      </c>
      <c r="I6405" s="23" t="str">
        <f t="shared" si="298"/>
        <v xml:space="preserve">COM VALOR</v>
      </c>
      <c r="J6405" s="19"/>
      <c r="L6405" s="21">
        <v>461.80000000000001</v>
      </c>
      <c r="M6405" s="22">
        <v>0</v>
      </c>
      <c r="N6405" s="21">
        <v>459.01999999999998</v>
      </c>
      <c r="O6405" s="22">
        <v>0</v>
      </c>
    </row>
    <row r="6406" ht="38.25">
      <c r="A6406" t="s">
        <v>6218</v>
      </c>
      <c r="B6406" s="19">
        <v>92904</v>
      </c>
      <c r="C6406" s="20" t="s">
        <v>6521</v>
      </c>
      <c r="D6406" s="19" t="s">
        <v>31</v>
      </c>
      <c r="E6406" s="21">
        <f t="shared" si="296"/>
        <v>35.770000000000003</v>
      </c>
      <c r="F6406" s="22">
        <v>0.71999999999999997</v>
      </c>
      <c r="G6406" s="21">
        <f t="shared" si="297"/>
        <v>35.310000000000002</v>
      </c>
      <c r="H6406" s="22">
        <v>0.72999999999999998</v>
      </c>
      <c r="I6406" s="23" t="str">
        <f t="shared" si="298"/>
        <v xml:space="preserve">COM VALOR</v>
      </c>
      <c r="J6406" s="19"/>
      <c r="L6406" s="21">
        <v>35.770000000000003</v>
      </c>
      <c r="M6406" s="22">
        <v>0</v>
      </c>
      <c r="N6406" s="21">
        <v>35.310000000000002</v>
      </c>
      <c r="O6406" s="22">
        <v>0</v>
      </c>
    </row>
    <row r="6407" ht="38.25">
      <c r="A6407" t="s">
        <v>6218</v>
      </c>
      <c r="B6407" s="19">
        <v>92905</v>
      </c>
      <c r="C6407" s="20" t="s">
        <v>6522</v>
      </c>
      <c r="D6407" s="19" t="s">
        <v>31</v>
      </c>
      <c r="E6407" s="21">
        <f t="shared" si="296"/>
        <v>50.590000000000003</v>
      </c>
      <c r="F6407" s="22">
        <v>0.65000000000000002</v>
      </c>
      <c r="G6407" s="21">
        <f t="shared" si="297"/>
        <v>49.789999999999999</v>
      </c>
      <c r="H6407" s="22">
        <v>0.67000000000000004</v>
      </c>
      <c r="I6407" s="23" t="str">
        <f t="shared" si="298"/>
        <v xml:space="preserve">COM VALOR</v>
      </c>
      <c r="J6407" s="19"/>
      <c r="L6407" s="21">
        <v>50.590000000000003</v>
      </c>
      <c r="M6407" s="22">
        <v>0</v>
      </c>
      <c r="N6407" s="21">
        <v>49.789999999999999</v>
      </c>
      <c r="O6407" s="22">
        <v>0</v>
      </c>
    </row>
    <row r="6408" ht="38.25">
      <c r="A6408" t="s">
        <v>6218</v>
      </c>
      <c r="B6408" s="19">
        <v>92906</v>
      </c>
      <c r="C6408" s="20" t="s">
        <v>6523</v>
      </c>
      <c r="D6408" s="19" t="s">
        <v>31</v>
      </c>
      <c r="E6408" s="21">
        <f t="shared" si="296"/>
        <v>60.829999999999998</v>
      </c>
      <c r="F6408" s="22">
        <v>0.70999999999999996</v>
      </c>
      <c r="G6408" s="21">
        <f t="shared" si="297"/>
        <v>59.520000000000003</v>
      </c>
      <c r="H6408" s="22">
        <v>0.71999999999999997</v>
      </c>
      <c r="I6408" s="23" t="str">
        <f t="shared" si="298"/>
        <v xml:space="preserve">COM VALOR</v>
      </c>
      <c r="J6408" s="19"/>
      <c r="L6408" s="21">
        <v>60.829999999999998</v>
      </c>
      <c r="M6408" s="22">
        <v>0</v>
      </c>
      <c r="N6408" s="21">
        <v>59.520000000000003</v>
      </c>
      <c r="O6408" s="22">
        <v>0</v>
      </c>
    </row>
    <row r="6409" ht="38.25">
      <c r="A6409" t="s">
        <v>6218</v>
      </c>
      <c r="B6409" s="19">
        <v>92898</v>
      </c>
      <c r="C6409" s="20" t="s">
        <v>6524</v>
      </c>
      <c r="D6409" s="19" t="s">
        <v>31</v>
      </c>
      <c r="E6409" s="21">
        <f t="shared" si="296"/>
        <v>52.030000000000001</v>
      </c>
      <c r="F6409" s="22">
        <v>0.73999999999999999</v>
      </c>
      <c r="G6409" s="21">
        <f t="shared" si="297"/>
        <v>51.219999999999999</v>
      </c>
      <c r="H6409" s="22">
        <v>0.76000000000000001</v>
      </c>
      <c r="I6409" s="23" t="str">
        <f t="shared" si="298"/>
        <v xml:space="preserve">COM VALOR</v>
      </c>
      <c r="J6409" s="19"/>
      <c r="L6409" s="21">
        <v>52.030000000000001</v>
      </c>
      <c r="M6409" s="22">
        <v>0</v>
      </c>
      <c r="N6409" s="21">
        <v>51.219999999999999</v>
      </c>
      <c r="O6409" s="22">
        <v>0</v>
      </c>
    </row>
    <row r="6410" ht="38.25">
      <c r="A6410" t="s">
        <v>6218</v>
      </c>
      <c r="B6410" s="19">
        <v>92899</v>
      </c>
      <c r="C6410" s="20" t="s">
        <v>6525</v>
      </c>
      <c r="D6410" s="19" t="s">
        <v>31</v>
      </c>
      <c r="E6410" s="21">
        <f t="shared" si="296"/>
        <v>78.689999999999998</v>
      </c>
      <c r="F6410" s="22">
        <v>0.82999999999999996</v>
      </c>
      <c r="G6410" s="21">
        <f t="shared" si="297"/>
        <v>77.799999999999997</v>
      </c>
      <c r="H6410" s="22">
        <v>0.83999999999999997</v>
      </c>
      <c r="I6410" s="23" t="str">
        <f t="shared" si="298"/>
        <v xml:space="preserve">COM VALOR</v>
      </c>
      <c r="J6410" s="19"/>
      <c r="L6410" s="21">
        <v>78.689999999999998</v>
      </c>
      <c r="M6410" s="22">
        <v>0</v>
      </c>
      <c r="N6410" s="21">
        <v>77.799999999999997</v>
      </c>
      <c r="O6410" s="22">
        <v>0</v>
      </c>
    </row>
    <row r="6411" ht="38.25">
      <c r="A6411" t="s">
        <v>6218</v>
      </c>
      <c r="B6411" s="19">
        <v>92900</v>
      </c>
      <c r="C6411" s="20" t="s">
        <v>6526</v>
      </c>
      <c r="D6411" s="19" t="s">
        <v>31</v>
      </c>
      <c r="E6411" s="21">
        <f t="shared" ref="E6411:E6474" si="299">IF(L6411=0,"VERIFICAR",L6411)</f>
        <v>95.700000000000003</v>
      </c>
      <c r="F6411" s="22">
        <v>0.79000000000000004</v>
      </c>
      <c r="G6411" s="21">
        <f t="shared" ref="G6411:G6474" si="300">IF(N6411=0,"VERIFICAR",N6411)</f>
        <v>94.719999999999999</v>
      </c>
      <c r="H6411" s="22">
        <v>0.80000000000000004</v>
      </c>
      <c r="I6411" s="23" t="str">
        <f t="shared" ref="I6411:I6474" si="301">IF(OR(E6411=0,G6411=0),"SEM VALOR","COM VALOR")</f>
        <v xml:space="preserve">COM VALOR</v>
      </c>
      <c r="J6411" s="19"/>
      <c r="L6411" s="21">
        <v>95.700000000000003</v>
      </c>
      <c r="M6411" s="22">
        <v>0</v>
      </c>
      <c r="N6411" s="21">
        <v>94.719999999999999</v>
      </c>
      <c r="O6411" s="22">
        <v>0</v>
      </c>
    </row>
    <row r="6412" ht="38.25">
      <c r="A6412" t="s">
        <v>6218</v>
      </c>
      <c r="B6412" s="19">
        <v>92901</v>
      </c>
      <c r="C6412" s="20" t="s">
        <v>6527</v>
      </c>
      <c r="D6412" s="19" t="s">
        <v>31</v>
      </c>
      <c r="E6412" s="21">
        <f t="shared" si="299"/>
        <v>134.49000000000001</v>
      </c>
      <c r="F6412" s="22">
        <v>0.72999999999999998</v>
      </c>
      <c r="G6412" s="21">
        <f t="shared" si="300"/>
        <v>133.38999999999999</v>
      </c>
      <c r="H6412" s="22">
        <v>0.75</v>
      </c>
      <c r="I6412" s="23" t="str">
        <f t="shared" si="301"/>
        <v xml:space="preserve">COM VALOR</v>
      </c>
      <c r="J6412" s="19"/>
      <c r="L6412" s="21">
        <v>134.49000000000001</v>
      </c>
      <c r="M6412" s="22">
        <v>0</v>
      </c>
      <c r="N6412" s="21">
        <v>133.38999999999999</v>
      </c>
      <c r="O6412" s="22">
        <v>0</v>
      </c>
    </row>
    <row r="6413" ht="38.25">
      <c r="A6413" t="s">
        <v>6218</v>
      </c>
      <c r="B6413" s="19">
        <v>92902</v>
      </c>
      <c r="C6413" s="20" t="s">
        <v>6528</v>
      </c>
      <c r="D6413" s="19" t="s">
        <v>31</v>
      </c>
      <c r="E6413" s="21">
        <f t="shared" si="299"/>
        <v>212.61000000000001</v>
      </c>
      <c r="F6413" s="22">
        <v>0.68000000000000005</v>
      </c>
      <c r="G6413" s="21">
        <f t="shared" si="300"/>
        <v>211.33000000000001</v>
      </c>
      <c r="H6413" s="22">
        <v>0.68999999999999995</v>
      </c>
      <c r="I6413" s="23" t="str">
        <f t="shared" si="301"/>
        <v xml:space="preserve">COM VALOR</v>
      </c>
      <c r="J6413" s="19"/>
      <c r="L6413" s="21">
        <v>212.61000000000001</v>
      </c>
      <c r="M6413" s="22">
        <v>0</v>
      </c>
      <c r="N6413" s="21">
        <v>211.33000000000001</v>
      </c>
      <c r="O6413" s="22">
        <v>0</v>
      </c>
    </row>
    <row r="6414" ht="38.25">
      <c r="A6414" t="s">
        <v>6218</v>
      </c>
      <c r="B6414" s="19">
        <v>92903</v>
      </c>
      <c r="C6414" s="20" t="s">
        <v>6529</v>
      </c>
      <c r="D6414" s="19" t="s">
        <v>31</v>
      </c>
      <c r="E6414" s="21">
        <f t="shared" si="299"/>
        <v>319.79000000000002</v>
      </c>
      <c r="F6414" s="22">
        <v>0.71999999999999997</v>
      </c>
      <c r="G6414" s="21">
        <f t="shared" si="300"/>
        <v>318.33999999999997</v>
      </c>
      <c r="H6414" s="22">
        <v>0.73999999999999999</v>
      </c>
      <c r="I6414" s="23" t="str">
        <f t="shared" si="301"/>
        <v xml:space="preserve">COM VALOR</v>
      </c>
      <c r="J6414" s="19"/>
      <c r="L6414" s="21">
        <v>319.79000000000002</v>
      </c>
      <c r="M6414" s="22">
        <v>0</v>
      </c>
      <c r="N6414" s="21">
        <v>318.33999999999997</v>
      </c>
      <c r="O6414" s="22">
        <v>0</v>
      </c>
    </row>
    <row r="6415" ht="38.25">
      <c r="A6415" t="s">
        <v>6218</v>
      </c>
      <c r="B6415" s="19">
        <v>92892</v>
      </c>
      <c r="C6415" s="20" t="s">
        <v>6530</v>
      </c>
      <c r="D6415" s="19" t="s">
        <v>31</v>
      </c>
      <c r="E6415" s="21">
        <f t="shared" si="299"/>
        <v>59.810000000000002</v>
      </c>
      <c r="F6415" s="22">
        <v>0.75</v>
      </c>
      <c r="G6415" s="21">
        <f t="shared" si="300"/>
        <v>58.57</v>
      </c>
      <c r="H6415" s="22">
        <v>0.77000000000000002</v>
      </c>
      <c r="I6415" s="23" t="str">
        <f t="shared" si="301"/>
        <v xml:space="preserve">COM VALOR</v>
      </c>
      <c r="J6415" s="19"/>
      <c r="L6415" s="21">
        <v>59.810000000000002</v>
      </c>
      <c r="M6415" s="22">
        <v>0</v>
      </c>
      <c r="N6415" s="21">
        <v>58.57</v>
      </c>
      <c r="O6415" s="22">
        <v>0</v>
      </c>
    </row>
    <row r="6416" ht="38.25">
      <c r="A6416" t="s">
        <v>6218</v>
      </c>
      <c r="B6416" s="19">
        <v>92893</v>
      </c>
      <c r="C6416" s="20" t="s">
        <v>6531</v>
      </c>
      <c r="D6416" s="19" t="s">
        <v>31</v>
      </c>
      <c r="E6416" s="21">
        <f t="shared" si="299"/>
        <v>87.540000000000006</v>
      </c>
      <c r="F6416" s="22">
        <v>0.88</v>
      </c>
      <c r="G6416" s="21">
        <f t="shared" si="300"/>
        <v>86.150000000000006</v>
      </c>
      <c r="H6416" s="22">
        <v>0.89000000000000001</v>
      </c>
      <c r="I6416" s="23" t="str">
        <f t="shared" si="301"/>
        <v xml:space="preserve">COM VALOR</v>
      </c>
      <c r="J6416" s="19"/>
      <c r="L6416" s="21">
        <v>87.540000000000006</v>
      </c>
      <c r="M6416" s="22">
        <v>0</v>
      </c>
      <c r="N6416" s="21">
        <v>86.150000000000006</v>
      </c>
      <c r="O6416" s="22">
        <v>0</v>
      </c>
    </row>
    <row r="6417" ht="38.25">
      <c r="A6417" t="s">
        <v>6218</v>
      </c>
      <c r="B6417" s="19">
        <v>92894</v>
      </c>
      <c r="C6417" s="20" t="s">
        <v>6532</v>
      </c>
      <c r="D6417" s="19" t="s">
        <v>31</v>
      </c>
      <c r="E6417" s="21">
        <f t="shared" si="299"/>
        <v>105.78</v>
      </c>
      <c r="F6417" s="22">
        <v>0.84999999999999998</v>
      </c>
      <c r="G6417" s="21">
        <f t="shared" si="300"/>
        <v>104.22</v>
      </c>
      <c r="H6417" s="22">
        <v>0.85999999999999999</v>
      </c>
      <c r="I6417" s="23" t="str">
        <f t="shared" si="301"/>
        <v xml:space="preserve">COM VALOR</v>
      </c>
      <c r="J6417" s="19"/>
      <c r="L6417" s="21">
        <v>105.78</v>
      </c>
      <c r="M6417" s="22">
        <v>0</v>
      </c>
      <c r="N6417" s="21">
        <v>104.22</v>
      </c>
      <c r="O6417" s="22">
        <v>0</v>
      </c>
    </row>
    <row r="6418" ht="25.5">
      <c r="A6418" t="s">
        <v>6218</v>
      </c>
      <c r="B6418" s="19">
        <v>92889</v>
      </c>
      <c r="C6418" s="20" t="s">
        <v>6533</v>
      </c>
      <c r="D6418" s="19" t="s">
        <v>31</v>
      </c>
      <c r="E6418" s="21">
        <f t="shared" si="299"/>
        <v>149.25999999999999</v>
      </c>
      <c r="F6418" s="22">
        <v>0.80000000000000004</v>
      </c>
      <c r="G6418" s="21">
        <f t="shared" si="300"/>
        <v>147.33000000000001</v>
      </c>
      <c r="H6418" s="22">
        <v>0.81000000000000005</v>
      </c>
      <c r="I6418" s="23" t="str">
        <f t="shared" si="301"/>
        <v xml:space="preserve">COM VALOR</v>
      </c>
      <c r="J6418" s="19"/>
      <c r="L6418" s="21">
        <v>149.25999999999999</v>
      </c>
      <c r="M6418" s="22">
        <v>0</v>
      </c>
      <c r="N6418" s="21">
        <v>147.33000000000001</v>
      </c>
      <c r="O6418" s="22">
        <v>0</v>
      </c>
    </row>
    <row r="6419" ht="38.25">
      <c r="A6419" t="s">
        <v>6218</v>
      </c>
      <c r="B6419" s="19">
        <v>92895</v>
      </c>
      <c r="C6419" s="20" t="s">
        <v>6534</v>
      </c>
      <c r="D6419" s="19" t="s">
        <v>31</v>
      </c>
      <c r="E6419" s="21">
        <f t="shared" si="299"/>
        <v>146.08000000000001</v>
      </c>
      <c r="F6419" s="22">
        <v>0.71999999999999997</v>
      </c>
      <c r="G6419" s="21">
        <f t="shared" si="300"/>
        <v>144.31999999999999</v>
      </c>
      <c r="H6419" s="22">
        <v>0.72999999999999998</v>
      </c>
      <c r="I6419" s="23" t="str">
        <f t="shared" si="301"/>
        <v xml:space="preserve">COM VALOR</v>
      </c>
      <c r="J6419" s="19"/>
      <c r="L6419" s="21">
        <v>146.08000000000001</v>
      </c>
      <c r="M6419" s="22">
        <v>0</v>
      </c>
      <c r="N6419" s="21">
        <v>144.31999999999999</v>
      </c>
      <c r="O6419" s="22">
        <v>0</v>
      </c>
    </row>
    <row r="6420" ht="25.5">
      <c r="A6420" t="s">
        <v>6218</v>
      </c>
      <c r="B6420" s="19">
        <v>92890</v>
      </c>
      <c r="C6420" s="20" t="s">
        <v>6535</v>
      </c>
      <c r="D6420" s="19" t="s">
        <v>31</v>
      </c>
      <c r="E6420" s="21">
        <f t="shared" si="299"/>
        <v>226.55000000000001</v>
      </c>
      <c r="F6420" s="22">
        <v>0.78000000000000003</v>
      </c>
      <c r="G6420" s="21">
        <f t="shared" si="300"/>
        <v>224.47999999999999</v>
      </c>
      <c r="H6420" s="22">
        <v>0.80000000000000004</v>
      </c>
      <c r="I6420" s="23" t="str">
        <f t="shared" si="301"/>
        <v xml:space="preserve">COM VALOR</v>
      </c>
      <c r="J6420" s="19"/>
      <c r="L6420" s="21">
        <v>226.55000000000001</v>
      </c>
      <c r="M6420" s="22">
        <v>0</v>
      </c>
      <c r="N6420" s="21">
        <v>224.47999999999999</v>
      </c>
      <c r="O6420" s="22">
        <v>0</v>
      </c>
    </row>
    <row r="6421" ht="38.25">
      <c r="A6421" t="s">
        <v>6218</v>
      </c>
      <c r="B6421" s="19">
        <v>92896</v>
      </c>
      <c r="C6421" s="20" t="s">
        <v>6536</v>
      </c>
      <c r="D6421" s="19" t="s">
        <v>31</v>
      </c>
      <c r="E6421" s="21">
        <f t="shared" si="299"/>
        <v>226.49000000000001</v>
      </c>
      <c r="F6421" s="22">
        <v>0.81000000000000005</v>
      </c>
      <c r="G6421" s="21">
        <f t="shared" si="300"/>
        <v>224.43000000000001</v>
      </c>
      <c r="H6421" s="22">
        <v>0.81999999999999995</v>
      </c>
      <c r="I6421" s="23" t="str">
        <f t="shared" si="301"/>
        <v xml:space="preserve">COM VALOR</v>
      </c>
      <c r="J6421" s="19"/>
      <c r="L6421" s="21">
        <v>226.49000000000001</v>
      </c>
      <c r="M6421" s="22">
        <v>0</v>
      </c>
      <c r="N6421" s="21">
        <v>224.43000000000001</v>
      </c>
      <c r="O6421" s="22">
        <v>0</v>
      </c>
    </row>
    <row r="6422" ht="25.5">
      <c r="A6422" t="s">
        <v>6218</v>
      </c>
      <c r="B6422" s="19">
        <v>92891</v>
      </c>
      <c r="C6422" s="20" t="s">
        <v>6537</v>
      </c>
      <c r="D6422" s="19" t="s">
        <v>31</v>
      </c>
      <c r="E6422" s="21">
        <f t="shared" si="299"/>
        <v>332.88999999999999</v>
      </c>
      <c r="F6422" s="22">
        <v>0.73999999999999999</v>
      </c>
      <c r="G6422" s="21">
        <f t="shared" si="300"/>
        <v>330.69999999999999</v>
      </c>
      <c r="H6422" s="22">
        <v>0.76000000000000001</v>
      </c>
      <c r="I6422" s="23" t="str">
        <f t="shared" si="301"/>
        <v xml:space="preserve">COM VALOR</v>
      </c>
      <c r="J6422" s="19"/>
      <c r="L6422" s="21">
        <v>332.88999999999999</v>
      </c>
      <c r="M6422" s="22">
        <v>0</v>
      </c>
      <c r="N6422" s="21">
        <v>330.69999999999999</v>
      </c>
      <c r="O6422" s="22">
        <v>0</v>
      </c>
    </row>
    <row r="6423" ht="38.25">
      <c r="A6423" t="s">
        <v>6218</v>
      </c>
      <c r="B6423" s="19">
        <v>92897</v>
      </c>
      <c r="C6423" s="20" t="s">
        <v>6538</v>
      </c>
      <c r="D6423" s="19" t="s">
        <v>31</v>
      </c>
      <c r="E6423" s="21">
        <f t="shared" si="299"/>
        <v>335.94999999999999</v>
      </c>
      <c r="F6423" s="22">
        <v>0.67000000000000004</v>
      </c>
      <c r="G6423" s="21">
        <f t="shared" si="300"/>
        <v>333.58999999999997</v>
      </c>
      <c r="H6423" s="22">
        <v>0.68999999999999995</v>
      </c>
      <c r="I6423" s="23" t="str">
        <f t="shared" si="301"/>
        <v xml:space="preserve">COM VALOR</v>
      </c>
      <c r="J6423" s="19"/>
      <c r="L6423" s="21">
        <v>335.94999999999999</v>
      </c>
      <c r="M6423" s="22">
        <v>0</v>
      </c>
      <c r="N6423" s="21">
        <v>333.58999999999997</v>
      </c>
      <c r="O6423" s="22">
        <v>0</v>
      </c>
    </row>
    <row r="6424" ht="38.25">
      <c r="A6424" t="s">
        <v>6539</v>
      </c>
      <c r="B6424" s="19">
        <v>100822</v>
      </c>
      <c r="C6424" s="20" t="s">
        <v>6540</v>
      </c>
      <c r="D6424" s="19" t="s">
        <v>31</v>
      </c>
      <c r="E6424" s="21" t="str">
        <f t="shared" si="299"/>
        <v>VERIFICAR</v>
      </c>
      <c r="F6424" s="22">
        <v>0.67000000000000004</v>
      </c>
      <c r="G6424" s="21" t="str">
        <f t="shared" si="300"/>
        <v>VERIFICAR</v>
      </c>
      <c r="H6424" s="22">
        <v>0.68999999999999995</v>
      </c>
      <c r="I6424" s="23" t="str">
        <f t="shared" si="301"/>
        <v xml:space="preserve">COM VALOR</v>
      </c>
      <c r="J6424" s="19"/>
      <c r="L6424" s="21">
        <v>0</v>
      </c>
      <c r="M6424" s="22"/>
      <c r="N6424" s="21">
        <v>0</v>
      </c>
      <c r="O6424" s="22"/>
    </row>
    <row r="6425" ht="38.25">
      <c r="A6425" t="s">
        <v>6539</v>
      </c>
      <c r="B6425" s="19">
        <v>100823</v>
      </c>
      <c r="C6425" s="20" t="s">
        <v>6541</v>
      </c>
      <c r="D6425" s="19" t="s">
        <v>31</v>
      </c>
      <c r="E6425" s="21" t="str">
        <f t="shared" si="299"/>
        <v>VERIFICAR</v>
      </c>
      <c r="F6425" s="22">
        <v>0.68000000000000005</v>
      </c>
      <c r="G6425" s="21" t="str">
        <f t="shared" si="300"/>
        <v>VERIFICAR</v>
      </c>
      <c r="H6425" s="22">
        <v>0.69999999999999996</v>
      </c>
      <c r="I6425" s="23" t="str">
        <f t="shared" si="301"/>
        <v xml:space="preserve">COM VALOR</v>
      </c>
      <c r="J6425" s="19"/>
      <c r="L6425" s="21">
        <v>0</v>
      </c>
      <c r="M6425" s="22"/>
      <c r="N6425" s="21">
        <v>0</v>
      </c>
      <c r="O6425" s="22"/>
    </row>
    <row r="6426" ht="38.25">
      <c r="A6426" t="s">
        <v>6539</v>
      </c>
      <c r="B6426" s="19">
        <v>100824</v>
      </c>
      <c r="C6426" s="20" t="s">
        <v>6542</v>
      </c>
      <c r="D6426" s="19" t="s">
        <v>31</v>
      </c>
      <c r="E6426" s="21" t="str">
        <f t="shared" si="299"/>
        <v>VERIFICAR</v>
      </c>
      <c r="F6426" s="22">
        <v>0.73999999999999999</v>
      </c>
      <c r="G6426" s="21" t="str">
        <f t="shared" si="300"/>
        <v>VERIFICAR</v>
      </c>
      <c r="H6426" s="22">
        <v>0.75</v>
      </c>
      <c r="I6426" s="23" t="str">
        <f t="shared" si="301"/>
        <v xml:space="preserve">COM VALOR</v>
      </c>
      <c r="J6426" s="19"/>
      <c r="L6426" s="21">
        <v>0</v>
      </c>
      <c r="M6426" s="22"/>
      <c r="N6426" s="21">
        <v>0</v>
      </c>
      <c r="O6426" s="22"/>
    </row>
    <row r="6427" ht="38.25">
      <c r="A6427" t="s">
        <v>6539</v>
      </c>
      <c r="B6427" s="19">
        <v>100825</v>
      </c>
      <c r="C6427" s="20" t="s">
        <v>6543</v>
      </c>
      <c r="D6427" s="19" t="s">
        <v>31</v>
      </c>
      <c r="E6427" s="21" t="str">
        <f t="shared" si="299"/>
        <v>VERIFICAR</v>
      </c>
      <c r="F6427" s="22">
        <v>0.85999999999999999</v>
      </c>
      <c r="G6427" s="21" t="str">
        <f t="shared" si="300"/>
        <v>VERIFICAR</v>
      </c>
      <c r="H6427" s="22">
        <v>0.87</v>
      </c>
      <c r="I6427" s="23" t="str">
        <f t="shared" si="301"/>
        <v xml:space="preserve">COM VALOR</v>
      </c>
      <c r="J6427" s="19"/>
      <c r="L6427" s="21">
        <v>0</v>
      </c>
      <c r="M6427" s="22"/>
      <c r="N6427" s="21">
        <v>0</v>
      </c>
      <c r="O6427" s="22"/>
    </row>
    <row r="6428" ht="38.25">
      <c r="A6428" t="s">
        <v>6539</v>
      </c>
      <c r="B6428" s="19">
        <v>100818</v>
      </c>
      <c r="C6428" s="20" t="s">
        <v>6544</v>
      </c>
      <c r="D6428" s="19" t="s">
        <v>31</v>
      </c>
      <c r="E6428" s="21" t="str">
        <f t="shared" si="299"/>
        <v>VERIFICAR</v>
      </c>
      <c r="F6428" s="22">
        <v>0.80000000000000004</v>
      </c>
      <c r="G6428" s="21" t="str">
        <f t="shared" si="300"/>
        <v>VERIFICAR</v>
      </c>
      <c r="H6428" s="22">
        <v>0.81000000000000005</v>
      </c>
      <c r="I6428" s="23" t="str">
        <f t="shared" si="301"/>
        <v xml:space="preserve">COM VALOR</v>
      </c>
      <c r="J6428" s="19"/>
      <c r="L6428" s="21">
        <v>0</v>
      </c>
      <c r="M6428" s="22"/>
      <c r="N6428" s="21">
        <v>0</v>
      </c>
      <c r="O6428" s="22"/>
    </row>
    <row r="6429" ht="38.25">
      <c r="A6429" t="s">
        <v>6539</v>
      </c>
      <c r="B6429" s="19">
        <v>100819</v>
      </c>
      <c r="C6429" s="20" t="s">
        <v>6545</v>
      </c>
      <c r="D6429" s="19" t="s">
        <v>31</v>
      </c>
      <c r="E6429" s="21" t="str">
        <f t="shared" si="299"/>
        <v>VERIFICAR</v>
      </c>
      <c r="F6429" s="22">
        <v>0.72999999999999998</v>
      </c>
      <c r="G6429" s="21" t="str">
        <f t="shared" si="300"/>
        <v>VERIFICAR</v>
      </c>
      <c r="H6429" s="22">
        <v>0.75</v>
      </c>
      <c r="I6429" s="23" t="str">
        <f t="shared" si="301"/>
        <v xml:space="preserve">COM VALOR</v>
      </c>
      <c r="J6429" s="19"/>
      <c r="L6429" s="21">
        <v>0</v>
      </c>
      <c r="M6429" s="22"/>
      <c r="N6429" s="21">
        <v>0</v>
      </c>
      <c r="O6429" s="22"/>
    </row>
    <row r="6430" ht="38.25">
      <c r="A6430" t="s">
        <v>6539</v>
      </c>
      <c r="B6430" s="19">
        <v>100820</v>
      </c>
      <c r="C6430" s="20" t="s">
        <v>6546</v>
      </c>
      <c r="D6430" s="19" t="s">
        <v>31</v>
      </c>
      <c r="E6430" s="21" t="str">
        <f t="shared" si="299"/>
        <v>VERIFICAR</v>
      </c>
      <c r="F6430" s="22">
        <v>0.67000000000000004</v>
      </c>
      <c r="G6430" s="21" t="str">
        <f t="shared" si="300"/>
        <v>VERIFICAR</v>
      </c>
      <c r="H6430" s="22">
        <v>0.68999999999999995</v>
      </c>
      <c r="I6430" s="23" t="str">
        <f t="shared" si="301"/>
        <v xml:space="preserve">COM VALOR</v>
      </c>
      <c r="J6430" s="19"/>
      <c r="L6430" s="21">
        <v>0</v>
      </c>
      <c r="M6430" s="22"/>
      <c r="N6430" s="21">
        <v>0</v>
      </c>
      <c r="O6430" s="22"/>
    </row>
    <row r="6431" ht="38.25">
      <c r="A6431" t="s">
        <v>6539</v>
      </c>
      <c r="B6431" s="19">
        <v>100821</v>
      </c>
      <c r="C6431" s="20" t="s">
        <v>6547</v>
      </c>
      <c r="D6431" s="19" t="s">
        <v>31</v>
      </c>
      <c r="E6431" s="21" t="str">
        <f t="shared" si="299"/>
        <v>VERIFICAR</v>
      </c>
      <c r="F6431" s="22">
        <v>0.71999999999999997</v>
      </c>
      <c r="G6431" s="21" t="str">
        <f t="shared" si="300"/>
        <v>VERIFICAR</v>
      </c>
      <c r="H6431" s="22">
        <v>0.73999999999999999</v>
      </c>
      <c r="I6431" s="23" t="str">
        <f t="shared" si="301"/>
        <v xml:space="preserve">COM VALOR</v>
      </c>
      <c r="J6431" s="19"/>
      <c r="L6431" s="21">
        <v>0</v>
      </c>
      <c r="M6431" s="22"/>
      <c r="N6431" s="21">
        <v>0</v>
      </c>
      <c r="O6431" s="22"/>
    </row>
    <row r="6432" ht="51">
      <c r="A6432" t="s">
        <v>6539</v>
      </c>
      <c r="B6432" s="19">
        <v>100846</v>
      </c>
      <c r="C6432" s="20" t="s">
        <v>6548</v>
      </c>
      <c r="D6432" s="19" t="s">
        <v>31</v>
      </c>
      <c r="E6432" s="21" t="str">
        <f t="shared" si="299"/>
        <v>VERIFICAR</v>
      </c>
      <c r="F6432" s="22">
        <v>0.76000000000000001</v>
      </c>
      <c r="G6432" s="21" t="str">
        <f t="shared" si="300"/>
        <v>VERIFICAR</v>
      </c>
      <c r="H6432" s="22">
        <v>0.78000000000000003</v>
      </c>
      <c r="I6432" s="23" t="str">
        <f t="shared" si="301"/>
        <v xml:space="preserve">COM VALOR</v>
      </c>
      <c r="J6432" s="19"/>
      <c r="L6432" s="21">
        <v>0</v>
      </c>
      <c r="M6432" s="22"/>
      <c r="N6432" s="21">
        <v>0</v>
      </c>
      <c r="O6432" s="22"/>
    </row>
    <row r="6433" ht="38.25">
      <c r="A6433" t="s">
        <v>6539</v>
      </c>
      <c r="B6433" s="19">
        <v>100834</v>
      </c>
      <c r="C6433" s="20" t="s">
        <v>6549</v>
      </c>
      <c r="D6433" s="19" t="s">
        <v>31</v>
      </c>
      <c r="E6433" s="21" t="str">
        <f t="shared" si="299"/>
        <v>VERIFICAR</v>
      </c>
      <c r="F6433" s="22">
        <v>0.84999999999999998</v>
      </c>
      <c r="G6433" s="21" t="str">
        <f t="shared" si="300"/>
        <v>VERIFICAR</v>
      </c>
      <c r="H6433" s="22">
        <v>0.85999999999999999</v>
      </c>
      <c r="I6433" s="23" t="str">
        <f t="shared" si="301"/>
        <v xml:space="preserve">COM VALOR</v>
      </c>
      <c r="J6433" s="19"/>
      <c r="L6433" s="21">
        <v>0</v>
      </c>
      <c r="M6433" s="22"/>
      <c r="N6433" s="21">
        <v>0</v>
      </c>
      <c r="O6433" s="22"/>
    </row>
    <row r="6434" ht="38.25">
      <c r="A6434" t="s">
        <v>6539</v>
      </c>
      <c r="B6434" s="19">
        <v>100835</v>
      </c>
      <c r="C6434" s="20" t="s">
        <v>6550</v>
      </c>
      <c r="D6434" s="19" t="s">
        <v>31</v>
      </c>
      <c r="E6434" s="21" t="str">
        <f t="shared" si="299"/>
        <v>VERIFICAR</v>
      </c>
      <c r="F6434" s="22">
        <v>0.80000000000000004</v>
      </c>
      <c r="G6434" s="21" t="str">
        <f t="shared" si="300"/>
        <v>VERIFICAR</v>
      </c>
      <c r="H6434" s="22">
        <v>0.81000000000000005</v>
      </c>
      <c r="I6434" s="23" t="str">
        <f t="shared" si="301"/>
        <v xml:space="preserve">COM VALOR</v>
      </c>
      <c r="J6434" s="19"/>
      <c r="L6434" s="21">
        <v>0</v>
      </c>
      <c r="M6434" s="22"/>
      <c r="N6434" s="21">
        <v>0</v>
      </c>
      <c r="O6434" s="22"/>
    </row>
    <row r="6435" ht="38.25">
      <c r="A6435" t="s">
        <v>6539</v>
      </c>
      <c r="B6435" s="19">
        <v>100836</v>
      </c>
      <c r="C6435" s="20" t="s">
        <v>6551</v>
      </c>
      <c r="D6435" s="19" t="s">
        <v>31</v>
      </c>
      <c r="E6435" s="21" t="str">
        <f t="shared" si="299"/>
        <v>VERIFICAR</v>
      </c>
      <c r="F6435" s="22">
        <v>0.72999999999999998</v>
      </c>
      <c r="G6435" s="21" t="str">
        <f t="shared" si="300"/>
        <v>VERIFICAR</v>
      </c>
      <c r="H6435" s="22">
        <v>0.75</v>
      </c>
      <c r="I6435" s="23" t="str">
        <f t="shared" si="301"/>
        <v xml:space="preserve">COM VALOR</v>
      </c>
      <c r="J6435" s="19"/>
      <c r="L6435" s="21">
        <v>0</v>
      </c>
      <c r="M6435" s="22"/>
      <c r="N6435" s="21">
        <v>0</v>
      </c>
      <c r="O6435" s="22"/>
    </row>
    <row r="6436" ht="38.25">
      <c r="A6436" t="s">
        <v>6539</v>
      </c>
      <c r="B6436" s="19">
        <v>100837</v>
      </c>
      <c r="C6436" s="20" t="s">
        <v>6552</v>
      </c>
      <c r="D6436" s="19" t="s">
        <v>31</v>
      </c>
      <c r="E6436" s="21" t="str">
        <f t="shared" si="299"/>
        <v>VERIFICAR</v>
      </c>
      <c r="F6436" s="22">
        <v>0.68000000000000005</v>
      </c>
      <c r="G6436" s="21" t="str">
        <f t="shared" si="300"/>
        <v>VERIFICAR</v>
      </c>
      <c r="H6436" s="22">
        <v>0.68999999999999995</v>
      </c>
      <c r="I6436" s="23" t="str">
        <f t="shared" si="301"/>
        <v xml:space="preserve">COM VALOR</v>
      </c>
      <c r="J6436" s="19"/>
      <c r="L6436" s="21">
        <v>0</v>
      </c>
      <c r="M6436" s="22"/>
      <c r="N6436" s="21">
        <v>0</v>
      </c>
      <c r="O6436" s="22"/>
    </row>
    <row r="6437" ht="38.25">
      <c r="A6437" t="s">
        <v>6539</v>
      </c>
      <c r="B6437" s="19">
        <v>100826</v>
      </c>
      <c r="C6437" s="20" t="s">
        <v>6553</v>
      </c>
      <c r="D6437" s="19" t="s">
        <v>31</v>
      </c>
      <c r="E6437" s="21" t="str">
        <f t="shared" si="299"/>
        <v>VERIFICAR</v>
      </c>
      <c r="F6437" s="22">
        <v>0.72999999999999998</v>
      </c>
      <c r="G6437" s="21" t="str">
        <f t="shared" si="300"/>
        <v>VERIFICAR</v>
      </c>
      <c r="H6437" s="22">
        <v>0.73999999999999999</v>
      </c>
      <c r="I6437" s="23" t="str">
        <f t="shared" si="301"/>
        <v xml:space="preserve">COM VALOR</v>
      </c>
      <c r="J6437" s="19"/>
      <c r="L6437" s="21">
        <v>0</v>
      </c>
      <c r="M6437" s="22"/>
      <c r="N6437" s="21">
        <v>0</v>
      </c>
      <c r="O6437" s="22"/>
    </row>
    <row r="6438" ht="38.25">
      <c r="A6438" t="s">
        <v>6539</v>
      </c>
      <c r="B6438" s="19">
        <v>100827</v>
      </c>
      <c r="C6438" s="20" t="s">
        <v>6554</v>
      </c>
      <c r="D6438" s="19" t="s">
        <v>31</v>
      </c>
      <c r="E6438" s="21" t="str">
        <f t="shared" si="299"/>
        <v>VERIFICAR</v>
      </c>
      <c r="F6438" s="22">
        <v>0.76000000000000001</v>
      </c>
      <c r="G6438" s="21" t="str">
        <f t="shared" si="300"/>
        <v>VERIFICAR</v>
      </c>
      <c r="H6438" s="22">
        <v>0.78000000000000003</v>
      </c>
      <c r="I6438" s="23" t="str">
        <f t="shared" si="301"/>
        <v xml:space="preserve">COM VALOR</v>
      </c>
      <c r="J6438" s="19"/>
      <c r="L6438" s="21">
        <v>0</v>
      </c>
      <c r="M6438" s="22"/>
      <c r="N6438" s="21">
        <v>0</v>
      </c>
      <c r="O6438" s="22"/>
    </row>
    <row r="6439" ht="38.25">
      <c r="A6439" t="s">
        <v>6539</v>
      </c>
      <c r="B6439" s="19">
        <v>100828</v>
      </c>
      <c r="C6439" s="20" t="s">
        <v>6555</v>
      </c>
      <c r="D6439" s="19" t="s">
        <v>31</v>
      </c>
      <c r="E6439" s="21" t="str">
        <f t="shared" si="299"/>
        <v>VERIFICAR</v>
      </c>
      <c r="F6439" s="22">
        <v>0.51000000000000001</v>
      </c>
      <c r="G6439" s="21" t="str">
        <f t="shared" si="300"/>
        <v>VERIFICAR</v>
      </c>
      <c r="H6439" s="22">
        <v>0.52000000000000002</v>
      </c>
      <c r="I6439" s="23" t="str">
        <f t="shared" si="301"/>
        <v xml:space="preserve">COM VALOR</v>
      </c>
      <c r="J6439" s="19"/>
      <c r="L6439" s="21">
        <v>0</v>
      </c>
      <c r="M6439" s="22"/>
      <c r="N6439" s="21">
        <v>0</v>
      </c>
      <c r="O6439" s="22"/>
    </row>
    <row r="6440" ht="38.25">
      <c r="A6440" t="s">
        <v>6539</v>
      </c>
      <c r="B6440" s="19">
        <v>100829</v>
      </c>
      <c r="C6440" s="20" t="s">
        <v>6556</v>
      </c>
      <c r="D6440" s="19" t="s">
        <v>31</v>
      </c>
      <c r="E6440" s="21" t="str">
        <f t="shared" si="299"/>
        <v>VERIFICAR</v>
      </c>
      <c r="F6440" s="22">
        <v>0.35999999999999999</v>
      </c>
      <c r="G6440" s="21" t="str">
        <f t="shared" si="300"/>
        <v>VERIFICAR</v>
      </c>
      <c r="H6440" s="22">
        <v>0.38</v>
      </c>
      <c r="I6440" s="23" t="str">
        <f t="shared" si="301"/>
        <v xml:space="preserve">COM VALOR</v>
      </c>
      <c r="J6440" s="19"/>
      <c r="L6440" s="21">
        <v>0</v>
      </c>
      <c r="M6440" s="22"/>
      <c r="N6440" s="21">
        <v>0</v>
      </c>
      <c r="O6440" s="22"/>
    </row>
    <row r="6441" ht="38.25">
      <c r="A6441" t="s">
        <v>6539</v>
      </c>
      <c r="B6441" s="19">
        <v>100830</v>
      </c>
      <c r="C6441" s="20" t="s">
        <v>6557</v>
      </c>
      <c r="D6441" s="19" t="s">
        <v>31</v>
      </c>
      <c r="E6441" s="21" t="str">
        <f t="shared" si="299"/>
        <v>VERIFICAR</v>
      </c>
      <c r="F6441" s="22">
        <v>0.35999999999999999</v>
      </c>
      <c r="G6441" s="21" t="str">
        <f t="shared" si="300"/>
        <v>VERIFICAR</v>
      </c>
      <c r="H6441" s="22">
        <v>0.38</v>
      </c>
      <c r="I6441" s="23" t="str">
        <f t="shared" si="301"/>
        <v xml:space="preserve">COM VALOR</v>
      </c>
      <c r="J6441" s="19"/>
      <c r="L6441" s="21">
        <v>0</v>
      </c>
      <c r="M6441" s="22"/>
      <c r="N6441" s="21">
        <v>0</v>
      </c>
      <c r="O6441" s="22"/>
    </row>
    <row r="6442" ht="38.25">
      <c r="A6442" t="s">
        <v>6539</v>
      </c>
      <c r="B6442" s="19">
        <v>100831</v>
      </c>
      <c r="C6442" s="20" t="s">
        <v>6558</v>
      </c>
      <c r="D6442" s="19" t="s">
        <v>31</v>
      </c>
      <c r="E6442" s="21" t="str">
        <f t="shared" si="299"/>
        <v>VERIFICAR</v>
      </c>
      <c r="F6442" s="22">
        <v>0.37</v>
      </c>
      <c r="G6442" s="21" t="str">
        <f t="shared" si="300"/>
        <v>VERIFICAR</v>
      </c>
      <c r="H6442" s="22">
        <v>0.39000000000000001</v>
      </c>
      <c r="I6442" s="23" t="str">
        <f t="shared" si="301"/>
        <v xml:space="preserve">COM VALOR</v>
      </c>
      <c r="J6442" s="19"/>
      <c r="L6442" s="21">
        <v>0</v>
      </c>
      <c r="M6442" s="22"/>
      <c r="N6442" s="21">
        <v>0</v>
      </c>
      <c r="O6442" s="22"/>
    </row>
    <row r="6443" ht="38.25">
      <c r="A6443" t="s">
        <v>6539</v>
      </c>
      <c r="B6443" s="19">
        <v>100832</v>
      </c>
      <c r="C6443" s="20" t="s">
        <v>6559</v>
      </c>
      <c r="D6443" s="19" t="s">
        <v>31</v>
      </c>
      <c r="E6443" s="21" t="str">
        <f t="shared" si="299"/>
        <v>VERIFICAR</v>
      </c>
      <c r="F6443" s="22">
        <v>0.46999999999999997</v>
      </c>
      <c r="G6443" s="21" t="str">
        <f t="shared" si="300"/>
        <v>VERIFICAR</v>
      </c>
      <c r="H6443" s="22">
        <v>0.48999999999999999</v>
      </c>
      <c r="I6443" s="23" t="str">
        <f t="shared" si="301"/>
        <v xml:space="preserve">COM VALOR</v>
      </c>
      <c r="J6443" s="19"/>
      <c r="L6443" s="21">
        <v>0</v>
      </c>
      <c r="M6443" s="22"/>
      <c r="N6443" s="21">
        <v>0</v>
      </c>
      <c r="O6443" s="22"/>
    </row>
    <row r="6444" ht="38.25">
      <c r="A6444" t="s">
        <v>6539</v>
      </c>
      <c r="B6444" s="19">
        <v>100833</v>
      </c>
      <c r="C6444" s="20" t="s">
        <v>6560</v>
      </c>
      <c r="D6444" s="19" t="s">
        <v>31</v>
      </c>
      <c r="E6444" s="21" t="str">
        <f t="shared" si="299"/>
        <v>VERIFICAR</v>
      </c>
      <c r="F6444" s="22">
        <v>0.77000000000000002</v>
      </c>
      <c r="G6444" s="21" t="str">
        <f t="shared" si="300"/>
        <v>VERIFICAR</v>
      </c>
      <c r="H6444" s="22">
        <v>0.78000000000000003</v>
      </c>
      <c r="I6444" s="23" t="str">
        <f t="shared" si="301"/>
        <v xml:space="preserve">COM VALOR</v>
      </c>
      <c r="J6444" s="19"/>
      <c r="L6444" s="21">
        <v>0</v>
      </c>
      <c r="M6444" s="22"/>
      <c r="N6444" s="21">
        <v>0</v>
      </c>
      <c r="O6444" s="22"/>
    </row>
    <row r="6445" ht="38.25">
      <c r="A6445" t="s">
        <v>6539</v>
      </c>
      <c r="B6445" s="19">
        <v>100790</v>
      </c>
      <c r="C6445" s="20" t="s">
        <v>6561</v>
      </c>
      <c r="D6445" s="19" t="s">
        <v>31</v>
      </c>
      <c r="E6445" s="21" t="str">
        <f t="shared" si="299"/>
        <v>VERIFICAR</v>
      </c>
      <c r="F6445" s="22">
        <v>0.63</v>
      </c>
      <c r="G6445" s="21" t="str">
        <f t="shared" si="300"/>
        <v>VERIFICAR</v>
      </c>
      <c r="H6445" s="22">
        <v>0.65000000000000002</v>
      </c>
      <c r="I6445" s="23" t="str">
        <f t="shared" si="301"/>
        <v xml:space="preserve">COM VALOR</v>
      </c>
      <c r="J6445" s="19"/>
      <c r="L6445" s="21">
        <v>0</v>
      </c>
      <c r="M6445" s="22"/>
      <c r="N6445" s="21">
        <v>0</v>
      </c>
      <c r="O6445" s="22"/>
    </row>
    <row r="6446" ht="38.25">
      <c r="A6446" t="s">
        <v>6539</v>
      </c>
      <c r="B6446" s="19">
        <v>100789</v>
      </c>
      <c r="C6446" s="20" t="s">
        <v>6562</v>
      </c>
      <c r="D6446" s="19" t="s">
        <v>31</v>
      </c>
      <c r="E6446" s="21" t="str">
        <f t="shared" si="299"/>
        <v>VERIFICAR</v>
      </c>
      <c r="F6446" s="22">
        <v>0.51000000000000001</v>
      </c>
      <c r="G6446" s="21" t="str">
        <f t="shared" si="300"/>
        <v>VERIFICAR</v>
      </c>
      <c r="H6446" s="22">
        <v>0.53000000000000003</v>
      </c>
      <c r="I6446" s="23" t="str">
        <f t="shared" si="301"/>
        <v xml:space="preserve">COM VALOR</v>
      </c>
      <c r="J6446" s="19"/>
      <c r="L6446" s="21">
        <v>0</v>
      </c>
      <c r="M6446" s="22"/>
      <c r="N6446" s="21">
        <v>0</v>
      </c>
      <c r="O6446" s="22"/>
    </row>
    <row r="6447" ht="38.25">
      <c r="A6447" t="s">
        <v>6539</v>
      </c>
      <c r="B6447" s="19">
        <v>100788</v>
      </c>
      <c r="C6447" s="20" t="s">
        <v>6563</v>
      </c>
      <c r="D6447" s="19" t="s">
        <v>31</v>
      </c>
      <c r="E6447" s="21">
        <f t="shared" si="299"/>
        <v>680.57000000000005</v>
      </c>
      <c r="F6447" s="22">
        <v>0.41999999999999998</v>
      </c>
      <c r="G6447" s="21">
        <f t="shared" si="300"/>
        <v>669.70000000000005</v>
      </c>
      <c r="H6447" s="22">
        <v>0.44</v>
      </c>
      <c r="I6447" s="23" t="str">
        <f t="shared" si="301"/>
        <v xml:space="preserve">COM VALOR</v>
      </c>
      <c r="J6447" s="19"/>
      <c r="L6447" s="21">
        <v>680.57000000000005</v>
      </c>
      <c r="M6447" s="22">
        <v>4.0000000000000001e-002</v>
      </c>
      <c r="N6447" s="21">
        <v>669.70000000000005</v>
      </c>
      <c r="O6447" s="22">
        <v>4.0000000000000001e-002</v>
      </c>
    </row>
    <row r="6448" ht="38.25">
      <c r="A6448" t="s">
        <v>6539</v>
      </c>
      <c r="B6448" s="19">
        <v>100811</v>
      </c>
      <c r="C6448" s="20" t="s">
        <v>6564</v>
      </c>
      <c r="D6448" s="19" t="s">
        <v>31</v>
      </c>
      <c r="E6448" s="21" t="str">
        <f t="shared" si="299"/>
        <v>VERIFICAR</v>
      </c>
      <c r="F6448" s="22">
        <v>0.48999999999999999</v>
      </c>
      <c r="G6448" s="21" t="str">
        <f t="shared" si="300"/>
        <v>VERIFICAR</v>
      </c>
      <c r="H6448" s="22">
        <v>0.51000000000000001</v>
      </c>
      <c r="I6448" s="23" t="str">
        <f t="shared" si="301"/>
        <v xml:space="preserve">COM VALOR</v>
      </c>
      <c r="J6448" s="19"/>
      <c r="L6448" s="21">
        <v>0</v>
      </c>
      <c r="M6448" s="22"/>
      <c r="N6448" s="21">
        <v>0</v>
      </c>
      <c r="O6448" s="22"/>
    </row>
    <row r="6449" ht="38.25">
      <c r="A6449" t="s">
        <v>6539</v>
      </c>
      <c r="B6449" s="19">
        <v>100812</v>
      </c>
      <c r="C6449" s="20" t="s">
        <v>6565</v>
      </c>
      <c r="D6449" s="19" t="s">
        <v>31</v>
      </c>
      <c r="E6449" s="21" t="str">
        <f t="shared" si="299"/>
        <v>VERIFICAR</v>
      </c>
      <c r="F6449" s="22">
        <v>0.56000000000000005</v>
      </c>
      <c r="G6449" s="21" t="str">
        <f t="shared" si="300"/>
        <v>VERIFICAR</v>
      </c>
      <c r="H6449" s="22">
        <v>0.57999999999999996</v>
      </c>
      <c r="I6449" s="23" t="str">
        <f t="shared" si="301"/>
        <v xml:space="preserve">COM VALOR</v>
      </c>
      <c r="J6449" s="19"/>
      <c r="L6449" s="21">
        <v>0</v>
      </c>
      <c r="M6449" s="22"/>
      <c r="N6449" s="21">
        <v>0</v>
      </c>
      <c r="O6449" s="22"/>
    </row>
    <row r="6450" ht="38.25">
      <c r="A6450" t="s">
        <v>6539</v>
      </c>
      <c r="B6450" s="19">
        <v>100813</v>
      </c>
      <c r="C6450" s="20" t="s">
        <v>6566</v>
      </c>
      <c r="D6450" s="19" t="s">
        <v>31</v>
      </c>
      <c r="E6450" s="21" t="str">
        <f t="shared" si="299"/>
        <v>VERIFICAR</v>
      </c>
      <c r="F6450" s="22">
        <v>0.81000000000000005</v>
      </c>
      <c r="G6450" s="21" t="str">
        <f t="shared" si="300"/>
        <v>VERIFICAR</v>
      </c>
      <c r="H6450" s="22">
        <v>0.81999999999999995</v>
      </c>
      <c r="I6450" s="23" t="str">
        <f t="shared" si="301"/>
        <v xml:space="preserve">COM VALOR</v>
      </c>
      <c r="J6450" s="19"/>
      <c r="L6450" s="21">
        <v>0</v>
      </c>
      <c r="M6450" s="22"/>
      <c r="N6450" s="21">
        <v>0</v>
      </c>
      <c r="O6450" s="22"/>
    </row>
    <row r="6451" ht="25.5">
      <c r="A6451" t="s">
        <v>6539</v>
      </c>
      <c r="B6451" s="19">
        <v>100814</v>
      </c>
      <c r="C6451" s="20" t="s">
        <v>6567</v>
      </c>
      <c r="D6451" s="19" t="s">
        <v>31</v>
      </c>
      <c r="E6451" s="21" t="str">
        <f t="shared" si="299"/>
        <v>VERIFICAR</v>
      </c>
      <c r="F6451" s="22">
        <v>0.71999999999999997</v>
      </c>
      <c r="G6451" s="21" t="str">
        <f t="shared" si="300"/>
        <v>VERIFICAR</v>
      </c>
      <c r="H6451" s="22">
        <v>0.73999999999999999</v>
      </c>
      <c r="I6451" s="23" t="str">
        <f t="shared" si="301"/>
        <v xml:space="preserve">COM VALOR</v>
      </c>
      <c r="J6451" s="19"/>
      <c r="L6451" s="21">
        <v>0</v>
      </c>
      <c r="M6451" s="22"/>
      <c r="N6451" s="21">
        <v>0</v>
      </c>
      <c r="O6451" s="22"/>
    </row>
    <row r="6452" ht="25.5">
      <c r="A6452" t="s">
        <v>6539</v>
      </c>
      <c r="B6452" s="19">
        <v>100815</v>
      </c>
      <c r="C6452" s="20" t="s">
        <v>6568</v>
      </c>
      <c r="D6452" s="19" t="s">
        <v>31</v>
      </c>
      <c r="E6452" s="21" t="str">
        <f t="shared" si="299"/>
        <v>VERIFICAR</v>
      </c>
      <c r="F6452" s="22">
        <v>0.59999999999999998</v>
      </c>
      <c r="G6452" s="21" t="str">
        <f t="shared" si="300"/>
        <v>VERIFICAR</v>
      </c>
      <c r="H6452" s="22">
        <v>0.62</v>
      </c>
      <c r="I6452" s="23" t="str">
        <f t="shared" si="301"/>
        <v xml:space="preserve">COM VALOR</v>
      </c>
      <c r="J6452" s="19"/>
      <c r="L6452" s="21">
        <v>0</v>
      </c>
      <c r="M6452" s="22"/>
      <c r="N6452" s="21">
        <v>0</v>
      </c>
      <c r="O6452" s="22"/>
    </row>
    <row r="6453" ht="25.5">
      <c r="A6453" t="s">
        <v>6539</v>
      </c>
      <c r="B6453" s="19">
        <v>100816</v>
      </c>
      <c r="C6453" s="20" t="s">
        <v>6569</v>
      </c>
      <c r="D6453" s="19" t="s">
        <v>31</v>
      </c>
      <c r="E6453" s="21" t="str">
        <f t="shared" si="299"/>
        <v>VERIFICAR</v>
      </c>
      <c r="F6453" s="22">
        <v>0.46999999999999997</v>
      </c>
      <c r="G6453" s="21" t="str">
        <f t="shared" si="300"/>
        <v>VERIFICAR</v>
      </c>
      <c r="H6453" s="22">
        <v>0.48999999999999999</v>
      </c>
      <c r="I6453" s="23" t="str">
        <f t="shared" si="301"/>
        <v xml:space="preserve">COM VALOR</v>
      </c>
      <c r="J6453" s="19"/>
      <c r="L6453" s="21">
        <v>0</v>
      </c>
      <c r="M6453" s="22"/>
      <c r="N6453" s="21">
        <v>0</v>
      </c>
      <c r="O6453" s="22"/>
    </row>
    <row r="6454" ht="25.5">
      <c r="A6454" t="s">
        <v>6539</v>
      </c>
      <c r="B6454" s="19">
        <v>100817</v>
      </c>
      <c r="C6454" s="20" t="s">
        <v>6570</v>
      </c>
      <c r="D6454" s="19" t="s">
        <v>31</v>
      </c>
      <c r="E6454" s="21" t="str">
        <f t="shared" si="299"/>
        <v>VERIFICAR</v>
      </c>
      <c r="F6454" s="22">
        <v>0.56999999999999995</v>
      </c>
      <c r="G6454" s="21" t="str">
        <f t="shared" si="300"/>
        <v>VERIFICAR</v>
      </c>
      <c r="H6454" s="22">
        <v>0.58999999999999997</v>
      </c>
      <c r="I6454" s="23" t="str">
        <f t="shared" si="301"/>
        <v xml:space="preserve">COM VALOR</v>
      </c>
      <c r="J6454" s="19"/>
      <c r="L6454" s="21">
        <v>0</v>
      </c>
      <c r="M6454" s="22"/>
      <c r="N6454" s="21">
        <v>0</v>
      </c>
      <c r="O6454" s="22"/>
    </row>
    <row r="6455" ht="38.25">
      <c r="A6455" t="s">
        <v>6539</v>
      </c>
      <c r="B6455" s="19">
        <v>100795</v>
      </c>
      <c r="C6455" s="20" t="s">
        <v>6571</v>
      </c>
      <c r="D6455" s="19" t="s">
        <v>38</v>
      </c>
      <c r="E6455" s="21" t="str">
        <f t="shared" si="299"/>
        <v>VERIFICAR</v>
      </c>
      <c r="F6455" s="22">
        <v>0.62</v>
      </c>
      <c r="G6455" s="21" t="str">
        <f t="shared" si="300"/>
        <v>VERIFICAR</v>
      </c>
      <c r="H6455" s="22">
        <v>0.64000000000000001</v>
      </c>
      <c r="I6455" s="23" t="str">
        <f t="shared" si="301"/>
        <v xml:space="preserve">COM VALOR</v>
      </c>
      <c r="J6455" s="19"/>
      <c r="L6455" s="21">
        <v>0</v>
      </c>
      <c r="M6455" s="22"/>
      <c r="N6455" s="21">
        <v>0</v>
      </c>
      <c r="O6455" s="22"/>
    </row>
    <row r="6456" ht="38.25">
      <c r="A6456" t="s">
        <v>6539</v>
      </c>
      <c r="B6456" s="19">
        <v>100842</v>
      </c>
      <c r="C6456" s="20" t="s">
        <v>6572</v>
      </c>
      <c r="D6456" s="19" t="s">
        <v>38</v>
      </c>
      <c r="E6456" s="21" t="str">
        <f t="shared" si="299"/>
        <v>VERIFICAR</v>
      </c>
      <c r="F6456" s="22">
        <v>0.87</v>
      </c>
      <c r="G6456" s="21" t="str">
        <f t="shared" si="300"/>
        <v>VERIFICAR</v>
      </c>
      <c r="H6456" s="22">
        <v>0.88</v>
      </c>
      <c r="I6456" s="23" t="str">
        <f t="shared" si="301"/>
        <v xml:space="preserve">COM VALOR</v>
      </c>
      <c r="J6456" s="19"/>
      <c r="L6456" s="21">
        <v>0</v>
      </c>
      <c r="M6456" s="22"/>
      <c r="N6456" s="21">
        <v>0</v>
      </c>
      <c r="O6456" s="22"/>
    </row>
    <row r="6457" ht="38.25">
      <c r="A6457" t="s">
        <v>6539</v>
      </c>
      <c r="B6457" s="19">
        <v>100796</v>
      </c>
      <c r="C6457" s="20" t="s">
        <v>6573</v>
      </c>
      <c r="D6457" s="19" t="s">
        <v>38</v>
      </c>
      <c r="E6457" s="21" t="str">
        <f t="shared" si="299"/>
        <v>VERIFICAR</v>
      </c>
      <c r="F6457" s="22">
        <v>0.89000000000000001</v>
      </c>
      <c r="G6457" s="21" t="str">
        <f t="shared" si="300"/>
        <v>VERIFICAR</v>
      </c>
      <c r="H6457" s="22">
        <v>0.90000000000000002</v>
      </c>
      <c r="I6457" s="23" t="str">
        <f t="shared" si="301"/>
        <v xml:space="preserve">COM VALOR</v>
      </c>
      <c r="J6457" s="19"/>
      <c r="L6457" s="21">
        <v>0</v>
      </c>
      <c r="M6457" s="22"/>
      <c r="N6457" s="21">
        <v>0</v>
      </c>
      <c r="O6457" s="22"/>
    </row>
    <row r="6458" ht="38.25">
      <c r="A6458" t="s">
        <v>6539</v>
      </c>
      <c r="B6458" s="19">
        <v>100843</v>
      </c>
      <c r="C6458" s="20" t="s">
        <v>6574</v>
      </c>
      <c r="D6458" s="19" t="s">
        <v>38</v>
      </c>
      <c r="E6458" s="21" t="str">
        <f t="shared" si="299"/>
        <v>VERIFICAR</v>
      </c>
      <c r="F6458" s="22">
        <v>0.91000000000000003</v>
      </c>
      <c r="G6458" s="21" t="str">
        <f t="shared" si="300"/>
        <v>VERIFICAR</v>
      </c>
      <c r="H6458" s="22">
        <v>0.92000000000000004</v>
      </c>
      <c r="I6458" s="23" t="str">
        <f t="shared" si="301"/>
        <v xml:space="preserve">COM VALOR</v>
      </c>
      <c r="J6458" s="19"/>
      <c r="L6458" s="21">
        <v>0</v>
      </c>
      <c r="M6458" s="22"/>
      <c r="N6458" s="21">
        <v>0</v>
      </c>
      <c r="O6458" s="22"/>
    </row>
    <row r="6459" ht="38.25">
      <c r="A6459" t="s">
        <v>6539</v>
      </c>
      <c r="B6459" s="19">
        <v>100844</v>
      </c>
      <c r="C6459" s="20" t="s">
        <v>6575</v>
      </c>
      <c r="D6459" s="19" t="s">
        <v>38</v>
      </c>
      <c r="E6459" s="21" t="str">
        <f t="shared" si="299"/>
        <v>VERIFICAR</v>
      </c>
      <c r="F6459" s="22">
        <v>0.96999999999999997</v>
      </c>
      <c r="G6459" s="21" t="str">
        <f t="shared" si="300"/>
        <v>VERIFICAR</v>
      </c>
      <c r="H6459" s="22">
        <v>0.96999999999999997</v>
      </c>
      <c r="I6459" s="23" t="str">
        <f t="shared" si="301"/>
        <v xml:space="preserve">COM VALOR</v>
      </c>
      <c r="J6459" s="19"/>
      <c r="L6459" s="21">
        <v>0</v>
      </c>
      <c r="M6459" s="22"/>
      <c r="N6459" s="21">
        <v>0</v>
      </c>
      <c r="O6459" s="22"/>
    </row>
    <row r="6460" ht="38.25">
      <c r="A6460" t="s">
        <v>6539</v>
      </c>
      <c r="B6460" s="19">
        <v>100797</v>
      </c>
      <c r="C6460" s="20" t="s">
        <v>6576</v>
      </c>
      <c r="D6460" s="19" t="s">
        <v>38</v>
      </c>
      <c r="E6460" s="21" t="str">
        <f t="shared" si="299"/>
        <v>VERIFICAR</v>
      </c>
      <c r="F6460" s="22">
        <v>0.81000000000000005</v>
      </c>
      <c r="G6460" s="21" t="str">
        <f t="shared" si="300"/>
        <v>VERIFICAR</v>
      </c>
      <c r="H6460" s="22">
        <v>0.81999999999999995</v>
      </c>
      <c r="I6460" s="23" t="str">
        <f t="shared" si="301"/>
        <v xml:space="preserve">COM VALOR</v>
      </c>
      <c r="J6460" s="19"/>
      <c r="L6460" s="21">
        <v>0</v>
      </c>
      <c r="M6460" s="22"/>
      <c r="N6460" s="21">
        <v>0</v>
      </c>
      <c r="O6460" s="22"/>
    </row>
    <row r="6461" ht="38.25">
      <c r="A6461" t="s">
        <v>6539</v>
      </c>
      <c r="B6461" s="19">
        <v>100798</v>
      </c>
      <c r="C6461" s="20" t="s">
        <v>6577</v>
      </c>
      <c r="D6461" s="19" t="s">
        <v>38</v>
      </c>
      <c r="E6461" s="21" t="str">
        <f t="shared" si="299"/>
        <v>VERIFICAR</v>
      </c>
      <c r="F6461" s="22">
        <v>0.72999999999999998</v>
      </c>
      <c r="G6461" s="21" t="str">
        <f t="shared" si="300"/>
        <v>VERIFICAR</v>
      </c>
      <c r="H6461" s="22">
        <v>0.73999999999999999</v>
      </c>
      <c r="I6461" s="23" t="str">
        <f t="shared" si="301"/>
        <v xml:space="preserve">COM VALOR</v>
      </c>
      <c r="J6461" s="19"/>
      <c r="L6461" s="21">
        <v>0</v>
      </c>
      <c r="M6461" s="22"/>
      <c r="N6461" s="21">
        <v>0</v>
      </c>
      <c r="O6461" s="22"/>
    </row>
    <row r="6462" ht="38.25">
      <c r="A6462" t="s">
        <v>6539</v>
      </c>
      <c r="B6462" s="19">
        <v>100845</v>
      </c>
      <c r="C6462" s="20" t="s">
        <v>6578</v>
      </c>
      <c r="D6462" s="19" t="s">
        <v>38</v>
      </c>
      <c r="E6462" s="21" t="str">
        <f t="shared" si="299"/>
        <v>VERIFICAR</v>
      </c>
      <c r="F6462" s="22">
        <v>0.72999999999999998</v>
      </c>
      <c r="G6462" s="21" t="str">
        <f t="shared" si="300"/>
        <v>VERIFICAR</v>
      </c>
      <c r="H6462" s="22">
        <v>0.73999999999999999</v>
      </c>
      <c r="I6462" s="23" t="str">
        <f t="shared" si="301"/>
        <v xml:space="preserve">COM VALOR</v>
      </c>
      <c r="J6462" s="19"/>
      <c r="L6462" s="21">
        <v>0</v>
      </c>
      <c r="M6462" s="22"/>
      <c r="N6462" s="21">
        <v>0</v>
      </c>
      <c r="O6462" s="22"/>
    </row>
    <row r="6463" ht="38.25">
      <c r="A6463" t="s">
        <v>6539</v>
      </c>
      <c r="B6463" s="19">
        <v>100799</v>
      </c>
      <c r="C6463" s="20" t="s">
        <v>6579</v>
      </c>
      <c r="D6463" s="19" t="s">
        <v>38</v>
      </c>
      <c r="E6463" s="21">
        <f t="shared" si="299"/>
        <v>18.629999999999999</v>
      </c>
      <c r="F6463" s="22">
        <v>0.73999999999999999</v>
      </c>
      <c r="G6463" s="21">
        <f t="shared" si="300"/>
        <v>18.149999999999999</v>
      </c>
      <c r="H6463" s="22">
        <v>0.75</v>
      </c>
      <c r="I6463" s="23" t="str">
        <f t="shared" si="301"/>
        <v xml:space="preserve">COM VALOR</v>
      </c>
      <c r="J6463" s="19"/>
      <c r="L6463" s="21">
        <v>18.629999999999999</v>
      </c>
      <c r="M6463" s="22">
        <v>0.55000000000000004</v>
      </c>
      <c r="N6463" s="21">
        <v>18.149999999999999</v>
      </c>
      <c r="O6463" s="22">
        <v>0.56000000000000005</v>
      </c>
    </row>
    <row r="6464" ht="38.25">
      <c r="A6464" t="s">
        <v>6539</v>
      </c>
      <c r="B6464" s="19">
        <v>100807</v>
      </c>
      <c r="C6464" s="20" t="s">
        <v>6580</v>
      </c>
      <c r="D6464" s="19" t="s">
        <v>38</v>
      </c>
      <c r="E6464" s="21">
        <f t="shared" si="299"/>
        <v>24.489999999999998</v>
      </c>
      <c r="F6464" s="22">
        <v>0.81000000000000005</v>
      </c>
      <c r="G6464" s="21">
        <f t="shared" si="300"/>
        <v>23.68</v>
      </c>
      <c r="H6464" s="22">
        <v>0.81999999999999995</v>
      </c>
      <c r="I6464" s="23" t="str">
        <f t="shared" si="301"/>
        <v xml:space="preserve">COM VALOR</v>
      </c>
      <c r="J6464" s="19"/>
      <c r="L6464" s="21">
        <v>24.489999999999998</v>
      </c>
      <c r="M6464" s="22">
        <v>0.41999999999999998</v>
      </c>
      <c r="N6464" s="21">
        <v>23.68</v>
      </c>
      <c r="O6464" s="22">
        <v>0.42999999999999999</v>
      </c>
    </row>
    <row r="6465" ht="38.25">
      <c r="A6465" t="s">
        <v>6539</v>
      </c>
      <c r="B6465" s="19">
        <v>100800</v>
      </c>
      <c r="C6465" s="20" t="s">
        <v>6581</v>
      </c>
      <c r="D6465" s="19" t="s">
        <v>38</v>
      </c>
      <c r="E6465" s="21">
        <f t="shared" si="299"/>
        <v>26.640000000000001</v>
      </c>
      <c r="F6465" s="22">
        <v>0.93999999999999995</v>
      </c>
      <c r="G6465" s="21">
        <f t="shared" si="300"/>
        <v>26.07</v>
      </c>
      <c r="H6465" s="22">
        <v>0.93999999999999995</v>
      </c>
      <c r="I6465" s="23" t="str">
        <f t="shared" si="301"/>
        <v xml:space="preserve">COM VALOR</v>
      </c>
      <c r="J6465" s="19"/>
      <c r="L6465" s="21">
        <v>26.640000000000001</v>
      </c>
      <c r="M6465" s="22">
        <v>0.63</v>
      </c>
      <c r="N6465" s="21">
        <v>26.07</v>
      </c>
      <c r="O6465" s="22">
        <v>0.64249999999999996</v>
      </c>
    </row>
    <row r="6466" ht="38.25">
      <c r="A6466" t="s">
        <v>6539</v>
      </c>
      <c r="B6466" s="19">
        <v>100808</v>
      </c>
      <c r="C6466" s="20" t="s">
        <v>6582</v>
      </c>
      <c r="D6466" s="19" t="s">
        <v>38</v>
      </c>
      <c r="E6466" s="21">
        <f t="shared" si="299"/>
        <v>33.600000000000001</v>
      </c>
      <c r="F6466" s="22">
        <v>0.89000000000000001</v>
      </c>
      <c r="G6466" s="21">
        <f t="shared" si="300"/>
        <v>32.619999999999997</v>
      </c>
      <c r="H6466" s="22">
        <v>0.90000000000000002</v>
      </c>
      <c r="I6466" s="23" t="str">
        <f t="shared" si="301"/>
        <v xml:space="preserve">COM VALOR</v>
      </c>
      <c r="J6466" s="19"/>
      <c r="L6466" s="21">
        <v>33.600000000000001</v>
      </c>
      <c r="M6466" s="22">
        <v>0.5</v>
      </c>
      <c r="N6466" s="21">
        <v>32.619999999999997</v>
      </c>
      <c r="O6466" s="22">
        <v>0.51000000000000001</v>
      </c>
    </row>
    <row r="6467" ht="38.25">
      <c r="A6467" t="s">
        <v>6539</v>
      </c>
      <c r="B6467" s="19">
        <v>100801</v>
      </c>
      <c r="C6467" s="20" t="s">
        <v>6583</v>
      </c>
      <c r="D6467" s="19" t="s">
        <v>38</v>
      </c>
      <c r="E6467" s="21">
        <f t="shared" si="299"/>
        <v>34.939999999999998</v>
      </c>
      <c r="F6467" s="22">
        <v>0.82999999999999996</v>
      </c>
      <c r="G6467" s="21">
        <f t="shared" si="300"/>
        <v>34.259999999999998</v>
      </c>
      <c r="H6467" s="22">
        <v>0.83999999999999997</v>
      </c>
      <c r="I6467" s="23" t="str">
        <f t="shared" si="301"/>
        <v xml:space="preserve">COM VALOR</v>
      </c>
      <c r="J6467" s="19"/>
      <c r="L6467" s="21">
        <v>34.939999999999998</v>
      </c>
      <c r="M6467" s="22">
        <v>0.66000000000000003</v>
      </c>
      <c r="N6467" s="21">
        <v>34.259999999999998</v>
      </c>
      <c r="O6467" s="22">
        <v>0.68000000000000005</v>
      </c>
    </row>
    <row r="6468" ht="38.25">
      <c r="A6468" t="s">
        <v>6539</v>
      </c>
      <c r="B6468" s="19">
        <v>100809</v>
      </c>
      <c r="C6468" s="20" t="s">
        <v>6584</v>
      </c>
      <c r="D6468" s="19" t="s">
        <v>38</v>
      </c>
      <c r="E6468" s="21">
        <f t="shared" si="299"/>
        <v>43.25</v>
      </c>
      <c r="F6468" s="22">
        <v>0.77000000000000002</v>
      </c>
      <c r="G6468" s="21">
        <f t="shared" si="300"/>
        <v>42.100000000000001</v>
      </c>
      <c r="H6468" s="22">
        <v>0.79000000000000004</v>
      </c>
      <c r="I6468" s="23" t="str">
        <f t="shared" si="301"/>
        <v xml:space="preserve">COM VALOR</v>
      </c>
      <c r="J6468" s="19"/>
      <c r="L6468" s="21">
        <v>43.25</v>
      </c>
      <c r="M6468" s="22">
        <v>0.54000000000000004</v>
      </c>
      <c r="N6468" s="21">
        <v>42.100000000000001</v>
      </c>
      <c r="O6468" s="22">
        <v>0.55000000000000004</v>
      </c>
    </row>
    <row r="6469" ht="38.25">
      <c r="A6469" t="s">
        <v>6539</v>
      </c>
      <c r="B6469" s="19">
        <v>100802</v>
      </c>
      <c r="C6469" s="20" t="s">
        <v>6585</v>
      </c>
      <c r="D6469" s="19" t="s">
        <v>38</v>
      </c>
      <c r="E6469" s="21">
        <f t="shared" si="299"/>
        <v>46.659999999999997</v>
      </c>
      <c r="F6469" s="22">
        <v>0.81999999999999995</v>
      </c>
      <c r="G6469" s="21">
        <f t="shared" si="300"/>
        <v>45.829999999999998</v>
      </c>
      <c r="H6469" s="22">
        <v>0.82999999999999996</v>
      </c>
      <c r="I6469" s="23" t="str">
        <f t="shared" si="301"/>
        <v xml:space="preserve">COM VALOR</v>
      </c>
      <c r="J6469" s="19"/>
      <c r="L6469" s="21">
        <v>46.659999999999997</v>
      </c>
      <c r="M6469" s="22">
        <v>0.68999999999999995</v>
      </c>
      <c r="N6469" s="21">
        <v>45.829999999999998</v>
      </c>
      <c r="O6469" s="22">
        <v>0.70999999999999996</v>
      </c>
    </row>
    <row r="6470" ht="38.25">
      <c r="A6470" t="s">
        <v>6539</v>
      </c>
      <c r="B6470" s="19">
        <v>100810</v>
      </c>
      <c r="C6470" s="20" t="s">
        <v>6586</v>
      </c>
      <c r="D6470" s="19" t="s">
        <v>38</v>
      </c>
      <c r="E6470" s="21">
        <f t="shared" si="299"/>
        <v>56.890000000000001</v>
      </c>
      <c r="F6470" s="22">
        <v>0.85999999999999999</v>
      </c>
      <c r="G6470" s="21">
        <f t="shared" si="300"/>
        <v>55.479999999999997</v>
      </c>
      <c r="H6470" s="22">
        <v>0.87</v>
      </c>
      <c r="I6470" s="23" t="str">
        <f t="shared" si="301"/>
        <v xml:space="preserve">COM VALOR</v>
      </c>
      <c r="J6470" s="19"/>
      <c r="L6470" s="21">
        <v>56.890000000000001</v>
      </c>
      <c r="M6470" s="22">
        <v>0.56999999999999995</v>
      </c>
      <c r="N6470" s="21">
        <v>55.479999999999997</v>
      </c>
      <c r="O6470" s="22">
        <v>0.57999999999999996</v>
      </c>
    </row>
    <row r="6471" ht="25.5">
      <c r="A6471" t="s">
        <v>6539</v>
      </c>
      <c r="B6471" s="19">
        <v>100791</v>
      </c>
      <c r="C6471" s="20" t="s">
        <v>6587</v>
      </c>
      <c r="D6471" s="19" t="s">
        <v>38</v>
      </c>
      <c r="E6471" s="21">
        <f t="shared" si="299"/>
        <v>18.129999999999999</v>
      </c>
      <c r="F6471" s="22">
        <v>0.95999999999999996</v>
      </c>
      <c r="G6471" s="21">
        <f t="shared" si="300"/>
        <v>17.670000000000002</v>
      </c>
      <c r="H6471" s="22">
        <v>0.95999999999999996</v>
      </c>
      <c r="I6471" s="23" t="str">
        <f t="shared" si="301"/>
        <v xml:space="preserve">COM VALOR</v>
      </c>
      <c r="J6471" s="19"/>
      <c r="L6471" s="21">
        <v>18.129999999999999</v>
      </c>
      <c r="M6471" s="22">
        <v>0.56000000000000005</v>
      </c>
      <c r="N6471" s="21">
        <v>17.670000000000002</v>
      </c>
      <c r="O6471" s="22">
        <v>0.57999999999999996</v>
      </c>
    </row>
    <row r="6472" ht="25.5">
      <c r="A6472" t="s">
        <v>6539</v>
      </c>
      <c r="B6472" s="19">
        <v>100803</v>
      </c>
      <c r="C6472" s="20" t="s">
        <v>6588</v>
      </c>
      <c r="D6472" s="19" t="s">
        <v>38</v>
      </c>
      <c r="E6472" s="21">
        <f t="shared" si="299"/>
        <v>17.100000000000001</v>
      </c>
      <c r="F6472" s="22">
        <v>0.93000000000000005</v>
      </c>
      <c r="G6472" s="21">
        <f t="shared" si="300"/>
        <v>16.710000000000001</v>
      </c>
      <c r="H6472" s="22">
        <v>0.93000000000000005</v>
      </c>
      <c r="I6472" s="23" t="str">
        <f t="shared" si="301"/>
        <v xml:space="preserve">COM VALOR</v>
      </c>
      <c r="J6472" s="19"/>
      <c r="L6472" s="21">
        <v>17.100000000000001</v>
      </c>
      <c r="M6472" s="22">
        <v>0.59999999999999998</v>
      </c>
      <c r="N6472" s="21">
        <v>16.710000000000001</v>
      </c>
      <c r="O6472" s="22">
        <v>0.60999999999999999</v>
      </c>
    </row>
    <row r="6473" ht="25.5">
      <c r="A6473" t="s">
        <v>6539</v>
      </c>
      <c r="B6473" s="19">
        <v>100792</v>
      </c>
      <c r="C6473" s="20" t="s">
        <v>6589</v>
      </c>
      <c r="D6473" s="19" t="s">
        <v>38</v>
      </c>
      <c r="E6473" s="21">
        <f t="shared" si="299"/>
        <v>26.140000000000001</v>
      </c>
      <c r="F6473" s="22">
        <v>0.89000000000000001</v>
      </c>
      <c r="G6473" s="21">
        <f t="shared" si="300"/>
        <v>25.59</v>
      </c>
      <c r="H6473" s="22">
        <v>0.89000000000000001</v>
      </c>
      <c r="I6473" s="23" t="str">
        <f t="shared" si="301"/>
        <v xml:space="preserve">COM VALOR</v>
      </c>
      <c r="J6473" s="19"/>
      <c r="L6473" s="21">
        <v>26.140000000000001</v>
      </c>
      <c r="M6473" s="22">
        <v>0.64000000000000001</v>
      </c>
      <c r="N6473" s="21">
        <v>25.59</v>
      </c>
      <c r="O6473" s="22">
        <v>0.65000000000000002</v>
      </c>
    </row>
    <row r="6474" ht="25.5">
      <c r="A6474" t="s">
        <v>6539</v>
      </c>
      <c r="B6474" s="19">
        <v>100804</v>
      </c>
      <c r="C6474" s="20" t="s">
        <v>6590</v>
      </c>
      <c r="D6474" s="19" t="s">
        <v>38</v>
      </c>
      <c r="E6474" s="21">
        <f t="shared" si="299"/>
        <v>24.91</v>
      </c>
      <c r="F6474" s="22">
        <v>0.81999999999999995</v>
      </c>
      <c r="G6474" s="21">
        <f t="shared" si="300"/>
        <v>24.440000000000001</v>
      </c>
      <c r="H6474" s="22">
        <v>0.82999999999999996</v>
      </c>
      <c r="I6474" s="23" t="str">
        <f t="shared" si="301"/>
        <v xml:space="preserve">COM VALOR</v>
      </c>
      <c r="J6474" s="19"/>
      <c r="L6474" s="21">
        <v>24.91</v>
      </c>
      <c r="M6474" s="22">
        <v>0.67000000000000004</v>
      </c>
      <c r="N6474" s="21">
        <v>24.440000000000001</v>
      </c>
      <c r="O6474" s="22">
        <v>0.68999999999999995</v>
      </c>
    </row>
    <row r="6475" ht="25.5">
      <c r="A6475" t="s">
        <v>6539</v>
      </c>
      <c r="B6475" s="19">
        <v>100793</v>
      </c>
      <c r="C6475" s="20" t="s">
        <v>6591</v>
      </c>
      <c r="D6475" s="19" t="s">
        <v>38</v>
      </c>
      <c r="E6475" s="21">
        <f t="shared" ref="E6475:E6538" si="302">IF(L6475=0,"VERIFICAR",L6475)</f>
        <v>34.439999999999998</v>
      </c>
      <c r="F6475" s="22">
        <v>0.87</v>
      </c>
      <c r="G6475" s="21">
        <f t="shared" ref="G6475:G6538" si="303">IF(N6475=0,"VERIFICAR",N6475)</f>
        <v>33.780000000000001</v>
      </c>
      <c r="H6475" s="22">
        <v>0.88</v>
      </c>
      <c r="I6475" s="23" t="str">
        <f t="shared" ref="I6475:I6538" si="304">IF(OR(E6475=0,G6475=0),"SEM VALOR","COM VALOR")</f>
        <v xml:space="preserve">COM VALOR</v>
      </c>
      <c r="J6475" s="19"/>
      <c r="L6475" s="21">
        <v>34.439999999999998</v>
      </c>
      <c r="M6475" s="22">
        <v>0.67000000000000004</v>
      </c>
      <c r="N6475" s="21">
        <v>33.780000000000001</v>
      </c>
      <c r="O6475" s="22">
        <v>0.68999999999999995</v>
      </c>
    </row>
    <row r="6476" ht="25.5">
      <c r="A6476" t="s">
        <v>6539</v>
      </c>
      <c r="B6476" s="19">
        <v>100805</v>
      </c>
      <c r="C6476" s="20" t="s">
        <v>6592</v>
      </c>
      <c r="D6476" s="19" t="s">
        <v>38</v>
      </c>
      <c r="E6476" s="21">
        <f t="shared" si="302"/>
        <v>32.969999999999999</v>
      </c>
      <c r="F6476" s="22">
        <v>0.89000000000000001</v>
      </c>
      <c r="G6476" s="21">
        <f t="shared" si="303"/>
        <v>32.409999999999997</v>
      </c>
      <c r="H6476" s="22">
        <v>0.90000000000000002</v>
      </c>
      <c r="I6476" s="23" t="str">
        <f t="shared" si="304"/>
        <v xml:space="preserve">COM VALOR</v>
      </c>
      <c r="J6476" s="19"/>
      <c r="L6476" s="21">
        <v>32.969999999999999</v>
      </c>
      <c r="M6476" s="22">
        <v>0.69999999999999996</v>
      </c>
      <c r="N6476" s="21">
        <v>32.409999999999997</v>
      </c>
      <c r="O6476" s="22">
        <v>0.71999999999999997</v>
      </c>
    </row>
    <row r="6477" ht="25.5">
      <c r="A6477" t="s">
        <v>6539</v>
      </c>
      <c r="B6477" s="19">
        <v>100794</v>
      </c>
      <c r="C6477" s="20" t="s">
        <v>6593</v>
      </c>
      <c r="D6477" s="19" t="s">
        <v>38</v>
      </c>
      <c r="E6477" s="21">
        <f t="shared" si="302"/>
        <v>46.159999999999997</v>
      </c>
      <c r="F6477" s="22">
        <v>0.46999999999999997</v>
      </c>
      <c r="G6477" s="21">
        <f t="shared" si="303"/>
        <v>45.369999999999997</v>
      </c>
      <c r="H6477" s="22">
        <v>0.48999999999999999</v>
      </c>
      <c r="I6477" s="23" t="str">
        <f t="shared" si="304"/>
        <v xml:space="preserve">COM VALOR</v>
      </c>
      <c r="J6477" s="19"/>
      <c r="L6477" s="21">
        <v>46.159999999999997</v>
      </c>
      <c r="M6477" s="22">
        <v>0.69999999999999996</v>
      </c>
      <c r="N6477" s="21">
        <v>45.369999999999997</v>
      </c>
      <c r="O6477" s="22">
        <v>0.70999999999999996</v>
      </c>
    </row>
    <row r="6478" ht="25.5">
      <c r="A6478" t="s">
        <v>6539</v>
      </c>
      <c r="B6478" s="19">
        <v>100806</v>
      </c>
      <c r="C6478" s="20" t="s">
        <v>6594</v>
      </c>
      <c r="D6478" s="19" t="s">
        <v>38</v>
      </c>
      <c r="E6478" s="21">
        <f t="shared" si="302"/>
        <v>44.359999999999999</v>
      </c>
      <c r="F6478" s="22">
        <v>0.35999999999999999</v>
      </c>
      <c r="G6478" s="21">
        <f t="shared" si="303"/>
        <v>43.670000000000002</v>
      </c>
      <c r="H6478" s="22">
        <v>0.38</v>
      </c>
      <c r="I6478" s="23" t="str">
        <f t="shared" si="304"/>
        <v xml:space="preserve">COM VALOR</v>
      </c>
      <c r="J6478" s="19"/>
      <c r="L6478" s="21">
        <v>44.359999999999999</v>
      </c>
      <c r="M6478" s="22">
        <v>0.72999999999999998</v>
      </c>
      <c r="N6478" s="21">
        <v>43.670000000000002</v>
      </c>
      <c r="O6478" s="22">
        <v>0.73999999999999999</v>
      </c>
    </row>
    <row r="6479" ht="25.5">
      <c r="A6479" t="s">
        <v>6539</v>
      </c>
      <c r="B6479" s="19">
        <v>100838</v>
      </c>
      <c r="C6479" s="20" t="s">
        <v>6595</v>
      </c>
      <c r="D6479" s="19" t="s">
        <v>31</v>
      </c>
      <c r="E6479" s="21" t="str">
        <f t="shared" si="302"/>
        <v>VERIFICAR</v>
      </c>
      <c r="F6479" s="22">
        <v>0.35999999999999999</v>
      </c>
      <c r="G6479" s="21" t="str">
        <f t="shared" si="303"/>
        <v>VERIFICAR</v>
      </c>
      <c r="H6479" s="22">
        <v>0.38</v>
      </c>
      <c r="I6479" s="23" t="str">
        <f t="shared" si="304"/>
        <v xml:space="preserve">COM VALOR</v>
      </c>
      <c r="J6479" s="19"/>
      <c r="L6479" s="21">
        <v>0</v>
      </c>
      <c r="M6479" s="22"/>
      <c r="N6479" s="21">
        <v>0</v>
      </c>
      <c r="O6479" s="22"/>
    </row>
    <row r="6480" ht="25.5">
      <c r="A6480" t="s">
        <v>6539</v>
      </c>
      <c r="B6480" s="19">
        <v>100839</v>
      </c>
      <c r="C6480" s="20" t="s">
        <v>6596</v>
      </c>
      <c r="D6480" s="19" t="s">
        <v>31</v>
      </c>
      <c r="E6480" s="21" t="str">
        <f t="shared" si="302"/>
        <v>VERIFICAR</v>
      </c>
      <c r="F6480" s="22">
        <v>0.37</v>
      </c>
      <c r="G6480" s="21" t="str">
        <f t="shared" si="303"/>
        <v>VERIFICAR</v>
      </c>
      <c r="H6480" s="22">
        <v>0.39000000000000001</v>
      </c>
      <c r="I6480" s="23" t="str">
        <f t="shared" si="304"/>
        <v xml:space="preserve">COM VALOR</v>
      </c>
      <c r="J6480" s="19"/>
      <c r="L6480" s="21">
        <v>0</v>
      </c>
      <c r="M6480" s="22"/>
      <c r="N6480" s="21">
        <v>0</v>
      </c>
      <c r="O6480" s="22"/>
    </row>
    <row r="6481" ht="25.5">
      <c r="A6481" t="s">
        <v>6539</v>
      </c>
      <c r="B6481" s="19">
        <v>100840</v>
      </c>
      <c r="C6481" s="20" t="s">
        <v>6597</v>
      </c>
      <c r="D6481" s="19" t="s">
        <v>31</v>
      </c>
      <c r="E6481" s="21" t="str">
        <f t="shared" si="302"/>
        <v>VERIFICAR</v>
      </c>
      <c r="F6481" s="22">
        <v>0.46999999999999997</v>
      </c>
      <c r="G6481" s="21" t="str">
        <f t="shared" si="303"/>
        <v>VERIFICAR</v>
      </c>
      <c r="H6481" s="22">
        <v>0.48999999999999999</v>
      </c>
      <c r="I6481" s="23" t="str">
        <f t="shared" si="304"/>
        <v xml:space="preserve">COM VALOR</v>
      </c>
      <c r="J6481" s="19"/>
      <c r="L6481" s="21">
        <v>0</v>
      </c>
      <c r="M6481" s="22"/>
      <c r="N6481" s="21">
        <v>0</v>
      </c>
      <c r="O6481" s="22"/>
    </row>
    <row r="6482" ht="25.5">
      <c r="A6482" t="s">
        <v>6539</v>
      </c>
      <c r="B6482" s="19">
        <v>100841</v>
      </c>
      <c r="C6482" s="20" t="s">
        <v>6598</v>
      </c>
      <c r="D6482" s="19" t="s">
        <v>31</v>
      </c>
      <c r="E6482" s="21" t="str">
        <f t="shared" si="302"/>
        <v>VERIFICAR</v>
      </c>
      <c r="F6482" s="22">
        <v>0.76000000000000001</v>
      </c>
      <c r="G6482" s="21" t="str">
        <f t="shared" si="303"/>
        <v>VERIFICAR</v>
      </c>
      <c r="H6482" s="22">
        <v>0.78000000000000003</v>
      </c>
      <c r="I6482" s="23" t="str">
        <f t="shared" si="304"/>
        <v xml:space="preserve">COM VALOR</v>
      </c>
      <c r="J6482" s="19"/>
      <c r="L6482" s="21">
        <v>0</v>
      </c>
      <c r="M6482" s="22"/>
      <c r="N6482" s="21">
        <v>0</v>
      </c>
      <c r="O6482" s="22"/>
    </row>
    <row r="6483" ht="25.5">
      <c r="A6483" t="s">
        <v>6599</v>
      </c>
      <c r="B6483" s="19">
        <v>103283</v>
      </c>
      <c r="C6483" s="20" t="s">
        <v>6600</v>
      </c>
      <c r="D6483" s="19" t="s">
        <v>31</v>
      </c>
      <c r="E6483" s="21" t="str">
        <f t="shared" si="302"/>
        <v>VERIFICAR</v>
      </c>
      <c r="F6483" s="22">
        <v>0.63</v>
      </c>
      <c r="G6483" s="21" t="str">
        <f t="shared" si="303"/>
        <v>VERIFICAR</v>
      </c>
      <c r="H6483" s="22">
        <v>0.65000000000000002</v>
      </c>
      <c r="I6483" s="23" t="str">
        <f t="shared" si="304"/>
        <v xml:space="preserve">COM VALOR</v>
      </c>
      <c r="J6483" s="19"/>
      <c r="L6483" s="21">
        <v>0</v>
      </c>
      <c r="M6483" s="22"/>
      <c r="N6483" s="21">
        <v>0</v>
      </c>
      <c r="O6483" s="22"/>
    </row>
    <row r="6484" ht="25.5">
      <c r="A6484" t="s">
        <v>6599</v>
      </c>
      <c r="B6484" s="19">
        <v>103284</v>
      </c>
      <c r="C6484" s="20" t="s">
        <v>6601</v>
      </c>
      <c r="D6484" s="19" t="s">
        <v>31</v>
      </c>
      <c r="E6484" s="21" t="str">
        <f t="shared" si="302"/>
        <v>VERIFICAR</v>
      </c>
      <c r="F6484" s="22">
        <v>0.5</v>
      </c>
      <c r="G6484" s="21" t="str">
        <f t="shared" si="303"/>
        <v>VERIFICAR</v>
      </c>
      <c r="H6484" s="22">
        <v>0.52000000000000002</v>
      </c>
      <c r="I6484" s="23" t="str">
        <f t="shared" si="304"/>
        <v xml:space="preserve">COM VALOR</v>
      </c>
      <c r="J6484" s="19"/>
      <c r="L6484" s="21">
        <v>0</v>
      </c>
      <c r="M6484" s="22"/>
      <c r="N6484" s="21">
        <v>0</v>
      </c>
      <c r="O6484" s="22"/>
    </row>
    <row r="6485" ht="25.5">
      <c r="A6485" t="s">
        <v>6599</v>
      </c>
      <c r="B6485" s="19">
        <v>103282</v>
      </c>
      <c r="C6485" s="20" t="s">
        <v>6602</v>
      </c>
      <c r="D6485" s="19" t="s">
        <v>31</v>
      </c>
      <c r="E6485" s="21" t="str">
        <f t="shared" si="302"/>
        <v>VERIFICAR</v>
      </c>
      <c r="F6485" s="22">
        <v>0.40999999999999998</v>
      </c>
      <c r="G6485" s="21" t="str">
        <f t="shared" si="303"/>
        <v>VERIFICAR</v>
      </c>
      <c r="H6485" s="22">
        <v>0.42999999999999999</v>
      </c>
      <c r="I6485" s="23" t="str">
        <f t="shared" si="304"/>
        <v xml:space="preserve">COM VALOR</v>
      </c>
      <c r="J6485" s="19"/>
      <c r="L6485" s="21">
        <v>0</v>
      </c>
      <c r="M6485" s="22"/>
      <c r="N6485" s="21">
        <v>0</v>
      </c>
      <c r="O6485" s="22"/>
    </row>
    <row r="6486" ht="25.5">
      <c r="A6486" t="s">
        <v>6599</v>
      </c>
      <c r="B6486" s="19">
        <v>103279</v>
      </c>
      <c r="C6486" s="20" t="s">
        <v>6603</v>
      </c>
      <c r="D6486" s="19" t="s">
        <v>31</v>
      </c>
      <c r="E6486" s="21" t="str">
        <f t="shared" si="302"/>
        <v>VERIFICAR</v>
      </c>
      <c r="F6486" s="22">
        <v>0.48999999999999999</v>
      </c>
      <c r="G6486" s="21" t="str">
        <f t="shared" si="303"/>
        <v>VERIFICAR</v>
      </c>
      <c r="H6486" s="22">
        <v>0.51000000000000001</v>
      </c>
      <c r="I6486" s="23" t="str">
        <f t="shared" si="304"/>
        <v xml:space="preserve">COM VALOR</v>
      </c>
      <c r="J6486" s="19"/>
      <c r="L6486" s="21">
        <v>0</v>
      </c>
      <c r="M6486" s="22"/>
      <c r="N6486" s="21">
        <v>0</v>
      </c>
      <c r="O6486" s="22"/>
    </row>
    <row r="6487" ht="25.5">
      <c r="A6487" t="s">
        <v>6599</v>
      </c>
      <c r="B6487" s="19">
        <v>103280</v>
      </c>
      <c r="C6487" s="20" t="s">
        <v>6604</v>
      </c>
      <c r="D6487" s="19" t="s">
        <v>31</v>
      </c>
      <c r="E6487" s="21" t="str">
        <f t="shared" si="302"/>
        <v>VERIFICAR</v>
      </c>
      <c r="F6487" s="22">
        <v>0.55000000000000004</v>
      </c>
      <c r="G6487" s="21" t="str">
        <f t="shared" si="303"/>
        <v>VERIFICAR</v>
      </c>
      <c r="H6487" s="22">
        <v>0.56999999999999995</v>
      </c>
      <c r="I6487" s="23" t="str">
        <f t="shared" si="304"/>
        <v xml:space="preserve">COM VALOR</v>
      </c>
      <c r="J6487" s="19"/>
      <c r="L6487" s="21">
        <v>0</v>
      </c>
      <c r="M6487" s="22"/>
      <c r="N6487" s="21">
        <v>0</v>
      </c>
      <c r="O6487" s="22"/>
    </row>
    <row r="6488" ht="25.5">
      <c r="A6488" t="s">
        <v>6599</v>
      </c>
      <c r="B6488" s="19">
        <v>103281</v>
      </c>
      <c r="C6488" s="20" t="s">
        <v>6605</v>
      </c>
      <c r="D6488" s="19" t="s">
        <v>31</v>
      </c>
      <c r="E6488" s="21" t="str">
        <f t="shared" si="302"/>
        <v>VERIFICAR</v>
      </c>
      <c r="F6488" s="22">
        <v>0.80000000000000004</v>
      </c>
      <c r="G6488" s="21" t="str">
        <f t="shared" si="303"/>
        <v>VERIFICAR</v>
      </c>
      <c r="H6488" s="22">
        <v>0.81000000000000005</v>
      </c>
      <c r="I6488" s="23" t="str">
        <f t="shared" si="304"/>
        <v xml:space="preserve">COM VALOR</v>
      </c>
      <c r="J6488" s="19"/>
      <c r="L6488" s="21">
        <v>0</v>
      </c>
      <c r="M6488" s="22"/>
      <c r="N6488" s="21">
        <v>0</v>
      </c>
      <c r="O6488" s="22"/>
    </row>
    <row r="6489" ht="25.5">
      <c r="A6489" t="s">
        <v>6599</v>
      </c>
      <c r="B6489" s="19">
        <v>103247</v>
      </c>
      <c r="C6489" s="20" t="s">
        <v>6606</v>
      </c>
      <c r="D6489" s="19" t="s">
        <v>31</v>
      </c>
      <c r="E6489" s="21">
        <f t="shared" si="302"/>
        <v>2618.1300000000001</v>
      </c>
      <c r="F6489" s="22">
        <v>0.69999999999999996</v>
      </c>
      <c r="G6489" s="21">
        <f t="shared" si="303"/>
        <v>2610.8400000000001</v>
      </c>
      <c r="H6489" s="22">
        <v>0.71999999999999997</v>
      </c>
      <c r="I6489" s="23" t="str">
        <f t="shared" si="304"/>
        <v xml:space="preserve">COM VALOR</v>
      </c>
      <c r="J6489" s="19"/>
      <c r="L6489" s="21">
        <v>2618.1300000000001</v>
      </c>
      <c r="M6489" s="22">
        <v>0.93999999999999995</v>
      </c>
      <c r="N6489" s="21">
        <v>2610.8400000000001</v>
      </c>
      <c r="O6489" s="22">
        <v>0.93999999999999995</v>
      </c>
    </row>
    <row r="6490" ht="25.5">
      <c r="A6490" t="s">
        <v>6599</v>
      </c>
      <c r="B6490" s="19">
        <v>103250</v>
      </c>
      <c r="C6490" s="20" t="s">
        <v>6607</v>
      </c>
      <c r="D6490" s="19" t="s">
        <v>31</v>
      </c>
      <c r="E6490" s="21">
        <f t="shared" si="302"/>
        <v>3803.2399999999998</v>
      </c>
      <c r="F6490" s="22">
        <v>0.57999999999999996</v>
      </c>
      <c r="G6490" s="21">
        <f t="shared" si="303"/>
        <v>3795.3600000000001</v>
      </c>
      <c r="H6490" s="22">
        <v>0.59999999999999998</v>
      </c>
      <c r="I6490" s="23" t="str">
        <f t="shared" si="304"/>
        <v xml:space="preserve">COM VALOR</v>
      </c>
      <c r="J6490" s="19"/>
      <c r="L6490" s="21">
        <v>3803.2399999999998</v>
      </c>
      <c r="M6490" s="22">
        <v>0.95999999999999996</v>
      </c>
      <c r="N6490" s="21">
        <v>3795.3600000000001</v>
      </c>
      <c r="O6490" s="22">
        <v>0.95999999999999996</v>
      </c>
    </row>
    <row r="6491" ht="25.5">
      <c r="A6491" t="s">
        <v>6599</v>
      </c>
      <c r="B6491" s="19">
        <v>103253</v>
      </c>
      <c r="C6491" s="20" t="s">
        <v>6608</v>
      </c>
      <c r="D6491" s="19" t="s">
        <v>31</v>
      </c>
      <c r="E6491" s="21">
        <f t="shared" si="302"/>
        <v>5184.4799999999996</v>
      </c>
      <c r="F6491" s="22">
        <v>0.45000000000000001</v>
      </c>
      <c r="G6491" s="21">
        <f t="shared" si="303"/>
        <v>5176.2600000000002</v>
      </c>
      <c r="H6491" s="22">
        <v>0.46999999999999997</v>
      </c>
      <c r="I6491" s="23" t="str">
        <f t="shared" si="304"/>
        <v xml:space="preserve">COM VALOR</v>
      </c>
      <c r="J6491" s="19"/>
      <c r="L6491" s="21">
        <v>5184.4799999999996</v>
      </c>
      <c r="M6491" s="22">
        <v>0.96999999999999997</v>
      </c>
      <c r="N6491" s="21">
        <v>5176.2600000000002</v>
      </c>
      <c r="O6491" s="22">
        <v>0.96999999999999997</v>
      </c>
    </row>
    <row r="6492" ht="25.5">
      <c r="A6492" t="s">
        <v>6599</v>
      </c>
      <c r="B6492" s="19">
        <v>103244</v>
      </c>
      <c r="C6492" s="20" t="s">
        <v>6609</v>
      </c>
      <c r="D6492" s="19" t="s">
        <v>31</v>
      </c>
      <c r="E6492" s="21">
        <f t="shared" si="302"/>
        <v>2358.9400000000001</v>
      </c>
      <c r="F6492" s="22">
        <v>0.55000000000000004</v>
      </c>
      <c r="G6492" s="21">
        <f t="shared" si="303"/>
        <v>2351.6500000000001</v>
      </c>
      <c r="H6492" s="22">
        <v>0.56999999999999995</v>
      </c>
      <c r="I6492" s="23" t="str">
        <f t="shared" si="304"/>
        <v xml:space="preserve">COM VALOR</v>
      </c>
      <c r="J6492" s="19"/>
      <c r="L6492" s="21">
        <v>2358.9400000000001</v>
      </c>
      <c r="M6492" s="22">
        <v>0.93500000000000005</v>
      </c>
      <c r="N6492" s="21">
        <v>2351.6500000000001</v>
      </c>
      <c r="O6492" s="22">
        <v>0.93999999999999995</v>
      </c>
    </row>
    <row r="6493" ht="25.5">
      <c r="A6493" t="s">
        <v>6599</v>
      </c>
      <c r="B6493" s="19">
        <v>103256</v>
      </c>
      <c r="C6493" s="20" t="s">
        <v>6610</v>
      </c>
      <c r="D6493" s="19" t="s">
        <v>31</v>
      </c>
      <c r="E6493" s="21">
        <f t="shared" si="302"/>
        <v>9630.9699999999993</v>
      </c>
      <c r="F6493" s="22">
        <v>0.59999999999999998</v>
      </c>
      <c r="G6493" s="21">
        <f t="shared" si="303"/>
        <v>9618.8999999999996</v>
      </c>
      <c r="H6493" s="22">
        <v>0.62</v>
      </c>
      <c r="I6493" s="23" t="str">
        <f t="shared" si="304"/>
        <v xml:space="preserve">COM VALOR</v>
      </c>
      <c r="J6493" s="19"/>
      <c r="L6493" s="21">
        <v>9630.9699999999993</v>
      </c>
      <c r="M6493" s="22">
        <v>0.96999999999999997</v>
      </c>
      <c r="N6493" s="21">
        <v>9618.8999999999996</v>
      </c>
      <c r="O6493" s="22">
        <v>0.97999999999999998</v>
      </c>
    </row>
    <row r="6494" ht="25.5">
      <c r="A6494" t="s">
        <v>6599</v>
      </c>
      <c r="B6494" s="19">
        <v>103258</v>
      </c>
      <c r="C6494" s="20" t="s">
        <v>6611</v>
      </c>
      <c r="D6494" s="19" t="s">
        <v>31</v>
      </c>
      <c r="E6494" s="21">
        <f t="shared" si="302"/>
        <v>10766.77</v>
      </c>
      <c r="F6494" s="22">
        <v>0.89000000000000001</v>
      </c>
      <c r="G6494" s="21">
        <f t="shared" si="303"/>
        <v>10754.370000000001</v>
      </c>
      <c r="H6494" s="22">
        <v>0.89000000000000001</v>
      </c>
      <c r="I6494" s="23" t="str">
        <f t="shared" si="304"/>
        <v xml:space="preserve">COM VALOR</v>
      </c>
      <c r="J6494" s="19"/>
      <c r="L6494" s="21">
        <v>10766.77</v>
      </c>
      <c r="M6494" s="22">
        <v>0.97999999999999998</v>
      </c>
      <c r="N6494" s="21">
        <v>10754.370000000001</v>
      </c>
      <c r="O6494" s="22">
        <v>0.97999999999999998</v>
      </c>
    </row>
    <row r="6495" ht="25.5">
      <c r="A6495" t="s">
        <v>6599</v>
      </c>
      <c r="B6495" s="19">
        <v>103260</v>
      </c>
      <c r="C6495" s="20" t="s">
        <v>6612</v>
      </c>
      <c r="D6495" s="19" t="s">
        <v>31</v>
      </c>
      <c r="E6495" s="21">
        <f t="shared" si="302"/>
        <v>5962.3900000000003</v>
      </c>
      <c r="F6495" s="22">
        <v>0.91000000000000003</v>
      </c>
      <c r="G6495" s="21">
        <f t="shared" si="303"/>
        <v>5949.9899999999998</v>
      </c>
      <c r="H6495" s="22">
        <v>0.92000000000000004</v>
      </c>
      <c r="I6495" s="23" t="str">
        <f t="shared" si="304"/>
        <v xml:space="preserve">COM VALOR</v>
      </c>
      <c r="J6495" s="19"/>
      <c r="L6495" s="21">
        <v>5962.3900000000003</v>
      </c>
      <c r="M6495" s="22">
        <v>0.95750000000000002</v>
      </c>
      <c r="N6495" s="21">
        <v>5949.9899999999998</v>
      </c>
      <c r="O6495" s="22">
        <v>0.95999999999999996</v>
      </c>
    </row>
    <row r="6496" ht="25.5">
      <c r="A6496" t="s">
        <v>6599</v>
      </c>
      <c r="B6496" s="19">
        <v>103261</v>
      </c>
      <c r="C6496" s="20" t="s">
        <v>6613</v>
      </c>
      <c r="D6496" s="19" t="s">
        <v>31</v>
      </c>
      <c r="E6496" s="21">
        <f t="shared" si="302"/>
        <v>12146.27</v>
      </c>
      <c r="F6496" s="22">
        <v>0.92000000000000004</v>
      </c>
      <c r="G6496" s="21">
        <f t="shared" si="303"/>
        <v>12132.65</v>
      </c>
      <c r="H6496" s="22">
        <v>0.93000000000000005</v>
      </c>
      <c r="I6496" s="23" t="str">
        <f t="shared" si="304"/>
        <v xml:space="preserve">COM VALOR</v>
      </c>
      <c r="J6496" s="19"/>
      <c r="L6496" s="21">
        <v>12146.27</v>
      </c>
      <c r="M6496" s="22">
        <v>0.97999999999999998</v>
      </c>
      <c r="N6496" s="21">
        <v>12132.65</v>
      </c>
      <c r="O6496" s="22">
        <v>0.97999999999999998</v>
      </c>
    </row>
    <row r="6497" ht="25.5">
      <c r="A6497" t="s">
        <v>6599</v>
      </c>
      <c r="B6497" s="19">
        <v>103263</v>
      </c>
      <c r="C6497" s="20" t="s">
        <v>6614</v>
      </c>
      <c r="D6497" s="19" t="s">
        <v>31</v>
      </c>
      <c r="E6497" s="21">
        <f t="shared" si="302"/>
        <v>16886.849999999999</v>
      </c>
      <c r="F6497" s="22">
        <v>0.95999999999999996</v>
      </c>
      <c r="G6497" s="21">
        <f t="shared" si="303"/>
        <v>16868.740000000002</v>
      </c>
      <c r="H6497" s="22">
        <v>0.95999999999999996</v>
      </c>
      <c r="I6497" s="23" t="str">
        <f t="shared" si="304"/>
        <v xml:space="preserve">COM VALOR</v>
      </c>
      <c r="J6497" s="19"/>
      <c r="L6497" s="21">
        <v>16886.849999999999</v>
      </c>
      <c r="M6497" s="22">
        <v>0.97999999999999998</v>
      </c>
      <c r="N6497" s="21">
        <v>16868.740000000002</v>
      </c>
      <c r="O6497" s="22">
        <v>0.97999999999999998</v>
      </c>
    </row>
    <row r="6498" ht="38.25">
      <c r="A6498" t="s">
        <v>6599</v>
      </c>
      <c r="B6498" s="19">
        <v>103265</v>
      </c>
      <c r="C6498" s="20" t="s">
        <v>6615</v>
      </c>
      <c r="D6498" s="19" t="s">
        <v>31</v>
      </c>
      <c r="E6498" s="21">
        <f t="shared" si="302"/>
        <v>20351.91</v>
      </c>
      <c r="F6498" s="22">
        <v>0.98999999999999999</v>
      </c>
      <c r="G6498" s="21">
        <f t="shared" si="303"/>
        <v>20333.799999999999</v>
      </c>
      <c r="H6498" s="22">
        <v>0.98999999999999999</v>
      </c>
      <c r="I6498" s="23" t="str">
        <f t="shared" si="304"/>
        <v xml:space="preserve">COM VALOR</v>
      </c>
      <c r="J6498" s="19"/>
      <c r="L6498" s="21">
        <v>20351.91</v>
      </c>
      <c r="M6498" s="22">
        <v>0.97999999999999998</v>
      </c>
      <c r="N6498" s="21">
        <v>20333.799999999999</v>
      </c>
      <c r="O6498" s="22">
        <v>0.97999999999999998</v>
      </c>
    </row>
    <row r="6499" ht="25.5">
      <c r="A6499" t="s">
        <v>6599</v>
      </c>
      <c r="B6499" s="19">
        <v>103268</v>
      </c>
      <c r="C6499" s="20" t="s">
        <v>6616</v>
      </c>
      <c r="D6499" s="19" t="s">
        <v>31</v>
      </c>
      <c r="E6499" s="21">
        <f t="shared" si="302"/>
        <v>7144.8999999999996</v>
      </c>
      <c r="F6499" s="22">
        <v>0.98999999999999999</v>
      </c>
      <c r="G6499" s="21">
        <f t="shared" si="303"/>
        <v>7132.5100000000002</v>
      </c>
      <c r="H6499" s="22">
        <v>0.98999999999999999</v>
      </c>
      <c r="I6499" s="23" t="str">
        <f t="shared" si="304"/>
        <v xml:space="preserve">COM VALOR</v>
      </c>
      <c r="J6499" s="19"/>
      <c r="L6499" s="21">
        <v>7144.8999999999996</v>
      </c>
      <c r="M6499" s="22">
        <v>0.95999999999999996</v>
      </c>
      <c r="N6499" s="21">
        <v>7132.5100000000002</v>
      </c>
      <c r="O6499" s="22">
        <v>0.96999999999999997</v>
      </c>
    </row>
    <row r="6500" ht="25.5">
      <c r="A6500" t="s">
        <v>6599</v>
      </c>
      <c r="B6500" s="19">
        <v>103270</v>
      </c>
      <c r="C6500" s="20" t="s">
        <v>6617</v>
      </c>
      <c r="D6500" s="19" t="s">
        <v>31</v>
      </c>
      <c r="E6500" s="21">
        <f t="shared" si="302"/>
        <v>7679.2200000000003</v>
      </c>
      <c r="F6500" s="22">
        <v>0.98999999999999999</v>
      </c>
      <c r="G6500" s="21">
        <f t="shared" si="303"/>
        <v>7666.3400000000001</v>
      </c>
      <c r="H6500" s="22">
        <v>0.98999999999999999</v>
      </c>
      <c r="I6500" s="23" t="str">
        <f t="shared" si="304"/>
        <v xml:space="preserve">COM VALOR</v>
      </c>
      <c r="J6500" s="19"/>
      <c r="L6500" s="21">
        <v>7679.2200000000003</v>
      </c>
      <c r="M6500" s="22">
        <v>0.96999999999999997</v>
      </c>
      <c r="N6500" s="21">
        <v>7666.3400000000001</v>
      </c>
      <c r="O6500" s="22">
        <v>0.96999999999999997</v>
      </c>
    </row>
    <row r="6501" ht="25.5">
      <c r="A6501" t="s">
        <v>6599</v>
      </c>
      <c r="B6501" s="19">
        <v>103272</v>
      </c>
      <c r="C6501" s="20" t="s">
        <v>6618</v>
      </c>
      <c r="D6501" s="19" t="s">
        <v>31</v>
      </c>
      <c r="E6501" s="21">
        <f t="shared" si="302"/>
        <v>11235.809999999999</v>
      </c>
      <c r="F6501" s="22">
        <v>0.98999999999999999</v>
      </c>
      <c r="G6501" s="21">
        <f t="shared" si="303"/>
        <v>11220.98</v>
      </c>
      <c r="H6501" s="22">
        <v>0.98999999999999999</v>
      </c>
      <c r="I6501" s="23" t="str">
        <f t="shared" si="304"/>
        <v xml:space="preserve">COM VALOR</v>
      </c>
      <c r="J6501" s="19"/>
      <c r="L6501" s="21">
        <v>11235.809999999999</v>
      </c>
      <c r="M6501" s="22">
        <v>0.96999999999999997</v>
      </c>
      <c r="N6501" s="21">
        <v>11220.98</v>
      </c>
      <c r="O6501" s="22">
        <v>0.97499999999999998</v>
      </c>
    </row>
    <row r="6502" ht="25.5">
      <c r="A6502" t="s">
        <v>6599</v>
      </c>
      <c r="B6502" s="19">
        <v>103274</v>
      </c>
      <c r="C6502" s="20" t="s">
        <v>6619</v>
      </c>
      <c r="D6502" s="19" t="s">
        <v>31</v>
      </c>
      <c r="E6502" s="21">
        <f t="shared" si="302"/>
        <v>13261.65</v>
      </c>
      <c r="F6502" s="22">
        <v>0.98999999999999999</v>
      </c>
      <c r="G6502" s="21">
        <f t="shared" si="303"/>
        <v>13242.18</v>
      </c>
      <c r="H6502" s="22">
        <v>0.98999999999999999</v>
      </c>
      <c r="I6502" s="23" t="str">
        <f t="shared" si="304"/>
        <v xml:space="preserve">COM VALOR</v>
      </c>
      <c r="J6502" s="19"/>
      <c r="L6502" s="21">
        <v>13261.65</v>
      </c>
      <c r="M6502" s="22">
        <v>0.96999999999999997</v>
      </c>
      <c r="N6502" s="21">
        <v>13242.18</v>
      </c>
      <c r="O6502" s="22">
        <v>0.96999999999999997</v>
      </c>
    </row>
    <row r="6503" ht="25.5">
      <c r="A6503" t="s">
        <v>6599</v>
      </c>
      <c r="B6503" s="19">
        <v>103276</v>
      </c>
      <c r="C6503" s="20" t="s">
        <v>6620</v>
      </c>
      <c r="D6503" s="19" t="s">
        <v>31</v>
      </c>
      <c r="E6503" s="21">
        <f t="shared" si="302"/>
        <v>13843</v>
      </c>
      <c r="F6503" s="22">
        <v>0.97999999999999998</v>
      </c>
      <c r="G6503" s="21">
        <f t="shared" si="303"/>
        <v>13823.530000000001</v>
      </c>
      <c r="H6503" s="22">
        <v>0.98999999999999999</v>
      </c>
      <c r="I6503" s="23" t="str">
        <f t="shared" si="304"/>
        <v xml:space="preserve">COM VALOR</v>
      </c>
      <c r="J6503" s="19"/>
      <c r="L6503" s="21">
        <v>13843</v>
      </c>
      <c r="M6503" s="22">
        <v>0.96999999999999997</v>
      </c>
      <c r="N6503" s="21">
        <v>13823.530000000001</v>
      </c>
      <c r="O6503" s="22">
        <v>0.97999999999999998</v>
      </c>
    </row>
    <row r="6504" ht="25.5">
      <c r="A6504" t="s">
        <v>6599</v>
      </c>
      <c r="B6504" s="19">
        <v>103267</v>
      </c>
      <c r="C6504" s="20" t="s">
        <v>6621</v>
      </c>
      <c r="D6504" s="19" t="s">
        <v>31</v>
      </c>
      <c r="E6504" s="21">
        <f t="shared" si="302"/>
        <v>6020.1499999999996</v>
      </c>
      <c r="F6504" s="22">
        <v>0.97999999999999998</v>
      </c>
      <c r="G6504" s="21">
        <f t="shared" si="303"/>
        <v>6007.7600000000002</v>
      </c>
      <c r="H6504" s="22">
        <v>0.98999999999999999</v>
      </c>
      <c r="I6504" s="23" t="str">
        <f t="shared" si="304"/>
        <v xml:space="preserve">COM VALOR</v>
      </c>
      <c r="J6504" s="19"/>
      <c r="L6504" s="21">
        <v>6020.1499999999996</v>
      </c>
      <c r="M6504" s="22">
        <v>0.95999999999999996</v>
      </c>
      <c r="N6504" s="21">
        <v>6007.7600000000002</v>
      </c>
      <c r="O6504" s="22">
        <v>0.95999999999999996</v>
      </c>
    </row>
    <row r="6505" ht="25.5">
      <c r="A6505" t="s">
        <v>6599</v>
      </c>
      <c r="B6505" s="19">
        <v>103269</v>
      </c>
      <c r="C6505" s="20" t="s">
        <v>6622</v>
      </c>
      <c r="D6505" s="19" t="s">
        <v>31</v>
      </c>
      <c r="E6505" s="21">
        <f t="shared" si="302"/>
        <v>7398.2399999999998</v>
      </c>
      <c r="F6505" s="22">
        <v>0.98999999999999999</v>
      </c>
      <c r="G6505" s="21">
        <f t="shared" si="303"/>
        <v>7385.3599999999997</v>
      </c>
      <c r="H6505" s="22">
        <v>0.98999999999999999</v>
      </c>
      <c r="I6505" s="23" t="str">
        <f t="shared" si="304"/>
        <v xml:space="preserve">COM VALOR</v>
      </c>
      <c r="J6505" s="19"/>
      <c r="L6505" s="21">
        <v>7398.2399999999998</v>
      </c>
      <c r="M6505" s="22">
        <v>0.95999999999999996</v>
      </c>
      <c r="N6505" s="21">
        <v>7385.3599999999997</v>
      </c>
      <c r="O6505" s="22">
        <v>0.96999999999999997</v>
      </c>
    </row>
    <row r="6506" ht="25.5">
      <c r="A6506" t="s">
        <v>6599</v>
      </c>
      <c r="B6506" s="19">
        <v>103271</v>
      </c>
      <c r="C6506" s="20" t="s">
        <v>6623</v>
      </c>
      <c r="D6506" s="19" t="s">
        <v>31</v>
      </c>
      <c r="E6506" s="21">
        <f t="shared" si="302"/>
        <v>10878.5</v>
      </c>
      <c r="F6506" s="22">
        <v>0.98999999999999999</v>
      </c>
      <c r="G6506" s="21">
        <f t="shared" si="303"/>
        <v>10863.67</v>
      </c>
      <c r="H6506" s="22">
        <v>0.98999999999999999</v>
      </c>
      <c r="I6506" s="23" t="str">
        <f t="shared" si="304"/>
        <v xml:space="preserve">COM VALOR</v>
      </c>
      <c r="J6506" s="19"/>
      <c r="L6506" s="21">
        <v>10878.5</v>
      </c>
      <c r="M6506" s="22">
        <v>0.96999999999999997</v>
      </c>
      <c r="N6506" s="21">
        <v>10863.67</v>
      </c>
      <c r="O6506" s="22">
        <v>0.96999999999999997</v>
      </c>
    </row>
    <row r="6507" ht="25.5">
      <c r="A6507" t="s">
        <v>6599</v>
      </c>
      <c r="B6507" s="19">
        <v>103273</v>
      </c>
      <c r="C6507" s="20" t="s">
        <v>6624</v>
      </c>
      <c r="D6507" s="19" t="s">
        <v>31</v>
      </c>
      <c r="E6507" s="21">
        <f t="shared" si="302"/>
        <v>11581.15</v>
      </c>
      <c r="F6507" s="22">
        <v>0.98999999999999999</v>
      </c>
      <c r="G6507" s="21">
        <f t="shared" si="303"/>
        <v>11561.68</v>
      </c>
      <c r="H6507" s="22">
        <v>1</v>
      </c>
      <c r="I6507" s="23" t="str">
        <f t="shared" si="304"/>
        <v xml:space="preserve">COM VALOR</v>
      </c>
      <c r="J6507" s="19"/>
      <c r="L6507" s="21">
        <v>11581.15</v>
      </c>
      <c r="M6507" s="22">
        <v>0.96999999999999997</v>
      </c>
      <c r="N6507" s="21">
        <v>11561.68</v>
      </c>
      <c r="O6507" s="22">
        <v>0.96999999999999997</v>
      </c>
    </row>
    <row r="6508" ht="25.5">
      <c r="A6508" t="s">
        <v>6599</v>
      </c>
      <c r="B6508" s="19">
        <v>103275</v>
      </c>
      <c r="C6508" s="20" t="s">
        <v>6625</v>
      </c>
      <c r="D6508" s="19" t="s">
        <v>31</v>
      </c>
      <c r="E6508" s="21">
        <f t="shared" si="302"/>
        <v>13193.040000000001</v>
      </c>
      <c r="F6508" s="22">
        <v>0.98999999999999999</v>
      </c>
      <c r="G6508" s="21">
        <f t="shared" si="303"/>
        <v>13173.57</v>
      </c>
      <c r="H6508" s="22">
        <v>0.98999999999999999</v>
      </c>
      <c r="I6508" s="23" t="str">
        <f t="shared" si="304"/>
        <v xml:space="preserve">COM VALOR</v>
      </c>
      <c r="J6508" s="19"/>
      <c r="L6508" s="21">
        <v>13193.040000000001</v>
      </c>
      <c r="M6508" s="22">
        <v>0.97250000000000003</v>
      </c>
      <c r="N6508" s="21">
        <v>13173.57</v>
      </c>
      <c r="O6508" s="22">
        <v>0.96999999999999997</v>
      </c>
    </row>
    <row r="6509" ht="25.5">
      <c r="A6509" t="s">
        <v>6599</v>
      </c>
      <c r="B6509" s="19">
        <v>103248</v>
      </c>
      <c r="C6509" s="20" t="s">
        <v>6626</v>
      </c>
      <c r="D6509" s="19" t="s">
        <v>31</v>
      </c>
      <c r="E6509" s="21">
        <f t="shared" si="302"/>
        <v>2139.48</v>
      </c>
      <c r="F6509" s="22">
        <v>0.97999999999999998</v>
      </c>
      <c r="G6509" s="21">
        <f t="shared" si="303"/>
        <v>2132.1900000000001</v>
      </c>
      <c r="H6509" s="22">
        <v>0.98999999999999999</v>
      </c>
      <c r="I6509" s="23" t="str">
        <f t="shared" si="304"/>
        <v xml:space="preserve">COM VALOR</v>
      </c>
      <c r="J6509" s="19"/>
      <c r="L6509" s="21">
        <v>2139.48</v>
      </c>
      <c r="M6509" s="22">
        <v>0.93000000000000005</v>
      </c>
      <c r="N6509" s="21">
        <v>2132.1900000000001</v>
      </c>
      <c r="O6509" s="22">
        <v>0.93000000000000005</v>
      </c>
    </row>
    <row r="6510" ht="25.5">
      <c r="A6510" t="s">
        <v>6599</v>
      </c>
      <c r="B6510" s="19">
        <v>103249</v>
      </c>
      <c r="C6510" s="20" t="s">
        <v>6627</v>
      </c>
      <c r="D6510" s="19" t="s">
        <v>31</v>
      </c>
      <c r="E6510" s="21">
        <f t="shared" si="302"/>
        <v>2298.5300000000002</v>
      </c>
      <c r="F6510" s="22">
        <v>0.97999999999999998</v>
      </c>
      <c r="G6510" s="21">
        <f t="shared" si="303"/>
        <v>2291.2399999999998</v>
      </c>
      <c r="H6510" s="22">
        <v>0.97999999999999998</v>
      </c>
      <c r="I6510" s="23" t="str">
        <f t="shared" si="304"/>
        <v xml:space="preserve">COM VALOR</v>
      </c>
      <c r="J6510" s="19"/>
      <c r="L6510" s="21">
        <v>2298.5300000000002</v>
      </c>
      <c r="M6510" s="22">
        <v>0.93000000000000005</v>
      </c>
      <c r="N6510" s="21">
        <v>2291.2399999999998</v>
      </c>
      <c r="O6510" s="22">
        <v>0.93999999999999995</v>
      </c>
    </row>
    <row r="6511" ht="25.5">
      <c r="A6511" t="s">
        <v>6599</v>
      </c>
      <c r="B6511" s="19">
        <v>103251</v>
      </c>
      <c r="C6511" s="20" t="s">
        <v>6628</v>
      </c>
      <c r="D6511" s="19" t="s">
        <v>31</v>
      </c>
      <c r="E6511" s="21">
        <f t="shared" si="302"/>
        <v>3003.8200000000002</v>
      </c>
      <c r="F6511" s="22">
        <v>0.97999999999999998</v>
      </c>
      <c r="G6511" s="21">
        <f t="shared" si="303"/>
        <v>2995.9400000000001</v>
      </c>
      <c r="H6511" s="22">
        <v>0.97999999999999998</v>
      </c>
      <c r="I6511" s="23" t="str">
        <f t="shared" si="304"/>
        <v xml:space="preserve">COM VALOR</v>
      </c>
      <c r="J6511" s="19"/>
      <c r="L6511" s="21">
        <v>3003.8200000000002</v>
      </c>
      <c r="M6511" s="22">
        <v>0.94999999999999996</v>
      </c>
      <c r="N6511" s="21">
        <v>2995.9400000000001</v>
      </c>
      <c r="O6511" s="22">
        <v>0.94999999999999996</v>
      </c>
    </row>
    <row r="6512" ht="25.5">
      <c r="A6512" t="s">
        <v>6599</v>
      </c>
      <c r="B6512" s="19">
        <v>103252</v>
      </c>
      <c r="C6512" s="20" t="s">
        <v>6629</v>
      </c>
      <c r="D6512" s="19" t="s">
        <v>31</v>
      </c>
      <c r="E6512" s="21">
        <f t="shared" si="302"/>
        <v>3326.1999999999998</v>
      </c>
      <c r="F6512" s="22">
        <v>0.98999999999999999</v>
      </c>
      <c r="G6512" s="21">
        <f t="shared" si="303"/>
        <v>3318.3200000000002</v>
      </c>
      <c r="H6512" s="22">
        <v>0.98999999999999999</v>
      </c>
      <c r="I6512" s="23" t="str">
        <f t="shared" si="304"/>
        <v xml:space="preserve">COM VALOR</v>
      </c>
      <c r="J6512" s="19"/>
      <c r="L6512" s="21">
        <v>3326.1999999999998</v>
      </c>
      <c r="M6512" s="22">
        <v>0.94999999999999996</v>
      </c>
      <c r="N6512" s="21">
        <v>3318.3200000000002</v>
      </c>
      <c r="O6512" s="22">
        <v>0.94999999999999996</v>
      </c>
    </row>
    <row r="6513" ht="25.5">
      <c r="A6513" t="s">
        <v>6599</v>
      </c>
      <c r="B6513" s="19">
        <v>103254</v>
      </c>
      <c r="C6513" s="20" t="s">
        <v>6630</v>
      </c>
      <c r="D6513" s="19" t="s">
        <v>31</v>
      </c>
      <c r="E6513" s="21">
        <f t="shared" si="302"/>
        <v>3877.52</v>
      </c>
      <c r="F6513" s="22">
        <v>0.98999999999999999</v>
      </c>
      <c r="G6513" s="21">
        <f t="shared" si="303"/>
        <v>3869.3000000000002</v>
      </c>
      <c r="H6513" s="22">
        <v>0.98999999999999999</v>
      </c>
      <c r="I6513" s="23" t="str">
        <f t="shared" si="304"/>
        <v xml:space="preserve">COM VALOR</v>
      </c>
      <c r="J6513" s="19"/>
      <c r="L6513" s="21">
        <v>3877.52</v>
      </c>
      <c r="M6513" s="22">
        <v>0.95999999999999996</v>
      </c>
      <c r="N6513" s="21">
        <v>3869.3000000000002</v>
      </c>
      <c r="O6513" s="22">
        <v>0.95999999999999996</v>
      </c>
    </row>
    <row r="6514" ht="25.5">
      <c r="A6514" t="s">
        <v>6599</v>
      </c>
      <c r="B6514" s="19">
        <v>103255</v>
      </c>
      <c r="C6514" s="20" t="s">
        <v>6631</v>
      </c>
      <c r="D6514" s="19" t="s">
        <v>31</v>
      </c>
      <c r="E6514" s="21">
        <f t="shared" si="302"/>
        <v>4338.6499999999996</v>
      </c>
      <c r="F6514" s="22">
        <v>0.98999999999999999</v>
      </c>
      <c r="G6514" s="21">
        <f t="shared" si="303"/>
        <v>4330.4300000000003</v>
      </c>
      <c r="H6514" s="22">
        <v>0.98999999999999999</v>
      </c>
      <c r="I6514" s="23" t="str">
        <f t="shared" si="304"/>
        <v xml:space="preserve">COM VALOR</v>
      </c>
      <c r="J6514" s="19"/>
      <c r="L6514" s="21">
        <v>4338.6499999999996</v>
      </c>
      <c r="M6514" s="22">
        <v>0.95999999999999996</v>
      </c>
      <c r="N6514" s="21">
        <v>4330.4300000000003</v>
      </c>
      <c r="O6514" s="22">
        <v>0.95999999999999996</v>
      </c>
    </row>
    <row r="6515" ht="25.5">
      <c r="A6515" t="s">
        <v>6599</v>
      </c>
      <c r="B6515" s="19">
        <v>103245</v>
      </c>
      <c r="C6515" s="20" t="s">
        <v>6632</v>
      </c>
      <c r="D6515" s="19" t="s">
        <v>31</v>
      </c>
      <c r="E6515" s="21">
        <f t="shared" si="302"/>
        <v>1860.6099999999999</v>
      </c>
      <c r="F6515" s="22">
        <v>0.97999999999999998</v>
      </c>
      <c r="G6515" s="21">
        <f t="shared" si="303"/>
        <v>1853.3199999999999</v>
      </c>
      <c r="H6515" s="22">
        <v>0.97999999999999998</v>
      </c>
      <c r="I6515" s="23" t="str">
        <f t="shared" si="304"/>
        <v xml:space="preserve">COM VALOR</v>
      </c>
      <c r="J6515" s="19"/>
      <c r="L6515" s="21">
        <v>1860.6099999999999</v>
      </c>
      <c r="M6515" s="22">
        <v>0.92000000000000004</v>
      </c>
      <c r="N6515" s="21">
        <v>1853.3199999999999</v>
      </c>
      <c r="O6515" s="22">
        <v>0.92000000000000004</v>
      </c>
    </row>
    <row r="6516" ht="25.5">
      <c r="A6516" t="s">
        <v>6599</v>
      </c>
      <c r="B6516" s="19">
        <v>103246</v>
      </c>
      <c r="C6516" s="20" t="s">
        <v>6633</v>
      </c>
      <c r="D6516" s="19" t="s">
        <v>31</v>
      </c>
      <c r="E6516" s="21">
        <f t="shared" si="302"/>
        <v>2029.1400000000001</v>
      </c>
      <c r="F6516" s="22">
        <v>0.96999999999999997</v>
      </c>
      <c r="G6516" s="21">
        <f t="shared" si="303"/>
        <v>2021.8499999999999</v>
      </c>
      <c r="H6516" s="22">
        <v>0.96999999999999997</v>
      </c>
      <c r="I6516" s="23" t="str">
        <f t="shared" si="304"/>
        <v xml:space="preserve">COM VALOR</v>
      </c>
      <c r="J6516" s="19"/>
      <c r="L6516" s="21">
        <v>2029.1400000000001</v>
      </c>
      <c r="M6516" s="22">
        <v>0.92000000000000004</v>
      </c>
      <c r="N6516" s="21">
        <v>2021.8499999999999</v>
      </c>
      <c r="O6516" s="22">
        <v>0.93000000000000005</v>
      </c>
    </row>
    <row r="6517" ht="25.5">
      <c r="A6517" t="s">
        <v>6599</v>
      </c>
      <c r="B6517" s="19">
        <v>103257</v>
      </c>
      <c r="C6517" s="20" t="s">
        <v>6634</v>
      </c>
      <c r="D6517" s="19" t="s">
        <v>31</v>
      </c>
      <c r="E6517" s="21">
        <f t="shared" si="302"/>
        <v>5504.3599999999997</v>
      </c>
      <c r="F6517" s="22">
        <v>0.97999999999999998</v>
      </c>
      <c r="G6517" s="21">
        <f t="shared" si="303"/>
        <v>5492.29</v>
      </c>
      <c r="H6517" s="22">
        <v>0.97999999999999998</v>
      </c>
      <c r="I6517" s="23" t="str">
        <f t="shared" si="304"/>
        <v xml:space="preserve">COM VALOR</v>
      </c>
      <c r="J6517" s="19"/>
      <c r="L6517" s="21">
        <v>5504.3599999999997</v>
      </c>
      <c r="M6517" s="22">
        <v>0.95999999999999996</v>
      </c>
      <c r="N6517" s="21">
        <v>5492.29</v>
      </c>
      <c r="O6517" s="22">
        <v>0.95999999999999996</v>
      </c>
    </row>
    <row r="6518" ht="25.5">
      <c r="A6518" t="s">
        <v>6599</v>
      </c>
      <c r="B6518" s="19">
        <v>103259</v>
      </c>
      <c r="C6518" s="20" t="s">
        <v>6635</v>
      </c>
      <c r="D6518" s="19" t="s">
        <v>31</v>
      </c>
      <c r="E6518" s="21">
        <f t="shared" si="302"/>
        <v>5804.4799999999996</v>
      </c>
      <c r="F6518" s="22">
        <v>0.97999999999999998</v>
      </c>
      <c r="G6518" s="21">
        <f t="shared" si="303"/>
        <v>5792.0799999999999</v>
      </c>
      <c r="H6518" s="22">
        <v>0.98999999999999999</v>
      </c>
      <c r="I6518" s="23" t="str">
        <f t="shared" si="304"/>
        <v xml:space="preserve">COM VALOR</v>
      </c>
      <c r="J6518" s="19"/>
      <c r="L6518" s="21">
        <v>5804.4799999999996</v>
      </c>
      <c r="M6518" s="22">
        <v>0.95999999999999996</v>
      </c>
      <c r="N6518" s="21">
        <v>5792.0799999999999</v>
      </c>
      <c r="O6518" s="22">
        <v>0.95999999999999996</v>
      </c>
    </row>
    <row r="6519" ht="25.5">
      <c r="A6519" t="s">
        <v>6599</v>
      </c>
      <c r="B6519" s="19">
        <v>103262</v>
      </c>
      <c r="C6519" s="20" t="s">
        <v>6636</v>
      </c>
      <c r="D6519" s="19" t="s">
        <v>31</v>
      </c>
      <c r="E6519" s="21">
        <f t="shared" si="302"/>
        <v>7624.9499999999998</v>
      </c>
      <c r="F6519" s="22">
        <v>0.46000000000000002</v>
      </c>
      <c r="G6519" s="21">
        <f t="shared" si="303"/>
        <v>7611.3299999999999</v>
      </c>
      <c r="H6519" s="22">
        <v>0.46999999999999997</v>
      </c>
      <c r="I6519" s="23" t="str">
        <f t="shared" si="304"/>
        <v xml:space="preserve">COM VALOR</v>
      </c>
      <c r="J6519" s="19"/>
      <c r="L6519" s="21">
        <v>7624.9499999999998</v>
      </c>
      <c r="M6519" s="22">
        <v>0.95999999999999996</v>
      </c>
      <c r="N6519" s="21">
        <v>7611.3299999999999</v>
      </c>
      <c r="O6519" s="22">
        <v>0.96999999999999997</v>
      </c>
    </row>
    <row r="6520" ht="25.5">
      <c r="A6520" t="s">
        <v>6599</v>
      </c>
      <c r="B6520" s="19">
        <v>103264</v>
      </c>
      <c r="C6520" s="20" t="s">
        <v>6637</v>
      </c>
      <c r="D6520" s="19" t="s">
        <v>31</v>
      </c>
      <c r="E6520" s="21">
        <f t="shared" si="302"/>
        <v>9484.1499999999996</v>
      </c>
      <c r="F6520" s="22">
        <v>0.34000000000000002</v>
      </c>
      <c r="G6520" s="21">
        <f t="shared" si="303"/>
        <v>9466.0400000000009</v>
      </c>
      <c r="H6520" s="22">
        <v>0.35999999999999999</v>
      </c>
      <c r="I6520" s="23" t="str">
        <f t="shared" si="304"/>
        <v xml:space="preserve">COM VALOR</v>
      </c>
      <c r="J6520" s="19"/>
      <c r="L6520" s="21">
        <v>9484.1499999999996</v>
      </c>
      <c r="M6520" s="22">
        <v>0.95999999999999996</v>
      </c>
      <c r="N6520" s="21">
        <v>9466.0400000000009</v>
      </c>
      <c r="O6520" s="22">
        <v>0.96999999999999997</v>
      </c>
    </row>
    <row r="6521" ht="25.5">
      <c r="A6521" t="s">
        <v>6599</v>
      </c>
      <c r="B6521" s="19">
        <v>103266</v>
      </c>
      <c r="C6521" s="20" t="s">
        <v>6638</v>
      </c>
      <c r="D6521" s="19" t="s">
        <v>31</v>
      </c>
      <c r="E6521" s="21">
        <f t="shared" si="302"/>
        <v>10588.370000000001</v>
      </c>
      <c r="F6521" s="22">
        <v>0.34000000000000002</v>
      </c>
      <c r="G6521" s="21">
        <f t="shared" si="303"/>
        <v>10570.26</v>
      </c>
      <c r="H6521" s="22">
        <v>0.35999999999999999</v>
      </c>
      <c r="I6521" s="23" t="str">
        <f t="shared" si="304"/>
        <v xml:space="preserve">COM VALOR</v>
      </c>
      <c r="J6521" s="19"/>
      <c r="L6521" s="21">
        <v>10588.370000000001</v>
      </c>
      <c r="M6521" s="22">
        <v>0.96999999999999997</v>
      </c>
      <c r="N6521" s="21">
        <v>10570.26</v>
      </c>
      <c r="O6521" s="22">
        <v>0.96999999999999997</v>
      </c>
    </row>
    <row r="6522" ht="25.5">
      <c r="A6522" t="s">
        <v>6599</v>
      </c>
      <c r="B6522" s="19">
        <v>103277</v>
      </c>
      <c r="C6522" s="20" t="s">
        <v>6639</v>
      </c>
      <c r="D6522" s="19" t="s">
        <v>31</v>
      </c>
      <c r="E6522" s="21">
        <f t="shared" si="302"/>
        <v>25554.119999999999</v>
      </c>
      <c r="F6522" s="22">
        <v>0.34999999999999998</v>
      </c>
      <c r="G6522" s="21">
        <f t="shared" si="303"/>
        <v>25529.73</v>
      </c>
      <c r="H6522" s="22">
        <v>0.37</v>
      </c>
      <c r="I6522" s="23" t="str">
        <f t="shared" si="304"/>
        <v xml:space="preserve">COM VALOR</v>
      </c>
      <c r="J6522" s="19"/>
      <c r="L6522" s="21">
        <v>25554.119999999999</v>
      </c>
      <c r="M6522" s="22">
        <v>0.97999999999999998</v>
      </c>
      <c r="N6522" s="21">
        <v>25529.73</v>
      </c>
      <c r="O6522" s="22">
        <v>0.97999999999999998</v>
      </c>
    </row>
    <row r="6523" ht="25.5">
      <c r="A6523" t="s">
        <v>6599</v>
      </c>
      <c r="B6523" s="19">
        <v>103278</v>
      </c>
      <c r="C6523" s="20" t="s">
        <v>6640</v>
      </c>
      <c r="D6523" s="19" t="s">
        <v>31</v>
      </c>
      <c r="E6523" s="21">
        <f t="shared" si="302"/>
        <v>32695.310000000001</v>
      </c>
      <c r="F6523" s="22">
        <v>0.45000000000000001</v>
      </c>
      <c r="G6523" s="21">
        <f t="shared" si="303"/>
        <v>32670.279999999999</v>
      </c>
      <c r="H6523" s="22">
        <v>0.46999999999999997</v>
      </c>
      <c r="I6523" s="23" t="str">
        <f t="shared" si="304"/>
        <v xml:space="preserve">COM VALOR</v>
      </c>
      <c r="J6523" s="19"/>
      <c r="L6523" s="21">
        <v>32695.310000000001</v>
      </c>
      <c r="M6523" s="22">
        <v>0.98999999999999999</v>
      </c>
      <c r="N6523" s="21">
        <v>32670.279999999999</v>
      </c>
      <c r="O6523" s="22">
        <v>0.98999999999999999</v>
      </c>
    </row>
    <row r="6524" ht="25.5">
      <c r="A6524" t="s">
        <v>6599</v>
      </c>
      <c r="B6524" s="19">
        <v>103285</v>
      </c>
      <c r="C6524" s="20" t="s">
        <v>6641</v>
      </c>
      <c r="D6524" s="19" t="s">
        <v>31</v>
      </c>
      <c r="E6524" s="21" t="str">
        <f t="shared" si="302"/>
        <v>VERIFICAR</v>
      </c>
      <c r="F6524" s="22">
        <v>0.71999999999999997</v>
      </c>
      <c r="G6524" s="21" t="str">
        <f t="shared" si="303"/>
        <v>VERIFICAR</v>
      </c>
      <c r="H6524" s="22">
        <v>0.73999999999999999</v>
      </c>
      <c r="I6524" s="23" t="str">
        <f t="shared" si="304"/>
        <v xml:space="preserve">COM VALOR</v>
      </c>
      <c r="J6524" s="19"/>
      <c r="L6524" s="21">
        <v>0</v>
      </c>
      <c r="M6524" s="22"/>
      <c r="N6524" s="21">
        <v>0</v>
      </c>
      <c r="O6524" s="22"/>
    </row>
    <row r="6525" ht="25.5">
      <c r="A6525" t="s">
        <v>6599</v>
      </c>
      <c r="B6525" s="19">
        <v>103286</v>
      </c>
      <c r="C6525" s="20" t="s">
        <v>6642</v>
      </c>
      <c r="D6525" s="19" t="s">
        <v>31</v>
      </c>
      <c r="E6525" s="21" t="str">
        <f t="shared" si="302"/>
        <v>VERIFICAR</v>
      </c>
      <c r="F6525" s="22">
        <v>0.57999999999999996</v>
      </c>
      <c r="G6525" s="21" t="str">
        <f t="shared" si="303"/>
        <v>VERIFICAR</v>
      </c>
      <c r="H6525" s="22">
        <v>0.59999999999999998</v>
      </c>
      <c r="I6525" s="23" t="str">
        <f t="shared" si="304"/>
        <v xml:space="preserve">COM VALOR</v>
      </c>
      <c r="J6525" s="19"/>
      <c r="L6525" s="21">
        <v>0</v>
      </c>
      <c r="M6525" s="22"/>
      <c r="N6525" s="21">
        <v>0</v>
      </c>
      <c r="O6525" s="22"/>
    </row>
    <row r="6526" ht="25.5">
      <c r="A6526" t="s">
        <v>6599</v>
      </c>
      <c r="B6526" s="19">
        <v>103287</v>
      </c>
      <c r="C6526" s="20" t="s">
        <v>6643</v>
      </c>
      <c r="D6526" s="19" t="s">
        <v>31</v>
      </c>
      <c r="E6526" s="21" t="str">
        <f t="shared" si="302"/>
        <v>VERIFICAR</v>
      </c>
      <c r="F6526" s="22">
        <v>0.45000000000000001</v>
      </c>
      <c r="G6526" s="21" t="str">
        <f t="shared" si="303"/>
        <v>VERIFICAR</v>
      </c>
      <c r="H6526" s="22">
        <v>0.46999999999999997</v>
      </c>
      <c r="I6526" s="23" t="str">
        <f t="shared" si="304"/>
        <v xml:space="preserve">COM VALOR</v>
      </c>
      <c r="J6526" s="19"/>
      <c r="L6526" s="21">
        <v>0</v>
      </c>
      <c r="M6526" s="22"/>
      <c r="N6526" s="21">
        <v>0</v>
      </c>
      <c r="O6526" s="22"/>
    </row>
    <row r="6527" ht="25.5">
      <c r="A6527" t="s">
        <v>6599</v>
      </c>
      <c r="B6527" s="19">
        <v>103288</v>
      </c>
      <c r="C6527" s="20" t="s">
        <v>6644</v>
      </c>
      <c r="D6527" s="19" t="s">
        <v>31</v>
      </c>
      <c r="E6527" s="21">
        <f t="shared" si="302"/>
        <v>15.300000000000001</v>
      </c>
      <c r="F6527" s="22">
        <v>0.35999999999999999</v>
      </c>
      <c r="G6527" s="21">
        <f t="shared" si="303"/>
        <v>14.52</v>
      </c>
      <c r="H6527" s="22">
        <v>0.38</v>
      </c>
      <c r="I6527" s="23" t="str">
        <f t="shared" si="304"/>
        <v xml:space="preserve">COM VALOR</v>
      </c>
      <c r="J6527" s="19"/>
      <c r="L6527" s="21">
        <v>15.300000000000001</v>
      </c>
      <c r="M6527" s="22">
        <v>0</v>
      </c>
      <c r="N6527" s="21">
        <v>14.52</v>
      </c>
      <c r="O6527" s="22">
        <v>0</v>
      </c>
    </row>
    <row r="6528" ht="38.25">
      <c r="A6528" t="s">
        <v>6599</v>
      </c>
      <c r="B6528" s="19">
        <v>103291</v>
      </c>
      <c r="C6528" s="20" t="s">
        <v>6645</v>
      </c>
      <c r="D6528" s="19" t="s">
        <v>38</v>
      </c>
      <c r="E6528" s="21">
        <f t="shared" si="302"/>
        <v>62.719999999999999</v>
      </c>
      <c r="F6528" s="22">
        <v>0.42999999999999999</v>
      </c>
      <c r="G6528" s="21">
        <f t="shared" si="303"/>
        <v>62.420000000000002</v>
      </c>
      <c r="H6528" s="22">
        <v>0.45000000000000001</v>
      </c>
      <c r="I6528" s="23" t="str">
        <f t="shared" si="304"/>
        <v xml:space="preserve">COM VALOR</v>
      </c>
      <c r="J6528" s="19"/>
      <c r="L6528" s="21">
        <v>62.719999999999999</v>
      </c>
      <c r="M6528" s="22">
        <v>0.87</v>
      </c>
      <c r="N6528" s="21">
        <v>62.420000000000002</v>
      </c>
      <c r="O6528" s="22">
        <v>0.87</v>
      </c>
    </row>
    <row r="6529" ht="38.25">
      <c r="A6529" t="s">
        <v>6599</v>
      </c>
      <c r="B6529" s="19">
        <v>103289</v>
      </c>
      <c r="C6529" s="20" t="s">
        <v>6646</v>
      </c>
      <c r="D6529" s="19" t="s">
        <v>38</v>
      </c>
      <c r="E6529" s="21">
        <f t="shared" si="302"/>
        <v>32.159999999999997</v>
      </c>
      <c r="F6529" s="22">
        <v>0.5</v>
      </c>
      <c r="G6529" s="21">
        <f t="shared" si="303"/>
        <v>31.93</v>
      </c>
      <c r="H6529" s="22">
        <v>0.52000000000000002</v>
      </c>
      <c r="I6529" s="23" t="str">
        <f t="shared" si="304"/>
        <v xml:space="preserve">COM VALOR</v>
      </c>
      <c r="J6529" s="19"/>
      <c r="L6529" s="21">
        <v>32.159999999999997</v>
      </c>
      <c r="M6529" s="22">
        <v>0.77000000000000002</v>
      </c>
      <c r="N6529" s="21">
        <v>31.93</v>
      </c>
      <c r="O6529" s="22">
        <v>0.78000000000000003</v>
      </c>
    </row>
    <row r="6530" ht="38.25">
      <c r="A6530" t="s">
        <v>6599</v>
      </c>
      <c r="B6530" s="19">
        <v>103290</v>
      </c>
      <c r="C6530" s="20" t="s">
        <v>6647</v>
      </c>
      <c r="D6530" s="19" t="s">
        <v>38</v>
      </c>
      <c r="E6530" s="21">
        <f t="shared" si="302"/>
        <v>49.700000000000003</v>
      </c>
      <c r="F6530" s="22">
        <v>0.79000000000000004</v>
      </c>
      <c r="G6530" s="21">
        <f t="shared" si="303"/>
        <v>49.439999999999998</v>
      </c>
      <c r="H6530" s="22">
        <v>0.80000000000000004</v>
      </c>
      <c r="I6530" s="23" t="str">
        <f t="shared" si="304"/>
        <v xml:space="preserve">COM VALOR</v>
      </c>
      <c r="J6530" s="19"/>
      <c r="L6530" s="21">
        <v>49.700000000000003</v>
      </c>
      <c r="M6530" s="22">
        <v>0.83999999999999997</v>
      </c>
      <c r="N6530" s="21">
        <v>49.439999999999998</v>
      </c>
      <c r="O6530" s="22">
        <v>0.84750000000000003</v>
      </c>
    </row>
    <row r="6531" ht="38.25">
      <c r="A6531" t="s">
        <v>6599</v>
      </c>
      <c r="B6531" s="19">
        <v>103292</v>
      </c>
      <c r="C6531" s="20" t="s">
        <v>6648</v>
      </c>
      <c r="D6531" s="19" t="s">
        <v>38</v>
      </c>
      <c r="E6531" s="21">
        <f t="shared" si="302"/>
        <v>75.989999999999995</v>
      </c>
      <c r="F6531" s="22">
        <v>0.68999999999999995</v>
      </c>
      <c r="G6531" s="21">
        <f t="shared" si="303"/>
        <v>75.670000000000002</v>
      </c>
      <c r="H6531" s="22">
        <v>0.70999999999999996</v>
      </c>
      <c r="I6531" s="23" t="str">
        <f t="shared" si="304"/>
        <v xml:space="preserve">COM VALOR</v>
      </c>
      <c r="J6531" s="19"/>
      <c r="L6531" s="21">
        <v>75.989999999999995</v>
      </c>
      <c r="M6531" s="22">
        <v>0.88</v>
      </c>
      <c r="N6531" s="21">
        <v>75.670000000000002</v>
      </c>
      <c r="O6531" s="22">
        <v>0.89000000000000001</v>
      </c>
    </row>
    <row r="6532" ht="38.25">
      <c r="A6532" t="s">
        <v>6649</v>
      </c>
      <c r="B6532" s="19">
        <v>106044</v>
      </c>
      <c r="C6532" s="20" t="s">
        <v>6650</v>
      </c>
      <c r="D6532" s="19" t="s">
        <v>31</v>
      </c>
      <c r="E6532" s="21">
        <f t="shared" si="302"/>
        <v>59.950000000000003</v>
      </c>
      <c r="F6532" s="22">
        <v>0.56999999999999995</v>
      </c>
      <c r="G6532" s="21">
        <f t="shared" si="303"/>
        <v>57.799999999999997</v>
      </c>
      <c r="H6532" s="22">
        <v>0.58999999999999997</v>
      </c>
      <c r="I6532" s="23" t="str">
        <f t="shared" si="304"/>
        <v xml:space="preserve">COM VALOR</v>
      </c>
      <c r="J6532" s="19"/>
      <c r="L6532" s="21">
        <v>59.950000000000003</v>
      </c>
      <c r="M6532" s="22">
        <v>0.35999999999999999</v>
      </c>
      <c r="N6532" s="21">
        <v>57.799999999999997</v>
      </c>
      <c r="O6532" s="22">
        <v>0.37</v>
      </c>
    </row>
    <row r="6533" ht="38.25">
      <c r="A6533" t="s">
        <v>6649</v>
      </c>
      <c r="B6533" s="19">
        <v>106045</v>
      </c>
      <c r="C6533" s="20" t="s">
        <v>6651</v>
      </c>
      <c r="D6533" s="19" t="s">
        <v>31</v>
      </c>
      <c r="E6533" s="21">
        <f t="shared" si="302"/>
        <v>135.5</v>
      </c>
      <c r="F6533" s="22">
        <v>0.42999999999999999</v>
      </c>
      <c r="G6533" s="21">
        <f t="shared" si="303"/>
        <v>132.80000000000001</v>
      </c>
      <c r="H6533" s="22">
        <v>0.45000000000000001</v>
      </c>
      <c r="I6533" s="23" t="str">
        <f t="shared" si="304"/>
        <v xml:space="preserve">COM VALOR</v>
      </c>
      <c r="J6533" s="19"/>
      <c r="L6533" s="21">
        <v>135.5</v>
      </c>
      <c r="M6533" s="22">
        <v>0.64500000000000002</v>
      </c>
      <c r="N6533" s="21">
        <v>132.80000000000001</v>
      </c>
      <c r="O6533" s="22">
        <v>0.66000000000000003</v>
      </c>
    </row>
    <row r="6534" ht="38.25">
      <c r="A6534" t="s">
        <v>6649</v>
      </c>
      <c r="B6534" s="19">
        <v>106042</v>
      </c>
      <c r="C6534" s="20" t="s">
        <v>6652</v>
      </c>
      <c r="D6534" s="19" t="s">
        <v>31</v>
      </c>
      <c r="E6534" s="21">
        <f t="shared" si="302"/>
        <v>61.840000000000003</v>
      </c>
      <c r="F6534" s="22">
        <v>0.54000000000000004</v>
      </c>
      <c r="G6534" s="21">
        <f t="shared" si="303"/>
        <v>59.689999999999998</v>
      </c>
      <c r="H6534" s="22">
        <v>0.56000000000000005</v>
      </c>
      <c r="I6534" s="23" t="str">
        <f t="shared" si="304"/>
        <v xml:space="preserve">COM VALOR</v>
      </c>
      <c r="J6534" s="19"/>
      <c r="L6534" s="21">
        <v>61.840000000000003</v>
      </c>
      <c r="M6534" s="22">
        <v>0.38</v>
      </c>
      <c r="N6534" s="21">
        <v>59.689999999999998</v>
      </c>
      <c r="O6534" s="22">
        <v>0.39000000000000001</v>
      </c>
    </row>
    <row r="6535" ht="38.25">
      <c r="A6535" t="s">
        <v>6649</v>
      </c>
      <c r="B6535" s="19">
        <v>106043</v>
      </c>
      <c r="C6535" s="20" t="s">
        <v>6653</v>
      </c>
      <c r="D6535" s="19" t="s">
        <v>31</v>
      </c>
      <c r="E6535" s="21">
        <f t="shared" si="302"/>
        <v>118.09</v>
      </c>
      <c r="F6535" s="22">
        <v>0.58999999999999997</v>
      </c>
      <c r="G6535" s="21">
        <f t="shared" si="303"/>
        <v>115.39</v>
      </c>
      <c r="H6535" s="22">
        <v>0.60999999999999999</v>
      </c>
      <c r="I6535" s="23" t="str">
        <f t="shared" si="304"/>
        <v xml:space="preserve">COM VALOR</v>
      </c>
      <c r="J6535" s="19"/>
      <c r="L6535" s="21">
        <v>118.09</v>
      </c>
      <c r="M6535" s="22">
        <v>0.58999999999999997</v>
      </c>
      <c r="N6535" s="21">
        <v>115.39</v>
      </c>
      <c r="O6535" s="22">
        <v>0.60999999999999999</v>
      </c>
    </row>
    <row r="6536" ht="38.25">
      <c r="A6536" t="s">
        <v>6649</v>
      </c>
      <c r="B6536" s="19">
        <v>106046</v>
      </c>
      <c r="C6536" s="20" t="s">
        <v>6654</v>
      </c>
      <c r="D6536" s="19" t="s">
        <v>31</v>
      </c>
      <c r="E6536" s="21">
        <f t="shared" si="302"/>
        <v>39.649999999999999</v>
      </c>
      <c r="F6536" s="22">
        <v>0.85999999999999999</v>
      </c>
      <c r="G6536" s="21">
        <f t="shared" si="303"/>
        <v>38.210000000000001</v>
      </c>
      <c r="H6536" s="22">
        <v>0.87</v>
      </c>
      <c r="I6536" s="23" t="str">
        <f t="shared" si="304"/>
        <v xml:space="preserve">COM VALOR</v>
      </c>
      <c r="J6536" s="19"/>
      <c r="L6536" s="21">
        <v>39.649999999999999</v>
      </c>
      <c r="M6536" s="22">
        <v>0.34999999999999998</v>
      </c>
      <c r="N6536" s="21">
        <v>38.210000000000001</v>
      </c>
      <c r="O6536" s="22">
        <v>0.35999999999999999</v>
      </c>
    </row>
    <row r="6537" ht="38.25">
      <c r="A6537" t="s">
        <v>6649</v>
      </c>
      <c r="B6537" s="19">
        <v>106047</v>
      </c>
      <c r="C6537" s="20" t="s">
        <v>6655</v>
      </c>
      <c r="D6537" s="19" t="s">
        <v>31</v>
      </c>
      <c r="E6537" s="21">
        <f t="shared" si="302"/>
        <v>70.950000000000003</v>
      </c>
      <c r="F6537" s="22">
        <v>0.87</v>
      </c>
      <c r="G6537" s="21">
        <f t="shared" si="303"/>
        <v>69.150000000000006</v>
      </c>
      <c r="H6537" s="22">
        <v>0.88</v>
      </c>
      <c r="I6537" s="23" t="str">
        <f t="shared" si="304"/>
        <v xml:space="preserve">COM VALOR</v>
      </c>
      <c r="J6537" s="19"/>
      <c r="L6537" s="21">
        <v>70.950000000000003</v>
      </c>
      <c r="M6537" s="22">
        <v>0.55000000000000004</v>
      </c>
      <c r="N6537" s="21">
        <v>69.150000000000006</v>
      </c>
      <c r="O6537" s="22">
        <v>0.56000000000000005</v>
      </c>
    </row>
    <row r="6538" ht="38.25">
      <c r="A6538" t="s">
        <v>6649</v>
      </c>
      <c r="B6538" s="19">
        <v>106038</v>
      </c>
      <c r="C6538" s="20" t="s">
        <v>6656</v>
      </c>
      <c r="D6538" s="19" t="s">
        <v>31</v>
      </c>
      <c r="E6538" s="21">
        <f t="shared" si="302"/>
        <v>54.460000000000001</v>
      </c>
      <c r="F6538" s="22">
        <v>0.89000000000000001</v>
      </c>
      <c r="G6538" s="21">
        <f t="shared" si="303"/>
        <v>51.590000000000003</v>
      </c>
      <c r="H6538" s="22">
        <v>0.90000000000000002</v>
      </c>
      <c r="I6538" s="23" t="str">
        <f t="shared" si="304"/>
        <v xml:space="preserve">COM VALOR</v>
      </c>
      <c r="J6538" s="19"/>
      <c r="L6538" s="21">
        <v>54.460000000000001</v>
      </c>
      <c r="M6538" s="22">
        <v>5.9999999999999998e-002</v>
      </c>
      <c r="N6538" s="21">
        <v>51.590000000000003</v>
      </c>
      <c r="O6538" s="22">
        <v>5.9999999999999998e-002</v>
      </c>
    </row>
    <row r="6539" ht="38.25">
      <c r="A6539" t="s">
        <v>6649</v>
      </c>
      <c r="B6539" s="19">
        <v>106039</v>
      </c>
      <c r="C6539" s="20" t="s">
        <v>6657</v>
      </c>
      <c r="D6539" s="19" t="s">
        <v>31</v>
      </c>
      <c r="E6539" s="21">
        <f t="shared" ref="E6539:E6602" si="305">IF(L6539=0,"VERIFICAR",L6539)</f>
        <v>72.569999999999993</v>
      </c>
      <c r="F6539" s="22">
        <v>0.94999999999999996</v>
      </c>
      <c r="G6539" s="21">
        <f t="shared" ref="G6539:G6602" si="306">IF(N6539=0,"VERIFICAR",N6539)</f>
        <v>68.989999999999995</v>
      </c>
      <c r="H6539" s="22">
        <v>0.95999999999999996</v>
      </c>
      <c r="I6539" s="23" t="str">
        <f t="shared" ref="I6539:I6602" si="307">IF(OR(E6539=0,G6539=0),"SEM VALOR","COM VALOR")</f>
        <v xml:space="preserve">COM VALOR</v>
      </c>
      <c r="J6539" s="19"/>
      <c r="L6539" s="21">
        <v>72.569999999999993</v>
      </c>
      <c r="M6539" s="22">
        <v>0.11</v>
      </c>
      <c r="N6539" s="21">
        <v>68.989999999999995</v>
      </c>
      <c r="O6539" s="22">
        <v>0.12</v>
      </c>
    </row>
    <row r="6540" ht="38.25">
      <c r="A6540" t="s">
        <v>6649</v>
      </c>
      <c r="B6540" s="19">
        <v>106040</v>
      </c>
      <c r="C6540" s="20" t="s">
        <v>6658</v>
      </c>
      <c r="D6540" s="19" t="s">
        <v>31</v>
      </c>
      <c r="E6540" s="21">
        <f t="shared" si="305"/>
        <v>80.680000000000007</v>
      </c>
      <c r="F6540" s="22">
        <v>0.46000000000000002</v>
      </c>
      <c r="G6540" s="21">
        <f t="shared" si="306"/>
        <v>77.810000000000002</v>
      </c>
      <c r="H6540" s="22">
        <v>0.47999999999999998</v>
      </c>
      <c r="I6540" s="23" t="str">
        <f t="shared" si="307"/>
        <v xml:space="preserve">COM VALOR</v>
      </c>
      <c r="J6540" s="19"/>
      <c r="L6540" s="21">
        <v>80.680000000000007</v>
      </c>
      <c r="M6540" s="22">
        <v>0.35999999999999999</v>
      </c>
      <c r="N6540" s="21">
        <v>77.810000000000002</v>
      </c>
      <c r="O6540" s="22">
        <v>0.38</v>
      </c>
    </row>
    <row r="6541" ht="38.25">
      <c r="A6541" t="s">
        <v>6649</v>
      </c>
      <c r="B6541" s="19">
        <v>106041</v>
      </c>
      <c r="C6541" s="20" t="s">
        <v>6659</v>
      </c>
      <c r="D6541" s="19" t="s">
        <v>31</v>
      </c>
      <c r="E6541" s="21">
        <f t="shared" si="305"/>
        <v>149.80000000000001</v>
      </c>
      <c r="F6541" s="22">
        <v>0.34000000000000002</v>
      </c>
      <c r="G6541" s="21">
        <f t="shared" si="306"/>
        <v>146.22</v>
      </c>
      <c r="H6541" s="22">
        <v>0.35999999999999999</v>
      </c>
      <c r="I6541" s="23" t="str">
        <f t="shared" si="307"/>
        <v xml:space="preserve">COM VALOR</v>
      </c>
      <c r="J6541" s="19"/>
      <c r="L6541" s="21">
        <v>149.80000000000001</v>
      </c>
      <c r="M6541" s="22">
        <v>0.56999999999999995</v>
      </c>
      <c r="N6541" s="21">
        <v>146.22</v>
      </c>
      <c r="O6541" s="22">
        <v>0.58999999999999997</v>
      </c>
    </row>
    <row r="6542" ht="38.25">
      <c r="A6542" t="s">
        <v>6649</v>
      </c>
      <c r="B6542" s="19">
        <v>97329</v>
      </c>
      <c r="C6542" s="20" t="s">
        <v>6660</v>
      </c>
      <c r="D6542" s="19" t="s">
        <v>38</v>
      </c>
      <c r="E6542" s="21">
        <f t="shared" si="305"/>
        <v>57.859999999999999</v>
      </c>
      <c r="F6542" s="22">
        <v>0.34000000000000002</v>
      </c>
      <c r="G6542" s="21">
        <f t="shared" si="306"/>
        <v>57.659999999999997</v>
      </c>
      <c r="H6542" s="22">
        <v>0.35999999999999999</v>
      </c>
      <c r="I6542" s="23" t="str">
        <f t="shared" si="307"/>
        <v xml:space="preserve">COM VALOR</v>
      </c>
      <c r="J6542" s="19"/>
      <c r="L6542" s="21">
        <v>57.859999999999999</v>
      </c>
      <c r="M6542" s="22">
        <v>0.93999999999999995</v>
      </c>
      <c r="N6542" s="21">
        <v>57.659999999999997</v>
      </c>
      <c r="O6542" s="22">
        <v>0.93999999999999995</v>
      </c>
    </row>
    <row r="6543" ht="38.25">
      <c r="A6543" t="s">
        <v>6649</v>
      </c>
      <c r="B6543" s="19">
        <v>97327</v>
      </c>
      <c r="C6543" s="20" t="s">
        <v>6661</v>
      </c>
      <c r="D6543" s="19" t="s">
        <v>38</v>
      </c>
      <c r="E6543" s="21">
        <f t="shared" si="305"/>
        <v>27.300000000000001</v>
      </c>
      <c r="F6543" s="22">
        <v>0.34999999999999998</v>
      </c>
      <c r="G6543" s="21">
        <f t="shared" si="306"/>
        <v>27.170000000000002</v>
      </c>
      <c r="H6543" s="22">
        <v>0.37</v>
      </c>
      <c r="I6543" s="23" t="str">
        <f t="shared" si="307"/>
        <v xml:space="preserve">COM VALOR</v>
      </c>
      <c r="J6543" s="19"/>
      <c r="L6543" s="21">
        <v>27.300000000000001</v>
      </c>
      <c r="M6543" s="22">
        <v>0.91000000000000003</v>
      </c>
      <c r="N6543" s="21">
        <v>27.170000000000002</v>
      </c>
      <c r="O6543" s="22">
        <v>0.91500000000000004</v>
      </c>
    </row>
    <row r="6544" ht="38.25">
      <c r="A6544" t="s">
        <v>6649</v>
      </c>
      <c r="B6544" s="19">
        <v>106034</v>
      </c>
      <c r="C6544" s="20" t="s">
        <v>6662</v>
      </c>
      <c r="D6544" s="19" t="s">
        <v>38</v>
      </c>
      <c r="E6544" s="21">
        <f t="shared" si="305"/>
        <v>121.78</v>
      </c>
      <c r="F6544" s="22">
        <v>0.45000000000000001</v>
      </c>
      <c r="G6544" s="21">
        <f t="shared" si="306"/>
        <v>121.52</v>
      </c>
      <c r="H6544" s="22">
        <v>0.46999999999999997</v>
      </c>
      <c r="I6544" s="23" t="str">
        <f t="shared" si="307"/>
        <v xml:space="preserve">COM VALOR</v>
      </c>
      <c r="J6544" s="19"/>
      <c r="L6544" s="21">
        <v>121.78</v>
      </c>
      <c r="M6544" s="22">
        <v>0.95999999999999996</v>
      </c>
      <c r="N6544" s="21">
        <v>121.52</v>
      </c>
      <c r="O6544" s="22">
        <v>0.96999999999999997</v>
      </c>
    </row>
    <row r="6545" ht="38.25">
      <c r="A6545" t="s">
        <v>6649</v>
      </c>
      <c r="B6545" s="19">
        <v>97328</v>
      </c>
      <c r="C6545" s="20" t="s">
        <v>6663</v>
      </c>
      <c r="D6545" s="19" t="s">
        <v>38</v>
      </c>
      <c r="E6545" s="21">
        <f t="shared" si="305"/>
        <v>44.840000000000003</v>
      </c>
      <c r="F6545" s="22">
        <v>0.76000000000000001</v>
      </c>
      <c r="G6545" s="21">
        <f t="shared" si="306"/>
        <v>44.68</v>
      </c>
      <c r="H6545" s="22">
        <v>0.77000000000000002</v>
      </c>
      <c r="I6545" s="23" t="str">
        <f t="shared" si="307"/>
        <v xml:space="preserve">COM VALOR</v>
      </c>
      <c r="J6545" s="19"/>
      <c r="L6545" s="21">
        <v>44.840000000000003</v>
      </c>
      <c r="M6545" s="22">
        <v>0.93000000000000005</v>
      </c>
      <c r="N6545" s="21">
        <v>44.68</v>
      </c>
      <c r="O6545" s="22">
        <v>0.93999999999999995</v>
      </c>
    </row>
    <row r="6546" ht="38.25">
      <c r="A6546" t="s">
        <v>6649</v>
      </c>
      <c r="B6546" s="19">
        <v>97330</v>
      </c>
      <c r="C6546" s="20" t="s">
        <v>6664</v>
      </c>
      <c r="D6546" s="19" t="s">
        <v>38</v>
      </c>
      <c r="E6546" s="21">
        <f t="shared" si="305"/>
        <v>71.129999999999995</v>
      </c>
      <c r="F6546" s="22">
        <v>0.62</v>
      </c>
      <c r="G6546" s="21">
        <f t="shared" si="306"/>
        <v>70.909999999999997</v>
      </c>
      <c r="H6546" s="22">
        <v>0.64000000000000001</v>
      </c>
      <c r="I6546" s="23" t="str">
        <f t="shared" si="307"/>
        <v xml:space="preserve">COM VALOR</v>
      </c>
      <c r="J6546" s="19"/>
      <c r="L6546" s="21">
        <v>71.129999999999995</v>
      </c>
      <c r="M6546" s="22">
        <v>0.93999999999999995</v>
      </c>
      <c r="N6546" s="21">
        <v>70.909999999999997</v>
      </c>
      <c r="O6546" s="22">
        <v>0.94750000000000001</v>
      </c>
    </row>
    <row r="6547" ht="38.25">
      <c r="A6547" t="s">
        <v>6649</v>
      </c>
      <c r="B6547" s="19">
        <v>106035</v>
      </c>
      <c r="C6547" s="20" t="s">
        <v>6665</v>
      </c>
      <c r="D6547" s="19" t="s">
        <v>38</v>
      </c>
      <c r="E6547" s="21" t="str">
        <f t="shared" si="305"/>
        <v>VERIFICAR</v>
      </c>
      <c r="F6547" s="22">
        <v>0.48999999999999999</v>
      </c>
      <c r="G6547" s="21" t="str">
        <f t="shared" si="306"/>
        <v>VERIFICAR</v>
      </c>
      <c r="H6547" s="22">
        <v>0.51000000000000001</v>
      </c>
      <c r="I6547" s="23" t="str">
        <f t="shared" si="307"/>
        <v xml:space="preserve">COM VALOR</v>
      </c>
      <c r="J6547" s="19"/>
      <c r="L6547" s="21">
        <v>0</v>
      </c>
      <c r="M6547" s="22"/>
      <c r="N6547" s="21">
        <v>0</v>
      </c>
      <c r="O6547" s="22"/>
    </row>
    <row r="6548" ht="38.25">
      <c r="A6548" t="s">
        <v>6649</v>
      </c>
      <c r="B6548" s="19">
        <v>106036</v>
      </c>
      <c r="C6548" s="20" t="s">
        <v>6666</v>
      </c>
      <c r="D6548" s="19" t="s">
        <v>38</v>
      </c>
      <c r="E6548" s="21" t="str">
        <f t="shared" si="305"/>
        <v>VERIFICAR</v>
      </c>
      <c r="F6548" s="22">
        <v>0.40000000000000002</v>
      </c>
      <c r="G6548" s="21" t="str">
        <f t="shared" si="306"/>
        <v>VERIFICAR</v>
      </c>
      <c r="H6548" s="22">
        <v>0.41999999999999998</v>
      </c>
      <c r="I6548" s="23" t="str">
        <f t="shared" si="307"/>
        <v xml:space="preserve">COM VALOR</v>
      </c>
      <c r="J6548" s="19"/>
      <c r="L6548" s="21">
        <v>0</v>
      </c>
      <c r="M6548" s="22"/>
      <c r="N6548" s="21">
        <v>0</v>
      </c>
      <c r="O6548" s="22"/>
    </row>
    <row r="6549" ht="38.25">
      <c r="A6549" t="s">
        <v>6649</v>
      </c>
      <c r="B6549" s="19">
        <v>106037</v>
      </c>
      <c r="C6549" s="20" t="s">
        <v>6667</v>
      </c>
      <c r="D6549" s="19" t="s">
        <v>38</v>
      </c>
      <c r="E6549" s="21" t="str">
        <f t="shared" si="305"/>
        <v>VERIFICAR</v>
      </c>
      <c r="F6549" s="22">
        <v>0.47999999999999998</v>
      </c>
      <c r="G6549" s="21" t="str">
        <f t="shared" si="306"/>
        <v>VERIFICAR</v>
      </c>
      <c r="H6549" s="22">
        <v>0.5</v>
      </c>
      <c r="I6549" s="23" t="str">
        <f t="shared" si="307"/>
        <v xml:space="preserve">COM VALOR</v>
      </c>
      <c r="J6549" s="19"/>
      <c r="L6549" s="21">
        <v>0</v>
      </c>
      <c r="M6549" s="22"/>
      <c r="N6549" s="21">
        <v>0</v>
      </c>
      <c r="O6549" s="22"/>
    </row>
    <row r="6550" ht="38.25">
      <c r="A6550" t="s">
        <v>6668</v>
      </c>
      <c r="B6550" s="19">
        <v>93085</v>
      </c>
      <c r="C6550" s="20" t="s">
        <v>6669</v>
      </c>
      <c r="D6550" s="19" t="s">
        <v>31</v>
      </c>
      <c r="E6550" s="21">
        <f t="shared" si="305"/>
        <v>15.880000000000001</v>
      </c>
      <c r="F6550" s="22">
        <v>0.54000000000000004</v>
      </c>
      <c r="G6550" s="21">
        <f t="shared" si="306"/>
        <v>15.41</v>
      </c>
      <c r="H6550" s="22">
        <v>0.56000000000000005</v>
      </c>
      <c r="I6550" s="23" t="str">
        <f t="shared" si="307"/>
        <v xml:space="preserve">COM VALOR</v>
      </c>
      <c r="J6550" s="19"/>
      <c r="L6550" s="21">
        <v>15.880000000000001</v>
      </c>
      <c r="M6550" s="22">
        <v>0.46999999999999997</v>
      </c>
      <c r="N6550" s="21">
        <v>15.41</v>
      </c>
      <c r="O6550" s="22">
        <v>0.48999999999999999</v>
      </c>
    </row>
    <row r="6551" ht="38.25">
      <c r="A6551" t="s">
        <v>6668</v>
      </c>
      <c r="B6551" s="19">
        <v>103892</v>
      </c>
      <c r="C6551" s="20" t="s">
        <v>6670</v>
      </c>
      <c r="D6551" s="19" t="s">
        <v>31</v>
      </c>
      <c r="E6551" s="21">
        <f t="shared" si="305"/>
        <v>16.920000000000002</v>
      </c>
      <c r="F6551" s="22">
        <v>0.79000000000000004</v>
      </c>
      <c r="G6551" s="21">
        <f t="shared" si="306"/>
        <v>16.41</v>
      </c>
      <c r="H6551" s="22">
        <v>0.80000000000000004</v>
      </c>
      <c r="I6551" s="23" t="str">
        <f t="shared" si="307"/>
        <v xml:space="preserve">COM VALOR</v>
      </c>
      <c r="J6551" s="19"/>
      <c r="L6551" s="21">
        <v>16.920000000000002</v>
      </c>
      <c r="M6551" s="22">
        <v>0.46000000000000002</v>
      </c>
      <c r="N6551" s="21">
        <v>16.41</v>
      </c>
      <c r="O6551" s="22">
        <v>0.46999999999999997</v>
      </c>
    </row>
    <row r="6552" ht="38.25">
      <c r="A6552" t="s">
        <v>6668</v>
      </c>
      <c r="B6552" s="19">
        <v>103823</v>
      </c>
      <c r="C6552" s="20" t="s">
        <v>6671</v>
      </c>
      <c r="D6552" s="19" t="s">
        <v>31</v>
      </c>
      <c r="E6552" s="21">
        <f t="shared" si="305"/>
        <v>19.030000000000001</v>
      </c>
      <c r="F6552" s="22">
        <v>0.68999999999999995</v>
      </c>
      <c r="G6552" s="21">
        <f t="shared" si="306"/>
        <v>18.399999999999999</v>
      </c>
      <c r="H6552" s="22">
        <v>0.70999999999999996</v>
      </c>
      <c r="I6552" s="23" t="str">
        <f t="shared" si="307"/>
        <v xml:space="preserve">COM VALOR</v>
      </c>
      <c r="J6552" s="19"/>
      <c r="L6552" s="21">
        <v>19.030000000000001</v>
      </c>
      <c r="M6552" s="22">
        <v>0.40000000000000002</v>
      </c>
      <c r="N6552" s="21">
        <v>18.399999999999999</v>
      </c>
      <c r="O6552" s="22">
        <v>0.40999999999999998</v>
      </c>
    </row>
    <row r="6553" ht="38.25">
      <c r="A6553" t="s">
        <v>6668</v>
      </c>
      <c r="B6553" s="19">
        <v>103856</v>
      </c>
      <c r="C6553" s="20" t="s">
        <v>6672</v>
      </c>
      <c r="D6553" s="19" t="s">
        <v>31</v>
      </c>
      <c r="E6553" s="21">
        <f t="shared" si="305"/>
        <v>16.960000000000001</v>
      </c>
      <c r="F6553" s="22">
        <v>0.56999999999999995</v>
      </c>
      <c r="G6553" s="21">
        <f t="shared" si="306"/>
        <v>16.460000000000001</v>
      </c>
      <c r="H6553" s="22">
        <v>0.58999999999999997</v>
      </c>
      <c r="I6553" s="23" t="str">
        <f t="shared" si="307"/>
        <v xml:space="preserve">COM VALOR</v>
      </c>
      <c r="J6553" s="19"/>
      <c r="L6553" s="21">
        <v>16.960000000000001</v>
      </c>
      <c r="M6553" s="22">
        <v>0.44</v>
      </c>
      <c r="N6553" s="21">
        <v>16.460000000000001</v>
      </c>
      <c r="O6553" s="22">
        <v>0.46000000000000002</v>
      </c>
    </row>
    <row r="6554" ht="38.25">
      <c r="A6554" t="s">
        <v>6668</v>
      </c>
      <c r="B6554" s="19">
        <v>93108</v>
      </c>
      <c r="C6554" s="20" t="s">
        <v>6673</v>
      </c>
      <c r="D6554" s="19" t="s">
        <v>31</v>
      </c>
      <c r="E6554" s="21">
        <f t="shared" si="305"/>
        <v>14.300000000000001</v>
      </c>
      <c r="F6554" s="22">
        <v>0.42999999999999999</v>
      </c>
      <c r="G6554" s="21">
        <f t="shared" si="306"/>
        <v>13.93</v>
      </c>
      <c r="H6554" s="22">
        <v>0.45000000000000001</v>
      </c>
      <c r="I6554" s="23" t="str">
        <f t="shared" si="307"/>
        <v xml:space="preserve">COM VALOR</v>
      </c>
      <c r="J6554" s="19"/>
      <c r="L6554" s="21">
        <v>14.300000000000001</v>
      </c>
      <c r="M6554" s="22">
        <v>0.53000000000000003</v>
      </c>
      <c r="N6554" s="21">
        <v>13.93</v>
      </c>
      <c r="O6554" s="22">
        <v>0.54000000000000004</v>
      </c>
    </row>
    <row r="6555" ht="38.25">
      <c r="A6555" t="s">
        <v>6668</v>
      </c>
      <c r="B6555" s="19">
        <v>93091</v>
      </c>
      <c r="C6555" s="20" t="s">
        <v>6674</v>
      </c>
      <c r="D6555" s="19" t="s">
        <v>31</v>
      </c>
      <c r="E6555" s="21">
        <f t="shared" si="305"/>
        <v>17.640000000000001</v>
      </c>
      <c r="F6555" s="22">
        <v>0.54000000000000004</v>
      </c>
      <c r="G6555" s="21">
        <f t="shared" si="306"/>
        <v>17.289999999999999</v>
      </c>
      <c r="H6555" s="22">
        <v>0.56000000000000005</v>
      </c>
      <c r="I6555" s="23" t="str">
        <f t="shared" si="307"/>
        <v xml:space="preserve">COM VALOR</v>
      </c>
      <c r="J6555" s="19"/>
      <c r="L6555" s="21">
        <v>17.640000000000001</v>
      </c>
      <c r="M6555" s="22">
        <v>0.64000000000000001</v>
      </c>
      <c r="N6555" s="21">
        <v>17.289999999999999</v>
      </c>
      <c r="O6555" s="22">
        <v>0.65000000000000002</v>
      </c>
    </row>
    <row r="6556" ht="38.25">
      <c r="A6556" t="s">
        <v>6668</v>
      </c>
      <c r="B6556" s="19">
        <v>103900</v>
      </c>
      <c r="C6556" s="20" t="s">
        <v>6675</v>
      </c>
      <c r="D6556" s="19" t="s">
        <v>31</v>
      </c>
      <c r="E6556" s="21">
        <f t="shared" si="305"/>
        <v>21.940000000000001</v>
      </c>
      <c r="F6556" s="22">
        <v>0.58999999999999997</v>
      </c>
      <c r="G6556" s="21">
        <f t="shared" si="306"/>
        <v>21.350000000000001</v>
      </c>
      <c r="H6556" s="22">
        <v>0.60999999999999999</v>
      </c>
      <c r="I6556" s="23" t="str">
        <f t="shared" si="307"/>
        <v xml:space="preserve">COM VALOR</v>
      </c>
      <c r="J6556" s="19"/>
      <c r="L6556" s="21">
        <v>21.940000000000001</v>
      </c>
      <c r="M6556" s="22">
        <v>0.51000000000000001</v>
      </c>
      <c r="N6556" s="21">
        <v>21.350000000000001</v>
      </c>
      <c r="O6556" s="22">
        <v>0.53000000000000003</v>
      </c>
    </row>
    <row r="6557" ht="38.25">
      <c r="A6557" t="s">
        <v>6668</v>
      </c>
      <c r="B6557" s="19">
        <v>103831</v>
      </c>
      <c r="C6557" s="20" t="s">
        <v>6676</v>
      </c>
      <c r="D6557" s="19" t="s">
        <v>31</v>
      </c>
      <c r="E6557" s="21">
        <f t="shared" si="305"/>
        <v>28.390000000000001</v>
      </c>
      <c r="F6557" s="22">
        <v>0.85999999999999999</v>
      </c>
      <c r="G6557" s="21">
        <f t="shared" si="306"/>
        <v>27.449999999999999</v>
      </c>
      <c r="H6557" s="22">
        <v>0.87</v>
      </c>
      <c r="I6557" s="23" t="str">
        <f t="shared" si="307"/>
        <v xml:space="preserve">COM VALOR</v>
      </c>
      <c r="J6557" s="19"/>
      <c r="L6557" s="21">
        <v>28.390000000000001</v>
      </c>
      <c r="M6557" s="22">
        <v>0.40000000000000002</v>
      </c>
      <c r="N6557" s="21">
        <v>27.449999999999999</v>
      </c>
      <c r="O6557" s="22">
        <v>0.40999999999999998</v>
      </c>
    </row>
    <row r="6558" ht="38.25">
      <c r="A6558" t="s">
        <v>6668</v>
      </c>
      <c r="B6558" s="19">
        <v>103864</v>
      </c>
      <c r="C6558" s="20" t="s">
        <v>6677</v>
      </c>
      <c r="D6558" s="19" t="s">
        <v>31</v>
      </c>
      <c r="E6558" s="21">
        <f t="shared" si="305"/>
        <v>23.199999999999999</v>
      </c>
      <c r="F6558" s="22">
        <v>0.89000000000000001</v>
      </c>
      <c r="G6558" s="21">
        <f t="shared" si="306"/>
        <v>22.559999999999999</v>
      </c>
      <c r="H6558" s="22">
        <v>0.90000000000000002</v>
      </c>
      <c r="I6558" s="23" t="str">
        <f t="shared" si="307"/>
        <v xml:space="preserve">COM VALOR</v>
      </c>
      <c r="J6558" s="19"/>
      <c r="L6558" s="21">
        <v>23.199999999999999</v>
      </c>
      <c r="M6558" s="22">
        <v>0.48999999999999999</v>
      </c>
      <c r="N6558" s="21">
        <v>22.559999999999999</v>
      </c>
      <c r="O6558" s="22">
        <v>0.5</v>
      </c>
    </row>
    <row r="6559" ht="38.25">
      <c r="A6559" t="s">
        <v>6668</v>
      </c>
      <c r="B6559" s="19">
        <v>93133</v>
      </c>
      <c r="C6559" s="20" t="s">
        <v>6678</v>
      </c>
      <c r="D6559" s="19" t="s">
        <v>31</v>
      </c>
      <c r="E6559" s="21">
        <f t="shared" si="305"/>
        <v>20.620000000000001</v>
      </c>
      <c r="F6559" s="22">
        <v>0.91000000000000003</v>
      </c>
      <c r="G6559" s="21">
        <f t="shared" si="306"/>
        <v>20.100000000000001</v>
      </c>
      <c r="H6559" s="22">
        <v>0.91000000000000003</v>
      </c>
      <c r="I6559" s="23" t="str">
        <f t="shared" si="307"/>
        <v xml:space="preserve">COM VALOR</v>
      </c>
      <c r="J6559" s="19"/>
      <c r="L6559" s="21">
        <v>20.620000000000001</v>
      </c>
      <c r="M6559" s="22">
        <v>0.54749999999999999</v>
      </c>
      <c r="N6559" s="21">
        <v>20.100000000000001</v>
      </c>
      <c r="O6559" s="22">
        <v>0.56000000000000005</v>
      </c>
    </row>
    <row r="6560" ht="38.25">
      <c r="A6560" t="s">
        <v>6668</v>
      </c>
      <c r="B6560" s="19">
        <v>93057</v>
      </c>
      <c r="C6560" s="20" t="s">
        <v>6679</v>
      </c>
      <c r="D6560" s="19" t="s">
        <v>31</v>
      </c>
      <c r="E6560" s="21">
        <f t="shared" si="305"/>
        <v>14.869999999999999</v>
      </c>
      <c r="F6560" s="22">
        <v>0.94999999999999996</v>
      </c>
      <c r="G6560" s="21">
        <f t="shared" si="306"/>
        <v>14.67</v>
      </c>
      <c r="H6560" s="22">
        <v>0.95999999999999996</v>
      </c>
      <c r="I6560" s="23" t="str">
        <f t="shared" si="307"/>
        <v xml:space="preserve">COM VALOR</v>
      </c>
      <c r="J6560" s="19"/>
      <c r="L6560" s="21">
        <v>14.869999999999999</v>
      </c>
      <c r="M6560" s="22">
        <v>0.76000000000000001</v>
      </c>
      <c r="N6560" s="21">
        <v>14.67</v>
      </c>
      <c r="O6560" s="22">
        <v>0.77000000000000002</v>
      </c>
    </row>
    <row r="6561" ht="38.25">
      <c r="A6561" t="s">
        <v>6668</v>
      </c>
      <c r="B6561" s="19">
        <v>93062</v>
      </c>
      <c r="C6561" s="20" t="s">
        <v>6680</v>
      </c>
      <c r="D6561" s="19" t="s">
        <v>31</v>
      </c>
      <c r="E6561" s="21">
        <f t="shared" si="305"/>
        <v>28.640000000000001</v>
      </c>
      <c r="F6561" s="22">
        <v>0.89000000000000001</v>
      </c>
      <c r="G6561" s="21">
        <f t="shared" si="306"/>
        <v>28.399999999999999</v>
      </c>
      <c r="H6561" s="22">
        <v>0.90000000000000002</v>
      </c>
      <c r="I6561" s="23" t="str">
        <f t="shared" si="307"/>
        <v xml:space="preserve">COM VALOR</v>
      </c>
      <c r="J6561" s="19"/>
      <c r="L6561" s="21">
        <v>28.640000000000001</v>
      </c>
      <c r="M6561" s="22">
        <v>0.83999999999999997</v>
      </c>
      <c r="N6561" s="21">
        <v>28.399999999999999</v>
      </c>
      <c r="O6561" s="22">
        <v>0.84999999999999998</v>
      </c>
    </row>
    <row r="6562" ht="38.25">
      <c r="A6562" t="s">
        <v>6668</v>
      </c>
      <c r="B6562" s="19">
        <v>93065</v>
      </c>
      <c r="C6562" s="20" t="s">
        <v>6681</v>
      </c>
      <c r="D6562" s="19" t="s">
        <v>31</v>
      </c>
      <c r="E6562" s="21">
        <f t="shared" si="305"/>
        <v>46.859999999999999</v>
      </c>
      <c r="F6562" s="22">
        <v>0.89000000000000001</v>
      </c>
      <c r="G6562" s="21">
        <f t="shared" si="306"/>
        <v>46.549999999999997</v>
      </c>
      <c r="H6562" s="22">
        <v>0.90000000000000002</v>
      </c>
      <c r="I6562" s="23" t="str">
        <f t="shared" si="307"/>
        <v xml:space="preserve">COM VALOR</v>
      </c>
      <c r="J6562" s="19"/>
      <c r="L6562" s="21">
        <v>46.859999999999999</v>
      </c>
      <c r="M6562" s="22">
        <v>0.88</v>
      </c>
      <c r="N6562" s="21">
        <v>46.549999999999997</v>
      </c>
      <c r="O6562" s="22">
        <v>0.89000000000000001</v>
      </c>
    </row>
    <row r="6563" ht="38.25">
      <c r="A6563" t="s">
        <v>6668</v>
      </c>
      <c r="B6563" s="19">
        <v>93068</v>
      </c>
      <c r="C6563" s="20" t="s">
        <v>6682</v>
      </c>
      <c r="D6563" s="19" t="s">
        <v>31</v>
      </c>
      <c r="E6563" s="21">
        <f t="shared" si="305"/>
        <v>65.989999999999995</v>
      </c>
      <c r="F6563" s="22">
        <v>0.47999999999999998</v>
      </c>
      <c r="G6563" s="21">
        <f t="shared" si="306"/>
        <v>65.599999999999994</v>
      </c>
      <c r="H6563" s="22">
        <v>0.5</v>
      </c>
      <c r="I6563" s="23" t="str">
        <f t="shared" si="307"/>
        <v xml:space="preserve">COM VALOR</v>
      </c>
      <c r="J6563" s="19"/>
      <c r="L6563" s="21">
        <v>65.989999999999995</v>
      </c>
      <c r="M6563" s="22">
        <v>0.89000000000000001</v>
      </c>
      <c r="N6563" s="21">
        <v>65.599999999999994</v>
      </c>
      <c r="O6563" s="22">
        <v>0.90000000000000002</v>
      </c>
    </row>
    <row r="6564" ht="38.25">
      <c r="A6564" t="s">
        <v>6668</v>
      </c>
      <c r="B6564" s="19">
        <v>93071</v>
      </c>
      <c r="C6564" s="20" t="s">
        <v>6683</v>
      </c>
      <c r="D6564" s="19" t="s">
        <v>31</v>
      </c>
      <c r="E6564" s="21">
        <f t="shared" si="305"/>
        <v>180.36000000000001</v>
      </c>
      <c r="F6564" s="22">
        <v>0.47999999999999998</v>
      </c>
      <c r="G6564" s="21">
        <f t="shared" si="306"/>
        <v>179.88</v>
      </c>
      <c r="H6564" s="22">
        <v>0.5</v>
      </c>
      <c r="I6564" s="23" t="str">
        <f t="shared" si="307"/>
        <v xml:space="preserve">COM VALOR</v>
      </c>
      <c r="J6564" s="19"/>
      <c r="L6564" s="21">
        <v>180.36000000000001</v>
      </c>
      <c r="M6564" s="22">
        <v>0.94999999999999996</v>
      </c>
      <c r="N6564" s="21">
        <v>179.88</v>
      </c>
      <c r="O6564" s="22">
        <v>0.94999999999999996</v>
      </c>
    </row>
    <row r="6565" ht="38.25">
      <c r="A6565" t="s">
        <v>6668</v>
      </c>
      <c r="B6565" s="19">
        <v>93081</v>
      </c>
      <c r="C6565" s="20" t="s">
        <v>6684</v>
      </c>
      <c r="D6565" s="19" t="s">
        <v>31</v>
      </c>
      <c r="E6565" s="21">
        <f t="shared" si="305"/>
        <v>19.710000000000001</v>
      </c>
      <c r="F6565" s="22">
        <v>0.76000000000000001</v>
      </c>
      <c r="G6565" s="21">
        <f t="shared" si="306"/>
        <v>19.460000000000001</v>
      </c>
      <c r="H6565" s="22">
        <v>0.78000000000000003</v>
      </c>
      <c r="I6565" s="23" t="str">
        <f t="shared" si="307"/>
        <v xml:space="preserve">COM VALOR</v>
      </c>
      <c r="J6565" s="19"/>
      <c r="L6565" s="21">
        <v>19.710000000000001</v>
      </c>
      <c r="M6565" s="22">
        <v>0.77000000000000002</v>
      </c>
      <c r="N6565" s="21">
        <v>19.460000000000001</v>
      </c>
      <c r="O6565" s="22">
        <v>0.78000000000000003</v>
      </c>
    </row>
    <row r="6566" ht="38.25">
      <c r="A6566" t="s">
        <v>6668</v>
      </c>
      <c r="B6566" s="19">
        <v>103887</v>
      </c>
      <c r="C6566" s="20" t="s">
        <v>6685</v>
      </c>
      <c r="D6566" s="19" t="s">
        <v>31</v>
      </c>
      <c r="E6566" s="21">
        <f t="shared" si="305"/>
        <v>21.34</v>
      </c>
      <c r="F6566" s="22">
        <v>0.63</v>
      </c>
      <c r="G6566" s="21">
        <f t="shared" si="306"/>
        <v>21</v>
      </c>
      <c r="H6566" s="22">
        <v>0.65000000000000002</v>
      </c>
      <c r="I6566" s="23" t="str">
        <f t="shared" si="307"/>
        <v xml:space="preserve">COM VALOR</v>
      </c>
      <c r="J6566" s="19"/>
      <c r="L6566" s="21">
        <v>21.34</v>
      </c>
      <c r="M6566" s="22">
        <v>0.70999999999999996</v>
      </c>
      <c r="N6566" s="21">
        <v>21</v>
      </c>
      <c r="O6566" s="22">
        <v>0.71999999999999997</v>
      </c>
    </row>
    <row r="6567" ht="38.25">
      <c r="A6567" t="s">
        <v>6668</v>
      </c>
      <c r="B6567" s="19">
        <v>103818</v>
      </c>
      <c r="C6567" s="20" t="s">
        <v>6686</v>
      </c>
      <c r="D6567" s="19" t="s">
        <v>31</v>
      </c>
      <c r="E6567" s="21">
        <f t="shared" si="305"/>
        <v>21.34</v>
      </c>
      <c r="F6567" s="22">
        <v>0.40999999999999998</v>
      </c>
      <c r="G6567" s="21">
        <f t="shared" si="306"/>
        <v>21.010000000000002</v>
      </c>
      <c r="H6567" s="22">
        <v>0.42999999999999999</v>
      </c>
      <c r="I6567" s="23" t="str">
        <f t="shared" si="307"/>
        <v xml:space="preserve">COM VALOR</v>
      </c>
      <c r="J6567" s="19"/>
      <c r="L6567" s="21">
        <v>21.34</v>
      </c>
      <c r="M6567" s="22">
        <v>0.70999999999999996</v>
      </c>
      <c r="N6567" s="21">
        <v>21.010000000000002</v>
      </c>
      <c r="O6567" s="22">
        <v>0.71999999999999997</v>
      </c>
    </row>
    <row r="6568" ht="38.25">
      <c r="A6568" t="s">
        <v>6668</v>
      </c>
      <c r="B6568" s="19">
        <v>103851</v>
      </c>
      <c r="C6568" s="20" t="s">
        <v>6687</v>
      </c>
      <c r="D6568" s="19" t="s">
        <v>31</v>
      </c>
      <c r="E6568" s="21">
        <f t="shared" si="305"/>
        <v>21.09</v>
      </c>
      <c r="F6568" s="22">
        <v>0.55000000000000004</v>
      </c>
      <c r="G6568" s="21">
        <f t="shared" si="306"/>
        <v>20.77</v>
      </c>
      <c r="H6568" s="22">
        <v>0.56999999999999995</v>
      </c>
      <c r="I6568" s="23" t="str">
        <f t="shared" si="307"/>
        <v xml:space="preserve">COM VALOR</v>
      </c>
      <c r="J6568" s="19"/>
      <c r="L6568" s="21">
        <v>21.09</v>
      </c>
      <c r="M6568" s="22">
        <v>0.71999999999999997</v>
      </c>
      <c r="N6568" s="21">
        <v>20.77</v>
      </c>
      <c r="O6568" s="22">
        <v>0.72999999999999998</v>
      </c>
    </row>
    <row r="6569" ht="38.25">
      <c r="A6569" t="s">
        <v>6668</v>
      </c>
      <c r="B6569" s="19">
        <v>93104</v>
      </c>
      <c r="C6569" s="20" t="s">
        <v>6688</v>
      </c>
      <c r="D6569" s="19" t="s">
        <v>31</v>
      </c>
      <c r="E6569" s="21">
        <f t="shared" si="305"/>
        <v>19.800000000000001</v>
      </c>
      <c r="F6569" s="22">
        <v>0.80000000000000004</v>
      </c>
      <c r="G6569" s="21">
        <f t="shared" si="306"/>
        <v>19.550000000000001</v>
      </c>
      <c r="H6569" s="22">
        <v>0.81000000000000005</v>
      </c>
      <c r="I6569" s="23" t="str">
        <f t="shared" si="307"/>
        <v xml:space="preserve">COM VALOR</v>
      </c>
      <c r="J6569" s="19"/>
      <c r="L6569" s="21">
        <v>19.800000000000001</v>
      </c>
      <c r="M6569" s="22">
        <v>0.77000000000000002</v>
      </c>
      <c r="N6569" s="21">
        <v>19.550000000000001</v>
      </c>
      <c r="O6569" s="22">
        <v>0.78000000000000003</v>
      </c>
    </row>
    <row r="6570" ht="38.25">
      <c r="A6570" t="s">
        <v>6668</v>
      </c>
      <c r="B6570" s="19">
        <v>98602</v>
      </c>
      <c r="C6570" s="20" t="s">
        <v>6689</v>
      </c>
      <c r="D6570" s="19" t="s">
        <v>31</v>
      </c>
      <c r="E6570" s="21">
        <f t="shared" si="305"/>
        <v>19.199999999999999</v>
      </c>
      <c r="F6570" s="22">
        <v>0.70999999999999996</v>
      </c>
      <c r="G6570" s="21">
        <f t="shared" si="306"/>
        <v>19.02</v>
      </c>
      <c r="H6570" s="22">
        <v>0.71999999999999997</v>
      </c>
      <c r="I6570" s="23" t="str">
        <f t="shared" si="307"/>
        <v xml:space="preserve">COM VALOR</v>
      </c>
      <c r="J6570" s="19"/>
      <c r="L6570" s="21">
        <v>19.199999999999999</v>
      </c>
      <c r="M6570" s="22">
        <v>0.81999999999999995</v>
      </c>
      <c r="N6570" s="21">
        <v>19.02</v>
      </c>
      <c r="O6570" s="22">
        <v>0.82999999999999996</v>
      </c>
    </row>
    <row r="6571" ht="38.25">
      <c r="A6571" t="s">
        <v>6668</v>
      </c>
      <c r="B6571" s="19">
        <v>93087</v>
      </c>
      <c r="C6571" s="20" t="s">
        <v>6690</v>
      </c>
      <c r="D6571" s="19" t="s">
        <v>31</v>
      </c>
      <c r="E6571" s="21">
        <f t="shared" si="305"/>
        <v>20.649999999999999</v>
      </c>
      <c r="F6571" s="22">
        <v>0.60999999999999999</v>
      </c>
      <c r="G6571" s="21">
        <f t="shared" si="306"/>
        <v>20.370000000000001</v>
      </c>
      <c r="H6571" s="22">
        <v>0.63</v>
      </c>
      <c r="I6571" s="23" t="str">
        <f t="shared" si="307"/>
        <v xml:space="preserve">COM VALOR</v>
      </c>
      <c r="J6571" s="19"/>
      <c r="L6571" s="21">
        <v>20.649999999999999</v>
      </c>
      <c r="M6571" s="22">
        <v>0.76000000000000001</v>
      </c>
      <c r="N6571" s="21">
        <v>20.370000000000001</v>
      </c>
      <c r="O6571" s="22">
        <v>0.77000000000000002</v>
      </c>
    </row>
    <row r="6572" ht="38.25">
      <c r="A6572" t="s">
        <v>6668</v>
      </c>
      <c r="B6572" s="19">
        <v>103893</v>
      </c>
      <c r="C6572" s="20" t="s">
        <v>6691</v>
      </c>
      <c r="D6572" s="19" t="s">
        <v>31</v>
      </c>
      <c r="E6572" s="21">
        <f t="shared" si="305"/>
        <v>22.640000000000001</v>
      </c>
      <c r="F6572" s="22">
        <v>0.87</v>
      </c>
      <c r="G6572" s="21">
        <f t="shared" si="306"/>
        <v>22.260000000000002</v>
      </c>
      <c r="H6572" s="22">
        <v>0.88</v>
      </c>
      <c r="I6572" s="23" t="str">
        <f t="shared" si="307"/>
        <v xml:space="preserve">COM VALOR</v>
      </c>
      <c r="J6572" s="19"/>
      <c r="L6572" s="21">
        <v>22.640000000000001</v>
      </c>
      <c r="M6572" s="22">
        <v>0.69999999999999996</v>
      </c>
      <c r="N6572" s="21">
        <v>22.260000000000002</v>
      </c>
      <c r="O6572" s="22">
        <v>0.70999999999999996</v>
      </c>
    </row>
    <row r="6573" ht="38.25">
      <c r="A6573" t="s">
        <v>6668</v>
      </c>
      <c r="B6573" s="19">
        <v>103824</v>
      </c>
      <c r="C6573" s="20" t="s">
        <v>6692</v>
      </c>
      <c r="D6573" s="19" t="s">
        <v>31</v>
      </c>
      <c r="E6573" s="21">
        <f t="shared" si="305"/>
        <v>24.899999999999999</v>
      </c>
      <c r="F6573" s="22">
        <v>0.89000000000000001</v>
      </c>
      <c r="G6573" s="21">
        <f t="shared" si="306"/>
        <v>24.399999999999999</v>
      </c>
      <c r="H6573" s="22">
        <v>0.89000000000000001</v>
      </c>
      <c r="I6573" s="23" t="str">
        <f t="shared" si="307"/>
        <v xml:space="preserve">COM VALOR</v>
      </c>
      <c r="J6573" s="19"/>
      <c r="L6573" s="21">
        <v>24.899999999999999</v>
      </c>
      <c r="M6573" s="22">
        <v>0.63</v>
      </c>
      <c r="N6573" s="21">
        <v>24.399999999999999</v>
      </c>
      <c r="O6573" s="22">
        <v>0.65000000000000002</v>
      </c>
    </row>
    <row r="6574" ht="38.25">
      <c r="A6574" t="s">
        <v>6668</v>
      </c>
      <c r="B6574" s="19">
        <v>103857</v>
      </c>
      <c r="C6574" s="20" t="s">
        <v>6693</v>
      </c>
      <c r="D6574" s="19" t="s">
        <v>31</v>
      </c>
      <c r="E6574" s="21">
        <f t="shared" si="305"/>
        <v>22.960000000000001</v>
      </c>
      <c r="F6574" s="22">
        <v>0.92000000000000004</v>
      </c>
      <c r="G6574" s="21">
        <f t="shared" si="306"/>
        <v>22.559999999999999</v>
      </c>
      <c r="H6574" s="22">
        <v>0.92000000000000004</v>
      </c>
      <c r="I6574" s="23" t="str">
        <f t="shared" si="307"/>
        <v xml:space="preserve">COM VALOR</v>
      </c>
      <c r="J6574" s="19"/>
      <c r="L6574" s="21">
        <v>22.960000000000001</v>
      </c>
      <c r="M6574" s="22">
        <v>0.68999999999999995</v>
      </c>
      <c r="N6574" s="21">
        <v>22.559999999999999</v>
      </c>
      <c r="O6574" s="22">
        <v>0.69999999999999996</v>
      </c>
    </row>
    <row r="6575" ht="38.25">
      <c r="A6575" t="s">
        <v>6668</v>
      </c>
      <c r="B6575" s="19">
        <v>93110</v>
      </c>
      <c r="C6575" s="20" t="s">
        <v>6694</v>
      </c>
      <c r="D6575" s="19" t="s">
        <v>31</v>
      </c>
      <c r="E6575" s="21">
        <f t="shared" si="305"/>
        <v>21.719999999999999</v>
      </c>
      <c r="F6575" s="22">
        <v>0.95999999999999996</v>
      </c>
      <c r="G6575" s="21">
        <f t="shared" si="306"/>
        <v>21.390000000000001</v>
      </c>
      <c r="H6575" s="22">
        <v>0.95999999999999996</v>
      </c>
      <c r="I6575" s="23" t="str">
        <f t="shared" si="307"/>
        <v xml:space="preserve">COM VALOR</v>
      </c>
      <c r="J6575" s="19"/>
      <c r="L6575" s="21">
        <v>21.719999999999999</v>
      </c>
      <c r="M6575" s="22">
        <v>0.72999999999999998</v>
      </c>
      <c r="N6575" s="21">
        <v>21.390000000000001</v>
      </c>
      <c r="O6575" s="22">
        <v>0.73999999999999999</v>
      </c>
    </row>
    <row r="6576" ht="38.25">
      <c r="A6576" t="s">
        <v>6668</v>
      </c>
      <c r="B6576" s="19">
        <v>93054</v>
      </c>
      <c r="C6576" s="20" t="s">
        <v>6695</v>
      </c>
      <c r="D6576" s="19" t="s">
        <v>31</v>
      </c>
      <c r="E6576" s="21">
        <f t="shared" si="305"/>
        <v>23.800000000000001</v>
      </c>
      <c r="F6576" s="22">
        <v>0.80000000000000004</v>
      </c>
      <c r="G6576" s="21">
        <f t="shared" si="306"/>
        <v>23.559999999999999</v>
      </c>
      <c r="H6576" s="22">
        <v>0.81000000000000005</v>
      </c>
      <c r="I6576" s="23" t="str">
        <f t="shared" si="307"/>
        <v xml:space="preserve">COM VALOR</v>
      </c>
      <c r="J6576" s="19"/>
      <c r="L6576" s="21">
        <v>23.800000000000001</v>
      </c>
      <c r="M6576" s="22">
        <v>0.81000000000000005</v>
      </c>
      <c r="N6576" s="21">
        <v>23.559999999999999</v>
      </c>
      <c r="O6576" s="22">
        <v>0.81999999999999995</v>
      </c>
    </row>
    <row r="6577" ht="38.25">
      <c r="A6577" t="s">
        <v>6668</v>
      </c>
      <c r="B6577" s="19">
        <v>93088</v>
      </c>
      <c r="C6577" s="20" t="s">
        <v>6696</v>
      </c>
      <c r="D6577" s="19" t="s">
        <v>31</v>
      </c>
      <c r="E6577" s="21">
        <f t="shared" si="305"/>
        <v>25.57</v>
      </c>
      <c r="F6577" s="22">
        <v>0.81999999999999995</v>
      </c>
      <c r="G6577" s="21">
        <f t="shared" si="306"/>
        <v>25.25</v>
      </c>
      <c r="H6577" s="22">
        <v>0.82999999999999996</v>
      </c>
      <c r="I6577" s="23" t="str">
        <f t="shared" si="307"/>
        <v xml:space="preserve">COM VALOR</v>
      </c>
      <c r="J6577" s="19"/>
      <c r="L6577" s="21">
        <v>25.57</v>
      </c>
      <c r="M6577" s="22">
        <v>0.77000000000000002</v>
      </c>
      <c r="N6577" s="21">
        <v>25.25</v>
      </c>
      <c r="O6577" s="22">
        <v>0.78000000000000003</v>
      </c>
    </row>
    <row r="6578" ht="38.25">
      <c r="A6578" t="s">
        <v>6668</v>
      </c>
      <c r="B6578" s="19">
        <v>103894</v>
      </c>
      <c r="C6578" s="20" t="s">
        <v>6697</v>
      </c>
      <c r="D6578" s="19" t="s">
        <v>31</v>
      </c>
      <c r="E6578" s="21">
        <f t="shared" si="305"/>
        <v>27.239999999999998</v>
      </c>
      <c r="F6578" s="22">
        <v>0.70999999999999996</v>
      </c>
      <c r="G6578" s="21">
        <f t="shared" si="306"/>
        <v>26.800000000000001</v>
      </c>
      <c r="H6578" s="22">
        <v>0.71999999999999997</v>
      </c>
      <c r="I6578" s="23" t="str">
        <f t="shared" si="307"/>
        <v xml:space="preserve">COM VALOR</v>
      </c>
      <c r="J6578" s="19"/>
      <c r="L6578" s="21">
        <v>27.239999999999998</v>
      </c>
      <c r="M6578" s="22">
        <v>0.70999999999999996</v>
      </c>
      <c r="N6578" s="21">
        <v>26.800000000000001</v>
      </c>
      <c r="O6578" s="22">
        <v>0.71999999999999997</v>
      </c>
    </row>
    <row r="6579" ht="38.25">
      <c r="A6579" t="s">
        <v>6668</v>
      </c>
      <c r="B6579" s="19">
        <v>103825</v>
      </c>
      <c r="C6579" s="20" t="s">
        <v>6698</v>
      </c>
      <c r="D6579" s="19" t="s">
        <v>31</v>
      </c>
      <c r="E6579" s="21">
        <f t="shared" si="305"/>
        <v>29.489999999999998</v>
      </c>
      <c r="F6579" s="22">
        <v>0.70999999999999996</v>
      </c>
      <c r="G6579" s="21">
        <f t="shared" si="306"/>
        <v>28.940000000000001</v>
      </c>
      <c r="H6579" s="22">
        <v>0.72999999999999998</v>
      </c>
      <c r="I6579" s="23" t="str">
        <f t="shared" si="307"/>
        <v xml:space="preserve">COM VALOR</v>
      </c>
      <c r="J6579" s="19"/>
      <c r="L6579" s="21">
        <v>29.489999999999998</v>
      </c>
      <c r="M6579" s="22">
        <v>0.66000000000000003</v>
      </c>
      <c r="N6579" s="21">
        <v>28.940000000000001</v>
      </c>
      <c r="O6579" s="22">
        <v>0.67000000000000004</v>
      </c>
    </row>
    <row r="6580" ht="38.25">
      <c r="A6580" t="s">
        <v>6668</v>
      </c>
      <c r="B6580" s="19">
        <v>103858</v>
      </c>
      <c r="C6580" s="20" t="s">
        <v>6699</v>
      </c>
      <c r="D6580" s="19" t="s">
        <v>31</v>
      </c>
      <c r="E6580" s="21">
        <f t="shared" si="305"/>
        <v>27.559999999999999</v>
      </c>
      <c r="F6580" s="22">
        <v>0.83999999999999997</v>
      </c>
      <c r="G6580" s="21">
        <f t="shared" si="306"/>
        <v>27.100000000000001</v>
      </c>
      <c r="H6580" s="22">
        <v>0.84999999999999998</v>
      </c>
      <c r="I6580" s="23" t="str">
        <f t="shared" si="307"/>
        <v xml:space="preserve">COM VALOR</v>
      </c>
      <c r="J6580" s="19"/>
      <c r="L6580" s="21">
        <v>27.559999999999999</v>
      </c>
      <c r="M6580" s="22">
        <v>0.69999999999999996</v>
      </c>
      <c r="N6580" s="21">
        <v>27.100000000000001</v>
      </c>
      <c r="O6580" s="22">
        <v>0.70999999999999996</v>
      </c>
    </row>
    <row r="6581" ht="38.25">
      <c r="A6581" t="s">
        <v>6668</v>
      </c>
      <c r="B6581" s="19">
        <v>93111</v>
      </c>
      <c r="C6581" s="20" t="s">
        <v>6700</v>
      </c>
      <c r="D6581" s="19" t="s">
        <v>31</v>
      </c>
      <c r="E6581" s="21">
        <f t="shared" si="305"/>
        <v>26.309999999999999</v>
      </c>
      <c r="F6581" s="22">
        <v>0.66000000000000003</v>
      </c>
      <c r="G6581" s="21">
        <f t="shared" si="306"/>
        <v>25.93</v>
      </c>
      <c r="H6581" s="22">
        <v>0.68000000000000005</v>
      </c>
      <c r="I6581" s="23" t="str">
        <f t="shared" si="307"/>
        <v xml:space="preserve">COM VALOR</v>
      </c>
      <c r="J6581" s="19"/>
      <c r="L6581" s="21">
        <v>26.309999999999999</v>
      </c>
      <c r="M6581" s="22">
        <v>0.73999999999999999</v>
      </c>
      <c r="N6581" s="21">
        <v>25.93</v>
      </c>
      <c r="O6581" s="22">
        <v>0.75</v>
      </c>
    </row>
    <row r="6582" ht="38.25">
      <c r="A6582" t="s">
        <v>6668</v>
      </c>
      <c r="B6582" s="19">
        <v>93059</v>
      </c>
      <c r="C6582" s="20" t="s">
        <v>6701</v>
      </c>
      <c r="D6582" s="19" t="s">
        <v>31</v>
      </c>
      <c r="E6582" s="21">
        <f t="shared" si="305"/>
        <v>31.149999999999999</v>
      </c>
      <c r="F6582" s="22">
        <v>0.80000000000000004</v>
      </c>
      <c r="G6582" s="21">
        <f t="shared" si="306"/>
        <v>30.940000000000001</v>
      </c>
      <c r="H6582" s="22">
        <v>0.81000000000000005</v>
      </c>
      <c r="I6582" s="23" t="str">
        <f t="shared" si="307"/>
        <v xml:space="preserve">COM VALOR</v>
      </c>
      <c r="J6582" s="19"/>
      <c r="L6582" s="21">
        <v>31.149999999999999</v>
      </c>
      <c r="M6582" s="22">
        <v>0.87</v>
      </c>
      <c r="N6582" s="21">
        <v>30.940000000000001</v>
      </c>
      <c r="O6582" s="22">
        <v>0.88</v>
      </c>
    </row>
    <row r="6583" ht="38.25">
      <c r="A6583" t="s">
        <v>6668</v>
      </c>
      <c r="B6583" s="19">
        <v>93093</v>
      </c>
      <c r="C6583" s="20" t="s">
        <v>6702</v>
      </c>
      <c r="D6583" s="19" t="s">
        <v>31</v>
      </c>
      <c r="E6583" s="21">
        <f t="shared" si="305"/>
        <v>32.479999999999997</v>
      </c>
      <c r="F6583" s="22">
        <v>0.67000000000000004</v>
      </c>
      <c r="G6583" s="21">
        <f t="shared" si="306"/>
        <v>32.200000000000003</v>
      </c>
      <c r="H6583" s="22">
        <v>0.68000000000000005</v>
      </c>
      <c r="I6583" s="23" t="str">
        <f t="shared" si="307"/>
        <v xml:space="preserve">COM VALOR</v>
      </c>
      <c r="J6583" s="19"/>
      <c r="L6583" s="21">
        <v>32.479999999999997</v>
      </c>
      <c r="M6583" s="22">
        <v>0.83999999999999997</v>
      </c>
      <c r="N6583" s="21">
        <v>32.200000000000003</v>
      </c>
      <c r="O6583" s="22">
        <v>0.84999999999999998</v>
      </c>
    </row>
    <row r="6584" ht="38.25">
      <c r="A6584" t="s">
        <v>6668</v>
      </c>
      <c r="B6584" s="19">
        <v>103899</v>
      </c>
      <c r="C6584" s="20" t="s">
        <v>6703</v>
      </c>
      <c r="D6584" s="19" t="s">
        <v>31</v>
      </c>
      <c r="E6584" s="21">
        <f t="shared" si="305"/>
        <v>34.789999999999999</v>
      </c>
      <c r="F6584" s="22">
        <v>0.97999999999999998</v>
      </c>
      <c r="G6584" s="21">
        <f t="shared" si="306"/>
        <v>34.369999999999997</v>
      </c>
      <c r="H6584" s="22">
        <v>0.97999999999999998</v>
      </c>
      <c r="I6584" s="23" t="str">
        <f t="shared" si="307"/>
        <v xml:space="preserve">COM VALOR</v>
      </c>
      <c r="J6584" s="19"/>
      <c r="L6584" s="21">
        <v>34.789999999999999</v>
      </c>
      <c r="M6584" s="22">
        <v>0.78000000000000003</v>
      </c>
      <c r="N6584" s="21">
        <v>34.369999999999997</v>
      </c>
      <c r="O6584" s="22">
        <v>0.79000000000000004</v>
      </c>
    </row>
    <row r="6585" ht="38.25">
      <c r="A6585" t="s">
        <v>6668</v>
      </c>
      <c r="B6585" s="19">
        <v>103830</v>
      </c>
      <c r="C6585" s="20" t="s">
        <v>6704</v>
      </c>
      <c r="D6585" s="19" t="s">
        <v>31</v>
      </c>
      <c r="E6585" s="21">
        <f t="shared" si="305"/>
        <v>38.729999999999997</v>
      </c>
      <c r="F6585" s="22">
        <v>0.82999999999999996</v>
      </c>
      <c r="G6585" s="21">
        <f t="shared" si="306"/>
        <v>38.090000000000003</v>
      </c>
      <c r="H6585" s="22">
        <v>0.83999999999999997</v>
      </c>
      <c r="I6585" s="23" t="str">
        <f t="shared" si="307"/>
        <v xml:space="preserve">COM VALOR</v>
      </c>
      <c r="J6585" s="19"/>
      <c r="L6585" s="21">
        <v>38.729999999999997</v>
      </c>
      <c r="M6585" s="22">
        <v>0.69999999999999996</v>
      </c>
      <c r="N6585" s="21">
        <v>38.090000000000003</v>
      </c>
      <c r="O6585" s="22">
        <v>0.70999999999999996</v>
      </c>
    </row>
    <row r="6586" ht="38.25">
      <c r="A6586" t="s">
        <v>6668</v>
      </c>
      <c r="B6586" s="19">
        <v>103863</v>
      </c>
      <c r="C6586" s="20" t="s">
        <v>6705</v>
      </c>
      <c r="D6586" s="19" t="s">
        <v>31</v>
      </c>
      <c r="E6586" s="21">
        <f t="shared" si="305"/>
        <v>35.590000000000003</v>
      </c>
      <c r="F6586" s="22">
        <v>0.96999999999999997</v>
      </c>
      <c r="G6586" s="21">
        <f t="shared" si="306"/>
        <v>35.119999999999997</v>
      </c>
      <c r="H6586" s="22">
        <v>0.97999999999999998</v>
      </c>
      <c r="I6586" s="23" t="str">
        <f t="shared" si="307"/>
        <v xml:space="preserve">COM VALOR</v>
      </c>
      <c r="J6586" s="19"/>
      <c r="L6586" s="21">
        <v>35.590000000000003</v>
      </c>
      <c r="M6586" s="22">
        <v>0.77000000000000002</v>
      </c>
      <c r="N6586" s="21">
        <v>35.119999999999997</v>
      </c>
      <c r="O6586" s="22">
        <v>0.78000000000000003</v>
      </c>
    </row>
    <row r="6587" ht="38.25">
      <c r="A6587" t="s">
        <v>6668</v>
      </c>
      <c r="B6587" s="19">
        <v>93114</v>
      </c>
      <c r="C6587" s="20" t="s">
        <v>6706</v>
      </c>
      <c r="D6587" s="19" t="s">
        <v>31</v>
      </c>
      <c r="E6587" s="21">
        <f t="shared" si="305"/>
        <v>34.409999999999997</v>
      </c>
      <c r="F6587" s="22">
        <v>0.91000000000000003</v>
      </c>
      <c r="G6587" s="21">
        <f t="shared" si="306"/>
        <v>34.009999999999998</v>
      </c>
      <c r="H6587" s="22">
        <v>0.92000000000000004</v>
      </c>
      <c r="I6587" s="23" t="str">
        <f t="shared" si="307"/>
        <v xml:space="preserve">COM VALOR</v>
      </c>
      <c r="J6587" s="19"/>
      <c r="L6587" s="21">
        <v>34.409999999999997</v>
      </c>
      <c r="M6587" s="22">
        <v>0.79000000000000004</v>
      </c>
      <c r="N6587" s="21">
        <v>34.009999999999998</v>
      </c>
      <c r="O6587" s="22">
        <v>0.80000000000000004</v>
      </c>
    </row>
    <row r="6588" ht="38.25">
      <c r="A6588" t="s">
        <v>6668</v>
      </c>
      <c r="B6588" s="19">
        <v>93075</v>
      </c>
      <c r="C6588" s="20" t="s">
        <v>6707</v>
      </c>
      <c r="D6588" s="19" t="s">
        <v>31</v>
      </c>
      <c r="E6588" s="21">
        <f t="shared" si="305"/>
        <v>20.879999999999999</v>
      </c>
      <c r="F6588" s="22">
        <v>0.83999999999999997</v>
      </c>
      <c r="G6588" s="21">
        <f t="shared" si="306"/>
        <v>20.559999999999999</v>
      </c>
      <c r="H6588" s="22">
        <v>0.84999999999999998</v>
      </c>
      <c r="I6588" s="23" t="str">
        <f t="shared" si="307"/>
        <v xml:space="preserve">COM VALOR</v>
      </c>
      <c r="J6588" s="19"/>
      <c r="L6588" s="21">
        <v>20.879999999999999</v>
      </c>
      <c r="M6588" s="22">
        <v>0.71999999999999997</v>
      </c>
      <c r="N6588" s="21">
        <v>20.559999999999999</v>
      </c>
      <c r="O6588" s="22">
        <v>0.73999999999999999</v>
      </c>
    </row>
    <row r="6589" ht="38.25">
      <c r="A6589" t="s">
        <v>6668</v>
      </c>
      <c r="B6589" s="19">
        <v>103876</v>
      </c>
      <c r="C6589" s="20" t="s">
        <v>6708</v>
      </c>
      <c r="D6589" s="19" t="s">
        <v>31</v>
      </c>
      <c r="E6589" s="21">
        <f t="shared" si="305"/>
        <v>23.32</v>
      </c>
      <c r="F6589" s="22">
        <v>0.80000000000000004</v>
      </c>
      <c r="G6589" s="21">
        <f t="shared" si="306"/>
        <v>22.859999999999999</v>
      </c>
      <c r="H6589" s="22">
        <v>0.81999999999999995</v>
      </c>
      <c r="I6589" s="23" t="str">
        <f t="shared" si="307"/>
        <v xml:space="preserve">COM VALOR</v>
      </c>
      <c r="J6589" s="19"/>
      <c r="L6589" s="21">
        <v>23.32</v>
      </c>
      <c r="M6589" s="22">
        <v>0.65000000000000002</v>
      </c>
      <c r="N6589" s="21">
        <v>22.859999999999999</v>
      </c>
      <c r="O6589" s="22">
        <v>0.66000000000000003</v>
      </c>
    </row>
    <row r="6590" ht="38.25">
      <c r="A6590" t="s">
        <v>6668</v>
      </c>
      <c r="B6590" s="19">
        <v>103807</v>
      </c>
      <c r="C6590" s="20" t="s">
        <v>6709</v>
      </c>
      <c r="D6590" s="19" t="s">
        <v>31</v>
      </c>
      <c r="E6590" s="21">
        <f t="shared" si="305"/>
        <v>23.300000000000001</v>
      </c>
      <c r="F6590" s="22">
        <v>0.96999999999999997</v>
      </c>
      <c r="G6590" s="21">
        <f t="shared" si="306"/>
        <v>22.850000000000001</v>
      </c>
      <c r="H6590" s="22">
        <v>0.96999999999999997</v>
      </c>
      <c r="I6590" s="23" t="str">
        <f t="shared" si="307"/>
        <v xml:space="preserve">COM VALOR</v>
      </c>
      <c r="J6590" s="19"/>
      <c r="L6590" s="21">
        <v>23.300000000000001</v>
      </c>
      <c r="M6590" s="22">
        <v>0.65000000000000002</v>
      </c>
      <c r="N6590" s="21">
        <v>22.850000000000001</v>
      </c>
      <c r="O6590" s="22">
        <v>0.66000000000000003</v>
      </c>
    </row>
    <row r="6591" ht="38.25">
      <c r="A6591" t="s">
        <v>6668</v>
      </c>
      <c r="B6591" s="19">
        <v>103840</v>
      </c>
      <c r="C6591" s="20" t="s">
        <v>6710</v>
      </c>
      <c r="D6591" s="19" t="s">
        <v>31</v>
      </c>
      <c r="E6591" s="21">
        <f t="shared" si="305"/>
        <v>22.93</v>
      </c>
      <c r="F6591" s="22">
        <v>0.89000000000000001</v>
      </c>
      <c r="G6591" s="21">
        <f t="shared" si="306"/>
        <v>22.5</v>
      </c>
      <c r="H6591" s="22">
        <v>0.90000000000000002</v>
      </c>
      <c r="I6591" s="23" t="str">
        <f t="shared" si="307"/>
        <v xml:space="preserve">COM VALOR</v>
      </c>
      <c r="J6591" s="19"/>
      <c r="L6591" s="21">
        <v>22.93</v>
      </c>
      <c r="M6591" s="22">
        <v>0.66000000000000003</v>
      </c>
      <c r="N6591" s="21">
        <v>22.5</v>
      </c>
      <c r="O6591" s="22">
        <v>0.67000000000000004</v>
      </c>
    </row>
    <row r="6592" ht="38.25">
      <c r="A6592" t="s">
        <v>6668</v>
      </c>
      <c r="B6592" s="19">
        <v>93098</v>
      </c>
      <c r="C6592" s="20" t="s">
        <v>6711</v>
      </c>
      <c r="D6592" s="19" t="s">
        <v>31</v>
      </c>
      <c r="E6592" s="21">
        <f t="shared" si="305"/>
        <v>21.010000000000002</v>
      </c>
      <c r="F6592" s="22">
        <v>0.73999999999999999</v>
      </c>
      <c r="G6592" s="21">
        <f t="shared" si="306"/>
        <v>20.690000000000001</v>
      </c>
      <c r="H6592" s="22">
        <v>0.75</v>
      </c>
      <c r="I6592" s="23" t="str">
        <f t="shared" si="307"/>
        <v xml:space="preserve">COM VALOR</v>
      </c>
      <c r="J6592" s="19"/>
      <c r="L6592" s="21">
        <v>21.010000000000002</v>
      </c>
      <c r="M6592" s="22">
        <v>0.71999999999999997</v>
      </c>
      <c r="N6592" s="21">
        <v>20.690000000000001</v>
      </c>
      <c r="O6592" s="22">
        <v>0.72999999999999998</v>
      </c>
    </row>
    <row r="6593" ht="38.25">
      <c r="A6593" t="s">
        <v>6668</v>
      </c>
      <c r="B6593" s="19">
        <v>93120</v>
      </c>
      <c r="C6593" s="20" t="s">
        <v>6712</v>
      </c>
      <c r="D6593" s="19" t="s">
        <v>31</v>
      </c>
      <c r="E6593" s="21">
        <f t="shared" si="305"/>
        <v>27.43</v>
      </c>
      <c r="F6593" s="22">
        <v>0.80000000000000004</v>
      </c>
      <c r="G6593" s="21">
        <f t="shared" si="306"/>
        <v>27.190000000000001</v>
      </c>
      <c r="H6593" s="22">
        <v>0.81999999999999995</v>
      </c>
      <c r="I6593" s="23" t="str">
        <f t="shared" si="307"/>
        <v xml:space="preserve">COM VALOR</v>
      </c>
      <c r="J6593" s="19"/>
      <c r="L6593" s="21">
        <v>27.43</v>
      </c>
      <c r="M6593" s="22">
        <v>0.84999999999999998</v>
      </c>
      <c r="N6593" s="21">
        <v>27.190000000000001</v>
      </c>
      <c r="O6593" s="22">
        <v>0.84999999999999998</v>
      </c>
    </row>
    <row r="6594" ht="38.25">
      <c r="A6594" t="s">
        <v>6668</v>
      </c>
      <c r="B6594" s="19">
        <v>93077</v>
      </c>
      <c r="C6594" s="20" t="s">
        <v>6713</v>
      </c>
      <c r="D6594" s="19" t="s">
        <v>31</v>
      </c>
      <c r="E6594" s="21">
        <f t="shared" si="305"/>
        <v>29.57</v>
      </c>
      <c r="F6594" s="22">
        <v>0.68999999999999995</v>
      </c>
      <c r="G6594" s="21">
        <f t="shared" si="306"/>
        <v>29.219999999999999</v>
      </c>
      <c r="H6594" s="22">
        <v>0.70999999999999996</v>
      </c>
      <c r="I6594" s="23" t="str">
        <f t="shared" si="307"/>
        <v xml:space="preserve">COM VALOR</v>
      </c>
      <c r="J6594" s="19"/>
      <c r="L6594" s="21">
        <v>29.57</v>
      </c>
      <c r="M6594" s="22">
        <v>0.79000000000000004</v>
      </c>
      <c r="N6594" s="21">
        <v>29.219999999999999</v>
      </c>
      <c r="O6594" s="22">
        <v>0.79000000000000004</v>
      </c>
    </row>
    <row r="6595" ht="38.25">
      <c r="A6595" t="s">
        <v>6668</v>
      </c>
      <c r="B6595" s="19">
        <v>103879</v>
      </c>
      <c r="C6595" s="20" t="s">
        <v>6714</v>
      </c>
      <c r="D6595" s="19" t="s">
        <v>31</v>
      </c>
      <c r="E6595" s="21">
        <f t="shared" si="305"/>
        <v>32.560000000000002</v>
      </c>
      <c r="F6595" s="22">
        <v>0.97999999999999998</v>
      </c>
      <c r="G6595" s="21">
        <f t="shared" si="306"/>
        <v>32.039999999999999</v>
      </c>
      <c r="H6595" s="22">
        <v>0.97999999999999998</v>
      </c>
      <c r="I6595" s="23" t="str">
        <f t="shared" si="307"/>
        <v xml:space="preserve">COM VALOR</v>
      </c>
      <c r="J6595" s="19"/>
      <c r="L6595" s="21">
        <v>32.560000000000002</v>
      </c>
      <c r="M6595" s="22">
        <v>0.70999999999999996</v>
      </c>
      <c r="N6595" s="21">
        <v>32.039999999999999</v>
      </c>
      <c r="O6595" s="22">
        <v>0.71999999999999997</v>
      </c>
    </row>
    <row r="6596" ht="38.25">
      <c r="A6596" t="s">
        <v>6668</v>
      </c>
      <c r="B6596" s="19">
        <v>103810</v>
      </c>
      <c r="C6596" s="20" t="s">
        <v>6715</v>
      </c>
      <c r="D6596" s="19" t="s">
        <v>31</v>
      </c>
      <c r="E6596" s="21">
        <f t="shared" si="305"/>
        <v>35.890000000000001</v>
      </c>
      <c r="F6596" s="22">
        <v>0.82999999999999996</v>
      </c>
      <c r="G6596" s="21">
        <f t="shared" si="306"/>
        <v>35.189999999999998</v>
      </c>
      <c r="H6596" s="22">
        <v>0.83999999999999997</v>
      </c>
      <c r="I6596" s="23" t="str">
        <f t="shared" si="307"/>
        <v xml:space="preserve">COM VALOR</v>
      </c>
      <c r="J6596" s="19"/>
      <c r="L6596" s="21">
        <v>35.890000000000001</v>
      </c>
      <c r="M6596" s="22">
        <v>0.65000000000000002</v>
      </c>
      <c r="N6596" s="21">
        <v>35.189999999999998</v>
      </c>
      <c r="O6596" s="22">
        <v>0.66000000000000003</v>
      </c>
    </row>
    <row r="6597" ht="38.25">
      <c r="A6597" t="s">
        <v>6668</v>
      </c>
      <c r="B6597" s="19">
        <v>103843</v>
      </c>
      <c r="C6597" s="20" t="s">
        <v>6716</v>
      </c>
      <c r="D6597" s="19" t="s">
        <v>31</v>
      </c>
      <c r="E6597" s="21">
        <f t="shared" si="305"/>
        <v>33</v>
      </c>
      <c r="F6597" s="22">
        <v>0.96999999999999997</v>
      </c>
      <c r="G6597" s="21">
        <f t="shared" si="306"/>
        <v>32.460000000000001</v>
      </c>
      <c r="H6597" s="22">
        <v>0.96999999999999997</v>
      </c>
      <c r="I6597" s="23" t="str">
        <f t="shared" si="307"/>
        <v xml:space="preserve">COM VALOR</v>
      </c>
      <c r="J6597" s="19"/>
      <c r="L6597" s="21">
        <v>33</v>
      </c>
      <c r="M6597" s="22">
        <v>0.69999999999999996</v>
      </c>
      <c r="N6597" s="21">
        <v>32.460000000000001</v>
      </c>
      <c r="O6597" s="22">
        <v>0.71999999999999997</v>
      </c>
    </row>
    <row r="6598" ht="38.25">
      <c r="A6598" t="s">
        <v>6668</v>
      </c>
      <c r="B6598" s="19">
        <v>93100</v>
      </c>
      <c r="C6598" s="20" t="s">
        <v>6717</v>
      </c>
      <c r="D6598" s="19" t="s">
        <v>31</v>
      </c>
      <c r="E6598" s="21">
        <f t="shared" si="305"/>
        <v>31.16</v>
      </c>
      <c r="F6598" s="22">
        <v>0.92000000000000004</v>
      </c>
      <c r="G6598" s="21">
        <f t="shared" si="306"/>
        <v>30.719999999999999</v>
      </c>
      <c r="H6598" s="22">
        <v>0.92000000000000004</v>
      </c>
      <c r="I6598" s="23" t="str">
        <f t="shared" si="307"/>
        <v xml:space="preserve">COM VALOR</v>
      </c>
      <c r="J6598" s="19"/>
      <c r="L6598" s="21">
        <v>31.16</v>
      </c>
      <c r="M6598" s="22">
        <v>0.75</v>
      </c>
      <c r="N6598" s="21">
        <v>30.719999999999999</v>
      </c>
      <c r="O6598" s="22">
        <v>0.76000000000000001</v>
      </c>
    </row>
    <row r="6599" ht="38.25">
      <c r="A6599" t="s">
        <v>6668</v>
      </c>
      <c r="B6599" s="19">
        <v>93121</v>
      </c>
      <c r="C6599" s="20" t="s">
        <v>6718</v>
      </c>
      <c r="D6599" s="19" t="s">
        <v>31</v>
      </c>
      <c r="E6599" s="21">
        <f t="shared" si="305"/>
        <v>31.120000000000001</v>
      </c>
      <c r="F6599" s="22">
        <v>0.83999999999999997</v>
      </c>
      <c r="G6599" s="21">
        <f t="shared" si="306"/>
        <v>30.84</v>
      </c>
      <c r="H6599" s="22">
        <v>0.84999999999999998</v>
      </c>
      <c r="I6599" s="23" t="str">
        <f t="shared" si="307"/>
        <v xml:space="preserve">COM VALOR</v>
      </c>
      <c r="J6599" s="19"/>
      <c r="L6599" s="21">
        <v>31.120000000000001</v>
      </c>
      <c r="M6599" s="22">
        <v>0.82999999999999996</v>
      </c>
      <c r="N6599" s="21">
        <v>30.84</v>
      </c>
      <c r="O6599" s="22">
        <v>0.83999999999999997</v>
      </c>
    </row>
    <row r="6600" ht="38.25">
      <c r="A6600" t="s">
        <v>6668</v>
      </c>
      <c r="B6600" s="19">
        <v>93078</v>
      </c>
      <c r="C6600" s="20" t="s">
        <v>6719</v>
      </c>
      <c r="D6600" s="19" t="s">
        <v>31</v>
      </c>
      <c r="E6600" s="21">
        <f t="shared" si="305"/>
        <v>33.270000000000003</v>
      </c>
      <c r="F6600" s="22">
        <v>0.79000000000000004</v>
      </c>
      <c r="G6600" s="21">
        <f t="shared" si="306"/>
        <v>32.869999999999997</v>
      </c>
      <c r="H6600" s="22">
        <v>0.80000000000000004</v>
      </c>
      <c r="I6600" s="23" t="str">
        <f t="shared" si="307"/>
        <v xml:space="preserve">COM VALOR</v>
      </c>
      <c r="J6600" s="19"/>
      <c r="L6600" s="21">
        <v>33.270000000000003</v>
      </c>
      <c r="M6600" s="22">
        <v>0.78000000000000003</v>
      </c>
      <c r="N6600" s="21">
        <v>32.869999999999997</v>
      </c>
      <c r="O6600" s="22">
        <v>0.79000000000000004</v>
      </c>
    </row>
    <row r="6601" ht="38.25">
      <c r="A6601" t="s">
        <v>6668</v>
      </c>
      <c r="B6601" s="19">
        <v>103880</v>
      </c>
      <c r="C6601" s="20" t="s">
        <v>6720</v>
      </c>
      <c r="D6601" s="19" t="s">
        <v>31</v>
      </c>
      <c r="E6601" s="21">
        <f t="shared" si="305"/>
        <v>36.259999999999998</v>
      </c>
      <c r="F6601" s="22">
        <v>0.96999999999999997</v>
      </c>
      <c r="G6601" s="21">
        <f t="shared" si="306"/>
        <v>35.689999999999998</v>
      </c>
      <c r="H6601" s="22">
        <v>0.96999999999999997</v>
      </c>
      <c r="I6601" s="23" t="str">
        <f t="shared" si="307"/>
        <v xml:space="preserve">COM VALOR</v>
      </c>
      <c r="J6601" s="19"/>
      <c r="L6601" s="21">
        <v>36.259999999999998</v>
      </c>
      <c r="M6601" s="22">
        <v>0.71999999999999997</v>
      </c>
      <c r="N6601" s="21">
        <v>35.689999999999998</v>
      </c>
      <c r="O6601" s="22">
        <v>0.72999999999999998</v>
      </c>
    </row>
    <row r="6602" ht="38.25">
      <c r="A6602" t="s">
        <v>6668</v>
      </c>
      <c r="B6602" s="19">
        <v>103811</v>
      </c>
      <c r="C6602" s="20" t="s">
        <v>6721</v>
      </c>
      <c r="D6602" s="19" t="s">
        <v>31</v>
      </c>
      <c r="E6602" s="21">
        <f t="shared" si="305"/>
        <v>39.600000000000001</v>
      </c>
      <c r="F6602" s="22">
        <v>0.90000000000000002</v>
      </c>
      <c r="G6602" s="21">
        <f t="shared" si="306"/>
        <v>38.840000000000003</v>
      </c>
      <c r="H6602" s="22">
        <v>0.91000000000000003</v>
      </c>
      <c r="I6602" s="23" t="str">
        <f t="shared" si="307"/>
        <v xml:space="preserve">COM VALOR</v>
      </c>
      <c r="J6602" s="19"/>
      <c r="L6602" s="21">
        <v>39.600000000000001</v>
      </c>
      <c r="M6602" s="22">
        <v>0.66000000000000003</v>
      </c>
      <c r="N6602" s="21">
        <v>38.840000000000003</v>
      </c>
      <c r="O6602" s="22">
        <v>0.67000000000000004</v>
      </c>
    </row>
    <row r="6603" ht="38.25">
      <c r="A6603" t="s">
        <v>6668</v>
      </c>
      <c r="B6603" s="19">
        <v>103844</v>
      </c>
      <c r="C6603" s="20" t="s">
        <v>6722</v>
      </c>
      <c r="D6603" s="19" t="s">
        <v>31</v>
      </c>
      <c r="E6603" s="21">
        <f t="shared" ref="E6603:E6666" si="308">IF(L6603=0,"VERIFICAR",L6603)</f>
        <v>36.700000000000003</v>
      </c>
      <c r="F6603" s="22">
        <v>0.76000000000000001</v>
      </c>
      <c r="G6603" s="21">
        <f t="shared" ref="G6603:G6666" si="309">IF(N6603=0,"VERIFICAR",N6603)</f>
        <v>36.100000000000001</v>
      </c>
      <c r="H6603" s="22">
        <v>0.77000000000000002</v>
      </c>
      <c r="I6603" s="23" t="str">
        <f t="shared" ref="I6603:I6666" si="310">IF(OR(E6603=0,G6603=0),"SEM VALOR","COM VALOR")</f>
        <v xml:space="preserve">COM VALOR</v>
      </c>
      <c r="J6603" s="19"/>
      <c r="L6603" s="21">
        <v>36.700000000000003</v>
      </c>
      <c r="M6603" s="22">
        <v>0.70999999999999996</v>
      </c>
      <c r="N6603" s="21">
        <v>36.100000000000001</v>
      </c>
      <c r="O6603" s="22">
        <v>0.71999999999999997</v>
      </c>
    </row>
    <row r="6604" ht="38.25">
      <c r="A6604" t="s">
        <v>6668</v>
      </c>
      <c r="B6604" s="19">
        <v>93101</v>
      </c>
      <c r="C6604" s="20" t="s">
        <v>6723</v>
      </c>
      <c r="D6604" s="19" t="s">
        <v>31</v>
      </c>
      <c r="E6604" s="21">
        <f t="shared" si="308"/>
        <v>34.869999999999997</v>
      </c>
      <c r="F6604" s="22">
        <v>0.83999999999999997</v>
      </c>
      <c r="G6604" s="21">
        <f t="shared" si="309"/>
        <v>34.369999999999997</v>
      </c>
      <c r="H6604" s="22">
        <v>0.84999999999999998</v>
      </c>
      <c r="I6604" s="23" t="str">
        <f t="shared" si="310"/>
        <v xml:space="preserve">COM VALOR</v>
      </c>
      <c r="J6604" s="19"/>
      <c r="L6604" s="21">
        <v>34.869999999999997</v>
      </c>
      <c r="M6604" s="22">
        <v>0.73999999999999999</v>
      </c>
      <c r="N6604" s="21">
        <v>34.369999999999997</v>
      </c>
      <c r="O6604" s="22">
        <v>0.75</v>
      </c>
    </row>
    <row r="6605" ht="38.25">
      <c r="A6605" t="s">
        <v>6668</v>
      </c>
      <c r="B6605" s="19">
        <v>92311</v>
      </c>
      <c r="C6605" s="20" t="s">
        <v>6724</v>
      </c>
      <c r="D6605" s="19" t="s">
        <v>31</v>
      </c>
      <c r="E6605" s="21">
        <f t="shared" si="308"/>
        <v>13.65</v>
      </c>
      <c r="F6605" s="22">
        <v>0.68999999999999995</v>
      </c>
      <c r="G6605" s="21">
        <f t="shared" si="309"/>
        <v>13.26</v>
      </c>
      <c r="H6605" s="22">
        <v>0.70999999999999996</v>
      </c>
      <c r="I6605" s="23" t="str">
        <f t="shared" si="310"/>
        <v xml:space="preserve">COM VALOR</v>
      </c>
      <c r="J6605" s="19"/>
      <c r="L6605" s="21">
        <v>13.65</v>
      </c>
      <c r="M6605" s="22">
        <v>0.47999999999999998</v>
      </c>
      <c r="N6605" s="21">
        <v>13.26</v>
      </c>
      <c r="O6605" s="22">
        <v>0.5</v>
      </c>
    </row>
    <row r="6606" ht="38.25">
      <c r="A6606" t="s">
        <v>6668</v>
      </c>
      <c r="B6606" s="19">
        <v>103874</v>
      </c>
      <c r="C6606" s="20" t="s">
        <v>6725</v>
      </c>
      <c r="D6606" s="19" t="s">
        <v>31</v>
      </c>
      <c r="E6606" s="21">
        <f t="shared" si="308"/>
        <v>19</v>
      </c>
      <c r="F6606" s="22">
        <v>0.97999999999999998</v>
      </c>
      <c r="G6606" s="21">
        <f t="shared" si="309"/>
        <v>18.289999999999999</v>
      </c>
      <c r="H6606" s="22">
        <v>0.97999999999999998</v>
      </c>
      <c r="I6606" s="23" t="str">
        <f t="shared" si="310"/>
        <v xml:space="preserve">COM VALOR</v>
      </c>
      <c r="J6606" s="19"/>
      <c r="L6606" s="21">
        <v>19</v>
      </c>
      <c r="M6606" s="22">
        <v>0.34000000000000002</v>
      </c>
      <c r="N6606" s="21">
        <v>18.289999999999999</v>
      </c>
      <c r="O6606" s="22">
        <v>0.34999999999999998</v>
      </c>
    </row>
    <row r="6607" ht="38.25">
      <c r="A6607" t="s">
        <v>6668</v>
      </c>
      <c r="B6607" s="19">
        <v>103805</v>
      </c>
      <c r="C6607" s="20" t="s">
        <v>6726</v>
      </c>
      <c r="D6607" s="19" t="s">
        <v>31</v>
      </c>
      <c r="E6607" s="21">
        <f t="shared" si="308"/>
        <v>18.960000000000001</v>
      </c>
      <c r="F6607" s="22">
        <v>0.97999999999999998</v>
      </c>
      <c r="G6607" s="21">
        <f t="shared" si="309"/>
        <v>18.260000000000002</v>
      </c>
      <c r="H6607" s="22">
        <v>0.97999999999999998</v>
      </c>
      <c r="I6607" s="23" t="str">
        <f t="shared" si="310"/>
        <v xml:space="preserve">COM VALOR</v>
      </c>
      <c r="J6607" s="19"/>
      <c r="L6607" s="21">
        <v>18.960000000000001</v>
      </c>
      <c r="M6607" s="22">
        <v>0.34000000000000002</v>
      </c>
      <c r="N6607" s="21">
        <v>18.260000000000002</v>
      </c>
      <c r="O6607" s="22">
        <v>0.34999999999999998</v>
      </c>
    </row>
    <row r="6608" ht="38.25">
      <c r="A6608" t="s">
        <v>6668</v>
      </c>
      <c r="B6608" s="19">
        <v>103838</v>
      </c>
      <c r="C6608" s="20" t="s">
        <v>6727</v>
      </c>
      <c r="D6608" s="19" t="s">
        <v>31</v>
      </c>
      <c r="E6608" s="21">
        <f t="shared" si="308"/>
        <v>18.23</v>
      </c>
      <c r="F6608" s="22">
        <v>0.96999999999999997</v>
      </c>
      <c r="G6608" s="21">
        <f t="shared" si="309"/>
        <v>17.57</v>
      </c>
      <c r="H6608" s="22">
        <v>0.96999999999999997</v>
      </c>
      <c r="I6608" s="23" t="str">
        <f t="shared" si="310"/>
        <v xml:space="preserve">COM VALOR</v>
      </c>
      <c r="J6608" s="19"/>
      <c r="L6608" s="21">
        <v>18.23</v>
      </c>
      <c r="M6608" s="22">
        <v>0.34999999999999998</v>
      </c>
      <c r="N6608" s="21">
        <v>17.57</v>
      </c>
      <c r="O6608" s="22">
        <v>0.35999999999999999</v>
      </c>
    </row>
    <row r="6609" ht="38.25">
      <c r="A6609" t="s">
        <v>6668</v>
      </c>
      <c r="B6609" s="19">
        <v>92326</v>
      </c>
      <c r="C6609" s="20" t="s">
        <v>6728</v>
      </c>
      <c r="D6609" s="19" t="s">
        <v>31</v>
      </c>
      <c r="E6609" s="21">
        <f t="shared" si="308"/>
        <v>14.380000000000001</v>
      </c>
      <c r="F6609" s="22">
        <v>0.97999999999999998</v>
      </c>
      <c r="G6609" s="21">
        <f t="shared" si="309"/>
        <v>13.94</v>
      </c>
      <c r="H6609" s="22">
        <v>0.97999999999999998</v>
      </c>
      <c r="I6609" s="23" t="str">
        <f t="shared" si="310"/>
        <v xml:space="preserve">COM VALOR</v>
      </c>
      <c r="J6609" s="19"/>
      <c r="L6609" s="21">
        <v>14.380000000000001</v>
      </c>
      <c r="M6609" s="22">
        <v>0.44</v>
      </c>
      <c r="N6609" s="21">
        <v>13.94</v>
      </c>
      <c r="O6609" s="22">
        <v>0.46000000000000002</v>
      </c>
    </row>
    <row r="6610" ht="38.25">
      <c r="A6610" t="s">
        <v>6668</v>
      </c>
      <c r="B6610" s="19">
        <v>92287</v>
      </c>
      <c r="C6610" s="20" t="s">
        <v>6729</v>
      </c>
      <c r="D6610" s="19" t="s">
        <v>31</v>
      </c>
      <c r="E6610" s="21">
        <f t="shared" si="308"/>
        <v>18.57</v>
      </c>
      <c r="F6610" s="22">
        <v>0.97999999999999998</v>
      </c>
      <c r="G6610" s="21">
        <f t="shared" si="309"/>
        <v>18.32</v>
      </c>
      <c r="H6610" s="22">
        <v>0.97999999999999998</v>
      </c>
      <c r="I6610" s="23" t="str">
        <f t="shared" si="310"/>
        <v xml:space="preserve">COM VALOR</v>
      </c>
      <c r="J6610" s="19"/>
      <c r="L6610" s="21">
        <v>18.57</v>
      </c>
      <c r="M6610" s="22">
        <v>0.75</v>
      </c>
      <c r="N6610" s="21">
        <v>18.32</v>
      </c>
      <c r="O6610" s="22">
        <v>0.76000000000000001</v>
      </c>
    </row>
    <row r="6611" ht="38.25">
      <c r="A6611" t="s">
        <v>6668</v>
      </c>
      <c r="B6611" s="19">
        <v>92312</v>
      </c>
      <c r="C6611" s="20" t="s">
        <v>6730</v>
      </c>
      <c r="D6611" s="19" t="s">
        <v>31</v>
      </c>
      <c r="E6611" s="21">
        <f t="shared" si="308"/>
        <v>22.870000000000001</v>
      </c>
      <c r="F6611" s="22">
        <v>0.96999999999999997</v>
      </c>
      <c r="G6611" s="21">
        <f t="shared" si="309"/>
        <v>22.379999999999999</v>
      </c>
      <c r="H6611" s="22">
        <v>0.97999999999999998</v>
      </c>
      <c r="I6611" s="23" t="str">
        <f t="shared" si="310"/>
        <v xml:space="preserve">COM VALOR</v>
      </c>
      <c r="J6611" s="19"/>
      <c r="L6611" s="21">
        <v>22.870000000000001</v>
      </c>
      <c r="M6611" s="22">
        <v>0.60999999999999999</v>
      </c>
      <c r="N6611" s="21">
        <v>22.379999999999999</v>
      </c>
      <c r="O6611" s="22">
        <v>0.62</v>
      </c>
    </row>
    <row r="6612" ht="38.25">
      <c r="A6612" t="s">
        <v>6668</v>
      </c>
      <c r="B6612" s="19">
        <v>103877</v>
      </c>
      <c r="C6612" s="20" t="s">
        <v>6731</v>
      </c>
      <c r="D6612" s="19" t="s">
        <v>31</v>
      </c>
      <c r="E6612" s="21">
        <f t="shared" si="308"/>
        <v>28.850000000000001</v>
      </c>
      <c r="F6612" s="22">
        <v>0.97999999999999998</v>
      </c>
      <c r="G6612" s="21">
        <f t="shared" si="309"/>
        <v>28.02</v>
      </c>
      <c r="H6612" s="22">
        <v>0.97999999999999998</v>
      </c>
      <c r="I6612" s="23" t="str">
        <f t="shared" si="310"/>
        <v xml:space="preserve">COM VALOR</v>
      </c>
      <c r="J6612" s="19"/>
      <c r="L6612" s="21">
        <v>28.850000000000001</v>
      </c>
      <c r="M6612" s="22">
        <v>0.47999999999999998</v>
      </c>
      <c r="N6612" s="21">
        <v>28.02</v>
      </c>
      <c r="O6612" s="22">
        <v>0.5</v>
      </c>
    </row>
    <row r="6613" ht="38.25">
      <c r="A6613" t="s">
        <v>6668</v>
      </c>
      <c r="B6613" s="19">
        <v>103808</v>
      </c>
      <c r="C6613" s="20" t="s">
        <v>6732</v>
      </c>
      <c r="D6613" s="19" t="s">
        <v>31</v>
      </c>
      <c r="E6613" s="21">
        <f t="shared" si="308"/>
        <v>35.509999999999998</v>
      </c>
      <c r="F6613" s="22">
        <v>0.97999999999999998</v>
      </c>
      <c r="G6613" s="21">
        <f t="shared" si="309"/>
        <v>34.310000000000002</v>
      </c>
      <c r="H6613" s="22">
        <v>0.97999999999999998</v>
      </c>
      <c r="I6613" s="23" t="str">
        <f t="shared" si="310"/>
        <v xml:space="preserve">COM VALOR</v>
      </c>
      <c r="J6613" s="19"/>
      <c r="L6613" s="21">
        <v>35.509999999999998</v>
      </c>
      <c r="M6613" s="22">
        <v>0.39000000000000001</v>
      </c>
      <c r="N6613" s="21">
        <v>34.310000000000002</v>
      </c>
      <c r="O6613" s="22">
        <v>0.40999999999999998</v>
      </c>
    </row>
    <row r="6614" ht="38.25">
      <c r="A6614" t="s">
        <v>6668</v>
      </c>
      <c r="B6614" s="19">
        <v>103841</v>
      </c>
      <c r="C6614" s="20" t="s">
        <v>6733</v>
      </c>
      <c r="D6614" s="19" t="s">
        <v>31</v>
      </c>
      <c r="E6614" s="21">
        <f t="shared" si="308"/>
        <v>29.73</v>
      </c>
      <c r="F6614" s="22">
        <v>0.97999999999999998</v>
      </c>
      <c r="G6614" s="21">
        <f t="shared" si="309"/>
        <v>28.84</v>
      </c>
      <c r="H6614" s="22">
        <v>0.97999999999999998</v>
      </c>
      <c r="I6614" s="23" t="str">
        <f t="shared" si="310"/>
        <v xml:space="preserve">COM VALOR</v>
      </c>
      <c r="J6614" s="19"/>
      <c r="L6614" s="21">
        <v>29.73</v>
      </c>
      <c r="M6614" s="22">
        <v>0.46999999999999997</v>
      </c>
      <c r="N6614" s="21">
        <v>28.84</v>
      </c>
      <c r="O6614" s="22">
        <v>0.47999999999999998</v>
      </c>
    </row>
    <row r="6615" ht="38.25">
      <c r="A6615" t="s">
        <v>6668</v>
      </c>
      <c r="B6615" s="19">
        <v>92327</v>
      </c>
      <c r="C6615" s="20" t="s">
        <v>6734</v>
      </c>
      <c r="D6615" s="19" t="s">
        <v>31</v>
      </c>
      <c r="E6615" s="21">
        <f t="shared" si="308"/>
        <v>26.059999999999999</v>
      </c>
      <c r="F6615" s="22">
        <v>0.96999999999999997</v>
      </c>
      <c r="G6615" s="21">
        <f t="shared" si="309"/>
        <v>25.390000000000001</v>
      </c>
      <c r="H6615" s="22">
        <v>0.96999999999999997</v>
      </c>
      <c r="I6615" s="23" t="str">
        <f t="shared" si="310"/>
        <v xml:space="preserve">COM VALOR</v>
      </c>
      <c r="J6615" s="19"/>
      <c r="L6615" s="21">
        <v>26.059999999999999</v>
      </c>
      <c r="M6615" s="22">
        <v>0.54000000000000004</v>
      </c>
      <c r="N6615" s="21">
        <v>25.390000000000001</v>
      </c>
      <c r="O6615" s="22">
        <v>0.55000000000000004</v>
      </c>
    </row>
    <row r="6616" ht="38.25">
      <c r="A6616" t="s">
        <v>6668</v>
      </c>
      <c r="B6616" s="19">
        <v>92288</v>
      </c>
      <c r="C6616" s="20" t="s">
        <v>6735</v>
      </c>
      <c r="D6616" s="19" t="s">
        <v>31</v>
      </c>
      <c r="E6616" s="21">
        <f t="shared" si="308"/>
        <v>29.359999999999999</v>
      </c>
      <c r="F6616" s="22">
        <v>0.97999999999999998</v>
      </c>
      <c r="G6616" s="21">
        <f t="shared" si="309"/>
        <v>29.039999999999999</v>
      </c>
      <c r="H6616" s="22">
        <v>0.97999999999999998</v>
      </c>
      <c r="I6616" s="23" t="str">
        <f t="shared" si="310"/>
        <v xml:space="preserve">COM VALOR</v>
      </c>
      <c r="J6616" s="19"/>
      <c r="L6616" s="21">
        <v>29.359999999999999</v>
      </c>
      <c r="M6616" s="22">
        <v>0.80000000000000004</v>
      </c>
      <c r="N6616" s="21">
        <v>29.039999999999999</v>
      </c>
      <c r="O6616" s="22">
        <v>0.81000000000000005</v>
      </c>
    </row>
    <row r="6617" ht="38.25">
      <c r="A6617" t="s">
        <v>6668</v>
      </c>
      <c r="B6617" s="19">
        <v>92313</v>
      </c>
      <c r="C6617" s="20" t="s">
        <v>6736</v>
      </c>
      <c r="D6617" s="19" t="s">
        <v>31</v>
      </c>
      <c r="E6617" s="21">
        <f t="shared" si="308"/>
        <v>33.329999999999998</v>
      </c>
      <c r="F6617" s="22">
        <v>0.97999999999999998</v>
      </c>
      <c r="G6617" s="21">
        <f t="shared" si="309"/>
        <v>32.780000000000001</v>
      </c>
      <c r="H6617" s="22">
        <v>0.97999999999999998</v>
      </c>
      <c r="I6617" s="23" t="str">
        <f t="shared" si="310"/>
        <v xml:space="preserve">COM VALOR</v>
      </c>
      <c r="J6617" s="19"/>
      <c r="L6617" s="21">
        <v>33.329999999999998</v>
      </c>
      <c r="M6617" s="22">
        <v>0.69999999999999996</v>
      </c>
      <c r="N6617" s="21">
        <v>32.780000000000001</v>
      </c>
      <c r="O6617" s="22">
        <v>0.70999999999999996</v>
      </c>
    </row>
    <row r="6618" ht="38.25">
      <c r="A6618" t="s">
        <v>6668</v>
      </c>
      <c r="B6618" s="19">
        <v>103881</v>
      </c>
      <c r="C6618" s="20" t="s">
        <v>6737</v>
      </c>
      <c r="D6618" s="19" t="s">
        <v>31</v>
      </c>
      <c r="E6618" s="21">
        <f t="shared" si="308"/>
        <v>40.25</v>
      </c>
      <c r="F6618" s="22">
        <v>0.37</v>
      </c>
      <c r="G6618" s="21">
        <f t="shared" si="309"/>
        <v>39.310000000000002</v>
      </c>
      <c r="H6618" s="22">
        <v>0.38</v>
      </c>
      <c r="I6618" s="23" t="str">
        <f t="shared" si="310"/>
        <v xml:space="preserve">COM VALOR</v>
      </c>
      <c r="J6618" s="19"/>
      <c r="L6618" s="21">
        <v>40.25</v>
      </c>
      <c r="M6618" s="22">
        <v>0.57999999999999996</v>
      </c>
      <c r="N6618" s="21">
        <v>39.310000000000002</v>
      </c>
      <c r="O6618" s="22">
        <v>0.59499999999999997</v>
      </c>
    </row>
    <row r="6619" ht="38.25">
      <c r="A6619" t="s">
        <v>6668</v>
      </c>
      <c r="B6619" s="19">
        <v>103812</v>
      </c>
      <c r="C6619" s="20" t="s">
        <v>6738</v>
      </c>
      <c r="D6619" s="19" t="s">
        <v>31</v>
      </c>
      <c r="E6619" s="21">
        <f t="shared" si="308"/>
        <v>52.649999999999999</v>
      </c>
      <c r="F6619" s="22">
        <v>0.37</v>
      </c>
      <c r="G6619" s="21">
        <f t="shared" si="309"/>
        <v>51.030000000000001</v>
      </c>
      <c r="H6619" s="22">
        <v>0.38</v>
      </c>
      <c r="I6619" s="23" t="str">
        <f t="shared" si="310"/>
        <v xml:space="preserve">COM VALOR</v>
      </c>
      <c r="J6619" s="19"/>
      <c r="L6619" s="21">
        <v>52.649999999999999</v>
      </c>
      <c r="M6619" s="22">
        <v>0.44</v>
      </c>
      <c r="N6619" s="21">
        <v>51.030000000000001</v>
      </c>
      <c r="O6619" s="22">
        <v>0.46000000000000002</v>
      </c>
    </row>
    <row r="6620" ht="38.25">
      <c r="A6620" t="s">
        <v>6668</v>
      </c>
      <c r="B6620" s="19">
        <v>103845</v>
      </c>
      <c r="C6620" s="20" t="s">
        <v>6739</v>
      </c>
      <c r="D6620" s="19" t="s">
        <v>31</v>
      </c>
      <c r="E6620" s="21">
        <f t="shared" si="308"/>
        <v>42.539999999999999</v>
      </c>
      <c r="F6620" s="22">
        <v>0.38</v>
      </c>
      <c r="G6620" s="21">
        <f t="shared" si="309"/>
        <v>41.479999999999997</v>
      </c>
      <c r="H6620" s="22">
        <v>0.40000000000000002</v>
      </c>
      <c r="I6620" s="23" t="str">
        <f t="shared" si="310"/>
        <v xml:space="preserve">COM VALOR</v>
      </c>
      <c r="J6620" s="19"/>
      <c r="L6620" s="21">
        <v>42.539999999999999</v>
      </c>
      <c r="M6620" s="22">
        <v>0.55000000000000004</v>
      </c>
      <c r="N6620" s="21">
        <v>41.479999999999997</v>
      </c>
      <c r="O6620" s="22">
        <v>0.56000000000000005</v>
      </c>
    </row>
    <row r="6621" ht="38.25">
      <c r="A6621" t="s">
        <v>6668</v>
      </c>
      <c r="B6621" s="19">
        <v>92328</v>
      </c>
      <c r="C6621" s="20" t="s">
        <v>6740</v>
      </c>
      <c r="D6621" s="19" t="s">
        <v>31</v>
      </c>
      <c r="E6621" s="21">
        <f t="shared" si="308"/>
        <v>39.020000000000003</v>
      </c>
      <c r="F6621" s="22">
        <v>0.5</v>
      </c>
      <c r="G6621" s="21">
        <f t="shared" si="309"/>
        <v>38.149999999999999</v>
      </c>
      <c r="H6621" s="22">
        <v>0.52000000000000002</v>
      </c>
      <c r="I6621" s="23" t="str">
        <f t="shared" si="310"/>
        <v xml:space="preserve">COM VALOR</v>
      </c>
      <c r="J6621" s="19"/>
      <c r="L6621" s="21">
        <v>39.020000000000003</v>
      </c>
      <c r="M6621" s="22">
        <v>0.59999999999999998</v>
      </c>
      <c r="N6621" s="21">
        <v>38.149999999999999</v>
      </c>
      <c r="O6621" s="22">
        <v>0.60999999999999999</v>
      </c>
    </row>
    <row r="6622" ht="38.25">
      <c r="A6622" t="s">
        <v>6668</v>
      </c>
      <c r="B6622" s="19">
        <v>92289</v>
      </c>
      <c r="C6622" s="20" t="s">
        <v>6741</v>
      </c>
      <c r="D6622" s="19" t="s">
        <v>31</v>
      </c>
      <c r="E6622" s="21">
        <f t="shared" si="308"/>
        <v>52.149999999999999</v>
      </c>
      <c r="F6622" s="22">
        <v>0.48999999999999999</v>
      </c>
      <c r="G6622" s="21">
        <f t="shared" si="309"/>
        <v>51.729999999999997</v>
      </c>
      <c r="H6622" s="22">
        <v>0.51000000000000001</v>
      </c>
      <c r="I6622" s="23" t="str">
        <f t="shared" si="310"/>
        <v xml:space="preserve">COM VALOR</v>
      </c>
      <c r="J6622" s="19"/>
      <c r="L6622" s="21">
        <v>52.149999999999999</v>
      </c>
      <c r="M6622" s="22">
        <v>0.85999999999999999</v>
      </c>
      <c r="N6622" s="21">
        <v>51.729999999999997</v>
      </c>
      <c r="O6622" s="22">
        <v>0.85999999999999999</v>
      </c>
    </row>
    <row r="6623" ht="38.25">
      <c r="A6623" t="s">
        <v>6668</v>
      </c>
      <c r="B6623" s="19">
        <v>92290</v>
      </c>
      <c r="C6623" s="20" t="s">
        <v>6742</v>
      </c>
      <c r="D6623" s="19" t="s">
        <v>31</v>
      </c>
      <c r="E6623" s="21">
        <f t="shared" si="308"/>
        <v>79.099999999999994</v>
      </c>
      <c r="F6623" s="22">
        <v>0.58999999999999997</v>
      </c>
      <c r="G6623" s="21">
        <f t="shared" si="309"/>
        <v>78.599999999999994</v>
      </c>
      <c r="H6623" s="22">
        <v>0.60999999999999999</v>
      </c>
      <c r="I6623" s="23" t="str">
        <f t="shared" si="310"/>
        <v xml:space="preserve">COM VALOR</v>
      </c>
      <c r="J6623" s="19"/>
      <c r="L6623" s="21">
        <v>79.099999999999994</v>
      </c>
      <c r="M6623" s="22">
        <v>0.88</v>
      </c>
      <c r="N6623" s="21">
        <v>78.599999999999994</v>
      </c>
      <c r="O6623" s="22">
        <v>0.89000000000000001</v>
      </c>
    </row>
    <row r="6624" ht="38.25">
      <c r="A6624" t="s">
        <v>6668</v>
      </c>
      <c r="B6624" s="19">
        <v>92291</v>
      </c>
      <c r="C6624" s="20" t="s">
        <v>6743</v>
      </c>
      <c r="D6624" s="19" t="s">
        <v>31</v>
      </c>
      <c r="E6624" s="21">
        <f t="shared" si="308"/>
        <v>122.67</v>
      </c>
      <c r="F6624" s="22">
        <v>0.45000000000000001</v>
      </c>
      <c r="G6624" s="21">
        <f t="shared" si="309"/>
        <v>122.02</v>
      </c>
      <c r="H6624" s="22">
        <v>0.46999999999999997</v>
      </c>
      <c r="I6624" s="23" t="str">
        <f t="shared" si="310"/>
        <v xml:space="preserve">COM VALOR</v>
      </c>
      <c r="J6624" s="19"/>
      <c r="L6624" s="21">
        <v>122.67</v>
      </c>
      <c r="M6624" s="22">
        <v>0.90000000000000002</v>
      </c>
      <c r="N6624" s="21">
        <v>122.02</v>
      </c>
      <c r="O6624" s="22">
        <v>0.91000000000000003</v>
      </c>
    </row>
    <row r="6625" ht="38.25">
      <c r="A6625" t="s">
        <v>6668</v>
      </c>
      <c r="B6625" s="19">
        <v>92292</v>
      </c>
      <c r="C6625" s="20" t="s">
        <v>6744</v>
      </c>
      <c r="D6625" s="19" t="s">
        <v>31</v>
      </c>
      <c r="E6625" s="21">
        <f t="shared" si="308"/>
        <v>380.98000000000002</v>
      </c>
      <c r="F6625" s="22">
        <v>0.56000000000000005</v>
      </c>
      <c r="G6625" s="21">
        <f t="shared" si="309"/>
        <v>380.18000000000001</v>
      </c>
      <c r="H6625" s="22">
        <v>0.57999999999999996</v>
      </c>
      <c r="I6625" s="23" t="str">
        <f t="shared" si="310"/>
        <v xml:space="preserve">COM VALOR</v>
      </c>
      <c r="J6625" s="19"/>
      <c r="L6625" s="21">
        <v>380.98000000000002</v>
      </c>
      <c r="M6625" s="22">
        <v>0.95999999999999996</v>
      </c>
      <c r="N6625" s="21">
        <v>380.18000000000001</v>
      </c>
      <c r="O6625" s="22">
        <v>0.95999999999999996</v>
      </c>
    </row>
    <row r="6626" ht="38.25">
      <c r="A6626" t="s">
        <v>6668</v>
      </c>
      <c r="B6626" s="19">
        <v>93082</v>
      </c>
      <c r="C6626" s="20" t="s">
        <v>6745</v>
      </c>
      <c r="D6626" s="19" t="s">
        <v>31</v>
      </c>
      <c r="E6626" s="21">
        <f t="shared" si="308"/>
        <v>25.539999999999999</v>
      </c>
      <c r="F6626" s="22">
        <v>0</v>
      </c>
      <c r="G6626" s="21">
        <f t="shared" si="309"/>
        <v>25.260000000000002</v>
      </c>
      <c r="H6626" s="22">
        <v>0</v>
      </c>
      <c r="I6626" s="23" t="str">
        <f t="shared" si="310"/>
        <v xml:space="preserve">COM VALOR</v>
      </c>
      <c r="J6626" s="19"/>
      <c r="L6626" s="21">
        <v>25.539999999999999</v>
      </c>
      <c r="M6626" s="22">
        <v>0.80000000000000004</v>
      </c>
      <c r="N6626" s="21">
        <v>25.260000000000002</v>
      </c>
      <c r="O6626" s="22">
        <v>0.81000000000000005</v>
      </c>
    </row>
    <row r="6627" ht="38.25">
      <c r="A6627" t="s">
        <v>6668</v>
      </c>
      <c r="B6627" s="19">
        <v>103885</v>
      </c>
      <c r="C6627" s="20" t="s">
        <v>6746</v>
      </c>
      <c r="D6627" s="19" t="s">
        <v>31</v>
      </c>
      <c r="E6627" s="21">
        <f t="shared" si="308"/>
        <v>28.800000000000001</v>
      </c>
      <c r="F6627" s="22">
        <v>0</v>
      </c>
      <c r="G6627" s="21">
        <f t="shared" si="309"/>
        <v>28.329999999999998</v>
      </c>
      <c r="H6627" s="22">
        <v>0</v>
      </c>
      <c r="I6627" s="23" t="str">
        <f t="shared" si="310"/>
        <v xml:space="preserve">COM VALOR</v>
      </c>
      <c r="J6627" s="19"/>
      <c r="L6627" s="21">
        <v>28.800000000000001</v>
      </c>
      <c r="M6627" s="22">
        <v>0.70999999999999996</v>
      </c>
      <c r="N6627" s="21">
        <v>28.329999999999998</v>
      </c>
      <c r="O6627" s="22">
        <v>0.71999999999999997</v>
      </c>
    </row>
    <row r="6628" ht="38.25">
      <c r="A6628" t="s">
        <v>6668</v>
      </c>
      <c r="B6628" s="19">
        <v>103816</v>
      </c>
      <c r="C6628" s="20" t="s">
        <v>6747</v>
      </c>
      <c r="D6628" s="19" t="s">
        <v>31</v>
      </c>
      <c r="E6628" s="21">
        <f t="shared" si="308"/>
        <v>28.800000000000001</v>
      </c>
      <c r="F6628" s="22">
        <v>0</v>
      </c>
      <c r="G6628" s="21">
        <f t="shared" si="309"/>
        <v>28.329999999999998</v>
      </c>
      <c r="H6628" s="22">
        <v>0</v>
      </c>
      <c r="I6628" s="23" t="str">
        <f t="shared" si="310"/>
        <v xml:space="preserve">COM VALOR</v>
      </c>
      <c r="J6628" s="19"/>
      <c r="L6628" s="21">
        <v>28.800000000000001</v>
      </c>
      <c r="M6628" s="22">
        <v>0.70999999999999996</v>
      </c>
      <c r="N6628" s="21">
        <v>28.329999999999998</v>
      </c>
      <c r="O6628" s="22">
        <v>0.71999999999999997</v>
      </c>
    </row>
    <row r="6629" ht="38.25">
      <c r="A6629" t="s">
        <v>6668</v>
      </c>
      <c r="B6629" s="19">
        <v>103849</v>
      </c>
      <c r="C6629" s="20" t="s">
        <v>6748</v>
      </c>
      <c r="D6629" s="19" t="s">
        <v>31</v>
      </c>
      <c r="E6629" s="21">
        <f t="shared" si="308"/>
        <v>28.309999999999999</v>
      </c>
      <c r="F6629" s="22">
        <v>0</v>
      </c>
      <c r="G6629" s="21">
        <f t="shared" si="309"/>
        <v>27.870000000000001</v>
      </c>
      <c r="H6629" s="22">
        <v>0</v>
      </c>
      <c r="I6629" s="23" t="str">
        <f t="shared" si="310"/>
        <v xml:space="preserve">COM VALOR</v>
      </c>
      <c r="J6629" s="19"/>
      <c r="L6629" s="21">
        <v>28.309999999999999</v>
      </c>
      <c r="M6629" s="22">
        <v>0.71999999999999997</v>
      </c>
      <c r="N6629" s="21">
        <v>27.870000000000001</v>
      </c>
      <c r="O6629" s="22">
        <v>0.72999999999999998</v>
      </c>
    </row>
    <row r="6630" ht="38.25">
      <c r="A6630" t="s">
        <v>6668</v>
      </c>
      <c r="B6630" s="19">
        <v>93105</v>
      </c>
      <c r="C6630" s="20" t="s">
        <v>6749</v>
      </c>
      <c r="D6630" s="19" t="s">
        <v>31</v>
      </c>
      <c r="E6630" s="21">
        <f t="shared" si="308"/>
        <v>25.73</v>
      </c>
      <c r="F6630" s="22">
        <v>0</v>
      </c>
      <c r="G6630" s="21">
        <f t="shared" si="309"/>
        <v>25.43</v>
      </c>
      <c r="H6630" s="22">
        <v>0</v>
      </c>
      <c r="I6630" s="23" t="str">
        <f t="shared" si="310"/>
        <v xml:space="preserve">COM VALOR</v>
      </c>
      <c r="J6630" s="19"/>
      <c r="L6630" s="21">
        <v>25.73</v>
      </c>
      <c r="M6630" s="22">
        <v>0.79000000000000004</v>
      </c>
      <c r="N6630" s="21">
        <v>25.43</v>
      </c>
      <c r="O6630" s="22">
        <v>0.80000000000000004</v>
      </c>
    </row>
    <row r="6631" ht="38.25">
      <c r="A6631" t="s">
        <v>6668</v>
      </c>
      <c r="B6631" s="19">
        <v>93055</v>
      </c>
      <c r="C6631" s="20" t="s">
        <v>6750</v>
      </c>
      <c r="D6631" s="19" t="s">
        <v>31</v>
      </c>
      <c r="E6631" s="21">
        <f t="shared" si="308"/>
        <v>47.890000000000001</v>
      </c>
      <c r="F6631" s="22"/>
      <c r="G6631" s="21">
        <f t="shared" si="309"/>
        <v>47.710000000000001</v>
      </c>
      <c r="H6631" s="22"/>
      <c r="I6631" s="23" t="str">
        <f t="shared" si="310"/>
        <v xml:space="preserve">COM VALOR</v>
      </c>
      <c r="J6631" s="19"/>
      <c r="L6631" s="21">
        <v>47.890000000000001</v>
      </c>
      <c r="M6631" s="22">
        <v>0.93000000000000005</v>
      </c>
      <c r="N6631" s="21">
        <v>47.710000000000001</v>
      </c>
      <c r="O6631" s="22">
        <v>0.93999999999999995</v>
      </c>
    </row>
    <row r="6632" ht="38.25">
      <c r="A6632" t="s">
        <v>6668</v>
      </c>
      <c r="B6632" s="19">
        <v>93089</v>
      </c>
      <c r="C6632" s="20" t="s">
        <v>6751</v>
      </c>
      <c r="D6632" s="19" t="s">
        <v>31</v>
      </c>
      <c r="E6632" s="21">
        <f t="shared" si="308"/>
        <v>50.770000000000003</v>
      </c>
      <c r="F6632" s="22">
        <v>0</v>
      </c>
      <c r="G6632" s="21">
        <f t="shared" si="309"/>
        <v>50.439999999999998</v>
      </c>
      <c r="H6632" s="22">
        <v>0</v>
      </c>
      <c r="I6632" s="23" t="str">
        <f t="shared" si="310"/>
        <v xml:space="preserve">COM VALOR</v>
      </c>
      <c r="J6632" s="19"/>
      <c r="L6632" s="21">
        <v>50.770000000000003</v>
      </c>
      <c r="M6632" s="22">
        <v>0.88</v>
      </c>
      <c r="N6632" s="21">
        <v>50.439999999999998</v>
      </c>
      <c r="O6632" s="22">
        <v>0.89000000000000001</v>
      </c>
    </row>
    <row r="6633" ht="38.25">
      <c r="A6633" t="s">
        <v>6668</v>
      </c>
      <c r="B6633" s="19">
        <v>103891</v>
      </c>
      <c r="C6633" s="20" t="s">
        <v>6752</v>
      </c>
      <c r="D6633" s="19" t="s">
        <v>31</v>
      </c>
      <c r="E6633" s="21">
        <f t="shared" si="308"/>
        <v>54.759999999999998</v>
      </c>
      <c r="F6633" s="22">
        <v>0</v>
      </c>
      <c r="G6633" s="21">
        <f t="shared" si="309"/>
        <v>54.210000000000001</v>
      </c>
      <c r="H6633" s="22">
        <v>0</v>
      </c>
      <c r="I6633" s="23" t="str">
        <f t="shared" si="310"/>
        <v xml:space="preserve">COM VALOR</v>
      </c>
      <c r="J6633" s="19"/>
      <c r="L6633" s="21">
        <v>54.759999999999998</v>
      </c>
      <c r="M6633" s="22">
        <v>0.81999999999999995</v>
      </c>
      <c r="N6633" s="21">
        <v>54.210000000000001</v>
      </c>
      <c r="O6633" s="22">
        <v>0.82999999999999996</v>
      </c>
    </row>
    <row r="6634" ht="38.25">
      <c r="A6634" t="s">
        <v>6668</v>
      </c>
      <c r="B6634" s="19">
        <v>103822</v>
      </c>
      <c r="C6634" s="20" t="s">
        <v>6753</v>
      </c>
      <c r="D6634" s="19" t="s">
        <v>31</v>
      </c>
      <c r="E6634" s="21">
        <f t="shared" si="308"/>
        <v>59.270000000000003</v>
      </c>
      <c r="F6634" s="22">
        <v>0</v>
      </c>
      <c r="G6634" s="21">
        <f t="shared" si="309"/>
        <v>58.479999999999997</v>
      </c>
      <c r="H6634" s="22">
        <v>0</v>
      </c>
      <c r="I6634" s="23" t="str">
        <f t="shared" si="310"/>
        <v xml:space="preserve">COM VALOR</v>
      </c>
      <c r="J6634" s="19"/>
      <c r="L6634" s="21">
        <v>59.270000000000003</v>
      </c>
      <c r="M6634" s="22">
        <v>0.76000000000000001</v>
      </c>
      <c r="N6634" s="21">
        <v>58.479999999999997</v>
      </c>
      <c r="O6634" s="22">
        <v>0.77000000000000002</v>
      </c>
    </row>
    <row r="6635" ht="38.25">
      <c r="A6635" t="s">
        <v>6668</v>
      </c>
      <c r="B6635" s="19">
        <v>103855</v>
      </c>
      <c r="C6635" s="20" t="s">
        <v>6754</v>
      </c>
      <c r="D6635" s="19" t="s">
        <v>31</v>
      </c>
      <c r="E6635" s="21">
        <f t="shared" si="308"/>
        <v>55.380000000000003</v>
      </c>
      <c r="F6635" s="22">
        <v>0</v>
      </c>
      <c r="G6635" s="21">
        <f t="shared" si="309"/>
        <v>54.799999999999997</v>
      </c>
      <c r="H6635" s="22">
        <v>0</v>
      </c>
      <c r="I6635" s="23" t="str">
        <f t="shared" si="310"/>
        <v xml:space="preserve">COM VALOR</v>
      </c>
      <c r="J6635" s="19"/>
      <c r="L6635" s="21">
        <v>55.380000000000003</v>
      </c>
      <c r="M6635" s="22">
        <v>0.81000000000000005</v>
      </c>
      <c r="N6635" s="21">
        <v>54.799999999999997</v>
      </c>
      <c r="O6635" s="22">
        <v>0.81999999999999995</v>
      </c>
    </row>
    <row r="6636" ht="38.25">
      <c r="A6636" t="s">
        <v>6668</v>
      </c>
      <c r="B6636" s="19">
        <v>93112</v>
      </c>
      <c r="C6636" s="20" t="s">
        <v>6755</v>
      </c>
      <c r="D6636" s="19" t="s">
        <v>31</v>
      </c>
      <c r="E6636" s="21">
        <f t="shared" si="308"/>
        <v>52.920000000000002</v>
      </c>
      <c r="F6636" s="22">
        <v>0.27000000000000002</v>
      </c>
      <c r="G6636" s="21">
        <f t="shared" si="309"/>
        <v>52.460000000000001</v>
      </c>
      <c r="H6636" s="22">
        <v>0.28000000000000003</v>
      </c>
      <c r="I6636" s="23" t="str">
        <f t="shared" si="310"/>
        <v xml:space="preserve">COM VALOR</v>
      </c>
      <c r="J6636" s="19"/>
      <c r="L6636" s="21">
        <v>52.920000000000002</v>
      </c>
      <c r="M6636" s="22">
        <v>0.84999999999999998</v>
      </c>
      <c r="N6636" s="21">
        <v>52.460000000000001</v>
      </c>
      <c r="O6636" s="22">
        <v>0.84999999999999998</v>
      </c>
    </row>
    <row r="6637" ht="38.25">
      <c r="A6637" t="s">
        <v>6668</v>
      </c>
      <c r="B6637" s="19">
        <v>93060</v>
      </c>
      <c r="C6637" s="20" t="s">
        <v>6756</v>
      </c>
      <c r="D6637" s="19" t="s">
        <v>31</v>
      </c>
      <c r="E6637" s="21">
        <f t="shared" si="308"/>
        <v>83.969999999999999</v>
      </c>
      <c r="F6637" s="22">
        <v>0</v>
      </c>
      <c r="G6637" s="21">
        <f t="shared" si="309"/>
        <v>83.760000000000005</v>
      </c>
      <c r="H6637" s="22">
        <v>0</v>
      </c>
      <c r="I6637" s="23" t="str">
        <f t="shared" si="310"/>
        <v xml:space="preserve">COM VALOR</v>
      </c>
      <c r="J6637" s="19"/>
      <c r="L6637" s="21">
        <v>83.969999999999999</v>
      </c>
      <c r="M6637" s="22">
        <v>0.94999999999999996</v>
      </c>
      <c r="N6637" s="21">
        <v>83.760000000000005</v>
      </c>
      <c r="O6637" s="22">
        <v>0.94999999999999996</v>
      </c>
    </row>
    <row r="6638" ht="38.25">
      <c r="A6638" t="s">
        <v>6668</v>
      </c>
      <c r="B6638" s="19">
        <v>93094</v>
      </c>
      <c r="C6638" s="20" t="s">
        <v>6757</v>
      </c>
      <c r="D6638" s="19" t="s">
        <v>31</v>
      </c>
      <c r="E6638" s="21">
        <f t="shared" si="308"/>
        <v>86.640000000000001</v>
      </c>
      <c r="F6638" s="22">
        <v>0</v>
      </c>
      <c r="G6638" s="21">
        <f t="shared" si="309"/>
        <v>86.269999999999996</v>
      </c>
      <c r="H6638" s="22">
        <v>0</v>
      </c>
      <c r="I6638" s="23" t="str">
        <f t="shared" si="310"/>
        <v xml:space="preserve">COM VALOR</v>
      </c>
      <c r="J6638" s="19"/>
      <c r="L6638" s="21">
        <v>86.640000000000001</v>
      </c>
      <c r="M6638" s="22">
        <v>0.92000000000000004</v>
      </c>
      <c r="N6638" s="21">
        <v>86.269999999999996</v>
      </c>
      <c r="O6638" s="22">
        <v>0.93000000000000005</v>
      </c>
    </row>
    <row r="6639" ht="38.25">
      <c r="A6639" t="s">
        <v>6668</v>
      </c>
      <c r="B6639" s="19">
        <v>103897</v>
      </c>
      <c r="C6639" s="20" t="s">
        <v>6758</v>
      </c>
      <c r="D6639" s="19" t="s">
        <v>31</v>
      </c>
      <c r="E6639" s="21">
        <f t="shared" si="308"/>
        <v>91.260000000000005</v>
      </c>
      <c r="F6639" s="22">
        <v>0</v>
      </c>
      <c r="G6639" s="21">
        <f t="shared" si="309"/>
        <v>90.620000000000005</v>
      </c>
      <c r="H6639" s="22">
        <v>0</v>
      </c>
      <c r="I6639" s="23" t="str">
        <f t="shared" si="310"/>
        <v xml:space="preserve">COM VALOR</v>
      </c>
      <c r="J6639" s="19"/>
      <c r="L6639" s="21">
        <v>91.260000000000005</v>
      </c>
      <c r="M6639" s="22">
        <v>0.88</v>
      </c>
      <c r="N6639" s="21">
        <v>90.620000000000005</v>
      </c>
      <c r="O6639" s="22">
        <v>0.88</v>
      </c>
    </row>
    <row r="6640" ht="38.25">
      <c r="A6640" t="s">
        <v>6668</v>
      </c>
      <c r="B6640" s="19">
        <v>103828</v>
      </c>
      <c r="C6640" s="20" t="s">
        <v>6759</v>
      </c>
      <c r="D6640" s="19" t="s">
        <v>31</v>
      </c>
      <c r="E6640" s="21">
        <f t="shared" si="308"/>
        <v>99.109999999999999</v>
      </c>
      <c r="F6640" s="22">
        <v>0</v>
      </c>
      <c r="G6640" s="21">
        <f t="shared" si="309"/>
        <v>98.030000000000001</v>
      </c>
      <c r="H6640" s="22">
        <v>0</v>
      </c>
      <c r="I6640" s="23" t="str">
        <f t="shared" si="310"/>
        <v xml:space="preserve">COM VALOR</v>
      </c>
      <c r="J6640" s="19"/>
      <c r="L6640" s="21">
        <v>99.109999999999999</v>
      </c>
      <c r="M6640" s="22">
        <v>0.80000000000000004</v>
      </c>
      <c r="N6640" s="21">
        <v>98.030000000000001</v>
      </c>
      <c r="O6640" s="22">
        <v>0.81000000000000005</v>
      </c>
    </row>
    <row r="6641" ht="38.25">
      <c r="A6641" t="s">
        <v>6668</v>
      </c>
      <c r="B6641" s="19">
        <v>103861</v>
      </c>
      <c r="C6641" s="20" t="s">
        <v>6760</v>
      </c>
      <c r="D6641" s="19" t="s">
        <v>31</v>
      </c>
      <c r="E6641" s="21">
        <f t="shared" si="308"/>
        <v>92.840000000000003</v>
      </c>
      <c r="F6641" s="22">
        <v>0</v>
      </c>
      <c r="G6641" s="21">
        <f t="shared" si="309"/>
        <v>92.129999999999995</v>
      </c>
      <c r="H6641" s="22">
        <v>0</v>
      </c>
      <c r="I6641" s="23" t="str">
        <f t="shared" si="310"/>
        <v xml:space="preserve">COM VALOR</v>
      </c>
      <c r="J6641" s="19"/>
      <c r="L6641" s="21">
        <v>92.840000000000003</v>
      </c>
      <c r="M6641" s="22">
        <v>0.85999999999999999</v>
      </c>
      <c r="N6641" s="21">
        <v>92.129999999999995</v>
      </c>
      <c r="O6641" s="22">
        <v>0.87</v>
      </c>
    </row>
    <row r="6642" ht="38.25">
      <c r="A6642" t="s">
        <v>6668</v>
      </c>
      <c r="B6642" s="19">
        <v>93115</v>
      </c>
      <c r="C6642" s="20" t="s">
        <v>6761</v>
      </c>
      <c r="D6642" s="19" t="s">
        <v>31</v>
      </c>
      <c r="E6642" s="21">
        <f t="shared" si="308"/>
        <v>90.469999999999999</v>
      </c>
      <c r="F6642" s="22">
        <v>0</v>
      </c>
      <c r="G6642" s="21">
        <f t="shared" si="309"/>
        <v>89.890000000000001</v>
      </c>
      <c r="H6642" s="22">
        <v>0</v>
      </c>
      <c r="I6642" s="23" t="str">
        <f t="shared" si="310"/>
        <v xml:space="preserve">COM VALOR</v>
      </c>
      <c r="J6642" s="19"/>
      <c r="L6642" s="21">
        <v>90.469999999999999</v>
      </c>
      <c r="M6642" s="22">
        <v>0.88</v>
      </c>
      <c r="N6642" s="21">
        <v>89.890000000000001</v>
      </c>
      <c r="O6642" s="22">
        <v>0.89000000000000001</v>
      </c>
    </row>
    <row r="6643" ht="38.25">
      <c r="A6643" t="s">
        <v>6668</v>
      </c>
      <c r="B6643" s="19">
        <v>93074</v>
      </c>
      <c r="C6643" s="20" t="s">
        <v>6762</v>
      </c>
      <c r="D6643" s="19" t="s">
        <v>31</v>
      </c>
      <c r="E6643" s="21">
        <f t="shared" si="308"/>
        <v>14.09</v>
      </c>
      <c r="F6643" s="22">
        <v>0</v>
      </c>
      <c r="G6643" s="21">
        <f t="shared" si="309"/>
        <v>13.65</v>
      </c>
      <c r="H6643" s="22">
        <v>0</v>
      </c>
      <c r="I6643" s="23" t="str">
        <f t="shared" si="310"/>
        <v xml:space="preserve">COM VALOR</v>
      </c>
      <c r="J6643" s="19"/>
      <c r="L6643" s="21">
        <v>14.09</v>
      </c>
      <c r="M6643" s="22">
        <v>0.45000000000000001</v>
      </c>
      <c r="N6643" s="21">
        <v>13.65</v>
      </c>
      <c r="O6643" s="22">
        <v>0.46999999999999997</v>
      </c>
    </row>
    <row r="6644" ht="38.25">
      <c r="A6644" t="s">
        <v>6668</v>
      </c>
      <c r="B6644" s="19">
        <v>103875</v>
      </c>
      <c r="C6644" s="20" t="s">
        <v>6763</v>
      </c>
      <c r="D6644" s="19" t="s">
        <v>31</v>
      </c>
      <c r="E6644" s="21">
        <f t="shared" si="308"/>
        <v>18.960000000000001</v>
      </c>
      <c r="F6644" s="22">
        <v>0</v>
      </c>
      <c r="G6644" s="21">
        <f t="shared" si="309"/>
        <v>18.25</v>
      </c>
      <c r="H6644" s="22">
        <v>0</v>
      </c>
      <c r="I6644" s="23" t="str">
        <f t="shared" si="310"/>
        <v xml:space="preserve">COM VALOR</v>
      </c>
      <c r="J6644" s="19"/>
      <c r="L6644" s="21">
        <v>18.960000000000001</v>
      </c>
      <c r="M6644" s="22">
        <v>0.33000000000000002</v>
      </c>
      <c r="N6644" s="21">
        <v>18.25</v>
      </c>
      <c r="O6644" s="22">
        <v>0.34999999999999998</v>
      </c>
    </row>
    <row r="6645" ht="38.25">
      <c r="A6645" t="s">
        <v>6668</v>
      </c>
      <c r="B6645" s="19">
        <v>103806</v>
      </c>
      <c r="C6645" s="20" t="s">
        <v>6764</v>
      </c>
      <c r="D6645" s="19" t="s">
        <v>31</v>
      </c>
      <c r="E6645" s="21">
        <f t="shared" si="308"/>
        <v>18.920000000000002</v>
      </c>
      <c r="F6645" s="22">
        <v>0</v>
      </c>
      <c r="G6645" s="21">
        <f t="shared" si="309"/>
        <v>18.219999999999999</v>
      </c>
      <c r="H6645" s="22">
        <v>0</v>
      </c>
      <c r="I6645" s="23" t="str">
        <f t="shared" si="310"/>
        <v xml:space="preserve">COM VALOR</v>
      </c>
      <c r="J6645" s="19"/>
      <c r="L6645" s="21">
        <v>18.920000000000002</v>
      </c>
      <c r="M6645" s="22">
        <v>0.34000000000000002</v>
      </c>
      <c r="N6645" s="21">
        <v>18.219999999999999</v>
      </c>
      <c r="O6645" s="22">
        <v>0.34999999999999998</v>
      </c>
    </row>
    <row r="6646" ht="38.25">
      <c r="A6646" t="s">
        <v>6668</v>
      </c>
      <c r="B6646" s="19">
        <v>103839</v>
      </c>
      <c r="C6646" s="20" t="s">
        <v>6765</v>
      </c>
      <c r="D6646" s="19" t="s">
        <v>31</v>
      </c>
      <c r="E6646" s="21">
        <f t="shared" si="308"/>
        <v>18.190000000000001</v>
      </c>
      <c r="F6646" s="22">
        <v>0</v>
      </c>
      <c r="G6646" s="21">
        <f t="shared" si="309"/>
        <v>17.530000000000001</v>
      </c>
      <c r="H6646" s="22">
        <v>0</v>
      </c>
      <c r="I6646" s="23" t="str">
        <f t="shared" si="310"/>
        <v xml:space="preserve">COM VALOR</v>
      </c>
      <c r="J6646" s="19"/>
      <c r="L6646" s="21">
        <v>18.190000000000001</v>
      </c>
      <c r="M6646" s="22">
        <v>0.34999999999999998</v>
      </c>
      <c r="N6646" s="21">
        <v>17.530000000000001</v>
      </c>
      <c r="O6646" s="22">
        <v>0.35999999999999999</v>
      </c>
    </row>
    <row r="6647" ht="38.25">
      <c r="A6647" t="s">
        <v>6668</v>
      </c>
      <c r="B6647" s="19">
        <v>93097</v>
      </c>
      <c r="C6647" s="20" t="s">
        <v>6766</v>
      </c>
      <c r="D6647" s="19" t="s">
        <v>31</v>
      </c>
      <c r="E6647" s="21">
        <f t="shared" si="308"/>
        <v>14.35</v>
      </c>
      <c r="F6647" s="22">
        <v>0</v>
      </c>
      <c r="G6647" s="21">
        <f t="shared" si="309"/>
        <v>13.91</v>
      </c>
      <c r="H6647" s="22">
        <v>0</v>
      </c>
      <c r="I6647" s="23" t="str">
        <f t="shared" si="310"/>
        <v xml:space="preserve">COM VALOR</v>
      </c>
      <c r="J6647" s="19"/>
      <c r="L6647" s="21">
        <v>14.35</v>
      </c>
      <c r="M6647" s="22">
        <v>0.4425</v>
      </c>
      <c r="N6647" s="21">
        <v>13.91</v>
      </c>
      <c r="O6647" s="22">
        <v>0.46000000000000002</v>
      </c>
    </row>
    <row r="6648" ht="38.25">
      <c r="A6648" t="s">
        <v>6668</v>
      </c>
      <c r="B6648" s="19">
        <v>93119</v>
      </c>
      <c r="C6648" s="20" t="s">
        <v>6767</v>
      </c>
      <c r="D6648" s="19" t="s">
        <v>31</v>
      </c>
      <c r="E6648" s="21">
        <f t="shared" si="308"/>
        <v>18.260000000000002</v>
      </c>
      <c r="F6648" s="22">
        <v>0</v>
      </c>
      <c r="G6648" s="21">
        <f t="shared" si="309"/>
        <v>18.010000000000002</v>
      </c>
      <c r="H6648" s="22">
        <v>0</v>
      </c>
      <c r="I6648" s="23" t="str">
        <f t="shared" si="310"/>
        <v xml:space="preserve">COM VALOR</v>
      </c>
      <c r="J6648" s="19"/>
      <c r="L6648" s="21">
        <v>18.260000000000002</v>
      </c>
      <c r="M6648" s="22">
        <v>0.75</v>
      </c>
      <c r="N6648" s="21">
        <v>18.010000000000002</v>
      </c>
      <c r="O6648" s="22">
        <v>0.76000000000000001</v>
      </c>
    </row>
    <row r="6649" ht="38.25">
      <c r="A6649" t="s">
        <v>6668</v>
      </c>
      <c r="B6649" s="19">
        <v>93076</v>
      </c>
      <c r="C6649" s="20" t="s">
        <v>6768</v>
      </c>
      <c r="D6649" s="19" t="s">
        <v>31</v>
      </c>
      <c r="E6649" s="21">
        <f t="shared" si="308"/>
        <v>22.559999999999999</v>
      </c>
      <c r="F6649" s="22"/>
      <c r="G6649" s="21">
        <f t="shared" si="309"/>
        <v>22.07</v>
      </c>
      <c r="H6649" s="22"/>
      <c r="I6649" s="23" t="str">
        <f t="shared" si="310"/>
        <v xml:space="preserve">COM VALOR</v>
      </c>
      <c r="J6649" s="19"/>
      <c r="L6649" s="21">
        <v>22.559999999999999</v>
      </c>
      <c r="M6649" s="22">
        <v>0.59999999999999998</v>
      </c>
      <c r="N6649" s="21">
        <v>22.07</v>
      </c>
      <c r="O6649" s="22">
        <v>0.62</v>
      </c>
    </row>
    <row r="6650" ht="38.25">
      <c r="A6650" t="s">
        <v>6668</v>
      </c>
      <c r="B6650" s="19">
        <v>103878</v>
      </c>
      <c r="C6650" s="20" t="s">
        <v>6769</v>
      </c>
      <c r="D6650" s="19" t="s">
        <v>31</v>
      </c>
      <c r="E6650" s="21">
        <f t="shared" si="308"/>
        <v>28.539999999999999</v>
      </c>
      <c r="F6650" s="22"/>
      <c r="G6650" s="21">
        <f t="shared" si="309"/>
        <v>27.710000000000001</v>
      </c>
      <c r="H6650" s="22"/>
      <c r="I6650" s="23" t="str">
        <f t="shared" si="310"/>
        <v xml:space="preserve">COM VALOR</v>
      </c>
      <c r="J6650" s="19"/>
      <c r="L6650" s="21">
        <v>28.539999999999999</v>
      </c>
      <c r="M6650" s="22">
        <v>0.47999999999999998</v>
      </c>
      <c r="N6650" s="21">
        <v>27.710000000000001</v>
      </c>
      <c r="O6650" s="22">
        <v>0.48999999999999999</v>
      </c>
    </row>
    <row r="6651" ht="38.25">
      <c r="A6651" t="s">
        <v>6668</v>
      </c>
      <c r="B6651" s="19">
        <v>103809</v>
      </c>
      <c r="C6651" s="20" t="s">
        <v>6770</v>
      </c>
      <c r="D6651" s="19" t="s">
        <v>31</v>
      </c>
      <c r="E6651" s="21">
        <f t="shared" si="308"/>
        <v>35.200000000000003</v>
      </c>
      <c r="F6651" s="22"/>
      <c r="G6651" s="21">
        <f t="shared" si="309"/>
        <v>34</v>
      </c>
      <c r="H6651" s="22"/>
      <c r="I6651" s="23" t="str">
        <f t="shared" si="310"/>
        <v xml:space="preserve">COM VALOR</v>
      </c>
      <c r="J6651" s="19"/>
      <c r="L6651" s="21">
        <v>35.200000000000003</v>
      </c>
      <c r="M6651" s="22">
        <v>0.38750000000000001</v>
      </c>
      <c r="N6651" s="21">
        <v>34</v>
      </c>
      <c r="O6651" s="22">
        <v>0.40000000000000002</v>
      </c>
    </row>
    <row r="6652" ht="38.25">
      <c r="A6652" t="s">
        <v>6668</v>
      </c>
      <c r="B6652" s="19">
        <v>103842</v>
      </c>
      <c r="C6652" s="20" t="s">
        <v>6771</v>
      </c>
      <c r="D6652" s="19" t="s">
        <v>31</v>
      </c>
      <c r="E6652" s="21">
        <f t="shared" si="308"/>
        <v>29.420000000000002</v>
      </c>
      <c r="F6652" s="22"/>
      <c r="G6652" s="21">
        <f t="shared" si="309"/>
        <v>28.530000000000001</v>
      </c>
      <c r="H6652" s="22"/>
      <c r="I6652" s="23" t="str">
        <f t="shared" si="310"/>
        <v xml:space="preserve">COM VALOR</v>
      </c>
      <c r="J6652" s="19"/>
      <c r="L6652" s="21">
        <v>29.420000000000002</v>
      </c>
      <c r="M6652" s="22">
        <v>0.46000000000000002</v>
      </c>
      <c r="N6652" s="21">
        <v>28.530000000000001</v>
      </c>
      <c r="O6652" s="22">
        <v>0.47999999999999998</v>
      </c>
    </row>
    <row r="6653" ht="38.25">
      <c r="A6653" t="s">
        <v>6668</v>
      </c>
      <c r="B6653" s="19">
        <v>93099</v>
      </c>
      <c r="C6653" s="20" t="s">
        <v>6772</v>
      </c>
      <c r="D6653" s="19" t="s">
        <v>31</v>
      </c>
      <c r="E6653" s="21">
        <f t="shared" si="308"/>
        <v>25.75</v>
      </c>
      <c r="F6653" s="22"/>
      <c r="G6653" s="21">
        <f t="shared" si="309"/>
        <v>25.079999999999998</v>
      </c>
      <c r="H6653" s="22"/>
      <c r="I6653" s="23" t="str">
        <f t="shared" si="310"/>
        <v xml:space="preserve">COM VALOR</v>
      </c>
      <c r="J6653" s="19"/>
      <c r="L6653" s="21">
        <v>25.75</v>
      </c>
      <c r="M6653" s="22">
        <v>0.53000000000000003</v>
      </c>
      <c r="N6653" s="21">
        <v>25.079999999999998</v>
      </c>
      <c r="O6653" s="22">
        <v>0.54000000000000004</v>
      </c>
    </row>
    <row r="6654" ht="38.25">
      <c r="A6654" t="s">
        <v>6668</v>
      </c>
      <c r="B6654" s="19">
        <v>93122</v>
      </c>
      <c r="C6654" s="20" t="s">
        <v>6773</v>
      </c>
      <c r="D6654" s="19" t="s">
        <v>31</v>
      </c>
      <c r="E6654" s="21">
        <f t="shared" si="308"/>
        <v>27.469999999999999</v>
      </c>
      <c r="F6654" s="22"/>
      <c r="G6654" s="21">
        <f t="shared" si="309"/>
        <v>27.149999999999999</v>
      </c>
      <c r="H6654" s="22"/>
      <c r="I6654" s="23" t="str">
        <f t="shared" si="310"/>
        <v xml:space="preserve">COM VALOR</v>
      </c>
      <c r="J6654" s="19"/>
      <c r="L6654" s="21">
        <v>27.469999999999999</v>
      </c>
      <c r="M6654" s="22">
        <v>0.78000000000000003</v>
      </c>
      <c r="N6654" s="21">
        <v>27.149999999999999</v>
      </c>
      <c r="O6654" s="22">
        <v>0.79000000000000004</v>
      </c>
    </row>
    <row r="6655" ht="38.25">
      <c r="A6655" t="s">
        <v>6668</v>
      </c>
      <c r="B6655" s="19">
        <v>93079</v>
      </c>
      <c r="C6655" s="20" t="s">
        <v>6774</v>
      </c>
      <c r="D6655" s="19" t="s">
        <v>31</v>
      </c>
      <c r="E6655" s="21">
        <f t="shared" si="308"/>
        <v>31.440000000000001</v>
      </c>
      <c r="F6655" s="22"/>
      <c r="G6655" s="21">
        <f t="shared" si="309"/>
        <v>30.890000000000001</v>
      </c>
      <c r="H6655" s="22"/>
      <c r="I6655" s="23" t="str">
        <f t="shared" si="310"/>
        <v xml:space="preserve">COM VALOR</v>
      </c>
      <c r="J6655" s="19"/>
      <c r="L6655" s="21">
        <v>31.440000000000001</v>
      </c>
      <c r="M6655" s="22">
        <v>0.68000000000000005</v>
      </c>
      <c r="N6655" s="21">
        <v>30.890000000000001</v>
      </c>
      <c r="O6655" s="22">
        <v>0.69999999999999996</v>
      </c>
    </row>
    <row r="6656" ht="38.25">
      <c r="A6656" t="s">
        <v>6668</v>
      </c>
      <c r="B6656" s="19">
        <v>103882</v>
      </c>
      <c r="C6656" s="20" t="s">
        <v>6775</v>
      </c>
      <c r="D6656" s="19" t="s">
        <v>31</v>
      </c>
      <c r="E6656" s="21">
        <f t="shared" si="308"/>
        <v>38.359999999999999</v>
      </c>
      <c r="F6656" s="22"/>
      <c r="G6656" s="21">
        <f t="shared" si="309"/>
        <v>37.420000000000002</v>
      </c>
      <c r="H6656" s="22"/>
      <c r="I6656" s="23" t="str">
        <f t="shared" si="310"/>
        <v xml:space="preserve">COM VALOR</v>
      </c>
      <c r="J6656" s="19"/>
      <c r="L6656" s="21">
        <v>38.359999999999999</v>
      </c>
      <c r="M6656" s="22">
        <v>0.56000000000000005</v>
      </c>
      <c r="N6656" s="21">
        <v>37.420000000000002</v>
      </c>
      <c r="O6656" s="22">
        <v>0.56999999999999995</v>
      </c>
    </row>
    <row r="6657" ht="38.25">
      <c r="A6657" t="s">
        <v>6668</v>
      </c>
      <c r="B6657" s="19">
        <v>103813</v>
      </c>
      <c r="C6657" s="20" t="s">
        <v>6776</v>
      </c>
      <c r="D6657" s="19" t="s">
        <v>31</v>
      </c>
      <c r="E6657" s="21">
        <f t="shared" si="308"/>
        <v>50.759999999999998</v>
      </c>
      <c r="F6657" s="22"/>
      <c r="G6657" s="21">
        <f t="shared" si="309"/>
        <v>49.140000000000001</v>
      </c>
      <c r="H6657" s="22"/>
      <c r="I6657" s="23" t="str">
        <f t="shared" si="310"/>
        <v xml:space="preserve">COM VALOR</v>
      </c>
      <c r="J6657" s="19"/>
      <c r="L6657" s="21">
        <v>50.759999999999998</v>
      </c>
      <c r="M6657" s="22">
        <v>0.41999999999999998</v>
      </c>
      <c r="N6657" s="21">
        <v>49.140000000000001</v>
      </c>
      <c r="O6657" s="22">
        <v>0.4375</v>
      </c>
    </row>
    <row r="6658" ht="38.25">
      <c r="A6658" t="s">
        <v>6668</v>
      </c>
      <c r="B6658" s="19">
        <v>103846</v>
      </c>
      <c r="C6658" s="20" t="s">
        <v>6777</v>
      </c>
      <c r="D6658" s="19" t="s">
        <v>31</v>
      </c>
      <c r="E6658" s="21">
        <f t="shared" si="308"/>
        <v>40.649999999999999</v>
      </c>
      <c r="F6658" s="22"/>
      <c r="G6658" s="21">
        <f t="shared" si="309"/>
        <v>39.590000000000003</v>
      </c>
      <c r="H6658" s="22"/>
      <c r="I6658" s="23" t="str">
        <f t="shared" si="310"/>
        <v xml:space="preserve">COM VALOR</v>
      </c>
      <c r="J6658" s="19"/>
      <c r="L6658" s="21">
        <v>40.649999999999999</v>
      </c>
      <c r="M6658" s="22">
        <v>0.53000000000000003</v>
      </c>
      <c r="N6658" s="21">
        <v>39.590000000000003</v>
      </c>
      <c r="O6658" s="22">
        <v>0.54000000000000004</v>
      </c>
    </row>
    <row r="6659" ht="38.25">
      <c r="A6659" t="s">
        <v>6668</v>
      </c>
      <c r="B6659" s="19">
        <v>93102</v>
      </c>
      <c r="C6659" s="20" t="s">
        <v>6778</v>
      </c>
      <c r="D6659" s="19" t="s">
        <v>31</v>
      </c>
      <c r="E6659" s="21">
        <f t="shared" si="308"/>
        <v>37.130000000000003</v>
      </c>
      <c r="F6659" s="22"/>
      <c r="G6659" s="21">
        <f t="shared" si="309"/>
        <v>36.259999999999998</v>
      </c>
      <c r="H6659" s="22"/>
      <c r="I6659" s="23" t="str">
        <f t="shared" si="310"/>
        <v xml:space="preserve">COM VALOR</v>
      </c>
      <c r="J6659" s="19"/>
      <c r="L6659" s="21">
        <v>37.130000000000003</v>
      </c>
      <c r="M6659" s="22">
        <v>0.57999999999999996</v>
      </c>
      <c r="N6659" s="21">
        <v>36.259999999999998</v>
      </c>
      <c r="O6659" s="22">
        <v>0.58999999999999997</v>
      </c>
    </row>
    <row r="6660" ht="38.25">
      <c r="A6660" t="s">
        <v>6668</v>
      </c>
      <c r="B6660" s="19">
        <v>93123</v>
      </c>
      <c r="C6660" s="20" t="s">
        <v>6779</v>
      </c>
      <c r="D6660" s="19" t="s">
        <v>31</v>
      </c>
      <c r="E6660" s="21">
        <f t="shared" si="308"/>
        <v>61.420000000000002</v>
      </c>
      <c r="F6660" s="22"/>
      <c r="G6660" s="21">
        <f t="shared" si="309"/>
        <v>61</v>
      </c>
      <c r="H6660" s="22"/>
      <c r="I6660" s="23" t="str">
        <f t="shared" si="310"/>
        <v xml:space="preserve">COM VALOR</v>
      </c>
      <c r="J6660" s="19"/>
      <c r="L6660" s="21">
        <v>61.420000000000002</v>
      </c>
      <c r="M6660" s="22">
        <v>0.88</v>
      </c>
      <c r="N6660" s="21">
        <v>61</v>
      </c>
      <c r="O6660" s="22">
        <v>0.88</v>
      </c>
    </row>
    <row r="6661" ht="38.25">
      <c r="A6661" t="s">
        <v>6668</v>
      </c>
      <c r="B6661" s="19">
        <v>93124</v>
      </c>
      <c r="C6661" s="20" t="s">
        <v>6780</v>
      </c>
      <c r="D6661" s="19" t="s">
        <v>31</v>
      </c>
      <c r="E6661" s="21">
        <f t="shared" si="308"/>
        <v>96.510000000000005</v>
      </c>
      <c r="F6661" s="22">
        <v>0</v>
      </c>
      <c r="G6661" s="21">
        <f t="shared" si="309"/>
        <v>96.010000000000005</v>
      </c>
      <c r="H6661" s="22">
        <v>0</v>
      </c>
      <c r="I6661" s="23" t="str">
        <f t="shared" si="310"/>
        <v xml:space="preserve">COM VALOR</v>
      </c>
      <c r="J6661" s="19"/>
      <c r="L6661" s="21">
        <v>96.510000000000005</v>
      </c>
      <c r="M6661" s="22">
        <v>0.91000000000000003</v>
      </c>
      <c r="N6661" s="21">
        <v>96.010000000000005</v>
      </c>
      <c r="O6661" s="22">
        <v>0.91000000000000003</v>
      </c>
    </row>
    <row r="6662" ht="38.25">
      <c r="A6662" t="s">
        <v>6668</v>
      </c>
      <c r="B6662" s="19">
        <v>93125</v>
      </c>
      <c r="C6662" s="20" t="s">
        <v>6781</v>
      </c>
      <c r="D6662" s="19" t="s">
        <v>31</v>
      </c>
      <c r="E6662" s="21">
        <f t="shared" si="308"/>
        <v>141.94999999999999</v>
      </c>
      <c r="F6662" s="22"/>
      <c r="G6662" s="21">
        <f t="shared" si="309"/>
        <v>141.30000000000001</v>
      </c>
      <c r="H6662" s="22"/>
      <c r="I6662" s="23" t="str">
        <f t="shared" si="310"/>
        <v xml:space="preserve">COM VALOR</v>
      </c>
      <c r="J6662" s="19"/>
      <c r="L6662" s="21">
        <v>141.94999999999999</v>
      </c>
      <c r="M6662" s="22">
        <v>0.92000000000000004</v>
      </c>
      <c r="N6662" s="21">
        <v>141.30000000000001</v>
      </c>
      <c r="O6662" s="22">
        <v>0.92000000000000004</v>
      </c>
    </row>
    <row r="6663" ht="38.25">
      <c r="A6663" t="s">
        <v>6668</v>
      </c>
      <c r="B6663" s="19">
        <v>93126</v>
      </c>
      <c r="C6663" s="20" t="s">
        <v>6782</v>
      </c>
      <c r="D6663" s="19" t="s">
        <v>31</v>
      </c>
      <c r="E6663" s="21">
        <f t="shared" si="308"/>
        <v>313.94</v>
      </c>
      <c r="F6663" s="22">
        <v>0</v>
      </c>
      <c r="G6663" s="21">
        <f t="shared" si="309"/>
        <v>313.13999999999999</v>
      </c>
      <c r="H6663" s="22">
        <v>0</v>
      </c>
      <c r="I6663" s="23" t="str">
        <f t="shared" si="310"/>
        <v xml:space="preserve">COM VALOR</v>
      </c>
      <c r="J6663" s="19"/>
      <c r="L6663" s="21">
        <v>313.94</v>
      </c>
      <c r="M6663" s="22">
        <v>0.94999999999999996</v>
      </c>
      <c r="N6663" s="21">
        <v>313.13999999999999</v>
      </c>
      <c r="O6663" s="22">
        <v>0.95999999999999996</v>
      </c>
    </row>
    <row r="6664" ht="38.25">
      <c r="A6664" t="s">
        <v>6668</v>
      </c>
      <c r="B6664" s="19">
        <v>93063</v>
      </c>
      <c r="C6664" s="20" t="s">
        <v>6783</v>
      </c>
      <c r="D6664" s="19" t="s">
        <v>31</v>
      </c>
      <c r="E6664" s="21">
        <f t="shared" si="308"/>
        <v>699.24000000000001</v>
      </c>
      <c r="F6664" s="22">
        <v>0.35999999999999999</v>
      </c>
      <c r="G6664" s="21">
        <f t="shared" si="309"/>
        <v>698.96000000000004</v>
      </c>
      <c r="H6664" s="22">
        <v>0.37</v>
      </c>
      <c r="I6664" s="23" t="str">
        <f t="shared" si="310"/>
        <v xml:space="preserve">COM VALOR</v>
      </c>
      <c r="J6664" s="19"/>
      <c r="L6664" s="21">
        <v>699.24000000000001</v>
      </c>
      <c r="M6664" s="22">
        <v>0.98999999999999999</v>
      </c>
      <c r="N6664" s="21">
        <v>698.96000000000004</v>
      </c>
      <c r="O6664" s="22">
        <v>0.98999999999999999</v>
      </c>
    </row>
    <row r="6665" ht="38.25">
      <c r="A6665" t="s">
        <v>6668</v>
      </c>
      <c r="B6665" s="19">
        <v>93066</v>
      </c>
      <c r="C6665" s="20" t="s">
        <v>6784</v>
      </c>
      <c r="D6665" s="19" t="s">
        <v>31</v>
      </c>
      <c r="E6665" s="21">
        <f t="shared" si="308"/>
        <v>877.50999999999999</v>
      </c>
      <c r="F6665" s="22"/>
      <c r="G6665" s="21">
        <f t="shared" si="309"/>
        <v>877.16999999999996</v>
      </c>
      <c r="H6665" s="22"/>
      <c r="I6665" s="23" t="str">
        <f t="shared" si="310"/>
        <v xml:space="preserve">COM VALOR</v>
      </c>
      <c r="J6665" s="19"/>
      <c r="L6665" s="21">
        <v>877.50999999999999</v>
      </c>
      <c r="M6665" s="22">
        <v>0.98999999999999999</v>
      </c>
      <c r="N6665" s="21">
        <v>877.16999999999996</v>
      </c>
      <c r="O6665" s="22">
        <v>0.98999999999999999</v>
      </c>
    </row>
    <row r="6666" ht="38.25">
      <c r="A6666" t="s">
        <v>6668</v>
      </c>
      <c r="B6666" s="19">
        <v>93069</v>
      </c>
      <c r="C6666" s="20" t="s">
        <v>6785</v>
      </c>
      <c r="D6666" s="19" t="s">
        <v>31</v>
      </c>
      <c r="E6666" s="21">
        <f t="shared" si="308"/>
        <v>1216.4000000000001</v>
      </c>
      <c r="F6666" s="22"/>
      <c r="G6666" s="21">
        <f t="shared" si="309"/>
        <v>1215.96</v>
      </c>
      <c r="H6666" s="22"/>
      <c r="I6666" s="23" t="str">
        <f t="shared" si="310"/>
        <v xml:space="preserve">COM VALOR</v>
      </c>
      <c r="J6666" s="19"/>
      <c r="L6666" s="21">
        <v>1216.4000000000001</v>
      </c>
      <c r="M6666" s="22">
        <v>0.98999999999999999</v>
      </c>
      <c r="N6666" s="21">
        <v>1215.96</v>
      </c>
      <c r="O6666" s="22">
        <v>0.98999999999999999</v>
      </c>
    </row>
    <row r="6667" ht="38.25">
      <c r="A6667" t="s">
        <v>6668</v>
      </c>
      <c r="B6667" s="19">
        <v>93072</v>
      </c>
      <c r="C6667" s="20" t="s">
        <v>6786</v>
      </c>
      <c r="D6667" s="19" t="s">
        <v>31</v>
      </c>
      <c r="E6667" s="21">
        <f t="shared" ref="E6667:E6730" si="311">IF(L6667=0,"VERIFICAR",L6667)</f>
        <v>1605.3299999999999</v>
      </c>
      <c r="F6667" s="22"/>
      <c r="G6667" s="21">
        <f t="shared" ref="G6667:G6730" si="312">IF(N6667=0,"VERIFICAR",N6667)</f>
        <v>1604.79</v>
      </c>
      <c r="H6667" s="22"/>
      <c r="I6667" s="23" t="str">
        <f t="shared" ref="I6667:I6730" si="313">IF(OR(E6667=0,G6667=0),"SEM VALOR","COM VALOR")</f>
        <v xml:space="preserve">COM VALOR</v>
      </c>
      <c r="J6667" s="19"/>
      <c r="L6667" s="21">
        <v>1605.3299999999999</v>
      </c>
      <c r="M6667" s="22">
        <v>0.98999999999999999</v>
      </c>
      <c r="N6667" s="21">
        <v>1604.79</v>
      </c>
      <c r="O6667" s="22">
        <v>0.98999999999999999</v>
      </c>
    </row>
    <row r="6668" ht="38.25">
      <c r="A6668" t="s">
        <v>6668</v>
      </c>
      <c r="B6668" s="19">
        <v>93083</v>
      </c>
      <c r="C6668" s="20" t="s">
        <v>6787</v>
      </c>
      <c r="D6668" s="19" t="s">
        <v>31</v>
      </c>
      <c r="E6668" s="21">
        <f t="shared" si="311"/>
        <v>480.25999999999999</v>
      </c>
      <c r="F6668" s="22"/>
      <c r="G6668" s="21">
        <f t="shared" si="312"/>
        <v>479.98000000000002</v>
      </c>
      <c r="H6668" s="22"/>
      <c r="I6668" s="23" t="str">
        <f t="shared" si="313"/>
        <v xml:space="preserve">COM VALOR</v>
      </c>
      <c r="J6668" s="19"/>
      <c r="L6668" s="21">
        <v>480.25999999999999</v>
      </c>
      <c r="M6668" s="22">
        <v>0.98999999999999999</v>
      </c>
      <c r="N6668" s="21">
        <v>479.98000000000002</v>
      </c>
      <c r="O6668" s="22">
        <v>0.98999999999999999</v>
      </c>
    </row>
    <row r="6669" ht="38.25">
      <c r="A6669" t="s">
        <v>6668</v>
      </c>
      <c r="B6669" s="19">
        <v>103886</v>
      </c>
      <c r="C6669" s="20" t="s">
        <v>6788</v>
      </c>
      <c r="D6669" s="19" t="s">
        <v>31</v>
      </c>
      <c r="E6669" s="21">
        <f t="shared" si="311"/>
        <v>483.51999999999998</v>
      </c>
      <c r="F6669" s="22"/>
      <c r="G6669" s="21">
        <f t="shared" si="312"/>
        <v>483.05000000000001</v>
      </c>
      <c r="H6669" s="22"/>
      <c r="I6669" s="23" t="str">
        <f t="shared" si="313"/>
        <v xml:space="preserve">COM VALOR</v>
      </c>
      <c r="J6669" s="19"/>
      <c r="L6669" s="21">
        <v>483.51999999999998</v>
      </c>
      <c r="M6669" s="22">
        <v>0.98250000000000004</v>
      </c>
      <c r="N6669" s="21">
        <v>483.05000000000001</v>
      </c>
      <c r="O6669" s="22">
        <v>0.97999999999999998</v>
      </c>
    </row>
    <row r="6670" ht="38.25">
      <c r="A6670" t="s">
        <v>6668</v>
      </c>
      <c r="B6670" s="19">
        <v>103817</v>
      </c>
      <c r="C6670" s="20" t="s">
        <v>6789</v>
      </c>
      <c r="D6670" s="19" t="s">
        <v>31</v>
      </c>
      <c r="E6670" s="21">
        <f t="shared" si="311"/>
        <v>483.51999999999998</v>
      </c>
      <c r="F6670" s="22"/>
      <c r="G6670" s="21">
        <f t="shared" si="312"/>
        <v>483.05000000000001</v>
      </c>
      <c r="H6670" s="22"/>
      <c r="I6670" s="23" t="str">
        <f t="shared" si="313"/>
        <v xml:space="preserve">COM VALOR</v>
      </c>
      <c r="J6670" s="19"/>
      <c r="L6670" s="21">
        <v>483.51999999999998</v>
      </c>
      <c r="M6670" s="22">
        <v>0.98250000000000004</v>
      </c>
      <c r="N6670" s="21">
        <v>483.05000000000001</v>
      </c>
      <c r="O6670" s="22">
        <v>0.97999999999999998</v>
      </c>
    </row>
    <row r="6671" ht="38.25">
      <c r="A6671" t="s">
        <v>6668</v>
      </c>
      <c r="B6671" s="19">
        <v>103850</v>
      </c>
      <c r="C6671" s="20" t="s">
        <v>6790</v>
      </c>
      <c r="D6671" s="19" t="s">
        <v>31</v>
      </c>
      <c r="E6671" s="21">
        <f t="shared" si="311"/>
        <v>483.02999999999997</v>
      </c>
      <c r="F6671" s="22"/>
      <c r="G6671" s="21">
        <f t="shared" si="312"/>
        <v>482.58999999999997</v>
      </c>
      <c r="H6671" s="22"/>
      <c r="I6671" s="23" t="str">
        <f t="shared" si="313"/>
        <v xml:space="preserve">COM VALOR</v>
      </c>
      <c r="J6671" s="19"/>
      <c r="L6671" s="21">
        <v>483.02999999999997</v>
      </c>
      <c r="M6671" s="22">
        <v>0.97999999999999998</v>
      </c>
      <c r="N6671" s="21">
        <v>482.58999999999997</v>
      </c>
      <c r="O6671" s="22">
        <v>0.97999999999999998</v>
      </c>
    </row>
    <row r="6672" ht="38.25">
      <c r="A6672" t="s">
        <v>6668</v>
      </c>
      <c r="B6672" s="19">
        <v>93106</v>
      </c>
      <c r="C6672" s="20" t="s">
        <v>6791</v>
      </c>
      <c r="D6672" s="19" t="s">
        <v>31</v>
      </c>
      <c r="E6672" s="21">
        <f t="shared" si="311"/>
        <v>480.44999999999999</v>
      </c>
      <c r="F6672" s="22"/>
      <c r="G6672" s="21">
        <f t="shared" si="312"/>
        <v>480.14999999999998</v>
      </c>
      <c r="H6672" s="22"/>
      <c r="I6672" s="23" t="str">
        <f t="shared" si="313"/>
        <v xml:space="preserve">COM VALOR</v>
      </c>
      <c r="J6672" s="19"/>
      <c r="L6672" s="21">
        <v>480.44999999999999</v>
      </c>
      <c r="M6672" s="22">
        <v>0.98999999999999999</v>
      </c>
      <c r="N6672" s="21">
        <v>480.14999999999998</v>
      </c>
      <c r="O6672" s="22">
        <v>0.98999999999999999</v>
      </c>
    </row>
    <row r="6673" ht="38.25">
      <c r="A6673" t="s">
        <v>6668</v>
      </c>
      <c r="B6673" s="19">
        <v>93052</v>
      </c>
      <c r="C6673" s="20" t="s">
        <v>6792</v>
      </c>
      <c r="D6673" s="19" t="s">
        <v>31</v>
      </c>
      <c r="E6673" s="21">
        <f t="shared" si="311"/>
        <v>554.66999999999996</v>
      </c>
      <c r="F6673" s="22"/>
      <c r="G6673" s="21">
        <f t="shared" si="312"/>
        <v>554.49000000000001</v>
      </c>
      <c r="H6673" s="22"/>
      <c r="I6673" s="23" t="str">
        <f t="shared" si="313"/>
        <v xml:space="preserve">COM VALOR</v>
      </c>
      <c r="J6673" s="19"/>
      <c r="L6673" s="21">
        <v>554.66999999999996</v>
      </c>
      <c r="M6673" s="22">
        <v>0.98999999999999999</v>
      </c>
      <c r="N6673" s="21">
        <v>554.49000000000001</v>
      </c>
      <c r="O6673" s="22">
        <v>0.98999999999999999</v>
      </c>
    </row>
    <row r="6674" ht="38.25">
      <c r="A6674" t="s">
        <v>6668</v>
      </c>
      <c r="B6674" s="19">
        <v>93086</v>
      </c>
      <c r="C6674" s="20" t="s">
        <v>6793</v>
      </c>
      <c r="D6674" s="19" t="s">
        <v>31</v>
      </c>
      <c r="E6674" s="21">
        <f t="shared" si="311"/>
        <v>557.54999999999995</v>
      </c>
      <c r="F6674" s="22"/>
      <c r="G6674" s="21">
        <f t="shared" si="312"/>
        <v>557.22000000000003</v>
      </c>
      <c r="H6674" s="22"/>
      <c r="I6674" s="23" t="str">
        <f t="shared" si="313"/>
        <v xml:space="preserve">COM VALOR</v>
      </c>
      <c r="J6674" s="19"/>
      <c r="L6674" s="21">
        <v>557.54999999999995</v>
      </c>
      <c r="M6674" s="22">
        <v>0.98999999999999999</v>
      </c>
      <c r="N6674" s="21">
        <v>557.22000000000003</v>
      </c>
      <c r="O6674" s="22">
        <v>0.98999999999999999</v>
      </c>
    </row>
    <row r="6675" ht="38.25">
      <c r="A6675" t="s">
        <v>6668</v>
      </c>
      <c r="B6675" s="19">
        <v>103890</v>
      </c>
      <c r="C6675" s="20" t="s">
        <v>6794</v>
      </c>
      <c r="D6675" s="19" t="s">
        <v>31</v>
      </c>
      <c r="E6675" s="21">
        <f t="shared" si="311"/>
        <v>561.53999999999996</v>
      </c>
      <c r="F6675" s="22"/>
      <c r="G6675" s="21">
        <f t="shared" si="312"/>
        <v>560.99000000000001</v>
      </c>
      <c r="H6675" s="22"/>
      <c r="I6675" s="23" t="str">
        <f t="shared" si="313"/>
        <v xml:space="preserve">COM VALOR</v>
      </c>
      <c r="J6675" s="19"/>
      <c r="L6675" s="21">
        <v>561.53999999999996</v>
      </c>
      <c r="M6675" s="22">
        <v>0.97999999999999998</v>
      </c>
      <c r="N6675" s="21">
        <v>560.99000000000001</v>
      </c>
      <c r="O6675" s="22">
        <v>0.97999999999999998</v>
      </c>
    </row>
    <row r="6676" ht="38.25">
      <c r="A6676" t="s">
        <v>6668</v>
      </c>
      <c r="B6676" s="19">
        <v>103821</v>
      </c>
      <c r="C6676" s="20" t="s">
        <v>6795</v>
      </c>
      <c r="D6676" s="19" t="s">
        <v>31</v>
      </c>
      <c r="E6676" s="21">
        <f t="shared" si="311"/>
        <v>566.04999999999995</v>
      </c>
      <c r="F6676" s="22"/>
      <c r="G6676" s="21">
        <f t="shared" si="312"/>
        <v>565.25999999999999</v>
      </c>
      <c r="H6676" s="22"/>
      <c r="I6676" s="23" t="str">
        <f t="shared" si="313"/>
        <v xml:space="preserve">COM VALOR</v>
      </c>
      <c r="J6676" s="19"/>
      <c r="L6676" s="21">
        <v>566.04999999999995</v>
      </c>
      <c r="M6676" s="22">
        <v>0.96999999999999997</v>
      </c>
      <c r="N6676" s="21">
        <v>565.25999999999999</v>
      </c>
      <c r="O6676" s="22">
        <v>0.97999999999999998</v>
      </c>
    </row>
    <row r="6677" ht="38.25">
      <c r="A6677" t="s">
        <v>6668</v>
      </c>
      <c r="B6677" s="19">
        <v>103854</v>
      </c>
      <c r="C6677" s="20" t="s">
        <v>6796</v>
      </c>
      <c r="D6677" s="19" t="s">
        <v>31</v>
      </c>
      <c r="E6677" s="21">
        <f t="shared" si="311"/>
        <v>562.15999999999997</v>
      </c>
      <c r="F6677" s="22"/>
      <c r="G6677" s="21">
        <f t="shared" si="312"/>
        <v>561.58000000000004</v>
      </c>
      <c r="H6677" s="22"/>
      <c r="I6677" s="23" t="str">
        <f t="shared" si="313"/>
        <v xml:space="preserve">COM VALOR</v>
      </c>
      <c r="J6677" s="19"/>
      <c r="L6677" s="21">
        <v>562.15999999999997</v>
      </c>
      <c r="M6677" s="22">
        <v>0.97999999999999998</v>
      </c>
      <c r="N6677" s="21">
        <v>561.58000000000004</v>
      </c>
      <c r="O6677" s="22">
        <v>0.97999999999999998</v>
      </c>
    </row>
    <row r="6678" ht="38.25">
      <c r="A6678" t="s">
        <v>6668</v>
      </c>
      <c r="B6678" s="19">
        <v>93109</v>
      </c>
      <c r="C6678" s="20" t="s">
        <v>6797</v>
      </c>
      <c r="D6678" s="19" t="s">
        <v>31</v>
      </c>
      <c r="E6678" s="21">
        <f t="shared" si="311"/>
        <v>559.70000000000005</v>
      </c>
      <c r="F6678" s="22"/>
      <c r="G6678" s="21">
        <f t="shared" si="312"/>
        <v>559.24000000000001</v>
      </c>
      <c r="H6678" s="22"/>
      <c r="I6678" s="23" t="str">
        <f t="shared" si="313"/>
        <v xml:space="preserve">COM VALOR</v>
      </c>
      <c r="J6678" s="19"/>
      <c r="L6678" s="21">
        <v>559.70000000000005</v>
      </c>
      <c r="M6678" s="22">
        <v>0.98999999999999999</v>
      </c>
      <c r="N6678" s="21">
        <v>559.24000000000001</v>
      </c>
      <c r="O6678" s="22">
        <v>0.98999999999999999</v>
      </c>
    </row>
    <row r="6679" ht="38.25">
      <c r="A6679" t="s">
        <v>6668</v>
      </c>
      <c r="B6679" s="19">
        <v>93058</v>
      </c>
      <c r="C6679" s="20" t="s">
        <v>6798</v>
      </c>
      <c r="D6679" s="19" t="s">
        <v>31</v>
      </c>
      <c r="E6679" s="21">
        <f t="shared" si="311"/>
        <v>610.20000000000005</v>
      </c>
      <c r="F6679" s="22"/>
      <c r="G6679" s="21">
        <f t="shared" si="312"/>
        <v>609.99000000000001</v>
      </c>
      <c r="H6679" s="22"/>
      <c r="I6679" s="23" t="str">
        <f t="shared" si="313"/>
        <v xml:space="preserve">COM VALOR</v>
      </c>
      <c r="J6679" s="19"/>
      <c r="L6679" s="21">
        <v>610.20000000000005</v>
      </c>
      <c r="M6679" s="22">
        <v>0.98999999999999999</v>
      </c>
      <c r="N6679" s="21">
        <v>609.99000000000001</v>
      </c>
      <c r="O6679" s="22">
        <v>0.98999999999999999</v>
      </c>
    </row>
    <row r="6680" ht="38.25">
      <c r="A6680" t="s">
        <v>6668</v>
      </c>
      <c r="B6680" s="19">
        <v>93092</v>
      </c>
      <c r="C6680" s="20" t="s">
        <v>6799</v>
      </c>
      <c r="D6680" s="19" t="s">
        <v>31</v>
      </c>
      <c r="E6680" s="21">
        <f t="shared" si="311"/>
        <v>612.87</v>
      </c>
      <c r="F6680" s="22"/>
      <c r="G6680" s="21">
        <f t="shared" si="312"/>
        <v>612.5</v>
      </c>
      <c r="H6680" s="22"/>
      <c r="I6680" s="23" t="str">
        <f t="shared" si="313"/>
        <v xml:space="preserve">COM VALOR</v>
      </c>
      <c r="J6680" s="19"/>
      <c r="L6680" s="21">
        <v>612.87</v>
      </c>
      <c r="M6680" s="22">
        <v>0.98999999999999999</v>
      </c>
      <c r="N6680" s="21">
        <v>612.5</v>
      </c>
      <c r="O6680" s="22">
        <v>0.98999999999999999</v>
      </c>
    </row>
    <row r="6681" ht="38.25">
      <c r="A6681" t="s">
        <v>6668</v>
      </c>
      <c r="B6681" s="19">
        <v>103898</v>
      </c>
      <c r="C6681" s="20" t="s">
        <v>6800</v>
      </c>
      <c r="D6681" s="19" t="s">
        <v>31</v>
      </c>
      <c r="E6681" s="21">
        <f t="shared" si="311"/>
        <v>617.49000000000001</v>
      </c>
      <c r="F6681" s="22"/>
      <c r="G6681" s="21">
        <f t="shared" si="312"/>
        <v>616.85000000000002</v>
      </c>
      <c r="H6681" s="22"/>
      <c r="I6681" s="23" t="str">
        <f t="shared" si="313"/>
        <v xml:space="preserve">COM VALOR</v>
      </c>
      <c r="J6681" s="19"/>
      <c r="L6681" s="21">
        <v>617.49000000000001</v>
      </c>
      <c r="M6681" s="22">
        <v>0.97999999999999998</v>
      </c>
      <c r="N6681" s="21">
        <v>616.85000000000002</v>
      </c>
      <c r="O6681" s="22">
        <v>0.97999999999999998</v>
      </c>
    </row>
    <row r="6682" ht="38.25">
      <c r="A6682" t="s">
        <v>6668</v>
      </c>
      <c r="B6682" s="19">
        <v>103829</v>
      </c>
      <c r="C6682" s="20" t="s">
        <v>6801</v>
      </c>
      <c r="D6682" s="19" t="s">
        <v>31</v>
      </c>
      <c r="E6682" s="21">
        <f t="shared" si="311"/>
        <v>625.34000000000003</v>
      </c>
      <c r="F6682" s="22">
        <v>0</v>
      </c>
      <c r="G6682" s="21">
        <f t="shared" si="312"/>
        <v>624.25999999999999</v>
      </c>
      <c r="H6682" s="22">
        <v>0</v>
      </c>
      <c r="I6682" s="23" t="str">
        <f t="shared" si="313"/>
        <v xml:space="preserve">COM VALOR</v>
      </c>
      <c r="J6682" s="19"/>
      <c r="L6682" s="21">
        <v>625.34000000000003</v>
      </c>
      <c r="M6682" s="22">
        <v>0.96999999999999997</v>
      </c>
      <c r="N6682" s="21">
        <v>624.25999999999999</v>
      </c>
      <c r="O6682" s="22">
        <v>0.96999999999999997</v>
      </c>
    </row>
    <row r="6683" ht="38.25">
      <c r="A6683" t="s">
        <v>6668</v>
      </c>
      <c r="B6683" s="19">
        <v>103862</v>
      </c>
      <c r="C6683" s="20" t="s">
        <v>6802</v>
      </c>
      <c r="D6683" s="19" t="s">
        <v>31</v>
      </c>
      <c r="E6683" s="21">
        <f t="shared" si="311"/>
        <v>619.07000000000005</v>
      </c>
      <c r="F6683" s="22">
        <v>0</v>
      </c>
      <c r="G6683" s="21">
        <f t="shared" si="312"/>
        <v>618.36000000000001</v>
      </c>
      <c r="H6683" s="22">
        <v>0</v>
      </c>
      <c r="I6683" s="23" t="str">
        <f t="shared" si="313"/>
        <v xml:space="preserve">COM VALOR</v>
      </c>
      <c r="J6683" s="19"/>
      <c r="L6683" s="21">
        <v>619.07000000000005</v>
      </c>
      <c r="M6683" s="22">
        <v>0.97999999999999998</v>
      </c>
      <c r="N6683" s="21">
        <v>618.36000000000001</v>
      </c>
      <c r="O6683" s="22">
        <v>0.97999999999999998</v>
      </c>
    </row>
    <row r="6684" ht="38.25">
      <c r="A6684" t="s">
        <v>6668</v>
      </c>
      <c r="B6684" s="19">
        <v>93116</v>
      </c>
      <c r="C6684" s="20" t="s">
        <v>6803</v>
      </c>
      <c r="D6684" s="19" t="s">
        <v>31</v>
      </c>
      <c r="E6684" s="21">
        <f t="shared" si="311"/>
        <v>616.70000000000005</v>
      </c>
      <c r="F6684" s="22">
        <v>0</v>
      </c>
      <c r="G6684" s="21">
        <f t="shared" si="312"/>
        <v>616.12</v>
      </c>
      <c r="H6684" s="22">
        <v>0</v>
      </c>
      <c r="I6684" s="23" t="str">
        <f t="shared" si="313"/>
        <v xml:space="preserve">COM VALOR</v>
      </c>
      <c r="J6684" s="19"/>
      <c r="L6684" s="21">
        <v>616.70000000000005</v>
      </c>
      <c r="M6684" s="22">
        <v>0.97999999999999998</v>
      </c>
      <c r="N6684" s="21">
        <v>616.12</v>
      </c>
      <c r="O6684" s="22">
        <v>0.97999999999999998</v>
      </c>
    </row>
    <row r="6685" ht="38.25">
      <c r="A6685" t="s">
        <v>6668</v>
      </c>
      <c r="B6685" s="19">
        <v>92314</v>
      </c>
      <c r="C6685" s="20" t="s">
        <v>6804</v>
      </c>
      <c r="D6685" s="19" t="s">
        <v>31</v>
      </c>
      <c r="E6685" s="21">
        <f t="shared" si="311"/>
        <v>9.1500000000000004</v>
      </c>
      <c r="F6685" s="22">
        <v>0</v>
      </c>
      <c r="G6685" s="21">
        <f t="shared" si="312"/>
        <v>8.8699999999999992</v>
      </c>
      <c r="H6685" s="22">
        <v>0</v>
      </c>
      <c r="I6685" s="23" t="str">
        <f t="shared" si="313"/>
        <v xml:space="preserve">COM VALOR</v>
      </c>
      <c r="J6685" s="19"/>
      <c r="L6685" s="21">
        <v>9.1500000000000004</v>
      </c>
      <c r="M6685" s="22">
        <v>0.42999999999999999</v>
      </c>
      <c r="N6685" s="21">
        <v>8.8699999999999992</v>
      </c>
      <c r="O6685" s="22">
        <v>0.45000000000000001</v>
      </c>
    </row>
    <row r="6686" ht="38.25">
      <c r="A6686" t="s">
        <v>6668</v>
      </c>
      <c r="B6686" s="19">
        <v>103883</v>
      </c>
      <c r="C6686" s="20" t="s">
        <v>6805</v>
      </c>
      <c r="D6686" s="19" t="s">
        <v>31</v>
      </c>
      <c r="E6686" s="21">
        <f t="shared" si="311"/>
        <v>12.41</v>
      </c>
      <c r="F6686" s="22">
        <v>0</v>
      </c>
      <c r="G6686" s="21">
        <f t="shared" si="312"/>
        <v>11.94</v>
      </c>
      <c r="H6686" s="22">
        <v>0</v>
      </c>
      <c r="I6686" s="23" t="str">
        <f t="shared" si="313"/>
        <v xml:space="preserve">COM VALOR</v>
      </c>
      <c r="J6686" s="19"/>
      <c r="L6686" s="21">
        <v>12.41</v>
      </c>
      <c r="M6686" s="22">
        <v>0.32000000000000001</v>
      </c>
      <c r="N6686" s="21">
        <v>11.94</v>
      </c>
      <c r="O6686" s="22">
        <v>0.33000000000000002</v>
      </c>
    </row>
    <row r="6687" ht="38.25">
      <c r="A6687" t="s">
        <v>6668</v>
      </c>
      <c r="B6687" s="19">
        <v>103814</v>
      </c>
      <c r="C6687" s="20" t="s">
        <v>6806</v>
      </c>
      <c r="D6687" s="19" t="s">
        <v>31</v>
      </c>
      <c r="E6687" s="21">
        <f t="shared" si="311"/>
        <v>12.41</v>
      </c>
      <c r="F6687" s="22">
        <v>0</v>
      </c>
      <c r="G6687" s="21">
        <f t="shared" si="312"/>
        <v>11.94</v>
      </c>
      <c r="H6687" s="22">
        <v>0</v>
      </c>
      <c r="I6687" s="23" t="str">
        <f t="shared" si="313"/>
        <v xml:space="preserve">COM VALOR</v>
      </c>
      <c r="J6687" s="19"/>
      <c r="L6687" s="21">
        <v>12.41</v>
      </c>
      <c r="M6687" s="22">
        <v>0.32000000000000001</v>
      </c>
      <c r="N6687" s="21">
        <v>11.94</v>
      </c>
      <c r="O6687" s="22">
        <v>0.33000000000000002</v>
      </c>
    </row>
    <row r="6688" ht="38.25">
      <c r="A6688" t="s">
        <v>6668</v>
      </c>
      <c r="B6688" s="19">
        <v>103847</v>
      </c>
      <c r="C6688" s="20" t="s">
        <v>6807</v>
      </c>
      <c r="D6688" s="19" t="s">
        <v>31</v>
      </c>
      <c r="E6688" s="21">
        <f t="shared" si="311"/>
        <v>11.92</v>
      </c>
      <c r="F6688" s="22">
        <v>0</v>
      </c>
      <c r="G6688" s="21">
        <f t="shared" si="312"/>
        <v>11.48</v>
      </c>
      <c r="H6688" s="22">
        <v>0</v>
      </c>
      <c r="I6688" s="23" t="str">
        <f t="shared" si="313"/>
        <v xml:space="preserve">COM VALOR</v>
      </c>
      <c r="J6688" s="19"/>
      <c r="L6688" s="21">
        <v>11.92</v>
      </c>
      <c r="M6688" s="22">
        <v>0.33000000000000002</v>
      </c>
      <c r="N6688" s="21">
        <v>11.48</v>
      </c>
      <c r="O6688" s="22">
        <v>0.34000000000000002</v>
      </c>
    </row>
    <row r="6689" ht="38.25">
      <c r="A6689" t="s">
        <v>6668</v>
      </c>
      <c r="B6689" s="19">
        <v>92329</v>
      </c>
      <c r="C6689" s="20" t="s">
        <v>6808</v>
      </c>
      <c r="D6689" s="19" t="s">
        <v>31</v>
      </c>
      <c r="E6689" s="21">
        <f t="shared" si="311"/>
        <v>9.3399999999999999</v>
      </c>
      <c r="F6689" s="22">
        <v>0</v>
      </c>
      <c r="G6689" s="21">
        <f t="shared" si="312"/>
        <v>9.0399999999999991</v>
      </c>
      <c r="H6689" s="22">
        <v>0</v>
      </c>
      <c r="I6689" s="23" t="str">
        <f t="shared" si="313"/>
        <v xml:space="preserve">COM VALOR</v>
      </c>
      <c r="J6689" s="19"/>
      <c r="L6689" s="21">
        <v>9.3399999999999999</v>
      </c>
      <c r="M6689" s="22">
        <v>0.41999999999999998</v>
      </c>
      <c r="N6689" s="21">
        <v>9.0399999999999991</v>
      </c>
      <c r="O6689" s="22">
        <v>0.44</v>
      </c>
    </row>
    <row r="6690" ht="38.25">
      <c r="A6690" t="s">
        <v>6668</v>
      </c>
      <c r="B6690" s="19">
        <v>92293</v>
      </c>
      <c r="C6690" s="20" t="s">
        <v>6809</v>
      </c>
      <c r="D6690" s="19" t="s">
        <v>31</v>
      </c>
      <c r="E6690" s="21">
        <f t="shared" si="311"/>
        <v>10.539999999999999</v>
      </c>
      <c r="F6690" s="22">
        <v>0</v>
      </c>
      <c r="G6690" s="21">
        <f t="shared" si="312"/>
        <v>10.359999999999999</v>
      </c>
      <c r="H6690" s="22">
        <v>0</v>
      </c>
      <c r="I6690" s="23" t="str">
        <f t="shared" si="313"/>
        <v xml:space="preserve">COM VALOR</v>
      </c>
      <c r="J6690" s="19"/>
      <c r="L6690" s="21">
        <v>10.539999999999999</v>
      </c>
      <c r="M6690" s="22">
        <v>0.69999999999999996</v>
      </c>
      <c r="N6690" s="21">
        <v>10.359999999999999</v>
      </c>
      <c r="O6690" s="22">
        <v>0.71999999999999997</v>
      </c>
    </row>
    <row r="6691" ht="38.25">
      <c r="A6691" t="s">
        <v>6668</v>
      </c>
      <c r="B6691" s="19">
        <v>92315</v>
      </c>
      <c r="C6691" s="20" t="s">
        <v>6810</v>
      </c>
      <c r="D6691" s="19" t="s">
        <v>31</v>
      </c>
      <c r="E6691" s="21">
        <f t="shared" si="311"/>
        <v>13.42</v>
      </c>
      <c r="F6691" s="22">
        <v>0</v>
      </c>
      <c r="G6691" s="21">
        <f t="shared" si="312"/>
        <v>13.09</v>
      </c>
      <c r="H6691" s="22">
        <v>0</v>
      </c>
      <c r="I6691" s="23" t="str">
        <f t="shared" si="313"/>
        <v xml:space="preserve">COM VALOR</v>
      </c>
      <c r="J6691" s="19"/>
      <c r="L6691" s="21">
        <v>13.42</v>
      </c>
      <c r="M6691" s="22">
        <v>0.55000000000000004</v>
      </c>
      <c r="N6691" s="21">
        <v>13.09</v>
      </c>
      <c r="O6691" s="22">
        <v>0.56999999999999995</v>
      </c>
    </row>
    <row r="6692" ht="38.25">
      <c r="A6692" t="s">
        <v>6668</v>
      </c>
      <c r="B6692" s="19">
        <v>103888</v>
      </c>
      <c r="C6692" s="20" t="s">
        <v>6811</v>
      </c>
      <c r="D6692" s="19" t="s">
        <v>31</v>
      </c>
      <c r="E6692" s="21">
        <f t="shared" si="311"/>
        <v>17.41</v>
      </c>
      <c r="F6692" s="22">
        <v>0</v>
      </c>
      <c r="G6692" s="21">
        <f t="shared" si="312"/>
        <v>16.859999999999999</v>
      </c>
      <c r="H6692" s="22">
        <v>0</v>
      </c>
      <c r="I6692" s="23" t="str">
        <f t="shared" si="313"/>
        <v xml:space="preserve">COM VALOR</v>
      </c>
      <c r="J6692" s="19"/>
      <c r="L6692" s="21">
        <v>17.41</v>
      </c>
      <c r="M6692" s="22">
        <v>0.42999999999999999</v>
      </c>
      <c r="N6692" s="21">
        <v>16.859999999999999</v>
      </c>
      <c r="O6692" s="22">
        <v>0.44</v>
      </c>
    </row>
    <row r="6693" ht="38.25">
      <c r="A6693" t="s">
        <v>6668</v>
      </c>
      <c r="B6693" s="19">
        <v>103819</v>
      </c>
      <c r="C6693" s="20" t="s">
        <v>6812</v>
      </c>
      <c r="D6693" s="19" t="s">
        <v>31</v>
      </c>
      <c r="E6693" s="21">
        <f t="shared" si="311"/>
        <v>21.920000000000002</v>
      </c>
      <c r="F6693" s="22">
        <v>0</v>
      </c>
      <c r="G6693" s="21">
        <f t="shared" si="312"/>
        <v>21.129999999999999</v>
      </c>
      <c r="H6693" s="22">
        <v>0</v>
      </c>
      <c r="I6693" s="23" t="str">
        <f t="shared" si="313"/>
        <v xml:space="preserve">COM VALOR</v>
      </c>
      <c r="J6693" s="19"/>
      <c r="L6693" s="21">
        <v>21.920000000000002</v>
      </c>
      <c r="M6693" s="22">
        <v>0.34000000000000002</v>
      </c>
      <c r="N6693" s="21">
        <v>21.129999999999999</v>
      </c>
      <c r="O6693" s="22">
        <v>0.34999999999999998</v>
      </c>
    </row>
    <row r="6694" ht="38.25">
      <c r="A6694" t="s">
        <v>6668</v>
      </c>
      <c r="B6694" s="19">
        <v>103852</v>
      </c>
      <c r="C6694" s="20" t="s">
        <v>6813</v>
      </c>
      <c r="D6694" s="19" t="s">
        <v>31</v>
      </c>
      <c r="E6694" s="21">
        <f t="shared" si="311"/>
        <v>18.030000000000001</v>
      </c>
      <c r="F6694" s="22">
        <v>0</v>
      </c>
      <c r="G6694" s="21">
        <f t="shared" si="312"/>
        <v>17.449999999999999</v>
      </c>
      <c r="H6694" s="22">
        <v>0</v>
      </c>
      <c r="I6694" s="23" t="str">
        <f t="shared" si="313"/>
        <v xml:space="preserve">COM VALOR</v>
      </c>
      <c r="J6694" s="19"/>
      <c r="L6694" s="21">
        <v>18.030000000000001</v>
      </c>
      <c r="M6694" s="22">
        <v>0.40999999999999998</v>
      </c>
      <c r="N6694" s="21">
        <v>17.449999999999999</v>
      </c>
      <c r="O6694" s="22">
        <v>0.42999999999999999</v>
      </c>
    </row>
    <row r="6695" ht="38.25">
      <c r="A6695" t="s">
        <v>6668</v>
      </c>
      <c r="B6695" s="19">
        <v>92330</v>
      </c>
      <c r="C6695" s="20" t="s">
        <v>6814</v>
      </c>
      <c r="D6695" s="19" t="s">
        <v>31</v>
      </c>
      <c r="E6695" s="21">
        <f t="shared" si="311"/>
        <v>15.57</v>
      </c>
      <c r="F6695" s="22">
        <v>0</v>
      </c>
      <c r="G6695" s="21">
        <f t="shared" si="312"/>
        <v>15.109999999999999</v>
      </c>
      <c r="H6695" s="22">
        <v>0</v>
      </c>
      <c r="I6695" s="23" t="str">
        <f t="shared" si="313"/>
        <v xml:space="preserve">COM VALOR</v>
      </c>
      <c r="J6695" s="19"/>
      <c r="L6695" s="21">
        <v>15.57</v>
      </c>
      <c r="M6695" s="22">
        <v>0.47999999999999998</v>
      </c>
      <c r="N6695" s="21">
        <v>15.109999999999999</v>
      </c>
      <c r="O6695" s="22">
        <v>0.48999999999999999</v>
      </c>
    </row>
    <row r="6696" ht="38.25">
      <c r="A6696" t="s">
        <v>6668</v>
      </c>
      <c r="B6696" s="19">
        <v>92294</v>
      </c>
      <c r="C6696" s="20" t="s">
        <v>6815</v>
      </c>
      <c r="D6696" s="19" t="s">
        <v>31</v>
      </c>
      <c r="E6696" s="21">
        <f t="shared" si="311"/>
        <v>17.879999999999999</v>
      </c>
      <c r="F6696" s="22">
        <v>0</v>
      </c>
      <c r="G6696" s="21">
        <f t="shared" si="312"/>
        <v>17.670000000000002</v>
      </c>
      <c r="H6696" s="22">
        <v>0</v>
      </c>
      <c r="I6696" s="23" t="str">
        <f t="shared" si="313"/>
        <v xml:space="preserve">COM VALOR</v>
      </c>
      <c r="J6696" s="19"/>
      <c r="L6696" s="21">
        <v>17.879999999999999</v>
      </c>
      <c r="M6696" s="22">
        <v>0.78000000000000003</v>
      </c>
      <c r="N6696" s="21">
        <v>17.670000000000002</v>
      </c>
      <c r="O6696" s="22">
        <v>0.78000000000000003</v>
      </c>
    </row>
    <row r="6697" ht="38.25">
      <c r="A6697" t="s">
        <v>6668</v>
      </c>
      <c r="B6697" s="19">
        <v>92316</v>
      </c>
      <c r="C6697" s="20" t="s">
        <v>6816</v>
      </c>
      <c r="D6697" s="19" t="s">
        <v>31</v>
      </c>
      <c r="E6697" s="21">
        <f t="shared" si="311"/>
        <v>20.550000000000001</v>
      </c>
      <c r="F6697" s="22">
        <v>0.54000000000000004</v>
      </c>
      <c r="G6697" s="21">
        <f t="shared" si="312"/>
        <v>20.18</v>
      </c>
      <c r="H6697" s="22">
        <v>0.56000000000000005</v>
      </c>
      <c r="I6697" s="23" t="str">
        <f t="shared" si="313"/>
        <v xml:space="preserve">COM VALOR</v>
      </c>
      <c r="J6697" s="19"/>
      <c r="L6697" s="21">
        <v>20.550000000000001</v>
      </c>
      <c r="M6697" s="22">
        <v>0.67000000000000004</v>
      </c>
      <c r="N6697" s="21">
        <v>20.18</v>
      </c>
      <c r="O6697" s="22">
        <v>0.68999999999999995</v>
      </c>
    </row>
    <row r="6698" ht="38.25">
      <c r="A6698" t="s">
        <v>6668</v>
      </c>
      <c r="B6698" s="19">
        <v>103895</v>
      </c>
      <c r="C6698" s="20" t="s">
        <v>6817</v>
      </c>
      <c r="D6698" s="19" t="s">
        <v>31</v>
      </c>
      <c r="E6698" s="21">
        <f t="shared" si="311"/>
        <v>25.170000000000002</v>
      </c>
      <c r="F6698" s="22">
        <v>0.47999999999999998</v>
      </c>
      <c r="G6698" s="21">
        <f t="shared" si="312"/>
        <v>24.530000000000001</v>
      </c>
      <c r="H6698" s="22">
        <v>0.5</v>
      </c>
      <c r="I6698" s="23" t="str">
        <f t="shared" si="313"/>
        <v xml:space="preserve">COM VALOR</v>
      </c>
      <c r="J6698" s="19"/>
      <c r="L6698" s="21">
        <v>25.170000000000002</v>
      </c>
      <c r="M6698" s="22">
        <v>0.55000000000000004</v>
      </c>
      <c r="N6698" s="21">
        <v>24.530000000000001</v>
      </c>
      <c r="O6698" s="22">
        <v>0.56999999999999995</v>
      </c>
    </row>
    <row r="6699" ht="38.25">
      <c r="A6699" t="s">
        <v>6668</v>
      </c>
      <c r="B6699" s="19">
        <v>103826</v>
      </c>
      <c r="C6699" s="20" t="s">
        <v>6818</v>
      </c>
      <c r="D6699" s="19" t="s">
        <v>31</v>
      </c>
      <c r="E6699" s="21">
        <f t="shared" si="311"/>
        <v>33.020000000000003</v>
      </c>
      <c r="F6699" s="22">
        <v>0.63</v>
      </c>
      <c r="G6699" s="21">
        <f t="shared" si="312"/>
        <v>31.940000000000001</v>
      </c>
      <c r="H6699" s="22">
        <v>0.64000000000000001</v>
      </c>
      <c r="I6699" s="23" t="str">
        <f t="shared" si="313"/>
        <v xml:space="preserve">COM VALOR</v>
      </c>
      <c r="J6699" s="19"/>
      <c r="L6699" s="21">
        <v>33.020000000000003</v>
      </c>
      <c r="M6699" s="22">
        <v>0.40000000000000002</v>
      </c>
      <c r="N6699" s="21">
        <v>31.940000000000001</v>
      </c>
      <c r="O6699" s="22">
        <v>0.41999999999999998</v>
      </c>
    </row>
    <row r="6700" ht="38.25">
      <c r="A6700" t="s">
        <v>6668</v>
      </c>
      <c r="B6700" s="19">
        <v>103859</v>
      </c>
      <c r="C6700" s="20" t="s">
        <v>6819</v>
      </c>
      <c r="D6700" s="19" t="s">
        <v>31</v>
      </c>
      <c r="E6700" s="21">
        <f t="shared" si="311"/>
        <v>26.75</v>
      </c>
      <c r="F6700" s="22">
        <v>0</v>
      </c>
      <c r="G6700" s="21">
        <f t="shared" si="312"/>
        <v>26.039999999999999</v>
      </c>
      <c r="H6700" s="22">
        <v>0</v>
      </c>
      <c r="I6700" s="23" t="str">
        <f t="shared" si="313"/>
        <v xml:space="preserve">COM VALOR</v>
      </c>
      <c r="J6700" s="19"/>
      <c r="L6700" s="21">
        <v>26.75</v>
      </c>
      <c r="M6700" s="22">
        <v>0.52000000000000002</v>
      </c>
      <c r="N6700" s="21">
        <v>26.039999999999999</v>
      </c>
      <c r="O6700" s="22">
        <v>0.53000000000000003</v>
      </c>
    </row>
    <row r="6701" ht="38.25">
      <c r="A6701" t="s">
        <v>6668</v>
      </c>
      <c r="B6701" s="19">
        <v>92331</v>
      </c>
      <c r="C6701" s="20" t="s">
        <v>6820</v>
      </c>
      <c r="D6701" s="19" t="s">
        <v>31</v>
      </c>
      <c r="E6701" s="21">
        <f t="shared" si="311"/>
        <v>24.379999999999999</v>
      </c>
      <c r="F6701" s="22">
        <v>0</v>
      </c>
      <c r="G6701" s="21">
        <f t="shared" si="312"/>
        <v>23.800000000000001</v>
      </c>
      <c r="H6701" s="22">
        <v>0</v>
      </c>
      <c r="I6701" s="23" t="str">
        <f t="shared" si="313"/>
        <v xml:space="preserve">COM VALOR</v>
      </c>
      <c r="J6701" s="19"/>
      <c r="L6701" s="21">
        <v>24.379999999999999</v>
      </c>
      <c r="M6701" s="22">
        <v>0.56999999999999995</v>
      </c>
      <c r="N6701" s="21">
        <v>23.800000000000001</v>
      </c>
      <c r="O6701" s="22">
        <v>0.57999999999999996</v>
      </c>
    </row>
    <row r="6702" ht="38.25">
      <c r="A6702" t="s">
        <v>6668</v>
      </c>
      <c r="B6702" s="19">
        <v>92295</v>
      </c>
      <c r="C6702" s="20" t="s">
        <v>6821</v>
      </c>
      <c r="D6702" s="19" t="s">
        <v>31</v>
      </c>
      <c r="E6702" s="21">
        <f t="shared" si="311"/>
        <v>33.829999999999998</v>
      </c>
      <c r="F6702" s="22">
        <v>0</v>
      </c>
      <c r="G6702" s="21">
        <f t="shared" si="312"/>
        <v>33.549999999999997</v>
      </c>
      <c r="H6702" s="22">
        <v>0</v>
      </c>
      <c r="I6702" s="23" t="str">
        <f t="shared" si="313"/>
        <v xml:space="preserve">COM VALOR</v>
      </c>
      <c r="J6702" s="19"/>
      <c r="L6702" s="21">
        <v>33.829999999999998</v>
      </c>
      <c r="M6702" s="22">
        <v>0.84999999999999998</v>
      </c>
      <c r="N6702" s="21">
        <v>33.549999999999997</v>
      </c>
      <c r="O6702" s="22">
        <v>0.85999999999999999</v>
      </c>
    </row>
    <row r="6703" ht="38.25">
      <c r="A6703" t="s">
        <v>6668</v>
      </c>
      <c r="B6703" s="19">
        <v>92296</v>
      </c>
      <c r="C6703" s="20" t="s">
        <v>6822</v>
      </c>
      <c r="D6703" s="19" t="s">
        <v>31</v>
      </c>
      <c r="E6703" s="21">
        <f t="shared" si="311"/>
        <v>44.840000000000003</v>
      </c>
      <c r="F6703" s="22"/>
      <c r="G6703" s="21">
        <f t="shared" si="312"/>
        <v>44.5</v>
      </c>
      <c r="H6703" s="22"/>
      <c r="I6703" s="23" t="str">
        <f t="shared" si="313"/>
        <v xml:space="preserve">COM VALOR</v>
      </c>
      <c r="J6703" s="19"/>
      <c r="L6703" s="21">
        <v>44.840000000000003</v>
      </c>
      <c r="M6703" s="22">
        <v>0.85999999999999999</v>
      </c>
      <c r="N6703" s="21">
        <v>44.5</v>
      </c>
      <c r="O6703" s="22">
        <v>0.87</v>
      </c>
    </row>
    <row r="6704" ht="38.25">
      <c r="A6704" t="s">
        <v>6668</v>
      </c>
      <c r="B6704" s="19">
        <v>92297</v>
      </c>
      <c r="C6704" s="20" t="s">
        <v>6823</v>
      </c>
      <c r="D6704" s="19" t="s">
        <v>31</v>
      </c>
      <c r="E6704" s="21">
        <f t="shared" si="311"/>
        <v>69.659999999999997</v>
      </c>
      <c r="F6704" s="22">
        <v>0.47999999999999998</v>
      </c>
      <c r="G6704" s="21">
        <f t="shared" si="312"/>
        <v>69.219999999999999</v>
      </c>
      <c r="H6704" s="22">
        <v>0.5</v>
      </c>
      <c r="I6704" s="23" t="str">
        <f t="shared" si="313"/>
        <v xml:space="preserve">COM VALOR</v>
      </c>
      <c r="J6704" s="19"/>
      <c r="L6704" s="21">
        <v>69.659999999999997</v>
      </c>
      <c r="M6704" s="22">
        <v>0.89000000000000001</v>
      </c>
      <c r="N6704" s="21">
        <v>69.219999999999999</v>
      </c>
      <c r="O6704" s="22">
        <v>0.89000000000000001</v>
      </c>
    </row>
    <row r="6705" ht="38.25">
      <c r="A6705" t="s">
        <v>6668</v>
      </c>
      <c r="B6705" s="19">
        <v>92298</v>
      </c>
      <c r="C6705" s="20" t="s">
        <v>6824</v>
      </c>
      <c r="D6705" s="19" t="s">
        <v>31</v>
      </c>
      <c r="E6705" s="21">
        <f t="shared" si="311"/>
        <v>196.19999999999999</v>
      </c>
      <c r="F6705" s="22">
        <v>0.47999999999999998</v>
      </c>
      <c r="G6705" s="21">
        <f t="shared" si="312"/>
        <v>195.66</v>
      </c>
      <c r="H6705" s="22">
        <v>0.5</v>
      </c>
      <c r="I6705" s="23" t="str">
        <f t="shared" si="313"/>
        <v xml:space="preserve">COM VALOR</v>
      </c>
      <c r="J6705" s="19"/>
      <c r="L6705" s="21">
        <v>196.19999999999999</v>
      </c>
      <c r="M6705" s="22">
        <v>0.94999999999999996</v>
      </c>
      <c r="N6705" s="21">
        <v>195.66</v>
      </c>
      <c r="O6705" s="22">
        <v>0.94999999999999996</v>
      </c>
    </row>
    <row r="6706" ht="38.25">
      <c r="A6706" t="s">
        <v>6668</v>
      </c>
      <c r="B6706" s="19">
        <v>93080</v>
      </c>
      <c r="C6706" s="20" t="s">
        <v>6825</v>
      </c>
      <c r="D6706" s="19" t="s">
        <v>31</v>
      </c>
      <c r="E6706" s="21">
        <f t="shared" si="311"/>
        <v>9.1799999999999997</v>
      </c>
      <c r="F6706" s="22">
        <v>0</v>
      </c>
      <c r="G6706" s="21">
        <f t="shared" si="312"/>
        <v>8.9000000000000004</v>
      </c>
      <c r="H6706" s="22">
        <v>0</v>
      </c>
      <c r="I6706" s="23" t="str">
        <f t="shared" si="313"/>
        <v xml:space="preserve">COM VALOR</v>
      </c>
      <c r="J6706" s="19"/>
      <c r="L6706" s="21">
        <v>9.1799999999999997</v>
      </c>
      <c r="M6706" s="22">
        <v>0.42999999999999999</v>
      </c>
      <c r="N6706" s="21">
        <v>8.9000000000000004</v>
      </c>
      <c r="O6706" s="22">
        <v>0.45000000000000001</v>
      </c>
    </row>
    <row r="6707" ht="38.25">
      <c r="A6707" t="s">
        <v>6668</v>
      </c>
      <c r="B6707" s="19">
        <v>103884</v>
      </c>
      <c r="C6707" s="20" t="s">
        <v>6826</v>
      </c>
      <c r="D6707" s="19" t="s">
        <v>31</v>
      </c>
      <c r="E6707" s="21">
        <f t="shared" si="311"/>
        <v>12.44</v>
      </c>
      <c r="F6707" s="22">
        <v>0</v>
      </c>
      <c r="G6707" s="21">
        <f t="shared" si="312"/>
        <v>11.970000000000001</v>
      </c>
      <c r="H6707" s="22">
        <v>0</v>
      </c>
      <c r="I6707" s="23" t="str">
        <f t="shared" si="313"/>
        <v xml:space="preserve">COM VALOR</v>
      </c>
      <c r="J6707" s="19"/>
      <c r="L6707" s="21">
        <v>12.44</v>
      </c>
      <c r="M6707" s="22">
        <v>0.32000000000000001</v>
      </c>
      <c r="N6707" s="21">
        <v>11.970000000000001</v>
      </c>
      <c r="O6707" s="22">
        <v>0.33250000000000002</v>
      </c>
    </row>
    <row r="6708" ht="38.25">
      <c r="A6708" t="s">
        <v>6668</v>
      </c>
      <c r="B6708" s="19">
        <v>103815</v>
      </c>
      <c r="C6708" s="20" t="s">
        <v>6827</v>
      </c>
      <c r="D6708" s="19" t="s">
        <v>31</v>
      </c>
      <c r="E6708" s="21">
        <f t="shared" si="311"/>
        <v>12.44</v>
      </c>
      <c r="F6708" s="22">
        <v>0</v>
      </c>
      <c r="G6708" s="21">
        <f t="shared" si="312"/>
        <v>11.970000000000001</v>
      </c>
      <c r="H6708" s="22">
        <v>0</v>
      </c>
      <c r="I6708" s="23" t="str">
        <f t="shared" si="313"/>
        <v xml:space="preserve">COM VALOR</v>
      </c>
      <c r="J6708" s="19"/>
      <c r="L6708" s="21">
        <v>12.44</v>
      </c>
      <c r="M6708" s="22">
        <v>0.32000000000000001</v>
      </c>
      <c r="N6708" s="21">
        <v>11.970000000000001</v>
      </c>
      <c r="O6708" s="22">
        <v>0.33250000000000002</v>
      </c>
    </row>
    <row r="6709" ht="38.25">
      <c r="A6709" t="s">
        <v>6668</v>
      </c>
      <c r="B6709" s="19">
        <v>103848</v>
      </c>
      <c r="C6709" s="20" t="s">
        <v>6828</v>
      </c>
      <c r="D6709" s="19" t="s">
        <v>31</v>
      </c>
      <c r="E6709" s="21">
        <f t="shared" si="311"/>
        <v>11.949999999999999</v>
      </c>
      <c r="F6709" s="22">
        <v>0</v>
      </c>
      <c r="G6709" s="21">
        <f t="shared" si="312"/>
        <v>11.51</v>
      </c>
      <c r="H6709" s="22">
        <v>0</v>
      </c>
      <c r="I6709" s="23" t="str">
        <f t="shared" si="313"/>
        <v xml:space="preserve">COM VALOR</v>
      </c>
      <c r="J6709" s="19"/>
      <c r="L6709" s="21">
        <v>11.949999999999999</v>
      </c>
      <c r="M6709" s="22">
        <v>0.33000000000000002</v>
      </c>
      <c r="N6709" s="21">
        <v>11.51</v>
      </c>
      <c r="O6709" s="22">
        <v>0.34999999999999998</v>
      </c>
    </row>
    <row r="6710" ht="38.25">
      <c r="A6710" t="s">
        <v>6668</v>
      </c>
      <c r="B6710" s="19">
        <v>93103</v>
      </c>
      <c r="C6710" s="20" t="s">
        <v>6829</v>
      </c>
      <c r="D6710" s="19" t="s">
        <v>31</v>
      </c>
      <c r="E6710" s="21">
        <f t="shared" si="311"/>
        <v>9.3699999999999992</v>
      </c>
      <c r="F6710" s="22"/>
      <c r="G6710" s="21">
        <f t="shared" si="312"/>
        <v>9.0700000000000003</v>
      </c>
      <c r="H6710" s="22"/>
      <c r="I6710" s="23" t="str">
        <f t="shared" si="313"/>
        <v xml:space="preserve">COM VALOR</v>
      </c>
      <c r="J6710" s="19"/>
      <c r="L6710" s="21">
        <v>9.3699999999999992</v>
      </c>
      <c r="M6710" s="22">
        <v>0.41999999999999998</v>
      </c>
      <c r="N6710" s="21">
        <v>9.0700000000000003</v>
      </c>
      <c r="O6710" s="22">
        <v>0.44</v>
      </c>
    </row>
    <row r="6711" ht="38.25">
      <c r="A6711" t="s">
        <v>6668</v>
      </c>
      <c r="B6711" s="19">
        <v>93050</v>
      </c>
      <c r="C6711" s="20" t="s">
        <v>6830</v>
      </c>
      <c r="D6711" s="19" t="s">
        <v>31</v>
      </c>
      <c r="E6711" s="21">
        <f t="shared" si="311"/>
        <v>11.949999999999999</v>
      </c>
      <c r="F6711" s="22">
        <v>0.52000000000000002</v>
      </c>
      <c r="G6711" s="21">
        <f t="shared" si="312"/>
        <v>11.77</v>
      </c>
      <c r="H6711" s="22">
        <v>0.54000000000000004</v>
      </c>
      <c r="I6711" s="23" t="str">
        <f t="shared" si="313"/>
        <v xml:space="preserve">COM VALOR</v>
      </c>
      <c r="J6711" s="19"/>
      <c r="L6711" s="21">
        <v>11.949999999999999</v>
      </c>
      <c r="M6711" s="22">
        <v>0.73999999999999999</v>
      </c>
      <c r="N6711" s="21">
        <v>11.77</v>
      </c>
      <c r="O6711" s="22">
        <v>0.75</v>
      </c>
    </row>
    <row r="6712" ht="38.25">
      <c r="A6712" t="s">
        <v>6668</v>
      </c>
      <c r="B6712" s="19">
        <v>93084</v>
      </c>
      <c r="C6712" s="20" t="s">
        <v>6831</v>
      </c>
      <c r="D6712" s="19" t="s">
        <v>31</v>
      </c>
      <c r="E6712" s="21">
        <f t="shared" si="311"/>
        <v>14.83</v>
      </c>
      <c r="F6712" s="22">
        <v>0.53000000000000003</v>
      </c>
      <c r="G6712" s="21">
        <f t="shared" si="312"/>
        <v>14.5</v>
      </c>
      <c r="H6712" s="22">
        <v>0.55000000000000004</v>
      </c>
      <c r="I6712" s="23" t="str">
        <f t="shared" si="313"/>
        <v xml:space="preserve">COM VALOR</v>
      </c>
      <c r="J6712" s="19"/>
      <c r="L6712" s="21">
        <v>14.83</v>
      </c>
      <c r="M6712" s="22">
        <v>0.59999999999999998</v>
      </c>
      <c r="N6712" s="21">
        <v>14.5</v>
      </c>
      <c r="O6712" s="22">
        <v>0.60999999999999999</v>
      </c>
    </row>
    <row r="6713" ht="38.25">
      <c r="A6713" t="s">
        <v>6668</v>
      </c>
      <c r="B6713" s="19">
        <v>103889</v>
      </c>
      <c r="C6713" s="20" t="s">
        <v>6832</v>
      </c>
      <c r="D6713" s="19" t="s">
        <v>31</v>
      </c>
      <c r="E6713" s="21">
        <f t="shared" si="311"/>
        <v>18.82</v>
      </c>
      <c r="F6713" s="22">
        <v>0.52000000000000002</v>
      </c>
      <c r="G6713" s="21">
        <f t="shared" si="312"/>
        <v>18.27</v>
      </c>
      <c r="H6713" s="22">
        <v>0.54000000000000004</v>
      </c>
      <c r="I6713" s="23" t="str">
        <f t="shared" si="313"/>
        <v xml:space="preserve">COM VALOR</v>
      </c>
      <c r="J6713" s="19"/>
      <c r="L6713" s="21">
        <v>18.82</v>
      </c>
      <c r="M6713" s="22">
        <v>0.46999999999999997</v>
      </c>
      <c r="N6713" s="21">
        <v>18.27</v>
      </c>
      <c r="O6713" s="22">
        <v>0.47999999999999998</v>
      </c>
    </row>
    <row r="6714" ht="38.25">
      <c r="A6714" t="s">
        <v>6668</v>
      </c>
      <c r="B6714" s="19">
        <v>103820</v>
      </c>
      <c r="C6714" s="20" t="s">
        <v>6833</v>
      </c>
      <c r="D6714" s="19" t="s">
        <v>31</v>
      </c>
      <c r="E6714" s="21">
        <f t="shared" si="311"/>
        <v>23.329999999999998</v>
      </c>
      <c r="F6714" s="22">
        <v>0.51000000000000001</v>
      </c>
      <c r="G6714" s="21">
        <f t="shared" si="312"/>
        <v>22.539999999999999</v>
      </c>
      <c r="H6714" s="22">
        <v>0.53000000000000003</v>
      </c>
      <c r="I6714" s="23" t="str">
        <f t="shared" si="313"/>
        <v xml:space="preserve">COM VALOR</v>
      </c>
      <c r="J6714" s="19"/>
      <c r="L6714" s="21">
        <v>23.329999999999998</v>
      </c>
      <c r="M6714" s="22">
        <v>0.38</v>
      </c>
      <c r="N6714" s="21">
        <v>22.539999999999999</v>
      </c>
      <c r="O6714" s="22">
        <v>0.39000000000000001</v>
      </c>
    </row>
    <row r="6715" ht="38.25">
      <c r="A6715" t="s">
        <v>6668</v>
      </c>
      <c r="B6715" s="19">
        <v>103853</v>
      </c>
      <c r="C6715" s="20" t="s">
        <v>6834</v>
      </c>
      <c r="D6715" s="19" t="s">
        <v>31</v>
      </c>
      <c r="E6715" s="21">
        <f t="shared" si="311"/>
        <v>19.440000000000001</v>
      </c>
      <c r="F6715" s="22">
        <v>0.62</v>
      </c>
      <c r="G6715" s="21">
        <f t="shared" si="312"/>
        <v>18.859999999999999</v>
      </c>
      <c r="H6715" s="22">
        <v>0.64000000000000001</v>
      </c>
      <c r="I6715" s="23" t="str">
        <f t="shared" si="313"/>
        <v xml:space="preserve">COM VALOR</v>
      </c>
      <c r="J6715" s="19"/>
      <c r="L6715" s="21">
        <v>19.440000000000001</v>
      </c>
      <c r="M6715" s="22">
        <v>0.45000000000000001</v>
      </c>
      <c r="N6715" s="21">
        <v>18.859999999999999</v>
      </c>
      <c r="O6715" s="22">
        <v>0.46999999999999997</v>
      </c>
    </row>
    <row r="6716" ht="38.25">
      <c r="A6716" t="s">
        <v>6668</v>
      </c>
      <c r="B6716" s="19">
        <v>93107</v>
      </c>
      <c r="C6716" s="20" t="s">
        <v>6835</v>
      </c>
      <c r="D6716" s="19" t="s">
        <v>31</v>
      </c>
      <c r="E6716" s="21">
        <f t="shared" si="311"/>
        <v>16.98</v>
      </c>
      <c r="F6716" s="22">
        <v>0</v>
      </c>
      <c r="G6716" s="21">
        <f t="shared" si="312"/>
        <v>16.52</v>
      </c>
      <c r="H6716" s="22">
        <v>0</v>
      </c>
      <c r="I6716" s="23" t="str">
        <f t="shared" si="313"/>
        <v xml:space="preserve">COM VALOR</v>
      </c>
      <c r="J6716" s="19"/>
      <c r="L6716" s="21">
        <v>16.98</v>
      </c>
      <c r="M6716" s="22">
        <v>0.52000000000000002</v>
      </c>
      <c r="N6716" s="21">
        <v>16.52</v>
      </c>
      <c r="O6716" s="22">
        <v>0.53000000000000003</v>
      </c>
    </row>
    <row r="6717" ht="38.25">
      <c r="A6717" t="s">
        <v>6668</v>
      </c>
      <c r="B6717" s="19">
        <v>93056</v>
      </c>
      <c r="C6717" s="20" t="s">
        <v>6836</v>
      </c>
      <c r="D6717" s="19" t="s">
        <v>31</v>
      </c>
      <c r="E6717" s="21">
        <f t="shared" si="311"/>
        <v>17.879999999999999</v>
      </c>
      <c r="F6717" s="22">
        <v>0</v>
      </c>
      <c r="G6717" s="21">
        <f t="shared" si="312"/>
        <v>17.670000000000002</v>
      </c>
      <c r="H6717" s="22">
        <v>0</v>
      </c>
      <c r="I6717" s="23" t="str">
        <f t="shared" si="313"/>
        <v xml:space="preserve">COM VALOR</v>
      </c>
      <c r="J6717" s="19"/>
      <c r="L6717" s="21">
        <v>17.879999999999999</v>
      </c>
      <c r="M6717" s="22">
        <v>0.78000000000000003</v>
      </c>
      <c r="N6717" s="21">
        <v>17.670000000000002</v>
      </c>
      <c r="O6717" s="22">
        <v>0.78000000000000003</v>
      </c>
    </row>
    <row r="6718" ht="38.25">
      <c r="A6718" t="s">
        <v>6668</v>
      </c>
      <c r="B6718" s="19">
        <v>93090</v>
      </c>
      <c r="C6718" s="20" t="s">
        <v>6837</v>
      </c>
      <c r="D6718" s="19" t="s">
        <v>31</v>
      </c>
      <c r="E6718" s="21">
        <f t="shared" si="311"/>
        <v>20.550000000000001</v>
      </c>
      <c r="F6718" s="22">
        <v>0</v>
      </c>
      <c r="G6718" s="21">
        <f t="shared" si="312"/>
        <v>20.18</v>
      </c>
      <c r="H6718" s="22">
        <v>0</v>
      </c>
      <c r="I6718" s="23" t="str">
        <f t="shared" si="313"/>
        <v xml:space="preserve">COM VALOR</v>
      </c>
      <c r="J6718" s="19"/>
      <c r="L6718" s="21">
        <v>20.550000000000001</v>
      </c>
      <c r="M6718" s="22">
        <v>0.67000000000000004</v>
      </c>
      <c r="N6718" s="21">
        <v>20.18</v>
      </c>
      <c r="O6718" s="22">
        <v>0.68999999999999995</v>
      </c>
    </row>
    <row r="6719" ht="38.25">
      <c r="A6719" t="s">
        <v>6668</v>
      </c>
      <c r="B6719" s="19">
        <v>103896</v>
      </c>
      <c r="C6719" s="20" t="s">
        <v>6838</v>
      </c>
      <c r="D6719" s="19" t="s">
        <v>31</v>
      </c>
      <c r="E6719" s="21">
        <f t="shared" si="311"/>
        <v>25.170000000000002</v>
      </c>
      <c r="F6719" s="22">
        <v>0</v>
      </c>
      <c r="G6719" s="21">
        <f t="shared" si="312"/>
        <v>24.530000000000001</v>
      </c>
      <c r="H6719" s="22">
        <v>0</v>
      </c>
      <c r="I6719" s="23" t="str">
        <f t="shared" si="313"/>
        <v xml:space="preserve">COM VALOR</v>
      </c>
      <c r="J6719" s="19"/>
      <c r="L6719" s="21">
        <v>25.170000000000002</v>
      </c>
      <c r="M6719" s="22">
        <v>0.55000000000000004</v>
      </c>
      <c r="N6719" s="21">
        <v>24.530000000000001</v>
      </c>
      <c r="O6719" s="22">
        <v>0.56999999999999995</v>
      </c>
    </row>
    <row r="6720" ht="38.25">
      <c r="A6720" t="s">
        <v>6668</v>
      </c>
      <c r="B6720" s="19">
        <v>103827</v>
      </c>
      <c r="C6720" s="20" t="s">
        <v>6839</v>
      </c>
      <c r="D6720" s="19" t="s">
        <v>31</v>
      </c>
      <c r="E6720" s="21">
        <f t="shared" si="311"/>
        <v>33.020000000000003</v>
      </c>
      <c r="F6720" s="22">
        <v>0</v>
      </c>
      <c r="G6720" s="21">
        <f t="shared" si="312"/>
        <v>31.940000000000001</v>
      </c>
      <c r="H6720" s="22">
        <v>0</v>
      </c>
      <c r="I6720" s="23" t="str">
        <f t="shared" si="313"/>
        <v xml:space="preserve">COM VALOR</v>
      </c>
      <c r="J6720" s="19"/>
      <c r="L6720" s="21">
        <v>33.020000000000003</v>
      </c>
      <c r="M6720" s="22">
        <v>0.40000000000000002</v>
      </c>
      <c r="N6720" s="21">
        <v>31.940000000000001</v>
      </c>
      <c r="O6720" s="22">
        <v>0.41999999999999998</v>
      </c>
    </row>
    <row r="6721" ht="38.25">
      <c r="A6721" t="s">
        <v>6668</v>
      </c>
      <c r="B6721" s="19">
        <v>103860</v>
      </c>
      <c r="C6721" s="20" t="s">
        <v>6840</v>
      </c>
      <c r="D6721" s="19" t="s">
        <v>31</v>
      </c>
      <c r="E6721" s="21">
        <f t="shared" si="311"/>
        <v>26.75</v>
      </c>
      <c r="F6721" s="22">
        <v>0</v>
      </c>
      <c r="G6721" s="21">
        <f t="shared" si="312"/>
        <v>26.039999999999999</v>
      </c>
      <c r="H6721" s="22">
        <v>0</v>
      </c>
      <c r="I6721" s="23" t="str">
        <f t="shared" si="313"/>
        <v xml:space="preserve">COM VALOR</v>
      </c>
      <c r="J6721" s="19"/>
      <c r="L6721" s="21">
        <v>26.75</v>
      </c>
      <c r="M6721" s="22">
        <v>0.52000000000000002</v>
      </c>
      <c r="N6721" s="21">
        <v>26.039999999999999</v>
      </c>
      <c r="O6721" s="22">
        <v>0.53000000000000003</v>
      </c>
    </row>
    <row r="6722" ht="38.25">
      <c r="A6722" t="s">
        <v>6668</v>
      </c>
      <c r="B6722" s="19">
        <v>93113</v>
      </c>
      <c r="C6722" s="20" t="s">
        <v>6841</v>
      </c>
      <c r="D6722" s="19" t="s">
        <v>31</v>
      </c>
      <c r="E6722" s="21">
        <f t="shared" si="311"/>
        <v>24.379999999999999</v>
      </c>
      <c r="F6722" s="22">
        <v>0</v>
      </c>
      <c r="G6722" s="21">
        <f t="shared" si="312"/>
        <v>23.800000000000001</v>
      </c>
      <c r="H6722" s="22">
        <v>0</v>
      </c>
      <c r="I6722" s="23" t="str">
        <f t="shared" si="313"/>
        <v xml:space="preserve">COM VALOR</v>
      </c>
      <c r="J6722" s="19"/>
      <c r="L6722" s="21">
        <v>24.379999999999999</v>
      </c>
      <c r="M6722" s="22">
        <v>0.56999999999999995</v>
      </c>
      <c r="N6722" s="21">
        <v>23.800000000000001</v>
      </c>
      <c r="O6722" s="22">
        <v>0.57999999999999996</v>
      </c>
    </row>
    <row r="6723" ht="38.25">
      <c r="A6723" t="s">
        <v>6668</v>
      </c>
      <c r="B6723" s="19">
        <v>93061</v>
      </c>
      <c r="C6723" s="20" t="s">
        <v>6842</v>
      </c>
      <c r="D6723" s="19" t="s">
        <v>31</v>
      </c>
      <c r="E6723" s="21">
        <f t="shared" si="311"/>
        <v>33.969999999999999</v>
      </c>
      <c r="F6723" s="22">
        <v>0</v>
      </c>
      <c r="G6723" s="21">
        <f t="shared" si="312"/>
        <v>33.689999999999998</v>
      </c>
      <c r="H6723" s="22">
        <v>0</v>
      </c>
      <c r="I6723" s="23" t="str">
        <f t="shared" si="313"/>
        <v xml:space="preserve">COM VALOR</v>
      </c>
      <c r="J6723" s="19"/>
      <c r="L6723" s="21">
        <v>33.969999999999999</v>
      </c>
      <c r="M6723" s="22">
        <v>0.84999999999999998</v>
      </c>
      <c r="N6723" s="21">
        <v>33.689999999999998</v>
      </c>
      <c r="O6723" s="22">
        <v>0.85999999999999999</v>
      </c>
    </row>
    <row r="6724" ht="38.25">
      <c r="A6724" t="s">
        <v>6668</v>
      </c>
      <c r="B6724" s="19">
        <v>93064</v>
      </c>
      <c r="C6724" s="20" t="s">
        <v>6843</v>
      </c>
      <c r="D6724" s="19" t="s">
        <v>31</v>
      </c>
      <c r="E6724" s="21">
        <f t="shared" si="311"/>
        <v>52.170000000000002</v>
      </c>
      <c r="F6724" s="22"/>
      <c r="G6724" s="21">
        <f t="shared" si="312"/>
        <v>51.829999999999998</v>
      </c>
      <c r="H6724" s="22"/>
      <c r="I6724" s="23" t="str">
        <f t="shared" si="313"/>
        <v xml:space="preserve">COM VALOR</v>
      </c>
      <c r="J6724" s="19"/>
      <c r="L6724" s="21">
        <v>52.170000000000002</v>
      </c>
      <c r="M6724" s="22">
        <v>0.88</v>
      </c>
      <c r="N6724" s="21">
        <v>51.829999999999998</v>
      </c>
      <c r="O6724" s="22">
        <v>0.89000000000000001</v>
      </c>
    </row>
    <row r="6725" ht="38.25">
      <c r="A6725" t="s">
        <v>6668</v>
      </c>
      <c r="B6725" s="19">
        <v>93067</v>
      </c>
      <c r="C6725" s="20" t="s">
        <v>6844</v>
      </c>
      <c r="D6725" s="19" t="s">
        <v>31</v>
      </c>
      <c r="E6725" s="21">
        <f t="shared" si="311"/>
        <v>77.629999999999995</v>
      </c>
      <c r="F6725" s="22">
        <v>0</v>
      </c>
      <c r="G6725" s="21">
        <f t="shared" si="312"/>
        <v>77.189999999999998</v>
      </c>
      <c r="H6725" s="22">
        <v>0</v>
      </c>
      <c r="I6725" s="23" t="str">
        <f t="shared" si="313"/>
        <v xml:space="preserve">COM VALOR</v>
      </c>
      <c r="J6725" s="19"/>
      <c r="L6725" s="21">
        <v>77.629999999999995</v>
      </c>
      <c r="M6725" s="22">
        <v>0.90000000000000002</v>
      </c>
      <c r="N6725" s="21">
        <v>77.189999999999998</v>
      </c>
      <c r="O6725" s="22">
        <v>0.90000000000000002</v>
      </c>
    </row>
    <row r="6726" ht="38.25">
      <c r="A6726" t="s">
        <v>6668</v>
      </c>
      <c r="B6726" s="19">
        <v>93070</v>
      </c>
      <c r="C6726" s="20" t="s">
        <v>6845</v>
      </c>
      <c r="D6726" s="19" t="s">
        <v>31</v>
      </c>
      <c r="E6726" s="21">
        <f t="shared" si="311"/>
        <v>196.19999999999999</v>
      </c>
      <c r="F6726" s="22">
        <v>0</v>
      </c>
      <c r="G6726" s="21">
        <f t="shared" si="312"/>
        <v>195.66</v>
      </c>
      <c r="H6726" s="22">
        <v>0</v>
      </c>
      <c r="I6726" s="23" t="str">
        <f t="shared" si="313"/>
        <v xml:space="preserve">COM VALOR</v>
      </c>
      <c r="J6726" s="19"/>
      <c r="L6726" s="21">
        <v>196.19999999999999</v>
      </c>
      <c r="M6726" s="22">
        <v>0.94999999999999996</v>
      </c>
      <c r="N6726" s="21">
        <v>195.66</v>
      </c>
      <c r="O6726" s="22">
        <v>0.94999999999999996</v>
      </c>
    </row>
    <row r="6727" ht="51">
      <c r="A6727" t="s">
        <v>6668</v>
      </c>
      <c r="B6727" s="19">
        <v>93117</v>
      </c>
      <c r="C6727" s="20" t="s">
        <v>6846</v>
      </c>
      <c r="D6727" s="19" t="s">
        <v>31</v>
      </c>
      <c r="E6727" s="21">
        <f t="shared" si="311"/>
        <v>61.789999999999999</v>
      </c>
      <c r="F6727" s="22">
        <v>0</v>
      </c>
      <c r="G6727" s="21">
        <f t="shared" si="312"/>
        <v>61.380000000000003</v>
      </c>
      <c r="H6727" s="22">
        <v>0</v>
      </c>
      <c r="I6727" s="23" t="str">
        <f t="shared" si="313"/>
        <v xml:space="preserve">COM VALOR</v>
      </c>
      <c r="J6727" s="19"/>
      <c r="L6727" s="21">
        <v>61.789999999999999</v>
      </c>
      <c r="M6727" s="22">
        <v>0.88</v>
      </c>
      <c r="N6727" s="21">
        <v>61.380000000000003</v>
      </c>
      <c r="O6727" s="22">
        <v>0.89000000000000001</v>
      </c>
    </row>
    <row r="6728" ht="51">
      <c r="A6728" t="s">
        <v>6668</v>
      </c>
      <c r="B6728" s="19">
        <v>93118</v>
      </c>
      <c r="C6728" s="20" t="s">
        <v>6847</v>
      </c>
      <c r="D6728" s="19" t="s">
        <v>31</v>
      </c>
      <c r="E6728" s="21">
        <f t="shared" si="311"/>
        <v>91.069999999999993</v>
      </c>
      <c r="F6728" s="22">
        <v>0.66000000000000003</v>
      </c>
      <c r="G6728" s="21">
        <f t="shared" si="312"/>
        <v>90.450000000000003</v>
      </c>
      <c r="H6728" s="22">
        <v>0.68000000000000005</v>
      </c>
      <c r="I6728" s="23" t="str">
        <f t="shared" si="313"/>
        <v xml:space="preserve">COM VALOR</v>
      </c>
      <c r="J6728" s="19"/>
      <c r="L6728" s="21">
        <v>91.069999999999993</v>
      </c>
      <c r="M6728" s="22">
        <v>0.87749999999999995</v>
      </c>
      <c r="N6728" s="21">
        <v>90.450000000000003</v>
      </c>
      <c r="O6728" s="22">
        <v>0.88</v>
      </c>
    </row>
    <row r="6729" ht="38.25">
      <c r="A6729" t="s">
        <v>6668</v>
      </c>
      <c r="B6729" s="19">
        <v>92317</v>
      </c>
      <c r="C6729" s="20" t="s">
        <v>6848</v>
      </c>
      <c r="D6729" s="19" t="s">
        <v>31</v>
      </c>
      <c r="E6729" s="21">
        <f t="shared" si="311"/>
        <v>19.18</v>
      </c>
      <c r="F6729" s="22">
        <v>0.71999999999999997</v>
      </c>
      <c r="G6729" s="21">
        <f t="shared" si="312"/>
        <v>18.609999999999999</v>
      </c>
      <c r="H6729" s="22">
        <v>0.73999999999999999</v>
      </c>
      <c r="I6729" s="23" t="str">
        <f t="shared" si="313"/>
        <v xml:space="preserve">COM VALOR</v>
      </c>
      <c r="J6729" s="19"/>
      <c r="L6729" s="21">
        <v>19.18</v>
      </c>
      <c r="M6729" s="22">
        <v>0.46000000000000002</v>
      </c>
      <c r="N6729" s="21">
        <v>18.609999999999999</v>
      </c>
      <c r="O6729" s="22">
        <v>0.47499999999999998</v>
      </c>
    </row>
    <row r="6730" ht="38.25">
      <c r="A6730" t="s">
        <v>6668</v>
      </c>
      <c r="B6730" s="19">
        <v>92332</v>
      </c>
      <c r="C6730" s="20" t="s">
        <v>6849</v>
      </c>
      <c r="D6730" s="19" t="s">
        <v>31</v>
      </c>
      <c r="E6730" s="21">
        <f t="shared" si="311"/>
        <v>19.550000000000001</v>
      </c>
      <c r="F6730" s="22">
        <v>0</v>
      </c>
      <c r="G6730" s="21">
        <f t="shared" si="312"/>
        <v>18.949999999999999</v>
      </c>
      <c r="H6730" s="22">
        <v>0</v>
      </c>
      <c r="I6730" s="23" t="str">
        <f t="shared" si="313"/>
        <v xml:space="preserve">COM VALOR</v>
      </c>
      <c r="J6730" s="19"/>
      <c r="L6730" s="21">
        <v>19.550000000000001</v>
      </c>
      <c r="M6730" s="22">
        <v>0.45000000000000001</v>
      </c>
      <c r="N6730" s="21">
        <v>18.949999999999999</v>
      </c>
      <c r="O6730" s="22">
        <v>0.46999999999999997</v>
      </c>
    </row>
    <row r="6731" ht="38.25">
      <c r="A6731" t="s">
        <v>6668</v>
      </c>
      <c r="B6731" s="19">
        <v>92299</v>
      </c>
      <c r="C6731" s="20" t="s">
        <v>6850</v>
      </c>
      <c r="D6731" s="19" t="s">
        <v>31</v>
      </c>
      <c r="E6731" s="21">
        <f t="shared" ref="E6731:E6794" si="314">IF(L6731=0,"VERIFICAR",L6731)</f>
        <v>24.449999999999999</v>
      </c>
      <c r="F6731" s="22">
        <v>0</v>
      </c>
      <c r="G6731" s="21">
        <f t="shared" ref="G6731:G6794" si="315">IF(N6731=0,"VERIFICAR",N6731)</f>
        <v>24.100000000000001</v>
      </c>
      <c r="H6731" s="22">
        <v>0</v>
      </c>
      <c r="I6731" s="23" t="str">
        <f t="shared" ref="I6731:I6794" si="316">IF(OR(E6731=0,G6731=0),"SEM VALOR","COM VALOR")</f>
        <v xml:space="preserve">COM VALOR</v>
      </c>
      <c r="J6731" s="19"/>
      <c r="L6731" s="21">
        <v>24.449999999999999</v>
      </c>
      <c r="M6731" s="22">
        <v>0.75</v>
      </c>
      <c r="N6731" s="21">
        <v>24.100000000000001</v>
      </c>
      <c r="O6731" s="22">
        <v>0.76000000000000001</v>
      </c>
    </row>
    <row r="6732" ht="38.25">
      <c r="A6732" t="s">
        <v>6668</v>
      </c>
      <c r="B6732" s="19">
        <v>92318</v>
      </c>
      <c r="C6732" s="20" t="s">
        <v>6851</v>
      </c>
      <c r="D6732" s="19" t="s">
        <v>31</v>
      </c>
      <c r="E6732" s="21">
        <f t="shared" si="314"/>
        <v>30.199999999999999</v>
      </c>
      <c r="F6732" s="22"/>
      <c r="G6732" s="21">
        <f t="shared" si="315"/>
        <v>29.530000000000001</v>
      </c>
      <c r="H6732" s="22"/>
      <c r="I6732" s="23" t="str">
        <f t="shared" si="316"/>
        <v xml:space="preserve">COM VALOR</v>
      </c>
      <c r="J6732" s="19"/>
      <c r="L6732" s="21">
        <v>30.199999999999999</v>
      </c>
      <c r="M6732" s="22">
        <v>0.59999999999999998</v>
      </c>
      <c r="N6732" s="21">
        <v>29.530000000000001</v>
      </c>
      <c r="O6732" s="22">
        <v>0.62</v>
      </c>
    </row>
    <row r="6733" ht="38.25">
      <c r="A6733" t="s">
        <v>6668</v>
      </c>
      <c r="B6733" s="19">
        <v>103833</v>
      </c>
      <c r="C6733" s="20" t="s">
        <v>6852</v>
      </c>
      <c r="D6733" s="19" t="s">
        <v>31</v>
      </c>
      <c r="E6733" s="21">
        <f t="shared" si="314"/>
        <v>47.079999999999998</v>
      </c>
      <c r="F6733" s="22"/>
      <c r="G6733" s="21">
        <f t="shared" si="315"/>
        <v>45.490000000000002</v>
      </c>
      <c r="H6733" s="22"/>
      <c r="I6733" s="23" t="str">
        <f t="shared" si="316"/>
        <v xml:space="preserve">COM VALOR</v>
      </c>
      <c r="J6733" s="19"/>
      <c r="L6733" s="21">
        <v>47.079999999999998</v>
      </c>
      <c r="M6733" s="22">
        <v>0.39000000000000001</v>
      </c>
      <c r="N6733" s="21">
        <v>45.490000000000002</v>
      </c>
      <c r="O6733" s="22">
        <v>0.40000000000000002</v>
      </c>
    </row>
    <row r="6734" ht="38.25">
      <c r="A6734" t="s">
        <v>6668</v>
      </c>
      <c r="B6734" s="19">
        <v>92333</v>
      </c>
      <c r="C6734" s="20" t="s">
        <v>6853</v>
      </c>
      <c r="D6734" s="19" t="s">
        <v>31</v>
      </c>
      <c r="E6734" s="21">
        <f t="shared" si="314"/>
        <v>34.450000000000003</v>
      </c>
      <c r="F6734" s="22"/>
      <c r="G6734" s="21">
        <f t="shared" si="315"/>
        <v>33.549999999999997</v>
      </c>
      <c r="H6734" s="22"/>
      <c r="I6734" s="23" t="str">
        <f t="shared" si="316"/>
        <v xml:space="preserve">COM VALOR</v>
      </c>
      <c r="J6734" s="19"/>
      <c r="L6734" s="21">
        <v>34.450000000000003</v>
      </c>
      <c r="M6734" s="22">
        <v>0.53000000000000003</v>
      </c>
      <c r="N6734" s="21">
        <v>33.549999999999997</v>
      </c>
      <c r="O6734" s="22">
        <v>0.54000000000000004</v>
      </c>
    </row>
    <row r="6735" ht="38.25">
      <c r="A6735" t="s">
        <v>6668</v>
      </c>
      <c r="B6735" s="19">
        <v>92300</v>
      </c>
      <c r="C6735" s="20" t="s">
        <v>6854</v>
      </c>
      <c r="D6735" s="19" t="s">
        <v>31</v>
      </c>
      <c r="E6735" s="21">
        <f t="shared" si="314"/>
        <v>37.310000000000002</v>
      </c>
      <c r="F6735" s="22">
        <v>0.75</v>
      </c>
      <c r="G6735" s="21">
        <f t="shared" si="315"/>
        <v>36.880000000000003</v>
      </c>
      <c r="H6735" s="22">
        <v>0.76000000000000001</v>
      </c>
      <c r="I6735" s="23" t="str">
        <f t="shared" si="316"/>
        <v xml:space="preserve">COM VALOR</v>
      </c>
      <c r="J6735" s="19"/>
      <c r="L6735" s="21">
        <v>37.310000000000002</v>
      </c>
      <c r="M6735" s="22">
        <v>0.79000000000000004</v>
      </c>
      <c r="N6735" s="21">
        <v>36.880000000000003</v>
      </c>
      <c r="O6735" s="22">
        <v>0.79500000000000004</v>
      </c>
    </row>
    <row r="6736" ht="38.25">
      <c r="A6736" t="s">
        <v>6668</v>
      </c>
      <c r="B6736" s="19">
        <v>92319</v>
      </c>
      <c r="C6736" s="20" t="s">
        <v>6855</v>
      </c>
      <c r="D6736" s="19" t="s">
        <v>31</v>
      </c>
      <c r="E6736" s="21">
        <f t="shared" si="314"/>
        <v>42.600000000000001</v>
      </c>
      <c r="F6736" s="22"/>
      <c r="G6736" s="21">
        <f t="shared" si="315"/>
        <v>41.869999999999997</v>
      </c>
      <c r="H6736" s="22"/>
      <c r="I6736" s="23" t="str">
        <f t="shared" si="316"/>
        <v xml:space="preserve">COM VALOR</v>
      </c>
      <c r="J6736" s="19"/>
      <c r="L6736" s="21">
        <v>42.600000000000001</v>
      </c>
      <c r="M6736" s="22">
        <v>0.68999999999999995</v>
      </c>
      <c r="N6736" s="21">
        <v>41.869999999999997</v>
      </c>
      <c r="O6736" s="22">
        <v>0.69999999999999996</v>
      </c>
    </row>
    <row r="6737" ht="38.25">
      <c r="A6737" t="s">
        <v>6668</v>
      </c>
      <c r="B6737" s="19">
        <v>92334</v>
      </c>
      <c r="C6737" s="20" t="s">
        <v>6856</v>
      </c>
      <c r="D6737" s="19" t="s">
        <v>31</v>
      </c>
      <c r="E6737" s="21">
        <f t="shared" si="314"/>
        <v>50.210000000000001</v>
      </c>
      <c r="F6737" s="22"/>
      <c r="G6737" s="21">
        <f t="shared" si="315"/>
        <v>49.049999999999997</v>
      </c>
      <c r="H6737" s="22"/>
      <c r="I6737" s="23" t="str">
        <f t="shared" si="316"/>
        <v xml:space="preserve">COM VALOR</v>
      </c>
      <c r="J6737" s="19"/>
      <c r="L6737" s="21">
        <v>50.210000000000001</v>
      </c>
      <c r="M6737" s="22">
        <v>0.57999999999999996</v>
      </c>
      <c r="N6737" s="21">
        <v>49.049999999999997</v>
      </c>
      <c r="O6737" s="22">
        <v>0.59999999999999998</v>
      </c>
    </row>
    <row r="6738" ht="38.25">
      <c r="A6738" t="s">
        <v>6668</v>
      </c>
      <c r="B6738" s="19">
        <v>92301</v>
      </c>
      <c r="C6738" s="20" t="s">
        <v>6857</v>
      </c>
      <c r="D6738" s="19" t="s">
        <v>31</v>
      </c>
      <c r="E6738" s="21">
        <f t="shared" si="314"/>
        <v>74.099999999999994</v>
      </c>
      <c r="F6738" s="22"/>
      <c r="G6738" s="21">
        <f t="shared" si="315"/>
        <v>73.549999999999997</v>
      </c>
      <c r="H6738" s="22"/>
      <c r="I6738" s="23" t="str">
        <f t="shared" si="316"/>
        <v xml:space="preserve">COM VALOR</v>
      </c>
      <c r="J6738" s="19"/>
      <c r="L6738" s="21">
        <v>74.099999999999994</v>
      </c>
      <c r="M6738" s="22">
        <v>0.85999999999999999</v>
      </c>
      <c r="N6738" s="21">
        <v>73.549999999999997</v>
      </c>
      <c r="O6738" s="22">
        <v>0.87</v>
      </c>
    </row>
    <row r="6739" ht="38.25">
      <c r="A6739" t="s">
        <v>6668</v>
      </c>
      <c r="B6739" s="19">
        <v>92302</v>
      </c>
      <c r="C6739" s="20" t="s">
        <v>6858</v>
      </c>
      <c r="D6739" s="19" t="s">
        <v>31</v>
      </c>
      <c r="E6739" s="21">
        <f t="shared" si="314"/>
        <v>97.969999999999999</v>
      </c>
      <c r="F6739" s="22">
        <v>0</v>
      </c>
      <c r="G6739" s="21">
        <f t="shared" si="315"/>
        <v>97.290000000000006</v>
      </c>
      <c r="H6739" s="22">
        <v>0</v>
      </c>
      <c r="I6739" s="23" t="str">
        <f t="shared" si="316"/>
        <v xml:space="preserve">COM VALOR</v>
      </c>
      <c r="J6739" s="19"/>
      <c r="L6739" s="21">
        <v>97.969999999999999</v>
      </c>
      <c r="M6739" s="22">
        <v>0.88</v>
      </c>
      <c r="N6739" s="21">
        <v>97.290000000000006</v>
      </c>
      <c r="O6739" s="22">
        <v>0.88</v>
      </c>
    </row>
    <row r="6740" ht="38.25">
      <c r="A6740" t="s">
        <v>6668</v>
      </c>
      <c r="B6740" s="19">
        <v>92303</v>
      </c>
      <c r="C6740" s="20" t="s">
        <v>6859</v>
      </c>
      <c r="D6740" s="19" t="s">
        <v>31</v>
      </c>
      <c r="E6740" s="21">
        <f t="shared" si="314"/>
        <v>180.08000000000001</v>
      </c>
      <c r="F6740" s="22">
        <v>0.58999999999999997</v>
      </c>
      <c r="G6740" s="21">
        <f t="shared" si="315"/>
        <v>179.21000000000001</v>
      </c>
      <c r="H6740" s="22">
        <v>0.60999999999999999</v>
      </c>
      <c r="I6740" s="23" t="str">
        <f t="shared" si="316"/>
        <v xml:space="preserve">COM VALOR</v>
      </c>
      <c r="J6740" s="19"/>
      <c r="L6740" s="21">
        <v>180.08000000000001</v>
      </c>
      <c r="M6740" s="22">
        <v>0.91000000000000003</v>
      </c>
      <c r="N6740" s="21">
        <v>179.21000000000001</v>
      </c>
      <c r="O6740" s="22">
        <v>0.92000000000000004</v>
      </c>
    </row>
    <row r="6741" ht="38.25">
      <c r="A6741" t="s">
        <v>6668</v>
      </c>
      <c r="B6741" s="19">
        <v>92304</v>
      </c>
      <c r="C6741" s="20" t="s">
        <v>6860</v>
      </c>
      <c r="D6741" s="19" t="s">
        <v>31</v>
      </c>
      <c r="E6741" s="21">
        <f t="shared" si="314"/>
        <v>468.38</v>
      </c>
      <c r="F6741" s="22">
        <v>0.71999999999999997</v>
      </c>
      <c r="G6741" s="21">
        <f t="shared" si="315"/>
        <v>467.31</v>
      </c>
      <c r="H6741" s="22">
        <v>0.73999999999999999</v>
      </c>
      <c r="I6741" s="23" t="str">
        <f t="shared" si="316"/>
        <v xml:space="preserve">COM VALOR</v>
      </c>
      <c r="J6741" s="19"/>
      <c r="L6741" s="21">
        <v>468.38</v>
      </c>
      <c r="M6741" s="22">
        <v>0.95999999999999996</v>
      </c>
      <c r="N6741" s="21">
        <v>467.31</v>
      </c>
      <c r="O6741" s="22">
        <v>0.95999999999999996</v>
      </c>
    </row>
    <row r="6742" ht="38.25">
      <c r="A6742" t="s">
        <v>6668</v>
      </c>
      <c r="B6742" s="19">
        <v>103835</v>
      </c>
      <c r="C6742" s="20" t="s">
        <v>6861</v>
      </c>
      <c r="D6742" s="19" t="s">
        <v>38</v>
      </c>
      <c r="E6742" s="21">
        <f t="shared" si="314"/>
        <v>66.599999999999994</v>
      </c>
      <c r="F6742" s="22">
        <v>0</v>
      </c>
      <c r="G6742" s="21">
        <f t="shared" si="315"/>
        <v>65.769999999999996</v>
      </c>
      <c r="H6742" s="22">
        <v>0</v>
      </c>
      <c r="I6742" s="23" t="str">
        <f t="shared" si="316"/>
        <v xml:space="preserve">COM VALOR</v>
      </c>
      <c r="J6742" s="19"/>
      <c r="L6742" s="21">
        <v>66.599999999999994</v>
      </c>
      <c r="M6742" s="22">
        <v>0.78000000000000003</v>
      </c>
      <c r="N6742" s="21">
        <v>65.769999999999996</v>
      </c>
      <c r="O6742" s="22">
        <v>0.79000000000000004</v>
      </c>
    </row>
    <row r="6743" ht="38.25">
      <c r="A6743" t="s">
        <v>6668</v>
      </c>
      <c r="B6743" s="19">
        <v>92308</v>
      </c>
      <c r="C6743" s="20" t="s">
        <v>6862</v>
      </c>
      <c r="D6743" s="19" t="s">
        <v>38</v>
      </c>
      <c r="E6743" s="21">
        <f t="shared" si="314"/>
        <v>54.590000000000003</v>
      </c>
      <c r="F6743" s="22">
        <v>0</v>
      </c>
      <c r="G6743" s="21">
        <f t="shared" si="315"/>
        <v>53.969999999999999</v>
      </c>
      <c r="H6743" s="22">
        <v>0</v>
      </c>
      <c r="I6743" s="23" t="str">
        <f t="shared" si="316"/>
        <v xml:space="preserve">COM VALOR</v>
      </c>
      <c r="J6743" s="19"/>
      <c r="L6743" s="21">
        <v>54.590000000000003</v>
      </c>
      <c r="M6743" s="22">
        <v>0.80000000000000004</v>
      </c>
      <c r="N6743" s="21">
        <v>53.969999999999999</v>
      </c>
      <c r="O6743" s="22">
        <v>0.81000000000000005</v>
      </c>
    </row>
    <row r="6744" ht="38.25">
      <c r="A6744" t="s">
        <v>6668</v>
      </c>
      <c r="B6744" s="19">
        <v>103871</v>
      </c>
      <c r="C6744" s="20" t="s">
        <v>6863</v>
      </c>
      <c r="D6744" s="19" t="s">
        <v>38</v>
      </c>
      <c r="E6744" s="21">
        <f t="shared" si="314"/>
        <v>64.060000000000002</v>
      </c>
      <c r="F6744" s="22">
        <v>0</v>
      </c>
      <c r="G6744" s="21">
        <f t="shared" si="315"/>
        <v>62.909999999999997</v>
      </c>
      <c r="H6744" s="22">
        <v>0</v>
      </c>
      <c r="I6744" s="23" t="str">
        <f t="shared" si="316"/>
        <v xml:space="preserve">COM VALOR</v>
      </c>
      <c r="J6744" s="19"/>
      <c r="L6744" s="21">
        <v>64.060000000000002</v>
      </c>
      <c r="M6744" s="22">
        <v>0.68000000000000005</v>
      </c>
      <c r="N6744" s="21">
        <v>62.909999999999997</v>
      </c>
      <c r="O6744" s="22">
        <v>0.69999999999999996</v>
      </c>
    </row>
    <row r="6745" ht="38.25">
      <c r="A6745" t="s">
        <v>6668</v>
      </c>
      <c r="B6745" s="19">
        <v>92323</v>
      </c>
      <c r="C6745" s="20" t="s">
        <v>6864</v>
      </c>
      <c r="D6745" s="19" t="s">
        <v>38</v>
      </c>
      <c r="E6745" s="21">
        <f t="shared" si="314"/>
        <v>63.539999999999999</v>
      </c>
      <c r="F6745" s="22">
        <v>0</v>
      </c>
      <c r="G6745" s="21">
        <f t="shared" si="315"/>
        <v>62.420000000000002</v>
      </c>
      <c r="H6745" s="22">
        <v>0</v>
      </c>
      <c r="I6745" s="23" t="str">
        <f t="shared" si="316"/>
        <v xml:space="preserve">COM VALOR</v>
      </c>
      <c r="J6745" s="19"/>
      <c r="L6745" s="21">
        <v>63.539999999999999</v>
      </c>
      <c r="M6745" s="22">
        <v>0.68999999999999995</v>
      </c>
      <c r="N6745" s="21">
        <v>62.420000000000002</v>
      </c>
      <c r="O6745" s="22">
        <v>0.69999999999999996</v>
      </c>
    </row>
    <row r="6746" ht="38.25">
      <c r="A6746" t="s">
        <v>6668</v>
      </c>
      <c r="B6746" s="19">
        <v>92305</v>
      </c>
      <c r="C6746" s="20" t="s">
        <v>6865</v>
      </c>
      <c r="D6746" s="19" t="s">
        <v>38</v>
      </c>
      <c r="E6746" s="21">
        <f t="shared" si="314"/>
        <v>40.369999999999997</v>
      </c>
      <c r="F6746" s="22">
        <v>0</v>
      </c>
      <c r="G6746" s="21">
        <f t="shared" si="315"/>
        <v>39.979999999999997</v>
      </c>
      <c r="H6746" s="22">
        <v>0</v>
      </c>
      <c r="I6746" s="23" t="str">
        <f t="shared" si="316"/>
        <v xml:space="preserve">COM VALOR</v>
      </c>
      <c r="J6746" s="19"/>
      <c r="L6746" s="21">
        <v>40.369999999999997</v>
      </c>
      <c r="M6746" s="22">
        <v>0.82999999999999996</v>
      </c>
      <c r="N6746" s="21">
        <v>39.979999999999997</v>
      </c>
      <c r="O6746" s="22">
        <v>0.83999999999999997</v>
      </c>
    </row>
    <row r="6747" ht="38.25">
      <c r="A6747" t="s">
        <v>6668</v>
      </c>
      <c r="B6747" s="19">
        <v>103868</v>
      </c>
      <c r="C6747" s="20" t="s">
        <v>6866</v>
      </c>
      <c r="D6747" s="19" t="s">
        <v>38</v>
      </c>
      <c r="E6747" s="21">
        <f t="shared" si="314"/>
        <v>52.789999999999999</v>
      </c>
      <c r="F6747" s="22">
        <v>0</v>
      </c>
      <c r="G6747" s="21">
        <f t="shared" si="315"/>
        <v>51.689999999999998</v>
      </c>
      <c r="H6747" s="22">
        <v>0</v>
      </c>
      <c r="I6747" s="23" t="str">
        <f t="shared" si="316"/>
        <v xml:space="preserve">COM VALOR</v>
      </c>
      <c r="J6747" s="19"/>
      <c r="L6747" s="21">
        <v>52.789999999999999</v>
      </c>
      <c r="M6747" s="22">
        <v>0.63</v>
      </c>
      <c r="N6747" s="21">
        <v>51.689999999999998</v>
      </c>
      <c r="O6747" s="22">
        <v>0.64749999999999996</v>
      </c>
    </row>
    <row r="6748" ht="38.25">
      <c r="A6748" t="s">
        <v>6668</v>
      </c>
      <c r="B6748" s="19">
        <v>103802</v>
      </c>
      <c r="C6748" s="20" t="s">
        <v>6867</v>
      </c>
      <c r="D6748" s="19" t="s">
        <v>38</v>
      </c>
      <c r="E6748" s="21">
        <f t="shared" si="314"/>
        <v>42.619999999999997</v>
      </c>
      <c r="F6748" s="22">
        <v>0</v>
      </c>
      <c r="G6748" s="21">
        <f t="shared" si="315"/>
        <v>42.100000000000001</v>
      </c>
      <c r="H6748" s="22">
        <v>0</v>
      </c>
      <c r="I6748" s="23" t="str">
        <f t="shared" si="316"/>
        <v xml:space="preserve">COM VALOR</v>
      </c>
      <c r="J6748" s="19"/>
      <c r="L6748" s="21">
        <v>42.619999999999997</v>
      </c>
      <c r="M6748" s="22">
        <v>0.79000000000000004</v>
      </c>
      <c r="N6748" s="21">
        <v>42.100000000000001</v>
      </c>
      <c r="O6748" s="22">
        <v>0.79500000000000004</v>
      </c>
    </row>
    <row r="6749" ht="38.25">
      <c r="A6749" t="s">
        <v>6668</v>
      </c>
      <c r="B6749" s="19">
        <v>92320</v>
      </c>
      <c r="C6749" s="20" t="s">
        <v>6868</v>
      </c>
      <c r="D6749" s="19" t="s">
        <v>38</v>
      </c>
      <c r="E6749" s="21">
        <f t="shared" si="314"/>
        <v>52.149999999999999</v>
      </c>
      <c r="F6749" s="22">
        <v>0</v>
      </c>
      <c r="G6749" s="21">
        <f t="shared" si="315"/>
        <v>51.079999999999998</v>
      </c>
      <c r="H6749" s="22">
        <v>0</v>
      </c>
      <c r="I6749" s="23" t="str">
        <f t="shared" si="316"/>
        <v xml:space="preserve">COM VALOR</v>
      </c>
      <c r="J6749" s="19"/>
      <c r="L6749" s="21">
        <v>52.149999999999999</v>
      </c>
      <c r="M6749" s="22">
        <v>0.64000000000000001</v>
      </c>
      <c r="N6749" s="21">
        <v>51.079999999999998</v>
      </c>
      <c r="O6749" s="22">
        <v>0.66000000000000003</v>
      </c>
    </row>
    <row r="6750" ht="38.25">
      <c r="A6750" t="s">
        <v>6668</v>
      </c>
      <c r="B6750" s="19">
        <v>97335</v>
      </c>
      <c r="C6750" s="20" t="s">
        <v>6869</v>
      </c>
      <c r="D6750" s="19" t="s">
        <v>38</v>
      </c>
      <c r="E6750" s="21">
        <f t="shared" si="314"/>
        <v>86.079999999999998</v>
      </c>
      <c r="F6750" s="22">
        <v>0</v>
      </c>
      <c r="G6750" s="21">
        <f t="shared" si="315"/>
        <v>85.959999999999994</v>
      </c>
      <c r="H6750" s="22">
        <v>0</v>
      </c>
      <c r="I6750" s="23" t="str">
        <f t="shared" si="316"/>
        <v xml:space="preserve">COM VALOR</v>
      </c>
      <c r="J6750" s="19"/>
      <c r="L6750" s="21">
        <v>86.079999999999998</v>
      </c>
      <c r="M6750" s="22">
        <v>0.96999999999999997</v>
      </c>
      <c r="N6750" s="21">
        <v>85.959999999999994</v>
      </c>
      <c r="O6750" s="22">
        <v>0.97999999999999998</v>
      </c>
    </row>
    <row r="6751" ht="38.25">
      <c r="A6751" t="s">
        <v>6668</v>
      </c>
      <c r="B6751" s="19">
        <v>103836</v>
      </c>
      <c r="C6751" s="20" t="s">
        <v>6870</v>
      </c>
      <c r="D6751" s="19" t="s">
        <v>38</v>
      </c>
      <c r="E6751" s="21">
        <f t="shared" si="314"/>
        <v>103.56</v>
      </c>
      <c r="F6751" s="22">
        <v>0</v>
      </c>
      <c r="G6751" s="21">
        <f t="shared" si="315"/>
        <v>102.44</v>
      </c>
      <c r="H6751" s="22">
        <v>0</v>
      </c>
      <c r="I6751" s="23" t="str">
        <f t="shared" si="316"/>
        <v xml:space="preserve">COM VALOR</v>
      </c>
      <c r="J6751" s="19"/>
      <c r="L6751" s="21">
        <v>103.56</v>
      </c>
      <c r="M6751" s="22">
        <v>0.81000000000000005</v>
      </c>
      <c r="N6751" s="21">
        <v>102.44</v>
      </c>
      <c r="O6751" s="22">
        <v>0.81999999999999995</v>
      </c>
    </row>
    <row r="6752" ht="38.25">
      <c r="A6752" t="s">
        <v>6668</v>
      </c>
      <c r="B6752" s="19">
        <v>92281</v>
      </c>
      <c r="C6752" s="20" t="s">
        <v>6871</v>
      </c>
      <c r="D6752" s="19" t="s">
        <v>38</v>
      </c>
      <c r="E6752" s="21">
        <f t="shared" si="314"/>
        <v>111.81999999999999</v>
      </c>
      <c r="F6752" s="22">
        <v>0</v>
      </c>
      <c r="G6752" s="21">
        <f t="shared" si="315"/>
        <v>111.63</v>
      </c>
      <c r="H6752" s="22">
        <v>0</v>
      </c>
      <c r="I6752" s="23" t="str">
        <f t="shared" si="316"/>
        <v xml:space="preserve">COM VALOR</v>
      </c>
      <c r="J6752" s="19"/>
      <c r="L6752" s="21">
        <v>111.81999999999999</v>
      </c>
      <c r="M6752" s="22">
        <v>0.96999999999999997</v>
      </c>
      <c r="N6752" s="21">
        <v>111.63</v>
      </c>
      <c r="O6752" s="22">
        <v>0.96999999999999997</v>
      </c>
    </row>
    <row r="6753" ht="38.25">
      <c r="A6753" t="s">
        <v>6668</v>
      </c>
      <c r="B6753" s="19">
        <v>92309</v>
      </c>
      <c r="C6753" s="20" t="s">
        <v>6872</v>
      </c>
      <c r="D6753" s="19" t="s">
        <v>38</v>
      </c>
      <c r="E6753" s="21">
        <f t="shared" si="314"/>
        <v>120.41</v>
      </c>
      <c r="F6753" s="22">
        <v>0</v>
      </c>
      <c r="G6753" s="21">
        <f t="shared" si="315"/>
        <v>119.73</v>
      </c>
      <c r="H6753" s="22">
        <v>0</v>
      </c>
      <c r="I6753" s="23" t="str">
        <f t="shared" si="316"/>
        <v xml:space="preserve">COM VALOR</v>
      </c>
      <c r="J6753" s="19"/>
      <c r="L6753" s="21">
        <v>120.41</v>
      </c>
      <c r="M6753" s="22">
        <v>0.90000000000000002</v>
      </c>
      <c r="N6753" s="21">
        <v>119.73</v>
      </c>
      <c r="O6753" s="22">
        <v>0.91000000000000003</v>
      </c>
    </row>
    <row r="6754" ht="38.25">
      <c r="A6754" t="s">
        <v>6668</v>
      </c>
      <c r="B6754" s="19">
        <v>103872</v>
      </c>
      <c r="C6754" s="20" t="s">
        <v>6873</v>
      </c>
      <c r="D6754" s="19" t="s">
        <v>38</v>
      </c>
      <c r="E6754" s="21">
        <f t="shared" si="314"/>
        <v>132.31</v>
      </c>
      <c r="F6754" s="22">
        <v>0</v>
      </c>
      <c r="G6754" s="21">
        <f t="shared" si="315"/>
        <v>130.97</v>
      </c>
      <c r="H6754" s="22">
        <v>0</v>
      </c>
      <c r="I6754" s="23" t="str">
        <f t="shared" si="316"/>
        <v xml:space="preserve">COM VALOR</v>
      </c>
      <c r="J6754" s="19"/>
      <c r="L6754" s="21">
        <v>132.31</v>
      </c>
      <c r="M6754" s="22">
        <v>0.81999999999999995</v>
      </c>
      <c r="N6754" s="21">
        <v>130.97</v>
      </c>
      <c r="O6754" s="22">
        <v>0.82999999999999996</v>
      </c>
    </row>
    <row r="6755" ht="38.25">
      <c r="A6755" t="s">
        <v>6668</v>
      </c>
      <c r="B6755" s="19">
        <v>92324</v>
      </c>
      <c r="C6755" s="20" t="s">
        <v>6874</v>
      </c>
      <c r="D6755" s="19" t="s">
        <v>38</v>
      </c>
      <c r="E6755" s="21">
        <f t="shared" si="314"/>
        <v>137.86000000000001</v>
      </c>
      <c r="F6755" s="22">
        <v>0</v>
      </c>
      <c r="G6755" s="21">
        <f t="shared" si="315"/>
        <v>136.21000000000001</v>
      </c>
      <c r="H6755" s="22">
        <v>0</v>
      </c>
      <c r="I6755" s="23" t="str">
        <f t="shared" si="316"/>
        <v xml:space="preserve">COM VALOR</v>
      </c>
      <c r="J6755" s="19"/>
      <c r="L6755" s="21">
        <v>137.86000000000001</v>
      </c>
      <c r="M6755" s="22">
        <v>0.79000000000000004</v>
      </c>
      <c r="N6755" s="21">
        <v>136.21000000000001</v>
      </c>
      <c r="O6755" s="22">
        <v>0.80000000000000004</v>
      </c>
    </row>
    <row r="6756" ht="38.25">
      <c r="A6756" t="s">
        <v>6668</v>
      </c>
      <c r="B6756" s="19">
        <v>92275</v>
      </c>
      <c r="C6756" s="20" t="s">
        <v>6875</v>
      </c>
      <c r="D6756" s="19" t="s">
        <v>38</v>
      </c>
      <c r="E6756" s="21">
        <f t="shared" si="314"/>
        <v>59.799999999999997</v>
      </c>
      <c r="F6756" s="22">
        <v>0</v>
      </c>
      <c r="G6756" s="21">
        <f t="shared" si="315"/>
        <v>59.68</v>
      </c>
      <c r="H6756" s="22">
        <v>0</v>
      </c>
      <c r="I6756" s="23" t="str">
        <f t="shared" si="316"/>
        <v xml:space="preserve">COM VALOR</v>
      </c>
      <c r="J6756" s="19"/>
      <c r="L6756" s="21">
        <v>59.799999999999997</v>
      </c>
      <c r="M6756" s="22">
        <v>0.95999999999999996</v>
      </c>
      <c r="N6756" s="21">
        <v>59.68</v>
      </c>
      <c r="O6756" s="22">
        <v>0.95999999999999996</v>
      </c>
    </row>
    <row r="6757" ht="38.25">
      <c r="A6757" t="s">
        <v>6668</v>
      </c>
      <c r="B6757" s="19">
        <v>92306</v>
      </c>
      <c r="C6757" s="20" t="s">
        <v>6876</v>
      </c>
      <c r="D6757" s="19" t="s">
        <v>38</v>
      </c>
      <c r="E6757" s="21">
        <f t="shared" si="314"/>
        <v>65.540000000000006</v>
      </c>
      <c r="F6757" s="22">
        <v>0</v>
      </c>
      <c r="G6757" s="21">
        <f t="shared" si="315"/>
        <v>65.079999999999998</v>
      </c>
      <c r="H6757" s="22">
        <v>0</v>
      </c>
      <c r="I6757" s="23" t="str">
        <f t="shared" si="316"/>
        <v xml:space="preserve">COM VALOR</v>
      </c>
      <c r="J6757" s="19"/>
      <c r="L6757" s="21">
        <v>65.540000000000006</v>
      </c>
      <c r="M6757" s="22">
        <v>0.88</v>
      </c>
      <c r="N6757" s="21">
        <v>65.079999999999998</v>
      </c>
      <c r="O6757" s="22">
        <v>0.88</v>
      </c>
    </row>
    <row r="6758" ht="38.25">
      <c r="A6758" t="s">
        <v>6668</v>
      </c>
      <c r="B6758" s="19">
        <v>103869</v>
      </c>
      <c r="C6758" s="20" t="s">
        <v>6877</v>
      </c>
      <c r="D6758" s="19" t="s">
        <v>38</v>
      </c>
      <c r="E6758" s="21">
        <f t="shared" si="314"/>
        <v>80.400000000000006</v>
      </c>
      <c r="F6758" s="22"/>
      <c r="G6758" s="21">
        <f t="shared" si="315"/>
        <v>79.099999999999994</v>
      </c>
      <c r="H6758" s="22"/>
      <c r="I6758" s="23" t="str">
        <f t="shared" si="316"/>
        <v xml:space="preserve">COM VALOR</v>
      </c>
      <c r="J6758" s="19"/>
      <c r="L6758" s="21">
        <v>80.400000000000006</v>
      </c>
      <c r="M6758" s="22">
        <v>0.71999999999999997</v>
      </c>
      <c r="N6758" s="21">
        <v>79.099999999999994</v>
      </c>
      <c r="O6758" s="22">
        <v>0.72999999999999998</v>
      </c>
    </row>
    <row r="6759" ht="38.25">
      <c r="A6759" t="s">
        <v>6668</v>
      </c>
      <c r="B6759" s="19">
        <v>103803</v>
      </c>
      <c r="C6759" s="20" t="s">
        <v>6878</v>
      </c>
      <c r="D6759" s="19" t="s">
        <v>38</v>
      </c>
      <c r="E6759" s="21">
        <f t="shared" si="314"/>
        <v>73.280000000000001</v>
      </c>
      <c r="F6759" s="22">
        <v>0</v>
      </c>
      <c r="G6759" s="21">
        <f t="shared" si="315"/>
        <v>72.390000000000001</v>
      </c>
      <c r="H6759" s="22">
        <v>0</v>
      </c>
      <c r="I6759" s="23" t="str">
        <f t="shared" si="316"/>
        <v xml:space="preserve">COM VALOR</v>
      </c>
      <c r="J6759" s="19"/>
      <c r="L6759" s="21">
        <v>73.280000000000001</v>
      </c>
      <c r="M6759" s="22">
        <v>0.79000000000000004</v>
      </c>
      <c r="N6759" s="21">
        <v>72.390000000000001</v>
      </c>
      <c r="O6759" s="22">
        <v>0.80000000000000004</v>
      </c>
    </row>
    <row r="6760" ht="38.25">
      <c r="A6760" t="s">
        <v>6668</v>
      </c>
      <c r="B6760" s="19">
        <v>92321</v>
      </c>
      <c r="C6760" s="20" t="s">
        <v>6879</v>
      </c>
      <c r="D6760" s="19" t="s">
        <v>38</v>
      </c>
      <c r="E6760" s="21">
        <f t="shared" si="314"/>
        <v>85.829999999999998</v>
      </c>
      <c r="F6760" s="22">
        <v>0</v>
      </c>
      <c r="G6760" s="21">
        <f t="shared" si="315"/>
        <v>84.219999999999999</v>
      </c>
      <c r="H6760" s="22">
        <v>0</v>
      </c>
      <c r="I6760" s="23" t="str">
        <f t="shared" si="316"/>
        <v xml:space="preserve">COM VALOR</v>
      </c>
      <c r="J6760" s="19"/>
      <c r="L6760" s="21">
        <v>85.829999999999998</v>
      </c>
      <c r="M6760" s="22">
        <v>0.67000000000000004</v>
      </c>
      <c r="N6760" s="21">
        <v>84.219999999999999</v>
      </c>
      <c r="O6760" s="22">
        <v>0.68000000000000005</v>
      </c>
    </row>
    <row r="6761" ht="38.25">
      <c r="A6761" t="s">
        <v>6668</v>
      </c>
      <c r="B6761" s="19">
        <v>97336</v>
      </c>
      <c r="C6761" s="20" t="s">
        <v>6880</v>
      </c>
      <c r="D6761" s="19" t="s">
        <v>38</v>
      </c>
      <c r="E6761" s="21">
        <f t="shared" si="314"/>
        <v>109.55</v>
      </c>
      <c r="F6761" s="22">
        <v>0</v>
      </c>
      <c r="G6761" s="21">
        <f t="shared" si="315"/>
        <v>109.39</v>
      </c>
      <c r="H6761" s="22">
        <v>0</v>
      </c>
      <c r="I6761" s="23" t="str">
        <f t="shared" si="316"/>
        <v xml:space="preserve">COM VALOR</v>
      </c>
      <c r="J6761" s="19"/>
      <c r="L6761" s="21">
        <v>109.55</v>
      </c>
      <c r="M6761" s="22">
        <v>0.96999999999999997</v>
      </c>
      <c r="N6761" s="21">
        <v>109.39</v>
      </c>
      <c r="O6761" s="22">
        <v>0.97999999999999998</v>
      </c>
    </row>
    <row r="6762" ht="38.25">
      <c r="A6762" t="s">
        <v>6668</v>
      </c>
      <c r="B6762" s="19">
        <v>103837</v>
      </c>
      <c r="C6762" s="20" t="s">
        <v>6881</v>
      </c>
      <c r="D6762" s="19" t="s">
        <v>38</v>
      </c>
      <c r="E6762" s="21">
        <f t="shared" si="314"/>
        <v>130.59</v>
      </c>
      <c r="F6762" s="22">
        <v>0</v>
      </c>
      <c r="G6762" s="21">
        <f t="shared" si="315"/>
        <v>129.22999999999999</v>
      </c>
      <c r="H6762" s="22">
        <v>0</v>
      </c>
      <c r="I6762" s="23" t="str">
        <f t="shared" si="316"/>
        <v xml:space="preserve">COM VALOR</v>
      </c>
      <c r="J6762" s="19"/>
      <c r="L6762" s="21">
        <v>130.59</v>
      </c>
      <c r="M6762" s="22">
        <v>0.81999999999999995</v>
      </c>
      <c r="N6762" s="21">
        <v>129.22999999999999</v>
      </c>
      <c r="O6762" s="22">
        <v>0.82999999999999996</v>
      </c>
    </row>
    <row r="6763" ht="38.25">
      <c r="A6763" t="s">
        <v>6668</v>
      </c>
      <c r="B6763" s="19">
        <v>92282</v>
      </c>
      <c r="C6763" s="20" t="s">
        <v>6882</v>
      </c>
      <c r="D6763" s="19" t="s">
        <v>38</v>
      </c>
      <c r="E6763" s="21">
        <f t="shared" si="314"/>
        <v>130.06</v>
      </c>
      <c r="F6763" s="22">
        <v>0</v>
      </c>
      <c r="G6763" s="21">
        <f t="shared" si="315"/>
        <v>129.84</v>
      </c>
      <c r="H6763" s="22">
        <v>0</v>
      </c>
      <c r="I6763" s="23" t="str">
        <f t="shared" si="316"/>
        <v xml:space="preserve">COM VALOR</v>
      </c>
      <c r="J6763" s="19"/>
      <c r="L6763" s="21">
        <v>130.06</v>
      </c>
      <c r="M6763" s="22">
        <v>0.96999999999999997</v>
      </c>
      <c r="N6763" s="21">
        <v>129.84</v>
      </c>
      <c r="O6763" s="22">
        <v>0.96999999999999997</v>
      </c>
    </row>
    <row r="6764" ht="38.25">
      <c r="A6764" t="s">
        <v>6668</v>
      </c>
      <c r="B6764" s="19">
        <v>92310</v>
      </c>
      <c r="C6764" s="20" t="s">
        <v>6883</v>
      </c>
      <c r="D6764" s="19" t="s">
        <v>38</v>
      </c>
      <c r="E6764" s="21">
        <f t="shared" si="314"/>
        <v>138.91999999999999</v>
      </c>
      <c r="F6764" s="22">
        <v>0</v>
      </c>
      <c r="G6764" s="21">
        <f t="shared" si="315"/>
        <v>138.19</v>
      </c>
      <c r="H6764" s="22">
        <v>0</v>
      </c>
      <c r="I6764" s="23" t="str">
        <f t="shared" si="316"/>
        <v xml:space="preserve">COM VALOR</v>
      </c>
      <c r="J6764" s="19"/>
      <c r="L6764" s="21">
        <v>138.91999999999999</v>
      </c>
      <c r="M6764" s="22">
        <v>0.91000000000000003</v>
      </c>
      <c r="N6764" s="21">
        <v>138.19</v>
      </c>
      <c r="O6764" s="22">
        <v>0.91000000000000003</v>
      </c>
    </row>
    <row r="6765" ht="38.25">
      <c r="A6765" t="s">
        <v>6668</v>
      </c>
      <c r="B6765" s="19">
        <v>103873</v>
      </c>
      <c r="C6765" s="20" t="s">
        <v>6884</v>
      </c>
      <c r="D6765" s="19" t="s">
        <v>38</v>
      </c>
      <c r="E6765" s="21">
        <f t="shared" si="314"/>
        <v>152.91999999999999</v>
      </c>
      <c r="F6765" s="22">
        <v>0</v>
      </c>
      <c r="G6765" s="21">
        <f t="shared" si="315"/>
        <v>151.40000000000001</v>
      </c>
      <c r="H6765" s="22">
        <v>0</v>
      </c>
      <c r="I6765" s="23" t="str">
        <f t="shared" si="316"/>
        <v xml:space="preserve">COM VALOR</v>
      </c>
      <c r="J6765" s="19"/>
      <c r="L6765" s="21">
        <v>152.91999999999999</v>
      </c>
      <c r="M6765" s="22">
        <v>0.81999999999999995</v>
      </c>
      <c r="N6765" s="21">
        <v>151.40000000000001</v>
      </c>
      <c r="O6765" s="22">
        <v>0.82999999999999996</v>
      </c>
    </row>
    <row r="6766" ht="38.25">
      <c r="A6766" t="s">
        <v>6668</v>
      </c>
      <c r="B6766" s="19">
        <v>92325</v>
      </c>
      <c r="C6766" s="20" t="s">
        <v>6885</v>
      </c>
      <c r="D6766" s="19" t="s">
        <v>38</v>
      </c>
      <c r="E6766" s="21">
        <f t="shared" si="314"/>
        <v>163.68000000000001</v>
      </c>
      <c r="F6766" s="22">
        <v>0</v>
      </c>
      <c r="G6766" s="21">
        <f t="shared" si="315"/>
        <v>161.53999999999999</v>
      </c>
      <c r="H6766" s="22">
        <v>0</v>
      </c>
      <c r="I6766" s="23" t="str">
        <f t="shared" si="316"/>
        <v xml:space="preserve">COM VALOR</v>
      </c>
      <c r="J6766" s="19"/>
      <c r="L6766" s="21">
        <v>163.68000000000001</v>
      </c>
      <c r="M6766" s="22">
        <v>0.77000000000000002</v>
      </c>
      <c r="N6766" s="21">
        <v>161.53999999999999</v>
      </c>
      <c r="O6766" s="22">
        <v>0.78000000000000003</v>
      </c>
    </row>
    <row r="6767" ht="38.25">
      <c r="A6767" t="s">
        <v>6668</v>
      </c>
      <c r="B6767" s="19">
        <v>92276</v>
      </c>
      <c r="C6767" s="20" t="s">
        <v>6886</v>
      </c>
      <c r="D6767" s="19" t="s">
        <v>38</v>
      </c>
      <c r="E6767" s="21">
        <f t="shared" si="314"/>
        <v>75.950000000000003</v>
      </c>
      <c r="F6767" s="22">
        <v>0</v>
      </c>
      <c r="G6767" s="21">
        <f t="shared" si="315"/>
        <v>75.790000000000006</v>
      </c>
      <c r="H6767" s="22">
        <v>0</v>
      </c>
      <c r="I6767" s="23" t="str">
        <f t="shared" si="316"/>
        <v xml:space="preserve">COM VALOR</v>
      </c>
      <c r="J6767" s="19"/>
      <c r="L6767" s="21">
        <v>75.950000000000003</v>
      </c>
      <c r="M6767" s="22">
        <v>0.95999999999999996</v>
      </c>
      <c r="N6767" s="21">
        <v>75.790000000000006</v>
      </c>
      <c r="O6767" s="22">
        <v>0.95999999999999996</v>
      </c>
    </row>
    <row r="6768" ht="38.25">
      <c r="A6768" t="s">
        <v>6668</v>
      </c>
      <c r="B6768" s="19">
        <v>92307</v>
      </c>
      <c r="C6768" s="20" t="s">
        <v>6887</v>
      </c>
      <c r="D6768" s="19" t="s">
        <v>38</v>
      </c>
      <c r="E6768" s="21">
        <f t="shared" si="314"/>
        <v>81.950000000000003</v>
      </c>
      <c r="F6768" s="22">
        <v>0</v>
      </c>
      <c r="G6768" s="21">
        <f t="shared" si="315"/>
        <v>81.439999999999998</v>
      </c>
      <c r="H6768" s="22">
        <v>0</v>
      </c>
      <c r="I6768" s="23" t="str">
        <f t="shared" si="316"/>
        <v xml:space="preserve">COM VALOR</v>
      </c>
      <c r="J6768" s="19"/>
      <c r="L6768" s="21">
        <v>81.950000000000003</v>
      </c>
      <c r="M6768" s="22">
        <v>0.89000000000000001</v>
      </c>
      <c r="N6768" s="21">
        <v>81.439999999999998</v>
      </c>
      <c r="O6768" s="22">
        <v>0.90000000000000002</v>
      </c>
    </row>
    <row r="6769" ht="38.25">
      <c r="A6769" t="s">
        <v>6668</v>
      </c>
      <c r="B6769" s="19">
        <v>103870</v>
      </c>
      <c r="C6769" s="20" t="s">
        <v>6888</v>
      </c>
      <c r="D6769" s="19" t="s">
        <v>38</v>
      </c>
      <c r="E6769" s="21">
        <f t="shared" si="314"/>
        <v>98.890000000000001</v>
      </c>
      <c r="F6769" s="22">
        <v>0</v>
      </c>
      <c r="G6769" s="21">
        <f t="shared" si="315"/>
        <v>97.420000000000002</v>
      </c>
      <c r="H6769" s="22">
        <v>0</v>
      </c>
      <c r="I6769" s="23" t="str">
        <f t="shared" si="316"/>
        <v xml:space="preserve">COM VALOR</v>
      </c>
      <c r="J6769" s="19"/>
      <c r="L6769" s="21">
        <v>98.890000000000001</v>
      </c>
      <c r="M6769" s="22">
        <v>0.73999999999999999</v>
      </c>
      <c r="N6769" s="21">
        <v>97.420000000000002</v>
      </c>
      <c r="O6769" s="22">
        <v>0.75</v>
      </c>
    </row>
    <row r="6770" ht="38.25">
      <c r="A6770" t="s">
        <v>6668</v>
      </c>
      <c r="B6770" s="19">
        <v>103804</v>
      </c>
      <c r="C6770" s="20" t="s">
        <v>6889</v>
      </c>
      <c r="D6770" s="19" t="s">
        <v>38</v>
      </c>
      <c r="E6770" s="21">
        <f t="shared" si="314"/>
        <v>88.780000000000001</v>
      </c>
      <c r="F6770" s="22">
        <v>0</v>
      </c>
      <c r="G6770" s="21">
        <f t="shared" si="315"/>
        <v>87.890000000000001</v>
      </c>
      <c r="H6770" s="22">
        <v>0</v>
      </c>
      <c r="I6770" s="23" t="str">
        <f t="shared" si="316"/>
        <v xml:space="preserve">COM VALOR</v>
      </c>
      <c r="J6770" s="19"/>
      <c r="L6770" s="21">
        <v>88.780000000000001</v>
      </c>
      <c r="M6770" s="22">
        <v>0.81999999999999995</v>
      </c>
      <c r="N6770" s="21">
        <v>87.890000000000001</v>
      </c>
      <c r="O6770" s="22">
        <v>0.82999999999999996</v>
      </c>
    </row>
    <row r="6771" ht="38.25">
      <c r="A6771" t="s">
        <v>6668</v>
      </c>
      <c r="B6771" s="19">
        <v>92322</v>
      </c>
      <c r="C6771" s="20" t="s">
        <v>6890</v>
      </c>
      <c r="D6771" s="19" t="s">
        <v>38</v>
      </c>
      <c r="E6771" s="21">
        <f t="shared" si="314"/>
        <v>109.53</v>
      </c>
      <c r="F6771" s="22">
        <v>0</v>
      </c>
      <c r="G6771" s="21">
        <f t="shared" si="315"/>
        <v>107.45999999999999</v>
      </c>
      <c r="H6771" s="22">
        <v>0</v>
      </c>
      <c r="I6771" s="23" t="str">
        <f t="shared" si="316"/>
        <v xml:space="preserve">COM VALOR</v>
      </c>
      <c r="J6771" s="19"/>
      <c r="L6771" s="21">
        <v>109.53</v>
      </c>
      <c r="M6771" s="22">
        <v>0.67000000000000004</v>
      </c>
      <c r="N6771" s="21">
        <v>107.45999999999999</v>
      </c>
      <c r="O6771" s="22">
        <v>0.68000000000000005</v>
      </c>
    </row>
    <row r="6772" ht="38.25">
      <c r="A6772" t="s">
        <v>6668</v>
      </c>
      <c r="B6772" s="19">
        <v>97337</v>
      </c>
      <c r="C6772" s="20" t="s">
        <v>6891</v>
      </c>
      <c r="D6772" s="19" t="s">
        <v>38</v>
      </c>
      <c r="E6772" s="21">
        <f t="shared" si="314"/>
        <v>164.75999999999999</v>
      </c>
      <c r="F6772" s="22">
        <v>0</v>
      </c>
      <c r="G6772" s="21">
        <f t="shared" si="315"/>
        <v>164.55000000000001</v>
      </c>
      <c r="H6772" s="22">
        <v>0</v>
      </c>
      <c r="I6772" s="23" t="str">
        <f t="shared" si="316"/>
        <v xml:space="preserve">COM VALOR</v>
      </c>
      <c r="J6772" s="19"/>
      <c r="L6772" s="21">
        <v>164.75999999999999</v>
      </c>
      <c r="M6772" s="22">
        <v>0.97999999999999998</v>
      </c>
      <c r="N6772" s="21">
        <v>164.55000000000001</v>
      </c>
      <c r="O6772" s="22">
        <v>0.97999999999999998</v>
      </c>
    </row>
    <row r="6773" ht="38.25">
      <c r="A6773" t="s">
        <v>6668</v>
      </c>
      <c r="B6773" s="19">
        <v>92283</v>
      </c>
      <c r="C6773" s="20" t="s">
        <v>6892</v>
      </c>
      <c r="D6773" s="19" t="s">
        <v>38</v>
      </c>
      <c r="E6773" s="21">
        <f t="shared" si="314"/>
        <v>178.03</v>
      </c>
      <c r="F6773" s="22">
        <v>0</v>
      </c>
      <c r="G6773" s="21">
        <f t="shared" si="315"/>
        <v>177.77000000000001</v>
      </c>
      <c r="H6773" s="22">
        <v>0</v>
      </c>
      <c r="I6773" s="23" t="str">
        <f t="shared" si="316"/>
        <v xml:space="preserve">COM VALOR</v>
      </c>
      <c r="J6773" s="19"/>
      <c r="L6773" s="21">
        <v>178.03</v>
      </c>
      <c r="M6773" s="22">
        <v>0.96999999999999997</v>
      </c>
      <c r="N6773" s="21">
        <v>177.77000000000001</v>
      </c>
      <c r="O6773" s="22">
        <v>0.97999999999999998</v>
      </c>
    </row>
    <row r="6774" ht="38.25">
      <c r="A6774" t="s">
        <v>6668</v>
      </c>
      <c r="B6774" s="19">
        <v>92277</v>
      </c>
      <c r="C6774" s="20" t="s">
        <v>6893</v>
      </c>
      <c r="D6774" s="19" t="s">
        <v>38</v>
      </c>
      <c r="E6774" s="21">
        <f t="shared" si="314"/>
        <v>109.76000000000001</v>
      </c>
      <c r="F6774" s="22">
        <v>0</v>
      </c>
      <c r="G6774" s="21">
        <f t="shared" si="315"/>
        <v>109.55</v>
      </c>
      <c r="H6774" s="22">
        <v>0</v>
      </c>
      <c r="I6774" s="23" t="str">
        <f t="shared" si="316"/>
        <v xml:space="preserve">COM VALOR</v>
      </c>
      <c r="J6774" s="19"/>
      <c r="L6774" s="21">
        <v>109.76000000000001</v>
      </c>
      <c r="M6774" s="22">
        <v>0.96999999999999997</v>
      </c>
      <c r="N6774" s="21">
        <v>109.55</v>
      </c>
      <c r="O6774" s="22">
        <v>0.96999999999999997</v>
      </c>
    </row>
    <row r="6775" ht="38.25">
      <c r="A6775" t="s">
        <v>6668</v>
      </c>
      <c r="B6775" s="19">
        <v>97338</v>
      </c>
      <c r="C6775" s="20" t="s">
        <v>6894</v>
      </c>
      <c r="D6775" s="19" t="s">
        <v>38</v>
      </c>
      <c r="E6775" s="21">
        <f t="shared" si="314"/>
        <v>198.24000000000001</v>
      </c>
      <c r="F6775" s="22">
        <v>0</v>
      </c>
      <c r="G6775" s="21">
        <f t="shared" si="315"/>
        <v>197.99000000000001</v>
      </c>
      <c r="H6775" s="22">
        <v>0</v>
      </c>
      <c r="I6775" s="23" t="str">
        <f t="shared" si="316"/>
        <v xml:space="preserve">COM VALOR</v>
      </c>
      <c r="J6775" s="19"/>
      <c r="L6775" s="21">
        <v>198.24000000000001</v>
      </c>
      <c r="M6775" s="22">
        <v>0.97999999999999998</v>
      </c>
      <c r="N6775" s="21">
        <v>197.99000000000001</v>
      </c>
      <c r="O6775" s="22">
        <v>0.97999999999999998</v>
      </c>
    </row>
    <row r="6776" ht="38.25">
      <c r="A6776" t="s">
        <v>6668</v>
      </c>
      <c r="B6776" s="19">
        <v>92284</v>
      </c>
      <c r="C6776" s="20" t="s">
        <v>6895</v>
      </c>
      <c r="D6776" s="19" t="s">
        <v>38</v>
      </c>
      <c r="E6776" s="21">
        <f t="shared" si="314"/>
        <v>225.49000000000001</v>
      </c>
      <c r="F6776" s="22">
        <v>0</v>
      </c>
      <c r="G6776" s="21">
        <f t="shared" si="315"/>
        <v>225.16999999999999</v>
      </c>
      <c r="H6776" s="22">
        <v>0</v>
      </c>
      <c r="I6776" s="23" t="str">
        <f t="shared" si="316"/>
        <v xml:space="preserve">COM VALOR</v>
      </c>
      <c r="J6776" s="19"/>
      <c r="L6776" s="21">
        <v>225.49000000000001</v>
      </c>
      <c r="M6776" s="22">
        <v>0.97999999999999998</v>
      </c>
      <c r="N6776" s="21">
        <v>225.16999999999999</v>
      </c>
      <c r="O6776" s="22">
        <v>0.97999999999999998</v>
      </c>
    </row>
    <row r="6777" ht="38.25">
      <c r="A6777" t="s">
        <v>6668</v>
      </c>
      <c r="B6777" s="19">
        <v>92278</v>
      </c>
      <c r="C6777" s="20" t="s">
        <v>6896</v>
      </c>
      <c r="D6777" s="19" t="s">
        <v>38</v>
      </c>
      <c r="E6777" s="21">
        <f t="shared" si="314"/>
        <v>147.69999999999999</v>
      </c>
      <c r="F6777" s="22">
        <v>0</v>
      </c>
      <c r="G6777" s="21">
        <f t="shared" si="315"/>
        <v>147.44999999999999</v>
      </c>
      <c r="H6777" s="22">
        <v>0</v>
      </c>
      <c r="I6777" s="23" t="str">
        <f t="shared" si="316"/>
        <v xml:space="preserve">COM VALOR</v>
      </c>
      <c r="J6777" s="19"/>
      <c r="L6777" s="21">
        <v>147.69999999999999</v>
      </c>
      <c r="M6777" s="22">
        <v>0.96999999999999997</v>
      </c>
      <c r="N6777" s="21">
        <v>147.44999999999999</v>
      </c>
      <c r="O6777" s="22">
        <v>0.96999999999999997</v>
      </c>
    </row>
    <row r="6778" ht="38.25">
      <c r="A6778" t="s">
        <v>6668</v>
      </c>
      <c r="B6778" s="19">
        <v>97339</v>
      </c>
      <c r="C6778" s="20" t="s">
        <v>6897</v>
      </c>
      <c r="D6778" s="19" t="s">
        <v>38</v>
      </c>
      <c r="E6778" s="21">
        <f t="shared" si="314"/>
        <v>281.52999999999997</v>
      </c>
      <c r="F6778" s="22">
        <v>0</v>
      </c>
      <c r="G6778" s="21">
        <f t="shared" si="315"/>
        <v>281.19999999999999</v>
      </c>
      <c r="H6778" s="22">
        <v>0</v>
      </c>
      <c r="I6778" s="23" t="str">
        <f t="shared" si="316"/>
        <v xml:space="preserve">COM VALOR</v>
      </c>
      <c r="J6778" s="19"/>
      <c r="L6778" s="21">
        <v>281.52999999999997</v>
      </c>
      <c r="M6778" s="22">
        <v>0.97999999999999998</v>
      </c>
      <c r="N6778" s="21">
        <v>281.19999999999999</v>
      </c>
      <c r="O6778" s="22">
        <v>0.97999999999999998</v>
      </c>
    </row>
    <row r="6779" ht="38.25">
      <c r="A6779" t="s">
        <v>6668</v>
      </c>
      <c r="B6779" s="19">
        <v>92285</v>
      </c>
      <c r="C6779" s="20" t="s">
        <v>6898</v>
      </c>
      <c r="D6779" s="19" t="s">
        <v>38</v>
      </c>
      <c r="E6779" s="21">
        <f t="shared" si="314"/>
        <v>306.42000000000002</v>
      </c>
      <c r="F6779" s="22">
        <v>0</v>
      </c>
      <c r="G6779" s="21">
        <f t="shared" si="315"/>
        <v>306.04000000000002</v>
      </c>
      <c r="H6779" s="22">
        <v>0</v>
      </c>
      <c r="I6779" s="23" t="str">
        <f t="shared" si="316"/>
        <v xml:space="preserve">COM VALOR</v>
      </c>
      <c r="J6779" s="19"/>
      <c r="L6779" s="21">
        <v>306.42000000000002</v>
      </c>
      <c r="M6779" s="22">
        <v>0.97999999999999998</v>
      </c>
      <c r="N6779" s="21">
        <v>306.04000000000002</v>
      </c>
      <c r="O6779" s="22">
        <v>0.97999999999999998</v>
      </c>
    </row>
    <row r="6780" ht="38.25">
      <c r="A6780" t="s">
        <v>6668</v>
      </c>
      <c r="B6780" s="19">
        <v>92279</v>
      </c>
      <c r="C6780" s="20" t="s">
        <v>6899</v>
      </c>
      <c r="D6780" s="19" t="s">
        <v>38</v>
      </c>
      <c r="E6780" s="21">
        <f t="shared" si="314"/>
        <v>213.53</v>
      </c>
      <c r="F6780" s="22">
        <v>0</v>
      </c>
      <c r="G6780" s="21">
        <f t="shared" si="315"/>
        <v>213.19999999999999</v>
      </c>
      <c r="H6780" s="22">
        <v>0</v>
      </c>
      <c r="I6780" s="23" t="str">
        <f t="shared" si="316"/>
        <v xml:space="preserve">COM VALOR</v>
      </c>
      <c r="J6780" s="19"/>
      <c r="L6780" s="21">
        <v>213.53</v>
      </c>
      <c r="M6780" s="22">
        <v>0.96999999999999997</v>
      </c>
      <c r="N6780" s="21">
        <v>213.19999999999999</v>
      </c>
      <c r="O6780" s="22">
        <v>0.96999999999999997</v>
      </c>
    </row>
    <row r="6781" ht="38.25">
      <c r="A6781" t="s">
        <v>6668</v>
      </c>
      <c r="B6781" s="19">
        <v>97340</v>
      </c>
      <c r="C6781" s="20" t="s">
        <v>6900</v>
      </c>
      <c r="D6781" s="19" t="s">
        <v>38</v>
      </c>
      <c r="E6781" s="21">
        <f t="shared" si="314"/>
        <v>363.81999999999999</v>
      </c>
      <c r="F6781" s="22">
        <v>0</v>
      </c>
      <c r="G6781" s="21">
        <f t="shared" si="315"/>
        <v>363.43000000000001</v>
      </c>
      <c r="H6781" s="22">
        <v>0</v>
      </c>
      <c r="I6781" s="23" t="str">
        <f t="shared" si="316"/>
        <v xml:space="preserve">COM VALOR</v>
      </c>
      <c r="J6781" s="19"/>
      <c r="L6781" s="21">
        <v>363.81999999999999</v>
      </c>
      <c r="M6781" s="22">
        <v>0.97999999999999998</v>
      </c>
      <c r="N6781" s="21">
        <v>363.43000000000001</v>
      </c>
      <c r="O6781" s="22">
        <v>0.97999999999999998</v>
      </c>
    </row>
    <row r="6782" ht="38.25">
      <c r="A6782" t="s">
        <v>6668</v>
      </c>
      <c r="B6782" s="19">
        <v>92286</v>
      </c>
      <c r="C6782" s="20" t="s">
        <v>6901</v>
      </c>
      <c r="D6782" s="19" t="s">
        <v>38</v>
      </c>
      <c r="E6782" s="21">
        <f t="shared" si="314"/>
        <v>393.97000000000003</v>
      </c>
      <c r="F6782" s="22">
        <v>0</v>
      </c>
      <c r="G6782" s="21">
        <f t="shared" si="315"/>
        <v>393.51999999999998</v>
      </c>
      <c r="H6782" s="22">
        <v>0</v>
      </c>
      <c r="I6782" s="23" t="str">
        <f t="shared" si="316"/>
        <v xml:space="preserve">COM VALOR</v>
      </c>
      <c r="J6782" s="19"/>
      <c r="L6782" s="21">
        <v>393.97000000000003</v>
      </c>
      <c r="M6782" s="22">
        <v>0.97999999999999998</v>
      </c>
      <c r="N6782" s="21">
        <v>393.51999999999998</v>
      </c>
      <c r="O6782" s="22">
        <v>0.97999999999999998</v>
      </c>
    </row>
    <row r="6783" ht="38.25">
      <c r="A6783" t="s">
        <v>6668</v>
      </c>
      <c r="B6783" s="19">
        <v>92280</v>
      </c>
      <c r="C6783" s="20" t="s">
        <v>6902</v>
      </c>
      <c r="D6783" s="19" t="s">
        <v>38</v>
      </c>
      <c r="E6783" s="21">
        <f t="shared" si="314"/>
        <v>299.79000000000002</v>
      </c>
      <c r="F6783" s="22">
        <v>0</v>
      </c>
      <c r="G6783" s="21">
        <f t="shared" si="315"/>
        <v>299.39999999999998</v>
      </c>
      <c r="H6783" s="22">
        <v>0</v>
      </c>
      <c r="I6783" s="23" t="str">
        <f t="shared" si="316"/>
        <v xml:space="preserve">COM VALOR</v>
      </c>
      <c r="J6783" s="19"/>
      <c r="L6783" s="21">
        <v>299.79000000000002</v>
      </c>
      <c r="M6783" s="22">
        <v>0.97999999999999998</v>
      </c>
      <c r="N6783" s="21">
        <v>299.39999999999998</v>
      </c>
      <c r="O6783" s="22">
        <v>0.97999999999999998</v>
      </c>
    </row>
    <row r="6784" ht="38.25">
      <c r="A6784" t="s">
        <v>6668</v>
      </c>
      <c r="B6784" s="19">
        <v>103901</v>
      </c>
      <c r="C6784" s="20" t="s">
        <v>6903</v>
      </c>
      <c r="D6784" s="19" t="s">
        <v>31</v>
      </c>
      <c r="E6784" s="21">
        <f t="shared" si="314"/>
        <v>25.690000000000001</v>
      </c>
      <c r="F6784" s="22">
        <v>0</v>
      </c>
      <c r="G6784" s="21">
        <f t="shared" si="315"/>
        <v>24.75</v>
      </c>
      <c r="H6784" s="22">
        <v>0</v>
      </c>
      <c r="I6784" s="23" t="str">
        <f t="shared" si="316"/>
        <v xml:space="preserve">COM VALOR</v>
      </c>
      <c r="J6784" s="19"/>
      <c r="L6784" s="21">
        <v>25.690000000000001</v>
      </c>
      <c r="M6784" s="22">
        <v>0.34000000000000002</v>
      </c>
      <c r="N6784" s="21">
        <v>24.75</v>
      </c>
      <c r="O6784" s="22">
        <v>0.35999999999999999</v>
      </c>
    </row>
    <row r="6785" ht="38.25">
      <c r="A6785" t="s">
        <v>6668</v>
      </c>
      <c r="B6785" s="19">
        <v>103832</v>
      </c>
      <c r="C6785" s="20" t="s">
        <v>6904</v>
      </c>
      <c r="D6785" s="19" t="s">
        <v>31</v>
      </c>
      <c r="E6785" s="21">
        <f t="shared" si="314"/>
        <v>25.649999999999999</v>
      </c>
      <c r="F6785" s="22">
        <v>0</v>
      </c>
      <c r="G6785" s="21">
        <f t="shared" si="315"/>
        <v>24.719999999999999</v>
      </c>
      <c r="H6785" s="22">
        <v>0</v>
      </c>
      <c r="I6785" s="23" t="str">
        <f t="shared" si="316"/>
        <v xml:space="preserve">COM VALOR</v>
      </c>
      <c r="J6785" s="19"/>
      <c r="L6785" s="21">
        <v>25.649999999999999</v>
      </c>
      <c r="M6785" s="22">
        <v>0.34000000000000002</v>
      </c>
      <c r="N6785" s="21">
        <v>24.719999999999999</v>
      </c>
      <c r="O6785" s="22">
        <v>0.35999999999999999</v>
      </c>
    </row>
    <row r="6786" ht="38.25">
      <c r="A6786" t="s">
        <v>6668</v>
      </c>
      <c r="B6786" s="19">
        <v>103865</v>
      </c>
      <c r="C6786" s="20" t="s">
        <v>6905</v>
      </c>
      <c r="D6786" s="19" t="s">
        <v>31</v>
      </c>
      <c r="E6786" s="21">
        <f t="shared" si="314"/>
        <v>24.66</v>
      </c>
      <c r="F6786" s="22">
        <v>0</v>
      </c>
      <c r="G6786" s="21">
        <f t="shared" si="315"/>
        <v>23.780000000000001</v>
      </c>
      <c r="H6786" s="22">
        <v>0</v>
      </c>
      <c r="I6786" s="23" t="str">
        <f t="shared" si="316"/>
        <v xml:space="preserve">COM VALOR</v>
      </c>
      <c r="J6786" s="19"/>
      <c r="L6786" s="21">
        <v>24.66</v>
      </c>
      <c r="M6786" s="22">
        <v>0.35999999999999999</v>
      </c>
      <c r="N6786" s="21">
        <v>23.780000000000001</v>
      </c>
      <c r="O6786" s="22">
        <v>0.37</v>
      </c>
    </row>
    <row r="6787" ht="38.25">
      <c r="A6787" t="s">
        <v>6668</v>
      </c>
      <c r="B6787" s="19">
        <v>103902</v>
      </c>
      <c r="C6787" s="20" t="s">
        <v>6906</v>
      </c>
      <c r="D6787" s="19" t="s">
        <v>31</v>
      </c>
      <c r="E6787" s="21">
        <f t="shared" si="314"/>
        <v>38.159999999999997</v>
      </c>
      <c r="F6787" s="22">
        <v>0</v>
      </c>
      <c r="G6787" s="21">
        <f t="shared" si="315"/>
        <v>37.049999999999997</v>
      </c>
      <c r="H6787" s="22">
        <v>0</v>
      </c>
      <c r="I6787" s="23" t="str">
        <f t="shared" si="316"/>
        <v xml:space="preserve">COM VALOR</v>
      </c>
      <c r="J6787" s="19"/>
      <c r="L6787" s="21">
        <v>38.159999999999997</v>
      </c>
      <c r="M6787" s="22">
        <v>0.47999999999999998</v>
      </c>
      <c r="N6787" s="21">
        <v>37.049999999999997</v>
      </c>
      <c r="O6787" s="22">
        <v>0.48999999999999999</v>
      </c>
    </row>
    <row r="6788" ht="38.25">
      <c r="A6788" t="s">
        <v>6668</v>
      </c>
      <c r="B6788" s="19">
        <v>103866</v>
      </c>
      <c r="C6788" s="20" t="s">
        <v>6907</v>
      </c>
      <c r="D6788" s="19" t="s">
        <v>31</v>
      </c>
      <c r="E6788" s="21">
        <f t="shared" si="314"/>
        <v>39.340000000000003</v>
      </c>
      <c r="F6788" s="22">
        <v>0</v>
      </c>
      <c r="G6788" s="21">
        <f t="shared" si="315"/>
        <v>38.170000000000002</v>
      </c>
      <c r="H6788" s="22">
        <v>0</v>
      </c>
      <c r="I6788" s="23" t="str">
        <f t="shared" si="316"/>
        <v xml:space="preserve">COM VALOR</v>
      </c>
      <c r="J6788" s="19"/>
      <c r="L6788" s="21">
        <v>39.340000000000003</v>
      </c>
      <c r="M6788" s="22">
        <v>0.46000000000000002</v>
      </c>
      <c r="N6788" s="21">
        <v>38.170000000000002</v>
      </c>
      <c r="O6788" s="22">
        <v>0.47999999999999998</v>
      </c>
    </row>
    <row r="6789" ht="38.25">
      <c r="A6789" t="s">
        <v>6668</v>
      </c>
      <c r="B6789" s="19">
        <v>103903</v>
      </c>
      <c r="C6789" s="20" t="s">
        <v>6908</v>
      </c>
      <c r="D6789" s="19" t="s">
        <v>31</v>
      </c>
      <c r="E6789" s="21">
        <f t="shared" si="314"/>
        <v>51.840000000000003</v>
      </c>
      <c r="F6789" s="22">
        <v>0</v>
      </c>
      <c r="G6789" s="21">
        <f t="shared" si="315"/>
        <v>50.579999999999998</v>
      </c>
      <c r="H6789" s="22">
        <v>0</v>
      </c>
      <c r="I6789" s="23" t="str">
        <f t="shared" si="316"/>
        <v xml:space="preserve">COM VALOR</v>
      </c>
      <c r="J6789" s="19"/>
      <c r="L6789" s="21">
        <v>51.840000000000003</v>
      </c>
      <c r="M6789" s="22">
        <v>0.56999999999999995</v>
      </c>
      <c r="N6789" s="21">
        <v>50.579999999999998</v>
      </c>
      <c r="O6789" s="22">
        <v>0.57999999999999996</v>
      </c>
    </row>
    <row r="6790" ht="38.25">
      <c r="A6790" t="s">
        <v>6668</v>
      </c>
      <c r="B6790" s="19">
        <v>103834</v>
      </c>
      <c r="C6790" s="20" t="s">
        <v>6909</v>
      </c>
      <c r="D6790" s="19" t="s">
        <v>31</v>
      </c>
      <c r="E6790" s="21">
        <f t="shared" si="314"/>
        <v>68.439999999999998</v>
      </c>
      <c r="F6790" s="22">
        <v>0</v>
      </c>
      <c r="G6790" s="21">
        <f t="shared" si="315"/>
        <v>66.269999999999996</v>
      </c>
      <c r="H6790" s="22">
        <v>0</v>
      </c>
      <c r="I6790" s="23" t="str">
        <f t="shared" si="316"/>
        <v xml:space="preserve">COM VALOR</v>
      </c>
      <c r="J6790" s="19"/>
      <c r="L6790" s="21">
        <v>68.439999999999998</v>
      </c>
      <c r="M6790" s="22">
        <v>0.42999999999999999</v>
      </c>
      <c r="N6790" s="21">
        <v>66.269999999999996</v>
      </c>
      <c r="O6790" s="22">
        <v>0.44</v>
      </c>
    </row>
    <row r="6791" ht="38.25">
      <c r="A6791" t="s">
        <v>6668</v>
      </c>
      <c r="B6791" s="19">
        <v>103867</v>
      </c>
      <c r="C6791" s="20" t="s">
        <v>6910</v>
      </c>
      <c r="D6791" s="19" t="s">
        <v>31</v>
      </c>
      <c r="E6791" s="21">
        <f t="shared" si="314"/>
        <v>54.920000000000002</v>
      </c>
      <c r="F6791" s="22">
        <v>0</v>
      </c>
      <c r="G6791" s="21">
        <f t="shared" si="315"/>
        <v>53.5</v>
      </c>
      <c r="H6791" s="22">
        <v>0</v>
      </c>
      <c r="I6791" s="23" t="str">
        <f t="shared" si="316"/>
        <v xml:space="preserve">COM VALOR</v>
      </c>
      <c r="J6791" s="19"/>
      <c r="L6791" s="21">
        <v>54.920000000000002</v>
      </c>
      <c r="M6791" s="22">
        <v>0.53000000000000003</v>
      </c>
      <c r="N6791" s="21">
        <v>53.5</v>
      </c>
      <c r="O6791" s="22">
        <v>0.55000000000000004</v>
      </c>
    </row>
    <row r="6792" ht="25.5">
      <c r="A6792" t="s">
        <v>6911</v>
      </c>
      <c r="B6792" s="19">
        <v>105113</v>
      </c>
      <c r="C6792" s="20" t="s">
        <v>6912</v>
      </c>
      <c r="D6792" s="19" t="s">
        <v>31</v>
      </c>
      <c r="E6792" s="21">
        <f t="shared" si="314"/>
        <v>8658.2099999999991</v>
      </c>
      <c r="F6792" s="22">
        <v>0</v>
      </c>
      <c r="G6792" s="21">
        <f t="shared" si="315"/>
        <v>8538.2000000000007</v>
      </c>
      <c r="H6792" s="22">
        <v>0</v>
      </c>
      <c r="I6792" s="23" t="str">
        <f t="shared" si="316"/>
        <v xml:space="preserve">COM VALOR</v>
      </c>
      <c r="J6792" s="19"/>
      <c r="L6792" s="21">
        <v>8658.2099999999991</v>
      </c>
      <c r="M6792" s="22">
        <v>0</v>
      </c>
      <c r="N6792" s="21">
        <v>8538.2000000000007</v>
      </c>
      <c r="O6792" s="22">
        <v>0</v>
      </c>
    </row>
    <row r="6793" ht="25.5">
      <c r="A6793" t="s">
        <v>6911</v>
      </c>
      <c r="B6793" s="19">
        <v>98461</v>
      </c>
      <c r="C6793" s="20" t="s">
        <v>6913</v>
      </c>
      <c r="D6793" s="19" t="s">
        <v>31</v>
      </c>
      <c r="E6793" s="21">
        <f t="shared" si="314"/>
        <v>6536.29</v>
      </c>
      <c r="F6793" s="22">
        <v>0</v>
      </c>
      <c r="G6793" s="21">
        <f t="shared" si="315"/>
        <v>6446.0100000000002</v>
      </c>
      <c r="H6793" s="22">
        <v>0</v>
      </c>
      <c r="I6793" s="23" t="str">
        <f t="shared" si="316"/>
        <v xml:space="preserve">COM VALOR</v>
      </c>
      <c r="J6793" s="19"/>
      <c r="L6793" s="21">
        <v>6536.29</v>
      </c>
      <c r="M6793" s="22">
        <v>0</v>
      </c>
      <c r="N6793" s="21">
        <v>6446.0100000000002</v>
      </c>
      <c r="O6793" s="22">
        <v>0</v>
      </c>
    </row>
    <row r="6794" ht="25.5">
      <c r="A6794" t="s">
        <v>6911</v>
      </c>
      <c r="B6794" s="19">
        <v>98462</v>
      </c>
      <c r="C6794" s="20" t="s">
        <v>6914</v>
      </c>
      <c r="D6794" s="19" t="s">
        <v>31</v>
      </c>
      <c r="E6794" s="21">
        <f t="shared" si="314"/>
        <v>11258.74</v>
      </c>
      <c r="F6794" s="22">
        <v>0</v>
      </c>
      <c r="G6794" s="21">
        <f t="shared" si="315"/>
        <v>11102.16</v>
      </c>
      <c r="H6794" s="22">
        <v>0</v>
      </c>
      <c r="I6794" s="23" t="str">
        <f t="shared" si="316"/>
        <v xml:space="preserve">COM VALOR</v>
      </c>
      <c r="J6794" s="19"/>
      <c r="L6794" s="21">
        <v>11258.74</v>
      </c>
      <c r="M6794" s="22">
        <v>0</v>
      </c>
      <c r="N6794" s="21">
        <v>11102.16</v>
      </c>
      <c r="O6794" s="22">
        <v>0</v>
      </c>
    </row>
    <row r="6795" ht="25.5">
      <c r="A6795" t="s">
        <v>6911</v>
      </c>
      <c r="B6795" s="19">
        <v>105130</v>
      </c>
      <c r="C6795" s="20" t="s">
        <v>6915</v>
      </c>
      <c r="D6795" s="19" t="s">
        <v>38</v>
      </c>
      <c r="E6795" s="21">
        <f t="shared" ref="E6795:E6858" si="317">IF(L6795=0,"VERIFICAR",L6795)</f>
        <v>26.41</v>
      </c>
      <c r="F6795" s="22">
        <v>0</v>
      </c>
      <c r="G6795" s="21">
        <f t="shared" ref="G6795:G6858" si="318">IF(N6795=0,"VERIFICAR",N6795)</f>
        <v>25.379999999999999</v>
      </c>
      <c r="H6795" s="22">
        <v>0</v>
      </c>
      <c r="I6795" s="23" t="str">
        <f t="shared" ref="I6795:I6858" si="319">IF(OR(E6795=0,G6795=0),"SEM VALOR","COM VALOR")</f>
        <v xml:space="preserve">COM VALOR</v>
      </c>
      <c r="J6795" s="19"/>
      <c r="L6795" s="21">
        <v>26.41</v>
      </c>
      <c r="M6795" s="22">
        <v>0</v>
      </c>
      <c r="N6795" s="21">
        <v>25.379999999999999</v>
      </c>
      <c r="O6795" s="22">
        <v>0</v>
      </c>
    </row>
    <row r="6796" ht="25.5">
      <c r="A6796" t="s">
        <v>6911</v>
      </c>
      <c r="B6796" s="19">
        <v>105114</v>
      </c>
      <c r="C6796" s="20" t="s">
        <v>6916</v>
      </c>
      <c r="D6796" s="19" t="s">
        <v>121</v>
      </c>
      <c r="E6796" s="21">
        <f t="shared" si="317"/>
        <v>1749.5899999999999</v>
      </c>
      <c r="F6796" s="22">
        <v>0</v>
      </c>
      <c r="G6796" s="21">
        <f t="shared" si="318"/>
        <v>1690.6900000000001</v>
      </c>
      <c r="H6796" s="22">
        <v>0</v>
      </c>
      <c r="I6796" s="23" t="str">
        <f t="shared" si="319"/>
        <v xml:space="preserve">COM VALOR</v>
      </c>
      <c r="J6796" s="19"/>
      <c r="L6796" s="21">
        <v>1749.5899999999999</v>
      </c>
      <c r="M6796" s="22">
        <v>0</v>
      </c>
      <c r="N6796" s="21">
        <v>1690.6900000000001</v>
      </c>
      <c r="O6796" s="22">
        <v>0</v>
      </c>
    </row>
    <row r="6797" ht="12.75">
      <c r="A6797" t="s">
        <v>6911</v>
      </c>
      <c r="B6797" s="19">
        <v>105129</v>
      </c>
      <c r="C6797" s="20" t="s">
        <v>6917</v>
      </c>
      <c r="D6797" s="19" t="s">
        <v>31</v>
      </c>
      <c r="E6797" s="21" t="str">
        <f t="shared" si="317"/>
        <v>VERIFICAR</v>
      </c>
      <c r="F6797" s="22">
        <v>0</v>
      </c>
      <c r="G6797" s="21" t="str">
        <f t="shared" si="318"/>
        <v>VERIFICAR</v>
      </c>
      <c r="H6797" s="22">
        <v>0</v>
      </c>
      <c r="I6797" s="23" t="str">
        <f t="shared" si="319"/>
        <v xml:space="preserve">COM VALOR</v>
      </c>
      <c r="J6797" s="19"/>
      <c r="L6797" s="21">
        <v>0</v>
      </c>
      <c r="M6797" s="22"/>
      <c r="N6797" s="21">
        <v>0</v>
      </c>
      <c r="O6797" s="22"/>
    </row>
    <row r="6798" ht="25.5">
      <c r="A6798" t="s">
        <v>6911</v>
      </c>
      <c r="B6798" s="19">
        <v>105127</v>
      </c>
      <c r="C6798" s="20" t="s">
        <v>6918</v>
      </c>
      <c r="D6798" s="19" t="s">
        <v>38</v>
      </c>
      <c r="E6798" s="21">
        <f t="shared" si="317"/>
        <v>24.699999999999999</v>
      </c>
      <c r="F6798" s="22">
        <v>0</v>
      </c>
      <c r="G6798" s="21">
        <f t="shared" si="318"/>
        <v>24.460000000000001</v>
      </c>
      <c r="H6798" s="22">
        <v>0</v>
      </c>
      <c r="I6798" s="23" t="str">
        <f t="shared" si="319"/>
        <v xml:space="preserve">COM VALOR</v>
      </c>
      <c r="J6798" s="19"/>
      <c r="L6798" s="21">
        <v>24.699999999999999</v>
      </c>
      <c r="M6798" s="22">
        <v>0</v>
      </c>
      <c r="N6798" s="21">
        <v>24.460000000000001</v>
      </c>
      <c r="O6798" s="22">
        <v>0</v>
      </c>
    </row>
    <row r="6799" ht="12.75">
      <c r="A6799" t="s">
        <v>6911</v>
      </c>
      <c r="B6799" s="19">
        <v>105128</v>
      </c>
      <c r="C6799" s="20" t="s">
        <v>6919</v>
      </c>
      <c r="D6799" s="19" t="s">
        <v>38</v>
      </c>
      <c r="E6799" s="21">
        <f t="shared" si="317"/>
        <v>83.489999999999995</v>
      </c>
      <c r="F6799" s="22">
        <v>0</v>
      </c>
      <c r="G6799" s="21">
        <f t="shared" si="318"/>
        <v>82.129999999999995</v>
      </c>
      <c r="H6799" s="22">
        <v>0</v>
      </c>
      <c r="I6799" s="23" t="str">
        <f t="shared" si="319"/>
        <v xml:space="preserve">COM VALOR</v>
      </c>
      <c r="J6799" s="19"/>
      <c r="L6799" s="21">
        <v>83.489999999999995</v>
      </c>
      <c r="M6799" s="22">
        <v>0</v>
      </c>
      <c r="N6799" s="21">
        <v>82.129999999999995</v>
      </c>
      <c r="O6799" s="22">
        <v>0</v>
      </c>
    </row>
    <row r="6800" ht="12.75">
      <c r="A6800" t="s">
        <v>6911</v>
      </c>
      <c r="B6800" s="19">
        <v>105126</v>
      </c>
      <c r="C6800" s="20" t="s">
        <v>6920</v>
      </c>
      <c r="D6800" s="19" t="s">
        <v>38</v>
      </c>
      <c r="E6800" s="21">
        <f t="shared" si="317"/>
        <v>27.75</v>
      </c>
      <c r="F6800" s="22">
        <v>0</v>
      </c>
      <c r="G6800" s="21">
        <f t="shared" si="318"/>
        <v>27.449999999999999</v>
      </c>
      <c r="H6800" s="22">
        <v>0</v>
      </c>
      <c r="I6800" s="23" t="str">
        <f t="shared" si="319"/>
        <v xml:space="preserve">COM VALOR</v>
      </c>
      <c r="J6800" s="19"/>
      <c r="L6800" s="21">
        <v>27.75</v>
      </c>
      <c r="M6800" s="22">
        <v>0</v>
      </c>
      <c r="N6800" s="21">
        <v>27.449999999999999</v>
      </c>
      <c r="O6800" s="22">
        <v>0</v>
      </c>
    </row>
    <row r="6801" ht="25.5">
      <c r="A6801" t="s">
        <v>6911</v>
      </c>
      <c r="B6801" s="19">
        <v>105116</v>
      </c>
      <c r="C6801" s="20" t="s">
        <v>6921</v>
      </c>
      <c r="D6801" s="19" t="s">
        <v>31</v>
      </c>
      <c r="E6801" s="21">
        <f t="shared" si="317"/>
        <v>11.59</v>
      </c>
      <c r="F6801" s="22">
        <v>0</v>
      </c>
      <c r="G6801" s="21">
        <f t="shared" si="318"/>
        <v>10.92</v>
      </c>
      <c r="H6801" s="22">
        <v>0</v>
      </c>
      <c r="I6801" s="23" t="str">
        <f t="shared" si="319"/>
        <v xml:space="preserve">COM VALOR</v>
      </c>
      <c r="J6801" s="19"/>
      <c r="L6801" s="21">
        <v>11.59</v>
      </c>
      <c r="M6801" s="22">
        <v>0</v>
      </c>
      <c r="N6801" s="21">
        <v>10.92</v>
      </c>
      <c r="O6801" s="22">
        <v>0</v>
      </c>
    </row>
    <row r="6802" ht="25.5">
      <c r="A6802" t="s">
        <v>6911</v>
      </c>
      <c r="B6802" s="19">
        <v>105115</v>
      </c>
      <c r="C6802" s="20" t="s">
        <v>6922</v>
      </c>
      <c r="D6802" s="19" t="s">
        <v>31</v>
      </c>
      <c r="E6802" s="21">
        <f t="shared" si="317"/>
        <v>129.53</v>
      </c>
      <c r="F6802" s="22">
        <v>0</v>
      </c>
      <c r="G6802" s="21">
        <f t="shared" si="318"/>
        <v>125.76000000000001</v>
      </c>
      <c r="H6802" s="22">
        <v>0</v>
      </c>
      <c r="I6802" s="23" t="str">
        <f t="shared" si="319"/>
        <v xml:space="preserve">COM VALOR</v>
      </c>
      <c r="J6802" s="19"/>
      <c r="L6802" s="21">
        <v>129.53</v>
      </c>
      <c r="M6802" s="22">
        <v>0.26000000000000001</v>
      </c>
      <c r="N6802" s="21">
        <v>125.76000000000001</v>
      </c>
      <c r="O6802" s="22">
        <v>0.27000000000000002</v>
      </c>
    </row>
    <row r="6803" ht="38.25">
      <c r="A6803" t="s">
        <v>6911</v>
      </c>
      <c r="B6803" s="19">
        <v>98453</v>
      </c>
      <c r="C6803" s="20" t="s">
        <v>6923</v>
      </c>
      <c r="D6803" s="19" t="s">
        <v>29</v>
      </c>
      <c r="E6803" s="21">
        <f t="shared" si="317"/>
        <v>144.03999999999999</v>
      </c>
      <c r="F6803" s="22">
        <v>0</v>
      </c>
      <c r="G6803" s="21">
        <f t="shared" si="318"/>
        <v>140.78</v>
      </c>
      <c r="H6803" s="22">
        <v>0</v>
      </c>
      <c r="I6803" s="23" t="str">
        <f t="shared" si="319"/>
        <v xml:space="preserve">COM VALOR</v>
      </c>
      <c r="J6803" s="19"/>
      <c r="L6803" s="21">
        <v>144.03999999999999</v>
      </c>
      <c r="M6803" s="22">
        <v>0</v>
      </c>
      <c r="N6803" s="21">
        <v>140.78</v>
      </c>
      <c r="O6803" s="22">
        <v>0</v>
      </c>
    </row>
    <row r="6804" ht="38.25">
      <c r="A6804" t="s">
        <v>6911</v>
      </c>
      <c r="B6804" s="19">
        <v>98454</v>
      </c>
      <c r="C6804" s="20" t="s">
        <v>6924</v>
      </c>
      <c r="D6804" s="19" t="s">
        <v>29</v>
      </c>
      <c r="E6804" s="21">
        <f t="shared" si="317"/>
        <v>180.24000000000001</v>
      </c>
      <c r="F6804" s="22">
        <v>0</v>
      </c>
      <c r="G6804" s="21">
        <f t="shared" si="318"/>
        <v>175.36000000000001</v>
      </c>
      <c r="H6804" s="22">
        <v>0</v>
      </c>
      <c r="I6804" s="23" t="str">
        <f t="shared" si="319"/>
        <v xml:space="preserve">COM VALOR</v>
      </c>
      <c r="J6804" s="19"/>
      <c r="L6804" s="21">
        <v>180.24000000000001</v>
      </c>
      <c r="M6804" s="22">
        <v>0</v>
      </c>
      <c r="N6804" s="21">
        <v>175.36000000000001</v>
      </c>
      <c r="O6804" s="22">
        <v>0</v>
      </c>
    </row>
    <row r="6805" ht="25.5">
      <c r="A6805" t="s">
        <v>6911</v>
      </c>
      <c r="B6805" s="19">
        <v>98449</v>
      </c>
      <c r="C6805" s="20" t="s">
        <v>6925</v>
      </c>
      <c r="D6805" s="19" t="s">
        <v>29</v>
      </c>
      <c r="E6805" s="21">
        <f t="shared" si="317"/>
        <v>124.79000000000001</v>
      </c>
      <c r="F6805" s="22">
        <v>0</v>
      </c>
      <c r="G6805" s="21">
        <f t="shared" si="318"/>
        <v>122.33</v>
      </c>
      <c r="H6805" s="22">
        <v>0</v>
      </c>
      <c r="I6805" s="23" t="str">
        <f t="shared" si="319"/>
        <v xml:space="preserve">COM VALOR</v>
      </c>
      <c r="J6805" s="19"/>
      <c r="L6805" s="21">
        <v>124.79000000000001</v>
      </c>
      <c r="M6805" s="22">
        <v>0</v>
      </c>
      <c r="N6805" s="21">
        <v>122.33</v>
      </c>
      <c r="O6805" s="22">
        <v>0</v>
      </c>
    </row>
    <row r="6806" ht="38.25">
      <c r="A6806" t="s">
        <v>6911</v>
      </c>
      <c r="B6806" s="19">
        <v>98455</v>
      </c>
      <c r="C6806" s="20" t="s">
        <v>6926</v>
      </c>
      <c r="D6806" s="19" t="s">
        <v>29</v>
      </c>
      <c r="E6806" s="21">
        <f t="shared" si="317"/>
        <v>117.16</v>
      </c>
      <c r="F6806" s="22">
        <v>0</v>
      </c>
      <c r="G6806" s="21">
        <f t="shared" si="318"/>
        <v>115.29000000000001</v>
      </c>
      <c r="H6806" s="22">
        <v>0</v>
      </c>
      <c r="I6806" s="23" t="str">
        <f t="shared" si="319"/>
        <v xml:space="preserve">COM VALOR</v>
      </c>
      <c r="J6806" s="19"/>
      <c r="L6806" s="21">
        <v>117.16</v>
      </c>
      <c r="M6806" s="22">
        <v>0</v>
      </c>
      <c r="N6806" s="21">
        <v>115.29000000000001</v>
      </c>
      <c r="O6806" s="22">
        <v>0</v>
      </c>
    </row>
    <row r="6807" ht="38.25">
      <c r="A6807" t="s">
        <v>6911</v>
      </c>
      <c r="B6807" s="19">
        <v>98456</v>
      </c>
      <c r="C6807" s="20" t="s">
        <v>6927</v>
      </c>
      <c r="D6807" s="19" t="s">
        <v>29</v>
      </c>
      <c r="E6807" s="21">
        <f t="shared" si="317"/>
        <v>147.72999999999999</v>
      </c>
      <c r="F6807" s="22">
        <v>0</v>
      </c>
      <c r="G6807" s="21">
        <f t="shared" si="318"/>
        <v>144.59</v>
      </c>
      <c r="H6807" s="22">
        <v>0</v>
      </c>
      <c r="I6807" s="23" t="str">
        <f t="shared" si="319"/>
        <v xml:space="preserve">COM VALOR</v>
      </c>
      <c r="J6807" s="19"/>
      <c r="L6807" s="21">
        <v>147.72999999999999</v>
      </c>
      <c r="M6807" s="22">
        <v>0</v>
      </c>
      <c r="N6807" s="21">
        <v>144.59</v>
      </c>
      <c r="O6807" s="22">
        <v>0</v>
      </c>
    </row>
    <row r="6808" ht="25.5">
      <c r="A6808" t="s">
        <v>6911</v>
      </c>
      <c r="B6808" s="19">
        <v>98451</v>
      </c>
      <c r="C6808" s="20" t="s">
        <v>6928</v>
      </c>
      <c r="D6808" s="19" t="s">
        <v>29</v>
      </c>
      <c r="E6808" s="21">
        <f t="shared" si="317"/>
        <v>102.04000000000001</v>
      </c>
      <c r="F6808" s="22">
        <v>0</v>
      </c>
      <c r="G6808" s="21">
        <f t="shared" si="318"/>
        <v>100.76000000000001</v>
      </c>
      <c r="H6808" s="22">
        <v>0</v>
      </c>
      <c r="I6808" s="23" t="str">
        <f t="shared" si="319"/>
        <v xml:space="preserve">COM VALOR</v>
      </c>
      <c r="J6808" s="19"/>
      <c r="L6808" s="21">
        <v>102.04000000000001</v>
      </c>
      <c r="M6808" s="22">
        <v>0</v>
      </c>
      <c r="N6808" s="21">
        <v>100.76000000000001</v>
      </c>
      <c r="O6808" s="22">
        <v>0</v>
      </c>
    </row>
    <row r="6809" ht="38.25">
      <c r="A6809" t="s">
        <v>6911</v>
      </c>
      <c r="B6809" s="19">
        <v>98445</v>
      </c>
      <c r="C6809" s="20" t="s">
        <v>6929</v>
      </c>
      <c r="D6809" s="19" t="s">
        <v>29</v>
      </c>
      <c r="E6809" s="21">
        <f t="shared" si="317"/>
        <v>103.48</v>
      </c>
      <c r="F6809" s="22">
        <v>0</v>
      </c>
      <c r="G6809" s="21">
        <f t="shared" si="318"/>
        <v>100.69</v>
      </c>
      <c r="H6809" s="22">
        <v>0</v>
      </c>
      <c r="I6809" s="23" t="str">
        <f t="shared" si="319"/>
        <v xml:space="preserve">COM VALOR</v>
      </c>
      <c r="J6809" s="19"/>
      <c r="L6809" s="21">
        <v>103.48</v>
      </c>
      <c r="M6809" s="22">
        <v>0</v>
      </c>
      <c r="N6809" s="21">
        <v>100.69</v>
      </c>
      <c r="O6809" s="22">
        <v>0</v>
      </c>
    </row>
    <row r="6810" ht="38.25">
      <c r="A6810" t="s">
        <v>6911</v>
      </c>
      <c r="B6810" s="19">
        <v>98446</v>
      </c>
      <c r="C6810" s="20" t="s">
        <v>6930</v>
      </c>
      <c r="D6810" s="19" t="s">
        <v>29</v>
      </c>
      <c r="E6810" s="21">
        <f t="shared" si="317"/>
        <v>132.05000000000001</v>
      </c>
      <c r="F6810" s="22">
        <v>0</v>
      </c>
      <c r="G6810" s="21">
        <f t="shared" si="318"/>
        <v>128.06999999999999</v>
      </c>
      <c r="H6810" s="22">
        <v>0</v>
      </c>
      <c r="I6810" s="23" t="str">
        <f t="shared" si="319"/>
        <v xml:space="preserve">COM VALOR</v>
      </c>
      <c r="J6810" s="19"/>
      <c r="L6810" s="21">
        <v>132.05000000000001</v>
      </c>
      <c r="M6810" s="22">
        <v>0</v>
      </c>
      <c r="N6810" s="21">
        <v>128.06999999999999</v>
      </c>
      <c r="O6810" s="22">
        <v>0</v>
      </c>
    </row>
    <row r="6811" ht="25.5">
      <c r="A6811" t="s">
        <v>6911</v>
      </c>
      <c r="B6811" s="19">
        <v>98441</v>
      </c>
      <c r="C6811" s="20" t="s">
        <v>6931</v>
      </c>
      <c r="D6811" s="19" t="s">
        <v>29</v>
      </c>
      <c r="E6811" s="21">
        <f t="shared" si="317"/>
        <v>88.209999999999994</v>
      </c>
      <c r="F6811" s="22">
        <v>0</v>
      </c>
      <c r="G6811" s="21">
        <f t="shared" si="318"/>
        <v>86.019999999999996</v>
      </c>
      <c r="H6811" s="22">
        <v>0</v>
      </c>
      <c r="I6811" s="23" t="str">
        <f t="shared" si="319"/>
        <v xml:space="preserve">COM VALOR</v>
      </c>
      <c r="J6811" s="19"/>
      <c r="L6811" s="21">
        <v>88.209999999999994</v>
      </c>
      <c r="M6811" s="22">
        <v>0</v>
      </c>
      <c r="N6811" s="21">
        <v>86.019999999999996</v>
      </c>
      <c r="O6811" s="22">
        <v>0</v>
      </c>
    </row>
    <row r="6812" ht="38.25">
      <c r="A6812" t="s">
        <v>6911</v>
      </c>
      <c r="B6812" s="19">
        <v>98447</v>
      </c>
      <c r="C6812" s="20" t="s">
        <v>6932</v>
      </c>
      <c r="D6812" s="19" t="s">
        <v>29</v>
      </c>
      <c r="E6812" s="21">
        <f t="shared" si="317"/>
        <v>80.129999999999995</v>
      </c>
      <c r="F6812" s="22">
        <v>0</v>
      </c>
      <c r="G6812" s="21">
        <f t="shared" si="318"/>
        <v>78.519999999999996</v>
      </c>
      <c r="H6812" s="22">
        <v>0</v>
      </c>
      <c r="I6812" s="23" t="str">
        <f t="shared" si="319"/>
        <v xml:space="preserve">COM VALOR</v>
      </c>
      <c r="J6812" s="19"/>
      <c r="L6812" s="21">
        <v>80.129999999999995</v>
      </c>
      <c r="M6812" s="22">
        <v>0</v>
      </c>
      <c r="N6812" s="21">
        <v>78.519999999999996</v>
      </c>
      <c r="O6812" s="22">
        <v>0</v>
      </c>
    </row>
    <row r="6813" ht="38.25">
      <c r="A6813" t="s">
        <v>6911</v>
      </c>
      <c r="B6813" s="19">
        <v>98448</v>
      </c>
      <c r="C6813" s="20" t="s">
        <v>6933</v>
      </c>
      <c r="D6813" s="19" t="s">
        <v>29</v>
      </c>
      <c r="E6813" s="21">
        <f t="shared" si="317"/>
        <v>102.67</v>
      </c>
      <c r="F6813" s="22">
        <v>0</v>
      </c>
      <c r="G6813" s="21">
        <f t="shared" si="318"/>
        <v>100.22</v>
      </c>
      <c r="H6813" s="22">
        <v>0</v>
      </c>
      <c r="I6813" s="23" t="str">
        <f t="shared" si="319"/>
        <v xml:space="preserve">COM VALOR</v>
      </c>
      <c r="J6813" s="19"/>
      <c r="L6813" s="21">
        <v>102.67</v>
      </c>
      <c r="M6813" s="22">
        <v>0</v>
      </c>
      <c r="N6813" s="21">
        <v>100.22</v>
      </c>
      <c r="O6813" s="22">
        <v>0</v>
      </c>
    </row>
    <row r="6814" ht="25.5">
      <c r="A6814" t="s">
        <v>6911</v>
      </c>
      <c r="B6814" s="19">
        <v>98443</v>
      </c>
      <c r="C6814" s="20" t="s">
        <v>6934</v>
      </c>
      <c r="D6814" s="19" t="s">
        <v>29</v>
      </c>
      <c r="E6814" s="21">
        <f t="shared" si="317"/>
        <v>68.230000000000004</v>
      </c>
      <c r="F6814" s="22">
        <v>0</v>
      </c>
      <c r="G6814" s="21">
        <f t="shared" si="318"/>
        <v>67.030000000000001</v>
      </c>
      <c r="H6814" s="22">
        <v>0</v>
      </c>
      <c r="I6814" s="23" t="str">
        <f t="shared" si="319"/>
        <v xml:space="preserve">COM VALOR</v>
      </c>
      <c r="J6814" s="19"/>
      <c r="L6814" s="21">
        <v>68.230000000000004</v>
      </c>
      <c r="M6814" s="22">
        <v>0</v>
      </c>
      <c r="N6814" s="21">
        <v>67.030000000000001</v>
      </c>
      <c r="O6814" s="22">
        <v>0</v>
      </c>
    </row>
    <row r="6815" ht="38.25">
      <c r="A6815" t="s">
        <v>6911</v>
      </c>
      <c r="B6815" s="19">
        <v>105122</v>
      </c>
      <c r="C6815" s="20" t="s">
        <v>6935</v>
      </c>
      <c r="D6815" s="19" t="s">
        <v>29</v>
      </c>
      <c r="E6815" s="21" t="str">
        <f t="shared" si="317"/>
        <v>VERIFICAR</v>
      </c>
      <c r="F6815" s="22">
        <v>0</v>
      </c>
      <c r="G6815" s="21" t="str">
        <f t="shared" si="318"/>
        <v>VERIFICAR</v>
      </c>
      <c r="H6815" s="22">
        <v>0</v>
      </c>
      <c r="I6815" s="23" t="str">
        <f t="shared" si="319"/>
        <v xml:space="preserve">COM VALOR</v>
      </c>
      <c r="J6815" s="19"/>
      <c r="L6815" s="21">
        <v>0</v>
      </c>
      <c r="M6815" s="22"/>
      <c r="N6815" s="21">
        <v>0</v>
      </c>
      <c r="O6815" s="22"/>
    </row>
    <row r="6816" ht="38.25">
      <c r="A6816" t="s">
        <v>6911</v>
      </c>
      <c r="B6816" s="19">
        <v>105125</v>
      </c>
      <c r="C6816" s="20" t="s">
        <v>6936</v>
      </c>
      <c r="D6816" s="19" t="s">
        <v>29</v>
      </c>
      <c r="E6816" s="21" t="str">
        <f t="shared" si="317"/>
        <v>VERIFICAR</v>
      </c>
      <c r="F6816" s="22">
        <v>0</v>
      </c>
      <c r="G6816" s="21" t="str">
        <f t="shared" si="318"/>
        <v>VERIFICAR</v>
      </c>
      <c r="H6816" s="22">
        <v>0</v>
      </c>
      <c r="I6816" s="23" t="str">
        <f t="shared" si="319"/>
        <v xml:space="preserve">COM VALOR</v>
      </c>
      <c r="J6816" s="19"/>
      <c r="L6816" s="21">
        <v>0</v>
      </c>
      <c r="M6816" s="22"/>
      <c r="N6816" s="21">
        <v>0</v>
      </c>
      <c r="O6816" s="22"/>
    </row>
    <row r="6817" ht="25.5">
      <c r="A6817" t="s">
        <v>6911</v>
      </c>
      <c r="B6817" s="19">
        <v>105133</v>
      </c>
      <c r="C6817" s="20" t="s">
        <v>6937</v>
      </c>
      <c r="D6817" s="19" t="s">
        <v>29</v>
      </c>
      <c r="E6817" s="21" t="str">
        <f t="shared" si="317"/>
        <v>VERIFICAR</v>
      </c>
      <c r="F6817" s="22">
        <v>0</v>
      </c>
      <c r="G6817" s="21" t="str">
        <f t="shared" si="318"/>
        <v>VERIFICAR</v>
      </c>
      <c r="H6817" s="22">
        <v>0</v>
      </c>
      <c r="I6817" s="23" t="str">
        <f t="shared" si="319"/>
        <v xml:space="preserve">COM VALOR</v>
      </c>
      <c r="J6817" s="19"/>
      <c r="L6817" s="21">
        <v>0</v>
      </c>
      <c r="M6817" s="22"/>
      <c r="N6817" s="21">
        <v>0</v>
      </c>
      <c r="O6817" s="22"/>
    </row>
    <row r="6818" ht="38.25">
      <c r="A6818" t="s">
        <v>6911</v>
      </c>
      <c r="B6818" s="19">
        <v>105123</v>
      </c>
      <c r="C6818" s="20" t="s">
        <v>6938</v>
      </c>
      <c r="D6818" s="19" t="s">
        <v>29</v>
      </c>
      <c r="E6818" s="21" t="str">
        <f t="shared" si="317"/>
        <v>VERIFICAR</v>
      </c>
      <c r="F6818" s="22">
        <v>0</v>
      </c>
      <c r="G6818" s="21" t="str">
        <f t="shared" si="318"/>
        <v>VERIFICAR</v>
      </c>
      <c r="H6818" s="22">
        <v>0</v>
      </c>
      <c r="I6818" s="23" t="str">
        <f t="shared" si="319"/>
        <v xml:space="preserve">COM VALOR</v>
      </c>
      <c r="J6818" s="19"/>
      <c r="L6818" s="21">
        <v>0</v>
      </c>
      <c r="M6818" s="22"/>
      <c r="N6818" s="21">
        <v>0</v>
      </c>
      <c r="O6818" s="22"/>
    </row>
    <row r="6819" ht="38.25">
      <c r="A6819" t="s">
        <v>6911</v>
      </c>
      <c r="B6819" s="19">
        <v>105124</v>
      </c>
      <c r="C6819" s="20" t="s">
        <v>6939</v>
      </c>
      <c r="D6819" s="19" t="s">
        <v>29</v>
      </c>
      <c r="E6819" s="21" t="str">
        <f t="shared" si="317"/>
        <v>VERIFICAR</v>
      </c>
      <c r="F6819" s="22">
        <v>0</v>
      </c>
      <c r="G6819" s="21" t="str">
        <f t="shared" si="318"/>
        <v>VERIFICAR</v>
      </c>
      <c r="H6819" s="22">
        <v>0</v>
      </c>
      <c r="I6819" s="23" t="str">
        <f t="shared" si="319"/>
        <v xml:space="preserve">COM VALOR</v>
      </c>
      <c r="J6819" s="19"/>
      <c r="L6819" s="21">
        <v>0</v>
      </c>
      <c r="M6819" s="22"/>
      <c r="N6819" s="21">
        <v>0</v>
      </c>
      <c r="O6819" s="22"/>
    </row>
    <row r="6820" ht="25.5">
      <c r="A6820" t="s">
        <v>6911</v>
      </c>
      <c r="B6820" s="19">
        <v>105134</v>
      </c>
      <c r="C6820" s="20" t="s">
        <v>6940</v>
      </c>
      <c r="D6820" s="19" t="s">
        <v>29</v>
      </c>
      <c r="E6820" s="21" t="str">
        <f t="shared" si="317"/>
        <v>VERIFICAR</v>
      </c>
      <c r="F6820" s="22">
        <v>0</v>
      </c>
      <c r="G6820" s="21" t="str">
        <f t="shared" si="318"/>
        <v>VERIFICAR</v>
      </c>
      <c r="H6820" s="22">
        <v>0</v>
      </c>
      <c r="I6820" s="23" t="str">
        <f t="shared" si="319"/>
        <v xml:space="preserve">COM VALOR</v>
      </c>
      <c r="J6820" s="19"/>
      <c r="L6820" s="21">
        <v>0</v>
      </c>
      <c r="M6820" s="22"/>
      <c r="N6820" s="21">
        <v>0</v>
      </c>
      <c r="O6820" s="22"/>
    </row>
    <row r="6821" ht="38.25">
      <c r="A6821" t="s">
        <v>6911</v>
      </c>
      <c r="B6821" s="19">
        <v>105117</v>
      </c>
      <c r="C6821" s="20" t="s">
        <v>6941</v>
      </c>
      <c r="D6821" s="19" t="s">
        <v>29</v>
      </c>
      <c r="E6821" s="21" t="str">
        <f t="shared" si="317"/>
        <v>VERIFICAR</v>
      </c>
      <c r="F6821" s="22">
        <v>0</v>
      </c>
      <c r="G6821" s="21" t="str">
        <f t="shared" si="318"/>
        <v>VERIFICAR</v>
      </c>
      <c r="H6821" s="22">
        <v>0</v>
      </c>
      <c r="I6821" s="23" t="str">
        <f t="shared" si="319"/>
        <v xml:space="preserve">COM VALOR</v>
      </c>
      <c r="J6821" s="19"/>
      <c r="L6821" s="21">
        <v>0</v>
      </c>
      <c r="M6821" s="22"/>
      <c r="N6821" s="21">
        <v>0</v>
      </c>
      <c r="O6821" s="22"/>
    </row>
    <row r="6822" ht="38.25">
      <c r="A6822" t="s">
        <v>6911</v>
      </c>
      <c r="B6822" s="19">
        <v>105119</v>
      </c>
      <c r="C6822" s="20" t="s">
        <v>6942</v>
      </c>
      <c r="D6822" s="19" t="s">
        <v>29</v>
      </c>
      <c r="E6822" s="21" t="str">
        <f t="shared" si="317"/>
        <v>VERIFICAR</v>
      </c>
      <c r="F6822" s="22">
        <v>0</v>
      </c>
      <c r="G6822" s="21" t="str">
        <f t="shared" si="318"/>
        <v>VERIFICAR</v>
      </c>
      <c r="H6822" s="22">
        <v>0</v>
      </c>
      <c r="I6822" s="23" t="str">
        <f t="shared" si="319"/>
        <v xml:space="preserve">COM VALOR</v>
      </c>
      <c r="J6822" s="19"/>
      <c r="L6822" s="21">
        <v>0</v>
      </c>
      <c r="M6822" s="22"/>
      <c r="N6822" s="21">
        <v>0</v>
      </c>
      <c r="O6822" s="22"/>
    </row>
    <row r="6823" ht="25.5">
      <c r="A6823" t="s">
        <v>6911</v>
      </c>
      <c r="B6823" s="19">
        <v>105131</v>
      </c>
      <c r="C6823" s="20" t="s">
        <v>6943</v>
      </c>
      <c r="D6823" s="19" t="s">
        <v>29</v>
      </c>
      <c r="E6823" s="21" t="str">
        <f t="shared" si="317"/>
        <v>VERIFICAR</v>
      </c>
      <c r="F6823" s="22">
        <v>0</v>
      </c>
      <c r="G6823" s="21" t="str">
        <f t="shared" si="318"/>
        <v>VERIFICAR</v>
      </c>
      <c r="H6823" s="22">
        <v>0</v>
      </c>
      <c r="I6823" s="23" t="str">
        <f t="shared" si="319"/>
        <v xml:space="preserve">COM VALOR</v>
      </c>
      <c r="J6823" s="19"/>
      <c r="L6823" s="21">
        <v>0</v>
      </c>
      <c r="M6823" s="22"/>
      <c r="N6823" s="21">
        <v>0</v>
      </c>
      <c r="O6823" s="22"/>
    </row>
    <row r="6824" ht="38.25">
      <c r="A6824" t="s">
        <v>6911</v>
      </c>
      <c r="B6824" s="19">
        <v>105120</v>
      </c>
      <c r="C6824" s="20" t="s">
        <v>6944</v>
      </c>
      <c r="D6824" s="19" t="s">
        <v>29</v>
      </c>
      <c r="E6824" s="21" t="str">
        <f t="shared" si="317"/>
        <v>VERIFICAR</v>
      </c>
      <c r="F6824" s="22">
        <v>0</v>
      </c>
      <c r="G6824" s="21" t="str">
        <f t="shared" si="318"/>
        <v>VERIFICAR</v>
      </c>
      <c r="H6824" s="22">
        <v>0</v>
      </c>
      <c r="I6824" s="23" t="str">
        <f t="shared" si="319"/>
        <v xml:space="preserve">COM VALOR</v>
      </c>
      <c r="J6824" s="19"/>
      <c r="L6824" s="21">
        <v>0</v>
      </c>
      <c r="M6824" s="22"/>
      <c r="N6824" s="21">
        <v>0</v>
      </c>
      <c r="O6824" s="22"/>
    </row>
    <row r="6825" ht="38.25">
      <c r="A6825" t="s">
        <v>6911</v>
      </c>
      <c r="B6825" s="19">
        <v>105121</v>
      </c>
      <c r="C6825" s="20" t="s">
        <v>6945</v>
      </c>
      <c r="D6825" s="19" t="s">
        <v>29</v>
      </c>
      <c r="E6825" s="21" t="str">
        <f t="shared" si="317"/>
        <v>VERIFICAR</v>
      </c>
      <c r="F6825" s="22">
        <v>0</v>
      </c>
      <c r="G6825" s="21" t="str">
        <f t="shared" si="318"/>
        <v>VERIFICAR</v>
      </c>
      <c r="H6825" s="22">
        <v>0</v>
      </c>
      <c r="I6825" s="23" t="str">
        <f t="shared" si="319"/>
        <v xml:space="preserve">COM VALOR</v>
      </c>
      <c r="J6825" s="19"/>
      <c r="L6825" s="21">
        <v>0</v>
      </c>
      <c r="M6825" s="22"/>
      <c r="N6825" s="21">
        <v>0</v>
      </c>
      <c r="O6825" s="22"/>
    </row>
    <row r="6826" ht="25.5">
      <c r="A6826" t="s">
        <v>6911</v>
      </c>
      <c r="B6826" s="19">
        <v>105132</v>
      </c>
      <c r="C6826" s="20" t="s">
        <v>6946</v>
      </c>
      <c r="D6826" s="19" t="s">
        <v>29</v>
      </c>
      <c r="E6826" s="21" t="str">
        <f t="shared" si="317"/>
        <v>VERIFICAR</v>
      </c>
      <c r="F6826" s="22">
        <v>0</v>
      </c>
      <c r="G6826" s="21" t="str">
        <f t="shared" si="318"/>
        <v>VERIFICAR</v>
      </c>
      <c r="H6826" s="22">
        <v>0</v>
      </c>
      <c r="I6826" s="23" t="str">
        <f t="shared" si="319"/>
        <v xml:space="preserve">COM VALOR</v>
      </c>
      <c r="J6826" s="19"/>
      <c r="L6826" s="21">
        <v>0</v>
      </c>
      <c r="M6826" s="22"/>
      <c r="N6826" s="21">
        <v>0</v>
      </c>
      <c r="O6826" s="22"/>
    </row>
    <row r="6827" ht="25.5">
      <c r="A6827" t="s">
        <v>6911</v>
      </c>
      <c r="B6827" s="19">
        <v>98460</v>
      </c>
      <c r="C6827" s="20" t="s">
        <v>6947</v>
      </c>
      <c r="D6827" s="19" t="s">
        <v>29</v>
      </c>
      <c r="E6827" s="21">
        <f t="shared" si="317"/>
        <v>59.75</v>
      </c>
      <c r="F6827" s="22">
        <v>0</v>
      </c>
      <c r="G6827" s="21">
        <f t="shared" si="318"/>
        <v>58.350000000000001</v>
      </c>
      <c r="H6827" s="22">
        <v>0</v>
      </c>
      <c r="I6827" s="23" t="str">
        <f t="shared" si="319"/>
        <v xml:space="preserve">COM VALOR</v>
      </c>
      <c r="J6827" s="19"/>
      <c r="L6827" s="21">
        <v>59.75</v>
      </c>
      <c r="M6827" s="22">
        <v>0</v>
      </c>
      <c r="N6827" s="21">
        <v>58.350000000000001</v>
      </c>
      <c r="O6827" s="22">
        <v>0</v>
      </c>
    </row>
    <row r="6828" ht="12.75">
      <c r="A6828" t="s">
        <v>6911</v>
      </c>
      <c r="B6828" s="19">
        <v>98457</v>
      </c>
      <c r="C6828" s="20" t="s">
        <v>6948</v>
      </c>
      <c r="D6828" s="19" t="s">
        <v>29</v>
      </c>
      <c r="E6828" s="21" t="str">
        <f t="shared" si="317"/>
        <v>VERIFICAR</v>
      </c>
      <c r="F6828" s="22">
        <v>0</v>
      </c>
      <c r="G6828" s="21" t="str">
        <f t="shared" si="318"/>
        <v>VERIFICAR</v>
      </c>
      <c r="H6828" s="22">
        <v>0</v>
      </c>
      <c r="I6828" s="23" t="str">
        <f t="shared" si="319"/>
        <v xml:space="preserve">COM VALOR</v>
      </c>
      <c r="J6828" s="19"/>
      <c r="L6828" s="21">
        <v>0</v>
      </c>
      <c r="M6828" s="22"/>
      <c r="N6828" s="21">
        <v>0</v>
      </c>
      <c r="O6828" s="22"/>
    </row>
    <row r="6829" ht="12.75">
      <c r="A6829" t="s">
        <v>6911</v>
      </c>
      <c r="B6829" s="19">
        <v>98458</v>
      </c>
      <c r="C6829" s="20" t="s">
        <v>6949</v>
      </c>
      <c r="D6829" s="19" t="s">
        <v>29</v>
      </c>
      <c r="E6829" s="21">
        <f t="shared" si="317"/>
        <v>88.260000000000005</v>
      </c>
      <c r="F6829" s="22">
        <v>0</v>
      </c>
      <c r="G6829" s="21">
        <f t="shared" si="318"/>
        <v>86.209999999999994</v>
      </c>
      <c r="H6829" s="22">
        <v>0</v>
      </c>
      <c r="I6829" s="23" t="str">
        <f t="shared" si="319"/>
        <v xml:space="preserve">COM VALOR</v>
      </c>
      <c r="J6829" s="19"/>
      <c r="L6829" s="21">
        <v>88.260000000000005</v>
      </c>
      <c r="M6829" s="22">
        <v>0</v>
      </c>
      <c r="N6829" s="21">
        <v>86.209999999999994</v>
      </c>
      <c r="O6829" s="22">
        <v>0</v>
      </c>
    </row>
    <row r="6830" ht="12.75">
      <c r="A6830" t="s">
        <v>6911</v>
      </c>
      <c r="B6830" s="19">
        <v>98459</v>
      </c>
      <c r="C6830" s="20" t="s">
        <v>6950</v>
      </c>
      <c r="D6830" s="19" t="s">
        <v>29</v>
      </c>
      <c r="E6830" s="21">
        <f t="shared" si="317"/>
        <v>85.760000000000005</v>
      </c>
      <c r="F6830" s="22">
        <v>0</v>
      </c>
      <c r="G6830" s="21">
        <f t="shared" si="318"/>
        <v>83.849999999999994</v>
      </c>
      <c r="H6830" s="22">
        <v>0</v>
      </c>
      <c r="I6830" s="23" t="str">
        <f t="shared" si="319"/>
        <v xml:space="preserve">COM VALOR</v>
      </c>
      <c r="J6830" s="19"/>
      <c r="L6830" s="21">
        <v>85.760000000000005</v>
      </c>
      <c r="M6830" s="22">
        <v>0.35999999999999999</v>
      </c>
      <c r="N6830" s="21">
        <v>83.849999999999994</v>
      </c>
      <c r="O6830" s="22">
        <v>0.37</v>
      </c>
    </row>
    <row r="6831" ht="12.75">
      <c r="A6831" t="s">
        <v>6911</v>
      </c>
      <c r="B6831" s="19">
        <v>105118</v>
      </c>
      <c r="C6831" s="20" t="s">
        <v>6951</v>
      </c>
      <c r="D6831" s="19" t="s">
        <v>29</v>
      </c>
      <c r="E6831" s="21" t="str">
        <f t="shared" si="317"/>
        <v>VERIFICAR</v>
      </c>
      <c r="F6831" s="22">
        <v>0</v>
      </c>
      <c r="G6831" s="21" t="str">
        <f t="shared" si="318"/>
        <v>VERIFICAR</v>
      </c>
      <c r="H6831" s="22">
        <v>0</v>
      </c>
      <c r="I6831" s="23" t="str">
        <f t="shared" si="319"/>
        <v xml:space="preserve">COM VALOR</v>
      </c>
      <c r="J6831" s="19"/>
      <c r="L6831" s="21">
        <v>0</v>
      </c>
      <c r="M6831" s="22"/>
      <c r="N6831" s="21">
        <v>0</v>
      </c>
      <c r="O6831" s="22"/>
    </row>
    <row r="6832" ht="51">
      <c r="A6832" t="s">
        <v>6952</v>
      </c>
      <c r="B6832" s="19">
        <v>106056</v>
      </c>
      <c r="C6832" s="20" t="s">
        <v>6953</v>
      </c>
      <c r="D6832" s="19" t="s">
        <v>29</v>
      </c>
      <c r="E6832" s="21">
        <f t="shared" si="317"/>
        <v>183.05000000000001</v>
      </c>
      <c r="F6832" s="22">
        <v>0</v>
      </c>
      <c r="G6832" s="21">
        <f t="shared" si="318"/>
        <v>181.63999999999999</v>
      </c>
      <c r="H6832" s="22">
        <v>0</v>
      </c>
      <c r="I6832" s="23" t="str">
        <f t="shared" si="319"/>
        <v xml:space="preserve">COM VALOR</v>
      </c>
      <c r="J6832" s="19"/>
      <c r="L6832" s="21">
        <v>183.05000000000001</v>
      </c>
      <c r="M6832" s="22">
        <v>0</v>
      </c>
      <c r="N6832" s="21">
        <v>181.63999999999999</v>
      </c>
      <c r="O6832" s="22">
        <v>0</v>
      </c>
    </row>
    <row r="6833" ht="51">
      <c r="A6833" t="s">
        <v>6952</v>
      </c>
      <c r="B6833" s="19">
        <v>106057</v>
      </c>
      <c r="C6833" s="20" t="s">
        <v>6954</v>
      </c>
      <c r="D6833" s="19" t="s">
        <v>29</v>
      </c>
      <c r="E6833" s="21">
        <f t="shared" si="317"/>
        <v>191.61000000000001</v>
      </c>
      <c r="F6833" s="22">
        <v>0</v>
      </c>
      <c r="G6833" s="21">
        <f t="shared" si="318"/>
        <v>190.31</v>
      </c>
      <c r="H6833" s="22">
        <v>0</v>
      </c>
      <c r="I6833" s="23" t="str">
        <f t="shared" si="319"/>
        <v xml:space="preserve">COM VALOR</v>
      </c>
      <c r="J6833" s="19"/>
      <c r="L6833" s="21">
        <v>191.61000000000001</v>
      </c>
      <c r="M6833" s="22">
        <v>0</v>
      </c>
      <c r="N6833" s="21">
        <v>190.31</v>
      </c>
      <c r="O6833" s="22">
        <v>0</v>
      </c>
    </row>
    <row r="6834" ht="51">
      <c r="A6834" t="s">
        <v>6952</v>
      </c>
      <c r="B6834" s="19">
        <v>104690</v>
      </c>
      <c r="C6834" s="20" t="s">
        <v>6955</v>
      </c>
      <c r="D6834" s="19" t="s">
        <v>29</v>
      </c>
      <c r="E6834" s="21">
        <f t="shared" si="317"/>
        <v>196.72</v>
      </c>
      <c r="F6834" s="22">
        <v>0</v>
      </c>
      <c r="G6834" s="21">
        <f t="shared" si="318"/>
        <v>195.50999999999999</v>
      </c>
      <c r="H6834" s="22">
        <v>0</v>
      </c>
      <c r="I6834" s="23" t="str">
        <f t="shared" si="319"/>
        <v xml:space="preserve">COM VALOR</v>
      </c>
      <c r="J6834" s="19"/>
      <c r="L6834" s="21">
        <v>196.72</v>
      </c>
      <c r="M6834" s="22">
        <v>0</v>
      </c>
      <c r="N6834" s="21">
        <v>195.50999999999999</v>
      </c>
      <c r="O6834" s="22">
        <v>0</v>
      </c>
    </row>
    <row r="6835" ht="51">
      <c r="A6835" t="s">
        <v>6952</v>
      </c>
      <c r="B6835" s="19">
        <v>101958</v>
      </c>
      <c r="C6835" s="20" t="s">
        <v>6956</v>
      </c>
      <c r="D6835" s="19" t="s">
        <v>29</v>
      </c>
      <c r="E6835" s="21">
        <f t="shared" si="317"/>
        <v>235.78</v>
      </c>
      <c r="F6835" s="22">
        <v>0</v>
      </c>
      <c r="G6835" s="21">
        <f t="shared" si="318"/>
        <v>234.41999999999999</v>
      </c>
      <c r="H6835" s="22">
        <v>0</v>
      </c>
      <c r="I6835" s="23" t="str">
        <f t="shared" si="319"/>
        <v xml:space="preserve">COM VALOR</v>
      </c>
      <c r="J6835" s="19"/>
      <c r="L6835" s="21">
        <v>235.78</v>
      </c>
      <c r="M6835" s="22">
        <v>0</v>
      </c>
      <c r="N6835" s="21">
        <v>234.41999999999999</v>
      </c>
      <c r="O6835" s="22">
        <v>0</v>
      </c>
    </row>
    <row r="6836" ht="51">
      <c r="A6836" t="s">
        <v>6952</v>
      </c>
      <c r="B6836" s="19">
        <v>106065</v>
      </c>
      <c r="C6836" s="20" t="s">
        <v>6957</v>
      </c>
      <c r="D6836" s="19" t="s">
        <v>29</v>
      </c>
      <c r="E6836" s="21">
        <f t="shared" si="317"/>
        <v>254.06999999999999</v>
      </c>
      <c r="F6836" s="22">
        <v>0</v>
      </c>
      <c r="G6836" s="21">
        <f t="shared" si="318"/>
        <v>252.66999999999999</v>
      </c>
      <c r="H6836" s="22">
        <v>0</v>
      </c>
      <c r="I6836" s="23" t="str">
        <f t="shared" si="319"/>
        <v xml:space="preserve">COM VALOR</v>
      </c>
      <c r="J6836" s="19"/>
      <c r="L6836" s="21">
        <v>254.06999999999999</v>
      </c>
      <c r="M6836" s="22">
        <v>0</v>
      </c>
      <c r="N6836" s="21">
        <v>252.66999999999999</v>
      </c>
      <c r="O6836" s="22">
        <v>0</v>
      </c>
    </row>
    <row r="6837" ht="51">
      <c r="A6837" t="s">
        <v>6952</v>
      </c>
      <c r="B6837" s="19">
        <v>101959</v>
      </c>
      <c r="C6837" s="20" t="s">
        <v>6958</v>
      </c>
      <c r="D6837" s="19" t="s">
        <v>29</v>
      </c>
      <c r="E6837" s="21">
        <f t="shared" si="317"/>
        <v>167.50999999999999</v>
      </c>
      <c r="F6837" s="22">
        <v>0</v>
      </c>
      <c r="G6837" s="21">
        <f t="shared" si="318"/>
        <v>166.24000000000001</v>
      </c>
      <c r="H6837" s="22">
        <v>0</v>
      </c>
      <c r="I6837" s="23" t="str">
        <f t="shared" si="319"/>
        <v xml:space="preserve">COM VALOR</v>
      </c>
      <c r="J6837" s="19"/>
      <c r="L6837" s="21">
        <v>167.50999999999999</v>
      </c>
      <c r="M6837" s="22">
        <v>0</v>
      </c>
      <c r="N6837" s="21">
        <v>166.24000000000001</v>
      </c>
      <c r="O6837" s="22">
        <v>0</v>
      </c>
    </row>
    <row r="6838" ht="51">
      <c r="A6838" t="s">
        <v>6952</v>
      </c>
      <c r="B6838" s="19">
        <v>101960</v>
      </c>
      <c r="C6838" s="20" t="s">
        <v>6959</v>
      </c>
      <c r="D6838" s="19" t="s">
        <v>29</v>
      </c>
      <c r="E6838" s="21">
        <f t="shared" si="317"/>
        <v>182.63</v>
      </c>
      <c r="F6838" s="22">
        <v>0</v>
      </c>
      <c r="G6838" s="21">
        <f t="shared" si="318"/>
        <v>181.47999999999999</v>
      </c>
      <c r="H6838" s="22">
        <v>0</v>
      </c>
      <c r="I6838" s="23" t="str">
        <f t="shared" si="319"/>
        <v xml:space="preserve">COM VALOR</v>
      </c>
      <c r="J6838" s="19"/>
      <c r="L6838" s="21">
        <v>182.63</v>
      </c>
      <c r="M6838" s="22">
        <v>0</v>
      </c>
      <c r="N6838" s="21">
        <v>181.47999999999999</v>
      </c>
      <c r="O6838" s="22">
        <v>0</v>
      </c>
    </row>
    <row r="6839" ht="51">
      <c r="A6839" t="s">
        <v>6952</v>
      </c>
      <c r="B6839" s="19">
        <v>106058</v>
      </c>
      <c r="C6839" s="20" t="s">
        <v>6960</v>
      </c>
      <c r="D6839" s="19" t="s">
        <v>29</v>
      </c>
      <c r="E6839" s="21">
        <f t="shared" si="317"/>
        <v>192.97999999999999</v>
      </c>
      <c r="F6839" s="22">
        <v>0</v>
      </c>
      <c r="G6839" s="21">
        <f t="shared" si="318"/>
        <v>191.91999999999999</v>
      </c>
      <c r="H6839" s="22">
        <v>0</v>
      </c>
      <c r="I6839" s="23" t="str">
        <f t="shared" si="319"/>
        <v xml:space="preserve">COM VALOR</v>
      </c>
      <c r="J6839" s="19"/>
      <c r="L6839" s="21">
        <v>192.97999999999999</v>
      </c>
      <c r="M6839" s="22">
        <v>0</v>
      </c>
      <c r="N6839" s="21">
        <v>191.91999999999999</v>
      </c>
      <c r="O6839" s="22">
        <v>0</v>
      </c>
    </row>
    <row r="6840" ht="51">
      <c r="A6840" t="s">
        <v>6952</v>
      </c>
      <c r="B6840" s="19">
        <v>101962</v>
      </c>
      <c r="C6840" s="20" t="s">
        <v>6961</v>
      </c>
      <c r="D6840" s="19" t="s">
        <v>29</v>
      </c>
      <c r="E6840" s="21">
        <f t="shared" si="317"/>
        <v>221.78999999999999</v>
      </c>
      <c r="F6840" s="22">
        <v>0</v>
      </c>
      <c r="G6840" s="21">
        <f t="shared" si="318"/>
        <v>220.59</v>
      </c>
      <c r="H6840" s="22">
        <v>0</v>
      </c>
      <c r="I6840" s="23" t="str">
        <f t="shared" si="319"/>
        <v xml:space="preserve">COM VALOR</v>
      </c>
      <c r="J6840" s="19"/>
      <c r="L6840" s="21">
        <v>221.78999999999999</v>
      </c>
      <c r="M6840" s="22">
        <v>0</v>
      </c>
      <c r="N6840" s="21">
        <v>220.59</v>
      </c>
      <c r="O6840" s="22">
        <v>0</v>
      </c>
    </row>
    <row r="6841" ht="51">
      <c r="A6841" t="s">
        <v>6952</v>
      </c>
      <c r="B6841" s="19">
        <v>106066</v>
      </c>
      <c r="C6841" s="20" t="s">
        <v>6962</v>
      </c>
      <c r="D6841" s="19" t="s">
        <v>29</v>
      </c>
      <c r="E6841" s="21">
        <f t="shared" si="317"/>
        <v>241.41999999999999</v>
      </c>
      <c r="F6841" s="22">
        <v>0</v>
      </c>
      <c r="G6841" s="21">
        <f t="shared" si="318"/>
        <v>240.19</v>
      </c>
      <c r="H6841" s="22">
        <v>0</v>
      </c>
      <c r="I6841" s="23" t="str">
        <f t="shared" si="319"/>
        <v xml:space="preserve">COM VALOR</v>
      </c>
      <c r="J6841" s="19"/>
      <c r="L6841" s="21">
        <v>241.41999999999999</v>
      </c>
      <c r="M6841" s="22">
        <v>0</v>
      </c>
      <c r="N6841" s="21">
        <v>240.19</v>
      </c>
      <c r="O6841" s="22">
        <v>0</v>
      </c>
    </row>
    <row r="6842" ht="51">
      <c r="A6842" t="s">
        <v>6952</v>
      </c>
      <c r="B6842" s="19">
        <v>106048</v>
      </c>
      <c r="C6842" s="20" t="s">
        <v>6963</v>
      </c>
      <c r="D6842" s="19" t="s">
        <v>29</v>
      </c>
      <c r="E6842" s="21">
        <f t="shared" si="317"/>
        <v>154.06999999999999</v>
      </c>
      <c r="F6842" s="22">
        <v>0</v>
      </c>
      <c r="G6842" s="21">
        <f t="shared" si="318"/>
        <v>152.75999999999999</v>
      </c>
      <c r="H6842" s="22">
        <v>0</v>
      </c>
      <c r="I6842" s="23" t="str">
        <f t="shared" si="319"/>
        <v xml:space="preserve">COM VALOR</v>
      </c>
      <c r="J6842" s="19"/>
      <c r="L6842" s="21">
        <v>154.06999999999999</v>
      </c>
      <c r="M6842" s="22">
        <v>0</v>
      </c>
      <c r="N6842" s="21">
        <v>152.75999999999999</v>
      </c>
      <c r="O6842" s="22">
        <v>0</v>
      </c>
    </row>
    <row r="6843" ht="51">
      <c r="A6843" t="s">
        <v>6952</v>
      </c>
      <c r="B6843" s="19">
        <v>106049</v>
      </c>
      <c r="C6843" s="20" t="s">
        <v>6964</v>
      </c>
      <c r="D6843" s="19" t="s">
        <v>29</v>
      </c>
      <c r="E6843" s="21">
        <f t="shared" si="317"/>
        <v>162.63</v>
      </c>
      <c r="F6843" s="22">
        <v>0</v>
      </c>
      <c r="G6843" s="21">
        <f t="shared" si="318"/>
        <v>161.43000000000001</v>
      </c>
      <c r="H6843" s="22">
        <v>0</v>
      </c>
      <c r="I6843" s="23" t="str">
        <f t="shared" si="319"/>
        <v xml:space="preserve">COM VALOR</v>
      </c>
      <c r="J6843" s="19"/>
      <c r="L6843" s="21">
        <v>162.63</v>
      </c>
      <c r="M6843" s="22">
        <v>0</v>
      </c>
      <c r="N6843" s="21">
        <v>161.43000000000001</v>
      </c>
      <c r="O6843" s="22">
        <v>0</v>
      </c>
    </row>
    <row r="6844" ht="51">
      <c r="A6844" t="s">
        <v>6952</v>
      </c>
      <c r="B6844" s="19">
        <v>106050</v>
      </c>
      <c r="C6844" s="20" t="s">
        <v>6965</v>
      </c>
      <c r="D6844" s="19" t="s">
        <v>29</v>
      </c>
      <c r="E6844" s="21">
        <f t="shared" si="317"/>
        <v>174.55000000000001</v>
      </c>
      <c r="F6844" s="22">
        <v>0</v>
      </c>
      <c r="G6844" s="21">
        <f t="shared" si="318"/>
        <v>173.31</v>
      </c>
      <c r="H6844" s="22">
        <v>0</v>
      </c>
      <c r="I6844" s="23" t="str">
        <f t="shared" si="319"/>
        <v xml:space="preserve">COM VALOR</v>
      </c>
      <c r="J6844" s="19"/>
      <c r="L6844" s="21">
        <v>174.55000000000001</v>
      </c>
      <c r="M6844" s="22">
        <v>0</v>
      </c>
      <c r="N6844" s="21">
        <v>173.31</v>
      </c>
      <c r="O6844" s="22">
        <v>0</v>
      </c>
    </row>
    <row r="6845" ht="51">
      <c r="A6845" t="s">
        <v>6952</v>
      </c>
      <c r="B6845" s="19">
        <v>106051</v>
      </c>
      <c r="C6845" s="20" t="s">
        <v>6966</v>
      </c>
      <c r="D6845" s="19" t="s">
        <v>29</v>
      </c>
      <c r="E6845" s="21">
        <f t="shared" si="317"/>
        <v>213.61000000000001</v>
      </c>
      <c r="F6845" s="22">
        <v>0</v>
      </c>
      <c r="G6845" s="21">
        <f t="shared" si="318"/>
        <v>212.22</v>
      </c>
      <c r="H6845" s="22">
        <v>0</v>
      </c>
      <c r="I6845" s="23" t="str">
        <f t="shared" si="319"/>
        <v xml:space="preserve">COM VALOR</v>
      </c>
      <c r="J6845" s="19"/>
      <c r="L6845" s="21">
        <v>213.61000000000001</v>
      </c>
      <c r="M6845" s="22">
        <v>0</v>
      </c>
      <c r="N6845" s="21">
        <v>212.22</v>
      </c>
      <c r="O6845" s="22">
        <v>0</v>
      </c>
    </row>
    <row r="6846" ht="51">
      <c r="A6846" t="s">
        <v>6952</v>
      </c>
      <c r="B6846" s="19">
        <v>106063</v>
      </c>
      <c r="C6846" s="20" t="s">
        <v>6967</v>
      </c>
      <c r="D6846" s="19" t="s">
        <v>29</v>
      </c>
      <c r="E6846" s="21">
        <f t="shared" si="317"/>
        <v>231.90000000000001</v>
      </c>
      <c r="F6846" s="22">
        <v>0</v>
      </c>
      <c r="G6846" s="21">
        <f t="shared" si="318"/>
        <v>230.47</v>
      </c>
      <c r="H6846" s="22">
        <v>0</v>
      </c>
      <c r="I6846" s="23" t="str">
        <f t="shared" si="319"/>
        <v xml:space="preserve">COM VALOR</v>
      </c>
      <c r="J6846" s="19"/>
      <c r="L6846" s="21">
        <v>231.90000000000001</v>
      </c>
      <c r="M6846" s="22">
        <v>0</v>
      </c>
      <c r="N6846" s="21">
        <v>230.47</v>
      </c>
      <c r="O6846" s="22">
        <v>0</v>
      </c>
    </row>
    <row r="6847" ht="51">
      <c r="A6847" t="s">
        <v>6952</v>
      </c>
      <c r="B6847" s="19">
        <v>106052</v>
      </c>
      <c r="C6847" s="20" t="s">
        <v>6968</v>
      </c>
      <c r="D6847" s="19" t="s">
        <v>29</v>
      </c>
      <c r="E6847" s="21">
        <f t="shared" si="317"/>
        <v>136.68000000000001</v>
      </c>
      <c r="F6847" s="22">
        <v>0</v>
      </c>
      <c r="G6847" s="21">
        <f t="shared" si="318"/>
        <v>135.62</v>
      </c>
      <c r="H6847" s="22">
        <v>0</v>
      </c>
      <c r="I6847" s="23" t="str">
        <f t="shared" si="319"/>
        <v xml:space="preserve">COM VALOR</v>
      </c>
      <c r="J6847" s="19"/>
      <c r="L6847" s="21">
        <v>136.68000000000001</v>
      </c>
      <c r="M6847" s="22">
        <v>1.e-002</v>
      </c>
      <c r="N6847" s="21">
        <v>135.62</v>
      </c>
      <c r="O6847" s="22">
        <v>1.e-002</v>
      </c>
    </row>
    <row r="6848" ht="51">
      <c r="A6848" t="s">
        <v>6952</v>
      </c>
      <c r="B6848" s="19">
        <v>106053</v>
      </c>
      <c r="C6848" s="20" t="s">
        <v>6969</v>
      </c>
      <c r="D6848" s="19" t="s">
        <v>29</v>
      </c>
      <c r="E6848" s="21">
        <f t="shared" si="317"/>
        <v>151.80000000000001</v>
      </c>
      <c r="F6848" s="22">
        <v>0</v>
      </c>
      <c r="G6848" s="21">
        <f t="shared" si="318"/>
        <v>150.86000000000001</v>
      </c>
      <c r="H6848" s="22">
        <v>0</v>
      </c>
      <c r="I6848" s="23" t="str">
        <f t="shared" si="319"/>
        <v xml:space="preserve">COM VALOR</v>
      </c>
      <c r="J6848" s="19"/>
      <c r="L6848" s="21">
        <v>151.80000000000001</v>
      </c>
      <c r="M6848" s="22">
        <v>0</v>
      </c>
      <c r="N6848" s="21">
        <v>150.86000000000001</v>
      </c>
      <c r="O6848" s="22">
        <v>0</v>
      </c>
    </row>
    <row r="6849" ht="51">
      <c r="A6849" t="s">
        <v>6952</v>
      </c>
      <c r="B6849" s="19">
        <v>106054</v>
      </c>
      <c r="C6849" s="20" t="s">
        <v>6970</v>
      </c>
      <c r="D6849" s="19" t="s">
        <v>29</v>
      </c>
      <c r="E6849" s="21">
        <f t="shared" si="317"/>
        <v>168.59</v>
      </c>
      <c r="F6849" s="22">
        <v>0</v>
      </c>
      <c r="G6849" s="21">
        <f t="shared" si="318"/>
        <v>167.62</v>
      </c>
      <c r="H6849" s="22">
        <v>0</v>
      </c>
      <c r="I6849" s="23" t="str">
        <f t="shared" si="319"/>
        <v xml:space="preserve">COM VALOR</v>
      </c>
      <c r="J6849" s="19"/>
      <c r="L6849" s="21">
        <v>168.59</v>
      </c>
      <c r="M6849" s="22">
        <v>0</v>
      </c>
      <c r="N6849" s="21">
        <v>167.62</v>
      </c>
      <c r="O6849" s="22">
        <v>0</v>
      </c>
    </row>
    <row r="6850" ht="51">
      <c r="A6850" t="s">
        <v>6952</v>
      </c>
      <c r="B6850" s="19">
        <v>106055</v>
      </c>
      <c r="C6850" s="20" t="s">
        <v>6971</v>
      </c>
      <c r="D6850" s="19" t="s">
        <v>29</v>
      </c>
      <c r="E6850" s="21">
        <f t="shared" si="317"/>
        <v>197.40000000000001</v>
      </c>
      <c r="F6850" s="22">
        <v>0</v>
      </c>
      <c r="G6850" s="21">
        <f t="shared" si="318"/>
        <v>196.28999999999999</v>
      </c>
      <c r="H6850" s="22">
        <v>0</v>
      </c>
      <c r="I6850" s="23" t="str">
        <f t="shared" si="319"/>
        <v xml:space="preserve">COM VALOR</v>
      </c>
      <c r="J6850" s="19"/>
      <c r="L6850" s="21">
        <v>197.40000000000001</v>
      </c>
      <c r="M6850" s="22">
        <v>0</v>
      </c>
      <c r="N6850" s="21">
        <v>196.28999999999999</v>
      </c>
      <c r="O6850" s="22">
        <v>0</v>
      </c>
    </row>
    <row r="6851" ht="51">
      <c r="A6851" t="s">
        <v>6952</v>
      </c>
      <c r="B6851" s="19">
        <v>106064</v>
      </c>
      <c r="C6851" s="20" t="s">
        <v>6972</v>
      </c>
      <c r="D6851" s="19" t="s">
        <v>29</v>
      </c>
      <c r="E6851" s="21">
        <f t="shared" si="317"/>
        <v>217.03</v>
      </c>
      <c r="F6851" s="22">
        <v>0</v>
      </c>
      <c r="G6851" s="21">
        <f t="shared" si="318"/>
        <v>215.88999999999999</v>
      </c>
      <c r="H6851" s="22">
        <v>0</v>
      </c>
      <c r="I6851" s="23" t="str">
        <f t="shared" si="319"/>
        <v xml:space="preserve">COM VALOR</v>
      </c>
      <c r="J6851" s="19"/>
      <c r="L6851" s="21">
        <v>217.03</v>
      </c>
      <c r="M6851" s="22">
        <v>0</v>
      </c>
      <c r="N6851" s="21">
        <v>215.88999999999999</v>
      </c>
      <c r="O6851" s="22">
        <v>0</v>
      </c>
    </row>
    <row r="6852" ht="38.25">
      <c r="A6852" t="s">
        <v>6952</v>
      </c>
      <c r="B6852" s="19">
        <v>106067</v>
      </c>
      <c r="C6852" s="20" t="s">
        <v>6973</v>
      </c>
      <c r="D6852" s="19" t="s">
        <v>29</v>
      </c>
      <c r="E6852" s="21">
        <f t="shared" si="317"/>
        <v>277.80000000000001</v>
      </c>
      <c r="F6852" s="22">
        <v>0</v>
      </c>
      <c r="G6852" s="21">
        <f t="shared" si="318"/>
        <v>275.19999999999999</v>
      </c>
      <c r="H6852" s="22">
        <v>0</v>
      </c>
      <c r="I6852" s="23" t="str">
        <f t="shared" si="319"/>
        <v xml:space="preserve">COM VALOR</v>
      </c>
      <c r="J6852" s="19"/>
      <c r="L6852" s="21">
        <v>277.80000000000001</v>
      </c>
      <c r="M6852" s="22">
        <v>0</v>
      </c>
      <c r="N6852" s="21">
        <v>275.19999999999999</v>
      </c>
      <c r="O6852" s="22">
        <v>0</v>
      </c>
    </row>
    <row r="6853" ht="38.25">
      <c r="A6853" t="s">
        <v>6952</v>
      </c>
      <c r="B6853" s="19">
        <v>106070</v>
      </c>
      <c r="C6853" s="20" t="s">
        <v>6974</v>
      </c>
      <c r="D6853" s="19" t="s">
        <v>29</v>
      </c>
      <c r="E6853" s="21">
        <f t="shared" si="317"/>
        <v>312.97000000000003</v>
      </c>
      <c r="F6853" s="22">
        <v>0</v>
      </c>
      <c r="G6853" s="21">
        <f t="shared" si="318"/>
        <v>310.44</v>
      </c>
      <c r="H6853" s="22">
        <v>0</v>
      </c>
      <c r="I6853" s="23" t="str">
        <f t="shared" si="319"/>
        <v xml:space="preserve">COM VALOR</v>
      </c>
      <c r="J6853" s="19"/>
      <c r="L6853" s="21">
        <v>312.97000000000003</v>
      </c>
      <c r="M6853" s="22">
        <v>0</v>
      </c>
      <c r="N6853" s="21">
        <v>310.44</v>
      </c>
      <c r="O6853" s="22">
        <v>0</v>
      </c>
    </row>
    <row r="6854" ht="38.25">
      <c r="A6854" t="s">
        <v>6952</v>
      </c>
      <c r="B6854" s="19">
        <v>106071</v>
      </c>
      <c r="C6854" s="20" t="s">
        <v>6975</v>
      </c>
      <c r="D6854" s="19" t="s">
        <v>29</v>
      </c>
      <c r="E6854" s="21">
        <f t="shared" si="317"/>
        <v>366.02999999999997</v>
      </c>
      <c r="F6854" s="22">
        <v>0</v>
      </c>
      <c r="G6854" s="21">
        <f t="shared" si="318"/>
        <v>363.36000000000001</v>
      </c>
      <c r="H6854" s="22">
        <v>0</v>
      </c>
      <c r="I6854" s="23" t="str">
        <f t="shared" si="319"/>
        <v xml:space="preserve">COM VALOR</v>
      </c>
      <c r="J6854" s="19"/>
      <c r="L6854" s="21">
        <v>366.02999999999997</v>
      </c>
      <c r="M6854" s="22">
        <v>0</v>
      </c>
      <c r="N6854" s="21">
        <v>363.36000000000001</v>
      </c>
      <c r="O6854" s="22">
        <v>0</v>
      </c>
    </row>
    <row r="6855" ht="38.25">
      <c r="A6855" t="s">
        <v>6952</v>
      </c>
      <c r="B6855" s="19">
        <v>106072</v>
      </c>
      <c r="C6855" s="20" t="s">
        <v>6976</v>
      </c>
      <c r="D6855" s="19" t="s">
        <v>29</v>
      </c>
      <c r="E6855" s="21">
        <f t="shared" si="317"/>
        <v>398.60000000000002</v>
      </c>
      <c r="F6855" s="22">
        <v>0</v>
      </c>
      <c r="G6855" s="21">
        <f t="shared" si="318"/>
        <v>395.67000000000002</v>
      </c>
      <c r="H6855" s="22">
        <v>0</v>
      </c>
      <c r="I6855" s="23" t="str">
        <f t="shared" si="319"/>
        <v xml:space="preserve">COM VALOR</v>
      </c>
      <c r="J6855" s="19"/>
      <c r="L6855" s="21">
        <v>398.60000000000002</v>
      </c>
      <c r="M6855" s="22">
        <v>0</v>
      </c>
      <c r="N6855" s="21">
        <v>395.67000000000002</v>
      </c>
      <c r="O6855" s="22">
        <v>0</v>
      </c>
    </row>
    <row r="6856" ht="38.25">
      <c r="A6856" t="s">
        <v>6952</v>
      </c>
      <c r="B6856" s="19">
        <v>106073</v>
      </c>
      <c r="C6856" s="20" t="s">
        <v>6977</v>
      </c>
      <c r="D6856" s="19" t="s">
        <v>29</v>
      </c>
      <c r="E6856" s="21">
        <f t="shared" si="317"/>
        <v>485.85000000000002</v>
      </c>
      <c r="F6856" s="22">
        <v>0</v>
      </c>
      <c r="G6856" s="21">
        <f t="shared" si="318"/>
        <v>482.74000000000001</v>
      </c>
      <c r="H6856" s="22">
        <v>0</v>
      </c>
      <c r="I6856" s="23" t="str">
        <f t="shared" si="319"/>
        <v xml:space="preserve">COM VALOR</v>
      </c>
      <c r="J6856" s="19"/>
      <c r="L6856" s="21">
        <v>485.85000000000002</v>
      </c>
      <c r="M6856" s="22">
        <v>0</v>
      </c>
      <c r="N6856" s="21">
        <v>482.74000000000001</v>
      </c>
      <c r="O6856" s="22">
        <v>0</v>
      </c>
    </row>
    <row r="6857" ht="51">
      <c r="A6857" t="s">
        <v>6952</v>
      </c>
      <c r="B6857" s="19">
        <v>106068</v>
      </c>
      <c r="C6857" s="20" t="s">
        <v>6978</v>
      </c>
      <c r="D6857" s="19" t="s">
        <v>29</v>
      </c>
      <c r="E6857" s="21">
        <f t="shared" si="317"/>
        <v>277.07999999999998</v>
      </c>
      <c r="F6857" s="22">
        <v>0</v>
      </c>
      <c r="G6857" s="21">
        <f t="shared" si="318"/>
        <v>274.16000000000003</v>
      </c>
      <c r="H6857" s="22">
        <v>0</v>
      </c>
      <c r="I6857" s="23" t="str">
        <f t="shared" si="319"/>
        <v xml:space="preserve">COM VALOR</v>
      </c>
      <c r="J6857" s="19"/>
      <c r="L6857" s="21">
        <v>277.07999999999998</v>
      </c>
      <c r="M6857" s="22">
        <v>0</v>
      </c>
      <c r="N6857" s="21">
        <v>274.16000000000003</v>
      </c>
      <c r="O6857" s="22">
        <v>0</v>
      </c>
    </row>
    <row r="6858" ht="51">
      <c r="A6858" t="s">
        <v>6952</v>
      </c>
      <c r="B6858" s="19">
        <v>106069</v>
      </c>
      <c r="C6858" s="20" t="s">
        <v>6979</v>
      </c>
      <c r="D6858" s="19" t="s">
        <v>29</v>
      </c>
      <c r="E6858" s="21">
        <f t="shared" si="317"/>
        <v>307.11000000000001</v>
      </c>
      <c r="F6858" s="22">
        <v>0</v>
      </c>
      <c r="G6858" s="21">
        <f t="shared" si="318"/>
        <v>304.27999999999997</v>
      </c>
      <c r="H6858" s="22">
        <v>0</v>
      </c>
      <c r="I6858" s="23" t="str">
        <f t="shared" si="319"/>
        <v xml:space="preserve">COM VALOR</v>
      </c>
      <c r="J6858" s="19"/>
      <c r="L6858" s="21">
        <v>307.11000000000001</v>
      </c>
      <c r="M6858" s="22">
        <v>0</v>
      </c>
      <c r="N6858" s="21">
        <v>304.27999999999997</v>
      </c>
      <c r="O6858" s="22">
        <v>0</v>
      </c>
    </row>
    <row r="6859" ht="51">
      <c r="A6859" t="s">
        <v>6952</v>
      </c>
      <c r="B6859" s="19">
        <v>106074</v>
      </c>
      <c r="C6859" s="20" t="s">
        <v>6980</v>
      </c>
      <c r="D6859" s="19" t="s">
        <v>29</v>
      </c>
      <c r="E6859" s="21">
        <f t="shared" ref="E6859:E6922" si="320">IF(L6859=0,"VERIFICAR",L6859)</f>
        <v>332.5</v>
      </c>
      <c r="F6859" s="22">
        <v>0</v>
      </c>
      <c r="G6859" s="21">
        <f t="shared" ref="G6859:G6922" si="321">IF(N6859=0,"VERIFICAR",N6859)</f>
        <v>329.69</v>
      </c>
      <c r="H6859" s="22">
        <v>0</v>
      </c>
      <c r="I6859" s="23" t="str">
        <f t="shared" ref="I6859:I6922" si="322">IF(OR(E6859=0,G6859=0),"SEM VALOR","COM VALOR")</f>
        <v xml:space="preserve">COM VALOR</v>
      </c>
      <c r="J6859" s="19"/>
      <c r="L6859" s="21">
        <v>332.5</v>
      </c>
      <c r="M6859" s="22">
        <v>0</v>
      </c>
      <c r="N6859" s="21">
        <v>329.69</v>
      </c>
      <c r="O6859" s="22">
        <v>0</v>
      </c>
    </row>
    <row r="6860" ht="51">
      <c r="A6860" t="s">
        <v>6952</v>
      </c>
      <c r="B6860" s="19">
        <v>106075</v>
      </c>
      <c r="C6860" s="20" t="s">
        <v>6981</v>
      </c>
      <c r="D6860" s="19" t="s">
        <v>29</v>
      </c>
      <c r="E6860" s="21">
        <f t="shared" si="320"/>
        <v>367.75</v>
      </c>
      <c r="F6860" s="22">
        <v>0</v>
      </c>
      <c r="G6860" s="21">
        <f t="shared" si="321"/>
        <v>364.80000000000001</v>
      </c>
      <c r="H6860" s="22">
        <v>0</v>
      </c>
      <c r="I6860" s="23" t="str">
        <f t="shared" si="322"/>
        <v xml:space="preserve">COM VALOR</v>
      </c>
      <c r="J6860" s="19"/>
      <c r="L6860" s="21">
        <v>367.75</v>
      </c>
      <c r="M6860" s="22">
        <v>0</v>
      </c>
      <c r="N6860" s="21">
        <v>364.80000000000001</v>
      </c>
      <c r="O6860" s="22">
        <v>0</v>
      </c>
    </row>
    <row r="6861" ht="51">
      <c r="A6861" t="s">
        <v>6952</v>
      </c>
      <c r="B6861" s="19">
        <v>106076</v>
      </c>
      <c r="C6861" s="20" t="s">
        <v>6982</v>
      </c>
      <c r="D6861" s="19" t="s">
        <v>29</v>
      </c>
      <c r="E6861" s="21">
        <f t="shared" si="320"/>
        <v>430.70999999999998</v>
      </c>
      <c r="F6861" s="22">
        <v>0</v>
      </c>
      <c r="G6861" s="21">
        <f t="shared" si="321"/>
        <v>427.68000000000001</v>
      </c>
      <c r="H6861" s="22">
        <v>0</v>
      </c>
      <c r="I6861" s="23" t="str">
        <f t="shared" si="322"/>
        <v xml:space="preserve">COM VALOR</v>
      </c>
      <c r="J6861" s="19"/>
      <c r="L6861" s="21">
        <v>430.70999999999998</v>
      </c>
      <c r="M6861" s="22">
        <v>0</v>
      </c>
      <c r="N6861" s="21">
        <v>427.68000000000001</v>
      </c>
      <c r="O6861" s="22">
        <v>0</v>
      </c>
    </row>
    <row r="6862" ht="38.25">
      <c r="A6862" t="s">
        <v>6952</v>
      </c>
      <c r="B6862" s="19">
        <v>101964</v>
      </c>
      <c r="C6862" s="20" t="s">
        <v>6983</v>
      </c>
      <c r="D6862" s="19" t="s">
        <v>29</v>
      </c>
      <c r="E6862" s="21">
        <f t="shared" si="320"/>
        <v>178.80000000000001</v>
      </c>
      <c r="F6862" s="22">
        <v>0</v>
      </c>
      <c r="G6862" s="21">
        <f t="shared" si="321"/>
        <v>176.66999999999999</v>
      </c>
      <c r="H6862" s="22">
        <v>0</v>
      </c>
      <c r="I6862" s="23" t="str">
        <f t="shared" si="322"/>
        <v xml:space="preserve">COM VALOR</v>
      </c>
      <c r="J6862" s="19"/>
      <c r="L6862" s="21">
        <v>178.80000000000001</v>
      </c>
      <c r="M6862" s="22">
        <v>0</v>
      </c>
      <c r="N6862" s="21">
        <v>176.66999999999999</v>
      </c>
      <c r="O6862" s="22">
        <v>0</v>
      </c>
    </row>
    <row r="6863" ht="38.25">
      <c r="A6863" t="s">
        <v>6952</v>
      </c>
      <c r="B6863" s="19">
        <v>106059</v>
      </c>
      <c r="C6863" s="20" t="s">
        <v>6984</v>
      </c>
      <c r="D6863" s="19" t="s">
        <v>29</v>
      </c>
      <c r="E6863" s="21">
        <f t="shared" si="320"/>
        <v>192.38</v>
      </c>
      <c r="F6863" s="22">
        <v>0</v>
      </c>
      <c r="G6863" s="21">
        <f t="shared" si="321"/>
        <v>190.31</v>
      </c>
      <c r="H6863" s="22">
        <v>0</v>
      </c>
      <c r="I6863" s="23" t="str">
        <f t="shared" si="322"/>
        <v xml:space="preserve">COM VALOR</v>
      </c>
      <c r="J6863" s="19"/>
      <c r="L6863" s="21">
        <v>192.38</v>
      </c>
      <c r="M6863" s="22">
        <v>0</v>
      </c>
      <c r="N6863" s="21">
        <v>190.31</v>
      </c>
      <c r="O6863" s="22">
        <v>0</v>
      </c>
    </row>
    <row r="6864" ht="38.25">
      <c r="A6864" t="s">
        <v>6952</v>
      </c>
      <c r="B6864" s="19">
        <v>101963</v>
      </c>
      <c r="C6864" s="20" t="s">
        <v>6985</v>
      </c>
      <c r="D6864" s="19" t="s">
        <v>29</v>
      </c>
      <c r="E6864" s="21">
        <f t="shared" si="320"/>
        <v>198.08000000000001</v>
      </c>
      <c r="F6864" s="22">
        <v>0</v>
      </c>
      <c r="G6864" s="21">
        <f t="shared" si="321"/>
        <v>195.88</v>
      </c>
      <c r="H6864" s="22">
        <v>0</v>
      </c>
      <c r="I6864" s="23" t="str">
        <f t="shared" si="322"/>
        <v xml:space="preserve">COM VALOR</v>
      </c>
      <c r="J6864" s="19"/>
      <c r="L6864" s="21">
        <v>198.08000000000001</v>
      </c>
      <c r="M6864" s="22">
        <v>0</v>
      </c>
      <c r="N6864" s="21">
        <v>195.88</v>
      </c>
      <c r="O6864" s="22">
        <v>0</v>
      </c>
    </row>
    <row r="6865" ht="38.25">
      <c r="A6865" t="s">
        <v>6952</v>
      </c>
      <c r="B6865" s="19">
        <v>101947</v>
      </c>
      <c r="C6865" s="20" t="s">
        <v>6986</v>
      </c>
      <c r="D6865" s="19" t="s">
        <v>29</v>
      </c>
      <c r="E6865" s="21">
        <f t="shared" si="320"/>
        <v>203.12</v>
      </c>
      <c r="F6865" s="22">
        <v>0</v>
      </c>
      <c r="G6865" s="21">
        <f t="shared" si="321"/>
        <v>200.97999999999999</v>
      </c>
      <c r="H6865" s="22">
        <v>0</v>
      </c>
      <c r="I6865" s="23" t="str">
        <f t="shared" si="322"/>
        <v xml:space="preserve">COM VALOR</v>
      </c>
      <c r="J6865" s="19"/>
      <c r="L6865" s="21">
        <v>203.12</v>
      </c>
      <c r="M6865" s="22">
        <v>0</v>
      </c>
      <c r="N6865" s="21">
        <v>200.97999999999999</v>
      </c>
      <c r="O6865" s="22">
        <v>0</v>
      </c>
    </row>
    <row r="6866" ht="38.25">
      <c r="A6866" t="s">
        <v>6952</v>
      </c>
      <c r="B6866" s="19">
        <v>101948</v>
      </c>
      <c r="C6866" s="20" t="s">
        <v>6987</v>
      </c>
      <c r="D6866" s="19" t="s">
        <v>29</v>
      </c>
      <c r="E6866" s="21">
        <f t="shared" si="320"/>
        <v>217.47</v>
      </c>
      <c r="F6866" s="22">
        <v>0</v>
      </c>
      <c r="G6866" s="21">
        <f t="shared" si="321"/>
        <v>215.53999999999999</v>
      </c>
      <c r="H6866" s="22">
        <v>0</v>
      </c>
      <c r="I6866" s="23" t="str">
        <f t="shared" si="322"/>
        <v xml:space="preserve">COM VALOR</v>
      </c>
      <c r="J6866" s="19"/>
      <c r="L6866" s="21">
        <v>217.47</v>
      </c>
      <c r="M6866" s="22">
        <v>2.5000000000000001e-003</v>
      </c>
      <c r="N6866" s="21">
        <v>215.53999999999999</v>
      </c>
      <c r="O6866" s="22">
        <v>0</v>
      </c>
    </row>
    <row r="6867" ht="38.25">
      <c r="A6867" t="s">
        <v>6952</v>
      </c>
      <c r="B6867" s="19">
        <v>101949</v>
      </c>
      <c r="C6867" s="20" t="s">
        <v>6988</v>
      </c>
      <c r="D6867" s="19" t="s">
        <v>29</v>
      </c>
      <c r="E6867" s="21">
        <f t="shared" si="320"/>
        <v>228.44</v>
      </c>
      <c r="F6867" s="22">
        <v>0</v>
      </c>
      <c r="G6867" s="21">
        <f t="shared" si="321"/>
        <v>226.56999999999999</v>
      </c>
      <c r="H6867" s="22">
        <v>0</v>
      </c>
      <c r="I6867" s="23" t="str">
        <f t="shared" si="322"/>
        <v xml:space="preserve">COM VALOR</v>
      </c>
      <c r="J6867" s="19"/>
      <c r="L6867" s="21">
        <v>228.44</v>
      </c>
      <c r="M6867" s="22">
        <v>2.5000000000000001e-003</v>
      </c>
      <c r="N6867" s="21">
        <v>226.56999999999999</v>
      </c>
      <c r="O6867" s="22">
        <v>2.5000000000000001e-003</v>
      </c>
    </row>
    <row r="6868" ht="38.25">
      <c r="A6868" t="s">
        <v>6952</v>
      </c>
      <c r="B6868" s="19">
        <v>101950</v>
      </c>
      <c r="C6868" s="20" t="s">
        <v>6989</v>
      </c>
      <c r="D6868" s="19" t="s">
        <v>29</v>
      </c>
      <c r="E6868" s="21">
        <f t="shared" si="320"/>
        <v>263.75</v>
      </c>
      <c r="F6868" s="22">
        <v>0</v>
      </c>
      <c r="G6868" s="21">
        <f t="shared" si="321"/>
        <v>261.81</v>
      </c>
      <c r="H6868" s="22">
        <v>0</v>
      </c>
      <c r="I6868" s="23" t="str">
        <f t="shared" si="322"/>
        <v xml:space="preserve">COM VALOR</v>
      </c>
      <c r="J6868" s="19"/>
      <c r="L6868" s="21">
        <v>263.75</v>
      </c>
      <c r="M6868" s="22">
        <v>0</v>
      </c>
      <c r="N6868" s="21">
        <v>261.81</v>
      </c>
      <c r="O6868" s="22">
        <v>0</v>
      </c>
    </row>
    <row r="6869" ht="38.25">
      <c r="A6869" t="s">
        <v>6952</v>
      </c>
      <c r="B6869" s="19">
        <v>106061</v>
      </c>
      <c r="C6869" s="20" t="s">
        <v>6990</v>
      </c>
      <c r="D6869" s="19" t="s">
        <v>29</v>
      </c>
      <c r="E6869" s="21">
        <f t="shared" si="320"/>
        <v>299.58999999999997</v>
      </c>
      <c r="F6869" s="22">
        <v>0</v>
      </c>
      <c r="G6869" s="21">
        <f t="shared" si="321"/>
        <v>297.69999999999999</v>
      </c>
      <c r="H6869" s="22">
        <v>0</v>
      </c>
      <c r="I6869" s="23" t="str">
        <f t="shared" si="322"/>
        <v xml:space="preserve">COM VALOR</v>
      </c>
      <c r="J6869" s="19"/>
      <c r="L6869" s="21">
        <v>299.58999999999997</v>
      </c>
      <c r="M6869" s="22">
        <v>0</v>
      </c>
      <c r="N6869" s="21">
        <v>297.69999999999999</v>
      </c>
      <c r="O6869" s="22">
        <v>0</v>
      </c>
    </row>
    <row r="6870" ht="38.25">
      <c r="A6870" t="s">
        <v>6952</v>
      </c>
      <c r="B6870" s="19">
        <v>101951</v>
      </c>
      <c r="C6870" s="20" t="s">
        <v>6991</v>
      </c>
      <c r="D6870" s="19" t="s">
        <v>29</v>
      </c>
      <c r="E6870" s="21">
        <f t="shared" si="320"/>
        <v>203.22999999999999</v>
      </c>
      <c r="F6870" s="22">
        <v>0</v>
      </c>
      <c r="G6870" s="21">
        <f t="shared" si="321"/>
        <v>201.28999999999999</v>
      </c>
      <c r="H6870" s="22">
        <v>0</v>
      </c>
      <c r="I6870" s="23" t="str">
        <f t="shared" si="322"/>
        <v xml:space="preserve">COM VALOR</v>
      </c>
      <c r="J6870" s="19"/>
      <c r="L6870" s="21">
        <v>203.22999999999999</v>
      </c>
      <c r="M6870" s="22">
        <v>0</v>
      </c>
      <c r="N6870" s="21">
        <v>201.28999999999999</v>
      </c>
      <c r="O6870" s="22">
        <v>0</v>
      </c>
    </row>
    <row r="6871" ht="38.25">
      <c r="A6871" t="s">
        <v>6952</v>
      </c>
      <c r="B6871" s="19">
        <v>101952</v>
      </c>
      <c r="C6871" s="20" t="s">
        <v>6992</v>
      </c>
      <c r="D6871" s="19" t="s">
        <v>29</v>
      </c>
      <c r="E6871" s="21">
        <f t="shared" si="320"/>
        <v>221.86000000000001</v>
      </c>
      <c r="F6871" s="22">
        <v>0</v>
      </c>
      <c r="G6871" s="21">
        <f t="shared" si="321"/>
        <v>220.19999999999999</v>
      </c>
      <c r="H6871" s="22">
        <v>0</v>
      </c>
      <c r="I6871" s="23" t="str">
        <f t="shared" si="322"/>
        <v xml:space="preserve">COM VALOR</v>
      </c>
      <c r="J6871" s="19"/>
      <c r="L6871" s="21">
        <v>221.86000000000001</v>
      </c>
      <c r="M6871" s="22">
        <v>2.5000000000000001e-003</v>
      </c>
      <c r="N6871" s="21">
        <v>220.19999999999999</v>
      </c>
      <c r="O6871" s="22">
        <v>2.5000000000000001e-003</v>
      </c>
    </row>
    <row r="6872" ht="38.25">
      <c r="A6872" t="s">
        <v>6952</v>
      </c>
      <c r="B6872" s="19">
        <v>101953</v>
      </c>
      <c r="C6872" s="20" t="s">
        <v>6993</v>
      </c>
      <c r="D6872" s="19" t="s">
        <v>29</v>
      </c>
      <c r="E6872" s="21">
        <f t="shared" si="320"/>
        <v>238.13</v>
      </c>
      <c r="F6872" s="22">
        <v>0</v>
      </c>
      <c r="G6872" s="21">
        <f t="shared" si="321"/>
        <v>236.52000000000001</v>
      </c>
      <c r="H6872" s="22">
        <v>0</v>
      </c>
      <c r="I6872" s="23" t="str">
        <f t="shared" si="322"/>
        <v xml:space="preserve">COM VALOR</v>
      </c>
      <c r="J6872" s="19"/>
      <c r="L6872" s="21">
        <v>238.13</v>
      </c>
      <c r="M6872" s="22">
        <v>0</v>
      </c>
      <c r="N6872" s="21">
        <v>236.52000000000001</v>
      </c>
      <c r="O6872" s="22">
        <v>0</v>
      </c>
    </row>
    <row r="6873" ht="38.25">
      <c r="A6873" t="s">
        <v>6952</v>
      </c>
      <c r="B6873" s="19">
        <v>101954</v>
      </c>
      <c r="C6873" s="20" t="s">
        <v>6994</v>
      </c>
      <c r="D6873" s="19" t="s">
        <v>29</v>
      </c>
      <c r="E6873" s="21">
        <f t="shared" si="320"/>
        <v>272.11000000000001</v>
      </c>
      <c r="F6873" s="22">
        <v>0</v>
      </c>
      <c r="G6873" s="21">
        <f t="shared" si="321"/>
        <v>270.39999999999998</v>
      </c>
      <c r="H6873" s="22">
        <v>0</v>
      </c>
      <c r="I6873" s="23" t="str">
        <f t="shared" si="322"/>
        <v xml:space="preserve">COM VALOR</v>
      </c>
      <c r="J6873" s="19"/>
      <c r="L6873" s="21">
        <v>272.11000000000001</v>
      </c>
      <c r="M6873" s="22">
        <v>0</v>
      </c>
      <c r="N6873" s="21">
        <v>270.39999999999998</v>
      </c>
      <c r="O6873" s="22">
        <v>0</v>
      </c>
    </row>
    <row r="6874" ht="38.25">
      <c r="A6874" t="s">
        <v>6952</v>
      </c>
      <c r="B6874" s="19">
        <v>106062</v>
      </c>
      <c r="C6874" s="20" t="s">
        <v>6995</v>
      </c>
      <c r="D6874" s="19" t="s">
        <v>29</v>
      </c>
      <c r="E6874" s="21">
        <f t="shared" si="320"/>
        <v>295.73000000000002</v>
      </c>
      <c r="F6874" s="22">
        <v>0</v>
      </c>
      <c r="G6874" s="21">
        <f t="shared" si="321"/>
        <v>294.10000000000002</v>
      </c>
      <c r="H6874" s="22">
        <v>0</v>
      </c>
      <c r="I6874" s="23" t="str">
        <f t="shared" si="322"/>
        <v xml:space="preserve">COM VALOR</v>
      </c>
      <c r="J6874" s="19"/>
      <c r="L6874" s="21">
        <v>295.73000000000002</v>
      </c>
      <c r="M6874" s="22">
        <v>0</v>
      </c>
      <c r="N6874" s="21">
        <v>294.10000000000002</v>
      </c>
      <c r="O6874" s="22">
        <v>0</v>
      </c>
    </row>
    <row r="6875" ht="25.5">
      <c r="A6875" t="s">
        <v>6996</v>
      </c>
      <c r="B6875" s="19">
        <v>100323</v>
      </c>
      <c r="C6875" s="20" t="s">
        <v>6997</v>
      </c>
      <c r="D6875" s="19" t="s">
        <v>121</v>
      </c>
      <c r="E6875" s="21">
        <f t="shared" si="320"/>
        <v>150.21000000000001</v>
      </c>
      <c r="F6875" s="22">
        <v>0</v>
      </c>
      <c r="G6875" s="21">
        <f t="shared" si="321"/>
        <v>146.87</v>
      </c>
      <c r="H6875" s="22">
        <v>0</v>
      </c>
      <c r="I6875" s="23" t="str">
        <f t="shared" si="322"/>
        <v xml:space="preserve">COM VALOR</v>
      </c>
      <c r="J6875" s="19"/>
      <c r="L6875" s="21">
        <v>150.21000000000001</v>
      </c>
      <c r="M6875" s="22">
        <v>0</v>
      </c>
      <c r="N6875" s="21">
        <v>146.87</v>
      </c>
      <c r="O6875" s="22">
        <v>0</v>
      </c>
    </row>
    <row r="6876" ht="38.25">
      <c r="A6876" t="s">
        <v>6996</v>
      </c>
      <c r="B6876" s="19">
        <v>100324</v>
      </c>
      <c r="C6876" s="20" t="s">
        <v>6998</v>
      </c>
      <c r="D6876" s="19" t="s">
        <v>121</v>
      </c>
      <c r="E6876" s="21">
        <f t="shared" si="320"/>
        <v>179.66</v>
      </c>
      <c r="F6876" s="22">
        <v>0</v>
      </c>
      <c r="G6876" s="21">
        <f t="shared" si="321"/>
        <v>176.31999999999999</v>
      </c>
      <c r="H6876" s="22">
        <v>0</v>
      </c>
      <c r="I6876" s="23" t="str">
        <f t="shared" si="322"/>
        <v xml:space="preserve">COM VALOR</v>
      </c>
      <c r="J6876" s="19"/>
      <c r="L6876" s="21">
        <v>179.66</v>
      </c>
      <c r="M6876" s="22">
        <v>0</v>
      </c>
      <c r="N6876" s="21">
        <v>176.31999999999999</v>
      </c>
      <c r="O6876" s="22">
        <v>0</v>
      </c>
    </row>
    <row r="6877" ht="25.5">
      <c r="A6877" t="s">
        <v>6996</v>
      </c>
      <c r="B6877" s="19">
        <v>96624</v>
      </c>
      <c r="C6877" s="20" t="s">
        <v>6999</v>
      </c>
      <c r="D6877" s="19" t="s">
        <v>121</v>
      </c>
      <c r="E6877" s="21">
        <f t="shared" si="320"/>
        <v>179.97999999999999</v>
      </c>
      <c r="F6877" s="22">
        <v>0</v>
      </c>
      <c r="G6877" s="21">
        <f t="shared" si="321"/>
        <v>176.63999999999999</v>
      </c>
      <c r="H6877" s="22">
        <v>0</v>
      </c>
      <c r="I6877" s="23" t="str">
        <f t="shared" si="322"/>
        <v xml:space="preserve">COM VALOR</v>
      </c>
      <c r="J6877" s="19"/>
      <c r="L6877" s="21">
        <v>179.97999999999999</v>
      </c>
      <c r="M6877" s="22">
        <v>0</v>
      </c>
      <c r="N6877" s="21">
        <v>176.63999999999999</v>
      </c>
      <c r="O6877" s="22">
        <v>0</v>
      </c>
    </row>
    <row r="6878" ht="25.5">
      <c r="A6878" t="s">
        <v>6996</v>
      </c>
      <c r="B6878" s="19">
        <v>100322</v>
      </c>
      <c r="C6878" s="20" t="s">
        <v>7000</v>
      </c>
      <c r="D6878" s="19" t="s">
        <v>121</v>
      </c>
      <c r="E6878" s="21">
        <f t="shared" si="320"/>
        <v>172.72</v>
      </c>
      <c r="F6878" s="22">
        <v>0</v>
      </c>
      <c r="G6878" s="21">
        <f t="shared" si="321"/>
        <v>169.38</v>
      </c>
      <c r="H6878" s="22">
        <v>0</v>
      </c>
      <c r="I6878" s="23" t="str">
        <f t="shared" si="322"/>
        <v xml:space="preserve">COM VALOR</v>
      </c>
      <c r="J6878" s="19"/>
      <c r="L6878" s="21">
        <v>172.72</v>
      </c>
      <c r="M6878" s="22">
        <v>0</v>
      </c>
      <c r="N6878" s="21">
        <v>169.38</v>
      </c>
      <c r="O6878" s="22">
        <v>0</v>
      </c>
    </row>
    <row r="6879" ht="25.5">
      <c r="A6879" t="s">
        <v>6996</v>
      </c>
      <c r="B6879" s="19">
        <v>96623</v>
      </c>
      <c r="C6879" s="20" t="s">
        <v>7001</v>
      </c>
      <c r="D6879" s="19" t="s">
        <v>121</v>
      </c>
      <c r="E6879" s="21">
        <f t="shared" si="320"/>
        <v>194.99000000000001</v>
      </c>
      <c r="F6879" s="22">
        <v>0</v>
      </c>
      <c r="G6879" s="21">
        <f t="shared" si="321"/>
        <v>190.84</v>
      </c>
      <c r="H6879" s="22">
        <v>0</v>
      </c>
      <c r="I6879" s="23" t="str">
        <f t="shared" si="322"/>
        <v xml:space="preserve">COM VALOR</v>
      </c>
      <c r="J6879" s="19"/>
      <c r="L6879" s="21">
        <v>194.99000000000001</v>
      </c>
      <c r="M6879" s="22">
        <v>0</v>
      </c>
      <c r="N6879" s="21">
        <v>190.84</v>
      </c>
      <c r="O6879" s="22">
        <v>0</v>
      </c>
    </row>
    <row r="6880" ht="25.5">
      <c r="A6880" t="s">
        <v>6996</v>
      </c>
      <c r="B6880" s="19">
        <v>96622</v>
      </c>
      <c r="C6880" s="20" t="s">
        <v>7002</v>
      </c>
      <c r="D6880" s="19" t="s">
        <v>121</v>
      </c>
      <c r="E6880" s="21">
        <f t="shared" si="320"/>
        <v>212.5</v>
      </c>
      <c r="F6880" s="22">
        <v>0</v>
      </c>
      <c r="G6880" s="21">
        <f t="shared" si="321"/>
        <v>208.41</v>
      </c>
      <c r="H6880" s="22">
        <v>0</v>
      </c>
      <c r="I6880" s="23" t="str">
        <f t="shared" si="322"/>
        <v xml:space="preserve">COM VALOR</v>
      </c>
      <c r="J6880" s="19"/>
      <c r="L6880" s="21">
        <v>212.5</v>
      </c>
      <c r="M6880" s="22">
        <v>0</v>
      </c>
      <c r="N6880" s="21">
        <v>208.41</v>
      </c>
      <c r="O6880" s="22">
        <v>0</v>
      </c>
    </row>
    <row r="6881" ht="25.5">
      <c r="A6881" t="s">
        <v>6996</v>
      </c>
      <c r="B6881" s="19">
        <v>96621</v>
      </c>
      <c r="C6881" s="20" t="s">
        <v>7003</v>
      </c>
      <c r="D6881" s="19" t="s">
        <v>121</v>
      </c>
      <c r="E6881" s="21">
        <f t="shared" si="320"/>
        <v>227.50999999999999</v>
      </c>
      <c r="F6881" s="22">
        <v>0</v>
      </c>
      <c r="G6881" s="21">
        <f t="shared" si="321"/>
        <v>222.59999999999999</v>
      </c>
      <c r="H6881" s="22">
        <v>0</v>
      </c>
      <c r="I6881" s="23" t="str">
        <f t="shared" si="322"/>
        <v xml:space="preserve">COM VALOR</v>
      </c>
      <c r="J6881" s="19"/>
      <c r="L6881" s="21">
        <v>227.50999999999999</v>
      </c>
      <c r="M6881" s="22">
        <v>0</v>
      </c>
      <c r="N6881" s="21">
        <v>222.59999999999999</v>
      </c>
      <c r="O6881" s="22">
        <v>0</v>
      </c>
    </row>
    <row r="6882" ht="25.5">
      <c r="A6882" t="s">
        <v>6996</v>
      </c>
      <c r="B6882" s="19">
        <v>96617</v>
      </c>
      <c r="C6882" s="20" t="s">
        <v>7004</v>
      </c>
      <c r="D6882" s="19" t="s">
        <v>29</v>
      </c>
      <c r="E6882" s="21">
        <f t="shared" si="320"/>
        <v>19.620000000000001</v>
      </c>
      <c r="F6882" s="22">
        <v>0</v>
      </c>
      <c r="G6882" s="21">
        <f t="shared" si="321"/>
        <v>19.100000000000001</v>
      </c>
      <c r="H6882" s="22">
        <v>0</v>
      </c>
      <c r="I6882" s="23" t="str">
        <f t="shared" si="322"/>
        <v xml:space="preserve">COM VALOR</v>
      </c>
      <c r="J6882" s="19"/>
      <c r="L6882" s="21">
        <v>19.620000000000001</v>
      </c>
      <c r="M6882" s="22">
        <v>0</v>
      </c>
      <c r="N6882" s="21">
        <v>19.100000000000001</v>
      </c>
      <c r="O6882" s="22">
        <v>0</v>
      </c>
    </row>
    <row r="6883" ht="25.5">
      <c r="A6883" t="s">
        <v>6996</v>
      </c>
      <c r="B6883" s="19">
        <v>96619</v>
      </c>
      <c r="C6883" s="20" t="s">
        <v>7005</v>
      </c>
      <c r="D6883" s="19" t="s">
        <v>29</v>
      </c>
      <c r="E6883" s="21">
        <f t="shared" si="320"/>
        <v>39.259999999999998</v>
      </c>
      <c r="F6883" s="22">
        <v>0</v>
      </c>
      <c r="G6883" s="21">
        <f t="shared" si="321"/>
        <v>38.229999999999997</v>
      </c>
      <c r="H6883" s="22">
        <v>0</v>
      </c>
      <c r="I6883" s="23" t="str">
        <f t="shared" si="322"/>
        <v xml:space="preserve">COM VALOR</v>
      </c>
      <c r="J6883" s="19"/>
      <c r="L6883" s="21">
        <v>39.259999999999998</v>
      </c>
      <c r="M6883" s="22">
        <v>0</v>
      </c>
      <c r="N6883" s="21">
        <v>38.229999999999997</v>
      </c>
      <c r="O6883" s="22">
        <v>0</v>
      </c>
    </row>
    <row r="6884" ht="25.5">
      <c r="A6884" t="s">
        <v>6996</v>
      </c>
      <c r="B6884" s="19">
        <v>96616</v>
      </c>
      <c r="C6884" s="20" t="s">
        <v>7006</v>
      </c>
      <c r="D6884" s="19" t="s">
        <v>121</v>
      </c>
      <c r="E6884" s="21">
        <f t="shared" si="320"/>
        <v>785.38</v>
      </c>
      <c r="F6884" s="22">
        <v>0</v>
      </c>
      <c r="G6884" s="21">
        <f t="shared" si="321"/>
        <v>764.77999999999997</v>
      </c>
      <c r="H6884" s="22">
        <v>0</v>
      </c>
      <c r="I6884" s="23" t="str">
        <f t="shared" si="322"/>
        <v xml:space="preserve">COM VALOR</v>
      </c>
      <c r="J6884" s="19"/>
      <c r="L6884" s="21">
        <v>785.38</v>
      </c>
      <c r="M6884" s="22">
        <v>0</v>
      </c>
      <c r="N6884" s="21">
        <v>764.77999999999997</v>
      </c>
      <c r="O6884" s="22">
        <v>0</v>
      </c>
    </row>
    <row r="6885" ht="25.5">
      <c r="A6885" t="s">
        <v>6996</v>
      </c>
      <c r="B6885" s="19">
        <v>95240</v>
      </c>
      <c r="C6885" s="20" t="s">
        <v>7007</v>
      </c>
      <c r="D6885" s="19" t="s">
        <v>29</v>
      </c>
      <c r="E6885" s="21">
        <f t="shared" si="320"/>
        <v>18.82</v>
      </c>
      <c r="F6885" s="22">
        <v>0</v>
      </c>
      <c r="G6885" s="21">
        <f t="shared" si="321"/>
        <v>18.34</v>
      </c>
      <c r="H6885" s="22">
        <v>0</v>
      </c>
      <c r="I6885" s="23" t="str">
        <f t="shared" si="322"/>
        <v xml:space="preserve">COM VALOR</v>
      </c>
      <c r="J6885" s="19"/>
      <c r="L6885" s="21">
        <v>18.82</v>
      </c>
      <c r="M6885" s="22">
        <v>0</v>
      </c>
      <c r="N6885" s="21">
        <v>18.34</v>
      </c>
      <c r="O6885" s="22">
        <v>0</v>
      </c>
    </row>
    <row r="6886" ht="25.5">
      <c r="A6886" t="s">
        <v>6996</v>
      </c>
      <c r="B6886" s="19">
        <v>95241</v>
      </c>
      <c r="C6886" s="20" t="s">
        <v>7008</v>
      </c>
      <c r="D6886" s="19" t="s">
        <v>29</v>
      </c>
      <c r="E6886" s="21">
        <f t="shared" si="320"/>
        <v>36.140000000000001</v>
      </c>
      <c r="F6886" s="22">
        <v>0</v>
      </c>
      <c r="G6886" s="21">
        <f t="shared" si="321"/>
        <v>35.280000000000001</v>
      </c>
      <c r="H6886" s="22">
        <v>0</v>
      </c>
      <c r="I6886" s="23" t="str">
        <f t="shared" si="322"/>
        <v xml:space="preserve">COM VALOR</v>
      </c>
      <c r="J6886" s="19"/>
      <c r="L6886" s="21">
        <v>36.140000000000001</v>
      </c>
      <c r="M6886" s="22">
        <v>0</v>
      </c>
      <c r="N6886" s="21">
        <v>35.280000000000001</v>
      </c>
      <c r="O6886" s="22">
        <v>0</v>
      </c>
    </row>
    <row r="6887" ht="25.5">
      <c r="A6887" t="s">
        <v>6996</v>
      </c>
      <c r="B6887" s="19">
        <v>96620</v>
      </c>
      <c r="C6887" s="20" t="s">
        <v>7009</v>
      </c>
      <c r="D6887" s="19" t="s">
        <v>121</v>
      </c>
      <c r="E6887" s="21">
        <f t="shared" si="320"/>
        <v>722.99000000000001</v>
      </c>
      <c r="F6887" s="22">
        <v>0</v>
      </c>
      <c r="G6887" s="21">
        <f t="shared" si="321"/>
        <v>705.89999999999998</v>
      </c>
      <c r="H6887" s="22">
        <v>0</v>
      </c>
      <c r="I6887" s="23" t="str">
        <f t="shared" si="322"/>
        <v xml:space="preserve">COM VALOR</v>
      </c>
      <c r="J6887" s="19"/>
      <c r="L6887" s="21">
        <v>722.99000000000001</v>
      </c>
      <c r="M6887" s="22">
        <v>0</v>
      </c>
      <c r="N6887" s="21">
        <v>705.89999999999998</v>
      </c>
      <c r="O6887" s="22">
        <v>0</v>
      </c>
    </row>
    <row r="6888" ht="25.5">
      <c r="A6888" t="s">
        <v>7010</v>
      </c>
      <c r="B6888" s="19">
        <v>104043</v>
      </c>
      <c r="C6888" s="20" t="s">
        <v>7011</v>
      </c>
      <c r="D6888" s="19" t="s">
        <v>31</v>
      </c>
      <c r="E6888" s="21">
        <f t="shared" si="320"/>
        <v>8.4299999999999997</v>
      </c>
      <c r="F6888" s="22">
        <v>0</v>
      </c>
      <c r="G6888" s="21">
        <f t="shared" si="321"/>
        <v>8.2300000000000004</v>
      </c>
      <c r="H6888" s="22">
        <v>0</v>
      </c>
      <c r="I6888" s="23" t="str">
        <f t="shared" si="322"/>
        <v xml:space="preserve">COM VALOR</v>
      </c>
      <c r="J6888" s="19"/>
      <c r="L6888" s="21">
        <v>8.4299999999999997</v>
      </c>
      <c r="M6888" s="22">
        <v>0.56000000000000005</v>
      </c>
      <c r="N6888" s="21">
        <v>8.2300000000000004</v>
      </c>
      <c r="O6888" s="22">
        <v>0.57999999999999996</v>
      </c>
    </row>
    <row r="6889" ht="25.5">
      <c r="A6889" t="s">
        <v>7010</v>
      </c>
      <c r="B6889" s="19">
        <v>104044</v>
      </c>
      <c r="C6889" s="20" t="s">
        <v>7012</v>
      </c>
      <c r="D6889" s="19" t="s">
        <v>31</v>
      </c>
      <c r="E6889" s="21">
        <f t="shared" si="320"/>
        <v>8.8399999999999999</v>
      </c>
      <c r="F6889" s="22">
        <v>0</v>
      </c>
      <c r="G6889" s="21">
        <f t="shared" si="321"/>
        <v>8.5999999999999996</v>
      </c>
      <c r="H6889" s="22">
        <v>0</v>
      </c>
      <c r="I6889" s="23" t="str">
        <f t="shared" si="322"/>
        <v xml:space="preserve">COM VALOR</v>
      </c>
      <c r="J6889" s="19"/>
      <c r="L6889" s="21">
        <v>8.8399999999999999</v>
      </c>
      <c r="M6889" s="22">
        <v>0.51000000000000001</v>
      </c>
      <c r="N6889" s="21">
        <v>8.5999999999999996</v>
      </c>
      <c r="O6889" s="22">
        <v>0.52000000000000002</v>
      </c>
    </row>
    <row r="6890" ht="25.5">
      <c r="A6890" t="s">
        <v>7010</v>
      </c>
      <c r="B6890" s="19">
        <v>104045</v>
      </c>
      <c r="C6890" s="20" t="s">
        <v>7013</v>
      </c>
      <c r="D6890" s="19" t="s">
        <v>31</v>
      </c>
      <c r="E6890" s="21">
        <f t="shared" si="320"/>
        <v>14.34</v>
      </c>
      <c r="F6890" s="22">
        <v>0</v>
      </c>
      <c r="G6890" s="21">
        <f t="shared" si="321"/>
        <v>14.08</v>
      </c>
      <c r="H6890" s="22">
        <v>0</v>
      </c>
      <c r="I6890" s="23" t="str">
        <f t="shared" si="322"/>
        <v xml:space="preserve">COM VALOR</v>
      </c>
      <c r="J6890" s="19"/>
      <c r="L6890" s="21">
        <v>14.34</v>
      </c>
      <c r="M6890" s="22">
        <v>0.65000000000000002</v>
      </c>
      <c r="N6890" s="21">
        <v>14.08</v>
      </c>
      <c r="O6890" s="22">
        <v>0.66000000000000003</v>
      </c>
    </row>
    <row r="6891" ht="25.5">
      <c r="A6891" t="s">
        <v>7010</v>
      </c>
      <c r="B6891" s="19">
        <v>104049</v>
      </c>
      <c r="C6891" s="20" t="s">
        <v>7014</v>
      </c>
      <c r="D6891" s="19" t="s">
        <v>31</v>
      </c>
      <c r="E6891" s="21">
        <f t="shared" si="320"/>
        <v>5.2800000000000002</v>
      </c>
      <c r="F6891" s="22">
        <v>0</v>
      </c>
      <c r="G6891" s="21">
        <f t="shared" si="321"/>
        <v>5.0700000000000003</v>
      </c>
      <c r="H6891" s="22">
        <v>0</v>
      </c>
      <c r="I6891" s="23" t="str">
        <f t="shared" si="322"/>
        <v xml:space="preserve">COM VALOR</v>
      </c>
      <c r="J6891" s="19"/>
      <c r="L6891" s="21">
        <v>5.2800000000000002</v>
      </c>
      <c r="M6891" s="22">
        <v>0</v>
      </c>
      <c r="N6891" s="21">
        <v>5.0700000000000003</v>
      </c>
      <c r="O6891" s="22">
        <v>0</v>
      </c>
    </row>
    <row r="6892" ht="25.5">
      <c r="A6892" t="s">
        <v>7010</v>
      </c>
      <c r="B6892" s="19">
        <v>104050</v>
      </c>
      <c r="C6892" s="20" t="s">
        <v>7015</v>
      </c>
      <c r="D6892" s="19" t="s">
        <v>31</v>
      </c>
      <c r="E6892" s="21">
        <f t="shared" si="320"/>
        <v>8.0299999999999994</v>
      </c>
      <c r="F6892" s="22">
        <v>0</v>
      </c>
      <c r="G6892" s="21">
        <f t="shared" si="321"/>
        <v>7.7199999999999998</v>
      </c>
      <c r="H6892" s="22">
        <v>0</v>
      </c>
      <c r="I6892" s="23" t="str">
        <f t="shared" si="322"/>
        <v xml:space="preserve">COM VALOR</v>
      </c>
      <c r="J6892" s="19"/>
      <c r="L6892" s="21">
        <v>8.0299999999999994</v>
      </c>
      <c r="M6892" s="22">
        <v>0</v>
      </c>
      <c r="N6892" s="21">
        <v>7.7199999999999998</v>
      </c>
      <c r="O6892" s="22">
        <v>0</v>
      </c>
    </row>
    <row r="6893" ht="25.5">
      <c r="A6893" t="s">
        <v>7010</v>
      </c>
      <c r="B6893" s="19">
        <v>104084</v>
      </c>
      <c r="C6893" s="20" t="s">
        <v>7016</v>
      </c>
      <c r="D6893" s="19" t="s">
        <v>31</v>
      </c>
      <c r="E6893" s="21">
        <f t="shared" si="320"/>
        <v>88.760000000000005</v>
      </c>
      <c r="F6893" s="22">
        <v>0</v>
      </c>
      <c r="G6893" s="21">
        <f t="shared" si="321"/>
        <v>88.569999999999993</v>
      </c>
      <c r="H6893" s="22">
        <v>0</v>
      </c>
      <c r="I6893" s="23" t="str">
        <f t="shared" si="322"/>
        <v xml:space="preserve">COM VALOR</v>
      </c>
      <c r="J6893" s="19"/>
      <c r="L6893" s="21">
        <v>88.760000000000005</v>
      </c>
      <c r="M6893" s="22">
        <v>0</v>
      </c>
      <c r="N6893" s="21">
        <v>88.569999999999993</v>
      </c>
      <c r="O6893" s="22">
        <v>0</v>
      </c>
    </row>
    <row r="6894" ht="25.5">
      <c r="A6894" t="s">
        <v>7010</v>
      </c>
      <c r="B6894" s="19">
        <v>104037</v>
      </c>
      <c r="C6894" s="20" t="s">
        <v>7017</v>
      </c>
      <c r="D6894" s="19" t="s">
        <v>31</v>
      </c>
      <c r="E6894" s="21" t="str">
        <f t="shared" si="320"/>
        <v>VERIFICAR</v>
      </c>
      <c r="F6894" s="22">
        <v>0</v>
      </c>
      <c r="G6894" s="21" t="str">
        <f t="shared" si="321"/>
        <v>VERIFICAR</v>
      </c>
      <c r="H6894" s="22">
        <v>0</v>
      </c>
      <c r="I6894" s="23" t="str">
        <f t="shared" si="322"/>
        <v xml:space="preserve">COM VALOR</v>
      </c>
      <c r="J6894" s="19"/>
      <c r="L6894" s="21">
        <v>0</v>
      </c>
      <c r="M6894" s="22"/>
      <c r="N6894" s="21">
        <v>0</v>
      </c>
      <c r="O6894" s="22"/>
    </row>
    <row r="6895" ht="25.5">
      <c r="A6895" t="s">
        <v>7010</v>
      </c>
      <c r="B6895" s="19">
        <v>104035</v>
      </c>
      <c r="C6895" s="20" t="s">
        <v>7018</v>
      </c>
      <c r="D6895" s="19" t="s">
        <v>31</v>
      </c>
      <c r="E6895" s="21">
        <f t="shared" si="320"/>
        <v>37.310000000000002</v>
      </c>
      <c r="F6895" s="22">
        <v>0</v>
      </c>
      <c r="G6895" s="21">
        <f t="shared" si="321"/>
        <v>36.32</v>
      </c>
      <c r="H6895" s="22">
        <v>0</v>
      </c>
      <c r="I6895" s="23" t="str">
        <f t="shared" si="322"/>
        <v xml:space="preserve">COM VALOR</v>
      </c>
      <c r="J6895" s="19"/>
      <c r="L6895" s="21">
        <v>37.310000000000002</v>
      </c>
      <c r="M6895" s="22">
        <v>0.51000000000000001</v>
      </c>
      <c r="N6895" s="21">
        <v>36.32</v>
      </c>
      <c r="O6895" s="22">
        <v>0.52000000000000002</v>
      </c>
    </row>
    <row r="6896" ht="25.5">
      <c r="A6896" t="s">
        <v>7010</v>
      </c>
      <c r="B6896" s="19">
        <v>104036</v>
      </c>
      <c r="C6896" s="20" t="s">
        <v>7019</v>
      </c>
      <c r="D6896" s="19" t="s">
        <v>31</v>
      </c>
      <c r="E6896" s="21">
        <f t="shared" si="320"/>
        <v>38.479999999999997</v>
      </c>
      <c r="F6896" s="22">
        <v>0</v>
      </c>
      <c r="G6896" s="21">
        <f t="shared" si="321"/>
        <v>37.439999999999998</v>
      </c>
      <c r="H6896" s="22">
        <v>0</v>
      </c>
      <c r="I6896" s="23" t="str">
        <f t="shared" si="322"/>
        <v xml:space="preserve">COM VALOR</v>
      </c>
      <c r="J6896" s="19"/>
      <c r="L6896" s="21">
        <v>38.479999999999997</v>
      </c>
      <c r="M6896" s="22">
        <v>0.51000000000000001</v>
      </c>
      <c r="N6896" s="21">
        <v>37.439999999999998</v>
      </c>
      <c r="O6896" s="22">
        <v>0.52000000000000002</v>
      </c>
    </row>
    <row r="6897" ht="25.5">
      <c r="A6897" t="s">
        <v>7010</v>
      </c>
      <c r="B6897" s="19">
        <v>104034</v>
      </c>
      <c r="C6897" s="20" t="s">
        <v>7020</v>
      </c>
      <c r="D6897" s="19" t="s">
        <v>31</v>
      </c>
      <c r="E6897" s="21">
        <f t="shared" si="320"/>
        <v>24.550000000000001</v>
      </c>
      <c r="F6897" s="22">
        <v>0</v>
      </c>
      <c r="G6897" s="21">
        <f t="shared" si="321"/>
        <v>24.079999999999998</v>
      </c>
      <c r="H6897" s="22">
        <v>0</v>
      </c>
      <c r="I6897" s="23" t="str">
        <f t="shared" si="322"/>
        <v xml:space="preserve">COM VALOR</v>
      </c>
      <c r="J6897" s="19"/>
      <c r="L6897" s="21">
        <v>24.550000000000001</v>
      </c>
      <c r="M6897" s="22">
        <v>0</v>
      </c>
      <c r="N6897" s="21">
        <v>24.079999999999998</v>
      </c>
      <c r="O6897" s="22">
        <v>0</v>
      </c>
    </row>
    <row r="6898" ht="25.5">
      <c r="A6898" t="s">
        <v>7010</v>
      </c>
      <c r="B6898" s="19">
        <v>104031</v>
      </c>
      <c r="C6898" s="20" t="s">
        <v>7021</v>
      </c>
      <c r="D6898" s="19" t="s">
        <v>31</v>
      </c>
      <c r="E6898" s="21">
        <f t="shared" si="320"/>
        <v>16.57</v>
      </c>
      <c r="F6898" s="22">
        <v>0</v>
      </c>
      <c r="G6898" s="21">
        <f t="shared" si="321"/>
        <v>16.120000000000001</v>
      </c>
      <c r="H6898" s="22">
        <v>0</v>
      </c>
      <c r="I6898" s="23" t="str">
        <f t="shared" si="322"/>
        <v xml:space="preserve">COM VALOR</v>
      </c>
      <c r="J6898" s="19"/>
      <c r="L6898" s="21">
        <v>16.57</v>
      </c>
      <c r="M6898" s="22">
        <v>0</v>
      </c>
      <c r="N6898" s="21">
        <v>16.120000000000001</v>
      </c>
      <c r="O6898" s="22">
        <v>0</v>
      </c>
    </row>
    <row r="6899" ht="25.5">
      <c r="A6899" t="s">
        <v>7010</v>
      </c>
      <c r="B6899" s="19">
        <v>104032</v>
      </c>
      <c r="C6899" s="20" t="s">
        <v>7022</v>
      </c>
      <c r="D6899" s="19" t="s">
        <v>31</v>
      </c>
      <c r="E6899" s="21">
        <f t="shared" si="320"/>
        <v>20.719999999999999</v>
      </c>
      <c r="F6899" s="22">
        <v>0</v>
      </c>
      <c r="G6899" s="21">
        <f t="shared" si="321"/>
        <v>20.260000000000002</v>
      </c>
      <c r="H6899" s="22">
        <v>0</v>
      </c>
      <c r="I6899" s="23" t="str">
        <f t="shared" si="322"/>
        <v xml:space="preserve">COM VALOR</v>
      </c>
      <c r="J6899" s="19"/>
      <c r="L6899" s="21">
        <v>20.719999999999999</v>
      </c>
      <c r="M6899" s="22">
        <v>0</v>
      </c>
      <c r="N6899" s="21">
        <v>20.260000000000002</v>
      </c>
      <c r="O6899" s="22">
        <v>0</v>
      </c>
    </row>
    <row r="6900" ht="25.5">
      <c r="A6900" t="s">
        <v>7010</v>
      </c>
      <c r="B6900" s="19">
        <v>104033</v>
      </c>
      <c r="C6900" s="20" t="s">
        <v>7023</v>
      </c>
      <c r="D6900" s="19" t="s">
        <v>31</v>
      </c>
      <c r="E6900" s="21">
        <f t="shared" si="320"/>
        <v>18.940000000000001</v>
      </c>
      <c r="F6900" s="22">
        <v>0</v>
      </c>
      <c r="G6900" s="21">
        <f t="shared" si="321"/>
        <v>18.48</v>
      </c>
      <c r="H6900" s="22">
        <v>0</v>
      </c>
      <c r="I6900" s="23" t="str">
        <f t="shared" si="322"/>
        <v xml:space="preserve">COM VALOR</v>
      </c>
      <c r="J6900" s="19"/>
      <c r="L6900" s="21">
        <v>18.940000000000001</v>
      </c>
      <c r="M6900" s="22">
        <v>0</v>
      </c>
      <c r="N6900" s="21">
        <v>18.48</v>
      </c>
      <c r="O6900" s="22">
        <v>0</v>
      </c>
    </row>
    <row r="6901" ht="25.5">
      <c r="A6901" t="s">
        <v>7010</v>
      </c>
      <c r="B6901" s="19">
        <v>104038</v>
      </c>
      <c r="C6901" s="20" t="s">
        <v>7024</v>
      </c>
      <c r="D6901" s="19" t="s">
        <v>31</v>
      </c>
      <c r="E6901" s="21" t="str">
        <f t="shared" si="320"/>
        <v>VERIFICAR</v>
      </c>
      <c r="F6901" s="22">
        <v>0</v>
      </c>
      <c r="G6901" s="21" t="str">
        <f t="shared" si="321"/>
        <v>VERIFICAR</v>
      </c>
      <c r="H6901" s="22">
        <v>0</v>
      </c>
      <c r="I6901" s="23" t="str">
        <f t="shared" si="322"/>
        <v xml:space="preserve">COM VALOR</v>
      </c>
      <c r="J6901" s="19"/>
      <c r="L6901" s="21">
        <v>0</v>
      </c>
      <c r="M6901" s="22"/>
      <c r="N6901" s="21">
        <v>0</v>
      </c>
      <c r="O6901" s="22"/>
    </row>
    <row r="6902" ht="25.5">
      <c r="A6902" t="s">
        <v>7010</v>
      </c>
      <c r="B6902" s="19">
        <v>104051</v>
      </c>
      <c r="C6902" s="20" t="s">
        <v>7025</v>
      </c>
      <c r="D6902" s="19" t="s">
        <v>31</v>
      </c>
      <c r="E6902" s="21">
        <f t="shared" si="320"/>
        <v>7.46</v>
      </c>
      <c r="F6902" s="22">
        <v>0</v>
      </c>
      <c r="G6902" s="21">
        <f t="shared" si="321"/>
        <v>7.2800000000000002</v>
      </c>
      <c r="H6902" s="22">
        <v>0</v>
      </c>
      <c r="I6902" s="23" t="str">
        <f t="shared" si="322"/>
        <v xml:space="preserve">COM VALOR</v>
      </c>
      <c r="J6902" s="19"/>
      <c r="L6902" s="21">
        <v>7.46</v>
      </c>
      <c r="M6902" s="22">
        <v>0.54000000000000004</v>
      </c>
      <c r="N6902" s="21">
        <v>7.2800000000000002</v>
      </c>
      <c r="O6902" s="22">
        <v>0.56000000000000005</v>
      </c>
    </row>
    <row r="6903" ht="25.5">
      <c r="A6903" t="s">
        <v>7010</v>
      </c>
      <c r="B6903" s="19">
        <v>104052</v>
      </c>
      <c r="C6903" s="20" t="s">
        <v>7026</v>
      </c>
      <c r="D6903" s="19" t="s">
        <v>31</v>
      </c>
      <c r="E6903" s="21">
        <f t="shared" si="320"/>
        <v>10.470000000000001</v>
      </c>
      <c r="F6903" s="22">
        <v>0</v>
      </c>
      <c r="G6903" s="21">
        <f t="shared" si="321"/>
        <v>10.220000000000001</v>
      </c>
      <c r="H6903" s="22">
        <v>0</v>
      </c>
      <c r="I6903" s="23" t="str">
        <f t="shared" si="322"/>
        <v xml:space="preserve">COM VALOR</v>
      </c>
      <c r="J6903" s="19"/>
      <c r="L6903" s="21">
        <v>10.470000000000001</v>
      </c>
      <c r="M6903" s="22">
        <v>0.56000000000000005</v>
      </c>
      <c r="N6903" s="21">
        <v>10.220000000000001</v>
      </c>
      <c r="O6903" s="22">
        <v>0.56999999999999995</v>
      </c>
    </row>
    <row r="6904" ht="25.5">
      <c r="A6904" t="s">
        <v>7010</v>
      </c>
      <c r="B6904" s="19">
        <v>104046</v>
      </c>
      <c r="C6904" s="20" t="s">
        <v>7027</v>
      </c>
      <c r="D6904" s="19" t="s">
        <v>31</v>
      </c>
      <c r="E6904" s="21">
        <f t="shared" si="320"/>
        <v>8.0099999999999998</v>
      </c>
      <c r="F6904" s="22">
        <v>0</v>
      </c>
      <c r="G6904" s="21">
        <f t="shared" si="321"/>
        <v>7.8099999999999996</v>
      </c>
      <c r="H6904" s="22">
        <v>0</v>
      </c>
      <c r="I6904" s="23" t="str">
        <f t="shared" si="322"/>
        <v xml:space="preserve">COM VALOR</v>
      </c>
      <c r="J6904" s="19"/>
      <c r="L6904" s="21">
        <v>8.0099999999999998</v>
      </c>
      <c r="M6904" s="22">
        <v>0.54000000000000004</v>
      </c>
      <c r="N6904" s="21">
        <v>7.8099999999999996</v>
      </c>
      <c r="O6904" s="22">
        <v>0.56000000000000005</v>
      </c>
    </row>
    <row r="6905" ht="25.5">
      <c r="A6905" t="s">
        <v>7010</v>
      </c>
      <c r="B6905" s="19">
        <v>104047</v>
      </c>
      <c r="C6905" s="20" t="s">
        <v>7028</v>
      </c>
      <c r="D6905" s="19" t="s">
        <v>31</v>
      </c>
      <c r="E6905" s="21">
        <f t="shared" si="320"/>
        <v>9.2599999999999998</v>
      </c>
      <c r="F6905" s="22">
        <v>0</v>
      </c>
      <c r="G6905" s="21">
        <f t="shared" si="321"/>
        <v>9.0199999999999996</v>
      </c>
      <c r="H6905" s="22">
        <v>0</v>
      </c>
      <c r="I6905" s="23" t="str">
        <f t="shared" si="322"/>
        <v xml:space="preserve">COM VALOR</v>
      </c>
      <c r="J6905" s="19"/>
      <c r="L6905" s="21">
        <v>9.2599999999999998</v>
      </c>
      <c r="M6905" s="22">
        <v>0.53000000000000003</v>
      </c>
      <c r="N6905" s="21">
        <v>9.0199999999999996</v>
      </c>
      <c r="O6905" s="22">
        <v>0.55000000000000004</v>
      </c>
    </row>
    <row r="6906" ht="25.5">
      <c r="A6906" t="s">
        <v>7010</v>
      </c>
      <c r="B6906" s="19">
        <v>104048</v>
      </c>
      <c r="C6906" s="20" t="s">
        <v>7029</v>
      </c>
      <c r="D6906" s="19" t="s">
        <v>31</v>
      </c>
      <c r="E6906" s="21">
        <f t="shared" si="320"/>
        <v>13.960000000000001</v>
      </c>
      <c r="F6906" s="22">
        <v>0</v>
      </c>
      <c r="G6906" s="21">
        <f t="shared" si="321"/>
        <v>13.699999999999999</v>
      </c>
      <c r="H6906" s="22">
        <v>0</v>
      </c>
      <c r="I6906" s="23" t="str">
        <f t="shared" si="322"/>
        <v xml:space="preserve">COM VALOR</v>
      </c>
      <c r="J6906" s="19"/>
      <c r="L6906" s="21">
        <v>13.960000000000001</v>
      </c>
      <c r="M6906" s="22">
        <v>0.64000000000000001</v>
      </c>
      <c r="N6906" s="21">
        <v>13.699999999999999</v>
      </c>
      <c r="O6906" s="22">
        <v>0.65000000000000002</v>
      </c>
    </row>
    <row r="6907" ht="25.5">
      <c r="A6907" t="s">
        <v>7010</v>
      </c>
      <c r="B6907" s="19">
        <v>104063</v>
      </c>
      <c r="C6907" s="20" t="s">
        <v>7030</v>
      </c>
      <c r="D6907" s="19" t="s">
        <v>31</v>
      </c>
      <c r="E6907" s="21">
        <f t="shared" si="320"/>
        <v>73.920000000000002</v>
      </c>
      <c r="F6907" s="22">
        <v>0</v>
      </c>
      <c r="G6907" s="21">
        <f t="shared" si="321"/>
        <v>73.560000000000002</v>
      </c>
      <c r="H6907" s="22">
        <v>0</v>
      </c>
      <c r="I6907" s="23" t="str">
        <f t="shared" si="322"/>
        <v xml:space="preserve">COM VALOR</v>
      </c>
      <c r="J6907" s="19"/>
      <c r="L6907" s="21">
        <v>73.920000000000002</v>
      </c>
      <c r="M6907" s="22">
        <v>0</v>
      </c>
      <c r="N6907" s="21">
        <v>73.560000000000002</v>
      </c>
      <c r="O6907" s="22">
        <v>0</v>
      </c>
    </row>
    <row r="6908" ht="25.5">
      <c r="A6908" t="s">
        <v>7010</v>
      </c>
      <c r="B6908" s="19">
        <v>104065</v>
      </c>
      <c r="C6908" s="20" t="s">
        <v>7031</v>
      </c>
      <c r="D6908" s="19" t="s">
        <v>31</v>
      </c>
      <c r="E6908" s="21">
        <f t="shared" si="320"/>
        <v>161.81</v>
      </c>
      <c r="F6908" s="22"/>
      <c r="G6908" s="21">
        <f t="shared" si="321"/>
        <v>161.41999999999999</v>
      </c>
      <c r="H6908" s="22"/>
      <c r="I6908" s="23" t="str">
        <f t="shared" si="322"/>
        <v xml:space="preserve">COM VALOR</v>
      </c>
      <c r="J6908" s="19"/>
      <c r="L6908" s="21">
        <v>161.81</v>
      </c>
      <c r="M6908" s="22">
        <v>0</v>
      </c>
      <c r="N6908" s="21">
        <v>161.41999999999999</v>
      </c>
      <c r="O6908" s="22">
        <v>0</v>
      </c>
    </row>
    <row r="6909" ht="25.5">
      <c r="A6909" t="s">
        <v>7010</v>
      </c>
      <c r="B6909" s="19">
        <v>104062</v>
      </c>
      <c r="C6909" s="20" t="s">
        <v>7032</v>
      </c>
      <c r="D6909" s="19" t="s">
        <v>31</v>
      </c>
      <c r="E6909" s="21">
        <f t="shared" si="320"/>
        <v>77.879999999999995</v>
      </c>
      <c r="F6909" s="22">
        <v>0</v>
      </c>
      <c r="G6909" s="21">
        <f t="shared" si="321"/>
        <v>77.519999999999996</v>
      </c>
      <c r="H6909" s="22">
        <v>0</v>
      </c>
      <c r="I6909" s="23" t="str">
        <f t="shared" si="322"/>
        <v xml:space="preserve">COM VALOR</v>
      </c>
      <c r="J6909" s="19"/>
      <c r="L6909" s="21">
        <v>77.879999999999995</v>
      </c>
      <c r="M6909" s="22">
        <v>0</v>
      </c>
      <c r="N6909" s="21">
        <v>77.519999999999996</v>
      </c>
      <c r="O6909" s="22">
        <v>0</v>
      </c>
    </row>
    <row r="6910" ht="25.5">
      <c r="A6910" t="s">
        <v>7010</v>
      </c>
      <c r="B6910" s="19">
        <v>104064</v>
      </c>
      <c r="C6910" s="20" t="s">
        <v>7033</v>
      </c>
      <c r="D6910" s="19" t="s">
        <v>31</v>
      </c>
      <c r="E6910" s="21">
        <f t="shared" si="320"/>
        <v>191.61000000000001</v>
      </c>
      <c r="F6910" s="22">
        <v>0</v>
      </c>
      <c r="G6910" s="21">
        <f t="shared" si="321"/>
        <v>191.22</v>
      </c>
      <c r="H6910" s="22">
        <v>0</v>
      </c>
      <c r="I6910" s="23" t="str">
        <f t="shared" si="322"/>
        <v xml:space="preserve">COM VALOR</v>
      </c>
      <c r="J6910" s="19"/>
      <c r="L6910" s="21">
        <v>191.61000000000001</v>
      </c>
      <c r="M6910" s="22">
        <v>0</v>
      </c>
      <c r="N6910" s="21">
        <v>191.22</v>
      </c>
      <c r="O6910" s="22">
        <v>0</v>
      </c>
    </row>
    <row r="6911" ht="12.75">
      <c r="A6911" t="s">
        <v>7010</v>
      </c>
      <c r="B6911" s="19">
        <v>104059</v>
      </c>
      <c r="C6911" s="20" t="s">
        <v>7034</v>
      </c>
      <c r="D6911" s="19" t="s">
        <v>31</v>
      </c>
      <c r="E6911" s="21">
        <f t="shared" si="320"/>
        <v>10.119999999999999</v>
      </c>
      <c r="F6911" s="22">
        <v>0</v>
      </c>
      <c r="G6911" s="21">
        <f t="shared" si="321"/>
        <v>9.8399999999999999</v>
      </c>
      <c r="H6911" s="22">
        <v>0</v>
      </c>
      <c r="I6911" s="23" t="str">
        <f t="shared" si="322"/>
        <v xml:space="preserve">COM VALOR</v>
      </c>
      <c r="J6911" s="19"/>
      <c r="L6911" s="21">
        <v>10.119999999999999</v>
      </c>
      <c r="M6911" s="22">
        <v>0</v>
      </c>
      <c r="N6911" s="21">
        <v>9.8399999999999999</v>
      </c>
      <c r="O6911" s="22">
        <v>0</v>
      </c>
    </row>
    <row r="6912" ht="25.5">
      <c r="A6912" t="s">
        <v>7010</v>
      </c>
      <c r="B6912" s="19">
        <v>104058</v>
      </c>
      <c r="C6912" s="20" t="s">
        <v>7035</v>
      </c>
      <c r="D6912" s="19" t="s">
        <v>31</v>
      </c>
      <c r="E6912" s="21">
        <f t="shared" si="320"/>
        <v>6.9400000000000004</v>
      </c>
      <c r="F6912" s="22">
        <v>0</v>
      </c>
      <c r="G6912" s="21">
        <f t="shared" si="321"/>
        <v>6.6399999999999997</v>
      </c>
      <c r="H6912" s="22">
        <v>0</v>
      </c>
      <c r="I6912" s="23" t="str">
        <f t="shared" si="322"/>
        <v xml:space="preserve">COM VALOR</v>
      </c>
      <c r="J6912" s="19"/>
      <c r="L6912" s="21">
        <v>6.9400000000000004</v>
      </c>
      <c r="M6912" s="22">
        <v>0</v>
      </c>
      <c r="N6912" s="21">
        <v>6.6399999999999997</v>
      </c>
      <c r="O6912" s="22">
        <v>0</v>
      </c>
    </row>
    <row r="6913" ht="25.5">
      <c r="A6913" t="s">
        <v>7010</v>
      </c>
      <c r="B6913" s="19">
        <v>104082</v>
      </c>
      <c r="C6913" s="20" t="s">
        <v>7036</v>
      </c>
      <c r="D6913" s="19" t="s">
        <v>31</v>
      </c>
      <c r="E6913" s="21">
        <f t="shared" si="320"/>
        <v>31.68</v>
      </c>
      <c r="F6913" s="22">
        <v>0</v>
      </c>
      <c r="G6913" s="21">
        <f t="shared" si="321"/>
        <v>31.510000000000002</v>
      </c>
      <c r="H6913" s="22">
        <v>0</v>
      </c>
      <c r="I6913" s="23" t="str">
        <f t="shared" si="322"/>
        <v xml:space="preserve">COM VALOR</v>
      </c>
      <c r="J6913" s="19"/>
      <c r="L6913" s="21">
        <v>31.68</v>
      </c>
      <c r="M6913" s="22">
        <v>0</v>
      </c>
      <c r="N6913" s="21">
        <v>31.510000000000002</v>
      </c>
      <c r="O6913" s="22">
        <v>0</v>
      </c>
    </row>
    <row r="6914" ht="25.5">
      <c r="A6914" t="s">
        <v>7010</v>
      </c>
      <c r="B6914" s="19">
        <v>104083</v>
      </c>
      <c r="C6914" s="20" t="s">
        <v>7037</v>
      </c>
      <c r="D6914" s="19" t="s">
        <v>31</v>
      </c>
      <c r="E6914" s="21">
        <f t="shared" si="320"/>
        <v>77.530000000000001</v>
      </c>
      <c r="F6914" s="22">
        <v>0</v>
      </c>
      <c r="G6914" s="21">
        <f t="shared" si="321"/>
        <v>77.340000000000003</v>
      </c>
      <c r="H6914" s="22">
        <v>0</v>
      </c>
      <c r="I6914" s="23" t="str">
        <f t="shared" si="322"/>
        <v xml:space="preserve">COM VALOR</v>
      </c>
      <c r="J6914" s="19"/>
      <c r="L6914" s="21">
        <v>77.530000000000001</v>
      </c>
      <c r="M6914" s="22">
        <v>0</v>
      </c>
      <c r="N6914" s="21">
        <v>77.340000000000003</v>
      </c>
      <c r="O6914" s="22">
        <v>0</v>
      </c>
    </row>
    <row r="6915" ht="25.5">
      <c r="A6915" t="s">
        <v>7010</v>
      </c>
      <c r="B6915" s="19">
        <v>104057</v>
      </c>
      <c r="C6915" s="20" t="s">
        <v>7038</v>
      </c>
      <c r="D6915" s="19" t="s">
        <v>31</v>
      </c>
      <c r="E6915" s="21" t="str">
        <f t="shared" si="320"/>
        <v>VERIFICAR</v>
      </c>
      <c r="F6915" s="22">
        <v>0</v>
      </c>
      <c r="G6915" s="21" t="str">
        <f t="shared" si="321"/>
        <v>VERIFICAR</v>
      </c>
      <c r="H6915" s="22">
        <v>0</v>
      </c>
      <c r="I6915" s="23" t="str">
        <f t="shared" si="322"/>
        <v xml:space="preserve">COM VALOR</v>
      </c>
      <c r="J6915" s="19"/>
      <c r="L6915" s="21">
        <v>0</v>
      </c>
      <c r="M6915" s="22"/>
      <c r="N6915" s="21">
        <v>0</v>
      </c>
      <c r="O6915" s="22"/>
    </row>
    <row r="6916" ht="25.5">
      <c r="A6916" t="s">
        <v>7010</v>
      </c>
      <c r="B6916" s="19">
        <v>104056</v>
      </c>
      <c r="C6916" s="20" t="s">
        <v>7039</v>
      </c>
      <c r="D6916" s="19" t="s">
        <v>31</v>
      </c>
      <c r="E6916" s="21">
        <f t="shared" si="320"/>
        <v>21.469999999999999</v>
      </c>
      <c r="F6916" s="22">
        <v>0</v>
      </c>
      <c r="G6916" s="21">
        <f t="shared" si="321"/>
        <v>21.27</v>
      </c>
      <c r="H6916" s="22">
        <v>0</v>
      </c>
      <c r="I6916" s="23" t="str">
        <f t="shared" si="322"/>
        <v xml:space="preserve">COM VALOR</v>
      </c>
      <c r="J6916" s="19"/>
      <c r="L6916" s="21">
        <v>21.469999999999999</v>
      </c>
      <c r="M6916" s="22">
        <v>0</v>
      </c>
      <c r="N6916" s="21">
        <v>21.27</v>
      </c>
      <c r="O6916" s="22">
        <v>0</v>
      </c>
    </row>
    <row r="6917" ht="25.5">
      <c r="A6917" t="s">
        <v>7010</v>
      </c>
      <c r="B6917" s="19">
        <v>104055</v>
      </c>
      <c r="C6917" s="20" t="s">
        <v>7040</v>
      </c>
      <c r="D6917" s="19" t="s">
        <v>31</v>
      </c>
      <c r="E6917" s="21">
        <f t="shared" si="320"/>
        <v>14.25</v>
      </c>
      <c r="F6917" s="22">
        <v>0</v>
      </c>
      <c r="G6917" s="21">
        <f t="shared" si="321"/>
        <v>14.07</v>
      </c>
      <c r="H6917" s="22">
        <v>0</v>
      </c>
      <c r="I6917" s="23" t="str">
        <f t="shared" si="322"/>
        <v xml:space="preserve">COM VALOR</v>
      </c>
      <c r="J6917" s="19"/>
      <c r="L6917" s="21">
        <v>14.25</v>
      </c>
      <c r="M6917" s="22">
        <v>0</v>
      </c>
      <c r="N6917" s="21">
        <v>14.07</v>
      </c>
      <c r="O6917" s="22">
        <v>0</v>
      </c>
    </row>
    <row r="6918" ht="25.5">
      <c r="A6918" t="s">
        <v>7010</v>
      </c>
      <c r="B6918" s="19">
        <v>104076</v>
      </c>
      <c r="C6918" s="20" t="s">
        <v>7041</v>
      </c>
      <c r="D6918" s="19" t="s">
        <v>31</v>
      </c>
      <c r="E6918" s="21">
        <f t="shared" si="320"/>
        <v>48.009999999999998</v>
      </c>
      <c r="F6918" s="22">
        <v>0</v>
      </c>
      <c r="G6918" s="21">
        <f t="shared" si="321"/>
        <v>47.43</v>
      </c>
      <c r="H6918" s="22">
        <v>0</v>
      </c>
      <c r="I6918" s="23" t="str">
        <f t="shared" si="322"/>
        <v xml:space="preserve">COM VALOR</v>
      </c>
      <c r="J6918" s="19"/>
      <c r="L6918" s="21">
        <v>48.009999999999998</v>
      </c>
      <c r="M6918" s="22">
        <v>0</v>
      </c>
      <c r="N6918" s="21">
        <v>47.43</v>
      </c>
      <c r="O6918" s="22">
        <v>0</v>
      </c>
    </row>
    <row r="6919" ht="25.5">
      <c r="A6919" t="s">
        <v>7010</v>
      </c>
      <c r="B6919" s="19">
        <v>104060</v>
      </c>
      <c r="C6919" s="20" t="s">
        <v>7042</v>
      </c>
      <c r="D6919" s="19" t="s">
        <v>38</v>
      </c>
      <c r="E6919" s="21">
        <f t="shared" si="320"/>
        <v>8.6999999999999993</v>
      </c>
      <c r="F6919" s="22">
        <v>0</v>
      </c>
      <c r="G6919" s="21">
        <f t="shared" si="321"/>
        <v>8.5399999999999991</v>
      </c>
      <c r="H6919" s="22">
        <v>0</v>
      </c>
      <c r="I6919" s="23" t="str">
        <f t="shared" si="322"/>
        <v xml:space="preserve">COM VALOR</v>
      </c>
      <c r="J6919" s="19"/>
      <c r="L6919" s="21">
        <v>8.6999999999999993</v>
      </c>
      <c r="M6919" s="22">
        <v>0.65000000000000002</v>
      </c>
      <c r="N6919" s="21">
        <v>8.5399999999999991</v>
      </c>
      <c r="O6919" s="22">
        <v>0.66000000000000003</v>
      </c>
    </row>
    <row r="6920" ht="25.5">
      <c r="A6920" t="s">
        <v>7010</v>
      </c>
      <c r="B6920" s="19">
        <v>104061</v>
      </c>
      <c r="C6920" s="20" t="s">
        <v>7043</v>
      </c>
      <c r="D6920" s="19" t="s">
        <v>38</v>
      </c>
      <c r="E6920" s="21">
        <f t="shared" si="320"/>
        <v>15.76</v>
      </c>
      <c r="F6920" s="22">
        <v>0</v>
      </c>
      <c r="G6920" s="21">
        <f t="shared" si="321"/>
        <v>15.51</v>
      </c>
      <c r="H6920" s="22">
        <v>0</v>
      </c>
      <c r="I6920" s="23" t="str">
        <f t="shared" si="322"/>
        <v xml:space="preserve">COM VALOR</v>
      </c>
      <c r="J6920" s="19"/>
      <c r="L6920" s="21">
        <v>15.76</v>
      </c>
      <c r="M6920" s="22">
        <v>0.69999999999999996</v>
      </c>
      <c r="N6920" s="21">
        <v>15.51</v>
      </c>
      <c r="O6920" s="22">
        <v>0.71999999999999997</v>
      </c>
    </row>
    <row r="6921" ht="25.5">
      <c r="A6921" t="s">
        <v>7010</v>
      </c>
      <c r="B6921" s="19">
        <v>104085</v>
      </c>
      <c r="C6921" s="20" t="s">
        <v>7044</v>
      </c>
      <c r="D6921" s="19" t="s">
        <v>38</v>
      </c>
      <c r="E6921" s="21">
        <f t="shared" si="320"/>
        <v>57.590000000000003</v>
      </c>
      <c r="F6921" s="22">
        <v>0</v>
      </c>
      <c r="G6921" s="21">
        <f t="shared" si="321"/>
        <v>57.090000000000003</v>
      </c>
      <c r="H6921" s="22">
        <v>0</v>
      </c>
      <c r="I6921" s="23" t="str">
        <f t="shared" si="322"/>
        <v xml:space="preserve">COM VALOR</v>
      </c>
      <c r="J6921" s="19"/>
      <c r="L6921" s="21">
        <v>57.590000000000003</v>
      </c>
      <c r="M6921" s="22">
        <v>0</v>
      </c>
      <c r="N6921" s="21">
        <v>57.090000000000003</v>
      </c>
      <c r="O6921" s="22">
        <v>0</v>
      </c>
    </row>
    <row r="6922" ht="25.5">
      <c r="A6922" t="s">
        <v>7010</v>
      </c>
      <c r="B6922" s="19">
        <v>104086</v>
      </c>
      <c r="C6922" s="20" t="s">
        <v>7045</v>
      </c>
      <c r="D6922" s="19" t="s">
        <v>38</v>
      </c>
      <c r="E6922" s="21">
        <f t="shared" si="320"/>
        <v>104.59</v>
      </c>
      <c r="F6922" s="22">
        <v>0</v>
      </c>
      <c r="G6922" s="21">
        <f t="shared" si="321"/>
        <v>104.02</v>
      </c>
      <c r="H6922" s="22">
        <v>0</v>
      </c>
      <c r="I6922" s="23" t="str">
        <f t="shared" si="322"/>
        <v xml:space="preserve">COM VALOR</v>
      </c>
      <c r="J6922" s="19"/>
      <c r="L6922" s="21">
        <v>104.59</v>
      </c>
      <c r="M6922" s="22">
        <v>0</v>
      </c>
      <c r="N6922" s="21">
        <v>104.02</v>
      </c>
      <c r="O6922" s="22">
        <v>0</v>
      </c>
    </row>
    <row r="6923" ht="25.5">
      <c r="A6923" t="s">
        <v>7010</v>
      </c>
      <c r="B6923" s="19">
        <v>104073</v>
      </c>
      <c r="C6923" s="20" t="s">
        <v>7046</v>
      </c>
      <c r="D6923" s="19" t="s">
        <v>31</v>
      </c>
      <c r="E6923" s="21" t="str">
        <f t="shared" ref="E6923:E6986" si="323">IF(L6923=0,"VERIFICAR",L6923)</f>
        <v>VERIFICAR</v>
      </c>
      <c r="F6923" s="22">
        <v>0</v>
      </c>
      <c r="G6923" s="21" t="str">
        <f t="shared" ref="G6923:G6986" si="324">IF(N6923=0,"VERIFICAR",N6923)</f>
        <v>VERIFICAR</v>
      </c>
      <c r="H6923" s="22">
        <v>0</v>
      </c>
      <c r="I6923" s="23" t="str">
        <f t="shared" ref="I6923:I6986" si="325">IF(OR(E6923=0,G6923=0),"SEM VALOR","COM VALOR")</f>
        <v xml:space="preserve">COM VALOR</v>
      </c>
      <c r="J6923" s="19"/>
      <c r="L6923" s="21">
        <v>0</v>
      </c>
      <c r="M6923" s="22"/>
      <c r="N6923" s="21">
        <v>0</v>
      </c>
      <c r="O6923" s="22"/>
    </row>
    <row r="6924" ht="25.5">
      <c r="A6924" t="s">
        <v>7010</v>
      </c>
      <c r="B6924" s="19">
        <v>104074</v>
      </c>
      <c r="C6924" s="20" t="s">
        <v>7047</v>
      </c>
      <c r="D6924" s="19" t="s">
        <v>31</v>
      </c>
      <c r="E6924" s="21" t="str">
        <f t="shared" si="323"/>
        <v>VERIFICAR</v>
      </c>
      <c r="F6924" s="22">
        <v>0</v>
      </c>
      <c r="G6924" s="21" t="str">
        <f t="shared" si="324"/>
        <v>VERIFICAR</v>
      </c>
      <c r="H6924" s="22">
        <v>0</v>
      </c>
      <c r="I6924" s="23" t="str">
        <f t="shared" si="325"/>
        <v xml:space="preserve">COM VALOR</v>
      </c>
      <c r="J6924" s="19"/>
      <c r="L6924" s="21">
        <v>0</v>
      </c>
      <c r="M6924" s="22"/>
      <c r="N6924" s="21">
        <v>0</v>
      </c>
      <c r="O6924" s="22"/>
    </row>
    <row r="6925" ht="25.5">
      <c r="A6925" t="s">
        <v>7010</v>
      </c>
      <c r="B6925" s="19">
        <v>104075</v>
      </c>
      <c r="C6925" s="20" t="s">
        <v>7048</v>
      </c>
      <c r="D6925" s="19" t="s">
        <v>31</v>
      </c>
      <c r="E6925" s="21" t="str">
        <f t="shared" si="323"/>
        <v>VERIFICAR</v>
      </c>
      <c r="F6925" s="22">
        <v>0</v>
      </c>
      <c r="G6925" s="21" t="str">
        <f t="shared" si="324"/>
        <v>VERIFICAR</v>
      </c>
      <c r="H6925" s="22">
        <v>0</v>
      </c>
      <c r="I6925" s="23" t="str">
        <f t="shared" si="325"/>
        <v xml:space="preserve">COM VALOR</v>
      </c>
      <c r="J6925" s="19"/>
      <c r="L6925" s="21">
        <v>0</v>
      </c>
      <c r="M6925" s="22"/>
      <c r="N6925" s="21">
        <v>0</v>
      </c>
      <c r="O6925" s="22"/>
    </row>
    <row r="6926" ht="25.5">
      <c r="A6926" t="s">
        <v>7010</v>
      </c>
      <c r="B6926" s="19">
        <v>104039</v>
      </c>
      <c r="C6926" s="20" t="s">
        <v>7049</v>
      </c>
      <c r="D6926" s="19" t="s">
        <v>31</v>
      </c>
      <c r="E6926" s="21">
        <f t="shared" si="323"/>
        <v>76.650000000000006</v>
      </c>
      <c r="F6926" s="22">
        <v>0</v>
      </c>
      <c r="G6926" s="21">
        <f t="shared" si="324"/>
        <v>75.659999999999997</v>
      </c>
      <c r="H6926" s="22">
        <v>0</v>
      </c>
      <c r="I6926" s="23" t="str">
        <f t="shared" si="325"/>
        <v xml:space="preserve">COM VALOR</v>
      </c>
      <c r="J6926" s="19"/>
      <c r="L6926" s="21">
        <v>76.650000000000006</v>
      </c>
      <c r="M6926" s="22">
        <v>0.76000000000000001</v>
      </c>
      <c r="N6926" s="21">
        <v>75.659999999999997</v>
      </c>
      <c r="O6926" s="22">
        <v>0.77000000000000002</v>
      </c>
    </row>
    <row r="6927" ht="25.5">
      <c r="A6927" t="s">
        <v>7010</v>
      </c>
      <c r="B6927" s="19">
        <v>104040</v>
      </c>
      <c r="C6927" s="20" t="s">
        <v>7050</v>
      </c>
      <c r="D6927" s="19" t="s">
        <v>31</v>
      </c>
      <c r="E6927" s="21" t="str">
        <f t="shared" si="323"/>
        <v>VERIFICAR</v>
      </c>
      <c r="F6927" s="22">
        <v>0</v>
      </c>
      <c r="G6927" s="21" t="str">
        <f t="shared" si="324"/>
        <v>VERIFICAR</v>
      </c>
      <c r="H6927" s="22">
        <v>0</v>
      </c>
      <c r="I6927" s="23" t="str">
        <f t="shared" si="325"/>
        <v xml:space="preserve">COM VALOR</v>
      </c>
      <c r="J6927" s="19"/>
      <c r="L6927" s="21">
        <v>0</v>
      </c>
      <c r="M6927" s="22"/>
      <c r="N6927" s="21">
        <v>0</v>
      </c>
      <c r="O6927" s="22"/>
    </row>
    <row r="6928" ht="25.5">
      <c r="A6928" t="s">
        <v>7010</v>
      </c>
      <c r="B6928" s="19">
        <v>104041</v>
      </c>
      <c r="C6928" s="20" t="s">
        <v>7051</v>
      </c>
      <c r="D6928" s="19" t="s">
        <v>31</v>
      </c>
      <c r="E6928" s="21" t="str">
        <f t="shared" si="323"/>
        <v>VERIFICAR</v>
      </c>
      <c r="F6928" s="22"/>
      <c r="G6928" s="21" t="str">
        <f t="shared" si="324"/>
        <v>VERIFICAR</v>
      </c>
      <c r="H6928" s="22"/>
      <c r="I6928" s="23" t="str">
        <f t="shared" si="325"/>
        <v xml:space="preserve">COM VALOR</v>
      </c>
      <c r="J6928" s="19"/>
      <c r="L6928" s="21">
        <v>0</v>
      </c>
      <c r="M6928" s="22"/>
      <c r="N6928" s="21">
        <v>0</v>
      </c>
      <c r="O6928" s="22"/>
    </row>
    <row r="6929" ht="25.5">
      <c r="A6929" t="s">
        <v>7010</v>
      </c>
      <c r="B6929" s="19">
        <v>104042</v>
      </c>
      <c r="C6929" s="20" t="s">
        <v>7052</v>
      </c>
      <c r="D6929" s="19" t="s">
        <v>31</v>
      </c>
      <c r="E6929" s="21" t="str">
        <f t="shared" si="323"/>
        <v>VERIFICAR</v>
      </c>
      <c r="F6929" s="22">
        <v>0</v>
      </c>
      <c r="G6929" s="21" t="str">
        <f t="shared" si="324"/>
        <v>VERIFICAR</v>
      </c>
      <c r="H6929" s="22">
        <v>0</v>
      </c>
      <c r="I6929" s="23" t="str">
        <f t="shared" si="325"/>
        <v xml:space="preserve">COM VALOR</v>
      </c>
      <c r="J6929" s="19"/>
      <c r="L6929" s="21">
        <v>0</v>
      </c>
      <c r="M6929" s="22"/>
      <c r="N6929" s="21">
        <v>0</v>
      </c>
      <c r="O6929" s="22"/>
    </row>
    <row r="6930" ht="25.5">
      <c r="A6930" t="s">
        <v>7010</v>
      </c>
      <c r="B6930" s="19">
        <v>104072</v>
      </c>
      <c r="C6930" s="20" t="s">
        <v>7053</v>
      </c>
      <c r="D6930" s="19" t="s">
        <v>31</v>
      </c>
      <c r="E6930" s="21">
        <f t="shared" si="323"/>
        <v>294.64999999999998</v>
      </c>
      <c r="F6930" s="22">
        <v>0</v>
      </c>
      <c r="G6930" s="21">
        <f t="shared" si="324"/>
        <v>294.06</v>
      </c>
      <c r="H6930" s="22">
        <v>0</v>
      </c>
      <c r="I6930" s="23" t="str">
        <f t="shared" si="325"/>
        <v xml:space="preserve">COM VALOR</v>
      </c>
      <c r="J6930" s="19"/>
      <c r="L6930" s="21">
        <v>294.64999999999998</v>
      </c>
      <c r="M6930" s="22">
        <v>0</v>
      </c>
      <c r="N6930" s="21">
        <v>294.06</v>
      </c>
      <c r="O6930" s="22">
        <v>0</v>
      </c>
    </row>
    <row r="6931" ht="25.5">
      <c r="A6931" t="s">
        <v>7010</v>
      </c>
      <c r="B6931" s="19">
        <v>104053</v>
      </c>
      <c r="C6931" s="20" t="s">
        <v>7054</v>
      </c>
      <c r="D6931" s="19" t="s">
        <v>31</v>
      </c>
      <c r="E6931" s="21">
        <f t="shared" si="323"/>
        <v>8.8300000000000001</v>
      </c>
      <c r="F6931" s="22">
        <v>0</v>
      </c>
      <c r="G6931" s="21">
        <f t="shared" si="324"/>
        <v>8.6500000000000004</v>
      </c>
      <c r="H6931" s="22">
        <v>0</v>
      </c>
      <c r="I6931" s="23" t="str">
        <f t="shared" si="325"/>
        <v xml:space="preserve">COM VALOR</v>
      </c>
      <c r="J6931" s="19"/>
      <c r="L6931" s="21">
        <v>8.8300000000000001</v>
      </c>
      <c r="M6931" s="22">
        <v>0.60999999999999999</v>
      </c>
      <c r="N6931" s="21">
        <v>8.6500000000000004</v>
      </c>
      <c r="O6931" s="22">
        <v>0.63</v>
      </c>
    </row>
    <row r="6932" ht="25.5">
      <c r="A6932" t="s">
        <v>7010</v>
      </c>
      <c r="B6932" s="19">
        <v>104054</v>
      </c>
      <c r="C6932" s="20" t="s">
        <v>7055</v>
      </c>
      <c r="D6932" s="19" t="s">
        <v>31</v>
      </c>
      <c r="E6932" s="21">
        <f t="shared" si="323"/>
        <v>18.059999999999999</v>
      </c>
      <c r="F6932" s="22">
        <v>0</v>
      </c>
      <c r="G6932" s="21">
        <f t="shared" si="324"/>
        <v>17.809999999999999</v>
      </c>
      <c r="H6932" s="22">
        <v>0</v>
      </c>
      <c r="I6932" s="23" t="str">
        <f t="shared" si="325"/>
        <v xml:space="preserve">COM VALOR</v>
      </c>
      <c r="J6932" s="19"/>
      <c r="L6932" s="21">
        <v>18.059999999999999</v>
      </c>
      <c r="M6932" s="22">
        <v>0.73999999999999999</v>
      </c>
      <c r="N6932" s="21">
        <v>17.809999999999999</v>
      </c>
      <c r="O6932" s="22">
        <v>0.75</v>
      </c>
    </row>
    <row r="6933" ht="25.5">
      <c r="A6933" t="s">
        <v>7056</v>
      </c>
      <c r="B6933" s="19">
        <v>99818</v>
      </c>
      <c r="C6933" s="20" t="s">
        <v>7057</v>
      </c>
      <c r="D6933" s="19" t="s">
        <v>31</v>
      </c>
      <c r="E6933" s="21">
        <f t="shared" si="323"/>
        <v>5.21</v>
      </c>
      <c r="F6933" s="22">
        <v>0</v>
      </c>
      <c r="G6933" s="21">
        <f t="shared" si="324"/>
        <v>5.0199999999999996</v>
      </c>
      <c r="H6933" s="22">
        <v>0</v>
      </c>
      <c r="I6933" s="23" t="str">
        <f t="shared" si="325"/>
        <v xml:space="preserve">COM VALOR</v>
      </c>
      <c r="J6933" s="19"/>
      <c r="L6933" s="21">
        <v>5.21</v>
      </c>
      <c r="M6933" s="22">
        <v>0</v>
      </c>
      <c r="N6933" s="21">
        <v>5.0199999999999996</v>
      </c>
      <c r="O6933" s="22">
        <v>0</v>
      </c>
    </row>
    <row r="6934" ht="25.5">
      <c r="A6934" t="s">
        <v>7056</v>
      </c>
      <c r="B6934" s="19">
        <v>99819</v>
      </c>
      <c r="C6934" s="20" t="s">
        <v>7058</v>
      </c>
      <c r="D6934" s="19" t="s">
        <v>29</v>
      </c>
      <c r="E6934" s="21">
        <f t="shared" si="323"/>
        <v>17.469999999999999</v>
      </c>
      <c r="F6934" s="22">
        <v>0</v>
      </c>
      <c r="G6934" s="21">
        <f t="shared" si="324"/>
        <v>16.550000000000001</v>
      </c>
      <c r="H6934" s="22">
        <v>0</v>
      </c>
      <c r="I6934" s="23" t="str">
        <f t="shared" si="325"/>
        <v xml:space="preserve">COM VALOR</v>
      </c>
      <c r="J6934" s="19"/>
      <c r="L6934" s="21">
        <v>17.469999999999999</v>
      </c>
      <c r="M6934" s="22">
        <v>0</v>
      </c>
      <c r="N6934" s="21">
        <v>16.550000000000001</v>
      </c>
      <c r="O6934" s="22">
        <v>0</v>
      </c>
    </row>
    <row r="6935" ht="25.5">
      <c r="A6935" t="s">
        <v>7056</v>
      </c>
      <c r="B6935" s="19">
        <v>99817</v>
      </c>
      <c r="C6935" s="20" t="s">
        <v>7059</v>
      </c>
      <c r="D6935" s="19" t="s">
        <v>31</v>
      </c>
      <c r="E6935" s="21">
        <f t="shared" si="323"/>
        <v>6</v>
      </c>
      <c r="F6935" s="22">
        <v>0</v>
      </c>
      <c r="G6935" s="21">
        <f t="shared" si="324"/>
        <v>5.7699999999999996</v>
      </c>
      <c r="H6935" s="22">
        <v>0</v>
      </c>
      <c r="I6935" s="23" t="str">
        <f t="shared" si="325"/>
        <v xml:space="preserve">COM VALOR</v>
      </c>
      <c r="J6935" s="19"/>
      <c r="L6935" s="21">
        <v>6</v>
      </c>
      <c r="M6935" s="22">
        <v>0</v>
      </c>
      <c r="N6935" s="21">
        <v>5.7699999999999996</v>
      </c>
      <c r="O6935" s="22">
        <v>0</v>
      </c>
    </row>
    <row r="6936" ht="25.5">
      <c r="A6936" t="s">
        <v>7056</v>
      </c>
      <c r="B6936" s="19">
        <v>99815</v>
      </c>
      <c r="C6936" s="20" t="s">
        <v>7060</v>
      </c>
      <c r="D6936" s="19" t="s">
        <v>31</v>
      </c>
      <c r="E6936" s="21">
        <f t="shared" si="323"/>
        <v>8.5899999999999999</v>
      </c>
      <c r="F6936" s="22">
        <v>0</v>
      </c>
      <c r="G6936" s="21">
        <f t="shared" si="324"/>
        <v>8.2200000000000006</v>
      </c>
      <c r="H6936" s="22">
        <v>0</v>
      </c>
      <c r="I6936" s="23" t="str">
        <f t="shared" si="325"/>
        <v xml:space="preserve">COM VALOR</v>
      </c>
      <c r="J6936" s="19"/>
      <c r="L6936" s="21">
        <v>8.5899999999999999</v>
      </c>
      <c r="M6936" s="22">
        <v>0</v>
      </c>
      <c r="N6936" s="21">
        <v>8.2200000000000006</v>
      </c>
      <c r="O6936" s="22">
        <v>0</v>
      </c>
    </row>
    <row r="6937" ht="12.75">
      <c r="A6937" t="s">
        <v>7056</v>
      </c>
      <c r="B6937" s="19">
        <v>99811</v>
      </c>
      <c r="C6937" s="20" t="s">
        <v>7061</v>
      </c>
      <c r="D6937" s="19" t="s">
        <v>29</v>
      </c>
      <c r="E6937" s="21">
        <f t="shared" si="323"/>
        <v>0.65000000000000002</v>
      </c>
      <c r="F6937" s="22">
        <v>0</v>
      </c>
      <c r="G6937" s="21">
        <f t="shared" si="324"/>
        <v>0.60999999999999999</v>
      </c>
      <c r="H6937" s="22">
        <v>0</v>
      </c>
      <c r="I6937" s="23" t="str">
        <f t="shared" si="325"/>
        <v xml:space="preserve">COM VALOR</v>
      </c>
      <c r="J6937" s="19"/>
      <c r="L6937" s="21">
        <v>0.65000000000000002</v>
      </c>
      <c r="M6937" s="22">
        <v>0</v>
      </c>
      <c r="N6937" s="21">
        <v>0.60999999999999999</v>
      </c>
      <c r="O6937" s="22">
        <v>0</v>
      </c>
    </row>
    <row r="6938" ht="12.75">
      <c r="A6938" t="s">
        <v>7056</v>
      </c>
      <c r="B6938" s="19">
        <v>99826</v>
      </c>
      <c r="C6938" s="20" t="s">
        <v>7062</v>
      </c>
      <c r="D6938" s="19" t="s">
        <v>29</v>
      </c>
      <c r="E6938" s="21">
        <f t="shared" si="323"/>
        <v>1.6399999999999999</v>
      </c>
      <c r="F6938" s="22">
        <v>0</v>
      </c>
      <c r="G6938" s="21">
        <f t="shared" si="324"/>
        <v>1.5600000000000001</v>
      </c>
      <c r="H6938" s="22">
        <v>0</v>
      </c>
      <c r="I6938" s="23" t="str">
        <f t="shared" si="325"/>
        <v xml:space="preserve">COM VALOR</v>
      </c>
      <c r="J6938" s="19"/>
      <c r="L6938" s="21">
        <v>1.6399999999999999</v>
      </c>
      <c r="M6938" s="22">
        <v>0</v>
      </c>
      <c r="N6938" s="21">
        <v>1.5600000000000001</v>
      </c>
      <c r="O6938" s="22">
        <v>0</v>
      </c>
    </row>
    <row r="6939" ht="12.75">
      <c r="A6939" t="s">
        <v>7056</v>
      </c>
      <c r="B6939" s="19">
        <v>106170</v>
      </c>
      <c r="C6939" s="20" t="s">
        <v>7063</v>
      </c>
      <c r="D6939" s="19" t="s">
        <v>29</v>
      </c>
      <c r="E6939" s="21">
        <f t="shared" si="323"/>
        <v>6.6200000000000001</v>
      </c>
      <c r="F6939" s="22">
        <v>0</v>
      </c>
      <c r="G6939" s="21">
        <f t="shared" si="324"/>
        <v>6.2699999999999996</v>
      </c>
      <c r="H6939" s="22">
        <v>0</v>
      </c>
      <c r="I6939" s="23" t="str">
        <f t="shared" si="325"/>
        <v xml:space="preserve">COM VALOR</v>
      </c>
      <c r="J6939" s="19"/>
      <c r="L6939" s="21">
        <v>6.6200000000000001</v>
      </c>
      <c r="M6939" s="22">
        <v>0</v>
      </c>
      <c r="N6939" s="21">
        <v>6.2699999999999996</v>
      </c>
      <c r="O6939" s="22">
        <v>0</v>
      </c>
    </row>
    <row r="6940" ht="25.5">
      <c r="A6940" t="s">
        <v>7056</v>
      </c>
      <c r="B6940" s="19">
        <v>99821</v>
      </c>
      <c r="C6940" s="20" t="s">
        <v>7064</v>
      </c>
      <c r="D6940" s="19" t="s">
        <v>29</v>
      </c>
      <c r="E6940" s="21">
        <f t="shared" si="323"/>
        <v>4.6500000000000004</v>
      </c>
      <c r="F6940" s="22">
        <v>0</v>
      </c>
      <c r="G6940" s="21">
        <f t="shared" si="324"/>
        <v>4.4400000000000004</v>
      </c>
      <c r="H6940" s="22">
        <v>0</v>
      </c>
      <c r="I6940" s="23" t="str">
        <f t="shared" si="325"/>
        <v xml:space="preserve">COM VALOR</v>
      </c>
      <c r="J6940" s="19"/>
      <c r="L6940" s="21">
        <v>4.6500000000000004</v>
      </c>
      <c r="M6940" s="22">
        <v>0</v>
      </c>
      <c r="N6940" s="21">
        <v>4.4400000000000004</v>
      </c>
      <c r="O6940" s="22">
        <v>0</v>
      </c>
    </row>
    <row r="6941" ht="12.75">
      <c r="A6941" t="s">
        <v>7056</v>
      </c>
      <c r="B6941" s="19">
        <v>99820</v>
      </c>
      <c r="C6941" s="20" t="s">
        <v>7065</v>
      </c>
      <c r="D6941" s="19" t="s">
        <v>29</v>
      </c>
      <c r="E6941" s="21">
        <f t="shared" si="323"/>
        <v>2.5</v>
      </c>
      <c r="F6941" s="22">
        <v>0</v>
      </c>
      <c r="G6941" s="21">
        <f t="shared" si="324"/>
        <v>2.3999999999999999</v>
      </c>
      <c r="H6941" s="22">
        <v>0</v>
      </c>
      <c r="I6941" s="23" t="str">
        <f t="shared" si="325"/>
        <v xml:space="preserve">COM VALOR</v>
      </c>
      <c r="J6941" s="19"/>
      <c r="L6941" s="21">
        <v>2.5</v>
      </c>
      <c r="M6941" s="22">
        <v>0</v>
      </c>
      <c r="N6941" s="21">
        <v>2.3999999999999999</v>
      </c>
      <c r="O6941" s="22">
        <v>0</v>
      </c>
    </row>
    <row r="6942" ht="25.5">
      <c r="A6942" t="s">
        <v>7056</v>
      </c>
      <c r="B6942" s="19">
        <v>99805</v>
      </c>
      <c r="C6942" s="20" t="s">
        <v>7066</v>
      </c>
      <c r="D6942" s="19" t="s">
        <v>29</v>
      </c>
      <c r="E6942" s="21">
        <f t="shared" si="323"/>
        <v>10.74</v>
      </c>
      <c r="F6942" s="22">
        <v>0</v>
      </c>
      <c r="G6942" s="21">
        <f t="shared" si="324"/>
        <v>10.220000000000001</v>
      </c>
      <c r="H6942" s="22">
        <v>0</v>
      </c>
      <c r="I6942" s="23" t="str">
        <f t="shared" si="325"/>
        <v xml:space="preserve">COM VALOR</v>
      </c>
      <c r="J6942" s="19"/>
      <c r="L6942" s="21">
        <v>10.74</v>
      </c>
      <c r="M6942" s="22">
        <v>0</v>
      </c>
      <c r="N6942" s="21">
        <v>10.220000000000001</v>
      </c>
      <c r="O6942" s="22">
        <v>0</v>
      </c>
    </row>
    <row r="6943" ht="25.5">
      <c r="A6943" t="s">
        <v>7056</v>
      </c>
      <c r="B6943" s="19">
        <v>99803</v>
      </c>
      <c r="C6943" s="20" t="s">
        <v>7067</v>
      </c>
      <c r="D6943" s="19" t="s">
        <v>29</v>
      </c>
      <c r="E6943" s="21">
        <f t="shared" si="323"/>
        <v>3.8900000000000001</v>
      </c>
      <c r="F6943" s="22">
        <v>0</v>
      </c>
      <c r="G6943" s="21">
        <f t="shared" si="324"/>
        <v>3.71</v>
      </c>
      <c r="H6943" s="22">
        <v>0</v>
      </c>
      <c r="I6943" s="23" t="str">
        <f t="shared" si="325"/>
        <v xml:space="preserve">COM VALOR</v>
      </c>
      <c r="J6943" s="19"/>
      <c r="L6943" s="21">
        <v>3.8900000000000001</v>
      </c>
      <c r="M6943" s="22">
        <v>0</v>
      </c>
      <c r="N6943" s="21">
        <v>3.71</v>
      </c>
      <c r="O6943" s="22">
        <v>0</v>
      </c>
    </row>
    <row r="6944" ht="25.5">
      <c r="A6944" t="s">
        <v>7056</v>
      </c>
      <c r="B6944" s="19">
        <v>99802</v>
      </c>
      <c r="C6944" s="20" t="s">
        <v>7068</v>
      </c>
      <c r="D6944" s="19" t="s">
        <v>29</v>
      </c>
      <c r="E6944" s="21">
        <f t="shared" si="323"/>
        <v>0.52000000000000002</v>
      </c>
      <c r="F6944" s="22">
        <v>0</v>
      </c>
      <c r="G6944" s="21">
        <f t="shared" si="324"/>
        <v>0.5</v>
      </c>
      <c r="H6944" s="22">
        <v>0</v>
      </c>
      <c r="I6944" s="23" t="str">
        <f t="shared" si="325"/>
        <v xml:space="preserve">COM VALOR</v>
      </c>
      <c r="J6944" s="19"/>
      <c r="L6944" s="21">
        <v>0.52000000000000002</v>
      </c>
      <c r="M6944" s="22">
        <v>0</v>
      </c>
      <c r="N6944" s="21">
        <v>0.5</v>
      </c>
      <c r="O6944" s="22">
        <v>0</v>
      </c>
    </row>
    <row r="6945" ht="38.25">
      <c r="A6945" t="s">
        <v>7056</v>
      </c>
      <c r="B6945" s="19">
        <v>99810</v>
      </c>
      <c r="C6945" s="20" t="s">
        <v>7069</v>
      </c>
      <c r="D6945" s="19" t="s">
        <v>29</v>
      </c>
      <c r="E6945" s="21">
        <f t="shared" si="323"/>
        <v>6.3499999999999996</v>
      </c>
      <c r="F6945" s="22">
        <v>0</v>
      </c>
      <c r="G6945" s="21">
        <f t="shared" si="324"/>
        <v>6.04</v>
      </c>
      <c r="H6945" s="22">
        <v>0</v>
      </c>
      <c r="I6945" s="23" t="str">
        <f t="shared" si="325"/>
        <v xml:space="preserve">COM VALOR</v>
      </c>
      <c r="J6945" s="19"/>
      <c r="L6945" s="21">
        <v>6.3499999999999996</v>
      </c>
      <c r="M6945" s="22">
        <v>0</v>
      </c>
      <c r="N6945" s="21">
        <v>6.04</v>
      </c>
      <c r="O6945" s="22">
        <v>0</v>
      </c>
    </row>
    <row r="6946" ht="25.5">
      <c r="A6946" t="s">
        <v>7056</v>
      </c>
      <c r="B6946" s="19">
        <v>99809</v>
      </c>
      <c r="C6946" s="20" t="s">
        <v>7070</v>
      </c>
      <c r="D6946" s="19" t="s">
        <v>29</v>
      </c>
      <c r="E6946" s="21">
        <f t="shared" si="323"/>
        <v>6.7199999999999998</v>
      </c>
      <c r="F6946" s="22">
        <v>0</v>
      </c>
      <c r="G6946" s="21">
        <f t="shared" si="324"/>
        <v>6.3799999999999999</v>
      </c>
      <c r="H6946" s="22">
        <v>0</v>
      </c>
      <c r="I6946" s="23" t="str">
        <f t="shared" si="325"/>
        <v xml:space="preserve">COM VALOR</v>
      </c>
      <c r="J6946" s="19"/>
      <c r="L6946" s="21">
        <v>6.7199999999999998</v>
      </c>
      <c r="M6946" s="22">
        <v>0</v>
      </c>
      <c r="N6946" s="21">
        <v>6.3799999999999999</v>
      </c>
      <c r="O6946" s="22">
        <v>0</v>
      </c>
    </row>
    <row r="6947" ht="25.5">
      <c r="A6947" t="s">
        <v>7056</v>
      </c>
      <c r="B6947" s="19">
        <v>99801</v>
      </c>
      <c r="C6947" s="20" t="s">
        <v>7071</v>
      </c>
      <c r="D6947" s="19" t="s">
        <v>29</v>
      </c>
      <c r="E6947" s="21" t="str">
        <f t="shared" si="323"/>
        <v>VERIFICAR</v>
      </c>
      <c r="F6947" s="22">
        <v>0</v>
      </c>
      <c r="G6947" s="21" t="str">
        <f t="shared" si="324"/>
        <v>VERIFICAR</v>
      </c>
      <c r="H6947" s="22">
        <v>0</v>
      </c>
      <c r="I6947" s="23" t="str">
        <f t="shared" si="325"/>
        <v xml:space="preserve">COM VALOR</v>
      </c>
      <c r="J6947" s="19"/>
      <c r="L6947" s="21">
        <v>0</v>
      </c>
      <c r="M6947" s="22"/>
      <c r="N6947" s="21">
        <v>0</v>
      </c>
      <c r="O6947" s="22"/>
    </row>
    <row r="6948" ht="25.5">
      <c r="A6948" t="s">
        <v>7056</v>
      </c>
      <c r="B6948" s="19">
        <v>106166</v>
      </c>
      <c r="C6948" s="20" t="s">
        <v>7072</v>
      </c>
      <c r="D6948" s="19" t="s">
        <v>29</v>
      </c>
      <c r="E6948" s="21">
        <f t="shared" si="323"/>
        <v>1.3700000000000001</v>
      </c>
      <c r="F6948" s="22">
        <v>0</v>
      </c>
      <c r="G6948" s="21">
        <f t="shared" si="324"/>
        <v>1.3</v>
      </c>
      <c r="H6948" s="22">
        <v>0</v>
      </c>
      <c r="I6948" s="23" t="str">
        <f t="shared" si="325"/>
        <v xml:space="preserve">COM VALOR</v>
      </c>
      <c r="J6948" s="19"/>
      <c r="L6948" s="21">
        <v>1.3700000000000001</v>
      </c>
      <c r="M6948" s="22">
        <v>0</v>
      </c>
      <c r="N6948" s="21">
        <v>1.3</v>
      </c>
      <c r="O6948" s="22">
        <v>0</v>
      </c>
    </row>
    <row r="6949" ht="12.75">
      <c r="A6949" t="s">
        <v>7056</v>
      </c>
      <c r="B6949" s="19">
        <v>99822</v>
      </c>
      <c r="C6949" s="20" t="s">
        <v>7073</v>
      </c>
      <c r="D6949" s="19" t="s">
        <v>29</v>
      </c>
      <c r="E6949" s="21">
        <f t="shared" si="323"/>
        <v>1.0800000000000001</v>
      </c>
      <c r="F6949" s="22">
        <v>0</v>
      </c>
      <c r="G6949" s="21">
        <f t="shared" si="324"/>
        <v>1.03</v>
      </c>
      <c r="H6949" s="22">
        <v>0</v>
      </c>
      <c r="I6949" s="23" t="str">
        <f t="shared" si="325"/>
        <v xml:space="preserve">COM VALOR</v>
      </c>
      <c r="J6949" s="19"/>
      <c r="L6949" s="21">
        <v>1.0800000000000001</v>
      </c>
      <c r="M6949" s="22">
        <v>0</v>
      </c>
      <c r="N6949" s="21">
        <v>1.03</v>
      </c>
      <c r="O6949" s="22">
        <v>0</v>
      </c>
    </row>
    <row r="6950" ht="25.5">
      <c r="A6950" t="s">
        <v>7056</v>
      </c>
      <c r="B6950" s="19">
        <v>99825</v>
      </c>
      <c r="C6950" s="20" t="s">
        <v>7074</v>
      </c>
      <c r="D6950" s="19" t="s">
        <v>29</v>
      </c>
      <c r="E6950" s="21">
        <f t="shared" si="323"/>
        <v>4.46</v>
      </c>
      <c r="F6950" s="22">
        <v>0</v>
      </c>
      <c r="G6950" s="21">
        <f t="shared" si="324"/>
        <v>4.25</v>
      </c>
      <c r="H6950" s="22">
        <v>0</v>
      </c>
      <c r="I6950" s="23" t="str">
        <f t="shared" si="325"/>
        <v xml:space="preserve">COM VALOR</v>
      </c>
      <c r="J6950" s="19"/>
      <c r="L6950" s="21">
        <v>4.46</v>
      </c>
      <c r="M6950" s="22">
        <v>0</v>
      </c>
      <c r="N6950" s="21">
        <v>4.25</v>
      </c>
      <c r="O6950" s="22">
        <v>0</v>
      </c>
    </row>
    <row r="6951" ht="12.75">
      <c r="A6951" t="s">
        <v>7056</v>
      </c>
      <c r="B6951" s="19">
        <v>99824</v>
      </c>
      <c r="C6951" s="20" t="s">
        <v>7075</v>
      </c>
      <c r="D6951" s="19" t="s">
        <v>29</v>
      </c>
      <c r="E6951" s="21">
        <f t="shared" si="323"/>
        <v>2.6200000000000001</v>
      </c>
      <c r="F6951" s="22">
        <v>0</v>
      </c>
      <c r="G6951" s="21">
        <f t="shared" si="324"/>
        <v>2.5099999999999998</v>
      </c>
      <c r="H6951" s="22">
        <v>0</v>
      </c>
      <c r="I6951" s="23" t="str">
        <f t="shared" si="325"/>
        <v xml:space="preserve">COM VALOR</v>
      </c>
      <c r="J6951" s="19"/>
      <c r="L6951" s="21">
        <v>2.6200000000000001</v>
      </c>
      <c r="M6951" s="22">
        <v>0</v>
      </c>
      <c r="N6951" s="21">
        <v>2.5099999999999998</v>
      </c>
      <c r="O6951" s="22">
        <v>0</v>
      </c>
    </row>
    <row r="6952" ht="12.75">
      <c r="A6952" t="s">
        <v>7056</v>
      </c>
      <c r="B6952" s="19">
        <v>99823</v>
      </c>
      <c r="C6952" s="20" t="s">
        <v>7076</v>
      </c>
      <c r="D6952" s="19" t="s">
        <v>29</v>
      </c>
      <c r="E6952" s="21">
        <f t="shared" si="323"/>
        <v>2.2999999999999998</v>
      </c>
      <c r="F6952" s="22">
        <v>0</v>
      </c>
      <c r="G6952" s="21">
        <f t="shared" si="324"/>
        <v>2.21</v>
      </c>
      <c r="H6952" s="22">
        <v>0</v>
      </c>
      <c r="I6952" s="23" t="str">
        <f t="shared" si="325"/>
        <v xml:space="preserve">COM VALOR</v>
      </c>
      <c r="J6952" s="19"/>
      <c r="L6952" s="21">
        <v>2.2999999999999998</v>
      </c>
      <c r="M6952" s="22">
        <v>0</v>
      </c>
      <c r="N6952" s="21">
        <v>2.21</v>
      </c>
      <c r="O6952" s="22">
        <v>0</v>
      </c>
    </row>
    <row r="6953" ht="25.5">
      <c r="A6953" t="s">
        <v>7056</v>
      </c>
      <c r="B6953" s="19">
        <v>99806</v>
      </c>
      <c r="C6953" s="20" t="s">
        <v>7077</v>
      </c>
      <c r="D6953" s="19" t="s">
        <v>29</v>
      </c>
      <c r="E6953" s="21">
        <f t="shared" si="323"/>
        <v>2.79</v>
      </c>
      <c r="F6953" s="22">
        <v>0</v>
      </c>
      <c r="G6953" s="21">
        <f t="shared" si="324"/>
        <v>2.6699999999999999</v>
      </c>
      <c r="H6953" s="22">
        <v>0</v>
      </c>
      <c r="I6953" s="23" t="str">
        <f t="shared" si="325"/>
        <v xml:space="preserve">COM VALOR</v>
      </c>
      <c r="J6953" s="19"/>
      <c r="L6953" s="21">
        <v>2.79</v>
      </c>
      <c r="M6953" s="22">
        <v>0</v>
      </c>
      <c r="N6953" s="21">
        <v>2.6699999999999999</v>
      </c>
      <c r="O6953" s="22">
        <v>0</v>
      </c>
    </row>
    <row r="6954" ht="38.25">
      <c r="A6954" t="s">
        <v>7056</v>
      </c>
      <c r="B6954" s="19">
        <v>99813</v>
      </c>
      <c r="C6954" s="20" t="s">
        <v>7078</v>
      </c>
      <c r="D6954" s="19" t="s">
        <v>29</v>
      </c>
      <c r="E6954" s="21">
        <f t="shared" si="323"/>
        <v>2.9300000000000002</v>
      </c>
      <c r="F6954" s="22">
        <v>0</v>
      </c>
      <c r="G6954" s="21">
        <f t="shared" si="324"/>
        <v>2.7999999999999998</v>
      </c>
      <c r="H6954" s="22">
        <v>0</v>
      </c>
      <c r="I6954" s="23" t="str">
        <f t="shared" si="325"/>
        <v xml:space="preserve">COM VALOR</v>
      </c>
      <c r="J6954" s="19"/>
      <c r="L6954" s="21">
        <v>2.9300000000000002</v>
      </c>
      <c r="M6954" s="22">
        <v>0</v>
      </c>
      <c r="N6954" s="21">
        <v>2.7999999999999998</v>
      </c>
      <c r="O6954" s="22">
        <v>0</v>
      </c>
    </row>
    <row r="6955" ht="25.5">
      <c r="A6955" t="s">
        <v>7056</v>
      </c>
      <c r="B6955" s="19">
        <v>106169</v>
      </c>
      <c r="C6955" s="20" t="s">
        <v>7079</v>
      </c>
      <c r="D6955" s="19" t="s">
        <v>31</v>
      </c>
      <c r="E6955" s="21">
        <f t="shared" si="323"/>
        <v>3.5499999999999998</v>
      </c>
      <c r="F6955" s="22">
        <v>0</v>
      </c>
      <c r="G6955" s="21">
        <f t="shared" si="324"/>
        <v>3.3700000000000001</v>
      </c>
      <c r="H6955" s="22">
        <v>0</v>
      </c>
      <c r="I6955" s="23" t="str">
        <f t="shared" si="325"/>
        <v xml:space="preserve">COM VALOR</v>
      </c>
      <c r="J6955" s="19"/>
      <c r="L6955" s="21">
        <v>3.5499999999999998</v>
      </c>
      <c r="M6955" s="22">
        <v>0</v>
      </c>
      <c r="N6955" s="21">
        <v>3.3700000000000001</v>
      </c>
      <c r="O6955" s="22">
        <v>0</v>
      </c>
    </row>
    <row r="6956" ht="12.75">
      <c r="A6956" t="s">
        <v>7056</v>
      </c>
      <c r="B6956" s="19">
        <v>106167</v>
      </c>
      <c r="C6956" s="20" t="s">
        <v>7080</v>
      </c>
      <c r="D6956" s="19" t="s">
        <v>29</v>
      </c>
      <c r="E6956" s="21">
        <f t="shared" si="323"/>
        <v>8.0000000000000002e-002</v>
      </c>
      <c r="F6956" s="22">
        <v>0</v>
      </c>
      <c r="G6956" s="21">
        <f t="shared" si="324"/>
        <v>7.0000000000000007e-002</v>
      </c>
      <c r="H6956" s="22">
        <v>0</v>
      </c>
      <c r="I6956" s="23" t="str">
        <f t="shared" si="325"/>
        <v xml:space="preserve">COM VALOR</v>
      </c>
      <c r="J6956" s="19"/>
      <c r="L6956" s="21">
        <v>8.0000000000000002e-002</v>
      </c>
      <c r="M6956" s="22">
        <v>0.125</v>
      </c>
      <c r="N6956" s="21">
        <v>7.0000000000000007e-002</v>
      </c>
      <c r="O6956" s="22">
        <v>0.14000000000000001</v>
      </c>
    </row>
    <row r="6957" ht="12.75">
      <c r="A6957" t="s">
        <v>7056</v>
      </c>
      <c r="B6957" s="19">
        <v>106168</v>
      </c>
      <c r="C6957" s="20" t="s">
        <v>7081</v>
      </c>
      <c r="D6957" s="19" t="s">
        <v>29</v>
      </c>
      <c r="E6957" s="21">
        <f t="shared" si="323"/>
        <v>0.60999999999999999</v>
      </c>
      <c r="F6957" s="22">
        <v>0</v>
      </c>
      <c r="G6957" s="21">
        <f t="shared" si="324"/>
        <v>0.57999999999999996</v>
      </c>
      <c r="H6957" s="22">
        <v>0</v>
      </c>
      <c r="I6957" s="23" t="str">
        <f t="shared" si="325"/>
        <v xml:space="preserve">COM VALOR</v>
      </c>
      <c r="J6957" s="19"/>
      <c r="L6957" s="21">
        <v>0.60999999999999999</v>
      </c>
      <c r="M6957" s="22">
        <v>0</v>
      </c>
      <c r="N6957" s="21">
        <v>0.57999999999999996</v>
      </c>
      <c r="O6957" s="22">
        <v>0</v>
      </c>
    </row>
    <row r="6958" ht="25.5">
      <c r="A6958" t="s">
        <v>7056</v>
      </c>
      <c r="B6958" s="19">
        <v>99814</v>
      </c>
      <c r="C6958" s="20" t="s">
        <v>7082</v>
      </c>
      <c r="D6958" s="19" t="s">
        <v>29</v>
      </c>
      <c r="E6958" s="21">
        <f t="shared" si="323"/>
        <v>1.6100000000000001</v>
      </c>
      <c r="F6958" s="22">
        <v>0</v>
      </c>
      <c r="G6958" s="21">
        <f t="shared" si="324"/>
        <v>1.53</v>
      </c>
      <c r="H6958" s="22">
        <v>0</v>
      </c>
      <c r="I6958" s="23" t="str">
        <f t="shared" si="325"/>
        <v xml:space="preserve">COM VALOR</v>
      </c>
      <c r="J6958" s="19"/>
      <c r="L6958" s="21">
        <v>1.6100000000000001</v>
      </c>
      <c r="M6958" s="22">
        <v>0</v>
      </c>
      <c r="N6958" s="21">
        <v>1.53</v>
      </c>
      <c r="O6958" s="22">
        <v>0</v>
      </c>
    </row>
    <row r="6959" ht="25.5">
      <c r="A6959" t="s">
        <v>7056</v>
      </c>
      <c r="B6959" s="19">
        <v>99816</v>
      </c>
      <c r="C6959" s="20" t="s">
        <v>7083</v>
      </c>
      <c r="D6959" s="19" t="s">
        <v>31</v>
      </c>
      <c r="E6959" s="21">
        <f t="shared" si="323"/>
        <v>8.25</v>
      </c>
      <c r="F6959" s="22">
        <v>0</v>
      </c>
      <c r="G6959" s="21">
        <f t="shared" si="324"/>
        <v>7.9000000000000004</v>
      </c>
      <c r="H6959" s="22">
        <v>0</v>
      </c>
      <c r="I6959" s="23" t="str">
        <f t="shared" si="325"/>
        <v xml:space="preserve">COM VALOR</v>
      </c>
      <c r="J6959" s="19"/>
      <c r="L6959" s="21">
        <v>8.25</v>
      </c>
      <c r="M6959" s="22">
        <v>0</v>
      </c>
      <c r="N6959" s="21">
        <v>7.9000000000000004</v>
      </c>
      <c r="O6959" s="22">
        <v>0</v>
      </c>
    </row>
    <row r="6960" ht="12.75">
      <c r="A6960" t="s">
        <v>7056</v>
      </c>
      <c r="B6960" s="19">
        <v>106171</v>
      </c>
      <c r="C6960" s="20" t="s">
        <v>7084</v>
      </c>
      <c r="D6960" s="19" t="s">
        <v>29</v>
      </c>
      <c r="E6960" s="21">
        <f t="shared" si="323"/>
        <v>1.6100000000000001</v>
      </c>
      <c r="F6960" s="22">
        <v>0</v>
      </c>
      <c r="G6960" s="21">
        <f t="shared" si="324"/>
        <v>1.52</v>
      </c>
      <c r="H6960" s="22">
        <v>0</v>
      </c>
      <c r="I6960" s="23" t="str">
        <f t="shared" si="325"/>
        <v xml:space="preserve">COM VALOR</v>
      </c>
      <c r="J6960" s="19"/>
      <c r="L6960" s="21">
        <v>1.6100000000000001</v>
      </c>
      <c r="M6960" s="22">
        <v>0</v>
      </c>
      <c r="N6960" s="21">
        <v>1.52</v>
      </c>
      <c r="O6960" s="22">
        <v>0</v>
      </c>
    </row>
    <row r="6961" ht="12.75">
      <c r="A6961" t="s">
        <v>7085</v>
      </c>
      <c r="B6961" s="19">
        <v>88238</v>
      </c>
      <c r="C6961" s="20" t="s">
        <v>7086</v>
      </c>
      <c r="D6961" s="19" t="s">
        <v>2032</v>
      </c>
      <c r="E6961" s="21">
        <f t="shared" si="323"/>
        <v>23.48</v>
      </c>
      <c r="F6961" s="22">
        <v>0</v>
      </c>
      <c r="G6961" s="21">
        <f t="shared" si="324"/>
        <v>22.219999999999999</v>
      </c>
      <c r="H6961" s="22">
        <v>0</v>
      </c>
      <c r="I6961" s="23" t="str">
        <f t="shared" si="325"/>
        <v xml:space="preserve">COM VALOR</v>
      </c>
      <c r="J6961" s="19"/>
      <c r="L6961" s="21">
        <v>23.48</v>
      </c>
      <c r="M6961" s="22">
        <v>0</v>
      </c>
      <c r="N6961" s="21">
        <v>22.219999999999999</v>
      </c>
      <c r="O6961" s="22">
        <v>0</v>
      </c>
    </row>
    <row r="6962" ht="12.75">
      <c r="A6962" t="s">
        <v>7085</v>
      </c>
      <c r="B6962" s="19">
        <v>101374</v>
      </c>
      <c r="C6962" s="20" t="s">
        <v>7086</v>
      </c>
      <c r="D6962" s="19" t="s">
        <v>7087</v>
      </c>
      <c r="E6962" s="21">
        <f t="shared" si="323"/>
        <v>4007.23</v>
      </c>
      <c r="F6962" s="22">
        <v>0</v>
      </c>
      <c r="G6962" s="21">
        <f t="shared" si="324"/>
        <v>3791.1999999999998</v>
      </c>
      <c r="H6962" s="22">
        <v>0</v>
      </c>
      <c r="I6962" s="23" t="str">
        <f t="shared" si="325"/>
        <v xml:space="preserve">COM VALOR</v>
      </c>
      <c r="J6962" s="19"/>
      <c r="L6962" s="21">
        <v>4007.23</v>
      </c>
      <c r="M6962" s="22">
        <v>0</v>
      </c>
      <c r="N6962" s="21">
        <v>3791.1999999999998</v>
      </c>
      <c r="O6962" s="22">
        <v>0</v>
      </c>
    </row>
    <row r="6963" ht="12.75">
      <c r="A6963" t="s">
        <v>7085</v>
      </c>
      <c r="B6963" s="19">
        <v>88239</v>
      </c>
      <c r="C6963" s="20" t="s">
        <v>7088</v>
      </c>
      <c r="D6963" s="19" t="s">
        <v>2032</v>
      </c>
      <c r="E6963" s="21">
        <f t="shared" si="323"/>
        <v>22.98</v>
      </c>
      <c r="F6963" s="22">
        <v>0</v>
      </c>
      <c r="G6963" s="21">
        <f t="shared" si="324"/>
        <v>21.719999999999999</v>
      </c>
      <c r="H6963" s="22">
        <v>0</v>
      </c>
      <c r="I6963" s="23" t="str">
        <f t="shared" si="325"/>
        <v xml:space="preserve">COM VALOR</v>
      </c>
      <c r="J6963" s="19"/>
      <c r="L6963" s="21">
        <v>22.98</v>
      </c>
      <c r="M6963" s="22">
        <v>0</v>
      </c>
      <c r="N6963" s="21">
        <v>21.719999999999999</v>
      </c>
      <c r="O6963" s="22">
        <v>0</v>
      </c>
    </row>
    <row r="6964" ht="12.75">
      <c r="A6964" t="s">
        <v>7085</v>
      </c>
      <c r="B6964" s="19">
        <v>101375</v>
      </c>
      <c r="C6964" s="20" t="s">
        <v>7089</v>
      </c>
      <c r="D6964" s="19" t="s">
        <v>7087</v>
      </c>
      <c r="E6964" s="21">
        <f t="shared" si="323"/>
        <v>3996.3600000000001</v>
      </c>
      <c r="F6964" s="22">
        <v>0</v>
      </c>
      <c r="G6964" s="21">
        <f t="shared" si="324"/>
        <v>3780.3299999999999</v>
      </c>
      <c r="H6964" s="22">
        <v>0</v>
      </c>
      <c r="I6964" s="23" t="str">
        <f t="shared" si="325"/>
        <v xml:space="preserve">COM VALOR</v>
      </c>
      <c r="J6964" s="19"/>
      <c r="L6964" s="21">
        <v>3996.3600000000001</v>
      </c>
      <c r="M6964" s="22">
        <v>0</v>
      </c>
      <c r="N6964" s="21">
        <v>3780.3299999999999</v>
      </c>
      <c r="O6964" s="22">
        <v>0</v>
      </c>
    </row>
    <row r="6965" ht="25.5">
      <c r="A6965" t="s">
        <v>7085</v>
      </c>
      <c r="B6965" s="19">
        <v>88240</v>
      </c>
      <c r="C6965" s="20" t="s">
        <v>7090</v>
      </c>
      <c r="D6965" s="19" t="s">
        <v>2032</v>
      </c>
      <c r="E6965" s="21">
        <f t="shared" si="323"/>
        <v>22.16</v>
      </c>
      <c r="F6965" s="22">
        <v>0</v>
      </c>
      <c r="G6965" s="21">
        <f t="shared" si="324"/>
        <v>20.899999999999999</v>
      </c>
      <c r="H6965" s="22">
        <v>0</v>
      </c>
      <c r="I6965" s="23" t="str">
        <f t="shared" si="325"/>
        <v xml:space="preserve">COM VALOR</v>
      </c>
      <c r="J6965" s="19"/>
      <c r="L6965" s="21">
        <v>22.16</v>
      </c>
      <c r="M6965" s="22">
        <v>0</v>
      </c>
      <c r="N6965" s="21">
        <v>20.899999999999999</v>
      </c>
      <c r="O6965" s="22">
        <v>0</v>
      </c>
    </row>
    <row r="6966" ht="25.5">
      <c r="A6966" t="s">
        <v>7085</v>
      </c>
      <c r="B6966" s="19">
        <v>101376</v>
      </c>
      <c r="C6966" s="20" t="s">
        <v>7091</v>
      </c>
      <c r="D6966" s="19" t="s">
        <v>7087</v>
      </c>
      <c r="E6966" s="21">
        <f t="shared" si="323"/>
        <v>3790.27</v>
      </c>
      <c r="F6966" s="22">
        <v>0</v>
      </c>
      <c r="G6966" s="21">
        <f t="shared" si="324"/>
        <v>3574.2399999999998</v>
      </c>
      <c r="H6966" s="22">
        <v>0</v>
      </c>
      <c r="I6966" s="23" t="str">
        <f t="shared" si="325"/>
        <v xml:space="preserve">COM VALOR</v>
      </c>
      <c r="J6966" s="19"/>
      <c r="L6966" s="21">
        <v>3790.27</v>
      </c>
      <c r="M6966" s="22">
        <v>0</v>
      </c>
      <c r="N6966" s="21">
        <v>3574.2399999999998</v>
      </c>
      <c r="O6966" s="22">
        <v>0</v>
      </c>
    </row>
    <row r="6967" ht="25.5">
      <c r="A6967" t="s">
        <v>7085</v>
      </c>
      <c r="B6967" s="19">
        <v>88241</v>
      </c>
      <c r="C6967" s="20" t="s">
        <v>7092</v>
      </c>
      <c r="D6967" s="19" t="s">
        <v>2032</v>
      </c>
      <c r="E6967" s="21">
        <f t="shared" si="323"/>
        <v>23.989999999999998</v>
      </c>
      <c r="F6967" s="22">
        <v>0</v>
      </c>
      <c r="G6967" s="21">
        <f t="shared" si="324"/>
        <v>22.710000000000001</v>
      </c>
      <c r="H6967" s="22">
        <v>0</v>
      </c>
      <c r="I6967" s="23" t="str">
        <f t="shared" si="325"/>
        <v xml:space="preserve">COM VALOR</v>
      </c>
      <c r="J6967" s="19"/>
      <c r="L6967" s="21">
        <v>23.989999999999998</v>
      </c>
      <c r="M6967" s="22">
        <v>0</v>
      </c>
      <c r="N6967" s="21">
        <v>22.710000000000001</v>
      </c>
      <c r="O6967" s="22">
        <v>0</v>
      </c>
    </row>
    <row r="6968" ht="25.5">
      <c r="A6968" t="s">
        <v>7085</v>
      </c>
      <c r="B6968" s="19">
        <v>101377</v>
      </c>
      <c r="C6968" s="20" t="s">
        <v>7092</v>
      </c>
      <c r="D6968" s="19" t="s">
        <v>7087</v>
      </c>
      <c r="E6968" s="21">
        <f t="shared" si="323"/>
        <v>4096.8100000000004</v>
      </c>
      <c r="F6968" s="22">
        <v>0</v>
      </c>
      <c r="G6968" s="21">
        <f t="shared" si="324"/>
        <v>3874.0799999999999</v>
      </c>
      <c r="H6968" s="22">
        <v>0</v>
      </c>
      <c r="I6968" s="23" t="str">
        <f t="shared" si="325"/>
        <v xml:space="preserve">COM VALOR</v>
      </c>
      <c r="J6968" s="19"/>
      <c r="L6968" s="21">
        <v>4096.8100000000004</v>
      </c>
      <c r="M6968" s="22">
        <v>0</v>
      </c>
      <c r="N6968" s="21">
        <v>3874.0799999999999</v>
      </c>
      <c r="O6968" s="22">
        <v>0</v>
      </c>
    </row>
    <row r="6969" ht="12.75">
      <c r="A6969" t="s">
        <v>7085</v>
      </c>
      <c r="B6969" s="19">
        <v>88242</v>
      </c>
      <c r="C6969" s="20" t="s">
        <v>7093</v>
      </c>
      <c r="D6969" s="19" t="s">
        <v>2032</v>
      </c>
      <c r="E6969" s="21">
        <f t="shared" si="323"/>
        <v>23.530000000000001</v>
      </c>
      <c r="F6969" s="22">
        <v>0</v>
      </c>
      <c r="G6969" s="21">
        <f t="shared" si="324"/>
        <v>22.27</v>
      </c>
      <c r="H6969" s="22">
        <v>0</v>
      </c>
      <c r="I6969" s="23" t="str">
        <f t="shared" si="325"/>
        <v xml:space="preserve">COM VALOR</v>
      </c>
      <c r="J6969" s="19"/>
      <c r="L6969" s="21">
        <v>23.530000000000001</v>
      </c>
      <c r="M6969" s="22">
        <v>0</v>
      </c>
      <c r="N6969" s="21">
        <v>22.27</v>
      </c>
      <c r="O6969" s="22">
        <v>0</v>
      </c>
    </row>
    <row r="6970" ht="12.75">
      <c r="A6970" t="s">
        <v>7085</v>
      </c>
      <c r="B6970" s="19">
        <v>100301</v>
      </c>
      <c r="C6970" s="20" t="s">
        <v>7094</v>
      </c>
      <c r="D6970" s="19" t="s">
        <v>2032</v>
      </c>
      <c r="E6970" s="21">
        <f t="shared" si="323"/>
        <v>25.379999999999999</v>
      </c>
      <c r="F6970" s="22">
        <v>0</v>
      </c>
      <c r="G6970" s="21">
        <f t="shared" si="324"/>
        <v>24.120000000000001</v>
      </c>
      <c r="H6970" s="22">
        <v>0</v>
      </c>
      <c r="I6970" s="23" t="str">
        <f t="shared" si="325"/>
        <v xml:space="preserve">COM VALOR</v>
      </c>
      <c r="J6970" s="19"/>
      <c r="L6970" s="21">
        <v>25.379999999999999</v>
      </c>
      <c r="M6970" s="22">
        <v>0</v>
      </c>
      <c r="N6970" s="21">
        <v>24.120000000000001</v>
      </c>
      <c r="O6970" s="22">
        <v>0</v>
      </c>
    </row>
    <row r="6971" ht="12.75">
      <c r="A6971" t="s">
        <v>7085</v>
      </c>
      <c r="B6971" s="19">
        <v>101378</v>
      </c>
      <c r="C6971" s="20" t="s">
        <v>7094</v>
      </c>
      <c r="D6971" s="19" t="s">
        <v>7087</v>
      </c>
      <c r="E6971" s="21">
        <f t="shared" si="323"/>
        <v>4312.5699999999997</v>
      </c>
      <c r="F6971" s="22">
        <v>0</v>
      </c>
      <c r="G6971" s="21">
        <f t="shared" si="324"/>
        <v>4096.54</v>
      </c>
      <c r="H6971" s="22">
        <v>0</v>
      </c>
      <c r="I6971" s="23" t="str">
        <f t="shared" si="325"/>
        <v xml:space="preserve">COM VALOR</v>
      </c>
      <c r="J6971" s="19"/>
      <c r="L6971" s="21">
        <v>4312.5699999999997</v>
      </c>
      <c r="M6971" s="22">
        <v>0</v>
      </c>
      <c r="N6971" s="21">
        <v>4096.54</v>
      </c>
      <c r="O6971" s="22">
        <v>0</v>
      </c>
    </row>
    <row r="6972" ht="12.75">
      <c r="A6972" t="s">
        <v>7085</v>
      </c>
      <c r="B6972" s="19">
        <v>101379</v>
      </c>
      <c r="C6972" s="20" t="s">
        <v>7095</v>
      </c>
      <c r="D6972" s="19" t="s">
        <v>7087</v>
      </c>
      <c r="E6972" s="21">
        <f t="shared" si="323"/>
        <v>4007.23</v>
      </c>
      <c r="F6972" s="22">
        <v>0</v>
      </c>
      <c r="G6972" s="21">
        <f t="shared" si="324"/>
        <v>3791.1999999999998</v>
      </c>
      <c r="H6972" s="22">
        <v>0</v>
      </c>
      <c r="I6972" s="23" t="str">
        <f t="shared" si="325"/>
        <v xml:space="preserve">COM VALOR</v>
      </c>
      <c r="J6972" s="19"/>
      <c r="L6972" s="21">
        <v>4007.23</v>
      </c>
      <c r="M6972" s="22">
        <v>0</v>
      </c>
      <c r="N6972" s="21">
        <v>3791.1999999999998</v>
      </c>
      <c r="O6972" s="22">
        <v>0</v>
      </c>
    </row>
    <row r="6973" ht="12.75">
      <c r="A6973" t="s">
        <v>7085</v>
      </c>
      <c r="B6973" s="19">
        <v>88243</v>
      </c>
      <c r="C6973" s="20" t="s">
        <v>7096</v>
      </c>
      <c r="D6973" s="19" t="s">
        <v>2032</v>
      </c>
      <c r="E6973" s="21">
        <f t="shared" si="323"/>
        <v>23.739999999999998</v>
      </c>
      <c r="F6973" s="22">
        <v>0</v>
      </c>
      <c r="G6973" s="21">
        <f t="shared" si="324"/>
        <v>22.460000000000001</v>
      </c>
      <c r="H6973" s="22">
        <v>0</v>
      </c>
      <c r="I6973" s="23" t="str">
        <f t="shared" si="325"/>
        <v xml:space="preserve">COM VALOR</v>
      </c>
      <c r="J6973" s="19"/>
      <c r="L6973" s="21">
        <v>23.739999999999998</v>
      </c>
      <c r="M6973" s="22">
        <v>0</v>
      </c>
      <c r="N6973" s="21">
        <v>22.460000000000001</v>
      </c>
      <c r="O6973" s="22">
        <v>0</v>
      </c>
    </row>
    <row r="6974" ht="12.75">
      <c r="A6974" t="s">
        <v>7085</v>
      </c>
      <c r="B6974" s="19">
        <v>101380</v>
      </c>
      <c r="C6974" s="20" t="s">
        <v>7096</v>
      </c>
      <c r="D6974" s="19" t="s">
        <v>7087</v>
      </c>
      <c r="E6974" s="21">
        <f t="shared" si="323"/>
        <v>4056.3899999999999</v>
      </c>
      <c r="F6974" s="22">
        <v>0</v>
      </c>
      <c r="G6974" s="21">
        <f t="shared" si="324"/>
        <v>3833.6599999999999</v>
      </c>
      <c r="H6974" s="22">
        <v>0</v>
      </c>
      <c r="I6974" s="23" t="str">
        <f t="shared" si="325"/>
        <v xml:space="preserve">COM VALOR</v>
      </c>
      <c r="J6974" s="19"/>
      <c r="L6974" s="21">
        <v>4056.3899999999999</v>
      </c>
      <c r="M6974" s="22">
        <v>0</v>
      </c>
      <c r="N6974" s="21">
        <v>3833.6599999999999</v>
      </c>
      <c r="O6974" s="22">
        <v>0</v>
      </c>
    </row>
    <row r="6975" ht="12.75">
      <c r="A6975" t="s">
        <v>7085</v>
      </c>
      <c r="B6975" s="19">
        <v>90766</v>
      </c>
      <c r="C6975" s="20" t="s">
        <v>7097</v>
      </c>
      <c r="D6975" s="19" t="s">
        <v>2032</v>
      </c>
      <c r="E6975" s="21">
        <f t="shared" si="323"/>
        <v>29.91</v>
      </c>
      <c r="F6975" s="22">
        <v>0</v>
      </c>
      <c r="G6975" s="21">
        <f t="shared" si="324"/>
        <v>28.07</v>
      </c>
      <c r="H6975" s="22">
        <v>0</v>
      </c>
      <c r="I6975" s="23" t="str">
        <f t="shared" si="325"/>
        <v xml:space="preserve">COM VALOR</v>
      </c>
      <c r="J6975" s="19"/>
      <c r="L6975" s="21">
        <v>29.91</v>
      </c>
      <c r="M6975" s="22">
        <v>0</v>
      </c>
      <c r="N6975" s="21">
        <v>28.07</v>
      </c>
      <c r="O6975" s="22">
        <v>0</v>
      </c>
    </row>
    <row r="6976" ht="12.75">
      <c r="A6976" t="s">
        <v>7085</v>
      </c>
      <c r="B6976" s="19">
        <v>93563</v>
      </c>
      <c r="C6976" s="20" t="s">
        <v>7097</v>
      </c>
      <c r="D6976" s="19" t="s">
        <v>7087</v>
      </c>
      <c r="E6976" s="21">
        <f t="shared" si="323"/>
        <v>5161</v>
      </c>
      <c r="F6976" s="22">
        <v>0</v>
      </c>
      <c r="G6976" s="21">
        <f t="shared" si="324"/>
        <v>4840.6300000000001</v>
      </c>
      <c r="H6976" s="22">
        <v>0</v>
      </c>
      <c r="I6976" s="23" t="str">
        <f t="shared" si="325"/>
        <v xml:space="preserve">COM VALOR</v>
      </c>
      <c r="J6976" s="19"/>
      <c r="L6976" s="21">
        <v>5161</v>
      </c>
      <c r="M6976" s="22">
        <v>0</v>
      </c>
      <c r="N6976" s="21">
        <v>4840.6300000000001</v>
      </c>
      <c r="O6976" s="22">
        <v>0</v>
      </c>
    </row>
    <row r="6977" ht="12.75">
      <c r="A6977" t="s">
        <v>7085</v>
      </c>
      <c r="B6977" s="19">
        <v>90767</v>
      </c>
      <c r="C6977" s="20" t="s">
        <v>7098</v>
      </c>
      <c r="D6977" s="19" t="s">
        <v>2032</v>
      </c>
      <c r="E6977" s="21">
        <f t="shared" si="323"/>
        <v>29.350000000000001</v>
      </c>
      <c r="F6977" s="22">
        <v>0</v>
      </c>
      <c r="G6977" s="21">
        <f t="shared" si="324"/>
        <v>27.559999999999999</v>
      </c>
      <c r="H6977" s="22">
        <v>0</v>
      </c>
      <c r="I6977" s="23" t="str">
        <f t="shared" si="325"/>
        <v xml:space="preserve">COM VALOR</v>
      </c>
      <c r="J6977" s="19"/>
      <c r="L6977" s="21">
        <v>29.350000000000001</v>
      </c>
      <c r="M6977" s="22">
        <v>0</v>
      </c>
      <c r="N6977" s="21">
        <v>27.559999999999999</v>
      </c>
      <c r="O6977" s="22">
        <v>0</v>
      </c>
    </row>
    <row r="6978" ht="12.75">
      <c r="A6978" t="s">
        <v>7085</v>
      </c>
      <c r="B6978" s="19">
        <v>93564</v>
      </c>
      <c r="C6978" s="20" t="s">
        <v>7098</v>
      </c>
      <c r="D6978" s="19" t="s">
        <v>7087</v>
      </c>
      <c r="E6978" s="21">
        <f t="shared" si="323"/>
        <v>5000.2399999999998</v>
      </c>
      <c r="F6978" s="22">
        <v>0</v>
      </c>
      <c r="G6978" s="21">
        <f t="shared" si="324"/>
        <v>4691.8900000000003</v>
      </c>
      <c r="H6978" s="22">
        <v>0</v>
      </c>
      <c r="I6978" s="23" t="str">
        <f t="shared" si="325"/>
        <v xml:space="preserve">COM VALOR</v>
      </c>
      <c r="J6978" s="19"/>
      <c r="L6978" s="21">
        <v>5000.2399999999998</v>
      </c>
      <c r="M6978" s="22">
        <v>0</v>
      </c>
      <c r="N6978" s="21">
        <v>4691.8900000000003</v>
      </c>
      <c r="O6978" s="22">
        <v>0</v>
      </c>
    </row>
    <row r="6979" ht="12.75">
      <c r="A6979" t="s">
        <v>7085</v>
      </c>
      <c r="B6979" s="19">
        <v>88245</v>
      </c>
      <c r="C6979" s="20" t="s">
        <v>7099</v>
      </c>
      <c r="D6979" s="19" t="s">
        <v>2032</v>
      </c>
      <c r="E6979" s="21">
        <f t="shared" si="323"/>
        <v>28.289999999999999</v>
      </c>
      <c r="F6979" s="22">
        <v>0</v>
      </c>
      <c r="G6979" s="21">
        <f t="shared" si="324"/>
        <v>26.68</v>
      </c>
      <c r="H6979" s="22">
        <v>0</v>
      </c>
      <c r="I6979" s="23" t="str">
        <f t="shared" si="325"/>
        <v xml:space="preserve">COM VALOR</v>
      </c>
      <c r="J6979" s="19"/>
      <c r="L6979" s="21">
        <v>28.289999999999999</v>
      </c>
      <c r="M6979" s="22">
        <v>0</v>
      </c>
      <c r="N6979" s="21">
        <v>26.68</v>
      </c>
      <c r="O6979" s="22">
        <v>0</v>
      </c>
    </row>
    <row r="6980" ht="12.75">
      <c r="A6980" t="s">
        <v>7085</v>
      </c>
      <c r="B6980" s="19">
        <v>101381</v>
      </c>
      <c r="C6980" s="20" t="s">
        <v>7099</v>
      </c>
      <c r="D6980" s="19" t="s">
        <v>7087</v>
      </c>
      <c r="E6980" s="21">
        <f t="shared" si="323"/>
        <v>4840</v>
      </c>
      <c r="F6980" s="22">
        <v>0</v>
      </c>
      <c r="G6980" s="21">
        <f t="shared" si="324"/>
        <v>4561.6899999999996</v>
      </c>
      <c r="H6980" s="22">
        <v>0</v>
      </c>
      <c r="I6980" s="23" t="str">
        <f t="shared" si="325"/>
        <v xml:space="preserve">COM VALOR</v>
      </c>
      <c r="J6980" s="19"/>
      <c r="L6980" s="21">
        <v>4840</v>
      </c>
      <c r="M6980" s="22">
        <v>0</v>
      </c>
      <c r="N6980" s="21">
        <v>4561.6899999999996</v>
      </c>
      <c r="O6980" s="22">
        <v>0</v>
      </c>
    </row>
    <row r="6981" ht="12.75">
      <c r="A6981" t="s">
        <v>7085</v>
      </c>
      <c r="B6981" s="19">
        <v>90768</v>
      </c>
      <c r="C6981" s="20" t="s">
        <v>7100</v>
      </c>
      <c r="D6981" s="19" t="s">
        <v>2032</v>
      </c>
      <c r="E6981" s="21">
        <f t="shared" si="323"/>
        <v>138.11000000000001</v>
      </c>
      <c r="F6981" s="22">
        <v>0</v>
      </c>
      <c r="G6981" s="21">
        <f t="shared" si="324"/>
        <v>128.09</v>
      </c>
      <c r="H6981" s="22">
        <v>0</v>
      </c>
      <c r="I6981" s="23" t="str">
        <f t="shared" si="325"/>
        <v xml:space="preserve">COM VALOR</v>
      </c>
      <c r="J6981" s="19"/>
      <c r="L6981" s="21">
        <v>138.11000000000001</v>
      </c>
      <c r="M6981" s="22">
        <v>0</v>
      </c>
      <c r="N6981" s="21">
        <v>128.09</v>
      </c>
      <c r="O6981" s="22">
        <v>0</v>
      </c>
    </row>
    <row r="6982" ht="12.75">
      <c r="A6982" t="s">
        <v>7085</v>
      </c>
      <c r="B6982" s="19">
        <v>90769</v>
      </c>
      <c r="C6982" s="20" t="s">
        <v>7101</v>
      </c>
      <c r="D6982" s="19" t="s">
        <v>2032</v>
      </c>
      <c r="E6982" s="21">
        <f t="shared" si="323"/>
        <v>146.05000000000001</v>
      </c>
      <c r="F6982" s="22">
        <v>0</v>
      </c>
      <c r="G6982" s="21">
        <f t="shared" si="324"/>
        <v>135.44</v>
      </c>
      <c r="H6982" s="22">
        <v>0</v>
      </c>
      <c r="I6982" s="23" t="str">
        <f t="shared" si="325"/>
        <v xml:space="preserve">COM VALOR</v>
      </c>
      <c r="J6982" s="19"/>
      <c r="L6982" s="21">
        <v>146.05000000000001</v>
      </c>
      <c r="M6982" s="22">
        <v>0</v>
      </c>
      <c r="N6982" s="21">
        <v>135.44</v>
      </c>
      <c r="O6982" s="22">
        <v>0</v>
      </c>
    </row>
    <row r="6983" ht="12.75">
      <c r="A6983" t="s">
        <v>7085</v>
      </c>
      <c r="B6983" s="19">
        <v>90770</v>
      </c>
      <c r="C6983" s="20" t="s">
        <v>7102</v>
      </c>
      <c r="D6983" s="19" t="s">
        <v>2032</v>
      </c>
      <c r="E6983" s="21">
        <f t="shared" si="323"/>
        <v>152.86000000000001</v>
      </c>
      <c r="F6983" s="22">
        <v>0</v>
      </c>
      <c r="G6983" s="21">
        <f t="shared" si="324"/>
        <v>141.74000000000001</v>
      </c>
      <c r="H6983" s="22">
        <v>0</v>
      </c>
      <c r="I6983" s="23" t="str">
        <f t="shared" si="325"/>
        <v xml:space="preserve">COM VALOR</v>
      </c>
      <c r="J6983" s="19"/>
      <c r="L6983" s="21">
        <v>152.86000000000001</v>
      </c>
      <c r="M6983" s="22">
        <v>0</v>
      </c>
      <c r="N6983" s="21">
        <v>141.74000000000001</v>
      </c>
      <c r="O6983" s="22">
        <v>0</v>
      </c>
    </row>
    <row r="6984" ht="12.75">
      <c r="A6984" t="s">
        <v>7085</v>
      </c>
      <c r="B6984" s="19">
        <v>93569</v>
      </c>
      <c r="C6984" s="20" t="s">
        <v>7103</v>
      </c>
      <c r="D6984" s="19" t="s">
        <v>7087</v>
      </c>
      <c r="E6984" s="21">
        <f t="shared" si="323"/>
        <v>23932.48</v>
      </c>
      <c r="F6984" s="22">
        <v>0</v>
      </c>
      <c r="G6984" s="21">
        <f t="shared" si="324"/>
        <v>22197.360000000001</v>
      </c>
      <c r="H6984" s="22">
        <v>0</v>
      </c>
      <c r="I6984" s="23" t="str">
        <f t="shared" si="325"/>
        <v xml:space="preserve">COM VALOR</v>
      </c>
      <c r="J6984" s="19"/>
      <c r="L6984" s="21">
        <v>23932.48</v>
      </c>
      <c r="M6984" s="22">
        <v>0</v>
      </c>
      <c r="N6984" s="21">
        <v>22197.360000000001</v>
      </c>
      <c r="O6984" s="22">
        <v>0</v>
      </c>
    </row>
    <row r="6985" ht="12.75">
      <c r="A6985" t="s">
        <v>7085</v>
      </c>
      <c r="B6985" s="19">
        <v>93570</v>
      </c>
      <c r="C6985" s="20" t="s">
        <v>7104</v>
      </c>
      <c r="D6985" s="19" t="s">
        <v>7087</v>
      </c>
      <c r="E6985" s="21">
        <f t="shared" si="323"/>
        <v>25310.82</v>
      </c>
      <c r="F6985" s="22">
        <v>0</v>
      </c>
      <c r="G6985" s="21">
        <f t="shared" si="324"/>
        <v>23472.630000000001</v>
      </c>
      <c r="H6985" s="22">
        <v>0</v>
      </c>
      <c r="I6985" s="23" t="str">
        <f t="shared" si="325"/>
        <v xml:space="preserve">COM VALOR</v>
      </c>
      <c r="J6985" s="19"/>
      <c r="L6985" s="21">
        <v>25310.82</v>
      </c>
      <c r="M6985" s="22">
        <v>0</v>
      </c>
      <c r="N6985" s="21">
        <v>23472.630000000001</v>
      </c>
      <c r="O6985" s="22">
        <v>0</v>
      </c>
    </row>
    <row r="6986" ht="12.75">
      <c r="A6986" t="s">
        <v>7085</v>
      </c>
      <c r="B6986" s="19">
        <v>93571</v>
      </c>
      <c r="C6986" s="20" t="s">
        <v>7105</v>
      </c>
      <c r="D6986" s="19" t="s">
        <v>7087</v>
      </c>
      <c r="E6986" s="21">
        <f t="shared" si="323"/>
        <v>26491.529999999999</v>
      </c>
      <c r="F6986" s="22">
        <v>0</v>
      </c>
      <c r="G6986" s="21">
        <f t="shared" si="324"/>
        <v>24565.040000000001</v>
      </c>
      <c r="H6986" s="22">
        <v>0</v>
      </c>
      <c r="I6986" s="23" t="str">
        <f t="shared" si="325"/>
        <v xml:space="preserve">COM VALOR</v>
      </c>
      <c r="J6986" s="19"/>
      <c r="L6986" s="21">
        <v>26491.529999999999</v>
      </c>
      <c r="M6986" s="22">
        <v>0</v>
      </c>
      <c r="N6986" s="21">
        <v>24565.040000000001</v>
      </c>
      <c r="O6986" s="22">
        <v>0</v>
      </c>
    </row>
    <row r="6987" ht="12.75">
      <c r="A6987" t="s">
        <v>7085</v>
      </c>
      <c r="B6987" s="19">
        <v>101382</v>
      </c>
      <c r="C6987" s="20" t="s">
        <v>7106</v>
      </c>
      <c r="D6987" s="19" t="s">
        <v>7087</v>
      </c>
      <c r="E6987" s="21">
        <f t="shared" ref="E6987:E7050" si="326">IF(L6987=0,"VERIFICAR",L6987)</f>
        <v>3401</v>
      </c>
      <c r="F6987" s="22">
        <v>0</v>
      </c>
      <c r="G6987" s="21">
        <f t="shared" ref="G6987:G7050" si="327">IF(N6987=0,"VERIFICAR",N6987)</f>
        <v>3214.0799999999999</v>
      </c>
      <c r="H6987" s="22">
        <v>0</v>
      </c>
      <c r="I6987" s="23" t="str">
        <f t="shared" ref="I6987:I7050" si="328">IF(OR(E6987=0,G6987=0),"SEM VALOR","COM VALOR")</f>
        <v xml:space="preserve">COM VALOR</v>
      </c>
      <c r="J6987" s="19"/>
      <c r="L6987" s="21">
        <v>3401</v>
      </c>
      <c r="M6987" s="22">
        <v>0</v>
      </c>
      <c r="N6987" s="21">
        <v>3214.0799999999999</v>
      </c>
      <c r="O6987" s="22">
        <v>0</v>
      </c>
    </row>
    <row r="6988" ht="12.75">
      <c r="A6988" t="s">
        <v>7085</v>
      </c>
      <c r="B6988" s="19">
        <v>88246</v>
      </c>
      <c r="C6988" s="20" t="s">
        <v>7107</v>
      </c>
      <c r="D6988" s="19" t="s">
        <v>2032</v>
      </c>
      <c r="E6988" s="21">
        <f t="shared" si="326"/>
        <v>19.960000000000001</v>
      </c>
      <c r="F6988" s="22">
        <v>0</v>
      </c>
      <c r="G6988" s="21">
        <f t="shared" si="327"/>
        <v>18.870000000000001</v>
      </c>
      <c r="H6988" s="22">
        <v>0</v>
      </c>
      <c r="I6988" s="23" t="str">
        <f t="shared" si="328"/>
        <v xml:space="preserve">COM VALOR</v>
      </c>
      <c r="J6988" s="19"/>
      <c r="L6988" s="21">
        <v>19.960000000000001</v>
      </c>
      <c r="M6988" s="22">
        <v>0</v>
      </c>
      <c r="N6988" s="21">
        <v>18.870000000000001</v>
      </c>
      <c r="O6988" s="22">
        <v>0</v>
      </c>
    </row>
    <row r="6989" ht="12.75">
      <c r="A6989" t="s">
        <v>7085</v>
      </c>
      <c r="B6989" s="19">
        <v>100303</v>
      </c>
      <c r="C6989" s="20" t="s">
        <v>7108</v>
      </c>
      <c r="D6989" s="19" t="s">
        <v>2032</v>
      </c>
      <c r="E6989" s="21">
        <f t="shared" si="326"/>
        <v>22.870000000000001</v>
      </c>
      <c r="F6989" s="22">
        <v>0</v>
      </c>
      <c r="G6989" s="21">
        <f t="shared" si="327"/>
        <v>21.66</v>
      </c>
      <c r="H6989" s="22">
        <v>0</v>
      </c>
      <c r="I6989" s="23" t="str">
        <f t="shared" si="328"/>
        <v xml:space="preserve">COM VALOR</v>
      </c>
      <c r="J6989" s="19"/>
      <c r="L6989" s="21">
        <v>22.870000000000001</v>
      </c>
      <c r="M6989" s="22">
        <v>0</v>
      </c>
      <c r="N6989" s="21">
        <v>21.66</v>
      </c>
      <c r="O6989" s="22">
        <v>0</v>
      </c>
    </row>
    <row r="6990" ht="12.75">
      <c r="A6990" t="s">
        <v>7085</v>
      </c>
      <c r="B6990" s="19">
        <v>101383</v>
      </c>
      <c r="C6990" s="20" t="s">
        <v>7108</v>
      </c>
      <c r="D6990" s="19" t="s">
        <v>7087</v>
      </c>
      <c r="E6990" s="21">
        <f t="shared" si="326"/>
        <v>3893.79</v>
      </c>
      <c r="F6990" s="22">
        <v>0</v>
      </c>
      <c r="G6990" s="21">
        <f t="shared" si="327"/>
        <v>3686.2399999999998</v>
      </c>
      <c r="H6990" s="22">
        <v>0</v>
      </c>
      <c r="I6990" s="23" t="str">
        <f t="shared" si="328"/>
        <v xml:space="preserve">COM VALOR</v>
      </c>
      <c r="J6990" s="19"/>
      <c r="L6990" s="21">
        <v>3893.79</v>
      </c>
      <c r="M6990" s="22">
        <v>0</v>
      </c>
      <c r="N6990" s="21">
        <v>3686.2399999999998</v>
      </c>
      <c r="O6990" s="22">
        <v>0</v>
      </c>
    </row>
    <row r="6991" ht="12.75">
      <c r="A6991" t="s">
        <v>7085</v>
      </c>
      <c r="B6991" s="19">
        <v>88247</v>
      </c>
      <c r="C6991" s="20" t="s">
        <v>7109</v>
      </c>
      <c r="D6991" s="19" t="s">
        <v>2032</v>
      </c>
      <c r="E6991" s="21">
        <f t="shared" si="326"/>
        <v>23.829999999999998</v>
      </c>
      <c r="F6991" s="22">
        <v>0</v>
      </c>
      <c r="G6991" s="21">
        <f t="shared" si="327"/>
        <v>22.539999999999999</v>
      </c>
      <c r="H6991" s="22">
        <v>0</v>
      </c>
      <c r="I6991" s="23" t="str">
        <f t="shared" si="328"/>
        <v xml:space="preserve">COM VALOR</v>
      </c>
      <c r="J6991" s="19"/>
      <c r="L6991" s="21">
        <v>23.829999999999998</v>
      </c>
      <c r="M6991" s="22">
        <v>0</v>
      </c>
      <c r="N6991" s="21">
        <v>22.539999999999999</v>
      </c>
      <c r="O6991" s="22">
        <v>0</v>
      </c>
    </row>
    <row r="6992" ht="25.5">
      <c r="A6992" t="s">
        <v>7085</v>
      </c>
      <c r="B6992" s="19">
        <v>88248</v>
      </c>
      <c r="C6992" s="20" t="s">
        <v>7110</v>
      </c>
      <c r="D6992" s="19" t="s">
        <v>2032</v>
      </c>
      <c r="E6992" s="21">
        <f t="shared" si="326"/>
        <v>22.989999999999998</v>
      </c>
      <c r="F6992" s="22">
        <v>0</v>
      </c>
      <c r="G6992" s="21">
        <f t="shared" si="327"/>
        <v>21.73</v>
      </c>
      <c r="H6992" s="22">
        <v>0</v>
      </c>
      <c r="I6992" s="23" t="str">
        <f t="shared" si="328"/>
        <v xml:space="preserve">COM VALOR</v>
      </c>
      <c r="J6992" s="19"/>
      <c r="L6992" s="21">
        <v>22.989999999999998</v>
      </c>
      <c r="M6992" s="22">
        <v>0</v>
      </c>
      <c r="N6992" s="21">
        <v>21.73</v>
      </c>
      <c r="O6992" s="22">
        <v>0</v>
      </c>
    </row>
    <row r="6993" ht="25.5">
      <c r="A6993" t="s">
        <v>7085</v>
      </c>
      <c r="B6993" s="19">
        <v>101384</v>
      </c>
      <c r="C6993" s="20" t="s">
        <v>7110</v>
      </c>
      <c r="D6993" s="19" t="s">
        <v>7087</v>
      </c>
      <c r="E6993" s="21">
        <f t="shared" si="326"/>
        <v>3911.1100000000001</v>
      </c>
      <c r="F6993" s="22">
        <v>0</v>
      </c>
      <c r="G6993" s="21">
        <f t="shared" si="327"/>
        <v>3695.0799999999999</v>
      </c>
      <c r="H6993" s="22">
        <v>0</v>
      </c>
      <c r="I6993" s="23" t="str">
        <f t="shared" si="328"/>
        <v xml:space="preserve">COM VALOR</v>
      </c>
      <c r="J6993" s="19"/>
      <c r="L6993" s="21">
        <v>3911.1100000000001</v>
      </c>
      <c r="M6993" s="22">
        <v>0</v>
      </c>
      <c r="N6993" s="21">
        <v>3695.0799999999999</v>
      </c>
      <c r="O6993" s="22">
        <v>0</v>
      </c>
    </row>
    <row r="6994" ht="12.75">
      <c r="A6994" t="s">
        <v>7085</v>
      </c>
      <c r="B6994" s="19">
        <v>90772</v>
      </c>
      <c r="C6994" s="20" t="s">
        <v>7111</v>
      </c>
      <c r="D6994" s="19" t="s">
        <v>2032</v>
      </c>
      <c r="E6994" s="21">
        <f t="shared" si="326"/>
        <v>26.309999999999999</v>
      </c>
      <c r="F6994" s="22">
        <v>0</v>
      </c>
      <c r="G6994" s="21">
        <f t="shared" si="327"/>
        <v>24.73</v>
      </c>
      <c r="H6994" s="22">
        <v>0</v>
      </c>
      <c r="I6994" s="23" t="str">
        <f t="shared" si="328"/>
        <v xml:space="preserve">COM VALOR</v>
      </c>
      <c r="J6994" s="19"/>
      <c r="L6994" s="21">
        <v>26.309999999999999</v>
      </c>
      <c r="M6994" s="22">
        <v>0</v>
      </c>
      <c r="N6994" s="21">
        <v>24.73</v>
      </c>
      <c r="O6994" s="22">
        <v>0</v>
      </c>
    </row>
    <row r="6995" ht="12.75">
      <c r="A6995" t="s">
        <v>7085</v>
      </c>
      <c r="B6995" s="19">
        <v>93566</v>
      </c>
      <c r="C6995" s="20" t="s">
        <v>7111</v>
      </c>
      <c r="D6995" s="19" t="s">
        <v>7087</v>
      </c>
      <c r="E6995" s="21">
        <f t="shared" si="326"/>
        <v>4534.8699999999999</v>
      </c>
      <c r="F6995" s="22">
        <v>0</v>
      </c>
      <c r="G6995" s="21">
        <f t="shared" si="327"/>
        <v>4261.3299999999999</v>
      </c>
      <c r="H6995" s="22">
        <v>0</v>
      </c>
      <c r="I6995" s="23" t="str">
        <f t="shared" si="328"/>
        <v xml:space="preserve">COM VALOR</v>
      </c>
      <c r="J6995" s="19"/>
      <c r="L6995" s="21">
        <v>4534.8699999999999</v>
      </c>
      <c r="M6995" s="22">
        <v>0</v>
      </c>
      <c r="N6995" s="21">
        <v>4261.3299999999999</v>
      </c>
      <c r="O6995" s="22">
        <v>0</v>
      </c>
    </row>
    <row r="6996" ht="25.5">
      <c r="A6996" t="s">
        <v>7085</v>
      </c>
      <c r="B6996" s="19">
        <v>101385</v>
      </c>
      <c r="C6996" s="20" t="s">
        <v>7112</v>
      </c>
      <c r="D6996" s="19" t="s">
        <v>7087</v>
      </c>
      <c r="E6996" s="21">
        <f t="shared" si="326"/>
        <v>6232.0200000000004</v>
      </c>
      <c r="F6996" s="22">
        <v>0</v>
      </c>
      <c r="G6996" s="21">
        <f t="shared" si="327"/>
        <v>5831.5699999999997</v>
      </c>
      <c r="H6996" s="22">
        <v>0</v>
      </c>
      <c r="I6996" s="23" t="str">
        <f t="shared" si="328"/>
        <v xml:space="preserve">COM VALOR</v>
      </c>
      <c r="J6996" s="19"/>
      <c r="L6996" s="21">
        <v>6232.0200000000004</v>
      </c>
      <c r="M6996" s="22">
        <v>0</v>
      </c>
      <c r="N6996" s="21">
        <v>5831.5699999999997</v>
      </c>
      <c r="O6996" s="22">
        <v>0</v>
      </c>
    </row>
    <row r="6997" ht="12.75">
      <c r="A6997" t="s">
        <v>7085</v>
      </c>
      <c r="B6997" s="19">
        <v>88249</v>
      </c>
      <c r="C6997" s="20" t="s">
        <v>7113</v>
      </c>
      <c r="D6997" s="19" t="s">
        <v>2032</v>
      </c>
      <c r="E6997" s="21">
        <f t="shared" si="326"/>
        <v>36.140000000000001</v>
      </c>
      <c r="F6997" s="22">
        <v>0</v>
      </c>
      <c r="G6997" s="21">
        <f t="shared" si="327"/>
        <v>33.829999999999998</v>
      </c>
      <c r="H6997" s="22">
        <v>0</v>
      </c>
      <c r="I6997" s="23" t="str">
        <f t="shared" si="328"/>
        <v xml:space="preserve">COM VALOR</v>
      </c>
      <c r="J6997" s="19"/>
      <c r="L6997" s="21">
        <v>36.140000000000001</v>
      </c>
      <c r="M6997" s="22">
        <v>0</v>
      </c>
      <c r="N6997" s="21">
        <v>33.829999999999998</v>
      </c>
      <c r="O6997" s="22">
        <v>0</v>
      </c>
    </row>
    <row r="6998" ht="12.75">
      <c r="A6998" t="s">
        <v>7085</v>
      </c>
      <c r="B6998" s="19">
        <v>88250</v>
      </c>
      <c r="C6998" s="20" t="s">
        <v>7114</v>
      </c>
      <c r="D6998" s="19" t="s">
        <v>2032</v>
      </c>
      <c r="E6998" s="21">
        <f t="shared" si="326"/>
        <v>22.16</v>
      </c>
      <c r="F6998" s="22">
        <v>0</v>
      </c>
      <c r="G6998" s="21">
        <f t="shared" si="327"/>
        <v>20.899999999999999</v>
      </c>
      <c r="H6998" s="22">
        <v>0</v>
      </c>
      <c r="I6998" s="23" t="str">
        <f t="shared" si="328"/>
        <v xml:space="preserve">COM VALOR</v>
      </c>
      <c r="J6998" s="19"/>
      <c r="L6998" s="21">
        <v>22.16</v>
      </c>
      <c r="M6998" s="22">
        <v>0</v>
      </c>
      <c r="N6998" s="21">
        <v>20.899999999999999</v>
      </c>
      <c r="O6998" s="22">
        <v>0</v>
      </c>
    </row>
    <row r="6999" ht="12.75">
      <c r="A6999" t="s">
        <v>7085</v>
      </c>
      <c r="B6999" s="19">
        <v>101386</v>
      </c>
      <c r="C6999" s="20" t="s">
        <v>7114</v>
      </c>
      <c r="D6999" s="19" t="s">
        <v>7087</v>
      </c>
      <c r="E6999" s="21">
        <f t="shared" si="326"/>
        <v>3790.27</v>
      </c>
      <c r="F6999" s="22">
        <v>0</v>
      </c>
      <c r="G6999" s="21">
        <f t="shared" si="327"/>
        <v>3574.2399999999998</v>
      </c>
      <c r="H6999" s="22">
        <v>0</v>
      </c>
      <c r="I6999" s="23" t="str">
        <f t="shared" si="328"/>
        <v xml:space="preserve">COM VALOR</v>
      </c>
      <c r="J6999" s="19"/>
      <c r="L6999" s="21">
        <v>3790.27</v>
      </c>
      <c r="M6999" s="22">
        <v>0</v>
      </c>
      <c r="N6999" s="21">
        <v>3574.2399999999998</v>
      </c>
      <c r="O6999" s="22">
        <v>0</v>
      </c>
    </row>
    <row r="7000" ht="12.75">
      <c r="A7000" t="s">
        <v>7085</v>
      </c>
      <c r="B7000" s="19">
        <v>101387</v>
      </c>
      <c r="C7000" s="20" t="s">
        <v>7115</v>
      </c>
      <c r="D7000" s="19" t="s">
        <v>7087</v>
      </c>
      <c r="E7000" s="21">
        <f t="shared" si="326"/>
        <v>4007.23</v>
      </c>
      <c r="F7000" s="22">
        <v>0</v>
      </c>
      <c r="G7000" s="21">
        <f t="shared" si="327"/>
        <v>3791.1999999999998</v>
      </c>
      <c r="H7000" s="22">
        <v>0</v>
      </c>
      <c r="I7000" s="23" t="str">
        <f t="shared" si="328"/>
        <v xml:space="preserve">COM VALOR</v>
      </c>
      <c r="J7000" s="19"/>
      <c r="L7000" s="21">
        <v>4007.23</v>
      </c>
      <c r="M7000" s="22">
        <v>0</v>
      </c>
      <c r="N7000" s="21">
        <v>3791.1999999999998</v>
      </c>
      <c r="O7000" s="22">
        <v>0</v>
      </c>
    </row>
    <row r="7001" ht="12.75">
      <c r="A7001" t="s">
        <v>7085</v>
      </c>
      <c r="B7001" s="19">
        <v>88251</v>
      </c>
      <c r="C7001" s="20" t="s">
        <v>7116</v>
      </c>
      <c r="D7001" s="19" t="s">
        <v>2032</v>
      </c>
      <c r="E7001" s="21">
        <f t="shared" si="326"/>
        <v>23.48</v>
      </c>
      <c r="F7001" s="22">
        <v>0</v>
      </c>
      <c r="G7001" s="21">
        <f t="shared" si="327"/>
        <v>22.219999999999999</v>
      </c>
      <c r="H7001" s="22">
        <v>0</v>
      </c>
      <c r="I7001" s="23" t="str">
        <f t="shared" si="328"/>
        <v xml:space="preserve">COM VALOR</v>
      </c>
      <c r="J7001" s="19"/>
      <c r="L7001" s="21">
        <v>23.48</v>
      </c>
      <c r="M7001" s="22">
        <v>0</v>
      </c>
      <c r="N7001" s="21">
        <v>22.219999999999999</v>
      </c>
      <c r="O7001" s="22">
        <v>0</v>
      </c>
    </row>
    <row r="7002" ht="12.75">
      <c r="A7002" t="s">
        <v>7085</v>
      </c>
      <c r="B7002" s="19">
        <v>88252</v>
      </c>
      <c r="C7002" s="20" t="s">
        <v>7117</v>
      </c>
      <c r="D7002" s="19" t="s">
        <v>2032</v>
      </c>
      <c r="E7002" s="21">
        <f t="shared" si="326"/>
        <v>22.609999999999999</v>
      </c>
      <c r="F7002" s="22">
        <v>0</v>
      </c>
      <c r="G7002" s="21">
        <f t="shared" si="327"/>
        <v>21.399999999999999</v>
      </c>
      <c r="H7002" s="22">
        <v>0</v>
      </c>
      <c r="I7002" s="23" t="str">
        <f t="shared" si="328"/>
        <v xml:space="preserve">COM VALOR</v>
      </c>
      <c r="J7002" s="19"/>
      <c r="L7002" s="21">
        <v>22.609999999999999</v>
      </c>
      <c r="M7002" s="22">
        <v>0</v>
      </c>
      <c r="N7002" s="21">
        <v>21.399999999999999</v>
      </c>
      <c r="O7002" s="22">
        <v>0</v>
      </c>
    </row>
    <row r="7003" ht="12.75">
      <c r="A7003" t="s">
        <v>7085</v>
      </c>
      <c r="B7003" s="19">
        <v>101388</v>
      </c>
      <c r="C7003" s="20" t="s">
        <v>7117</v>
      </c>
      <c r="D7003" s="19" t="s">
        <v>7087</v>
      </c>
      <c r="E7003" s="21">
        <f t="shared" si="326"/>
        <v>3859.7199999999998</v>
      </c>
      <c r="F7003" s="22">
        <v>0</v>
      </c>
      <c r="G7003" s="21">
        <f t="shared" si="327"/>
        <v>3651.6999999999998</v>
      </c>
      <c r="H7003" s="22">
        <v>0</v>
      </c>
      <c r="I7003" s="23" t="str">
        <f t="shared" si="328"/>
        <v xml:space="preserve">COM VALOR</v>
      </c>
      <c r="J7003" s="19"/>
      <c r="L7003" s="21">
        <v>3859.7199999999998</v>
      </c>
      <c r="M7003" s="22">
        <v>0</v>
      </c>
      <c r="N7003" s="21">
        <v>3651.6999999999998</v>
      </c>
      <c r="O7003" s="22">
        <v>0</v>
      </c>
    </row>
    <row r="7004" ht="12.75">
      <c r="A7004" t="s">
        <v>7085</v>
      </c>
      <c r="B7004" s="19">
        <v>88253</v>
      </c>
      <c r="C7004" s="20" t="s">
        <v>7118</v>
      </c>
      <c r="D7004" s="19" t="s">
        <v>2032</v>
      </c>
      <c r="E7004" s="21">
        <f t="shared" si="326"/>
        <v>19.760000000000002</v>
      </c>
      <c r="F7004" s="22">
        <v>0</v>
      </c>
      <c r="G7004" s="21">
        <f t="shared" si="327"/>
        <v>18.68</v>
      </c>
      <c r="H7004" s="22">
        <v>0</v>
      </c>
      <c r="I7004" s="23" t="str">
        <f t="shared" si="328"/>
        <v xml:space="preserve">COM VALOR</v>
      </c>
      <c r="J7004" s="19"/>
      <c r="L7004" s="21">
        <v>19.760000000000002</v>
      </c>
      <c r="M7004" s="22">
        <v>0</v>
      </c>
      <c r="N7004" s="21">
        <v>18.68</v>
      </c>
      <c r="O7004" s="22">
        <v>0</v>
      </c>
    </row>
    <row r="7005" ht="12.75">
      <c r="A7005" t="s">
        <v>7085</v>
      </c>
      <c r="B7005" s="19">
        <v>101389</v>
      </c>
      <c r="C7005" s="20" t="s">
        <v>7118</v>
      </c>
      <c r="D7005" s="19" t="s">
        <v>7087</v>
      </c>
      <c r="E7005" s="21">
        <f t="shared" si="326"/>
        <v>3387.5500000000002</v>
      </c>
      <c r="F7005" s="22">
        <v>0</v>
      </c>
      <c r="G7005" s="21">
        <f t="shared" si="327"/>
        <v>3200.4499999999998</v>
      </c>
      <c r="H7005" s="22">
        <v>0</v>
      </c>
      <c r="I7005" s="23" t="str">
        <f t="shared" si="328"/>
        <v xml:space="preserve">COM VALOR</v>
      </c>
      <c r="J7005" s="19"/>
      <c r="L7005" s="21">
        <v>3387.5500000000002</v>
      </c>
      <c r="M7005" s="22">
        <v>0</v>
      </c>
      <c r="N7005" s="21">
        <v>3200.4499999999998</v>
      </c>
      <c r="O7005" s="22">
        <v>0</v>
      </c>
    </row>
    <row r="7006" ht="25.5">
      <c r="A7006" t="s">
        <v>7085</v>
      </c>
      <c r="B7006" s="19">
        <v>101390</v>
      </c>
      <c r="C7006" s="20" t="s">
        <v>7119</v>
      </c>
      <c r="D7006" s="19" t="s">
        <v>7087</v>
      </c>
      <c r="E7006" s="21">
        <f t="shared" si="326"/>
        <v>5728.8900000000003</v>
      </c>
      <c r="F7006" s="22">
        <v>0</v>
      </c>
      <c r="G7006" s="21">
        <f t="shared" si="327"/>
        <v>5367.7799999999997</v>
      </c>
      <c r="H7006" s="22">
        <v>0</v>
      </c>
      <c r="I7006" s="23" t="str">
        <f t="shared" si="328"/>
        <v xml:space="preserve">COM VALOR</v>
      </c>
      <c r="J7006" s="19"/>
      <c r="L7006" s="21">
        <v>5728.8900000000003</v>
      </c>
      <c r="M7006" s="22">
        <v>0</v>
      </c>
      <c r="N7006" s="21">
        <v>5367.7799999999997</v>
      </c>
      <c r="O7006" s="22">
        <v>0</v>
      </c>
    </row>
    <row r="7007" ht="12.75">
      <c r="A7007" t="s">
        <v>7085</v>
      </c>
      <c r="B7007" s="19">
        <v>88255</v>
      </c>
      <c r="C7007" s="20" t="s">
        <v>7120</v>
      </c>
      <c r="D7007" s="19" t="s">
        <v>2032</v>
      </c>
      <c r="E7007" s="21">
        <f t="shared" si="326"/>
        <v>33.259999999999998</v>
      </c>
      <c r="F7007" s="22">
        <v>0</v>
      </c>
      <c r="G7007" s="21">
        <f t="shared" si="327"/>
        <v>31.190000000000001</v>
      </c>
      <c r="H7007" s="22">
        <v>0</v>
      </c>
      <c r="I7007" s="23" t="str">
        <f t="shared" si="328"/>
        <v xml:space="preserve">COM VALOR</v>
      </c>
      <c r="J7007" s="19"/>
      <c r="L7007" s="21">
        <v>33.259999999999998</v>
      </c>
      <c r="M7007" s="22">
        <v>0</v>
      </c>
      <c r="N7007" s="21">
        <v>31.190000000000001</v>
      </c>
      <c r="O7007" s="22">
        <v>0</v>
      </c>
    </row>
    <row r="7008" ht="12.75">
      <c r="A7008" t="s">
        <v>7085</v>
      </c>
      <c r="B7008" s="19">
        <v>88256</v>
      </c>
      <c r="C7008" s="20" t="s">
        <v>7121</v>
      </c>
      <c r="D7008" s="19" t="s">
        <v>2032</v>
      </c>
      <c r="E7008" s="21">
        <f t="shared" si="326"/>
        <v>28.359999999999999</v>
      </c>
      <c r="F7008" s="22">
        <v>0</v>
      </c>
      <c r="G7008" s="21">
        <f t="shared" si="327"/>
        <v>26.75</v>
      </c>
      <c r="H7008" s="22">
        <v>0</v>
      </c>
      <c r="I7008" s="23" t="str">
        <f t="shared" si="328"/>
        <v xml:space="preserve">COM VALOR</v>
      </c>
      <c r="J7008" s="19"/>
      <c r="L7008" s="21">
        <v>28.359999999999999</v>
      </c>
      <c r="M7008" s="22">
        <v>0</v>
      </c>
      <c r="N7008" s="21">
        <v>26.75</v>
      </c>
      <c r="O7008" s="22">
        <v>0</v>
      </c>
    </row>
    <row r="7009" ht="12.75">
      <c r="A7009" t="s">
        <v>7085</v>
      </c>
      <c r="B7009" s="19">
        <v>101391</v>
      </c>
      <c r="C7009" s="20" t="s">
        <v>7121</v>
      </c>
      <c r="D7009" s="19" t="s">
        <v>7087</v>
      </c>
      <c r="E7009" s="21">
        <f t="shared" si="326"/>
        <v>4840</v>
      </c>
      <c r="F7009" s="22">
        <v>0</v>
      </c>
      <c r="G7009" s="21">
        <f t="shared" si="327"/>
        <v>4561.6899999999996</v>
      </c>
      <c r="H7009" s="22">
        <v>0</v>
      </c>
      <c r="I7009" s="23" t="str">
        <f t="shared" si="328"/>
        <v xml:space="preserve">COM VALOR</v>
      </c>
      <c r="J7009" s="19"/>
      <c r="L7009" s="21">
        <v>4840</v>
      </c>
      <c r="M7009" s="22">
        <v>0</v>
      </c>
      <c r="N7009" s="21">
        <v>4561.6899999999996</v>
      </c>
      <c r="O7009" s="22">
        <v>0</v>
      </c>
    </row>
    <row r="7010" ht="25.5">
      <c r="A7010" t="s">
        <v>7085</v>
      </c>
      <c r="B7010" s="19">
        <v>88257</v>
      </c>
      <c r="C7010" s="20" t="s">
        <v>7122</v>
      </c>
      <c r="D7010" s="19" t="s">
        <v>2032</v>
      </c>
      <c r="E7010" s="21">
        <f t="shared" si="326"/>
        <v>25.91</v>
      </c>
      <c r="F7010" s="22">
        <v>0</v>
      </c>
      <c r="G7010" s="21">
        <f t="shared" si="327"/>
        <v>24.370000000000001</v>
      </c>
      <c r="H7010" s="22">
        <v>0</v>
      </c>
      <c r="I7010" s="23" t="str">
        <f t="shared" si="328"/>
        <v xml:space="preserve">COM VALOR</v>
      </c>
      <c r="J7010" s="19"/>
      <c r="L7010" s="21">
        <v>25.91</v>
      </c>
      <c r="M7010" s="22">
        <v>0</v>
      </c>
      <c r="N7010" s="21">
        <v>24.370000000000001</v>
      </c>
      <c r="O7010" s="22">
        <v>0</v>
      </c>
    </row>
    <row r="7011" ht="25.5">
      <c r="A7011" t="s">
        <v>7085</v>
      </c>
      <c r="B7011" s="19">
        <v>101392</v>
      </c>
      <c r="C7011" s="20" t="s">
        <v>7123</v>
      </c>
      <c r="D7011" s="19" t="s">
        <v>7087</v>
      </c>
      <c r="E7011" s="21">
        <f t="shared" si="326"/>
        <v>4416.5900000000001</v>
      </c>
      <c r="F7011" s="22">
        <v>0</v>
      </c>
      <c r="G7011" s="21">
        <f t="shared" si="327"/>
        <v>4153.7200000000003</v>
      </c>
      <c r="H7011" s="22">
        <v>0</v>
      </c>
      <c r="I7011" s="23" t="str">
        <f t="shared" si="328"/>
        <v xml:space="preserve">COM VALOR</v>
      </c>
      <c r="J7011" s="19"/>
      <c r="L7011" s="21">
        <v>4416.5900000000001</v>
      </c>
      <c r="M7011" s="22">
        <v>0</v>
      </c>
      <c r="N7011" s="21">
        <v>4153.7200000000003</v>
      </c>
      <c r="O7011" s="22">
        <v>0</v>
      </c>
    </row>
    <row r="7012" ht="12.75">
      <c r="A7012" t="s">
        <v>7085</v>
      </c>
      <c r="B7012" s="19">
        <v>88260</v>
      </c>
      <c r="C7012" s="20" t="s">
        <v>7124</v>
      </c>
      <c r="D7012" s="19" t="s">
        <v>2032</v>
      </c>
      <c r="E7012" s="21">
        <f t="shared" si="326"/>
        <v>26.27</v>
      </c>
      <c r="F7012" s="22">
        <v>0</v>
      </c>
      <c r="G7012" s="21">
        <f t="shared" si="327"/>
        <v>24.809999999999999</v>
      </c>
      <c r="H7012" s="22">
        <v>0</v>
      </c>
      <c r="I7012" s="23" t="str">
        <f t="shared" si="328"/>
        <v xml:space="preserve">COM VALOR</v>
      </c>
      <c r="J7012" s="19"/>
      <c r="L7012" s="21">
        <v>26.27</v>
      </c>
      <c r="M7012" s="22">
        <v>0</v>
      </c>
      <c r="N7012" s="21">
        <v>24.809999999999999</v>
      </c>
      <c r="O7012" s="22">
        <v>0</v>
      </c>
    </row>
    <row r="7013" ht="12.75">
      <c r="A7013" t="s">
        <v>7085</v>
      </c>
      <c r="B7013" s="19">
        <v>101394</v>
      </c>
      <c r="C7013" s="20" t="s">
        <v>7124</v>
      </c>
      <c r="D7013" s="19" t="s">
        <v>7087</v>
      </c>
      <c r="E7013" s="21">
        <f t="shared" si="326"/>
        <v>4489.1899999999996</v>
      </c>
      <c r="F7013" s="22">
        <v>0</v>
      </c>
      <c r="G7013" s="21">
        <f t="shared" si="327"/>
        <v>4237.1199999999999</v>
      </c>
      <c r="H7013" s="22">
        <v>0</v>
      </c>
      <c r="I7013" s="23" t="str">
        <f t="shared" si="328"/>
        <v xml:space="preserve">COM VALOR</v>
      </c>
      <c r="J7013" s="19"/>
      <c r="L7013" s="21">
        <v>4489.1899999999996</v>
      </c>
      <c r="M7013" s="22">
        <v>0</v>
      </c>
      <c r="N7013" s="21">
        <v>4237.1199999999999</v>
      </c>
      <c r="O7013" s="22">
        <v>0</v>
      </c>
    </row>
    <row r="7014" ht="12.75">
      <c r="A7014" t="s">
        <v>7085</v>
      </c>
      <c r="B7014" s="19">
        <v>101395</v>
      </c>
      <c r="C7014" s="20" t="s">
        <v>7125</v>
      </c>
      <c r="D7014" s="19" t="s">
        <v>7087</v>
      </c>
      <c r="E7014" s="21">
        <f t="shared" si="326"/>
        <v>3917.5700000000002</v>
      </c>
      <c r="F7014" s="22">
        <v>0</v>
      </c>
      <c r="G7014" s="21">
        <f t="shared" si="327"/>
        <v>3701.54</v>
      </c>
      <c r="H7014" s="22">
        <v>0</v>
      </c>
      <c r="I7014" s="23" t="str">
        <f t="shared" si="328"/>
        <v xml:space="preserve">COM VALOR</v>
      </c>
      <c r="J7014" s="19"/>
      <c r="L7014" s="21">
        <v>3917.5700000000002</v>
      </c>
      <c r="M7014" s="22">
        <v>0</v>
      </c>
      <c r="N7014" s="21">
        <v>3701.54</v>
      </c>
      <c r="O7014" s="22">
        <v>0</v>
      </c>
    </row>
    <row r="7015" ht="12.75">
      <c r="A7015" t="s">
        <v>7085</v>
      </c>
      <c r="B7015" s="19">
        <v>88261</v>
      </c>
      <c r="C7015" s="20" t="s">
        <v>7126</v>
      </c>
      <c r="D7015" s="19" t="s">
        <v>2032</v>
      </c>
      <c r="E7015" s="21">
        <f t="shared" si="326"/>
        <v>26.539999999999999</v>
      </c>
      <c r="F7015" s="22">
        <v>0</v>
      </c>
      <c r="G7015" s="21">
        <f t="shared" si="327"/>
        <v>25.02</v>
      </c>
      <c r="H7015" s="22">
        <v>0</v>
      </c>
      <c r="I7015" s="23" t="str">
        <f t="shared" si="328"/>
        <v xml:space="preserve">COM VALOR</v>
      </c>
      <c r="J7015" s="19"/>
      <c r="L7015" s="21">
        <v>26.539999999999999</v>
      </c>
      <c r="M7015" s="22">
        <v>0</v>
      </c>
      <c r="N7015" s="21">
        <v>25.02</v>
      </c>
      <c r="O7015" s="22">
        <v>0</v>
      </c>
    </row>
    <row r="7016" ht="12.75">
      <c r="A7016" t="s">
        <v>7085</v>
      </c>
      <c r="B7016" s="19">
        <v>101396</v>
      </c>
      <c r="C7016" s="20" t="s">
        <v>7126</v>
      </c>
      <c r="D7016" s="19" t="s">
        <v>7087</v>
      </c>
      <c r="E7016" s="21">
        <f t="shared" si="326"/>
        <v>4533.1700000000001</v>
      </c>
      <c r="F7016" s="22">
        <v>0</v>
      </c>
      <c r="G7016" s="21">
        <f t="shared" si="327"/>
        <v>4271.1000000000004</v>
      </c>
      <c r="H7016" s="22">
        <v>0</v>
      </c>
      <c r="I7016" s="23" t="str">
        <f t="shared" si="328"/>
        <v xml:space="preserve">COM VALOR</v>
      </c>
      <c r="J7016" s="19"/>
      <c r="L7016" s="21">
        <v>4533.1700000000001</v>
      </c>
      <c r="M7016" s="22">
        <v>0</v>
      </c>
      <c r="N7016" s="21">
        <v>4271.1000000000004</v>
      </c>
      <c r="O7016" s="22">
        <v>0</v>
      </c>
    </row>
    <row r="7017" ht="12.75">
      <c r="A7017" t="s">
        <v>7085</v>
      </c>
      <c r="B7017" s="19">
        <v>88262</v>
      </c>
      <c r="C7017" s="20" t="s">
        <v>7127</v>
      </c>
      <c r="D7017" s="19" t="s">
        <v>2032</v>
      </c>
      <c r="E7017" s="21">
        <f t="shared" si="326"/>
        <v>27.739999999999998</v>
      </c>
      <c r="F7017" s="22">
        <v>0</v>
      </c>
      <c r="G7017" s="21">
        <f t="shared" si="327"/>
        <v>26.129999999999999</v>
      </c>
      <c r="H7017" s="22">
        <v>0</v>
      </c>
      <c r="I7017" s="23" t="str">
        <f t="shared" si="328"/>
        <v xml:space="preserve">COM VALOR</v>
      </c>
      <c r="J7017" s="19"/>
      <c r="L7017" s="21">
        <v>27.739999999999998</v>
      </c>
      <c r="M7017" s="22">
        <v>0</v>
      </c>
      <c r="N7017" s="21">
        <v>26.129999999999999</v>
      </c>
      <c r="O7017" s="22">
        <v>0</v>
      </c>
    </row>
    <row r="7018" ht="12.75">
      <c r="A7018" t="s">
        <v>7085</v>
      </c>
      <c r="B7018" s="19">
        <v>101397</v>
      </c>
      <c r="C7018" s="20" t="s">
        <v>7127</v>
      </c>
      <c r="D7018" s="19" t="s">
        <v>7087</v>
      </c>
      <c r="E7018" s="21">
        <f t="shared" si="326"/>
        <v>4750.3400000000001</v>
      </c>
      <c r="F7018" s="22">
        <v>0</v>
      </c>
      <c r="G7018" s="21">
        <f t="shared" si="327"/>
        <v>4472.0299999999997</v>
      </c>
      <c r="H7018" s="22">
        <v>0</v>
      </c>
      <c r="I7018" s="23" t="str">
        <f t="shared" si="328"/>
        <v xml:space="preserve">COM VALOR</v>
      </c>
      <c r="J7018" s="19"/>
      <c r="L7018" s="21">
        <v>4750.3400000000001</v>
      </c>
      <c r="M7018" s="22">
        <v>0</v>
      </c>
      <c r="N7018" s="21">
        <v>4472.0299999999997</v>
      </c>
      <c r="O7018" s="22">
        <v>0</v>
      </c>
    </row>
    <row r="7019" ht="25.5">
      <c r="A7019" t="s">
        <v>7085</v>
      </c>
      <c r="B7019" s="19">
        <v>101398</v>
      </c>
      <c r="C7019" s="20" t="s">
        <v>7128</v>
      </c>
      <c r="D7019" s="19" t="s">
        <v>7087</v>
      </c>
      <c r="E7019" s="21">
        <f t="shared" si="326"/>
        <v>4318.8299999999999</v>
      </c>
      <c r="F7019" s="22">
        <v>0</v>
      </c>
      <c r="G7019" s="21">
        <f t="shared" si="327"/>
        <v>4063.27</v>
      </c>
      <c r="H7019" s="22">
        <v>0</v>
      </c>
      <c r="I7019" s="23" t="str">
        <f t="shared" si="328"/>
        <v xml:space="preserve">COM VALOR</v>
      </c>
      <c r="J7019" s="19"/>
      <c r="L7019" s="21">
        <v>4318.8299999999999</v>
      </c>
      <c r="M7019" s="22">
        <v>0</v>
      </c>
      <c r="N7019" s="21">
        <v>4063.27</v>
      </c>
      <c r="O7019" s="22">
        <v>0</v>
      </c>
    </row>
    <row r="7020" ht="25.5">
      <c r="A7020" t="s">
        <v>7085</v>
      </c>
      <c r="B7020" s="19">
        <v>88263</v>
      </c>
      <c r="C7020" s="20" t="s">
        <v>7129</v>
      </c>
      <c r="D7020" s="19" t="s">
        <v>2032</v>
      </c>
      <c r="E7020" s="21">
        <f t="shared" si="326"/>
        <v>25.210000000000001</v>
      </c>
      <c r="F7020" s="22">
        <v>0</v>
      </c>
      <c r="G7020" s="21">
        <f t="shared" si="327"/>
        <v>23.73</v>
      </c>
      <c r="H7020" s="22">
        <v>0</v>
      </c>
      <c r="I7020" s="23" t="str">
        <f t="shared" si="328"/>
        <v xml:space="preserve">COM VALOR</v>
      </c>
      <c r="J7020" s="19"/>
      <c r="L7020" s="21">
        <v>25.210000000000001</v>
      </c>
      <c r="M7020" s="22">
        <v>0</v>
      </c>
      <c r="N7020" s="21">
        <v>23.73</v>
      </c>
      <c r="O7020" s="22">
        <v>0</v>
      </c>
    </row>
    <row r="7021" ht="25.5">
      <c r="A7021" t="s">
        <v>7085</v>
      </c>
      <c r="B7021" s="19">
        <v>95308</v>
      </c>
      <c r="C7021" s="20" t="s">
        <v>7130</v>
      </c>
      <c r="D7021" s="19" t="s">
        <v>2032</v>
      </c>
      <c r="E7021" s="21">
        <f t="shared" si="326"/>
        <v>0.19</v>
      </c>
      <c r="F7021" s="22">
        <v>0</v>
      </c>
      <c r="G7021" s="21">
        <f t="shared" si="327"/>
        <v>0.17000000000000001</v>
      </c>
      <c r="H7021" s="22">
        <v>0</v>
      </c>
      <c r="I7021" s="23" t="str">
        <f t="shared" si="328"/>
        <v xml:space="preserve">COM VALOR</v>
      </c>
      <c r="J7021" s="19"/>
      <c r="L7021" s="21">
        <v>0.19</v>
      </c>
      <c r="M7021" s="22">
        <v>0</v>
      </c>
      <c r="N7021" s="21">
        <v>0.17000000000000001</v>
      </c>
      <c r="O7021" s="22">
        <v>0</v>
      </c>
    </row>
    <row r="7022" ht="25.5">
      <c r="A7022" t="s">
        <v>7085</v>
      </c>
      <c r="B7022" s="19">
        <v>101286</v>
      </c>
      <c r="C7022" s="20" t="s">
        <v>7131</v>
      </c>
      <c r="D7022" s="19" t="s">
        <v>7087</v>
      </c>
      <c r="E7022" s="21">
        <f t="shared" si="326"/>
        <v>25.100000000000001</v>
      </c>
      <c r="F7022" s="22">
        <v>0</v>
      </c>
      <c r="G7022" s="21">
        <f t="shared" si="327"/>
        <v>23.219999999999999</v>
      </c>
      <c r="H7022" s="22">
        <v>0</v>
      </c>
      <c r="I7022" s="23" t="str">
        <f t="shared" si="328"/>
        <v xml:space="preserve">COM VALOR</v>
      </c>
      <c r="J7022" s="19"/>
      <c r="L7022" s="21">
        <v>25.100000000000001</v>
      </c>
      <c r="M7022" s="22">
        <v>0</v>
      </c>
      <c r="N7022" s="21">
        <v>23.219999999999999</v>
      </c>
      <c r="O7022" s="22">
        <v>0</v>
      </c>
    </row>
    <row r="7023" ht="25.5">
      <c r="A7023" t="s">
        <v>7085</v>
      </c>
      <c r="B7023" s="19">
        <v>95309</v>
      </c>
      <c r="C7023" s="20" t="s">
        <v>7132</v>
      </c>
      <c r="D7023" s="19" t="s">
        <v>2032</v>
      </c>
      <c r="E7023" s="21">
        <f t="shared" si="326"/>
        <v>0.23999999999999999</v>
      </c>
      <c r="F7023" s="22">
        <v>0</v>
      </c>
      <c r="G7023" s="21">
        <f t="shared" si="327"/>
        <v>0.22</v>
      </c>
      <c r="H7023" s="22">
        <v>0</v>
      </c>
      <c r="I7023" s="23" t="str">
        <f t="shared" si="328"/>
        <v xml:space="preserve">COM VALOR</v>
      </c>
      <c r="J7023" s="19"/>
      <c r="L7023" s="21">
        <v>0.23999999999999999</v>
      </c>
      <c r="M7023" s="22">
        <v>0</v>
      </c>
      <c r="N7023" s="21">
        <v>0.22</v>
      </c>
      <c r="O7023" s="22">
        <v>0</v>
      </c>
    </row>
    <row r="7024" ht="25.5">
      <c r="A7024" t="s">
        <v>7085</v>
      </c>
      <c r="B7024" s="19">
        <v>101287</v>
      </c>
      <c r="C7024" s="20" t="s">
        <v>7133</v>
      </c>
      <c r="D7024" s="19" t="s">
        <v>7087</v>
      </c>
      <c r="E7024" s="21">
        <f t="shared" si="326"/>
        <v>81.200000000000003</v>
      </c>
      <c r="F7024" s="22">
        <v>0</v>
      </c>
      <c r="G7024" s="21">
        <f t="shared" si="327"/>
        <v>75.129999999999995</v>
      </c>
      <c r="H7024" s="22">
        <v>0</v>
      </c>
      <c r="I7024" s="23" t="str">
        <f t="shared" si="328"/>
        <v xml:space="preserve">COM VALOR</v>
      </c>
      <c r="J7024" s="19"/>
      <c r="L7024" s="21">
        <v>81.200000000000003</v>
      </c>
      <c r="M7024" s="22">
        <v>0</v>
      </c>
      <c r="N7024" s="21">
        <v>75.129999999999995</v>
      </c>
      <c r="O7024" s="22">
        <v>0</v>
      </c>
    </row>
    <row r="7025" ht="25.5">
      <c r="A7025" t="s">
        <v>7085</v>
      </c>
      <c r="B7025" s="19">
        <v>95310</v>
      </c>
      <c r="C7025" s="20" t="s">
        <v>7134</v>
      </c>
      <c r="D7025" s="19" t="s">
        <v>2032</v>
      </c>
      <c r="E7025" s="21">
        <f t="shared" si="326"/>
        <v>0.19</v>
      </c>
      <c r="F7025" s="22">
        <v>0</v>
      </c>
      <c r="G7025" s="21">
        <f t="shared" si="327"/>
        <v>0.17000000000000001</v>
      </c>
      <c r="H7025" s="22">
        <v>0</v>
      </c>
      <c r="I7025" s="23" t="str">
        <f t="shared" si="328"/>
        <v xml:space="preserve">COM VALOR</v>
      </c>
      <c r="J7025" s="19"/>
      <c r="L7025" s="21">
        <v>0.19</v>
      </c>
      <c r="M7025" s="22">
        <v>0</v>
      </c>
      <c r="N7025" s="21">
        <v>0.17000000000000001</v>
      </c>
      <c r="O7025" s="22">
        <v>0</v>
      </c>
    </row>
    <row r="7026" ht="25.5">
      <c r="A7026" t="s">
        <v>7085</v>
      </c>
      <c r="B7026" s="19">
        <v>101288</v>
      </c>
      <c r="C7026" s="20" t="s">
        <v>7135</v>
      </c>
      <c r="D7026" s="19" t="s">
        <v>7087</v>
      </c>
      <c r="E7026" s="21">
        <f t="shared" si="326"/>
        <v>25.100000000000001</v>
      </c>
      <c r="F7026" s="22">
        <v>0</v>
      </c>
      <c r="G7026" s="21">
        <f t="shared" si="327"/>
        <v>23.219999999999999</v>
      </c>
      <c r="H7026" s="22">
        <v>0</v>
      </c>
      <c r="I7026" s="23" t="str">
        <f t="shared" si="328"/>
        <v xml:space="preserve">COM VALOR</v>
      </c>
      <c r="J7026" s="19"/>
      <c r="L7026" s="21">
        <v>25.100000000000001</v>
      </c>
      <c r="M7026" s="22">
        <v>0</v>
      </c>
      <c r="N7026" s="21">
        <v>23.219999999999999</v>
      </c>
      <c r="O7026" s="22">
        <v>0</v>
      </c>
    </row>
    <row r="7027" ht="25.5">
      <c r="A7027" t="s">
        <v>7085</v>
      </c>
      <c r="B7027" s="19">
        <v>95311</v>
      </c>
      <c r="C7027" s="20" t="s">
        <v>7136</v>
      </c>
      <c r="D7027" s="19" t="s">
        <v>2032</v>
      </c>
      <c r="E7027" s="21">
        <f t="shared" si="326"/>
        <v>0.19</v>
      </c>
      <c r="F7027" s="22">
        <v>0</v>
      </c>
      <c r="G7027" s="21">
        <f t="shared" si="327"/>
        <v>0.17999999999999999</v>
      </c>
      <c r="H7027" s="22">
        <v>0</v>
      </c>
      <c r="I7027" s="23" t="str">
        <f t="shared" si="328"/>
        <v xml:space="preserve">COM VALOR</v>
      </c>
      <c r="J7027" s="19"/>
      <c r="L7027" s="21">
        <v>0.19</v>
      </c>
      <c r="M7027" s="22">
        <v>0</v>
      </c>
      <c r="N7027" s="21">
        <v>0.17999999999999999</v>
      </c>
      <c r="O7027" s="22">
        <v>0</v>
      </c>
    </row>
    <row r="7028" ht="25.5">
      <c r="A7028" t="s">
        <v>7085</v>
      </c>
      <c r="B7028" s="19">
        <v>101289</v>
      </c>
      <c r="C7028" s="20" t="s">
        <v>7137</v>
      </c>
      <c r="D7028" s="19" t="s">
        <v>7087</v>
      </c>
      <c r="E7028" s="21">
        <f t="shared" si="326"/>
        <v>25.879999999999999</v>
      </c>
      <c r="F7028" s="22">
        <v>0</v>
      </c>
      <c r="G7028" s="21">
        <f t="shared" si="327"/>
        <v>23.940000000000001</v>
      </c>
      <c r="H7028" s="22">
        <v>0</v>
      </c>
      <c r="I7028" s="23" t="str">
        <f t="shared" si="328"/>
        <v xml:space="preserve">COM VALOR</v>
      </c>
      <c r="J7028" s="19"/>
      <c r="L7028" s="21">
        <v>25.879999999999999</v>
      </c>
      <c r="M7028" s="22">
        <v>0</v>
      </c>
      <c r="N7028" s="21">
        <v>23.940000000000001</v>
      </c>
      <c r="O7028" s="22">
        <v>0</v>
      </c>
    </row>
    <row r="7029" ht="25.5">
      <c r="A7029" t="s">
        <v>7085</v>
      </c>
      <c r="B7029" s="19">
        <v>95312</v>
      </c>
      <c r="C7029" s="20" t="s">
        <v>7138</v>
      </c>
      <c r="D7029" s="19" t="s">
        <v>2032</v>
      </c>
      <c r="E7029" s="21">
        <f t="shared" si="326"/>
        <v>0.23999999999999999</v>
      </c>
      <c r="F7029" s="22">
        <v>0</v>
      </c>
      <c r="G7029" s="21">
        <f t="shared" si="327"/>
        <v>0.22</v>
      </c>
      <c r="H7029" s="22">
        <v>0</v>
      </c>
      <c r="I7029" s="23" t="str">
        <f t="shared" si="328"/>
        <v xml:space="preserve">COM VALOR</v>
      </c>
      <c r="J7029" s="19"/>
      <c r="L7029" s="21">
        <v>0.23999999999999999</v>
      </c>
      <c r="M7029" s="22">
        <v>0</v>
      </c>
      <c r="N7029" s="21">
        <v>0.22</v>
      </c>
      <c r="O7029" s="22">
        <v>0</v>
      </c>
    </row>
    <row r="7030" ht="25.5">
      <c r="A7030" t="s">
        <v>7085</v>
      </c>
      <c r="B7030" s="19">
        <v>100291</v>
      </c>
      <c r="C7030" s="20" t="s">
        <v>7139</v>
      </c>
      <c r="D7030" s="19" t="s">
        <v>2032</v>
      </c>
      <c r="E7030" s="21">
        <f t="shared" si="326"/>
        <v>0.23999999999999999</v>
      </c>
      <c r="F7030" s="22">
        <v>0</v>
      </c>
      <c r="G7030" s="21">
        <f t="shared" si="327"/>
        <v>0.22</v>
      </c>
      <c r="H7030" s="22">
        <v>0</v>
      </c>
      <c r="I7030" s="23" t="str">
        <f t="shared" si="328"/>
        <v xml:space="preserve">COM VALOR</v>
      </c>
      <c r="J7030" s="19"/>
      <c r="L7030" s="21">
        <v>0.23999999999999999</v>
      </c>
      <c r="M7030" s="22">
        <v>0</v>
      </c>
      <c r="N7030" s="21">
        <v>0.22</v>
      </c>
      <c r="O7030" s="22">
        <v>0</v>
      </c>
    </row>
    <row r="7031" ht="25.5">
      <c r="A7031" t="s">
        <v>7085</v>
      </c>
      <c r="B7031" s="19">
        <v>101290</v>
      </c>
      <c r="C7031" s="20" t="s">
        <v>7140</v>
      </c>
      <c r="D7031" s="19" t="s">
        <v>7087</v>
      </c>
      <c r="E7031" s="21">
        <f t="shared" si="326"/>
        <v>32.119999999999997</v>
      </c>
      <c r="F7031" s="22">
        <v>0</v>
      </c>
      <c r="G7031" s="21">
        <f t="shared" si="327"/>
        <v>29.719999999999999</v>
      </c>
      <c r="H7031" s="22">
        <v>0</v>
      </c>
      <c r="I7031" s="23" t="str">
        <f t="shared" si="328"/>
        <v xml:space="preserve">COM VALOR</v>
      </c>
      <c r="J7031" s="19"/>
      <c r="L7031" s="21">
        <v>32.119999999999997</v>
      </c>
      <c r="M7031" s="22">
        <v>0</v>
      </c>
      <c r="N7031" s="21">
        <v>29.719999999999999</v>
      </c>
      <c r="O7031" s="22">
        <v>0</v>
      </c>
    </row>
    <row r="7032" ht="25.5">
      <c r="A7032" t="s">
        <v>7085</v>
      </c>
      <c r="B7032" s="19">
        <v>101291</v>
      </c>
      <c r="C7032" s="20" t="s">
        <v>7141</v>
      </c>
      <c r="D7032" s="19" t="s">
        <v>7087</v>
      </c>
      <c r="E7032" s="21">
        <f t="shared" si="326"/>
        <v>25.100000000000001</v>
      </c>
      <c r="F7032" s="22">
        <v>0</v>
      </c>
      <c r="G7032" s="21">
        <f t="shared" si="327"/>
        <v>23.219999999999999</v>
      </c>
      <c r="H7032" s="22">
        <v>0</v>
      </c>
      <c r="I7032" s="23" t="str">
        <f t="shared" si="328"/>
        <v xml:space="preserve">COM VALOR</v>
      </c>
      <c r="J7032" s="19"/>
      <c r="L7032" s="21">
        <v>25.100000000000001</v>
      </c>
      <c r="M7032" s="22">
        <v>0</v>
      </c>
      <c r="N7032" s="21">
        <v>23.219999999999999</v>
      </c>
      <c r="O7032" s="22">
        <v>0</v>
      </c>
    </row>
    <row r="7033" ht="25.5">
      <c r="A7033" t="s">
        <v>7085</v>
      </c>
      <c r="B7033" s="19">
        <v>95313</v>
      </c>
      <c r="C7033" s="20" t="s">
        <v>7142</v>
      </c>
      <c r="D7033" s="19" t="s">
        <v>2032</v>
      </c>
      <c r="E7033" s="21">
        <f t="shared" si="326"/>
        <v>0.19</v>
      </c>
      <c r="F7033" s="22">
        <v>0</v>
      </c>
      <c r="G7033" s="21">
        <f t="shared" si="327"/>
        <v>0.17999999999999999</v>
      </c>
      <c r="H7033" s="22">
        <v>0</v>
      </c>
      <c r="I7033" s="23" t="str">
        <f t="shared" si="328"/>
        <v xml:space="preserve">COM VALOR</v>
      </c>
      <c r="J7033" s="19"/>
      <c r="L7033" s="21">
        <v>0.19</v>
      </c>
      <c r="M7033" s="22">
        <v>0</v>
      </c>
      <c r="N7033" s="21">
        <v>0.17999999999999999</v>
      </c>
      <c r="O7033" s="22">
        <v>0</v>
      </c>
    </row>
    <row r="7034" ht="25.5">
      <c r="A7034" t="s">
        <v>7085</v>
      </c>
      <c r="B7034" s="19">
        <v>101292</v>
      </c>
      <c r="C7034" s="20" t="s">
        <v>7143</v>
      </c>
      <c r="D7034" s="19" t="s">
        <v>7087</v>
      </c>
      <c r="E7034" s="21">
        <f t="shared" si="326"/>
        <v>25.879999999999999</v>
      </c>
      <c r="F7034" s="22">
        <v>0</v>
      </c>
      <c r="G7034" s="21">
        <f t="shared" si="327"/>
        <v>23.940000000000001</v>
      </c>
      <c r="H7034" s="22">
        <v>0</v>
      </c>
      <c r="I7034" s="23" t="str">
        <f t="shared" si="328"/>
        <v xml:space="preserve">COM VALOR</v>
      </c>
      <c r="J7034" s="19"/>
      <c r="L7034" s="21">
        <v>25.879999999999999</v>
      </c>
      <c r="M7034" s="22">
        <v>0</v>
      </c>
      <c r="N7034" s="21">
        <v>23.940000000000001</v>
      </c>
      <c r="O7034" s="22">
        <v>0</v>
      </c>
    </row>
    <row r="7035" ht="25.5">
      <c r="A7035" t="s">
        <v>7085</v>
      </c>
      <c r="B7035" s="19">
        <v>95392</v>
      </c>
      <c r="C7035" s="20" t="s">
        <v>7144</v>
      </c>
      <c r="D7035" s="19" t="s">
        <v>2032</v>
      </c>
      <c r="E7035" s="21">
        <f t="shared" si="326"/>
        <v>0.12</v>
      </c>
      <c r="F7035" s="22">
        <v>0</v>
      </c>
      <c r="G7035" s="21">
        <f t="shared" si="327"/>
        <v>0.11</v>
      </c>
      <c r="H7035" s="22">
        <v>0</v>
      </c>
      <c r="I7035" s="23" t="str">
        <f t="shared" si="328"/>
        <v xml:space="preserve">COM VALOR</v>
      </c>
      <c r="J7035" s="19"/>
      <c r="L7035" s="21">
        <v>0.12</v>
      </c>
      <c r="M7035" s="22">
        <v>0</v>
      </c>
      <c r="N7035" s="21">
        <v>0.11</v>
      </c>
      <c r="O7035" s="22">
        <v>0</v>
      </c>
    </row>
    <row r="7036" ht="25.5">
      <c r="A7036" t="s">
        <v>7085</v>
      </c>
      <c r="B7036" s="19">
        <v>95413</v>
      </c>
      <c r="C7036" s="20" t="s">
        <v>7145</v>
      </c>
      <c r="D7036" s="19" t="s">
        <v>7087</v>
      </c>
      <c r="E7036" s="21">
        <f t="shared" si="326"/>
        <v>16.399999999999999</v>
      </c>
      <c r="F7036" s="22"/>
      <c r="G7036" s="21">
        <f t="shared" si="327"/>
        <v>15.18</v>
      </c>
      <c r="H7036" s="22"/>
      <c r="I7036" s="23" t="str">
        <f t="shared" si="328"/>
        <v xml:space="preserve">COM VALOR</v>
      </c>
      <c r="J7036" s="19"/>
      <c r="L7036" s="21">
        <v>16.399999999999999</v>
      </c>
      <c r="M7036" s="22">
        <v>0</v>
      </c>
      <c r="N7036" s="21">
        <v>15.18</v>
      </c>
      <c r="O7036" s="22">
        <v>0</v>
      </c>
    </row>
    <row r="7037" ht="25.5">
      <c r="A7037" t="s">
        <v>7085</v>
      </c>
      <c r="B7037" s="19">
        <v>95393</v>
      </c>
      <c r="C7037" s="20" t="s">
        <v>7146</v>
      </c>
      <c r="D7037" s="19" t="s">
        <v>2032</v>
      </c>
      <c r="E7037" s="21">
        <f t="shared" si="326"/>
        <v>0.48999999999999999</v>
      </c>
      <c r="F7037" s="22">
        <v>0</v>
      </c>
      <c r="G7037" s="21">
        <f t="shared" si="327"/>
        <v>0.46000000000000002</v>
      </c>
      <c r="H7037" s="22">
        <v>0</v>
      </c>
      <c r="I7037" s="23" t="str">
        <f t="shared" si="328"/>
        <v xml:space="preserve">COM VALOR</v>
      </c>
      <c r="J7037" s="19"/>
      <c r="L7037" s="21">
        <v>0.48999999999999999</v>
      </c>
      <c r="M7037" s="22">
        <v>0</v>
      </c>
      <c r="N7037" s="21">
        <v>0.46000000000000002</v>
      </c>
      <c r="O7037" s="22">
        <v>0</v>
      </c>
    </row>
    <row r="7038" ht="25.5">
      <c r="A7038" t="s">
        <v>7085</v>
      </c>
      <c r="B7038" s="19">
        <v>95414</v>
      </c>
      <c r="C7038" s="20" t="s">
        <v>7147</v>
      </c>
      <c r="D7038" s="19" t="s">
        <v>7087</v>
      </c>
      <c r="E7038" s="21">
        <f t="shared" si="326"/>
        <v>65.840000000000003</v>
      </c>
      <c r="F7038" s="22">
        <v>0</v>
      </c>
      <c r="G7038" s="21">
        <f t="shared" si="327"/>
        <v>60.920000000000002</v>
      </c>
      <c r="H7038" s="22">
        <v>0</v>
      </c>
      <c r="I7038" s="23" t="str">
        <f t="shared" si="328"/>
        <v xml:space="preserve">COM VALOR</v>
      </c>
      <c r="J7038" s="19"/>
      <c r="L7038" s="21">
        <v>65.840000000000003</v>
      </c>
      <c r="M7038" s="22">
        <v>0</v>
      </c>
      <c r="N7038" s="21">
        <v>60.920000000000002</v>
      </c>
      <c r="O7038" s="22">
        <v>0</v>
      </c>
    </row>
    <row r="7039" ht="25.5">
      <c r="A7039" t="s">
        <v>7085</v>
      </c>
      <c r="B7039" s="19">
        <v>95314</v>
      </c>
      <c r="C7039" s="20" t="s">
        <v>7148</v>
      </c>
      <c r="D7039" s="19" t="s">
        <v>2032</v>
      </c>
      <c r="E7039" s="21">
        <f t="shared" si="326"/>
        <v>0.23999999999999999</v>
      </c>
      <c r="F7039" s="22">
        <v>0</v>
      </c>
      <c r="G7039" s="21">
        <f t="shared" si="327"/>
        <v>0.22</v>
      </c>
      <c r="H7039" s="22">
        <v>0</v>
      </c>
      <c r="I7039" s="23" t="str">
        <f t="shared" si="328"/>
        <v xml:space="preserve">COM VALOR</v>
      </c>
      <c r="J7039" s="19"/>
      <c r="L7039" s="21">
        <v>0.23999999999999999</v>
      </c>
      <c r="M7039" s="22">
        <v>0</v>
      </c>
      <c r="N7039" s="21">
        <v>0.22</v>
      </c>
      <c r="O7039" s="22">
        <v>0</v>
      </c>
    </row>
    <row r="7040" ht="25.5">
      <c r="A7040" t="s">
        <v>7085</v>
      </c>
      <c r="B7040" s="19">
        <v>101293</v>
      </c>
      <c r="C7040" s="20" t="s">
        <v>7149</v>
      </c>
      <c r="D7040" s="19" t="s">
        <v>7087</v>
      </c>
      <c r="E7040" s="21">
        <f t="shared" si="326"/>
        <v>32.340000000000003</v>
      </c>
      <c r="F7040" s="22">
        <v>0</v>
      </c>
      <c r="G7040" s="21">
        <f t="shared" si="327"/>
        <v>29.920000000000002</v>
      </c>
      <c r="H7040" s="22">
        <v>0</v>
      </c>
      <c r="I7040" s="23" t="str">
        <f t="shared" si="328"/>
        <v xml:space="preserve">COM VALOR</v>
      </c>
      <c r="J7040" s="19"/>
      <c r="L7040" s="21">
        <v>32.340000000000003</v>
      </c>
      <c r="M7040" s="22">
        <v>0</v>
      </c>
      <c r="N7040" s="21">
        <v>29.920000000000002</v>
      </c>
      <c r="O7040" s="22">
        <v>0</v>
      </c>
    </row>
    <row r="7041" ht="25.5">
      <c r="A7041" t="s">
        <v>7085</v>
      </c>
      <c r="B7041" s="19">
        <v>95394</v>
      </c>
      <c r="C7041" s="20" t="s">
        <v>7150</v>
      </c>
      <c r="D7041" s="19" t="s">
        <v>2032</v>
      </c>
      <c r="E7041" s="21">
        <f t="shared" si="326"/>
        <v>1.1000000000000001</v>
      </c>
      <c r="F7041" s="22">
        <v>0</v>
      </c>
      <c r="G7041" s="21">
        <f t="shared" si="327"/>
        <v>1.01</v>
      </c>
      <c r="H7041" s="22">
        <v>0</v>
      </c>
      <c r="I7041" s="23" t="str">
        <f t="shared" si="328"/>
        <v xml:space="preserve">COM VALOR</v>
      </c>
      <c r="J7041" s="19"/>
      <c r="L7041" s="21">
        <v>1.1000000000000001</v>
      </c>
      <c r="M7041" s="22">
        <v>0</v>
      </c>
      <c r="N7041" s="21">
        <v>1.01</v>
      </c>
      <c r="O7041" s="22">
        <v>0</v>
      </c>
    </row>
    <row r="7042" ht="25.5">
      <c r="A7042" t="s">
        <v>7085</v>
      </c>
      <c r="B7042" s="19">
        <v>95395</v>
      </c>
      <c r="C7042" s="20" t="s">
        <v>7151</v>
      </c>
      <c r="D7042" s="19" t="s">
        <v>2032</v>
      </c>
      <c r="E7042" s="21">
        <f t="shared" si="326"/>
        <v>1.1599999999999999</v>
      </c>
      <c r="F7042" s="22">
        <v>0</v>
      </c>
      <c r="G7042" s="21">
        <f t="shared" si="327"/>
        <v>1.0700000000000001</v>
      </c>
      <c r="H7042" s="22">
        <v>0</v>
      </c>
      <c r="I7042" s="23" t="str">
        <f t="shared" si="328"/>
        <v xml:space="preserve">COM VALOR</v>
      </c>
      <c r="J7042" s="19"/>
      <c r="L7042" s="21">
        <v>1.1599999999999999</v>
      </c>
      <c r="M7042" s="22">
        <v>0</v>
      </c>
      <c r="N7042" s="21">
        <v>1.0700000000000001</v>
      </c>
      <c r="O7042" s="22">
        <v>0</v>
      </c>
    </row>
    <row r="7043" ht="25.5">
      <c r="A7043" t="s">
        <v>7085</v>
      </c>
      <c r="B7043" s="19">
        <v>95396</v>
      </c>
      <c r="C7043" s="20" t="s">
        <v>7152</v>
      </c>
      <c r="D7043" s="19" t="s">
        <v>2032</v>
      </c>
      <c r="E7043" s="21">
        <f t="shared" si="326"/>
        <v>1.22</v>
      </c>
      <c r="F7043" s="22">
        <v>0</v>
      </c>
      <c r="G7043" s="21">
        <f t="shared" si="327"/>
        <v>1.1299999999999999</v>
      </c>
      <c r="H7043" s="22">
        <v>0</v>
      </c>
      <c r="I7043" s="23" t="str">
        <f t="shared" si="328"/>
        <v xml:space="preserve">COM VALOR</v>
      </c>
      <c r="J7043" s="19"/>
      <c r="L7043" s="21">
        <v>1.22</v>
      </c>
      <c r="M7043" s="22">
        <v>0</v>
      </c>
      <c r="N7043" s="21">
        <v>1.1299999999999999</v>
      </c>
      <c r="O7043" s="22">
        <v>0</v>
      </c>
    </row>
    <row r="7044" ht="25.5">
      <c r="A7044" t="s">
        <v>7085</v>
      </c>
      <c r="B7044" s="19">
        <v>95419</v>
      </c>
      <c r="C7044" s="20" t="s">
        <v>7153</v>
      </c>
      <c r="D7044" s="19" t="s">
        <v>7087</v>
      </c>
      <c r="E7044" s="21">
        <f t="shared" si="326"/>
        <v>145.25</v>
      </c>
      <c r="F7044" s="22">
        <v>0</v>
      </c>
      <c r="G7044" s="21">
        <f t="shared" si="327"/>
        <v>134.38</v>
      </c>
      <c r="H7044" s="22">
        <v>0</v>
      </c>
      <c r="I7044" s="23" t="str">
        <f t="shared" si="328"/>
        <v xml:space="preserve">COM VALOR</v>
      </c>
      <c r="J7044" s="19"/>
      <c r="L7044" s="21">
        <v>145.25</v>
      </c>
      <c r="M7044" s="22">
        <v>0</v>
      </c>
      <c r="N7044" s="21">
        <v>134.38</v>
      </c>
      <c r="O7044" s="22">
        <v>0</v>
      </c>
    </row>
    <row r="7045" ht="25.5">
      <c r="A7045" t="s">
        <v>7085</v>
      </c>
      <c r="B7045" s="19">
        <v>95420</v>
      </c>
      <c r="C7045" s="20" t="s">
        <v>7154</v>
      </c>
      <c r="D7045" s="19" t="s">
        <v>7087</v>
      </c>
      <c r="E7045" s="21">
        <f t="shared" si="326"/>
        <v>153.87</v>
      </c>
      <c r="F7045" s="22">
        <v>0</v>
      </c>
      <c r="G7045" s="21">
        <f t="shared" si="327"/>
        <v>142.37</v>
      </c>
      <c r="H7045" s="22">
        <v>0</v>
      </c>
      <c r="I7045" s="23" t="str">
        <f t="shared" si="328"/>
        <v xml:space="preserve">COM VALOR</v>
      </c>
      <c r="J7045" s="19"/>
      <c r="L7045" s="21">
        <v>153.87</v>
      </c>
      <c r="M7045" s="22">
        <v>0</v>
      </c>
      <c r="N7045" s="21">
        <v>142.37</v>
      </c>
      <c r="O7045" s="22">
        <v>0</v>
      </c>
    </row>
    <row r="7046" ht="25.5">
      <c r="A7046" t="s">
        <v>7085</v>
      </c>
      <c r="B7046" s="19">
        <v>95421</v>
      </c>
      <c r="C7046" s="20" t="s">
        <v>7155</v>
      </c>
      <c r="D7046" s="19" t="s">
        <v>7087</v>
      </c>
      <c r="E7046" s="21">
        <f t="shared" si="326"/>
        <v>161.27000000000001</v>
      </c>
      <c r="F7046" s="22">
        <v>0</v>
      </c>
      <c r="G7046" s="21">
        <f t="shared" si="327"/>
        <v>149.21000000000001</v>
      </c>
      <c r="H7046" s="22">
        <v>0</v>
      </c>
      <c r="I7046" s="23" t="str">
        <f t="shared" si="328"/>
        <v xml:space="preserve">COM VALOR</v>
      </c>
      <c r="J7046" s="19"/>
      <c r="L7046" s="21">
        <v>161.27000000000001</v>
      </c>
      <c r="M7046" s="22">
        <v>0</v>
      </c>
      <c r="N7046" s="21">
        <v>149.21000000000001</v>
      </c>
      <c r="O7046" s="22">
        <v>0</v>
      </c>
    </row>
    <row r="7047" ht="25.5">
      <c r="A7047" t="s">
        <v>7085</v>
      </c>
      <c r="B7047" s="19">
        <v>101294</v>
      </c>
      <c r="C7047" s="20" t="s">
        <v>7156</v>
      </c>
      <c r="D7047" s="19" t="s">
        <v>7087</v>
      </c>
      <c r="E7047" s="21">
        <f t="shared" si="326"/>
        <v>27.789999999999999</v>
      </c>
      <c r="F7047" s="22">
        <v>0</v>
      </c>
      <c r="G7047" s="21">
        <f t="shared" si="327"/>
        <v>25.710000000000001</v>
      </c>
      <c r="H7047" s="22">
        <v>0</v>
      </c>
      <c r="I7047" s="23" t="str">
        <f t="shared" si="328"/>
        <v xml:space="preserve">COM VALOR</v>
      </c>
      <c r="J7047" s="19"/>
      <c r="L7047" s="21">
        <v>27.789999999999999</v>
      </c>
      <c r="M7047" s="22">
        <v>0</v>
      </c>
      <c r="N7047" s="21">
        <v>25.710000000000001</v>
      </c>
      <c r="O7047" s="22">
        <v>0</v>
      </c>
    </row>
    <row r="7048" ht="25.5">
      <c r="A7048" t="s">
        <v>7085</v>
      </c>
      <c r="B7048" s="19">
        <v>95315</v>
      </c>
      <c r="C7048" s="20" t="s">
        <v>7157</v>
      </c>
      <c r="D7048" s="19" t="s">
        <v>2032</v>
      </c>
      <c r="E7048" s="21">
        <f t="shared" si="326"/>
        <v>0.20999999999999999</v>
      </c>
      <c r="F7048" s="22">
        <v>0</v>
      </c>
      <c r="G7048" s="21">
        <f t="shared" si="327"/>
        <v>0.19</v>
      </c>
      <c r="H7048" s="22">
        <v>0</v>
      </c>
      <c r="I7048" s="23" t="str">
        <f t="shared" si="328"/>
        <v xml:space="preserve">COM VALOR</v>
      </c>
      <c r="J7048" s="19"/>
      <c r="L7048" s="21">
        <v>0.20999999999999999</v>
      </c>
      <c r="M7048" s="22">
        <v>0</v>
      </c>
      <c r="N7048" s="21">
        <v>0.19</v>
      </c>
      <c r="O7048" s="22">
        <v>0</v>
      </c>
    </row>
    <row r="7049" ht="25.5">
      <c r="A7049" t="s">
        <v>7085</v>
      </c>
      <c r="B7049" s="19">
        <v>100293</v>
      </c>
      <c r="C7049" s="20" t="s">
        <v>7158</v>
      </c>
      <c r="D7049" s="19" t="s">
        <v>2032</v>
      </c>
      <c r="E7049" s="21">
        <f t="shared" si="326"/>
        <v>0.23000000000000001</v>
      </c>
      <c r="F7049" s="22">
        <v>0</v>
      </c>
      <c r="G7049" s="21">
        <f t="shared" si="327"/>
        <v>0.20999999999999999</v>
      </c>
      <c r="H7049" s="22">
        <v>0</v>
      </c>
      <c r="I7049" s="23" t="str">
        <f t="shared" si="328"/>
        <v xml:space="preserve">COM VALOR</v>
      </c>
      <c r="J7049" s="19"/>
      <c r="L7049" s="21">
        <v>0.23000000000000001</v>
      </c>
      <c r="M7049" s="22">
        <v>0</v>
      </c>
      <c r="N7049" s="21">
        <v>0.20999999999999999</v>
      </c>
      <c r="O7049" s="22">
        <v>0</v>
      </c>
    </row>
    <row r="7050" ht="25.5">
      <c r="A7050" t="s">
        <v>7085</v>
      </c>
      <c r="B7050" s="19">
        <v>101295</v>
      </c>
      <c r="C7050" s="20" t="s">
        <v>7159</v>
      </c>
      <c r="D7050" s="19" t="s">
        <v>7087</v>
      </c>
      <c r="E7050" s="21">
        <f t="shared" si="326"/>
        <v>30.859999999999999</v>
      </c>
      <c r="F7050" s="22">
        <v>0</v>
      </c>
      <c r="G7050" s="21">
        <f t="shared" si="327"/>
        <v>28.550000000000001</v>
      </c>
      <c r="H7050" s="22">
        <v>0</v>
      </c>
      <c r="I7050" s="23" t="str">
        <f t="shared" si="328"/>
        <v xml:space="preserve">COM VALOR</v>
      </c>
      <c r="J7050" s="19"/>
      <c r="L7050" s="21">
        <v>30.859999999999999</v>
      </c>
      <c r="M7050" s="22">
        <v>0</v>
      </c>
      <c r="N7050" s="21">
        <v>28.550000000000001</v>
      </c>
      <c r="O7050" s="22">
        <v>0</v>
      </c>
    </row>
    <row r="7051" ht="25.5">
      <c r="A7051" t="s">
        <v>7085</v>
      </c>
      <c r="B7051" s="19">
        <v>95316</v>
      </c>
      <c r="C7051" s="20" t="s">
        <v>7160</v>
      </c>
      <c r="D7051" s="19" t="s">
        <v>2032</v>
      </c>
      <c r="E7051" s="21">
        <f t="shared" ref="E7051:E7114" si="329">IF(L7051=0,"VERIFICAR",L7051)</f>
        <v>0.60999999999999999</v>
      </c>
      <c r="F7051" s="22">
        <v>0</v>
      </c>
      <c r="G7051" s="21">
        <f t="shared" ref="G7051:G7114" si="330">IF(N7051=0,"VERIFICAR",N7051)</f>
        <v>0.56000000000000005</v>
      </c>
      <c r="H7051" s="22">
        <v>0</v>
      </c>
      <c r="I7051" s="23" t="str">
        <f t="shared" ref="I7051:I7114" si="331">IF(OR(E7051=0,G7051=0),"SEM VALOR","COM VALOR")</f>
        <v xml:space="preserve">COM VALOR</v>
      </c>
      <c r="J7051" s="19"/>
      <c r="L7051" s="21">
        <v>0.60999999999999999</v>
      </c>
      <c r="M7051" s="22">
        <v>0</v>
      </c>
      <c r="N7051" s="21">
        <v>0.56000000000000005</v>
      </c>
      <c r="O7051" s="22">
        <v>0</v>
      </c>
    </row>
    <row r="7052" ht="25.5">
      <c r="A7052" t="s">
        <v>7085</v>
      </c>
      <c r="B7052" s="19">
        <v>95317</v>
      </c>
      <c r="C7052" s="20" t="s">
        <v>7161</v>
      </c>
      <c r="D7052" s="19" t="s">
        <v>2032</v>
      </c>
      <c r="E7052" s="21">
        <f t="shared" si="329"/>
        <v>0.28999999999999998</v>
      </c>
      <c r="F7052" s="22">
        <v>0</v>
      </c>
      <c r="G7052" s="21">
        <f t="shared" si="330"/>
        <v>0.27000000000000002</v>
      </c>
      <c r="H7052" s="22">
        <v>0</v>
      </c>
      <c r="I7052" s="23" t="str">
        <f t="shared" si="331"/>
        <v xml:space="preserve">COM VALOR</v>
      </c>
      <c r="J7052" s="19"/>
      <c r="L7052" s="21">
        <v>0.28999999999999998</v>
      </c>
      <c r="M7052" s="22">
        <v>0</v>
      </c>
      <c r="N7052" s="21">
        <v>0.27000000000000002</v>
      </c>
      <c r="O7052" s="22">
        <v>0</v>
      </c>
    </row>
    <row r="7053" ht="25.5">
      <c r="A7053" t="s">
        <v>7085</v>
      </c>
      <c r="B7053" s="19">
        <v>101296</v>
      </c>
      <c r="C7053" s="20" t="s">
        <v>7162</v>
      </c>
      <c r="D7053" s="19" t="s">
        <v>7087</v>
      </c>
      <c r="E7053" s="21">
        <f t="shared" si="329"/>
        <v>39.109999999999999</v>
      </c>
      <c r="F7053" s="22">
        <v>0</v>
      </c>
      <c r="G7053" s="21">
        <f t="shared" si="330"/>
        <v>36.189999999999998</v>
      </c>
      <c r="H7053" s="22">
        <v>0</v>
      </c>
      <c r="I7053" s="23" t="str">
        <f t="shared" si="331"/>
        <v xml:space="preserve">COM VALOR</v>
      </c>
      <c r="J7053" s="19"/>
      <c r="L7053" s="21">
        <v>39.109999999999999</v>
      </c>
      <c r="M7053" s="22">
        <v>0</v>
      </c>
      <c r="N7053" s="21">
        <v>36.189999999999998</v>
      </c>
      <c r="O7053" s="22">
        <v>0</v>
      </c>
    </row>
    <row r="7054" ht="25.5">
      <c r="A7054" t="s">
        <v>7085</v>
      </c>
      <c r="B7054" s="19">
        <v>95398</v>
      </c>
      <c r="C7054" s="20" t="s">
        <v>7163</v>
      </c>
      <c r="D7054" s="19" t="s">
        <v>2032</v>
      </c>
      <c r="E7054" s="21">
        <f t="shared" si="329"/>
        <v>0.10000000000000001</v>
      </c>
      <c r="F7054" s="22">
        <v>0</v>
      </c>
      <c r="G7054" s="21">
        <f t="shared" si="330"/>
        <v>8.9999999999999997e-002</v>
      </c>
      <c r="H7054" s="22">
        <v>0</v>
      </c>
      <c r="I7054" s="23" t="str">
        <f t="shared" si="331"/>
        <v xml:space="preserve">COM VALOR</v>
      </c>
      <c r="J7054" s="19"/>
      <c r="L7054" s="21">
        <v>0.10000000000000001</v>
      </c>
      <c r="M7054" s="22">
        <v>0</v>
      </c>
      <c r="N7054" s="21">
        <v>8.9999999999999997e-002</v>
      </c>
      <c r="O7054" s="22">
        <v>0</v>
      </c>
    </row>
    <row r="7055" ht="25.5">
      <c r="A7055" t="s">
        <v>7085</v>
      </c>
      <c r="B7055" s="19">
        <v>95416</v>
      </c>
      <c r="C7055" s="20" t="s">
        <v>7164</v>
      </c>
      <c r="D7055" s="19" t="s">
        <v>7087</v>
      </c>
      <c r="E7055" s="21">
        <f t="shared" si="329"/>
        <v>14.01</v>
      </c>
      <c r="F7055" s="22">
        <v>0</v>
      </c>
      <c r="G7055" s="21">
        <f t="shared" si="330"/>
        <v>12.960000000000001</v>
      </c>
      <c r="H7055" s="22">
        <v>0</v>
      </c>
      <c r="I7055" s="23" t="str">
        <f t="shared" si="331"/>
        <v xml:space="preserve">COM VALOR</v>
      </c>
      <c r="J7055" s="19"/>
      <c r="L7055" s="21">
        <v>14.01</v>
      </c>
      <c r="M7055" s="22">
        <v>0</v>
      </c>
      <c r="N7055" s="21">
        <v>12.960000000000001</v>
      </c>
      <c r="O7055" s="22">
        <v>0</v>
      </c>
    </row>
    <row r="7056" ht="25.5">
      <c r="A7056" t="s">
        <v>7085</v>
      </c>
      <c r="B7056" s="19">
        <v>101297</v>
      </c>
      <c r="C7056" s="20" t="s">
        <v>7165</v>
      </c>
      <c r="D7056" s="19" t="s">
        <v>7087</v>
      </c>
      <c r="E7056" s="21">
        <f t="shared" si="329"/>
        <v>33.520000000000003</v>
      </c>
      <c r="F7056" s="22">
        <v>0</v>
      </c>
      <c r="G7056" s="21">
        <f t="shared" si="330"/>
        <v>31.010000000000002</v>
      </c>
      <c r="H7056" s="22">
        <v>0</v>
      </c>
      <c r="I7056" s="23" t="str">
        <f t="shared" si="331"/>
        <v xml:space="preserve">COM VALOR</v>
      </c>
      <c r="J7056" s="19"/>
      <c r="L7056" s="21">
        <v>33.520000000000003</v>
      </c>
      <c r="M7056" s="22">
        <v>0</v>
      </c>
      <c r="N7056" s="21">
        <v>31.010000000000002</v>
      </c>
      <c r="O7056" s="22">
        <v>0</v>
      </c>
    </row>
    <row r="7057" ht="25.5">
      <c r="A7057" t="s">
        <v>7085</v>
      </c>
      <c r="B7057" s="19">
        <v>95318</v>
      </c>
      <c r="C7057" s="20" t="s">
        <v>7166</v>
      </c>
      <c r="D7057" s="19" t="s">
        <v>2032</v>
      </c>
      <c r="E7057" s="21">
        <f t="shared" si="329"/>
        <v>0.25</v>
      </c>
      <c r="F7057" s="22"/>
      <c r="G7057" s="21">
        <f t="shared" si="330"/>
        <v>0.23000000000000001</v>
      </c>
      <c r="H7057" s="22"/>
      <c r="I7057" s="23" t="str">
        <f t="shared" si="331"/>
        <v xml:space="preserve">COM VALOR</v>
      </c>
      <c r="J7057" s="19"/>
      <c r="L7057" s="21">
        <v>0.25</v>
      </c>
      <c r="M7057" s="22">
        <v>0</v>
      </c>
      <c r="N7057" s="21">
        <v>0.23000000000000001</v>
      </c>
      <c r="O7057" s="22">
        <v>0</v>
      </c>
    </row>
    <row r="7058" ht="25.5">
      <c r="A7058" t="s">
        <v>7085</v>
      </c>
      <c r="B7058" s="19">
        <v>101298</v>
      </c>
      <c r="C7058" s="20" t="s">
        <v>7167</v>
      </c>
      <c r="D7058" s="19" t="s">
        <v>7087</v>
      </c>
      <c r="E7058" s="21">
        <f t="shared" si="329"/>
        <v>25.100000000000001</v>
      </c>
      <c r="F7058" s="22">
        <v>0</v>
      </c>
      <c r="G7058" s="21">
        <f t="shared" si="330"/>
        <v>23.219999999999999</v>
      </c>
      <c r="H7058" s="22">
        <v>0</v>
      </c>
      <c r="I7058" s="23" t="str">
        <f t="shared" si="331"/>
        <v xml:space="preserve">COM VALOR</v>
      </c>
      <c r="J7058" s="19"/>
      <c r="L7058" s="21">
        <v>25.100000000000001</v>
      </c>
      <c r="M7058" s="22">
        <v>0</v>
      </c>
      <c r="N7058" s="21">
        <v>23.219999999999999</v>
      </c>
      <c r="O7058" s="22">
        <v>0</v>
      </c>
    </row>
    <row r="7059" ht="25.5">
      <c r="A7059" t="s">
        <v>7085</v>
      </c>
      <c r="B7059" s="19">
        <v>95319</v>
      </c>
      <c r="C7059" s="20" t="s">
        <v>7168</v>
      </c>
      <c r="D7059" s="19" t="s">
        <v>2032</v>
      </c>
      <c r="E7059" s="21">
        <f t="shared" si="329"/>
        <v>0.19</v>
      </c>
      <c r="F7059" s="22">
        <v>0</v>
      </c>
      <c r="G7059" s="21">
        <f t="shared" si="330"/>
        <v>0.17000000000000001</v>
      </c>
      <c r="H7059" s="22">
        <v>0</v>
      </c>
      <c r="I7059" s="23" t="str">
        <f t="shared" si="331"/>
        <v xml:space="preserve">COM VALOR</v>
      </c>
      <c r="J7059" s="19"/>
      <c r="L7059" s="21">
        <v>0.19</v>
      </c>
      <c r="M7059" s="22">
        <v>0</v>
      </c>
      <c r="N7059" s="21">
        <v>0.17000000000000001</v>
      </c>
      <c r="O7059" s="22">
        <v>0</v>
      </c>
    </row>
    <row r="7060" ht="25.5">
      <c r="A7060" t="s">
        <v>7085</v>
      </c>
      <c r="B7060" s="19">
        <v>101299</v>
      </c>
      <c r="C7060" s="20" t="s">
        <v>7169</v>
      </c>
      <c r="D7060" s="19" t="s">
        <v>7087</v>
      </c>
      <c r="E7060" s="21">
        <f t="shared" si="329"/>
        <v>32.119999999999997</v>
      </c>
      <c r="F7060" s="22">
        <v>0</v>
      </c>
      <c r="G7060" s="21">
        <f t="shared" si="330"/>
        <v>29.719999999999999</v>
      </c>
      <c r="H7060" s="22">
        <v>0</v>
      </c>
      <c r="I7060" s="23" t="str">
        <f t="shared" si="331"/>
        <v xml:space="preserve">COM VALOR</v>
      </c>
      <c r="J7060" s="19"/>
      <c r="L7060" s="21">
        <v>32.119999999999997</v>
      </c>
      <c r="M7060" s="22">
        <v>0</v>
      </c>
      <c r="N7060" s="21">
        <v>29.719999999999999</v>
      </c>
      <c r="O7060" s="22">
        <v>0</v>
      </c>
    </row>
    <row r="7061" ht="25.5">
      <c r="A7061" t="s">
        <v>7085</v>
      </c>
      <c r="B7061" s="19">
        <v>95320</v>
      </c>
      <c r="C7061" s="20" t="s">
        <v>7170</v>
      </c>
      <c r="D7061" s="19" t="s">
        <v>2032</v>
      </c>
      <c r="E7061" s="21">
        <f t="shared" si="329"/>
        <v>0.19</v>
      </c>
      <c r="F7061" s="22">
        <v>0</v>
      </c>
      <c r="G7061" s="21">
        <f t="shared" si="330"/>
        <v>0.17000000000000001</v>
      </c>
      <c r="H7061" s="22">
        <v>0</v>
      </c>
      <c r="I7061" s="23" t="str">
        <f t="shared" si="331"/>
        <v xml:space="preserve">COM VALOR</v>
      </c>
      <c r="J7061" s="19"/>
      <c r="L7061" s="21">
        <v>0.19</v>
      </c>
      <c r="M7061" s="22">
        <v>0</v>
      </c>
      <c r="N7061" s="21">
        <v>0.17000000000000001</v>
      </c>
      <c r="O7061" s="22">
        <v>0</v>
      </c>
    </row>
    <row r="7062" ht="25.5">
      <c r="A7062" t="s">
        <v>7085</v>
      </c>
      <c r="B7062" s="19">
        <v>95321</v>
      </c>
      <c r="C7062" s="20" t="s">
        <v>7171</v>
      </c>
      <c r="D7062" s="19" t="s">
        <v>2032</v>
      </c>
      <c r="E7062" s="21">
        <f t="shared" si="329"/>
        <v>0.17999999999999999</v>
      </c>
      <c r="F7062" s="22">
        <v>0</v>
      </c>
      <c r="G7062" s="21">
        <f t="shared" si="330"/>
        <v>0.16</v>
      </c>
      <c r="H7062" s="22">
        <v>0</v>
      </c>
      <c r="I7062" s="23" t="str">
        <f t="shared" si="331"/>
        <v xml:space="preserve">COM VALOR</v>
      </c>
      <c r="J7062" s="19"/>
      <c r="L7062" s="21">
        <v>0.17999999999999999</v>
      </c>
      <c r="M7062" s="22">
        <v>0</v>
      </c>
      <c r="N7062" s="21">
        <v>0.16</v>
      </c>
      <c r="O7062" s="22">
        <v>0</v>
      </c>
    </row>
    <row r="7063" ht="25.5">
      <c r="A7063" t="s">
        <v>7085</v>
      </c>
      <c r="B7063" s="19">
        <v>101300</v>
      </c>
      <c r="C7063" s="20" t="s">
        <v>7172</v>
      </c>
      <c r="D7063" s="19" t="s">
        <v>7087</v>
      </c>
      <c r="E7063" s="21">
        <f t="shared" si="329"/>
        <v>24.170000000000002</v>
      </c>
      <c r="F7063" s="22">
        <v>0</v>
      </c>
      <c r="G7063" s="21">
        <f t="shared" si="330"/>
        <v>22.359999999999999</v>
      </c>
      <c r="H7063" s="22">
        <v>0</v>
      </c>
      <c r="I7063" s="23" t="str">
        <f t="shared" si="331"/>
        <v xml:space="preserve">COM VALOR</v>
      </c>
      <c r="J7063" s="19"/>
      <c r="L7063" s="21">
        <v>24.170000000000002</v>
      </c>
      <c r="M7063" s="22">
        <v>0</v>
      </c>
      <c r="N7063" s="21">
        <v>22.359999999999999</v>
      </c>
      <c r="O7063" s="22">
        <v>0</v>
      </c>
    </row>
    <row r="7064" ht="25.5">
      <c r="A7064" t="s">
        <v>7085</v>
      </c>
      <c r="B7064" s="19">
        <v>95322</v>
      </c>
      <c r="C7064" s="20" t="s">
        <v>7173</v>
      </c>
      <c r="D7064" s="19" t="s">
        <v>2032</v>
      </c>
      <c r="E7064" s="21">
        <f t="shared" si="329"/>
        <v>0.11</v>
      </c>
      <c r="F7064" s="22">
        <v>0</v>
      </c>
      <c r="G7064" s="21">
        <f t="shared" si="330"/>
        <v>0.10000000000000001</v>
      </c>
      <c r="H7064" s="22">
        <v>0</v>
      </c>
      <c r="I7064" s="23" t="str">
        <f t="shared" si="331"/>
        <v xml:space="preserve">COM VALOR</v>
      </c>
      <c r="J7064" s="19"/>
      <c r="L7064" s="21">
        <v>0.11</v>
      </c>
      <c r="M7064" s="22">
        <v>0</v>
      </c>
      <c r="N7064" s="21">
        <v>0.10000000000000001</v>
      </c>
      <c r="O7064" s="22">
        <v>0</v>
      </c>
    </row>
    <row r="7065" ht="25.5">
      <c r="A7065" t="s">
        <v>7085</v>
      </c>
      <c r="B7065" s="19">
        <v>101301</v>
      </c>
      <c r="C7065" s="20" t="s">
        <v>7174</v>
      </c>
      <c r="D7065" s="19" t="s">
        <v>7087</v>
      </c>
      <c r="E7065" s="21">
        <f t="shared" si="329"/>
        <v>15.66</v>
      </c>
      <c r="F7065" s="22">
        <v>0</v>
      </c>
      <c r="G7065" s="21">
        <f t="shared" si="330"/>
        <v>14.49</v>
      </c>
      <c r="H7065" s="22">
        <v>0</v>
      </c>
      <c r="I7065" s="23" t="str">
        <f t="shared" si="331"/>
        <v xml:space="preserve">COM VALOR</v>
      </c>
      <c r="J7065" s="19"/>
      <c r="L7065" s="21">
        <v>15.66</v>
      </c>
      <c r="M7065" s="22">
        <v>0</v>
      </c>
      <c r="N7065" s="21">
        <v>14.49</v>
      </c>
      <c r="O7065" s="22">
        <v>0</v>
      </c>
    </row>
    <row r="7066" ht="25.5">
      <c r="A7066" t="s">
        <v>7085</v>
      </c>
      <c r="B7066" s="19">
        <v>95323</v>
      </c>
      <c r="C7066" s="20" t="s">
        <v>7175</v>
      </c>
      <c r="D7066" s="19" t="s">
        <v>2032</v>
      </c>
      <c r="E7066" s="21">
        <f t="shared" si="329"/>
        <v>0.22</v>
      </c>
      <c r="F7066" s="22">
        <v>0</v>
      </c>
      <c r="G7066" s="21">
        <f t="shared" si="330"/>
        <v>0.20999999999999999</v>
      </c>
      <c r="H7066" s="22">
        <v>0</v>
      </c>
      <c r="I7066" s="23" t="str">
        <f t="shared" si="331"/>
        <v xml:space="preserve">COM VALOR</v>
      </c>
      <c r="J7066" s="19"/>
      <c r="L7066" s="21">
        <v>0.22</v>
      </c>
      <c r="M7066" s="22">
        <v>0</v>
      </c>
      <c r="N7066" s="21">
        <v>0.20999999999999999</v>
      </c>
      <c r="O7066" s="22">
        <v>0</v>
      </c>
    </row>
    <row r="7067" ht="25.5">
      <c r="A7067" t="s">
        <v>7085</v>
      </c>
      <c r="B7067" s="19">
        <v>101302</v>
      </c>
      <c r="C7067" s="20" t="s">
        <v>7176</v>
      </c>
      <c r="D7067" s="19" t="s">
        <v>7087</v>
      </c>
      <c r="E7067" s="21">
        <f t="shared" si="329"/>
        <v>30.219999999999999</v>
      </c>
      <c r="F7067" s="22">
        <v>0</v>
      </c>
      <c r="G7067" s="21">
        <f t="shared" si="330"/>
        <v>27.960000000000001</v>
      </c>
      <c r="H7067" s="22">
        <v>0</v>
      </c>
      <c r="I7067" s="23" t="str">
        <f t="shared" si="331"/>
        <v xml:space="preserve">COM VALOR</v>
      </c>
      <c r="J7067" s="19"/>
      <c r="L7067" s="21">
        <v>30.219999999999999</v>
      </c>
      <c r="M7067" s="22">
        <v>0</v>
      </c>
      <c r="N7067" s="21">
        <v>27.960000000000001</v>
      </c>
      <c r="O7067" s="22">
        <v>0</v>
      </c>
    </row>
    <row r="7068" ht="25.5">
      <c r="A7068" t="s">
        <v>7085</v>
      </c>
      <c r="B7068" s="19">
        <v>95324</v>
      </c>
      <c r="C7068" s="20" t="s">
        <v>7177</v>
      </c>
      <c r="D7068" s="19" t="s">
        <v>2032</v>
      </c>
      <c r="E7068" s="21">
        <f t="shared" si="329"/>
        <v>0.31</v>
      </c>
      <c r="F7068" s="22">
        <v>0</v>
      </c>
      <c r="G7068" s="21">
        <f t="shared" si="330"/>
        <v>0.28999999999999998</v>
      </c>
      <c r="H7068" s="22">
        <v>0</v>
      </c>
      <c r="I7068" s="23" t="str">
        <f t="shared" si="331"/>
        <v xml:space="preserve">COM VALOR</v>
      </c>
      <c r="J7068" s="19"/>
      <c r="L7068" s="21">
        <v>0.31</v>
      </c>
      <c r="M7068" s="22">
        <v>0</v>
      </c>
      <c r="N7068" s="21">
        <v>0.28999999999999998</v>
      </c>
      <c r="O7068" s="22">
        <v>0</v>
      </c>
    </row>
    <row r="7069" ht="25.5">
      <c r="A7069" t="s">
        <v>7085</v>
      </c>
      <c r="B7069" s="19">
        <v>101304</v>
      </c>
      <c r="C7069" s="20" t="s">
        <v>7178</v>
      </c>
      <c r="D7069" s="19" t="s">
        <v>7087</v>
      </c>
      <c r="E7069" s="21">
        <f t="shared" si="329"/>
        <v>41.380000000000003</v>
      </c>
      <c r="F7069" s="22">
        <v>0</v>
      </c>
      <c r="G7069" s="21">
        <f t="shared" si="330"/>
        <v>38.289999999999999</v>
      </c>
      <c r="H7069" s="22">
        <v>0</v>
      </c>
      <c r="I7069" s="23" t="str">
        <f t="shared" si="331"/>
        <v xml:space="preserve">COM VALOR</v>
      </c>
      <c r="J7069" s="19"/>
      <c r="L7069" s="21">
        <v>41.380000000000003</v>
      </c>
      <c r="M7069" s="22">
        <v>0</v>
      </c>
      <c r="N7069" s="21">
        <v>38.289999999999999</v>
      </c>
      <c r="O7069" s="22">
        <v>0</v>
      </c>
    </row>
    <row r="7070" ht="25.5">
      <c r="A7070" t="s">
        <v>7085</v>
      </c>
      <c r="B7070" s="19">
        <v>95325</v>
      </c>
      <c r="C7070" s="20" t="s">
        <v>7179</v>
      </c>
      <c r="D7070" s="19" t="s">
        <v>2032</v>
      </c>
      <c r="E7070" s="21">
        <f t="shared" si="329"/>
        <v>0.35999999999999999</v>
      </c>
      <c r="F7070" s="22">
        <v>0</v>
      </c>
      <c r="G7070" s="21">
        <f t="shared" si="330"/>
        <v>0.33000000000000002</v>
      </c>
      <c r="H7070" s="22">
        <v>0</v>
      </c>
      <c r="I7070" s="23" t="str">
        <f t="shared" si="331"/>
        <v xml:space="preserve">COM VALOR</v>
      </c>
      <c r="J7070" s="19"/>
      <c r="L7070" s="21">
        <v>0.35999999999999999</v>
      </c>
      <c r="M7070" s="22">
        <v>0</v>
      </c>
      <c r="N7070" s="21">
        <v>0.33000000000000002</v>
      </c>
      <c r="O7070" s="22">
        <v>0</v>
      </c>
    </row>
    <row r="7071" ht="25.5">
      <c r="A7071" t="s">
        <v>7085</v>
      </c>
      <c r="B7071" s="19">
        <v>101305</v>
      </c>
      <c r="C7071" s="20" t="s">
        <v>7180</v>
      </c>
      <c r="D7071" s="19" t="s">
        <v>7087</v>
      </c>
      <c r="E7071" s="21">
        <f t="shared" si="329"/>
        <v>47.590000000000003</v>
      </c>
      <c r="F7071" s="22">
        <v>0</v>
      </c>
      <c r="G7071" s="21">
        <f t="shared" si="330"/>
        <v>44.030000000000001</v>
      </c>
      <c r="H7071" s="22">
        <v>0</v>
      </c>
      <c r="I7071" s="23" t="str">
        <f t="shared" si="331"/>
        <v xml:space="preserve">COM VALOR</v>
      </c>
      <c r="J7071" s="19"/>
      <c r="L7071" s="21">
        <v>47.590000000000003</v>
      </c>
      <c r="M7071" s="22">
        <v>0</v>
      </c>
      <c r="N7071" s="21">
        <v>44.030000000000001</v>
      </c>
      <c r="O7071" s="22">
        <v>0</v>
      </c>
    </row>
    <row r="7072" ht="25.5">
      <c r="A7072" t="s">
        <v>7085</v>
      </c>
      <c r="B7072" s="19">
        <v>95328</v>
      </c>
      <c r="C7072" s="20" t="s">
        <v>7181</v>
      </c>
      <c r="D7072" s="19" t="s">
        <v>2032</v>
      </c>
      <c r="E7072" s="21">
        <f t="shared" si="329"/>
        <v>0.22</v>
      </c>
      <c r="F7072" s="22">
        <v>0</v>
      </c>
      <c r="G7072" s="21">
        <f t="shared" si="330"/>
        <v>0.20000000000000001</v>
      </c>
      <c r="H7072" s="22">
        <v>0</v>
      </c>
      <c r="I7072" s="23" t="str">
        <f t="shared" si="331"/>
        <v xml:space="preserve">COM VALOR</v>
      </c>
      <c r="J7072" s="19"/>
      <c r="L7072" s="21">
        <v>0.22</v>
      </c>
      <c r="M7072" s="22">
        <v>0</v>
      </c>
      <c r="N7072" s="21">
        <v>0.20000000000000001</v>
      </c>
      <c r="O7072" s="22">
        <v>0</v>
      </c>
    </row>
    <row r="7073" ht="25.5">
      <c r="A7073" t="s">
        <v>7085</v>
      </c>
      <c r="B7073" s="19">
        <v>101307</v>
      </c>
      <c r="C7073" s="20" t="s">
        <v>7182</v>
      </c>
      <c r="D7073" s="19" t="s">
        <v>7087</v>
      </c>
      <c r="E7073" s="21">
        <f t="shared" si="329"/>
        <v>29.289999999999999</v>
      </c>
      <c r="F7073" s="22">
        <v>0</v>
      </c>
      <c r="G7073" s="21">
        <f t="shared" si="330"/>
        <v>27.100000000000001</v>
      </c>
      <c r="H7073" s="22">
        <v>0</v>
      </c>
      <c r="I7073" s="23" t="str">
        <f t="shared" si="331"/>
        <v xml:space="preserve">COM VALOR</v>
      </c>
      <c r="J7073" s="19"/>
      <c r="L7073" s="21">
        <v>29.289999999999999</v>
      </c>
      <c r="M7073" s="22">
        <v>0</v>
      </c>
      <c r="N7073" s="21">
        <v>27.100000000000001</v>
      </c>
      <c r="O7073" s="22">
        <v>0</v>
      </c>
    </row>
    <row r="7074" ht="25.5">
      <c r="A7074" t="s">
        <v>7085</v>
      </c>
      <c r="B7074" s="19">
        <v>101309</v>
      </c>
      <c r="C7074" s="20" t="s">
        <v>7183</v>
      </c>
      <c r="D7074" s="19" t="s">
        <v>7087</v>
      </c>
      <c r="E7074" s="21">
        <f t="shared" si="329"/>
        <v>32.119999999999997</v>
      </c>
      <c r="F7074" s="22">
        <v>0</v>
      </c>
      <c r="G7074" s="21">
        <f t="shared" si="330"/>
        <v>29.719999999999999</v>
      </c>
      <c r="H7074" s="22">
        <v>0</v>
      </c>
      <c r="I7074" s="23" t="str">
        <f t="shared" si="331"/>
        <v xml:space="preserve">COM VALOR</v>
      </c>
      <c r="J7074" s="19"/>
      <c r="L7074" s="21">
        <v>32.119999999999997</v>
      </c>
      <c r="M7074" s="22">
        <v>0</v>
      </c>
      <c r="N7074" s="21">
        <v>29.719999999999999</v>
      </c>
      <c r="O7074" s="22">
        <v>0</v>
      </c>
    </row>
    <row r="7075" ht="25.5">
      <c r="A7075" t="s">
        <v>7085</v>
      </c>
      <c r="B7075" s="19">
        <v>95329</v>
      </c>
      <c r="C7075" s="20" t="s">
        <v>7184</v>
      </c>
      <c r="D7075" s="19" t="s">
        <v>2032</v>
      </c>
      <c r="E7075" s="21">
        <f t="shared" si="329"/>
        <v>0.28999999999999998</v>
      </c>
      <c r="F7075" s="22">
        <v>0</v>
      </c>
      <c r="G7075" s="21">
        <f t="shared" si="330"/>
        <v>0.27000000000000002</v>
      </c>
      <c r="H7075" s="22">
        <v>0</v>
      </c>
      <c r="I7075" s="23" t="str">
        <f t="shared" si="331"/>
        <v xml:space="preserve">COM VALOR</v>
      </c>
      <c r="J7075" s="19"/>
      <c r="L7075" s="21">
        <v>0.28999999999999998</v>
      </c>
      <c r="M7075" s="22">
        <v>0</v>
      </c>
      <c r="N7075" s="21">
        <v>0.27000000000000002</v>
      </c>
      <c r="O7075" s="22">
        <v>0</v>
      </c>
    </row>
    <row r="7076" ht="25.5">
      <c r="A7076" t="s">
        <v>7085</v>
      </c>
      <c r="B7076" s="19">
        <v>101310</v>
      </c>
      <c r="C7076" s="20" t="s">
        <v>7185</v>
      </c>
      <c r="D7076" s="19" t="s">
        <v>7087</v>
      </c>
      <c r="E7076" s="21">
        <f t="shared" si="329"/>
        <v>38.969999999999999</v>
      </c>
      <c r="F7076" s="22">
        <v>0</v>
      </c>
      <c r="G7076" s="21">
        <f t="shared" si="330"/>
        <v>36.049999999999997</v>
      </c>
      <c r="H7076" s="22">
        <v>0</v>
      </c>
      <c r="I7076" s="23" t="str">
        <f t="shared" si="331"/>
        <v xml:space="preserve">COM VALOR</v>
      </c>
      <c r="J7076" s="19"/>
      <c r="L7076" s="21">
        <v>38.969999999999999</v>
      </c>
      <c r="M7076" s="22">
        <v>0</v>
      </c>
      <c r="N7076" s="21">
        <v>36.049999999999997</v>
      </c>
      <c r="O7076" s="22">
        <v>0</v>
      </c>
    </row>
    <row r="7077" ht="25.5">
      <c r="A7077" t="s">
        <v>7085</v>
      </c>
      <c r="B7077" s="19">
        <v>101311</v>
      </c>
      <c r="C7077" s="20" t="s">
        <v>7186</v>
      </c>
      <c r="D7077" s="19" t="s">
        <v>7087</v>
      </c>
      <c r="E7077" s="21">
        <f t="shared" si="329"/>
        <v>32.340000000000003</v>
      </c>
      <c r="F7077" s="22">
        <v>0</v>
      </c>
      <c r="G7077" s="21">
        <f t="shared" si="330"/>
        <v>29.920000000000002</v>
      </c>
      <c r="H7077" s="22">
        <v>0</v>
      </c>
      <c r="I7077" s="23" t="str">
        <f t="shared" si="331"/>
        <v xml:space="preserve">COM VALOR</v>
      </c>
      <c r="J7077" s="19"/>
      <c r="L7077" s="21">
        <v>32.340000000000003</v>
      </c>
      <c r="M7077" s="22">
        <v>0</v>
      </c>
      <c r="N7077" s="21">
        <v>29.920000000000002</v>
      </c>
      <c r="O7077" s="22">
        <v>0</v>
      </c>
    </row>
    <row r="7078" ht="25.5">
      <c r="A7078" t="s">
        <v>7085</v>
      </c>
      <c r="B7078" s="19">
        <v>95330</v>
      </c>
      <c r="C7078" s="20" t="s">
        <v>7187</v>
      </c>
      <c r="D7078" s="19" t="s">
        <v>2032</v>
      </c>
      <c r="E7078" s="21">
        <f t="shared" si="329"/>
        <v>0.23999999999999999</v>
      </c>
      <c r="F7078" s="22">
        <v>0</v>
      </c>
      <c r="G7078" s="21">
        <f t="shared" si="330"/>
        <v>0.22</v>
      </c>
      <c r="H7078" s="22">
        <v>0</v>
      </c>
      <c r="I7078" s="23" t="str">
        <f t="shared" si="331"/>
        <v xml:space="preserve">COM VALOR</v>
      </c>
      <c r="J7078" s="19"/>
      <c r="L7078" s="21">
        <v>0.23999999999999999</v>
      </c>
      <c r="M7078" s="22">
        <v>0</v>
      </c>
      <c r="N7078" s="21">
        <v>0.22</v>
      </c>
      <c r="O7078" s="22">
        <v>0</v>
      </c>
    </row>
    <row r="7079" ht="25.5">
      <c r="A7079" t="s">
        <v>7085</v>
      </c>
      <c r="B7079" s="19">
        <v>101312</v>
      </c>
      <c r="C7079" s="20" t="s">
        <v>7188</v>
      </c>
      <c r="D7079" s="19" t="s">
        <v>7087</v>
      </c>
      <c r="E7079" s="21">
        <f t="shared" si="329"/>
        <v>29.690000000000001</v>
      </c>
      <c r="F7079" s="22">
        <v>0</v>
      </c>
      <c r="G7079" s="21">
        <f t="shared" si="330"/>
        <v>27.469999999999999</v>
      </c>
      <c r="H7079" s="22">
        <v>0</v>
      </c>
      <c r="I7079" s="23" t="str">
        <f t="shared" si="331"/>
        <v xml:space="preserve">COM VALOR</v>
      </c>
      <c r="J7079" s="19"/>
      <c r="L7079" s="21">
        <v>29.690000000000001</v>
      </c>
      <c r="M7079" s="22">
        <v>0</v>
      </c>
      <c r="N7079" s="21">
        <v>27.469999999999999</v>
      </c>
      <c r="O7079" s="22">
        <v>0</v>
      </c>
    </row>
    <row r="7080" ht="25.5">
      <c r="A7080" t="s">
        <v>7085</v>
      </c>
      <c r="B7080" s="19">
        <v>95331</v>
      </c>
      <c r="C7080" s="20" t="s">
        <v>7189</v>
      </c>
      <c r="D7080" s="19" t="s">
        <v>2032</v>
      </c>
      <c r="E7080" s="21">
        <f t="shared" si="329"/>
        <v>0.22</v>
      </c>
      <c r="F7080" s="22">
        <v>0</v>
      </c>
      <c r="G7080" s="21">
        <f t="shared" si="330"/>
        <v>0.20000000000000001</v>
      </c>
      <c r="H7080" s="22">
        <v>0</v>
      </c>
      <c r="I7080" s="23" t="str">
        <f t="shared" si="331"/>
        <v xml:space="preserve">COM VALOR</v>
      </c>
      <c r="J7080" s="19"/>
      <c r="L7080" s="21">
        <v>0.22</v>
      </c>
      <c r="M7080" s="22">
        <v>0</v>
      </c>
      <c r="N7080" s="21">
        <v>0.20000000000000001</v>
      </c>
      <c r="O7080" s="22">
        <v>0</v>
      </c>
    </row>
    <row r="7081" ht="25.5">
      <c r="A7081" t="s">
        <v>7085</v>
      </c>
      <c r="B7081" s="19">
        <v>95400</v>
      </c>
      <c r="C7081" s="20" t="s">
        <v>7190</v>
      </c>
      <c r="D7081" s="19" t="s">
        <v>2032</v>
      </c>
      <c r="E7081" s="21">
        <f t="shared" si="329"/>
        <v>0.10000000000000001</v>
      </c>
      <c r="F7081" s="22">
        <v>0</v>
      </c>
      <c r="G7081" s="21">
        <f t="shared" si="330"/>
        <v>8.9999999999999997e-002</v>
      </c>
      <c r="H7081" s="22">
        <v>0</v>
      </c>
      <c r="I7081" s="23" t="str">
        <f t="shared" si="331"/>
        <v xml:space="preserve">COM VALOR</v>
      </c>
      <c r="J7081" s="19"/>
      <c r="L7081" s="21">
        <v>0.10000000000000001</v>
      </c>
      <c r="M7081" s="22">
        <v>0</v>
      </c>
      <c r="N7081" s="21">
        <v>8.9999999999999997e-002</v>
      </c>
      <c r="O7081" s="22">
        <v>0</v>
      </c>
    </row>
    <row r="7082" ht="25.5">
      <c r="A7082" t="s">
        <v>7085</v>
      </c>
      <c r="B7082" s="19">
        <v>95411</v>
      </c>
      <c r="C7082" s="20" t="s">
        <v>7191</v>
      </c>
      <c r="D7082" s="19" t="s">
        <v>7087</v>
      </c>
      <c r="E7082" s="21">
        <f t="shared" si="329"/>
        <v>13.859999999999999</v>
      </c>
      <c r="F7082" s="22">
        <v>0</v>
      </c>
      <c r="G7082" s="21">
        <f t="shared" si="330"/>
        <v>12.82</v>
      </c>
      <c r="H7082" s="22">
        <v>0</v>
      </c>
      <c r="I7082" s="23" t="str">
        <f t="shared" si="331"/>
        <v xml:space="preserve">COM VALOR</v>
      </c>
      <c r="J7082" s="19"/>
      <c r="L7082" s="21">
        <v>13.859999999999999</v>
      </c>
      <c r="M7082" s="22">
        <v>0</v>
      </c>
      <c r="N7082" s="21">
        <v>12.82</v>
      </c>
      <c r="O7082" s="22">
        <v>0</v>
      </c>
    </row>
    <row r="7083" ht="25.5">
      <c r="A7083" t="s">
        <v>7085</v>
      </c>
      <c r="B7083" s="19">
        <v>95332</v>
      </c>
      <c r="C7083" s="20" t="s">
        <v>7192</v>
      </c>
      <c r="D7083" s="19" t="s">
        <v>2032</v>
      </c>
      <c r="E7083" s="21">
        <f t="shared" si="329"/>
        <v>0.87</v>
      </c>
      <c r="F7083" s="22">
        <v>0</v>
      </c>
      <c r="G7083" s="21">
        <f t="shared" si="330"/>
        <v>0.81000000000000005</v>
      </c>
      <c r="H7083" s="22">
        <v>0</v>
      </c>
      <c r="I7083" s="23" t="str">
        <f t="shared" si="331"/>
        <v xml:space="preserve">COM VALOR</v>
      </c>
      <c r="J7083" s="19"/>
      <c r="L7083" s="21">
        <v>0.87</v>
      </c>
      <c r="M7083" s="22">
        <v>0</v>
      </c>
      <c r="N7083" s="21">
        <v>0.81000000000000005</v>
      </c>
      <c r="O7083" s="22">
        <v>0</v>
      </c>
    </row>
    <row r="7084" ht="25.5">
      <c r="A7084" t="s">
        <v>7085</v>
      </c>
      <c r="B7084" s="19">
        <v>101313</v>
      </c>
      <c r="C7084" s="20" t="s">
        <v>7193</v>
      </c>
      <c r="D7084" s="19" t="s">
        <v>7087</v>
      </c>
      <c r="E7084" s="21">
        <f t="shared" si="329"/>
        <v>115.86</v>
      </c>
      <c r="F7084" s="22">
        <v>0</v>
      </c>
      <c r="G7084" s="21">
        <f t="shared" si="330"/>
        <v>107.19</v>
      </c>
      <c r="H7084" s="22">
        <v>0</v>
      </c>
      <c r="I7084" s="23" t="str">
        <f t="shared" si="331"/>
        <v xml:space="preserve">COM VALOR</v>
      </c>
      <c r="J7084" s="19"/>
      <c r="L7084" s="21">
        <v>115.86</v>
      </c>
      <c r="M7084" s="22">
        <v>0</v>
      </c>
      <c r="N7084" s="21">
        <v>107.19</v>
      </c>
      <c r="O7084" s="22">
        <v>0</v>
      </c>
    </row>
    <row r="7085" ht="25.5">
      <c r="A7085" t="s">
        <v>7085</v>
      </c>
      <c r="B7085" s="19">
        <v>95334</v>
      </c>
      <c r="C7085" s="20" t="s">
        <v>7194</v>
      </c>
      <c r="D7085" s="19" t="s">
        <v>2032</v>
      </c>
      <c r="E7085" s="21">
        <f t="shared" si="329"/>
        <v>0.81000000000000005</v>
      </c>
      <c r="F7085" s="22">
        <v>0</v>
      </c>
      <c r="G7085" s="21">
        <f t="shared" si="330"/>
        <v>0.75</v>
      </c>
      <c r="H7085" s="22">
        <v>0</v>
      </c>
      <c r="I7085" s="23" t="str">
        <f t="shared" si="331"/>
        <v xml:space="preserve">COM VALOR</v>
      </c>
      <c r="J7085" s="19"/>
      <c r="L7085" s="21">
        <v>0.81000000000000005</v>
      </c>
      <c r="M7085" s="22">
        <v>0</v>
      </c>
      <c r="N7085" s="21">
        <v>0.75</v>
      </c>
      <c r="O7085" s="22">
        <v>0</v>
      </c>
    </row>
    <row r="7086" ht="25.5">
      <c r="A7086" t="s">
        <v>7085</v>
      </c>
      <c r="B7086" s="19">
        <v>101315</v>
      </c>
      <c r="C7086" s="20" t="s">
        <v>7195</v>
      </c>
      <c r="D7086" s="19" t="s">
        <v>7087</v>
      </c>
      <c r="E7086" s="21">
        <f t="shared" si="329"/>
        <v>107.58</v>
      </c>
      <c r="F7086" s="22">
        <v>0</v>
      </c>
      <c r="G7086" s="21">
        <f t="shared" si="330"/>
        <v>99.530000000000001</v>
      </c>
      <c r="H7086" s="22">
        <v>0</v>
      </c>
      <c r="I7086" s="23" t="str">
        <f t="shared" si="331"/>
        <v xml:space="preserve">COM VALOR</v>
      </c>
      <c r="J7086" s="19"/>
      <c r="L7086" s="21">
        <v>107.58</v>
      </c>
      <c r="M7086" s="22">
        <v>0</v>
      </c>
      <c r="N7086" s="21">
        <v>99.530000000000001</v>
      </c>
      <c r="O7086" s="22">
        <v>0</v>
      </c>
    </row>
    <row r="7087" ht="25.5">
      <c r="A7087" t="s">
        <v>7085</v>
      </c>
      <c r="B7087" s="19">
        <v>95335</v>
      </c>
      <c r="C7087" s="20" t="s">
        <v>7196</v>
      </c>
      <c r="D7087" s="19" t="s">
        <v>2032</v>
      </c>
      <c r="E7087" s="21">
        <f t="shared" si="329"/>
        <v>0.38</v>
      </c>
      <c r="F7087" s="22">
        <v>0</v>
      </c>
      <c r="G7087" s="21">
        <f t="shared" si="330"/>
        <v>0.34999999999999998</v>
      </c>
      <c r="H7087" s="22">
        <v>0</v>
      </c>
      <c r="I7087" s="23" t="str">
        <f t="shared" si="331"/>
        <v xml:space="preserve">COM VALOR</v>
      </c>
      <c r="J7087" s="19"/>
      <c r="L7087" s="21">
        <v>0.38</v>
      </c>
      <c r="M7087" s="22">
        <v>0</v>
      </c>
      <c r="N7087" s="21">
        <v>0.34999999999999998</v>
      </c>
      <c r="O7087" s="22">
        <v>0</v>
      </c>
    </row>
    <row r="7088" ht="25.5">
      <c r="A7088" t="s">
        <v>7085</v>
      </c>
      <c r="B7088" s="19">
        <v>101316</v>
      </c>
      <c r="C7088" s="20" t="s">
        <v>7197</v>
      </c>
      <c r="D7088" s="19" t="s">
        <v>7087</v>
      </c>
      <c r="E7088" s="21">
        <f t="shared" si="329"/>
        <v>50.390000000000001</v>
      </c>
      <c r="F7088" s="22">
        <v>0</v>
      </c>
      <c r="G7088" s="21">
        <f t="shared" si="330"/>
        <v>46.619999999999997</v>
      </c>
      <c r="H7088" s="22">
        <v>0</v>
      </c>
      <c r="I7088" s="23" t="str">
        <f t="shared" si="331"/>
        <v xml:space="preserve">COM VALOR</v>
      </c>
      <c r="J7088" s="19"/>
      <c r="L7088" s="21">
        <v>50.390000000000001</v>
      </c>
      <c r="M7088" s="22">
        <v>0</v>
      </c>
      <c r="N7088" s="21">
        <v>46.619999999999997</v>
      </c>
      <c r="O7088" s="22">
        <v>0</v>
      </c>
    </row>
    <row r="7089" ht="25.5">
      <c r="A7089" t="s">
        <v>7085</v>
      </c>
      <c r="B7089" s="19">
        <v>95401</v>
      </c>
      <c r="C7089" s="20" t="s">
        <v>7198</v>
      </c>
      <c r="D7089" s="19" t="s">
        <v>2032</v>
      </c>
      <c r="E7089" s="21">
        <f t="shared" si="329"/>
        <v>0.60999999999999999</v>
      </c>
      <c r="F7089" s="22">
        <v>0</v>
      </c>
      <c r="G7089" s="21">
        <f t="shared" si="330"/>
        <v>0.56000000000000005</v>
      </c>
      <c r="H7089" s="22">
        <v>0</v>
      </c>
      <c r="I7089" s="23" t="str">
        <f t="shared" si="331"/>
        <v xml:space="preserve">COM VALOR</v>
      </c>
      <c r="J7089" s="19"/>
      <c r="L7089" s="21">
        <v>0.60999999999999999</v>
      </c>
      <c r="M7089" s="22">
        <v>0</v>
      </c>
      <c r="N7089" s="21">
        <v>0.56000000000000005</v>
      </c>
      <c r="O7089" s="22">
        <v>0</v>
      </c>
    </row>
    <row r="7090" ht="25.5">
      <c r="A7090" t="s">
        <v>7085</v>
      </c>
      <c r="B7090" s="19">
        <v>95422</v>
      </c>
      <c r="C7090" s="20" t="s">
        <v>7199</v>
      </c>
      <c r="D7090" s="19" t="s">
        <v>7087</v>
      </c>
      <c r="E7090" s="21">
        <f t="shared" si="329"/>
        <v>80.890000000000001</v>
      </c>
      <c r="F7090" s="22">
        <v>0</v>
      </c>
      <c r="G7090" s="21">
        <f t="shared" si="330"/>
        <v>74.840000000000003</v>
      </c>
      <c r="H7090" s="22">
        <v>0</v>
      </c>
      <c r="I7090" s="23" t="str">
        <f t="shared" si="331"/>
        <v xml:space="preserve">COM VALOR</v>
      </c>
      <c r="J7090" s="19"/>
      <c r="L7090" s="21">
        <v>80.890000000000001</v>
      </c>
      <c r="M7090" s="22">
        <v>0</v>
      </c>
      <c r="N7090" s="21">
        <v>74.840000000000003</v>
      </c>
      <c r="O7090" s="22">
        <v>0</v>
      </c>
    </row>
    <row r="7091" ht="25.5">
      <c r="A7091" t="s">
        <v>7085</v>
      </c>
      <c r="B7091" s="19">
        <v>95402</v>
      </c>
      <c r="C7091" s="20" t="s">
        <v>7200</v>
      </c>
      <c r="D7091" s="19" t="s">
        <v>2032</v>
      </c>
      <c r="E7091" s="21">
        <f t="shared" si="329"/>
        <v>1.99</v>
      </c>
      <c r="F7091" s="22">
        <v>0</v>
      </c>
      <c r="G7091" s="21">
        <f t="shared" si="330"/>
        <v>1.8400000000000001</v>
      </c>
      <c r="H7091" s="22">
        <v>0</v>
      </c>
      <c r="I7091" s="23" t="str">
        <f t="shared" si="331"/>
        <v xml:space="preserve">COM VALOR</v>
      </c>
      <c r="J7091" s="19"/>
      <c r="L7091" s="21">
        <v>1.99</v>
      </c>
      <c r="M7091" s="22">
        <v>0</v>
      </c>
      <c r="N7091" s="21">
        <v>1.8400000000000001</v>
      </c>
      <c r="O7091" s="22">
        <v>0</v>
      </c>
    </row>
    <row r="7092" ht="25.5">
      <c r="A7092" t="s">
        <v>7085</v>
      </c>
      <c r="B7092" s="19">
        <v>95415</v>
      </c>
      <c r="C7092" s="20" t="s">
        <v>7201</v>
      </c>
      <c r="D7092" s="19" t="s">
        <v>7087</v>
      </c>
      <c r="E7092" s="21">
        <f t="shared" si="329"/>
        <v>262.87</v>
      </c>
      <c r="F7092" s="22">
        <v>0</v>
      </c>
      <c r="G7092" s="21">
        <f t="shared" si="330"/>
        <v>243.21000000000001</v>
      </c>
      <c r="H7092" s="22">
        <v>0</v>
      </c>
      <c r="I7092" s="23" t="str">
        <f t="shared" si="331"/>
        <v xml:space="preserve">COM VALOR</v>
      </c>
      <c r="J7092" s="19"/>
      <c r="L7092" s="21">
        <v>262.87</v>
      </c>
      <c r="M7092" s="22">
        <v>0</v>
      </c>
      <c r="N7092" s="21">
        <v>243.21000000000001</v>
      </c>
      <c r="O7092" s="22">
        <v>0</v>
      </c>
    </row>
    <row r="7093" ht="25.5">
      <c r="A7093" t="s">
        <v>7085</v>
      </c>
      <c r="B7093" s="19">
        <v>95403</v>
      </c>
      <c r="C7093" s="20" t="s">
        <v>7202</v>
      </c>
      <c r="D7093" s="19" t="s">
        <v>2032</v>
      </c>
      <c r="E7093" s="21">
        <f t="shared" si="329"/>
        <v>2.1000000000000001</v>
      </c>
      <c r="F7093" s="22">
        <v>0</v>
      </c>
      <c r="G7093" s="21">
        <f t="shared" si="330"/>
        <v>1.9399999999999999</v>
      </c>
      <c r="H7093" s="22">
        <v>0</v>
      </c>
      <c r="I7093" s="23" t="str">
        <f t="shared" si="331"/>
        <v xml:space="preserve">COM VALOR</v>
      </c>
      <c r="J7093" s="19"/>
      <c r="L7093" s="21">
        <v>2.1000000000000001</v>
      </c>
      <c r="M7093" s="22">
        <v>0</v>
      </c>
      <c r="N7093" s="21">
        <v>1.9399999999999999</v>
      </c>
      <c r="O7093" s="22">
        <v>0</v>
      </c>
    </row>
    <row r="7094" ht="25.5">
      <c r="A7094" t="s">
        <v>7085</v>
      </c>
      <c r="B7094" s="19">
        <v>95417</v>
      </c>
      <c r="C7094" s="20" t="s">
        <v>7203</v>
      </c>
      <c r="D7094" s="19" t="s">
        <v>7087</v>
      </c>
      <c r="E7094" s="21">
        <f t="shared" si="329"/>
        <v>277.52999999999997</v>
      </c>
      <c r="F7094" s="22">
        <v>0</v>
      </c>
      <c r="G7094" s="21">
        <f t="shared" si="330"/>
        <v>256.77999999999997</v>
      </c>
      <c r="H7094" s="22">
        <v>0</v>
      </c>
      <c r="I7094" s="23" t="str">
        <f t="shared" si="331"/>
        <v xml:space="preserve">COM VALOR</v>
      </c>
      <c r="J7094" s="19"/>
      <c r="L7094" s="21">
        <v>277.52999999999997</v>
      </c>
      <c r="M7094" s="22">
        <v>0</v>
      </c>
      <c r="N7094" s="21">
        <v>256.77999999999997</v>
      </c>
      <c r="O7094" s="22">
        <v>0</v>
      </c>
    </row>
    <row r="7095" ht="25.5">
      <c r="A7095" t="s">
        <v>7085</v>
      </c>
      <c r="B7095" s="19">
        <v>95404</v>
      </c>
      <c r="C7095" s="20" t="s">
        <v>7204</v>
      </c>
      <c r="D7095" s="19" t="s">
        <v>2032</v>
      </c>
      <c r="E7095" s="21">
        <f t="shared" si="329"/>
        <v>2.5099999999999998</v>
      </c>
      <c r="F7095" s="22">
        <v>0</v>
      </c>
      <c r="G7095" s="21">
        <f t="shared" si="330"/>
        <v>2.3199999999999998</v>
      </c>
      <c r="H7095" s="22">
        <v>0</v>
      </c>
      <c r="I7095" s="23" t="str">
        <f t="shared" si="331"/>
        <v xml:space="preserve">COM VALOR</v>
      </c>
      <c r="J7095" s="19"/>
      <c r="L7095" s="21">
        <v>2.5099999999999998</v>
      </c>
      <c r="M7095" s="22">
        <v>0</v>
      </c>
      <c r="N7095" s="21">
        <v>2.3199999999999998</v>
      </c>
      <c r="O7095" s="22">
        <v>0</v>
      </c>
    </row>
    <row r="7096" ht="25.5">
      <c r="A7096" t="s">
        <v>7085</v>
      </c>
      <c r="B7096" s="19">
        <v>95418</v>
      </c>
      <c r="C7096" s="20" t="s">
        <v>7205</v>
      </c>
      <c r="D7096" s="19" t="s">
        <v>7087</v>
      </c>
      <c r="E7096" s="21">
        <f t="shared" si="329"/>
        <v>330.99000000000001</v>
      </c>
      <c r="F7096" s="22">
        <v>0</v>
      </c>
      <c r="G7096" s="21">
        <f t="shared" si="330"/>
        <v>306.23000000000002</v>
      </c>
      <c r="H7096" s="22">
        <v>0</v>
      </c>
      <c r="I7096" s="23" t="str">
        <f t="shared" si="331"/>
        <v xml:space="preserve">COM VALOR</v>
      </c>
      <c r="J7096" s="19"/>
      <c r="L7096" s="21">
        <v>330.99000000000001</v>
      </c>
      <c r="M7096" s="22">
        <v>0</v>
      </c>
      <c r="N7096" s="21">
        <v>306.23000000000002</v>
      </c>
      <c r="O7096" s="22">
        <v>0</v>
      </c>
    </row>
    <row r="7097" ht="25.5">
      <c r="A7097" t="s">
        <v>7085</v>
      </c>
      <c r="B7097" s="19">
        <v>95337</v>
      </c>
      <c r="C7097" s="20" t="s">
        <v>7206</v>
      </c>
      <c r="D7097" s="19" t="s">
        <v>2032</v>
      </c>
      <c r="E7097" s="21">
        <f t="shared" si="329"/>
        <v>0.27000000000000002</v>
      </c>
      <c r="F7097" s="22">
        <v>0</v>
      </c>
      <c r="G7097" s="21">
        <f t="shared" si="330"/>
        <v>0.25</v>
      </c>
      <c r="H7097" s="22">
        <v>0</v>
      </c>
      <c r="I7097" s="23" t="str">
        <f t="shared" si="331"/>
        <v xml:space="preserve">COM VALOR</v>
      </c>
      <c r="J7097" s="19"/>
      <c r="L7097" s="21">
        <v>0.27000000000000002</v>
      </c>
      <c r="M7097" s="22">
        <v>0</v>
      </c>
      <c r="N7097" s="21">
        <v>0.25</v>
      </c>
      <c r="O7097" s="22">
        <v>0</v>
      </c>
    </row>
    <row r="7098" ht="25.5">
      <c r="A7098" t="s">
        <v>7085</v>
      </c>
      <c r="B7098" s="19">
        <v>101322</v>
      </c>
      <c r="C7098" s="20" t="s">
        <v>7207</v>
      </c>
      <c r="D7098" s="19" t="s">
        <v>7087</v>
      </c>
      <c r="E7098" s="21">
        <f t="shared" si="329"/>
        <v>36.460000000000001</v>
      </c>
      <c r="F7098" s="22">
        <v>0</v>
      </c>
      <c r="G7098" s="21">
        <f t="shared" si="330"/>
        <v>33.729999999999997</v>
      </c>
      <c r="H7098" s="22">
        <v>0</v>
      </c>
      <c r="I7098" s="23" t="str">
        <f t="shared" si="331"/>
        <v xml:space="preserve">COM VALOR</v>
      </c>
      <c r="J7098" s="19"/>
      <c r="L7098" s="21">
        <v>36.460000000000001</v>
      </c>
      <c r="M7098" s="22">
        <v>0</v>
      </c>
      <c r="N7098" s="21">
        <v>33.729999999999997</v>
      </c>
      <c r="O7098" s="22">
        <v>0</v>
      </c>
    </row>
    <row r="7099" ht="25.5">
      <c r="A7099" t="s">
        <v>7085</v>
      </c>
      <c r="B7099" s="19">
        <v>95338</v>
      </c>
      <c r="C7099" s="20" t="s">
        <v>7208</v>
      </c>
      <c r="D7099" s="19" t="s">
        <v>2032</v>
      </c>
      <c r="E7099" s="21">
        <f t="shared" si="329"/>
        <v>0.44</v>
      </c>
      <c r="F7099" s="22">
        <v>0</v>
      </c>
      <c r="G7099" s="21">
        <f t="shared" si="330"/>
        <v>0.40999999999999998</v>
      </c>
      <c r="H7099" s="22">
        <v>0</v>
      </c>
      <c r="I7099" s="23" t="str">
        <f t="shared" si="331"/>
        <v xml:space="preserve">COM VALOR</v>
      </c>
      <c r="J7099" s="19"/>
      <c r="L7099" s="21">
        <v>0.44</v>
      </c>
      <c r="M7099" s="22">
        <v>0</v>
      </c>
      <c r="N7099" s="21">
        <v>0.40999999999999998</v>
      </c>
      <c r="O7099" s="22">
        <v>0</v>
      </c>
    </row>
    <row r="7100" ht="25.5">
      <c r="A7100" t="s">
        <v>7085</v>
      </c>
      <c r="B7100" s="19">
        <v>101323</v>
      </c>
      <c r="C7100" s="20" t="s">
        <v>7209</v>
      </c>
      <c r="D7100" s="19" t="s">
        <v>7087</v>
      </c>
      <c r="E7100" s="21">
        <f t="shared" si="329"/>
        <v>58.909999999999997</v>
      </c>
      <c r="F7100" s="22">
        <v>0</v>
      </c>
      <c r="G7100" s="21">
        <f t="shared" si="330"/>
        <v>54.5</v>
      </c>
      <c r="H7100" s="22">
        <v>0</v>
      </c>
      <c r="I7100" s="23" t="str">
        <f t="shared" si="331"/>
        <v xml:space="preserve">COM VALOR</v>
      </c>
      <c r="J7100" s="19"/>
      <c r="L7100" s="21">
        <v>58.909999999999997</v>
      </c>
      <c r="M7100" s="22">
        <v>0</v>
      </c>
      <c r="N7100" s="21">
        <v>54.5</v>
      </c>
      <c r="O7100" s="22">
        <v>0</v>
      </c>
    </row>
    <row r="7101" ht="25.5">
      <c r="A7101" t="s">
        <v>7085</v>
      </c>
      <c r="B7101" s="19">
        <v>102918</v>
      </c>
      <c r="C7101" s="20" t="s">
        <v>7210</v>
      </c>
      <c r="D7101" s="19" t="s">
        <v>2032</v>
      </c>
      <c r="E7101" s="21" t="str">
        <f t="shared" si="329"/>
        <v>VERIFICAR</v>
      </c>
      <c r="F7101" s="22">
        <v>0</v>
      </c>
      <c r="G7101" s="21" t="str">
        <f t="shared" si="330"/>
        <v>VERIFICAR</v>
      </c>
      <c r="H7101" s="22">
        <v>0</v>
      </c>
      <c r="I7101" s="23" t="str">
        <f t="shared" si="331"/>
        <v xml:space="preserve">COM VALOR</v>
      </c>
      <c r="J7101" s="19"/>
      <c r="L7101" s="21">
        <v>0</v>
      </c>
      <c r="M7101" s="22"/>
      <c r="N7101" s="21">
        <v>0</v>
      </c>
      <c r="O7101" s="22"/>
    </row>
    <row r="7102" ht="25.5">
      <c r="A7102" t="s">
        <v>7085</v>
      </c>
      <c r="B7102" s="19">
        <v>101325</v>
      </c>
      <c r="C7102" s="20" t="s">
        <v>7211</v>
      </c>
      <c r="D7102" s="19" t="s">
        <v>7087</v>
      </c>
      <c r="E7102" s="21">
        <f t="shared" si="329"/>
        <v>43.899999999999999</v>
      </c>
      <c r="F7102" s="22">
        <v>0</v>
      </c>
      <c r="G7102" s="21">
        <f t="shared" si="330"/>
        <v>40.619999999999997</v>
      </c>
      <c r="H7102" s="22">
        <v>0</v>
      </c>
      <c r="I7102" s="23" t="str">
        <f t="shared" si="331"/>
        <v xml:space="preserve">COM VALOR</v>
      </c>
      <c r="J7102" s="19"/>
      <c r="L7102" s="21">
        <v>43.899999999999999</v>
      </c>
      <c r="M7102" s="22">
        <v>0</v>
      </c>
      <c r="N7102" s="21">
        <v>40.619999999999997</v>
      </c>
      <c r="O7102" s="22">
        <v>0</v>
      </c>
    </row>
    <row r="7103" ht="25.5">
      <c r="A7103" t="s">
        <v>7085</v>
      </c>
      <c r="B7103" s="19">
        <v>95390</v>
      </c>
      <c r="C7103" s="20" t="s">
        <v>7212</v>
      </c>
      <c r="D7103" s="19" t="s">
        <v>2032</v>
      </c>
      <c r="E7103" s="21">
        <f t="shared" si="329"/>
        <v>0.10000000000000001</v>
      </c>
      <c r="F7103" s="22">
        <v>0</v>
      </c>
      <c r="G7103" s="21">
        <f t="shared" si="330"/>
        <v>8.9999999999999997e-002</v>
      </c>
      <c r="H7103" s="22">
        <v>0</v>
      </c>
      <c r="I7103" s="23" t="str">
        <f t="shared" si="331"/>
        <v xml:space="preserve">COM VALOR</v>
      </c>
      <c r="J7103" s="19"/>
      <c r="L7103" s="21">
        <v>0.10000000000000001</v>
      </c>
      <c r="M7103" s="22">
        <v>0</v>
      </c>
      <c r="N7103" s="21">
        <v>8.9999999999999997e-002</v>
      </c>
      <c r="O7103" s="22">
        <v>0</v>
      </c>
    </row>
    <row r="7104" ht="25.5">
      <c r="A7104" t="s">
        <v>7085</v>
      </c>
      <c r="B7104" s="19">
        <v>101326</v>
      </c>
      <c r="C7104" s="20" t="s">
        <v>7213</v>
      </c>
      <c r="D7104" s="19" t="s">
        <v>7087</v>
      </c>
      <c r="E7104" s="21">
        <f t="shared" si="329"/>
        <v>13.609999999999999</v>
      </c>
      <c r="F7104" s="22">
        <v>0</v>
      </c>
      <c r="G7104" s="21">
        <f t="shared" si="330"/>
        <v>12.59</v>
      </c>
      <c r="H7104" s="22">
        <v>0</v>
      </c>
      <c r="I7104" s="23" t="str">
        <f t="shared" si="331"/>
        <v xml:space="preserve">COM VALOR</v>
      </c>
      <c r="J7104" s="19"/>
      <c r="L7104" s="21">
        <v>13.609999999999999</v>
      </c>
      <c r="M7104" s="22">
        <v>0</v>
      </c>
      <c r="N7104" s="21">
        <v>12.59</v>
      </c>
      <c r="O7104" s="22">
        <v>0</v>
      </c>
    </row>
    <row r="7105" ht="25.5">
      <c r="A7105" t="s">
        <v>7085</v>
      </c>
      <c r="B7105" s="19">
        <v>95340</v>
      </c>
      <c r="C7105" s="20" t="s">
        <v>7214</v>
      </c>
      <c r="D7105" s="19" t="s">
        <v>2032</v>
      </c>
      <c r="E7105" s="21">
        <f t="shared" si="329"/>
        <v>0.28999999999999998</v>
      </c>
      <c r="F7105" s="22">
        <v>0</v>
      </c>
      <c r="G7105" s="21">
        <f t="shared" si="330"/>
        <v>0.26000000000000001</v>
      </c>
      <c r="H7105" s="22">
        <v>0</v>
      </c>
      <c r="I7105" s="23" t="str">
        <f t="shared" si="331"/>
        <v xml:space="preserve">COM VALOR</v>
      </c>
      <c r="J7105" s="19"/>
      <c r="L7105" s="21">
        <v>0.28999999999999998</v>
      </c>
      <c r="M7105" s="22">
        <v>0</v>
      </c>
      <c r="N7105" s="21">
        <v>0.26000000000000001</v>
      </c>
      <c r="O7105" s="22">
        <v>0</v>
      </c>
    </row>
    <row r="7106" ht="25.5">
      <c r="A7106" t="s">
        <v>7085</v>
      </c>
      <c r="B7106" s="19">
        <v>101330</v>
      </c>
      <c r="C7106" s="20" t="s">
        <v>7215</v>
      </c>
      <c r="D7106" s="19" t="s">
        <v>7087</v>
      </c>
      <c r="E7106" s="21">
        <f t="shared" si="329"/>
        <v>38.350000000000001</v>
      </c>
      <c r="F7106" s="22">
        <v>0</v>
      </c>
      <c r="G7106" s="21">
        <f t="shared" si="330"/>
        <v>35.479999999999997</v>
      </c>
      <c r="H7106" s="22">
        <v>0</v>
      </c>
      <c r="I7106" s="23" t="str">
        <f t="shared" si="331"/>
        <v xml:space="preserve">COM VALOR</v>
      </c>
      <c r="J7106" s="19"/>
      <c r="L7106" s="21">
        <v>38.350000000000001</v>
      </c>
      <c r="M7106" s="22">
        <v>0</v>
      </c>
      <c r="N7106" s="21">
        <v>35.479999999999997</v>
      </c>
      <c r="O7106" s="22">
        <v>0</v>
      </c>
    </row>
    <row r="7107" ht="25.5">
      <c r="A7107" t="s">
        <v>7085</v>
      </c>
      <c r="B7107" s="19">
        <v>101331</v>
      </c>
      <c r="C7107" s="20" t="s">
        <v>7216</v>
      </c>
      <c r="D7107" s="19" t="s">
        <v>7087</v>
      </c>
      <c r="E7107" s="21">
        <f t="shared" si="329"/>
        <v>41.380000000000003</v>
      </c>
      <c r="F7107" s="22">
        <v>0</v>
      </c>
      <c r="G7107" s="21">
        <f t="shared" si="330"/>
        <v>38.289999999999999</v>
      </c>
      <c r="H7107" s="22">
        <v>0</v>
      </c>
      <c r="I7107" s="23" t="str">
        <f t="shared" si="331"/>
        <v xml:space="preserve">COM VALOR</v>
      </c>
      <c r="J7107" s="19"/>
      <c r="L7107" s="21">
        <v>41.380000000000003</v>
      </c>
      <c r="M7107" s="22">
        <v>0</v>
      </c>
      <c r="N7107" s="21">
        <v>38.289999999999999</v>
      </c>
      <c r="O7107" s="22">
        <v>0</v>
      </c>
    </row>
    <row r="7108" ht="25.5">
      <c r="A7108" t="s">
        <v>7085</v>
      </c>
      <c r="B7108" s="19">
        <v>95341</v>
      </c>
      <c r="C7108" s="20" t="s">
        <v>7217</v>
      </c>
      <c r="D7108" s="19" t="s">
        <v>2032</v>
      </c>
      <c r="E7108" s="21">
        <f t="shared" si="329"/>
        <v>0.31</v>
      </c>
      <c r="F7108" s="22">
        <v>0</v>
      </c>
      <c r="G7108" s="21">
        <f t="shared" si="330"/>
        <v>0.28999999999999998</v>
      </c>
      <c r="H7108" s="22">
        <v>0</v>
      </c>
      <c r="I7108" s="23" t="str">
        <f t="shared" si="331"/>
        <v xml:space="preserve">COM VALOR</v>
      </c>
      <c r="J7108" s="19"/>
      <c r="L7108" s="21">
        <v>0.31</v>
      </c>
      <c r="M7108" s="22">
        <v>0</v>
      </c>
      <c r="N7108" s="21">
        <v>0.28999999999999998</v>
      </c>
      <c r="O7108" s="22">
        <v>0</v>
      </c>
    </row>
    <row r="7109" ht="25.5">
      <c r="A7109" t="s">
        <v>7085</v>
      </c>
      <c r="B7109" s="19">
        <v>95339</v>
      </c>
      <c r="C7109" s="20" t="s">
        <v>7218</v>
      </c>
      <c r="D7109" s="19" t="s">
        <v>2032</v>
      </c>
      <c r="E7109" s="21">
        <f t="shared" si="329"/>
        <v>0.37</v>
      </c>
      <c r="F7109" s="22">
        <v>0</v>
      </c>
      <c r="G7109" s="21">
        <f t="shared" si="330"/>
        <v>0.34000000000000002</v>
      </c>
      <c r="H7109" s="22">
        <v>0</v>
      </c>
      <c r="I7109" s="23" t="str">
        <f t="shared" si="331"/>
        <v xml:space="preserve">COM VALOR</v>
      </c>
      <c r="J7109" s="19"/>
      <c r="L7109" s="21">
        <v>0.37</v>
      </c>
      <c r="M7109" s="22">
        <v>0</v>
      </c>
      <c r="N7109" s="21">
        <v>0.34000000000000002</v>
      </c>
      <c r="O7109" s="22">
        <v>0</v>
      </c>
    </row>
    <row r="7110" ht="25.5">
      <c r="A7110" t="s">
        <v>7085</v>
      </c>
      <c r="B7110" s="19">
        <v>101329</v>
      </c>
      <c r="C7110" s="20" t="s">
        <v>7219</v>
      </c>
      <c r="D7110" s="19" t="s">
        <v>7087</v>
      </c>
      <c r="E7110" s="21">
        <f t="shared" si="329"/>
        <v>49.119999999999997</v>
      </c>
      <c r="F7110" s="22">
        <v>0</v>
      </c>
      <c r="G7110" s="21">
        <f t="shared" si="330"/>
        <v>45.450000000000003</v>
      </c>
      <c r="H7110" s="22">
        <v>0</v>
      </c>
      <c r="I7110" s="23" t="str">
        <f t="shared" si="331"/>
        <v xml:space="preserve">COM VALOR</v>
      </c>
      <c r="J7110" s="19"/>
      <c r="L7110" s="21">
        <v>49.119999999999997</v>
      </c>
      <c r="M7110" s="22">
        <v>0</v>
      </c>
      <c r="N7110" s="21">
        <v>45.450000000000003</v>
      </c>
      <c r="O7110" s="22">
        <v>0</v>
      </c>
    </row>
    <row r="7111" ht="25.5">
      <c r="A7111" t="s">
        <v>7085</v>
      </c>
      <c r="B7111" s="19">
        <v>95342</v>
      </c>
      <c r="C7111" s="20" t="s">
        <v>7220</v>
      </c>
      <c r="D7111" s="19" t="s">
        <v>2032</v>
      </c>
      <c r="E7111" s="21">
        <f t="shared" si="329"/>
        <v>0.28000000000000003</v>
      </c>
      <c r="F7111" s="22">
        <v>0</v>
      </c>
      <c r="G7111" s="21">
        <f t="shared" si="330"/>
        <v>0.25</v>
      </c>
      <c r="H7111" s="22">
        <v>0</v>
      </c>
      <c r="I7111" s="23" t="str">
        <f t="shared" si="331"/>
        <v xml:space="preserve">COM VALOR</v>
      </c>
      <c r="J7111" s="19"/>
      <c r="L7111" s="21">
        <v>0.28000000000000003</v>
      </c>
      <c r="M7111" s="22">
        <v>0</v>
      </c>
      <c r="N7111" s="21">
        <v>0.25</v>
      </c>
      <c r="O7111" s="22">
        <v>0</v>
      </c>
    </row>
    <row r="7112" ht="25.5">
      <c r="A7112" t="s">
        <v>7085</v>
      </c>
      <c r="B7112" s="19">
        <v>101333</v>
      </c>
      <c r="C7112" s="20" t="s">
        <v>7221</v>
      </c>
      <c r="D7112" s="19" t="s">
        <v>7087</v>
      </c>
      <c r="E7112" s="21">
        <f t="shared" si="329"/>
        <v>36.969999999999999</v>
      </c>
      <c r="F7112" s="22">
        <v>0</v>
      </c>
      <c r="G7112" s="21">
        <f t="shared" si="330"/>
        <v>34.200000000000003</v>
      </c>
      <c r="H7112" s="22">
        <v>0</v>
      </c>
      <c r="I7112" s="23" t="str">
        <f t="shared" si="331"/>
        <v xml:space="preserve">COM VALOR</v>
      </c>
      <c r="J7112" s="19"/>
      <c r="L7112" s="21">
        <v>36.969999999999999</v>
      </c>
      <c r="M7112" s="22">
        <v>0</v>
      </c>
      <c r="N7112" s="21">
        <v>34.200000000000003</v>
      </c>
      <c r="O7112" s="22">
        <v>0</v>
      </c>
    </row>
    <row r="7113" ht="25.5">
      <c r="A7113" t="s">
        <v>7085</v>
      </c>
      <c r="B7113" s="19">
        <v>100298</v>
      </c>
      <c r="C7113" s="20" t="s">
        <v>7222</v>
      </c>
      <c r="D7113" s="19" t="s">
        <v>2032</v>
      </c>
      <c r="E7113" s="21">
        <f t="shared" si="329"/>
        <v>0.66000000000000003</v>
      </c>
      <c r="F7113" s="22">
        <v>0</v>
      </c>
      <c r="G7113" s="21">
        <f t="shared" si="330"/>
        <v>0.60999999999999999</v>
      </c>
      <c r="H7113" s="22">
        <v>0</v>
      </c>
      <c r="I7113" s="23" t="str">
        <f t="shared" si="331"/>
        <v xml:space="preserve">COM VALOR</v>
      </c>
      <c r="J7113" s="19"/>
      <c r="L7113" s="21">
        <v>0.66000000000000003</v>
      </c>
      <c r="M7113" s="22">
        <v>0</v>
      </c>
      <c r="N7113" s="21">
        <v>0.60999999999999999</v>
      </c>
      <c r="O7113" s="22">
        <v>0</v>
      </c>
    </row>
    <row r="7114" ht="25.5">
      <c r="A7114" t="s">
        <v>7085</v>
      </c>
      <c r="B7114" s="19">
        <v>101334</v>
      </c>
      <c r="C7114" s="20" t="s">
        <v>7223</v>
      </c>
      <c r="D7114" s="19" t="s">
        <v>7087</v>
      </c>
      <c r="E7114" s="21">
        <f t="shared" si="329"/>
        <v>87.260000000000005</v>
      </c>
      <c r="F7114" s="22">
        <v>0</v>
      </c>
      <c r="G7114" s="21">
        <f t="shared" si="330"/>
        <v>80.739999999999995</v>
      </c>
      <c r="H7114" s="22">
        <v>0</v>
      </c>
      <c r="I7114" s="23" t="str">
        <f t="shared" si="331"/>
        <v xml:space="preserve">COM VALOR</v>
      </c>
      <c r="J7114" s="19"/>
      <c r="L7114" s="21">
        <v>87.260000000000005</v>
      </c>
      <c r="M7114" s="22">
        <v>0</v>
      </c>
      <c r="N7114" s="21">
        <v>80.739999999999995</v>
      </c>
      <c r="O7114" s="22">
        <v>0</v>
      </c>
    </row>
    <row r="7115" ht="25.5">
      <c r="A7115" t="s">
        <v>7085</v>
      </c>
      <c r="B7115" s="19">
        <v>95405</v>
      </c>
      <c r="C7115" s="20" t="s">
        <v>7224</v>
      </c>
      <c r="D7115" s="19" t="s">
        <v>2032</v>
      </c>
      <c r="E7115" s="21">
        <f t="shared" ref="E7115:E7178" si="332">IF(L7115=0,"VERIFICAR",L7115)</f>
        <v>0.79000000000000004</v>
      </c>
      <c r="F7115" s="22">
        <v>0</v>
      </c>
      <c r="G7115" s="21">
        <f t="shared" ref="G7115:G7178" si="333">IF(N7115=0,"VERIFICAR",N7115)</f>
        <v>0.72999999999999998</v>
      </c>
      <c r="H7115" s="22">
        <v>0</v>
      </c>
      <c r="I7115" s="23" t="str">
        <f t="shared" ref="I7115:I7178" si="334">IF(OR(E7115=0,G7115=0),"SEM VALOR","COM VALOR")</f>
        <v xml:space="preserve">COM VALOR</v>
      </c>
      <c r="J7115" s="19"/>
      <c r="L7115" s="21">
        <v>0.79000000000000004</v>
      </c>
      <c r="M7115" s="22">
        <v>0</v>
      </c>
      <c r="N7115" s="21">
        <v>0.72999999999999998</v>
      </c>
      <c r="O7115" s="22">
        <v>0</v>
      </c>
    </row>
    <row r="7116" ht="25.5">
      <c r="A7116" t="s">
        <v>7085</v>
      </c>
      <c r="B7116" s="19">
        <v>95423</v>
      </c>
      <c r="C7116" s="20" t="s">
        <v>7225</v>
      </c>
      <c r="D7116" s="19" t="s">
        <v>7087</v>
      </c>
      <c r="E7116" s="21">
        <f t="shared" si="332"/>
        <v>105.05</v>
      </c>
      <c r="F7116" s="22">
        <v>0</v>
      </c>
      <c r="G7116" s="21">
        <f t="shared" si="333"/>
        <v>97.189999999999998</v>
      </c>
      <c r="H7116" s="22">
        <v>0</v>
      </c>
      <c r="I7116" s="23" t="str">
        <f t="shared" si="334"/>
        <v xml:space="preserve">COM VALOR</v>
      </c>
      <c r="J7116" s="19"/>
      <c r="L7116" s="21">
        <v>105.05</v>
      </c>
      <c r="M7116" s="22">
        <v>0</v>
      </c>
      <c r="N7116" s="21">
        <v>97.189999999999998</v>
      </c>
      <c r="O7116" s="22">
        <v>0</v>
      </c>
    </row>
    <row r="7117" ht="25.5">
      <c r="A7117" t="s">
        <v>7085</v>
      </c>
      <c r="B7117" s="19">
        <v>100295</v>
      </c>
      <c r="C7117" s="20" t="s">
        <v>7226</v>
      </c>
      <c r="D7117" s="19" t="s">
        <v>2032</v>
      </c>
      <c r="E7117" s="21">
        <f t="shared" si="332"/>
        <v>0.60999999999999999</v>
      </c>
      <c r="F7117" s="22">
        <v>0</v>
      </c>
      <c r="G7117" s="21">
        <f t="shared" si="333"/>
        <v>0.56000000000000005</v>
      </c>
      <c r="H7117" s="22">
        <v>0</v>
      </c>
      <c r="I7117" s="23" t="str">
        <f t="shared" si="334"/>
        <v xml:space="preserve">COM VALOR</v>
      </c>
      <c r="J7117" s="19"/>
      <c r="L7117" s="21">
        <v>0.60999999999999999</v>
      </c>
      <c r="M7117" s="22">
        <v>0</v>
      </c>
      <c r="N7117" s="21">
        <v>0.56000000000000005</v>
      </c>
      <c r="O7117" s="22">
        <v>0</v>
      </c>
    </row>
    <row r="7118" ht="25.5">
      <c r="A7118" t="s">
        <v>7085</v>
      </c>
      <c r="B7118" s="19">
        <v>101303</v>
      </c>
      <c r="C7118" s="20" t="s">
        <v>7227</v>
      </c>
      <c r="D7118" s="19" t="s">
        <v>7087</v>
      </c>
      <c r="E7118" s="21">
        <f t="shared" si="332"/>
        <v>81.159999999999997</v>
      </c>
      <c r="F7118" s="22">
        <v>0</v>
      </c>
      <c r="G7118" s="21">
        <f t="shared" si="333"/>
        <v>75.090000000000003</v>
      </c>
      <c r="H7118" s="22">
        <v>0</v>
      </c>
      <c r="I7118" s="23" t="str">
        <f t="shared" si="334"/>
        <v xml:space="preserve">COM VALOR</v>
      </c>
      <c r="J7118" s="19"/>
      <c r="L7118" s="21">
        <v>81.159999999999997</v>
      </c>
      <c r="M7118" s="22">
        <v>0</v>
      </c>
      <c r="N7118" s="21">
        <v>75.090000000000003</v>
      </c>
      <c r="O7118" s="22">
        <v>0</v>
      </c>
    </row>
    <row r="7119" ht="25.5">
      <c r="A7119" t="s">
        <v>7085</v>
      </c>
      <c r="B7119" s="19">
        <v>95344</v>
      </c>
      <c r="C7119" s="20" t="s">
        <v>7228</v>
      </c>
      <c r="D7119" s="19" t="s">
        <v>2032</v>
      </c>
      <c r="E7119" s="21">
        <f t="shared" si="332"/>
        <v>0.28000000000000003</v>
      </c>
      <c r="F7119" s="22">
        <v>0</v>
      </c>
      <c r="G7119" s="21">
        <f t="shared" si="333"/>
        <v>0.26000000000000001</v>
      </c>
      <c r="H7119" s="22">
        <v>0</v>
      </c>
      <c r="I7119" s="23" t="str">
        <f t="shared" si="334"/>
        <v xml:space="preserve">COM VALOR</v>
      </c>
      <c r="J7119" s="19"/>
      <c r="L7119" s="21">
        <v>0.28000000000000003</v>
      </c>
      <c r="M7119" s="22">
        <v>0</v>
      </c>
      <c r="N7119" s="21">
        <v>0.26000000000000001</v>
      </c>
      <c r="O7119" s="22">
        <v>0</v>
      </c>
    </row>
    <row r="7120" ht="25.5">
      <c r="A7120" t="s">
        <v>7085</v>
      </c>
      <c r="B7120" s="19">
        <v>101308</v>
      </c>
      <c r="C7120" s="20" t="s">
        <v>7229</v>
      </c>
      <c r="D7120" s="19" t="s">
        <v>7087</v>
      </c>
      <c r="E7120" s="21">
        <f t="shared" si="332"/>
        <v>37.57</v>
      </c>
      <c r="F7120" s="22">
        <v>0</v>
      </c>
      <c r="G7120" s="21">
        <f t="shared" si="333"/>
        <v>34.759999999999998</v>
      </c>
      <c r="H7120" s="22">
        <v>0</v>
      </c>
      <c r="I7120" s="23" t="str">
        <f t="shared" si="334"/>
        <v xml:space="preserve">COM VALOR</v>
      </c>
      <c r="J7120" s="19"/>
      <c r="L7120" s="21">
        <v>37.57</v>
      </c>
      <c r="M7120" s="22">
        <v>0</v>
      </c>
      <c r="N7120" s="21">
        <v>34.759999999999998</v>
      </c>
      <c r="O7120" s="22">
        <v>0</v>
      </c>
    </row>
    <row r="7121" ht="25.5">
      <c r="A7121" t="s">
        <v>7085</v>
      </c>
      <c r="B7121" s="19">
        <v>105536</v>
      </c>
      <c r="C7121" s="20" t="s">
        <v>7230</v>
      </c>
      <c r="D7121" s="19" t="s">
        <v>2032</v>
      </c>
      <c r="E7121" s="21" t="str">
        <f t="shared" si="332"/>
        <v>VERIFICAR</v>
      </c>
      <c r="F7121" s="22">
        <v>0</v>
      </c>
      <c r="G7121" s="21" t="str">
        <f t="shared" si="333"/>
        <v>VERIFICAR</v>
      </c>
      <c r="H7121" s="22">
        <v>0</v>
      </c>
      <c r="I7121" s="23" t="str">
        <f t="shared" si="334"/>
        <v xml:space="preserve">COM VALOR</v>
      </c>
      <c r="J7121" s="19"/>
      <c r="L7121" s="21">
        <v>0</v>
      </c>
      <c r="M7121" s="22"/>
      <c r="N7121" s="21">
        <v>0</v>
      </c>
      <c r="O7121" s="22"/>
    </row>
    <row r="7122" ht="25.5">
      <c r="A7122" t="s">
        <v>7085</v>
      </c>
      <c r="B7122" s="19">
        <v>101320</v>
      </c>
      <c r="C7122" s="20" t="s">
        <v>7231</v>
      </c>
      <c r="D7122" s="19" t="s">
        <v>7087</v>
      </c>
      <c r="E7122" s="21">
        <f t="shared" si="332"/>
        <v>29.57</v>
      </c>
      <c r="F7122" s="22">
        <v>0</v>
      </c>
      <c r="G7122" s="21">
        <f t="shared" si="333"/>
        <v>27.359999999999999</v>
      </c>
      <c r="H7122" s="22">
        <v>0</v>
      </c>
      <c r="I7122" s="23" t="str">
        <f t="shared" si="334"/>
        <v xml:space="preserve">COM VALOR</v>
      </c>
      <c r="J7122" s="19"/>
      <c r="L7122" s="21">
        <v>29.57</v>
      </c>
      <c r="M7122" s="22">
        <v>0</v>
      </c>
      <c r="N7122" s="21">
        <v>27.359999999999999</v>
      </c>
      <c r="O7122" s="22">
        <v>0</v>
      </c>
    </row>
    <row r="7123" ht="25.5">
      <c r="A7123" t="s">
        <v>7085</v>
      </c>
      <c r="B7123" s="19">
        <v>95343</v>
      </c>
      <c r="C7123" s="20" t="s">
        <v>7232</v>
      </c>
      <c r="D7123" s="19" t="s">
        <v>2032</v>
      </c>
      <c r="E7123" s="21">
        <f t="shared" si="332"/>
        <v>0.33000000000000002</v>
      </c>
      <c r="F7123" s="22">
        <v>0</v>
      </c>
      <c r="G7123" s="21">
        <f t="shared" si="333"/>
        <v>0.29999999999999999</v>
      </c>
      <c r="H7123" s="22">
        <v>0</v>
      </c>
      <c r="I7123" s="23" t="str">
        <f t="shared" si="334"/>
        <v xml:space="preserve">COM VALOR</v>
      </c>
      <c r="J7123" s="19"/>
      <c r="L7123" s="21">
        <v>0.33000000000000002</v>
      </c>
      <c r="M7123" s="22">
        <v>0</v>
      </c>
      <c r="N7123" s="21">
        <v>0.29999999999999999</v>
      </c>
      <c r="O7123" s="22">
        <v>0</v>
      </c>
    </row>
    <row r="7124" ht="25.5">
      <c r="A7124" t="s">
        <v>7085</v>
      </c>
      <c r="B7124" s="19">
        <v>95345</v>
      </c>
      <c r="C7124" s="20" t="s">
        <v>7233</v>
      </c>
      <c r="D7124" s="19" t="s">
        <v>2032</v>
      </c>
      <c r="E7124" s="21">
        <f t="shared" si="332"/>
        <v>0.82999999999999996</v>
      </c>
      <c r="F7124" s="22">
        <v>0</v>
      </c>
      <c r="G7124" s="21">
        <f t="shared" si="333"/>
        <v>0.77000000000000002</v>
      </c>
      <c r="H7124" s="22">
        <v>0</v>
      </c>
      <c r="I7124" s="23" t="str">
        <f t="shared" si="334"/>
        <v xml:space="preserve">COM VALOR</v>
      </c>
      <c r="J7124" s="19"/>
      <c r="L7124" s="21">
        <v>0.82999999999999996</v>
      </c>
      <c r="M7124" s="22">
        <v>0</v>
      </c>
      <c r="N7124" s="21">
        <v>0.77000000000000002</v>
      </c>
      <c r="O7124" s="22">
        <v>0</v>
      </c>
    </row>
    <row r="7125" ht="25.5">
      <c r="A7125" t="s">
        <v>7085</v>
      </c>
      <c r="B7125" s="19">
        <v>95346</v>
      </c>
      <c r="C7125" s="20" t="s">
        <v>7234</v>
      </c>
      <c r="D7125" s="19" t="s">
        <v>2032</v>
      </c>
      <c r="E7125" s="21">
        <f t="shared" si="332"/>
        <v>0.11</v>
      </c>
      <c r="F7125" s="22">
        <v>0</v>
      </c>
      <c r="G7125" s="21">
        <f t="shared" si="333"/>
        <v>0.10000000000000001</v>
      </c>
      <c r="H7125" s="22">
        <v>0</v>
      </c>
      <c r="I7125" s="23" t="str">
        <f t="shared" si="334"/>
        <v xml:space="preserve">COM VALOR</v>
      </c>
      <c r="J7125" s="19"/>
      <c r="L7125" s="21">
        <v>0.11</v>
      </c>
      <c r="M7125" s="22">
        <v>0</v>
      </c>
      <c r="N7125" s="21">
        <v>0.10000000000000001</v>
      </c>
      <c r="O7125" s="22">
        <v>0</v>
      </c>
    </row>
    <row r="7126" ht="25.5">
      <c r="A7126" t="s">
        <v>7085</v>
      </c>
      <c r="B7126" s="19">
        <v>101324</v>
      </c>
      <c r="C7126" s="20" t="s">
        <v>7235</v>
      </c>
      <c r="D7126" s="19" t="s">
        <v>7087</v>
      </c>
      <c r="E7126" s="21">
        <f t="shared" si="332"/>
        <v>14.82</v>
      </c>
      <c r="F7126" s="22">
        <v>0</v>
      </c>
      <c r="G7126" s="21">
        <f t="shared" si="333"/>
        <v>13.710000000000001</v>
      </c>
      <c r="H7126" s="22">
        <v>0</v>
      </c>
      <c r="I7126" s="23" t="str">
        <f t="shared" si="334"/>
        <v xml:space="preserve">COM VALOR</v>
      </c>
      <c r="J7126" s="19"/>
      <c r="L7126" s="21">
        <v>14.82</v>
      </c>
      <c r="M7126" s="22">
        <v>0</v>
      </c>
      <c r="N7126" s="21">
        <v>13.710000000000001</v>
      </c>
      <c r="O7126" s="22">
        <v>0</v>
      </c>
    </row>
    <row r="7127" ht="25.5">
      <c r="A7127" t="s">
        <v>7085</v>
      </c>
      <c r="B7127" s="19">
        <v>101328</v>
      </c>
      <c r="C7127" s="20" t="s">
        <v>7236</v>
      </c>
      <c r="D7127" s="19" t="s">
        <v>7087</v>
      </c>
      <c r="E7127" s="21">
        <f t="shared" si="332"/>
        <v>17.739999999999998</v>
      </c>
      <c r="F7127" s="22">
        <v>0</v>
      </c>
      <c r="G7127" s="21">
        <f t="shared" si="333"/>
        <v>16.420000000000002</v>
      </c>
      <c r="H7127" s="22">
        <v>0</v>
      </c>
      <c r="I7127" s="23" t="str">
        <f t="shared" si="334"/>
        <v xml:space="preserve">COM VALOR</v>
      </c>
      <c r="J7127" s="19"/>
      <c r="L7127" s="21">
        <v>17.739999999999998</v>
      </c>
      <c r="M7127" s="22">
        <v>0</v>
      </c>
      <c r="N7127" s="21">
        <v>16.420000000000002</v>
      </c>
      <c r="O7127" s="22">
        <v>0</v>
      </c>
    </row>
    <row r="7128" ht="25.5">
      <c r="A7128" t="s">
        <v>7085</v>
      </c>
      <c r="B7128" s="19">
        <v>95347</v>
      </c>
      <c r="C7128" s="20" t="s">
        <v>7237</v>
      </c>
      <c r="D7128" s="19" t="s">
        <v>2032</v>
      </c>
      <c r="E7128" s="21">
        <f t="shared" si="332"/>
        <v>0.10000000000000001</v>
      </c>
      <c r="F7128" s="22">
        <v>0</v>
      </c>
      <c r="G7128" s="21">
        <f t="shared" si="333"/>
        <v>0.10000000000000001</v>
      </c>
      <c r="H7128" s="22">
        <v>0</v>
      </c>
      <c r="I7128" s="23" t="str">
        <f t="shared" si="334"/>
        <v xml:space="preserve">COM VALOR</v>
      </c>
      <c r="J7128" s="19"/>
      <c r="L7128" s="21">
        <v>0.10000000000000001</v>
      </c>
      <c r="M7128" s="22">
        <v>0</v>
      </c>
      <c r="N7128" s="21">
        <v>0.10000000000000001</v>
      </c>
      <c r="O7128" s="22">
        <v>0</v>
      </c>
    </row>
    <row r="7129" ht="25.5">
      <c r="A7129" t="s">
        <v>7085</v>
      </c>
      <c r="B7129" s="19">
        <v>95408</v>
      </c>
      <c r="C7129" s="20" t="s">
        <v>7238</v>
      </c>
      <c r="D7129" s="19" t="s">
        <v>7087</v>
      </c>
      <c r="E7129" s="21">
        <f t="shared" si="332"/>
        <v>14.26</v>
      </c>
      <c r="F7129" s="22">
        <v>0</v>
      </c>
      <c r="G7129" s="21">
        <f t="shared" si="333"/>
        <v>13.199999999999999</v>
      </c>
      <c r="H7129" s="22">
        <v>0</v>
      </c>
      <c r="I7129" s="23" t="str">
        <f t="shared" si="334"/>
        <v xml:space="preserve">COM VALOR</v>
      </c>
      <c r="J7129" s="19"/>
      <c r="L7129" s="21">
        <v>14.26</v>
      </c>
      <c r="M7129" s="22">
        <v>0</v>
      </c>
      <c r="N7129" s="21">
        <v>13.199999999999999</v>
      </c>
      <c r="O7129" s="22">
        <v>0</v>
      </c>
    </row>
    <row r="7130" ht="25.5">
      <c r="A7130" t="s">
        <v>7085</v>
      </c>
      <c r="B7130" s="19">
        <v>95348</v>
      </c>
      <c r="C7130" s="20" t="s">
        <v>7239</v>
      </c>
      <c r="D7130" s="19" t="s">
        <v>2032</v>
      </c>
      <c r="E7130" s="21">
        <f t="shared" si="332"/>
        <v>0.13</v>
      </c>
      <c r="F7130" s="22">
        <v>0</v>
      </c>
      <c r="G7130" s="21">
        <f t="shared" si="333"/>
        <v>0.12</v>
      </c>
      <c r="H7130" s="22">
        <v>0</v>
      </c>
      <c r="I7130" s="23" t="str">
        <f t="shared" si="334"/>
        <v xml:space="preserve">COM VALOR</v>
      </c>
      <c r="J7130" s="19"/>
      <c r="L7130" s="21">
        <v>0.13</v>
      </c>
      <c r="M7130" s="22">
        <v>0</v>
      </c>
      <c r="N7130" s="21">
        <v>0.12</v>
      </c>
      <c r="O7130" s="22">
        <v>0</v>
      </c>
    </row>
    <row r="7131" ht="25.5">
      <c r="A7131" t="s">
        <v>7085</v>
      </c>
      <c r="B7131" s="19">
        <v>101332</v>
      </c>
      <c r="C7131" s="20" t="s">
        <v>7240</v>
      </c>
      <c r="D7131" s="19" t="s">
        <v>7087</v>
      </c>
      <c r="E7131" s="21">
        <f t="shared" si="332"/>
        <v>13.58</v>
      </c>
      <c r="F7131" s="22">
        <v>0</v>
      </c>
      <c r="G7131" s="21">
        <f t="shared" si="333"/>
        <v>12.57</v>
      </c>
      <c r="H7131" s="22">
        <v>0</v>
      </c>
      <c r="I7131" s="23" t="str">
        <f t="shared" si="334"/>
        <v xml:space="preserve">COM VALOR</v>
      </c>
      <c r="J7131" s="19"/>
      <c r="L7131" s="21">
        <v>13.58</v>
      </c>
      <c r="M7131" s="22">
        <v>0</v>
      </c>
      <c r="N7131" s="21">
        <v>12.57</v>
      </c>
      <c r="O7131" s="22">
        <v>0</v>
      </c>
    </row>
    <row r="7132" ht="25.5">
      <c r="A7132" t="s">
        <v>7085</v>
      </c>
      <c r="B7132" s="19">
        <v>95349</v>
      </c>
      <c r="C7132" s="20" t="s">
        <v>7241</v>
      </c>
      <c r="D7132" s="19" t="s">
        <v>2032</v>
      </c>
      <c r="E7132" s="21">
        <f t="shared" si="332"/>
        <v>0.10000000000000001</v>
      </c>
      <c r="F7132" s="22">
        <v>0</v>
      </c>
      <c r="G7132" s="21">
        <f t="shared" si="333"/>
        <v>8.9999999999999997e-002</v>
      </c>
      <c r="H7132" s="22">
        <v>0</v>
      </c>
      <c r="I7132" s="23" t="str">
        <f t="shared" si="334"/>
        <v xml:space="preserve">COM VALOR</v>
      </c>
      <c r="J7132" s="19"/>
      <c r="L7132" s="21">
        <v>0.10000000000000001</v>
      </c>
      <c r="M7132" s="22">
        <v>0</v>
      </c>
      <c r="N7132" s="21">
        <v>8.9999999999999997e-002</v>
      </c>
      <c r="O7132" s="22">
        <v>0</v>
      </c>
    </row>
    <row r="7133" ht="25.5">
      <c r="A7133" t="s">
        <v>7085</v>
      </c>
      <c r="B7133" s="19">
        <v>101336</v>
      </c>
      <c r="C7133" s="20" t="s">
        <v>7242</v>
      </c>
      <c r="D7133" s="19" t="s">
        <v>7087</v>
      </c>
      <c r="E7133" s="21">
        <f t="shared" si="332"/>
        <v>48.950000000000003</v>
      </c>
      <c r="F7133" s="22">
        <v>0</v>
      </c>
      <c r="G7133" s="21">
        <f t="shared" si="333"/>
        <v>45.289999999999999</v>
      </c>
      <c r="H7133" s="22">
        <v>0</v>
      </c>
      <c r="I7133" s="23" t="str">
        <f t="shared" si="334"/>
        <v xml:space="preserve">COM VALOR</v>
      </c>
      <c r="J7133" s="19"/>
      <c r="L7133" s="21">
        <v>48.950000000000003</v>
      </c>
      <c r="M7133" s="22">
        <v>0</v>
      </c>
      <c r="N7133" s="21">
        <v>45.289999999999999</v>
      </c>
      <c r="O7133" s="22">
        <v>0</v>
      </c>
    </row>
    <row r="7134" ht="25.5">
      <c r="A7134" t="s">
        <v>7085</v>
      </c>
      <c r="B7134" s="19">
        <v>95351</v>
      </c>
      <c r="C7134" s="20" t="s">
        <v>7243</v>
      </c>
      <c r="D7134" s="19" t="s">
        <v>2032</v>
      </c>
      <c r="E7134" s="21">
        <f t="shared" si="332"/>
        <v>0.37</v>
      </c>
      <c r="F7134" s="22">
        <v>0</v>
      </c>
      <c r="G7134" s="21">
        <f t="shared" si="333"/>
        <v>0.34000000000000002</v>
      </c>
      <c r="H7134" s="22">
        <v>0</v>
      </c>
      <c r="I7134" s="23" t="str">
        <f t="shared" si="334"/>
        <v xml:space="preserve">COM VALOR</v>
      </c>
      <c r="J7134" s="19"/>
      <c r="L7134" s="21">
        <v>0.37</v>
      </c>
      <c r="M7134" s="22">
        <v>0</v>
      </c>
      <c r="N7134" s="21">
        <v>0.34000000000000002</v>
      </c>
      <c r="O7134" s="22">
        <v>0</v>
      </c>
    </row>
    <row r="7135" ht="25.5">
      <c r="A7135" t="s">
        <v>7085</v>
      </c>
      <c r="B7135" s="19">
        <v>95352</v>
      </c>
      <c r="C7135" s="20" t="s">
        <v>7244</v>
      </c>
      <c r="D7135" s="19" t="s">
        <v>2032</v>
      </c>
      <c r="E7135" s="21">
        <f t="shared" si="332"/>
        <v>0.13</v>
      </c>
      <c r="F7135" s="22">
        <v>0</v>
      </c>
      <c r="G7135" s="21">
        <f t="shared" si="333"/>
        <v>0.12</v>
      </c>
      <c r="H7135" s="22">
        <v>0</v>
      </c>
      <c r="I7135" s="23" t="str">
        <f t="shared" si="334"/>
        <v xml:space="preserve">COM VALOR</v>
      </c>
      <c r="J7135" s="19"/>
      <c r="L7135" s="21">
        <v>0.13</v>
      </c>
      <c r="M7135" s="22">
        <v>0</v>
      </c>
      <c r="N7135" s="21">
        <v>0.12</v>
      </c>
      <c r="O7135" s="22">
        <v>0</v>
      </c>
    </row>
    <row r="7136" ht="25.5">
      <c r="A7136" t="s">
        <v>7085</v>
      </c>
      <c r="B7136" s="19">
        <v>101337</v>
      </c>
      <c r="C7136" s="20" t="s">
        <v>7245</v>
      </c>
      <c r="D7136" s="19" t="s">
        <v>7087</v>
      </c>
      <c r="E7136" s="21">
        <f t="shared" si="332"/>
        <v>18.079999999999998</v>
      </c>
      <c r="F7136" s="22">
        <v>0</v>
      </c>
      <c r="G7136" s="21">
        <f t="shared" si="333"/>
        <v>16.73</v>
      </c>
      <c r="H7136" s="22">
        <v>0</v>
      </c>
      <c r="I7136" s="23" t="str">
        <f t="shared" si="334"/>
        <v xml:space="preserve">COM VALOR</v>
      </c>
      <c r="J7136" s="19"/>
      <c r="L7136" s="21">
        <v>18.079999999999998</v>
      </c>
      <c r="M7136" s="22">
        <v>0</v>
      </c>
      <c r="N7136" s="21">
        <v>16.73</v>
      </c>
      <c r="O7136" s="22">
        <v>0</v>
      </c>
    </row>
    <row r="7137" ht="25.5">
      <c r="A7137" t="s">
        <v>7085</v>
      </c>
      <c r="B7137" s="19">
        <v>101338</v>
      </c>
      <c r="C7137" s="20" t="s">
        <v>7246</v>
      </c>
      <c r="D7137" s="19" t="s">
        <v>7087</v>
      </c>
      <c r="E7137" s="21">
        <f t="shared" si="332"/>
        <v>25.09</v>
      </c>
      <c r="F7137" s="22">
        <v>0</v>
      </c>
      <c r="G7137" s="21">
        <f t="shared" si="333"/>
        <v>23.219999999999999</v>
      </c>
      <c r="H7137" s="22">
        <v>0</v>
      </c>
      <c r="I7137" s="23" t="str">
        <f t="shared" si="334"/>
        <v xml:space="preserve">COM VALOR</v>
      </c>
      <c r="J7137" s="19"/>
      <c r="L7137" s="21">
        <v>25.09</v>
      </c>
      <c r="M7137" s="22">
        <v>0</v>
      </c>
      <c r="N7137" s="21">
        <v>23.219999999999999</v>
      </c>
      <c r="O7137" s="22">
        <v>0</v>
      </c>
    </row>
    <row r="7138" ht="25.5">
      <c r="A7138" t="s">
        <v>7085</v>
      </c>
      <c r="B7138" s="19">
        <v>95354</v>
      </c>
      <c r="C7138" s="20" t="s">
        <v>7247</v>
      </c>
      <c r="D7138" s="19" t="s">
        <v>2032</v>
      </c>
      <c r="E7138" s="21">
        <f t="shared" si="332"/>
        <v>0.20000000000000001</v>
      </c>
      <c r="F7138" s="22">
        <v>0</v>
      </c>
      <c r="G7138" s="21">
        <f t="shared" si="333"/>
        <v>0.19</v>
      </c>
      <c r="H7138" s="22">
        <v>0</v>
      </c>
      <c r="I7138" s="23" t="str">
        <f t="shared" si="334"/>
        <v xml:space="preserve">COM VALOR</v>
      </c>
      <c r="J7138" s="19"/>
      <c r="L7138" s="21">
        <v>0.20000000000000001</v>
      </c>
      <c r="M7138" s="22">
        <v>0</v>
      </c>
      <c r="N7138" s="21">
        <v>0.19</v>
      </c>
      <c r="O7138" s="22">
        <v>0</v>
      </c>
    </row>
    <row r="7139" ht="25.5">
      <c r="A7139" t="s">
        <v>7085</v>
      </c>
      <c r="B7139" s="19">
        <v>101339</v>
      </c>
      <c r="C7139" s="20" t="s">
        <v>7248</v>
      </c>
      <c r="D7139" s="19" t="s">
        <v>7087</v>
      </c>
      <c r="E7139" s="21">
        <f t="shared" si="332"/>
        <v>27.43</v>
      </c>
      <c r="F7139" s="22">
        <v>0</v>
      </c>
      <c r="G7139" s="21">
        <f t="shared" si="333"/>
        <v>25.379999999999999</v>
      </c>
      <c r="H7139" s="22">
        <v>0</v>
      </c>
      <c r="I7139" s="23" t="str">
        <f t="shared" si="334"/>
        <v xml:space="preserve">COM VALOR</v>
      </c>
      <c r="J7139" s="19"/>
      <c r="L7139" s="21">
        <v>27.43</v>
      </c>
      <c r="M7139" s="22">
        <v>0</v>
      </c>
      <c r="N7139" s="21">
        <v>25.379999999999999</v>
      </c>
      <c r="O7139" s="22">
        <v>0</v>
      </c>
    </row>
    <row r="7140" ht="38.25">
      <c r="A7140" t="s">
        <v>7085</v>
      </c>
      <c r="B7140" s="19">
        <v>101340</v>
      </c>
      <c r="C7140" s="20" t="s">
        <v>7249</v>
      </c>
      <c r="D7140" s="19" t="s">
        <v>7087</v>
      </c>
      <c r="E7140" s="21">
        <f t="shared" si="332"/>
        <v>24.09</v>
      </c>
      <c r="F7140" s="22">
        <v>0</v>
      </c>
      <c r="G7140" s="21">
        <f t="shared" si="333"/>
        <v>22.289999999999999</v>
      </c>
      <c r="H7140" s="22">
        <v>0</v>
      </c>
      <c r="I7140" s="23" t="str">
        <f t="shared" si="334"/>
        <v xml:space="preserve">COM VALOR</v>
      </c>
      <c r="J7140" s="19"/>
      <c r="L7140" s="21">
        <v>24.09</v>
      </c>
      <c r="M7140" s="22">
        <v>0</v>
      </c>
      <c r="N7140" s="21">
        <v>22.289999999999999</v>
      </c>
      <c r="O7140" s="22">
        <v>0</v>
      </c>
    </row>
    <row r="7141" ht="25.5">
      <c r="A7141" t="s">
        <v>7085</v>
      </c>
      <c r="B7141" s="19">
        <v>95389</v>
      </c>
      <c r="C7141" s="20" t="s">
        <v>7250</v>
      </c>
      <c r="D7141" s="19" t="s">
        <v>2032</v>
      </c>
      <c r="E7141" s="21">
        <f t="shared" si="332"/>
        <v>0.17999999999999999</v>
      </c>
      <c r="F7141" s="22">
        <v>0</v>
      </c>
      <c r="G7141" s="21">
        <f t="shared" si="333"/>
        <v>0.16</v>
      </c>
      <c r="H7141" s="22">
        <v>0</v>
      </c>
      <c r="I7141" s="23" t="str">
        <f t="shared" si="334"/>
        <v xml:space="preserve">COM VALOR</v>
      </c>
      <c r="J7141" s="19"/>
      <c r="L7141" s="21">
        <v>0.17999999999999999</v>
      </c>
      <c r="M7141" s="22">
        <v>0</v>
      </c>
      <c r="N7141" s="21">
        <v>0.16</v>
      </c>
      <c r="O7141" s="22">
        <v>0</v>
      </c>
    </row>
    <row r="7142" ht="25.5">
      <c r="A7142" t="s">
        <v>7085</v>
      </c>
      <c r="B7142" s="19">
        <v>101341</v>
      </c>
      <c r="C7142" s="20" t="s">
        <v>7251</v>
      </c>
      <c r="D7142" s="19" t="s">
        <v>7087</v>
      </c>
      <c r="E7142" s="21">
        <f t="shared" si="332"/>
        <v>21.239999999999998</v>
      </c>
      <c r="F7142" s="22">
        <v>0</v>
      </c>
      <c r="G7142" s="21">
        <f t="shared" si="333"/>
        <v>19.649999999999999</v>
      </c>
      <c r="H7142" s="22">
        <v>0</v>
      </c>
      <c r="I7142" s="23" t="str">
        <f t="shared" si="334"/>
        <v xml:space="preserve">COM VALOR</v>
      </c>
      <c r="J7142" s="19"/>
      <c r="L7142" s="21">
        <v>21.239999999999998</v>
      </c>
      <c r="M7142" s="22">
        <v>0</v>
      </c>
      <c r="N7142" s="21">
        <v>19.649999999999999</v>
      </c>
      <c r="O7142" s="22">
        <v>0</v>
      </c>
    </row>
    <row r="7143" ht="25.5">
      <c r="A7143" t="s">
        <v>7085</v>
      </c>
      <c r="B7143" s="19">
        <v>95355</v>
      </c>
      <c r="C7143" s="20" t="s">
        <v>7252</v>
      </c>
      <c r="D7143" s="19" t="s">
        <v>2032</v>
      </c>
      <c r="E7143" s="21">
        <f t="shared" si="332"/>
        <v>0.16</v>
      </c>
      <c r="F7143" s="22">
        <v>0</v>
      </c>
      <c r="G7143" s="21">
        <f t="shared" si="333"/>
        <v>0.14000000000000001</v>
      </c>
      <c r="H7143" s="22">
        <v>0</v>
      </c>
      <c r="I7143" s="23" t="str">
        <f t="shared" si="334"/>
        <v xml:space="preserve">COM VALOR</v>
      </c>
      <c r="J7143" s="19"/>
      <c r="L7143" s="21">
        <v>0.16</v>
      </c>
      <c r="M7143" s="22">
        <v>0</v>
      </c>
      <c r="N7143" s="21">
        <v>0.14000000000000001</v>
      </c>
      <c r="O7143" s="22">
        <v>0</v>
      </c>
    </row>
    <row r="7144" ht="25.5">
      <c r="A7144" t="s">
        <v>7085</v>
      </c>
      <c r="B7144" s="19">
        <v>95356</v>
      </c>
      <c r="C7144" s="20" t="s">
        <v>7253</v>
      </c>
      <c r="D7144" s="19" t="s">
        <v>2032</v>
      </c>
      <c r="E7144" s="21">
        <f t="shared" si="332"/>
        <v>0.20000000000000001</v>
      </c>
      <c r="F7144" s="22">
        <v>0</v>
      </c>
      <c r="G7144" s="21">
        <f t="shared" si="333"/>
        <v>0.19</v>
      </c>
      <c r="H7144" s="22">
        <v>0</v>
      </c>
      <c r="I7144" s="23" t="str">
        <f t="shared" si="334"/>
        <v xml:space="preserve">COM VALOR</v>
      </c>
      <c r="J7144" s="19"/>
      <c r="L7144" s="21">
        <v>0.20000000000000001</v>
      </c>
      <c r="M7144" s="22">
        <v>0</v>
      </c>
      <c r="N7144" s="21">
        <v>0.19</v>
      </c>
      <c r="O7144" s="22">
        <v>0</v>
      </c>
    </row>
    <row r="7145" ht="25.5">
      <c r="A7145" t="s">
        <v>7085</v>
      </c>
      <c r="B7145" s="19">
        <v>101342</v>
      </c>
      <c r="C7145" s="20" t="s">
        <v>7254</v>
      </c>
      <c r="D7145" s="19" t="s">
        <v>7087</v>
      </c>
      <c r="E7145" s="21">
        <f t="shared" si="332"/>
        <v>27.43</v>
      </c>
      <c r="F7145" s="22">
        <v>0</v>
      </c>
      <c r="G7145" s="21">
        <f t="shared" si="333"/>
        <v>25.379999999999999</v>
      </c>
      <c r="H7145" s="22">
        <v>0</v>
      </c>
      <c r="I7145" s="23" t="str">
        <f t="shared" si="334"/>
        <v xml:space="preserve">COM VALOR</v>
      </c>
      <c r="J7145" s="19"/>
      <c r="L7145" s="21">
        <v>27.43</v>
      </c>
      <c r="M7145" s="22">
        <v>0</v>
      </c>
      <c r="N7145" s="21">
        <v>25.379999999999999</v>
      </c>
      <c r="O7145" s="22">
        <v>0</v>
      </c>
    </row>
    <row r="7146" ht="25.5">
      <c r="A7146" t="s">
        <v>7085</v>
      </c>
      <c r="B7146" s="19">
        <v>95357</v>
      </c>
      <c r="C7146" s="20" t="s">
        <v>7255</v>
      </c>
      <c r="D7146" s="19" t="s">
        <v>2032</v>
      </c>
      <c r="E7146" s="21">
        <f t="shared" si="332"/>
        <v>0.32000000000000001</v>
      </c>
      <c r="F7146" s="22">
        <v>0</v>
      </c>
      <c r="G7146" s="21">
        <f t="shared" si="333"/>
        <v>0.29999999999999999</v>
      </c>
      <c r="H7146" s="22">
        <v>0</v>
      </c>
      <c r="I7146" s="23" t="str">
        <f t="shared" si="334"/>
        <v xml:space="preserve">COM VALOR</v>
      </c>
      <c r="J7146" s="19"/>
      <c r="L7146" s="21">
        <v>0.32000000000000001</v>
      </c>
      <c r="M7146" s="22">
        <v>0</v>
      </c>
      <c r="N7146" s="21">
        <v>0.29999999999999999</v>
      </c>
      <c r="O7146" s="22">
        <v>0</v>
      </c>
    </row>
    <row r="7147" ht="25.5">
      <c r="A7147" t="s">
        <v>7085</v>
      </c>
      <c r="B7147" s="19">
        <v>101343</v>
      </c>
      <c r="C7147" s="20" t="s">
        <v>7256</v>
      </c>
      <c r="D7147" s="19" t="s">
        <v>7087</v>
      </c>
      <c r="E7147" s="21">
        <f t="shared" si="332"/>
        <v>42.960000000000001</v>
      </c>
      <c r="F7147" s="22">
        <v>0</v>
      </c>
      <c r="G7147" s="21">
        <f t="shared" si="333"/>
        <v>39.75</v>
      </c>
      <c r="H7147" s="22">
        <v>0</v>
      </c>
      <c r="I7147" s="23" t="str">
        <f t="shared" si="334"/>
        <v xml:space="preserve">COM VALOR</v>
      </c>
      <c r="J7147" s="19"/>
      <c r="L7147" s="21">
        <v>42.960000000000001</v>
      </c>
      <c r="M7147" s="22">
        <v>0</v>
      </c>
      <c r="N7147" s="21">
        <v>39.75</v>
      </c>
      <c r="O7147" s="22">
        <v>0</v>
      </c>
    </row>
    <row r="7148" ht="25.5">
      <c r="A7148" t="s">
        <v>7085</v>
      </c>
      <c r="B7148" s="19">
        <v>95358</v>
      </c>
      <c r="C7148" s="20" t="s">
        <v>7257</v>
      </c>
      <c r="D7148" s="19" t="s">
        <v>2032</v>
      </c>
      <c r="E7148" s="21">
        <f t="shared" si="332"/>
        <v>0.38</v>
      </c>
      <c r="F7148" s="22"/>
      <c r="G7148" s="21">
        <f t="shared" si="333"/>
        <v>0.34999999999999998</v>
      </c>
      <c r="H7148" s="22"/>
      <c r="I7148" s="23" t="str">
        <f t="shared" si="334"/>
        <v xml:space="preserve">COM VALOR</v>
      </c>
      <c r="J7148" s="19"/>
      <c r="L7148" s="21">
        <v>0.38</v>
      </c>
      <c r="M7148" s="22">
        <v>0</v>
      </c>
      <c r="N7148" s="21">
        <v>0.34999999999999998</v>
      </c>
      <c r="O7148" s="22">
        <v>0</v>
      </c>
    </row>
    <row r="7149" ht="25.5">
      <c r="A7149" t="s">
        <v>7085</v>
      </c>
      <c r="B7149" s="19">
        <v>101344</v>
      </c>
      <c r="C7149" s="20" t="s">
        <v>7258</v>
      </c>
      <c r="D7149" s="19" t="s">
        <v>7087</v>
      </c>
      <c r="E7149" s="21">
        <f t="shared" si="332"/>
        <v>50.93</v>
      </c>
      <c r="F7149" s="22">
        <v>0</v>
      </c>
      <c r="G7149" s="21">
        <f t="shared" si="333"/>
        <v>47.119999999999997</v>
      </c>
      <c r="H7149" s="22">
        <v>0</v>
      </c>
      <c r="I7149" s="23" t="str">
        <f t="shared" si="334"/>
        <v xml:space="preserve">COM VALOR</v>
      </c>
      <c r="J7149" s="19"/>
      <c r="L7149" s="21">
        <v>50.93</v>
      </c>
      <c r="M7149" s="22">
        <v>0</v>
      </c>
      <c r="N7149" s="21">
        <v>47.119999999999997</v>
      </c>
      <c r="O7149" s="22">
        <v>0</v>
      </c>
    </row>
    <row r="7150" ht="25.5">
      <c r="A7150" t="s">
        <v>7085</v>
      </c>
      <c r="B7150" s="19">
        <v>95359</v>
      </c>
      <c r="C7150" s="20" t="s">
        <v>7259</v>
      </c>
      <c r="D7150" s="19" t="s">
        <v>2032</v>
      </c>
      <c r="E7150" s="21">
        <f t="shared" si="332"/>
        <v>0.47999999999999998</v>
      </c>
      <c r="F7150" s="22">
        <v>0</v>
      </c>
      <c r="G7150" s="21">
        <f t="shared" si="333"/>
        <v>0.44</v>
      </c>
      <c r="H7150" s="22">
        <v>0</v>
      </c>
      <c r="I7150" s="23" t="str">
        <f t="shared" si="334"/>
        <v xml:space="preserve">COM VALOR</v>
      </c>
      <c r="J7150" s="19"/>
      <c r="L7150" s="21">
        <v>0.47999999999999998</v>
      </c>
      <c r="M7150" s="22">
        <v>0</v>
      </c>
      <c r="N7150" s="21">
        <v>0.44</v>
      </c>
      <c r="O7150" s="22">
        <v>0</v>
      </c>
    </row>
    <row r="7151" ht="25.5">
      <c r="A7151" t="s">
        <v>7085</v>
      </c>
      <c r="B7151" s="19">
        <v>101345</v>
      </c>
      <c r="C7151" s="20" t="s">
        <v>7260</v>
      </c>
      <c r="D7151" s="19" t="s">
        <v>7087</v>
      </c>
      <c r="E7151" s="21">
        <f t="shared" si="332"/>
        <v>63.399999999999999</v>
      </c>
      <c r="F7151" s="22"/>
      <c r="G7151" s="21">
        <f t="shared" si="333"/>
        <v>58.649999999999999</v>
      </c>
      <c r="H7151" s="22"/>
      <c r="I7151" s="23" t="str">
        <f t="shared" si="334"/>
        <v xml:space="preserve">COM VALOR</v>
      </c>
      <c r="J7151" s="19"/>
      <c r="L7151" s="21">
        <v>63.399999999999999</v>
      </c>
      <c r="M7151" s="22">
        <v>0</v>
      </c>
      <c r="N7151" s="21">
        <v>58.649999999999999</v>
      </c>
      <c r="O7151" s="22">
        <v>0</v>
      </c>
    </row>
    <row r="7152" ht="25.5">
      <c r="A7152" t="s">
        <v>7085</v>
      </c>
      <c r="B7152" s="19">
        <v>101346</v>
      </c>
      <c r="C7152" s="20" t="s">
        <v>7261</v>
      </c>
      <c r="D7152" s="19" t="s">
        <v>7087</v>
      </c>
      <c r="E7152" s="21">
        <f t="shared" si="332"/>
        <v>31.34</v>
      </c>
      <c r="F7152" s="22"/>
      <c r="G7152" s="21">
        <f t="shared" si="333"/>
        <v>28.989999999999998</v>
      </c>
      <c r="H7152" s="22"/>
      <c r="I7152" s="23" t="str">
        <f t="shared" si="334"/>
        <v xml:space="preserve">COM VALOR</v>
      </c>
      <c r="J7152" s="19"/>
      <c r="L7152" s="21">
        <v>31.34</v>
      </c>
      <c r="M7152" s="22">
        <v>0</v>
      </c>
      <c r="N7152" s="21">
        <v>28.989999999999998</v>
      </c>
      <c r="O7152" s="22">
        <v>0</v>
      </c>
    </row>
    <row r="7153" ht="25.5">
      <c r="A7153" t="s">
        <v>7085</v>
      </c>
      <c r="B7153" s="19">
        <v>101347</v>
      </c>
      <c r="C7153" s="20" t="s">
        <v>7262</v>
      </c>
      <c r="D7153" s="19" t="s">
        <v>7087</v>
      </c>
      <c r="E7153" s="21">
        <f t="shared" si="332"/>
        <v>38.18</v>
      </c>
      <c r="F7153" s="22">
        <v>0</v>
      </c>
      <c r="G7153" s="21">
        <f t="shared" si="333"/>
        <v>35.329999999999998</v>
      </c>
      <c r="H7153" s="22">
        <v>0</v>
      </c>
      <c r="I7153" s="23" t="str">
        <f t="shared" si="334"/>
        <v xml:space="preserve">COM VALOR</v>
      </c>
      <c r="J7153" s="19"/>
      <c r="L7153" s="21">
        <v>38.18</v>
      </c>
      <c r="M7153" s="22">
        <v>0</v>
      </c>
      <c r="N7153" s="21">
        <v>35.329999999999998</v>
      </c>
      <c r="O7153" s="22">
        <v>0</v>
      </c>
    </row>
    <row r="7154" ht="25.5">
      <c r="A7154" t="s">
        <v>7085</v>
      </c>
      <c r="B7154" s="19">
        <v>95361</v>
      </c>
      <c r="C7154" s="20" t="s">
        <v>7263</v>
      </c>
      <c r="D7154" s="19" t="s">
        <v>2032</v>
      </c>
      <c r="E7154" s="21">
        <f t="shared" si="332"/>
        <v>0.17000000000000001</v>
      </c>
      <c r="F7154" s="22">
        <v>0</v>
      </c>
      <c r="G7154" s="21">
        <f t="shared" si="333"/>
        <v>0.16</v>
      </c>
      <c r="H7154" s="22">
        <v>0</v>
      </c>
      <c r="I7154" s="23" t="str">
        <f t="shared" si="334"/>
        <v xml:space="preserve">COM VALOR</v>
      </c>
      <c r="J7154" s="19"/>
      <c r="L7154" s="21">
        <v>0.17000000000000001</v>
      </c>
      <c r="M7154" s="22">
        <v>0</v>
      </c>
      <c r="N7154" s="21">
        <v>0.16</v>
      </c>
      <c r="O7154" s="22">
        <v>0</v>
      </c>
    </row>
    <row r="7155" ht="25.5">
      <c r="A7155" t="s">
        <v>7085</v>
      </c>
      <c r="B7155" s="19">
        <v>101348</v>
      </c>
      <c r="C7155" s="20" t="s">
        <v>7264</v>
      </c>
      <c r="D7155" s="19" t="s">
        <v>7087</v>
      </c>
      <c r="E7155" s="21">
        <f t="shared" si="332"/>
        <v>23.16</v>
      </c>
      <c r="F7155" s="22"/>
      <c r="G7155" s="21">
        <f t="shared" si="333"/>
        <v>21.43</v>
      </c>
      <c r="H7155" s="22"/>
      <c r="I7155" s="23" t="str">
        <f t="shared" si="334"/>
        <v xml:space="preserve">COM VALOR</v>
      </c>
      <c r="J7155" s="19"/>
      <c r="L7155" s="21">
        <v>23.16</v>
      </c>
      <c r="M7155" s="22">
        <v>0</v>
      </c>
      <c r="N7155" s="21">
        <v>21.43</v>
      </c>
      <c r="O7155" s="22">
        <v>0</v>
      </c>
    </row>
    <row r="7156" ht="25.5">
      <c r="A7156" t="s">
        <v>7085</v>
      </c>
      <c r="B7156" s="19">
        <v>101349</v>
      </c>
      <c r="C7156" s="20" t="s">
        <v>7265</v>
      </c>
      <c r="D7156" s="19" t="s">
        <v>7087</v>
      </c>
      <c r="E7156" s="21">
        <f t="shared" si="332"/>
        <v>40.390000000000001</v>
      </c>
      <c r="F7156" s="22">
        <v>0</v>
      </c>
      <c r="G7156" s="21">
        <f t="shared" si="333"/>
        <v>37.369999999999997</v>
      </c>
      <c r="H7156" s="22">
        <v>0</v>
      </c>
      <c r="I7156" s="23" t="str">
        <f t="shared" si="334"/>
        <v xml:space="preserve">COM VALOR</v>
      </c>
      <c r="J7156" s="19"/>
      <c r="L7156" s="21">
        <v>40.390000000000001</v>
      </c>
      <c r="M7156" s="22">
        <v>0</v>
      </c>
      <c r="N7156" s="21">
        <v>37.369999999999997</v>
      </c>
      <c r="O7156" s="22">
        <v>0</v>
      </c>
    </row>
    <row r="7157" ht="25.5">
      <c r="A7157" t="s">
        <v>7085</v>
      </c>
      <c r="B7157" s="19">
        <v>95362</v>
      </c>
      <c r="C7157" s="20" t="s">
        <v>7266</v>
      </c>
      <c r="D7157" s="19" t="s">
        <v>2032</v>
      </c>
      <c r="E7157" s="21">
        <f t="shared" si="332"/>
        <v>0.29999999999999999</v>
      </c>
      <c r="F7157" s="22">
        <v>0</v>
      </c>
      <c r="G7157" s="21">
        <f t="shared" si="333"/>
        <v>0.28000000000000003</v>
      </c>
      <c r="H7157" s="22">
        <v>0</v>
      </c>
      <c r="I7157" s="23" t="str">
        <f t="shared" si="334"/>
        <v xml:space="preserve">COM VALOR</v>
      </c>
      <c r="J7157" s="19"/>
      <c r="L7157" s="21">
        <v>0.29999999999999999</v>
      </c>
      <c r="M7157" s="22">
        <v>0</v>
      </c>
      <c r="N7157" s="21">
        <v>0.28000000000000003</v>
      </c>
      <c r="O7157" s="22">
        <v>0</v>
      </c>
    </row>
    <row r="7158" ht="25.5">
      <c r="A7158" t="s">
        <v>7085</v>
      </c>
      <c r="B7158" s="19">
        <v>95363</v>
      </c>
      <c r="C7158" s="20" t="s">
        <v>7267</v>
      </c>
      <c r="D7158" s="19" t="s">
        <v>2032</v>
      </c>
      <c r="E7158" s="21">
        <f t="shared" si="332"/>
        <v>0.29999999999999999</v>
      </c>
      <c r="F7158" s="22">
        <v>0</v>
      </c>
      <c r="G7158" s="21">
        <f t="shared" si="333"/>
        <v>0.28000000000000003</v>
      </c>
      <c r="H7158" s="22">
        <v>0</v>
      </c>
      <c r="I7158" s="23" t="str">
        <f t="shared" si="334"/>
        <v xml:space="preserve">COM VALOR</v>
      </c>
      <c r="J7158" s="19"/>
      <c r="L7158" s="21">
        <v>0.29999999999999999</v>
      </c>
      <c r="M7158" s="22">
        <v>0</v>
      </c>
      <c r="N7158" s="21">
        <v>0.28000000000000003</v>
      </c>
      <c r="O7158" s="22">
        <v>0</v>
      </c>
    </row>
    <row r="7159" ht="25.5">
      <c r="A7159" t="s">
        <v>7085</v>
      </c>
      <c r="B7159" s="19">
        <v>101350</v>
      </c>
      <c r="C7159" s="20" t="s">
        <v>7268</v>
      </c>
      <c r="D7159" s="19" t="s">
        <v>7087</v>
      </c>
      <c r="E7159" s="21">
        <f t="shared" si="332"/>
        <v>40.390000000000001</v>
      </c>
      <c r="F7159" s="22">
        <v>0</v>
      </c>
      <c r="G7159" s="21">
        <f t="shared" si="333"/>
        <v>37.369999999999997</v>
      </c>
      <c r="H7159" s="22">
        <v>0</v>
      </c>
      <c r="I7159" s="23" t="str">
        <f t="shared" si="334"/>
        <v xml:space="preserve">COM VALOR</v>
      </c>
      <c r="J7159" s="19"/>
      <c r="L7159" s="21">
        <v>40.390000000000001</v>
      </c>
      <c r="M7159" s="22">
        <v>0</v>
      </c>
      <c r="N7159" s="21">
        <v>37.369999999999997</v>
      </c>
      <c r="O7159" s="22">
        <v>0</v>
      </c>
    </row>
    <row r="7160" ht="25.5">
      <c r="A7160" t="s">
        <v>7085</v>
      </c>
      <c r="B7160" s="19">
        <v>95360</v>
      </c>
      <c r="C7160" s="20" t="s">
        <v>7269</v>
      </c>
      <c r="D7160" s="19" t="s">
        <v>2032</v>
      </c>
      <c r="E7160" s="21">
        <f t="shared" si="332"/>
        <v>0.28000000000000003</v>
      </c>
      <c r="F7160" s="22">
        <v>0</v>
      </c>
      <c r="G7160" s="21">
        <f t="shared" si="333"/>
        <v>0.26000000000000001</v>
      </c>
      <c r="H7160" s="22">
        <v>0</v>
      </c>
      <c r="I7160" s="23" t="str">
        <f t="shared" si="334"/>
        <v xml:space="preserve">COM VALOR</v>
      </c>
      <c r="J7160" s="19"/>
      <c r="L7160" s="21">
        <v>0.28000000000000003</v>
      </c>
      <c r="M7160" s="22">
        <v>0</v>
      </c>
      <c r="N7160" s="21">
        <v>0.26000000000000001</v>
      </c>
      <c r="O7160" s="22">
        <v>0</v>
      </c>
    </row>
    <row r="7161" ht="25.5">
      <c r="A7161" t="s">
        <v>7085</v>
      </c>
      <c r="B7161" s="19">
        <v>101351</v>
      </c>
      <c r="C7161" s="20" t="s">
        <v>7270</v>
      </c>
      <c r="D7161" s="19" t="s">
        <v>7087</v>
      </c>
      <c r="E7161" s="21">
        <f t="shared" si="332"/>
        <v>27.43</v>
      </c>
      <c r="F7161" s="22">
        <v>0</v>
      </c>
      <c r="G7161" s="21">
        <f t="shared" si="333"/>
        <v>25.379999999999999</v>
      </c>
      <c r="H7161" s="22">
        <v>0</v>
      </c>
      <c r="I7161" s="23" t="str">
        <f t="shared" si="334"/>
        <v xml:space="preserve">COM VALOR</v>
      </c>
      <c r="J7161" s="19"/>
      <c r="L7161" s="21">
        <v>27.43</v>
      </c>
      <c r="M7161" s="22">
        <v>0</v>
      </c>
      <c r="N7161" s="21">
        <v>25.379999999999999</v>
      </c>
      <c r="O7161" s="22">
        <v>0</v>
      </c>
    </row>
    <row r="7162" ht="25.5">
      <c r="A7162" t="s">
        <v>7085</v>
      </c>
      <c r="B7162" s="19">
        <v>95365</v>
      </c>
      <c r="C7162" s="20" t="s">
        <v>7271</v>
      </c>
      <c r="D7162" s="19" t="s">
        <v>2032</v>
      </c>
      <c r="E7162" s="21">
        <f t="shared" si="332"/>
        <v>0.20000000000000001</v>
      </c>
      <c r="F7162" s="22"/>
      <c r="G7162" s="21">
        <f t="shared" si="333"/>
        <v>0.19</v>
      </c>
      <c r="H7162" s="22"/>
      <c r="I7162" s="23" t="str">
        <f t="shared" si="334"/>
        <v xml:space="preserve">COM VALOR</v>
      </c>
      <c r="J7162" s="19"/>
      <c r="L7162" s="21">
        <v>0.20000000000000001</v>
      </c>
      <c r="M7162" s="22">
        <v>0</v>
      </c>
      <c r="N7162" s="21">
        <v>0.19</v>
      </c>
      <c r="O7162" s="22">
        <v>0</v>
      </c>
    </row>
    <row r="7163" ht="25.5">
      <c r="A7163" t="s">
        <v>7085</v>
      </c>
      <c r="B7163" s="19">
        <v>101352</v>
      </c>
      <c r="C7163" s="20" t="s">
        <v>7272</v>
      </c>
      <c r="D7163" s="19" t="s">
        <v>7087</v>
      </c>
      <c r="E7163" s="21">
        <f t="shared" si="332"/>
        <v>27.43</v>
      </c>
      <c r="F7163" s="22">
        <v>0</v>
      </c>
      <c r="G7163" s="21">
        <f t="shared" si="333"/>
        <v>25.379999999999999</v>
      </c>
      <c r="H7163" s="22">
        <v>0</v>
      </c>
      <c r="I7163" s="23" t="str">
        <f t="shared" si="334"/>
        <v xml:space="preserve">COM VALOR</v>
      </c>
      <c r="J7163" s="19"/>
      <c r="L7163" s="21">
        <v>27.43</v>
      </c>
      <c r="M7163" s="22">
        <v>0</v>
      </c>
      <c r="N7163" s="21">
        <v>25.379999999999999</v>
      </c>
      <c r="O7163" s="22">
        <v>0</v>
      </c>
    </row>
    <row r="7164" ht="25.5">
      <c r="A7164" t="s">
        <v>7085</v>
      </c>
      <c r="B7164" s="19">
        <v>95364</v>
      </c>
      <c r="C7164" s="20" t="s">
        <v>7273</v>
      </c>
      <c r="D7164" s="19" t="s">
        <v>2032</v>
      </c>
      <c r="E7164" s="21">
        <f t="shared" si="332"/>
        <v>0.20000000000000001</v>
      </c>
      <c r="F7164" s="22">
        <v>0</v>
      </c>
      <c r="G7164" s="21">
        <f t="shared" si="333"/>
        <v>0.19</v>
      </c>
      <c r="H7164" s="22">
        <v>0</v>
      </c>
      <c r="I7164" s="23" t="str">
        <f t="shared" si="334"/>
        <v xml:space="preserve">COM VALOR</v>
      </c>
      <c r="J7164" s="19"/>
      <c r="L7164" s="21">
        <v>0.20000000000000001</v>
      </c>
      <c r="M7164" s="22">
        <v>0</v>
      </c>
      <c r="N7164" s="21">
        <v>0.19</v>
      </c>
      <c r="O7164" s="22">
        <v>0</v>
      </c>
    </row>
    <row r="7165" ht="25.5">
      <c r="A7165" t="s">
        <v>7085</v>
      </c>
      <c r="B7165" s="19">
        <v>95366</v>
      </c>
      <c r="C7165" s="20" t="s">
        <v>7274</v>
      </c>
      <c r="D7165" s="19" t="s">
        <v>2032</v>
      </c>
      <c r="E7165" s="21">
        <f t="shared" si="332"/>
        <v>0.17999999999999999</v>
      </c>
      <c r="F7165" s="22">
        <v>0</v>
      </c>
      <c r="G7165" s="21">
        <f t="shared" si="333"/>
        <v>0.17000000000000001</v>
      </c>
      <c r="H7165" s="22">
        <v>0</v>
      </c>
      <c r="I7165" s="23" t="str">
        <f t="shared" si="334"/>
        <v xml:space="preserve">COM VALOR</v>
      </c>
      <c r="J7165" s="19"/>
      <c r="L7165" s="21">
        <v>0.17999999999999999</v>
      </c>
      <c r="M7165" s="22">
        <v>0</v>
      </c>
      <c r="N7165" s="21">
        <v>0.17000000000000001</v>
      </c>
      <c r="O7165" s="22">
        <v>0</v>
      </c>
    </row>
    <row r="7166" ht="25.5">
      <c r="A7166" t="s">
        <v>7085</v>
      </c>
      <c r="B7166" s="19">
        <v>101353</v>
      </c>
      <c r="C7166" s="20" t="s">
        <v>7275</v>
      </c>
      <c r="D7166" s="19" t="s">
        <v>7087</v>
      </c>
      <c r="E7166" s="21">
        <f t="shared" si="332"/>
        <v>24.77</v>
      </c>
      <c r="F7166" s="22">
        <v>0</v>
      </c>
      <c r="G7166" s="21">
        <f t="shared" si="333"/>
        <v>22.920000000000002</v>
      </c>
      <c r="H7166" s="22">
        <v>0</v>
      </c>
      <c r="I7166" s="23" t="str">
        <f t="shared" si="334"/>
        <v xml:space="preserve">COM VALOR</v>
      </c>
      <c r="J7166" s="19"/>
      <c r="L7166" s="21">
        <v>24.77</v>
      </c>
      <c r="M7166" s="22">
        <v>0</v>
      </c>
      <c r="N7166" s="21">
        <v>22.920000000000002</v>
      </c>
      <c r="O7166" s="22">
        <v>0</v>
      </c>
    </row>
    <row r="7167" ht="25.5">
      <c r="A7167" t="s">
        <v>7085</v>
      </c>
      <c r="B7167" s="19">
        <v>95367</v>
      </c>
      <c r="C7167" s="20" t="s">
        <v>7276</v>
      </c>
      <c r="D7167" s="19" t="s">
        <v>2032</v>
      </c>
      <c r="E7167" s="21">
        <f t="shared" si="332"/>
        <v>0.29999999999999999</v>
      </c>
      <c r="F7167" s="22">
        <v>0</v>
      </c>
      <c r="G7167" s="21">
        <f t="shared" si="333"/>
        <v>0.28000000000000003</v>
      </c>
      <c r="H7167" s="22">
        <v>0</v>
      </c>
      <c r="I7167" s="23" t="str">
        <f t="shared" si="334"/>
        <v xml:space="preserve">COM VALOR</v>
      </c>
      <c r="J7167" s="19"/>
      <c r="L7167" s="21">
        <v>0.29999999999999999</v>
      </c>
      <c r="M7167" s="22">
        <v>0</v>
      </c>
      <c r="N7167" s="21">
        <v>0.28000000000000003</v>
      </c>
      <c r="O7167" s="22">
        <v>0</v>
      </c>
    </row>
    <row r="7168" ht="38.25">
      <c r="A7168" t="s">
        <v>7085</v>
      </c>
      <c r="B7168" s="19">
        <v>101355</v>
      </c>
      <c r="C7168" s="20" t="s">
        <v>7277</v>
      </c>
      <c r="D7168" s="19" t="s">
        <v>7087</v>
      </c>
      <c r="E7168" s="21">
        <f t="shared" si="332"/>
        <v>40.390000000000001</v>
      </c>
      <c r="F7168" s="22">
        <v>0</v>
      </c>
      <c r="G7168" s="21">
        <f t="shared" si="333"/>
        <v>37.369999999999997</v>
      </c>
      <c r="H7168" s="22">
        <v>0</v>
      </c>
      <c r="I7168" s="23" t="str">
        <f t="shared" si="334"/>
        <v xml:space="preserve">COM VALOR</v>
      </c>
      <c r="J7168" s="19"/>
      <c r="L7168" s="21">
        <v>40.390000000000001</v>
      </c>
      <c r="M7168" s="22">
        <v>0</v>
      </c>
      <c r="N7168" s="21">
        <v>37.369999999999997</v>
      </c>
      <c r="O7168" s="22">
        <v>0</v>
      </c>
    </row>
    <row r="7169" ht="25.5">
      <c r="A7169" t="s">
        <v>7085</v>
      </c>
      <c r="B7169" s="19">
        <v>95368</v>
      </c>
      <c r="C7169" s="20" t="s">
        <v>7278</v>
      </c>
      <c r="D7169" s="19" t="s">
        <v>2032</v>
      </c>
      <c r="E7169" s="21">
        <f t="shared" si="332"/>
        <v>0.23000000000000001</v>
      </c>
      <c r="F7169" s="22">
        <v>0</v>
      </c>
      <c r="G7169" s="21">
        <f t="shared" si="333"/>
        <v>0.20999999999999999</v>
      </c>
      <c r="H7169" s="22">
        <v>0</v>
      </c>
      <c r="I7169" s="23" t="str">
        <f t="shared" si="334"/>
        <v xml:space="preserve">COM VALOR</v>
      </c>
      <c r="J7169" s="19"/>
      <c r="L7169" s="21">
        <v>0.23000000000000001</v>
      </c>
      <c r="M7169" s="22">
        <v>0</v>
      </c>
      <c r="N7169" s="21">
        <v>0.20999999999999999</v>
      </c>
      <c r="O7169" s="22">
        <v>0</v>
      </c>
    </row>
    <row r="7170" ht="25.5">
      <c r="A7170" t="s">
        <v>7085</v>
      </c>
      <c r="B7170" s="19">
        <v>95369</v>
      </c>
      <c r="C7170" s="20" t="s">
        <v>7279</v>
      </c>
      <c r="D7170" s="19" t="s">
        <v>2032</v>
      </c>
      <c r="E7170" s="21">
        <f t="shared" si="332"/>
        <v>0.19</v>
      </c>
      <c r="F7170" s="22">
        <v>0</v>
      </c>
      <c r="G7170" s="21">
        <f t="shared" si="333"/>
        <v>0.17000000000000001</v>
      </c>
      <c r="H7170" s="22">
        <v>0</v>
      </c>
      <c r="I7170" s="23" t="str">
        <f t="shared" si="334"/>
        <v xml:space="preserve">COM VALOR</v>
      </c>
      <c r="J7170" s="19"/>
      <c r="L7170" s="21">
        <v>0.19</v>
      </c>
      <c r="M7170" s="22">
        <v>0</v>
      </c>
      <c r="N7170" s="21">
        <v>0.17000000000000001</v>
      </c>
      <c r="O7170" s="22">
        <v>0</v>
      </c>
    </row>
    <row r="7171" ht="25.5">
      <c r="A7171" t="s">
        <v>7085</v>
      </c>
      <c r="B7171" s="19">
        <v>95370</v>
      </c>
      <c r="C7171" s="20" t="s">
        <v>7280</v>
      </c>
      <c r="D7171" s="19" t="s">
        <v>2032</v>
      </c>
      <c r="E7171" s="21">
        <f t="shared" si="332"/>
        <v>0.31</v>
      </c>
      <c r="F7171" s="22">
        <v>0</v>
      </c>
      <c r="G7171" s="21">
        <f t="shared" si="333"/>
        <v>0.28999999999999998</v>
      </c>
      <c r="H7171" s="22">
        <v>0</v>
      </c>
      <c r="I7171" s="23" t="str">
        <f t="shared" si="334"/>
        <v xml:space="preserve">COM VALOR</v>
      </c>
      <c r="J7171" s="19"/>
      <c r="L7171" s="21">
        <v>0.31</v>
      </c>
      <c r="M7171" s="22">
        <v>0</v>
      </c>
      <c r="N7171" s="21">
        <v>0.28999999999999998</v>
      </c>
      <c r="O7171" s="22">
        <v>0</v>
      </c>
    </row>
    <row r="7172" ht="25.5">
      <c r="A7172" t="s">
        <v>7085</v>
      </c>
      <c r="B7172" s="19">
        <v>101356</v>
      </c>
      <c r="C7172" s="20" t="s">
        <v>7281</v>
      </c>
      <c r="D7172" s="19" t="s">
        <v>7087</v>
      </c>
      <c r="E7172" s="21">
        <f t="shared" si="332"/>
        <v>41.380000000000003</v>
      </c>
      <c r="F7172" s="22">
        <v>0</v>
      </c>
      <c r="G7172" s="21">
        <f t="shared" si="333"/>
        <v>38.289999999999999</v>
      </c>
      <c r="H7172" s="22">
        <v>0</v>
      </c>
      <c r="I7172" s="23" t="str">
        <f t="shared" si="334"/>
        <v xml:space="preserve">COM VALOR</v>
      </c>
      <c r="J7172" s="19"/>
      <c r="L7172" s="21">
        <v>41.380000000000003</v>
      </c>
      <c r="M7172" s="22">
        <v>0</v>
      </c>
      <c r="N7172" s="21">
        <v>38.289999999999999</v>
      </c>
      <c r="O7172" s="22">
        <v>0</v>
      </c>
    </row>
    <row r="7173" ht="25.5">
      <c r="A7173" t="s">
        <v>7085</v>
      </c>
      <c r="B7173" s="19">
        <v>95371</v>
      </c>
      <c r="C7173" s="20" t="s">
        <v>7282</v>
      </c>
      <c r="D7173" s="19" t="s">
        <v>2032</v>
      </c>
      <c r="E7173" s="21">
        <f t="shared" si="332"/>
        <v>0.45000000000000001</v>
      </c>
      <c r="F7173" s="22">
        <v>0</v>
      </c>
      <c r="G7173" s="21">
        <f t="shared" si="333"/>
        <v>0.40999999999999998</v>
      </c>
      <c r="H7173" s="22">
        <v>0</v>
      </c>
      <c r="I7173" s="23" t="str">
        <f t="shared" si="334"/>
        <v xml:space="preserve">COM VALOR</v>
      </c>
      <c r="J7173" s="19"/>
      <c r="L7173" s="21">
        <v>0.45000000000000001</v>
      </c>
      <c r="M7173" s="22">
        <v>0</v>
      </c>
      <c r="N7173" s="21">
        <v>0.40999999999999998</v>
      </c>
      <c r="O7173" s="22">
        <v>0</v>
      </c>
    </row>
    <row r="7174" ht="25.5">
      <c r="A7174" t="s">
        <v>7085</v>
      </c>
      <c r="B7174" s="19">
        <v>101357</v>
      </c>
      <c r="C7174" s="20" t="s">
        <v>7283</v>
      </c>
      <c r="D7174" s="19" t="s">
        <v>7087</v>
      </c>
      <c r="E7174" s="21">
        <f t="shared" si="332"/>
        <v>59.43</v>
      </c>
      <c r="F7174" s="22">
        <v>0.82999999999999996</v>
      </c>
      <c r="G7174" s="21">
        <f t="shared" si="333"/>
        <v>54.990000000000002</v>
      </c>
      <c r="H7174" s="22">
        <v>0.83999999999999997</v>
      </c>
      <c r="I7174" s="23" t="str">
        <f t="shared" si="334"/>
        <v xml:space="preserve">COM VALOR</v>
      </c>
      <c r="J7174" s="19"/>
      <c r="L7174" s="21">
        <v>59.43</v>
      </c>
      <c r="M7174" s="22">
        <v>0</v>
      </c>
      <c r="N7174" s="21">
        <v>54.990000000000002</v>
      </c>
      <c r="O7174" s="22">
        <v>0</v>
      </c>
    </row>
    <row r="7175" ht="25.5">
      <c r="A7175" t="s">
        <v>7085</v>
      </c>
      <c r="B7175" s="19">
        <v>95372</v>
      </c>
      <c r="C7175" s="20" t="s">
        <v>7284</v>
      </c>
      <c r="D7175" s="19" t="s">
        <v>2032</v>
      </c>
      <c r="E7175" s="21">
        <f t="shared" si="332"/>
        <v>0.31</v>
      </c>
      <c r="F7175" s="22">
        <v>0.66000000000000003</v>
      </c>
      <c r="G7175" s="21">
        <f t="shared" si="333"/>
        <v>0.28999999999999998</v>
      </c>
      <c r="H7175" s="22">
        <v>0.67000000000000004</v>
      </c>
      <c r="I7175" s="23" t="str">
        <f t="shared" si="334"/>
        <v xml:space="preserve">COM VALOR</v>
      </c>
      <c r="J7175" s="19"/>
      <c r="L7175" s="21">
        <v>0.31</v>
      </c>
      <c r="M7175" s="22">
        <v>0</v>
      </c>
      <c r="N7175" s="21">
        <v>0.28999999999999998</v>
      </c>
      <c r="O7175" s="22">
        <v>0</v>
      </c>
    </row>
    <row r="7176" ht="25.5">
      <c r="A7176" t="s">
        <v>7085</v>
      </c>
      <c r="B7176" s="19">
        <v>101358</v>
      </c>
      <c r="C7176" s="20" t="s">
        <v>7285</v>
      </c>
      <c r="D7176" s="19" t="s">
        <v>7087</v>
      </c>
      <c r="E7176" s="21">
        <f t="shared" si="332"/>
        <v>41.380000000000003</v>
      </c>
      <c r="F7176" s="22">
        <v>0.68999999999999995</v>
      </c>
      <c r="G7176" s="21">
        <f t="shared" si="333"/>
        <v>38.289999999999999</v>
      </c>
      <c r="H7176" s="22">
        <v>0.69999999999999996</v>
      </c>
      <c r="I7176" s="23" t="str">
        <f t="shared" si="334"/>
        <v xml:space="preserve">COM VALOR</v>
      </c>
      <c r="J7176" s="19"/>
      <c r="L7176" s="21">
        <v>41.380000000000003</v>
      </c>
      <c r="M7176" s="22">
        <v>0</v>
      </c>
      <c r="N7176" s="21">
        <v>38.289999999999999</v>
      </c>
      <c r="O7176" s="22">
        <v>0</v>
      </c>
    </row>
    <row r="7177" ht="25.5">
      <c r="A7177" t="s">
        <v>7085</v>
      </c>
      <c r="B7177" s="19">
        <v>95373</v>
      </c>
      <c r="C7177" s="20" t="s">
        <v>7286</v>
      </c>
      <c r="D7177" s="19" t="s">
        <v>2032</v>
      </c>
      <c r="E7177" s="21">
        <f t="shared" si="332"/>
        <v>0.29999999999999999</v>
      </c>
      <c r="F7177" s="22">
        <v>0.84999999999999998</v>
      </c>
      <c r="G7177" s="21">
        <f t="shared" si="333"/>
        <v>0.28000000000000003</v>
      </c>
      <c r="H7177" s="22">
        <v>0.84999999999999998</v>
      </c>
      <c r="I7177" s="23" t="str">
        <f t="shared" si="334"/>
        <v xml:space="preserve">COM VALOR</v>
      </c>
      <c r="J7177" s="19"/>
      <c r="L7177" s="21">
        <v>0.29999999999999999</v>
      </c>
      <c r="M7177" s="22">
        <v>0</v>
      </c>
      <c r="N7177" s="21">
        <v>0.28000000000000003</v>
      </c>
      <c r="O7177" s="22">
        <v>0</v>
      </c>
    </row>
    <row r="7178" ht="25.5">
      <c r="A7178" t="s">
        <v>7085</v>
      </c>
      <c r="B7178" s="19">
        <v>101359</v>
      </c>
      <c r="C7178" s="20" t="s">
        <v>7287</v>
      </c>
      <c r="D7178" s="19" t="s">
        <v>7087</v>
      </c>
      <c r="E7178" s="21">
        <f t="shared" si="332"/>
        <v>40.18</v>
      </c>
      <c r="F7178" s="22">
        <v>0.56999999999999995</v>
      </c>
      <c r="G7178" s="21">
        <f t="shared" si="333"/>
        <v>37.18</v>
      </c>
      <c r="H7178" s="22">
        <v>0.56999999999999995</v>
      </c>
      <c r="I7178" s="23" t="str">
        <f t="shared" si="334"/>
        <v xml:space="preserve">COM VALOR</v>
      </c>
      <c r="J7178" s="19"/>
      <c r="L7178" s="21">
        <v>40.18</v>
      </c>
      <c r="M7178" s="22">
        <v>0</v>
      </c>
      <c r="N7178" s="21">
        <v>37.18</v>
      </c>
      <c r="O7178" s="22">
        <v>0</v>
      </c>
    </row>
    <row r="7179" ht="25.5">
      <c r="A7179" t="s">
        <v>7085</v>
      </c>
      <c r="B7179" s="19">
        <v>101360</v>
      </c>
      <c r="C7179" s="20" t="s">
        <v>7288</v>
      </c>
      <c r="D7179" s="19" t="s">
        <v>7087</v>
      </c>
      <c r="E7179" s="21">
        <f t="shared" ref="E7179:E7242" si="335">IF(L7179=0,"VERIFICAR",L7179)</f>
        <v>41.380000000000003</v>
      </c>
      <c r="F7179" s="22">
        <v>0.58999999999999997</v>
      </c>
      <c r="G7179" s="21">
        <f t="shared" ref="G7179:G7242" si="336">IF(N7179=0,"VERIFICAR",N7179)</f>
        <v>38.289999999999999</v>
      </c>
      <c r="H7179" s="22">
        <v>0.59999999999999998</v>
      </c>
      <c r="I7179" s="23" t="str">
        <f t="shared" ref="I7179:I7242" si="337">IF(OR(E7179=0,G7179=0),"SEM VALOR","COM VALOR")</f>
        <v xml:space="preserve">COM VALOR</v>
      </c>
      <c r="J7179" s="19"/>
      <c r="L7179" s="21">
        <v>41.380000000000003</v>
      </c>
      <c r="M7179" s="22">
        <v>0</v>
      </c>
      <c r="N7179" s="21">
        <v>38.289999999999999</v>
      </c>
      <c r="O7179" s="22">
        <v>0</v>
      </c>
    </row>
    <row r="7180" ht="25.5">
      <c r="A7180" t="s">
        <v>7085</v>
      </c>
      <c r="B7180" s="19">
        <v>95374</v>
      </c>
      <c r="C7180" s="20" t="s">
        <v>7289</v>
      </c>
      <c r="D7180" s="19" t="s">
        <v>2032</v>
      </c>
      <c r="E7180" s="21">
        <f t="shared" si="335"/>
        <v>0.31</v>
      </c>
      <c r="F7180" s="22">
        <v>0.60999999999999999</v>
      </c>
      <c r="G7180" s="21">
        <f t="shared" si="336"/>
        <v>0.28999999999999998</v>
      </c>
      <c r="H7180" s="22">
        <v>0.60999999999999999</v>
      </c>
      <c r="I7180" s="23" t="str">
        <f t="shared" si="337"/>
        <v xml:space="preserve">COM VALOR</v>
      </c>
      <c r="J7180" s="19"/>
      <c r="L7180" s="21">
        <v>0.31</v>
      </c>
      <c r="M7180" s="22">
        <v>0</v>
      </c>
      <c r="N7180" s="21">
        <v>0.28999999999999998</v>
      </c>
      <c r="O7180" s="22">
        <v>0</v>
      </c>
    </row>
    <row r="7181" ht="25.5">
      <c r="A7181" t="s">
        <v>7085</v>
      </c>
      <c r="B7181" s="19">
        <v>95375</v>
      </c>
      <c r="C7181" s="20" t="s">
        <v>7290</v>
      </c>
      <c r="D7181" s="19" t="s">
        <v>2032</v>
      </c>
      <c r="E7181" s="21">
        <f t="shared" si="335"/>
        <v>0.48999999999999999</v>
      </c>
      <c r="F7181" s="22">
        <v>0.62</v>
      </c>
      <c r="G7181" s="21">
        <f t="shared" si="336"/>
        <v>0.45000000000000001</v>
      </c>
      <c r="H7181" s="22">
        <v>0.62</v>
      </c>
      <c r="I7181" s="23" t="str">
        <f t="shared" si="337"/>
        <v xml:space="preserve">COM VALOR</v>
      </c>
      <c r="J7181" s="19"/>
      <c r="L7181" s="21">
        <v>0.48999999999999999</v>
      </c>
      <c r="M7181" s="22">
        <v>0</v>
      </c>
      <c r="N7181" s="21">
        <v>0.45000000000000001</v>
      </c>
      <c r="O7181" s="22">
        <v>0</v>
      </c>
    </row>
    <row r="7182" ht="25.5">
      <c r="A7182" t="s">
        <v>7085</v>
      </c>
      <c r="B7182" s="19">
        <v>101361</v>
      </c>
      <c r="C7182" s="20" t="s">
        <v>7291</v>
      </c>
      <c r="D7182" s="19" t="s">
        <v>7087</v>
      </c>
      <c r="E7182" s="21">
        <f t="shared" si="335"/>
        <v>65.260000000000005</v>
      </c>
      <c r="F7182" s="22">
        <v>0.54000000000000004</v>
      </c>
      <c r="G7182" s="21">
        <f t="shared" si="336"/>
        <v>60.380000000000003</v>
      </c>
      <c r="H7182" s="22">
        <v>0.54000000000000004</v>
      </c>
      <c r="I7182" s="23" t="str">
        <f t="shared" si="337"/>
        <v xml:space="preserve">COM VALOR</v>
      </c>
      <c r="J7182" s="19"/>
      <c r="L7182" s="21">
        <v>65.260000000000005</v>
      </c>
      <c r="M7182" s="22">
        <v>0</v>
      </c>
      <c r="N7182" s="21">
        <v>60.380000000000003</v>
      </c>
      <c r="O7182" s="22">
        <v>0</v>
      </c>
    </row>
    <row r="7183" ht="25.5">
      <c r="A7183" t="s">
        <v>7085</v>
      </c>
      <c r="B7183" s="19">
        <v>95376</v>
      </c>
      <c r="C7183" s="20" t="s">
        <v>7292</v>
      </c>
      <c r="D7183" s="19" t="s">
        <v>2032</v>
      </c>
      <c r="E7183" s="21">
        <f t="shared" si="335"/>
        <v>8.9999999999999997e-002</v>
      </c>
      <c r="F7183" s="22">
        <v>0.56999999999999995</v>
      </c>
      <c r="G7183" s="21">
        <f t="shared" si="336"/>
        <v>8.9999999999999997e-002</v>
      </c>
      <c r="H7183" s="22">
        <v>0.57999999999999996</v>
      </c>
      <c r="I7183" s="23" t="str">
        <f t="shared" si="337"/>
        <v xml:space="preserve">COM VALOR</v>
      </c>
      <c r="J7183" s="19"/>
      <c r="L7183" s="21">
        <v>8.9999999999999997e-002</v>
      </c>
      <c r="M7183" s="22">
        <v>0</v>
      </c>
      <c r="N7183" s="21">
        <v>8.9999999999999997e-002</v>
      </c>
      <c r="O7183" s="22">
        <v>0</v>
      </c>
    </row>
    <row r="7184" ht="25.5">
      <c r="A7184" t="s">
        <v>7085</v>
      </c>
      <c r="B7184" s="19">
        <v>95377</v>
      </c>
      <c r="C7184" s="20" t="s">
        <v>7293</v>
      </c>
      <c r="D7184" s="19" t="s">
        <v>2032</v>
      </c>
      <c r="E7184" s="21">
        <f t="shared" si="335"/>
        <v>0.25</v>
      </c>
      <c r="F7184" s="22">
        <v>0.58999999999999997</v>
      </c>
      <c r="G7184" s="21">
        <f t="shared" si="336"/>
        <v>0.23000000000000001</v>
      </c>
      <c r="H7184" s="22">
        <v>0.58999999999999997</v>
      </c>
      <c r="I7184" s="23" t="str">
        <f t="shared" si="337"/>
        <v xml:space="preserve">COM VALOR</v>
      </c>
      <c r="J7184" s="19"/>
      <c r="L7184" s="21">
        <v>0.25</v>
      </c>
      <c r="M7184" s="22">
        <v>0</v>
      </c>
      <c r="N7184" s="21">
        <v>0.23000000000000001</v>
      </c>
      <c r="O7184" s="22">
        <v>0</v>
      </c>
    </row>
    <row r="7185" ht="25.5">
      <c r="A7185" t="s">
        <v>7085</v>
      </c>
      <c r="B7185" s="19">
        <v>101363</v>
      </c>
      <c r="C7185" s="20" t="s">
        <v>7294</v>
      </c>
      <c r="D7185" s="19" t="s">
        <v>7087</v>
      </c>
      <c r="E7185" s="21">
        <f t="shared" si="335"/>
        <v>33.109999999999999</v>
      </c>
      <c r="F7185" s="22">
        <v>0.59999999999999998</v>
      </c>
      <c r="G7185" s="21">
        <f t="shared" si="336"/>
        <v>30.629999999999999</v>
      </c>
      <c r="H7185" s="22">
        <v>0.60999999999999999</v>
      </c>
      <c r="I7185" s="23" t="str">
        <f t="shared" si="337"/>
        <v xml:space="preserve">COM VALOR</v>
      </c>
      <c r="J7185" s="19"/>
      <c r="L7185" s="21">
        <v>33.109999999999999</v>
      </c>
      <c r="M7185" s="22">
        <v>0</v>
      </c>
      <c r="N7185" s="21">
        <v>30.629999999999999</v>
      </c>
      <c r="O7185" s="22">
        <v>0</v>
      </c>
    </row>
    <row r="7186" ht="25.5">
      <c r="A7186" t="s">
        <v>7085</v>
      </c>
      <c r="B7186" s="19">
        <v>95378</v>
      </c>
      <c r="C7186" s="20" t="s">
        <v>7295</v>
      </c>
      <c r="D7186" s="19" t="s">
        <v>2032</v>
      </c>
      <c r="E7186" s="21">
        <f t="shared" si="335"/>
        <v>0.33000000000000002</v>
      </c>
      <c r="F7186" s="22">
        <v>0</v>
      </c>
      <c r="G7186" s="21">
        <f t="shared" si="336"/>
        <v>0.31</v>
      </c>
      <c r="H7186" s="22">
        <v>0</v>
      </c>
      <c r="I7186" s="23" t="str">
        <f t="shared" si="337"/>
        <v xml:space="preserve">COM VALOR</v>
      </c>
      <c r="J7186" s="19"/>
      <c r="L7186" s="21">
        <v>0.33000000000000002</v>
      </c>
      <c r="M7186" s="22">
        <v>0</v>
      </c>
      <c r="N7186" s="21">
        <v>0.31</v>
      </c>
      <c r="O7186" s="22">
        <v>0</v>
      </c>
    </row>
    <row r="7187" ht="25.5">
      <c r="A7187" t="s">
        <v>7085</v>
      </c>
      <c r="B7187" s="19">
        <v>101364</v>
      </c>
      <c r="C7187" s="20" t="s">
        <v>7296</v>
      </c>
      <c r="D7187" s="19" t="s">
        <v>7087</v>
      </c>
      <c r="E7187" s="21">
        <f t="shared" si="335"/>
        <v>44.420000000000002</v>
      </c>
      <c r="F7187" s="22">
        <v>0</v>
      </c>
      <c r="G7187" s="21">
        <f t="shared" si="336"/>
        <v>41.100000000000001</v>
      </c>
      <c r="H7187" s="22">
        <v>0</v>
      </c>
      <c r="I7187" s="23" t="str">
        <f t="shared" si="337"/>
        <v xml:space="preserve">COM VALOR</v>
      </c>
      <c r="J7187" s="19"/>
      <c r="L7187" s="21">
        <v>44.420000000000002</v>
      </c>
      <c r="M7187" s="22">
        <v>0</v>
      </c>
      <c r="N7187" s="21">
        <v>41.100000000000001</v>
      </c>
      <c r="O7187" s="22">
        <v>0</v>
      </c>
    </row>
    <row r="7188" ht="25.5">
      <c r="A7188" t="s">
        <v>7085</v>
      </c>
      <c r="B7188" s="19">
        <v>95379</v>
      </c>
      <c r="C7188" s="20" t="s">
        <v>7297</v>
      </c>
      <c r="D7188" s="19" t="s">
        <v>2032</v>
      </c>
      <c r="E7188" s="21">
        <f t="shared" si="335"/>
        <v>0.23999999999999999</v>
      </c>
      <c r="F7188" s="22">
        <v>0</v>
      </c>
      <c r="G7188" s="21">
        <f t="shared" si="336"/>
        <v>0.22</v>
      </c>
      <c r="H7188" s="22">
        <v>0</v>
      </c>
      <c r="I7188" s="23" t="str">
        <f t="shared" si="337"/>
        <v xml:space="preserve">COM VALOR</v>
      </c>
      <c r="J7188" s="19"/>
      <c r="L7188" s="21">
        <v>0.23999999999999999</v>
      </c>
      <c r="M7188" s="22">
        <v>0</v>
      </c>
      <c r="N7188" s="21">
        <v>0.22</v>
      </c>
      <c r="O7188" s="22">
        <v>0</v>
      </c>
    </row>
    <row r="7189" ht="25.5">
      <c r="A7189" t="s">
        <v>7085</v>
      </c>
      <c r="B7189" s="19">
        <v>101365</v>
      </c>
      <c r="C7189" s="20" t="s">
        <v>7298</v>
      </c>
      <c r="D7189" s="19" t="s">
        <v>7087</v>
      </c>
      <c r="E7189" s="21">
        <f t="shared" si="335"/>
        <v>32.340000000000003</v>
      </c>
      <c r="F7189" s="22">
        <v>0</v>
      </c>
      <c r="G7189" s="21">
        <f t="shared" si="336"/>
        <v>29.920000000000002</v>
      </c>
      <c r="H7189" s="22">
        <v>0</v>
      </c>
      <c r="I7189" s="23" t="str">
        <f t="shared" si="337"/>
        <v xml:space="preserve">COM VALOR</v>
      </c>
      <c r="J7189" s="19"/>
      <c r="L7189" s="21">
        <v>32.340000000000003</v>
      </c>
      <c r="M7189" s="22">
        <v>0</v>
      </c>
      <c r="N7189" s="21">
        <v>29.920000000000002</v>
      </c>
      <c r="O7189" s="22">
        <v>0</v>
      </c>
    </row>
    <row r="7190" ht="25.5">
      <c r="A7190" t="s">
        <v>7085</v>
      </c>
      <c r="B7190" s="19">
        <v>95380</v>
      </c>
      <c r="C7190" s="20" t="s">
        <v>7299</v>
      </c>
      <c r="D7190" s="19" t="s">
        <v>2032</v>
      </c>
      <c r="E7190" s="21">
        <f t="shared" si="335"/>
        <v>0.28000000000000003</v>
      </c>
      <c r="F7190" s="22">
        <v>0</v>
      </c>
      <c r="G7190" s="21">
        <f t="shared" si="336"/>
        <v>0.26000000000000001</v>
      </c>
      <c r="H7190" s="22">
        <v>0</v>
      </c>
      <c r="I7190" s="23" t="str">
        <f t="shared" si="337"/>
        <v xml:space="preserve">COM VALOR</v>
      </c>
      <c r="J7190" s="19"/>
      <c r="L7190" s="21">
        <v>0.28000000000000003</v>
      </c>
      <c r="M7190" s="22">
        <v>0</v>
      </c>
      <c r="N7190" s="21">
        <v>0.26000000000000001</v>
      </c>
      <c r="O7190" s="22">
        <v>0</v>
      </c>
    </row>
    <row r="7191" ht="25.5">
      <c r="A7191" t="s">
        <v>7085</v>
      </c>
      <c r="B7191" s="19">
        <v>101366</v>
      </c>
      <c r="C7191" s="20" t="s">
        <v>7300</v>
      </c>
      <c r="D7191" s="19" t="s">
        <v>7087</v>
      </c>
      <c r="E7191" s="21">
        <f t="shared" si="335"/>
        <v>38</v>
      </c>
      <c r="F7191" s="22">
        <v>0</v>
      </c>
      <c r="G7191" s="21">
        <f t="shared" si="336"/>
        <v>35.159999999999997</v>
      </c>
      <c r="H7191" s="22">
        <v>0</v>
      </c>
      <c r="I7191" s="23" t="str">
        <f t="shared" si="337"/>
        <v xml:space="preserve">COM VALOR</v>
      </c>
      <c r="J7191" s="19"/>
      <c r="L7191" s="21">
        <v>38</v>
      </c>
      <c r="M7191" s="22">
        <v>0</v>
      </c>
      <c r="N7191" s="21">
        <v>35.159999999999997</v>
      </c>
      <c r="O7191" s="22">
        <v>0</v>
      </c>
    </row>
    <row r="7192" ht="25.5">
      <c r="A7192" t="s">
        <v>7085</v>
      </c>
      <c r="B7192" s="19">
        <v>100535</v>
      </c>
      <c r="C7192" s="20" t="s">
        <v>7301</v>
      </c>
      <c r="D7192" s="19" t="s">
        <v>2032</v>
      </c>
      <c r="E7192" s="21">
        <f t="shared" si="335"/>
        <v>0.45000000000000001</v>
      </c>
      <c r="F7192" s="22">
        <v>0</v>
      </c>
      <c r="G7192" s="21">
        <f t="shared" si="336"/>
        <v>0.40999999999999998</v>
      </c>
      <c r="H7192" s="22">
        <v>0</v>
      </c>
      <c r="I7192" s="23" t="str">
        <f t="shared" si="337"/>
        <v xml:space="preserve">COM VALOR</v>
      </c>
      <c r="J7192" s="19"/>
      <c r="L7192" s="21">
        <v>0.45000000000000001</v>
      </c>
      <c r="M7192" s="22">
        <v>0</v>
      </c>
      <c r="N7192" s="21">
        <v>0.40999999999999998</v>
      </c>
      <c r="O7192" s="22">
        <v>0</v>
      </c>
    </row>
    <row r="7193" ht="25.5">
      <c r="A7193" t="s">
        <v>7085</v>
      </c>
      <c r="B7193" s="19">
        <v>100536</v>
      </c>
      <c r="C7193" s="20" t="s">
        <v>7302</v>
      </c>
      <c r="D7193" s="19" t="s">
        <v>7087</v>
      </c>
      <c r="E7193" s="21">
        <f t="shared" si="335"/>
        <v>59.479999999999997</v>
      </c>
      <c r="F7193" s="22">
        <v>0</v>
      </c>
      <c r="G7193" s="21">
        <f t="shared" si="336"/>
        <v>55.030000000000001</v>
      </c>
      <c r="H7193" s="22">
        <v>0</v>
      </c>
      <c r="I7193" s="23" t="str">
        <f t="shared" si="337"/>
        <v xml:space="preserve">COM VALOR</v>
      </c>
      <c r="J7193" s="19"/>
      <c r="L7193" s="21">
        <v>59.479999999999997</v>
      </c>
      <c r="M7193" s="22">
        <v>0</v>
      </c>
      <c r="N7193" s="21">
        <v>55.030000000000001</v>
      </c>
      <c r="O7193" s="22">
        <v>0</v>
      </c>
    </row>
    <row r="7194" ht="25.5">
      <c r="A7194" t="s">
        <v>7085</v>
      </c>
      <c r="B7194" s="19">
        <v>101368</v>
      </c>
      <c r="C7194" s="20" t="s">
        <v>7303</v>
      </c>
      <c r="D7194" s="19" t="s">
        <v>7087</v>
      </c>
      <c r="E7194" s="21">
        <f t="shared" si="335"/>
        <v>40.390000000000001</v>
      </c>
      <c r="F7194" s="22">
        <v>0</v>
      </c>
      <c r="G7194" s="21">
        <f t="shared" si="336"/>
        <v>37.369999999999997</v>
      </c>
      <c r="H7194" s="22">
        <v>0</v>
      </c>
      <c r="I7194" s="23" t="str">
        <f t="shared" si="337"/>
        <v xml:space="preserve">COM VALOR</v>
      </c>
      <c r="J7194" s="19"/>
      <c r="L7194" s="21">
        <v>40.390000000000001</v>
      </c>
      <c r="M7194" s="22">
        <v>0</v>
      </c>
      <c r="N7194" s="21">
        <v>37.369999999999997</v>
      </c>
      <c r="O7194" s="22">
        <v>0</v>
      </c>
    </row>
    <row r="7195" ht="25.5">
      <c r="A7195" t="s">
        <v>7085</v>
      </c>
      <c r="B7195" s="19">
        <v>101369</v>
      </c>
      <c r="C7195" s="20" t="s">
        <v>7304</v>
      </c>
      <c r="D7195" s="19" t="s">
        <v>7087</v>
      </c>
      <c r="E7195" s="21">
        <f t="shared" si="335"/>
        <v>75.120000000000005</v>
      </c>
      <c r="F7195" s="22">
        <v>0</v>
      </c>
      <c r="G7195" s="21">
        <f t="shared" si="336"/>
        <v>69.510000000000005</v>
      </c>
      <c r="H7195" s="22">
        <v>0</v>
      </c>
      <c r="I7195" s="23" t="str">
        <f t="shared" si="337"/>
        <v xml:space="preserve">COM VALOR</v>
      </c>
      <c r="J7195" s="19"/>
      <c r="L7195" s="21">
        <v>75.120000000000005</v>
      </c>
      <c r="M7195" s="22">
        <v>0</v>
      </c>
      <c r="N7195" s="21">
        <v>69.510000000000005</v>
      </c>
      <c r="O7195" s="22">
        <v>0</v>
      </c>
    </row>
    <row r="7196" ht="25.5">
      <c r="A7196" t="s">
        <v>7085</v>
      </c>
      <c r="B7196" s="19">
        <v>95385</v>
      </c>
      <c r="C7196" s="20" t="s">
        <v>7305</v>
      </c>
      <c r="D7196" s="19" t="s">
        <v>2032</v>
      </c>
      <c r="E7196" s="21">
        <f t="shared" si="335"/>
        <v>0.23999999999999999</v>
      </c>
      <c r="F7196" s="22">
        <v>0</v>
      </c>
      <c r="G7196" s="21">
        <f t="shared" si="336"/>
        <v>0.22</v>
      </c>
      <c r="H7196" s="22">
        <v>0</v>
      </c>
      <c r="I7196" s="23" t="str">
        <f t="shared" si="337"/>
        <v xml:space="preserve">COM VALOR</v>
      </c>
      <c r="J7196" s="19"/>
      <c r="L7196" s="21">
        <v>0.23999999999999999</v>
      </c>
      <c r="M7196" s="22">
        <v>0</v>
      </c>
      <c r="N7196" s="21">
        <v>0.22</v>
      </c>
      <c r="O7196" s="22">
        <v>0</v>
      </c>
    </row>
    <row r="7197" ht="25.5">
      <c r="A7197" t="s">
        <v>7085</v>
      </c>
      <c r="B7197" s="19">
        <v>101370</v>
      </c>
      <c r="C7197" s="20" t="s">
        <v>7306</v>
      </c>
      <c r="D7197" s="19" t="s">
        <v>7087</v>
      </c>
      <c r="E7197" s="21">
        <f t="shared" si="335"/>
        <v>31.949999999999999</v>
      </c>
      <c r="F7197" s="22">
        <v>0</v>
      </c>
      <c r="G7197" s="21">
        <f t="shared" si="336"/>
        <v>29.559999999999999</v>
      </c>
      <c r="H7197" s="22">
        <v>0</v>
      </c>
      <c r="I7197" s="23" t="str">
        <f t="shared" si="337"/>
        <v xml:space="preserve">COM VALOR</v>
      </c>
      <c r="J7197" s="19"/>
      <c r="L7197" s="21">
        <v>31.949999999999999</v>
      </c>
      <c r="M7197" s="22">
        <v>0</v>
      </c>
      <c r="N7197" s="21">
        <v>29.559999999999999</v>
      </c>
      <c r="O7197" s="22">
        <v>0</v>
      </c>
    </row>
    <row r="7198" ht="25.5">
      <c r="A7198" t="s">
        <v>7085</v>
      </c>
      <c r="B7198" s="19">
        <v>95406</v>
      </c>
      <c r="C7198" s="20" t="s">
        <v>7307</v>
      </c>
      <c r="D7198" s="19" t="s">
        <v>2032</v>
      </c>
      <c r="E7198" s="21">
        <f t="shared" si="335"/>
        <v>0.26000000000000001</v>
      </c>
      <c r="F7198" s="22">
        <v>0</v>
      </c>
      <c r="G7198" s="21">
        <f t="shared" si="336"/>
        <v>0.23999999999999999</v>
      </c>
      <c r="H7198" s="22">
        <v>0</v>
      </c>
      <c r="I7198" s="23" t="str">
        <f t="shared" si="337"/>
        <v xml:space="preserve">COM VALOR</v>
      </c>
      <c r="J7198" s="19"/>
      <c r="L7198" s="21">
        <v>0.26000000000000001</v>
      </c>
      <c r="M7198" s="22">
        <v>0</v>
      </c>
      <c r="N7198" s="21">
        <v>0.23999999999999999</v>
      </c>
      <c r="O7198" s="22">
        <v>0</v>
      </c>
    </row>
    <row r="7199" ht="25.5">
      <c r="A7199" t="s">
        <v>7085</v>
      </c>
      <c r="B7199" s="19">
        <v>95424</v>
      </c>
      <c r="C7199" s="20" t="s">
        <v>7308</v>
      </c>
      <c r="D7199" s="19" t="s">
        <v>7087</v>
      </c>
      <c r="E7199" s="21">
        <f t="shared" si="335"/>
        <v>34.799999999999997</v>
      </c>
      <c r="F7199" s="22">
        <v>0</v>
      </c>
      <c r="G7199" s="21">
        <f t="shared" si="336"/>
        <v>32.200000000000003</v>
      </c>
      <c r="H7199" s="22">
        <v>0</v>
      </c>
      <c r="I7199" s="23" t="str">
        <f t="shared" si="337"/>
        <v xml:space="preserve">COM VALOR</v>
      </c>
      <c r="J7199" s="19"/>
      <c r="L7199" s="21">
        <v>34.799999999999997</v>
      </c>
      <c r="M7199" s="22">
        <v>0</v>
      </c>
      <c r="N7199" s="21">
        <v>32.200000000000003</v>
      </c>
      <c r="O7199" s="22">
        <v>0</v>
      </c>
    </row>
    <row r="7200" ht="25.5">
      <c r="A7200" t="s">
        <v>7085</v>
      </c>
      <c r="B7200" s="19">
        <v>95386</v>
      </c>
      <c r="C7200" s="20" t="s">
        <v>7309</v>
      </c>
      <c r="D7200" s="19" t="s">
        <v>2032</v>
      </c>
      <c r="E7200" s="21">
        <f t="shared" si="335"/>
        <v>0.28000000000000003</v>
      </c>
      <c r="F7200" s="22">
        <v>0</v>
      </c>
      <c r="G7200" s="21">
        <f t="shared" si="336"/>
        <v>0.26000000000000001</v>
      </c>
      <c r="H7200" s="22">
        <v>0</v>
      </c>
      <c r="I7200" s="23" t="str">
        <f t="shared" si="337"/>
        <v xml:space="preserve">COM VALOR</v>
      </c>
      <c r="J7200" s="19"/>
      <c r="L7200" s="21">
        <v>0.28000000000000003</v>
      </c>
      <c r="M7200" s="22">
        <v>0</v>
      </c>
      <c r="N7200" s="21">
        <v>0.26000000000000001</v>
      </c>
      <c r="O7200" s="22">
        <v>0</v>
      </c>
    </row>
    <row r="7201" ht="25.5">
      <c r="A7201" t="s">
        <v>7085</v>
      </c>
      <c r="B7201" s="19">
        <v>95383</v>
      </c>
      <c r="C7201" s="20" t="s">
        <v>7310</v>
      </c>
      <c r="D7201" s="19" t="s">
        <v>2032</v>
      </c>
      <c r="E7201" s="21">
        <f t="shared" si="335"/>
        <v>0.29999999999999999</v>
      </c>
      <c r="F7201" s="22">
        <v>0</v>
      </c>
      <c r="G7201" s="21">
        <f t="shared" si="336"/>
        <v>0.28000000000000003</v>
      </c>
      <c r="H7201" s="22">
        <v>0</v>
      </c>
      <c r="I7201" s="23" t="str">
        <f t="shared" si="337"/>
        <v xml:space="preserve">COM VALOR</v>
      </c>
      <c r="J7201" s="19"/>
      <c r="L7201" s="21">
        <v>0.29999999999999999</v>
      </c>
      <c r="M7201" s="22">
        <v>0</v>
      </c>
      <c r="N7201" s="21">
        <v>0.28000000000000003</v>
      </c>
      <c r="O7201" s="22">
        <v>0</v>
      </c>
    </row>
    <row r="7202" ht="25.5">
      <c r="A7202" t="s">
        <v>7085</v>
      </c>
      <c r="B7202" s="19">
        <v>95384</v>
      </c>
      <c r="C7202" s="20" t="s">
        <v>7311</v>
      </c>
      <c r="D7202" s="19" t="s">
        <v>2032</v>
      </c>
      <c r="E7202" s="21">
        <f t="shared" si="335"/>
        <v>0.56000000000000005</v>
      </c>
      <c r="F7202" s="22">
        <v>0</v>
      </c>
      <c r="G7202" s="21">
        <f t="shared" si="336"/>
        <v>0.52000000000000002</v>
      </c>
      <c r="H7202" s="22">
        <v>0</v>
      </c>
      <c r="I7202" s="23" t="str">
        <f t="shared" si="337"/>
        <v xml:space="preserve">COM VALOR</v>
      </c>
      <c r="J7202" s="19"/>
      <c r="L7202" s="21">
        <v>0.56000000000000005</v>
      </c>
      <c r="M7202" s="22">
        <v>0</v>
      </c>
      <c r="N7202" s="21">
        <v>0.52000000000000002</v>
      </c>
      <c r="O7202" s="22">
        <v>0</v>
      </c>
    </row>
    <row r="7203" ht="25.5">
      <c r="A7203" t="s">
        <v>7085</v>
      </c>
      <c r="B7203" s="19">
        <v>100299</v>
      </c>
      <c r="C7203" s="20" t="s">
        <v>7312</v>
      </c>
      <c r="D7203" s="19" t="s">
        <v>2032</v>
      </c>
      <c r="E7203" s="21">
        <f t="shared" si="335"/>
        <v>0.63</v>
      </c>
      <c r="F7203" s="22">
        <v>0</v>
      </c>
      <c r="G7203" s="21">
        <f t="shared" si="336"/>
        <v>0.57999999999999996</v>
      </c>
      <c r="H7203" s="22">
        <v>0</v>
      </c>
      <c r="I7203" s="23" t="str">
        <f t="shared" si="337"/>
        <v xml:space="preserve">COM VALOR</v>
      </c>
      <c r="J7203" s="19"/>
      <c r="L7203" s="21">
        <v>0.63</v>
      </c>
      <c r="M7203" s="22">
        <v>0</v>
      </c>
      <c r="N7203" s="21">
        <v>0.57999999999999996</v>
      </c>
      <c r="O7203" s="22">
        <v>0</v>
      </c>
    </row>
    <row r="7204" ht="25.5">
      <c r="A7204" t="s">
        <v>7085</v>
      </c>
      <c r="B7204" s="19">
        <v>100315</v>
      </c>
      <c r="C7204" s="20" t="s">
        <v>7313</v>
      </c>
      <c r="D7204" s="19" t="s">
        <v>7087</v>
      </c>
      <c r="E7204" s="21">
        <f t="shared" si="335"/>
        <v>84.010000000000005</v>
      </c>
      <c r="F7204" s="22">
        <v>0</v>
      </c>
      <c r="G7204" s="21">
        <f t="shared" si="336"/>
        <v>77.719999999999999</v>
      </c>
      <c r="H7204" s="22">
        <v>0</v>
      </c>
      <c r="I7204" s="23" t="str">
        <f t="shared" si="337"/>
        <v xml:space="preserve">COM VALOR</v>
      </c>
      <c r="J7204" s="19"/>
      <c r="L7204" s="21">
        <v>84.010000000000005</v>
      </c>
      <c r="M7204" s="22">
        <v>0</v>
      </c>
      <c r="N7204" s="21">
        <v>77.719999999999999</v>
      </c>
      <c r="O7204" s="22">
        <v>0</v>
      </c>
    </row>
    <row r="7205" ht="25.5">
      <c r="A7205" t="s">
        <v>7085</v>
      </c>
      <c r="B7205" s="19">
        <v>95387</v>
      </c>
      <c r="C7205" s="20" t="s">
        <v>7314</v>
      </c>
      <c r="D7205" s="19" t="s">
        <v>2032</v>
      </c>
      <c r="E7205" s="21">
        <f t="shared" si="335"/>
        <v>0.27000000000000002</v>
      </c>
      <c r="F7205" s="22">
        <v>0</v>
      </c>
      <c r="G7205" s="21">
        <f t="shared" si="336"/>
        <v>0.25</v>
      </c>
      <c r="H7205" s="22">
        <v>0</v>
      </c>
      <c r="I7205" s="23" t="str">
        <f t="shared" si="337"/>
        <v xml:space="preserve">COM VALOR</v>
      </c>
      <c r="J7205" s="19"/>
      <c r="L7205" s="21">
        <v>0.27000000000000002</v>
      </c>
      <c r="M7205" s="22">
        <v>0</v>
      </c>
      <c r="N7205" s="21">
        <v>0.25</v>
      </c>
      <c r="O7205" s="22">
        <v>0</v>
      </c>
    </row>
    <row r="7206" ht="25.5">
      <c r="A7206" t="s">
        <v>7085</v>
      </c>
      <c r="B7206" s="19">
        <v>101371</v>
      </c>
      <c r="C7206" s="20" t="s">
        <v>7315</v>
      </c>
      <c r="D7206" s="19" t="s">
        <v>7087</v>
      </c>
      <c r="E7206" s="21">
        <f t="shared" si="335"/>
        <v>35.68</v>
      </c>
      <c r="F7206" s="22">
        <v>0</v>
      </c>
      <c r="G7206" s="21">
        <f t="shared" si="336"/>
        <v>33.009999999999998</v>
      </c>
      <c r="H7206" s="22">
        <v>0</v>
      </c>
      <c r="I7206" s="23" t="str">
        <f t="shared" si="337"/>
        <v xml:space="preserve">COM VALOR</v>
      </c>
      <c r="J7206" s="19"/>
      <c r="L7206" s="21">
        <v>35.68</v>
      </c>
      <c r="M7206" s="22">
        <v>0</v>
      </c>
      <c r="N7206" s="21">
        <v>33.009999999999998</v>
      </c>
      <c r="O7206" s="22">
        <v>0</v>
      </c>
    </row>
    <row r="7207" ht="25.5">
      <c r="A7207" t="s">
        <v>7085</v>
      </c>
      <c r="B7207" s="19">
        <v>100288</v>
      </c>
      <c r="C7207" s="20" t="s">
        <v>7316</v>
      </c>
      <c r="D7207" s="19" t="s">
        <v>2032</v>
      </c>
      <c r="E7207" s="21">
        <f t="shared" si="335"/>
        <v>8.0000000000000002e-002</v>
      </c>
      <c r="F7207" s="22">
        <v>0</v>
      </c>
      <c r="G7207" s="21">
        <f t="shared" si="336"/>
        <v>7.0000000000000007e-002</v>
      </c>
      <c r="H7207" s="22">
        <v>0</v>
      </c>
      <c r="I7207" s="23" t="str">
        <f t="shared" si="337"/>
        <v xml:space="preserve">COM VALOR</v>
      </c>
      <c r="J7207" s="19"/>
      <c r="L7207" s="21">
        <v>8.0000000000000002e-002</v>
      </c>
      <c r="M7207" s="22">
        <v>0</v>
      </c>
      <c r="N7207" s="21">
        <v>7.0000000000000007e-002</v>
      </c>
      <c r="O7207" s="22">
        <v>0</v>
      </c>
    </row>
    <row r="7208" ht="25.5">
      <c r="A7208" t="s">
        <v>7085</v>
      </c>
      <c r="B7208" s="19">
        <v>101372</v>
      </c>
      <c r="C7208" s="20" t="s">
        <v>7317</v>
      </c>
      <c r="D7208" s="19" t="s">
        <v>7087</v>
      </c>
      <c r="E7208" s="21">
        <f t="shared" si="335"/>
        <v>10.65</v>
      </c>
      <c r="F7208" s="22">
        <v>0</v>
      </c>
      <c r="G7208" s="21">
        <f t="shared" si="336"/>
        <v>9.8499999999999996</v>
      </c>
      <c r="H7208" s="22">
        <v>0</v>
      </c>
      <c r="I7208" s="23" t="str">
        <f t="shared" si="337"/>
        <v xml:space="preserve">COM VALOR</v>
      </c>
      <c r="J7208" s="19"/>
      <c r="L7208" s="21">
        <v>10.65</v>
      </c>
      <c r="M7208" s="22">
        <v>0</v>
      </c>
      <c r="N7208" s="21">
        <v>9.8499999999999996</v>
      </c>
      <c r="O7208" s="22">
        <v>0</v>
      </c>
    </row>
    <row r="7209" ht="12.75">
      <c r="A7209" t="s">
        <v>7085</v>
      </c>
      <c r="B7209" s="19">
        <v>90775</v>
      </c>
      <c r="C7209" s="20" t="s">
        <v>7318</v>
      </c>
      <c r="D7209" s="19" t="s">
        <v>2032</v>
      </c>
      <c r="E7209" s="21">
        <f t="shared" si="335"/>
        <v>26.149999999999999</v>
      </c>
      <c r="F7209" s="22">
        <v>0</v>
      </c>
      <c r="G7209" s="21">
        <f t="shared" si="336"/>
        <v>24.59</v>
      </c>
      <c r="H7209" s="22">
        <v>0</v>
      </c>
      <c r="I7209" s="23" t="str">
        <f t="shared" si="337"/>
        <v xml:space="preserve">COM VALOR</v>
      </c>
      <c r="J7209" s="19"/>
      <c r="L7209" s="21">
        <v>26.149999999999999</v>
      </c>
      <c r="M7209" s="22">
        <v>0</v>
      </c>
      <c r="N7209" s="21">
        <v>24.59</v>
      </c>
      <c r="O7209" s="22">
        <v>0</v>
      </c>
    </row>
    <row r="7210" ht="12.75">
      <c r="A7210" t="s">
        <v>7085</v>
      </c>
      <c r="B7210" s="19">
        <v>93561</v>
      </c>
      <c r="C7210" s="20" t="s">
        <v>7318</v>
      </c>
      <c r="D7210" s="19" t="s">
        <v>7087</v>
      </c>
      <c r="E7210" s="21">
        <f t="shared" si="335"/>
        <v>4505.6599999999999</v>
      </c>
      <c r="F7210" s="22">
        <v>0</v>
      </c>
      <c r="G7210" s="21">
        <f t="shared" si="336"/>
        <v>4234.9399999999996</v>
      </c>
      <c r="H7210" s="22">
        <v>0</v>
      </c>
      <c r="I7210" s="23" t="str">
        <f t="shared" si="337"/>
        <v xml:space="preserve">COM VALOR</v>
      </c>
      <c r="J7210" s="19"/>
      <c r="L7210" s="21">
        <v>4505.6599999999999</v>
      </c>
      <c r="M7210" s="22">
        <v>0</v>
      </c>
      <c r="N7210" s="21">
        <v>4234.9399999999996</v>
      </c>
      <c r="O7210" s="22">
        <v>0</v>
      </c>
    </row>
    <row r="7211" ht="12.75">
      <c r="A7211" t="s">
        <v>7085</v>
      </c>
      <c r="B7211" s="19">
        <v>88264</v>
      </c>
      <c r="C7211" s="20" t="s">
        <v>7319</v>
      </c>
      <c r="D7211" s="19" t="s">
        <v>2032</v>
      </c>
      <c r="E7211" s="21">
        <f t="shared" si="335"/>
        <v>31.140000000000001</v>
      </c>
      <c r="F7211" s="22">
        <v>0</v>
      </c>
      <c r="G7211" s="21">
        <f t="shared" si="336"/>
        <v>29.32</v>
      </c>
      <c r="H7211" s="22">
        <v>0</v>
      </c>
      <c r="I7211" s="23" t="str">
        <f t="shared" si="337"/>
        <v xml:space="preserve">COM VALOR</v>
      </c>
      <c r="J7211" s="19"/>
      <c r="L7211" s="21">
        <v>31.140000000000001</v>
      </c>
      <c r="M7211" s="22">
        <v>0</v>
      </c>
      <c r="N7211" s="21">
        <v>29.32</v>
      </c>
      <c r="O7211" s="22">
        <v>0</v>
      </c>
    </row>
    <row r="7212" ht="12.75">
      <c r="A7212" t="s">
        <v>7085</v>
      </c>
      <c r="B7212" s="19">
        <v>101399</v>
      </c>
      <c r="C7212" s="20" t="s">
        <v>7319</v>
      </c>
      <c r="D7212" s="19" t="s">
        <v>7087</v>
      </c>
      <c r="E7212" s="21">
        <f t="shared" si="335"/>
        <v>5229.2299999999996</v>
      </c>
      <c r="F7212" s="22">
        <v>0</v>
      </c>
      <c r="G7212" s="21">
        <f t="shared" si="336"/>
        <v>4921</v>
      </c>
      <c r="H7212" s="22">
        <v>0</v>
      </c>
      <c r="I7212" s="23" t="str">
        <f t="shared" si="337"/>
        <v xml:space="preserve">COM VALOR</v>
      </c>
      <c r="J7212" s="19"/>
      <c r="L7212" s="21">
        <v>5229.2299999999996</v>
      </c>
      <c r="M7212" s="22">
        <v>0</v>
      </c>
      <c r="N7212" s="21">
        <v>4921</v>
      </c>
      <c r="O7212" s="22">
        <v>0</v>
      </c>
    </row>
    <row r="7213" ht="12.75">
      <c r="A7213" t="s">
        <v>7085</v>
      </c>
      <c r="B7213" s="19">
        <v>88266</v>
      </c>
      <c r="C7213" s="20" t="s">
        <v>7320</v>
      </c>
      <c r="D7213" s="19" t="s">
        <v>2032</v>
      </c>
      <c r="E7213" s="21">
        <f t="shared" si="335"/>
        <v>33.950000000000003</v>
      </c>
      <c r="F7213" s="22">
        <v>0.56999999999999995</v>
      </c>
      <c r="G7213" s="21">
        <f t="shared" si="336"/>
        <v>31.91</v>
      </c>
      <c r="H7213" s="22">
        <v>0.56999999999999995</v>
      </c>
      <c r="I7213" s="23" t="str">
        <f t="shared" si="337"/>
        <v xml:space="preserve">COM VALOR</v>
      </c>
      <c r="J7213" s="19"/>
      <c r="L7213" s="21">
        <v>33.950000000000003</v>
      </c>
      <c r="M7213" s="22">
        <v>0</v>
      </c>
      <c r="N7213" s="21">
        <v>31.91</v>
      </c>
      <c r="O7213" s="22">
        <v>0</v>
      </c>
    </row>
    <row r="7214" ht="12.75">
      <c r="A7214" t="s">
        <v>7085</v>
      </c>
      <c r="B7214" s="19">
        <v>101401</v>
      </c>
      <c r="C7214" s="20" t="s">
        <v>7320</v>
      </c>
      <c r="D7214" s="19" t="s">
        <v>7087</v>
      </c>
      <c r="E7214" s="21">
        <f t="shared" si="335"/>
        <v>5734.75</v>
      </c>
      <c r="F7214" s="22">
        <v>0</v>
      </c>
      <c r="G7214" s="21">
        <f t="shared" si="336"/>
        <v>5388.7200000000003</v>
      </c>
      <c r="H7214" s="22">
        <v>0</v>
      </c>
      <c r="I7214" s="23" t="str">
        <f t="shared" si="337"/>
        <v xml:space="preserve">COM VALOR</v>
      </c>
      <c r="J7214" s="19"/>
      <c r="L7214" s="21">
        <v>5734.75</v>
      </c>
      <c r="M7214" s="22">
        <v>0</v>
      </c>
      <c r="N7214" s="21">
        <v>5388.7200000000003</v>
      </c>
      <c r="O7214" s="22">
        <v>0</v>
      </c>
    </row>
    <row r="7215" ht="25.5">
      <c r="A7215" t="s">
        <v>7085</v>
      </c>
      <c r="B7215" s="19">
        <v>88267</v>
      </c>
      <c r="C7215" s="20" t="s">
        <v>7321</v>
      </c>
      <c r="D7215" s="19" t="s">
        <v>2032</v>
      </c>
      <c r="E7215" s="21">
        <f t="shared" si="335"/>
        <v>27.84</v>
      </c>
      <c r="F7215" s="22">
        <v>0</v>
      </c>
      <c r="G7215" s="21">
        <f t="shared" si="336"/>
        <v>26.219999999999999</v>
      </c>
      <c r="H7215" s="22">
        <v>0</v>
      </c>
      <c r="I7215" s="23" t="str">
        <f t="shared" si="337"/>
        <v xml:space="preserve">COM VALOR</v>
      </c>
      <c r="J7215" s="19"/>
      <c r="L7215" s="21">
        <v>27.84</v>
      </c>
      <c r="M7215" s="22">
        <v>0</v>
      </c>
      <c r="N7215" s="21">
        <v>26.219999999999999</v>
      </c>
      <c r="O7215" s="22">
        <v>0</v>
      </c>
    </row>
    <row r="7216" ht="25.5">
      <c r="A7216" t="s">
        <v>7085</v>
      </c>
      <c r="B7216" s="19">
        <v>101402</v>
      </c>
      <c r="C7216" s="20" t="s">
        <v>7321</v>
      </c>
      <c r="D7216" s="19" t="s">
        <v>7087</v>
      </c>
      <c r="E7216" s="21">
        <f t="shared" si="335"/>
        <v>4743.8800000000001</v>
      </c>
      <c r="F7216" s="22">
        <v>0</v>
      </c>
      <c r="G7216" s="21">
        <f t="shared" si="336"/>
        <v>4465.5699999999997</v>
      </c>
      <c r="H7216" s="22">
        <v>0</v>
      </c>
      <c r="I7216" s="23" t="str">
        <f t="shared" si="337"/>
        <v xml:space="preserve">COM VALOR</v>
      </c>
      <c r="J7216" s="19"/>
      <c r="L7216" s="21">
        <v>4743.8800000000001</v>
      </c>
      <c r="M7216" s="22">
        <v>0</v>
      </c>
      <c r="N7216" s="21">
        <v>4465.5699999999997</v>
      </c>
      <c r="O7216" s="22">
        <v>0</v>
      </c>
    </row>
    <row r="7217" ht="12.75">
      <c r="A7217" t="s">
        <v>7085</v>
      </c>
      <c r="B7217" s="19">
        <v>90776</v>
      </c>
      <c r="C7217" s="20" t="s">
        <v>7322</v>
      </c>
      <c r="D7217" s="19" t="s">
        <v>2032</v>
      </c>
      <c r="E7217" s="21">
        <f t="shared" si="335"/>
        <v>35.469999999999999</v>
      </c>
      <c r="F7217" s="22">
        <v>0</v>
      </c>
      <c r="G7217" s="21">
        <f t="shared" si="336"/>
        <v>33.259999999999998</v>
      </c>
      <c r="H7217" s="22">
        <v>0</v>
      </c>
      <c r="I7217" s="23" t="str">
        <f t="shared" si="337"/>
        <v xml:space="preserve">COM VALOR</v>
      </c>
      <c r="J7217" s="19"/>
      <c r="L7217" s="21">
        <v>35.469999999999999</v>
      </c>
      <c r="M7217" s="22">
        <v>0</v>
      </c>
      <c r="N7217" s="21">
        <v>33.259999999999998</v>
      </c>
      <c r="O7217" s="22">
        <v>0</v>
      </c>
    </row>
    <row r="7218" ht="12.75">
      <c r="A7218" t="s">
        <v>7085</v>
      </c>
      <c r="B7218" s="19">
        <v>93572</v>
      </c>
      <c r="C7218" s="20" t="s">
        <v>7323</v>
      </c>
      <c r="D7218" s="19" t="s">
        <v>7087</v>
      </c>
      <c r="E7218" s="21">
        <f t="shared" si="335"/>
        <v>6041.5100000000002</v>
      </c>
      <c r="F7218" s="22">
        <v>0</v>
      </c>
      <c r="G7218" s="21">
        <f t="shared" si="336"/>
        <v>5662.71</v>
      </c>
      <c r="H7218" s="22">
        <v>0</v>
      </c>
      <c r="I7218" s="23" t="str">
        <f t="shared" si="337"/>
        <v xml:space="preserve">COM VALOR</v>
      </c>
      <c r="J7218" s="19"/>
      <c r="L7218" s="21">
        <v>6041.5100000000002</v>
      </c>
      <c r="M7218" s="22">
        <v>0</v>
      </c>
      <c r="N7218" s="21">
        <v>5662.71</v>
      </c>
      <c r="O7218" s="22">
        <v>0</v>
      </c>
    </row>
    <row r="7219" ht="25.5">
      <c r="A7219" t="s">
        <v>7085</v>
      </c>
      <c r="B7219" s="19">
        <v>90777</v>
      </c>
      <c r="C7219" s="20" t="s">
        <v>7324</v>
      </c>
      <c r="D7219" s="19" t="s">
        <v>2032</v>
      </c>
      <c r="E7219" s="21">
        <f t="shared" si="335"/>
        <v>141.5</v>
      </c>
      <c r="F7219" s="22">
        <v>0</v>
      </c>
      <c r="G7219" s="21">
        <f t="shared" si="336"/>
        <v>131.24000000000001</v>
      </c>
      <c r="H7219" s="22">
        <v>0</v>
      </c>
      <c r="I7219" s="23" t="str">
        <f t="shared" si="337"/>
        <v xml:space="preserve">COM VALOR</v>
      </c>
      <c r="J7219" s="19"/>
      <c r="L7219" s="21">
        <v>141.5</v>
      </c>
      <c r="M7219" s="22">
        <v>0</v>
      </c>
      <c r="N7219" s="21">
        <v>131.24000000000001</v>
      </c>
      <c r="O7219" s="22">
        <v>0</v>
      </c>
    </row>
    <row r="7220" ht="25.5">
      <c r="A7220" t="s">
        <v>7085</v>
      </c>
      <c r="B7220" s="19">
        <v>93565</v>
      </c>
      <c r="C7220" s="20" t="s">
        <v>7324</v>
      </c>
      <c r="D7220" s="19" t="s">
        <v>7087</v>
      </c>
      <c r="E7220" s="21">
        <f t="shared" si="335"/>
        <v>24369.400000000001</v>
      </c>
      <c r="F7220" s="22">
        <v>0</v>
      </c>
      <c r="G7220" s="21">
        <f t="shared" si="336"/>
        <v>22601.599999999999</v>
      </c>
      <c r="H7220" s="22">
        <v>0</v>
      </c>
      <c r="I7220" s="23" t="str">
        <f t="shared" si="337"/>
        <v xml:space="preserve">COM VALOR</v>
      </c>
      <c r="J7220" s="19"/>
      <c r="L7220" s="21">
        <v>24369.400000000001</v>
      </c>
      <c r="M7220" s="22">
        <v>0</v>
      </c>
      <c r="N7220" s="21">
        <v>22601.599999999999</v>
      </c>
      <c r="O7220" s="22">
        <v>0</v>
      </c>
    </row>
    <row r="7221" ht="25.5">
      <c r="A7221" t="s">
        <v>7085</v>
      </c>
      <c r="B7221" s="19">
        <v>90778</v>
      </c>
      <c r="C7221" s="20" t="s">
        <v>7325</v>
      </c>
      <c r="D7221" s="19" t="s">
        <v>2032</v>
      </c>
      <c r="E7221" s="21">
        <f t="shared" si="335"/>
        <v>149.13999999999999</v>
      </c>
      <c r="F7221" s="22">
        <v>0</v>
      </c>
      <c r="G7221" s="21">
        <f t="shared" si="336"/>
        <v>138.30000000000001</v>
      </c>
      <c r="H7221" s="22">
        <v>0</v>
      </c>
      <c r="I7221" s="23" t="str">
        <f t="shared" si="337"/>
        <v xml:space="preserve">COM VALOR</v>
      </c>
      <c r="J7221" s="19"/>
      <c r="L7221" s="21">
        <v>149.13999999999999</v>
      </c>
      <c r="M7221" s="22">
        <v>0</v>
      </c>
      <c r="N7221" s="21">
        <v>138.30000000000001</v>
      </c>
      <c r="O7221" s="22">
        <v>0</v>
      </c>
    </row>
    <row r="7222" ht="25.5">
      <c r="A7222" t="s">
        <v>7085</v>
      </c>
      <c r="B7222" s="19">
        <v>93567</v>
      </c>
      <c r="C7222" s="20" t="s">
        <v>7325</v>
      </c>
      <c r="D7222" s="19" t="s">
        <v>7087</v>
      </c>
      <c r="E7222" s="21">
        <f t="shared" si="335"/>
        <v>25687.970000000001</v>
      </c>
      <c r="F7222" s="22">
        <v>0</v>
      </c>
      <c r="G7222" s="21">
        <f t="shared" si="336"/>
        <v>23821.57</v>
      </c>
      <c r="H7222" s="22">
        <v>0</v>
      </c>
      <c r="I7222" s="23" t="str">
        <f t="shared" si="337"/>
        <v xml:space="preserve">COM VALOR</v>
      </c>
      <c r="J7222" s="19"/>
      <c r="L7222" s="21">
        <v>25687.970000000001</v>
      </c>
      <c r="M7222" s="22">
        <v>0</v>
      </c>
      <c r="N7222" s="21">
        <v>23821.57</v>
      </c>
      <c r="O7222" s="22">
        <v>0</v>
      </c>
    </row>
    <row r="7223" ht="25.5">
      <c r="A7223" t="s">
        <v>7085</v>
      </c>
      <c r="B7223" s="19">
        <v>90779</v>
      </c>
      <c r="C7223" s="20" t="s">
        <v>7326</v>
      </c>
      <c r="D7223" s="19" t="s">
        <v>2032</v>
      </c>
      <c r="E7223" s="21">
        <f t="shared" si="335"/>
        <v>177.00999999999999</v>
      </c>
      <c r="F7223" s="22">
        <v>0</v>
      </c>
      <c r="G7223" s="21">
        <f t="shared" si="336"/>
        <v>164.09</v>
      </c>
      <c r="H7223" s="22">
        <v>0</v>
      </c>
      <c r="I7223" s="23" t="str">
        <f t="shared" si="337"/>
        <v xml:space="preserve">COM VALOR</v>
      </c>
      <c r="J7223" s="19"/>
      <c r="L7223" s="21">
        <v>177.00999999999999</v>
      </c>
      <c r="M7223" s="22">
        <v>0</v>
      </c>
      <c r="N7223" s="21">
        <v>164.09</v>
      </c>
      <c r="O7223" s="22">
        <v>0</v>
      </c>
    </row>
    <row r="7224" ht="25.5">
      <c r="A7224" t="s">
        <v>7085</v>
      </c>
      <c r="B7224" s="19">
        <v>93568</v>
      </c>
      <c r="C7224" s="20" t="s">
        <v>7326</v>
      </c>
      <c r="D7224" s="19" t="s">
        <v>7087</v>
      </c>
      <c r="E7224" s="21">
        <f t="shared" si="335"/>
        <v>30494.759999999998</v>
      </c>
      <c r="F7224" s="22">
        <v>0</v>
      </c>
      <c r="G7224" s="21">
        <f t="shared" si="336"/>
        <v>28268.91</v>
      </c>
      <c r="H7224" s="22">
        <v>0</v>
      </c>
      <c r="I7224" s="23" t="str">
        <f t="shared" si="337"/>
        <v xml:space="preserve">COM VALOR</v>
      </c>
      <c r="J7224" s="19"/>
      <c r="L7224" s="21">
        <v>30494.759999999998</v>
      </c>
      <c r="M7224" s="22">
        <v>0</v>
      </c>
      <c r="N7224" s="21">
        <v>28268.91</v>
      </c>
      <c r="O7224" s="22">
        <v>0</v>
      </c>
    </row>
    <row r="7225" ht="12.75">
      <c r="A7225" t="s">
        <v>7085</v>
      </c>
      <c r="B7225" s="19">
        <v>88269</v>
      </c>
      <c r="C7225" s="20" t="s">
        <v>7327</v>
      </c>
      <c r="D7225" s="19" t="s">
        <v>2032</v>
      </c>
      <c r="E7225" s="21">
        <f t="shared" si="335"/>
        <v>31.02</v>
      </c>
      <c r="F7225" s="22">
        <v>0</v>
      </c>
      <c r="G7225" s="21">
        <f t="shared" si="336"/>
        <v>29.210000000000001</v>
      </c>
      <c r="H7225" s="22">
        <v>0</v>
      </c>
      <c r="I7225" s="23" t="str">
        <f t="shared" si="337"/>
        <v xml:space="preserve">COM VALOR</v>
      </c>
      <c r="J7225" s="19"/>
      <c r="L7225" s="21">
        <v>31.02</v>
      </c>
      <c r="M7225" s="22">
        <v>0</v>
      </c>
      <c r="N7225" s="21">
        <v>29.210000000000001</v>
      </c>
      <c r="O7225" s="22">
        <v>0</v>
      </c>
    </row>
    <row r="7226" ht="12.75">
      <c r="A7226" t="s">
        <v>7085</v>
      </c>
      <c r="B7226" s="19">
        <v>101407</v>
      </c>
      <c r="C7226" s="20" t="s">
        <v>7327</v>
      </c>
      <c r="D7226" s="19" t="s">
        <v>7087</v>
      </c>
      <c r="E7226" s="21">
        <f t="shared" si="335"/>
        <v>5314.3599999999997</v>
      </c>
      <c r="F7226" s="22">
        <v>0</v>
      </c>
      <c r="G7226" s="21">
        <f t="shared" si="336"/>
        <v>5000.5799999999999</v>
      </c>
      <c r="H7226" s="22">
        <v>0</v>
      </c>
      <c r="I7226" s="23" t="str">
        <f t="shared" si="337"/>
        <v xml:space="preserve">COM VALOR</v>
      </c>
      <c r="J7226" s="19"/>
      <c r="L7226" s="21">
        <v>5314.3599999999997</v>
      </c>
      <c r="M7226" s="22">
        <v>0</v>
      </c>
      <c r="N7226" s="21">
        <v>5000.5799999999999</v>
      </c>
      <c r="O7226" s="22">
        <v>0</v>
      </c>
    </row>
    <row r="7227" ht="12.75">
      <c r="A7227" t="s">
        <v>7085</v>
      </c>
      <c r="B7227" s="19">
        <v>88270</v>
      </c>
      <c r="C7227" s="20" t="s">
        <v>7328</v>
      </c>
      <c r="D7227" s="19" t="s">
        <v>2032</v>
      </c>
      <c r="E7227" s="21">
        <f t="shared" si="335"/>
        <v>28.300000000000001</v>
      </c>
      <c r="F7227" s="22">
        <v>0</v>
      </c>
      <c r="G7227" s="21">
        <f t="shared" si="336"/>
        <v>26.690000000000001</v>
      </c>
      <c r="H7227" s="22">
        <v>0</v>
      </c>
      <c r="I7227" s="23" t="str">
        <f t="shared" si="337"/>
        <v xml:space="preserve">COM VALOR</v>
      </c>
      <c r="J7227" s="19"/>
      <c r="L7227" s="21">
        <v>28.300000000000001</v>
      </c>
      <c r="M7227" s="22">
        <v>0</v>
      </c>
      <c r="N7227" s="21">
        <v>26.690000000000001</v>
      </c>
      <c r="O7227" s="22">
        <v>0</v>
      </c>
    </row>
    <row r="7228" ht="12.75">
      <c r="A7228" t="s">
        <v>7085</v>
      </c>
      <c r="B7228" s="19">
        <v>101408</v>
      </c>
      <c r="C7228" s="20" t="s">
        <v>7328</v>
      </c>
      <c r="D7228" s="19" t="s">
        <v>7087</v>
      </c>
      <c r="E7228" s="21">
        <f t="shared" si="335"/>
        <v>4807.1999999999998</v>
      </c>
      <c r="F7228" s="22">
        <v>0</v>
      </c>
      <c r="G7228" s="21">
        <f t="shared" si="336"/>
        <v>4531.3400000000001</v>
      </c>
      <c r="H7228" s="22">
        <v>0</v>
      </c>
      <c r="I7228" s="23" t="str">
        <f t="shared" si="337"/>
        <v xml:space="preserve">COM VALOR</v>
      </c>
      <c r="J7228" s="19"/>
      <c r="L7228" s="21">
        <v>4807.1999999999998</v>
      </c>
      <c r="M7228" s="22">
        <v>0</v>
      </c>
      <c r="N7228" s="21">
        <v>4531.3400000000001</v>
      </c>
      <c r="O7228" s="22">
        <v>0</v>
      </c>
    </row>
    <row r="7229" ht="12.75">
      <c r="A7229" t="s">
        <v>7085</v>
      </c>
      <c r="B7229" s="19">
        <v>102919</v>
      </c>
      <c r="C7229" s="20" t="s">
        <v>7329</v>
      </c>
      <c r="D7229" s="19" t="s">
        <v>2032</v>
      </c>
      <c r="E7229" s="21" t="str">
        <f t="shared" si="335"/>
        <v>VERIFICAR</v>
      </c>
      <c r="F7229" s="22">
        <v>0</v>
      </c>
      <c r="G7229" s="21" t="str">
        <f t="shared" si="336"/>
        <v>VERIFICAR</v>
      </c>
      <c r="H7229" s="22">
        <v>0</v>
      </c>
      <c r="I7229" s="23" t="str">
        <f t="shared" si="337"/>
        <v xml:space="preserve">COM VALOR</v>
      </c>
      <c r="J7229" s="19"/>
      <c r="L7229" s="21">
        <v>0</v>
      </c>
      <c r="M7229" s="22"/>
      <c r="N7229" s="21">
        <v>0</v>
      </c>
      <c r="O7229" s="22"/>
    </row>
    <row r="7230" ht="12.75">
      <c r="A7230" t="s">
        <v>7085</v>
      </c>
      <c r="B7230" s="19">
        <v>101409</v>
      </c>
      <c r="C7230" s="20" t="s">
        <v>7330</v>
      </c>
      <c r="D7230" s="19" t="s">
        <v>7087</v>
      </c>
      <c r="E7230" s="21">
        <f t="shared" si="335"/>
        <v>4849.79</v>
      </c>
      <c r="F7230" s="22">
        <v>0</v>
      </c>
      <c r="G7230" s="21">
        <f t="shared" si="336"/>
        <v>4554.5200000000004</v>
      </c>
      <c r="H7230" s="22">
        <v>0</v>
      </c>
      <c r="I7230" s="23" t="str">
        <f t="shared" si="337"/>
        <v xml:space="preserve">COM VALOR</v>
      </c>
      <c r="J7230" s="19"/>
      <c r="L7230" s="21">
        <v>4849.79</v>
      </c>
      <c r="M7230" s="22">
        <v>0</v>
      </c>
      <c r="N7230" s="21">
        <v>4554.5200000000004</v>
      </c>
      <c r="O7230" s="22">
        <v>0</v>
      </c>
    </row>
    <row r="7231" ht="12.75">
      <c r="A7231" t="s">
        <v>7085</v>
      </c>
      <c r="B7231" s="19">
        <v>88441</v>
      </c>
      <c r="C7231" s="20" t="s">
        <v>7331</v>
      </c>
      <c r="D7231" s="19" t="s">
        <v>2032</v>
      </c>
      <c r="E7231" s="21">
        <f t="shared" si="335"/>
        <v>27.199999999999999</v>
      </c>
      <c r="F7231" s="22">
        <v>0</v>
      </c>
      <c r="G7231" s="21">
        <f t="shared" si="336"/>
        <v>25.670000000000002</v>
      </c>
      <c r="H7231" s="22">
        <v>0</v>
      </c>
      <c r="I7231" s="23" t="str">
        <f t="shared" si="337"/>
        <v xml:space="preserve">COM VALOR</v>
      </c>
      <c r="J7231" s="19"/>
      <c r="L7231" s="21">
        <v>27.199999999999999</v>
      </c>
      <c r="M7231" s="22">
        <v>0</v>
      </c>
      <c r="N7231" s="21">
        <v>25.670000000000002</v>
      </c>
      <c r="O7231" s="22">
        <v>0</v>
      </c>
    </row>
    <row r="7232" ht="12.75">
      <c r="A7232" t="s">
        <v>7085</v>
      </c>
      <c r="B7232" s="19">
        <v>101410</v>
      </c>
      <c r="C7232" s="20" t="s">
        <v>7331</v>
      </c>
      <c r="D7232" s="19" t="s">
        <v>7087</v>
      </c>
      <c r="E7232" s="21">
        <f t="shared" si="335"/>
        <v>4674.0100000000002</v>
      </c>
      <c r="F7232" s="22">
        <v>0</v>
      </c>
      <c r="G7232" s="21">
        <f t="shared" si="336"/>
        <v>4408.1099999999997</v>
      </c>
      <c r="H7232" s="22">
        <v>0</v>
      </c>
      <c r="I7232" s="23" t="str">
        <f t="shared" si="337"/>
        <v xml:space="preserve">COM VALOR</v>
      </c>
      <c r="J7232" s="19"/>
      <c r="L7232" s="21">
        <v>4674.0100000000002</v>
      </c>
      <c r="M7232" s="22">
        <v>0</v>
      </c>
      <c r="N7232" s="21">
        <v>4408.1099999999997</v>
      </c>
      <c r="O7232" s="22">
        <v>0</v>
      </c>
    </row>
    <row r="7233" ht="12.75">
      <c r="A7233" t="s">
        <v>7085</v>
      </c>
      <c r="B7233" s="19">
        <v>88272</v>
      </c>
      <c r="C7233" s="20" t="s">
        <v>7332</v>
      </c>
      <c r="D7233" s="19" t="s">
        <v>2032</v>
      </c>
      <c r="E7233" s="21">
        <f t="shared" si="335"/>
        <v>29.149999999999999</v>
      </c>
      <c r="F7233" s="22">
        <v>0</v>
      </c>
      <c r="G7233" s="21">
        <f t="shared" si="336"/>
        <v>27.57</v>
      </c>
      <c r="H7233" s="22">
        <v>0</v>
      </c>
      <c r="I7233" s="23" t="str">
        <f t="shared" si="337"/>
        <v xml:space="preserve">COM VALOR</v>
      </c>
      <c r="J7233" s="19"/>
      <c r="L7233" s="21">
        <v>29.149999999999999</v>
      </c>
      <c r="M7233" s="22">
        <v>0</v>
      </c>
      <c r="N7233" s="21">
        <v>27.57</v>
      </c>
      <c r="O7233" s="22">
        <v>0</v>
      </c>
    </row>
    <row r="7234" ht="12.75">
      <c r="A7234" t="s">
        <v>7085</v>
      </c>
      <c r="B7234" s="19">
        <v>88273</v>
      </c>
      <c r="C7234" s="20" t="s">
        <v>7333</v>
      </c>
      <c r="D7234" s="19" t="s">
        <v>2032</v>
      </c>
      <c r="E7234" s="21">
        <f t="shared" si="335"/>
        <v>26.219999999999999</v>
      </c>
      <c r="F7234" s="22">
        <v>0</v>
      </c>
      <c r="G7234" s="21">
        <f t="shared" si="336"/>
        <v>24.710000000000001</v>
      </c>
      <c r="H7234" s="22">
        <v>0</v>
      </c>
      <c r="I7234" s="23" t="str">
        <f t="shared" si="337"/>
        <v xml:space="preserve">COM VALOR</v>
      </c>
      <c r="J7234" s="19"/>
      <c r="L7234" s="21">
        <v>26.219999999999999</v>
      </c>
      <c r="M7234" s="22">
        <v>0</v>
      </c>
      <c r="N7234" s="21">
        <v>24.710000000000001</v>
      </c>
      <c r="O7234" s="22">
        <v>0</v>
      </c>
    </row>
    <row r="7235" ht="12.75">
      <c r="A7235" t="s">
        <v>7085</v>
      </c>
      <c r="B7235" s="19">
        <v>101413</v>
      </c>
      <c r="C7235" s="20" t="s">
        <v>7333</v>
      </c>
      <c r="D7235" s="19" t="s">
        <v>7087</v>
      </c>
      <c r="E7235" s="21">
        <f t="shared" si="335"/>
        <v>4477.8699999999999</v>
      </c>
      <c r="F7235" s="22">
        <v>0</v>
      </c>
      <c r="G7235" s="21">
        <f t="shared" si="336"/>
        <v>4219.9399999999996</v>
      </c>
      <c r="H7235" s="22">
        <v>0</v>
      </c>
      <c r="I7235" s="23" t="str">
        <f t="shared" si="337"/>
        <v xml:space="preserve">COM VALOR</v>
      </c>
      <c r="J7235" s="19"/>
      <c r="L7235" s="21">
        <v>4477.8699999999999</v>
      </c>
      <c r="M7235" s="22">
        <v>0</v>
      </c>
      <c r="N7235" s="21">
        <v>4219.9399999999996</v>
      </c>
      <c r="O7235" s="22">
        <v>0</v>
      </c>
    </row>
    <row r="7236" ht="12.75">
      <c r="A7236" t="s">
        <v>7085</v>
      </c>
      <c r="B7236" s="19">
        <v>101414</v>
      </c>
      <c r="C7236" s="20" t="s">
        <v>7334</v>
      </c>
      <c r="D7236" s="19" t="s">
        <v>7087</v>
      </c>
      <c r="E7236" s="21">
        <f t="shared" si="335"/>
        <v>4840</v>
      </c>
      <c r="F7236" s="22">
        <v>0</v>
      </c>
      <c r="G7236" s="21">
        <f t="shared" si="336"/>
        <v>4561.6899999999996</v>
      </c>
      <c r="H7236" s="22">
        <v>0</v>
      </c>
      <c r="I7236" s="23" t="str">
        <f t="shared" si="337"/>
        <v xml:space="preserve">COM VALOR</v>
      </c>
      <c r="J7236" s="19"/>
      <c r="L7236" s="21">
        <v>4840</v>
      </c>
      <c r="M7236" s="22">
        <v>0</v>
      </c>
      <c r="N7236" s="21">
        <v>4561.6899999999996</v>
      </c>
      <c r="O7236" s="22">
        <v>0</v>
      </c>
    </row>
    <row r="7237" ht="12.75">
      <c r="A7237" t="s">
        <v>7085</v>
      </c>
      <c r="B7237" s="19">
        <v>88274</v>
      </c>
      <c r="C7237" s="20" t="s">
        <v>7335</v>
      </c>
      <c r="D7237" s="19" t="s">
        <v>2032</v>
      </c>
      <c r="E7237" s="21">
        <f t="shared" si="335"/>
        <v>28.359999999999999</v>
      </c>
      <c r="F7237" s="22">
        <v>0</v>
      </c>
      <c r="G7237" s="21">
        <f t="shared" si="336"/>
        <v>26.75</v>
      </c>
      <c r="H7237" s="22">
        <v>0</v>
      </c>
      <c r="I7237" s="23" t="str">
        <f t="shared" si="337"/>
        <v xml:space="preserve">COM VALOR</v>
      </c>
      <c r="J7237" s="19"/>
      <c r="L7237" s="21">
        <v>28.359999999999999</v>
      </c>
      <c r="M7237" s="22">
        <v>0</v>
      </c>
      <c r="N7237" s="21">
        <v>26.75</v>
      </c>
      <c r="O7237" s="22">
        <v>0</v>
      </c>
    </row>
    <row r="7238" ht="12.75">
      <c r="A7238" t="s">
        <v>7085</v>
      </c>
      <c r="B7238" s="19">
        <v>101412</v>
      </c>
      <c r="C7238" s="20" t="s">
        <v>7336</v>
      </c>
      <c r="D7238" s="19" t="s">
        <v>7087</v>
      </c>
      <c r="E7238" s="21">
        <f t="shared" si="335"/>
        <v>4956.5100000000002</v>
      </c>
      <c r="F7238" s="22">
        <v>0</v>
      </c>
      <c r="G7238" s="21">
        <f t="shared" si="336"/>
        <v>4685.1999999999998</v>
      </c>
      <c r="H7238" s="22">
        <v>0</v>
      </c>
      <c r="I7238" s="23" t="str">
        <f t="shared" si="337"/>
        <v xml:space="preserve">COM VALOR</v>
      </c>
      <c r="J7238" s="19"/>
      <c r="L7238" s="21">
        <v>4956.5100000000002</v>
      </c>
      <c r="M7238" s="22">
        <v>0</v>
      </c>
      <c r="N7238" s="21">
        <v>4685.1999999999998</v>
      </c>
      <c r="O7238" s="22">
        <v>0</v>
      </c>
    </row>
    <row r="7239" ht="25.5">
      <c r="A7239" t="s">
        <v>7085</v>
      </c>
      <c r="B7239" s="19">
        <v>101415</v>
      </c>
      <c r="C7239" s="20" t="s">
        <v>7337</v>
      </c>
      <c r="D7239" s="19" t="s">
        <v>7087</v>
      </c>
      <c r="E7239" s="21">
        <f t="shared" si="335"/>
        <v>6807.7600000000002</v>
      </c>
      <c r="F7239" s="22">
        <v>0</v>
      </c>
      <c r="G7239" s="21">
        <f t="shared" si="336"/>
        <v>6366.0799999999999</v>
      </c>
      <c r="H7239" s="22">
        <v>0</v>
      </c>
      <c r="I7239" s="23" t="str">
        <f t="shared" si="337"/>
        <v xml:space="preserve">COM VALOR</v>
      </c>
      <c r="J7239" s="19"/>
      <c r="L7239" s="21">
        <v>6807.7600000000002</v>
      </c>
      <c r="M7239" s="22">
        <v>0</v>
      </c>
      <c r="N7239" s="21">
        <v>6366.0799999999999</v>
      </c>
      <c r="O7239" s="22">
        <v>0</v>
      </c>
    </row>
    <row r="7240" ht="12.75">
      <c r="A7240" t="s">
        <v>7085</v>
      </c>
      <c r="B7240" s="19">
        <v>100308</v>
      </c>
      <c r="C7240" s="20" t="s">
        <v>7338</v>
      </c>
      <c r="D7240" s="19" t="s">
        <v>2032</v>
      </c>
      <c r="E7240" s="21">
        <f t="shared" si="335"/>
        <v>31.32</v>
      </c>
      <c r="F7240" s="22">
        <v>0</v>
      </c>
      <c r="G7240" s="21">
        <f t="shared" si="336"/>
        <v>29.48</v>
      </c>
      <c r="H7240" s="22">
        <v>0</v>
      </c>
      <c r="I7240" s="23" t="str">
        <f t="shared" si="337"/>
        <v xml:space="preserve">COM VALOR</v>
      </c>
      <c r="J7240" s="19"/>
      <c r="L7240" s="21">
        <v>31.32</v>
      </c>
      <c r="M7240" s="22">
        <v>0</v>
      </c>
      <c r="N7240" s="21">
        <v>29.48</v>
      </c>
      <c r="O7240" s="22">
        <v>0</v>
      </c>
    </row>
    <row r="7241" ht="12.75">
      <c r="A7241" t="s">
        <v>7085</v>
      </c>
      <c r="B7241" s="19">
        <v>101416</v>
      </c>
      <c r="C7241" s="20" t="s">
        <v>7338</v>
      </c>
      <c r="D7241" s="19" t="s">
        <v>7087</v>
      </c>
      <c r="E7241" s="21">
        <f t="shared" si="335"/>
        <v>5299.0799999999999</v>
      </c>
      <c r="F7241" s="22">
        <v>0</v>
      </c>
      <c r="G7241" s="21">
        <f t="shared" si="336"/>
        <v>4985.6300000000001</v>
      </c>
      <c r="H7241" s="22">
        <v>0</v>
      </c>
      <c r="I7241" s="23" t="str">
        <f t="shared" si="337"/>
        <v xml:space="preserve">COM VALOR</v>
      </c>
      <c r="J7241" s="19"/>
      <c r="L7241" s="21">
        <v>5299.0799999999999</v>
      </c>
      <c r="M7241" s="22">
        <v>0</v>
      </c>
      <c r="N7241" s="21">
        <v>4985.6300000000001</v>
      </c>
      <c r="O7241" s="22">
        <v>0</v>
      </c>
    </row>
    <row r="7242" ht="25.5">
      <c r="A7242" t="s">
        <v>7085</v>
      </c>
      <c r="B7242" s="19">
        <v>88275</v>
      </c>
      <c r="C7242" s="20" t="s">
        <v>7339</v>
      </c>
      <c r="D7242" s="19" t="s">
        <v>2032</v>
      </c>
      <c r="E7242" s="21">
        <f t="shared" si="335"/>
        <v>39.479999999999997</v>
      </c>
      <c r="F7242" s="22">
        <v>0</v>
      </c>
      <c r="G7242" s="21">
        <f t="shared" si="336"/>
        <v>36.93</v>
      </c>
      <c r="H7242" s="22">
        <v>0</v>
      </c>
      <c r="I7242" s="23" t="str">
        <f t="shared" si="337"/>
        <v xml:space="preserve">COM VALOR</v>
      </c>
      <c r="J7242" s="19"/>
      <c r="L7242" s="21">
        <v>39.479999999999997</v>
      </c>
      <c r="M7242" s="22">
        <v>0</v>
      </c>
      <c r="N7242" s="21">
        <v>36.93</v>
      </c>
      <c r="O7242" s="22">
        <v>0</v>
      </c>
    </row>
    <row r="7243" ht="12.75">
      <c r="A7243" t="s">
        <v>7085</v>
      </c>
      <c r="B7243" s="19">
        <v>90780</v>
      </c>
      <c r="C7243" s="20" t="s">
        <v>7340</v>
      </c>
      <c r="D7243" s="19" t="s">
        <v>2032</v>
      </c>
      <c r="E7243" s="21">
        <f t="shared" ref="E7243:E7306" si="338">IF(L7243=0,"VERIFICAR",L7243)</f>
        <v>44.280000000000001</v>
      </c>
      <c r="F7243" s="22">
        <v>0</v>
      </c>
      <c r="G7243" s="21">
        <f t="shared" ref="G7243:G7306" si="339">IF(N7243=0,"VERIFICAR",N7243)</f>
        <v>41.409999999999997</v>
      </c>
      <c r="H7243" s="22">
        <v>0</v>
      </c>
      <c r="I7243" s="23" t="str">
        <f t="shared" ref="I7243:I7306" si="340">IF(OR(E7243=0,G7243=0),"SEM VALOR","COM VALOR")</f>
        <v xml:space="preserve">COM VALOR</v>
      </c>
      <c r="J7243" s="19"/>
      <c r="L7243" s="21">
        <v>44.280000000000001</v>
      </c>
      <c r="M7243" s="22">
        <v>0</v>
      </c>
      <c r="N7243" s="21">
        <v>41.409999999999997</v>
      </c>
      <c r="O7243" s="22">
        <v>0</v>
      </c>
    </row>
    <row r="7244" ht="12.75">
      <c r="A7244" t="s">
        <v>7085</v>
      </c>
      <c r="B7244" s="19">
        <v>94295</v>
      </c>
      <c r="C7244" s="20" t="s">
        <v>7340</v>
      </c>
      <c r="D7244" s="19" t="s">
        <v>7087</v>
      </c>
      <c r="E7244" s="21">
        <f t="shared" si="338"/>
        <v>7554.2600000000002</v>
      </c>
      <c r="F7244" s="22">
        <v>0</v>
      </c>
      <c r="G7244" s="21">
        <f t="shared" si="339"/>
        <v>7062.3400000000001</v>
      </c>
      <c r="H7244" s="22">
        <v>0</v>
      </c>
      <c r="I7244" s="23" t="str">
        <f t="shared" si="340"/>
        <v xml:space="preserve">COM VALOR</v>
      </c>
      <c r="J7244" s="19"/>
      <c r="L7244" s="21">
        <v>7554.2600000000002</v>
      </c>
      <c r="M7244" s="22">
        <v>0</v>
      </c>
      <c r="N7244" s="21">
        <v>7062.3400000000001</v>
      </c>
      <c r="O7244" s="22">
        <v>0</v>
      </c>
    </row>
    <row r="7245" ht="25.5">
      <c r="A7245" t="s">
        <v>7085</v>
      </c>
      <c r="B7245" s="19">
        <v>88277</v>
      </c>
      <c r="C7245" s="20" t="s">
        <v>7341</v>
      </c>
      <c r="D7245" s="19" t="s">
        <v>2032</v>
      </c>
      <c r="E7245" s="21">
        <f t="shared" si="338"/>
        <v>28.359999999999999</v>
      </c>
      <c r="F7245" s="22">
        <v>0</v>
      </c>
      <c r="G7245" s="21">
        <f t="shared" si="339"/>
        <v>26.640000000000001</v>
      </c>
      <c r="H7245" s="22">
        <v>0</v>
      </c>
      <c r="I7245" s="23" t="str">
        <f t="shared" si="340"/>
        <v xml:space="preserve">COM VALOR</v>
      </c>
      <c r="J7245" s="19"/>
      <c r="L7245" s="21">
        <v>28.359999999999999</v>
      </c>
      <c r="M7245" s="22">
        <v>0</v>
      </c>
      <c r="N7245" s="21">
        <v>26.640000000000001</v>
      </c>
      <c r="O7245" s="22">
        <v>0</v>
      </c>
    </row>
    <row r="7246" ht="25.5">
      <c r="A7246" t="s">
        <v>7085</v>
      </c>
      <c r="B7246" s="19">
        <v>100307</v>
      </c>
      <c r="C7246" s="20" t="s">
        <v>7342</v>
      </c>
      <c r="D7246" s="19" t="s">
        <v>2032</v>
      </c>
      <c r="E7246" s="21">
        <f t="shared" si="338"/>
        <v>27.260000000000002</v>
      </c>
      <c r="F7246" s="22">
        <v>0</v>
      </c>
      <c r="G7246" s="21">
        <f t="shared" si="339"/>
        <v>25.710000000000001</v>
      </c>
      <c r="H7246" s="22">
        <v>0</v>
      </c>
      <c r="I7246" s="23" t="str">
        <f t="shared" si="340"/>
        <v xml:space="preserve">COM VALOR</v>
      </c>
      <c r="J7246" s="19"/>
      <c r="L7246" s="21">
        <v>27.260000000000002</v>
      </c>
      <c r="M7246" s="22">
        <v>0</v>
      </c>
      <c r="N7246" s="21">
        <v>25.710000000000001</v>
      </c>
      <c r="O7246" s="22">
        <v>0</v>
      </c>
    </row>
    <row r="7247" ht="25.5">
      <c r="A7247" t="s">
        <v>7085</v>
      </c>
      <c r="B7247" s="19">
        <v>101417</v>
      </c>
      <c r="C7247" s="20" t="s">
        <v>7342</v>
      </c>
      <c r="D7247" s="19" t="s">
        <v>7087</v>
      </c>
      <c r="E7247" s="21">
        <f t="shared" si="338"/>
        <v>4598.1999999999998</v>
      </c>
      <c r="F7247" s="22">
        <v>0</v>
      </c>
      <c r="G7247" s="21">
        <f t="shared" si="339"/>
        <v>4337.1599999999999</v>
      </c>
      <c r="H7247" s="22">
        <v>0</v>
      </c>
      <c r="I7247" s="23" t="str">
        <f t="shared" si="340"/>
        <v xml:space="preserve">COM VALOR</v>
      </c>
      <c r="J7247" s="19"/>
      <c r="L7247" s="21">
        <v>4598.1999999999998</v>
      </c>
      <c r="M7247" s="22">
        <v>0</v>
      </c>
      <c r="N7247" s="21">
        <v>4337.1599999999999</v>
      </c>
      <c r="O7247" s="22">
        <v>0</v>
      </c>
    </row>
    <row r="7248" ht="25.5">
      <c r="A7248" t="s">
        <v>7085</v>
      </c>
      <c r="B7248" s="19">
        <v>88278</v>
      </c>
      <c r="C7248" s="20" t="s">
        <v>7343</v>
      </c>
      <c r="D7248" s="19" t="s">
        <v>2032</v>
      </c>
      <c r="E7248" s="21">
        <f t="shared" si="338"/>
        <v>30.440000000000001</v>
      </c>
      <c r="F7248" s="22">
        <v>0</v>
      </c>
      <c r="G7248" s="21">
        <f t="shared" si="339"/>
        <v>28.57</v>
      </c>
      <c r="H7248" s="22">
        <v>0</v>
      </c>
      <c r="I7248" s="23" t="str">
        <f t="shared" si="340"/>
        <v xml:space="preserve">COM VALOR</v>
      </c>
      <c r="J7248" s="19"/>
      <c r="L7248" s="21">
        <v>30.440000000000001</v>
      </c>
      <c r="M7248" s="22">
        <v>0</v>
      </c>
      <c r="N7248" s="21">
        <v>28.57</v>
      </c>
      <c r="O7248" s="22">
        <v>0</v>
      </c>
    </row>
    <row r="7249" ht="25.5">
      <c r="A7249" t="s">
        <v>7085</v>
      </c>
      <c r="B7249" s="19">
        <v>101418</v>
      </c>
      <c r="C7249" s="20" t="s">
        <v>7343</v>
      </c>
      <c r="D7249" s="19" t="s">
        <v>7087</v>
      </c>
      <c r="E7249" s="21">
        <f t="shared" si="338"/>
        <v>5224.8400000000001</v>
      </c>
      <c r="F7249" s="22">
        <v>0</v>
      </c>
      <c r="G7249" s="21">
        <f t="shared" si="339"/>
        <v>4901.5299999999997</v>
      </c>
      <c r="H7249" s="22">
        <v>0</v>
      </c>
      <c r="I7249" s="23" t="str">
        <f t="shared" si="340"/>
        <v xml:space="preserve">COM VALOR</v>
      </c>
      <c r="J7249" s="19"/>
      <c r="L7249" s="21">
        <v>5224.8400000000001</v>
      </c>
      <c r="M7249" s="22">
        <v>0</v>
      </c>
      <c r="N7249" s="21">
        <v>4901.5299999999997</v>
      </c>
      <c r="O7249" s="22">
        <v>0</v>
      </c>
    </row>
    <row r="7250" ht="25.5">
      <c r="A7250" t="s">
        <v>7085</v>
      </c>
      <c r="B7250" s="19">
        <v>105535</v>
      </c>
      <c r="C7250" s="20" t="s">
        <v>7344</v>
      </c>
      <c r="D7250" s="19" t="s">
        <v>2032</v>
      </c>
      <c r="E7250" s="21" t="str">
        <f t="shared" si="338"/>
        <v>VERIFICAR</v>
      </c>
      <c r="F7250" s="22">
        <v>0</v>
      </c>
      <c r="G7250" s="21" t="str">
        <f t="shared" si="339"/>
        <v>VERIFICAR</v>
      </c>
      <c r="H7250" s="22">
        <v>0</v>
      </c>
      <c r="I7250" s="23" t="str">
        <f t="shared" si="340"/>
        <v xml:space="preserve">COM VALOR</v>
      </c>
      <c r="J7250" s="19"/>
      <c r="L7250" s="21">
        <v>0</v>
      </c>
      <c r="M7250" s="22"/>
      <c r="N7250" s="21">
        <v>0</v>
      </c>
      <c r="O7250" s="22"/>
    </row>
    <row r="7251" ht="12.75">
      <c r="A7251" t="s">
        <v>7085</v>
      </c>
      <c r="B7251" s="19">
        <v>101419</v>
      </c>
      <c r="C7251" s="20" t="s">
        <v>7345</v>
      </c>
      <c r="D7251" s="19" t="s">
        <v>7087</v>
      </c>
      <c r="E7251" s="21">
        <f t="shared" si="338"/>
        <v>5832.5799999999999</v>
      </c>
      <c r="F7251" s="22">
        <v>0</v>
      </c>
      <c r="G7251" s="21">
        <f t="shared" si="339"/>
        <v>5479.2299999999996</v>
      </c>
      <c r="H7251" s="22">
        <v>0</v>
      </c>
      <c r="I7251" s="23" t="str">
        <f t="shared" si="340"/>
        <v xml:space="preserve">COM VALOR</v>
      </c>
      <c r="J7251" s="19"/>
      <c r="L7251" s="21">
        <v>5832.5799999999999</v>
      </c>
      <c r="M7251" s="22">
        <v>0</v>
      </c>
      <c r="N7251" s="21">
        <v>5479.2299999999996</v>
      </c>
      <c r="O7251" s="22">
        <v>0</v>
      </c>
    </row>
    <row r="7252" ht="12.75">
      <c r="A7252" t="s">
        <v>7085</v>
      </c>
      <c r="B7252" s="19">
        <v>88279</v>
      </c>
      <c r="C7252" s="20" t="s">
        <v>7346</v>
      </c>
      <c r="D7252" s="19" t="s">
        <v>2032</v>
      </c>
      <c r="E7252" s="21">
        <f t="shared" si="338"/>
        <v>34.530000000000001</v>
      </c>
      <c r="F7252" s="22">
        <v>0</v>
      </c>
      <c r="G7252" s="21">
        <f t="shared" si="339"/>
        <v>32.450000000000003</v>
      </c>
      <c r="H7252" s="22">
        <v>0</v>
      </c>
      <c r="I7252" s="23" t="str">
        <f t="shared" si="340"/>
        <v xml:space="preserve">COM VALOR</v>
      </c>
      <c r="J7252" s="19"/>
      <c r="L7252" s="21">
        <v>34.530000000000001</v>
      </c>
      <c r="M7252" s="22">
        <v>0</v>
      </c>
      <c r="N7252" s="21">
        <v>32.450000000000003</v>
      </c>
      <c r="O7252" s="22">
        <v>0</v>
      </c>
    </row>
    <row r="7253" ht="12.75">
      <c r="A7253" t="s">
        <v>7085</v>
      </c>
      <c r="B7253" s="19">
        <v>88281</v>
      </c>
      <c r="C7253" s="20" t="s">
        <v>7347</v>
      </c>
      <c r="D7253" s="19" t="s">
        <v>2032</v>
      </c>
      <c r="E7253" s="21">
        <f t="shared" si="338"/>
        <v>27.690000000000001</v>
      </c>
      <c r="F7253" s="22">
        <v>0</v>
      </c>
      <c r="G7253" s="21">
        <f t="shared" si="339"/>
        <v>26.02</v>
      </c>
      <c r="H7253" s="22">
        <v>0</v>
      </c>
      <c r="I7253" s="23" t="str">
        <f t="shared" si="340"/>
        <v xml:space="preserve">COM VALOR</v>
      </c>
      <c r="J7253" s="19"/>
      <c r="L7253" s="21">
        <v>27.690000000000001</v>
      </c>
      <c r="M7253" s="22">
        <v>0</v>
      </c>
      <c r="N7253" s="21">
        <v>26.02</v>
      </c>
      <c r="O7253" s="22">
        <v>0</v>
      </c>
    </row>
    <row r="7254" ht="12.75">
      <c r="A7254" t="s">
        <v>7085</v>
      </c>
      <c r="B7254" s="19">
        <v>93558</v>
      </c>
      <c r="C7254" s="20" t="s">
        <v>7348</v>
      </c>
      <c r="D7254" s="19" t="s">
        <v>7087</v>
      </c>
      <c r="E7254" s="21">
        <f t="shared" si="338"/>
        <v>4626.8199999999997</v>
      </c>
      <c r="F7254" s="22">
        <v>0</v>
      </c>
      <c r="G7254" s="21">
        <f t="shared" si="339"/>
        <v>4348.2299999999996</v>
      </c>
      <c r="H7254" s="22">
        <v>0</v>
      </c>
      <c r="I7254" s="23" t="str">
        <f t="shared" si="340"/>
        <v xml:space="preserve">COM VALOR</v>
      </c>
      <c r="J7254" s="19"/>
      <c r="L7254" s="21">
        <v>4626.8199999999997</v>
      </c>
      <c r="M7254" s="22">
        <v>0</v>
      </c>
      <c r="N7254" s="21">
        <v>4348.2299999999996</v>
      </c>
      <c r="O7254" s="22">
        <v>0</v>
      </c>
    </row>
    <row r="7255" ht="25.5">
      <c r="A7255" t="s">
        <v>7085</v>
      </c>
      <c r="B7255" s="19">
        <v>101420</v>
      </c>
      <c r="C7255" s="20" t="s">
        <v>7349</v>
      </c>
      <c r="D7255" s="19" t="s">
        <v>7087</v>
      </c>
      <c r="E7255" s="21">
        <f t="shared" si="338"/>
        <v>4772.8699999999999</v>
      </c>
      <c r="F7255" s="22">
        <v>0</v>
      </c>
      <c r="G7255" s="21">
        <f t="shared" si="339"/>
        <v>4483.3599999999997</v>
      </c>
      <c r="H7255" s="22">
        <v>0</v>
      </c>
      <c r="I7255" s="23" t="str">
        <f t="shared" si="340"/>
        <v xml:space="preserve">COM VALOR</v>
      </c>
      <c r="J7255" s="19"/>
      <c r="L7255" s="21">
        <v>4772.8699999999999</v>
      </c>
      <c r="M7255" s="22">
        <v>0</v>
      </c>
      <c r="N7255" s="21">
        <v>4483.3599999999997</v>
      </c>
      <c r="O7255" s="22">
        <v>0</v>
      </c>
    </row>
    <row r="7256" ht="25.5">
      <c r="A7256" t="s">
        <v>7085</v>
      </c>
      <c r="B7256" s="19">
        <v>101421</v>
      </c>
      <c r="C7256" s="20" t="s">
        <v>7350</v>
      </c>
      <c r="D7256" s="19" t="s">
        <v>7087</v>
      </c>
      <c r="E7256" s="21">
        <f t="shared" si="338"/>
        <v>5535.1599999999999</v>
      </c>
      <c r="F7256" s="22">
        <v>0</v>
      </c>
      <c r="G7256" s="21">
        <f t="shared" si="339"/>
        <v>5188.6400000000003</v>
      </c>
      <c r="H7256" s="22">
        <v>0</v>
      </c>
      <c r="I7256" s="23" t="str">
        <f t="shared" si="340"/>
        <v xml:space="preserve">COM VALOR</v>
      </c>
      <c r="J7256" s="19"/>
      <c r="L7256" s="21">
        <v>5535.1599999999999</v>
      </c>
      <c r="M7256" s="22">
        <v>0</v>
      </c>
      <c r="N7256" s="21">
        <v>5188.6400000000003</v>
      </c>
      <c r="O7256" s="22">
        <v>0</v>
      </c>
    </row>
    <row r="7257" ht="12.75">
      <c r="A7257" t="s">
        <v>7085</v>
      </c>
      <c r="B7257" s="19">
        <v>88282</v>
      </c>
      <c r="C7257" s="20" t="s">
        <v>7351</v>
      </c>
      <c r="D7257" s="19" t="s">
        <v>2032</v>
      </c>
      <c r="E7257" s="21">
        <f t="shared" si="338"/>
        <v>26.859999999999999</v>
      </c>
      <c r="F7257" s="22">
        <v>0</v>
      </c>
      <c r="G7257" s="21">
        <f t="shared" si="339"/>
        <v>25.260000000000002</v>
      </c>
      <c r="H7257" s="22">
        <v>0</v>
      </c>
      <c r="I7257" s="23" t="str">
        <f t="shared" si="340"/>
        <v xml:space="preserve">COM VALOR</v>
      </c>
      <c r="J7257" s="19"/>
      <c r="L7257" s="21">
        <v>26.859999999999999</v>
      </c>
      <c r="M7257" s="22">
        <v>0</v>
      </c>
      <c r="N7257" s="21">
        <v>25.260000000000002</v>
      </c>
      <c r="O7257" s="22">
        <v>0</v>
      </c>
    </row>
    <row r="7258" ht="25.5">
      <c r="A7258" t="s">
        <v>7085</v>
      </c>
      <c r="B7258" s="19">
        <v>88283</v>
      </c>
      <c r="C7258" s="20" t="s">
        <v>7352</v>
      </c>
      <c r="D7258" s="19" t="s">
        <v>2032</v>
      </c>
      <c r="E7258" s="21">
        <f t="shared" si="338"/>
        <v>32.060000000000002</v>
      </c>
      <c r="F7258" s="22">
        <v>0</v>
      </c>
      <c r="G7258" s="21">
        <f t="shared" si="339"/>
        <v>30.07</v>
      </c>
      <c r="H7258" s="22">
        <v>0</v>
      </c>
      <c r="I7258" s="23" t="str">
        <f t="shared" si="340"/>
        <v xml:space="preserve">COM VALOR</v>
      </c>
      <c r="J7258" s="19"/>
      <c r="L7258" s="21">
        <v>32.060000000000002</v>
      </c>
      <c r="M7258" s="22">
        <v>0</v>
      </c>
      <c r="N7258" s="21">
        <v>30.07</v>
      </c>
      <c r="O7258" s="22">
        <v>0</v>
      </c>
    </row>
    <row r="7259" ht="12.75">
      <c r="A7259" t="s">
        <v>7085</v>
      </c>
      <c r="B7259" s="19">
        <v>101422</v>
      </c>
      <c r="C7259" s="20" t="s">
        <v>7353</v>
      </c>
      <c r="D7259" s="19" t="s">
        <v>7087</v>
      </c>
      <c r="E7259" s="21">
        <f t="shared" si="338"/>
        <v>4449.5200000000004</v>
      </c>
      <c r="F7259" s="22">
        <v>0</v>
      </c>
      <c r="G7259" s="21">
        <f t="shared" si="339"/>
        <v>4184.1800000000003</v>
      </c>
      <c r="H7259" s="22">
        <v>0</v>
      </c>
      <c r="I7259" s="23" t="str">
        <f t="shared" si="340"/>
        <v xml:space="preserve">COM VALOR</v>
      </c>
      <c r="J7259" s="19"/>
      <c r="L7259" s="21">
        <v>4449.5200000000004</v>
      </c>
      <c r="M7259" s="22">
        <v>0</v>
      </c>
      <c r="N7259" s="21">
        <v>4184.1800000000003</v>
      </c>
      <c r="O7259" s="22">
        <v>0</v>
      </c>
    </row>
    <row r="7260" ht="12.75">
      <c r="A7260" t="s">
        <v>7085</v>
      </c>
      <c r="B7260" s="19">
        <v>88284</v>
      </c>
      <c r="C7260" s="20" t="s">
        <v>7354</v>
      </c>
      <c r="D7260" s="19" t="s">
        <v>2032</v>
      </c>
      <c r="E7260" s="21">
        <f t="shared" si="338"/>
        <v>25.84</v>
      </c>
      <c r="F7260" s="22">
        <v>0</v>
      </c>
      <c r="G7260" s="21">
        <f t="shared" si="339"/>
        <v>24.309999999999999</v>
      </c>
      <c r="H7260" s="22">
        <v>0</v>
      </c>
      <c r="I7260" s="23" t="str">
        <f t="shared" si="340"/>
        <v xml:space="preserve">COM VALOR</v>
      </c>
      <c r="J7260" s="19"/>
      <c r="L7260" s="21">
        <v>25.84</v>
      </c>
      <c r="M7260" s="22">
        <v>0</v>
      </c>
      <c r="N7260" s="21">
        <v>24.309999999999999</v>
      </c>
      <c r="O7260" s="22">
        <v>0</v>
      </c>
    </row>
    <row r="7261" ht="25.5">
      <c r="A7261" t="s">
        <v>7085</v>
      </c>
      <c r="B7261" s="19">
        <v>101424</v>
      </c>
      <c r="C7261" s="20" t="s">
        <v>7355</v>
      </c>
      <c r="D7261" s="19" t="s">
        <v>7087</v>
      </c>
      <c r="E7261" s="21">
        <f t="shared" si="338"/>
        <v>4871.8400000000001</v>
      </c>
      <c r="F7261" s="22">
        <v>0</v>
      </c>
      <c r="G7261" s="21">
        <f t="shared" si="339"/>
        <v>4574.9200000000001</v>
      </c>
      <c r="H7261" s="22">
        <v>0</v>
      </c>
      <c r="I7261" s="23" t="str">
        <f t="shared" si="340"/>
        <v xml:space="preserve">COM VALOR</v>
      </c>
      <c r="J7261" s="19"/>
      <c r="L7261" s="21">
        <v>4871.8400000000001</v>
      </c>
      <c r="M7261" s="22">
        <v>0</v>
      </c>
      <c r="N7261" s="21">
        <v>4574.9200000000001</v>
      </c>
      <c r="O7261" s="22">
        <v>0</v>
      </c>
    </row>
    <row r="7262" ht="12.75">
      <c r="A7262" t="s">
        <v>7085</v>
      </c>
      <c r="B7262" s="19">
        <v>88286</v>
      </c>
      <c r="C7262" s="20" t="s">
        <v>7356</v>
      </c>
      <c r="D7262" s="19" t="s">
        <v>2032</v>
      </c>
      <c r="E7262" s="21">
        <f t="shared" si="338"/>
        <v>28.510000000000002</v>
      </c>
      <c r="F7262" s="22">
        <v>0</v>
      </c>
      <c r="G7262" s="21">
        <f t="shared" si="339"/>
        <v>26.780000000000001</v>
      </c>
      <c r="H7262" s="22">
        <v>0</v>
      </c>
      <c r="I7262" s="23" t="str">
        <f t="shared" si="340"/>
        <v xml:space="preserve">COM VALOR</v>
      </c>
      <c r="J7262" s="19"/>
      <c r="L7262" s="21">
        <v>28.510000000000002</v>
      </c>
      <c r="M7262" s="22">
        <v>0</v>
      </c>
      <c r="N7262" s="21">
        <v>26.780000000000001</v>
      </c>
      <c r="O7262" s="22">
        <v>0</v>
      </c>
    </row>
    <row r="7263" ht="12.75">
      <c r="A7263" t="s">
        <v>7085</v>
      </c>
      <c r="B7263" s="19">
        <v>88288</v>
      </c>
      <c r="C7263" s="20" t="s">
        <v>7357</v>
      </c>
      <c r="D7263" s="19" t="s">
        <v>2032</v>
      </c>
      <c r="E7263" s="21">
        <f t="shared" si="338"/>
        <v>22</v>
      </c>
      <c r="F7263" s="22"/>
      <c r="G7263" s="21">
        <f t="shared" si="339"/>
        <v>20.75</v>
      </c>
      <c r="H7263" s="22"/>
      <c r="I7263" s="23" t="str">
        <f t="shared" si="340"/>
        <v xml:space="preserve">COM VALOR</v>
      </c>
      <c r="J7263" s="19"/>
      <c r="L7263" s="21">
        <v>22</v>
      </c>
      <c r="M7263" s="22">
        <v>0</v>
      </c>
      <c r="N7263" s="21">
        <v>20.75</v>
      </c>
      <c r="O7263" s="22">
        <v>0</v>
      </c>
    </row>
    <row r="7264" ht="12.75">
      <c r="A7264" t="s">
        <v>7085</v>
      </c>
      <c r="B7264" s="19">
        <v>101425</v>
      </c>
      <c r="C7264" s="20" t="s">
        <v>7357</v>
      </c>
      <c r="D7264" s="19" t="s">
        <v>7087</v>
      </c>
      <c r="E7264" s="21">
        <f t="shared" si="338"/>
        <v>3774.3699999999999</v>
      </c>
      <c r="F7264" s="22"/>
      <c r="G7264" s="21">
        <f t="shared" si="339"/>
        <v>3558.3400000000001</v>
      </c>
      <c r="H7264" s="22"/>
      <c r="I7264" s="23" t="str">
        <f t="shared" si="340"/>
        <v xml:space="preserve">COM VALOR</v>
      </c>
      <c r="J7264" s="19"/>
      <c r="L7264" s="21">
        <v>3774.3699999999999</v>
      </c>
      <c r="M7264" s="22">
        <v>0</v>
      </c>
      <c r="N7264" s="21">
        <v>3558.3400000000001</v>
      </c>
      <c r="O7264" s="22">
        <v>0</v>
      </c>
    </row>
    <row r="7265" ht="12.75">
      <c r="A7265" t="s">
        <v>7085</v>
      </c>
      <c r="B7265" s="19">
        <v>101426</v>
      </c>
      <c r="C7265" s="20" t="s">
        <v>7358</v>
      </c>
      <c r="D7265" s="19" t="s">
        <v>7087</v>
      </c>
      <c r="E7265" s="21">
        <f t="shared" si="338"/>
        <v>4910.6300000000001</v>
      </c>
      <c r="F7265" s="22">
        <v>0.41999999999999998</v>
      </c>
      <c r="G7265" s="21">
        <f t="shared" si="339"/>
        <v>4610.8100000000004</v>
      </c>
      <c r="H7265" s="22">
        <v>0.42999999999999999</v>
      </c>
      <c r="I7265" s="23" t="str">
        <f t="shared" si="340"/>
        <v xml:space="preserve">COM VALOR</v>
      </c>
      <c r="J7265" s="19"/>
      <c r="L7265" s="21">
        <v>4910.6300000000001</v>
      </c>
      <c r="M7265" s="22">
        <v>0</v>
      </c>
      <c r="N7265" s="21">
        <v>4610.8100000000004</v>
      </c>
      <c r="O7265" s="22">
        <v>0</v>
      </c>
    </row>
    <row r="7266" ht="25.5">
      <c r="A7266" t="s">
        <v>7085</v>
      </c>
      <c r="B7266" s="19">
        <v>88291</v>
      </c>
      <c r="C7266" s="20" t="s">
        <v>7359</v>
      </c>
      <c r="D7266" s="19" t="s">
        <v>2032</v>
      </c>
      <c r="E7266" s="21">
        <f t="shared" si="338"/>
        <v>30.710000000000001</v>
      </c>
      <c r="F7266" s="22">
        <v>0.42999999999999999</v>
      </c>
      <c r="G7266" s="21">
        <f t="shared" si="339"/>
        <v>28.82</v>
      </c>
      <c r="H7266" s="22">
        <v>0.44</v>
      </c>
      <c r="I7266" s="23" t="str">
        <f t="shared" si="340"/>
        <v xml:space="preserve">COM VALOR</v>
      </c>
      <c r="J7266" s="19"/>
      <c r="L7266" s="21">
        <v>30.710000000000001</v>
      </c>
      <c r="M7266" s="22">
        <v>0</v>
      </c>
      <c r="N7266" s="21">
        <v>28.82</v>
      </c>
      <c r="O7266" s="22">
        <v>0</v>
      </c>
    </row>
    <row r="7267" ht="25.5">
      <c r="A7267" t="s">
        <v>7085</v>
      </c>
      <c r="B7267" s="19">
        <v>101427</v>
      </c>
      <c r="C7267" s="20" t="s">
        <v>7359</v>
      </c>
      <c r="D7267" s="19" t="s">
        <v>7087</v>
      </c>
      <c r="E7267" s="21">
        <f t="shared" si="338"/>
        <v>5283.9099999999999</v>
      </c>
      <c r="F7267" s="22"/>
      <c r="G7267" s="21">
        <f t="shared" si="339"/>
        <v>4956.1800000000003</v>
      </c>
      <c r="H7267" s="22"/>
      <c r="I7267" s="23" t="str">
        <f t="shared" si="340"/>
        <v xml:space="preserve">COM VALOR</v>
      </c>
      <c r="J7267" s="19"/>
      <c r="L7267" s="21">
        <v>5283.9099999999999</v>
      </c>
      <c r="M7267" s="22">
        <v>0</v>
      </c>
      <c r="N7267" s="21">
        <v>4956.1800000000003</v>
      </c>
      <c r="O7267" s="22">
        <v>0</v>
      </c>
    </row>
    <row r="7268" ht="25.5">
      <c r="A7268" t="s">
        <v>7085</v>
      </c>
      <c r="B7268" s="19">
        <v>101428</v>
      </c>
      <c r="C7268" s="20" t="s">
        <v>7360</v>
      </c>
      <c r="D7268" s="19" t="s">
        <v>7087</v>
      </c>
      <c r="E7268" s="21">
        <f t="shared" si="338"/>
        <v>4749.9700000000003</v>
      </c>
      <c r="F7268" s="22"/>
      <c r="G7268" s="21">
        <f t="shared" si="339"/>
        <v>4462.1700000000001</v>
      </c>
      <c r="H7268" s="22"/>
      <c r="I7268" s="23" t="str">
        <f t="shared" si="340"/>
        <v xml:space="preserve">COM VALOR</v>
      </c>
      <c r="J7268" s="19"/>
      <c r="L7268" s="21">
        <v>4749.9700000000003</v>
      </c>
      <c r="M7268" s="22">
        <v>0</v>
      </c>
      <c r="N7268" s="21">
        <v>4462.1700000000001</v>
      </c>
      <c r="O7268" s="22">
        <v>0</v>
      </c>
    </row>
    <row r="7269" ht="25.5">
      <c r="A7269" t="s">
        <v>7085</v>
      </c>
      <c r="B7269" s="19">
        <v>88377</v>
      </c>
      <c r="C7269" s="20" t="s">
        <v>7361</v>
      </c>
      <c r="D7269" s="19" t="s">
        <v>2032</v>
      </c>
      <c r="E7269" s="21">
        <f t="shared" si="338"/>
        <v>27.629999999999999</v>
      </c>
      <c r="F7269" s="22"/>
      <c r="G7269" s="21">
        <f t="shared" si="339"/>
        <v>25.960000000000001</v>
      </c>
      <c r="H7269" s="22"/>
      <c r="I7269" s="23" t="str">
        <f t="shared" si="340"/>
        <v xml:space="preserve">COM VALOR</v>
      </c>
      <c r="J7269" s="19"/>
      <c r="L7269" s="21">
        <v>27.629999999999999</v>
      </c>
      <c r="M7269" s="22">
        <v>0</v>
      </c>
      <c r="N7269" s="21">
        <v>25.960000000000001</v>
      </c>
      <c r="O7269" s="22">
        <v>0</v>
      </c>
    </row>
    <row r="7270" ht="25.5">
      <c r="A7270" t="s">
        <v>7085</v>
      </c>
      <c r="B7270" s="19">
        <v>101429</v>
      </c>
      <c r="C7270" s="20" t="s">
        <v>7362</v>
      </c>
      <c r="D7270" s="19" t="s">
        <v>7087</v>
      </c>
      <c r="E7270" s="21">
        <f t="shared" si="338"/>
        <v>4295.1700000000001</v>
      </c>
      <c r="F7270" s="22">
        <v>4.0000000000000001e-002</v>
      </c>
      <c r="G7270" s="21">
        <f t="shared" si="339"/>
        <v>4041.3800000000001</v>
      </c>
      <c r="H7270" s="22">
        <v>4.0000000000000001e-002</v>
      </c>
      <c r="I7270" s="23" t="str">
        <f t="shared" si="340"/>
        <v xml:space="preserve">COM VALOR</v>
      </c>
      <c r="J7270" s="19"/>
      <c r="L7270" s="21">
        <v>4295.1700000000001</v>
      </c>
      <c r="M7270" s="22">
        <v>0</v>
      </c>
      <c r="N7270" s="21">
        <v>4041.3800000000001</v>
      </c>
      <c r="O7270" s="22">
        <v>0</v>
      </c>
    </row>
    <row r="7271" ht="25.5">
      <c r="A7271" t="s">
        <v>7085</v>
      </c>
      <c r="B7271" s="19">
        <v>88292</v>
      </c>
      <c r="C7271" s="20" t="s">
        <v>7363</v>
      </c>
      <c r="D7271" s="19" t="s">
        <v>2032</v>
      </c>
      <c r="E7271" s="21">
        <f t="shared" si="338"/>
        <v>25.02</v>
      </c>
      <c r="F7271" s="22">
        <v>4.0000000000000001e-002</v>
      </c>
      <c r="G7271" s="21">
        <f t="shared" si="339"/>
        <v>23.550000000000001</v>
      </c>
      <c r="H7271" s="22">
        <v>4.0000000000000001e-002</v>
      </c>
      <c r="I7271" s="23" t="str">
        <f t="shared" si="340"/>
        <v xml:space="preserve">COM VALOR</v>
      </c>
      <c r="J7271" s="19"/>
      <c r="L7271" s="21">
        <v>25.02</v>
      </c>
      <c r="M7271" s="22">
        <v>0</v>
      </c>
      <c r="N7271" s="21">
        <v>23.550000000000001</v>
      </c>
      <c r="O7271" s="22">
        <v>0</v>
      </c>
    </row>
    <row r="7272" ht="25.5">
      <c r="A7272" t="s">
        <v>7085</v>
      </c>
      <c r="B7272" s="19">
        <v>88293</v>
      </c>
      <c r="C7272" s="20" t="s">
        <v>7364</v>
      </c>
      <c r="D7272" s="19" t="s">
        <v>2032</v>
      </c>
      <c r="E7272" s="21">
        <f t="shared" si="338"/>
        <v>30.710000000000001</v>
      </c>
      <c r="F7272" s="22">
        <v>2.e-002</v>
      </c>
      <c r="G7272" s="21">
        <f t="shared" si="339"/>
        <v>28.82</v>
      </c>
      <c r="H7272" s="22">
        <v>2.e-002</v>
      </c>
      <c r="I7272" s="23" t="str">
        <f t="shared" si="340"/>
        <v xml:space="preserve">COM VALOR</v>
      </c>
      <c r="J7272" s="19"/>
      <c r="L7272" s="21">
        <v>30.710000000000001</v>
      </c>
      <c r="M7272" s="22">
        <v>0</v>
      </c>
      <c r="N7272" s="21">
        <v>28.82</v>
      </c>
      <c r="O7272" s="22">
        <v>0</v>
      </c>
    </row>
    <row r="7273" ht="25.5">
      <c r="A7273" t="s">
        <v>7085</v>
      </c>
      <c r="B7273" s="19">
        <v>101430</v>
      </c>
      <c r="C7273" s="20" t="s">
        <v>7365</v>
      </c>
      <c r="D7273" s="19" t="s">
        <v>7087</v>
      </c>
      <c r="E7273" s="21">
        <f t="shared" si="338"/>
        <v>5283.9099999999999</v>
      </c>
      <c r="F7273" s="22">
        <v>0.10000000000000001</v>
      </c>
      <c r="G7273" s="21">
        <f t="shared" si="339"/>
        <v>4956.1800000000003</v>
      </c>
      <c r="H7273" s="22">
        <v>0.10000000000000001</v>
      </c>
      <c r="I7273" s="23" t="str">
        <f t="shared" si="340"/>
        <v xml:space="preserve">COM VALOR</v>
      </c>
      <c r="J7273" s="19"/>
      <c r="L7273" s="21">
        <v>5283.9099999999999</v>
      </c>
      <c r="M7273" s="22">
        <v>0</v>
      </c>
      <c r="N7273" s="21">
        <v>4956.1800000000003</v>
      </c>
      <c r="O7273" s="22">
        <v>0</v>
      </c>
    </row>
    <row r="7274" ht="12.75">
      <c r="A7274" t="s">
        <v>7085</v>
      </c>
      <c r="B7274" s="19">
        <v>88294</v>
      </c>
      <c r="C7274" s="20" t="s">
        <v>7366</v>
      </c>
      <c r="D7274" s="19" t="s">
        <v>2032</v>
      </c>
      <c r="E7274" s="21">
        <f t="shared" si="338"/>
        <v>34.039999999999999</v>
      </c>
      <c r="F7274" s="22">
        <v>7.0000000000000007e-002</v>
      </c>
      <c r="G7274" s="21">
        <f t="shared" si="339"/>
        <v>31.91</v>
      </c>
      <c r="H7274" s="22">
        <v>7.0000000000000007e-002</v>
      </c>
      <c r="I7274" s="23" t="str">
        <f t="shared" si="340"/>
        <v xml:space="preserve">COM VALOR</v>
      </c>
      <c r="J7274" s="19"/>
      <c r="L7274" s="21">
        <v>34.039999999999999</v>
      </c>
      <c r="M7274" s="22">
        <v>0</v>
      </c>
      <c r="N7274" s="21">
        <v>31.91</v>
      </c>
      <c r="O7274" s="22">
        <v>0</v>
      </c>
    </row>
    <row r="7275" ht="12.75">
      <c r="A7275" t="s">
        <v>7085</v>
      </c>
      <c r="B7275" s="19">
        <v>101431</v>
      </c>
      <c r="C7275" s="20" t="s">
        <v>7366</v>
      </c>
      <c r="D7275" s="19" t="s">
        <v>7087</v>
      </c>
      <c r="E7275" s="21">
        <f t="shared" si="338"/>
        <v>5845.9899999999998</v>
      </c>
      <c r="F7275" s="22">
        <v>5.9999999999999998e-002</v>
      </c>
      <c r="G7275" s="21">
        <f t="shared" si="339"/>
        <v>5476.2299999999996</v>
      </c>
      <c r="H7275" s="22">
        <v>5.9999999999999998e-002</v>
      </c>
      <c r="I7275" s="23" t="str">
        <f t="shared" si="340"/>
        <v xml:space="preserve">COM VALOR</v>
      </c>
      <c r="J7275" s="19"/>
      <c r="L7275" s="21">
        <v>5845.9899999999998</v>
      </c>
      <c r="M7275" s="22">
        <v>0</v>
      </c>
      <c r="N7275" s="21">
        <v>5476.2299999999996</v>
      </c>
      <c r="O7275" s="22">
        <v>0</v>
      </c>
    </row>
    <row r="7276" ht="12.75">
      <c r="A7276" t="s">
        <v>7085</v>
      </c>
      <c r="B7276" s="19">
        <v>88295</v>
      </c>
      <c r="C7276" s="20" t="s">
        <v>7367</v>
      </c>
      <c r="D7276" s="19" t="s">
        <v>2032</v>
      </c>
      <c r="E7276" s="21">
        <f t="shared" si="338"/>
        <v>29.440000000000001</v>
      </c>
      <c r="F7276" s="22">
        <v>5.0000000000000003e-002</v>
      </c>
      <c r="G7276" s="21">
        <f t="shared" si="339"/>
        <v>27.649999999999999</v>
      </c>
      <c r="H7276" s="22">
        <v>5.0000000000000003e-002</v>
      </c>
      <c r="I7276" s="23" t="str">
        <f t="shared" si="340"/>
        <v xml:space="preserve">COM VALOR</v>
      </c>
      <c r="J7276" s="19"/>
      <c r="L7276" s="21">
        <v>29.440000000000001</v>
      </c>
      <c r="M7276" s="22">
        <v>0</v>
      </c>
      <c r="N7276" s="21">
        <v>27.649999999999999</v>
      </c>
      <c r="O7276" s="22">
        <v>0</v>
      </c>
    </row>
    <row r="7277" ht="25.5">
      <c r="A7277" t="s">
        <v>7085</v>
      </c>
      <c r="B7277" s="19">
        <v>101432</v>
      </c>
      <c r="C7277" s="20" t="s">
        <v>7368</v>
      </c>
      <c r="D7277" s="19" t="s">
        <v>7087</v>
      </c>
      <c r="E7277" s="21">
        <f t="shared" si="338"/>
        <v>5032.4200000000001</v>
      </c>
      <c r="F7277" s="22"/>
      <c r="G7277" s="21">
        <f t="shared" si="339"/>
        <v>4723.5</v>
      </c>
      <c r="H7277" s="22"/>
      <c r="I7277" s="23" t="str">
        <f t="shared" si="340"/>
        <v xml:space="preserve">COM VALOR</v>
      </c>
      <c r="J7277" s="19"/>
      <c r="L7277" s="21">
        <v>5032.4200000000001</v>
      </c>
      <c r="M7277" s="22">
        <v>0</v>
      </c>
      <c r="N7277" s="21">
        <v>4723.5</v>
      </c>
      <c r="O7277" s="22">
        <v>0</v>
      </c>
    </row>
    <row r="7278" ht="12.75">
      <c r="A7278" t="s">
        <v>7085</v>
      </c>
      <c r="B7278" s="19">
        <v>88296</v>
      </c>
      <c r="C7278" s="20" t="s">
        <v>7369</v>
      </c>
      <c r="D7278" s="19" t="s">
        <v>2032</v>
      </c>
      <c r="E7278" s="21">
        <f t="shared" si="338"/>
        <v>35.32</v>
      </c>
      <c r="F7278" s="22"/>
      <c r="G7278" s="21">
        <f t="shared" si="339"/>
        <v>33.090000000000003</v>
      </c>
      <c r="H7278" s="22"/>
      <c r="I7278" s="23" t="str">
        <f t="shared" si="340"/>
        <v xml:space="preserve">COM VALOR</v>
      </c>
      <c r="J7278" s="19"/>
      <c r="L7278" s="21">
        <v>35.32</v>
      </c>
      <c r="M7278" s="22">
        <v>0</v>
      </c>
      <c r="N7278" s="21">
        <v>33.090000000000003</v>
      </c>
      <c r="O7278" s="22">
        <v>0</v>
      </c>
    </row>
    <row r="7279" ht="12.75">
      <c r="A7279" t="s">
        <v>7085</v>
      </c>
      <c r="B7279" s="19">
        <v>101433</v>
      </c>
      <c r="C7279" s="20" t="s">
        <v>7369</v>
      </c>
      <c r="D7279" s="19" t="s">
        <v>7087</v>
      </c>
      <c r="E7279" s="21">
        <f t="shared" si="338"/>
        <v>6043.3699999999999</v>
      </c>
      <c r="F7279" s="22"/>
      <c r="G7279" s="21">
        <f t="shared" si="339"/>
        <v>5658.8500000000004</v>
      </c>
      <c r="H7279" s="22"/>
      <c r="I7279" s="23" t="str">
        <f t="shared" si="340"/>
        <v xml:space="preserve">COM VALOR</v>
      </c>
      <c r="J7279" s="19"/>
      <c r="L7279" s="21">
        <v>6043.3699999999999</v>
      </c>
      <c r="M7279" s="22">
        <v>0</v>
      </c>
      <c r="N7279" s="21">
        <v>5658.8500000000004</v>
      </c>
      <c r="O7279" s="22">
        <v>0</v>
      </c>
    </row>
    <row r="7280" ht="25.5">
      <c r="A7280" t="s">
        <v>7085</v>
      </c>
      <c r="B7280" s="19">
        <v>101434</v>
      </c>
      <c r="C7280" s="20" t="s">
        <v>7370</v>
      </c>
      <c r="D7280" s="19" t="s">
        <v>7087</v>
      </c>
      <c r="E7280" s="21">
        <f t="shared" si="338"/>
        <v>4508.21</v>
      </c>
      <c r="F7280" s="22"/>
      <c r="G7280" s="21">
        <f t="shared" si="339"/>
        <v>4238.4899999999998</v>
      </c>
      <c r="H7280" s="22"/>
      <c r="I7280" s="23" t="str">
        <f t="shared" si="340"/>
        <v xml:space="preserve">COM VALOR</v>
      </c>
      <c r="J7280" s="19"/>
      <c r="L7280" s="21">
        <v>4508.21</v>
      </c>
      <c r="M7280" s="22">
        <v>0</v>
      </c>
      <c r="N7280" s="21">
        <v>4238.4899999999998</v>
      </c>
      <c r="O7280" s="22">
        <v>0</v>
      </c>
    </row>
    <row r="7281" ht="25.5">
      <c r="A7281" t="s">
        <v>7085</v>
      </c>
      <c r="B7281" s="19">
        <v>88298</v>
      </c>
      <c r="C7281" s="20" t="s">
        <v>7371</v>
      </c>
      <c r="D7281" s="19" t="s">
        <v>2032</v>
      </c>
      <c r="E7281" s="21">
        <f t="shared" si="338"/>
        <v>26.77</v>
      </c>
      <c r="F7281" s="22">
        <v>0.97999999999999998</v>
      </c>
      <c r="G7281" s="21">
        <f t="shared" si="339"/>
        <v>25.18</v>
      </c>
      <c r="H7281" s="22">
        <v>0.97999999999999998</v>
      </c>
      <c r="I7281" s="23" t="str">
        <f t="shared" si="340"/>
        <v xml:space="preserve">COM VALOR</v>
      </c>
      <c r="J7281" s="19"/>
      <c r="L7281" s="21">
        <v>26.77</v>
      </c>
      <c r="M7281" s="22">
        <v>0</v>
      </c>
      <c r="N7281" s="21">
        <v>25.18</v>
      </c>
      <c r="O7281" s="22">
        <v>0</v>
      </c>
    </row>
    <row r="7282" ht="25.5">
      <c r="A7282" t="s">
        <v>7085</v>
      </c>
      <c r="B7282" s="19">
        <v>101436</v>
      </c>
      <c r="C7282" s="20" t="s">
        <v>7371</v>
      </c>
      <c r="D7282" s="19" t="s">
        <v>7087</v>
      </c>
      <c r="E7282" s="21">
        <f t="shared" si="338"/>
        <v>4601.6499999999996</v>
      </c>
      <c r="F7282" s="22">
        <v>0.16</v>
      </c>
      <c r="G7282" s="21">
        <f t="shared" si="339"/>
        <v>4324.9399999999996</v>
      </c>
      <c r="H7282" s="22">
        <v>0.17000000000000001</v>
      </c>
      <c r="I7282" s="23" t="str">
        <f t="shared" si="340"/>
        <v xml:space="preserve">COM VALOR</v>
      </c>
      <c r="J7282" s="19"/>
      <c r="L7282" s="21">
        <v>4601.6499999999996</v>
      </c>
      <c r="M7282" s="22">
        <v>0</v>
      </c>
      <c r="N7282" s="21">
        <v>4324.9399999999996</v>
      </c>
      <c r="O7282" s="22">
        <v>0</v>
      </c>
    </row>
    <row r="7283" ht="12.75">
      <c r="A7283" t="s">
        <v>7085</v>
      </c>
      <c r="B7283" s="19">
        <v>101437</v>
      </c>
      <c r="C7283" s="20" t="s">
        <v>7372</v>
      </c>
      <c r="D7283" s="19" t="s">
        <v>7087</v>
      </c>
      <c r="E7283" s="21">
        <f t="shared" si="338"/>
        <v>7353.5100000000002</v>
      </c>
      <c r="F7283" s="22">
        <v>0</v>
      </c>
      <c r="G7283" s="21">
        <f t="shared" si="339"/>
        <v>6871.0200000000004</v>
      </c>
      <c r="H7283" s="22">
        <v>0</v>
      </c>
      <c r="I7283" s="23" t="str">
        <f t="shared" si="340"/>
        <v xml:space="preserve">COM VALOR</v>
      </c>
      <c r="J7283" s="19"/>
      <c r="L7283" s="21">
        <v>7353.5100000000002</v>
      </c>
      <c r="M7283" s="22">
        <v>0</v>
      </c>
      <c r="N7283" s="21">
        <v>6871.0200000000004</v>
      </c>
      <c r="O7283" s="22">
        <v>0</v>
      </c>
    </row>
    <row r="7284" ht="12.75">
      <c r="A7284" t="s">
        <v>7085</v>
      </c>
      <c r="B7284" s="19">
        <v>88299</v>
      </c>
      <c r="C7284" s="20" t="s">
        <v>7373</v>
      </c>
      <c r="D7284" s="19" t="s">
        <v>2032</v>
      </c>
      <c r="E7284" s="21">
        <f t="shared" si="338"/>
        <v>42.630000000000003</v>
      </c>
      <c r="F7284" s="22">
        <v>0.32000000000000001</v>
      </c>
      <c r="G7284" s="21">
        <f t="shared" si="339"/>
        <v>39.850000000000001</v>
      </c>
      <c r="H7284" s="22">
        <v>0.33000000000000002</v>
      </c>
      <c r="I7284" s="23" t="str">
        <f t="shared" si="340"/>
        <v xml:space="preserve">COM VALOR</v>
      </c>
      <c r="J7284" s="19"/>
      <c r="L7284" s="21">
        <v>42.630000000000003</v>
      </c>
      <c r="M7284" s="22">
        <v>0</v>
      </c>
      <c r="N7284" s="21">
        <v>39.850000000000001</v>
      </c>
      <c r="O7284" s="22">
        <v>0</v>
      </c>
    </row>
    <row r="7285" ht="12.75">
      <c r="A7285" t="s">
        <v>7085</v>
      </c>
      <c r="B7285" s="19">
        <v>88300</v>
      </c>
      <c r="C7285" s="20" t="s">
        <v>7374</v>
      </c>
      <c r="D7285" s="19" t="s">
        <v>2032</v>
      </c>
      <c r="E7285" s="21">
        <f t="shared" si="338"/>
        <v>42.630000000000003</v>
      </c>
      <c r="F7285" s="22">
        <v>0.28000000000000003</v>
      </c>
      <c r="G7285" s="21">
        <f t="shared" si="339"/>
        <v>39.850000000000001</v>
      </c>
      <c r="H7285" s="22">
        <v>0.28000000000000003</v>
      </c>
      <c r="I7285" s="23" t="str">
        <f t="shared" si="340"/>
        <v xml:space="preserve">COM VALOR</v>
      </c>
      <c r="J7285" s="19"/>
      <c r="L7285" s="21">
        <v>42.630000000000003</v>
      </c>
      <c r="M7285" s="22">
        <v>0</v>
      </c>
      <c r="N7285" s="21">
        <v>39.850000000000001</v>
      </c>
      <c r="O7285" s="22">
        <v>0</v>
      </c>
    </row>
    <row r="7286" ht="12.75">
      <c r="A7286" t="s">
        <v>7085</v>
      </c>
      <c r="B7286" s="19">
        <v>101438</v>
      </c>
      <c r="C7286" s="20" t="s">
        <v>7374</v>
      </c>
      <c r="D7286" s="19" t="s">
        <v>7087</v>
      </c>
      <c r="E7286" s="21">
        <f t="shared" si="338"/>
        <v>7353.5100000000002</v>
      </c>
      <c r="F7286" s="22">
        <v>0.57999999999999996</v>
      </c>
      <c r="G7286" s="21">
        <f t="shared" si="339"/>
        <v>6871.0200000000004</v>
      </c>
      <c r="H7286" s="22">
        <v>0.57999999999999996</v>
      </c>
      <c r="I7286" s="23" t="str">
        <f t="shared" si="340"/>
        <v xml:space="preserve">COM VALOR</v>
      </c>
      <c r="J7286" s="19"/>
      <c r="L7286" s="21">
        <v>7353.5100000000002</v>
      </c>
      <c r="M7286" s="22">
        <v>0</v>
      </c>
      <c r="N7286" s="21">
        <v>6871.0200000000004</v>
      </c>
      <c r="O7286" s="22">
        <v>0</v>
      </c>
    </row>
    <row r="7287" ht="25.5">
      <c r="A7287" t="s">
        <v>7085</v>
      </c>
      <c r="B7287" s="19">
        <v>88297</v>
      </c>
      <c r="C7287" s="20" t="s">
        <v>7375</v>
      </c>
      <c r="D7287" s="19" t="s">
        <v>2032</v>
      </c>
      <c r="E7287" s="21">
        <f t="shared" si="338"/>
        <v>30.850000000000001</v>
      </c>
      <c r="F7287" s="22">
        <v>0</v>
      </c>
      <c r="G7287" s="21">
        <f t="shared" si="339"/>
        <v>28.949999999999999</v>
      </c>
      <c r="H7287" s="22">
        <v>0</v>
      </c>
      <c r="I7287" s="23" t="str">
        <f t="shared" si="340"/>
        <v xml:space="preserve">COM VALOR</v>
      </c>
      <c r="J7287" s="19"/>
      <c r="L7287" s="21">
        <v>30.850000000000001</v>
      </c>
      <c r="M7287" s="22">
        <v>0</v>
      </c>
      <c r="N7287" s="21">
        <v>28.949999999999999</v>
      </c>
      <c r="O7287" s="22">
        <v>0</v>
      </c>
    </row>
    <row r="7288" ht="25.5">
      <c r="A7288" t="s">
        <v>7085</v>
      </c>
      <c r="B7288" s="19">
        <v>101435</v>
      </c>
      <c r="C7288" s="20" t="s">
        <v>7376</v>
      </c>
      <c r="D7288" s="19" t="s">
        <v>7087</v>
      </c>
      <c r="E7288" s="21">
        <f t="shared" si="338"/>
        <v>5295.7200000000003</v>
      </c>
      <c r="F7288" s="22">
        <v>0</v>
      </c>
      <c r="G7288" s="21">
        <f t="shared" si="339"/>
        <v>4967.1000000000004</v>
      </c>
      <c r="H7288" s="22">
        <v>0</v>
      </c>
      <c r="I7288" s="23" t="str">
        <f t="shared" si="340"/>
        <v xml:space="preserve">COM VALOR</v>
      </c>
      <c r="J7288" s="19"/>
      <c r="L7288" s="21">
        <v>5295.7200000000003</v>
      </c>
      <c r="M7288" s="22">
        <v>0</v>
      </c>
      <c r="N7288" s="21">
        <v>4967.1000000000004</v>
      </c>
      <c r="O7288" s="22">
        <v>0</v>
      </c>
    </row>
    <row r="7289" ht="25.5">
      <c r="A7289" t="s">
        <v>7085</v>
      </c>
      <c r="B7289" s="19">
        <v>101440</v>
      </c>
      <c r="C7289" s="20" t="s">
        <v>7377</v>
      </c>
      <c r="D7289" s="19" t="s">
        <v>7087</v>
      </c>
      <c r="E7289" s="21">
        <f t="shared" si="338"/>
        <v>5283.9099999999999</v>
      </c>
      <c r="F7289" s="22">
        <v>0</v>
      </c>
      <c r="G7289" s="21">
        <f t="shared" si="339"/>
        <v>4956.1800000000003</v>
      </c>
      <c r="H7289" s="22">
        <v>0</v>
      </c>
      <c r="I7289" s="23" t="str">
        <f t="shared" si="340"/>
        <v xml:space="preserve">COM VALOR</v>
      </c>
      <c r="J7289" s="19"/>
      <c r="L7289" s="21">
        <v>5283.9099999999999</v>
      </c>
      <c r="M7289" s="22">
        <v>0</v>
      </c>
      <c r="N7289" s="21">
        <v>4956.1800000000003</v>
      </c>
      <c r="O7289" s="22">
        <v>0</v>
      </c>
    </row>
    <row r="7290" ht="12.75">
      <c r="A7290" t="s">
        <v>7085</v>
      </c>
      <c r="B7290" s="19">
        <v>88302</v>
      </c>
      <c r="C7290" s="20" t="s">
        <v>7378</v>
      </c>
      <c r="D7290" s="19" t="s">
        <v>2032</v>
      </c>
      <c r="E7290" s="21">
        <f t="shared" si="338"/>
        <v>30.710000000000001</v>
      </c>
      <c r="F7290" s="22">
        <v>0</v>
      </c>
      <c r="G7290" s="21">
        <f t="shared" si="339"/>
        <v>28.82</v>
      </c>
      <c r="H7290" s="22">
        <v>0</v>
      </c>
      <c r="I7290" s="23" t="str">
        <f t="shared" si="340"/>
        <v xml:space="preserve">COM VALOR</v>
      </c>
      <c r="J7290" s="19"/>
      <c r="L7290" s="21">
        <v>30.710000000000001</v>
      </c>
      <c r="M7290" s="22">
        <v>0</v>
      </c>
      <c r="N7290" s="21">
        <v>28.82</v>
      </c>
      <c r="O7290" s="22">
        <v>0</v>
      </c>
    </row>
    <row r="7291" ht="12.75">
      <c r="A7291" t="s">
        <v>7085</v>
      </c>
      <c r="B7291" s="19">
        <v>88301</v>
      </c>
      <c r="C7291" s="20" t="s">
        <v>7379</v>
      </c>
      <c r="D7291" s="19" t="s">
        <v>2032</v>
      </c>
      <c r="E7291" s="21">
        <f t="shared" si="338"/>
        <v>30.710000000000001</v>
      </c>
      <c r="F7291" s="22">
        <v>0</v>
      </c>
      <c r="G7291" s="21">
        <f t="shared" si="339"/>
        <v>28.82</v>
      </c>
      <c r="H7291" s="22">
        <v>0</v>
      </c>
      <c r="I7291" s="23" t="str">
        <f t="shared" si="340"/>
        <v xml:space="preserve">COM VALOR</v>
      </c>
      <c r="J7291" s="19"/>
      <c r="L7291" s="21">
        <v>30.710000000000001</v>
      </c>
      <c r="M7291" s="22">
        <v>0</v>
      </c>
      <c r="N7291" s="21">
        <v>28.82</v>
      </c>
      <c r="O7291" s="22">
        <v>0</v>
      </c>
    </row>
    <row r="7292" ht="12.75">
      <c r="A7292" t="s">
        <v>7085</v>
      </c>
      <c r="B7292" s="19">
        <v>101439</v>
      </c>
      <c r="C7292" s="20" t="s">
        <v>7379</v>
      </c>
      <c r="D7292" s="19" t="s">
        <v>7087</v>
      </c>
      <c r="E7292" s="21">
        <f t="shared" si="338"/>
        <v>5283.9099999999999</v>
      </c>
      <c r="F7292" s="22">
        <v>0</v>
      </c>
      <c r="G7292" s="21">
        <f t="shared" si="339"/>
        <v>4956.1800000000003</v>
      </c>
      <c r="H7292" s="22">
        <v>0</v>
      </c>
      <c r="I7292" s="23" t="str">
        <f t="shared" si="340"/>
        <v xml:space="preserve">COM VALOR</v>
      </c>
      <c r="J7292" s="19"/>
      <c r="L7292" s="21">
        <v>5283.9099999999999</v>
      </c>
      <c r="M7292" s="22">
        <v>0</v>
      </c>
      <c r="N7292" s="21">
        <v>4956.1800000000003</v>
      </c>
      <c r="O7292" s="22">
        <v>0</v>
      </c>
    </row>
    <row r="7293" ht="25.5">
      <c r="A7293" t="s">
        <v>7085</v>
      </c>
      <c r="B7293" s="19">
        <v>88303</v>
      </c>
      <c r="C7293" s="20" t="s">
        <v>7380</v>
      </c>
      <c r="D7293" s="19" t="s">
        <v>2032</v>
      </c>
      <c r="E7293" s="21">
        <f t="shared" si="338"/>
        <v>28.25</v>
      </c>
      <c r="F7293" s="22">
        <v>0</v>
      </c>
      <c r="G7293" s="21">
        <f t="shared" si="339"/>
        <v>26.550000000000001</v>
      </c>
      <c r="H7293" s="22">
        <v>0</v>
      </c>
      <c r="I7293" s="23" t="str">
        <f t="shared" si="340"/>
        <v xml:space="preserve">COM VALOR</v>
      </c>
      <c r="J7293" s="19"/>
      <c r="L7293" s="21">
        <v>28.25</v>
      </c>
      <c r="M7293" s="22">
        <v>0</v>
      </c>
      <c r="N7293" s="21">
        <v>26.550000000000001</v>
      </c>
      <c r="O7293" s="22">
        <v>0</v>
      </c>
    </row>
    <row r="7294" ht="25.5">
      <c r="A7294" t="s">
        <v>7085</v>
      </c>
      <c r="B7294" s="19">
        <v>101441</v>
      </c>
      <c r="C7294" s="20" t="s">
        <v>7380</v>
      </c>
      <c r="D7294" s="19" t="s">
        <v>7087</v>
      </c>
      <c r="E7294" s="21">
        <f t="shared" si="338"/>
        <v>4858.6400000000003</v>
      </c>
      <c r="F7294" s="22">
        <v>0</v>
      </c>
      <c r="G7294" s="21">
        <f t="shared" si="339"/>
        <v>4562.71</v>
      </c>
      <c r="H7294" s="22">
        <v>0</v>
      </c>
      <c r="I7294" s="23" t="str">
        <f t="shared" si="340"/>
        <v xml:space="preserve">COM VALOR</v>
      </c>
      <c r="J7294" s="19"/>
      <c r="L7294" s="21">
        <v>4858.6400000000003</v>
      </c>
      <c r="M7294" s="22">
        <v>0</v>
      </c>
      <c r="N7294" s="21">
        <v>4562.71</v>
      </c>
      <c r="O7294" s="22">
        <v>0</v>
      </c>
    </row>
    <row r="7295" ht="25.5">
      <c r="A7295" t="s">
        <v>7085</v>
      </c>
      <c r="B7295" s="19">
        <v>88304</v>
      </c>
      <c r="C7295" s="20" t="s">
        <v>7381</v>
      </c>
      <c r="D7295" s="19" t="s">
        <v>2032</v>
      </c>
      <c r="E7295" s="21">
        <f t="shared" si="338"/>
        <v>42.630000000000003</v>
      </c>
      <c r="F7295" s="22">
        <v>0</v>
      </c>
      <c r="G7295" s="21">
        <f t="shared" si="339"/>
        <v>39.850000000000001</v>
      </c>
      <c r="H7295" s="22">
        <v>0</v>
      </c>
      <c r="I7295" s="23" t="str">
        <f t="shared" si="340"/>
        <v xml:space="preserve">COM VALOR</v>
      </c>
      <c r="J7295" s="19"/>
      <c r="L7295" s="21">
        <v>42.630000000000003</v>
      </c>
      <c r="M7295" s="22">
        <v>0</v>
      </c>
      <c r="N7295" s="21">
        <v>39.850000000000001</v>
      </c>
      <c r="O7295" s="22">
        <v>0</v>
      </c>
    </row>
    <row r="7296" ht="25.5">
      <c r="A7296" t="s">
        <v>7085</v>
      </c>
      <c r="B7296" s="19">
        <v>101443</v>
      </c>
      <c r="C7296" s="20" t="s">
        <v>7381</v>
      </c>
      <c r="D7296" s="19" t="s">
        <v>7087</v>
      </c>
      <c r="E7296" s="21">
        <f t="shared" si="338"/>
        <v>7353.5100000000002</v>
      </c>
      <c r="F7296" s="22">
        <v>0</v>
      </c>
      <c r="G7296" s="21">
        <f t="shared" si="339"/>
        <v>6871.0200000000004</v>
      </c>
      <c r="H7296" s="22">
        <v>0</v>
      </c>
      <c r="I7296" s="23" t="str">
        <f t="shared" si="340"/>
        <v xml:space="preserve">COM VALOR</v>
      </c>
      <c r="J7296" s="19"/>
      <c r="L7296" s="21">
        <v>7353.5100000000002</v>
      </c>
      <c r="M7296" s="22">
        <v>0</v>
      </c>
      <c r="N7296" s="21">
        <v>6871.0200000000004</v>
      </c>
      <c r="O7296" s="22">
        <v>0</v>
      </c>
    </row>
    <row r="7297" ht="25.5">
      <c r="A7297" t="s">
        <v>7085</v>
      </c>
      <c r="B7297" s="19">
        <v>88306</v>
      </c>
      <c r="C7297" s="20" t="s">
        <v>7382</v>
      </c>
      <c r="D7297" s="19" t="s">
        <v>2032</v>
      </c>
      <c r="E7297" s="21">
        <f t="shared" si="338"/>
        <v>26.300000000000001</v>
      </c>
      <c r="F7297" s="22">
        <v>0</v>
      </c>
      <c r="G7297" s="21">
        <f t="shared" si="339"/>
        <v>24.73</v>
      </c>
      <c r="H7297" s="22">
        <v>0</v>
      </c>
      <c r="I7297" s="23" t="str">
        <f t="shared" si="340"/>
        <v xml:space="preserve">COM VALOR</v>
      </c>
      <c r="J7297" s="19"/>
      <c r="L7297" s="21">
        <v>26.300000000000001</v>
      </c>
      <c r="M7297" s="22">
        <v>0</v>
      </c>
      <c r="N7297" s="21">
        <v>24.73</v>
      </c>
      <c r="O7297" s="22">
        <v>0</v>
      </c>
    </row>
    <row r="7298" ht="12.75">
      <c r="A7298" t="s">
        <v>7085</v>
      </c>
      <c r="B7298" s="19">
        <v>88307</v>
      </c>
      <c r="C7298" s="20" t="s">
        <v>7383</v>
      </c>
      <c r="D7298" s="19" t="s">
        <v>2032</v>
      </c>
      <c r="E7298" s="21">
        <f t="shared" si="338"/>
        <v>28.559999999999999</v>
      </c>
      <c r="F7298" s="22">
        <v>0</v>
      </c>
      <c r="G7298" s="21">
        <f t="shared" si="339"/>
        <v>26.829999999999998</v>
      </c>
      <c r="H7298" s="22">
        <v>0</v>
      </c>
      <c r="I7298" s="23" t="str">
        <f t="shared" si="340"/>
        <v xml:space="preserve">COM VALOR</v>
      </c>
      <c r="J7298" s="19"/>
      <c r="L7298" s="21">
        <v>28.559999999999999</v>
      </c>
      <c r="M7298" s="22">
        <v>0</v>
      </c>
      <c r="N7298" s="21">
        <v>26.829999999999998</v>
      </c>
      <c r="O7298" s="22">
        <v>0</v>
      </c>
    </row>
    <row r="7299" ht="12.75">
      <c r="A7299" t="s">
        <v>7085</v>
      </c>
      <c r="B7299" s="19">
        <v>88308</v>
      </c>
      <c r="C7299" s="20" t="s">
        <v>7384</v>
      </c>
      <c r="D7299" s="19" t="s">
        <v>2032</v>
      </c>
      <c r="E7299" s="21">
        <f t="shared" si="338"/>
        <v>28.359999999999999</v>
      </c>
      <c r="F7299" s="22">
        <v>0</v>
      </c>
      <c r="G7299" s="21">
        <f t="shared" si="339"/>
        <v>26.75</v>
      </c>
      <c r="H7299" s="22">
        <v>0</v>
      </c>
      <c r="I7299" s="23" t="str">
        <f t="shared" si="340"/>
        <v xml:space="preserve">COM VALOR</v>
      </c>
      <c r="J7299" s="19"/>
      <c r="L7299" s="21">
        <v>28.359999999999999</v>
      </c>
      <c r="M7299" s="22">
        <v>0</v>
      </c>
      <c r="N7299" s="21">
        <v>26.75</v>
      </c>
      <c r="O7299" s="22">
        <v>0</v>
      </c>
    </row>
    <row r="7300" ht="12.75">
      <c r="A7300" t="s">
        <v>7085</v>
      </c>
      <c r="B7300" s="19">
        <v>101444</v>
      </c>
      <c r="C7300" s="20" t="s">
        <v>7384</v>
      </c>
      <c r="D7300" s="19" t="s">
        <v>7087</v>
      </c>
      <c r="E7300" s="21">
        <f t="shared" si="338"/>
        <v>4840</v>
      </c>
      <c r="F7300" s="22">
        <v>0</v>
      </c>
      <c r="G7300" s="21">
        <f t="shared" si="339"/>
        <v>4561.6899999999996</v>
      </c>
      <c r="H7300" s="22">
        <v>0</v>
      </c>
      <c r="I7300" s="23" t="str">
        <f t="shared" si="340"/>
        <v xml:space="preserve">COM VALOR</v>
      </c>
      <c r="J7300" s="19"/>
      <c r="L7300" s="21">
        <v>4840</v>
      </c>
      <c r="M7300" s="22">
        <v>0</v>
      </c>
      <c r="N7300" s="21">
        <v>4561.6899999999996</v>
      </c>
      <c r="O7300" s="22">
        <v>0</v>
      </c>
    </row>
    <row r="7301" ht="12.75">
      <c r="A7301" t="s">
        <v>7085</v>
      </c>
      <c r="B7301" s="19">
        <v>88309</v>
      </c>
      <c r="C7301" s="20" t="s">
        <v>7385</v>
      </c>
      <c r="D7301" s="19" t="s">
        <v>2032</v>
      </c>
      <c r="E7301" s="21">
        <f t="shared" si="338"/>
        <v>28.5</v>
      </c>
      <c r="F7301" s="22">
        <v>0</v>
      </c>
      <c r="G7301" s="21">
        <f t="shared" si="339"/>
        <v>26.870000000000001</v>
      </c>
      <c r="H7301" s="22">
        <v>0</v>
      </c>
      <c r="I7301" s="23" t="str">
        <f t="shared" si="340"/>
        <v xml:space="preserve">COM VALOR</v>
      </c>
      <c r="J7301" s="19"/>
      <c r="L7301" s="21">
        <v>28.5</v>
      </c>
      <c r="M7301" s="22">
        <v>0</v>
      </c>
      <c r="N7301" s="21">
        <v>26.870000000000001</v>
      </c>
      <c r="O7301" s="22">
        <v>0</v>
      </c>
    </row>
    <row r="7302" ht="12.75">
      <c r="A7302" t="s">
        <v>7085</v>
      </c>
      <c r="B7302" s="19">
        <v>101445</v>
      </c>
      <c r="C7302" s="20" t="s">
        <v>7385</v>
      </c>
      <c r="D7302" s="19" t="s">
        <v>7087</v>
      </c>
      <c r="E7302" s="21">
        <f t="shared" si="338"/>
        <v>4840</v>
      </c>
      <c r="F7302" s="22">
        <v>0</v>
      </c>
      <c r="G7302" s="21">
        <f t="shared" si="339"/>
        <v>4561.6899999999996</v>
      </c>
      <c r="H7302" s="22">
        <v>0</v>
      </c>
      <c r="I7302" s="23" t="str">
        <f t="shared" si="340"/>
        <v xml:space="preserve">COM VALOR</v>
      </c>
      <c r="J7302" s="19"/>
      <c r="L7302" s="21">
        <v>4840</v>
      </c>
      <c r="M7302" s="22">
        <v>0</v>
      </c>
      <c r="N7302" s="21">
        <v>4561.6899999999996</v>
      </c>
      <c r="O7302" s="22">
        <v>0</v>
      </c>
    </row>
    <row r="7303" ht="12.75">
      <c r="A7303" t="s">
        <v>7085</v>
      </c>
      <c r="B7303" s="19">
        <v>88310</v>
      </c>
      <c r="C7303" s="20" t="s">
        <v>7386</v>
      </c>
      <c r="D7303" s="19" t="s">
        <v>2032</v>
      </c>
      <c r="E7303" s="21">
        <f t="shared" si="338"/>
        <v>30.210000000000001</v>
      </c>
      <c r="F7303" s="22">
        <v>0</v>
      </c>
      <c r="G7303" s="21">
        <f t="shared" si="339"/>
        <v>28.600000000000001</v>
      </c>
      <c r="H7303" s="22">
        <v>0</v>
      </c>
      <c r="I7303" s="23" t="str">
        <f t="shared" si="340"/>
        <v xml:space="preserve">COM VALOR</v>
      </c>
      <c r="J7303" s="19"/>
      <c r="L7303" s="21">
        <v>30.210000000000001</v>
      </c>
      <c r="M7303" s="22">
        <v>0</v>
      </c>
      <c r="N7303" s="21">
        <v>28.600000000000001</v>
      </c>
      <c r="O7303" s="22">
        <v>0</v>
      </c>
    </row>
    <row r="7304" ht="12.75">
      <c r="A7304" t="s">
        <v>7085</v>
      </c>
      <c r="B7304" s="19">
        <v>101446</v>
      </c>
      <c r="C7304" s="20" t="s">
        <v>7386</v>
      </c>
      <c r="D7304" s="19" t="s">
        <v>7087</v>
      </c>
      <c r="E7304" s="21">
        <f t="shared" si="338"/>
        <v>5145.3400000000001</v>
      </c>
      <c r="F7304" s="22">
        <v>0</v>
      </c>
      <c r="G7304" s="21">
        <f t="shared" si="339"/>
        <v>4867.0299999999997</v>
      </c>
      <c r="H7304" s="22">
        <v>0</v>
      </c>
      <c r="I7304" s="23" t="str">
        <f t="shared" si="340"/>
        <v xml:space="preserve">COM VALOR</v>
      </c>
      <c r="J7304" s="19"/>
      <c r="L7304" s="21">
        <v>5145.3400000000001</v>
      </c>
      <c r="M7304" s="22">
        <v>0</v>
      </c>
      <c r="N7304" s="21">
        <v>4867.0299999999997</v>
      </c>
      <c r="O7304" s="22">
        <v>0</v>
      </c>
    </row>
    <row r="7305" ht="12.75">
      <c r="A7305" t="s">
        <v>7085</v>
      </c>
      <c r="B7305" s="19">
        <v>88311</v>
      </c>
      <c r="C7305" s="20" t="s">
        <v>7387</v>
      </c>
      <c r="D7305" s="19" t="s">
        <v>2032</v>
      </c>
      <c r="E7305" s="21">
        <f t="shared" si="338"/>
        <v>29.579999999999998</v>
      </c>
      <c r="F7305" s="22">
        <v>0</v>
      </c>
      <c r="G7305" s="21">
        <f t="shared" si="339"/>
        <v>28.010000000000002</v>
      </c>
      <c r="H7305" s="22">
        <v>0</v>
      </c>
      <c r="I7305" s="23" t="str">
        <f t="shared" si="340"/>
        <v xml:space="preserve">COM VALOR</v>
      </c>
      <c r="J7305" s="19"/>
      <c r="L7305" s="21">
        <v>29.579999999999998</v>
      </c>
      <c r="M7305" s="22">
        <v>0</v>
      </c>
      <c r="N7305" s="21">
        <v>28.010000000000002</v>
      </c>
      <c r="O7305" s="22">
        <v>0</v>
      </c>
    </row>
    <row r="7306" ht="12.75">
      <c r="A7306" t="s">
        <v>7085</v>
      </c>
      <c r="B7306" s="19">
        <v>101447</v>
      </c>
      <c r="C7306" s="20" t="s">
        <v>7387</v>
      </c>
      <c r="D7306" s="19" t="s">
        <v>7087</v>
      </c>
      <c r="E7306" s="21">
        <f t="shared" si="338"/>
        <v>5037.6599999999999</v>
      </c>
      <c r="F7306" s="22">
        <v>0</v>
      </c>
      <c r="G7306" s="21">
        <f t="shared" si="339"/>
        <v>4767.4099999999999</v>
      </c>
      <c r="H7306" s="22">
        <v>0</v>
      </c>
      <c r="I7306" s="23" t="str">
        <f t="shared" si="340"/>
        <v xml:space="preserve">COM VALOR</v>
      </c>
      <c r="J7306" s="19"/>
      <c r="L7306" s="21">
        <v>5037.6599999999999</v>
      </c>
      <c r="M7306" s="22">
        <v>0</v>
      </c>
      <c r="N7306" s="21">
        <v>4767.4099999999999</v>
      </c>
      <c r="O7306" s="22">
        <v>0</v>
      </c>
    </row>
    <row r="7307" ht="12.75">
      <c r="A7307" t="s">
        <v>7085</v>
      </c>
      <c r="B7307" s="19">
        <v>88312</v>
      </c>
      <c r="C7307" s="20" t="s">
        <v>7388</v>
      </c>
      <c r="D7307" s="19" t="s">
        <v>2032</v>
      </c>
      <c r="E7307" s="21">
        <f t="shared" ref="E7307:E7370" si="341">IF(L7307=0,"VERIFICAR",L7307)</f>
        <v>30.210000000000001</v>
      </c>
      <c r="F7307" s="22">
        <v>0</v>
      </c>
      <c r="G7307" s="21">
        <f t="shared" ref="G7307:G7370" si="342">IF(N7307=0,"VERIFICAR",N7307)</f>
        <v>28.600000000000001</v>
      </c>
      <c r="H7307" s="22">
        <v>0</v>
      </c>
      <c r="I7307" s="23" t="str">
        <f t="shared" ref="I7307:I7370" si="343">IF(OR(E7307=0,G7307=0),"SEM VALOR","COM VALOR")</f>
        <v xml:space="preserve">COM VALOR</v>
      </c>
      <c r="J7307" s="19"/>
      <c r="L7307" s="21">
        <v>30.210000000000001</v>
      </c>
      <c r="M7307" s="22">
        <v>0</v>
      </c>
      <c r="N7307" s="21">
        <v>28.600000000000001</v>
      </c>
      <c r="O7307" s="22">
        <v>0</v>
      </c>
    </row>
    <row r="7308" ht="12.75">
      <c r="A7308" t="s">
        <v>7085</v>
      </c>
      <c r="B7308" s="19">
        <v>101448</v>
      </c>
      <c r="C7308" s="20" t="s">
        <v>7388</v>
      </c>
      <c r="D7308" s="19" t="s">
        <v>7087</v>
      </c>
      <c r="E7308" s="21">
        <f t="shared" si="341"/>
        <v>5145.3400000000001</v>
      </c>
      <c r="F7308" s="22">
        <v>0</v>
      </c>
      <c r="G7308" s="21">
        <f t="shared" si="342"/>
        <v>4867.0299999999997</v>
      </c>
      <c r="H7308" s="22">
        <v>0</v>
      </c>
      <c r="I7308" s="23" t="str">
        <f t="shared" si="343"/>
        <v xml:space="preserve">COM VALOR</v>
      </c>
      <c r="J7308" s="19"/>
      <c r="L7308" s="21">
        <v>5145.3400000000001</v>
      </c>
      <c r="M7308" s="22">
        <v>0</v>
      </c>
      <c r="N7308" s="21">
        <v>4867.0299999999997</v>
      </c>
      <c r="O7308" s="22">
        <v>0</v>
      </c>
    </row>
    <row r="7309" ht="12.75">
      <c r="A7309" t="s">
        <v>7085</v>
      </c>
      <c r="B7309" s="19">
        <v>101449</v>
      </c>
      <c r="C7309" s="20" t="s">
        <v>7389</v>
      </c>
      <c r="D7309" s="19" t="s">
        <v>7087</v>
      </c>
      <c r="E7309" s="21">
        <f t="shared" si="341"/>
        <v>4988.25</v>
      </c>
      <c r="F7309" s="22">
        <v>0</v>
      </c>
      <c r="G7309" s="21">
        <f t="shared" si="342"/>
        <v>4682.6300000000001</v>
      </c>
      <c r="H7309" s="22">
        <v>0</v>
      </c>
      <c r="I7309" s="23" t="str">
        <f t="shared" si="343"/>
        <v xml:space="preserve">COM VALOR</v>
      </c>
      <c r="J7309" s="19"/>
      <c r="L7309" s="21">
        <v>4988.25</v>
      </c>
      <c r="M7309" s="22">
        <v>0</v>
      </c>
      <c r="N7309" s="21">
        <v>4682.6300000000001</v>
      </c>
      <c r="O7309" s="22">
        <v>0</v>
      </c>
    </row>
    <row r="7310" ht="12.75">
      <c r="A7310" t="s">
        <v>7085</v>
      </c>
      <c r="B7310" s="19">
        <v>88313</v>
      </c>
      <c r="C7310" s="20" t="s">
        <v>7390</v>
      </c>
      <c r="D7310" s="19" t="s">
        <v>2032</v>
      </c>
      <c r="E7310" s="21">
        <f t="shared" si="341"/>
        <v>29.289999999999999</v>
      </c>
      <c r="F7310" s="22">
        <v>0</v>
      </c>
      <c r="G7310" s="21">
        <f t="shared" si="342"/>
        <v>27.510000000000002</v>
      </c>
      <c r="H7310" s="22">
        <v>0</v>
      </c>
      <c r="I7310" s="23" t="str">
        <f t="shared" si="343"/>
        <v xml:space="preserve">COM VALOR</v>
      </c>
      <c r="J7310" s="19"/>
      <c r="L7310" s="21">
        <v>29.289999999999999</v>
      </c>
      <c r="M7310" s="22">
        <v>0</v>
      </c>
      <c r="N7310" s="21">
        <v>27.510000000000002</v>
      </c>
      <c r="O7310" s="22">
        <v>0</v>
      </c>
    </row>
    <row r="7311" ht="12.75">
      <c r="A7311" t="s">
        <v>7085</v>
      </c>
      <c r="B7311" s="19">
        <v>88314</v>
      </c>
      <c r="C7311" s="20" t="s">
        <v>7391</v>
      </c>
      <c r="D7311" s="19" t="s">
        <v>2032</v>
      </c>
      <c r="E7311" s="21">
        <f t="shared" si="341"/>
        <v>24.82</v>
      </c>
      <c r="F7311" s="22">
        <v>0</v>
      </c>
      <c r="G7311" s="21">
        <f t="shared" si="342"/>
        <v>23.379999999999999</v>
      </c>
      <c r="H7311" s="22">
        <v>0</v>
      </c>
      <c r="I7311" s="23" t="str">
        <f t="shared" si="343"/>
        <v xml:space="preserve">COM VALOR</v>
      </c>
      <c r="J7311" s="19"/>
      <c r="L7311" s="21">
        <v>24.82</v>
      </c>
      <c r="M7311" s="22">
        <v>0</v>
      </c>
      <c r="N7311" s="21">
        <v>23.379999999999999</v>
      </c>
      <c r="O7311" s="22">
        <v>0</v>
      </c>
    </row>
    <row r="7312" ht="12.75">
      <c r="A7312" t="s">
        <v>7085</v>
      </c>
      <c r="B7312" s="19">
        <v>88315</v>
      </c>
      <c r="C7312" s="20" t="s">
        <v>7392</v>
      </c>
      <c r="D7312" s="19" t="s">
        <v>2032</v>
      </c>
      <c r="E7312" s="21">
        <f t="shared" si="341"/>
        <v>28.800000000000001</v>
      </c>
      <c r="F7312" s="22">
        <v>0</v>
      </c>
      <c r="G7312" s="21">
        <f t="shared" si="342"/>
        <v>27.149999999999999</v>
      </c>
      <c r="H7312" s="22">
        <v>0</v>
      </c>
      <c r="I7312" s="23" t="str">
        <f t="shared" si="343"/>
        <v xml:space="preserve">COM VALOR</v>
      </c>
      <c r="J7312" s="19"/>
      <c r="L7312" s="21">
        <v>28.800000000000001</v>
      </c>
      <c r="M7312" s="22">
        <v>0</v>
      </c>
      <c r="N7312" s="21">
        <v>27.149999999999999</v>
      </c>
      <c r="O7312" s="22">
        <v>0</v>
      </c>
    </row>
    <row r="7313" ht="12.75">
      <c r="A7313" t="s">
        <v>7085</v>
      </c>
      <c r="B7313" s="19">
        <v>101451</v>
      </c>
      <c r="C7313" s="20" t="s">
        <v>7392</v>
      </c>
      <c r="D7313" s="19" t="s">
        <v>7087</v>
      </c>
      <c r="E7313" s="21">
        <f t="shared" si="341"/>
        <v>4929.0799999999999</v>
      </c>
      <c r="F7313" s="22">
        <v>0</v>
      </c>
      <c r="G7313" s="21">
        <f t="shared" si="342"/>
        <v>4644.1099999999997</v>
      </c>
      <c r="H7313" s="22">
        <v>0</v>
      </c>
      <c r="I7313" s="23" t="str">
        <f t="shared" si="343"/>
        <v xml:space="preserve">COM VALOR</v>
      </c>
      <c r="J7313" s="19"/>
      <c r="L7313" s="21">
        <v>4929.0799999999999</v>
      </c>
      <c r="M7313" s="22">
        <v>0</v>
      </c>
      <c r="N7313" s="21">
        <v>4644.1099999999997</v>
      </c>
      <c r="O7313" s="22">
        <v>0</v>
      </c>
    </row>
    <row r="7314" ht="12.75">
      <c r="A7314" t="s">
        <v>7085</v>
      </c>
      <c r="B7314" s="19">
        <v>88316</v>
      </c>
      <c r="C7314" s="20" t="s">
        <v>7393</v>
      </c>
      <c r="D7314" s="19" t="s">
        <v>2032</v>
      </c>
      <c r="E7314" s="21">
        <f t="shared" si="341"/>
        <v>22.760000000000002</v>
      </c>
      <c r="F7314" s="22">
        <v>0</v>
      </c>
      <c r="G7314" s="21">
        <f t="shared" si="342"/>
        <v>21.550000000000001</v>
      </c>
      <c r="H7314" s="22">
        <v>0</v>
      </c>
      <c r="I7314" s="23" t="str">
        <f t="shared" si="343"/>
        <v xml:space="preserve">COM VALOR</v>
      </c>
      <c r="J7314" s="19"/>
      <c r="L7314" s="21">
        <v>22.760000000000002</v>
      </c>
      <c r="M7314" s="22">
        <v>0</v>
      </c>
      <c r="N7314" s="21">
        <v>21.550000000000001</v>
      </c>
      <c r="O7314" s="22">
        <v>0</v>
      </c>
    </row>
    <row r="7315" ht="12.75">
      <c r="A7315" t="s">
        <v>7085</v>
      </c>
      <c r="B7315" s="19">
        <v>101452</v>
      </c>
      <c r="C7315" s="20" t="s">
        <v>7394</v>
      </c>
      <c r="D7315" s="19" t="s">
        <v>7087</v>
      </c>
      <c r="E7315" s="21">
        <f t="shared" si="341"/>
        <v>3859.7199999999998</v>
      </c>
      <c r="F7315" s="22">
        <v>0</v>
      </c>
      <c r="G7315" s="21">
        <f t="shared" si="342"/>
        <v>3651.6999999999998</v>
      </c>
      <c r="H7315" s="22">
        <v>0</v>
      </c>
      <c r="I7315" s="23" t="str">
        <f t="shared" si="343"/>
        <v xml:space="preserve">COM VALOR</v>
      </c>
      <c r="J7315" s="19"/>
      <c r="L7315" s="21">
        <v>3859.7199999999998</v>
      </c>
      <c r="M7315" s="22">
        <v>0</v>
      </c>
      <c r="N7315" s="21">
        <v>3651.6999999999998</v>
      </c>
      <c r="O7315" s="22">
        <v>0</v>
      </c>
    </row>
    <row r="7316" ht="25.5">
      <c r="A7316" t="s">
        <v>7085</v>
      </c>
      <c r="B7316" s="19">
        <v>88318</v>
      </c>
      <c r="C7316" s="20" t="s">
        <v>7395</v>
      </c>
      <c r="D7316" s="19" t="s">
        <v>2032</v>
      </c>
      <c r="E7316" s="21">
        <f t="shared" si="341"/>
        <v>33.310000000000002</v>
      </c>
      <c r="F7316" s="22">
        <v>0</v>
      </c>
      <c r="G7316" s="21">
        <f t="shared" si="342"/>
        <v>31.420000000000002</v>
      </c>
      <c r="H7316" s="22">
        <v>0</v>
      </c>
      <c r="I7316" s="23" t="str">
        <f t="shared" si="343"/>
        <v xml:space="preserve">COM VALOR</v>
      </c>
      <c r="J7316" s="19"/>
      <c r="L7316" s="21">
        <v>33.310000000000002</v>
      </c>
      <c r="M7316" s="22">
        <v>0</v>
      </c>
      <c r="N7316" s="21">
        <v>31.420000000000002</v>
      </c>
      <c r="O7316" s="22">
        <v>0</v>
      </c>
    </row>
    <row r="7317" ht="12.75">
      <c r="A7317" t="s">
        <v>7085</v>
      </c>
      <c r="B7317" s="19">
        <v>88317</v>
      </c>
      <c r="C7317" s="20" t="s">
        <v>7396</v>
      </c>
      <c r="D7317" s="19" t="s">
        <v>2032</v>
      </c>
      <c r="E7317" s="21">
        <f t="shared" si="341"/>
        <v>29.559999999999999</v>
      </c>
      <c r="F7317" s="22">
        <v>0</v>
      </c>
      <c r="G7317" s="21">
        <f t="shared" si="342"/>
        <v>27.949999999999999</v>
      </c>
      <c r="H7317" s="22">
        <v>0</v>
      </c>
      <c r="I7317" s="23" t="str">
        <f t="shared" si="343"/>
        <v xml:space="preserve">COM VALOR</v>
      </c>
      <c r="J7317" s="19"/>
      <c r="L7317" s="21">
        <v>29.559999999999999</v>
      </c>
      <c r="M7317" s="22">
        <v>0</v>
      </c>
      <c r="N7317" s="21">
        <v>27.949999999999999</v>
      </c>
      <c r="O7317" s="22">
        <v>0</v>
      </c>
    </row>
    <row r="7318" ht="12.75">
      <c r="A7318" t="s">
        <v>7085</v>
      </c>
      <c r="B7318" s="19">
        <v>101453</v>
      </c>
      <c r="C7318" s="20" t="s">
        <v>7396</v>
      </c>
      <c r="D7318" s="19" t="s">
        <v>7087</v>
      </c>
      <c r="E7318" s="21">
        <f t="shared" si="341"/>
        <v>5050.1499999999996</v>
      </c>
      <c r="F7318" s="22">
        <v>0</v>
      </c>
      <c r="G7318" s="21">
        <f t="shared" si="342"/>
        <v>4771.8400000000001</v>
      </c>
      <c r="H7318" s="22">
        <v>0</v>
      </c>
      <c r="I7318" s="23" t="str">
        <f t="shared" si="343"/>
        <v xml:space="preserve">COM VALOR</v>
      </c>
      <c r="J7318" s="19"/>
      <c r="L7318" s="21">
        <v>5050.1499999999996</v>
      </c>
      <c r="M7318" s="22">
        <v>0</v>
      </c>
      <c r="N7318" s="21">
        <v>4771.8400000000001</v>
      </c>
      <c r="O7318" s="22">
        <v>0</v>
      </c>
    </row>
    <row r="7319" ht="12.75">
      <c r="A7319" t="s">
        <v>7085</v>
      </c>
      <c r="B7319" s="19">
        <v>101454</v>
      </c>
      <c r="C7319" s="20" t="s">
        <v>7397</v>
      </c>
      <c r="D7319" s="19" t="s">
        <v>7087</v>
      </c>
      <c r="E7319" s="21">
        <f t="shared" si="341"/>
        <v>5701.9099999999999</v>
      </c>
      <c r="F7319" s="22">
        <v>0</v>
      </c>
      <c r="G7319" s="21">
        <f t="shared" si="342"/>
        <v>5374.8599999999997</v>
      </c>
      <c r="H7319" s="22">
        <v>0</v>
      </c>
      <c r="I7319" s="23" t="str">
        <f t="shared" si="343"/>
        <v xml:space="preserve">COM VALOR</v>
      </c>
      <c r="J7319" s="19"/>
      <c r="L7319" s="21">
        <v>5701.9099999999999</v>
      </c>
      <c r="M7319" s="22">
        <v>0</v>
      </c>
      <c r="N7319" s="21">
        <v>5374.8599999999997</v>
      </c>
      <c r="O7319" s="22">
        <v>0</v>
      </c>
    </row>
    <row r="7320" ht="12.75">
      <c r="A7320" t="s">
        <v>7085</v>
      </c>
      <c r="B7320" s="19">
        <v>100533</v>
      </c>
      <c r="C7320" s="20" t="s">
        <v>7398</v>
      </c>
      <c r="D7320" s="19" t="s">
        <v>2032</v>
      </c>
      <c r="E7320" s="21">
        <f t="shared" si="341"/>
        <v>30.899999999999999</v>
      </c>
      <c r="F7320" s="22">
        <v>0</v>
      </c>
      <c r="G7320" s="21">
        <f t="shared" si="342"/>
        <v>28.98</v>
      </c>
      <c r="H7320" s="22">
        <v>0</v>
      </c>
      <c r="I7320" s="23" t="str">
        <f t="shared" si="343"/>
        <v xml:space="preserve">COM VALOR</v>
      </c>
      <c r="J7320" s="19"/>
      <c r="L7320" s="21">
        <v>30.899999999999999</v>
      </c>
      <c r="M7320" s="22">
        <v>0</v>
      </c>
      <c r="N7320" s="21">
        <v>28.98</v>
      </c>
      <c r="O7320" s="22">
        <v>0</v>
      </c>
    </row>
    <row r="7321" ht="12.75">
      <c r="A7321" t="s">
        <v>7085</v>
      </c>
      <c r="B7321" s="19">
        <v>100534</v>
      </c>
      <c r="C7321" s="20" t="s">
        <v>7398</v>
      </c>
      <c r="D7321" s="19" t="s">
        <v>7087</v>
      </c>
      <c r="E7321" s="21">
        <f t="shared" si="341"/>
        <v>5269.9099999999999</v>
      </c>
      <c r="F7321" s="22">
        <v>0</v>
      </c>
      <c r="G7321" s="21">
        <f t="shared" si="342"/>
        <v>4941.3999999999996</v>
      </c>
      <c r="H7321" s="22">
        <v>0</v>
      </c>
      <c r="I7321" s="23" t="str">
        <f t="shared" si="343"/>
        <v xml:space="preserve">COM VALOR</v>
      </c>
      <c r="J7321" s="19"/>
      <c r="L7321" s="21">
        <v>5269.9099999999999</v>
      </c>
      <c r="M7321" s="22">
        <v>0</v>
      </c>
      <c r="N7321" s="21">
        <v>4941.3999999999996</v>
      </c>
      <c r="O7321" s="22">
        <v>0</v>
      </c>
    </row>
    <row r="7322" ht="12.75">
      <c r="A7322" t="s">
        <v>7085</v>
      </c>
      <c r="B7322" s="19">
        <v>88323</v>
      </c>
      <c r="C7322" s="20" t="s">
        <v>7399</v>
      </c>
      <c r="D7322" s="19" t="s">
        <v>2032</v>
      </c>
      <c r="E7322" s="21">
        <f t="shared" si="341"/>
        <v>27.489999999999998</v>
      </c>
      <c r="F7322" s="22">
        <v>0</v>
      </c>
      <c r="G7322" s="21">
        <f t="shared" si="342"/>
        <v>25.890000000000001</v>
      </c>
      <c r="H7322" s="22">
        <v>0</v>
      </c>
      <c r="I7322" s="23" t="str">
        <f t="shared" si="343"/>
        <v xml:space="preserve">COM VALOR</v>
      </c>
      <c r="J7322" s="19"/>
      <c r="L7322" s="21">
        <v>27.489999999999998</v>
      </c>
      <c r="M7322" s="22">
        <v>0</v>
      </c>
      <c r="N7322" s="21">
        <v>25.890000000000001</v>
      </c>
      <c r="O7322" s="22">
        <v>0</v>
      </c>
    </row>
    <row r="7323" ht="12.75">
      <c r="A7323" t="s">
        <v>7085</v>
      </c>
      <c r="B7323" s="19">
        <v>101458</v>
      </c>
      <c r="C7323" s="20" t="s">
        <v>7400</v>
      </c>
      <c r="D7323" s="19" t="s">
        <v>7087</v>
      </c>
      <c r="E7323" s="21">
        <f t="shared" si="341"/>
        <v>4706.0900000000001</v>
      </c>
      <c r="F7323" s="22">
        <v>0</v>
      </c>
      <c r="G7323" s="21">
        <f t="shared" si="342"/>
        <v>4431.0900000000001</v>
      </c>
      <c r="H7323" s="22">
        <v>0</v>
      </c>
      <c r="I7323" s="23" t="str">
        <f t="shared" si="343"/>
        <v xml:space="preserve">COM VALOR</v>
      </c>
      <c r="J7323" s="19"/>
      <c r="L7323" s="21">
        <v>4706.0900000000001</v>
      </c>
      <c r="M7323" s="22">
        <v>0</v>
      </c>
      <c r="N7323" s="21">
        <v>4431.0900000000001</v>
      </c>
      <c r="O7323" s="22">
        <v>0</v>
      </c>
    </row>
    <row r="7324" ht="12.75">
      <c r="A7324" t="s">
        <v>7085</v>
      </c>
      <c r="B7324" s="19">
        <v>90781</v>
      </c>
      <c r="C7324" s="20" t="s">
        <v>7401</v>
      </c>
      <c r="D7324" s="19" t="s">
        <v>2032</v>
      </c>
      <c r="E7324" s="21">
        <f t="shared" si="341"/>
        <v>37.399999999999999</v>
      </c>
      <c r="F7324" s="22">
        <v>0</v>
      </c>
      <c r="G7324" s="21">
        <f t="shared" si="342"/>
        <v>35</v>
      </c>
      <c r="H7324" s="22">
        <v>0</v>
      </c>
      <c r="I7324" s="23" t="str">
        <f t="shared" si="343"/>
        <v xml:space="preserve">COM VALOR</v>
      </c>
      <c r="J7324" s="19"/>
      <c r="L7324" s="21">
        <v>37.399999999999999</v>
      </c>
      <c r="M7324" s="22">
        <v>0</v>
      </c>
      <c r="N7324" s="21">
        <v>35</v>
      </c>
      <c r="O7324" s="22">
        <v>0</v>
      </c>
    </row>
    <row r="7325" ht="12.75">
      <c r="A7325" t="s">
        <v>7085</v>
      </c>
      <c r="B7325" s="19">
        <v>94296</v>
      </c>
      <c r="C7325" s="20" t="s">
        <v>7401</v>
      </c>
      <c r="D7325" s="19" t="s">
        <v>7087</v>
      </c>
      <c r="E7325" s="21">
        <f t="shared" si="341"/>
        <v>6445.3400000000001</v>
      </c>
      <c r="F7325" s="22">
        <v>0</v>
      </c>
      <c r="G7325" s="21">
        <f t="shared" si="342"/>
        <v>6029.5699999999997</v>
      </c>
      <c r="H7325" s="22">
        <v>0</v>
      </c>
      <c r="I7325" s="23" t="str">
        <f t="shared" si="343"/>
        <v xml:space="preserve">COM VALOR</v>
      </c>
      <c r="J7325" s="19"/>
      <c r="L7325" s="21">
        <v>6445.3400000000001</v>
      </c>
      <c r="M7325" s="22">
        <v>0</v>
      </c>
      <c r="N7325" s="21">
        <v>6029.5699999999997</v>
      </c>
      <c r="O7325" s="22">
        <v>0</v>
      </c>
    </row>
    <row r="7326" ht="12.75">
      <c r="A7326" t="s">
        <v>7085</v>
      </c>
      <c r="B7326" s="19">
        <v>88324</v>
      </c>
      <c r="C7326" s="20" t="s">
        <v>7402</v>
      </c>
      <c r="D7326" s="19" t="s">
        <v>2032</v>
      </c>
      <c r="E7326" s="21">
        <f t="shared" si="341"/>
        <v>30.850000000000001</v>
      </c>
      <c r="F7326" s="22">
        <v>0</v>
      </c>
      <c r="G7326" s="21">
        <f t="shared" si="342"/>
        <v>28.949999999999999</v>
      </c>
      <c r="H7326" s="22">
        <v>0</v>
      </c>
      <c r="I7326" s="23" t="str">
        <f t="shared" si="343"/>
        <v xml:space="preserve">COM VALOR</v>
      </c>
      <c r="J7326" s="19"/>
      <c r="L7326" s="21">
        <v>30.850000000000001</v>
      </c>
      <c r="M7326" s="22">
        <v>0</v>
      </c>
      <c r="N7326" s="21">
        <v>28.949999999999999</v>
      </c>
      <c r="O7326" s="22">
        <v>0</v>
      </c>
    </row>
    <row r="7327" ht="12.75">
      <c r="A7327" t="s">
        <v>7085</v>
      </c>
      <c r="B7327" s="19">
        <v>88321</v>
      </c>
      <c r="C7327" s="20" t="s">
        <v>7403</v>
      </c>
      <c r="D7327" s="19" t="s">
        <v>2032</v>
      </c>
      <c r="E7327" s="21">
        <f t="shared" si="341"/>
        <v>42.469999999999999</v>
      </c>
      <c r="F7327" s="22">
        <v>0</v>
      </c>
      <c r="G7327" s="21">
        <f t="shared" si="342"/>
        <v>39.689999999999998</v>
      </c>
      <c r="H7327" s="22">
        <v>0</v>
      </c>
      <c r="I7327" s="23" t="str">
        <f t="shared" si="343"/>
        <v xml:space="preserve">COM VALOR</v>
      </c>
      <c r="J7327" s="19"/>
      <c r="L7327" s="21">
        <v>42.469999999999999</v>
      </c>
      <c r="M7327" s="22">
        <v>0</v>
      </c>
      <c r="N7327" s="21">
        <v>39.689999999999998</v>
      </c>
      <c r="O7327" s="22">
        <v>0</v>
      </c>
    </row>
    <row r="7328" ht="25.5">
      <c r="A7328" t="s">
        <v>7085</v>
      </c>
      <c r="B7328" s="19">
        <v>101456</v>
      </c>
      <c r="C7328" s="20" t="s">
        <v>7404</v>
      </c>
      <c r="D7328" s="19" t="s">
        <v>7087</v>
      </c>
      <c r="E7328" s="21">
        <f t="shared" si="341"/>
        <v>7329.8299999999999</v>
      </c>
      <c r="F7328" s="22">
        <v>0</v>
      </c>
      <c r="G7328" s="21">
        <f t="shared" si="342"/>
        <v>6847.2799999999997</v>
      </c>
      <c r="H7328" s="22">
        <v>0</v>
      </c>
      <c r="I7328" s="23" t="str">
        <f t="shared" si="343"/>
        <v xml:space="preserve">COM VALOR</v>
      </c>
      <c r="J7328" s="19"/>
      <c r="L7328" s="21">
        <v>7329.8299999999999</v>
      </c>
      <c r="M7328" s="22">
        <v>0</v>
      </c>
      <c r="N7328" s="21">
        <v>6847.2799999999997</v>
      </c>
      <c r="O7328" s="22">
        <v>0</v>
      </c>
    </row>
    <row r="7329" ht="25.5">
      <c r="A7329" t="s">
        <v>7085</v>
      </c>
      <c r="B7329" s="19">
        <v>100309</v>
      </c>
      <c r="C7329" s="20" t="s">
        <v>7405</v>
      </c>
      <c r="D7329" s="19" t="s">
        <v>2032</v>
      </c>
      <c r="E7329" s="21">
        <f t="shared" si="341"/>
        <v>41.380000000000003</v>
      </c>
      <c r="F7329" s="22">
        <v>0</v>
      </c>
      <c r="G7329" s="21">
        <f t="shared" si="342"/>
        <v>38.670000000000002</v>
      </c>
      <c r="H7329" s="22">
        <v>0</v>
      </c>
      <c r="I7329" s="23" t="str">
        <f t="shared" si="343"/>
        <v xml:space="preserve">COM VALOR</v>
      </c>
      <c r="J7329" s="19"/>
      <c r="L7329" s="21">
        <v>41.380000000000003</v>
      </c>
      <c r="M7329" s="22">
        <v>0</v>
      </c>
      <c r="N7329" s="21">
        <v>38.670000000000002</v>
      </c>
      <c r="O7329" s="22">
        <v>0</v>
      </c>
    </row>
    <row r="7330" ht="25.5">
      <c r="A7330" t="s">
        <v>7085</v>
      </c>
      <c r="B7330" s="19">
        <v>100321</v>
      </c>
      <c r="C7330" s="20" t="s">
        <v>7405</v>
      </c>
      <c r="D7330" s="19" t="s">
        <v>7087</v>
      </c>
      <c r="E7330" s="21">
        <f t="shared" si="341"/>
        <v>7081.6400000000003</v>
      </c>
      <c r="F7330" s="22">
        <v>0</v>
      </c>
      <c r="G7330" s="21">
        <f t="shared" si="342"/>
        <v>6617.6499999999996</v>
      </c>
      <c r="H7330" s="22">
        <v>0</v>
      </c>
      <c r="I7330" s="23" t="str">
        <f t="shared" si="343"/>
        <v xml:space="preserve">COM VALOR</v>
      </c>
      <c r="J7330" s="19"/>
      <c r="L7330" s="21">
        <v>7081.6400000000003</v>
      </c>
      <c r="M7330" s="22">
        <v>0</v>
      </c>
      <c r="N7330" s="21">
        <v>6617.6499999999996</v>
      </c>
      <c r="O7330" s="22">
        <v>0</v>
      </c>
    </row>
    <row r="7331" ht="12.75">
      <c r="A7331" t="s">
        <v>7085</v>
      </c>
      <c r="B7331" s="19">
        <v>88322</v>
      </c>
      <c r="C7331" s="20" t="s">
        <v>7406</v>
      </c>
      <c r="D7331" s="19" t="s">
        <v>2032</v>
      </c>
      <c r="E7331" s="21">
        <f t="shared" si="341"/>
        <v>55.420000000000002</v>
      </c>
      <c r="F7331" s="22">
        <v>0</v>
      </c>
      <c r="G7331" s="21">
        <f t="shared" si="342"/>
        <v>51.68</v>
      </c>
      <c r="H7331" s="22">
        <v>0</v>
      </c>
      <c r="I7331" s="23" t="str">
        <f t="shared" si="343"/>
        <v xml:space="preserve">COM VALOR</v>
      </c>
      <c r="J7331" s="19"/>
      <c r="L7331" s="21">
        <v>55.420000000000002</v>
      </c>
      <c r="M7331" s="22">
        <v>0</v>
      </c>
      <c r="N7331" s="21">
        <v>51.68</v>
      </c>
      <c r="O7331" s="22">
        <v>0</v>
      </c>
    </row>
    <row r="7332" ht="12.75">
      <c r="A7332" t="s">
        <v>7085</v>
      </c>
      <c r="B7332" s="19">
        <v>101457</v>
      </c>
      <c r="C7332" s="20" t="s">
        <v>7406</v>
      </c>
      <c r="D7332" s="19" t="s">
        <v>7087</v>
      </c>
      <c r="E7332" s="21">
        <f t="shared" si="341"/>
        <v>9546.8299999999999</v>
      </c>
      <c r="F7332" s="22">
        <v>0</v>
      </c>
      <c r="G7332" s="21">
        <f t="shared" si="342"/>
        <v>8900.3199999999997</v>
      </c>
      <c r="H7332" s="22">
        <v>0</v>
      </c>
      <c r="I7332" s="23" t="str">
        <f t="shared" si="343"/>
        <v xml:space="preserve">COM VALOR</v>
      </c>
      <c r="J7332" s="19"/>
      <c r="L7332" s="21">
        <v>9546.8299999999999</v>
      </c>
      <c r="M7332" s="22">
        <v>0</v>
      </c>
      <c r="N7332" s="21">
        <v>8900.3199999999997</v>
      </c>
      <c r="O7332" s="22">
        <v>0</v>
      </c>
    </row>
    <row r="7333" ht="12.75">
      <c r="A7333" t="s">
        <v>7085</v>
      </c>
      <c r="B7333" s="19">
        <v>88325</v>
      </c>
      <c r="C7333" s="20" t="s">
        <v>7407</v>
      </c>
      <c r="D7333" s="19" t="s">
        <v>2032</v>
      </c>
      <c r="E7333" s="21">
        <f t="shared" si="341"/>
        <v>25.390000000000001</v>
      </c>
      <c r="F7333" s="22">
        <v>0</v>
      </c>
      <c r="G7333" s="21">
        <f t="shared" si="342"/>
        <v>24</v>
      </c>
      <c r="H7333" s="22">
        <v>0</v>
      </c>
      <c r="I7333" s="23" t="str">
        <f t="shared" si="343"/>
        <v xml:space="preserve">COM VALOR</v>
      </c>
      <c r="J7333" s="19"/>
      <c r="L7333" s="21">
        <v>25.390000000000001</v>
      </c>
      <c r="M7333" s="22">
        <v>0</v>
      </c>
      <c r="N7333" s="21">
        <v>24</v>
      </c>
      <c r="O7333" s="22">
        <v>0</v>
      </c>
    </row>
    <row r="7334" ht="12.75">
      <c r="A7334" t="s">
        <v>7085</v>
      </c>
      <c r="B7334" s="19">
        <v>101459</v>
      </c>
      <c r="C7334" s="20" t="s">
        <v>7407</v>
      </c>
      <c r="D7334" s="19" t="s">
        <v>7087</v>
      </c>
      <c r="E7334" s="21">
        <f t="shared" si="341"/>
        <v>4327.4499999999998</v>
      </c>
      <c r="F7334" s="22">
        <v>0</v>
      </c>
      <c r="G7334" s="21">
        <f t="shared" si="342"/>
        <v>4087.4699999999998</v>
      </c>
      <c r="H7334" s="22">
        <v>0</v>
      </c>
      <c r="I7334" s="23" t="str">
        <f t="shared" si="343"/>
        <v xml:space="preserve">COM VALOR</v>
      </c>
      <c r="J7334" s="19"/>
      <c r="L7334" s="21">
        <v>4327.4499999999998</v>
      </c>
      <c r="M7334" s="22">
        <v>0</v>
      </c>
      <c r="N7334" s="21">
        <v>4087.4699999999998</v>
      </c>
      <c r="O7334" s="22">
        <v>0</v>
      </c>
    </row>
    <row r="7335" ht="12.75">
      <c r="A7335" t="s">
        <v>7085</v>
      </c>
      <c r="B7335" s="19">
        <v>100289</v>
      </c>
      <c r="C7335" s="20" t="s">
        <v>7408</v>
      </c>
      <c r="D7335" s="19" t="s">
        <v>2032</v>
      </c>
      <c r="E7335" s="21">
        <f t="shared" si="341"/>
        <v>22.510000000000002</v>
      </c>
      <c r="F7335" s="22">
        <v>0</v>
      </c>
      <c r="G7335" s="21">
        <f t="shared" si="342"/>
        <v>21.309999999999999</v>
      </c>
      <c r="H7335" s="22">
        <v>0</v>
      </c>
      <c r="I7335" s="23" t="str">
        <f t="shared" si="343"/>
        <v xml:space="preserve">COM VALOR</v>
      </c>
      <c r="J7335" s="19"/>
      <c r="L7335" s="21">
        <v>22.510000000000002</v>
      </c>
      <c r="M7335" s="22">
        <v>0</v>
      </c>
      <c r="N7335" s="21">
        <v>21.309999999999999</v>
      </c>
      <c r="O7335" s="22">
        <v>0</v>
      </c>
    </row>
    <row r="7336" ht="12.75">
      <c r="A7336" t="s">
        <v>7085</v>
      </c>
      <c r="B7336" s="19">
        <v>101460</v>
      </c>
      <c r="C7336" s="20" t="s">
        <v>7408</v>
      </c>
      <c r="D7336" s="19" t="s">
        <v>7087</v>
      </c>
      <c r="E7336" s="21">
        <f t="shared" si="341"/>
        <v>3859.7199999999998</v>
      </c>
      <c r="F7336" s="22">
        <v>0</v>
      </c>
      <c r="G7336" s="21">
        <f t="shared" si="342"/>
        <v>3651.6999999999998</v>
      </c>
      <c r="H7336" s="22">
        <v>0</v>
      </c>
      <c r="I7336" s="23" t="str">
        <f t="shared" si="343"/>
        <v xml:space="preserve">COM VALOR</v>
      </c>
      <c r="J7336" s="19"/>
      <c r="L7336" s="21">
        <v>3859.7199999999998</v>
      </c>
      <c r="M7336" s="22">
        <v>0</v>
      </c>
      <c r="N7336" s="21">
        <v>3651.6999999999998</v>
      </c>
      <c r="O7336" s="22">
        <v>0</v>
      </c>
    </row>
    <row r="7337" ht="25.5">
      <c r="A7337" t="s">
        <v>7409</v>
      </c>
      <c r="B7337" s="19">
        <v>105011</v>
      </c>
      <c r="C7337" s="20" t="s">
        <v>7410</v>
      </c>
      <c r="D7337" s="19" t="s">
        <v>38</v>
      </c>
      <c r="E7337" s="21">
        <f t="shared" si="341"/>
        <v>0.59999999999999998</v>
      </c>
      <c r="F7337" s="22">
        <v>0</v>
      </c>
      <c r="G7337" s="21">
        <f t="shared" si="342"/>
        <v>0.56999999999999995</v>
      </c>
      <c r="H7337" s="22">
        <v>0</v>
      </c>
      <c r="I7337" s="23" t="str">
        <f t="shared" si="343"/>
        <v xml:space="preserve">COM VALOR</v>
      </c>
      <c r="J7337" s="19"/>
      <c r="L7337" s="21">
        <v>0.59999999999999998</v>
      </c>
      <c r="M7337" s="22">
        <v>0</v>
      </c>
      <c r="N7337" s="21">
        <v>0.56999999999999995</v>
      </c>
      <c r="O7337" s="22">
        <v>0</v>
      </c>
    </row>
    <row r="7338" ht="25.5">
      <c r="A7338" t="s">
        <v>7409</v>
      </c>
      <c r="B7338" s="19">
        <v>99061</v>
      </c>
      <c r="C7338" s="20" t="s">
        <v>7411</v>
      </c>
      <c r="D7338" s="19" t="s">
        <v>31</v>
      </c>
      <c r="E7338" s="21">
        <f t="shared" si="341"/>
        <v>118.22</v>
      </c>
      <c r="F7338" s="22">
        <v>0.10000000000000001</v>
      </c>
      <c r="G7338" s="21">
        <f t="shared" si="342"/>
        <v>113.81</v>
      </c>
      <c r="H7338" s="22">
        <v>0.10000000000000001</v>
      </c>
      <c r="I7338" s="23" t="str">
        <f t="shared" si="343"/>
        <v xml:space="preserve">COM VALOR</v>
      </c>
      <c r="J7338" s="19"/>
      <c r="L7338" s="21">
        <v>118.22</v>
      </c>
      <c r="M7338" s="22">
        <v>0</v>
      </c>
      <c r="N7338" s="21">
        <v>113.81</v>
      </c>
      <c r="O7338" s="22">
        <v>0</v>
      </c>
    </row>
    <row r="7339" ht="25.5">
      <c r="A7339" t="s">
        <v>7409</v>
      </c>
      <c r="B7339" s="19">
        <v>99060</v>
      </c>
      <c r="C7339" s="20" t="s">
        <v>7412</v>
      </c>
      <c r="D7339" s="19" t="s">
        <v>31</v>
      </c>
      <c r="E7339" s="21">
        <f t="shared" si="341"/>
        <v>192.86000000000001</v>
      </c>
      <c r="F7339" s="22">
        <v>0.10000000000000001</v>
      </c>
      <c r="G7339" s="21">
        <f t="shared" si="342"/>
        <v>185.94999999999999</v>
      </c>
      <c r="H7339" s="22">
        <v>0.11</v>
      </c>
      <c r="I7339" s="23" t="str">
        <f t="shared" si="343"/>
        <v xml:space="preserve">COM VALOR</v>
      </c>
      <c r="J7339" s="19"/>
      <c r="L7339" s="21">
        <v>192.86000000000001</v>
      </c>
      <c r="M7339" s="22">
        <v>0</v>
      </c>
      <c r="N7339" s="21">
        <v>185.94999999999999</v>
      </c>
      <c r="O7339" s="22">
        <v>0</v>
      </c>
    </row>
    <row r="7340" ht="25.5">
      <c r="A7340" t="s">
        <v>7409</v>
      </c>
      <c r="B7340" s="19">
        <v>105008</v>
      </c>
      <c r="C7340" s="20" t="s">
        <v>7413</v>
      </c>
      <c r="D7340" s="19" t="s">
        <v>31</v>
      </c>
      <c r="E7340" s="21" t="str">
        <f t="shared" si="341"/>
        <v>VERIFICAR</v>
      </c>
      <c r="F7340" s="22">
        <v>0.10000000000000001</v>
      </c>
      <c r="G7340" s="21" t="str">
        <f t="shared" si="342"/>
        <v>VERIFICAR</v>
      </c>
      <c r="H7340" s="22">
        <v>0.10000000000000001</v>
      </c>
      <c r="I7340" s="23" t="str">
        <f t="shared" si="343"/>
        <v xml:space="preserve">COM VALOR</v>
      </c>
      <c r="J7340" s="19"/>
      <c r="L7340" s="21">
        <v>0</v>
      </c>
      <c r="M7340" s="22"/>
      <c r="N7340" s="21">
        <v>0</v>
      </c>
      <c r="O7340" s="22"/>
    </row>
    <row r="7341" ht="25.5">
      <c r="A7341" t="s">
        <v>7409</v>
      </c>
      <c r="B7341" s="19">
        <v>105009</v>
      </c>
      <c r="C7341" s="20" t="s">
        <v>7414</v>
      </c>
      <c r="D7341" s="19" t="s">
        <v>38</v>
      </c>
      <c r="E7341" s="21">
        <f t="shared" si="341"/>
        <v>79.540000000000006</v>
      </c>
      <c r="F7341" s="22">
        <v>0.10000000000000001</v>
      </c>
      <c r="G7341" s="21">
        <f t="shared" si="342"/>
        <v>76.799999999999997</v>
      </c>
      <c r="H7341" s="22">
        <v>0.11</v>
      </c>
      <c r="I7341" s="23" t="str">
        <f t="shared" si="343"/>
        <v xml:space="preserve">COM VALOR</v>
      </c>
      <c r="J7341" s="19"/>
      <c r="L7341" s="21">
        <v>79.540000000000006</v>
      </c>
      <c r="M7341" s="22">
        <v>0</v>
      </c>
      <c r="N7341" s="21">
        <v>76.799999999999997</v>
      </c>
      <c r="O7341" s="22">
        <v>0</v>
      </c>
    </row>
    <row r="7342" ht="25.5">
      <c r="A7342" t="s">
        <v>7409</v>
      </c>
      <c r="B7342" s="19">
        <v>99059</v>
      </c>
      <c r="C7342" s="20" t="s">
        <v>7415</v>
      </c>
      <c r="D7342" s="19" t="s">
        <v>38</v>
      </c>
      <c r="E7342" s="21">
        <f t="shared" si="341"/>
        <v>64.829999999999998</v>
      </c>
      <c r="F7342" s="22">
        <v>8.9999999999999997e-002</v>
      </c>
      <c r="G7342" s="21">
        <f t="shared" si="342"/>
        <v>62.659999999999997</v>
      </c>
      <c r="H7342" s="22">
        <v>0.10000000000000001</v>
      </c>
      <c r="I7342" s="23" t="str">
        <f t="shared" si="343"/>
        <v xml:space="preserve">COM VALOR</v>
      </c>
      <c r="J7342" s="19"/>
      <c r="L7342" s="21">
        <v>64.829999999999998</v>
      </c>
      <c r="M7342" s="22">
        <v>0</v>
      </c>
      <c r="N7342" s="21">
        <v>62.659999999999997</v>
      </c>
      <c r="O7342" s="22">
        <v>0</v>
      </c>
    </row>
    <row r="7343" ht="12.75">
      <c r="A7343" t="s">
        <v>7409</v>
      </c>
      <c r="B7343" s="19">
        <v>105137</v>
      </c>
      <c r="C7343" s="20" t="s">
        <v>7416</v>
      </c>
      <c r="D7343" s="19" t="s">
        <v>38</v>
      </c>
      <c r="E7343" s="21" t="str">
        <f t="shared" si="341"/>
        <v>VERIFICAR</v>
      </c>
      <c r="F7343" s="22">
        <v>0.10000000000000001</v>
      </c>
      <c r="G7343" s="21" t="str">
        <f t="shared" si="342"/>
        <v>VERIFICAR</v>
      </c>
      <c r="H7343" s="22">
        <v>0.10000000000000001</v>
      </c>
      <c r="I7343" s="23" t="str">
        <f t="shared" si="343"/>
        <v xml:space="preserve">COM VALOR</v>
      </c>
      <c r="J7343" s="19"/>
      <c r="L7343" s="21">
        <v>0</v>
      </c>
      <c r="M7343" s="22"/>
      <c r="N7343" s="21">
        <v>0</v>
      </c>
      <c r="O7343" s="22"/>
    </row>
    <row r="7344" ht="12.75">
      <c r="A7344" t="s">
        <v>7409</v>
      </c>
      <c r="B7344" s="19">
        <v>105136</v>
      </c>
      <c r="C7344" s="20" t="s">
        <v>7417</v>
      </c>
      <c r="D7344" s="19" t="s">
        <v>31</v>
      </c>
      <c r="E7344" s="21" t="str">
        <f t="shared" si="341"/>
        <v>VERIFICAR</v>
      </c>
      <c r="F7344" s="22">
        <v>8.9999999999999997e-002</v>
      </c>
      <c r="G7344" s="21" t="str">
        <f t="shared" si="342"/>
        <v>VERIFICAR</v>
      </c>
      <c r="H7344" s="22">
        <v>0.10000000000000001</v>
      </c>
      <c r="I7344" s="23" t="str">
        <f t="shared" si="343"/>
        <v xml:space="preserve">COM VALOR</v>
      </c>
      <c r="J7344" s="19"/>
      <c r="L7344" s="21">
        <v>0</v>
      </c>
      <c r="M7344" s="22"/>
      <c r="N7344" s="21">
        <v>0</v>
      </c>
      <c r="O7344" s="22"/>
    </row>
    <row r="7345" ht="12.75">
      <c r="A7345" t="s">
        <v>7409</v>
      </c>
      <c r="B7345" s="19">
        <v>105007</v>
      </c>
      <c r="C7345" s="20" t="s">
        <v>7418</v>
      </c>
      <c r="D7345" s="19" t="s">
        <v>31</v>
      </c>
      <c r="E7345" s="21">
        <f t="shared" si="341"/>
        <v>37.700000000000003</v>
      </c>
      <c r="F7345" s="22">
        <v>0.10000000000000001</v>
      </c>
      <c r="G7345" s="21">
        <f t="shared" si="342"/>
        <v>35.630000000000003</v>
      </c>
      <c r="H7345" s="22">
        <v>0.10000000000000001</v>
      </c>
      <c r="I7345" s="23" t="str">
        <f t="shared" si="343"/>
        <v xml:space="preserve">COM VALOR</v>
      </c>
      <c r="J7345" s="19"/>
      <c r="L7345" s="21">
        <v>37.700000000000003</v>
      </c>
      <c r="M7345" s="22">
        <v>0</v>
      </c>
      <c r="N7345" s="21">
        <v>35.630000000000003</v>
      </c>
      <c r="O7345" s="22">
        <v>0</v>
      </c>
    </row>
    <row r="7346" ht="12.75">
      <c r="A7346" t="s">
        <v>7409</v>
      </c>
      <c r="B7346" s="19">
        <v>99063</v>
      </c>
      <c r="C7346" s="20" t="s">
        <v>7419</v>
      </c>
      <c r="D7346" s="19" t="s">
        <v>38</v>
      </c>
      <c r="E7346" s="21">
        <f t="shared" si="341"/>
        <v>9.3300000000000001</v>
      </c>
      <c r="F7346" s="22">
        <v>8.0000000000000002e-002</v>
      </c>
      <c r="G7346" s="21">
        <f t="shared" si="342"/>
        <v>8.9199999999999999</v>
      </c>
      <c r="H7346" s="22">
        <v>8.9999999999999997e-002</v>
      </c>
      <c r="I7346" s="23" t="str">
        <f t="shared" si="343"/>
        <v xml:space="preserve">COM VALOR</v>
      </c>
      <c r="J7346" s="19"/>
      <c r="L7346" s="21">
        <v>9.3300000000000001</v>
      </c>
      <c r="M7346" s="22">
        <v>0</v>
      </c>
      <c r="N7346" s="21">
        <v>8.9199999999999999</v>
      </c>
      <c r="O7346" s="22">
        <v>0</v>
      </c>
    </row>
    <row r="7347" ht="25.5">
      <c r="A7347" t="s">
        <v>7409</v>
      </c>
      <c r="B7347" s="19">
        <v>105010</v>
      </c>
      <c r="C7347" s="20" t="s">
        <v>7420</v>
      </c>
      <c r="D7347" s="19" t="s">
        <v>31</v>
      </c>
      <c r="E7347" s="21" t="str">
        <f t="shared" si="341"/>
        <v>VERIFICAR</v>
      </c>
      <c r="F7347" s="22">
        <v>8.9999999999999997e-002</v>
      </c>
      <c r="G7347" s="21" t="str">
        <f t="shared" si="342"/>
        <v>VERIFICAR</v>
      </c>
      <c r="H7347" s="22">
        <v>8.9999999999999997e-002</v>
      </c>
      <c r="I7347" s="23" t="str">
        <f t="shared" si="343"/>
        <v xml:space="preserve">COM VALOR</v>
      </c>
      <c r="J7347" s="19"/>
      <c r="L7347" s="21">
        <v>0</v>
      </c>
      <c r="M7347" s="22"/>
      <c r="N7347" s="21">
        <v>0</v>
      </c>
      <c r="O7347" s="22"/>
    </row>
    <row r="7348" ht="12.75">
      <c r="A7348" t="s">
        <v>7409</v>
      </c>
      <c r="B7348" s="19">
        <v>99062</v>
      </c>
      <c r="C7348" s="20" t="s">
        <v>7421</v>
      </c>
      <c r="D7348" s="19" t="s">
        <v>31</v>
      </c>
      <c r="E7348" s="21">
        <f t="shared" si="341"/>
        <v>2.0499999999999998</v>
      </c>
      <c r="F7348" s="22">
        <v>8.9999999999999997e-002</v>
      </c>
      <c r="G7348" s="21">
        <f t="shared" si="342"/>
        <v>1.9299999999999999</v>
      </c>
      <c r="H7348" s="22">
        <v>8.9999999999999997e-002</v>
      </c>
      <c r="I7348" s="23" t="str">
        <f t="shared" si="343"/>
        <v xml:space="preserve">COM VALOR</v>
      </c>
      <c r="J7348" s="19"/>
      <c r="L7348" s="21">
        <v>2.0499999999999998</v>
      </c>
      <c r="M7348" s="22">
        <v>0</v>
      </c>
      <c r="N7348" s="21">
        <v>1.9299999999999999</v>
      </c>
      <c r="O7348" s="22">
        <v>0</v>
      </c>
    </row>
    <row r="7349" ht="25.5">
      <c r="A7349" t="s">
        <v>7422</v>
      </c>
      <c r="B7349" s="19">
        <v>100857</v>
      </c>
      <c r="C7349" s="20" t="s">
        <v>7423</v>
      </c>
      <c r="D7349" s="19" t="s">
        <v>31</v>
      </c>
      <c r="E7349" s="21">
        <f t="shared" si="341"/>
        <v>623.79999999999995</v>
      </c>
      <c r="F7349" s="22">
        <v>8.9999999999999997e-002</v>
      </c>
      <c r="G7349" s="21">
        <f t="shared" si="342"/>
        <v>623.02999999999997</v>
      </c>
      <c r="H7349" s="22">
        <v>0.10000000000000001</v>
      </c>
      <c r="I7349" s="23" t="str">
        <f t="shared" si="343"/>
        <v xml:space="preserve">COM VALOR</v>
      </c>
      <c r="J7349" s="19"/>
      <c r="L7349" s="21">
        <v>623.79999999999995</v>
      </c>
      <c r="M7349" s="22">
        <v>0</v>
      </c>
      <c r="N7349" s="21">
        <v>623.02999999999997</v>
      </c>
      <c r="O7349" s="22">
        <v>0</v>
      </c>
    </row>
    <row r="7350" ht="25.5">
      <c r="A7350" t="s">
        <v>7422</v>
      </c>
      <c r="B7350" s="19">
        <v>86905</v>
      </c>
      <c r="C7350" s="20" t="s">
        <v>7424</v>
      </c>
      <c r="D7350" s="19" t="s">
        <v>31</v>
      </c>
      <c r="E7350" s="21">
        <f t="shared" si="341"/>
        <v>480.13999999999999</v>
      </c>
      <c r="F7350" s="22">
        <v>8.0000000000000002e-002</v>
      </c>
      <c r="G7350" s="21">
        <f t="shared" si="342"/>
        <v>479.13999999999999</v>
      </c>
      <c r="H7350" s="22">
        <v>8.9999999999999997e-002</v>
      </c>
      <c r="I7350" s="23" t="str">
        <f t="shared" si="343"/>
        <v xml:space="preserve">COM VALOR</v>
      </c>
      <c r="J7350" s="19"/>
      <c r="L7350" s="21">
        <v>480.13999999999999</v>
      </c>
      <c r="M7350" s="22">
        <v>0</v>
      </c>
      <c r="N7350" s="21">
        <v>479.13999999999999</v>
      </c>
      <c r="O7350" s="22">
        <v>0</v>
      </c>
    </row>
    <row r="7351" ht="25.5">
      <c r="A7351" t="s">
        <v>7422</v>
      </c>
      <c r="B7351" s="19">
        <v>86908</v>
      </c>
      <c r="C7351" s="20" t="s">
        <v>7425</v>
      </c>
      <c r="D7351" s="19" t="s">
        <v>31</v>
      </c>
      <c r="E7351" s="21">
        <f t="shared" si="341"/>
        <v>575.15999999999997</v>
      </c>
      <c r="F7351" s="22">
        <v>8.9999999999999997e-002</v>
      </c>
      <c r="G7351" s="21">
        <f t="shared" si="342"/>
        <v>574.65999999999997</v>
      </c>
      <c r="H7351" s="22">
        <v>8.9999999999999997e-002</v>
      </c>
      <c r="I7351" s="23" t="str">
        <f t="shared" si="343"/>
        <v xml:space="preserve">COM VALOR</v>
      </c>
      <c r="J7351" s="19"/>
      <c r="L7351" s="21">
        <v>575.15999999999997</v>
      </c>
      <c r="M7351" s="22">
        <v>0</v>
      </c>
      <c r="N7351" s="21">
        <v>574.65999999999997</v>
      </c>
      <c r="O7351" s="22">
        <v>0</v>
      </c>
    </row>
    <row r="7352" ht="25.5">
      <c r="A7352" t="s">
        <v>7422</v>
      </c>
      <c r="B7352" s="19">
        <v>100849</v>
      </c>
      <c r="C7352" s="20" t="s">
        <v>7426</v>
      </c>
      <c r="D7352" s="19" t="s">
        <v>31</v>
      </c>
      <c r="E7352" s="21">
        <f t="shared" si="341"/>
        <v>45.939999999999998</v>
      </c>
      <c r="F7352" s="22">
        <v>8.0000000000000002e-002</v>
      </c>
      <c r="G7352" s="21">
        <f t="shared" si="342"/>
        <v>45.710000000000001</v>
      </c>
      <c r="H7352" s="22">
        <v>8.0000000000000002e-002</v>
      </c>
      <c r="I7352" s="23" t="str">
        <f t="shared" si="343"/>
        <v xml:space="preserve">COM VALOR</v>
      </c>
      <c r="J7352" s="19"/>
      <c r="L7352" s="21">
        <v>45.939999999999998</v>
      </c>
      <c r="M7352" s="22">
        <v>0</v>
      </c>
      <c r="N7352" s="21">
        <v>45.710000000000001</v>
      </c>
      <c r="O7352" s="22">
        <v>0</v>
      </c>
    </row>
    <row r="7353" ht="25.5">
      <c r="A7353" t="s">
        <v>7422</v>
      </c>
      <c r="B7353" s="19">
        <v>100851</v>
      </c>
      <c r="C7353" s="20" t="s">
        <v>7427</v>
      </c>
      <c r="D7353" s="19" t="s">
        <v>31</v>
      </c>
      <c r="E7353" s="21">
        <f t="shared" si="341"/>
        <v>93.079999999999998</v>
      </c>
      <c r="F7353" s="22">
        <v>8.0000000000000002e-002</v>
      </c>
      <c r="G7353" s="21">
        <f t="shared" si="342"/>
        <v>92.849999999999994</v>
      </c>
      <c r="H7353" s="22">
        <v>8.9999999999999997e-002</v>
      </c>
      <c r="I7353" s="23" t="str">
        <f t="shared" si="343"/>
        <v xml:space="preserve">COM VALOR</v>
      </c>
      <c r="J7353" s="19"/>
      <c r="L7353" s="21">
        <v>93.079999999999998</v>
      </c>
      <c r="M7353" s="22">
        <v>0</v>
      </c>
      <c r="N7353" s="21">
        <v>92.849999999999994</v>
      </c>
      <c r="O7353" s="22">
        <v>0</v>
      </c>
    </row>
    <row r="7354" ht="25.5">
      <c r="A7354" t="s">
        <v>7422</v>
      </c>
      <c r="B7354" s="19">
        <v>100850</v>
      </c>
      <c r="C7354" s="20" t="s">
        <v>7428</v>
      </c>
      <c r="D7354" s="19" t="s">
        <v>31</v>
      </c>
      <c r="E7354" s="21" t="str">
        <f t="shared" si="341"/>
        <v>VERIFICAR</v>
      </c>
      <c r="F7354" s="22">
        <v>0.12</v>
      </c>
      <c r="G7354" s="21" t="str">
        <f t="shared" si="342"/>
        <v>VERIFICAR</v>
      </c>
      <c r="H7354" s="22">
        <v>0.13</v>
      </c>
      <c r="I7354" s="23" t="str">
        <f t="shared" si="343"/>
        <v xml:space="preserve">COM VALOR</v>
      </c>
      <c r="J7354" s="19"/>
      <c r="L7354" s="21">
        <v>0</v>
      </c>
      <c r="M7354" s="22"/>
      <c r="N7354" s="21">
        <v>0</v>
      </c>
      <c r="O7354" s="22"/>
    </row>
    <row r="7355" ht="25.5">
      <c r="A7355" t="s">
        <v>7422</v>
      </c>
      <c r="B7355" s="19">
        <v>86888</v>
      </c>
      <c r="C7355" s="20" t="s">
        <v>7429</v>
      </c>
      <c r="D7355" s="19" t="s">
        <v>31</v>
      </c>
      <c r="E7355" s="21">
        <f t="shared" si="341"/>
        <v>603.49000000000001</v>
      </c>
      <c r="F7355" s="22">
        <v>0.12</v>
      </c>
      <c r="G7355" s="21">
        <f t="shared" si="342"/>
        <v>601.38999999999999</v>
      </c>
      <c r="H7355" s="22">
        <v>0.13</v>
      </c>
      <c r="I7355" s="23" t="str">
        <f t="shared" si="343"/>
        <v xml:space="preserve">COM VALOR</v>
      </c>
      <c r="J7355" s="19"/>
      <c r="L7355" s="21">
        <v>603.49000000000001</v>
      </c>
      <c r="M7355" s="22">
        <v>0</v>
      </c>
      <c r="N7355" s="21">
        <v>601.38999999999999</v>
      </c>
      <c r="O7355" s="22">
        <v>0</v>
      </c>
    </row>
    <row r="7356" ht="38.25">
      <c r="A7356" t="s">
        <v>7422</v>
      </c>
      <c r="B7356" s="19">
        <v>86932</v>
      </c>
      <c r="C7356" s="20" t="s">
        <v>7430</v>
      </c>
      <c r="D7356" s="19" t="s">
        <v>31</v>
      </c>
      <c r="E7356" s="21">
        <f t="shared" si="341"/>
        <v>701.39999999999998</v>
      </c>
      <c r="F7356" s="22">
        <v>0.12</v>
      </c>
      <c r="G7356" s="21">
        <f t="shared" si="342"/>
        <v>698.99000000000001</v>
      </c>
      <c r="H7356" s="22">
        <v>0.13</v>
      </c>
      <c r="I7356" s="23" t="str">
        <f t="shared" si="343"/>
        <v xml:space="preserve">COM VALOR</v>
      </c>
      <c r="J7356" s="19"/>
      <c r="L7356" s="21">
        <v>701.39999999999998</v>
      </c>
      <c r="M7356" s="22">
        <v>0</v>
      </c>
      <c r="N7356" s="21">
        <v>698.99000000000001</v>
      </c>
      <c r="O7356" s="22">
        <v>0</v>
      </c>
    </row>
    <row r="7357" ht="38.25">
      <c r="A7357" t="s">
        <v>7422</v>
      </c>
      <c r="B7357" s="19">
        <v>86931</v>
      </c>
      <c r="C7357" s="20" t="s">
        <v>7431</v>
      </c>
      <c r="D7357" s="19" t="s">
        <v>31</v>
      </c>
      <c r="E7357" s="21">
        <f t="shared" si="341"/>
        <v>616.63</v>
      </c>
      <c r="F7357" s="22">
        <v>0.12</v>
      </c>
      <c r="G7357" s="21">
        <f t="shared" si="342"/>
        <v>614.22000000000003</v>
      </c>
      <c r="H7357" s="22">
        <v>0.12</v>
      </c>
      <c r="I7357" s="23" t="str">
        <f t="shared" si="343"/>
        <v xml:space="preserve">COM VALOR</v>
      </c>
      <c r="J7357" s="19"/>
      <c r="L7357" s="21">
        <v>616.63</v>
      </c>
      <c r="M7357" s="22">
        <v>0</v>
      </c>
      <c r="N7357" s="21">
        <v>614.22000000000003</v>
      </c>
      <c r="O7357" s="22">
        <v>0</v>
      </c>
    </row>
    <row r="7358" ht="38.25">
      <c r="A7358" t="s">
        <v>7422</v>
      </c>
      <c r="B7358" s="19">
        <v>106771</v>
      </c>
      <c r="C7358" s="20" t="s">
        <v>7432</v>
      </c>
      <c r="D7358" s="19" t="s">
        <v>31</v>
      </c>
      <c r="E7358" s="21" t="str">
        <f t="shared" si="341"/>
        <v>VERIFICAR</v>
      </c>
      <c r="F7358" s="22">
        <v>0.12</v>
      </c>
      <c r="G7358" s="21" t="str">
        <f t="shared" si="342"/>
        <v>VERIFICAR</v>
      </c>
      <c r="H7358" s="22">
        <v>0.12</v>
      </c>
      <c r="I7358" s="23" t="str">
        <f t="shared" si="343"/>
        <v xml:space="preserve">COM VALOR</v>
      </c>
      <c r="J7358" s="19"/>
      <c r="L7358" s="21">
        <v>0</v>
      </c>
      <c r="M7358" s="22"/>
      <c r="N7358" s="21">
        <v>0</v>
      </c>
      <c r="O7358" s="22"/>
    </row>
    <row r="7359" ht="25.5">
      <c r="A7359" t="s">
        <v>7422</v>
      </c>
      <c r="B7359" s="19">
        <v>100878</v>
      </c>
      <c r="C7359" s="20" t="s">
        <v>7433</v>
      </c>
      <c r="D7359" s="19" t="s">
        <v>31</v>
      </c>
      <c r="E7359" s="21">
        <f t="shared" si="341"/>
        <v>814.54999999999995</v>
      </c>
      <c r="F7359" s="22">
        <v>0.11</v>
      </c>
      <c r="G7359" s="21">
        <f t="shared" si="342"/>
        <v>811.34000000000003</v>
      </c>
      <c r="H7359" s="22">
        <v>0.12</v>
      </c>
      <c r="I7359" s="23" t="str">
        <f t="shared" si="343"/>
        <v xml:space="preserve">COM VALOR</v>
      </c>
      <c r="J7359" s="19"/>
      <c r="L7359" s="21">
        <v>814.54999999999995</v>
      </c>
      <c r="M7359" s="22">
        <v>0</v>
      </c>
      <c r="N7359" s="21">
        <v>811.34000000000003</v>
      </c>
      <c r="O7359" s="22">
        <v>0</v>
      </c>
    </row>
    <row r="7360" ht="38.25">
      <c r="A7360" t="s">
        <v>7422</v>
      </c>
      <c r="B7360" s="19">
        <v>95471</v>
      </c>
      <c r="C7360" s="20" t="s">
        <v>7434</v>
      </c>
      <c r="D7360" s="19" t="s">
        <v>31</v>
      </c>
      <c r="E7360" s="21">
        <f t="shared" si="341"/>
        <v>980.32000000000005</v>
      </c>
      <c r="F7360" s="22">
        <v>0.11</v>
      </c>
      <c r="G7360" s="21">
        <f t="shared" si="342"/>
        <v>976.94000000000005</v>
      </c>
      <c r="H7360" s="22">
        <v>0.12</v>
      </c>
      <c r="I7360" s="23" t="str">
        <f t="shared" si="343"/>
        <v xml:space="preserve">COM VALOR</v>
      </c>
      <c r="J7360" s="19"/>
      <c r="L7360" s="21">
        <v>980.32000000000005</v>
      </c>
      <c r="M7360" s="22">
        <v>0</v>
      </c>
      <c r="N7360" s="21">
        <v>976.94000000000005</v>
      </c>
      <c r="O7360" s="22">
        <v>0</v>
      </c>
    </row>
    <row r="7361" ht="25.5">
      <c r="A7361" t="s">
        <v>7422</v>
      </c>
      <c r="B7361" s="19">
        <v>95469</v>
      </c>
      <c r="C7361" s="20" t="s">
        <v>7435</v>
      </c>
      <c r="D7361" s="19" t="s">
        <v>31</v>
      </c>
      <c r="E7361" s="21">
        <f t="shared" si="341"/>
        <v>381.63999999999999</v>
      </c>
      <c r="F7361" s="22">
        <v>0</v>
      </c>
      <c r="G7361" s="21">
        <f t="shared" si="342"/>
        <v>379.73000000000002</v>
      </c>
      <c r="H7361" s="22">
        <v>0</v>
      </c>
      <c r="I7361" s="23" t="str">
        <f t="shared" si="343"/>
        <v xml:space="preserve">COM VALOR</v>
      </c>
      <c r="J7361" s="19"/>
      <c r="L7361" s="21">
        <v>381.63999999999999</v>
      </c>
      <c r="M7361" s="22">
        <v>0</v>
      </c>
      <c r="N7361" s="21">
        <v>379.73000000000002</v>
      </c>
      <c r="O7361" s="22">
        <v>0</v>
      </c>
    </row>
    <row r="7362" ht="25.5">
      <c r="A7362" t="s">
        <v>7422</v>
      </c>
      <c r="B7362" s="19">
        <v>100848</v>
      </c>
      <c r="C7362" s="20" t="s">
        <v>7436</v>
      </c>
      <c r="D7362" s="19" t="s">
        <v>31</v>
      </c>
      <c r="E7362" s="21">
        <f t="shared" si="341"/>
        <v>706.12</v>
      </c>
      <c r="F7362" s="22">
        <v>0</v>
      </c>
      <c r="G7362" s="21">
        <f t="shared" si="342"/>
        <v>704.21000000000004</v>
      </c>
      <c r="H7362" s="22">
        <v>0</v>
      </c>
      <c r="I7362" s="23" t="str">
        <f t="shared" si="343"/>
        <v xml:space="preserve">COM VALOR</v>
      </c>
      <c r="J7362" s="19"/>
      <c r="L7362" s="21">
        <v>706.12</v>
      </c>
      <c r="M7362" s="22">
        <v>0</v>
      </c>
      <c r="N7362" s="21">
        <v>704.21000000000004</v>
      </c>
      <c r="O7362" s="22">
        <v>0</v>
      </c>
    </row>
    <row r="7363" ht="25.5">
      <c r="A7363" t="s">
        <v>7422</v>
      </c>
      <c r="B7363" s="19">
        <v>86895</v>
      </c>
      <c r="C7363" s="20" t="s">
        <v>7437</v>
      </c>
      <c r="D7363" s="19" t="s">
        <v>31</v>
      </c>
      <c r="E7363" s="21">
        <f t="shared" si="341"/>
        <v>359.86000000000001</v>
      </c>
      <c r="F7363" s="22">
        <v>0</v>
      </c>
      <c r="G7363" s="21">
        <f t="shared" si="342"/>
        <v>357.24000000000001</v>
      </c>
      <c r="H7363" s="22">
        <v>0</v>
      </c>
      <c r="I7363" s="23" t="str">
        <f t="shared" si="343"/>
        <v xml:space="preserve">COM VALOR</v>
      </c>
      <c r="J7363" s="19"/>
      <c r="L7363" s="21">
        <v>359.86000000000001</v>
      </c>
      <c r="M7363" s="22">
        <v>8.9999999999999997e-002</v>
      </c>
      <c r="N7363" s="21">
        <v>357.24000000000001</v>
      </c>
      <c r="O7363" s="22">
        <v>8.9999999999999997e-002</v>
      </c>
    </row>
    <row r="7364" ht="25.5">
      <c r="A7364" t="s">
        <v>7422</v>
      </c>
      <c r="B7364" s="19">
        <v>86889</v>
      </c>
      <c r="C7364" s="20" t="s">
        <v>7438</v>
      </c>
      <c r="D7364" s="19" t="s">
        <v>31</v>
      </c>
      <c r="E7364" s="21">
        <f t="shared" si="341"/>
        <v>825.41999999999996</v>
      </c>
      <c r="F7364" s="22">
        <v>0</v>
      </c>
      <c r="G7364" s="21">
        <f t="shared" si="342"/>
        <v>821.40999999999997</v>
      </c>
      <c r="H7364" s="22">
        <v>0</v>
      </c>
      <c r="I7364" s="23" t="str">
        <f t="shared" si="343"/>
        <v xml:space="preserve">COM VALOR</v>
      </c>
      <c r="J7364" s="19"/>
      <c r="L7364" s="21">
        <v>825.41999999999996</v>
      </c>
      <c r="M7364" s="22">
        <v>5.0000000000000003e-002</v>
      </c>
      <c r="N7364" s="21">
        <v>821.40999999999997</v>
      </c>
      <c r="O7364" s="22">
        <v>5.0000000000000003e-002</v>
      </c>
    </row>
    <row r="7365" ht="25.5">
      <c r="A7365" t="s">
        <v>7422</v>
      </c>
      <c r="B7365" s="19">
        <v>106780</v>
      </c>
      <c r="C7365" s="20" t="s">
        <v>7439</v>
      </c>
      <c r="D7365" s="19" t="s">
        <v>31</v>
      </c>
      <c r="E7365" s="21">
        <f t="shared" si="341"/>
        <v>1089.3</v>
      </c>
      <c r="F7365" s="22">
        <v>0</v>
      </c>
      <c r="G7365" s="21">
        <f t="shared" si="342"/>
        <v>1084.4300000000001</v>
      </c>
      <c r="H7365" s="22">
        <v>0</v>
      </c>
      <c r="I7365" s="23" t="str">
        <f t="shared" si="343"/>
        <v xml:space="preserve">COM VALOR</v>
      </c>
      <c r="J7365" s="19"/>
      <c r="L7365" s="21">
        <v>1089.3</v>
      </c>
      <c r="M7365" s="22">
        <v>5.0000000000000003e-002</v>
      </c>
      <c r="N7365" s="21">
        <v>1084.4300000000001</v>
      </c>
      <c r="O7365" s="22">
        <v>5.0000000000000003e-002</v>
      </c>
    </row>
    <row r="7366" ht="25.5">
      <c r="A7366" t="s">
        <v>7422</v>
      </c>
      <c r="B7366" s="19">
        <v>106781</v>
      </c>
      <c r="C7366" s="20" t="s">
        <v>7440</v>
      </c>
      <c r="D7366" s="19" t="s">
        <v>31</v>
      </c>
      <c r="E7366" s="21">
        <f t="shared" si="341"/>
        <v>1611.22</v>
      </c>
      <c r="F7366" s="22">
        <v>0</v>
      </c>
      <c r="G7366" s="21">
        <f t="shared" si="342"/>
        <v>1604.6500000000001</v>
      </c>
      <c r="H7366" s="22">
        <v>0</v>
      </c>
      <c r="I7366" s="23" t="str">
        <f t="shared" si="343"/>
        <v xml:space="preserve">COM VALOR</v>
      </c>
      <c r="J7366" s="19"/>
      <c r="L7366" s="21">
        <v>1611.22</v>
      </c>
      <c r="M7366" s="22">
        <v>4.0000000000000001e-002</v>
      </c>
      <c r="N7366" s="21">
        <v>1604.6500000000001</v>
      </c>
      <c r="O7366" s="22">
        <v>4.0000000000000001e-002</v>
      </c>
    </row>
    <row r="7367" ht="25.5">
      <c r="A7367" t="s">
        <v>7422</v>
      </c>
      <c r="B7367" s="19">
        <v>86899</v>
      </c>
      <c r="C7367" s="20" t="s">
        <v>7441</v>
      </c>
      <c r="D7367" s="19" t="s">
        <v>31</v>
      </c>
      <c r="E7367" s="21">
        <f t="shared" si="341"/>
        <v>346.38999999999999</v>
      </c>
      <c r="F7367" s="22">
        <v>0</v>
      </c>
      <c r="G7367" s="21">
        <f t="shared" si="342"/>
        <v>343.76999999999998</v>
      </c>
      <c r="H7367" s="22">
        <v>0</v>
      </c>
      <c r="I7367" s="23" t="str">
        <f t="shared" si="343"/>
        <v xml:space="preserve">COM VALOR</v>
      </c>
      <c r="J7367" s="19"/>
      <c r="L7367" s="21">
        <v>346.38999999999999</v>
      </c>
      <c r="M7367" s="22">
        <v>0.10000000000000001</v>
      </c>
      <c r="N7367" s="21">
        <v>343.76999999999998</v>
      </c>
      <c r="O7367" s="22">
        <v>0.10000000000000001</v>
      </c>
    </row>
    <row r="7368" ht="25.5">
      <c r="A7368" t="s">
        <v>7422</v>
      </c>
      <c r="B7368" s="19">
        <v>86893</v>
      </c>
      <c r="C7368" s="20" t="s">
        <v>7442</v>
      </c>
      <c r="D7368" s="19" t="s">
        <v>31</v>
      </c>
      <c r="E7368" s="21">
        <f t="shared" si="341"/>
        <v>789.51999999999998</v>
      </c>
      <c r="F7368" s="22">
        <v>0</v>
      </c>
      <c r="G7368" s="21">
        <f t="shared" si="342"/>
        <v>785.50999999999999</v>
      </c>
      <c r="H7368" s="22">
        <v>0</v>
      </c>
      <c r="I7368" s="23" t="str">
        <f t="shared" si="343"/>
        <v xml:space="preserve">COM VALOR</v>
      </c>
      <c r="J7368" s="19"/>
      <c r="L7368" s="21">
        <v>789.51999999999998</v>
      </c>
      <c r="M7368" s="22">
        <v>5.0000000000000003e-002</v>
      </c>
      <c r="N7368" s="21">
        <v>785.50999999999999</v>
      </c>
      <c r="O7368" s="22">
        <v>5.0000000000000003e-002</v>
      </c>
    </row>
    <row r="7369" ht="51">
      <c r="A7369" t="s">
        <v>7422</v>
      </c>
      <c r="B7369" s="19">
        <v>86934</v>
      </c>
      <c r="C7369" s="20" t="s">
        <v>7443</v>
      </c>
      <c r="D7369" s="19" t="s">
        <v>31</v>
      </c>
      <c r="E7369" s="21">
        <f t="shared" si="341"/>
        <v>606.88</v>
      </c>
      <c r="F7369" s="22">
        <v>0</v>
      </c>
      <c r="G7369" s="21">
        <f t="shared" si="342"/>
        <v>604.00999999999999</v>
      </c>
      <c r="H7369" s="22">
        <v>0</v>
      </c>
      <c r="I7369" s="23" t="str">
        <f t="shared" si="343"/>
        <v xml:space="preserve">COM VALOR</v>
      </c>
      <c r="J7369" s="19"/>
      <c r="L7369" s="21">
        <v>606.88</v>
      </c>
      <c r="M7369" s="22">
        <v>7.0000000000000007e-002</v>
      </c>
      <c r="N7369" s="21">
        <v>604.00999999999999</v>
      </c>
      <c r="O7369" s="22">
        <v>7.0000000000000007e-002</v>
      </c>
    </row>
    <row r="7370" ht="51">
      <c r="A7370" t="s">
        <v>7422</v>
      </c>
      <c r="B7370" s="19">
        <v>86933</v>
      </c>
      <c r="C7370" s="20" t="s">
        <v>7444</v>
      </c>
      <c r="D7370" s="19" t="s">
        <v>31</v>
      </c>
      <c r="E7370" s="21">
        <f t="shared" si="341"/>
        <v>618.22000000000003</v>
      </c>
      <c r="F7370" s="22">
        <v>0</v>
      </c>
      <c r="G7370" s="21">
        <f t="shared" si="342"/>
        <v>615.22000000000003</v>
      </c>
      <c r="H7370" s="22">
        <v>0</v>
      </c>
      <c r="I7370" s="23" t="str">
        <f t="shared" si="343"/>
        <v xml:space="preserve">COM VALOR</v>
      </c>
      <c r="J7370" s="19"/>
      <c r="L7370" s="21">
        <v>618.22000000000003</v>
      </c>
      <c r="M7370" s="22">
        <v>7.0000000000000007e-002</v>
      </c>
      <c r="N7370" s="21">
        <v>615.22000000000003</v>
      </c>
      <c r="O7370" s="22">
        <v>7.0000000000000007e-002</v>
      </c>
    </row>
    <row r="7371" ht="25.5">
      <c r="A7371" t="s">
        <v>7422</v>
      </c>
      <c r="B7371" s="19">
        <v>86894</v>
      </c>
      <c r="C7371" s="20" t="s">
        <v>7445</v>
      </c>
      <c r="D7371" s="19" t="s">
        <v>31</v>
      </c>
      <c r="E7371" s="21">
        <f t="shared" ref="E7371:E7434" si="344">IF(L7371=0,"VERIFICAR",L7371)</f>
        <v>462.07999999999998</v>
      </c>
      <c r="F7371" s="22">
        <v>0.12</v>
      </c>
      <c r="G7371" s="21">
        <f t="shared" ref="G7371:G7434" si="345">IF(N7371=0,"VERIFICAR",N7371)</f>
        <v>459.87</v>
      </c>
      <c r="H7371" s="22">
        <v>0.12</v>
      </c>
      <c r="I7371" s="23" t="str">
        <f t="shared" ref="I7371:I7434" si="346">IF(OR(E7371=0,G7371=0),"SEM VALOR","COM VALOR")</f>
        <v xml:space="preserve">COM VALOR</v>
      </c>
      <c r="J7371" s="19"/>
      <c r="L7371" s="21">
        <v>462.07999999999998</v>
      </c>
      <c r="M7371" s="22">
        <v>8.9999999999999997e-002</v>
      </c>
      <c r="N7371" s="21">
        <v>459.87</v>
      </c>
      <c r="O7371" s="22">
        <v>8.9999999999999997e-002</v>
      </c>
    </row>
    <row r="7372" ht="51">
      <c r="A7372" t="s">
        <v>7422</v>
      </c>
      <c r="B7372" s="19">
        <v>93441</v>
      </c>
      <c r="C7372" s="20" t="s">
        <v>7446</v>
      </c>
      <c r="D7372" s="19" t="s">
        <v>31</v>
      </c>
      <c r="E7372" s="21">
        <f t="shared" si="344"/>
        <v>1489.9400000000001</v>
      </c>
      <c r="F7372" s="22">
        <v>0.11</v>
      </c>
      <c r="G7372" s="21">
        <f t="shared" si="345"/>
        <v>1484.03</v>
      </c>
      <c r="H7372" s="22">
        <v>0.12</v>
      </c>
      <c r="I7372" s="23" t="str">
        <f t="shared" si="346"/>
        <v xml:space="preserve">COM VALOR</v>
      </c>
      <c r="J7372" s="19"/>
      <c r="L7372" s="21">
        <v>1489.9400000000001</v>
      </c>
      <c r="M7372" s="22">
        <v>2.9999999999999999e-002</v>
      </c>
      <c r="N7372" s="21">
        <v>1484.03</v>
      </c>
      <c r="O7372" s="22">
        <v>2.9999999999999999e-002</v>
      </c>
    </row>
    <row r="7373" ht="51">
      <c r="A7373" t="s">
        <v>7422</v>
      </c>
      <c r="B7373" s="19">
        <v>93396</v>
      </c>
      <c r="C7373" s="20" t="s">
        <v>7447</v>
      </c>
      <c r="D7373" s="19" t="s">
        <v>31</v>
      </c>
      <c r="E7373" s="21">
        <f t="shared" si="344"/>
        <v>986.02999999999997</v>
      </c>
      <c r="F7373" s="22">
        <v>0.12</v>
      </c>
      <c r="G7373" s="21">
        <f t="shared" si="345"/>
        <v>980.49000000000001</v>
      </c>
      <c r="H7373" s="22">
        <v>0.12</v>
      </c>
      <c r="I7373" s="23" t="str">
        <f t="shared" si="346"/>
        <v xml:space="preserve">COM VALOR</v>
      </c>
      <c r="J7373" s="19"/>
      <c r="L7373" s="21">
        <v>986.02999999999997</v>
      </c>
      <c r="M7373" s="22">
        <v>2.9999999999999999e-002</v>
      </c>
      <c r="N7373" s="21">
        <v>980.49000000000001</v>
      </c>
      <c r="O7373" s="22">
        <v>2.9999999999999999e-002</v>
      </c>
    </row>
    <row r="7374" ht="51">
      <c r="A7374" t="s">
        <v>7422</v>
      </c>
      <c r="B7374" s="19">
        <v>93442</v>
      </c>
      <c r="C7374" s="20" t="s">
        <v>7448</v>
      </c>
      <c r="D7374" s="19" t="s">
        <v>31</v>
      </c>
      <c r="E7374" s="21">
        <f t="shared" si="344"/>
        <v>1898.8299999999999</v>
      </c>
      <c r="F7374" s="22">
        <v>0</v>
      </c>
      <c r="G7374" s="21">
        <f t="shared" si="345"/>
        <v>1892.3499999999999</v>
      </c>
      <c r="H7374" s="22">
        <v>0</v>
      </c>
      <c r="I7374" s="23" t="str">
        <f t="shared" si="346"/>
        <v xml:space="preserve">COM VALOR</v>
      </c>
      <c r="J7374" s="19"/>
      <c r="L7374" s="21">
        <v>1898.8299999999999</v>
      </c>
      <c r="M7374" s="22">
        <v>2.e-002</v>
      </c>
      <c r="N7374" s="21">
        <v>1892.3499999999999</v>
      </c>
      <c r="O7374" s="22">
        <v>2.e-002</v>
      </c>
    </row>
    <row r="7375" ht="63.75">
      <c r="A7375" t="s">
        <v>7422</v>
      </c>
      <c r="B7375" s="19">
        <v>86947</v>
      </c>
      <c r="C7375" s="20" t="s">
        <v>7449</v>
      </c>
      <c r="D7375" s="19" t="s">
        <v>31</v>
      </c>
      <c r="E7375" s="21">
        <f t="shared" si="344"/>
        <v>1971.5</v>
      </c>
      <c r="F7375" s="22">
        <v>0</v>
      </c>
      <c r="G7375" s="21">
        <f t="shared" si="345"/>
        <v>1964.3900000000001</v>
      </c>
      <c r="H7375" s="22">
        <v>0</v>
      </c>
      <c r="I7375" s="23" t="str">
        <f t="shared" si="346"/>
        <v xml:space="preserve">COM VALOR</v>
      </c>
      <c r="J7375" s="19"/>
      <c r="L7375" s="21">
        <v>1971.5</v>
      </c>
      <c r="M7375" s="22">
        <v>2.e-002</v>
      </c>
      <c r="N7375" s="21">
        <v>1964.3900000000001</v>
      </c>
      <c r="O7375" s="22">
        <v>2.e-002</v>
      </c>
    </row>
    <row r="7376" ht="25.5">
      <c r="A7376" t="s">
        <v>7422</v>
      </c>
      <c r="B7376" s="19">
        <v>100875</v>
      </c>
      <c r="C7376" s="20" t="s">
        <v>7450</v>
      </c>
      <c r="D7376" s="19" t="s">
        <v>31</v>
      </c>
      <c r="E7376" s="21">
        <f t="shared" si="344"/>
        <v>1072.3699999999999</v>
      </c>
      <c r="F7376" s="22">
        <v>0</v>
      </c>
      <c r="G7376" s="21">
        <f t="shared" si="345"/>
        <v>1069.23</v>
      </c>
      <c r="H7376" s="22">
        <v>0</v>
      </c>
      <c r="I7376" s="23" t="str">
        <f t="shared" si="346"/>
        <v xml:space="preserve">COM VALOR</v>
      </c>
      <c r="J7376" s="19"/>
      <c r="L7376" s="21">
        <v>1072.3699999999999</v>
      </c>
      <c r="M7376" s="22">
        <v>0.80500000000000005</v>
      </c>
      <c r="N7376" s="21">
        <v>1069.23</v>
      </c>
      <c r="O7376" s="22">
        <v>0.81000000000000005</v>
      </c>
    </row>
    <row r="7377" ht="25.5">
      <c r="A7377" t="s">
        <v>7422</v>
      </c>
      <c r="B7377" s="19">
        <v>100863</v>
      </c>
      <c r="C7377" s="20" t="s">
        <v>7451</v>
      </c>
      <c r="D7377" s="19" t="s">
        <v>31</v>
      </c>
      <c r="E7377" s="21">
        <f t="shared" si="344"/>
        <v>617.61000000000001</v>
      </c>
      <c r="F7377" s="22">
        <v>0</v>
      </c>
      <c r="G7377" s="21">
        <f t="shared" si="345"/>
        <v>614.09000000000003</v>
      </c>
      <c r="H7377" s="22">
        <v>0</v>
      </c>
      <c r="I7377" s="23" t="str">
        <f t="shared" si="346"/>
        <v xml:space="preserve">COM VALOR</v>
      </c>
      <c r="J7377" s="19"/>
      <c r="L7377" s="21">
        <v>617.61000000000001</v>
      </c>
      <c r="M7377" s="22">
        <v>0.62</v>
      </c>
      <c r="N7377" s="21">
        <v>614.09000000000003</v>
      </c>
      <c r="O7377" s="22">
        <v>0.62</v>
      </c>
    </row>
    <row r="7378" ht="25.5">
      <c r="A7378" t="s">
        <v>7422</v>
      </c>
      <c r="B7378" s="19">
        <v>100864</v>
      </c>
      <c r="C7378" s="20" t="s">
        <v>7452</v>
      </c>
      <c r="D7378" s="19" t="s">
        <v>31</v>
      </c>
      <c r="E7378" s="21">
        <f t="shared" si="344"/>
        <v>674.07000000000005</v>
      </c>
      <c r="F7378" s="22">
        <v>0</v>
      </c>
      <c r="G7378" s="21">
        <f t="shared" si="345"/>
        <v>670.54999999999995</v>
      </c>
      <c r="H7378" s="22">
        <v>0</v>
      </c>
      <c r="I7378" s="23" t="str">
        <f t="shared" si="346"/>
        <v xml:space="preserve">COM VALOR</v>
      </c>
      <c r="J7378" s="19"/>
      <c r="L7378" s="21">
        <v>674.07000000000005</v>
      </c>
      <c r="M7378" s="22">
        <v>0.65000000000000002</v>
      </c>
      <c r="N7378" s="21">
        <v>670.54999999999995</v>
      </c>
      <c r="O7378" s="22">
        <v>0.65000000000000002</v>
      </c>
    </row>
    <row r="7379" ht="25.5">
      <c r="A7379" t="s">
        <v>7422</v>
      </c>
      <c r="B7379" s="19">
        <v>100865</v>
      </c>
      <c r="C7379" s="20" t="s">
        <v>7453</v>
      </c>
      <c r="D7379" s="19" t="s">
        <v>31</v>
      </c>
      <c r="E7379" s="21">
        <f t="shared" si="344"/>
        <v>579.35000000000002</v>
      </c>
      <c r="F7379" s="22">
        <v>0</v>
      </c>
      <c r="G7379" s="21">
        <f t="shared" si="345"/>
        <v>577.77999999999997</v>
      </c>
      <c r="H7379" s="22">
        <v>0</v>
      </c>
      <c r="I7379" s="23" t="str">
        <f t="shared" si="346"/>
        <v xml:space="preserve">COM VALOR</v>
      </c>
      <c r="J7379" s="19"/>
      <c r="L7379" s="21">
        <v>579.35000000000002</v>
      </c>
      <c r="M7379" s="22">
        <v>0.81999999999999995</v>
      </c>
      <c r="N7379" s="21">
        <v>577.77999999999997</v>
      </c>
      <c r="O7379" s="22">
        <v>0.81999999999999995</v>
      </c>
    </row>
    <row r="7380" ht="25.5">
      <c r="A7380" t="s">
        <v>7422</v>
      </c>
      <c r="B7380" s="19">
        <v>100870</v>
      </c>
      <c r="C7380" s="20" t="s">
        <v>7454</v>
      </c>
      <c r="D7380" s="19" t="s">
        <v>31</v>
      </c>
      <c r="E7380" s="21">
        <f t="shared" si="344"/>
        <v>330.07999999999998</v>
      </c>
      <c r="F7380" s="22">
        <v>0</v>
      </c>
      <c r="G7380" s="21">
        <f t="shared" si="345"/>
        <v>327.73000000000002</v>
      </c>
      <c r="H7380" s="22">
        <v>0</v>
      </c>
      <c r="I7380" s="23" t="str">
        <f t="shared" si="346"/>
        <v xml:space="preserve">COM VALOR</v>
      </c>
      <c r="J7380" s="19"/>
      <c r="L7380" s="21">
        <v>330.07999999999998</v>
      </c>
      <c r="M7380" s="22">
        <v>0.52000000000000002</v>
      </c>
      <c r="N7380" s="21">
        <v>327.73000000000002</v>
      </c>
      <c r="O7380" s="22">
        <v>0.53000000000000003</v>
      </c>
    </row>
    <row r="7381" ht="25.5">
      <c r="A7381" t="s">
        <v>7422</v>
      </c>
      <c r="B7381" s="19">
        <v>100871</v>
      </c>
      <c r="C7381" s="20" t="s">
        <v>7455</v>
      </c>
      <c r="D7381" s="19" t="s">
        <v>31</v>
      </c>
      <c r="E7381" s="21">
        <f t="shared" si="344"/>
        <v>355.5</v>
      </c>
      <c r="F7381" s="22">
        <v>0</v>
      </c>
      <c r="G7381" s="21">
        <f t="shared" si="345"/>
        <v>353.14999999999998</v>
      </c>
      <c r="H7381" s="22">
        <v>0</v>
      </c>
      <c r="I7381" s="23" t="str">
        <f t="shared" si="346"/>
        <v xml:space="preserve">COM VALOR</v>
      </c>
      <c r="J7381" s="19"/>
      <c r="L7381" s="21">
        <v>355.5</v>
      </c>
      <c r="M7381" s="22">
        <v>0.56000000000000005</v>
      </c>
      <c r="N7381" s="21">
        <v>353.14999999999998</v>
      </c>
      <c r="O7381" s="22">
        <v>0.56000000000000005</v>
      </c>
    </row>
    <row r="7382" ht="25.5">
      <c r="A7382" t="s">
        <v>7422</v>
      </c>
      <c r="B7382" s="19">
        <v>100872</v>
      </c>
      <c r="C7382" s="20" t="s">
        <v>7456</v>
      </c>
      <c r="D7382" s="19" t="s">
        <v>31</v>
      </c>
      <c r="E7382" s="21">
        <f t="shared" si="344"/>
        <v>371.72000000000003</v>
      </c>
      <c r="F7382" s="22">
        <v>0</v>
      </c>
      <c r="G7382" s="21">
        <f t="shared" si="345"/>
        <v>369.37</v>
      </c>
      <c r="H7382" s="22">
        <v>0</v>
      </c>
      <c r="I7382" s="23" t="str">
        <f t="shared" si="346"/>
        <v xml:space="preserve">COM VALOR</v>
      </c>
      <c r="J7382" s="19"/>
      <c r="L7382" s="21">
        <v>371.72000000000003</v>
      </c>
      <c r="M7382" s="22">
        <v>0.57999999999999996</v>
      </c>
      <c r="N7382" s="21">
        <v>369.37</v>
      </c>
      <c r="O7382" s="22">
        <v>0.57999999999999996</v>
      </c>
    </row>
    <row r="7383" ht="25.5">
      <c r="A7383" t="s">
        <v>7422</v>
      </c>
      <c r="B7383" s="19">
        <v>100873</v>
      </c>
      <c r="C7383" s="20" t="s">
        <v>7457</v>
      </c>
      <c r="D7383" s="19" t="s">
        <v>31</v>
      </c>
      <c r="E7383" s="21">
        <f t="shared" si="344"/>
        <v>381.85000000000002</v>
      </c>
      <c r="F7383" s="22">
        <v>0</v>
      </c>
      <c r="G7383" s="21">
        <f t="shared" si="345"/>
        <v>379.5</v>
      </c>
      <c r="H7383" s="22">
        <v>0</v>
      </c>
      <c r="I7383" s="23" t="str">
        <f t="shared" si="346"/>
        <v xml:space="preserve">COM VALOR</v>
      </c>
      <c r="J7383" s="19"/>
      <c r="L7383" s="21">
        <v>381.85000000000002</v>
      </c>
      <c r="M7383" s="22">
        <v>0.58999999999999997</v>
      </c>
      <c r="N7383" s="21">
        <v>379.5</v>
      </c>
      <c r="O7383" s="22">
        <v>0.58999999999999997</v>
      </c>
    </row>
    <row r="7384" ht="25.5">
      <c r="A7384" t="s">
        <v>7422</v>
      </c>
      <c r="B7384" s="19">
        <v>106770</v>
      </c>
      <c r="C7384" s="20" t="s">
        <v>7458</v>
      </c>
      <c r="D7384" s="19" t="s">
        <v>31</v>
      </c>
      <c r="E7384" s="21" t="str">
        <f t="shared" si="344"/>
        <v>VERIFICAR</v>
      </c>
      <c r="F7384" s="22">
        <v>0</v>
      </c>
      <c r="G7384" s="21" t="str">
        <f t="shared" si="345"/>
        <v>VERIFICAR</v>
      </c>
      <c r="H7384" s="22">
        <v>0</v>
      </c>
      <c r="I7384" s="23" t="str">
        <f t="shared" si="346"/>
        <v xml:space="preserve">COM VALOR</v>
      </c>
      <c r="J7384" s="19"/>
      <c r="L7384" s="21">
        <v>0</v>
      </c>
      <c r="M7384" s="22"/>
      <c r="N7384" s="21">
        <v>0</v>
      </c>
      <c r="O7384" s="22"/>
    </row>
    <row r="7385" ht="25.5">
      <c r="A7385" t="s">
        <v>7422</v>
      </c>
      <c r="B7385" s="19">
        <v>100866</v>
      </c>
      <c r="C7385" s="20" t="s">
        <v>7459</v>
      </c>
      <c r="D7385" s="19" t="s">
        <v>31</v>
      </c>
      <c r="E7385" s="21">
        <f t="shared" si="344"/>
        <v>325.16000000000003</v>
      </c>
      <c r="F7385" s="22">
        <v>0</v>
      </c>
      <c r="G7385" s="21">
        <f t="shared" si="345"/>
        <v>322.81</v>
      </c>
      <c r="H7385" s="22">
        <v>0</v>
      </c>
      <c r="I7385" s="23" t="str">
        <f t="shared" si="346"/>
        <v xml:space="preserve">COM VALOR</v>
      </c>
      <c r="J7385" s="19"/>
      <c r="L7385" s="21">
        <v>325.16000000000003</v>
      </c>
      <c r="M7385" s="22">
        <v>0.52000000000000002</v>
      </c>
      <c r="N7385" s="21">
        <v>322.81</v>
      </c>
      <c r="O7385" s="22">
        <v>0.52000000000000002</v>
      </c>
    </row>
    <row r="7386" ht="25.5">
      <c r="A7386" t="s">
        <v>7422</v>
      </c>
      <c r="B7386" s="19">
        <v>100867</v>
      </c>
      <c r="C7386" s="20" t="s">
        <v>7460</v>
      </c>
      <c r="D7386" s="19" t="s">
        <v>31</v>
      </c>
      <c r="E7386" s="21">
        <f t="shared" si="344"/>
        <v>343.77999999999997</v>
      </c>
      <c r="F7386" s="22">
        <v>0</v>
      </c>
      <c r="G7386" s="21">
        <f t="shared" si="345"/>
        <v>341.43000000000001</v>
      </c>
      <c r="H7386" s="22">
        <v>0</v>
      </c>
      <c r="I7386" s="23" t="str">
        <f t="shared" si="346"/>
        <v xml:space="preserve">COM VALOR</v>
      </c>
      <c r="J7386" s="19"/>
      <c r="L7386" s="21">
        <v>343.77999999999997</v>
      </c>
      <c r="M7386" s="22">
        <v>0.54000000000000004</v>
      </c>
      <c r="N7386" s="21">
        <v>341.43000000000001</v>
      </c>
      <c r="O7386" s="22">
        <v>0.55000000000000004</v>
      </c>
    </row>
    <row r="7387" ht="25.5">
      <c r="A7387" t="s">
        <v>7422</v>
      </c>
      <c r="B7387" s="19">
        <v>100868</v>
      </c>
      <c r="C7387" s="20" t="s">
        <v>7461</v>
      </c>
      <c r="D7387" s="19" t="s">
        <v>31</v>
      </c>
      <c r="E7387" s="21">
        <f t="shared" si="344"/>
        <v>356.17000000000002</v>
      </c>
      <c r="F7387" s="22">
        <v>0</v>
      </c>
      <c r="G7387" s="21">
        <f t="shared" si="345"/>
        <v>353.81999999999999</v>
      </c>
      <c r="H7387" s="22">
        <v>0</v>
      </c>
      <c r="I7387" s="23" t="str">
        <f t="shared" si="346"/>
        <v xml:space="preserve">COM VALOR</v>
      </c>
      <c r="J7387" s="19"/>
      <c r="L7387" s="21">
        <v>356.17000000000002</v>
      </c>
      <c r="M7387" s="22">
        <v>0.56000000000000005</v>
      </c>
      <c r="N7387" s="21">
        <v>353.81999999999999</v>
      </c>
      <c r="O7387" s="22">
        <v>0.56000000000000005</v>
      </c>
    </row>
    <row r="7388" ht="25.5">
      <c r="A7388" t="s">
        <v>7422</v>
      </c>
      <c r="B7388" s="19">
        <v>100869</v>
      </c>
      <c r="C7388" s="20" t="s">
        <v>7462</v>
      </c>
      <c r="D7388" s="19" t="s">
        <v>31</v>
      </c>
      <c r="E7388" s="21">
        <f t="shared" si="344"/>
        <v>365.67000000000002</v>
      </c>
      <c r="F7388" s="22">
        <v>0</v>
      </c>
      <c r="G7388" s="21">
        <f t="shared" si="345"/>
        <v>363.31999999999999</v>
      </c>
      <c r="H7388" s="22">
        <v>0</v>
      </c>
      <c r="I7388" s="23" t="str">
        <f t="shared" si="346"/>
        <v xml:space="preserve">COM VALOR</v>
      </c>
      <c r="J7388" s="19"/>
      <c r="L7388" s="21">
        <v>365.67000000000002</v>
      </c>
      <c r="M7388" s="22">
        <v>0.56999999999999995</v>
      </c>
      <c r="N7388" s="21">
        <v>363.31999999999999</v>
      </c>
      <c r="O7388" s="22">
        <v>0.56999999999999995</v>
      </c>
    </row>
    <row r="7389" ht="25.5">
      <c r="A7389" t="s">
        <v>7422</v>
      </c>
      <c r="B7389" s="19">
        <v>106764</v>
      </c>
      <c r="C7389" s="20" t="s">
        <v>7463</v>
      </c>
      <c r="D7389" s="19" t="s">
        <v>31</v>
      </c>
      <c r="E7389" s="21">
        <f t="shared" si="344"/>
        <v>31.239999999999998</v>
      </c>
      <c r="F7389" s="22">
        <v>0</v>
      </c>
      <c r="G7389" s="21">
        <f t="shared" si="345"/>
        <v>30.460000000000001</v>
      </c>
      <c r="H7389" s="22">
        <v>0</v>
      </c>
      <c r="I7389" s="23" t="str">
        <f t="shared" si="346"/>
        <v xml:space="preserve">COM VALOR</v>
      </c>
      <c r="J7389" s="19"/>
      <c r="L7389" s="21">
        <v>31.239999999999998</v>
      </c>
      <c r="M7389" s="22">
        <v>0</v>
      </c>
      <c r="N7389" s="21">
        <v>30.460000000000001</v>
      </c>
      <c r="O7389" s="22">
        <v>0</v>
      </c>
    </row>
    <row r="7390" ht="25.5">
      <c r="A7390" t="s">
        <v>7422</v>
      </c>
      <c r="B7390" s="19">
        <v>100860</v>
      </c>
      <c r="C7390" s="20" t="s">
        <v>7464</v>
      </c>
      <c r="D7390" s="19" t="s">
        <v>31</v>
      </c>
      <c r="E7390" s="21">
        <f t="shared" si="344"/>
        <v>146.56999999999999</v>
      </c>
      <c r="F7390" s="22">
        <v>0</v>
      </c>
      <c r="G7390" s="21">
        <f t="shared" si="345"/>
        <v>144.11000000000001</v>
      </c>
      <c r="H7390" s="22">
        <v>0</v>
      </c>
      <c r="I7390" s="23" t="str">
        <f t="shared" si="346"/>
        <v xml:space="preserve">COM VALOR</v>
      </c>
      <c r="J7390" s="19"/>
      <c r="L7390" s="21">
        <v>146.56999999999999</v>
      </c>
      <c r="M7390" s="22">
        <v>0</v>
      </c>
      <c r="N7390" s="21">
        <v>144.11000000000001</v>
      </c>
      <c r="O7390" s="22">
        <v>0</v>
      </c>
    </row>
    <row r="7391" ht="38.25">
      <c r="A7391" t="s">
        <v>7422</v>
      </c>
      <c r="B7391" s="19">
        <v>86936</v>
      </c>
      <c r="C7391" s="20" t="s">
        <v>7465</v>
      </c>
      <c r="D7391" s="19" t="s">
        <v>31</v>
      </c>
      <c r="E7391" s="21">
        <f t="shared" si="344"/>
        <v>724.79999999999995</v>
      </c>
      <c r="F7391" s="22">
        <v>0</v>
      </c>
      <c r="G7391" s="21">
        <f t="shared" si="345"/>
        <v>723</v>
      </c>
      <c r="H7391" s="22">
        <v>0</v>
      </c>
      <c r="I7391" s="23" t="str">
        <f t="shared" si="346"/>
        <v xml:space="preserve">COM VALOR</v>
      </c>
      <c r="J7391" s="19"/>
      <c r="L7391" s="21">
        <v>724.79999999999995</v>
      </c>
      <c r="M7391" s="22">
        <v>0</v>
      </c>
      <c r="N7391" s="21">
        <v>723</v>
      </c>
      <c r="O7391" s="22">
        <v>0</v>
      </c>
    </row>
    <row r="7392" ht="38.25">
      <c r="A7392" t="s">
        <v>7422</v>
      </c>
      <c r="B7392" s="19">
        <v>86935</v>
      </c>
      <c r="C7392" s="20" t="s">
        <v>7466</v>
      </c>
      <c r="D7392" s="19" t="s">
        <v>31</v>
      </c>
      <c r="E7392" s="21">
        <f t="shared" si="344"/>
        <v>358.80000000000001</v>
      </c>
      <c r="F7392" s="22">
        <v>0</v>
      </c>
      <c r="G7392" s="21">
        <f t="shared" si="345"/>
        <v>357.45999999999998</v>
      </c>
      <c r="H7392" s="22">
        <v>0</v>
      </c>
      <c r="I7392" s="23" t="str">
        <f t="shared" si="346"/>
        <v xml:space="preserve">COM VALOR</v>
      </c>
      <c r="J7392" s="19"/>
      <c r="L7392" s="21">
        <v>358.80000000000001</v>
      </c>
      <c r="M7392" s="22">
        <v>0</v>
      </c>
      <c r="N7392" s="21">
        <v>357.45999999999998</v>
      </c>
      <c r="O7392" s="22">
        <v>0</v>
      </c>
    </row>
    <row r="7393" ht="38.25">
      <c r="A7393" t="s">
        <v>7422</v>
      </c>
      <c r="B7393" s="19">
        <v>86938</v>
      </c>
      <c r="C7393" s="20" t="s">
        <v>7467</v>
      </c>
      <c r="D7393" s="19" t="s">
        <v>31</v>
      </c>
      <c r="E7393" s="21">
        <f t="shared" si="344"/>
        <v>673.46000000000004</v>
      </c>
      <c r="F7393" s="22">
        <v>0</v>
      </c>
      <c r="G7393" s="21">
        <f t="shared" si="345"/>
        <v>670.59000000000003</v>
      </c>
      <c r="H7393" s="22">
        <v>0</v>
      </c>
      <c r="I7393" s="23" t="str">
        <f t="shared" si="346"/>
        <v xml:space="preserve">COM VALOR</v>
      </c>
      <c r="J7393" s="19"/>
      <c r="L7393" s="21">
        <v>673.46000000000004</v>
      </c>
      <c r="M7393" s="22">
        <v>0</v>
      </c>
      <c r="N7393" s="21">
        <v>670.59000000000003</v>
      </c>
      <c r="O7393" s="22">
        <v>0</v>
      </c>
    </row>
    <row r="7394" ht="38.25">
      <c r="A7394" t="s">
        <v>7422</v>
      </c>
      <c r="B7394" s="19">
        <v>86937</v>
      </c>
      <c r="C7394" s="20" t="s">
        <v>7468</v>
      </c>
      <c r="D7394" s="19" t="s">
        <v>31</v>
      </c>
      <c r="E7394" s="21">
        <f t="shared" si="344"/>
        <v>307.45999999999998</v>
      </c>
      <c r="F7394" s="22">
        <v>0</v>
      </c>
      <c r="G7394" s="21">
        <f t="shared" si="345"/>
        <v>305.05000000000001</v>
      </c>
      <c r="H7394" s="22">
        <v>0</v>
      </c>
      <c r="I7394" s="23" t="str">
        <f t="shared" si="346"/>
        <v xml:space="preserve">COM VALOR</v>
      </c>
      <c r="J7394" s="19"/>
      <c r="L7394" s="21">
        <v>307.45999999999998</v>
      </c>
      <c r="M7394" s="22">
        <v>0</v>
      </c>
      <c r="N7394" s="21">
        <v>305.05000000000001</v>
      </c>
      <c r="O7394" s="22">
        <v>0</v>
      </c>
    </row>
    <row r="7395" ht="25.5">
      <c r="A7395" t="s">
        <v>7422</v>
      </c>
      <c r="B7395" s="19">
        <v>86901</v>
      </c>
      <c r="C7395" s="20" t="s">
        <v>7469</v>
      </c>
      <c r="D7395" s="19" t="s">
        <v>31</v>
      </c>
      <c r="E7395" s="21">
        <f t="shared" si="344"/>
        <v>172.22</v>
      </c>
      <c r="F7395" s="22">
        <v>0</v>
      </c>
      <c r="G7395" s="21">
        <f t="shared" si="345"/>
        <v>170.36000000000001</v>
      </c>
      <c r="H7395" s="22">
        <v>0</v>
      </c>
      <c r="I7395" s="23" t="str">
        <f t="shared" si="346"/>
        <v xml:space="preserve">COM VALOR</v>
      </c>
      <c r="J7395" s="19"/>
      <c r="L7395" s="21">
        <v>172.22</v>
      </c>
      <c r="M7395" s="22">
        <v>0</v>
      </c>
      <c r="N7395" s="21">
        <v>170.36000000000001</v>
      </c>
      <c r="O7395" s="22">
        <v>0</v>
      </c>
    </row>
    <row r="7396" ht="25.5">
      <c r="A7396" t="s">
        <v>7422</v>
      </c>
      <c r="B7396" s="19">
        <v>106773</v>
      </c>
      <c r="C7396" s="20" t="s">
        <v>7470</v>
      </c>
      <c r="D7396" s="19" t="s">
        <v>31</v>
      </c>
      <c r="E7396" s="21" t="str">
        <f t="shared" si="344"/>
        <v>VERIFICAR</v>
      </c>
      <c r="F7396" s="22">
        <v>0</v>
      </c>
      <c r="G7396" s="21" t="str">
        <f t="shared" si="345"/>
        <v>VERIFICAR</v>
      </c>
      <c r="H7396" s="22">
        <v>0</v>
      </c>
      <c r="I7396" s="23" t="str">
        <f t="shared" si="346"/>
        <v xml:space="preserve">COM VALOR</v>
      </c>
      <c r="J7396" s="19"/>
      <c r="L7396" s="21">
        <v>0</v>
      </c>
      <c r="M7396" s="22"/>
      <c r="N7396" s="21">
        <v>0</v>
      </c>
      <c r="O7396" s="22"/>
    </row>
    <row r="7397" ht="25.5">
      <c r="A7397" t="s">
        <v>7422</v>
      </c>
      <c r="B7397" s="19">
        <v>86900</v>
      </c>
      <c r="C7397" s="20" t="s">
        <v>7471</v>
      </c>
      <c r="D7397" s="19" t="s">
        <v>31</v>
      </c>
      <c r="E7397" s="21">
        <f t="shared" si="344"/>
        <v>213.65000000000001</v>
      </c>
      <c r="F7397" s="22">
        <v>0</v>
      </c>
      <c r="G7397" s="21">
        <f t="shared" si="345"/>
        <v>212.86000000000001</v>
      </c>
      <c r="H7397" s="22">
        <v>0</v>
      </c>
      <c r="I7397" s="23" t="str">
        <f t="shared" si="346"/>
        <v xml:space="preserve">COM VALOR</v>
      </c>
      <c r="J7397" s="19"/>
      <c r="L7397" s="21">
        <v>213.65000000000001</v>
      </c>
      <c r="M7397" s="22">
        <v>0</v>
      </c>
      <c r="N7397" s="21">
        <v>212.86000000000001</v>
      </c>
      <c r="O7397" s="22">
        <v>0</v>
      </c>
    </row>
    <row r="7398" ht="25.5">
      <c r="A7398" t="s">
        <v>7422</v>
      </c>
      <c r="B7398" s="19">
        <v>100852</v>
      </c>
      <c r="C7398" s="20" t="s">
        <v>7472</v>
      </c>
      <c r="D7398" s="19" t="s">
        <v>31</v>
      </c>
      <c r="E7398" s="21">
        <f t="shared" si="344"/>
        <v>233.94999999999999</v>
      </c>
      <c r="F7398" s="22">
        <v>0</v>
      </c>
      <c r="G7398" s="21">
        <f t="shared" si="345"/>
        <v>233.16</v>
      </c>
      <c r="H7398" s="22">
        <v>0</v>
      </c>
      <c r="I7398" s="23" t="str">
        <f t="shared" si="346"/>
        <v xml:space="preserve">COM VALOR</v>
      </c>
      <c r="J7398" s="19"/>
      <c r="L7398" s="21">
        <v>233.94999999999999</v>
      </c>
      <c r="M7398" s="22">
        <v>0</v>
      </c>
      <c r="N7398" s="21">
        <v>233.16</v>
      </c>
      <c r="O7398" s="22">
        <v>0</v>
      </c>
    </row>
    <row r="7399" ht="38.25">
      <c r="A7399" t="s">
        <v>7422</v>
      </c>
      <c r="B7399" s="19">
        <v>106769</v>
      </c>
      <c r="C7399" s="20" t="s">
        <v>7473</v>
      </c>
      <c r="D7399" s="19" t="s">
        <v>31</v>
      </c>
      <c r="E7399" s="21" t="str">
        <f t="shared" si="344"/>
        <v>VERIFICAR</v>
      </c>
      <c r="F7399" s="22">
        <v>0</v>
      </c>
      <c r="G7399" s="21" t="str">
        <f t="shared" si="345"/>
        <v>VERIFICAR</v>
      </c>
      <c r="H7399" s="22">
        <v>0</v>
      </c>
      <c r="I7399" s="23" t="str">
        <f t="shared" si="346"/>
        <v xml:space="preserve">COM VALOR</v>
      </c>
      <c r="J7399" s="19"/>
      <c r="L7399" s="21">
        <v>0</v>
      </c>
      <c r="M7399" s="22"/>
      <c r="N7399" s="21">
        <v>0</v>
      </c>
      <c r="O7399" s="22"/>
    </row>
    <row r="7400" ht="25.5">
      <c r="A7400" t="s">
        <v>7422</v>
      </c>
      <c r="B7400" s="19">
        <v>106768</v>
      </c>
      <c r="C7400" s="20" t="s">
        <v>7474</v>
      </c>
      <c r="D7400" s="19" t="s">
        <v>31</v>
      </c>
      <c r="E7400" s="21" t="str">
        <f t="shared" si="344"/>
        <v>VERIFICAR</v>
      </c>
      <c r="F7400" s="22">
        <v>0</v>
      </c>
      <c r="G7400" s="21" t="str">
        <f t="shared" si="345"/>
        <v>VERIFICAR</v>
      </c>
      <c r="H7400" s="22">
        <v>0</v>
      </c>
      <c r="I7400" s="23" t="str">
        <f t="shared" si="346"/>
        <v xml:space="preserve">COM VALOR</v>
      </c>
      <c r="J7400" s="19"/>
      <c r="L7400" s="21">
        <v>0</v>
      </c>
      <c r="M7400" s="22"/>
      <c r="N7400" s="21">
        <v>0</v>
      </c>
      <c r="O7400" s="22"/>
    </row>
    <row r="7401" ht="25.5">
      <c r="A7401" t="s">
        <v>7422</v>
      </c>
      <c r="B7401" s="19">
        <v>106766</v>
      </c>
      <c r="C7401" s="20" t="s">
        <v>7475</v>
      </c>
      <c r="D7401" s="19" t="s">
        <v>31</v>
      </c>
      <c r="E7401" s="21">
        <f t="shared" si="344"/>
        <v>73.609999999999999</v>
      </c>
      <c r="F7401" s="22">
        <v>0</v>
      </c>
      <c r="G7401" s="21">
        <f t="shared" si="345"/>
        <v>72.439999999999998</v>
      </c>
      <c r="H7401" s="22">
        <v>0</v>
      </c>
      <c r="I7401" s="23" t="str">
        <f t="shared" si="346"/>
        <v xml:space="preserve">COM VALOR</v>
      </c>
      <c r="J7401" s="19"/>
      <c r="L7401" s="21">
        <v>73.609999999999999</v>
      </c>
      <c r="M7401" s="22">
        <v>0</v>
      </c>
      <c r="N7401" s="21">
        <v>72.439999999999998</v>
      </c>
      <c r="O7401" s="22">
        <v>0</v>
      </c>
    </row>
    <row r="7402" ht="25.5">
      <c r="A7402" t="s">
        <v>7422</v>
      </c>
      <c r="B7402" s="19">
        <v>106765</v>
      </c>
      <c r="C7402" s="20" t="s">
        <v>7476</v>
      </c>
      <c r="D7402" s="19" t="s">
        <v>31</v>
      </c>
      <c r="E7402" s="21">
        <f t="shared" si="344"/>
        <v>73.609999999999999</v>
      </c>
      <c r="F7402" s="22">
        <v>0</v>
      </c>
      <c r="G7402" s="21">
        <f t="shared" si="345"/>
        <v>72.439999999999998</v>
      </c>
      <c r="H7402" s="22">
        <v>0</v>
      </c>
      <c r="I7402" s="23" t="str">
        <f t="shared" si="346"/>
        <v xml:space="preserve">COM VALOR</v>
      </c>
      <c r="J7402" s="19"/>
      <c r="L7402" s="21">
        <v>73.609999999999999</v>
      </c>
      <c r="M7402" s="22">
        <v>0</v>
      </c>
      <c r="N7402" s="21">
        <v>72.439999999999998</v>
      </c>
      <c r="O7402" s="22">
        <v>0</v>
      </c>
    </row>
    <row r="7403" ht="25.5">
      <c r="A7403" t="s">
        <v>7422</v>
      </c>
      <c r="B7403" s="19">
        <v>106774</v>
      </c>
      <c r="C7403" s="20" t="s">
        <v>7477</v>
      </c>
      <c r="D7403" s="19" t="s">
        <v>31</v>
      </c>
      <c r="E7403" s="21" t="str">
        <f t="shared" si="344"/>
        <v>VERIFICAR</v>
      </c>
      <c r="F7403" s="22">
        <v>0</v>
      </c>
      <c r="G7403" s="21" t="str">
        <f t="shared" si="345"/>
        <v>VERIFICAR</v>
      </c>
      <c r="H7403" s="22">
        <v>0</v>
      </c>
      <c r="I7403" s="23" t="str">
        <f t="shared" si="346"/>
        <v xml:space="preserve">COM VALOR</v>
      </c>
      <c r="J7403" s="19"/>
      <c r="L7403" s="21">
        <v>0</v>
      </c>
      <c r="M7403" s="22"/>
      <c r="N7403" s="21">
        <v>0</v>
      </c>
      <c r="O7403" s="22"/>
    </row>
    <row r="7404" ht="25.5">
      <c r="A7404" t="s">
        <v>7422</v>
      </c>
      <c r="B7404" s="19">
        <v>86886</v>
      </c>
      <c r="C7404" s="20" t="s">
        <v>7478</v>
      </c>
      <c r="D7404" s="19" t="s">
        <v>31</v>
      </c>
      <c r="E7404" s="21">
        <f t="shared" si="344"/>
        <v>89.930000000000007</v>
      </c>
      <c r="F7404" s="22">
        <v>0</v>
      </c>
      <c r="G7404" s="21">
        <f t="shared" si="345"/>
        <v>89.620000000000005</v>
      </c>
      <c r="H7404" s="22">
        <v>0</v>
      </c>
      <c r="I7404" s="23" t="str">
        <f t="shared" si="346"/>
        <v xml:space="preserve">COM VALOR</v>
      </c>
      <c r="J7404" s="19"/>
      <c r="L7404" s="21">
        <v>89.930000000000007</v>
      </c>
      <c r="M7404" s="22">
        <v>0</v>
      </c>
      <c r="N7404" s="21">
        <v>89.620000000000005</v>
      </c>
      <c r="O7404" s="22">
        <v>0</v>
      </c>
    </row>
    <row r="7405" ht="25.5">
      <c r="A7405" t="s">
        <v>7422</v>
      </c>
      <c r="B7405" s="19">
        <v>86887</v>
      </c>
      <c r="C7405" s="20" t="s">
        <v>7479</v>
      </c>
      <c r="D7405" s="19" t="s">
        <v>31</v>
      </c>
      <c r="E7405" s="21">
        <f t="shared" si="344"/>
        <v>97.909999999999997</v>
      </c>
      <c r="F7405" s="22">
        <v>0</v>
      </c>
      <c r="G7405" s="21">
        <f t="shared" si="345"/>
        <v>97.599999999999994</v>
      </c>
      <c r="H7405" s="22">
        <v>0</v>
      </c>
      <c r="I7405" s="23" t="str">
        <f t="shared" si="346"/>
        <v xml:space="preserve">COM VALOR</v>
      </c>
      <c r="J7405" s="19"/>
      <c r="L7405" s="21">
        <v>97.909999999999997</v>
      </c>
      <c r="M7405" s="22">
        <v>0</v>
      </c>
      <c r="N7405" s="21">
        <v>97.599999999999994</v>
      </c>
      <c r="O7405" s="22">
        <v>0</v>
      </c>
    </row>
    <row r="7406" ht="25.5">
      <c r="A7406" t="s">
        <v>7422</v>
      </c>
      <c r="B7406" s="19">
        <v>86884</v>
      </c>
      <c r="C7406" s="20" t="s">
        <v>7480</v>
      </c>
      <c r="D7406" s="19" t="s">
        <v>31</v>
      </c>
      <c r="E7406" s="21">
        <f t="shared" si="344"/>
        <v>11.57</v>
      </c>
      <c r="F7406" s="22">
        <v>0</v>
      </c>
      <c r="G7406" s="21">
        <f t="shared" si="345"/>
        <v>11.26</v>
      </c>
      <c r="H7406" s="22">
        <v>0</v>
      </c>
      <c r="I7406" s="23" t="str">
        <f t="shared" si="346"/>
        <v xml:space="preserve">COM VALOR</v>
      </c>
      <c r="J7406" s="19"/>
      <c r="L7406" s="21">
        <v>11.57</v>
      </c>
      <c r="M7406" s="22">
        <v>0</v>
      </c>
      <c r="N7406" s="21">
        <v>11.26</v>
      </c>
      <c r="O7406" s="22">
        <v>0</v>
      </c>
    </row>
    <row r="7407" ht="25.5">
      <c r="A7407" t="s">
        <v>7422</v>
      </c>
      <c r="B7407" s="19">
        <v>86885</v>
      </c>
      <c r="C7407" s="20" t="s">
        <v>7481</v>
      </c>
      <c r="D7407" s="19" t="s">
        <v>31</v>
      </c>
      <c r="E7407" s="21">
        <f t="shared" si="344"/>
        <v>13.140000000000001</v>
      </c>
      <c r="F7407" s="22">
        <v>0</v>
      </c>
      <c r="G7407" s="21">
        <f t="shared" si="345"/>
        <v>12.83</v>
      </c>
      <c r="H7407" s="22">
        <v>0</v>
      </c>
      <c r="I7407" s="23" t="str">
        <f t="shared" si="346"/>
        <v xml:space="preserve">COM VALOR</v>
      </c>
      <c r="J7407" s="19"/>
      <c r="L7407" s="21">
        <v>13.140000000000001</v>
      </c>
      <c r="M7407" s="22">
        <v>0</v>
      </c>
      <c r="N7407" s="21">
        <v>12.83</v>
      </c>
      <c r="O7407" s="22">
        <v>0</v>
      </c>
    </row>
    <row r="7408" ht="25.5">
      <c r="A7408" t="s">
        <v>7422</v>
      </c>
      <c r="B7408" s="19">
        <v>95546</v>
      </c>
      <c r="C7408" s="20" t="s">
        <v>7482</v>
      </c>
      <c r="D7408" s="19" t="s">
        <v>31</v>
      </c>
      <c r="E7408" s="21">
        <f t="shared" si="344"/>
        <v>150.41999999999999</v>
      </c>
      <c r="F7408" s="22">
        <v>0</v>
      </c>
      <c r="G7408" s="21">
        <f t="shared" si="345"/>
        <v>145.71000000000001</v>
      </c>
      <c r="H7408" s="22">
        <v>0</v>
      </c>
      <c r="I7408" s="23" t="str">
        <f t="shared" si="346"/>
        <v xml:space="preserve">COM VALOR</v>
      </c>
      <c r="J7408" s="19"/>
      <c r="L7408" s="21">
        <v>150.41999999999999</v>
      </c>
      <c r="M7408" s="22">
        <v>0</v>
      </c>
      <c r="N7408" s="21">
        <v>145.71000000000001</v>
      </c>
      <c r="O7408" s="22">
        <v>0</v>
      </c>
    </row>
    <row r="7409" ht="25.5">
      <c r="A7409" t="s">
        <v>7422</v>
      </c>
      <c r="B7409" s="19">
        <v>106775</v>
      </c>
      <c r="C7409" s="20" t="s">
        <v>7483</v>
      </c>
      <c r="D7409" s="19" t="s">
        <v>31</v>
      </c>
      <c r="E7409" s="21" t="str">
        <f t="shared" si="344"/>
        <v>VERIFICAR</v>
      </c>
      <c r="F7409" s="22">
        <v>0</v>
      </c>
      <c r="G7409" s="21" t="str">
        <f t="shared" si="345"/>
        <v>VERIFICAR</v>
      </c>
      <c r="H7409" s="22">
        <v>0</v>
      </c>
      <c r="I7409" s="23" t="str">
        <f t="shared" si="346"/>
        <v xml:space="preserve">COM VALOR</v>
      </c>
      <c r="J7409" s="19"/>
      <c r="L7409" s="21">
        <v>0</v>
      </c>
      <c r="M7409" s="22"/>
      <c r="N7409" s="21">
        <v>0</v>
      </c>
      <c r="O7409" s="22"/>
    </row>
    <row r="7410" ht="25.5">
      <c r="A7410" t="s">
        <v>7422</v>
      </c>
      <c r="B7410" s="19">
        <v>86902</v>
      </c>
      <c r="C7410" s="20" t="s">
        <v>7484</v>
      </c>
      <c r="D7410" s="19" t="s">
        <v>31</v>
      </c>
      <c r="E7410" s="21">
        <f t="shared" si="344"/>
        <v>361.22000000000003</v>
      </c>
      <c r="F7410" s="22">
        <v>0</v>
      </c>
      <c r="G7410" s="21">
        <f t="shared" si="345"/>
        <v>359.49000000000001</v>
      </c>
      <c r="H7410" s="22">
        <v>0</v>
      </c>
      <c r="I7410" s="23" t="str">
        <f t="shared" si="346"/>
        <v xml:space="preserve">COM VALOR</v>
      </c>
      <c r="J7410" s="19"/>
      <c r="L7410" s="21">
        <v>361.22000000000003</v>
      </c>
      <c r="M7410" s="22">
        <v>0</v>
      </c>
      <c r="N7410" s="21">
        <v>359.49000000000001</v>
      </c>
      <c r="O7410" s="22">
        <v>0</v>
      </c>
    </row>
    <row r="7411" ht="51">
      <c r="A7411" t="s">
        <v>7422</v>
      </c>
      <c r="B7411" s="19">
        <v>86939</v>
      </c>
      <c r="C7411" s="20" t="s">
        <v>7485</v>
      </c>
      <c r="D7411" s="19" t="s">
        <v>31</v>
      </c>
      <c r="E7411" s="21">
        <f t="shared" si="344"/>
        <v>484.02999999999997</v>
      </c>
      <c r="F7411" s="22">
        <v>0</v>
      </c>
      <c r="G7411" s="21">
        <f t="shared" si="345"/>
        <v>481.38</v>
      </c>
      <c r="H7411" s="22">
        <v>0</v>
      </c>
      <c r="I7411" s="23" t="str">
        <f t="shared" si="346"/>
        <v xml:space="preserve">COM VALOR</v>
      </c>
      <c r="J7411" s="19"/>
      <c r="L7411" s="21">
        <v>484.02999999999997</v>
      </c>
      <c r="M7411" s="22">
        <v>0</v>
      </c>
      <c r="N7411" s="21">
        <v>481.38</v>
      </c>
      <c r="O7411" s="22">
        <v>0</v>
      </c>
    </row>
    <row r="7412" ht="38.25">
      <c r="A7412" t="s">
        <v>7422</v>
      </c>
      <c r="B7412" s="19">
        <v>86903</v>
      </c>
      <c r="C7412" s="20" t="s">
        <v>7486</v>
      </c>
      <c r="D7412" s="19" t="s">
        <v>31</v>
      </c>
      <c r="E7412" s="21">
        <f t="shared" si="344"/>
        <v>419.94999999999999</v>
      </c>
      <c r="F7412" s="22">
        <v>0</v>
      </c>
      <c r="G7412" s="21">
        <f t="shared" si="345"/>
        <v>416.35000000000002</v>
      </c>
      <c r="H7412" s="22">
        <v>0</v>
      </c>
      <c r="I7412" s="23" t="str">
        <f t="shared" si="346"/>
        <v xml:space="preserve">COM VALOR</v>
      </c>
      <c r="J7412" s="19"/>
      <c r="L7412" s="21">
        <v>419.94999999999999</v>
      </c>
      <c r="M7412" s="22">
        <v>0</v>
      </c>
      <c r="N7412" s="21">
        <v>416.35000000000002</v>
      </c>
      <c r="O7412" s="22">
        <v>0</v>
      </c>
    </row>
    <row r="7413" ht="51">
      <c r="A7413" t="s">
        <v>7422</v>
      </c>
      <c r="B7413" s="19">
        <v>86940</v>
      </c>
      <c r="C7413" s="20" t="s">
        <v>7487</v>
      </c>
      <c r="D7413" s="19" t="s">
        <v>31</v>
      </c>
      <c r="E7413" s="21">
        <f t="shared" si="344"/>
        <v>1597.1500000000001</v>
      </c>
      <c r="F7413" s="22">
        <v>0</v>
      </c>
      <c r="G7413" s="21">
        <f t="shared" si="345"/>
        <v>1590.9200000000001</v>
      </c>
      <c r="H7413" s="22">
        <v>0</v>
      </c>
      <c r="I7413" s="23" t="str">
        <f t="shared" si="346"/>
        <v xml:space="preserve">COM VALOR</v>
      </c>
      <c r="J7413" s="19"/>
      <c r="L7413" s="21">
        <v>1597.1500000000001</v>
      </c>
      <c r="M7413" s="22">
        <v>0</v>
      </c>
      <c r="N7413" s="21">
        <v>1590.9200000000001</v>
      </c>
      <c r="O7413" s="22">
        <v>0</v>
      </c>
    </row>
    <row r="7414" ht="51">
      <c r="A7414" t="s">
        <v>7422</v>
      </c>
      <c r="B7414" s="19">
        <v>86941</v>
      </c>
      <c r="C7414" s="20" t="s">
        <v>7488</v>
      </c>
      <c r="D7414" s="19" t="s">
        <v>31</v>
      </c>
      <c r="E7414" s="21">
        <f t="shared" si="344"/>
        <v>1188.8399999999999</v>
      </c>
      <c r="F7414" s="22">
        <v>0</v>
      </c>
      <c r="G7414" s="21">
        <f t="shared" si="345"/>
        <v>1183.72</v>
      </c>
      <c r="H7414" s="22">
        <v>0</v>
      </c>
      <c r="I7414" s="23" t="str">
        <f t="shared" si="346"/>
        <v xml:space="preserve">COM VALOR</v>
      </c>
      <c r="J7414" s="19"/>
      <c r="L7414" s="21">
        <v>1188.8399999999999</v>
      </c>
      <c r="M7414" s="22">
        <v>0</v>
      </c>
      <c r="N7414" s="21">
        <v>1183.72</v>
      </c>
      <c r="O7414" s="22">
        <v>0</v>
      </c>
    </row>
    <row r="7415" ht="25.5">
      <c r="A7415" t="s">
        <v>7422</v>
      </c>
      <c r="B7415" s="19">
        <v>86904</v>
      </c>
      <c r="C7415" s="20" t="s">
        <v>7489</v>
      </c>
      <c r="D7415" s="19" t="s">
        <v>31</v>
      </c>
      <c r="E7415" s="21">
        <f t="shared" si="344"/>
        <v>178.00999999999999</v>
      </c>
      <c r="F7415" s="22">
        <v>0</v>
      </c>
      <c r="G7415" s="21">
        <f t="shared" si="345"/>
        <v>177.00999999999999</v>
      </c>
      <c r="H7415" s="22">
        <v>0</v>
      </c>
      <c r="I7415" s="23" t="str">
        <f t="shared" si="346"/>
        <v xml:space="preserve">COM VALOR</v>
      </c>
      <c r="J7415" s="19"/>
      <c r="L7415" s="21">
        <v>178.00999999999999</v>
      </c>
      <c r="M7415" s="22">
        <v>0</v>
      </c>
      <c r="N7415" s="21">
        <v>177.00999999999999</v>
      </c>
      <c r="O7415" s="22">
        <v>0</v>
      </c>
    </row>
    <row r="7416" ht="51">
      <c r="A7416" t="s">
        <v>7422</v>
      </c>
      <c r="B7416" s="19">
        <v>86943</v>
      </c>
      <c r="C7416" s="20" t="s">
        <v>7490</v>
      </c>
      <c r="D7416" s="19" t="s">
        <v>31</v>
      </c>
      <c r="E7416" s="21">
        <f t="shared" si="344"/>
        <v>300.81999999999999</v>
      </c>
      <c r="F7416" s="22">
        <v>0</v>
      </c>
      <c r="G7416" s="21">
        <f t="shared" si="345"/>
        <v>298.89999999999998</v>
      </c>
      <c r="H7416" s="22">
        <v>0</v>
      </c>
      <c r="I7416" s="23" t="str">
        <f t="shared" si="346"/>
        <v xml:space="preserve">COM VALOR</v>
      </c>
      <c r="J7416" s="19"/>
      <c r="L7416" s="21">
        <v>300.81999999999999</v>
      </c>
      <c r="M7416" s="22">
        <v>0</v>
      </c>
      <c r="N7416" s="21">
        <v>298.89999999999998</v>
      </c>
      <c r="O7416" s="22">
        <v>0</v>
      </c>
    </row>
    <row r="7417" ht="51">
      <c r="A7417" t="s">
        <v>7422</v>
      </c>
      <c r="B7417" s="19">
        <v>86942</v>
      </c>
      <c r="C7417" s="20" t="s">
        <v>7491</v>
      </c>
      <c r="D7417" s="19" t="s">
        <v>31</v>
      </c>
      <c r="E7417" s="21">
        <f t="shared" si="344"/>
        <v>312.16000000000003</v>
      </c>
      <c r="F7417" s="22">
        <v>0</v>
      </c>
      <c r="G7417" s="21">
        <f t="shared" si="345"/>
        <v>310.11000000000001</v>
      </c>
      <c r="H7417" s="22">
        <v>0</v>
      </c>
      <c r="I7417" s="23" t="str">
        <f t="shared" si="346"/>
        <v xml:space="preserve">COM VALOR</v>
      </c>
      <c r="J7417" s="19"/>
      <c r="L7417" s="21">
        <v>312.16000000000003</v>
      </c>
      <c r="M7417" s="22">
        <v>0</v>
      </c>
      <c r="N7417" s="21">
        <v>310.11000000000001</v>
      </c>
      <c r="O7417" s="22">
        <v>0</v>
      </c>
    </row>
    <row r="7418" ht="25.5">
      <c r="A7418" t="s">
        <v>7422</v>
      </c>
      <c r="B7418" s="19">
        <v>100856</v>
      </c>
      <c r="C7418" s="20" t="s">
        <v>7492</v>
      </c>
      <c r="D7418" s="19" t="s">
        <v>31</v>
      </c>
      <c r="E7418" s="21">
        <f t="shared" si="344"/>
        <v>45.350000000000001</v>
      </c>
      <c r="F7418" s="22">
        <v>0</v>
      </c>
      <c r="G7418" s="21">
        <f t="shared" si="345"/>
        <v>45.119999999999997</v>
      </c>
      <c r="H7418" s="22">
        <v>0</v>
      </c>
      <c r="I7418" s="23" t="str">
        <f t="shared" si="346"/>
        <v xml:space="preserve">COM VALOR</v>
      </c>
      <c r="J7418" s="19"/>
      <c r="L7418" s="21">
        <v>45.350000000000001</v>
      </c>
      <c r="M7418" s="22">
        <v>0</v>
      </c>
      <c r="N7418" s="21">
        <v>45.119999999999997</v>
      </c>
      <c r="O7418" s="22">
        <v>0</v>
      </c>
    </row>
    <row r="7419" ht="25.5">
      <c r="A7419" t="s">
        <v>7422</v>
      </c>
      <c r="B7419" s="19">
        <v>106776</v>
      </c>
      <c r="C7419" s="20" t="s">
        <v>7493</v>
      </c>
      <c r="D7419" s="19" t="s">
        <v>31</v>
      </c>
      <c r="E7419" s="21">
        <f t="shared" si="344"/>
        <v>750.74000000000001</v>
      </c>
      <c r="F7419" s="22">
        <v>0</v>
      </c>
      <c r="G7419" s="21">
        <f t="shared" si="345"/>
        <v>749.96000000000004</v>
      </c>
      <c r="H7419" s="22">
        <v>0</v>
      </c>
      <c r="I7419" s="23" t="str">
        <f t="shared" si="346"/>
        <v xml:space="preserve">COM VALOR</v>
      </c>
      <c r="J7419" s="19"/>
      <c r="L7419" s="21">
        <v>750.74000000000001</v>
      </c>
      <c r="M7419" s="22">
        <v>0</v>
      </c>
      <c r="N7419" s="21">
        <v>749.96000000000004</v>
      </c>
      <c r="O7419" s="22">
        <v>0</v>
      </c>
    </row>
    <row r="7420" ht="25.5">
      <c r="A7420" t="s">
        <v>7422</v>
      </c>
      <c r="B7420" s="19">
        <v>100858</v>
      </c>
      <c r="C7420" s="20" t="s">
        <v>7494</v>
      </c>
      <c r="D7420" s="19" t="s">
        <v>31</v>
      </c>
      <c r="E7420" s="21">
        <f t="shared" si="344"/>
        <v>726.96000000000004</v>
      </c>
      <c r="F7420" s="22">
        <v>0</v>
      </c>
      <c r="G7420" s="21">
        <f t="shared" si="345"/>
        <v>724.72000000000003</v>
      </c>
      <c r="H7420" s="22">
        <v>0</v>
      </c>
      <c r="I7420" s="23" t="str">
        <f t="shared" si="346"/>
        <v xml:space="preserve">COM VALOR</v>
      </c>
      <c r="J7420" s="19"/>
      <c r="L7420" s="21">
        <v>726.96000000000004</v>
      </c>
      <c r="M7420" s="22">
        <v>0</v>
      </c>
      <c r="N7420" s="21">
        <v>724.72000000000003</v>
      </c>
      <c r="O7420" s="22">
        <v>0</v>
      </c>
    </row>
    <row r="7421" ht="25.5">
      <c r="A7421" t="s">
        <v>7422</v>
      </c>
      <c r="B7421" s="19">
        <v>100859</v>
      </c>
      <c r="C7421" s="20" t="s">
        <v>7495</v>
      </c>
      <c r="D7421" s="19" t="s">
        <v>31</v>
      </c>
      <c r="E7421" s="21">
        <f t="shared" si="344"/>
        <v>1266.98</v>
      </c>
      <c r="F7421" s="22">
        <v>0</v>
      </c>
      <c r="G7421" s="21">
        <f t="shared" si="345"/>
        <v>1262.3</v>
      </c>
      <c r="H7421" s="22">
        <v>0</v>
      </c>
      <c r="I7421" s="23" t="str">
        <f t="shared" si="346"/>
        <v xml:space="preserve">COM VALOR</v>
      </c>
      <c r="J7421" s="19"/>
      <c r="L7421" s="21">
        <v>1266.98</v>
      </c>
      <c r="M7421" s="22">
        <v>0</v>
      </c>
      <c r="N7421" s="21">
        <v>1262.3</v>
      </c>
      <c r="O7421" s="22">
        <v>0</v>
      </c>
    </row>
    <row r="7422" ht="25.5">
      <c r="A7422" t="s">
        <v>7422</v>
      </c>
      <c r="B7422" s="19">
        <v>95544</v>
      </c>
      <c r="C7422" s="20" t="s">
        <v>7496</v>
      </c>
      <c r="D7422" s="19" t="s">
        <v>31</v>
      </c>
      <c r="E7422" s="21">
        <f t="shared" si="344"/>
        <v>40.159999999999997</v>
      </c>
      <c r="F7422" s="22">
        <v>0</v>
      </c>
      <c r="G7422" s="21">
        <f t="shared" si="345"/>
        <v>39.380000000000003</v>
      </c>
      <c r="H7422" s="22">
        <v>0</v>
      </c>
      <c r="I7422" s="23" t="str">
        <f t="shared" si="346"/>
        <v xml:space="preserve">COM VALOR</v>
      </c>
      <c r="J7422" s="19"/>
      <c r="L7422" s="21">
        <v>40.159999999999997</v>
      </c>
      <c r="M7422" s="22">
        <v>0</v>
      </c>
      <c r="N7422" s="21">
        <v>39.380000000000003</v>
      </c>
      <c r="O7422" s="22">
        <v>0</v>
      </c>
    </row>
    <row r="7423" ht="25.5">
      <c r="A7423" t="s">
        <v>7422</v>
      </c>
      <c r="B7423" s="19">
        <v>106772</v>
      </c>
      <c r="C7423" s="20" t="s">
        <v>7497</v>
      </c>
      <c r="D7423" s="19" t="s">
        <v>31</v>
      </c>
      <c r="E7423" s="21">
        <f t="shared" si="344"/>
        <v>329.45999999999998</v>
      </c>
      <c r="F7423" s="22">
        <v>0</v>
      </c>
      <c r="G7423" s="21">
        <f t="shared" si="345"/>
        <v>325.94999999999999</v>
      </c>
      <c r="H7423" s="22">
        <v>0</v>
      </c>
      <c r="I7423" s="23" t="str">
        <f t="shared" si="346"/>
        <v xml:space="preserve">COM VALOR</v>
      </c>
      <c r="J7423" s="19"/>
      <c r="L7423" s="21">
        <v>329.45999999999998</v>
      </c>
      <c r="M7423" s="22">
        <v>0</v>
      </c>
      <c r="N7423" s="21">
        <v>325.94999999999999</v>
      </c>
      <c r="O7423" s="22">
        <v>0</v>
      </c>
    </row>
    <row r="7424" ht="25.5">
      <c r="A7424" t="s">
        <v>7422</v>
      </c>
      <c r="B7424" s="19">
        <v>95543</v>
      </c>
      <c r="C7424" s="20" t="s">
        <v>7498</v>
      </c>
      <c r="D7424" s="19" t="s">
        <v>31</v>
      </c>
      <c r="E7424" s="21">
        <f t="shared" si="344"/>
        <v>58.93</v>
      </c>
      <c r="F7424" s="22">
        <v>0</v>
      </c>
      <c r="G7424" s="21">
        <f t="shared" si="345"/>
        <v>57.359999999999999</v>
      </c>
      <c r="H7424" s="22">
        <v>0</v>
      </c>
      <c r="I7424" s="23" t="str">
        <f t="shared" si="346"/>
        <v xml:space="preserve">COM VALOR</v>
      </c>
      <c r="J7424" s="19"/>
      <c r="L7424" s="21">
        <v>58.93</v>
      </c>
      <c r="M7424" s="22">
        <v>0</v>
      </c>
      <c r="N7424" s="21">
        <v>57.359999999999999</v>
      </c>
      <c r="O7424" s="22">
        <v>0</v>
      </c>
    </row>
    <row r="7425" ht="25.5">
      <c r="A7425" t="s">
        <v>7422</v>
      </c>
      <c r="B7425" s="19">
        <v>95542</v>
      </c>
      <c r="C7425" s="20" t="s">
        <v>7499</v>
      </c>
      <c r="D7425" s="19" t="s">
        <v>31</v>
      </c>
      <c r="E7425" s="21">
        <f t="shared" si="344"/>
        <v>33.93</v>
      </c>
      <c r="F7425" s="22">
        <v>0</v>
      </c>
      <c r="G7425" s="21">
        <f t="shared" si="345"/>
        <v>33.149999999999999</v>
      </c>
      <c r="H7425" s="22">
        <v>0</v>
      </c>
      <c r="I7425" s="23" t="str">
        <f t="shared" si="346"/>
        <v xml:space="preserve">COM VALOR</v>
      </c>
      <c r="J7425" s="19"/>
      <c r="L7425" s="21">
        <v>33.93</v>
      </c>
      <c r="M7425" s="22">
        <v>0</v>
      </c>
      <c r="N7425" s="21">
        <v>33.149999999999999</v>
      </c>
      <c r="O7425" s="22">
        <v>0</v>
      </c>
    </row>
    <row r="7426" ht="25.5">
      <c r="A7426" t="s">
        <v>7422</v>
      </c>
      <c r="B7426" s="19">
        <v>106767</v>
      </c>
      <c r="C7426" s="20" t="s">
        <v>7500</v>
      </c>
      <c r="D7426" s="19" t="s">
        <v>31</v>
      </c>
      <c r="E7426" s="21" t="str">
        <f t="shared" si="344"/>
        <v>VERIFICAR</v>
      </c>
      <c r="F7426" s="22">
        <v>0</v>
      </c>
      <c r="G7426" s="21" t="str">
        <f t="shared" si="345"/>
        <v>VERIFICAR</v>
      </c>
      <c r="H7426" s="22">
        <v>0</v>
      </c>
      <c r="I7426" s="23" t="str">
        <f t="shared" si="346"/>
        <v xml:space="preserve">COM VALOR</v>
      </c>
      <c r="J7426" s="19"/>
      <c r="L7426" s="21">
        <v>0</v>
      </c>
      <c r="M7426" s="22"/>
      <c r="N7426" s="21">
        <v>0</v>
      </c>
      <c r="O7426" s="22"/>
    </row>
    <row r="7427" ht="25.5">
      <c r="A7427" t="s">
        <v>7422</v>
      </c>
      <c r="B7427" s="19">
        <v>100874</v>
      </c>
      <c r="C7427" s="20" t="s">
        <v>7501</v>
      </c>
      <c r="D7427" s="19" t="s">
        <v>31</v>
      </c>
      <c r="E7427" s="21">
        <f t="shared" si="344"/>
        <v>325.16000000000003</v>
      </c>
      <c r="F7427" s="22">
        <v>0</v>
      </c>
      <c r="G7427" s="21">
        <f t="shared" si="345"/>
        <v>322.81</v>
      </c>
      <c r="H7427" s="22">
        <v>0</v>
      </c>
      <c r="I7427" s="23" t="str">
        <f t="shared" si="346"/>
        <v xml:space="preserve">COM VALOR</v>
      </c>
      <c r="J7427" s="19"/>
      <c r="L7427" s="21">
        <v>325.16000000000003</v>
      </c>
      <c r="M7427" s="22">
        <v>0.52000000000000002</v>
      </c>
      <c r="N7427" s="21">
        <v>322.81</v>
      </c>
      <c r="O7427" s="22">
        <v>0.52000000000000002</v>
      </c>
    </row>
    <row r="7428" ht="25.5">
      <c r="A7428" t="s">
        <v>7422</v>
      </c>
      <c r="B7428" s="19">
        <v>95545</v>
      </c>
      <c r="C7428" s="20" t="s">
        <v>7502</v>
      </c>
      <c r="D7428" s="19" t="s">
        <v>31</v>
      </c>
      <c r="E7428" s="21">
        <f t="shared" si="344"/>
        <v>39.5</v>
      </c>
      <c r="F7428" s="22">
        <v>0</v>
      </c>
      <c r="G7428" s="21">
        <f t="shared" si="345"/>
        <v>38.719999999999999</v>
      </c>
      <c r="H7428" s="22">
        <v>0</v>
      </c>
      <c r="I7428" s="23" t="str">
        <f t="shared" si="346"/>
        <v xml:space="preserve">COM VALOR</v>
      </c>
      <c r="J7428" s="19"/>
      <c r="L7428" s="21">
        <v>39.5</v>
      </c>
      <c r="M7428" s="22">
        <v>0</v>
      </c>
      <c r="N7428" s="21">
        <v>38.719999999999999</v>
      </c>
      <c r="O7428" s="22">
        <v>0</v>
      </c>
    </row>
    <row r="7429" ht="25.5">
      <c r="A7429" t="s">
        <v>7422</v>
      </c>
      <c r="B7429" s="19">
        <v>95547</v>
      </c>
      <c r="C7429" s="20" t="s">
        <v>7503</v>
      </c>
      <c r="D7429" s="19" t="s">
        <v>31</v>
      </c>
      <c r="E7429" s="21">
        <f t="shared" si="344"/>
        <v>64.650000000000006</v>
      </c>
      <c r="F7429" s="22">
        <v>0</v>
      </c>
      <c r="G7429" s="21">
        <f t="shared" si="345"/>
        <v>63.869999999999997</v>
      </c>
      <c r="H7429" s="22">
        <v>0</v>
      </c>
      <c r="I7429" s="23" t="str">
        <f t="shared" si="346"/>
        <v xml:space="preserve">COM VALOR</v>
      </c>
      <c r="J7429" s="19"/>
      <c r="L7429" s="21">
        <v>64.650000000000006</v>
      </c>
      <c r="M7429" s="22">
        <v>0</v>
      </c>
      <c r="N7429" s="21">
        <v>63.869999999999997</v>
      </c>
      <c r="O7429" s="22">
        <v>0</v>
      </c>
    </row>
    <row r="7430" ht="25.5">
      <c r="A7430" t="s">
        <v>7422</v>
      </c>
      <c r="B7430" s="19">
        <v>86883</v>
      </c>
      <c r="C7430" s="20" t="s">
        <v>7504</v>
      </c>
      <c r="D7430" s="19" t="s">
        <v>31</v>
      </c>
      <c r="E7430" s="21">
        <f t="shared" si="344"/>
        <v>12.98</v>
      </c>
      <c r="F7430" s="22">
        <v>0</v>
      </c>
      <c r="G7430" s="21">
        <f t="shared" si="345"/>
        <v>12.800000000000001</v>
      </c>
      <c r="H7430" s="22">
        <v>0</v>
      </c>
      <c r="I7430" s="23" t="str">
        <f t="shared" si="346"/>
        <v xml:space="preserve">COM VALOR</v>
      </c>
      <c r="J7430" s="19"/>
      <c r="L7430" s="21">
        <v>12.98</v>
      </c>
      <c r="M7430" s="22">
        <v>0</v>
      </c>
      <c r="N7430" s="21">
        <v>12.800000000000001</v>
      </c>
      <c r="O7430" s="22">
        <v>0</v>
      </c>
    </row>
    <row r="7431" ht="25.5">
      <c r="A7431" t="s">
        <v>7422</v>
      </c>
      <c r="B7431" s="19">
        <v>86881</v>
      </c>
      <c r="C7431" s="20" t="s">
        <v>7505</v>
      </c>
      <c r="D7431" s="19" t="s">
        <v>31</v>
      </c>
      <c r="E7431" s="21">
        <f t="shared" si="344"/>
        <v>378.98000000000002</v>
      </c>
      <c r="F7431" s="22">
        <v>0</v>
      </c>
      <c r="G7431" s="21">
        <f t="shared" si="345"/>
        <v>378.33999999999997</v>
      </c>
      <c r="H7431" s="22">
        <v>0</v>
      </c>
      <c r="I7431" s="23" t="str">
        <f t="shared" si="346"/>
        <v xml:space="preserve">COM VALOR</v>
      </c>
      <c r="J7431" s="19"/>
      <c r="L7431" s="21">
        <v>378.98000000000002</v>
      </c>
      <c r="M7431" s="22">
        <v>0</v>
      </c>
      <c r="N7431" s="21">
        <v>378.33999999999997</v>
      </c>
      <c r="O7431" s="22">
        <v>0</v>
      </c>
    </row>
    <row r="7432" ht="25.5">
      <c r="A7432" t="s">
        <v>7422</v>
      </c>
      <c r="B7432" s="19">
        <v>86882</v>
      </c>
      <c r="C7432" s="20" t="s">
        <v>7506</v>
      </c>
      <c r="D7432" s="19" t="s">
        <v>31</v>
      </c>
      <c r="E7432" s="21">
        <f t="shared" si="344"/>
        <v>24.32</v>
      </c>
      <c r="F7432" s="22">
        <v>0</v>
      </c>
      <c r="G7432" s="21">
        <f t="shared" si="345"/>
        <v>24.010000000000002</v>
      </c>
      <c r="H7432" s="22">
        <v>0</v>
      </c>
      <c r="I7432" s="23" t="str">
        <f t="shared" si="346"/>
        <v xml:space="preserve">COM VALOR</v>
      </c>
      <c r="J7432" s="19"/>
      <c r="L7432" s="21">
        <v>24.32</v>
      </c>
      <c r="M7432" s="22">
        <v>0</v>
      </c>
      <c r="N7432" s="21">
        <v>24.010000000000002</v>
      </c>
      <c r="O7432" s="22">
        <v>0</v>
      </c>
    </row>
    <row r="7433" ht="25.5">
      <c r="A7433" t="s">
        <v>7422</v>
      </c>
      <c r="B7433" s="19">
        <v>100861</v>
      </c>
      <c r="C7433" s="20" t="s">
        <v>7507</v>
      </c>
      <c r="D7433" s="19" t="s">
        <v>31</v>
      </c>
      <c r="E7433" s="21">
        <f t="shared" si="344"/>
        <v>38.770000000000003</v>
      </c>
      <c r="F7433" s="22">
        <v>0</v>
      </c>
      <c r="G7433" s="21">
        <f t="shared" si="345"/>
        <v>37.600000000000001</v>
      </c>
      <c r="H7433" s="22">
        <v>0</v>
      </c>
      <c r="I7433" s="23" t="str">
        <f t="shared" si="346"/>
        <v xml:space="preserve">COM VALOR</v>
      </c>
      <c r="J7433" s="19"/>
      <c r="L7433" s="21">
        <v>38.770000000000003</v>
      </c>
      <c r="M7433" s="22">
        <v>0.42999999999999999</v>
      </c>
      <c r="N7433" s="21">
        <v>37.600000000000001</v>
      </c>
      <c r="O7433" s="22">
        <v>0.45000000000000001</v>
      </c>
    </row>
    <row r="7434" ht="25.5">
      <c r="A7434" t="s">
        <v>7422</v>
      </c>
      <c r="B7434" s="19">
        <v>100862</v>
      </c>
      <c r="C7434" s="20" t="s">
        <v>7508</v>
      </c>
      <c r="D7434" s="19" t="s">
        <v>31</v>
      </c>
      <c r="E7434" s="21">
        <f t="shared" si="344"/>
        <v>42.18</v>
      </c>
      <c r="F7434" s="22">
        <v>0</v>
      </c>
      <c r="G7434" s="21">
        <f t="shared" si="345"/>
        <v>41.009999999999998</v>
      </c>
      <c r="H7434" s="22">
        <v>0</v>
      </c>
      <c r="I7434" s="23" t="str">
        <f t="shared" si="346"/>
        <v xml:space="preserve">COM VALOR</v>
      </c>
      <c r="J7434" s="19"/>
      <c r="L7434" s="21">
        <v>42.18</v>
      </c>
      <c r="M7434" s="22">
        <v>0.47999999999999998</v>
      </c>
      <c r="N7434" s="21">
        <v>41.009999999999998</v>
      </c>
      <c r="O7434" s="22">
        <v>0.48999999999999999</v>
      </c>
    </row>
    <row r="7435" ht="25.5">
      <c r="A7435" t="s">
        <v>7422</v>
      </c>
      <c r="B7435" s="19">
        <v>86872</v>
      </c>
      <c r="C7435" s="20" t="s">
        <v>7509</v>
      </c>
      <c r="D7435" s="19" t="s">
        <v>31</v>
      </c>
      <c r="E7435" s="21">
        <f t="shared" ref="E7435:E7498" si="347">IF(L7435=0,"VERIFICAR",L7435)</f>
        <v>887.05999999999995</v>
      </c>
      <c r="F7435" s="22">
        <v>0</v>
      </c>
      <c r="G7435" s="21">
        <f t="shared" ref="G7435:G7498" si="348">IF(N7435=0,"VERIFICAR",N7435)</f>
        <v>882.90999999999997</v>
      </c>
      <c r="H7435" s="22">
        <v>0</v>
      </c>
      <c r="I7435" s="23" t="str">
        <f t="shared" ref="I7435:I7498" si="349">IF(OR(E7435=0,G7435=0),"SEM VALOR","COM VALOR")</f>
        <v xml:space="preserve">COM VALOR</v>
      </c>
      <c r="J7435" s="19"/>
      <c r="L7435" s="21">
        <v>887.05999999999995</v>
      </c>
      <c r="M7435" s="22">
        <v>0</v>
      </c>
      <c r="N7435" s="21">
        <v>882.90999999999997</v>
      </c>
      <c r="O7435" s="22">
        <v>0</v>
      </c>
    </row>
    <row r="7436" ht="51">
      <c r="A7436" t="s">
        <v>7422</v>
      </c>
      <c r="B7436" s="19">
        <v>86919</v>
      </c>
      <c r="C7436" s="20" t="s">
        <v>7510</v>
      </c>
      <c r="D7436" s="19" t="s">
        <v>31</v>
      </c>
      <c r="E7436" s="21">
        <f t="shared" si="347"/>
        <v>1139.1199999999999</v>
      </c>
      <c r="F7436" s="22">
        <v>0</v>
      </c>
      <c r="G7436" s="21">
        <f t="shared" si="348"/>
        <v>1134.0799999999999</v>
      </c>
      <c r="H7436" s="22">
        <v>0</v>
      </c>
      <c r="I7436" s="23" t="str">
        <f t="shared" si="349"/>
        <v xml:space="preserve">COM VALOR</v>
      </c>
      <c r="J7436" s="19"/>
      <c r="L7436" s="21">
        <v>1139.1199999999999</v>
      </c>
      <c r="M7436" s="22">
        <v>0</v>
      </c>
      <c r="N7436" s="21">
        <v>1134.0799999999999</v>
      </c>
      <c r="O7436" s="22">
        <v>0</v>
      </c>
    </row>
    <row r="7437" ht="51">
      <c r="A7437" t="s">
        <v>7422</v>
      </c>
      <c r="B7437" s="19">
        <v>86920</v>
      </c>
      <c r="C7437" s="20" t="s">
        <v>7511</v>
      </c>
      <c r="D7437" s="19" t="s">
        <v>31</v>
      </c>
      <c r="E7437" s="21">
        <f t="shared" si="347"/>
        <v>974.99000000000001</v>
      </c>
      <c r="F7437" s="22">
        <v>0</v>
      </c>
      <c r="G7437" s="21">
        <f t="shared" si="348"/>
        <v>970.09000000000003</v>
      </c>
      <c r="H7437" s="22">
        <v>0</v>
      </c>
      <c r="I7437" s="23" t="str">
        <f t="shared" si="349"/>
        <v xml:space="preserve">COM VALOR</v>
      </c>
      <c r="J7437" s="19"/>
      <c r="L7437" s="21">
        <v>974.99000000000001</v>
      </c>
      <c r="M7437" s="22">
        <v>0</v>
      </c>
      <c r="N7437" s="21">
        <v>970.09000000000003</v>
      </c>
      <c r="O7437" s="22">
        <v>0</v>
      </c>
    </row>
    <row r="7438" ht="38.25">
      <c r="A7438" t="s">
        <v>7422</v>
      </c>
      <c r="B7438" s="19">
        <v>86921</v>
      </c>
      <c r="C7438" s="20" t="s">
        <v>7512</v>
      </c>
      <c r="D7438" s="19" t="s">
        <v>31</v>
      </c>
      <c r="E7438" s="21">
        <f t="shared" si="347"/>
        <v>934.85000000000002</v>
      </c>
      <c r="F7438" s="22">
        <v>0</v>
      </c>
      <c r="G7438" s="21">
        <f t="shared" si="348"/>
        <v>929.95000000000005</v>
      </c>
      <c r="H7438" s="22">
        <v>0</v>
      </c>
      <c r="I7438" s="23" t="str">
        <f t="shared" si="349"/>
        <v xml:space="preserve">COM VALOR</v>
      </c>
      <c r="J7438" s="19"/>
      <c r="L7438" s="21">
        <v>934.85000000000002</v>
      </c>
      <c r="M7438" s="22">
        <v>0</v>
      </c>
      <c r="N7438" s="21">
        <v>929.95000000000005</v>
      </c>
      <c r="O7438" s="22">
        <v>0</v>
      </c>
    </row>
    <row r="7439" ht="25.5">
      <c r="A7439" t="s">
        <v>7422</v>
      </c>
      <c r="B7439" s="19">
        <v>86874</v>
      </c>
      <c r="C7439" s="20" t="s">
        <v>7513</v>
      </c>
      <c r="D7439" s="19" t="s">
        <v>31</v>
      </c>
      <c r="E7439" s="21">
        <f t="shared" si="347"/>
        <v>622.44000000000005</v>
      </c>
      <c r="F7439" s="22">
        <v>0</v>
      </c>
      <c r="G7439" s="21">
        <f t="shared" si="348"/>
        <v>620.57000000000005</v>
      </c>
      <c r="H7439" s="22">
        <v>0</v>
      </c>
      <c r="I7439" s="23" t="str">
        <f t="shared" si="349"/>
        <v xml:space="preserve">COM VALOR</v>
      </c>
      <c r="J7439" s="19"/>
      <c r="L7439" s="21">
        <v>622.44000000000005</v>
      </c>
      <c r="M7439" s="22">
        <v>0</v>
      </c>
      <c r="N7439" s="21">
        <v>620.57000000000005</v>
      </c>
      <c r="O7439" s="22">
        <v>0</v>
      </c>
    </row>
    <row r="7440" ht="51">
      <c r="A7440" t="s">
        <v>7422</v>
      </c>
      <c r="B7440" s="19">
        <v>86922</v>
      </c>
      <c r="C7440" s="20" t="s">
        <v>7514</v>
      </c>
      <c r="D7440" s="19" t="s">
        <v>31</v>
      </c>
      <c r="E7440" s="21">
        <f t="shared" si="347"/>
        <v>1240.5</v>
      </c>
      <c r="F7440" s="22"/>
      <c r="G7440" s="21">
        <f t="shared" si="348"/>
        <v>1237.28</v>
      </c>
      <c r="H7440" s="22"/>
      <c r="I7440" s="23" t="str">
        <f t="shared" si="349"/>
        <v xml:space="preserve">COM VALOR</v>
      </c>
      <c r="J7440" s="19"/>
      <c r="L7440" s="21">
        <v>1240.5</v>
      </c>
      <c r="M7440" s="22">
        <v>0</v>
      </c>
      <c r="N7440" s="21">
        <v>1237.28</v>
      </c>
      <c r="O7440" s="22">
        <v>0</v>
      </c>
    </row>
    <row r="7441" ht="51">
      <c r="A7441" t="s">
        <v>7422</v>
      </c>
      <c r="B7441" s="19">
        <v>86923</v>
      </c>
      <c r="C7441" s="20" t="s">
        <v>7515</v>
      </c>
      <c r="D7441" s="19" t="s">
        <v>31</v>
      </c>
      <c r="E7441" s="21">
        <f t="shared" si="347"/>
        <v>721.71000000000004</v>
      </c>
      <c r="F7441" s="22"/>
      <c r="G7441" s="21">
        <f t="shared" si="348"/>
        <v>718.96000000000004</v>
      </c>
      <c r="H7441" s="22"/>
      <c r="I7441" s="23" t="str">
        <f t="shared" si="349"/>
        <v xml:space="preserve">COM VALOR</v>
      </c>
      <c r="J7441" s="19"/>
      <c r="L7441" s="21">
        <v>721.71000000000004</v>
      </c>
      <c r="M7441" s="22">
        <v>0</v>
      </c>
      <c r="N7441" s="21">
        <v>718.96000000000004</v>
      </c>
      <c r="O7441" s="22">
        <v>0</v>
      </c>
    </row>
    <row r="7442" ht="38.25">
      <c r="A7442" t="s">
        <v>7422</v>
      </c>
      <c r="B7442" s="19">
        <v>86924</v>
      </c>
      <c r="C7442" s="20" t="s">
        <v>7516</v>
      </c>
      <c r="D7442" s="19" t="s">
        <v>31</v>
      </c>
      <c r="E7442" s="21">
        <f t="shared" si="347"/>
        <v>681.57000000000005</v>
      </c>
      <c r="F7442" s="22"/>
      <c r="G7442" s="21">
        <f t="shared" si="348"/>
        <v>678.82000000000005</v>
      </c>
      <c r="H7442" s="22"/>
      <c r="I7442" s="23" t="str">
        <f t="shared" si="349"/>
        <v xml:space="preserve">COM VALOR</v>
      </c>
      <c r="J7442" s="19"/>
      <c r="L7442" s="21">
        <v>681.57000000000005</v>
      </c>
      <c r="M7442" s="22">
        <v>0</v>
      </c>
      <c r="N7442" s="21">
        <v>678.82000000000005</v>
      </c>
      <c r="O7442" s="22">
        <v>0</v>
      </c>
    </row>
    <row r="7443" ht="25.5">
      <c r="A7443" t="s">
        <v>7422</v>
      </c>
      <c r="B7443" s="19">
        <v>86875</v>
      </c>
      <c r="C7443" s="20" t="s">
        <v>7517</v>
      </c>
      <c r="D7443" s="19" t="s">
        <v>31</v>
      </c>
      <c r="E7443" s="21">
        <f t="shared" si="347"/>
        <v>852.38999999999999</v>
      </c>
      <c r="F7443" s="22"/>
      <c r="G7443" s="21">
        <f t="shared" si="348"/>
        <v>850</v>
      </c>
      <c r="H7443" s="22"/>
      <c r="I7443" s="23" t="str">
        <f t="shared" si="349"/>
        <v xml:space="preserve">COM VALOR</v>
      </c>
      <c r="J7443" s="19"/>
      <c r="L7443" s="21">
        <v>852.38999999999999</v>
      </c>
      <c r="M7443" s="22">
        <v>0</v>
      </c>
      <c r="N7443" s="21">
        <v>850</v>
      </c>
      <c r="O7443" s="22">
        <v>0</v>
      </c>
    </row>
    <row r="7444" ht="51">
      <c r="A7444" t="s">
        <v>7422</v>
      </c>
      <c r="B7444" s="19">
        <v>86925</v>
      </c>
      <c r="C7444" s="20" t="s">
        <v>7518</v>
      </c>
      <c r="D7444" s="19" t="s">
        <v>31</v>
      </c>
      <c r="E7444" s="21">
        <f t="shared" si="347"/>
        <v>940.32000000000005</v>
      </c>
      <c r="F7444" s="22"/>
      <c r="G7444" s="21">
        <f t="shared" si="348"/>
        <v>937.17999999999995</v>
      </c>
      <c r="H7444" s="22"/>
      <c r="I7444" s="23" t="str">
        <f t="shared" si="349"/>
        <v xml:space="preserve">COM VALOR</v>
      </c>
      <c r="J7444" s="19"/>
      <c r="L7444" s="21">
        <v>940.32000000000005</v>
      </c>
      <c r="M7444" s="22">
        <v>0</v>
      </c>
      <c r="N7444" s="21">
        <v>937.17999999999995</v>
      </c>
      <c r="O7444" s="22">
        <v>0</v>
      </c>
    </row>
    <row r="7445" ht="38.25">
      <c r="A7445" t="s">
        <v>7422</v>
      </c>
      <c r="B7445" s="19">
        <v>86926</v>
      </c>
      <c r="C7445" s="20" t="s">
        <v>7519</v>
      </c>
      <c r="D7445" s="19" t="s">
        <v>31</v>
      </c>
      <c r="E7445" s="21">
        <f t="shared" si="347"/>
        <v>900.17999999999995</v>
      </c>
      <c r="F7445" s="22"/>
      <c r="G7445" s="21">
        <f t="shared" si="348"/>
        <v>897.03999999999996</v>
      </c>
      <c r="H7445" s="22"/>
      <c r="I7445" s="23" t="str">
        <f t="shared" si="349"/>
        <v xml:space="preserve">COM VALOR</v>
      </c>
      <c r="J7445" s="19"/>
      <c r="L7445" s="21">
        <v>900.17999999999995</v>
      </c>
      <c r="M7445" s="22">
        <v>0</v>
      </c>
      <c r="N7445" s="21">
        <v>897.03999999999996</v>
      </c>
      <c r="O7445" s="22">
        <v>0</v>
      </c>
    </row>
    <row r="7446" ht="25.5">
      <c r="A7446" t="s">
        <v>7422</v>
      </c>
      <c r="B7446" s="19">
        <v>86876</v>
      </c>
      <c r="C7446" s="20" t="s">
        <v>7520</v>
      </c>
      <c r="D7446" s="19" t="s">
        <v>31</v>
      </c>
      <c r="E7446" s="21">
        <f t="shared" si="347"/>
        <v>476.94</v>
      </c>
      <c r="F7446" s="22">
        <v>0.96999999999999997</v>
      </c>
      <c r="G7446" s="21">
        <f t="shared" si="348"/>
        <v>475.19</v>
      </c>
      <c r="H7446" s="22">
        <v>0.96999999999999997</v>
      </c>
      <c r="I7446" s="23" t="str">
        <f t="shared" si="349"/>
        <v xml:space="preserve">COM VALOR</v>
      </c>
      <c r="J7446" s="19"/>
      <c r="L7446" s="21">
        <v>476.94</v>
      </c>
      <c r="M7446" s="22">
        <v>0</v>
      </c>
      <c r="N7446" s="21">
        <v>475.19</v>
      </c>
      <c r="O7446" s="22">
        <v>0</v>
      </c>
    </row>
    <row r="7447" ht="51">
      <c r="A7447" t="s">
        <v>7422</v>
      </c>
      <c r="B7447" s="19">
        <v>86929</v>
      </c>
      <c r="C7447" s="20" t="s">
        <v>7521</v>
      </c>
      <c r="D7447" s="19" t="s">
        <v>31</v>
      </c>
      <c r="E7447" s="21">
        <f t="shared" si="347"/>
        <v>564.87</v>
      </c>
      <c r="F7447" s="22"/>
      <c r="G7447" s="21">
        <f t="shared" si="348"/>
        <v>562.37</v>
      </c>
      <c r="H7447" s="22"/>
      <c r="I7447" s="23" t="str">
        <f t="shared" si="349"/>
        <v xml:space="preserve">COM VALOR</v>
      </c>
      <c r="J7447" s="19"/>
      <c r="L7447" s="21">
        <v>564.87</v>
      </c>
      <c r="M7447" s="22">
        <v>0</v>
      </c>
      <c r="N7447" s="21">
        <v>562.37</v>
      </c>
      <c r="O7447" s="22">
        <v>0</v>
      </c>
    </row>
    <row r="7448" ht="38.25">
      <c r="A7448" t="s">
        <v>7422</v>
      </c>
      <c r="B7448" s="19">
        <v>86930</v>
      </c>
      <c r="C7448" s="20" t="s">
        <v>7522</v>
      </c>
      <c r="D7448" s="19" t="s">
        <v>31</v>
      </c>
      <c r="E7448" s="21">
        <f t="shared" si="347"/>
        <v>524.73000000000002</v>
      </c>
      <c r="F7448" s="22"/>
      <c r="G7448" s="21">
        <f t="shared" si="348"/>
        <v>522.23000000000002</v>
      </c>
      <c r="H7448" s="22"/>
      <c r="I7448" s="23" t="str">
        <f t="shared" si="349"/>
        <v xml:space="preserve">COM VALOR</v>
      </c>
      <c r="J7448" s="19"/>
      <c r="L7448" s="21">
        <v>524.73000000000002</v>
      </c>
      <c r="M7448" s="22">
        <v>0</v>
      </c>
      <c r="N7448" s="21">
        <v>522.23000000000002</v>
      </c>
      <c r="O7448" s="22">
        <v>0</v>
      </c>
    </row>
    <row r="7449" ht="51">
      <c r="A7449" t="s">
        <v>7422</v>
      </c>
      <c r="B7449" s="19">
        <v>86927</v>
      </c>
      <c r="C7449" s="20" t="s">
        <v>7523</v>
      </c>
      <c r="D7449" s="19" t="s">
        <v>31</v>
      </c>
      <c r="E7449" s="21">
        <f t="shared" si="347"/>
        <v>576.21000000000004</v>
      </c>
      <c r="F7449" s="22"/>
      <c r="G7449" s="21">
        <f t="shared" si="348"/>
        <v>573.58000000000004</v>
      </c>
      <c r="H7449" s="22"/>
      <c r="I7449" s="23" t="str">
        <f t="shared" si="349"/>
        <v xml:space="preserve">COM VALOR</v>
      </c>
      <c r="J7449" s="19"/>
      <c r="L7449" s="21">
        <v>576.21000000000004</v>
      </c>
      <c r="M7449" s="22">
        <v>0</v>
      </c>
      <c r="N7449" s="21">
        <v>573.58000000000004</v>
      </c>
      <c r="O7449" s="22">
        <v>0</v>
      </c>
    </row>
    <row r="7450" ht="38.25">
      <c r="A7450" t="s">
        <v>7422</v>
      </c>
      <c r="B7450" s="19">
        <v>86928</v>
      </c>
      <c r="C7450" s="20" t="s">
        <v>7524</v>
      </c>
      <c r="D7450" s="19" t="s">
        <v>31</v>
      </c>
      <c r="E7450" s="21">
        <f t="shared" si="347"/>
        <v>536.07000000000005</v>
      </c>
      <c r="F7450" s="22"/>
      <c r="G7450" s="21">
        <f t="shared" si="348"/>
        <v>533.44000000000005</v>
      </c>
      <c r="H7450" s="22"/>
      <c r="I7450" s="23" t="str">
        <f t="shared" si="349"/>
        <v xml:space="preserve">COM VALOR</v>
      </c>
      <c r="J7450" s="19"/>
      <c r="L7450" s="21">
        <v>536.07000000000005</v>
      </c>
      <c r="M7450" s="22">
        <v>0</v>
      </c>
      <c r="N7450" s="21">
        <v>533.44000000000005</v>
      </c>
      <c r="O7450" s="22">
        <v>0</v>
      </c>
    </row>
    <row r="7451" ht="25.5">
      <c r="A7451" t="s">
        <v>7422</v>
      </c>
      <c r="B7451" s="19">
        <v>106777</v>
      </c>
      <c r="C7451" s="20" t="s">
        <v>7525</v>
      </c>
      <c r="D7451" s="19" t="s">
        <v>31</v>
      </c>
      <c r="E7451" s="21" t="str">
        <f t="shared" si="347"/>
        <v>VERIFICAR</v>
      </c>
      <c r="F7451" s="22"/>
      <c r="G7451" s="21" t="str">
        <f t="shared" si="348"/>
        <v>VERIFICAR</v>
      </c>
      <c r="H7451" s="22"/>
      <c r="I7451" s="23" t="str">
        <f t="shared" si="349"/>
        <v xml:space="preserve">COM VALOR</v>
      </c>
      <c r="J7451" s="19"/>
      <c r="L7451" s="21">
        <v>0</v>
      </c>
      <c r="M7451" s="22"/>
      <c r="N7451" s="21">
        <v>0</v>
      </c>
      <c r="O7451" s="22"/>
    </row>
    <row r="7452" ht="25.5">
      <c r="A7452" t="s">
        <v>7422</v>
      </c>
      <c r="B7452" s="19">
        <v>86914</v>
      </c>
      <c r="C7452" s="20" t="s">
        <v>7526</v>
      </c>
      <c r="D7452" s="19" t="s">
        <v>31</v>
      </c>
      <c r="E7452" s="21">
        <f t="shared" si="347"/>
        <v>116.81999999999999</v>
      </c>
      <c r="F7452" s="22"/>
      <c r="G7452" s="21">
        <f t="shared" si="348"/>
        <v>116.48</v>
      </c>
      <c r="H7452" s="22"/>
      <c r="I7452" s="23" t="str">
        <f t="shared" si="349"/>
        <v xml:space="preserve">COM VALOR</v>
      </c>
      <c r="J7452" s="19"/>
      <c r="L7452" s="21">
        <v>116.81999999999999</v>
      </c>
      <c r="M7452" s="22">
        <v>0</v>
      </c>
      <c r="N7452" s="21">
        <v>116.48</v>
      </c>
      <c r="O7452" s="22">
        <v>0</v>
      </c>
    </row>
    <row r="7453" ht="25.5">
      <c r="A7453" t="s">
        <v>7422</v>
      </c>
      <c r="B7453" s="19">
        <v>86913</v>
      </c>
      <c r="C7453" s="20" t="s">
        <v>7527</v>
      </c>
      <c r="D7453" s="19" t="s">
        <v>31</v>
      </c>
      <c r="E7453" s="21">
        <f t="shared" si="347"/>
        <v>65.180000000000007</v>
      </c>
      <c r="F7453" s="22"/>
      <c r="G7453" s="21">
        <f t="shared" si="348"/>
        <v>64.840000000000003</v>
      </c>
      <c r="H7453" s="22"/>
      <c r="I7453" s="23" t="str">
        <f t="shared" si="349"/>
        <v xml:space="preserve">COM VALOR</v>
      </c>
      <c r="J7453" s="19"/>
      <c r="L7453" s="21">
        <v>65.180000000000007</v>
      </c>
      <c r="M7453" s="22">
        <v>0</v>
      </c>
      <c r="N7453" s="21">
        <v>64.840000000000003</v>
      </c>
      <c r="O7453" s="22">
        <v>0</v>
      </c>
    </row>
    <row r="7454" ht="25.5">
      <c r="A7454" t="s">
        <v>7422</v>
      </c>
      <c r="B7454" s="19">
        <v>106778</v>
      </c>
      <c r="C7454" s="20" t="s">
        <v>7528</v>
      </c>
      <c r="D7454" s="19" t="s">
        <v>31</v>
      </c>
      <c r="E7454" s="21" t="str">
        <f t="shared" si="347"/>
        <v>VERIFICAR</v>
      </c>
      <c r="F7454" s="22"/>
      <c r="G7454" s="21" t="str">
        <f t="shared" si="348"/>
        <v>VERIFICAR</v>
      </c>
      <c r="H7454" s="22"/>
      <c r="I7454" s="23" t="str">
        <f t="shared" si="349"/>
        <v xml:space="preserve">COM VALOR</v>
      </c>
      <c r="J7454" s="19"/>
      <c r="L7454" s="21">
        <v>0</v>
      </c>
      <c r="M7454" s="22"/>
      <c r="N7454" s="21">
        <v>0</v>
      </c>
      <c r="O7454" s="22"/>
    </row>
    <row r="7455" ht="25.5">
      <c r="A7455" t="s">
        <v>7422</v>
      </c>
      <c r="B7455" s="19">
        <v>106779</v>
      </c>
      <c r="C7455" s="20" t="s">
        <v>7529</v>
      </c>
      <c r="D7455" s="19" t="s">
        <v>31</v>
      </c>
      <c r="E7455" s="21">
        <f t="shared" si="347"/>
        <v>178.16</v>
      </c>
      <c r="F7455" s="22"/>
      <c r="G7455" s="21">
        <f t="shared" si="348"/>
        <v>177.96000000000001</v>
      </c>
      <c r="H7455" s="22"/>
      <c r="I7455" s="23" t="str">
        <f t="shared" si="349"/>
        <v xml:space="preserve">COM VALOR</v>
      </c>
      <c r="J7455" s="19"/>
      <c r="L7455" s="21">
        <v>178.16</v>
      </c>
      <c r="M7455" s="22">
        <v>0</v>
      </c>
      <c r="N7455" s="21">
        <v>177.96000000000001</v>
      </c>
      <c r="O7455" s="22">
        <v>0</v>
      </c>
    </row>
    <row r="7456" ht="25.5">
      <c r="A7456" t="s">
        <v>7422</v>
      </c>
      <c r="B7456" s="19">
        <v>100854</v>
      </c>
      <c r="C7456" s="20" t="s">
        <v>7530</v>
      </c>
      <c r="D7456" s="19" t="s">
        <v>31</v>
      </c>
      <c r="E7456" s="21">
        <f t="shared" si="347"/>
        <v>2121.0599999999999</v>
      </c>
      <c r="F7456" s="22"/>
      <c r="G7456" s="21">
        <f t="shared" si="348"/>
        <v>2120.0500000000002</v>
      </c>
      <c r="H7456" s="22"/>
      <c r="I7456" s="23" t="str">
        <f t="shared" si="349"/>
        <v xml:space="preserve">COM VALOR</v>
      </c>
      <c r="J7456" s="19"/>
      <c r="L7456" s="21">
        <v>2121.0599999999999</v>
      </c>
      <c r="M7456" s="22">
        <v>0</v>
      </c>
      <c r="N7456" s="21">
        <v>2120.0500000000002</v>
      </c>
      <c r="O7456" s="22">
        <v>0</v>
      </c>
    </row>
    <row r="7457" ht="25.5">
      <c r="A7457" t="s">
        <v>7422</v>
      </c>
      <c r="B7457" s="19">
        <v>100853</v>
      </c>
      <c r="C7457" s="20" t="s">
        <v>7531</v>
      </c>
      <c r="D7457" s="19" t="s">
        <v>31</v>
      </c>
      <c r="E7457" s="21">
        <f t="shared" si="347"/>
        <v>408.11000000000001</v>
      </c>
      <c r="F7457" s="22"/>
      <c r="G7457" s="21">
        <f t="shared" si="348"/>
        <v>407.10000000000002</v>
      </c>
      <c r="H7457" s="22"/>
      <c r="I7457" s="23" t="str">
        <f t="shared" si="349"/>
        <v xml:space="preserve">COM VALOR</v>
      </c>
      <c r="J7457" s="19"/>
      <c r="L7457" s="21">
        <v>408.11000000000001</v>
      </c>
      <c r="M7457" s="22">
        <v>0</v>
      </c>
      <c r="N7457" s="21">
        <v>407.10000000000002</v>
      </c>
      <c r="O7457" s="22">
        <v>0</v>
      </c>
    </row>
    <row r="7458" ht="25.5">
      <c r="A7458" t="s">
        <v>7422</v>
      </c>
      <c r="B7458" s="19">
        <v>86915</v>
      </c>
      <c r="C7458" s="20" t="s">
        <v>7532</v>
      </c>
      <c r="D7458" s="19" t="s">
        <v>31</v>
      </c>
      <c r="E7458" s="21">
        <f t="shared" si="347"/>
        <v>169.74000000000001</v>
      </c>
      <c r="F7458" s="22">
        <v>0.93000000000000005</v>
      </c>
      <c r="G7458" s="21">
        <f t="shared" si="348"/>
        <v>169.53999999999999</v>
      </c>
      <c r="H7458" s="22">
        <v>0.93000000000000005</v>
      </c>
      <c r="I7458" s="23" t="str">
        <f t="shared" si="349"/>
        <v xml:space="preserve">COM VALOR</v>
      </c>
      <c r="J7458" s="19"/>
      <c r="L7458" s="21">
        <v>169.74000000000001</v>
      </c>
      <c r="M7458" s="22">
        <v>0</v>
      </c>
      <c r="N7458" s="21">
        <v>169.53999999999999</v>
      </c>
      <c r="O7458" s="22">
        <v>0</v>
      </c>
    </row>
    <row r="7459" ht="25.5">
      <c r="A7459" t="s">
        <v>7422</v>
      </c>
      <c r="B7459" s="19">
        <v>86906</v>
      </c>
      <c r="C7459" s="20" t="s">
        <v>7533</v>
      </c>
      <c r="D7459" s="19" t="s">
        <v>31</v>
      </c>
      <c r="E7459" s="21">
        <f t="shared" si="347"/>
        <v>88.489999999999995</v>
      </c>
      <c r="F7459" s="22">
        <v>0.95999999999999996</v>
      </c>
      <c r="G7459" s="21">
        <f t="shared" si="348"/>
        <v>88.290000000000006</v>
      </c>
      <c r="H7459" s="22">
        <v>0.95999999999999996</v>
      </c>
      <c r="I7459" s="23" t="str">
        <f t="shared" si="349"/>
        <v xml:space="preserve">COM VALOR</v>
      </c>
      <c r="J7459" s="19"/>
      <c r="L7459" s="21">
        <v>88.489999999999995</v>
      </c>
      <c r="M7459" s="22">
        <v>0</v>
      </c>
      <c r="N7459" s="21">
        <v>88.290000000000006</v>
      </c>
      <c r="O7459" s="22">
        <v>0</v>
      </c>
    </row>
    <row r="7460" ht="38.25">
      <c r="A7460" t="s">
        <v>7422</v>
      </c>
      <c r="B7460" s="19">
        <v>86911</v>
      </c>
      <c r="C7460" s="20" t="s">
        <v>7534</v>
      </c>
      <c r="D7460" s="19" t="s">
        <v>31</v>
      </c>
      <c r="E7460" s="21">
        <f t="shared" si="347"/>
        <v>104.02</v>
      </c>
      <c r="F7460" s="22"/>
      <c r="G7460" s="21">
        <f t="shared" si="348"/>
        <v>103.77</v>
      </c>
      <c r="H7460" s="22"/>
      <c r="I7460" s="23" t="str">
        <f t="shared" si="349"/>
        <v xml:space="preserve">COM VALOR</v>
      </c>
      <c r="J7460" s="19"/>
      <c r="L7460" s="21">
        <v>104.02</v>
      </c>
      <c r="M7460" s="22">
        <v>0</v>
      </c>
      <c r="N7460" s="21">
        <v>103.77</v>
      </c>
      <c r="O7460" s="22">
        <v>0</v>
      </c>
    </row>
    <row r="7461" ht="25.5">
      <c r="A7461" t="s">
        <v>7422</v>
      </c>
      <c r="B7461" s="19">
        <v>86909</v>
      </c>
      <c r="C7461" s="20" t="s">
        <v>7535</v>
      </c>
      <c r="D7461" s="19" t="s">
        <v>31</v>
      </c>
      <c r="E7461" s="21">
        <f t="shared" si="347"/>
        <v>154.28999999999999</v>
      </c>
      <c r="F7461" s="22">
        <v>0</v>
      </c>
      <c r="G7461" s="21">
        <f t="shared" si="348"/>
        <v>153.93000000000001</v>
      </c>
      <c r="H7461" s="22">
        <v>0</v>
      </c>
      <c r="I7461" s="23" t="str">
        <f t="shared" si="349"/>
        <v xml:space="preserve">COM VALOR</v>
      </c>
      <c r="J7461" s="19"/>
      <c r="L7461" s="21">
        <v>154.28999999999999</v>
      </c>
      <c r="M7461" s="22">
        <v>0</v>
      </c>
      <c r="N7461" s="21">
        <v>153.93000000000001</v>
      </c>
      <c r="O7461" s="22">
        <v>0</v>
      </c>
    </row>
    <row r="7462" ht="38.25">
      <c r="A7462" t="s">
        <v>7422</v>
      </c>
      <c r="B7462" s="19">
        <v>86910</v>
      </c>
      <c r="C7462" s="20" t="s">
        <v>7536</v>
      </c>
      <c r="D7462" s="19" t="s">
        <v>31</v>
      </c>
      <c r="E7462" s="21">
        <f t="shared" si="347"/>
        <v>151.96000000000001</v>
      </c>
      <c r="F7462" s="22">
        <v>0</v>
      </c>
      <c r="G7462" s="21">
        <f t="shared" si="348"/>
        <v>151.71000000000001</v>
      </c>
      <c r="H7462" s="22">
        <v>0</v>
      </c>
      <c r="I7462" s="23" t="str">
        <f t="shared" si="349"/>
        <v xml:space="preserve">COM VALOR</v>
      </c>
      <c r="J7462" s="19"/>
      <c r="L7462" s="21">
        <v>151.96000000000001</v>
      </c>
      <c r="M7462" s="22">
        <v>0</v>
      </c>
      <c r="N7462" s="21">
        <v>151.71000000000001</v>
      </c>
      <c r="O7462" s="22">
        <v>0</v>
      </c>
    </row>
    <row r="7463" ht="25.5">
      <c r="A7463" t="s">
        <v>7422</v>
      </c>
      <c r="B7463" s="19">
        <v>86916</v>
      </c>
      <c r="C7463" s="20" t="s">
        <v>7537</v>
      </c>
      <c r="D7463" s="19" t="s">
        <v>31</v>
      </c>
      <c r="E7463" s="21">
        <f t="shared" si="347"/>
        <v>25.039999999999999</v>
      </c>
      <c r="F7463" s="22">
        <v>0</v>
      </c>
      <c r="G7463" s="21">
        <f t="shared" si="348"/>
        <v>24.699999999999999</v>
      </c>
      <c r="H7463" s="22">
        <v>0</v>
      </c>
      <c r="I7463" s="23" t="str">
        <f t="shared" si="349"/>
        <v xml:space="preserve">COM VALOR</v>
      </c>
      <c r="J7463" s="19"/>
      <c r="L7463" s="21">
        <v>25.039999999999999</v>
      </c>
      <c r="M7463" s="22">
        <v>0</v>
      </c>
      <c r="N7463" s="21">
        <v>24.699999999999999</v>
      </c>
      <c r="O7463" s="22">
        <v>0</v>
      </c>
    </row>
    <row r="7464" ht="38.25">
      <c r="A7464" t="s">
        <v>7422</v>
      </c>
      <c r="B7464" s="19">
        <v>86877</v>
      </c>
      <c r="C7464" s="20" t="s">
        <v>7538</v>
      </c>
      <c r="D7464" s="19" t="s">
        <v>31</v>
      </c>
      <c r="E7464" s="21">
        <f t="shared" si="347"/>
        <v>122.26000000000001</v>
      </c>
      <c r="F7464" s="22">
        <v>0</v>
      </c>
      <c r="G7464" s="21">
        <f t="shared" si="348"/>
        <v>121.89</v>
      </c>
      <c r="H7464" s="22">
        <v>0</v>
      </c>
      <c r="I7464" s="23" t="str">
        <f t="shared" si="349"/>
        <v xml:space="preserve">COM VALOR</v>
      </c>
      <c r="J7464" s="19"/>
      <c r="L7464" s="21">
        <v>122.26000000000001</v>
      </c>
      <c r="M7464" s="22">
        <v>0</v>
      </c>
      <c r="N7464" s="21">
        <v>121.89</v>
      </c>
      <c r="O7464" s="22">
        <v>0</v>
      </c>
    </row>
    <row r="7465" ht="25.5">
      <c r="A7465" t="s">
        <v>7422</v>
      </c>
      <c r="B7465" s="19">
        <v>86878</v>
      </c>
      <c r="C7465" s="20" t="s">
        <v>7539</v>
      </c>
      <c r="D7465" s="19" t="s">
        <v>31</v>
      </c>
      <c r="E7465" s="21">
        <f t="shared" si="347"/>
        <v>132.16999999999999</v>
      </c>
      <c r="F7465" s="22">
        <v>1.e-002</v>
      </c>
      <c r="G7465" s="21">
        <f t="shared" si="348"/>
        <v>131.80000000000001</v>
      </c>
      <c r="H7465" s="22">
        <v>1.e-002</v>
      </c>
      <c r="I7465" s="23" t="str">
        <f t="shared" si="349"/>
        <v xml:space="preserve">COM VALOR</v>
      </c>
      <c r="J7465" s="19"/>
      <c r="L7465" s="21">
        <v>132.16999999999999</v>
      </c>
      <c r="M7465" s="22">
        <v>0</v>
      </c>
      <c r="N7465" s="21">
        <v>131.80000000000001</v>
      </c>
      <c r="O7465" s="22">
        <v>0</v>
      </c>
    </row>
    <row r="7466" ht="25.5">
      <c r="A7466" t="s">
        <v>7422</v>
      </c>
      <c r="B7466" s="19">
        <v>86879</v>
      </c>
      <c r="C7466" s="20" t="s">
        <v>7540</v>
      </c>
      <c r="D7466" s="19" t="s">
        <v>31</v>
      </c>
      <c r="E7466" s="21">
        <f t="shared" si="347"/>
        <v>9.7699999999999996</v>
      </c>
      <c r="F7466" s="22">
        <v>0</v>
      </c>
      <c r="G7466" s="21">
        <f t="shared" si="348"/>
        <v>9.5399999999999991</v>
      </c>
      <c r="H7466" s="22">
        <v>0</v>
      </c>
      <c r="I7466" s="23" t="str">
        <f t="shared" si="349"/>
        <v xml:space="preserve">COM VALOR</v>
      </c>
      <c r="J7466" s="19"/>
      <c r="L7466" s="21">
        <v>9.7699999999999996</v>
      </c>
      <c r="M7466" s="22">
        <v>0</v>
      </c>
      <c r="N7466" s="21">
        <v>9.5399999999999991</v>
      </c>
      <c r="O7466" s="22">
        <v>0</v>
      </c>
    </row>
    <row r="7467" ht="25.5">
      <c r="A7467" t="s">
        <v>7422</v>
      </c>
      <c r="B7467" s="19">
        <v>86880</v>
      </c>
      <c r="C7467" s="20" t="s">
        <v>7541</v>
      </c>
      <c r="D7467" s="19" t="s">
        <v>31</v>
      </c>
      <c r="E7467" s="21">
        <f t="shared" si="347"/>
        <v>27.800000000000001</v>
      </c>
      <c r="F7467" s="22">
        <v>0</v>
      </c>
      <c r="G7467" s="21">
        <f t="shared" si="348"/>
        <v>27.57</v>
      </c>
      <c r="H7467" s="22">
        <v>0</v>
      </c>
      <c r="I7467" s="23" t="str">
        <f t="shared" si="349"/>
        <v xml:space="preserve">COM VALOR</v>
      </c>
      <c r="J7467" s="19"/>
      <c r="L7467" s="21">
        <v>27.800000000000001</v>
      </c>
      <c r="M7467" s="22">
        <v>0</v>
      </c>
      <c r="N7467" s="21">
        <v>27.57</v>
      </c>
      <c r="O7467" s="22">
        <v>0</v>
      </c>
    </row>
    <row r="7468" ht="25.5">
      <c r="A7468" t="s">
        <v>7542</v>
      </c>
      <c r="B7468" s="19">
        <v>101663</v>
      </c>
      <c r="C7468" s="20" t="s">
        <v>7543</v>
      </c>
      <c r="D7468" s="19" t="s">
        <v>31</v>
      </c>
      <c r="E7468" s="21">
        <f t="shared" si="347"/>
        <v>26.489999999999998</v>
      </c>
      <c r="F7468" s="22">
        <v>1.e-002</v>
      </c>
      <c r="G7468" s="21">
        <f t="shared" si="348"/>
        <v>25.5</v>
      </c>
      <c r="H7468" s="22">
        <v>1.e-002</v>
      </c>
      <c r="I7468" s="23" t="str">
        <f t="shared" si="349"/>
        <v xml:space="preserve">COM VALOR</v>
      </c>
      <c r="J7468" s="19"/>
      <c r="L7468" s="21">
        <v>26.489999999999998</v>
      </c>
      <c r="M7468" s="22">
        <v>0</v>
      </c>
      <c r="N7468" s="21">
        <v>25.5</v>
      </c>
      <c r="O7468" s="22">
        <v>0</v>
      </c>
    </row>
    <row r="7469" ht="25.5">
      <c r="A7469" t="s">
        <v>7542</v>
      </c>
      <c r="B7469" s="19">
        <v>101664</v>
      </c>
      <c r="C7469" s="20" t="s">
        <v>7544</v>
      </c>
      <c r="D7469" s="19" t="s">
        <v>31</v>
      </c>
      <c r="E7469" s="21">
        <f t="shared" si="347"/>
        <v>27.800000000000001</v>
      </c>
      <c r="F7469" s="22">
        <v>0</v>
      </c>
      <c r="G7469" s="21">
        <f t="shared" si="348"/>
        <v>26.809999999999999</v>
      </c>
      <c r="H7469" s="22">
        <v>0</v>
      </c>
      <c r="I7469" s="23" t="str">
        <f t="shared" si="349"/>
        <v xml:space="preserve">COM VALOR</v>
      </c>
      <c r="J7469" s="19"/>
      <c r="L7469" s="21">
        <v>27.800000000000001</v>
      </c>
      <c r="M7469" s="22">
        <v>0</v>
      </c>
      <c r="N7469" s="21">
        <v>26.809999999999999</v>
      </c>
      <c r="O7469" s="22">
        <v>0</v>
      </c>
    </row>
    <row r="7470" ht="25.5">
      <c r="A7470" t="s">
        <v>7542</v>
      </c>
      <c r="B7470" s="19">
        <v>101665</v>
      </c>
      <c r="C7470" s="20" t="s">
        <v>7545</v>
      </c>
      <c r="D7470" s="19" t="s">
        <v>31</v>
      </c>
      <c r="E7470" s="21">
        <f t="shared" si="347"/>
        <v>33.399999999999999</v>
      </c>
      <c r="F7470" s="22">
        <v>0</v>
      </c>
      <c r="G7470" s="21">
        <f t="shared" si="348"/>
        <v>32.409999999999997</v>
      </c>
      <c r="H7470" s="22">
        <v>0</v>
      </c>
      <c r="I7470" s="23" t="str">
        <f t="shared" si="349"/>
        <v xml:space="preserve">COM VALOR</v>
      </c>
      <c r="J7470" s="19"/>
      <c r="L7470" s="21">
        <v>33.399999999999999</v>
      </c>
      <c r="M7470" s="22">
        <v>0</v>
      </c>
      <c r="N7470" s="21">
        <v>32.409999999999997</v>
      </c>
      <c r="O7470" s="22">
        <v>0</v>
      </c>
    </row>
    <row r="7471" ht="38.25">
      <c r="A7471" t="s">
        <v>7542</v>
      </c>
      <c r="B7471" s="19">
        <v>101634</v>
      </c>
      <c r="C7471" s="20" t="s">
        <v>7546</v>
      </c>
      <c r="D7471" s="19" t="s">
        <v>31</v>
      </c>
      <c r="E7471" s="21" t="str">
        <f t="shared" si="347"/>
        <v>VERIFICAR</v>
      </c>
      <c r="F7471" s="22">
        <v>1.e-002</v>
      </c>
      <c r="G7471" s="21" t="str">
        <f t="shared" si="348"/>
        <v>VERIFICAR</v>
      </c>
      <c r="H7471" s="22">
        <v>1.e-002</v>
      </c>
      <c r="I7471" s="23" t="str">
        <f t="shared" si="349"/>
        <v xml:space="preserve">COM VALOR</v>
      </c>
      <c r="J7471" s="19"/>
      <c r="L7471" s="21">
        <v>0</v>
      </c>
      <c r="M7471" s="22"/>
      <c r="N7471" s="21">
        <v>0</v>
      </c>
      <c r="O7471" s="22"/>
    </row>
    <row r="7472" ht="38.25">
      <c r="A7472" t="s">
        <v>7542</v>
      </c>
      <c r="B7472" s="19">
        <v>101635</v>
      </c>
      <c r="C7472" s="20" t="s">
        <v>7547</v>
      </c>
      <c r="D7472" s="19" t="s">
        <v>31</v>
      </c>
      <c r="E7472" s="21" t="str">
        <f t="shared" si="347"/>
        <v>VERIFICAR</v>
      </c>
      <c r="F7472" s="22">
        <v>0</v>
      </c>
      <c r="G7472" s="21" t="str">
        <f t="shared" si="348"/>
        <v>VERIFICAR</v>
      </c>
      <c r="H7472" s="22">
        <v>0</v>
      </c>
      <c r="I7472" s="23" t="str">
        <f t="shared" si="349"/>
        <v xml:space="preserve">COM VALOR</v>
      </c>
      <c r="J7472" s="19"/>
      <c r="L7472" s="21">
        <v>0</v>
      </c>
      <c r="M7472" s="22"/>
      <c r="N7472" s="21">
        <v>0</v>
      </c>
      <c r="O7472" s="22"/>
    </row>
    <row r="7473" ht="38.25">
      <c r="A7473" t="s">
        <v>7542</v>
      </c>
      <c r="B7473" s="19">
        <v>101636</v>
      </c>
      <c r="C7473" s="20" t="s">
        <v>7548</v>
      </c>
      <c r="D7473" s="19" t="s">
        <v>31</v>
      </c>
      <c r="E7473" s="21">
        <f t="shared" si="347"/>
        <v>144.31</v>
      </c>
      <c r="F7473" s="22">
        <v>0</v>
      </c>
      <c r="G7473" s="21">
        <f t="shared" si="348"/>
        <v>142.08000000000001</v>
      </c>
      <c r="H7473" s="22">
        <v>0</v>
      </c>
      <c r="I7473" s="23" t="str">
        <f t="shared" si="349"/>
        <v xml:space="preserve">COM VALOR</v>
      </c>
      <c r="J7473" s="19"/>
      <c r="L7473" s="21">
        <v>144.31</v>
      </c>
      <c r="M7473" s="22">
        <v>0.37</v>
      </c>
      <c r="N7473" s="21">
        <v>142.08000000000001</v>
      </c>
      <c r="O7473" s="22">
        <v>0.37</v>
      </c>
    </row>
    <row r="7474" ht="38.25">
      <c r="A7474" t="s">
        <v>7542</v>
      </c>
      <c r="B7474" s="19">
        <v>101637</v>
      </c>
      <c r="C7474" s="20" t="s">
        <v>7549</v>
      </c>
      <c r="D7474" s="19" t="s">
        <v>31</v>
      </c>
      <c r="E7474" s="21">
        <f t="shared" si="347"/>
        <v>137.65000000000001</v>
      </c>
      <c r="F7474" s="22">
        <v>0</v>
      </c>
      <c r="G7474" s="21">
        <f t="shared" si="348"/>
        <v>135.41999999999999</v>
      </c>
      <c r="H7474" s="22">
        <v>1.e-002</v>
      </c>
      <c r="I7474" s="23" t="str">
        <f t="shared" si="349"/>
        <v xml:space="preserve">COM VALOR</v>
      </c>
      <c r="J7474" s="19"/>
      <c r="L7474" s="21">
        <v>137.65000000000001</v>
      </c>
      <c r="M7474" s="22">
        <v>0.38</v>
      </c>
      <c r="N7474" s="21">
        <v>135.41999999999999</v>
      </c>
      <c r="O7474" s="22">
        <v>0.39000000000000001</v>
      </c>
    </row>
    <row r="7475" ht="38.25">
      <c r="A7475" t="s">
        <v>7542</v>
      </c>
      <c r="B7475" s="19">
        <v>101638</v>
      </c>
      <c r="C7475" s="20" t="s">
        <v>7550</v>
      </c>
      <c r="D7475" s="19" t="s">
        <v>31</v>
      </c>
      <c r="E7475" s="21" t="str">
        <f t="shared" si="347"/>
        <v>VERIFICAR</v>
      </c>
      <c r="F7475" s="22">
        <v>0</v>
      </c>
      <c r="G7475" s="21" t="str">
        <f t="shared" si="348"/>
        <v>VERIFICAR</v>
      </c>
      <c r="H7475" s="22">
        <v>0</v>
      </c>
      <c r="I7475" s="23" t="str">
        <f t="shared" si="349"/>
        <v xml:space="preserve">COM VALOR</v>
      </c>
      <c r="J7475" s="19"/>
      <c r="L7475" s="21">
        <v>0</v>
      </c>
      <c r="M7475" s="22"/>
      <c r="N7475" s="21">
        <v>0</v>
      </c>
      <c r="O7475" s="22"/>
    </row>
    <row r="7476" ht="38.25">
      <c r="A7476" t="s">
        <v>7542</v>
      </c>
      <c r="B7476" s="19">
        <v>101639</v>
      </c>
      <c r="C7476" s="20" t="s">
        <v>7551</v>
      </c>
      <c r="D7476" s="19" t="s">
        <v>31</v>
      </c>
      <c r="E7476" s="21" t="str">
        <f t="shared" si="347"/>
        <v>VERIFICAR</v>
      </c>
      <c r="F7476" s="22">
        <v>0</v>
      </c>
      <c r="G7476" s="21" t="str">
        <f t="shared" si="348"/>
        <v>VERIFICAR</v>
      </c>
      <c r="H7476" s="22">
        <v>0</v>
      </c>
      <c r="I7476" s="23" t="str">
        <f t="shared" si="349"/>
        <v xml:space="preserve">COM VALOR</v>
      </c>
      <c r="J7476" s="19"/>
      <c r="L7476" s="21">
        <v>0</v>
      </c>
      <c r="M7476" s="22"/>
      <c r="N7476" s="21">
        <v>0</v>
      </c>
      <c r="O7476" s="22"/>
    </row>
    <row r="7477" ht="25.5">
      <c r="A7477" t="s">
        <v>7542</v>
      </c>
      <c r="B7477" s="19">
        <v>105919</v>
      </c>
      <c r="C7477" s="20" t="s">
        <v>7552</v>
      </c>
      <c r="D7477" s="19" t="s">
        <v>31</v>
      </c>
      <c r="E7477" s="21" t="str">
        <f t="shared" si="347"/>
        <v>VERIFICAR</v>
      </c>
      <c r="F7477" s="22">
        <v>0</v>
      </c>
      <c r="G7477" s="21" t="str">
        <f t="shared" si="348"/>
        <v>VERIFICAR</v>
      </c>
      <c r="H7477" s="22">
        <v>0</v>
      </c>
      <c r="I7477" s="23" t="str">
        <f t="shared" si="349"/>
        <v xml:space="preserve">COM VALOR</v>
      </c>
      <c r="J7477" s="19"/>
      <c r="L7477" s="21">
        <v>0</v>
      </c>
      <c r="M7477" s="22"/>
      <c r="N7477" s="21">
        <v>0</v>
      </c>
      <c r="O7477" s="22"/>
    </row>
    <row r="7478" ht="25.5">
      <c r="A7478" t="s">
        <v>7542</v>
      </c>
      <c r="B7478" s="19">
        <v>101658</v>
      </c>
      <c r="C7478" s="20" t="s">
        <v>7553</v>
      </c>
      <c r="D7478" s="19" t="s">
        <v>31</v>
      </c>
      <c r="E7478" s="21">
        <f t="shared" si="347"/>
        <v>504.06</v>
      </c>
      <c r="F7478" s="22">
        <v>0</v>
      </c>
      <c r="G7478" s="21">
        <f t="shared" si="348"/>
        <v>502.99000000000001</v>
      </c>
      <c r="H7478" s="22">
        <v>0</v>
      </c>
      <c r="I7478" s="23" t="str">
        <f t="shared" si="349"/>
        <v xml:space="preserve">COM VALOR</v>
      </c>
      <c r="J7478" s="19"/>
      <c r="L7478" s="21">
        <v>504.06</v>
      </c>
      <c r="M7478" s="22">
        <v>4.0000000000000001e-002</v>
      </c>
      <c r="N7478" s="21">
        <v>502.99000000000001</v>
      </c>
      <c r="O7478" s="22">
        <v>4.0000000000000001e-002</v>
      </c>
    </row>
    <row r="7479" ht="25.5">
      <c r="A7479" t="s">
        <v>7542</v>
      </c>
      <c r="B7479" s="19">
        <v>101659</v>
      </c>
      <c r="C7479" s="20" t="s">
        <v>7554</v>
      </c>
      <c r="D7479" s="19" t="s">
        <v>31</v>
      </c>
      <c r="E7479" s="21">
        <f t="shared" si="347"/>
        <v>573.34000000000003</v>
      </c>
      <c r="F7479" s="22"/>
      <c r="G7479" s="21">
        <f t="shared" si="348"/>
        <v>572.26999999999998</v>
      </c>
      <c r="H7479" s="22"/>
      <c r="I7479" s="23" t="str">
        <f t="shared" si="349"/>
        <v xml:space="preserve">COM VALOR</v>
      </c>
      <c r="J7479" s="19"/>
      <c r="L7479" s="21">
        <v>573.34000000000003</v>
      </c>
      <c r="M7479" s="22">
        <v>4.0000000000000001e-002</v>
      </c>
      <c r="N7479" s="21">
        <v>572.26999999999998</v>
      </c>
      <c r="O7479" s="22">
        <v>4.0000000000000001e-002</v>
      </c>
    </row>
    <row r="7480" ht="25.5">
      <c r="A7480" t="s">
        <v>7542</v>
      </c>
      <c r="B7480" s="19">
        <v>101660</v>
      </c>
      <c r="C7480" s="20" t="s">
        <v>7555</v>
      </c>
      <c r="D7480" s="19" t="s">
        <v>31</v>
      </c>
      <c r="E7480" s="21">
        <f t="shared" si="347"/>
        <v>900.36000000000001</v>
      </c>
      <c r="F7480" s="22"/>
      <c r="G7480" s="21">
        <f t="shared" si="348"/>
        <v>899.28999999999996</v>
      </c>
      <c r="H7480" s="22"/>
      <c r="I7480" s="23" t="str">
        <f t="shared" si="349"/>
        <v xml:space="preserve">COM VALOR</v>
      </c>
      <c r="J7480" s="19"/>
      <c r="L7480" s="21">
        <v>900.36000000000001</v>
      </c>
      <c r="M7480" s="22">
        <v>2.e-002</v>
      </c>
      <c r="N7480" s="21">
        <v>899.28999999999996</v>
      </c>
      <c r="O7480" s="22">
        <v>2.e-002</v>
      </c>
    </row>
    <row r="7481" ht="25.5">
      <c r="A7481" t="s">
        <v>7542</v>
      </c>
      <c r="B7481" s="19">
        <v>101654</v>
      </c>
      <c r="C7481" s="20" t="s">
        <v>7556</v>
      </c>
      <c r="D7481" s="19" t="s">
        <v>31</v>
      </c>
      <c r="E7481" s="21">
        <f t="shared" si="347"/>
        <v>204.16</v>
      </c>
      <c r="F7481" s="22">
        <v>0.23999999999999999</v>
      </c>
      <c r="G7481" s="21">
        <f t="shared" si="348"/>
        <v>203.09</v>
      </c>
      <c r="H7481" s="22">
        <v>0.25</v>
      </c>
      <c r="I7481" s="23" t="str">
        <f t="shared" si="349"/>
        <v xml:space="preserve">COM VALOR</v>
      </c>
      <c r="J7481" s="19"/>
      <c r="L7481" s="21">
        <v>204.16</v>
      </c>
      <c r="M7481" s="22">
        <v>0.10000000000000001</v>
      </c>
      <c r="N7481" s="21">
        <v>203.09</v>
      </c>
      <c r="O7481" s="22">
        <v>0.10000000000000001</v>
      </c>
    </row>
    <row r="7482" ht="25.5">
      <c r="A7482" t="s">
        <v>7542</v>
      </c>
      <c r="B7482" s="19">
        <v>101655</v>
      </c>
      <c r="C7482" s="20" t="s">
        <v>7557</v>
      </c>
      <c r="D7482" s="19" t="s">
        <v>31</v>
      </c>
      <c r="E7482" s="21">
        <f t="shared" si="347"/>
        <v>313.07999999999998</v>
      </c>
      <c r="F7482" s="22">
        <v>0</v>
      </c>
      <c r="G7482" s="21">
        <f t="shared" si="348"/>
        <v>312.00999999999999</v>
      </c>
      <c r="H7482" s="22">
        <v>0</v>
      </c>
      <c r="I7482" s="23" t="str">
        <f t="shared" si="349"/>
        <v xml:space="preserve">COM VALOR</v>
      </c>
      <c r="J7482" s="19"/>
      <c r="L7482" s="21">
        <v>313.07999999999998</v>
      </c>
      <c r="M7482" s="22">
        <v>7.0000000000000007e-002</v>
      </c>
      <c r="N7482" s="21">
        <v>312.00999999999999</v>
      </c>
      <c r="O7482" s="22">
        <v>7.0000000000000007e-002</v>
      </c>
    </row>
    <row r="7483" ht="25.5">
      <c r="A7483" t="s">
        <v>7542</v>
      </c>
      <c r="B7483" s="19">
        <v>101656</v>
      </c>
      <c r="C7483" s="20" t="s">
        <v>7558</v>
      </c>
      <c r="D7483" s="19" t="s">
        <v>31</v>
      </c>
      <c r="E7483" s="21">
        <f t="shared" si="347"/>
        <v>338.50999999999999</v>
      </c>
      <c r="F7483" s="22">
        <v>0</v>
      </c>
      <c r="G7483" s="21">
        <f t="shared" si="348"/>
        <v>337.44</v>
      </c>
      <c r="H7483" s="22">
        <v>0</v>
      </c>
      <c r="I7483" s="23" t="str">
        <f t="shared" si="349"/>
        <v xml:space="preserve">COM VALOR</v>
      </c>
      <c r="J7483" s="19"/>
      <c r="L7483" s="21">
        <v>338.50999999999999</v>
      </c>
      <c r="M7483" s="22">
        <v>5.9999999999999998e-002</v>
      </c>
      <c r="N7483" s="21">
        <v>337.44</v>
      </c>
      <c r="O7483" s="22">
        <v>5.9999999999999998e-002</v>
      </c>
    </row>
    <row r="7484" ht="25.5">
      <c r="A7484" t="s">
        <v>7542</v>
      </c>
      <c r="B7484" s="19">
        <v>101657</v>
      </c>
      <c r="C7484" s="20" t="s">
        <v>7559</v>
      </c>
      <c r="D7484" s="19" t="s">
        <v>31</v>
      </c>
      <c r="E7484" s="21">
        <f t="shared" si="347"/>
        <v>392.68000000000001</v>
      </c>
      <c r="F7484" s="22">
        <v>0.58999999999999997</v>
      </c>
      <c r="G7484" s="21">
        <f t="shared" si="348"/>
        <v>391.61000000000001</v>
      </c>
      <c r="H7484" s="22">
        <v>0.60999999999999999</v>
      </c>
      <c r="I7484" s="23" t="str">
        <f t="shared" si="349"/>
        <v xml:space="preserve">COM VALOR</v>
      </c>
      <c r="J7484" s="19"/>
      <c r="L7484" s="21">
        <v>392.68000000000001</v>
      </c>
      <c r="M7484" s="22">
        <v>5.0000000000000003e-002</v>
      </c>
      <c r="N7484" s="21">
        <v>391.61000000000001</v>
      </c>
      <c r="O7484" s="22">
        <v>5.0000000000000003e-002</v>
      </c>
    </row>
    <row r="7485" ht="25.5">
      <c r="A7485" t="s">
        <v>7542</v>
      </c>
      <c r="B7485" s="19">
        <v>105923</v>
      </c>
      <c r="C7485" s="20" t="s">
        <v>7560</v>
      </c>
      <c r="D7485" s="19" t="s">
        <v>31</v>
      </c>
      <c r="E7485" s="21" t="str">
        <f t="shared" si="347"/>
        <v>VERIFICAR</v>
      </c>
      <c r="F7485" s="22">
        <v>0</v>
      </c>
      <c r="G7485" s="21" t="str">
        <f t="shared" si="348"/>
        <v>VERIFICAR</v>
      </c>
      <c r="H7485" s="22">
        <v>0</v>
      </c>
      <c r="I7485" s="23" t="str">
        <f t="shared" si="349"/>
        <v xml:space="preserve">COM VALOR</v>
      </c>
      <c r="J7485" s="19"/>
      <c r="L7485" s="21">
        <v>0</v>
      </c>
      <c r="M7485" s="22"/>
      <c r="N7485" s="21">
        <v>0</v>
      </c>
      <c r="O7485" s="22"/>
    </row>
    <row r="7486" ht="25.5">
      <c r="A7486" t="s">
        <v>7542</v>
      </c>
      <c r="B7486" s="19">
        <v>105921</v>
      </c>
      <c r="C7486" s="20" t="s">
        <v>7561</v>
      </c>
      <c r="D7486" s="19" t="s">
        <v>31</v>
      </c>
      <c r="E7486" s="21" t="str">
        <f t="shared" si="347"/>
        <v>VERIFICAR</v>
      </c>
      <c r="F7486" s="22">
        <v>0</v>
      </c>
      <c r="G7486" s="21" t="str">
        <f t="shared" si="348"/>
        <v>VERIFICAR</v>
      </c>
      <c r="H7486" s="22">
        <v>0</v>
      </c>
      <c r="I7486" s="23" t="str">
        <f t="shared" si="349"/>
        <v xml:space="preserve">COM VALOR</v>
      </c>
      <c r="J7486" s="19"/>
      <c r="L7486" s="21">
        <v>0</v>
      </c>
      <c r="M7486" s="22"/>
      <c r="N7486" s="21">
        <v>0</v>
      </c>
      <c r="O7486" s="22"/>
    </row>
    <row r="7487" ht="25.5">
      <c r="A7487" t="s">
        <v>7542</v>
      </c>
      <c r="B7487" s="19">
        <v>105920</v>
      </c>
      <c r="C7487" s="20" t="s">
        <v>7562</v>
      </c>
      <c r="D7487" s="19" t="s">
        <v>31</v>
      </c>
      <c r="E7487" s="21" t="str">
        <f t="shared" si="347"/>
        <v>VERIFICAR</v>
      </c>
      <c r="F7487" s="22">
        <v>0</v>
      </c>
      <c r="G7487" s="21" t="str">
        <f t="shared" si="348"/>
        <v>VERIFICAR</v>
      </c>
      <c r="H7487" s="22">
        <v>0</v>
      </c>
      <c r="I7487" s="23" t="str">
        <f t="shared" si="349"/>
        <v xml:space="preserve">COM VALOR</v>
      </c>
      <c r="J7487" s="19"/>
      <c r="L7487" s="21">
        <v>0</v>
      </c>
      <c r="M7487" s="22"/>
      <c r="N7487" s="21">
        <v>0</v>
      </c>
      <c r="O7487" s="22"/>
    </row>
    <row r="7488" ht="25.5">
      <c r="A7488" t="s">
        <v>7542</v>
      </c>
      <c r="B7488" s="19">
        <v>105922</v>
      </c>
      <c r="C7488" s="20" t="s">
        <v>7563</v>
      </c>
      <c r="D7488" s="19" t="s">
        <v>31</v>
      </c>
      <c r="E7488" s="21" t="str">
        <f t="shared" si="347"/>
        <v>VERIFICAR</v>
      </c>
      <c r="F7488" s="22">
        <v>0.96999999999999997</v>
      </c>
      <c r="G7488" s="21" t="str">
        <f t="shared" si="348"/>
        <v>VERIFICAR</v>
      </c>
      <c r="H7488" s="22">
        <v>0.96999999999999997</v>
      </c>
      <c r="I7488" s="23" t="str">
        <f t="shared" si="349"/>
        <v xml:space="preserve">COM VALOR</v>
      </c>
      <c r="J7488" s="19"/>
      <c r="L7488" s="21">
        <v>0</v>
      </c>
      <c r="M7488" s="22"/>
      <c r="N7488" s="21">
        <v>0</v>
      </c>
      <c r="O7488" s="22"/>
    </row>
    <row r="7489" ht="25.5">
      <c r="A7489" t="s">
        <v>7542</v>
      </c>
      <c r="B7489" s="19">
        <v>101632</v>
      </c>
      <c r="C7489" s="20" t="s">
        <v>7564</v>
      </c>
      <c r="D7489" s="19" t="s">
        <v>31</v>
      </c>
      <c r="E7489" s="21">
        <f t="shared" si="347"/>
        <v>30.219999999999999</v>
      </c>
      <c r="F7489" s="22"/>
      <c r="G7489" s="21">
        <f t="shared" si="348"/>
        <v>30.170000000000002</v>
      </c>
      <c r="H7489" s="22"/>
      <c r="I7489" s="23" t="str">
        <f t="shared" si="349"/>
        <v xml:space="preserve">COM VALOR</v>
      </c>
      <c r="J7489" s="19"/>
      <c r="L7489" s="21">
        <v>30.219999999999999</v>
      </c>
      <c r="M7489" s="22">
        <v>0.96999999999999997</v>
      </c>
      <c r="N7489" s="21">
        <v>30.170000000000002</v>
      </c>
      <c r="O7489" s="22">
        <v>0.96999999999999997</v>
      </c>
    </row>
    <row r="7490" ht="38.25">
      <c r="A7490" t="s">
        <v>7542</v>
      </c>
      <c r="B7490" s="19">
        <v>101661</v>
      </c>
      <c r="C7490" s="20" t="s">
        <v>7565</v>
      </c>
      <c r="D7490" s="19" t="s">
        <v>31</v>
      </c>
      <c r="E7490" s="21">
        <f t="shared" si="347"/>
        <v>130.88999999999999</v>
      </c>
      <c r="F7490" s="22"/>
      <c r="G7490" s="21">
        <f t="shared" si="348"/>
        <v>126.67</v>
      </c>
      <c r="H7490" s="22"/>
      <c r="I7490" s="23" t="str">
        <f t="shared" si="349"/>
        <v xml:space="preserve">COM VALOR</v>
      </c>
      <c r="J7490" s="19"/>
      <c r="L7490" s="21">
        <v>130.88999999999999</v>
      </c>
      <c r="M7490" s="22">
        <v>0.16</v>
      </c>
      <c r="N7490" s="21">
        <v>126.67</v>
      </c>
      <c r="O7490" s="22">
        <v>0.16</v>
      </c>
    </row>
    <row r="7491" ht="25.5">
      <c r="A7491" t="s">
        <v>7542</v>
      </c>
      <c r="B7491" s="19">
        <v>105924</v>
      </c>
      <c r="C7491" s="20" t="s">
        <v>7566</v>
      </c>
      <c r="D7491" s="19" t="s">
        <v>31</v>
      </c>
      <c r="E7491" s="21">
        <f t="shared" si="347"/>
        <v>12.859999999999999</v>
      </c>
      <c r="F7491" s="22"/>
      <c r="G7491" s="21">
        <f t="shared" si="348"/>
        <v>12.15</v>
      </c>
      <c r="H7491" s="22"/>
      <c r="I7491" s="23" t="str">
        <f t="shared" si="349"/>
        <v xml:space="preserve">COM VALOR</v>
      </c>
      <c r="J7491" s="19"/>
      <c r="L7491" s="21">
        <v>12.859999999999999</v>
      </c>
      <c r="M7491" s="22">
        <v>0</v>
      </c>
      <c r="N7491" s="21">
        <v>12.15</v>
      </c>
      <c r="O7491" s="22">
        <v>0</v>
      </c>
    </row>
    <row r="7492" ht="25.5">
      <c r="A7492" t="s">
        <v>7542</v>
      </c>
      <c r="B7492" s="19">
        <v>101651</v>
      </c>
      <c r="C7492" s="20" t="s">
        <v>7567</v>
      </c>
      <c r="D7492" s="19" t="s">
        <v>31</v>
      </c>
      <c r="E7492" s="21">
        <f t="shared" si="347"/>
        <v>66.670000000000002</v>
      </c>
      <c r="F7492" s="22">
        <v>0.90000000000000002</v>
      </c>
      <c r="G7492" s="21">
        <f t="shared" si="348"/>
        <v>66.079999999999998</v>
      </c>
      <c r="H7492" s="22">
        <v>0.91000000000000003</v>
      </c>
      <c r="I7492" s="23" t="str">
        <f t="shared" si="349"/>
        <v xml:space="preserve">COM VALOR</v>
      </c>
      <c r="J7492" s="19"/>
      <c r="L7492" s="21">
        <v>66.670000000000002</v>
      </c>
      <c r="M7492" s="22">
        <v>0.3075</v>
      </c>
      <c r="N7492" s="21">
        <v>66.079999999999998</v>
      </c>
      <c r="O7492" s="22">
        <v>0.31</v>
      </c>
    </row>
    <row r="7493" ht="25.5">
      <c r="A7493" t="s">
        <v>7542</v>
      </c>
      <c r="B7493" s="19">
        <v>101630</v>
      </c>
      <c r="C7493" s="20" t="s">
        <v>7568</v>
      </c>
      <c r="D7493" s="19" t="s">
        <v>31</v>
      </c>
      <c r="E7493" s="21">
        <f t="shared" si="347"/>
        <v>77.150000000000006</v>
      </c>
      <c r="F7493" s="22">
        <v>0</v>
      </c>
      <c r="G7493" s="21">
        <f t="shared" si="348"/>
        <v>75.959999999999994</v>
      </c>
      <c r="H7493" s="22">
        <v>0</v>
      </c>
      <c r="I7493" s="23" t="str">
        <f t="shared" si="349"/>
        <v xml:space="preserve">COM VALOR</v>
      </c>
      <c r="J7493" s="19"/>
      <c r="L7493" s="21">
        <v>77.150000000000006</v>
      </c>
      <c r="M7493" s="22">
        <v>0.27000000000000002</v>
      </c>
      <c r="N7493" s="21">
        <v>75.959999999999994</v>
      </c>
      <c r="O7493" s="22">
        <v>0.27000000000000002</v>
      </c>
    </row>
    <row r="7494" ht="25.5">
      <c r="A7494" t="s">
        <v>7542</v>
      </c>
      <c r="B7494" s="19">
        <v>101633</v>
      </c>
      <c r="C7494" s="20" t="s">
        <v>7569</v>
      </c>
      <c r="D7494" s="19" t="s">
        <v>31</v>
      </c>
      <c r="E7494" s="21">
        <f t="shared" si="347"/>
        <v>94.459999999999994</v>
      </c>
      <c r="F7494" s="22">
        <v>0</v>
      </c>
      <c r="G7494" s="21">
        <f t="shared" si="348"/>
        <v>93.950000000000003</v>
      </c>
      <c r="H7494" s="22">
        <v>0</v>
      </c>
      <c r="I7494" s="23" t="str">
        <f t="shared" si="349"/>
        <v xml:space="preserve">COM VALOR</v>
      </c>
      <c r="J7494" s="19"/>
      <c r="L7494" s="21">
        <v>94.459999999999994</v>
      </c>
      <c r="M7494" s="22">
        <v>0.53000000000000003</v>
      </c>
      <c r="N7494" s="21">
        <v>93.950000000000003</v>
      </c>
      <c r="O7494" s="22">
        <v>0.53000000000000003</v>
      </c>
    </row>
    <row r="7495" ht="51">
      <c r="A7495" t="s">
        <v>7570</v>
      </c>
      <c r="B7495" s="19">
        <v>104219</v>
      </c>
      <c r="C7495" s="20" t="s">
        <v>7571</v>
      </c>
      <c r="D7495" s="19" t="s">
        <v>29</v>
      </c>
      <c r="E7495" s="21">
        <f t="shared" si="347"/>
        <v>98.569999999999993</v>
      </c>
      <c r="F7495" s="22">
        <v>0</v>
      </c>
      <c r="G7495" s="21">
        <f t="shared" si="348"/>
        <v>96.790000000000006</v>
      </c>
      <c r="H7495" s="22">
        <v>0</v>
      </c>
      <c r="I7495" s="23" t="str">
        <f t="shared" si="349"/>
        <v xml:space="preserve">COM VALOR</v>
      </c>
      <c r="J7495" s="19"/>
      <c r="L7495" s="21">
        <v>98.569999999999993</v>
      </c>
      <c r="M7495" s="22">
        <v>0</v>
      </c>
      <c r="N7495" s="21">
        <v>96.790000000000006</v>
      </c>
      <c r="O7495" s="22">
        <v>0</v>
      </c>
    </row>
    <row r="7496" ht="51">
      <c r="A7496" t="s">
        <v>7570</v>
      </c>
      <c r="B7496" s="19">
        <v>104223</v>
      </c>
      <c r="C7496" s="20" t="s">
        <v>7572</v>
      </c>
      <c r="D7496" s="19" t="s">
        <v>29</v>
      </c>
      <c r="E7496" s="21">
        <f t="shared" si="347"/>
        <v>129.68000000000001</v>
      </c>
      <c r="F7496" s="22"/>
      <c r="G7496" s="21">
        <f t="shared" si="348"/>
        <v>127.39</v>
      </c>
      <c r="H7496" s="22"/>
      <c r="I7496" s="23" t="str">
        <f t="shared" si="349"/>
        <v xml:space="preserve">COM VALOR</v>
      </c>
      <c r="J7496" s="19"/>
      <c r="L7496" s="21">
        <v>129.68000000000001</v>
      </c>
      <c r="M7496" s="22">
        <v>0</v>
      </c>
      <c r="N7496" s="21">
        <v>127.39</v>
      </c>
      <c r="O7496" s="22">
        <v>0</v>
      </c>
    </row>
    <row r="7497" ht="51">
      <c r="A7497" t="s">
        <v>7570</v>
      </c>
      <c r="B7497" s="19">
        <v>104227</v>
      </c>
      <c r="C7497" s="20" t="s">
        <v>7573</v>
      </c>
      <c r="D7497" s="19" t="s">
        <v>29</v>
      </c>
      <c r="E7497" s="21">
        <f t="shared" si="347"/>
        <v>152.94</v>
      </c>
      <c r="F7497" s="22"/>
      <c r="G7497" s="21">
        <f t="shared" si="348"/>
        <v>150.56999999999999</v>
      </c>
      <c r="H7497" s="22"/>
      <c r="I7497" s="23" t="str">
        <f t="shared" si="349"/>
        <v xml:space="preserve">COM VALOR</v>
      </c>
      <c r="J7497" s="19"/>
      <c r="L7497" s="21">
        <v>152.94</v>
      </c>
      <c r="M7497" s="22">
        <v>0</v>
      </c>
      <c r="N7497" s="21">
        <v>150.56999999999999</v>
      </c>
      <c r="O7497" s="22">
        <v>0</v>
      </c>
    </row>
    <row r="7498" ht="51">
      <c r="A7498" t="s">
        <v>7570</v>
      </c>
      <c r="B7498" s="19">
        <v>104231</v>
      </c>
      <c r="C7498" s="20" t="s">
        <v>7574</v>
      </c>
      <c r="D7498" s="19" t="s">
        <v>29</v>
      </c>
      <c r="E7498" s="21">
        <f t="shared" si="347"/>
        <v>168.56</v>
      </c>
      <c r="F7498" s="22">
        <v>0.51000000000000001</v>
      </c>
      <c r="G7498" s="21">
        <f t="shared" si="348"/>
        <v>165.91999999999999</v>
      </c>
      <c r="H7498" s="22">
        <v>0.53000000000000003</v>
      </c>
      <c r="I7498" s="23" t="str">
        <f t="shared" si="349"/>
        <v xml:space="preserve">COM VALOR</v>
      </c>
      <c r="J7498" s="19"/>
      <c r="L7498" s="21">
        <v>168.56</v>
      </c>
      <c r="M7498" s="22">
        <v>0</v>
      </c>
      <c r="N7498" s="21">
        <v>165.91999999999999</v>
      </c>
      <c r="O7498" s="22">
        <v>0</v>
      </c>
    </row>
    <row r="7499" ht="51">
      <c r="A7499" t="s">
        <v>7570</v>
      </c>
      <c r="B7499" s="19">
        <v>104235</v>
      </c>
      <c r="C7499" s="20" t="s">
        <v>7575</v>
      </c>
      <c r="D7499" s="19" t="s">
        <v>29</v>
      </c>
      <c r="E7499" s="21">
        <f t="shared" ref="E7499:E7562" si="350">IF(L7499=0,"VERIFICAR",L7499)</f>
        <v>83.150000000000006</v>
      </c>
      <c r="F7499" s="22"/>
      <c r="G7499" s="21">
        <f t="shared" ref="G7499:G7562" si="351">IF(N7499=0,"VERIFICAR",N7499)</f>
        <v>82.010000000000005</v>
      </c>
      <c r="H7499" s="22"/>
      <c r="I7499" s="23" t="str">
        <f t="shared" ref="I7499:I7562" si="352">IF(OR(E7499=0,G7499=0),"SEM VALOR","COM VALOR")</f>
        <v xml:space="preserve">COM VALOR</v>
      </c>
      <c r="J7499" s="19"/>
      <c r="L7499" s="21">
        <v>83.150000000000006</v>
      </c>
      <c r="M7499" s="22">
        <v>0</v>
      </c>
      <c r="N7499" s="21">
        <v>82.010000000000005</v>
      </c>
      <c r="O7499" s="22">
        <v>0</v>
      </c>
    </row>
    <row r="7500" ht="51">
      <c r="A7500" t="s">
        <v>7570</v>
      </c>
      <c r="B7500" s="19">
        <v>104239</v>
      </c>
      <c r="C7500" s="20" t="s">
        <v>7576</v>
      </c>
      <c r="D7500" s="19" t="s">
        <v>29</v>
      </c>
      <c r="E7500" s="21">
        <f t="shared" si="350"/>
        <v>112.79000000000001</v>
      </c>
      <c r="F7500" s="22"/>
      <c r="G7500" s="21">
        <f t="shared" si="351"/>
        <v>111.13</v>
      </c>
      <c r="H7500" s="22"/>
      <c r="I7500" s="23" t="str">
        <f t="shared" si="352"/>
        <v xml:space="preserve">COM VALOR</v>
      </c>
      <c r="J7500" s="19"/>
      <c r="L7500" s="21">
        <v>112.79000000000001</v>
      </c>
      <c r="M7500" s="22">
        <v>0</v>
      </c>
      <c r="N7500" s="21">
        <v>111.13</v>
      </c>
      <c r="O7500" s="22">
        <v>0</v>
      </c>
    </row>
    <row r="7501" ht="51">
      <c r="A7501" t="s">
        <v>7570</v>
      </c>
      <c r="B7501" s="19">
        <v>104243</v>
      </c>
      <c r="C7501" s="20" t="s">
        <v>7577</v>
      </c>
      <c r="D7501" s="19" t="s">
        <v>29</v>
      </c>
      <c r="E7501" s="21">
        <f t="shared" si="350"/>
        <v>134.52000000000001</v>
      </c>
      <c r="F7501" s="22"/>
      <c r="G7501" s="21">
        <f t="shared" si="351"/>
        <v>132.80000000000001</v>
      </c>
      <c r="H7501" s="22"/>
      <c r="I7501" s="23" t="str">
        <f t="shared" si="352"/>
        <v xml:space="preserve">COM VALOR</v>
      </c>
      <c r="J7501" s="19"/>
      <c r="L7501" s="21">
        <v>134.52000000000001</v>
      </c>
      <c r="M7501" s="22">
        <v>0</v>
      </c>
      <c r="N7501" s="21">
        <v>132.80000000000001</v>
      </c>
      <c r="O7501" s="22">
        <v>0</v>
      </c>
    </row>
    <row r="7502" ht="51">
      <c r="A7502" t="s">
        <v>7570</v>
      </c>
      <c r="B7502" s="19">
        <v>104247</v>
      </c>
      <c r="C7502" s="20" t="s">
        <v>7578</v>
      </c>
      <c r="D7502" s="19" t="s">
        <v>29</v>
      </c>
      <c r="E7502" s="21">
        <f t="shared" si="350"/>
        <v>144.77000000000001</v>
      </c>
      <c r="F7502" s="22">
        <v>0.77000000000000002</v>
      </c>
      <c r="G7502" s="21">
        <f t="shared" si="351"/>
        <v>143.06</v>
      </c>
      <c r="H7502" s="22">
        <v>0.78000000000000003</v>
      </c>
      <c r="I7502" s="23" t="str">
        <f t="shared" si="352"/>
        <v xml:space="preserve">COM VALOR</v>
      </c>
      <c r="J7502" s="19"/>
      <c r="L7502" s="21">
        <v>144.77000000000001</v>
      </c>
      <c r="M7502" s="22">
        <v>0</v>
      </c>
      <c r="N7502" s="21">
        <v>143.06</v>
      </c>
      <c r="O7502" s="22">
        <v>0</v>
      </c>
    </row>
    <row r="7503" ht="51">
      <c r="A7503" t="s">
        <v>7570</v>
      </c>
      <c r="B7503" s="19">
        <v>87795</v>
      </c>
      <c r="C7503" s="20" t="s">
        <v>7579</v>
      </c>
      <c r="D7503" s="19" t="s">
        <v>29</v>
      </c>
      <c r="E7503" s="21">
        <f t="shared" si="350"/>
        <v>85.359999999999999</v>
      </c>
      <c r="F7503" s="22"/>
      <c r="G7503" s="21">
        <f t="shared" si="351"/>
        <v>84.090000000000003</v>
      </c>
      <c r="H7503" s="22"/>
      <c r="I7503" s="23" t="str">
        <f t="shared" si="352"/>
        <v xml:space="preserve">COM VALOR</v>
      </c>
      <c r="J7503" s="19"/>
      <c r="L7503" s="21">
        <v>85.359999999999999</v>
      </c>
      <c r="M7503" s="22">
        <v>0</v>
      </c>
      <c r="N7503" s="21">
        <v>84.090000000000003</v>
      </c>
      <c r="O7503" s="22">
        <v>0</v>
      </c>
    </row>
    <row r="7504" ht="51">
      <c r="A7504" t="s">
        <v>7570</v>
      </c>
      <c r="B7504" s="19">
        <v>87800</v>
      </c>
      <c r="C7504" s="20" t="s">
        <v>7580</v>
      </c>
      <c r="D7504" s="19" t="s">
        <v>29</v>
      </c>
      <c r="E7504" s="21">
        <f t="shared" si="350"/>
        <v>115.97</v>
      </c>
      <c r="F7504" s="22">
        <v>0.65000000000000002</v>
      </c>
      <c r="G7504" s="21">
        <f t="shared" si="351"/>
        <v>114.14</v>
      </c>
      <c r="H7504" s="22">
        <v>0.67000000000000004</v>
      </c>
      <c r="I7504" s="23" t="str">
        <f t="shared" si="352"/>
        <v xml:space="preserve">COM VALOR</v>
      </c>
      <c r="J7504" s="19"/>
      <c r="L7504" s="21">
        <v>115.97</v>
      </c>
      <c r="M7504" s="22">
        <v>0</v>
      </c>
      <c r="N7504" s="21">
        <v>114.14</v>
      </c>
      <c r="O7504" s="22">
        <v>0</v>
      </c>
    </row>
    <row r="7505" ht="51">
      <c r="A7505" t="s">
        <v>7570</v>
      </c>
      <c r="B7505" s="19">
        <v>87804</v>
      </c>
      <c r="C7505" s="20" t="s">
        <v>7581</v>
      </c>
      <c r="D7505" s="19" t="s">
        <v>29</v>
      </c>
      <c r="E7505" s="21">
        <f t="shared" si="350"/>
        <v>137.69999999999999</v>
      </c>
      <c r="F7505" s="22">
        <v>0</v>
      </c>
      <c r="G7505" s="21">
        <f t="shared" si="351"/>
        <v>135.81</v>
      </c>
      <c r="H7505" s="22">
        <v>0</v>
      </c>
      <c r="I7505" s="23" t="str">
        <f t="shared" si="352"/>
        <v xml:space="preserve">COM VALOR</v>
      </c>
      <c r="J7505" s="19"/>
      <c r="L7505" s="21">
        <v>137.69999999999999</v>
      </c>
      <c r="M7505" s="22">
        <v>0</v>
      </c>
      <c r="N7505" s="21">
        <v>135.81</v>
      </c>
      <c r="O7505" s="22">
        <v>0</v>
      </c>
    </row>
    <row r="7506" ht="51">
      <c r="A7506" t="s">
        <v>7570</v>
      </c>
      <c r="B7506" s="19">
        <v>87808</v>
      </c>
      <c r="C7506" s="20" t="s">
        <v>7582</v>
      </c>
      <c r="D7506" s="19" t="s">
        <v>29</v>
      </c>
      <c r="E7506" s="21">
        <f t="shared" si="350"/>
        <v>147.84999999999999</v>
      </c>
      <c r="F7506" s="22">
        <v>0.13</v>
      </c>
      <c r="G7506" s="21">
        <f t="shared" si="351"/>
        <v>145.96000000000001</v>
      </c>
      <c r="H7506" s="22">
        <v>0.13</v>
      </c>
      <c r="I7506" s="23" t="str">
        <f t="shared" si="352"/>
        <v xml:space="preserve">COM VALOR</v>
      </c>
      <c r="J7506" s="19"/>
      <c r="L7506" s="21">
        <v>147.84999999999999</v>
      </c>
      <c r="M7506" s="22">
        <v>0</v>
      </c>
      <c r="N7506" s="21">
        <v>145.96000000000001</v>
      </c>
      <c r="O7506" s="22">
        <v>0</v>
      </c>
    </row>
    <row r="7507" ht="51">
      <c r="A7507" t="s">
        <v>7570</v>
      </c>
      <c r="B7507" s="19">
        <v>87778</v>
      </c>
      <c r="C7507" s="20" t="s">
        <v>7583</v>
      </c>
      <c r="D7507" s="19" t="s">
        <v>29</v>
      </c>
      <c r="E7507" s="21">
        <f t="shared" si="350"/>
        <v>102.17</v>
      </c>
      <c r="F7507" s="22"/>
      <c r="G7507" s="21">
        <f t="shared" si="351"/>
        <v>100.18000000000001</v>
      </c>
      <c r="H7507" s="22"/>
      <c r="I7507" s="23" t="str">
        <f t="shared" si="352"/>
        <v xml:space="preserve">COM VALOR</v>
      </c>
      <c r="J7507" s="19"/>
      <c r="L7507" s="21">
        <v>102.17</v>
      </c>
      <c r="M7507" s="22">
        <v>0</v>
      </c>
      <c r="N7507" s="21">
        <v>100.18000000000001</v>
      </c>
      <c r="O7507" s="22">
        <v>0</v>
      </c>
    </row>
    <row r="7508" ht="51">
      <c r="A7508" t="s">
        <v>7570</v>
      </c>
      <c r="B7508" s="19">
        <v>87783</v>
      </c>
      <c r="C7508" s="20" t="s">
        <v>7584</v>
      </c>
      <c r="D7508" s="19" t="s">
        <v>29</v>
      </c>
      <c r="E7508" s="21">
        <f t="shared" si="350"/>
        <v>134.34</v>
      </c>
      <c r="F7508" s="22"/>
      <c r="G7508" s="21">
        <f t="shared" si="351"/>
        <v>131.80000000000001</v>
      </c>
      <c r="H7508" s="22"/>
      <c r="I7508" s="23" t="str">
        <f t="shared" si="352"/>
        <v xml:space="preserve">COM VALOR</v>
      </c>
      <c r="J7508" s="19"/>
      <c r="L7508" s="21">
        <v>134.34</v>
      </c>
      <c r="M7508" s="22">
        <v>0</v>
      </c>
      <c r="N7508" s="21">
        <v>131.80000000000001</v>
      </c>
      <c r="O7508" s="22">
        <v>0</v>
      </c>
    </row>
    <row r="7509" ht="51">
      <c r="A7509" t="s">
        <v>7570</v>
      </c>
      <c r="B7509" s="19">
        <v>87787</v>
      </c>
      <c r="C7509" s="20" t="s">
        <v>7585</v>
      </c>
      <c r="D7509" s="19" t="s">
        <v>29</v>
      </c>
      <c r="E7509" s="21">
        <f t="shared" si="350"/>
        <v>157.59999999999999</v>
      </c>
      <c r="F7509" s="22"/>
      <c r="G7509" s="21">
        <f t="shared" si="351"/>
        <v>154.97999999999999</v>
      </c>
      <c r="H7509" s="22"/>
      <c r="I7509" s="23" t="str">
        <f t="shared" si="352"/>
        <v xml:space="preserve">COM VALOR</v>
      </c>
      <c r="J7509" s="19"/>
      <c r="L7509" s="21">
        <v>157.59999999999999</v>
      </c>
      <c r="M7509" s="22">
        <v>0</v>
      </c>
      <c r="N7509" s="21">
        <v>154.97999999999999</v>
      </c>
      <c r="O7509" s="22">
        <v>0</v>
      </c>
    </row>
    <row r="7510" ht="51">
      <c r="A7510" t="s">
        <v>7570</v>
      </c>
      <c r="B7510" s="19">
        <v>87791</v>
      </c>
      <c r="C7510" s="20" t="s">
        <v>7586</v>
      </c>
      <c r="D7510" s="19" t="s">
        <v>29</v>
      </c>
      <c r="E7510" s="21">
        <f t="shared" si="350"/>
        <v>173.68000000000001</v>
      </c>
      <c r="F7510" s="22">
        <v>0.11</v>
      </c>
      <c r="G7510" s="21">
        <f t="shared" si="351"/>
        <v>170.77000000000001</v>
      </c>
      <c r="H7510" s="22">
        <v>0.11</v>
      </c>
      <c r="I7510" s="23" t="str">
        <f t="shared" si="352"/>
        <v xml:space="preserve">COM VALOR</v>
      </c>
      <c r="J7510" s="19"/>
      <c r="L7510" s="21">
        <v>173.68000000000001</v>
      </c>
      <c r="M7510" s="22">
        <v>0</v>
      </c>
      <c r="N7510" s="21">
        <v>170.77000000000001</v>
      </c>
      <c r="O7510" s="22">
        <v>0</v>
      </c>
    </row>
    <row r="7511" ht="51">
      <c r="A7511" t="s">
        <v>7570</v>
      </c>
      <c r="B7511" s="19">
        <v>87832</v>
      </c>
      <c r="C7511" s="20" t="s">
        <v>7587</v>
      </c>
      <c r="D7511" s="19" t="s">
        <v>29</v>
      </c>
      <c r="E7511" s="21">
        <f t="shared" si="350"/>
        <v>160.52000000000001</v>
      </c>
      <c r="F7511" s="22">
        <v>4.0000000000000001e-002</v>
      </c>
      <c r="G7511" s="21">
        <f t="shared" si="351"/>
        <v>157.08000000000001</v>
      </c>
      <c r="H7511" s="22">
        <v>4.0000000000000001e-002</v>
      </c>
      <c r="I7511" s="23" t="str">
        <f t="shared" si="352"/>
        <v xml:space="preserve">COM VALOR</v>
      </c>
      <c r="J7511" s="19"/>
      <c r="L7511" s="21">
        <v>160.52000000000001</v>
      </c>
      <c r="M7511" s="22">
        <v>0</v>
      </c>
      <c r="N7511" s="21">
        <v>157.08000000000001</v>
      </c>
      <c r="O7511" s="22">
        <v>0</v>
      </c>
    </row>
    <row r="7512" ht="51">
      <c r="A7512" t="s">
        <v>7570</v>
      </c>
      <c r="B7512" s="19">
        <v>87812</v>
      </c>
      <c r="C7512" s="20" t="s">
        <v>7588</v>
      </c>
      <c r="D7512" s="19" t="s">
        <v>29</v>
      </c>
      <c r="E7512" s="21">
        <f t="shared" si="350"/>
        <v>120.31</v>
      </c>
      <c r="F7512" s="22">
        <v>2.9999999999999999e-002</v>
      </c>
      <c r="G7512" s="21">
        <f t="shared" si="351"/>
        <v>116.97</v>
      </c>
      <c r="H7512" s="22">
        <v>2.9999999999999999e-002</v>
      </c>
      <c r="I7512" s="23" t="str">
        <f t="shared" si="352"/>
        <v xml:space="preserve">COM VALOR</v>
      </c>
      <c r="J7512" s="19"/>
      <c r="L7512" s="21">
        <v>120.31</v>
      </c>
      <c r="M7512" s="22">
        <v>0</v>
      </c>
      <c r="N7512" s="21">
        <v>116.97</v>
      </c>
      <c r="O7512" s="22">
        <v>0</v>
      </c>
    </row>
    <row r="7513" ht="51">
      <c r="A7513" t="s">
        <v>7570</v>
      </c>
      <c r="B7513" s="19">
        <v>87816</v>
      </c>
      <c r="C7513" s="20" t="s">
        <v>7589</v>
      </c>
      <c r="D7513" s="19" t="s">
        <v>29</v>
      </c>
      <c r="E7513" s="21">
        <f t="shared" si="350"/>
        <v>150.97999999999999</v>
      </c>
      <c r="F7513" s="22">
        <v>2.9999999999999999e-002</v>
      </c>
      <c r="G7513" s="21">
        <f t="shared" si="351"/>
        <v>147.06</v>
      </c>
      <c r="H7513" s="22">
        <v>2.9999999999999999e-002</v>
      </c>
      <c r="I7513" s="23" t="str">
        <f t="shared" si="352"/>
        <v xml:space="preserve">COM VALOR</v>
      </c>
      <c r="J7513" s="19"/>
      <c r="L7513" s="21">
        <v>150.97999999999999</v>
      </c>
      <c r="M7513" s="22">
        <v>0</v>
      </c>
      <c r="N7513" s="21">
        <v>147.06</v>
      </c>
      <c r="O7513" s="22">
        <v>0</v>
      </c>
    </row>
    <row r="7514" ht="51">
      <c r="A7514" t="s">
        <v>7570</v>
      </c>
      <c r="B7514" s="19">
        <v>87820</v>
      </c>
      <c r="C7514" s="20" t="s">
        <v>7590</v>
      </c>
      <c r="D7514" s="19" t="s">
        <v>29</v>
      </c>
      <c r="E7514" s="21">
        <f t="shared" si="350"/>
        <v>172.71000000000001</v>
      </c>
      <c r="F7514" s="22">
        <v>2.e-002</v>
      </c>
      <c r="G7514" s="21">
        <f t="shared" si="351"/>
        <v>168.72999999999999</v>
      </c>
      <c r="H7514" s="22">
        <v>2.e-002</v>
      </c>
      <c r="I7514" s="23" t="str">
        <f t="shared" si="352"/>
        <v xml:space="preserve">COM VALOR</v>
      </c>
      <c r="J7514" s="19"/>
      <c r="L7514" s="21">
        <v>172.71000000000001</v>
      </c>
      <c r="M7514" s="22">
        <v>0</v>
      </c>
      <c r="N7514" s="21">
        <v>168.72999999999999</v>
      </c>
      <c r="O7514" s="22">
        <v>0</v>
      </c>
    </row>
    <row r="7515" ht="51">
      <c r="A7515" t="s">
        <v>7570</v>
      </c>
      <c r="B7515" s="19">
        <v>87824</v>
      </c>
      <c r="C7515" s="20" t="s">
        <v>7591</v>
      </c>
      <c r="D7515" s="19" t="s">
        <v>29</v>
      </c>
      <c r="E7515" s="21">
        <f t="shared" si="350"/>
        <v>198.84999999999999</v>
      </c>
      <c r="F7515" s="22">
        <v>0</v>
      </c>
      <c r="G7515" s="21">
        <f t="shared" si="351"/>
        <v>193.99000000000001</v>
      </c>
      <c r="H7515" s="22">
        <v>0</v>
      </c>
      <c r="I7515" s="23" t="str">
        <f t="shared" si="352"/>
        <v xml:space="preserve">COM VALOR</v>
      </c>
      <c r="J7515" s="19"/>
      <c r="L7515" s="21">
        <v>198.84999999999999</v>
      </c>
      <c r="M7515" s="22">
        <v>0</v>
      </c>
      <c r="N7515" s="21">
        <v>193.99000000000001</v>
      </c>
      <c r="O7515" s="22">
        <v>0</v>
      </c>
    </row>
    <row r="7516" ht="51">
      <c r="A7516" t="s">
        <v>7570</v>
      </c>
      <c r="B7516" s="19">
        <v>87828</v>
      </c>
      <c r="C7516" s="20" t="s">
        <v>7592</v>
      </c>
      <c r="D7516" s="19" t="s">
        <v>29</v>
      </c>
      <c r="E7516" s="21">
        <f t="shared" si="350"/>
        <v>126.41</v>
      </c>
      <c r="F7516" s="22">
        <v>0</v>
      </c>
      <c r="G7516" s="21">
        <f t="shared" si="351"/>
        <v>123.47</v>
      </c>
      <c r="H7516" s="22">
        <v>0</v>
      </c>
      <c r="I7516" s="23" t="str">
        <f t="shared" si="352"/>
        <v xml:space="preserve">COM VALOR</v>
      </c>
      <c r="J7516" s="19"/>
      <c r="L7516" s="21">
        <v>126.41</v>
      </c>
      <c r="M7516" s="22">
        <v>0</v>
      </c>
      <c r="N7516" s="21">
        <v>123.47</v>
      </c>
      <c r="O7516" s="22">
        <v>0</v>
      </c>
    </row>
    <row r="7517" ht="51">
      <c r="A7517" t="s">
        <v>7570</v>
      </c>
      <c r="B7517" s="19">
        <v>104251</v>
      </c>
      <c r="C7517" s="20" t="s">
        <v>7593</v>
      </c>
      <c r="D7517" s="19" t="s">
        <v>29</v>
      </c>
      <c r="E7517" s="21">
        <f t="shared" si="350"/>
        <v>113.86</v>
      </c>
      <c r="F7517" s="22">
        <v>0</v>
      </c>
      <c r="G7517" s="21">
        <f t="shared" si="351"/>
        <v>110.86</v>
      </c>
      <c r="H7517" s="22">
        <v>0</v>
      </c>
      <c r="I7517" s="23" t="str">
        <f t="shared" si="352"/>
        <v xml:space="preserve">COM VALOR</v>
      </c>
      <c r="J7517" s="19"/>
      <c r="L7517" s="21">
        <v>113.86</v>
      </c>
      <c r="M7517" s="22">
        <v>0</v>
      </c>
      <c r="N7517" s="21">
        <v>110.86</v>
      </c>
      <c r="O7517" s="22">
        <v>0</v>
      </c>
    </row>
    <row r="7518" ht="51">
      <c r="A7518" t="s">
        <v>7570</v>
      </c>
      <c r="B7518" s="19">
        <v>104255</v>
      </c>
      <c r="C7518" s="20" t="s">
        <v>7594</v>
      </c>
      <c r="D7518" s="19" t="s">
        <v>29</v>
      </c>
      <c r="E7518" s="21">
        <f t="shared" si="350"/>
        <v>143.49000000000001</v>
      </c>
      <c r="F7518" s="22">
        <v>0</v>
      </c>
      <c r="G7518" s="21">
        <f t="shared" si="351"/>
        <v>139.99000000000001</v>
      </c>
      <c r="H7518" s="22">
        <v>0</v>
      </c>
      <c r="I7518" s="23" t="str">
        <f t="shared" si="352"/>
        <v xml:space="preserve">COM VALOR</v>
      </c>
      <c r="J7518" s="19"/>
      <c r="L7518" s="21">
        <v>143.49000000000001</v>
      </c>
      <c r="M7518" s="22">
        <v>0</v>
      </c>
      <c r="N7518" s="21">
        <v>139.99000000000001</v>
      </c>
      <c r="O7518" s="22">
        <v>0</v>
      </c>
    </row>
    <row r="7519" ht="51">
      <c r="A7519" t="s">
        <v>7570</v>
      </c>
      <c r="B7519" s="19">
        <v>104259</v>
      </c>
      <c r="C7519" s="20" t="s">
        <v>7595</v>
      </c>
      <c r="D7519" s="19" t="s">
        <v>29</v>
      </c>
      <c r="E7519" s="21">
        <f t="shared" si="350"/>
        <v>165.22</v>
      </c>
      <c r="F7519" s="22">
        <v>0</v>
      </c>
      <c r="G7519" s="21">
        <f t="shared" si="351"/>
        <v>161.66</v>
      </c>
      <c r="H7519" s="22">
        <v>0</v>
      </c>
      <c r="I7519" s="23" t="str">
        <f t="shared" si="352"/>
        <v xml:space="preserve">COM VALOR</v>
      </c>
      <c r="J7519" s="19"/>
      <c r="L7519" s="21">
        <v>165.22</v>
      </c>
      <c r="M7519" s="22">
        <v>0</v>
      </c>
      <c r="N7519" s="21">
        <v>161.66</v>
      </c>
      <c r="O7519" s="22">
        <v>0</v>
      </c>
    </row>
    <row r="7520" ht="51">
      <c r="A7520" t="s">
        <v>7570</v>
      </c>
      <c r="B7520" s="19">
        <v>104263</v>
      </c>
      <c r="C7520" s="20" t="s">
        <v>7596</v>
      </c>
      <c r="D7520" s="19" t="s">
        <v>29</v>
      </c>
      <c r="E7520" s="21">
        <f t="shared" si="350"/>
        <v>189.62</v>
      </c>
      <c r="F7520" s="22">
        <v>2.e-002</v>
      </c>
      <c r="G7520" s="21">
        <f t="shared" si="351"/>
        <v>185.27000000000001</v>
      </c>
      <c r="H7520" s="22">
        <v>2.e-002</v>
      </c>
      <c r="I7520" s="23" t="str">
        <f t="shared" si="352"/>
        <v xml:space="preserve">COM VALOR</v>
      </c>
      <c r="J7520" s="19"/>
      <c r="L7520" s="21">
        <v>189.62</v>
      </c>
      <c r="M7520" s="22">
        <v>0</v>
      </c>
      <c r="N7520" s="21">
        <v>185.27000000000001</v>
      </c>
      <c r="O7520" s="22">
        <v>0</v>
      </c>
    </row>
    <row r="7521" ht="38.25">
      <c r="A7521" t="s">
        <v>7570</v>
      </c>
      <c r="B7521" s="19">
        <v>87794</v>
      </c>
      <c r="C7521" s="20" t="s">
        <v>7597</v>
      </c>
      <c r="D7521" s="19" t="s">
        <v>29</v>
      </c>
      <c r="E7521" s="21">
        <f t="shared" si="350"/>
        <v>44.759999999999998</v>
      </c>
      <c r="F7521" s="22">
        <v>1.e-002</v>
      </c>
      <c r="G7521" s="21">
        <f t="shared" si="351"/>
        <v>43.200000000000003</v>
      </c>
      <c r="H7521" s="22">
        <v>1.e-002</v>
      </c>
      <c r="I7521" s="23" t="str">
        <f t="shared" si="352"/>
        <v xml:space="preserve">COM VALOR</v>
      </c>
      <c r="J7521" s="19"/>
      <c r="L7521" s="21">
        <v>44.759999999999998</v>
      </c>
      <c r="M7521" s="22">
        <v>0</v>
      </c>
      <c r="N7521" s="21">
        <v>43.200000000000003</v>
      </c>
      <c r="O7521" s="22">
        <v>0</v>
      </c>
    </row>
    <row r="7522" ht="38.25">
      <c r="A7522" t="s">
        <v>7570</v>
      </c>
      <c r="B7522" s="19">
        <v>87799</v>
      </c>
      <c r="C7522" s="20" t="s">
        <v>7598</v>
      </c>
      <c r="D7522" s="19" t="s">
        <v>29</v>
      </c>
      <c r="E7522" s="21">
        <f t="shared" si="350"/>
        <v>61.789999999999999</v>
      </c>
      <c r="F7522" s="22">
        <v>2.9999999999999999e-002</v>
      </c>
      <c r="G7522" s="21">
        <f t="shared" si="351"/>
        <v>59.560000000000002</v>
      </c>
      <c r="H7522" s="22">
        <v>2.9999999999999999e-002</v>
      </c>
      <c r="I7522" s="23" t="str">
        <f t="shared" si="352"/>
        <v xml:space="preserve">COM VALOR</v>
      </c>
      <c r="J7522" s="19"/>
      <c r="L7522" s="21">
        <v>61.789999999999999</v>
      </c>
      <c r="M7522" s="22">
        <v>0</v>
      </c>
      <c r="N7522" s="21">
        <v>59.560000000000002</v>
      </c>
      <c r="O7522" s="22">
        <v>0</v>
      </c>
    </row>
    <row r="7523" ht="38.25">
      <c r="A7523" t="s">
        <v>7570</v>
      </c>
      <c r="B7523" s="19">
        <v>87803</v>
      </c>
      <c r="C7523" s="20" t="s">
        <v>7599</v>
      </c>
      <c r="D7523" s="19" t="s">
        <v>29</v>
      </c>
      <c r="E7523" s="21">
        <f t="shared" si="350"/>
        <v>69.019999999999996</v>
      </c>
      <c r="F7523" s="22">
        <v>4.0000000000000001e-002</v>
      </c>
      <c r="G7523" s="21">
        <f t="shared" si="351"/>
        <v>66.659999999999997</v>
      </c>
      <c r="H7523" s="22">
        <v>4.0000000000000001e-002</v>
      </c>
      <c r="I7523" s="23" t="str">
        <f t="shared" si="352"/>
        <v xml:space="preserve">COM VALOR</v>
      </c>
      <c r="J7523" s="19"/>
      <c r="L7523" s="21">
        <v>69.019999999999996</v>
      </c>
      <c r="M7523" s="22">
        <v>0</v>
      </c>
      <c r="N7523" s="21">
        <v>66.659999999999997</v>
      </c>
      <c r="O7523" s="22">
        <v>0</v>
      </c>
    </row>
    <row r="7524" ht="51">
      <c r="A7524" t="s">
        <v>7570</v>
      </c>
      <c r="B7524" s="19">
        <v>87807</v>
      </c>
      <c r="C7524" s="20" t="s">
        <v>7600</v>
      </c>
      <c r="D7524" s="19" t="s">
        <v>29</v>
      </c>
      <c r="E7524" s="21">
        <f t="shared" si="350"/>
        <v>75.450000000000003</v>
      </c>
      <c r="F7524" s="22"/>
      <c r="G7524" s="21">
        <f t="shared" si="351"/>
        <v>72.859999999999999</v>
      </c>
      <c r="H7524" s="22"/>
      <c r="I7524" s="23" t="str">
        <f t="shared" si="352"/>
        <v xml:space="preserve">COM VALOR</v>
      </c>
      <c r="J7524" s="19"/>
      <c r="L7524" s="21">
        <v>75.450000000000003</v>
      </c>
      <c r="M7524" s="22">
        <v>0</v>
      </c>
      <c r="N7524" s="21">
        <v>72.859999999999999</v>
      </c>
      <c r="O7524" s="22">
        <v>0</v>
      </c>
    </row>
    <row r="7525" ht="51">
      <c r="A7525" t="s">
        <v>7570</v>
      </c>
      <c r="B7525" s="19">
        <v>104218</v>
      </c>
      <c r="C7525" s="20" t="s">
        <v>7601</v>
      </c>
      <c r="D7525" s="19" t="s">
        <v>29</v>
      </c>
      <c r="E7525" s="21">
        <f t="shared" si="350"/>
        <v>55.789999999999999</v>
      </c>
      <c r="F7525" s="22">
        <v>4.0000000000000001e-002</v>
      </c>
      <c r="G7525" s="21">
        <f t="shared" si="351"/>
        <v>53.670000000000002</v>
      </c>
      <c r="H7525" s="22">
        <v>4.0000000000000001e-002</v>
      </c>
      <c r="I7525" s="23" t="str">
        <f t="shared" si="352"/>
        <v xml:space="preserve">COM VALOR</v>
      </c>
      <c r="J7525" s="19"/>
      <c r="L7525" s="21">
        <v>55.789999999999999</v>
      </c>
      <c r="M7525" s="22">
        <v>0</v>
      </c>
      <c r="N7525" s="21">
        <v>53.670000000000002</v>
      </c>
      <c r="O7525" s="22">
        <v>0</v>
      </c>
    </row>
    <row r="7526" ht="38.25">
      <c r="A7526" t="s">
        <v>7570</v>
      </c>
      <c r="B7526" s="19">
        <v>87777</v>
      </c>
      <c r="C7526" s="20" t="s">
        <v>7602</v>
      </c>
      <c r="D7526" s="19" t="s">
        <v>29</v>
      </c>
      <c r="E7526" s="21">
        <f t="shared" si="350"/>
        <v>59.799999999999997</v>
      </c>
      <c r="F7526" s="22">
        <v>0</v>
      </c>
      <c r="G7526" s="21">
        <f t="shared" si="351"/>
        <v>57.450000000000003</v>
      </c>
      <c r="H7526" s="22">
        <v>0</v>
      </c>
      <c r="I7526" s="23" t="str">
        <f t="shared" si="352"/>
        <v xml:space="preserve">COM VALOR</v>
      </c>
      <c r="J7526" s="19"/>
      <c r="L7526" s="21">
        <v>59.799999999999997</v>
      </c>
      <c r="M7526" s="22">
        <v>0</v>
      </c>
      <c r="N7526" s="21">
        <v>57.450000000000003</v>
      </c>
      <c r="O7526" s="22">
        <v>0</v>
      </c>
    </row>
    <row r="7527" ht="51">
      <c r="A7527" t="s">
        <v>7570</v>
      </c>
      <c r="B7527" s="19">
        <v>104222</v>
      </c>
      <c r="C7527" s="20" t="s">
        <v>7603</v>
      </c>
      <c r="D7527" s="19" t="s">
        <v>29</v>
      </c>
      <c r="E7527" s="21">
        <f t="shared" si="350"/>
        <v>72.150000000000006</v>
      </c>
      <c r="F7527" s="22"/>
      <c r="G7527" s="21">
        <f t="shared" si="351"/>
        <v>69.409999999999997</v>
      </c>
      <c r="H7527" s="22"/>
      <c r="I7527" s="23" t="str">
        <f t="shared" si="352"/>
        <v xml:space="preserve">COM VALOR</v>
      </c>
      <c r="J7527" s="19"/>
      <c r="L7527" s="21">
        <v>72.150000000000006</v>
      </c>
      <c r="M7527" s="22">
        <v>0</v>
      </c>
      <c r="N7527" s="21">
        <v>69.409999999999997</v>
      </c>
      <c r="O7527" s="22">
        <v>0</v>
      </c>
    </row>
    <row r="7528" ht="38.25">
      <c r="A7528" t="s">
        <v>7570</v>
      </c>
      <c r="B7528" s="19">
        <v>87781</v>
      </c>
      <c r="C7528" s="20" t="s">
        <v>7604</v>
      </c>
      <c r="D7528" s="19" t="s">
        <v>29</v>
      </c>
      <c r="E7528" s="21">
        <f t="shared" si="350"/>
        <v>77.269999999999996</v>
      </c>
      <c r="F7528" s="22">
        <v>0</v>
      </c>
      <c r="G7528" s="21">
        <f t="shared" si="351"/>
        <v>74.25</v>
      </c>
      <c r="H7528" s="22">
        <v>0</v>
      </c>
      <c r="I7528" s="23" t="str">
        <f t="shared" si="352"/>
        <v xml:space="preserve">COM VALOR</v>
      </c>
      <c r="J7528" s="19"/>
      <c r="L7528" s="21">
        <v>77.269999999999996</v>
      </c>
      <c r="M7528" s="22">
        <v>0</v>
      </c>
      <c r="N7528" s="21">
        <v>74.25</v>
      </c>
      <c r="O7528" s="22">
        <v>0</v>
      </c>
    </row>
    <row r="7529" ht="51">
      <c r="A7529" t="s">
        <v>7570</v>
      </c>
      <c r="B7529" s="19">
        <v>104226</v>
      </c>
      <c r="C7529" s="20" t="s">
        <v>7605</v>
      </c>
      <c r="D7529" s="19" t="s">
        <v>29</v>
      </c>
      <c r="E7529" s="21">
        <f t="shared" si="350"/>
        <v>79.890000000000001</v>
      </c>
      <c r="F7529" s="22"/>
      <c r="G7529" s="21">
        <f t="shared" si="351"/>
        <v>77</v>
      </c>
      <c r="H7529" s="22"/>
      <c r="I7529" s="23" t="str">
        <f t="shared" si="352"/>
        <v xml:space="preserve">COM VALOR</v>
      </c>
      <c r="J7529" s="19"/>
      <c r="L7529" s="21">
        <v>79.890000000000001</v>
      </c>
      <c r="M7529" s="22">
        <v>0</v>
      </c>
      <c r="N7529" s="21">
        <v>77</v>
      </c>
      <c r="O7529" s="22">
        <v>0</v>
      </c>
    </row>
    <row r="7530" ht="38.25">
      <c r="A7530" t="s">
        <v>7570</v>
      </c>
      <c r="B7530" s="19">
        <v>87786</v>
      </c>
      <c r="C7530" s="20" t="s">
        <v>7606</v>
      </c>
      <c r="D7530" s="19" t="s">
        <v>29</v>
      </c>
      <c r="E7530" s="21">
        <f t="shared" si="350"/>
        <v>85.010000000000005</v>
      </c>
      <c r="F7530" s="22">
        <v>0</v>
      </c>
      <c r="G7530" s="21">
        <f t="shared" si="351"/>
        <v>81.840000000000003</v>
      </c>
      <c r="H7530" s="22">
        <v>0</v>
      </c>
      <c r="I7530" s="23" t="str">
        <f t="shared" si="352"/>
        <v xml:space="preserve">COM VALOR</v>
      </c>
      <c r="J7530" s="19"/>
      <c r="L7530" s="21">
        <v>85.010000000000005</v>
      </c>
      <c r="M7530" s="22">
        <v>0</v>
      </c>
      <c r="N7530" s="21">
        <v>81.840000000000003</v>
      </c>
      <c r="O7530" s="22">
        <v>0</v>
      </c>
    </row>
    <row r="7531" ht="51">
      <c r="A7531" t="s">
        <v>7570</v>
      </c>
      <c r="B7531" s="19">
        <v>104230</v>
      </c>
      <c r="C7531" s="20" t="s">
        <v>7607</v>
      </c>
      <c r="D7531" s="19" t="s">
        <v>29</v>
      </c>
      <c r="E7531" s="21">
        <f t="shared" si="350"/>
        <v>93.569999999999993</v>
      </c>
      <c r="F7531" s="22">
        <v>0</v>
      </c>
      <c r="G7531" s="21">
        <f t="shared" si="351"/>
        <v>90.049999999999997</v>
      </c>
      <c r="H7531" s="22">
        <v>0</v>
      </c>
      <c r="I7531" s="23" t="str">
        <f t="shared" si="352"/>
        <v xml:space="preserve">COM VALOR</v>
      </c>
      <c r="J7531" s="19"/>
      <c r="L7531" s="21">
        <v>93.569999999999993</v>
      </c>
      <c r="M7531" s="22">
        <v>0</v>
      </c>
      <c r="N7531" s="21">
        <v>90.049999999999997</v>
      </c>
      <c r="O7531" s="22">
        <v>0</v>
      </c>
    </row>
    <row r="7532" ht="51">
      <c r="A7532" t="s">
        <v>7570</v>
      </c>
      <c r="B7532" s="19">
        <v>104234</v>
      </c>
      <c r="C7532" s="20" t="s">
        <v>7608</v>
      </c>
      <c r="D7532" s="19" t="s">
        <v>29</v>
      </c>
      <c r="E7532" s="21">
        <f t="shared" si="350"/>
        <v>42.409999999999997</v>
      </c>
      <c r="F7532" s="22">
        <v>0</v>
      </c>
      <c r="G7532" s="21">
        <f t="shared" si="351"/>
        <v>40.979999999999997</v>
      </c>
      <c r="H7532" s="22">
        <v>0</v>
      </c>
      <c r="I7532" s="23" t="str">
        <f t="shared" si="352"/>
        <v xml:space="preserve">COM VALOR</v>
      </c>
      <c r="J7532" s="19"/>
      <c r="L7532" s="21">
        <v>42.409999999999997</v>
      </c>
      <c r="M7532" s="22">
        <v>0</v>
      </c>
      <c r="N7532" s="21">
        <v>40.979999999999997</v>
      </c>
      <c r="O7532" s="22">
        <v>0</v>
      </c>
    </row>
    <row r="7533" ht="51">
      <c r="A7533" t="s">
        <v>7570</v>
      </c>
      <c r="B7533" s="19">
        <v>104238</v>
      </c>
      <c r="C7533" s="20" t="s">
        <v>7609</v>
      </c>
      <c r="D7533" s="19" t="s">
        <v>29</v>
      </c>
      <c r="E7533" s="21">
        <f t="shared" si="350"/>
        <v>58.299999999999997</v>
      </c>
      <c r="F7533" s="22">
        <v>0</v>
      </c>
      <c r="G7533" s="21">
        <f t="shared" si="351"/>
        <v>56.259999999999998</v>
      </c>
      <c r="H7533" s="22">
        <v>0</v>
      </c>
      <c r="I7533" s="23" t="str">
        <f t="shared" si="352"/>
        <v xml:space="preserve">COM VALOR</v>
      </c>
      <c r="J7533" s="19"/>
      <c r="L7533" s="21">
        <v>58.299999999999997</v>
      </c>
      <c r="M7533" s="22">
        <v>0</v>
      </c>
      <c r="N7533" s="21">
        <v>56.259999999999998</v>
      </c>
      <c r="O7533" s="22">
        <v>0</v>
      </c>
    </row>
    <row r="7534" ht="51">
      <c r="A7534" t="s">
        <v>7570</v>
      </c>
      <c r="B7534" s="19">
        <v>104242</v>
      </c>
      <c r="C7534" s="20" t="s">
        <v>7610</v>
      </c>
      <c r="D7534" s="19" t="s">
        <v>29</v>
      </c>
      <c r="E7534" s="21">
        <f t="shared" si="350"/>
        <v>65.530000000000001</v>
      </c>
      <c r="F7534" s="22">
        <v>0</v>
      </c>
      <c r="G7534" s="21">
        <f t="shared" si="351"/>
        <v>63.359999999999999</v>
      </c>
      <c r="H7534" s="22">
        <v>0</v>
      </c>
      <c r="I7534" s="23" t="str">
        <f t="shared" si="352"/>
        <v xml:space="preserve">COM VALOR</v>
      </c>
      <c r="J7534" s="19"/>
      <c r="L7534" s="21">
        <v>65.530000000000001</v>
      </c>
      <c r="M7534" s="22">
        <v>0</v>
      </c>
      <c r="N7534" s="21">
        <v>63.359999999999999</v>
      </c>
      <c r="O7534" s="22">
        <v>0</v>
      </c>
    </row>
    <row r="7535" ht="51">
      <c r="A7535" t="s">
        <v>7570</v>
      </c>
      <c r="B7535" s="19">
        <v>104246</v>
      </c>
      <c r="C7535" s="20" t="s">
        <v>7611</v>
      </c>
      <c r="D7535" s="19" t="s">
        <v>29</v>
      </c>
      <c r="E7535" s="21">
        <f t="shared" si="350"/>
        <v>71.620000000000005</v>
      </c>
      <c r="F7535" s="22">
        <v>0</v>
      </c>
      <c r="G7535" s="21">
        <f t="shared" si="351"/>
        <v>69.230000000000004</v>
      </c>
      <c r="H7535" s="22">
        <v>0</v>
      </c>
      <c r="I7535" s="23" t="str">
        <f t="shared" si="352"/>
        <v xml:space="preserve">COM VALOR</v>
      </c>
      <c r="J7535" s="19"/>
      <c r="L7535" s="21">
        <v>71.620000000000005</v>
      </c>
      <c r="M7535" s="22">
        <v>0</v>
      </c>
      <c r="N7535" s="21">
        <v>69.230000000000004</v>
      </c>
      <c r="O7535" s="22">
        <v>0</v>
      </c>
    </row>
    <row r="7536" ht="51">
      <c r="A7536" t="s">
        <v>7570</v>
      </c>
      <c r="B7536" s="19">
        <v>104250</v>
      </c>
      <c r="C7536" s="20" t="s">
        <v>7612</v>
      </c>
      <c r="D7536" s="19" t="s">
        <v>29</v>
      </c>
      <c r="E7536" s="21">
        <f t="shared" si="350"/>
        <v>76.329999999999998</v>
      </c>
      <c r="F7536" s="22">
        <v>0</v>
      </c>
      <c r="G7536" s="21">
        <f t="shared" si="351"/>
        <v>72.879999999999995</v>
      </c>
      <c r="H7536" s="22">
        <v>0</v>
      </c>
      <c r="I7536" s="23" t="str">
        <f t="shared" si="352"/>
        <v xml:space="preserve">COM VALOR</v>
      </c>
      <c r="J7536" s="19"/>
      <c r="L7536" s="21">
        <v>76.329999999999998</v>
      </c>
      <c r="M7536" s="22">
        <v>0</v>
      </c>
      <c r="N7536" s="21">
        <v>72.879999999999995</v>
      </c>
      <c r="O7536" s="22">
        <v>0</v>
      </c>
    </row>
    <row r="7537" ht="51">
      <c r="A7537" t="s">
        <v>7570</v>
      </c>
      <c r="B7537" s="19">
        <v>87811</v>
      </c>
      <c r="C7537" s="20" t="s">
        <v>7613</v>
      </c>
      <c r="D7537" s="19" t="s">
        <v>29</v>
      </c>
      <c r="E7537" s="21">
        <f t="shared" si="350"/>
        <v>83.510000000000005</v>
      </c>
      <c r="F7537" s="22"/>
      <c r="G7537" s="21">
        <f t="shared" si="351"/>
        <v>79.659999999999997</v>
      </c>
      <c r="H7537" s="22"/>
      <c r="I7537" s="23" t="str">
        <f t="shared" si="352"/>
        <v xml:space="preserve">COM VALOR</v>
      </c>
      <c r="J7537" s="19"/>
      <c r="L7537" s="21">
        <v>83.510000000000005</v>
      </c>
      <c r="M7537" s="22">
        <v>0</v>
      </c>
      <c r="N7537" s="21">
        <v>79.659999999999997</v>
      </c>
      <c r="O7537" s="22">
        <v>0</v>
      </c>
    </row>
    <row r="7538" ht="51">
      <c r="A7538" t="s">
        <v>7570</v>
      </c>
      <c r="B7538" s="19">
        <v>104254</v>
      </c>
      <c r="C7538" s="20" t="s">
        <v>7614</v>
      </c>
      <c r="D7538" s="19" t="s">
        <v>29</v>
      </c>
      <c r="E7538" s="21">
        <f t="shared" si="350"/>
        <v>92.230000000000004</v>
      </c>
      <c r="F7538" s="22">
        <v>0</v>
      </c>
      <c r="G7538" s="21">
        <f t="shared" si="351"/>
        <v>88.159999999999997</v>
      </c>
      <c r="H7538" s="22">
        <v>0</v>
      </c>
      <c r="I7538" s="23" t="str">
        <f t="shared" si="352"/>
        <v xml:space="preserve">COM VALOR</v>
      </c>
      <c r="J7538" s="19"/>
      <c r="L7538" s="21">
        <v>92.230000000000004</v>
      </c>
      <c r="M7538" s="22">
        <v>0</v>
      </c>
      <c r="N7538" s="21">
        <v>88.159999999999997</v>
      </c>
      <c r="O7538" s="22">
        <v>0</v>
      </c>
    </row>
    <row r="7539" ht="51">
      <c r="A7539" t="s">
        <v>7570</v>
      </c>
      <c r="B7539" s="19">
        <v>87815</v>
      </c>
      <c r="C7539" s="20" t="s">
        <v>7615</v>
      </c>
      <c r="D7539" s="19" t="s">
        <v>29</v>
      </c>
      <c r="E7539" s="21">
        <f t="shared" si="350"/>
        <v>100.53</v>
      </c>
      <c r="F7539" s="22">
        <v>0</v>
      </c>
      <c r="G7539" s="21">
        <f t="shared" si="351"/>
        <v>96.010000000000005</v>
      </c>
      <c r="H7539" s="22">
        <v>0</v>
      </c>
      <c r="I7539" s="23" t="str">
        <f t="shared" si="352"/>
        <v xml:space="preserve">COM VALOR</v>
      </c>
      <c r="J7539" s="19"/>
      <c r="L7539" s="21">
        <v>100.53</v>
      </c>
      <c r="M7539" s="22">
        <v>0</v>
      </c>
      <c r="N7539" s="21">
        <v>96.010000000000005</v>
      </c>
      <c r="O7539" s="22">
        <v>0</v>
      </c>
    </row>
    <row r="7540" ht="51">
      <c r="A7540" t="s">
        <v>7570</v>
      </c>
      <c r="B7540" s="19">
        <v>104258</v>
      </c>
      <c r="C7540" s="20" t="s">
        <v>7616</v>
      </c>
      <c r="D7540" s="19" t="s">
        <v>29</v>
      </c>
      <c r="E7540" s="21">
        <f t="shared" si="350"/>
        <v>99.459999999999994</v>
      </c>
      <c r="F7540" s="22"/>
      <c r="G7540" s="21">
        <f t="shared" si="351"/>
        <v>95.260000000000005</v>
      </c>
      <c r="H7540" s="22"/>
      <c r="I7540" s="23" t="str">
        <f t="shared" si="352"/>
        <v xml:space="preserve">COM VALOR</v>
      </c>
      <c r="J7540" s="19"/>
      <c r="L7540" s="21">
        <v>99.459999999999994</v>
      </c>
      <c r="M7540" s="22">
        <v>0</v>
      </c>
      <c r="N7540" s="21">
        <v>95.260000000000005</v>
      </c>
      <c r="O7540" s="22">
        <v>0</v>
      </c>
    </row>
    <row r="7541" ht="51">
      <c r="A7541" t="s">
        <v>7570</v>
      </c>
      <c r="B7541" s="19">
        <v>87819</v>
      </c>
      <c r="C7541" s="20" t="s">
        <v>7617</v>
      </c>
      <c r="D7541" s="19" t="s">
        <v>29</v>
      </c>
      <c r="E7541" s="21">
        <f t="shared" si="350"/>
        <v>107.76000000000001</v>
      </c>
      <c r="F7541" s="22">
        <v>0</v>
      </c>
      <c r="G7541" s="21">
        <f t="shared" si="351"/>
        <v>103.11</v>
      </c>
      <c r="H7541" s="22">
        <v>0</v>
      </c>
      <c r="I7541" s="23" t="str">
        <f t="shared" si="352"/>
        <v xml:space="preserve">COM VALOR</v>
      </c>
      <c r="J7541" s="19"/>
      <c r="L7541" s="21">
        <v>107.76000000000001</v>
      </c>
      <c r="M7541" s="22">
        <v>0</v>
      </c>
      <c r="N7541" s="21">
        <v>103.11</v>
      </c>
      <c r="O7541" s="22">
        <v>0</v>
      </c>
    </row>
    <row r="7542" ht="51">
      <c r="A7542" t="s">
        <v>7570</v>
      </c>
      <c r="B7542" s="19">
        <v>104262</v>
      </c>
      <c r="C7542" s="20" t="s">
        <v>7618</v>
      </c>
      <c r="D7542" s="19" t="s">
        <v>29</v>
      </c>
      <c r="E7542" s="21">
        <f t="shared" si="350"/>
        <v>127.58</v>
      </c>
      <c r="F7542" s="22">
        <v>0</v>
      </c>
      <c r="G7542" s="21">
        <f t="shared" si="351"/>
        <v>121.95999999999999</v>
      </c>
      <c r="H7542" s="22">
        <v>0</v>
      </c>
      <c r="I7542" s="23" t="str">
        <f t="shared" si="352"/>
        <v xml:space="preserve">COM VALOR</v>
      </c>
      <c r="J7542" s="19"/>
      <c r="L7542" s="21">
        <v>127.58</v>
      </c>
      <c r="M7542" s="22">
        <v>0</v>
      </c>
      <c r="N7542" s="21">
        <v>121.95999999999999</v>
      </c>
      <c r="O7542" s="22">
        <v>0</v>
      </c>
    </row>
    <row r="7543" ht="51">
      <c r="A7543" t="s">
        <v>7570</v>
      </c>
      <c r="B7543" s="19">
        <v>87823</v>
      </c>
      <c r="C7543" s="20" t="s">
        <v>7619</v>
      </c>
      <c r="D7543" s="19" t="s">
        <v>29</v>
      </c>
      <c r="E7543" s="21">
        <f t="shared" si="350"/>
        <v>138.91</v>
      </c>
      <c r="F7543" s="22">
        <v>0</v>
      </c>
      <c r="G7543" s="21">
        <f t="shared" si="351"/>
        <v>132.66</v>
      </c>
      <c r="H7543" s="22">
        <v>0</v>
      </c>
      <c r="I7543" s="23" t="str">
        <f t="shared" si="352"/>
        <v xml:space="preserve">COM VALOR</v>
      </c>
      <c r="J7543" s="19"/>
      <c r="L7543" s="21">
        <v>138.91</v>
      </c>
      <c r="M7543" s="22">
        <v>0</v>
      </c>
      <c r="N7543" s="21">
        <v>132.66</v>
      </c>
      <c r="O7543" s="22">
        <v>0</v>
      </c>
    </row>
    <row r="7544" ht="51">
      <c r="A7544" t="s">
        <v>7570</v>
      </c>
      <c r="B7544" s="19">
        <v>87827</v>
      </c>
      <c r="C7544" s="20" t="s">
        <v>7620</v>
      </c>
      <c r="D7544" s="19" t="s">
        <v>29</v>
      </c>
      <c r="E7544" s="21">
        <f t="shared" si="350"/>
        <v>79.109999999999999</v>
      </c>
      <c r="F7544" s="22">
        <v>0</v>
      </c>
      <c r="G7544" s="21">
        <f t="shared" si="351"/>
        <v>75.680000000000007</v>
      </c>
      <c r="H7544" s="22">
        <v>0</v>
      </c>
      <c r="I7544" s="23" t="str">
        <f t="shared" si="352"/>
        <v xml:space="preserve">COM VALOR</v>
      </c>
      <c r="J7544" s="19"/>
      <c r="L7544" s="21">
        <v>79.109999999999999</v>
      </c>
      <c r="M7544" s="22">
        <v>0</v>
      </c>
      <c r="N7544" s="21">
        <v>75.680000000000007</v>
      </c>
      <c r="O7544" s="22">
        <v>0</v>
      </c>
    </row>
    <row r="7545" ht="51">
      <c r="A7545" t="s">
        <v>7570</v>
      </c>
      <c r="B7545" s="19">
        <v>87831</v>
      </c>
      <c r="C7545" s="20" t="s">
        <v>7621</v>
      </c>
      <c r="D7545" s="19" t="s">
        <v>29</v>
      </c>
      <c r="E7545" s="21">
        <f t="shared" si="350"/>
        <v>96.290000000000006</v>
      </c>
      <c r="F7545" s="22">
        <v>0</v>
      </c>
      <c r="G7545" s="21">
        <f t="shared" si="351"/>
        <v>92.239999999999995</v>
      </c>
      <c r="H7545" s="22">
        <v>0</v>
      </c>
      <c r="I7545" s="23" t="str">
        <f t="shared" si="352"/>
        <v xml:space="preserve">COM VALOR</v>
      </c>
      <c r="J7545" s="19"/>
      <c r="L7545" s="21">
        <v>96.290000000000006</v>
      </c>
      <c r="M7545" s="22">
        <v>0</v>
      </c>
      <c r="N7545" s="21">
        <v>92.239999999999995</v>
      </c>
      <c r="O7545" s="22">
        <v>0</v>
      </c>
    </row>
    <row r="7546" ht="51">
      <c r="A7546" t="s">
        <v>7570</v>
      </c>
      <c r="B7546" s="19">
        <v>104220</v>
      </c>
      <c r="C7546" s="20" t="s">
        <v>7622</v>
      </c>
      <c r="D7546" s="19" t="s">
        <v>29</v>
      </c>
      <c r="E7546" s="21">
        <f t="shared" si="350"/>
        <v>56.100000000000001</v>
      </c>
      <c r="F7546" s="22">
        <v>0</v>
      </c>
      <c r="G7546" s="21">
        <f t="shared" si="351"/>
        <v>54.32</v>
      </c>
      <c r="H7546" s="22">
        <v>0</v>
      </c>
      <c r="I7546" s="23" t="str">
        <f t="shared" si="352"/>
        <v xml:space="preserve">COM VALOR</v>
      </c>
      <c r="J7546" s="19"/>
      <c r="L7546" s="21">
        <v>56.100000000000001</v>
      </c>
      <c r="M7546" s="22">
        <v>0.10000000000000001</v>
      </c>
      <c r="N7546" s="21">
        <v>54.32</v>
      </c>
      <c r="O7546" s="22">
        <v>0.10000000000000001</v>
      </c>
    </row>
    <row r="7547" ht="51">
      <c r="A7547" t="s">
        <v>7570</v>
      </c>
      <c r="B7547" s="19">
        <v>104203</v>
      </c>
      <c r="C7547" s="20" t="s">
        <v>7623</v>
      </c>
      <c r="D7547" s="19" t="s">
        <v>29</v>
      </c>
      <c r="E7547" s="21">
        <f t="shared" si="350"/>
        <v>60.329999999999998</v>
      </c>
      <c r="F7547" s="22">
        <v>0</v>
      </c>
      <c r="G7547" s="21">
        <f t="shared" si="351"/>
        <v>58.340000000000003</v>
      </c>
      <c r="H7547" s="22">
        <v>0</v>
      </c>
      <c r="I7547" s="23" t="str">
        <f t="shared" si="352"/>
        <v xml:space="preserve">COM VALOR</v>
      </c>
      <c r="J7547" s="19"/>
      <c r="L7547" s="21">
        <v>60.329999999999998</v>
      </c>
      <c r="M7547" s="22">
        <v>0.10000000000000001</v>
      </c>
      <c r="N7547" s="21">
        <v>58.340000000000003</v>
      </c>
      <c r="O7547" s="22">
        <v>0.10000000000000001</v>
      </c>
    </row>
    <row r="7548" ht="51">
      <c r="A7548" t="s">
        <v>7570</v>
      </c>
      <c r="B7548" s="19">
        <v>104224</v>
      </c>
      <c r="C7548" s="20" t="s">
        <v>7624</v>
      </c>
      <c r="D7548" s="19" t="s">
        <v>29</v>
      </c>
      <c r="E7548" s="21">
        <f t="shared" si="350"/>
        <v>72.569999999999993</v>
      </c>
      <c r="F7548" s="22">
        <v>0</v>
      </c>
      <c r="G7548" s="21">
        <f t="shared" si="351"/>
        <v>70.25</v>
      </c>
      <c r="H7548" s="22">
        <v>0</v>
      </c>
      <c r="I7548" s="23" t="str">
        <f t="shared" si="352"/>
        <v xml:space="preserve">COM VALOR</v>
      </c>
      <c r="J7548" s="19"/>
      <c r="L7548" s="21">
        <v>72.569999999999993</v>
      </c>
      <c r="M7548" s="22">
        <v>0.10000000000000001</v>
      </c>
      <c r="N7548" s="21">
        <v>70.25</v>
      </c>
      <c r="O7548" s="22">
        <v>0.10000000000000001</v>
      </c>
    </row>
    <row r="7549" ht="51">
      <c r="A7549" t="s">
        <v>7570</v>
      </c>
      <c r="B7549" s="19">
        <v>104204</v>
      </c>
      <c r="C7549" s="20" t="s">
        <v>7625</v>
      </c>
      <c r="D7549" s="19" t="s">
        <v>29</v>
      </c>
      <c r="E7549" s="21">
        <f t="shared" si="350"/>
        <v>78.040000000000006</v>
      </c>
      <c r="F7549" s="22">
        <v>0</v>
      </c>
      <c r="G7549" s="21">
        <f t="shared" si="351"/>
        <v>75.469999999999999</v>
      </c>
      <c r="H7549" s="22">
        <v>0</v>
      </c>
      <c r="I7549" s="23" t="str">
        <f t="shared" si="352"/>
        <v xml:space="preserve">COM VALOR</v>
      </c>
      <c r="J7549" s="19"/>
      <c r="L7549" s="21">
        <v>78.040000000000006</v>
      </c>
      <c r="M7549" s="22">
        <v>0.10000000000000001</v>
      </c>
      <c r="N7549" s="21">
        <v>75.469999999999999</v>
      </c>
      <c r="O7549" s="22">
        <v>0.10000000000000001</v>
      </c>
    </row>
    <row r="7550" ht="51">
      <c r="A7550" t="s">
        <v>7570</v>
      </c>
      <c r="B7550" s="19">
        <v>104228</v>
      </c>
      <c r="C7550" s="20" t="s">
        <v>7626</v>
      </c>
      <c r="D7550" s="19" t="s">
        <v>29</v>
      </c>
      <c r="E7550" s="21">
        <f t="shared" si="350"/>
        <v>79.799999999999997</v>
      </c>
      <c r="F7550" s="22">
        <v>0</v>
      </c>
      <c r="G7550" s="21">
        <f t="shared" si="351"/>
        <v>77.400000000000006</v>
      </c>
      <c r="H7550" s="22">
        <v>0</v>
      </c>
      <c r="I7550" s="23" t="str">
        <f t="shared" si="352"/>
        <v xml:space="preserve">COM VALOR</v>
      </c>
      <c r="J7550" s="19"/>
      <c r="L7550" s="21">
        <v>79.799999999999997</v>
      </c>
      <c r="M7550" s="22">
        <v>8.9999999999999997e-002</v>
      </c>
      <c r="N7550" s="21">
        <v>77.400000000000006</v>
      </c>
      <c r="O7550" s="22">
        <v>0.10000000000000001</v>
      </c>
    </row>
    <row r="7551" ht="51">
      <c r="A7551" t="s">
        <v>7570</v>
      </c>
      <c r="B7551" s="19">
        <v>104205</v>
      </c>
      <c r="C7551" s="20" t="s">
        <v>7627</v>
      </c>
      <c r="D7551" s="19" t="s">
        <v>29</v>
      </c>
      <c r="E7551" s="21">
        <f t="shared" si="350"/>
        <v>85.280000000000001</v>
      </c>
      <c r="F7551" s="22">
        <v>0</v>
      </c>
      <c r="G7551" s="21">
        <f t="shared" si="351"/>
        <v>82.629999999999995</v>
      </c>
      <c r="H7551" s="22">
        <v>0</v>
      </c>
      <c r="I7551" s="23" t="str">
        <f t="shared" si="352"/>
        <v xml:space="preserve">COM VALOR</v>
      </c>
      <c r="J7551" s="19"/>
      <c r="L7551" s="21">
        <v>85.280000000000001</v>
      </c>
      <c r="M7551" s="22">
        <v>0.10000000000000001</v>
      </c>
      <c r="N7551" s="21">
        <v>82.629999999999995</v>
      </c>
      <c r="O7551" s="22">
        <v>0.10000000000000001</v>
      </c>
    </row>
    <row r="7552" ht="51">
      <c r="A7552" t="s">
        <v>7570</v>
      </c>
      <c r="B7552" s="19">
        <v>104232</v>
      </c>
      <c r="C7552" s="20" t="s">
        <v>7628</v>
      </c>
      <c r="D7552" s="19" t="s">
        <v>29</v>
      </c>
      <c r="E7552" s="21">
        <f t="shared" si="350"/>
        <v>88.200000000000003</v>
      </c>
      <c r="F7552" s="22">
        <v>0</v>
      </c>
      <c r="G7552" s="21">
        <f t="shared" si="351"/>
        <v>85.540000000000006</v>
      </c>
      <c r="H7552" s="22">
        <v>0</v>
      </c>
      <c r="I7552" s="23" t="str">
        <f t="shared" si="352"/>
        <v xml:space="preserve">COM VALOR</v>
      </c>
      <c r="J7552" s="19"/>
      <c r="L7552" s="21">
        <v>88.200000000000003</v>
      </c>
      <c r="M7552" s="22">
        <v>8.9999999999999997e-002</v>
      </c>
      <c r="N7552" s="21">
        <v>85.540000000000006</v>
      </c>
      <c r="O7552" s="22">
        <v>0.10000000000000001</v>
      </c>
    </row>
    <row r="7553" ht="51">
      <c r="A7553" t="s">
        <v>7570</v>
      </c>
      <c r="B7553" s="19">
        <v>104206</v>
      </c>
      <c r="C7553" s="20" t="s">
        <v>7629</v>
      </c>
      <c r="D7553" s="19" t="s">
        <v>29</v>
      </c>
      <c r="E7553" s="21">
        <f t="shared" si="350"/>
        <v>94.209999999999994</v>
      </c>
      <c r="F7553" s="22">
        <v>0</v>
      </c>
      <c r="G7553" s="21">
        <f t="shared" si="351"/>
        <v>91.280000000000001</v>
      </c>
      <c r="H7553" s="22">
        <v>0</v>
      </c>
      <c r="I7553" s="23" t="str">
        <f t="shared" si="352"/>
        <v xml:space="preserve">COM VALOR</v>
      </c>
      <c r="J7553" s="19"/>
      <c r="L7553" s="21">
        <v>94.209999999999994</v>
      </c>
      <c r="M7553" s="22">
        <v>0.10000000000000001</v>
      </c>
      <c r="N7553" s="21">
        <v>91.280000000000001</v>
      </c>
      <c r="O7553" s="22">
        <v>0.10000000000000001</v>
      </c>
    </row>
    <row r="7554" ht="51">
      <c r="A7554" t="s">
        <v>7570</v>
      </c>
      <c r="B7554" s="19">
        <v>104236</v>
      </c>
      <c r="C7554" s="20" t="s">
        <v>7630</v>
      </c>
      <c r="D7554" s="19" t="s">
        <v>29</v>
      </c>
      <c r="E7554" s="21">
        <f t="shared" si="350"/>
        <v>42.030000000000001</v>
      </c>
      <c r="F7554" s="22">
        <v>0</v>
      </c>
      <c r="G7554" s="21">
        <f t="shared" si="351"/>
        <v>40.880000000000003</v>
      </c>
      <c r="H7554" s="22">
        <v>0</v>
      </c>
      <c r="I7554" s="23" t="str">
        <f t="shared" si="352"/>
        <v xml:space="preserve">COM VALOR</v>
      </c>
      <c r="J7554" s="19"/>
      <c r="L7554" s="21">
        <v>42.030000000000001</v>
      </c>
      <c r="M7554" s="22">
        <v>8.0000000000000002e-002</v>
      </c>
      <c r="N7554" s="21">
        <v>40.880000000000003</v>
      </c>
      <c r="O7554" s="22">
        <v>8.9999999999999997e-002</v>
      </c>
    </row>
    <row r="7555" ht="51">
      <c r="A7555" t="s">
        <v>7570</v>
      </c>
      <c r="B7555" s="19">
        <v>104207</v>
      </c>
      <c r="C7555" s="20" t="s">
        <v>7631</v>
      </c>
      <c r="D7555" s="19" t="s">
        <v>29</v>
      </c>
      <c r="E7555" s="21">
        <f t="shared" si="350"/>
        <v>44.630000000000003</v>
      </c>
      <c r="F7555" s="22">
        <v>0</v>
      </c>
      <c r="G7555" s="21">
        <f t="shared" si="351"/>
        <v>43.350000000000001</v>
      </c>
      <c r="H7555" s="22">
        <v>0</v>
      </c>
      <c r="I7555" s="23" t="str">
        <f t="shared" si="352"/>
        <v xml:space="preserve">COM VALOR</v>
      </c>
      <c r="J7555" s="19"/>
      <c r="L7555" s="21">
        <v>44.630000000000003</v>
      </c>
      <c r="M7555" s="22">
        <v>8.9999999999999997e-002</v>
      </c>
      <c r="N7555" s="21">
        <v>43.350000000000001</v>
      </c>
      <c r="O7555" s="22">
        <v>8.9999999999999997e-002</v>
      </c>
    </row>
    <row r="7556" ht="51">
      <c r="A7556" t="s">
        <v>7570</v>
      </c>
      <c r="B7556" s="19">
        <v>104240</v>
      </c>
      <c r="C7556" s="20" t="s">
        <v>7632</v>
      </c>
      <c r="D7556" s="19" t="s">
        <v>29</v>
      </c>
      <c r="E7556" s="21">
        <f t="shared" si="350"/>
        <v>58.119999999999997</v>
      </c>
      <c r="F7556" s="22">
        <v>0</v>
      </c>
      <c r="G7556" s="21">
        <f t="shared" si="351"/>
        <v>56.439999999999998</v>
      </c>
      <c r="H7556" s="22">
        <v>0</v>
      </c>
      <c r="I7556" s="23" t="str">
        <f t="shared" si="352"/>
        <v xml:space="preserve">COM VALOR</v>
      </c>
      <c r="J7556" s="19"/>
      <c r="L7556" s="21">
        <v>58.119999999999997</v>
      </c>
      <c r="M7556" s="22">
        <v>8.9999999999999997e-002</v>
      </c>
      <c r="N7556" s="21">
        <v>56.439999999999998</v>
      </c>
      <c r="O7556" s="22">
        <v>8.9999999999999997e-002</v>
      </c>
    </row>
    <row r="7557" ht="51">
      <c r="A7557" t="s">
        <v>7570</v>
      </c>
      <c r="B7557" s="19">
        <v>104208</v>
      </c>
      <c r="C7557" s="20" t="s">
        <v>7633</v>
      </c>
      <c r="D7557" s="19" t="s">
        <v>29</v>
      </c>
      <c r="E7557" s="21">
        <f t="shared" si="350"/>
        <v>61.859999999999999</v>
      </c>
      <c r="F7557" s="22">
        <v>0</v>
      </c>
      <c r="G7557" s="21">
        <f t="shared" si="351"/>
        <v>60.009999999999998</v>
      </c>
      <c r="H7557" s="22">
        <v>0</v>
      </c>
      <c r="I7557" s="23" t="str">
        <f t="shared" si="352"/>
        <v xml:space="preserve">COM VALOR</v>
      </c>
      <c r="J7557" s="19"/>
      <c r="L7557" s="21">
        <v>61.859999999999999</v>
      </c>
      <c r="M7557" s="22">
        <v>8.9999999999999997e-002</v>
      </c>
      <c r="N7557" s="21">
        <v>60.009999999999998</v>
      </c>
      <c r="O7557" s="22">
        <v>0.10000000000000001</v>
      </c>
    </row>
    <row r="7558" ht="51">
      <c r="A7558" t="s">
        <v>7570</v>
      </c>
      <c r="B7558" s="19">
        <v>104244</v>
      </c>
      <c r="C7558" s="20" t="s">
        <v>7634</v>
      </c>
      <c r="D7558" s="19" t="s">
        <v>29</v>
      </c>
      <c r="E7558" s="21">
        <f t="shared" si="350"/>
        <v>64.920000000000002</v>
      </c>
      <c r="F7558" s="22">
        <v>0</v>
      </c>
      <c r="G7558" s="21">
        <f t="shared" si="351"/>
        <v>63.170000000000002</v>
      </c>
      <c r="H7558" s="22">
        <v>0</v>
      </c>
      <c r="I7558" s="23" t="str">
        <f t="shared" si="352"/>
        <v xml:space="preserve">COM VALOR</v>
      </c>
      <c r="J7558" s="19"/>
      <c r="L7558" s="21">
        <v>64.920000000000002</v>
      </c>
      <c r="M7558" s="22">
        <v>8.0000000000000002e-002</v>
      </c>
      <c r="N7558" s="21">
        <v>63.170000000000002</v>
      </c>
      <c r="O7558" s="22">
        <v>8.9999999999999997e-002</v>
      </c>
    </row>
    <row r="7559" ht="51">
      <c r="A7559" t="s">
        <v>7570</v>
      </c>
      <c r="B7559" s="19">
        <v>104209</v>
      </c>
      <c r="C7559" s="20" t="s">
        <v>7635</v>
      </c>
      <c r="D7559" s="19" t="s">
        <v>29</v>
      </c>
      <c r="E7559" s="21">
        <f t="shared" si="350"/>
        <v>68.659999999999997</v>
      </c>
      <c r="F7559" s="22">
        <v>0</v>
      </c>
      <c r="G7559" s="21">
        <f t="shared" si="351"/>
        <v>66.739999999999995</v>
      </c>
      <c r="H7559" s="22">
        <v>0</v>
      </c>
      <c r="I7559" s="23" t="str">
        <f t="shared" si="352"/>
        <v xml:space="preserve">COM VALOR</v>
      </c>
      <c r="J7559" s="19"/>
      <c r="L7559" s="21">
        <v>68.659999999999997</v>
      </c>
      <c r="M7559" s="22">
        <v>8.9999999999999997e-002</v>
      </c>
      <c r="N7559" s="21">
        <v>66.739999999999995</v>
      </c>
      <c r="O7559" s="22">
        <v>8.9999999999999997e-002</v>
      </c>
    </row>
    <row r="7560" ht="51">
      <c r="A7560" t="s">
        <v>7570</v>
      </c>
      <c r="B7560" s="19">
        <v>104248</v>
      </c>
      <c r="C7560" s="20" t="s">
        <v>7636</v>
      </c>
      <c r="D7560" s="19" t="s">
        <v>29</v>
      </c>
      <c r="E7560" s="21">
        <f t="shared" si="350"/>
        <v>67.609999999999999</v>
      </c>
      <c r="F7560" s="22">
        <v>0</v>
      </c>
      <c r="G7560" s="21">
        <f t="shared" si="351"/>
        <v>65.870000000000005</v>
      </c>
      <c r="H7560" s="22">
        <v>0</v>
      </c>
      <c r="I7560" s="23" t="str">
        <f t="shared" si="352"/>
        <v xml:space="preserve">COM VALOR</v>
      </c>
      <c r="J7560" s="19"/>
      <c r="L7560" s="21">
        <v>67.609999999999999</v>
      </c>
      <c r="M7560" s="22">
        <v>8.0000000000000002e-002</v>
      </c>
      <c r="N7560" s="21">
        <v>65.870000000000005</v>
      </c>
      <c r="O7560" s="22">
        <v>8.0000000000000002e-002</v>
      </c>
    </row>
    <row r="7561" ht="51">
      <c r="A7561" t="s">
        <v>7570</v>
      </c>
      <c r="B7561" s="19">
        <v>104210</v>
      </c>
      <c r="C7561" s="20" t="s">
        <v>7637</v>
      </c>
      <c r="D7561" s="19" t="s">
        <v>29</v>
      </c>
      <c r="E7561" s="21">
        <f t="shared" si="350"/>
        <v>71.219999999999999</v>
      </c>
      <c r="F7561" s="22">
        <v>0</v>
      </c>
      <c r="G7561" s="21">
        <f t="shared" si="351"/>
        <v>69.299999999999997</v>
      </c>
      <c r="H7561" s="22">
        <v>0</v>
      </c>
      <c r="I7561" s="23" t="str">
        <f t="shared" si="352"/>
        <v xml:space="preserve">COM VALOR</v>
      </c>
      <c r="J7561" s="19"/>
      <c r="L7561" s="21">
        <v>71.219999999999999</v>
      </c>
      <c r="M7561" s="22">
        <v>8.0000000000000002e-002</v>
      </c>
      <c r="N7561" s="21">
        <v>69.299999999999997</v>
      </c>
      <c r="O7561" s="22">
        <v>8.9999999999999997e-002</v>
      </c>
    </row>
    <row r="7562" ht="51">
      <c r="A7562" t="s">
        <v>7570</v>
      </c>
      <c r="B7562" s="19">
        <v>104252</v>
      </c>
      <c r="C7562" s="20" t="s">
        <v>7638</v>
      </c>
      <c r="D7562" s="19" t="s">
        <v>29</v>
      </c>
      <c r="E7562" s="21">
        <f t="shared" si="350"/>
        <v>78.549999999999997</v>
      </c>
      <c r="F7562" s="22">
        <v>0</v>
      </c>
      <c r="G7562" s="21">
        <f t="shared" si="351"/>
        <v>75.540000000000006</v>
      </c>
      <c r="H7562" s="22">
        <v>0</v>
      </c>
      <c r="I7562" s="23" t="str">
        <f t="shared" si="352"/>
        <v xml:space="preserve">COM VALOR</v>
      </c>
      <c r="J7562" s="19"/>
      <c r="L7562" s="21">
        <v>78.549999999999997</v>
      </c>
      <c r="M7562" s="22">
        <v>0.12</v>
      </c>
      <c r="N7562" s="21">
        <v>75.540000000000006</v>
      </c>
      <c r="O7562" s="22">
        <v>0.12</v>
      </c>
    </row>
    <row r="7563" ht="63.75">
      <c r="A7563" t="s">
        <v>7570</v>
      </c>
      <c r="B7563" s="19">
        <v>104211</v>
      </c>
      <c r="C7563" s="20" t="s">
        <v>7639</v>
      </c>
      <c r="D7563" s="19" t="s">
        <v>29</v>
      </c>
      <c r="E7563" s="21">
        <f t="shared" ref="E7563:E7626" si="353">IF(L7563=0,"VERIFICAR",L7563)</f>
        <v>86.129999999999995</v>
      </c>
      <c r="F7563" s="22">
        <v>0</v>
      </c>
      <c r="G7563" s="21">
        <f t="shared" ref="G7563:G7626" si="354">IF(N7563=0,"VERIFICAR",N7563)</f>
        <v>82.780000000000001</v>
      </c>
      <c r="H7563" s="22">
        <v>0</v>
      </c>
      <c r="I7563" s="23" t="str">
        <f t="shared" ref="I7563:I7626" si="355">IF(OR(E7563=0,G7563=0),"SEM VALOR","COM VALOR")</f>
        <v xml:space="preserve">COM VALOR</v>
      </c>
      <c r="J7563" s="19"/>
      <c r="L7563" s="21">
        <v>86.129999999999995</v>
      </c>
      <c r="M7563" s="22">
        <v>0.12</v>
      </c>
      <c r="N7563" s="21">
        <v>82.780000000000001</v>
      </c>
      <c r="O7563" s="22">
        <v>0.13</v>
      </c>
    </row>
    <row r="7564" ht="63.75">
      <c r="A7564" t="s">
        <v>7570</v>
      </c>
      <c r="B7564" s="19">
        <v>104212</v>
      </c>
      <c r="C7564" s="20" t="s">
        <v>7640</v>
      </c>
      <c r="D7564" s="19" t="s">
        <v>29</v>
      </c>
      <c r="E7564" s="21">
        <f t="shared" si="353"/>
        <v>103.43000000000001</v>
      </c>
      <c r="F7564" s="22">
        <v>0</v>
      </c>
      <c r="G7564" s="21">
        <f t="shared" si="354"/>
        <v>99.489999999999995</v>
      </c>
      <c r="H7564" s="22">
        <v>0</v>
      </c>
      <c r="I7564" s="23" t="str">
        <f t="shared" si="355"/>
        <v xml:space="preserve">COM VALOR</v>
      </c>
      <c r="J7564" s="19"/>
      <c r="L7564" s="21">
        <v>103.43000000000001</v>
      </c>
      <c r="M7564" s="22">
        <v>0.12</v>
      </c>
      <c r="N7564" s="21">
        <v>99.489999999999995</v>
      </c>
      <c r="O7564" s="22">
        <v>0.12</v>
      </c>
    </row>
    <row r="7565" ht="63.75">
      <c r="A7565" t="s">
        <v>7570</v>
      </c>
      <c r="B7565" s="19">
        <v>104213</v>
      </c>
      <c r="C7565" s="20" t="s">
        <v>7641</v>
      </c>
      <c r="D7565" s="19" t="s">
        <v>29</v>
      </c>
      <c r="E7565" s="21">
        <f t="shared" si="353"/>
        <v>110.23</v>
      </c>
      <c r="F7565" s="22">
        <v>0</v>
      </c>
      <c r="G7565" s="21">
        <f t="shared" si="354"/>
        <v>106.22</v>
      </c>
      <c r="H7565" s="22">
        <v>0</v>
      </c>
      <c r="I7565" s="23" t="str">
        <f t="shared" si="355"/>
        <v xml:space="preserve">COM VALOR</v>
      </c>
      <c r="J7565" s="19"/>
      <c r="L7565" s="21">
        <v>110.23</v>
      </c>
      <c r="M7565" s="22">
        <v>0.11</v>
      </c>
      <c r="N7565" s="21">
        <v>106.22</v>
      </c>
      <c r="O7565" s="22">
        <v>0.12</v>
      </c>
    </row>
    <row r="7566" ht="63.75">
      <c r="A7566" t="s">
        <v>7570</v>
      </c>
      <c r="B7566" s="19">
        <v>104214</v>
      </c>
      <c r="C7566" s="20" t="s">
        <v>7642</v>
      </c>
      <c r="D7566" s="19" t="s">
        <v>29</v>
      </c>
      <c r="E7566" s="21">
        <f t="shared" si="353"/>
        <v>131.58000000000001</v>
      </c>
      <c r="F7566" s="22">
        <v>0</v>
      </c>
      <c r="G7566" s="21">
        <f t="shared" si="354"/>
        <v>126.69</v>
      </c>
      <c r="H7566" s="22">
        <v>0</v>
      </c>
      <c r="I7566" s="23" t="str">
        <f t="shared" si="355"/>
        <v xml:space="preserve">COM VALOR</v>
      </c>
      <c r="J7566" s="19"/>
      <c r="L7566" s="21">
        <v>131.58000000000001</v>
      </c>
      <c r="M7566" s="22">
        <v>0.12</v>
      </c>
      <c r="N7566" s="21">
        <v>126.69</v>
      </c>
      <c r="O7566" s="22">
        <v>0.12</v>
      </c>
    </row>
    <row r="7567" ht="51">
      <c r="A7567" t="s">
        <v>7570</v>
      </c>
      <c r="B7567" s="19">
        <v>104215</v>
      </c>
      <c r="C7567" s="20" t="s">
        <v>7643</v>
      </c>
      <c r="D7567" s="19" t="s">
        <v>29</v>
      </c>
      <c r="E7567" s="21">
        <f t="shared" si="353"/>
        <v>80.439999999999998</v>
      </c>
      <c r="F7567" s="22">
        <v>0</v>
      </c>
      <c r="G7567" s="21">
        <f t="shared" si="354"/>
        <v>77.489999999999995</v>
      </c>
      <c r="H7567" s="22">
        <v>0</v>
      </c>
      <c r="I7567" s="23" t="str">
        <f t="shared" si="355"/>
        <v xml:space="preserve">COM VALOR</v>
      </c>
      <c r="J7567" s="19"/>
      <c r="L7567" s="21">
        <v>80.439999999999998</v>
      </c>
      <c r="M7567" s="22">
        <v>0.11</v>
      </c>
      <c r="N7567" s="21">
        <v>77.489999999999995</v>
      </c>
      <c r="O7567" s="22">
        <v>0.12</v>
      </c>
    </row>
    <row r="7568" ht="51">
      <c r="A7568" t="s">
        <v>7570</v>
      </c>
      <c r="B7568" s="19">
        <v>104216</v>
      </c>
      <c r="C7568" s="20" t="s">
        <v>7644</v>
      </c>
      <c r="D7568" s="19" t="s">
        <v>29</v>
      </c>
      <c r="E7568" s="21">
        <f t="shared" si="353"/>
        <v>97.510000000000005</v>
      </c>
      <c r="F7568" s="22">
        <v>0</v>
      </c>
      <c r="G7568" s="21">
        <f t="shared" si="354"/>
        <v>94.040000000000006</v>
      </c>
      <c r="H7568" s="22">
        <v>0</v>
      </c>
      <c r="I7568" s="23" t="str">
        <f t="shared" si="355"/>
        <v xml:space="preserve">COM VALOR</v>
      </c>
      <c r="J7568" s="19"/>
      <c r="L7568" s="21">
        <v>97.510000000000005</v>
      </c>
      <c r="M7568" s="22">
        <v>0.11</v>
      </c>
      <c r="N7568" s="21">
        <v>94.040000000000006</v>
      </c>
      <c r="O7568" s="22">
        <v>0.11</v>
      </c>
    </row>
    <row r="7569" ht="51">
      <c r="A7569" t="s">
        <v>7570</v>
      </c>
      <c r="B7569" s="19">
        <v>104217</v>
      </c>
      <c r="C7569" s="20" t="s">
        <v>7645</v>
      </c>
      <c r="D7569" s="19" t="s">
        <v>29</v>
      </c>
      <c r="E7569" s="21">
        <f t="shared" si="353"/>
        <v>52.130000000000003</v>
      </c>
      <c r="F7569" s="22">
        <v>0</v>
      </c>
      <c r="G7569" s="21">
        <f t="shared" si="354"/>
        <v>50.200000000000003</v>
      </c>
      <c r="H7569" s="22">
        <v>0</v>
      </c>
      <c r="I7569" s="23" t="str">
        <f t="shared" si="355"/>
        <v xml:space="preserve">COM VALOR</v>
      </c>
      <c r="J7569" s="19"/>
      <c r="L7569" s="21">
        <v>52.130000000000003</v>
      </c>
      <c r="M7569" s="22">
        <v>0</v>
      </c>
      <c r="N7569" s="21">
        <v>50.200000000000003</v>
      </c>
      <c r="O7569" s="22">
        <v>0</v>
      </c>
    </row>
    <row r="7570" ht="51">
      <c r="A7570" t="s">
        <v>7570</v>
      </c>
      <c r="B7570" s="19">
        <v>104221</v>
      </c>
      <c r="C7570" s="20" t="s">
        <v>7646</v>
      </c>
      <c r="D7570" s="19" t="s">
        <v>29</v>
      </c>
      <c r="E7570" s="21">
        <f t="shared" si="353"/>
        <v>67.25</v>
      </c>
      <c r="F7570" s="22">
        <v>0</v>
      </c>
      <c r="G7570" s="21">
        <f t="shared" si="354"/>
        <v>64.75</v>
      </c>
      <c r="H7570" s="22">
        <v>0</v>
      </c>
      <c r="I7570" s="23" t="str">
        <f t="shared" si="355"/>
        <v xml:space="preserve">COM VALOR</v>
      </c>
      <c r="J7570" s="19"/>
      <c r="L7570" s="21">
        <v>67.25</v>
      </c>
      <c r="M7570" s="22">
        <v>0</v>
      </c>
      <c r="N7570" s="21">
        <v>64.75</v>
      </c>
      <c r="O7570" s="22">
        <v>0</v>
      </c>
    </row>
    <row r="7571" ht="51">
      <c r="A7571" t="s">
        <v>7570</v>
      </c>
      <c r="B7571" s="19">
        <v>104225</v>
      </c>
      <c r="C7571" s="20" t="s">
        <v>7647</v>
      </c>
      <c r="D7571" s="19" t="s">
        <v>29</v>
      </c>
      <c r="E7571" s="21">
        <f t="shared" si="353"/>
        <v>73.739999999999995</v>
      </c>
      <c r="F7571" s="22">
        <v>0</v>
      </c>
      <c r="G7571" s="21">
        <f t="shared" si="354"/>
        <v>71.159999999999997</v>
      </c>
      <c r="H7571" s="22">
        <v>0</v>
      </c>
      <c r="I7571" s="23" t="str">
        <f t="shared" si="355"/>
        <v xml:space="preserve">COM VALOR</v>
      </c>
      <c r="J7571" s="19"/>
      <c r="L7571" s="21">
        <v>73.739999999999995</v>
      </c>
      <c r="M7571" s="22">
        <v>0</v>
      </c>
      <c r="N7571" s="21">
        <v>71.159999999999997</v>
      </c>
      <c r="O7571" s="22">
        <v>0</v>
      </c>
    </row>
    <row r="7572" ht="51">
      <c r="A7572" t="s">
        <v>7570</v>
      </c>
      <c r="B7572" s="19">
        <v>104229</v>
      </c>
      <c r="C7572" s="20" t="s">
        <v>7648</v>
      </c>
      <c r="D7572" s="19" t="s">
        <v>29</v>
      </c>
      <c r="E7572" s="21">
        <f t="shared" si="353"/>
        <v>86.790000000000006</v>
      </c>
      <c r="F7572" s="22">
        <v>0</v>
      </c>
      <c r="G7572" s="21">
        <f t="shared" si="354"/>
        <v>83.629999999999995</v>
      </c>
      <c r="H7572" s="22">
        <v>0</v>
      </c>
      <c r="I7572" s="23" t="str">
        <f t="shared" si="355"/>
        <v xml:space="preserve">COM VALOR</v>
      </c>
      <c r="J7572" s="19"/>
      <c r="L7572" s="21">
        <v>86.790000000000006</v>
      </c>
      <c r="M7572" s="22">
        <v>0</v>
      </c>
      <c r="N7572" s="21">
        <v>83.629999999999995</v>
      </c>
      <c r="O7572" s="22">
        <v>0</v>
      </c>
    </row>
    <row r="7573" ht="51">
      <c r="A7573" t="s">
        <v>7570</v>
      </c>
      <c r="B7573" s="19">
        <v>104233</v>
      </c>
      <c r="C7573" s="20" t="s">
        <v>7649</v>
      </c>
      <c r="D7573" s="19" t="s">
        <v>29</v>
      </c>
      <c r="E7573" s="21">
        <f t="shared" si="353"/>
        <v>38.990000000000002</v>
      </c>
      <c r="F7573" s="22"/>
      <c r="G7573" s="21">
        <f t="shared" si="354"/>
        <v>37.740000000000002</v>
      </c>
      <c r="H7573" s="22"/>
      <c r="I7573" s="23" t="str">
        <f t="shared" si="355"/>
        <v xml:space="preserve">COM VALOR</v>
      </c>
      <c r="J7573" s="19"/>
      <c r="L7573" s="21">
        <v>38.990000000000002</v>
      </c>
      <c r="M7573" s="22">
        <v>0</v>
      </c>
      <c r="N7573" s="21">
        <v>37.740000000000002</v>
      </c>
      <c r="O7573" s="22">
        <v>0</v>
      </c>
    </row>
    <row r="7574" ht="51">
      <c r="A7574" t="s">
        <v>7570</v>
      </c>
      <c r="B7574" s="19">
        <v>104237</v>
      </c>
      <c r="C7574" s="20" t="s">
        <v>7650</v>
      </c>
      <c r="D7574" s="19" t="s">
        <v>29</v>
      </c>
      <c r="E7574" s="21">
        <f t="shared" si="353"/>
        <v>53.719999999999999</v>
      </c>
      <c r="F7574" s="22"/>
      <c r="G7574" s="21">
        <f t="shared" si="354"/>
        <v>51.909999999999997</v>
      </c>
      <c r="H7574" s="22"/>
      <c r="I7574" s="23" t="str">
        <f t="shared" si="355"/>
        <v xml:space="preserve">COM VALOR</v>
      </c>
      <c r="J7574" s="19"/>
      <c r="L7574" s="21">
        <v>53.719999999999999</v>
      </c>
      <c r="M7574" s="22">
        <v>0</v>
      </c>
      <c r="N7574" s="21">
        <v>51.909999999999997</v>
      </c>
      <c r="O7574" s="22">
        <v>0</v>
      </c>
    </row>
    <row r="7575" ht="51">
      <c r="A7575" t="s">
        <v>7570</v>
      </c>
      <c r="B7575" s="19">
        <v>104241</v>
      </c>
      <c r="C7575" s="20" t="s">
        <v>7651</v>
      </c>
      <c r="D7575" s="19" t="s">
        <v>29</v>
      </c>
      <c r="E7575" s="21">
        <f t="shared" si="353"/>
        <v>59.780000000000001</v>
      </c>
      <c r="F7575" s="22"/>
      <c r="G7575" s="21">
        <f t="shared" si="354"/>
        <v>57.899999999999999</v>
      </c>
      <c r="H7575" s="22"/>
      <c r="I7575" s="23" t="str">
        <f t="shared" si="355"/>
        <v xml:space="preserve">COM VALOR</v>
      </c>
      <c r="J7575" s="19"/>
      <c r="L7575" s="21">
        <v>59.780000000000001</v>
      </c>
      <c r="M7575" s="22">
        <v>0</v>
      </c>
      <c r="N7575" s="21">
        <v>57.899999999999999</v>
      </c>
      <c r="O7575" s="22">
        <v>0</v>
      </c>
    </row>
    <row r="7576" ht="51">
      <c r="A7576" t="s">
        <v>7570</v>
      </c>
      <c r="B7576" s="19">
        <v>104245</v>
      </c>
      <c r="C7576" s="20" t="s">
        <v>7652</v>
      </c>
      <c r="D7576" s="19" t="s">
        <v>29</v>
      </c>
      <c r="E7576" s="21">
        <f t="shared" si="353"/>
        <v>65.290000000000006</v>
      </c>
      <c r="F7576" s="22"/>
      <c r="G7576" s="21">
        <f t="shared" si="354"/>
        <v>63.219999999999999</v>
      </c>
      <c r="H7576" s="22"/>
      <c r="I7576" s="23" t="str">
        <f t="shared" si="355"/>
        <v xml:space="preserve">COM VALOR</v>
      </c>
      <c r="J7576" s="19"/>
      <c r="L7576" s="21">
        <v>65.290000000000006</v>
      </c>
      <c r="M7576" s="22">
        <v>0</v>
      </c>
      <c r="N7576" s="21">
        <v>63.219999999999999</v>
      </c>
      <c r="O7576" s="22">
        <v>0</v>
      </c>
    </row>
    <row r="7577" ht="51">
      <c r="A7577" t="s">
        <v>7570</v>
      </c>
      <c r="B7577" s="19">
        <v>104249</v>
      </c>
      <c r="C7577" s="20" t="s">
        <v>7653</v>
      </c>
      <c r="D7577" s="19" t="s">
        <v>29</v>
      </c>
      <c r="E7577" s="21">
        <f t="shared" si="353"/>
        <v>72.909999999999997</v>
      </c>
      <c r="F7577" s="22"/>
      <c r="G7577" s="21">
        <f t="shared" si="354"/>
        <v>69.640000000000001</v>
      </c>
      <c r="H7577" s="22"/>
      <c r="I7577" s="23" t="str">
        <f t="shared" si="355"/>
        <v xml:space="preserve">COM VALOR</v>
      </c>
      <c r="J7577" s="19"/>
      <c r="L7577" s="21">
        <v>72.909999999999997</v>
      </c>
      <c r="M7577" s="22">
        <v>0</v>
      </c>
      <c r="N7577" s="21">
        <v>69.640000000000001</v>
      </c>
      <c r="O7577" s="22">
        <v>0</v>
      </c>
    </row>
    <row r="7578" ht="51">
      <c r="A7578" t="s">
        <v>7570</v>
      </c>
      <c r="B7578" s="19">
        <v>104253</v>
      </c>
      <c r="C7578" s="20" t="s">
        <v>7654</v>
      </c>
      <c r="D7578" s="19" t="s">
        <v>29</v>
      </c>
      <c r="E7578" s="21">
        <f t="shared" si="353"/>
        <v>87.650000000000006</v>
      </c>
      <c r="F7578" s="22"/>
      <c r="G7578" s="21">
        <f t="shared" si="354"/>
        <v>83.810000000000002</v>
      </c>
      <c r="H7578" s="22"/>
      <c r="I7578" s="23" t="str">
        <f t="shared" si="355"/>
        <v xml:space="preserve">COM VALOR</v>
      </c>
      <c r="J7578" s="19"/>
      <c r="L7578" s="21">
        <v>87.650000000000006</v>
      </c>
      <c r="M7578" s="22">
        <v>0</v>
      </c>
      <c r="N7578" s="21">
        <v>83.810000000000002</v>
      </c>
      <c r="O7578" s="22">
        <v>0</v>
      </c>
    </row>
    <row r="7579" ht="51">
      <c r="A7579" t="s">
        <v>7570</v>
      </c>
      <c r="B7579" s="19">
        <v>104256</v>
      </c>
      <c r="C7579" s="20" t="s">
        <v>7655</v>
      </c>
      <c r="D7579" s="19" t="s">
        <v>29</v>
      </c>
      <c r="E7579" s="21">
        <f t="shared" si="353"/>
        <v>94.629999999999995</v>
      </c>
      <c r="F7579" s="22"/>
      <c r="G7579" s="21">
        <f t="shared" si="354"/>
        <v>91.109999999999999</v>
      </c>
      <c r="H7579" s="22"/>
      <c r="I7579" s="23" t="str">
        <f t="shared" si="355"/>
        <v xml:space="preserve">COM VALOR</v>
      </c>
      <c r="J7579" s="19"/>
      <c r="L7579" s="21">
        <v>94.629999999999995</v>
      </c>
      <c r="M7579" s="22">
        <v>0.12</v>
      </c>
      <c r="N7579" s="21">
        <v>91.109999999999999</v>
      </c>
      <c r="O7579" s="22">
        <v>0.12</v>
      </c>
    </row>
    <row r="7580" ht="51">
      <c r="A7580" t="s">
        <v>7570</v>
      </c>
      <c r="B7580" s="19">
        <v>104260</v>
      </c>
      <c r="C7580" s="20" t="s">
        <v>7656</v>
      </c>
      <c r="D7580" s="19" t="s">
        <v>29</v>
      </c>
      <c r="E7580" s="21">
        <f t="shared" si="353"/>
        <v>101.43000000000001</v>
      </c>
      <c r="F7580" s="22"/>
      <c r="G7580" s="21">
        <f t="shared" si="354"/>
        <v>97.840000000000003</v>
      </c>
      <c r="H7580" s="22"/>
      <c r="I7580" s="23" t="str">
        <f t="shared" si="355"/>
        <v xml:space="preserve">COM VALOR</v>
      </c>
      <c r="J7580" s="19"/>
      <c r="L7580" s="21">
        <v>101.43000000000001</v>
      </c>
      <c r="M7580" s="22">
        <v>0.11</v>
      </c>
      <c r="N7580" s="21">
        <v>97.840000000000003</v>
      </c>
      <c r="O7580" s="22">
        <v>0.11</v>
      </c>
    </row>
    <row r="7581" ht="51">
      <c r="A7581" t="s">
        <v>7570</v>
      </c>
      <c r="B7581" s="19">
        <v>104264</v>
      </c>
      <c r="C7581" s="20" t="s">
        <v>7657</v>
      </c>
      <c r="D7581" s="19" t="s">
        <v>29</v>
      </c>
      <c r="E7581" s="21">
        <f t="shared" si="353"/>
        <v>120.73999999999999</v>
      </c>
      <c r="F7581" s="22"/>
      <c r="G7581" s="21">
        <f t="shared" si="354"/>
        <v>116.36</v>
      </c>
      <c r="H7581" s="22"/>
      <c r="I7581" s="23" t="str">
        <f t="shared" si="355"/>
        <v xml:space="preserve">COM VALOR</v>
      </c>
      <c r="J7581" s="19"/>
      <c r="L7581" s="21">
        <v>120.73999999999999</v>
      </c>
      <c r="M7581" s="22">
        <v>0.11</v>
      </c>
      <c r="N7581" s="21">
        <v>116.36</v>
      </c>
      <c r="O7581" s="22">
        <v>0.12</v>
      </c>
    </row>
    <row r="7582" ht="51">
      <c r="A7582" t="s">
        <v>7570</v>
      </c>
      <c r="B7582" s="19">
        <v>87792</v>
      </c>
      <c r="C7582" s="20" t="s">
        <v>7658</v>
      </c>
      <c r="D7582" s="19" t="s">
        <v>29</v>
      </c>
      <c r="E7582" s="21">
        <f t="shared" si="353"/>
        <v>41.340000000000003</v>
      </c>
      <c r="F7582" s="22"/>
      <c r="G7582" s="21">
        <f t="shared" si="354"/>
        <v>39.960000000000001</v>
      </c>
      <c r="H7582" s="22"/>
      <c r="I7582" s="23" t="str">
        <f t="shared" si="355"/>
        <v xml:space="preserve">COM VALOR</v>
      </c>
      <c r="J7582" s="19"/>
      <c r="L7582" s="21">
        <v>41.340000000000003</v>
      </c>
      <c r="M7582" s="22">
        <v>0</v>
      </c>
      <c r="N7582" s="21">
        <v>39.960000000000001</v>
      </c>
      <c r="O7582" s="22">
        <v>0</v>
      </c>
    </row>
    <row r="7583" ht="51">
      <c r="A7583" t="s">
        <v>7570</v>
      </c>
      <c r="B7583" s="19">
        <v>87797</v>
      </c>
      <c r="C7583" s="20" t="s">
        <v>7659</v>
      </c>
      <c r="D7583" s="19" t="s">
        <v>29</v>
      </c>
      <c r="E7583" s="21">
        <f t="shared" si="353"/>
        <v>57.210000000000001</v>
      </c>
      <c r="F7583" s="22"/>
      <c r="G7583" s="21">
        <f t="shared" si="354"/>
        <v>55.210000000000001</v>
      </c>
      <c r="H7583" s="22"/>
      <c r="I7583" s="23" t="str">
        <f t="shared" si="355"/>
        <v xml:space="preserve">COM VALOR</v>
      </c>
      <c r="J7583" s="19"/>
      <c r="L7583" s="21">
        <v>57.210000000000001</v>
      </c>
      <c r="M7583" s="22">
        <v>0</v>
      </c>
      <c r="N7583" s="21">
        <v>55.210000000000001</v>
      </c>
      <c r="O7583" s="22">
        <v>0</v>
      </c>
    </row>
    <row r="7584" ht="51">
      <c r="A7584" t="s">
        <v>7570</v>
      </c>
      <c r="B7584" s="19">
        <v>87801</v>
      </c>
      <c r="C7584" s="20" t="s">
        <v>7660</v>
      </c>
      <c r="D7584" s="19" t="s">
        <v>29</v>
      </c>
      <c r="E7584" s="21">
        <f t="shared" si="353"/>
        <v>63.270000000000003</v>
      </c>
      <c r="F7584" s="22"/>
      <c r="G7584" s="21">
        <f t="shared" si="354"/>
        <v>61.200000000000003</v>
      </c>
      <c r="H7584" s="22"/>
      <c r="I7584" s="23" t="str">
        <f t="shared" si="355"/>
        <v xml:space="preserve">COM VALOR</v>
      </c>
      <c r="J7584" s="19"/>
      <c r="L7584" s="21">
        <v>63.270000000000003</v>
      </c>
      <c r="M7584" s="22">
        <v>0</v>
      </c>
      <c r="N7584" s="21">
        <v>61.200000000000003</v>
      </c>
      <c r="O7584" s="22">
        <v>0</v>
      </c>
    </row>
    <row r="7585" ht="51">
      <c r="A7585" t="s">
        <v>7570</v>
      </c>
      <c r="B7585" s="19">
        <v>87805</v>
      </c>
      <c r="C7585" s="20" t="s">
        <v>7661</v>
      </c>
      <c r="D7585" s="19" t="s">
        <v>29</v>
      </c>
      <c r="E7585" s="21">
        <f t="shared" si="353"/>
        <v>69.120000000000005</v>
      </c>
      <c r="F7585" s="22">
        <v>0</v>
      </c>
      <c r="G7585" s="21">
        <f t="shared" si="354"/>
        <v>66.849999999999994</v>
      </c>
      <c r="H7585" s="22">
        <v>0</v>
      </c>
      <c r="I7585" s="23" t="str">
        <f t="shared" si="355"/>
        <v xml:space="preserve">COM VALOR</v>
      </c>
      <c r="J7585" s="19"/>
      <c r="L7585" s="21">
        <v>69.120000000000005</v>
      </c>
      <c r="M7585" s="22">
        <v>0</v>
      </c>
      <c r="N7585" s="21">
        <v>66.849999999999994</v>
      </c>
      <c r="O7585" s="22">
        <v>0</v>
      </c>
    </row>
    <row r="7586" ht="51">
      <c r="A7586" t="s">
        <v>7570</v>
      </c>
      <c r="B7586" s="19">
        <v>87775</v>
      </c>
      <c r="C7586" s="20" t="s">
        <v>7662</v>
      </c>
      <c r="D7586" s="19" t="s">
        <v>29</v>
      </c>
      <c r="E7586" s="21">
        <f t="shared" si="353"/>
        <v>56.140000000000001</v>
      </c>
      <c r="F7586" s="22">
        <v>0</v>
      </c>
      <c r="G7586" s="21">
        <f t="shared" si="354"/>
        <v>53.979999999999997</v>
      </c>
      <c r="H7586" s="22">
        <v>0</v>
      </c>
      <c r="I7586" s="23" t="str">
        <f t="shared" si="355"/>
        <v xml:space="preserve">COM VALOR</v>
      </c>
      <c r="J7586" s="19"/>
      <c r="L7586" s="21">
        <v>56.140000000000001</v>
      </c>
      <c r="M7586" s="22">
        <v>0</v>
      </c>
      <c r="N7586" s="21">
        <v>53.979999999999997</v>
      </c>
      <c r="O7586" s="22">
        <v>0</v>
      </c>
    </row>
    <row r="7587" ht="51">
      <c r="A7587" t="s">
        <v>7570</v>
      </c>
      <c r="B7587" s="19">
        <v>87779</v>
      </c>
      <c r="C7587" s="20" t="s">
        <v>7663</v>
      </c>
      <c r="D7587" s="19" t="s">
        <v>29</v>
      </c>
      <c r="E7587" s="21">
        <f t="shared" si="353"/>
        <v>72.370000000000005</v>
      </c>
      <c r="F7587" s="22">
        <v>1.e-002</v>
      </c>
      <c r="G7587" s="21">
        <f t="shared" si="354"/>
        <v>69.590000000000003</v>
      </c>
      <c r="H7587" s="22">
        <v>1.e-002</v>
      </c>
      <c r="I7587" s="23" t="str">
        <f t="shared" si="355"/>
        <v xml:space="preserve">COM VALOR</v>
      </c>
      <c r="J7587" s="19"/>
      <c r="L7587" s="21">
        <v>72.370000000000005</v>
      </c>
      <c r="M7587" s="22">
        <v>0</v>
      </c>
      <c r="N7587" s="21">
        <v>69.590000000000003</v>
      </c>
      <c r="O7587" s="22">
        <v>0</v>
      </c>
    </row>
    <row r="7588" ht="51">
      <c r="A7588" t="s">
        <v>7570</v>
      </c>
      <c r="B7588" s="19">
        <v>87784</v>
      </c>
      <c r="C7588" s="20" t="s">
        <v>7664</v>
      </c>
      <c r="D7588" s="19" t="s">
        <v>29</v>
      </c>
      <c r="E7588" s="21">
        <f t="shared" si="353"/>
        <v>78.859999999999999</v>
      </c>
      <c r="F7588" s="22">
        <v>2.e-002</v>
      </c>
      <c r="G7588" s="21">
        <f t="shared" si="354"/>
        <v>76</v>
      </c>
      <c r="H7588" s="22">
        <v>2.e-002</v>
      </c>
      <c r="I7588" s="23" t="str">
        <f t="shared" si="355"/>
        <v xml:space="preserve">COM VALOR</v>
      </c>
      <c r="J7588" s="19"/>
      <c r="L7588" s="21">
        <v>78.859999999999999</v>
      </c>
      <c r="M7588" s="22">
        <v>0</v>
      </c>
      <c r="N7588" s="21">
        <v>76</v>
      </c>
      <c r="O7588" s="22">
        <v>0</v>
      </c>
    </row>
    <row r="7589" ht="51">
      <c r="A7589" t="s">
        <v>7570</v>
      </c>
      <c r="B7589" s="19">
        <v>87788</v>
      </c>
      <c r="C7589" s="20" t="s">
        <v>7665</v>
      </c>
      <c r="D7589" s="19" t="s">
        <v>29</v>
      </c>
      <c r="E7589" s="21">
        <f t="shared" si="353"/>
        <v>93.150000000000006</v>
      </c>
      <c r="F7589" s="22">
        <v>2.e-002</v>
      </c>
      <c r="G7589" s="21">
        <f t="shared" si="354"/>
        <v>89.640000000000001</v>
      </c>
      <c r="H7589" s="22">
        <v>2.e-002</v>
      </c>
      <c r="I7589" s="23" t="str">
        <f t="shared" si="355"/>
        <v xml:space="preserve">COM VALOR</v>
      </c>
      <c r="J7589" s="19"/>
      <c r="L7589" s="21">
        <v>93.150000000000006</v>
      </c>
      <c r="M7589" s="22">
        <v>0</v>
      </c>
      <c r="N7589" s="21">
        <v>89.640000000000001</v>
      </c>
      <c r="O7589" s="22">
        <v>0</v>
      </c>
    </row>
    <row r="7590" ht="51">
      <c r="A7590" t="s">
        <v>7570</v>
      </c>
      <c r="B7590" s="19">
        <v>87809</v>
      </c>
      <c r="C7590" s="20" t="s">
        <v>7666</v>
      </c>
      <c r="D7590" s="19" t="s">
        <v>29</v>
      </c>
      <c r="E7590" s="21">
        <f t="shared" si="353"/>
        <v>80.090000000000003</v>
      </c>
      <c r="F7590" s="22">
        <v>2.e-002</v>
      </c>
      <c r="G7590" s="21">
        <f t="shared" si="354"/>
        <v>76.420000000000002</v>
      </c>
      <c r="H7590" s="22">
        <v>2.e-002</v>
      </c>
      <c r="I7590" s="23" t="str">
        <f t="shared" si="355"/>
        <v xml:space="preserve">COM VALOR</v>
      </c>
      <c r="J7590" s="19"/>
      <c r="L7590" s="21">
        <v>80.090000000000003</v>
      </c>
      <c r="M7590" s="22">
        <v>0</v>
      </c>
      <c r="N7590" s="21">
        <v>76.420000000000002</v>
      </c>
      <c r="O7590" s="22">
        <v>0</v>
      </c>
    </row>
    <row r="7591" ht="51">
      <c r="A7591" t="s">
        <v>7570</v>
      </c>
      <c r="B7591" s="19">
        <v>87813</v>
      </c>
      <c r="C7591" s="20" t="s">
        <v>7667</v>
      </c>
      <c r="D7591" s="19" t="s">
        <v>29</v>
      </c>
      <c r="E7591" s="21">
        <f t="shared" si="353"/>
        <v>95.950000000000003</v>
      </c>
      <c r="F7591" s="22">
        <v>1.e-002</v>
      </c>
      <c r="G7591" s="21">
        <f t="shared" si="354"/>
        <v>91.659999999999997</v>
      </c>
      <c r="H7591" s="22">
        <v>1.e-002</v>
      </c>
      <c r="I7591" s="23" t="str">
        <f t="shared" si="355"/>
        <v xml:space="preserve">COM VALOR</v>
      </c>
      <c r="J7591" s="19"/>
      <c r="L7591" s="21">
        <v>95.950000000000003</v>
      </c>
      <c r="M7591" s="22">
        <v>0</v>
      </c>
      <c r="N7591" s="21">
        <v>91.659999999999997</v>
      </c>
      <c r="O7591" s="22">
        <v>0</v>
      </c>
    </row>
    <row r="7592" ht="51">
      <c r="A7592" t="s">
        <v>7570</v>
      </c>
      <c r="B7592" s="19">
        <v>104257</v>
      </c>
      <c r="C7592" s="20" t="s">
        <v>7668</v>
      </c>
      <c r="D7592" s="19" t="s">
        <v>29</v>
      </c>
      <c r="E7592" s="21">
        <f t="shared" si="353"/>
        <v>93.709999999999994</v>
      </c>
      <c r="F7592" s="22">
        <v>1.e-002</v>
      </c>
      <c r="G7592" s="21">
        <f t="shared" si="354"/>
        <v>89.799999999999997</v>
      </c>
      <c r="H7592" s="22">
        <v>1.e-002</v>
      </c>
      <c r="I7592" s="23" t="str">
        <f t="shared" si="355"/>
        <v xml:space="preserve">COM VALOR</v>
      </c>
      <c r="J7592" s="19"/>
      <c r="L7592" s="21">
        <v>93.709999999999994</v>
      </c>
      <c r="M7592" s="22">
        <v>0</v>
      </c>
      <c r="N7592" s="21">
        <v>89.799999999999997</v>
      </c>
      <c r="O7592" s="22">
        <v>0</v>
      </c>
    </row>
    <row r="7593" ht="51">
      <c r="A7593" t="s">
        <v>7570</v>
      </c>
      <c r="B7593" s="19">
        <v>87817</v>
      </c>
      <c r="C7593" s="20" t="s">
        <v>7669</v>
      </c>
      <c r="D7593" s="19" t="s">
        <v>29</v>
      </c>
      <c r="E7593" s="21">
        <f t="shared" si="353"/>
        <v>102.01000000000001</v>
      </c>
      <c r="F7593" s="22">
        <v>1.e-002</v>
      </c>
      <c r="G7593" s="21">
        <f t="shared" si="354"/>
        <v>97.650000000000006</v>
      </c>
      <c r="H7593" s="22">
        <v>1.e-002</v>
      </c>
      <c r="I7593" s="23" t="str">
        <f t="shared" si="355"/>
        <v xml:space="preserve">COM VALOR</v>
      </c>
      <c r="J7593" s="19"/>
      <c r="L7593" s="21">
        <v>102.01000000000001</v>
      </c>
      <c r="M7593" s="22">
        <v>0</v>
      </c>
      <c r="N7593" s="21">
        <v>97.650000000000006</v>
      </c>
      <c r="O7593" s="22">
        <v>0</v>
      </c>
    </row>
    <row r="7594" ht="51">
      <c r="A7594" t="s">
        <v>7570</v>
      </c>
      <c r="B7594" s="19">
        <v>104261</v>
      </c>
      <c r="C7594" s="20" t="s">
        <v>7670</v>
      </c>
      <c r="D7594" s="19" t="s">
        <v>29</v>
      </c>
      <c r="E7594" s="21">
        <f t="shared" si="353"/>
        <v>121.25</v>
      </c>
      <c r="F7594" s="22">
        <v>2.e-002</v>
      </c>
      <c r="G7594" s="21">
        <f t="shared" si="354"/>
        <v>115.95</v>
      </c>
      <c r="H7594" s="22">
        <v>2.e-002</v>
      </c>
      <c r="I7594" s="23" t="str">
        <f t="shared" si="355"/>
        <v xml:space="preserve">COM VALOR</v>
      </c>
      <c r="J7594" s="19"/>
      <c r="L7594" s="21">
        <v>121.25</v>
      </c>
      <c r="M7594" s="22">
        <v>0</v>
      </c>
      <c r="N7594" s="21">
        <v>115.95</v>
      </c>
      <c r="O7594" s="22">
        <v>0</v>
      </c>
    </row>
    <row r="7595" ht="63.75">
      <c r="A7595" t="s">
        <v>7570</v>
      </c>
      <c r="B7595" s="19">
        <v>87821</v>
      </c>
      <c r="C7595" s="20" t="s">
        <v>7671</v>
      </c>
      <c r="D7595" s="19" t="s">
        <v>29</v>
      </c>
      <c r="E7595" s="21">
        <f t="shared" si="353"/>
        <v>132.58000000000001</v>
      </c>
      <c r="F7595" s="22">
        <v>2.e-002</v>
      </c>
      <c r="G7595" s="21">
        <f t="shared" si="354"/>
        <v>126.65000000000001</v>
      </c>
      <c r="H7595" s="22">
        <v>2.e-002</v>
      </c>
      <c r="I7595" s="23" t="str">
        <f t="shared" si="355"/>
        <v xml:space="preserve">COM VALOR</v>
      </c>
      <c r="J7595" s="19"/>
      <c r="L7595" s="21">
        <v>132.58000000000001</v>
      </c>
      <c r="M7595" s="22">
        <v>0</v>
      </c>
      <c r="N7595" s="21">
        <v>126.65000000000001</v>
      </c>
      <c r="O7595" s="22">
        <v>0</v>
      </c>
    </row>
    <row r="7596" ht="51">
      <c r="A7596" t="s">
        <v>7570</v>
      </c>
      <c r="B7596" s="19">
        <v>87825</v>
      </c>
      <c r="C7596" s="20" t="s">
        <v>7672</v>
      </c>
      <c r="D7596" s="19" t="s">
        <v>29</v>
      </c>
      <c r="E7596" s="21">
        <f t="shared" si="353"/>
        <v>74.920000000000002</v>
      </c>
      <c r="F7596" s="22">
        <v>2.e-002</v>
      </c>
      <c r="G7596" s="21">
        <f t="shared" si="354"/>
        <v>71.700000000000003</v>
      </c>
      <c r="H7596" s="22">
        <v>2.e-002</v>
      </c>
      <c r="I7596" s="23" t="str">
        <f t="shared" si="355"/>
        <v xml:space="preserve">COM VALOR</v>
      </c>
      <c r="J7596" s="19"/>
      <c r="L7596" s="21">
        <v>74.920000000000002</v>
      </c>
      <c r="M7596" s="22">
        <v>0</v>
      </c>
      <c r="N7596" s="21">
        <v>71.700000000000003</v>
      </c>
      <c r="O7596" s="22">
        <v>0</v>
      </c>
    </row>
    <row r="7597" ht="51">
      <c r="A7597" t="s">
        <v>7570</v>
      </c>
      <c r="B7597" s="19">
        <v>87829</v>
      </c>
      <c r="C7597" s="20" t="s">
        <v>7673</v>
      </c>
      <c r="D7597" s="19" t="s">
        <v>29</v>
      </c>
      <c r="E7597" s="21">
        <f t="shared" si="353"/>
        <v>90.689999999999998</v>
      </c>
      <c r="F7597" s="22">
        <v>1.e-002</v>
      </c>
      <c r="G7597" s="21">
        <f t="shared" si="354"/>
        <v>86.909999999999997</v>
      </c>
      <c r="H7597" s="22">
        <v>1.e-002</v>
      </c>
      <c r="I7597" s="23" t="str">
        <f t="shared" si="355"/>
        <v xml:space="preserve">COM VALOR</v>
      </c>
      <c r="J7597" s="19"/>
      <c r="L7597" s="21">
        <v>90.689999999999998</v>
      </c>
      <c r="M7597" s="22">
        <v>0</v>
      </c>
      <c r="N7597" s="21">
        <v>86.909999999999997</v>
      </c>
      <c r="O7597" s="22">
        <v>0</v>
      </c>
    </row>
    <row r="7598" ht="51">
      <c r="A7598" t="s">
        <v>7674</v>
      </c>
      <c r="B7598" s="19">
        <v>87557</v>
      </c>
      <c r="C7598" s="20" t="s">
        <v>7675</v>
      </c>
      <c r="D7598" s="19" t="s">
        <v>29</v>
      </c>
      <c r="E7598" s="21">
        <f t="shared" si="353"/>
        <v>51.469999999999999</v>
      </c>
      <c r="F7598" s="22">
        <v>1.e-002</v>
      </c>
      <c r="G7598" s="21">
        <f t="shared" si="354"/>
        <v>50.810000000000002</v>
      </c>
      <c r="H7598" s="22">
        <v>1.e-002</v>
      </c>
      <c r="I7598" s="23" t="str">
        <f t="shared" si="355"/>
        <v xml:space="preserve">COM VALOR</v>
      </c>
      <c r="J7598" s="19"/>
      <c r="L7598" s="21">
        <v>51.469999999999999</v>
      </c>
      <c r="M7598" s="22">
        <v>0</v>
      </c>
      <c r="N7598" s="21">
        <v>50.810000000000002</v>
      </c>
      <c r="O7598" s="22">
        <v>0</v>
      </c>
    </row>
    <row r="7599" ht="51">
      <c r="A7599" t="s">
        <v>7674</v>
      </c>
      <c r="B7599" s="19">
        <v>87539</v>
      </c>
      <c r="C7599" s="20" t="s">
        <v>7676</v>
      </c>
      <c r="D7599" s="19" t="s">
        <v>29</v>
      </c>
      <c r="E7599" s="21">
        <f t="shared" si="353"/>
        <v>78.319999999999993</v>
      </c>
      <c r="F7599" s="22">
        <v>1.e-002</v>
      </c>
      <c r="G7599" s="21">
        <f t="shared" si="354"/>
        <v>77.409999999999997</v>
      </c>
      <c r="H7599" s="22">
        <v>1.e-002</v>
      </c>
      <c r="I7599" s="23" t="str">
        <f t="shared" si="355"/>
        <v xml:space="preserve">COM VALOR</v>
      </c>
      <c r="J7599" s="19"/>
      <c r="L7599" s="21">
        <v>78.319999999999993</v>
      </c>
      <c r="M7599" s="22">
        <v>0</v>
      </c>
      <c r="N7599" s="21">
        <v>77.409999999999997</v>
      </c>
      <c r="O7599" s="22">
        <v>0</v>
      </c>
    </row>
    <row r="7600" ht="38.25">
      <c r="A7600" t="s">
        <v>7674</v>
      </c>
      <c r="B7600" s="19">
        <v>104972</v>
      </c>
      <c r="C7600" s="20" t="s">
        <v>7677</v>
      </c>
      <c r="D7600" s="19" t="s">
        <v>29</v>
      </c>
      <c r="E7600" s="21">
        <f t="shared" si="353"/>
        <v>35.450000000000003</v>
      </c>
      <c r="F7600" s="22">
        <v>2.e-002</v>
      </c>
      <c r="G7600" s="21">
        <f t="shared" si="354"/>
        <v>33.979999999999997</v>
      </c>
      <c r="H7600" s="22">
        <v>2.e-002</v>
      </c>
      <c r="I7600" s="23" t="str">
        <f t="shared" si="355"/>
        <v xml:space="preserve">COM VALOR</v>
      </c>
      <c r="J7600" s="19"/>
      <c r="L7600" s="21">
        <v>35.450000000000003</v>
      </c>
      <c r="M7600" s="22">
        <v>0</v>
      </c>
      <c r="N7600" s="21">
        <v>33.979999999999997</v>
      </c>
      <c r="O7600" s="22">
        <v>0</v>
      </c>
    </row>
    <row r="7601" ht="51">
      <c r="A7601" t="s">
        <v>7674</v>
      </c>
      <c r="B7601" s="19">
        <v>104954</v>
      </c>
      <c r="C7601" s="20" t="s">
        <v>7678</v>
      </c>
      <c r="D7601" s="19" t="s">
        <v>29</v>
      </c>
      <c r="E7601" s="21">
        <f t="shared" si="353"/>
        <v>49.170000000000002</v>
      </c>
      <c r="F7601" s="22">
        <v>2.e-002</v>
      </c>
      <c r="G7601" s="21">
        <f t="shared" si="354"/>
        <v>47.229999999999997</v>
      </c>
      <c r="H7601" s="22">
        <v>2.e-002</v>
      </c>
      <c r="I7601" s="23" t="str">
        <f t="shared" si="355"/>
        <v xml:space="preserve">COM VALOR</v>
      </c>
      <c r="J7601" s="19"/>
      <c r="L7601" s="21">
        <v>49.170000000000002</v>
      </c>
      <c r="M7601" s="22">
        <v>0</v>
      </c>
      <c r="N7601" s="21">
        <v>47.229999999999997</v>
      </c>
      <c r="O7601" s="22">
        <v>0</v>
      </c>
    </row>
    <row r="7602" ht="38.25">
      <c r="A7602" t="s">
        <v>7674</v>
      </c>
      <c r="B7602" s="19">
        <v>104976</v>
      </c>
      <c r="C7602" s="20" t="s">
        <v>7679</v>
      </c>
      <c r="D7602" s="19" t="s">
        <v>29</v>
      </c>
      <c r="E7602" s="21">
        <f t="shared" si="353"/>
        <v>31.350000000000001</v>
      </c>
      <c r="F7602" s="22">
        <v>2.e-002</v>
      </c>
      <c r="G7602" s="21">
        <f t="shared" si="354"/>
        <v>30.129999999999999</v>
      </c>
      <c r="H7602" s="22">
        <v>2.e-002</v>
      </c>
      <c r="I7602" s="23" t="str">
        <f t="shared" si="355"/>
        <v xml:space="preserve">COM VALOR</v>
      </c>
      <c r="J7602" s="19"/>
      <c r="L7602" s="21">
        <v>31.350000000000001</v>
      </c>
      <c r="M7602" s="22">
        <v>0</v>
      </c>
      <c r="N7602" s="21">
        <v>30.129999999999999</v>
      </c>
      <c r="O7602" s="22">
        <v>0</v>
      </c>
    </row>
    <row r="7603" ht="38.25">
      <c r="A7603" t="s">
        <v>7674</v>
      </c>
      <c r="B7603" s="19">
        <v>104966</v>
      </c>
      <c r="C7603" s="20" t="s">
        <v>7680</v>
      </c>
      <c r="D7603" s="19" t="s">
        <v>29</v>
      </c>
      <c r="E7603" s="21">
        <f t="shared" si="353"/>
        <v>45.079999999999998</v>
      </c>
      <c r="F7603" s="22">
        <v>2.e-002</v>
      </c>
      <c r="G7603" s="21">
        <f t="shared" si="354"/>
        <v>43.369999999999997</v>
      </c>
      <c r="H7603" s="22">
        <v>2.e-002</v>
      </c>
      <c r="I7603" s="23" t="str">
        <f t="shared" si="355"/>
        <v xml:space="preserve">COM VALOR</v>
      </c>
      <c r="J7603" s="19"/>
      <c r="L7603" s="21">
        <v>45.079999999999998</v>
      </c>
      <c r="M7603" s="22">
        <v>0</v>
      </c>
      <c r="N7603" s="21">
        <v>43.369999999999997</v>
      </c>
      <c r="O7603" s="22">
        <v>0</v>
      </c>
    </row>
    <row r="7604" ht="38.25">
      <c r="A7604" t="s">
        <v>7674</v>
      </c>
      <c r="B7604" s="19">
        <v>104968</v>
      </c>
      <c r="C7604" s="20" t="s">
        <v>7681</v>
      </c>
      <c r="D7604" s="19" t="s">
        <v>29</v>
      </c>
      <c r="E7604" s="21">
        <f t="shared" si="353"/>
        <v>42.32</v>
      </c>
      <c r="F7604" s="22">
        <v>2.e-002</v>
      </c>
      <c r="G7604" s="21">
        <f t="shared" si="354"/>
        <v>40.469999999999999</v>
      </c>
      <c r="H7604" s="22">
        <v>2.e-002</v>
      </c>
      <c r="I7604" s="23" t="str">
        <f t="shared" si="355"/>
        <v xml:space="preserve">COM VALOR</v>
      </c>
      <c r="J7604" s="19"/>
      <c r="L7604" s="21">
        <v>42.32</v>
      </c>
      <c r="M7604" s="22">
        <v>0</v>
      </c>
      <c r="N7604" s="21">
        <v>40.469999999999999</v>
      </c>
      <c r="O7604" s="22">
        <v>0</v>
      </c>
    </row>
    <row r="7605" ht="38.25">
      <c r="A7605" t="s">
        <v>7674</v>
      </c>
      <c r="B7605" s="19">
        <v>104962</v>
      </c>
      <c r="C7605" s="20" t="s">
        <v>7682</v>
      </c>
      <c r="D7605" s="19" t="s">
        <v>29</v>
      </c>
      <c r="E7605" s="21">
        <f t="shared" si="353"/>
        <v>56.049999999999997</v>
      </c>
      <c r="F7605" s="22">
        <v>1.e-002</v>
      </c>
      <c r="G7605" s="21">
        <f t="shared" si="354"/>
        <v>53.719999999999999</v>
      </c>
      <c r="H7605" s="22">
        <v>1.e-002</v>
      </c>
      <c r="I7605" s="23" t="str">
        <f t="shared" si="355"/>
        <v xml:space="preserve">COM VALOR</v>
      </c>
      <c r="J7605" s="19"/>
      <c r="L7605" s="21">
        <v>56.049999999999997</v>
      </c>
      <c r="M7605" s="22">
        <v>0</v>
      </c>
      <c r="N7605" s="21">
        <v>53.719999999999999</v>
      </c>
      <c r="O7605" s="22">
        <v>0</v>
      </c>
    </row>
    <row r="7606" ht="38.25">
      <c r="A7606" t="s">
        <v>7674</v>
      </c>
      <c r="B7606" s="19">
        <v>87550</v>
      </c>
      <c r="C7606" s="20" t="s">
        <v>7683</v>
      </c>
      <c r="D7606" s="19" t="s">
        <v>29</v>
      </c>
      <c r="E7606" s="21">
        <f t="shared" si="353"/>
        <v>27.850000000000001</v>
      </c>
      <c r="F7606" s="22">
        <v>1.e-002</v>
      </c>
      <c r="G7606" s="21">
        <f t="shared" si="354"/>
        <v>26.809999999999999</v>
      </c>
      <c r="H7606" s="22">
        <v>1.e-002</v>
      </c>
      <c r="I7606" s="23" t="str">
        <f t="shared" si="355"/>
        <v xml:space="preserve">COM VALOR</v>
      </c>
      <c r="J7606" s="19"/>
      <c r="L7606" s="21">
        <v>27.850000000000001</v>
      </c>
      <c r="M7606" s="22">
        <v>0</v>
      </c>
      <c r="N7606" s="21">
        <v>26.809999999999999</v>
      </c>
      <c r="O7606" s="22">
        <v>0</v>
      </c>
    </row>
    <row r="7607" ht="38.25">
      <c r="A7607" t="s">
        <v>7674</v>
      </c>
      <c r="B7607" s="19">
        <v>87532</v>
      </c>
      <c r="C7607" s="20" t="s">
        <v>7684</v>
      </c>
      <c r="D7607" s="19" t="s">
        <v>29</v>
      </c>
      <c r="E7607" s="21">
        <f t="shared" si="353"/>
        <v>39.520000000000003</v>
      </c>
      <c r="F7607" s="22">
        <v>1.e-002</v>
      </c>
      <c r="G7607" s="21">
        <f t="shared" si="354"/>
        <v>38.130000000000003</v>
      </c>
      <c r="H7607" s="22">
        <v>1.e-002</v>
      </c>
      <c r="I7607" s="23" t="str">
        <f t="shared" si="355"/>
        <v xml:space="preserve">COM VALOR</v>
      </c>
      <c r="J7607" s="19"/>
      <c r="L7607" s="21">
        <v>39.520000000000003</v>
      </c>
      <c r="M7607" s="22">
        <v>0</v>
      </c>
      <c r="N7607" s="21">
        <v>38.130000000000003</v>
      </c>
      <c r="O7607" s="22">
        <v>0</v>
      </c>
    </row>
    <row r="7608" ht="38.25">
      <c r="A7608" t="s">
        <v>7674</v>
      </c>
      <c r="B7608" s="19">
        <v>87554</v>
      </c>
      <c r="C7608" s="20" t="s">
        <v>7685</v>
      </c>
      <c r="D7608" s="19" t="s">
        <v>29</v>
      </c>
      <c r="E7608" s="21">
        <f t="shared" si="353"/>
        <v>25.210000000000001</v>
      </c>
      <c r="F7608" s="22">
        <v>0.95999999999999996</v>
      </c>
      <c r="G7608" s="21">
        <f t="shared" si="354"/>
        <v>24.32</v>
      </c>
      <c r="H7608" s="22">
        <v>0.95999999999999996</v>
      </c>
      <c r="I7608" s="23" t="str">
        <f t="shared" si="355"/>
        <v xml:space="preserve">COM VALOR</v>
      </c>
      <c r="J7608" s="19"/>
      <c r="L7608" s="21">
        <v>25.210000000000001</v>
      </c>
      <c r="M7608" s="22">
        <v>0</v>
      </c>
      <c r="N7608" s="21">
        <v>24.32</v>
      </c>
      <c r="O7608" s="22">
        <v>0</v>
      </c>
    </row>
    <row r="7609" ht="38.25">
      <c r="A7609" t="s">
        <v>7674</v>
      </c>
      <c r="B7609" s="19">
        <v>87536</v>
      </c>
      <c r="C7609" s="20" t="s">
        <v>7686</v>
      </c>
      <c r="D7609" s="19" t="s">
        <v>29</v>
      </c>
      <c r="E7609" s="21">
        <f t="shared" si="353"/>
        <v>36.880000000000003</v>
      </c>
      <c r="F7609" s="22">
        <v>0.94999999999999996</v>
      </c>
      <c r="G7609" s="21">
        <f t="shared" si="354"/>
        <v>35.630000000000003</v>
      </c>
      <c r="H7609" s="22">
        <v>0.94999999999999996</v>
      </c>
      <c r="I7609" s="23" t="str">
        <f t="shared" si="355"/>
        <v xml:space="preserve">COM VALOR</v>
      </c>
      <c r="J7609" s="19"/>
      <c r="L7609" s="21">
        <v>36.880000000000003</v>
      </c>
      <c r="M7609" s="22">
        <v>0</v>
      </c>
      <c r="N7609" s="21">
        <v>35.630000000000003</v>
      </c>
      <c r="O7609" s="22">
        <v>0</v>
      </c>
    </row>
    <row r="7610" ht="38.25">
      <c r="A7610" t="s">
        <v>7674</v>
      </c>
      <c r="B7610" s="19">
        <v>87528</v>
      </c>
      <c r="C7610" s="20" t="s">
        <v>7687</v>
      </c>
      <c r="D7610" s="19" t="s">
        <v>29</v>
      </c>
      <c r="E7610" s="21">
        <f t="shared" si="353"/>
        <v>43.960000000000001</v>
      </c>
      <c r="F7610" s="22"/>
      <c r="G7610" s="21">
        <f t="shared" si="354"/>
        <v>42.32</v>
      </c>
      <c r="H7610" s="22"/>
      <c r="I7610" s="23" t="str">
        <f t="shared" si="355"/>
        <v xml:space="preserve">COM VALOR</v>
      </c>
      <c r="J7610" s="19"/>
      <c r="L7610" s="21">
        <v>43.960000000000001</v>
      </c>
      <c r="M7610" s="22">
        <v>0</v>
      </c>
      <c r="N7610" s="21">
        <v>42.32</v>
      </c>
      <c r="O7610" s="22">
        <v>0</v>
      </c>
    </row>
    <row r="7611" ht="38.25">
      <c r="A7611" t="s">
        <v>7674</v>
      </c>
      <c r="B7611" s="19">
        <v>87546</v>
      </c>
      <c r="C7611" s="20" t="s">
        <v>7688</v>
      </c>
      <c r="D7611" s="19" t="s">
        <v>29</v>
      </c>
      <c r="E7611" s="21">
        <f t="shared" si="353"/>
        <v>32.289999999999999</v>
      </c>
      <c r="F7611" s="22"/>
      <c r="G7611" s="21">
        <f t="shared" si="354"/>
        <v>31</v>
      </c>
      <c r="H7611" s="22"/>
      <c r="I7611" s="23" t="str">
        <f t="shared" si="355"/>
        <v xml:space="preserve">COM VALOR</v>
      </c>
      <c r="J7611" s="19"/>
      <c r="L7611" s="21">
        <v>32.289999999999999</v>
      </c>
      <c r="M7611" s="22">
        <v>0</v>
      </c>
      <c r="N7611" s="21">
        <v>31</v>
      </c>
      <c r="O7611" s="22">
        <v>0</v>
      </c>
    </row>
    <row r="7612" ht="38.25">
      <c r="A7612" t="s">
        <v>7674</v>
      </c>
      <c r="B7612" s="19">
        <v>104971</v>
      </c>
      <c r="C7612" s="20" t="s">
        <v>7689</v>
      </c>
      <c r="D7612" s="19" t="s">
        <v>29</v>
      </c>
      <c r="E7612" s="21">
        <f t="shared" si="353"/>
        <v>33.18</v>
      </c>
      <c r="F7612" s="22"/>
      <c r="G7612" s="21">
        <f t="shared" si="354"/>
        <v>31.829999999999998</v>
      </c>
      <c r="H7612" s="22"/>
      <c r="I7612" s="23" t="str">
        <f t="shared" si="355"/>
        <v xml:space="preserve">COM VALOR</v>
      </c>
      <c r="J7612" s="19"/>
      <c r="L7612" s="21">
        <v>33.18</v>
      </c>
      <c r="M7612" s="22">
        <v>0</v>
      </c>
      <c r="N7612" s="21">
        <v>31.829999999999998</v>
      </c>
      <c r="O7612" s="22">
        <v>0</v>
      </c>
    </row>
    <row r="7613" ht="51">
      <c r="A7613" t="s">
        <v>7674</v>
      </c>
      <c r="B7613" s="19">
        <v>104965</v>
      </c>
      <c r="C7613" s="20" t="s">
        <v>7690</v>
      </c>
      <c r="D7613" s="19" t="s">
        <v>29</v>
      </c>
      <c r="E7613" s="21">
        <f t="shared" si="353"/>
        <v>45.630000000000003</v>
      </c>
      <c r="F7613" s="22"/>
      <c r="G7613" s="21">
        <f t="shared" si="354"/>
        <v>43.869999999999997</v>
      </c>
      <c r="H7613" s="22"/>
      <c r="I7613" s="23" t="str">
        <f t="shared" si="355"/>
        <v xml:space="preserve">COM VALOR</v>
      </c>
      <c r="J7613" s="19"/>
      <c r="L7613" s="21">
        <v>45.630000000000003</v>
      </c>
      <c r="M7613" s="22">
        <v>0</v>
      </c>
      <c r="N7613" s="21">
        <v>43.869999999999997</v>
      </c>
      <c r="O7613" s="22">
        <v>0</v>
      </c>
    </row>
    <row r="7614" ht="38.25">
      <c r="A7614" t="s">
        <v>7674</v>
      </c>
      <c r="B7614" s="19">
        <v>104975</v>
      </c>
      <c r="C7614" s="20" t="s">
        <v>7691</v>
      </c>
      <c r="D7614" s="19" t="s">
        <v>29</v>
      </c>
      <c r="E7614" s="21">
        <f t="shared" si="353"/>
        <v>29.079999999999998</v>
      </c>
      <c r="F7614" s="22"/>
      <c r="G7614" s="21">
        <f t="shared" si="354"/>
        <v>27.98</v>
      </c>
      <c r="H7614" s="22"/>
      <c r="I7614" s="23" t="str">
        <f t="shared" si="355"/>
        <v xml:space="preserve">COM VALOR</v>
      </c>
      <c r="J7614" s="19"/>
      <c r="L7614" s="21">
        <v>29.079999999999998</v>
      </c>
      <c r="M7614" s="22">
        <v>0</v>
      </c>
      <c r="N7614" s="21">
        <v>27.98</v>
      </c>
      <c r="O7614" s="22">
        <v>0</v>
      </c>
    </row>
    <row r="7615" ht="38.25">
      <c r="A7615" t="s">
        <v>7674</v>
      </c>
      <c r="B7615" s="19">
        <v>104957</v>
      </c>
      <c r="C7615" s="20" t="s">
        <v>7692</v>
      </c>
      <c r="D7615" s="19" t="s">
        <v>29</v>
      </c>
      <c r="E7615" s="21">
        <f t="shared" si="353"/>
        <v>41.539999999999999</v>
      </c>
      <c r="F7615" s="22"/>
      <c r="G7615" s="21">
        <f t="shared" si="354"/>
        <v>40.009999999999998</v>
      </c>
      <c r="H7615" s="22"/>
      <c r="I7615" s="23" t="str">
        <f t="shared" si="355"/>
        <v xml:space="preserve">COM VALOR</v>
      </c>
      <c r="J7615" s="19"/>
      <c r="L7615" s="21">
        <v>41.539999999999999</v>
      </c>
      <c r="M7615" s="22">
        <v>0</v>
      </c>
      <c r="N7615" s="21">
        <v>40.009999999999998</v>
      </c>
      <c r="O7615" s="22">
        <v>0</v>
      </c>
    </row>
    <row r="7616" ht="38.25">
      <c r="A7616" t="s">
        <v>7674</v>
      </c>
      <c r="B7616" s="19">
        <v>104967</v>
      </c>
      <c r="C7616" s="20" t="s">
        <v>7693</v>
      </c>
      <c r="D7616" s="19" t="s">
        <v>29</v>
      </c>
      <c r="E7616" s="21">
        <f t="shared" si="353"/>
        <v>40.049999999999997</v>
      </c>
      <c r="F7616" s="22"/>
      <c r="G7616" s="21">
        <f t="shared" si="354"/>
        <v>38.32</v>
      </c>
      <c r="H7616" s="22"/>
      <c r="I7616" s="23" t="str">
        <f t="shared" si="355"/>
        <v xml:space="preserve">COM VALOR</v>
      </c>
      <c r="J7616" s="19"/>
      <c r="L7616" s="21">
        <v>40.049999999999997</v>
      </c>
      <c r="M7616" s="22">
        <v>0</v>
      </c>
      <c r="N7616" s="21">
        <v>38.32</v>
      </c>
      <c r="O7616" s="22">
        <v>0</v>
      </c>
    </row>
    <row r="7617" ht="38.25">
      <c r="A7617" t="s">
        <v>7674</v>
      </c>
      <c r="B7617" s="19">
        <v>104961</v>
      </c>
      <c r="C7617" s="20" t="s">
        <v>7694</v>
      </c>
      <c r="D7617" s="19" t="s">
        <v>29</v>
      </c>
      <c r="E7617" s="21">
        <f t="shared" si="353"/>
        <v>52.509999999999998</v>
      </c>
      <c r="F7617" s="22"/>
      <c r="G7617" s="21">
        <f t="shared" si="354"/>
        <v>50.359999999999999</v>
      </c>
      <c r="H7617" s="22"/>
      <c r="I7617" s="23" t="str">
        <f t="shared" si="355"/>
        <v xml:space="preserve">COM VALOR</v>
      </c>
      <c r="J7617" s="19"/>
      <c r="L7617" s="21">
        <v>52.509999999999998</v>
      </c>
      <c r="M7617" s="22">
        <v>0</v>
      </c>
      <c r="N7617" s="21">
        <v>50.359999999999999</v>
      </c>
      <c r="O7617" s="22">
        <v>0</v>
      </c>
    </row>
    <row r="7618" ht="38.25">
      <c r="A7618" t="s">
        <v>7674</v>
      </c>
      <c r="B7618" s="19">
        <v>87549</v>
      </c>
      <c r="C7618" s="20" t="s">
        <v>7695</v>
      </c>
      <c r="D7618" s="19" t="s">
        <v>29</v>
      </c>
      <c r="E7618" s="21">
        <f t="shared" si="353"/>
        <v>25.579999999999998</v>
      </c>
      <c r="F7618" s="22"/>
      <c r="G7618" s="21">
        <f t="shared" si="354"/>
        <v>24.66</v>
      </c>
      <c r="H7618" s="22"/>
      <c r="I7618" s="23" t="str">
        <f t="shared" si="355"/>
        <v xml:space="preserve">COM VALOR</v>
      </c>
      <c r="J7618" s="19"/>
      <c r="L7618" s="21">
        <v>25.579999999999998</v>
      </c>
      <c r="M7618" s="22">
        <v>0</v>
      </c>
      <c r="N7618" s="21">
        <v>24.66</v>
      </c>
      <c r="O7618" s="22">
        <v>0</v>
      </c>
    </row>
    <row r="7619" ht="38.25">
      <c r="A7619" t="s">
        <v>7674</v>
      </c>
      <c r="B7619" s="19">
        <v>87531</v>
      </c>
      <c r="C7619" s="20" t="s">
        <v>7696</v>
      </c>
      <c r="D7619" s="19" t="s">
        <v>29</v>
      </c>
      <c r="E7619" s="21">
        <f t="shared" si="353"/>
        <v>35.979999999999997</v>
      </c>
      <c r="F7619" s="22"/>
      <c r="G7619" s="21">
        <f t="shared" si="354"/>
        <v>34.770000000000003</v>
      </c>
      <c r="H7619" s="22"/>
      <c r="I7619" s="23" t="str">
        <f t="shared" si="355"/>
        <v xml:space="preserve">COM VALOR</v>
      </c>
      <c r="J7619" s="19"/>
      <c r="L7619" s="21">
        <v>35.979999999999997</v>
      </c>
      <c r="M7619" s="22">
        <v>0</v>
      </c>
      <c r="N7619" s="21">
        <v>34.770000000000003</v>
      </c>
      <c r="O7619" s="22">
        <v>0</v>
      </c>
    </row>
    <row r="7620" ht="38.25">
      <c r="A7620" t="s">
        <v>7674</v>
      </c>
      <c r="B7620" s="19">
        <v>87553</v>
      </c>
      <c r="C7620" s="20" t="s">
        <v>7697</v>
      </c>
      <c r="D7620" s="19" t="s">
        <v>29</v>
      </c>
      <c r="E7620" s="21">
        <f t="shared" si="353"/>
        <v>22.940000000000001</v>
      </c>
      <c r="F7620" s="22">
        <v>0.97999999999999998</v>
      </c>
      <c r="G7620" s="21">
        <f t="shared" si="354"/>
        <v>22.170000000000002</v>
      </c>
      <c r="H7620" s="22">
        <v>0.97999999999999998</v>
      </c>
      <c r="I7620" s="23" t="str">
        <f t="shared" si="355"/>
        <v xml:space="preserve">COM VALOR</v>
      </c>
      <c r="J7620" s="19"/>
      <c r="L7620" s="21">
        <v>22.940000000000001</v>
      </c>
      <c r="M7620" s="22">
        <v>0</v>
      </c>
      <c r="N7620" s="21">
        <v>22.170000000000002</v>
      </c>
      <c r="O7620" s="22">
        <v>0</v>
      </c>
    </row>
    <row r="7621" ht="38.25">
      <c r="A7621" t="s">
        <v>7674</v>
      </c>
      <c r="B7621" s="19">
        <v>87535</v>
      </c>
      <c r="C7621" s="20" t="s">
        <v>7698</v>
      </c>
      <c r="D7621" s="19" t="s">
        <v>29</v>
      </c>
      <c r="E7621" s="21">
        <f t="shared" si="353"/>
        <v>33.340000000000003</v>
      </c>
      <c r="F7621" s="22"/>
      <c r="G7621" s="21">
        <f t="shared" si="354"/>
        <v>32.270000000000003</v>
      </c>
      <c r="H7621" s="22"/>
      <c r="I7621" s="23" t="str">
        <f t="shared" si="355"/>
        <v xml:space="preserve">COM VALOR</v>
      </c>
      <c r="J7621" s="19"/>
      <c r="L7621" s="21">
        <v>33.340000000000003</v>
      </c>
      <c r="M7621" s="22">
        <v>0</v>
      </c>
      <c r="N7621" s="21">
        <v>32.270000000000003</v>
      </c>
      <c r="O7621" s="22">
        <v>0</v>
      </c>
    </row>
    <row r="7622" ht="38.25">
      <c r="A7622" t="s">
        <v>7674</v>
      </c>
      <c r="B7622" s="19">
        <v>87527</v>
      </c>
      <c r="C7622" s="20" t="s">
        <v>7699</v>
      </c>
      <c r="D7622" s="19" t="s">
        <v>29</v>
      </c>
      <c r="E7622" s="21">
        <f t="shared" si="353"/>
        <v>40.420000000000002</v>
      </c>
      <c r="F7622" s="22"/>
      <c r="G7622" s="21">
        <f t="shared" si="354"/>
        <v>38.960000000000001</v>
      </c>
      <c r="H7622" s="22"/>
      <c r="I7622" s="23" t="str">
        <f t="shared" si="355"/>
        <v xml:space="preserve">COM VALOR</v>
      </c>
      <c r="J7622" s="19"/>
      <c r="L7622" s="21">
        <v>40.420000000000002</v>
      </c>
      <c r="M7622" s="22">
        <v>0</v>
      </c>
      <c r="N7622" s="21">
        <v>38.960000000000001</v>
      </c>
      <c r="O7622" s="22">
        <v>0</v>
      </c>
    </row>
    <row r="7623" ht="38.25">
      <c r="A7623" t="s">
        <v>7674</v>
      </c>
      <c r="B7623" s="19">
        <v>87545</v>
      </c>
      <c r="C7623" s="20" t="s">
        <v>7700</v>
      </c>
      <c r="D7623" s="19" t="s">
        <v>29</v>
      </c>
      <c r="E7623" s="21">
        <f t="shared" si="353"/>
        <v>30.02</v>
      </c>
      <c r="F7623" s="22"/>
      <c r="G7623" s="21">
        <f t="shared" si="354"/>
        <v>28.850000000000001</v>
      </c>
      <c r="H7623" s="22"/>
      <c r="I7623" s="23" t="str">
        <f t="shared" si="355"/>
        <v xml:space="preserve">COM VALOR</v>
      </c>
      <c r="J7623" s="19"/>
      <c r="L7623" s="21">
        <v>30.02</v>
      </c>
      <c r="M7623" s="22">
        <v>0</v>
      </c>
      <c r="N7623" s="21">
        <v>28.850000000000001</v>
      </c>
      <c r="O7623" s="22">
        <v>0</v>
      </c>
    </row>
    <row r="7624" ht="51">
      <c r="A7624" t="s">
        <v>7674</v>
      </c>
      <c r="B7624" s="19">
        <v>104960</v>
      </c>
      <c r="C7624" s="20" t="s">
        <v>7701</v>
      </c>
      <c r="D7624" s="19" t="s">
        <v>29</v>
      </c>
      <c r="E7624" s="21">
        <f t="shared" si="353"/>
        <v>49.920000000000002</v>
      </c>
      <c r="F7624" s="22"/>
      <c r="G7624" s="21">
        <f t="shared" si="354"/>
        <v>49.340000000000003</v>
      </c>
      <c r="H7624" s="22"/>
      <c r="I7624" s="23" t="str">
        <f t="shared" si="355"/>
        <v xml:space="preserve">COM VALOR</v>
      </c>
      <c r="J7624" s="19"/>
      <c r="L7624" s="21">
        <v>49.920000000000002</v>
      </c>
      <c r="M7624" s="22">
        <v>0</v>
      </c>
      <c r="N7624" s="21">
        <v>49.340000000000003</v>
      </c>
      <c r="O7624" s="22">
        <v>0</v>
      </c>
    </row>
    <row r="7625" ht="51">
      <c r="A7625" t="s">
        <v>7674</v>
      </c>
      <c r="B7625" s="19">
        <v>87561</v>
      </c>
      <c r="C7625" s="20" t="s">
        <v>7702</v>
      </c>
      <c r="D7625" s="19" t="s">
        <v>29</v>
      </c>
      <c r="E7625" s="21">
        <f t="shared" si="353"/>
        <v>50.899999999999999</v>
      </c>
      <c r="F7625" s="22"/>
      <c r="G7625" s="21">
        <f t="shared" si="354"/>
        <v>50.280000000000001</v>
      </c>
      <c r="H7625" s="22"/>
      <c r="I7625" s="23" t="str">
        <f t="shared" si="355"/>
        <v xml:space="preserve">COM VALOR</v>
      </c>
      <c r="J7625" s="19"/>
      <c r="L7625" s="21">
        <v>50.899999999999999</v>
      </c>
      <c r="M7625" s="22">
        <v>0</v>
      </c>
      <c r="N7625" s="21">
        <v>50.280000000000001</v>
      </c>
      <c r="O7625" s="22">
        <v>0</v>
      </c>
    </row>
    <row r="7626" ht="51">
      <c r="A7626" t="s">
        <v>7674</v>
      </c>
      <c r="B7626" s="19">
        <v>104953</v>
      </c>
      <c r="C7626" s="20" t="s">
        <v>7703</v>
      </c>
      <c r="D7626" s="19" t="s">
        <v>29</v>
      </c>
      <c r="E7626" s="21">
        <f t="shared" si="353"/>
        <v>76.75</v>
      </c>
      <c r="F7626" s="22"/>
      <c r="G7626" s="21">
        <f t="shared" si="354"/>
        <v>75.930000000000007</v>
      </c>
      <c r="H7626" s="22"/>
      <c r="I7626" s="23" t="str">
        <f t="shared" si="355"/>
        <v xml:space="preserve">COM VALOR</v>
      </c>
      <c r="J7626" s="19"/>
      <c r="L7626" s="21">
        <v>76.75</v>
      </c>
      <c r="M7626" s="22">
        <v>0</v>
      </c>
      <c r="N7626" s="21">
        <v>75.930000000000007</v>
      </c>
      <c r="O7626" s="22">
        <v>0</v>
      </c>
    </row>
    <row r="7627" ht="51">
      <c r="A7627" t="s">
        <v>7674</v>
      </c>
      <c r="B7627" s="19">
        <v>87543</v>
      </c>
      <c r="C7627" s="20" t="s">
        <v>7704</v>
      </c>
      <c r="D7627" s="19" t="s">
        <v>29</v>
      </c>
      <c r="E7627" s="21">
        <f t="shared" ref="E7627:E7690" si="356">IF(L7627=0,"VERIFICAR",L7627)</f>
        <v>29.41</v>
      </c>
      <c r="F7627" s="22"/>
      <c r="G7627" s="21">
        <f t="shared" ref="G7627:G7690" si="357">IF(N7627=0,"VERIFICAR",N7627)</f>
        <v>28.949999999999999</v>
      </c>
      <c r="H7627" s="22"/>
      <c r="I7627" s="23" t="str">
        <f t="shared" ref="I7627:I7690" si="358">IF(OR(E7627=0,G7627=0),"SEM VALOR","COM VALOR")</f>
        <v xml:space="preserve">COM VALOR</v>
      </c>
      <c r="J7627" s="19"/>
      <c r="L7627" s="21">
        <v>29.41</v>
      </c>
      <c r="M7627" s="22">
        <v>0</v>
      </c>
      <c r="N7627" s="21">
        <v>28.949999999999999</v>
      </c>
      <c r="O7627" s="22">
        <v>0</v>
      </c>
    </row>
    <row r="7628" ht="38.25">
      <c r="A7628" t="s">
        <v>7674</v>
      </c>
      <c r="B7628" s="19">
        <v>104959</v>
      </c>
      <c r="C7628" s="20" t="s">
        <v>7705</v>
      </c>
      <c r="D7628" s="19" t="s">
        <v>29</v>
      </c>
      <c r="E7628" s="21">
        <f t="shared" si="356"/>
        <v>25.859999999999999</v>
      </c>
      <c r="F7628" s="22"/>
      <c r="G7628" s="21">
        <f t="shared" si="357"/>
        <v>24.949999999999999</v>
      </c>
      <c r="H7628" s="22"/>
      <c r="I7628" s="23" t="str">
        <f t="shared" si="358"/>
        <v xml:space="preserve">COM VALOR</v>
      </c>
      <c r="J7628" s="19"/>
      <c r="L7628" s="21">
        <v>25.859999999999999</v>
      </c>
      <c r="M7628" s="22">
        <v>0</v>
      </c>
      <c r="N7628" s="21">
        <v>24.949999999999999</v>
      </c>
      <c r="O7628" s="22">
        <v>0</v>
      </c>
    </row>
    <row r="7629" ht="38.25">
      <c r="A7629" t="s">
        <v>7674</v>
      </c>
      <c r="B7629" s="19">
        <v>104958</v>
      </c>
      <c r="C7629" s="20" t="s">
        <v>7706</v>
      </c>
      <c r="D7629" s="19" t="s">
        <v>29</v>
      </c>
      <c r="E7629" s="21">
        <f t="shared" si="356"/>
        <v>23.59</v>
      </c>
      <c r="F7629" s="22">
        <v>0.98999999999999999</v>
      </c>
      <c r="G7629" s="21">
        <f t="shared" si="357"/>
        <v>22.800000000000001</v>
      </c>
      <c r="H7629" s="22">
        <v>0.98999999999999999</v>
      </c>
      <c r="I7629" s="23" t="str">
        <f t="shared" si="358"/>
        <v xml:space="preserve">COM VALOR</v>
      </c>
      <c r="J7629" s="19"/>
      <c r="L7629" s="21">
        <v>23.59</v>
      </c>
      <c r="M7629" s="22">
        <v>0</v>
      </c>
      <c r="N7629" s="21">
        <v>22.800000000000001</v>
      </c>
      <c r="O7629" s="22">
        <v>0</v>
      </c>
    </row>
    <row r="7630" ht="51">
      <c r="A7630" t="s">
        <v>7674</v>
      </c>
      <c r="B7630" s="19">
        <v>104970</v>
      </c>
      <c r="C7630" s="20" t="s">
        <v>7707</v>
      </c>
      <c r="D7630" s="19" t="s">
        <v>29</v>
      </c>
      <c r="E7630" s="21">
        <f t="shared" si="356"/>
        <v>37.439999999999998</v>
      </c>
      <c r="F7630" s="22">
        <v>0.91000000000000003</v>
      </c>
      <c r="G7630" s="21">
        <f t="shared" si="357"/>
        <v>35.859999999999999</v>
      </c>
      <c r="H7630" s="22">
        <v>0.92000000000000004</v>
      </c>
      <c r="I7630" s="23" t="str">
        <f t="shared" si="358"/>
        <v xml:space="preserve">COM VALOR</v>
      </c>
      <c r="J7630" s="19"/>
      <c r="L7630" s="21">
        <v>37.439999999999998</v>
      </c>
      <c r="M7630" s="22">
        <v>0</v>
      </c>
      <c r="N7630" s="21">
        <v>35.859999999999999</v>
      </c>
      <c r="O7630" s="22">
        <v>0</v>
      </c>
    </row>
    <row r="7631" ht="51">
      <c r="A7631" t="s">
        <v>7674</v>
      </c>
      <c r="B7631" s="19">
        <v>104964</v>
      </c>
      <c r="C7631" s="20" t="s">
        <v>7708</v>
      </c>
      <c r="D7631" s="19" t="s">
        <v>29</v>
      </c>
      <c r="E7631" s="21">
        <f t="shared" si="356"/>
        <v>51.149999999999999</v>
      </c>
      <c r="F7631" s="22">
        <v>0.94999999999999996</v>
      </c>
      <c r="G7631" s="21">
        <f t="shared" si="357"/>
        <v>49.109999999999999</v>
      </c>
      <c r="H7631" s="22">
        <v>0.95999999999999996</v>
      </c>
      <c r="I7631" s="23" t="str">
        <f t="shared" si="358"/>
        <v xml:space="preserve">COM VALOR</v>
      </c>
      <c r="J7631" s="19"/>
      <c r="L7631" s="21">
        <v>51.149999999999999</v>
      </c>
      <c r="M7631" s="22">
        <v>0</v>
      </c>
      <c r="N7631" s="21">
        <v>49.109999999999999</v>
      </c>
      <c r="O7631" s="22">
        <v>0</v>
      </c>
    </row>
    <row r="7632" ht="51">
      <c r="A7632" t="s">
        <v>7674</v>
      </c>
      <c r="B7632" s="19">
        <v>104956</v>
      </c>
      <c r="C7632" s="20" t="s">
        <v>7709</v>
      </c>
      <c r="D7632" s="19" t="s">
        <v>29</v>
      </c>
      <c r="E7632" s="21">
        <f t="shared" si="356"/>
        <v>46.100000000000001</v>
      </c>
      <c r="F7632" s="22">
        <v>0.96999999999999997</v>
      </c>
      <c r="G7632" s="21">
        <f t="shared" si="357"/>
        <v>44.329999999999998</v>
      </c>
      <c r="H7632" s="22">
        <v>0.96999999999999997</v>
      </c>
      <c r="I7632" s="23" t="str">
        <f t="shared" si="358"/>
        <v xml:space="preserve">COM VALOR</v>
      </c>
      <c r="J7632" s="19"/>
      <c r="L7632" s="21">
        <v>46.100000000000001</v>
      </c>
      <c r="M7632" s="22">
        <v>0</v>
      </c>
      <c r="N7632" s="21">
        <v>44.329999999999998</v>
      </c>
      <c r="O7632" s="22">
        <v>0</v>
      </c>
    </row>
    <row r="7633" ht="51">
      <c r="A7633" t="s">
        <v>7674</v>
      </c>
      <c r="B7633" s="19">
        <v>104974</v>
      </c>
      <c r="C7633" s="20" t="s">
        <v>7710</v>
      </c>
      <c r="D7633" s="19" t="s">
        <v>29</v>
      </c>
      <c r="E7633" s="21">
        <f t="shared" si="356"/>
        <v>32.369999999999997</v>
      </c>
      <c r="F7633" s="22">
        <v>0.96999999999999997</v>
      </c>
      <c r="G7633" s="21">
        <f t="shared" si="357"/>
        <v>31.079999999999998</v>
      </c>
      <c r="H7633" s="22">
        <v>0.96999999999999997</v>
      </c>
      <c r="I7633" s="23" t="str">
        <f t="shared" si="358"/>
        <v xml:space="preserve">COM VALOR</v>
      </c>
      <c r="J7633" s="19"/>
      <c r="L7633" s="21">
        <v>32.369999999999997</v>
      </c>
      <c r="M7633" s="22">
        <v>0</v>
      </c>
      <c r="N7633" s="21">
        <v>31.079999999999998</v>
      </c>
      <c r="O7633" s="22">
        <v>0</v>
      </c>
    </row>
    <row r="7634" ht="38.25">
      <c r="A7634" t="s">
        <v>7674</v>
      </c>
      <c r="B7634" s="19">
        <v>87548</v>
      </c>
      <c r="C7634" s="20" t="s">
        <v>7711</v>
      </c>
      <c r="D7634" s="19" t="s">
        <v>29</v>
      </c>
      <c r="E7634" s="21">
        <f t="shared" si="356"/>
        <v>29.129999999999999</v>
      </c>
      <c r="F7634" s="22">
        <v>0.94999999999999996</v>
      </c>
      <c r="G7634" s="21">
        <f t="shared" si="357"/>
        <v>28.030000000000001</v>
      </c>
      <c r="H7634" s="22">
        <v>0.95999999999999996</v>
      </c>
      <c r="I7634" s="23" t="str">
        <f t="shared" si="358"/>
        <v xml:space="preserve">COM VALOR</v>
      </c>
      <c r="J7634" s="19"/>
      <c r="L7634" s="21">
        <v>29.129999999999999</v>
      </c>
      <c r="M7634" s="22">
        <v>0</v>
      </c>
      <c r="N7634" s="21">
        <v>28.030000000000001</v>
      </c>
      <c r="O7634" s="22">
        <v>0</v>
      </c>
    </row>
    <row r="7635" ht="38.25">
      <c r="A7635" t="s">
        <v>7674</v>
      </c>
      <c r="B7635" s="19">
        <v>87530</v>
      </c>
      <c r="C7635" s="20" t="s">
        <v>7712</v>
      </c>
      <c r="D7635" s="19" t="s">
        <v>29</v>
      </c>
      <c r="E7635" s="21">
        <f t="shared" si="356"/>
        <v>40.810000000000002</v>
      </c>
      <c r="F7635" s="22">
        <v>0.95999999999999996</v>
      </c>
      <c r="G7635" s="21">
        <f t="shared" si="357"/>
        <v>39.350000000000001</v>
      </c>
      <c r="H7635" s="22">
        <v>0.95999999999999996</v>
      </c>
      <c r="I7635" s="23" t="str">
        <f t="shared" si="358"/>
        <v xml:space="preserve">COM VALOR</v>
      </c>
      <c r="J7635" s="19"/>
      <c r="L7635" s="21">
        <v>40.810000000000002</v>
      </c>
      <c r="M7635" s="22">
        <v>0</v>
      </c>
      <c r="N7635" s="21">
        <v>39.350000000000001</v>
      </c>
      <c r="O7635" s="22">
        <v>0</v>
      </c>
    </row>
    <row r="7636" ht="38.25">
      <c r="A7636" t="s">
        <v>7674</v>
      </c>
      <c r="B7636" s="19">
        <v>104952</v>
      </c>
      <c r="C7636" s="20" t="s">
        <v>7713</v>
      </c>
      <c r="D7636" s="19" t="s">
        <v>29</v>
      </c>
      <c r="E7636" s="21">
        <f t="shared" si="356"/>
        <v>37.549999999999997</v>
      </c>
      <c r="F7636" s="22">
        <v>0.93999999999999995</v>
      </c>
      <c r="G7636" s="21">
        <f t="shared" si="357"/>
        <v>36.259999999999998</v>
      </c>
      <c r="H7636" s="22">
        <v>0.93999999999999995</v>
      </c>
      <c r="I7636" s="23" t="str">
        <f t="shared" si="358"/>
        <v xml:space="preserve">COM VALOR</v>
      </c>
      <c r="J7636" s="19"/>
      <c r="L7636" s="21">
        <v>37.549999999999997</v>
      </c>
      <c r="M7636" s="22">
        <v>0</v>
      </c>
      <c r="N7636" s="21">
        <v>36.259999999999998</v>
      </c>
      <c r="O7636" s="22">
        <v>0</v>
      </c>
    </row>
    <row r="7637" ht="51">
      <c r="A7637" t="s">
        <v>7674</v>
      </c>
      <c r="B7637" s="19">
        <v>104969</v>
      </c>
      <c r="C7637" s="20" t="s">
        <v>7714</v>
      </c>
      <c r="D7637" s="19" t="s">
        <v>29</v>
      </c>
      <c r="E7637" s="21">
        <f t="shared" si="356"/>
        <v>35.170000000000002</v>
      </c>
      <c r="F7637" s="22">
        <v>0.94999999999999996</v>
      </c>
      <c r="G7637" s="21">
        <f t="shared" si="357"/>
        <v>33.710000000000001</v>
      </c>
      <c r="H7637" s="22">
        <v>0.94999999999999996</v>
      </c>
      <c r="I7637" s="23" t="str">
        <f t="shared" si="358"/>
        <v xml:space="preserve">COM VALOR</v>
      </c>
      <c r="J7637" s="19"/>
      <c r="L7637" s="21">
        <v>35.170000000000002</v>
      </c>
      <c r="M7637" s="22">
        <v>0</v>
      </c>
      <c r="N7637" s="21">
        <v>33.710000000000001</v>
      </c>
      <c r="O7637" s="22">
        <v>0</v>
      </c>
    </row>
    <row r="7638" ht="51">
      <c r="A7638" t="s">
        <v>7674</v>
      </c>
      <c r="B7638" s="19">
        <v>104963</v>
      </c>
      <c r="C7638" s="20" t="s">
        <v>7715</v>
      </c>
      <c r="D7638" s="19" t="s">
        <v>29</v>
      </c>
      <c r="E7638" s="21">
        <f t="shared" si="356"/>
        <v>47.609999999999999</v>
      </c>
      <c r="F7638" s="22">
        <v>0.97999999999999998</v>
      </c>
      <c r="G7638" s="21">
        <f t="shared" si="357"/>
        <v>45.75</v>
      </c>
      <c r="H7638" s="22">
        <v>0.97999999999999998</v>
      </c>
      <c r="I7638" s="23" t="str">
        <f t="shared" si="358"/>
        <v xml:space="preserve">COM VALOR</v>
      </c>
      <c r="J7638" s="19"/>
      <c r="L7638" s="21">
        <v>47.609999999999999</v>
      </c>
      <c r="M7638" s="22">
        <v>0</v>
      </c>
      <c r="N7638" s="21">
        <v>45.75</v>
      </c>
      <c r="O7638" s="22">
        <v>0</v>
      </c>
    </row>
    <row r="7639" ht="51">
      <c r="A7639" t="s">
        <v>7674</v>
      </c>
      <c r="B7639" s="19">
        <v>104955</v>
      </c>
      <c r="C7639" s="20" t="s">
        <v>7716</v>
      </c>
      <c r="D7639" s="19" t="s">
        <v>29</v>
      </c>
      <c r="E7639" s="21">
        <f t="shared" si="356"/>
        <v>42.560000000000002</v>
      </c>
      <c r="F7639" s="22">
        <v>0.98999999999999999</v>
      </c>
      <c r="G7639" s="21">
        <f t="shared" si="357"/>
        <v>40.969999999999999</v>
      </c>
      <c r="H7639" s="22">
        <v>0.98999999999999999</v>
      </c>
      <c r="I7639" s="23" t="str">
        <f t="shared" si="358"/>
        <v xml:space="preserve">COM VALOR</v>
      </c>
      <c r="J7639" s="19"/>
      <c r="L7639" s="21">
        <v>42.560000000000002</v>
      </c>
      <c r="M7639" s="22">
        <v>0</v>
      </c>
      <c r="N7639" s="21">
        <v>40.969999999999999</v>
      </c>
      <c r="O7639" s="22">
        <v>0</v>
      </c>
    </row>
    <row r="7640" ht="51">
      <c r="A7640" t="s">
        <v>7674</v>
      </c>
      <c r="B7640" s="19">
        <v>104973</v>
      </c>
      <c r="C7640" s="20" t="s">
        <v>7717</v>
      </c>
      <c r="D7640" s="19" t="s">
        <v>29</v>
      </c>
      <c r="E7640" s="21">
        <f t="shared" si="356"/>
        <v>30.100000000000001</v>
      </c>
      <c r="F7640" s="22">
        <v>0.97999999999999998</v>
      </c>
      <c r="G7640" s="21">
        <f t="shared" si="357"/>
        <v>28.93</v>
      </c>
      <c r="H7640" s="22">
        <v>0.97999999999999998</v>
      </c>
      <c r="I7640" s="23" t="str">
        <f t="shared" si="358"/>
        <v xml:space="preserve">COM VALOR</v>
      </c>
      <c r="J7640" s="19"/>
      <c r="L7640" s="21">
        <v>30.100000000000001</v>
      </c>
      <c r="M7640" s="22">
        <v>0</v>
      </c>
      <c r="N7640" s="21">
        <v>28.93</v>
      </c>
      <c r="O7640" s="22">
        <v>0</v>
      </c>
    </row>
    <row r="7641" ht="38.25">
      <c r="A7641" t="s">
        <v>7674</v>
      </c>
      <c r="B7641" s="19">
        <v>87547</v>
      </c>
      <c r="C7641" s="20" t="s">
        <v>7718</v>
      </c>
      <c r="D7641" s="19" t="s">
        <v>29</v>
      </c>
      <c r="E7641" s="21">
        <f t="shared" si="356"/>
        <v>26.859999999999999</v>
      </c>
      <c r="F7641" s="22">
        <v>0.95999999999999996</v>
      </c>
      <c r="G7641" s="21">
        <f t="shared" si="357"/>
        <v>25.879999999999999</v>
      </c>
      <c r="H7641" s="22">
        <v>0.95999999999999996</v>
      </c>
      <c r="I7641" s="23" t="str">
        <f t="shared" si="358"/>
        <v xml:space="preserve">COM VALOR</v>
      </c>
      <c r="J7641" s="19"/>
      <c r="L7641" s="21">
        <v>26.859999999999999</v>
      </c>
      <c r="M7641" s="22">
        <v>0</v>
      </c>
      <c r="N7641" s="21">
        <v>25.879999999999999</v>
      </c>
      <c r="O7641" s="22">
        <v>0</v>
      </c>
    </row>
    <row r="7642" ht="38.25">
      <c r="A7642" t="s">
        <v>7674</v>
      </c>
      <c r="B7642" s="19">
        <v>87529</v>
      </c>
      <c r="C7642" s="20" t="s">
        <v>7719</v>
      </c>
      <c r="D7642" s="19" t="s">
        <v>29</v>
      </c>
      <c r="E7642" s="21">
        <f t="shared" si="356"/>
        <v>37.270000000000003</v>
      </c>
      <c r="F7642" s="22">
        <v>0.95999999999999996</v>
      </c>
      <c r="G7642" s="21">
        <f t="shared" si="357"/>
        <v>35.990000000000002</v>
      </c>
      <c r="H7642" s="22">
        <v>0.95999999999999996</v>
      </c>
      <c r="I7642" s="23" t="str">
        <f t="shared" si="358"/>
        <v xml:space="preserve">COM VALOR</v>
      </c>
      <c r="J7642" s="19"/>
      <c r="L7642" s="21">
        <v>37.270000000000003</v>
      </c>
      <c r="M7642" s="22">
        <v>0</v>
      </c>
      <c r="N7642" s="21">
        <v>35.990000000000002</v>
      </c>
      <c r="O7642" s="22">
        <v>0</v>
      </c>
    </row>
    <row r="7643" ht="38.25">
      <c r="A7643" t="s">
        <v>7674</v>
      </c>
      <c r="B7643" s="19">
        <v>104951</v>
      </c>
      <c r="C7643" s="20" t="s">
        <v>7720</v>
      </c>
      <c r="D7643" s="19" t="s">
        <v>29</v>
      </c>
      <c r="E7643" s="21">
        <f t="shared" si="356"/>
        <v>34.009999999999998</v>
      </c>
      <c r="F7643" s="22"/>
      <c r="G7643" s="21">
        <f t="shared" si="357"/>
        <v>32.899999999999999</v>
      </c>
      <c r="H7643" s="22"/>
      <c r="I7643" s="23" t="str">
        <f t="shared" si="358"/>
        <v xml:space="preserve">COM VALOR</v>
      </c>
      <c r="J7643" s="19"/>
      <c r="L7643" s="21">
        <v>34.009999999999998</v>
      </c>
      <c r="M7643" s="22">
        <v>0</v>
      </c>
      <c r="N7643" s="21">
        <v>32.899999999999999</v>
      </c>
      <c r="O7643" s="22">
        <v>0</v>
      </c>
    </row>
    <row r="7644" ht="38.25">
      <c r="A7644" t="s">
        <v>7674</v>
      </c>
      <c r="B7644" s="19">
        <v>104978</v>
      </c>
      <c r="C7644" s="20" t="s">
        <v>7721</v>
      </c>
      <c r="D7644" s="19" t="s">
        <v>29</v>
      </c>
      <c r="E7644" s="21">
        <f t="shared" si="356"/>
        <v>37.659999999999997</v>
      </c>
      <c r="F7644" s="22"/>
      <c r="G7644" s="21">
        <f t="shared" si="357"/>
        <v>36.079999999999998</v>
      </c>
      <c r="H7644" s="22"/>
      <c r="I7644" s="23" t="str">
        <f t="shared" si="358"/>
        <v xml:space="preserve">COM VALOR</v>
      </c>
      <c r="J7644" s="19"/>
      <c r="L7644" s="21">
        <v>37.659999999999997</v>
      </c>
      <c r="M7644" s="22">
        <v>0</v>
      </c>
      <c r="N7644" s="21">
        <v>36.079999999999998</v>
      </c>
      <c r="O7644" s="22">
        <v>0</v>
      </c>
    </row>
    <row r="7645" ht="38.25">
      <c r="A7645" t="s">
        <v>7674</v>
      </c>
      <c r="B7645" s="19">
        <v>104977</v>
      </c>
      <c r="C7645" s="20" t="s">
        <v>7722</v>
      </c>
      <c r="D7645" s="19" t="s">
        <v>29</v>
      </c>
      <c r="E7645" s="21">
        <f t="shared" si="356"/>
        <v>49.950000000000003</v>
      </c>
      <c r="F7645" s="22"/>
      <c r="G7645" s="21">
        <f t="shared" si="357"/>
        <v>47.950000000000003</v>
      </c>
      <c r="H7645" s="22"/>
      <c r="I7645" s="23" t="str">
        <f t="shared" si="358"/>
        <v xml:space="preserve">COM VALOR</v>
      </c>
      <c r="J7645" s="19"/>
      <c r="L7645" s="21">
        <v>49.950000000000003</v>
      </c>
      <c r="M7645" s="22">
        <v>0</v>
      </c>
      <c r="N7645" s="21">
        <v>47.950000000000003</v>
      </c>
      <c r="O7645" s="22">
        <v>0</v>
      </c>
    </row>
    <row r="7646" ht="38.25">
      <c r="A7646" t="s">
        <v>7674</v>
      </c>
      <c r="B7646" s="19">
        <v>90408</v>
      </c>
      <c r="C7646" s="20" t="s">
        <v>7723</v>
      </c>
      <c r="D7646" s="19" t="s">
        <v>29</v>
      </c>
      <c r="E7646" s="21">
        <f t="shared" si="356"/>
        <v>32.979999999999997</v>
      </c>
      <c r="F7646" s="22"/>
      <c r="G7646" s="21">
        <f t="shared" si="357"/>
        <v>31.649999999999999</v>
      </c>
      <c r="H7646" s="22"/>
      <c r="I7646" s="23" t="str">
        <f t="shared" si="358"/>
        <v xml:space="preserve">COM VALOR</v>
      </c>
      <c r="J7646" s="19"/>
      <c r="L7646" s="21">
        <v>32.979999999999997</v>
      </c>
      <c r="M7646" s="22">
        <v>0</v>
      </c>
      <c r="N7646" s="21">
        <v>31.649999999999999</v>
      </c>
      <c r="O7646" s="22">
        <v>0</v>
      </c>
    </row>
    <row r="7647" ht="38.25">
      <c r="A7647" t="s">
        <v>7674</v>
      </c>
      <c r="B7647" s="19">
        <v>90406</v>
      </c>
      <c r="C7647" s="20" t="s">
        <v>7724</v>
      </c>
      <c r="D7647" s="19" t="s">
        <v>29</v>
      </c>
      <c r="E7647" s="21">
        <f t="shared" si="356"/>
        <v>44.25</v>
      </c>
      <c r="F7647" s="22"/>
      <c r="G7647" s="21">
        <f t="shared" si="357"/>
        <v>42.57</v>
      </c>
      <c r="H7647" s="22"/>
      <c r="I7647" s="23" t="str">
        <f t="shared" si="358"/>
        <v xml:space="preserve">COM VALOR</v>
      </c>
      <c r="J7647" s="19"/>
      <c r="L7647" s="21">
        <v>44.25</v>
      </c>
      <c r="M7647" s="22">
        <v>0</v>
      </c>
      <c r="N7647" s="21">
        <v>42.57</v>
      </c>
      <c r="O7647" s="22">
        <v>0</v>
      </c>
    </row>
    <row r="7648" ht="38.25">
      <c r="A7648" t="s">
        <v>7725</v>
      </c>
      <c r="B7648" s="19">
        <v>106626</v>
      </c>
      <c r="C7648" s="20" t="s">
        <v>7726</v>
      </c>
      <c r="D7648" s="19" t="s">
        <v>31</v>
      </c>
      <c r="E7648" s="21" t="str">
        <f t="shared" si="356"/>
        <v>VERIFICAR</v>
      </c>
      <c r="F7648" s="22"/>
      <c r="G7648" s="21" t="str">
        <f t="shared" si="357"/>
        <v>VERIFICAR</v>
      </c>
      <c r="H7648" s="22"/>
      <c r="I7648" s="23" t="str">
        <f t="shared" si="358"/>
        <v xml:space="preserve">COM VALOR</v>
      </c>
      <c r="J7648" s="19"/>
      <c r="L7648" s="21">
        <v>0</v>
      </c>
      <c r="M7648" s="22"/>
      <c r="N7648" s="21">
        <v>0</v>
      </c>
      <c r="O7648" s="22"/>
    </row>
    <row r="7649" ht="38.25">
      <c r="A7649" t="s">
        <v>7725</v>
      </c>
      <c r="B7649" s="19">
        <v>106627</v>
      </c>
      <c r="C7649" s="20" t="s">
        <v>7727</v>
      </c>
      <c r="D7649" s="19" t="s">
        <v>31</v>
      </c>
      <c r="E7649" s="21" t="str">
        <f t="shared" si="356"/>
        <v>VERIFICAR</v>
      </c>
      <c r="F7649" s="22"/>
      <c r="G7649" s="21" t="str">
        <f t="shared" si="357"/>
        <v>VERIFICAR</v>
      </c>
      <c r="H7649" s="22"/>
      <c r="I7649" s="23" t="str">
        <f t="shared" si="358"/>
        <v xml:space="preserve">COM VALOR</v>
      </c>
      <c r="J7649" s="19"/>
      <c r="L7649" s="21">
        <v>0</v>
      </c>
      <c r="M7649" s="22"/>
      <c r="N7649" s="21">
        <v>0</v>
      </c>
      <c r="O7649" s="22"/>
    </row>
    <row r="7650" ht="38.25">
      <c r="A7650" t="s">
        <v>7725</v>
      </c>
      <c r="B7650" s="19">
        <v>106628</v>
      </c>
      <c r="C7650" s="20" t="s">
        <v>7728</v>
      </c>
      <c r="D7650" s="19" t="s">
        <v>31</v>
      </c>
      <c r="E7650" s="21" t="str">
        <f t="shared" si="356"/>
        <v>VERIFICAR</v>
      </c>
      <c r="F7650" s="22"/>
      <c r="G7650" s="21" t="str">
        <f t="shared" si="357"/>
        <v>VERIFICAR</v>
      </c>
      <c r="H7650" s="22"/>
      <c r="I7650" s="23" t="str">
        <f t="shared" si="358"/>
        <v xml:space="preserve">COM VALOR</v>
      </c>
      <c r="J7650" s="19"/>
      <c r="L7650" s="21">
        <v>0</v>
      </c>
      <c r="M7650" s="22"/>
      <c r="N7650" s="21">
        <v>0</v>
      </c>
      <c r="O7650" s="22"/>
    </row>
    <row r="7651" ht="38.25">
      <c r="A7651" t="s">
        <v>7725</v>
      </c>
      <c r="B7651" s="19">
        <v>106629</v>
      </c>
      <c r="C7651" s="20" t="s">
        <v>7729</v>
      </c>
      <c r="D7651" s="19" t="s">
        <v>31</v>
      </c>
      <c r="E7651" s="21" t="str">
        <f t="shared" si="356"/>
        <v>VERIFICAR</v>
      </c>
      <c r="F7651" s="22"/>
      <c r="G7651" s="21" t="str">
        <f t="shared" si="357"/>
        <v>VERIFICAR</v>
      </c>
      <c r="H7651" s="22"/>
      <c r="I7651" s="23" t="str">
        <f t="shared" si="358"/>
        <v xml:space="preserve">COM VALOR</v>
      </c>
      <c r="J7651" s="19"/>
      <c r="L7651" s="21">
        <v>0</v>
      </c>
      <c r="M7651" s="22"/>
      <c r="N7651" s="21">
        <v>0</v>
      </c>
      <c r="O7651" s="22"/>
    </row>
    <row r="7652" ht="38.25">
      <c r="A7652" t="s">
        <v>7725</v>
      </c>
      <c r="B7652" s="19">
        <v>106631</v>
      </c>
      <c r="C7652" s="20" t="s">
        <v>7730</v>
      </c>
      <c r="D7652" s="19" t="s">
        <v>31</v>
      </c>
      <c r="E7652" s="21" t="str">
        <f t="shared" si="356"/>
        <v>VERIFICAR</v>
      </c>
      <c r="F7652" s="22"/>
      <c r="G7652" s="21" t="str">
        <f t="shared" si="357"/>
        <v>VERIFICAR</v>
      </c>
      <c r="H7652" s="22"/>
      <c r="I7652" s="23" t="str">
        <f t="shared" si="358"/>
        <v xml:space="preserve">COM VALOR</v>
      </c>
      <c r="J7652" s="19"/>
      <c r="L7652" s="21">
        <v>0</v>
      </c>
      <c r="M7652" s="22"/>
      <c r="N7652" s="21">
        <v>0</v>
      </c>
      <c r="O7652" s="22"/>
    </row>
    <row r="7653" ht="38.25">
      <c r="A7653" t="s">
        <v>7725</v>
      </c>
      <c r="B7653" s="19">
        <v>106630</v>
      </c>
      <c r="C7653" s="20" t="s">
        <v>7731</v>
      </c>
      <c r="D7653" s="19" t="s">
        <v>31</v>
      </c>
      <c r="E7653" s="21" t="str">
        <f t="shared" si="356"/>
        <v>VERIFICAR</v>
      </c>
      <c r="F7653" s="22">
        <v>0</v>
      </c>
      <c r="G7653" s="21" t="str">
        <f t="shared" si="357"/>
        <v>VERIFICAR</v>
      </c>
      <c r="H7653" s="22">
        <v>0</v>
      </c>
      <c r="I7653" s="23" t="str">
        <f t="shared" si="358"/>
        <v xml:space="preserve">COM VALOR</v>
      </c>
      <c r="J7653" s="19"/>
      <c r="L7653" s="21">
        <v>0</v>
      </c>
      <c r="M7653" s="22"/>
      <c r="N7653" s="21">
        <v>0</v>
      </c>
      <c r="O7653" s="22"/>
    </row>
    <row r="7654" ht="38.25">
      <c r="A7654" t="s">
        <v>7725</v>
      </c>
      <c r="B7654" s="19">
        <v>106633</v>
      </c>
      <c r="C7654" s="20" t="s">
        <v>7732</v>
      </c>
      <c r="D7654" s="19" t="s">
        <v>31</v>
      </c>
      <c r="E7654" s="21" t="str">
        <f t="shared" si="356"/>
        <v>VERIFICAR</v>
      </c>
      <c r="F7654" s="22">
        <v>0</v>
      </c>
      <c r="G7654" s="21" t="str">
        <f t="shared" si="357"/>
        <v>VERIFICAR</v>
      </c>
      <c r="H7654" s="22">
        <v>0</v>
      </c>
      <c r="I7654" s="23" t="str">
        <f t="shared" si="358"/>
        <v xml:space="preserve">COM VALOR</v>
      </c>
      <c r="J7654" s="19"/>
      <c r="L7654" s="21">
        <v>0</v>
      </c>
      <c r="M7654" s="22"/>
      <c r="N7654" s="21">
        <v>0</v>
      </c>
      <c r="O7654" s="22"/>
    </row>
    <row r="7655" ht="38.25">
      <c r="A7655" t="s">
        <v>7725</v>
      </c>
      <c r="B7655" s="19">
        <v>106632</v>
      </c>
      <c r="C7655" s="20" t="s">
        <v>7733</v>
      </c>
      <c r="D7655" s="19" t="s">
        <v>31</v>
      </c>
      <c r="E7655" s="21" t="str">
        <f t="shared" si="356"/>
        <v>VERIFICAR</v>
      </c>
      <c r="F7655" s="22">
        <v>0</v>
      </c>
      <c r="G7655" s="21" t="str">
        <f t="shared" si="357"/>
        <v>VERIFICAR</v>
      </c>
      <c r="H7655" s="22">
        <v>0</v>
      </c>
      <c r="I7655" s="23" t="str">
        <f t="shared" si="358"/>
        <v xml:space="preserve">COM VALOR</v>
      </c>
      <c r="J7655" s="19"/>
      <c r="L7655" s="21">
        <v>0</v>
      </c>
      <c r="M7655" s="22"/>
      <c r="N7655" s="21">
        <v>0</v>
      </c>
      <c r="O7655" s="22"/>
    </row>
    <row r="7656" ht="38.25">
      <c r="A7656" t="s">
        <v>7725</v>
      </c>
      <c r="B7656" s="19">
        <v>106634</v>
      </c>
      <c r="C7656" s="20" t="s">
        <v>7734</v>
      </c>
      <c r="D7656" s="19" t="s">
        <v>31</v>
      </c>
      <c r="E7656" s="21" t="str">
        <f t="shared" si="356"/>
        <v>VERIFICAR</v>
      </c>
      <c r="F7656" s="22">
        <v>0</v>
      </c>
      <c r="G7656" s="21" t="str">
        <f t="shared" si="357"/>
        <v>VERIFICAR</v>
      </c>
      <c r="H7656" s="22">
        <v>0</v>
      </c>
      <c r="I7656" s="23" t="str">
        <f t="shared" si="358"/>
        <v xml:space="preserve">COM VALOR</v>
      </c>
      <c r="J7656" s="19"/>
      <c r="L7656" s="21">
        <v>0</v>
      </c>
      <c r="M7656" s="22"/>
      <c r="N7656" s="21">
        <v>0</v>
      </c>
      <c r="O7656" s="22"/>
    </row>
    <row r="7657" ht="38.25">
      <c r="A7657" t="s">
        <v>7725</v>
      </c>
      <c r="B7657" s="19">
        <v>106636</v>
      </c>
      <c r="C7657" s="20" t="s">
        <v>7735</v>
      </c>
      <c r="D7657" s="19" t="s">
        <v>31</v>
      </c>
      <c r="E7657" s="21" t="str">
        <f t="shared" si="356"/>
        <v>VERIFICAR</v>
      </c>
      <c r="F7657" s="22">
        <v>0</v>
      </c>
      <c r="G7657" s="21" t="str">
        <f t="shared" si="357"/>
        <v>VERIFICAR</v>
      </c>
      <c r="H7657" s="22">
        <v>0</v>
      </c>
      <c r="I7657" s="23" t="str">
        <f t="shared" si="358"/>
        <v xml:space="preserve">COM VALOR</v>
      </c>
      <c r="J7657" s="19"/>
      <c r="L7657" s="21">
        <v>0</v>
      </c>
      <c r="M7657" s="22"/>
      <c r="N7657" s="21">
        <v>0</v>
      </c>
      <c r="O7657" s="22"/>
    </row>
    <row r="7658" ht="38.25">
      <c r="A7658" t="s">
        <v>7725</v>
      </c>
      <c r="B7658" s="19">
        <v>106635</v>
      </c>
      <c r="C7658" s="20" t="s">
        <v>7736</v>
      </c>
      <c r="D7658" s="19" t="s">
        <v>31</v>
      </c>
      <c r="E7658" s="21" t="str">
        <f t="shared" si="356"/>
        <v>VERIFICAR</v>
      </c>
      <c r="F7658" s="22">
        <v>0</v>
      </c>
      <c r="G7658" s="21" t="str">
        <f t="shared" si="357"/>
        <v>VERIFICAR</v>
      </c>
      <c r="H7658" s="22">
        <v>0</v>
      </c>
      <c r="I7658" s="23" t="str">
        <f t="shared" si="358"/>
        <v xml:space="preserve">COM VALOR</v>
      </c>
      <c r="J7658" s="19"/>
      <c r="L7658" s="21">
        <v>0</v>
      </c>
      <c r="M7658" s="22"/>
      <c r="N7658" s="21">
        <v>0</v>
      </c>
      <c r="O7658" s="22"/>
    </row>
    <row r="7659" ht="38.25">
      <c r="A7659" t="s">
        <v>7725</v>
      </c>
      <c r="B7659" s="19">
        <v>106637</v>
      </c>
      <c r="C7659" s="20" t="s">
        <v>7737</v>
      </c>
      <c r="D7659" s="19" t="s">
        <v>31</v>
      </c>
      <c r="E7659" s="21" t="str">
        <f t="shared" si="356"/>
        <v>VERIFICAR</v>
      </c>
      <c r="F7659" s="22">
        <v>0</v>
      </c>
      <c r="G7659" s="21" t="str">
        <f t="shared" si="357"/>
        <v>VERIFICAR</v>
      </c>
      <c r="H7659" s="22">
        <v>0</v>
      </c>
      <c r="I7659" s="23" t="str">
        <f t="shared" si="358"/>
        <v xml:space="preserve">COM VALOR</v>
      </c>
      <c r="J7659" s="19"/>
      <c r="L7659" s="21">
        <v>0</v>
      </c>
      <c r="M7659" s="22"/>
      <c r="N7659" s="21">
        <v>0</v>
      </c>
      <c r="O7659" s="22"/>
    </row>
    <row r="7660" ht="51">
      <c r="A7660" t="s">
        <v>7725</v>
      </c>
      <c r="B7660" s="19">
        <v>106639</v>
      </c>
      <c r="C7660" s="20" t="s">
        <v>7738</v>
      </c>
      <c r="D7660" s="19" t="s">
        <v>31</v>
      </c>
      <c r="E7660" s="21" t="str">
        <f t="shared" si="356"/>
        <v>VERIFICAR</v>
      </c>
      <c r="F7660" s="22">
        <v>2.9999999999999999e-002</v>
      </c>
      <c r="G7660" s="21" t="str">
        <f t="shared" si="357"/>
        <v>VERIFICAR</v>
      </c>
      <c r="H7660" s="22">
        <v>2.9999999999999999e-002</v>
      </c>
      <c r="I7660" s="23" t="str">
        <f t="shared" si="358"/>
        <v xml:space="preserve">COM VALOR</v>
      </c>
      <c r="J7660" s="19"/>
      <c r="L7660" s="21">
        <v>0</v>
      </c>
      <c r="M7660" s="22"/>
      <c r="N7660" s="21">
        <v>0</v>
      </c>
      <c r="O7660" s="22"/>
    </row>
    <row r="7661" ht="51">
      <c r="A7661" t="s">
        <v>7725</v>
      </c>
      <c r="B7661" s="19">
        <v>106638</v>
      </c>
      <c r="C7661" s="20" t="s">
        <v>7739</v>
      </c>
      <c r="D7661" s="19" t="s">
        <v>31</v>
      </c>
      <c r="E7661" s="21" t="str">
        <f t="shared" si="356"/>
        <v>VERIFICAR</v>
      </c>
      <c r="F7661" s="22"/>
      <c r="G7661" s="21" t="str">
        <f t="shared" si="357"/>
        <v>VERIFICAR</v>
      </c>
      <c r="H7661" s="22"/>
      <c r="I7661" s="23" t="str">
        <f t="shared" si="358"/>
        <v xml:space="preserve">COM VALOR</v>
      </c>
      <c r="J7661" s="19"/>
      <c r="L7661" s="21">
        <v>0</v>
      </c>
      <c r="M7661" s="22"/>
      <c r="N7661" s="21">
        <v>0</v>
      </c>
      <c r="O7661" s="22"/>
    </row>
    <row r="7662" ht="38.25">
      <c r="A7662" t="s">
        <v>7725</v>
      </c>
      <c r="B7662" s="19">
        <v>106641</v>
      </c>
      <c r="C7662" s="20" t="s">
        <v>7740</v>
      </c>
      <c r="D7662" s="19" t="s">
        <v>31</v>
      </c>
      <c r="E7662" s="21" t="str">
        <f t="shared" si="356"/>
        <v>VERIFICAR</v>
      </c>
      <c r="F7662" s="22">
        <v>2.e-002</v>
      </c>
      <c r="G7662" s="21" t="str">
        <f t="shared" si="357"/>
        <v>VERIFICAR</v>
      </c>
      <c r="H7662" s="22">
        <v>2.e-002</v>
      </c>
      <c r="I7662" s="23" t="str">
        <f t="shared" si="358"/>
        <v xml:space="preserve">COM VALOR</v>
      </c>
      <c r="J7662" s="19"/>
      <c r="L7662" s="21">
        <v>0</v>
      </c>
      <c r="M7662" s="22"/>
      <c r="N7662" s="21">
        <v>0</v>
      </c>
      <c r="O7662" s="22"/>
    </row>
    <row r="7663" ht="38.25">
      <c r="A7663" t="s">
        <v>7725</v>
      </c>
      <c r="B7663" s="19">
        <v>106640</v>
      </c>
      <c r="C7663" s="20" t="s">
        <v>7741</v>
      </c>
      <c r="D7663" s="19" t="s">
        <v>31</v>
      </c>
      <c r="E7663" s="21" t="str">
        <f t="shared" si="356"/>
        <v>VERIFICAR</v>
      </c>
      <c r="F7663" s="22">
        <v>7.0000000000000007e-002</v>
      </c>
      <c r="G7663" s="21" t="str">
        <f t="shared" si="357"/>
        <v>VERIFICAR</v>
      </c>
      <c r="H7663" s="22">
        <v>7.0000000000000007e-002</v>
      </c>
      <c r="I7663" s="23" t="str">
        <f t="shared" si="358"/>
        <v xml:space="preserve">COM VALOR</v>
      </c>
      <c r="J7663" s="19"/>
      <c r="L7663" s="21">
        <v>0</v>
      </c>
      <c r="M7663" s="22"/>
      <c r="N7663" s="21">
        <v>0</v>
      </c>
      <c r="O7663" s="22"/>
    </row>
    <row r="7664" ht="38.25">
      <c r="A7664" t="s">
        <v>7725</v>
      </c>
      <c r="B7664" s="19">
        <v>106644</v>
      </c>
      <c r="C7664" s="20" t="s">
        <v>7742</v>
      </c>
      <c r="D7664" s="19" t="s">
        <v>31</v>
      </c>
      <c r="E7664" s="21" t="str">
        <f t="shared" si="356"/>
        <v>VERIFICAR</v>
      </c>
      <c r="F7664" s="22"/>
      <c r="G7664" s="21" t="str">
        <f t="shared" si="357"/>
        <v>VERIFICAR</v>
      </c>
      <c r="H7664" s="22"/>
      <c r="I7664" s="23" t="str">
        <f t="shared" si="358"/>
        <v xml:space="preserve">COM VALOR</v>
      </c>
      <c r="J7664" s="19"/>
      <c r="L7664" s="21">
        <v>0</v>
      </c>
      <c r="M7664" s="22"/>
      <c r="N7664" s="21">
        <v>0</v>
      </c>
      <c r="O7664" s="22"/>
    </row>
    <row r="7665" ht="38.25">
      <c r="A7665" t="s">
        <v>7725</v>
      </c>
      <c r="B7665" s="19">
        <v>106646</v>
      </c>
      <c r="C7665" s="20" t="s">
        <v>7743</v>
      </c>
      <c r="D7665" s="19" t="s">
        <v>31</v>
      </c>
      <c r="E7665" s="21" t="str">
        <f t="shared" si="356"/>
        <v>VERIFICAR</v>
      </c>
      <c r="F7665" s="22">
        <v>8.0000000000000002e-002</v>
      </c>
      <c r="G7665" s="21" t="str">
        <f t="shared" si="357"/>
        <v>VERIFICAR</v>
      </c>
      <c r="H7665" s="22">
        <v>8.0000000000000002e-002</v>
      </c>
      <c r="I7665" s="23" t="str">
        <f t="shared" si="358"/>
        <v xml:space="preserve">COM VALOR</v>
      </c>
      <c r="J7665" s="19"/>
      <c r="L7665" s="21">
        <v>0</v>
      </c>
      <c r="M7665" s="22"/>
      <c r="N7665" s="21">
        <v>0</v>
      </c>
      <c r="O7665" s="22"/>
    </row>
    <row r="7666" ht="38.25">
      <c r="A7666" t="s">
        <v>7725</v>
      </c>
      <c r="B7666" s="19">
        <v>106645</v>
      </c>
      <c r="C7666" s="20" t="s">
        <v>7744</v>
      </c>
      <c r="D7666" s="19" t="s">
        <v>31</v>
      </c>
      <c r="E7666" s="21" t="str">
        <f t="shared" si="356"/>
        <v>VERIFICAR</v>
      </c>
      <c r="F7666" s="22"/>
      <c r="G7666" s="21" t="str">
        <f t="shared" si="357"/>
        <v>VERIFICAR</v>
      </c>
      <c r="H7666" s="22"/>
      <c r="I7666" s="23" t="str">
        <f t="shared" si="358"/>
        <v xml:space="preserve">COM VALOR</v>
      </c>
      <c r="J7666" s="19"/>
      <c r="L7666" s="21">
        <v>0</v>
      </c>
      <c r="M7666" s="22"/>
      <c r="N7666" s="21">
        <v>0</v>
      </c>
      <c r="O7666" s="22"/>
    </row>
    <row r="7667" ht="38.25">
      <c r="A7667" t="s">
        <v>7725</v>
      </c>
      <c r="B7667" s="19">
        <v>106643</v>
      </c>
      <c r="C7667" s="20" t="s">
        <v>7745</v>
      </c>
      <c r="D7667" s="19" t="s">
        <v>31</v>
      </c>
      <c r="E7667" s="21" t="str">
        <f t="shared" si="356"/>
        <v>VERIFICAR</v>
      </c>
      <c r="F7667" s="22">
        <v>0</v>
      </c>
      <c r="G7667" s="21" t="str">
        <f t="shared" si="357"/>
        <v>VERIFICAR</v>
      </c>
      <c r="H7667" s="22">
        <v>0</v>
      </c>
      <c r="I7667" s="23" t="str">
        <f t="shared" si="358"/>
        <v xml:space="preserve">COM VALOR</v>
      </c>
      <c r="J7667" s="19"/>
      <c r="L7667" s="21">
        <v>0</v>
      </c>
      <c r="M7667" s="22"/>
      <c r="N7667" s="21">
        <v>0</v>
      </c>
      <c r="O7667" s="22"/>
    </row>
    <row r="7668" ht="38.25">
      <c r="A7668" t="s">
        <v>7725</v>
      </c>
      <c r="B7668" s="19">
        <v>106642</v>
      </c>
      <c r="C7668" s="20" t="s">
        <v>7746</v>
      </c>
      <c r="D7668" s="19" t="s">
        <v>31</v>
      </c>
      <c r="E7668" s="21" t="str">
        <f t="shared" si="356"/>
        <v>VERIFICAR</v>
      </c>
      <c r="F7668" s="22"/>
      <c r="G7668" s="21" t="str">
        <f t="shared" si="357"/>
        <v>VERIFICAR</v>
      </c>
      <c r="H7668" s="22"/>
      <c r="I7668" s="23" t="str">
        <f t="shared" si="358"/>
        <v xml:space="preserve">COM VALOR</v>
      </c>
      <c r="J7668" s="19"/>
      <c r="L7668" s="21">
        <v>0</v>
      </c>
      <c r="M7668" s="22"/>
      <c r="N7668" s="21">
        <v>0</v>
      </c>
      <c r="O7668" s="22"/>
    </row>
    <row r="7669" ht="38.25">
      <c r="A7669" t="s">
        <v>7725</v>
      </c>
      <c r="B7669" s="19">
        <v>106649</v>
      </c>
      <c r="C7669" s="20" t="s">
        <v>7747</v>
      </c>
      <c r="D7669" s="19" t="s">
        <v>31</v>
      </c>
      <c r="E7669" s="21" t="str">
        <f t="shared" si="356"/>
        <v>VERIFICAR</v>
      </c>
      <c r="F7669" s="22"/>
      <c r="G7669" s="21" t="str">
        <f t="shared" si="357"/>
        <v>VERIFICAR</v>
      </c>
      <c r="H7669" s="22"/>
      <c r="I7669" s="23" t="str">
        <f t="shared" si="358"/>
        <v xml:space="preserve">COM VALOR</v>
      </c>
      <c r="J7669" s="19"/>
      <c r="L7669" s="21">
        <v>0</v>
      </c>
      <c r="M7669" s="22"/>
      <c r="N7669" s="21">
        <v>0</v>
      </c>
      <c r="O7669" s="22"/>
    </row>
    <row r="7670" ht="38.25">
      <c r="A7670" t="s">
        <v>7725</v>
      </c>
      <c r="B7670" s="19">
        <v>106648</v>
      </c>
      <c r="C7670" s="20" t="s">
        <v>7748</v>
      </c>
      <c r="D7670" s="19" t="s">
        <v>31</v>
      </c>
      <c r="E7670" s="21" t="str">
        <f t="shared" si="356"/>
        <v>VERIFICAR</v>
      </c>
      <c r="F7670" s="22"/>
      <c r="G7670" s="21" t="str">
        <f t="shared" si="357"/>
        <v>VERIFICAR</v>
      </c>
      <c r="H7670" s="22"/>
      <c r="I7670" s="23" t="str">
        <f t="shared" si="358"/>
        <v xml:space="preserve">COM VALOR</v>
      </c>
      <c r="J7670" s="19"/>
      <c r="L7670" s="21">
        <v>0</v>
      </c>
      <c r="M7670" s="22"/>
      <c r="N7670" s="21">
        <v>0</v>
      </c>
      <c r="O7670" s="22"/>
    </row>
    <row r="7671" ht="38.25">
      <c r="A7671" t="s">
        <v>7725</v>
      </c>
      <c r="B7671" s="19">
        <v>106647</v>
      </c>
      <c r="C7671" s="20" t="s">
        <v>7749</v>
      </c>
      <c r="D7671" s="19" t="s">
        <v>31</v>
      </c>
      <c r="E7671" s="21" t="str">
        <f t="shared" si="356"/>
        <v>VERIFICAR</v>
      </c>
      <c r="F7671" s="22"/>
      <c r="G7671" s="21" t="str">
        <f t="shared" si="357"/>
        <v>VERIFICAR</v>
      </c>
      <c r="H7671" s="22"/>
      <c r="I7671" s="23" t="str">
        <f t="shared" si="358"/>
        <v xml:space="preserve">COM VALOR</v>
      </c>
      <c r="J7671" s="19"/>
      <c r="L7671" s="21">
        <v>0</v>
      </c>
      <c r="M7671" s="22"/>
      <c r="N7671" s="21">
        <v>0</v>
      </c>
      <c r="O7671" s="22"/>
    </row>
    <row r="7672" ht="38.25">
      <c r="A7672" t="s">
        <v>7725</v>
      </c>
      <c r="B7672" s="19">
        <v>106652</v>
      </c>
      <c r="C7672" s="20" t="s">
        <v>7750</v>
      </c>
      <c r="D7672" s="19" t="s">
        <v>31</v>
      </c>
      <c r="E7672" s="21" t="str">
        <f t="shared" si="356"/>
        <v>VERIFICAR</v>
      </c>
      <c r="F7672" s="22">
        <v>0</v>
      </c>
      <c r="G7672" s="21" t="str">
        <f t="shared" si="357"/>
        <v>VERIFICAR</v>
      </c>
      <c r="H7672" s="22">
        <v>0</v>
      </c>
      <c r="I7672" s="23" t="str">
        <f t="shared" si="358"/>
        <v xml:space="preserve">COM VALOR</v>
      </c>
      <c r="J7672" s="19"/>
      <c r="L7672" s="21">
        <v>0</v>
      </c>
      <c r="M7672" s="22"/>
      <c r="N7672" s="21">
        <v>0</v>
      </c>
      <c r="O7672" s="22"/>
    </row>
    <row r="7673" ht="38.25">
      <c r="A7673" t="s">
        <v>7725</v>
      </c>
      <c r="B7673" s="19">
        <v>106653</v>
      </c>
      <c r="C7673" s="20" t="s">
        <v>7751</v>
      </c>
      <c r="D7673" s="19" t="s">
        <v>31</v>
      </c>
      <c r="E7673" s="21" t="str">
        <f t="shared" si="356"/>
        <v>VERIFICAR</v>
      </c>
      <c r="F7673" s="22">
        <v>0</v>
      </c>
      <c r="G7673" s="21" t="str">
        <f t="shared" si="357"/>
        <v>VERIFICAR</v>
      </c>
      <c r="H7673" s="22">
        <v>0</v>
      </c>
      <c r="I7673" s="23" t="str">
        <f t="shared" si="358"/>
        <v xml:space="preserve">COM VALOR</v>
      </c>
      <c r="J7673" s="19"/>
      <c r="L7673" s="21">
        <v>0</v>
      </c>
      <c r="M7673" s="22"/>
      <c r="N7673" s="21">
        <v>0</v>
      </c>
      <c r="O7673" s="22"/>
    </row>
    <row r="7674" ht="38.25">
      <c r="A7674" t="s">
        <v>7725</v>
      </c>
      <c r="B7674" s="19">
        <v>106654</v>
      </c>
      <c r="C7674" s="20" t="s">
        <v>7752</v>
      </c>
      <c r="D7674" s="19" t="s">
        <v>31</v>
      </c>
      <c r="E7674" s="21" t="str">
        <f t="shared" si="356"/>
        <v>VERIFICAR</v>
      </c>
      <c r="F7674" s="22">
        <v>0</v>
      </c>
      <c r="G7674" s="21" t="str">
        <f t="shared" si="357"/>
        <v>VERIFICAR</v>
      </c>
      <c r="H7674" s="22">
        <v>0</v>
      </c>
      <c r="I7674" s="23" t="str">
        <f t="shared" si="358"/>
        <v xml:space="preserve">COM VALOR</v>
      </c>
      <c r="J7674" s="19"/>
      <c r="L7674" s="21">
        <v>0</v>
      </c>
      <c r="M7674" s="22"/>
      <c r="N7674" s="21">
        <v>0</v>
      </c>
      <c r="O7674" s="22"/>
    </row>
    <row r="7675" ht="38.25">
      <c r="A7675" t="s">
        <v>7725</v>
      </c>
      <c r="B7675" s="19">
        <v>106651</v>
      </c>
      <c r="C7675" s="20" t="s">
        <v>7753</v>
      </c>
      <c r="D7675" s="19" t="s">
        <v>31</v>
      </c>
      <c r="E7675" s="21" t="str">
        <f t="shared" si="356"/>
        <v>VERIFICAR</v>
      </c>
      <c r="F7675" s="22"/>
      <c r="G7675" s="21" t="str">
        <f t="shared" si="357"/>
        <v>VERIFICAR</v>
      </c>
      <c r="H7675" s="22"/>
      <c r="I7675" s="23" t="str">
        <f t="shared" si="358"/>
        <v xml:space="preserve">COM VALOR</v>
      </c>
      <c r="J7675" s="19"/>
      <c r="L7675" s="21">
        <v>0</v>
      </c>
      <c r="M7675" s="22"/>
      <c r="N7675" s="21">
        <v>0</v>
      </c>
      <c r="O7675" s="22"/>
    </row>
    <row r="7676" ht="38.25">
      <c r="A7676" t="s">
        <v>7725</v>
      </c>
      <c r="B7676" s="19">
        <v>106650</v>
      </c>
      <c r="C7676" s="20" t="s">
        <v>7754</v>
      </c>
      <c r="D7676" s="19" t="s">
        <v>31</v>
      </c>
      <c r="E7676" s="21" t="str">
        <f t="shared" si="356"/>
        <v>VERIFICAR</v>
      </c>
      <c r="F7676" s="22"/>
      <c r="G7676" s="21" t="str">
        <f t="shared" si="357"/>
        <v>VERIFICAR</v>
      </c>
      <c r="H7676" s="22"/>
      <c r="I7676" s="23" t="str">
        <f t="shared" si="358"/>
        <v xml:space="preserve">COM VALOR</v>
      </c>
      <c r="J7676" s="19"/>
      <c r="L7676" s="21">
        <v>0</v>
      </c>
      <c r="M7676" s="22"/>
      <c r="N7676" s="21">
        <v>0</v>
      </c>
      <c r="O7676" s="22"/>
    </row>
    <row r="7677" ht="51">
      <c r="A7677" t="s">
        <v>7725</v>
      </c>
      <c r="B7677" s="19">
        <v>106655</v>
      </c>
      <c r="C7677" s="20" t="s">
        <v>7755</v>
      </c>
      <c r="D7677" s="19" t="s">
        <v>31</v>
      </c>
      <c r="E7677" s="21" t="str">
        <f t="shared" si="356"/>
        <v>VERIFICAR</v>
      </c>
      <c r="F7677" s="22">
        <v>0</v>
      </c>
      <c r="G7677" s="21" t="str">
        <f t="shared" si="357"/>
        <v>VERIFICAR</v>
      </c>
      <c r="H7677" s="22">
        <v>0</v>
      </c>
      <c r="I7677" s="23" t="str">
        <f t="shared" si="358"/>
        <v xml:space="preserve">COM VALOR</v>
      </c>
      <c r="J7677" s="19"/>
      <c r="L7677" s="21">
        <v>0</v>
      </c>
      <c r="M7677" s="22"/>
      <c r="N7677" s="21">
        <v>0</v>
      </c>
      <c r="O7677" s="22"/>
    </row>
    <row r="7678" ht="38.25">
      <c r="A7678" t="s">
        <v>7725</v>
      </c>
      <c r="B7678" s="19">
        <v>106657</v>
      </c>
      <c r="C7678" s="20" t="s">
        <v>7756</v>
      </c>
      <c r="D7678" s="19" t="s">
        <v>31</v>
      </c>
      <c r="E7678" s="21" t="str">
        <f t="shared" si="356"/>
        <v>VERIFICAR</v>
      </c>
      <c r="F7678" s="22">
        <v>0</v>
      </c>
      <c r="G7678" s="21" t="str">
        <f t="shared" si="357"/>
        <v>VERIFICAR</v>
      </c>
      <c r="H7678" s="22">
        <v>0</v>
      </c>
      <c r="I7678" s="23" t="str">
        <f t="shared" si="358"/>
        <v xml:space="preserve">COM VALOR</v>
      </c>
      <c r="J7678" s="19"/>
      <c r="L7678" s="21">
        <v>0</v>
      </c>
      <c r="M7678" s="22"/>
      <c r="N7678" s="21">
        <v>0</v>
      </c>
      <c r="O7678" s="22"/>
    </row>
    <row r="7679" ht="38.25">
      <c r="A7679" t="s">
        <v>7725</v>
      </c>
      <c r="B7679" s="19">
        <v>106656</v>
      </c>
      <c r="C7679" s="20" t="s">
        <v>7757</v>
      </c>
      <c r="D7679" s="19" t="s">
        <v>31</v>
      </c>
      <c r="E7679" s="21" t="str">
        <f t="shared" si="356"/>
        <v>VERIFICAR</v>
      </c>
      <c r="F7679" s="22">
        <v>0</v>
      </c>
      <c r="G7679" s="21" t="str">
        <f t="shared" si="357"/>
        <v>VERIFICAR</v>
      </c>
      <c r="H7679" s="22">
        <v>0</v>
      </c>
      <c r="I7679" s="23" t="str">
        <f t="shared" si="358"/>
        <v xml:space="preserve">COM VALOR</v>
      </c>
      <c r="J7679" s="19"/>
      <c r="L7679" s="21">
        <v>0</v>
      </c>
      <c r="M7679" s="22"/>
      <c r="N7679" s="21">
        <v>0</v>
      </c>
      <c r="O7679" s="22"/>
    </row>
    <row r="7680" ht="38.25">
      <c r="A7680" t="s">
        <v>7725</v>
      </c>
      <c r="B7680" s="19">
        <v>106661</v>
      </c>
      <c r="C7680" s="20" t="s">
        <v>7758</v>
      </c>
      <c r="D7680" s="19" t="s">
        <v>31</v>
      </c>
      <c r="E7680" s="21" t="str">
        <f t="shared" si="356"/>
        <v>VERIFICAR</v>
      </c>
      <c r="F7680" s="22"/>
      <c r="G7680" s="21" t="str">
        <f t="shared" si="357"/>
        <v>VERIFICAR</v>
      </c>
      <c r="H7680" s="22"/>
      <c r="I7680" s="23" t="str">
        <f t="shared" si="358"/>
        <v xml:space="preserve">COM VALOR</v>
      </c>
      <c r="J7680" s="19"/>
      <c r="L7680" s="21">
        <v>0</v>
      </c>
      <c r="M7680" s="22"/>
      <c r="N7680" s="21">
        <v>0</v>
      </c>
      <c r="O7680" s="22"/>
    </row>
    <row r="7681" ht="38.25">
      <c r="A7681" t="s">
        <v>7725</v>
      </c>
      <c r="B7681" s="19">
        <v>106660</v>
      </c>
      <c r="C7681" s="20" t="s">
        <v>7759</v>
      </c>
      <c r="D7681" s="19" t="s">
        <v>31</v>
      </c>
      <c r="E7681" s="21" t="str">
        <f t="shared" si="356"/>
        <v>VERIFICAR</v>
      </c>
      <c r="F7681" s="22"/>
      <c r="G7681" s="21" t="str">
        <f t="shared" si="357"/>
        <v>VERIFICAR</v>
      </c>
      <c r="H7681" s="22"/>
      <c r="I7681" s="23" t="str">
        <f t="shared" si="358"/>
        <v xml:space="preserve">COM VALOR</v>
      </c>
      <c r="J7681" s="19"/>
      <c r="L7681" s="21">
        <v>0</v>
      </c>
      <c r="M7681" s="22"/>
      <c r="N7681" s="21">
        <v>0</v>
      </c>
      <c r="O7681" s="22"/>
    </row>
    <row r="7682" ht="38.25">
      <c r="A7682" t="s">
        <v>7725</v>
      </c>
      <c r="B7682" s="19">
        <v>106659</v>
      </c>
      <c r="C7682" s="20" t="s">
        <v>7760</v>
      </c>
      <c r="D7682" s="19" t="s">
        <v>31</v>
      </c>
      <c r="E7682" s="21" t="str">
        <f t="shared" si="356"/>
        <v>VERIFICAR</v>
      </c>
      <c r="F7682" s="22"/>
      <c r="G7682" s="21" t="str">
        <f t="shared" si="357"/>
        <v>VERIFICAR</v>
      </c>
      <c r="H7682" s="22"/>
      <c r="I7682" s="23" t="str">
        <f t="shared" si="358"/>
        <v xml:space="preserve">COM VALOR</v>
      </c>
      <c r="J7682" s="19"/>
      <c r="L7682" s="21">
        <v>0</v>
      </c>
      <c r="M7682" s="22"/>
      <c r="N7682" s="21">
        <v>0</v>
      </c>
      <c r="O7682" s="22"/>
    </row>
    <row r="7683" ht="38.25">
      <c r="A7683" t="s">
        <v>7725</v>
      </c>
      <c r="B7683" s="19">
        <v>106658</v>
      </c>
      <c r="C7683" s="20" t="s">
        <v>7761</v>
      </c>
      <c r="D7683" s="19" t="s">
        <v>31</v>
      </c>
      <c r="E7683" s="21" t="str">
        <f t="shared" si="356"/>
        <v>VERIFICAR</v>
      </c>
      <c r="F7683" s="22"/>
      <c r="G7683" s="21" t="str">
        <f t="shared" si="357"/>
        <v>VERIFICAR</v>
      </c>
      <c r="H7683" s="22"/>
      <c r="I7683" s="23" t="str">
        <f t="shared" si="358"/>
        <v xml:space="preserve">COM VALOR</v>
      </c>
      <c r="J7683" s="19"/>
      <c r="L7683" s="21">
        <v>0</v>
      </c>
      <c r="M7683" s="22"/>
      <c r="N7683" s="21">
        <v>0</v>
      </c>
      <c r="O7683" s="22"/>
    </row>
    <row r="7684" ht="51">
      <c r="A7684" t="s">
        <v>7725</v>
      </c>
      <c r="B7684" s="19">
        <v>106663</v>
      </c>
      <c r="C7684" s="20" t="s">
        <v>7762</v>
      </c>
      <c r="D7684" s="19" t="s">
        <v>31</v>
      </c>
      <c r="E7684" s="21" t="str">
        <f t="shared" si="356"/>
        <v>VERIFICAR</v>
      </c>
      <c r="F7684" s="22">
        <v>0</v>
      </c>
      <c r="G7684" s="21" t="str">
        <f t="shared" si="357"/>
        <v>VERIFICAR</v>
      </c>
      <c r="H7684" s="22">
        <v>0</v>
      </c>
      <c r="I7684" s="23" t="str">
        <f t="shared" si="358"/>
        <v xml:space="preserve">COM VALOR</v>
      </c>
      <c r="J7684" s="19"/>
      <c r="L7684" s="21">
        <v>0</v>
      </c>
      <c r="M7684" s="22"/>
      <c r="N7684" s="21">
        <v>0</v>
      </c>
      <c r="O7684" s="22"/>
    </row>
    <row r="7685" ht="51">
      <c r="A7685" t="s">
        <v>7725</v>
      </c>
      <c r="B7685" s="19">
        <v>106662</v>
      </c>
      <c r="C7685" s="20" t="s">
        <v>7763</v>
      </c>
      <c r="D7685" s="19" t="s">
        <v>31</v>
      </c>
      <c r="E7685" s="21" t="str">
        <f t="shared" si="356"/>
        <v>VERIFICAR</v>
      </c>
      <c r="F7685" s="22">
        <v>0</v>
      </c>
      <c r="G7685" s="21" t="str">
        <f t="shared" si="357"/>
        <v>VERIFICAR</v>
      </c>
      <c r="H7685" s="22">
        <v>0</v>
      </c>
      <c r="I7685" s="23" t="str">
        <f t="shared" si="358"/>
        <v xml:space="preserve">COM VALOR</v>
      </c>
      <c r="J7685" s="19"/>
      <c r="L7685" s="21">
        <v>0</v>
      </c>
      <c r="M7685" s="22"/>
      <c r="N7685" s="21">
        <v>0</v>
      </c>
      <c r="O7685" s="22"/>
    </row>
    <row r="7686" ht="51">
      <c r="A7686" t="s">
        <v>7725</v>
      </c>
      <c r="B7686" s="19">
        <v>106664</v>
      </c>
      <c r="C7686" s="20" t="s">
        <v>7764</v>
      </c>
      <c r="D7686" s="19" t="s">
        <v>31</v>
      </c>
      <c r="E7686" s="21" t="str">
        <f t="shared" si="356"/>
        <v>VERIFICAR</v>
      </c>
      <c r="F7686" s="22"/>
      <c r="G7686" s="21" t="str">
        <f t="shared" si="357"/>
        <v>VERIFICAR</v>
      </c>
      <c r="H7686" s="22"/>
      <c r="I7686" s="23" t="str">
        <f t="shared" si="358"/>
        <v xml:space="preserve">COM VALOR</v>
      </c>
      <c r="J7686" s="19"/>
      <c r="L7686" s="21">
        <v>0</v>
      </c>
      <c r="M7686" s="22"/>
      <c r="N7686" s="21">
        <v>0</v>
      </c>
      <c r="O7686" s="22"/>
    </row>
    <row r="7687" ht="38.25">
      <c r="A7687" t="s">
        <v>7725</v>
      </c>
      <c r="B7687" s="19">
        <v>106602</v>
      </c>
      <c r="C7687" s="20" t="s">
        <v>7765</v>
      </c>
      <c r="D7687" s="19" t="s">
        <v>7766</v>
      </c>
      <c r="E7687" s="21" t="str">
        <f t="shared" si="356"/>
        <v>VERIFICAR</v>
      </c>
      <c r="F7687" s="22"/>
      <c r="G7687" s="21" t="str">
        <f t="shared" si="357"/>
        <v>VERIFICAR</v>
      </c>
      <c r="H7687" s="22"/>
      <c r="I7687" s="23" t="str">
        <f t="shared" si="358"/>
        <v xml:space="preserve">COM VALOR</v>
      </c>
      <c r="J7687" s="19"/>
      <c r="L7687" s="21">
        <v>0</v>
      </c>
      <c r="M7687" s="22"/>
      <c r="N7687" s="21">
        <v>0</v>
      </c>
      <c r="O7687" s="22"/>
    </row>
    <row r="7688" ht="38.25">
      <c r="A7688" t="s">
        <v>7725</v>
      </c>
      <c r="B7688" s="19">
        <v>106603</v>
      </c>
      <c r="C7688" s="20" t="s">
        <v>7767</v>
      </c>
      <c r="D7688" s="19" t="s">
        <v>7766</v>
      </c>
      <c r="E7688" s="21" t="str">
        <f t="shared" si="356"/>
        <v>VERIFICAR</v>
      </c>
      <c r="F7688" s="22">
        <v>0</v>
      </c>
      <c r="G7688" s="21" t="str">
        <f t="shared" si="357"/>
        <v>VERIFICAR</v>
      </c>
      <c r="H7688" s="22">
        <v>0</v>
      </c>
      <c r="I7688" s="23" t="str">
        <f t="shared" si="358"/>
        <v xml:space="preserve">COM VALOR</v>
      </c>
      <c r="J7688" s="19"/>
      <c r="L7688" s="21">
        <v>0</v>
      </c>
      <c r="M7688" s="22"/>
      <c r="N7688" s="21">
        <v>0</v>
      </c>
      <c r="O7688" s="22"/>
    </row>
    <row r="7689" ht="38.25">
      <c r="A7689" t="s">
        <v>7725</v>
      </c>
      <c r="B7689" s="19">
        <v>106604</v>
      </c>
      <c r="C7689" s="20" t="s">
        <v>7768</v>
      </c>
      <c r="D7689" s="19" t="s">
        <v>7766</v>
      </c>
      <c r="E7689" s="21" t="str">
        <f t="shared" si="356"/>
        <v>VERIFICAR</v>
      </c>
      <c r="F7689" s="22">
        <v>0</v>
      </c>
      <c r="G7689" s="21" t="str">
        <f t="shared" si="357"/>
        <v>VERIFICAR</v>
      </c>
      <c r="H7689" s="22">
        <v>0</v>
      </c>
      <c r="I7689" s="23" t="str">
        <f t="shared" si="358"/>
        <v xml:space="preserve">COM VALOR</v>
      </c>
      <c r="J7689" s="19"/>
      <c r="L7689" s="21">
        <v>0</v>
      </c>
      <c r="M7689" s="22"/>
      <c r="N7689" s="21">
        <v>0</v>
      </c>
      <c r="O7689" s="22"/>
    </row>
    <row r="7690" ht="25.5">
      <c r="A7690" t="s">
        <v>7725</v>
      </c>
      <c r="B7690" s="19">
        <v>106598</v>
      </c>
      <c r="C7690" s="20" t="s">
        <v>7769</v>
      </c>
      <c r="D7690" s="19" t="s">
        <v>7766</v>
      </c>
      <c r="E7690" s="21" t="str">
        <f t="shared" si="356"/>
        <v>VERIFICAR</v>
      </c>
      <c r="F7690" s="22">
        <v>0</v>
      </c>
      <c r="G7690" s="21" t="str">
        <f t="shared" si="357"/>
        <v>VERIFICAR</v>
      </c>
      <c r="H7690" s="22">
        <v>0</v>
      </c>
      <c r="I7690" s="23" t="str">
        <f t="shared" si="358"/>
        <v xml:space="preserve">COM VALOR</v>
      </c>
      <c r="J7690" s="19"/>
      <c r="L7690" s="21">
        <v>0</v>
      </c>
      <c r="M7690" s="22"/>
      <c r="N7690" s="21">
        <v>0</v>
      </c>
      <c r="O7690" s="22"/>
    </row>
    <row r="7691" ht="38.25">
      <c r="A7691" t="s">
        <v>7725</v>
      </c>
      <c r="B7691" s="19">
        <v>106599</v>
      </c>
      <c r="C7691" s="20" t="s">
        <v>7770</v>
      </c>
      <c r="D7691" s="19" t="s">
        <v>7766</v>
      </c>
      <c r="E7691" s="21" t="str">
        <f t="shared" ref="E7691:E7754" si="359">IF(L7691=0,"VERIFICAR",L7691)</f>
        <v>VERIFICAR</v>
      </c>
      <c r="F7691" s="22">
        <v>0</v>
      </c>
      <c r="G7691" s="21" t="str">
        <f t="shared" ref="G7691:G7754" si="360">IF(N7691=0,"VERIFICAR",N7691)</f>
        <v>VERIFICAR</v>
      </c>
      <c r="H7691" s="22">
        <v>0</v>
      </c>
      <c r="I7691" s="23" t="str">
        <f t="shared" ref="I7691:I7754" si="361">IF(OR(E7691=0,G7691=0),"SEM VALOR","COM VALOR")</f>
        <v xml:space="preserve">COM VALOR</v>
      </c>
      <c r="J7691" s="19"/>
      <c r="L7691" s="21">
        <v>0</v>
      </c>
      <c r="M7691" s="22"/>
      <c r="N7691" s="21">
        <v>0</v>
      </c>
      <c r="O7691" s="22"/>
    </row>
    <row r="7692" ht="38.25">
      <c r="A7692" t="s">
        <v>7725</v>
      </c>
      <c r="B7692" s="19">
        <v>106601</v>
      </c>
      <c r="C7692" s="20" t="s">
        <v>7771</v>
      </c>
      <c r="D7692" s="19" t="s">
        <v>7766</v>
      </c>
      <c r="E7692" s="21" t="str">
        <f t="shared" si="359"/>
        <v>VERIFICAR</v>
      </c>
      <c r="F7692" s="22">
        <v>0</v>
      </c>
      <c r="G7692" s="21" t="str">
        <f t="shared" si="360"/>
        <v>VERIFICAR</v>
      </c>
      <c r="H7692" s="22">
        <v>0</v>
      </c>
      <c r="I7692" s="23" t="str">
        <f t="shared" si="361"/>
        <v xml:space="preserve">COM VALOR</v>
      </c>
      <c r="J7692" s="19"/>
      <c r="L7692" s="21">
        <v>0</v>
      </c>
      <c r="M7692" s="22"/>
      <c r="N7692" s="21">
        <v>0</v>
      </c>
      <c r="O7692" s="22"/>
    </row>
    <row r="7693" ht="38.25">
      <c r="A7693" t="s">
        <v>7725</v>
      </c>
      <c r="B7693" s="19">
        <v>106600</v>
      </c>
      <c r="C7693" s="20" t="s">
        <v>7772</v>
      </c>
      <c r="D7693" s="19" t="s">
        <v>7766</v>
      </c>
      <c r="E7693" s="21" t="str">
        <f t="shared" si="359"/>
        <v>VERIFICAR</v>
      </c>
      <c r="F7693" s="22">
        <v>0</v>
      </c>
      <c r="G7693" s="21" t="str">
        <f t="shared" si="360"/>
        <v>VERIFICAR</v>
      </c>
      <c r="H7693" s="22">
        <v>0</v>
      </c>
      <c r="I7693" s="23" t="str">
        <f t="shared" si="361"/>
        <v xml:space="preserve">COM VALOR</v>
      </c>
      <c r="J7693" s="19"/>
      <c r="L7693" s="21">
        <v>0</v>
      </c>
      <c r="M7693" s="22"/>
      <c r="N7693" s="21">
        <v>0</v>
      </c>
      <c r="O7693" s="22"/>
    </row>
    <row r="7694" ht="38.25">
      <c r="A7694" t="s">
        <v>7725</v>
      </c>
      <c r="B7694" s="19">
        <v>106609</v>
      </c>
      <c r="C7694" s="20" t="s">
        <v>7773</v>
      </c>
      <c r="D7694" s="19" t="s">
        <v>7766</v>
      </c>
      <c r="E7694" s="21" t="str">
        <f t="shared" si="359"/>
        <v>VERIFICAR</v>
      </c>
      <c r="F7694" s="22">
        <v>0</v>
      </c>
      <c r="G7694" s="21" t="str">
        <f t="shared" si="360"/>
        <v>VERIFICAR</v>
      </c>
      <c r="H7694" s="22">
        <v>0</v>
      </c>
      <c r="I7694" s="23" t="str">
        <f t="shared" si="361"/>
        <v xml:space="preserve">COM VALOR</v>
      </c>
      <c r="J7694" s="19"/>
      <c r="L7694" s="21">
        <v>0</v>
      </c>
      <c r="M7694" s="22"/>
      <c r="N7694" s="21">
        <v>0</v>
      </c>
      <c r="O7694" s="22"/>
    </row>
    <row r="7695" ht="38.25">
      <c r="A7695" t="s">
        <v>7725</v>
      </c>
      <c r="B7695" s="19">
        <v>106610</v>
      </c>
      <c r="C7695" s="20" t="s">
        <v>7774</v>
      </c>
      <c r="D7695" s="19" t="s">
        <v>7766</v>
      </c>
      <c r="E7695" s="21" t="str">
        <f t="shared" si="359"/>
        <v>VERIFICAR</v>
      </c>
      <c r="F7695" s="22">
        <v>0</v>
      </c>
      <c r="G7695" s="21" t="str">
        <f t="shared" si="360"/>
        <v>VERIFICAR</v>
      </c>
      <c r="H7695" s="22">
        <v>0</v>
      </c>
      <c r="I7695" s="23" t="str">
        <f t="shared" si="361"/>
        <v xml:space="preserve">COM VALOR</v>
      </c>
      <c r="J7695" s="19"/>
      <c r="L7695" s="21">
        <v>0</v>
      </c>
      <c r="M7695" s="22"/>
      <c r="N7695" s="21">
        <v>0</v>
      </c>
      <c r="O7695" s="22"/>
    </row>
    <row r="7696" ht="38.25">
      <c r="A7696" t="s">
        <v>7725</v>
      </c>
      <c r="B7696" s="19">
        <v>106611</v>
      </c>
      <c r="C7696" s="20" t="s">
        <v>7775</v>
      </c>
      <c r="D7696" s="19" t="s">
        <v>7766</v>
      </c>
      <c r="E7696" s="21" t="str">
        <f t="shared" si="359"/>
        <v>VERIFICAR</v>
      </c>
      <c r="F7696" s="22">
        <v>0</v>
      </c>
      <c r="G7696" s="21" t="str">
        <f t="shared" si="360"/>
        <v>VERIFICAR</v>
      </c>
      <c r="H7696" s="22">
        <v>0</v>
      </c>
      <c r="I7696" s="23" t="str">
        <f t="shared" si="361"/>
        <v xml:space="preserve">COM VALOR</v>
      </c>
      <c r="J7696" s="19"/>
      <c r="L7696" s="21">
        <v>0</v>
      </c>
      <c r="M7696" s="22"/>
      <c r="N7696" s="21">
        <v>0</v>
      </c>
      <c r="O7696" s="22"/>
    </row>
    <row r="7697" ht="25.5">
      <c r="A7697" t="s">
        <v>7725</v>
      </c>
      <c r="B7697" s="19">
        <v>106605</v>
      </c>
      <c r="C7697" s="20" t="s">
        <v>7776</v>
      </c>
      <c r="D7697" s="19" t="s">
        <v>7766</v>
      </c>
      <c r="E7697" s="21" t="str">
        <f t="shared" si="359"/>
        <v>VERIFICAR</v>
      </c>
      <c r="F7697" s="22">
        <v>0</v>
      </c>
      <c r="G7697" s="21" t="str">
        <f t="shared" si="360"/>
        <v>VERIFICAR</v>
      </c>
      <c r="H7697" s="22">
        <v>0</v>
      </c>
      <c r="I7697" s="23" t="str">
        <f t="shared" si="361"/>
        <v xml:space="preserve">COM VALOR</v>
      </c>
      <c r="J7697" s="19"/>
      <c r="L7697" s="21">
        <v>0</v>
      </c>
      <c r="M7697" s="22"/>
      <c r="N7697" s="21">
        <v>0</v>
      </c>
      <c r="O7697" s="22"/>
    </row>
    <row r="7698" ht="38.25">
      <c r="A7698" t="s">
        <v>7725</v>
      </c>
      <c r="B7698" s="19">
        <v>106606</v>
      </c>
      <c r="C7698" s="20" t="s">
        <v>7777</v>
      </c>
      <c r="D7698" s="19" t="s">
        <v>7766</v>
      </c>
      <c r="E7698" s="21" t="str">
        <f t="shared" si="359"/>
        <v>VERIFICAR</v>
      </c>
      <c r="F7698" s="22">
        <v>0</v>
      </c>
      <c r="G7698" s="21" t="str">
        <f t="shared" si="360"/>
        <v>VERIFICAR</v>
      </c>
      <c r="H7698" s="22">
        <v>0</v>
      </c>
      <c r="I7698" s="23" t="str">
        <f t="shared" si="361"/>
        <v xml:space="preserve">COM VALOR</v>
      </c>
      <c r="J7698" s="19"/>
      <c r="L7698" s="21">
        <v>0</v>
      </c>
      <c r="M7698" s="22"/>
      <c r="N7698" s="21">
        <v>0</v>
      </c>
      <c r="O7698" s="22"/>
    </row>
    <row r="7699" ht="38.25">
      <c r="A7699" t="s">
        <v>7725</v>
      </c>
      <c r="B7699" s="19">
        <v>106608</v>
      </c>
      <c r="C7699" s="20" t="s">
        <v>7778</v>
      </c>
      <c r="D7699" s="19" t="s">
        <v>7766</v>
      </c>
      <c r="E7699" s="21" t="str">
        <f t="shared" si="359"/>
        <v>VERIFICAR</v>
      </c>
      <c r="F7699" s="22">
        <v>0</v>
      </c>
      <c r="G7699" s="21" t="str">
        <f t="shared" si="360"/>
        <v>VERIFICAR</v>
      </c>
      <c r="H7699" s="22">
        <v>0</v>
      </c>
      <c r="I7699" s="23" t="str">
        <f t="shared" si="361"/>
        <v xml:space="preserve">COM VALOR</v>
      </c>
      <c r="J7699" s="19"/>
      <c r="L7699" s="21">
        <v>0</v>
      </c>
      <c r="M7699" s="22"/>
      <c r="N7699" s="21">
        <v>0</v>
      </c>
      <c r="O7699" s="22"/>
    </row>
    <row r="7700" ht="38.25">
      <c r="A7700" t="s">
        <v>7725</v>
      </c>
      <c r="B7700" s="19">
        <v>106607</v>
      </c>
      <c r="C7700" s="20" t="s">
        <v>7779</v>
      </c>
      <c r="D7700" s="19" t="s">
        <v>7766</v>
      </c>
      <c r="E7700" s="21" t="str">
        <f t="shared" si="359"/>
        <v>VERIFICAR</v>
      </c>
      <c r="F7700" s="22">
        <v>0</v>
      </c>
      <c r="G7700" s="21" t="str">
        <f t="shared" si="360"/>
        <v>VERIFICAR</v>
      </c>
      <c r="H7700" s="22">
        <v>0</v>
      </c>
      <c r="I7700" s="23" t="str">
        <f t="shared" si="361"/>
        <v xml:space="preserve">COM VALOR</v>
      </c>
      <c r="J7700" s="19"/>
      <c r="L7700" s="21">
        <v>0</v>
      </c>
      <c r="M7700" s="22"/>
      <c r="N7700" s="21">
        <v>0</v>
      </c>
      <c r="O7700" s="22"/>
    </row>
    <row r="7701" ht="38.25">
      <c r="A7701" t="s">
        <v>7725</v>
      </c>
      <c r="B7701" s="19">
        <v>106581</v>
      </c>
      <c r="C7701" s="20" t="s">
        <v>7780</v>
      </c>
      <c r="D7701" s="19" t="s">
        <v>7766</v>
      </c>
      <c r="E7701" s="21" t="str">
        <f t="shared" si="359"/>
        <v>VERIFICAR</v>
      </c>
      <c r="F7701" s="22">
        <v>0</v>
      </c>
      <c r="G7701" s="21" t="str">
        <f t="shared" si="360"/>
        <v>VERIFICAR</v>
      </c>
      <c r="H7701" s="22">
        <v>0</v>
      </c>
      <c r="I7701" s="23" t="str">
        <f t="shared" si="361"/>
        <v xml:space="preserve">COM VALOR</v>
      </c>
      <c r="J7701" s="19"/>
      <c r="L7701" s="21">
        <v>0</v>
      </c>
      <c r="M7701" s="22"/>
      <c r="N7701" s="21">
        <v>0</v>
      </c>
      <c r="O7701" s="22"/>
    </row>
    <row r="7702" ht="38.25">
      <c r="A7702" t="s">
        <v>7725</v>
      </c>
      <c r="B7702" s="19">
        <v>106582</v>
      </c>
      <c r="C7702" s="20" t="s">
        <v>7781</v>
      </c>
      <c r="D7702" s="19" t="s">
        <v>7766</v>
      </c>
      <c r="E7702" s="21" t="str">
        <f t="shared" si="359"/>
        <v>VERIFICAR</v>
      </c>
      <c r="F7702" s="22">
        <v>0</v>
      </c>
      <c r="G7702" s="21" t="str">
        <f t="shared" si="360"/>
        <v>VERIFICAR</v>
      </c>
      <c r="H7702" s="22">
        <v>0</v>
      </c>
      <c r="I7702" s="23" t="str">
        <f t="shared" si="361"/>
        <v xml:space="preserve">COM VALOR</v>
      </c>
      <c r="J7702" s="19"/>
      <c r="L7702" s="21">
        <v>0</v>
      </c>
      <c r="M7702" s="22"/>
      <c r="N7702" s="21">
        <v>0</v>
      </c>
      <c r="O7702" s="22"/>
    </row>
    <row r="7703" ht="38.25">
      <c r="A7703" t="s">
        <v>7725</v>
      </c>
      <c r="B7703" s="19">
        <v>106583</v>
      </c>
      <c r="C7703" s="20" t="s">
        <v>7782</v>
      </c>
      <c r="D7703" s="19" t="s">
        <v>7766</v>
      </c>
      <c r="E7703" s="21" t="str">
        <f t="shared" si="359"/>
        <v>VERIFICAR</v>
      </c>
      <c r="F7703" s="22">
        <v>0</v>
      </c>
      <c r="G7703" s="21" t="str">
        <f t="shared" si="360"/>
        <v>VERIFICAR</v>
      </c>
      <c r="H7703" s="22">
        <v>0</v>
      </c>
      <c r="I7703" s="23" t="str">
        <f t="shared" si="361"/>
        <v xml:space="preserve">COM VALOR</v>
      </c>
      <c r="J7703" s="19"/>
      <c r="L7703" s="21">
        <v>0</v>
      </c>
      <c r="M7703" s="22"/>
      <c r="N7703" s="21">
        <v>0</v>
      </c>
      <c r="O7703" s="22"/>
    </row>
    <row r="7704" ht="25.5">
      <c r="A7704" t="s">
        <v>7725</v>
      </c>
      <c r="B7704" s="19">
        <v>106577</v>
      </c>
      <c r="C7704" s="20" t="s">
        <v>7783</v>
      </c>
      <c r="D7704" s="19" t="s">
        <v>7766</v>
      </c>
      <c r="E7704" s="21" t="str">
        <f t="shared" si="359"/>
        <v>VERIFICAR</v>
      </c>
      <c r="F7704" s="22">
        <v>0</v>
      </c>
      <c r="G7704" s="21" t="str">
        <f t="shared" si="360"/>
        <v>VERIFICAR</v>
      </c>
      <c r="H7704" s="22">
        <v>0</v>
      </c>
      <c r="I7704" s="23" t="str">
        <f t="shared" si="361"/>
        <v xml:space="preserve">COM VALOR</v>
      </c>
      <c r="J7704" s="19"/>
      <c r="L7704" s="21">
        <v>0</v>
      </c>
      <c r="M7704" s="22"/>
      <c r="N7704" s="21">
        <v>0</v>
      </c>
      <c r="O7704" s="22"/>
    </row>
    <row r="7705" ht="25.5">
      <c r="A7705" t="s">
        <v>7725</v>
      </c>
      <c r="B7705" s="19">
        <v>106578</v>
      </c>
      <c r="C7705" s="20" t="s">
        <v>7784</v>
      </c>
      <c r="D7705" s="19" t="s">
        <v>7766</v>
      </c>
      <c r="E7705" s="21" t="str">
        <f t="shared" si="359"/>
        <v>VERIFICAR</v>
      </c>
      <c r="F7705" s="22">
        <v>0</v>
      </c>
      <c r="G7705" s="21" t="str">
        <f t="shared" si="360"/>
        <v>VERIFICAR</v>
      </c>
      <c r="H7705" s="22">
        <v>0</v>
      </c>
      <c r="I7705" s="23" t="str">
        <f t="shared" si="361"/>
        <v xml:space="preserve">COM VALOR</v>
      </c>
      <c r="J7705" s="19"/>
      <c r="L7705" s="21">
        <v>0</v>
      </c>
      <c r="M7705" s="22"/>
      <c r="N7705" s="21">
        <v>0</v>
      </c>
      <c r="O7705" s="22"/>
    </row>
    <row r="7706" ht="38.25">
      <c r="A7706" t="s">
        <v>7725</v>
      </c>
      <c r="B7706" s="19">
        <v>106580</v>
      </c>
      <c r="C7706" s="20" t="s">
        <v>7785</v>
      </c>
      <c r="D7706" s="19" t="s">
        <v>7766</v>
      </c>
      <c r="E7706" s="21" t="str">
        <f t="shared" si="359"/>
        <v>VERIFICAR</v>
      </c>
      <c r="F7706" s="22">
        <v>0</v>
      </c>
      <c r="G7706" s="21" t="str">
        <f t="shared" si="360"/>
        <v>VERIFICAR</v>
      </c>
      <c r="H7706" s="22">
        <v>0</v>
      </c>
      <c r="I7706" s="23" t="str">
        <f t="shared" si="361"/>
        <v xml:space="preserve">COM VALOR</v>
      </c>
      <c r="J7706" s="19"/>
      <c r="L7706" s="21">
        <v>0</v>
      </c>
      <c r="M7706" s="22"/>
      <c r="N7706" s="21">
        <v>0</v>
      </c>
      <c r="O7706" s="22"/>
    </row>
    <row r="7707" ht="25.5">
      <c r="A7707" t="s">
        <v>7725</v>
      </c>
      <c r="B7707" s="19">
        <v>106579</v>
      </c>
      <c r="C7707" s="20" t="s">
        <v>7786</v>
      </c>
      <c r="D7707" s="19" t="s">
        <v>7766</v>
      </c>
      <c r="E7707" s="21" t="str">
        <f t="shared" si="359"/>
        <v>VERIFICAR</v>
      </c>
      <c r="F7707" s="22">
        <v>0</v>
      </c>
      <c r="G7707" s="21" t="str">
        <f t="shared" si="360"/>
        <v>VERIFICAR</v>
      </c>
      <c r="H7707" s="22">
        <v>0</v>
      </c>
      <c r="I7707" s="23" t="str">
        <f t="shared" si="361"/>
        <v xml:space="preserve">COM VALOR</v>
      </c>
      <c r="J7707" s="19"/>
      <c r="L7707" s="21">
        <v>0</v>
      </c>
      <c r="M7707" s="22"/>
      <c r="N7707" s="21">
        <v>0</v>
      </c>
      <c r="O7707" s="22"/>
    </row>
    <row r="7708" ht="38.25">
      <c r="A7708" t="s">
        <v>7725</v>
      </c>
      <c r="B7708" s="19">
        <v>106588</v>
      </c>
      <c r="C7708" s="20" t="s">
        <v>7787</v>
      </c>
      <c r="D7708" s="19" t="s">
        <v>7766</v>
      </c>
      <c r="E7708" s="21" t="str">
        <f t="shared" si="359"/>
        <v>VERIFICAR</v>
      </c>
      <c r="F7708" s="22">
        <v>0</v>
      </c>
      <c r="G7708" s="21" t="str">
        <f t="shared" si="360"/>
        <v>VERIFICAR</v>
      </c>
      <c r="H7708" s="22">
        <v>0</v>
      </c>
      <c r="I7708" s="23" t="str">
        <f t="shared" si="361"/>
        <v xml:space="preserve">COM VALOR</v>
      </c>
      <c r="J7708" s="19"/>
      <c r="L7708" s="21">
        <v>0</v>
      </c>
      <c r="M7708" s="22"/>
      <c r="N7708" s="21">
        <v>0</v>
      </c>
      <c r="O7708" s="22"/>
    </row>
    <row r="7709" ht="38.25">
      <c r="A7709" t="s">
        <v>7725</v>
      </c>
      <c r="B7709" s="19">
        <v>106589</v>
      </c>
      <c r="C7709" s="20" t="s">
        <v>7788</v>
      </c>
      <c r="D7709" s="19" t="s">
        <v>7766</v>
      </c>
      <c r="E7709" s="21" t="str">
        <f t="shared" si="359"/>
        <v>VERIFICAR</v>
      </c>
      <c r="F7709" s="22">
        <v>0</v>
      </c>
      <c r="G7709" s="21" t="str">
        <f t="shared" si="360"/>
        <v>VERIFICAR</v>
      </c>
      <c r="H7709" s="22">
        <v>0</v>
      </c>
      <c r="I7709" s="23" t="str">
        <f t="shared" si="361"/>
        <v xml:space="preserve">COM VALOR</v>
      </c>
      <c r="J7709" s="19"/>
      <c r="L7709" s="21">
        <v>0</v>
      </c>
      <c r="M7709" s="22"/>
      <c r="N7709" s="21">
        <v>0</v>
      </c>
      <c r="O7709" s="22"/>
    </row>
    <row r="7710" ht="38.25">
      <c r="A7710" t="s">
        <v>7725</v>
      </c>
      <c r="B7710" s="19">
        <v>106590</v>
      </c>
      <c r="C7710" s="20" t="s">
        <v>7789</v>
      </c>
      <c r="D7710" s="19" t="s">
        <v>7766</v>
      </c>
      <c r="E7710" s="21" t="str">
        <f t="shared" si="359"/>
        <v>VERIFICAR</v>
      </c>
      <c r="F7710" s="22">
        <v>0</v>
      </c>
      <c r="G7710" s="21" t="str">
        <f t="shared" si="360"/>
        <v>VERIFICAR</v>
      </c>
      <c r="H7710" s="22">
        <v>0</v>
      </c>
      <c r="I7710" s="23" t="str">
        <f t="shared" si="361"/>
        <v xml:space="preserve">COM VALOR</v>
      </c>
      <c r="J7710" s="19"/>
      <c r="L7710" s="21">
        <v>0</v>
      </c>
      <c r="M7710" s="22"/>
      <c r="N7710" s="21">
        <v>0</v>
      </c>
      <c r="O7710" s="22"/>
    </row>
    <row r="7711" ht="25.5">
      <c r="A7711" t="s">
        <v>7725</v>
      </c>
      <c r="B7711" s="19">
        <v>106584</v>
      </c>
      <c r="C7711" s="20" t="s">
        <v>7790</v>
      </c>
      <c r="D7711" s="19" t="s">
        <v>7766</v>
      </c>
      <c r="E7711" s="21" t="str">
        <f t="shared" si="359"/>
        <v>VERIFICAR</v>
      </c>
      <c r="F7711" s="22">
        <v>0</v>
      </c>
      <c r="G7711" s="21" t="str">
        <f t="shared" si="360"/>
        <v>VERIFICAR</v>
      </c>
      <c r="H7711" s="22">
        <v>0</v>
      </c>
      <c r="I7711" s="23" t="str">
        <f t="shared" si="361"/>
        <v xml:space="preserve">COM VALOR</v>
      </c>
      <c r="J7711" s="19"/>
      <c r="L7711" s="21">
        <v>0</v>
      </c>
      <c r="M7711" s="22"/>
      <c r="N7711" s="21">
        <v>0</v>
      </c>
      <c r="O7711" s="22"/>
    </row>
    <row r="7712" ht="25.5">
      <c r="A7712" t="s">
        <v>7725</v>
      </c>
      <c r="B7712" s="19">
        <v>106585</v>
      </c>
      <c r="C7712" s="20" t="s">
        <v>7791</v>
      </c>
      <c r="D7712" s="19" t="s">
        <v>7766</v>
      </c>
      <c r="E7712" s="21" t="str">
        <f t="shared" si="359"/>
        <v>VERIFICAR</v>
      </c>
      <c r="F7712" s="22">
        <v>0</v>
      </c>
      <c r="G7712" s="21" t="str">
        <f t="shared" si="360"/>
        <v>VERIFICAR</v>
      </c>
      <c r="H7712" s="22">
        <v>0</v>
      </c>
      <c r="I7712" s="23" t="str">
        <f t="shared" si="361"/>
        <v xml:space="preserve">COM VALOR</v>
      </c>
      <c r="J7712" s="19"/>
      <c r="L7712" s="21">
        <v>0</v>
      </c>
      <c r="M7712" s="22"/>
      <c r="N7712" s="21">
        <v>0</v>
      </c>
      <c r="O7712" s="22"/>
    </row>
    <row r="7713" ht="38.25">
      <c r="A7713" t="s">
        <v>7725</v>
      </c>
      <c r="B7713" s="19">
        <v>106587</v>
      </c>
      <c r="C7713" s="20" t="s">
        <v>7792</v>
      </c>
      <c r="D7713" s="19" t="s">
        <v>7766</v>
      </c>
      <c r="E7713" s="21" t="str">
        <f t="shared" si="359"/>
        <v>VERIFICAR</v>
      </c>
      <c r="F7713" s="22">
        <v>0</v>
      </c>
      <c r="G7713" s="21" t="str">
        <f t="shared" si="360"/>
        <v>VERIFICAR</v>
      </c>
      <c r="H7713" s="22">
        <v>0</v>
      </c>
      <c r="I7713" s="23" t="str">
        <f t="shared" si="361"/>
        <v xml:space="preserve">COM VALOR</v>
      </c>
      <c r="J7713" s="19"/>
      <c r="L7713" s="21">
        <v>0</v>
      </c>
      <c r="M7713" s="22"/>
      <c r="N7713" s="21">
        <v>0</v>
      </c>
      <c r="O7713" s="22"/>
    </row>
    <row r="7714" ht="25.5">
      <c r="A7714" t="s">
        <v>7725</v>
      </c>
      <c r="B7714" s="19">
        <v>106586</v>
      </c>
      <c r="C7714" s="20" t="s">
        <v>7793</v>
      </c>
      <c r="D7714" s="19" t="s">
        <v>7766</v>
      </c>
      <c r="E7714" s="21" t="str">
        <f t="shared" si="359"/>
        <v>VERIFICAR</v>
      </c>
      <c r="F7714" s="22">
        <v>0</v>
      </c>
      <c r="G7714" s="21" t="str">
        <f t="shared" si="360"/>
        <v>VERIFICAR</v>
      </c>
      <c r="H7714" s="22">
        <v>0</v>
      </c>
      <c r="I7714" s="23" t="str">
        <f t="shared" si="361"/>
        <v xml:space="preserve">COM VALOR</v>
      </c>
      <c r="J7714" s="19"/>
      <c r="L7714" s="21">
        <v>0</v>
      </c>
      <c r="M7714" s="22"/>
      <c r="N7714" s="21">
        <v>0</v>
      </c>
      <c r="O7714" s="22"/>
    </row>
    <row r="7715" ht="38.25">
      <c r="A7715" t="s">
        <v>7725</v>
      </c>
      <c r="B7715" s="19">
        <v>106595</v>
      </c>
      <c r="C7715" s="20" t="s">
        <v>7794</v>
      </c>
      <c r="D7715" s="19" t="s">
        <v>7766</v>
      </c>
      <c r="E7715" s="21" t="str">
        <f t="shared" si="359"/>
        <v>VERIFICAR</v>
      </c>
      <c r="F7715" s="22">
        <v>0</v>
      </c>
      <c r="G7715" s="21" t="str">
        <f t="shared" si="360"/>
        <v>VERIFICAR</v>
      </c>
      <c r="H7715" s="22">
        <v>0</v>
      </c>
      <c r="I7715" s="23" t="str">
        <f t="shared" si="361"/>
        <v xml:space="preserve">COM VALOR</v>
      </c>
      <c r="J7715" s="19"/>
      <c r="L7715" s="21">
        <v>0</v>
      </c>
      <c r="M7715" s="22"/>
      <c r="N7715" s="21">
        <v>0</v>
      </c>
      <c r="O7715" s="22"/>
    </row>
    <row r="7716" ht="38.25">
      <c r="A7716" t="s">
        <v>7725</v>
      </c>
      <c r="B7716" s="19">
        <v>106596</v>
      </c>
      <c r="C7716" s="20" t="s">
        <v>7795</v>
      </c>
      <c r="D7716" s="19" t="s">
        <v>7766</v>
      </c>
      <c r="E7716" s="21" t="str">
        <f t="shared" si="359"/>
        <v>VERIFICAR</v>
      </c>
      <c r="F7716" s="22">
        <v>0</v>
      </c>
      <c r="G7716" s="21" t="str">
        <f t="shared" si="360"/>
        <v>VERIFICAR</v>
      </c>
      <c r="H7716" s="22">
        <v>0</v>
      </c>
      <c r="I7716" s="23" t="str">
        <f t="shared" si="361"/>
        <v xml:space="preserve">COM VALOR</v>
      </c>
      <c r="J7716" s="19"/>
      <c r="L7716" s="21">
        <v>0</v>
      </c>
      <c r="M7716" s="22"/>
      <c r="N7716" s="21">
        <v>0</v>
      </c>
      <c r="O7716" s="22"/>
    </row>
    <row r="7717" ht="38.25">
      <c r="A7717" t="s">
        <v>7725</v>
      </c>
      <c r="B7717" s="19">
        <v>106597</v>
      </c>
      <c r="C7717" s="20" t="s">
        <v>7796</v>
      </c>
      <c r="D7717" s="19" t="s">
        <v>7766</v>
      </c>
      <c r="E7717" s="21" t="str">
        <f t="shared" si="359"/>
        <v>VERIFICAR</v>
      </c>
      <c r="F7717" s="22">
        <v>0</v>
      </c>
      <c r="G7717" s="21" t="str">
        <f t="shared" si="360"/>
        <v>VERIFICAR</v>
      </c>
      <c r="H7717" s="22">
        <v>0</v>
      </c>
      <c r="I7717" s="23" t="str">
        <f t="shared" si="361"/>
        <v xml:space="preserve">COM VALOR</v>
      </c>
      <c r="J7717" s="19"/>
      <c r="L7717" s="21">
        <v>0</v>
      </c>
      <c r="M7717" s="22"/>
      <c r="N7717" s="21">
        <v>0</v>
      </c>
      <c r="O7717" s="22"/>
    </row>
    <row r="7718" ht="25.5">
      <c r="A7718" t="s">
        <v>7725</v>
      </c>
      <c r="B7718" s="19">
        <v>106591</v>
      </c>
      <c r="C7718" s="20" t="s">
        <v>7797</v>
      </c>
      <c r="D7718" s="19" t="s">
        <v>7766</v>
      </c>
      <c r="E7718" s="21" t="str">
        <f t="shared" si="359"/>
        <v>VERIFICAR</v>
      </c>
      <c r="F7718" s="22">
        <v>0</v>
      </c>
      <c r="G7718" s="21" t="str">
        <f t="shared" si="360"/>
        <v>VERIFICAR</v>
      </c>
      <c r="H7718" s="22">
        <v>0</v>
      </c>
      <c r="I7718" s="23" t="str">
        <f t="shared" si="361"/>
        <v xml:space="preserve">COM VALOR</v>
      </c>
      <c r="J7718" s="19"/>
      <c r="L7718" s="21">
        <v>0</v>
      </c>
      <c r="M7718" s="22"/>
      <c r="N7718" s="21">
        <v>0</v>
      </c>
      <c r="O7718" s="22"/>
    </row>
    <row r="7719" ht="25.5">
      <c r="A7719" t="s">
        <v>7725</v>
      </c>
      <c r="B7719" s="19">
        <v>106592</v>
      </c>
      <c r="C7719" s="20" t="s">
        <v>7798</v>
      </c>
      <c r="D7719" s="19" t="s">
        <v>7766</v>
      </c>
      <c r="E7719" s="21" t="str">
        <f t="shared" si="359"/>
        <v>VERIFICAR</v>
      </c>
      <c r="F7719" s="22">
        <v>0</v>
      </c>
      <c r="G7719" s="21" t="str">
        <f t="shared" si="360"/>
        <v>VERIFICAR</v>
      </c>
      <c r="H7719" s="22">
        <v>0</v>
      </c>
      <c r="I7719" s="23" t="str">
        <f t="shared" si="361"/>
        <v xml:space="preserve">COM VALOR</v>
      </c>
      <c r="J7719" s="19"/>
      <c r="L7719" s="21">
        <v>0</v>
      </c>
      <c r="M7719" s="22"/>
      <c r="N7719" s="21">
        <v>0</v>
      </c>
      <c r="O7719" s="22"/>
    </row>
    <row r="7720" ht="38.25">
      <c r="A7720" t="s">
        <v>7725</v>
      </c>
      <c r="B7720" s="19">
        <v>106594</v>
      </c>
      <c r="C7720" s="20" t="s">
        <v>7799</v>
      </c>
      <c r="D7720" s="19" t="s">
        <v>7766</v>
      </c>
      <c r="E7720" s="21" t="str">
        <f t="shared" si="359"/>
        <v>VERIFICAR</v>
      </c>
      <c r="F7720" s="22">
        <v>0</v>
      </c>
      <c r="G7720" s="21" t="str">
        <f t="shared" si="360"/>
        <v>VERIFICAR</v>
      </c>
      <c r="H7720" s="22">
        <v>0</v>
      </c>
      <c r="I7720" s="23" t="str">
        <f t="shared" si="361"/>
        <v xml:space="preserve">COM VALOR</v>
      </c>
      <c r="J7720" s="19"/>
      <c r="L7720" s="21">
        <v>0</v>
      </c>
      <c r="M7720" s="22"/>
      <c r="N7720" s="21">
        <v>0</v>
      </c>
      <c r="O7720" s="22"/>
    </row>
    <row r="7721" ht="25.5">
      <c r="A7721" t="s">
        <v>7725</v>
      </c>
      <c r="B7721" s="19">
        <v>106593</v>
      </c>
      <c r="C7721" s="20" t="s">
        <v>7800</v>
      </c>
      <c r="D7721" s="19" t="s">
        <v>7766</v>
      </c>
      <c r="E7721" s="21" t="str">
        <f t="shared" si="359"/>
        <v>VERIFICAR</v>
      </c>
      <c r="F7721" s="22">
        <v>0</v>
      </c>
      <c r="G7721" s="21" t="str">
        <f t="shared" si="360"/>
        <v>VERIFICAR</v>
      </c>
      <c r="H7721" s="22">
        <v>0</v>
      </c>
      <c r="I7721" s="23" t="str">
        <f t="shared" si="361"/>
        <v xml:space="preserve">COM VALOR</v>
      </c>
      <c r="J7721" s="19"/>
      <c r="L7721" s="21">
        <v>0</v>
      </c>
      <c r="M7721" s="22"/>
      <c r="N7721" s="21">
        <v>0</v>
      </c>
      <c r="O7721" s="22"/>
    </row>
    <row r="7722" ht="38.25">
      <c r="A7722" t="s">
        <v>7725</v>
      </c>
      <c r="B7722" s="19">
        <v>106616</v>
      </c>
      <c r="C7722" s="20" t="s">
        <v>7801</v>
      </c>
      <c r="D7722" s="19" t="s">
        <v>7766</v>
      </c>
      <c r="E7722" s="21" t="str">
        <f t="shared" si="359"/>
        <v>VERIFICAR</v>
      </c>
      <c r="F7722" s="22">
        <v>0</v>
      </c>
      <c r="G7722" s="21" t="str">
        <f t="shared" si="360"/>
        <v>VERIFICAR</v>
      </c>
      <c r="H7722" s="22">
        <v>0</v>
      </c>
      <c r="I7722" s="23" t="str">
        <f t="shared" si="361"/>
        <v xml:space="preserve">COM VALOR</v>
      </c>
      <c r="J7722" s="19"/>
      <c r="L7722" s="21">
        <v>0</v>
      </c>
      <c r="M7722" s="22"/>
      <c r="N7722" s="21">
        <v>0</v>
      </c>
      <c r="O7722" s="22"/>
    </row>
    <row r="7723" ht="38.25">
      <c r="A7723" t="s">
        <v>7725</v>
      </c>
      <c r="B7723" s="19">
        <v>106617</v>
      </c>
      <c r="C7723" s="20" t="s">
        <v>7802</v>
      </c>
      <c r="D7723" s="19" t="s">
        <v>7766</v>
      </c>
      <c r="E7723" s="21" t="str">
        <f t="shared" si="359"/>
        <v>VERIFICAR</v>
      </c>
      <c r="F7723" s="22">
        <v>0</v>
      </c>
      <c r="G7723" s="21" t="str">
        <f t="shared" si="360"/>
        <v>VERIFICAR</v>
      </c>
      <c r="H7723" s="22">
        <v>0</v>
      </c>
      <c r="I7723" s="23" t="str">
        <f t="shared" si="361"/>
        <v xml:space="preserve">COM VALOR</v>
      </c>
      <c r="J7723" s="19"/>
      <c r="L7723" s="21">
        <v>0</v>
      </c>
      <c r="M7723" s="22"/>
      <c r="N7723" s="21">
        <v>0</v>
      </c>
      <c r="O7723" s="22"/>
    </row>
    <row r="7724" ht="38.25">
      <c r="A7724" t="s">
        <v>7725</v>
      </c>
      <c r="B7724" s="19">
        <v>106618</v>
      </c>
      <c r="C7724" s="20" t="s">
        <v>7803</v>
      </c>
      <c r="D7724" s="19" t="s">
        <v>7766</v>
      </c>
      <c r="E7724" s="21" t="str">
        <f t="shared" si="359"/>
        <v>VERIFICAR</v>
      </c>
      <c r="F7724" s="22"/>
      <c r="G7724" s="21" t="str">
        <f t="shared" si="360"/>
        <v>VERIFICAR</v>
      </c>
      <c r="H7724" s="22"/>
      <c r="I7724" s="23" t="str">
        <f t="shared" si="361"/>
        <v xml:space="preserve">COM VALOR</v>
      </c>
      <c r="J7724" s="19"/>
      <c r="L7724" s="21">
        <v>0</v>
      </c>
      <c r="M7724" s="22"/>
      <c r="N7724" s="21">
        <v>0</v>
      </c>
      <c r="O7724" s="22"/>
    </row>
    <row r="7725" ht="38.25">
      <c r="A7725" t="s">
        <v>7725</v>
      </c>
      <c r="B7725" s="19">
        <v>106612</v>
      </c>
      <c r="C7725" s="20" t="s">
        <v>7804</v>
      </c>
      <c r="D7725" s="19" t="s">
        <v>7766</v>
      </c>
      <c r="E7725" s="21" t="str">
        <f t="shared" si="359"/>
        <v>VERIFICAR</v>
      </c>
      <c r="F7725" s="22"/>
      <c r="G7725" s="21" t="str">
        <f t="shared" si="360"/>
        <v>VERIFICAR</v>
      </c>
      <c r="H7725" s="22"/>
      <c r="I7725" s="23" t="str">
        <f t="shared" si="361"/>
        <v xml:space="preserve">COM VALOR</v>
      </c>
      <c r="J7725" s="19"/>
      <c r="L7725" s="21">
        <v>0</v>
      </c>
      <c r="M7725" s="22"/>
      <c r="N7725" s="21">
        <v>0</v>
      </c>
      <c r="O7725" s="22"/>
    </row>
    <row r="7726" ht="38.25">
      <c r="A7726" t="s">
        <v>7725</v>
      </c>
      <c r="B7726" s="19">
        <v>106613</v>
      </c>
      <c r="C7726" s="20" t="s">
        <v>7805</v>
      </c>
      <c r="D7726" s="19" t="s">
        <v>7766</v>
      </c>
      <c r="E7726" s="21" t="str">
        <f t="shared" si="359"/>
        <v>VERIFICAR</v>
      </c>
      <c r="F7726" s="22"/>
      <c r="G7726" s="21" t="str">
        <f t="shared" si="360"/>
        <v>VERIFICAR</v>
      </c>
      <c r="H7726" s="22"/>
      <c r="I7726" s="23" t="str">
        <f t="shared" si="361"/>
        <v xml:space="preserve">COM VALOR</v>
      </c>
      <c r="J7726" s="19"/>
      <c r="L7726" s="21">
        <v>0</v>
      </c>
      <c r="M7726" s="22"/>
      <c r="N7726" s="21">
        <v>0</v>
      </c>
      <c r="O7726" s="22"/>
    </row>
    <row r="7727" ht="38.25">
      <c r="A7727" t="s">
        <v>7725</v>
      </c>
      <c r="B7727" s="19">
        <v>106615</v>
      </c>
      <c r="C7727" s="20" t="s">
        <v>7806</v>
      </c>
      <c r="D7727" s="19" t="s">
        <v>7766</v>
      </c>
      <c r="E7727" s="21" t="str">
        <f t="shared" si="359"/>
        <v>VERIFICAR</v>
      </c>
      <c r="F7727" s="22"/>
      <c r="G7727" s="21" t="str">
        <f t="shared" si="360"/>
        <v>VERIFICAR</v>
      </c>
      <c r="H7727" s="22"/>
      <c r="I7727" s="23" t="str">
        <f t="shared" si="361"/>
        <v xml:space="preserve">COM VALOR</v>
      </c>
      <c r="J7727" s="19"/>
      <c r="L7727" s="21">
        <v>0</v>
      </c>
      <c r="M7727" s="22"/>
      <c r="N7727" s="21">
        <v>0</v>
      </c>
      <c r="O7727" s="22"/>
    </row>
    <row r="7728" ht="38.25">
      <c r="A7728" t="s">
        <v>7725</v>
      </c>
      <c r="B7728" s="19">
        <v>106614</v>
      </c>
      <c r="C7728" s="20" t="s">
        <v>7807</v>
      </c>
      <c r="D7728" s="19" t="s">
        <v>7766</v>
      </c>
      <c r="E7728" s="21" t="str">
        <f t="shared" si="359"/>
        <v>VERIFICAR</v>
      </c>
      <c r="F7728" s="22"/>
      <c r="G7728" s="21" t="str">
        <f t="shared" si="360"/>
        <v>VERIFICAR</v>
      </c>
      <c r="H7728" s="22"/>
      <c r="I7728" s="23" t="str">
        <f t="shared" si="361"/>
        <v xml:space="preserve">COM VALOR</v>
      </c>
      <c r="J7728" s="19"/>
      <c r="L7728" s="21">
        <v>0</v>
      </c>
      <c r="M7728" s="22"/>
      <c r="N7728" s="21">
        <v>0</v>
      </c>
      <c r="O7728" s="22"/>
    </row>
    <row r="7729" ht="38.25">
      <c r="A7729" t="s">
        <v>7725</v>
      </c>
      <c r="B7729" s="19">
        <v>106623</v>
      </c>
      <c r="C7729" s="20" t="s">
        <v>7808</v>
      </c>
      <c r="D7729" s="19" t="s">
        <v>7766</v>
      </c>
      <c r="E7729" s="21" t="str">
        <f t="shared" si="359"/>
        <v>VERIFICAR</v>
      </c>
      <c r="F7729" s="22">
        <v>0</v>
      </c>
      <c r="G7729" s="21" t="str">
        <f t="shared" si="360"/>
        <v>VERIFICAR</v>
      </c>
      <c r="H7729" s="22">
        <v>0</v>
      </c>
      <c r="I7729" s="23" t="str">
        <f t="shared" si="361"/>
        <v xml:space="preserve">COM VALOR</v>
      </c>
      <c r="J7729" s="19"/>
      <c r="L7729" s="21">
        <v>0</v>
      </c>
      <c r="M7729" s="22"/>
      <c r="N7729" s="21">
        <v>0</v>
      </c>
      <c r="O7729" s="22"/>
    </row>
    <row r="7730" ht="38.25">
      <c r="A7730" t="s">
        <v>7725</v>
      </c>
      <c r="B7730" s="19">
        <v>106624</v>
      </c>
      <c r="C7730" s="20" t="s">
        <v>7809</v>
      </c>
      <c r="D7730" s="19" t="s">
        <v>7766</v>
      </c>
      <c r="E7730" s="21" t="str">
        <f t="shared" si="359"/>
        <v>VERIFICAR</v>
      </c>
      <c r="F7730" s="22">
        <v>0</v>
      </c>
      <c r="G7730" s="21" t="str">
        <f t="shared" si="360"/>
        <v>VERIFICAR</v>
      </c>
      <c r="H7730" s="22">
        <v>0</v>
      </c>
      <c r="I7730" s="23" t="str">
        <f t="shared" si="361"/>
        <v xml:space="preserve">COM VALOR</v>
      </c>
      <c r="J7730" s="19"/>
      <c r="L7730" s="21">
        <v>0</v>
      </c>
      <c r="M7730" s="22"/>
      <c r="N7730" s="21">
        <v>0</v>
      </c>
      <c r="O7730" s="22"/>
    </row>
    <row r="7731" ht="38.25">
      <c r="A7731" t="s">
        <v>7725</v>
      </c>
      <c r="B7731" s="19">
        <v>106625</v>
      </c>
      <c r="C7731" s="20" t="s">
        <v>7810</v>
      </c>
      <c r="D7731" s="19" t="s">
        <v>7766</v>
      </c>
      <c r="E7731" s="21" t="str">
        <f t="shared" si="359"/>
        <v>VERIFICAR</v>
      </c>
      <c r="F7731" s="22">
        <v>0</v>
      </c>
      <c r="G7731" s="21" t="str">
        <f t="shared" si="360"/>
        <v>VERIFICAR</v>
      </c>
      <c r="H7731" s="22">
        <v>0</v>
      </c>
      <c r="I7731" s="23" t="str">
        <f t="shared" si="361"/>
        <v xml:space="preserve">COM VALOR</v>
      </c>
      <c r="J7731" s="19"/>
      <c r="L7731" s="21">
        <v>0</v>
      </c>
      <c r="M7731" s="22"/>
      <c r="N7731" s="21">
        <v>0</v>
      </c>
      <c r="O7731" s="22"/>
    </row>
    <row r="7732" ht="25.5">
      <c r="A7732" t="s">
        <v>7725</v>
      </c>
      <c r="B7732" s="19">
        <v>106619</v>
      </c>
      <c r="C7732" s="20" t="s">
        <v>7811</v>
      </c>
      <c r="D7732" s="19" t="s">
        <v>7766</v>
      </c>
      <c r="E7732" s="21" t="str">
        <f t="shared" si="359"/>
        <v>VERIFICAR</v>
      </c>
      <c r="F7732" s="22">
        <v>0.75</v>
      </c>
      <c r="G7732" s="21" t="str">
        <f t="shared" si="360"/>
        <v>VERIFICAR</v>
      </c>
      <c r="H7732" s="22">
        <v>0.76000000000000001</v>
      </c>
      <c r="I7732" s="23" t="str">
        <f t="shared" si="361"/>
        <v xml:space="preserve">COM VALOR</v>
      </c>
      <c r="J7732" s="19"/>
      <c r="L7732" s="21">
        <v>0</v>
      </c>
      <c r="M7732" s="22"/>
      <c r="N7732" s="21">
        <v>0</v>
      </c>
      <c r="O7732" s="22"/>
    </row>
    <row r="7733" ht="38.25">
      <c r="A7733" t="s">
        <v>7725</v>
      </c>
      <c r="B7733" s="19">
        <v>106620</v>
      </c>
      <c r="C7733" s="20" t="s">
        <v>7812</v>
      </c>
      <c r="D7733" s="19" t="s">
        <v>7766</v>
      </c>
      <c r="E7733" s="21" t="str">
        <f t="shared" si="359"/>
        <v>VERIFICAR</v>
      </c>
      <c r="F7733" s="22"/>
      <c r="G7733" s="21" t="str">
        <f t="shared" si="360"/>
        <v>VERIFICAR</v>
      </c>
      <c r="H7733" s="22"/>
      <c r="I7733" s="23" t="str">
        <f t="shared" si="361"/>
        <v xml:space="preserve">COM VALOR</v>
      </c>
      <c r="J7733" s="19"/>
      <c r="L7733" s="21">
        <v>0</v>
      </c>
      <c r="M7733" s="22"/>
      <c r="N7733" s="21">
        <v>0</v>
      </c>
      <c r="O7733" s="22"/>
    </row>
    <row r="7734" ht="38.25">
      <c r="A7734" t="s">
        <v>7725</v>
      </c>
      <c r="B7734" s="19">
        <v>106622</v>
      </c>
      <c r="C7734" s="20" t="s">
        <v>7813</v>
      </c>
      <c r="D7734" s="19" t="s">
        <v>7766</v>
      </c>
      <c r="E7734" s="21" t="str">
        <f t="shared" si="359"/>
        <v>VERIFICAR</v>
      </c>
      <c r="F7734" s="22"/>
      <c r="G7734" s="21" t="str">
        <f t="shared" si="360"/>
        <v>VERIFICAR</v>
      </c>
      <c r="H7734" s="22"/>
      <c r="I7734" s="23" t="str">
        <f t="shared" si="361"/>
        <v xml:space="preserve">COM VALOR</v>
      </c>
      <c r="J7734" s="19"/>
      <c r="L7734" s="21">
        <v>0</v>
      </c>
      <c r="M7734" s="22"/>
      <c r="N7734" s="21">
        <v>0</v>
      </c>
      <c r="O7734" s="22"/>
    </row>
    <row r="7735" ht="38.25">
      <c r="A7735" t="s">
        <v>7725</v>
      </c>
      <c r="B7735" s="19">
        <v>106621</v>
      </c>
      <c r="C7735" s="20" t="s">
        <v>7814</v>
      </c>
      <c r="D7735" s="19" t="s">
        <v>7766</v>
      </c>
      <c r="E7735" s="21" t="str">
        <f t="shared" si="359"/>
        <v>VERIFICAR</v>
      </c>
      <c r="F7735" s="22">
        <v>0</v>
      </c>
      <c r="G7735" s="21" t="str">
        <f t="shared" si="360"/>
        <v>VERIFICAR</v>
      </c>
      <c r="H7735" s="22">
        <v>0</v>
      </c>
      <c r="I7735" s="23" t="str">
        <f t="shared" si="361"/>
        <v xml:space="preserve">COM VALOR</v>
      </c>
      <c r="J7735" s="19"/>
      <c r="L7735" s="21">
        <v>0</v>
      </c>
      <c r="M7735" s="22"/>
      <c r="N7735" s="21">
        <v>0</v>
      </c>
      <c r="O7735" s="22"/>
    </row>
    <row r="7736" ht="51">
      <c r="A7736" t="s">
        <v>7815</v>
      </c>
      <c r="B7736" s="19">
        <v>103313</v>
      </c>
      <c r="C7736" s="20" t="s">
        <v>7816</v>
      </c>
      <c r="D7736" s="19" t="s">
        <v>31</v>
      </c>
      <c r="E7736" s="21" t="str">
        <f t="shared" si="359"/>
        <v>VERIFICAR</v>
      </c>
      <c r="F7736" s="22"/>
      <c r="G7736" s="21" t="str">
        <f t="shared" si="360"/>
        <v>VERIFICAR</v>
      </c>
      <c r="H7736" s="22"/>
      <c r="I7736" s="23" t="str">
        <f t="shared" si="361"/>
        <v xml:space="preserve">COM VALOR</v>
      </c>
      <c r="J7736" s="19"/>
      <c r="L7736" s="21">
        <v>0</v>
      </c>
      <c r="M7736" s="22"/>
      <c r="N7736" s="21">
        <v>0</v>
      </c>
      <c r="O7736" s="22"/>
    </row>
    <row r="7737" ht="51">
      <c r="A7737" t="s">
        <v>7815</v>
      </c>
      <c r="B7737" s="19">
        <v>103309</v>
      </c>
      <c r="C7737" s="20" t="s">
        <v>7817</v>
      </c>
      <c r="D7737" s="19" t="s">
        <v>31</v>
      </c>
      <c r="E7737" s="21" t="str">
        <f t="shared" si="359"/>
        <v>VERIFICAR</v>
      </c>
      <c r="F7737" s="22"/>
      <c r="G7737" s="21" t="str">
        <f t="shared" si="360"/>
        <v>VERIFICAR</v>
      </c>
      <c r="H7737" s="22"/>
      <c r="I7737" s="23" t="str">
        <f t="shared" si="361"/>
        <v xml:space="preserve">COM VALOR</v>
      </c>
      <c r="J7737" s="19"/>
      <c r="L7737" s="21">
        <v>0</v>
      </c>
      <c r="M7737" s="22"/>
      <c r="N7737" s="21">
        <v>0</v>
      </c>
      <c r="O7737" s="22"/>
    </row>
    <row r="7738" ht="38.25">
      <c r="A7738" t="s">
        <v>7815</v>
      </c>
      <c r="B7738" s="19">
        <v>103312</v>
      </c>
      <c r="C7738" s="20" t="s">
        <v>7818</v>
      </c>
      <c r="D7738" s="19" t="s">
        <v>31</v>
      </c>
      <c r="E7738" s="21" t="str">
        <f t="shared" si="359"/>
        <v>VERIFICAR</v>
      </c>
      <c r="F7738" s="22"/>
      <c r="G7738" s="21" t="str">
        <f t="shared" si="360"/>
        <v>VERIFICAR</v>
      </c>
      <c r="H7738" s="22"/>
      <c r="I7738" s="23" t="str">
        <f t="shared" si="361"/>
        <v xml:space="preserve">COM VALOR</v>
      </c>
      <c r="J7738" s="19"/>
      <c r="L7738" s="21">
        <v>0</v>
      </c>
      <c r="M7738" s="22"/>
      <c r="N7738" s="21">
        <v>0</v>
      </c>
      <c r="O7738" s="22"/>
    </row>
    <row r="7739" ht="25.5">
      <c r="A7739" t="s">
        <v>7815</v>
      </c>
      <c r="B7739" s="19">
        <v>103296</v>
      </c>
      <c r="C7739" s="20" t="s">
        <v>7819</v>
      </c>
      <c r="D7739" s="19" t="s">
        <v>31</v>
      </c>
      <c r="E7739" s="21" t="str">
        <f t="shared" si="359"/>
        <v>VERIFICAR</v>
      </c>
      <c r="F7739" s="22"/>
      <c r="G7739" s="21" t="str">
        <f t="shared" si="360"/>
        <v>VERIFICAR</v>
      </c>
      <c r="H7739" s="22"/>
      <c r="I7739" s="23" t="str">
        <f t="shared" si="361"/>
        <v xml:space="preserve">COM VALOR</v>
      </c>
      <c r="J7739" s="19"/>
      <c r="L7739" s="21">
        <v>0</v>
      </c>
      <c r="M7739" s="22"/>
      <c r="N7739" s="21">
        <v>0</v>
      </c>
      <c r="O7739" s="22"/>
    </row>
    <row r="7740" ht="25.5">
      <c r="A7740" t="s">
        <v>7815</v>
      </c>
      <c r="B7740" s="19">
        <v>103300</v>
      </c>
      <c r="C7740" s="20" t="s">
        <v>7820</v>
      </c>
      <c r="D7740" s="19" t="s">
        <v>31</v>
      </c>
      <c r="E7740" s="21" t="str">
        <f t="shared" si="359"/>
        <v>VERIFICAR</v>
      </c>
      <c r="F7740" s="22">
        <v>0</v>
      </c>
      <c r="G7740" s="21" t="str">
        <f t="shared" si="360"/>
        <v>VERIFICAR</v>
      </c>
      <c r="H7740" s="22">
        <v>0</v>
      </c>
      <c r="I7740" s="23" t="str">
        <f t="shared" si="361"/>
        <v xml:space="preserve">COM VALOR</v>
      </c>
      <c r="J7740" s="19"/>
      <c r="L7740" s="21">
        <v>0</v>
      </c>
      <c r="M7740" s="22"/>
      <c r="N7740" s="21">
        <v>0</v>
      </c>
      <c r="O7740" s="22"/>
    </row>
    <row r="7741" ht="25.5">
      <c r="A7741" t="s">
        <v>7815</v>
      </c>
      <c r="B7741" s="19">
        <v>103301</v>
      </c>
      <c r="C7741" s="20" t="s">
        <v>7821</v>
      </c>
      <c r="D7741" s="19" t="s">
        <v>31</v>
      </c>
      <c r="E7741" s="21" t="str">
        <f t="shared" si="359"/>
        <v>VERIFICAR</v>
      </c>
      <c r="F7741" s="22"/>
      <c r="G7741" s="21" t="str">
        <f t="shared" si="360"/>
        <v>VERIFICAR</v>
      </c>
      <c r="H7741" s="22"/>
      <c r="I7741" s="23" t="str">
        <f t="shared" si="361"/>
        <v xml:space="preserve">COM VALOR</v>
      </c>
      <c r="J7741" s="19"/>
      <c r="L7741" s="21">
        <v>0</v>
      </c>
      <c r="M7741" s="22"/>
      <c r="N7741" s="21">
        <v>0</v>
      </c>
      <c r="O7741" s="22"/>
    </row>
    <row r="7742" ht="38.25">
      <c r="A7742" t="s">
        <v>7815</v>
      </c>
      <c r="B7742" s="19">
        <v>103304</v>
      </c>
      <c r="C7742" s="20" t="s">
        <v>7822</v>
      </c>
      <c r="D7742" s="19" t="s">
        <v>31</v>
      </c>
      <c r="E7742" s="21">
        <f t="shared" si="359"/>
        <v>1250.1800000000001</v>
      </c>
      <c r="F7742" s="22"/>
      <c r="G7742" s="21">
        <f t="shared" si="360"/>
        <v>1247.8199999999999</v>
      </c>
      <c r="H7742" s="22"/>
      <c r="I7742" s="23" t="str">
        <f t="shared" si="361"/>
        <v xml:space="preserve">COM VALOR</v>
      </c>
      <c r="J7742" s="19"/>
      <c r="L7742" s="21">
        <v>1250.1800000000001</v>
      </c>
      <c r="M7742" s="22">
        <v>0.96999999999999997</v>
      </c>
      <c r="N7742" s="21">
        <v>1247.8199999999999</v>
      </c>
      <c r="O7742" s="22">
        <v>0.96999999999999997</v>
      </c>
    </row>
    <row r="7743" ht="51">
      <c r="A7743" t="s">
        <v>7815</v>
      </c>
      <c r="B7743" s="19">
        <v>103305</v>
      </c>
      <c r="C7743" s="20" t="s">
        <v>7823</v>
      </c>
      <c r="D7743" s="19" t="s">
        <v>31</v>
      </c>
      <c r="E7743" s="21" t="str">
        <f t="shared" si="359"/>
        <v>VERIFICAR</v>
      </c>
      <c r="F7743" s="22"/>
      <c r="G7743" s="21" t="str">
        <f t="shared" si="360"/>
        <v>VERIFICAR</v>
      </c>
      <c r="H7743" s="22"/>
      <c r="I7743" s="23" t="str">
        <f t="shared" si="361"/>
        <v xml:space="preserve">COM VALOR</v>
      </c>
      <c r="J7743" s="19"/>
      <c r="L7743" s="21">
        <v>0</v>
      </c>
      <c r="M7743" s="22"/>
      <c r="N7743" s="21">
        <v>0</v>
      </c>
      <c r="O7743" s="22"/>
    </row>
    <row r="7744" ht="38.25">
      <c r="A7744" t="s">
        <v>7815</v>
      </c>
      <c r="B7744" s="19">
        <v>103294</v>
      </c>
      <c r="C7744" s="20" t="s">
        <v>7824</v>
      </c>
      <c r="D7744" s="19" t="s">
        <v>31</v>
      </c>
      <c r="E7744" s="21" t="str">
        <f t="shared" si="359"/>
        <v>VERIFICAR</v>
      </c>
      <c r="F7744" s="22"/>
      <c r="G7744" s="21" t="str">
        <f t="shared" si="360"/>
        <v>VERIFICAR</v>
      </c>
      <c r="H7744" s="22"/>
      <c r="I7744" s="23" t="str">
        <f t="shared" si="361"/>
        <v xml:space="preserve">COM VALOR</v>
      </c>
      <c r="J7744" s="19"/>
      <c r="L7744" s="21">
        <v>0</v>
      </c>
      <c r="M7744" s="22"/>
      <c r="N7744" s="21">
        <v>0</v>
      </c>
      <c r="O7744" s="22"/>
    </row>
    <row r="7745" ht="25.5">
      <c r="A7745" t="s">
        <v>7815</v>
      </c>
      <c r="B7745" s="19">
        <v>103298</v>
      </c>
      <c r="C7745" s="20" t="s">
        <v>7825</v>
      </c>
      <c r="D7745" s="19" t="s">
        <v>31</v>
      </c>
      <c r="E7745" s="21" t="str">
        <f t="shared" si="359"/>
        <v>VERIFICAR</v>
      </c>
      <c r="F7745" s="22"/>
      <c r="G7745" s="21" t="str">
        <f t="shared" si="360"/>
        <v>VERIFICAR</v>
      </c>
      <c r="H7745" s="22"/>
      <c r="I7745" s="23" t="str">
        <f t="shared" si="361"/>
        <v xml:space="preserve">COM VALOR</v>
      </c>
      <c r="J7745" s="19"/>
      <c r="L7745" s="21">
        <v>0</v>
      </c>
      <c r="M7745" s="22"/>
      <c r="N7745" s="21">
        <v>0</v>
      </c>
      <c r="O7745" s="22"/>
    </row>
    <row r="7746" ht="38.25">
      <c r="A7746" t="s">
        <v>7815</v>
      </c>
      <c r="B7746" s="19">
        <v>103293</v>
      </c>
      <c r="C7746" s="20" t="s">
        <v>7826</v>
      </c>
      <c r="D7746" s="19" t="s">
        <v>31</v>
      </c>
      <c r="E7746" s="21" t="str">
        <f t="shared" si="359"/>
        <v>VERIFICAR</v>
      </c>
      <c r="F7746" s="22">
        <v>0</v>
      </c>
      <c r="G7746" s="21" t="str">
        <f t="shared" si="360"/>
        <v>VERIFICAR</v>
      </c>
      <c r="H7746" s="22">
        <v>0</v>
      </c>
      <c r="I7746" s="23" t="str">
        <f t="shared" si="361"/>
        <v xml:space="preserve">COM VALOR</v>
      </c>
      <c r="J7746" s="19"/>
      <c r="L7746" s="21">
        <v>0</v>
      </c>
      <c r="M7746" s="22"/>
      <c r="N7746" s="21">
        <v>0</v>
      </c>
      <c r="O7746" s="22"/>
    </row>
    <row r="7747" ht="25.5">
      <c r="A7747" t="s">
        <v>7815</v>
      </c>
      <c r="B7747" s="19">
        <v>103297</v>
      </c>
      <c r="C7747" s="20" t="s">
        <v>7827</v>
      </c>
      <c r="D7747" s="19" t="s">
        <v>31</v>
      </c>
      <c r="E7747" s="21" t="str">
        <f t="shared" si="359"/>
        <v>VERIFICAR</v>
      </c>
      <c r="F7747" s="22">
        <v>0</v>
      </c>
      <c r="G7747" s="21" t="str">
        <f t="shared" si="360"/>
        <v>VERIFICAR</v>
      </c>
      <c r="H7747" s="22">
        <v>0</v>
      </c>
      <c r="I7747" s="23" t="str">
        <f t="shared" si="361"/>
        <v xml:space="preserve">COM VALOR</v>
      </c>
      <c r="J7747" s="19"/>
      <c r="L7747" s="21">
        <v>0</v>
      </c>
      <c r="M7747" s="22"/>
      <c r="N7747" s="21">
        <v>0</v>
      </c>
      <c r="O7747" s="22"/>
    </row>
    <row r="7748" ht="38.25">
      <c r="A7748" t="s">
        <v>7815</v>
      </c>
      <c r="B7748" s="19">
        <v>103311</v>
      </c>
      <c r="C7748" s="20" t="s">
        <v>7828</v>
      </c>
      <c r="D7748" s="19" t="s">
        <v>31</v>
      </c>
      <c r="E7748" s="21" t="str">
        <f t="shared" si="359"/>
        <v>VERIFICAR</v>
      </c>
      <c r="F7748" s="22">
        <v>0</v>
      </c>
      <c r="G7748" s="21" t="str">
        <f t="shared" si="360"/>
        <v>VERIFICAR</v>
      </c>
      <c r="H7748" s="22">
        <v>0</v>
      </c>
      <c r="I7748" s="23" t="str">
        <f t="shared" si="361"/>
        <v xml:space="preserve">COM VALOR</v>
      </c>
      <c r="J7748" s="19"/>
      <c r="L7748" s="21">
        <v>0</v>
      </c>
      <c r="M7748" s="22"/>
      <c r="N7748" s="21">
        <v>0</v>
      </c>
      <c r="O7748" s="22"/>
    </row>
    <row r="7749" ht="51">
      <c r="A7749" t="s">
        <v>7815</v>
      </c>
      <c r="B7749" s="19">
        <v>103306</v>
      </c>
      <c r="C7749" s="20" t="s">
        <v>7829</v>
      </c>
      <c r="D7749" s="19" t="s">
        <v>31</v>
      </c>
      <c r="E7749" s="21" t="str">
        <f t="shared" si="359"/>
        <v>VERIFICAR</v>
      </c>
      <c r="F7749" s="22"/>
      <c r="G7749" s="21" t="str">
        <f t="shared" si="360"/>
        <v>VERIFICAR</v>
      </c>
      <c r="H7749" s="22"/>
      <c r="I7749" s="23" t="str">
        <f t="shared" si="361"/>
        <v xml:space="preserve">COM VALOR</v>
      </c>
      <c r="J7749" s="19"/>
      <c r="L7749" s="21">
        <v>0</v>
      </c>
      <c r="M7749" s="22"/>
      <c r="N7749" s="21">
        <v>0</v>
      </c>
      <c r="O7749" s="22"/>
    </row>
    <row r="7750" ht="51">
      <c r="A7750" t="s">
        <v>7815</v>
      </c>
      <c r="B7750" s="19">
        <v>103308</v>
      </c>
      <c r="C7750" s="20" t="s">
        <v>7830</v>
      </c>
      <c r="D7750" s="19" t="s">
        <v>31</v>
      </c>
      <c r="E7750" s="21" t="str">
        <f t="shared" si="359"/>
        <v>VERIFICAR</v>
      </c>
      <c r="F7750" s="22"/>
      <c r="G7750" s="21" t="str">
        <f t="shared" si="360"/>
        <v>VERIFICAR</v>
      </c>
      <c r="H7750" s="22"/>
      <c r="I7750" s="23" t="str">
        <f t="shared" si="361"/>
        <v xml:space="preserve">COM VALOR</v>
      </c>
      <c r="J7750" s="19"/>
      <c r="L7750" s="21">
        <v>0</v>
      </c>
      <c r="M7750" s="22"/>
      <c r="N7750" s="21">
        <v>0</v>
      </c>
      <c r="O7750" s="22"/>
    </row>
    <row r="7751" ht="38.25">
      <c r="A7751" t="s">
        <v>7815</v>
      </c>
      <c r="B7751" s="19">
        <v>103295</v>
      </c>
      <c r="C7751" s="20" t="s">
        <v>7831</v>
      </c>
      <c r="D7751" s="19" t="s">
        <v>31</v>
      </c>
      <c r="E7751" s="21" t="str">
        <f t="shared" si="359"/>
        <v>VERIFICAR</v>
      </c>
      <c r="F7751" s="22"/>
      <c r="G7751" s="21" t="str">
        <f t="shared" si="360"/>
        <v>VERIFICAR</v>
      </c>
      <c r="H7751" s="22"/>
      <c r="I7751" s="23" t="str">
        <f t="shared" si="361"/>
        <v xml:space="preserve">COM VALOR</v>
      </c>
      <c r="J7751" s="19"/>
      <c r="L7751" s="21">
        <v>0</v>
      </c>
      <c r="M7751" s="22"/>
      <c r="N7751" s="21">
        <v>0</v>
      </c>
      <c r="O7751" s="22"/>
    </row>
    <row r="7752" ht="38.25">
      <c r="A7752" t="s">
        <v>7815</v>
      </c>
      <c r="B7752" s="19">
        <v>103299</v>
      </c>
      <c r="C7752" s="20" t="s">
        <v>7832</v>
      </c>
      <c r="D7752" s="19" t="s">
        <v>31</v>
      </c>
      <c r="E7752" s="21" t="str">
        <f t="shared" si="359"/>
        <v>VERIFICAR</v>
      </c>
      <c r="F7752" s="22"/>
      <c r="G7752" s="21" t="str">
        <f t="shared" si="360"/>
        <v>VERIFICAR</v>
      </c>
      <c r="H7752" s="22"/>
      <c r="I7752" s="23" t="str">
        <f t="shared" si="361"/>
        <v xml:space="preserve">COM VALOR</v>
      </c>
      <c r="J7752" s="19"/>
      <c r="L7752" s="21">
        <v>0</v>
      </c>
      <c r="M7752" s="22"/>
      <c r="N7752" s="21">
        <v>0</v>
      </c>
      <c r="O7752" s="22"/>
    </row>
    <row r="7753" ht="25.5">
      <c r="A7753" t="s">
        <v>7815</v>
      </c>
      <c r="B7753" s="19">
        <v>103302</v>
      </c>
      <c r="C7753" s="20" t="s">
        <v>7833</v>
      </c>
      <c r="D7753" s="19" t="s">
        <v>31</v>
      </c>
      <c r="E7753" s="21" t="str">
        <f t="shared" si="359"/>
        <v>VERIFICAR</v>
      </c>
      <c r="F7753" s="22"/>
      <c r="G7753" s="21" t="str">
        <f t="shared" si="360"/>
        <v>VERIFICAR</v>
      </c>
      <c r="H7753" s="22"/>
      <c r="I7753" s="23" t="str">
        <f t="shared" si="361"/>
        <v xml:space="preserve">COM VALOR</v>
      </c>
      <c r="J7753" s="19"/>
      <c r="L7753" s="21">
        <v>0</v>
      </c>
      <c r="M7753" s="22"/>
      <c r="N7753" s="21">
        <v>0</v>
      </c>
      <c r="O7753" s="22"/>
    </row>
    <row r="7754" ht="38.25">
      <c r="A7754" t="s">
        <v>7815</v>
      </c>
      <c r="B7754" s="19">
        <v>103307</v>
      </c>
      <c r="C7754" s="20" t="s">
        <v>7834</v>
      </c>
      <c r="D7754" s="19" t="s">
        <v>31</v>
      </c>
      <c r="E7754" s="21">
        <f t="shared" si="359"/>
        <v>1341.1300000000001</v>
      </c>
      <c r="F7754" s="22"/>
      <c r="G7754" s="21">
        <f t="shared" si="360"/>
        <v>1335.9100000000001</v>
      </c>
      <c r="H7754" s="22"/>
      <c r="I7754" s="23" t="str">
        <f t="shared" si="361"/>
        <v xml:space="preserve">COM VALOR</v>
      </c>
      <c r="J7754" s="19"/>
      <c r="L7754" s="21">
        <v>1341.1300000000001</v>
      </c>
      <c r="M7754" s="22">
        <v>0.92000000000000004</v>
      </c>
      <c r="N7754" s="21">
        <v>1335.9100000000001</v>
      </c>
      <c r="O7754" s="22">
        <v>0.93000000000000005</v>
      </c>
    </row>
    <row r="7755" ht="38.25">
      <c r="A7755" t="s">
        <v>7815</v>
      </c>
      <c r="B7755" s="19">
        <v>103310</v>
      </c>
      <c r="C7755" s="20" t="s">
        <v>7835</v>
      </c>
      <c r="D7755" s="19" t="s">
        <v>31</v>
      </c>
      <c r="E7755" s="21">
        <f t="shared" ref="E7755:E7818" si="362">IF(L7755=0,"VERIFICAR",L7755)</f>
        <v>1288.0799999999999</v>
      </c>
      <c r="F7755" s="22"/>
      <c r="G7755" s="21">
        <f t="shared" ref="G7755:G7818" si="363">IF(N7755=0,"VERIFICAR",N7755)</f>
        <v>1285.79</v>
      </c>
      <c r="H7755" s="22"/>
      <c r="I7755" s="23" t="str">
        <f t="shared" ref="I7755:I7818" si="364">IF(OR(E7755=0,G7755=0),"SEM VALOR","COM VALOR")</f>
        <v xml:space="preserve">COM VALOR</v>
      </c>
      <c r="J7755" s="19"/>
      <c r="L7755" s="21">
        <v>1288.0799999999999</v>
      </c>
      <c r="M7755" s="22">
        <v>0.95999999999999996</v>
      </c>
      <c r="N7755" s="21">
        <v>1285.79</v>
      </c>
      <c r="O7755" s="22">
        <v>0.95999999999999996</v>
      </c>
    </row>
    <row r="7756" ht="25.5">
      <c r="A7756" t="s">
        <v>7815</v>
      </c>
      <c r="B7756" s="19">
        <v>103303</v>
      </c>
      <c r="C7756" s="20" t="s">
        <v>7836</v>
      </c>
      <c r="D7756" s="19" t="s">
        <v>31</v>
      </c>
      <c r="E7756" s="21" t="str">
        <f t="shared" si="362"/>
        <v>VERIFICAR</v>
      </c>
      <c r="F7756" s="22"/>
      <c r="G7756" s="21" t="str">
        <f t="shared" si="363"/>
        <v>VERIFICAR</v>
      </c>
      <c r="H7756" s="22"/>
      <c r="I7756" s="23" t="str">
        <f t="shared" si="364"/>
        <v xml:space="preserve">COM VALOR</v>
      </c>
      <c r="J7756" s="19"/>
      <c r="L7756" s="21">
        <v>0</v>
      </c>
      <c r="M7756" s="22"/>
      <c r="N7756" s="21">
        <v>0</v>
      </c>
      <c r="O7756" s="22"/>
    </row>
    <row r="7757" ht="38.25">
      <c r="A7757" t="s">
        <v>7815</v>
      </c>
      <c r="B7757" s="19">
        <v>103314</v>
      </c>
      <c r="C7757" s="20" t="s">
        <v>7837</v>
      </c>
      <c r="D7757" s="19" t="s">
        <v>29</v>
      </c>
      <c r="E7757" s="21">
        <f t="shared" si="362"/>
        <v>288.68000000000001</v>
      </c>
      <c r="F7757" s="22"/>
      <c r="G7757" s="21">
        <f t="shared" si="363"/>
        <v>286.87</v>
      </c>
      <c r="H7757" s="22"/>
      <c r="I7757" s="23" t="str">
        <f t="shared" si="364"/>
        <v xml:space="preserve">COM VALOR</v>
      </c>
      <c r="J7757" s="19"/>
      <c r="L7757" s="21">
        <v>288.68000000000001</v>
      </c>
      <c r="M7757" s="22">
        <v>0</v>
      </c>
      <c r="N7757" s="21">
        <v>286.87</v>
      </c>
      <c r="O7757" s="22">
        <v>0</v>
      </c>
    </row>
    <row r="7758" ht="38.25">
      <c r="A7758" t="s">
        <v>7815</v>
      </c>
      <c r="B7758" s="19">
        <v>103315</v>
      </c>
      <c r="C7758" s="20" t="s">
        <v>7838</v>
      </c>
      <c r="D7758" s="19" t="s">
        <v>29</v>
      </c>
      <c r="E7758" s="21">
        <f t="shared" si="362"/>
        <v>279.99000000000001</v>
      </c>
      <c r="F7758" s="22"/>
      <c r="G7758" s="21">
        <f t="shared" si="363"/>
        <v>278.63999999999999</v>
      </c>
      <c r="H7758" s="22"/>
      <c r="I7758" s="23" t="str">
        <f t="shared" si="364"/>
        <v xml:space="preserve">COM VALOR</v>
      </c>
      <c r="J7758" s="19"/>
      <c r="L7758" s="21">
        <v>279.99000000000001</v>
      </c>
      <c r="M7758" s="22">
        <v>0</v>
      </c>
      <c r="N7758" s="21">
        <v>278.63999999999999</v>
      </c>
      <c r="O7758" s="22">
        <v>0</v>
      </c>
    </row>
    <row r="7759" ht="51">
      <c r="A7759" t="s">
        <v>7839</v>
      </c>
      <c r="B7759" s="19">
        <v>105188</v>
      </c>
      <c r="C7759" s="20" t="s">
        <v>7840</v>
      </c>
      <c r="D7759" s="19" t="s">
        <v>29</v>
      </c>
      <c r="E7759" s="21">
        <f t="shared" si="362"/>
        <v>179.06</v>
      </c>
      <c r="F7759" s="22"/>
      <c r="G7759" s="21">
        <f t="shared" si="363"/>
        <v>177.97</v>
      </c>
      <c r="H7759" s="22"/>
      <c r="I7759" s="23" t="str">
        <f t="shared" si="364"/>
        <v xml:space="preserve">COM VALOR</v>
      </c>
      <c r="J7759" s="19"/>
      <c r="L7759" s="21">
        <v>179.06</v>
      </c>
      <c r="M7759" s="22">
        <v>0</v>
      </c>
      <c r="N7759" s="21">
        <v>177.97</v>
      </c>
      <c r="O7759" s="22">
        <v>0</v>
      </c>
    </row>
    <row r="7760" ht="38.25">
      <c r="A7760" t="s">
        <v>7839</v>
      </c>
      <c r="B7760" s="19">
        <v>87841</v>
      </c>
      <c r="C7760" s="20" t="s">
        <v>7841</v>
      </c>
      <c r="D7760" s="19" t="s">
        <v>29</v>
      </c>
      <c r="E7760" s="21">
        <f t="shared" si="362"/>
        <v>162.53</v>
      </c>
      <c r="F7760" s="22"/>
      <c r="G7760" s="21">
        <f t="shared" si="363"/>
        <v>161.5</v>
      </c>
      <c r="H7760" s="22"/>
      <c r="I7760" s="23" t="str">
        <f t="shared" si="364"/>
        <v xml:space="preserve">COM VALOR</v>
      </c>
      <c r="J7760" s="19"/>
      <c r="L7760" s="21">
        <v>162.53</v>
      </c>
      <c r="M7760" s="22">
        <v>0</v>
      </c>
      <c r="N7760" s="21">
        <v>161.5</v>
      </c>
      <c r="O7760" s="22">
        <v>0</v>
      </c>
    </row>
    <row r="7761" ht="38.25">
      <c r="A7761" t="s">
        <v>7839</v>
      </c>
      <c r="B7761" s="19">
        <v>87853</v>
      </c>
      <c r="C7761" s="20" t="s">
        <v>7842</v>
      </c>
      <c r="D7761" s="19" t="s">
        <v>29</v>
      </c>
      <c r="E7761" s="21">
        <f t="shared" si="362"/>
        <v>181.30000000000001</v>
      </c>
      <c r="F7761" s="22"/>
      <c r="G7761" s="21">
        <f t="shared" si="363"/>
        <v>180.11000000000001</v>
      </c>
      <c r="H7761" s="22"/>
      <c r="I7761" s="23" t="str">
        <f t="shared" si="364"/>
        <v xml:space="preserve">COM VALOR</v>
      </c>
      <c r="J7761" s="19"/>
      <c r="L7761" s="21">
        <v>181.30000000000001</v>
      </c>
      <c r="M7761" s="22">
        <v>1.e-002</v>
      </c>
      <c r="N7761" s="21">
        <v>180.11000000000001</v>
      </c>
      <c r="O7761" s="22">
        <v>1.e-002</v>
      </c>
    </row>
    <row r="7762" ht="51">
      <c r="A7762" t="s">
        <v>7839</v>
      </c>
      <c r="B7762" s="19">
        <v>105187</v>
      </c>
      <c r="C7762" s="20" t="s">
        <v>7843</v>
      </c>
      <c r="D7762" s="19" t="s">
        <v>29</v>
      </c>
      <c r="E7762" s="21">
        <f t="shared" si="362"/>
        <v>245.30000000000001</v>
      </c>
      <c r="F7762" s="22"/>
      <c r="G7762" s="21">
        <f t="shared" si="363"/>
        <v>243.99000000000001</v>
      </c>
      <c r="H7762" s="22"/>
      <c r="I7762" s="23" t="str">
        <f t="shared" si="364"/>
        <v xml:space="preserve">COM VALOR</v>
      </c>
      <c r="J7762" s="19"/>
      <c r="L7762" s="21">
        <v>245.30000000000001</v>
      </c>
      <c r="M7762" s="22">
        <v>0</v>
      </c>
      <c r="N7762" s="21">
        <v>243.99000000000001</v>
      </c>
      <c r="O7762" s="22">
        <v>0</v>
      </c>
    </row>
    <row r="7763" ht="38.25">
      <c r="A7763" t="s">
        <v>7839</v>
      </c>
      <c r="B7763" s="19">
        <v>87840</v>
      </c>
      <c r="C7763" s="20" t="s">
        <v>7844</v>
      </c>
      <c r="D7763" s="19" t="s">
        <v>29</v>
      </c>
      <c r="E7763" s="21">
        <f t="shared" si="362"/>
        <v>228.77000000000001</v>
      </c>
      <c r="F7763" s="22"/>
      <c r="G7763" s="21">
        <f t="shared" si="363"/>
        <v>227.52000000000001</v>
      </c>
      <c r="H7763" s="22"/>
      <c r="I7763" s="23" t="str">
        <f t="shared" si="364"/>
        <v xml:space="preserve">COM VALOR</v>
      </c>
      <c r="J7763" s="19"/>
      <c r="L7763" s="21">
        <v>228.77000000000001</v>
      </c>
      <c r="M7763" s="22">
        <v>0</v>
      </c>
      <c r="N7763" s="21">
        <v>227.52000000000001</v>
      </c>
      <c r="O7763" s="22">
        <v>0</v>
      </c>
    </row>
    <row r="7764" ht="38.25">
      <c r="A7764" t="s">
        <v>7839</v>
      </c>
      <c r="B7764" s="19">
        <v>87852</v>
      </c>
      <c r="C7764" s="20" t="s">
        <v>7845</v>
      </c>
      <c r="D7764" s="19" t="s">
        <v>29</v>
      </c>
      <c r="E7764" s="21">
        <f t="shared" si="362"/>
        <v>247.53999999999999</v>
      </c>
      <c r="F7764" s="22"/>
      <c r="G7764" s="21">
        <f t="shared" si="363"/>
        <v>246.13999999999999</v>
      </c>
      <c r="H7764" s="22"/>
      <c r="I7764" s="23" t="str">
        <f t="shared" si="364"/>
        <v xml:space="preserve">COM VALOR</v>
      </c>
      <c r="J7764" s="19"/>
      <c r="L7764" s="21">
        <v>247.53999999999999</v>
      </c>
      <c r="M7764" s="22">
        <v>0</v>
      </c>
      <c r="N7764" s="21">
        <v>246.13999999999999</v>
      </c>
      <c r="O7764" s="22">
        <v>0</v>
      </c>
    </row>
    <row r="7765" ht="38.25">
      <c r="A7765" t="s">
        <v>7839</v>
      </c>
      <c r="B7765" s="19">
        <v>105186</v>
      </c>
      <c r="C7765" s="20" t="s">
        <v>7846</v>
      </c>
      <c r="D7765" s="19" t="s">
        <v>29</v>
      </c>
      <c r="E7765" s="21">
        <f t="shared" si="362"/>
        <v>185.09999999999999</v>
      </c>
      <c r="F7765" s="22"/>
      <c r="G7765" s="21">
        <f t="shared" si="363"/>
        <v>183.69999999999999</v>
      </c>
      <c r="H7765" s="22"/>
      <c r="I7765" s="23" t="str">
        <f t="shared" si="364"/>
        <v xml:space="preserve">COM VALOR</v>
      </c>
      <c r="J7765" s="19"/>
      <c r="L7765" s="21">
        <v>185.09999999999999</v>
      </c>
      <c r="M7765" s="22">
        <v>0</v>
      </c>
      <c r="N7765" s="21">
        <v>183.69999999999999</v>
      </c>
      <c r="O7765" s="22">
        <v>0</v>
      </c>
    </row>
    <row r="7766" ht="38.25">
      <c r="A7766" t="s">
        <v>7839</v>
      </c>
      <c r="B7766" s="19">
        <v>87839</v>
      </c>
      <c r="C7766" s="20" t="s">
        <v>7847</v>
      </c>
      <c r="D7766" s="19" t="s">
        <v>29</v>
      </c>
      <c r="E7766" s="21">
        <f t="shared" si="362"/>
        <v>168.84</v>
      </c>
      <c r="F7766" s="22"/>
      <c r="G7766" s="21">
        <f t="shared" si="363"/>
        <v>167.5</v>
      </c>
      <c r="H7766" s="22"/>
      <c r="I7766" s="23" t="str">
        <f t="shared" si="364"/>
        <v xml:space="preserve">COM VALOR</v>
      </c>
      <c r="J7766" s="19"/>
      <c r="L7766" s="21">
        <v>168.84</v>
      </c>
      <c r="M7766" s="22">
        <v>0</v>
      </c>
      <c r="N7766" s="21">
        <v>167.5</v>
      </c>
      <c r="O7766" s="22">
        <v>0</v>
      </c>
    </row>
    <row r="7767" ht="38.25">
      <c r="A7767" t="s">
        <v>7839</v>
      </c>
      <c r="B7767" s="19">
        <v>87851</v>
      </c>
      <c r="C7767" s="20" t="s">
        <v>7848</v>
      </c>
      <c r="D7767" s="19" t="s">
        <v>29</v>
      </c>
      <c r="E7767" s="21">
        <f t="shared" si="362"/>
        <v>188.00999999999999</v>
      </c>
      <c r="F7767" s="22"/>
      <c r="G7767" s="21">
        <f t="shared" si="363"/>
        <v>186.47999999999999</v>
      </c>
      <c r="H7767" s="22"/>
      <c r="I7767" s="23" t="str">
        <f t="shared" si="364"/>
        <v xml:space="preserve">COM VALOR</v>
      </c>
      <c r="J7767" s="19"/>
      <c r="L7767" s="21">
        <v>188.00999999999999</v>
      </c>
      <c r="M7767" s="22">
        <v>1.e-002</v>
      </c>
      <c r="N7767" s="21">
        <v>186.47999999999999</v>
      </c>
      <c r="O7767" s="22">
        <v>1.e-002</v>
      </c>
    </row>
    <row r="7768" ht="38.25">
      <c r="A7768" t="s">
        <v>7839</v>
      </c>
      <c r="B7768" s="19">
        <v>105185</v>
      </c>
      <c r="C7768" s="20" t="s">
        <v>7849</v>
      </c>
      <c r="D7768" s="19" t="s">
        <v>29</v>
      </c>
      <c r="E7768" s="21">
        <f t="shared" si="362"/>
        <v>251.78</v>
      </c>
      <c r="F7768" s="22"/>
      <c r="G7768" s="21">
        <f t="shared" si="363"/>
        <v>250.16</v>
      </c>
      <c r="H7768" s="22"/>
      <c r="I7768" s="23" t="str">
        <f t="shared" si="364"/>
        <v xml:space="preserve">COM VALOR</v>
      </c>
      <c r="J7768" s="19"/>
      <c r="L7768" s="21">
        <v>251.78</v>
      </c>
      <c r="M7768" s="22">
        <v>0</v>
      </c>
      <c r="N7768" s="21">
        <v>250.16</v>
      </c>
      <c r="O7768" s="22">
        <v>0</v>
      </c>
    </row>
    <row r="7769" ht="38.25">
      <c r="A7769" t="s">
        <v>7839</v>
      </c>
      <c r="B7769" s="19">
        <v>87838</v>
      </c>
      <c r="C7769" s="20" t="s">
        <v>7850</v>
      </c>
      <c r="D7769" s="19" t="s">
        <v>29</v>
      </c>
      <c r="E7769" s="21">
        <f t="shared" si="362"/>
        <v>235.56999999999999</v>
      </c>
      <c r="F7769" s="22"/>
      <c r="G7769" s="21">
        <f t="shared" si="363"/>
        <v>234.00999999999999</v>
      </c>
      <c r="H7769" s="22"/>
      <c r="I7769" s="23" t="str">
        <f t="shared" si="364"/>
        <v xml:space="preserve">COM VALOR</v>
      </c>
      <c r="J7769" s="19"/>
      <c r="L7769" s="21">
        <v>235.56999999999999</v>
      </c>
      <c r="M7769" s="22">
        <v>0</v>
      </c>
      <c r="N7769" s="21">
        <v>234.00999999999999</v>
      </c>
      <c r="O7769" s="22">
        <v>0</v>
      </c>
    </row>
    <row r="7770" ht="38.25">
      <c r="A7770" t="s">
        <v>7839</v>
      </c>
      <c r="B7770" s="19">
        <v>87850</v>
      </c>
      <c r="C7770" s="20" t="s">
        <v>7851</v>
      </c>
      <c r="D7770" s="19" t="s">
        <v>29</v>
      </c>
      <c r="E7770" s="21">
        <f t="shared" si="362"/>
        <v>254.74000000000001</v>
      </c>
      <c r="F7770" s="22"/>
      <c r="G7770" s="21">
        <f t="shared" si="363"/>
        <v>252.99000000000001</v>
      </c>
      <c r="H7770" s="22"/>
      <c r="I7770" s="23" t="str">
        <f t="shared" si="364"/>
        <v xml:space="preserve">COM VALOR</v>
      </c>
      <c r="J7770" s="19"/>
      <c r="L7770" s="21">
        <v>254.74000000000001</v>
      </c>
      <c r="M7770" s="22">
        <v>0</v>
      </c>
      <c r="N7770" s="21">
        <v>252.99000000000001</v>
      </c>
      <c r="O7770" s="22">
        <v>0</v>
      </c>
    </row>
    <row r="7771" ht="12.75">
      <c r="A7771" t="s">
        <v>7852</v>
      </c>
      <c r="B7771" s="19">
        <v>105110</v>
      </c>
      <c r="C7771" s="20" t="s">
        <v>7853</v>
      </c>
      <c r="D7771" s="19" t="s">
        <v>38</v>
      </c>
      <c r="E7771" s="21">
        <f t="shared" si="362"/>
        <v>202.72</v>
      </c>
      <c r="F7771" s="22"/>
      <c r="G7771" s="21">
        <f t="shared" si="363"/>
        <v>191.19999999999999</v>
      </c>
      <c r="H7771" s="22"/>
      <c r="I7771" s="23" t="str">
        <f t="shared" si="364"/>
        <v xml:space="preserve">COM VALOR</v>
      </c>
      <c r="J7771" s="19"/>
      <c r="L7771" s="21">
        <v>202.72</v>
      </c>
      <c r="M7771" s="22">
        <v>0</v>
      </c>
      <c r="N7771" s="21">
        <v>191.19999999999999</v>
      </c>
      <c r="O7771" s="22">
        <v>0</v>
      </c>
    </row>
    <row r="7772" ht="12.75">
      <c r="A7772" t="s">
        <v>7852</v>
      </c>
      <c r="B7772" s="19">
        <v>105105</v>
      </c>
      <c r="C7772" s="20" t="s">
        <v>7854</v>
      </c>
      <c r="D7772" s="19" t="s">
        <v>38</v>
      </c>
      <c r="E7772" s="21">
        <f t="shared" si="362"/>
        <v>66.730000000000004</v>
      </c>
      <c r="F7772" s="22"/>
      <c r="G7772" s="21">
        <f t="shared" si="363"/>
        <v>62.899999999999999</v>
      </c>
      <c r="H7772" s="22"/>
      <c r="I7772" s="23" t="str">
        <f t="shared" si="364"/>
        <v xml:space="preserve">COM VALOR</v>
      </c>
      <c r="J7772" s="19"/>
      <c r="L7772" s="21">
        <v>66.730000000000004</v>
      </c>
      <c r="M7772" s="22">
        <v>0</v>
      </c>
      <c r="N7772" s="21">
        <v>62.899999999999999</v>
      </c>
      <c r="O7772" s="22">
        <v>0</v>
      </c>
    </row>
    <row r="7773" ht="12.75">
      <c r="A7773" t="s">
        <v>7852</v>
      </c>
      <c r="B7773" s="19">
        <v>105103</v>
      </c>
      <c r="C7773" s="20" t="s">
        <v>7855</v>
      </c>
      <c r="D7773" s="19" t="s">
        <v>38</v>
      </c>
      <c r="E7773" s="21">
        <f t="shared" si="362"/>
        <v>95.030000000000001</v>
      </c>
      <c r="F7773" s="22"/>
      <c r="G7773" s="21">
        <f t="shared" si="363"/>
        <v>89.579999999999998</v>
      </c>
      <c r="H7773" s="22"/>
      <c r="I7773" s="23" t="str">
        <f t="shared" si="364"/>
        <v xml:space="preserve">COM VALOR</v>
      </c>
      <c r="J7773" s="19"/>
      <c r="L7773" s="21">
        <v>95.030000000000001</v>
      </c>
      <c r="M7773" s="22">
        <v>0</v>
      </c>
      <c r="N7773" s="21">
        <v>89.579999999999998</v>
      </c>
      <c r="O7773" s="22">
        <v>0</v>
      </c>
    </row>
    <row r="7774" ht="12.75">
      <c r="A7774" t="s">
        <v>7852</v>
      </c>
      <c r="B7774" s="19">
        <v>105112</v>
      </c>
      <c r="C7774" s="20" t="s">
        <v>7856</v>
      </c>
      <c r="D7774" s="19" t="s">
        <v>38</v>
      </c>
      <c r="E7774" s="21">
        <f t="shared" si="362"/>
        <v>169.30000000000001</v>
      </c>
      <c r="F7774" s="22"/>
      <c r="G7774" s="21">
        <f t="shared" si="363"/>
        <v>159.66999999999999</v>
      </c>
      <c r="H7774" s="22"/>
      <c r="I7774" s="23" t="str">
        <f t="shared" si="364"/>
        <v xml:space="preserve">COM VALOR</v>
      </c>
      <c r="J7774" s="19"/>
      <c r="L7774" s="21">
        <v>169.30000000000001</v>
      </c>
      <c r="M7774" s="22">
        <v>0</v>
      </c>
      <c r="N7774" s="21">
        <v>159.66999999999999</v>
      </c>
      <c r="O7774" s="22">
        <v>0</v>
      </c>
    </row>
    <row r="7775" ht="25.5">
      <c r="A7775" t="s">
        <v>7852</v>
      </c>
      <c r="B7775" s="19">
        <v>105109</v>
      </c>
      <c r="C7775" s="20" t="s">
        <v>7857</v>
      </c>
      <c r="D7775" s="19" t="s">
        <v>31</v>
      </c>
      <c r="E7775" s="21" t="str">
        <f t="shared" si="362"/>
        <v>VERIFICAR</v>
      </c>
      <c r="F7775" s="22"/>
      <c r="G7775" s="21" t="str">
        <f t="shared" si="363"/>
        <v>VERIFICAR</v>
      </c>
      <c r="H7775" s="22"/>
      <c r="I7775" s="23" t="str">
        <f t="shared" si="364"/>
        <v xml:space="preserve">COM VALOR</v>
      </c>
      <c r="J7775" s="19"/>
      <c r="L7775" s="21">
        <v>0</v>
      </c>
      <c r="M7775" s="22"/>
      <c r="N7775" s="21">
        <v>0</v>
      </c>
      <c r="O7775" s="22"/>
    </row>
    <row r="7776" ht="25.5">
      <c r="A7776" t="s">
        <v>7852</v>
      </c>
      <c r="B7776" s="19">
        <v>105108</v>
      </c>
      <c r="C7776" s="20" t="s">
        <v>7858</v>
      </c>
      <c r="D7776" s="19" t="s">
        <v>31</v>
      </c>
      <c r="E7776" s="21" t="str">
        <f t="shared" si="362"/>
        <v>VERIFICAR</v>
      </c>
      <c r="F7776" s="22"/>
      <c r="G7776" s="21" t="str">
        <f t="shared" si="363"/>
        <v>VERIFICAR</v>
      </c>
      <c r="H7776" s="22"/>
      <c r="I7776" s="23" t="str">
        <f t="shared" si="364"/>
        <v xml:space="preserve">COM VALOR</v>
      </c>
      <c r="J7776" s="19"/>
      <c r="L7776" s="21">
        <v>0</v>
      </c>
      <c r="M7776" s="22"/>
      <c r="N7776" s="21">
        <v>0</v>
      </c>
      <c r="O7776" s="22"/>
    </row>
    <row r="7777" ht="12.75">
      <c r="A7777" t="s">
        <v>7852</v>
      </c>
      <c r="B7777" s="19">
        <v>105104</v>
      </c>
      <c r="C7777" s="20" t="s">
        <v>7859</v>
      </c>
      <c r="D7777" s="19" t="s">
        <v>31</v>
      </c>
      <c r="E7777" s="21">
        <f t="shared" si="362"/>
        <v>4686.0299999999997</v>
      </c>
      <c r="F7777" s="22"/>
      <c r="G7777" s="21">
        <f t="shared" si="363"/>
        <v>4538.0200000000004</v>
      </c>
      <c r="H7777" s="22"/>
      <c r="I7777" s="23" t="str">
        <f t="shared" si="364"/>
        <v xml:space="preserve">COM VALOR</v>
      </c>
      <c r="J7777" s="19"/>
      <c r="L7777" s="21">
        <v>4686.0299999999997</v>
      </c>
      <c r="M7777" s="22">
        <v>0.23000000000000001</v>
      </c>
      <c r="N7777" s="21">
        <v>4538.0200000000004</v>
      </c>
      <c r="O7777" s="22">
        <v>0.23999999999999999</v>
      </c>
    </row>
    <row r="7778" ht="25.5">
      <c r="A7778" t="s">
        <v>7852</v>
      </c>
      <c r="B7778" s="19">
        <v>105107</v>
      </c>
      <c r="C7778" s="20" t="s">
        <v>7860</v>
      </c>
      <c r="D7778" s="19" t="s">
        <v>31</v>
      </c>
      <c r="E7778" s="21">
        <f t="shared" si="362"/>
        <v>3194.4200000000001</v>
      </c>
      <c r="F7778" s="22"/>
      <c r="G7778" s="21">
        <f t="shared" si="363"/>
        <v>3010.9699999999998</v>
      </c>
      <c r="H7778" s="22"/>
      <c r="I7778" s="23" t="str">
        <f t="shared" si="364"/>
        <v xml:space="preserve">COM VALOR</v>
      </c>
      <c r="J7778" s="19"/>
      <c r="L7778" s="21">
        <v>3194.4200000000001</v>
      </c>
      <c r="M7778" s="22">
        <v>0</v>
      </c>
      <c r="N7778" s="21">
        <v>3010.9699999999998</v>
      </c>
      <c r="O7778" s="22">
        <v>0</v>
      </c>
    </row>
    <row r="7779" ht="25.5">
      <c r="A7779" t="s">
        <v>7852</v>
      </c>
      <c r="B7779" s="19">
        <v>105106</v>
      </c>
      <c r="C7779" s="20" t="s">
        <v>7861</v>
      </c>
      <c r="D7779" s="19" t="s">
        <v>31</v>
      </c>
      <c r="E7779" s="21">
        <f t="shared" si="362"/>
        <v>2163.3800000000001</v>
      </c>
      <c r="F7779" s="22"/>
      <c r="G7779" s="21">
        <f t="shared" si="363"/>
        <v>2039.1400000000001</v>
      </c>
      <c r="H7779" s="22"/>
      <c r="I7779" s="23" t="str">
        <f t="shared" si="364"/>
        <v xml:space="preserve">COM VALOR</v>
      </c>
      <c r="J7779" s="19"/>
      <c r="L7779" s="21">
        <v>2163.3800000000001</v>
      </c>
      <c r="M7779" s="22">
        <v>0</v>
      </c>
      <c r="N7779" s="21">
        <v>2039.1400000000001</v>
      </c>
      <c r="O7779" s="22">
        <v>0</v>
      </c>
    </row>
    <row r="7780" ht="25.5">
      <c r="A7780" t="s">
        <v>7852</v>
      </c>
      <c r="B7780" s="19">
        <v>105111</v>
      </c>
      <c r="C7780" s="20" t="s">
        <v>7862</v>
      </c>
      <c r="D7780" s="19" t="s">
        <v>31</v>
      </c>
      <c r="E7780" s="21">
        <f t="shared" si="362"/>
        <v>18123.48</v>
      </c>
      <c r="F7780" s="22"/>
      <c r="G7780" s="21">
        <f t="shared" si="363"/>
        <v>17680.439999999999</v>
      </c>
      <c r="H7780" s="22"/>
      <c r="I7780" s="23" t="str">
        <f t="shared" si="364"/>
        <v xml:space="preserve">COM VALOR</v>
      </c>
      <c r="J7780" s="19"/>
      <c r="L7780" s="21">
        <v>18123.48</v>
      </c>
      <c r="M7780" s="22">
        <v>0.56999999999999995</v>
      </c>
      <c r="N7780" s="21">
        <v>17680.439999999999</v>
      </c>
      <c r="O7780" s="22">
        <v>0.58250000000000002</v>
      </c>
    </row>
    <row r="7781" ht="12.75">
      <c r="A7781" t="s">
        <v>7863</v>
      </c>
      <c r="B7781" s="19">
        <v>98520</v>
      </c>
      <c r="C7781" s="20" t="s">
        <v>7864</v>
      </c>
      <c r="D7781" s="19" t="s">
        <v>29</v>
      </c>
      <c r="E7781" s="21">
        <f t="shared" si="362"/>
        <v>8.3200000000000003</v>
      </c>
      <c r="F7781" s="22"/>
      <c r="G7781" s="21">
        <f t="shared" si="363"/>
        <v>8.2300000000000004</v>
      </c>
      <c r="H7781" s="22"/>
      <c r="I7781" s="23" t="str">
        <f t="shared" si="364"/>
        <v xml:space="preserve">COM VALOR</v>
      </c>
      <c r="J7781" s="19"/>
      <c r="L7781" s="21">
        <v>8.3200000000000003</v>
      </c>
      <c r="M7781" s="22">
        <v>0</v>
      </c>
      <c r="N7781" s="21">
        <v>8.2300000000000004</v>
      </c>
      <c r="O7781" s="22">
        <v>0</v>
      </c>
    </row>
    <row r="7782" ht="12.75">
      <c r="A7782" t="s">
        <v>7863</v>
      </c>
      <c r="B7782" s="19">
        <v>98521</v>
      </c>
      <c r="C7782" s="20" t="s">
        <v>7865</v>
      </c>
      <c r="D7782" s="19" t="s">
        <v>29</v>
      </c>
      <c r="E7782" s="21">
        <f t="shared" si="362"/>
        <v>0.34999999999999998</v>
      </c>
      <c r="F7782" s="22"/>
      <c r="G7782" s="21">
        <f t="shared" si="363"/>
        <v>0.32000000000000001</v>
      </c>
      <c r="H7782" s="22"/>
      <c r="I7782" s="23" t="str">
        <f t="shared" si="364"/>
        <v xml:space="preserve">COM VALOR</v>
      </c>
      <c r="J7782" s="19"/>
      <c r="L7782" s="21">
        <v>0.34999999999999998</v>
      </c>
      <c r="M7782" s="22">
        <v>0</v>
      </c>
      <c r="N7782" s="21">
        <v>0.32000000000000001</v>
      </c>
      <c r="O7782" s="22">
        <v>0</v>
      </c>
    </row>
    <row r="7783" ht="12.75">
      <c r="A7783" t="s">
        <v>7863</v>
      </c>
      <c r="B7783" s="19">
        <v>105521</v>
      </c>
      <c r="C7783" s="20" t="s">
        <v>7866</v>
      </c>
      <c r="D7783" s="19" t="s">
        <v>29</v>
      </c>
      <c r="E7783" s="21">
        <f t="shared" si="362"/>
        <v>5.4000000000000004</v>
      </c>
      <c r="F7783" s="22"/>
      <c r="G7783" s="21">
        <f t="shared" si="363"/>
        <v>5.3300000000000001</v>
      </c>
      <c r="H7783" s="22"/>
      <c r="I7783" s="23" t="str">
        <f t="shared" si="364"/>
        <v xml:space="preserve">COM VALOR</v>
      </c>
      <c r="J7783" s="19"/>
      <c r="L7783" s="21">
        <v>5.4000000000000004</v>
      </c>
      <c r="M7783" s="22">
        <v>0</v>
      </c>
      <c r="N7783" s="21">
        <v>5.3300000000000001</v>
      </c>
      <c r="O7783" s="22">
        <v>0</v>
      </c>
    </row>
    <row r="7784" ht="12.75">
      <c r="A7784" t="s">
        <v>7863</v>
      </c>
      <c r="B7784" s="19">
        <v>98509</v>
      </c>
      <c r="C7784" s="20" t="s">
        <v>7867</v>
      </c>
      <c r="D7784" s="19" t="s">
        <v>31</v>
      </c>
      <c r="E7784" s="21">
        <f t="shared" si="362"/>
        <v>48.549999999999997</v>
      </c>
      <c r="F7784" s="22"/>
      <c r="G7784" s="21">
        <f t="shared" si="363"/>
        <v>48.460000000000001</v>
      </c>
      <c r="H7784" s="22"/>
      <c r="I7784" s="23" t="str">
        <f t="shared" si="364"/>
        <v xml:space="preserve">COM VALOR</v>
      </c>
      <c r="J7784" s="19"/>
      <c r="L7784" s="21">
        <v>48.549999999999997</v>
      </c>
      <c r="M7784" s="22">
        <v>0.96999999999999997</v>
      </c>
      <c r="N7784" s="21">
        <v>48.460000000000001</v>
      </c>
      <c r="O7784" s="22">
        <v>0.96999999999999997</v>
      </c>
    </row>
    <row r="7785" ht="38.25">
      <c r="A7785" t="s">
        <v>7863</v>
      </c>
      <c r="B7785" s="19">
        <v>98507</v>
      </c>
      <c r="C7785" s="20" t="s">
        <v>7868</v>
      </c>
      <c r="D7785" s="19" t="s">
        <v>31</v>
      </c>
      <c r="E7785" s="21" t="str">
        <f t="shared" si="362"/>
        <v>VERIFICAR</v>
      </c>
      <c r="F7785" s="22"/>
      <c r="G7785" s="21" t="str">
        <f t="shared" si="363"/>
        <v>VERIFICAR</v>
      </c>
      <c r="H7785" s="22"/>
      <c r="I7785" s="23" t="str">
        <f t="shared" si="364"/>
        <v xml:space="preserve">COM VALOR</v>
      </c>
      <c r="J7785" s="19"/>
      <c r="L7785" s="21">
        <v>0</v>
      </c>
      <c r="M7785" s="22"/>
      <c r="N7785" s="21">
        <v>0</v>
      </c>
      <c r="O7785" s="22"/>
    </row>
    <row r="7786" ht="25.5">
      <c r="A7786" t="s">
        <v>7863</v>
      </c>
      <c r="B7786" s="19">
        <v>98508</v>
      </c>
      <c r="C7786" s="20" t="s">
        <v>7869</v>
      </c>
      <c r="D7786" s="19" t="s">
        <v>31</v>
      </c>
      <c r="E7786" s="21" t="str">
        <f t="shared" si="362"/>
        <v>VERIFICAR</v>
      </c>
      <c r="F7786" s="22"/>
      <c r="G7786" s="21" t="str">
        <f t="shared" si="363"/>
        <v>VERIFICAR</v>
      </c>
      <c r="H7786" s="22"/>
      <c r="I7786" s="23" t="str">
        <f t="shared" si="364"/>
        <v xml:space="preserve">COM VALOR</v>
      </c>
      <c r="J7786" s="19"/>
      <c r="L7786" s="21">
        <v>0</v>
      </c>
      <c r="M7786" s="22"/>
      <c r="N7786" s="21">
        <v>0</v>
      </c>
      <c r="O7786" s="22"/>
    </row>
    <row r="7787" ht="38.25">
      <c r="A7787" t="s">
        <v>7863</v>
      </c>
      <c r="B7787" s="19">
        <v>98506</v>
      </c>
      <c r="C7787" s="20" t="s">
        <v>7870</v>
      </c>
      <c r="D7787" s="19" t="s">
        <v>31</v>
      </c>
      <c r="E7787" s="21" t="str">
        <f t="shared" si="362"/>
        <v>VERIFICAR</v>
      </c>
      <c r="F7787" s="22"/>
      <c r="G7787" s="21" t="str">
        <f t="shared" si="363"/>
        <v>VERIFICAR</v>
      </c>
      <c r="H7787" s="22"/>
      <c r="I7787" s="23" t="str">
        <f t="shared" si="364"/>
        <v xml:space="preserve">COM VALOR</v>
      </c>
      <c r="J7787" s="19"/>
      <c r="L7787" s="21">
        <v>0</v>
      </c>
      <c r="M7787" s="22"/>
      <c r="N7787" s="21">
        <v>0</v>
      </c>
      <c r="O7787" s="22"/>
    </row>
    <row r="7788" ht="12.75">
      <c r="A7788" t="s">
        <v>7863</v>
      </c>
      <c r="B7788" s="19">
        <v>98505</v>
      </c>
      <c r="C7788" s="20" t="s">
        <v>7871</v>
      </c>
      <c r="D7788" s="19" t="s">
        <v>29</v>
      </c>
      <c r="E7788" s="21">
        <f t="shared" si="362"/>
        <v>73.129999999999995</v>
      </c>
      <c r="F7788" s="22"/>
      <c r="G7788" s="21">
        <f t="shared" si="363"/>
        <v>72.760000000000005</v>
      </c>
      <c r="H7788" s="22"/>
      <c r="I7788" s="23" t="str">
        <f t="shared" si="364"/>
        <v xml:space="preserve">COM VALOR</v>
      </c>
      <c r="J7788" s="19"/>
      <c r="L7788" s="21">
        <v>73.129999999999995</v>
      </c>
      <c r="M7788" s="22">
        <v>0.90249999999999997</v>
      </c>
      <c r="N7788" s="21">
        <v>72.760000000000005</v>
      </c>
      <c r="O7788" s="22">
        <v>0.91000000000000003</v>
      </c>
    </row>
    <row r="7789" ht="12.75">
      <c r="A7789" t="s">
        <v>7863</v>
      </c>
      <c r="B7789" s="19">
        <v>98504</v>
      </c>
      <c r="C7789" s="20" t="s">
        <v>7872</v>
      </c>
      <c r="D7789" s="19" t="s">
        <v>29</v>
      </c>
      <c r="E7789" s="21">
        <f t="shared" si="362"/>
        <v>11.390000000000001</v>
      </c>
      <c r="F7789" s="22"/>
      <c r="G7789" s="21">
        <f t="shared" si="363"/>
        <v>11.18</v>
      </c>
      <c r="H7789" s="22"/>
      <c r="I7789" s="23" t="str">
        <f t="shared" si="364"/>
        <v xml:space="preserve">COM VALOR</v>
      </c>
      <c r="J7789" s="19"/>
      <c r="L7789" s="21">
        <v>11.390000000000001</v>
      </c>
      <c r="M7789" s="22">
        <v>0</v>
      </c>
      <c r="N7789" s="21">
        <v>11.18</v>
      </c>
      <c r="O7789" s="22">
        <v>0</v>
      </c>
    </row>
    <row r="7790" ht="12.75">
      <c r="A7790" t="s">
        <v>7863</v>
      </c>
      <c r="B7790" s="19">
        <v>98503</v>
      </c>
      <c r="C7790" s="20" t="s">
        <v>7873</v>
      </c>
      <c r="D7790" s="19" t="s">
        <v>29</v>
      </c>
      <c r="E7790" s="21">
        <f t="shared" si="362"/>
        <v>24.859999999999999</v>
      </c>
      <c r="F7790" s="22"/>
      <c r="G7790" s="21">
        <f t="shared" si="363"/>
        <v>24.609999999999999</v>
      </c>
      <c r="H7790" s="22"/>
      <c r="I7790" s="23" t="str">
        <f t="shared" si="364"/>
        <v xml:space="preserve">COM VALOR</v>
      </c>
      <c r="J7790" s="19"/>
      <c r="L7790" s="21">
        <v>24.859999999999999</v>
      </c>
      <c r="M7790" s="22">
        <v>0</v>
      </c>
      <c r="N7790" s="21">
        <v>24.609999999999999</v>
      </c>
      <c r="O7790" s="22">
        <v>0</v>
      </c>
    </row>
    <row r="7791" ht="25.5">
      <c r="A7791" t="s">
        <v>7863</v>
      </c>
      <c r="B7791" s="19">
        <v>103946</v>
      </c>
      <c r="C7791" s="20" t="s">
        <v>7874</v>
      </c>
      <c r="D7791" s="19" t="s">
        <v>29</v>
      </c>
      <c r="E7791" s="21">
        <f t="shared" si="362"/>
        <v>14.4</v>
      </c>
      <c r="F7791" s="22"/>
      <c r="G7791" s="21">
        <f t="shared" si="363"/>
        <v>14.19</v>
      </c>
      <c r="H7791" s="22"/>
      <c r="I7791" s="23" t="str">
        <f t="shared" si="364"/>
        <v xml:space="preserve">COM VALOR</v>
      </c>
      <c r="J7791" s="19"/>
      <c r="L7791" s="21">
        <v>14.4</v>
      </c>
      <c r="M7791" s="22">
        <v>0</v>
      </c>
      <c r="N7791" s="21">
        <v>14.19</v>
      </c>
      <c r="O7791" s="22">
        <v>0</v>
      </c>
    </row>
    <row r="7792" ht="25.5">
      <c r="A7792" t="s">
        <v>7863</v>
      </c>
      <c r="B7792" s="19">
        <v>98517</v>
      </c>
      <c r="C7792" s="20" t="s">
        <v>7875</v>
      </c>
      <c r="D7792" s="19" t="s">
        <v>31</v>
      </c>
      <c r="E7792" s="21" t="str">
        <f t="shared" si="362"/>
        <v>VERIFICAR</v>
      </c>
      <c r="F7792" s="22"/>
      <c r="G7792" s="21" t="str">
        <f t="shared" si="363"/>
        <v>VERIFICAR</v>
      </c>
      <c r="H7792" s="22"/>
      <c r="I7792" s="23" t="str">
        <f t="shared" si="364"/>
        <v xml:space="preserve">COM VALOR</v>
      </c>
      <c r="J7792" s="19"/>
      <c r="L7792" s="21">
        <v>0</v>
      </c>
      <c r="M7792" s="22"/>
      <c r="N7792" s="21">
        <v>0</v>
      </c>
      <c r="O7792" s="22"/>
    </row>
    <row r="7793" ht="25.5">
      <c r="A7793" t="s">
        <v>7863</v>
      </c>
      <c r="B7793" s="19">
        <v>98518</v>
      </c>
      <c r="C7793" s="20" t="s">
        <v>7876</v>
      </c>
      <c r="D7793" s="19" t="s">
        <v>31</v>
      </c>
      <c r="E7793" s="21" t="str">
        <f t="shared" si="362"/>
        <v>VERIFICAR</v>
      </c>
      <c r="F7793" s="22"/>
      <c r="G7793" s="21" t="str">
        <f t="shared" si="363"/>
        <v>VERIFICAR</v>
      </c>
      <c r="H7793" s="22"/>
      <c r="I7793" s="23" t="str">
        <f t="shared" si="364"/>
        <v xml:space="preserve">COM VALOR</v>
      </c>
      <c r="J7793" s="19"/>
      <c r="L7793" s="21">
        <v>0</v>
      </c>
      <c r="M7793" s="22"/>
      <c r="N7793" s="21">
        <v>0</v>
      </c>
      <c r="O7793" s="22"/>
    </row>
    <row r="7794" ht="25.5">
      <c r="A7794" t="s">
        <v>7863</v>
      </c>
      <c r="B7794" s="19">
        <v>98516</v>
      </c>
      <c r="C7794" s="20" t="s">
        <v>7877</v>
      </c>
      <c r="D7794" s="19" t="s">
        <v>31</v>
      </c>
      <c r="E7794" s="21">
        <f t="shared" si="362"/>
        <v>317.50999999999999</v>
      </c>
      <c r="F7794" s="22"/>
      <c r="G7794" s="21">
        <f t="shared" si="363"/>
        <v>310.93000000000001</v>
      </c>
      <c r="H7794" s="22"/>
      <c r="I7794" s="23" t="str">
        <f t="shared" si="364"/>
        <v xml:space="preserve">COM VALOR</v>
      </c>
      <c r="J7794" s="19"/>
      <c r="L7794" s="21">
        <v>317.50999999999999</v>
      </c>
      <c r="M7794" s="22">
        <v>0.51000000000000001</v>
      </c>
      <c r="N7794" s="21">
        <v>310.93000000000001</v>
      </c>
      <c r="O7794" s="22">
        <v>0.52000000000000002</v>
      </c>
    </row>
    <row r="7795" ht="25.5">
      <c r="A7795" t="s">
        <v>7863</v>
      </c>
      <c r="B7795" s="19">
        <v>98514</v>
      </c>
      <c r="C7795" s="20" t="s">
        <v>7878</v>
      </c>
      <c r="D7795" s="19" t="s">
        <v>31</v>
      </c>
      <c r="E7795" s="21" t="str">
        <f t="shared" si="362"/>
        <v>VERIFICAR</v>
      </c>
      <c r="F7795" s="22"/>
      <c r="G7795" s="21" t="str">
        <f t="shared" si="363"/>
        <v>VERIFICAR</v>
      </c>
      <c r="H7795" s="22"/>
      <c r="I7795" s="23" t="str">
        <f t="shared" si="364"/>
        <v xml:space="preserve">COM VALOR</v>
      </c>
      <c r="J7795" s="19"/>
      <c r="L7795" s="21">
        <v>0</v>
      </c>
      <c r="M7795" s="22"/>
      <c r="N7795" s="21">
        <v>0</v>
      </c>
      <c r="O7795" s="22"/>
    </row>
    <row r="7796" ht="25.5">
      <c r="A7796" t="s">
        <v>7863</v>
      </c>
      <c r="B7796" s="19">
        <v>98515</v>
      </c>
      <c r="C7796" s="20" t="s">
        <v>7879</v>
      </c>
      <c r="D7796" s="19" t="s">
        <v>31</v>
      </c>
      <c r="E7796" s="21" t="str">
        <f t="shared" si="362"/>
        <v>VERIFICAR</v>
      </c>
      <c r="F7796" s="22"/>
      <c r="G7796" s="21" t="str">
        <f t="shared" si="363"/>
        <v>VERIFICAR</v>
      </c>
      <c r="H7796" s="22"/>
      <c r="I7796" s="23" t="str">
        <f t="shared" si="364"/>
        <v xml:space="preserve">COM VALOR</v>
      </c>
      <c r="J7796" s="19"/>
      <c r="L7796" s="21">
        <v>0</v>
      </c>
      <c r="M7796" s="22"/>
      <c r="N7796" s="21">
        <v>0</v>
      </c>
      <c r="O7796" s="22"/>
    </row>
    <row r="7797" ht="25.5">
      <c r="A7797" t="s">
        <v>7863</v>
      </c>
      <c r="B7797" s="19">
        <v>98513</v>
      </c>
      <c r="C7797" s="20" t="s">
        <v>7880</v>
      </c>
      <c r="D7797" s="19" t="s">
        <v>31</v>
      </c>
      <c r="E7797" s="21" t="str">
        <f t="shared" si="362"/>
        <v>VERIFICAR</v>
      </c>
      <c r="F7797" s="22"/>
      <c r="G7797" s="21" t="str">
        <f t="shared" si="363"/>
        <v>VERIFICAR</v>
      </c>
      <c r="H7797" s="22"/>
      <c r="I7797" s="23" t="str">
        <f t="shared" si="364"/>
        <v xml:space="preserve">COM VALOR</v>
      </c>
      <c r="J7797" s="19"/>
      <c r="L7797" s="21">
        <v>0</v>
      </c>
      <c r="M7797" s="22"/>
      <c r="N7797" s="21">
        <v>0</v>
      </c>
      <c r="O7797" s="22"/>
    </row>
    <row r="7798" ht="25.5">
      <c r="A7798" t="s">
        <v>7863</v>
      </c>
      <c r="B7798" s="19">
        <v>98511</v>
      </c>
      <c r="C7798" s="20" t="s">
        <v>7881</v>
      </c>
      <c r="D7798" s="19" t="s">
        <v>31</v>
      </c>
      <c r="E7798" s="21">
        <f t="shared" si="362"/>
        <v>149.43000000000001</v>
      </c>
      <c r="F7798" s="22"/>
      <c r="G7798" s="21">
        <f t="shared" si="363"/>
        <v>147.59999999999999</v>
      </c>
      <c r="H7798" s="22"/>
      <c r="I7798" s="23" t="str">
        <f t="shared" si="364"/>
        <v xml:space="preserve">COM VALOR</v>
      </c>
      <c r="J7798" s="19"/>
      <c r="L7798" s="21">
        <v>149.43000000000001</v>
      </c>
      <c r="M7798" s="22">
        <v>0.77000000000000002</v>
      </c>
      <c r="N7798" s="21">
        <v>147.59999999999999</v>
      </c>
      <c r="O7798" s="22">
        <v>0.78000000000000003</v>
      </c>
    </row>
    <row r="7799" ht="25.5">
      <c r="A7799" t="s">
        <v>7863</v>
      </c>
      <c r="B7799" s="19">
        <v>98512</v>
      </c>
      <c r="C7799" s="20" t="s">
        <v>7882</v>
      </c>
      <c r="D7799" s="19" t="s">
        <v>31</v>
      </c>
      <c r="E7799" s="21" t="str">
        <f t="shared" si="362"/>
        <v>VERIFICAR</v>
      </c>
      <c r="F7799" s="22"/>
      <c r="G7799" s="21" t="str">
        <f t="shared" si="363"/>
        <v>VERIFICAR</v>
      </c>
      <c r="H7799" s="22"/>
      <c r="I7799" s="23" t="str">
        <f t="shared" si="364"/>
        <v xml:space="preserve">COM VALOR</v>
      </c>
      <c r="J7799" s="19"/>
      <c r="L7799" s="21">
        <v>0</v>
      </c>
      <c r="M7799" s="22"/>
      <c r="N7799" s="21">
        <v>0</v>
      </c>
      <c r="O7799" s="22"/>
    </row>
    <row r="7800" ht="25.5">
      <c r="A7800" t="s">
        <v>7863</v>
      </c>
      <c r="B7800" s="19">
        <v>98510</v>
      </c>
      <c r="C7800" s="20" t="s">
        <v>7883</v>
      </c>
      <c r="D7800" s="19" t="s">
        <v>31</v>
      </c>
      <c r="E7800" s="21">
        <f t="shared" si="362"/>
        <v>85.959999999999994</v>
      </c>
      <c r="F7800" s="22"/>
      <c r="G7800" s="21">
        <f t="shared" si="363"/>
        <v>84.359999999999999</v>
      </c>
      <c r="H7800" s="22"/>
      <c r="I7800" s="23" t="str">
        <f t="shared" si="364"/>
        <v xml:space="preserve">COM VALOR</v>
      </c>
      <c r="J7800" s="19"/>
      <c r="L7800" s="21">
        <v>85.959999999999994</v>
      </c>
      <c r="M7800" s="22">
        <v>0.65000000000000002</v>
      </c>
      <c r="N7800" s="21">
        <v>84.359999999999999</v>
      </c>
      <c r="O7800" s="22">
        <v>0.67000000000000004</v>
      </c>
    </row>
    <row r="7801" ht="12.75">
      <c r="A7801" t="s">
        <v>7863</v>
      </c>
      <c r="B7801" s="19">
        <v>98519</v>
      </c>
      <c r="C7801" s="20" t="s">
        <v>7884</v>
      </c>
      <c r="D7801" s="19" t="s">
        <v>29</v>
      </c>
      <c r="E7801" s="21">
        <f t="shared" si="362"/>
        <v>3.9399999999999999</v>
      </c>
      <c r="F7801" s="22"/>
      <c r="G7801" s="21">
        <f t="shared" si="363"/>
        <v>3.7200000000000002</v>
      </c>
      <c r="H7801" s="22"/>
      <c r="I7801" s="23" t="str">
        <f t="shared" si="364"/>
        <v xml:space="preserve">COM VALOR</v>
      </c>
      <c r="J7801" s="19"/>
      <c r="L7801" s="21">
        <v>3.9399999999999999</v>
      </c>
      <c r="M7801" s="22">
        <v>0</v>
      </c>
      <c r="N7801" s="21">
        <v>3.7200000000000002</v>
      </c>
      <c r="O7801" s="22">
        <v>0</v>
      </c>
    </row>
    <row r="7802" ht="25.5">
      <c r="A7802" t="s">
        <v>7885</v>
      </c>
      <c r="B7802" s="19">
        <v>91599</v>
      </c>
      <c r="C7802" s="20" t="s">
        <v>7886</v>
      </c>
      <c r="D7802" s="19" t="s">
        <v>302</v>
      </c>
      <c r="E7802" s="21">
        <f t="shared" si="362"/>
        <v>7.96</v>
      </c>
      <c r="F7802" s="22"/>
      <c r="G7802" s="21">
        <f t="shared" si="363"/>
        <v>7.9400000000000004</v>
      </c>
      <c r="H7802" s="22"/>
      <c r="I7802" s="23" t="str">
        <f t="shared" si="364"/>
        <v xml:space="preserve">COM VALOR</v>
      </c>
      <c r="J7802" s="19"/>
      <c r="L7802" s="21">
        <v>7.96</v>
      </c>
      <c r="M7802" s="22">
        <v>0.13</v>
      </c>
      <c r="N7802" s="21">
        <v>7.9400000000000004</v>
      </c>
      <c r="O7802" s="22">
        <v>0.13</v>
      </c>
    </row>
    <row r="7803" ht="25.5">
      <c r="A7803" t="s">
        <v>7885</v>
      </c>
      <c r="B7803" s="19">
        <v>100065</v>
      </c>
      <c r="C7803" s="20" t="s">
        <v>7887</v>
      </c>
      <c r="D7803" s="19" t="s">
        <v>302</v>
      </c>
      <c r="E7803" s="21" t="str">
        <f t="shared" si="362"/>
        <v>VERIFICAR</v>
      </c>
      <c r="F7803" s="22"/>
      <c r="G7803" s="21" t="str">
        <f t="shared" si="363"/>
        <v>VERIFICAR</v>
      </c>
      <c r="H7803" s="22"/>
      <c r="I7803" s="23" t="str">
        <f t="shared" si="364"/>
        <v xml:space="preserve">COM VALOR</v>
      </c>
      <c r="J7803" s="19"/>
      <c r="L7803" s="21">
        <v>0</v>
      </c>
      <c r="M7803" s="22"/>
      <c r="N7803" s="21">
        <v>0</v>
      </c>
      <c r="O7803" s="22"/>
    </row>
    <row r="7804" ht="25.5">
      <c r="A7804" t="s">
        <v>7885</v>
      </c>
      <c r="B7804" s="19">
        <v>100069</v>
      </c>
      <c r="C7804" s="20" t="s">
        <v>7888</v>
      </c>
      <c r="D7804" s="19" t="s">
        <v>302</v>
      </c>
      <c r="E7804" s="21" t="str">
        <f t="shared" si="362"/>
        <v>VERIFICAR</v>
      </c>
      <c r="F7804" s="22"/>
      <c r="G7804" s="21" t="str">
        <f t="shared" si="363"/>
        <v>VERIFICAR</v>
      </c>
      <c r="H7804" s="22"/>
      <c r="I7804" s="23" t="str">
        <f t="shared" si="364"/>
        <v xml:space="preserve">COM VALOR</v>
      </c>
      <c r="J7804" s="19"/>
      <c r="L7804" s="21">
        <v>0</v>
      </c>
      <c r="M7804" s="22"/>
      <c r="N7804" s="21">
        <v>0</v>
      </c>
      <c r="O7804" s="22"/>
    </row>
    <row r="7805" ht="25.5">
      <c r="A7805" t="s">
        <v>7885</v>
      </c>
      <c r="B7805" s="19">
        <v>100063</v>
      </c>
      <c r="C7805" s="20" t="s">
        <v>7889</v>
      </c>
      <c r="D7805" s="19" t="s">
        <v>302</v>
      </c>
      <c r="E7805" s="21" t="str">
        <f t="shared" si="362"/>
        <v>VERIFICAR</v>
      </c>
      <c r="F7805" s="22"/>
      <c r="G7805" s="21" t="str">
        <f t="shared" si="363"/>
        <v>VERIFICAR</v>
      </c>
      <c r="H7805" s="22"/>
      <c r="I7805" s="23" t="str">
        <f t="shared" si="364"/>
        <v xml:space="preserve">COM VALOR</v>
      </c>
      <c r="J7805" s="19"/>
      <c r="L7805" s="21">
        <v>0</v>
      </c>
      <c r="M7805" s="22"/>
      <c r="N7805" s="21">
        <v>0</v>
      </c>
      <c r="O7805" s="22"/>
    </row>
    <row r="7806" ht="25.5">
      <c r="A7806" t="s">
        <v>7885</v>
      </c>
      <c r="B7806" s="19">
        <v>91597</v>
      </c>
      <c r="C7806" s="20" t="s">
        <v>7890</v>
      </c>
      <c r="D7806" s="19" t="s">
        <v>302</v>
      </c>
      <c r="E7806" s="21">
        <f t="shared" si="362"/>
        <v>7.6200000000000001</v>
      </c>
      <c r="F7806" s="22"/>
      <c r="G7806" s="21">
        <f t="shared" si="363"/>
        <v>7.6100000000000003</v>
      </c>
      <c r="H7806" s="22"/>
      <c r="I7806" s="23" t="str">
        <f t="shared" si="364"/>
        <v xml:space="preserve">COM VALOR</v>
      </c>
      <c r="J7806" s="19"/>
      <c r="L7806" s="21">
        <v>7.6200000000000001</v>
      </c>
      <c r="M7806" s="22">
        <v>0.11</v>
      </c>
      <c r="N7806" s="21">
        <v>7.6100000000000003</v>
      </c>
      <c r="O7806" s="22">
        <v>0.11</v>
      </c>
    </row>
    <row r="7807" ht="25.5">
      <c r="A7807" t="s">
        <v>7885</v>
      </c>
      <c r="B7807" s="19">
        <v>91598</v>
      </c>
      <c r="C7807" s="20" t="s">
        <v>7891</v>
      </c>
      <c r="D7807" s="19" t="s">
        <v>302</v>
      </c>
      <c r="E7807" s="21">
        <f t="shared" si="362"/>
        <v>9.8800000000000008</v>
      </c>
      <c r="F7807" s="22"/>
      <c r="G7807" s="21">
        <f t="shared" si="363"/>
        <v>9.8499999999999996</v>
      </c>
      <c r="H7807" s="22"/>
      <c r="I7807" s="23" t="str">
        <f t="shared" si="364"/>
        <v xml:space="preserve">COM VALOR</v>
      </c>
      <c r="J7807" s="19"/>
      <c r="L7807" s="21">
        <v>9.8800000000000008</v>
      </c>
      <c r="M7807" s="22">
        <v>4.0000000000000001e-002</v>
      </c>
      <c r="N7807" s="21">
        <v>9.8499999999999996</v>
      </c>
      <c r="O7807" s="22">
        <v>4.0000000000000001e-002</v>
      </c>
    </row>
    <row r="7808" ht="25.5">
      <c r="A7808" t="s">
        <v>7885</v>
      </c>
      <c r="B7808" s="19">
        <v>91596</v>
      </c>
      <c r="C7808" s="20" t="s">
        <v>7892</v>
      </c>
      <c r="D7808" s="19" t="s">
        <v>302</v>
      </c>
      <c r="E7808" s="21">
        <f t="shared" si="362"/>
        <v>10.16</v>
      </c>
      <c r="F7808" s="22"/>
      <c r="G7808" s="21">
        <f t="shared" si="363"/>
        <v>10.140000000000001</v>
      </c>
      <c r="H7808" s="22"/>
      <c r="I7808" s="23" t="str">
        <f t="shared" si="364"/>
        <v xml:space="preserve">COM VALOR</v>
      </c>
      <c r="J7808" s="19"/>
      <c r="L7808" s="21">
        <v>10.16</v>
      </c>
      <c r="M7808" s="22">
        <v>2.9999999999999999e-002</v>
      </c>
      <c r="N7808" s="21">
        <v>10.140000000000001</v>
      </c>
      <c r="O7808" s="22">
        <v>2.9999999999999999e-002</v>
      </c>
    </row>
    <row r="7809" ht="25.5">
      <c r="A7809" t="s">
        <v>7885</v>
      </c>
      <c r="B7809" s="19">
        <v>100064</v>
      </c>
      <c r="C7809" s="20" t="s">
        <v>7893</v>
      </c>
      <c r="D7809" s="19" t="s">
        <v>302</v>
      </c>
      <c r="E7809" s="21">
        <f t="shared" si="362"/>
        <v>10.08</v>
      </c>
      <c r="F7809" s="22"/>
      <c r="G7809" s="21">
        <f t="shared" si="363"/>
        <v>10.07</v>
      </c>
      <c r="H7809" s="22"/>
      <c r="I7809" s="23" t="str">
        <f t="shared" si="364"/>
        <v xml:space="preserve">COM VALOR</v>
      </c>
      <c r="J7809" s="19"/>
      <c r="L7809" s="21">
        <v>10.08</v>
      </c>
      <c r="M7809" s="22">
        <v>2.9999999999999999e-002</v>
      </c>
      <c r="N7809" s="21">
        <v>10.07</v>
      </c>
      <c r="O7809" s="22">
        <v>2.9999999999999999e-002</v>
      </c>
    </row>
    <row r="7810" ht="25.5">
      <c r="A7810" t="s">
        <v>7885</v>
      </c>
      <c r="B7810" s="19">
        <v>100066</v>
      </c>
      <c r="C7810" s="20" t="s">
        <v>7894</v>
      </c>
      <c r="D7810" s="19" t="s">
        <v>302</v>
      </c>
      <c r="E7810" s="21">
        <f t="shared" si="362"/>
        <v>10.1</v>
      </c>
      <c r="F7810" s="22"/>
      <c r="G7810" s="21">
        <f t="shared" si="363"/>
        <v>10.09</v>
      </c>
      <c r="H7810" s="22"/>
      <c r="I7810" s="23" t="str">
        <f t="shared" si="364"/>
        <v xml:space="preserve">COM VALOR</v>
      </c>
      <c r="J7810" s="19"/>
      <c r="L7810" s="21">
        <v>10.1</v>
      </c>
      <c r="M7810" s="22">
        <v>2.e-002</v>
      </c>
      <c r="N7810" s="21">
        <v>10.09</v>
      </c>
      <c r="O7810" s="22">
        <v>2.e-002</v>
      </c>
    </row>
    <row r="7811" ht="25.5">
      <c r="A7811" t="s">
        <v>7885</v>
      </c>
      <c r="B7811" s="19">
        <v>91603</v>
      </c>
      <c r="C7811" s="20" t="s">
        <v>7895</v>
      </c>
      <c r="D7811" s="19" t="s">
        <v>302</v>
      </c>
      <c r="E7811" s="21">
        <f t="shared" si="362"/>
        <v>9.8100000000000005</v>
      </c>
      <c r="F7811" s="22"/>
      <c r="G7811" s="21">
        <f t="shared" si="363"/>
        <v>9.75</v>
      </c>
      <c r="H7811" s="22"/>
      <c r="I7811" s="23" t="str">
        <f t="shared" si="364"/>
        <v xml:space="preserve">COM VALOR</v>
      </c>
      <c r="J7811" s="19"/>
      <c r="L7811" s="21">
        <v>9.8100000000000005</v>
      </c>
      <c r="M7811" s="22">
        <v>0</v>
      </c>
      <c r="N7811" s="21">
        <v>9.75</v>
      </c>
      <c r="O7811" s="22">
        <v>0</v>
      </c>
    </row>
    <row r="7812" ht="25.5">
      <c r="A7812" t="s">
        <v>7885</v>
      </c>
      <c r="B7812" s="19">
        <v>100068</v>
      </c>
      <c r="C7812" s="20" t="s">
        <v>7896</v>
      </c>
      <c r="D7812" s="19" t="s">
        <v>302</v>
      </c>
      <c r="E7812" s="21">
        <f t="shared" si="362"/>
        <v>8.4299999999999997</v>
      </c>
      <c r="F7812" s="22"/>
      <c r="G7812" s="21">
        <f t="shared" si="363"/>
        <v>8.4000000000000004</v>
      </c>
      <c r="H7812" s="22"/>
      <c r="I7812" s="23" t="str">
        <f t="shared" si="364"/>
        <v xml:space="preserve">COM VALOR</v>
      </c>
      <c r="J7812" s="19"/>
      <c r="L7812" s="21">
        <v>8.4299999999999997</v>
      </c>
      <c r="M7812" s="22">
        <v>0</v>
      </c>
      <c r="N7812" s="21">
        <v>8.4000000000000004</v>
      </c>
      <c r="O7812" s="22">
        <v>0</v>
      </c>
    </row>
    <row r="7813" ht="25.5">
      <c r="A7813" t="s">
        <v>7885</v>
      </c>
      <c r="B7813" s="19">
        <v>100067</v>
      </c>
      <c r="C7813" s="20" t="s">
        <v>7897</v>
      </c>
      <c r="D7813" s="19" t="s">
        <v>302</v>
      </c>
      <c r="E7813" s="21">
        <f t="shared" si="362"/>
        <v>11.640000000000001</v>
      </c>
      <c r="F7813" s="22"/>
      <c r="G7813" s="21">
        <f t="shared" si="363"/>
        <v>11.449999999999999</v>
      </c>
      <c r="H7813" s="22"/>
      <c r="I7813" s="23" t="str">
        <f t="shared" si="364"/>
        <v xml:space="preserve">COM VALOR</v>
      </c>
      <c r="J7813" s="19"/>
      <c r="L7813" s="21">
        <v>11.640000000000001</v>
      </c>
      <c r="M7813" s="22">
        <v>0</v>
      </c>
      <c r="N7813" s="21">
        <v>11.449999999999999</v>
      </c>
      <c r="O7813" s="22">
        <v>0</v>
      </c>
    </row>
    <row r="7814" ht="25.5">
      <c r="A7814" t="s">
        <v>7885</v>
      </c>
      <c r="B7814" s="19">
        <v>91601</v>
      </c>
      <c r="C7814" s="20" t="s">
        <v>7898</v>
      </c>
      <c r="D7814" s="19" t="s">
        <v>302</v>
      </c>
      <c r="E7814" s="21">
        <f t="shared" si="362"/>
        <v>11.94</v>
      </c>
      <c r="F7814" s="22"/>
      <c r="G7814" s="21">
        <f t="shared" si="363"/>
        <v>11.789999999999999</v>
      </c>
      <c r="H7814" s="22"/>
      <c r="I7814" s="23" t="str">
        <f t="shared" si="364"/>
        <v xml:space="preserve">COM VALOR</v>
      </c>
      <c r="J7814" s="19"/>
      <c r="L7814" s="21">
        <v>11.94</v>
      </c>
      <c r="M7814" s="22">
        <v>0</v>
      </c>
      <c r="N7814" s="21">
        <v>11.789999999999999</v>
      </c>
      <c r="O7814" s="22">
        <v>0</v>
      </c>
    </row>
    <row r="7815" ht="25.5">
      <c r="A7815" t="s">
        <v>7885</v>
      </c>
      <c r="B7815" s="19">
        <v>91602</v>
      </c>
      <c r="C7815" s="20" t="s">
        <v>7899</v>
      </c>
      <c r="D7815" s="19" t="s">
        <v>302</v>
      </c>
      <c r="E7815" s="21">
        <f t="shared" si="362"/>
        <v>11.039999999999999</v>
      </c>
      <c r="F7815" s="22">
        <v>0</v>
      </c>
      <c r="G7815" s="21">
        <f t="shared" si="363"/>
        <v>10.94</v>
      </c>
      <c r="H7815" s="22">
        <v>0</v>
      </c>
      <c r="I7815" s="23" t="str">
        <f t="shared" si="364"/>
        <v xml:space="preserve">COM VALOR</v>
      </c>
      <c r="J7815" s="19"/>
      <c r="L7815" s="21">
        <v>11.039999999999999</v>
      </c>
      <c r="M7815" s="22">
        <v>0</v>
      </c>
      <c r="N7815" s="21">
        <v>10.94</v>
      </c>
      <c r="O7815" s="22">
        <v>0</v>
      </c>
    </row>
    <row r="7816" ht="38.25">
      <c r="A7816" t="s">
        <v>7885</v>
      </c>
      <c r="B7816" s="19">
        <v>91593</v>
      </c>
      <c r="C7816" s="20" t="s">
        <v>7900</v>
      </c>
      <c r="D7816" s="19" t="s">
        <v>302</v>
      </c>
      <c r="E7816" s="21">
        <f t="shared" si="362"/>
        <v>10.199999999999999</v>
      </c>
      <c r="F7816" s="22">
        <v>0</v>
      </c>
      <c r="G7816" s="21">
        <f t="shared" si="363"/>
        <v>10.16</v>
      </c>
      <c r="H7816" s="22">
        <v>0</v>
      </c>
      <c r="I7816" s="23" t="str">
        <f t="shared" si="364"/>
        <v xml:space="preserve">COM VALOR</v>
      </c>
      <c r="J7816" s="19"/>
      <c r="L7816" s="21">
        <v>10.199999999999999</v>
      </c>
      <c r="M7816" s="22">
        <v>2.e-002</v>
      </c>
      <c r="N7816" s="21">
        <v>10.16</v>
      </c>
      <c r="O7816" s="22">
        <v>2.e-002</v>
      </c>
    </row>
    <row r="7817" ht="38.25">
      <c r="A7817" t="s">
        <v>7885</v>
      </c>
      <c r="B7817" s="19">
        <v>105814</v>
      </c>
      <c r="C7817" s="20" t="s">
        <v>7901</v>
      </c>
      <c r="D7817" s="19" t="s">
        <v>302</v>
      </c>
      <c r="E7817" s="21">
        <f t="shared" si="362"/>
        <v>9.9100000000000001</v>
      </c>
      <c r="F7817" s="22">
        <v>0</v>
      </c>
      <c r="G7817" s="21">
        <f t="shared" si="363"/>
        <v>9.9000000000000004</v>
      </c>
      <c r="H7817" s="22">
        <v>0</v>
      </c>
      <c r="I7817" s="23" t="str">
        <f t="shared" si="364"/>
        <v xml:space="preserve">COM VALOR</v>
      </c>
      <c r="J7817" s="19"/>
      <c r="L7817" s="21">
        <v>9.9100000000000001</v>
      </c>
      <c r="M7817" s="22">
        <v>1.e-002</v>
      </c>
      <c r="N7817" s="21">
        <v>9.9000000000000004</v>
      </c>
      <c r="O7817" s="22">
        <v>1.e-002</v>
      </c>
    </row>
    <row r="7818" ht="38.25">
      <c r="A7818" t="s">
        <v>7885</v>
      </c>
      <c r="B7818" s="19">
        <v>91594</v>
      </c>
      <c r="C7818" s="20" t="s">
        <v>7902</v>
      </c>
      <c r="D7818" s="19" t="s">
        <v>302</v>
      </c>
      <c r="E7818" s="21">
        <f t="shared" si="362"/>
        <v>10.210000000000001</v>
      </c>
      <c r="F7818" s="22">
        <v>0</v>
      </c>
      <c r="G7818" s="21">
        <f t="shared" si="363"/>
        <v>10.19</v>
      </c>
      <c r="H7818" s="22">
        <v>0</v>
      </c>
      <c r="I7818" s="23" t="str">
        <f t="shared" si="364"/>
        <v xml:space="preserve">COM VALOR</v>
      </c>
      <c r="J7818" s="19"/>
      <c r="L7818" s="21">
        <v>10.210000000000001</v>
      </c>
      <c r="M7818" s="22">
        <v>2.9999999999999999e-002</v>
      </c>
      <c r="N7818" s="21">
        <v>10.19</v>
      </c>
      <c r="O7818" s="22">
        <v>2.9999999999999999e-002</v>
      </c>
    </row>
    <row r="7819" ht="25.5">
      <c r="A7819" t="s">
        <v>7885</v>
      </c>
      <c r="B7819" s="19">
        <v>91595</v>
      </c>
      <c r="C7819" s="20" t="s">
        <v>7903</v>
      </c>
      <c r="D7819" s="19" t="s">
        <v>302</v>
      </c>
      <c r="E7819" s="21">
        <f t="shared" ref="E7819:E7882" si="365">IF(L7819=0,"VERIFICAR",L7819)</f>
        <v>10.5</v>
      </c>
      <c r="F7819" s="22">
        <v>0</v>
      </c>
      <c r="G7819" s="21">
        <f t="shared" ref="G7819:G7882" si="366">IF(N7819=0,"VERIFICAR",N7819)</f>
        <v>10.449999999999999</v>
      </c>
      <c r="H7819" s="22">
        <v>0</v>
      </c>
      <c r="I7819" s="23" t="str">
        <f t="shared" ref="I7819:I7882" si="367">IF(OR(E7819=0,G7819=0),"SEM VALOR","COM VALOR")</f>
        <v xml:space="preserve">COM VALOR</v>
      </c>
      <c r="J7819" s="19"/>
      <c r="L7819" s="21">
        <v>10.5</v>
      </c>
      <c r="M7819" s="22">
        <v>4.0000000000000001e-002</v>
      </c>
      <c r="N7819" s="21">
        <v>10.449999999999999</v>
      </c>
      <c r="O7819" s="22">
        <v>4.0000000000000001e-002</v>
      </c>
    </row>
    <row r="7820" ht="25.5">
      <c r="A7820" t="s">
        <v>7885</v>
      </c>
      <c r="B7820" s="19">
        <v>105815</v>
      </c>
      <c r="C7820" s="20" t="s">
        <v>7904</v>
      </c>
      <c r="D7820" s="19" t="s">
        <v>302</v>
      </c>
      <c r="E7820" s="21" t="str">
        <f t="shared" si="365"/>
        <v>VERIFICAR</v>
      </c>
      <c r="F7820" s="22">
        <v>0</v>
      </c>
      <c r="G7820" s="21" t="str">
        <f t="shared" si="366"/>
        <v>VERIFICAR</v>
      </c>
      <c r="H7820" s="22">
        <v>0</v>
      </c>
      <c r="I7820" s="23" t="str">
        <f t="shared" si="367"/>
        <v xml:space="preserve">COM VALOR</v>
      </c>
      <c r="J7820" s="19"/>
      <c r="L7820" s="21">
        <v>0</v>
      </c>
      <c r="M7820" s="22"/>
      <c r="N7820" s="21">
        <v>0</v>
      </c>
      <c r="O7820" s="22"/>
    </row>
    <row r="7821" ht="25.5">
      <c r="A7821" t="s">
        <v>7885</v>
      </c>
      <c r="B7821" s="19">
        <v>91600</v>
      </c>
      <c r="C7821" s="20" t="s">
        <v>7905</v>
      </c>
      <c r="D7821" s="19" t="s">
        <v>302</v>
      </c>
      <c r="E7821" s="21">
        <f t="shared" si="365"/>
        <v>11.390000000000001</v>
      </c>
      <c r="F7821" s="22">
        <v>0</v>
      </c>
      <c r="G7821" s="21">
        <f t="shared" si="366"/>
        <v>11.31</v>
      </c>
      <c r="H7821" s="22">
        <v>0</v>
      </c>
      <c r="I7821" s="23" t="str">
        <f t="shared" si="367"/>
        <v xml:space="preserve">COM VALOR</v>
      </c>
      <c r="J7821" s="19"/>
      <c r="L7821" s="21">
        <v>11.390000000000001</v>
      </c>
      <c r="M7821" s="22">
        <v>4.0000000000000001e-002</v>
      </c>
      <c r="N7821" s="21">
        <v>11.31</v>
      </c>
      <c r="O7821" s="22">
        <v>4.0000000000000001e-002</v>
      </c>
    </row>
    <row r="7822" ht="51">
      <c r="A7822" t="s">
        <v>7906</v>
      </c>
      <c r="B7822" s="19">
        <v>99235</v>
      </c>
      <c r="C7822" s="20" t="s">
        <v>7907</v>
      </c>
      <c r="D7822" s="19" t="s">
        <v>121</v>
      </c>
      <c r="E7822" s="21">
        <f t="shared" si="365"/>
        <v>740.25</v>
      </c>
      <c r="F7822" s="22">
        <v>0</v>
      </c>
      <c r="G7822" s="21">
        <f t="shared" si="366"/>
        <v>739.15999999999997</v>
      </c>
      <c r="H7822" s="22">
        <v>0</v>
      </c>
      <c r="I7822" s="23" t="str">
        <f t="shared" si="367"/>
        <v xml:space="preserve">COM VALOR</v>
      </c>
      <c r="J7822" s="19"/>
      <c r="L7822" s="21">
        <v>740.25</v>
      </c>
      <c r="M7822" s="22">
        <v>0</v>
      </c>
      <c r="N7822" s="21">
        <v>739.15999999999997</v>
      </c>
      <c r="O7822" s="22">
        <v>0</v>
      </c>
    </row>
    <row r="7823" ht="51">
      <c r="A7823" t="s">
        <v>7906</v>
      </c>
      <c r="B7823" s="19">
        <v>105539</v>
      </c>
      <c r="C7823" s="20" t="s">
        <v>7908</v>
      </c>
      <c r="D7823" s="19" t="s">
        <v>121</v>
      </c>
      <c r="E7823" s="21" t="str">
        <f t="shared" si="365"/>
        <v>VERIFICAR</v>
      </c>
      <c r="F7823" s="22">
        <v>0</v>
      </c>
      <c r="G7823" s="21" t="str">
        <f t="shared" si="366"/>
        <v>VERIFICAR</v>
      </c>
      <c r="H7823" s="22">
        <v>0</v>
      </c>
      <c r="I7823" s="23" t="str">
        <f t="shared" si="367"/>
        <v xml:space="preserve">COM VALOR</v>
      </c>
      <c r="J7823" s="19"/>
      <c r="L7823" s="21">
        <v>0</v>
      </c>
      <c r="M7823" s="22"/>
      <c r="N7823" s="21">
        <v>0</v>
      </c>
      <c r="O7823" s="22"/>
    </row>
    <row r="7824" ht="51">
      <c r="A7824" t="s">
        <v>7906</v>
      </c>
      <c r="B7824" s="19">
        <v>99439</v>
      </c>
      <c r="C7824" s="20" t="s">
        <v>7909</v>
      </c>
      <c r="D7824" s="19" t="s">
        <v>121</v>
      </c>
      <c r="E7824" s="21">
        <f t="shared" si="365"/>
        <v>814.37</v>
      </c>
      <c r="F7824" s="22">
        <v>0</v>
      </c>
      <c r="G7824" s="21">
        <f t="shared" si="366"/>
        <v>812.64999999999998</v>
      </c>
      <c r="H7824" s="22">
        <v>0</v>
      </c>
      <c r="I7824" s="23" t="str">
        <f t="shared" si="367"/>
        <v xml:space="preserve">COM VALOR</v>
      </c>
      <c r="J7824" s="19"/>
      <c r="L7824" s="21">
        <v>814.37</v>
      </c>
      <c r="M7824" s="22">
        <v>0</v>
      </c>
      <c r="N7824" s="21">
        <v>812.64999999999998</v>
      </c>
      <c r="O7824" s="22">
        <v>0</v>
      </c>
    </row>
    <row r="7825" ht="51">
      <c r="A7825" t="s">
        <v>7906</v>
      </c>
      <c r="B7825" s="19">
        <v>105540</v>
      </c>
      <c r="C7825" s="20" t="s">
        <v>7910</v>
      </c>
      <c r="D7825" s="19" t="s">
        <v>121</v>
      </c>
      <c r="E7825" s="21" t="str">
        <f t="shared" si="365"/>
        <v>VERIFICAR</v>
      </c>
      <c r="F7825" s="22">
        <v>0</v>
      </c>
      <c r="G7825" s="21" t="str">
        <f t="shared" si="366"/>
        <v>VERIFICAR</v>
      </c>
      <c r="H7825" s="22">
        <v>0</v>
      </c>
      <c r="I7825" s="23" t="str">
        <f t="shared" si="367"/>
        <v xml:space="preserve">COM VALOR</v>
      </c>
      <c r="J7825" s="19"/>
      <c r="L7825" s="21">
        <v>0</v>
      </c>
      <c r="M7825" s="22"/>
      <c r="N7825" s="21">
        <v>0</v>
      </c>
      <c r="O7825" s="22"/>
    </row>
    <row r="7826" ht="51">
      <c r="A7826" t="s">
        <v>7906</v>
      </c>
      <c r="B7826" s="19">
        <v>103184</v>
      </c>
      <c r="C7826" s="20" t="s">
        <v>7911</v>
      </c>
      <c r="D7826" s="19" t="s">
        <v>121</v>
      </c>
      <c r="E7826" s="21">
        <f t="shared" si="365"/>
        <v>761.5</v>
      </c>
      <c r="F7826" s="22">
        <v>0</v>
      </c>
      <c r="G7826" s="21">
        <f t="shared" si="366"/>
        <v>759.22000000000003</v>
      </c>
      <c r="H7826" s="22">
        <v>0</v>
      </c>
      <c r="I7826" s="23" t="str">
        <f t="shared" si="367"/>
        <v xml:space="preserve">COM VALOR</v>
      </c>
      <c r="J7826" s="19"/>
      <c r="L7826" s="21">
        <v>761.5</v>
      </c>
      <c r="M7826" s="22">
        <v>0</v>
      </c>
      <c r="N7826" s="21">
        <v>759.22000000000003</v>
      </c>
      <c r="O7826" s="22">
        <v>0</v>
      </c>
    </row>
    <row r="7827" ht="51">
      <c r="A7827" t="s">
        <v>7906</v>
      </c>
      <c r="B7827" s="19">
        <v>103183</v>
      </c>
      <c r="C7827" s="20" t="s">
        <v>7912</v>
      </c>
      <c r="D7827" s="19" t="s">
        <v>121</v>
      </c>
      <c r="E7827" s="21">
        <f t="shared" si="365"/>
        <v>888.48000000000002</v>
      </c>
      <c r="F7827" s="22">
        <v>0</v>
      </c>
      <c r="G7827" s="21">
        <f t="shared" si="366"/>
        <v>882.63</v>
      </c>
      <c r="H7827" s="22">
        <v>0</v>
      </c>
      <c r="I7827" s="23" t="str">
        <f t="shared" si="367"/>
        <v xml:space="preserve">COM VALOR</v>
      </c>
      <c r="J7827" s="19"/>
      <c r="L7827" s="21">
        <v>888.48000000000002</v>
      </c>
      <c r="M7827" s="22">
        <v>0</v>
      </c>
      <c r="N7827" s="21">
        <v>882.63</v>
      </c>
      <c r="O7827" s="22">
        <v>0</v>
      </c>
    </row>
    <row r="7828" ht="51">
      <c r="A7828" t="s">
        <v>7906</v>
      </c>
      <c r="B7828" s="19">
        <v>99434</v>
      </c>
      <c r="C7828" s="20" t="s">
        <v>7913</v>
      </c>
      <c r="D7828" s="19" t="s">
        <v>121</v>
      </c>
      <c r="E7828" s="21">
        <f t="shared" si="365"/>
        <v>828.44000000000005</v>
      </c>
      <c r="F7828" s="22">
        <v>0</v>
      </c>
      <c r="G7828" s="21">
        <f t="shared" si="366"/>
        <v>826.57000000000005</v>
      </c>
      <c r="H7828" s="22">
        <v>0</v>
      </c>
      <c r="I7828" s="23" t="str">
        <f t="shared" si="367"/>
        <v xml:space="preserve">COM VALOR</v>
      </c>
      <c r="J7828" s="19"/>
      <c r="L7828" s="21">
        <v>828.44000000000005</v>
      </c>
      <c r="M7828" s="22">
        <v>0</v>
      </c>
      <c r="N7828" s="21">
        <v>826.57000000000005</v>
      </c>
      <c r="O7828" s="22">
        <v>0</v>
      </c>
    </row>
    <row r="7829" ht="51">
      <c r="A7829" t="s">
        <v>7906</v>
      </c>
      <c r="B7829" s="19">
        <v>99431</v>
      </c>
      <c r="C7829" s="20" t="s">
        <v>7914</v>
      </c>
      <c r="D7829" s="19" t="s">
        <v>121</v>
      </c>
      <c r="E7829" s="21">
        <f t="shared" si="365"/>
        <v>824.70000000000005</v>
      </c>
      <c r="F7829" s="22">
        <v>0</v>
      </c>
      <c r="G7829" s="21">
        <f t="shared" si="366"/>
        <v>823.03999999999996</v>
      </c>
      <c r="H7829" s="22">
        <v>0</v>
      </c>
      <c r="I7829" s="23" t="str">
        <f t="shared" si="367"/>
        <v xml:space="preserve">COM VALOR</v>
      </c>
      <c r="J7829" s="19"/>
      <c r="L7829" s="21">
        <v>824.70000000000005</v>
      </c>
      <c r="M7829" s="22">
        <v>0</v>
      </c>
      <c r="N7829" s="21">
        <v>823.03999999999996</v>
      </c>
      <c r="O7829" s="22">
        <v>0</v>
      </c>
    </row>
    <row r="7830" ht="51">
      <c r="A7830" t="s">
        <v>7906</v>
      </c>
      <c r="B7830" s="19">
        <v>99435</v>
      </c>
      <c r="C7830" s="20" t="s">
        <v>7915</v>
      </c>
      <c r="D7830" s="19" t="s">
        <v>121</v>
      </c>
      <c r="E7830" s="21">
        <f t="shared" si="365"/>
        <v>808.91999999999996</v>
      </c>
      <c r="F7830" s="22">
        <v>0</v>
      </c>
      <c r="G7830" s="21">
        <f t="shared" si="366"/>
        <v>807.21000000000004</v>
      </c>
      <c r="H7830" s="22">
        <v>0</v>
      </c>
      <c r="I7830" s="23" t="str">
        <f t="shared" si="367"/>
        <v xml:space="preserve">COM VALOR</v>
      </c>
      <c r="J7830" s="19"/>
      <c r="L7830" s="21">
        <v>808.91999999999996</v>
      </c>
      <c r="M7830" s="22">
        <v>0</v>
      </c>
      <c r="N7830" s="21">
        <v>807.21000000000004</v>
      </c>
      <c r="O7830" s="22">
        <v>0</v>
      </c>
    </row>
    <row r="7831" ht="51">
      <c r="A7831" t="s">
        <v>7906</v>
      </c>
      <c r="B7831" s="19">
        <v>99432</v>
      </c>
      <c r="C7831" s="20" t="s">
        <v>7916</v>
      </c>
      <c r="D7831" s="19" t="s">
        <v>121</v>
      </c>
      <c r="E7831" s="21">
        <f t="shared" si="365"/>
        <v>806.25</v>
      </c>
      <c r="F7831" s="22">
        <v>0</v>
      </c>
      <c r="G7831" s="21">
        <f t="shared" si="366"/>
        <v>804.69000000000005</v>
      </c>
      <c r="H7831" s="22">
        <v>0</v>
      </c>
      <c r="I7831" s="23" t="str">
        <f t="shared" si="367"/>
        <v xml:space="preserve">COM VALOR</v>
      </c>
      <c r="J7831" s="19"/>
      <c r="L7831" s="21">
        <v>806.25</v>
      </c>
      <c r="M7831" s="22">
        <v>0</v>
      </c>
      <c r="N7831" s="21">
        <v>804.69000000000005</v>
      </c>
      <c r="O7831" s="22">
        <v>0</v>
      </c>
    </row>
    <row r="7832" ht="51">
      <c r="A7832" t="s">
        <v>7906</v>
      </c>
      <c r="B7832" s="19">
        <v>99438</v>
      </c>
      <c r="C7832" s="20" t="s">
        <v>7917</v>
      </c>
      <c r="D7832" s="19" t="s">
        <v>121</v>
      </c>
      <c r="E7832" s="21">
        <f t="shared" si="365"/>
        <v>793.79999999999995</v>
      </c>
      <c r="F7832" s="22">
        <v>0</v>
      </c>
      <c r="G7832" s="21">
        <f t="shared" si="366"/>
        <v>792.00999999999999</v>
      </c>
      <c r="H7832" s="22">
        <v>0</v>
      </c>
      <c r="I7832" s="23" t="str">
        <f t="shared" si="367"/>
        <v xml:space="preserve">COM VALOR</v>
      </c>
      <c r="J7832" s="19"/>
      <c r="L7832" s="21">
        <v>793.79999999999995</v>
      </c>
      <c r="M7832" s="22">
        <v>0</v>
      </c>
      <c r="N7832" s="21">
        <v>792.00999999999999</v>
      </c>
      <c r="O7832" s="22">
        <v>0</v>
      </c>
    </row>
    <row r="7833" ht="63.75">
      <c r="A7833" t="s">
        <v>7906</v>
      </c>
      <c r="B7833" s="19">
        <v>105538</v>
      </c>
      <c r="C7833" s="20" t="s">
        <v>7918</v>
      </c>
      <c r="D7833" s="19" t="s">
        <v>121</v>
      </c>
      <c r="E7833" s="21" t="str">
        <f t="shared" si="365"/>
        <v>VERIFICAR</v>
      </c>
      <c r="F7833" s="22">
        <v>0</v>
      </c>
      <c r="G7833" s="21" t="str">
        <f t="shared" si="366"/>
        <v>VERIFICAR</v>
      </c>
      <c r="H7833" s="22">
        <v>0</v>
      </c>
      <c r="I7833" s="23" t="str">
        <f t="shared" si="367"/>
        <v xml:space="preserve">COM VALOR</v>
      </c>
      <c r="J7833" s="19"/>
      <c r="L7833" s="21">
        <v>0</v>
      </c>
      <c r="M7833" s="22"/>
      <c r="N7833" s="21">
        <v>0</v>
      </c>
      <c r="O7833" s="22"/>
    </row>
    <row r="7834" ht="51">
      <c r="A7834" t="s">
        <v>7906</v>
      </c>
      <c r="B7834" s="19">
        <v>99436</v>
      </c>
      <c r="C7834" s="20" t="s">
        <v>7919</v>
      </c>
      <c r="D7834" s="19" t="s">
        <v>121</v>
      </c>
      <c r="E7834" s="21">
        <f t="shared" si="365"/>
        <v>894.14999999999998</v>
      </c>
      <c r="F7834" s="22">
        <v>0</v>
      </c>
      <c r="G7834" s="21">
        <f t="shared" si="366"/>
        <v>890.47000000000003</v>
      </c>
      <c r="H7834" s="22">
        <v>0</v>
      </c>
      <c r="I7834" s="23" t="str">
        <f t="shared" si="367"/>
        <v xml:space="preserve">COM VALOR</v>
      </c>
      <c r="J7834" s="19"/>
      <c r="L7834" s="21">
        <v>894.14999999999998</v>
      </c>
      <c r="M7834" s="22">
        <v>0</v>
      </c>
      <c r="N7834" s="21">
        <v>890.47000000000003</v>
      </c>
      <c r="O7834" s="22">
        <v>0</v>
      </c>
    </row>
    <row r="7835" ht="51">
      <c r="A7835" t="s">
        <v>7906</v>
      </c>
      <c r="B7835" s="19">
        <v>99437</v>
      </c>
      <c r="C7835" s="20" t="s">
        <v>7920</v>
      </c>
      <c r="D7835" s="19" t="s">
        <v>121</v>
      </c>
      <c r="E7835" s="21">
        <f t="shared" si="365"/>
        <v>786.78999999999996</v>
      </c>
      <c r="F7835" s="22">
        <v>0</v>
      </c>
      <c r="G7835" s="21">
        <f t="shared" si="366"/>
        <v>785.38999999999999</v>
      </c>
      <c r="H7835" s="22">
        <v>0</v>
      </c>
      <c r="I7835" s="23" t="str">
        <f t="shared" si="367"/>
        <v xml:space="preserve">COM VALOR</v>
      </c>
      <c r="J7835" s="19"/>
      <c r="L7835" s="21">
        <v>786.78999999999996</v>
      </c>
      <c r="M7835" s="22">
        <v>0</v>
      </c>
      <c r="N7835" s="21">
        <v>785.38999999999999</v>
      </c>
      <c r="O7835" s="22">
        <v>0</v>
      </c>
    </row>
    <row r="7836" ht="51">
      <c r="A7836" t="s">
        <v>7906</v>
      </c>
      <c r="B7836" s="19">
        <v>105537</v>
      </c>
      <c r="C7836" s="20" t="s">
        <v>7921</v>
      </c>
      <c r="D7836" s="19" t="s">
        <v>121</v>
      </c>
      <c r="E7836" s="21" t="str">
        <f t="shared" si="365"/>
        <v>VERIFICAR</v>
      </c>
      <c r="F7836" s="22">
        <v>0</v>
      </c>
      <c r="G7836" s="21" t="str">
        <f t="shared" si="366"/>
        <v>VERIFICAR</v>
      </c>
      <c r="H7836" s="22">
        <v>0</v>
      </c>
      <c r="I7836" s="23" t="str">
        <f t="shared" si="367"/>
        <v xml:space="preserve">COM VALOR</v>
      </c>
      <c r="J7836" s="19"/>
      <c r="L7836" s="21">
        <v>0</v>
      </c>
      <c r="M7836" s="22"/>
      <c r="N7836" s="21">
        <v>0</v>
      </c>
      <c r="O7836" s="22"/>
    </row>
    <row r="7837" ht="51">
      <c r="A7837" t="s">
        <v>7906</v>
      </c>
      <c r="B7837" s="19">
        <v>99433</v>
      </c>
      <c r="C7837" s="20" t="s">
        <v>7922</v>
      </c>
      <c r="D7837" s="19" t="s">
        <v>121</v>
      </c>
      <c r="E7837" s="21">
        <f t="shared" si="365"/>
        <v>872.88</v>
      </c>
      <c r="F7837" s="22">
        <v>0</v>
      </c>
      <c r="G7837" s="21">
        <f t="shared" si="366"/>
        <v>870.38999999999999</v>
      </c>
      <c r="H7837" s="22">
        <v>0</v>
      </c>
      <c r="I7837" s="23" t="str">
        <f t="shared" si="367"/>
        <v xml:space="preserve">COM VALOR</v>
      </c>
      <c r="J7837" s="19"/>
      <c r="L7837" s="21">
        <v>872.88</v>
      </c>
      <c r="M7837" s="22">
        <v>0</v>
      </c>
      <c r="N7837" s="21">
        <v>870.38999999999999</v>
      </c>
      <c r="O7837" s="22">
        <v>0</v>
      </c>
    </row>
    <row r="7838" ht="51">
      <c r="A7838" t="s">
        <v>7923</v>
      </c>
      <c r="B7838" s="19">
        <v>104422</v>
      </c>
      <c r="C7838" s="20" t="s">
        <v>7924</v>
      </c>
      <c r="D7838" s="19" t="s">
        <v>29</v>
      </c>
      <c r="E7838" s="21">
        <f t="shared" si="365"/>
        <v>11.31</v>
      </c>
      <c r="F7838" s="22">
        <v>0</v>
      </c>
      <c r="G7838" s="21">
        <f t="shared" si="366"/>
        <v>10.970000000000001</v>
      </c>
      <c r="H7838" s="22">
        <v>0</v>
      </c>
      <c r="I7838" s="23" t="str">
        <f t="shared" si="367"/>
        <v xml:space="preserve">COM VALOR</v>
      </c>
      <c r="J7838" s="19"/>
      <c r="L7838" s="21">
        <v>11.31</v>
      </c>
      <c r="M7838" s="22">
        <v>0</v>
      </c>
      <c r="N7838" s="21">
        <v>10.970000000000001</v>
      </c>
      <c r="O7838" s="22">
        <v>0</v>
      </c>
    </row>
    <row r="7839" ht="51">
      <c r="A7839" t="s">
        <v>7923</v>
      </c>
      <c r="B7839" s="19">
        <v>105824</v>
      </c>
      <c r="C7839" s="20" t="s">
        <v>7925</v>
      </c>
      <c r="D7839" s="19" t="s">
        <v>29</v>
      </c>
      <c r="E7839" s="21">
        <f t="shared" si="365"/>
        <v>12.789999999999999</v>
      </c>
      <c r="F7839" s="22">
        <v>0</v>
      </c>
      <c r="G7839" s="21">
        <f t="shared" si="366"/>
        <v>12.449999999999999</v>
      </c>
      <c r="H7839" s="22">
        <v>0</v>
      </c>
      <c r="I7839" s="23" t="str">
        <f t="shared" si="367"/>
        <v xml:space="preserve">COM VALOR</v>
      </c>
      <c r="J7839" s="19"/>
      <c r="L7839" s="21">
        <v>12.789999999999999</v>
      </c>
      <c r="M7839" s="22">
        <v>0</v>
      </c>
      <c r="N7839" s="21">
        <v>12.449999999999999</v>
      </c>
      <c r="O7839" s="22">
        <v>0</v>
      </c>
    </row>
    <row r="7840" ht="51">
      <c r="A7840" t="s">
        <v>7923</v>
      </c>
      <c r="B7840" s="19">
        <v>105825</v>
      </c>
      <c r="C7840" s="20" t="s">
        <v>7926</v>
      </c>
      <c r="D7840" s="19" t="s">
        <v>29</v>
      </c>
      <c r="E7840" s="21">
        <f t="shared" si="365"/>
        <v>6.6200000000000001</v>
      </c>
      <c r="F7840" s="22">
        <v>0</v>
      </c>
      <c r="G7840" s="21">
        <f t="shared" si="366"/>
        <v>6.2699999999999996</v>
      </c>
      <c r="H7840" s="22">
        <v>0</v>
      </c>
      <c r="I7840" s="23" t="str">
        <f t="shared" si="367"/>
        <v xml:space="preserve">COM VALOR</v>
      </c>
      <c r="J7840" s="19"/>
      <c r="L7840" s="21">
        <v>6.6200000000000001</v>
      </c>
      <c r="M7840" s="22">
        <v>0</v>
      </c>
      <c r="N7840" s="21">
        <v>6.2699999999999996</v>
      </c>
      <c r="O7840" s="22">
        <v>0</v>
      </c>
    </row>
    <row r="7841" ht="51">
      <c r="A7841" t="s">
        <v>7923</v>
      </c>
      <c r="B7841" s="19">
        <v>104421</v>
      </c>
      <c r="C7841" s="20" t="s">
        <v>7927</v>
      </c>
      <c r="D7841" s="19" t="s">
        <v>29</v>
      </c>
      <c r="E7841" s="21">
        <f t="shared" si="365"/>
        <v>16.59</v>
      </c>
      <c r="F7841" s="22">
        <v>0</v>
      </c>
      <c r="G7841" s="21">
        <f t="shared" si="366"/>
        <v>15.949999999999999</v>
      </c>
      <c r="H7841" s="22">
        <v>0</v>
      </c>
      <c r="I7841" s="23" t="str">
        <f t="shared" si="367"/>
        <v xml:space="preserve">COM VALOR</v>
      </c>
      <c r="J7841" s="19"/>
      <c r="L7841" s="21">
        <v>16.59</v>
      </c>
      <c r="M7841" s="22">
        <v>0</v>
      </c>
      <c r="N7841" s="21">
        <v>15.949999999999999</v>
      </c>
      <c r="O7841" s="22">
        <v>0</v>
      </c>
    </row>
    <row r="7842" ht="51">
      <c r="A7842" t="s">
        <v>7923</v>
      </c>
      <c r="B7842" s="19">
        <v>105822</v>
      </c>
      <c r="C7842" s="20" t="s">
        <v>7928</v>
      </c>
      <c r="D7842" s="19" t="s">
        <v>29</v>
      </c>
      <c r="E7842" s="21">
        <f t="shared" si="365"/>
        <v>18.07</v>
      </c>
      <c r="F7842" s="22">
        <v>0</v>
      </c>
      <c r="G7842" s="21">
        <f t="shared" si="366"/>
        <v>17.43</v>
      </c>
      <c r="H7842" s="22">
        <v>0</v>
      </c>
      <c r="I7842" s="23" t="str">
        <f t="shared" si="367"/>
        <v xml:space="preserve">COM VALOR</v>
      </c>
      <c r="J7842" s="19"/>
      <c r="L7842" s="21">
        <v>18.07</v>
      </c>
      <c r="M7842" s="22">
        <v>0</v>
      </c>
      <c r="N7842" s="21">
        <v>17.43</v>
      </c>
      <c r="O7842" s="22">
        <v>0</v>
      </c>
    </row>
    <row r="7843" ht="51">
      <c r="A7843" t="s">
        <v>7923</v>
      </c>
      <c r="B7843" s="19">
        <v>105823</v>
      </c>
      <c r="C7843" s="20" t="s">
        <v>7929</v>
      </c>
      <c r="D7843" s="19" t="s">
        <v>29</v>
      </c>
      <c r="E7843" s="21">
        <f t="shared" si="365"/>
        <v>11.9</v>
      </c>
      <c r="F7843" s="22">
        <v>0</v>
      </c>
      <c r="G7843" s="21">
        <f t="shared" si="366"/>
        <v>11.25</v>
      </c>
      <c r="H7843" s="22">
        <v>0</v>
      </c>
      <c r="I7843" s="23" t="str">
        <f t="shared" si="367"/>
        <v xml:space="preserve">COM VALOR</v>
      </c>
      <c r="J7843" s="19"/>
      <c r="L7843" s="21">
        <v>11.9</v>
      </c>
      <c r="M7843" s="22">
        <v>0</v>
      </c>
      <c r="N7843" s="21">
        <v>11.25</v>
      </c>
      <c r="O7843" s="22">
        <v>0</v>
      </c>
    </row>
    <row r="7844" ht="51">
      <c r="A7844" t="s">
        <v>7923</v>
      </c>
      <c r="B7844" s="19">
        <v>104423</v>
      </c>
      <c r="C7844" s="20" t="s">
        <v>7930</v>
      </c>
      <c r="D7844" s="19" t="s">
        <v>29</v>
      </c>
      <c r="E7844" s="21">
        <f t="shared" si="365"/>
        <v>15.01</v>
      </c>
      <c r="F7844" s="22">
        <v>0</v>
      </c>
      <c r="G7844" s="21">
        <f t="shared" si="366"/>
        <v>14.460000000000001</v>
      </c>
      <c r="H7844" s="22">
        <v>0</v>
      </c>
      <c r="I7844" s="23" t="str">
        <f t="shared" si="367"/>
        <v xml:space="preserve">COM VALOR</v>
      </c>
      <c r="J7844" s="19"/>
      <c r="L7844" s="21">
        <v>15.01</v>
      </c>
      <c r="M7844" s="22">
        <v>0</v>
      </c>
      <c r="N7844" s="21">
        <v>14.460000000000001</v>
      </c>
      <c r="O7844" s="22">
        <v>0</v>
      </c>
    </row>
    <row r="7845" ht="51">
      <c r="A7845" t="s">
        <v>7923</v>
      </c>
      <c r="B7845" s="19">
        <v>105826</v>
      </c>
      <c r="C7845" s="20" t="s">
        <v>7931</v>
      </c>
      <c r="D7845" s="19" t="s">
        <v>29</v>
      </c>
      <c r="E7845" s="21">
        <f t="shared" si="365"/>
        <v>16.489999999999998</v>
      </c>
      <c r="F7845" s="22">
        <v>0</v>
      </c>
      <c r="G7845" s="21">
        <f t="shared" si="366"/>
        <v>15.94</v>
      </c>
      <c r="H7845" s="22">
        <v>0</v>
      </c>
      <c r="I7845" s="23" t="str">
        <f t="shared" si="367"/>
        <v xml:space="preserve">COM VALOR</v>
      </c>
      <c r="J7845" s="19"/>
      <c r="L7845" s="21">
        <v>16.489999999999998</v>
      </c>
      <c r="M7845" s="22">
        <v>0</v>
      </c>
      <c r="N7845" s="21">
        <v>15.94</v>
      </c>
      <c r="O7845" s="22">
        <v>0</v>
      </c>
    </row>
    <row r="7846" ht="51">
      <c r="A7846" t="s">
        <v>7923</v>
      </c>
      <c r="B7846" s="19">
        <v>105827</v>
      </c>
      <c r="C7846" s="20" t="s">
        <v>7932</v>
      </c>
      <c r="D7846" s="19" t="s">
        <v>29</v>
      </c>
      <c r="E7846" s="21">
        <f t="shared" si="365"/>
        <v>10.32</v>
      </c>
      <c r="F7846" s="22">
        <v>0</v>
      </c>
      <c r="G7846" s="21">
        <f t="shared" si="366"/>
        <v>9.7599999999999998</v>
      </c>
      <c r="H7846" s="22">
        <v>0</v>
      </c>
      <c r="I7846" s="23" t="str">
        <f t="shared" si="367"/>
        <v xml:space="preserve">COM VALOR</v>
      </c>
      <c r="J7846" s="19"/>
      <c r="L7846" s="21">
        <v>10.32</v>
      </c>
      <c r="M7846" s="22">
        <v>0</v>
      </c>
      <c r="N7846" s="21">
        <v>9.7599999999999998</v>
      </c>
      <c r="O7846" s="22">
        <v>0</v>
      </c>
    </row>
    <row r="7847" ht="38.25">
      <c r="A7847" t="s">
        <v>7923</v>
      </c>
      <c r="B7847" s="19">
        <v>104425</v>
      </c>
      <c r="C7847" s="20" t="s">
        <v>7933</v>
      </c>
      <c r="D7847" s="19" t="s">
        <v>29</v>
      </c>
      <c r="E7847" s="21">
        <f t="shared" si="365"/>
        <v>9.6999999999999993</v>
      </c>
      <c r="F7847" s="22"/>
      <c r="G7847" s="21">
        <f t="shared" si="366"/>
        <v>9.4499999999999993</v>
      </c>
      <c r="H7847" s="22"/>
      <c r="I7847" s="23" t="str">
        <f t="shared" si="367"/>
        <v xml:space="preserve">COM VALOR</v>
      </c>
      <c r="J7847" s="19"/>
      <c r="L7847" s="21">
        <v>9.6999999999999993</v>
      </c>
      <c r="M7847" s="22">
        <v>0</v>
      </c>
      <c r="N7847" s="21">
        <v>9.4499999999999993</v>
      </c>
      <c r="O7847" s="22">
        <v>0</v>
      </c>
    </row>
    <row r="7848" ht="38.25">
      <c r="A7848" t="s">
        <v>7923</v>
      </c>
      <c r="B7848" s="19">
        <v>105828</v>
      </c>
      <c r="C7848" s="20" t="s">
        <v>7934</v>
      </c>
      <c r="D7848" s="19" t="s">
        <v>29</v>
      </c>
      <c r="E7848" s="21">
        <f t="shared" si="365"/>
        <v>11.18</v>
      </c>
      <c r="F7848" s="22">
        <v>0</v>
      </c>
      <c r="G7848" s="21">
        <f t="shared" si="366"/>
        <v>10.93</v>
      </c>
      <c r="H7848" s="22">
        <v>0</v>
      </c>
      <c r="I7848" s="23" t="str">
        <f t="shared" si="367"/>
        <v xml:space="preserve">COM VALOR</v>
      </c>
      <c r="J7848" s="19"/>
      <c r="L7848" s="21">
        <v>11.18</v>
      </c>
      <c r="M7848" s="22">
        <v>0</v>
      </c>
      <c r="N7848" s="21">
        <v>10.93</v>
      </c>
      <c r="O7848" s="22">
        <v>0</v>
      </c>
    </row>
    <row r="7849" ht="51">
      <c r="A7849" t="s">
        <v>7923</v>
      </c>
      <c r="B7849" s="19">
        <v>105829</v>
      </c>
      <c r="C7849" s="20" t="s">
        <v>7935</v>
      </c>
      <c r="D7849" s="19" t="s">
        <v>29</v>
      </c>
      <c r="E7849" s="21">
        <f t="shared" si="365"/>
        <v>5.0099999999999998</v>
      </c>
      <c r="F7849" s="22"/>
      <c r="G7849" s="21">
        <f t="shared" si="366"/>
        <v>4.75</v>
      </c>
      <c r="H7849" s="22"/>
      <c r="I7849" s="23" t="str">
        <f t="shared" si="367"/>
        <v xml:space="preserve">COM VALOR</v>
      </c>
      <c r="J7849" s="19"/>
      <c r="L7849" s="21">
        <v>5.0099999999999998</v>
      </c>
      <c r="M7849" s="22">
        <v>0</v>
      </c>
      <c r="N7849" s="21">
        <v>4.75</v>
      </c>
      <c r="O7849" s="22">
        <v>0</v>
      </c>
    </row>
    <row r="7850" ht="38.25">
      <c r="A7850" t="s">
        <v>7923</v>
      </c>
      <c r="B7850" s="19">
        <v>91525</v>
      </c>
      <c r="C7850" s="20" t="s">
        <v>7936</v>
      </c>
      <c r="D7850" s="19" t="s">
        <v>29</v>
      </c>
      <c r="E7850" s="21">
        <f t="shared" si="365"/>
        <v>7.8600000000000003</v>
      </c>
      <c r="F7850" s="22">
        <v>0</v>
      </c>
      <c r="G7850" s="21">
        <f t="shared" si="366"/>
        <v>7.5899999999999999</v>
      </c>
      <c r="H7850" s="22">
        <v>0</v>
      </c>
      <c r="I7850" s="23" t="str">
        <f t="shared" si="367"/>
        <v xml:space="preserve">COM VALOR</v>
      </c>
      <c r="J7850" s="19"/>
      <c r="L7850" s="21">
        <v>7.8600000000000003</v>
      </c>
      <c r="M7850" s="22">
        <v>0</v>
      </c>
      <c r="N7850" s="21">
        <v>7.5899999999999999</v>
      </c>
      <c r="O7850" s="22">
        <v>0</v>
      </c>
    </row>
    <row r="7851" ht="51">
      <c r="A7851" t="s">
        <v>7923</v>
      </c>
      <c r="B7851" s="19">
        <v>105818</v>
      </c>
      <c r="C7851" s="20" t="s">
        <v>7937</v>
      </c>
      <c r="D7851" s="19" t="s">
        <v>29</v>
      </c>
      <c r="E7851" s="21">
        <f t="shared" si="365"/>
        <v>11.44</v>
      </c>
      <c r="F7851" s="22"/>
      <c r="G7851" s="21">
        <f t="shared" si="366"/>
        <v>11.17</v>
      </c>
      <c r="H7851" s="22"/>
      <c r="I7851" s="23" t="str">
        <f t="shared" si="367"/>
        <v xml:space="preserve">COM VALOR</v>
      </c>
      <c r="J7851" s="19"/>
      <c r="L7851" s="21">
        <v>11.44</v>
      </c>
      <c r="M7851" s="22">
        <v>0</v>
      </c>
      <c r="N7851" s="21">
        <v>11.17</v>
      </c>
      <c r="O7851" s="22">
        <v>0</v>
      </c>
    </row>
    <row r="7852" ht="51">
      <c r="A7852" t="s">
        <v>7923</v>
      </c>
      <c r="B7852" s="19">
        <v>105819</v>
      </c>
      <c r="C7852" s="20" t="s">
        <v>7938</v>
      </c>
      <c r="D7852" s="19" t="s">
        <v>29</v>
      </c>
      <c r="E7852" s="21">
        <f t="shared" si="365"/>
        <v>5.2999999999999998</v>
      </c>
      <c r="F7852" s="22">
        <v>0</v>
      </c>
      <c r="G7852" s="21">
        <f t="shared" si="366"/>
        <v>5.0199999999999996</v>
      </c>
      <c r="H7852" s="22">
        <v>0</v>
      </c>
      <c r="I7852" s="23" t="str">
        <f t="shared" si="367"/>
        <v xml:space="preserve">COM VALOR</v>
      </c>
      <c r="J7852" s="19"/>
      <c r="L7852" s="21">
        <v>5.2999999999999998</v>
      </c>
      <c r="M7852" s="22">
        <v>0</v>
      </c>
      <c r="N7852" s="21">
        <v>5.0199999999999996</v>
      </c>
      <c r="O7852" s="22">
        <v>0</v>
      </c>
    </row>
    <row r="7853" ht="51">
      <c r="A7853" t="s">
        <v>7923</v>
      </c>
      <c r="B7853" s="19">
        <v>104414</v>
      </c>
      <c r="C7853" s="20" t="s">
        <v>7939</v>
      </c>
      <c r="D7853" s="19" t="s">
        <v>29</v>
      </c>
      <c r="E7853" s="21">
        <f t="shared" si="365"/>
        <v>7.0199999999999996</v>
      </c>
      <c r="F7853" s="22"/>
      <c r="G7853" s="21">
        <f t="shared" si="366"/>
        <v>6.8099999999999996</v>
      </c>
      <c r="H7853" s="22"/>
      <c r="I7853" s="23" t="str">
        <f t="shared" si="367"/>
        <v xml:space="preserve">COM VALOR</v>
      </c>
      <c r="J7853" s="19"/>
      <c r="L7853" s="21">
        <v>7.0199999999999996</v>
      </c>
      <c r="M7853" s="22">
        <v>0</v>
      </c>
      <c r="N7853" s="21">
        <v>6.8099999999999996</v>
      </c>
      <c r="O7853" s="22">
        <v>0</v>
      </c>
    </row>
    <row r="7854" ht="51">
      <c r="A7854" t="s">
        <v>7923</v>
      </c>
      <c r="B7854" s="19">
        <v>105816</v>
      </c>
      <c r="C7854" s="20" t="s">
        <v>7940</v>
      </c>
      <c r="D7854" s="19" t="s">
        <v>29</v>
      </c>
      <c r="E7854" s="21">
        <f t="shared" si="365"/>
        <v>10.6</v>
      </c>
      <c r="F7854" s="22">
        <v>0</v>
      </c>
      <c r="G7854" s="21">
        <f t="shared" si="366"/>
        <v>10.390000000000001</v>
      </c>
      <c r="H7854" s="22">
        <v>0</v>
      </c>
      <c r="I7854" s="23" t="str">
        <f t="shared" si="367"/>
        <v xml:space="preserve">COM VALOR</v>
      </c>
      <c r="J7854" s="19"/>
      <c r="L7854" s="21">
        <v>10.6</v>
      </c>
      <c r="M7854" s="22">
        <v>0</v>
      </c>
      <c r="N7854" s="21">
        <v>10.390000000000001</v>
      </c>
      <c r="O7854" s="22">
        <v>0</v>
      </c>
    </row>
    <row r="7855" ht="51">
      <c r="A7855" t="s">
        <v>7923</v>
      </c>
      <c r="B7855" s="19">
        <v>105817</v>
      </c>
      <c r="C7855" s="20" t="s">
        <v>7941</v>
      </c>
      <c r="D7855" s="19" t="s">
        <v>29</v>
      </c>
      <c r="E7855" s="21">
        <f t="shared" si="365"/>
        <v>4.46</v>
      </c>
      <c r="F7855" s="22">
        <v>0</v>
      </c>
      <c r="G7855" s="21">
        <f t="shared" si="366"/>
        <v>4.2400000000000002</v>
      </c>
      <c r="H7855" s="22">
        <v>0</v>
      </c>
      <c r="I7855" s="23" t="str">
        <f t="shared" si="367"/>
        <v xml:space="preserve">COM VALOR</v>
      </c>
      <c r="J7855" s="19"/>
      <c r="L7855" s="21">
        <v>4.46</v>
      </c>
      <c r="M7855" s="22">
        <v>0</v>
      </c>
      <c r="N7855" s="21">
        <v>4.2400000000000002</v>
      </c>
      <c r="O7855" s="22">
        <v>0</v>
      </c>
    </row>
    <row r="7856" ht="51">
      <c r="A7856" t="s">
        <v>7923</v>
      </c>
      <c r="B7856" s="19">
        <v>104415</v>
      </c>
      <c r="C7856" s="20" t="s">
        <v>7942</v>
      </c>
      <c r="D7856" s="19" t="s">
        <v>29</v>
      </c>
      <c r="E7856" s="21">
        <f t="shared" si="365"/>
        <v>12.23</v>
      </c>
      <c r="F7856" s="22"/>
      <c r="G7856" s="21">
        <f t="shared" si="366"/>
        <v>11.710000000000001</v>
      </c>
      <c r="H7856" s="22"/>
      <c r="I7856" s="23" t="str">
        <f t="shared" si="367"/>
        <v xml:space="preserve">COM VALOR</v>
      </c>
      <c r="J7856" s="19"/>
      <c r="L7856" s="21">
        <v>12.23</v>
      </c>
      <c r="M7856" s="22">
        <v>0</v>
      </c>
      <c r="N7856" s="21">
        <v>11.710000000000001</v>
      </c>
      <c r="O7856" s="22">
        <v>0</v>
      </c>
    </row>
    <row r="7857" ht="51">
      <c r="A7857" t="s">
        <v>7923</v>
      </c>
      <c r="B7857" s="19">
        <v>105820</v>
      </c>
      <c r="C7857" s="20" t="s">
        <v>7943</v>
      </c>
      <c r="D7857" s="19" t="s">
        <v>29</v>
      </c>
      <c r="E7857" s="21">
        <f t="shared" si="365"/>
        <v>15.81</v>
      </c>
      <c r="F7857" s="22"/>
      <c r="G7857" s="21">
        <f t="shared" si="366"/>
        <v>15.289999999999999</v>
      </c>
      <c r="H7857" s="22"/>
      <c r="I7857" s="23" t="str">
        <f t="shared" si="367"/>
        <v xml:space="preserve">COM VALOR</v>
      </c>
      <c r="J7857" s="19"/>
      <c r="L7857" s="21">
        <v>15.81</v>
      </c>
      <c r="M7857" s="22">
        <v>0</v>
      </c>
      <c r="N7857" s="21">
        <v>15.289999999999999</v>
      </c>
      <c r="O7857" s="22">
        <v>0</v>
      </c>
    </row>
    <row r="7858" ht="51">
      <c r="A7858" t="s">
        <v>7923</v>
      </c>
      <c r="B7858" s="19">
        <v>105821</v>
      </c>
      <c r="C7858" s="20" t="s">
        <v>7944</v>
      </c>
      <c r="D7858" s="19" t="s">
        <v>29</v>
      </c>
      <c r="E7858" s="21">
        <f t="shared" si="365"/>
        <v>9.6699999999999999</v>
      </c>
      <c r="F7858" s="22">
        <v>0</v>
      </c>
      <c r="G7858" s="21">
        <f t="shared" si="366"/>
        <v>9.1400000000000006</v>
      </c>
      <c r="H7858" s="22">
        <v>0</v>
      </c>
      <c r="I7858" s="23" t="str">
        <f t="shared" si="367"/>
        <v xml:space="preserve">COM VALOR</v>
      </c>
      <c r="J7858" s="19"/>
      <c r="L7858" s="21">
        <v>9.6699999999999999</v>
      </c>
      <c r="M7858" s="22">
        <v>0</v>
      </c>
      <c r="N7858" s="21">
        <v>9.1400000000000006</v>
      </c>
      <c r="O7858" s="22">
        <v>0</v>
      </c>
    </row>
    <row r="7859" ht="51">
      <c r="A7859" t="s">
        <v>7923</v>
      </c>
      <c r="B7859" s="19">
        <v>104418</v>
      </c>
      <c r="C7859" s="20" t="s">
        <v>7945</v>
      </c>
      <c r="D7859" s="19" t="s">
        <v>29</v>
      </c>
      <c r="E7859" s="21">
        <f t="shared" si="365"/>
        <v>2.73</v>
      </c>
      <c r="F7859" s="22">
        <v>0</v>
      </c>
      <c r="G7859" s="21">
        <f t="shared" si="366"/>
        <v>2.5899999999999999</v>
      </c>
      <c r="H7859" s="22">
        <v>0</v>
      </c>
      <c r="I7859" s="23" t="str">
        <f t="shared" si="367"/>
        <v xml:space="preserve">COM VALOR</v>
      </c>
      <c r="J7859" s="19"/>
      <c r="L7859" s="21">
        <v>2.73</v>
      </c>
      <c r="M7859" s="22">
        <v>0</v>
      </c>
      <c r="N7859" s="21">
        <v>2.5899999999999999</v>
      </c>
      <c r="O7859" s="22">
        <v>0</v>
      </c>
    </row>
    <row r="7860" ht="51">
      <c r="A7860" t="s">
        <v>7923</v>
      </c>
      <c r="B7860" s="19">
        <v>91515</v>
      </c>
      <c r="C7860" s="20" t="s">
        <v>7946</v>
      </c>
      <c r="D7860" s="19" t="s">
        <v>29</v>
      </c>
      <c r="E7860" s="21">
        <f t="shared" si="365"/>
        <v>4.9299999999999997</v>
      </c>
      <c r="F7860" s="22"/>
      <c r="G7860" s="21">
        <f t="shared" si="366"/>
        <v>4.6699999999999999</v>
      </c>
      <c r="H7860" s="22"/>
      <c r="I7860" s="23" t="str">
        <f t="shared" si="367"/>
        <v xml:space="preserve">COM VALOR</v>
      </c>
      <c r="J7860" s="19"/>
      <c r="L7860" s="21">
        <v>4.9299999999999997</v>
      </c>
      <c r="M7860" s="22">
        <v>0</v>
      </c>
      <c r="N7860" s="21">
        <v>4.6699999999999999</v>
      </c>
      <c r="O7860" s="22">
        <v>0</v>
      </c>
    </row>
    <row r="7861" ht="51">
      <c r="A7861" t="s">
        <v>7923</v>
      </c>
      <c r="B7861" s="19">
        <v>104419</v>
      </c>
      <c r="C7861" s="20" t="s">
        <v>7947</v>
      </c>
      <c r="D7861" s="19" t="s">
        <v>29</v>
      </c>
      <c r="E7861" s="21">
        <f t="shared" si="365"/>
        <v>4.2800000000000002</v>
      </c>
      <c r="F7861" s="22"/>
      <c r="G7861" s="21">
        <f t="shared" si="366"/>
        <v>4.0499999999999998</v>
      </c>
      <c r="H7861" s="22"/>
      <c r="I7861" s="23" t="str">
        <f t="shared" si="367"/>
        <v xml:space="preserve">COM VALOR</v>
      </c>
      <c r="J7861" s="19"/>
      <c r="L7861" s="21">
        <v>4.2800000000000002</v>
      </c>
      <c r="M7861" s="22">
        <v>0</v>
      </c>
      <c r="N7861" s="21">
        <v>4.0499999999999998</v>
      </c>
      <c r="O7861" s="22">
        <v>0</v>
      </c>
    </row>
    <row r="7862" ht="38.25">
      <c r="A7862" t="s">
        <v>7923</v>
      </c>
      <c r="B7862" s="19">
        <v>91519</v>
      </c>
      <c r="C7862" s="20" t="s">
        <v>7948</v>
      </c>
      <c r="D7862" s="19" t="s">
        <v>29</v>
      </c>
      <c r="E7862" s="21">
        <f t="shared" si="365"/>
        <v>2.1099999999999999</v>
      </c>
      <c r="F7862" s="22">
        <v>0</v>
      </c>
      <c r="G7862" s="21">
        <f t="shared" si="366"/>
        <v>2</v>
      </c>
      <c r="H7862" s="22">
        <v>0</v>
      </c>
      <c r="I7862" s="23" t="str">
        <f t="shared" si="367"/>
        <v xml:space="preserve">COM VALOR</v>
      </c>
      <c r="J7862" s="19"/>
      <c r="L7862" s="21">
        <v>2.1099999999999999</v>
      </c>
      <c r="M7862" s="22">
        <v>0</v>
      </c>
      <c r="N7862" s="21">
        <v>2</v>
      </c>
      <c r="O7862" s="22">
        <v>0</v>
      </c>
    </row>
    <row r="7863" ht="51">
      <c r="A7863" t="s">
        <v>7923</v>
      </c>
      <c r="B7863" s="19">
        <v>91520</v>
      </c>
      <c r="C7863" s="20" t="s">
        <v>7949</v>
      </c>
      <c r="D7863" s="19" t="s">
        <v>29</v>
      </c>
      <c r="E7863" s="21">
        <f t="shared" si="365"/>
        <v>2.0899999999999999</v>
      </c>
      <c r="F7863" s="22">
        <v>0</v>
      </c>
      <c r="G7863" s="21">
        <f t="shared" si="366"/>
        <v>1.98</v>
      </c>
      <c r="H7863" s="22">
        <v>0</v>
      </c>
      <c r="I7863" s="23" t="str">
        <f t="shared" si="367"/>
        <v xml:space="preserve">COM VALOR</v>
      </c>
      <c r="J7863" s="19"/>
      <c r="L7863" s="21">
        <v>2.0899999999999999</v>
      </c>
      <c r="M7863" s="22">
        <v>0</v>
      </c>
      <c r="N7863" s="21">
        <v>1.98</v>
      </c>
      <c r="O7863" s="22">
        <v>0</v>
      </c>
    </row>
    <row r="7864" ht="51">
      <c r="A7864" t="s">
        <v>7923</v>
      </c>
      <c r="B7864" s="19">
        <v>104416</v>
      </c>
      <c r="C7864" s="20" t="s">
        <v>7950</v>
      </c>
      <c r="D7864" s="19" t="s">
        <v>29</v>
      </c>
      <c r="E7864" s="21">
        <f t="shared" si="365"/>
        <v>1.73</v>
      </c>
      <c r="F7864" s="22">
        <v>0</v>
      </c>
      <c r="G7864" s="21">
        <f t="shared" si="366"/>
        <v>1.6399999999999999</v>
      </c>
      <c r="H7864" s="22">
        <v>0</v>
      </c>
      <c r="I7864" s="23" t="str">
        <f t="shared" si="367"/>
        <v xml:space="preserve">COM VALOR</v>
      </c>
      <c r="J7864" s="19"/>
      <c r="L7864" s="21">
        <v>1.73</v>
      </c>
      <c r="M7864" s="22">
        <v>0</v>
      </c>
      <c r="N7864" s="21">
        <v>1.6399999999999999</v>
      </c>
      <c r="O7864" s="22">
        <v>0</v>
      </c>
    </row>
    <row r="7865" ht="51">
      <c r="A7865" t="s">
        <v>7923</v>
      </c>
      <c r="B7865" s="19">
        <v>104417</v>
      </c>
      <c r="C7865" s="20" t="s">
        <v>7951</v>
      </c>
      <c r="D7865" s="19" t="s">
        <v>29</v>
      </c>
      <c r="E7865" s="21">
        <f t="shared" si="365"/>
        <v>3.8799999999999999</v>
      </c>
      <c r="F7865" s="22">
        <v>0</v>
      </c>
      <c r="G7865" s="21">
        <f t="shared" si="366"/>
        <v>3.6600000000000001</v>
      </c>
      <c r="H7865" s="22">
        <v>0</v>
      </c>
      <c r="I7865" s="23" t="str">
        <f t="shared" si="367"/>
        <v xml:space="preserve">COM VALOR</v>
      </c>
      <c r="J7865" s="19"/>
      <c r="L7865" s="21">
        <v>3.8799999999999999</v>
      </c>
      <c r="M7865" s="22">
        <v>0</v>
      </c>
      <c r="N7865" s="21">
        <v>3.6600000000000001</v>
      </c>
      <c r="O7865" s="22">
        <v>0</v>
      </c>
    </row>
    <row r="7866" ht="38.25">
      <c r="A7866" t="s">
        <v>7923</v>
      </c>
      <c r="B7866" s="19">
        <v>91522</v>
      </c>
      <c r="C7866" s="20" t="s">
        <v>7952</v>
      </c>
      <c r="D7866" s="19" t="s">
        <v>29</v>
      </c>
      <c r="E7866" s="21">
        <f t="shared" si="365"/>
        <v>3.5</v>
      </c>
      <c r="F7866" s="22">
        <v>0</v>
      </c>
      <c r="G7866" s="21">
        <f t="shared" si="366"/>
        <v>3.2999999999999998</v>
      </c>
      <c r="H7866" s="22">
        <v>0</v>
      </c>
      <c r="I7866" s="23" t="str">
        <f t="shared" si="367"/>
        <v xml:space="preserve">COM VALOR</v>
      </c>
      <c r="J7866" s="19"/>
      <c r="L7866" s="21">
        <v>3.5</v>
      </c>
      <c r="M7866" s="22">
        <v>0</v>
      </c>
      <c r="N7866" s="21">
        <v>3.2999999999999998</v>
      </c>
      <c r="O7866" s="22">
        <v>0</v>
      </c>
    </row>
    <row r="7867" ht="38.25">
      <c r="A7867" t="s">
        <v>7923</v>
      </c>
      <c r="B7867" s="19">
        <v>104412</v>
      </c>
      <c r="C7867" s="20" t="s">
        <v>7953</v>
      </c>
      <c r="D7867" s="19" t="s">
        <v>29</v>
      </c>
      <c r="E7867" s="21">
        <f t="shared" si="365"/>
        <v>3.1400000000000001</v>
      </c>
      <c r="F7867" s="22">
        <v>0</v>
      </c>
      <c r="G7867" s="21">
        <f t="shared" si="366"/>
        <v>2.96</v>
      </c>
      <c r="H7867" s="22">
        <v>0</v>
      </c>
      <c r="I7867" s="23" t="str">
        <f t="shared" si="367"/>
        <v xml:space="preserve">COM VALOR</v>
      </c>
      <c r="J7867" s="19"/>
      <c r="L7867" s="21">
        <v>3.1400000000000001</v>
      </c>
      <c r="M7867" s="22">
        <v>0</v>
      </c>
      <c r="N7867" s="21">
        <v>2.96</v>
      </c>
      <c r="O7867" s="22">
        <v>0</v>
      </c>
    </row>
    <row r="7868" ht="38.25">
      <c r="A7868" t="s">
        <v>7923</v>
      </c>
      <c r="B7868" s="19">
        <v>104413</v>
      </c>
      <c r="C7868" s="20" t="s">
        <v>7954</v>
      </c>
      <c r="D7868" s="19" t="s">
        <v>29</v>
      </c>
      <c r="E7868" s="21">
        <f t="shared" si="365"/>
        <v>5.3099999999999996</v>
      </c>
      <c r="F7868" s="22">
        <v>0</v>
      </c>
      <c r="G7868" s="21">
        <f t="shared" si="366"/>
        <v>5.0199999999999996</v>
      </c>
      <c r="H7868" s="22">
        <v>0</v>
      </c>
      <c r="I7868" s="23" t="str">
        <f t="shared" si="367"/>
        <v xml:space="preserve">COM VALOR</v>
      </c>
      <c r="J7868" s="19"/>
      <c r="L7868" s="21">
        <v>5.3099999999999996</v>
      </c>
      <c r="M7868" s="22">
        <v>0</v>
      </c>
      <c r="N7868" s="21">
        <v>5.0199999999999996</v>
      </c>
      <c r="O7868" s="22">
        <v>0</v>
      </c>
    </row>
    <row r="7869" ht="25.5">
      <c r="A7869" t="s">
        <v>7955</v>
      </c>
      <c r="B7869" s="19">
        <v>102569</v>
      </c>
      <c r="C7869" s="20" t="s">
        <v>7956</v>
      </c>
      <c r="D7869" s="19" t="s">
        <v>29</v>
      </c>
      <c r="E7869" s="21" t="str">
        <f t="shared" si="365"/>
        <v>VERIFICAR</v>
      </c>
      <c r="F7869" s="22">
        <v>0</v>
      </c>
      <c r="G7869" s="21" t="str">
        <f t="shared" si="366"/>
        <v>VERIFICAR</v>
      </c>
      <c r="H7869" s="22">
        <v>0</v>
      </c>
      <c r="I7869" s="23" t="str">
        <f t="shared" si="367"/>
        <v xml:space="preserve">COM VALOR</v>
      </c>
      <c r="J7869" s="19"/>
      <c r="L7869" s="21">
        <v>0</v>
      </c>
      <c r="M7869" s="22"/>
      <c r="N7869" s="21">
        <v>0</v>
      </c>
      <c r="O7869" s="22"/>
    </row>
    <row r="7870" ht="38.25">
      <c r="A7870" t="s">
        <v>7955</v>
      </c>
      <c r="B7870" s="19">
        <v>102574</v>
      </c>
      <c r="C7870" s="20" t="s">
        <v>7957</v>
      </c>
      <c r="D7870" s="19" t="s">
        <v>29</v>
      </c>
      <c r="E7870" s="21" t="str">
        <f t="shared" si="365"/>
        <v>VERIFICAR</v>
      </c>
      <c r="F7870" s="22">
        <v>0</v>
      </c>
      <c r="G7870" s="21" t="str">
        <f t="shared" si="366"/>
        <v>VERIFICAR</v>
      </c>
      <c r="H7870" s="22">
        <v>0</v>
      </c>
      <c r="I7870" s="23" t="str">
        <f t="shared" si="367"/>
        <v xml:space="preserve">COM VALOR</v>
      </c>
      <c r="J7870" s="19"/>
      <c r="L7870" s="21">
        <v>0</v>
      </c>
      <c r="M7870" s="22"/>
      <c r="N7870" s="21">
        <v>0</v>
      </c>
      <c r="O7870" s="22"/>
    </row>
    <row r="7871" ht="38.25">
      <c r="A7871" t="s">
        <v>7955</v>
      </c>
      <c r="B7871" s="19">
        <v>102573</v>
      </c>
      <c r="C7871" s="20" t="s">
        <v>7958</v>
      </c>
      <c r="D7871" s="19" t="s">
        <v>29</v>
      </c>
      <c r="E7871" s="21" t="str">
        <f t="shared" si="365"/>
        <v>VERIFICAR</v>
      </c>
      <c r="F7871" s="22">
        <v>0</v>
      </c>
      <c r="G7871" s="21" t="str">
        <f t="shared" si="366"/>
        <v>VERIFICAR</v>
      </c>
      <c r="H7871" s="22">
        <v>0</v>
      </c>
      <c r="I7871" s="23" t="str">
        <f t="shared" si="367"/>
        <v xml:space="preserve">COM VALOR</v>
      </c>
      <c r="J7871" s="19"/>
      <c r="L7871" s="21">
        <v>0</v>
      </c>
      <c r="M7871" s="22"/>
      <c r="N7871" s="21">
        <v>0</v>
      </c>
      <c r="O7871" s="22"/>
    </row>
    <row r="7872" ht="38.25">
      <c r="A7872" t="s">
        <v>7955</v>
      </c>
      <c r="B7872" s="19">
        <v>102577</v>
      </c>
      <c r="C7872" s="20" t="s">
        <v>7959</v>
      </c>
      <c r="D7872" s="19" t="s">
        <v>29</v>
      </c>
      <c r="E7872" s="21" t="str">
        <f t="shared" si="365"/>
        <v>VERIFICAR</v>
      </c>
      <c r="F7872" s="22">
        <v>0</v>
      </c>
      <c r="G7872" s="21" t="str">
        <f t="shared" si="366"/>
        <v>VERIFICAR</v>
      </c>
      <c r="H7872" s="22">
        <v>0</v>
      </c>
      <c r="I7872" s="23" t="str">
        <f t="shared" si="367"/>
        <v xml:space="preserve">COM VALOR</v>
      </c>
      <c r="J7872" s="19"/>
      <c r="L7872" s="21">
        <v>0</v>
      </c>
      <c r="M7872" s="22"/>
      <c r="N7872" s="21">
        <v>0</v>
      </c>
      <c r="O7872" s="22"/>
    </row>
    <row r="7873" ht="38.25">
      <c r="A7873" t="s">
        <v>7955</v>
      </c>
      <c r="B7873" s="19">
        <v>102576</v>
      </c>
      <c r="C7873" s="20" t="s">
        <v>7960</v>
      </c>
      <c r="D7873" s="19" t="s">
        <v>29</v>
      </c>
      <c r="E7873" s="21" t="str">
        <f t="shared" si="365"/>
        <v>VERIFICAR</v>
      </c>
      <c r="F7873" s="22"/>
      <c r="G7873" s="21" t="str">
        <f t="shared" si="366"/>
        <v>VERIFICAR</v>
      </c>
      <c r="H7873" s="22"/>
      <c r="I7873" s="23" t="str">
        <f t="shared" si="367"/>
        <v xml:space="preserve">COM VALOR</v>
      </c>
      <c r="J7873" s="19"/>
      <c r="L7873" s="21">
        <v>0</v>
      </c>
      <c r="M7873" s="22"/>
      <c r="N7873" s="21">
        <v>0</v>
      </c>
      <c r="O7873" s="22"/>
    </row>
    <row r="7874" ht="38.25">
      <c r="A7874" t="s">
        <v>7955</v>
      </c>
      <c r="B7874" s="19">
        <v>103083</v>
      </c>
      <c r="C7874" s="20" t="s">
        <v>7961</v>
      </c>
      <c r="D7874" s="19" t="s">
        <v>29</v>
      </c>
      <c r="E7874" s="21" t="str">
        <f t="shared" si="365"/>
        <v>VERIFICAR</v>
      </c>
      <c r="F7874" s="22">
        <v>0</v>
      </c>
      <c r="G7874" s="21" t="str">
        <f t="shared" si="366"/>
        <v>VERIFICAR</v>
      </c>
      <c r="H7874" s="22">
        <v>0</v>
      </c>
      <c r="I7874" s="23" t="str">
        <f t="shared" si="367"/>
        <v xml:space="preserve">COM VALOR</v>
      </c>
      <c r="J7874" s="19"/>
      <c r="L7874" s="21">
        <v>0</v>
      </c>
      <c r="M7874" s="22"/>
      <c r="N7874" s="21">
        <v>0</v>
      </c>
      <c r="O7874" s="22"/>
    </row>
    <row r="7875" ht="38.25">
      <c r="A7875" t="s">
        <v>7955</v>
      </c>
      <c r="B7875" s="19">
        <v>103081</v>
      </c>
      <c r="C7875" s="20" t="s">
        <v>7962</v>
      </c>
      <c r="D7875" s="19" t="s">
        <v>29</v>
      </c>
      <c r="E7875" s="21" t="str">
        <f t="shared" si="365"/>
        <v>VERIFICAR</v>
      </c>
      <c r="F7875" s="22"/>
      <c r="G7875" s="21" t="str">
        <f t="shared" si="366"/>
        <v>VERIFICAR</v>
      </c>
      <c r="H7875" s="22"/>
      <c r="I7875" s="23" t="str">
        <f t="shared" si="367"/>
        <v xml:space="preserve">COM VALOR</v>
      </c>
      <c r="J7875" s="19"/>
      <c r="L7875" s="21">
        <v>0</v>
      </c>
      <c r="M7875" s="22"/>
      <c r="N7875" s="21">
        <v>0</v>
      </c>
      <c r="O7875" s="22"/>
    </row>
    <row r="7876" ht="38.25">
      <c r="A7876" t="s">
        <v>7955</v>
      </c>
      <c r="B7876" s="19">
        <v>103082</v>
      </c>
      <c r="C7876" s="20" t="s">
        <v>7963</v>
      </c>
      <c r="D7876" s="19" t="s">
        <v>29</v>
      </c>
      <c r="E7876" s="21" t="str">
        <f t="shared" si="365"/>
        <v>VERIFICAR</v>
      </c>
      <c r="F7876" s="22"/>
      <c r="G7876" s="21" t="str">
        <f t="shared" si="366"/>
        <v>VERIFICAR</v>
      </c>
      <c r="H7876" s="22"/>
      <c r="I7876" s="23" t="str">
        <f t="shared" si="367"/>
        <v xml:space="preserve">COM VALOR</v>
      </c>
      <c r="J7876" s="19"/>
      <c r="L7876" s="21">
        <v>0</v>
      </c>
      <c r="M7876" s="22"/>
      <c r="N7876" s="21">
        <v>0</v>
      </c>
      <c r="O7876" s="22"/>
    </row>
    <row r="7877" ht="38.25">
      <c r="A7877" t="s">
        <v>7955</v>
      </c>
      <c r="B7877" s="19">
        <v>103086</v>
      </c>
      <c r="C7877" s="20" t="s">
        <v>7964</v>
      </c>
      <c r="D7877" s="19" t="s">
        <v>29</v>
      </c>
      <c r="E7877" s="21" t="str">
        <f t="shared" si="365"/>
        <v>VERIFICAR</v>
      </c>
      <c r="F7877" s="22"/>
      <c r="G7877" s="21" t="str">
        <f t="shared" si="366"/>
        <v>VERIFICAR</v>
      </c>
      <c r="H7877" s="22"/>
      <c r="I7877" s="23" t="str">
        <f t="shared" si="367"/>
        <v xml:space="preserve">COM VALOR</v>
      </c>
      <c r="J7877" s="19"/>
      <c r="L7877" s="21">
        <v>0</v>
      </c>
      <c r="M7877" s="22"/>
      <c r="N7877" s="21">
        <v>0</v>
      </c>
      <c r="O7877" s="22"/>
    </row>
    <row r="7878" ht="38.25">
      <c r="A7878" t="s">
        <v>7955</v>
      </c>
      <c r="B7878" s="19">
        <v>103085</v>
      </c>
      <c r="C7878" s="20" t="s">
        <v>7965</v>
      </c>
      <c r="D7878" s="19" t="s">
        <v>29</v>
      </c>
      <c r="E7878" s="21" t="str">
        <f t="shared" si="365"/>
        <v>VERIFICAR</v>
      </c>
      <c r="F7878" s="22">
        <v>0.40999999999999998</v>
      </c>
      <c r="G7878" s="21" t="str">
        <f t="shared" si="366"/>
        <v>VERIFICAR</v>
      </c>
      <c r="H7878" s="22">
        <v>0.42999999999999999</v>
      </c>
      <c r="I7878" s="23" t="str">
        <f t="shared" si="367"/>
        <v xml:space="preserve">COM VALOR</v>
      </c>
      <c r="J7878" s="19"/>
      <c r="L7878" s="21">
        <v>0</v>
      </c>
      <c r="M7878" s="22"/>
      <c r="N7878" s="21">
        <v>0</v>
      </c>
      <c r="O7878" s="22"/>
    </row>
    <row r="7879" ht="25.5">
      <c r="A7879" t="s">
        <v>7966</v>
      </c>
      <c r="B7879" s="19">
        <v>104726</v>
      </c>
      <c r="C7879" s="20" t="s">
        <v>7967</v>
      </c>
      <c r="D7879" s="19" t="s">
        <v>29</v>
      </c>
      <c r="E7879" s="21" t="str">
        <f t="shared" si="365"/>
        <v>VERIFICAR</v>
      </c>
      <c r="F7879" s="22">
        <v>0.40999999999999998</v>
      </c>
      <c r="G7879" s="21" t="str">
        <f t="shared" si="366"/>
        <v>VERIFICAR</v>
      </c>
      <c r="H7879" s="22">
        <v>0.42999999999999999</v>
      </c>
      <c r="I7879" s="23" t="str">
        <f t="shared" si="367"/>
        <v xml:space="preserve">COM VALOR</v>
      </c>
      <c r="J7879" s="19"/>
      <c r="L7879" s="21">
        <v>0</v>
      </c>
      <c r="M7879" s="22"/>
      <c r="N7879" s="21">
        <v>0</v>
      </c>
      <c r="O7879" s="22"/>
    </row>
    <row r="7880" ht="25.5">
      <c r="A7880" t="s">
        <v>7966</v>
      </c>
      <c r="B7880" s="19">
        <v>104725</v>
      </c>
      <c r="C7880" s="20" t="s">
        <v>7968</v>
      </c>
      <c r="D7880" s="19" t="s">
        <v>29</v>
      </c>
      <c r="E7880" s="21" t="str">
        <f t="shared" si="365"/>
        <v>VERIFICAR</v>
      </c>
      <c r="F7880" s="22">
        <v>0</v>
      </c>
      <c r="G7880" s="21" t="str">
        <f t="shared" si="366"/>
        <v>VERIFICAR</v>
      </c>
      <c r="H7880" s="22">
        <v>0</v>
      </c>
      <c r="I7880" s="23" t="str">
        <f t="shared" si="367"/>
        <v xml:space="preserve">COM VALOR</v>
      </c>
      <c r="J7880" s="19"/>
      <c r="L7880" s="21">
        <v>0</v>
      </c>
      <c r="M7880" s="22"/>
      <c r="N7880" s="21">
        <v>0</v>
      </c>
      <c r="O7880" s="22"/>
    </row>
    <row r="7881" ht="25.5">
      <c r="A7881" t="s">
        <v>7966</v>
      </c>
      <c r="B7881" s="19">
        <v>96374</v>
      </c>
      <c r="C7881" s="20" t="s">
        <v>7969</v>
      </c>
      <c r="D7881" s="19" t="s">
        <v>38</v>
      </c>
      <c r="E7881" s="21">
        <f t="shared" si="365"/>
        <v>33.200000000000003</v>
      </c>
      <c r="F7881" s="22">
        <v>0</v>
      </c>
      <c r="G7881" s="21">
        <f t="shared" si="366"/>
        <v>33.020000000000003</v>
      </c>
      <c r="H7881" s="22">
        <v>0</v>
      </c>
      <c r="I7881" s="23" t="str">
        <f t="shared" si="367"/>
        <v xml:space="preserve">COM VALOR</v>
      </c>
      <c r="J7881" s="19"/>
      <c r="L7881" s="21">
        <v>33.200000000000003</v>
      </c>
      <c r="M7881" s="22">
        <v>0</v>
      </c>
      <c r="N7881" s="21">
        <v>33.020000000000003</v>
      </c>
      <c r="O7881" s="22">
        <v>0</v>
      </c>
    </row>
    <row r="7882" ht="12.75">
      <c r="A7882" t="s">
        <v>7966</v>
      </c>
      <c r="B7882" s="19">
        <v>96373</v>
      </c>
      <c r="C7882" s="20" t="s">
        <v>7970</v>
      </c>
      <c r="D7882" s="19" t="s">
        <v>38</v>
      </c>
      <c r="E7882" s="21">
        <f t="shared" si="365"/>
        <v>10.970000000000001</v>
      </c>
      <c r="F7882" s="22">
        <v>0</v>
      </c>
      <c r="G7882" s="21">
        <f t="shared" si="366"/>
        <v>10.82</v>
      </c>
      <c r="H7882" s="22">
        <v>0</v>
      </c>
      <c r="I7882" s="23" t="str">
        <f t="shared" si="367"/>
        <v xml:space="preserve">COM VALOR</v>
      </c>
      <c r="J7882" s="19"/>
      <c r="L7882" s="21">
        <v>10.970000000000001</v>
      </c>
      <c r="M7882" s="22">
        <v>0</v>
      </c>
      <c r="N7882" s="21">
        <v>10.82</v>
      </c>
      <c r="O7882" s="22">
        <v>0</v>
      </c>
    </row>
    <row r="7883" ht="38.25">
      <c r="A7883" t="s">
        <v>7966</v>
      </c>
      <c r="B7883" s="19">
        <v>96368</v>
      </c>
      <c r="C7883" s="20" t="s">
        <v>7971</v>
      </c>
      <c r="D7883" s="19" t="s">
        <v>29</v>
      </c>
      <c r="E7883" s="21">
        <f t="shared" ref="E7883:E7946" si="368">IF(L7883=0,"VERIFICAR",L7883)</f>
        <v>173.21000000000001</v>
      </c>
      <c r="F7883" s="22"/>
      <c r="G7883" s="21">
        <f t="shared" ref="G7883:G7946" si="369">IF(N7883=0,"VERIFICAR",N7883)</f>
        <v>171.38999999999999</v>
      </c>
      <c r="H7883" s="22"/>
      <c r="I7883" s="23" t="str">
        <f t="shared" ref="I7883:I7946" si="370">IF(OR(E7883=0,G7883=0),"SEM VALOR","COM VALOR")</f>
        <v xml:space="preserve">COM VALOR</v>
      </c>
      <c r="J7883" s="19"/>
      <c r="L7883" s="21">
        <v>173.21000000000001</v>
      </c>
      <c r="M7883" s="22">
        <v>1.e-002</v>
      </c>
      <c r="N7883" s="21">
        <v>171.38999999999999</v>
      </c>
      <c r="O7883" s="22">
        <v>1.e-002</v>
      </c>
    </row>
    <row r="7884" ht="38.25">
      <c r="A7884" t="s">
        <v>7966</v>
      </c>
      <c r="B7884" s="19">
        <v>96364</v>
      </c>
      <c r="C7884" s="20" t="s">
        <v>7972</v>
      </c>
      <c r="D7884" s="19" t="s">
        <v>29</v>
      </c>
      <c r="E7884" s="21">
        <f t="shared" si="368"/>
        <v>145.44</v>
      </c>
      <c r="F7884" s="22"/>
      <c r="G7884" s="21">
        <f t="shared" si="369"/>
        <v>143.83000000000001</v>
      </c>
      <c r="H7884" s="22"/>
      <c r="I7884" s="23" t="str">
        <f t="shared" si="370"/>
        <v xml:space="preserve">COM VALOR</v>
      </c>
      <c r="J7884" s="19"/>
      <c r="L7884" s="21">
        <v>145.44</v>
      </c>
      <c r="M7884" s="22">
        <v>2.e-002</v>
      </c>
      <c r="N7884" s="21">
        <v>143.83000000000001</v>
      </c>
      <c r="O7884" s="22">
        <v>2.e-002</v>
      </c>
    </row>
    <row r="7885" ht="51">
      <c r="A7885" t="s">
        <v>7966</v>
      </c>
      <c r="B7885" s="19">
        <v>96369</v>
      </c>
      <c r="C7885" s="20" t="s">
        <v>7973</v>
      </c>
      <c r="D7885" s="19" t="s">
        <v>29</v>
      </c>
      <c r="E7885" s="21">
        <f t="shared" si="368"/>
        <v>194.16999999999999</v>
      </c>
      <c r="F7885" s="22"/>
      <c r="G7885" s="21">
        <f t="shared" si="369"/>
        <v>192.03</v>
      </c>
      <c r="H7885" s="22"/>
      <c r="I7885" s="23" t="str">
        <f t="shared" si="370"/>
        <v xml:space="preserve">COM VALOR</v>
      </c>
      <c r="J7885" s="19"/>
      <c r="L7885" s="21">
        <v>194.16999999999999</v>
      </c>
      <c r="M7885" s="22">
        <v>1.e-002</v>
      </c>
      <c r="N7885" s="21">
        <v>192.03</v>
      </c>
      <c r="O7885" s="22">
        <v>1.4999999999999999e-002</v>
      </c>
    </row>
    <row r="7886" ht="51">
      <c r="A7886" t="s">
        <v>7966</v>
      </c>
      <c r="B7886" s="19">
        <v>104723</v>
      </c>
      <c r="C7886" s="20" t="s">
        <v>7974</v>
      </c>
      <c r="D7886" s="19" t="s">
        <v>29</v>
      </c>
      <c r="E7886" s="21">
        <f t="shared" si="368"/>
        <v>231.55000000000001</v>
      </c>
      <c r="F7886" s="22">
        <v>0</v>
      </c>
      <c r="G7886" s="21">
        <f t="shared" si="369"/>
        <v>228.71000000000001</v>
      </c>
      <c r="H7886" s="22">
        <v>0</v>
      </c>
      <c r="I7886" s="23" t="str">
        <f t="shared" si="370"/>
        <v xml:space="preserve">COM VALOR</v>
      </c>
      <c r="J7886" s="19"/>
      <c r="L7886" s="21">
        <v>231.55000000000001</v>
      </c>
      <c r="M7886" s="22">
        <v>1.e-002</v>
      </c>
      <c r="N7886" s="21">
        <v>228.71000000000001</v>
      </c>
      <c r="O7886" s="22">
        <v>1.e-002</v>
      </c>
    </row>
    <row r="7887" ht="51">
      <c r="A7887" t="s">
        <v>7966</v>
      </c>
      <c r="B7887" s="19">
        <v>96367</v>
      </c>
      <c r="C7887" s="20" t="s">
        <v>7975</v>
      </c>
      <c r="D7887" s="19" t="s">
        <v>29</v>
      </c>
      <c r="E7887" s="21">
        <f t="shared" si="368"/>
        <v>159.52000000000001</v>
      </c>
      <c r="F7887" s="22">
        <v>0</v>
      </c>
      <c r="G7887" s="21">
        <f t="shared" si="369"/>
        <v>157.68000000000001</v>
      </c>
      <c r="H7887" s="22">
        <v>0</v>
      </c>
      <c r="I7887" s="23" t="str">
        <f t="shared" si="370"/>
        <v xml:space="preserve">COM VALOR</v>
      </c>
      <c r="J7887" s="19"/>
      <c r="L7887" s="21">
        <v>159.52000000000001</v>
      </c>
      <c r="M7887" s="22">
        <v>1.e-002</v>
      </c>
      <c r="N7887" s="21">
        <v>157.68000000000001</v>
      </c>
      <c r="O7887" s="22">
        <v>1.e-002</v>
      </c>
    </row>
    <row r="7888" ht="51">
      <c r="A7888" t="s">
        <v>7966</v>
      </c>
      <c r="B7888" s="19">
        <v>104722</v>
      </c>
      <c r="C7888" s="20" t="s">
        <v>7976</v>
      </c>
      <c r="D7888" s="19" t="s">
        <v>29</v>
      </c>
      <c r="E7888" s="21">
        <f t="shared" si="368"/>
        <v>181.33000000000001</v>
      </c>
      <c r="F7888" s="22">
        <v>0</v>
      </c>
      <c r="G7888" s="21">
        <f t="shared" si="369"/>
        <v>178.96000000000001</v>
      </c>
      <c r="H7888" s="22">
        <v>0</v>
      </c>
      <c r="I7888" s="23" t="str">
        <f t="shared" si="370"/>
        <v xml:space="preserve">COM VALOR</v>
      </c>
      <c r="J7888" s="19"/>
      <c r="L7888" s="21">
        <v>181.33000000000001</v>
      </c>
      <c r="M7888" s="22">
        <v>1.e-002</v>
      </c>
      <c r="N7888" s="21">
        <v>178.96000000000001</v>
      </c>
      <c r="O7888" s="22">
        <v>1.e-002</v>
      </c>
    </row>
    <row r="7889" ht="38.25">
      <c r="A7889" t="s">
        <v>7966</v>
      </c>
      <c r="B7889" s="19">
        <v>96366</v>
      </c>
      <c r="C7889" s="20" t="s">
        <v>7977</v>
      </c>
      <c r="D7889" s="19" t="s">
        <v>29</v>
      </c>
      <c r="E7889" s="21">
        <f t="shared" si="368"/>
        <v>147.68000000000001</v>
      </c>
      <c r="F7889" s="22">
        <v>0</v>
      </c>
      <c r="G7889" s="21">
        <f t="shared" si="369"/>
        <v>146.06999999999999</v>
      </c>
      <c r="H7889" s="22">
        <v>0</v>
      </c>
      <c r="I7889" s="23" t="str">
        <f t="shared" si="370"/>
        <v xml:space="preserve">COM VALOR</v>
      </c>
      <c r="J7889" s="19"/>
      <c r="L7889" s="21">
        <v>147.68000000000001</v>
      </c>
      <c r="M7889" s="22">
        <v>1.e-002</v>
      </c>
      <c r="N7889" s="21">
        <v>146.06999999999999</v>
      </c>
      <c r="O7889" s="22">
        <v>1.e-002</v>
      </c>
    </row>
    <row r="7890" ht="51">
      <c r="A7890" t="s">
        <v>7966</v>
      </c>
      <c r="B7890" s="19">
        <v>96361</v>
      </c>
      <c r="C7890" s="20" t="s">
        <v>7978</v>
      </c>
      <c r="D7890" s="19" t="s">
        <v>29</v>
      </c>
      <c r="E7890" s="21">
        <f t="shared" si="368"/>
        <v>137.28999999999999</v>
      </c>
      <c r="F7890" s="22">
        <v>0</v>
      </c>
      <c r="G7890" s="21">
        <f t="shared" si="369"/>
        <v>135.65000000000001</v>
      </c>
      <c r="H7890" s="22">
        <v>0</v>
      </c>
      <c r="I7890" s="23" t="str">
        <f t="shared" si="370"/>
        <v xml:space="preserve">COM VALOR</v>
      </c>
      <c r="J7890" s="19"/>
      <c r="L7890" s="21">
        <v>137.28999999999999</v>
      </c>
      <c r="M7890" s="22">
        <v>2.e-002</v>
      </c>
      <c r="N7890" s="21">
        <v>135.65000000000001</v>
      </c>
      <c r="O7890" s="22">
        <v>2.e-002</v>
      </c>
    </row>
    <row r="7891" ht="51">
      <c r="A7891" t="s">
        <v>7966</v>
      </c>
      <c r="B7891" s="19">
        <v>104719</v>
      </c>
      <c r="C7891" s="20" t="s">
        <v>7979</v>
      </c>
      <c r="D7891" s="19" t="s">
        <v>29</v>
      </c>
      <c r="E7891" s="21">
        <f t="shared" si="368"/>
        <v>171.96000000000001</v>
      </c>
      <c r="F7891" s="22">
        <v>0</v>
      </c>
      <c r="G7891" s="21">
        <f t="shared" si="369"/>
        <v>169.78999999999999</v>
      </c>
      <c r="H7891" s="22">
        <v>0</v>
      </c>
      <c r="I7891" s="23" t="str">
        <f t="shared" si="370"/>
        <v xml:space="preserve">COM VALOR</v>
      </c>
      <c r="J7891" s="19"/>
      <c r="L7891" s="21">
        <v>171.96000000000001</v>
      </c>
      <c r="M7891" s="22">
        <v>2.e-002</v>
      </c>
      <c r="N7891" s="21">
        <v>169.78999999999999</v>
      </c>
      <c r="O7891" s="22">
        <v>2.e-002</v>
      </c>
    </row>
    <row r="7892" ht="38.25">
      <c r="A7892" t="s">
        <v>7966</v>
      </c>
      <c r="B7892" s="19">
        <v>96360</v>
      </c>
      <c r="C7892" s="20" t="s">
        <v>7980</v>
      </c>
      <c r="D7892" s="19" t="s">
        <v>29</v>
      </c>
      <c r="E7892" s="21">
        <f t="shared" si="368"/>
        <v>117.7</v>
      </c>
      <c r="F7892" s="22">
        <v>0</v>
      </c>
      <c r="G7892" s="21">
        <f t="shared" si="369"/>
        <v>116.31</v>
      </c>
      <c r="H7892" s="22">
        <v>0</v>
      </c>
      <c r="I7892" s="23" t="str">
        <f t="shared" si="370"/>
        <v xml:space="preserve">COM VALOR</v>
      </c>
      <c r="J7892" s="19"/>
      <c r="L7892" s="21">
        <v>117.7</v>
      </c>
      <c r="M7892" s="22">
        <v>2.e-002</v>
      </c>
      <c r="N7892" s="21">
        <v>116.31</v>
      </c>
      <c r="O7892" s="22">
        <v>2.e-002</v>
      </c>
    </row>
    <row r="7893" ht="51">
      <c r="A7893" t="s">
        <v>7966</v>
      </c>
      <c r="B7893" s="19">
        <v>96359</v>
      </c>
      <c r="C7893" s="20" t="s">
        <v>7981</v>
      </c>
      <c r="D7893" s="19" t="s">
        <v>29</v>
      </c>
      <c r="E7893" s="21">
        <f t="shared" si="368"/>
        <v>102.67</v>
      </c>
      <c r="F7893" s="22">
        <v>0</v>
      </c>
      <c r="G7893" s="21">
        <f t="shared" si="369"/>
        <v>101.31999999999999</v>
      </c>
      <c r="H7893" s="22">
        <v>0</v>
      </c>
      <c r="I7893" s="23" t="str">
        <f t="shared" si="370"/>
        <v xml:space="preserve">COM VALOR</v>
      </c>
      <c r="J7893" s="19"/>
      <c r="L7893" s="21">
        <v>102.67</v>
      </c>
      <c r="M7893" s="22">
        <v>1.e-002</v>
      </c>
      <c r="N7893" s="21">
        <v>101.31999999999999</v>
      </c>
      <c r="O7893" s="22">
        <v>1.e-002</v>
      </c>
    </row>
    <row r="7894" ht="51">
      <c r="A7894" t="s">
        <v>7966</v>
      </c>
      <c r="B7894" s="19">
        <v>104718</v>
      </c>
      <c r="C7894" s="20" t="s">
        <v>7982</v>
      </c>
      <c r="D7894" s="19" t="s">
        <v>29</v>
      </c>
      <c r="E7894" s="21">
        <f t="shared" si="368"/>
        <v>121.73999999999999</v>
      </c>
      <c r="F7894" s="22">
        <v>0</v>
      </c>
      <c r="G7894" s="21">
        <f t="shared" si="369"/>
        <v>120.03</v>
      </c>
      <c r="H7894" s="22">
        <v>0</v>
      </c>
      <c r="I7894" s="23" t="str">
        <f t="shared" si="370"/>
        <v xml:space="preserve">COM VALOR</v>
      </c>
      <c r="J7894" s="19"/>
      <c r="L7894" s="21">
        <v>121.73999999999999</v>
      </c>
      <c r="M7894" s="22">
        <v>1.e-002</v>
      </c>
      <c r="N7894" s="21">
        <v>120.03</v>
      </c>
      <c r="O7894" s="22">
        <v>1.e-002</v>
      </c>
    </row>
    <row r="7895" ht="38.25">
      <c r="A7895" t="s">
        <v>7966</v>
      </c>
      <c r="B7895" s="19">
        <v>96358</v>
      </c>
      <c r="C7895" s="20" t="s">
        <v>7983</v>
      </c>
      <c r="D7895" s="19" t="s">
        <v>29</v>
      </c>
      <c r="E7895" s="21">
        <f t="shared" si="368"/>
        <v>92.189999999999998</v>
      </c>
      <c r="F7895" s="22"/>
      <c r="G7895" s="21">
        <f t="shared" si="369"/>
        <v>91.010000000000005</v>
      </c>
      <c r="H7895" s="22"/>
      <c r="I7895" s="23" t="str">
        <f t="shared" si="370"/>
        <v xml:space="preserve">COM VALOR</v>
      </c>
      <c r="J7895" s="19"/>
      <c r="L7895" s="21">
        <v>92.189999999999998</v>
      </c>
      <c r="M7895" s="22">
        <v>1.e-002</v>
      </c>
      <c r="N7895" s="21">
        <v>91.010000000000005</v>
      </c>
      <c r="O7895" s="22">
        <v>1.e-002</v>
      </c>
    </row>
    <row r="7896" ht="51">
      <c r="A7896" t="s">
        <v>7966</v>
      </c>
      <c r="B7896" s="19">
        <v>96371</v>
      </c>
      <c r="C7896" s="20" t="s">
        <v>7984</v>
      </c>
      <c r="D7896" s="19" t="s">
        <v>29</v>
      </c>
      <c r="E7896" s="21">
        <f t="shared" si="368"/>
        <v>70.019999999999996</v>
      </c>
      <c r="F7896" s="22"/>
      <c r="G7896" s="21">
        <f t="shared" si="369"/>
        <v>69.129999999999995</v>
      </c>
      <c r="H7896" s="22"/>
      <c r="I7896" s="23" t="str">
        <f t="shared" si="370"/>
        <v xml:space="preserve">COM VALOR</v>
      </c>
      <c r="J7896" s="19"/>
      <c r="L7896" s="21">
        <v>70.019999999999996</v>
      </c>
      <c r="M7896" s="22">
        <v>2.e-002</v>
      </c>
      <c r="N7896" s="21">
        <v>69.129999999999995</v>
      </c>
      <c r="O7896" s="22">
        <v>2.e-002</v>
      </c>
    </row>
    <row r="7897" ht="51">
      <c r="A7897" t="s">
        <v>7966</v>
      </c>
      <c r="B7897" s="19">
        <v>104724</v>
      </c>
      <c r="C7897" s="20" t="s">
        <v>7985</v>
      </c>
      <c r="D7897" s="19" t="s">
        <v>29</v>
      </c>
      <c r="E7897" s="21">
        <f t="shared" si="368"/>
        <v>87.709999999999994</v>
      </c>
      <c r="F7897" s="22"/>
      <c r="G7897" s="21">
        <f t="shared" si="369"/>
        <v>86.540000000000006</v>
      </c>
      <c r="H7897" s="22"/>
      <c r="I7897" s="23" t="str">
        <f t="shared" si="370"/>
        <v xml:space="preserve">COM VALOR</v>
      </c>
      <c r="J7897" s="19"/>
      <c r="L7897" s="21">
        <v>87.709999999999994</v>
      </c>
      <c r="M7897" s="22">
        <v>2.e-002</v>
      </c>
      <c r="N7897" s="21">
        <v>86.540000000000006</v>
      </c>
      <c r="O7897" s="22">
        <v>2.e-002</v>
      </c>
    </row>
    <row r="7898" ht="38.25">
      <c r="A7898" t="s">
        <v>7966</v>
      </c>
      <c r="B7898" s="19">
        <v>96370</v>
      </c>
      <c r="C7898" s="20" t="s">
        <v>7986</v>
      </c>
      <c r="D7898" s="19" t="s">
        <v>29</v>
      </c>
      <c r="E7898" s="21">
        <f t="shared" si="368"/>
        <v>60.259999999999998</v>
      </c>
      <c r="F7898" s="22">
        <v>0</v>
      </c>
      <c r="G7898" s="21">
        <f t="shared" si="369"/>
        <v>59.479999999999997</v>
      </c>
      <c r="H7898" s="22">
        <v>0</v>
      </c>
      <c r="I7898" s="23" t="str">
        <f t="shared" si="370"/>
        <v xml:space="preserve">COM VALOR</v>
      </c>
      <c r="J7898" s="19"/>
      <c r="L7898" s="21">
        <v>60.259999999999998</v>
      </c>
      <c r="M7898" s="22">
        <v>2.e-002</v>
      </c>
      <c r="N7898" s="21">
        <v>59.479999999999997</v>
      </c>
      <c r="O7898" s="22">
        <v>2.e-002</v>
      </c>
    </row>
    <row r="7899" ht="51">
      <c r="A7899" t="s">
        <v>7966</v>
      </c>
      <c r="B7899" s="19">
        <v>96365</v>
      </c>
      <c r="C7899" s="20" t="s">
        <v>7987</v>
      </c>
      <c r="D7899" s="19" t="s">
        <v>29</v>
      </c>
      <c r="E7899" s="21">
        <f t="shared" si="368"/>
        <v>165.74000000000001</v>
      </c>
      <c r="F7899" s="22">
        <v>0</v>
      </c>
      <c r="G7899" s="21">
        <f t="shared" si="369"/>
        <v>163.84999999999999</v>
      </c>
      <c r="H7899" s="22">
        <v>0</v>
      </c>
      <c r="I7899" s="23" t="str">
        <f t="shared" si="370"/>
        <v xml:space="preserve">COM VALOR</v>
      </c>
      <c r="J7899" s="19"/>
      <c r="L7899" s="21">
        <v>165.74000000000001</v>
      </c>
      <c r="M7899" s="22">
        <v>2.e-002</v>
      </c>
      <c r="N7899" s="21">
        <v>163.84999999999999</v>
      </c>
      <c r="O7899" s="22">
        <v>2.e-002</v>
      </c>
    </row>
    <row r="7900" ht="51">
      <c r="A7900" t="s">
        <v>7966</v>
      </c>
      <c r="B7900" s="19">
        <v>104721</v>
      </c>
      <c r="C7900" s="20" t="s">
        <v>7988</v>
      </c>
      <c r="D7900" s="19" t="s">
        <v>29</v>
      </c>
      <c r="E7900" s="21">
        <f t="shared" si="368"/>
        <v>201.75</v>
      </c>
      <c r="F7900" s="22">
        <v>0</v>
      </c>
      <c r="G7900" s="21">
        <f t="shared" si="369"/>
        <v>199.24000000000001</v>
      </c>
      <c r="H7900" s="22">
        <v>0</v>
      </c>
      <c r="I7900" s="23" t="str">
        <f t="shared" si="370"/>
        <v xml:space="preserve">COM VALOR</v>
      </c>
      <c r="J7900" s="19"/>
      <c r="L7900" s="21">
        <v>201.75</v>
      </c>
      <c r="M7900" s="22">
        <v>2.e-002</v>
      </c>
      <c r="N7900" s="21">
        <v>199.24000000000001</v>
      </c>
      <c r="O7900" s="22">
        <v>2.e-002</v>
      </c>
    </row>
    <row r="7901" ht="51">
      <c r="A7901" t="s">
        <v>7966</v>
      </c>
      <c r="B7901" s="19">
        <v>96363</v>
      </c>
      <c r="C7901" s="20" t="s">
        <v>7989</v>
      </c>
      <c r="D7901" s="19" t="s">
        <v>29</v>
      </c>
      <c r="E7901" s="21">
        <f t="shared" si="368"/>
        <v>131.09999999999999</v>
      </c>
      <c r="F7901" s="22">
        <v>0</v>
      </c>
      <c r="G7901" s="21">
        <f t="shared" si="369"/>
        <v>129.5</v>
      </c>
      <c r="H7901" s="22">
        <v>0</v>
      </c>
      <c r="I7901" s="23" t="str">
        <f t="shared" si="370"/>
        <v xml:space="preserve">COM VALOR</v>
      </c>
      <c r="J7901" s="19"/>
      <c r="L7901" s="21">
        <v>131.09999999999999</v>
      </c>
      <c r="M7901" s="22">
        <v>1.e-002</v>
      </c>
      <c r="N7901" s="21">
        <v>129.5</v>
      </c>
      <c r="O7901" s="22">
        <v>1.e-002</v>
      </c>
    </row>
    <row r="7902" ht="51">
      <c r="A7902" t="s">
        <v>7966</v>
      </c>
      <c r="B7902" s="19">
        <v>104720</v>
      </c>
      <c r="C7902" s="20" t="s">
        <v>7990</v>
      </c>
      <c r="D7902" s="19" t="s">
        <v>29</v>
      </c>
      <c r="E7902" s="21">
        <f t="shared" si="368"/>
        <v>151.53</v>
      </c>
      <c r="F7902" s="22">
        <v>0</v>
      </c>
      <c r="G7902" s="21">
        <f t="shared" si="369"/>
        <v>149.49000000000001</v>
      </c>
      <c r="H7902" s="22">
        <v>0</v>
      </c>
      <c r="I7902" s="23" t="str">
        <f t="shared" si="370"/>
        <v xml:space="preserve">COM VALOR</v>
      </c>
      <c r="J7902" s="19"/>
      <c r="L7902" s="21">
        <v>151.53</v>
      </c>
      <c r="M7902" s="22">
        <v>1.e-002</v>
      </c>
      <c r="N7902" s="21">
        <v>149.49000000000001</v>
      </c>
      <c r="O7902" s="22">
        <v>1.e-002</v>
      </c>
    </row>
    <row r="7903" ht="38.25">
      <c r="A7903" t="s">
        <v>7966</v>
      </c>
      <c r="B7903" s="19">
        <v>96362</v>
      </c>
      <c r="C7903" s="20" t="s">
        <v>7991</v>
      </c>
      <c r="D7903" s="19" t="s">
        <v>29</v>
      </c>
      <c r="E7903" s="21">
        <f t="shared" si="368"/>
        <v>119.94</v>
      </c>
      <c r="F7903" s="22">
        <v>0</v>
      </c>
      <c r="G7903" s="21">
        <f t="shared" si="369"/>
        <v>118.55</v>
      </c>
      <c r="H7903" s="22">
        <v>0</v>
      </c>
      <c r="I7903" s="23" t="str">
        <f t="shared" si="370"/>
        <v xml:space="preserve">COM VALOR</v>
      </c>
      <c r="J7903" s="19"/>
      <c r="L7903" s="21">
        <v>119.94</v>
      </c>
      <c r="M7903" s="22">
        <v>1.e-002</v>
      </c>
      <c r="N7903" s="21">
        <v>118.55</v>
      </c>
      <c r="O7903" s="22">
        <v>1.e-002</v>
      </c>
    </row>
    <row r="7904" ht="51">
      <c r="A7904" t="s">
        <v>7992</v>
      </c>
      <c r="B7904" s="19">
        <v>103191</v>
      </c>
      <c r="C7904" s="20" t="s">
        <v>7993</v>
      </c>
      <c r="D7904" s="19" t="s">
        <v>31</v>
      </c>
      <c r="E7904" s="21">
        <f t="shared" si="368"/>
        <v>2383.23</v>
      </c>
      <c r="F7904" s="22">
        <v>0</v>
      </c>
      <c r="G7904" s="21">
        <f t="shared" si="369"/>
        <v>2378.96</v>
      </c>
      <c r="H7904" s="22">
        <v>0</v>
      </c>
      <c r="I7904" s="23" t="str">
        <f t="shared" si="370"/>
        <v xml:space="preserve">COM VALOR</v>
      </c>
      <c r="J7904" s="19"/>
      <c r="L7904" s="21">
        <v>2383.23</v>
      </c>
      <c r="M7904" s="22">
        <v>0.94999999999999996</v>
      </c>
      <c r="N7904" s="21">
        <v>2378.96</v>
      </c>
      <c r="O7904" s="22">
        <v>0.94999999999999996</v>
      </c>
    </row>
    <row r="7905" ht="51">
      <c r="A7905" t="s">
        <v>7992</v>
      </c>
      <c r="B7905" s="19">
        <v>103206</v>
      </c>
      <c r="C7905" s="20" t="s">
        <v>7994</v>
      </c>
      <c r="D7905" s="19" t="s">
        <v>31</v>
      </c>
      <c r="E7905" s="21">
        <f t="shared" si="368"/>
        <v>2398.96</v>
      </c>
      <c r="F7905" s="22">
        <v>0</v>
      </c>
      <c r="G7905" s="21">
        <f t="shared" si="369"/>
        <v>2393.1900000000001</v>
      </c>
      <c r="H7905" s="22">
        <v>0</v>
      </c>
      <c r="I7905" s="23" t="str">
        <f t="shared" si="370"/>
        <v xml:space="preserve">COM VALOR</v>
      </c>
      <c r="J7905" s="19"/>
      <c r="L7905" s="21">
        <v>2398.96</v>
      </c>
      <c r="M7905" s="22">
        <v>0.94999999999999996</v>
      </c>
      <c r="N7905" s="21">
        <v>2393.1900000000001</v>
      </c>
      <c r="O7905" s="22">
        <v>0.94999999999999996</v>
      </c>
    </row>
    <row r="7906" ht="25.5">
      <c r="A7906" t="s">
        <v>7992</v>
      </c>
      <c r="B7906" s="19">
        <v>103211</v>
      </c>
      <c r="C7906" s="20" t="s">
        <v>7995</v>
      </c>
      <c r="D7906" s="19" t="s">
        <v>31</v>
      </c>
      <c r="E7906" s="21" t="str">
        <f t="shared" si="368"/>
        <v>VERIFICAR</v>
      </c>
      <c r="F7906" s="22">
        <v>0</v>
      </c>
      <c r="G7906" s="21" t="str">
        <f t="shared" si="369"/>
        <v>VERIFICAR</v>
      </c>
      <c r="H7906" s="22">
        <v>0</v>
      </c>
      <c r="I7906" s="23" t="str">
        <f t="shared" si="370"/>
        <v xml:space="preserve">COM VALOR</v>
      </c>
      <c r="J7906" s="19"/>
      <c r="L7906" s="21">
        <v>0</v>
      </c>
      <c r="M7906" s="22"/>
      <c r="N7906" s="21">
        <v>0</v>
      </c>
      <c r="O7906" s="22"/>
    </row>
    <row r="7907" ht="25.5">
      <c r="A7907" t="s">
        <v>7992</v>
      </c>
      <c r="B7907" s="19">
        <v>103196</v>
      </c>
      <c r="C7907" s="20" t="s">
        <v>7996</v>
      </c>
      <c r="D7907" s="19" t="s">
        <v>31</v>
      </c>
      <c r="E7907" s="21" t="str">
        <f t="shared" si="368"/>
        <v>VERIFICAR</v>
      </c>
      <c r="F7907" s="22"/>
      <c r="G7907" s="21" t="str">
        <f t="shared" si="369"/>
        <v>VERIFICAR</v>
      </c>
      <c r="H7907" s="22"/>
      <c r="I7907" s="23" t="str">
        <f t="shared" si="370"/>
        <v xml:space="preserve">COM VALOR</v>
      </c>
      <c r="J7907" s="19"/>
      <c r="L7907" s="21">
        <v>0</v>
      </c>
      <c r="M7907" s="22"/>
      <c r="N7907" s="21">
        <v>0</v>
      </c>
      <c r="O7907" s="22"/>
    </row>
    <row r="7908" ht="38.25">
      <c r="A7908" t="s">
        <v>7992</v>
      </c>
      <c r="B7908" s="19">
        <v>103212</v>
      </c>
      <c r="C7908" s="20" t="s">
        <v>7997</v>
      </c>
      <c r="D7908" s="19" t="s">
        <v>31</v>
      </c>
      <c r="E7908" s="21" t="str">
        <f t="shared" si="368"/>
        <v>VERIFICAR</v>
      </c>
      <c r="F7908" s="22"/>
      <c r="G7908" s="21" t="str">
        <f t="shared" si="369"/>
        <v>VERIFICAR</v>
      </c>
      <c r="H7908" s="22"/>
      <c r="I7908" s="23" t="str">
        <f t="shared" si="370"/>
        <v xml:space="preserve">COM VALOR</v>
      </c>
      <c r="J7908" s="19"/>
      <c r="L7908" s="21">
        <v>0</v>
      </c>
      <c r="M7908" s="22"/>
      <c r="N7908" s="21">
        <v>0</v>
      </c>
      <c r="O7908" s="22"/>
    </row>
    <row r="7909" ht="25.5">
      <c r="A7909" t="s">
        <v>7992</v>
      </c>
      <c r="B7909" s="19">
        <v>103197</v>
      </c>
      <c r="C7909" s="20" t="s">
        <v>7998</v>
      </c>
      <c r="D7909" s="19" t="s">
        <v>31</v>
      </c>
      <c r="E7909" s="21" t="str">
        <f t="shared" si="368"/>
        <v>VERIFICAR</v>
      </c>
      <c r="F7909" s="22"/>
      <c r="G7909" s="21" t="str">
        <f t="shared" si="369"/>
        <v>VERIFICAR</v>
      </c>
      <c r="H7909" s="22"/>
      <c r="I7909" s="23" t="str">
        <f t="shared" si="370"/>
        <v xml:space="preserve">COM VALOR</v>
      </c>
      <c r="J7909" s="19"/>
      <c r="L7909" s="21">
        <v>0</v>
      </c>
      <c r="M7909" s="22"/>
      <c r="N7909" s="21">
        <v>0</v>
      </c>
      <c r="O7909" s="22"/>
    </row>
    <row r="7910" ht="38.25">
      <c r="A7910" t="s">
        <v>7992</v>
      </c>
      <c r="B7910" s="19">
        <v>103217</v>
      </c>
      <c r="C7910" s="20" t="s">
        <v>7999</v>
      </c>
      <c r="D7910" s="19" t="s">
        <v>31</v>
      </c>
      <c r="E7910" s="21" t="str">
        <f t="shared" si="368"/>
        <v>VERIFICAR</v>
      </c>
      <c r="F7910" s="22">
        <v>0</v>
      </c>
      <c r="G7910" s="21" t="str">
        <f t="shared" si="369"/>
        <v>VERIFICAR</v>
      </c>
      <c r="H7910" s="22">
        <v>0</v>
      </c>
      <c r="I7910" s="23" t="str">
        <f t="shared" si="370"/>
        <v xml:space="preserve">COM VALOR</v>
      </c>
      <c r="J7910" s="19"/>
      <c r="L7910" s="21">
        <v>0</v>
      </c>
      <c r="M7910" s="22"/>
      <c r="N7910" s="21">
        <v>0</v>
      </c>
      <c r="O7910" s="22"/>
    </row>
    <row r="7911" ht="38.25">
      <c r="A7911" t="s">
        <v>7992</v>
      </c>
      <c r="B7911" s="19">
        <v>103202</v>
      </c>
      <c r="C7911" s="20" t="s">
        <v>8000</v>
      </c>
      <c r="D7911" s="19" t="s">
        <v>31</v>
      </c>
      <c r="E7911" s="21" t="str">
        <f t="shared" si="368"/>
        <v>VERIFICAR</v>
      </c>
      <c r="F7911" s="22">
        <v>0.81999999999999995</v>
      </c>
      <c r="G7911" s="21" t="str">
        <f t="shared" si="369"/>
        <v>VERIFICAR</v>
      </c>
      <c r="H7911" s="22">
        <v>0.81999999999999995</v>
      </c>
      <c r="I7911" s="23" t="str">
        <f t="shared" si="370"/>
        <v xml:space="preserve">COM VALOR</v>
      </c>
      <c r="J7911" s="19"/>
      <c r="L7911" s="21">
        <v>0</v>
      </c>
      <c r="M7911" s="22"/>
      <c r="N7911" s="21">
        <v>0</v>
      </c>
      <c r="O7911" s="22"/>
    </row>
    <row r="7912" ht="25.5">
      <c r="A7912" t="s">
        <v>7992</v>
      </c>
      <c r="B7912" s="19">
        <v>103215</v>
      </c>
      <c r="C7912" s="20" t="s">
        <v>8001</v>
      </c>
      <c r="D7912" s="19" t="s">
        <v>31</v>
      </c>
      <c r="E7912" s="21" t="str">
        <f t="shared" si="368"/>
        <v>VERIFICAR</v>
      </c>
      <c r="F7912" s="22">
        <v>0</v>
      </c>
      <c r="G7912" s="21" t="str">
        <f t="shared" si="369"/>
        <v>VERIFICAR</v>
      </c>
      <c r="H7912" s="22">
        <v>0</v>
      </c>
      <c r="I7912" s="23" t="str">
        <f t="shared" si="370"/>
        <v xml:space="preserve">COM VALOR</v>
      </c>
      <c r="J7912" s="19"/>
      <c r="L7912" s="21">
        <v>0</v>
      </c>
      <c r="M7912" s="22"/>
      <c r="N7912" s="21">
        <v>0</v>
      </c>
      <c r="O7912" s="22"/>
    </row>
    <row r="7913" ht="25.5">
      <c r="A7913" t="s">
        <v>7992</v>
      </c>
      <c r="B7913" s="19">
        <v>103200</v>
      </c>
      <c r="C7913" s="20" t="s">
        <v>8002</v>
      </c>
      <c r="D7913" s="19" t="s">
        <v>31</v>
      </c>
      <c r="E7913" s="21" t="str">
        <f t="shared" si="368"/>
        <v>VERIFICAR</v>
      </c>
      <c r="F7913" s="22">
        <v>0</v>
      </c>
      <c r="G7913" s="21" t="str">
        <f t="shared" si="369"/>
        <v>VERIFICAR</v>
      </c>
      <c r="H7913" s="22">
        <v>0</v>
      </c>
      <c r="I7913" s="23" t="str">
        <f t="shared" si="370"/>
        <v xml:space="preserve">COM VALOR</v>
      </c>
      <c r="J7913" s="19"/>
      <c r="L7913" s="21">
        <v>0</v>
      </c>
      <c r="M7913" s="22"/>
      <c r="N7913" s="21">
        <v>0</v>
      </c>
      <c r="O7913" s="22"/>
    </row>
    <row r="7914" ht="38.25">
      <c r="A7914" t="s">
        <v>7992</v>
      </c>
      <c r="B7914" s="19">
        <v>103216</v>
      </c>
      <c r="C7914" s="20" t="s">
        <v>8003</v>
      </c>
      <c r="D7914" s="19" t="s">
        <v>31</v>
      </c>
      <c r="E7914" s="21" t="str">
        <f t="shared" si="368"/>
        <v>VERIFICAR</v>
      </c>
      <c r="F7914" s="22">
        <v>0</v>
      </c>
      <c r="G7914" s="21" t="str">
        <f t="shared" si="369"/>
        <v>VERIFICAR</v>
      </c>
      <c r="H7914" s="22">
        <v>0</v>
      </c>
      <c r="I7914" s="23" t="str">
        <f t="shared" si="370"/>
        <v xml:space="preserve">COM VALOR</v>
      </c>
      <c r="J7914" s="19"/>
      <c r="L7914" s="21">
        <v>0</v>
      </c>
      <c r="M7914" s="22"/>
      <c r="N7914" s="21">
        <v>0</v>
      </c>
      <c r="O7914" s="22"/>
    </row>
    <row r="7915" ht="25.5">
      <c r="A7915" t="s">
        <v>7992</v>
      </c>
      <c r="B7915" s="19">
        <v>103201</v>
      </c>
      <c r="C7915" s="20" t="s">
        <v>8004</v>
      </c>
      <c r="D7915" s="19" t="s">
        <v>31</v>
      </c>
      <c r="E7915" s="21" t="str">
        <f t="shared" si="368"/>
        <v>VERIFICAR</v>
      </c>
      <c r="F7915" s="22">
        <v>0</v>
      </c>
      <c r="G7915" s="21" t="str">
        <f t="shared" si="369"/>
        <v>VERIFICAR</v>
      </c>
      <c r="H7915" s="22">
        <v>0</v>
      </c>
      <c r="I7915" s="23" t="str">
        <f t="shared" si="370"/>
        <v xml:space="preserve">COM VALOR</v>
      </c>
      <c r="J7915" s="19"/>
      <c r="L7915" s="21">
        <v>0</v>
      </c>
      <c r="M7915" s="22"/>
      <c r="N7915" s="21">
        <v>0</v>
      </c>
      <c r="O7915" s="22"/>
    </row>
    <row r="7916" ht="51">
      <c r="A7916" t="s">
        <v>7992</v>
      </c>
      <c r="B7916" s="19">
        <v>103185</v>
      </c>
      <c r="C7916" s="20" t="s">
        <v>8005</v>
      </c>
      <c r="D7916" s="19" t="s">
        <v>31</v>
      </c>
      <c r="E7916" s="21">
        <f t="shared" si="368"/>
        <v>6158.8000000000002</v>
      </c>
      <c r="F7916" s="22">
        <v>0</v>
      </c>
      <c r="G7916" s="21">
        <f t="shared" si="369"/>
        <v>6151.3000000000002</v>
      </c>
      <c r="H7916" s="22">
        <v>0</v>
      </c>
      <c r="I7916" s="23" t="str">
        <f t="shared" si="370"/>
        <v xml:space="preserve">COM VALOR</v>
      </c>
      <c r="J7916" s="19"/>
      <c r="L7916" s="21">
        <v>6158.8000000000002</v>
      </c>
      <c r="M7916" s="22">
        <v>0.97999999999999998</v>
      </c>
      <c r="N7916" s="21">
        <v>6151.3000000000002</v>
      </c>
      <c r="O7916" s="22">
        <v>0.97999999999999998</v>
      </c>
    </row>
    <row r="7917" ht="38.25">
      <c r="A7917" t="s">
        <v>7992</v>
      </c>
      <c r="B7917" s="19">
        <v>103218</v>
      </c>
      <c r="C7917" s="20" t="s">
        <v>8006</v>
      </c>
      <c r="D7917" s="19" t="s">
        <v>31</v>
      </c>
      <c r="E7917" s="21" t="str">
        <f t="shared" si="368"/>
        <v>VERIFICAR</v>
      </c>
      <c r="F7917" s="22">
        <v>0</v>
      </c>
      <c r="G7917" s="21" t="str">
        <f t="shared" si="369"/>
        <v>VERIFICAR</v>
      </c>
      <c r="H7917" s="22">
        <v>0</v>
      </c>
      <c r="I7917" s="23" t="str">
        <f t="shared" si="370"/>
        <v xml:space="preserve">COM VALOR</v>
      </c>
      <c r="J7917" s="19"/>
      <c r="L7917" s="21">
        <v>0</v>
      </c>
      <c r="M7917" s="22"/>
      <c r="N7917" s="21">
        <v>0</v>
      </c>
      <c r="O7917" s="22"/>
    </row>
    <row r="7918" ht="25.5">
      <c r="A7918" t="s">
        <v>7992</v>
      </c>
      <c r="B7918" s="19">
        <v>103203</v>
      </c>
      <c r="C7918" s="20" t="s">
        <v>8007</v>
      </c>
      <c r="D7918" s="19" t="s">
        <v>31</v>
      </c>
      <c r="E7918" s="21" t="str">
        <f t="shared" si="368"/>
        <v>VERIFICAR</v>
      </c>
      <c r="F7918" s="22">
        <v>0</v>
      </c>
      <c r="G7918" s="21" t="str">
        <f t="shared" si="369"/>
        <v>VERIFICAR</v>
      </c>
      <c r="H7918" s="22">
        <v>0</v>
      </c>
      <c r="I7918" s="23" t="str">
        <f t="shared" si="370"/>
        <v xml:space="preserve">COM VALOR</v>
      </c>
      <c r="J7918" s="19"/>
      <c r="L7918" s="21">
        <v>0</v>
      </c>
      <c r="M7918" s="22"/>
      <c r="N7918" s="21">
        <v>0</v>
      </c>
      <c r="O7918" s="22"/>
    </row>
    <row r="7919" ht="25.5">
      <c r="A7919" t="s">
        <v>7992</v>
      </c>
      <c r="B7919" s="19">
        <v>103213</v>
      </c>
      <c r="C7919" s="20" t="s">
        <v>8008</v>
      </c>
      <c r="D7919" s="19" t="s">
        <v>31</v>
      </c>
      <c r="E7919" s="21" t="str">
        <f t="shared" si="368"/>
        <v>VERIFICAR</v>
      </c>
      <c r="F7919" s="22">
        <v>0</v>
      </c>
      <c r="G7919" s="21" t="str">
        <f t="shared" si="369"/>
        <v>VERIFICAR</v>
      </c>
      <c r="H7919" s="22">
        <v>0</v>
      </c>
      <c r="I7919" s="23" t="str">
        <f t="shared" si="370"/>
        <v xml:space="preserve">COM VALOR</v>
      </c>
      <c r="J7919" s="19"/>
      <c r="L7919" s="21">
        <v>0</v>
      </c>
      <c r="M7919" s="22"/>
      <c r="N7919" s="21">
        <v>0</v>
      </c>
      <c r="O7919" s="22"/>
    </row>
    <row r="7920" ht="25.5">
      <c r="A7920" t="s">
        <v>7992</v>
      </c>
      <c r="B7920" s="19">
        <v>103198</v>
      </c>
      <c r="C7920" s="20" t="s">
        <v>8009</v>
      </c>
      <c r="D7920" s="19" t="s">
        <v>31</v>
      </c>
      <c r="E7920" s="21" t="str">
        <f t="shared" si="368"/>
        <v>VERIFICAR</v>
      </c>
      <c r="F7920" s="22">
        <v>0</v>
      </c>
      <c r="G7920" s="21" t="str">
        <f t="shared" si="369"/>
        <v>VERIFICAR</v>
      </c>
      <c r="H7920" s="22">
        <v>0</v>
      </c>
      <c r="I7920" s="23" t="str">
        <f t="shared" si="370"/>
        <v xml:space="preserve">COM VALOR</v>
      </c>
      <c r="J7920" s="19"/>
      <c r="L7920" s="21">
        <v>0</v>
      </c>
      <c r="M7920" s="22"/>
      <c r="N7920" s="21">
        <v>0</v>
      </c>
      <c r="O7920" s="22"/>
    </row>
    <row r="7921" ht="38.25">
      <c r="A7921" t="s">
        <v>7992</v>
      </c>
      <c r="B7921" s="19">
        <v>103214</v>
      </c>
      <c r="C7921" s="20" t="s">
        <v>8010</v>
      </c>
      <c r="D7921" s="19" t="s">
        <v>31</v>
      </c>
      <c r="E7921" s="21" t="str">
        <f t="shared" si="368"/>
        <v>VERIFICAR</v>
      </c>
      <c r="F7921" s="22">
        <v>0</v>
      </c>
      <c r="G7921" s="21" t="str">
        <f t="shared" si="369"/>
        <v>VERIFICAR</v>
      </c>
      <c r="H7921" s="22">
        <v>0</v>
      </c>
      <c r="I7921" s="23" t="str">
        <f t="shared" si="370"/>
        <v xml:space="preserve">COM VALOR</v>
      </c>
      <c r="J7921" s="19"/>
      <c r="L7921" s="21">
        <v>0</v>
      </c>
      <c r="M7921" s="22"/>
      <c r="N7921" s="21">
        <v>0</v>
      </c>
      <c r="O7921" s="22"/>
    </row>
    <row r="7922" ht="25.5">
      <c r="A7922" t="s">
        <v>7992</v>
      </c>
      <c r="B7922" s="19">
        <v>103199</v>
      </c>
      <c r="C7922" s="20" t="s">
        <v>8011</v>
      </c>
      <c r="D7922" s="19" t="s">
        <v>31</v>
      </c>
      <c r="E7922" s="21" t="str">
        <f t="shared" si="368"/>
        <v>VERIFICAR</v>
      </c>
      <c r="F7922" s="22">
        <v>0</v>
      </c>
      <c r="G7922" s="21" t="str">
        <f t="shared" si="369"/>
        <v>VERIFICAR</v>
      </c>
      <c r="H7922" s="22">
        <v>0</v>
      </c>
      <c r="I7922" s="23" t="str">
        <f t="shared" si="370"/>
        <v xml:space="preserve">COM VALOR</v>
      </c>
      <c r="J7922" s="19"/>
      <c r="L7922" s="21">
        <v>0</v>
      </c>
      <c r="M7922" s="22"/>
      <c r="N7922" s="21">
        <v>0</v>
      </c>
      <c r="O7922" s="22"/>
    </row>
    <row r="7923" ht="25.5">
      <c r="A7923" t="s">
        <v>7992</v>
      </c>
      <c r="B7923" s="19">
        <v>103219</v>
      </c>
      <c r="C7923" s="20" t="s">
        <v>8012</v>
      </c>
      <c r="D7923" s="19" t="s">
        <v>31</v>
      </c>
      <c r="E7923" s="21" t="str">
        <f t="shared" si="368"/>
        <v>VERIFICAR</v>
      </c>
      <c r="F7923" s="22">
        <v>0</v>
      </c>
      <c r="G7923" s="21" t="str">
        <f t="shared" si="369"/>
        <v>VERIFICAR</v>
      </c>
      <c r="H7923" s="22">
        <v>0</v>
      </c>
      <c r="I7923" s="23" t="str">
        <f t="shared" si="370"/>
        <v xml:space="preserve">COM VALOR</v>
      </c>
      <c r="J7923" s="19"/>
      <c r="L7923" s="21">
        <v>0</v>
      </c>
      <c r="M7923" s="22"/>
      <c r="N7923" s="21">
        <v>0</v>
      </c>
      <c r="O7923" s="22"/>
    </row>
    <row r="7924" ht="25.5">
      <c r="A7924" t="s">
        <v>7992</v>
      </c>
      <c r="B7924" s="19">
        <v>103204</v>
      </c>
      <c r="C7924" s="20" t="s">
        <v>8013</v>
      </c>
      <c r="D7924" s="19" t="s">
        <v>31</v>
      </c>
      <c r="E7924" s="21" t="str">
        <f t="shared" si="368"/>
        <v>VERIFICAR</v>
      </c>
      <c r="F7924" s="22">
        <v>0</v>
      </c>
      <c r="G7924" s="21" t="str">
        <f t="shared" si="369"/>
        <v>VERIFICAR</v>
      </c>
      <c r="H7924" s="22">
        <v>0</v>
      </c>
      <c r="I7924" s="23" t="str">
        <f t="shared" si="370"/>
        <v xml:space="preserve">COM VALOR</v>
      </c>
      <c r="J7924" s="19"/>
      <c r="L7924" s="21">
        <v>0</v>
      </c>
      <c r="M7924" s="22"/>
      <c r="N7924" s="21">
        <v>0</v>
      </c>
      <c r="O7924" s="22"/>
    </row>
    <row r="7925" ht="51">
      <c r="A7925" t="s">
        <v>7992</v>
      </c>
      <c r="B7925" s="19">
        <v>103186</v>
      </c>
      <c r="C7925" s="20" t="s">
        <v>8014</v>
      </c>
      <c r="D7925" s="19" t="s">
        <v>31</v>
      </c>
      <c r="E7925" s="21">
        <f t="shared" si="368"/>
        <v>6488.9899999999998</v>
      </c>
      <c r="F7925" s="22">
        <v>0</v>
      </c>
      <c r="G7925" s="21">
        <f t="shared" si="369"/>
        <v>6485.9200000000001</v>
      </c>
      <c r="H7925" s="22">
        <v>0</v>
      </c>
      <c r="I7925" s="23" t="str">
        <f t="shared" si="370"/>
        <v xml:space="preserve">COM VALOR</v>
      </c>
      <c r="J7925" s="19"/>
      <c r="L7925" s="21">
        <v>6488.9899999999998</v>
      </c>
      <c r="M7925" s="22">
        <v>0.98999999999999999</v>
      </c>
      <c r="N7925" s="21">
        <v>6485.9200000000001</v>
      </c>
      <c r="O7925" s="22">
        <v>0.98999999999999999</v>
      </c>
    </row>
    <row r="7926" ht="51">
      <c r="A7926" t="s">
        <v>7992</v>
      </c>
      <c r="B7926" s="19">
        <v>103210</v>
      </c>
      <c r="C7926" s="20" t="s">
        <v>8015</v>
      </c>
      <c r="D7926" s="19" t="s">
        <v>31</v>
      </c>
      <c r="E7926" s="21">
        <f t="shared" si="368"/>
        <v>2307.1300000000001</v>
      </c>
      <c r="F7926" s="22">
        <v>0</v>
      </c>
      <c r="G7926" s="21">
        <f t="shared" si="369"/>
        <v>2296.6399999999999</v>
      </c>
      <c r="H7926" s="22">
        <v>0</v>
      </c>
      <c r="I7926" s="23" t="str">
        <f t="shared" si="370"/>
        <v xml:space="preserve">COM VALOR</v>
      </c>
      <c r="J7926" s="19"/>
      <c r="L7926" s="21">
        <v>2307.1300000000001</v>
      </c>
      <c r="M7926" s="22">
        <v>0.91000000000000003</v>
      </c>
      <c r="N7926" s="21">
        <v>2296.6399999999999</v>
      </c>
      <c r="O7926" s="22">
        <v>0.91000000000000003</v>
      </c>
    </row>
    <row r="7927" ht="38.25">
      <c r="A7927" t="s">
        <v>7992</v>
      </c>
      <c r="B7927" s="19">
        <v>103195</v>
      </c>
      <c r="C7927" s="20" t="s">
        <v>8016</v>
      </c>
      <c r="D7927" s="19" t="s">
        <v>31</v>
      </c>
      <c r="E7927" s="21">
        <f t="shared" si="368"/>
        <v>2197.9000000000001</v>
      </c>
      <c r="F7927" s="22">
        <v>0</v>
      </c>
      <c r="G7927" s="21">
        <f t="shared" si="369"/>
        <v>2193.5100000000002</v>
      </c>
      <c r="H7927" s="22">
        <v>0</v>
      </c>
      <c r="I7927" s="23" t="str">
        <f t="shared" si="370"/>
        <v xml:space="preserve">COM VALOR</v>
      </c>
      <c r="J7927" s="19"/>
      <c r="L7927" s="21">
        <v>2197.9000000000001</v>
      </c>
      <c r="M7927" s="22">
        <v>0.94999999999999996</v>
      </c>
      <c r="N7927" s="21">
        <v>2193.5100000000002</v>
      </c>
      <c r="O7927" s="22">
        <v>0.94999999999999996</v>
      </c>
    </row>
    <row r="7928" ht="51">
      <c r="A7928" t="s">
        <v>7992</v>
      </c>
      <c r="B7928" s="19">
        <v>103205</v>
      </c>
      <c r="C7928" s="20" t="s">
        <v>8017</v>
      </c>
      <c r="D7928" s="19" t="s">
        <v>31</v>
      </c>
      <c r="E7928" s="21">
        <f t="shared" si="368"/>
        <v>4102.5</v>
      </c>
      <c r="F7928" s="22">
        <v>0</v>
      </c>
      <c r="G7928" s="21">
        <f t="shared" si="369"/>
        <v>4095.8000000000002</v>
      </c>
      <c r="H7928" s="22">
        <v>0</v>
      </c>
      <c r="I7928" s="23" t="str">
        <f t="shared" si="370"/>
        <v xml:space="preserve">COM VALOR</v>
      </c>
      <c r="J7928" s="19"/>
      <c r="L7928" s="21">
        <v>4102.5</v>
      </c>
      <c r="M7928" s="22">
        <v>0.95999999999999996</v>
      </c>
      <c r="N7928" s="21">
        <v>4095.8000000000002</v>
      </c>
      <c r="O7928" s="22">
        <v>0.96999999999999997</v>
      </c>
    </row>
    <row r="7929" ht="51">
      <c r="A7929" t="s">
        <v>7992</v>
      </c>
      <c r="B7929" s="19">
        <v>103190</v>
      </c>
      <c r="C7929" s="20" t="s">
        <v>8018</v>
      </c>
      <c r="D7929" s="19" t="s">
        <v>31</v>
      </c>
      <c r="E7929" s="21">
        <f t="shared" si="368"/>
        <v>4086.7800000000002</v>
      </c>
      <c r="F7929" s="22">
        <v>0</v>
      </c>
      <c r="G7929" s="21">
        <f t="shared" si="369"/>
        <v>4081.5700000000002</v>
      </c>
      <c r="H7929" s="22">
        <v>0</v>
      </c>
      <c r="I7929" s="23" t="str">
        <f t="shared" si="370"/>
        <v xml:space="preserve">COM VALOR</v>
      </c>
      <c r="J7929" s="19"/>
      <c r="L7929" s="21">
        <v>4086.7800000000002</v>
      </c>
      <c r="M7929" s="22">
        <v>0.96999999999999997</v>
      </c>
      <c r="N7929" s="21">
        <v>4081.5700000000002</v>
      </c>
      <c r="O7929" s="22">
        <v>0.96999999999999997</v>
      </c>
    </row>
    <row r="7930" ht="51">
      <c r="A7930" t="s">
        <v>7992</v>
      </c>
      <c r="B7930" s="19">
        <v>103207</v>
      </c>
      <c r="C7930" s="20" t="s">
        <v>8019</v>
      </c>
      <c r="D7930" s="19" t="s">
        <v>31</v>
      </c>
      <c r="E7930" s="21">
        <f t="shared" si="368"/>
        <v>2552.5999999999999</v>
      </c>
      <c r="F7930" s="22">
        <v>0</v>
      </c>
      <c r="G7930" s="21">
        <f t="shared" si="369"/>
        <v>2546.8299999999999</v>
      </c>
      <c r="H7930" s="22">
        <v>0</v>
      </c>
      <c r="I7930" s="23" t="str">
        <f t="shared" si="370"/>
        <v xml:space="preserve">COM VALOR</v>
      </c>
      <c r="J7930" s="19"/>
      <c r="L7930" s="21">
        <v>2552.5999999999999</v>
      </c>
      <c r="M7930" s="22">
        <v>0.94999999999999996</v>
      </c>
      <c r="N7930" s="21">
        <v>2546.8299999999999</v>
      </c>
      <c r="O7930" s="22">
        <v>0.94999999999999996</v>
      </c>
    </row>
    <row r="7931" ht="51">
      <c r="A7931" t="s">
        <v>7992</v>
      </c>
      <c r="B7931" s="19">
        <v>103192</v>
      </c>
      <c r="C7931" s="20" t="s">
        <v>8020</v>
      </c>
      <c r="D7931" s="19" t="s">
        <v>31</v>
      </c>
      <c r="E7931" s="21">
        <f t="shared" si="368"/>
        <v>2536.8699999999999</v>
      </c>
      <c r="F7931" s="22">
        <v>0</v>
      </c>
      <c r="G7931" s="21">
        <f t="shared" si="369"/>
        <v>2532.5999999999999</v>
      </c>
      <c r="H7931" s="22">
        <v>0</v>
      </c>
      <c r="I7931" s="23" t="str">
        <f t="shared" si="370"/>
        <v xml:space="preserve">COM VALOR</v>
      </c>
      <c r="J7931" s="19"/>
      <c r="L7931" s="21">
        <v>2536.8699999999999</v>
      </c>
      <c r="M7931" s="22">
        <v>0.95999999999999996</v>
      </c>
      <c r="N7931" s="21">
        <v>2532.5999999999999</v>
      </c>
      <c r="O7931" s="22">
        <v>0.95999999999999996</v>
      </c>
    </row>
    <row r="7932" ht="51">
      <c r="A7932" t="s">
        <v>7992</v>
      </c>
      <c r="B7932" s="19">
        <v>103208</v>
      </c>
      <c r="C7932" s="20" t="s">
        <v>8021</v>
      </c>
      <c r="D7932" s="19" t="s">
        <v>31</v>
      </c>
      <c r="E7932" s="21">
        <f t="shared" si="368"/>
        <v>1971.3299999999999</v>
      </c>
      <c r="F7932" s="22">
        <v>0</v>
      </c>
      <c r="G7932" s="21">
        <f t="shared" si="369"/>
        <v>1965.5599999999999</v>
      </c>
      <c r="H7932" s="22">
        <v>0</v>
      </c>
      <c r="I7932" s="23" t="str">
        <f t="shared" si="370"/>
        <v xml:space="preserve">COM VALOR</v>
      </c>
      <c r="J7932" s="19"/>
      <c r="L7932" s="21">
        <v>1971.3299999999999</v>
      </c>
      <c r="M7932" s="22">
        <v>0.93999999999999995</v>
      </c>
      <c r="N7932" s="21">
        <v>1965.5599999999999</v>
      </c>
      <c r="O7932" s="22">
        <v>0.93999999999999995</v>
      </c>
    </row>
    <row r="7933" ht="51">
      <c r="A7933" t="s">
        <v>7992</v>
      </c>
      <c r="B7933" s="19">
        <v>103193</v>
      </c>
      <c r="C7933" s="20" t="s">
        <v>8022</v>
      </c>
      <c r="D7933" s="19" t="s">
        <v>31</v>
      </c>
      <c r="E7933" s="21">
        <f t="shared" si="368"/>
        <v>1955.5999999999999</v>
      </c>
      <c r="F7933" s="22">
        <v>0</v>
      </c>
      <c r="G7933" s="21">
        <f t="shared" si="369"/>
        <v>1951.3299999999999</v>
      </c>
      <c r="H7933" s="22">
        <v>0</v>
      </c>
      <c r="I7933" s="23" t="str">
        <f t="shared" si="370"/>
        <v xml:space="preserve">COM VALOR</v>
      </c>
      <c r="J7933" s="19"/>
      <c r="L7933" s="21">
        <v>1955.5999999999999</v>
      </c>
      <c r="M7933" s="22">
        <v>0.93999999999999995</v>
      </c>
      <c r="N7933" s="21">
        <v>1951.3299999999999</v>
      </c>
      <c r="O7933" s="22">
        <v>0.93999999999999995</v>
      </c>
    </row>
    <row r="7934" ht="51">
      <c r="A7934" t="s">
        <v>7992</v>
      </c>
      <c r="B7934" s="19">
        <v>103187</v>
      </c>
      <c r="C7934" s="20" t="s">
        <v>8023</v>
      </c>
      <c r="D7934" s="19" t="s">
        <v>31</v>
      </c>
      <c r="E7934" s="21">
        <f t="shared" si="368"/>
        <v>4880.6300000000001</v>
      </c>
      <c r="F7934" s="22">
        <v>0</v>
      </c>
      <c r="G7934" s="21">
        <f t="shared" si="369"/>
        <v>4875.5100000000002</v>
      </c>
      <c r="H7934" s="22">
        <v>0</v>
      </c>
      <c r="I7934" s="23" t="str">
        <f t="shared" si="370"/>
        <v xml:space="preserve">COM VALOR</v>
      </c>
      <c r="J7934" s="19"/>
      <c r="L7934" s="21">
        <v>4880.6300000000001</v>
      </c>
      <c r="M7934" s="22">
        <v>0.97999999999999998</v>
      </c>
      <c r="N7934" s="21">
        <v>4875.5100000000002</v>
      </c>
      <c r="O7934" s="22">
        <v>0.97999999999999998</v>
      </c>
    </row>
    <row r="7935" ht="51">
      <c r="A7935" t="s">
        <v>7992</v>
      </c>
      <c r="B7935" s="19">
        <v>103188</v>
      </c>
      <c r="C7935" s="20" t="s">
        <v>8024</v>
      </c>
      <c r="D7935" s="19" t="s">
        <v>31</v>
      </c>
      <c r="E7935" s="21">
        <f t="shared" si="368"/>
        <v>5245.7299999999996</v>
      </c>
      <c r="F7935" s="22">
        <v>0</v>
      </c>
      <c r="G7935" s="21">
        <f t="shared" si="369"/>
        <v>5241.79</v>
      </c>
      <c r="H7935" s="22">
        <v>0</v>
      </c>
      <c r="I7935" s="23" t="str">
        <f t="shared" si="370"/>
        <v xml:space="preserve">COM VALOR</v>
      </c>
      <c r="J7935" s="19"/>
      <c r="L7935" s="21">
        <v>5245.7299999999996</v>
      </c>
      <c r="M7935" s="22">
        <v>0.98999999999999999</v>
      </c>
      <c r="N7935" s="21">
        <v>5241.79</v>
      </c>
      <c r="O7935" s="22">
        <v>0.98999999999999999</v>
      </c>
    </row>
    <row r="7936" ht="51">
      <c r="A7936" t="s">
        <v>7992</v>
      </c>
      <c r="B7936" s="19">
        <v>103189</v>
      </c>
      <c r="C7936" s="20" t="s">
        <v>8025</v>
      </c>
      <c r="D7936" s="19" t="s">
        <v>31</v>
      </c>
      <c r="E7936" s="21">
        <f t="shared" si="368"/>
        <v>2629.9899999999998</v>
      </c>
      <c r="F7936" s="22">
        <v>0</v>
      </c>
      <c r="G7936" s="21">
        <f t="shared" si="369"/>
        <v>2627.23</v>
      </c>
      <c r="H7936" s="22">
        <v>0</v>
      </c>
      <c r="I7936" s="23" t="str">
        <f t="shared" si="370"/>
        <v xml:space="preserve">COM VALOR</v>
      </c>
      <c r="J7936" s="19"/>
      <c r="L7936" s="21">
        <v>2629.9899999999998</v>
      </c>
      <c r="M7936" s="22">
        <v>0.97999999999999998</v>
      </c>
      <c r="N7936" s="21">
        <v>2627.23</v>
      </c>
      <c r="O7936" s="22">
        <v>0.97999999999999998</v>
      </c>
    </row>
    <row r="7937" ht="51">
      <c r="A7937" t="s">
        <v>7992</v>
      </c>
      <c r="B7937" s="19">
        <v>103209</v>
      </c>
      <c r="C7937" s="20" t="s">
        <v>8026</v>
      </c>
      <c r="D7937" s="19" t="s">
        <v>31</v>
      </c>
      <c r="E7937" s="21">
        <f t="shared" si="368"/>
        <v>2829.3000000000002</v>
      </c>
      <c r="F7937" s="22">
        <v>0</v>
      </c>
      <c r="G7937" s="21">
        <f t="shared" si="369"/>
        <v>2823.5300000000002</v>
      </c>
      <c r="H7937" s="22">
        <v>0</v>
      </c>
      <c r="I7937" s="23" t="str">
        <f t="shared" si="370"/>
        <v xml:space="preserve">COM VALOR</v>
      </c>
      <c r="J7937" s="19"/>
      <c r="L7937" s="21">
        <v>2829.3000000000002</v>
      </c>
      <c r="M7937" s="22">
        <v>0.94999999999999996</v>
      </c>
      <c r="N7937" s="21">
        <v>2823.5300000000002</v>
      </c>
      <c r="O7937" s="22">
        <v>0.95999999999999996</v>
      </c>
    </row>
    <row r="7938" ht="38.25">
      <c r="A7938" t="s">
        <v>7992</v>
      </c>
      <c r="B7938" s="19">
        <v>103194</v>
      </c>
      <c r="C7938" s="20" t="s">
        <v>8027</v>
      </c>
      <c r="D7938" s="19" t="s">
        <v>31</v>
      </c>
      <c r="E7938" s="21">
        <f t="shared" si="368"/>
        <v>2813.5700000000002</v>
      </c>
      <c r="F7938" s="22">
        <v>0</v>
      </c>
      <c r="G7938" s="21">
        <f t="shared" si="369"/>
        <v>2809.3000000000002</v>
      </c>
      <c r="H7938" s="22">
        <v>0</v>
      </c>
      <c r="I7938" s="23" t="str">
        <f t="shared" si="370"/>
        <v xml:space="preserve">COM VALOR</v>
      </c>
      <c r="J7938" s="19"/>
      <c r="L7938" s="21">
        <v>2813.5700000000002</v>
      </c>
      <c r="M7938" s="22">
        <v>0.95999999999999996</v>
      </c>
      <c r="N7938" s="21">
        <v>2809.3000000000002</v>
      </c>
      <c r="O7938" s="22">
        <v>0.95999999999999996</v>
      </c>
    </row>
    <row r="7939" ht="38.25">
      <c r="A7939" t="s">
        <v>8028</v>
      </c>
      <c r="B7939" s="19">
        <v>95001</v>
      </c>
      <c r="C7939" s="20" t="s">
        <v>8029</v>
      </c>
      <c r="D7939" s="19" t="s">
        <v>29</v>
      </c>
      <c r="E7939" s="21" t="str">
        <f t="shared" si="368"/>
        <v>VERIFICAR</v>
      </c>
      <c r="F7939" s="22">
        <v>0</v>
      </c>
      <c r="G7939" s="21" t="str">
        <f t="shared" si="369"/>
        <v>VERIFICAR</v>
      </c>
      <c r="H7939" s="22">
        <v>0</v>
      </c>
      <c r="I7939" s="23" t="str">
        <f t="shared" si="370"/>
        <v xml:space="preserve">COM VALOR</v>
      </c>
      <c r="J7939" s="19"/>
      <c r="L7939" s="21">
        <v>0</v>
      </c>
      <c r="M7939" s="22"/>
      <c r="N7939" s="21">
        <v>0</v>
      </c>
      <c r="O7939" s="22"/>
    </row>
    <row r="7940" ht="38.25">
      <c r="A7940" t="s">
        <v>8028</v>
      </c>
      <c r="B7940" s="19">
        <v>95000</v>
      </c>
      <c r="C7940" s="20" t="s">
        <v>8030</v>
      </c>
      <c r="D7940" s="19" t="s">
        <v>29</v>
      </c>
      <c r="E7940" s="21" t="str">
        <f t="shared" si="368"/>
        <v>VERIFICAR</v>
      </c>
      <c r="F7940" s="22">
        <v>0</v>
      </c>
      <c r="G7940" s="21" t="str">
        <f t="shared" si="369"/>
        <v>VERIFICAR</v>
      </c>
      <c r="H7940" s="22">
        <v>0</v>
      </c>
      <c r="I7940" s="23" t="str">
        <f t="shared" si="370"/>
        <v xml:space="preserve">COM VALOR</v>
      </c>
      <c r="J7940" s="19"/>
      <c r="L7940" s="21">
        <v>0</v>
      </c>
      <c r="M7940" s="22"/>
      <c r="N7940" s="21">
        <v>0</v>
      </c>
      <c r="O7940" s="22"/>
    </row>
    <row r="7941" ht="38.25">
      <c r="A7941" t="s">
        <v>8028</v>
      </c>
      <c r="B7941" s="19">
        <v>95005</v>
      </c>
      <c r="C7941" s="20" t="s">
        <v>8031</v>
      </c>
      <c r="D7941" s="19" t="s">
        <v>29</v>
      </c>
      <c r="E7941" s="21" t="str">
        <f t="shared" si="368"/>
        <v>VERIFICAR</v>
      </c>
      <c r="F7941" s="22">
        <v>0</v>
      </c>
      <c r="G7941" s="21" t="str">
        <f t="shared" si="369"/>
        <v>VERIFICAR</v>
      </c>
      <c r="H7941" s="22">
        <v>0</v>
      </c>
      <c r="I7941" s="23" t="str">
        <f t="shared" si="370"/>
        <v xml:space="preserve">COM VALOR</v>
      </c>
      <c r="J7941" s="19"/>
      <c r="L7941" s="21">
        <v>0</v>
      </c>
      <c r="M7941" s="22"/>
      <c r="N7941" s="21">
        <v>0</v>
      </c>
      <c r="O7941" s="22"/>
    </row>
    <row r="7942" ht="38.25">
      <c r="A7942" t="s">
        <v>8028</v>
      </c>
      <c r="B7942" s="19">
        <v>95004</v>
      </c>
      <c r="C7942" s="20" t="s">
        <v>8032</v>
      </c>
      <c r="D7942" s="19" t="s">
        <v>29</v>
      </c>
      <c r="E7942" s="21" t="str">
        <f t="shared" si="368"/>
        <v>VERIFICAR</v>
      </c>
      <c r="F7942" s="22">
        <v>0</v>
      </c>
      <c r="G7942" s="21" t="str">
        <f t="shared" si="369"/>
        <v>VERIFICAR</v>
      </c>
      <c r="H7942" s="22">
        <v>0</v>
      </c>
      <c r="I7942" s="23" t="str">
        <f t="shared" si="370"/>
        <v xml:space="preserve">COM VALOR</v>
      </c>
      <c r="J7942" s="19"/>
      <c r="L7942" s="21">
        <v>0</v>
      </c>
      <c r="M7942" s="22"/>
      <c r="N7942" s="21">
        <v>0</v>
      </c>
      <c r="O7942" s="22"/>
    </row>
    <row r="7943" ht="38.25">
      <c r="A7943" t="s">
        <v>8028</v>
      </c>
      <c r="B7943" s="19">
        <v>95003</v>
      </c>
      <c r="C7943" s="20" t="s">
        <v>8033</v>
      </c>
      <c r="D7943" s="19" t="s">
        <v>29</v>
      </c>
      <c r="E7943" s="21" t="str">
        <f t="shared" si="368"/>
        <v>VERIFICAR</v>
      </c>
      <c r="F7943" s="22">
        <v>0</v>
      </c>
      <c r="G7943" s="21" t="str">
        <f t="shared" si="369"/>
        <v>VERIFICAR</v>
      </c>
      <c r="H7943" s="22">
        <v>0</v>
      </c>
      <c r="I7943" s="23" t="str">
        <f t="shared" si="370"/>
        <v xml:space="preserve">COM VALOR</v>
      </c>
      <c r="J7943" s="19"/>
      <c r="L7943" s="21">
        <v>0</v>
      </c>
      <c r="M7943" s="22"/>
      <c r="N7943" s="21">
        <v>0</v>
      </c>
      <c r="O7943" s="22"/>
    </row>
    <row r="7944" ht="38.25">
      <c r="A7944" t="s">
        <v>8028</v>
      </c>
      <c r="B7944" s="19">
        <v>95002</v>
      </c>
      <c r="C7944" s="20" t="s">
        <v>8034</v>
      </c>
      <c r="D7944" s="19" t="s">
        <v>29</v>
      </c>
      <c r="E7944" s="21" t="str">
        <f t="shared" si="368"/>
        <v>VERIFICAR</v>
      </c>
      <c r="F7944" s="22">
        <v>0</v>
      </c>
      <c r="G7944" s="21" t="str">
        <f t="shared" si="369"/>
        <v>VERIFICAR</v>
      </c>
      <c r="H7944" s="22">
        <v>0</v>
      </c>
      <c r="I7944" s="23" t="str">
        <f t="shared" si="370"/>
        <v xml:space="preserve">COM VALOR</v>
      </c>
      <c r="J7944" s="19"/>
      <c r="L7944" s="21">
        <v>0</v>
      </c>
      <c r="M7944" s="22"/>
      <c r="N7944" s="21">
        <v>0</v>
      </c>
      <c r="O7944" s="22"/>
    </row>
    <row r="7945" ht="38.25">
      <c r="A7945" t="s">
        <v>8028</v>
      </c>
      <c r="B7945" s="19">
        <v>95007</v>
      </c>
      <c r="C7945" s="20" t="s">
        <v>8035</v>
      </c>
      <c r="D7945" s="19" t="s">
        <v>29</v>
      </c>
      <c r="E7945" s="21" t="str">
        <f t="shared" si="368"/>
        <v>VERIFICAR</v>
      </c>
      <c r="F7945" s="22">
        <v>0</v>
      </c>
      <c r="G7945" s="21" t="str">
        <f t="shared" si="369"/>
        <v>VERIFICAR</v>
      </c>
      <c r="H7945" s="22">
        <v>0</v>
      </c>
      <c r="I7945" s="23" t="str">
        <f t="shared" si="370"/>
        <v xml:space="preserve">COM VALOR</v>
      </c>
      <c r="J7945" s="19"/>
      <c r="L7945" s="21">
        <v>0</v>
      </c>
      <c r="M7945" s="22"/>
      <c r="N7945" s="21">
        <v>0</v>
      </c>
      <c r="O7945" s="22"/>
    </row>
    <row r="7946" ht="38.25">
      <c r="A7946" t="s">
        <v>8028</v>
      </c>
      <c r="B7946" s="19">
        <v>95006</v>
      </c>
      <c r="C7946" s="20" t="s">
        <v>8036</v>
      </c>
      <c r="D7946" s="19" t="s">
        <v>29</v>
      </c>
      <c r="E7946" s="21" t="str">
        <f t="shared" si="368"/>
        <v>VERIFICAR</v>
      </c>
      <c r="F7946" s="22">
        <v>0</v>
      </c>
      <c r="G7946" s="21" t="str">
        <f t="shared" si="369"/>
        <v>VERIFICAR</v>
      </c>
      <c r="H7946" s="22">
        <v>0</v>
      </c>
      <c r="I7946" s="23" t="str">
        <f t="shared" si="370"/>
        <v xml:space="preserve">COM VALOR</v>
      </c>
      <c r="J7946" s="19"/>
      <c r="L7946" s="21">
        <v>0</v>
      </c>
      <c r="M7946" s="22"/>
      <c r="N7946" s="21">
        <v>0</v>
      </c>
      <c r="O7946" s="22"/>
    </row>
    <row r="7947" ht="38.25">
      <c r="A7947" t="s">
        <v>8028</v>
      </c>
      <c r="B7947" s="19">
        <v>104313</v>
      </c>
      <c r="C7947" s="20" t="s">
        <v>8037</v>
      </c>
      <c r="D7947" s="19" t="s">
        <v>29</v>
      </c>
      <c r="E7947" s="21" t="str">
        <f t="shared" ref="E7947:E8010" si="371">IF(L7947=0,"VERIFICAR",L7947)</f>
        <v>VERIFICAR</v>
      </c>
      <c r="F7947" s="22">
        <v>0</v>
      </c>
      <c r="G7947" s="21" t="str">
        <f t="shared" ref="G7947:G8010" si="372">IF(N7947=0,"VERIFICAR",N7947)</f>
        <v>VERIFICAR</v>
      </c>
      <c r="H7947" s="22">
        <v>0</v>
      </c>
      <c r="I7947" s="23" t="str">
        <f t="shared" ref="I7947:I8010" si="373">IF(OR(E7947=0,G7947=0),"SEM VALOR","COM VALOR")</f>
        <v xml:space="preserve">COM VALOR</v>
      </c>
      <c r="J7947" s="19"/>
      <c r="L7947" s="21">
        <v>0</v>
      </c>
      <c r="M7947" s="22"/>
      <c r="N7947" s="21">
        <v>0</v>
      </c>
      <c r="O7947" s="22"/>
    </row>
    <row r="7948" ht="38.25">
      <c r="A7948" t="s">
        <v>8028</v>
      </c>
      <c r="B7948" s="19">
        <v>104312</v>
      </c>
      <c r="C7948" s="20" t="s">
        <v>8038</v>
      </c>
      <c r="D7948" s="19" t="s">
        <v>29</v>
      </c>
      <c r="E7948" s="21" t="str">
        <f t="shared" si="371"/>
        <v>VERIFICAR</v>
      </c>
      <c r="F7948" s="22">
        <v>0</v>
      </c>
      <c r="G7948" s="21" t="str">
        <f t="shared" si="372"/>
        <v>VERIFICAR</v>
      </c>
      <c r="H7948" s="22">
        <v>0</v>
      </c>
      <c r="I7948" s="23" t="str">
        <f t="shared" si="373"/>
        <v xml:space="preserve">COM VALOR</v>
      </c>
      <c r="J7948" s="19"/>
      <c r="L7948" s="21">
        <v>0</v>
      </c>
      <c r="M7948" s="22"/>
      <c r="N7948" s="21">
        <v>0</v>
      </c>
      <c r="O7948" s="22"/>
    </row>
    <row r="7949" ht="38.25">
      <c r="A7949" t="s">
        <v>8028</v>
      </c>
      <c r="B7949" s="19">
        <v>94992</v>
      </c>
      <c r="C7949" s="20" t="s">
        <v>8039</v>
      </c>
      <c r="D7949" s="19" t="s">
        <v>29</v>
      </c>
      <c r="E7949" s="21">
        <f t="shared" si="371"/>
        <v>77.900000000000006</v>
      </c>
      <c r="F7949" s="22">
        <v>0</v>
      </c>
      <c r="G7949" s="21">
        <f t="shared" si="372"/>
        <v>76.780000000000001</v>
      </c>
      <c r="H7949" s="22">
        <v>0</v>
      </c>
      <c r="I7949" s="23" t="str">
        <f t="shared" si="373"/>
        <v xml:space="preserve">COM VALOR</v>
      </c>
      <c r="J7949" s="19"/>
      <c r="L7949" s="21">
        <v>77.900000000000006</v>
      </c>
      <c r="M7949" s="22">
        <v>0</v>
      </c>
      <c r="N7949" s="21">
        <v>76.780000000000001</v>
      </c>
      <c r="O7949" s="22">
        <v>0</v>
      </c>
    </row>
    <row r="7950" ht="38.25">
      <c r="A7950" t="s">
        <v>8028</v>
      </c>
      <c r="B7950" s="19">
        <v>94994</v>
      </c>
      <c r="C7950" s="20" t="s">
        <v>8040</v>
      </c>
      <c r="D7950" s="19" t="s">
        <v>29</v>
      </c>
      <c r="E7950" s="21">
        <f t="shared" si="371"/>
        <v>93.879999999999995</v>
      </c>
      <c r="F7950" s="22"/>
      <c r="G7950" s="21">
        <f t="shared" si="372"/>
        <v>92.400000000000006</v>
      </c>
      <c r="H7950" s="22"/>
      <c r="I7950" s="23" t="str">
        <f t="shared" si="373"/>
        <v xml:space="preserve">COM VALOR</v>
      </c>
      <c r="J7950" s="19"/>
      <c r="L7950" s="21">
        <v>93.879999999999995</v>
      </c>
      <c r="M7950" s="22">
        <v>0</v>
      </c>
      <c r="N7950" s="21">
        <v>92.400000000000006</v>
      </c>
      <c r="O7950" s="22">
        <v>0</v>
      </c>
    </row>
    <row r="7951" ht="38.25">
      <c r="A7951" t="s">
        <v>8028</v>
      </c>
      <c r="B7951" s="19">
        <v>94990</v>
      </c>
      <c r="C7951" s="20" t="s">
        <v>8041</v>
      </c>
      <c r="D7951" s="19" t="s">
        <v>121</v>
      </c>
      <c r="E7951" s="21">
        <f t="shared" si="371"/>
        <v>779.29999999999995</v>
      </c>
      <c r="F7951" s="22"/>
      <c r="G7951" s="21">
        <f t="shared" si="372"/>
        <v>763.62</v>
      </c>
      <c r="H7951" s="22"/>
      <c r="I7951" s="23" t="str">
        <f t="shared" si="373"/>
        <v xml:space="preserve">COM VALOR</v>
      </c>
      <c r="J7951" s="19"/>
      <c r="L7951" s="21">
        <v>779.29999999999995</v>
      </c>
      <c r="M7951" s="22">
        <v>0</v>
      </c>
      <c r="N7951" s="21">
        <v>763.62</v>
      </c>
      <c r="O7951" s="22">
        <v>0</v>
      </c>
    </row>
    <row r="7952" ht="38.25">
      <c r="A7952" t="s">
        <v>8028</v>
      </c>
      <c r="B7952" s="19">
        <v>94991</v>
      </c>
      <c r="C7952" s="20" t="s">
        <v>8042</v>
      </c>
      <c r="D7952" s="19" t="s">
        <v>121</v>
      </c>
      <c r="E7952" s="21">
        <f t="shared" si="371"/>
        <v>802.78999999999996</v>
      </c>
      <c r="F7952" s="22">
        <v>0</v>
      </c>
      <c r="G7952" s="21">
        <f t="shared" si="372"/>
        <v>797.75999999999999</v>
      </c>
      <c r="H7952" s="22">
        <v>0</v>
      </c>
      <c r="I7952" s="23" t="str">
        <f t="shared" si="373"/>
        <v xml:space="preserve">COM VALOR</v>
      </c>
      <c r="J7952" s="19"/>
      <c r="L7952" s="21">
        <v>802.78999999999996</v>
      </c>
      <c r="M7952" s="22">
        <v>0</v>
      </c>
      <c r="N7952" s="21">
        <v>797.75999999999999</v>
      </c>
      <c r="O7952" s="22">
        <v>0</v>
      </c>
    </row>
    <row r="7953" ht="38.25">
      <c r="A7953" t="s">
        <v>8028</v>
      </c>
      <c r="B7953" s="19">
        <v>104626</v>
      </c>
      <c r="C7953" s="20" t="s">
        <v>8043</v>
      </c>
      <c r="D7953" s="19" t="s">
        <v>121</v>
      </c>
      <c r="E7953" s="21">
        <f t="shared" si="371"/>
        <v>822.22000000000003</v>
      </c>
      <c r="F7953" s="22"/>
      <c r="G7953" s="21">
        <f t="shared" si="372"/>
        <v>817.19000000000005</v>
      </c>
      <c r="H7953" s="22"/>
      <c r="I7953" s="23" t="str">
        <f t="shared" si="373"/>
        <v xml:space="preserve">COM VALOR</v>
      </c>
      <c r="J7953" s="19"/>
      <c r="L7953" s="21">
        <v>822.22000000000003</v>
      </c>
      <c r="M7953" s="22">
        <v>0</v>
      </c>
      <c r="N7953" s="21">
        <v>817.19000000000005</v>
      </c>
      <c r="O7953" s="22">
        <v>0</v>
      </c>
    </row>
    <row r="7954" ht="38.25">
      <c r="A7954" t="s">
        <v>8028</v>
      </c>
      <c r="B7954" s="19">
        <v>94993</v>
      </c>
      <c r="C7954" s="20" t="s">
        <v>8044</v>
      </c>
      <c r="D7954" s="19" t="s">
        <v>29</v>
      </c>
      <c r="E7954" s="21">
        <f t="shared" si="371"/>
        <v>79.310000000000002</v>
      </c>
      <c r="F7954" s="22"/>
      <c r="G7954" s="21">
        <f t="shared" si="372"/>
        <v>78.840000000000003</v>
      </c>
      <c r="H7954" s="22"/>
      <c r="I7954" s="23" t="str">
        <f t="shared" si="373"/>
        <v xml:space="preserve">COM VALOR</v>
      </c>
      <c r="J7954" s="19"/>
      <c r="L7954" s="21">
        <v>79.310000000000002</v>
      </c>
      <c r="M7954" s="22">
        <v>0</v>
      </c>
      <c r="N7954" s="21">
        <v>78.840000000000003</v>
      </c>
      <c r="O7954" s="22">
        <v>0</v>
      </c>
    </row>
    <row r="7955" ht="38.25">
      <c r="A7955" t="s">
        <v>8028</v>
      </c>
      <c r="B7955" s="19">
        <v>94995</v>
      </c>
      <c r="C7955" s="20" t="s">
        <v>8045</v>
      </c>
      <c r="D7955" s="19" t="s">
        <v>29</v>
      </c>
      <c r="E7955" s="21">
        <f t="shared" si="371"/>
        <v>95.760000000000005</v>
      </c>
      <c r="F7955" s="22"/>
      <c r="G7955" s="21">
        <f t="shared" si="372"/>
        <v>95.129999999999995</v>
      </c>
      <c r="H7955" s="22"/>
      <c r="I7955" s="23" t="str">
        <f t="shared" si="373"/>
        <v xml:space="preserve">COM VALOR</v>
      </c>
      <c r="J7955" s="19"/>
      <c r="L7955" s="21">
        <v>95.760000000000005</v>
      </c>
      <c r="M7955" s="22">
        <v>0</v>
      </c>
      <c r="N7955" s="21">
        <v>95.129999999999995</v>
      </c>
      <c r="O7955" s="22">
        <v>0</v>
      </c>
    </row>
    <row r="7956" ht="25.5">
      <c r="A7956" t="s">
        <v>8046</v>
      </c>
      <c r="B7956" s="19">
        <v>101169</v>
      </c>
      <c r="C7956" s="20" t="s">
        <v>8047</v>
      </c>
      <c r="D7956" s="19" t="s">
        <v>29</v>
      </c>
      <c r="E7956" s="21">
        <f t="shared" si="371"/>
        <v>211.69999999999999</v>
      </c>
      <c r="F7956" s="22"/>
      <c r="G7956" s="21">
        <f t="shared" si="372"/>
        <v>210.28</v>
      </c>
      <c r="H7956" s="22"/>
      <c r="I7956" s="23" t="str">
        <f t="shared" si="373"/>
        <v xml:space="preserve">COM VALOR</v>
      </c>
      <c r="J7956" s="19"/>
      <c r="L7956" s="21">
        <v>211.69999999999999</v>
      </c>
      <c r="M7956" s="22">
        <v>2.e-002</v>
      </c>
      <c r="N7956" s="21">
        <v>210.28</v>
      </c>
      <c r="O7956" s="22">
        <v>2.e-002</v>
      </c>
    </row>
    <row r="7957" ht="25.5">
      <c r="A7957" t="s">
        <v>8046</v>
      </c>
      <c r="B7957" s="19">
        <v>104383</v>
      </c>
      <c r="C7957" s="20" t="s">
        <v>8048</v>
      </c>
      <c r="D7957" s="19" t="s">
        <v>29</v>
      </c>
      <c r="E7957" s="21" t="str">
        <f t="shared" si="371"/>
        <v>VERIFICAR</v>
      </c>
      <c r="F7957" s="22">
        <v>0</v>
      </c>
      <c r="G7957" s="21" t="str">
        <f t="shared" si="372"/>
        <v>VERIFICAR</v>
      </c>
      <c r="H7957" s="22">
        <v>0</v>
      </c>
      <c r="I7957" s="23" t="str">
        <f t="shared" si="373"/>
        <v xml:space="preserve">COM VALOR</v>
      </c>
      <c r="J7957" s="19"/>
      <c r="L7957" s="21">
        <v>0</v>
      </c>
      <c r="M7957" s="22"/>
      <c r="N7957" s="21">
        <v>0</v>
      </c>
      <c r="O7957" s="22"/>
    </row>
    <row r="7958" ht="25.5">
      <c r="A7958" t="s">
        <v>8046</v>
      </c>
      <c r="B7958" s="19">
        <v>101167</v>
      </c>
      <c r="C7958" s="20" t="s">
        <v>8049</v>
      </c>
      <c r="D7958" s="19" t="s">
        <v>29</v>
      </c>
      <c r="E7958" s="21">
        <f t="shared" si="371"/>
        <v>196.75999999999999</v>
      </c>
      <c r="F7958" s="22">
        <v>0</v>
      </c>
      <c r="G7958" s="21">
        <f t="shared" si="372"/>
        <v>195.69</v>
      </c>
      <c r="H7958" s="22">
        <v>0</v>
      </c>
      <c r="I7958" s="23" t="str">
        <f t="shared" si="373"/>
        <v xml:space="preserve">COM VALOR</v>
      </c>
      <c r="J7958" s="19"/>
      <c r="L7958" s="21">
        <v>196.75999999999999</v>
      </c>
      <c r="M7958" s="22">
        <v>2.e-002</v>
      </c>
      <c r="N7958" s="21">
        <v>195.69</v>
      </c>
      <c r="O7958" s="22">
        <v>2.e-002</v>
      </c>
    </row>
    <row r="7959" ht="25.5">
      <c r="A7959" t="s">
        <v>8046</v>
      </c>
      <c r="B7959" s="19">
        <v>101172</v>
      </c>
      <c r="C7959" s="20" t="s">
        <v>8050</v>
      </c>
      <c r="D7959" s="19" t="s">
        <v>29</v>
      </c>
      <c r="E7959" s="21">
        <f t="shared" si="371"/>
        <v>70.920000000000002</v>
      </c>
      <c r="F7959" s="22">
        <v>0</v>
      </c>
      <c r="G7959" s="21">
        <f t="shared" si="372"/>
        <v>69.599999999999994</v>
      </c>
      <c r="H7959" s="22">
        <v>0</v>
      </c>
      <c r="I7959" s="23" t="str">
        <f t="shared" si="373"/>
        <v xml:space="preserve">COM VALOR</v>
      </c>
      <c r="J7959" s="19"/>
      <c r="L7959" s="21">
        <v>70.920000000000002</v>
      </c>
      <c r="M7959" s="22">
        <v>5.9999999999999998e-002</v>
      </c>
      <c r="N7959" s="21">
        <v>69.599999999999994</v>
      </c>
      <c r="O7959" s="22">
        <v>5.9999999999999998e-002</v>
      </c>
    </row>
    <row r="7960" ht="25.5">
      <c r="A7960" t="s">
        <v>8046</v>
      </c>
      <c r="B7960" s="19">
        <v>104384</v>
      </c>
      <c r="C7960" s="20" t="s">
        <v>8051</v>
      </c>
      <c r="D7960" s="19" t="s">
        <v>29</v>
      </c>
      <c r="E7960" s="21" t="str">
        <f t="shared" si="371"/>
        <v>VERIFICAR</v>
      </c>
      <c r="F7960" s="22">
        <v>0</v>
      </c>
      <c r="G7960" s="21" t="str">
        <f t="shared" si="372"/>
        <v>VERIFICAR</v>
      </c>
      <c r="H7960" s="22">
        <v>0</v>
      </c>
      <c r="I7960" s="23" t="str">
        <f t="shared" si="373"/>
        <v xml:space="preserve">COM VALOR</v>
      </c>
      <c r="J7960" s="19"/>
      <c r="L7960" s="21">
        <v>0</v>
      </c>
      <c r="M7960" s="22"/>
      <c r="N7960" s="21">
        <v>0</v>
      </c>
      <c r="O7960" s="22"/>
    </row>
    <row r="7961" ht="25.5">
      <c r="A7961" t="s">
        <v>8046</v>
      </c>
      <c r="B7961" s="19">
        <v>101170</v>
      </c>
      <c r="C7961" s="20" t="s">
        <v>8052</v>
      </c>
      <c r="D7961" s="19" t="s">
        <v>29</v>
      </c>
      <c r="E7961" s="21">
        <f t="shared" si="371"/>
        <v>44.549999999999997</v>
      </c>
      <c r="F7961" s="22">
        <v>0</v>
      </c>
      <c r="G7961" s="21">
        <f t="shared" si="372"/>
        <v>43.719999999999999</v>
      </c>
      <c r="H7961" s="22">
        <v>0</v>
      </c>
      <c r="I7961" s="23" t="str">
        <f t="shared" si="373"/>
        <v xml:space="preserve">COM VALOR</v>
      </c>
      <c r="J7961" s="19"/>
      <c r="L7961" s="21">
        <v>44.549999999999997</v>
      </c>
      <c r="M7961" s="22">
        <v>7.0000000000000007e-002</v>
      </c>
      <c r="N7961" s="21">
        <v>43.719999999999999</v>
      </c>
      <c r="O7961" s="22">
        <v>7.0000000000000007e-002</v>
      </c>
    </row>
    <row r="7962" ht="38.25">
      <c r="A7962" t="s">
        <v>8053</v>
      </c>
      <c r="B7962" s="19">
        <v>104438</v>
      </c>
      <c r="C7962" s="20" t="s">
        <v>8054</v>
      </c>
      <c r="D7962" s="19" t="s">
        <v>29</v>
      </c>
      <c r="E7962" s="21" t="str">
        <f t="shared" si="371"/>
        <v>VERIFICAR</v>
      </c>
      <c r="F7962" s="22"/>
      <c r="G7962" s="21" t="str">
        <f t="shared" si="372"/>
        <v>VERIFICAR</v>
      </c>
      <c r="H7962" s="22"/>
      <c r="I7962" s="23" t="str">
        <f t="shared" si="373"/>
        <v xml:space="preserve">COM VALOR</v>
      </c>
      <c r="J7962" s="19"/>
      <c r="L7962" s="21">
        <v>0</v>
      </c>
      <c r="M7962" s="22"/>
      <c r="N7962" s="21">
        <v>0</v>
      </c>
      <c r="O7962" s="22"/>
    </row>
    <row r="7963" ht="25.5">
      <c r="A7963" t="s">
        <v>8053</v>
      </c>
      <c r="B7963" s="19">
        <v>92402</v>
      </c>
      <c r="C7963" s="20" t="s">
        <v>8055</v>
      </c>
      <c r="D7963" s="19" t="s">
        <v>29</v>
      </c>
      <c r="E7963" s="21">
        <f t="shared" si="371"/>
        <v>92.920000000000002</v>
      </c>
      <c r="F7963" s="22">
        <v>0</v>
      </c>
      <c r="G7963" s="21">
        <f t="shared" si="372"/>
        <v>92.060000000000002</v>
      </c>
      <c r="H7963" s="22">
        <v>0</v>
      </c>
      <c r="I7963" s="23" t="str">
        <f t="shared" si="373"/>
        <v xml:space="preserve">COM VALOR</v>
      </c>
      <c r="J7963" s="19"/>
      <c r="L7963" s="21">
        <v>92.920000000000002</v>
      </c>
      <c r="M7963" s="22">
        <v>0</v>
      </c>
      <c r="N7963" s="21">
        <v>92.060000000000002</v>
      </c>
      <c r="O7963" s="22">
        <v>0</v>
      </c>
    </row>
    <row r="7964" ht="38.25">
      <c r="A7964" t="s">
        <v>8053</v>
      </c>
      <c r="B7964" s="19">
        <v>104429</v>
      </c>
      <c r="C7964" s="20" t="s">
        <v>8056</v>
      </c>
      <c r="D7964" s="19" t="s">
        <v>29</v>
      </c>
      <c r="E7964" s="21" t="str">
        <f t="shared" si="371"/>
        <v>VERIFICAR</v>
      </c>
      <c r="F7964" s="22"/>
      <c r="G7964" s="21" t="str">
        <f t="shared" si="372"/>
        <v>VERIFICAR</v>
      </c>
      <c r="H7964" s="22"/>
      <c r="I7964" s="23" t="str">
        <f t="shared" si="373"/>
        <v xml:space="preserve">COM VALOR</v>
      </c>
      <c r="J7964" s="19"/>
      <c r="L7964" s="21">
        <v>0</v>
      </c>
      <c r="M7964" s="22"/>
      <c r="N7964" s="21">
        <v>0</v>
      </c>
      <c r="O7964" s="22"/>
    </row>
    <row r="7965" ht="38.25">
      <c r="A7965" t="s">
        <v>8053</v>
      </c>
      <c r="B7965" s="19">
        <v>104426</v>
      </c>
      <c r="C7965" s="20" t="s">
        <v>8057</v>
      </c>
      <c r="D7965" s="19" t="s">
        <v>29</v>
      </c>
      <c r="E7965" s="21" t="str">
        <f t="shared" si="371"/>
        <v>VERIFICAR</v>
      </c>
      <c r="F7965" s="22">
        <v>0.35999999999999999</v>
      </c>
      <c r="G7965" s="21" t="str">
        <f t="shared" si="372"/>
        <v>VERIFICAR</v>
      </c>
      <c r="H7965" s="22">
        <v>0.37</v>
      </c>
      <c r="I7965" s="23" t="str">
        <f t="shared" si="373"/>
        <v xml:space="preserve">COM VALOR</v>
      </c>
      <c r="J7965" s="19"/>
      <c r="L7965" s="21">
        <v>0</v>
      </c>
      <c r="M7965" s="22"/>
      <c r="N7965" s="21">
        <v>0</v>
      </c>
      <c r="O7965" s="22"/>
    </row>
    <row r="7966" ht="38.25">
      <c r="A7966" t="s">
        <v>8053</v>
      </c>
      <c r="B7966" s="19">
        <v>104436</v>
      </c>
      <c r="C7966" s="20" t="s">
        <v>8058</v>
      </c>
      <c r="D7966" s="19" t="s">
        <v>29</v>
      </c>
      <c r="E7966" s="21" t="str">
        <f t="shared" si="371"/>
        <v>VERIFICAR</v>
      </c>
      <c r="F7966" s="22">
        <v>0</v>
      </c>
      <c r="G7966" s="21" t="str">
        <f t="shared" si="372"/>
        <v>VERIFICAR</v>
      </c>
      <c r="H7966" s="22">
        <v>0</v>
      </c>
      <c r="I7966" s="23" t="str">
        <f t="shared" si="373"/>
        <v xml:space="preserve">COM VALOR</v>
      </c>
      <c r="J7966" s="19"/>
      <c r="L7966" s="21">
        <v>0</v>
      </c>
      <c r="M7966" s="22"/>
      <c r="N7966" s="21">
        <v>0</v>
      </c>
      <c r="O7966" s="22"/>
    </row>
    <row r="7967" ht="38.25">
      <c r="A7967" t="s">
        <v>8053</v>
      </c>
      <c r="B7967" s="19">
        <v>104434</v>
      </c>
      <c r="C7967" s="20" t="s">
        <v>8059</v>
      </c>
      <c r="D7967" s="19" t="s">
        <v>29</v>
      </c>
      <c r="E7967" s="21" t="str">
        <f t="shared" si="371"/>
        <v>VERIFICAR</v>
      </c>
      <c r="F7967" s="22"/>
      <c r="G7967" s="21" t="str">
        <f t="shared" si="372"/>
        <v>VERIFICAR</v>
      </c>
      <c r="H7967" s="22"/>
      <c r="I7967" s="23" t="str">
        <f t="shared" si="373"/>
        <v xml:space="preserve">COM VALOR</v>
      </c>
      <c r="J7967" s="19"/>
      <c r="L7967" s="21">
        <v>0</v>
      </c>
      <c r="M7967" s="22"/>
      <c r="N7967" s="21">
        <v>0</v>
      </c>
      <c r="O7967" s="22"/>
    </row>
    <row r="7968" ht="25.5">
      <c r="A7968" t="s">
        <v>8053</v>
      </c>
      <c r="B7968" s="19">
        <v>104432</v>
      </c>
      <c r="C7968" s="20" t="s">
        <v>8060</v>
      </c>
      <c r="D7968" s="19" t="s">
        <v>29</v>
      </c>
      <c r="E7968" s="21">
        <f t="shared" si="371"/>
        <v>117.31</v>
      </c>
      <c r="F7968" s="22">
        <v>0</v>
      </c>
      <c r="G7968" s="21">
        <f t="shared" si="372"/>
        <v>116.14</v>
      </c>
      <c r="H7968" s="22">
        <v>0</v>
      </c>
      <c r="I7968" s="23" t="str">
        <f t="shared" si="373"/>
        <v xml:space="preserve">COM VALOR</v>
      </c>
      <c r="J7968" s="19"/>
      <c r="L7968" s="21">
        <v>117.31</v>
      </c>
      <c r="M7968" s="22">
        <v>0</v>
      </c>
      <c r="N7968" s="21">
        <v>116.14</v>
      </c>
      <c r="O7968" s="22">
        <v>0</v>
      </c>
    </row>
    <row r="7969" ht="25.5">
      <c r="A7969" t="s">
        <v>8053</v>
      </c>
      <c r="B7969" s="19">
        <v>93679</v>
      </c>
      <c r="C7969" s="20" t="s">
        <v>8061</v>
      </c>
      <c r="D7969" s="19" t="s">
        <v>29</v>
      </c>
      <c r="E7969" s="21">
        <f t="shared" si="371"/>
        <v>113.64</v>
      </c>
      <c r="F7969" s="22"/>
      <c r="G7969" s="21">
        <f t="shared" si="372"/>
        <v>112.65000000000001</v>
      </c>
      <c r="H7969" s="22"/>
      <c r="I7969" s="23" t="str">
        <f t="shared" si="373"/>
        <v xml:space="preserve">COM VALOR</v>
      </c>
      <c r="J7969" s="19"/>
      <c r="L7969" s="21">
        <v>113.64</v>
      </c>
      <c r="M7969" s="22">
        <v>0</v>
      </c>
      <c r="N7969" s="21">
        <v>112.65000000000001</v>
      </c>
      <c r="O7969" s="22">
        <v>0</v>
      </c>
    </row>
    <row r="7970" ht="38.25">
      <c r="A7970" t="s">
        <v>8053</v>
      </c>
      <c r="B7970" s="19">
        <v>92396</v>
      </c>
      <c r="C7970" s="20" t="s">
        <v>8062</v>
      </c>
      <c r="D7970" s="19" t="s">
        <v>29</v>
      </c>
      <c r="E7970" s="21">
        <f t="shared" si="371"/>
        <v>95.019999999999996</v>
      </c>
      <c r="F7970" s="22">
        <v>0</v>
      </c>
      <c r="G7970" s="21">
        <f t="shared" si="372"/>
        <v>94.030000000000001</v>
      </c>
      <c r="H7970" s="22">
        <v>0</v>
      </c>
      <c r="I7970" s="23" t="str">
        <f t="shared" si="373"/>
        <v xml:space="preserve">COM VALOR</v>
      </c>
      <c r="J7970" s="19"/>
      <c r="L7970" s="21">
        <v>95.019999999999996</v>
      </c>
      <c r="M7970" s="22">
        <v>0</v>
      </c>
      <c r="N7970" s="21">
        <v>94.030000000000001</v>
      </c>
      <c r="O7970" s="22">
        <v>0</v>
      </c>
    </row>
    <row r="7971" ht="38.25">
      <c r="A7971" t="s">
        <v>8053</v>
      </c>
      <c r="B7971" s="19">
        <v>104439</v>
      </c>
      <c r="C7971" s="20" t="s">
        <v>8063</v>
      </c>
      <c r="D7971" s="19" t="s">
        <v>29</v>
      </c>
      <c r="E7971" s="21" t="str">
        <f t="shared" si="371"/>
        <v>VERIFICAR</v>
      </c>
      <c r="F7971" s="22">
        <v>0</v>
      </c>
      <c r="G7971" s="21" t="str">
        <f t="shared" si="372"/>
        <v>VERIFICAR</v>
      </c>
      <c r="H7971" s="22">
        <v>0</v>
      </c>
      <c r="I7971" s="23" t="str">
        <f t="shared" si="373"/>
        <v xml:space="preserve">COM VALOR</v>
      </c>
      <c r="J7971" s="19"/>
      <c r="L7971" s="21">
        <v>0</v>
      </c>
      <c r="M7971" s="22"/>
      <c r="N7971" s="21">
        <v>0</v>
      </c>
      <c r="O7971" s="22"/>
    </row>
    <row r="7972" ht="38.25">
      <c r="A7972" t="s">
        <v>8053</v>
      </c>
      <c r="B7972" s="19">
        <v>104440</v>
      </c>
      <c r="C7972" s="20" t="s">
        <v>8064</v>
      </c>
      <c r="D7972" s="19" t="s">
        <v>29</v>
      </c>
      <c r="E7972" s="21" t="str">
        <f t="shared" si="371"/>
        <v>VERIFICAR</v>
      </c>
      <c r="F7972" s="22"/>
      <c r="G7972" s="21" t="str">
        <f t="shared" si="372"/>
        <v>VERIFICAR</v>
      </c>
      <c r="H7972" s="22"/>
      <c r="I7972" s="23" t="str">
        <f t="shared" si="373"/>
        <v xml:space="preserve">COM VALOR</v>
      </c>
      <c r="J7972" s="19"/>
      <c r="L7972" s="21">
        <v>0</v>
      </c>
      <c r="M7972" s="22"/>
      <c r="N7972" s="21">
        <v>0</v>
      </c>
      <c r="O7972" s="22"/>
    </row>
    <row r="7973" ht="25.5">
      <c r="A7973" t="s">
        <v>8053</v>
      </c>
      <c r="B7973" s="19">
        <v>92406</v>
      </c>
      <c r="C7973" s="20" t="s">
        <v>8065</v>
      </c>
      <c r="D7973" s="19" t="s">
        <v>29</v>
      </c>
      <c r="E7973" s="21">
        <f t="shared" si="371"/>
        <v>164.81</v>
      </c>
      <c r="F7973" s="22">
        <v>0</v>
      </c>
      <c r="G7973" s="21">
        <f t="shared" si="372"/>
        <v>164.08000000000001</v>
      </c>
      <c r="H7973" s="22">
        <v>0</v>
      </c>
      <c r="I7973" s="23" t="str">
        <f t="shared" si="373"/>
        <v xml:space="preserve">COM VALOR</v>
      </c>
      <c r="J7973" s="19"/>
      <c r="L7973" s="21">
        <v>164.81</v>
      </c>
      <c r="M7973" s="22">
        <v>0</v>
      </c>
      <c r="N7973" s="21">
        <v>164.08000000000001</v>
      </c>
      <c r="O7973" s="22">
        <v>0</v>
      </c>
    </row>
    <row r="7974" ht="25.5">
      <c r="A7974" t="s">
        <v>8053</v>
      </c>
      <c r="B7974" s="19">
        <v>92403</v>
      </c>
      <c r="C7974" s="20" t="s">
        <v>8066</v>
      </c>
      <c r="D7974" s="19" t="s">
        <v>29</v>
      </c>
      <c r="E7974" s="21">
        <f t="shared" si="371"/>
        <v>81.790000000000006</v>
      </c>
      <c r="F7974" s="22">
        <v>0</v>
      </c>
      <c r="G7974" s="21">
        <f t="shared" si="372"/>
        <v>81.379999999999995</v>
      </c>
      <c r="H7974" s="22">
        <v>0</v>
      </c>
      <c r="I7974" s="23" t="str">
        <f t="shared" si="373"/>
        <v xml:space="preserve">COM VALOR</v>
      </c>
      <c r="J7974" s="19"/>
      <c r="L7974" s="21">
        <v>81.790000000000006</v>
      </c>
      <c r="M7974" s="22">
        <v>0</v>
      </c>
      <c r="N7974" s="21">
        <v>81.379999999999995</v>
      </c>
      <c r="O7974" s="22">
        <v>0</v>
      </c>
    </row>
    <row r="7975" ht="25.5">
      <c r="A7975" t="s">
        <v>8053</v>
      </c>
      <c r="B7975" s="19">
        <v>92404</v>
      </c>
      <c r="C7975" s="20" t="s">
        <v>8067</v>
      </c>
      <c r="D7975" s="19" t="s">
        <v>29</v>
      </c>
      <c r="E7975" s="21">
        <f t="shared" si="371"/>
        <v>94.549999999999997</v>
      </c>
      <c r="F7975" s="22"/>
      <c r="G7975" s="21">
        <f t="shared" si="372"/>
        <v>93.980000000000004</v>
      </c>
      <c r="H7975" s="22"/>
      <c r="I7975" s="23" t="str">
        <f t="shared" si="373"/>
        <v xml:space="preserve">COM VALOR</v>
      </c>
      <c r="J7975" s="19"/>
      <c r="L7975" s="21">
        <v>94.549999999999997</v>
      </c>
      <c r="M7975" s="22">
        <v>0</v>
      </c>
      <c r="N7975" s="21">
        <v>93.980000000000004</v>
      </c>
      <c r="O7975" s="22">
        <v>0</v>
      </c>
    </row>
    <row r="7976" ht="38.25">
      <c r="A7976" t="s">
        <v>8053</v>
      </c>
      <c r="B7976" s="19">
        <v>104430</v>
      </c>
      <c r="C7976" s="20" t="s">
        <v>8068</v>
      </c>
      <c r="D7976" s="19" t="s">
        <v>29</v>
      </c>
      <c r="E7976" s="21" t="str">
        <f t="shared" si="371"/>
        <v>VERIFICAR</v>
      </c>
      <c r="F7976" s="22">
        <v>0</v>
      </c>
      <c r="G7976" s="21" t="str">
        <f t="shared" si="372"/>
        <v>VERIFICAR</v>
      </c>
      <c r="H7976" s="22">
        <v>0</v>
      </c>
      <c r="I7976" s="23" t="str">
        <f t="shared" si="373"/>
        <v xml:space="preserve">COM VALOR</v>
      </c>
      <c r="J7976" s="19"/>
      <c r="L7976" s="21">
        <v>0</v>
      </c>
      <c r="M7976" s="22"/>
      <c r="N7976" s="21">
        <v>0</v>
      </c>
      <c r="O7976" s="22"/>
    </row>
    <row r="7977" ht="38.25">
      <c r="A7977" t="s">
        <v>8053</v>
      </c>
      <c r="B7977" s="19">
        <v>104431</v>
      </c>
      <c r="C7977" s="20" t="s">
        <v>8069</v>
      </c>
      <c r="D7977" s="19" t="s">
        <v>29</v>
      </c>
      <c r="E7977" s="21" t="str">
        <f t="shared" si="371"/>
        <v>VERIFICAR</v>
      </c>
      <c r="F7977" s="22"/>
      <c r="G7977" s="21" t="str">
        <f t="shared" si="372"/>
        <v>VERIFICAR</v>
      </c>
      <c r="H7977" s="22"/>
      <c r="I7977" s="23" t="str">
        <f t="shared" si="373"/>
        <v xml:space="preserve">COM VALOR</v>
      </c>
      <c r="J7977" s="19"/>
      <c r="L7977" s="21">
        <v>0</v>
      </c>
      <c r="M7977" s="22"/>
      <c r="N7977" s="21">
        <v>0</v>
      </c>
      <c r="O7977" s="22"/>
    </row>
    <row r="7978" ht="38.25">
      <c r="A7978" t="s">
        <v>8053</v>
      </c>
      <c r="B7978" s="19">
        <v>104427</v>
      </c>
      <c r="C7978" s="20" t="s">
        <v>8070</v>
      </c>
      <c r="D7978" s="19" t="s">
        <v>29</v>
      </c>
      <c r="E7978" s="21" t="str">
        <f t="shared" si="371"/>
        <v>VERIFICAR</v>
      </c>
      <c r="F7978" s="22"/>
      <c r="G7978" s="21" t="str">
        <f t="shared" si="372"/>
        <v>VERIFICAR</v>
      </c>
      <c r="H7978" s="22"/>
      <c r="I7978" s="23" t="str">
        <f t="shared" si="373"/>
        <v xml:space="preserve">COM VALOR</v>
      </c>
      <c r="J7978" s="19"/>
      <c r="L7978" s="21">
        <v>0</v>
      </c>
      <c r="M7978" s="22"/>
      <c r="N7978" s="21">
        <v>0</v>
      </c>
      <c r="O7978" s="22"/>
    </row>
    <row r="7979" ht="38.25">
      <c r="A7979" t="s">
        <v>8053</v>
      </c>
      <c r="B7979" s="19">
        <v>104428</v>
      </c>
      <c r="C7979" s="20" t="s">
        <v>8071</v>
      </c>
      <c r="D7979" s="19" t="s">
        <v>29</v>
      </c>
      <c r="E7979" s="21" t="str">
        <f t="shared" si="371"/>
        <v>VERIFICAR</v>
      </c>
      <c r="F7979" s="22">
        <v>0</v>
      </c>
      <c r="G7979" s="21" t="str">
        <f t="shared" si="372"/>
        <v>VERIFICAR</v>
      </c>
      <c r="H7979" s="22">
        <v>0</v>
      </c>
      <c r="I7979" s="23" t="str">
        <f t="shared" si="373"/>
        <v xml:space="preserve">COM VALOR</v>
      </c>
      <c r="J7979" s="19"/>
      <c r="L7979" s="21">
        <v>0</v>
      </c>
      <c r="M7979" s="22"/>
      <c r="N7979" s="21">
        <v>0</v>
      </c>
      <c r="O7979" s="22"/>
    </row>
    <row r="7980" ht="25.5">
      <c r="A7980" t="s">
        <v>8053</v>
      </c>
      <c r="B7980" s="19">
        <v>92391</v>
      </c>
      <c r="C7980" s="20" t="s">
        <v>8072</v>
      </c>
      <c r="D7980" s="19" t="s">
        <v>29</v>
      </c>
      <c r="E7980" s="21">
        <f t="shared" si="371"/>
        <v>89.760000000000005</v>
      </c>
      <c r="F7980" s="22">
        <v>0</v>
      </c>
      <c r="G7980" s="21">
        <f t="shared" si="372"/>
        <v>89.5</v>
      </c>
      <c r="H7980" s="22">
        <v>0</v>
      </c>
      <c r="I7980" s="23" t="str">
        <f t="shared" si="373"/>
        <v xml:space="preserve">COM VALOR</v>
      </c>
      <c r="J7980" s="19"/>
      <c r="L7980" s="21">
        <v>89.760000000000005</v>
      </c>
      <c r="M7980" s="22">
        <v>0</v>
      </c>
      <c r="N7980" s="21">
        <v>89.5</v>
      </c>
      <c r="O7980" s="22">
        <v>0</v>
      </c>
    </row>
    <row r="7981" ht="25.5">
      <c r="A7981" t="s">
        <v>8053</v>
      </c>
      <c r="B7981" s="19">
        <v>92392</v>
      </c>
      <c r="C7981" s="20" t="s">
        <v>8073</v>
      </c>
      <c r="D7981" s="19" t="s">
        <v>29</v>
      </c>
      <c r="E7981" s="21">
        <f t="shared" si="371"/>
        <v>98.420000000000002</v>
      </c>
      <c r="F7981" s="22">
        <v>0</v>
      </c>
      <c r="G7981" s="21">
        <f t="shared" si="372"/>
        <v>98.129999999999995</v>
      </c>
      <c r="H7981" s="22">
        <v>0</v>
      </c>
      <c r="I7981" s="23" t="str">
        <f t="shared" si="373"/>
        <v xml:space="preserve">COM VALOR</v>
      </c>
      <c r="J7981" s="19"/>
      <c r="L7981" s="21">
        <v>98.420000000000002</v>
      </c>
      <c r="M7981" s="22">
        <v>0</v>
      </c>
      <c r="N7981" s="21">
        <v>98.129999999999995</v>
      </c>
      <c r="O7981" s="22">
        <v>0</v>
      </c>
    </row>
    <row r="7982" ht="38.25">
      <c r="A7982" t="s">
        <v>8053</v>
      </c>
      <c r="B7982" s="19">
        <v>104437</v>
      </c>
      <c r="C7982" s="20" t="s">
        <v>8074</v>
      </c>
      <c r="D7982" s="19" t="s">
        <v>29</v>
      </c>
      <c r="E7982" s="21" t="str">
        <f t="shared" si="371"/>
        <v>VERIFICAR</v>
      </c>
      <c r="F7982" s="22"/>
      <c r="G7982" s="21" t="str">
        <f t="shared" si="372"/>
        <v>VERIFICAR</v>
      </c>
      <c r="H7982" s="22"/>
      <c r="I7982" s="23" t="str">
        <f t="shared" si="373"/>
        <v xml:space="preserve">COM VALOR</v>
      </c>
      <c r="J7982" s="19"/>
      <c r="L7982" s="21">
        <v>0</v>
      </c>
      <c r="M7982" s="22"/>
      <c r="N7982" s="21">
        <v>0</v>
      </c>
      <c r="O7982" s="22"/>
    </row>
    <row r="7983" ht="38.25">
      <c r="A7983" t="s">
        <v>8053</v>
      </c>
      <c r="B7983" s="19">
        <v>104435</v>
      </c>
      <c r="C7983" s="20" t="s">
        <v>8075</v>
      </c>
      <c r="D7983" s="19" t="s">
        <v>29</v>
      </c>
      <c r="E7983" s="21" t="str">
        <f t="shared" si="371"/>
        <v>VERIFICAR</v>
      </c>
      <c r="F7983" s="22"/>
      <c r="G7983" s="21" t="str">
        <f t="shared" si="372"/>
        <v>VERIFICAR</v>
      </c>
      <c r="H7983" s="22"/>
      <c r="I7983" s="23" t="str">
        <f t="shared" si="373"/>
        <v xml:space="preserve">COM VALOR</v>
      </c>
      <c r="J7983" s="19"/>
      <c r="L7983" s="21">
        <v>0</v>
      </c>
      <c r="M7983" s="22"/>
      <c r="N7983" s="21">
        <v>0</v>
      </c>
      <c r="O7983" s="22"/>
    </row>
    <row r="7984" ht="25.5">
      <c r="A7984" t="s">
        <v>8053</v>
      </c>
      <c r="B7984" s="19">
        <v>104433</v>
      </c>
      <c r="C7984" s="20" t="s">
        <v>8076</v>
      </c>
      <c r="D7984" s="19" t="s">
        <v>29</v>
      </c>
      <c r="E7984" s="21">
        <f t="shared" si="371"/>
        <v>104.81</v>
      </c>
      <c r="F7984" s="22"/>
      <c r="G7984" s="21">
        <f t="shared" si="372"/>
        <v>104.16</v>
      </c>
      <c r="H7984" s="22"/>
      <c r="I7984" s="23" t="str">
        <f t="shared" si="373"/>
        <v xml:space="preserve">COM VALOR</v>
      </c>
      <c r="J7984" s="19"/>
      <c r="L7984" s="21">
        <v>104.81</v>
      </c>
      <c r="M7984" s="22">
        <v>0</v>
      </c>
      <c r="N7984" s="21">
        <v>104.16</v>
      </c>
      <c r="O7984" s="22">
        <v>0</v>
      </c>
    </row>
    <row r="7985" ht="25.5">
      <c r="A7985" t="s">
        <v>8053</v>
      </c>
      <c r="B7985" s="19">
        <v>93680</v>
      </c>
      <c r="C7985" s="20" t="s">
        <v>8077</v>
      </c>
      <c r="D7985" s="19" t="s">
        <v>29</v>
      </c>
      <c r="E7985" s="21">
        <f t="shared" si="371"/>
        <v>102.45</v>
      </c>
      <c r="F7985" s="22"/>
      <c r="G7985" s="21">
        <f t="shared" si="372"/>
        <v>101.91</v>
      </c>
      <c r="H7985" s="22"/>
      <c r="I7985" s="23" t="str">
        <f t="shared" si="373"/>
        <v xml:space="preserve">COM VALOR</v>
      </c>
      <c r="J7985" s="19"/>
      <c r="L7985" s="21">
        <v>102.45</v>
      </c>
      <c r="M7985" s="22">
        <v>0</v>
      </c>
      <c r="N7985" s="21">
        <v>101.91</v>
      </c>
      <c r="O7985" s="22">
        <v>0</v>
      </c>
    </row>
    <row r="7986" ht="25.5">
      <c r="A7986" t="s">
        <v>8053</v>
      </c>
      <c r="B7986" s="19">
        <v>93681</v>
      </c>
      <c r="C7986" s="20" t="s">
        <v>8078</v>
      </c>
      <c r="D7986" s="19" t="s">
        <v>29</v>
      </c>
      <c r="E7986" s="21">
        <f t="shared" si="371"/>
        <v>122.47</v>
      </c>
      <c r="F7986" s="22"/>
      <c r="G7986" s="21">
        <f t="shared" si="372"/>
        <v>121.76000000000001</v>
      </c>
      <c r="H7986" s="22"/>
      <c r="I7986" s="23" t="str">
        <f t="shared" si="373"/>
        <v xml:space="preserve">COM VALOR</v>
      </c>
      <c r="J7986" s="19"/>
      <c r="L7986" s="21">
        <v>122.47</v>
      </c>
      <c r="M7986" s="22">
        <v>0</v>
      </c>
      <c r="N7986" s="21">
        <v>121.76000000000001</v>
      </c>
      <c r="O7986" s="22">
        <v>0</v>
      </c>
    </row>
    <row r="7987" ht="38.25">
      <c r="A7987" t="s">
        <v>8053</v>
      </c>
      <c r="B7987" s="19">
        <v>92397</v>
      </c>
      <c r="C7987" s="20" t="s">
        <v>8079</v>
      </c>
      <c r="D7987" s="19" t="s">
        <v>29</v>
      </c>
      <c r="E7987" s="21">
        <f t="shared" si="371"/>
        <v>84.299999999999997</v>
      </c>
      <c r="F7987" s="22">
        <v>0</v>
      </c>
      <c r="G7987" s="21">
        <f t="shared" si="372"/>
        <v>83.760000000000005</v>
      </c>
      <c r="H7987" s="22">
        <v>0</v>
      </c>
      <c r="I7987" s="23" t="str">
        <f t="shared" si="373"/>
        <v xml:space="preserve">COM VALOR</v>
      </c>
      <c r="J7987" s="19"/>
      <c r="L7987" s="21">
        <v>84.299999999999997</v>
      </c>
      <c r="M7987" s="22">
        <v>0</v>
      </c>
      <c r="N7987" s="21">
        <v>83.760000000000005</v>
      </c>
      <c r="O7987" s="22">
        <v>0</v>
      </c>
    </row>
    <row r="7988" ht="38.25">
      <c r="A7988" t="s">
        <v>8053</v>
      </c>
      <c r="B7988" s="19">
        <v>92398</v>
      </c>
      <c r="C7988" s="20" t="s">
        <v>8080</v>
      </c>
      <c r="D7988" s="19" t="s">
        <v>29</v>
      </c>
      <c r="E7988" s="21">
        <f t="shared" si="371"/>
        <v>97.060000000000002</v>
      </c>
      <c r="F7988" s="22">
        <v>0</v>
      </c>
      <c r="G7988" s="21">
        <f t="shared" si="372"/>
        <v>96.349999999999994</v>
      </c>
      <c r="H7988" s="22">
        <v>0</v>
      </c>
      <c r="I7988" s="23" t="str">
        <f t="shared" si="373"/>
        <v xml:space="preserve">COM VALOR</v>
      </c>
      <c r="J7988" s="19"/>
      <c r="L7988" s="21">
        <v>97.060000000000002</v>
      </c>
      <c r="M7988" s="22">
        <v>0</v>
      </c>
      <c r="N7988" s="21">
        <v>96.349999999999994</v>
      </c>
      <c r="O7988" s="22">
        <v>0</v>
      </c>
    </row>
    <row r="7989" ht="25.5">
      <c r="A7989" t="s">
        <v>8053</v>
      </c>
      <c r="B7989" s="19">
        <v>92400</v>
      </c>
      <c r="C7989" s="20" t="s">
        <v>8081</v>
      </c>
      <c r="D7989" s="19" t="s">
        <v>29</v>
      </c>
      <c r="E7989" s="21">
        <f t="shared" si="371"/>
        <v>113.45</v>
      </c>
      <c r="F7989" s="22">
        <v>2.e-002</v>
      </c>
      <c r="G7989" s="21">
        <f t="shared" si="372"/>
        <v>112.59</v>
      </c>
      <c r="H7989" s="22">
        <v>2.e-002</v>
      </c>
      <c r="I7989" s="23" t="str">
        <f t="shared" si="373"/>
        <v xml:space="preserve">COM VALOR</v>
      </c>
      <c r="J7989" s="19"/>
      <c r="L7989" s="21">
        <v>113.45</v>
      </c>
      <c r="M7989" s="22">
        <v>0</v>
      </c>
      <c r="N7989" s="21">
        <v>112.59</v>
      </c>
      <c r="O7989" s="22">
        <v>0</v>
      </c>
    </row>
    <row r="7990" ht="25.5">
      <c r="A7990" t="s">
        <v>8053</v>
      </c>
      <c r="B7990" s="19">
        <v>92395</v>
      </c>
      <c r="C7990" s="20" t="s">
        <v>8082</v>
      </c>
      <c r="D7990" s="19" t="s">
        <v>29</v>
      </c>
      <c r="E7990" s="21">
        <f t="shared" si="371"/>
        <v>141.19999999999999</v>
      </c>
      <c r="F7990" s="22"/>
      <c r="G7990" s="21">
        <f t="shared" si="372"/>
        <v>140.58000000000001</v>
      </c>
      <c r="H7990" s="22"/>
      <c r="I7990" s="23" t="str">
        <f t="shared" si="373"/>
        <v xml:space="preserve">COM VALOR</v>
      </c>
      <c r="J7990" s="19"/>
      <c r="L7990" s="21">
        <v>141.19999999999999</v>
      </c>
      <c r="M7990" s="22">
        <v>0</v>
      </c>
      <c r="N7990" s="21">
        <v>140.58000000000001</v>
      </c>
      <c r="O7990" s="22">
        <v>0</v>
      </c>
    </row>
    <row r="7991" ht="25.5">
      <c r="A7991" t="s">
        <v>8053</v>
      </c>
      <c r="B7991" s="19">
        <v>92393</v>
      </c>
      <c r="C7991" s="20" t="s">
        <v>8083</v>
      </c>
      <c r="D7991" s="19" t="s">
        <v>29</v>
      </c>
      <c r="E7991" s="21">
        <f t="shared" si="371"/>
        <v>89.780000000000001</v>
      </c>
      <c r="F7991" s="22">
        <v>0.93000000000000005</v>
      </c>
      <c r="G7991" s="21">
        <f t="shared" si="372"/>
        <v>89.459999999999994</v>
      </c>
      <c r="H7991" s="22">
        <v>0.93000000000000005</v>
      </c>
      <c r="I7991" s="23" t="str">
        <f t="shared" si="373"/>
        <v xml:space="preserve">COM VALOR</v>
      </c>
      <c r="J7991" s="19"/>
      <c r="L7991" s="21">
        <v>89.780000000000001</v>
      </c>
      <c r="M7991" s="22">
        <v>0</v>
      </c>
      <c r="N7991" s="21">
        <v>89.459999999999994</v>
      </c>
      <c r="O7991" s="22">
        <v>0</v>
      </c>
    </row>
    <row r="7992" ht="25.5">
      <c r="A7992" t="s">
        <v>8053</v>
      </c>
      <c r="B7992" s="19">
        <v>92394</v>
      </c>
      <c r="C7992" s="20" t="s">
        <v>8084</v>
      </c>
      <c r="D7992" s="19" t="s">
        <v>29</v>
      </c>
      <c r="E7992" s="21">
        <f t="shared" si="371"/>
        <v>107.73999999999999</v>
      </c>
      <c r="F7992" s="22">
        <v>5.9999999999999998e-002</v>
      </c>
      <c r="G7992" s="21">
        <f t="shared" si="372"/>
        <v>107.28</v>
      </c>
      <c r="H7992" s="22">
        <v>5.9999999999999998e-002</v>
      </c>
      <c r="I7992" s="23" t="str">
        <f t="shared" si="373"/>
        <v xml:space="preserve">COM VALOR</v>
      </c>
      <c r="J7992" s="19"/>
      <c r="L7992" s="21">
        <v>107.73999999999999</v>
      </c>
      <c r="M7992" s="22">
        <v>0</v>
      </c>
      <c r="N7992" s="21">
        <v>107.28</v>
      </c>
      <c r="O7992" s="22">
        <v>0</v>
      </c>
    </row>
    <row r="7993" ht="25.5">
      <c r="A7993" t="s">
        <v>8085</v>
      </c>
      <c r="B7993" s="19">
        <v>97115</v>
      </c>
      <c r="C7993" s="20" t="s">
        <v>8086</v>
      </c>
      <c r="D7993" s="19" t="s">
        <v>302</v>
      </c>
      <c r="E7993" s="21">
        <f t="shared" si="371"/>
        <v>65.269999999999996</v>
      </c>
      <c r="F7993" s="22">
        <v>5.0000000000000003e-002</v>
      </c>
      <c r="G7993" s="21">
        <f t="shared" si="372"/>
        <v>64.489999999999995</v>
      </c>
      <c r="H7993" s="22">
        <v>5.0000000000000003e-002</v>
      </c>
      <c r="I7993" s="23" t="str">
        <f t="shared" si="373"/>
        <v xml:space="preserve">COM VALOR</v>
      </c>
      <c r="J7993" s="19"/>
      <c r="L7993" s="21">
        <v>65.269999999999996</v>
      </c>
      <c r="M7993" s="22">
        <v>0</v>
      </c>
      <c r="N7993" s="21">
        <v>64.489999999999995</v>
      </c>
      <c r="O7993" s="22">
        <v>0</v>
      </c>
    </row>
    <row r="7994" ht="25.5">
      <c r="A7994" t="s">
        <v>8085</v>
      </c>
      <c r="B7994" s="19">
        <v>97113</v>
      </c>
      <c r="C7994" s="20" t="s">
        <v>8087</v>
      </c>
      <c r="D7994" s="19" t="s">
        <v>29</v>
      </c>
      <c r="E7994" s="21">
        <f t="shared" si="371"/>
        <v>3.5099999999999998</v>
      </c>
      <c r="F7994" s="22">
        <v>4.0000000000000001e-002</v>
      </c>
      <c r="G7994" s="21">
        <f t="shared" si="372"/>
        <v>3.5</v>
      </c>
      <c r="H7994" s="22">
        <v>4.0000000000000001e-002</v>
      </c>
      <c r="I7994" s="23" t="str">
        <f t="shared" si="373"/>
        <v xml:space="preserve">COM VALOR</v>
      </c>
      <c r="J7994" s="19"/>
      <c r="L7994" s="21">
        <v>3.5099999999999998</v>
      </c>
      <c r="M7994" s="22">
        <v>0</v>
      </c>
      <c r="N7994" s="21">
        <v>3.5</v>
      </c>
      <c r="O7994" s="22">
        <v>0</v>
      </c>
    </row>
    <row r="7995" ht="25.5">
      <c r="A7995" t="s">
        <v>8085</v>
      </c>
      <c r="B7995" s="19">
        <v>97120</v>
      </c>
      <c r="C7995" s="20" t="s">
        <v>8088</v>
      </c>
      <c r="D7995" s="19" t="s">
        <v>302</v>
      </c>
      <c r="E7995" s="21">
        <f t="shared" si="371"/>
        <v>9.4000000000000004</v>
      </c>
      <c r="F7995" s="22">
        <v>7.0000000000000007e-002</v>
      </c>
      <c r="G7995" s="21">
        <f t="shared" si="372"/>
        <v>9.3200000000000003</v>
      </c>
      <c r="H7995" s="22">
        <v>7.0000000000000007e-002</v>
      </c>
      <c r="I7995" s="23" t="str">
        <f t="shared" si="373"/>
        <v xml:space="preserve">COM VALOR</v>
      </c>
      <c r="J7995" s="19"/>
      <c r="L7995" s="21">
        <v>9.4000000000000004</v>
      </c>
      <c r="M7995" s="22">
        <v>0</v>
      </c>
      <c r="N7995" s="21">
        <v>9.3200000000000003</v>
      </c>
      <c r="O7995" s="22">
        <v>0</v>
      </c>
    </row>
    <row r="7996" ht="38.25">
      <c r="A7996" t="s">
        <v>8085</v>
      </c>
      <c r="B7996" s="19">
        <v>97116</v>
      </c>
      <c r="C7996" s="20" t="s">
        <v>8089</v>
      </c>
      <c r="D7996" s="19" t="s">
        <v>302</v>
      </c>
      <c r="E7996" s="21">
        <f t="shared" si="371"/>
        <v>22.34</v>
      </c>
      <c r="F7996" s="22">
        <v>5.0000000000000003e-002</v>
      </c>
      <c r="G7996" s="21">
        <f t="shared" si="372"/>
        <v>21.780000000000001</v>
      </c>
      <c r="H7996" s="22">
        <v>5.0000000000000003e-002</v>
      </c>
      <c r="I7996" s="23" t="str">
        <f t="shared" si="373"/>
        <v xml:space="preserve">COM VALOR</v>
      </c>
      <c r="J7996" s="19"/>
      <c r="L7996" s="21">
        <v>22.34</v>
      </c>
      <c r="M7996" s="22">
        <v>0</v>
      </c>
      <c r="N7996" s="21">
        <v>21.780000000000001</v>
      </c>
      <c r="O7996" s="22">
        <v>0</v>
      </c>
    </row>
    <row r="7997" ht="38.25">
      <c r="A7997" t="s">
        <v>8085</v>
      </c>
      <c r="B7997" s="19">
        <v>97117</v>
      </c>
      <c r="C7997" s="20" t="s">
        <v>8090</v>
      </c>
      <c r="D7997" s="19" t="s">
        <v>302</v>
      </c>
      <c r="E7997" s="21">
        <f t="shared" si="371"/>
        <v>19.43</v>
      </c>
      <c r="F7997" s="22">
        <v>4.0000000000000001e-002</v>
      </c>
      <c r="G7997" s="21">
        <f t="shared" si="372"/>
        <v>19.07</v>
      </c>
      <c r="H7997" s="22">
        <v>4.0000000000000001e-002</v>
      </c>
      <c r="I7997" s="23" t="str">
        <f t="shared" si="373"/>
        <v xml:space="preserve">COM VALOR</v>
      </c>
      <c r="J7997" s="19"/>
      <c r="L7997" s="21">
        <v>19.43</v>
      </c>
      <c r="M7997" s="22">
        <v>0</v>
      </c>
      <c r="N7997" s="21">
        <v>19.07</v>
      </c>
      <c r="O7997" s="22">
        <v>0</v>
      </c>
    </row>
    <row r="7998" ht="38.25">
      <c r="A7998" t="s">
        <v>8085</v>
      </c>
      <c r="B7998" s="19">
        <v>97118</v>
      </c>
      <c r="C7998" s="20" t="s">
        <v>8091</v>
      </c>
      <c r="D7998" s="19" t="s">
        <v>302</v>
      </c>
      <c r="E7998" s="21">
        <f t="shared" si="371"/>
        <v>16.059999999999999</v>
      </c>
      <c r="F7998" s="22">
        <v>0</v>
      </c>
      <c r="G7998" s="21">
        <f t="shared" si="372"/>
        <v>15.84</v>
      </c>
      <c r="H7998" s="22">
        <v>0</v>
      </c>
      <c r="I7998" s="23" t="str">
        <f t="shared" si="373"/>
        <v xml:space="preserve">COM VALOR</v>
      </c>
      <c r="J7998" s="19"/>
      <c r="L7998" s="21">
        <v>16.059999999999999</v>
      </c>
      <c r="M7998" s="22">
        <v>0</v>
      </c>
      <c r="N7998" s="21">
        <v>15.84</v>
      </c>
      <c r="O7998" s="22">
        <v>0</v>
      </c>
    </row>
    <row r="7999" ht="38.25">
      <c r="A7999" t="s">
        <v>8085</v>
      </c>
      <c r="B7999" s="19">
        <v>97119</v>
      </c>
      <c r="C7999" s="20" t="s">
        <v>8092</v>
      </c>
      <c r="D7999" s="19" t="s">
        <v>302</v>
      </c>
      <c r="E7999" s="21">
        <f t="shared" si="371"/>
        <v>14.43</v>
      </c>
      <c r="F7999" s="22">
        <v>0</v>
      </c>
      <c r="G7999" s="21">
        <f t="shared" si="372"/>
        <v>14.289999999999999</v>
      </c>
      <c r="H7999" s="22">
        <v>0</v>
      </c>
      <c r="I7999" s="23" t="str">
        <f t="shared" si="373"/>
        <v xml:space="preserve">COM VALOR</v>
      </c>
      <c r="J7999" s="19"/>
      <c r="L7999" s="21">
        <v>14.43</v>
      </c>
      <c r="M7999" s="22">
        <v>0</v>
      </c>
      <c r="N7999" s="21">
        <v>14.289999999999999</v>
      </c>
      <c r="O7999" s="22">
        <v>0</v>
      </c>
    </row>
    <row r="8000" ht="25.5">
      <c r="A8000" t="s">
        <v>8085</v>
      </c>
      <c r="B8000" s="19">
        <v>97114</v>
      </c>
      <c r="C8000" s="20" t="s">
        <v>8093</v>
      </c>
      <c r="D8000" s="19" t="s">
        <v>38</v>
      </c>
      <c r="E8000" s="21">
        <f t="shared" si="371"/>
        <v>0.39000000000000001</v>
      </c>
      <c r="F8000" s="22">
        <v>0</v>
      </c>
      <c r="G8000" s="21">
        <f t="shared" si="372"/>
        <v>0.37</v>
      </c>
      <c r="H8000" s="22">
        <v>0</v>
      </c>
      <c r="I8000" s="23" t="str">
        <f t="shared" si="373"/>
        <v xml:space="preserve">COM VALOR</v>
      </c>
      <c r="J8000" s="19"/>
      <c r="L8000" s="21">
        <v>0.39000000000000001</v>
      </c>
      <c r="M8000" s="22">
        <v>0</v>
      </c>
      <c r="N8000" s="21">
        <v>0.37</v>
      </c>
      <c r="O8000" s="22">
        <v>0</v>
      </c>
    </row>
    <row r="8001" ht="25.5">
      <c r="A8001" t="s">
        <v>8085</v>
      </c>
      <c r="B8001" s="19">
        <v>97111</v>
      </c>
      <c r="C8001" s="20" t="s">
        <v>8094</v>
      </c>
      <c r="D8001" s="19" t="s">
        <v>29</v>
      </c>
      <c r="E8001" s="21">
        <f t="shared" si="371"/>
        <v>219.13</v>
      </c>
      <c r="F8001" s="22">
        <v>0</v>
      </c>
      <c r="G8001" s="21">
        <f t="shared" si="372"/>
        <v>218.06</v>
      </c>
      <c r="H8001" s="22">
        <v>0</v>
      </c>
      <c r="I8001" s="23" t="str">
        <f t="shared" si="373"/>
        <v xml:space="preserve">COM VALOR</v>
      </c>
      <c r="J8001" s="19"/>
      <c r="L8001" s="21">
        <v>219.13</v>
      </c>
      <c r="M8001" s="22">
        <v>0</v>
      </c>
      <c r="N8001" s="21">
        <v>218.06</v>
      </c>
      <c r="O8001" s="22">
        <v>0</v>
      </c>
    </row>
    <row r="8002" ht="25.5">
      <c r="A8002" t="s">
        <v>8085</v>
      </c>
      <c r="B8002" s="19">
        <v>97112</v>
      </c>
      <c r="C8002" s="20" t="s">
        <v>8095</v>
      </c>
      <c r="D8002" s="19" t="s">
        <v>29</v>
      </c>
      <c r="E8002" s="21">
        <f t="shared" si="371"/>
        <v>228.84</v>
      </c>
      <c r="F8002" s="22">
        <v>0</v>
      </c>
      <c r="G8002" s="21">
        <f t="shared" si="372"/>
        <v>227.68000000000001</v>
      </c>
      <c r="H8002" s="22">
        <v>0</v>
      </c>
      <c r="I8002" s="23" t="str">
        <f t="shared" si="373"/>
        <v xml:space="preserve">COM VALOR</v>
      </c>
      <c r="J8002" s="19"/>
      <c r="L8002" s="21">
        <v>228.84</v>
      </c>
      <c r="M8002" s="22">
        <v>0</v>
      </c>
      <c r="N8002" s="21">
        <v>227.68000000000001</v>
      </c>
      <c r="O8002" s="22">
        <v>0</v>
      </c>
    </row>
    <row r="8003" ht="25.5">
      <c r="A8003" t="s">
        <v>8085</v>
      </c>
      <c r="B8003" s="19">
        <v>103904</v>
      </c>
      <c r="C8003" s="20" t="s">
        <v>8096</v>
      </c>
      <c r="D8003" s="19" t="s">
        <v>29</v>
      </c>
      <c r="E8003" s="21">
        <f t="shared" si="371"/>
        <v>141.24000000000001</v>
      </c>
      <c r="F8003" s="22">
        <v>0</v>
      </c>
      <c r="G8003" s="21">
        <f t="shared" si="372"/>
        <v>140.28</v>
      </c>
      <c r="H8003" s="22">
        <v>0</v>
      </c>
      <c r="I8003" s="23" t="str">
        <f t="shared" si="373"/>
        <v xml:space="preserve">COM VALOR</v>
      </c>
      <c r="J8003" s="19"/>
      <c r="L8003" s="21">
        <v>141.24000000000001</v>
      </c>
      <c r="M8003" s="22">
        <v>0</v>
      </c>
      <c r="N8003" s="21">
        <v>140.28</v>
      </c>
      <c r="O8003" s="22">
        <v>0</v>
      </c>
    </row>
    <row r="8004" ht="25.5">
      <c r="A8004" t="s">
        <v>8085</v>
      </c>
      <c r="B8004" s="19">
        <v>103905</v>
      </c>
      <c r="C8004" s="20" t="s">
        <v>8097</v>
      </c>
      <c r="D8004" s="19" t="s">
        <v>29</v>
      </c>
      <c r="E8004" s="21">
        <f t="shared" si="371"/>
        <v>149.22</v>
      </c>
      <c r="F8004" s="22"/>
      <c r="G8004" s="21">
        <f t="shared" si="372"/>
        <v>148.22999999999999</v>
      </c>
      <c r="H8004" s="22"/>
      <c r="I8004" s="23" t="str">
        <f t="shared" si="373"/>
        <v xml:space="preserve">COM VALOR</v>
      </c>
      <c r="J8004" s="19"/>
      <c r="L8004" s="21">
        <v>149.22</v>
      </c>
      <c r="M8004" s="22">
        <v>0</v>
      </c>
      <c r="N8004" s="21">
        <v>148.22999999999999</v>
      </c>
      <c r="O8004" s="22">
        <v>0</v>
      </c>
    </row>
    <row r="8005" ht="25.5">
      <c r="A8005" t="s">
        <v>8085</v>
      </c>
      <c r="B8005" s="19">
        <v>103907</v>
      </c>
      <c r="C8005" s="20" t="s">
        <v>8098</v>
      </c>
      <c r="D8005" s="19" t="s">
        <v>29</v>
      </c>
      <c r="E8005" s="21">
        <f t="shared" si="371"/>
        <v>156.63</v>
      </c>
      <c r="F8005" s="22"/>
      <c r="G8005" s="21">
        <f t="shared" si="372"/>
        <v>155.61000000000001</v>
      </c>
      <c r="H8005" s="22"/>
      <c r="I8005" s="23" t="str">
        <f t="shared" si="373"/>
        <v xml:space="preserve">COM VALOR</v>
      </c>
      <c r="J8005" s="19"/>
      <c r="L8005" s="21">
        <v>156.63</v>
      </c>
      <c r="M8005" s="22">
        <v>0</v>
      </c>
      <c r="N8005" s="21">
        <v>155.61000000000001</v>
      </c>
      <c r="O8005" s="22">
        <v>0</v>
      </c>
    </row>
    <row r="8006" ht="25.5">
      <c r="A8006" t="s">
        <v>8085</v>
      </c>
      <c r="B8006" s="19">
        <v>103911</v>
      </c>
      <c r="C8006" s="20" t="s">
        <v>8099</v>
      </c>
      <c r="D8006" s="19" t="s">
        <v>29</v>
      </c>
      <c r="E8006" s="21">
        <f t="shared" si="371"/>
        <v>229.84999999999999</v>
      </c>
      <c r="F8006" s="22"/>
      <c r="G8006" s="21">
        <f t="shared" si="372"/>
        <v>228.66</v>
      </c>
      <c r="H8006" s="22"/>
      <c r="I8006" s="23" t="str">
        <f t="shared" si="373"/>
        <v xml:space="preserve">COM VALOR</v>
      </c>
      <c r="J8006" s="19"/>
      <c r="L8006" s="21">
        <v>229.84999999999999</v>
      </c>
      <c r="M8006" s="22">
        <v>0</v>
      </c>
      <c r="N8006" s="21">
        <v>228.66</v>
      </c>
      <c r="O8006" s="22">
        <v>0</v>
      </c>
    </row>
    <row r="8007" ht="25.5">
      <c r="A8007" t="s">
        <v>8085</v>
      </c>
      <c r="B8007" s="19">
        <v>97104</v>
      </c>
      <c r="C8007" s="20" t="s">
        <v>8100</v>
      </c>
      <c r="D8007" s="19" t="s">
        <v>29</v>
      </c>
      <c r="E8007" s="21">
        <f t="shared" si="371"/>
        <v>145.46000000000001</v>
      </c>
      <c r="F8007" s="22">
        <v>0</v>
      </c>
      <c r="G8007" s="21">
        <f t="shared" si="372"/>
        <v>144.5</v>
      </c>
      <c r="H8007" s="22">
        <v>0</v>
      </c>
      <c r="I8007" s="23" t="str">
        <f t="shared" si="373"/>
        <v xml:space="preserve">COM VALOR</v>
      </c>
      <c r="J8007" s="19"/>
      <c r="L8007" s="21">
        <v>145.46000000000001</v>
      </c>
      <c r="M8007" s="22">
        <v>0</v>
      </c>
      <c r="N8007" s="21">
        <v>144.5</v>
      </c>
      <c r="O8007" s="22">
        <v>0</v>
      </c>
    </row>
    <row r="8008" ht="25.5">
      <c r="A8008" t="s">
        <v>8085</v>
      </c>
      <c r="B8008" s="19">
        <v>103906</v>
      </c>
      <c r="C8008" s="20" t="s">
        <v>8101</v>
      </c>
      <c r="D8008" s="19" t="s">
        <v>29</v>
      </c>
      <c r="E8008" s="21">
        <f t="shared" si="371"/>
        <v>181.68000000000001</v>
      </c>
      <c r="F8008" s="22">
        <v>2.e-002</v>
      </c>
      <c r="G8008" s="21">
        <f t="shared" si="372"/>
        <v>180.36000000000001</v>
      </c>
      <c r="H8008" s="22">
        <v>2.e-002</v>
      </c>
      <c r="I8008" s="23" t="str">
        <f t="shared" si="373"/>
        <v xml:space="preserve">COM VALOR</v>
      </c>
      <c r="J8008" s="19"/>
      <c r="L8008" s="21">
        <v>181.68000000000001</v>
      </c>
      <c r="M8008" s="22">
        <v>0</v>
      </c>
      <c r="N8008" s="21">
        <v>180.36000000000001</v>
      </c>
      <c r="O8008" s="22">
        <v>0</v>
      </c>
    </row>
    <row r="8009" ht="25.5">
      <c r="A8009" t="s">
        <v>8085</v>
      </c>
      <c r="B8009" s="19">
        <v>97105</v>
      </c>
      <c r="C8009" s="20" t="s">
        <v>8102</v>
      </c>
      <c r="D8009" s="19" t="s">
        <v>29</v>
      </c>
      <c r="E8009" s="21">
        <f t="shared" si="371"/>
        <v>164.90000000000001</v>
      </c>
      <c r="F8009" s="22">
        <v>0</v>
      </c>
      <c r="G8009" s="21">
        <f t="shared" si="372"/>
        <v>163.87</v>
      </c>
      <c r="H8009" s="22">
        <v>0</v>
      </c>
      <c r="I8009" s="23" t="str">
        <f t="shared" si="373"/>
        <v xml:space="preserve">COM VALOR</v>
      </c>
      <c r="J8009" s="19"/>
      <c r="L8009" s="21">
        <v>164.90000000000001</v>
      </c>
      <c r="M8009" s="22">
        <v>0</v>
      </c>
      <c r="N8009" s="21">
        <v>163.87</v>
      </c>
      <c r="O8009" s="22">
        <v>0</v>
      </c>
    </row>
    <row r="8010" ht="25.5">
      <c r="A8010" t="s">
        <v>8085</v>
      </c>
      <c r="B8010" s="19">
        <v>97106</v>
      </c>
      <c r="C8010" s="20" t="s">
        <v>8103</v>
      </c>
      <c r="D8010" s="19" t="s">
        <v>29</v>
      </c>
      <c r="E8010" s="21">
        <f t="shared" si="371"/>
        <v>183.43000000000001</v>
      </c>
      <c r="F8010" s="22">
        <v>0</v>
      </c>
      <c r="G8010" s="21">
        <f t="shared" si="372"/>
        <v>182.34</v>
      </c>
      <c r="H8010" s="22">
        <v>0</v>
      </c>
      <c r="I8010" s="23" t="str">
        <f t="shared" si="373"/>
        <v xml:space="preserve">COM VALOR</v>
      </c>
      <c r="J8010" s="19"/>
      <c r="L8010" s="21">
        <v>183.43000000000001</v>
      </c>
      <c r="M8010" s="22">
        <v>0</v>
      </c>
      <c r="N8010" s="21">
        <v>182.34</v>
      </c>
      <c r="O8010" s="22">
        <v>0</v>
      </c>
    </row>
    <row r="8011" ht="25.5">
      <c r="A8011" t="s">
        <v>8085</v>
      </c>
      <c r="B8011" s="19">
        <v>97107</v>
      </c>
      <c r="C8011" s="20" t="s">
        <v>8104</v>
      </c>
      <c r="D8011" s="19" t="s">
        <v>29</v>
      </c>
      <c r="E8011" s="21">
        <f t="shared" ref="E8011:E8074" si="374">IF(L8011=0,"VERIFICAR",L8011)</f>
        <v>208.65000000000001</v>
      </c>
      <c r="F8011" s="22">
        <v>0</v>
      </c>
      <c r="G8011" s="21">
        <f t="shared" ref="G8011:G8074" si="375">IF(N8011=0,"VERIFICAR",N8011)</f>
        <v>207.5</v>
      </c>
      <c r="H8011" s="22">
        <v>0</v>
      </c>
      <c r="I8011" s="23" t="str">
        <f t="shared" ref="I8011:I8074" si="376">IF(OR(E8011=0,G8011=0),"SEM VALOR","COM VALOR")</f>
        <v xml:space="preserve">COM VALOR</v>
      </c>
      <c r="J8011" s="19"/>
      <c r="L8011" s="21">
        <v>208.65000000000001</v>
      </c>
      <c r="M8011" s="22">
        <v>0</v>
      </c>
      <c r="N8011" s="21">
        <v>207.5</v>
      </c>
      <c r="O8011" s="22">
        <v>0</v>
      </c>
    </row>
    <row r="8012" ht="25.5">
      <c r="A8012" t="s">
        <v>8085</v>
      </c>
      <c r="B8012" s="19">
        <v>97108</v>
      </c>
      <c r="C8012" s="20" t="s">
        <v>8105</v>
      </c>
      <c r="D8012" s="19" t="s">
        <v>29</v>
      </c>
      <c r="E8012" s="21">
        <f t="shared" si="374"/>
        <v>236.88</v>
      </c>
      <c r="F8012" s="22">
        <v>0</v>
      </c>
      <c r="G8012" s="21">
        <f t="shared" si="375"/>
        <v>235.69</v>
      </c>
      <c r="H8012" s="22">
        <v>0</v>
      </c>
      <c r="I8012" s="23" t="str">
        <f t="shared" si="376"/>
        <v xml:space="preserve">COM VALOR</v>
      </c>
      <c r="J8012" s="19"/>
      <c r="L8012" s="21">
        <v>236.88</v>
      </c>
      <c r="M8012" s="22">
        <v>0</v>
      </c>
      <c r="N8012" s="21">
        <v>235.69</v>
      </c>
      <c r="O8012" s="22">
        <v>0</v>
      </c>
    </row>
    <row r="8013" ht="25.5">
      <c r="A8013" t="s">
        <v>8085</v>
      </c>
      <c r="B8013" s="19">
        <v>97109</v>
      </c>
      <c r="C8013" s="20" t="s">
        <v>8106</v>
      </c>
      <c r="D8013" s="19" t="s">
        <v>29</v>
      </c>
      <c r="E8013" s="21">
        <f t="shared" si="374"/>
        <v>261.49000000000001</v>
      </c>
      <c r="F8013" s="22">
        <v>0</v>
      </c>
      <c r="G8013" s="21">
        <f t="shared" si="375"/>
        <v>260.17000000000002</v>
      </c>
      <c r="H8013" s="22">
        <v>0</v>
      </c>
      <c r="I8013" s="23" t="str">
        <f t="shared" si="376"/>
        <v xml:space="preserve">COM VALOR</v>
      </c>
      <c r="J8013" s="19"/>
      <c r="L8013" s="21">
        <v>261.49000000000001</v>
      </c>
      <c r="M8013" s="22">
        <v>0</v>
      </c>
      <c r="N8013" s="21">
        <v>260.17000000000002</v>
      </c>
      <c r="O8013" s="22">
        <v>0</v>
      </c>
    </row>
    <row r="8014" ht="25.5">
      <c r="A8014" t="s">
        <v>8085</v>
      </c>
      <c r="B8014" s="19">
        <v>103913</v>
      </c>
      <c r="C8014" s="20" t="s">
        <v>8107</v>
      </c>
      <c r="D8014" s="19" t="s">
        <v>29</v>
      </c>
      <c r="E8014" s="21">
        <f t="shared" si="374"/>
        <v>129.22</v>
      </c>
      <c r="F8014" s="22">
        <v>0</v>
      </c>
      <c r="G8014" s="21">
        <f t="shared" si="375"/>
        <v>128.49000000000001</v>
      </c>
      <c r="H8014" s="22">
        <v>0</v>
      </c>
      <c r="I8014" s="23" t="str">
        <f t="shared" si="376"/>
        <v xml:space="preserve">COM VALOR</v>
      </c>
      <c r="J8014" s="19"/>
      <c r="L8014" s="21">
        <v>129.22</v>
      </c>
      <c r="M8014" s="22">
        <v>0</v>
      </c>
      <c r="N8014" s="21">
        <v>128.49000000000001</v>
      </c>
      <c r="O8014" s="22">
        <v>0</v>
      </c>
    </row>
    <row r="8015" ht="25.5">
      <c r="A8015" t="s">
        <v>8085</v>
      </c>
      <c r="B8015" s="19">
        <v>103914</v>
      </c>
      <c r="C8015" s="20" t="s">
        <v>8108</v>
      </c>
      <c r="D8015" s="19" t="s">
        <v>29</v>
      </c>
      <c r="E8015" s="21">
        <f t="shared" si="374"/>
        <v>150.47999999999999</v>
      </c>
      <c r="F8015" s="22">
        <v>0</v>
      </c>
      <c r="G8015" s="21">
        <f t="shared" si="375"/>
        <v>149.63999999999999</v>
      </c>
      <c r="H8015" s="22">
        <v>0</v>
      </c>
      <c r="I8015" s="23" t="str">
        <f t="shared" si="376"/>
        <v xml:space="preserve">COM VALOR</v>
      </c>
      <c r="J8015" s="19"/>
      <c r="L8015" s="21">
        <v>150.47999999999999</v>
      </c>
      <c r="M8015" s="22">
        <v>0</v>
      </c>
      <c r="N8015" s="21">
        <v>149.63999999999999</v>
      </c>
      <c r="O8015" s="22">
        <v>0</v>
      </c>
    </row>
    <row r="8016" ht="25.5">
      <c r="A8016" t="s">
        <v>8085</v>
      </c>
      <c r="B8016" s="19">
        <v>103915</v>
      </c>
      <c r="C8016" s="20" t="s">
        <v>8109</v>
      </c>
      <c r="D8016" s="19" t="s">
        <v>29</v>
      </c>
      <c r="E8016" s="21">
        <f t="shared" si="374"/>
        <v>163.52000000000001</v>
      </c>
      <c r="F8016" s="22">
        <v>0.48999999999999999</v>
      </c>
      <c r="G8016" s="21">
        <f t="shared" si="375"/>
        <v>162.68000000000001</v>
      </c>
      <c r="H8016" s="22">
        <v>0.5</v>
      </c>
      <c r="I8016" s="23" t="str">
        <f t="shared" si="376"/>
        <v xml:space="preserve">COM VALOR</v>
      </c>
      <c r="J8016" s="19"/>
      <c r="L8016" s="21">
        <v>163.52000000000001</v>
      </c>
      <c r="M8016" s="22">
        <v>0</v>
      </c>
      <c r="N8016" s="21">
        <v>162.68000000000001</v>
      </c>
      <c r="O8016" s="22">
        <v>0</v>
      </c>
    </row>
    <row r="8017" ht="25.5">
      <c r="A8017" t="s">
        <v>8085</v>
      </c>
      <c r="B8017" s="19">
        <v>103916</v>
      </c>
      <c r="C8017" s="20" t="s">
        <v>8110</v>
      </c>
      <c r="D8017" s="19" t="s">
        <v>29</v>
      </c>
      <c r="E8017" s="21">
        <f t="shared" si="374"/>
        <v>188.43000000000001</v>
      </c>
      <c r="F8017" s="22">
        <v>0.80000000000000004</v>
      </c>
      <c r="G8017" s="21">
        <f t="shared" si="375"/>
        <v>187.50999999999999</v>
      </c>
      <c r="H8017" s="22">
        <v>0.81000000000000005</v>
      </c>
      <c r="I8017" s="23" t="str">
        <f t="shared" si="376"/>
        <v xml:space="preserve">COM VALOR</v>
      </c>
      <c r="J8017" s="19"/>
      <c r="L8017" s="21">
        <v>188.43000000000001</v>
      </c>
      <c r="M8017" s="22">
        <v>0</v>
      </c>
      <c r="N8017" s="21">
        <v>187.50999999999999</v>
      </c>
      <c r="O8017" s="22">
        <v>0</v>
      </c>
    </row>
    <row r="8018" ht="25.5">
      <c r="A8018" t="s">
        <v>8085</v>
      </c>
      <c r="B8018" s="19">
        <v>103917</v>
      </c>
      <c r="C8018" s="20" t="s">
        <v>8111</v>
      </c>
      <c r="D8018" s="19" t="s">
        <v>29</v>
      </c>
      <c r="E8018" s="21">
        <f t="shared" si="374"/>
        <v>215.31999999999999</v>
      </c>
      <c r="F8018" s="22">
        <v>0.70999999999999996</v>
      </c>
      <c r="G8018" s="21">
        <f t="shared" si="375"/>
        <v>214.33000000000001</v>
      </c>
      <c r="H8018" s="22">
        <v>0.71999999999999997</v>
      </c>
      <c r="I8018" s="23" t="str">
        <f t="shared" si="376"/>
        <v xml:space="preserve">COM VALOR</v>
      </c>
      <c r="J8018" s="19"/>
      <c r="L8018" s="21">
        <v>215.31999999999999</v>
      </c>
      <c r="M8018" s="22">
        <v>0</v>
      </c>
      <c r="N8018" s="21">
        <v>214.33000000000001</v>
      </c>
      <c r="O8018" s="22">
        <v>0</v>
      </c>
    </row>
    <row r="8019" ht="25.5">
      <c r="A8019" t="s">
        <v>8085</v>
      </c>
      <c r="B8019" s="19">
        <v>103918</v>
      </c>
      <c r="C8019" s="20" t="s">
        <v>8112</v>
      </c>
      <c r="D8019" s="19" t="s">
        <v>29</v>
      </c>
      <c r="E8019" s="21">
        <f t="shared" si="374"/>
        <v>228.72999999999999</v>
      </c>
      <c r="F8019" s="22">
        <v>0.88</v>
      </c>
      <c r="G8019" s="21">
        <f t="shared" si="375"/>
        <v>227.69</v>
      </c>
      <c r="H8019" s="22">
        <v>0.88</v>
      </c>
      <c r="I8019" s="23" t="str">
        <f t="shared" si="376"/>
        <v xml:space="preserve">COM VALOR</v>
      </c>
      <c r="J8019" s="19"/>
      <c r="L8019" s="21">
        <v>228.72999999999999</v>
      </c>
      <c r="M8019" s="22">
        <v>0</v>
      </c>
      <c r="N8019" s="21">
        <v>227.69</v>
      </c>
      <c r="O8019" s="22">
        <v>0</v>
      </c>
    </row>
    <row r="8020" ht="25.5">
      <c r="A8020" t="s">
        <v>8085</v>
      </c>
      <c r="B8020" s="19">
        <v>103919</v>
      </c>
      <c r="C8020" s="20" t="s">
        <v>8113</v>
      </c>
      <c r="D8020" s="19" t="s">
        <v>29</v>
      </c>
      <c r="E8020" s="21" t="str">
        <f t="shared" si="374"/>
        <v>VERIFICAR</v>
      </c>
      <c r="F8020" s="22">
        <v>0.90000000000000002</v>
      </c>
      <c r="G8020" s="21" t="str">
        <f t="shared" si="375"/>
        <v>VERIFICAR</v>
      </c>
      <c r="H8020" s="22">
        <v>0.90000000000000002</v>
      </c>
      <c r="I8020" s="23" t="str">
        <f t="shared" si="376"/>
        <v xml:space="preserve">COM VALOR</v>
      </c>
      <c r="J8020" s="19"/>
      <c r="L8020" s="21">
        <v>0</v>
      </c>
      <c r="M8020" s="22"/>
      <c r="N8020" s="21">
        <v>0</v>
      </c>
      <c r="O8020" s="22"/>
    </row>
    <row r="8021" ht="25.5">
      <c r="A8021" t="s">
        <v>8085</v>
      </c>
      <c r="B8021" s="19">
        <v>103920</v>
      </c>
      <c r="C8021" s="20" t="s">
        <v>8114</v>
      </c>
      <c r="D8021" s="19" t="s">
        <v>29</v>
      </c>
      <c r="E8021" s="21" t="str">
        <f t="shared" si="374"/>
        <v>VERIFICAR</v>
      </c>
      <c r="F8021" s="22"/>
      <c r="G8021" s="21" t="str">
        <f t="shared" si="375"/>
        <v>VERIFICAR</v>
      </c>
      <c r="H8021" s="22"/>
      <c r="I8021" s="23" t="str">
        <f t="shared" si="376"/>
        <v xml:space="preserve">COM VALOR</v>
      </c>
      <c r="J8021" s="19"/>
      <c r="L8021" s="21">
        <v>0</v>
      </c>
      <c r="M8021" s="22"/>
      <c r="N8021" s="21">
        <v>0</v>
      </c>
      <c r="O8021" s="22"/>
    </row>
    <row r="8022" ht="25.5">
      <c r="A8022" t="s">
        <v>8085</v>
      </c>
      <c r="B8022" s="19">
        <v>103921</v>
      </c>
      <c r="C8022" s="20" t="s">
        <v>8115</v>
      </c>
      <c r="D8022" s="19" t="s">
        <v>29</v>
      </c>
      <c r="E8022" s="21" t="str">
        <f t="shared" si="374"/>
        <v>VERIFICAR</v>
      </c>
      <c r="F8022" s="22">
        <v>0</v>
      </c>
      <c r="G8022" s="21" t="str">
        <f t="shared" si="375"/>
        <v>VERIFICAR</v>
      </c>
      <c r="H8022" s="22">
        <v>0</v>
      </c>
      <c r="I8022" s="23" t="str">
        <f t="shared" si="376"/>
        <v xml:space="preserve">COM VALOR</v>
      </c>
      <c r="J8022" s="19"/>
      <c r="L8022" s="21">
        <v>0</v>
      </c>
      <c r="M8022" s="22"/>
      <c r="N8022" s="21">
        <v>0</v>
      </c>
      <c r="O8022" s="22"/>
    </row>
    <row r="8023" ht="25.5">
      <c r="A8023" t="s">
        <v>8085</v>
      </c>
      <c r="B8023" s="19">
        <v>103922</v>
      </c>
      <c r="C8023" s="20" t="s">
        <v>8116</v>
      </c>
      <c r="D8023" s="19" t="s">
        <v>29</v>
      </c>
      <c r="E8023" s="21" t="str">
        <f t="shared" si="374"/>
        <v>VERIFICAR</v>
      </c>
      <c r="F8023" s="22"/>
      <c r="G8023" s="21" t="str">
        <f t="shared" si="375"/>
        <v>VERIFICAR</v>
      </c>
      <c r="H8023" s="22"/>
      <c r="I8023" s="23" t="str">
        <f t="shared" si="376"/>
        <v xml:space="preserve">COM VALOR</v>
      </c>
      <c r="J8023" s="19"/>
      <c r="L8023" s="21">
        <v>0</v>
      </c>
      <c r="M8023" s="22"/>
      <c r="N8023" s="21">
        <v>0</v>
      </c>
      <c r="O8023" s="22"/>
    </row>
    <row r="8024" ht="25.5">
      <c r="A8024" t="s">
        <v>8085</v>
      </c>
      <c r="B8024" s="19">
        <v>103923</v>
      </c>
      <c r="C8024" s="20" t="s">
        <v>8117</v>
      </c>
      <c r="D8024" s="19" t="s">
        <v>29</v>
      </c>
      <c r="E8024" s="21" t="str">
        <f t="shared" si="374"/>
        <v>VERIFICAR</v>
      </c>
      <c r="F8024" s="22"/>
      <c r="G8024" s="21" t="str">
        <f t="shared" si="375"/>
        <v>VERIFICAR</v>
      </c>
      <c r="H8024" s="22"/>
      <c r="I8024" s="23" t="str">
        <f t="shared" si="376"/>
        <v xml:space="preserve">COM VALOR</v>
      </c>
      <c r="J8024" s="19"/>
      <c r="L8024" s="21">
        <v>0</v>
      </c>
      <c r="M8024" s="22"/>
      <c r="N8024" s="21">
        <v>0</v>
      </c>
      <c r="O8024" s="22"/>
    </row>
    <row r="8025" ht="25.5">
      <c r="A8025" t="s">
        <v>8085</v>
      </c>
      <c r="B8025" s="19">
        <v>103908</v>
      </c>
      <c r="C8025" s="20" t="s">
        <v>8118</v>
      </c>
      <c r="D8025" s="19" t="s">
        <v>29</v>
      </c>
      <c r="E8025" s="21">
        <f t="shared" si="374"/>
        <v>177.81</v>
      </c>
      <c r="F8025" s="22">
        <v>0</v>
      </c>
      <c r="G8025" s="21">
        <f t="shared" si="375"/>
        <v>176.72</v>
      </c>
      <c r="H8025" s="22">
        <v>0</v>
      </c>
      <c r="I8025" s="23" t="str">
        <f t="shared" si="376"/>
        <v xml:space="preserve">COM VALOR</v>
      </c>
      <c r="J8025" s="19"/>
      <c r="L8025" s="21">
        <v>177.81</v>
      </c>
      <c r="M8025" s="22">
        <v>0</v>
      </c>
      <c r="N8025" s="21">
        <v>176.72</v>
      </c>
      <c r="O8025" s="22">
        <v>0</v>
      </c>
    </row>
    <row r="8026" ht="25.5">
      <c r="A8026" t="s">
        <v>8085</v>
      </c>
      <c r="B8026" s="19">
        <v>103909</v>
      </c>
      <c r="C8026" s="20" t="s">
        <v>8119</v>
      </c>
      <c r="D8026" s="19" t="s">
        <v>29</v>
      </c>
      <c r="E8026" s="21">
        <f t="shared" si="374"/>
        <v>202.31999999999999</v>
      </c>
      <c r="F8026" s="22">
        <v>1.e-002</v>
      </c>
      <c r="G8026" s="21">
        <f t="shared" si="375"/>
        <v>201.16999999999999</v>
      </c>
      <c r="H8026" s="22">
        <v>2.e-002</v>
      </c>
      <c r="I8026" s="23" t="str">
        <f t="shared" si="376"/>
        <v xml:space="preserve">COM VALOR</v>
      </c>
      <c r="J8026" s="19"/>
      <c r="L8026" s="21">
        <v>202.31999999999999</v>
      </c>
      <c r="M8026" s="22">
        <v>0</v>
      </c>
      <c r="N8026" s="21">
        <v>201.16999999999999</v>
      </c>
      <c r="O8026" s="22">
        <v>0</v>
      </c>
    </row>
    <row r="8027" ht="25.5">
      <c r="A8027" t="s">
        <v>8085</v>
      </c>
      <c r="B8027" s="19">
        <v>103912</v>
      </c>
      <c r="C8027" s="20" t="s">
        <v>8120</v>
      </c>
      <c r="D8027" s="19" t="s">
        <v>29</v>
      </c>
      <c r="E8027" s="21">
        <f t="shared" si="374"/>
        <v>253.75999999999999</v>
      </c>
      <c r="F8027" s="22">
        <v>0</v>
      </c>
      <c r="G8027" s="21">
        <f t="shared" si="375"/>
        <v>252.44</v>
      </c>
      <c r="H8027" s="22">
        <v>0</v>
      </c>
      <c r="I8027" s="23" t="str">
        <f t="shared" si="376"/>
        <v xml:space="preserve">COM VALOR</v>
      </c>
      <c r="J8027" s="19"/>
      <c r="L8027" s="21">
        <v>253.75999999999999</v>
      </c>
      <c r="M8027" s="22">
        <v>0</v>
      </c>
      <c r="N8027" s="21">
        <v>252.44</v>
      </c>
      <c r="O8027" s="22">
        <v>0</v>
      </c>
    </row>
    <row r="8028" ht="12.75">
      <c r="A8028" t="s">
        <v>8121</v>
      </c>
      <c r="B8028" s="19">
        <v>101979</v>
      </c>
      <c r="C8028" s="20" t="s">
        <v>8122</v>
      </c>
      <c r="D8028" s="19" t="s">
        <v>38</v>
      </c>
      <c r="E8028" s="21">
        <f t="shared" si="374"/>
        <v>38.310000000000002</v>
      </c>
      <c r="F8028" s="22">
        <v>0.37</v>
      </c>
      <c r="G8028" s="21">
        <f t="shared" si="375"/>
        <v>37.899999999999999</v>
      </c>
      <c r="H8028" s="22">
        <v>0.39000000000000001</v>
      </c>
      <c r="I8028" s="23" t="str">
        <f t="shared" si="376"/>
        <v xml:space="preserve">COM VALOR</v>
      </c>
      <c r="J8028" s="19"/>
      <c r="L8028" s="21">
        <v>38.310000000000002</v>
      </c>
      <c r="M8028" s="22">
        <v>0.72999999999999998</v>
      </c>
      <c r="N8028" s="21">
        <v>37.899999999999999</v>
      </c>
      <c r="O8028" s="22">
        <v>0.73999999999999999</v>
      </c>
    </row>
    <row r="8029" ht="38.25">
      <c r="A8029" t="s">
        <v>8121</v>
      </c>
      <c r="B8029" s="19">
        <v>101970</v>
      </c>
      <c r="C8029" s="20" t="s">
        <v>8123</v>
      </c>
      <c r="D8029" s="19" t="s">
        <v>38</v>
      </c>
      <c r="E8029" s="21" t="str">
        <f t="shared" si="374"/>
        <v>VERIFICAR</v>
      </c>
      <c r="F8029" s="22">
        <v>0</v>
      </c>
      <c r="G8029" s="21" t="str">
        <f t="shared" si="375"/>
        <v>VERIFICAR</v>
      </c>
      <c r="H8029" s="22">
        <v>0</v>
      </c>
      <c r="I8029" s="23" t="str">
        <f t="shared" si="376"/>
        <v xml:space="preserve">COM VALOR</v>
      </c>
      <c r="J8029" s="19"/>
      <c r="L8029" s="21">
        <v>0</v>
      </c>
      <c r="M8029" s="22"/>
      <c r="N8029" s="21">
        <v>0</v>
      </c>
      <c r="O8029" s="22"/>
    </row>
    <row r="8030" ht="38.25">
      <c r="A8030" t="s">
        <v>8121</v>
      </c>
      <c r="B8030" s="19">
        <v>101972</v>
      </c>
      <c r="C8030" s="20" t="s">
        <v>8124</v>
      </c>
      <c r="D8030" s="19" t="s">
        <v>38</v>
      </c>
      <c r="E8030" s="21" t="str">
        <f t="shared" si="374"/>
        <v>VERIFICAR</v>
      </c>
      <c r="F8030" s="22">
        <v>0</v>
      </c>
      <c r="G8030" s="21" t="str">
        <f t="shared" si="375"/>
        <v>VERIFICAR</v>
      </c>
      <c r="H8030" s="22">
        <v>0</v>
      </c>
      <c r="I8030" s="23" t="str">
        <f t="shared" si="376"/>
        <v xml:space="preserve">COM VALOR</v>
      </c>
      <c r="J8030" s="19"/>
      <c r="L8030" s="21">
        <v>0</v>
      </c>
      <c r="M8030" s="22"/>
      <c r="N8030" s="21">
        <v>0</v>
      </c>
      <c r="O8030" s="22"/>
    </row>
    <row r="8031" ht="25.5">
      <c r="A8031" t="s">
        <v>8121</v>
      </c>
      <c r="B8031" s="19">
        <v>101966</v>
      </c>
      <c r="C8031" s="20" t="s">
        <v>8125</v>
      </c>
      <c r="D8031" s="19" t="s">
        <v>38</v>
      </c>
      <c r="E8031" s="21">
        <f t="shared" si="374"/>
        <v>211.62</v>
      </c>
      <c r="F8031" s="22">
        <v>0.63</v>
      </c>
      <c r="G8031" s="21">
        <f t="shared" si="375"/>
        <v>210.80000000000001</v>
      </c>
      <c r="H8031" s="22">
        <v>0.65000000000000002</v>
      </c>
      <c r="I8031" s="23" t="str">
        <f t="shared" si="376"/>
        <v xml:space="preserve">COM VALOR</v>
      </c>
      <c r="J8031" s="19"/>
      <c r="L8031" s="21">
        <v>211.62</v>
      </c>
      <c r="M8031" s="22">
        <v>0</v>
      </c>
      <c r="N8031" s="21">
        <v>210.80000000000001</v>
      </c>
      <c r="O8031" s="22">
        <v>0</v>
      </c>
    </row>
    <row r="8032" ht="38.25">
      <c r="A8032" t="s">
        <v>8121</v>
      </c>
      <c r="B8032" s="19">
        <v>101976</v>
      </c>
      <c r="C8032" s="20" t="s">
        <v>8126</v>
      </c>
      <c r="D8032" s="19" t="s">
        <v>38</v>
      </c>
      <c r="E8032" s="21" t="str">
        <f t="shared" si="374"/>
        <v>VERIFICAR</v>
      </c>
      <c r="F8032" s="22">
        <v>0.67000000000000004</v>
      </c>
      <c r="G8032" s="21" t="str">
        <f t="shared" si="375"/>
        <v>VERIFICAR</v>
      </c>
      <c r="H8032" s="22">
        <v>0.68000000000000005</v>
      </c>
      <c r="I8032" s="23" t="str">
        <f t="shared" si="376"/>
        <v xml:space="preserve">COM VALOR</v>
      </c>
      <c r="J8032" s="19"/>
      <c r="L8032" s="21">
        <v>0</v>
      </c>
      <c r="M8032" s="22"/>
      <c r="N8032" s="21">
        <v>0</v>
      </c>
      <c r="O8032" s="22"/>
    </row>
    <row r="8033" ht="38.25">
      <c r="A8033" t="s">
        <v>8121</v>
      </c>
      <c r="B8033" s="19">
        <v>101978</v>
      </c>
      <c r="C8033" s="20" t="s">
        <v>8127</v>
      </c>
      <c r="D8033" s="19" t="s">
        <v>38</v>
      </c>
      <c r="E8033" s="21" t="str">
        <f t="shared" si="374"/>
        <v>VERIFICAR</v>
      </c>
      <c r="F8033" s="22">
        <v>0</v>
      </c>
      <c r="G8033" s="21" t="str">
        <f t="shared" si="375"/>
        <v>VERIFICAR</v>
      </c>
      <c r="H8033" s="22">
        <v>0</v>
      </c>
      <c r="I8033" s="23" t="str">
        <f t="shared" si="376"/>
        <v xml:space="preserve">COM VALOR</v>
      </c>
      <c r="J8033" s="19"/>
      <c r="L8033" s="21">
        <v>0</v>
      </c>
      <c r="M8033" s="22"/>
      <c r="N8033" s="21">
        <v>0</v>
      </c>
      <c r="O8033" s="22"/>
    </row>
    <row r="8034" ht="25.5">
      <c r="A8034" t="s">
        <v>8121</v>
      </c>
      <c r="B8034" s="19">
        <v>101967</v>
      </c>
      <c r="C8034" s="20" t="s">
        <v>8128</v>
      </c>
      <c r="D8034" s="19" t="s">
        <v>38</v>
      </c>
      <c r="E8034" s="21" t="str">
        <f t="shared" si="374"/>
        <v>VERIFICAR</v>
      </c>
      <c r="F8034" s="22">
        <v>0</v>
      </c>
      <c r="G8034" s="21" t="str">
        <f t="shared" si="375"/>
        <v>VERIFICAR</v>
      </c>
      <c r="H8034" s="22">
        <v>0</v>
      </c>
      <c r="I8034" s="23" t="str">
        <f t="shared" si="376"/>
        <v xml:space="preserve">COM VALOR</v>
      </c>
      <c r="J8034" s="19"/>
      <c r="L8034" s="21">
        <v>0</v>
      </c>
      <c r="M8034" s="22"/>
      <c r="N8034" s="21">
        <v>0</v>
      </c>
      <c r="O8034" s="22"/>
    </row>
    <row r="8035" ht="25.5">
      <c r="A8035" t="s">
        <v>8121</v>
      </c>
      <c r="B8035" s="19">
        <v>101968</v>
      </c>
      <c r="C8035" s="20" t="s">
        <v>8129</v>
      </c>
      <c r="D8035" s="19" t="s">
        <v>38</v>
      </c>
      <c r="E8035" s="21" t="str">
        <f t="shared" si="374"/>
        <v>VERIFICAR</v>
      </c>
      <c r="F8035" s="22">
        <v>0</v>
      </c>
      <c r="G8035" s="21" t="str">
        <f t="shared" si="375"/>
        <v>VERIFICAR</v>
      </c>
      <c r="H8035" s="22">
        <v>0</v>
      </c>
      <c r="I8035" s="23" t="str">
        <f t="shared" si="376"/>
        <v xml:space="preserve">COM VALOR</v>
      </c>
      <c r="J8035" s="19"/>
      <c r="L8035" s="21">
        <v>0</v>
      </c>
      <c r="M8035" s="22"/>
      <c r="N8035" s="21">
        <v>0</v>
      </c>
      <c r="O8035" s="22"/>
    </row>
    <row r="8036" ht="25.5">
      <c r="A8036" t="s">
        <v>8121</v>
      </c>
      <c r="B8036" s="19">
        <v>101965</v>
      </c>
      <c r="C8036" s="20" t="s">
        <v>8130</v>
      </c>
      <c r="D8036" s="19" t="s">
        <v>38</v>
      </c>
      <c r="E8036" s="21">
        <f t="shared" si="374"/>
        <v>163.77000000000001</v>
      </c>
      <c r="F8036" s="22"/>
      <c r="G8036" s="21">
        <f t="shared" si="375"/>
        <v>162</v>
      </c>
      <c r="H8036" s="22"/>
      <c r="I8036" s="23" t="str">
        <f t="shared" si="376"/>
        <v xml:space="preserve">COM VALOR</v>
      </c>
      <c r="J8036" s="19"/>
      <c r="L8036" s="21">
        <v>163.77000000000001</v>
      </c>
      <c r="M8036" s="22">
        <v>0</v>
      </c>
      <c r="N8036" s="21">
        <v>162</v>
      </c>
      <c r="O8036" s="22">
        <v>0</v>
      </c>
    </row>
    <row r="8037" ht="38.25">
      <c r="A8037" t="s">
        <v>8131</v>
      </c>
      <c r="B8037" s="19">
        <v>104100</v>
      </c>
      <c r="C8037" s="20" t="s">
        <v>8132</v>
      </c>
      <c r="D8037" s="19" t="s">
        <v>29</v>
      </c>
      <c r="E8037" s="21" t="str">
        <f t="shared" si="374"/>
        <v>VERIFICAR</v>
      </c>
      <c r="F8037" s="22">
        <v>0</v>
      </c>
      <c r="G8037" s="21" t="str">
        <f t="shared" si="375"/>
        <v>VERIFICAR</v>
      </c>
      <c r="H8037" s="22">
        <v>0</v>
      </c>
      <c r="I8037" s="23" t="str">
        <f t="shared" si="376"/>
        <v xml:space="preserve">COM VALOR</v>
      </c>
      <c r="J8037" s="19"/>
      <c r="L8037" s="21">
        <v>0</v>
      </c>
      <c r="M8037" s="22"/>
      <c r="N8037" s="21">
        <v>0</v>
      </c>
      <c r="O8037" s="22"/>
    </row>
    <row r="8038" ht="38.25">
      <c r="A8038" t="s">
        <v>8131</v>
      </c>
      <c r="B8038" s="19">
        <v>104099</v>
      </c>
      <c r="C8038" s="20" t="s">
        <v>8133</v>
      </c>
      <c r="D8038" s="19" t="s">
        <v>29</v>
      </c>
      <c r="E8038" s="21" t="str">
        <f t="shared" si="374"/>
        <v>VERIFICAR</v>
      </c>
      <c r="F8038" s="22">
        <v>0</v>
      </c>
      <c r="G8038" s="21" t="str">
        <f t="shared" si="375"/>
        <v>VERIFICAR</v>
      </c>
      <c r="H8038" s="22">
        <v>0</v>
      </c>
      <c r="I8038" s="23" t="str">
        <f t="shared" si="376"/>
        <v xml:space="preserve">COM VALOR</v>
      </c>
      <c r="J8038" s="19"/>
      <c r="L8038" s="21">
        <v>0</v>
      </c>
      <c r="M8038" s="22"/>
      <c r="N8038" s="21">
        <v>0</v>
      </c>
      <c r="O8038" s="22"/>
    </row>
    <row r="8039" ht="38.25">
      <c r="A8039" t="s">
        <v>8131</v>
      </c>
      <c r="B8039" s="19">
        <v>104102</v>
      </c>
      <c r="C8039" s="20" t="s">
        <v>8134</v>
      </c>
      <c r="D8039" s="19" t="s">
        <v>29</v>
      </c>
      <c r="E8039" s="21" t="str">
        <f t="shared" si="374"/>
        <v>VERIFICAR</v>
      </c>
      <c r="F8039" s="22">
        <v>2.9999999999999999e-002</v>
      </c>
      <c r="G8039" s="21" t="str">
        <f t="shared" si="375"/>
        <v>VERIFICAR</v>
      </c>
      <c r="H8039" s="22">
        <v>2.9999999999999999e-002</v>
      </c>
      <c r="I8039" s="23" t="str">
        <f t="shared" si="376"/>
        <v xml:space="preserve">COM VALOR</v>
      </c>
      <c r="J8039" s="19"/>
      <c r="L8039" s="21">
        <v>0</v>
      </c>
      <c r="M8039" s="22"/>
      <c r="N8039" s="21">
        <v>0</v>
      </c>
      <c r="O8039" s="22"/>
    </row>
    <row r="8040" ht="38.25">
      <c r="A8040" t="s">
        <v>8131</v>
      </c>
      <c r="B8040" s="19">
        <v>104101</v>
      </c>
      <c r="C8040" s="20" t="s">
        <v>8135</v>
      </c>
      <c r="D8040" s="19" t="s">
        <v>29</v>
      </c>
      <c r="E8040" s="21" t="str">
        <f t="shared" si="374"/>
        <v>VERIFICAR</v>
      </c>
      <c r="F8040" s="22">
        <v>7.0000000000000007e-002</v>
      </c>
      <c r="G8040" s="21" t="str">
        <f t="shared" si="375"/>
        <v>VERIFICAR</v>
      </c>
      <c r="H8040" s="22">
        <v>7.0000000000000007e-002</v>
      </c>
      <c r="I8040" s="23" t="str">
        <f t="shared" si="376"/>
        <v xml:space="preserve">COM VALOR</v>
      </c>
      <c r="J8040" s="19"/>
      <c r="L8040" s="21">
        <v>0</v>
      </c>
      <c r="M8040" s="22"/>
      <c r="N8040" s="21">
        <v>0</v>
      </c>
      <c r="O8040" s="22"/>
    </row>
    <row r="8041" ht="38.25">
      <c r="A8041" t="s">
        <v>8131</v>
      </c>
      <c r="B8041" s="19">
        <v>104103</v>
      </c>
      <c r="C8041" s="20" t="s">
        <v>8136</v>
      </c>
      <c r="D8041" s="19" t="s">
        <v>29</v>
      </c>
      <c r="E8041" s="21" t="str">
        <f t="shared" si="374"/>
        <v>VERIFICAR</v>
      </c>
      <c r="F8041" s="22">
        <v>4.0000000000000001e-002</v>
      </c>
      <c r="G8041" s="21" t="str">
        <f t="shared" si="375"/>
        <v>VERIFICAR</v>
      </c>
      <c r="H8041" s="22">
        <v>5.0000000000000003e-002</v>
      </c>
      <c r="I8041" s="23" t="str">
        <f t="shared" si="376"/>
        <v xml:space="preserve">COM VALOR</v>
      </c>
      <c r="J8041" s="19"/>
      <c r="L8041" s="21">
        <v>0</v>
      </c>
      <c r="M8041" s="22"/>
      <c r="N8041" s="21">
        <v>0</v>
      </c>
      <c r="O8041" s="22"/>
    </row>
    <row r="8042" ht="12.75">
      <c r="A8042" t="s">
        <v>8137</v>
      </c>
      <c r="B8042" s="19">
        <v>92123</v>
      </c>
      <c r="C8042" s="20" t="s">
        <v>8138</v>
      </c>
      <c r="D8042" s="19" t="s">
        <v>121</v>
      </c>
      <c r="E8042" s="21">
        <f t="shared" si="374"/>
        <v>74.590000000000003</v>
      </c>
      <c r="F8042" s="22">
        <v>7.0000000000000007e-002</v>
      </c>
      <c r="G8042" s="21">
        <f t="shared" si="375"/>
        <v>72.849999999999994</v>
      </c>
      <c r="H8042" s="22">
        <v>8.0000000000000002e-002</v>
      </c>
      <c r="I8042" s="23" t="str">
        <f t="shared" si="376"/>
        <v xml:space="preserve">COM VALOR</v>
      </c>
      <c r="J8042" s="19"/>
      <c r="L8042" s="21">
        <v>74.590000000000003</v>
      </c>
      <c r="M8042" s="22">
        <v>0</v>
      </c>
      <c r="N8042" s="21">
        <v>72.849999999999994</v>
      </c>
      <c r="O8042" s="22">
        <v>0</v>
      </c>
    </row>
    <row r="8043" ht="12.75">
      <c r="A8043" t="s">
        <v>8137</v>
      </c>
      <c r="B8043" s="19">
        <v>106665</v>
      </c>
      <c r="C8043" s="20" t="s">
        <v>8139</v>
      </c>
      <c r="D8043" s="19" t="s">
        <v>121</v>
      </c>
      <c r="E8043" s="21" t="str">
        <f t="shared" si="374"/>
        <v>VERIFICAR</v>
      </c>
      <c r="F8043" s="22">
        <v>8.0000000000000002e-002</v>
      </c>
      <c r="G8043" s="21" t="str">
        <f t="shared" si="375"/>
        <v>VERIFICAR</v>
      </c>
      <c r="H8043" s="22">
        <v>8.0000000000000002e-002</v>
      </c>
      <c r="I8043" s="23" t="str">
        <f t="shared" si="376"/>
        <v xml:space="preserve">COM VALOR</v>
      </c>
      <c r="J8043" s="19"/>
      <c r="L8043" s="21">
        <v>0</v>
      </c>
      <c r="M8043" s="22"/>
      <c r="N8043" s="21">
        <v>0</v>
      </c>
      <c r="O8043" s="22"/>
    </row>
    <row r="8044" ht="12.75">
      <c r="A8044" t="s">
        <v>8137</v>
      </c>
      <c r="B8044" s="19">
        <v>92122</v>
      </c>
      <c r="C8044" s="20" t="s">
        <v>8140</v>
      </c>
      <c r="D8044" s="19" t="s">
        <v>121</v>
      </c>
      <c r="E8044" s="21">
        <f t="shared" si="374"/>
        <v>75.290000000000006</v>
      </c>
      <c r="F8044" s="22">
        <v>2.9999999999999999e-002</v>
      </c>
      <c r="G8044" s="21">
        <f t="shared" si="375"/>
        <v>71.569999999999993</v>
      </c>
      <c r="H8044" s="22">
        <v>2.9999999999999999e-002</v>
      </c>
      <c r="I8044" s="23" t="str">
        <f t="shared" si="376"/>
        <v xml:space="preserve">COM VALOR</v>
      </c>
      <c r="J8044" s="19"/>
      <c r="L8044" s="21">
        <v>75.290000000000006</v>
      </c>
      <c r="M8044" s="22">
        <v>0</v>
      </c>
      <c r="N8044" s="21">
        <v>71.569999999999993</v>
      </c>
      <c r="O8044" s="22">
        <v>0</v>
      </c>
    </row>
    <row r="8045" ht="25.5">
      <c r="A8045" t="s">
        <v>8141</v>
      </c>
      <c r="B8045" s="19">
        <v>103615</v>
      </c>
      <c r="C8045" s="20" t="s">
        <v>8142</v>
      </c>
      <c r="D8045" s="19" t="s">
        <v>38</v>
      </c>
      <c r="E8045" s="21" t="str">
        <f t="shared" si="374"/>
        <v>VERIFICAR</v>
      </c>
      <c r="F8045" s="22">
        <v>5.9999999999999998e-002</v>
      </c>
      <c r="G8045" s="21" t="str">
        <f t="shared" si="375"/>
        <v>VERIFICAR</v>
      </c>
      <c r="H8045" s="22">
        <v>5.9999999999999998e-002</v>
      </c>
      <c r="I8045" s="23" t="str">
        <f t="shared" si="376"/>
        <v xml:space="preserve">COM VALOR</v>
      </c>
      <c r="J8045" s="19"/>
      <c r="L8045" s="21">
        <v>0</v>
      </c>
      <c r="M8045" s="22"/>
      <c r="N8045" s="21">
        <v>0</v>
      </c>
      <c r="O8045" s="22"/>
    </row>
    <row r="8046" ht="25.5">
      <c r="A8046" t="s">
        <v>8141</v>
      </c>
      <c r="B8046" s="19">
        <v>103637</v>
      </c>
      <c r="C8046" s="20" t="s">
        <v>8143</v>
      </c>
      <c r="D8046" s="19" t="s">
        <v>38</v>
      </c>
      <c r="E8046" s="21" t="str">
        <f t="shared" si="374"/>
        <v>VERIFICAR</v>
      </c>
      <c r="F8046" s="22">
        <v>4.0000000000000001e-002</v>
      </c>
      <c r="G8046" s="21" t="str">
        <f t="shared" si="375"/>
        <v>VERIFICAR</v>
      </c>
      <c r="H8046" s="22">
        <v>4.0000000000000001e-002</v>
      </c>
      <c r="I8046" s="23" t="str">
        <f t="shared" si="376"/>
        <v xml:space="preserve">COM VALOR</v>
      </c>
      <c r="J8046" s="19"/>
      <c r="L8046" s="21">
        <v>0</v>
      </c>
      <c r="M8046" s="22"/>
      <c r="N8046" s="21">
        <v>0</v>
      </c>
      <c r="O8046" s="22"/>
    </row>
    <row r="8047" ht="25.5">
      <c r="A8047" t="s">
        <v>8141</v>
      </c>
      <c r="B8047" s="19">
        <v>103593</v>
      </c>
      <c r="C8047" s="20" t="s">
        <v>8144</v>
      </c>
      <c r="D8047" s="19" t="s">
        <v>38</v>
      </c>
      <c r="E8047" s="21" t="str">
        <f t="shared" si="374"/>
        <v>VERIFICAR</v>
      </c>
      <c r="F8047" s="22">
        <v>7.0000000000000007e-002</v>
      </c>
      <c r="G8047" s="21" t="str">
        <f t="shared" si="375"/>
        <v>VERIFICAR</v>
      </c>
      <c r="H8047" s="22">
        <v>7.0000000000000007e-002</v>
      </c>
      <c r="I8047" s="23" t="str">
        <f t="shared" si="376"/>
        <v xml:space="preserve">COM VALOR</v>
      </c>
      <c r="J8047" s="19"/>
      <c r="L8047" s="21">
        <v>0</v>
      </c>
      <c r="M8047" s="22"/>
      <c r="N8047" s="21">
        <v>0</v>
      </c>
      <c r="O8047" s="22"/>
    </row>
    <row r="8048" ht="25.5">
      <c r="A8048" t="s">
        <v>8141</v>
      </c>
      <c r="B8048" s="19">
        <v>103616</v>
      </c>
      <c r="C8048" s="20" t="s">
        <v>8145</v>
      </c>
      <c r="D8048" s="19" t="s">
        <v>38</v>
      </c>
      <c r="E8048" s="21" t="str">
        <f t="shared" si="374"/>
        <v>VERIFICAR</v>
      </c>
      <c r="F8048" s="22">
        <v>7.0000000000000007e-002</v>
      </c>
      <c r="G8048" s="21" t="str">
        <f t="shared" si="375"/>
        <v>VERIFICAR</v>
      </c>
      <c r="H8048" s="22">
        <v>7.0000000000000007e-002</v>
      </c>
      <c r="I8048" s="23" t="str">
        <f t="shared" si="376"/>
        <v xml:space="preserve">COM VALOR</v>
      </c>
      <c r="J8048" s="19"/>
      <c r="L8048" s="21">
        <v>0</v>
      </c>
      <c r="M8048" s="22"/>
      <c r="N8048" s="21">
        <v>0</v>
      </c>
      <c r="O8048" s="22"/>
    </row>
    <row r="8049" ht="25.5">
      <c r="A8049" t="s">
        <v>8141</v>
      </c>
      <c r="B8049" s="19">
        <v>103638</v>
      </c>
      <c r="C8049" s="20" t="s">
        <v>8146</v>
      </c>
      <c r="D8049" s="19" t="s">
        <v>38</v>
      </c>
      <c r="E8049" s="21" t="str">
        <f t="shared" si="374"/>
        <v>VERIFICAR</v>
      </c>
      <c r="F8049" s="22">
        <v>2.9999999999999999e-002</v>
      </c>
      <c r="G8049" s="21" t="str">
        <f t="shared" si="375"/>
        <v>VERIFICAR</v>
      </c>
      <c r="H8049" s="22">
        <v>2.9999999999999999e-002</v>
      </c>
      <c r="I8049" s="23" t="str">
        <f t="shared" si="376"/>
        <v xml:space="preserve">COM VALOR</v>
      </c>
      <c r="J8049" s="19"/>
      <c r="L8049" s="21">
        <v>0</v>
      </c>
      <c r="M8049" s="22"/>
      <c r="N8049" s="21">
        <v>0</v>
      </c>
      <c r="O8049" s="22"/>
    </row>
    <row r="8050" ht="25.5">
      <c r="A8050" t="s">
        <v>8141</v>
      </c>
      <c r="B8050" s="19">
        <v>103594</v>
      </c>
      <c r="C8050" s="20" t="s">
        <v>8147</v>
      </c>
      <c r="D8050" s="19" t="s">
        <v>38</v>
      </c>
      <c r="E8050" s="21" t="str">
        <f t="shared" si="374"/>
        <v>VERIFICAR</v>
      </c>
      <c r="F8050" s="22">
        <v>5.9999999999999998e-002</v>
      </c>
      <c r="G8050" s="21" t="str">
        <f t="shared" si="375"/>
        <v>VERIFICAR</v>
      </c>
      <c r="H8050" s="22">
        <v>5.9999999999999998e-002</v>
      </c>
      <c r="I8050" s="23" t="str">
        <f t="shared" si="376"/>
        <v xml:space="preserve">COM VALOR</v>
      </c>
      <c r="J8050" s="19"/>
      <c r="L8050" s="21">
        <v>0</v>
      </c>
      <c r="M8050" s="22"/>
      <c r="N8050" s="21">
        <v>0</v>
      </c>
      <c r="O8050" s="22"/>
    </row>
    <row r="8051" ht="25.5">
      <c r="A8051" t="s">
        <v>8141</v>
      </c>
      <c r="B8051" s="19">
        <v>103617</v>
      </c>
      <c r="C8051" s="20" t="s">
        <v>8148</v>
      </c>
      <c r="D8051" s="19" t="s">
        <v>38</v>
      </c>
      <c r="E8051" s="21" t="str">
        <f t="shared" si="374"/>
        <v>VERIFICAR</v>
      </c>
      <c r="F8051" s="22">
        <v>5.0000000000000003e-002</v>
      </c>
      <c r="G8051" s="21" t="str">
        <f t="shared" si="375"/>
        <v>VERIFICAR</v>
      </c>
      <c r="H8051" s="22">
        <v>5.0000000000000003e-002</v>
      </c>
      <c r="I8051" s="23" t="str">
        <f t="shared" si="376"/>
        <v xml:space="preserve">COM VALOR</v>
      </c>
      <c r="J8051" s="19"/>
      <c r="L8051" s="21">
        <v>0</v>
      </c>
      <c r="M8051" s="22"/>
      <c r="N8051" s="21">
        <v>0</v>
      </c>
      <c r="O8051" s="22"/>
    </row>
    <row r="8052" ht="25.5">
      <c r="A8052" t="s">
        <v>8141</v>
      </c>
      <c r="B8052" s="19">
        <v>103639</v>
      </c>
      <c r="C8052" s="20" t="s">
        <v>8149</v>
      </c>
      <c r="D8052" s="19" t="s">
        <v>38</v>
      </c>
      <c r="E8052" s="21" t="str">
        <f t="shared" si="374"/>
        <v>VERIFICAR</v>
      </c>
      <c r="F8052" s="22">
        <v>4.0000000000000001e-002</v>
      </c>
      <c r="G8052" s="21" t="str">
        <f t="shared" si="375"/>
        <v>VERIFICAR</v>
      </c>
      <c r="H8052" s="22">
        <v>4.0000000000000001e-002</v>
      </c>
      <c r="I8052" s="23" t="str">
        <f t="shared" si="376"/>
        <v xml:space="preserve">COM VALOR</v>
      </c>
      <c r="J8052" s="19"/>
      <c r="L8052" s="21">
        <v>0</v>
      </c>
      <c r="M8052" s="22"/>
      <c r="N8052" s="21">
        <v>0</v>
      </c>
      <c r="O8052" s="22"/>
    </row>
    <row r="8053" ht="25.5">
      <c r="A8053" t="s">
        <v>8141</v>
      </c>
      <c r="B8053" s="19">
        <v>103595</v>
      </c>
      <c r="C8053" s="20" t="s">
        <v>8150</v>
      </c>
      <c r="D8053" s="19" t="s">
        <v>38</v>
      </c>
      <c r="E8053" s="21" t="str">
        <f t="shared" si="374"/>
        <v>VERIFICAR</v>
      </c>
      <c r="F8053" s="22">
        <v>7.0000000000000007e-002</v>
      </c>
      <c r="G8053" s="21" t="str">
        <f t="shared" si="375"/>
        <v>VERIFICAR</v>
      </c>
      <c r="H8053" s="22">
        <v>7.0000000000000007e-002</v>
      </c>
      <c r="I8053" s="23" t="str">
        <f t="shared" si="376"/>
        <v xml:space="preserve">COM VALOR</v>
      </c>
      <c r="J8053" s="19"/>
      <c r="L8053" s="21">
        <v>0</v>
      </c>
      <c r="M8053" s="22"/>
      <c r="N8053" s="21">
        <v>0</v>
      </c>
      <c r="O8053" s="22"/>
    </row>
    <row r="8054" ht="25.5">
      <c r="A8054" t="s">
        <v>8141</v>
      </c>
      <c r="B8054" s="19">
        <v>103609</v>
      </c>
      <c r="C8054" s="20" t="s">
        <v>8151</v>
      </c>
      <c r="D8054" s="19" t="s">
        <v>38</v>
      </c>
      <c r="E8054" s="21" t="str">
        <f t="shared" si="374"/>
        <v>VERIFICAR</v>
      </c>
      <c r="F8054" s="22">
        <v>7.0000000000000007e-002</v>
      </c>
      <c r="G8054" s="21" t="str">
        <f t="shared" si="375"/>
        <v>VERIFICAR</v>
      </c>
      <c r="H8054" s="22">
        <v>7.0000000000000007e-002</v>
      </c>
      <c r="I8054" s="23" t="str">
        <f t="shared" si="376"/>
        <v xml:space="preserve">COM VALOR</v>
      </c>
      <c r="J8054" s="19"/>
      <c r="L8054" s="21">
        <v>0</v>
      </c>
      <c r="M8054" s="22"/>
      <c r="N8054" s="21">
        <v>0</v>
      </c>
      <c r="O8054" s="22"/>
    </row>
    <row r="8055" ht="25.5">
      <c r="A8055" t="s">
        <v>8141</v>
      </c>
      <c r="B8055" s="19">
        <v>103631</v>
      </c>
      <c r="C8055" s="20" t="s">
        <v>8152</v>
      </c>
      <c r="D8055" s="19" t="s">
        <v>38</v>
      </c>
      <c r="E8055" s="21" t="str">
        <f t="shared" si="374"/>
        <v>VERIFICAR</v>
      </c>
      <c r="F8055" s="22">
        <v>2.9999999999999999e-002</v>
      </c>
      <c r="G8055" s="21" t="str">
        <f t="shared" si="375"/>
        <v>VERIFICAR</v>
      </c>
      <c r="H8055" s="22">
        <v>2.9999999999999999e-002</v>
      </c>
      <c r="I8055" s="23" t="str">
        <f t="shared" si="376"/>
        <v xml:space="preserve">COM VALOR</v>
      </c>
      <c r="J8055" s="19"/>
      <c r="L8055" s="21">
        <v>0</v>
      </c>
      <c r="M8055" s="22"/>
      <c r="N8055" s="21">
        <v>0</v>
      </c>
      <c r="O8055" s="22"/>
    </row>
    <row r="8056" ht="25.5">
      <c r="A8056" t="s">
        <v>8141</v>
      </c>
      <c r="B8056" s="19">
        <v>103587</v>
      </c>
      <c r="C8056" s="20" t="s">
        <v>8153</v>
      </c>
      <c r="D8056" s="19" t="s">
        <v>38</v>
      </c>
      <c r="E8056" s="21" t="str">
        <f t="shared" si="374"/>
        <v>VERIFICAR</v>
      </c>
      <c r="F8056" s="22">
        <v>5.0000000000000003e-002</v>
      </c>
      <c r="G8056" s="21" t="str">
        <f t="shared" si="375"/>
        <v>VERIFICAR</v>
      </c>
      <c r="H8056" s="22">
        <v>5.0000000000000003e-002</v>
      </c>
      <c r="I8056" s="23" t="str">
        <f t="shared" si="376"/>
        <v xml:space="preserve">COM VALOR</v>
      </c>
      <c r="J8056" s="19"/>
      <c r="L8056" s="21">
        <v>0</v>
      </c>
      <c r="M8056" s="22"/>
      <c r="N8056" s="21">
        <v>0</v>
      </c>
      <c r="O8056" s="22"/>
    </row>
    <row r="8057" ht="25.5">
      <c r="A8057" t="s">
        <v>8141</v>
      </c>
      <c r="B8057" s="19">
        <v>103618</v>
      </c>
      <c r="C8057" s="20" t="s">
        <v>8154</v>
      </c>
      <c r="D8057" s="19" t="s">
        <v>38</v>
      </c>
      <c r="E8057" s="21" t="str">
        <f t="shared" si="374"/>
        <v>VERIFICAR</v>
      </c>
      <c r="F8057" s="22">
        <v>4.0000000000000001e-002</v>
      </c>
      <c r="G8057" s="21" t="str">
        <f t="shared" si="375"/>
        <v>VERIFICAR</v>
      </c>
      <c r="H8057" s="22">
        <v>4.0000000000000001e-002</v>
      </c>
      <c r="I8057" s="23" t="str">
        <f t="shared" si="376"/>
        <v xml:space="preserve">COM VALOR</v>
      </c>
      <c r="J8057" s="19"/>
      <c r="L8057" s="21">
        <v>0</v>
      </c>
      <c r="M8057" s="22"/>
      <c r="N8057" s="21">
        <v>0</v>
      </c>
      <c r="O8057" s="22"/>
    </row>
    <row r="8058" ht="25.5">
      <c r="A8058" t="s">
        <v>8141</v>
      </c>
      <c r="B8058" s="19">
        <v>103640</v>
      </c>
      <c r="C8058" s="20" t="s">
        <v>8155</v>
      </c>
      <c r="D8058" s="19" t="s">
        <v>38</v>
      </c>
      <c r="E8058" s="21" t="str">
        <f t="shared" si="374"/>
        <v>VERIFICAR</v>
      </c>
      <c r="F8058" s="22">
        <v>5.9999999999999998e-002</v>
      </c>
      <c r="G8058" s="21" t="str">
        <f t="shared" si="375"/>
        <v>VERIFICAR</v>
      </c>
      <c r="H8058" s="22">
        <v>5.9999999999999998e-002</v>
      </c>
      <c r="I8058" s="23" t="str">
        <f t="shared" si="376"/>
        <v xml:space="preserve">COM VALOR</v>
      </c>
      <c r="J8058" s="19"/>
      <c r="L8058" s="21">
        <v>0</v>
      </c>
      <c r="M8058" s="22"/>
      <c r="N8058" s="21">
        <v>0</v>
      </c>
      <c r="O8058" s="22"/>
    </row>
    <row r="8059" ht="25.5">
      <c r="A8059" t="s">
        <v>8141</v>
      </c>
      <c r="B8059" s="19">
        <v>103596</v>
      </c>
      <c r="C8059" s="20" t="s">
        <v>8156</v>
      </c>
      <c r="D8059" s="19" t="s">
        <v>38</v>
      </c>
      <c r="E8059" s="21" t="str">
        <f t="shared" si="374"/>
        <v>VERIFICAR</v>
      </c>
      <c r="F8059" s="22">
        <v>7.0000000000000007e-002</v>
      </c>
      <c r="G8059" s="21" t="str">
        <f t="shared" si="375"/>
        <v>VERIFICAR</v>
      </c>
      <c r="H8059" s="22">
        <v>7.0000000000000007e-002</v>
      </c>
      <c r="I8059" s="23" t="str">
        <f t="shared" si="376"/>
        <v xml:space="preserve">COM VALOR</v>
      </c>
      <c r="J8059" s="19"/>
      <c r="L8059" s="21">
        <v>0</v>
      </c>
      <c r="M8059" s="22"/>
      <c r="N8059" s="21">
        <v>0</v>
      </c>
      <c r="O8059" s="22"/>
    </row>
    <row r="8060" ht="25.5">
      <c r="A8060" t="s">
        <v>8141</v>
      </c>
      <c r="B8060" s="19">
        <v>103619</v>
      </c>
      <c r="C8060" s="20" t="s">
        <v>8157</v>
      </c>
      <c r="D8060" s="19" t="s">
        <v>38</v>
      </c>
      <c r="E8060" s="21" t="str">
        <f t="shared" si="374"/>
        <v>VERIFICAR</v>
      </c>
      <c r="F8060" s="22">
        <v>2.9999999999999999e-002</v>
      </c>
      <c r="G8060" s="21" t="str">
        <f t="shared" si="375"/>
        <v>VERIFICAR</v>
      </c>
      <c r="H8060" s="22">
        <v>2.9999999999999999e-002</v>
      </c>
      <c r="I8060" s="23" t="str">
        <f t="shared" si="376"/>
        <v xml:space="preserve">COM VALOR</v>
      </c>
      <c r="J8060" s="19"/>
      <c r="L8060" s="21">
        <v>0</v>
      </c>
      <c r="M8060" s="22"/>
      <c r="N8060" s="21">
        <v>0</v>
      </c>
      <c r="O8060" s="22"/>
    </row>
    <row r="8061" ht="25.5">
      <c r="A8061" t="s">
        <v>8141</v>
      </c>
      <c r="B8061" s="19">
        <v>103641</v>
      </c>
      <c r="C8061" s="20" t="s">
        <v>8158</v>
      </c>
      <c r="D8061" s="19" t="s">
        <v>38</v>
      </c>
      <c r="E8061" s="21" t="str">
        <f t="shared" si="374"/>
        <v>VERIFICAR</v>
      </c>
      <c r="F8061" s="22">
        <v>4.0000000000000001e-002</v>
      </c>
      <c r="G8061" s="21" t="str">
        <f t="shared" si="375"/>
        <v>VERIFICAR</v>
      </c>
      <c r="H8061" s="22">
        <v>4.0000000000000001e-002</v>
      </c>
      <c r="I8061" s="23" t="str">
        <f t="shared" si="376"/>
        <v xml:space="preserve">COM VALOR</v>
      </c>
      <c r="J8061" s="19"/>
      <c r="L8061" s="21">
        <v>0</v>
      </c>
      <c r="M8061" s="22"/>
      <c r="N8061" s="21">
        <v>0</v>
      </c>
      <c r="O8061" s="22"/>
    </row>
    <row r="8062" ht="25.5">
      <c r="A8062" t="s">
        <v>8141</v>
      </c>
      <c r="B8062" s="19">
        <v>103597</v>
      </c>
      <c r="C8062" s="20" t="s">
        <v>8159</v>
      </c>
      <c r="D8062" s="19" t="s">
        <v>38</v>
      </c>
      <c r="E8062" s="21" t="str">
        <f t="shared" si="374"/>
        <v>VERIFICAR</v>
      </c>
      <c r="F8062" s="22">
        <v>5.9999999999999998e-002</v>
      </c>
      <c r="G8062" s="21" t="str">
        <f t="shared" si="375"/>
        <v>VERIFICAR</v>
      </c>
      <c r="H8062" s="22">
        <v>5.9999999999999998e-002</v>
      </c>
      <c r="I8062" s="23" t="str">
        <f t="shared" si="376"/>
        <v xml:space="preserve">COM VALOR</v>
      </c>
      <c r="J8062" s="19"/>
      <c r="L8062" s="21">
        <v>0</v>
      </c>
      <c r="M8062" s="22"/>
      <c r="N8062" s="21">
        <v>0</v>
      </c>
      <c r="O8062" s="22"/>
    </row>
    <row r="8063" ht="25.5">
      <c r="A8063" t="s">
        <v>8141</v>
      </c>
      <c r="B8063" s="19">
        <v>103620</v>
      </c>
      <c r="C8063" s="20" t="s">
        <v>8160</v>
      </c>
      <c r="D8063" s="19" t="s">
        <v>38</v>
      </c>
      <c r="E8063" s="21" t="str">
        <f t="shared" si="374"/>
        <v>VERIFICAR</v>
      </c>
      <c r="F8063" s="22">
        <v>5.9999999999999998e-002</v>
      </c>
      <c r="G8063" s="21" t="str">
        <f t="shared" si="375"/>
        <v>VERIFICAR</v>
      </c>
      <c r="H8063" s="22">
        <v>5.9999999999999998e-002</v>
      </c>
      <c r="I8063" s="23" t="str">
        <f t="shared" si="376"/>
        <v xml:space="preserve">COM VALOR</v>
      </c>
      <c r="J8063" s="19"/>
      <c r="L8063" s="21">
        <v>0</v>
      </c>
      <c r="M8063" s="22"/>
      <c r="N8063" s="21">
        <v>0</v>
      </c>
      <c r="O8063" s="22"/>
    </row>
    <row r="8064" ht="25.5">
      <c r="A8064" t="s">
        <v>8141</v>
      </c>
      <c r="B8064" s="19">
        <v>103642</v>
      </c>
      <c r="C8064" s="20" t="s">
        <v>8161</v>
      </c>
      <c r="D8064" s="19" t="s">
        <v>38</v>
      </c>
      <c r="E8064" s="21" t="str">
        <f t="shared" si="374"/>
        <v>VERIFICAR</v>
      </c>
      <c r="F8064" s="22">
        <v>5.9999999999999998e-002</v>
      </c>
      <c r="G8064" s="21" t="str">
        <f t="shared" si="375"/>
        <v>VERIFICAR</v>
      </c>
      <c r="H8064" s="22">
        <v>5.9999999999999998e-002</v>
      </c>
      <c r="I8064" s="23" t="str">
        <f t="shared" si="376"/>
        <v xml:space="preserve">COM VALOR</v>
      </c>
      <c r="J8064" s="19"/>
      <c r="L8064" s="21">
        <v>0</v>
      </c>
      <c r="M8064" s="22"/>
      <c r="N8064" s="21">
        <v>0</v>
      </c>
      <c r="O8064" s="22"/>
    </row>
    <row r="8065" ht="25.5">
      <c r="A8065" t="s">
        <v>8141</v>
      </c>
      <c r="B8065" s="19">
        <v>103598</v>
      </c>
      <c r="C8065" s="20" t="s">
        <v>8162</v>
      </c>
      <c r="D8065" s="19" t="s">
        <v>38</v>
      </c>
      <c r="E8065" s="21" t="str">
        <f t="shared" si="374"/>
        <v>VERIFICAR</v>
      </c>
      <c r="F8065" s="22">
        <v>5.9999999999999998e-002</v>
      </c>
      <c r="G8065" s="21" t="str">
        <f t="shared" si="375"/>
        <v>VERIFICAR</v>
      </c>
      <c r="H8065" s="22">
        <v>5.9999999999999998e-002</v>
      </c>
      <c r="I8065" s="23" t="str">
        <f t="shared" si="376"/>
        <v xml:space="preserve">COM VALOR</v>
      </c>
      <c r="J8065" s="19"/>
      <c r="L8065" s="21">
        <v>0</v>
      </c>
      <c r="M8065" s="22"/>
      <c r="N8065" s="21">
        <v>0</v>
      </c>
      <c r="O8065" s="22"/>
    </row>
    <row r="8066" ht="25.5">
      <c r="A8066" t="s">
        <v>8141</v>
      </c>
      <c r="B8066" s="19">
        <v>103621</v>
      </c>
      <c r="C8066" s="20" t="s">
        <v>8163</v>
      </c>
      <c r="D8066" s="19" t="s">
        <v>38</v>
      </c>
      <c r="E8066" s="21" t="str">
        <f t="shared" si="374"/>
        <v>VERIFICAR</v>
      </c>
      <c r="F8066" s="22">
        <v>5.9999999999999998e-002</v>
      </c>
      <c r="G8066" s="21" t="str">
        <f t="shared" si="375"/>
        <v>VERIFICAR</v>
      </c>
      <c r="H8066" s="22">
        <v>5.9999999999999998e-002</v>
      </c>
      <c r="I8066" s="23" t="str">
        <f t="shared" si="376"/>
        <v xml:space="preserve">COM VALOR</v>
      </c>
      <c r="J8066" s="19"/>
      <c r="L8066" s="21">
        <v>0</v>
      </c>
      <c r="M8066" s="22"/>
      <c r="N8066" s="21">
        <v>0</v>
      </c>
      <c r="O8066" s="22"/>
    </row>
    <row r="8067" ht="25.5">
      <c r="A8067" t="s">
        <v>8141</v>
      </c>
      <c r="B8067" s="19">
        <v>103643</v>
      </c>
      <c r="C8067" s="20" t="s">
        <v>8164</v>
      </c>
      <c r="D8067" s="19" t="s">
        <v>38</v>
      </c>
      <c r="E8067" s="21" t="str">
        <f t="shared" si="374"/>
        <v>VERIFICAR</v>
      </c>
      <c r="F8067" s="22">
        <v>5.9999999999999998e-002</v>
      </c>
      <c r="G8067" s="21" t="str">
        <f t="shared" si="375"/>
        <v>VERIFICAR</v>
      </c>
      <c r="H8067" s="22">
        <v>5.9999999999999998e-002</v>
      </c>
      <c r="I8067" s="23" t="str">
        <f t="shared" si="376"/>
        <v xml:space="preserve">COM VALOR</v>
      </c>
      <c r="J8067" s="19"/>
      <c r="L8067" s="21">
        <v>0</v>
      </c>
      <c r="M8067" s="22"/>
      <c r="N8067" s="21">
        <v>0</v>
      </c>
      <c r="O8067" s="22"/>
    </row>
    <row r="8068" ht="25.5">
      <c r="A8068" t="s">
        <v>8141</v>
      </c>
      <c r="B8068" s="19">
        <v>103599</v>
      </c>
      <c r="C8068" s="20" t="s">
        <v>8165</v>
      </c>
      <c r="D8068" s="19" t="s">
        <v>38</v>
      </c>
      <c r="E8068" s="21" t="str">
        <f t="shared" si="374"/>
        <v>VERIFICAR</v>
      </c>
      <c r="F8068" s="22">
        <v>5.0000000000000003e-002</v>
      </c>
      <c r="G8068" s="21" t="str">
        <f t="shared" si="375"/>
        <v>VERIFICAR</v>
      </c>
      <c r="H8068" s="22">
        <v>5.0000000000000003e-002</v>
      </c>
      <c r="I8068" s="23" t="str">
        <f t="shared" si="376"/>
        <v xml:space="preserve">COM VALOR</v>
      </c>
      <c r="J8068" s="19"/>
      <c r="L8068" s="21">
        <v>0</v>
      </c>
      <c r="M8068" s="22"/>
      <c r="N8068" s="21">
        <v>0</v>
      </c>
      <c r="O8068" s="22"/>
    </row>
    <row r="8069" ht="25.5">
      <c r="A8069" t="s">
        <v>8141</v>
      </c>
      <c r="B8069" s="19">
        <v>103622</v>
      </c>
      <c r="C8069" s="20" t="s">
        <v>8166</v>
      </c>
      <c r="D8069" s="19" t="s">
        <v>38</v>
      </c>
      <c r="E8069" s="21" t="str">
        <f t="shared" si="374"/>
        <v>VERIFICAR</v>
      </c>
      <c r="F8069" s="22">
        <v>5.0000000000000003e-002</v>
      </c>
      <c r="G8069" s="21" t="str">
        <f t="shared" si="375"/>
        <v>VERIFICAR</v>
      </c>
      <c r="H8069" s="22">
        <v>5.9999999999999998e-002</v>
      </c>
      <c r="I8069" s="23" t="str">
        <f t="shared" si="376"/>
        <v xml:space="preserve">COM VALOR</v>
      </c>
      <c r="J8069" s="19"/>
      <c r="L8069" s="21">
        <v>0</v>
      </c>
      <c r="M8069" s="22"/>
      <c r="N8069" s="21">
        <v>0</v>
      </c>
      <c r="O8069" s="22"/>
    </row>
    <row r="8070" ht="25.5">
      <c r="A8070" t="s">
        <v>8141</v>
      </c>
      <c r="B8070" s="19">
        <v>103644</v>
      </c>
      <c r="C8070" s="20" t="s">
        <v>8167</v>
      </c>
      <c r="D8070" s="19" t="s">
        <v>38</v>
      </c>
      <c r="E8070" s="21" t="str">
        <f t="shared" si="374"/>
        <v>VERIFICAR</v>
      </c>
      <c r="F8070" s="22">
        <v>5.0000000000000003e-002</v>
      </c>
      <c r="G8070" s="21" t="str">
        <f t="shared" si="375"/>
        <v>VERIFICAR</v>
      </c>
      <c r="H8070" s="22">
        <v>5.0000000000000003e-002</v>
      </c>
      <c r="I8070" s="23" t="str">
        <f t="shared" si="376"/>
        <v xml:space="preserve">COM VALOR</v>
      </c>
      <c r="J8070" s="19"/>
      <c r="L8070" s="21">
        <v>0</v>
      </c>
      <c r="M8070" s="22"/>
      <c r="N8070" s="21">
        <v>0</v>
      </c>
      <c r="O8070" s="22"/>
    </row>
    <row r="8071" ht="25.5">
      <c r="A8071" t="s">
        <v>8141</v>
      </c>
      <c r="B8071" s="19">
        <v>103600</v>
      </c>
      <c r="C8071" s="20" t="s">
        <v>8168</v>
      </c>
      <c r="D8071" s="19" t="s">
        <v>38</v>
      </c>
      <c r="E8071" s="21" t="str">
        <f t="shared" si="374"/>
        <v>VERIFICAR</v>
      </c>
      <c r="F8071" s="22">
        <v>5.0000000000000003e-002</v>
      </c>
      <c r="G8071" s="21" t="str">
        <f t="shared" si="375"/>
        <v>VERIFICAR</v>
      </c>
      <c r="H8071" s="22">
        <v>5.0000000000000003e-002</v>
      </c>
      <c r="I8071" s="23" t="str">
        <f t="shared" si="376"/>
        <v xml:space="preserve">COM VALOR</v>
      </c>
      <c r="J8071" s="19"/>
      <c r="L8071" s="21">
        <v>0</v>
      </c>
      <c r="M8071" s="22"/>
      <c r="N8071" s="21">
        <v>0</v>
      </c>
      <c r="O8071" s="22"/>
    </row>
    <row r="8072" ht="25.5">
      <c r="A8072" t="s">
        <v>8141</v>
      </c>
      <c r="B8072" s="19">
        <v>103610</v>
      </c>
      <c r="C8072" s="20" t="s">
        <v>8169</v>
      </c>
      <c r="D8072" s="19" t="s">
        <v>38</v>
      </c>
      <c r="E8072" s="21" t="str">
        <f t="shared" si="374"/>
        <v>VERIFICAR</v>
      </c>
      <c r="F8072" s="22">
        <v>4.0000000000000001e-002</v>
      </c>
      <c r="G8072" s="21" t="str">
        <f t="shared" si="375"/>
        <v>VERIFICAR</v>
      </c>
      <c r="H8072" s="22">
        <v>4.0000000000000001e-002</v>
      </c>
      <c r="I8072" s="23" t="str">
        <f t="shared" si="376"/>
        <v xml:space="preserve">COM VALOR</v>
      </c>
      <c r="J8072" s="19"/>
      <c r="L8072" s="21">
        <v>0</v>
      </c>
      <c r="M8072" s="22"/>
      <c r="N8072" s="21">
        <v>0</v>
      </c>
      <c r="O8072" s="22"/>
    </row>
    <row r="8073" ht="25.5">
      <c r="A8073" t="s">
        <v>8141</v>
      </c>
      <c r="B8073" s="19">
        <v>103632</v>
      </c>
      <c r="C8073" s="20" t="s">
        <v>8170</v>
      </c>
      <c r="D8073" s="19" t="s">
        <v>38</v>
      </c>
      <c r="E8073" s="21" t="str">
        <f t="shared" si="374"/>
        <v>VERIFICAR</v>
      </c>
      <c r="F8073" s="22">
        <v>4.0000000000000001e-002</v>
      </c>
      <c r="G8073" s="21" t="str">
        <f t="shared" si="375"/>
        <v>VERIFICAR</v>
      </c>
      <c r="H8073" s="22">
        <v>4.0000000000000001e-002</v>
      </c>
      <c r="I8073" s="23" t="str">
        <f t="shared" si="376"/>
        <v xml:space="preserve">COM VALOR</v>
      </c>
      <c r="J8073" s="19"/>
      <c r="L8073" s="21">
        <v>0</v>
      </c>
      <c r="M8073" s="22"/>
      <c r="N8073" s="21">
        <v>0</v>
      </c>
      <c r="O8073" s="22"/>
    </row>
    <row r="8074" ht="25.5">
      <c r="A8074" t="s">
        <v>8141</v>
      </c>
      <c r="B8074" s="19">
        <v>103588</v>
      </c>
      <c r="C8074" s="20" t="s">
        <v>8171</v>
      </c>
      <c r="D8074" s="19" t="s">
        <v>38</v>
      </c>
      <c r="E8074" s="21" t="str">
        <f t="shared" si="374"/>
        <v>VERIFICAR</v>
      </c>
      <c r="F8074" s="22">
        <v>2.9999999999999999e-002</v>
      </c>
      <c r="G8074" s="21" t="str">
        <f t="shared" si="375"/>
        <v>VERIFICAR</v>
      </c>
      <c r="H8074" s="22">
        <v>2.9999999999999999e-002</v>
      </c>
      <c r="I8074" s="23" t="str">
        <f t="shared" si="376"/>
        <v xml:space="preserve">COM VALOR</v>
      </c>
      <c r="J8074" s="19"/>
      <c r="L8074" s="21">
        <v>0</v>
      </c>
      <c r="M8074" s="22"/>
      <c r="N8074" s="21">
        <v>0</v>
      </c>
      <c r="O8074" s="22"/>
    </row>
    <row r="8075" ht="25.5">
      <c r="A8075" t="s">
        <v>8141</v>
      </c>
      <c r="B8075" s="19">
        <v>103623</v>
      </c>
      <c r="C8075" s="20" t="s">
        <v>8172</v>
      </c>
      <c r="D8075" s="19" t="s">
        <v>38</v>
      </c>
      <c r="E8075" s="21" t="str">
        <f t="shared" ref="E8075:E8138" si="377">IF(L8075=0,"VERIFICAR",L8075)</f>
        <v>VERIFICAR</v>
      </c>
      <c r="F8075" s="22">
        <v>8.0000000000000002e-002</v>
      </c>
      <c r="G8075" s="21" t="str">
        <f t="shared" ref="G8075:G8138" si="378">IF(N8075=0,"VERIFICAR",N8075)</f>
        <v>VERIFICAR</v>
      </c>
      <c r="H8075" s="22">
        <v>8.0000000000000002e-002</v>
      </c>
      <c r="I8075" s="23" t="str">
        <f t="shared" ref="I8075:I8138" si="379">IF(OR(E8075=0,G8075=0),"SEM VALOR","COM VALOR")</f>
        <v xml:space="preserve">COM VALOR</v>
      </c>
      <c r="J8075" s="19"/>
      <c r="L8075" s="21">
        <v>0</v>
      </c>
      <c r="M8075" s="22"/>
      <c r="N8075" s="21">
        <v>0</v>
      </c>
      <c r="O8075" s="22"/>
    </row>
    <row r="8076" ht="25.5">
      <c r="A8076" t="s">
        <v>8141</v>
      </c>
      <c r="B8076" s="19">
        <v>103645</v>
      </c>
      <c r="C8076" s="20" t="s">
        <v>8173</v>
      </c>
      <c r="D8076" s="19" t="s">
        <v>38</v>
      </c>
      <c r="E8076" s="21" t="str">
        <f t="shared" si="377"/>
        <v>VERIFICAR</v>
      </c>
      <c r="F8076" s="22">
        <v>7.0000000000000007e-002</v>
      </c>
      <c r="G8076" s="21" t="str">
        <f t="shared" si="378"/>
        <v>VERIFICAR</v>
      </c>
      <c r="H8076" s="22">
        <v>7.0000000000000007e-002</v>
      </c>
      <c r="I8076" s="23" t="str">
        <f t="shared" si="379"/>
        <v xml:space="preserve">COM VALOR</v>
      </c>
      <c r="J8076" s="19"/>
      <c r="L8076" s="21">
        <v>0</v>
      </c>
      <c r="M8076" s="22"/>
      <c r="N8076" s="21">
        <v>0</v>
      </c>
      <c r="O8076" s="22"/>
    </row>
    <row r="8077" ht="25.5">
      <c r="A8077" t="s">
        <v>8141</v>
      </c>
      <c r="B8077" s="19">
        <v>103601</v>
      </c>
      <c r="C8077" s="20" t="s">
        <v>8174</v>
      </c>
      <c r="D8077" s="19" t="s">
        <v>38</v>
      </c>
      <c r="E8077" s="21" t="str">
        <f t="shared" si="377"/>
        <v>VERIFICAR</v>
      </c>
      <c r="F8077" s="22">
        <v>5.9999999999999998e-002</v>
      </c>
      <c r="G8077" s="21" t="str">
        <f t="shared" si="378"/>
        <v>VERIFICAR</v>
      </c>
      <c r="H8077" s="22">
        <v>5.9999999999999998e-002</v>
      </c>
      <c r="I8077" s="23" t="str">
        <f t="shared" si="379"/>
        <v xml:space="preserve">COM VALOR</v>
      </c>
      <c r="J8077" s="19"/>
      <c r="L8077" s="21">
        <v>0</v>
      </c>
      <c r="M8077" s="22"/>
      <c r="N8077" s="21">
        <v>0</v>
      </c>
      <c r="O8077" s="22"/>
    </row>
    <row r="8078" ht="25.5">
      <c r="A8078" t="s">
        <v>8141</v>
      </c>
      <c r="B8078" s="19">
        <v>103624</v>
      </c>
      <c r="C8078" s="20" t="s">
        <v>8175</v>
      </c>
      <c r="D8078" s="19" t="s">
        <v>38</v>
      </c>
      <c r="E8078" s="21" t="str">
        <f t="shared" si="377"/>
        <v>VERIFICAR</v>
      </c>
      <c r="F8078" s="22">
        <v>5.0000000000000003e-002</v>
      </c>
      <c r="G8078" s="21" t="str">
        <f t="shared" si="378"/>
        <v>VERIFICAR</v>
      </c>
      <c r="H8078" s="22">
        <v>5.0000000000000003e-002</v>
      </c>
      <c r="I8078" s="23" t="str">
        <f t="shared" si="379"/>
        <v xml:space="preserve">COM VALOR</v>
      </c>
      <c r="J8078" s="19"/>
      <c r="L8078" s="21">
        <v>0</v>
      </c>
      <c r="M8078" s="22"/>
      <c r="N8078" s="21">
        <v>0</v>
      </c>
      <c r="O8078" s="22"/>
    </row>
    <row r="8079" ht="25.5">
      <c r="A8079" t="s">
        <v>8141</v>
      </c>
      <c r="B8079" s="19">
        <v>103646</v>
      </c>
      <c r="C8079" s="20" t="s">
        <v>8176</v>
      </c>
      <c r="D8079" s="19" t="s">
        <v>38</v>
      </c>
      <c r="E8079" s="21" t="str">
        <f t="shared" si="377"/>
        <v>VERIFICAR</v>
      </c>
      <c r="F8079" s="22">
        <v>8.0000000000000002e-002</v>
      </c>
      <c r="G8079" s="21" t="str">
        <f t="shared" si="378"/>
        <v>VERIFICAR</v>
      </c>
      <c r="H8079" s="22">
        <v>8.0000000000000002e-002</v>
      </c>
      <c r="I8079" s="23" t="str">
        <f t="shared" si="379"/>
        <v xml:space="preserve">COM VALOR</v>
      </c>
      <c r="J8079" s="19"/>
      <c r="L8079" s="21">
        <v>0</v>
      </c>
      <c r="M8079" s="22"/>
      <c r="N8079" s="21">
        <v>0</v>
      </c>
      <c r="O8079" s="22"/>
    </row>
    <row r="8080" ht="25.5">
      <c r="A8080" t="s">
        <v>8141</v>
      </c>
      <c r="B8080" s="19">
        <v>103602</v>
      </c>
      <c r="C8080" s="20" t="s">
        <v>8177</v>
      </c>
      <c r="D8080" s="19" t="s">
        <v>38</v>
      </c>
      <c r="E8080" s="21" t="str">
        <f t="shared" si="377"/>
        <v>VERIFICAR</v>
      </c>
      <c r="F8080" s="22"/>
      <c r="G8080" s="21" t="str">
        <f t="shared" si="378"/>
        <v>VERIFICAR</v>
      </c>
      <c r="H8080" s="22"/>
      <c r="I8080" s="23" t="str">
        <f t="shared" si="379"/>
        <v xml:space="preserve">COM VALOR</v>
      </c>
      <c r="J8080" s="19"/>
      <c r="L8080" s="21">
        <v>0</v>
      </c>
      <c r="M8080" s="22"/>
      <c r="N8080" s="21">
        <v>0</v>
      </c>
      <c r="O8080" s="22"/>
    </row>
    <row r="8081" ht="25.5">
      <c r="A8081" t="s">
        <v>8141</v>
      </c>
      <c r="B8081" s="19">
        <v>103625</v>
      </c>
      <c r="C8081" s="20" t="s">
        <v>8178</v>
      </c>
      <c r="D8081" s="19" t="s">
        <v>38</v>
      </c>
      <c r="E8081" s="21" t="str">
        <f t="shared" si="377"/>
        <v>VERIFICAR</v>
      </c>
      <c r="F8081" s="22"/>
      <c r="G8081" s="21" t="str">
        <f t="shared" si="378"/>
        <v>VERIFICAR</v>
      </c>
      <c r="H8081" s="22"/>
      <c r="I8081" s="23" t="str">
        <f t="shared" si="379"/>
        <v xml:space="preserve">COM VALOR</v>
      </c>
      <c r="J8081" s="19"/>
      <c r="L8081" s="21">
        <v>0</v>
      </c>
      <c r="M8081" s="22"/>
      <c r="N8081" s="21">
        <v>0</v>
      </c>
      <c r="O8081" s="22"/>
    </row>
    <row r="8082" ht="25.5">
      <c r="A8082" t="s">
        <v>8141</v>
      </c>
      <c r="B8082" s="19">
        <v>103647</v>
      </c>
      <c r="C8082" s="20" t="s">
        <v>8179</v>
      </c>
      <c r="D8082" s="19" t="s">
        <v>38</v>
      </c>
      <c r="E8082" s="21" t="str">
        <f t="shared" si="377"/>
        <v>VERIFICAR</v>
      </c>
      <c r="F8082" s="22"/>
      <c r="G8082" s="21" t="str">
        <f t="shared" si="378"/>
        <v>VERIFICAR</v>
      </c>
      <c r="H8082" s="22"/>
      <c r="I8082" s="23" t="str">
        <f t="shared" si="379"/>
        <v xml:space="preserve">COM VALOR</v>
      </c>
      <c r="J8082" s="19"/>
      <c r="L8082" s="21">
        <v>0</v>
      </c>
      <c r="M8082" s="22"/>
      <c r="N8082" s="21">
        <v>0</v>
      </c>
      <c r="O8082" s="22"/>
    </row>
    <row r="8083" ht="25.5">
      <c r="A8083" t="s">
        <v>8141</v>
      </c>
      <c r="B8083" s="19">
        <v>103603</v>
      </c>
      <c r="C8083" s="20" t="s">
        <v>8180</v>
      </c>
      <c r="D8083" s="19" t="s">
        <v>38</v>
      </c>
      <c r="E8083" s="21" t="str">
        <f t="shared" si="377"/>
        <v>VERIFICAR</v>
      </c>
      <c r="F8083" s="22"/>
      <c r="G8083" s="21" t="str">
        <f t="shared" si="378"/>
        <v>VERIFICAR</v>
      </c>
      <c r="H8083" s="22"/>
      <c r="I8083" s="23" t="str">
        <f t="shared" si="379"/>
        <v xml:space="preserve">COM VALOR</v>
      </c>
      <c r="J8083" s="19"/>
      <c r="L8083" s="21">
        <v>0</v>
      </c>
      <c r="M8083" s="22"/>
      <c r="N8083" s="21">
        <v>0</v>
      </c>
      <c r="O8083" s="22"/>
    </row>
    <row r="8084" ht="25.5">
      <c r="A8084" t="s">
        <v>8141</v>
      </c>
      <c r="B8084" s="19">
        <v>103611</v>
      </c>
      <c r="C8084" s="20" t="s">
        <v>8181</v>
      </c>
      <c r="D8084" s="19" t="s">
        <v>38</v>
      </c>
      <c r="E8084" s="21" t="str">
        <f t="shared" si="377"/>
        <v>VERIFICAR</v>
      </c>
      <c r="F8084" s="22"/>
      <c r="G8084" s="21" t="str">
        <f t="shared" si="378"/>
        <v>VERIFICAR</v>
      </c>
      <c r="H8084" s="22"/>
      <c r="I8084" s="23" t="str">
        <f t="shared" si="379"/>
        <v xml:space="preserve">COM VALOR</v>
      </c>
      <c r="J8084" s="19"/>
      <c r="L8084" s="21">
        <v>0</v>
      </c>
      <c r="M8084" s="22"/>
      <c r="N8084" s="21">
        <v>0</v>
      </c>
      <c r="O8084" s="22"/>
    </row>
    <row r="8085" ht="25.5">
      <c r="A8085" t="s">
        <v>8141</v>
      </c>
      <c r="B8085" s="19">
        <v>103633</v>
      </c>
      <c r="C8085" s="20" t="s">
        <v>8182</v>
      </c>
      <c r="D8085" s="19" t="s">
        <v>38</v>
      </c>
      <c r="E8085" s="21" t="str">
        <f t="shared" si="377"/>
        <v>VERIFICAR</v>
      </c>
      <c r="F8085" s="22"/>
      <c r="G8085" s="21" t="str">
        <f t="shared" si="378"/>
        <v>VERIFICAR</v>
      </c>
      <c r="H8085" s="22"/>
      <c r="I8085" s="23" t="str">
        <f t="shared" si="379"/>
        <v xml:space="preserve">COM VALOR</v>
      </c>
      <c r="J8085" s="19"/>
      <c r="L8085" s="21">
        <v>0</v>
      </c>
      <c r="M8085" s="22"/>
      <c r="N8085" s="21">
        <v>0</v>
      </c>
      <c r="O8085" s="22"/>
    </row>
    <row r="8086" ht="25.5">
      <c r="A8086" t="s">
        <v>8141</v>
      </c>
      <c r="B8086" s="19">
        <v>103589</v>
      </c>
      <c r="C8086" s="20" t="s">
        <v>8183</v>
      </c>
      <c r="D8086" s="19" t="s">
        <v>38</v>
      </c>
      <c r="E8086" s="21" t="str">
        <f t="shared" si="377"/>
        <v>VERIFICAR</v>
      </c>
      <c r="F8086" s="22"/>
      <c r="G8086" s="21" t="str">
        <f t="shared" si="378"/>
        <v>VERIFICAR</v>
      </c>
      <c r="H8086" s="22"/>
      <c r="I8086" s="23" t="str">
        <f t="shared" si="379"/>
        <v xml:space="preserve">COM VALOR</v>
      </c>
      <c r="J8086" s="19"/>
      <c r="L8086" s="21">
        <v>0</v>
      </c>
      <c r="M8086" s="22"/>
      <c r="N8086" s="21">
        <v>0</v>
      </c>
      <c r="O8086" s="22"/>
    </row>
    <row r="8087" ht="25.5">
      <c r="A8087" t="s">
        <v>8141</v>
      </c>
      <c r="B8087" s="19">
        <v>103626</v>
      </c>
      <c r="C8087" s="20" t="s">
        <v>8184</v>
      </c>
      <c r="D8087" s="19" t="s">
        <v>38</v>
      </c>
      <c r="E8087" s="21" t="str">
        <f t="shared" si="377"/>
        <v>VERIFICAR</v>
      </c>
      <c r="F8087" s="22"/>
      <c r="G8087" s="21" t="str">
        <f t="shared" si="378"/>
        <v>VERIFICAR</v>
      </c>
      <c r="H8087" s="22"/>
      <c r="I8087" s="23" t="str">
        <f t="shared" si="379"/>
        <v xml:space="preserve">COM VALOR</v>
      </c>
      <c r="J8087" s="19"/>
      <c r="L8087" s="21">
        <v>0</v>
      </c>
      <c r="M8087" s="22"/>
      <c r="N8087" s="21">
        <v>0</v>
      </c>
      <c r="O8087" s="22"/>
    </row>
    <row r="8088" ht="25.5">
      <c r="A8088" t="s">
        <v>8141</v>
      </c>
      <c r="B8088" s="19">
        <v>103648</v>
      </c>
      <c r="C8088" s="20" t="s">
        <v>8185</v>
      </c>
      <c r="D8088" s="19" t="s">
        <v>38</v>
      </c>
      <c r="E8088" s="21" t="str">
        <f t="shared" si="377"/>
        <v>VERIFICAR</v>
      </c>
      <c r="F8088" s="22"/>
      <c r="G8088" s="21" t="str">
        <f t="shared" si="378"/>
        <v>VERIFICAR</v>
      </c>
      <c r="H8088" s="22"/>
      <c r="I8088" s="23" t="str">
        <f t="shared" si="379"/>
        <v xml:space="preserve">COM VALOR</v>
      </c>
      <c r="J8088" s="19"/>
      <c r="L8088" s="21">
        <v>0</v>
      </c>
      <c r="M8088" s="22"/>
      <c r="N8088" s="21">
        <v>0</v>
      </c>
      <c r="O8088" s="22"/>
    </row>
    <row r="8089" ht="25.5">
      <c r="A8089" t="s">
        <v>8141</v>
      </c>
      <c r="B8089" s="19">
        <v>103604</v>
      </c>
      <c r="C8089" s="20" t="s">
        <v>8186</v>
      </c>
      <c r="D8089" s="19" t="s">
        <v>38</v>
      </c>
      <c r="E8089" s="21" t="str">
        <f t="shared" si="377"/>
        <v>VERIFICAR</v>
      </c>
      <c r="F8089" s="22"/>
      <c r="G8089" s="21" t="str">
        <f t="shared" si="378"/>
        <v>VERIFICAR</v>
      </c>
      <c r="H8089" s="22"/>
      <c r="I8089" s="23" t="str">
        <f t="shared" si="379"/>
        <v xml:space="preserve">COM VALOR</v>
      </c>
      <c r="J8089" s="19"/>
      <c r="L8089" s="21">
        <v>0</v>
      </c>
      <c r="M8089" s="22"/>
      <c r="N8089" s="21">
        <v>0</v>
      </c>
      <c r="O8089" s="22"/>
    </row>
    <row r="8090" ht="25.5">
      <c r="A8090" t="s">
        <v>8141</v>
      </c>
      <c r="B8090" s="19">
        <v>103627</v>
      </c>
      <c r="C8090" s="20" t="s">
        <v>8187</v>
      </c>
      <c r="D8090" s="19" t="s">
        <v>38</v>
      </c>
      <c r="E8090" s="21" t="str">
        <f t="shared" si="377"/>
        <v>VERIFICAR</v>
      </c>
      <c r="F8090" s="22"/>
      <c r="G8090" s="21" t="str">
        <f t="shared" si="378"/>
        <v>VERIFICAR</v>
      </c>
      <c r="H8090" s="22"/>
      <c r="I8090" s="23" t="str">
        <f t="shared" si="379"/>
        <v xml:space="preserve">COM VALOR</v>
      </c>
      <c r="J8090" s="19"/>
      <c r="L8090" s="21">
        <v>0</v>
      </c>
      <c r="M8090" s="22"/>
      <c r="N8090" s="21">
        <v>0</v>
      </c>
      <c r="O8090" s="22"/>
    </row>
    <row r="8091" ht="25.5">
      <c r="A8091" t="s">
        <v>8141</v>
      </c>
      <c r="B8091" s="19">
        <v>103649</v>
      </c>
      <c r="C8091" s="20" t="s">
        <v>8188</v>
      </c>
      <c r="D8091" s="19" t="s">
        <v>38</v>
      </c>
      <c r="E8091" s="21" t="str">
        <f t="shared" si="377"/>
        <v>VERIFICAR</v>
      </c>
      <c r="F8091" s="22"/>
      <c r="G8091" s="21" t="str">
        <f t="shared" si="378"/>
        <v>VERIFICAR</v>
      </c>
      <c r="H8091" s="22"/>
      <c r="I8091" s="23" t="str">
        <f t="shared" si="379"/>
        <v xml:space="preserve">COM VALOR</v>
      </c>
      <c r="J8091" s="19"/>
      <c r="L8091" s="21">
        <v>0</v>
      </c>
      <c r="M8091" s="22"/>
      <c r="N8091" s="21">
        <v>0</v>
      </c>
      <c r="O8091" s="22"/>
    </row>
    <row r="8092" ht="25.5">
      <c r="A8092" t="s">
        <v>8141</v>
      </c>
      <c r="B8092" s="19">
        <v>103605</v>
      </c>
      <c r="C8092" s="20" t="s">
        <v>8189</v>
      </c>
      <c r="D8092" s="19" t="s">
        <v>38</v>
      </c>
      <c r="E8092" s="21" t="str">
        <f t="shared" si="377"/>
        <v>VERIFICAR</v>
      </c>
      <c r="F8092" s="22">
        <v>0.78000000000000003</v>
      </c>
      <c r="G8092" s="21" t="str">
        <f t="shared" si="378"/>
        <v>VERIFICAR</v>
      </c>
      <c r="H8092" s="22">
        <v>0.78000000000000003</v>
      </c>
      <c r="I8092" s="23" t="str">
        <f t="shared" si="379"/>
        <v xml:space="preserve">COM VALOR</v>
      </c>
      <c r="J8092" s="19"/>
      <c r="L8092" s="21">
        <v>0</v>
      </c>
      <c r="M8092" s="22"/>
      <c r="N8092" s="21">
        <v>0</v>
      </c>
      <c r="O8092" s="22"/>
    </row>
    <row r="8093" ht="25.5">
      <c r="A8093" t="s">
        <v>8141</v>
      </c>
      <c r="B8093" s="19">
        <v>103612</v>
      </c>
      <c r="C8093" s="20" t="s">
        <v>8190</v>
      </c>
      <c r="D8093" s="19" t="s">
        <v>38</v>
      </c>
      <c r="E8093" s="21" t="str">
        <f t="shared" si="377"/>
        <v>VERIFICAR</v>
      </c>
      <c r="F8093" s="22"/>
      <c r="G8093" s="21" t="str">
        <f t="shared" si="378"/>
        <v>VERIFICAR</v>
      </c>
      <c r="H8093" s="22"/>
      <c r="I8093" s="23" t="str">
        <f t="shared" si="379"/>
        <v xml:space="preserve">COM VALOR</v>
      </c>
      <c r="J8093" s="19"/>
      <c r="L8093" s="21">
        <v>0</v>
      </c>
      <c r="M8093" s="22"/>
      <c r="N8093" s="21">
        <v>0</v>
      </c>
      <c r="O8093" s="22"/>
    </row>
    <row r="8094" ht="25.5">
      <c r="A8094" t="s">
        <v>8141</v>
      </c>
      <c r="B8094" s="19">
        <v>103634</v>
      </c>
      <c r="C8094" s="20" t="s">
        <v>8191</v>
      </c>
      <c r="D8094" s="19" t="s">
        <v>38</v>
      </c>
      <c r="E8094" s="21" t="str">
        <f t="shared" si="377"/>
        <v>VERIFICAR</v>
      </c>
      <c r="F8094" s="22"/>
      <c r="G8094" s="21" t="str">
        <f t="shared" si="378"/>
        <v>VERIFICAR</v>
      </c>
      <c r="H8094" s="22"/>
      <c r="I8094" s="23" t="str">
        <f t="shared" si="379"/>
        <v xml:space="preserve">COM VALOR</v>
      </c>
      <c r="J8094" s="19"/>
      <c r="L8094" s="21">
        <v>0</v>
      </c>
      <c r="M8094" s="22"/>
      <c r="N8094" s="21">
        <v>0</v>
      </c>
      <c r="O8094" s="22"/>
    </row>
    <row r="8095" ht="25.5">
      <c r="A8095" t="s">
        <v>8141</v>
      </c>
      <c r="B8095" s="19">
        <v>103590</v>
      </c>
      <c r="C8095" s="20" t="s">
        <v>8192</v>
      </c>
      <c r="D8095" s="19" t="s">
        <v>38</v>
      </c>
      <c r="E8095" s="21" t="str">
        <f t="shared" si="377"/>
        <v>VERIFICAR</v>
      </c>
      <c r="F8095" s="22"/>
      <c r="G8095" s="21" t="str">
        <f t="shared" si="378"/>
        <v>VERIFICAR</v>
      </c>
      <c r="H8095" s="22"/>
      <c r="I8095" s="23" t="str">
        <f t="shared" si="379"/>
        <v xml:space="preserve">COM VALOR</v>
      </c>
      <c r="J8095" s="19"/>
      <c r="L8095" s="21">
        <v>0</v>
      </c>
      <c r="M8095" s="22"/>
      <c r="N8095" s="21">
        <v>0</v>
      </c>
      <c r="O8095" s="22"/>
    </row>
    <row r="8096" ht="25.5">
      <c r="A8096" t="s">
        <v>8141</v>
      </c>
      <c r="B8096" s="19">
        <v>103628</v>
      </c>
      <c r="C8096" s="20" t="s">
        <v>8193</v>
      </c>
      <c r="D8096" s="19" t="s">
        <v>38</v>
      </c>
      <c r="E8096" s="21" t="str">
        <f t="shared" si="377"/>
        <v>VERIFICAR</v>
      </c>
      <c r="F8096" s="22">
        <v>0.70999999999999996</v>
      </c>
      <c r="G8096" s="21" t="str">
        <f t="shared" si="378"/>
        <v>VERIFICAR</v>
      </c>
      <c r="H8096" s="22">
        <v>0.70999999999999996</v>
      </c>
      <c r="I8096" s="23" t="str">
        <f t="shared" si="379"/>
        <v xml:space="preserve">COM VALOR</v>
      </c>
      <c r="J8096" s="19"/>
      <c r="L8096" s="21">
        <v>0</v>
      </c>
      <c r="M8096" s="22"/>
      <c r="N8096" s="21">
        <v>0</v>
      </c>
      <c r="O8096" s="22"/>
    </row>
    <row r="8097" ht="25.5">
      <c r="A8097" t="s">
        <v>8141</v>
      </c>
      <c r="B8097" s="19">
        <v>103650</v>
      </c>
      <c r="C8097" s="20" t="s">
        <v>8194</v>
      </c>
      <c r="D8097" s="19" t="s">
        <v>38</v>
      </c>
      <c r="E8097" s="21" t="str">
        <f t="shared" si="377"/>
        <v>VERIFICAR</v>
      </c>
      <c r="F8097" s="22"/>
      <c r="G8097" s="21" t="str">
        <f t="shared" si="378"/>
        <v>VERIFICAR</v>
      </c>
      <c r="H8097" s="22"/>
      <c r="I8097" s="23" t="str">
        <f t="shared" si="379"/>
        <v xml:space="preserve">COM VALOR</v>
      </c>
      <c r="J8097" s="19"/>
      <c r="L8097" s="21">
        <v>0</v>
      </c>
      <c r="M8097" s="22"/>
      <c r="N8097" s="21">
        <v>0</v>
      </c>
      <c r="O8097" s="22"/>
    </row>
    <row r="8098" ht="25.5">
      <c r="A8098" t="s">
        <v>8141</v>
      </c>
      <c r="B8098" s="19">
        <v>103606</v>
      </c>
      <c r="C8098" s="20" t="s">
        <v>8195</v>
      </c>
      <c r="D8098" s="19" t="s">
        <v>38</v>
      </c>
      <c r="E8098" s="21" t="str">
        <f t="shared" si="377"/>
        <v>VERIFICAR</v>
      </c>
      <c r="F8098" s="22"/>
      <c r="G8098" s="21" t="str">
        <f t="shared" si="378"/>
        <v>VERIFICAR</v>
      </c>
      <c r="H8098" s="22"/>
      <c r="I8098" s="23" t="str">
        <f t="shared" si="379"/>
        <v xml:space="preserve">COM VALOR</v>
      </c>
      <c r="J8098" s="19"/>
      <c r="L8098" s="21">
        <v>0</v>
      </c>
      <c r="M8098" s="22"/>
      <c r="N8098" s="21">
        <v>0</v>
      </c>
      <c r="O8098" s="22"/>
    </row>
    <row r="8099" ht="25.5">
      <c r="A8099" t="s">
        <v>8141</v>
      </c>
      <c r="B8099" s="19">
        <v>103629</v>
      </c>
      <c r="C8099" s="20" t="s">
        <v>8196</v>
      </c>
      <c r="D8099" s="19" t="s">
        <v>38</v>
      </c>
      <c r="E8099" s="21" t="str">
        <f t="shared" si="377"/>
        <v>VERIFICAR</v>
      </c>
      <c r="F8099" s="22"/>
      <c r="G8099" s="21" t="str">
        <f t="shared" si="378"/>
        <v>VERIFICAR</v>
      </c>
      <c r="H8099" s="22"/>
      <c r="I8099" s="23" t="str">
        <f t="shared" si="379"/>
        <v xml:space="preserve">COM VALOR</v>
      </c>
      <c r="J8099" s="19"/>
      <c r="L8099" s="21">
        <v>0</v>
      </c>
      <c r="M8099" s="22"/>
      <c r="N8099" s="21">
        <v>0</v>
      </c>
      <c r="O8099" s="22"/>
    </row>
    <row r="8100" ht="25.5">
      <c r="A8100" t="s">
        <v>8141</v>
      </c>
      <c r="B8100" s="19">
        <v>103651</v>
      </c>
      <c r="C8100" s="20" t="s">
        <v>8197</v>
      </c>
      <c r="D8100" s="19" t="s">
        <v>38</v>
      </c>
      <c r="E8100" s="21" t="str">
        <f t="shared" si="377"/>
        <v>VERIFICAR</v>
      </c>
      <c r="F8100" s="22"/>
      <c r="G8100" s="21" t="str">
        <f t="shared" si="378"/>
        <v>VERIFICAR</v>
      </c>
      <c r="H8100" s="22"/>
      <c r="I8100" s="23" t="str">
        <f t="shared" si="379"/>
        <v xml:space="preserve">COM VALOR</v>
      </c>
      <c r="J8100" s="19"/>
      <c r="L8100" s="21">
        <v>0</v>
      </c>
      <c r="M8100" s="22"/>
      <c r="N8100" s="21">
        <v>0</v>
      </c>
      <c r="O8100" s="22"/>
    </row>
    <row r="8101" ht="25.5">
      <c r="A8101" t="s">
        <v>8141</v>
      </c>
      <c r="B8101" s="19">
        <v>103607</v>
      </c>
      <c r="C8101" s="20" t="s">
        <v>8198</v>
      </c>
      <c r="D8101" s="19" t="s">
        <v>38</v>
      </c>
      <c r="E8101" s="21" t="str">
        <f t="shared" si="377"/>
        <v>VERIFICAR</v>
      </c>
      <c r="F8101" s="22">
        <v>0.77000000000000002</v>
      </c>
      <c r="G8101" s="21" t="str">
        <f t="shared" si="378"/>
        <v>VERIFICAR</v>
      </c>
      <c r="H8101" s="22">
        <v>0.78000000000000003</v>
      </c>
      <c r="I8101" s="23" t="str">
        <f t="shared" si="379"/>
        <v xml:space="preserve">COM VALOR</v>
      </c>
      <c r="J8101" s="19"/>
      <c r="L8101" s="21">
        <v>0</v>
      </c>
      <c r="M8101" s="22"/>
      <c r="N8101" s="21">
        <v>0</v>
      </c>
      <c r="O8101" s="22"/>
    </row>
    <row r="8102" ht="25.5">
      <c r="A8102" t="s">
        <v>8141</v>
      </c>
      <c r="B8102" s="19">
        <v>103613</v>
      </c>
      <c r="C8102" s="20" t="s">
        <v>8199</v>
      </c>
      <c r="D8102" s="19" t="s">
        <v>38</v>
      </c>
      <c r="E8102" s="21" t="str">
        <f t="shared" si="377"/>
        <v>VERIFICAR</v>
      </c>
      <c r="F8102" s="22"/>
      <c r="G8102" s="21" t="str">
        <f t="shared" si="378"/>
        <v>VERIFICAR</v>
      </c>
      <c r="H8102" s="22"/>
      <c r="I8102" s="23" t="str">
        <f t="shared" si="379"/>
        <v xml:space="preserve">COM VALOR</v>
      </c>
      <c r="J8102" s="19"/>
      <c r="L8102" s="21">
        <v>0</v>
      </c>
      <c r="M8102" s="22"/>
      <c r="N8102" s="21">
        <v>0</v>
      </c>
      <c r="O8102" s="22"/>
    </row>
    <row r="8103" ht="25.5">
      <c r="A8103" t="s">
        <v>8141</v>
      </c>
      <c r="B8103" s="19">
        <v>103635</v>
      </c>
      <c r="C8103" s="20" t="s">
        <v>8200</v>
      </c>
      <c r="D8103" s="19" t="s">
        <v>38</v>
      </c>
      <c r="E8103" s="21" t="str">
        <f t="shared" si="377"/>
        <v>VERIFICAR</v>
      </c>
      <c r="F8103" s="22"/>
      <c r="G8103" s="21" t="str">
        <f t="shared" si="378"/>
        <v>VERIFICAR</v>
      </c>
      <c r="H8103" s="22"/>
      <c r="I8103" s="23" t="str">
        <f t="shared" si="379"/>
        <v xml:space="preserve">COM VALOR</v>
      </c>
      <c r="J8103" s="19"/>
      <c r="L8103" s="21">
        <v>0</v>
      </c>
      <c r="M8103" s="22"/>
      <c r="N8103" s="21">
        <v>0</v>
      </c>
      <c r="O8103" s="22"/>
    </row>
    <row r="8104" ht="25.5">
      <c r="A8104" t="s">
        <v>8141</v>
      </c>
      <c r="B8104" s="19">
        <v>103591</v>
      </c>
      <c r="C8104" s="20" t="s">
        <v>8201</v>
      </c>
      <c r="D8104" s="19" t="s">
        <v>38</v>
      </c>
      <c r="E8104" s="21" t="str">
        <f t="shared" si="377"/>
        <v>VERIFICAR</v>
      </c>
      <c r="F8104" s="22">
        <v>0.62</v>
      </c>
      <c r="G8104" s="21" t="str">
        <f t="shared" si="378"/>
        <v>VERIFICAR</v>
      </c>
      <c r="H8104" s="22">
        <v>0.63</v>
      </c>
      <c r="I8104" s="23" t="str">
        <f t="shared" si="379"/>
        <v xml:space="preserve">COM VALOR</v>
      </c>
      <c r="J8104" s="19"/>
      <c r="L8104" s="21">
        <v>0</v>
      </c>
      <c r="M8104" s="22"/>
      <c r="N8104" s="21">
        <v>0</v>
      </c>
      <c r="O8104" s="22"/>
    </row>
    <row r="8105" ht="25.5">
      <c r="A8105" t="s">
        <v>8141</v>
      </c>
      <c r="B8105" s="19">
        <v>103630</v>
      </c>
      <c r="C8105" s="20" t="s">
        <v>8202</v>
      </c>
      <c r="D8105" s="19" t="s">
        <v>38</v>
      </c>
      <c r="E8105" s="21" t="str">
        <f t="shared" si="377"/>
        <v>VERIFICAR</v>
      </c>
      <c r="F8105" s="22"/>
      <c r="G8105" s="21" t="str">
        <f t="shared" si="378"/>
        <v>VERIFICAR</v>
      </c>
      <c r="H8105" s="22"/>
      <c r="I8105" s="23" t="str">
        <f t="shared" si="379"/>
        <v xml:space="preserve">COM VALOR</v>
      </c>
      <c r="J8105" s="19"/>
      <c r="L8105" s="21">
        <v>0</v>
      </c>
      <c r="M8105" s="22"/>
      <c r="N8105" s="21">
        <v>0</v>
      </c>
      <c r="O8105" s="22"/>
    </row>
    <row r="8106" ht="25.5">
      <c r="A8106" t="s">
        <v>8141</v>
      </c>
      <c r="B8106" s="19">
        <v>103652</v>
      </c>
      <c r="C8106" s="20" t="s">
        <v>8203</v>
      </c>
      <c r="D8106" s="19" t="s">
        <v>38</v>
      </c>
      <c r="E8106" s="21" t="str">
        <f t="shared" si="377"/>
        <v>VERIFICAR</v>
      </c>
      <c r="F8106" s="22">
        <v>0.67000000000000004</v>
      </c>
      <c r="G8106" s="21" t="str">
        <f t="shared" si="378"/>
        <v>VERIFICAR</v>
      </c>
      <c r="H8106" s="22">
        <v>0.68000000000000005</v>
      </c>
      <c r="I8106" s="23" t="str">
        <f t="shared" si="379"/>
        <v xml:space="preserve">COM VALOR</v>
      </c>
      <c r="J8106" s="19"/>
      <c r="L8106" s="21">
        <v>0</v>
      </c>
      <c r="M8106" s="22"/>
      <c r="N8106" s="21">
        <v>0</v>
      </c>
      <c r="O8106" s="22"/>
    </row>
    <row r="8107" ht="25.5">
      <c r="A8107" t="s">
        <v>8141</v>
      </c>
      <c r="B8107" s="19">
        <v>103608</v>
      </c>
      <c r="C8107" s="20" t="s">
        <v>8204</v>
      </c>
      <c r="D8107" s="19" t="s">
        <v>38</v>
      </c>
      <c r="E8107" s="21" t="str">
        <f t="shared" si="377"/>
        <v>VERIFICAR</v>
      </c>
      <c r="F8107" s="22"/>
      <c r="G8107" s="21" t="str">
        <f t="shared" si="378"/>
        <v>VERIFICAR</v>
      </c>
      <c r="H8107" s="22"/>
      <c r="I8107" s="23" t="str">
        <f t="shared" si="379"/>
        <v xml:space="preserve">COM VALOR</v>
      </c>
      <c r="J8107" s="19"/>
      <c r="L8107" s="21">
        <v>0</v>
      </c>
      <c r="M8107" s="22"/>
      <c r="N8107" s="21">
        <v>0</v>
      </c>
      <c r="O8107" s="22"/>
    </row>
    <row r="8108" ht="25.5">
      <c r="A8108" t="s">
        <v>8141</v>
      </c>
      <c r="B8108" s="19">
        <v>103614</v>
      </c>
      <c r="C8108" s="20" t="s">
        <v>8205</v>
      </c>
      <c r="D8108" s="19" t="s">
        <v>38</v>
      </c>
      <c r="E8108" s="21" t="str">
        <f t="shared" si="377"/>
        <v>VERIFICAR</v>
      </c>
      <c r="F8108" s="22"/>
      <c r="G8108" s="21" t="str">
        <f t="shared" si="378"/>
        <v>VERIFICAR</v>
      </c>
      <c r="H8108" s="22"/>
      <c r="I8108" s="23" t="str">
        <f t="shared" si="379"/>
        <v xml:space="preserve">COM VALOR</v>
      </c>
      <c r="J8108" s="19"/>
      <c r="L8108" s="21">
        <v>0</v>
      </c>
      <c r="M8108" s="22"/>
      <c r="N8108" s="21">
        <v>0</v>
      </c>
      <c r="O8108" s="22"/>
    </row>
    <row r="8109" ht="25.5">
      <c r="A8109" t="s">
        <v>8141</v>
      </c>
      <c r="B8109" s="19">
        <v>103636</v>
      </c>
      <c r="C8109" s="20" t="s">
        <v>8206</v>
      </c>
      <c r="D8109" s="19" t="s">
        <v>38</v>
      </c>
      <c r="E8109" s="21" t="str">
        <f t="shared" si="377"/>
        <v>VERIFICAR</v>
      </c>
      <c r="F8109" s="22">
        <v>0.76000000000000001</v>
      </c>
      <c r="G8109" s="21" t="str">
        <f t="shared" si="378"/>
        <v>VERIFICAR</v>
      </c>
      <c r="H8109" s="22">
        <v>0.76000000000000001</v>
      </c>
      <c r="I8109" s="23" t="str">
        <f t="shared" si="379"/>
        <v xml:space="preserve">COM VALOR</v>
      </c>
      <c r="J8109" s="19"/>
      <c r="L8109" s="21">
        <v>0</v>
      </c>
      <c r="M8109" s="22"/>
      <c r="N8109" s="21">
        <v>0</v>
      </c>
      <c r="O8109" s="22"/>
    </row>
    <row r="8110" ht="25.5">
      <c r="A8110" t="s">
        <v>8141</v>
      </c>
      <c r="B8110" s="19">
        <v>103592</v>
      </c>
      <c r="C8110" s="20" t="s">
        <v>8207</v>
      </c>
      <c r="D8110" s="19" t="s">
        <v>38</v>
      </c>
      <c r="E8110" s="21" t="str">
        <f t="shared" si="377"/>
        <v>VERIFICAR</v>
      </c>
      <c r="F8110" s="22"/>
      <c r="G8110" s="21" t="str">
        <f t="shared" si="378"/>
        <v>VERIFICAR</v>
      </c>
      <c r="H8110" s="22"/>
      <c r="I8110" s="23" t="str">
        <f t="shared" si="379"/>
        <v xml:space="preserve">COM VALOR</v>
      </c>
      <c r="J8110" s="19"/>
      <c r="L8110" s="21">
        <v>0</v>
      </c>
      <c r="M8110" s="22"/>
      <c r="N8110" s="21">
        <v>0</v>
      </c>
      <c r="O8110" s="22"/>
    </row>
    <row r="8111" ht="38.25">
      <c r="A8111" t="s">
        <v>8208</v>
      </c>
      <c r="B8111" s="19">
        <v>88412</v>
      </c>
      <c r="C8111" s="20" t="s">
        <v>8209</v>
      </c>
      <c r="D8111" s="19" t="s">
        <v>29</v>
      </c>
      <c r="E8111" s="21">
        <f t="shared" si="377"/>
        <v>3.1899999999999999</v>
      </c>
      <c r="F8111" s="22">
        <v>0.78000000000000003</v>
      </c>
      <c r="G8111" s="21">
        <f t="shared" si="378"/>
        <v>3.1299999999999999</v>
      </c>
      <c r="H8111" s="22">
        <v>0.78000000000000003</v>
      </c>
      <c r="I8111" s="23" t="str">
        <f t="shared" si="379"/>
        <v xml:space="preserve">COM VALOR</v>
      </c>
      <c r="J8111" s="19"/>
      <c r="L8111" s="21">
        <v>3.1899999999999999</v>
      </c>
      <c r="M8111" s="22">
        <v>0</v>
      </c>
      <c r="N8111" s="21">
        <v>3.1299999999999999</v>
      </c>
      <c r="O8111" s="22">
        <v>0</v>
      </c>
    </row>
    <row r="8112" ht="38.25">
      <c r="A8112" t="s">
        <v>8208</v>
      </c>
      <c r="B8112" s="19">
        <v>88411</v>
      </c>
      <c r="C8112" s="20" t="s">
        <v>8210</v>
      </c>
      <c r="D8112" s="19" t="s">
        <v>29</v>
      </c>
      <c r="E8112" s="21">
        <f t="shared" si="377"/>
        <v>4.0199999999999996</v>
      </c>
      <c r="F8112" s="22"/>
      <c r="G8112" s="21">
        <f t="shared" si="378"/>
        <v>3.9300000000000002</v>
      </c>
      <c r="H8112" s="22"/>
      <c r="I8112" s="23" t="str">
        <f t="shared" si="379"/>
        <v xml:space="preserve">COM VALOR</v>
      </c>
      <c r="J8112" s="19"/>
      <c r="L8112" s="21">
        <v>4.0199999999999996</v>
      </c>
      <c r="M8112" s="22">
        <v>0</v>
      </c>
      <c r="N8112" s="21">
        <v>3.9300000000000002</v>
      </c>
      <c r="O8112" s="22">
        <v>0</v>
      </c>
    </row>
    <row r="8113" ht="25.5">
      <c r="A8113" t="s">
        <v>8208</v>
      </c>
      <c r="B8113" s="19">
        <v>88415</v>
      </c>
      <c r="C8113" s="20" t="s">
        <v>8211</v>
      </c>
      <c r="D8113" s="19" t="s">
        <v>29</v>
      </c>
      <c r="E8113" s="21">
        <f t="shared" si="377"/>
        <v>4.1100000000000003</v>
      </c>
      <c r="F8113" s="22"/>
      <c r="G8113" s="21">
        <f t="shared" si="378"/>
        <v>4.0099999999999998</v>
      </c>
      <c r="H8113" s="22"/>
      <c r="I8113" s="23" t="str">
        <f t="shared" si="379"/>
        <v xml:space="preserve">COM VALOR</v>
      </c>
      <c r="J8113" s="19"/>
      <c r="L8113" s="21">
        <v>4.1100000000000003</v>
      </c>
      <c r="M8113" s="22">
        <v>0</v>
      </c>
      <c r="N8113" s="21">
        <v>4.0099999999999998</v>
      </c>
      <c r="O8113" s="22">
        <v>0</v>
      </c>
    </row>
    <row r="8114" ht="38.25">
      <c r="A8114" t="s">
        <v>8208</v>
      </c>
      <c r="B8114" s="19">
        <v>88413</v>
      </c>
      <c r="C8114" s="20" t="s">
        <v>8212</v>
      </c>
      <c r="D8114" s="19" t="s">
        <v>29</v>
      </c>
      <c r="E8114" s="21">
        <f t="shared" si="377"/>
        <v>5.2000000000000002</v>
      </c>
      <c r="F8114" s="22"/>
      <c r="G8114" s="21">
        <f t="shared" si="378"/>
        <v>5.0300000000000002</v>
      </c>
      <c r="H8114" s="22"/>
      <c r="I8114" s="23" t="str">
        <f t="shared" si="379"/>
        <v xml:space="preserve">COM VALOR</v>
      </c>
      <c r="J8114" s="19"/>
      <c r="L8114" s="21">
        <v>5.2000000000000002</v>
      </c>
      <c r="M8114" s="22">
        <v>0</v>
      </c>
      <c r="N8114" s="21">
        <v>5.0300000000000002</v>
      </c>
      <c r="O8114" s="22">
        <v>0</v>
      </c>
    </row>
    <row r="8115" ht="38.25">
      <c r="A8115" t="s">
        <v>8208</v>
      </c>
      <c r="B8115" s="19">
        <v>88414</v>
      </c>
      <c r="C8115" s="20" t="s">
        <v>8213</v>
      </c>
      <c r="D8115" s="19" t="s">
        <v>29</v>
      </c>
      <c r="E8115" s="21">
        <f t="shared" si="377"/>
        <v>6.1500000000000004</v>
      </c>
      <c r="F8115" s="22"/>
      <c r="G8115" s="21">
        <f t="shared" si="378"/>
        <v>5.9699999999999998</v>
      </c>
      <c r="H8115" s="22"/>
      <c r="I8115" s="23" t="str">
        <f t="shared" si="379"/>
        <v xml:space="preserve">COM VALOR</v>
      </c>
      <c r="J8115" s="19"/>
      <c r="L8115" s="21">
        <v>6.1500000000000004</v>
      </c>
      <c r="M8115" s="22">
        <v>0</v>
      </c>
      <c r="N8115" s="21">
        <v>5.9699999999999998</v>
      </c>
      <c r="O8115" s="22">
        <v>0</v>
      </c>
    </row>
    <row r="8116" ht="38.25">
      <c r="A8116" t="s">
        <v>8208</v>
      </c>
      <c r="B8116" s="19">
        <v>96131</v>
      </c>
      <c r="C8116" s="20" t="s">
        <v>8214</v>
      </c>
      <c r="D8116" s="19" t="s">
        <v>29</v>
      </c>
      <c r="E8116" s="21">
        <f t="shared" si="377"/>
        <v>30.57</v>
      </c>
      <c r="F8116" s="22"/>
      <c r="G8116" s="21">
        <f t="shared" si="378"/>
        <v>29.550000000000001</v>
      </c>
      <c r="H8116" s="22"/>
      <c r="I8116" s="23" t="str">
        <f t="shared" si="379"/>
        <v xml:space="preserve">COM VALOR</v>
      </c>
      <c r="J8116" s="19"/>
      <c r="L8116" s="21">
        <v>30.57</v>
      </c>
      <c r="M8116" s="22">
        <v>0</v>
      </c>
      <c r="N8116" s="21">
        <v>29.550000000000001</v>
      </c>
      <c r="O8116" s="22">
        <v>0</v>
      </c>
    </row>
    <row r="8117" ht="38.25">
      <c r="A8117" t="s">
        <v>8208</v>
      </c>
      <c r="B8117" s="19">
        <v>96126</v>
      </c>
      <c r="C8117" s="20" t="s">
        <v>8215</v>
      </c>
      <c r="D8117" s="19" t="s">
        <v>29</v>
      </c>
      <c r="E8117" s="21">
        <f t="shared" si="377"/>
        <v>19.23</v>
      </c>
      <c r="F8117" s="22">
        <v>0.44</v>
      </c>
      <c r="G8117" s="21">
        <f t="shared" si="378"/>
        <v>18.539999999999999</v>
      </c>
      <c r="H8117" s="22">
        <v>0.45000000000000001</v>
      </c>
      <c r="I8117" s="23" t="str">
        <f t="shared" si="379"/>
        <v xml:space="preserve">COM VALOR</v>
      </c>
      <c r="J8117" s="19"/>
      <c r="L8117" s="21">
        <v>19.23</v>
      </c>
      <c r="M8117" s="22">
        <v>0</v>
      </c>
      <c r="N8117" s="21">
        <v>18.539999999999999</v>
      </c>
      <c r="O8117" s="22">
        <v>0</v>
      </c>
    </row>
    <row r="8118" ht="38.25">
      <c r="A8118" t="s">
        <v>8208</v>
      </c>
      <c r="B8118" s="19">
        <v>96132</v>
      </c>
      <c r="C8118" s="20" t="s">
        <v>8216</v>
      </c>
      <c r="D8118" s="19" t="s">
        <v>29</v>
      </c>
      <c r="E8118" s="21">
        <f t="shared" si="377"/>
        <v>20.809999999999999</v>
      </c>
      <c r="F8118" s="22">
        <v>0</v>
      </c>
      <c r="G8118" s="21">
        <f t="shared" si="378"/>
        <v>20.27</v>
      </c>
      <c r="H8118" s="22">
        <v>0</v>
      </c>
      <c r="I8118" s="23" t="str">
        <f t="shared" si="379"/>
        <v xml:space="preserve">COM VALOR</v>
      </c>
      <c r="J8118" s="19"/>
      <c r="L8118" s="21">
        <v>20.809999999999999</v>
      </c>
      <c r="M8118" s="22">
        <v>0</v>
      </c>
      <c r="N8118" s="21">
        <v>20.27</v>
      </c>
      <c r="O8118" s="22">
        <v>0</v>
      </c>
    </row>
    <row r="8119" ht="38.25">
      <c r="A8119" t="s">
        <v>8208</v>
      </c>
      <c r="B8119" s="19">
        <v>96127</v>
      </c>
      <c r="C8119" s="20" t="s">
        <v>8217</v>
      </c>
      <c r="D8119" s="19" t="s">
        <v>29</v>
      </c>
      <c r="E8119" s="21">
        <f t="shared" si="377"/>
        <v>12.699999999999999</v>
      </c>
      <c r="F8119" s="22">
        <v>0</v>
      </c>
      <c r="G8119" s="21">
        <f t="shared" si="378"/>
        <v>12.33</v>
      </c>
      <c r="H8119" s="22">
        <v>0</v>
      </c>
      <c r="I8119" s="23" t="str">
        <f t="shared" si="379"/>
        <v xml:space="preserve">COM VALOR</v>
      </c>
      <c r="J8119" s="19"/>
      <c r="L8119" s="21">
        <v>12.699999999999999</v>
      </c>
      <c r="M8119" s="22">
        <v>0</v>
      </c>
      <c r="N8119" s="21">
        <v>12.33</v>
      </c>
      <c r="O8119" s="22">
        <v>0</v>
      </c>
    </row>
    <row r="8120" ht="25.5">
      <c r="A8120" t="s">
        <v>8208</v>
      </c>
      <c r="B8120" s="19">
        <v>96135</v>
      </c>
      <c r="C8120" s="20" t="s">
        <v>8218</v>
      </c>
      <c r="D8120" s="19" t="s">
        <v>29</v>
      </c>
      <c r="E8120" s="21">
        <f t="shared" si="377"/>
        <v>32.600000000000001</v>
      </c>
      <c r="F8120" s="22">
        <v>0</v>
      </c>
      <c r="G8120" s="21">
        <f t="shared" si="378"/>
        <v>31.460000000000001</v>
      </c>
      <c r="H8120" s="22">
        <v>0</v>
      </c>
      <c r="I8120" s="23" t="str">
        <f t="shared" si="379"/>
        <v xml:space="preserve">COM VALOR</v>
      </c>
      <c r="J8120" s="19"/>
      <c r="L8120" s="21">
        <v>32.600000000000001</v>
      </c>
      <c r="M8120" s="22">
        <v>0</v>
      </c>
      <c r="N8120" s="21">
        <v>31.460000000000001</v>
      </c>
      <c r="O8120" s="22">
        <v>0</v>
      </c>
    </row>
    <row r="8121" ht="25.5">
      <c r="A8121" t="s">
        <v>8208</v>
      </c>
      <c r="B8121" s="19">
        <v>96130</v>
      </c>
      <c r="C8121" s="20" t="s">
        <v>8219</v>
      </c>
      <c r="D8121" s="19" t="s">
        <v>29</v>
      </c>
      <c r="E8121" s="21">
        <f t="shared" si="377"/>
        <v>20.68</v>
      </c>
      <c r="F8121" s="22">
        <v>0</v>
      </c>
      <c r="G8121" s="21">
        <f t="shared" si="378"/>
        <v>19.91</v>
      </c>
      <c r="H8121" s="22">
        <v>0</v>
      </c>
      <c r="I8121" s="23" t="str">
        <f t="shared" si="379"/>
        <v xml:space="preserve">COM VALOR</v>
      </c>
      <c r="J8121" s="19"/>
      <c r="L8121" s="21">
        <v>20.68</v>
      </c>
      <c r="M8121" s="22">
        <v>0</v>
      </c>
      <c r="N8121" s="21">
        <v>19.91</v>
      </c>
      <c r="O8121" s="22">
        <v>0</v>
      </c>
    </row>
    <row r="8122" ht="38.25">
      <c r="A8122" t="s">
        <v>8208</v>
      </c>
      <c r="B8122" s="19">
        <v>96133</v>
      </c>
      <c r="C8122" s="20" t="s">
        <v>8220</v>
      </c>
      <c r="D8122" s="19" t="s">
        <v>29</v>
      </c>
      <c r="E8122" s="21">
        <f t="shared" si="377"/>
        <v>47.689999999999998</v>
      </c>
      <c r="F8122" s="22">
        <v>0</v>
      </c>
      <c r="G8122" s="21">
        <f t="shared" si="378"/>
        <v>45.710000000000001</v>
      </c>
      <c r="H8122" s="22">
        <v>0</v>
      </c>
      <c r="I8122" s="23" t="str">
        <f t="shared" si="379"/>
        <v xml:space="preserve">COM VALOR</v>
      </c>
      <c r="J8122" s="19"/>
      <c r="L8122" s="21">
        <v>47.689999999999998</v>
      </c>
      <c r="M8122" s="22">
        <v>0</v>
      </c>
      <c r="N8122" s="21">
        <v>45.710000000000001</v>
      </c>
      <c r="O8122" s="22">
        <v>0</v>
      </c>
    </row>
    <row r="8123" ht="38.25">
      <c r="A8123" t="s">
        <v>8208</v>
      </c>
      <c r="B8123" s="19">
        <v>96128</v>
      </c>
      <c r="C8123" s="20" t="s">
        <v>8221</v>
      </c>
      <c r="D8123" s="19" t="s">
        <v>29</v>
      </c>
      <c r="E8123" s="21">
        <f t="shared" si="377"/>
        <v>31</v>
      </c>
      <c r="F8123" s="22">
        <v>0</v>
      </c>
      <c r="G8123" s="21">
        <f t="shared" si="378"/>
        <v>29.66</v>
      </c>
      <c r="H8123" s="22">
        <v>0</v>
      </c>
      <c r="I8123" s="23" t="str">
        <f t="shared" si="379"/>
        <v xml:space="preserve">COM VALOR</v>
      </c>
      <c r="J8123" s="19"/>
      <c r="L8123" s="21">
        <v>31</v>
      </c>
      <c r="M8123" s="22">
        <v>0</v>
      </c>
      <c r="N8123" s="21">
        <v>29.66</v>
      </c>
      <c r="O8123" s="22">
        <v>0</v>
      </c>
    </row>
    <row r="8124" ht="38.25">
      <c r="A8124" t="s">
        <v>8208</v>
      </c>
      <c r="B8124" s="19">
        <v>96134</v>
      </c>
      <c r="C8124" s="20" t="s">
        <v>8222</v>
      </c>
      <c r="D8124" s="19" t="s">
        <v>29</v>
      </c>
      <c r="E8124" s="21">
        <f t="shared" si="377"/>
        <v>56.259999999999998</v>
      </c>
      <c r="F8124" s="22">
        <v>0</v>
      </c>
      <c r="G8124" s="21">
        <f t="shared" si="378"/>
        <v>53.960000000000001</v>
      </c>
      <c r="H8124" s="22">
        <v>0</v>
      </c>
      <c r="I8124" s="23" t="str">
        <f t="shared" si="379"/>
        <v xml:space="preserve">COM VALOR</v>
      </c>
      <c r="J8124" s="19"/>
      <c r="L8124" s="21">
        <v>56.259999999999998</v>
      </c>
      <c r="M8124" s="22">
        <v>0</v>
      </c>
      <c r="N8124" s="21">
        <v>53.960000000000001</v>
      </c>
      <c r="O8124" s="22">
        <v>0</v>
      </c>
    </row>
    <row r="8125" ht="38.25">
      <c r="A8125" t="s">
        <v>8208</v>
      </c>
      <c r="B8125" s="19">
        <v>96129</v>
      </c>
      <c r="C8125" s="20" t="s">
        <v>8223</v>
      </c>
      <c r="D8125" s="19" t="s">
        <v>29</v>
      </c>
      <c r="E8125" s="21">
        <f t="shared" si="377"/>
        <v>36.5</v>
      </c>
      <c r="F8125" s="22">
        <v>0</v>
      </c>
      <c r="G8125" s="21">
        <f t="shared" si="378"/>
        <v>34.939999999999998</v>
      </c>
      <c r="H8125" s="22">
        <v>0</v>
      </c>
      <c r="I8125" s="23" t="str">
        <f t="shared" si="379"/>
        <v xml:space="preserve">COM VALOR</v>
      </c>
      <c r="J8125" s="19"/>
      <c r="L8125" s="21">
        <v>36.5</v>
      </c>
      <c r="M8125" s="22">
        <v>0</v>
      </c>
      <c r="N8125" s="21">
        <v>34.939999999999998</v>
      </c>
      <c r="O8125" s="22">
        <v>0</v>
      </c>
    </row>
    <row r="8126" ht="25.5">
      <c r="A8126" t="s">
        <v>8208</v>
      </c>
      <c r="B8126" s="19">
        <v>88432</v>
      </c>
      <c r="C8126" s="20" t="s">
        <v>8224</v>
      </c>
      <c r="D8126" s="19" t="s">
        <v>29</v>
      </c>
      <c r="E8126" s="21">
        <f t="shared" si="377"/>
        <v>32.450000000000003</v>
      </c>
      <c r="F8126" s="22">
        <v>0</v>
      </c>
      <c r="G8126" s="21">
        <f t="shared" si="378"/>
        <v>31.59</v>
      </c>
      <c r="H8126" s="22">
        <v>0</v>
      </c>
      <c r="I8126" s="23" t="str">
        <f t="shared" si="379"/>
        <v xml:space="preserve">COM VALOR</v>
      </c>
      <c r="J8126" s="19"/>
      <c r="L8126" s="21">
        <v>32.450000000000003</v>
      </c>
      <c r="M8126" s="22">
        <v>0</v>
      </c>
      <c r="N8126" s="21">
        <v>31.59</v>
      </c>
      <c r="O8126" s="22">
        <v>0</v>
      </c>
    </row>
    <row r="8127" ht="38.25">
      <c r="A8127" t="s">
        <v>8208</v>
      </c>
      <c r="B8127" s="19">
        <v>88426</v>
      </c>
      <c r="C8127" s="20" t="s">
        <v>8225</v>
      </c>
      <c r="D8127" s="19" t="s">
        <v>29</v>
      </c>
      <c r="E8127" s="21">
        <f t="shared" si="377"/>
        <v>20.559999999999999</v>
      </c>
      <c r="F8127" s="22">
        <v>0</v>
      </c>
      <c r="G8127" s="21">
        <f t="shared" si="378"/>
        <v>20.32</v>
      </c>
      <c r="H8127" s="22">
        <v>0</v>
      </c>
      <c r="I8127" s="23" t="str">
        <f t="shared" si="379"/>
        <v xml:space="preserve">COM VALOR</v>
      </c>
      <c r="J8127" s="19"/>
      <c r="L8127" s="21">
        <v>20.559999999999999</v>
      </c>
      <c r="M8127" s="22">
        <v>0</v>
      </c>
      <c r="N8127" s="21">
        <v>20.32</v>
      </c>
      <c r="O8127" s="22">
        <v>0</v>
      </c>
    </row>
    <row r="8128" ht="38.25">
      <c r="A8128" t="s">
        <v>8208</v>
      </c>
      <c r="B8128" s="19">
        <v>88417</v>
      </c>
      <c r="C8128" s="20" t="s">
        <v>8226</v>
      </c>
      <c r="D8128" s="19" t="s">
        <v>29</v>
      </c>
      <c r="E8128" s="21">
        <f t="shared" si="377"/>
        <v>18.620000000000001</v>
      </c>
      <c r="F8128" s="22">
        <v>0</v>
      </c>
      <c r="G8128" s="21">
        <f t="shared" si="378"/>
        <v>18.489999999999998</v>
      </c>
      <c r="H8128" s="22">
        <v>0</v>
      </c>
      <c r="I8128" s="23" t="str">
        <f t="shared" si="379"/>
        <v xml:space="preserve">COM VALOR</v>
      </c>
      <c r="J8128" s="19"/>
      <c r="L8128" s="21">
        <v>18.620000000000001</v>
      </c>
      <c r="M8128" s="22">
        <v>0</v>
      </c>
      <c r="N8128" s="21">
        <v>18.489999999999998</v>
      </c>
      <c r="O8128" s="22">
        <v>0</v>
      </c>
    </row>
    <row r="8129" ht="38.25">
      <c r="A8129" t="s">
        <v>8208</v>
      </c>
      <c r="B8129" s="19">
        <v>88424</v>
      </c>
      <c r="C8129" s="20" t="s">
        <v>8227</v>
      </c>
      <c r="D8129" s="19" t="s">
        <v>29</v>
      </c>
      <c r="E8129" s="21">
        <f t="shared" si="377"/>
        <v>25.5</v>
      </c>
      <c r="F8129" s="22">
        <v>0</v>
      </c>
      <c r="G8129" s="21">
        <f t="shared" si="378"/>
        <v>25.07</v>
      </c>
      <c r="H8129" s="22">
        <v>0</v>
      </c>
      <c r="I8129" s="23" t="str">
        <f t="shared" si="379"/>
        <v xml:space="preserve">COM VALOR</v>
      </c>
      <c r="J8129" s="19"/>
      <c r="L8129" s="21">
        <v>25.5</v>
      </c>
      <c r="M8129" s="22">
        <v>0</v>
      </c>
      <c r="N8129" s="21">
        <v>25.07</v>
      </c>
      <c r="O8129" s="22">
        <v>0</v>
      </c>
    </row>
    <row r="8130" ht="38.25">
      <c r="A8130" t="s">
        <v>8208</v>
      </c>
      <c r="B8130" s="19">
        <v>88416</v>
      </c>
      <c r="C8130" s="20" t="s">
        <v>8228</v>
      </c>
      <c r="D8130" s="19" t="s">
        <v>29</v>
      </c>
      <c r="E8130" s="21">
        <f t="shared" si="377"/>
        <v>21.899999999999999</v>
      </c>
      <c r="F8130" s="22">
        <v>0</v>
      </c>
      <c r="G8130" s="21">
        <f t="shared" si="378"/>
        <v>21.66</v>
      </c>
      <c r="H8130" s="22">
        <v>0</v>
      </c>
      <c r="I8130" s="23" t="str">
        <f t="shared" si="379"/>
        <v xml:space="preserve">COM VALOR</v>
      </c>
      <c r="J8130" s="19"/>
      <c r="L8130" s="21">
        <v>21.899999999999999</v>
      </c>
      <c r="M8130" s="22">
        <v>0</v>
      </c>
      <c r="N8130" s="21">
        <v>21.66</v>
      </c>
      <c r="O8130" s="22">
        <v>0</v>
      </c>
    </row>
    <row r="8131" ht="25.5">
      <c r="A8131" t="s">
        <v>8208</v>
      </c>
      <c r="B8131" s="19">
        <v>88431</v>
      </c>
      <c r="C8131" s="20" t="s">
        <v>8229</v>
      </c>
      <c r="D8131" s="19" t="s">
        <v>29</v>
      </c>
      <c r="E8131" s="21">
        <f t="shared" si="377"/>
        <v>25.940000000000001</v>
      </c>
      <c r="F8131" s="22">
        <v>0</v>
      </c>
      <c r="G8131" s="21">
        <f t="shared" si="378"/>
        <v>25.449999999999999</v>
      </c>
      <c r="H8131" s="22">
        <v>0</v>
      </c>
      <c r="I8131" s="23" t="str">
        <f t="shared" si="379"/>
        <v xml:space="preserve">COM VALOR</v>
      </c>
      <c r="J8131" s="19"/>
      <c r="L8131" s="21">
        <v>25.940000000000001</v>
      </c>
      <c r="M8131" s="22">
        <v>0</v>
      </c>
      <c r="N8131" s="21">
        <v>25.449999999999999</v>
      </c>
      <c r="O8131" s="22">
        <v>0</v>
      </c>
    </row>
    <row r="8132" ht="25.5">
      <c r="A8132" t="s">
        <v>8208</v>
      </c>
      <c r="B8132" s="19">
        <v>88423</v>
      </c>
      <c r="C8132" s="20" t="s">
        <v>8230</v>
      </c>
      <c r="D8132" s="19" t="s">
        <v>29</v>
      </c>
      <c r="E8132" s="21">
        <f t="shared" si="377"/>
        <v>21.890000000000001</v>
      </c>
      <c r="F8132" s="22">
        <v>0</v>
      </c>
      <c r="G8132" s="21">
        <f t="shared" si="378"/>
        <v>21.620000000000001</v>
      </c>
      <c r="H8132" s="22">
        <v>0</v>
      </c>
      <c r="I8132" s="23" t="str">
        <f t="shared" si="379"/>
        <v xml:space="preserve">COM VALOR</v>
      </c>
      <c r="J8132" s="19"/>
      <c r="L8132" s="21">
        <v>21.890000000000001</v>
      </c>
      <c r="M8132" s="22">
        <v>0</v>
      </c>
      <c r="N8132" s="21">
        <v>21.620000000000001</v>
      </c>
      <c r="O8132" s="22">
        <v>0</v>
      </c>
    </row>
    <row r="8133" ht="38.25">
      <c r="A8133" t="s">
        <v>8208</v>
      </c>
      <c r="B8133" s="19">
        <v>88428</v>
      </c>
      <c r="C8133" s="20" t="s">
        <v>8231</v>
      </c>
      <c r="D8133" s="19" t="s">
        <v>29</v>
      </c>
      <c r="E8133" s="21">
        <f t="shared" si="377"/>
        <v>31.870000000000001</v>
      </c>
      <c r="F8133" s="22">
        <v>0</v>
      </c>
      <c r="G8133" s="21">
        <f t="shared" si="378"/>
        <v>31.039999999999999</v>
      </c>
      <c r="H8133" s="22">
        <v>0</v>
      </c>
      <c r="I8133" s="23" t="str">
        <f t="shared" si="379"/>
        <v xml:space="preserve">COM VALOR</v>
      </c>
      <c r="J8133" s="19"/>
      <c r="L8133" s="21">
        <v>31.870000000000001</v>
      </c>
      <c r="M8133" s="22">
        <v>0</v>
      </c>
      <c r="N8133" s="21">
        <v>31.039999999999999</v>
      </c>
      <c r="O8133" s="22">
        <v>0</v>
      </c>
    </row>
    <row r="8134" ht="38.25">
      <c r="A8134" t="s">
        <v>8208</v>
      </c>
      <c r="B8134" s="19">
        <v>88420</v>
      </c>
      <c r="C8134" s="20" t="s">
        <v>8232</v>
      </c>
      <c r="D8134" s="19" t="s">
        <v>29</v>
      </c>
      <c r="E8134" s="21">
        <f t="shared" si="377"/>
        <v>24.969999999999999</v>
      </c>
      <c r="F8134" s="22">
        <v>0</v>
      </c>
      <c r="G8134" s="21">
        <f t="shared" si="378"/>
        <v>24.5</v>
      </c>
      <c r="H8134" s="22">
        <v>0</v>
      </c>
      <c r="I8134" s="23" t="str">
        <f t="shared" si="379"/>
        <v xml:space="preserve">COM VALOR</v>
      </c>
      <c r="J8134" s="19"/>
      <c r="L8134" s="21">
        <v>24.969999999999999</v>
      </c>
      <c r="M8134" s="22">
        <v>0</v>
      </c>
      <c r="N8134" s="21">
        <v>24.5</v>
      </c>
      <c r="O8134" s="22">
        <v>0</v>
      </c>
    </row>
    <row r="8135" ht="38.25">
      <c r="A8135" t="s">
        <v>8208</v>
      </c>
      <c r="B8135" s="19">
        <v>88429</v>
      </c>
      <c r="C8135" s="20" t="s">
        <v>8233</v>
      </c>
      <c r="D8135" s="19" t="s">
        <v>29</v>
      </c>
      <c r="E8135" s="21">
        <f t="shared" si="377"/>
        <v>38.170000000000002</v>
      </c>
      <c r="F8135" s="22">
        <v>0</v>
      </c>
      <c r="G8135" s="21">
        <f t="shared" si="378"/>
        <v>37.189999999999998</v>
      </c>
      <c r="H8135" s="22">
        <v>0</v>
      </c>
      <c r="I8135" s="23" t="str">
        <f t="shared" si="379"/>
        <v xml:space="preserve">COM VALOR</v>
      </c>
      <c r="J8135" s="19"/>
      <c r="L8135" s="21">
        <v>38.170000000000002</v>
      </c>
      <c r="M8135" s="22">
        <v>0</v>
      </c>
      <c r="N8135" s="21">
        <v>37.189999999999998</v>
      </c>
      <c r="O8135" s="22">
        <v>0</v>
      </c>
    </row>
    <row r="8136" ht="38.25">
      <c r="A8136" t="s">
        <v>8208</v>
      </c>
      <c r="B8136" s="19">
        <v>88421</v>
      </c>
      <c r="C8136" s="20" t="s">
        <v>8234</v>
      </c>
      <c r="D8136" s="19" t="s">
        <v>29</v>
      </c>
      <c r="E8136" s="21">
        <f t="shared" si="377"/>
        <v>30.140000000000001</v>
      </c>
      <c r="F8136" s="22">
        <v>0</v>
      </c>
      <c r="G8136" s="21">
        <f t="shared" si="378"/>
        <v>29.600000000000001</v>
      </c>
      <c r="H8136" s="22">
        <v>0</v>
      </c>
      <c r="I8136" s="23" t="str">
        <f t="shared" si="379"/>
        <v xml:space="preserve">COM VALOR</v>
      </c>
      <c r="J8136" s="19"/>
      <c r="L8136" s="21">
        <v>30.140000000000001</v>
      </c>
      <c r="M8136" s="22">
        <v>0</v>
      </c>
      <c r="N8136" s="21">
        <v>29.600000000000001</v>
      </c>
      <c r="O8136" s="22">
        <v>0</v>
      </c>
    </row>
    <row r="8137" ht="38.25">
      <c r="A8137" t="s">
        <v>8208</v>
      </c>
      <c r="B8137" s="19">
        <v>95622</v>
      </c>
      <c r="C8137" s="20" t="s">
        <v>8235</v>
      </c>
      <c r="D8137" s="19" t="s">
        <v>29</v>
      </c>
      <c r="E8137" s="21">
        <f t="shared" si="377"/>
        <v>15.23</v>
      </c>
      <c r="F8137" s="22">
        <v>0</v>
      </c>
      <c r="G8137" s="21">
        <f t="shared" si="378"/>
        <v>14.77</v>
      </c>
      <c r="H8137" s="22">
        <v>0</v>
      </c>
      <c r="I8137" s="23" t="str">
        <f t="shared" si="379"/>
        <v xml:space="preserve">COM VALOR</v>
      </c>
      <c r="J8137" s="19"/>
      <c r="L8137" s="21">
        <v>15.23</v>
      </c>
      <c r="M8137" s="22">
        <v>0</v>
      </c>
      <c r="N8137" s="21">
        <v>14.77</v>
      </c>
      <c r="O8137" s="22">
        <v>0</v>
      </c>
    </row>
    <row r="8138" ht="38.25">
      <c r="A8138" t="s">
        <v>8208</v>
      </c>
      <c r="B8138" s="19">
        <v>95623</v>
      </c>
      <c r="C8138" s="20" t="s">
        <v>8236</v>
      </c>
      <c r="D8138" s="19" t="s">
        <v>29</v>
      </c>
      <c r="E8138" s="21">
        <f t="shared" si="377"/>
        <v>10.74</v>
      </c>
      <c r="F8138" s="22">
        <v>0</v>
      </c>
      <c r="G8138" s="21">
        <f t="shared" si="378"/>
        <v>10.49</v>
      </c>
      <c r="H8138" s="22">
        <v>0</v>
      </c>
      <c r="I8138" s="23" t="str">
        <f t="shared" si="379"/>
        <v xml:space="preserve">COM VALOR</v>
      </c>
      <c r="J8138" s="19"/>
      <c r="L8138" s="21">
        <v>10.74</v>
      </c>
      <c r="M8138" s="22">
        <v>0</v>
      </c>
      <c r="N8138" s="21">
        <v>10.49</v>
      </c>
      <c r="O8138" s="22">
        <v>0</v>
      </c>
    </row>
    <row r="8139" ht="25.5">
      <c r="A8139" t="s">
        <v>8208</v>
      </c>
      <c r="B8139" s="19">
        <v>95626</v>
      </c>
      <c r="C8139" s="20" t="s">
        <v>8237</v>
      </c>
      <c r="D8139" s="19" t="s">
        <v>29</v>
      </c>
      <c r="E8139" s="21">
        <f t="shared" ref="E8139:E8202" si="380">IF(L8139=0,"VERIFICAR",L8139)</f>
        <v>16.100000000000001</v>
      </c>
      <c r="F8139" s="22">
        <v>0</v>
      </c>
      <c r="G8139" s="21">
        <f t="shared" ref="G8139:G8202" si="381">IF(N8139=0,"VERIFICAR",N8139)</f>
        <v>15.58</v>
      </c>
      <c r="H8139" s="22">
        <v>0</v>
      </c>
      <c r="I8139" s="23" t="str">
        <f t="shared" ref="I8139:I8202" si="382">IF(OR(E8139=0,G8139=0),"SEM VALOR","COM VALOR")</f>
        <v xml:space="preserve">COM VALOR</v>
      </c>
      <c r="J8139" s="19"/>
      <c r="L8139" s="21">
        <v>16.100000000000001</v>
      </c>
      <c r="M8139" s="22">
        <v>0</v>
      </c>
      <c r="N8139" s="21">
        <v>15.58</v>
      </c>
      <c r="O8139" s="22">
        <v>0</v>
      </c>
    </row>
    <row r="8140" ht="38.25">
      <c r="A8140" t="s">
        <v>8208</v>
      </c>
      <c r="B8140" s="19">
        <v>95624</v>
      </c>
      <c r="C8140" s="20" t="s">
        <v>8238</v>
      </c>
      <c r="D8140" s="19" t="s">
        <v>29</v>
      </c>
      <c r="E8140" s="21">
        <f t="shared" si="380"/>
        <v>22.870000000000001</v>
      </c>
      <c r="F8140" s="22">
        <v>0</v>
      </c>
      <c r="G8140" s="21">
        <f t="shared" si="381"/>
        <v>21.989999999999998</v>
      </c>
      <c r="H8140" s="22">
        <v>0</v>
      </c>
      <c r="I8140" s="23" t="str">
        <f t="shared" si="382"/>
        <v xml:space="preserve">COM VALOR</v>
      </c>
      <c r="J8140" s="19"/>
      <c r="L8140" s="21">
        <v>22.870000000000001</v>
      </c>
      <c r="M8140" s="22">
        <v>0</v>
      </c>
      <c r="N8140" s="21">
        <v>21.989999999999998</v>
      </c>
      <c r="O8140" s="22">
        <v>0</v>
      </c>
    </row>
    <row r="8141" ht="38.25">
      <c r="A8141" t="s">
        <v>8208</v>
      </c>
      <c r="B8141" s="19">
        <v>95625</v>
      </c>
      <c r="C8141" s="20" t="s">
        <v>8239</v>
      </c>
      <c r="D8141" s="19" t="s">
        <v>29</v>
      </c>
      <c r="E8141" s="21">
        <f t="shared" si="380"/>
        <v>27.059999999999999</v>
      </c>
      <c r="F8141" s="22">
        <v>0</v>
      </c>
      <c r="G8141" s="21">
        <f t="shared" si="381"/>
        <v>26.02</v>
      </c>
      <c r="H8141" s="22">
        <v>0</v>
      </c>
      <c r="I8141" s="23" t="str">
        <f t="shared" si="382"/>
        <v xml:space="preserve">COM VALOR</v>
      </c>
      <c r="J8141" s="19"/>
      <c r="L8141" s="21">
        <v>27.059999999999999</v>
      </c>
      <c r="M8141" s="22">
        <v>0</v>
      </c>
      <c r="N8141" s="21">
        <v>26.02</v>
      </c>
      <c r="O8141" s="22">
        <v>0</v>
      </c>
    </row>
    <row r="8142" ht="25.5">
      <c r="A8142" t="s">
        <v>8240</v>
      </c>
      <c r="B8142" s="19">
        <v>88497</v>
      </c>
      <c r="C8142" s="20" t="s">
        <v>8241</v>
      </c>
      <c r="D8142" s="19" t="s">
        <v>29</v>
      </c>
      <c r="E8142" s="21">
        <f t="shared" si="380"/>
        <v>19.629999999999999</v>
      </c>
      <c r="F8142" s="22">
        <v>0</v>
      </c>
      <c r="G8142" s="21">
        <f t="shared" si="381"/>
        <v>18.91</v>
      </c>
      <c r="H8142" s="22">
        <v>0</v>
      </c>
      <c r="I8142" s="23" t="str">
        <f t="shared" si="382"/>
        <v xml:space="preserve">COM VALOR</v>
      </c>
      <c r="J8142" s="19"/>
      <c r="L8142" s="21">
        <v>19.629999999999999</v>
      </c>
      <c r="M8142" s="22">
        <v>0</v>
      </c>
      <c r="N8142" s="21">
        <v>18.91</v>
      </c>
      <c r="O8142" s="22">
        <v>0</v>
      </c>
    </row>
    <row r="8143" ht="25.5">
      <c r="A8143" t="s">
        <v>8240</v>
      </c>
      <c r="B8143" s="19">
        <v>104648</v>
      </c>
      <c r="C8143" s="20" t="s">
        <v>8242</v>
      </c>
      <c r="D8143" s="19" t="s">
        <v>29</v>
      </c>
      <c r="E8143" s="21" t="str">
        <f t="shared" si="380"/>
        <v>VERIFICAR</v>
      </c>
      <c r="F8143" s="22">
        <v>0</v>
      </c>
      <c r="G8143" s="21" t="str">
        <f t="shared" si="381"/>
        <v>VERIFICAR</v>
      </c>
      <c r="H8143" s="22">
        <v>0</v>
      </c>
      <c r="I8143" s="23" t="str">
        <f t="shared" si="382"/>
        <v xml:space="preserve">COM VALOR</v>
      </c>
      <c r="J8143" s="19"/>
      <c r="L8143" s="21">
        <v>0</v>
      </c>
      <c r="M8143" s="22"/>
      <c r="N8143" s="21">
        <v>0</v>
      </c>
      <c r="O8143" s="22"/>
    </row>
    <row r="8144" ht="25.5">
      <c r="A8144" t="s">
        <v>8240</v>
      </c>
      <c r="B8144" s="19">
        <v>88495</v>
      </c>
      <c r="C8144" s="20" t="s">
        <v>8243</v>
      </c>
      <c r="D8144" s="19" t="s">
        <v>29</v>
      </c>
      <c r="E8144" s="21">
        <f t="shared" si="380"/>
        <v>12.529999999999999</v>
      </c>
      <c r="F8144" s="22">
        <v>0</v>
      </c>
      <c r="G8144" s="21">
        <f t="shared" si="381"/>
        <v>12.039999999999999</v>
      </c>
      <c r="H8144" s="22">
        <v>0</v>
      </c>
      <c r="I8144" s="23" t="str">
        <f t="shared" si="382"/>
        <v xml:space="preserve">COM VALOR</v>
      </c>
      <c r="J8144" s="19"/>
      <c r="L8144" s="21">
        <v>12.529999999999999</v>
      </c>
      <c r="M8144" s="22">
        <v>0</v>
      </c>
      <c r="N8144" s="21">
        <v>12.039999999999999</v>
      </c>
      <c r="O8144" s="22">
        <v>0</v>
      </c>
    </row>
    <row r="8145" ht="25.5">
      <c r="A8145" t="s">
        <v>8240</v>
      </c>
      <c r="B8145" s="19">
        <v>104646</v>
      </c>
      <c r="C8145" s="20" t="s">
        <v>8244</v>
      </c>
      <c r="D8145" s="19" t="s">
        <v>29</v>
      </c>
      <c r="E8145" s="21" t="str">
        <f t="shared" si="380"/>
        <v>VERIFICAR</v>
      </c>
      <c r="F8145" s="22">
        <v>0</v>
      </c>
      <c r="G8145" s="21" t="str">
        <f t="shared" si="381"/>
        <v>VERIFICAR</v>
      </c>
      <c r="H8145" s="22">
        <v>0</v>
      </c>
      <c r="I8145" s="23" t="str">
        <f t="shared" si="382"/>
        <v xml:space="preserve">COM VALOR</v>
      </c>
      <c r="J8145" s="19"/>
      <c r="L8145" s="21">
        <v>0</v>
      </c>
      <c r="M8145" s="22"/>
      <c r="N8145" s="21">
        <v>0</v>
      </c>
      <c r="O8145" s="22"/>
    </row>
    <row r="8146" ht="25.5">
      <c r="A8146" t="s">
        <v>8240</v>
      </c>
      <c r="B8146" s="19">
        <v>88496</v>
      </c>
      <c r="C8146" s="20" t="s">
        <v>8245</v>
      </c>
      <c r="D8146" s="19" t="s">
        <v>29</v>
      </c>
      <c r="E8146" s="21">
        <f t="shared" si="380"/>
        <v>34.030000000000001</v>
      </c>
      <c r="F8146" s="22">
        <v>0</v>
      </c>
      <c r="G8146" s="21">
        <f t="shared" si="381"/>
        <v>32.530000000000001</v>
      </c>
      <c r="H8146" s="22">
        <v>0</v>
      </c>
      <c r="I8146" s="23" t="str">
        <f t="shared" si="382"/>
        <v xml:space="preserve">COM VALOR</v>
      </c>
      <c r="J8146" s="19"/>
      <c r="L8146" s="21">
        <v>34.030000000000001</v>
      </c>
      <c r="M8146" s="22">
        <v>0</v>
      </c>
      <c r="N8146" s="21">
        <v>32.530000000000001</v>
      </c>
      <c r="O8146" s="22">
        <v>0</v>
      </c>
    </row>
    <row r="8147" ht="25.5">
      <c r="A8147" t="s">
        <v>8240</v>
      </c>
      <c r="B8147" s="19">
        <v>104647</v>
      </c>
      <c r="C8147" s="20" t="s">
        <v>8246</v>
      </c>
      <c r="D8147" s="19" t="s">
        <v>29</v>
      </c>
      <c r="E8147" s="21" t="str">
        <f t="shared" si="380"/>
        <v>VERIFICAR</v>
      </c>
      <c r="F8147" s="22">
        <v>0</v>
      </c>
      <c r="G8147" s="21" t="str">
        <f t="shared" si="381"/>
        <v>VERIFICAR</v>
      </c>
      <c r="H8147" s="22">
        <v>0</v>
      </c>
      <c r="I8147" s="23" t="str">
        <f t="shared" si="382"/>
        <v xml:space="preserve">COM VALOR</v>
      </c>
      <c r="J8147" s="19"/>
      <c r="L8147" s="21">
        <v>0</v>
      </c>
      <c r="M8147" s="22"/>
      <c r="N8147" s="21">
        <v>0</v>
      </c>
      <c r="O8147" s="22"/>
    </row>
    <row r="8148" ht="25.5">
      <c r="A8148" t="s">
        <v>8240</v>
      </c>
      <c r="B8148" s="19">
        <v>88494</v>
      </c>
      <c r="C8148" s="20" t="s">
        <v>8247</v>
      </c>
      <c r="D8148" s="19" t="s">
        <v>29</v>
      </c>
      <c r="E8148" s="21">
        <f t="shared" si="380"/>
        <v>22.34</v>
      </c>
      <c r="F8148" s="22">
        <v>0</v>
      </c>
      <c r="G8148" s="21">
        <f t="shared" si="381"/>
        <v>21.329999999999998</v>
      </c>
      <c r="H8148" s="22">
        <v>0</v>
      </c>
      <c r="I8148" s="23" t="str">
        <f t="shared" si="382"/>
        <v xml:space="preserve">COM VALOR</v>
      </c>
      <c r="J8148" s="19"/>
      <c r="L8148" s="21">
        <v>22.34</v>
      </c>
      <c r="M8148" s="22">
        <v>0</v>
      </c>
      <c r="N8148" s="21">
        <v>21.329999999999998</v>
      </c>
      <c r="O8148" s="22">
        <v>0</v>
      </c>
    </row>
    <row r="8149" ht="25.5">
      <c r="A8149" t="s">
        <v>8240</v>
      </c>
      <c r="B8149" s="19">
        <v>104645</v>
      </c>
      <c r="C8149" s="20" t="s">
        <v>8248</v>
      </c>
      <c r="D8149" s="19" t="s">
        <v>29</v>
      </c>
      <c r="E8149" s="21" t="str">
        <f t="shared" si="380"/>
        <v>VERIFICAR</v>
      </c>
      <c r="F8149" s="22">
        <v>0</v>
      </c>
      <c r="G8149" s="21" t="str">
        <f t="shared" si="381"/>
        <v>VERIFICAR</v>
      </c>
      <c r="H8149" s="22">
        <v>0</v>
      </c>
      <c r="I8149" s="23" t="str">
        <f t="shared" si="382"/>
        <v xml:space="preserve">COM VALOR</v>
      </c>
      <c r="J8149" s="19"/>
      <c r="L8149" s="21">
        <v>0</v>
      </c>
      <c r="M8149" s="22"/>
      <c r="N8149" s="21">
        <v>0</v>
      </c>
      <c r="O8149" s="22"/>
    </row>
    <row r="8150" ht="25.5">
      <c r="A8150" t="s">
        <v>8240</v>
      </c>
      <c r="B8150" s="19">
        <v>88485</v>
      </c>
      <c r="C8150" s="20" t="s">
        <v>8249</v>
      </c>
      <c r="D8150" s="19" t="s">
        <v>29</v>
      </c>
      <c r="E8150" s="21">
        <f t="shared" si="380"/>
        <v>3.7599999999999998</v>
      </c>
      <c r="F8150" s="22">
        <v>0</v>
      </c>
      <c r="G8150" s="21">
        <f t="shared" si="381"/>
        <v>3.6200000000000001</v>
      </c>
      <c r="H8150" s="22">
        <v>0</v>
      </c>
      <c r="I8150" s="23" t="str">
        <f t="shared" si="382"/>
        <v xml:space="preserve">COM VALOR</v>
      </c>
      <c r="J8150" s="19"/>
      <c r="L8150" s="21">
        <v>3.7599999999999998</v>
      </c>
      <c r="M8150" s="22">
        <v>0</v>
      </c>
      <c r="N8150" s="21">
        <v>3.6200000000000001</v>
      </c>
      <c r="O8150" s="22">
        <v>0</v>
      </c>
    </row>
    <row r="8151" ht="25.5">
      <c r="A8151" t="s">
        <v>8240</v>
      </c>
      <c r="B8151" s="19">
        <v>88484</v>
      </c>
      <c r="C8151" s="20" t="s">
        <v>8250</v>
      </c>
      <c r="D8151" s="19" t="s">
        <v>29</v>
      </c>
      <c r="E8151" s="21">
        <f t="shared" si="380"/>
        <v>4.75</v>
      </c>
      <c r="F8151" s="22">
        <v>0</v>
      </c>
      <c r="G8151" s="21">
        <f t="shared" si="381"/>
        <v>4.5599999999999996</v>
      </c>
      <c r="H8151" s="22">
        <v>0</v>
      </c>
      <c r="I8151" s="23" t="str">
        <f t="shared" si="382"/>
        <v xml:space="preserve">COM VALOR</v>
      </c>
      <c r="J8151" s="19"/>
      <c r="L8151" s="21">
        <v>4.75</v>
      </c>
      <c r="M8151" s="22">
        <v>0</v>
      </c>
      <c r="N8151" s="21">
        <v>4.5599999999999996</v>
      </c>
      <c r="O8151" s="22">
        <v>0</v>
      </c>
    </row>
    <row r="8152" ht="25.5">
      <c r="A8152" t="s">
        <v>8240</v>
      </c>
      <c r="B8152" s="19">
        <v>104638</v>
      </c>
      <c r="C8152" s="20" t="s">
        <v>8251</v>
      </c>
      <c r="D8152" s="19" t="s">
        <v>29</v>
      </c>
      <c r="E8152" s="21" t="str">
        <f t="shared" si="380"/>
        <v>VERIFICAR</v>
      </c>
      <c r="F8152" s="22">
        <v>0</v>
      </c>
      <c r="G8152" s="21" t="str">
        <f t="shared" si="381"/>
        <v>VERIFICAR</v>
      </c>
      <c r="H8152" s="22">
        <v>0</v>
      </c>
      <c r="I8152" s="23" t="str">
        <f t="shared" si="382"/>
        <v xml:space="preserve">COM VALOR</v>
      </c>
      <c r="J8152" s="19"/>
      <c r="L8152" s="21">
        <v>0</v>
      </c>
      <c r="M8152" s="22"/>
      <c r="N8152" s="21">
        <v>0</v>
      </c>
      <c r="O8152" s="22"/>
    </row>
    <row r="8153" ht="25.5">
      <c r="A8153" t="s">
        <v>8240</v>
      </c>
      <c r="B8153" s="19">
        <v>104637</v>
      </c>
      <c r="C8153" s="20" t="s">
        <v>8252</v>
      </c>
      <c r="D8153" s="19" t="s">
        <v>29</v>
      </c>
      <c r="E8153" s="21" t="str">
        <f t="shared" si="380"/>
        <v>VERIFICAR</v>
      </c>
      <c r="F8153" s="22">
        <v>0</v>
      </c>
      <c r="G8153" s="21" t="str">
        <f t="shared" si="381"/>
        <v>VERIFICAR</v>
      </c>
      <c r="H8153" s="22">
        <v>0</v>
      </c>
      <c r="I8153" s="23" t="str">
        <f t="shared" si="382"/>
        <v xml:space="preserve">COM VALOR</v>
      </c>
      <c r="J8153" s="19"/>
      <c r="L8153" s="21">
        <v>0</v>
      </c>
      <c r="M8153" s="22"/>
      <c r="N8153" s="21">
        <v>0</v>
      </c>
      <c r="O8153" s="22"/>
    </row>
    <row r="8154" ht="25.5">
      <c r="A8154" t="s">
        <v>8240</v>
      </c>
      <c r="B8154" s="19">
        <v>104641</v>
      </c>
      <c r="C8154" s="20" t="s">
        <v>8253</v>
      </c>
      <c r="D8154" s="19" t="s">
        <v>29</v>
      </c>
      <c r="E8154" s="21">
        <f t="shared" si="380"/>
        <v>9.6099999999999994</v>
      </c>
      <c r="F8154" s="22">
        <v>0</v>
      </c>
      <c r="G8154" s="21">
        <f t="shared" si="381"/>
        <v>9.2899999999999991</v>
      </c>
      <c r="H8154" s="22">
        <v>0</v>
      </c>
      <c r="I8154" s="23" t="str">
        <f t="shared" si="382"/>
        <v xml:space="preserve">COM VALOR</v>
      </c>
      <c r="J8154" s="19"/>
      <c r="L8154" s="21">
        <v>9.6099999999999994</v>
      </c>
      <c r="M8154" s="22">
        <v>0</v>
      </c>
      <c r="N8154" s="21">
        <v>9.2899999999999991</v>
      </c>
      <c r="O8154" s="22">
        <v>0</v>
      </c>
    </row>
    <row r="8155" ht="25.5">
      <c r="A8155" t="s">
        <v>8240</v>
      </c>
      <c r="B8155" s="19">
        <v>104639</v>
      </c>
      <c r="C8155" s="20" t="s">
        <v>8254</v>
      </c>
      <c r="D8155" s="19" t="s">
        <v>29</v>
      </c>
      <c r="E8155" s="21">
        <f t="shared" si="380"/>
        <v>12.029999999999999</v>
      </c>
      <c r="F8155" s="22">
        <v>0</v>
      </c>
      <c r="G8155" s="21">
        <f t="shared" si="381"/>
        <v>11.58</v>
      </c>
      <c r="H8155" s="22">
        <v>0</v>
      </c>
      <c r="I8155" s="23" t="str">
        <f t="shared" si="382"/>
        <v xml:space="preserve">COM VALOR</v>
      </c>
      <c r="J8155" s="19"/>
      <c r="L8155" s="21">
        <v>12.029999999999999</v>
      </c>
      <c r="M8155" s="22">
        <v>0</v>
      </c>
      <c r="N8155" s="21">
        <v>11.58</v>
      </c>
      <c r="O8155" s="22">
        <v>0</v>
      </c>
    </row>
    <row r="8156" ht="25.5">
      <c r="A8156" t="s">
        <v>8240</v>
      </c>
      <c r="B8156" s="19">
        <v>104644</v>
      </c>
      <c r="C8156" s="20" t="s">
        <v>8255</v>
      </c>
      <c r="D8156" s="19" t="s">
        <v>29</v>
      </c>
      <c r="E8156" s="21" t="str">
        <f t="shared" si="380"/>
        <v>VERIFICAR</v>
      </c>
      <c r="F8156" s="22">
        <v>0</v>
      </c>
      <c r="G8156" s="21" t="str">
        <f t="shared" si="381"/>
        <v>VERIFICAR</v>
      </c>
      <c r="H8156" s="22">
        <v>0</v>
      </c>
      <c r="I8156" s="23" t="str">
        <f t="shared" si="382"/>
        <v xml:space="preserve">COM VALOR</v>
      </c>
      <c r="J8156" s="19"/>
      <c r="L8156" s="21">
        <v>0</v>
      </c>
      <c r="M8156" s="22"/>
      <c r="N8156" s="21">
        <v>0</v>
      </c>
      <c r="O8156" s="22"/>
    </row>
    <row r="8157" ht="25.5">
      <c r="A8157" t="s">
        <v>8240</v>
      </c>
      <c r="B8157" s="19">
        <v>104643</v>
      </c>
      <c r="C8157" s="20" t="s">
        <v>8256</v>
      </c>
      <c r="D8157" s="19" t="s">
        <v>29</v>
      </c>
      <c r="E8157" s="21" t="str">
        <f t="shared" si="380"/>
        <v>VERIFICAR</v>
      </c>
      <c r="F8157" s="22">
        <v>0</v>
      </c>
      <c r="G8157" s="21" t="str">
        <f t="shared" si="381"/>
        <v>VERIFICAR</v>
      </c>
      <c r="H8157" s="22">
        <v>0</v>
      </c>
      <c r="I8157" s="23" t="str">
        <f t="shared" si="382"/>
        <v xml:space="preserve">COM VALOR</v>
      </c>
      <c r="J8157" s="19"/>
      <c r="L8157" s="21">
        <v>0</v>
      </c>
      <c r="M8157" s="22"/>
      <c r="N8157" s="21">
        <v>0</v>
      </c>
      <c r="O8157" s="22"/>
    </row>
    <row r="8158" ht="25.5">
      <c r="A8158" t="s">
        <v>8240</v>
      </c>
      <c r="B8158" s="19">
        <v>88489</v>
      </c>
      <c r="C8158" s="20" t="s">
        <v>8257</v>
      </c>
      <c r="D8158" s="19" t="s">
        <v>29</v>
      </c>
      <c r="E8158" s="21">
        <f t="shared" si="380"/>
        <v>13.23</v>
      </c>
      <c r="F8158" s="22">
        <v>0</v>
      </c>
      <c r="G8158" s="21">
        <f t="shared" si="381"/>
        <v>12.91</v>
      </c>
      <c r="H8158" s="22">
        <v>0</v>
      </c>
      <c r="I8158" s="23" t="str">
        <f t="shared" si="382"/>
        <v xml:space="preserve">COM VALOR</v>
      </c>
      <c r="J8158" s="19"/>
      <c r="L8158" s="21">
        <v>13.23</v>
      </c>
      <c r="M8158" s="22">
        <v>0</v>
      </c>
      <c r="N8158" s="21">
        <v>12.91</v>
      </c>
      <c r="O8158" s="22">
        <v>0</v>
      </c>
    </row>
    <row r="8159" ht="25.5">
      <c r="A8159" t="s">
        <v>8240</v>
      </c>
      <c r="B8159" s="19">
        <v>88488</v>
      </c>
      <c r="C8159" s="20" t="s">
        <v>8258</v>
      </c>
      <c r="D8159" s="19" t="s">
        <v>29</v>
      </c>
      <c r="E8159" s="21">
        <f t="shared" si="380"/>
        <v>15.65</v>
      </c>
      <c r="F8159" s="22">
        <v>0</v>
      </c>
      <c r="G8159" s="21">
        <f t="shared" si="381"/>
        <v>15.199999999999999</v>
      </c>
      <c r="H8159" s="22">
        <v>0</v>
      </c>
      <c r="I8159" s="23" t="str">
        <f t="shared" si="382"/>
        <v xml:space="preserve">COM VALOR</v>
      </c>
      <c r="J8159" s="19"/>
      <c r="L8159" s="21">
        <v>15.65</v>
      </c>
      <c r="M8159" s="22">
        <v>0</v>
      </c>
      <c r="N8159" s="21">
        <v>15.199999999999999</v>
      </c>
      <c r="O8159" s="22">
        <v>0</v>
      </c>
    </row>
    <row r="8160" ht="25.5">
      <c r="A8160" t="s">
        <v>8240</v>
      </c>
      <c r="B8160" s="19">
        <v>104642</v>
      </c>
      <c r="C8160" s="20" t="s">
        <v>8259</v>
      </c>
      <c r="D8160" s="19" t="s">
        <v>29</v>
      </c>
      <c r="E8160" s="21">
        <f t="shared" si="380"/>
        <v>10.949999999999999</v>
      </c>
      <c r="F8160" s="22">
        <v>0</v>
      </c>
      <c r="G8160" s="21">
        <f t="shared" si="381"/>
        <v>10.630000000000001</v>
      </c>
      <c r="H8160" s="22">
        <v>0</v>
      </c>
      <c r="I8160" s="23" t="str">
        <f t="shared" si="382"/>
        <v xml:space="preserve">COM VALOR</v>
      </c>
      <c r="J8160" s="19"/>
      <c r="L8160" s="21">
        <v>10.949999999999999</v>
      </c>
      <c r="M8160" s="22">
        <v>0</v>
      </c>
      <c r="N8160" s="21">
        <v>10.630000000000001</v>
      </c>
      <c r="O8160" s="22">
        <v>0</v>
      </c>
    </row>
    <row r="8161" ht="25.5">
      <c r="A8161" t="s">
        <v>8240</v>
      </c>
      <c r="B8161" s="19">
        <v>104640</v>
      </c>
      <c r="C8161" s="20" t="s">
        <v>8260</v>
      </c>
      <c r="D8161" s="19" t="s">
        <v>29</v>
      </c>
      <c r="E8161" s="21">
        <f t="shared" si="380"/>
        <v>13.369999999999999</v>
      </c>
      <c r="F8161" s="22">
        <v>0</v>
      </c>
      <c r="G8161" s="21">
        <f t="shared" si="381"/>
        <v>12.92</v>
      </c>
      <c r="H8161" s="22">
        <v>0</v>
      </c>
      <c r="I8161" s="23" t="str">
        <f t="shared" si="382"/>
        <v xml:space="preserve">COM VALOR</v>
      </c>
      <c r="J8161" s="19"/>
      <c r="L8161" s="21">
        <v>13.369999999999999</v>
      </c>
      <c r="M8161" s="22">
        <v>0</v>
      </c>
      <c r="N8161" s="21">
        <v>12.92</v>
      </c>
      <c r="O8161" s="22">
        <v>0</v>
      </c>
    </row>
    <row r="8162" ht="25.5">
      <c r="A8162" t="s">
        <v>8240</v>
      </c>
      <c r="B8162" s="19">
        <v>95305</v>
      </c>
      <c r="C8162" s="20" t="s">
        <v>8261</v>
      </c>
      <c r="D8162" s="19" t="s">
        <v>29</v>
      </c>
      <c r="E8162" s="21">
        <f t="shared" si="380"/>
        <v>14</v>
      </c>
      <c r="F8162" s="22">
        <v>0</v>
      </c>
      <c r="G8162" s="21">
        <f t="shared" si="381"/>
        <v>13.69</v>
      </c>
      <c r="H8162" s="22">
        <v>0</v>
      </c>
      <c r="I8162" s="23" t="str">
        <f t="shared" si="382"/>
        <v xml:space="preserve">COM VALOR</v>
      </c>
      <c r="J8162" s="19"/>
      <c r="L8162" s="21">
        <v>14</v>
      </c>
      <c r="M8162" s="22">
        <v>0</v>
      </c>
      <c r="N8162" s="21">
        <v>13.69</v>
      </c>
      <c r="O8162" s="22">
        <v>0</v>
      </c>
    </row>
    <row r="8163" ht="25.5">
      <c r="A8163" t="s">
        <v>8240</v>
      </c>
      <c r="B8163" s="19">
        <v>95306</v>
      </c>
      <c r="C8163" s="20" t="s">
        <v>8262</v>
      </c>
      <c r="D8163" s="19" t="s">
        <v>29</v>
      </c>
      <c r="E8163" s="21">
        <f t="shared" si="380"/>
        <v>16.280000000000001</v>
      </c>
      <c r="F8163" s="22">
        <v>0</v>
      </c>
      <c r="G8163" s="21">
        <f t="shared" si="381"/>
        <v>15.859999999999999</v>
      </c>
      <c r="H8163" s="22">
        <v>0</v>
      </c>
      <c r="I8163" s="23" t="str">
        <f t="shared" si="382"/>
        <v xml:space="preserve">COM VALOR</v>
      </c>
      <c r="J8163" s="19"/>
      <c r="L8163" s="21">
        <v>16.280000000000001</v>
      </c>
      <c r="M8163" s="22">
        <v>0</v>
      </c>
      <c r="N8163" s="21">
        <v>15.859999999999999</v>
      </c>
      <c r="O8163" s="22">
        <v>0</v>
      </c>
    </row>
    <row r="8164" ht="25.5">
      <c r="A8164" t="s">
        <v>8263</v>
      </c>
      <c r="B8164" s="19">
        <v>102201</v>
      </c>
      <c r="C8164" s="20" t="s">
        <v>8264</v>
      </c>
      <c r="D8164" s="19" t="s">
        <v>29</v>
      </c>
      <c r="E8164" s="21">
        <f t="shared" si="380"/>
        <v>21.050000000000001</v>
      </c>
      <c r="F8164" s="22">
        <v>0</v>
      </c>
      <c r="G8164" s="21">
        <f t="shared" si="381"/>
        <v>20.32</v>
      </c>
      <c r="H8164" s="22">
        <v>0</v>
      </c>
      <c r="I8164" s="23" t="str">
        <f t="shared" si="382"/>
        <v xml:space="preserve">COM VALOR</v>
      </c>
      <c r="J8164" s="19"/>
      <c r="L8164" s="21">
        <v>21.050000000000001</v>
      </c>
      <c r="M8164" s="22">
        <v>0</v>
      </c>
      <c r="N8164" s="21">
        <v>20.32</v>
      </c>
      <c r="O8164" s="22">
        <v>0</v>
      </c>
    </row>
    <row r="8165" ht="25.5">
      <c r="A8165" t="s">
        <v>8263</v>
      </c>
      <c r="B8165" s="19">
        <v>102200</v>
      </c>
      <c r="C8165" s="20" t="s">
        <v>8265</v>
      </c>
      <c r="D8165" s="19" t="s">
        <v>29</v>
      </c>
      <c r="E8165" s="21">
        <f t="shared" si="380"/>
        <v>23.600000000000001</v>
      </c>
      <c r="F8165" s="22">
        <v>0</v>
      </c>
      <c r="G8165" s="21">
        <f t="shared" si="381"/>
        <v>23.010000000000002</v>
      </c>
      <c r="H8165" s="22">
        <v>0</v>
      </c>
      <c r="I8165" s="23" t="str">
        <f t="shared" si="382"/>
        <v xml:space="preserve">COM VALOR</v>
      </c>
      <c r="J8165" s="19"/>
      <c r="L8165" s="21">
        <v>23.600000000000001</v>
      </c>
      <c r="M8165" s="22">
        <v>0</v>
      </c>
      <c r="N8165" s="21">
        <v>23.010000000000002</v>
      </c>
      <c r="O8165" s="22">
        <v>0</v>
      </c>
    </row>
    <row r="8166" ht="25.5">
      <c r="A8166" t="s">
        <v>8263</v>
      </c>
      <c r="B8166" s="19">
        <v>102202</v>
      </c>
      <c r="C8166" s="20" t="s">
        <v>8266</v>
      </c>
      <c r="D8166" s="19" t="s">
        <v>29</v>
      </c>
      <c r="E8166" s="21">
        <f t="shared" si="380"/>
        <v>60.5</v>
      </c>
      <c r="F8166" s="22">
        <v>0</v>
      </c>
      <c r="G8166" s="21">
        <f t="shared" si="381"/>
        <v>59.909999999999997</v>
      </c>
      <c r="H8166" s="22">
        <v>0</v>
      </c>
      <c r="I8166" s="23" t="str">
        <f t="shared" si="382"/>
        <v xml:space="preserve">COM VALOR</v>
      </c>
      <c r="J8166" s="19"/>
      <c r="L8166" s="21">
        <v>60.5</v>
      </c>
      <c r="M8166" s="22">
        <v>0</v>
      </c>
      <c r="N8166" s="21">
        <v>59.909999999999997</v>
      </c>
      <c r="O8166" s="22">
        <v>0</v>
      </c>
    </row>
    <row r="8167" ht="25.5">
      <c r="A8167" t="s">
        <v>8263</v>
      </c>
      <c r="B8167" s="19">
        <v>102193</v>
      </c>
      <c r="C8167" s="20" t="s">
        <v>8267</v>
      </c>
      <c r="D8167" s="19" t="s">
        <v>29</v>
      </c>
      <c r="E8167" s="21">
        <f t="shared" si="380"/>
        <v>2.2200000000000002</v>
      </c>
      <c r="F8167" s="22">
        <v>0</v>
      </c>
      <c r="G8167" s="21">
        <f t="shared" si="381"/>
        <v>2.1299999999999999</v>
      </c>
      <c r="H8167" s="22">
        <v>0</v>
      </c>
      <c r="I8167" s="23" t="str">
        <f t="shared" si="382"/>
        <v xml:space="preserve">COM VALOR</v>
      </c>
      <c r="J8167" s="19"/>
      <c r="L8167" s="21">
        <v>2.2200000000000002</v>
      </c>
      <c r="M8167" s="22">
        <v>0</v>
      </c>
      <c r="N8167" s="21">
        <v>2.1299999999999999</v>
      </c>
      <c r="O8167" s="22">
        <v>0</v>
      </c>
    </row>
    <row r="8168" ht="12.75">
      <c r="A8168" t="s">
        <v>8263</v>
      </c>
      <c r="B8168" s="19">
        <v>102194</v>
      </c>
      <c r="C8168" s="20" t="s">
        <v>8268</v>
      </c>
      <c r="D8168" s="19" t="s">
        <v>29</v>
      </c>
      <c r="E8168" s="21">
        <f t="shared" si="380"/>
        <v>8.6099999999999994</v>
      </c>
      <c r="F8168" s="22">
        <v>0</v>
      </c>
      <c r="G8168" s="21">
        <f t="shared" si="381"/>
        <v>8.1899999999999995</v>
      </c>
      <c r="H8168" s="22">
        <v>0</v>
      </c>
      <c r="I8168" s="23" t="str">
        <f t="shared" si="382"/>
        <v xml:space="preserve">COM VALOR</v>
      </c>
      <c r="J8168" s="19"/>
      <c r="L8168" s="21">
        <v>8.6099999999999994</v>
      </c>
      <c r="M8168" s="22">
        <v>0</v>
      </c>
      <c r="N8168" s="21">
        <v>8.1899999999999995</v>
      </c>
      <c r="O8168" s="22">
        <v>0</v>
      </c>
    </row>
    <row r="8169" ht="12.75">
      <c r="A8169" t="s">
        <v>8263</v>
      </c>
      <c r="B8169" s="19">
        <v>102198</v>
      </c>
      <c r="C8169" s="20" t="s">
        <v>8269</v>
      </c>
      <c r="D8169" s="19" t="s">
        <v>29</v>
      </c>
      <c r="E8169" s="21" t="str">
        <f t="shared" si="380"/>
        <v>VERIFICAR</v>
      </c>
      <c r="F8169" s="22">
        <v>0</v>
      </c>
      <c r="G8169" s="21" t="str">
        <f t="shared" si="381"/>
        <v>VERIFICAR</v>
      </c>
      <c r="H8169" s="22">
        <v>0</v>
      </c>
      <c r="I8169" s="23" t="str">
        <f t="shared" si="382"/>
        <v xml:space="preserve">COM VALOR</v>
      </c>
      <c r="J8169" s="19"/>
      <c r="L8169" s="21">
        <v>0</v>
      </c>
      <c r="M8169" s="22"/>
      <c r="N8169" s="21">
        <v>0</v>
      </c>
      <c r="O8169" s="22"/>
    </row>
    <row r="8170" ht="25.5">
      <c r="A8170" t="s">
        <v>8263</v>
      </c>
      <c r="B8170" s="19">
        <v>102197</v>
      </c>
      <c r="C8170" s="20" t="s">
        <v>8270</v>
      </c>
      <c r="D8170" s="19" t="s">
        <v>29</v>
      </c>
      <c r="E8170" s="21">
        <f t="shared" si="380"/>
        <v>31.010000000000002</v>
      </c>
      <c r="F8170" s="22">
        <v>0</v>
      </c>
      <c r="G8170" s="21">
        <f t="shared" si="381"/>
        <v>30.559999999999999</v>
      </c>
      <c r="H8170" s="22">
        <v>0</v>
      </c>
      <c r="I8170" s="23" t="str">
        <f t="shared" si="382"/>
        <v xml:space="preserve">COM VALOR</v>
      </c>
      <c r="J8170" s="19"/>
      <c r="L8170" s="21">
        <v>31.010000000000002</v>
      </c>
      <c r="M8170" s="22">
        <v>0</v>
      </c>
      <c r="N8170" s="21">
        <v>30.559999999999999</v>
      </c>
      <c r="O8170" s="22">
        <v>0</v>
      </c>
    </row>
    <row r="8171" ht="25.5">
      <c r="A8171" t="s">
        <v>8263</v>
      </c>
      <c r="B8171" s="19">
        <v>102195</v>
      </c>
      <c r="C8171" s="20" t="s">
        <v>8271</v>
      </c>
      <c r="D8171" s="19" t="s">
        <v>29</v>
      </c>
      <c r="E8171" s="21" t="str">
        <f t="shared" si="380"/>
        <v>VERIFICAR</v>
      </c>
      <c r="F8171" s="22">
        <v>0</v>
      </c>
      <c r="G8171" s="21" t="str">
        <f t="shared" si="381"/>
        <v>VERIFICAR</v>
      </c>
      <c r="H8171" s="22">
        <v>0</v>
      </c>
      <c r="I8171" s="23" t="str">
        <f t="shared" si="382"/>
        <v xml:space="preserve">COM VALOR</v>
      </c>
      <c r="J8171" s="19"/>
      <c r="L8171" s="21">
        <v>0</v>
      </c>
      <c r="M8171" s="22"/>
      <c r="N8171" s="21">
        <v>0</v>
      </c>
      <c r="O8171" s="22"/>
    </row>
    <row r="8172" ht="25.5">
      <c r="A8172" t="s">
        <v>8263</v>
      </c>
      <c r="B8172" s="19">
        <v>102199</v>
      </c>
      <c r="C8172" s="20" t="s">
        <v>8272</v>
      </c>
      <c r="D8172" s="19" t="s">
        <v>29</v>
      </c>
      <c r="E8172" s="21" t="str">
        <f t="shared" si="380"/>
        <v>VERIFICAR</v>
      </c>
      <c r="F8172" s="22">
        <v>0</v>
      </c>
      <c r="G8172" s="21" t="str">
        <f t="shared" si="381"/>
        <v>VERIFICAR</v>
      </c>
      <c r="H8172" s="22">
        <v>0</v>
      </c>
      <c r="I8172" s="23" t="str">
        <f t="shared" si="382"/>
        <v xml:space="preserve">COM VALOR</v>
      </c>
      <c r="J8172" s="19"/>
      <c r="L8172" s="21">
        <v>0</v>
      </c>
      <c r="M8172" s="22"/>
      <c r="N8172" s="21">
        <v>0</v>
      </c>
      <c r="O8172" s="22"/>
    </row>
    <row r="8173" ht="25.5">
      <c r="A8173" t="s">
        <v>8263</v>
      </c>
      <c r="B8173" s="19">
        <v>102196</v>
      </c>
      <c r="C8173" s="20" t="s">
        <v>8273</v>
      </c>
      <c r="D8173" s="19" t="s">
        <v>29</v>
      </c>
      <c r="E8173" s="21" t="str">
        <f t="shared" si="380"/>
        <v>VERIFICAR</v>
      </c>
      <c r="F8173" s="22">
        <v>0</v>
      </c>
      <c r="G8173" s="21" t="str">
        <f t="shared" si="381"/>
        <v>VERIFICAR</v>
      </c>
      <c r="H8173" s="22">
        <v>0</v>
      </c>
      <c r="I8173" s="23" t="str">
        <f t="shared" si="382"/>
        <v xml:space="preserve">COM VALOR</v>
      </c>
      <c r="J8173" s="19"/>
      <c r="L8173" s="21">
        <v>0</v>
      </c>
      <c r="M8173" s="22"/>
      <c r="N8173" s="21">
        <v>0</v>
      </c>
      <c r="O8173" s="22"/>
    </row>
    <row r="8174" ht="12.75">
      <c r="A8174" t="s">
        <v>8263</v>
      </c>
      <c r="B8174" s="19">
        <v>102233</v>
      </c>
      <c r="C8174" s="20" t="s">
        <v>8274</v>
      </c>
      <c r="D8174" s="19" t="s">
        <v>29</v>
      </c>
      <c r="E8174" s="21">
        <f t="shared" si="380"/>
        <v>10.74</v>
      </c>
      <c r="F8174" s="22">
        <v>0</v>
      </c>
      <c r="G8174" s="21">
        <f t="shared" si="381"/>
        <v>10.369999999999999</v>
      </c>
      <c r="H8174" s="22">
        <v>0</v>
      </c>
      <c r="I8174" s="23" t="str">
        <f t="shared" si="382"/>
        <v xml:space="preserve">COM VALOR</v>
      </c>
      <c r="J8174" s="19"/>
      <c r="L8174" s="21">
        <v>10.74</v>
      </c>
      <c r="M8174" s="22">
        <v>0.35999999999999999</v>
      </c>
      <c r="N8174" s="21">
        <v>10.369999999999999</v>
      </c>
      <c r="O8174" s="22">
        <v>0.38</v>
      </c>
    </row>
    <row r="8175" ht="12.75">
      <c r="A8175" t="s">
        <v>8263</v>
      </c>
      <c r="B8175" s="19">
        <v>102234</v>
      </c>
      <c r="C8175" s="20" t="s">
        <v>8275</v>
      </c>
      <c r="D8175" s="19" t="s">
        <v>29</v>
      </c>
      <c r="E8175" s="21">
        <f t="shared" si="380"/>
        <v>21.489999999999998</v>
      </c>
      <c r="F8175" s="22">
        <v>0</v>
      </c>
      <c r="G8175" s="21">
        <f t="shared" si="381"/>
        <v>20.760000000000002</v>
      </c>
      <c r="H8175" s="22">
        <v>0</v>
      </c>
      <c r="I8175" s="23" t="str">
        <f t="shared" si="382"/>
        <v xml:space="preserve">COM VALOR</v>
      </c>
      <c r="J8175" s="19"/>
      <c r="L8175" s="21">
        <v>21.489999999999998</v>
      </c>
      <c r="M8175" s="22">
        <v>0.35999999999999999</v>
      </c>
      <c r="N8175" s="21">
        <v>20.760000000000002</v>
      </c>
      <c r="O8175" s="22">
        <v>0.38</v>
      </c>
    </row>
    <row r="8176" ht="25.5">
      <c r="A8176" t="s">
        <v>8263</v>
      </c>
      <c r="B8176" s="19">
        <v>102207</v>
      </c>
      <c r="C8176" s="20" t="s">
        <v>8276</v>
      </c>
      <c r="D8176" s="19" t="s">
        <v>29</v>
      </c>
      <c r="E8176" s="21">
        <f t="shared" si="380"/>
        <v>8.8000000000000007</v>
      </c>
      <c r="F8176" s="22">
        <v>0</v>
      </c>
      <c r="G8176" s="21">
        <f t="shared" si="381"/>
        <v>8.5</v>
      </c>
      <c r="H8176" s="22">
        <v>0</v>
      </c>
      <c r="I8176" s="23" t="str">
        <f t="shared" si="382"/>
        <v xml:space="preserve">COM VALOR</v>
      </c>
      <c r="J8176" s="19"/>
      <c r="L8176" s="21">
        <v>8.8000000000000007</v>
      </c>
      <c r="M8176" s="22">
        <v>0</v>
      </c>
      <c r="N8176" s="21">
        <v>8.5</v>
      </c>
      <c r="O8176" s="22">
        <v>0</v>
      </c>
    </row>
    <row r="8177" ht="25.5">
      <c r="A8177" t="s">
        <v>8263</v>
      </c>
      <c r="B8177" s="19">
        <v>102217</v>
      </c>
      <c r="C8177" s="20" t="s">
        <v>8277</v>
      </c>
      <c r="D8177" s="19" t="s">
        <v>29</v>
      </c>
      <c r="E8177" s="21">
        <f t="shared" si="380"/>
        <v>17.620000000000001</v>
      </c>
      <c r="F8177" s="22">
        <v>0</v>
      </c>
      <c r="G8177" s="21">
        <f t="shared" si="381"/>
        <v>17.010000000000002</v>
      </c>
      <c r="H8177" s="22">
        <v>0</v>
      </c>
      <c r="I8177" s="23" t="str">
        <f t="shared" si="382"/>
        <v xml:space="preserve">COM VALOR</v>
      </c>
      <c r="J8177" s="19"/>
      <c r="L8177" s="21">
        <v>17.620000000000001</v>
      </c>
      <c r="M8177" s="22">
        <v>0</v>
      </c>
      <c r="N8177" s="21">
        <v>17.010000000000002</v>
      </c>
      <c r="O8177" s="22">
        <v>0</v>
      </c>
    </row>
    <row r="8178" ht="25.5">
      <c r="A8178" t="s">
        <v>8263</v>
      </c>
      <c r="B8178" s="19">
        <v>102227</v>
      </c>
      <c r="C8178" s="20" t="s">
        <v>8278</v>
      </c>
      <c r="D8178" s="19" t="s">
        <v>29</v>
      </c>
      <c r="E8178" s="21">
        <f t="shared" si="380"/>
        <v>26.449999999999999</v>
      </c>
      <c r="F8178" s="22">
        <v>0</v>
      </c>
      <c r="G8178" s="21">
        <f t="shared" si="381"/>
        <v>25.530000000000001</v>
      </c>
      <c r="H8178" s="22">
        <v>0</v>
      </c>
      <c r="I8178" s="23" t="str">
        <f t="shared" si="382"/>
        <v xml:space="preserve">COM VALOR</v>
      </c>
      <c r="J8178" s="19"/>
      <c r="L8178" s="21">
        <v>26.449999999999999</v>
      </c>
      <c r="M8178" s="22">
        <v>0</v>
      </c>
      <c r="N8178" s="21">
        <v>25.530000000000001</v>
      </c>
      <c r="O8178" s="22">
        <v>0</v>
      </c>
    </row>
    <row r="8179" ht="25.5">
      <c r="A8179" t="s">
        <v>8263</v>
      </c>
      <c r="B8179" s="19">
        <v>102211</v>
      </c>
      <c r="C8179" s="20" t="s">
        <v>8279</v>
      </c>
      <c r="D8179" s="19" t="s">
        <v>29</v>
      </c>
      <c r="E8179" s="21" t="str">
        <f t="shared" si="380"/>
        <v>VERIFICAR</v>
      </c>
      <c r="F8179" s="22">
        <v>0</v>
      </c>
      <c r="G8179" s="21" t="str">
        <f t="shared" si="381"/>
        <v>VERIFICAR</v>
      </c>
      <c r="H8179" s="22">
        <v>0</v>
      </c>
      <c r="I8179" s="23" t="str">
        <f t="shared" si="382"/>
        <v xml:space="preserve">COM VALOR</v>
      </c>
      <c r="J8179" s="19"/>
      <c r="L8179" s="21">
        <v>0</v>
      </c>
      <c r="M8179" s="22"/>
      <c r="N8179" s="21">
        <v>0</v>
      </c>
      <c r="O8179" s="22"/>
    </row>
    <row r="8180" ht="25.5">
      <c r="A8180" t="s">
        <v>8263</v>
      </c>
      <c r="B8180" s="19">
        <v>102221</v>
      </c>
      <c r="C8180" s="20" t="s">
        <v>8280</v>
      </c>
      <c r="D8180" s="19" t="s">
        <v>29</v>
      </c>
      <c r="E8180" s="21" t="str">
        <f t="shared" si="380"/>
        <v>VERIFICAR</v>
      </c>
      <c r="F8180" s="22">
        <v>0</v>
      </c>
      <c r="G8180" s="21" t="str">
        <f t="shared" si="381"/>
        <v>VERIFICAR</v>
      </c>
      <c r="H8180" s="22">
        <v>0</v>
      </c>
      <c r="I8180" s="23" t="str">
        <f t="shared" si="382"/>
        <v xml:space="preserve">COM VALOR</v>
      </c>
      <c r="J8180" s="19"/>
      <c r="L8180" s="21">
        <v>0</v>
      </c>
      <c r="M8180" s="22"/>
      <c r="N8180" s="21">
        <v>0</v>
      </c>
      <c r="O8180" s="22"/>
    </row>
    <row r="8181" ht="25.5">
      <c r="A8181" t="s">
        <v>8263</v>
      </c>
      <c r="B8181" s="19">
        <v>102231</v>
      </c>
      <c r="C8181" s="20" t="s">
        <v>8281</v>
      </c>
      <c r="D8181" s="19" t="s">
        <v>29</v>
      </c>
      <c r="E8181" s="21" t="str">
        <f t="shared" si="380"/>
        <v>VERIFICAR</v>
      </c>
      <c r="F8181" s="22">
        <v>0</v>
      </c>
      <c r="G8181" s="21" t="str">
        <f t="shared" si="381"/>
        <v>VERIFICAR</v>
      </c>
      <c r="H8181" s="22">
        <v>0</v>
      </c>
      <c r="I8181" s="23" t="str">
        <f t="shared" si="382"/>
        <v xml:space="preserve">COM VALOR</v>
      </c>
      <c r="J8181" s="19"/>
      <c r="L8181" s="21">
        <v>0</v>
      </c>
      <c r="M8181" s="22"/>
      <c r="N8181" s="21">
        <v>0</v>
      </c>
      <c r="O8181" s="22"/>
    </row>
    <row r="8182" ht="25.5">
      <c r="A8182" t="s">
        <v>8263</v>
      </c>
      <c r="B8182" s="19">
        <v>102209</v>
      </c>
      <c r="C8182" s="20" t="s">
        <v>8282</v>
      </c>
      <c r="D8182" s="19" t="s">
        <v>29</v>
      </c>
      <c r="E8182" s="21">
        <f t="shared" si="380"/>
        <v>8.6799999999999997</v>
      </c>
      <c r="F8182" s="22">
        <v>0</v>
      </c>
      <c r="G8182" s="21">
        <f t="shared" si="381"/>
        <v>8.3800000000000008</v>
      </c>
      <c r="H8182" s="22">
        <v>0</v>
      </c>
      <c r="I8182" s="23" t="str">
        <f t="shared" si="382"/>
        <v xml:space="preserve">COM VALOR</v>
      </c>
      <c r="J8182" s="19"/>
      <c r="L8182" s="21">
        <v>8.6799999999999997</v>
      </c>
      <c r="M8182" s="22">
        <v>0</v>
      </c>
      <c r="N8182" s="21">
        <v>8.3800000000000008</v>
      </c>
      <c r="O8182" s="22">
        <v>0</v>
      </c>
    </row>
    <row r="8183" ht="25.5">
      <c r="A8183" t="s">
        <v>8263</v>
      </c>
      <c r="B8183" s="19">
        <v>102219</v>
      </c>
      <c r="C8183" s="20" t="s">
        <v>8283</v>
      </c>
      <c r="D8183" s="19" t="s">
        <v>29</v>
      </c>
      <c r="E8183" s="21">
        <f t="shared" si="380"/>
        <v>17.359999999999999</v>
      </c>
      <c r="F8183" s="22">
        <v>0</v>
      </c>
      <c r="G8183" s="21">
        <f t="shared" si="381"/>
        <v>16.75</v>
      </c>
      <c r="H8183" s="22">
        <v>0</v>
      </c>
      <c r="I8183" s="23" t="str">
        <f t="shared" si="382"/>
        <v xml:space="preserve">COM VALOR</v>
      </c>
      <c r="J8183" s="19"/>
      <c r="L8183" s="21">
        <v>17.359999999999999</v>
      </c>
      <c r="M8183" s="22">
        <v>0</v>
      </c>
      <c r="N8183" s="21">
        <v>16.75</v>
      </c>
      <c r="O8183" s="22">
        <v>0</v>
      </c>
    </row>
    <row r="8184" ht="25.5">
      <c r="A8184" t="s">
        <v>8263</v>
      </c>
      <c r="B8184" s="19">
        <v>102229</v>
      </c>
      <c r="C8184" s="20" t="s">
        <v>8284</v>
      </c>
      <c r="D8184" s="19" t="s">
        <v>29</v>
      </c>
      <c r="E8184" s="21">
        <f t="shared" si="380"/>
        <v>26.059999999999999</v>
      </c>
      <c r="F8184" s="22">
        <v>0</v>
      </c>
      <c r="G8184" s="21">
        <f t="shared" si="381"/>
        <v>25.140000000000001</v>
      </c>
      <c r="H8184" s="22">
        <v>0</v>
      </c>
      <c r="I8184" s="23" t="str">
        <f t="shared" si="382"/>
        <v xml:space="preserve">COM VALOR</v>
      </c>
      <c r="J8184" s="19"/>
      <c r="L8184" s="21">
        <v>26.059999999999999</v>
      </c>
      <c r="M8184" s="22">
        <v>0</v>
      </c>
      <c r="N8184" s="21">
        <v>25.140000000000001</v>
      </c>
      <c r="O8184" s="22">
        <v>0</v>
      </c>
    </row>
    <row r="8185" ht="25.5">
      <c r="A8185" t="s">
        <v>8263</v>
      </c>
      <c r="B8185" s="19">
        <v>102210</v>
      </c>
      <c r="C8185" s="20" t="s">
        <v>8285</v>
      </c>
      <c r="D8185" s="19" t="s">
        <v>29</v>
      </c>
      <c r="E8185" s="21">
        <f t="shared" si="380"/>
        <v>8.2799999999999994</v>
      </c>
      <c r="F8185" s="22">
        <v>0</v>
      </c>
      <c r="G8185" s="21">
        <f t="shared" si="381"/>
        <v>7.9800000000000004</v>
      </c>
      <c r="H8185" s="22">
        <v>0</v>
      </c>
      <c r="I8185" s="23" t="str">
        <f t="shared" si="382"/>
        <v xml:space="preserve">COM VALOR</v>
      </c>
      <c r="J8185" s="19"/>
      <c r="L8185" s="21">
        <v>8.2799999999999994</v>
      </c>
      <c r="M8185" s="22">
        <v>0</v>
      </c>
      <c r="N8185" s="21">
        <v>7.9800000000000004</v>
      </c>
      <c r="O8185" s="22">
        <v>0</v>
      </c>
    </row>
    <row r="8186" ht="25.5">
      <c r="A8186" t="s">
        <v>8263</v>
      </c>
      <c r="B8186" s="19">
        <v>102220</v>
      </c>
      <c r="C8186" s="20" t="s">
        <v>8286</v>
      </c>
      <c r="D8186" s="19" t="s">
        <v>29</v>
      </c>
      <c r="E8186" s="21">
        <f t="shared" si="380"/>
        <v>16.579999999999998</v>
      </c>
      <c r="F8186" s="22">
        <v>0</v>
      </c>
      <c r="G8186" s="21">
        <f t="shared" si="381"/>
        <v>15.970000000000001</v>
      </c>
      <c r="H8186" s="22">
        <v>0</v>
      </c>
      <c r="I8186" s="23" t="str">
        <f t="shared" si="382"/>
        <v xml:space="preserve">COM VALOR</v>
      </c>
      <c r="J8186" s="19"/>
      <c r="L8186" s="21">
        <v>16.579999999999998</v>
      </c>
      <c r="M8186" s="22">
        <v>0</v>
      </c>
      <c r="N8186" s="21">
        <v>15.970000000000001</v>
      </c>
      <c r="O8186" s="22">
        <v>0</v>
      </c>
    </row>
    <row r="8187" ht="25.5">
      <c r="A8187" t="s">
        <v>8263</v>
      </c>
      <c r="B8187" s="19">
        <v>102230</v>
      </c>
      <c r="C8187" s="20" t="s">
        <v>8287</v>
      </c>
      <c r="D8187" s="19" t="s">
        <v>29</v>
      </c>
      <c r="E8187" s="21">
        <f t="shared" si="380"/>
        <v>24.870000000000001</v>
      </c>
      <c r="F8187" s="22">
        <v>0</v>
      </c>
      <c r="G8187" s="21">
        <f t="shared" si="381"/>
        <v>23.949999999999999</v>
      </c>
      <c r="H8187" s="22">
        <v>0</v>
      </c>
      <c r="I8187" s="23" t="str">
        <f t="shared" si="382"/>
        <v xml:space="preserve">COM VALOR</v>
      </c>
      <c r="J8187" s="19"/>
      <c r="L8187" s="21">
        <v>24.870000000000001</v>
      </c>
      <c r="M8187" s="22">
        <v>0</v>
      </c>
      <c r="N8187" s="21">
        <v>23.949999999999999</v>
      </c>
      <c r="O8187" s="22">
        <v>0</v>
      </c>
    </row>
    <row r="8188" ht="25.5">
      <c r="A8188" t="s">
        <v>8263</v>
      </c>
      <c r="B8188" s="19">
        <v>102208</v>
      </c>
      <c r="C8188" s="20" t="s">
        <v>8288</v>
      </c>
      <c r="D8188" s="19" t="s">
        <v>29</v>
      </c>
      <c r="E8188" s="21">
        <f t="shared" si="380"/>
        <v>8.4100000000000001</v>
      </c>
      <c r="F8188" s="22">
        <v>0</v>
      </c>
      <c r="G8188" s="21">
        <f t="shared" si="381"/>
        <v>8.1099999999999994</v>
      </c>
      <c r="H8188" s="22">
        <v>0</v>
      </c>
      <c r="I8188" s="23" t="str">
        <f t="shared" si="382"/>
        <v xml:space="preserve">COM VALOR</v>
      </c>
      <c r="J8188" s="19"/>
      <c r="L8188" s="21">
        <v>8.4100000000000001</v>
      </c>
      <c r="M8188" s="22">
        <v>0</v>
      </c>
      <c r="N8188" s="21">
        <v>8.1099999999999994</v>
      </c>
      <c r="O8188" s="22">
        <v>0</v>
      </c>
    </row>
    <row r="8189" ht="25.5">
      <c r="A8189" t="s">
        <v>8263</v>
      </c>
      <c r="B8189" s="19">
        <v>102218</v>
      </c>
      <c r="C8189" s="20" t="s">
        <v>8289</v>
      </c>
      <c r="D8189" s="19" t="s">
        <v>29</v>
      </c>
      <c r="E8189" s="21">
        <f t="shared" si="380"/>
        <v>16.84</v>
      </c>
      <c r="F8189" s="22">
        <v>0</v>
      </c>
      <c r="G8189" s="21">
        <f t="shared" si="381"/>
        <v>16.23</v>
      </c>
      <c r="H8189" s="22">
        <v>0</v>
      </c>
      <c r="I8189" s="23" t="str">
        <f t="shared" si="382"/>
        <v xml:space="preserve">COM VALOR</v>
      </c>
      <c r="J8189" s="19"/>
      <c r="L8189" s="21">
        <v>16.84</v>
      </c>
      <c r="M8189" s="22">
        <v>0</v>
      </c>
      <c r="N8189" s="21">
        <v>16.23</v>
      </c>
      <c r="O8189" s="22">
        <v>0</v>
      </c>
    </row>
    <row r="8190" ht="25.5">
      <c r="A8190" t="s">
        <v>8263</v>
      </c>
      <c r="B8190" s="19">
        <v>102228</v>
      </c>
      <c r="C8190" s="20" t="s">
        <v>8290</v>
      </c>
      <c r="D8190" s="19" t="s">
        <v>29</v>
      </c>
      <c r="E8190" s="21">
        <f t="shared" si="380"/>
        <v>25.280000000000001</v>
      </c>
      <c r="F8190" s="22">
        <v>2.e-002</v>
      </c>
      <c r="G8190" s="21">
        <f t="shared" si="381"/>
        <v>24.359999999999999</v>
      </c>
      <c r="H8190" s="22">
        <v>2.e-002</v>
      </c>
      <c r="I8190" s="23" t="str">
        <f t="shared" si="382"/>
        <v xml:space="preserve">COM VALOR</v>
      </c>
      <c r="J8190" s="19"/>
      <c r="L8190" s="21">
        <v>25.280000000000001</v>
      </c>
      <c r="M8190" s="22">
        <v>0</v>
      </c>
      <c r="N8190" s="21">
        <v>24.359999999999999</v>
      </c>
      <c r="O8190" s="22">
        <v>0</v>
      </c>
    </row>
    <row r="8191" ht="25.5">
      <c r="A8191" t="s">
        <v>8263</v>
      </c>
      <c r="B8191" s="19">
        <v>102212</v>
      </c>
      <c r="C8191" s="20" t="s">
        <v>8291</v>
      </c>
      <c r="D8191" s="19" t="s">
        <v>29</v>
      </c>
      <c r="E8191" s="21" t="str">
        <f t="shared" si="380"/>
        <v>VERIFICAR</v>
      </c>
      <c r="F8191" s="22">
        <v>1.e-002</v>
      </c>
      <c r="G8191" s="21" t="str">
        <f t="shared" si="381"/>
        <v>VERIFICAR</v>
      </c>
      <c r="H8191" s="22">
        <v>1.e-002</v>
      </c>
      <c r="I8191" s="23" t="str">
        <f t="shared" si="382"/>
        <v xml:space="preserve">COM VALOR</v>
      </c>
      <c r="J8191" s="19"/>
      <c r="L8191" s="21">
        <v>0</v>
      </c>
      <c r="M8191" s="22"/>
      <c r="N8191" s="21">
        <v>0</v>
      </c>
      <c r="O8191" s="22"/>
    </row>
    <row r="8192" ht="25.5">
      <c r="A8192" t="s">
        <v>8263</v>
      </c>
      <c r="B8192" s="19">
        <v>102222</v>
      </c>
      <c r="C8192" s="20" t="s">
        <v>8292</v>
      </c>
      <c r="D8192" s="19" t="s">
        <v>29</v>
      </c>
      <c r="E8192" s="21" t="str">
        <f t="shared" si="380"/>
        <v>VERIFICAR</v>
      </c>
      <c r="F8192" s="22">
        <v>1.e-002</v>
      </c>
      <c r="G8192" s="21" t="str">
        <f t="shared" si="381"/>
        <v>VERIFICAR</v>
      </c>
      <c r="H8192" s="22">
        <v>1.e-002</v>
      </c>
      <c r="I8192" s="23" t="str">
        <f t="shared" si="382"/>
        <v xml:space="preserve">COM VALOR</v>
      </c>
      <c r="J8192" s="19"/>
      <c r="L8192" s="21">
        <v>0</v>
      </c>
      <c r="M8192" s="22"/>
      <c r="N8192" s="21">
        <v>0</v>
      </c>
      <c r="O8192" s="22"/>
    </row>
    <row r="8193" ht="25.5">
      <c r="A8193" t="s">
        <v>8263</v>
      </c>
      <c r="B8193" s="19">
        <v>102232</v>
      </c>
      <c r="C8193" s="20" t="s">
        <v>8293</v>
      </c>
      <c r="D8193" s="19" t="s">
        <v>29</v>
      </c>
      <c r="E8193" s="21" t="str">
        <f t="shared" si="380"/>
        <v>VERIFICAR</v>
      </c>
      <c r="F8193" s="22">
        <v>1.e-002</v>
      </c>
      <c r="G8193" s="21" t="str">
        <f t="shared" si="381"/>
        <v>VERIFICAR</v>
      </c>
      <c r="H8193" s="22">
        <v>1.e-002</v>
      </c>
      <c r="I8193" s="23" t="str">
        <f t="shared" si="382"/>
        <v xml:space="preserve">COM VALOR</v>
      </c>
      <c r="J8193" s="19"/>
      <c r="L8193" s="21">
        <v>0</v>
      </c>
      <c r="M8193" s="22"/>
      <c r="N8193" s="21">
        <v>0</v>
      </c>
      <c r="O8193" s="22"/>
    </row>
    <row r="8194" ht="25.5">
      <c r="A8194" t="s">
        <v>8263</v>
      </c>
      <c r="B8194" s="19">
        <v>102203</v>
      </c>
      <c r="C8194" s="20" t="s">
        <v>8294</v>
      </c>
      <c r="D8194" s="19" t="s">
        <v>29</v>
      </c>
      <c r="E8194" s="21">
        <f t="shared" si="380"/>
        <v>10.779999999999999</v>
      </c>
      <c r="F8194" s="22">
        <v>2.e-002</v>
      </c>
      <c r="G8194" s="21">
        <f t="shared" si="381"/>
        <v>10.4</v>
      </c>
      <c r="H8194" s="22">
        <v>2.e-002</v>
      </c>
      <c r="I8194" s="23" t="str">
        <f t="shared" si="382"/>
        <v xml:space="preserve">COM VALOR</v>
      </c>
      <c r="J8194" s="19"/>
      <c r="L8194" s="21">
        <v>10.779999999999999</v>
      </c>
      <c r="M8194" s="22">
        <v>0</v>
      </c>
      <c r="N8194" s="21">
        <v>10.4</v>
      </c>
      <c r="O8194" s="22">
        <v>0</v>
      </c>
    </row>
    <row r="8195" ht="25.5">
      <c r="A8195" t="s">
        <v>8263</v>
      </c>
      <c r="B8195" s="19">
        <v>102213</v>
      </c>
      <c r="C8195" s="20" t="s">
        <v>8295</v>
      </c>
      <c r="D8195" s="19" t="s">
        <v>29</v>
      </c>
      <c r="E8195" s="21">
        <f t="shared" si="380"/>
        <v>21.579999999999998</v>
      </c>
      <c r="F8195" s="22">
        <v>0</v>
      </c>
      <c r="G8195" s="21">
        <f t="shared" si="381"/>
        <v>20.82</v>
      </c>
      <c r="H8195" s="22">
        <v>0</v>
      </c>
      <c r="I8195" s="23" t="str">
        <f t="shared" si="382"/>
        <v xml:space="preserve">COM VALOR</v>
      </c>
      <c r="J8195" s="19"/>
      <c r="L8195" s="21">
        <v>21.579999999999998</v>
      </c>
      <c r="M8195" s="22">
        <v>0</v>
      </c>
      <c r="N8195" s="21">
        <v>20.82</v>
      </c>
      <c r="O8195" s="22">
        <v>0</v>
      </c>
    </row>
    <row r="8196" ht="25.5">
      <c r="A8196" t="s">
        <v>8263</v>
      </c>
      <c r="B8196" s="19">
        <v>102223</v>
      </c>
      <c r="C8196" s="20" t="s">
        <v>8296</v>
      </c>
      <c r="D8196" s="19" t="s">
        <v>29</v>
      </c>
      <c r="E8196" s="21">
        <f t="shared" si="380"/>
        <v>32.380000000000003</v>
      </c>
      <c r="F8196" s="22">
        <v>1.e-002</v>
      </c>
      <c r="G8196" s="21">
        <f t="shared" si="381"/>
        <v>31.239999999999998</v>
      </c>
      <c r="H8196" s="22">
        <v>1.e-002</v>
      </c>
      <c r="I8196" s="23" t="str">
        <f t="shared" si="382"/>
        <v xml:space="preserve">COM VALOR</v>
      </c>
      <c r="J8196" s="19"/>
      <c r="L8196" s="21">
        <v>32.380000000000003</v>
      </c>
      <c r="M8196" s="22">
        <v>0</v>
      </c>
      <c r="N8196" s="21">
        <v>31.239999999999998</v>
      </c>
      <c r="O8196" s="22">
        <v>0</v>
      </c>
    </row>
    <row r="8197" ht="25.5">
      <c r="A8197" t="s">
        <v>8263</v>
      </c>
      <c r="B8197" s="19">
        <v>102204</v>
      </c>
      <c r="C8197" s="20" t="s">
        <v>8297</v>
      </c>
      <c r="D8197" s="19" t="s">
        <v>29</v>
      </c>
      <c r="E8197" s="21">
        <f t="shared" si="380"/>
        <v>11.109999999999999</v>
      </c>
      <c r="F8197" s="22">
        <v>1.e-002</v>
      </c>
      <c r="G8197" s="21">
        <f t="shared" si="381"/>
        <v>10.73</v>
      </c>
      <c r="H8197" s="22">
        <v>1.e-002</v>
      </c>
      <c r="I8197" s="23" t="str">
        <f t="shared" si="382"/>
        <v xml:space="preserve">COM VALOR</v>
      </c>
      <c r="J8197" s="19"/>
      <c r="L8197" s="21">
        <v>11.109999999999999</v>
      </c>
      <c r="M8197" s="22">
        <v>0</v>
      </c>
      <c r="N8197" s="21">
        <v>10.73</v>
      </c>
      <c r="O8197" s="22">
        <v>0</v>
      </c>
    </row>
    <row r="8198" ht="25.5">
      <c r="A8198" t="s">
        <v>8263</v>
      </c>
      <c r="B8198" s="19">
        <v>102214</v>
      </c>
      <c r="C8198" s="20" t="s">
        <v>8298</v>
      </c>
      <c r="D8198" s="19" t="s">
        <v>29</v>
      </c>
      <c r="E8198" s="21">
        <f t="shared" si="380"/>
        <v>22.25</v>
      </c>
      <c r="F8198" s="22">
        <v>1.e-002</v>
      </c>
      <c r="G8198" s="21">
        <f t="shared" si="381"/>
        <v>21.489999999999998</v>
      </c>
      <c r="H8198" s="22">
        <v>2.e-002</v>
      </c>
      <c r="I8198" s="23" t="str">
        <f t="shared" si="382"/>
        <v xml:space="preserve">COM VALOR</v>
      </c>
      <c r="J8198" s="19"/>
      <c r="L8198" s="21">
        <v>22.25</v>
      </c>
      <c r="M8198" s="22">
        <v>0</v>
      </c>
      <c r="N8198" s="21">
        <v>21.489999999999998</v>
      </c>
      <c r="O8198" s="22">
        <v>0</v>
      </c>
    </row>
    <row r="8199" ht="25.5">
      <c r="A8199" t="s">
        <v>8263</v>
      </c>
      <c r="B8199" s="19">
        <v>102224</v>
      </c>
      <c r="C8199" s="20" t="s">
        <v>8299</v>
      </c>
      <c r="D8199" s="19" t="s">
        <v>29</v>
      </c>
      <c r="E8199" s="21">
        <f t="shared" si="380"/>
        <v>33.380000000000003</v>
      </c>
      <c r="F8199" s="22">
        <v>1.e-002</v>
      </c>
      <c r="G8199" s="21">
        <f t="shared" si="381"/>
        <v>32.240000000000002</v>
      </c>
      <c r="H8199" s="22">
        <v>1.e-002</v>
      </c>
      <c r="I8199" s="23" t="str">
        <f t="shared" si="382"/>
        <v xml:space="preserve">COM VALOR</v>
      </c>
      <c r="J8199" s="19"/>
      <c r="L8199" s="21">
        <v>33.380000000000003</v>
      </c>
      <c r="M8199" s="22">
        <v>0</v>
      </c>
      <c r="N8199" s="21">
        <v>32.240000000000002</v>
      </c>
      <c r="O8199" s="22">
        <v>0</v>
      </c>
    </row>
    <row r="8200" ht="25.5">
      <c r="A8200" t="s">
        <v>8263</v>
      </c>
      <c r="B8200" s="19">
        <v>102205</v>
      </c>
      <c r="C8200" s="20" t="s">
        <v>8300</v>
      </c>
      <c r="D8200" s="19" t="s">
        <v>29</v>
      </c>
      <c r="E8200" s="21">
        <f t="shared" si="380"/>
        <v>10.07</v>
      </c>
      <c r="F8200" s="22">
        <v>1.e-002</v>
      </c>
      <c r="G8200" s="21">
        <f t="shared" si="381"/>
        <v>9.6899999999999995</v>
      </c>
      <c r="H8200" s="22">
        <v>1.e-002</v>
      </c>
      <c r="I8200" s="23" t="str">
        <f t="shared" si="382"/>
        <v xml:space="preserve">COM VALOR</v>
      </c>
      <c r="J8200" s="19"/>
      <c r="L8200" s="21">
        <v>10.07</v>
      </c>
      <c r="M8200" s="22">
        <v>0</v>
      </c>
      <c r="N8200" s="21">
        <v>9.6899999999999995</v>
      </c>
      <c r="O8200" s="22">
        <v>0</v>
      </c>
    </row>
    <row r="8201" ht="25.5">
      <c r="A8201" t="s">
        <v>8263</v>
      </c>
      <c r="B8201" s="19">
        <v>102215</v>
      </c>
      <c r="C8201" s="20" t="s">
        <v>8301</v>
      </c>
      <c r="D8201" s="19" t="s">
        <v>29</v>
      </c>
      <c r="E8201" s="21">
        <f t="shared" si="380"/>
        <v>20.16</v>
      </c>
      <c r="F8201" s="22">
        <v>1.e-002</v>
      </c>
      <c r="G8201" s="21">
        <f t="shared" si="381"/>
        <v>19.399999999999999</v>
      </c>
      <c r="H8201" s="22">
        <v>1.e-002</v>
      </c>
      <c r="I8201" s="23" t="str">
        <f t="shared" si="382"/>
        <v xml:space="preserve">COM VALOR</v>
      </c>
      <c r="J8201" s="19"/>
      <c r="L8201" s="21">
        <v>20.16</v>
      </c>
      <c r="M8201" s="22">
        <v>0</v>
      </c>
      <c r="N8201" s="21">
        <v>19.399999999999999</v>
      </c>
      <c r="O8201" s="22">
        <v>0</v>
      </c>
    </row>
    <row r="8202" ht="25.5">
      <c r="A8202" t="s">
        <v>8263</v>
      </c>
      <c r="B8202" s="19">
        <v>102225</v>
      </c>
      <c r="C8202" s="20" t="s">
        <v>8302</v>
      </c>
      <c r="D8202" s="19" t="s">
        <v>29</v>
      </c>
      <c r="E8202" s="21">
        <f t="shared" si="380"/>
        <v>30.239999999999998</v>
      </c>
      <c r="F8202" s="22">
        <v>2.e-002</v>
      </c>
      <c r="G8202" s="21">
        <f t="shared" si="381"/>
        <v>29.100000000000001</v>
      </c>
      <c r="H8202" s="22">
        <v>2.e-002</v>
      </c>
      <c r="I8202" s="23" t="str">
        <f t="shared" si="382"/>
        <v xml:space="preserve">COM VALOR</v>
      </c>
      <c r="J8202" s="19"/>
      <c r="L8202" s="21">
        <v>30.239999999999998</v>
      </c>
      <c r="M8202" s="22">
        <v>0</v>
      </c>
      <c r="N8202" s="21">
        <v>29.100000000000001</v>
      </c>
      <c r="O8202" s="22">
        <v>0</v>
      </c>
    </row>
    <row r="8203" ht="25.5">
      <c r="A8203" t="s">
        <v>8263</v>
      </c>
      <c r="B8203" s="19">
        <v>102206</v>
      </c>
      <c r="C8203" s="20" t="s">
        <v>8303</v>
      </c>
      <c r="D8203" s="19" t="s">
        <v>29</v>
      </c>
      <c r="E8203" s="21" t="str">
        <f t="shared" ref="E8203:E8266" si="383">IF(L8203=0,"VERIFICAR",L8203)</f>
        <v>VERIFICAR</v>
      </c>
      <c r="F8203" s="22">
        <v>0</v>
      </c>
      <c r="G8203" s="21" t="str">
        <f t="shared" ref="G8203:G8266" si="384">IF(N8203=0,"VERIFICAR",N8203)</f>
        <v>VERIFICAR</v>
      </c>
      <c r="H8203" s="22">
        <v>0</v>
      </c>
      <c r="I8203" s="23" t="str">
        <f t="shared" ref="I8203:I8266" si="385">IF(OR(E8203=0,G8203=0),"SEM VALOR","COM VALOR")</f>
        <v xml:space="preserve">COM VALOR</v>
      </c>
      <c r="J8203" s="19"/>
      <c r="L8203" s="21">
        <v>0</v>
      </c>
      <c r="M8203" s="22"/>
      <c r="N8203" s="21">
        <v>0</v>
      </c>
      <c r="O8203" s="22"/>
    </row>
    <row r="8204" ht="25.5">
      <c r="A8204" t="s">
        <v>8263</v>
      </c>
      <c r="B8204" s="19">
        <v>102216</v>
      </c>
      <c r="C8204" s="20" t="s">
        <v>8304</v>
      </c>
      <c r="D8204" s="19" t="s">
        <v>29</v>
      </c>
      <c r="E8204" s="21" t="str">
        <f t="shared" si="383"/>
        <v>VERIFICAR</v>
      </c>
      <c r="F8204" s="22">
        <v>1.e-002</v>
      </c>
      <c r="G8204" s="21" t="str">
        <f t="shared" si="384"/>
        <v>VERIFICAR</v>
      </c>
      <c r="H8204" s="22">
        <v>1.e-002</v>
      </c>
      <c r="I8204" s="23" t="str">
        <f t="shared" si="385"/>
        <v xml:space="preserve">COM VALOR</v>
      </c>
      <c r="J8204" s="19"/>
      <c r="L8204" s="21">
        <v>0</v>
      </c>
      <c r="M8204" s="22"/>
      <c r="N8204" s="21">
        <v>0</v>
      </c>
      <c r="O8204" s="22"/>
    </row>
    <row r="8205" ht="25.5">
      <c r="A8205" t="s">
        <v>8263</v>
      </c>
      <c r="B8205" s="19">
        <v>102226</v>
      </c>
      <c r="C8205" s="20" t="s">
        <v>8305</v>
      </c>
      <c r="D8205" s="19" t="s">
        <v>29</v>
      </c>
      <c r="E8205" s="21" t="str">
        <f t="shared" si="383"/>
        <v>VERIFICAR</v>
      </c>
      <c r="F8205" s="22">
        <v>1.e-002</v>
      </c>
      <c r="G8205" s="21" t="str">
        <f t="shared" si="384"/>
        <v>VERIFICAR</v>
      </c>
      <c r="H8205" s="22">
        <v>1.e-002</v>
      </c>
      <c r="I8205" s="23" t="str">
        <f t="shared" si="385"/>
        <v xml:space="preserve">COM VALOR</v>
      </c>
      <c r="J8205" s="19"/>
      <c r="L8205" s="21">
        <v>0</v>
      </c>
      <c r="M8205" s="22"/>
      <c r="N8205" s="21">
        <v>0</v>
      </c>
      <c r="O8205" s="22"/>
    </row>
    <row r="8206" ht="12.75">
      <c r="A8206" t="s">
        <v>8306</v>
      </c>
      <c r="B8206" s="19">
        <v>100718</v>
      </c>
      <c r="C8206" s="20" t="s">
        <v>8307</v>
      </c>
      <c r="D8206" s="19" t="s">
        <v>38</v>
      </c>
      <c r="E8206" s="21">
        <f t="shared" si="383"/>
        <v>1.6000000000000001</v>
      </c>
      <c r="F8206" s="22">
        <v>1.e-002</v>
      </c>
      <c r="G8206" s="21">
        <f t="shared" si="384"/>
        <v>1.53</v>
      </c>
      <c r="H8206" s="22">
        <v>1.e-002</v>
      </c>
      <c r="I8206" s="23" t="str">
        <f t="shared" si="385"/>
        <v xml:space="preserve">COM VALOR</v>
      </c>
      <c r="J8206" s="19"/>
      <c r="L8206" s="21">
        <v>1.6000000000000001</v>
      </c>
      <c r="M8206" s="22">
        <v>0</v>
      </c>
      <c r="N8206" s="21">
        <v>1.53</v>
      </c>
      <c r="O8206" s="22">
        <v>0</v>
      </c>
    </row>
    <row r="8207" ht="25.5">
      <c r="A8207" t="s">
        <v>8306</v>
      </c>
      <c r="B8207" s="19">
        <v>100716</v>
      </c>
      <c r="C8207" s="20" t="s">
        <v>8308</v>
      </c>
      <c r="D8207" s="19" t="s">
        <v>29</v>
      </c>
      <c r="E8207" s="21">
        <f t="shared" si="383"/>
        <v>23.91</v>
      </c>
      <c r="F8207" s="22">
        <v>2.e-002</v>
      </c>
      <c r="G8207" s="21">
        <f t="shared" si="384"/>
        <v>23.68</v>
      </c>
      <c r="H8207" s="22">
        <v>2.e-002</v>
      </c>
      <c r="I8207" s="23" t="str">
        <f t="shared" si="385"/>
        <v xml:space="preserve">COM VALOR</v>
      </c>
      <c r="J8207" s="19"/>
      <c r="L8207" s="21">
        <v>23.91</v>
      </c>
      <c r="M8207" s="22">
        <v>0.80000000000000004</v>
      </c>
      <c r="N8207" s="21">
        <v>23.68</v>
      </c>
      <c r="O8207" s="22">
        <v>0.80000000000000004</v>
      </c>
    </row>
    <row r="8208" ht="12.75">
      <c r="A8208" t="s">
        <v>8306</v>
      </c>
      <c r="B8208" s="19">
        <v>100717</v>
      </c>
      <c r="C8208" s="20" t="s">
        <v>8309</v>
      </c>
      <c r="D8208" s="19" t="s">
        <v>29</v>
      </c>
      <c r="E8208" s="21">
        <f t="shared" si="383"/>
        <v>10.35</v>
      </c>
      <c r="F8208" s="22">
        <v>2.e-002</v>
      </c>
      <c r="G8208" s="21">
        <f t="shared" si="384"/>
        <v>9.8599999999999994</v>
      </c>
      <c r="H8208" s="22">
        <v>2.e-002</v>
      </c>
      <c r="I8208" s="23" t="str">
        <f t="shared" si="385"/>
        <v xml:space="preserve">COM VALOR</v>
      </c>
      <c r="J8208" s="19"/>
      <c r="L8208" s="21">
        <v>10.35</v>
      </c>
      <c r="M8208" s="22">
        <v>0</v>
      </c>
      <c r="N8208" s="21">
        <v>9.8599999999999994</v>
      </c>
      <c r="O8208" s="22">
        <v>0</v>
      </c>
    </row>
    <row r="8209" ht="38.25">
      <c r="A8209" t="s">
        <v>8306</v>
      </c>
      <c r="B8209" s="19">
        <v>100754</v>
      </c>
      <c r="C8209" s="20" t="s">
        <v>8310</v>
      </c>
      <c r="D8209" s="19" t="s">
        <v>29</v>
      </c>
      <c r="E8209" s="21">
        <f t="shared" si="383"/>
        <v>30.760000000000002</v>
      </c>
      <c r="F8209" s="22">
        <v>2.e-002</v>
      </c>
      <c r="G8209" s="21">
        <f t="shared" si="384"/>
        <v>29.289999999999999</v>
      </c>
      <c r="H8209" s="22">
        <v>2.e-002</v>
      </c>
      <c r="I8209" s="23" t="str">
        <f t="shared" si="385"/>
        <v xml:space="preserve">COM VALOR</v>
      </c>
      <c r="J8209" s="19"/>
      <c r="L8209" s="21">
        <v>30.760000000000002</v>
      </c>
      <c r="M8209" s="22">
        <v>0</v>
      </c>
      <c r="N8209" s="21">
        <v>29.289999999999999</v>
      </c>
      <c r="O8209" s="22">
        <v>0</v>
      </c>
    </row>
    <row r="8210" ht="38.25">
      <c r="A8210" t="s">
        <v>8306</v>
      </c>
      <c r="B8210" s="19">
        <v>100736</v>
      </c>
      <c r="C8210" s="20" t="s">
        <v>8311</v>
      </c>
      <c r="D8210" s="19" t="s">
        <v>29</v>
      </c>
      <c r="E8210" s="21">
        <f t="shared" si="383"/>
        <v>15.369999999999999</v>
      </c>
      <c r="F8210" s="22">
        <v>2.e-002</v>
      </c>
      <c r="G8210" s="21">
        <f t="shared" si="384"/>
        <v>14.640000000000001</v>
      </c>
      <c r="H8210" s="22">
        <v>2.e-002</v>
      </c>
      <c r="I8210" s="23" t="str">
        <f t="shared" si="385"/>
        <v xml:space="preserve">COM VALOR</v>
      </c>
      <c r="J8210" s="19"/>
      <c r="L8210" s="21">
        <v>15.369999999999999</v>
      </c>
      <c r="M8210" s="22">
        <v>0</v>
      </c>
      <c r="N8210" s="21">
        <v>14.640000000000001</v>
      </c>
      <c r="O8210" s="22">
        <v>0</v>
      </c>
    </row>
    <row r="8211" ht="38.25">
      <c r="A8211" t="s">
        <v>8306</v>
      </c>
      <c r="B8211" s="19">
        <v>100753</v>
      </c>
      <c r="C8211" s="20" t="s">
        <v>8312</v>
      </c>
      <c r="D8211" s="19" t="s">
        <v>29</v>
      </c>
      <c r="E8211" s="21">
        <f t="shared" si="383"/>
        <v>23.100000000000001</v>
      </c>
      <c r="F8211" s="22">
        <v>2.e-002</v>
      </c>
      <c r="G8211" s="21">
        <f t="shared" si="384"/>
        <v>22.120000000000001</v>
      </c>
      <c r="H8211" s="22">
        <v>2.e-002</v>
      </c>
      <c r="I8211" s="23" t="str">
        <f t="shared" si="385"/>
        <v xml:space="preserve">COM VALOR</v>
      </c>
      <c r="J8211" s="19"/>
      <c r="L8211" s="21">
        <v>23.100000000000001</v>
      </c>
      <c r="M8211" s="22">
        <v>0</v>
      </c>
      <c r="N8211" s="21">
        <v>22.120000000000001</v>
      </c>
      <c r="O8211" s="22">
        <v>0</v>
      </c>
    </row>
    <row r="8212" ht="38.25">
      <c r="A8212" t="s">
        <v>8306</v>
      </c>
      <c r="B8212" s="19">
        <v>100735</v>
      </c>
      <c r="C8212" s="20" t="s">
        <v>8313</v>
      </c>
      <c r="D8212" s="19" t="s">
        <v>29</v>
      </c>
      <c r="E8212" s="21">
        <f t="shared" si="383"/>
        <v>11.539999999999999</v>
      </c>
      <c r="F8212" s="22">
        <v>2.e-002</v>
      </c>
      <c r="G8212" s="21">
        <f t="shared" si="384"/>
        <v>11.050000000000001</v>
      </c>
      <c r="H8212" s="22">
        <v>2.e-002</v>
      </c>
      <c r="I8212" s="23" t="str">
        <f t="shared" si="385"/>
        <v xml:space="preserve">COM VALOR</v>
      </c>
      <c r="J8212" s="19"/>
      <c r="L8212" s="21">
        <v>11.539999999999999</v>
      </c>
      <c r="M8212" s="22">
        <v>0</v>
      </c>
      <c r="N8212" s="21">
        <v>11.050000000000001</v>
      </c>
      <c r="O8212" s="22">
        <v>0</v>
      </c>
    </row>
    <row r="8213" ht="38.25">
      <c r="A8213" t="s">
        <v>8306</v>
      </c>
      <c r="B8213" s="19">
        <v>100734</v>
      </c>
      <c r="C8213" s="20" t="s">
        <v>8314</v>
      </c>
      <c r="D8213" s="19" t="s">
        <v>29</v>
      </c>
      <c r="E8213" s="21">
        <f t="shared" si="383"/>
        <v>15.800000000000001</v>
      </c>
      <c r="F8213" s="22">
        <v>1.e-002</v>
      </c>
      <c r="G8213" s="21">
        <f t="shared" si="384"/>
        <v>15.07</v>
      </c>
      <c r="H8213" s="22">
        <v>1.e-002</v>
      </c>
      <c r="I8213" s="23" t="str">
        <f t="shared" si="385"/>
        <v xml:space="preserve">COM VALOR</v>
      </c>
      <c r="J8213" s="19"/>
      <c r="L8213" s="21">
        <v>15.800000000000001</v>
      </c>
      <c r="M8213" s="22">
        <v>0</v>
      </c>
      <c r="N8213" s="21">
        <v>15.07</v>
      </c>
      <c r="O8213" s="22">
        <v>0</v>
      </c>
    </row>
    <row r="8214" ht="38.25">
      <c r="A8214" t="s">
        <v>8306</v>
      </c>
      <c r="B8214" s="19">
        <v>100733</v>
      </c>
      <c r="C8214" s="20" t="s">
        <v>8315</v>
      </c>
      <c r="D8214" s="19" t="s">
        <v>29</v>
      </c>
      <c r="E8214" s="21">
        <f t="shared" si="383"/>
        <v>11.94</v>
      </c>
      <c r="F8214" s="22">
        <v>1.e-002</v>
      </c>
      <c r="G8214" s="21">
        <f t="shared" si="384"/>
        <v>11.449999999999999</v>
      </c>
      <c r="H8214" s="22">
        <v>1.e-002</v>
      </c>
      <c r="I8214" s="23" t="str">
        <f t="shared" si="385"/>
        <v xml:space="preserve">COM VALOR</v>
      </c>
      <c r="J8214" s="19"/>
      <c r="L8214" s="21">
        <v>11.94</v>
      </c>
      <c r="M8214" s="22">
        <v>0</v>
      </c>
      <c r="N8214" s="21">
        <v>11.449999999999999</v>
      </c>
      <c r="O8214" s="22">
        <v>0</v>
      </c>
    </row>
    <row r="8215" ht="38.25">
      <c r="A8215" t="s">
        <v>8306</v>
      </c>
      <c r="B8215" s="19">
        <v>100740</v>
      </c>
      <c r="C8215" s="20" t="s">
        <v>8316</v>
      </c>
      <c r="D8215" s="19" t="s">
        <v>29</v>
      </c>
      <c r="E8215" s="21">
        <f t="shared" si="383"/>
        <v>11.69</v>
      </c>
      <c r="F8215" s="22">
        <v>1.e-002</v>
      </c>
      <c r="G8215" s="21">
        <f t="shared" si="384"/>
        <v>11.34</v>
      </c>
      <c r="H8215" s="22">
        <v>2.e-002</v>
      </c>
      <c r="I8215" s="23" t="str">
        <f t="shared" si="385"/>
        <v xml:space="preserve">COM VALOR</v>
      </c>
      <c r="J8215" s="19"/>
      <c r="L8215" s="21">
        <v>11.69</v>
      </c>
      <c r="M8215" s="22">
        <v>0</v>
      </c>
      <c r="N8215" s="21">
        <v>11.34</v>
      </c>
      <c r="O8215" s="22">
        <v>0</v>
      </c>
    </row>
    <row r="8216" ht="51">
      <c r="A8216" t="s">
        <v>8306</v>
      </c>
      <c r="B8216" s="19">
        <v>100758</v>
      </c>
      <c r="C8216" s="20" t="s">
        <v>8317</v>
      </c>
      <c r="D8216" s="19" t="s">
        <v>29</v>
      </c>
      <c r="E8216" s="21">
        <f t="shared" si="383"/>
        <v>51.649999999999999</v>
      </c>
      <c r="F8216" s="22">
        <v>2.e-002</v>
      </c>
      <c r="G8216" s="21">
        <f t="shared" si="384"/>
        <v>49.460000000000001</v>
      </c>
      <c r="H8216" s="22">
        <v>2.e-002</v>
      </c>
      <c r="I8216" s="23" t="str">
        <f t="shared" si="385"/>
        <v xml:space="preserve">COM VALOR</v>
      </c>
      <c r="J8216" s="19"/>
      <c r="L8216" s="21">
        <v>51.649999999999999</v>
      </c>
      <c r="M8216" s="22">
        <v>0</v>
      </c>
      <c r="N8216" s="21">
        <v>49.460000000000001</v>
      </c>
      <c r="O8216" s="22">
        <v>0</v>
      </c>
    </row>
    <row r="8217" ht="51">
      <c r="A8217" t="s">
        <v>8306</v>
      </c>
      <c r="B8217" s="19">
        <v>100742</v>
      </c>
      <c r="C8217" s="20" t="s">
        <v>8318</v>
      </c>
      <c r="D8217" s="19" t="s">
        <v>29</v>
      </c>
      <c r="E8217" s="21">
        <f t="shared" si="383"/>
        <v>25.800000000000001</v>
      </c>
      <c r="F8217" s="22">
        <v>2.e-002</v>
      </c>
      <c r="G8217" s="21">
        <f t="shared" si="384"/>
        <v>24.710000000000001</v>
      </c>
      <c r="H8217" s="22">
        <v>2.e-002</v>
      </c>
      <c r="I8217" s="23" t="str">
        <f t="shared" si="385"/>
        <v xml:space="preserve">COM VALOR</v>
      </c>
      <c r="J8217" s="19"/>
      <c r="L8217" s="21">
        <v>25.800000000000001</v>
      </c>
      <c r="M8217" s="22">
        <v>0</v>
      </c>
      <c r="N8217" s="21">
        <v>24.710000000000001</v>
      </c>
      <c r="O8217" s="22">
        <v>0</v>
      </c>
    </row>
    <row r="8218" ht="38.25">
      <c r="A8218" t="s">
        <v>8306</v>
      </c>
      <c r="B8218" s="19">
        <v>100739</v>
      </c>
      <c r="C8218" s="20" t="s">
        <v>8319</v>
      </c>
      <c r="D8218" s="19" t="s">
        <v>29</v>
      </c>
      <c r="E8218" s="21">
        <f t="shared" si="383"/>
        <v>10.75</v>
      </c>
      <c r="F8218" s="22">
        <v>2.e-002</v>
      </c>
      <c r="G8218" s="21">
        <f t="shared" si="384"/>
        <v>10.65</v>
      </c>
      <c r="H8218" s="22">
        <v>2.e-002</v>
      </c>
      <c r="I8218" s="23" t="str">
        <f t="shared" si="385"/>
        <v xml:space="preserve">COM VALOR</v>
      </c>
      <c r="J8218" s="19"/>
      <c r="L8218" s="21">
        <v>10.75</v>
      </c>
      <c r="M8218" s="22">
        <v>0</v>
      </c>
      <c r="N8218" s="21">
        <v>10.65</v>
      </c>
      <c r="O8218" s="22">
        <v>0</v>
      </c>
    </row>
    <row r="8219" ht="38.25">
      <c r="A8219" t="s">
        <v>8306</v>
      </c>
      <c r="B8219" s="19">
        <v>100757</v>
      </c>
      <c r="C8219" s="20" t="s">
        <v>8320</v>
      </c>
      <c r="D8219" s="19" t="s">
        <v>29</v>
      </c>
      <c r="E8219" s="21">
        <f t="shared" si="383"/>
        <v>50.609999999999999</v>
      </c>
      <c r="F8219" s="22">
        <v>2.e-002</v>
      </c>
      <c r="G8219" s="21">
        <f t="shared" si="384"/>
        <v>48.909999999999997</v>
      </c>
      <c r="H8219" s="22">
        <v>2.e-002</v>
      </c>
      <c r="I8219" s="23" t="str">
        <f t="shared" si="385"/>
        <v xml:space="preserve">COM VALOR</v>
      </c>
      <c r="J8219" s="19"/>
      <c r="L8219" s="21">
        <v>50.609999999999999</v>
      </c>
      <c r="M8219" s="22">
        <v>0</v>
      </c>
      <c r="N8219" s="21">
        <v>48.909999999999997</v>
      </c>
      <c r="O8219" s="22">
        <v>0</v>
      </c>
    </row>
    <row r="8220" ht="38.25">
      <c r="A8220" t="s">
        <v>8306</v>
      </c>
      <c r="B8220" s="19">
        <v>100741</v>
      </c>
      <c r="C8220" s="20" t="s">
        <v>8321</v>
      </c>
      <c r="D8220" s="19" t="s">
        <v>29</v>
      </c>
      <c r="E8220" s="21">
        <f t="shared" si="383"/>
        <v>25.289999999999999</v>
      </c>
      <c r="F8220" s="22">
        <v>2.e-002</v>
      </c>
      <c r="G8220" s="21">
        <f t="shared" si="384"/>
        <v>24.449999999999999</v>
      </c>
      <c r="H8220" s="22">
        <v>2.e-002</v>
      </c>
      <c r="I8220" s="23" t="str">
        <f t="shared" si="385"/>
        <v xml:space="preserve">COM VALOR</v>
      </c>
      <c r="J8220" s="19"/>
      <c r="L8220" s="21">
        <v>25.289999999999999</v>
      </c>
      <c r="M8220" s="22">
        <v>0</v>
      </c>
      <c r="N8220" s="21">
        <v>24.449999999999999</v>
      </c>
      <c r="O8220" s="22">
        <v>0</v>
      </c>
    </row>
    <row r="8221" ht="38.25">
      <c r="A8221" t="s">
        <v>8306</v>
      </c>
      <c r="B8221" s="19">
        <v>100744</v>
      </c>
      <c r="C8221" s="20" t="s">
        <v>8322</v>
      </c>
      <c r="D8221" s="19" t="s">
        <v>29</v>
      </c>
      <c r="E8221" s="21">
        <f t="shared" si="383"/>
        <v>11.529999999999999</v>
      </c>
      <c r="F8221" s="22">
        <v>2.e-002</v>
      </c>
      <c r="G8221" s="21">
        <f t="shared" si="384"/>
        <v>11.18</v>
      </c>
      <c r="H8221" s="22">
        <v>2.e-002</v>
      </c>
      <c r="I8221" s="23" t="str">
        <f t="shared" si="385"/>
        <v xml:space="preserve">COM VALOR</v>
      </c>
      <c r="J8221" s="19"/>
      <c r="L8221" s="21">
        <v>11.529999999999999</v>
      </c>
      <c r="M8221" s="22">
        <v>0</v>
      </c>
      <c r="N8221" s="21">
        <v>11.18</v>
      </c>
      <c r="O8221" s="22">
        <v>0</v>
      </c>
    </row>
    <row r="8222" ht="51">
      <c r="A8222" t="s">
        <v>8306</v>
      </c>
      <c r="B8222" s="19">
        <v>100760</v>
      </c>
      <c r="C8222" s="20" t="s">
        <v>8323</v>
      </c>
      <c r="D8222" s="19" t="s">
        <v>29</v>
      </c>
      <c r="E8222" s="21">
        <f t="shared" si="383"/>
        <v>51.32</v>
      </c>
      <c r="F8222" s="22">
        <v>2.e-002</v>
      </c>
      <c r="G8222" s="21">
        <f t="shared" si="384"/>
        <v>49.130000000000003</v>
      </c>
      <c r="H8222" s="22">
        <v>2.e-002</v>
      </c>
      <c r="I8222" s="23" t="str">
        <f t="shared" si="385"/>
        <v xml:space="preserve">COM VALOR</v>
      </c>
      <c r="J8222" s="19"/>
      <c r="L8222" s="21">
        <v>51.32</v>
      </c>
      <c r="M8222" s="22">
        <v>0</v>
      </c>
      <c r="N8222" s="21">
        <v>49.130000000000003</v>
      </c>
      <c r="O8222" s="22">
        <v>0</v>
      </c>
    </row>
    <row r="8223" ht="51">
      <c r="A8223" t="s">
        <v>8306</v>
      </c>
      <c r="B8223" s="19">
        <v>100746</v>
      </c>
      <c r="C8223" s="20" t="s">
        <v>8324</v>
      </c>
      <c r="D8223" s="19" t="s">
        <v>29</v>
      </c>
      <c r="E8223" s="21">
        <f t="shared" si="383"/>
        <v>25.640000000000001</v>
      </c>
      <c r="F8223" s="22">
        <v>2.e-002</v>
      </c>
      <c r="G8223" s="21">
        <f t="shared" si="384"/>
        <v>24.550000000000001</v>
      </c>
      <c r="H8223" s="22">
        <v>2.e-002</v>
      </c>
      <c r="I8223" s="23" t="str">
        <f t="shared" si="385"/>
        <v xml:space="preserve">COM VALOR</v>
      </c>
      <c r="J8223" s="19"/>
      <c r="L8223" s="21">
        <v>25.640000000000001</v>
      </c>
      <c r="M8223" s="22">
        <v>0</v>
      </c>
      <c r="N8223" s="21">
        <v>24.550000000000001</v>
      </c>
      <c r="O8223" s="22">
        <v>0</v>
      </c>
    </row>
    <row r="8224" ht="38.25">
      <c r="A8224" t="s">
        <v>8306</v>
      </c>
      <c r="B8224" s="19">
        <v>100743</v>
      </c>
      <c r="C8224" s="20" t="s">
        <v>8325</v>
      </c>
      <c r="D8224" s="19" t="s">
        <v>29</v>
      </c>
      <c r="E8224" s="21">
        <f t="shared" si="383"/>
        <v>10.5</v>
      </c>
      <c r="F8224" s="22">
        <v>2.e-002</v>
      </c>
      <c r="G8224" s="21">
        <f t="shared" si="384"/>
        <v>10.4</v>
      </c>
      <c r="H8224" s="22">
        <v>2.e-002</v>
      </c>
      <c r="I8224" s="23" t="str">
        <f t="shared" si="385"/>
        <v xml:space="preserve">COM VALOR</v>
      </c>
      <c r="J8224" s="19"/>
      <c r="L8224" s="21">
        <v>10.5</v>
      </c>
      <c r="M8224" s="22">
        <v>0</v>
      </c>
      <c r="N8224" s="21">
        <v>10.4</v>
      </c>
      <c r="O8224" s="22">
        <v>0</v>
      </c>
    </row>
    <row r="8225" ht="38.25">
      <c r="A8225" t="s">
        <v>8306</v>
      </c>
      <c r="B8225" s="19">
        <v>100759</v>
      </c>
      <c r="C8225" s="20" t="s">
        <v>8326</v>
      </c>
      <c r="D8225" s="19" t="s">
        <v>29</v>
      </c>
      <c r="E8225" s="21">
        <f t="shared" si="383"/>
        <v>50.079999999999998</v>
      </c>
      <c r="F8225" s="22">
        <v>2.e-002</v>
      </c>
      <c r="G8225" s="21">
        <f t="shared" si="384"/>
        <v>48.380000000000003</v>
      </c>
      <c r="H8225" s="22">
        <v>2.e-002</v>
      </c>
      <c r="I8225" s="23" t="str">
        <f t="shared" si="385"/>
        <v xml:space="preserve">COM VALOR</v>
      </c>
      <c r="J8225" s="19"/>
      <c r="L8225" s="21">
        <v>50.079999999999998</v>
      </c>
      <c r="M8225" s="22">
        <v>0</v>
      </c>
      <c r="N8225" s="21">
        <v>48.380000000000003</v>
      </c>
      <c r="O8225" s="22">
        <v>0</v>
      </c>
    </row>
    <row r="8226" ht="38.25">
      <c r="A8226" t="s">
        <v>8306</v>
      </c>
      <c r="B8226" s="19">
        <v>100745</v>
      </c>
      <c r="C8226" s="20" t="s">
        <v>8327</v>
      </c>
      <c r="D8226" s="19" t="s">
        <v>29</v>
      </c>
      <c r="E8226" s="21">
        <f t="shared" si="383"/>
        <v>25.030000000000001</v>
      </c>
      <c r="F8226" s="22">
        <v>2.e-002</v>
      </c>
      <c r="G8226" s="21">
        <f t="shared" si="384"/>
        <v>24.190000000000001</v>
      </c>
      <c r="H8226" s="22">
        <v>2.e-002</v>
      </c>
      <c r="I8226" s="23" t="str">
        <f t="shared" si="385"/>
        <v xml:space="preserve">COM VALOR</v>
      </c>
      <c r="J8226" s="19"/>
      <c r="L8226" s="21">
        <v>25.030000000000001</v>
      </c>
      <c r="M8226" s="22">
        <v>0</v>
      </c>
      <c r="N8226" s="21">
        <v>24.190000000000001</v>
      </c>
      <c r="O8226" s="22">
        <v>0</v>
      </c>
    </row>
    <row r="8227" ht="38.25">
      <c r="A8227" t="s">
        <v>8306</v>
      </c>
      <c r="B8227" s="19">
        <v>100748</v>
      </c>
      <c r="C8227" s="20" t="s">
        <v>8328</v>
      </c>
      <c r="D8227" s="19" t="s">
        <v>29</v>
      </c>
      <c r="E8227" s="21">
        <f t="shared" si="383"/>
        <v>11.59</v>
      </c>
      <c r="F8227" s="22">
        <v>2.e-002</v>
      </c>
      <c r="G8227" s="21">
        <f t="shared" si="384"/>
        <v>11.24</v>
      </c>
      <c r="H8227" s="22">
        <v>2.e-002</v>
      </c>
      <c r="I8227" s="23" t="str">
        <f t="shared" si="385"/>
        <v xml:space="preserve">COM VALOR</v>
      </c>
      <c r="J8227" s="19"/>
      <c r="L8227" s="21">
        <v>11.59</v>
      </c>
      <c r="M8227" s="22">
        <v>0</v>
      </c>
      <c r="N8227" s="21">
        <v>11.24</v>
      </c>
      <c r="O8227" s="22">
        <v>0</v>
      </c>
    </row>
    <row r="8228" ht="38.25">
      <c r="A8228" t="s">
        <v>8306</v>
      </c>
      <c r="B8228" s="19">
        <v>100762</v>
      </c>
      <c r="C8228" s="20" t="s">
        <v>8329</v>
      </c>
      <c r="D8228" s="19" t="s">
        <v>29</v>
      </c>
      <c r="E8228" s="21">
        <f t="shared" si="383"/>
        <v>51.460000000000001</v>
      </c>
      <c r="F8228" s="22">
        <v>2.e-002</v>
      </c>
      <c r="G8228" s="21">
        <f t="shared" si="384"/>
        <v>49.270000000000003</v>
      </c>
      <c r="H8228" s="22">
        <v>2.e-002</v>
      </c>
      <c r="I8228" s="23" t="str">
        <f t="shared" si="385"/>
        <v xml:space="preserve">COM VALOR</v>
      </c>
      <c r="J8228" s="19"/>
      <c r="L8228" s="21">
        <v>51.460000000000001</v>
      </c>
      <c r="M8228" s="22">
        <v>0</v>
      </c>
      <c r="N8228" s="21">
        <v>49.270000000000003</v>
      </c>
      <c r="O8228" s="22">
        <v>0</v>
      </c>
    </row>
    <row r="8229" ht="38.25">
      <c r="A8229" t="s">
        <v>8306</v>
      </c>
      <c r="B8229" s="19">
        <v>100750</v>
      </c>
      <c r="C8229" s="20" t="s">
        <v>8330</v>
      </c>
      <c r="D8229" s="19" t="s">
        <v>29</v>
      </c>
      <c r="E8229" s="21">
        <f t="shared" si="383"/>
        <v>25.710000000000001</v>
      </c>
      <c r="F8229" s="22">
        <v>2.e-002</v>
      </c>
      <c r="G8229" s="21">
        <f t="shared" si="384"/>
        <v>24.620000000000001</v>
      </c>
      <c r="H8229" s="22">
        <v>2.e-002</v>
      </c>
      <c r="I8229" s="23" t="str">
        <f t="shared" si="385"/>
        <v xml:space="preserve">COM VALOR</v>
      </c>
      <c r="J8229" s="19"/>
      <c r="L8229" s="21">
        <v>25.710000000000001</v>
      </c>
      <c r="M8229" s="22">
        <v>0</v>
      </c>
      <c r="N8229" s="21">
        <v>24.620000000000001</v>
      </c>
      <c r="O8229" s="22">
        <v>0</v>
      </c>
    </row>
    <row r="8230" ht="38.25">
      <c r="A8230" t="s">
        <v>8306</v>
      </c>
      <c r="B8230" s="19">
        <v>100747</v>
      </c>
      <c r="C8230" s="20" t="s">
        <v>8331</v>
      </c>
      <c r="D8230" s="19" t="s">
        <v>29</v>
      </c>
      <c r="E8230" s="21">
        <f t="shared" si="383"/>
        <v>10.6</v>
      </c>
      <c r="F8230" s="22">
        <v>2.e-002</v>
      </c>
      <c r="G8230" s="21">
        <f t="shared" si="384"/>
        <v>10.5</v>
      </c>
      <c r="H8230" s="22">
        <v>2.e-002</v>
      </c>
      <c r="I8230" s="23" t="str">
        <f t="shared" si="385"/>
        <v xml:space="preserve">COM VALOR</v>
      </c>
      <c r="J8230" s="19"/>
      <c r="L8230" s="21">
        <v>10.6</v>
      </c>
      <c r="M8230" s="22">
        <v>0</v>
      </c>
      <c r="N8230" s="21">
        <v>10.5</v>
      </c>
      <c r="O8230" s="22">
        <v>0</v>
      </c>
    </row>
    <row r="8231" ht="38.25">
      <c r="A8231" t="s">
        <v>8306</v>
      </c>
      <c r="B8231" s="19">
        <v>100761</v>
      </c>
      <c r="C8231" s="20" t="s">
        <v>8332</v>
      </c>
      <c r="D8231" s="19" t="s">
        <v>29</v>
      </c>
      <c r="E8231" s="21">
        <f t="shared" si="383"/>
        <v>50.299999999999997</v>
      </c>
      <c r="F8231" s="22">
        <v>2.e-002</v>
      </c>
      <c r="G8231" s="21">
        <f t="shared" si="384"/>
        <v>48.600000000000001</v>
      </c>
      <c r="H8231" s="22">
        <v>2.e-002</v>
      </c>
      <c r="I8231" s="23" t="str">
        <f t="shared" si="385"/>
        <v xml:space="preserve">COM VALOR</v>
      </c>
      <c r="J8231" s="19"/>
      <c r="L8231" s="21">
        <v>50.299999999999997</v>
      </c>
      <c r="M8231" s="22">
        <v>0</v>
      </c>
      <c r="N8231" s="21">
        <v>48.600000000000001</v>
      </c>
      <c r="O8231" s="22">
        <v>0</v>
      </c>
    </row>
    <row r="8232" ht="38.25">
      <c r="A8232" t="s">
        <v>8306</v>
      </c>
      <c r="B8232" s="19">
        <v>100749</v>
      </c>
      <c r="C8232" s="20" t="s">
        <v>8333</v>
      </c>
      <c r="D8232" s="19" t="s">
        <v>29</v>
      </c>
      <c r="E8232" s="21">
        <f t="shared" si="383"/>
        <v>25.140000000000001</v>
      </c>
      <c r="F8232" s="22">
        <v>2.e-002</v>
      </c>
      <c r="G8232" s="21">
        <f t="shared" si="384"/>
        <v>24.300000000000001</v>
      </c>
      <c r="H8232" s="22">
        <v>2.e-002</v>
      </c>
      <c r="I8232" s="23" t="str">
        <f t="shared" si="385"/>
        <v xml:space="preserve">COM VALOR</v>
      </c>
      <c r="J8232" s="19"/>
      <c r="L8232" s="21">
        <v>25.140000000000001</v>
      </c>
      <c r="M8232" s="22">
        <v>0</v>
      </c>
      <c r="N8232" s="21">
        <v>24.300000000000001</v>
      </c>
      <c r="O8232" s="22">
        <v>0</v>
      </c>
    </row>
    <row r="8233" ht="38.25">
      <c r="A8233" t="s">
        <v>8306</v>
      </c>
      <c r="B8233" s="19">
        <v>100720</v>
      </c>
      <c r="C8233" s="20" t="s">
        <v>8334</v>
      </c>
      <c r="D8233" s="19" t="s">
        <v>29</v>
      </c>
      <c r="E8233" s="21">
        <f t="shared" si="383"/>
        <v>11.119999999999999</v>
      </c>
      <c r="F8233" s="22">
        <v>2.e-002</v>
      </c>
      <c r="G8233" s="21">
        <f t="shared" si="384"/>
        <v>10.77</v>
      </c>
      <c r="H8233" s="22">
        <v>2.e-002</v>
      </c>
      <c r="I8233" s="23" t="str">
        <f t="shared" si="385"/>
        <v xml:space="preserve">COM VALOR</v>
      </c>
      <c r="J8233" s="19"/>
      <c r="L8233" s="21">
        <v>11.119999999999999</v>
      </c>
      <c r="M8233" s="22">
        <v>0</v>
      </c>
      <c r="N8233" s="21">
        <v>10.77</v>
      </c>
      <c r="O8233" s="22">
        <v>0</v>
      </c>
    </row>
    <row r="8234" ht="38.25">
      <c r="A8234" t="s">
        <v>8306</v>
      </c>
      <c r="B8234" s="19">
        <v>100722</v>
      </c>
      <c r="C8234" s="20" t="s">
        <v>8335</v>
      </c>
      <c r="D8234" s="19" t="s">
        <v>29</v>
      </c>
      <c r="E8234" s="21">
        <f t="shared" si="383"/>
        <v>25.260000000000002</v>
      </c>
      <c r="F8234" s="22">
        <v>2.e-002</v>
      </c>
      <c r="G8234" s="21">
        <f t="shared" si="384"/>
        <v>24.170000000000002</v>
      </c>
      <c r="H8234" s="22">
        <v>2.e-002</v>
      </c>
      <c r="I8234" s="23" t="str">
        <f t="shared" si="385"/>
        <v xml:space="preserve">COM VALOR</v>
      </c>
      <c r="J8234" s="19"/>
      <c r="L8234" s="21">
        <v>25.260000000000002</v>
      </c>
      <c r="M8234" s="22">
        <v>0</v>
      </c>
      <c r="N8234" s="21">
        <v>24.170000000000002</v>
      </c>
      <c r="O8234" s="22">
        <v>0</v>
      </c>
    </row>
    <row r="8235" ht="38.25">
      <c r="A8235" t="s">
        <v>8306</v>
      </c>
      <c r="B8235" s="19">
        <v>100719</v>
      </c>
      <c r="C8235" s="20" t="s">
        <v>8336</v>
      </c>
      <c r="D8235" s="19" t="s">
        <v>29</v>
      </c>
      <c r="E8235" s="21">
        <f t="shared" si="383"/>
        <v>10.92</v>
      </c>
      <c r="F8235" s="22">
        <v>2.e-002</v>
      </c>
      <c r="G8235" s="21">
        <f t="shared" si="384"/>
        <v>10.82</v>
      </c>
      <c r="H8235" s="22">
        <v>2.e-002</v>
      </c>
      <c r="I8235" s="23" t="str">
        <f t="shared" si="385"/>
        <v xml:space="preserve">COM VALOR</v>
      </c>
      <c r="J8235" s="19"/>
      <c r="L8235" s="21">
        <v>10.92</v>
      </c>
      <c r="M8235" s="22">
        <v>0</v>
      </c>
      <c r="N8235" s="21">
        <v>10.82</v>
      </c>
      <c r="O8235" s="22">
        <v>0</v>
      </c>
    </row>
    <row r="8236" ht="38.25">
      <c r="A8236" t="s">
        <v>8306</v>
      </c>
      <c r="B8236" s="19">
        <v>100721</v>
      </c>
      <c r="C8236" s="20" t="s">
        <v>8337</v>
      </c>
      <c r="D8236" s="19" t="s">
        <v>29</v>
      </c>
      <c r="E8236" s="21">
        <f t="shared" si="383"/>
        <v>25.670000000000002</v>
      </c>
      <c r="F8236" s="22">
        <v>2.e-002</v>
      </c>
      <c r="G8236" s="21">
        <f t="shared" si="384"/>
        <v>24.829999999999998</v>
      </c>
      <c r="H8236" s="22">
        <v>2.e-002</v>
      </c>
      <c r="I8236" s="23" t="str">
        <f t="shared" si="385"/>
        <v xml:space="preserve">COM VALOR</v>
      </c>
      <c r="J8236" s="19"/>
      <c r="L8236" s="21">
        <v>25.670000000000002</v>
      </c>
      <c r="M8236" s="22">
        <v>0</v>
      </c>
      <c r="N8236" s="21">
        <v>24.829999999999998</v>
      </c>
      <c r="O8236" s="22">
        <v>0</v>
      </c>
    </row>
    <row r="8237" ht="38.25">
      <c r="A8237" t="s">
        <v>8306</v>
      </c>
      <c r="B8237" s="19">
        <v>100724</v>
      </c>
      <c r="C8237" s="20" t="s">
        <v>8338</v>
      </c>
      <c r="D8237" s="19" t="s">
        <v>29</v>
      </c>
      <c r="E8237" s="21">
        <f t="shared" si="383"/>
        <v>14.380000000000001</v>
      </c>
      <c r="F8237" s="22">
        <v>2.e-002</v>
      </c>
      <c r="G8237" s="21">
        <f t="shared" si="384"/>
        <v>14.029999999999999</v>
      </c>
      <c r="H8237" s="22">
        <v>2.e-002</v>
      </c>
      <c r="I8237" s="23" t="str">
        <f t="shared" si="385"/>
        <v xml:space="preserve">COM VALOR</v>
      </c>
      <c r="J8237" s="19"/>
      <c r="L8237" s="21">
        <v>14.380000000000001</v>
      </c>
      <c r="M8237" s="22">
        <v>0</v>
      </c>
      <c r="N8237" s="21">
        <v>14.029999999999999</v>
      </c>
      <c r="O8237" s="22">
        <v>0</v>
      </c>
    </row>
    <row r="8238" ht="51">
      <c r="A8238" t="s">
        <v>8306</v>
      </c>
      <c r="B8238" s="19">
        <v>100726</v>
      </c>
      <c r="C8238" s="20" t="s">
        <v>8339</v>
      </c>
      <c r="D8238" s="19" t="s">
        <v>29</v>
      </c>
      <c r="E8238" s="21">
        <f t="shared" si="383"/>
        <v>28.420000000000002</v>
      </c>
      <c r="F8238" s="22">
        <v>2.e-002</v>
      </c>
      <c r="G8238" s="21">
        <f t="shared" si="384"/>
        <v>27.329999999999998</v>
      </c>
      <c r="H8238" s="22">
        <v>2.e-002</v>
      </c>
      <c r="I8238" s="23" t="str">
        <f t="shared" si="385"/>
        <v xml:space="preserve">COM VALOR</v>
      </c>
      <c r="J8238" s="19"/>
      <c r="L8238" s="21">
        <v>28.420000000000002</v>
      </c>
      <c r="M8238" s="22">
        <v>0</v>
      </c>
      <c r="N8238" s="21">
        <v>27.329999999999998</v>
      </c>
      <c r="O8238" s="22">
        <v>0</v>
      </c>
    </row>
    <row r="8239" ht="38.25">
      <c r="A8239" t="s">
        <v>8306</v>
      </c>
      <c r="B8239" s="19">
        <v>100723</v>
      </c>
      <c r="C8239" s="20" t="s">
        <v>8340</v>
      </c>
      <c r="D8239" s="19" t="s">
        <v>29</v>
      </c>
      <c r="E8239" s="21">
        <f t="shared" si="383"/>
        <v>11.720000000000001</v>
      </c>
      <c r="F8239" s="22">
        <v>2.e-002</v>
      </c>
      <c r="G8239" s="21">
        <f t="shared" si="384"/>
        <v>11.619999999999999</v>
      </c>
      <c r="H8239" s="22">
        <v>2.e-002</v>
      </c>
      <c r="I8239" s="23" t="str">
        <f t="shared" si="385"/>
        <v xml:space="preserve">COM VALOR</v>
      </c>
      <c r="J8239" s="19"/>
      <c r="L8239" s="21">
        <v>11.720000000000001</v>
      </c>
      <c r="M8239" s="22">
        <v>0</v>
      </c>
      <c r="N8239" s="21">
        <v>11.619999999999999</v>
      </c>
      <c r="O8239" s="22">
        <v>0</v>
      </c>
    </row>
    <row r="8240" ht="38.25">
      <c r="A8240" t="s">
        <v>8306</v>
      </c>
      <c r="B8240" s="19">
        <v>100725</v>
      </c>
      <c r="C8240" s="20" t="s">
        <v>8341</v>
      </c>
      <c r="D8240" s="19" t="s">
        <v>29</v>
      </c>
      <c r="E8240" s="21">
        <f t="shared" si="383"/>
        <v>25.940000000000001</v>
      </c>
      <c r="F8240" s="22">
        <v>2.e-002</v>
      </c>
      <c r="G8240" s="21">
        <f t="shared" si="384"/>
        <v>25.100000000000001</v>
      </c>
      <c r="H8240" s="22">
        <v>2.e-002</v>
      </c>
      <c r="I8240" s="23" t="str">
        <f t="shared" si="385"/>
        <v xml:space="preserve">COM VALOR</v>
      </c>
      <c r="J8240" s="19"/>
      <c r="L8240" s="21">
        <v>25.940000000000001</v>
      </c>
      <c r="M8240" s="22">
        <v>0</v>
      </c>
      <c r="N8240" s="21">
        <v>25.100000000000001</v>
      </c>
      <c r="O8240" s="22">
        <v>0</v>
      </c>
    </row>
    <row r="8241" ht="38.25">
      <c r="A8241" t="s">
        <v>8306</v>
      </c>
      <c r="B8241" s="19">
        <v>100752</v>
      </c>
      <c r="C8241" s="20" t="s">
        <v>8342</v>
      </c>
      <c r="D8241" s="19" t="s">
        <v>29</v>
      </c>
      <c r="E8241" s="21">
        <f t="shared" si="383"/>
        <v>47.829999999999998</v>
      </c>
      <c r="F8241" s="22">
        <v>1.e-002</v>
      </c>
      <c r="G8241" s="21">
        <f t="shared" si="384"/>
        <v>47.140000000000001</v>
      </c>
      <c r="H8241" s="22">
        <v>1.e-002</v>
      </c>
      <c r="I8241" s="23" t="str">
        <f t="shared" si="385"/>
        <v xml:space="preserve">COM VALOR</v>
      </c>
      <c r="J8241" s="19"/>
      <c r="L8241" s="21">
        <v>47.829999999999998</v>
      </c>
      <c r="M8241" s="22">
        <v>0</v>
      </c>
      <c r="N8241" s="21">
        <v>47.140000000000001</v>
      </c>
      <c r="O8241" s="22">
        <v>0</v>
      </c>
    </row>
    <row r="8242" ht="38.25">
      <c r="A8242" t="s">
        <v>8306</v>
      </c>
      <c r="B8242" s="19">
        <v>100730</v>
      </c>
      <c r="C8242" s="20" t="s">
        <v>8343</v>
      </c>
      <c r="D8242" s="19" t="s">
        <v>29</v>
      </c>
      <c r="E8242" s="21">
        <f t="shared" si="383"/>
        <v>23.920000000000002</v>
      </c>
      <c r="F8242" s="22">
        <v>1.e-002</v>
      </c>
      <c r="G8242" s="21">
        <f t="shared" si="384"/>
        <v>23.57</v>
      </c>
      <c r="H8242" s="22">
        <v>1.e-002</v>
      </c>
      <c r="I8242" s="23" t="str">
        <f t="shared" si="385"/>
        <v xml:space="preserve">COM VALOR</v>
      </c>
      <c r="J8242" s="19"/>
      <c r="L8242" s="21">
        <v>23.920000000000002</v>
      </c>
      <c r="M8242" s="22">
        <v>0</v>
      </c>
      <c r="N8242" s="21">
        <v>23.57</v>
      </c>
      <c r="O8242" s="22">
        <v>0</v>
      </c>
    </row>
    <row r="8243" ht="25.5">
      <c r="A8243" t="s">
        <v>8306</v>
      </c>
      <c r="B8243" s="19">
        <v>100751</v>
      </c>
      <c r="C8243" s="20" t="s">
        <v>8344</v>
      </c>
      <c r="D8243" s="19" t="s">
        <v>29</v>
      </c>
      <c r="E8243" s="21">
        <f t="shared" si="383"/>
        <v>40.460000000000001</v>
      </c>
      <c r="F8243" s="22">
        <v>1.e-002</v>
      </c>
      <c r="G8243" s="21">
        <f t="shared" si="384"/>
        <v>40.259999999999998</v>
      </c>
      <c r="H8243" s="22">
        <v>1.e-002</v>
      </c>
      <c r="I8243" s="23" t="str">
        <f t="shared" si="385"/>
        <v xml:space="preserve">COM VALOR</v>
      </c>
      <c r="J8243" s="19"/>
      <c r="L8243" s="21">
        <v>40.460000000000001</v>
      </c>
      <c r="M8243" s="22">
        <v>0</v>
      </c>
      <c r="N8243" s="21">
        <v>40.259999999999998</v>
      </c>
      <c r="O8243" s="22">
        <v>0</v>
      </c>
    </row>
    <row r="8244" ht="38.25">
      <c r="A8244" t="s">
        <v>8306</v>
      </c>
      <c r="B8244" s="19">
        <v>100729</v>
      </c>
      <c r="C8244" s="20" t="s">
        <v>8345</v>
      </c>
      <c r="D8244" s="19" t="s">
        <v>29</v>
      </c>
      <c r="E8244" s="21">
        <f t="shared" si="383"/>
        <v>20.23</v>
      </c>
      <c r="F8244" s="22">
        <v>1.e-002</v>
      </c>
      <c r="G8244" s="21">
        <f t="shared" si="384"/>
        <v>20.129999999999999</v>
      </c>
      <c r="H8244" s="22">
        <v>2.e-002</v>
      </c>
      <c r="I8244" s="23" t="str">
        <f t="shared" si="385"/>
        <v xml:space="preserve">COM VALOR</v>
      </c>
      <c r="J8244" s="19"/>
      <c r="L8244" s="21">
        <v>20.23</v>
      </c>
      <c r="M8244" s="22">
        <v>0</v>
      </c>
      <c r="N8244" s="21">
        <v>20.129999999999999</v>
      </c>
      <c r="O8244" s="22">
        <v>0</v>
      </c>
    </row>
    <row r="8245" ht="38.25">
      <c r="A8245" t="s">
        <v>8306</v>
      </c>
      <c r="B8245" s="19">
        <v>100728</v>
      </c>
      <c r="C8245" s="20" t="s">
        <v>8346</v>
      </c>
      <c r="D8245" s="19" t="s">
        <v>29</v>
      </c>
      <c r="E8245" s="21">
        <f t="shared" si="383"/>
        <v>24.390000000000001</v>
      </c>
      <c r="F8245" s="22">
        <v>2.e-002</v>
      </c>
      <c r="G8245" s="21">
        <f t="shared" si="384"/>
        <v>24.039999999999999</v>
      </c>
      <c r="H8245" s="22">
        <v>2.e-002</v>
      </c>
      <c r="I8245" s="23" t="str">
        <f t="shared" si="385"/>
        <v xml:space="preserve">COM VALOR</v>
      </c>
      <c r="J8245" s="19"/>
      <c r="L8245" s="21">
        <v>24.390000000000001</v>
      </c>
      <c r="M8245" s="22">
        <v>0</v>
      </c>
      <c r="N8245" s="21">
        <v>24.039999999999999</v>
      </c>
      <c r="O8245" s="22">
        <v>0</v>
      </c>
    </row>
    <row r="8246" ht="38.25">
      <c r="A8246" t="s">
        <v>8306</v>
      </c>
      <c r="B8246" s="19">
        <v>100732</v>
      </c>
      <c r="C8246" s="20" t="s">
        <v>8347</v>
      </c>
      <c r="D8246" s="19" t="s">
        <v>29</v>
      </c>
      <c r="E8246" s="21" t="str">
        <f t="shared" si="383"/>
        <v>VERIFICAR</v>
      </c>
      <c r="F8246" s="22">
        <v>2.e-002</v>
      </c>
      <c r="G8246" s="21" t="str">
        <f t="shared" si="384"/>
        <v>VERIFICAR</v>
      </c>
      <c r="H8246" s="22">
        <v>2.e-002</v>
      </c>
      <c r="I8246" s="23" t="str">
        <f t="shared" si="385"/>
        <v xml:space="preserve">COM VALOR</v>
      </c>
      <c r="J8246" s="19"/>
      <c r="L8246" s="21">
        <v>0</v>
      </c>
      <c r="M8246" s="22"/>
      <c r="N8246" s="21">
        <v>0</v>
      </c>
      <c r="O8246" s="22"/>
    </row>
    <row r="8247" ht="38.25">
      <c r="A8247" t="s">
        <v>8306</v>
      </c>
      <c r="B8247" s="19">
        <v>100731</v>
      </c>
      <c r="C8247" s="20" t="s">
        <v>8348</v>
      </c>
      <c r="D8247" s="19" t="s">
        <v>29</v>
      </c>
      <c r="E8247" s="21" t="str">
        <f t="shared" si="383"/>
        <v>VERIFICAR</v>
      </c>
      <c r="F8247" s="22">
        <v>2.e-002</v>
      </c>
      <c r="G8247" s="21" t="str">
        <f t="shared" si="384"/>
        <v>VERIFICAR</v>
      </c>
      <c r="H8247" s="22">
        <v>2.e-002</v>
      </c>
      <c r="I8247" s="23" t="str">
        <f t="shared" si="385"/>
        <v xml:space="preserve">COM VALOR</v>
      </c>
      <c r="J8247" s="19"/>
      <c r="L8247" s="21">
        <v>0</v>
      </c>
      <c r="M8247" s="22"/>
      <c r="N8247" s="21">
        <v>0</v>
      </c>
      <c r="O8247" s="22"/>
    </row>
    <row r="8248" ht="25.5">
      <c r="A8248" t="s">
        <v>8306</v>
      </c>
      <c r="B8248" s="19">
        <v>100727</v>
      </c>
      <c r="C8248" s="20" t="s">
        <v>8349</v>
      </c>
      <c r="D8248" s="19" t="s">
        <v>29</v>
      </c>
      <c r="E8248" s="21">
        <f t="shared" si="383"/>
        <v>26.93</v>
      </c>
      <c r="F8248" s="22">
        <v>2.e-002</v>
      </c>
      <c r="G8248" s="21">
        <f t="shared" si="384"/>
        <v>26.829999999999998</v>
      </c>
      <c r="H8248" s="22">
        <v>2.e-002</v>
      </c>
      <c r="I8248" s="23" t="str">
        <f t="shared" si="385"/>
        <v xml:space="preserve">COM VALOR</v>
      </c>
      <c r="J8248" s="19"/>
      <c r="L8248" s="21">
        <v>26.93</v>
      </c>
      <c r="M8248" s="22">
        <v>0</v>
      </c>
      <c r="N8248" s="21">
        <v>26.829999999999998</v>
      </c>
      <c r="O8248" s="22">
        <v>0</v>
      </c>
    </row>
    <row r="8249" ht="38.25">
      <c r="A8249" t="s">
        <v>8306</v>
      </c>
      <c r="B8249" s="19">
        <v>100756</v>
      </c>
      <c r="C8249" s="20" t="s">
        <v>8350</v>
      </c>
      <c r="D8249" s="19" t="s">
        <v>29</v>
      </c>
      <c r="E8249" s="21" t="str">
        <f t="shared" si="383"/>
        <v>VERIFICAR</v>
      </c>
      <c r="F8249" s="22">
        <v>2.e-002</v>
      </c>
      <c r="G8249" s="21" t="str">
        <f t="shared" si="384"/>
        <v>VERIFICAR</v>
      </c>
      <c r="H8249" s="22">
        <v>2.e-002</v>
      </c>
      <c r="I8249" s="23" t="str">
        <f t="shared" si="385"/>
        <v xml:space="preserve">COM VALOR</v>
      </c>
      <c r="J8249" s="19"/>
      <c r="L8249" s="21">
        <v>0</v>
      </c>
      <c r="M8249" s="22"/>
      <c r="N8249" s="21">
        <v>0</v>
      </c>
      <c r="O8249" s="22"/>
    </row>
    <row r="8250" ht="38.25">
      <c r="A8250" t="s">
        <v>8306</v>
      </c>
      <c r="B8250" s="19">
        <v>100738</v>
      </c>
      <c r="C8250" s="20" t="s">
        <v>8351</v>
      </c>
      <c r="D8250" s="19" t="s">
        <v>29</v>
      </c>
      <c r="E8250" s="21" t="str">
        <f t="shared" si="383"/>
        <v>VERIFICAR</v>
      </c>
      <c r="F8250" s="22">
        <v>2.e-002</v>
      </c>
      <c r="G8250" s="21" t="str">
        <f t="shared" si="384"/>
        <v>VERIFICAR</v>
      </c>
      <c r="H8250" s="22">
        <v>2.e-002</v>
      </c>
      <c r="I8250" s="23" t="str">
        <f t="shared" si="385"/>
        <v xml:space="preserve">COM VALOR</v>
      </c>
      <c r="J8250" s="19"/>
      <c r="L8250" s="21">
        <v>0</v>
      </c>
      <c r="M8250" s="22"/>
      <c r="N8250" s="21">
        <v>0</v>
      </c>
      <c r="O8250" s="22"/>
    </row>
    <row r="8251" ht="38.25">
      <c r="A8251" t="s">
        <v>8306</v>
      </c>
      <c r="B8251" s="19">
        <v>100755</v>
      </c>
      <c r="C8251" s="20" t="s">
        <v>8352</v>
      </c>
      <c r="D8251" s="19" t="s">
        <v>29</v>
      </c>
      <c r="E8251" s="21" t="str">
        <f t="shared" si="383"/>
        <v>VERIFICAR</v>
      </c>
      <c r="F8251" s="22">
        <v>2.e-002</v>
      </c>
      <c r="G8251" s="21" t="str">
        <f t="shared" si="384"/>
        <v>VERIFICAR</v>
      </c>
      <c r="H8251" s="22">
        <v>2.e-002</v>
      </c>
      <c r="I8251" s="23" t="str">
        <f t="shared" si="385"/>
        <v xml:space="preserve">COM VALOR</v>
      </c>
      <c r="J8251" s="19"/>
      <c r="L8251" s="21">
        <v>0</v>
      </c>
      <c r="M8251" s="22"/>
      <c r="N8251" s="21">
        <v>0</v>
      </c>
      <c r="O8251" s="22"/>
    </row>
    <row r="8252" ht="38.25">
      <c r="A8252" t="s">
        <v>8306</v>
      </c>
      <c r="B8252" s="19">
        <v>100737</v>
      </c>
      <c r="C8252" s="20" t="s">
        <v>8353</v>
      </c>
      <c r="D8252" s="19" t="s">
        <v>29</v>
      </c>
      <c r="E8252" s="21" t="str">
        <f t="shared" si="383"/>
        <v>VERIFICAR</v>
      </c>
      <c r="F8252" s="22">
        <v>2.e-002</v>
      </c>
      <c r="G8252" s="21" t="str">
        <f t="shared" si="384"/>
        <v>VERIFICAR</v>
      </c>
      <c r="H8252" s="22">
        <v>2.e-002</v>
      </c>
      <c r="I8252" s="23" t="str">
        <f t="shared" si="385"/>
        <v xml:space="preserve">COM VALOR</v>
      </c>
      <c r="J8252" s="19"/>
      <c r="L8252" s="21">
        <v>0</v>
      </c>
      <c r="M8252" s="22"/>
      <c r="N8252" s="21">
        <v>0</v>
      </c>
      <c r="O8252" s="22"/>
    </row>
    <row r="8253" ht="12.75">
      <c r="A8253" t="s">
        <v>8354</v>
      </c>
      <c r="B8253" s="19">
        <v>102499</v>
      </c>
      <c r="C8253" s="20" t="s">
        <v>8355</v>
      </c>
      <c r="D8253" s="19" t="s">
        <v>29</v>
      </c>
      <c r="E8253" s="21">
        <f t="shared" si="383"/>
        <v>3.0600000000000001</v>
      </c>
      <c r="F8253" s="22">
        <v>2.e-002</v>
      </c>
      <c r="G8253" s="21">
        <f t="shared" si="384"/>
        <v>2.9700000000000002</v>
      </c>
      <c r="H8253" s="22">
        <v>2.e-002</v>
      </c>
      <c r="I8253" s="23" t="str">
        <f t="shared" si="385"/>
        <v xml:space="preserve">COM VALOR</v>
      </c>
      <c r="J8253" s="19"/>
      <c r="L8253" s="21">
        <v>3.0600000000000001</v>
      </c>
      <c r="M8253" s="22">
        <v>0</v>
      </c>
      <c r="N8253" s="21">
        <v>2.9700000000000002</v>
      </c>
      <c r="O8253" s="22">
        <v>0</v>
      </c>
    </row>
    <row r="8254" ht="25.5">
      <c r="A8254" t="s">
        <v>8354</v>
      </c>
      <c r="B8254" s="19">
        <v>102505</v>
      </c>
      <c r="C8254" s="20" t="s">
        <v>8356</v>
      </c>
      <c r="D8254" s="19" t="s">
        <v>38</v>
      </c>
      <c r="E8254" s="21">
        <f t="shared" si="383"/>
        <v>10.859999999999999</v>
      </c>
      <c r="F8254" s="22">
        <v>2.e-002</v>
      </c>
      <c r="G8254" s="21">
        <f t="shared" si="384"/>
        <v>10.35</v>
      </c>
      <c r="H8254" s="22">
        <v>2.e-002</v>
      </c>
      <c r="I8254" s="23" t="str">
        <f t="shared" si="385"/>
        <v xml:space="preserve">COM VALOR</v>
      </c>
      <c r="J8254" s="19"/>
      <c r="L8254" s="21">
        <v>10.859999999999999</v>
      </c>
      <c r="M8254" s="22">
        <v>0</v>
      </c>
      <c r="N8254" s="21">
        <v>10.35</v>
      </c>
      <c r="O8254" s="22">
        <v>0</v>
      </c>
    </row>
    <row r="8255" ht="25.5">
      <c r="A8255" t="s">
        <v>8354</v>
      </c>
      <c r="B8255" s="19">
        <v>102504</v>
      </c>
      <c r="C8255" s="20" t="s">
        <v>8357</v>
      </c>
      <c r="D8255" s="19" t="s">
        <v>38</v>
      </c>
      <c r="E8255" s="21">
        <f t="shared" si="383"/>
        <v>10.640000000000001</v>
      </c>
      <c r="F8255" s="22">
        <v>2.e-002</v>
      </c>
      <c r="G8255" s="21">
        <f t="shared" si="384"/>
        <v>10.130000000000001</v>
      </c>
      <c r="H8255" s="22">
        <v>2.e-002</v>
      </c>
      <c r="I8255" s="23" t="str">
        <f t="shared" si="385"/>
        <v xml:space="preserve">COM VALOR</v>
      </c>
      <c r="J8255" s="19"/>
      <c r="L8255" s="21">
        <v>10.640000000000001</v>
      </c>
      <c r="M8255" s="22">
        <v>0</v>
      </c>
      <c r="N8255" s="21">
        <v>10.130000000000001</v>
      </c>
      <c r="O8255" s="22">
        <v>0</v>
      </c>
    </row>
    <row r="8256" ht="25.5">
      <c r="A8256" t="s">
        <v>8354</v>
      </c>
      <c r="B8256" s="19">
        <v>102506</v>
      </c>
      <c r="C8256" s="20" t="s">
        <v>8358</v>
      </c>
      <c r="D8256" s="19" t="s">
        <v>38</v>
      </c>
      <c r="E8256" s="21">
        <f t="shared" si="383"/>
        <v>11.609999999999999</v>
      </c>
      <c r="F8256" s="22">
        <v>2.e-002</v>
      </c>
      <c r="G8256" s="21">
        <f t="shared" si="384"/>
        <v>11.1</v>
      </c>
      <c r="H8256" s="22">
        <v>2.e-002</v>
      </c>
      <c r="I8256" s="23" t="str">
        <f t="shared" si="385"/>
        <v xml:space="preserve">COM VALOR</v>
      </c>
      <c r="J8256" s="19"/>
      <c r="L8256" s="21">
        <v>11.609999999999999</v>
      </c>
      <c r="M8256" s="22">
        <v>0</v>
      </c>
      <c r="N8256" s="21">
        <v>11.1</v>
      </c>
      <c r="O8256" s="22">
        <v>0</v>
      </c>
    </row>
    <row r="8257" ht="25.5">
      <c r="A8257" t="s">
        <v>8354</v>
      </c>
      <c r="B8257" s="19">
        <v>102500</v>
      </c>
      <c r="C8257" s="20" t="s">
        <v>8359</v>
      </c>
      <c r="D8257" s="19" t="s">
        <v>38</v>
      </c>
      <c r="E8257" s="21">
        <f t="shared" si="383"/>
        <v>4.9000000000000004</v>
      </c>
      <c r="F8257" s="22">
        <v>2.e-002</v>
      </c>
      <c r="G8257" s="21">
        <f t="shared" si="384"/>
        <v>4.7300000000000004</v>
      </c>
      <c r="H8257" s="22">
        <v>2.e-002</v>
      </c>
      <c r="I8257" s="23" t="str">
        <f t="shared" si="385"/>
        <v xml:space="preserve">COM VALOR</v>
      </c>
      <c r="J8257" s="19"/>
      <c r="L8257" s="21">
        <v>4.9000000000000004</v>
      </c>
      <c r="M8257" s="22">
        <v>0</v>
      </c>
      <c r="N8257" s="21">
        <v>4.7300000000000004</v>
      </c>
      <c r="O8257" s="22">
        <v>0</v>
      </c>
    </row>
    <row r="8258" ht="38.25">
      <c r="A8258" t="s">
        <v>8354</v>
      </c>
      <c r="B8258" s="19">
        <v>102502</v>
      </c>
      <c r="C8258" s="20" t="s">
        <v>8360</v>
      </c>
      <c r="D8258" s="19" t="s">
        <v>38</v>
      </c>
      <c r="E8258" s="21" t="str">
        <f t="shared" si="383"/>
        <v>VERIFICAR</v>
      </c>
      <c r="F8258" s="22">
        <v>2.e-002</v>
      </c>
      <c r="G8258" s="21" t="str">
        <f t="shared" si="384"/>
        <v>VERIFICAR</v>
      </c>
      <c r="H8258" s="22">
        <v>2.e-002</v>
      </c>
      <c r="I8258" s="23" t="str">
        <f t="shared" si="385"/>
        <v xml:space="preserve">COM VALOR</v>
      </c>
      <c r="J8258" s="19"/>
      <c r="L8258" s="21">
        <v>0</v>
      </c>
      <c r="M8258" s="22"/>
      <c r="N8258" s="21">
        <v>0</v>
      </c>
      <c r="O8258" s="22"/>
    </row>
    <row r="8259" ht="25.5">
      <c r="A8259" t="s">
        <v>8354</v>
      </c>
      <c r="B8259" s="19">
        <v>102507</v>
      </c>
      <c r="C8259" s="20" t="s">
        <v>8361</v>
      </c>
      <c r="D8259" s="19" t="s">
        <v>38</v>
      </c>
      <c r="E8259" s="21">
        <f t="shared" si="383"/>
        <v>6.8099999999999996</v>
      </c>
      <c r="F8259" s="22">
        <v>2.e-002</v>
      </c>
      <c r="G8259" s="21">
        <f t="shared" si="384"/>
        <v>6.6399999999999997</v>
      </c>
      <c r="H8259" s="22">
        <v>2.e-002</v>
      </c>
      <c r="I8259" s="23" t="str">
        <f t="shared" si="385"/>
        <v xml:space="preserve">COM VALOR</v>
      </c>
      <c r="J8259" s="19"/>
      <c r="L8259" s="21">
        <v>6.8099999999999996</v>
      </c>
      <c r="M8259" s="22">
        <v>0</v>
      </c>
      <c r="N8259" s="21">
        <v>6.6399999999999997</v>
      </c>
      <c r="O8259" s="22">
        <v>0</v>
      </c>
    </row>
    <row r="8260" ht="38.25">
      <c r="A8260" t="s">
        <v>8354</v>
      </c>
      <c r="B8260" s="19">
        <v>102510</v>
      </c>
      <c r="C8260" s="20" t="s">
        <v>8362</v>
      </c>
      <c r="D8260" s="19" t="s">
        <v>38</v>
      </c>
      <c r="E8260" s="21" t="str">
        <f t="shared" si="383"/>
        <v>VERIFICAR</v>
      </c>
      <c r="F8260" s="22">
        <v>2.e-002</v>
      </c>
      <c r="G8260" s="21" t="str">
        <f t="shared" si="384"/>
        <v>VERIFICAR</v>
      </c>
      <c r="H8260" s="22">
        <v>2.e-002</v>
      </c>
      <c r="I8260" s="23" t="str">
        <f t="shared" si="385"/>
        <v xml:space="preserve">COM VALOR</v>
      </c>
      <c r="J8260" s="19"/>
      <c r="L8260" s="21">
        <v>0</v>
      </c>
      <c r="M8260" s="22"/>
      <c r="N8260" s="21">
        <v>0</v>
      </c>
      <c r="O8260" s="22"/>
    </row>
    <row r="8261" ht="51">
      <c r="A8261" t="s">
        <v>8354</v>
      </c>
      <c r="B8261" s="19">
        <v>102512</v>
      </c>
      <c r="C8261" s="20" t="s">
        <v>8363</v>
      </c>
      <c r="D8261" s="19" t="s">
        <v>38</v>
      </c>
      <c r="E8261" s="21">
        <f t="shared" si="383"/>
        <v>6.4000000000000004</v>
      </c>
      <c r="F8261" s="22">
        <v>2.e-002</v>
      </c>
      <c r="G8261" s="21">
        <f t="shared" si="384"/>
        <v>6.2699999999999996</v>
      </c>
      <c r="H8261" s="22">
        <v>2.e-002</v>
      </c>
      <c r="I8261" s="23" t="str">
        <f t="shared" si="385"/>
        <v xml:space="preserve">COM VALOR</v>
      </c>
      <c r="J8261" s="19"/>
      <c r="L8261" s="21">
        <v>6.4000000000000004</v>
      </c>
      <c r="M8261" s="22">
        <v>0.39000000000000001</v>
      </c>
      <c r="N8261" s="21">
        <v>6.2699999999999996</v>
      </c>
      <c r="O8261" s="22">
        <v>0.40000000000000002</v>
      </c>
    </row>
    <row r="8262" ht="25.5">
      <c r="A8262" t="s">
        <v>8354</v>
      </c>
      <c r="B8262" s="19">
        <v>102501</v>
      </c>
      <c r="C8262" s="20" t="s">
        <v>8364</v>
      </c>
      <c r="D8262" s="19" t="s">
        <v>29</v>
      </c>
      <c r="E8262" s="21">
        <f t="shared" si="383"/>
        <v>26.23</v>
      </c>
      <c r="F8262" s="22">
        <v>2.e-002</v>
      </c>
      <c r="G8262" s="21">
        <f t="shared" si="384"/>
        <v>25.309999999999999</v>
      </c>
      <c r="H8262" s="22">
        <v>2.e-002</v>
      </c>
      <c r="I8262" s="23" t="str">
        <f t="shared" si="385"/>
        <v xml:space="preserve">COM VALOR</v>
      </c>
      <c r="J8262" s="19"/>
      <c r="L8262" s="21">
        <v>26.23</v>
      </c>
      <c r="M8262" s="22">
        <v>0</v>
      </c>
      <c r="N8262" s="21">
        <v>25.309999999999999</v>
      </c>
      <c r="O8262" s="22">
        <v>0</v>
      </c>
    </row>
    <row r="8263" ht="38.25">
      <c r="A8263" t="s">
        <v>8354</v>
      </c>
      <c r="B8263" s="19">
        <v>102503</v>
      </c>
      <c r="C8263" s="20" t="s">
        <v>8365</v>
      </c>
      <c r="D8263" s="19" t="s">
        <v>29</v>
      </c>
      <c r="E8263" s="21" t="str">
        <f t="shared" si="383"/>
        <v>VERIFICAR</v>
      </c>
      <c r="F8263" s="22">
        <v>0</v>
      </c>
      <c r="G8263" s="21" t="str">
        <f t="shared" si="384"/>
        <v>VERIFICAR</v>
      </c>
      <c r="H8263" s="22">
        <v>0</v>
      </c>
      <c r="I8263" s="23" t="str">
        <f t="shared" si="385"/>
        <v xml:space="preserve">COM VALOR</v>
      </c>
      <c r="J8263" s="19"/>
      <c r="L8263" s="21">
        <v>0</v>
      </c>
      <c r="M8263" s="22"/>
      <c r="N8263" s="21">
        <v>0</v>
      </c>
      <c r="O8263" s="22"/>
    </row>
    <row r="8264" ht="25.5">
      <c r="A8264" t="s">
        <v>8354</v>
      </c>
      <c r="B8264" s="19">
        <v>102508</v>
      </c>
      <c r="C8264" s="20" t="s">
        <v>8366</v>
      </c>
      <c r="D8264" s="19" t="s">
        <v>29</v>
      </c>
      <c r="E8264" s="21">
        <f t="shared" si="383"/>
        <v>45.770000000000003</v>
      </c>
      <c r="F8264" s="22">
        <v>0</v>
      </c>
      <c r="G8264" s="21">
        <f t="shared" si="384"/>
        <v>44.850000000000001</v>
      </c>
      <c r="H8264" s="22">
        <v>0</v>
      </c>
      <c r="I8264" s="23" t="str">
        <f t="shared" si="385"/>
        <v xml:space="preserve">COM VALOR</v>
      </c>
      <c r="J8264" s="19"/>
      <c r="L8264" s="21">
        <v>45.770000000000003</v>
      </c>
      <c r="M8264" s="22">
        <v>0</v>
      </c>
      <c r="N8264" s="21">
        <v>44.850000000000001</v>
      </c>
      <c r="O8264" s="22">
        <v>0</v>
      </c>
    </row>
    <row r="8265" ht="51">
      <c r="A8265" t="s">
        <v>8354</v>
      </c>
      <c r="B8265" s="19">
        <v>102511</v>
      </c>
      <c r="C8265" s="20" t="s">
        <v>8367</v>
      </c>
      <c r="D8265" s="19" t="s">
        <v>29</v>
      </c>
      <c r="E8265" s="21" t="str">
        <f t="shared" si="383"/>
        <v>VERIFICAR</v>
      </c>
      <c r="F8265" s="22">
        <v>2.9999999999999999e-002</v>
      </c>
      <c r="G8265" s="21" t="str">
        <f t="shared" si="384"/>
        <v>VERIFICAR</v>
      </c>
      <c r="H8265" s="22">
        <v>2.9999999999999999e-002</v>
      </c>
      <c r="I8265" s="23" t="str">
        <f t="shared" si="385"/>
        <v xml:space="preserve">COM VALOR</v>
      </c>
      <c r="J8265" s="19"/>
      <c r="L8265" s="21">
        <v>0</v>
      </c>
      <c r="M8265" s="22"/>
      <c r="N8265" s="21">
        <v>0</v>
      </c>
      <c r="O8265" s="22"/>
    </row>
    <row r="8266" ht="38.25">
      <c r="A8266" t="s">
        <v>8354</v>
      </c>
      <c r="B8266" s="19">
        <v>102509</v>
      </c>
      <c r="C8266" s="20" t="s">
        <v>8368</v>
      </c>
      <c r="D8266" s="19" t="s">
        <v>29</v>
      </c>
      <c r="E8266" s="21">
        <f t="shared" si="383"/>
        <v>29.800000000000001</v>
      </c>
      <c r="F8266" s="22">
        <v>0</v>
      </c>
      <c r="G8266" s="21">
        <f t="shared" si="384"/>
        <v>29.039999999999999</v>
      </c>
      <c r="H8266" s="22">
        <v>0</v>
      </c>
      <c r="I8266" s="23" t="str">
        <f t="shared" si="385"/>
        <v xml:space="preserve">COM VALOR</v>
      </c>
      <c r="J8266" s="19"/>
      <c r="L8266" s="21">
        <v>29.800000000000001</v>
      </c>
      <c r="M8266" s="22">
        <v>0</v>
      </c>
      <c r="N8266" s="21">
        <v>29.039999999999999</v>
      </c>
      <c r="O8266" s="22">
        <v>0</v>
      </c>
    </row>
    <row r="8267" ht="25.5">
      <c r="A8267" t="s">
        <v>8354</v>
      </c>
      <c r="B8267" s="19">
        <v>102498</v>
      </c>
      <c r="C8267" s="20" t="s">
        <v>8369</v>
      </c>
      <c r="D8267" s="19" t="s">
        <v>38</v>
      </c>
      <c r="E8267" s="21">
        <f t="shared" ref="E8267:E8330" si="386">IF(L8267=0,"VERIFICAR",L8267)</f>
        <v>1.7</v>
      </c>
      <c r="F8267" s="22">
        <v>0</v>
      </c>
      <c r="G8267" s="21">
        <f t="shared" ref="G8267:G8330" si="387">IF(N8267=0,"VERIFICAR",N8267)</f>
        <v>1.6200000000000001</v>
      </c>
      <c r="H8267" s="22">
        <v>0</v>
      </c>
      <c r="I8267" s="23" t="str">
        <f t="shared" ref="I8267:I8330" si="388">IF(OR(E8267=0,G8267=0),"SEM VALOR","COM VALOR")</f>
        <v xml:space="preserve">COM VALOR</v>
      </c>
      <c r="J8267" s="19"/>
      <c r="L8267" s="21">
        <v>1.7</v>
      </c>
      <c r="M8267" s="22">
        <v>0</v>
      </c>
      <c r="N8267" s="21">
        <v>1.6200000000000001</v>
      </c>
      <c r="O8267" s="22">
        <v>0</v>
      </c>
    </row>
    <row r="8268" ht="25.5">
      <c r="A8268" t="s">
        <v>8354</v>
      </c>
      <c r="B8268" s="19">
        <v>102519</v>
      </c>
      <c r="C8268" s="20" t="s">
        <v>8370</v>
      </c>
      <c r="D8268" s="19" t="s">
        <v>31</v>
      </c>
      <c r="E8268" s="21" t="str">
        <f t="shared" si="386"/>
        <v>VERIFICAR</v>
      </c>
      <c r="F8268" s="22">
        <v>0</v>
      </c>
      <c r="G8268" s="21" t="str">
        <f t="shared" si="387"/>
        <v>VERIFICAR</v>
      </c>
      <c r="H8268" s="22">
        <v>0</v>
      </c>
      <c r="I8268" s="23" t="str">
        <f t="shared" si="388"/>
        <v xml:space="preserve">COM VALOR</v>
      </c>
      <c r="J8268" s="19"/>
      <c r="L8268" s="21">
        <v>0</v>
      </c>
      <c r="M8268" s="22"/>
      <c r="N8268" s="21">
        <v>0</v>
      </c>
      <c r="O8268" s="22"/>
    </row>
    <row r="8269" ht="25.5">
      <c r="A8269" t="s">
        <v>8354</v>
      </c>
      <c r="B8269" s="19">
        <v>102491</v>
      </c>
      <c r="C8269" s="20" t="s">
        <v>8371</v>
      </c>
      <c r="D8269" s="19" t="s">
        <v>29</v>
      </c>
      <c r="E8269" s="21">
        <f t="shared" si="386"/>
        <v>21.170000000000002</v>
      </c>
      <c r="F8269" s="22">
        <v>0</v>
      </c>
      <c r="G8269" s="21">
        <f t="shared" si="387"/>
        <v>20.59</v>
      </c>
      <c r="H8269" s="22">
        <v>0</v>
      </c>
      <c r="I8269" s="23" t="str">
        <f t="shared" si="388"/>
        <v xml:space="preserve">COM VALOR</v>
      </c>
      <c r="J8269" s="19"/>
      <c r="L8269" s="21">
        <v>21.170000000000002</v>
      </c>
      <c r="M8269" s="22">
        <v>0</v>
      </c>
      <c r="N8269" s="21">
        <v>20.59</v>
      </c>
      <c r="O8269" s="22">
        <v>0</v>
      </c>
    </row>
    <row r="8270" ht="25.5">
      <c r="A8270" t="s">
        <v>8354</v>
      </c>
      <c r="B8270" s="19">
        <v>102492</v>
      </c>
      <c r="C8270" s="20" t="s">
        <v>8372</v>
      </c>
      <c r="D8270" s="19" t="s">
        <v>29</v>
      </c>
      <c r="E8270" s="21">
        <f t="shared" si="386"/>
        <v>26.949999999999999</v>
      </c>
      <c r="F8270" s="22">
        <v>0</v>
      </c>
      <c r="G8270" s="21">
        <f t="shared" si="387"/>
        <v>26.18</v>
      </c>
      <c r="H8270" s="22">
        <v>0</v>
      </c>
      <c r="I8270" s="23" t="str">
        <f t="shared" si="388"/>
        <v xml:space="preserve">COM VALOR</v>
      </c>
      <c r="J8270" s="19"/>
      <c r="L8270" s="21">
        <v>26.949999999999999</v>
      </c>
      <c r="M8270" s="22">
        <v>0</v>
      </c>
      <c r="N8270" s="21">
        <v>26.18</v>
      </c>
      <c r="O8270" s="22">
        <v>0</v>
      </c>
    </row>
    <row r="8271" ht="25.5">
      <c r="A8271" t="s">
        <v>8354</v>
      </c>
      <c r="B8271" s="19">
        <v>102804</v>
      </c>
      <c r="C8271" s="20" t="s">
        <v>8373</v>
      </c>
      <c r="D8271" s="19" t="s">
        <v>29</v>
      </c>
      <c r="E8271" s="21" t="str">
        <f t="shared" si="386"/>
        <v>VERIFICAR</v>
      </c>
      <c r="F8271" s="22">
        <v>0</v>
      </c>
      <c r="G8271" s="21" t="str">
        <f t="shared" si="387"/>
        <v>VERIFICAR</v>
      </c>
      <c r="H8271" s="22">
        <v>0</v>
      </c>
      <c r="I8271" s="23" t="str">
        <f t="shared" si="388"/>
        <v xml:space="preserve">COM VALOR</v>
      </c>
      <c r="J8271" s="19"/>
      <c r="L8271" s="21">
        <v>0</v>
      </c>
      <c r="M8271" s="22"/>
      <c r="N8271" s="21">
        <v>0</v>
      </c>
      <c r="O8271" s="22"/>
    </row>
    <row r="8272" ht="25.5">
      <c r="A8272" t="s">
        <v>8354</v>
      </c>
      <c r="B8272" s="19">
        <v>102494</v>
      </c>
      <c r="C8272" s="20" t="s">
        <v>8374</v>
      </c>
      <c r="D8272" s="19" t="s">
        <v>29</v>
      </c>
      <c r="E8272" s="21">
        <f t="shared" si="386"/>
        <v>63.869999999999997</v>
      </c>
      <c r="F8272" s="22">
        <v>0</v>
      </c>
      <c r="G8272" s="21">
        <f t="shared" si="387"/>
        <v>63.289999999999999</v>
      </c>
      <c r="H8272" s="22">
        <v>0</v>
      </c>
      <c r="I8272" s="23" t="str">
        <f t="shared" si="388"/>
        <v xml:space="preserve">COM VALOR</v>
      </c>
      <c r="J8272" s="19"/>
      <c r="L8272" s="21">
        <v>63.869999999999997</v>
      </c>
      <c r="M8272" s="22">
        <v>0</v>
      </c>
      <c r="N8272" s="21">
        <v>63.289999999999999</v>
      </c>
      <c r="O8272" s="22">
        <v>0</v>
      </c>
    </row>
    <row r="8273" ht="25.5">
      <c r="A8273" t="s">
        <v>8354</v>
      </c>
      <c r="B8273" s="19">
        <v>102805</v>
      </c>
      <c r="C8273" s="20" t="s">
        <v>8375</v>
      </c>
      <c r="D8273" s="19" t="s">
        <v>29</v>
      </c>
      <c r="E8273" s="21" t="str">
        <f t="shared" si="386"/>
        <v>VERIFICAR</v>
      </c>
      <c r="F8273" s="22">
        <v>0</v>
      </c>
      <c r="G8273" s="21" t="str">
        <f t="shared" si="387"/>
        <v>VERIFICAR</v>
      </c>
      <c r="H8273" s="22">
        <v>0</v>
      </c>
      <c r="I8273" s="23" t="str">
        <f t="shared" si="388"/>
        <v xml:space="preserve">COM VALOR</v>
      </c>
      <c r="J8273" s="19"/>
      <c r="L8273" s="21">
        <v>0</v>
      </c>
      <c r="M8273" s="22"/>
      <c r="N8273" s="21">
        <v>0</v>
      </c>
      <c r="O8273" s="22"/>
    </row>
    <row r="8274" ht="25.5">
      <c r="A8274" t="s">
        <v>8354</v>
      </c>
      <c r="B8274" s="19">
        <v>102490</v>
      </c>
      <c r="C8274" s="20" t="s">
        <v>8376</v>
      </c>
      <c r="D8274" s="19" t="s">
        <v>29</v>
      </c>
      <c r="E8274" s="21" t="str">
        <f t="shared" si="386"/>
        <v>VERIFICAR</v>
      </c>
      <c r="F8274" s="22">
        <v>0</v>
      </c>
      <c r="G8274" s="21" t="str">
        <f t="shared" si="387"/>
        <v>VERIFICAR</v>
      </c>
      <c r="H8274" s="22">
        <v>0</v>
      </c>
      <c r="I8274" s="23" t="str">
        <f t="shared" si="388"/>
        <v xml:space="preserve">COM VALOR</v>
      </c>
      <c r="J8274" s="19"/>
      <c r="L8274" s="21">
        <v>0</v>
      </c>
      <c r="M8274" s="22"/>
      <c r="N8274" s="21">
        <v>0</v>
      </c>
      <c r="O8274" s="22"/>
    </row>
    <row r="8275" ht="25.5">
      <c r="A8275" t="s">
        <v>8354</v>
      </c>
      <c r="B8275" s="19">
        <v>102496</v>
      </c>
      <c r="C8275" s="20" t="s">
        <v>8377</v>
      </c>
      <c r="D8275" s="19" t="s">
        <v>38</v>
      </c>
      <c r="E8275" s="21">
        <f t="shared" si="386"/>
        <v>13.67</v>
      </c>
      <c r="F8275" s="22">
        <v>4.0000000000000001e-002</v>
      </c>
      <c r="G8275" s="21">
        <f t="shared" si="387"/>
        <v>13.4</v>
      </c>
      <c r="H8275" s="22">
        <v>4.0000000000000001e-002</v>
      </c>
      <c r="I8275" s="23" t="str">
        <f t="shared" si="388"/>
        <v xml:space="preserve">COM VALOR</v>
      </c>
      <c r="J8275" s="19"/>
      <c r="L8275" s="21">
        <v>13.67</v>
      </c>
      <c r="M8275" s="22">
        <v>0</v>
      </c>
      <c r="N8275" s="21">
        <v>13.4</v>
      </c>
      <c r="O8275" s="22">
        <v>0</v>
      </c>
    </row>
    <row r="8276" ht="25.5">
      <c r="A8276" t="s">
        <v>8354</v>
      </c>
      <c r="B8276" s="19">
        <v>102497</v>
      </c>
      <c r="C8276" s="20" t="s">
        <v>8378</v>
      </c>
      <c r="D8276" s="19" t="s">
        <v>38</v>
      </c>
      <c r="E8276" s="21">
        <f t="shared" si="386"/>
        <v>5.3799999999999999</v>
      </c>
      <c r="F8276" s="22">
        <v>0</v>
      </c>
      <c r="G8276" s="21">
        <f t="shared" si="387"/>
        <v>5.2000000000000002</v>
      </c>
      <c r="H8276" s="22">
        <v>0</v>
      </c>
      <c r="I8276" s="23" t="str">
        <f t="shared" si="388"/>
        <v xml:space="preserve">COM VALOR</v>
      </c>
      <c r="J8276" s="19"/>
      <c r="L8276" s="21">
        <v>5.3799999999999999</v>
      </c>
      <c r="M8276" s="22">
        <v>0</v>
      </c>
      <c r="N8276" s="21">
        <v>5.2000000000000002</v>
      </c>
      <c r="O8276" s="22">
        <v>0</v>
      </c>
    </row>
    <row r="8277" ht="25.5">
      <c r="A8277" t="s">
        <v>8354</v>
      </c>
      <c r="B8277" s="19">
        <v>102520</v>
      </c>
      <c r="C8277" s="20" t="s">
        <v>8379</v>
      </c>
      <c r="D8277" s="19" t="s">
        <v>29</v>
      </c>
      <c r="E8277" s="21">
        <f t="shared" si="386"/>
        <v>86.390000000000001</v>
      </c>
      <c r="F8277" s="22">
        <v>0</v>
      </c>
      <c r="G8277" s="21">
        <f t="shared" si="387"/>
        <v>82.739999999999995</v>
      </c>
      <c r="H8277" s="22">
        <v>0</v>
      </c>
      <c r="I8277" s="23" t="str">
        <f t="shared" si="388"/>
        <v xml:space="preserve">COM VALOR</v>
      </c>
      <c r="J8277" s="19"/>
      <c r="L8277" s="21">
        <v>86.390000000000001</v>
      </c>
      <c r="M8277" s="22">
        <v>0</v>
      </c>
      <c r="N8277" s="21">
        <v>82.739999999999995</v>
      </c>
      <c r="O8277" s="22">
        <v>0</v>
      </c>
    </row>
    <row r="8278" ht="25.5">
      <c r="A8278" t="s">
        <v>8354</v>
      </c>
      <c r="B8278" s="19">
        <v>102518</v>
      </c>
      <c r="C8278" s="20" t="s">
        <v>8380</v>
      </c>
      <c r="D8278" s="19" t="s">
        <v>31</v>
      </c>
      <c r="E8278" s="21" t="str">
        <f t="shared" si="386"/>
        <v>VERIFICAR</v>
      </c>
      <c r="F8278" s="22">
        <v>0</v>
      </c>
      <c r="G8278" s="21" t="str">
        <f t="shared" si="387"/>
        <v>VERIFICAR</v>
      </c>
      <c r="H8278" s="22">
        <v>0</v>
      </c>
      <c r="I8278" s="23" t="str">
        <f t="shared" si="388"/>
        <v xml:space="preserve">COM VALOR</v>
      </c>
      <c r="J8278" s="19"/>
      <c r="L8278" s="21">
        <v>0</v>
      </c>
      <c r="M8278" s="22"/>
      <c r="N8278" s="21">
        <v>0</v>
      </c>
      <c r="O8278" s="22"/>
    </row>
    <row r="8279" ht="38.25">
      <c r="A8279" t="s">
        <v>8354</v>
      </c>
      <c r="B8279" s="19">
        <v>102514</v>
      </c>
      <c r="C8279" s="20" t="s">
        <v>8381</v>
      </c>
      <c r="D8279" s="19" t="s">
        <v>31</v>
      </c>
      <c r="E8279" s="21" t="str">
        <f t="shared" si="386"/>
        <v>VERIFICAR</v>
      </c>
      <c r="F8279" s="22">
        <v>0</v>
      </c>
      <c r="G8279" s="21" t="str">
        <f t="shared" si="387"/>
        <v>VERIFICAR</v>
      </c>
      <c r="H8279" s="22">
        <v>0</v>
      </c>
      <c r="I8279" s="23" t="str">
        <f t="shared" si="388"/>
        <v xml:space="preserve">COM VALOR</v>
      </c>
      <c r="J8279" s="19"/>
      <c r="L8279" s="21">
        <v>0</v>
      </c>
      <c r="M8279" s="22"/>
      <c r="N8279" s="21">
        <v>0</v>
      </c>
      <c r="O8279" s="22"/>
    </row>
    <row r="8280" ht="25.5">
      <c r="A8280" t="s">
        <v>8354</v>
      </c>
      <c r="B8280" s="19">
        <v>102516</v>
      </c>
      <c r="C8280" s="20" t="s">
        <v>8382</v>
      </c>
      <c r="D8280" s="19" t="s">
        <v>31</v>
      </c>
      <c r="E8280" s="21" t="str">
        <f t="shared" si="386"/>
        <v>VERIFICAR</v>
      </c>
      <c r="F8280" s="22">
        <v>0</v>
      </c>
      <c r="G8280" s="21" t="str">
        <f t="shared" si="387"/>
        <v>VERIFICAR</v>
      </c>
      <c r="H8280" s="22">
        <v>0</v>
      </c>
      <c r="I8280" s="23" t="str">
        <f t="shared" si="388"/>
        <v xml:space="preserve">COM VALOR</v>
      </c>
      <c r="J8280" s="19"/>
      <c r="L8280" s="21">
        <v>0</v>
      </c>
      <c r="M8280" s="22"/>
      <c r="N8280" s="21">
        <v>0</v>
      </c>
      <c r="O8280" s="22"/>
    </row>
    <row r="8281" ht="25.5">
      <c r="A8281" t="s">
        <v>8354</v>
      </c>
      <c r="B8281" s="19">
        <v>102515</v>
      </c>
      <c r="C8281" s="20" t="s">
        <v>8383</v>
      </c>
      <c r="D8281" s="19" t="s">
        <v>31</v>
      </c>
      <c r="E8281" s="21" t="str">
        <f t="shared" si="386"/>
        <v>VERIFICAR</v>
      </c>
      <c r="F8281" s="22">
        <v>0</v>
      </c>
      <c r="G8281" s="21" t="str">
        <f t="shared" si="387"/>
        <v>VERIFICAR</v>
      </c>
      <c r="H8281" s="22">
        <v>0</v>
      </c>
      <c r="I8281" s="23" t="str">
        <f t="shared" si="388"/>
        <v xml:space="preserve">COM VALOR</v>
      </c>
      <c r="J8281" s="19"/>
      <c r="L8281" s="21">
        <v>0</v>
      </c>
      <c r="M8281" s="22"/>
      <c r="N8281" s="21">
        <v>0</v>
      </c>
      <c r="O8281" s="22"/>
    </row>
    <row r="8282" ht="25.5">
      <c r="A8282" t="s">
        <v>8354</v>
      </c>
      <c r="B8282" s="19">
        <v>102517</v>
      </c>
      <c r="C8282" s="20" t="s">
        <v>8384</v>
      </c>
      <c r="D8282" s="19" t="s">
        <v>31</v>
      </c>
      <c r="E8282" s="21" t="str">
        <f t="shared" si="386"/>
        <v>VERIFICAR</v>
      </c>
      <c r="F8282" s="22">
        <v>0</v>
      </c>
      <c r="G8282" s="21" t="str">
        <f t="shared" si="387"/>
        <v>VERIFICAR</v>
      </c>
      <c r="H8282" s="22">
        <v>0</v>
      </c>
      <c r="I8282" s="23" t="str">
        <f t="shared" si="388"/>
        <v xml:space="preserve">COM VALOR</v>
      </c>
      <c r="J8282" s="19"/>
      <c r="L8282" s="21">
        <v>0</v>
      </c>
      <c r="M8282" s="22"/>
      <c r="N8282" s="21">
        <v>0</v>
      </c>
      <c r="O8282" s="22"/>
    </row>
    <row r="8283" ht="25.5">
      <c r="A8283" t="s">
        <v>8354</v>
      </c>
      <c r="B8283" s="19">
        <v>102513</v>
      </c>
      <c r="C8283" s="20" t="s">
        <v>8385</v>
      </c>
      <c r="D8283" s="19" t="s">
        <v>29</v>
      </c>
      <c r="E8283" s="21">
        <f t="shared" si="386"/>
        <v>51.159999999999997</v>
      </c>
      <c r="F8283" s="22">
        <v>0</v>
      </c>
      <c r="G8283" s="21">
        <f t="shared" si="387"/>
        <v>49.130000000000003</v>
      </c>
      <c r="H8283" s="22">
        <v>0</v>
      </c>
      <c r="I8283" s="23" t="str">
        <f t="shared" si="388"/>
        <v xml:space="preserve">COM VALOR</v>
      </c>
      <c r="J8283" s="19"/>
      <c r="L8283" s="21">
        <v>51.159999999999997</v>
      </c>
      <c r="M8283" s="22">
        <v>0</v>
      </c>
      <c r="N8283" s="21">
        <v>49.130000000000003</v>
      </c>
      <c r="O8283" s="22">
        <v>0</v>
      </c>
    </row>
    <row r="8284" ht="25.5">
      <c r="A8284" t="s">
        <v>8354</v>
      </c>
      <c r="B8284" s="19">
        <v>102489</v>
      </c>
      <c r="C8284" s="20" t="s">
        <v>8386</v>
      </c>
      <c r="D8284" s="19" t="s">
        <v>29</v>
      </c>
      <c r="E8284" s="21">
        <f t="shared" si="386"/>
        <v>27.870000000000001</v>
      </c>
      <c r="F8284" s="22">
        <v>0</v>
      </c>
      <c r="G8284" s="21">
        <f t="shared" si="387"/>
        <v>27.109999999999999</v>
      </c>
      <c r="H8284" s="22">
        <v>0</v>
      </c>
      <c r="I8284" s="23" t="str">
        <f t="shared" si="388"/>
        <v xml:space="preserve">COM VALOR</v>
      </c>
      <c r="J8284" s="19"/>
      <c r="L8284" s="21">
        <v>27.870000000000001</v>
      </c>
      <c r="M8284" s="22">
        <v>0</v>
      </c>
      <c r="N8284" s="21">
        <v>27.109999999999999</v>
      </c>
      <c r="O8284" s="22">
        <v>0</v>
      </c>
    </row>
    <row r="8285" ht="25.5">
      <c r="A8285" t="s">
        <v>8354</v>
      </c>
      <c r="B8285" s="19">
        <v>102488</v>
      </c>
      <c r="C8285" s="20" t="s">
        <v>8387</v>
      </c>
      <c r="D8285" s="19" t="s">
        <v>29</v>
      </c>
      <c r="E8285" s="21">
        <f t="shared" si="386"/>
        <v>3.73</v>
      </c>
      <c r="F8285" s="22">
        <v>0</v>
      </c>
      <c r="G8285" s="21">
        <f t="shared" si="387"/>
        <v>3.52</v>
      </c>
      <c r="H8285" s="22">
        <v>0</v>
      </c>
      <c r="I8285" s="23" t="str">
        <f t="shared" si="388"/>
        <v xml:space="preserve">COM VALOR</v>
      </c>
      <c r="J8285" s="19"/>
      <c r="L8285" s="21">
        <v>3.73</v>
      </c>
      <c r="M8285" s="22">
        <v>2.e-002</v>
      </c>
      <c r="N8285" s="21">
        <v>3.52</v>
      </c>
      <c r="O8285" s="22">
        <v>2.e-002</v>
      </c>
    </row>
    <row r="8286" ht="12.75">
      <c r="A8286" t="s">
        <v>8388</v>
      </c>
      <c r="B8286" s="19">
        <v>101730</v>
      </c>
      <c r="C8286" s="20" t="s">
        <v>8389</v>
      </c>
      <c r="D8286" s="19" t="s">
        <v>29</v>
      </c>
      <c r="E8286" s="21" t="str">
        <f t="shared" si="386"/>
        <v>VERIFICAR</v>
      </c>
      <c r="F8286" s="22">
        <v>0</v>
      </c>
      <c r="G8286" s="21" t="str">
        <f t="shared" si="387"/>
        <v>VERIFICAR</v>
      </c>
      <c r="H8286" s="22">
        <v>0</v>
      </c>
      <c r="I8286" s="23" t="str">
        <f t="shared" si="388"/>
        <v xml:space="preserve">COM VALOR</v>
      </c>
      <c r="J8286" s="19"/>
      <c r="L8286" s="21">
        <v>0</v>
      </c>
      <c r="M8286" s="22"/>
      <c r="N8286" s="21">
        <v>0</v>
      </c>
      <c r="O8286" s="22"/>
    </row>
    <row r="8287" ht="12.75">
      <c r="A8287" t="s">
        <v>8388</v>
      </c>
      <c r="B8287" s="19">
        <v>101746</v>
      </c>
      <c r="C8287" s="20" t="s">
        <v>8390</v>
      </c>
      <c r="D8287" s="19" t="s">
        <v>29</v>
      </c>
      <c r="E8287" s="21">
        <f t="shared" si="386"/>
        <v>571.74000000000001</v>
      </c>
      <c r="F8287" s="22">
        <v>0</v>
      </c>
      <c r="G8287" s="21">
        <f t="shared" si="387"/>
        <v>570.70000000000005</v>
      </c>
      <c r="H8287" s="22">
        <v>0</v>
      </c>
      <c r="I8287" s="23" t="str">
        <f t="shared" si="388"/>
        <v xml:space="preserve">COM VALOR</v>
      </c>
      <c r="J8287" s="19"/>
      <c r="L8287" s="21">
        <v>571.74000000000001</v>
      </c>
      <c r="M8287" s="22">
        <v>0.87</v>
      </c>
      <c r="N8287" s="21">
        <v>570.70000000000005</v>
      </c>
      <c r="O8287" s="22">
        <v>0.87</v>
      </c>
    </row>
    <row r="8288" ht="25.5">
      <c r="A8288" t="s">
        <v>8388</v>
      </c>
      <c r="B8288" s="19">
        <v>106788</v>
      </c>
      <c r="C8288" s="20" t="s">
        <v>8391</v>
      </c>
      <c r="D8288" s="19" t="s">
        <v>29</v>
      </c>
      <c r="E8288" s="21">
        <f t="shared" si="386"/>
        <v>30.579999999999998</v>
      </c>
      <c r="F8288" s="22">
        <v>0</v>
      </c>
      <c r="G8288" s="21">
        <f t="shared" si="387"/>
        <v>29.609999999999999</v>
      </c>
      <c r="H8288" s="22">
        <v>0</v>
      </c>
      <c r="I8288" s="23" t="str">
        <f t="shared" si="388"/>
        <v xml:space="preserve">COM VALOR</v>
      </c>
      <c r="J8288" s="19"/>
      <c r="L8288" s="21">
        <v>30.579999999999998</v>
      </c>
      <c r="M8288" s="22">
        <v>4.0000000000000001e-002</v>
      </c>
      <c r="N8288" s="21">
        <v>29.609999999999999</v>
      </c>
      <c r="O8288" s="22">
        <v>5.0000000000000003e-002</v>
      </c>
    </row>
    <row r="8289" ht="38.25">
      <c r="A8289" t="s">
        <v>8388</v>
      </c>
      <c r="B8289" s="19">
        <v>106789</v>
      </c>
      <c r="C8289" s="20" t="s">
        <v>8392</v>
      </c>
      <c r="D8289" s="19" t="s">
        <v>29</v>
      </c>
      <c r="E8289" s="21">
        <f t="shared" si="386"/>
        <v>28.780000000000001</v>
      </c>
      <c r="F8289" s="22">
        <v>0</v>
      </c>
      <c r="G8289" s="21">
        <f t="shared" si="387"/>
        <v>27.920000000000002</v>
      </c>
      <c r="H8289" s="22">
        <v>0</v>
      </c>
      <c r="I8289" s="23" t="str">
        <f t="shared" si="388"/>
        <v xml:space="preserve">COM VALOR</v>
      </c>
      <c r="J8289" s="19"/>
      <c r="L8289" s="21">
        <v>28.780000000000001</v>
      </c>
      <c r="M8289" s="22">
        <v>5.0000000000000003e-002</v>
      </c>
      <c r="N8289" s="21">
        <v>27.920000000000002</v>
      </c>
      <c r="O8289" s="22">
        <v>5.0000000000000003e-002</v>
      </c>
    </row>
    <row r="8290" ht="25.5">
      <c r="A8290" t="s">
        <v>8388</v>
      </c>
      <c r="B8290" s="19">
        <v>98679</v>
      </c>
      <c r="C8290" s="20" t="s">
        <v>8393</v>
      </c>
      <c r="D8290" s="19" t="s">
        <v>29</v>
      </c>
      <c r="E8290" s="21">
        <f t="shared" si="386"/>
        <v>34.100000000000001</v>
      </c>
      <c r="F8290" s="22">
        <v>0</v>
      </c>
      <c r="G8290" s="21">
        <f t="shared" si="387"/>
        <v>33.020000000000003</v>
      </c>
      <c r="H8290" s="22">
        <v>0</v>
      </c>
      <c r="I8290" s="23" t="str">
        <f t="shared" si="388"/>
        <v xml:space="preserve">COM VALOR</v>
      </c>
      <c r="J8290" s="19"/>
      <c r="L8290" s="21">
        <v>34.100000000000001</v>
      </c>
      <c r="M8290" s="22">
        <v>4.0000000000000001e-002</v>
      </c>
      <c r="N8290" s="21">
        <v>33.020000000000003</v>
      </c>
      <c r="O8290" s="22">
        <v>4.0000000000000001e-002</v>
      </c>
    </row>
    <row r="8291" ht="25.5">
      <c r="A8291" t="s">
        <v>8388</v>
      </c>
      <c r="B8291" s="19">
        <v>98680</v>
      </c>
      <c r="C8291" s="20" t="s">
        <v>8394</v>
      </c>
      <c r="D8291" s="19" t="s">
        <v>29</v>
      </c>
      <c r="E8291" s="21">
        <f t="shared" si="386"/>
        <v>42.079999999999998</v>
      </c>
      <c r="F8291" s="22">
        <v>0.85999999999999999</v>
      </c>
      <c r="G8291" s="21">
        <f t="shared" si="387"/>
        <v>40.840000000000003</v>
      </c>
      <c r="H8291" s="22">
        <v>0.87</v>
      </c>
      <c r="I8291" s="23" t="str">
        <f t="shared" si="388"/>
        <v xml:space="preserve">COM VALOR</v>
      </c>
      <c r="J8291" s="19"/>
      <c r="L8291" s="21">
        <v>42.079999999999998</v>
      </c>
      <c r="M8291" s="22">
        <v>2.9999999999999999e-002</v>
      </c>
      <c r="N8291" s="21">
        <v>40.840000000000003</v>
      </c>
      <c r="O8291" s="22">
        <v>2.9999999999999999e-002</v>
      </c>
    </row>
    <row r="8292" ht="25.5">
      <c r="A8292" t="s">
        <v>8388</v>
      </c>
      <c r="B8292" s="19">
        <v>101749</v>
      </c>
      <c r="C8292" s="20" t="s">
        <v>8395</v>
      </c>
      <c r="D8292" s="19" t="s">
        <v>29</v>
      </c>
      <c r="E8292" s="21">
        <f t="shared" si="386"/>
        <v>48.609999999999999</v>
      </c>
      <c r="F8292" s="22">
        <v>0.91000000000000003</v>
      </c>
      <c r="G8292" s="21">
        <f t="shared" si="387"/>
        <v>47.25</v>
      </c>
      <c r="H8292" s="22">
        <v>0.91000000000000003</v>
      </c>
      <c r="I8292" s="23" t="str">
        <f t="shared" si="388"/>
        <v xml:space="preserve">COM VALOR</v>
      </c>
      <c r="J8292" s="19"/>
      <c r="L8292" s="21">
        <v>48.609999999999999</v>
      </c>
      <c r="M8292" s="22">
        <v>2.9999999999999999e-002</v>
      </c>
      <c r="N8292" s="21">
        <v>47.25</v>
      </c>
      <c r="O8292" s="22">
        <v>2.9999999999999999e-002</v>
      </c>
    </row>
    <row r="8293" ht="38.25">
      <c r="A8293" t="s">
        <v>8388</v>
      </c>
      <c r="B8293" s="19">
        <v>98681</v>
      </c>
      <c r="C8293" s="20" t="s">
        <v>8396</v>
      </c>
      <c r="D8293" s="19" t="s">
        <v>29</v>
      </c>
      <c r="E8293" s="21">
        <f t="shared" si="386"/>
        <v>30.100000000000001</v>
      </c>
      <c r="F8293" s="22">
        <v>0</v>
      </c>
      <c r="G8293" s="21">
        <f t="shared" si="387"/>
        <v>29.219999999999999</v>
      </c>
      <c r="H8293" s="22">
        <v>0</v>
      </c>
      <c r="I8293" s="23" t="str">
        <f t="shared" si="388"/>
        <v xml:space="preserve">COM VALOR</v>
      </c>
      <c r="J8293" s="19"/>
      <c r="L8293" s="21">
        <v>30.100000000000001</v>
      </c>
      <c r="M8293" s="22">
        <v>5.0000000000000003e-002</v>
      </c>
      <c r="N8293" s="21">
        <v>29.219999999999999</v>
      </c>
      <c r="O8293" s="22">
        <v>5.0000000000000003e-002</v>
      </c>
    </row>
    <row r="8294" ht="38.25">
      <c r="A8294" t="s">
        <v>8388</v>
      </c>
      <c r="B8294" s="19">
        <v>98682</v>
      </c>
      <c r="C8294" s="20" t="s">
        <v>8397</v>
      </c>
      <c r="D8294" s="19" t="s">
        <v>29</v>
      </c>
      <c r="E8294" s="21">
        <f t="shared" si="386"/>
        <v>38.079999999999998</v>
      </c>
      <c r="F8294" s="22">
        <v>0</v>
      </c>
      <c r="G8294" s="21">
        <f t="shared" si="387"/>
        <v>37.039999999999999</v>
      </c>
      <c r="H8294" s="22">
        <v>0</v>
      </c>
      <c r="I8294" s="23" t="str">
        <f t="shared" si="388"/>
        <v xml:space="preserve">COM VALOR</v>
      </c>
      <c r="J8294" s="19"/>
      <c r="L8294" s="21">
        <v>38.079999999999998</v>
      </c>
      <c r="M8294" s="22">
        <v>4.0000000000000001e-002</v>
      </c>
      <c r="N8294" s="21">
        <v>37.039999999999999</v>
      </c>
      <c r="O8294" s="22">
        <v>4.0000000000000001e-002</v>
      </c>
    </row>
    <row r="8295" ht="38.25">
      <c r="A8295" t="s">
        <v>8388</v>
      </c>
      <c r="B8295" s="19">
        <v>101750</v>
      </c>
      <c r="C8295" s="20" t="s">
        <v>8398</v>
      </c>
      <c r="D8295" s="19" t="s">
        <v>29</v>
      </c>
      <c r="E8295" s="21">
        <f t="shared" si="386"/>
        <v>44.600000000000001</v>
      </c>
      <c r="F8295" s="22">
        <v>0</v>
      </c>
      <c r="G8295" s="21">
        <f t="shared" si="387"/>
        <v>43.450000000000003</v>
      </c>
      <c r="H8295" s="22">
        <v>0</v>
      </c>
      <c r="I8295" s="23" t="str">
        <f t="shared" si="388"/>
        <v xml:space="preserve">COM VALOR</v>
      </c>
      <c r="J8295" s="19"/>
      <c r="L8295" s="21">
        <v>44.600000000000001</v>
      </c>
      <c r="M8295" s="22">
        <v>2.9999999999999999e-002</v>
      </c>
      <c r="N8295" s="21">
        <v>43.450000000000003</v>
      </c>
      <c r="O8295" s="22">
        <v>2.9999999999999999e-002</v>
      </c>
    </row>
    <row r="8296" ht="51">
      <c r="A8296" t="s">
        <v>8388</v>
      </c>
      <c r="B8296" s="19">
        <v>106787</v>
      </c>
      <c r="C8296" s="20" t="s">
        <v>8399</v>
      </c>
      <c r="D8296" s="19" t="s">
        <v>29</v>
      </c>
      <c r="E8296" s="21" t="str">
        <f t="shared" si="386"/>
        <v>VERIFICAR</v>
      </c>
      <c r="F8296" s="22">
        <v>0</v>
      </c>
      <c r="G8296" s="21" t="str">
        <f t="shared" si="387"/>
        <v>VERIFICAR</v>
      </c>
      <c r="H8296" s="22">
        <v>0</v>
      </c>
      <c r="I8296" s="23" t="str">
        <f t="shared" si="388"/>
        <v xml:space="preserve">COM VALOR</v>
      </c>
      <c r="J8296" s="19"/>
      <c r="L8296" s="21">
        <v>0</v>
      </c>
      <c r="M8296" s="22"/>
      <c r="N8296" s="21">
        <v>0</v>
      </c>
      <c r="O8296" s="22"/>
    </row>
    <row r="8297" ht="25.5">
      <c r="A8297" t="s">
        <v>8388</v>
      </c>
      <c r="B8297" s="19">
        <v>101737</v>
      </c>
      <c r="C8297" s="20" t="s">
        <v>8400</v>
      </c>
      <c r="D8297" s="19" t="s">
        <v>29</v>
      </c>
      <c r="E8297" s="21">
        <f t="shared" si="386"/>
        <v>118.42</v>
      </c>
      <c r="F8297" s="22">
        <v>0</v>
      </c>
      <c r="G8297" s="21">
        <f t="shared" si="387"/>
        <v>117.31</v>
      </c>
      <c r="H8297" s="22">
        <v>0</v>
      </c>
      <c r="I8297" s="23" t="str">
        <f t="shared" si="388"/>
        <v xml:space="preserve">COM VALOR</v>
      </c>
      <c r="J8297" s="19"/>
      <c r="L8297" s="21">
        <v>118.42</v>
      </c>
      <c r="M8297" s="22">
        <v>0</v>
      </c>
      <c r="N8297" s="21">
        <v>117.31</v>
      </c>
      <c r="O8297" s="22">
        <v>0</v>
      </c>
    </row>
    <row r="8298" ht="25.5">
      <c r="A8298" t="s">
        <v>8388</v>
      </c>
      <c r="B8298" s="19">
        <v>101735</v>
      </c>
      <c r="C8298" s="20" t="s">
        <v>8401</v>
      </c>
      <c r="D8298" s="19" t="s">
        <v>29</v>
      </c>
      <c r="E8298" s="21">
        <f t="shared" si="386"/>
        <v>411.10000000000002</v>
      </c>
      <c r="F8298" s="22">
        <v>0</v>
      </c>
      <c r="G8298" s="21">
        <f t="shared" si="387"/>
        <v>409.50999999999999</v>
      </c>
      <c r="H8298" s="22">
        <v>0</v>
      </c>
      <c r="I8298" s="23" t="str">
        <f t="shared" si="388"/>
        <v xml:space="preserve">COM VALOR</v>
      </c>
      <c r="J8298" s="19"/>
      <c r="L8298" s="21">
        <v>411.10000000000002</v>
      </c>
      <c r="M8298" s="22">
        <v>0</v>
      </c>
      <c r="N8298" s="21">
        <v>409.50999999999999</v>
      </c>
      <c r="O8298" s="22">
        <v>0</v>
      </c>
    </row>
    <row r="8299" ht="25.5">
      <c r="A8299" t="s">
        <v>8388</v>
      </c>
      <c r="B8299" s="19">
        <v>101734</v>
      </c>
      <c r="C8299" s="20" t="s">
        <v>8402</v>
      </c>
      <c r="D8299" s="19" t="s">
        <v>29</v>
      </c>
      <c r="E8299" s="21">
        <f t="shared" si="386"/>
        <v>401.68000000000001</v>
      </c>
      <c r="F8299" s="22">
        <v>0</v>
      </c>
      <c r="G8299" s="21">
        <f t="shared" si="387"/>
        <v>400.08999999999997</v>
      </c>
      <c r="H8299" s="22">
        <v>0</v>
      </c>
      <c r="I8299" s="23" t="str">
        <f t="shared" si="388"/>
        <v xml:space="preserve">COM VALOR</v>
      </c>
      <c r="J8299" s="19"/>
      <c r="L8299" s="21">
        <v>401.68000000000001</v>
      </c>
      <c r="M8299" s="22">
        <v>0</v>
      </c>
      <c r="N8299" s="21">
        <v>400.08999999999997</v>
      </c>
      <c r="O8299" s="22">
        <v>0</v>
      </c>
    </row>
    <row r="8300" ht="25.5">
      <c r="A8300" t="s">
        <v>8388</v>
      </c>
      <c r="B8300" s="19">
        <v>101736</v>
      </c>
      <c r="C8300" s="20" t="s">
        <v>8403</v>
      </c>
      <c r="D8300" s="19" t="s">
        <v>29</v>
      </c>
      <c r="E8300" s="21">
        <f t="shared" si="386"/>
        <v>99.790000000000006</v>
      </c>
      <c r="F8300" s="22">
        <v>0</v>
      </c>
      <c r="G8300" s="21">
        <f t="shared" si="387"/>
        <v>98.680000000000007</v>
      </c>
      <c r="H8300" s="22">
        <v>0</v>
      </c>
      <c r="I8300" s="23" t="str">
        <f t="shared" si="388"/>
        <v xml:space="preserve">COM VALOR</v>
      </c>
      <c r="J8300" s="19"/>
      <c r="L8300" s="21">
        <v>99.790000000000006</v>
      </c>
      <c r="M8300" s="22">
        <v>0</v>
      </c>
      <c r="N8300" s="21">
        <v>98.680000000000007</v>
      </c>
      <c r="O8300" s="22">
        <v>0</v>
      </c>
    </row>
    <row r="8301" ht="25.5">
      <c r="A8301" t="s">
        <v>8388</v>
      </c>
      <c r="B8301" s="19">
        <v>101733</v>
      </c>
      <c r="C8301" s="20" t="s">
        <v>8404</v>
      </c>
      <c r="D8301" s="19" t="s">
        <v>29</v>
      </c>
      <c r="E8301" s="21">
        <f t="shared" si="386"/>
        <v>271.83999999999997</v>
      </c>
      <c r="F8301" s="22">
        <v>0</v>
      </c>
      <c r="G8301" s="21">
        <f t="shared" si="387"/>
        <v>270.25</v>
      </c>
      <c r="H8301" s="22">
        <v>0</v>
      </c>
      <c r="I8301" s="23" t="str">
        <f t="shared" si="388"/>
        <v xml:space="preserve">COM VALOR</v>
      </c>
      <c r="J8301" s="19"/>
      <c r="L8301" s="21">
        <v>271.83999999999997</v>
      </c>
      <c r="M8301" s="22">
        <v>0</v>
      </c>
      <c r="N8301" s="21">
        <v>270.25</v>
      </c>
      <c r="O8301" s="22">
        <v>0</v>
      </c>
    </row>
    <row r="8302" ht="25.5">
      <c r="A8302" t="s">
        <v>8388</v>
      </c>
      <c r="B8302" s="19">
        <v>98677</v>
      </c>
      <c r="C8302" s="20" t="s">
        <v>8405</v>
      </c>
      <c r="D8302" s="19" t="s">
        <v>29</v>
      </c>
      <c r="E8302" s="21" t="str">
        <f t="shared" si="386"/>
        <v>VERIFICAR</v>
      </c>
      <c r="F8302" s="22">
        <v>0</v>
      </c>
      <c r="G8302" s="21" t="str">
        <f t="shared" si="387"/>
        <v>VERIFICAR</v>
      </c>
      <c r="H8302" s="22">
        <v>0</v>
      </c>
      <c r="I8302" s="23" t="str">
        <f t="shared" si="388"/>
        <v xml:space="preserve">COM VALOR</v>
      </c>
      <c r="J8302" s="19"/>
      <c r="L8302" s="21">
        <v>0</v>
      </c>
      <c r="M8302" s="22"/>
      <c r="N8302" s="21">
        <v>0</v>
      </c>
      <c r="O8302" s="22"/>
    </row>
    <row r="8303" ht="25.5">
      <c r="A8303" t="s">
        <v>8388</v>
      </c>
      <c r="B8303" s="19">
        <v>98678</v>
      </c>
      <c r="C8303" s="20" t="s">
        <v>8406</v>
      </c>
      <c r="D8303" s="19" t="s">
        <v>29</v>
      </c>
      <c r="E8303" s="21" t="str">
        <f t="shared" si="386"/>
        <v>VERIFICAR</v>
      </c>
      <c r="F8303" s="22">
        <v>0</v>
      </c>
      <c r="G8303" s="21" t="str">
        <f t="shared" si="387"/>
        <v>VERIFICAR</v>
      </c>
      <c r="H8303" s="22">
        <v>0</v>
      </c>
      <c r="I8303" s="23" t="str">
        <f t="shared" si="388"/>
        <v xml:space="preserve">COM VALOR</v>
      </c>
      <c r="J8303" s="19"/>
      <c r="L8303" s="21">
        <v>0</v>
      </c>
      <c r="M8303" s="22"/>
      <c r="N8303" s="21">
        <v>0</v>
      </c>
      <c r="O8303" s="22"/>
    </row>
    <row r="8304" ht="38.25">
      <c r="A8304" t="s">
        <v>8388</v>
      </c>
      <c r="B8304" s="19">
        <v>98676</v>
      </c>
      <c r="C8304" s="20" t="s">
        <v>8407</v>
      </c>
      <c r="D8304" s="19" t="s">
        <v>29</v>
      </c>
      <c r="E8304" s="21" t="str">
        <f t="shared" si="386"/>
        <v>VERIFICAR</v>
      </c>
      <c r="F8304" s="22">
        <v>0</v>
      </c>
      <c r="G8304" s="21" t="str">
        <f t="shared" si="387"/>
        <v>VERIFICAR</v>
      </c>
      <c r="H8304" s="22">
        <v>0</v>
      </c>
      <c r="I8304" s="23" t="str">
        <f t="shared" si="388"/>
        <v xml:space="preserve">COM VALOR</v>
      </c>
      <c r="J8304" s="19"/>
      <c r="L8304" s="21">
        <v>0</v>
      </c>
      <c r="M8304" s="22"/>
      <c r="N8304" s="21">
        <v>0</v>
      </c>
      <c r="O8304" s="22"/>
    </row>
    <row r="8305" ht="25.5">
      <c r="A8305" t="s">
        <v>8388</v>
      </c>
      <c r="B8305" s="19">
        <v>98675</v>
      </c>
      <c r="C8305" s="20" t="s">
        <v>8408</v>
      </c>
      <c r="D8305" s="19" t="s">
        <v>29</v>
      </c>
      <c r="E8305" s="21" t="str">
        <f t="shared" si="386"/>
        <v>VERIFICAR</v>
      </c>
      <c r="F8305" s="22">
        <v>0</v>
      </c>
      <c r="G8305" s="21" t="str">
        <f t="shared" si="387"/>
        <v>VERIFICAR</v>
      </c>
      <c r="H8305" s="22">
        <v>0</v>
      </c>
      <c r="I8305" s="23" t="str">
        <f t="shared" si="388"/>
        <v xml:space="preserve">COM VALOR</v>
      </c>
      <c r="J8305" s="19"/>
      <c r="L8305" s="21">
        <v>0</v>
      </c>
      <c r="M8305" s="22"/>
      <c r="N8305" s="21">
        <v>0</v>
      </c>
      <c r="O8305" s="22"/>
    </row>
    <row r="8306" ht="63.75">
      <c r="A8306" t="s">
        <v>8388</v>
      </c>
      <c r="B8306" s="19">
        <v>104162</v>
      </c>
      <c r="C8306" s="20" t="s">
        <v>8409</v>
      </c>
      <c r="D8306" s="19" t="s">
        <v>29</v>
      </c>
      <c r="E8306" s="21">
        <f t="shared" si="386"/>
        <v>108.95999999999999</v>
      </c>
      <c r="F8306" s="22">
        <v>0</v>
      </c>
      <c r="G8306" s="21">
        <f t="shared" si="387"/>
        <v>106.39</v>
      </c>
      <c r="H8306" s="22">
        <v>0</v>
      </c>
      <c r="I8306" s="23" t="str">
        <f t="shared" si="388"/>
        <v xml:space="preserve">COM VALOR</v>
      </c>
      <c r="J8306" s="19"/>
      <c r="L8306" s="21">
        <v>108.95999999999999</v>
      </c>
      <c r="M8306" s="22">
        <v>2.e-002</v>
      </c>
      <c r="N8306" s="21">
        <v>106.39</v>
      </c>
      <c r="O8306" s="22">
        <v>2.e-002</v>
      </c>
    </row>
    <row r="8307" ht="12.75">
      <c r="A8307" t="s">
        <v>8388</v>
      </c>
      <c r="B8307" s="19">
        <v>98671</v>
      </c>
      <c r="C8307" s="20" t="s">
        <v>8410</v>
      </c>
      <c r="D8307" s="19" t="s">
        <v>29</v>
      </c>
      <c r="E8307" s="21">
        <f t="shared" si="386"/>
        <v>463.31999999999999</v>
      </c>
      <c r="F8307" s="22">
        <v>0</v>
      </c>
      <c r="G8307" s="21">
        <f t="shared" si="387"/>
        <v>461.06</v>
      </c>
      <c r="H8307" s="22">
        <v>0</v>
      </c>
      <c r="I8307" s="23" t="str">
        <f t="shared" si="388"/>
        <v xml:space="preserve">COM VALOR</v>
      </c>
      <c r="J8307" s="19"/>
      <c r="L8307" s="21">
        <v>463.31999999999999</v>
      </c>
      <c r="M8307" s="22">
        <v>0</v>
      </c>
      <c r="N8307" s="21">
        <v>461.06</v>
      </c>
      <c r="O8307" s="22">
        <v>0</v>
      </c>
    </row>
    <row r="8308" ht="25.5">
      <c r="A8308" t="s">
        <v>8388</v>
      </c>
      <c r="B8308" s="19">
        <v>101726</v>
      </c>
      <c r="C8308" s="20" t="s">
        <v>8411</v>
      </c>
      <c r="D8308" s="19" t="s">
        <v>29</v>
      </c>
      <c r="E8308" s="21">
        <f t="shared" si="386"/>
        <v>224.91999999999999</v>
      </c>
      <c r="F8308" s="22">
        <v>0</v>
      </c>
      <c r="G8308" s="21">
        <f t="shared" si="387"/>
        <v>220.33000000000001</v>
      </c>
      <c r="H8308" s="22">
        <v>0</v>
      </c>
      <c r="I8308" s="23" t="str">
        <f t="shared" si="388"/>
        <v xml:space="preserve">COM VALOR</v>
      </c>
      <c r="J8308" s="19"/>
      <c r="L8308" s="21">
        <v>224.91999999999999</v>
      </c>
      <c r="M8308" s="22">
        <v>0</v>
      </c>
      <c r="N8308" s="21">
        <v>220.33000000000001</v>
      </c>
      <c r="O8308" s="22">
        <v>0</v>
      </c>
    </row>
    <row r="8309" ht="25.5">
      <c r="A8309" t="s">
        <v>8388</v>
      </c>
      <c r="B8309" s="19">
        <v>101725</v>
      </c>
      <c r="C8309" s="20" t="s">
        <v>8412</v>
      </c>
      <c r="D8309" s="19" t="s">
        <v>29</v>
      </c>
      <c r="E8309" s="21">
        <f t="shared" si="386"/>
        <v>297.70999999999998</v>
      </c>
      <c r="F8309" s="22">
        <v>0</v>
      </c>
      <c r="G8309" s="21">
        <f t="shared" si="387"/>
        <v>289.05000000000001</v>
      </c>
      <c r="H8309" s="22">
        <v>0</v>
      </c>
      <c r="I8309" s="23" t="str">
        <f t="shared" si="388"/>
        <v xml:space="preserve">COM VALOR</v>
      </c>
      <c r="J8309" s="19"/>
      <c r="L8309" s="21">
        <v>297.70999999999998</v>
      </c>
      <c r="M8309" s="22">
        <v>0</v>
      </c>
      <c r="N8309" s="21">
        <v>289.05000000000001</v>
      </c>
      <c r="O8309" s="22">
        <v>0</v>
      </c>
    </row>
    <row r="8310" ht="12.75">
      <c r="A8310" t="s">
        <v>8388</v>
      </c>
      <c r="B8310" s="19">
        <v>98672</v>
      </c>
      <c r="C8310" s="20" t="s">
        <v>8413</v>
      </c>
      <c r="D8310" s="19" t="s">
        <v>29</v>
      </c>
      <c r="E8310" s="21">
        <f t="shared" si="386"/>
        <v>689.97000000000003</v>
      </c>
      <c r="F8310" s="22">
        <v>0</v>
      </c>
      <c r="G8310" s="21">
        <f t="shared" si="387"/>
        <v>687.71000000000004</v>
      </c>
      <c r="H8310" s="22">
        <v>0</v>
      </c>
      <c r="I8310" s="23" t="str">
        <f t="shared" si="388"/>
        <v xml:space="preserve">COM VALOR</v>
      </c>
      <c r="J8310" s="19"/>
      <c r="L8310" s="21">
        <v>689.97000000000003</v>
      </c>
      <c r="M8310" s="22">
        <v>0</v>
      </c>
      <c r="N8310" s="21">
        <v>687.71000000000004</v>
      </c>
      <c r="O8310" s="22">
        <v>0</v>
      </c>
    </row>
    <row r="8311" ht="25.5">
      <c r="A8311" t="s">
        <v>8388</v>
      </c>
      <c r="B8311" s="19">
        <v>101732</v>
      </c>
      <c r="C8311" s="20" t="s">
        <v>8414</v>
      </c>
      <c r="D8311" s="19" t="s">
        <v>29</v>
      </c>
      <c r="E8311" s="21">
        <f t="shared" si="386"/>
        <v>125.33</v>
      </c>
      <c r="F8311" s="22">
        <v>0</v>
      </c>
      <c r="G8311" s="21">
        <f t="shared" si="387"/>
        <v>123.22</v>
      </c>
      <c r="H8311" s="22">
        <v>0</v>
      </c>
      <c r="I8311" s="23" t="str">
        <f t="shared" si="388"/>
        <v xml:space="preserve">COM VALOR</v>
      </c>
      <c r="J8311" s="19"/>
      <c r="L8311" s="21">
        <v>125.33</v>
      </c>
      <c r="M8311" s="22">
        <v>0.39000000000000001</v>
      </c>
      <c r="N8311" s="21">
        <v>123.22</v>
      </c>
      <c r="O8311" s="22">
        <v>0.40000000000000002</v>
      </c>
    </row>
    <row r="8312" ht="12.75">
      <c r="A8312" t="s">
        <v>8388</v>
      </c>
      <c r="B8312" s="19">
        <v>106793</v>
      </c>
      <c r="C8312" s="20" t="s">
        <v>8415</v>
      </c>
      <c r="D8312" s="19" t="s">
        <v>29</v>
      </c>
      <c r="E8312" s="21" t="str">
        <f t="shared" si="386"/>
        <v>VERIFICAR</v>
      </c>
      <c r="F8312" s="22">
        <v>0</v>
      </c>
      <c r="G8312" s="21" t="str">
        <f t="shared" si="387"/>
        <v>VERIFICAR</v>
      </c>
      <c r="H8312" s="22">
        <v>0</v>
      </c>
      <c r="I8312" s="23" t="str">
        <f t="shared" si="388"/>
        <v xml:space="preserve">COM VALOR</v>
      </c>
      <c r="J8312" s="19"/>
      <c r="L8312" s="21">
        <v>0</v>
      </c>
      <c r="M8312" s="22"/>
      <c r="N8312" s="21">
        <v>0</v>
      </c>
      <c r="O8312" s="22"/>
    </row>
    <row r="8313" ht="25.5">
      <c r="A8313" t="s">
        <v>8388</v>
      </c>
      <c r="B8313" s="19">
        <v>101731</v>
      </c>
      <c r="C8313" s="20" t="s">
        <v>8416</v>
      </c>
      <c r="D8313" s="19" t="s">
        <v>29</v>
      </c>
      <c r="E8313" s="21">
        <f t="shared" si="386"/>
        <v>381.51999999999998</v>
      </c>
      <c r="F8313" s="22">
        <v>0</v>
      </c>
      <c r="G8313" s="21">
        <f t="shared" si="387"/>
        <v>377.73000000000002</v>
      </c>
      <c r="H8313" s="22">
        <v>0</v>
      </c>
      <c r="I8313" s="23" t="str">
        <f t="shared" si="388"/>
        <v xml:space="preserve">COM VALOR</v>
      </c>
      <c r="J8313" s="19"/>
      <c r="L8313" s="21">
        <v>381.51999999999998</v>
      </c>
      <c r="M8313" s="22">
        <v>0.71999999999999997</v>
      </c>
      <c r="N8313" s="21">
        <v>377.73000000000002</v>
      </c>
      <c r="O8313" s="22">
        <v>0.72999999999999998</v>
      </c>
    </row>
    <row r="8314" ht="25.5">
      <c r="A8314" t="s">
        <v>8388</v>
      </c>
      <c r="B8314" s="19">
        <v>101751</v>
      </c>
      <c r="C8314" s="20" t="s">
        <v>8417</v>
      </c>
      <c r="D8314" s="19" t="s">
        <v>29</v>
      </c>
      <c r="E8314" s="21">
        <f t="shared" si="386"/>
        <v>382.81</v>
      </c>
      <c r="F8314" s="22">
        <v>0</v>
      </c>
      <c r="G8314" s="21">
        <f t="shared" si="387"/>
        <v>381.33999999999997</v>
      </c>
      <c r="H8314" s="22">
        <v>0</v>
      </c>
      <c r="I8314" s="23" t="str">
        <f t="shared" si="388"/>
        <v xml:space="preserve">COM VALOR</v>
      </c>
      <c r="J8314" s="19"/>
      <c r="L8314" s="21">
        <v>382.81</v>
      </c>
      <c r="M8314" s="22">
        <v>0.80000000000000004</v>
      </c>
      <c r="N8314" s="21">
        <v>381.33999999999997</v>
      </c>
      <c r="O8314" s="22">
        <v>0.80000000000000004</v>
      </c>
    </row>
    <row r="8315" ht="25.5">
      <c r="A8315" t="s">
        <v>8388</v>
      </c>
      <c r="B8315" s="19">
        <v>101729</v>
      </c>
      <c r="C8315" s="20" t="s">
        <v>8418</v>
      </c>
      <c r="D8315" s="19" t="s">
        <v>29</v>
      </c>
      <c r="E8315" s="21">
        <f t="shared" si="386"/>
        <v>380.23000000000002</v>
      </c>
      <c r="F8315" s="22">
        <v>0</v>
      </c>
      <c r="G8315" s="21">
        <f t="shared" si="387"/>
        <v>378.91000000000003</v>
      </c>
      <c r="H8315" s="22">
        <v>0</v>
      </c>
      <c r="I8315" s="23" t="str">
        <f t="shared" si="388"/>
        <v xml:space="preserve">COM VALOR</v>
      </c>
      <c r="J8315" s="19"/>
      <c r="L8315" s="21">
        <v>380.23000000000002</v>
      </c>
      <c r="M8315" s="22">
        <v>0.80000000000000004</v>
      </c>
      <c r="N8315" s="21">
        <v>378.91000000000003</v>
      </c>
      <c r="O8315" s="22">
        <v>0.80000000000000004</v>
      </c>
    </row>
    <row r="8316" ht="12.75">
      <c r="A8316" t="s">
        <v>8388</v>
      </c>
      <c r="B8316" s="19">
        <v>98683</v>
      </c>
      <c r="C8316" s="20" t="s">
        <v>8419</v>
      </c>
      <c r="D8316" s="19" t="s">
        <v>29</v>
      </c>
      <c r="E8316" s="21" t="str">
        <f t="shared" si="386"/>
        <v>VERIFICAR</v>
      </c>
      <c r="F8316" s="22">
        <v>0</v>
      </c>
      <c r="G8316" s="21" t="str">
        <f t="shared" si="387"/>
        <v>VERIFICAR</v>
      </c>
      <c r="H8316" s="22">
        <v>0</v>
      </c>
      <c r="I8316" s="23" t="str">
        <f t="shared" si="388"/>
        <v xml:space="preserve">COM VALOR</v>
      </c>
      <c r="J8316" s="19"/>
      <c r="L8316" s="21">
        <v>0</v>
      </c>
      <c r="M8316" s="22"/>
      <c r="N8316" s="21">
        <v>0</v>
      </c>
      <c r="O8316" s="22"/>
    </row>
    <row r="8317" ht="25.5">
      <c r="A8317" t="s">
        <v>8388</v>
      </c>
      <c r="B8317" s="19">
        <v>106785</v>
      </c>
      <c r="C8317" s="20" t="s">
        <v>8420</v>
      </c>
      <c r="D8317" s="19" t="s">
        <v>38</v>
      </c>
      <c r="E8317" s="21" t="str">
        <f t="shared" si="386"/>
        <v>VERIFICAR</v>
      </c>
      <c r="F8317" s="22">
        <v>0</v>
      </c>
      <c r="G8317" s="21" t="str">
        <f t="shared" si="387"/>
        <v>VERIFICAR</v>
      </c>
      <c r="H8317" s="22">
        <v>0</v>
      </c>
      <c r="I8317" s="23" t="str">
        <f t="shared" si="388"/>
        <v xml:space="preserve">COM VALOR</v>
      </c>
      <c r="J8317" s="19"/>
      <c r="L8317" s="21">
        <v>0</v>
      </c>
      <c r="M8317" s="22"/>
      <c r="N8317" s="21">
        <v>0</v>
      </c>
      <c r="O8317" s="22"/>
    </row>
    <row r="8318" ht="25.5">
      <c r="A8318" t="s">
        <v>8388</v>
      </c>
      <c r="B8318" s="19">
        <v>101094</v>
      </c>
      <c r="C8318" s="20" t="s">
        <v>8421</v>
      </c>
      <c r="D8318" s="19" t="s">
        <v>38</v>
      </c>
      <c r="E8318" s="21">
        <f t="shared" si="386"/>
        <v>187.58000000000001</v>
      </c>
      <c r="F8318" s="22">
        <v>0</v>
      </c>
      <c r="G8318" s="21">
        <f t="shared" si="387"/>
        <v>185.03</v>
      </c>
      <c r="H8318" s="22">
        <v>0</v>
      </c>
      <c r="I8318" s="23" t="str">
        <f t="shared" si="388"/>
        <v xml:space="preserve">COM VALOR</v>
      </c>
      <c r="J8318" s="19"/>
      <c r="L8318" s="21">
        <v>187.58000000000001</v>
      </c>
      <c r="M8318" s="22">
        <v>0</v>
      </c>
      <c r="N8318" s="21">
        <v>185.03</v>
      </c>
      <c r="O8318" s="22">
        <v>0</v>
      </c>
    </row>
    <row r="8319" ht="25.5">
      <c r="A8319" t="s">
        <v>8388</v>
      </c>
      <c r="B8319" s="19">
        <v>101095</v>
      </c>
      <c r="C8319" s="20" t="s">
        <v>8422</v>
      </c>
      <c r="D8319" s="19" t="s">
        <v>38</v>
      </c>
      <c r="E8319" s="21" t="str">
        <f t="shared" si="386"/>
        <v>VERIFICAR</v>
      </c>
      <c r="F8319" s="22">
        <v>0</v>
      </c>
      <c r="G8319" s="21" t="str">
        <f t="shared" si="387"/>
        <v>VERIFICAR</v>
      </c>
      <c r="H8319" s="22">
        <v>0</v>
      </c>
      <c r="I8319" s="23" t="str">
        <f t="shared" si="388"/>
        <v xml:space="preserve">COM VALOR</v>
      </c>
      <c r="J8319" s="19"/>
      <c r="L8319" s="21">
        <v>0</v>
      </c>
      <c r="M8319" s="22"/>
      <c r="N8319" s="21">
        <v>0</v>
      </c>
      <c r="O8319" s="22"/>
    </row>
    <row r="8320" ht="25.5">
      <c r="A8320" t="s">
        <v>8388</v>
      </c>
      <c r="B8320" s="19">
        <v>106786</v>
      </c>
      <c r="C8320" s="20" t="s">
        <v>8423</v>
      </c>
      <c r="D8320" s="19" t="s">
        <v>38</v>
      </c>
      <c r="E8320" s="21" t="str">
        <f t="shared" si="386"/>
        <v>VERIFICAR</v>
      </c>
      <c r="F8320" s="22">
        <v>0</v>
      </c>
      <c r="G8320" s="21" t="str">
        <f t="shared" si="387"/>
        <v>VERIFICAR</v>
      </c>
      <c r="H8320" s="22">
        <v>0</v>
      </c>
      <c r="I8320" s="23" t="str">
        <f t="shared" si="388"/>
        <v xml:space="preserve">COM VALOR</v>
      </c>
      <c r="J8320" s="19"/>
      <c r="L8320" s="21">
        <v>0</v>
      </c>
      <c r="M8320" s="22"/>
      <c r="N8320" s="21">
        <v>0</v>
      </c>
      <c r="O8320" s="22"/>
    </row>
    <row r="8321" ht="12.75">
      <c r="A8321" t="s">
        <v>8388</v>
      </c>
      <c r="B8321" s="19">
        <v>106783</v>
      </c>
      <c r="C8321" s="20" t="s">
        <v>8424</v>
      </c>
      <c r="D8321" s="19" t="s">
        <v>29</v>
      </c>
      <c r="E8321" s="21" t="str">
        <f t="shared" si="386"/>
        <v>VERIFICAR</v>
      </c>
      <c r="F8321" s="22">
        <v>0</v>
      </c>
      <c r="G8321" s="21" t="str">
        <f t="shared" si="387"/>
        <v>VERIFICAR</v>
      </c>
      <c r="H8321" s="22">
        <v>0</v>
      </c>
      <c r="I8321" s="23" t="str">
        <f t="shared" si="388"/>
        <v xml:space="preserve">COM VALOR</v>
      </c>
      <c r="J8321" s="19"/>
      <c r="L8321" s="21">
        <v>0</v>
      </c>
      <c r="M8321" s="22"/>
      <c r="N8321" s="21">
        <v>0</v>
      </c>
      <c r="O8321" s="22"/>
    </row>
    <row r="8322" ht="12.75">
      <c r="A8322" t="s">
        <v>8388</v>
      </c>
      <c r="B8322" s="19">
        <v>106784</v>
      </c>
      <c r="C8322" s="20" t="s">
        <v>8425</v>
      </c>
      <c r="D8322" s="19" t="s">
        <v>29</v>
      </c>
      <c r="E8322" s="21" t="str">
        <f t="shared" si="386"/>
        <v>VERIFICAR</v>
      </c>
      <c r="F8322" s="22"/>
      <c r="G8322" s="21" t="str">
        <f t="shared" si="387"/>
        <v>VERIFICAR</v>
      </c>
      <c r="H8322" s="22"/>
      <c r="I8322" s="23" t="str">
        <f t="shared" si="388"/>
        <v xml:space="preserve">COM VALOR</v>
      </c>
      <c r="J8322" s="19"/>
      <c r="L8322" s="21">
        <v>0</v>
      </c>
      <c r="M8322" s="22"/>
      <c r="N8322" s="21">
        <v>0</v>
      </c>
      <c r="O8322" s="22"/>
    </row>
    <row r="8323" ht="12.75">
      <c r="A8323" t="s">
        <v>8388</v>
      </c>
      <c r="B8323" s="19">
        <v>106782</v>
      </c>
      <c r="C8323" s="20" t="s">
        <v>8426</v>
      </c>
      <c r="D8323" s="19" t="s">
        <v>29</v>
      </c>
      <c r="E8323" s="21" t="str">
        <f t="shared" si="386"/>
        <v>VERIFICAR</v>
      </c>
      <c r="F8323" s="22"/>
      <c r="G8323" s="21" t="str">
        <f t="shared" si="387"/>
        <v>VERIFICAR</v>
      </c>
      <c r="H8323" s="22"/>
      <c r="I8323" s="23" t="str">
        <f t="shared" si="388"/>
        <v xml:space="preserve">COM VALOR</v>
      </c>
      <c r="J8323" s="19"/>
      <c r="L8323" s="21">
        <v>0</v>
      </c>
      <c r="M8323" s="22"/>
      <c r="N8323" s="21">
        <v>0</v>
      </c>
      <c r="O8323" s="22"/>
    </row>
    <row r="8324" ht="25.5">
      <c r="A8324" t="s">
        <v>8388</v>
      </c>
      <c r="B8324" s="19">
        <v>101728</v>
      </c>
      <c r="C8324" s="20" t="s">
        <v>8427</v>
      </c>
      <c r="D8324" s="19" t="s">
        <v>29</v>
      </c>
      <c r="E8324" s="21" t="str">
        <f t="shared" si="386"/>
        <v>VERIFICAR</v>
      </c>
      <c r="F8324" s="22"/>
      <c r="G8324" s="21" t="str">
        <f t="shared" si="387"/>
        <v>VERIFICAR</v>
      </c>
      <c r="H8324" s="22"/>
      <c r="I8324" s="23" t="str">
        <f t="shared" si="388"/>
        <v xml:space="preserve">COM VALOR</v>
      </c>
      <c r="J8324" s="19"/>
      <c r="L8324" s="21">
        <v>0</v>
      </c>
      <c r="M8324" s="22"/>
      <c r="N8324" s="21">
        <v>0</v>
      </c>
      <c r="O8324" s="22"/>
    </row>
    <row r="8325" ht="25.5">
      <c r="A8325" t="s">
        <v>8388</v>
      </c>
      <c r="B8325" s="19">
        <v>101727</v>
      </c>
      <c r="C8325" s="20" t="s">
        <v>8428</v>
      </c>
      <c r="D8325" s="19" t="s">
        <v>29</v>
      </c>
      <c r="E8325" s="21">
        <f t="shared" si="386"/>
        <v>182.47</v>
      </c>
      <c r="F8325" s="22"/>
      <c r="G8325" s="21">
        <f t="shared" si="387"/>
        <v>182.19</v>
      </c>
      <c r="H8325" s="22"/>
      <c r="I8325" s="23" t="str">
        <f t="shared" si="388"/>
        <v xml:space="preserve">COM VALOR</v>
      </c>
      <c r="J8325" s="19"/>
      <c r="L8325" s="21">
        <v>182.47</v>
      </c>
      <c r="M8325" s="22">
        <v>0</v>
      </c>
      <c r="N8325" s="21">
        <v>182.19</v>
      </c>
      <c r="O8325" s="22">
        <v>0</v>
      </c>
    </row>
    <row r="8326" ht="25.5">
      <c r="A8326" t="s">
        <v>8388</v>
      </c>
      <c r="B8326" s="19">
        <v>106790</v>
      </c>
      <c r="C8326" s="20" t="s">
        <v>8429</v>
      </c>
      <c r="D8326" s="19" t="s">
        <v>29</v>
      </c>
      <c r="E8326" s="21">
        <f t="shared" si="386"/>
        <v>195.88999999999999</v>
      </c>
      <c r="F8326" s="22"/>
      <c r="G8326" s="21">
        <f t="shared" si="387"/>
        <v>195.25999999999999</v>
      </c>
      <c r="H8326" s="22"/>
      <c r="I8326" s="23" t="str">
        <f t="shared" si="388"/>
        <v xml:space="preserve">COM VALOR</v>
      </c>
      <c r="J8326" s="19"/>
      <c r="L8326" s="21">
        <v>195.88999999999999</v>
      </c>
      <c r="M8326" s="22">
        <v>0</v>
      </c>
      <c r="N8326" s="21">
        <v>195.25999999999999</v>
      </c>
      <c r="O8326" s="22">
        <v>0</v>
      </c>
    </row>
    <row r="8327" ht="12.75">
      <c r="A8327" t="s">
        <v>8388</v>
      </c>
      <c r="B8327" s="19">
        <v>106792</v>
      </c>
      <c r="C8327" s="20" t="s">
        <v>8430</v>
      </c>
      <c r="D8327" s="19" t="s">
        <v>29</v>
      </c>
      <c r="E8327" s="21">
        <f t="shared" si="386"/>
        <v>3.6499999999999999</v>
      </c>
      <c r="F8327" s="22"/>
      <c r="G8327" s="21">
        <f t="shared" si="387"/>
        <v>3.52</v>
      </c>
      <c r="H8327" s="22"/>
      <c r="I8327" s="23" t="str">
        <f t="shared" si="388"/>
        <v xml:space="preserve">COM VALOR</v>
      </c>
      <c r="J8327" s="19"/>
      <c r="L8327" s="21">
        <v>3.6499999999999999</v>
      </c>
      <c r="M8327" s="22">
        <v>0</v>
      </c>
      <c r="N8327" s="21">
        <v>3.52</v>
      </c>
      <c r="O8327" s="22">
        <v>0</v>
      </c>
    </row>
    <row r="8328" ht="12.75">
      <c r="A8328" t="s">
        <v>8388</v>
      </c>
      <c r="B8328" s="19">
        <v>101748</v>
      </c>
      <c r="C8328" s="20" t="s">
        <v>8431</v>
      </c>
      <c r="D8328" s="19" t="s">
        <v>29</v>
      </c>
      <c r="E8328" s="21">
        <f t="shared" si="386"/>
        <v>3.6200000000000001</v>
      </c>
      <c r="F8328" s="22"/>
      <c r="G8328" s="21">
        <f t="shared" si="387"/>
        <v>3.4300000000000002</v>
      </c>
      <c r="H8328" s="22"/>
      <c r="I8328" s="23" t="str">
        <f t="shared" si="388"/>
        <v xml:space="preserve">COM VALOR</v>
      </c>
      <c r="J8328" s="19"/>
      <c r="L8328" s="21">
        <v>3.6200000000000001</v>
      </c>
      <c r="M8328" s="22">
        <v>2.e-002</v>
      </c>
      <c r="N8328" s="21">
        <v>3.4300000000000002</v>
      </c>
      <c r="O8328" s="22">
        <v>2.e-002</v>
      </c>
    </row>
    <row r="8329" ht="12.75">
      <c r="A8329" t="s">
        <v>8388</v>
      </c>
      <c r="B8329" s="19">
        <v>106791</v>
      </c>
      <c r="C8329" s="20" t="s">
        <v>8432</v>
      </c>
      <c r="D8329" s="19" t="s">
        <v>29</v>
      </c>
      <c r="E8329" s="21">
        <f t="shared" si="386"/>
        <v>436.24000000000001</v>
      </c>
      <c r="F8329" s="22"/>
      <c r="G8329" s="21">
        <f t="shared" si="387"/>
        <v>433.51999999999998</v>
      </c>
      <c r="H8329" s="22"/>
      <c r="I8329" s="23" t="str">
        <f t="shared" si="388"/>
        <v xml:space="preserve">COM VALOR</v>
      </c>
      <c r="J8329" s="19"/>
      <c r="L8329" s="21">
        <v>436.24000000000001</v>
      </c>
      <c r="M8329" s="22">
        <v>0</v>
      </c>
      <c r="N8329" s="21">
        <v>433.51999999999998</v>
      </c>
      <c r="O8329" s="22">
        <v>0</v>
      </c>
    </row>
    <row r="8330" ht="25.5">
      <c r="A8330" t="s">
        <v>8388</v>
      </c>
      <c r="B8330" s="19">
        <v>101742</v>
      </c>
      <c r="C8330" s="20" t="s">
        <v>8433</v>
      </c>
      <c r="D8330" s="19" t="s">
        <v>38</v>
      </c>
      <c r="E8330" s="21">
        <f t="shared" si="386"/>
        <v>52.659999999999997</v>
      </c>
      <c r="F8330" s="22"/>
      <c r="G8330" s="21">
        <f t="shared" si="387"/>
        <v>51.609999999999999</v>
      </c>
      <c r="H8330" s="22"/>
      <c r="I8330" s="23" t="str">
        <f t="shared" si="388"/>
        <v xml:space="preserve">COM VALOR</v>
      </c>
      <c r="J8330" s="19"/>
      <c r="L8330" s="21">
        <v>52.659999999999997</v>
      </c>
      <c r="M8330" s="22">
        <v>0</v>
      </c>
      <c r="N8330" s="21">
        <v>51.609999999999999</v>
      </c>
      <c r="O8330" s="22">
        <v>0</v>
      </c>
    </row>
    <row r="8331" ht="12.75">
      <c r="A8331" t="s">
        <v>8388</v>
      </c>
      <c r="B8331" s="19">
        <v>101740</v>
      </c>
      <c r="C8331" s="20" t="s">
        <v>8434</v>
      </c>
      <c r="D8331" s="19" t="s">
        <v>38</v>
      </c>
      <c r="E8331" s="21">
        <f t="shared" ref="E8331:E8394" si="389">IF(L8331=0,"VERIFICAR",L8331)</f>
        <v>54.659999999999997</v>
      </c>
      <c r="F8331" s="22"/>
      <c r="G8331" s="21">
        <f t="shared" ref="G8331:G8394" si="390">IF(N8331=0,"VERIFICAR",N8331)</f>
        <v>52.859999999999999</v>
      </c>
      <c r="H8331" s="22"/>
      <c r="I8331" s="23" t="str">
        <f t="shared" ref="I8331:I8394" si="391">IF(OR(E8331=0,G8331=0),"SEM VALOR","COM VALOR")</f>
        <v xml:space="preserve">COM VALOR</v>
      </c>
      <c r="J8331" s="19"/>
      <c r="L8331" s="21">
        <v>54.659999999999997</v>
      </c>
      <c r="M8331" s="22">
        <v>0.33000000000000002</v>
      </c>
      <c r="N8331" s="21">
        <v>52.859999999999999</v>
      </c>
      <c r="O8331" s="22">
        <v>0.34000000000000002</v>
      </c>
    </row>
    <row r="8332" ht="12.75">
      <c r="A8332" t="s">
        <v>8388</v>
      </c>
      <c r="B8332" s="19">
        <v>98685</v>
      </c>
      <c r="C8332" s="20" t="s">
        <v>8435</v>
      </c>
      <c r="D8332" s="19" t="s">
        <v>38</v>
      </c>
      <c r="E8332" s="21">
        <f t="shared" si="389"/>
        <v>89.040000000000006</v>
      </c>
      <c r="F8332" s="22"/>
      <c r="G8332" s="21">
        <f t="shared" si="390"/>
        <v>88.150000000000006</v>
      </c>
      <c r="H8332" s="22"/>
      <c r="I8332" s="23" t="str">
        <f t="shared" si="391"/>
        <v xml:space="preserve">COM VALOR</v>
      </c>
      <c r="J8332" s="19"/>
      <c r="L8332" s="21">
        <v>89.040000000000006</v>
      </c>
      <c r="M8332" s="22">
        <v>0</v>
      </c>
      <c r="N8332" s="21">
        <v>88.150000000000006</v>
      </c>
      <c r="O8332" s="22">
        <v>0</v>
      </c>
    </row>
    <row r="8333" ht="12.75">
      <c r="A8333" t="s">
        <v>8388</v>
      </c>
      <c r="B8333" s="19">
        <v>98686</v>
      </c>
      <c r="C8333" s="20" t="s">
        <v>8436</v>
      </c>
      <c r="D8333" s="19" t="s">
        <v>38</v>
      </c>
      <c r="E8333" s="21">
        <f t="shared" si="389"/>
        <v>57.530000000000001</v>
      </c>
      <c r="F8333" s="22"/>
      <c r="G8333" s="21">
        <f t="shared" si="390"/>
        <v>55.200000000000003</v>
      </c>
      <c r="H8333" s="22"/>
      <c r="I8333" s="23" t="str">
        <f t="shared" si="391"/>
        <v xml:space="preserve">COM VALOR</v>
      </c>
      <c r="J8333" s="19"/>
      <c r="L8333" s="21">
        <v>57.530000000000001</v>
      </c>
      <c r="M8333" s="22">
        <v>0</v>
      </c>
      <c r="N8333" s="21">
        <v>55.200000000000003</v>
      </c>
      <c r="O8333" s="22">
        <v>0</v>
      </c>
    </row>
    <row r="8334" ht="25.5">
      <c r="A8334" t="s">
        <v>8388</v>
      </c>
      <c r="B8334" s="19">
        <v>101738</v>
      </c>
      <c r="C8334" s="20" t="s">
        <v>8437</v>
      </c>
      <c r="D8334" s="19" t="s">
        <v>38</v>
      </c>
      <c r="E8334" s="21">
        <f t="shared" si="389"/>
        <v>43.409999999999997</v>
      </c>
      <c r="F8334" s="22"/>
      <c r="G8334" s="21">
        <f t="shared" si="390"/>
        <v>43.259999999999998</v>
      </c>
      <c r="H8334" s="22"/>
      <c r="I8334" s="23" t="str">
        <f t="shared" si="391"/>
        <v xml:space="preserve">COM VALOR</v>
      </c>
      <c r="J8334" s="19"/>
      <c r="L8334" s="21">
        <v>43.409999999999997</v>
      </c>
      <c r="M8334" s="22">
        <v>0.85999999999999999</v>
      </c>
      <c r="N8334" s="21">
        <v>43.259999999999998</v>
      </c>
      <c r="O8334" s="22">
        <v>0.85999999999999999</v>
      </c>
    </row>
    <row r="8335" ht="25.5">
      <c r="A8335" t="s">
        <v>8388</v>
      </c>
      <c r="B8335" s="19">
        <v>101739</v>
      </c>
      <c r="C8335" s="20" t="s">
        <v>8438</v>
      </c>
      <c r="D8335" s="19" t="s">
        <v>38</v>
      </c>
      <c r="E8335" s="21">
        <f t="shared" si="389"/>
        <v>56.229999999999997</v>
      </c>
      <c r="F8335" s="22"/>
      <c r="G8335" s="21">
        <f t="shared" si="390"/>
        <v>55.229999999999997</v>
      </c>
      <c r="H8335" s="22"/>
      <c r="I8335" s="23" t="str">
        <f t="shared" si="391"/>
        <v xml:space="preserve">COM VALOR</v>
      </c>
      <c r="J8335" s="19"/>
      <c r="L8335" s="21">
        <v>56.229999999999997</v>
      </c>
      <c r="M8335" s="22">
        <v>0.66000000000000003</v>
      </c>
      <c r="N8335" s="21">
        <v>55.229999999999997</v>
      </c>
      <c r="O8335" s="22">
        <v>0.67000000000000004</v>
      </c>
    </row>
    <row r="8336" ht="12.75">
      <c r="A8336" t="s">
        <v>8388</v>
      </c>
      <c r="B8336" s="19">
        <v>101741</v>
      </c>
      <c r="C8336" s="20" t="s">
        <v>8439</v>
      </c>
      <c r="D8336" s="19" t="s">
        <v>38</v>
      </c>
      <c r="E8336" s="21">
        <f t="shared" si="389"/>
        <v>46.880000000000003</v>
      </c>
      <c r="F8336" s="22"/>
      <c r="G8336" s="21">
        <f t="shared" si="390"/>
        <v>44.590000000000003</v>
      </c>
      <c r="H8336" s="22"/>
      <c r="I8336" s="23" t="str">
        <f t="shared" si="391"/>
        <v xml:space="preserve">COM VALOR</v>
      </c>
      <c r="J8336" s="19"/>
      <c r="L8336" s="21">
        <v>46.880000000000003</v>
      </c>
      <c r="M8336" s="22">
        <v>0</v>
      </c>
      <c r="N8336" s="21">
        <v>44.590000000000003</v>
      </c>
      <c r="O8336" s="22">
        <v>0</v>
      </c>
    </row>
    <row r="8337" ht="12.75">
      <c r="A8337" t="s">
        <v>8388</v>
      </c>
      <c r="B8337" s="19">
        <v>98697</v>
      </c>
      <c r="C8337" s="20" t="s">
        <v>8440</v>
      </c>
      <c r="D8337" s="19" t="s">
        <v>38</v>
      </c>
      <c r="E8337" s="21">
        <f t="shared" si="389"/>
        <v>84.560000000000002</v>
      </c>
      <c r="F8337" s="22"/>
      <c r="G8337" s="21">
        <f t="shared" si="390"/>
        <v>83.670000000000002</v>
      </c>
      <c r="H8337" s="22"/>
      <c r="I8337" s="23" t="str">
        <f t="shared" si="391"/>
        <v xml:space="preserve">COM VALOR</v>
      </c>
      <c r="J8337" s="19"/>
      <c r="L8337" s="21">
        <v>84.560000000000002</v>
      </c>
      <c r="M8337" s="22">
        <v>0</v>
      </c>
      <c r="N8337" s="21">
        <v>83.670000000000002</v>
      </c>
      <c r="O8337" s="22">
        <v>0</v>
      </c>
    </row>
    <row r="8338" ht="12.75">
      <c r="A8338" t="s">
        <v>8388</v>
      </c>
      <c r="B8338" s="19">
        <v>98688</v>
      </c>
      <c r="C8338" s="20" t="s">
        <v>8441</v>
      </c>
      <c r="D8338" s="19" t="s">
        <v>38</v>
      </c>
      <c r="E8338" s="21">
        <f t="shared" si="389"/>
        <v>60.100000000000001</v>
      </c>
      <c r="F8338" s="22"/>
      <c r="G8338" s="21">
        <f t="shared" si="390"/>
        <v>59.950000000000003</v>
      </c>
      <c r="H8338" s="22"/>
      <c r="I8338" s="23" t="str">
        <f t="shared" si="391"/>
        <v xml:space="preserve">COM VALOR</v>
      </c>
      <c r="J8338" s="19"/>
      <c r="L8338" s="21">
        <v>60.100000000000001</v>
      </c>
      <c r="M8338" s="22">
        <v>0</v>
      </c>
      <c r="N8338" s="21">
        <v>59.950000000000003</v>
      </c>
      <c r="O8338" s="22">
        <v>0</v>
      </c>
    </row>
    <row r="8339" ht="12.75">
      <c r="A8339" t="s">
        <v>8388</v>
      </c>
      <c r="B8339" s="19">
        <v>98687</v>
      </c>
      <c r="C8339" s="20" t="s">
        <v>8442</v>
      </c>
      <c r="D8339" s="19" t="s">
        <v>38</v>
      </c>
      <c r="E8339" s="21" t="str">
        <f t="shared" si="389"/>
        <v>VERIFICAR</v>
      </c>
      <c r="F8339" s="22"/>
      <c r="G8339" s="21" t="str">
        <f t="shared" si="390"/>
        <v>VERIFICAR</v>
      </c>
      <c r="H8339" s="22"/>
      <c r="I8339" s="23" t="str">
        <f t="shared" si="391"/>
        <v xml:space="preserve">COM VALOR</v>
      </c>
      <c r="J8339" s="19"/>
      <c r="L8339" s="21">
        <v>0</v>
      </c>
      <c r="M8339" s="22"/>
      <c r="N8339" s="21">
        <v>0</v>
      </c>
      <c r="O8339" s="22"/>
    </row>
    <row r="8340" ht="12.75">
      <c r="A8340" t="s">
        <v>8388</v>
      </c>
      <c r="B8340" s="19">
        <v>98689</v>
      </c>
      <c r="C8340" s="20" t="s">
        <v>8443</v>
      </c>
      <c r="D8340" s="19" t="s">
        <v>38</v>
      </c>
      <c r="E8340" s="21">
        <f t="shared" si="389"/>
        <v>133.38999999999999</v>
      </c>
      <c r="F8340" s="22"/>
      <c r="G8340" s="21">
        <f t="shared" si="390"/>
        <v>131.47999999999999</v>
      </c>
      <c r="H8340" s="22"/>
      <c r="I8340" s="23" t="str">
        <f t="shared" si="391"/>
        <v xml:space="preserve">COM VALOR</v>
      </c>
      <c r="J8340" s="19"/>
      <c r="L8340" s="21">
        <v>133.38999999999999</v>
      </c>
      <c r="M8340" s="22">
        <v>0</v>
      </c>
      <c r="N8340" s="21">
        <v>131.47999999999999</v>
      </c>
      <c r="O8340" s="22">
        <v>0</v>
      </c>
    </row>
    <row r="8341" ht="25.5">
      <c r="A8341" t="s">
        <v>8388</v>
      </c>
      <c r="B8341" s="19">
        <v>98695</v>
      </c>
      <c r="C8341" s="20" t="s">
        <v>8444</v>
      </c>
      <c r="D8341" s="19" t="s">
        <v>38</v>
      </c>
      <c r="E8341" s="21">
        <f t="shared" si="389"/>
        <v>133.63999999999999</v>
      </c>
      <c r="F8341" s="22">
        <v>0</v>
      </c>
      <c r="G8341" s="21">
        <f t="shared" si="390"/>
        <v>131.72999999999999</v>
      </c>
      <c r="H8341" s="22">
        <v>0</v>
      </c>
      <c r="I8341" s="23" t="str">
        <f t="shared" si="391"/>
        <v xml:space="preserve">COM VALOR</v>
      </c>
      <c r="J8341" s="19"/>
      <c r="L8341" s="21">
        <v>133.63999999999999</v>
      </c>
      <c r="M8341" s="22">
        <v>0</v>
      </c>
      <c r="N8341" s="21">
        <v>131.72999999999999</v>
      </c>
      <c r="O8341" s="22">
        <v>0</v>
      </c>
    </row>
    <row r="8342" ht="51">
      <c r="A8342" t="s">
        <v>8445</v>
      </c>
      <c r="B8342" s="19">
        <v>100606</v>
      </c>
      <c r="C8342" s="20" t="s">
        <v>8446</v>
      </c>
      <c r="D8342" s="19" t="s">
        <v>31</v>
      </c>
      <c r="E8342" s="21">
        <f t="shared" si="389"/>
        <v>1677.7</v>
      </c>
      <c r="F8342" s="22"/>
      <c r="G8342" s="21">
        <f t="shared" si="390"/>
        <v>1639.1500000000001</v>
      </c>
      <c r="H8342" s="22"/>
      <c r="I8342" s="23" t="str">
        <f t="shared" si="391"/>
        <v xml:space="preserve">COM VALOR</v>
      </c>
      <c r="J8342" s="19"/>
      <c r="L8342" s="21">
        <v>1677.7</v>
      </c>
      <c r="M8342" s="22">
        <v>2.9999999999999999e-002</v>
      </c>
      <c r="N8342" s="21">
        <v>1639.1500000000001</v>
      </c>
      <c r="O8342" s="22">
        <v>2.9999999999999999e-002</v>
      </c>
    </row>
    <row r="8343" ht="51">
      <c r="A8343" t="s">
        <v>8445</v>
      </c>
      <c r="B8343" s="19">
        <v>100604</v>
      </c>
      <c r="C8343" s="20" t="s">
        <v>8447</v>
      </c>
      <c r="D8343" s="19" t="s">
        <v>31</v>
      </c>
      <c r="E8343" s="21">
        <f t="shared" si="389"/>
        <v>822.21000000000004</v>
      </c>
      <c r="F8343" s="22"/>
      <c r="G8343" s="21">
        <f t="shared" si="390"/>
        <v>809.46000000000004</v>
      </c>
      <c r="H8343" s="22"/>
      <c r="I8343" s="23" t="str">
        <f t="shared" si="391"/>
        <v xml:space="preserve">COM VALOR</v>
      </c>
      <c r="J8343" s="19"/>
      <c r="L8343" s="21">
        <v>822.21000000000004</v>
      </c>
      <c r="M8343" s="22">
        <v>5.9999999999999998e-002</v>
      </c>
      <c r="N8343" s="21">
        <v>809.46000000000004</v>
      </c>
      <c r="O8343" s="22">
        <v>5.9999999999999998e-002</v>
      </c>
    </row>
    <row r="8344" ht="51">
      <c r="A8344" t="s">
        <v>8445</v>
      </c>
      <c r="B8344" s="19">
        <v>100605</v>
      </c>
      <c r="C8344" s="20" t="s">
        <v>8448</v>
      </c>
      <c r="D8344" s="19" t="s">
        <v>31</v>
      </c>
      <c r="E8344" s="21">
        <f t="shared" si="389"/>
        <v>1175</v>
      </c>
      <c r="F8344" s="22"/>
      <c r="G8344" s="21">
        <f t="shared" si="390"/>
        <v>1151.6800000000001</v>
      </c>
      <c r="H8344" s="22"/>
      <c r="I8344" s="23" t="str">
        <f t="shared" si="391"/>
        <v xml:space="preserve">COM VALOR</v>
      </c>
      <c r="J8344" s="19"/>
      <c r="L8344" s="21">
        <v>1175</v>
      </c>
      <c r="M8344" s="22">
        <v>4.0000000000000001e-002</v>
      </c>
      <c r="N8344" s="21">
        <v>1151.6800000000001</v>
      </c>
      <c r="O8344" s="22">
        <v>4.2500000000000003e-002</v>
      </c>
    </row>
    <row r="8345" ht="38.25">
      <c r="A8345" t="s">
        <v>8445</v>
      </c>
      <c r="B8345" s="19">
        <v>100580</v>
      </c>
      <c r="C8345" s="20" t="s">
        <v>8449</v>
      </c>
      <c r="D8345" s="19" t="s">
        <v>31</v>
      </c>
      <c r="E8345" s="21">
        <f t="shared" si="389"/>
        <v>764.62</v>
      </c>
      <c r="F8345" s="22"/>
      <c r="G8345" s="21">
        <f t="shared" si="390"/>
        <v>751.03999999999996</v>
      </c>
      <c r="H8345" s="22"/>
      <c r="I8345" s="23" t="str">
        <f t="shared" si="391"/>
        <v xml:space="preserve">COM VALOR</v>
      </c>
      <c r="J8345" s="19"/>
      <c r="L8345" s="21">
        <v>764.62</v>
      </c>
      <c r="M8345" s="22">
        <v>7.0000000000000007e-002</v>
      </c>
      <c r="N8345" s="21">
        <v>751.03999999999996</v>
      </c>
      <c r="O8345" s="22">
        <v>7.0000000000000007e-002</v>
      </c>
    </row>
    <row r="8346" ht="51">
      <c r="A8346" t="s">
        <v>8445</v>
      </c>
      <c r="B8346" s="19">
        <v>100579</v>
      </c>
      <c r="C8346" s="20" t="s">
        <v>8450</v>
      </c>
      <c r="D8346" s="19" t="s">
        <v>31</v>
      </c>
      <c r="E8346" s="21">
        <f t="shared" si="389"/>
        <v>716.47000000000003</v>
      </c>
      <c r="F8346" s="22"/>
      <c r="G8346" s="21">
        <f t="shared" si="390"/>
        <v>705.40999999999997</v>
      </c>
      <c r="H8346" s="22"/>
      <c r="I8346" s="23" t="str">
        <f t="shared" si="391"/>
        <v xml:space="preserve">COM VALOR</v>
      </c>
      <c r="J8346" s="19"/>
      <c r="L8346" s="21">
        <v>716.47000000000003</v>
      </c>
      <c r="M8346" s="22">
        <v>7.0000000000000007e-002</v>
      </c>
      <c r="N8346" s="21">
        <v>705.40999999999997</v>
      </c>
      <c r="O8346" s="22">
        <v>7.0000000000000007e-002</v>
      </c>
    </row>
    <row r="8347" ht="51">
      <c r="A8347" t="s">
        <v>8445</v>
      </c>
      <c r="B8347" s="19">
        <v>100609</v>
      </c>
      <c r="C8347" s="20" t="s">
        <v>8451</v>
      </c>
      <c r="D8347" s="19" t="s">
        <v>31</v>
      </c>
      <c r="E8347" s="21">
        <f t="shared" si="389"/>
        <v>1712.22</v>
      </c>
      <c r="F8347" s="22"/>
      <c r="G8347" s="21">
        <f t="shared" si="390"/>
        <v>1672.8699999999999</v>
      </c>
      <c r="H8347" s="22"/>
      <c r="I8347" s="23" t="str">
        <f t="shared" si="391"/>
        <v xml:space="preserve">COM VALOR</v>
      </c>
      <c r="J8347" s="19"/>
      <c r="L8347" s="21">
        <v>1712.22</v>
      </c>
      <c r="M8347" s="22">
        <v>2.9999999999999999e-002</v>
      </c>
      <c r="N8347" s="21">
        <v>1672.8699999999999</v>
      </c>
      <c r="O8347" s="22">
        <v>2.9999999999999999e-002</v>
      </c>
    </row>
    <row r="8348" ht="51">
      <c r="A8348" t="s">
        <v>8445</v>
      </c>
      <c r="B8348" s="19">
        <v>100607</v>
      </c>
      <c r="C8348" s="20" t="s">
        <v>8452</v>
      </c>
      <c r="D8348" s="19" t="s">
        <v>31</v>
      </c>
      <c r="E8348" s="21">
        <f t="shared" si="389"/>
        <v>845.64999999999998</v>
      </c>
      <c r="F8348" s="22"/>
      <c r="G8348" s="21">
        <f t="shared" si="390"/>
        <v>832.74000000000001</v>
      </c>
      <c r="H8348" s="22"/>
      <c r="I8348" s="23" t="str">
        <f t="shared" si="391"/>
        <v xml:space="preserve">COM VALOR</v>
      </c>
      <c r="J8348" s="19"/>
      <c r="L8348" s="21">
        <v>845.64999999999998</v>
      </c>
      <c r="M8348" s="22">
        <v>5.9999999999999998e-002</v>
      </c>
      <c r="N8348" s="21">
        <v>832.74000000000001</v>
      </c>
      <c r="O8348" s="22">
        <v>5.9999999999999998e-002</v>
      </c>
    </row>
    <row r="8349" ht="51">
      <c r="A8349" t="s">
        <v>8445</v>
      </c>
      <c r="B8349" s="19">
        <v>100608</v>
      </c>
      <c r="C8349" s="20" t="s">
        <v>8453</v>
      </c>
      <c r="D8349" s="19" t="s">
        <v>31</v>
      </c>
      <c r="E8349" s="21">
        <f t="shared" si="389"/>
        <v>1202.51</v>
      </c>
      <c r="F8349" s="22"/>
      <c r="G8349" s="21">
        <f t="shared" si="390"/>
        <v>1178.8199999999999</v>
      </c>
      <c r="H8349" s="22"/>
      <c r="I8349" s="23" t="str">
        <f t="shared" si="391"/>
        <v xml:space="preserve">COM VALOR</v>
      </c>
      <c r="J8349" s="19"/>
      <c r="L8349" s="21">
        <v>1202.51</v>
      </c>
      <c r="M8349" s="22">
        <v>4.0000000000000001e-002</v>
      </c>
      <c r="N8349" s="21">
        <v>1178.8199999999999</v>
      </c>
      <c r="O8349" s="22">
        <v>4.0000000000000001e-002</v>
      </c>
    </row>
    <row r="8350" ht="38.25">
      <c r="A8350" t="s">
        <v>8445</v>
      </c>
      <c r="B8350" s="19">
        <v>100582</v>
      </c>
      <c r="C8350" s="20" t="s">
        <v>8454</v>
      </c>
      <c r="D8350" s="19" t="s">
        <v>31</v>
      </c>
      <c r="E8350" s="21">
        <f t="shared" si="389"/>
        <v>830</v>
      </c>
      <c r="F8350" s="22"/>
      <c r="G8350" s="21">
        <f t="shared" si="390"/>
        <v>814.13999999999999</v>
      </c>
      <c r="H8350" s="22"/>
      <c r="I8350" s="23" t="str">
        <f t="shared" si="391"/>
        <v xml:space="preserve">COM VALOR</v>
      </c>
      <c r="J8350" s="19"/>
      <c r="L8350" s="21">
        <v>830</v>
      </c>
      <c r="M8350" s="22">
        <v>5.9999999999999998e-002</v>
      </c>
      <c r="N8350" s="21">
        <v>814.13999999999999</v>
      </c>
      <c r="O8350" s="22">
        <v>5.9999999999999998e-002</v>
      </c>
    </row>
    <row r="8351" ht="51">
      <c r="A8351" t="s">
        <v>8445</v>
      </c>
      <c r="B8351" s="19">
        <v>100581</v>
      </c>
      <c r="C8351" s="20" t="s">
        <v>8455</v>
      </c>
      <c r="D8351" s="19" t="s">
        <v>31</v>
      </c>
      <c r="E8351" s="21">
        <f t="shared" si="389"/>
        <v>744.75</v>
      </c>
      <c r="F8351" s="22"/>
      <c r="G8351" s="21">
        <f t="shared" si="390"/>
        <v>733.38</v>
      </c>
      <c r="H8351" s="22"/>
      <c r="I8351" s="23" t="str">
        <f t="shared" si="391"/>
        <v xml:space="preserve">COM VALOR</v>
      </c>
      <c r="J8351" s="19"/>
      <c r="L8351" s="21">
        <v>744.75</v>
      </c>
      <c r="M8351" s="22">
        <v>7.0000000000000007e-002</v>
      </c>
      <c r="N8351" s="21">
        <v>733.38</v>
      </c>
      <c r="O8351" s="22">
        <v>7.0000000000000007e-002</v>
      </c>
    </row>
    <row r="8352" ht="51">
      <c r="A8352" t="s">
        <v>8445</v>
      </c>
      <c r="B8352" s="19">
        <v>100613</v>
      </c>
      <c r="C8352" s="20" t="s">
        <v>8456</v>
      </c>
      <c r="D8352" s="19" t="s">
        <v>31</v>
      </c>
      <c r="E8352" s="21">
        <f t="shared" si="389"/>
        <v>1746.5599999999999</v>
      </c>
      <c r="F8352" s="22">
        <v>0</v>
      </c>
      <c r="G8352" s="21">
        <f t="shared" si="390"/>
        <v>1706.4400000000001</v>
      </c>
      <c r="H8352" s="22">
        <v>0</v>
      </c>
      <c r="I8352" s="23" t="str">
        <f t="shared" si="391"/>
        <v xml:space="preserve">COM VALOR</v>
      </c>
      <c r="J8352" s="19"/>
      <c r="L8352" s="21">
        <v>1746.5599999999999</v>
      </c>
      <c r="M8352" s="22">
        <v>2.9999999999999999e-002</v>
      </c>
      <c r="N8352" s="21">
        <v>1706.4400000000001</v>
      </c>
      <c r="O8352" s="22">
        <v>2.9999999999999999e-002</v>
      </c>
    </row>
    <row r="8353" ht="51">
      <c r="A8353" t="s">
        <v>8445</v>
      </c>
      <c r="B8353" s="19">
        <v>100610</v>
      </c>
      <c r="C8353" s="20" t="s">
        <v>8457</v>
      </c>
      <c r="D8353" s="19" t="s">
        <v>31</v>
      </c>
      <c r="E8353" s="21">
        <f t="shared" si="389"/>
        <v>868.70000000000005</v>
      </c>
      <c r="F8353" s="22">
        <v>0</v>
      </c>
      <c r="G8353" s="21">
        <f t="shared" si="390"/>
        <v>855.66999999999996</v>
      </c>
      <c r="H8353" s="22">
        <v>0</v>
      </c>
      <c r="I8353" s="23" t="str">
        <f t="shared" si="391"/>
        <v xml:space="preserve">COM VALOR</v>
      </c>
      <c r="J8353" s="19"/>
      <c r="L8353" s="21">
        <v>868.70000000000005</v>
      </c>
      <c r="M8353" s="22">
        <v>5.9999999999999998e-002</v>
      </c>
      <c r="N8353" s="21">
        <v>855.66999999999996</v>
      </c>
      <c r="O8353" s="22">
        <v>5.9999999999999998e-002</v>
      </c>
    </row>
    <row r="8354" ht="51">
      <c r="A8354" t="s">
        <v>8445</v>
      </c>
      <c r="B8354" s="19">
        <v>100611</v>
      </c>
      <c r="C8354" s="20" t="s">
        <v>8458</v>
      </c>
      <c r="D8354" s="19" t="s">
        <v>31</v>
      </c>
      <c r="E8354" s="21">
        <f t="shared" si="389"/>
        <v>1029.1199999999999</v>
      </c>
      <c r="F8354" s="22">
        <v>0</v>
      </c>
      <c r="G8354" s="21">
        <f t="shared" si="390"/>
        <v>1011.1900000000001</v>
      </c>
      <c r="H8354" s="22">
        <v>0</v>
      </c>
      <c r="I8354" s="23" t="str">
        <f t="shared" si="391"/>
        <v xml:space="preserve">COM VALOR</v>
      </c>
      <c r="J8354" s="19"/>
      <c r="L8354" s="21">
        <v>1029.1199999999999</v>
      </c>
      <c r="M8354" s="22">
        <v>5.0000000000000003e-002</v>
      </c>
      <c r="N8354" s="21">
        <v>1011.1900000000001</v>
      </c>
      <c r="O8354" s="22">
        <v>5.0000000000000003e-002</v>
      </c>
    </row>
    <row r="8355" ht="51">
      <c r="A8355" t="s">
        <v>8445</v>
      </c>
      <c r="B8355" s="19">
        <v>100612</v>
      </c>
      <c r="C8355" s="20" t="s">
        <v>8459</v>
      </c>
      <c r="D8355" s="19" t="s">
        <v>31</v>
      </c>
      <c r="E8355" s="21">
        <f t="shared" si="389"/>
        <v>1229.6400000000001</v>
      </c>
      <c r="F8355" s="22">
        <v>0</v>
      </c>
      <c r="G8355" s="21">
        <f t="shared" si="390"/>
        <v>1205.5899999999999</v>
      </c>
      <c r="H8355" s="22">
        <v>0</v>
      </c>
      <c r="I8355" s="23" t="str">
        <f t="shared" si="391"/>
        <v xml:space="preserve">COM VALOR</v>
      </c>
      <c r="J8355" s="19"/>
      <c r="L8355" s="21">
        <v>1229.6400000000001</v>
      </c>
      <c r="M8355" s="22">
        <v>4.0000000000000001e-002</v>
      </c>
      <c r="N8355" s="21">
        <v>1205.5899999999999</v>
      </c>
      <c r="O8355" s="22">
        <v>4.0000000000000001e-002</v>
      </c>
    </row>
    <row r="8356" ht="38.25">
      <c r="A8356" t="s">
        <v>8445</v>
      </c>
      <c r="B8356" s="19">
        <v>100584</v>
      </c>
      <c r="C8356" s="20" t="s">
        <v>8460</v>
      </c>
      <c r="D8356" s="19" t="s">
        <v>31</v>
      </c>
      <c r="E8356" s="21">
        <f t="shared" si="389"/>
        <v>826.71000000000004</v>
      </c>
      <c r="F8356" s="22">
        <v>0</v>
      </c>
      <c r="G8356" s="21">
        <f t="shared" si="390"/>
        <v>812.26999999999998</v>
      </c>
      <c r="H8356" s="22">
        <v>0</v>
      </c>
      <c r="I8356" s="23" t="str">
        <f t="shared" si="391"/>
        <v xml:space="preserve">COM VALOR</v>
      </c>
      <c r="J8356" s="19"/>
      <c r="L8356" s="21">
        <v>826.71000000000004</v>
      </c>
      <c r="M8356" s="22">
        <v>5.9999999999999998e-002</v>
      </c>
      <c r="N8356" s="21">
        <v>812.26999999999998</v>
      </c>
      <c r="O8356" s="22">
        <v>5.9999999999999998e-002</v>
      </c>
    </row>
    <row r="8357" ht="51">
      <c r="A8357" t="s">
        <v>8445</v>
      </c>
      <c r="B8357" s="19">
        <v>100583</v>
      </c>
      <c r="C8357" s="20" t="s">
        <v>8461</v>
      </c>
      <c r="D8357" s="19" t="s">
        <v>31</v>
      </c>
      <c r="E8357" s="21">
        <f t="shared" si="389"/>
        <v>774.50999999999999</v>
      </c>
      <c r="F8357" s="22"/>
      <c r="G8357" s="21">
        <f t="shared" si="390"/>
        <v>762.79999999999995</v>
      </c>
      <c r="H8357" s="22"/>
      <c r="I8357" s="23" t="str">
        <f t="shared" si="391"/>
        <v xml:space="preserve">COM VALOR</v>
      </c>
      <c r="J8357" s="19"/>
      <c r="L8357" s="21">
        <v>774.50999999999999</v>
      </c>
      <c r="M8357" s="22">
        <v>5.9999999999999998e-002</v>
      </c>
      <c r="N8357" s="21">
        <v>762.79999999999995</v>
      </c>
      <c r="O8357" s="22">
        <v>5.9999999999999998e-002</v>
      </c>
    </row>
    <row r="8358" ht="51">
      <c r="A8358" t="s">
        <v>8445</v>
      </c>
      <c r="B8358" s="19">
        <v>100616</v>
      </c>
      <c r="C8358" s="20" t="s">
        <v>8462</v>
      </c>
      <c r="D8358" s="19" t="s">
        <v>31</v>
      </c>
      <c r="E8358" s="21">
        <f t="shared" si="389"/>
        <v>1818.04</v>
      </c>
      <c r="F8358" s="22">
        <v>0</v>
      </c>
      <c r="G8358" s="21">
        <f t="shared" si="390"/>
        <v>1776.26</v>
      </c>
      <c r="H8358" s="22">
        <v>0</v>
      </c>
      <c r="I8358" s="23" t="str">
        <f t="shared" si="391"/>
        <v xml:space="preserve">COM VALOR</v>
      </c>
      <c r="J8358" s="19"/>
      <c r="L8358" s="21">
        <v>1818.04</v>
      </c>
      <c r="M8358" s="22">
        <v>2.9999999999999999e-002</v>
      </c>
      <c r="N8358" s="21">
        <v>1776.26</v>
      </c>
      <c r="O8358" s="22">
        <v>2.9999999999999999e-002</v>
      </c>
    </row>
    <row r="8359" ht="51">
      <c r="A8359" t="s">
        <v>8445</v>
      </c>
      <c r="B8359" s="19">
        <v>100614</v>
      </c>
      <c r="C8359" s="20" t="s">
        <v>8463</v>
      </c>
      <c r="D8359" s="19" t="s">
        <v>31</v>
      </c>
      <c r="E8359" s="21">
        <f t="shared" si="389"/>
        <v>1078.77</v>
      </c>
      <c r="F8359" s="22"/>
      <c r="G8359" s="21">
        <f t="shared" si="390"/>
        <v>1060.3599999999999</v>
      </c>
      <c r="H8359" s="22"/>
      <c r="I8359" s="23" t="str">
        <f t="shared" si="391"/>
        <v xml:space="preserve">COM VALOR</v>
      </c>
      <c r="J8359" s="19"/>
      <c r="L8359" s="21">
        <v>1078.77</v>
      </c>
      <c r="M8359" s="22">
        <v>5.0000000000000003e-002</v>
      </c>
      <c r="N8359" s="21">
        <v>1060.3599999999999</v>
      </c>
      <c r="O8359" s="22">
        <v>5.0000000000000003e-002</v>
      </c>
    </row>
    <row r="8360" ht="51">
      <c r="A8360" t="s">
        <v>8445</v>
      </c>
      <c r="B8360" s="19">
        <v>100615</v>
      </c>
      <c r="C8360" s="20" t="s">
        <v>8464</v>
      </c>
      <c r="D8360" s="19" t="s">
        <v>31</v>
      </c>
      <c r="E8360" s="21">
        <f t="shared" si="389"/>
        <v>1283.8199999999999</v>
      </c>
      <c r="F8360" s="22">
        <v>0</v>
      </c>
      <c r="G8360" s="21">
        <f t="shared" si="390"/>
        <v>1259.03</v>
      </c>
      <c r="H8360" s="22">
        <v>0</v>
      </c>
      <c r="I8360" s="23" t="str">
        <f t="shared" si="391"/>
        <v xml:space="preserve">COM VALOR</v>
      </c>
      <c r="J8360" s="19"/>
      <c r="L8360" s="21">
        <v>1283.8199999999999</v>
      </c>
      <c r="M8360" s="22">
        <v>4.0000000000000001e-002</v>
      </c>
      <c r="N8360" s="21">
        <v>1259.03</v>
      </c>
      <c r="O8360" s="22">
        <v>4.0000000000000001e-002</v>
      </c>
    </row>
    <row r="8361" ht="38.25">
      <c r="A8361" t="s">
        <v>8445</v>
      </c>
      <c r="B8361" s="19">
        <v>100586</v>
      </c>
      <c r="C8361" s="20" t="s">
        <v>8465</v>
      </c>
      <c r="D8361" s="19" t="s">
        <v>31</v>
      </c>
      <c r="E8361" s="21">
        <f t="shared" si="389"/>
        <v>916.24000000000001</v>
      </c>
      <c r="F8361" s="22">
        <v>0</v>
      </c>
      <c r="G8361" s="21">
        <f t="shared" si="390"/>
        <v>899.57000000000005</v>
      </c>
      <c r="H8361" s="22">
        <v>0</v>
      </c>
      <c r="I8361" s="23" t="str">
        <f t="shared" si="391"/>
        <v xml:space="preserve">COM VALOR</v>
      </c>
      <c r="J8361" s="19"/>
      <c r="L8361" s="21">
        <v>916.24000000000001</v>
      </c>
      <c r="M8361" s="22">
        <v>5.9999999999999998e-002</v>
      </c>
      <c r="N8361" s="21">
        <v>899.57000000000005</v>
      </c>
      <c r="O8361" s="22">
        <v>5.9999999999999998e-002</v>
      </c>
    </row>
    <row r="8362" ht="51">
      <c r="A8362" t="s">
        <v>8445</v>
      </c>
      <c r="B8362" s="19">
        <v>100585</v>
      </c>
      <c r="C8362" s="20" t="s">
        <v>8466</v>
      </c>
      <c r="D8362" s="19" t="s">
        <v>31</v>
      </c>
      <c r="E8362" s="21">
        <f t="shared" si="389"/>
        <v>832.73000000000002</v>
      </c>
      <c r="F8362" s="22">
        <v>0</v>
      </c>
      <c r="G8362" s="21">
        <f t="shared" si="390"/>
        <v>820.36000000000001</v>
      </c>
      <c r="H8362" s="22">
        <v>0</v>
      </c>
      <c r="I8362" s="23" t="str">
        <f t="shared" si="391"/>
        <v xml:space="preserve">COM VALOR</v>
      </c>
      <c r="J8362" s="19"/>
      <c r="L8362" s="21">
        <v>832.73000000000002</v>
      </c>
      <c r="M8362" s="22">
        <v>5.9999999999999998e-002</v>
      </c>
      <c r="N8362" s="21">
        <v>820.36000000000001</v>
      </c>
      <c r="O8362" s="22">
        <v>5.9999999999999998e-002</v>
      </c>
    </row>
    <row r="8363" ht="51">
      <c r="A8363" t="s">
        <v>8445</v>
      </c>
      <c r="B8363" s="19">
        <v>100618</v>
      </c>
      <c r="C8363" s="20" t="s">
        <v>8467</v>
      </c>
      <c r="D8363" s="19" t="s">
        <v>31</v>
      </c>
      <c r="E8363" s="21">
        <f t="shared" si="389"/>
        <v>1893.4400000000001</v>
      </c>
      <c r="F8363" s="22">
        <v>0</v>
      </c>
      <c r="G8363" s="21">
        <f t="shared" si="390"/>
        <v>1850.1099999999999</v>
      </c>
      <c r="H8363" s="22">
        <v>0</v>
      </c>
      <c r="I8363" s="23" t="str">
        <f t="shared" si="391"/>
        <v xml:space="preserve">COM VALOR</v>
      </c>
      <c r="J8363" s="19"/>
      <c r="L8363" s="21">
        <v>1893.4400000000001</v>
      </c>
      <c r="M8363" s="22">
        <v>2.9999999999999999e-002</v>
      </c>
      <c r="N8363" s="21">
        <v>1850.1099999999999</v>
      </c>
      <c r="O8363" s="22">
        <v>2.9999999999999999e-002</v>
      </c>
    </row>
    <row r="8364" ht="51">
      <c r="A8364" t="s">
        <v>8445</v>
      </c>
      <c r="B8364" s="19">
        <v>100617</v>
      </c>
      <c r="C8364" s="20" t="s">
        <v>8468</v>
      </c>
      <c r="D8364" s="19" t="s">
        <v>31</v>
      </c>
      <c r="E8364" s="21">
        <f t="shared" si="389"/>
        <v>1337.97</v>
      </c>
      <c r="F8364" s="22">
        <v>0</v>
      </c>
      <c r="G8364" s="21">
        <f t="shared" si="390"/>
        <v>1312.4300000000001</v>
      </c>
      <c r="H8364" s="22">
        <v>0</v>
      </c>
      <c r="I8364" s="23" t="str">
        <f t="shared" si="391"/>
        <v xml:space="preserve">COM VALOR</v>
      </c>
      <c r="J8364" s="19"/>
      <c r="L8364" s="21">
        <v>1337.97</v>
      </c>
      <c r="M8364" s="22">
        <v>4.0000000000000001e-002</v>
      </c>
      <c r="N8364" s="21">
        <v>1312.4300000000001</v>
      </c>
      <c r="O8364" s="22">
        <v>4.0000000000000001e-002</v>
      </c>
    </row>
    <row r="8365" ht="38.25">
      <c r="A8365" t="s">
        <v>8445</v>
      </c>
      <c r="B8365" s="19">
        <v>100588</v>
      </c>
      <c r="C8365" s="20" t="s">
        <v>8469</v>
      </c>
      <c r="D8365" s="19" t="s">
        <v>31</v>
      </c>
      <c r="E8365" s="21">
        <f t="shared" si="389"/>
        <v>957.47000000000003</v>
      </c>
      <c r="F8365" s="22">
        <v>0</v>
      </c>
      <c r="G8365" s="21">
        <f t="shared" si="390"/>
        <v>941.00999999999999</v>
      </c>
      <c r="H8365" s="22">
        <v>0</v>
      </c>
      <c r="I8365" s="23" t="str">
        <f t="shared" si="391"/>
        <v xml:space="preserve">COM VALOR</v>
      </c>
      <c r="J8365" s="19"/>
      <c r="L8365" s="21">
        <v>957.47000000000003</v>
      </c>
      <c r="M8365" s="22">
        <v>5.0000000000000003e-002</v>
      </c>
      <c r="N8365" s="21">
        <v>941.00999999999999</v>
      </c>
      <c r="O8365" s="22">
        <v>5.9999999999999998e-002</v>
      </c>
    </row>
    <row r="8366" ht="51">
      <c r="A8366" t="s">
        <v>8445</v>
      </c>
      <c r="B8366" s="19">
        <v>100587</v>
      </c>
      <c r="C8366" s="20" t="s">
        <v>8470</v>
      </c>
      <c r="D8366" s="19" t="s">
        <v>31</v>
      </c>
      <c r="E8366" s="21">
        <f t="shared" si="389"/>
        <v>892.70000000000005</v>
      </c>
      <c r="F8366" s="22">
        <v>0</v>
      </c>
      <c r="G8366" s="21">
        <f t="shared" si="390"/>
        <v>879.60000000000002</v>
      </c>
      <c r="H8366" s="22">
        <v>0</v>
      </c>
      <c r="I8366" s="23" t="str">
        <f t="shared" si="391"/>
        <v xml:space="preserve">COM VALOR</v>
      </c>
      <c r="J8366" s="19"/>
      <c r="L8366" s="21">
        <v>892.70000000000005</v>
      </c>
      <c r="M8366" s="22">
        <v>5.9999999999999998e-002</v>
      </c>
      <c r="N8366" s="21">
        <v>879.60000000000002</v>
      </c>
      <c r="O8366" s="22">
        <v>5.9999999999999998e-002</v>
      </c>
    </row>
    <row r="8367" ht="38.25">
      <c r="A8367" t="s">
        <v>8445</v>
      </c>
      <c r="B8367" s="19">
        <v>100590</v>
      </c>
      <c r="C8367" s="20" t="s">
        <v>8471</v>
      </c>
      <c r="D8367" s="19" t="s">
        <v>31</v>
      </c>
      <c r="E8367" s="21">
        <f t="shared" si="389"/>
        <v>1029.8099999999999</v>
      </c>
      <c r="F8367" s="22"/>
      <c r="G8367" s="21">
        <f t="shared" si="390"/>
        <v>1010.59</v>
      </c>
      <c r="H8367" s="22"/>
      <c r="I8367" s="23" t="str">
        <f t="shared" si="391"/>
        <v xml:space="preserve">COM VALOR</v>
      </c>
      <c r="J8367" s="19"/>
      <c r="L8367" s="21">
        <v>1029.8099999999999</v>
      </c>
      <c r="M8367" s="22">
        <v>5.0000000000000003e-002</v>
      </c>
      <c r="N8367" s="21">
        <v>1010.59</v>
      </c>
      <c r="O8367" s="22">
        <v>5.0000000000000003e-002</v>
      </c>
    </row>
    <row r="8368" ht="51">
      <c r="A8368" t="s">
        <v>8445</v>
      </c>
      <c r="B8368" s="19">
        <v>100589</v>
      </c>
      <c r="C8368" s="20" t="s">
        <v>8472</v>
      </c>
      <c r="D8368" s="19" t="s">
        <v>31</v>
      </c>
      <c r="E8368" s="21">
        <f t="shared" si="389"/>
        <v>965.64999999999998</v>
      </c>
      <c r="F8368" s="22">
        <v>0</v>
      </c>
      <c r="G8368" s="21">
        <f t="shared" si="390"/>
        <v>949.80999999999995</v>
      </c>
      <c r="H8368" s="22">
        <v>0</v>
      </c>
      <c r="I8368" s="23" t="str">
        <f t="shared" si="391"/>
        <v xml:space="preserve">COM VALOR</v>
      </c>
      <c r="J8368" s="19"/>
      <c r="L8368" s="21">
        <v>965.64999999999998</v>
      </c>
      <c r="M8368" s="22">
        <v>5.0000000000000003e-002</v>
      </c>
      <c r="N8368" s="21">
        <v>949.80999999999995</v>
      </c>
      <c r="O8368" s="22">
        <v>5.0000000000000003e-002</v>
      </c>
    </row>
    <row r="8369" ht="38.25">
      <c r="A8369" t="s">
        <v>8445</v>
      </c>
      <c r="B8369" s="19">
        <v>100592</v>
      </c>
      <c r="C8369" s="20" t="s">
        <v>8473</v>
      </c>
      <c r="D8369" s="19" t="s">
        <v>31</v>
      </c>
      <c r="E8369" s="21">
        <f t="shared" si="389"/>
        <v>1022.84</v>
      </c>
      <c r="F8369" s="22"/>
      <c r="G8369" s="21">
        <f t="shared" si="390"/>
        <v>1005.36</v>
      </c>
      <c r="H8369" s="22"/>
      <c r="I8369" s="23" t="str">
        <f t="shared" si="391"/>
        <v xml:space="preserve">COM VALOR</v>
      </c>
      <c r="J8369" s="19"/>
      <c r="L8369" s="21">
        <v>1022.84</v>
      </c>
      <c r="M8369" s="22">
        <v>5.0000000000000003e-002</v>
      </c>
      <c r="N8369" s="21">
        <v>1005.36</v>
      </c>
      <c r="O8369" s="22">
        <v>5.0000000000000003e-002</v>
      </c>
    </row>
    <row r="8370" ht="51">
      <c r="A8370" t="s">
        <v>8445</v>
      </c>
      <c r="B8370" s="19">
        <v>100591</v>
      </c>
      <c r="C8370" s="20" t="s">
        <v>8474</v>
      </c>
      <c r="D8370" s="19" t="s">
        <v>31</v>
      </c>
      <c r="E8370" s="21">
        <f t="shared" si="389"/>
        <v>953.78999999999996</v>
      </c>
      <c r="F8370" s="22">
        <v>0</v>
      </c>
      <c r="G8370" s="21">
        <f t="shared" si="390"/>
        <v>939.88</v>
      </c>
      <c r="H8370" s="22">
        <v>0</v>
      </c>
      <c r="I8370" s="23" t="str">
        <f t="shared" si="391"/>
        <v xml:space="preserve">COM VALOR</v>
      </c>
      <c r="J8370" s="19"/>
      <c r="L8370" s="21">
        <v>953.78999999999996</v>
      </c>
      <c r="M8370" s="22">
        <v>5.0000000000000003e-002</v>
      </c>
      <c r="N8370" s="21">
        <v>939.88</v>
      </c>
      <c r="O8370" s="22">
        <v>5.0000000000000003e-002</v>
      </c>
    </row>
    <row r="8371" ht="38.25">
      <c r="A8371" t="s">
        <v>8445</v>
      </c>
      <c r="B8371" s="19">
        <v>100594</v>
      </c>
      <c r="C8371" s="20" t="s">
        <v>8475</v>
      </c>
      <c r="D8371" s="19" t="s">
        <v>31</v>
      </c>
      <c r="E8371" s="21">
        <f t="shared" si="389"/>
        <v>1122.8099999999999</v>
      </c>
      <c r="F8371" s="22"/>
      <c r="G8371" s="21">
        <f t="shared" si="390"/>
        <v>1102.55</v>
      </c>
      <c r="H8371" s="22"/>
      <c r="I8371" s="23" t="str">
        <f t="shared" si="391"/>
        <v xml:space="preserve">COM VALOR</v>
      </c>
      <c r="J8371" s="19"/>
      <c r="L8371" s="21">
        <v>1122.8099999999999</v>
      </c>
      <c r="M8371" s="22">
        <v>5.0000000000000003e-002</v>
      </c>
      <c r="N8371" s="21">
        <v>1102.55</v>
      </c>
      <c r="O8371" s="22">
        <v>5.0000000000000003e-002</v>
      </c>
    </row>
    <row r="8372" ht="51">
      <c r="A8372" t="s">
        <v>8445</v>
      </c>
      <c r="B8372" s="19">
        <v>100593</v>
      </c>
      <c r="C8372" s="20" t="s">
        <v>8476</v>
      </c>
      <c r="D8372" s="19" t="s">
        <v>31</v>
      </c>
      <c r="E8372" s="21">
        <f t="shared" si="389"/>
        <v>1032.28</v>
      </c>
      <c r="F8372" s="22">
        <v>0</v>
      </c>
      <c r="G8372" s="21">
        <f t="shared" si="390"/>
        <v>1016.6799999999999</v>
      </c>
      <c r="H8372" s="22">
        <v>0</v>
      </c>
      <c r="I8372" s="23" t="str">
        <f t="shared" si="391"/>
        <v xml:space="preserve">COM VALOR</v>
      </c>
      <c r="J8372" s="19"/>
      <c r="L8372" s="21">
        <v>1032.28</v>
      </c>
      <c r="M8372" s="22">
        <v>5.0000000000000003e-002</v>
      </c>
      <c r="N8372" s="21">
        <v>1016.6799999999999</v>
      </c>
      <c r="O8372" s="22">
        <v>5.0000000000000003e-002</v>
      </c>
    </row>
    <row r="8373" ht="38.25">
      <c r="A8373" t="s">
        <v>8445</v>
      </c>
      <c r="B8373" s="19">
        <v>100596</v>
      </c>
      <c r="C8373" s="20" t="s">
        <v>8477</v>
      </c>
      <c r="D8373" s="19" t="s">
        <v>31</v>
      </c>
      <c r="E8373" s="21">
        <f t="shared" si="389"/>
        <v>1343.28</v>
      </c>
      <c r="F8373" s="22"/>
      <c r="G8373" s="21">
        <f t="shared" si="390"/>
        <v>1318.71</v>
      </c>
      <c r="H8373" s="22"/>
      <c r="I8373" s="23" t="str">
        <f t="shared" si="391"/>
        <v xml:space="preserve">COM VALOR</v>
      </c>
      <c r="J8373" s="19"/>
      <c r="L8373" s="21">
        <v>1343.28</v>
      </c>
      <c r="M8373" s="22">
        <v>4.0000000000000001e-002</v>
      </c>
      <c r="N8373" s="21">
        <v>1318.71</v>
      </c>
      <c r="O8373" s="22">
        <v>4.0000000000000001e-002</v>
      </c>
    </row>
    <row r="8374" ht="51">
      <c r="A8374" t="s">
        <v>8445</v>
      </c>
      <c r="B8374" s="19">
        <v>100595</v>
      </c>
      <c r="C8374" s="20" t="s">
        <v>8478</v>
      </c>
      <c r="D8374" s="19" t="s">
        <v>31</v>
      </c>
      <c r="E8374" s="21">
        <f t="shared" si="389"/>
        <v>1220.76</v>
      </c>
      <c r="F8374" s="22">
        <v>0</v>
      </c>
      <c r="G8374" s="21">
        <f t="shared" si="390"/>
        <v>1202.4300000000001</v>
      </c>
      <c r="H8374" s="22">
        <v>0</v>
      </c>
      <c r="I8374" s="23" t="str">
        <f t="shared" si="391"/>
        <v xml:space="preserve">COM VALOR</v>
      </c>
      <c r="J8374" s="19"/>
      <c r="L8374" s="21">
        <v>1220.76</v>
      </c>
      <c r="M8374" s="22">
        <v>4.0000000000000001e-002</v>
      </c>
      <c r="N8374" s="21">
        <v>1202.4300000000001</v>
      </c>
      <c r="O8374" s="22">
        <v>4.0000000000000001e-002</v>
      </c>
    </row>
    <row r="8375" ht="38.25">
      <c r="A8375" t="s">
        <v>8445</v>
      </c>
      <c r="B8375" s="19">
        <v>100598</v>
      </c>
      <c r="C8375" s="20" t="s">
        <v>8479</v>
      </c>
      <c r="D8375" s="19" t="s">
        <v>31</v>
      </c>
      <c r="E8375" s="21">
        <f t="shared" si="389"/>
        <v>1489.3699999999999</v>
      </c>
      <c r="F8375" s="22"/>
      <c r="G8375" s="21">
        <f t="shared" si="390"/>
        <v>1461.9000000000001</v>
      </c>
      <c r="H8375" s="22"/>
      <c r="I8375" s="23" t="str">
        <f t="shared" si="391"/>
        <v xml:space="preserve">COM VALOR</v>
      </c>
      <c r="J8375" s="19"/>
      <c r="L8375" s="21">
        <v>1489.3699999999999</v>
      </c>
      <c r="M8375" s="22">
        <v>4.0000000000000001e-002</v>
      </c>
      <c r="N8375" s="21">
        <v>1461.9000000000001</v>
      </c>
      <c r="O8375" s="22">
        <v>4.0000000000000001e-002</v>
      </c>
    </row>
    <row r="8376" ht="51">
      <c r="A8376" t="s">
        <v>8445</v>
      </c>
      <c r="B8376" s="19">
        <v>100597</v>
      </c>
      <c r="C8376" s="20" t="s">
        <v>8480</v>
      </c>
      <c r="D8376" s="19" t="s">
        <v>31</v>
      </c>
      <c r="E8376" s="21">
        <f t="shared" si="389"/>
        <v>1388.1099999999999</v>
      </c>
      <c r="F8376" s="22">
        <v>0</v>
      </c>
      <c r="G8376" s="21">
        <f t="shared" si="390"/>
        <v>1365.8099999999999</v>
      </c>
      <c r="H8376" s="22">
        <v>0</v>
      </c>
      <c r="I8376" s="23" t="str">
        <f t="shared" si="391"/>
        <v xml:space="preserve">COM VALOR</v>
      </c>
      <c r="J8376" s="19"/>
      <c r="L8376" s="21">
        <v>1388.1099999999999</v>
      </c>
      <c r="M8376" s="22">
        <v>4.0000000000000001e-002</v>
      </c>
      <c r="N8376" s="21">
        <v>1365.8099999999999</v>
      </c>
      <c r="O8376" s="22">
        <v>4.0000000000000001e-002</v>
      </c>
    </row>
    <row r="8377" ht="51">
      <c r="A8377" t="s">
        <v>8445</v>
      </c>
      <c r="B8377" s="19">
        <v>100603</v>
      </c>
      <c r="C8377" s="20" t="s">
        <v>8481</v>
      </c>
      <c r="D8377" s="19" t="s">
        <v>31</v>
      </c>
      <c r="E8377" s="21">
        <f t="shared" si="389"/>
        <v>1612.0799999999999</v>
      </c>
      <c r="F8377" s="22"/>
      <c r="G8377" s="21">
        <f t="shared" si="390"/>
        <v>1574.9100000000001</v>
      </c>
      <c r="H8377" s="22"/>
      <c r="I8377" s="23" t="str">
        <f t="shared" si="391"/>
        <v xml:space="preserve">COM VALOR</v>
      </c>
      <c r="J8377" s="19"/>
      <c r="L8377" s="21">
        <v>1612.0799999999999</v>
      </c>
      <c r="M8377" s="22">
        <v>2.9999999999999999e-002</v>
      </c>
      <c r="N8377" s="21">
        <v>1574.9100000000001</v>
      </c>
      <c r="O8377" s="22">
        <v>2.9999999999999999e-002</v>
      </c>
    </row>
    <row r="8378" ht="51">
      <c r="A8378" t="s">
        <v>8445</v>
      </c>
      <c r="B8378" s="19">
        <v>100599</v>
      </c>
      <c r="C8378" s="20" t="s">
        <v>8482</v>
      </c>
      <c r="D8378" s="19" t="s">
        <v>31</v>
      </c>
      <c r="E8378" s="21">
        <f t="shared" si="389"/>
        <v>683.07000000000005</v>
      </c>
      <c r="F8378" s="22"/>
      <c r="G8378" s="21">
        <f t="shared" si="390"/>
        <v>673.66999999999996</v>
      </c>
      <c r="H8378" s="22"/>
      <c r="I8378" s="23" t="str">
        <f t="shared" si="391"/>
        <v xml:space="preserve">COM VALOR</v>
      </c>
      <c r="J8378" s="19"/>
      <c r="L8378" s="21">
        <v>683.07000000000005</v>
      </c>
      <c r="M8378" s="22">
        <v>7.0000000000000007e-002</v>
      </c>
      <c r="N8378" s="21">
        <v>673.66999999999996</v>
      </c>
      <c r="O8378" s="22">
        <v>7.0000000000000007e-002</v>
      </c>
    </row>
    <row r="8379" ht="51">
      <c r="A8379" t="s">
        <v>8445</v>
      </c>
      <c r="B8379" s="19">
        <v>100600</v>
      </c>
      <c r="C8379" s="20" t="s">
        <v>8483</v>
      </c>
      <c r="D8379" s="19" t="s">
        <v>31</v>
      </c>
      <c r="E8379" s="21">
        <f t="shared" si="389"/>
        <v>774.71000000000004</v>
      </c>
      <c r="F8379" s="22"/>
      <c r="G8379" s="21">
        <f t="shared" si="390"/>
        <v>762.25999999999999</v>
      </c>
      <c r="H8379" s="22"/>
      <c r="I8379" s="23" t="str">
        <f t="shared" si="391"/>
        <v xml:space="preserve">COM VALOR</v>
      </c>
      <c r="J8379" s="19"/>
      <c r="L8379" s="21">
        <v>774.71000000000004</v>
      </c>
      <c r="M8379" s="22">
        <v>5.9999999999999998e-002</v>
      </c>
      <c r="N8379" s="21">
        <v>762.25999999999999</v>
      </c>
      <c r="O8379" s="22">
        <v>5.9999999999999998e-002</v>
      </c>
    </row>
    <row r="8380" ht="51">
      <c r="A8380" t="s">
        <v>8445</v>
      </c>
      <c r="B8380" s="19">
        <v>100601</v>
      </c>
      <c r="C8380" s="20" t="s">
        <v>8484</v>
      </c>
      <c r="D8380" s="19" t="s">
        <v>31</v>
      </c>
      <c r="E8380" s="21">
        <f t="shared" si="389"/>
        <v>927.88</v>
      </c>
      <c r="F8380" s="22"/>
      <c r="G8380" s="21">
        <f t="shared" si="390"/>
        <v>910.95000000000005</v>
      </c>
      <c r="H8380" s="22"/>
      <c r="I8380" s="23" t="str">
        <f t="shared" si="391"/>
        <v xml:space="preserve">COM VALOR</v>
      </c>
      <c r="J8380" s="19"/>
      <c r="L8380" s="21">
        <v>927.88</v>
      </c>
      <c r="M8380" s="22">
        <v>5.2499999999999998e-002</v>
      </c>
      <c r="N8380" s="21">
        <v>910.95000000000005</v>
      </c>
      <c r="O8380" s="22">
        <v>5.0000000000000003e-002</v>
      </c>
    </row>
    <row r="8381" ht="51">
      <c r="A8381" t="s">
        <v>8445</v>
      </c>
      <c r="B8381" s="19">
        <v>100602</v>
      </c>
      <c r="C8381" s="20" t="s">
        <v>8485</v>
      </c>
      <c r="D8381" s="19" t="s">
        <v>31</v>
      </c>
      <c r="E8381" s="21">
        <f t="shared" si="389"/>
        <v>1119.3399999999999</v>
      </c>
      <c r="F8381" s="22"/>
      <c r="G8381" s="21">
        <f t="shared" si="390"/>
        <v>1096.8</v>
      </c>
      <c r="H8381" s="22"/>
      <c r="I8381" s="23" t="str">
        <f t="shared" si="391"/>
        <v xml:space="preserve">COM VALOR</v>
      </c>
      <c r="J8381" s="19"/>
      <c r="L8381" s="21">
        <v>1119.3399999999999</v>
      </c>
      <c r="M8381" s="22">
        <v>4.0000000000000001e-002</v>
      </c>
      <c r="N8381" s="21">
        <v>1096.8</v>
      </c>
      <c r="O8381" s="22">
        <v>4.0000000000000001e-002</v>
      </c>
    </row>
    <row r="8382" ht="38.25">
      <c r="A8382" t="s">
        <v>8445</v>
      </c>
      <c r="B8382" s="19">
        <v>100578</v>
      </c>
      <c r="C8382" s="20" t="s">
        <v>8486</v>
      </c>
      <c r="D8382" s="19" t="s">
        <v>31</v>
      </c>
      <c r="E8382" s="21">
        <f t="shared" si="389"/>
        <v>659.72000000000003</v>
      </c>
      <c r="F8382" s="22">
        <v>0</v>
      </c>
      <c r="G8382" s="21">
        <f t="shared" si="390"/>
        <v>649.22000000000003</v>
      </c>
      <c r="H8382" s="22">
        <v>0</v>
      </c>
      <c r="I8382" s="23" t="str">
        <f t="shared" si="391"/>
        <v xml:space="preserve">COM VALOR</v>
      </c>
      <c r="J8382" s="19"/>
      <c r="L8382" s="21">
        <v>659.72000000000003</v>
      </c>
      <c r="M8382" s="22">
        <v>7.0000000000000007e-002</v>
      </c>
      <c r="N8382" s="21">
        <v>649.22000000000003</v>
      </c>
      <c r="O8382" s="22">
        <v>8.0000000000000002e-002</v>
      </c>
    </row>
    <row r="8383" ht="25.5">
      <c r="A8383" t="s">
        <v>8445</v>
      </c>
      <c r="B8383" s="19">
        <v>105975</v>
      </c>
      <c r="C8383" s="20" t="s">
        <v>8487</v>
      </c>
      <c r="D8383" s="19" t="s">
        <v>38</v>
      </c>
      <c r="E8383" s="21" t="str">
        <f t="shared" si="389"/>
        <v>VERIFICAR</v>
      </c>
      <c r="F8383" s="22"/>
      <c r="G8383" s="21" t="str">
        <f t="shared" si="390"/>
        <v>VERIFICAR</v>
      </c>
      <c r="H8383" s="22"/>
      <c r="I8383" s="23" t="str">
        <f t="shared" si="391"/>
        <v xml:space="preserve">COM VALOR</v>
      </c>
      <c r="J8383" s="19"/>
      <c r="L8383" s="21">
        <v>0</v>
      </c>
      <c r="M8383" s="22"/>
      <c r="N8383" s="21">
        <v>0</v>
      </c>
      <c r="O8383" s="22"/>
    </row>
    <row r="8384" ht="25.5">
      <c r="A8384" t="s">
        <v>8445</v>
      </c>
      <c r="B8384" s="19">
        <v>105976</v>
      </c>
      <c r="C8384" s="20" t="s">
        <v>8488</v>
      </c>
      <c r="D8384" s="19" t="s">
        <v>38</v>
      </c>
      <c r="E8384" s="21" t="str">
        <f t="shared" si="389"/>
        <v>VERIFICAR</v>
      </c>
      <c r="F8384" s="22"/>
      <c r="G8384" s="21" t="str">
        <f t="shared" si="390"/>
        <v>VERIFICAR</v>
      </c>
      <c r="H8384" s="22"/>
      <c r="I8384" s="23" t="str">
        <f t="shared" si="391"/>
        <v xml:space="preserve">COM VALOR</v>
      </c>
      <c r="J8384" s="19"/>
      <c r="L8384" s="21">
        <v>0</v>
      </c>
      <c r="M8384" s="22"/>
      <c r="N8384" s="21">
        <v>0</v>
      </c>
      <c r="O8384" s="22"/>
    </row>
    <row r="8385" ht="25.5">
      <c r="A8385" t="s">
        <v>8445</v>
      </c>
      <c r="B8385" s="19">
        <v>105977</v>
      </c>
      <c r="C8385" s="20" t="s">
        <v>8489</v>
      </c>
      <c r="D8385" s="19" t="s">
        <v>38</v>
      </c>
      <c r="E8385" s="21" t="str">
        <f t="shared" si="389"/>
        <v>VERIFICAR</v>
      </c>
      <c r="F8385" s="22"/>
      <c r="G8385" s="21" t="str">
        <f t="shared" si="390"/>
        <v>VERIFICAR</v>
      </c>
      <c r="H8385" s="22"/>
      <c r="I8385" s="23" t="str">
        <f t="shared" si="391"/>
        <v xml:space="preserve">COM VALOR</v>
      </c>
      <c r="J8385" s="19"/>
      <c r="L8385" s="21">
        <v>0</v>
      </c>
      <c r="M8385" s="22"/>
      <c r="N8385" s="21">
        <v>0</v>
      </c>
      <c r="O8385" s="22"/>
    </row>
    <row r="8386" ht="25.5">
      <c r="A8386" t="s">
        <v>8445</v>
      </c>
      <c r="B8386" s="19">
        <v>105978</v>
      </c>
      <c r="C8386" s="20" t="s">
        <v>8490</v>
      </c>
      <c r="D8386" s="19" t="s">
        <v>38</v>
      </c>
      <c r="E8386" s="21" t="str">
        <f t="shared" si="389"/>
        <v>VERIFICAR</v>
      </c>
      <c r="F8386" s="22"/>
      <c r="G8386" s="21" t="str">
        <f t="shared" si="390"/>
        <v>VERIFICAR</v>
      </c>
      <c r="H8386" s="22"/>
      <c r="I8386" s="23" t="str">
        <f t="shared" si="391"/>
        <v xml:space="preserve">COM VALOR</v>
      </c>
      <c r="J8386" s="19"/>
      <c r="L8386" s="21">
        <v>0</v>
      </c>
      <c r="M8386" s="22"/>
      <c r="N8386" s="21">
        <v>0</v>
      </c>
      <c r="O8386" s="22"/>
    </row>
    <row r="8387" ht="25.5">
      <c r="A8387" t="s">
        <v>8445</v>
      </c>
      <c r="B8387" s="19">
        <v>105970</v>
      </c>
      <c r="C8387" s="20" t="s">
        <v>8491</v>
      </c>
      <c r="D8387" s="19" t="s">
        <v>31</v>
      </c>
      <c r="E8387" s="21" t="str">
        <f t="shared" si="389"/>
        <v>VERIFICAR</v>
      </c>
      <c r="F8387" s="22"/>
      <c r="G8387" s="21" t="str">
        <f t="shared" si="390"/>
        <v>VERIFICAR</v>
      </c>
      <c r="H8387" s="22"/>
      <c r="I8387" s="23" t="str">
        <f t="shared" si="391"/>
        <v xml:space="preserve">COM VALOR</v>
      </c>
      <c r="J8387" s="19"/>
      <c r="L8387" s="21">
        <v>0</v>
      </c>
      <c r="M8387" s="22"/>
      <c r="N8387" s="21">
        <v>0</v>
      </c>
      <c r="O8387" s="22"/>
    </row>
    <row r="8388" ht="25.5">
      <c r="A8388" t="s">
        <v>8445</v>
      </c>
      <c r="B8388" s="19">
        <v>105972</v>
      </c>
      <c r="C8388" s="20" t="s">
        <v>8492</v>
      </c>
      <c r="D8388" s="19" t="s">
        <v>31</v>
      </c>
      <c r="E8388" s="21" t="str">
        <f t="shared" si="389"/>
        <v>VERIFICAR</v>
      </c>
      <c r="F8388" s="22">
        <v>0</v>
      </c>
      <c r="G8388" s="21" t="str">
        <f t="shared" si="390"/>
        <v>VERIFICAR</v>
      </c>
      <c r="H8388" s="22">
        <v>0</v>
      </c>
      <c r="I8388" s="23" t="str">
        <f t="shared" si="391"/>
        <v xml:space="preserve">COM VALOR</v>
      </c>
      <c r="J8388" s="19"/>
      <c r="L8388" s="21">
        <v>0</v>
      </c>
      <c r="M8388" s="22"/>
      <c r="N8388" s="21">
        <v>0</v>
      </c>
      <c r="O8388" s="22"/>
    </row>
    <row r="8389" ht="25.5">
      <c r="A8389" t="s">
        <v>8445</v>
      </c>
      <c r="B8389" s="19">
        <v>105973</v>
      </c>
      <c r="C8389" s="20" t="s">
        <v>8493</v>
      </c>
      <c r="D8389" s="19" t="s">
        <v>31</v>
      </c>
      <c r="E8389" s="21" t="str">
        <f t="shared" si="389"/>
        <v>VERIFICAR</v>
      </c>
      <c r="F8389" s="22"/>
      <c r="G8389" s="21" t="str">
        <f t="shared" si="390"/>
        <v>VERIFICAR</v>
      </c>
      <c r="H8389" s="22"/>
      <c r="I8389" s="23" t="str">
        <f t="shared" si="391"/>
        <v xml:space="preserve">COM VALOR</v>
      </c>
      <c r="J8389" s="19"/>
      <c r="L8389" s="21">
        <v>0</v>
      </c>
      <c r="M8389" s="22"/>
      <c r="N8389" s="21">
        <v>0</v>
      </c>
      <c r="O8389" s="22"/>
    </row>
    <row r="8390" ht="25.5">
      <c r="A8390" t="s">
        <v>8445</v>
      </c>
      <c r="B8390" s="19">
        <v>105974</v>
      </c>
      <c r="C8390" s="20" t="s">
        <v>8494</v>
      </c>
      <c r="D8390" s="19" t="s">
        <v>31</v>
      </c>
      <c r="E8390" s="21" t="str">
        <f t="shared" si="389"/>
        <v>VERIFICAR</v>
      </c>
      <c r="F8390" s="22">
        <v>0</v>
      </c>
      <c r="G8390" s="21" t="str">
        <f t="shared" si="390"/>
        <v>VERIFICAR</v>
      </c>
      <c r="H8390" s="22">
        <v>0</v>
      </c>
      <c r="I8390" s="23" t="str">
        <f t="shared" si="391"/>
        <v xml:space="preserve">COM VALOR</v>
      </c>
      <c r="J8390" s="19"/>
      <c r="L8390" s="21">
        <v>0</v>
      </c>
      <c r="M8390" s="22"/>
      <c r="N8390" s="21">
        <v>0</v>
      </c>
      <c r="O8390" s="22"/>
    </row>
    <row r="8391" ht="25.5">
      <c r="A8391" t="s">
        <v>8445</v>
      </c>
      <c r="B8391" s="19">
        <v>105971</v>
      </c>
      <c r="C8391" s="20" t="s">
        <v>8495</v>
      </c>
      <c r="D8391" s="19" t="s">
        <v>31</v>
      </c>
      <c r="E8391" s="21" t="str">
        <f t="shared" si="389"/>
        <v>VERIFICAR</v>
      </c>
      <c r="F8391" s="22"/>
      <c r="G8391" s="21" t="str">
        <f t="shared" si="390"/>
        <v>VERIFICAR</v>
      </c>
      <c r="H8391" s="22"/>
      <c r="I8391" s="23" t="str">
        <f t="shared" si="391"/>
        <v xml:space="preserve">COM VALOR</v>
      </c>
      <c r="J8391" s="19"/>
      <c r="L8391" s="21">
        <v>0</v>
      </c>
      <c r="M8391" s="22"/>
      <c r="N8391" s="21">
        <v>0</v>
      </c>
      <c r="O8391" s="22"/>
    </row>
    <row r="8392" ht="38.25">
      <c r="A8392" t="s">
        <v>8445</v>
      </c>
      <c r="B8392" s="19">
        <v>105967</v>
      </c>
      <c r="C8392" s="20" t="s">
        <v>8496</v>
      </c>
      <c r="D8392" s="19" t="s">
        <v>31</v>
      </c>
      <c r="E8392" s="21" t="str">
        <f t="shared" si="389"/>
        <v>VERIFICAR</v>
      </c>
      <c r="F8392" s="22">
        <v>0</v>
      </c>
      <c r="G8392" s="21" t="str">
        <f t="shared" si="390"/>
        <v>VERIFICAR</v>
      </c>
      <c r="H8392" s="22">
        <v>0</v>
      </c>
      <c r="I8392" s="23" t="str">
        <f t="shared" si="391"/>
        <v xml:space="preserve">COM VALOR</v>
      </c>
      <c r="J8392" s="19"/>
      <c r="L8392" s="21">
        <v>0</v>
      </c>
      <c r="M8392" s="22"/>
      <c r="N8392" s="21">
        <v>0</v>
      </c>
      <c r="O8392" s="22"/>
    </row>
    <row r="8393" ht="38.25">
      <c r="A8393" t="s">
        <v>8445</v>
      </c>
      <c r="B8393" s="19">
        <v>105968</v>
      </c>
      <c r="C8393" s="20" t="s">
        <v>8497</v>
      </c>
      <c r="D8393" s="19" t="s">
        <v>31</v>
      </c>
      <c r="E8393" s="21" t="str">
        <f t="shared" si="389"/>
        <v>VERIFICAR</v>
      </c>
      <c r="F8393" s="22"/>
      <c r="G8393" s="21" t="str">
        <f t="shared" si="390"/>
        <v>VERIFICAR</v>
      </c>
      <c r="H8393" s="22"/>
      <c r="I8393" s="23" t="str">
        <f t="shared" si="391"/>
        <v xml:space="preserve">COM VALOR</v>
      </c>
      <c r="J8393" s="19"/>
      <c r="L8393" s="21">
        <v>0</v>
      </c>
      <c r="M8393" s="22"/>
      <c r="N8393" s="21">
        <v>0</v>
      </c>
      <c r="O8393" s="22"/>
    </row>
    <row r="8394" ht="38.25">
      <c r="A8394" t="s">
        <v>8445</v>
      </c>
      <c r="B8394" s="19">
        <v>105969</v>
      </c>
      <c r="C8394" s="20" t="s">
        <v>8498</v>
      </c>
      <c r="D8394" s="19" t="s">
        <v>31</v>
      </c>
      <c r="E8394" s="21" t="str">
        <f t="shared" si="389"/>
        <v>VERIFICAR</v>
      </c>
      <c r="F8394" s="22">
        <v>0</v>
      </c>
      <c r="G8394" s="21" t="str">
        <f t="shared" si="390"/>
        <v>VERIFICAR</v>
      </c>
      <c r="H8394" s="22">
        <v>0</v>
      </c>
      <c r="I8394" s="23" t="str">
        <f t="shared" si="391"/>
        <v xml:space="preserve">COM VALOR</v>
      </c>
      <c r="J8394" s="19"/>
      <c r="L8394" s="21">
        <v>0</v>
      </c>
      <c r="M8394" s="22"/>
      <c r="N8394" s="21">
        <v>0</v>
      </c>
      <c r="O8394" s="22"/>
    </row>
    <row r="8395" ht="38.25">
      <c r="A8395" t="s">
        <v>8445</v>
      </c>
      <c r="B8395" s="19">
        <v>100623</v>
      </c>
      <c r="C8395" s="20" t="s">
        <v>8499</v>
      </c>
      <c r="D8395" s="19" t="s">
        <v>31</v>
      </c>
      <c r="E8395" s="21">
        <f t="shared" ref="E8395:E8458" si="392">IF(L8395=0,"VERIFICAR",L8395)</f>
        <v>2567.9299999999998</v>
      </c>
      <c r="F8395" s="22"/>
      <c r="G8395" s="21">
        <f t="shared" ref="G8395:G8458" si="393">IF(N8395=0,"VERIFICAR",N8395)</f>
        <v>2560.1599999999999</v>
      </c>
      <c r="H8395" s="22"/>
      <c r="I8395" s="23" t="str">
        <f t="shared" ref="I8395:I8458" si="394">IF(OR(E8395=0,G8395=0),"SEM VALOR","COM VALOR")</f>
        <v xml:space="preserve">COM VALOR</v>
      </c>
      <c r="J8395" s="19"/>
      <c r="L8395" s="21">
        <v>2567.9299999999998</v>
      </c>
      <c r="M8395" s="22">
        <v>0.77000000000000002</v>
      </c>
      <c r="N8395" s="21">
        <v>2560.1599999999999</v>
      </c>
      <c r="O8395" s="22">
        <v>0.78000000000000003</v>
      </c>
    </row>
    <row r="8396" ht="25.5">
      <c r="A8396" t="s">
        <v>8445</v>
      </c>
      <c r="B8396" s="19">
        <v>105964</v>
      </c>
      <c r="C8396" s="20" t="s">
        <v>8500</v>
      </c>
      <c r="D8396" s="19" t="s">
        <v>31</v>
      </c>
      <c r="E8396" s="21" t="str">
        <f t="shared" si="392"/>
        <v>VERIFICAR</v>
      </c>
      <c r="F8396" s="22">
        <v>0</v>
      </c>
      <c r="G8396" s="21" t="str">
        <f t="shared" si="393"/>
        <v>VERIFICAR</v>
      </c>
      <c r="H8396" s="22">
        <v>0</v>
      </c>
      <c r="I8396" s="23" t="str">
        <f t="shared" si="394"/>
        <v xml:space="preserve">COM VALOR</v>
      </c>
      <c r="J8396" s="19"/>
      <c r="L8396" s="21">
        <v>0</v>
      </c>
      <c r="M8396" s="22"/>
      <c r="N8396" s="21">
        <v>0</v>
      </c>
      <c r="O8396" s="22"/>
    </row>
    <row r="8397" ht="25.5">
      <c r="A8397" t="s">
        <v>8445</v>
      </c>
      <c r="B8397" s="19">
        <v>105965</v>
      </c>
      <c r="C8397" s="20" t="s">
        <v>8501</v>
      </c>
      <c r="D8397" s="19" t="s">
        <v>31</v>
      </c>
      <c r="E8397" s="21" t="str">
        <f t="shared" si="392"/>
        <v>VERIFICAR</v>
      </c>
      <c r="F8397" s="22"/>
      <c r="G8397" s="21" t="str">
        <f t="shared" si="393"/>
        <v>VERIFICAR</v>
      </c>
      <c r="H8397" s="22"/>
      <c r="I8397" s="23" t="str">
        <f t="shared" si="394"/>
        <v xml:space="preserve">COM VALOR</v>
      </c>
      <c r="J8397" s="19"/>
      <c r="L8397" s="21">
        <v>0</v>
      </c>
      <c r="M8397" s="22"/>
      <c r="N8397" s="21">
        <v>0</v>
      </c>
      <c r="O8397" s="22"/>
    </row>
    <row r="8398" ht="25.5">
      <c r="A8398" t="s">
        <v>8445</v>
      </c>
      <c r="B8398" s="19">
        <v>105966</v>
      </c>
      <c r="C8398" s="20" t="s">
        <v>8502</v>
      </c>
      <c r="D8398" s="19" t="s">
        <v>31</v>
      </c>
      <c r="E8398" s="21" t="str">
        <f t="shared" si="392"/>
        <v>VERIFICAR</v>
      </c>
      <c r="F8398" s="22">
        <v>0</v>
      </c>
      <c r="G8398" s="21" t="str">
        <f t="shared" si="393"/>
        <v>VERIFICAR</v>
      </c>
      <c r="H8398" s="22">
        <v>0</v>
      </c>
      <c r="I8398" s="23" t="str">
        <f t="shared" si="394"/>
        <v xml:space="preserve">COM VALOR</v>
      </c>
      <c r="J8398" s="19"/>
      <c r="L8398" s="21">
        <v>0</v>
      </c>
      <c r="M8398" s="22"/>
      <c r="N8398" s="21">
        <v>0</v>
      </c>
      <c r="O8398" s="22"/>
    </row>
    <row r="8399" ht="25.5">
      <c r="A8399" t="s">
        <v>8445</v>
      </c>
      <c r="B8399" s="19">
        <v>100621</v>
      </c>
      <c r="C8399" s="20" t="s">
        <v>8503</v>
      </c>
      <c r="D8399" s="19" t="s">
        <v>31</v>
      </c>
      <c r="E8399" s="21">
        <f t="shared" si="392"/>
        <v>3157.6100000000001</v>
      </c>
      <c r="F8399" s="22"/>
      <c r="G8399" s="21">
        <f t="shared" si="393"/>
        <v>3152.79</v>
      </c>
      <c r="H8399" s="22"/>
      <c r="I8399" s="23" t="str">
        <f t="shared" si="394"/>
        <v xml:space="preserve">COM VALOR</v>
      </c>
      <c r="J8399" s="19"/>
      <c r="L8399" s="21">
        <v>3157.6100000000001</v>
      </c>
      <c r="M8399" s="22">
        <v>0.70999999999999996</v>
      </c>
      <c r="N8399" s="21">
        <v>3152.79</v>
      </c>
      <c r="O8399" s="22">
        <v>0.70999999999999996</v>
      </c>
    </row>
    <row r="8400" ht="38.25">
      <c r="A8400" t="s">
        <v>8445</v>
      </c>
      <c r="B8400" s="19">
        <v>105960</v>
      </c>
      <c r="C8400" s="20" t="s">
        <v>8504</v>
      </c>
      <c r="D8400" s="19" t="s">
        <v>31</v>
      </c>
      <c r="E8400" s="21" t="str">
        <f t="shared" si="392"/>
        <v>VERIFICAR</v>
      </c>
      <c r="F8400" s="22">
        <v>0</v>
      </c>
      <c r="G8400" s="21" t="str">
        <f t="shared" si="393"/>
        <v>VERIFICAR</v>
      </c>
      <c r="H8400" s="22">
        <v>0</v>
      </c>
      <c r="I8400" s="23" t="str">
        <f t="shared" si="394"/>
        <v xml:space="preserve">COM VALOR</v>
      </c>
      <c r="J8400" s="19"/>
      <c r="L8400" s="21">
        <v>0</v>
      </c>
      <c r="M8400" s="22"/>
      <c r="N8400" s="21">
        <v>0</v>
      </c>
      <c r="O8400" s="22"/>
    </row>
    <row r="8401" ht="38.25">
      <c r="A8401" t="s">
        <v>8445</v>
      </c>
      <c r="B8401" s="19">
        <v>105961</v>
      </c>
      <c r="C8401" s="20" t="s">
        <v>8505</v>
      </c>
      <c r="D8401" s="19" t="s">
        <v>31</v>
      </c>
      <c r="E8401" s="21" t="str">
        <f t="shared" si="392"/>
        <v>VERIFICAR</v>
      </c>
      <c r="F8401" s="22">
        <v>0</v>
      </c>
      <c r="G8401" s="21" t="str">
        <f t="shared" si="393"/>
        <v>VERIFICAR</v>
      </c>
      <c r="H8401" s="22">
        <v>0</v>
      </c>
      <c r="I8401" s="23" t="str">
        <f t="shared" si="394"/>
        <v xml:space="preserve">COM VALOR</v>
      </c>
      <c r="J8401" s="19"/>
      <c r="L8401" s="21">
        <v>0</v>
      </c>
      <c r="M8401" s="22"/>
      <c r="N8401" s="21">
        <v>0</v>
      </c>
      <c r="O8401" s="22"/>
    </row>
    <row r="8402" ht="38.25">
      <c r="A8402" t="s">
        <v>8445</v>
      </c>
      <c r="B8402" s="19">
        <v>105962</v>
      </c>
      <c r="C8402" s="20" t="s">
        <v>8506</v>
      </c>
      <c r="D8402" s="19" t="s">
        <v>31</v>
      </c>
      <c r="E8402" s="21" t="str">
        <f t="shared" si="392"/>
        <v>VERIFICAR</v>
      </c>
      <c r="F8402" s="22">
        <v>0</v>
      </c>
      <c r="G8402" s="21" t="str">
        <f t="shared" si="393"/>
        <v>VERIFICAR</v>
      </c>
      <c r="H8402" s="22">
        <v>0</v>
      </c>
      <c r="I8402" s="23" t="str">
        <f t="shared" si="394"/>
        <v xml:space="preserve">COM VALOR</v>
      </c>
      <c r="J8402" s="19"/>
      <c r="L8402" s="21">
        <v>0</v>
      </c>
      <c r="M8402" s="22"/>
      <c r="N8402" s="21">
        <v>0</v>
      </c>
      <c r="O8402" s="22"/>
    </row>
    <row r="8403" ht="38.25">
      <c r="A8403" t="s">
        <v>8445</v>
      </c>
      <c r="B8403" s="19">
        <v>105963</v>
      </c>
      <c r="C8403" s="20" t="s">
        <v>8507</v>
      </c>
      <c r="D8403" s="19" t="s">
        <v>31</v>
      </c>
      <c r="E8403" s="21" t="str">
        <f t="shared" si="392"/>
        <v>VERIFICAR</v>
      </c>
      <c r="F8403" s="22">
        <v>0</v>
      </c>
      <c r="G8403" s="21" t="str">
        <f t="shared" si="393"/>
        <v>VERIFICAR</v>
      </c>
      <c r="H8403" s="22">
        <v>0</v>
      </c>
      <c r="I8403" s="23" t="str">
        <f t="shared" si="394"/>
        <v xml:space="preserve">COM VALOR</v>
      </c>
      <c r="J8403" s="19"/>
      <c r="L8403" s="21">
        <v>0</v>
      </c>
      <c r="M8403" s="22"/>
      <c r="N8403" s="21">
        <v>0</v>
      </c>
      <c r="O8403" s="22"/>
    </row>
    <row r="8404" ht="38.25">
      <c r="A8404" t="s">
        <v>8445</v>
      </c>
      <c r="B8404" s="19">
        <v>100622</v>
      </c>
      <c r="C8404" s="20" t="s">
        <v>8508</v>
      </c>
      <c r="D8404" s="19" t="s">
        <v>31</v>
      </c>
      <c r="E8404" s="21">
        <f t="shared" si="392"/>
        <v>2499.0300000000002</v>
      </c>
      <c r="F8404" s="22">
        <v>0</v>
      </c>
      <c r="G8404" s="21">
        <f t="shared" si="393"/>
        <v>2491.52</v>
      </c>
      <c r="H8404" s="22">
        <v>0</v>
      </c>
      <c r="I8404" s="23" t="str">
        <f t="shared" si="394"/>
        <v xml:space="preserve">COM VALOR</v>
      </c>
      <c r="J8404" s="19"/>
      <c r="L8404" s="21">
        <v>2499.0300000000002</v>
      </c>
      <c r="M8404" s="22">
        <v>0.77000000000000002</v>
      </c>
      <c r="N8404" s="21">
        <v>2491.52</v>
      </c>
      <c r="O8404" s="22">
        <v>0.77000000000000002</v>
      </c>
    </row>
    <row r="8405" ht="25.5">
      <c r="A8405" t="s">
        <v>8445</v>
      </c>
      <c r="B8405" s="19">
        <v>105956</v>
      </c>
      <c r="C8405" s="20" t="s">
        <v>8509</v>
      </c>
      <c r="D8405" s="19" t="s">
        <v>31</v>
      </c>
      <c r="E8405" s="21" t="str">
        <f t="shared" si="392"/>
        <v>VERIFICAR</v>
      </c>
      <c r="F8405" s="22">
        <v>0</v>
      </c>
      <c r="G8405" s="21" t="str">
        <f t="shared" si="393"/>
        <v>VERIFICAR</v>
      </c>
      <c r="H8405" s="22">
        <v>0</v>
      </c>
      <c r="I8405" s="23" t="str">
        <f t="shared" si="394"/>
        <v xml:space="preserve">COM VALOR</v>
      </c>
      <c r="J8405" s="19"/>
      <c r="L8405" s="21">
        <v>0</v>
      </c>
      <c r="M8405" s="22"/>
      <c r="N8405" s="21">
        <v>0</v>
      </c>
      <c r="O8405" s="22"/>
    </row>
    <row r="8406" ht="25.5">
      <c r="A8406" t="s">
        <v>8445</v>
      </c>
      <c r="B8406" s="19">
        <v>105957</v>
      </c>
      <c r="C8406" s="20" t="s">
        <v>8510</v>
      </c>
      <c r="D8406" s="19" t="s">
        <v>31</v>
      </c>
      <c r="E8406" s="21" t="str">
        <f t="shared" si="392"/>
        <v>VERIFICAR</v>
      </c>
      <c r="F8406" s="22">
        <v>1.e-002</v>
      </c>
      <c r="G8406" s="21" t="str">
        <f t="shared" si="393"/>
        <v>VERIFICAR</v>
      </c>
      <c r="H8406" s="22">
        <v>2.e-002</v>
      </c>
      <c r="I8406" s="23" t="str">
        <f t="shared" si="394"/>
        <v xml:space="preserve">COM VALOR</v>
      </c>
      <c r="J8406" s="19"/>
      <c r="L8406" s="21">
        <v>0</v>
      </c>
      <c r="M8406" s="22"/>
      <c r="N8406" s="21">
        <v>0</v>
      </c>
      <c r="O8406" s="22"/>
    </row>
    <row r="8407" ht="25.5">
      <c r="A8407" t="s">
        <v>8445</v>
      </c>
      <c r="B8407" s="19">
        <v>105958</v>
      </c>
      <c r="C8407" s="20" t="s">
        <v>8511</v>
      </c>
      <c r="D8407" s="19" t="s">
        <v>31</v>
      </c>
      <c r="E8407" s="21">
        <f t="shared" si="392"/>
        <v>2192.6100000000001</v>
      </c>
      <c r="F8407" s="22">
        <v>2.e-002</v>
      </c>
      <c r="G8407" s="21">
        <f t="shared" si="393"/>
        <v>2186.6700000000001</v>
      </c>
      <c r="H8407" s="22">
        <v>2.e-002</v>
      </c>
      <c r="I8407" s="23" t="str">
        <f t="shared" si="394"/>
        <v xml:space="preserve">COM VALOR</v>
      </c>
      <c r="J8407" s="19"/>
      <c r="L8407" s="21">
        <v>2192.6100000000001</v>
      </c>
      <c r="M8407" s="22">
        <v>0.63</v>
      </c>
      <c r="N8407" s="21">
        <v>2186.6700000000001</v>
      </c>
      <c r="O8407" s="22">
        <v>0.63</v>
      </c>
    </row>
    <row r="8408" ht="25.5">
      <c r="A8408" t="s">
        <v>8445</v>
      </c>
      <c r="B8408" s="19">
        <v>105959</v>
      </c>
      <c r="C8408" s="20" t="s">
        <v>8512</v>
      </c>
      <c r="D8408" s="19" t="s">
        <v>31</v>
      </c>
      <c r="E8408" s="21" t="str">
        <f t="shared" si="392"/>
        <v>VERIFICAR</v>
      </c>
      <c r="F8408" s="22">
        <v>0</v>
      </c>
      <c r="G8408" s="21" t="str">
        <f t="shared" si="393"/>
        <v>VERIFICAR</v>
      </c>
      <c r="H8408" s="22">
        <v>0</v>
      </c>
      <c r="I8408" s="23" t="str">
        <f t="shared" si="394"/>
        <v xml:space="preserve">COM VALOR</v>
      </c>
      <c r="J8408" s="19"/>
      <c r="L8408" s="21">
        <v>0</v>
      </c>
      <c r="M8408" s="22"/>
      <c r="N8408" s="21">
        <v>0</v>
      </c>
      <c r="O8408" s="22"/>
    </row>
    <row r="8409" ht="25.5">
      <c r="A8409" t="s">
        <v>8445</v>
      </c>
      <c r="B8409" s="19">
        <v>100620</v>
      </c>
      <c r="C8409" s="20" t="s">
        <v>8513</v>
      </c>
      <c r="D8409" s="19" t="s">
        <v>31</v>
      </c>
      <c r="E8409" s="21">
        <f t="shared" si="392"/>
        <v>2822.9000000000001</v>
      </c>
      <c r="F8409" s="22">
        <v>0</v>
      </c>
      <c r="G8409" s="21">
        <f t="shared" si="393"/>
        <v>2818.3499999999999</v>
      </c>
      <c r="H8409" s="22">
        <v>0</v>
      </c>
      <c r="I8409" s="23" t="str">
        <f t="shared" si="394"/>
        <v xml:space="preserve">COM VALOR</v>
      </c>
      <c r="J8409" s="19"/>
      <c r="L8409" s="21">
        <v>2822.9000000000001</v>
      </c>
      <c r="M8409" s="22">
        <v>0.68000000000000005</v>
      </c>
      <c r="N8409" s="21">
        <v>2818.3499999999999</v>
      </c>
      <c r="O8409" s="22">
        <v>0.68000000000000005</v>
      </c>
    </row>
    <row r="8410" ht="25.5">
      <c r="A8410" t="s">
        <v>8445</v>
      </c>
      <c r="B8410" s="19">
        <v>105951</v>
      </c>
      <c r="C8410" s="20" t="s">
        <v>8514</v>
      </c>
      <c r="D8410" s="19" t="s">
        <v>31</v>
      </c>
      <c r="E8410" s="21" t="str">
        <f t="shared" si="392"/>
        <v>VERIFICAR</v>
      </c>
      <c r="F8410" s="22">
        <v>0</v>
      </c>
      <c r="G8410" s="21" t="str">
        <f t="shared" si="393"/>
        <v>VERIFICAR</v>
      </c>
      <c r="H8410" s="22">
        <v>0</v>
      </c>
      <c r="I8410" s="23" t="str">
        <f t="shared" si="394"/>
        <v xml:space="preserve">COM VALOR</v>
      </c>
      <c r="J8410" s="19"/>
      <c r="L8410" s="21">
        <v>0</v>
      </c>
      <c r="M8410" s="22"/>
      <c r="N8410" s="21">
        <v>0</v>
      </c>
      <c r="O8410" s="22"/>
    </row>
    <row r="8411" ht="25.5">
      <c r="A8411" t="s">
        <v>8445</v>
      </c>
      <c r="B8411" s="19">
        <v>105952</v>
      </c>
      <c r="C8411" s="20" t="s">
        <v>8515</v>
      </c>
      <c r="D8411" s="19" t="s">
        <v>31</v>
      </c>
      <c r="E8411" s="21" t="str">
        <f t="shared" si="392"/>
        <v>VERIFICAR</v>
      </c>
      <c r="F8411" s="22">
        <v>0</v>
      </c>
      <c r="G8411" s="21" t="str">
        <f t="shared" si="393"/>
        <v>VERIFICAR</v>
      </c>
      <c r="H8411" s="22">
        <v>0</v>
      </c>
      <c r="I8411" s="23" t="str">
        <f t="shared" si="394"/>
        <v xml:space="preserve">COM VALOR</v>
      </c>
      <c r="J8411" s="19"/>
      <c r="L8411" s="21">
        <v>0</v>
      </c>
      <c r="M8411" s="22"/>
      <c r="N8411" s="21">
        <v>0</v>
      </c>
      <c r="O8411" s="22"/>
    </row>
    <row r="8412" ht="25.5">
      <c r="A8412" t="s">
        <v>8445</v>
      </c>
      <c r="B8412" s="19">
        <v>105953</v>
      </c>
      <c r="C8412" s="20" t="s">
        <v>8516</v>
      </c>
      <c r="D8412" s="19" t="s">
        <v>31</v>
      </c>
      <c r="E8412" s="21">
        <f t="shared" si="392"/>
        <v>1943.54</v>
      </c>
      <c r="F8412" s="22"/>
      <c r="G8412" s="21">
        <f t="shared" si="393"/>
        <v>1936.3599999999999</v>
      </c>
      <c r="H8412" s="22"/>
      <c r="I8412" s="23" t="str">
        <f t="shared" si="394"/>
        <v xml:space="preserve">COM VALOR</v>
      </c>
      <c r="J8412" s="19"/>
      <c r="L8412" s="21">
        <v>1943.54</v>
      </c>
      <c r="M8412" s="22">
        <v>0.75</v>
      </c>
      <c r="N8412" s="21">
        <v>1936.3599999999999</v>
      </c>
      <c r="O8412" s="22">
        <v>0.76000000000000001</v>
      </c>
    </row>
    <row r="8413" ht="25.5">
      <c r="A8413" t="s">
        <v>8445</v>
      </c>
      <c r="B8413" s="19">
        <v>105954</v>
      </c>
      <c r="C8413" s="20" t="s">
        <v>8517</v>
      </c>
      <c r="D8413" s="19" t="s">
        <v>31</v>
      </c>
      <c r="E8413" s="21" t="str">
        <f t="shared" si="392"/>
        <v>VERIFICAR</v>
      </c>
      <c r="F8413" s="22">
        <v>0</v>
      </c>
      <c r="G8413" s="21" t="str">
        <f t="shared" si="393"/>
        <v>VERIFICAR</v>
      </c>
      <c r="H8413" s="22">
        <v>0</v>
      </c>
      <c r="I8413" s="23" t="str">
        <f t="shared" si="394"/>
        <v xml:space="preserve">COM VALOR</v>
      </c>
      <c r="J8413" s="19"/>
      <c r="L8413" s="21">
        <v>0</v>
      </c>
      <c r="M8413" s="22"/>
      <c r="N8413" s="21">
        <v>0</v>
      </c>
      <c r="O8413" s="22"/>
    </row>
    <row r="8414" ht="25.5">
      <c r="A8414" t="s">
        <v>8445</v>
      </c>
      <c r="B8414" s="19">
        <v>105955</v>
      </c>
      <c r="C8414" s="20" t="s">
        <v>8518</v>
      </c>
      <c r="D8414" s="19" t="s">
        <v>31</v>
      </c>
      <c r="E8414" s="21">
        <f t="shared" si="392"/>
        <v>2589.6199999999999</v>
      </c>
      <c r="F8414" s="22">
        <v>0</v>
      </c>
      <c r="G8414" s="21">
        <f t="shared" si="393"/>
        <v>2581.7399999999998</v>
      </c>
      <c r="H8414" s="22">
        <v>0</v>
      </c>
      <c r="I8414" s="23" t="str">
        <f t="shared" si="394"/>
        <v xml:space="preserve">COM VALOR</v>
      </c>
      <c r="J8414" s="19"/>
      <c r="L8414" s="21">
        <v>2589.6199999999999</v>
      </c>
      <c r="M8414" s="22">
        <v>0.77000000000000002</v>
      </c>
      <c r="N8414" s="21">
        <v>2581.7399999999998</v>
      </c>
      <c r="O8414" s="22">
        <v>0.78000000000000003</v>
      </c>
    </row>
    <row r="8415" ht="25.5">
      <c r="A8415" t="s">
        <v>8445</v>
      </c>
      <c r="B8415" s="19">
        <v>105946</v>
      </c>
      <c r="C8415" s="20" t="s">
        <v>8519</v>
      </c>
      <c r="D8415" s="19" t="s">
        <v>31</v>
      </c>
      <c r="E8415" s="21" t="str">
        <f t="shared" si="392"/>
        <v>VERIFICAR</v>
      </c>
      <c r="F8415" s="22">
        <v>0</v>
      </c>
      <c r="G8415" s="21" t="str">
        <f t="shared" si="393"/>
        <v>VERIFICAR</v>
      </c>
      <c r="H8415" s="22">
        <v>0</v>
      </c>
      <c r="I8415" s="23" t="str">
        <f t="shared" si="394"/>
        <v xml:space="preserve">COM VALOR</v>
      </c>
      <c r="J8415" s="19"/>
      <c r="L8415" s="21">
        <v>0</v>
      </c>
      <c r="M8415" s="22"/>
      <c r="N8415" s="21">
        <v>0</v>
      </c>
      <c r="O8415" s="22"/>
    </row>
    <row r="8416" ht="25.5">
      <c r="A8416" t="s">
        <v>8445</v>
      </c>
      <c r="B8416" s="19">
        <v>105947</v>
      </c>
      <c r="C8416" s="20" t="s">
        <v>8520</v>
      </c>
      <c r="D8416" s="19" t="s">
        <v>31</v>
      </c>
      <c r="E8416" s="21" t="str">
        <f t="shared" si="392"/>
        <v>VERIFICAR</v>
      </c>
      <c r="F8416" s="22">
        <v>0</v>
      </c>
      <c r="G8416" s="21" t="str">
        <f t="shared" si="393"/>
        <v>VERIFICAR</v>
      </c>
      <c r="H8416" s="22">
        <v>0</v>
      </c>
      <c r="I8416" s="23" t="str">
        <f t="shared" si="394"/>
        <v xml:space="preserve">COM VALOR</v>
      </c>
      <c r="J8416" s="19"/>
      <c r="L8416" s="21">
        <v>0</v>
      </c>
      <c r="M8416" s="22"/>
      <c r="N8416" s="21">
        <v>0</v>
      </c>
      <c r="O8416" s="22"/>
    </row>
    <row r="8417" ht="25.5">
      <c r="A8417" t="s">
        <v>8445</v>
      </c>
      <c r="B8417" s="19">
        <v>105948</v>
      </c>
      <c r="C8417" s="20" t="s">
        <v>8521</v>
      </c>
      <c r="D8417" s="19" t="s">
        <v>31</v>
      </c>
      <c r="E8417" s="21" t="str">
        <f t="shared" si="392"/>
        <v>VERIFICAR</v>
      </c>
      <c r="F8417" s="22">
        <v>4.0000000000000001e-002</v>
      </c>
      <c r="G8417" s="21" t="str">
        <f t="shared" si="393"/>
        <v>VERIFICAR</v>
      </c>
      <c r="H8417" s="22">
        <v>4.0000000000000001e-002</v>
      </c>
      <c r="I8417" s="23" t="str">
        <f t="shared" si="394"/>
        <v xml:space="preserve">COM VALOR</v>
      </c>
      <c r="J8417" s="19"/>
      <c r="L8417" s="21">
        <v>0</v>
      </c>
      <c r="M8417" s="22"/>
      <c r="N8417" s="21">
        <v>0</v>
      </c>
      <c r="O8417" s="22"/>
    </row>
    <row r="8418" ht="25.5">
      <c r="A8418" t="s">
        <v>8445</v>
      </c>
      <c r="B8418" s="19">
        <v>105949</v>
      </c>
      <c r="C8418" s="20" t="s">
        <v>8522</v>
      </c>
      <c r="D8418" s="19" t="s">
        <v>31</v>
      </c>
      <c r="E8418" s="21" t="str">
        <f t="shared" si="392"/>
        <v>VERIFICAR</v>
      </c>
      <c r="F8418" s="22">
        <v>5.0000000000000003e-002</v>
      </c>
      <c r="G8418" s="21" t="str">
        <f t="shared" si="393"/>
        <v>VERIFICAR</v>
      </c>
      <c r="H8418" s="22">
        <v>5.0000000000000003e-002</v>
      </c>
      <c r="I8418" s="23" t="str">
        <f t="shared" si="394"/>
        <v xml:space="preserve">COM VALOR</v>
      </c>
      <c r="J8418" s="19"/>
      <c r="L8418" s="21">
        <v>0</v>
      </c>
      <c r="M8418" s="22"/>
      <c r="N8418" s="21">
        <v>0</v>
      </c>
      <c r="O8418" s="22"/>
    </row>
    <row r="8419" ht="25.5">
      <c r="A8419" t="s">
        <v>8445</v>
      </c>
      <c r="B8419" s="19">
        <v>105950</v>
      </c>
      <c r="C8419" s="20" t="s">
        <v>8523</v>
      </c>
      <c r="D8419" s="19" t="s">
        <v>31</v>
      </c>
      <c r="E8419" s="21" t="str">
        <f t="shared" si="392"/>
        <v>VERIFICAR</v>
      </c>
      <c r="F8419" s="22">
        <v>0</v>
      </c>
      <c r="G8419" s="21" t="str">
        <f t="shared" si="393"/>
        <v>VERIFICAR</v>
      </c>
      <c r="H8419" s="22">
        <v>0</v>
      </c>
      <c r="I8419" s="23" t="str">
        <f t="shared" si="394"/>
        <v xml:space="preserve">COM VALOR</v>
      </c>
      <c r="J8419" s="19"/>
      <c r="L8419" s="21">
        <v>0</v>
      </c>
      <c r="M8419" s="22"/>
      <c r="N8419" s="21">
        <v>0</v>
      </c>
      <c r="O8419" s="22"/>
    </row>
    <row r="8420" ht="25.5">
      <c r="A8420" t="s">
        <v>8445</v>
      </c>
      <c r="B8420" s="19">
        <v>100619</v>
      </c>
      <c r="C8420" s="20" t="s">
        <v>8524</v>
      </c>
      <c r="D8420" s="19" t="s">
        <v>31</v>
      </c>
      <c r="E8420" s="21">
        <f t="shared" si="392"/>
        <v>628.85000000000002</v>
      </c>
      <c r="F8420" s="22">
        <v>5.0000000000000003e-002</v>
      </c>
      <c r="G8420" s="21">
        <f t="shared" si="393"/>
        <v>620.51999999999998</v>
      </c>
      <c r="H8420" s="22">
        <v>5.0000000000000003e-002</v>
      </c>
      <c r="I8420" s="23" t="str">
        <f t="shared" si="394"/>
        <v xml:space="preserve">COM VALOR</v>
      </c>
      <c r="J8420" s="19"/>
      <c r="L8420" s="21">
        <v>628.85000000000002</v>
      </c>
      <c r="M8420" s="22">
        <v>0.45000000000000001</v>
      </c>
      <c r="N8420" s="21">
        <v>620.51999999999998</v>
      </c>
      <c r="O8420" s="22">
        <v>0.46000000000000002</v>
      </c>
    </row>
    <row r="8421" ht="38.25">
      <c r="A8421" t="s">
        <v>8525</v>
      </c>
      <c r="B8421" s="19">
        <v>99283</v>
      </c>
      <c r="C8421" s="20" t="s">
        <v>8526</v>
      </c>
      <c r="D8421" s="19" t="s">
        <v>38</v>
      </c>
      <c r="E8421" s="21">
        <f t="shared" si="392"/>
        <v>1163.5799999999999</v>
      </c>
      <c r="F8421" s="22">
        <v>0</v>
      </c>
      <c r="G8421" s="21">
        <f t="shared" si="393"/>
        <v>1127.6300000000001</v>
      </c>
      <c r="H8421" s="22">
        <v>0</v>
      </c>
      <c r="I8421" s="23" t="str">
        <f t="shared" si="394"/>
        <v xml:space="preserve">COM VALOR</v>
      </c>
      <c r="J8421" s="19"/>
      <c r="L8421" s="21">
        <v>1163.5799999999999</v>
      </c>
      <c r="M8421" s="22">
        <v>0</v>
      </c>
      <c r="N8421" s="21">
        <v>1127.6300000000001</v>
      </c>
      <c r="O8421" s="22">
        <v>0</v>
      </c>
    </row>
    <row r="8422" ht="38.25">
      <c r="A8422" t="s">
        <v>8525</v>
      </c>
      <c r="B8422" s="19">
        <v>99293</v>
      </c>
      <c r="C8422" s="20" t="s">
        <v>8527</v>
      </c>
      <c r="D8422" s="19" t="s">
        <v>38</v>
      </c>
      <c r="E8422" s="21">
        <f t="shared" si="392"/>
        <v>1407.6600000000001</v>
      </c>
      <c r="F8422" s="22">
        <v>4.0000000000000001e-002</v>
      </c>
      <c r="G8422" s="21">
        <f t="shared" si="393"/>
        <v>1363.77</v>
      </c>
      <c r="H8422" s="22">
        <v>4.0000000000000001e-002</v>
      </c>
      <c r="I8422" s="23" t="str">
        <f t="shared" si="394"/>
        <v xml:space="preserve">COM VALOR</v>
      </c>
      <c r="J8422" s="19"/>
      <c r="L8422" s="21">
        <v>1407.6600000000001</v>
      </c>
      <c r="M8422" s="22">
        <v>0</v>
      </c>
      <c r="N8422" s="21">
        <v>1363.77</v>
      </c>
      <c r="O8422" s="22">
        <v>0</v>
      </c>
    </row>
    <row r="8423" ht="38.25">
      <c r="A8423" t="s">
        <v>8525</v>
      </c>
      <c r="B8423" s="19">
        <v>99243</v>
      </c>
      <c r="C8423" s="20" t="s">
        <v>8528</v>
      </c>
      <c r="D8423" s="19" t="s">
        <v>38</v>
      </c>
      <c r="E8423" s="21">
        <f t="shared" si="392"/>
        <v>1651.6700000000001</v>
      </c>
      <c r="F8423" s="22">
        <v>0</v>
      </c>
      <c r="G8423" s="21">
        <f t="shared" si="393"/>
        <v>1599.8299999999999</v>
      </c>
      <c r="H8423" s="22">
        <v>0</v>
      </c>
      <c r="I8423" s="23" t="str">
        <f t="shared" si="394"/>
        <v xml:space="preserve">COM VALOR</v>
      </c>
      <c r="J8423" s="19"/>
      <c r="L8423" s="21">
        <v>1651.6700000000001</v>
      </c>
      <c r="M8423" s="22">
        <v>0</v>
      </c>
      <c r="N8423" s="21">
        <v>1599.8299999999999</v>
      </c>
      <c r="O8423" s="22">
        <v>0</v>
      </c>
    </row>
    <row r="8424" ht="38.25">
      <c r="A8424" t="s">
        <v>8525</v>
      </c>
      <c r="B8424" s="19">
        <v>99249</v>
      </c>
      <c r="C8424" s="20" t="s">
        <v>8529</v>
      </c>
      <c r="D8424" s="19" t="s">
        <v>38</v>
      </c>
      <c r="E8424" s="21">
        <f t="shared" si="392"/>
        <v>2017.8099999999999</v>
      </c>
      <c r="F8424" s="22">
        <v>0</v>
      </c>
      <c r="G8424" s="21">
        <f t="shared" si="393"/>
        <v>1954.05</v>
      </c>
      <c r="H8424" s="22">
        <v>0</v>
      </c>
      <c r="I8424" s="23" t="str">
        <f t="shared" si="394"/>
        <v xml:space="preserve">COM VALOR</v>
      </c>
      <c r="J8424" s="19"/>
      <c r="L8424" s="21">
        <v>2017.8099999999999</v>
      </c>
      <c r="M8424" s="22">
        <v>0</v>
      </c>
      <c r="N8424" s="21">
        <v>1954.05</v>
      </c>
      <c r="O8424" s="22">
        <v>0</v>
      </c>
    </row>
    <row r="8425" ht="25.5">
      <c r="A8425" t="s">
        <v>8525</v>
      </c>
      <c r="B8425" s="19">
        <v>99278</v>
      </c>
      <c r="C8425" s="20" t="s">
        <v>8530</v>
      </c>
      <c r="D8425" s="19" t="s">
        <v>38</v>
      </c>
      <c r="E8425" s="21">
        <f t="shared" si="392"/>
        <v>423.67000000000002</v>
      </c>
      <c r="F8425" s="22">
        <v>0</v>
      </c>
      <c r="G8425" s="21">
        <f t="shared" si="393"/>
        <v>421.55000000000001</v>
      </c>
      <c r="H8425" s="22">
        <v>0</v>
      </c>
      <c r="I8425" s="23" t="str">
        <f t="shared" si="394"/>
        <v xml:space="preserve">COM VALOR</v>
      </c>
      <c r="J8425" s="19"/>
      <c r="L8425" s="21">
        <v>423.67000000000002</v>
      </c>
      <c r="M8425" s="22">
        <v>0</v>
      </c>
      <c r="N8425" s="21">
        <v>421.55000000000001</v>
      </c>
      <c r="O8425" s="22">
        <v>0</v>
      </c>
    </row>
    <row r="8426" ht="25.5">
      <c r="A8426" t="s">
        <v>8525</v>
      </c>
      <c r="B8426" s="19">
        <v>99288</v>
      </c>
      <c r="C8426" s="20" t="s">
        <v>8531</v>
      </c>
      <c r="D8426" s="19" t="s">
        <v>38</v>
      </c>
      <c r="E8426" s="21">
        <f t="shared" si="392"/>
        <v>559.48000000000002</v>
      </c>
      <c r="F8426" s="22">
        <v>0</v>
      </c>
      <c r="G8426" s="21">
        <f t="shared" si="393"/>
        <v>556.96000000000004</v>
      </c>
      <c r="H8426" s="22">
        <v>0</v>
      </c>
      <c r="I8426" s="23" t="str">
        <f t="shared" si="394"/>
        <v xml:space="preserve">COM VALOR</v>
      </c>
      <c r="J8426" s="19"/>
      <c r="L8426" s="21">
        <v>559.48000000000002</v>
      </c>
      <c r="M8426" s="22">
        <v>0</v>
      </c>
      <c r="N8426" s="21">
        <v>556.96000000000004</v>
      </c>
      <c r="O8426" s="22">
        <v>0</v>
      </c>
    </row>
    <row r="8427" ht="25.5">
      <c r="A8427" t="s">
        <v>8525</v>
      </c>
      <c r="B8427" s="19">
        <v>99240</v>
      </c>
      <c r="C8427" s="20" t="s">
        <v>8532</v>
      </c>
      <c r="D8427" s="19" t="s">
        <v>38</v>
      </c>
      <c r="E8427" s="21">
        <f t="shared" si="392"/>
        <v>745.01999999999998</v>
      </c>
      <c r="F8427" s="22">
        <v>0</v>
      </c>
      <c r="G8427" s="21">
        <f t="shared" si="393"/>
        <v>742.04999999999995</v>
      </c>
      <c r="H8427" s="22">
        <v>0</v>
      </c>
      <c r="I8427" s="23" t="str">
        <f t="shared" si="394"/>
        <v xml:space="preserve">COM VALOR</v>
      </c>
      <c r="J8427" s="19"/>
      <c r="L8427" s="21">
        <v>745.01999999999998</v>
      </c>
      <c r="M8427" s="22">
        <v>0</v>
      </c>
      <c r="N8427" s="21">
        <v>742.04999999999995</v>
      </c>
      <c r="O8427" s="22">
        <v>0</v>
      </c>
    </row>
    <row r="8428" ht="25.5">
      <c r="A8428" t="s">
        <v>8525</v>
      </c>
      <c r="B8428" s="19">
        <v>99246</v>
      </c>
      <c r="C8428" s="20" t="s">
        <v>8533</v>
      </c>
      <c r="D8428" s="19" t="s">
        <v>38</v>
      </c>
      <c r="E8428" s="21">
        <f t="shared" si="392"/>
        <v>1021.39</v>
      </c>
      <c r="F8428" s="22">
        <v>0</v>
      </c>
      <c r="G8428" s="21">
        <f t="shared" si="393"/>
        <v>1017.59</v>
      </c>
      <c r="H8428" s="22">
        <v>0</v>
      </c>
      <c r="I8428" s="23" t="str">
        <f t="shared" si="394"/>
        <v xml:space="preserve">COM VALOR</v>
      </c>
      <c r="J8428" s="19"/>
      <c r="L8428" s="21">
        <v>1021.39</v>
      </c>
      <c r="M8428" s="22">
        <v>0</v>
      </c>
      <c r="N8428" s="21">
        <v>1017.59</v>
      </c>
      <c r="O8428" s="22">
        <v>0</v>
      </c>
    </row>
    <row r="8429" ht="38.25">
      <c r="A8429" t="s">
        <v>8525</v>
      </c>
      <c r="B8429" s="19">
        <v>97981</v>
      </c>
      <c r="C8429" s="20" t="s">
        <v>8534</v>
      </c>
      <c r="D8429" s="19" t="s">
        <v>38</v>
      </c>
      <c r="E8429" s="21">
        <f t="shared" si="392"/>
        <v>1234.48</v>
      </c>
      <c r="F8429" s="22">
        <v>0</v>
      </c>
      <c r="G8429" s="21">
        <f t="shared" si="393"/>
        <v>1198.25</v>
      </c>
      <c r="H8429" s="22">
        <v>0</v>
      </c>
      <c r="I8429" s="23" t="str">
        <f t="shared" si="394"/>
        <v xml:space="preserve">COM VALOR</v>
      </c>
      <c r="J8429" s="19"/>
      <c r="L8429" s="21">
        <v>1234.48</v>
      </c>
      <c r="M8429" s="22">
        <v>0</v>
      </c>
      <c r="N8429" s="21">
        <v>1198.25</v>
      </c>
      <c r="O8429" s="22">
        <v>0</v>
      </c>
    </row>
    <row r="8430" ht="38.25">
      <c r="A8430" t="s">
        <v>8525</v>
      </c>
      <c r="B8430" s="19">
        <v>97985</v>
      </c>
      <c r="C8430" s="20" t="s">
        <v>8535</v>
      </c>
      <c r="D8430" s="19" t="s">
        <v>38</v>
      </c>
      <c r="E8430" s="21">
        <f t="shared" si="392"/>
        <v>1487.8199999999999</v>
      </c>
      <c r="F8430" s="22">
        <v>0</v>
      </c>
      <c r="G8430" s="21">
        <f t="shared" si="393"/>
        <v>1443.6300000000001</v>
      </c>
      <c r="H8430" s="22">
        <v>0</v>
      </c>
      <c r="I8430" s="23" t="str">
        <f t="shared" si="394"/>
        <v xml:space="preserve">COM VALOR</v>
      </c>
      <c r="J8430" s="19"/>
      <c r="L8430" s="21">
        <v>1487.8199999999999</v>
      </c>
      <c r="M8430" s="22">
        <v>0</v>
      </c>
      <c r="N8430" s="21">
        <v>1443.6300000000001</v>
      </c>
      <c r="O8430" s="22">
        <v>0</v>
      </c>
    </row>
    <row r="8431" ht="38.25">
      <c r="A8431" t="s">
        <v>8525</v>
      </c>
      <c r="B8431" s="19">
        <v>97989</v>
      </c>
      <c r="C8431" s="20" t="s">
        <v>8536</v>
      </c>
      <c r="D8431" s="19" t="s">
        <v>38</v>
      </c>
      <c r="E8431" s="21">
        <f t="shared" si="392"/>
        <v>1741.0999999999999</v>
      </c>
      <c r="F8431" s="22">
        <v>0</v>
      </c>
      <c r="G8431" s="21">
        <f t="shared" si="393"/>
        <v>1688.9300000000001</v>
      </c>
      <c r="H8431" s="22">
        <v>0</v>
      </c>
      <c r="I8431" s="23" t="str">
        <f t="shared" si="394"/>
        <v xml:space="preserve">COM VALOR</v>
      </c>
      <c r="J8431" s="19"/>
      <c r="L8431" s="21">
        <v>1741.0999999999999</v>
      </c>
      <c r="M8431" s="22">
        <v>0</v>
      </c>
      <c r="N8431" s="21">
        <v>1688.9300000000001</v>
      </c>
      <c r="O8431" s="22">
        <v>0</v>
      </c>
    </row>
    <row r="8432" ht="38.25">
      <c r="A8432" t="s">
        <v>8525</v>
      </c>
      <c r="B8432" s="19">
        <v>97993</v>
      </c>
      <c r="C8432" s="20" t="s">
        <v>8537</v>
      </c>
      <c r="D8432" s="19" t="s">
        <v>38</v>
      </c>
      <c r="E8432" s="21">
        <f t="shared" si="392"/>
        <v>2121.1700000000001</v>
      </c>
      <c r="F8432" s="22">
        <v>0</v>
      </c>
      <c r="G8432" s="21">
        <f t="shared" si="393"/>
        <v>2057.0100000000002</v>
      </c>
      <c r="H8432" s="22">
        <v>0</v>
      </c>
      <c r="I8432" s="23" t="str">
        <f t="shared" si="394"/>
        <v xml:space="preserve">COM VALOR</v>
      </c>
      <c r="J8432" s="19"/>
      <c r="L8432" s="21">
        <v>2121.1700000000001</v>
      </c>
      <c r="M8432" s="22">
        <v>0</v>
      </c>
      <c r="N8432" s="21">
        <v>2057.0100000000002</v>
      </c>
      <c r="O8432" s="22">
        <v>0</v>
      </c>
    </row>
    <row r="8433" ht="25.5">
      <c r="A8433" t="s">
        <v>8525</v>
      </c>
      <c r="B8433" s="19">
        <v>98409</v>
      </c>
      <c r="C8433" s="20" t="s">
        <v>8538</v>
      </c>
      <c r="D8433" s="19" t="s">
        <v>38</v>
      </c>
      <c r="E8433" s="21">
        <f t="shared" si="392"/>
        <v>425.68000000000001</v>
      </c>
      <c r="F8433" s="22">
        <v>0</v>
      </c>
      <c r="G8433" s="21">
        <f t="shared" si="393"/>
        <v>423.55000000000001</v>
      </c>
      <c r="H8433" s="22">
        <v>0</v>
      </c>
      <c r="I8433" s="23" t="str">
        <f t="shared" si="394"/>
        <v xml:space="preserve">COM VALOR</v>
      </c>
      <c r="J8433" s="19"/>
      <c r="L8433" s="21">
        <v>425.68000000000001</v>
      </c>
      <c r="M8433" s="22">
        <v>0</v>
      </c>
      <c r="N8433" s="21">
        <v>423.55000000000001</v>
      </c>
      <c r="O8433" s="22">
        <v>0</v>
      </c>
    </row>
    <row r="8434" ht="25.5">
      <c r="A8434" t="s">
        <v>8525</v>
      </c>
      <c r="B8434" s="19">
        <v>97983</v>
      </c>
      <c r="C8434" s="20" t="s">
        <v>8539</v>
      </c>
      <c r="D8434" s="19" t="s">
        <v>38</v>
      </c>
      <c r="E8434" s="21">
        <f t="shared" si="392"/>
        <v>562.12</v>
      </c>
      <c r="F8434" s="22">
        <v>0</v>
      </c>
      <c r="G8434" s="21">
        <f t="shared" si="393"/>
        <v>559.59000000000003</v>
      </c>
      <c r="H8434" s="22">
        <v>0</v>
      </c>
      <c r="I8434" s="23" t="str">
        <f t="shared" si="394"/>
        <v xml:space="preserve">COM VALOR</v>
      </c>
      <c r="J8434" s="19"/>
      <c r="L8434" s="21">
        <v>562.12</v>
      </c>
      <c r="M8434" s="22">
        <v>0</v>
      </c>
      <c r="N8434" s="21">
        <v>559.59000000000003</v>
      </c>
      <c r="O8434" s="22">
        <v>0</v>
      </c>
    </row>
    <row r="8435" ht="25.5">
      <c r="A8435" t="s">
        <v>8525</v>
      </c>
      <c r="B8435" s="19">
        <v>97987</v>
      </c>
      <c r="C8435" s="20" t="s">
        <v>8540</v>
      </c>
      <c r="D8435" s="19" t="s">
        <v>38</v>
      </c>
      <c r="E8435" s="21">
        <f t="shared" si="392"/>
        <v>748.33000000000004</v>
      </c>
      <c r="F8435" s="22">
        <v>0</v>
      </c>
      <c r="G8435" s="21">
        <f t="shared" si="393"/>
        <v>745.35000000000002</v>
      </c>
      <c r="H8435" s="22">
        <v>0</v>
      </c>
      <c r="I8435" s="23" t="str">
        <f t="shared" si="394"/>
        <v xml:space="preserve">COM VALOR</v>
      </c>
      <c r="J8435" s="19"/>
      <c r="L8435" s="21">
        <v>748.33000000000004</v>
      </c>
      <c r="M8435" s="22">
        <v>0</v>
      </c>
      <c r="N8435" s="21">
        <v>745.35000000000002</v>
      </c>
      <c r="O8435" s="22">
        <v>0</v>
      </c>
    </row>
    <row r="8436" ht="25.5">
      <c r="A8436" t="s">
        <v>8525</v>
      </c>
      <c r="B8436" s="19">
        <v>97991</v>
      </c>
      <c r="C8436" s="20" t="s">
        <v>8541</v>
      </c>
      <c r="D8436" s="19" t="s">
        <v>38</v>
      </c>
      <c r="E8436" s="21">
        <f t="shared" si="392"/>
        <v>1025.9100000000001</v>
      </c>
      <c r="F8436" s="22">
        <v>0</v>
      </c>
      <c r="G8436" s="21">
        <f t="shared" si="393"/>
        <v>1022.09</v>
      </c>
      <c r="H8436" s="22">
        <v>0</v>
      </c>
      <c r="I8436" s="23" t="str">
        <f t="shared" si="394"/>
        <v xml:space="preserve">COM VALOR</v>
      </c>
      <c r="J8436" s="19"/>
      <c r="L8436" s="21">
        <v>1025.9100000000001</v>
      </c>
      <c r="M8436" s="22">
        <v>0</v>
      </c>
      <c r="N8436" s="21">
        <v>1022.09</v>
      </c>
      <c r="O8436" s="22">
        <v>0</v>
      </c>
    </row>
    <row r="8437" ht="38.25">
      <c r="A8437" t="s">
        <v>8525</v>
      </c>
      <c r="B8437" s="19">
        <v>99241</v>
      </c>
      <c r="C8437" s="20" t="s">
        <v>8542</v>
      </c>
      <c r="D8437" s="19" t="s">
        <v>38</v>
      </c>
      <c r="E8437" s="21">
        <f t="shared" si="392"/>
        <v>1917.6099999999999</v>
      </c>
      <c r="F8437" s="22">
        <v>0</v>
      </c>
      <c r="G8437" s="21">
        <f t="shared" si="393"/>
        <v>1862.76</v>
      </c>
      <c r="H8437" s="22">
        <v>0</v>
      </c>
      <c r="I8437" s="23" t="str">
        <f t="shared" si="394"/>
        <v xml:space="preserve">COM VALOR</v>
      </c>
      <c r="J8437" s="19"/>
      <c r="L8437" s="21">
        <v>1917.6099999999999</v>
      </c>
      <c r="M8437" s="22">
        <v>0</v>
      </c>
      <c r="N8437" s="21">
        <v>1862.76</v>
      </c>
      <c r="O8437" s="22">
        <v>0</v>
      </c>
    </row>
    <row r="8438" ht="38.25">
      <c r="A8438" t="s">
        <v>8525</v>
      </c>
      <c r="B8438" s="19">
        <v>99247</v>
      </c>
      <c r="C8438" s="20" t="s">
        <v>8543</v>
      </c>
      <c r="D8438" s="19" t="s">
        <v>38</v>
      </c>
      <c r="E8438" s="21">
        <f t="shared" si="392"/>
        <v>2187.1199999999999</v>
      </c>
      <c r="F8438" s="22">
        <v>0</v>
      </c>
      <c r="G8438" s="21">
        <f t="shared" si="393"/>
        <v>2124.5100000000002</v>
      </c>
      <c r="H8438" s="22">
        <v>0</v>
      </c>
      <c r="I8438" s="23" t="str">
        <f t="shared" si="394"/>
        <v xml:space="preserve">COM VALOR</v>
      </c>
      <c r="J8438" s="19"/>
      <c r="L8438" s="21">
        <v>2187.1199999999999</v>
      </c>
      <c r="M8438" s="22">
        <v>0</v>
      </c>
      <c r="N8438" s="21">
        <v>2124.5100000000002</v>
      </c>
      <c r="O8438" s="22">
        <v>0</v>
      </c>
    </row>
    <row r="8439" ht="38.25">
      <c r="A8439" t="s">
        <v>8525</v>
      </c>
      <c r="B8439" s="19">
        <v>99263</v>
      </c>
      <c r="C8439" s="20" t="s">
        <v>8544</v>
      </c>
      <c r="D8439" s="19" t="s">
        <v>38</v>
      </c>
      <c r="E8439" s="21">
        <f t="shared" si="392"/>
        <v>2456.6900000000001</v>
      </c>
      <c r="F8439" s="22">
        <v>0</v>
      </c>
      <c r="G8439" s="21">
        <f t="shared" si="393"/>
        <v>2386.27</v>
      </c>
      <c r="H8439" s="22">
        <v>0</v>
      </c>
      <c r="I8439" s="23" t="str">
        <f t="shared" si="394"/>
        <v xml:space="preserve">COM VALOR</v>
      </c>
      <c r="J8439" s="19"/>
      <c r="L8439" s="21">
        <v>2456.6900000000001</v>
      </c>
      <c r="M8439" s="22">
        <v>0</v>
      </c>
      <c r="N8439" s="21">
        <v>2386.27</v>
      </c>
      <c r="O8439" s="22">
        <v>0</v>
      </c>
    </row>
    <row r="8440" ht="38.25">
      <c r="A8440" t="s">
        <v>8525</v>
      </c>
      <c r="B8440" s="19">
        <v>99276</v>
      </c>
      <c r="C8440" s="20" t="s">
        <v>8545</v>
      </c>
      <c r="D8440" s="19" t="s">
        <v>38</v>
      </c>
      <c r="E8440" s="21">
        <f t="shared" si="392"/>
        <v>2726.25</v>
      </c>
      <c r="F8440" s="22">
        <v>0</v>
      </c>
      <c r="G8440" s="21">
        <f t="shared" si="393"/>
        <v>2648.0700000000002</v>
      </c>
      <c r="H8440" s="22">
        <v>0</v>
      </c>
      <c r="I8440" s="23" t="str">
        <f t="shared" si="394"/>
        <v xml:space="preserve">COM VALOR</v>
      </c>
      <c r="J8440" s="19"/>
      <c r="L8440" s="21">
        <v>2726.25</v>
      </c>
      <c r="M8440" s="22">
        <v>0</v>
      </c>
      <c r="N8440" s="21">
        <v>2648.0700000000002</v>
      </c>
      <c r="O8440" s="22">
        <v>0</v>
      </c>
    </row>
    <row r="8441" ht="38.25">
      <c r="A8441" t="s">
        <v>8525</v>
      </c>
      <c r="B8441" s="19">
        <v>99291</v>
      </c>
      <c r="C8441" s="20" t="s">
        <v>8546</v>
      </c>
      <c r="D8441" s="19" t="s">
        <v>38</v>
      </c>
      <c r="E8441" s="21">
        <f t="shared" si="392"/>
        <v>2995.7800000000002</v>
      </c>
      <c r="F8441" s="22">
        <v>0</v>
      </c>
      <c r="G8441" s="21">
        <f t="shared" si="393"/>
        <v>2909.79</v>
      </c>
      <c r="H8441" s="22">
        <v>0</v>
      </c>
      <c r="I8441" s="23" t="str">
        <f t="shared" si="394"/>
        <v xml:space="preserve">COM VALOR</v>
      </c>
      <c r="J8441" s="19"/>
      <c r="L8441" s="21">
        <v>2995.7800000000002</v>
      </c>
      <c r="M8441" s="22">
        <v>0</v>
      </c>
      <c r="N8441" s="21">
        <v>2909.79</v>
      </c>
      <c r="O8441" s="22">
        <v>0</v>
      </c>
    </row>
    <row r="8442" ht="38.25">
      <c r="A8442" t="s">
        <v>8525</v>
      </c>
      <c r="B8442" s="19">
        <v>99297</v>
      </c>
      <c r="C8442" s="20" t="s">
        <v>8547</v>
      </c>
      <c r="D8442" s="19" t="s">
        <v>38</v>
      </c>
      <c r="E8442" s="21">
        <f t="shared" si="392"/>
        <v>3286.6100000000001</v>
      </c>
      <c r="F8442" s="22">
        <v>0</v>
      </c>
      <c r="G8442" s="21">
        <f t="shared" si="393"/>
        <v>3192.2199999999998</v>
      </c>
      <c r="H8442" s="22">
        <v>0</v>
      </c>
      <c r="I8442" s="23" t="str">
        <f t="shared" si="394"/>
        <v xml:space="preserve">COM VALOR</v>
      </c>
      <c r="J8442" s="19"/>
      <c r="L8442" s="21">
        <v>3286.6100000000001</v>
      </c>
      <c r="M8442" s="22">
        <v>0</v>
      </c>
      <c r="N8442" s="21">
        <v>3192.2199999999998</v>
      </c>
      <c r="O8442" s="22">
        <v>0</v>
      </c>
    </row>
    <row r="8443" ht="38.25">
      <c r="A8443" t="s">
        <v>8525</v>
      </c>
      <c r="B8443" s="19">
        <v>99254</v>
      </c>
      <c r="C8443" s="20" t="s">
        <v>8548</v>
      </c>
      <c r="D8443" s="19" t="s">
        <v>38</v>
      </c>
      <c r="E8443" s="21">
        <f t="shared" si="392"/>
        <v>1378.51</v>
      </c>
      <c r="F8443" s="22">
        <v>0</v>
      </c>
      <c r="G8443" s="21">
        <f t="shared" si="393"/>
        <v>1339.26</v>
      </c>
      <c r="H8443" s="22">
        <v>0</v>
      </c>
      <c r="I8443" s="23" t="str">
        <f t="shared" si="394"/>
        <v xml:space="preserve">COM VALOR</v>
      </c>
      <c r="J8443" s="19"/>
      <c r="L8443" s="21">
        <v>1378.51</v>
      </c>
      <c r="M8443" s="22">
        <v>0</v>
      </c>
      <c r="N8443" s="21">
        <v>1339.26</v>
      </c>
      <c r="O8443" s="22">
        <v>0</v>
      </c>
    </row>
    <row r="8444" ht="38.25">
      <c r="A8444" t="s">
        <v>8525</v>
      </c>
      <c r="B8444" s="19">
        <v>99261</v>
      </c>
      <c r="C8444" s="20" t="s">
        <v>8549</v>
      </c>
      <c r="D8444" s="19" t="s">
        <v>38</v>
      </c>
      <c r="E8444" s="21">
        <f t="shared" si="392"/>
        <v>1648.03</v>
      </c>
      <c r="F8444" s="22">
        <v>0</v>
      </c>
      <c r="G8444" s="21">
        <f t="shared" si="393"/>
        <v>1600.99</v>
      </c>
      <c r="H8444" s="22">
        <v>0</v>
      </c>
      <c r="I8444" s="23" t="str">
        <f t="shared" si="394"/>
        <v xml:space="preserve">COM VALOR</v>
      </c>
      <c r="J8444" s="19"/>
      <c r="L8444" s="21">
        <v>1648.03</v>
      </c>
      <c r="M8444" s="22">
        <v>0</v>
      </c>
      <c r="N8444" s="21">
        <v>1600.99</v>
      </c>
      <c r="O8444" s="22">
        <v>0</v>
      </c>
    </row>
    <row r="8445" ht="38.25">
      <c r="A8445" t="s">
        <v>8525</v>
      </c>
      <c r="B8445" s="19">
        <v>99266</v>
      </c>
      <c r="C8445" s="20" t="s">
        <v>8550</v>
      </c>
      <c r="D8445" s="19" t="s">
        <v>38</v>
      </c>
      <c r="E8445" s="21">
        <f t="shared" si="392"/>
        <v>1917.6099999999999</v>
      </c>
      <c r="F8445" s="22">
        <v>0</v>
      </c>
      <c r="G8445" s="21">
        <f t="shared" si="393"/>
        <v>1862.76</v>
      </c>
      <c r="H8445" s="22">
        <v>0</v>
      </c>
      <c r="I8445" s="23" t="str">
        <f t="shared" si="394"/>
        <v xml:space="preserve">COM VALOR</v>
      </c>
      <c r="J8445" s="19"/>
      <c r="L8445" s="21">
        <v>1917.6099999999999</v>
      </c>
      <c r="M8445" s="22">
        <v>0</v>
      </c>
      <c r="N8445" s="21">
        <v>1862.76</v>
      </c>
      <c r="O8445" s="22">
        <v>0</v>
      </c>
    </row>
    <row r="8446" ht="38.25">
      <c r="A8446" t="s">
        <v>8525</v>
      </c>
      <c r="B8446" s="19">
        <v>99269</v>
      </c>
      <c r="C8446" s="20" t="s">
        <v>8551</v>
      </c>
      <c r="D8446" s="19" t="s">
        <v>38</v>
      </c>
      <c r="E8446" s="21">
        <f t="shared" si="392"/>
        <v>2187.1199999999999</v>
      </c>
      <c r="F8446" s="22">
        <v>0</v>
      </c>
      <c r="G8446" s="21">
        <f t="shared" si="393"/>
        <v>2124.5100000000002</v>
      </c>
      <c r="H8446" s="22">
        <v>0</v>
      </c>
      <c r="I8446" s="23" t="str">
        <f t="shared" si="394"/>
        <v xml:space="preserve">COM VALOR</v>
      </c>
      <c r="J8446" s="19"/>
      <c r="L8446" s="21">
        <v>2187.1199999999999</v>
      </c>
      <c r="M8446" s="22">
        <v>0</v>
      </c>
      <c r="N8446" s="21">
        <v>2124.5100000000002</v>
      </c>
      <c r="O8446" s="22">
        <v>0</v>
      </c>
    </row>
    <row r="8447" ht="38.25">
      <c r="A8447" t="s">
        <v>8525</v>
      </c>
      <c r="B8447" s="19">
        <v>99277</v>
      </c>
      <c r="C8447" s="20" t="s">
        <v>8552</v>
      </c>
      <c r="D8447" s="19" t="s">
        <v>38</v>
      </c>
      <c r="E8447" s="21">
        <f t="shared" si="392"/>
        <v>2456.6900000000001</v>
      </c>
      <c r="F8447" s="22">
        <v>0</v>
      </c>
      <c r="G8447" s="21">
        <f t="shared" si="393"/>
        <v>2386.27</v>
      </c>
      <c r="H8447" s="22">
        <v>0</v>
      </c>
      <c r="I8447" s="23" t="str">
        <f t="shared" si="394"/>
        <v xml:space="preserve">COM VALOR</v>
      </c>
      <c r="J8447" s="19"/>
      <c r="L8447" s="21">
        <v>2456.6900000000001</v>
      </c>
      <c r="M8447" s="22">
        <v>0</v>
      </c>
      <c r="N8447" s="21">
        <v>2386.27</v>
      </c>
      <c r="O8447" s="22">
        <v>0</v>
      </c>
    </row>
    <row r="8448" ht="38.25">
      <c r="A8448" t="s">
        <v>8525</v>
      </c>
      <c r="B8448" s="19">
        <v>99281</v>
      </c>
      <c r="C8448" s="20" t="s">
        <v>8553</v>
      </c>
      <c r="D8448" s="19" t="s">
        <v>38</v>
      </c>
      <c r="E8448" s="21">
        <f t="shared" si="392"/>
        <v>2726.25</v>
      </c>
      <c r="F8448" s="22">
        <v>0</v>
      </c>
      <c r="G8448" s="21">
        <f t="shared" si="393"/>
        <v>2648.0700000000002</v>
      </c>
      <c r="H8448" s="22">
        <v>0</v>
      </c>
      <c r="I8448" s="23" t="str">
        <f t="shared" si="394"/>
        <v xml:space="preserve">COM VALOR</v>
      </c>
      <c r="J8448" s="19"/>
      <c r="L8448" s="21">
        <v>2726.25</v>
      </c>
      <c r="M8448" s="22">
        <v>0</v>
      </c>
      <c r="N8448" s="21">
        <v>2648.0700000000002</v>
      </c>
      <c r="O8448" s="22">
        <v>0</v>
      </c>
    </row>
    <row r="8449" ht="38.25">
      <c r="A8449" t="s">
        <v>8525</v>
      </c>
      <c r="B8449" s="19">
        <v>99289</v>
      </c>
      <c r="C8449" s="20" t="s">
        <v>8554</v>
      </c>
      <c r="D8449" s="19" t="s">
        <v>38</v>
      </c>
      <c r="E8449" s="21">
        <f t="shared" si="392"/>
        <v>2995.7800000000002</v>
      </c>
      <c r="F8449" s="22">
        <v>0</v>
      </c>
      <c r="G8449" s="21">
        <f t="shared" si="393"/>
        <v>2909.79</v>
      </c>
      <c r="H8449" s="22">
        <v>0</v>
      </c>
      <c r="I8449" s="23" t="str">
        <f t="shared" si="394"/>
        <v xml:space="preserve">COM VALOR</v>
      </c>
      <c r="J8449" s="19"/>
      <c r="L8449" s="21">
        <v>2995.7800000000002</v>
      </c>
      <c r="M8449" s="22">
        <v>0</v>
      </c>
      <c r="N8449" s="21">
        <v>2909.79</v>
      </c>
      <c r="O8449" s="22">
        <v>0</v>
      </c>
    </row>
    <row r="8450" ht="38.25">
      <c r="A8450" t="s">
        <v>8525</v>
      </c>
      <c r="B8450" s="19">
        <v>99282</v>
      </c>
      <c r="C8450" s="20" t="s">
        <v>8555</v>
      </c>
      <c r="D8450" s="19" t="s">
        <v>38</v>
      </c>
      <c r="E8450" s="21">
        <f t="shared" si="392"/>
        <v>3021.54</v>
      </c>
      <c r="F8450" s="22">
        <v>0</v>
      </c>
      <c r="G8450" s="21">
        <f t="shared" si="393"/>
        <v>2934.8000000000002</v>
      </c>
      <c r="H8450" s="22">
        <v>0</v>
      </c>
      <c r="I8450" s="23" t="str">
        <f t="shared" si="394"/>
        <v xml:space="preserve">COM VALOR</v>
      </c>
      <c r="J8450" s="19"/>
      <c r="L8450" s="21">
        <v>3021.54</v>
      </c>
      <c r="M8450" s="22">
        <v>0</v>
      </c>
      <c r="N8450" s="21">
        <v>2934.8000000000002</v>
      </c>
      <c r="O8450" s="22">
        <v>0</v>
      </c>
    </row>
    <row r="8451" ht="38.25">
      <c r="A8451" t="s">
        <v>8525</v>
      </c>
      <c r="B8451" s="19">
        <v>99296</v>
      </c>
      <c r="C8451" s="20" t="s">
        <v>8556</v>
      </c>
      <c r="D8451" s="19" t="s">
        <v>38</v>
      </c>
      <c r="E8451" s="21">
        <f t="shared" si="392"/>
        <v>3291.0500000000002</v>
      </c>
      <c r="F8451" s="22">
        <v>0</v>
      </c>
      <c r="G8451" s="21">
        <f t="shared" si="393"/>
        <v>3196.5300000000002</v>
      </c>
      <c r="H8451" s="22">
        <v>0</v>
      </c>
      <c r="I8451" s="23" t="str">
        <f t="shared" si="394"/>
        <v xml:space="preserve">COM VALOR</v>
      </c>
      <c r="J8451" s="19"/>
      <c r="L8451" s="21">
        <v>3291.0500000000002</v>
      </c>
      <c r="M8451" s="22">
        <v>0</v>
      </c>
      <c r="N8451" s="21">
        <v>3196.5300000000002</v>
      </c>
      <c r="O8451" s="22">
        <v>0</v>
      </c>
    </row>
    <row r="8452" ht="38.25">
      <c r="A8452" t="s">
        <v>8525</v>
      </c>
      <c r="B8452" s="19">
        <v>99299</v>
      </c>
      <c r="C8452" s="20" t="s">
        <v>8557</v>
      </c>
      <c r="D8452" s="19" t="s">
        <v>38</v>
      </c>
      <c r="E8452" s="21">
        <f t="shared" si="392"/>
        <v>3560.52</v>
      </c>
      <c r="F8452" s="22">
        <v>0</v>
      </c>
      <c r="G8452" s="21">
        <f t="shared" si="393"/>
        <v>3458.2199999999998</v>
      </c>
      <c r="H8452" s="22">
        <v>0</v>
      </c>
      <c r="I8452" s="23" t="str">
        <f t="shared" si="394"/>
        <v xml:space="preserve">COM VALOR</v>
      </c>
      <c r="J8452" s="19"/>
      <c r="L8452" s="21">
        <v>3560.52</v>
      </c>
      <c r="M8452" s="22">
        <v>0</v>
      </c>
      <c r="N8452" s="21">
        <v>3458.2199999999998</v>
      </c>
      <c r="O8452" s="22">
        <v>0</v>
      </c>
    </row>
    <row r="8453" ht="38.25">
      <c r="A8453" t="s">
        <v>8525</v>
      </c>
      <c r="B8453" s="19">
        <v>99302</v>
      </c>
      <c r="C8453" s="20" t="s">
        <v>8558</v>
      </c>
      <c r="D8453" s="19" t="s">
        <v>38</v>
      </c>
      <c r="E8453" s="21">
        <f t="shared" si="392"/>
        <v>3834.46</v>
      </c>
      <c r="F8453" s="22">
        <v>0</v>
      </c>
      <c r="G8453" s="21">
        <f t="shared" si="393"/>
        <v>3724.2600000000002</v>
      </c>
      <c r="H8453" s="22">
        <v>0</v>
      </c>
      <c r="I8453" s="23" t="str">
        <f t="shared" si="394"/>
        <v xml:space="preserve">COM VALOR</v>
      </c>
      <c r="J8453" s="19"/>
      <c r="L8453" s="21">
        <v>3834.46</v>
      </c>
      <c r="M8453" s="22">
        <v>0</v>
      </c>
      <c r="N8453" s="21">
        <v>3724.2600000000002</v>
      </c>
      <c r="O8453" s="22">
        <v>0</v>
      </c>
    </row>
    <row r="8454" ht="38.25">
      <c r="A8454" t="s">
        <v>8525</v>
      </c>
      <c r="B8454" s="19">
        <v>99307</v>
      </c>
      <c r="C8454" s="20" t="s">
        <v>8559</v>
      </c>
      <c r="D8454" s="19" t="s">
        <v>38</v>
      </c>
      <c r="E8454" s="21">
        <f t="shared" si="392"/>
        <v>2478</v>
      </c>
      <c r="F8454" s="22">
        <v>0</v>
      </c>
      <c r="G8454" s="21">
        <f t="shared" si="393"/>
        <v>2406.96</v>
      </c>
      <c r="H8454" s="22">
        <v>0</v>
      </c>
      <c r="I8454" s="23" t="str">
        <f t="shared" si="394"/>
        <v xml:space="preserve">COM VALOR</v>
      </c>
      <c r="J8454" s="19"/>
      <c r="L8454" s="21">
        <v>2478</v>
      </c>
      <c r="M8454" s="22">
        <v>0</v>
      </c>
      <c r="N8454" s="21">
        <v>2406.96</v>
      </c>
      <c r="O8454" s="22">
        <v>0</v>
      </c>
    </row>
    <row r="8455" ht="38.25">
      <c r="A8455" t="s">
        <v>8525</v>
      </c>
      <c r="B8455" s="19">
        <v>99317</v>
      </c>
      <c r="C8455" s="20" t="s">
        <v>8560</v>
      </c>
      <c r="D8455" s="19" t="s">
        <v>38</v>
      </c>
      <c r="E8455" s="21">
        <f t="shared" si="392"/>
        <v>2747.5100000000002</v>
      </c>
      <c r="F8455" s="22">
        <v>0.25</v>
      </c>
      <c r="G8455" s="21">
        <f t="shared" si="393"/>
        <v>2668.6999999999998</v>
      </c>
      <c r="H8455" s="22">
        <v>0.26000000000000001</v>
      </c>
      <c r="I8455" s="23" t="str">
        <f t="shared" si="394"/>
        <v xml:space="preserve">COM VALOR</v>
      </c>
      <c r="J8455" s="19"/>
      <c r="L8455" s="21">
        <v>2747.5100000000002</v>
      </c>
      <c r="M8455" s="22">
        <v>0</v>
      </c>
      <c r="N8455" s="21">
        <v>2668.6999999999998</v>
      </c>
      <c r="O8455" s="22">
        <v>0</v>
      </c>
    </row>
    <row r="8456" ht="38.25">
      <c r="A8456" t="s">
        <v>8525</v>
      </c>
      <c r="B8456" s="19">
        <v>99321</v>
      </c>
      <c r="C8456" s="20" t="s">
        <v>8561</v>
      </c>
      <c r="D8456" s="19" t="s">
        <v>38</v>
      </c>
      <c r="E8456" s="21">
        <f t="shared" si="392"/>
        <v>3017.0999999999999</v>
      </c>
      <c r="F8456" s="22">
        <v>0.66000000000000003</v>
      </c>
      <c r="G8456" s="21">
        <f t="shared" si="393"/>
        <v>2930.5</v>
      </c>
      <c r="H8456" s="22">
        <v>0.67000000000000004</v>
      </c>
      <c r="I8456" s="23" t="str">
        <f t="shared" si="394"/>
        <v xml:space="preserve">COM VALOR</v>
      </c>
      <c r="J8456" s="19"/>
      <c r="L8456" s="21">
        <v>3017.0999999999999</v>
      </c>
      <c r="M8456" s="22">
        <v>0</v>
      </c>
      <c r="N8456" s="21">
        <v>2930.5</v>
      </c>
      <c r="O8456" s="22">
        <v>0</v>
      </c>
    </row>
    <row r="8457" ht="38.25">
      <c r="A8457" t="s">
        <v>8525</v>
      </c>
      <c r="B8457" s="19">
        <v>99323</v>
      </c>
      <c r="C8457" s="20" t="s">
        <v>8562</v>
      </c>
      <c r="D8457" s="19" t="s">
        <v>38</v>
      </c>
      <c r="E8457" s="21">
        <f t="shared" si="392"/>
        <v>3286.6100000000001</v>
      </c>
      <c r="F8457" s="22">
        <v>0</v>
      </c>
      <c r="G8457" s="21">
        <f t="shared" si="393"/>
        <v>3192.2199999999998</v>
      </c>
      <c r="H8457" s="22">
        <v>0</v>
      </c>
      <c r="I8457" s="23" t="str">
        <f t="shared" si="394"/>
        <v xml:space="preserve">COM VALOR</v>
      </c>
      <c r="J8457" s="19"/>
      <c r="L8457" s="21">
        <v>3286.6100000000001</v>
      </c>
      <c r="M8457" s="22">
        <v>0</v>
      </c>
      <c r="N8457" s="21">
        <v>3192.2199999999998</v>
      </c>
      <c r="O8457" s="22">
        <v>0</v>
      </c>
    </row>
    <row r="8458" ht="38.25">
      <c r="A8458" t="s">
        <v>8525</v>
      </c>
      <c r="B8458" s="19">
        <v>99325</v>
      </c>
      <c r="C8458" s="20" t="s">
        <v>8563</v>
      </c>
      <c r="D8458" s="19" t="s">
        <v>38</v>
      </c>
      <c r="E8458" s="21">
        <f t="shared" si="392"/>
        <v>3560.52</v>
      </c>
      <c r="F8458" s="22">
        <v>0</v>
      </c>
      <c r="G8458" s="21">
        <f t="shared" si="393"/>
        <v>3458.2199999999998</v>
      </c>
      <c r="H8458" s="22">
        <v>0</v>
      </c>
      <c r="I8458" s="23" t="str">
        <f t="shared" si="394"/>
        <v xml:space="preserve">COM VALOR</v>
      </c>
      <c r="J8458" s="19"/>
      <c r="L8458" s="21">
        <v>3560.52</v>
      </c>
      <c r="M8458" s="22">
        <v>0</v>
      </c>
      <c r="N8458" s="21">
        <v>3458.2199999999998</v>
      </c>
      <c r="O8458" s="22">
        <v>0</v>
      </c>
    </row>
    <row r="8459" ht="38.25">
      <c r="A8459" t="s">
        <v>8525</v>
      </c>
      <c r="B8459" s="19">
        <v>99311</v>
      </c>
      <c r="C8459" s="20" t="s">
        <v>8564</v>
      </c>
      <c r="D8459" s="19" t="s">
        <v>38</v>
      </c>
      <c r="E8459" s="21">
        <f t="shared" ref="E8459:E8522" si="395">IF(L8459=0,"VERIFICAR",L8459)</f>
        <v>4108.4799999999996</v>
      </c>
      <c r="F8459" s="22">
        <v>0</v>
      </c>
      <c r="G8459" s="21">
        <f t="shared" ref="G8459:G8522" si="396">IF(N8459=0,"VERIFICAR",N8459)</f>
        <v>3990.3499999999999</v>
      </c>
      <c r="H8459" s="22">
        <v>0</v>
      </c>
      <c r="I8459" s="23" t="str">
        <f t="shared" ref="I8459:I8522" si="397">IF(OR(E8459=0,G8459=0),"SEM VALOR","COM VALOR")</f>
        <v xml:space="preserve">COM VALOR</v>
      </c>
      <c r="J8459" s="19"/>
      <c r="L8459" s="21">
        <v>4108.4799999999996</v>
      </c>
      <c r="M8459" s="22">
        <v>0</v>
      </c>
      <c r="N8459" s="21">
        <v>3990.3499999999999</v>
      </c>
      <c r="O8459" s="22">
        <v>0</v>
      </c>
    </row>
    <row r="8460" ht="38.25">
      <c r="A8460" t="s">
        <v>8525</v>
      </c>
      <c r="B8460" s="19">
        <v>99314</v>
      </c>
      <c r="C8460" s="20" t="s">
        <v>8565</v>
      </c>
      <c r="D8460" s="19" t="s">
        <v>38</v>
      </c>
      <c r="E8460" s="21">
        <f t="shared" si="395"/>
        <v>4382.4399999999996</v>
      </c>
      <c r="F8460" s="22">
        <v>0</v>
      </c>
      <c r="G8460" s="21">
        <f t="shared" si="396"/>
        <v>4256.3999999999996</v>
      </c>
      <c r="H8460" s="22">
        <v>0</v>
      </c>
      <c r="I8460" s="23" t="str">
        <f t="shared" si="397"/>
        <v xml:space="preserve">COM VALOR</v>
      </c>
      <c r="J8460" s="19"/>
      <c r="L8460" s="21">
        <v>4382.4399999999996</v>
      </c>
      <c r="M8460" s="22">
        <v>0</v>
      </c>
      <c r="N8460" s="21">
        <v>4256.3999999999996</v>
      </c>
      <c r="O8460" s="22">
        <v>0</v>
      </c>
    </row>
    <row r="8461" ht="38.25">
      <c r="A8461" t="s">
        <v>8525</v>
      </c>
      <c r="B8461" s="19">
        <v>99304</v>
      </c>
      <c r="C8461" s="20" t="s">
        <v>8566</v>
      </c>
      <c r="D8461" s="19" t="s">
        <v>38</v>
      </c>
      <c r="E8461" s="21">
        <f t="shared" si="395"/>
        <v>3564.96</v>
      </c>
      <c r="F8461" s="22">
        <v>0</v>
      </c>
      <c r="G8461" s="21">
        <f t="shared" si="396"/>
        <v>3462.5300000000002</v>
      </c>
      <c r="H8461" s="22">
        <v>0</v>
      </c>
      <c r="I8461" s="23" t="str">
        <f t="shared" si="397"/>
        <v xml:space="preserve">COM VALOR</v>
      </c>
      <c r="J8461" s="19"/>
      <c r="L8461" s="21">
        <v>3564.96</v>
      </c>
      <c r="M8461" s="22">
        <v>0</v>
      </c>
      <c r="N8461" s="21">
        <v>3462.5300000000002</v>
      </c>
      <c r="O8461" s="22">
        <v>0</v>
      </c>
    </row>
    <row r="8462" ht="38.25">
      <c r="A8462" t="s">
        <v>8525</v>
      </c>
      <c r="B8462" s="19">
        <v>99306</v>
      </c>
      <c r="C8462" s="20" t="s">
        <v>8567</v>
      </c>
      <c r="D8462" s="19" t="s">
        <v>38</v>
      </c>
      <c r="E8462" s="21">
        <f t="shared" si="395"/>
        <v>3834.46</v>
      </c>
      <c r="F8462" s="22">
        <v>0</v>
      </c>
      <c r="G8462" s="21">
        <f t="shared" si="396"/>
        <v>3724.2600000000002</v>
      </c>
      <c r="H8462" s="22">
        <v>0</v>
      </c>
      <c r="I8462" s="23" t="str">
        <f t="shared" si="397"/>
        <v xml:space="preserve">COM VALOR</v>
      </c>
      <c r="J8462" s="19"/>
      <c r="L8462" s="21">
        <v>3834.46</v>
      </c>
      <c r="M8462" s="22">
        <v>0</v>
      </c>
      <c r="N8462" s="21">
        <v>3724.2600000000002</v>
      </c>
      <c r="O8462" s="22">
        <v>0</v>
      </c>
    </row>
    <row r="8463" ht="38.25">
      <c r="A8463" t="s">
        <v>8525</v>
      </c>
      <c r="B8463" s="19">
        <v>99309</v>
      </c>
      <c r="C8463" s="20" t="s">
        <v>8568</v>
      </c>
      <c r="D8463" s="19" t="s">
        <v>38</v>
      </c>
      <c r="E8463" s="21">
        <f t="shared" si="395"/>
        <v>4108.4799999999996</v>
      </c>
      <c r="F8463" s="22">
        <v>0</v>
      </c>
      <c r="G8463" s="21">
        <f t="shared" si="396"/>
        <v>3990.3499999999999</v>
      </c>
      <c r="H8463" s="22">
        <v>0</v>
      </c>
      <c r="I8463" s="23" t="str">
        <f t="shared" si="397"/>
        <v xml:space="preserve">COM VALOR</v>
      </c>
      <c r="J8463" s="19"/>
      <c r="L8463" s="21">
        <v>4108.4799999999996</v>
      </c>
      <c r="M8463" s="22">
        <v>0</v>
      </c>
      <c r="N8463" s="21">
        <v>3990.3499999999999</v>
      </c>
      <c r="O8463" s="22">
        <v>0</v>
      </c>
    </row>
    <row r="8464" ht="38.25">
      <c r="A8464" t="s">
        <v>8525</v>
      </c>
      <c r="B8464" s="19">
        <v>99327</v>
      </c>
      <c r="C8464" s="20" t="s">
        <v>8569</v>
      </c>
      <c r="D8464" s="19" t="s">
        <v>38</v>
      </c>
      <c r="E8464" s="21">
        <f t="shared" si="395"/>
        <v>4612.9700000000003</v>
      </c>
      <c r="F8464" s="22">
        <v>0</v>
      </c>
      <c r="G8464" s="21">
        <f t="shared" si="396"/>
        <v>4480.3100000000004</v>
      </c>
      <c r="H8464" s="22">
        <v>0</v>
      </c>
      <c r="I8464" s="23" t="str">
        <f t="shared" si="397"/>
        <v xml:space="preserve">COM VALOR</v>
      </c>
      <c r="J8464" s="19"/>
      <c r="L8464" s="21">
        <v>4612.9700000000003</v>
      </c>
      <c r="M8464" s="22">
        <v>0</v>
      </c>
      <c r="N8464" s="21">
        <v>4480.3100000000004</v>
      </c>
      <c r="O8464" s="22">
        <v>0</v>
      </c>
    </row>
    <row r="8465" ht="38.25">
      <c r="A8465" t="s">
        <v>8525</v>
      </c>
      <c r="B8465" s="19">
        <v>98009</v>
      </c>
      <c r="C8465" s="20" t="s">
        <v>8570</v>
      </c>
      <c r="D8465" s="19" t="s">
        <v>38</v>
      </c>
      <c r="E8465" s="21">
        <f t="shared" si="395"/>
        <v>1987.0599999999999</v>
      </c>
      <c r="F8465" s="22">
        <v>0</v>
      </c>
      <c r="G8465" s="21">
        <f t="shared" si="396"/>
        <v>1931.95</v>
      </c>
      <c r="H8465" s="22">
        <v>0</v>
      </c>
      <c r="I8465" s="23" t="str">
        <f t="shared" si="397"/>
        <v xml:space="preserve">COM VALOR</v>
      </c>
      <c r="J8465" s="19"/>
      <c r="L8465" s="21">
        <v>1987.0599999999999</v>
      </c>
      <c r="M8465" s="22">
        <v>0</v>
      </c>
      <c r="N8465" s="21">
        <v>1931.95</v>
      </c>
      <c r="O8465" s="22">
        <v>0</v>
      </c>
    </row>
    <row r="8466" ht="38.25">
      <c r="A8466" t="s">
        <v>8525</v>
      </c>
      <c r="B8466" s="19">
        <v>98011</v>
      </c>
      <c r="C8466" s="20" t="s">
        <v>8571</v>
      </c>
      <c r="D8466" s="19" t="s">
        <v>38</v>
      </c>
      <c r="E8466" s="21">
        <f t="shared" si="395"/>
        <v>2266.77</v>
      </c>
      <c r="F8466" s="22">
        <v>0</v>
      </c>
      <c r="G8466" s="21">
        <f t="shared" si="396"/>
        <v>2203.8600000000001</v>
      </c>
      <c r="H8466" s="22">
        <v>0</v>
      </c>
      <c r="I8466" s="23" t="str">
        <f t="shared" si="397"/>
        <v xml:space="preserve">COM VALOR</v>
      </c>
      <c r="J8466" s="19"/>
      <c r="L8466" s="21">
        <v>2266.77</v>
      </c>
      <c r="M8466" s="22">
        <v>0</v>
      </c>
      <c r="N8466" s="21">
        <v>2203.8600000000001</v>
      </c>
      <c r="O8466" s="22">
        <v>0</v>
      </c>
    </row>
    <row r="8467" ht="38.25">
      <c r="A8467" t="s">
        <v>8525</v>
      </c>
      <c r="B8467" s="19">
        <v>98013</v>
      </c>
      <c r="C8467" s="20" t="s">
        <v>8572</v>
      </c>
      <c r="D8467" s="19" t="s">
        <v>38</v>
      </c>
      <c r="E8467" s="21">
        <f t="shared" si="395"/>
        <v>2546.5599999999999</v>
      </c>
      <c r="F8467" s="22">
        <v>0</v>
      </c>
      <c r="G8467" s="21">
        <f t="shared" si="396"/>
        <v>2475.8000000000002</v>
      </c>
      <c r="H8467" s="22">
        <v>0</v>
      </c>
      <c r="I8467" s="23" t="str">
        <f t="shared" si="397"/>
        <v xml:space="preserve">COM VALOR</v>
      </c>
      <c r="J8467" s="19"/>
      <c r="L8467" s="21">
        <v>2546.5599999999999</v>
      </c>
      <c r="M8467" s="22">
        <v>0</v>
      </c>
      <c r="N8467" s="21">
        <v>2475.8000000000002</v>
      </c>
      <c r="O8467" s="22">
        <v>0</v>
      </c>
    </row>
    <row r="8468" ht="38.25">
      <c r="A8468" t="s">
        <v>8525</v>
      </c>
      <c r="B8468" s="19">
        <v>98015</v>
      </c>
      <c r="C8468" s="20" t="s">
        <v>8573</v>
      </c>
      <c r="D8468" s="19" t="s">
        <v>38</v>
      </c>
      <c r="E8468" s="21">
        <f t="shared" si="395"/>
        <v>2826.3400000000001</v>
      </c>
      <c r="F8468" s="22">
        <v>0</v>
      </c>
      <c r="G8468" s="21">
        <f t="shared" si="396"/>
        <v>2747.79</v>
      </c>
      <c r="H8468" s="22">
        <v>0</v>
      </c>
      <c r="I8468" s="23" t="str">
        <f t="shared" si="397"/>
        <v xml:space="preserve">COM VALOR</v>
      </c>
      <c r="J8468" s="19"/>
      <c r="L8468" s="21">
        <v>2826.3400000000001</v>
      </c>
      <c r="M8468" s="22">
        <v>0</v>
      </c>
      <c r="N8468" s="21">
        <v>2747.79</v>
      </c>
      <c r="O8468" s="22">
        <v>0</v>
      </c>
    </row>
    <row r="8469" ht="38.25">
      <c r="A8469" t="s">
        <v>8525</v>
      </c>
      <c r="B8469" s="19">
        <v>98017</v>
      </c>
      <c r="C8469" s="20" t="s">
        <v>8574</v>
      </c>
      <c r="D8469" s="19" t="s">
        <v>38</v>
      </c>
      <c r="E8469" s="21">
        <f t="shared" si="395"/>
        <v>3106.0799999999999</v>
      </c>
      <c r="F8469" s="22">
        <v>0</v>
      </c>
      <c r="G8469" s="21">
        <f t="shared" si="396"/>
        <v>3019.6700000000001</v>
      </c>
      <c r="H8469" s="22">
        <v>0</v>
      </c>
      <c r="I8469" s="23" t="str">
        <f t="shared" si="397"/>
        <v xml:space="preserve">COM VALOR</v>
      </c>
      <c r="J8469" s="19"/>
      <c r="L8469" s="21">
        <v>3106.0799999999999</v>
      </c>
      <c r="M8469" s="22">
        <v>0</v>
      </c>
      <c r="N8469" s="21">
        <v>3019.6700000000001</v>
      </c>
      <c r="O8469" s="22">
        <v>0</v>
      </c>
    </row>
    <row r="8470" ht="38.25">
      <c r="A8470" t="s">
        <v>8525</v>
      </c>
      <c r="B8470" s="19">
        <v>98019</v>
      </c>
      <c r="C8470" s="20" t="s">
        <v>8575</v>
      </c>
      <c r="D8470" s="19" t="s">
        <v>38</v>
      </c>
      <c r="E8470" s="21">
        <f t="shared" si="395"/>
        <v>3410.1799999999998</v>
      </c>
      <c r="F8470" s="22">
        <v>0</v>
      </c>
      <c r="G8470" s="21">
        <f t="shared" si="396"/>
        <v>3315.3299999999999</v>
      </c>
      <c r="H8470" s="22">
        <v>0</v>
      </c>
      <c r="I8470" s="23" t="str">
        <f t="shared" si="397"/>
        <v xml:space="preserve">COM VALOR</v>
      </c>
      <c r="J8470" s="19"/>
      <c r="L8470" s="21">
        <v>3410.1799999999998</v>
      </c>
      <c r="M8470" s="22">
        <v>0</v>
      </c>
      <c r="N8470" s="21">
        <v>3315.3299999999999</v>
      </c>
      <c r="O8470" s="22">
        <v>0</v>
      </c>
    </row>
    <row r="8471" ht="38.25">
      <c r="A8471" t="s">
        <v>8525</v>
      </c>
      <c r="B8471" s="19">
        <v>97995</v>
      </c>
      <c r="C8471" s="20" t="s">
        <v>8576</v>
      </c>
      <c r="D8471" s="19" t="s">
        <v>38</v>
      </c>
      <c r="E8471" s="21">
        <f t="shared" si="395"/>
        <v>1427.53</v>
      </c>
      <c r="F8471" s="22">
        <v>0</v>
      </c>
      <c r="G8471" s="21">
        <f t="shared" si="396"/>
        <v>1388.0999999999999</v>
      </c>
      <c r="H8471" s="22">
        <v>0</v>
      </c>
      <c r="I8471" s="23" t="str">
        <f t="shared" si="397"/>
        <v xml:space="preserve">COM VALOR</v>
      </c>
      <c r="J8471" s="19"/>
      <c r="L8471" s="21">
        <v>1427.53</v>
      </c>
      <c r="M8471" s="22">
        <v>0</v>
      </c>
      <c r="N8471" s="21">
        <v>1388.0999999999999</v>
      </c>
      <c r="O8471" s="22">
        <v>0</v>
      </c>
    </row>
    <row r="8472" ht="38.25">
      <c r="A8472" t="s">
        <v>8525</v>
      </c>
      <c r="B8472" s="19">
        <v>97997</v>
      </c>
      <c r="C8472" s="20" t="s">
        <v>8577</v>
      </c>
      <c r="D8472" s="19" t="s">
        <v>38</v>
      </c>
      <c r="E8472" s="21">
        <f t="shared" si="395"/>
        <v>1707.26</v>
      </c>
      <c r="F8472" s="22">
        <v>0</v>
      </c>
      <c r="G8472" s="21">
        <f t="shared" si="396"/>
        <v>1659.99</v>
      </c>
      <c r="H8472" s="22">
        <v>0</v>
      </c>
      <c r="I8472" s="23" t="str">
        <f t="shared" si="397"/>
        <v xml:space="preserve">COM VALOR</v>
      </c>
      <c r="J8472" s="19"/>
      <c r="L8472" s="21">
        <v>1707.26</v>
      </c>
      <c r="M8472" s="22">
        <v>0</v>
      </c>
      <c r="N8472" s="21">
        <v>1659.99</v>
      </c>
      <c r="O8472" s="22">
        <v>0</v>
      </c>
    </row>
    <row r="8473" ht="38.25">
      <c r="A8473" t="s">
        <v>8525</v>
      </c>
      <c r="B8473" s="19">
        <v>97999</v>
      </c>
      <c r="C8473" s="20" t="s">
        <v>8578</v>
      </c>
      <c r="D8473" s="19" t="s">
        <v>38</v>
      </c>
      <c r="E8473" s="21">
        <f t="shared" si="395"/>
        <v>1987.0599999999999</v>
      </c>
      <c r="F8473" s="22">
        <v>0</v>
      </c>
      <c r="G8473" s="21">
        <f t="shared" si="396"/>
        <v>1931.95</v>
      </c>
      <c r="H8473" s="22">
        <v>0</v>
      </c>
      <c r="I8473" s="23" t="str">
        <f t="shared" si="397"/>
        <v xml:space="preserve">COM VALOR</v>
      </c>
      <c r="J8473" s="19"/>
      <c r="L8473" s="21">
        <v>1987.0599999999999</v>
      </c>
      <c r="M8473" s="22">
        <v>0</v>
      </c>
      <c r="N8473" s="21">
        <v>1931.95</v>
      </c>
      <c r="O8473" s="22">
        <v>0</v>
      </c>
    </row>
    <row r="8474" ht="38.25">
      <c r="A8474" t="s">
        <v>8525</v>
      </c>
      <c r="B8474" s="19">
        <v>98001</v>
      </c>
      <c r="C8474" s="20" t="s">
        <v>8579</v>
      </c>
      <c r="D8474" s="19" t="s">
        <v>38</v>
      </c>
      <c r="E8474" s="21">
        <f t="shared" si="395"/>
        <v>2266.77</v>
      </c>
      <c r="F8474" s="22">
        <v>0</v>
      </c>
      <c r="G8474" s="21">
        <f t="shared" si="396"/>
        <v>2203.8600000000001</v>
      </c>
      <c r="H8474" s="22">
        <v>0</v>
      </c>
      <c r="I8474" s="23" t="str">
        <f t="shared" si="397"/>
        <v xml:space="preserve">COM VALOR</v>
      </c>
      <c r="J8474" s="19"/>
      <c r="L8474" s="21">
        <v>2266.77</v>
      </c>
      <c r="M8474" s="22">
        <v>0</v>
      </c>
      <c r="N8474" s="21">
        <v>2203.8600000000001</v>
      </c>
      <c r="O8474" s="22">
        <v>0</v>
      </c>
    </row>
    <row r="8475" ht="38.25">
      <c r="A8475" t="s">
        <v>8525</v>
      </c>
      <c r="B8475" s="19">
        <v>98003</v>
      </c>
      <c r="C8475" s="20" t="s">
        <v>8580</v>
      </c>
      <c r="D8475" s="19" t="s">
        <v>38</v>
      </c>
      <c r="E8475" s="21">
        <f t="shared" si="395"/>
        <v>2546.5599999999999</v>
      </c>
      <c r="F8475" s="22">
        <v>0</v>
      </c>
      <c r="G8475" s="21">
        <f t="shared" si="396"/>
        <v>2475.8000000000002</v>
      </c>
      <c r="H8475" s="22">
        <v>0</v>
      </c>
      <c r="I8475" s="23" t="str">
        <f t="shared" si="397"/>
        <v xml:space="preserve">COM VALOR</v>
      </c>
      <c r="J8475" s="19"/>
      <c r="L8475" s="21">
        <v>2546.5599999999999</v>
      </c>
      <c r="M8475" s="22">
        <v>0</v>
      </c>
      <c r="N8475" s="21">
        <v>2475.8000000000002</v>
      </c>
      <c r="O8475" s="22">
        <v>0</v>
      </c>
    </row>
    <row r="8476" ht="38.25">
      <c r="A8476" t="s">
        <v>8525</v>
      </c>
      <c r="B8476" s="19">
        <v>98005</v>
      </c>
      <c r="C8476" s="20" t="s">
        <v>8581</v>
      </c>
      <c r="D8476" s="19" t="s">
        <v>38</v>
      </c>
      <c r="E8476" s="21">
        <f t="shared" si="395"/>
        <v>2826.3400000000001</v>
      </c>
      <c r="F8476" s="22">
        <v>0</v>
      </c>
      <c r="G8476" s="21">
        <f t="shared" si="396"/>
        <v>2747.79</v>
      </c>
      <c r="H8476" s="22">
        <v>0</v>
      </c>
      <c r="I8476" s="23" t="str">
        <f t="shared" si="397"/>
        <v xml:space="preserve">COM VALOR</v>
      </c>
      <c r="J8476" s="19"/>
      <c r="L8476" s="21">
        <v>2826.3400000000001</v>
      </c>
      <c r="M8476" s="22">
        <v>0</v>
      </c>
      <c r="N8476" s="21">
        <v>2747.79</v>
      </c>
      <c r="O8476" s="22">
        <v>0</v>
      </c>
    </row>
    <row r="8477" ht="38.25">
      <c r="A8477" t="s">
        <v>8525</v>
      </c>
      <c r="B8477" s="19">
        <v>98007</v>
      </c>
      <c r="C8477" s="20" t="s">
        <v>8582</v>
      </c>
      <c r="D8477" s="19" t="s">
        <v>38</v>
      </c>
      <c r="E8477" s="21">
        <f t="shared" si="395"/>
        <v>3106.0799999999999</v>
      </c>
      <c r="F8477" s="22">
        <v>0</v>
      </c>
      <c r="G8477" s="21">
        <f t="shared" si="396"/>
        <v>3019.6700000000001</v>
      </c>
      <c r="H8477" s="22">
        <v>0</v>
      </c>
      <c r="I8477" s="23" t="str">
        <f t="shared" si="397"/>
        <v xml:space="preserve">COM VALOR</v>
      </c>
      <c r="J8477" s="19"/>
      <c r="L8477" s="21">
        <v>3106.0799999999999</v>
      </c>
      <c r="M8477" s="22">
        <v>0</v>
      </c>
      <c r="N8477" s="21">
        <v>3019.6700000000001</v>
      </c>
      <c r="O8477" s="22">
        <v>0</v>
      </c>
    </row>
    <row r="8478" ht="38.25">
      <c r="A8478" t="s">
        <v>8525</v>
      </c>
      <c r="B8478" s="19">
        <v>98031</v>
      </c>
      <c r="C8478" s="20" t="s">
        <v>8583</v>
      </c>
      <c r="D8478" s="19" t="s">
        <v>38</v>
      </c>
      <c r="E8478" s="21">
        <f t="shared" si="395"/>
        <v>3135.5500000000002</v>
      </c>
      <c r="F8478" s="22">
        <v>0.26000000000000001</v>
      </c>
      <c r="G8478" s="21">
        <f t="shared" si="396"/>
        <v>3048.3899999999999</v>
      </c>
      <c r="H8478" s="22">
        <v>0.27000000000000002</v>
      </c>
      <c r="I8478" s="23" t="str">
        <f t="shared" si="397"/>
        <v xml:space="preserve">COM VALOR</v>
      </c>
      <c r="J8478" s="19"/>
      <c r="L8478" s="21">
        <v>3135.5500000000002</v>
      </c>
      <c r="M8478" s="22">
        <v>0</v>
      </c>
      <c r="N8478" s="21">
        <v>3048.3899999999999</v>
      </c>
      <c r="O8478" s="22">
        <v>0</v>
      </c>
    </row>
    <row r="8479" ht="38.25">
      <c r="A8479" t="s">
        <v>8525</v>
      </c>
      <c r="B8479" s="19">
        <v>98033</v>
      </c>
      <c r="C8479" s="20" t="s">
        <v>8584</v>
      </c>
      <c r="D8479" s="19" t="s">
        <v>38</v>
      </c>
      <c r="E8479" s="21">
        <f t="shared" si="395"/>
        <v>3415.27</v>
      </c>
      <c r="F8479" s="22">
        <v>0.31</v>
      </c>
      <c r="G8479" s="21">
        <f t="shared" si="396"/>
        <v>3320.2800000000002</v>
      </c>
      <c r="H8479" s="22">
        <v>0.32000000000000001</v>
      </c>
      <c r="I8479" s="23" t="str">
        <f t="shared" si="397"/>
        <v xml:space="preserve">COM VALOR</v>
      </c>
      <c r="J8479" s="19"/>
      <c r="L8479" s="21">
        <v>3415.27</v>
      </c>
      <c r="M8479" s="22">
        <v>0</v>
      </c>
      <c r="N8479" s="21">
        <v>3320.2800000000002</v>
      </c>
      <c r="O8479" s="22">
        <v>0</v>
      </c>
    </row>
    <row r="8480" ht="38.25">
      <c r="A8480" t="s">
        <v>8525</v>
      </c>
      <c r="B8480" s="19">
        <v>98035</v>
      </c>
      <c r="C8480" s="20" t="s">
        <v>8585</v>
      </c>
      <c r="D8480" s="19" t="s">
        <v>38</v>
      </c>
      <c r="E8480" s="21">
        <f t="shared" si="395"/>
        <v>3694.96</v>
      </c>
      <c r="F8480" s="22">
        <v>0.34000000000000002</v>
      </c>
      <c r="G8480" s="21">
        <f t="shared" si="396"/>
        <v>3592.1500000000001</v>
      </c>
      <c r="H8480" s="22">
        <v>0.34999999999999998</v>
      </c>
      <c r="I8480" s="23" t="str">
        <f t="shared" si="397"/>
        <v xml:space="preserve">COM VALOR</v>
      </c>
      <c r="J8480" s="19"/>
      <c r="L8480" s="21">
        <v>3694.96</v>
      </c>
      <c r="M8480" s="22">
        <v>0</v>
      </c>
      <c r="N8480" s="21">
        <v>3592.1500000000001</v>
      </c>
      <c r="O8480" s="22">
        <v>0</v>
      </c>
    </row>
    <row r="8481" ht="38.25">
      <c r="A8481" t="s">
        <v>8525</v>
      </c>
      <c r="B8481" s="19">
        <v>98037</v>
      </c>
      <c r="C8481" s="20" t="s">
        <v>8586</v>
      </c>
      <c r="D8481" s="19" t="s">
        <v>38</v>
      </c>
      <c r="E8481" s="21">
        <f t="shared" si="395"/>
        <v>3979.75</v>
      </c>
      <c r="F8481" s="22">
        <v>0.17000000000000001</v>
      </c>
      <c r="G8481" s="21">
        <f t="shared" si="396"/>
        <v>3869</v>
      </c>
      <c r="H8481" s="22">
        <v>0.17000000000000001</v>
      </c>
      <c r="I8481" s="23" t="str">
        <f t="shared" si="397"/>
        <v xml:space="preserve">COM VALOR</v>
      </c>
      <c r="J8481" s="19"/>
      <c r="L8481" s="21">
        <v>3979.75</v>
      </c>
      <c r="M8481" s="22">
        <v>0</v>
      </c>
      <c r="N8481" s="21">
        <v>3869</v>
      </c>
      <c r="O8481" s="22">
        <v>0</v>
      </c>
    </row>
    <row r="8482" ht="38.25">
      <c r="A8482" t="s">
        <v>8525</v>
      </c>
      <c r="B8482" s="19">
        <v>98021</v>
      </c>
      <c r="C8482" s="20" t="s">
        <v>8587</v>
      </c>
      <c r="D8482" s="19" t="s">
        <v>38</v>
      </c>
      <c r="E8482" s="21">
        <f t="shared" si="395"/>
        <v>2570.9499999999998</v>
      </c>
      <c r="F8482" s="22">
        <v>0.22</v>
      </c>
      <c r="G8482" s="21">
        <f t="shared" si="396"/>
        <v>2499.5599999999999</v>
      </c>
      <c r="H8482" s="22">
        <v>0.23000000000000001</v>
      </c>
      <c r="I8482" s="23" t="str">
        <f t="shared" si="397"/>
        <v xml:space="preserve">COM VALOR</v>
      </c>
      <c r="J8482" s="19"/>
      <c r="L8482" s="21">
        <v>2570.9499999999998</v>
      </c>
      <c r="M8482" s="22">
        <v>0</v>
      </c>
      <c r="N8482" s="21">
        <v>2499.5599999999999</v>
      </c>
      <c r="O8482" s="22">
        <v>0</v>
      </c>
    </row>
    <row r="8483" ht="38.25">
      <c r="A8483" t="s">
        <v>8525</v>
      </c>
      <c r="B8483" s="19">
        <v>98023</v>
      </c>
      <c r="C8483" s="20" t="s">
        <v>8588</v>
      </c>
      <c r="D8483" s="19" t="s">
        <v>38</v>
      </c>
      <c r="E8483" s="21">
        <f t="shared" si="395"/>
        <v>2850.6700000000001</v>
      </c>
      <c r="F8483" s="22">
        <v>0.27000000000000002</v>
      </c>
      <c r="G8483" s="21">
        <f t="shared" si="396"/>
        <v>2771.4699999999998</v>
      </c>
      <c r="H8483" s="22">
        <v>0.28000000000000003</v>
      </c>
      <c r="I8483" s="23" t="str">
        <f t="shared" si="397"/>
        <v xml:space="preserve">COM VALOR</v>
      </c>
      <c r="J8483" s="19"/>
      <c r="L8483" s="21">
        <v>2850.6700000000001</v>
      </c>
      <c r="M8483" s="22">
        <v>0</v>
      </c>
      <c r="N8483" s="21">
        <v>2771.4699999999998</v>
      </c>
      <c r="O8483" s="22">
        <v>0</v>
      </c>
    </row>
    <row r="8484" ht="38.25">
      <c r="A8484" t="s">
        <v>8525</v>
      </c>
      <c r="B8484" s="19">
        <v>98025</v>
      </c>
      <c r="C8484" s="20" t="s">
        <v>8589</v>
      </c>
      <c r="D8484" s="19" t="s">
        <v>38</v>
      </c>
      <c r="E8484" s="21">
        <f t="shared" si="395"/>
        <v>3130.4699999999998</v>
      </c>
      <c r="F8484" s="22">
        <v>0.17999999999999999</v>
      </c>
      <c r="G8484" s="21">
        <f t="shared" si="396"/>
        <v>3043.4400000000001</v>
      </c>
      <c r="H8484" s="22">
        <v>0.19</v>
      </c>
      <c r="I8484" s="23" t="str">
        <f t="shared" si="397"/>
        <v xml:space="preserve">COM VALOR</v>
      </c>
      <c r="J8484" s="19"/>
      <c r="L8484" s="21">
        <v>3130.4699999999998</v>
      </c>
      <c r="M8484" s="22">
        <v>0</v>
      </c>
      <c r="N8484" s="21">
        <v>3043.4400000000001</v>
      </c>
      <c r="O8484" s="22">
        <v>0</v>
      </c>
    </row>
    <row r="8485" ht="38.25">
      <c r="A8485" t="s">
        <v>8525</v>
      </c>
      <c r="B8485" s="19">
        <v>98027</v>
      </c>
      <c r="C8485" s="20" t="s">
        <v>8590</v>
      </c>
      <c r="D8485" s="19" t="s">
        <v>38</v>
      </c>
      <c r="E8485" s="21">
        <f t="shared" si="395"/>
        <v>3410.1799999999998</v>
      </c>
      <c r="F8485" s="22">
        <v>0.27000000000000002</v>
      </c>
      <c r="G8485" s="21">
        <f t="shared" si="396"/>
        <v>3315.3299999999999</v>
      </c>
      <c r="H8485" s="22">
        <v>0.28000000000000003</v>
      </c>
      <c r="I8485" s="23" t="str">
        <f t="shared" si="397"/>
        <v xml:space="preserve">COM VALOR</v>
      </c>
      <c r="J8485" s="19"/>
      <c r="L8485" s="21">
        <v>3410.1799999999998</v>
      </c>
      <c r="M8485" s="22">
        <v>0</v>
      </c>
      <c r="N8485" s="21">
        <v>3315.3299999999999</v>
      </c>
      <c r="O8485" s="22">
        <v>0</v>
      </c>
    </row>
    <row r="8486" ht="38.25">
      <c r="A8486" t="s">
        <v>8525</v>
      </c>
      <c r="B8486" s="19">
        <v>98029</v>
      </c>
      <c r="C8486" s="20" t="s">
        <v>8591</v>
      </c>
      <c r="D8486" s="19" t="s">
        <v>38</v>
      </c>
      <c r="E8486" s="21">
        <f t="shared" si="395"/>
        <v>3694.96</v>
      </c>
      <c r="F8486" s="22">
        <v>0.19</v>
      </c>
      <c r="G8486" s="21">
        <f t="shared" si="396"/>
        <v>3592.1500000000001</v>
      </c>
      <c r="H8486" s="22">
        <v>0.20000000000000001</v>
      </c>
      <c r="I8486" s="23" t="str">
        <f t="shared" si="397"/>
        <v xml:space="preserve">COM VALOR</v>
      </c>
      <c r="J8486" s="19"/>
      <c r="L8486" s="21">
        <v>3694.96</v>
      </c>
      <c r="M8486" s="22">
        <v>0</v>
      </c>
      <c r="N8486" s="21">
        <v>3592.1500000000001</v>
      </c>
      <c r="O8486" s="22">
        <v>0</v>
      </c>
    </row>
    <row r="8487" ht="38.25">
      <c r="A8487" t="s">
        <v>8525</v>
      </c>
      <c r="B8487" s="19">
        <v>98045</v>
      </c>
      <c r="C8487" s="20" t="s">
        <v>8592</v>
      </c>
      <c r="D8487" s="19" t="s">
        <v>38</v>
      </c>
      <c r="E8487" s="21">
        <f t="shared" si="395"/>
        <v>4264.6300000000001</v>
      </c>
      <c r="F8487" s="22">
        <v>0.17000000000000001</v>
      </c>
      <c r="G8487" s="21">
        <f t="shared" si="396"/>
        <v>4145.9099999999999</v>
      </c>
      <c r="H8487" s="22">
        <v>0.17999999999999999</v>
      </c>
      <c r="I8487" s="23" t="str">
        <f t="shared" si="397"/>
        <v xml:space="preserve">COM VALOR</v>
      </c>
      <c r="J8487" s="19"/>
      <c r="L8487" s="21">
        <v>4264.6300000000001</v>
      </c>
      <c r="M8487" s="22">
        <v>0</v>
      </c>
      <c r="N8487" s="21">
        <v>4145.9099999999999</v>
      </c>
      <c r="O8487" s="22">
        <v>0</v>
      </c>
    </row>
    <row r="8488" ht="38.25">
      <c r="A8488" t="s">
        <v>8525</v>
      </c>
      <c r="B8488" s="19">
        <v>98047</v>
      </c>
      <c r="C8488" s="20" t="s">
        <v>8593</v>
      </c>
      <c r="D8488" s="19" t="s">
        <v>38</v>
      </c>
      <c r="E8488" s="21">
        <f t="shared" si="395"/>
        <v>4549.4300000000003</v>
      </c>
      <c r="F8488" s="22"/>
      <c r="G8488" s="21">
        <f t="shared" si="396"/>
        <v>4422.7600000000002</v>
      </c>
      <c r="H8488" s="22"/>
      <c r="I8488" s="23" t="str">
        <f t="shared" si="397"/>
        <v xml:space="preserve">COM VALOR</v>
      </c>
      <c r="J8488" s="19"/>
      <c r="L8488" s="21">
        <v>4549.4300000000003</v>
      </c>
      <c r="M8488" s="22">
        <v>0</v>
      </c>
      <c r="N8488" s="21">
        <v>4422.7600000000002</v>
      </c>
      <c r="O8488" s="22">
        <v>0</v>
      </c>
    </row>
    <row r="8489" ht="38.25">
      <c r="A8489" t="s">
        <v>8525</v>
      </c>
      <c r="B8489" s="19">
        <v>98039</v>
      </c>
      <c r="C8489" s="20" t="s">
        <v>8594</v>
      </c>
      <c r="D8489" s="19" t="s">
        <v>38</v>
      </c>
      <c r="E8489" s="21">
        <f t="shared" si="395"/>
        <v>3700.0300000000002</v>
      </c>
      <c r="F8489" s="22"/>
      <c r="G8489" s="21">
        <f t="shared" si="396"/>
        <v>3597.0999999999999</v>
      </c>
      <c r="H8489" s="22"/>
      <c r="I8489" s="23" t="str">
        <f t="shared" si="397"/>
        <v xml:space="preserve">COM VALOR</v>
      </c>
      <c r="J8489" s="19"/>
      <c r="L8489" s="21">
        <v>3700.0300000000002</v>
      </c>
      <c r="M8489" s="22">
        <v>0</v>
      </c>
      <c r="N8489" s="21">
        <v>3597.0999999999999</v>
      </c>
      <c r="O8489" s="22">
        <v>0</v>
      </c>
    </row>
    <row r="8490" ht="38.25">
      <c r="A8490" t="s">
        <v>8525</v>
      </c>
      <c r="B8490" s="19">
        <v>98041</v>
      </c>
      <c r="C8490" s="20" t="s">
        <v>8595</v>
      </c>
      <c r="D8490" s="19" t="s">
        <v>38</v>
      </c>
      <c r="E8490" s="21">
        <f t="shared" si="395"/>
        <v>3979.75</v>
      </c>
      <c r="F8490" s="22"/>
      <c r="G8490" s="21">
        <f t="shared" si="396"/>
        <v>3869</v>
      </c>
      <c r="H8490" s="22"/>
      <c r="I8490" s="23" t="str">
        <f t="shared" si="397"/>
        <v xml:space="preserve">COM VALOR</v>
      </c>
      <c r="J8490" s="19"/>
      <c r="L8490" s="21">
        <v>3979.75</v>
      </c>
      <c r="M8490" s="22">
        <v>0</v>
      </c>
      <c r="N8490" s="21">
        <v>3869</v>
      </c>
      <c r="O8490" s="22">
        <v>0</v>
      </c>
    </row>
    <row r="8491" ht="38.25">
      <c r="A8491" t="s">
        <v>8525</v>
      </c>
      <c r="B8491" s="19">
        <v>98043</v>
      </c>
      <c r="C8491" s="20" t="s">
        <v>8596</v>
      </c>
      <c r="D8491" s="19" t="s">
        <v>38</v>
      </c>
      <c r="E8491" s="21">
        <f t="shared" si="395"/>
        <v>4264.6300000000001</v>
      </c>
      <c r="F8491" s="22"/>
      <c r="G8491" s="21">
        <f t="shared" si="396"/>
        <v>4145.9099999999999</v>
      </c>
      <c r="H8491" s="22"/>
      <c r="I8491" s="23" t="str">
        <f t="shared" si="397"/>
        <v xml:space="preserve">COM VALOR</v>
      </c>
      <c r="J8491" s="19"/>
      <c r="L8491" s="21">
        <v>4264.6300000000001</v>
      </c>
      <c r="M8491" s="22">
        <v>0</v>
      </c>
      <c r="N8491" s="21">
        <v>4145.9099999999999</v>
      </c>
      <c r="O8491" s="22">
        <v>0</v>
      </c>
    </row>
    <row r="8492" ht="38.25">
      <c r="A8492" t="s">
        <v>8525</v>
      </c>
      <c r="B8492" s="19">
        <v>98049</v>
      </c>
      <c r="C8492" s="20" t="s">
        <v>8597</v>
      </c>
      <c r="D8492" s="19" t="s">
        <v>38</v>
      </c>
      <c r="E8492" s="21">
        <f t="shared" si="395"/>
        <v>4784.5500000000002</v>
      </c>
      <c r="F8492" s="22"/>
      <c r="G8492" s="21">
        <f t="shared" si="396"/>
        <v>4651.2399999999998</v>
      </c>
      <c r="H8492" s="22"/>
      <c r="I8492" s="23" t="str">
        <f t="shared" si="397"/>
        <v xml:space="preserve">COM VALOR</v>
      </c>
      <c r="J8492" s="19"/>
      <c r="L8492" s="21">
        <v>4784.5500000000002</v>
      </c>
      <c r="M8492" s="22">
        <v>0</v>
      </c>
      <c r="N8492" s="21">
        <v>4651.2399999999998</v>
      </c>
      <c r="O8492" s="22">
        <v>0</v>
      </c>
    </row>
    <row r="8493" ht="38.25">
      <c r="A8493" t="s">
        <v>8525</v>
      </c>
      <c r="B8493" s="19">
        <v>101809</v>
      </c>
      <c r="C8493" s="20" t="s">
        <v>8598</v>
      </c>
      <c r="D8493" s="19" t="s">
        <v>31</v>
      </c>
      <c r="E8493" s="21">
        <f t="shared" si="395"/>
        <v>2859.6900000000001</v>
      </c>
      <c r="F8493" s="22"/>
      <c r="G8493" s="21">
        <f t="shared" si="396"/>
        <v>2790.9899999999998</v>
      </c>
      <c r="H8493" s="22"/>
      <c r="I8493" s="23" t="str">
        <f t="shared" si="397"/>
        <v xml:space="preserve">COM VALOR</v>
      </c>
      <c r="J8493" s="19"/>
      <c r="L8493" s="21">
        <v>2859.6900000000001</v>
      </c>
      <c r="M8493" s="22">
        <v>1.e-002</v>
      </c>
      <c r="N8493" s="21">
        <v>2790.9899999999998</v>
      </c>
      <c r="O8493" s="22">
        <v>2.e-002</v>
      </c>
    </row>
    <row r="8494" ht="38.25">
      <c r="A8494" t="s">
        <v>8525</v>
      </c>
      <c r="B8494" s="19">
        <v>99280</v>
      </c>
      <c r="C8494" s="20" t="s">
        <v>8599</v>
      </c>
      <c r="D8494" s="19" t="s">
        <v>31</v>
      </c>
      <c r="E8494" s="21">
        <f t="shared" si="395"/>
        <v>2039.1500000000001</v>
      </c>
      <c r="F8494" s="22">
        <v>0</v>
      </c>
      <c r="G8494" s="21">
        <f t="shared" si="396"/>
        <v>1983.48</v>
      </c>
      <c r="H8494" s="22">
        <v>0</v>
      </c>
      <c r="I8494" s="23" t="str">
        <f t="shared" si="397"/>
        <v xml:space="preserve">COM VALOR</v>
      </c>
      <c r="J8494" s="19"/>
      <c r="L8494" s="21">
        <v>2039.1500000000001</v>
      </c>
      <c r="M8494" s="22">
        <v>1.e-002</v>
      </c>
      <c r="N8494" s="21">
        <v>1983.48</v>
      </c>
      <c r="O8494" s="22">
        <v>1.e-002</v>
      </c>
    </row>
    <row r="8495" ht="38.25">
      <c r="A8495" t="s">
        <v>8525</v>
      </c>
      <c r="B8495" s="19">
        <v>99292</v>
      </c>
      <c r="C8495" s="20" t="s">
        <v>8600</v>
      </c>
      <c r="D8495" s="19" t="s">
        <v>31</v>
      </c>
      <c r="E8495" s="21">
        <f t="shared" si="395"/>
        <v>2519.3099999999999</v>
      </c>
      <c r="F8495" s="22">
        <v>0</v>
      </c>
      <c r="G8495" s="21">
        <f t="shared" si="396"/>
        <v>2452</v>
      </c>
      <c r="H8495" s="22">
        <v>0</v>
      </c>
      <c r="I8495" s="23" t="str">
        <f t="shared" si="397"/>
        <v xml:space="preserve">COM VALOR</v>
      </c>
      <c r="J8495" s="19"/>
      <c r="L8495" s="21">
        <v>2519.3099999999999</v>
      </c>
      <c r="M8495" s="22">
        <v>1.e-002</v>
      </c>
      <c r="N8495" s="21">
        <v>2452</v>
      </c>
      <c r="O8495" s="22">
        <v>1.e-002</v>
      </c>
    </row>
    <row r="8496" ht="38.25">
      <c r="A8496" t="s">
        <v>8525</v>
      </c>
      <c r="B8496" s="19">
        <v>99242</v>
      </c>
      <c r="C8496" s="20" t="s">
        <v>8601</v>
      </c>
      <c r="D8496" s="19" t="s">
        <v>31</v>
      </c>
      <c r="E8496" s="21">
        <f t="shared" si="395"/>
        <v>2999.3200000000002</v>
      </c>
      <c r="F8496" s="22">
        <v>0</v>
      </c>
      <c r="G8496" s="21">
        <f t="shared" si="396"/>
        <v>2921.04</v>
      </c>
      <c r="H8496" s="22">
        <v>0</v>
      </c>
      <c r="I8496" s="23" t="str">
        <f t="shared" si="397"/>
        <v xml:space="preserve">COM VALOR</v>
      </c>
      <c r="J8496" s="19"/>
      <c r="L8496" s="21">
        <v>2999.3200000000002</v>
      </c>
      <c r="M8496" s="22">
        <v>1.e-002</v>
      </c>
      <c r="N8496" s="21">
        <v>2921.04</v>
      </c>
      <c r="O8496" s="22">
        <v>1.e-002</v>
      </c>
    </row>
    <row r="8497" ht="38.25">
      <c r="A8497" t="s">
        <v>8525</v>
      </c>
      <c r="B8497" s="19">
        <v>99248</v>
      </c>
      <c r="C8497" s="20" t="s">
        <v>8602</v>
      </c>
      <c r="D8497" s="19" t="s">
        <v>31</v>
      </c>
      <c r="E8497" s="21">
        <f t="shared" si="395"/>
        <v>3847</v>
      </c>
      <c r="F8497" s="22">
        <v>0</v>
      </c>
      <c r="G8497" s="21">
        <f t="shared" si="396"/>
        <v>3750.1100000000001</v>
      </c>
      <c r="H8497" s="22">
        <v>0</v>
      </c>
      <c r="I8497" s="23" t="str">
        <f t="shared" si="397"/>
        <v xml:space="preserve">COM VALOR</v>
      </c>
      <c r="J8497" s="19"/>
      <c r="L8497" s="21">
        <v>3847</v>
      </c>
      <c r="M8497" s="22">
        <v>2.e-002</v>
      </c>
      <c r="N8497" s="21">
        <v>3750.1100000000001</v>
      </c>
      <c r="O8497" s="22">
        <v>2.e-002</v>
      </c>
    </row>
    <row r="8498" ht="38.25">
      <c r="A8498" t="s">
        <v>8525</v>
      </c>
      <c r="B8498" s="19">
        <v>99275</v>
      </c>
      <c r="C8498" s="20" t="s">
        <v>8603</v>
      </c>
      <c r="D8498" s="19" t="s">
        <v>31</v>
      </c>
      <c r="E8498" s="21">
        <f t="shared" si="395"/>
        <v>1002.76</v>
      </c>
      <c r="F8498" s="22">
        <v>0</v>
      </c>
      <c r="G8498" s="21">
        <f t="shared" si="396"/>
        <v>986.21000000000004</v>
      </c>
      <c r="H8498" s="22">
        <v>0</v>
      </c>
      <c r="I8498" s="23" t="str">
        <f t="shared" si="397"/>
        <v xml:space="preserve">COM VALOR</v>
      </c>
      <c r="J8498" s="19"/>
      <c r="L8498" s="21">
        <v>1002.76</v>
      </c>
      <c r="M8498" s="22">
        <v>0</v>
      </c>
      <c r="N8498" s="21">
        <v>986.21000000000004</v>
      </c>
      <c r="O8498" s="22">
        <v>0</v>
      </c>
    </row>
    <row r="8499" ht="38.25">
      <c r="A8499" t="s">
        <v>8525</v>
      </c>
      <c r="B8499" s="19">
        <v>99285</v>
      </c>
      <c r="C8499" s="20" t="s">
        <v>8604</v>
      </c>
      <c r="D8499" s="19" t="s">
        <v>31</v>
      </c>
      <c r="E8499" s="21">
        <f t="shared" si="395"/>
        <v>1349.74</v>
      </c>
      <c r="F8499" s="22">
        <v>0</v>
      </c>
      <c r="G8499" s="21">
        <f t="shared" si="396"/>
        <v>1329.95</v>
      </c>
      <c r="H8499" s="22">
        <v>0</v>
      </c>
      <c r="I8499" s="23" t="str">
        <f t="shared" si="397"/>
        <v xml:space="preserve">COM VALOR</v>
      </c>
      <c r="J8499" s="19"/>
      <c r="L8499" s="21">
        <v>1349.74</v>
      </c>
      <c r="M8499" s="22">
        <v>1.e-002</v>
      </c>
      <c r="N8499" s="21">
        <v>1329.95</v>
      </c>
      <c r="O8499" s="22">
        <v>1.e-002</v>
      </c>
    </row>
    <row r="8500" ht="38.25">
      <c r="A8500" t="s">
        <v>8525</v>
      </c>
      <c r="B8500" s="19">
        <v>102457</v>
      </c>
      <c r="C8500" s="20" t="s">
        <v>8605</v>
      </c>
      <c r="D8500" s="19" t="s">
        <v>31</v>
      </c>
      <c r="E8500" s="21">
        <f t="shared" si="395"/>
        <v>1706.6500000000001</v>
      </c>
      <c r="F8500" s="22">
        <v>0</v>
      </c>
      <c r="G8500" s="21">
        <f t="shared" si="396"/>
        <v>1685.76</v>
      </c>
      <c r="H8500" s="22">
        <v>0</v>
      </c>
      <c r="I8500" s="23" t="str">
        <f t="shared" si="397"/>
        <v xml:space="preserve">COM VALOR</v>
      </c>
      <c r="J8500" s="19"/>
      <c r="L8500" s="21">
        <v>1706.6500000000001</v>
      </c>
      <c r="M8500" s="22">
        <v>1.e-002</v>
      </c>
      <c r="N8500" s="21">
        <v>1685.76</v>
      </c>
      <c r="O8500" s="22">
        <v>1.e-002</v>
      </c>
    </row>
    <row r="8501" ht="38.25">
      <c r="A8501" t="s">
        <v>8525</v>
      </c>
      <c r="B8501" s="19">
        <v>102142</v>
      </c>
      <c r="C8501" s="20" t="s">
        <v>8606</v>
      </c>
      <c r="D8501" s="19" t="s">
        <v>31</v>
      </c>
      <c r="E8501" s="21">
        <f t="shared" si="395"/>
        <v>2724.79</v>
      </c>
      <c r="F8501" s="22">
        <v>0</v>
      </c>
      <c r="G8501" s="21">
        <f t="shared" si="396"/>
        <v>2692.98</v>
      </c>
      <c r="H8501" s="22">
        <v>0</v>
      </c>
      <c r="I8501" s="23" t="str">
        <f t="shared" si="397"/>
        <v xml:space="preserve">COM VALOR</v>
      </c>
      <c r="J8501" s="19"/>
      <c r="L8501" s="21">
        <v>2724.79</v>
      </c>
      <c r="M8501" s="22">
        <v>1.e-002</v>
      </c>
      <c r="N8501" s="21">
        <v>2692.98</v>
      </c>
      <c r="O8501" s="22">
        <v>1.e-002</v>
      </c>
    </row>
    <row r="8502" ht="38.25">
      <c r="A8502" t="s">
        <v>8525</v>
      </c>
      <c r="B8502" s="19">
        <v>97980</v>
      </c>
      <c r="C8502" s="20" t="s">
        <v>8607</v>
      </c>
      <c r="D8502" s="19" t="s">
        <v>31</v>
      </c>
      <c r="E8502" s="21">
        <f t="shared" si="395"/>
        <v>2113.6300000000001</v>
      </c>
      <c r="F8502" s="22">
        <v>0</v>
      </c>
      <c r="G8502" s="21">
        <f t="shared" si="396"/>
        <v>2057.6799999999998</v>
      </c>
      <c r="H8502" s="22">
        <v>0</v>
      </c>
      <c r="I8502" s="23" t="str">
        <f t="shared" si="397"/>
        <v xml:space="preserve">COM VALOR</v>
      </c>
      <c r="J8502" s="19"/>
      <c r="L8502" s="21">
        <v>2113.6300000000001</v>
      </c>
      <c r="M8502" s="22">
        <v>1.e-002</v>
      </c>
      <c r="N8502" s="21">
        <v>2057.6799999999998</v>
      </c>
      <c r="O8502" s="22">
        <v>1.e-002</v>
      </c>
    </row>
    <row r="8503" ht="38.25">
      <c r="A8503" t="s">
        <v>8525</v>
      </c>
      <c r="B8503" s="19">
        <v>98405</v>
      </c>
      <c r="C8503" s="20" t="s">
        <v>8608</v>
      </c>
      <c r="D8503" s="19" t="s">
        <v>31</v>
      </c>
      <c r="E8503" s="21">
        <f t="shared" si="395"/>
        <v>2604.2199999999998</v>
      </c>
      <c r="F8503" s="22">
        <v>0</v>
      </c>
      <c r="G8503" s="21">
        <f t="shared" si="396"/>
        <v>2536.5999999999999</v>
      </c>
      <c r="H8503" s="22">
        <v>0</v>
      </c>
      <c r="I8503" s="23" t="str">
        <f t="shared" si="397"/>
        <v xml:space="preserve">COM VALOR</v>
      </c>
      <c r="J8503" s="19"/>
      <c r="L8503" s="21">
        <v>2604.2199999999998</v>
      </c>
      <c r="M8503" s="22">
        <v>1.e-002</v>
      </c>
      <c r="N8503" s="21">
        <v>2536.5999999999999</v>
      </c>
      <c r="O8503" s="22">
        <v>1.e-002</v>
      </c>
    </row>
    <row r="8504" ht="38.25">
      <c r="A8504" t="s">
        <v>8525</v>
      </c>
      <c r="B8504" s="19">
        <v>97988</v>
      </c>
      <c r="C8504" s="20" t="s">
        <v>8609</v>
      </c>
      <c r="D8504" s="19" t="s">
        <v>31</v>
      </c>
      <c r="E8504" s="21">
        <f t="shared" si="395"/>
        <v>3093.7600000000002</v>
      </c>
      <c r="F8504" s="22">
        <v>0</v>
      </c>
      <c r="G8504" s="21">
        <f t="shared" si="396"/>
        <v>3015.1199999999999</v>
      </c>
      <c r="H8504" s="22">
        <v>0</v>
      </c>
      <c r="I8504" s="23" t="str">
        <f t="shared" si="397"/>
        <v xml:space="preserve">COM VALOR</v>
      </c>
      <c r="J8504" s="19"/>
      <c r="L8504" s="21">
        <v>3093.7600000000002</v>
      </c>
      <c r="M8504" s="22">
        <v>1.e-002</v>
      </c>
      <c r="N8504" s="21">
        <v>3015.1199999999999</v>
      </c>
      <c r="O8504" s="22">
        <v>1.e-002</v>
      </c>
    </row>
    <row r="8505" ht="38.25">
      <c r="A8505" t="s">
        <v>8525</v>
      </c>
      <c r="B8505" s="19">
        <v>97992</v>
      </c>
      <c r="C8505" s="20" t="s">
        <v>8610</v>
      </c>
      <c r="D8505" s="19" t="s">
        <v>31</v>
      </c>
      <c r="E8505" s="21">
        <f t="shared" si="395"/>
        <v>3960.9699999999998</v>
      </c>
      <c r="F8505" s="22">
        <v>0</v>
      </c>
      <c r="G8505" s="21">
        <f t="shared" si="396"/>
        <v>3863.6500000000001</v>
      </c>
      <c r="H8505" s="22">
        <v>0</v>
      </c>
      <c r="I8505" s="23" t="str">
        <f t="shared" si="397"/>
        <v xml:space="preserve">COM VALOR</v>
      </c>
      <c r="J8505" s="19"/>
      <c r="L8505" s="21">
        <v>3960.9699999999998</v>
      </c>
      <c r="M8505" s="22">
        <v>1.e-002</v>
      </c>
      <c r="N8505" s="21">
        <v>3863.6500000000001</v>
      </c>
      <c r="O8505" s="22">
        <v>2.e-002</v>
      </c>
    </row>
    <row r="8506" ht="38.25">
      <c r="A8506" t="s">
        <v>8525</v>
      </c>
      <c r="B8506" s="19">
        <v>97978</v>
      </c>
      <c r="C8506" s="20" t="s">
        <v>8611</v>
      </c>
      <c r="D8506" s="19" t="s">
        <v>31</v>
      </c>
      <c r="E8506" s="21">
        <f t="shared" si="395"/>
        <v>1011.05</v>
      </c>
      <c r="F8506" s="22">
        <v>0</v>
      </c>
      <c r="G8506" s="21">
        <f t="shared" si="396"/>
        <v>994.47000000000003</v>
      </c>
      <c r="H8506" s="22">
        <v>0</v>
      </c>
      <c r="I8506" s="23" t="str">
        <f t="shared" si="397"/>
        <v xml:space="preserve">COM VALOR</v>
      </c>
      <c r="J8506" s="19"/>
      <c r="L8506" s="21">
        <v>1011.05</v>
      </c>
      <c r="M8506" s="22">
        <v>0</v>
      </c>
      <c r="N8506" s="21">
        <v>994.47000000000003</v>
      </c>
      <c r="O8506" s="22">
        <v>0</v>
      </c>
    </row>
    <row r="8507" ht="38.25">
      <c r="A8507" t="s">
        <v>8525</v>
      </c>
      <c r="B8507" s="19">
        <v>98410</v>
      </c>
      <c r="C8507" s="20" t="s">
        <v>8612</v>
      </c>
      <c r="D8507" s="19" t="s">
        <v>31</v>
      </c>
      <c r="E8507" s="21">
        <f t="shared" si="395"/>
        <v>1299.1900000000001</v>
      </c>
      <c r="F8507" s="22">
        <v>0</v>
      </c>
      <c r="G8507" s="21">
        <f t="shared" si="396"/>
        <v>1282.0699999999999</v>
      </c>
      <c r="H8507" s="22">
        <v>0</v>
      </c>
      <c r="I8507" s="23" t="str">
        <f t="shared" si="397"/>
        <v xml:space="preserve">COM VALOR</v>
      </c>
      <c r="J8507" s="19"/>
      <c r="L8507" s="21">
        <v>1299.1900000000001</v>
      </c>
      <c r="M8507" s="22">
        <v>1.e-002</v>
      </c>
      <c r="N8507" s="21">
        <v>1282.0699999999999</v>
      </c>
      <c r="O8507" s="22">
        <v>1.e-002</v>
      </c>
    </row>
    <row r="8508" ht="38.25">
      <c r="A8508" t="s">
        <v>8525</v>
      </c>
      <c r="B8508" s="19">
        <v>102139</v>
      </c>
      <c r="C8508" s="20" t="s">
        <v>8613</v>
      </c>
      <c r="D8508" s="19" t="s">
        <v>31</v>
      </c>
      <c r="E8508" s="21">
        <f t="shared" si="395"/>
        <v>1787.72</v>
      </c>
      <c r="F8508" s="22">
        <v>0</v>
      </c>
      <c r="G8508" s="21">
        <f t="shared" si="396"/>
        <v>1765.4300000000001</v>
      </c>
      <c r="H8508" s="22">
        <v>0</v>
      </c>
      <c r="I8508" s="23" t="str">
        <f t="shared" si="397"/>
        <v xml:space="preserve">COM VALOR</v>
      </c>
      <c r="J8508" s="19"/>
      <c r="L8508" s="21">
        <v>1787.72</v>
      </c>
      <c r="M8508" s="22">
        <v>1.e-002</v>
      </c>
      <c r="N8508" s="21">
        <v>1765.4300000000001</v>
      </c>
      <c r="O8508" s="22">
        <v>1.e-002</v>
      </c>
    </row>
    <row r="8509" ht="38.25">
      <c r="A8509" t="s">
        <v>8525</v>
      </c>
      <c r="B8509" s="19">
        <v>102141</v>
      </c>
      <c r="C8509" s="20" t="s">
        <v>8614</v>
      </c>
      <c r="D8509" s="19" t="s">
        <v>31</v>
      </c>
      <c r="E8509" s="21">
        <f t="shared" si="395"/>
        <v>2762.25</v>
      </c>
      <c r="F8509" s="22">
        <v>0.14000000000000001</v>
      </c>
      <c r="G8509" s="21">
        <f t="shared" si="396"/>
        <v>2730.3000000000002</v>
      </c>
      <c r="H8509" s="22">
        <v>0.14999999999999999</v>
      </c>
      <c r="I8509" s="23" t="str">
        <f t="shared" si="397"/>
        <v xml:space="preserve">COM VALOR</v>
      </c>
      <c r="J8509" s="19"/>
      <c r="L8509" s="21">
        <v>2762.25</v>
      </c>
      <c r="M8509" s="22">
        <v>1.e-002</v>
      </c>
      <c r="N8509" s="21">
        <v>2730.3000000000002</v>
      </c>
      <c r="O8509" s="22">
        <v>1.e-002</v>
      </c>
    </row>
    <row r="8510" ht="38.25">
      <c r="A8510" t="s">
        <v>8525</v>
      </c>
      <c r="B8510" s="19">
        <v>99290</v>
      </c>
      <c r="C8510" s="20" t="s">
        <v>8615</v>
      </c>
      <c r="D8510" s="19" t="s">
        <v>31</v>
      </c>
      <c r="E8510" s="21">
        <f t="shared" si="395"/>
        <v>4187.6499999999996</v>
      </c>
      <c r="F8510" s="22"/>
      <c r="G8510" s="21">
        <f t="shared" si="396"/>
        <v>4088.2399999999998</v>
      </c>
      <c r="H8510" s="22"/>
      <c r="I8510" s="23" t="str">
        <f t="shared" si="397"/>
        <v xml:space="preserve">COM VALOR</v>
      </c>
      <c r="J8510" s="19"/>
      <c r="L8510" s="21">
        <v>4187.6499999999996</v>
      </c>
      <c r="M8510" s="22">
        <v>1.e-002</v>
      </c>
      <c r="N8510" s="21">
        <v>4088.2399999999998</v>
      </c>
      <c r="O8510" s="22">
        <v>2.e-002</v>
      </c>
    </row>
    <row r="8511" ht="38.25">
      <c r="A8511" t="s">
        <v>8525</v>
      </c>
      <c r="B8511" s="19">
        <v>99244</v>
      </c>
      <c r="C8511" s="20" t="s">
        <v>8616</v>
      </c>
      <c r="D8511" s="19" t="s">
        <v>31</v>
      </c>
      <c r="E8511" s="21">
        <f t="shared" si="395"/>
        <v>5113.8199999999997</v>
      </c>
      <c r="F8511" s="22">
        <v>0.16</v>
      </c>
      <c r="G8511" s="21">
        <f t="shared" si="396"/>
        <v>4994.6000000000004</v>
      </c>
      <c r="H8511" s="22">
        <v>0.17000000000000001</v>
      </c>
      <c r="I8511" s="23" t="str">
        <f t="shared" si="397"/>
        <v xml:space="preserve">COM VALOR</v>
      </c>
      <c r="J8511" s="19"/>
      <c r="L8511" s="21">
        <v>5113.8199999999997</v>
      </c>
      <c r="M8511" s="22">
        <v>2.e-002</v>
      </c>
      <c r="N8511" s="21">
        <v>4994.6000000000004</v>
      </c>
      <c r="O8511" s="22">
        <v>2.e-002</v>
      </c>
    </row>
    <row r="8512" ht="38.25">
      <c r="A8512" t="s">
        <v>8525</v>
      </c>
      <c r="B8512" s="19">
        <v>99256</v>
      </c>
      <c r="C8512" s="20" t="s">
        <v>8617</v>
      </c>
      <c r="D8512" s="19" t="s">
        <v>31</v>
      </c>
      <c r="E8512" s="21">
        <f t="shared" si="395"/>
        <v>6012.6000000000004</v>
      </c>
      <c r="F8512" s="22">
        <v>0.11</v>
      </c>
      <c r="G8512" s="21">
        <f t="shared" si="396"/>
        <v>5873.6000000000004</v>
      </c>
      <c r="H8512" s="22">
        <v>0.12</v>
      </c>
      <c r="I8512" s="23" t="str">
        <f t="shared" si="397"/>
        <v xml:space="preserve">COM VALOR</v>
      </c>
      <c r="J8512" s="19"/>
      <c r="L8512" s="21">
        <v>6012.6000000000004</v>
      </c>
      <c r="M8512" s="22">
        <v>2.e-002</v>
      </c>
      <c r="N8512" s="21">
        <v>5873.6000000000004</v>
      </c>
      <c r="O8512" s="22">
        <v>2.e-002</v>
      </c>
    </row>
    <row r="8513" ht="38.25">
      <c r="A8513" t="s">
        <v>8525</v>
      </c>
      <c r="B8513" s="19">
        <v>99271</v>
      </c>
      <c r="C8513" s="20" t="s">
        <v>8618</v>
      </c>
      <c r="D8513" s="19" t="s">
        <v>31</v>
      </c>
      <c r="E8513" s="21">
        <f t="shared" si="395"/>
        <v>6911.3199999999997</v>
      </c>
      <c r="F8513" s="22"/>
      <c r="G8513" s="21">
        <f t="shared" si="396"/>
        <v>6752.5</v>
      </c>
      <c r="H8513" s="22"/>
      <c r="I8513" s="23" t="str">
        <f t="shared" si="397"/>
        <v xml:space="preserve">COM VALOR</v>
      </c>
      <c r="J8513" s="19"/>
      <c r="L8513" s="21">
        <v>6911.3199999999997</v>
      </c>
      <c r="M8513" s="22">
        <v>2.e-002</v>
      </c>
      <c r="N8513" s="21">
        <v>6752.5</v>
      </c>
      <c r="O8513" s="22">
        <v>2.e-002</v>
      </c>
    </row>
    <row r="8514" ht="38.25">
      <c r="A8514" t="s">
        <v>8525</v>
      </c>
      <c r="B8514" s="19">
        <v>99284</v>
      </c>
      <c r="C8514" s="20" t="s">
        <v>8619</v>
      </c>
      <c r="D8514" s="19" t="s">
        <v>31</v>
      </c>
      <c r="E8514" s="21">
        <f t="shared" si="395"/>
        <v>7810.1400000000003</v>
      </c>
      <c r="F8514" s="22">
        <v>0.14999999999999999</v>
      </c>
      <c r="G8514" s="21">
        <f t="shared" si="396"/>
        <v>7631.5200000000004</v>
      </c>
      <c r="H8514" s="22">
        <v>0.14999999999999999</v>
      </c>
      <c r="I8514" s="23" t="str">
        <f t="shared" si="397"/>
        <v xml:space="preserve">COM VALOR</v>
      </c>
      <c r="J8514" s="19"/>
      <c r="L8514" s="21">
        <v>7810.1400000000003</v>
      </c>
      <c r="M8514" s="22">
        <v>2.e-002</v>
      </c>
      <c r="N8514" s="21">
        <v>7631.5200000000004</v>
      </c>
      <c r="O8514" s="22">
        <v>2.e-002</v>
      </c>
    </row>
    <row r="8515" ht="38.25">
      <c r="A8515" t="s">
        <v>8525</v>
      </c>
      <c r="B8515" s="19">
        <v>99294</v>
      </c>
      <c r="C8515" s="20" t="s">
        <v>8620</v>
      </c>
      <c r="D8515" s="19" t="s">
        <v>31</v>
      </c>
      <c r="E8515" s="21">
        <f t="shared" si="395"/>
        <v>8708.8999999999996</v>
      </c>
      <c r="F8515" s="22">
        <v>5.0000000000000003e-002</v>
      </c>
      <c r="G8515" s="21">
        <f t="shared" si="396"/>
        <v>8510.4599999999991</v>
      </c>
      <c r="H8515" s="22">
        <v>5.0000000000000003e-002</v>
      </c>
      <c r="I8515" s="23" t="str">
        <f t="shared" si="397"/>
        <v xml:space="preserve">COM VALOR</v>
      </c>
      <c r="J8515" s="19"/>
      <c r="L8515" s="21">
        <v>8708.8999999999996</v>
      </c>
      <c r="M8515" s="22">
        <v>2.e-002</v>
      </c>
      <c r="N8515" s="21">
        <v>8510.4599999999991</v>
      </c>
      <c r="O8515" s="22">
        <v>2.e-002</v>
      </c>
    </row>
    <row r="8516" ht="38.25">
      <c r="A8516" t="s">
        <v>8525</v>
      </c>
      <c r="B8516" s="19">
        <v>99252</v>
      </c>
      <c r="C8516" s="20" t="s">
        <v>8621</v>
      </c>
      <c r="D8516" s="19" t="s">
        <v>31</v>
      </c>
      <c r="E8516" s="21">
        <f t="shared" si="395"/>
        <v>2668.4400000000001</v>
      </c>
      <c r="F8516" s="22">
        <v>7.0000000000000007e-002</v>
      </c>
      <c r="G8516" s="21">
        <f t="shared" si="396"/>
        <v>2602.1300000000001</v>
      </c>
      <c r="H8516" s="22">
        <v>7.0000000000000007e-002</v>
      </c>
      <c r="I8516" s="23" t="str">
        <f t="shared" si="397"/>
        <v xml:space="preserve">COM VALOR</v>
      </c>
      <c r="J8516" s="19"/>
      <c r="L8516" s="21">
        <v>2668.4400000000001</v>
      </c>
      <c r="M8516" s="22">
        <v>1.e-002</v>
      </c>
      <c r="N8516" s="21">
        <v>2602.1300000000001</v>
      </c>
      <c r="O8516" s="22">
        <v>1.e-002</v>
      </c>
    </row>
    <row r="8517" ht="38.25">
      <c r="A8517" t="s">
        <v>8525</v>
      </c>
      <c r="B8517" s="19">
        <v>99259</v>
      </c>
      <c r="C8517" s="20" t="s">
        <v>8622</v>
      </c>
      <c r="D8517" s="19" t="s">
        <v>31</v>
      </c>
      <c r="E8517" s="21">
        <f t="shared" si="395"/>
        <v>3378.1399999999999</v>
      </c>
      <c r="F8517" s="22">
        <v>4.0000000000000001e-002</v>
      </c>
      <c r="G8517" s="21">
        <f t="shared" si="396"/>
        <v>3295.0700000000002</v>
      </c>
      <c r="H8517" s="22">
        <v>4.0000000000000001e-002</v>
      </c>
      <c r="I8517" s="23" t="str">
        <f t="shared" si="397"/>
        <v xml:space="preserve">COM VALOR</v>
      </c>
      <c r="J8517" s="19"/>
      <c r="L8517" s="21">
        <v>3378.1399999999999</v>
      </c>
      <c r="M8517" s="22">
        <v>1.e-002</v>
      </c>
      <c r="N8517" s="21">
        <v>3295.0700000000002</v>
      </c>
      <c r="O8517" s="22">
        <v>1.e-002</v>
      </c>
    </row>
    <row r="8518" ht="38.25">
      <c r="A8518" t="s">
        <v>8525</v>
      </c>
      <c r="B8518" s="19">
        <v>99265</v>
      </c>
      <c r="C8518" s="20" t="s">
        <v>8623</v>
      </c>
      <c r="D8518" s="19" t="s">
        <v>31</v>
      </c>
      <c r="E8518" s="21">
        <f t="shared" si="395"/>
        <v>4087.7600000000002</v>
      </c>
      <c r="F8518" s="22">
        <v>2.9999999999999999e-002</v>
      </c>
      <c r="G8518" s="21">
        <f t="shared" si="396"/>
        <v>3987.9000000000001</v>
      </c>
      <c r="H8518" s="22">
        <v>2.9999999999999999e-002</v>
      </c>
      <c r="I8518" s="23" t="str">
        <f t="shared" si="397"/>
        <v xml:space="preserve">COM VALOR</v>
      </c>
      <c r="J8518" s="19"/>
      <c r="L8518" s="21">
        <v>4087.7600000000002</v>
      </c>
      <c r="M8518" s="22">
        <v>1.e-002</v>
      </c>
      <c r="N8518" s="21">
        <v>3987.9000000000001</v>
      </c>
      <c r="O8518" s="22">
        <v>1.e-002</v>
      </c>
    </row>
    <row r="8519" ht="38.25">
      <c r="A8519" t="s">
        <v>8525</v>
      </c>
      <c r="B8519" s="19">
        <v>99267</v>
      </c>
      <c r="C8519" s="20" t="s">
        <v>8624</v>
      </c>
      <c r="D8519" s="19" t="s">
        <v>31</v>
      </c>
      <c r="E8519" s="21">
        <f t="shared" si="395"/>
        <v>4797.46</v>
      </c>
      <c r="F8519" s="22">
        <v>2.9999999999999999e-002</v>
      </c>
      <c r="G8519" s="21">
        <f t="shared" si="396"/>
        <v>4680.8599999999997</v>
      </c>
      <c r="H8519" s="22">
        <v>2.9999999999999999e-002</v>
      </c>
      <c r="I8519" s="23" t="str">
        <f t="shared" si="397"/>
        <v xml:space="preserve">COM VALOR</v>
      </c>
      <c r="J8519" s="19"/>
      <c r="L8519" s="21">
        <v>4797.46</v>
      </c>
      <c r="M8519" s="22">
        <v>1.e-002</v>
      </c>
      <c r="N8519" s="21">
        <v>4680.8599999999997</v>
      </c>
      <c r="O8519" s="22">
        <v>1.4999999999999999e-002</v>
      </c>
    </row>
    <row r="8520" ht="38.25">
      <c r="A8520" t="s">
        <v>8525</v>
      </c>
      <c r="B8520" s="19">
        <v>99274</v>
      </c>
      <c r="C8520" s="20" t="s">
        <v>8625</v>
      </c>
      <c r="D8520" s="19" t="s">
        <v>31</v>
      </c>
      <c r="E8520" s="21">
        <f t="shared" si="395"/>
        <v>5541.6599999999999</v>
      </c>
      <c r="F8520" s="22">
        <v>7.0000000000000007e-002</v>
      </c>
      <c r="G8520" s="21">
        <f t="shared" si="396"/>
        <v>5408.2799999999997</v>
      </c>
      <c r="H8520" s="22">
        <v>8.0000000000000002e-002</v>
      </c>
      <c r="I8520" s="23" t="str">
        <f t="shared" si="397"/>
        <v xml:space="preserve">COM VALOR</v>
      </c>
      <c r="J8520" s="19"/>
      <c r="L8520" s="21">
        <v>5541.6599999999999</v>
      </c>
      <c r="M8520" s="22">
        <v>1.4999999999999999e-002</v>
      </c>
      <c r="N8520" s="21">
        <v>5408.2799999999997</v>
      </c>
      <c r="O8520" s="22">
        <v>2.e-002</v>
      </c>
    </row>
    <row r="8521" ht="38.25">
      <c r="A8521" t="s">
        <v>8525</v>
      </c>
      <c r="B8521" s="19">
        <v>99279</v>
      </c>
      <c r="C8521" s="20" t="s">
        <v>8626</v>
      </c>
      <c r="D8521" s="19" t="s">
        <v>31</v>
      </c>
      <c r="E8521" s="21">
        <f t="shared" si="395"/>
        <v>6255.6700000000001</v>
      </c>
      <c r="F8521" s="22">
        <v>4.0000000000000001e-002</v>
      </c>
      <c r="G8521" s="21">
        <f t="shared" si="396"/>
        <v>6105.4899999999998</v>
      </c>
      <c r="H8521" s="22">
        <v>4.0000000000000001e-002</v>
      </c>
      <c r="I8521" s="23" t="str">
        <f t="shared" si="397"/>
        <v xml:space="preserve">COM VALOR</v>
      </c>
      <c r="J8521" s="19"/>
      <c r="L8521" s="21">
        <v>6255.6700000000001</v>
      </c>
      <c r="M8521" s="22">
        <v>2.e-002</v>
      </c>
      <c r="N8521" s="21">
        <v>6105.4899999999998</v>
      </c>
      <c r="O8521" s="22">
        <v>2.e-002</v>
      </c>
    </row>
    <row r="8522" ht="38.25">
      <c r="A8522" t="s">
        <v>8525</v>
      </c>
      <c r="B8522" s="19">
        <v>99286</v>
      </c>
      <c r="C8522" s="20" t="s">
        <v>8627</v>
      </c>
      <c r="D8522" s="19" t="s">
        <v>31</v>
      </c>
      <c r="E8522" s="21">
        <f t="shared" si="395"/>
        <v>6969.6899999999996</v>
      </c>
      <c r="F8522" s="22">
        <v>4.0000000000000001e-002</v>
      </c>
      <c r="G8522" s="21">
        <f t="shared" si="396"/>
        <v>6802.8000000000002</v>
      </c>
      <c r="H8522" s="22">
        <v>4.0000000000000001e-002</v>
      </c>
      <c r="I8522" s="23" t="str">
        <f t="shared" si="397"/>
        <v xml:space="preserve">COM VALOR</v>
      </c>
      <c r="J8522" s="19"/>
      <c r="L8522" s="21">
        <v>6969.6899999999996</v>
      </c>
      <c r="M8522" s="22">
        <v>2.e-002</v>
      </c>
      <c r="N8522" s="21">
        <v>6802.8000000000002</v>
      </c>
      <c r="O8522" s="22">
        <v>2.e-002</v>
      </c>
    </row>
    <row r="8523" ht="38.25">
      <c r="A8523" t="s">
        <v>8525</v>
      </c>
      <c r="B8523" s="19">
        <v>99326</v>
      </c>
      <c r="C8523" s="20" t="s">
        <v>8628</v>
      </c>
      <c r="D8523" s="19" t="s">
        <v>31</v>
      </c>
      <c r="E8523" s="21">
        <f t="shared" ref="E8523:E8586" si="398">IF(L8523=0,"VERIFICAR",L8523)</f>
        <v>8608.1200000000008</v>
      </c>
      <c r="F8523" s="22">
        <v>2.9999999999999999e-002</v>
      </c>
      <c r="G8523" s="21">
        <f t="shared" ref="G8523:G8586" si="399">IF(N8523=0,"VERIFICAR",N8523)</f>
        <v>8421.7299999999996</v>
      </c>
      <c r="H8523" s="22">
        <v>2.9999999999999999e-002</v>
      </c>
      <c r="I8523" s="23" t="str">
        <f t="shared" ref="I8523:I8586" si="400">IF(OR(E8523=0,G8523=0),"SEM VALOR","COM VALOR")</f>
        <v xml:space="preserve">COM VALOR</v>
      </c>
      <c r="J8523" s="19"/>
      <c r="L8523" s="21">
        <v>8608.1200000000008</v>
      </c>
      <c r="M8523" s="22">
        <v>2.e-002</v>
      </c>
      <c r="N8523" s="21">
        <v>8421.7299999999996</v>
      </c>
      <c r="O8523" s="22">
        <v>2.e-002</v>
      </c>
    </row>
    <row r="8524" ht="38.25">
      <c r="A8524" t="s">
        <v>8525</v>
      </c>
      <c r="B8524" s="19">
        <v>99287</v>
      </c>
      <c r="C8524" s="20" t="s">
        <v>8629</v>
      </c>
      <c r="D8524" s="19" t="s">
        <v>31</v>
      </c>
      <c r="E8524" s="21">
        <f t="shared" si="398"/>
        <v>9913.9799999999996</v>
      </c>
      <c r="F8524" s="22">
        <v>5.0000000000000003e-002</v>
      </c>
      <c r="G8524" s="21">
        <f t="shared" si="399"/>
        <v>9701.6000000000004</v>
      </c>
      <c r="H8524" s="22">
        <v>5.0000000000000003e-002</v>
      </c>
      <c r="I8524" s="23" t="str">
        <f t="shared" si="400"/>
        <v xml:space="preserve">COM VALOR</v>
      </c>
      <c r="J8524" s="19"/>
      <c r="L8524" s="21">
        <v>9913.9799999999996</v>
      </c>
      <c r="M8524" s="22">
        <v>2.e-002</v>
      </c>
      <c r="N8524" s="21">
        <v>9701.6000000000004</v>
      </c>
      <c r="O8524" s="22">
        <v>2.e-002</v>
      </c>
    </row>
    <row r="8525" ht="38.25">
      <c r="A8525" t="s">
        <v>8525</v>
      </c>
      <c r="B8525" s="19">
        <v>99298</v>
      </c>
      <c r="C8525" s="20" t="s">
        <v>8630</v>
      </c>
      <c r="D8525" s="19" t="s">
        <v>31</v>
      </c>
      <c r="E8525" s="21">
        <f t="shared" si="398"/>
        <v>11219.809999999999</v>
      </c>
      <c r="F8525" s="22">
        <v>2.9999999999999999e-002</v>
      </c>
      <c r="G8525" s="21">
        <f t="shared" si="399"/>
        <v>10981.530000000001</v>
      </c>
      <c r="H8525" s="22">
        <v>2.9999999999999999e-002</v>
      </c>
      <c r="I8525" s="23" t="str">
        <f t="shared" si="400"/>
        <v xml:space="preserve">COM VALOR</v>
      </c>
      <c r="J8525" s="19"/>
      <c r="L8525" s="21">
        <v>11219.809999999999</v>
      </c>
      <c r="M8525" s="22">
        <v>2.e-002</v>
      </c>
      <c r="N8525" s="21">
        <v>10981.530000000001</v>
      </c>
      <c r="O8525" s="22">
        <v>2.e-002</v>
      </c>
    </row>
    <row r="8526" ht="38.25">
      <c r="A8526" t="s">
        <v>8525</v>
      </c>
      <c r="B8526" s="19">
        <v>99300</v>
      </c>
      <c r="C8526" s="20" t="s">
        <v>8631</v>
      </c>
      <c r="D8526" s="19" t="s">
        <v>31</v>
      </c>
      <c r="E8526" s="21">
        <f t="shared" si="398"/>
        <v>12525.68</v>
      </c>
      <c r="F8526" s="22">
        <v>0.11</v>
      </c>
      <c r="G8526" s="21">
        <f t="shared" si="399"/>
        <v>12261.469999999999</v>
      </c>
      <c r="H8526" s="22">
        <v>0.11</v>
      </c>
      <c r="I8526" s="23" t="str">
        <f t="shared" si="400"/>
        <v xml:space="preserve">COM VALOR</v>
      </c>
      <c r="J8526" s="19"/>
      <c r="L8526" s="21">
        <v>12525.68</v>
      </c>
      <c r="M8526" s="22">
        <v>2.e-002</v>
      </c>
      <c r="N8526" s="21">
        <v>12261.469999999999</v>
      </c>
      <c r="O8526" s="22">
        <v>2.e-002</v>
      </c>
    </row>
    <row r="8527" ht="38.25">
      <c r="A8527" t="s">
        <v>8525</v>
      </c>
      <c r="B8527" s="19">
        <v>99301</v>
      </c>
      <c r="C8527" s="20" t="s">
        <v>8632</v>
      </c>
      <c r="D8527" s="19" t="s">
        <v>31</v>
      </c>
      <c r="E8527" s="21">
        <f t="shared" si="398"/>
        <v>6189.1099999999997</v>
      </c>
      <c r="F8527" s="22">
        <v>7.0000000000000007e-002</v>
      </c>
      <c r="G8527" s="21">
        <f t="shared" si="399"/>
        <v>6046.7700000000004</v>
      </c>
      <c r="H8527" s="22">
        <v>7.0000000000000007e-002</v>
      </c>
      <c r="I8527" s="23" t="str">
        <f t="shared" si="400"/>
        <v xml:space="preserve">COM VALOR</v>
      </c>
      <c r="J8527" s="19"/>
      <c r="L8527" s="21">
        <v>6189.1099999999997</v>
      </c>
      <c r="M8527" s="22">
        <v>2.e-002</v>
      </c>
      <c r="N8527" s="21">
        <v>6046.7700000000004</v>
      </c>
      <c r="O8527" s="22">
        <v>2.e-002</v>
      </c>
    </row>
    <row r="8528" ht="38.25">
      <c r="A8528" t="s">
        <v>8525</v>
      </c>
      <c r="B8528" s="19">
        <v>99312</v>
      </c>
      <c r="C8528" s="20" t="s">
        <v>8633</v>
      </c>
      <c r="D8528" s="19" t="s">
        <v>31</v>
      </c>
      <c r="E8528" s="21">
        <f t="shared" si="398"/>
        <v>7259.3999999999996</v>
      </c>
      <c r="F8528" s="22">
        <v>0.27000000000000002</v>
      </c>
      <c r="G8528" s="21">
        <f t="shared" si="399"/>
        <v>7094.21</v>
      </c>
      <c r="H8528" s="22">
        <v>0.28000000000000003</v>
      </c>
      <c r="I8528" s="23" t="str">
        <f t="shared" si="400"/>
        <v xml:space="preserve">COM VALOR</v>
      </c>
      <c r="J8528" s="19"/>
      <c r="L8528" s="21">
        <v>7259.3999999999996</v>
      </c>
      <c r="M8528" s="22">
        <v>2.e-002</v>
      </c>
      <c r="N8528" s="21">
        <v>7094.21</v>
      </c>
      <c r="O8528" s="22">
        <v>2.e-002</v>
      </c>
    </row>
    <row r="8529" ht="38.25">
      <c r="A8529" t="s">
        <v>8525</v>
      </c>
      <c r="B8529" s="19">
        <v>99320</v>
      </c>
      <c r="C8529" s="20" t="s">
        <v>8634</v>
      </c>
      <c r="D8529" s="19" t="s">
        <v>31</v>
      </c>
      <c r="E8529" s="21">
        <f t="shared" si="398"/>
        <v>8390.2199999999993</v>
      </c>
      <c r="F8529" s="22">
        <v>0</v>
      </c>
      <c r="G8529" s="21">
        <f t="shared" si="399"/>
        <v>8202.2299999999996</v>
      </c>
      <c r="H8529" s="22">
        <v>1.e-002</v>
      </c>
      <c r="I8529" s="23" t="str">
        <f t="shared" si="400"/>
        <v xml:space="preserve">COM VALOR</v>
      </c>
      <c r="J8529" s="19"/>
      <c r="L8529" s="21">
        <v>8390.2199999999993</v>
      </c>
      <c r="M8529" s="22">
        <v>2.e-002</v>
      </c>
      <c r="N8529" s="21">
        <v>8202.2299999999996</v>
      </c>
      <c r="O8529" s="22">
        <v>2.e-002</v>
      </c>
    </row>
    <row r="8530" ht="38.25">
      <c r="A8530" t="s">
        <v>8525</v>
      </c>
      <c r="B8530" s="19">
        <v>99322</v>
      </c>
      <c r="C8530" s="20" t="s">
        <v>8635</v>
      </c>
      <c r="D8530" s="19" t="s">
        <v>31</v>
      </c>
      <c r="E8530" s="21">
        <f t="shared" si="398"/>
        <v>9468.1399999999994</v>
      </c>
      <c r="F8530" s="22">
        <v>0</v>
      </c>
      <c r="G8530" s="21">
        <f t="shared" si="399"/>
        <v>9257.2999999999993</v>
      </c>
      <c r="H8530" s="22">
        <v>0</v>
      </c>
      <c r="I8530" s="23" t="str">
        <f t="shared" si="400"/>
        <v xml:space="preserve">COM VALOR</v>
      </c>
      <c r="J8530" s="19"/>
      <c r="L8530" s="21">
        <v>9468.1399999999994</v>
      </c>
      <c r="M8530" s="22">
        <v>2.e-002</v>
      </c>
      <c r="N8530" s="21">
        <v>9257.2999999999993</v>
      </c>
      <c r="O8530" s="22">
        <v>2.e-002</v>
      </c>
    </row>
    <row r="8531" ht="38.25">
      <c r="A8531" t="s">
        <v>8525</v>
      </c>
      <c r="B8531" s="19">
        <v>99324</v>
      </c>
      <c r="C8531" s="20" t="s">
        <v>8636</v>
      </c>
      <c r="D8531" s="19" t="s">
        <v>31</v>
      </c>
      <c r="E8531" s="21">
        <f t="shared" si="398"/>
        <v>10546.059999999999</v>
      </c>
      <c r="F8531" s="22">
        <v>0</v>
      </c>
      <c r="G8531" s="21">
        <f t="shared" si="399"/>
        <v>10312.4</v>
      </c>
      <c r="H8531" s="22">
        <v>0</v>
      </c>
      <c r="I8531" s="23" t="str">
        <f t="shared" si="400"/>
        <v xml:space="preserve">COM VALOR</v>
      </c>
      <c r="J8531" s="19"/>
      <c r="L8531" s="21">
        <v>10546.059999999999</v>
      </c>
      <c r="M8531" s="22">
        <v>2.e-002</v>
      </c>
      <c r="N8531" s="21">
        <v>10312.4</v>
      </c>
      <c r="O8531" s="22">
        <v>2.e-002</v>
      </c>
    </row>
    <row r="8532" ht="38.25">
      <c r="A8532" t="s">
        <v>8525</v>
      </c>
      <c r="B8532" s="19">
        <v>99310</v>
      </c>
      <c r="C8532" s="20" t="s">
        <v>8637</v>
      </c>
      <c r="D8532" s="19" t="s">
        <v>31</v>
      </c>
      <c r="E8532" s="21">
        <f t="shared" si="398"/>
        <v>14723.82</v>
      </c>
      <c r="F8532" s="22">
        <v>0</v>
      </c>
      <c r="G8532" s="21">
        <f t="shared" si="399"/>
        <v>14421.379999999999</v>
      </c>
      <c r="H8532" s="22">
        <v>0</v>
      </c>
      <c r="I8532" s="23" t="str">
        <f t="shared" si="400"/>
        <v xml:space="preserve">COM VALOR</v>
      </c>
      <c r="J8532" s="19"/>
      <c r="L8532" s="21">
        <v>14723.82</v>
      </c>
      <c r="M8532" s="22">
        <v>2.e-002</v>
      </c>
      <c r="N8532" s="21">
        <v>14421.379999999999</v>
      </c>
      <c r="O8532" s="22">
        <v>2.e-002</v>
      </c>
    </row>
    <row r="8533" ht="38.25">
      <c r="A8533" t="s">
        <v>8525</v>
      </c>
      <c r="B8533" s="19">
        <v>99313</v>
      </c>
      <c r="C8533" s="20" t="s">
        <v>8638</v>
      </c>
      <c r="D8533" s="19" t="s">
        <v>31</v>
      </c>
      <c r="E8533" s="21">
        <f t="shared" si="398"/>
        <v>16425.080000000002</v>
      </c>
      <c r="F8533" s="22">
        <v>0</v>
      </c>
      <c r="G8533" s="21">
        <f t="shared" si="399"/>
        <v>16090.610000000001</v>
      </c>
      <c r="H8533" s="22">
        <v>0</v>
      </c>
      <c r="I8533" s="23" t="str">
        <f t="shared" si="400"/>
        <v xml:space="preserve">COM VALOR</v>
      </c>
      <c r="J8533" s="19"/>
      <c r="L8533" s="21">
        <v>16425.080000000002</v>
      </c>
      <c r="M8533" s="22">
        <v>2.e-002</v>
      </c>
      <c r="N8533" s="21">
        <v>16090.610000000001</v>
      </c>
      <c r="O8533" s="22">
        <v>2.e-002</v>
      </c>
    </row>
    <row r="8534" ht="38.25">
      <c r="A8534" t="s">
        <v>8525</v>
      </c>
      <c r="B8534" s="19">
        <v>99303</v>
      </c>
      <c r="C8534" s="20" t="s">
        <v>8639</v>
      </c>
      <c r="D8534" s="19" t="s">
        <v>31</v>
      </c>
      <c r="E8534" s="21">
        <f t="shared" si="398"/>
        <v>11468.16</v>
      </c>
      <c r="F8534" s="22">
        <v>0</v>
      </c>
      <c r="G8534" s="21">
        <f t="shared" si="399"/>
        <v>11226.76</v>
      </c>
      <c r="H8534" s="22">
        <v>0</v>
      </c>
      <c r="I8534" s="23" t="str">
        <f t="shared" si="400"/>
        <v xml:space="preserve">COM VALOR</v>
      </c>
      <c r="J8534" s="19"/>
      <c r="L8534" s="21">
        <v>11468.16</v>
      </c>
      <c r="M8534" s="22">
        <v>2.e-002</v>
      </c>
      <c r="N8534" s="21">
        <v>11226.76</v>
      </c>
      <c r="O8534" s="22">
        <v>2.e-002</v>
      </c>
    </row>
    <row r="8535" ht="38.25">
      <c r="A8535" t="s">
        <v>8525</v>
      </c>
      <c r="B8535" s="19">
        <v>99305</v>
      </c>
      <c r="C8535" s="20" t="s">
        <v>8640</v>
      </c>
      <c r="D8535" s="19" t="s">
        <v>31</v>
      </c>
      <c r="E8535" s="21">
        <f t="shared" si="398"/>
        <v>12971.780000000001</v>
      </c>
      <c r="F8535" s="22">
        <v>0</v>
      </c>
      <c r="G8535" s="21">
        <f t="shared" si="399"/>
        <v>12701.43</v>
      </c>
      <c r="H8535" s="22">
        <v>0</v>
      </c>
      <c r="I8535" s="23" t="str">
        <f t="shared" si="400"/>
        <v xml:space="preserve">COM VALOR</v>
      </c>
      <c r="J8535" s="19"/>
      <c r="L8535" s="21">
        <v>12971.780000000001</v>
      </c>
      <c r="M8535" s="22">
        <v>2.e-002</v>
      </c>
      <c r="N8535" s="21">
        <v>12701.43</v>
      </c>
      <c r="O8535" s="22">
        <v>2.e-002</v>
      </c>
    </row>
    <row r="8536" ht="38.25">
      <c r="A8536" t="s">
        <v>8525</v>
      </c>
      <c r="B8536" s="19">
        <v>99308</v>
      </c>
      <c r="C8536" s="20" t="s">
        <v>8641</v>
      </c>
      <c r="D8536" s="19" t="s">
        <v>31</v>
      </c>
      <c r="E8536" s="21">
        <f t="shared" si="398"/>
        <v>14475.440000000001</v>
      </c>
      <c r="F8536" s="22">
        <v>0</v>
      </c>
      <c r="G8536" s="21">
        <f t="shared" si="399"/>
        <v>14176.08</v>
      </c>
      <c r="H8536" s="22">
        <v>0</v>
      </c>
      <c r="I8536" s="23" t="str">
        <f t="shared" si="400"/>
        <v xml:space="preserve">COM VALOR</v>
      </c>
      <c r="J8536" s="19"/>
      <c r="L8536" s="21">
        <v>14475.440000000001</v>
      </c>
      <c r="M8536" s="22">
        <v>2.e-002</v>
      </c>
      <c r="N8536" s="21">
        <v>14176.08</v>
      </c>
      <c r="O8536" s="22">
        <v>2.e-002</v>
      </c>
    </row>
    <row r="8537" ht="38.25">
      <c r="A8537" t="s">
        <v>8525</v>
      </c>
      <c r="B8537" s="19">
        <v>99315</v>
      </c>
      <c r="C8537" s="20" t="s">
        <v>8642</v>
      </c>
      <c r="D8537" s="19" t="s">
        <v>31</v>
      </c>
      <c r="E8537" s="21">
        <f t="shared" si="398"/>
        <v>18374.84</v>
      </c>
      <c r="F8537" s="22">
        <v>0</v>
      </c>
      <c r="G8537" s="21">
        <f t="shared" si="399"/>
        <v>18005.200000000001</v>
      </c>
      <c r="H8537" s="22">
        <v>0</v>
      </c>
      <c r="I8537" s="23" t="str">
        <f t="shared" si="400"/>
        <v xml:space="preserve">COM VALOR</v>
      </c>
      <c r="J8537" s="19"/>
      <c r="L8537" s="21">
        <v>18374.84</v>
      </c>
      <c r="M8537" s="22">
        <v>2.e-002</v>
      </c>
      <c r="N8537" s="21">
        <v>18005.200000000001</v>
      </c>
      <c r="O8537" s="22">
        <v>2.e-002</v>
      </c>
    </row>
    <row r="8538" ht="38.25">
      <c r="A8538" t="s">
        <v>8525</v>
      </c>
      <c r="B8538" s="19">
        <v>98008</v>
      </c>
      <c r="C8538" s="20" t="s">
        <v>8643</v>
      </c>
      <c r="D8538" s="19" t="s">
        <v>31</v>
      </c>
      <c r="E8538" s="21">
        <f t="shared" si="398"/>
        <v>4280.6400000000003</v>
      </c>
      <c r="F8538" s="22">
        <v>0</v>
      </c>
      <c r="G8538" s="21">
        <f t="shared" si="399"/>
        <v>4180.8800000000001</v>
      </c>
      <c r="H8538" s="22">
        <v>0</v>
      </c>
      <c r="I8538" s="23" t="str">
        <f t="shared" si="400"/>
        <v xml:space="preserve">COM VALOR</v>
      </c>
      <c r="J8538" s="19"/>
      <c r="L8538" s="21">
        <v>4280.6400000000003</v>
      </c>
      <c r="M8538" s="22">
        <v>1.e-002</v>
      </c>
      <c r="N8538" s="21">
        <v>4180.8800000000001</v>
      </c>
      <c r="O8538" s="22">
        <v>1.e-002</v>
      </c>
    </row>
    <row r="8539" ht="38.25">
      <c r="A8539" t="s">
        <v>8525</v>
      </c>
      <c r="B8539" s="19">
        <v>98010</v>
      </c>
      <c r="C8539" s="20" t="s">
        <v>8644</v>
      </c>
      <c r="D8539" s="19" t="s">
        <v>31</v>
      </c>
      <c r="E8539" s="21">
        <f t="shared" si="398"/>
        <v>5227.2799999999997</v>
      </c>
      <c r="F8539" s="22">
        <v>0</v>
      </c>
      <c r="G8539" s="21">
        <f t="shared" si="399"/>
        <v>5107.6300000000001</v>
      </c>
      <c r="H8539" s="22">
        <v>0</v>
      </c>
      <c r="I8539" s="23" t="str">
        <f t="shared" si="400"/>
        <v xml:space="preserve">COM VALOR</v>
      </c>
      <c r="J8539" s="19"/>
      <c r="L8539" s="21">
        <v>5227.2799999999997</v>
      </c>
      <c r="M8539" s="22">
        <v>2.e-002</v>
      </c>
      <c r="N8539" s="21">
        <v>5107.6300000000001</v>
      </c>
      <c r="O8539" s="22">
        <v>2.e-002</v>
      </c>
    </row>
    <row r="8540" ht="38.25">
      <c r="A8540" t="s">
        <v>8525</v>
      </c>
      <c r="B8540" s="19">
        <v>98012</v>
      </c>
      <c r="C8540" s="20" t="s">
        <v>8645</v>
      </c>
      <c r="D8540" s="19" t="s">
        <v>31</v>
      </c>
      <c r="E8540" s="21">
        <f t="shared" si="398"/>
        <v>6146.5100000000002</v>
      </c>
      <c r="F8540" s="22">
        <v>0</v>
      </c>
      <c r="G8540" s="21">
        <f t="shared" si="399"/>
        <v>6007.0100000000002</v>
      </c>
      <c r="H8540" s="22">
        <v>0</v>
      </c>
      <c r="I8540" s="23" t="str">
        <f t="shared" si="400"/>
        <v xml:space="preserve">COM VALOR</v>
      </c>
      <c r="J8540" s="19"/>
      <c r="L8540" s="21">
        <v>6146.5100000000002</v>
      </c>
      <c r="M8540" s="22">
        <v>2.e-002</v>
      </c>
      <c r="N8540" s="21">
        <v>6007.0100000000002</v>
      </c>
      <c r="O8540" s="22">
        <v>2.e-002</v>
      </c>
    </row>
    <row r="8541" ht="38.25">
      <c r="A8541" t="s">
        <v>8525</v>
      </c>
      <c r="B8541" s="19">
        <v>98014</v>
      </c>
      <c r="C8541" s="20" t="s">
        <v>8646</v>
      </c>
      <c r="D8541" s="19" t="s">
        <v>31</v>
      </c>
      <c r="E8541" s="21">
        <f t="shared" si="398"/>
        <v>7065.6999999999998</v>
      </c>
      <c r="F8541" s="22">
        <v>0</v>
      </c>
      <c r="G8541" s="21">
        <f t="shared" si="399"/>
        <v>6906.29</v>
      </c>
      <c r="H8541" s="22">
        <v>0</v>
      </c>
      <c r="I8541" s="23" t="str">
        <f t="shared" si="400"/>
        <v xml:space="preserve">COM VALOR</v>
      </c>
      <c r="J8541" s="19"/>
      <c r="L8541" s="21">
        <v>7065.6999999999998</v>
      </c>
      <c r="M8541" s="22">
        <v>2.e-002</v>
      </c>
      <c r="N8541" s="21">
        <v>6906.29</v>
      </c>
      <c r="O8541" s="22">
        <v>2.e-002</v>
      </c>
    </row>
    <row r="8542" ht="38.25">
      <c r="A8542" t="s">
        <v>8525</v>
      </c>
      <c r="B8542" s="19">
        <v>98016</v>
      </c>
      <c r="C8542" s="20" t="s">
        <v>8647</v>
      </c>
      <c r="D8542" s="19" t="s">
        <v>31</v>
      </c>
      <c r="E8542" s="21">
        <f t="shared" si="398"/>
        <v>7984.9899999999998</v>
      </c>
      <c r="F8542" s="22">
        <v>0</v>
      </c>
      <c r="G8542" s="21">
        <f t="shared" si="399"/>
        <v>7805.71</v>
      </c>
      <c r="H8542" s="22">
        <v>0</v>
      </c>
      <c r="I8542" s="23" t="str">
        <f t="shared" si="400"/>
        <v xml:space="preserve">COM VALOR</v>
      </c>
      <c r="J8542" s="19"/>
      <c r="L8542" s="21">
        <v>7984.9899999999998</v>
      </c>
      <c r="M8542" s="22">
        <v>2.e-002</v>
      </c>
      <c r="N8542" s="21">
        <v>7805.71</v>
      </c>
      <c r="O8542" s="22">
        <v>2.e-002</v>
      </c>
    </row>
    <row r="8543" ht="38.25">
      <c r="A8543" t="s">
        <v>8525</v>
      </c>
      <c r="B8543" s="19">
        <v>98018</v>
      </c>
      <c r="C8543" s="20" t="s">
        <v>8648</v>
      </c>
      <c r="D8543" s="19" t="s">
        <v>31</v>
      </c>
      <c r="E8543" s="21">
        <f t="shared" si="398"/>
        <v>8904.2000000000007</v>
      </c>
      <c r="F8543" s="22">
        <v>0</v>
      </c>
      <c r="G8543" s="21">
        <f t="shared" si="399"/>
        <v>8705.0300000000007</v>
      </c>
      <c r="H8543" s="22">
        <v>0</v>
      </c>
      <c r="I8543" s="23" t="str">
        <f t="shared" si="400"/>
        <v xml:space="preserve">COM VALOR</v>
      </c>
      <c r="J8543" s="19"/>
      <c r="L8543" s="21">
        <v>8904.2000000000007</v>
      </c>
      <c r="M8543" s="22">
        <v>2.e-002</v>
      </c>
      <c r="N8543" s="21">
        <v>8705.0300000000007</v>
      </c>
      <c r="O8543" s="22">
        <v>2.e-002</v>
      </c>
    </row>
    <row r="8544" ht="38.25">
      <c r="A8544" t="s">
        <v>8525</v>
      </c>
      <c r="B8544" s="19">
        <v>97994</v>
      </c>
      <c r="C8544" s="20" t="s">
        <v>8649</v>
      </c>
      <c r="D8544" s="19" t="s">
        <v>31</v>
      </c>
      <c r="E8544" s="21">
        <f t="shared" si="398"/>
        <v>2727.5799999999999</v>
      </c>
      <c r="F8544" s="22"/>
      <c r="G8544" s="21">
        <f t="shared" si="399"/>
        <v>2661.0500000000002</v>
      </c>
      <c r="H8544" s="22"/>
      <c r="I8544" s="23" t="str">
        <f t="shared" si="400"/>
        <v xml:space="preserve">COM VALOR</v>
      </c>
      <c r="J8544" s="19"/>
      <c r="L8544" s="21">
        <v>2727.5799999999999</v>
      </c>
      <c r="M8544" s="22">
        <v>1.e-002</v>
      </c>
      <c r="N8544" s="21">
        <v>2661.0500000000002</v>
      </c>
      <c r="O8544" s="22">
        <v>1.e-002</v>
      </c>
    </row>
    <row r="8545" ht="38.25">
      <c r="A8545" t="s">
        <v>8525</v>
      </c>
      <c r="B8545" s="19">
        <v>97996</v>
      </c>
      <c r="C8545" s="20" t="s">
        <v>8650</v>
      </c>
      <c r="D8545" s="19" t="s">
        <v>31</v>
      </c>
      <c r="E8545" s="21">
        <f t="shared" si="398"/>
        <v>3453.6100000000001</v>
      </c>
      <c r="F8545" s="22">
        <v>0</v>
      </c>
      <c r="G8545" s="21">
        <f t="shared" si="399"/>
        <v>3370.25</v>
      </c>
      <c r="H8545" s="22">
        <v>0</v>
      </c>
      <c r="I8545" s="23" t="str">
        <f t="shared" si="400"/>
        <v xml:space="preserve">COM VALOR</v>
      </c>
      <c r="J8545" s="19"/>
      <c r="L8545" s="21">
        <v>3453.6100000000001</v>
      </c>
      <c r="M8545" s="22">
        <v>1.e-002</v>
      </c>
      <c r="N8545" s="21">
        <v>3370.25</v>
      </c>
      <c r="O8545" s="22">
        <v>1.e-002</v>
      </c>
    </row>
    <row r="8546" ht="38.25">
      <c r="A8546" t="s">
        <v>8525</v>
      </c>
      <c r="B8546" s="19">
        <v>98407</v>
      </c>
      <c r="C8546" s="20" t="s">
        <v>8651</v>
      </c>
      <c r="D8546" s="19" t="s">
        <v>31</v>
      </c>
      <c r="E8546" s="21">
        <f t="shared" si="398"/>
        <v>4179.5500000000002</v>
      </c>
      <c r="F8546" s="22">
        <v>0</v>
      </c>
      <c r="G8546" s="21">
        <f t="shared" si="399"/>
        <v>4079.3400000000001</v>
      </c>
      <c r="H8546" s="22">
        <v>0</v>
      </c>
      <c r="I8546" s="23" t="str">
        <f t="shared" si="400"/>
        <v xml:space="preserve">COM VALOR</v>
      </c>
      <c r="J8546" s="19"/>
      <c r="L8546" s="21">
        <v>4179.5500000000002</v>
      </c>
      <c r="M8546" s="22">
        <v>1.e-002</v>
      </c>
      <c r="N8546" s="21">
        <v>4079.3400000000001</v>
      </c>
      <c r="O8546" s="22">
        <v>1.e-002</v>
      </c>
    </row>
    <row r="8547" ht="38.25">
      <c r="A8547" t="s">
        <v>8525</v>
      </c>
      <c r="B8547" s="19">
        <v>98408</v>
      </c>
      <c r="C8547" s="20" t="s">
        <v>8652</v>
      </c>
      <c r="D8547" s="19" t="s">
        <v>31</v>
      </c>
      <c r="E8547" s="21">
        <f t="shared" si="398"/>
        <v>4905.5699999999997</v>
      </c>
      <c r="F8547" s="22"/>
      <c r="G8547" s="21">
        <f t="shared" si="399"/>
        <v>4788.5600000000004</v>
      </c>
      <c r="H8547" s="22"/>
      <c r="I8547" s="23" t="str">
        <f t="shared" si="400"/>
        <v xml:space="preserve">COM VALOR</v>
      </c>
      <c r="J8547" s="19"/>
      <c r="L8547" s="21">
        <v>4905.5699999999997</v>
      </c>
      <c r="M8547" s="22">
        <v>1.e-002</v>
      </c>
      <c r="N8547" s="21">
        <v>4788.5600000000004</v>
      </c>
      <c r="O8547" s="22">
        <v>1.e-002</v>
      </c>
    </row>
    <row r="8548" ht="38.25">
      <c r="A8548" t="s">
        <v>8525</v>
      </c>
      <c r="B8548" s="19">
        <v>98002</v>
      </c>
      <c r="C8548" s="20" t="s">
        <v>8653</v>
      </c>
      <c r="D8548" s="19" t="s">
        <v>31</v>
      </c>
      <c r="E8548" s="21">
        <f t="shared" si="398"/>
        <v>5666.0799999999999</v>
      </c>
      <c r="F8548" s="22">
        <v>0</v>
      </c>
      <c r="G8548" s="21">
        <f t="shared" si="399"/>
        <v>5532.2299999999996</v>
      </c>
      <c r="H8548" s="22">
        <v>0</v>
      </c>
      <c r="I8548" s="23" t="str">
        <f t="shared" si="400"/>
        <v xml:space="preserve">COM VALOR</v>
      </c>
      <c r="J8548" s="19"/>
      <c r="L8548" s="21">
        <v>5666.0799999999999</v>
      </c>
      <c r="M8548" s="22">
        <v>1.e-002</v>
      </c>
      <c r="N8548" s="21">
        <v>5532.2299999999996</v>
      </c>
      <c r="O8548" s="22">
        <v>1.4999999999999999e-002</v>
      </c>
    </row>
    <row r="8549" ht="38.25">
      <c r="A8549" t="s">
        <v>8525</v>
      </c>
      <c r="B8549" s="19">
        <v>98406</v>
      </c>
      <c r="C8549" s="20" t="s">
        <v>8654</v>
      </c>
      <c r="D8549" s="19" t="s">
        <v>31</v>
      </c>
      <c r="E8549" s="21">
        <f t="shared" si="398"/>
        <v>6396.4200000000001</v>
      </c>
      <c r="F8549" s="22">
        <v>0</v>
      </c>
      <c r="G8549" s="21">
        <f t="shared" si="399"/>
        <v>6245.71</v>
      </c>
      <c r="H8549" s="22">
        <v>0</v>
      </c>
      <c r="I8549" s="23" t="str">
        <f t="shared" si="400"/>
        <v xml:space="preserve">COM VALOR</v>
      </c>
      <c r="J8549" s="19"/>
      <c r="L8549" s="21">
        <v>6396.4200000000001</v>
      </c>
      <c r="M8549" s="22">
        <v>1.e-002</v>
      </c>
      <c r="N8549" s="21">
        <v>6245.71</v>
      </c>
      <c r="O8549" s="22">
        <v>2.e-002</v>
      </c>
    </row>
    <row r="8550" ht="38.25">
      <c r="A8550" t="s">
        <v>8525</v>
      </c>
      <c r="B8550" s="19">
        <v>98006</v>
      </c>
      <c r="C8550" s="20" t="s">
        <v>8655</v>
      </c>
      <c r="D8550" s="19" t="s">
        <v>31</v>
      </c>
      <c r="E8550" s="21">
        <f t="shared" si="398"/>
        <v>7126.7600000000002</v>
      </c>
      <c r="F8550" s="22">
        <v>0</v>
      </c>
      <c r="G8550" s="21">
        <f t="shared" si="399"/>
        <v>6959.2700000000004</v>
      </c>
      <c r="H8550" s="22">
        <v>0</v>
      </c>
      <c r="I8550" s="23" t="str">
        <f t="shared" si="400"/>
        <v xml:space="preserve">COM VALOR</v>
      </c>
      <c r="J8550" s="19"/>
      <c r="L8550" s="21">
        <v>7126.7600000000002</v>
      </c>
      <c r="M8550" s="22">
        <v>2.e-002</v>
      </c>
      <c r="N8550" s="21">
        <v>6959.2700000000004</v>
      </c>
      <c r="O8550" s="22">
        <v>2.e-002</v>
      </c>
    </row>
    <row r="8551" ht="38.25">
      <c r="A8551" t="s">
        <v>8525</v>
      </c>
      <c r="B8551" s="19">
        <v>98030</v>
      </c>
      <c r="C8551" s="20" t="s">
        <v>8656</v>
      </c>
      <c r="D8551" s="19" t="s">
        <v>31</v>
      </c>
      <c r="E8551" s="21">
        <f t="shared" si="398"/>
        <v>8800.75</v>
      </c>
      <c r="F8551" s="22">
        <v>2.e-002</v>
      </c>
      <c r="G8551" s="21">
        <f t="shared" si="399"/>
        <v>8613.6399999999994</v>
      </c>
      <c r="H8551" s="22">
        <v>2.e-002</v>
      </c>
      <c r="I8551" s="23" t="str">
        <f t="shared" si="400"/>
        <v xml:space="preserve">COM VALOR</v>
      </c>
      <c r="J8551" s="19"/>
      <c r="L8551" s="21">
        <v>8800.75</v>
      </c>
      <c r="M8551" s="22">
        <v>2.e-002</v>
      </c>
      <c r="N8551" s="21">
        <v>8613.6399999999994</v>
      </c>
      <c r="O8551" s="22">
        <v>2.e-002</v>
      </c>
    </row>
    <row r="8552" ht="38.25">
      <c r="A8552" t="s">
        <v>8525</v>
      </c>
      <c r="B8552" s="19">
        <v>98032</v>
      </c>
      <c r="C8552" s="20" t="s">
        <v>8657</v>
      </c>
      <c r="D8552" s="19" t="s">
        <v>31</v>
      </c>
      <c r="E8552" s="21">
        <f t="shared" si="398"/>
        <v>10136.51</v>
      </c>
      <c r="F8552" s="22"/>
      <c r="G8552" s="21">
        <f t="shared" si="399"/>
        <v>9923.2999999999993</v>
      </c>
      <c r="H8552" s="22"/>
      <c r="I8552" s="23" t="str">
        <f t="shared" si="400"/>
        <v xml:space="preserve">COM VALOR</v>
      </c>
      <c r="J8552" s="19"/>
      <c r="L8552" s="21">
        <v>10136.51</v>
      </c>
      <c r="M8552" s="22">
        <v>2.e-002</v>
      </c>
      <c r="N8552" s="21">
        <v>9923.2999999999993</v>
      </c>
      <c r="O8552" s="22">
        <v>2.e-002</v>
      </c>
    </row>
    <row r="8553" ht="38.25">
      <c r="A8553" t="s">
        <v>8525</v>
      </c>
      <c r="B8553" s="19">
        <v>98034</v>
      </c>
      <c r="C8553" s="20" t="s">
        <v>8658</v>
      </c>
      <c r="D8553" s="19" t="s">
        <v>31</v>
      </c>
      <c r="E8553" s="21">
        <f t="shared" si="398"/>
        <v>11472.24</v>
      </c>
      <c r="F8553" s="22"/>
      <c r="G8553" s="21">
        <f t="shared" si="399"/>
        <v>11233.01</v>
      </c>
      <c r="H8553" s="22"/>
      <c r="I8553" s="23" t="str">
        <f t="shared" si="400"/>
        <v xml:space="preserve">COM VALOR</v>
      </c>
      <c r="J8553" s="19"/>
      <c r="L8553" s="21">
        <v>11472.24</v>
      </c>
      <c r="M8553" s="22">
        <v>2.e-002</v>
      </c>
      <c r="N8553" s="21">
        <v>11233.01</v>
      </c>
      <c r="O8553" s="22">
        <v>2.e-002</v>
      </c>
    </row>
    <row r="8554" ht="38.25">
      <c r="A8554" t="s">
        <v>8525</v>
      </c>
      <c r="B8554" s="19">
        <v>98036</v>
      </c>
      <c r="C8554" s="20" t="s">
        <v>8659</v>
      </c>
      <c r="D8554" s="19" t="s">
        <v>31</v>
      </c>
      <c r="E8554" s="21">
        <f t="shared" si="398"/>
        <v>12808.02</v>
      </c>
      <c r="F8554" s="22"/>
      <c r="G8554" s="21">
        <f t="shared" si="399"/>
        <v>12542.74</v>
      </c>
      <c r="H8554" s="22"/>
      <c r="I8554" s="23" t="str">
        <f t="shared" si="400"/>
        <v xml:space="preserve">COM VALOR</v>
      </c>
      <c r="J8554" s="19"/>
      <c r="L8554" s="21">
        <v>12808.02</v>
      </c>
      <c r="M8554" s="22">
        <v>2.e-002</v>
      </c>
      <c r="N8554" s="21">
        <v>12542.74</v>
      </c>
      <c r="O8554" s="22">
        <v>2.e-002</v>
      </c>
    </row>
    <row r="8555" ht="38.25">
      <c r="A8555" t="s">
        <v>8525</v>
      </c>
      <c r="B8555" s="19">
        <v>98020</v>
      </c>
      <c r="C8555" s="20" t="s">
        <v>8660</v>
      </c>
      <c r="D8555" s="19" t="s">
        <v>31</v>
      </c>
      <c r="E8555" s="21">
        <f t="shared" si="398"/>
        <v>6327.3299999999999</v>
      </c>
      <c r="F8555" s="22">
        <v>0</v>
      </c>
      <c r="G8555" s="21">
        <f t="shared" si="399"/>
        <v>6184.46</v>
      </c>
      <c r="H8555" s="22">
        <v>0</v>
      </c>
      <c r="I8555" s="23" t="str">
        <f t="shared" si="400"/>
        <v xml:space="preserve">COM VALOR</v>
      </c>
      <c r="J8555" s="19"/>
      <c r="L8555" s="21">
        <v>6327.3299999999999</v>
      </c>
      <c r="M8555" s="22">
        <v>2.e-002</v>
      </c>
      <c r="N8555" s="21">
        <v>6184.46</v>
      </c>
      <c r="O8555" s="22">
        <v>2.e-002</v>
      </c>
    </row>
    <row r="8556" ht="38.25">
      <c r="A8556" t="s">
        <v>8525</v>
      </c>
      <c r="B8556" s="19">
        <v>98022</v>
      </c>
      <c r="C8556" s="20" t="s">
        <v>8661</v>
      </c>
      <c r="D8556" s="19" t="s">
        <v>31</v>
      </c>
      <c r="E8556" s="21">
        <f t="shared" si="398"/>
        <v>7421.7200000000003</v>
      </c>
      <c r="F8556" s="22">
        <v>0</v>
      </c>
      <c r="G8556" s="21">
        <f t="shared" si="399"/>
        <v>7255.9099999999999</v>
      </c>
      <c r="H8556" s="22">
        <v>0</v>
      </c>
      <c r="I8556" s="23" t="str">
        <f t="shared" si="400"/>
        <v xml:space="preserve">COM VALOR</v>
      </c>
      <c r="J8556" s="19"/>
      <c r="L8556" s="21">
        <v>7421.7200000000003</v>
      </c>
      <c r="M8556" s="22">
        <v>2.e-002</v>
      </c>
      <c r="N8556" s="21">
        <v>7255.9099999999999</v>
      </c>
      <c r="O8556" s="22">
        <v>2.e-002</v>
      </c>
    </row>
    <row r="8557" ht="38.25">
      <c r="A8557" t="s">
        <v>8525</v>
      </c>
      <c r="B8557" s="19">
        <v>98024</v>
      </c>
      <c r="C8557" s="20" t="s">
        <v>8662</v>
      </c>
      <c r="D8557" s="19" t="s">
        <v>31</v>
      </c>
      <c r="E8557" s="21">
        <f t="shared" si="398"/>
        <v>8576.6399999999994</v>
      </c>
      <c r="F8557" s="22">
        <v>0</v>
      </c>
      <c r="G8557" s="21">
        <f t="shared" si="399"/>
        <v>8387.9500000000007</v>
      </c>
      <c r="H8557" s="22">
        <v>0</v>
      </c>
      <c r="I8557" s="23" t="str">
        <f t="shared" si="400"/>
        <v xml:space="preserve">COM VALOR</v>
      </c>
      <c r="J8557" s="19"/>
      <c r="L8557" s="21">
        <v>8576.6399999999994</v>
      </c>
      <c r="M8557" s="22">
        <v>2.e-002</v>
      </c>
      <c r="N8557" s="21">
        <v>8387.9500000000007</v>
      </c>
      <c r="O8557" s="22">
        <v>2.e-002</v>
      </c>
    </row>
    <row r="8558" ht="38.25">
      <c r="A8558" t="s">
        <v>8525</v>
      </c>
      <c r="B8558" s="19">
        <v>98026</v>
      </c>
      <c r="C8558" s="20" t="s">
        <v>8663</v>
      </c>
      <c r="D8558" s="19" t="s">
        <v>31</v>
      </c>
      <c r="E8558" s="21">
        <f t="shared" si="398"/>
        <v>9678.6599999999999</v>
      </c>
      <c r="F8558" s="22">
        <v>0</v>
      </c>
      <c r="G8558" s="21">
        <f t="shared" si="399"/>
        <v>9467.0300000000007</v>
      </c>
      <c r="H8558" s="22">
        <v>0</v>
      </c>
      <c r="I8558" s="23" t="str">
        <f t="shared" si="400"/>
        <v xml:space="preserve">COM VALOR</v>
      </c>
      <c r="J8558" s="19"/>
      <c r="L8558" s="21">
        <v>9678.6599999999999</v>
      </c>
      <c r="M8558" s="22">
        <v>2.e-002</v>
      </c>
      <c r="N8558" s="21">
        <v>9467.0300000000007</v>
      </c>
      <c r="O8558" s="22">
        <v>2.e-002</v>
      </c>
    </row>
    <row r="8559" ht="38.25">
      <c r="A8559" t="s">
        <v>8525</v>
      </c>
      <c r="B8559" s="19">
        <v>98028</v>
      </c>
      <c r="C8559" s="20" t="s">
        <v>8664</v>
      </c>
      <c r="D8559" s="19" t="s">
        <v>31</v>
      </c>
      <c r="E8559" s="21">
        <f t="shared" si="398"/>
        <v>10780.690000000001</v>
      </c>
      <c r="F8559" s="22">
        <v>0</v>
      </c>
      <c r="G8559" s="21">
        <f t="shared" si="399"/>
        <v>10546.139999999999</v>
      </c>
      <c r="H8559" s="22">
        <v>0</v>
      </c>
      <c r="I8559" s="23" t="str">
        <f t="shared" si="400"/>
        <v xml:space="preserve">COM VALOR</v>
      </c>
      <c r="J8559" s="19"/>
      <c r="L8559" s="21">
        <v>10780.690000000001</v>
      </c>
      <c r="M8559" s="22">
        <v>2.e-002</v>
      </c>
      <c r="N8559" s="21">
        <v>10546.139999999999</v>
      </c>
      <c r="O8559" s="22">
        <v>2.e-002</v>
      </c>
    </row>
    <row r="8560" ht="38.25">
      <c r="A8560" t="s">
        <v>8525</v>
      </c>
      <c r="B8560" s="19">
        <v>98044</v>
      </c>
      <c r="C8560" s="20" t="s">
        <v>8665</v>
      </c>
      <c r="D8560" s="19" t="s">
        <v>31</v>
      </c>
      <c r="E8560" s="21">
        <f t="shared" si="398"/>
        <v>15056.219999999999</v>
      </c>
      <c r="F8560" s="22">
        <v>0</v>
      </c>
      <c r="G8560" s="21">
        <f t="shared" si="399"/>
        <v>14752.51</v>
      </c>
      <c r="H8560" s="22">
        <v>0</v>
      </c>
      <c r="I8560" s="23" t="str">
        <f t="shared" si="400"/>
        <v xml:space="preserve">COM VALOR</v>
      </c>
      <c r="J8560" s="19"/>
      <c r="L8560" s="21">
        <v>15056.219999999999</v>
      </c>
      <c r="M8560" s="22">
        <v>2.e-002</v>
      </c>
      <c r="N8560" s="21">
        <v>14752.51</v>
      </c>
      <c r="O8560" s="22">
        <v>2.e-002</v>
      </c>
    </row>
    <row r="8561" ht="38.25">
      <c r="A8561" t="s">
        <v>8525</v>
      </c>
      <c r="B8561" s="19">
        <v>98046</v>
      </c>
      <c r="C8561" s="20" t="s">
        <v>8666</v>
      </c>
      <c r="D8561" s="19" t="s">
        <v>31</v>
      </c>
      <c r="E8561" s="21">
        <f t="shared" si="398"/>
        <v>16796.080000000002</v>
      </c>
      <c r="F8561" s="22">
        <v>0</v>
      </c>
      <c r="G8561" s="21">
        <f t="shared" si="399"/>
        <v>16460.209999999999</v>
      </c>
      <c r="H8561" s="22">
        <v>0</v>
      </c>
      <c r="I8561" s="23" t="str">
        <f t="shared" si="400"/>
        <v xml:space="preserve">COM VALOR</v>
      </c>
      <c r="J8561" s="19"/>
      <c r="L8561" s="21">
        <v>16796.080000000002</v>
      </c>
      <c r="M8561" s="22">
        <v>2.e-002</v>
      </c>
      <c r="N8561" s="21">
        <v>16460.209999999999</v>
      </c>
      <c r="O8561" s="22">
        <v>2.e-002</v>
      </c>
    </row>
    <row r="8562" ht="38.25">
      <c r="A8562" t="s">
        <v>8525</v>
      </c>
      <c r="B8562" s="19">
        <v>98038</v>
      </c>
      <c r="C8562" s="20" t="s">
        <v>8667</v>
      </c>
      <c r="D8562" s="19" t="s">
        <v>31</v>
      </c>
      <c r="E8562" s="21">
        <f t="shared" si="398"/>
        <v>11726.299999999999</v>
      </c>
      <c r="F8562" s="22">
        <v>0</v>
      </c>
      <c r="G8562" s="21">
        <f t="shared" si="399"/>
        <v>11483.940000000001</v>
      </c>
      <c r="H8562" s="22">
        <v>0</v>
      </c>
      <c r="I8562" s="23" t="str">
        <f t="shared" si="400"/>
        <v xml:space="preserve">COM VALOR</v>
      </c>
      <c r="J8562" s="19"/>
      <c r="L8562" s="21">
        <v>11726.299999999999</v>
      </c>
      <c r="M8562" s="22">
        <v>2.e-002</v>
      </c>
      <c r="N8562" s="21">
        <v>11483.940000000001</v>
      </c>
      <c r="O8562" s="22">
        <v>2.e-002</v>
      </c>
    </row>
    <row r="8563" ht="38.25">
      <c r="A8563" t="s">
        <v>8525</v>
      </c>
      <c r="B8563" s="19">
        <v>98040</v>
      </c>
      <c r="C8563" s="20" t="s">
        <v>8668</v>
      </c>
      <c r="D8563" s="19" t="s">
        <v>31</v>
      </c>
      <c r="E8563" s="21">
        <f t="shared" si="398"/>
        <v>13264.18</v>
      </c>
      <c r="F8563" s="22">
        <v>0</v>
      </c>
      <c r="G8563" s="21">
        <f t="shared" si="399"/>
        <v>12992.73</v>
      </c>
      <c r="H8563" s="22">
        <v>0</v>
      </c>
      <c r="I8563" s="23" t="str">
        <f t="shared" si="400"/>
        <v xml:space="preserve">COM VALOR</v>
      </c>
      <c r="J8563" s="19"/>
      <c r="L8563" s="21">
        <v>13264.18</v>
      </c>
      <c r="M8563" s="22">
        <v>2.e-002</v>
      </c>
      <c r="N8563" s="21">
        <v>12992.73</v>
      </c>
      <c r="O8563" s="22">
        <v>2.e-002</v>
      </c>
    </row>
    <row r="8564" ht="38.25">
      <c r="A8564" t="s">
        <v>8525</v>
      </c>
      <c r="B8564" s="19">
        <v>98042</v>
      </c>
      <c r="C8564" s="20" t="s">
        <v>8669</v>
      </c>
      <c r="D8564" s="19" t="s">
        <v>31</v>
      </c>
      <c r="E8564" s="21">
        <f t="shared" si="398"/>
        <v>14802.110000000001</v>
      </c>
      <c r="F8564" s="22">
        <v>0</v>
      </c>
      <c r="G8564" s="21">
        <f t="shared" si="399"/>
        <v>14501.51</v>
      </c>
      <c r="H8564" s="22">
        <v>0</v>
      </c>
      <c r="I8564" s="23" t="str">
        <f t="shared" si="400"/>
        <v xml:space="preserve">COM VALOR</v>
      </c>
      <c r="J8564" s="19"/>
      <c r="L8564" s="21">
        <v>14802.110000000001</v>
      </c>
      <c r="M8564" s="22">
        <v>2.e-002</v>
      </c>
      <c r="N8564" s="21">
        <v>14501.51</v>
      </c>
      <c r="O8564" s="22">
        <v>2.e-002</v>
      </c>
    </row>
    <row r="8565" ht="38.25">
      <c r="A8565" t="s">
        <v>8525</v>
      </c>
      <c r="B8565" s="19">
        <v>98048</v>
      </c>
      <c r="C8565" s="20" t="s">
        <v>8670</v>
      </c>
      <c r="D8565" s="19" t="s">
        <v>31</v>
      </c>
      <c r="E8565" s="21">
        <f t="shared" si="398"/>
        <v>18790.169999999998</v>
      </c>
      <c r="F8565" s="22">
        <v>0</v>
      </c>
      <c r="G8565" s="21">
        <f t="shared" si="399"/>
        <v>18418.959999999999</v>
      </c>
      <c r="H8565" s="22">
        <v>0</v>
      </c>
      <c r="I8565" s="23" t="str">
        <f t="shared" si="400"/>
        <v xml:space="preserve">COM VALOR</v>
      </c>
      <c r="J8565" s="19"/>
      <c r="L8565" s="21">
        <v>18790.169999999998</v>
      </c>
      <c r="M8565" s="22">
        <v>2.e-002</v>
      </c>
      <c r="N8565" s="21">
        <v>18418.959999999999</v>
      </c>
      <c r="O8565" s="22">
        <v>2.e-002</v>
      </c>
    </row>
    <row r="8566" ht="25.5">
      <c r="A8566" t="s">
        <v>8525</v>
      </c>
      <c r="B8566" s="19">
        <v>97955</v>
      </c>
      <c r="C8566" s="20" t="s">
        <v>8671</v>
      </c>
      <c r="D8566" s="19" t="s">
        <v>31</v>
      </c>
      <c r="E8566" s="21">
        <f t="shared" si="398"/>
        <v>3200.3400000000001</v>
      </c>
      <c r="F8566" s="22">
        <v>0</v>
      </c>
      <c r="G8566" s="21">
        <f t="shared" si="399"/>
        <v>3149.3600000000001</v>
      </c>
      <c r="H8566" s="22">
        <v>0</v>
      </c>
      <c r="I8566" s="23" t="str">
        <f t="shared" si="400"/>
        <v xml:space="preserve">COM VALOR</v>
      </c>
      <c r="J8566" s="19"/>
      <c r="L8566" s="21">
        <v>3200.3400000000001</v>
      </c>
      <c r="M8566" s="22">
        <v>0</v>
      </c>
      <c r="N8566" s="21">
        <v>3149.3600000000001</v>
      </c>
      <c r="O8566" s="22">
        <v>0</v>
      </c>
    </row>
    <row r="8567" ht="25.5">
      <c r="A8567" t="s">
        <v>8525</v>
      </c>
      <c r="B8567" s="19">
        <v>97948</v>
      </c>
      <c r="C8567" s="20" t="s">
        <v>8672</v>
      </c>
      <c r="D8567" s="19" t="s">
        <v>31</v>
      </c>
      <c r="E8567" s="21">
        <f t="shared" si="398"/>
        <v>3444.1100000000001</v>
      </c>
      <c r="F8567" s="22">
        <v>0</v>
      </c>
      <c r="G8567" s="21">
        <f t="shared" si="399"/>
        <v>3378.7399999999998</v>
      </c>
      <c r="H8567" s="22">
        <v>0</v>
      </c>
      <c r="I8567" s="23" t="str">
        <f t="shared" si="400"/>
        <v xml:space="preserve">COM VALOR</v>
      </c>
      <c r="J8567" s="19"/>
      <c r="L8567" s="21">
        <v>3444.1100000000001</v>
      </c>
      <c r="M8567" s="22">
        <v>0</v>
      </c>
      <c r="N8567" s="21">
        <v>3378.7399999999998</v>
      </c>
      <c r="O8567" s="22">
        <v>0</v>
      </c>
    </row>
    <row r="8568" ht="25.5">
      <c r="A8568" t="s">
        <v>8525</v>
      </c>
      <c r="B8568" s="19">
        <v>97934</v>
      </c>
      <c r="C8568" s="20" t="s">
        <v>8673</v>
      </c>
      <c r="D8568" s="19" t="s">
        <v>31</v>
      </c>
      <c r="E8568" s="21">
        <f t="shared" si="398"/>
        <v>2441.8299999999999</v>
      </c>
      <c r="F8568" s="22">
        <v>0</v>
      </c>
      <c r="G8568" s="21">
        <f t="shared" si="399"/>
        <v>2409.0300000000002</v>
      </c>
      <c r="H8568" s="22">
        <v>0</v>
      </c>
      <c r="I8568" s="23" t="str">
        <f t="shared" si="400"/>
        <v xml:space="preserve">COM VALOR</v>
      </c>
      <c r="J8568" s="19"/>
      <c r="L8568" s="21">
        <v>2441.8299999999999</v>
      </c>
      <c r="M8568" s="22">
        <v>2.9999999999999999e-002</v>
      </c>
      <c r="N8568" s="21">
        <v>2409.0300000000002</v>
      </c>
      <c r="O8568" s="22">
        <v>2.9999999999999999e-002</v>
      </c>
    </row>
    <row r="8569" ht="25.5">
      <c r="A8569" t="s">
        <v>8525</v>
      </c>
      <c r="B8569" s="19">
        <v>97953</v>
      </c>
      <c r="C8569" s="20" t="s">
        <v>8674</v>
      </c>
      <c r="D8569" s="19" t="s">
        <v>31</v>
      </c>
      <c r="E8569" s="21">
        <f t="shared" si="398"/>
        <v>1496</v>
      </c>
      <c r="F8569" s="22">
        <v>0</v>
      </c>
      <c r="G8569" s="21">
        <f t="shared" si="399"/>
        <v>1471.5699999999999</v>
      </c>
      <c r="H8569" s="22">
        <v>0</v>
      </c>
      <c r="I8569" s="23" t="str">
        <f t="shared" si="400"/>
        <v xml:space="preserve">COM VALOR</v>
      </c>
      <c r="J8569" s="19"/>
      <c r="L8569" s="21">
        <v>1496</v>
      </c>
      <c r="M8569" s="22">
        <v>0</v>
      </c>
      <c r="N8569" s="21">
        <v>1471.5699999999999</v>
      </c>
      <c r="O8569" s="22">
        <v>0</v>
      </c>
    </row>
    <row r="8570" ht="38.25">
      <c r="A8570" t="s">
        <v>8525</v>
      </c>
      <c r="B8570" s="19">
        <v>97947</v>
      </c>
      <c r="C8570" s="20" t="s">
        <v>8675</v>
      </c>
      <c r="D8570" s="19" t="s">
        <v>31</v>
      </c>
      <c r="E8570" s="21">
        <f t="shared" si="398"/>
        <v>1870.21</v>
      </c>
      <c r="F8570" s="22">
        <v>0</v>
      </c>
      <c r="G8570" s="21">
        <f t="shared" si="399"/>
        <v>1834.1700000000001</v>
      </c>
      <c r="H8570" s="22">
        <v>0</v>
      </c>
      <c r="I8570" s="23" t="str">
        <f t="shared" si="400"/>
        <v xml:space="preserve">COM VALOR</v>
      </c>
      <c r="J8570" s="19"/>
      <c r="L8570" s="21">
        <v>1870.21</v>
      </c>
      <c r="M8570" s="22">
        <v>0</v>
      </c>
      <c r="N8570" s="21">
        <v>1834.1700000000001</v>
      </c>
      <c r="O8570" s="22">
        <v>0</v>
      </c>
    </row>
    <row r="8571" ht="25.5">
      <c r="A8571" t="s">
        <v>8525</v>
      </c>
      <c r="B8571" s="19">
        <v>97933</v>
      </c>
      <c r="C8571" s="20" t="s">
        <v>8676</v>
      </c>
      <c r="D8571" s="19" t="s">
        <v>31</v>
      </c>
      <c r="E8571" s="21">
        <f t="shared" si="398"/>
        <v>1172.1400000000001</v>
      </c>
      <c r="F8571" s="22">
        <v>0</v>
      </c>
      <c r="G8571" s="21">
        <f t="shared" si="399"/>
        <v>1169.75</v>
      </c>
      <c r="H8571" s="22">
        <v>0</v>
      </c>
      <c r="I8571" s="23" t="str">
        <f t="shared" si="400"/>
        <v xml:space="preserve">COM VALOR</v>
      </c>
      <c r="J8571" s="19"/>
      <c r="L8571" s="21">
        <v>1172.1400000000001</v>
      </c>
      <c r="M8571" s="22">
        <v>0</v>
      </c>
      <c r="N8571" s="21">
        <v>1169.75</v>
      </c>
      <c r="O8571" s="22">
        <v>0</v>
      </c>
    </row>
    <row r="8572" ht="38.25">
      <c r="A8572" t="s">
        <v>8525</v>
      </c>
      <c r="B8572" s="19">
        <v>97961</v>
      </c>
      <c r="C8572" s="20" t="s">
        <v>8677</v>
      </c>
      <c r="D8572" s="19" t="s">
        <v>31</v>
      </c>
      <c r="E8572" s="21">
        <f t="shared" si="398"/>
        <v>2564.0700000000002</v>
      </c>
      <c r="F8572" s="22"/>
      <c r="G8572" s="21">
        <f t="shared" si="399"/>
        <v>2513.6199999999999</v>
      </c>
      <c r="H8572" s="22"/>
      <c r="I8572" s="23" t="str">
        <f t="shared" si="400"/>
        <v xml:space="preserve">COM VALOR</v>
      </c>
      <c r="J8572" s="19"/>
      <c r="L8572" s="21">
        <v>2564.0700000000002</v>
      </c>
      <c r="M8572" s="22">
        <v>0</v>
      </c>
      <c r="N8572" s="21">
        <v>2513.6199999999999</v>
      </c>
      <c r="O8572" s="22">
        <v>0</v>
      </c>
    </row>
    <row r="8573" ht="38.25">
      <c r="A8573" t="s">
        <v>8525</v>
      </c>
      <c r="B8573" s="19">
        <v>97951</v>
      </c>
      <c r="C8573" s="20" t="s">
        <v>8678</v>
      </c>
      <c r="D8573" s="19" t="s">
        <v>31</v>
      </c>
      <c r="E8573" s="21">
        <f t="shared" si="398"/>
        <v>2978.4299999999998</v>
      </c>
      <c r="F8573" s="22"/>
      <c r="G8573" s="21">
        <f t="shared" si="399"/>
        <v>2912.02</v>
      </c>
      <c r="H8573" s="22"/>
      <c r="I8573" s="23" t="str">
        <f t="shared" si="400"/>
        <v xml:space="preserve">COM VALOR</v>
      </c>
      <c r="J8573" s="19"/>
      <c r="L8573" s="21">
        <v>2978.4299999999998</v>
      </c>
      <c r="M8573" s="22">
        <v>0</v>
      </c>
      <c r="N8573" s="21">
        <v>2912.02</v>
      </c>
      <c r="O8573" s="22">
        <v>0</v>
      </c>
    </row>
    <row r="8574" ht="38.25">
      <c r="A8574" t="s">
        <v>8525</v>
      </c>
      <c r="B8574" s="19">
        <v>97973</v>
      </c>
      <c r="C8574" s="20" t="s">
        <v>8679</v>
      </c>
      <c r="D8574" s="19" t="s">
        <v>31</v>
      </c>
      <c r="E8574" s="21">
        <f t="shared" si="398"/>
        <v>4757.3299999999999</v>
      </c>
      <c r="F8574" s="22"/>
      <c r="G8574" s="21">
        <f t="shared" si="399"/>
        <v>4665.0500000000002</v>
      </c>
      <c r="H8574" s="22"/>
      <c r="I8574" s="23" t="str">
        <f t="shared" si="400"/>
        <v xml:space="preserve">COM VALOR</v>
      </c>
      <c r="J8574" s="19"/>
      <c r="L8574" s="21">
        <v>4757.3299999999999</v>
      </c>
      <c r="M8574" s="22">
        <v>0</v>
      </c>
      <c r="N8574" s="21">
        <v>4665.0500000000002</v>
      </c>
      <c r="O8574" s="22">
        <v>0</v>
      </c>
    </row>
    <row r="8575" ht="38.25">
      <c r="A8575" t="s">
        <v>8525</v>
      </c>
      <c r="B8575" s="19">
        <v>97952</v>
      </c>
      <c r="C8575" s="20" t="s">
        <v>8680</v>
      </c>
      <c r="D8575" s="19" t="s">
        <v>31</v>
      </c>
      <c r="E8575" s="21">
        <f t="shared" si="398"/>
        <v>5146.8000000000002</v>
      </c>
      <c r="F8575" s="22"/>
      <c r="G8575" s="21">
        <f t="shared" si="399"/>
        <v>5033.6300000000001</v>
      </c>
      <c r="H8575" s="22"/>
      <c r="I8575" s="23" t="str">
        <f t="shared" si="400"/>
        <v xml:space="preserve">COM VALOR</v>
      </c>
      <c r="J8575" s="19"/>
      <c r="L8575" s="21">
        <v>5146.8000000000002</v>
      </c>
      <c r="M8575" s="22">
        <v>0</v>
      </c>
      <c r="N8575" s="21">
        <v>5033.6300000000001</v>
      </c>
      <c r="O8575" s="22">
        <v>0</v>
      </c>
    </row>
    <row r="8576" ht="38.25">
      <c r="A8576" t="s">
        <v>8525</v>
      </c>
      <c r="B8576" s="19">
        <v>97957</v>
      </c>
      <c r="C8576" s="20" t="s">
        <v>8681</v>
      </c>
      <c r="D8576" s="19" t="s">
        <v>31</v>
      </c>
      <c r="E8576" s="21">
        <f t="shared" si="398"/>
        <v>2772.4200000000001</v>
      </c>
      <c r="F8576" s="22">
        <v>0</v>
      </c>
      <c r="G8576" s="21">
        <f t="shared" si="399"/>
        <v>2703.8099999999999</v>
      </c>
      <c r="H8576" s="22">
        <v>0</v>
      </c>
      <c r="I8576" s="23" t="str">
        <f t="shared" si="400"/>
        <v xml:space="preserve">COM VALOR</v>
      </c>
      <c r="J8576" s="19"/>
      <c r="L8576" s="21">
        <v>2772.4200000000001</v>
      </c>
      <c r="M8576" s="22">
        <v>0</v>
      </c>
      <c r="N8576" s="21">
        <v>2703.8099999999999</v>
      </c>
      <c r="O8576" s="22">
        <v>0</v>
      </c>
    </row>
    <row r="8577" ht="38.25">
      <c r="A8577" t="s">
        <v>8525</v>
      </c>
      <c r="B8577" s="19">
        <v>97950</v>
      </c>
      <c r="C8577" s="20" t="s">
        <v>8682</v>
      </c>
      <c r="D8577" s="19" t="s">
        <v>31</v>
      </c>
      <c r="E8577" s="21">
        <f t="shared" si="398"/>
        <v>3215.5799999999999</v>
      </c>
      <c r="F8577" s="22">
        <v>0</v>
      </c>
      <c r="G8577" s="21">
        <f t="shared" si="399"/>
        <v>3128.6999999999998</v>
      </c>
      <c r="H8577" s="22">
        <v>0</v>
      </c>
      <c r="I8577" s="23" t="str">
        <f t="shared" si="400"/>
        <v xml:space="preserve">COM VALOR</v>
      </c>
      <c r="J8577" s="19"/>
      <c r="L8577" s="21">
        <v>3215.5799999999999</v>
      </c>
      <c r="M8577" s="22">
        <v>0</v>
      </c>
      <c r="N8577" s="21">
        <v>3128.6999999999998</v>
      </c>
      <c r="O8577" s="22">
        <v>0</v>
      </c>
    </row>
    <row r="8578" ht="25.5">
      <c r="A8578" t="s">
        <v>8525</v>
      </c>
      <c r="B8578" s="19">
        <v>97936</v>
      </c>
      <c r="C8578" s="20" t="s">
        <v>8683</v>
      </c>
      <c r="D8578" s="19" t="s">
        <v>31</v>
      </c>
      <c r="E8578" s="21">
        <f t="shared" si="398"/>
        <v>1985.76</v>
      </c>
      <c r="F8578" s="22">
        <v>0</v>
      </c>
      <c r="G8578" s="21">
        <f t="shared" si="399"/>
        <v>1936.6300000000001</v>
      </c>
      <c r="H8578" s="22">
        <v>0</v>
      </c>
      <c r="I8578" s="23" t="str">
        <f t="shared" si="400"/>
        <v xml:space="preserve">COM VALOR</v>
      </c>
      <c r="J8578" s="19"/>
      <c r="L8578" s="21">
        <v>1985.76</v>
      </c>
      <c r="M8578" s="22">
        <v>4.0000000000000001e-002</v>
      </c>
      <c r="N8578" s="21">
        <v>1936.6300000000001</v>
      </c>
      <c r="O8578" s="22">
        <v>4.0000000000000001e-002</v>
      </c>
    </row>
    <row r="8579" ht="25.5">
      <c r="A8579" t="s">
        <v>8525</v>
      </c>
      <c r="B8579" s="19">
        <v>97956</v>
      </c>
      <c r="C8579" s="20" t="s">
        <v>8684</v>
      </c>
      <c r="D8579" s="19" t="s">
        <v>31</v>
      </c>
      <c r="E8579" s="21">
        <f t="shared" si="398"/>
        <v>1562.4100000000001</v>
      </c>
      <c r="F8579" s="22">
        <v>0</v>
      </c>
      <c r="G8579" s="21">
        <f t="shared" si="399"/>
        <v>1525.05</v>
      </c>
      <c r="H8579" s="22">
        <v>0</v>
      </c>
      <c r="I8579" s="23" t="str">
        <f t="shared" si="400"/>
        <v xml:space="preserve">COM VALOR</v>
      </c>
      <c r="J8579" s="19"/>
      <c r="L8579" s="21">
        <v>1562.4100000000001</v>
      </c>
      <c r="M8579" s="22">
        <v>0</v>
      </c>
      <c r="N8579" s="21">
        <v>1525.05</v>
      </c>
      <c r="O8579" s="22">
        <v>0</v>
      </c>
    </row>
    <row r="8580" ht="38.25">
      <c r="A8580" t="s">
        <v>8525</v>
      </c>
      <c r="B8580" s="19">
        <v>97949</v>
      </c>
      <c r="C8580" s="20" t="s">
        <v>8685</v>
      </c>
      <c r="D8580" s="19" t="s">
        <v>31</v>
      </c>
      <c r="E8580" s="21">
        <f t="shared" si="398"/>
        <v>1833.6500000000001</v>
      </c>
      <c r="F8580" s="22">
        <v>0</v>
      </c>
      <c r="G8580" s="21">
        <f t="shared" si="399"/>
        <v>1784.76</v>
      </c>
      <c r="H8580" s="22">
        <v>0</v>
      </c>
      <c r="I8580" s="23" t="str">
        <f t="shared" si="400"/>
        <v xml:space="preserve">COM VALOR</v>
      </c>
      <c r="J8580" s="19"/>
      <c r="L8580" s="21">
        <v>1833.6500000000001</v>
      </c>
      <c r="M8580" s="22">
        <v>0</v>
      </c>
      <c r="N8580" s="21">
        <v>1784.76</v>
      </c>
      <c r="O8580" s="22">
        <v>0</v>
      </c>
    </row>
    <row r="8581" ht="25.5">
      <c r="A8581" t="s">
        <v>8525</v>
      </c>
      <c r="B8581" s="19">
        <v>97935</v>
      </c>
      <c r="C8581" s="20" t="s">
        <v>8686</v>
      </c>
      <c r="D8581" s="19" t="s">
        <v>31</v>
      </c>
      <c r="E8581" s="21">
        <f t="shared" si="398"/>
        <v>929.96000000000004</v>
      </c>
      <c r="F8581" s="22">
        <v>0</v>
      </c>
      <c r="G8581" s="21">
        <f t="shared" si="399"/>
        <v>919.85000000000002</v>
      </c>
      <c r="H8581" s="22">
        <v>0</v>
      </c>
      <c r="I8581" s="23" t="str">
        <f t="shared" si="400"/>
        <v xml:space="preserve">COM VALOR</v>
      </c>
      <c r="J8581" s="19"/>
      <c r="L8581" s="21">
        <v>929.96000000000004</v>
      </c>
      <c r="M8581" s="22">
        <v>0</v>
      </c>
      <c r="N8581" s="21">
        <v>919.85000000000002</v>
      </c>
      <c r="O8581" s="22">
        <v>0</v>
      </c>
    </row>
    <row r="8582" ht="38.25">
      <c r="A8582" t="s">
        <v>8525</v>
      </c>
      <c r="B8582" s="19">
        <v>99319</v>
      </c>
      <c r="C8582" s="20" t="s">
        <v>8687</v>
      </c>
      <c r="D8582" s="19" t="s">
        <v>38</v>
      </c>
      <c r="E8582" s="21">
        <f t="shared" si="398"/>
        <v>925.17999999999995</v>
      </c>
      <c r="F8582" s="22">
        <v>0</v>
      </c>
      <c r="G8582" s="21">
        <f t="shared" si="399"/>
        <v>896.95000000000005</v>
      </c>
      <c r="H8582" s="22">
        <v>0</v>
      </c>
      <c r="I8582" s="23" t="str">
        <f t="shared" si="400"/>
        <v xml:space="preserve">COM VALOR</v>
      </c>
      <c r="J8582" s="19"/>
      <c r="L8582" s="21">
        <v>925.17999999999995</v>
      </c>
      <c r="M8582" s="22">
        <v>0</v>
      </c>
      <c r="N8582" s="21">
        <v>896.95000000000005</v>
      </c>
      <c r="O8582" s="22">
        <v>0</v>
      </c>
    </row>
    <row r="8583" ht="25.5">
      <c r="A8583" t="s">
        <v>8525</v>
      </c>
      <c r="B8583" s="19">
        <v>99318</v>
      </c>
      <c r="C8583" s="20" t="s">
        <v>8688</v>
      </c>
      <c r="D8583" s="19" t="s">
        <v>38</v>
      </c>
      <c r="E8583" s="21">
        <f t="shared" si="398"/>
        <v>310.37</v>
      </c>
      <c r="F8583" s="22">
        <v>0</v>
      </c>
      <c r="G8583" s="21">
        <f t="shared" si="399"/>
        <v>309.07999999999998</v>
      </c>
      <c r="H8583" s="22">
        <v>0</v>
      </c>
      <c r="I8583" s="23" t="str">
        <f t="shared" si="400"/>
        <v xml:space="preserve">COM VALOR</v>
      </c>
      <c r="J8583" s="19"/>
      <c r="L8583" s="21">
        <v>310.37</v>
      </c>
      <c r="M8583" s="22">
        <v>0</v>
      </c>
      <c r="N8583" s="21">
        <v>309.07999999999998</v>
      </c>
      <c r="O8583" s="22">
        <v>0</v>
      </c>
    </row>
    <row r="8584" ht="38.25">
      <c r="A8584" t="s">
        <v>8525</v>
      </c>
      <c r="B8584" s="19">
        <v>98051</v>
      </c>
      <c r="C8584" s="20" t="s">
        <v>8689</v>
      </c>
      <c r="D8584" s="19" t="s">
        <v>38</v>
      </c>
      <c r="E8584" s="21">
        <f t="shared" si="398"/>
        <v>984.48000000000002</v>
      </c>
      <c r="F8584" s="22"/>
      <c r="G8584" s="21">
        <f t="shared" si="399"/>
        <v>956.02999999999997</v>
      </c>
      <c r="H8584" s="22"/>
      <c r="I8584" s="23" t="str">
        <f t="shared" si="400"/>
        <v xml:space="preserve">COM VALOR</v>
      </c>
      <c r="J8584" s="19"/>
      <c r="L8584" s="21">
        <v>984.48000000000002</v>
      </c>
      <c r="M8584" s="22">
        <v>0</v>
      </c>
      <c r="N8584" s="21">
        <v>956.02999999999997</v>
      </c>
      <c r="O8584" s="22">
        <v>0</v>
      </c>
    </row>
    <row r="8585" ht="25.5">
      <c r="A8585" t="s">
        <v>8525</v>
      </c>
      <c r="B8585" s="19">
        <v>98050</v>
      </c>
      <c r="C8585" s="20" t="s">
        <v>8690</v>
      </c>
      <c r="D8585" s="19" t="s">
        <v>38</v>
      </c>
      <c r="E8585" s="21">
        <f t="shared" si="398"/>
        <v>311.26999999999998</v>
      </c>
      <c r="F8585" s="22">
        <v>0</v>
      </c>
      <c r="G8585" s="21">
        <f t="shared" si="399"/>
        <v>309.98000000000002</v>
      </c>
      <c r="H8585" s="22">
        <v>0</v>
      </c>
      <c r="I8585" s="23" t="str">
        <f t="shared" si="400"/>
        <v xml:space="preserve">COM VALOR</v>
      </c>
      <c r="J8585" s="19"/>
      <c r="L8585" s="21">
        <v>311.26999999999998</v>
      </c>
      <c r="M8585" s="22">
        <v>0</v>
      </c>
      <c r="N8585" s="21">
        <v>309.98000000000002</v>
      </c>
      <c r="O8585" s="22">
        <v>0</v>
      </c>
    </row>
    <row r="8586" ht="38.25">
      <c r="A8586" t="s">
        <v>8525</v>
      </c>
      <c r="B8586" s="19">
        <v>99272</v>
      </c>
      <c r="C8586" s="20" t="s">
        <v>8691</v>
      </c>
      <c r="D8586" s="19" t="s">
        <v>31</v>
      </c>
      <c r="E8586" s="21">
        <f t="shared" si="398"/>
        <v>1106.45</v>
      </c>
      <c r="F8586" s="22">
        <v>0</v>
      </c>
      <c r="G8586" s="21">
        <f t="shared" si="399"/>
        <v>1075.9200000000001</v>
      </c>
      <c r="H8586" s="22">
        <v>0</v>
      </c>
      <c r="I8586" s="23" t="str">
        <f t="shared" si="400"/>
        <v xml:space="preserve">COM VALOR</v>
      </c>
      <c r="J8586" s="19"/>
      <c r="L8586" s="21">
        <v>1106.45</v>
      </c>
      <c r="M8586" s="22">
        <v>0</v>
      </c>
      <c r="N8586" s="21">
        <v>1075.9200000000001</v>
      </c>
      <c r="O8586" s="22">
        <v>0</v>
      </c>
    </row>
    <row r="8587" ht="38.25">
      <c r="A8587" t="s">
        <v>8525</v>
      </c>
      <c r="B8587" s="19">
        <v>99273</v>
      </c>
      <c r="C8587" s="20" t="s">
        <v>8692</v>
      </c>
      <c r="D8587" s="19" t="s">
        <v>31</v>
      </c>
      <c r="E8587" s="21">
        <f t="shared" ref="E8587:E8650" si="401">IF(L8587=0,"VERIFICAR",L8587)</f>
        <v>1575.29</v>
      </c>
      <c r="F8587" s="22">
        <v>0</v>
      </c>
      <c r="G8587" s="21">
        <f t="shared" ref="G8587:G8650" si="402">IF(N8587=0,"VERIFICAR",N8587)</f>
        <v>1530.5799999999999</v>
      </c>
      <c r="H8587" s="22">
        <v>0</v>
      </c>
      <c r="I8587" s="23" t="str">
        <f t="shared" ref="I8587:I8650" si="403">IF(OR(E8587=0,G8587=0),"SEM VALOR","COM VALOR")</f>
        <v xml:space="preserve">COM VALOR</v>
      </c>
      <c r="J8587" s="19"/>
      <c r="L8587" s="21">
        <v>1575.29</v>
      </c>
      <c r="M8587" s="22">
        <v>2.5000000000000001e-003</v>
      </c>
      <c r="N8587" s="21">
        <v>1530.5799999999999</v>
      </c>
      <c r="O8587" s="22">
        <v>2.5000000000000001e-003</v>
      </c>
    </row>
    <row r="8588" ht="38.25">
      <c r="A8588" t="s">
        <v>8525</v>
      </c>
      <c r="B8588" s="19">
        <v>99268</v>
      </c>
      <c r="C8588" s="20" t="s">
        <v>8693</v>
      </c>
      <c r="D8588" s="19" t="s">
        <v>31</v>
      </c>
      <c r="E8588" s="21">
        <f t="shared" si="401"/>
        <v>507.19999999999999</v>
      </c>
      <c r="F8588" s="22">
        <v>0</v>
      </c>
      <c r="G8588" s="21">
        <f t="shared" si="402"/>
        <v>500.61000000000001</v>
      </c>
      <c r="H8588" s="22">
        <v>0</v>
      </c>
      <c r="I8588" s="23" t="str">
        <f t="shared" si="403"/>
        <v xml:space="preserve">COM VALOR</v>
      </c>
      <c r="J8588" s="19"/>
      <c r="L8588" s="21">
        <v>507.19999999999999</v>
      </c>
      <c r="M8588" s="22">
        <v>0</v>
      </c>
      <c r="N8588" s="21">
        <v>500.61000000000001</v>
      </c>
      <c r="O8588" s="22">
        <v>0</v>
      </c>
    </row>
    <row r="8589" ht="38.25">
      <c r="A8589" t="s">
        <v>8525</v>
      </c>
      <c r="B8589" s="19">
        <v>99270</v>
      </c>
      <c r="C8589" s="20" t="s">
        <v>8694</v>
      </c>
      <c r="D8589" s="19" t="s">
        <v>31</v>
      </c>
      <c r="E8589" s="21">
        <f t="shared" si="401"/>
        <v>666.04999999999995</v>
      </c>
      <c r="F8589" s="22">
        <v>0</v>
      </c>
      <c r="G8589" s="21">
        <f t="shared" si="402"/>
        <v>658.70000000000005</v>
      </c>
      <c r="H8589" s="22">
        <v>0</v>
      </c>
      <c r="I8589" s="23" t="str">
        <f t="shared" si="403"/>
        <v xml:space="preserve">COM VALOR</v>
      </c>
      <c r="J8589" s="19"/>
      <c r="L8589" s="21">
        <v>666.04999999999995</v>
      </c>
      <c r="M8589" s="22">
        <v>0</v>
      </c>
      <c r="N8589" s="21">
        <v>658.70000000000005</v>
      </c>
      <c r="O8589" s="22">
        <v>0</v>
      </c>
    </row>
    <row r="8590" ht="38.25">
      <c r="A8590" t="s">
        <v>8525</v>
      </c>
      <c r="B8590" s="19">
        <v>97976</v>
      </c>
      <c r="C8590" s="20" t="s">
        <v>8695</v>
      </c>
      <c r="D8590" s="19" t="s">
        <v>31</v>
      </c>
      <c r="E8590" s="21">
        <f t="shared" si="401"/>
        <v>1148.96</v>
      </c>
      <c r="F8590" s="22">
        <v>1.e-002</v>
      </c>
      <c r="G8590" s="21">
        <f t="shared" si="402"/>
        <v>1118.27</v>
      </c>
      <c r="H8590" s="22">
        <v>1.e-002</v>
      </c>
      <c r="I8590" s="23" t="str">
        <f t="shared" si="403"/>
        <v xml:space="preserve">COM VALOR</v>
      </c>
      <c r="J8590" s="19"/>
      <c r="L8590" s="21">
        <v>1148.96</v>
      </c>
      <c r="M8590" s="22">
        <v>0</v>
      </c>
      <c r="N8590" s="21">
        <v>1118.27</v>
      </c>
      <c r="O8590" s="22">
        <v>0</v>
      </c>
    </row>
    <row r="8591" ht="38.25">
      <c r="A8591" t="s">
        <v>8525</v>
      </c>
      <c r="B8591" s="19">
        <v>97977</v>
      </c>
      <c r="C8591" s="20" t="s">
        <v>8696</v>
      </c>
      <c r="D8591" s="19" t="s">
        <v>31</v>
      </c>
      <c r="E8591" s="21">
        <f t="shared" si="401"/>
        <v>1650.6500000000001</v>
      </c>
      <c r="F8591" s="22">
        <v>0.46000000000000002</v>
      </c>
      <c r="G8591" s="21">
        <f t="shared" si="402"/>
        <v>1605.6500000000001</v>
      </c>
      <c r="H8591" s="22">
        <v>0.47999999999999998</v>
      </c>
      <c r="I8591" s="23" t="str">
        <f t="shared" si="403"/>
        <v xml:space="preserve">COM VALOR</v>
      </c>
      <c r="J8591" s="19"/>
      <c r="L8591" s="21">
        <v>1650.6500000000001</v>
      </c>
      <c r="M8591" s="22">
        <v>0</v>
      </c>
      <c r="N8591" s="21">
        <v>1605.6500000000001</v>
      </c>
      <c r="O8591" s="22">
        <v>0</v>
      </c>
    </row>
    <row r="8592" ht="38.25">
      <c r="A8592" t="s">
        <v>8525</v>
      </c>
      <c r="B8592" s="19">
        <v>97974</v>
      </c>
      <c r="C8592" s="20" t="s">
        <v>8697</v>
      </c>
      <c r="D8592" s="19" t="s">
        <v>31</v>
      </c>
      <c r="E8592" s="21">
        <f t="shared" si="401"/>
        <v>511.43000000000001</v>
      </c>
      <c r="F8592" s="22">
        <v>0</v>
      </c>
      <c r="G8592" s="21">
        <f t="shared" si="402"/>
        <v>504.81999999999999</v>
      </c>
      <c r="H8592" s="22">
        <v>0</v>
      </c>
      <c r="I8592" s="23" t="str">
        <f t="shared" si="403"/>
        <v xml:space="preserve">COM VALOR</v>
      </c>
      <c r="J8592" s="19"/>
      <c r="L8592" s="21">
        <v>511.43000000000001</v>
      </c>
      <c r="M8592" s="22">
        <v>0</v>
      </c>
      <c r="N8592" s="21">
        <v>504.81999999999999</v>
      </c>
      <c r="O8592" s="22">
        <v>0</v>
      </c>
    </row>
    <row r="8593" ht="38.25">
      <c r="A8593" t="s">
        <v>8525</v>
      </c>
      <c r="B8593" s="19">
        <v>97975</v>
      </c>
      <c r="C8593" s="20" t="s">
        <v>8698</v>
      </c>
      <c r="D8593" s="19" t="s">
        <v>31</v>
      </c>
      <c r="E8593" s="21">
        <f t="shared" si="401"/>
        <v>670.99000000000001</v>
      </c>
      <c r="F8593" s="22">
        <v>0</v>
      </c>
      <c r="G8593" s="21">
        <f t="shared" si="402"/>
        <v>663.63</v>
      </c>
      <c r="H8593" s="22">
        <v>0</v>
      </c>
      <c r="I8593" s="23" t="str">
        <f t="shared" si="403"/>
        <v xml:space="preserve">COM VALOR</v>
      </c>
      <c r="J8593" s="19"/>
      <c r="L8593" s="21">
        <v>670.99000000000001</v>
      </c>
      <c r="M8593" s="22">
        <v>0</v>
      </c>
      <c r="N8593" s="21">
        <v>663.63</v>
      </c>
      <c r="O8593" s="22">
        <v>0</v>
      </c>
    </row>
    <row r="8594" ht="25.5">
      <c r="A8594" t="s">
        <v>8525</v>
      </c>
      <c r="B8594" s="19">
        <v>101798</v>
      </c>
      <c r="C8594" s="20" t="s">
        <v>8699</v>
      </c>
      <c r="D8594" s="19" t="s">
        <v>31</v>
      </c>
      <c r="E8594" s="21">
        <f t="shared" si="401"/>
        <v>323.69999999999999</v>
      </c>
      <c r="F8594" s="22">
        <v>0</v>
      </c>
      <c r="G8594" s="21">
        <f t="shared" si="402"/>
        <v>321.06</v>
      </c>
      <c r="H8594" s="22">
        <v>0</v>
      </c>
      <c r="I8594" s="23" t="str">
        <f t="shared" si="403"/>
        <v xml:space="preserve">COM VALOR</v>
      </c>
      <c r="J8594" s="19"/>
      <c r="L8594" s="21">
        <v>323.69999999999999</v>
      </c>
      <c r="M8594" s="22">
        <v>0.84999999999999998</v>
      </c>
      <c r="N8594" s="21">
        <v>321.06</v>
      </c>
      <c r="O8594" s="22">
        <v>0.84999999999999998</v>
      </c>
    </row>
    <row r="8595" ht="25.5">
      <c r="A8595" t="s">
        <v>8525</v>
      </c>
      <c r="B8595" s="19">
        <v>101799</v>
      </c>
      <c r="C8595" s="20" t="s">
        <v>8700</v>
      </c>
      <c r="D8595" s="19" t="s">
        <v>31</v>
      </c>
      <c r="E8595" s="21">
        <f t="shared" si="401"/>
        <v>777.48000000000002</v>
      </c>
      <c r="F8595" s="22">
        <v>0</v>
      </c>
      <c r="G8595" s="21">
        <f t="shared" si="402"/>
        <v>773.13999999999999</v>
      </c>
      <c r="H8595" s="22">
        <v>0</v>
      </c>
      <c r="I8595" s="23" t="str">
        <f t="shared" si="403"/>
        <v xml:space="preserve">COM VALOR</v>
      </c>
      <c r="J8595" s="19"/>
      <c r="L8595" s="21">
        <v>777.48000000000002</v>
      </c>
      <c r="M8595" s="22">
        <v>0.90000000000000002</v>
      </c>
      <c r="N8595" s="21">
        <v>773.13999999999999</v>
      </c>
      <c r="O8595" s="22">
        <v>0.90000000000000002</v>
      </c>
    </row>
    <row r="8596" ht="25.5">
      <c r="A8596" t="s">
        <v>8701</v>
      </c>
      <c r="B8596" s="19">
        <v>102487</v>
      </c>
      <c r="C8596" s="20" t="s">
        <v>8702</v>
      </c>
      <c r="D8596" s="19" t="s">
        <v>121</v>
      </c>
      <c r="E8596" s="21">
        <f t="shared" si="401"/>
        <v>593.75999999999999</v>
      </c>
      <c r="F8596" s="22">
        <v>0</v>
      </c>
      <c r="G8596" s="21">
        <f t="shared" si="402"/>
        <v>578.95000000000005</v>
      </c>
      <c r="H8596" s="22">
        <v>0</v>
      </c>
      <c r="I8596" s="23" t="str">
        <f t="shared" si="403"/>
        <v xml:space="preserve">COM VALOR</v>
      </c>
      <c r="J8596" s="19"/>
      <c r="L8596" s="21">
        <v>593.75999999999999</v>
      </c>
      <c r="M8596" s="22">
        <v>0</v>
      </c>
      <c r="N8596" s="21">
        <v>578.95000000000005</v>
      </c>
      <c r="O8596" s="22">
        <v>0</v>
      </c>
    </row>
    <row r="8597" ht="25.5">
      <c r="A8597" t="s">
        <v>8701</v>
      </c>
      <c r="B8597" s="19">
        <v>102486</v>
      </c>
      <c r="C8597" s="20" t="s">
        <v>8703</v>
      </c>
      <c r="D8597" s="19" t="s">
        <v>121</v>
      </c>
      <c r="E8597" s="21">
        <f t="shared" si="401"/>
        <v>636.98000000000002</v>
      </c>
      <c r="F8597" s="22">
        <v>0</v>
      </c>
      <c r="G8597" s="21">
        <f t="shared" si="402"/>
        <v>629.42999999999995</v>
      </c>
      <c r="H8597" s="22">
        <v>0</v>
      </c>
      <c r="I8597" s="23" t="str">
        <f t="shared" si="403"/>
        <v xml:space="preserve">COM VALOR</v>
      </c>
      <c r="J8597" s="19"/>
      <c r="L8597" s="21">
        <v>636.98000000000002</v>
      </c>
      <c r="M8597" s="22">
        <v>0</v>
      </c>
      <c r="N8597" s="21">
        <v>629.42999999999995</v>
      </c>
      <c r="O8597" s="22">
        <v>0</v>
      </c>
    </row>
    <row r="8598" ht="38.25">
      <c r="A8598" t="s">
        <v>8701</v>
      </c>
      <c r="B8598" s="19">
        <v>102474</v>
      </c>
      <c r="C8598" s="20" t="s">
        <v>8704</v>
      </c>
      <c r="D8598" s="19" t="s">
        <v>121</v>
      </c>
      <c r="E8598" s="21">
        <f t="shared" si="401"/>
        <v>584.14999999999998</v>
      </c>
      <c r="F8598" s="22">
        <v>0</v>
      </c>
      <c r="G8598" s="21">
        <f t="shared" si="402"/>
        <v>578.77999999999997</v>
      </c>
      <c r="H8598" s="22">
        <v>0</v>
      </c>
      <c r="I8598" s="23" t="str">
        <f t="shared" si="403"/>
        <v xml:space="preserve">COM VALOR</v>
      </c>
      <c r="J8598" s="19"/>
      <c r="L8598" s="21">
        <v>584.14999999999998</v>
      </c>
      <c r="M8598" s="22">
        <v>0</v>
      </c>
      <c r="N8598" s="21">
        <v>578.77999999999997</v>
      </c>
      <c r="O8598" s="22">
        <v>0</v>
      </c>
    </row>
    <row r="8599" ht="38.25">
      <c r="A8599" t="s">
        <v>8701</v>
      </c>
      <c r="B8599" s="19">
        <v>102480</v>
      </c>
      <c r="C8599" s="20" t="s">
        <v>8705</v>
      </c>
      <c r="D8599" s="19" t="s">
        <v>121</v>
      </c>
      <c r="E8599" s="21">
        <f t="shared" si="401"/>
        <v>576.84000000000003</v>
      </c>
      <c r="F8599" s="22">
        <v>0</v>
      </c>
      <c r="G8599" s="21">
        <f t="shared" si="402"/>
        <v>572.14999999999998</v>
      </c>
      <c r="H8599" s="22">
        <v>0</v>
      </c>
      <c r="I8599" s="23" t="str">
        <f t="shared" si="403"/>
        <v xml:space="preserve">COM VALOR</v>
      </c>
      <c r="J8599" s="19"/>
      <c r="L8599" s="21">
        <v>576.84000000000003</v>
      </c>
      <c r="M8599" s="22">
        <v>0</v>
      </c>
      <c r="N8599" s="21">
        <v>572.14999999999998</v>
      </c>
      <c r="O8599" s="22">
        <v>0</v>
      </c>
    </row>
    <row r="8600" ht="25.5">
      <c r="A8600" t="s">
        <v>8701</v>
      </c>
      <c r="B8600" s="19">
        <v>94975</v>
      </c>
      <c r="C8600" s="20" t="s">
        <v>8706</v>
      </c>
      <c r="D8600" s="19" t="s">
        <v>121</v>
      </c>
      <c r="E8600" s="21">
        <f t="shared" si="401"/>
        <v>493.30000000000001</v>
      </c>
      <c r="F8600" s="22">
        <v>0</v>
      </c>
      <c r="G8600" s="21">
        <f t="shared" si="402"/>
        <v>485.79000000000002</v>
      </c>
      <c r="H8600" s="22">
        <v>0</v>
      </c>
      <c r="I8600" s="23" t="str">
        <f t="shared" si="403"/>
        <v xml:space="preserve">COM VALOR</v>
      </c>
      <c r="J8600" s="19"/>
      <c r="L8600" s="21">
        <v>493.30000000000001</v>
      </c>
      <c r="M8600" s="22">
        <v>0</v>
      </c>
      <c r="N8600" s="21">
        <v>485.79000000000002</v>
      </c>
      <c r="O8600" s="22">
        <v>0</v>
      </c>
    </row>
    <row r="8601" ht="38.25">
      <c r="A8601" t="s">
        <v>8701</v>
      </c>
      <c r="B8601" s="19">
        <v>94963</v>
      </c>
      <c r="C8601" s="20" t="s">
        <v>8707</v>
      </c>
      <c r="D8601" s="19" t="s">
        <v>121</v>
      </c>
      <c r="E8601" s="21">
        <f t="shared" si="401"/>
        <v>441.43000000000001</v>
      </c>
      <c r="F8601" s="22">
        <v>0</v>
      </c>
      <c r="G8601" s="21">
        <f t="shared" si="402"/>
        <v>436.14999999999998</v>
      </c>
      <c r="H8601" s="22">
        <v>0</v>
      </c>
      <c r="I8601" s="23" t="str">
        <f t="shared" si="403"/>
        <v xml:space="preserve">COM VALOR</v>
      </c>
      <c r="J8601" s="19"/>
      <c r="L8601" s="21">
        <v>441.43000000000001</v>
      </c>
      <c r="M8601" s="22">
        <v>0</v>
      </c>
      <c r="N8601" s="21">
        <v>436.14999999999998</v>
      </c>
      <c r="O8601" s="22">
        <v>0</v>
      </c>
    </row>
    <row r="8602" ht="38.25">
      <c r="A8602" t="s">
        <v>8701</v>
      </c>
      <c r="B8602" s="19">
        <v>94969</v>
      </c>
      <c r="C8602" s="20" t="s">
        <v>8708</v>
      </c>
      <c r="D8602" s="19" t="s">
        <v>121</v>
      </c>
      <c r="E8602" s="21">
        <f t="shared" si="401"/>
        <v>433.61000000000001</v>
      </c>
      <c r="F8602" s="22">
        <v>0</v>
      </c>
      <c r="G8602" s="21">
        <f t="shared" si="402"/>
        <v>429.01999999999998</v>
      </c>
      <c r="H8602" s="22">
        <v>0</v>
      </c>
      <c r="I8602" s="23" t="str">
        <f t="shared" si="403"/>
        <v xml:space="preserve">COM VALOR</v>
      </c>
      <c r="J8602" s="19"/>
      <c r="L8602" s="21">
        <v>433.61000000000001</v>
      </c>
      <c r="M8602" s="22">
        <v>0</v>
      </c>
      <c r="N8602" s="21">
        <v>429.01999999999998</v>
      </c>
      <c r="O8602" s="22">
        <v>0</v>
      </c>
    </row>
    <row r="8603" ht="38.25">
      <c r="A8603" t="s">
        <v>8701</v>
      </c>
      <c r="B8603" s="19">
        <v>102475</v>
      </c>
      <c r="C8603" s="20" t="s">
        <v>8709</v>
      </c>
      <c r="D8603" s="19" t="s">
        <v>121</v>
      </c>
      <c r="E8603" s="21">
        <f t="shared" si="401"/>
        <v>637.52999999999997</v>
      </c>
      <c r="F8603" s="22">
        <v>0</v>
      </c>
      <c r="G8603" s="21">
        <f t="shared" si="402"/>
        <v>631.60000000000002</v>
      </c>
      <c r="H8603" s="22">
        <v>0</v>
      </c>
      <c r="I8603" s="23" t="str">
        <f t="shared" si="403"/>
        <v xml:space="preserve">COM VALOR</v>
      </c>
      <c r="J8603" s="19"/>
      <c r="L8603" s="21">
        <v>637.52999999999997</v>
      </c>
      <c r="M8603" s="22">
        <v>0</v>
      </c>
      <c r="N8603" s="21">
        <v>631.60000000000002</v>
      </c>
      <c r="O8603" s="22">
        <v>0</v>
      </c>
    </row>
    <row r="8604" ht="38.25">
      <c r="A8604" t="s">
        <v>8701</v>
      </c>
      <c r="B8604" s="19">
        <v>102481</v>
      </c>
      <c r="C8604" s="20" t="s">
        <v>8710</v>
      </c>
      <c r="D8604" s="19" t="s">
        <v>121</v>
      </c>
      <c r="E8604" s="21">
        <f t="shared" si="401"/>
        <v>622.72000000000003</v>
      </c>
      <c r="F8604" s="22">
        <v>0</v>
      </c>
      <c r="G8604" s="21">
        <f t="shared" si="402"/>
        <v>618</v>
      </c>
      <c r="H8604" s="22">
        <v>0</v>
      </c>
      <c r="I8604" s="23" t="str">
        <f t="shared" si="403"/>
        <v xml:space="preserve">COM VALOR</v>
      </c>
      <c r="J8604" s="19"/>
      <c r="L8604" s="21">
        <v>622.72000000000003</v>
      </c>
      <c r="M8604" s="22">
        <v>0</v>
      </c>
      <c r="N8604" s="21">
        <v>618</v>
      </c>
      <c r="O8604" s="22">
        <v>0</v>
      </c>
    </row>
    <row r="8605" ht="38.25">
      <c r="A8605" t="s">
        <v>8701</v>
      </c>
      <c r="B8605" s="19">
        <v>94964</v>
      </c>
      <c r="C8605" s="20" t="s">
        <v>8711</v>
      </c>
      <c r="D8605" s="19" t="s">
        <v>121</v>
      </c>
      <c r="E8605" s="21">
        <f t="shared" si="401"/>
        <v>488.52999999999997</v>
      </c>
      <c r="F8605" s="22">
        <v>0</v>
      </c>
      <c r="G8605" s="21">
        <f t="shared" si="402"/>
        <v>482.79000000000002</v>
      </c>
      <c r="H8605" s="22">
        <v>0</v>
      </c>
      <c r="I8605" s="23" t="str">
        <f t="shared" si="403"/>
        <v xml:space="preserve">COM VALOR</v>
      </c>
      <c r="J8605" s="19"/>
      <c r="L8605" s="21">
        <v>488.52999999999997</v>
      </c>
      <c r="M8605" s="22">
        <v>0</v>
      </c>
      <c r="N8605" s="21">
        <v>482.79000000000002</v>
      </c>
      <c r="O8605" s="22">
        <v>0</v>
      </c>
    </row>
    <row r="8606" ht="38.25">
      <c r="A8606" t="s">
        <v>8701</v>
      </c>
      <c r="B8606" s="19">
        <v>94970</v>
      </c>
      <c r="C8606" s="20" t="s">
        <v>8712</v>
      </c>
      <c r="D8606" s="19" t="s">
        <v>121</v>
      </c>
      <c r="E8606" s="21">
        <f t="shared" si="401"/>
        <v>473.30000000000001</v>
      </c>
      <c r="F8606" s="22">
        <v>0</v>
      </c>
      <c r="G8606" s="21">
        <f t="shared" si="402"/>
        <v>468.72000000000003</v>
      </c>
      <c r="H8606" s="22">
        <v>0</v>
      </c>
      <c r="I8606" s="23" t="str">
        <f t="shared" si="403"/>
        <v xml:space="preserve">COM VALOR</v>
      </c>
      <c r="J8606" s="19"/>
      <c r="L8606" s="21">
        <v>473.30000000000001</v>
      </c>
      <c r="M8606" s="22">
        <v>0</v>
      </c>
      <c r="N8606" s="21">
        <v>468.72000000000003</v>
      </c>
      <c r="O8606" s="22">
        <v>0</v>
      </c>
    </row>
    <row r="8607" ht="38.25">
      <c r="A8607" t="s">
        <v>8701</v>
      </c>
      <c r="B8607" s="19">
        <v>102476</v>
      </c>
      <c r="C8607" s="20" t="s">
        <v>8713</v>
      </c>
      <c r="D8607" s="19" t="s">
        <v>121</v>
      </c>
      <c r="E8607" s="21">
        <f t="shared" si="401"/>
        <v>658.92999999999995</v>
      </c>
      <c r="F8607" s="22">
        <v>0</v>
      </c>
      <c r="G8607" s="21">
        <f t="shared" si="402"/>
        <v>653.84000000000003</v>
      </c>
      <c r="H8607" s="22">
        <v>0</v>
      </c>
      <c r="I8607" s="23" t="str">
        <f t="shared" si="403"/>
        <v xml:space="preserve">COM VALOR</v>
      </c>
      <c r="J8607" s="19"/>
      <c r="L8607" s="21">
        <v>658.92999999999995</v>
      </c>
      <c r="M8607" s="22">
        <v>0</v>
      </c>
      <c r="N8607" s="21">
        <v>653.84000000000003</v>
      </c>
      <c r="O8607" s="22">
        <v>0</v>
      </c>
    </row>
    <row r="8608" ht="38.25">
      <c r="A8608" t="s">
        <v>8701</v>
      </c>
      <c r="B8608" s="19">
        <v>102482</v>
      </c>
      <c r="C8608" s="20" t="s">
        <v>8714</v>
      </c>
      <c r="D8608" s="19" t="s">
        <v>121</v>
      </c>
      <c r="E8608" s="21">
        <f t="shared" si="401"/>
        <v>655.38</v>
      </c>
      <c r="F8608" s="22">
        <v>0</v>
      </c>
      <c r="G8608" s="21">
        <f t="shared" si="402"/>
        <v>650.87</v>
      </c>
      <c r="H8608" s="22">
        <v>0</v>
      </c>
      <c r="I8608" s="23" t="str">
        <f t="shared" si="403"/>
        <v xml:space="preserve">COM VALOR</v>
      </c>
      <c r="J8608" s="19"/>
      <c r="L8608" s="21">
        <v>655.38</v>
      </c>
      <c r="M8608" s="22">
        <v>0</v>
      </c>
      <c r="N8608" s="21">
        <v>650.87</v>
      </c>
      <c r="O8608" s="22">
        <v>0</v>
      </c>
    </row>
    <row r="8609" ht="38.25">
      <c r="A8609" t="s">
        <v>8701</v>
      </c>
      <c r="B8609" s="19">
        <v>94965</v>
      </c>
      <c r="C8609" s="20" t="s">
        <v>8715</v>
      </c>
      <c r="D8609" s="19" t="s">
        <v>121</v>
      </c>
      <c r="E8609" s="21">
        <f t="shared" si="401"/>
        <v>510.48000000000002</v>
      </c>
      <c r="F8609" s="22">
        <v>0</v>
      </c>
      <c r="G8609" s="21">
        <f t="shared" si="402"/>
        <v>505.23000000000002</v>
      </c>
      <c r="H8609" s="22">
        <v>0</v>
      </c>
      <c r="I8609" s="23" t="str">
        <f t="shared" si="403"/>
        <v xml:space="preserve">COM VALOR</v>
      </c>
      <c r="J8609" s="19"/>
      <c r="L8609" s="21">
        <v>510.48000000000002</v>
      </c>
      <c r="M8609" s="22">
        <v>0</v>
      </c>
      <c r="N8609" s="21">
        <v>505.23000000000002</v>
      </c>
      <c r="O8609" s="22">
        <v>0</v>
      </c>
    </row>
    <row r="8610" ht="38.25">
      <c r="A8610" t="s">
        <v>8701</v>
      </c>
      <c r="B8610" s="19">
        <v>94971</v>
      </c>
      <c r="C8610" s="20" t="s">
        <v>8716</v>
      </c>
      <c r="D8610" s="19" t="s">
        <v>121</v>
      </c>
      <c r="E8610" s="21">
        <f t="shared" si="401"/>
        <v>502.49000000000001</v>
      </c>
      <c r="F8610" s="22">
        <v>0</v>
      </c>
      <c r="G8610" s="21">
        <f t="shared" si="402"/>
        <v>498.00999999999999</v>
      </c>
      <c r="H8610" s="22">
        <v>0</v>
      </c>
      <c r="I8610" s="23" t="str">
        <f t="shared" si="403"/>
        <v xml:space="preserve">COM VALOR</v>
      </c>
      <c r="J8610" s="19"/>
      <c r="L8610" s="21">
        <v>502.49000000000001</v>
      </c>
      <c r="M8610" s="22">
        <v>0</v>
      </c>
      <c r="N8610" s="21">
        <v>498.00999999999999</v>
      </c>
      <c r="O8610" s="22">
        <v>0</v>
      </c>
    </row>
    <row r="8611" ht="38.25">
      <c r="A8611" t="s">
        <v>8701</v>
      </c>
      <c r="B8611" s="19">
        <v>102477</v>
      </c>
      <c r="C8611" s="20" t="s">
        <v>8717</v>
      </c>
      <c r="D8611" s="19" t="s">
        <v>121</v>
      </c>
      <c r="E8611" s="21">
        <f t="shared" si="401"/>
        <v>700.01999999999998</v>
      </c>
      <c r="F8611" s="22">
        <v>0</v>
      </c>
      <c r="G8611" s="21">
        <f t="shared" si="402"/>
        <v>694.39999999999998</v>
      </c>
      <c r="H8611" s="22">
        <v>0</v>
      </c>
      <c r="I8611" s="23" t="str">
        <f t="shared" si="403"/>
        <v xml:space="preserve">COM VALOR</v>
      </c>
      <c r="J8611" s="19"/>
      <c r="L8611" s="21">
        <v>700.01999999999998</v>
      </c>
      <c r="M8611" s="22">
        <v>0</v>
      </c>
      <c r="N8611" s="21">
        <v>694.39999999999998</v>
      </c>
      <c r="O8611" s="22">
        <v>0</v>
      </c>
    </row>
    <row r="8612" ht="38.25">
      <c r="A8612" t="s">
        <v>8701</v>
      </c>
      <c r="B8612" s="19">
        <v>102483</v>
      </c>
      <c r="C8612" s="20" t="s">
        <v>8718</v>
      </c>
      <c r="D8612" s="19" t="s">
        <v>121</v>
      </c>
      <c r="E8612" s="21">
        <f t="shared" si="401"/>
        <v>691.50999999999999</v>
      </c>
      <c r="F8612" s="22">
        <v>0</v>
      </c>
      <c r="G8612" s="21">
        <f t="shared" si="402"/>
        <v>686.84000000000003</v>
      </c>
      <c r="H8612" s="22">
        <v>0</v>
      </c>
      <c r="I8612" s="23" t="str">
        <f t="shared" si="403"/>
        <v xml:space="preserve">COM VALOR</v>
      </c>
      <c r="J8612" s="19"/>
      <c r="L8612" s="21">
        <v>691.50999999999999</v>
      </c>
      <c r="M8612" s="22">
        <v>0</v>
      </c>
      <c r="N8612" s="21">
        <v>686.84000000000003</v>
      </c>
      <c r="O8612" s="22">
        <v>0</v>
      </c>
    </row>
    <row r="8613" ht="38.25">
      <c r="A8613" t="s">
        <v>8701</v>
      </c>
      <c r="B8613" s="19">
        <v>94966</v>
      </c>
      <c r="C8613" s="20" t="s">
        <v>8719</v>
      </c>
      <c r="D8613" s="19" t="s">
        <v>121</v>
      </c>
      <c r="E8613" s="21">
        <f t="shared" si="401"/>
        <v>529.88</v>
      </c>
      <c r="F8613" s="22">
        <v>0</v>
      </c>
      <c r="G8613" s="21">
        <f t="shared" si="402"/>
        <v>524.67999999999995</v>
      </c>
      <c r="H8613" s="22">
        <v>0</v>
      </c>
      <c r="I8613" s="23" t="str">
        <f t="shared" si="403"/>
        <v xml:space="preserve">COM VALOR</v>
      </c>
      <c r="J8613" s="19"/>
      <c r="L8613" s="21">
        <v>529.88</v>
      </c>
      <c r="M8613" s="22">
        <v>0</v>
      </c>
      <c r="N8613" s="21">
        <v>524.67999999999995</v>
      </c>
      <c r="O8613" s="22">
        <v>0</v>
      </c>
    </row>
    <row r="8614" ht="38.25">
      <c r="A8614" t="s">
        <v>8701</v>
      </c>
      <c r="B8614" s="19">
        <v>94972</v>
      </c>
      <c r="C8614" s="20" t="s">
        <v>8720</v>
      </c>
      <c r="D8614" s="19" t="s">
        <v>121</v>
      </c>
      <c r="E8614" s="21">
        <f t="shared" si="401"/>
        <v>521.92999999999995</v>
      </c>
      <c r="F8614" s="22">
        <v>0</v>
      </c>
      <c r="G8614" s="21">
        <f t="shared" si="402"/>
        <v>517.48000000000002</v>
      </c>
      <c r="H8614" s="22">
        <v>0</v>
      </c>
      <c r="I8614" s="23" t="str">
        <f t="shared" si="403"/>
        <v xml:space="preserve">COM VALOR</v>
      </c>
      <c r="J8614" s="19"/>
      <c r="L8614" s="21">
        <v>521.92999999999995</v>
      </c>
      <c r="M8614" s="22">
        <v>0</v>
      </c>
      <c r="N8614" s="21">
        <v>517.48000000000002</v>
      </c>
      <c r="O8614" s="22">
        <v>0</v>
      </c>
    </row>
    <row r="8615" ht="38.25">
      <c r="A8615" t="s">
        <v>8701</v>
      </c>
      <c r="B8615" s="19">
        <v>102478</v>
      </c>
      <c r="C8615" s="20" t="s">
        <v>8721</v>
      </c>
      <c r="D8615" s="19" t="s">
        <v>121</v>
      </c>
      <c r="E8615" s="21">
        <f t="shared" si="401"/>
        <v>761.28999999999996</v>
      </c>
      <c r="F8615" s="22">
        <v>0</v>
      </c>
      <c r="G8615" s="21">
        <f t="shared" si="402"/>
        <v>756.20000000000005</v>
      </c>
      <c r="H8615" s="22">
        <v>0</v>
      </c>
      <c r="I8615" s="23" t="str">
        <f t="shared" si="403"/>
        <v xml:space="preserve">COM VALOR</v>
      </c>
      <c r="J8615" s="19"/>
      <c r="L8615" s="21">
        <v>761.28999999999996</v>
      </c>
      <c r="M8615" s="22">
        <v>0</v>
      </c>
      <c r="N8615" s="21">
        <v>756.20000000000005</v>
      </c>
      <c r="O8615" s="22">
        <v>0</v>
      </c>
    </row>
    <row r="8616" ht="38.25">
      <c r="A8616" t="s">
        <v>8701</v>
      </c>
      <c r="B8616" s="19">
        <v>102484</v>
      </c>
      <c r="C8616" s="20" t="s">
        <v>8722</v>
      </c>
      <c r="D8616" s="19" t="s">
        <v>121</v>
      </c>
      <c r="E8616" s="21">
        <f t="shared" si="401"/>
        <v>759.95000000000005</v>
      </c>
      <c r="F8616" s="22">
        <v>0</v>
      </c>
      <c r="G8616" s="21">
        <f t="shared" si="402"/>
        <v>755.28999999999996</v>
      </c>
      <c r="H8616" s="22">
        <v>0</v>
      </c>
      <c r="I8616" s="23" t="str">
        <f t="shared" si="403"/>
        <v xml:space="preserve">COM VALOR</v>
      </c>
      <c r="J8616" s="19"/>
      <c r="L8616" s="21">
        <v>759.95000000000005</v>
      </c>
      <c r="M8616" s="22">
        <v>0</v>
      </c>
      <c r="N8616" s="21">
        <v>755.28999999999996</v>
      </c>
      <c r="O8616" s="22">
        <v>0</v>
      </c>
    </row>
    <row r="8617" ht="38.25">
      <c r="A8617" t="s">
        <v>8701</v>
      </c>
      <c r="B8617" s="19">
        <v>94967</v>
      </c>
      <c r="C8617" s="20" t="s">
        <v>8723</v>
      </c>
      <c r="D8617" s="19" t="s">
        <v>121</v>
      </c>
      <c r="E8617" s="21">
        <f t="shared" si="401"/>
        <v>611.75999999999999</v>
      </c>
      <c r="F8617" s="22">
        <v>0</v>
      </c>
      <c r="G8617" s="21">
        <f t="shared" si="402"/>
        <v>606.24000000000001</v>
      </c>
      <c r="H8617" s="22">
        <v>0</v>
      </c>
      <c r="I8617" s="23" t="str">
        <f t="shared" si="403"/>
        <v xml:space="preserve">COM VALOR</v>
      </c>
      <c r="J8617" s="19"/>
      <c r="L8617" s="21">
        <v>611.75999999999999</v>
      </c>
      <c r="M8617" s="22">
        <v>0</v>
      </c>
      <c r="N8617" s="21">
        <v>606.24000000000001</v>
      </c>
      <c r="O8617" s="22">
        <v>0</v>
      </c>
    </row>
    <row r="8618" ht="38.25">
      <c r="A8618" t="s">
        <v>8701</v>
      </c>
      <c r="B8618" s="19">
        <v>94973</v>
      </c>
      <c r="C8618" s="20" t="s">
        <v>8724</v>
      </c>
      <c r="D8618" s="19" t="s">
        <v>121</v>
      </c>
      <c r="E8618" s="21">
        <f t="shared" si="401"/>
        <v>601.63</v>
      </c>
      <c r="F8618" s="22">
        <v>0</v>
      </c>
      <c r="G8618" s="21">
        <f t="shared" si="402"/>
        <v>597.03999999999996</v>
      </c>
      <c r="H8618" s="22">
        <v>0</v>
      </c>
      <c r="I8618" s="23" t="str">
        <f t="shared" si="403"/>
        <v xml:space="preserve">COM VALOR</v>
      </c>
      <c r="J8618" s="19"/>
      <c r="L8618" s="21">
        <v>601.63</v>
      </c>
      <c r="M8618" s="22">
        <v>0</v>
      </c>
      <c r="N8618" s="21">
        <v>597.03999999999996</v>
      </c>
      <c r="O8618" s="22">
        <v>0</v>
      </c>
    </row>
    <row r="8619" ht="25.5">
      <c r="A8619" t="s">
        <v>8701</v>
      </c>
      <c r="B8619" s="19">
        <v>94974</v>
      </c>
      <c r="C8619" s="20" t="s">
        <v>8725</v>
      </c>
      <c r="D8619" s="19" t="s">
        <v>121</v>
      </c>
      <c r="E8619" s="21">
        <f t="shared" si="401"/>
        <v>449.64999999999998</v>
      </c>
      <c r="F8619" s="22">
        <v>0</v>
      </c>
      <c r="G8619" s="21">
        <f t="shared" si="402"/>
        <v>442.04000000000002</v>
      </c>
      <c r="H8619" s="22">
        <v>0</v>
      </c>
      <c r="I8619" s="23" t="str">
        <f t="shared" si="403"/>
        <v xml:space="preserve">COM VALOR</v>
      </c>
      <c r="J8619" s="19"/>
      <c r="L8619" s="21">
        <v>449.64999999999998</v>
      </c>
      <c r="M8619" s="22">
        <v>0</v>
      </c>
      <c r="N8619" s="21">
        <v>442.04000000000002</v>
      </c>
      <c r="O8619" s="22">
        <v>0</v>
      </c>
    </row>
    <row r="8620" ht="38.25">
      <c r="A8620" t="s">
        <v>8701</v>
      </c>
      <c r="B8620" s="19">
        <v>94962</v>
      </c>
      <c r="C8620" s="20" t="s">
        <v>8726</v>
      </c>
      <c r="D8620" s="19" t="s">
        <v>121</v>
      </c>
      <c r="E8620" s="21">
        <f t="shared" si="401"/>
        <v>393.05000000000001</v>
      </c>
      <c r="F8620" s="22">
        <v>0</v>
      </c>
      <c r="G8620" s="21">
        <f t="shared" si="402"/>
        <v>387.73000000000002</v>
      </c>
      <c r="H8620" s="22">
        <v>0</v>
      </c>
      <c r="I8620" s="23" t="str">
        <f t="shared" si="403"/>
        <v xml:space="preserve">COM VALOR</v>
      </c>
      <c r="J8620" s="19"/>
      <c r="L8620" s="21">
        <v>393.05000000000001</v>
      </c>
      <c r="M8620" s="22">
        <v>0</v>
      </c>
      <c r="N8620" s="21">
        <v>387.73000000000002</v>
      </c>
      <c r="O8620" s="22">
        <v>0</v>
      </c>
    </row>
    <row r="8621" ht="38.25">
      <c r="A8621" t="s">
        <v>8701</v>
      </c>
      <c r="B8621" s="19">
        <v>94968</v>
      </c>
      <c r="C8621" s="20" t="s">
        <v>8727</v>
      </c>
      <c r="D8621" s="19" t="s">
        <v>121</v>
      </c>
      <c r="E8621" s="21">
        <f t="shared" si="401"/>
        <v>388.63</v>
      </c>
      <c r="F8621" s="22">
        <v>0</v>
      </c>
      <c r="G8621" s="21">
        <f t="shared" si="402"/>
        <v>383.86000000000001</v>
      </c>
      <c r="H8621" s="22">
        <v>0</v>
      </c>
      <c r="I8621" s="23" t="str">
        <f t="shared" si="403"/>
        <v xml:space="preserve">COM VALOR</v>
      </c>
      <c r="J8621" s="19"/>
      <c r="L8621" s="21">
        <v>388.63</v>
      </c>
      <c r="M8621" s="22">
        <v>0</v>
      </c>
      <c r="N8621" s="21">
        <v>383.86000000000001</v>
      </c>
      <c r="O8621" s="22">
        <v>0</v>
      </c>
    </row>
    <row r="8622" ht="25.5">
      <c r="A8622" t="s">
        <v>8701</v>
      </c>
      <c r="B8622" s="19">
        <v>102485</v>
      </c>
      <c r="C8622" s="20" t="s">
        <v>8728</v>
      </c>
      <c r="D8622" s="19" t="s">
        <v>121</v>
      </c>
      <c r="E8622" s="21">
        <f t="shared" si="401"/>
        <v>598.37</v>
      </c>
      <c r="F8622" s="22">
        <v>0</v>
      </c>
      <c r="G8622" s="21">
        <f t="shared" si="402"/>
        <v>590.75</v>
      </c>
      <c r="H8622" s="22">
        <v>0</v>
      </c>
      <c r="I8622" s="23" t="str">
        <f t="shared" si="403"/>
        <v xml:space="preserve">COM VALOR</v>
      </c>
      <c r="J8622" s="19"/>
      <c r="L8622" s="21">
        <v>598.37</v>
      </c>
      <c r="M8622" s="22">
        <v>0</v>
      </c>
      <c r="N8622" s="21">
        <v>590.75</v>
      </c>
      <c r="O8622" s="22">
        <v>0</v>
      </c>
    </row>
    <row r="8623" ht="38.25">
      <c r="A8623" t="s">
        <v>8701</v>
      </c>
      <c r="B8623" s="19">
        <v>102473</v>
      </c>
      <c r="C8623" s="20" t="s">
        <v>8729</v>
      </c>
      <c r="D8623" s="19" t="s">
        <v>121</v>
      </c>
      <c r="E8623" s="21">
        <f t="shared" si="401"/>
        <v>538.85000000000002</v>
      </c>
      <c r="F8623" s="22">
        <v>0</v>
      </c>
      <c r="G8623" s="21">
        <f t="shared" si="402"/>
        <v>533.44000000000005</v>
      </c>
      <c r="H8623" s="22">
        <v>0</v>
      </c>
      <c r="I8623" s="23" t="str">
        <f t="shared" si="403"/>
        <v xml:space="preserve">COM VALOR</v>
      </c>
      <c r="J8623" s="19"/>
      <c r="L8623" s="21">
        <v>538.85000000000002</v>
      </c>
      <c r="M8623" s="22">
        <v>0</v>
      </c>
      <c r="N8623" s="21">
        <v>533.44000000000005</v>
      </c>
      <c r="O8623" s="22">
        <v>0</v>
      </c>
    </row>
    <row r="8624" ht="38.25">
      <c r="A8624" t="s">
        <v>8701</v>
      </c>
      <c r="B8624" s="19">
        <v>102479</v>
      </c>
      <c r="C8624" s="20" t="s">
        <v>8730</v>
      </c>
      <c r="D8624" s="19" t="s">
        <v>121</v>
      </c>
      <c r="E8624" s="21">
        <f t="shared" si="401"/>
        <v>535.02999999999997</v>
      </c>
      <c r="F8624" s="22">
        <v>0</v>
      </c>
      <c r="G8624" s="21">
        <f t="shared" si="402"/>
        <v>530.17999999999995</v>
      </c>
      <c r="H8624" s="22">
        <v>0</v>
      </c>
      <c r="I8624" s="23" t="str">
        <f t="shared" si="403"/>
        <v xml:space="preserve">COM VALOR</v>
      </c>
      <c r="J8624" s="19"/>
      <c r="L8624" s="21">
        <v>535.02999999999997</v>
      </c>
      <c r="M8624" s="22">
        <v>0</v>
      </c>
      <c r="N8624" s="21">
        <v>530.17999999999995</v>
      </c>
      <c r="O8624" s="22">
        <v>0</v>
      </c>
    </row>
    <row r="8625" ht="51">
      <c r="A8625" t="s">
        <v>8731</v>
      </c>
      <c r="B8625" s="19">
        <v>104835</v>
      </c>
      <c r="C8625" s="20" t="s">
        <v>8732</v>
      </c>
      <c r="D8625" s="19" t="s">
        <v>121</v>
      </c>
      <c r="E8625" s="21" t="str">
        <f t="shared" si="401"/>
        <v>VERIFICAR</v>
      </c>
      <c r="F8625" s="22">
        <v>0</v>
      </c>
      <c r="G8625" s="21" t="str">
        <f t="shared" si="402"/>
        <v>VERIFICAR</v>
      </c>
      <c r="H8625" s="22">
        <v>0</v>
      </c>
      <c r="I8625" s="23" t="str">
        <f t="shared" si="403"/>
        <v xml:space="preserve">COM VALOR</v>
      </c>
      <c r="J8625" s="19"/>
      <c r="L8625" s="21">
        <v>0</v>
      </c>
      <c r="M8625" s="22"/>
      <c r="N8625" s="21">
        <v>0</v>
      </c>
      <c r="O8625" s="22"/>
    </row>
    <row r="8626" ht="63.75">
      <c r="A8626" t="s">
        <v>8731</v>
      </c>
      <c r="B8626" s="19">
        <v>104833</v>
      </c>
      <c r="C8626" s="20" t="s">
        <v>8733</v>
      </c>
      <c r="D8626" s="19" t="s">
        <v>121</v>
      </c>
      <c r="E8626" s="21" t="str">
        <f t="shared" si="401"/>
        <v>VERIFICAR</v>
      </c>
      <c r="F8626" s="22">
        <v>0</v>
      </c>
      <c r="G8626" s="21" t="str">
        <f t="shared" si="402"/>
        <v>VERIFICAR</v>
      </c>
      <c r="H8626" s="22">
        <v>0</v>
      </c>
      <c r="I8626" s="23" t="str">
        <f t="shared" si="403"/>
        <v xml:space="preserve">COM VALOR</v>
      </c>
      <c r="J8626" s="19"/>
      <c r="L8626" s="21">
        <v>0</v>
      </c>
      <c r="M8626" s="22"/>
      <c r="N8626" s="21">
        <v>0</v>
      </c>
      <c r="O8626" s="22"/>
    </row>
    <row r="8627" ht="63.75">
      <c r="A8627" t="s">
        <v>8731</v>
      </c>
      <c r="B8627" s="19">
        <v>104834</v>
      </c>
      <c r="C8627" s="20" t="s">
        <v>8734</v>
      </c>
      <c r="D8627" s="19" t="s">
        <v>121</v>
      </c>
      <c r="E8627" s="21" t="str">
        <f t="shared" si="401"/>
        <v>VERIFICAR</v>
      </c>
      <c r="F8627" s="22">
        <v>0</v>
      </c>
      <c r="G8627" s="21" t="str">
        <f t="shared" si="402"/>
        <v>VERIFICAR</v>
      </c>
      <c r="H8627" s="22">
        <v>0</v>
      </c>
      <c r="I8627" s="23" t="str">
        <f t="shared" si="403"/>
        <v xml:space="preserve">COM VALOR</v>
      </c>
      <c r="J8627" s="19"/>
      <c r="L8627" s="21">
        <v>0</v>
      </c>
      <c r="M8627" s="22"/>
      <c r="N8627" s="21">
        <v>0</v>
      </c>
      <c r="O8627" s="22"/>
    </row>
    <row r="8628" ht="51">
      <c r="A8628" t="s">
        <v>8731</v>
      </c>
      <c r="B8628" s="19">
        <v>104836</v>
      </c>
      <c r="C8628" s="20" t="s">
        <v>8735</v>
      </c>
      <c r="D8628" s="19" t="s">
        <v>121</v>
      </c>
      <c r="E8628" s="21" t="str">
        <f t="shared" si="401"/>
        <v>VERIFICAR</v>
      </c>
      <c r="F8628" s="22">
        <v>0</v>
      </c>
      <c r="G8628" s="21" t="str">
        <f t="shared" si="402"/>
        <v>VERIFICAR</v>
      </c>
      <c r="H8628" s="22">
        <v>0</v>
      </c>
      <c r="I8628" s="23" t="str">
        <f t="shared" si="403"/>
        <v xml:space="preserve">COM VALOR</v>
      </c>
      <c r="J8628" s="19"/>
      <c r="L8628" s="21">
        <v>0</v>
      </c>
      <c r="M8628" s="22"/>
      <c r="N8628" s="21">
        <v>0</v>
      </c>
      <c r="O8628" s="22"/>
    </row>
    <row r="8629" ht="51">
      <c r="A8629" t="s">
        <v>8731</v>
      </c>
      <c r="B8629" s="19">
        <v>104837</v>
      </c>
      <c r="C8629" s="20" t="s">
        <v>8736</v>
      </c>
      <c r="D8629" s="19" t="s">
        <v>121</v>
      </c>
      <c r="E8629" s="21" t="str">
        <f t="shared" si="401"/>
        <v>VERIFICAR</v>
      </c>
      <c r="F8629" s="22">
        <v>0</v>
      </c>
      <c r="G8629" s="21" t="str">
        <f t="shared" si="402"/>
        <v>VERIFICAR</v>
      </c>
      <c r="H8629" s="22">
        <v>0</v>
      </c>
      <c r="I8629" s="23" t="str">
        <f t="shared" si="403"/>
        <v xml:space="preserve">COM VALOR</v>
      </c>
      <c r="J8629" s="19"/>
      <c r="L8629" s="21">
        <v>0</v>
      </c>
      <c r="M8629" s="22"/>
      <c r="N8629" s="21">
        <v>0</v>
      </c>
      <c r="O8629" s="22"/>
    </row>
    <row r="8630" ht="63.75">
      <c r="A8630" t="s">
        <v>8731</v>
      </c>
      <c r="B8630" s="19">
        <v>104838</v>
      </c>
      <c r="C8630" s="20" t="s">
        <v>8737</v>
      </c>
      <c r="D8630" s="19" t="s">
        <v>121</v>
      </c>
      <c r="E8630" s="21" t="str">
        <f t="shared" si="401"/>
        <v>VERIFICAR</v>
      </c>
      <c r="F8630" s="22">
        <v>0</v>
      </c>
      <c r="G8630" s="21" t="str">
        <f t="shared" si="402"/>
        <v>VERIFICAR</v>
      </c>
      <c r="H8630" s="22">
        <v>0</v>
      </c>
      <c r="I8630" s="23" t="str">
        <f t="shared" si="403"/>
        <v xml:space="preserve">COM VALOR</v>
      </c>
      <c r="J8630" s="19"/>
      <c r="L8630" s="21">
        <v>0</v>
      </c>
      <c r="M8630" s="22"/>
      <c r="N8630" s="21">
        <v>0</v>
      </c>
      <c r="O8630" s="22"/>
    </row>
    <row r="8631" ht="38.25">
      <c r="A8631" t="s">
        <v>8731</v>
      </c>
      <c r="B8631" s="19">
        <v>104839</v>
      </c>
      <c r="C8631" s="20" t="s">
        <v>8738</v>
      </c>
      <c r="D8631" s="19" t="s">
        <v>121</v>
      </c>
      <c r="E8631" s="21" t="str">
        <f t="shared" si="401"/>
        <v>VERIFICAR</v>
      </c>
      <c r="F8631" s="22">
        <v>0</v>
      </c>
      <c r="G8631" s="21" t="str">
        <f t="shared" si="402"/>
        <v>VERIFICAR</v>
      </c>
      <c r="H8631" s="22">
        <v>0</v>
      </c>
      <c r="I8631" s="23" t="str">
        <f t="shared" si="403"/>
        <v xml:space="preserve">COM VALOR</v>
      </c>
      <c r="J8631" s="19"/>
      <c r="L8631" s="21">
        <v>0</v>
      </c>
      <c r="M8631" s="22"/>
      <c r="N8631" s="21">
        <v>0</v>
      </c>
      <c r="O8631" s="22"/>
    </row>
    <row r="8632" ht="51">
      <c r="A8632" t="s">
        <v>8731</v>
      </c>
      <c r="B8632" s="19">
        <v>104840</v>
      </c>
      <c r="C8632" s="20" t="s">
        <v>8739</v>
      </c>
      <c r="D8632" s="19" t="s">
        <v>121</v>
      </c>
      <c r="E8632" s="21" t="str">
        <f t="shared" si="401"/>
        <v>VERIFICAR</v>
      </c>
      <c r="F8632" s="22">
        <v>0</v>
      </c>
      <c r="G8632" s="21" t="str">
        <f t="shared" si="402"/>
        <v>VERIFICAR</v>
      </c>
      <c r="H8632" s="22">
        <v>0</v>
      </c>
      <c r="I8632" s="23" t="str">
        <f t="shared" si="403"/>
        <v xml:space="preserve">COM VALOR</v>
      </c>
      <c r="J8632" s="19"/>
      <c r="L8632" s="21">
        <v>0</v>
      </c>
      <c r="M8632" s="22"/>
      <c r="N8632" s="21">
        <v>0</v>
      </c>
      <c r="O8632" s="22"/>
    </row>
    <row r="8633" ht="51">
      <c r="A8633" t="s">
        <v>8731</v>
      </c>
      <c r="B8633" s="19">
        <v>104830</v>
      </c>
      <c r="C8633" s="20" t="s">
        <v>8740</v>
      </c>
      <c r="D8633" s="19" t="s">
        <v>121</v>
      </c>
      <c r="E8633" s="21" t="str">
        <f t="shared" si="401"/>
        <v>VERIFICAR</v>
      </c>
      <c r="F8633" s="22">
        <v>0</v>
      </c>
      <c r="G8633" s="21" t="str">
        <f t="shared" si="402"/>
        <v>VERIFICAR</v>
      </c>
      <c r="H8633" s="22">
        <v>0</v>
      </c>
      <c r="I8633" s="23" t="str">
        <f t="shared" si="403"/>
        <v xml:space="preserve">COM VALOR</v>
      </c>
      <c r="J8633" s="19"/>
      <c r="L8633" s="21">
        <v>0</v>
      </c>
      <c r="M8633" s="22"/>
      <c r="N8633" s="21">
        <v>0</v>
      </c>
      <c r="O8633" s="22"/>
    </row>
    <row r="8634" ht="51">
      <c r="A8634" t="s">
        <v>8731</v>
      </c>
      <c r="B8634" s="19">
        <v>104829</v>
      </c>
      <c r="C8634" s="20" t="s">
        <v>8741</v>
      </c>
      <c r="D8634" s="19" t="s">
        <v>121</v>
      </c>
      <c r="E8634" s="21" t="str">
        <f t="shared" si="401"/>
        <v>VERIFICAR</v>
      </c>
      <c r="F8634" s="22">
        <v>0</v>
      </c>
      <c r="G8634" s="21" t="str">
        <f t="shared" si="402"/>
        <v>VERIFICAR</v>
      </c>
      <c r="H8634" s="22">
        <v>0</v>
      </c>
      <c r="I8634" s="23" t="str">
        <f t="shared" si="403"/>
        <v xml:space="preserve">COM VALOR</v>
      </c>
      <c r="J8634" s="19"/>
      <c r="L8634" s="21">
        <v>0</v>
      </c>
      <c r="M8634" s="22"/>
      <c r="N8634" s="21">
        <v>0</v>
      </c>
      <c r="O8634" s="22"/>
    </row>
    <row r="8635" ht="38.25">
      <c r="A8635" t="s">
        <v>8731</v>
      </c>
      <c r="B8635" s="19">
        <v>104832</v>
      </c>
      <c r="C8635" s="20" t="s">
        <v>8742</v>
      </c>
      <c r="D8635" s="19" t="s">
        <v>121</v>
      </c>
      <c r="E8635" s="21" t="str">
        <f t="shared" si="401"/>
        <v>VERIFICAR</v>
      </c>
      <c r="F8635" s="22">
        <v>0</v>
      </c>
      <c r="G8635" s="21" t="str">
        <f t="shared" si="402"/>
        <v>VERIFICAR</v>
      </c>
      <c r="H8635" s="22">
        <v>0</v>
      </c>
      <c r="I8635" s="23" t="str">
        <f t="shared" si="403"/>
        <v xml:space="preserve">COM VALOR</v>
      </c>
      <c r="J8635" s="19"/>
      <c r="L8635" s="21">
        <v>0</v>
      </c>
      <c r="M8635" s="22"/>
      <c r="N8635" s="21">
        <v>0</v>
      </c>
      <c r="O8635" s="22"/>
    </row>
    <row r="8636" ht="51">
      <c r="A8636" t="s">
        <v>8731</v>
      </c>
      <c r="B8636" s="19">
        <v>104831</v>
      </c>
      <c r="C8636" s="20" t="s">
        <v>8743</v>
      </c>
      <c r="D8636" s="19" t="s">
        <v>121</v>
      </c>
      <c r="E8636" s="21" t="str">
        <f t="shared" si="401"/>
        <v>VERIFICAR</v>
      </c>
      <c r="F8636" s="22">
        <v>0</v>
      </c>
      <c r="G8636" s="21" t="str">
        <f t="shared" si="402"/>
        <v>VERIFICAR</v>
      </c>
      <c r="H8636" s="22">
        <v>0</v>
      </c>
      <c r="I8636" s="23" t="str">
        <f t="shared" si="403"/>
        <v xml:space="preserve">COM VALOR</v>
      </c>
      <c r="J8636" s="19"/>
      <c r="L8636" s="21">
        <v>0</v>
      </c>
      <c r="M8636" s="22"/>
      <c r="N8636" s="21">
        <v>0</v>
      </c>
      <c r="O8636" s="22"/>
    </row>
    <row r="8637" ht="25.5">
      <c r="A8637" t="s">
        <v>8744</v>
      </c>
      <c r="B8637" s="19">
        <v>103773</v>
      </c>
      <c r="C8637" s="20" t="s">
        <v>8745</v>
      </c>
      <c r="D8637" s="19" t="s">
        <v>31</v>
      </c>
      <c r="E8637" s="21" t="str">
        <f t="shared" si="401"/>
        <v>VERIFICAR</v>
      </c>
      <c r="F8637" s="22">
        <v>0.53000000000000003</v>
      </c>
      <c r="G8637" s="21" t="str">
        <f t="shared" si="402"/>
        <v>VERIFICAR</v>
      </c>
      <c r="H8637" s="22">
        <v>0.55000000000000004</v>
      </c>
      <c r="I8637" s="23" t="str">
        <f t="shared" si="403"/>
        <v xml:space="preserve">COM VALOR</v>
      </c>
      <c r="J8637" s="19"/>
      <c r="L8637" s="21">
        <v>0</v>
      </c>
      <c r="M8637" s="22"/>
      <c r="N8637" s="21">
        <v>0</v>
      </c>
      <c r="O8637" s="22"/>
    </row>
    <row r="8638" ht="25.5">
      <c r="A8638" t="s">
        <v>8744</v>
      </c>
      <c r="B8638" s="19">
        <v>103772</v>
      </c>
      <c r="C8638" s="20" t="s">
        <v>8746</v>
      </c>
      <c r="D8638" s="19" t="s">
        <v>31</v>
      </c>
      <c r="E8638" s="21" t="str">
        <f t="shared" si="401"/>
        <v>VERIFICAR</v>
      </c>
      <c r="F8638" s="22">
        <v>0.88</v>
      </c>
      <c r="G8638" s="21" t="str">
        <f t="shared" si="402"/>
        <v>VERIFICAR</v>
      </c>
      <c r="H8638" s="22">
        <v>0.88</v>
      </c>
      <c r="I8638" s="23" t="str">
        <f t="shared" si="403"/>
        <v xml:space="preserve">COM VALOR</v>
      </c>
      <c r="J8638" s="19"/>
      <c r="L8638" s="21">
        <v>0</v>
      </c>
      <c r="M8638" s="22"/>
      <c r="N8638" s="21">
        <v>0</v>
      </c>
      <c r="O8638" s="22"/>
    </row>
    <row r="8639" ht="38.25">
      <c r="A8639" t="s">
        <v>8744</v>
      </c>
      <c r="B8639" s="19">
        <v>103768</v>
      </c>
      <c r="C8639" s="20" t="s">
        <v>8747</v>
      </c>
      <c r="D8639" s="19" t="s">
        <v>31</v>
      </c>
      <c r="E8639" s="21" t="str">
        <f t="shared" si="401"/>
        <v>VERIFICAR</v>
      </c>
      <c r="F8639" s="22">
        <v>0.52000000000000002</v>
      </c>
      <c r="G8639" s="21" t="str">
        <f t="shared" si="402"/>
        <v>VERIFICAR</v>
      </c>
      <c r="H8639" s="22">
        <v>0.54000000000000004</v>
      </c>
      <c r="I8639" s="23" t="str">
        <f t="shared" si="403"/>
        <v xml:space="preserve">COM VALOR</v>
      </c>
      <c r="J8639" s="19"/>
      <c r="L8639" s="21">
        <v>0</v>
      </c>
      <c r="M8639" s="22"/>
      <c r="N8639" s="21">
        <v>0</v>
      </c>
      <c r="O8639" s="22"/>
    </row>
    <row r="8640" ht="38.25">
      <c r="A8640" t="s">
        <v>8744</v>
      </c>
      <c r="B8640" s="19">
        <v>103767</v>
      </c>
      <c r="C8640" s="20" t="s">
        <v>8748</v>
      </c>
      <c r="D8640" s="19" t="s">
        <v>31</v>
      </c>
      <c r="E8640" s="21" t="str">
        <f t="shared" si="401"/>
        <v>VERIFICAR</v>
      </c>
      <c r="F8640" s="22">
        <v>0.73999999999999999</v>
      </c>
      <c r="G8640" s="21" t="str">
        <f t="shared" si="402"/>
        <v>VERIFICAR</v>
      </c>
      <c r="H8640" s="22">
        <v>0.76000000000000001</v>
      </c>
      <c r="I8640" s="23" t="str">
        <f t="shared" si="403"/>
        <v xml:space="preserve">COM VALOR</v>
      </c>
      <c r="J8640" s="19"/>
      <c r="L8640" s="21">
        <v>0</v>
      </c>
      <c r="M8640" s="22"/>
      <c r="N8640" s="21">
        <v>0</v>
      </c>
      <c r="O8640" s="22"/>
    </row>
    <row r="8641" ht="38.25">
      <c r="A8641" t="s">
        <v>8744</v>
      </c>
      <c r="B8641" s="19">
        <v>103766</v>
      </c>
      <c r="C8641" s="20" t="s">
        <v>8749</v>
      </c>
      <c r="D8641" s="19" t="s">
        <v>31</v>
      </c>
      <c r="E8641" s="21" t="str">
        <f t="shared" si="401"/>
        <v>VERIFICAR</v>
      </c>
      <c r="F8641" s="22">
        <v>0.76000000000000001</v>
      </c>
      <c r="G8641" s="21" t="str">
        <f t="shared" si="402"/>
        <v>VERIFICAR</v>
      </c>
      <c r="H8641" s="22">
        <v>0.78000000000000003</v>
      </c>
      <c r="I8641" s="23" t="str">
        <f t="shared" si="403"/>
        <v xml:space="preserve">COM VALOR</v>
      </c>
      <c r="J8641" s="19"/>
      <c r="L8641" s="21">
        <v>0</v>
      </c>
      <c r="M8641" s="22"/>
      <c r="N8641" s="21">
        <v>0</v>
      </c>
      <c r="O8641" s="22"/>
    </row>
    <row r="8642" ht="25.5">
      <c r="A8642" t="s">
        <v>8744</v>
      </c>
      <c r="B8642" s="19">
        <v>103765</v>
      </c>
      <c r="C8642" s="20" t="s">
        <v>8750</v>
      </c>
      <c r="D8642" s="19" t="s">
        <v>31</v>
      </c>
      <c r="E8642" s="21" t="str">
        <f t="shared" si="401"/>
        <v>VERIFICAR</v>
      </c>
      <c r="F8642" s="22">
        <v>0.82999999999999996</v>
      </c>
      <c r="G8642" s="21" t="str">
        <f t="shared" si="402"/>
        <v>VERIFICAR</v>
      </c>
      <c r="H8642" s="22">
        <v>0.84999999999999998</v>
      </c>
      <c r="I8642" s="23" t="str">
        <f t="shared" si="403"/>
        <v xml:space="preserve">COM VALOR</v>
      </c>
      <c r="J8642" s="19"/>
      <c r="L8642" s="21">
        <v>0</v>
      </c>
      <c r="M8642" s="22"/>
      <c r="N8642" s="21">
        <v>0</v>
      </c>
      <c r="O8642" s="22"/>
    </row>
    <row r="8643" ht="25.5">
      <c r="A8643" t="s">
        <v>8744</v>
      </c>
      <c r="B8643" s="19">
        <v>103771</v>
      </c>
      <c r="C8643" s="20" t="s">
        <v>8751</v>
      </c>
      <c r="D8643" s="19" t="s">
        <v>31</v>
      </c>
      <c r="E8643" s="21" t="str">
        <f t="shared" si="401"/>
        <v>VERIFICAR</v>
      </c>
      <c r="F8643" s="22">
        <v>0.67000000000000004</v>
      </c>
      <c r="G8643" s="21" t="str">
        <f t="shared" si="402"/>
        <v>VERIFICAR</v>
      </c>
      <c r="H8643" s="22">
        <v>0.68999999999999995</v>
      </c>
      <c r="I8643" s="23" t="str">
        <f t="shared" si="403"/>
        <v xml:space="preserve">COM VALOR</v>
      </c>
      <c r="J8643" s="19"/>
      <c r="L8643" s="21">
        <v>0</v>
      </c>
      <c r="M8643" s="22"/>
      <c r="N8643" s="21">
        <v>0</v>
      </c>
      <c r="O8643" s="22"/>
    </row>
    <row r="8644" ht="25.5">
      <c r="A8644" t="s">
        <v>8744</v>
      </c>
      <c r="B8644" s="19">
        <v>103769</v>
      </c>
      <c r="C8644" s="20" t="s">
        <v>8752</v>
      </c>
      <c r="D8644" s="19" t="s">
        <v>31</v>
      </c>
      <c r="E8644" s="21">
        <f t="shared" si="401"/>
        <v>3374.02</v>
      </c>
      <c r="F8644" s="22">
        <v>0.72999999999999998</v>
      </c>
      <c r="G8644" s="21">
        <f t="shared" si="402"/>
        <v>3345.6700000000001</v>
      </c>
      <c r="H8644" s="22">
        <v>0.73999999999999999</v>
      </c>
      <c r="I8644" s="23" t="str">
        <f t="shared" si="403"/>
        <v xml:space="preserve">COM VALOR</v>
      </c>
      <c r="J8644" s="19"/>
      <c r="L8644" s="21">
        <v>3374.02</v>
      </c>
      <c r="M8644" s="22">
        <v>0</v>
      </c>
      <c r="N8644" s="21">
        <v>3345.6700000000001</v>
      </c>
      <c r="O8644" s="22">
        <v>0</v>
      </c>
    </row>
    <row r="8645" ht="25.5">
      <c r="A8645" t="s">
        <v>8744</v>
      </c>
      <c r="B8645" s="19">
        <v>103770</v>
      </c>
      <c r="C8645" s="20" t="s">
        <v>8753</v>
      </c>
      <c r="D8645" s="19" t="s">
        <v>31</v>
      </c>
      <c r="E8645" s="21" t="str">
        <f t="shared" si="401"/>
        <v>VERIFICAR</v>
      </c>
      <c r="F8645" s="22">
        <v>0.53000000000000003</v>
      </c>
      <c r="G8645" s="21" t="str">
        <f t="shared" si="402"/>
        <v>VERIFICAR</v>
      </c>
      <c r="H8645" s="22">
        <v>0.55000000000000004</v>
      </c>
      <c r="I8645" s="23" t="str">
        <f t="shared" si="403"/>
        <v xml:space="preserve">COM VALOR</v>
      </c>
      <c r="J8645" s="19"/>
      <c r="L8645" s="21">
        <v>0</v>
      </c>
      <c r="M8645" s="22"/>
      <c r="N8645" s="21">
        <v>0</v>
      </c>
      <c r="O8645" s="22"/>
    </row>
    <row r="8646" ht="25.5">
      <c r="A8646" t="s">
        <v>8744</v>
      </c>
      <c r="B8646" s="19">
        <v>103764</v>
      </c>
      <c r="C8646" s="20" t="s">
        <v>8754</v>
      </c>
      <c r="D8646" s="19" t="s">
        <v>31</v>
      </c>
      <c r="E8646" s="21" t="str">
        <f t="shared" si="401"/>
        <v>VERIFICAR</v>
      </c>
      <c r="F8646" s="22">
        <v>0.77000000000000002</v>
      </c>
      <c r="G8646" s="21" t="str">
        <f t="shared" si="402"/>
        <v>VERIFICAR</v>
      </c>
      <c r="H8646" s="22">
        <v>0.78000000000000003</v>
      </c>
      <c r="I8646" s="23" t="str">
        <f t="shared" si="403"/>
        <v xml:space="preserve">COM VALOR</v>
      </c>
      <c r="J8646" s="19"/>
      <c r="L8646" s="21">
        <v>0</v>
      </c>
      <c r="M8646" s="22"/>
      <c r="N8646" s="21">
        <v>0</v>
      </c>
      <c r="O8646" s="22"/>
    </row>
    <row r="8647" ht="25.5">
      <c r="A8647" t="s">
        <v>8744</v>
      </c>
      <c r="B8647" s="19">
        <v>103780</v>
      </c>
      <c r="C8647" s="20" t="s">
        <v>8755</v>
      </c>
      <c r="D8647" s="19" t="s">
        <v>29</v>
      </c>
      <c r="E8647" s="21" t="str">
        <f t="shared" si="401"/>
        <v>VERIFICAR</v>
      </c>
      <c r="F8647" s="22">
        <v>0.95999999999999996</v>
      </c>
      <c r="G8647" s="21" t="str">
        <f t="shared" si="402"/>
        <v>VERIFICAR</v>
      </c>
      <c r="H8647" s="22">
        <v>0.96999999999999997</v>
      </c>
      <c r="I8647" s="23" t="str">
        <f t="shared" si="403"/>
        <v xml:space="preserve">COM VALOR</v>
      </c>
      <c r="J8647" s="19"/>
      <c r="L8647" s="21">
        <v>0</v>
      </c>
      <c r="M8647" s="22"/>
      <c r="N8647" s="21">
        <v>0</v>
      </c>
      <c r="O8647" s="22"/>
    </row>
    <row r="8648" ht="25.5">
      <c r="A8648" t="s">
        <v>8744</v>
      </c>
      <c r="B8648" s="19">
        <v>103781</v>
      </c>
      <c r="C8648" s="20" t="s">
        <v>8756</v>
      </c>
      <c r="D8648" s="19" t="s">
        <v>29</v>
      </c>
      <c r="E8648" s="21" t="str">
        <f t="shared" si="401"/>
        <v>VERIFICAR</v>
      </c>
      <c r="F8648" s="22">
        <v>0.97999999999999998</v>
      </c>
      <c r="G8648" s="21" t="str">
        <f t="shared" si="402"/>
        <v>VERIFICAR</v>
      </c>
      <c r="H8648" s="22">
        <v>0.97999999999999998</v>
      </c>
      <c r="I8648" s="23" t="str">
        <f t="shared" si="403"/>
        <v xml:space="preserve">COM VALOR</v>
      </c>
      <c r="J8648" s="19"/>
      <c r="L8648" s="21">
        <v>0</v>
      </c>
      <c r="M8648" s="22"/>
      <c r="N8648" s="21">
        <v>0</v>
      </c>
      <c r="O8648" s="22"/>
    </row>
    <row r="8649" ht="25.5">
      <c r="A8649" t="s">
        <v>8744</v>
      </c>
      <c r="B8649" s="19">
        <v>103779</v>
      </c>
      <c r="C8649" s="20" t="s">
        <v>8757</v>
      </c>
      <c r="D8649" s="19" t="s">
        <v>29</v>
      </c>
      <c r="E8649" s="21" t="str">
        <f t="shared" si="401"/>
        <v>VERIFICAR</v>
      </c>
      <c r="F8649" s="22">
        <v>0</v>
      </c>
      <c r="G8649" s="21" t="str">
        <f t="shared" si="402"/>
        <v>VERIFICAR</v>
      </c>
      <c r="H8649" s="22">
        <v>0</v>
      </c>
      <c r="I8649" s="23" t="str">
        <f t="shared" si="403"/>
        <v xml:space="preserve">COM VALOR</v>
      </c>
      <c r="J8649" s="19"/>
      <c r="L8649" s="21">
        <v>0</v>
      </c>
      <c r="M8649" s="22"/>
      <c r="N8649" s="21">
        <v>0</v>
      </c>
      <c r="O8649" s="22"/>
    </row>
    <row r="8650" ht="25.5">
      <c r="A8650" t="s">
        <v>8744</v>
      </c>
      <c r="B8650" s="19">
        <v>103778</v>
      </c>
      <c r="C8650" s="20" t="s">
        <v>8758</v>
      </c>
      <c r="D8650" s="19" t="s">
        <v>29</v>
      </c>
      <c r="E8650" s="21" t="str">
        <f t="shared" si="401"/>
        <v>VERIFICAR</v>
      </c>
      <c r="F8650" s="22">
        <v>0</v>
      </c>
      <c r="G8650" s="21" t="str">
        <f t="shared" si="402"/>
        <v>VERIFICAR</v>
      </c>
      <c r="H8650" s="22">
        <v>0</v>
      </c>
      <c r="I8650" s="23" t="str">
        <f t="shared" si="403"/>
        <v xml:space="preserve">COM VALOR</v>
      </c>
      <c r="J8650" s="19"/>
      <c r="L8650" s="21">
        <v>0</v>
      </c>
      <c r="M8650" s="22"/>
      <c r="N8650" s="21">
        <v>0</v>
      </c>
      <c r="O8650" s="22"/>
    </row>
    <row r="8651" ht="25.5">
      <c r="A8651" t="s">
        <v>8744</v>
      </c>
      <c r="B8651" s="19">
        <v>103924</v>
      </c>
      <c r="C8651" s="20" t="s">
        <v>8759</v>
      </c>
      <c r="D8651" s="19" t="s">
        <v>29</v>
      </c>
      <c r="E8651" s="21" t="str">
        <f t="shared" ref="E8651:E8714" si="404">IF(L8651=0,"VERIFICAR",L8651)</f>
        <v>VERIFICAR</v>
      </c>
      <c r="F8651" s="22">
        <v>0</v>
      </c>
      <c r="G8651" s="21" t="str">
        <f t="shared" ref="G8651:G8714" si="405">IF(N8651=0,"VERIFICAR",N8651)</f>
        <v>VERIFICAR</v>
      </c>
      <c r="H8651" s="22">
        <v>0</v>
      </c>
      <c r="I8651" s="23" t="str">
        <f t="shared" ref="I8651:I8714" si="406">IF(OR(E8651=0,G8651=0),"SEM VALOR","COM VALOR")</f>
        <v xml:space="preserve">COM VALOR</v>
      </c>
      <c r="J8651" s="19"/>
      <c r="L8651" s="21">
        <v>0</v>
      </c>
      <c r="M8651" s="22"/>
      <c r="N8651" s="21">
        <v>0</v>
      </c>
      <c r="O8651" s="22"/>
    </row>
    <row r="8652" ht="25.5">
      <c r="A8652" t="s">
        <v>8744</v>
      </c>
      <c r="B8652" s="19">
        <v>103776</v>
      </c>
      <c r="C8652" s="20" t="s">
        <v>8760</v>
      </c>
      <c r="D8652" s="19" t="s">
        <v>29</v>
      </c>
      <c r="E8652" s="21" t="str">
        <f t="shared" si="404"/>
        <v>VERIFICAR</v>
      </c>
      <c r="F8652" s="22">
        <v>0</v>
      </c>
      <c r="G8652" s="21" t="str">
        <f t="shared" si="405"/>
        <v>VERIFICAR</v>
      </c>
      <c r="H8652" s="22">
        <v>0</v>
      </c>
      <c r="I8652" s="23" t="str">
        <f t="shared" si="406"/>
        <v xml:space="preserve">COM VALOR</v>
      </c>
      <c r="J8652" s="19"/>
      <c r="L8652" s="21">
        <v>0</v>
      </c>
      <c r="M8652" s="22"/>
      <c r="N8652" s="21">
        <v>0</v>
      </c>
      <c r="O8652" s="22"/>
    </row>
    <row r="8653" ht="25.5">
      <c r="A8653" t="s">
        <v>8744</v>
      </c>
      <c r="B8653" s="19">
        <v>103774</v>
      </c>
      <c r="C8653" s="20" t="s">
        <v>8761</v>
      </c>
      <c r="D8653" s="19" t="s">
        <v>29</v>
      </c>
      <c r="E8653" s="21" t="str">
        <f t="shared" si="404"/>
        <v>VERIFICAR</v>
      </c>
      <c r="F8653" s="22">
        <v>0</v>
      </c>
      <c r="G8653" s="21" t="str">
        <f t="shared" si="405"/>
        <v>VERIFICAR</v>
      </c>
      <c r="H8653" s="22">
        <v>0</v>
      </c>
      <c r="I8653" s="23" t="str">
        <f t="shared" si="406"/>
        <v xml:space="preserve">COM VALOR</v>
      </c>
      <c r="J8653" s="19"/>
      <c r="L8653" s="21">
        <v>0</v>
      </c>
      <c r="M8653" s="22"/>
      <c r="N8653" s="21">
        <v>0</v>
      </c>
      <c r="O8653" s="22"/>
    </row>
    <row r="8654" ht="25.5">
      <c r="A8654" t="s">
        <v>8744</v>
      </c>
      <c r="B8654" s="19">
        <v>103775</v>
      </c>
      <c r="C8654" s="20" t="s">
        <v>8762</v>
      </c>
      <c r="D8654" s="19" t="s">
        <v>29</v>
      </c>
      <c r="E8654" s="21" t="str">
        <f t="shared" si="404"/>
        <v>VERIFICAR</v>
      </c>
      <c r="F8654" s="22">
        <v>0</v>
      </c>
      <c r="G8654" s="21" t="str">
        <f t="shared" si="405"/>
        <v>VERIFICAR</v>
      </c>
      <c r="H8654" s="22">
        <v>0</v>
      </c>
      <c r="I8654" s="23" t="str">
        <f t="shared" si="406"/>
        <v xml:space="preserve">COM VALOR</v>
      </c>
      <c r="J8654" s="19"/>
      <c r="L8654" s="21">
        <v>0</v>
      </c>
      <c r="M8654" s="22"/>
      <c r="N8654" s="21">
        <v>0</v>
      </c>
      <c r="O8654" s="22"/>
    </row>
    <row r="8655" ht="25.5">
      <c r="A8655" t="s">
        <v>8763</v>
      </c>
      <c r="B8655" s="19">
        <v>106266</v>
      </c>
      <c r="C8655" s="20" t="s">
        <v>8764</v>
      </c>
      <c r="D8655" s="19" t="s">
        <v>31</v>
      </c>
      <c r="E8655" s="21" t="str">
        <f t="shared" si="404"/>
        <v>VERIFICAR</v>
      </c>
      <c r="F8655" s="22">
        <v>0</v>
      </c>
      <c r="G8655" s="21" t="str">
        <f t="shared" si="405"/>
        <v>VERIFICAR</v>
      </c>
      <c r="H8655" s="22">
        <v>0</v>
      </c>
      <c r="I8655" s="23" t="str">
        <f t="shared" si="406"/>
        <v xml:space="preserve">COM VALOR</v>
      </c>
      <c r="J8655" s="19"/>
      <c r="L8655" s="21">
        <v>0</v>
      </c>
      <c r="M8655" s="22"/>
      <c r="N8655" s="21">
        <v>0</v>
      </c>
      <c r="O8655" s="22"/>
    </row>
    <row r="8656" ht="25.5">
      <c r="A8656" t="s">
        <v>8763</v>
      </c>
      <c r="B8656" s="19">
        <v>106270</v>
      </c>
      <c r="C8656" s="20" t="s">
        <v>8765</v>
      </c>
      <c r="D8656" s="19" t="s">
        <v>31</v>
      </c>
      <c r="E8656" s="21" t="str">
        <f t="shared" si="404"/>
        <v>VERIFICAR</v>
      </c>
      <c r="F8656" s="22">
        <v>0</v>
      </c>
      <c r="G8656" s="21" t="str">
        <f t="shared" si="405"/>
        <v>VERIFICAR</v>
      </c>
      <c r="H8656" s="22">
        <v>0</v>
      </c>
      <c r="I8656" s="23" t="str">
        <f t="shared" si="406"/>
        <v xml:space="preserve">COM VALOR</v>
      </c>
      <c r="J8656" s="19"/>
      <c r="L8656" s="21">
        <v>0</v>
      </c>
      <c r="M8656" s="22"/>
      <c r="N8656" s="21">
        <v>0</v>
      </c>
      <c r="O8656" s="22"/>
    </row>
    <row r="8657" ht="25.5">
      <c r="A8657" t="s">
        <v>8763</v>
      </c>
      <c r="B8657" s="19">
        <v>106271</v>
      </c>
      <c r="C8657" s="20" t="s">
        <v>8766</v>
      </c>
      <c r="D8657" s="19" t="s">
        <v>31</v>
      </c>
      <c r="E8657" s="21" t="str">
        <f t="shared" si="404"/>
        <v>VERIFICAR</v>
      </c>
      <c r="F8657" s="22">
        <v>0</v>
      </c>
      <c r="G8657" s="21" t="str">
        <f t="shared" si="405"/>
        <v>VERIFICAR</v>
      </c>
      <c r="H8657" s="22">
        <v>0</v>
      </c>
      <c r="I8657" s="23" t="str">
        <f t="shared" si="406"/>
        <v xml:space="preserve">COM VALOR</v>
      </c>
      <c r="J8657" s="19"/>
      <c r="L8657" s="21">
        <v>0</v>
      </c>
      <c r="M8657" s="22"/>
      <c r="N8657" s="21">
        <v>0</v>
      </c>
      <c r="O8657" s="22"/>
    </row>
    <row r="8658" ht="25.5">
      <c r="A8658" t="s">
        <v>8763</v>
      </c>
      <c r="B8658" s="19">
        <v>106267</v>
      </c>
      <c r="C8658" s="20" t="s">
        <v>8767</v>
      </c>
      <c r="D8658" s="19" t="s">
        <v>31</v>
      </c>
      <c r="E8658" s="21" t="str">
        <f t="shared" si="404"/>
        <v>VERIFICAR</v>
      </c>
      <c r="F8658" s="22">
        <v>0</v>
      </c>
      <c r="G8658" s="21" t="str">
        <f t="shared" si="405"/>
        <v>VERIFICAR</v>
      </c>
      <c r="H8658" s="22">
        <v>0</v>
      </c>
      <c r="I8658" s="23" t="str">
        <f t="shared" si="406"/>
        <v xml:space="preserve">COM VALOR</v>
      </c>
      <c r="J8658" s="19"/>
      <c r="L8658" s="21">
        <v>0</v>
      </c>
      <c r="M8658" s="22"/>
      <c r="N8658" s="21">
        <v>0</v>
      </c>
      <c r="O8658" s="22"/>
    </row>
    <row r="8659" ht="25.5">
      <c r="A8659" t="s">
        <v>8763</v>
      </c>
      <c r="B8659" s="19">
        <v>106272</v>
      </c>
      <c r="C8659" s="20" t="s">
        <v>8768</v>
      </c>
      <c r="D8659" s="19" t="s">
        <v>31</v>
      </c>
      <c r="E8659" s="21" t="str">
        <f t="shared" si="404"/>
        <v>VERIFICAR</v>
      </c>
      <c r="F8659" s="22">
        <v>0</v>
      </c>
      <c r="G8659" s="21" t="str">
        <f t="shared" si="405"/>
        <v>VERIFICAR</v>
      </c>
      <c r="H8659" s="22">
        <v>0</v>
      </c>
      <c r="I8659" s="23" t="str">
        <f t="shared" si="406"/>
        <v xml:space="preserve">COM VALOR</v>
      </c>
      <c r="J8659" s="19"/>
      <c r="L8659" s="21">
        <v>0</v>
      </c>
      <c r="M8659" s="22"/>
      <c r="N8659" s="21">
        <v>0</v>
      </c>
      <c r="O8659" s="22"/>
    </row>
    <row r="8660" ht="25.5">
      <c r="A8660" t="s">
        <v>8763</v>
      </c>
      <c r="B8660" s="19">
        <v>106268</v>
      </c>
      <c r="C8660" s="20" t="s">
        <v>8769</v>
      </c>
      <c r="D8660" s="19" t="s">
        <v>31</v>
      </c>
      <c r="E8660" s="21" t="str">
        <f t="shared" si="404"/>
        <v>VERIFICAR</v>
      </c>
      <c r="F8660" s="22">
        <v>0</v>
      </c>
      <c r="G8660" s="21" t="str">
        <f t="shared" si="405"/>
        <v>VERIFICAR</v>
      </c>
      <c r="H8660" s="22">
        <v>0</v>
      </c>
      <c r="I8660" s="23" t="str">
        <f t="shared" si="406"/>
        <v xml:space="preserve">COM VALOR</v>
      </c>
      <c r="J8660" s="19"/>
      <c r="L8660" s="21">
        <v>0</v>
      </c>
      <c r="M8660" s="22"/>
      <c r="N8660" s="21">
        <v>0</v>
      </c>
      <c r="O8660" s="22"/>
    </row>
    <row r="8661" ht="25.5">
      <c r="A8661" t="s">
        <v>8763</v>
      </c>
      <c r="B8661" s="19">
        <v>106269</v>
      </c>
      <c r="C8661" s="20" t="s">
        <v>8770</v>
      </c>
      <c r="D8661" s="19" t="s">
        <v>31</v>
      </c>
      <c r="E8661" s="21" t="str">
        <f t="shared" si="404"/>
        <v>VERIFICAR</v>
      </c>
      <c r="F8661" s="22">
        <v>0</v>
      </c>
      <c r="G8661" s="21" t="str">
        <f t="shared" si="405"/>
        <v>VERIFICAR</v>
      </c>
      <c r="H8661" s="22">
        <v>0</v>
      </c>
      <c r="I8661" s="23" t="str">
        <f t="shared" si="406"/>
        <v xml:space="preserve">COM VALOR</v>
      </c>
      <c r="J8661" s="19"/>
      <c r="L8661" s="21">
        <v>0</v>
      </c>
      <c r="M8661" s="22"/>
      <c r="N8661" s="21">
        <v>0</v>
      </c>
      <c r="O8661" s="22"/>
    </row>
    <row r="8662" ht="25.5">
      <c r="A8662" t="s">
        <v>8763</v>
      </c>
      <c r="B8662" s="19">
        <v>106279</v>
      </c>
      <c r="C8662" s="20" t="s">
        <v>8771</v>
      </c>
      <c r="D8662" s="19" t="s">
        <v>31</v>
      </c>
      <c r="E8662" s="21" t="str">
        <f t="shared" si="404"/>
        <v>VERIFICAR</v>
      </c>
      <c r="F8662" s="22">
        <v>0</v>
      </c>
      <c r="G8662" s="21" t="str">
        <f t="shared" si="405"/>
        <v>VERIFICAR</v>
      </c>
      <c r="H8662" s="22">
        <v>0</v>
      </c>
      <c r="I8662" s="23" t="str">
        <f t="shared" si="406"/>
        <v xml:space="preserve">COM VALOR</v>
      </c>
      <c r="J8662" s="19"/>
      <c r="L8662" s="21">
        <v>0</v>
      </c>
      <c r="M8662" s="22"/>
      <c r="N8662" s="21">
        <v>0</v>
      </c>
      <c r="O8662" s="22"/>
    </row>
    <row r="8663" ht="25.5">
      <c r="A8663" t="s">
        <v>8763</v>
      </c>
      <c r="B8663" s="19">
        <v>106280</v>
      </c>
      <c r="C8663" s="20" t="s">
        <v>8772</v>
      </c>
      <c r="D8663" s="19" t="s">
        <v>31</v>
      </c>
      <c r="E8663" s="21" t="str">
        <f t="shared" si="404"/>
        <v>VERIFICAR</v>
      </c>
      <c r="F8663" s="22">
        <v>0</v>
      </c>
      <c r="G8663" s="21" t="str">
        <f t="shared" si="405"/>
        <v>VERIFICAR</v>
      </c>
      <c r="H8663" s="22">
        <v>0</v>
      </c>
      <c r="I8663" s="23" t="str">
        <f t="shared" si="406"/>
        <v xml:space="preserve">COM VALOR</v>
      </c>
      <c r="J8663" s="19"/>
      <c r="L8663" s="21">
        <v>0</v>
      </c>
      <c r="M8663" s="22"/>
      <c r="N8663" s="21">
        <v>0</v>
      </c>
      <c r="O8663" s="22"/>
    </row>
    <row r="8664" ht="25.5">
      <c r="A8664" t="s">
        <v>8763</v>
      </c>
      <c r="B8664" s="19">
        <v>106265</v>
      </c>
      <c r="C8664" s="20" t="s">
        <v>8773</v>
      </c>
      <c r="D8664" s="19" t="s">
        <v>38</v>
      </c>
      <c r="E8664" s="21" t="str">
        <f t="shared" si="404"/>
        <v>VERIFICAR</v>
      </c>
      <c r="F8664" s="22">
        <v>0</v>
      </c>
      <c r="G8664" s="21" t="str">
        <f t="shared" si="405"/>
        <v>VERIFICAR</v>
      </c>
      <c r="H8664" s="22">
        <v>0</v>
      </c>
      <c r="I8664" s="23" t="str">
        <f t="shared" si="406"/>
        <v xml:space="preserve">COM VALOR</v>
      </c>
      <c r="J8664" s="19"/>
      <c r="L8664" s="21">
        <v>0</v>
      </c>
      <c r="M8664" s="22"/>
      <c r="N8664" s="21">
        <v>0</v>
      </c>
      <c r="O8664" s="22"/>
    </row>
    <row r="8665" ht="25.5">
      <c r="A8665" t="s">
        <v>8763</v>
      </c>
      <c r="B8665" s="19">
        <v>106273</v>
      </c>
      <c r="C8665" s="20" t="s">
        <v>8774</v>
      </c>
      <c r="D8665" s="19" t="s">
        <v>31</v>
      </c>
      <c r="E8665" s="21" t="str">
        <f t="shared" si="404"/>
        <v>VERIFICAR</v>
      </c>
      <c r="F8665" s="22">
        <v>0</v>
      </c>
      <c r="G8665" s="21" t="str">
        <f t="shared" si="405"/>
        <v>VERIFICAR</v>
      </c>
      <c r="H8665" s="22">
        <v>0</v>
      </c>
      <c r="I8665" s="23" t="str">
        <f t="shared" si="406"/>
        <v xml:space="preserve">COM VALOR</v>
      </c>
      <c r="J8665" s="19"/>
      <c r="L8665" s="21">
        <v>0</v>
      </c>
      <c r="M8665" s="22"/>
      <c r="N8665" s="21">
        <v>0</v>
      </c>
      <c r="O8665" s="22"/>
    </row>
    <row r="8666" ht="25.5">
      <c r="A8666" t="s">
        <v>8763</v>
      </c>
      <c r="B8666" s="19">
        <v>106274</v>
      </c>
      <c r="C8666" s="20" t="s">
        <v>8775</v>
      </c>
      <c r="D8666" s="19" t="s">
        <v>31</v>
      </c>
      <c r="E8666" s="21" t="str">
        <f t="shared" si="404"/>
        <v>VERIFICAR</v>
      </c>
      <c r="F8666" s="22">
        <v>0</v>
      </c>
      <c r="G8666" s="21" t="str">
        <f t="shared" si="405"/>
        <v>VERIFICAR</v>
      </c>
      <c r="H8666" s="22">
        <v>0</v>
      </c>
      <c r="I8666" s="23" t="str">
        <f t="shared" si="406"/>
        <v xml:space="preserve">COM VALOR</v>
      </c>
      <c r="J8666" s="19"/>
      <c r="L8666" s="21">
        <v>0</v>
      </c>
      <c r="M8666" s="22"/>
      <c r="N8666" s="21">
        <v>0</v>
      </c>
      <c r="O8666" s="22"/>
    </row>
    <row r="8667" ht="25.5">
      <c r="A8667" t="s">
        <v>8763</v>
      </c>
      <c r="B8667" s="19">
        <v>106275</v>
      </c>
      <c r="C8667" s="20" t="s">
        <v>8776</v>
      </c>
      <c r="D8667" s="19" t="s">
        <v>31</v>
      </c>
      <c r="E8667" s="21" t="str">
        <f t="shared" si="404"/>
        <v>VERIFICAR</v>
      </c>
      <c r="F8667" s="22">
        <v>0</v>
      </c>
      <c r="G8667" s="21" t="str">
        <f t="shared" si="405"/>
        <v>VERIFICAR</v>
      </c>
      <c r="H8667" s="22">
        <v>0</v>
      </c>
      <c r="I8667" s="23" t="str">
        <f t="shared" si="406"/>
        <v xml:space="preserve">COM VALOR</v>
      </c>
      <c r="J8667" s="19"/>
      <c r="L8667" s="21">
        <v>0</v>
      </c>
      <c r="M8667" s="22"/>
      <c r="N8667" s="21">
        <v>0</v>
      </c>
      <c r="O8667" s="22"/>
    </row>
    <row r="8668" ht="25.5">
      <c r="A8668" t="s">
        <v>8763</v>
      </c>
      <c r="B8668" s="19">
        <v>106276</v>
      </c>
      <c r="C8668" s="20" t="s">
        <v>8777</v>
      </c>
      <c r="D8668" s="19" t="s">
        <v>31</v>
      </c>
      <c r="E8668" s="21" t="str">
        <f t="shared" si="404"/>
        <v>VERIFICAR</v>
      </c>
      <c r="F8668" s="22">
        <v>0</v>
      </c>
      <c r="G8668" s="21" t="str">
        <f t="shared" si="405"/>
        <v>VERIFICAR</v>
      </c>
      <c r="H8668" s="22">
        <v>0</v>
      </c>
      <c r="I8668" s="23" t="str">
        <f t="shared" si="406"/>
        <v xml:space="preserve">COM VALOR</v>
      </c>
      <c r="J8668" s="19"/>
      <c r="L8668" s="21">
        <v>0</v>
      </c>
      <c r="M8668" s="22"/>
      <c r="N8668" s="21">
        <v>0</v>
      </c>
      <c r="O8668" s="22"/>
    </row>
    <row r="8669" ht="25.5">
      <c r="A8669" t="s">
        <v>8763</v>
      </c>
      <c r="B8669" s="19">
        <v>106277</v>
      </c>
      <c r="C8669" s="20" t="s">
        <v>8778</v>
      </c>
      <c r="D8669" s="19" t="s">
        <v>31</v>
      </c>
      <c r="E8669" s="21" t="str">
        <f t="shared" si="404"/>
        <v>VERIFICAR</v>
      </c>
      <c r="F8669" s="22">
        <v>0</v>
      </c>
      <c r="G8669" s="21" t="str">
        <f t="shared" si="405"/>
        <v>VERIFICAR</v>
      </c>
      <c r="H8669" s="22">
        <v>0</v>
      </c>
      <c r="I8669" s="23" t="str">
        <f t="shared" si="406"/>
        <v xml:space="preserve">COM VALOR</v>
      </c>
      <c r="J8669" s="19"/>
      <c r="L8669" s="21">
        <v>0</v>
      </c>
      <c r="M8669" s="22"/>
      <c r="N8669" s="21">
        <v>0</v>
      </c>
      <c r="O8669" s="22"/>
    </row>
    <row r="8670" ht="25.5">
      <c r="A8670" t="s">
        <v>8763</v>
      </c>
      <c r="B8670" s="19">
        <v>106278</v>
      </c>
      <c r="C8670" s="20" t="s">
        <v>8779</v>
      </c>
      <c r="D8670" s="19" t="s">
        <v>31</v>
      </c>
      <c r="E8670" s="21" t="str">
        <f t="shared" si="404"/>
        <v>VERIFICAR</v>
      </c>
      <c r="F8670" s="22">
        <v>0</v>
      </c>
      <c r="G8670" s="21" t="str">
        <f t="shared" si="405"/>
        <v>VERIFICAR</v>
      </c>
      <c r="H8670" s="22">
        <v>0</v>
      </c>
      <c r="I8670" s="23" t="str">
        <f t="shared" si="406"/>
        <v xml:space="preserve">COM VALOR</v>
      </c>
      <c r="J8670" s="19"/>
      <c r="L8670" s="21">
        <v>0</v>
      </c>
      <c r="M8670" s="22"/>
      <c r="N8670" s="21">
        <v>0</v>
      </c>
      <c r="O8670" s="22"/>
    </row>
    <row r="8671" ht="38.25">
      <c r="A8671" t="s">
        <v>8763</v>
      </c>
      <c r="B8671" s="19">
        <v>106295</v>
      </c>
      <c r="C8671" s="20" t="s">
        <v>8780</v>
      </c>
      <c r="D8671" s="19" t="s">
        <v>31</v>
      </c>
      <c r="E8671" s="21">
        <f t="shared" si="404"/>
        <v>272.32999999999998</v>
      </c>
      <c r="F8671" s="22">
        <v>0</v>
      </c>
      <c r="G8671" s="21">
        <f t="shared" si="405"/>
        <v>270.44</v>
      </c>
      <c r="H8671" s="22">
        <v>0</v>
      </c>
      <c r="I8671" s="23" t="str">
        <f t="shared" si="406"/>
        <v xml:space="preserve">COM VALOR</v>
      </c>
      <c r="J8671" s="19"/>
      <c r="L8671" s="21">
        <v>272.32999999999998</v>
      </c>
      <c r="M8671" s="22">
        <v>0</v>
      </c>
      <c r="N8671" s="21">
        <v>270.44</v>
      </c>
      <c r="O8671" s="22">
        <v>0</v>
      </c>
    </row>
    <row r="8672" ht="38.25">
      <c r="A8672" t="s">
        <v>8763</v>
      </c>
      <c r="B8672" s="19">
        <v>106300</v>
      </c>
      <c r="C8672" s="20" t="s">
        <v>8781</v>
      </c>
      <c r="D8672" s="19" t="s">
        <v>31</v>
      </c>
      <c r="E8672" s="21">
        <f t="shared" si="404"/>
        <v>637.29999999999995</v>
      </c>
      <c r="F8672" s="22">
        <v>0</v>
      </c>
      <c r="G8672" s="21">
        <f t="shared" si="405"/>
        <v>629.41999999999996</v>
      </c>
      <c r="H8672" s="22">
        <v>0</v>
      </c>
      <c r="I8672" s="23" t="str">
        <f t="shared" si="406"/>
        <v xml:space="preserve">COM VALOR</v>
      </c>
      <c r="J8672" s="19"/>
      <c r="L8672" s="21">
        <v>637.29999999999995</v>
      </c>
      <c r="M8672" s="22">
        <v>0</v>
      </c>
      <c r="N8672" s="21">
        <v>629.41999999999996</v>
      </c>
      <c r="O8672" s="22">
        <v>0</v>
      </c>
    </row>
    <row r="8673" ht="38.25">
      <c r="A8673" t="s">
        <v>8763</v>
      </c>
      <c r="B8673" s="19">
        <v>106293</v>
      </c>
      <c r="C8673" s="20" t="s">
        <v>8782</v>
      </c>
      <c r="D8673" s="19" t="s">
        <v>31</v>
      </c>
      <c r="E8673" s="21">
        <f t="shared" si="404"/>
        <v>215.90000000000001</v>
      </c>
      <c r="F8673" s="22">
        <v>0</v>
      </c>
      <c r="G8673" s="21">
        <f t="shared" si="405"/>
        <v>214.78999999999999</v>
      </c>
      <c r="H8673" s="22">
        <v>0</v>
      </c>
      <c r="I8673" s="23" t="str">
        <f t="shared" si="406"/>
        <v xml:space="preserve">COM VALOR</v>
      </c>
      <c r="J8673" s="19"/>
      <c r="L8673" s="21">
        <v>215.90000000000001</v>
      </c>
      <c r="M8673" s="22">
        <v>0</v>
      </c>
      <c r="N8673" s="21">
        <v>214.78999999999999</v>
      </c>
      <c r="O8673" s="22">
        <v>0</v>
      </c>
    </row>
    <row r="8674" ht="38.25">
      <c r="A8674" t="s">
        <v>8763</v>
      </c>
      <c r="B8674" s="19">
        <v>106297</v>
      </c>
      <c r="C8674" s="20" t="s">
        <v>8783</v>
      </c>
      <c r="D8674" s="19" t="s">
        <v>31</v>
      </c>
      <c r="E8674" s="21">
        <f t="shared" si="404"/>
        <v>323.68000000000001</v>
      </c>
      <c r="F8674" s="22">
        <v>0</v>
      </c>
      <c r="G8674" s="21">
        <f t="shared" si="405"/>
        <v>320.57999999999998</v>
      </c>
      <c r="H8674" s="22">
        <v>0</v>
      </c>
      <c r="I8674" s="23" t="str">
        <f t="shared" si="406"/>
        <v xml:space="preserve">COM VALOR</v>
      </c>
      <c r="J8674" s="19"/>
      <c r="L8674" s="21">
        <v>323.68000000000001</v>
      </c>
      <c r="M8674" s="22">
        <v>0</v>
      </c>
      <c r="N8674" s="21">
        <v>320.57999999999998</v>
      </c>
      <c r="O8674" s="22">
        <v>0</v>
      </c>
    </row>
    <row r="8675" ht="38.25">
      <c r="A8675" t="s">
        <v>8763</v>
      </c>
      <c r="B8675" s="19">
        <v>106298</v>
      </c>
      <c r="C8675" s="20" t="s">
        <v>8784</v>
      </c>
      <c r="D8675" s="19" t="s">
        <v>31</v>
      </c>
      <c r="E8675" s="21">
        <f t="shared" si="404"/>
        <v>495.45999999999998</v>
      </c>
      <c r="F8675" s="22">
        <v>0</v>
      </c>
      <c r="G8675" s="21">
        <f t="shared" si="405"/>
        <v>490.77999999999997</v>
      </c>
      <c r="H8675" s="22">
        <v>0</v>
      </c>
      <c r="I8675" s="23" t="str">
        <f t="shared" si="406"/>
        <v xml:space="preserve">COM VALOR</v>
      </c>
      <c r="J8675" s="19"/>
      <c r="L8675" s="21">
        <v>495.45999999999998</v>
      </c>
      <c r="M8675" s="22">
        <v>0</v>
      </c>
      <c r="N8675" s="21">
        <v>490.77999999999997</v>
      </c>
      <c r="O8675" s="22">
        <v>0</v>
      </c>
    </row>
    <row r="8676" ht="38.25">
      <c r="A8676" t="s">
        <v>8763</v>
      </c>
      <c r="B8676" s="19">
        <v>106301</v>
      </c>
      <c r="C8676" s="20" t="s">
        <v>8785</v>
      </c>
      <c r="D8676" s="19" t="s">
        <v>31</v>
      </c>
      <c r="E8676" s="21">
        <f t="shared" si="404"/>
        <v>953.58000000000004</v>
      </c>
      <c r="F8676" s="22">
        <v>0</v>
      </c>
      <c r="G8676" s="21">
        <f t="shared" si="405"/>
        <v>940.92999999999995</v>
      </c>
      <c r="H8676" s="22">
        <v>0</v>
      </c>
      <c r="I8676" s="23" t="str">
        <f t="shared" si="406"/>
        <v xml:space="preserve">COM VALOR</v>
      </c>
      <c r="J8676" s="19"/>
      <c r="L8676" s="21">
        <v>953.58000000000004</v>
      </c>
      <c r="M8676" s="22">
        <v>0</v>
      </c>
      <c r="N8676" s="21">
        <v>940.92999999999995</v>
      </c>
      <c r="O8676" s="22">
        <v>0</v>
      </c>
    </row>
    <row r="8677" ht="38.25">
      <c r="A8677" t="s">
        <v>8763</v>
      </c>
      <c r="B8677" s="19">
        <v>106292</v>
      </c>
      <c r="C8677" s="20" t="s">
        <v>8786</v>
      </c>
      <c r="D8677" s="19" t="s">
        <v>31</v>
      </c>
      <c r="E8677" s="21">
        <f t="shared" si="404"/>
        <v>204.91999999999999</v>
      </c>
      <c r="F8677" s="22">
        <v>0</v>
      </c>
      <c r="G8677" s="21">
        <f t="shared" si="405"/>
        <v>203.81</v>
      </c>
      <c r="H8677" s="22">
        <v>0</v>
      </c>
      <c r="I8677" s="23" t="str">
        <f t="shared" si="406"/>
        <v xml:space="preserve">COM VALOR</v>
      </c>
      <c r="J8677" s="19"/>
      <c r="L8677" s="21">
        <v>204.91999999999999</v>
      </c>
      <c r="M8677" s="22">
        <v>0</v>
      </c>
      <c r="N8677" s="21">
        <v>203.81</v>
      </c>
      <c r="O8677" s="22">
        <v>0</v>
      </c>
    </row>
    <row r="8678" ht="25.5">
      <c r="A8678" t="s">
        <v>8763</v>
      </c>
      <c r="B8678" s="19">
        <v>106282</v>
      </c>
      <c r="C8678" s="20" t="s">
        <v>8787</v>
      </c>
      <c r="D8678" s="19" t="s">
        <v>31</v>
      </c>
      <c r="E8678" s="21">
        <f t="shared" si="404"/>
        <v>85.609999999999999</v>
      </c>
      <c r="F8678" s="22">
        <v>0</v>
      </c>
      <c r="G8678" s="21">
        <f t="shared" si="405"/>
        <v>84.790000000000006</v>
      </c>
      <c r="H8678" s="22">
        <v>0</v>
      </c>
      <c r="I8678" s="23" t="str">
        <f t="shared" si="406"/>
        <v xml:space="preserve">COM VALOR</v>
      </c>
      <c r="J8678" s="19"/>
      <c r="L8678" s="21">
        <v>85.609999999999999</v>
      </c>
      <c r="M8678" s="22">
        <v>0</v>
      </c>
      <c r="N8678" s="21">
        <v>84.790000000000006</v>
      </c>
      <c r="O8678" s="22">
        <v>0</v>
      </c>
    </row>
    <row r="8679" ht="25.5">
      <c r="A8679" t="s">
        <v>8763</v>
      </c>
      <c r="B8679" s="19">
        <v>106283</v>
      </c>
      <c r="C8679" s="20" t="s">
        <v>8788</v>
      </c>
      <c r="D8679" s="19" t="s">
        <v>31</v>
      </c>
      <c r="E8679" s="21">
        <f t="shared" si="404"/>
        <v>85.609999999999999</v>
      </c>
      <c r="F8679" s="22">
        <v>0.97999999999999998</v>
      </c>
      <c r="G8679" s="21">
        <f t="shared" si="405"/>
        <v>84.790000000000006</v>
      </c>
      <c r="H8679" s="22">
        <v>0.97999999999999998</v>
      </c>
      <c r="I8679" s="23" t="str">
        <f t="shared" si="406"/>
        <v xml:space="preserve">COM VALOR</v>
      </c>
      <c r="J8679" s="19"/>
      <c r="L8679" s="21">
        <v>85.609999999999999</v>
      </c>
      <c r="M8679" s="22">
        <v>0</v>
      </c>
      <c r="N8679" s="21">
        <v>84.790000000000006</v>
      </c>
      <c r="O8679" s="22">
        <v>0</v>
      </c>
    </row>
    <row r="8680" ht="25.5">
      <c r="A8680" t="s">
        <v>8763</v>
      </c>
      <c r="B8680" s="19">
        <v>106286</v>
      </c>
      <c r="C8680" s="20" t="s">
        <v>8789</v>
      </c>
      <c r="D8680" s="19" t="s">
        <v>31</v>
      </c>
      <c r="E8680" s="21">
        <f t="shared" si="404"/>
        <v>95.969999999999999</v>
      </c>
      <c r="F8680" s="22">
        <v>0.83999999999999997</v>
      </c>
      <c r="G8680" s="21">
        <f t="shared" si="405"/>
        <v>94.540000000000006</v>
      </c>
      <c r="H8680" s="22">
        <v>0.84999999999999998</v>
      </c>
      <c r="I8680" s="23" t="str">
        <f t="shared" si="406"/>
        <v xml:space="preserve">COM VALOR</v>
      </c>
      <c r="J8680" s="19"/>
      <c r="L8680" s="21">
        <v>95.969999999999999</v>
      </c>
      <c r="M8680" s="22">
        <v>0</v>
      </c>
      <c r="N8680" s="21">
        <v>94.540000000000006</v>
      </c>
      <c r="O8680" s="22">
        <v>0</v>
      </c>
    </row>
    <row r="8681" ht="25.5">
      <c r="A8681" t="s">
        <v>8763</v>
      </c>
      <c r="B8681" s="19">
        <v>106287</v>
      </c>
      <c r="C8681" s="20" t="s">
        <v>8790</v>
      </c>
      <c r="D8681" s="19" t="s">
        <v>31</v>
      </c>
      <c r="E8681" s="21">
        <f t="shared" si="404"/>
        <v>113.34999999999999</v>
      </c>
      <c r="F8681" s="22">
        <v>0.81999999999999995</v>
      </c>
      <c r="G8681" s="21">
        <f t="shared" si="405"/>
        <v>111.03</v>
      </c>
      <c r="H8681" s="22">
        <v>0.82999999999999996</v>
      </c>
      <c r="I8681" s="23" t="str">
        <f t="shared" si="406"/>
        <v xml:space="preserve">COM VALOR</v>
      </c>
      <c r="J8681" s="19"/>
      <c r="L8681" s="21">
        <v>113.34999999999999</v>
      </c>
      <c r="M8681" s="22">
        <v>0</v>
      </c>
      <c r="N8681" s="21">
        <v>111.03</v>
      </c>
      <c r="O8681" s="22">
        <v>0</v>
      </c>
    </row>
    <row r="8682" ht="25.5">
      <c r="A8682" t="s">
        <v>8763</v>
      </c>
      <c r="B8682" s="19">
        <v>106288</v>
      </c>
      <c r="C8682" s="20" t="s">
        <v>8791</v>
      </c>
      <c r="D8682" s="19" t="s">
        <v>31</v>
      </c>
      <c r="E8682" s="21">
        <f t="shared" si="404"/>
        <v>135.66999999999999</v>
      </c>
      <c r="F8682" s="22">
        <v>0.90000000000000002</v>
      </c>
      <c r="G8682" s="21">
        <f t="shared" si="405"/>
        <v>132.16</v>
      </c>
      <c r="H8682" s="22">
        <v>0.91000000000000003</v>
      </c>
      <c r="I8682" s="23" t="str">
        <f t="shared" si="406"/>
        <v xml:space="preserve">COM VALOR</v>
      </c>
      <c r="J8682" s="19"/>
      <c r="L8682" s="21">
        <v>135.66999999999999</v>
      </c>
      <c r="M8682" s="22">
        <v>0</v>
      </c>
      <c r="N8682" s="21">
        <v>132.16</v>
      </c>
      <c r="O8682" s="22">
        <v>0</v>
      </c>
    </row>
    <row r="8683" ht="25.5">
      <c r="A8683" t="s">
        <v>8763</v>
      </c>
      <c r="B8683" s="19">
        <v>106289</v>
      </c>
      <c r="C8683" s="20" t="s">
        <v>8792</v>
      </c>
      <c r="D8683" s="19" t="s">
        <v>31</v>
      </c>
      <c r="E8683" s="21">
        <f t="shared" si="404"/>
        <v>177.84999999999999</v>
      </c>
      <c r="F8683" s="22">
        <v>0.88</v>
      </c>
      <c r="G8683" s="21">
        <f t="shared" si="405"/>
        <v>171.94999999999999</v>
      </c>
      <c r="H8683" s="22">
        <v>0.89000000000000001</v>
      </c>
      <c r="I8683" s="23" t="str">
        <f t="shared" si="406"/>
        <v xml:space="preserve">COM VALOR</v>
      </c>
      <c r="J8683" s="19"/>
      <c r="L8683" s="21">
        <v>177.84999999999999</v>
      </c>
      <c r="M8683" s="22">
        <v>0</v>
      </c>
      <c r="N8683" s="21">
        <v>171.94999999999999</v>
      </c>
      <c r="O8683" s="22">
        <v>0</v>
      </c>
    </row>
    <row r="8684" ht="25.5">
      <c r="A8684" t="s">
        <v>8763</v>
      </c>
      <c r="B8684" s="19">
        <v>106290</v>
      </c>
      <c r="C8684" s="20" t="s">
        <v>8793</v>
      </c>
      <c r="D8684" s="19" t="s">
        <v>31</v>
      </c>
      <c r="E8684" s="21">
        <f t="shared" si="404"/>
        <v>241.94999999999999</v>
      </c>
      <c r="F8684" s="22">
        <v>0.88</v>
      </c>
      <c r="G8684" s="21">
        <f t="shared" si="405"/>
        <v>232.46000000000001</v>
      </c>
      <c r="H8684" s="22">
        <v>0.88</v>
      </c>
      <c r="I8684" s="23" t="str">
        <f t="shared" si="406"/>
        <v xml:space="preserve">COM VALOR</v>
      </c>
      <c r="J8684" s="19"/>
      <c r="L8684" s="21">
        <v>241.94999999999999</v>
      </c>
      <c r="M8684" s="22">
        <v>0</v>
      </c>
      <c r="N8684" s="21">
        <v>232.46000000000001</v>
      </c>
      <c r="O8684" s="22">
        <v>0</v>
      </c>
    </row>
    <row r="8685" ht="25.5">
      <c r="A8685" t="s">
        <v>8763</v>
      </c>
      <c r="B8685" s="19">
        <v>106291</v>
      </c>
      <c r="C8685" s="20" t="s">
        <v>8794</v>
      </c>
      <c r="D8685" s="19" t="s">
        <v>31</v>
      </c>
      <c r="E8685" s="21">
        <f t="shared" si="404"/>
        <v>352.56</v>
      </c>
      <c r="F8685" s="22">
        <v>0.98999999999999999</v>
      </c>
      <c r="G8685" s="21">
        <f t="shared" si="405"/>
        <v>337.69</v>
      </c>
      <c r="H8685" s="22">
        <v>0.98999999999999999</v>
      </c>
      <c r="I8685" s="23" t="str">
        <f t="shared" si="406"/>
        <v xml:space="preserve">COM VALOR</v>
      </c>
      <c r="J8685" s="19"/>
      <c r="L8685" s="21">
        <v>352.56</v>
      </c>
      <c r="M8685" s="22">
        <v>0</v>
      </c>
      <c r="N8685" s="21">
        <v>337.69</v>
      </c>
      <c r="O8685" s="22">
        <v>0</v>
      </c>
    </row>
    <row r="8686" ht="25.5">
      <c r="A8686" t="s">
        <v>8763</v>
      </c>
      <c r="B8686" s="19">
        <v>102136</v>
      </c>
      <c r="C8686" s="20" t="s">
        <v>8795</v>
      </c>
      <c r="D8686" s="19" t="s">
        <v>31</v>
      </c>
      <c r="E8686" s="21">
        <f t="shared" si="404"/>
        <v>137.00999999999999</v>
      </c>
      <c r="F8686" s="22"/>
      <c r="G8686" s="21">
        <f t="shared" si="405"/>
        <v>129.59999999999999</v>
      </c>
      <c r="H8686" s="22"/>
      <c r="I8686" s="23" t="str">
        <f t="shared" si="406"/>
        <v xml:space="preserve">COM VALOR</v>
      </c>
      <c r="J8686" s="19"/>
      <c r="L8686" s="21">
        <v>137.00999999999999</v>
      </c>
      <c r="M8686" s="22">
        <v>0</v>
      </c>
      <c r="N8686" s="21">
        <v>129.59999999999999</v>
      </c>
      <c r="O8686" s="22">
        <v>0</v>
      </c>
    </row>
    <row r="8687" ht="25.5">
      <c r="A8687" t="s">
        <v>8763</v>
      </c>
      <c r="B8687" s="19">
        <v>106263</v>
      </c>
      <c r="C8687" s="20" t="s">
        <v>8796</v>
      </c>
      <c r="D8687" s="19" t="s">
        <v>31</v>
      </c>
      <c r="E8687" s="21">
        <f t="shared" si="404"/>
        <v>179.72999999999999</v>
      </c>
      <c r="F8687" s="22"/>
      <c r="G8687" s="21">
        <f t="shared" si="405"/>
        <v>169.93000000000001</v>
      </c>
      <c r="H8687" s="22"/>
      <c r="I8687" s="23" t="str">
        <f t="shared" si="406"/>
        <v xml:space="preserve">COM VALOR</v>
      </c>
      <c r="J8687" s="19"/>
      <c r="L8687" s="21">
        <v>179.72999999999999</v>
      </c>
      <c r="M8687" s="22">
        <v>0</v>
      </c>
      <c r="N8687" s="21">
        <v>169.93000000000001</v>
      </c>
      <c r="O8687" s="22">
        <v>0</v>
      </c>
    </row>
    <row r="8688" ht="25.5">
      <c r="A8688" t="s">
        <v>8763</v>
      </c>
      <c r="B8688" s="19">
        <v>106259</v>
      </c>
      <c r="C8688" s="20" t="s">
        <v>8797</v>
      </c>
      <c r="D8688" s="19" t="s">
        <v>31</v>
      </c>
      <c r="E8688" s="21" t="str">
        <f t="shared" si="404"/>
        <v>VERIFICAR</v>
      </c>
      <c r="F8688" s="22"/>
      <c r="G8688" s="21" t="str">
        <f t="shared" si="405"/>
        <v>VERIFICAR</v>
      </c>
      <c r="H8688" s="22"/>
      <c r="I8688" s="23" t="str">
        <f t="shared" si="406"/>
        <v xml:space="preserve">COM VALOR</v>
      </c>
      <c r="J8688" s="19"/>
      <c r="L8688" s="21">
        <v>0</v>
      </c>
      <c r="M8688" s="22"/>
      <c r="N8688" s="21">
        <v>0</v>
      </c>
      <c r="O8688" s="22"/>
    </row>
    <row r="8689" ht="25.5">
      <c r="A8689" t="s">
        <v>8763</v>
      </c>
      <c r="B8689" s="19">
        <v>106261</v>
      </c>
      <c r="C8689" s="20" t="s">
        <v>8798</v>
      </c>
      <c r="D8689" s="19" t="s">
        <v>31</v>
      </c>
      <c r="E8689" s="21" t="str">
        <f t="shared" si="404"/>
        <v>VERIFICAR</v>
      </c>
      <c r="F8689" s="22"/>
      <c r="G8689" s="21" t="str">
        <f t="shared" si="405"/>
        <v>VERIFICAR</v>
      </c>
      <c r="H8689" s="22"/>
      <c r="I8689" s="23" t="str">
        <f t="shared" si="406"/>
        <v xml:space="preserve">COM VALOR</v>
      </c>
      <c r="J8689" s="19"/>
      <c r="L8689" s="21">
        <v>0</v>
      </c>
      <c r="M8689" s="22"/>
      <c r="N8689" s="21">
        <v>0</v>
      </c>
      <c r="O8689" s="22"/>
    </row>
    <row r="8690" ht="25.5">
      <c r="A8690" t="s">
        <v>8763</v>
      </c>
      <c r="B8690" s="19">
        <v>106260</v>
      </c>
      <c r="C8690" s="20" t="s">
        <v>8799</v>
      </c>
      <c r="D8690" s="19" t="s">
        <v>31</v>
      </c>
      <c r="E8690" s="21" t="str">
        <f t="shared" si="404"/>
        <v>VERIFICAR</v>
      </c>
      <c r="F8690" s="22"/>
      <c r="G8690" s="21" t="str">
        <f t="shared" si="405"/>
        <v>VERIFICAR</v>
      </c>
      <c r="H8690" s="22"/>
      <c r="I8690" s="23" t="str">
        <f t="shared" si="406"/>
        <v xml:space="preserve">COM VALOR</v>
      </c>
      <c r="J8690" s="19"/>
      <c r="L8690" s="21">
        <v>0</v>
      </c>
      <c r="M8690" s="22"/>
      <c r="N8690" s="21">
        <v>0</v>
      </c>
      <c r="O8690" s="22"/>
    </row>
    <row r="8691" ht="25.5">
      <c r="A8691" t="s">
        <v>8763</v>
      </c>
      <c r="B8691" s="19">
        <v>102134</v>
      </c>
      <c r="C8691" s="20" t="s">
        <v>8800</v>
      </c>
      <c r="D8691" s="19" t="s">
        <v>31</v>
      </c>
      <c r="E8691" s="21" t="str">
        <f t="shared" si="404"/>
        <v>VERIFICAR</v>
      </c>
      <c r="F8691" s="22"/>
      <c r="G8691" s="21" t="str">
        <f t="shared" si="405"/>
        <v>VERIFICAR</v>
      </c>
      <c r="H8691" s="22"/>
      <c r="I8691" s="23" t="str">
        <f t="shared" si="406"/>
        <v xml:space="preserve">COM VALOR</v>
      </c>
      <c r="J8691" s="19"/>
      <c r="L8691" s="21">
        <v>0</v>
      </c>
      <c r="M8691" s="22"/>
      <c r="N8691" s="21">
        <v>0</v>
      </c>
      <c r="O8691" s="22"/>
    </row>
    <row r="8692" ht="25.5">
      <c r="A8692" t="s">
        <v>8763</v>
      </c>
      <c r="B8692" s="19">
        <v>106262</v>
      </c>
      <c r="C8692" s="20" t="s">
        <v>8801</v>
      </c>
      <c r="D8692" s="19" t="s">
        <v>31</v>
      </c>
      <c r="E8692" s="21" t="str">
        <f t="shared" si="404"/>
        <v>VERIFICAR</v>
      </c>
      <c r="F8692" s="22"/>
      <c r="G8692" s="21" t="str">
        <f t="shared" si="405"/>
        <v>VERIFICAR</v>
      </c>
      <c r="H8692" s="22"/>
      <c r="I8692" s="23" t="str">
        <f t="shared" si="406"/>
        <v xml:space="preserve">COM VALOR</v>
      </c>
      <c r="J8692" s="19"/>
      <c r="L8692" s="21">
        <v>0</v>
      </c>
      <c r="M8692" s="22"/>
      <c r="N8692" s="21">
        <v>0</v>
      </c>
      <c r="O8692" s="22"/>
    </row>
    <row r="8693" ht="25.5">
      <c r="A8693" t="s">
        <v>8763</v>
      </c>
      <c r="B8693" s="19">
        <v>102135</v>
      </c>
      <c r="C8693" s="20" t="s">
        <v>8802</v>
      </c>
      <c r="D8693" s="19" t="s">
        <v>31</v>
      </c>
      <c r="E8693" s="21" t="str">
        <f t="shared" si="404"/>
        <v>VERIFICAR</v>
      </c>
      <c r="F8693" s="22"/>
      <c r="G8693" s="21" t="str">
        <f t="shared" si="405"/>
        <v>VERIFICAR</v>
      </c>
      <c r="H8693" s="22"/>
      <c r="I8693" s="23" t="str">
        <f t="shared" si="406"/>
        <v xml:space="preserve">COM VALOR</v>
      </c>
      <c r="J8693" s="19"/>
      <c r="L8693" s="21">
        <v>0</v>
      </c>
      <c r="M8693" s="22"/>
      <c r="N8693" s="21">
        <v>0</v>
      </c>
      <c r="O8693" s="22"/>
    </row>
    <row r="8694" ht="25.5">
      <c r="A8694" t="s">
        <v>8763</v>
      </c>
      <c r="B8694" s="19">
        <v>106302</v>
      </c>
      <c r="C8694" s="20" t="s">
        <v>8803</v>
      </c>
      <c r="D8694" s="19" t="s">
        <v>31</v>
      </c>
      <c r="E8694" s="21" t="str">
        <f t="shared" si="404"/>
        <v>VERIFICAR</v>
      </c>
      <c r="F8694" s="22"/>
      <c r="G8694" s="21" t="str">
        <f t="shared" si="405"/>
        <v>VERIFICAR</v>
      </c>
      <c r="H8694" s="22"/>
      <c r="I8694" s="23" t="str">
        <f t="shared" si="406"/>
        <v xml:space="preserve">COM VALOR</v>
      </c>
      <c r="J8694" s="19"/>
      <c r="L8694" s="21">
        <v>0</v>
      </c>
      <c r="M8694" s="22"/>
      <c r="N8694" s="21">
        <v>0</v>
      </c>
      <c r="O8694" s="22"/>
    </row>
    <row r="8695" ht="25.5">
      <c r="A8695" t="s">
        <v>8763</v>
      </c>
      <c r="B8695" s="19">
        <v>106284</v>
      </c>
      <c r="C8695" s="20" t="s">
        <v>8804</v>
      </c>
      <c r="D8695" s="19" t="s">
        <v>31</v>
      </c>
      <c r="E8695" s="21" t="str">
        <f t="shared" si="404"/>
        <v>VERIFICAR</v>
      </c>
      <c r="F8695" s="22"/>
      <c r="G8695" s="21" t="str">
        <f t="shared" si="405"/>
        <v>VERIFICAR</v>
      </c>
      <c r="H8695" s="22"/>
      <c r="I8695" s="23" t="str">
        <f t="shared" si="406"/>
        <v xml:space="preserve">COM VALOR</v>
      </c>
      <c r="J8695" s="19"/>
      <c r="L8695" s="21">
        <v>0</v>
      </c>
      <c r="M8695" s="22"/>
      <c r="N8695" s="21">
        <v>0</v>
      </c>
      <c r="O8695" s="22"/>
    </row>
    <row r="8696" ht="25.5">
      <c r="A8696" t="s">
        <v>8763</v>
      </c>
      <c r="B8696" s="19">
        <v>106285</v>
      </c>
      <c r="C8696" s="20" t="s">
        <v>8805</v>
      </c>
      <c r="D8696" s="19" t="s">
        <v>31</v>
      </c>
      <c r="E8696" s="21" t="str">
        <f t="shared" si="404"/>
        <v>VERIFICAR</v>
      </c>
      <c r="F8696" s="22"/>
      <c r="G8696" s="21" t="str">
        <f t="shared" si="405"/>
        <v>VERIFICAR</v>
      </c>
      <c r="H8696" s="22"/>
      <c r="I8696" s="23" t="str">
        <f t="shared" si="406"/>
        <v xml:space="preserve">COM VALOR</v>
      </c>
      <c r="J8696" s="19"/>
      <c r="L8696" s="21">
        <v>0</v>
      </c>
      <c r="M8696" s="22"/>
      <c r="N8696" s="21">
        <v>0</v>
      </c>
      <c r="O8696" s="22"/>
    </row>
    <row r="8697" ht="25.5">
      <c r="A8697" t="s">
        <v>8763</v>
      </c>
      <c r="B8697" s="19">
        <v>106296</v>
      </c>
      <c r="C8697" s="20" t="s">
        <v>8806</v>
      </c>
      <c r="D8697" s="19" t="s">
        <v>31</v>
      </c>
      <c r="E8697" s="21" t="str">
        <f t="shared" si="404"/>
        <v>VERIFICAR</v>
      </c>
      <c r="F8697" s="22"/>
      <c r="G8697" s="21" t="str">
        <f t="shared" si="405"/>
        <v>VERIFICAR</v>
      </c>
      <c r="H8697" s="22"/>
      <c r="I8697" s="23" t="str">
        <f t="shared" si="406"/>
        <v xml:space="preserve">COM VALOR</v>
      </c>
      <c r="J8697" s="19"/>
      <c r="L8697" s="21">
        <v>0</v>
      </c>
      <c r="M8697" s="22"/>
      <c r="N8697" s="21">
        <v>0</v>
      </c>
      <c r="O8697" s="22"/>
    </row>
    <row r="8698" ht="25.5">
      <c r="A8698" t="s">
        <v>8763</v>
      </c>
      <c r="B8698" s="19">
        <v>106299</v>
      </c>
      <c r="C8698" s="20" t="s">
        <v>8807</v>
      </c>
      <c r="D8698" s="19" t="s">
        <v>31</v>
      </c>
      <c r="E8698" s="21">
        <f t="shared" si="404"/>
        <v>286.02999999999997</v>
      </c>
      <c r="F8698" s="22"/>
      <c r="G8698" s="21">
        <f t="shared" si="405"/>
        <v>281.35000000000002</v>
      </c>
      <c r="H8698" s="22"/>
      <c r="I8698" s="23" t="str">
        <f t="shared" si="406"/>
        <v xml:space="preserve">COM VALOR</v>
      </c>
      <c r="J8698" s="19"/>
      <c r="L8698" s="21">
        <v>286.02999999999997</v>
      </c>
      <c r="M8698" s="22">
        <v>0</v>
      </c>
      <c r="N8698" s="21">
        <v>281.35000000000002</v>
      </c>
      <c r="O8698" s="22">
        <v>0</v>
      </c>
    </row>
    <row r="8699" ht="25.5">
      <c r="A8699" t="s">
        <v>8763</v>
      </c>
      <c r="B8699" s="19">
        <v>106294</v>
      </c>
      <c r="C8699" s="20" t="s">
        <v>8808</v>
      </c>
      <c r="D8699" s="19" t="s">
        <v>31</v>
      </c>
      <c r="E8699" s="21" t="str">
        <f t="shared" si="404"/>
        <v>VERIFICAR</v>
      </c>
      <c r="F8699" s="22"/>
      <c r="G8699" s="21" t="str">
        <f t="shared" si="405"/>
        <v>VERIFICAR</v>
      </c>
      <c r="H8699" s="22"/>
      <c r="I8699" s="23" t="str">
        <f t="shared" si="406"/>
        <v xml:space="preserve">COM VALOR</v>
      </c>
      <c r="J8699" s="19"/>
      <c r="L8699" s="21">
        <v>0</v>
      </c>
      <c r="M8699" s="22"/>
      <c r="N8699" s="21">
        <v>0</v>
      </c>
      <c r="O8699" s="22"/>
    </row>
    <row r="8700" ht="25.5">
      <c r="A8700" t="s">
        <v>8763</v>
      </c>
      <c r="B8700" s="19">
        <v>106281</v>
      </c>
      <c r="C8700" s="20" t="s">
        <v>8809</v>
      </c>
      <c r="D8700" s="19" t="s">
        <v>31</v>
      </c>
      <c r="E8700" s="21" t="str">
        <f t="shared" si="404"/>
        <v>VERIFICAR</v>
      </c>
      <c r="F8700" s="22"/>
      <c r="G8700" s="21" t="str">
        <f t="shared" si="405"/>
        <v>VERIFICAR</v>
      </c>
      <c r="H8700" s="22"/>
      <c r="I8700" s="23" t="str">
        <f t="shared" si="406"/>
        <v xml:space="preserve">COM VALOR</v>
      </c>
      <c r="J8700" s="19"/>
      <c r="L8700" s="21">
        <v>0</v>
      </c>
      <c r="M8700" s="22"/>
      <c r="N8700" s="21">
        <v>0</v>
      </c>
      <c r="O8700" s="22"/>
    </row>
    <row r="8701" ht="25.5">
      <c r="A8701" t="s">
        <v>8763</v>
      </c>
      <c r="B8701" s="19">
        <v>106264</v>
      </c>
      <c r="C8701" s="20" t="s">
        <v>8810</v>
      </c>
      <c r="D8701" s="19" t="s">
        <v>38</v>
      </c>
      <c r="E8701" s="21" t="str">
        <f t="shared" si="404"/>
        <v>VERIFICAR</v>
      </c>
      <c r="F8701" s="22"/>
      <c r="G8701" s="21" t="str">
        <f t="shared" si="405"/>
        <v>VERIFICAR</v>
      </c>
      <c r="H8701" s="22"/>
      <c r="I8701" s="23" t="str">
        <f t="shared" si="406"/>
        <v xml:space="preserve">COM VALOR</v>
      </c>
      <c r="J8701" s="19"/>
      <c r="L8701" s="21">
        <v>0</v>
      </c>
      <c r="M8701" s="22"/>
      <c r="N8701" s="21">
        <v>0</v>
      </c>
      <c r="O8701" s="22"/>
    </row>
    <row r="8702" ht="25.5">
      <c r="A8702" t="s">
        <v>8811</v>
      </c>
      <c r="B8702" s="19">
        <v>97097</v>
      </c>
      <c r="C8702" s="20" t="s">
        <v>8812</v>
      </c>
      <c r="D8702" s="19" t="s">
        <v>29</v>
      </c>
      <c r="E8702" s="21">
        <f t="shared" si="404"/>
        <v>36.450000000000003</v>
      </c>
      <c r="F8702" s="22"/>
      <c r="G8702" s="21">
        <f t="shared" si="405"/>
        <v>36.310000000000002</v>
      </c>
      <c r="H8702" s="22"/>
      <c r="I8702" s="23" t="str">
        <f t="shared" si="406"/>
        <v xml:space="preserve">COM VALOR</v>
      </c>
      <c r="J8702" s="19"/>
      <c r="L8702" s="21">
        <v>36.450000000000003</v>
      </c>
      <c r="M8702" s="22">
        <v>0</v>
      </c>
      <c r="N8702" s="21">
        <v>36.310000000000002</v>
      </c>
      <c r="O8702" s="22">
        <v>0</v>
      </c>
    </row>
    <row r="8703" ht="25.5">
      <c r="A8703" t="s">
        <v>8811</v>
      </c>
      <c r="B8703" s="19">
        <v>97089</v>
      </c>
      <c r="C8703" s="20" t="s">
        <v>8813</v>
      </c>
      <c r="D8703" s="19" t="s">
        <v>302</v>
      </c>
      <c r="E8703" s="21">
        <f t="shared" si="404"/>
        <v>14.199999999999999</v>
      </c>
      <c r="F8703" s="22"/>
      <c r="G8703" s="21">
        <f t="shared" si="405"/>
        <v>14.130000000000001</v>
      </c>
      <c r="H8703" s="22"/>
      <c r="I8703" s="23" t="str">
        <f t="shared" si="406"/>
        <v xml:space="preserve">COM VALOR</v>
      </c>
      <c r="J8703" s="19"/>
      <c r="L8703" s="21">
        <v>14.199999999999999</v>
      </c>
      <c r="M8703" s="22">
        <v>0</v>
      </c>
      <c r="N8703" s="21">
        <v>14.130000000000001</v>
      </c>
      <c r="O8703" s="22">
        <v>0</v>
      </c>
    </row>
    <row r="8704" ht="25.5">
      <c r="A8704" t="s">
        <v>8811</v>
      </c>
      <c r="B8704" s="19">
        <v>97090</v>
      </c>
      <c r="C8704" s="20" t="s">
        <v>8814</v>
      </c>
      <c r="D8704" s="19" t="s">
        <v>302</v>
      </c>
      <c r="E8704" s="21">
        <f t="shared" si="404"/>
        <v>13.9</v>
      </c>
      <c r="F8704" s="22"/>
      <c r="G8704" s="21">
        <f t="shared" si="405"/>
        <v>13.84</v>
      </c>
      <c r="H8704" s="22"/>
      <c r="I8704" s="23" t="str">
        <f t="shared" si="406"/>
        <v xml:space="preserve">COM VALOR</v>
      </c>
      <c r="J8704" s="19"/>
      <c r="L8704" s="21">
        <v>13.9</v>
      </c>
      <c r="M8704" s="22">
        <v>0</v>
      </c>
      <c r="N8704" s="21">
        <v>13.84</v>
      </c>
      <c r="O8704" s="22">
        <v>0</v>
      </c>
    </row>
    <row r="8705" ht="25.5">
      <c r="A8705" t="s">
        <v>8811</v>
      </c>
      <c r="B8705" s="19">
        <v>97091</v>
      </c>
      <c r="C8705" s="20" t="s">
        <v>8815</v>
      </c>
      <c r="D8705" s="19" t="s">
        <v>302</v>
      </c>
      <c r="E8705" s="21">
        <f t="shared" si="404"/>
        <v>13.460000000000001</v>
      </c>
      <c r="F8705" s="22"/>
      <c r="G8705" s="21">
        <f t="shared" si="405"/>
        <v>13.4</v>
      </c>
      <c r="H8705" s="22"/>
      <c r="I8705" s="23" t="str">
        <f t="shared" si="406"/>
        <v xml:space="preserve">COM VALOR</v>
      </c>
      <c r="J8705" s="19"/>
      <c r="L8705" s="21">
        <v>13.460000000000001</v>
      </c>
      <c r="M8705" s="22">
        <v>0</v>
      </c>
      <c r="N8705" s="21">
        <v>13.4</v>
      </c>
      <c r="O8705" s="22">
        <v>0</v>
      </c>
    </row>
    <row r="8706" ht="25.5">
      <c r="A8706" t="s">
        <v>8811</v>
      </c>
      <c r="B8706" s="19">
        <v>97092</v>
      </c>
      <c r="C8706" s="20" t="s">
        <v>8816</v>
      </c>
      <c r="D8706" s="19" t="s">
        <v>302</v>
      </c>
      <c r="E8706" s="21">
        <f t="shared" si="404"/>
        <v>12.98</v>
      </c>
      <c r="F8706" s="22"/>
      <c r="G8706" s="21">
        <f t="shared" si="405"/>
        <v>12.94</v>
      </c>
      <c r="H8706" s="22"/>
      <c r="I8706" s="23" t="str">
        <f t="shared" si="406"/>
        <v xml:space="preserve">COM VALOR</v>
      </c>
      <c r="J8706" s="19"/>
      <c r="L8706" s="21">
        <v>12.98</v>
      </c>
      <c r="M8706" s="22">
        <v>0</v>
      </c>
      <c r="N8706" s="21">
        <v>12.94</v>
      </c>
      <c r="O8706" s="22">
        <v>0</v>
      </c>
    </row>
    <row r="8707" ht="25.5">
      <c r="A8707" t="s">
        <v>8811</v>
      </c>
      <c r="B8707" s="19">
        <v>103053</v>
      </c>
      <c r="C8707" s="20" t="s">
        <v>8817</v>
      </c>
      <c r="D8707" s="19" t="s">
        <v>302</v>
      </c>
      <c r="E8707" s="21" t="str">
        <f t="shared" si="404"/>
        <v>VERIFICAR</v>
      </c>
      <c r="F8707" s="22"/>
      <c r="G8707" s="21" t="str">
        <f t="shared" si="405"/>
        <v>VERIFICAR</v>
      </c>
      <c r="H8707" s="22"/>
      <c r="I8707" s="23" t="str">
        <f t="shared" si="406"/>
        <v xml:space="preserve">COM VALOR</v>
      </c>
      <c r="J8707" s="19"/>
      <c r="L8707" s="21">
        <v>0</v>
      </c>
      <c r="M8707" s="22"/>
      <c r="N8707" s="21">
        <v>0</v>
      </c>
      <c r="O8707" s="22"/>
    </row>
    <row r="8708" ht="25.5">
      <c r="A8708" t="s">
        <v>8811</v>
      </c>
      <c r="B8708" s="19">
        <v>97093</v>
      </c>
      <c r="C8708" s="20" t="s">
        <v>8818</v>
      </c>
      <c r="D8708" s="19" t="s">
        <v>302</v>
      </c>
      <c r="E8708" s="21">
        <f t="shared" si="404"/>
        <v>12.140000000000001</v>
      </c>
      <c r="F8708" s="22"/>
      <c r="G8708" s="21">
        <f t="shared" si="405"/>
        <v>12.109999999999999</v>
      </c>
      <c r="H8708" s="22"/>
      <c r="I8708" s="23" t="str">
        <f t="shared" si="406"/>
        <v xml:space="preserve">COM VALOR</v>
      </c>
      <c r="J8708" s="19"/>
      <c r="L8708" s="21">
        <v>12.140000000000001</v>
      </c>
      <c r="M8708" s="22">
        <v>0</v>
      </c>
      <c r="N8708" s="21">
        <v>12.109999999999999</v>
      </c>
      <c r="O8708" s="22">
        <v>0</v>
      </c>
    </row>
    <row r="8709" ht="25.5">
      <c r="A8709" t="s">
        <v>8811</v>
      </c>
      <c r="B8709" s="19">
        <v>103054</v>
      </c>
      <c r="C8709" s="20" t="s">
        <v>8819</v>
      </c>
      <c r="D8709" s="19" t="s">
        <v>302</v>
      </c>
      <c r="E8709" s="21" t="str">
        <f t="shared" si="404"/>
        <v>VERIFICAR</v>
      </c>
      <c r="F8709" s="22"/>
      <c r="G8709" s="21" t="str">
        <f t="shared" si="405"/>
        <v>VERIFICAR</v>
      </c>
      <c r="H8709" s="22"/>
      <c r="I8709" s="23" t="str">
        <f t="shared" si="406"/>
        <v xml:space="preserve">COM VALOR</v>
      </c>
      <c r="J8709" s="19"/>
      <c r="L8709" s="21">
        <v>0</v>
      </c>
      <c r="M8709" s="22"/>
      <c r="N8709" s="21">
        <v>0</v>
      </c>
      <c r="O8709" s="22"/>
    </row>
    <row r="8710" ht="25.5">
      <c r="A8710" t="s">
        <v>8811</v>
      </c>
      <c r="B8710" s="19">
        <v>97088</v>
      </c>
      <c r="C8710" s="20" t="s">
        <v>8820</v>
      </c>
      <c r="D8710" s="19" t="s">
        <v>302</v>
      </c>
      <c r="E8710" s="21">
        <f t="shared" si="404"/>
        <v>15.550000000000001</v>
      </c>
      <c r="F8710" s="22"/>
      <c r="G8710" s="21">
        <f t="shared" si="405"/>
        <v>15.470000000000001</v>
      </c>
      <c r="H8710" s="22"/>
      <c r="I8710" s="23" t="str">
        <f t="shared" si="406"/>
        <v xml:space="preserve">COM VALOR</v>
      </c>
      <c r="J8710" s="19"/>
      <c r="L8710" s="21">
        <v>15.550000000000001</v>
      </c>
      <c r="M8710" s="22">
        <v>0</v>
      </c>
      <c r="N8710" s="21">
        <v>15.470000000000001</v>
      </c>
      <c r="O8710" s="22">
        <v>0</v>
      </c>
    </row>
    <row r="8711" ht="25.5">
      <c r="A8711" t="s">
        <v>8811</v>
      </c>
      <c r="B8711" s="19">
        <v>97087</v>
      </c>
      <c r="C8711" s="20" t="s">
        <v>8821</v>
      </c>
      <c r="D8711" s="19" t="s">
        <v>29</v>
      </c>
      <c r="E8711" s="21">
        <f t="shared" si="404"/>
        <v>3.5</v>
      </c>
      <c r="F8711" s="22"/>
      <c r="G8711" s="21">
        <f t="shared" si="405"/>
        <v>3.4700000000000002</v>
      </c>
      <c r="H8711" s="22"/>
      <c r="I8711" s="23" t="str">
        <f t="shared" si="406"/>
        <v xml:space="preserve">COM VALOR</v>
      </c>
      <c r="J8711" s="19"/>
      <c r="L8711" s="21">
        <v>3.5</v>
      </c>
      <c r="M8711" s="22">
        <v>0</v>
      </c>
      <c r="N8711" s="21">
        <v>3.4700000000000002</v>
      </c>
      <c r="O8711" s="22">
        <v>0</v>
      </c>
    </row>
    <row r="8712" ht="38.25">
      <c r="A8712" t="s">
        <v>8811</v>
      </c>
      <c r="B8712" s="19">
        <v>97083</v>
      </c>
      <c r="C8712" s="20" t="s">
        <v>8822</v>
      </c>
      <c r="D8712" s="19" t="s">
        <v>29</v>
      </c>
      <c r="E8712" s="21">
        <f t="shared" si="404"/>
        <v>3.4900000000000002</v>
      </c>
      <c r="F8712" s="22"/>
      <c r="G8712" s="21">
        <f t="shared" si="405"/>
        <v>3.2999999999999998</v>
      </c>
      <c r="H8712" s="22"/>
      <c r="I8712" s="23" t="str">
        <f t="shared" si="406"/>
        <v xml:space="preserve">COM VALOR</v>
      </c>
      <c r="J8712" s="19"/>
      <c r="L8712" s="21">
        <v>3.4900000000000002</v>
      </c>
      <c r="M8712" s="22">
        <v>0</v>
      </c>
      <c r="N8712" s="21">
        <v>3.2999999999999998</v>
      </c>
      <c r="O8712" s="22">
        <v>0</v>
      </c>
    </row>
    <row r="8713" ht="38.25">
      <c r="A8713" t="s">
        <v>8811</v>
      </c>
      <c r="B8713" s="19">
        <v>97084</v>
      </c>
      <c r="C8713" s="20" t="s">
        <v>8823</v>
      </c>
      <c r="D8713" s="19" t="s">
        <v>29</v>
      </c>
      <c r="E8713" s="21">
        <f t="shared" si="404"/>
        <v>0.72999999999999998</v>
      </c>
      <c r="F8713" s="22"/>
      <c r="G8713" s="21">
        <f t="shared" si="405"/>
        <v>0.68999999999999995</v>
      </c>
      <c r="H8713" s="22"/>
      <c r="I8713" s="23" t="str">
        <f t="shared" si="406"/>
        <v xml:space="preserve">COM VALOR</v>
      </c>
      <c r="J8713" s="19"/>
      <c r="L8713" s="21">
        <v>0.72999999999999998</v>
      </c>
      <c r="M8713" s="22">
        <v>0</v>
      </c>
      <c r="N8713" s="21">
        <v>0.68999999999999995</v>
      </c>
      <c r="O8713" s="22">
        <v>0</v>
      </c>
    </row>
    <row r="8714" ht="25.5">
      <c r="A8714" t="s">
        <v>8811</v>
      </c>
      <c r="B8714" s="19">
        <v>97096</v>
      </c>
      <c r="C8714" s="20" t="s">
        <v>8824</v>
      </c>
      <c r="D8714" s="19" t="s">
        <v>121</v>
      </c>
      <c r="E8714" s="21">
        <f t="shared" si="404"/>
        <v>702.67999999999995</v>
      </c>
      <c r="F8714" s="22"/>
      <c r="G8714" s="21">
        <f t="shared" si="405"/>
        <v>701.50999999999999</v>
      </c>
      <c r="H8714" s="22"/>
      <c r="I8714" s="23" t="str">
        <f t="shared" si="406"/>
        <v xml:space="preserve">COM VALOR</v>
      </c>
      <c r="J8714" s="19"/>
      <c r="L8714" s="21">
        <v>702.67999999999995</v>
      </c>
      <c r="M8714" s="22">
        <v>0</v>
      </c>
      <c r="N8714" s="21">
        <v>701.50999999999999</v>
      </c>
      <c r="O8714" s="22">
        <v>0</v>
      </c>
    </row>
    <row r="8715" ht="12.75">
      <c r="A8715" t="s">
        <v>8811</v>
      </c>
      <c r="B8715" s="19">
        <v>97082</v>
      </c>
      <c r="C8715" s="20" t="s">
        <v>8825</v>
      </c>
      <c r="D8715" s="19" t="s">
        <v>121</v>
      </c>
      <c r="E8715" s="21">
        <f t="shared" ref="E8715:E8778" si="407">IF(L8715=0,"VERIFICAR",L8715)</f>
        <v>66.090000000000003</v>
      </c>
      <c r="F8715" s="22"/>
      <c r="G8715" s="21">
        <f t="shared" ref="G8715:G8778" si="408">IF(N8715=0,"VERIFICAR",N8715)</f>
        <v>62.579999999999998</v>
      </c>
      <c r="H8715" s="22"/>
      <c r="I8715" s="23" t="str">
        <f t="shared" ref="I8715:I8778" si="409">IF(OR(E8715=0,G8715=0),"SEM VALOR","COM VALOR")</f>
        <v xml:space="preserve">COM VALOR</v>
      </c>
      <c r="J8715" s="19"/>
      <c r="L8715" s="21">
        <v>66.090000000000003</v>
      </c>
      <c r="M8715" s="22">
        <v>0</v>
      </c>
      <c r="N8715" s="21">
        <v>62.579999999999998</v>
      </c>
      <c r="O8715" s="22">
        <v>0</v>
      </c>
    </row>
    <row r="8716" ht="25.5">
      <c r="A8716" t="s">
        <v>8811</v>
      </c>
      <c r="B8716" s="19">
        <v>103076</v>
      </c>
      <c r="C8716" s="20" t="s">
        <v>8826</v>
      </c>
      <c r="D8716" s="19" t="s">
        <v>29</v>
      </c>
      <c r="E8716" s="21">
        <f t="shared" si="407"/>
        <v>157</v>
      </c>
      <c r="F8716" s="22"/>
      <c r="G8716" s="21">
        <f t="shared" si="408"/>
        <v>155.63</v>
      </c>
      <c r="H8716" s="22"/>
      <c r="I8716" s="23" t="str">
        <f t="shared" si="409"/>
        <v xml:space="preserve">COM VALOR</v>
      </c>
      <c r="J8716" s="19"/>
      <c r="L8716" s="21">
        <v>157</v>
      </c>
      <c r="M8716" s="22">
        <v>0</v>
      </c>
      <c r="N8716" s="21">
        <v>155.63</v>
      </c>
      <c r="O8716" s="22">
        <v>0</v>
      </c>
    </row>
    <row r="8717" ht="25.5">
      <c r="A8717" t="s">
        <v>8811</v>
      </c>
      <c r="B8717" s="19">
        <v>103067</v>
      </c>
      <c r="C8717" s="20" t="s">
        <v>8827</v>
      </c>
      <c r="D8717" s="19" t="s">
        <v>29</v>
      </c>
      <c r="E8717" s="21" t="str">
        <f t="shared" si="407"/>
        <v>VERIFICAR</v>
      </c>
      <c r="F8717" s="22"/>
      <c r="G8717" s="21" t="str">
        <f t="shared" si="408"/>
        <v>VERIFICAR</v>
      </c>
      <c r="H8717" s="22"/>
      <c r="I8717" s="23" t="str">
        <f t="shared" si="409"/>
        <v xml:space="preserve">COM VALOR</v>
      </c>
      <c r="J8717" s="19"/>
      <c r="L8717" s="21">
        <v>0</v>
      </c>
      <c r="M8717" s="22"/>
      <c r="N8717" s="21">
        <v>0</v>
      </c>
      <c r="O8717" s="22"/>
    </row>
    <row r="8718" ht="25.5">
      <c r="A8718" t="s">
        <v>8811</v>
      </c>
      <c r="B8718" s="19">
        <v>103077</v>
      </c>
      <c r="C8718" s="20" t="s">
        <v>8828</v>
      </c>
      <c r="D8718" s="19" t="s">
        <v>29</v>
      </c>
      <c r="E8718" s="21">
        <f t="shared" si="407"/>
        <v>204.84</v>
      </c>
      <c r="F8718" s="22"/>
      <c r="G8718" s="21">
        <f t="shared" si="408"/>
        <v>203.28</v>
      </c>
      <c r="H8718" s="22"/>
      <c r="I8718" s="23" t="str">
        <f t="shared" si="409"/>
        <v xml:space="preserve">COM VALOR</v>
      </c>
      <c r="J8718" s="19"/>
      <c r="L8718" s="21">
        <v>204.84</v>
      </c>
      <c r="M8718" s="22">
        <v>0</v>
      </c>
      <c r="N8718" s="21">
        <v>203.28</v>
      </c>
      <c r="O8718" s="22">
        <v>0</v>
      </c>
    </row>
    <row r="8719" ht="25.5">
      <c r="A8719" t="s">
        <v>8811</v>
      </c>
      <c r="B8719" s="19">
        <v>103068</v>
      </c>
      <c r="C8719" s="20" t="s">
        <v>8829</v>
      </c>
      <c r="D8719" s="19" t="s">
        <v>29</v>
      </c>
      <c r="E8719" s="21" t="str">
        <f t="shared" si="407"/>
        <v>VERIFICAR</v>
      </c>
      <c r="F8719" s="22"/>
      <c r="G8719" s="21" t="str">
        <f t="shared" si="408"/>
        <v>VERIFICAR</v>
      </c>
      <c r="H8719" s="22"/>
      <c r="I8719" s="23" t="str">
        <f t="shared" si="409"/>
        <v xml:space="preserve">COM VALOR</v>
      </c>
      <c r="J8719" s="19"/>
      <c r="L8719" s="21">
        <v>0</v>
      </c>
      <c r="M8719" s="22"/>
      <c r="N8719" s="21">
        <v>0</v>
      </c>
      <c r="O8719" s="22"/>
    </row>
    <row r="8720" ht="25.5">
      <c r="A8720" t="s">
        <v>8811</v>
      </c>
      <c r="B8720" s="19">
        <v>103078</v>
      </c>
      <c r="C8720" s="20" t="s">
        <v>8830</v>
      </c>
      <c r="D8720" s="19" t="s">
        <v>29</v>
      </c>
      <c r="E8720" s="21">
        <f t="shared" si="407"/>
        <v>249.30000000000001</v>
      </c>
      <c r="F8720" s="22"/>
      <c r="G8720" s="21">
        <f t="shared" si="408"/>
        <v>247.53999999999999</v>
      </c>
      <c r="H8720" s="22"/>
      <c r="I8720" s="23" t="str">
        <f t="shared" si="409"/>
        <v xml:space="preserve">COM VALOR</v>
      </c>
      <c r="J8720" s="19"/>
      <c r="L8720" s="21">
        <v>249.30000000000001</v>
      </c>
      <c r="M8720" s="22">
        <v>0</v>
      </c>
      <c r="N8720" s="21">
        <v>247.53999999999999</v>
      </c>
      <c r="O8720" s="22">
        <v>0</v>
      </c>
    </row>
    <row r="8721" ht="25.5">
      <c r="A8721" t="s">
        <v>8811</v>
      </c>
      <c r="B8721" s="19">
        <v>103069</v>
      </c>
      <c r="C8721" s="20" t="s">
        <v>8831</v>
      </c>
      <c r="D8721" s="19" t="s">
        <v>29</v>
      </c>
      <c r="E8721" s="21" t="str">
        <f t="shared" si="407"/>
        <v>VERIFICAR</v>
      </c>
      <c r="F8721" s="22"/>
      <c r="G8721" s="21" t="str">
        <f t="shared" si="408"/>
        <v>VERIFICAR</v>
      </c>
      <c r="H8721" s="22"/>
      <c r="I8721" s="23" t="str">
        <f t="shared" si="409"/>
        <v xml:space="preserve">COM VALOR</v>
      </c>
      <c r="J8721" s="19"/>
      <c r="L8721" s="21">
        <v>0</v>
      </c>
      <c r="M8721" s="22"/>
      <c r="N8721" s="21">
        <v>0</v>
      </c>
      <c r="O8721" s="22"/>
    </row>
    <row r="8722" ht="25.5">
      <c r="A8722" t="s">
        <v>8811</v>
      </c>
      <c r="B8722" s="19">
        <v>103079</v>
      </c>
      <c r="C8722" s="20" t="s">
        <v>8832</v>
      </c>
      <c r="D8722" s="19" t="s">
        <v>29</v>
      </c>
      <c r="E8722" s="21">
        <f t="shared" si="407"/>
        <v>300</v>
      </c>
      <c r="F8722" s="22"/>
      <c r="G8722" s="21">
        <f t="shared" si="408"/>
        <v>298.11000000000001</v>
      </c>
      <c r="H8722" s="22"/>
      <c r="I8722" s="23" t="str">
        <f t="shared" si="409"/>
        <v xml:space="preserve">COM VALOR</v>
      </c>
      <c r="J8722" s="19"/>
      <c r="L8722" s="21">
        <v>300</v>
      </c>
      <c r="M8722" s="22">
        <v>0</v>
      </c>
      <c r="N8722" s="21">
        <v>298.11000000000001</v>
      </c>
      <c r="O8722" s="22">
        <v>0</v>
      </c>
    </row>
    <row r="8723" ht="25.5">
      <c r="A8723" t="s">
        <v>8811</v>
      </c>
      <c r="B8723" s="19">
        <v>103070</v>
      </c>
      <c r="C8723" s="20" t="s">
        <v>8833</v>
      </c>
      <c r="D8723" s="19" t="s">
        <v>29</v>
      </c>
      <c r="E8723" s="21" t="str">
        <f t="shared" si="407"/>
        <v>VERIFICAR</v>
      </c>
      <c r="F8723" s="22"/>
      <c r="G8723" s="21" t="str">
        <f t="shared" si="408"/>
        <v>VERIFICAR</v>
      </c>
      <c r="H8723" s="22"/>
      <c r="I8723" s="23" t="str">
        <f t="shared" si="409"/>
        <v xml:space="preserve">COM VALOR</v>
      </c>
      <c r="J8723" s="19"/>
      <c r="L8723" s="21">
        <v>0</v>
      </c>
      <c r="M8723" s="22"/>
      <c r="N8723" s="21">
        <v>0</v>
      </c>
      <c r="O8723" s="22"/>
    </row>
    <row r="8724" ht="25.5">
      <c r="A8724" t="s">
        <v>8811</v>
      </c>
      <c r="B8724" s="19">
        <v>103080</v>
      </c>
      <c r="C8724" s="20" t="s">
        <v>8834</v>
      </c>
      <c r="D8724" s="19" t="s">
        <v>29</v>
      </c>
      <c r="E8724" s="21">
        <f t="shared" si="407"/>
        <v>365.82999999999998</v>
      </c>
      <c r="F8724" s="22"/>
      <c r="G8724" s="21">
        <f t="shared" si="408"/>
        <v>363.75999999999999</v>
      </c>
      <c r="H8724" s="22"/>
      <c r="I8724" s="23" t="str">
        <f t="shared" si="409"/>
        <v xml:space="preserve">COM VALOR</v>
      </c>
      <c r="J8724" s="19"/>
      <c r="L8724" s="21">
        <v>365.82999999999998</v>
      </c>
      <c r="M8724" s="22">
        <v>0</v>
      </c>
      <c r="N8724" s="21">
        <v>363.75999999999999</v>
      </c>
      <c r="O8724" s="22">
        <v>0</v>
      </c>
    </row>
    <row r="8725" ht="25.5">
      <c r="A8725" t="s">
        <v>8811</v>
      </c>
      <c r="B8725" s="19">
        <v>103071</v>
      </c>
      <c r="C8725" s="20" t="s">
        <v>8835</v>
      </c>
      <c r="D8725" s="19" t="s">
        <v>29</v>
      </c>
      <c r="E8725" s="21" t="str">
        <f t="shared" si="407"/>
        <v>VERIFICAR</v>
      </c>
      <c r="F8725" s="22"/>
      <c r="G8725" s="21" t="str">
        <f t="shared" si="408"/>
        <v>VERIFICAR</v>
      </c>
      <c r="H8725" s="22"/>
      <c r="I8725" s="23" t="str">
        <f t="shared" si="409"/>
        <v xml:space="preserve">COM VALOR</v>
      </c>
      <c r="J8725" s="19"/>
      <c r="L8725" s="21">
        <v>0</v>
      </c>
      <c r="M8725" s="22"/>
      <c r="N8725" s="21">
        <v>0</v>
      </c>
      <c r="O8725" s="22"/>
    </row>
    <row r="8726" ht="38.25">
      <c r="A8726" t="s">
        <v>8811</v>
      </c>
      <c r="B8726" s="19">
        <v>103075</v>
      </c>
      <c r="C8726" s="20" t="s">
        <v>8836</v>
      </c>
      <c r="D8726" s="19" t="s">
        <v>29</v>
      </c>
      <c r="E8726" s="21">
        <f t="shared" si="407"/>
        <v>220.49000000000001</v>
      </c>
      <c r="F8726" s="22"/>
      <c r="G8726" s="21">
        <f t="shared" si="408"/>
        <v>218.94</v>
      </c>
      <c r="H8726" s="22"/>
      <c r="I8726" s="23" t="str">
        <f t="shared" si="409"/>
        <v xml:space="preserve">COM VALOR</v>
      </c>
      <c r="J8726" s="19"/>
      <c r="L8726" s="21">
        <v>220.49000000000001</v>
      </c>
      <c r="M8726" s="22">
        <v>0</v>
      </c>
      <c r="N8726" s="21">
        <v>218.94</v>
      </c>
      <c r="O8726" s="22">
        <v>0</v>
      </c>
    </row>
    <row r="8727" ht="38.25">
      <c r="A8727" t="s">
        <v>8811</v>
      </c>
      <c r="B8727" s="19">
        <v>103062</v>
      </c>
      <c r="C8727" s="20" t="s">
        <v>8837</v>
      </c>
      <c r="D8727" s="19" t="s">
        <v>29</v>
      </c>
      <c r="E8727" s="21" t="str">
        <f t="shared" si="407"/>
        <v>VERIFICAR</v>
      </c>
      <c r="F8727" s="22"/>
      <c r="G8727" s="21" t="str">
        <f t="shared" si="408"/>
        <v>VERIFICAR</v>
      </c>
      <c r="H8727" s="22"/>
      <c r="I8727" s="23" t="str">
        <f t="shared" si="409"/>
        <v xml:space="preserve">COM VALOR</v>
      </c>
      <c r="J8727" s="19"/>
      <c r="L8727" s="21">
        <v>0</v>
      </c>
      <c r="M8727" s="22"/>
      <c r="N8727" s="21">
        <v>0</v>
      </c>
      <c r="O8727" s="22"/>
    </row>
    <row r="8728" ht="38.25">
      <c r="A8728" t="s">
        <v>8811</v>
      </c>
      <c r="B8728" s="19">
        <v>103065</v>
      </c>
      <c r="C8728" s="20" t="s">
        <v>8838</v>
      </c>
      <c r="D8728" s="19" t="s">
        <v>29</v>
      </c>
      <c r="E8728" s="21" t="str">
        <f t="shared" si="407"/>
        <v>VERIFICAR</v>
      </c>
      <c r="F8728" s="22"/>
      <c r="G8728" s="21" t="str">
        <f t="shared" si="408"/>
        <v>VERIFICAR</v>
      </c>
      <c r="H8728" s="22"/>
      <c r="I8728" s="23" t="str">
        <f t="shared" si="409"/>
        <v xml:space="preserve">COM VALOR</v>
      </c>
      <c r="J8728" s="19"/>
      <c r="L8728" s="21">
        <v>0</v>
      </c>
      <c r="M8728" s="22"/>
      <c r="N8728" s="21">
        <v>0</v>
      </c>
      <c r="O8728" s="22"/>
    </row>
    <row r="8729" ht="38.25">
      <c r="A8729" t="s">
        <v>8811</v>
      </c>
      <c r="B8729" s="19">
        <v>103063</v>
      </c>
      <c r="C8729" s="20" t="s">
        <v>8839</v>
      </c>
      <c r="D8729" s="19" t="s">
        <v>29</v>
      </c>
      <c r="E8729" s="21" t="str">
        <f t="shared" si="407"/>
        <v>VERIFICAR</v>
      </c>
      <c r="F8729" s="22">
        <v>0.78000000000000003</v>
      </c>
      <c r="G8729" s="21" t="str">
        <f t="shared" si="408"/>
        <v>VERIFICAR</v>
      </c>
      <c r="H8729" s="22">
        <v>0.80000000000000004</v>
      </c>
      <c r="I8729" s="23" t="str">
        <f t="shared" si="409"/>
        <v xml:space="preserve">COM VALOR</v>
      </c>
      <c r="J8729" s="19"/>
      <c r="L8729" s="21">
        <v>0</v>
      </c>
      <c r="M8729" s="22"/>
      <c r="N8729" s="21">
        <v>0</v>
      </c>
      <c r="O8729" s="22"/>
    </row>
    <row r="8730" ht="38.25">
      <c r="A8730" t="s">
        <v>8811</v>
      </c>
      <c r="B8730" s="19">
        <v>103066</v>
      </c>
      <c r="C8730" s="20" t="s">
        <v>8840</v>
      </c>
      <c r="D8730" s="19" t="s">
        <v>29</v>
      </c>
      <c r="E8730" s="21" t="str">
        <f t="shared" si="407"/>
        <v>VERIFICAR</v>
      </c>
      <c r="F8730" s="22">
        <v>0.87</v>
      </c>
      <c r="G8730" s="21" t="str">
        <f t="shared" si="408"/>
        <v>VERIFICAR</v>
      </c>
      <c r="H8730" s="22">
        <v>0.87</v>
      </c>
      <c r="I8730" s="23" t="str">
        <f t="shared" si="409"/>
        <v xml:space="preserve">COM VALOR</v>
      </c>
      <c r="J8730" s="19"/>
      <c r="L8730" s="21">
        <v>0</v>
      </c>
      <c r="M8730" s="22"/>
      <c r="N8730" s="21">
        <v>0</v>
      </c>
      <c r="O8730" s="22"/>
    </row>
    <row r="8731" ht="38.25">
      <c r="A8731" t="s">
        <v>8811</v>
      </c>
      <c r="B8731" s="19">
        <v>103064</v>
      </c>
      <c r="C8731" s="20" t="s">
        <v>8841</v>
      </c>
      <c r="D8731" s="19" t="s">
        <v>29</v>
      </c>
      <c r="E8731" s="21" t="str">
        <f t="shared" si="407"/>
        <v>VERIFICAR</v>
      </c>
      <c r="F8731" s="22">
        <v>0.70999999999999996</v>
      </c>
      <c r="G8731" s="21" t="str">
        <f t="shared" si="408"/>
        <v>VERIFICAR</v>
      </c>
      <c r="H8731" s="22">
        <v>0.71999999999999997</v>
      </c>
      <c r="I8731" s="23" t="str">
        <f t="shared" si="409"/>
        <v xml:space="preserve">COM VALOR</v>
      </c>
      <c r="J8731" s="19"/>
      <c r="L8731" s="21">
        <v>0</v>
      </c>
      <c r="M8731" s="22"/>
      <c r="N8731" s="21">
        <v>0</v>
      </c>
      <c r="O8731" s="22"/>
    </row>
    <row r="8732" ht="38.25">
      <c r="A8732" t="s">
        <v>8811</v>
      </c>
      <c r="B8732" s="19">
        <v>103074</v>
      </c>
      <c r="C8732" s="20" t="s">
        <v>8842</v>
      </c>
      <c r="D8732" s="19" t="s">
        <v>29</v>
      </c>
      <c r="E8732" s="21">
        <f t="shared" si="407"/>
        <v>184.03999999999999</v>
      </c>
      <c r="F8732" s="22">
        <v>0.97999999999999998</v>
      </c>
      <c r="G8732" s="21">
        <f t="shared" si="408"/>
        <v>182.63</v>
      </c>
      <c r="H8732" s="22">
        <v>0.97999999999999998</v>
      </c>
      <c r="I8732" s="23" t="str">
        <f t="shared" si="409"/>
        <v xml:space="preserve">COM VALOR</v>
      </c>
      <c r="J8732" s="19"/>
      <c r="L8732" s="21">
        <v>184.03999999999999</v>
      </c>
      <c r="M8732" s="22">
        <v>0</v>
      </c>
      <c r="N8732" s="21">
        <v>182.63</v>
      </c>
      <c r="O8732" s="22">
        <v>0</v>
      </c>
    </row>
    <row r="8733" ht="38.25">
      <c r="A8733" t="s">
        <v>8811</v>
      </c>
      <c r="B8733" s="19">
        <v>103057</v>
      </c>
      <c r="C8733" s="20" t="s">
        <v>8843</v>
      </c>
      <c r="D8733" s="19" t="s">
        <v>29</v>
      </c>
      <c r="E8733" s="21" t="str">
        <f t="shared" si="407"/>
        <v>VERIFICAR</v>
      </c>
      <c r="F8733" s="22">
        <v>0.70999999999999996</v>
      </c>
      <c r="G8733" s="21" t="str">
        <f t="shared" si="408"/>
        <v>VERIFICAR</v>
      </c>
      <c r="H8733" s="22">
        <v>0.72999999999999998</v>
      </c>
      <c r="I8733" s="23" t="str">
        <f t="shared" si="409"/>
        <v xml:space="preserve">COM VALOR</v>
      </c>
      <c r="J8733" s="19"/>
      <c r="L8733" s="21">
        <v>0</v>
      </c>
      <c r="M8733" s="22"/>
      <c r="N8733" s="21">
        <v>0</v>
      </c>
      <c r="O8733" s="22"/>
    </row>
    <row r="8734" ht="38.25">
      <c r="A8734" t="s">
        <v>8811</v>
      </c>
      <c r="B8734" s="19">
        <v>103060</v>
      </c>
      <c r="C8734" s="20" t="s">
        <v>8844</v>
      </c>
      <c r="D8734" s="19" t="s">
        <v>29</v>
      </c>
      <c r="E8734" s="21" t="str">
        <f t="shared" si="407"/>
        <v>VERIFICAR</v>
      </c>
      <c r="F8734" s="22">
        <v>0.98999999999999999</v>
      </c>
      <c r="G8734" s="21" t="str">
        <f t="shared" si="408"/>
        <v>VERIFICAR</v>
      </c>
      <c r="H8734" s="22">
        <v>0.98999999999999999</v>
      </c>
      <c r="I8734" s="23" t="str">
        <f t="shared" si="409"/>
        <v xml:space="preserve">COM VALOR</v>
      </c>
      <c r="J8734" s="19"/>
      <c r="L8734" s="21">
        <v>0</v>
      </c>
      <c r="M8734" s="22"/>
      <c r="N8734" s="21">
        <v>0</v>
      </c>
      <c r="O8734" s="22"/>
    </row>
    <row r="8735" ht="38.25">
      <c r="A8735" t="s">
        <v>8811</v>
      </c>
      <c r="B8735" s="19">
        <v>103058</v>
      </c>
      <c r="C8735" s="20" t="s">
        <v>8845</v>
      </c>
      <c r="D8735" s="19" t="s">
        <v>29</v>
      </c>
      <c r="E8735" s="21" t="str">
        <f t="shared" si="407"/>
        <v>VERIFICAR</v>
      </c>
      <c r="F8735" s="22">
        <v>0.98999999999999999</v>
      </c>
      <c r="G8735" s="21" t="str">
        <f t="shared" si="408"/>
        <v>VERIFICAR</v>
      </c>
      <c r="H8735" s="22">
        <v>0.98999999999999999</v>
      </c>
      <c r="I8735" s="23" t="str">
        <f t="shared" si="409"/>
        <v xml:space="preserve">COM VALOR</v>
      </c>
      <c r="J8735" s="19"/>
      <c r="L8735" s="21">
        <v>0</v>
      </c>
      <c r="M8735" s="22"/>
      <c r="N8735" s="21">
        <v>0</v>
      </c>
      <c r="O8735" s="22"/>
    </row>
    <row r="8736" ht="38.25">
      <c r="A8736" t="s">
        <v>8811</v>
      </c>
      <c r="B8736" s="19">
        <v>103061</v>
      </c>
      <c r="C8736" s="20" t="s">
        <v>8846</v>
      </c>
      <c r="D8736" s="19" t="s">
        <v>29</v>
      </c>
      <c r="E8736" s="21" t="str">
        <f t="shared" si="407"/>
        <v>VERIFICAR</v>
      </c>
      <c r="F8736" s="22"/>
      <c r="G8736" s="21" t="str">
        <f t="shared" si="408"/>
        <v>VERIFICAR</v>
      </c>
      <c r="H8736" s="22"/>
      <c r="I8736" s="23" t="str">
        <f t="shared" si="409"/>
        <v xml:space="preserve">COM VALOR</v>
      </c>
      <c r="J8736" s="19"/>
      <c r="L8736" s="21">
        <v>0</v>
      </c>
      <c r="M8736" s="22"/>
      <c r="N8736" s="21">
        <v>0</v>
      </c>
      <c r="O8736" s="22"/>
    </row>
    <row r="8737" ht="38.25">
      <c r="A8737" t="s">
        <v>8811</v>
      </c>
      <c r="B8737" s="19">
        <v>103059</v>
      </c>
      <c r="C8737" s="20" t="s">
        <v>8847</v>
      </c>
      <c r="D8737" s="19" t="s">
        <v>29</v>
      </c>
      <c r="E8737" s="21" t="str">
        <f t="shared" si="407"/>
        <v>VERIFICAR</v>
      </c>
      <c r="F8737" s="22"/>
      <c r="G8737" s="21" t="str">
        <f t="shared" si="408"/>
        <v>VERIFICAR</v>
      </c>
      <c r="H8737" s="22"/>
      <c r="I8737" s="23" t="str">
        <f t="shared" si="409"/>
        <v xml:space="preserve">COM VALOR</v>
      </c>
      <c r="J8737" s="19"/>
      <c r="L8737" s="21">
        <v>0</v>
      </c>
      <c r="M8737" s="22"/>
      <c r="N8737" s="21">
        <v>0</v>
      </c>
      <c r="O8737" s="22"/>
    </row>
    <row r="8738" ht="25.5">
      <c r="A8738" t="s">
        <v>8811</v>
      </c>
      <c r="B8738" s="19">
        <v>97101</v>
      </c>
      <c r="C8738" s="20" t="s">
        <v>8848</v>
      </c>
      <c r="D8738" s="19" t="s">
        <v>29</v>
      </c>
      <c r="E8738" s="21">
        <f t="shared" si="407"/>
        <v>184.75</v>
      </c>
      <c r="F8738" s="22">
        <v>0.98999999999999999</v>
      </c>
      <c r="G8738" s="21">
        <f t="shared" si="408"/>
        <v>183.19999999999999</v>
      </c>
      <c r="H8738" s="22">
        <v>0.98999999999999999</v>
      </c>
      <c r="I8738" s="23" t="str">
        <f t="shared" si="409"/>
        <v xml:space="preserve">COM VALOR</v>
      </c>
      <c r="J8738" s="19"/>
      <c r="L8738" s="21">
        <v>184.75</v>
      </c>
      <c r="M8738" s="22">
        <v>0</v>
      </c>
      <c r="N8738" s="21">
        <v>183.19999999999999</v>
      </c>
      <c r="O8738" s="22">
        <v>0</v>
      </c>
    </row>
    <row r="8739" ht="25.5">
      <c r="A8739" t="s">
        <v>8811</v>
      </c>
      <c r="B8739" s="19">
        <v>97098</v>
      </c>
      <c r="C8739" s="20" t="s">
        <v>8849</v>
      </c>
      <c r="D8739" s="19" t="s">
        <v>29</v>
      </c>
      <c r="E8739" s="21" t="str">
        <f t="shared" si="407"/>
        <v>VERIFICAR</v>
      </c>
      <c r="F8739" s="22"/>
      <c r="G8739" s="21" t="str">
        <f t="shared" si="408"/>
        <v>VERIFICAR</v>
      </c>
      <c r="H8739" s="22"/>
      <c r="I8739" s="23" t="str">
        <f t="shared" si="409"/>
        <v xml:space="preserve">COM VALOR</v>
      </c>
      <c r="J8739" s="19"/>
      <c r="L8739" s="21">
        <v>0</v>
      </c>
      <c r="M8739" s="22"/>
      <c r="N8739" s="21">
        <v>0</v>
      </c>
      <c r="O8739" s="22"/>
    </row>
    <row r="8740" ht="25.5">
      <c r="A8740" t="s">
        <v>8811</v>
      </c>
      <c r="B8740" s="19">
        <v>97102</v>
      </c>
      <c r="C8740" s="20" t="s">
        <v>8850</v>
      </c>
      <c r="D8740" s="19" t="s">
        <v>29</v>
      </c>
      <c r="E8740" s="21">
        <f t="shared" si="407"/>
        <v>232.58000000000001</v>
      </c>
      <c r="F8740" s="22"/>
      <c r="G8740" s="21">
        <f t="shared" si="408"/>
        <v>230.84999999999999</v>
      </c>
      <c r="H8740" s="22"/>
      <c r="I8740" s="23" t="str">
        <f t="shared" si="409"/>
        <v xml:space="preserve">COM VALOR</v>
      </c>
      <c r="J8740" s="19"/>
      <c r="L8740" s="21">
        <v>232.58000000000001</v>
      </c>
      <c r="M8740" s="22">
        <v>0</v>
      </c>
      <c r="N8740" s="21">
        <v>230.84999999999999</v>
      </c>
      <c r="O8740" s="22">
        <v>0</v>
      </c>
    </row>
    <row r="8741" ht="25.5">
      <c r="A8741" t="s">
        <v>8811</v>
      </c>
      <c r="B8741" s="19">
        <v>97099</v>
      </c>
      <c r="C8741" s="20" t="s">
        <v>8851</v>
      </c>
      <c r="D8741" s="19" t="s">
        <v>29</v>
      </c>
      <c r="E8741" s="21" t="str">
        <f t="shared" si="407"/>
        <v>VERIFICAR</v>
      </c>
      <c r="F8741" s="22">
        <v>0.96999999999999997</v>
      </c>
      <c r="G8741" s="21" t="str">
        <f t="shared" si="408"/>
        <v>VERIFICAR</v>
      </c>
      <c r="H8741" s="22">
        <v>0.96999999999999997</v>
      </c>
      <c r="I8741" s="23" t="str">
        <f t="shared" si="409"/>
        <v xml:space="preserve">COM VALOR</v>
      </c>
      <c r="J8741" s="19"/>
      <c r="L8741" s="21">
        <v>0</v>
      </c>
      <c r="M8741" s="22"/>
      <c r="N8741" s="21">
        <v>0</v>
      </c>
      <c r="O8741" s="22"/>
    </row>
    <row r="8742" ht="25.5">
      <c r="A8742" t="s">
        <v>8811</v>
      </c>
      <c r="B8742" s="19">
        <v>97103</v>
      </c>
      <c r="C8742" s="20" t="s">
        <v>8852</v>
      </c>
      <c r="D8742" s="19" t="s">
        <v>29</v>
      </c>
      <c r="E8742" s="21">
        <f t="shared" si="407"/>
        <v>277.04000000000002</v>
      </c>
      <c r="F8742" s="22">
        <v>1</v>
      </c>
      <c r="G8742" s="21">
        <f t="shared" si="408"/>
        <v>275.11000000000001</v>
      </c>
      <c r="H8742" s="22">
        <v>1</v>
      </c>
      <c r="I8742" s="23" t="str">
        <f t="shared" si="409"/>
        <v xml:space="preserve">COM VALOR</v>
      </c>
      <c r="J8742" s="19"/>
      <c r="L8742" s="21">
        <v>277.04000000000002</v>
      </c>
      <c r="M8742" s="22">
        <v>0</v>
      </c>
      <c r="N8742" s="21">
        <v>275.11000000000001</v>
      </c>
      <c r="O8742" s="22">
        <v>0</v>
      </c>
    </row>
    <row r="8743" ht="25.5">
      <c r="A8743" t="s">
        <v>8811</v>
      </c>
      <c r="B8743" s="19">
        <v>97100</v>
      </c>
      <c r="C8743" s="20" t="s">
        <v>8853</v>
      </c>
      <c r="D8743" s="19" t="s">
        <v>29</v>
      </c>
      <c r="E8743" s="21" t="str">
        <f t="shared" si="407"/>
        <v>VERIFICAR</v>
      </c>
      <c r="F8743" s="22"/>
      <c r="G8743" s="21" t="str">
        <f t="shared" si="408"/>
        <v>VERIFICAR</v>
      </c>
      <c r="H8743" s="22"/>
      <c r="I8743" s="23" t="str">
        <f t="shared" si="409"/>
        <v xml:space="preserve">COM VALOR</v>
      </c>
      <c r="J8743" s="19"/>
      <c r="L8743" s="21">
        <v>0</v>
      </c>
      <c r="M8743" s="22"/>
      <c r="N8743" s="21">
        <v>0</v>
      </c>
      <c r="O8743" s="22"/>
    </row>
    <row r="8744" ht="25.5">
      <c r="A8744" t="s">
        <v>8811</v>
      </c>
      <c r="B8744" s="19">
        <v>103072</v>
      </c>
      <c r="C8744" s="20" t="s">
        <v>8854</v>
      </c>
      <c r="D8744" s="19" t="s">
        <v>29</v>
      </c>
      <c r="E8744" s="21">
        <f t="shared" si="407"/>
        <v>327.74000000000001</v>
      </c>
      <c r="F8744" s="22"/>
      <c r="G8744" s="21">
        <f t="shared" si="408"/>
        <v>325.69</v>
      </c>
      <c r="H8744" s="22"/>
      <c r="I8744" s="23" t="str">
        <f t="shared" si="409"/>
        <v xml:space="preserve">COM VALOR</v>
      </c>
      <c r="J8744" s="19"/>
      <c r="L8744" s="21">
        <v>327.74000000000001</v>
      </c>
      <c r="M8744" s="22">
        <v>0</v>
      </c>
      <c r="N8744" s="21">
        <v>325.69</v>
      </c>
      <c r="O8744" s="22">
        <v>0</v>
      </c>
    </row>
    <row r="8745" ht="25.5">
      <c r="A8745" t="s">
        <v>8811</v>
      </c>
      <c r="B8745" s="19">
        <v>103055</v>
      </c>
      <c r="C8745" s="20" t="s">
        <v>8855</v>
      </c>
      <c r="D8745" s="19" t="s">
        <v>29</v>
      </c>
      <c r="E8745" s="21" t="str">
        <f t="shared" si="407"/>
        <v>VERIFICAR</v>
      </c>
      <c r="F8745" s="22"/>
      <c r="G8745" s="21" t="str">
        <f t="shared" si="408"/>
        <v>VERIFICAR</v>
      </c>
      <c r="H8745" s="22"/>
      <c r="I8745" s="23" t="str">
        <f t="shared" si="409"/>
        <v xml:space="preserve">COM VALOR</v>
      </c>
      <c r="J8745" s="19"/>
      <c r="L8745" s="21">
        <v>0</v>
      </c>
      <c r="M8745" s="22"/>
      <c r="N8745" s="21">
        <v>0</v>
      </c>
      <c r="O8745" s="22"/>
    </row>
    <row r="8746" ht="25.5">
      <c r="A8746" t="s">
        <v>8811</v>
      </c>
      <c r="B8746" s="19">
        <v>103073</v>
      </c>
      <c r="C8746" s="20" t="s">
        <v>8856</v>
      </c>
      <c r="D8746" s="19" t="s">
        <v>29</v>
      </c>
      <c r="E8746" s="21">
        <f t="shared" si="407"/>
        <v>393.56999999999999</v>
      </c>
      <c r="F8746" s="22">
        <v>1</v>
      </c>
      <c r="G8746" s="21">
        <f t="shared" si="408"/>
        <v>391.32999999999998</v>
      </c>
      <c r="H8746" s="22">
        <v>1</v>
      </c>
      <c r="I8746" s="23" t="str">
        <f t="shared" si="409"/>
        <v xml:space="preserve">COM VALOR</v>
      </c>
      <c r="J8746" s="19"/>
      <c r="L8746" s="21">
        <v>393.56999999999999</v>
      </c>
      <c r="M8746" s="22">
        <v>0</v>
      </c>
      <c r="N8746" s="21">
        <v>391.32999999999998</v>
      </c>
      <c r="O8746" s="22">
        <v>0</v>
      </c>
    </row>
    <row r="8747" ht="25.5">
      <c r="A8747" t="s">
        <v>8811</v>
      </c>
      <c r="B8747" s="19">
        <v>103056</v>
      </c>
      <c r="C8747" s="20" t="s">
        <v>8857</v>
      </c>
      <c r="D8747" s="19" t="s">
        <v>29</v>
      </c>
      <c r="E8747" s="21" t="str">
        <f t="shared" si="407"/>
        <v>VERIFICAR</v>
      </c>
      <c r="F8747" s="22">
        <v>0.96999999999999997</v>
      </c>
      <c r="G8747" s="21" t="str">
        <f t="shared" si="408"/>
        <v>VERIFICAR</v>
      </c>
      <c r="H8747" s="22">
        <v>0.96999999999999997</v>
      </c>
      <c r="I8747" s="23" t="str">
        <f t="shared" si="409"/>
        <v xml:space="preserve">COM VALOR</v>
      </c>
      <c r="J8747" s="19"/>
      <c r="L8747" s="21">
        <v>0</v>
      </c>
      <c r="M8747" s="22"/>
      <c r="N8747" s="21">
        <v>0</v>
      </c>
      <c r="O8747" s="22"/>
    </row>
    <row r="8748" ht="38.25">
      <c r="A8748" t="s">
        <v>8811</v>
      </c>
      <c r="B8748" s="19">
        <v>97086</v>
      </c>
      <c r="C8748" s="20" t="s">
        <v>8858</v>
      </c>
      <c r="D8748" s="19" t="s">
        <v>29</v>
      </c>
      <c r="E8748" s="21">
        <f t="shared" si="407"/>
        <v>133.02000000000001</v>
      </c>
      <c r="F8748" s="22"/>
      <c r="G8748" s="21">
        <f t="shared" si="408"/>
        <v>127.40000000000001</v>
      </c>
      <c r="H8748" s="22"/>
      <c r="I8748" s="23" t="str">
        <f t="shared" si="409"/>
        <v xml:space="preserve">COM VALOR</v>
      </c>
      <c r="J8748" s="19"/>
      <c r="L8748" s="21">
        <v>133.02000000000001</v>
      </c>
      <c r="M8748" s="22">
        <v>0</v>
      </c>
      <c r="N8748" s="21">
        <v>127.40000000000001</v>
      </c>
      <c r="O8748" s="22">
        <v>0</v>
      </c>
    </row>
    <row r="8749" ht="38.25">
      <c r="A8749" t="s">
        <v>8811</v>
      </c>
      <c r="B8749" s="19">
        <v>97085</v>
      </c>
      <c r="C8749" s="20" t="s">
        <v>8859</v>
      </c>
      <c r="D8749" s="19" t="s">
        <v>29</v>
      </c>
      <c r="E8749" s="21" t="str">
        <f t="shared" si="407"/>
        <v>VERIFICAR</v>
      </c>
      <c r="F8749" s="22">
        <v>1</v>
      </c>
      <c r="G8749" s="21" t="str">
        <f t="shared" si="408"/>
        <v>VERIFICAR</v>
      </c>
      <c r="H8749" s="22">
        <v>1</v>
      </c>
      <c r="I8749" s="23" t="str">
        <f t="shared" si="409"/>
        <v xml:space="preserve">COM VALOR</v>
      </c>
      <c r="J8749" s="19"/>
      <c r="L8749" s="21">
        <v>0</v>
      </c>
      <c r="M8749" s="22"/>
      <c r="N8749" s="21">
        <v>0</v>
      </c>
      <c r="O8749" s="22"/>
    </row>
    <row r="8750" ht="25.5">
      <c r="A8750" t="s">
        <v>8860</v>
      </c>
      <c r="B8750" s="19">
        <v>104766</v>
      </c>
      <c r="C8750" s="20" t="s">
        <v>8861</v>
      </c>
      <c r="D8750" s="19" t="s">
        <v>38</v>
      </c>
      <c r="E8750" s="21">
        <f t="shared" si="407"/>
        <v>16.780000000000001</v>
      </c>
      <c r="F8750" s="22"/>
      <c r="G8750" s="21">
        <f t="shared" si="408"/>
        <v>15.970000000000001</v>
      </c>
      <c r="H8750" s="22"/>
      <c r="I8750" s="23" t="str">
        <f t="shared" si="409"/>
        <v xml:space="preserve">COM VALOR</v>
      </c>
      <c r="J8750" s="19"/>
      <c r="L8750" s="21">
        <v>16.780000000000001</v>
      </c>
      <c r="M8750" s="22">
        <v>0</v>
      </c>
      <c r="N8750" s="21">
        <v>15.970000000000001</v>
      </c>
      <c r="O8750" s="22">
        <v>0</v>
      </c>
    </row>
    <row r="8751" ht="38.25">
      <c r="A8751" t="s">
        <v>8860</v>
      </c>
      <c r="B8751" s="19">
        <v>90467</v>
      </c>
      <c r="C8751" s="20" t="s">
        <v>8862</v>
      </c>
      <c r="D8751" s="19" t="s">
        <v>38</v>
      </c>
      <c r="E8751" s="21">
        <f t="shared" si="407"/>
        <v>23.329999999999998</v>
      </c>
      <c r="F8751" s="22">
        <v>1</v>
      </c>
      <c r="G8751" s="21">
        <f t="shared" si="408"/>
        <v>22.199999999999999</v>
      </c>
      <c r="H8751" s="22">
        <v>1</v>
      </c>
      <c r="I8751" s="23" t="str">
        <f t="shared" si="409"/>
        <v xml:space="preserve">COM VALOR</v>
      </c>
      <c r="J8751" s="19"/>
      <c r="L8751" s="21">
        <v>23.329999999999998</v>
      </c>
      <c r="M8751" s="22">
        <v>0</v>
      </c>
      <c r="N8751" s="21">
        <v>22.199999999999999</v>
      </c>
      <c r="O8751" s="22">
        <v>0</v>
      </c>
    </row>
    <row r="8752" ht="38.25">
      <c r="A8752" t="s">
        <v>8860</v>
      </c>
      <c r="B8752" s="19">
        <v>90466</v>
      </c>
      <c r="C8752" s="20" t="s">
        <v>8863</v>
      </c>
      <c r="D8752" s="19" t="s">
        <v>38</v>
      </c>
      <c r="E8752" s="21">
        <f t="shared" si="407"/>
        <v>15.51</v>
      </c>
      <c r="F8752" s="22"/>
      <c r="G8752" s="21">
        <f t="shared" si="408"/>
        <v>14.77</v>
      </c>
      <c r="H8752" s="22"/>
      <c r="I8752" s="23" t="str">
        <f t="shared" si="409"/>
        <v xml:space="preserve">COM VALOR</v>
      </c>
      <c r="J8752" s="19"/>
      <c r="L8752" s="21">
        <v>15.51</v>
      </c>
      <c r="M8752" s="22">
        <v>0</v>
      </c>
      <c r="N8752" s="21">
        <v>14.77</v>
      </c>
      <c r="O8752" s="22">
        <v>0</v>
      </c>
    </row>
    <row r="8753" ht="38.25">
      <c r="A8753" t="s">
        <v>8860</v>
      </c>
      <c r="B8753" s="19">
        <v>90469</v>
      </c>
      <c r="C8753" s="20" t="s">
        <v>8864</v>
      </c>
      <c r="D8753" s="19" t="s">
        <v>38</v>
      </c>
      <c r="E8753" s="21">
        <f t="shared" si="407"/>
        <v>11.640000000000001</v>
      </c>
      <c r="F8753" s="22"/>
      <c r="G8753" s="21">
        <f t="shared" si="408"/>
        <v>11.19</v>
      </c>
      <c r="H8753" s="22"/>
      <c r="I8753" s="23" t="str">
        <f t="shared" si="409"/>
        <v xml:space="preserve">COM VALOR</v>
      </c>
      <c r="J8753" s="19"/>
      <c r="L8753" s="21">
        <v>11.640000000000001</v>
      </c>
      <c r="M8753" s="22">
        <v>0</v>
      </c>
      <c r="N8753" s="21">
        <v>11.19</v>
      </c>
      <c r="O8753" s="22">
        <v>0</v>
      </c>
    </row>
    <row r="8754" ht="38.25">
      <c r="A8754" t="s">
        <v>8860</v>
      </c>
      <c r="B8754" s="19">
        <v>90470</v>
      </c>
      <c r="C8754" s="20" t="s">
        <v>8865</v>
      </c>
      <c r="D8754" s="19" t="s">
        <v>38</v>
      </c>
      <c r="E8754" s="21">
        <f t="shared" si="407"/>
        <v>15.460000000000001</v>
      </c>
      <c r="F8754" s="22">
        <v>1</v>
      </c>
      <c r="G8754" s="21">
        <f t="shared" si="408"/>
        <v>14.890000000000001</v>
      </c>
      <c r="H8754" s="22">
        <v>1</v>
      </c>
      <c r="I8754" s="23" t="str">
        <f t="shared" si="409"/>
        <v xml:space="preserve">COM VALOR</v>
      </c>
      <c r="J8754" s="19"/>
      <c r="L8754" s="21">
        <v>15.460000000000001</v>
      </c>
      <c r="M8754" s="22">
        <v>0</v>
      </c>
      <c r="N8754" s="21">
        <v>14.890000000000001</v>
      </c>
      <c r="O8754" s="22">
        <v>0</v>
      </c>
    </row>
    <row r="8755" ht="38.25">
      <c r="A8755" t="s">
        <v>8860</v>
      </c>
      <c r="B8755" s="19">
        <v>90468</v>
      </c>
      <c r="C8755" s="20" t="s">
        <v>8866</v>
      </c>
      <c r="D8755" s="19" t="s">
        <v>38</v>
      </c>
      <c r="E8755" s="21">
        <f t="shared" si="407"/>
        <v>7.6600000000000001</v>
      </c>
      <c r="F8755" s="22"/>
      <c r="G8755" s="21">
        <f t="shared" si="408"/>
        <v>7.3700000000000001</v>
      </c>
      <c r="H8755" s="22"/>
      <c r="I8755" s="23" t="str">
        <f t="shared" si="409"/>
        <v xml:space="preserve">COM VALOR</v>
      </c>
      <c r="J8755" s="19"/>
      <c r="L8755" s="21">
        <v>7.6600000000000001</v>
      </c>
      <c r="M8755" s="22">
        <v>0</v>
      </c>
      <c r="N8755" s="21">
        <v>7.3700000000000001</v>
      </c>
      <c r="O8755" s="22">
        <v>0</v>
      </c>
    </row>
    <row r="8756" ht="25.5">
      <c r="A8756" t="s">
        <v>8860</v>
      </c>
      <c r="B8756" s="19">
        <v>91188</v>
      </c>
      <c r="C8756" s="20" t="s">
        <v>8867</v>
      </c>
      <c r="D8756" s="19" t="s">
        <v>31</v>
      </c>
      <c r="E8756" s="21">
        <f t="shared" si="407"/>
        <v>13.41</v>
      </c>
      <c r="F8756" s="22">
        <v>0.98999999999999999</v>
      </c>
      <c r="G8756" s="21">
        <f t="shared" si="408"/>
        <v>12.83</v>
      </c>
      <c r="H8756" s="22">
        <v>0.98999999999999999</v>
      </c>
      <c r="I8756" s="23" t="str">
        <f t="shared" si="409"/>
        <v xml:space="preserve">COM VALOR</v>
      </c>
      <c r="J8756" s="19"/>
      <c r="L8756" s="21">
        <v>13.41</v>
      </c>
      <c r="M8756" s="22">
        <v>1.e-002</v>
      </c>
      <c r="N8756" s="21">
        <v>12.83</v>
      </c>
      <c r="O8756" s="22">
        <v>2.e-002</v>
      </c>
    </row>
    <row r="8757" ht="25.5">
      <c r="A8757" t="s">
        <v>8860</v>
      </c>
      <c r="B8757" s="19">
        <v>91189</v>
      </c>
      <c r="C8757" s="20" t="s">
        <v>8868</v>
      </c>
      <c r="D8757" s="19" t="s">
        <v>31</v>
      </c>
      <c r="E8757" s="21">
        <f t="shared" si="407"/>
        <v>74.370000000000005</v>
      </c>
      <c r="F8757" s="22"/>
      <c r="G8757" s="21">
        <f t="shared" si="408"/>
        <v>71.959999999999994</v>
      </c>
      <c r="H8757" s="22"/>
      <c r="I8757" s="23" t="str">
        <f t="shared" si="409"/>
        <v xml:space="preserve">COM VALOR</v>
      </c>
      <c r="J8757" s="19"/>
      <c r="L8757" s="21">
        <v>74.370000000000005</v>
      </c>
      <c r="M8757" s="22">
        <v>2.e-002</v>
      </c>
      <c r="N8757" s="21">
        <v>71.959999999999994</v>
      </c>
      <c r="O8757" s="22">
        <v>2.e-002</v>
      </c>
    </row>
    <row r="8758" ht="25.5">
      <c r="A8758" t="s">
        <v>8860</v>
      </c>
      <c r="B8758" s="19">
        <v>91192</v>
      </c>
      <c r="C8758" s="20" t="s">
        <v>8869</v>
      </c>
      <c r="D8758" s="19" t="s">
        <v>31</v>
      </c>
      <c r="E8758" s="21">
        <f t="shared" si="407"/>
        <v>22.149999999999999</v>
      </c>
      <c r="F8758" s="22">
        <v>0.98999999999999999</v>
      </c>
      <c r="G8758" s="21">
        <f t="shared" si="408"/>
        <v>21.48</v>
      </c>
      <c r="H8758" s="22">
        <v>0.98999999999999999</v>
      </c>
      <c r="I8758" s="23" t="str">
        <f t="shared" si="409"/>
        <v xml:space="preserve">COM VALOR</v>
      </c>
      <c r="J8758" s="19"/>
      <c r="L8758" s="21">
        <v>22.149999999999999</v>
      </c>
      <c r="M8758" s="22">
        <v>0</v>
      </c>
      <c r="N8758" s="21">
        <v>21.48</v>
      </c>
      <c r="O8758" s="22">
        <v>0</v>
      </c>
    </row>
    <row r="8759" ht="25.5">
      <c r="A8759" t="s">
        <v>8860</v>
      </c>
      <c r="B8759" s="19">
        <v>91190</v>
      </c>
      <c r="C8759" s="20" t="s">
        <v>8870</v>
      </c>
      <c r="D8759" s="19" t="s">
        <v>31</v>
      </c>
      <c r="E8759" s="21">
        <f t="shared" si="407"/>
        <v>10.67</v>
      </c>
      <c r="F8759" s="22">
        <v>0.82999999999999996</v>
      </c>
      <c r="G8759" s="21">
        <f t="shared" si="408"/>
        <v>10.23</v>
      </c>
      <c r="H8759" s="22">
        <v>0.83999999999999997</v>
      </c>
      <c r="I8759" s="23" t="str">
        <f t="shared" si="409"/>
        <v xml:space="preserve">COM VALOR</v>
      </c>
      <c r="J8759" s="19"/>
      <c r="L8759" s="21">
        <v>10.67</v>
      </c>
      <c r="M8759" s="22">
        <v>0</v>
      </c>
      <c r="N8759" s="21">
        <v>10.23</v>
      </c>
      <c r="O8759" s="22">
        <v>0</v>
      </c>
    </row>
    <row r="8760" ht="25.5">
      <c r="A8760" t="s">
        <v>8860</v>
      </c>
      <c r="B8760" s="19">
        <v>91191</v>
      </c>
      <c r="C8760" s="20" t="s">
        <v>8871</v>
      </c>
      <c r="D8760" s="19" t="s">
        <v>31</v>
      </c>
      <c r="E8760" s="21">
        <f t="shared" si="407"/>
        <v>14.779999999999999</v>
      </c>
      <c r="F8760" s="22">
        <v>0.82999999999999996</v>
      </c>
      <c r="G8760" s="21">
        <f t="shared" si="408"/>
        <v>14.26</v>
      </c>
      <c r="H8760" s="22">
        <v>0.83999999999999997</v>
      </c>
      <c r="I8760" s="23" t="str">
        <f t="shared" si="409"/>
        <v xml:space="preserve">COM VALOR</v>
      </c>
      <c r="J8760" s="19"/>
      <c r="L8760" s="21">
        <v>14.779999999999999</v>
      </c>
      <c r="M8760" s="22">
        <v>0</v>
      </c>
      <c r="N8760" s="21">
        <v>14.26</v>
      </c>
      <c r="O8760" s="22">
        <v>0</v>
      </c>
    </row>
    <row r="8761" ht="38.25">
      <c r="A8761" t="s">
        <v>8860</v>
      </c>
      <c r="B8761" s="19">
        <v>95541</v>
      </c>
      <c r="C8761" s="20" t="s">
        <v>8872</v>
      </c>
      <c r="D8761" s="19" t="s">
        <v>31</v>
      </c>
      <c r="E8761" s="21">
        <f t="shared" si="407"/>
        <v>25.329999999999998</v>
      </c>
      <c r="F8761" s="22">
        <v>0.87</v>
      </c>
      <c r="G8761" s="21">
        <f t="shared" si="408"/>
        <v>23.859999999999999</v>
      </c>
      <c r="H8761" s="22">
        <v>0.88</v>
      </c>
      <c r="I8761" s="23" t="str">
        <f t="shared" si="409"/>
        <v xml:space="preserve">COM VALOR</v>
      </c>
      <c r="J8761" s="19"/>
      <c r="L8761" s="21">
        <v>25.329999999999998</v>
      </c>
      <c r="M8761" s="22">
        <v>0</v>
      </c>
      <c r="N8761" s="21">
        <v>23.859999999999999</v>
      </c>
      <c r="O8761" s="22">
        <v>0</v>
      </c>
    </row>
    <row r="8762" ht="38.25">
      <c r="A8762" t="s">
        <v>8860</v>
      </c>
      <c r="B8762" s="19">
        <v>96564</v>
      </c>
      <c r="C8762" s="20" t="s">
        <v>8873</v>
      </c>
      <c r="D8762" s="19" t="s">
        <v>38</v>
      </c>
      <c r="E8762" s="21" t="str">
        <f t="shared" si="407"/>
        <v>VERIFICAR</v>
      </c>
      <c r="F8762" s="22">
        <v>0.88</v>
      </c>
      <c r="G8762" s="21" t="str">
        <f t="shared" si="408"/>
        <v>VERIFICAR</v>
      </c>
      <c r="H8762" s="22">
        <v>0.89000000000000001</v>
      </c>
      <c r="I8762" s="23" t="str">
        <f t="shared" si="409"/>
        <v xml:space="preserve">COM VALOR</v>
      </c>
      <c r="J8762" s="19"/>
      <c r="L8762" s="21">
        <v>0</v>
      </c>
      <c r="M8762" s="22"/>
      <c r="N8762" s="21">
        <v>0</v>
      </c>
      <c r="O8762" s="22"/>
    </row>
    <row r="8763" ht="38.25">
      <c r="A8763" t="s">
        <v>8860</v>
      </c>
      <c r="B8763" s="19">
        <v>104785</v>
      </c>
      <c r="C8763" s="20" t="s">
        <v>8874</v>
      </c>
      <c r="D8763" s="19" t="s">
        <v>38</v>
      </c>
      <c r="E8763" s="21">
        <f t="shared" si="407"/>
        <v>16.129999999999999</v>
      </c>
      <c r="F8763" s="22">
        <v>0.88</v>
      </c>
      <c r="G8763" s="21">
        <f t="shared" si="408"/>
        <v>15.720000000000001</v>
      </c>
      <c r="H8763" s="22">
        <v>0.89000000000000001</v>
      </c>
      <c r="I8763" s="23" t="str">
        <f t="shared" si="409"/>
        <v xml:space="preserve">COM VALOR</v>
      </c>
      <c r="J8763" s="19"/>
      <c r="L8763" s="21">
        <v>16.129999999999999</v>
      </c>
      <c r="M8763" s="22">
        <v>0</v>
      </c>
      <c r="N8763" s="21">
        <v>15.720000000000001</v>
      </c>
      <c r="O8763" s="22">
        <v>0</v>
      </c>
    </row>
    <row r="8764" ht="38.25">
      <c r="A8764" t="s">
        <v>8860</v>
      </c>
      <c r="B8764" s="19">
        <v>91166</v>
      </c>
      <c r="C8764" s="20" t="s">
        <v>8875</v>
      </c>
      <c r="D8764" s="19" t="s">
        <v>38</v>
      </c>
      <c r="E8764" s="21">
        <f t="shared" si="407"/>
        <v>4.8600000000000003</v>
      </c>
      <c r="F8764" s="22">
        <v>0.90000000000000002</v>
      </c>
      <c r="G8764" s="21">
        <f t="shared" si="408"/>
        <v>4.7599999999999998</v>
      </c>
      <c r="H8764" s="22">
        <v>0.91000000000000003</v>
      </c>
      <c r="I8764" s="23" t="str">
        <f t="shared" si="409"/>
        <v xml:space="preserve">COM VALOR</v>
      </c>
      <c r="J8764" s="19"/>
      <c r="L8764" s="21">
        <v>4.8600000000000003</v>
      </c>
      <c r="M8764" s="22">
        <v>0</v>
      </c>
      <c r="N8764" s="21">
        <v>4.7599999999999998</v>
      </c>
      <c r="O8764" s="22">
        <v>0</v>
      </c>
    </row>
    <row r="8765" ht="38.25">
      <c r="A8765" t="s">
        <v>8860</v>
      </c>
      <c r="B8765" s="19">
        <v>91167</v>
      </c>
      <c r="C8765" s="20" t="s">
        <v>8876</v>
      </c>
      <c r="D8765" s="19" t="s">
        <v>38</v>
      </c>
      <c r="E8765" s="21">
        <f t="shared" si="407"/>
        <v>11.33</v>
      </c>
      <c r="F8765" s="22">
        <v>0</v>
      </c>
      <c r="G8765" s="21">
        <f t="shared" si="408"/>
        <v>10.93</v>
      </c>
      <c r="H8765" s="22">
        <v>0</v>
      </c>
      <c r="I8765" s="23" t="str">
        <f t="shared" si="409"/>
        <v xml:space="preserve">COM VALOR</v>
      </c>
      <c r="J8765" s="19"/>
      <c r="L8765" s="21">
        <v>11.33</v>
      </c>
      <c r="M8765" s="22">
        <v>0</v>
      </c>
      <c r="N8765" s="21">
        <v>10.93</v>
      </c>
      <c r="O8765" s="22">
        <v>0</v>
      </c>
    </row>
    <row r="8766" ht="51">
      <c r="A8766" t="s">
        <v>8860</v>
      </c>
      <c r="B8766" s="19">
        <v>91176</v>
      </c>
      <c r="C8766" s="20" t="s">
        <v>8877</v>
      </c>
      <c r="D8766" s="19" t="s">
        <v>38</v>
      </c>
      <c r="E8766" s="21">
        <f t="shared" si="407"/>
        <v>22.09</v>
      </c>
      <c r="F8766" s="22">
        <v>0</v>
      </c>
      <c r="G8766" s="21">
        <f t="shared" si="408"/>
        <v>21.559999999999999</v>
      </c>
      <c r="H8766" s="22">
        <v>0</v>
      </c>
      <c r="I8766" s="23" t="str">
        <f t="shared" si="409"/>
        <v xml:space="preserve">COM VALOR</v>
      </c>
      <c r="J8766" s="19"/>
      <c r="L8766" s="21">
        <v>22.09</v>
      </c>
      <c r="M8766" s="22">
        <v>0</v>
      </c>
      <c r="N8766" s="21">
        <v>21.559999999999999</v>
      </c>
      <c r="O8766" s="22">
        <v>0</v>
      </c>
    </row>
    <row r="8767" ht="38.25">
      <c r="A8767" t="s">
        <v>8860</v>
      </c>
      <c r="B8767" s="19">
        <v>91182</v>
      </c>
      <c r="C8767" s="20" t="s">
        <v>8878</v>
      </c>
      <c r="D8767" s="19" t="s">
        <v>38</v>
      </c>
      <c r="E8767" s="21">
        <f t="shared" si="407"/>
        <v>25.18</v>
      </c>
      <c r="F8767" s="22">
        <v>0</v>
      </c>
      <c r="G8767" s="21">
        <f t="shared" si="408"/>
        <v>23.940000000000001</v>
      </c>
      <c r="H8767" s="22">
        <v>0</v>
      </c>
      <c r="I8767" s="23" t="str">
        <f t="shared" si="409"/>
        <v xml:space="preserve">COM VALOR</v>
      </c>
      <c r="J8767" s="19"/>
      <c r="L8767" s="21">
        <v>25.18</v>
      </c>
      <c r="M8767" s="22">
        <v>2.9999999999999999e-002</v>
      </c>
      <c r="N8767" s="21">
        <v>23.940000000000001</v>
      </c>
      <c r="O8767" s="22">
        <v>4.0000000000000001e-002</v>
      </c>
    </row>
    <row r="8768" ht="51">
      <c r="A8768" t="s">
        <v>8860</v>
      </c>
      <c r="B8768" s="19">
        <v>91186</v>
      </c>
      <c r="C8768" s="20" t="s">
        <v>8879</v>
      </c>
      <c r="D8768" s="19" t="s">
        <v>38</v>
      </c>
      <c r="E8768" s="21">
        <f t="shared" si="407"/>
        <v>27.68</v>
      </c>
      <c r="F8768" s="22">
        <v>0</v>
      </c>
      <c r="G8768" s="21">
        <f t="shared" si="408"/>
        <v>26.300000000000001</v>
      </c>
      <c r="H8768" s="22">
        <v>0</v>
      </c>
      <c r="I8768" s="23" t="str">
        <f t="shared" si="409"/>
        <v xml:space="preserve">COM VALOR</v>
      </c>
      <c r="J8768" s="19"/>
      <c r="L8768" s="21">
        <v>27.68</v>
      </c>
      <c r="M8768" s="22">
        <v>4.0000000000000001e-002</v>
      </c>
      <c r="N8768" s="21">
        <v>26.300000000000001</v>
      </c>
      <c r="O8768" s="22">
        <v>4.0000000000000001e-002</v>
      </c>
    </row>
    <row r="8769" ht="63.75">
      <c r="A8769" t="s">
        <v>8860</v>
      </c>
      <c r="B8769" s="19">
        <v>91171</v>
      </c>
      <c r="C8769" s="20" t="s">
        <v>8880</v>
      </c>
      <c r="D8769" s="19" t="s">
        <v>38</v>
      </c>
      <c r="E8769" s="21">
        <f t="shared" si="407"/>
        <v>19.629999999999999</v>
      </c>
      <c r="F8769" s="22">
        <v>0</v>
      </c>
      <c r="G8769" s="21">
        <f t="shared" si="408"/>
        <v>19.030000000000001</v>
      </c>
      <c r="H8769" s="22">
        <v>0</v>
      </c>
      <c r="I8769" s="23" t="str">
        <f t="shared" si="409"/>
        <v xml:space="preserve">COM VALOR</v>
      </c>
      <c r="J8769" s="19"/>
      <c r="L8769" s="21">
        <v>19.629999999999999</v>
      </c>
      <c r="M8769" s="22">
        <v>0</v>
      </c>
      <c r="N8769" s="21">
        <v>19.030000000000001</v>
      </c>
      <c r="O8769" s="22">
        <v>0</v>
      </c>
    </row>
    <row r="8770" ht="51">
      <c r="A8770" t="s">
        <v>8860</v>
      </c>
      <c r="B8770" s="19">
        <v>91187</v>
      </c>
      <c r="C8770" s="20" t="s">
        <v>8881</v>
      </c>
      <c r="D8770" s="19" t="s">
        <v>38</v>
      </c>
      <c r="E8770" s="21">
        <f t="shared" si="407"/>
        <v>24.829999999999998</v>
      </c>
      <c r="F8770" s="22">
        <v>0</v>
      </c>
      <c r="G8770" s="21">
        <f t="shared" si="408"/>
        <v>23.579999999999998</v>
      </c>
      <c r="H8770" s="22">
        <v>0</v>
      </c>
      <c r="I8770" s="23" t="str">
        <f t="shared" si="409"/>
        <v xml:space="preserve">COM VALOR</v>
      </c>
      <c r="J8770" s="19"/>
      <c r="L8770" s="21">
        <v>24.829999999999998</v>
      </c>
      <c r="M8770" s="22">
        <v>4.0000000000000001e-002</v>
      </c>
      <c r="N8770" s="21">
        <v>23.579999999999998</v>
      </c>
      <c r="O8770" s="22">
        <v>4.4999999999999998e-002</v>
      </c>
    </row>
    <row r="8771" ht="51">
      <c r="A8771" t="s">
        <v>8860</v>
      </c>
      <c r="B8771" s="19">
        <v>91172</v>
      </c>
      <c r="C8771" s="20" t="s">
        <v>8882</v>
      </c>
      <c r="D8771" s="19" t="s">
        <v>38</v>
      </c>
      <c r="E8771" s="21">
        <f t="shared" si="407"/>
        <v>24.93</v>
      </c>
      <c r="F8771" s="22">
        <v>0</v>
      </c>
      <c r="G8771" s="21">
        <f t="shared" si="408"/>
        <v>24.260000000000002</v>
      </c>
      <c r="H8771" s="22">
        <v>0</v>
      </c>
      <c r="I8771" s="23" t="str">
        <f t="shared" si="409"/>
        <v xml:space="preserve">COM VALOR</v>
      </c>
      <c r="J8771" s="19"/>
      <c r="L8771" s="21">
        <v>24.93</v>
      </c>
      <c r="M8771" s="22">
        <v>0</v>
      </c>
      <c r="N8771" s="21">
        <v>24.260000000000002</v>
      </c>
      <c r="O8771" s="22">
        <v>0</v>
      </c>
    </row>
    <row r="8772" ht="51">
      <c r="A8772" t="s">
        <v>8860</v>
      </c>
      <c r="B8772" s="19">
        <v>91185</v>
      </c>
      <c r="C8772" s="20" t="s">
        <v>8883</v>
      </c>
      <c r="D8772" s="19" t="s">
        <v>38</v>
      </c>
      <c r="E8772" s="21">
        <f t="shared" si="407"/>
        <v>25.18</v>
      </c>
      <c r="F8772" s="22">
        <v>0</v>
      </c>
      <c r="G8772" s="21">
        <f t="shared" si="408"/>
        <v>23.940000000000001</v>
      </c>
      <c r="H8772" s="22">
        <v>0</v>
      </c>
      <c r="I8772" s="23" t="str">
        <f t="shared" si="409"/>
        <v xml:space="preserve">COM VALOR</v>
      </c>
      <c r="J8772" s="19"/>
      <c r="L8772" s="21">
        <v>25.18</v>
      </c>
      <c r="M8772" s="22">
        <v>2.9999999999999999e-002</v>
      </c>
      <c r="N8772" s="21">
        <v>23.940000000000001</v>
      </c>
      <c r="O8772" s="22">
        <v>4.0000000000000001e-002</v>
      </c>
    </row>
    <row r="8773" ht="51">
      <c r="A8773" t="s">
        <v>8860</v>
      </c>
      <c r="B8773" s="19">
        <v>91170</v>
      </c>
      <c r="C8773" s="20" t="s">
        <v>8884</v>
      </c>
      <c r="D8773" s="19" t="s">
        <v>38</v>
      </c>
      <c r="E8773" s="21">
        <f t="shared" si="407"/>
        <v>11.33</v>
      </c>
      <c r="F8773" s="22">
        <v>0</v>
      </c>
      <c r="G8773" s="21">
        <f t="shared" si="408"/>
        <v>10.93</v>
      </c>
      <c r="H8773" s="22">
        <v>0</v>
      </c>
      <c r="I8773" s="23" t="str">
        <f t="shared" si="409"/>
        <v xml:space="preserve">COM VALOR</v>
      </c>
      <c r="J8773" s="19"/>
      <c r="L8773" s="21">
        <v>11.33</v>
      </c>
      <c r="M8773" s="22">
        <v>0</v>
      </c>
      <c r="N8773" s="21">
        <v>10.93</v>
      </c>
      <c r="O8773" s="22">
        <v>0</v>
      </c>
    </row>
    <row r="8774" ht="63.75">
      <c r="A8774" t="s">
        <v>8860</v>
      </c>
      <c r="B8774" s="19">
        <v>91180</v>
      </c>
      <c r="C8774" s="20" t="s">
        <v>8885</v>
      </c>
      <c r="D8774" s="19" t="s">
        <v>38</v>
      </c>
      <c r="E8774" s="21">
        <f t="shared" si="407"/>
        <v>29.73</v>
      </c>
      <c r="F8774" s="22">
        <v>0</v>
      </c>
      <c r="G8774" s="21">
        <f t="shared" si="408"/>
        <v>29.010000000000002</v>
      </c>
      <c r="H8774" s="22">
        <v>0</v>
      </c>
      <c r="I8774" s="23" t="str">
        <f t="shared" si="409"/>
        <v xml:space="preserve">COM VALOR</v>
      </c>
      <c r="J8774" s="19"/>
      <c r="L8774" s="21">
        <v>29.73</v>
      </c>
      <c r="M8774" s="22">
        <v>0</v>
      </c>
      <c r="N8774" s="21">
        <v>29.010000000000002</v>
      </c>
      <c r="O8774" s="22">
        <v>0</v>
      </c>
    </row>
    <row r="8775" ht="63.75">
      <c r="A8775" t="s">
        <v>8860</v>
      </c>
      <c r="B8775" s="19">
        <v>91181</v>
      </c>
      <c r="C8775" s="20" t="s">
        <v>8886</v>
      </c>
      <c r="D8775" s="19" t="s">
        <v>38</v>
      </c>
      <c r="E8775" s="21">
        <f t="shared" si="407"/>
        <v>31.280000000000001</v>
      </c>
      <c r="F8775" s="22">
        <v>0</v>
      </c>
      <c r="G8775" s="21">
        <f t="shared" si="408"/>
        <v>30.510000000000002</v>
      </c>
      <c r="H8775" s="22">
        <v>0</v>
      </c>
      <c r="I8775" s="23" t="str">
        <f t="shared" si="409"/>
        <v xml:space="preserve">COM VALOR</v>
      </c>
      <c r="J8775" s="19"/>
      <c r="L8775" s="21">
        <v>31.280000000000001</v>
      </c>
      <c r="M8775" s="22">
        <v>0</v>
      </c>
      <c r="N8775" s="21">
        <v>30.510000000000002</v>
      </c>
      <c r="O8775" s="22">
        <v>0</v>
      </c>
    </row>
    <row r="8776" ht="51">
      <c r="A8776" t="s">
        <v>8860</v>
      </c>
      <c r="B8776" s="19">
        <v>91179</v>
      </c>
      <c r="C8776" s="20" t="s">
        <v>8887</v>
      </c>
      <c r="D8776" s="19" t="s">
        <v>38</v>
      </c>
      <c r="E8776" s="21">
        <f t="shared" si="407"/>
        <v>22.09</v>
      </c>
      <c r="F8776" s="22">
        <v>0</v>
      </c>
      <c r="G8776" s="21">
        <f t="shared" si="408"/>
        <v>21.559999999999999</v>
      </c>
      <c r="H8776" s="22">
        <v>0</v>
      </c>
      <c r="I8776" s="23" t="str">
        <f t="shared" si="409"/>
        <v xml:space="preserve">COM VALOR</v>
      </c>
      <c r="J8776" s="19"/>
      <c r="L8776" s="21">
        <v>22.09</v>
      </c>
      <c r="M8776" s="22">
        <v>0</v>
      </c>
      <c r="N8776" s="21">
        <v>21.559999999999999</v>
      </c>
      <c r="O8776" s="22">
        <v>0</v>
      </c>
    </row>
    <row r="8777" ht="51">
      <c r="A8777" t="s">
        <v>8860</v>
      </c>
      <c r="B8777" s="19">
        <v>91174</v>
      </c>
      <c r="C8777" s="20" t="s">
        <v>8888</v>
      </c>
      <c r="D8777" s="19" t="s">
        <v>38</v>
      </c>
      <c r="E8777" s="21">
        <f t="shared" si="407"/>
        <v>7.8399999999999999</v>
      </c>
      <c r="F8777" s="22">
        <v>0</v>
      </c>
      <c r="G8777" s="21">
        <f t="shared" si="408"/>
        <v>7.5999999999999996</v>
      </c>
      <c r="H8777" s="22">
        <v>0</v>
      </c>
      <c r="I8777" s="23" t="str">
        <f t="shared" si="409"/>
        <v xml:space="preserve">COM VALOR</v>
      </c>
      <c r="J8777" s="19"/>
      <c r="L8777" s="21">
        <v>7.8399999999999999</v>
      </c>
      <c r="M8777" s="22">
        <v>0</v>
      </c>
      <c r="N8777" s="21">
        <v>7.5999999999999996</v>
      </c>
      <c r="O8777" s="22">
        <v>0</v>
      </c>
    </row>
    <row r="8778" ht="51">
      <c r="A8778" t="s">
        <v>8860</v>
      </c>
      <c r="B8778" s="19">
        <v>91175</v>
      </c>
      <c r="C8778" s="20" t="s">
        <v>8889</v>
      </c>
      <c r="D8778" s="19" t="s">
        <v>38</v>
      </c>
      <c r="E8778" s="21">
        <f t="shared" si="407"/>
        <v>13.449999999999999</v>
      </c>
      <c r="F8778" s="22">
        <v>0</v>
      </c>
      <c r="G8778" s="21">
        <f t="shared" si="408"/>
        <v>13.08</v>
      </c>
      <c r="H8778" s="22">
        <v>0</v>
      </c>
      <c r="I8778" s="23" t="str">
        <f t="shared" si="409"/>
        <v xml:space="preserve">COM VALOR</v>
      </c>
      <c r="J8778" s="19"/>
      <c r="L8778" s="21">
        <v>13.449999999999999</v>
      </c>
      <c r="M8778" s="22">
        <v>0</v>
      </c>
      <c r="N8778" s="21">
        <v>13.08</v>
      </c>
      <c r="O8778" s="22">
        <v>0</v>
      </c>
    </row>
    <row r="8779" ht="51">
      <c r="A8779" t="s">
        <v>8860</v>
      </c>
      <c r="B8779" s="19">
        <v>91173</v>
      </c>
      <c r="C8779" s="20" t="s">
        <v>8890</v>
      </c>
      <c r="D8779" s="19" t="s">
        <v>38</v>
      </c>
      <c r="E8779" s="21">
        <f t="shared" ref="E8779:E8842" si="410">IF(L8779=0,"VERIFICAR",L8779)</f>
        <v>4.2199999999999998</v>
      </c>
      <c r="F8779" s="22">
        <v>0</v>
      </c>
      <c r="G8779" s="21">
        <f t="shared" ref="G8779:G8842" si="411">IF(N8779=0,"VERIFICAR",N8779)</f>
        <v>4.0599999999999996</v>
      </c>
      <c r="H8779" s="22">
        <v>0</v>
      </c>
      <c r="I8779" s="23" t="str">
        <f t="shared" ref="I8779:I8842" si="412">IF(OR(E8779=0,G8779=0),"SEM VALOR","COM VALOR")</f>
        <v xml:space="preserve">COM VALOR</v>
      </c>
      <c r="J8779" s="19"/>
      <c r="L8779" s="21">
        <v>4.2199999999999998</v>
      </c>
      <c r="M8779" s="22">
        <v>0</v>
      </c>
      <c r="N8779" s="21">
        <v>4.0599999999999996</v>
      </c>
      <c r="O8779" s="22">
        <v>0</v>
      </c>
    </row>
    <row r="8780" ht="38.25">
      <c r="A8780" t="s">
        <v>8860</v>
      </c>
      <c r="B8780" s="19">
        <v>104759</v>
      </c>
      <c r="C8780" s="20" t="s">
        <v>8891</v>
      </c>
      <c r="D8780" s="19" t="s">
        <v>31</v>
      </c>
      <c r="E8780" s="21">
        <f t="shared" si="410"/>
        <v>44.060000000000002</v>
      </c>
      <c r="F8780" s="22">
        <v>0</v>
      </c>
      <c r="G8780" s="21">
        <f t="shared" si="411"/>
        <v>41.520000000000003</v>
      </c>
      <c r="H8780" s="22">
        <v>0</v>
      </c>
      <c r="I8780" s="23" t="str">
        <f t="shared" si="412"/>
        <v xml:space="preserve">COM VALOR</v>
      </c>
      <c r="J8780" s="19"/>
      <c r="L8780" s="21">
        <v>44.060000000000002</v>
      </c>
      <c r="M8780" s="22">
        <v>0</v>
      </c>
      <c r="N8780" s="21">
        <v>41.520000000000003</v>
      </c>
      <c r="O8780" s="22">
        <v>0</v>
      </c>
    </row>
    <row r="8781" ht="38.25">
      <c r="A8781" t="s">
        <v>8860</v>
      </c>
      <c r="B8781" s="19">
        <v>104760</v>
      </c>
      <c r="C8781" s="20" t="s">
        <v>8892</v>
      </c>
      <c r="D8781" s="19" t="s">
        <v>31</v>
      </c>
      <c r="E8781" s="21">
        <f t="shared" si="410"/>
        <v>64.340000000000003</v>
      </c>
      <c r="F8781" s="22">
        <v>0</v>
      </c>
      <c r="G8781" s="21">
        <f t="shared" si="411"/>
        <v>60.640000000000001</v>
      </c>
      <c r="H8781" s="22">
        <v>0</v>
      </c>
      <c r="I8781" s="23" t="str">
        <f t="shared" si="412"/>
        <v xml:space="preserve">COM VALOR</v>
      </c>
      <c r="J8781" s="19"/>
      <c r="L8781" s="21">
        <v>64.340000000000003</v>
      </c>
      <c r="M8781" s="22">
        <v>0</v>
      </c>
      <c r="N8781" s="21">
        <v>60.640000000000001</v>
      </c>
      <c r="O8781" s="22">
        <v>0</v>
      </c>
    </row>
    <row r="8782" ht="25.5">
      <c r="A8782" t="s">
        <v>8860</v>
      </c>
      <c r="B8782" s="19">
        <v>104758</v>
      </c>
      <c r="C8782" s="20" t="s">
        <v>8893</v>
      </c>
      <c r="D8782" s="19" t="s">
        <v>31</v>
      </c>
      <c r="E8782" s="21">
        <f t="shared" si="410"/>
        <v>16.52</v>
      </c>
      <c r="F8782" s="22">
        <v>0</v>
      </c>
      <c r="G8782" s="21">
        <f t="shared" si="411"/>
        <v>15.58</v>
      </c>
      <c r="H8782" s="22">
        <v>0</v>
      </c>
      <c r="I8782" s="23" t="str">
        <f t="shared" si="412"/>
        <v xml:space="preserve">COM VALOR</v>
      </c>
      <c r="J8782" s="19"/>
      <c r="L8782" s="21">
        <v>16.52</v>
      </c>
      <c r="M8782" s="22">
        <v>0</v>
      </c>
      <c r="N8782" s="21">
        <v>15.58</v>
      </c>
      <c r="O8782" s="22">
        <v>0</v>
      </c>
    </row>
    <row r="8783" ht="38.25">
      <c r="A8783" t="s">
        <v>8860</v>
      </c>
      <c r="B8783" s="19">
        <v>90437</v>
      </c>
      <c r="C8783" s="20" t="s">
        <v>8894</v>
      </c>
      <c r="D8783" s="19" t="s">
        <v>31</v>
      </c>
      <c r="E8783" s="21">
        <f t="shared" si="410"/>
        <v>39.93</v>
      </c>
      <c r="F8783" s="22">
        <v>0</v>
      </c>
      <c r="G8783" s="21">
        <f t="shared" si="411"/>
        <v>37.640000000000001</v>
      </c>
      <c r="H8783" s="22">
        <v>0</v>
      </c>
      <c r="I8783" s="23" t="str">
        <f t="shared" si="412"/>
        <v xml:space="preserve">COM VALOR</v>
      </c>
      <c r="J8783" s="19"/>
      <c r="L8783" s="21">
        <v>39.93</v>
      </c>
      <c r="M8783" s="22">
        <v>0</v>
      </c>
      <c r="N8783" s="21">
        <v>37.640000000000001</v>
      </c>
      <c r="O8783" s="22">
        <v>0</v>
      </c>
    </row>
    <row r="8784" ht="38.25">
      <c r="A8784" t="s">
        <v>8860</v>
      </c>
      <c r="B8784" s="19">
        <v>90438</v>
      </c>
      <c r="C8784" s="20" t="s">
        <v>8895</v>
      </c>
      <c r="D8784" s="19" t="s">
        <v>31</v>
      </c>
      <c r="E8784" s="21">
        <f t="shared" si="410"/>
        <v>58.329999999999998</v>
      </c>
      <c r="F8784" s="22">
        <v>0</v>
      </c>
      <c r="G8784" s="21">
        <f t="shared" si="411"/>
        <v>54.969999999999999</v>
      </c>
      <c r="H8784" s="22">
        <v>0</v>
      </c>
      <c r="I8784" s="23" t="str">
        <f t="shared" si="412"/>
        <v xml:space="preserve">COM VALOR</v>
      </c>
      <c r="J8784" s="19"/>
      <c r="L8784" s="21">
        <v>58.329999999999998</v>
      </c>
      <c r="M8784" s="22">
        <v>0</v>
      </c>
      <c r="N8784" s="21">
        <v>54.969999999999999</v>
      </c>
      <c r="O8784" s="22">
        <v>0</v>
      </c>
    </row>
    <row r="8785" ht="25.5">
      <c r="A8785" t="s">
        <v>8860</v>
      </c>
      <c r="B8785" s="19">
        <v>90436</v>
      </c>
      <c r="C8785" s="20" t="s">
        <v>8896</v>
      </c>
      <c r="D8785" s="19" t="s">
        <v>31</v>
      </c>
      <c r="E8785" s="21">
        <f t="shared" si="410"/>
        <v>14.98</v>
      </c>
      <c r="F8785" s="22">
        <v>0</v>
      </c>
      <c r="G8785" s="21">
        <f t="shared" si="411"/>
        <v>14.119999999999999</v>
      </c>
      <c r="H8785" s="22">
        <v>0</v>
      </c>
      <c r="I8785" s="23" t="str">
        <f t="shared" si="412"/>
        <v xml:space="preserve">COM VALOR</v>
      </c>
      <c r="J8785" s="19"/>
      <c r="L8785" s="21">
        <v>14.98</v>
      </c>
      <c r="M8785" s="22">
        <v>0</v>
      </c>
      <c r="N8785" s="21">
        <v>14.119999999999999</v>
      </c>
      <c r="O8785" s="22">
        <v>0</v>
      </c>
    </row>
    <row r="8786" ht="38.25">
      <c r="A8786" t="s">
        <v>8860</v>
      </c>
      <c r="B8786" s="19">
        <v>104770</v>
      </c>
      <c r="C8786" s="20" t="s">
        <v>8897</v>
      </c>
      <c r="D8786" s="19" t="s">
        <v>31</v>
      </c>
      <c r="E8786" s="21">
        <f t="shared" si="410"/>
        <v>1.8700000000000001</v>
      </c>
      <c r="F8786" s="22">
        <v>0</v>
      </c>
      <c r="G8786" s="21">
        <f t="shared" si="411"/>
        <v>1.76</v>
      </c>
      <c r="H8786" s="22">
        <v>0</v>
      </c>
      <c r="I8786" s="23" t="str">
        <f t="shared" si="412"/>
        <v xml:space="preserve">COM VALOR</v>
      </c>
      <c r="J8786" s="19"/>
      <c r="L8786" s="21">
        <v>1.8700000000000001</v>
      </c>
      <c r="M8786" s="22">
        <v>0</v>
      </c>
      <c r="N8786" s="21">
        <v>1.76</v>
      </c>
      <c r="O8786" s="22">
        <v>0</v>
      </c>
    </row>
    <row r="8787" ht="38.25">
      <c r="A8787" t="s">
        <v>8860</v>
      </c>
      <c r="B8787" s="19">
        <v>104772</v>
      </c>
      <c r="C8787" s="20" t="s">
        <v>8898</v>
      </c>
      <c r="D8787" s="19" t="s">
        <v>31</v>
      </c>
      <c r="E8787" s="21">
        <f t="shared" si="410"/>
        <v>2.73</v>
      </c>
      <c r="F8787" s="22">
        <v>0</v>
      </c>
      <c r="G8787" s="21">
        <f t="shared" si="411"/>
        <v>2.5600000000000001</v>
      </c>
      <c r="H8787" s="22">
        <v>0</v>
      </c>
      <c r="I8787" s="23" t="str">
        <f t="shared" si="412"/>
        <v xml:space="preserve">COM VALOR</v>
      </c>
      <c r="J8787" s="19"/>
      <c r="L8787" s="21">
        <v>2.73</v>
      </c>
      <c r="M8787" s="22">
        <v>0</v>
      </c>
      <c r="N8787" s="21">
        <v>2.5600000000000001</v>
      </c>
      <c r="O8787" s="22">
        <v>0</v>
      </c>
    </row>
    <row r="8788" ht="25.5">
      <c r="A8788" t="s">
        <v>8860</v>
      </c>
      <c r="B8788" s="19">
        <v>104768</v>
      </c>
      <c r="C8788" s="20" t="s">
        <v>8899</v>
      </c>
      <c r="D8788" s="19" t="s">
        <v>31</v>
      </c>
      <c r="E8788" s="21">
        <f t="shared" si="410"/>
        <v>0.68999999999999995</v>
      </c>
      <c r="F8788" s="22">
        <v>0</v>
      </c>
      <c r="G8788" s="21">
        <f t="shared" si="411"/>
        <v>0.65000000000000002</v>
      </c>
      <c r="H8788" s="22">
        <v>0</v>
      </c>
      <c r="I8788" s="23" t="str">
        <f t="shared" si="412"/>
        <v xml:space="preserve">COM VALOR</v>
      </c>
      <c r="J8788" s="19"/>
      <c r="L8788" s="21">
        <v>0.68999999999999995</v>
      </c>
      <c r="M8788" s="22">
        <v>0</v>
      </c>
      <c r="N8788" s="21">
        <v>0.65000000000000002</v>
      </c>
      <c r="O8788" s="22">
        <v>0</v>
      </c>
    </row>
    <row r="8789" ht="38.25">
      <c r="A8789" t="s">
        <v>8860</v>
      </c>
      <c r="B8789" s="19">
        <v>104769</v>
      </c>
      <c r="C8789" s="20" t="s">
        <v>8900</v>
      </c>
      <c r="D8789" s="19" t="s">
        <v>31</v>
      </c>
      <c r="E8789" s="21">
        <f t="shared" si="410"/>
        <v>1.6799999999999999</v>
      </c>
      <c r="F8789" s="22">
        <v>0</v>
      </c>
      <c r="G8789" s="21">
        <f t="shared" si="411"/>
        <v>1.5900000000000001</v>
      </c>
      <c r="H8789" s="22">
        <v>0</v>
      </c>
      <c r="I8789" s="23" t="str">
        <f t="shared" si="412"/>
        <v xml:space="preserve">COM VALOR</v>
      </c>
      <c r="J8789" s="19"/>
      <c r="L8789" s="21">
        <v>1.6799999999999999</v>
      </c>
      <c r="M8789" s="22">
        <v>0</v>
      </c>
      <c r="N8789" s="21">
        <v>1.5900000000000001</v>
      </c>
      <c r="O8789" s="22">
        <v>0</v>
      </c>
    </row>
    <row r="8790" ht="38.25">
      <c r="A8790" t="s">
        <v>8860</v>
      </c>
      <c r="B8790" s="19">
        <v>104771</v>
      </c>
      <c r="C8790" s="20" t="s">
        <v>8901</v>
      </c>
      <c r="D8790" s="19" t="s">
        <v>31</v>
      </c>
      <c r="E8790" s="21">
        <f t="shared" si="410"/>
        <v>2.4700000000000002</v>
      </c>
      <c r="F8790" s="22">
        <v>0</v>
      </c>
      <c r="G8790" s="21">
        <f t="shared" si="411"/>
        <v>2.3300000000000001</v>
      </c>
      <c r="H8790" s="22">
        <v>0</v>
      </c>
      <c r="I8790" s="23" t="str">
        <f t="shared" si="412"/>
        <v xml:space="preserve">COM VALOR</v>
      </c>
      <c r="J8790" s="19"/>
      <c r="L8790" s="21">
        <v>2.4700000000000002</v>
      </c>
      <c r="M8790" s="22">
        <v>0</v>
      </c>
      <c r="N8790" s="21">
        <v>2.3300000000000001</v>
      </c>
      <c r="O8790" s="22">
        <v>0</v>
      </c>
    </row>
    <row r="8791" ht="25.5">
      <c r="A8791" t="s">
        <v>8860</v>
      </c>
      <c r="B8791" s="19">
        <v>104767</v>
      </c>
      <c r="C8791" s="20" t="s">
        <v>8902</v>
      </c>
      <c r="D8791" s="19" t="s">
        <v>31</v>
      </c>
      <c r="E8791" s="21">
        <f t="shared" si="410"/>
        <v>0.62</v>
      </c>
      <c r="F8791" s="22">
        <v>0</v>
      </c>
      <c r="G8791" s="21">
        <f t="shared" si="411"/>
        <v>0.58999999999999997</v>
      </c>
      <c r="H8791" s="22">
        <v>0</v>
      </c>
      <c r="I8791" s="23" t="str">
        <f t="shared" si="412"/>
        <v xml:space="preserve">COM VALOR</v>
      </c>
      <c r="J8791" s="19"/>
      <c r="L8791" s="21">
        <v>0.62</v>
      </c>
      <c r="M8791" s="22">
        <v>0</v>
      </c>
      <c r="N8791" s="21">
        <v>0.58999999999999997</v>
      </c>
      <c r="O8791" s="22">
        <v>0</v>
      </c>
    </row>
    <row r="8792" ht="38.25">
      <c r="A8792" t="s">
        <v>8860</v>
      </c>
      <c r="B8792" s="19">
        <v>104762</v>
      </c>
      <c r="C8792" s="20" t="s">
        <v>8903</v>
      </c>
      <c r="D8792" s="19" t="s">
        <v>31</v>
      </c>
      <c r="E8792" s="21">
        <f t="shared" si="410"/>
        <v>27.690000000000001</v>
      </c>
      <c r="F8792" s="22">
        <v>0</v>
      </c>
      <c r="G8792" s="21">
        <f t="shared" si="411"/>
        <v>26.170000000000002</v>
      </c>
      <c r="H8792" s="22">
        <v>0</v>
      </c>
      <c r="I8792" s="23" t="str">
        <f t="shared" si="412"/>
        <v xml:space="preserve">COM VALOR</v>
      </c>
      <c r="J8792" s="19"/>
      <c r="L8792" s="21">
        <v>27.690000000000001</v>
      </c>
      <c r="M8792" s="22">
        <v>0</v>
      </c>
      <c r="N8792" s="21">
        <v>26.170000000000002</v>
      </c>
      <c r="O8792" s="22">
        <v>0</v>
      </c>
    </row>
    <row r="8793" ht="38.25">
      <c r="A8793" t="s">
        <v>8860</v>
      </c>
      <c r="B8793" s="19">
        <v>104763</v>
      </c>
      <c r="C8793" s="20" t="s">
        <v>8904</v>
      </c>
      <c r="D8793" s="19" t="s">
        <v>31</v>
      </c>
      <c r="E8793" s="21">
        <f t="shared" si="410"/>
        <v>40.439999999999998</v>
      </c>
      <c r="F8793" s="22">
        <v>0</v>
      </c>
      <c r="G8793" s="21">
        <f t="shared" si="411"/>
        <v>38.210000000000001</v>
      </c>
      <c r="H8793" s="22">
        <v>0</v>
      </c>
      <c r="I8793" s="23" t="str">
        <f t="shared" si="412"/>
        <v xml:space="preserve">COM VALOR</v>
      </c>
      <c r="J8793" s="19"/>
      <c r="L8793" s="21">
        <v>40.439999999999998</v>
      </c>
      <c r="M8793" s="22">
        <v>0</v>
      </c>
      <c r="N8793" s="21">
        <v>38.210000000000001</v>
      </c>
      <c r="O8793" s="22">
        <v>0</v>
      </c>
    </row>
    <row r="8794" ht="38.25">
      <c r="A8794" t="s">
        <v>8860</v>
      </c>
      <c r="B8794" s="19">
        <v>104761</v>
      </c>
      <c r="C8794" s="20" t="s">
        <v>8905</v>
      </c>
      <c r="D8794" s="19" t="s">
        <v>31</v>
      </c>
      <c r="E8794" s="21">
        <f t="shared" si="410"/>
        <v>10.369999999999999</v>
      </c>
      <c r="F8794" s="22">
        <v>0</v>
      </c>
      <c r="G8794" s="21">
        <f t="shared" si="411"/>
        <v>9.8100000000000005</v>
      </c>
      <c r="H8794" s="22">
        <v>0</v>
      </c>
      <c r="I8794" s="23" t="str">
        <f t="shared" si="412"/>
        <v xml:space="preserve">COM VALOR</v>
      </c>
      <c r="J8794" s="19"/>
      <c r="L8794" s="21">
        <v>10.369999999999999</v>
      </c>
      <c r="M8794" s="22">
        <v>0</v>
      </c>
      <c r="N8794" s="21">
        <v>9.8100000000000005</v>
      </c>
      <c r="O8794" s="22">
        <v>0</v>
      </c>
    </row>
    <row r="8795" ht="38.25">
      <c r="A8795" t="s">
        <v>8860</v>
      </c>
      <c r="B8795" s="19">
        <v>90440</v>
      </c>
      <c r="C8795" s="20" t="s">
        <v>8906</v>
      </c>
      <c r="D8795" s="19" t="s">
        <v>31</v>
      </c>
      <c r="E8795" s="21">
        <f t="shared" si="410"/>
        <v>27.510000000000002</v>
      </c>
      <c r="F8795" s="22">
        <v>0</v>
      </c>
      <c r="G8795" s="21">
        <f t="shared" si="411"/>
        <v>25.989999999999998</v>
      </c>
      <c r="H8795" s="22">
        <v>0</v>
      </c>
      <c r="I8795" s="23" t="str">
        <f t="shared" si="412"/>
        <v xml:space="preserve">COM VALOR</v>
      </c>
      <c r="J8795" s="19"/>
      <c r="L8795" s="21">
        <v>27.510000000000002</v>
      </c>
      <c r="M8795" s="22">
        <v>0</v>
      </c>
      <c r="N8795" s="21">
        <v>25.989999999999998</v>
      </c>
      <c r="O8795" s="22">
        <v>0</v>
      </c>
    </row>
    <row r="8796" ht="38.25">
      <c r="A8796" t="s">
        <v>8860</v>
      </c>
      <c r="B8796" s="19">
        <v>90441</v>
      </c>
      <c r="C8796" s="20" t="s">
        <v>8907</v>
      </c>
      <c r="D8796" s="19" t="s">
        <v>31</v>
      </c>
      <c r="E8796" s="21">
        <f t="shared" si="410"/>
        <v>40.170000000000002</v>
      </c>
      <c r="F8796" s="22">
        <v>0</v>
      </c>
      <c r="G8796" s="21">
        <f t="shared" si="411"/>
        <v>37.950000000000003</v>
      </c>
      <c r="H8796" s="22">
        <v>0</v>
      </c>
      <c r="I8796" s="23" t="str">
        <f t="shared" si="412"/>
        <v xml:space="preserve">COM VALOR</v>
      </c>
      <c r="J8796" s="19"/>
      <c r="L8796" s="21">
        <v>40.170000000000002</v>
      </c>
      <c r="M8796" s="22">
        <v>0</v>
      </c>
      <c r="N8796" s="21">
        <v>37.950000000000003</v>
      </c>
      <c r="O8796" s="22">
        <v>0</v>
      </c>
    </row>
    <row r="8797" ht="38.25">
      <c r="A8797" t="s">
        <v>8860</v>
      </c>
      <c r="B8797" s="19">
        <v>90439</v>
      </c>
      <c r="C8797" s="20" t="s">
        <v>8908</v>
      </c>
      <c r="D8797" s="19" t="s">
        <v>31</v>
      </c>
      <c r="E8797" s="21">
        <f t="shared" si="410"/>
        <v>10.300000000000001</v>
      </c>
      <c r="F8797" s="22">
        <v>0</v>
      </c>
      <c r="G8797" s="21">
        <f t="shared" si="411"/>
        <v>9.7400000000000002</v>
      </c>
      <c r="H8797" s="22">
        <v>0</v>
      </c>
      <c r="I8797" s="23" t="str">
        <f t="shared" si="412"/>
        <v xml:space="preserve">COM VALOR</v>
      </c>
      <c r="J8797" s="19"/>
      <c r="L8797" s="21">
        <v>10.300000000000001</v>
      </c>
      <c r="M8797" s="22">
        <v>0</v>
      </c>
      <c r="N8797" s="21">
        <v>9.7400000000000002</v>
      </c>
      <c r="O8797" s="22">
        <v>0</v>
      </c>
    </row>
    <row r="8798" ht="38.25">
      <c r="A8798" t="s">
        <v>8860</v>
      </c>
      <c r="B8798" s="19">
        <v>104776</v>
      </c>
      <c r="C8798" s="20" t="s">
        <v>8909</v>
      </c>
      <c r="D8798" s="19" t="s">
        <v>31</v>
      </c>
      <c r="E8798" s="21">
        <f t="shared" si="410"/>
        <v>6.7300000000000004</v>
      </c>
      <c r="F8798" s="22">
        <v>0</v>
      </c>
      <c r="G8798" s="21">
        <f t="shared" si="411"/>
        <v>6.4000000000000004</v>
      </c>
      <c r="H8798" s="22">
        <v>0</v>
      </c>
      <c r="I8798" s="23" t="str">
        <f t="shared" si="412"/>
        <v xml:space="preserve">COM VALOR</v>
      </c>
      <c r="J8798" s="19"/>
      <c r="L8798" s="21">
        <v>6.7300000000000004</v>
      </c>
      <c r="M8798" s="22">
        <v>0</v>
      </c>
      <c r="N8798" s="21">
        <v>6.4000000000000004</v>
      </c>
      <c r="O8798" s="22">
        <v>0</v>
      </c>
    </row>
    <row r="8799" ht="38.25">
      <c r="A8799" t="s">
        <v>8860</v>
      </c>
      <c r="B8799" s="19">
        <v>104778</v>
      </c>
      <c r="C8799" s="20" t="s">
        <v>8910</v>
      </c>
      <c r="D8799" s="19" t="s">
        <v>31</v>
      </c>
      <c r="E8799" s="21">
        <f t="shared" si="410"/>
        <v>9.8300000000000001</v>
      </c>
      <c r="F8799" s="22">
        <v>0</v>
      </c>
      <c r="G8799" s="21">
        <f t="shared" si="411"/>
        <v>9.3499999999999996</v>
      </c>
      <c r="H8799" s="22">
        <v>0</v>
      </c>
      <c r="I8799" s="23" t="str">
        <f t="shared" si="412"/>
        <v xml:space="preserve">COM VALOR</v>
      </c>
      <c r="J8799" s="19"/>
      <c r="L8799" s="21">
        <v>9.8300000000000001</v>
      </c>
      <c r="M8799" s="22">
        <v>0</v>
      </c>
      <c r="N8799" s="21">
        <v>9.3499999999999996</v>
      </c>
      <c r="O8799" s="22">
        <v>0</v>
      </c>
    </row>
    <row r="8800" ht="38.25">
      <c r="A8800" t="s">
        <v>8860</v>
      </c>
      <c r="B8800" s="19">
        <v>104774</v>
      </c>
      <c r="C8800" s="20" t="s">
        <v>8911</v>
      </c>
      <c r="D8800" s="19" t="s">
        <v>31</v>
      </c>
      <c r="E8800" s="21">
        <f t="shared" si="410"/>
        <v>2.52</v>
      </c>
      <c r="F8800" s="22">
        <v>0</v>
      </c>
      <c r="G8800" s="21">
        <f t="shared" si="411"/>
        <v>2.3900000000000001</v>
      </c>
      <c r="H8800" s="22">
        <v>0</v>
      </c>
      <c r="I8800" s="23" t="str">
        <f t="shared" si="412"/>
        <v xml:space="preserve">COM VALOR</v>
      </c>
      <c r="J8800" s="19"/>
      <c r="L8800" s="21">
        <v>2.52</v>
      </c>
      <c r="M8800" s="22">
        <v>0</v>
      </c>
      <c r="N8800" s="21">
        <v>2.3900000000000001</v>
      </c>
      <c r="O8800" s="22">
        <v>0</v>
      </c>
    </row>
    <row r="8801" ht="38.25">
      <c r="A8801" t="s">
        <v>8860</v>
      </c>
      <c r="B8801" s="19">
        <v>104775</v>
      </c>
      <c r="C8801" s="20" t="s">
        <v>8912</v>
      </c>
      <c r="D8801" s="19" t="s">
        <v>31</v>
      </c>
      <c r="E8801" s="21">
        <f t="shared" si="410"/>
        <v>6.1900000000000004</v>
      </c>
      <c r="F8801" s="22">
        <v>0</v>
      </c>
      <c r="G8801" s="21">
        <f t="shared" si="411"/>
        <v>5.8799999999999999</v>
      </c>
      <c r="H8801" s="22">
        <v>0</v>
      </c>
      <c r="I8801" s="23" t="str">
        <f t="shared" si="412"/>
        <v xml:space="preserve">COM VALOR</v>
      </c>
      <c r="J8801" s="19"/>
      <c r="L8801" s="21">
        <v>6.1900000000000004</v>
      </c>
      <c r="M8801" s="22">
        <v>0</v>
      </c>
      <c r="N8801" s="21">
        <v>5.8799999999999999</v>
      </c>
      <c r="O8801" s="22">
        <v>0</v>
      </c>
    </row>
    <row r="8802" ht="38.25">
      <c r="A8802" t="s">
        <v>8860</v>
      </c>
      <c r="B8802" s="19">
        <v>104777</v>
      </c>
      <c r="C8802" s="20" t="s">
        <v>8913</v>
      </c>
      <c r="D8802" s="19" t="s">
        <v>31</v>
      </c>
      <c r="E8802" s="21">
        <f t="shared" si="410"/>
        <v>9.0500000000000007</v>
      </c>
      <c r="F8802" s="22">
        <v>0</v>
      </c>
      <c r="G8802" s="21">
        <f t="shared" si="411"/>
        <v>8.5999999999999996</v>
      </c>
      <c r="H8802" s="22">
        <v>0</v>
      </c>
      <c r="I8802" s="23" t="str">
        <f t="shared" si="412"/>
        <v xml:space="preserve">COM VALOR</v>
      </c>
      <c r="J8802" s="19"/>
      <c r="L8802" s="21">
        <v>9.0500000000000007</v>
      </c>
      <c r="M8802" s="22">
        <v>0</v>
      </c>
      <c r="N8802" s="21">
        <v>8.5999999999999996</v>
      </c>
      <c r="O8802" s="22">
        <v>0</v>
      </c>
    </row>
    <row r="8803" ht="38.25">
      <c r="A8803" t="s">
        <v>8860</v>
      </c>
      <c r="B8803" s="19">
        <v>104773</v>
      </c>
      <c r="C8803" s="20" t="s">
        <v>8914</v>
      </c>
      <c r="D8803" s="19" t="s">
        <v>31</v>
      </c>
      <c r="E8803" s="21">
        <f t="shared" si="410"/>
        <v>2.3199999999999998</v>
      </c>
      <c r="F8803" s="22">
        <v>0</v>
      </c>
      <c r="G8803" s="21">
        <f t="shared" si="411"/>
        <v>2.2000000000000002</v>
      </c>
      <c r="H8803" s="22">
        <v>0</v>
      </c>
      <c r="I8803" s="23" t="str">
        <f t="shared" si="412"/>
        <v xml:space="preserve">COM VALOR</v>
      </c>
      <c r="J8803" s="19"/>
      <c r="L8803" s="21">
        <v>2.3199999999999998</v>
      </c>
      <c r="M8803" s="22">
        <v>0</v>
      </c>
      <c r="N8803" s="21">
        <v>2.2000000000000002</v>
      </c>
      <c r="O8803" s="22">
        <v>0</v>
      </c>
    </row>
    <row r="8804" ht="25.5">
      <c r="A8804" t="s">
        <v>8860</v>
      </c>
      <c r="B8804" s="19">
        <v>104782</v>
      </c>
      <c r="C8804" s="20" t="s">
        <v>8915</v>
      </c>
      <c r="D8804" s="19" t="s">
        <v>31</v>
      </c>
      <c r="E8804" s="21">
        <f t="shared" si="410"/>
        <v>60.25</v>
      </c>
      <c r="F8804" s="22">
        <v>0</v>
      </c>
      <c r="G8804" s="21">
        <f t="shared" si="411"/>
        <v>59.840000000000003</v>
      </c>
      <c r="H8804" s="22">
        <v>0</v>
      </c>
      <c r="I8804" s="23" t="str">
        <f t="shared" si="412"/>
        <v xml:space="preserve">COM VALOR</v>
      </c>
      <c r="J8804" s="19"/>
      <c r="L8804" s="21">
        <v>60.25</v>
      </c>
      <c r="M8804" s="22">
        <v>0</v>
      </c>
      <c r="N8804" s="21">
        <v>59.840000000000003</v>
      </c>
      <c r="O8804" s="22">
        <v>0</v>
      </c>
    </row>
    <row r="8805" ht="38.25">
      <c r="A8805" t="s">
        <v>8860</v>
      </c>
      <c r="B8805" s="19">
        <v>90451</v>
      </c>
      <c r="C8805" s="20" t="s">
        <v>8916</v>
      </c>
      <c r="D8805" s="19" t="s">
        <v>31</v>
      </c>
      <c r="E8805" s="21">
        <f t="shared" si="410"/>
        <v>6.3899999999999997</v>
      </c>
      <c r="F8805" s="22">
        <v>0</v>
      </c>
      <c r="G8805" s="21">
        <f t="shared" si="411"/>
        <v>6.1500000000000004</v>
      </c>
      <c r="H8805" s="22">
        <v>0</v>
      </c>
      <c r="I8805" s="23" t="str">
        <f t="shared" si="412"/>
        <v xml:space="preserve">COM VALOR</v>
      </c>
      <c r="J8805" s="19"/>
      <c r="L8805" s="21">
        <v>6.3899999999999997</v>
      </c>
      <c r="M8805" s="22">
        <v>0.23000000000000001</v>
      </c>
      <c r="N8805" s="21">
        <v>6.1500000000000004</v>
      </c>
      <c r="O8805" s="22">
        <v>0.23999999999999999</v>
      </c>
    </row>
    <row r="8806" ht="38.25">
      <c r="A8806" t="s">
        <v>8860</v>
      </c>
      <c r="B8806" s="19">
        <v>90452</v>
      </c>
      <c r="C8806" s="20" t="s">
        <v>8917</v>
      </c>
      <c r="D8806" s="19" t="s">
        <v>31</v>
      </c>
      <c r="E8806" s="21">
        <f t="shared" si="410"/>
        <v>23.359999999999999</v>
      </c>
      <c r="F8806" s="22">
        <v>0</v>
      </c>
      <c r="G8806" s="21">
        <f t="shared" si="411"/>
        <v>22.940000000000001</v>
      </c>
      <c r="H8806" s="22">
        <v>0</v>
      </c>
      <c r="I8806" s="23" t="str">
        <f t="shared" si="412"/>
        <v xml:space="preserve">COM VALOR</v>
      </c>
      <c r="J8806" s="19"/>
      <c r="L8806" s="21">
        <v>23.359999999999999</v>
      </c>
      <c r="M8806" s="22">
        <v>0.64000000000000001</v>
      </c>
      <c r="N8806" s="21">
        <v>22.940000000000001</v>
      </c>
      <c r="O8806" s="22">
        <v>0.65000000000000002</v>
      </c>
    </row>
    <row r="8807" ht="38.25">
      <c r="A8807" t="s">
        <v>8860</v>
      </c>
      <c r="B8807" s="19">
        <v>90455</v>
      </c>
      <c r="C8807" s="20" t="s">
        <v>8918</v>
      </c>
      <c r="D8807" s="19" t="s">
        <v>31</v>
      </c>
      <c r="E8807" s="21">
        <f t="shared" si="410"/>
        <v>8.4399999999999995</v>
      </c>
      <c r="F8807" s="22">
        <v>0</v>
      </c>
      <c r="G8807" s="21">
        <f t="shared" si="411"/>
        <v>8.1300000000000008</v>
      </c>
      <c r="H8807" s="22">
        <v>0</v>
      </c>
      <c r="I8807" s="23" t="str">
        <f t="shared" si="412"/>
        <v xml:space="preserve">COM VALOR</v>
      </c>
      <c r="J8807" s="19"/>
      <c r="L8807" s="21">
        <v>8.4399999999999995</v>
      </c>
      <c r="M8807" s="22">
        <v>0</v>
      </c>
      <c r="N8807" s="21">
        <v>8.1300000000000008</v>
      </c>
      <c r="O8807" s="22">
        <v>0</v>
      </c>
    </row>
    <row r="8808" ht="38.25">
      <c r="A8808" t="s">
        <v>8860</v>
      </c>
      <c r="B8808" s="19">
        <v>104784</v>
      </c>
      <c r="C8808" s="20" t="s">
        <v>8919</v>
      </c>
      <c r="D8808" s="19" t="s">
        <v>31</v>
      </c>
      <c r="E8808" s="21">
        <f t="shared" si="410"/>
        <v>14.56</v>
      </c>
      <c r="F8808" s="22">
        <v>0</v>
      </c>
      <c r="G8808" s="21">
        <f t="shared" si="411"/>
        <v>14.130000000000001</v>
      </c>
      <c r="H8808" s="22">
        <v>0</v>
      </c>
      <c r="I8808" s="23" t="str">
        <f t="shared" si="412"/>
        <v xml:space="preserve">COM VALOR</v>
      </c>
      <c r="J8808" s="19"/>
      <c r="L8808" s="21">
        <v>14.56</v>
      </c>
      <c r="M8808" s="22">
        <v>0</v>
      </c>
      <c r="N8808" s="21">
        <v>14.130000000000001</v>
      </c>
      <c r="O8808" s="22">
        <v>0</v>
      </c>
    </row>
    <row r="8809" ht="38.25">
      <c r="A8809" t="s">
        <v>8860</v>
      </c>
      <c r="B8809" s="19">
        <v>90453</v>
      </c>
      <c r="C8809" s="20" t="s">
        <v>8920</v>
      </c>
      <c r="D8809" s="19" t="s">
        <v>31</v>
      </c>
      <c r="E8809" s="21">
        <f t="shared" si="410"/>
        <v>4.1299999999999999</v>
      </c>
      <c r="F8809" s="22">
        <v>0</v>
      </c>
      <c r="G8809" s="21">
        <f t="shared" si="411"/>
        <v>4</v>
      </c>
      <c r="H8809" s="22">
        <v>0</v>
      </c>
      <c r="I8809" s="23" t="str">
        <f t="shared" si="412"/>
        <v xml:space="preserve">COM VALOR</v>
      </c>
      <c r="J8809" s="19"/>
      <c r="L8809" s="21">
        <v>4.1299999999999999</v>
      </c>
      <c r="M8809" s="22">
        <v>0</v>
      </c>
      <c r="N8809" s="21">
        <v>4</v>
      </c>
      <c r="O8809" s="22">
        <v>0</v>
      </c>
    </row>
    <row r="8810" ht="38.25">
      <c r="A8810" t="s">
        <v>8860</v>
      </c>
      <c r="B8810" s="19">
        <v>104783</v>
      </c>
      <c r="C8810" s="20" t="s">
        <v>8921</v>
      </c>
      <c r="D8810" s="19" t="s">
        <v>31</v>
      </c>
      <c r="E8810" s="21">
        <f t="shared" si="410"/>
        <v>5.2599999999999998</v>
      </c>
      <c r="F8810" s="22">
        <v>0</v>
      </c>
      <c r="G8810" s="21">
        <f t="shared" si="411"/>
        <v>5.0999999999999996</v>
      </c>
      <c r="H8810" s="22">
        <v>0</v>
      </c>
      <c r="I8810" s="23" t="str">
        <f t="shared" si="412"/>
        <v xml:space="preserve">COM VALOR</v>
      </c>
      <c r="J8810" s="19"/>
      <c r="L8810" s="21">
        <v>5.2599999999999998</v>
      </c>
      <c r="M8810" s="22">
        <v>0</v>
      </c>
      <c r="N8810" s="21">
        <v>5.0999999999999996</v>
      </c>
      <c r="O8810" s="22">
        <v>0</v>
      </c>
    </row>
    <row r="8811" ht="38.25">
      <c r="A8811" t="s">
        <v>8860</v>
      </c>
      <c r="B8811" s="19">
        <v>90454</v>
      </c>
      <c r="C8811" s="20" t="s">
        <v>8922</v>
      </c>
      <c r="D8811" s="19" t="s">
        <v>31</v>
      </c>
      <c r="E8811" s="21">
        <f t="shared" si="410"/>
        <v>6.6500000000000004</v>
      </c>
      <c r="F8811" s="22">
        <v>0</v>
      </c>
      <c r="G8811" s="21">
        <f t="shared" si="411"/>
        <v>6.4500000000000002</v>
      </c>
      <c r="H8811" s="22">
        <v>0</v>
      </c>
      <c r="I8811" s="23" t="str">
        <f t="shared" si="412"/>
        <v xml:space="preserve">COM VALOR</v>
      </c>
      <c r="J8811" s="19"/>
      <c r="L8811" s="21">
        <v>6.6500000000000004</v>
      </c>
      <c r="M8811" s="22">
        <v>0</v>
      </c>
      <c r="N8811" s="21">
        <v>6.4500000000000002</v>
      </c>
      <c r="O8811" s="22">
        <v>0</v>
      </c>
    </row>
    <row r="8812" ht="25.5">
      <c r="A8812" t="s">
        <v>8860</v>
      </c>
      <c r="B8812" s="19">
        <v>90459</v>
      </c>
      <c r="C8812" s="20" t="s">
        <v>8923</v>
      </c>
      <c r="D8812" s="19" t="s">
        <v>31</v>
      </c>
      <c r="E8812" s="21">
        <f t="shared" si="410"/>
        <v>49.140000000000001</v>
      </c>
      <c r="F8812" s="22">
        <v>0</v>
      </c>
      <c r="G8812" s="21">
        <f t="shared" si="411"/>
        <v>46.310000000000002</v>
      </c>
      <c r="H8812" s="22">
        <v>0</v>
      </c>
      <c r="I8812" s="23" t="str">
        <f t="shared" si="412"/>
        <v xml:space="preserve">COM VALOR</v>
      </c>
      <c r="J8812" s="19"/>
      <c r="L8812" s="21">
        <v>49.140000000000001</v>
      </c>
      <c r="M8812" s="22">
        <v>0</v>
      </c>
      <c r="N8812" s="21">
        <v>46.310000000000002</v>
      </c>
      <c r="O8812" s="22">
        <v>0</v>
      </c>
    </row>
    <row r="8813" ht="25.5">
      <c r="A8813" t="s">
        <v>8860</v>
      </c>
      <c r="B8813" s="19">
        <v>90456</v>
      </c>
      <c r="C8813" s="20" t="s">
        <v>8924</v>
      </c>
      <c r="D8813" s="19" t="s">
        <v>31</v>
      </c>
      <c r="E8813" s="21">
        <f t="shared" si="410"/>
        <v>5.8799999999999999</v>
      </c>
      <c r="F8813" s="22">
        <v>0</v>
      </c>
      <c r="G8813" s="21">
        <f t="shared" si="411"/>
        <v>5.54</v>
      </c>
      <c r="H8813" s="22">
        <v>0</v>
      </c>
      <c r="I8813" s="23" t="str">
        <f t="shared" si="412"/>
        <v xml:space="preserve">COM VALOR</v>
      </c>
      <c r="J8813" s="19"/>
      <c r="L8813" s="21">
        <v>5.8799999999999999</v>
      </c>
      <c r="M8813" s="22">
        <v>0</v>
      </c>
      <c r="N8813" s="21">
        <v>5.54</v>
      </c>
      <c r="O8813" s="22">
        <v>0</v>
      </c>
    </row>
    <row r="8814" ht="25.5">
      <c r="A8814" t="s">
        <v>8860</v>
      </c>
      <c r="B8814" s="19">
        <v>90458</v>
      </c>
      <c r="C8814" s="20" t="s">
        <v>8925</v>
      </c>
      <c r="D8814" s="19" t="s">
        <v>31</v>
      </c>
      <c r="E8814" s="21">
        <f t="shared" si="410"/>
        <v>38.289999999999999</v>
      </c>
      <c r="F8814" s="22">
        <v>0</v>
      </c>
      <c r="G8814" s="21">
        <f t="shared" si="411"/>
        <v>36.079999999999998</v>
      </c>
      <c r="H8814" s="22">
        <v>0</v>
      </c>
      <c r="I8814" s="23" t="str">
        <f t="shared" si="412"/>
        <v xml:space="preserve">COM VALOR</v>
      </c>
      <c r="J8814" s="19"/>
      <c r="L8814" s="21">
        <v>38.289999999999999</v>
      </c>
      <c r="M8814" s="22">
        <v>0</v>
      </c>
      <c r="N8814" s="21">
        <v>36.079999999999998</v>
      </c>
      <c r="O8814" s="22">
        <v>0</v>
      </c>
    </row>
    <row r="8815" ht="25.5">
      <c r="A8815" t="s">
        <v>8860</v>
      </c>
      <c r="B8815" s="19">
        <v>90457</v>
      </c>
      <c r="C8815" s="20" t="s">
        <v>8926</v>
      </c>
      <c r="D8815" s="19" t="s">
        <v>31</v>
      </c>
      <c r="E8815" s="21">
        <f t="shared" si="410"/>
        <v>13.42</v>
      </c>
      <c r="F8815" s="22"/>
      <c r="G8815" s="21">
        <f t="shared" si="411"/>
        <v>12.640000000000001</v>
      </c>
      <c r="H8815" s="22"/>
      <c r="I8815" s="23" t="str">
        <f t="shared" si="412"/>
        <v xml:space="preserve">COM VALOR</v>
      </c>
      <c r="J8815" s="19"/>
      <c r="L8815" s="21">
        <v>13.42</v>
      </c>
      <c r="M8815" s="22">
        <v>0</v>
      </c>
      <c r="N8815" s="21">
        <v>12.640000000000001</v>
      </c>
      <c r="O8815" s="22">
        <v>0</v>
      </c>
    </row>
    <row r="8816" ht="25.5">
      <c r="A8816" t="s">
        <v>8860</v>
      </c>
      <c r="B8816" s="19">
        <v>90447</v>
      </c>
      <c r="C8816" s="20" t="s">
        <v>8927</v>
      </c>
      <c r="D8816" s="19" t="s">
        <v>38</v>
      </c>
      <c r="E8816" s="21">
        <f t="shared" si="410"/>
        <v>8.8800000000000008</v>
      </c>
      <c r="F8816" s="22"/>
      <c r="G8816" s="21">
        <f t="shared" si="411"/>
        <v>8.3599999999999994</v>
      </c>
      <c r="H8816" s="22"/>
      <c r="I8816" s="23" t="str">
        <f t="shared" si="412"/>
        <v xml:space="preserve">COM VALOR</v>
      </c>
      <c r="J8816" s="19"/>
      <c r="L8816" s="21">
        <v>8.8800000000000008</v>
      </c>
      <c r="M8816" s="22">
        <v>0</v>
      </c>
      <c r="N8816" s="21">
        <v>8.3599999999999994</v>
      </c>
      <c r="O8816" s="22">
        <v>0</v>
      </c>
    </row>
    <row r="8817" ht="38.25">
      <c r="A8817" t="s">
        <v>8860</v>
      </c>
      <c r="B8817" s="19">
        <v>91222</v>
      </c>
      <c r="C8817" s="20" t="s">
        <v>8928</v>
      </c>
      <c r="D8817" s="19" t="s">
        <v>38</v>
      </c>
      <c r="E8817" s="21">
        <f t="shared" si="410"/>
        <v>8.9399999999999995</v>
      </c>
      <c r="F8817" s="22"/>
      <c r="G8817" s="21">
        <f t="shared" si="411"/>
        <v>8.4299999999999997</v>
      </c>
      <c r="H8817" s="22"/>
      <c r="I8817" s="23" t="str">
        <f t="shared" si="412"/>
        <v xml:space="preserve">COM VALOR</v>
      </c>
      <c r="J8817" s="19"/>
      <c r="L8817" s="21">
        <v>8.9399999999999995</v>
      </c>
      <c r="M8817" s="22">
        <v>0</v>
      </c>
      <c r="N8817" s="21">
        <v>8.4299999999999997</v>
      </c>
      <c r="O8817" s="22">
        <v>0</v>
      </c>
    </row>
    <row r="8818" ht="38.25">
      <c r="A8818" t="s">
        <v>8860</v>
      </c>
      <c r="B8818" s="19">
        <v>90443</v>
      </c>
      <c r="C8818" s="20" t="s">
        <v>8929</v>
      </c>
      <c r="D8818" s="19" t="s">
        <v>38</v>
      </c>
      <c r="E8818" s="21">
        <f t="shared" si="410"/>
        <v>8.0399999999999991</v>
      </c>
      <c r="F8818" s="22"/>
      <c r="G8818" s="21">
        <f t="shared" si="411"/>
        <v>7.5800000000000001</v>
      </c>
      <c r="H8818" s="22"/>
      <c r="I8818" s="23" t="str">
        <f t="shared" si="412"/>
        <v xml:space="preserve">COM VALOR</v>
      </c>
      <c r="J8818" s="19"/>
      <c r="L8818" s="21">
        <v>8.0399999999999991</v>
      </c>
      <c r="M8818" s="22">
        <v>0</v>
      </c>
      <c r="N8818" s="21">
        <v>7.5800000000000001</v>
      </c>
      <c r="O8818" s="22">
        <v>0</v>
      </c>
    </row>
    <row r="8819" ht="25.5">
      <c r="A8819" t="s">
        <v>8860</v>
      </c>
      <c r="B8819" s="19">
        <v>104780</v>
      </c>
      <c r="C8819" s="20" t="s">
        <v>8930</v>
      </c>
      <c r="D8819" s="19" t="s">
        <v>38</v>
      </c>
      <c r="E8819" s="21">
        <f t="shared" si="410"/>
        <v>6.4400000000000004</v>
      </c>
      <c r="F8819" s="22"/>
      <c r="G8819" s="21">
        <f t="shared" si="411"/>
        <v>6.0499999999999998</v>
      </c>
      <c r="H8819" s="22"/>
      <c r="I8819" s="23" t="str">
        <f t="shared" si="412"/>
        <v xml:space="preserve">COM VALOR</v>
      </c>
      <c r="J8819" s="19"/>
      <c r="L8819" s="21">
        <v>6.4400000000000004</v>
      </c>
      <c r="M8819" s="22">
        <v>0</v>
      </c>
      <c r="N8819" s="21">
        <v>6.0499999999999998</v>
      </c>
      <c r="O8819" s="22">
        <v>0</v>
      </c>
    </row>
    <row r="8820" ht="38.25">
      <c r="A8820" t="s">
        <v>8860</v>
      </c>
      <c r="B8820" s="19">
        <v>104781</v>
      </c>
      <c r="C8820" s="20" t="s">
        <v>8931</v>
      </c>
      <c r="D8820" s="19" t="s">
        <v>38</v>
      </c>
      <c r="E8820" s="21">
        <f t="shared" si="410"/>
        <v>7.3899999999999997</v>
      </c>
      <c r="F8820" s="22"/>
      <c r="G8820" s="21">
        <f t="shared" si="411"/>
        <v>6.9500000000000002</v>
      </c>
      <c r="H8820" s="22"/>
      <c r="I8820" s="23" t="str">
        <f t="shared" si="412"/>
        <v xml:space="preserve">COM VALOR</v>
      </c>
      <c r="J8820" s="19"/>
      <c r="L8820" s="21">
        <v>7.3899999999999997</v>
      </c>
      <c r="M8820" s="22">
        <v>0</v>
      </c>
      <c r="N8820" s="21">
        <v>6.9500000000000002</v>
      </c>
      <c r="O8820" s="22">
        <v>0</v>
      </c>
    </row>
    <row r="8821" ht="38.25">
      <c r="A8821" t="s">
        <v>8860</v>
      </c>
      <c r="B8821" s="19">
        <v>104779</v>
      </c>
      <c r="C8821" s="20" t="s">
        <v>8932</v>
      </c>
      <c r="D8821" s="19" t="s">
        <v>38</v>
      </c>
      <c r="E8821" s="21">
        <f t="shared" si="410"/>
        <v>6.4000000000000004</v>
      </c>
      <c r="F8821" s="22"/>
      <c r="G8821" s="21">
        <f t="shared" si="411"/>
        <v>6.0099999999999998</v>
      </c>
      <c r="H8821" s="22"/>
      <c r="I8821" s="23" t="str">
        <f t="shared" si="412"/>
        <v xml:space="preserve">COM VALOR</v>
      </c>
      <c r="J8821" s="19"/>
      <c r="L8821" s="21">
        <v>6.4000000000000004</v>
      </c>
      <c r="M8821" s="22">
        <v>0</v>
      </c>
      <c r="N8821" s="21">
        <v>6.0099999999999998</v>
      </c>
      <c r="O8821" s="22">
        <v>0</v>
      </c>
    </row>
    <row r="8822" ht="38.25">
      <c r="A8822" t="s">
        <v>8860</v>
      </c>
      <c r="B8822" s="19">
        <v>104787</v>
      </c>
      <c r="C8822" s="20" t="s">
        <v>8933</v>
      </c>
      <c r="D8822" s="19" t="s">
        <v>38</v>
      </c>
      <c r="E8822" s="21">
        <f t="shared" si="410"/>
        <v>9.0999999999999996</v>
      </c>
      <c r="F8822" s="22"/>
      <c r="G8822" s="21">
        <f t="shared" si="411"/>
        <v>8.5999999999999996</v>
      </c>
      <c r="H8822" s="22"/>
      <c r="I8822" s="23" t="str">
        <f t="shared" si="412"/>
        <v xml:space="preserve">COM VALOR</v>
      </c>
      <c r="J8822" s="19"/>
      <c r="L8822" s="21">
        <v>9.0999999999999996</v>
      </c>
      <c r="M8822" s="22">
        <v>0</v>
      </c>
      <c r="N8822" s="21">
        <v>8.5999999999999996</v>
      </c>
      <c r="O8822" s="22">
        <v>0</v>
      </c>
    </row>
    <row r="8823" ht="38.25">
      <c r="A8823" t="s">
        <v>8860</v>
      </c>
      <c r="B8823" s="19">
        <v>104788</v>
      </c>
      <c r="C8823" s="20" t="s">
        <v>8934</v>
      </c>
      <c r="D8823" s="19" t="s">
        <v>38</v>
      </c>
      <c r="E8823" s="21">
        <f t="shared" si="410"/>
        <v>12.09</v>
      </c>
      <c r="F8823" s="22"/>
      <c r="G8823" s="21">
        <f t="shared" si="411"/>
        <v>11.42</v>
      </c>
      <c r="H8823" s="22"/>
      <c r="I8823" s="23" t="str">
        <f t="shared" si="412"/>
        <v xml:space="preserve">COM VALOR</v>
      </c>
      <c r="J8823" s="19"/>
      <c r="L8823" s="21">
        <v>12.09</v>
      </c>
      <c r="M8823" s="22">
        <v>0</v>
      </c>
      <c r="N8823" s="21">
        <v>11.42</v>
      </c>
      <c r="O8823" s="22">
        <v>0</v>
      </c>
    </row>
    <row r="8824" ht="38.25">
      <c r="A8824" t="s">
        <v>8860</v>
      </c>
      <c r="B8824" s="19">
        <v>104786</v>
      </c>
      <c r="C8824" s="20" t="s">
        <v>8935</v>
      </c>
      <c r="D8824" s="19" t="s">
        <v>38</v>
      </c>
      <c r="E8824" s="21">
        <f t="shared" si="410"/>
        <v>6.8700000000000001</v>
      </c>
      <c r="F8824" s="22"/>
      <c r="G8824" s="21">
        <f t="shared" si="411"/>
        <v>6.4800000000000004</v>
      </c>
      <c r="H8824" s="22"/>
      <c r="I8824" s="23" t="str">
        <f t="shared" si="412"/>
        <v xml:space="preserve">COM VALOR</v>
      </c>
      <c r="J8824" s="19"/>
      <c r="L8824" s="21">
        <v>6.8700000000000001</v>
      </c>
      <c r="M8824" s="22">
        <v>0</v>
      </c>
      <c r="N8824" s="21">
        <v>6.4800000000000004</v>
      </c>
      <c r="O8824" s="22">
        <v>0</v>
      </c>
    </row>
    <row r="8825" ht="38.25">
      <c r="A8825" t="s">
        <v>8860</v>
      </c>
      <c r="B8825" s="19">
        <v>90445</v>
      </c>
      <c r="C8825" s="20" t="s">
        <v>8936</v>
      </c>
      <c r="D8825" s="19" t="s">
        <v>38</v>
      </c>
      <c r="E8825" s="21">
        <f t="shared" si="410"/>
        <v>18.850000000000001</v>
      </c>
      <c r="F8825" s="22"/>
      <c r="G8825" s="21">
        <f t="shared" si="411"/>
        <v>17.780000000000001</v>
      </c>
      <c r="H8825" s="22"/>
      <c r="I8825" s="23" t="str">
        <f t="shared" si="412"/>
        <v xml:space="preserve">COM VALOR</v>
      </c>
      <c r="J8825" s="19"/>
      <c r="L8825" s="21">
        <v>18.850000000000001</v>
      </c>
      <c r="M8825" s="22">
        <v>0</v>
      </c>
      <c r="N8825" s="21">
        <v>17.780000000000001</v>
      </c>
      <c r="O8825" s="22">
        <v>0</v>
      </c>
    </row>
    <row r="8826" ht="38.25">
      <c r="A8826" t="s">
        <v>8860</v>
      </c>
      <c r="B8826" s="19">
        <v>90446</v>
      </c>
      <c r="C8826" s="20" t="s">
        <v>8937</v>
      </c>
      <c r="D8826" s="19" t="s">
        <v>38</v>
      </c>
      <c r="E8826" s="21">
        <f t="shared" si="410"/>
        <v>25.039999999999999</v>
      </c>
      <c r="F8826" s="22"/>
      <c r="G8826" s="21">
        <f t="shared" si="411"/>
        <v>23.620000000000001</v>
      </c>
      <c r="H8826" s="22"/>
      <c r="I8826" s="23" t="str">
        <f t="shared" si="412"/>
        <v xml:space="preserve">COM VALOR</v>
      </c>
      <c r="J8826" s="19"/>
      <c r="L8826" s="21">
        <v>25.039999999999999</v>
      </c>
      <c r="M8826" s="22">
        <v>0</v>
      </c>
      <c r="N8826" s="21">
        <v>23.620000000000001</v>
      </c>
      <c r="O8826" s="22">
        <v>0</v>
      </c>
    </row>
    <row r="8827" ht="38.25">
      <c r="A8827" t="s">
        <v>8860</v>
      </c>
      <c r="B8827" s="19">
        <v>90444</v>
      </c>
      <c r="C8827" s="20" t="s">
        <v>8938</v>
      </c>
      <c r="D8827" s="19" t="s">
        <v>38</v>
      </c>
      <c r="E8827" s="21">
        <f t="shared" si="410"/>
        <v>14.220000000000001</v>
      </c>
      <c r="F8827" s="22"/>
      <c r="G8827" s="21">
        <f t="shared" si="411"/>
        <v>13.41</v>
      </c>
      <c r="H8827" s="22"/>
      <c r="I8827" s="23" t="str">
        <f t="shared" si="412"/>
        <v xml:space="preserve">COM VALOR</v>
      </c>
      <c r="J8827" s="19"/>
      <c r="L8827" s="21">
        <v>14.220000000000001</v>
      </c>
      <c r="M8827" s="22">
        <v>0</v>
      </c>
      <c r="N8827" s="21">
        <v>13.41</v>
      </c>
      <c r="O8827" s="22">
        <v>0</v>
      </c>
    </row>
    <row r="8828" ht="38.25">
      <c r="A8828" t="s">
        <v>8860</v>
      </c>
      <c r="B8828" s="19">
        <v>104764</v>
      </c>
      <c r="C8828" s="20" t="s">
        <v>8939</v>
      </c>
      <c r="D8828" s="19" t="s">
        <v>38</v>
      </c>
      <c r="E8828" s="21">
        <f t="shared" si="410"/>
        <v>21.109999999999999</v>
      </c>
      <c r="F8828" s="22"/>
      <c r="G8828" s="21">
        <f t="shared" si="411"/>
        <v>20.559999999999999</v>
      </c>
      <c r="H8828" s="22"/>
      <c r="I8828" s="23" t="str">
        <f t="shared" si="412"/>
        <v xml:space="preserve">COM VALOR</v>
      </c>
      <c r="J8828" s="19"/>
      <c r="L8828" s="21">
        <v>21.109999999999999</v>
      </c>
      <c r="M8828" s="22">
        <v>0.23999999999999999</v>
      </c>
      <c r="N8828" s="21">
        <v>20.559999999999999</v>
      </c>
      <c r="O8828" s="22">
        <v>0.25</v>
      </c>
    </row>
    <row r="8829" ht="38.25">
      <c r="A8829" t="s">
        <v>8860</v>
      </c>
      <c r="B8829" s="19">
        <v>90460</v>
      </c>
      <c r="C8829" s="20" t="s">
        <v>8940</v>
      </c>
      <c r="D8829" s="19" t="s">
        <v>38</v>
      </c>
      <c r="E8829" s="21">
        <f t="shared" si="410"/>
        <v>25.170000000000002</v>
      </c>
      <c r="F8829" s="22"/>
      <c r="G8829" s="21">
        <f t="shared" si="411"/>
        <v>24.68</v>
      </c>
      <c r="H8829" s="22"/>
      <c r="I8829" s="23" t="str">
        <f t="shared" si="412"/>
        <v xml:space="preserve">COM VALOR</v>
      </c>
      <c r="J8829" s="19"/>
      <c r="L8829" s="21">
        <v>25.170000000000002</v>
      </c>
      <c r="M8829" s="22">
        <v>0.28999999999999998</v>
      </c>
      <c r="N8829" s="21">
        <v>24.68</v>
      </c>
      <c r="O8829" s="22">
        <v>0.28999999999999998</v>
      </c>
    </row>
    <row r="8830" ht="38.25">
      <c r="A8830" t="s">
        <v>8860</v>
      </c>
      <c r="B8830" s="19">
        <v>90462</v>
      </c>
      <c r="C8830" s="20" t="s">
        <v>8941</v>
      </c>
      <c r="D8830" s="19" t="s">
        <v>38</v>
      </c>
      <c r="E8830" s="21">
        <f t="shared" si="410"/>
        <v>4.3799999999999999</v>
      </c>
      <c r="F8830" s="22"/>
      <c r="G8830" s="21">
        <f t="shared" si="411"/>
        <v>4.29</v>
      </c>
      <c r="H8830" s="22"/>
      <c r="I8830" s="23" t="str">
        <f t="shared" si="412"/>
        <v xml:space="preserve">COM VALOR</v>
      </c>
      <c r="J8830" s="19"/>
      <c r="L8830" s="21">
        <v>4.3799999999999999</v>
      </c>
      <c r="M8830" s="22">
        <v>0.31</v>
      </c>
      <c r="N8830" s="21">
        <v>4.29</v>
      </c>
      <c r="O8830" s="22">
        <v>0.31</v>
      </c>
    </row>
    <row r="8831" ht="38.25">
      <c r="A8831" t="s">
        <v>8860</v>
      </c>
      <c r="B8831" s="19">
        <v>104765</v>
      </c>
      <c r="C8831" s="20" t="s">
        <v>8942</v>
      </c>
      <c r="D8831" s="19" t="s">
        <v>38</v>
      </c>
      <c r="E8831" s="21">
        <f t="shared" si="410"/>
        <v>17.199999999999999</v>
      </c>
      <c r="F8831" s="22"/>
      <c r="G8831" s="21">
        <f t="shared" si="411"/>
        <v>16.57</v>
      </c>
      <c r="H8831" s="22"/>
      <c r="I8831" s="23" t="str">
        <f t="shared" si="412"/>
        <v xml:space="preserve">COM VALOR</v>
      </c>
      <c r="J8831" s="19"/>
      <c r="L8831" s="21">
        <v>17.199999999999999</v>
      </c>
      <c r="M8831" s="22">
        <v>0.14999999999999999</v>
      </c>
      <c r="N8831" s="21">
        <v>16.57</v>
      </c>
      <c r="O8831" s="22">
        <v>0.14999999999999999</v>
      </c>
    </row>
    <row r="8832" ht="38.25">
      <c r="A8832" t="s">
        <v>8860</v>
      </c>
      <c r="B8832" s="19">
        <v>90461</v>
      </c>
      <c r="C8832" s="20" t="s">
        <v>8943</v>
      </c>
      <c r="D8832" s="19" t="s">
        <v>38</v>
      </c>
      <c r="E8832" s="21">
        <f t="shared" si="410"/>
        <v>18.829999999999998</v>
      </c>
      <c r="F8832" s="22"/>
      <c r="G8832" s="21">
        <f t="shared" si="411"/>
        <v>18.25</v>
      </c>
      <c r="H8832" s="22"/>
      <c r="I8832" s="23" t="str">
        <f t="shared" si="412"/>
        <v xml:space="preserve">COM VALOR</v>
      </c>
      <c r="J8832" s="19"/>
      <c r="L8832" s="21">
        <v>18.829999999999998</v>
      </c>
      <c r="M8832" s="22">
        <v>0.19</v>
      </c>
      <c r="N8832" s="21">
        <v>18.25</v>
      </c>
      <c r="O8832" s="22">
        <v>0.20000000000000001</v>
      </c>
    </row>
    <row r="8833" ht="38.25">
      <c r="A8833" t="s">
        <v>8860</v>
      </c>
      <c r="B8833" s="19">
        <v>90463</v>
      </c>
      <c r="C8833" s="20" t="s">
        <v>8944</v>
      </c>
      <c r="D8833" s="19" t="s">
        <v>38</v>
      </c>
      <c r="E8833" s="21">
        <f t="shared" si="410"/>
        <v>3.7200000000000002</v>
      </c>
      <c r="F8833" s="22"/>
      <c r="G8833" s="21">
        <f t="shared" si="411"/>
        <v>3.6099999999999999</v>
      </c>
      <c r="H8833" s="22"/>
      <c r="I8833" s="23" t="str">
        <f t="shared" si="412"/>
        <v xml:space="preserve">COM VALOR</v>
      </c>
      <c r="J8833" s="19"/>
      <c r="L8833" s="21">
        <v>3.7200000000000002</v>
      </c>
      <c r="M8833" s="22">
        <v>0.23999999999999999</v>
      </c>
      <c r="N8833" s="21">
        <v>3.6099999999999999</v>
      </c>
      <c r="O8833" s="22">
        <v>0.25</v>
      </c>
    </row>
    <row r="8834" ht="38.25">
      <c r="A8834" t="s">
        <v>8860</v>
      </c>
      <c r="B8834" s="19">
        <v>96560</v>
      </c>
      <c r="C8834" s="20" t="s">
        <v>8945</v>
      </c>
      <c r="D8834" s="19" t="s">
        <v>29</v>
      </c>
      <c r="E8834" s="21">
        <f t="shared" si="410"/>
        <v>33.740000000000002</v>
      </c>
      <c r="F8834" s="22"/>
      <c r="G8834" s="21">
        <f t="shared" si="411"/>
        <v>32.75</v>
      </c>
      <c r="H8834" s="22"/>
      <c r="I8834" s="23" t="str">
        <f t="shared" si="412"/>
        <v xml:space="preserve">COM VALOR</v>
      </c>
      <c r="J8834" s="19"/>
      <c r="L8834" s="21">
        <v>33.740000000000002</v>
      </c>
      <c r="M8834" s="22">
        <v>0.17000000000000001</v>
      </c>
      <c r="N8834" s="21">
        <v>32.75</v>
      </c>
      <c r="O8834" s="22">
        <v>0.17000000000000001</v>
      </c>
    </row>
    <row r="8835" ht="38.25">
      <c r="A8835" t="s">
        <v>8860</v>
      </c>
      <c r="B8835" s="19">
        <v>96559</v>
      </c>
      <c r="C8835" s="20" t="s">
        <v>8946</v>
      </c>
      <c r="D8835" s="19" t="s">
        <v>29</v>
      </c>
      <c r="E8835" s="21">
        <f t="shared" si="410"/>
        <v>35.450000000000003</v>
      </c>
      <c r="F8835" s="22"/>
      <c r="G8835" s="21">
        <f t="shared" si="411"/>
        <v>34.75</v>
      </c>
      <c r="H8835" s="22"/>
      <c r="I8835" s="23" t="str">
        <f t="shared" si="412"/>
        <v xml:space="preserve">COM VALOR</v>
      </c>
      <c r="J8835" s="19"/>
      <c r="L8835" s="21">
        <v>35.450000000000003</v>
      </c>
      <c r="M8835" s="22">
        <v>0.25</v>
      </c>
      <c r="N8835" s="21">
        <v>34.75</v>
      </c>
      <c r="O8835" s="22">
        <v>0.26000000000000001</v>
      </c>
    </row>
    <row r="8836" ht="51">
      <c r="A8836" t="s">
        <v>8860</v>
      </c>
      <c r="B8836" s="19">
        <v>96562</v>
      </c>
      <c r="C8836" s="20" t="s">
        <v>8947</v>
      </c>
      <c r="D8836" s="19" t="s">
        <v>38</v>
      </c>
      <c r="E8836" s="21">
        <f t="shared" si="410"/>
        <v>52.469999999999999</v>
      </c>
      <c r="F8836" s="22"/>
      <c r="G8836" s="21">
        <f t="shared" si="411"/>
        <v>50.880000000000003</v>
      </c>
      <c r="H8836" s="22"/>
      <c r="I8836" s="23" t="str">
        <f t="shared" si="412"/>
        <v xml:space="preserve">COM VALOR</v>
      </c>
      <c r="J8836" s="19"/>
      <c r="L8836" s="21">
        <v>52.469999999999999</v>
      </c>
      <c r="M8836" s="22">
        <v>0.17000000000000001</v>
      </c>
      <c r="N8836" s="21">
        <v>50.880000000000003</v>
      </c>
      <c r="O8836" s="22">
        <v>0.17749999999999999</v>
      </c>
    </row>
    <row r="8837" ht="51">
      <c r="A8837" t="s">
        <v>8860</v>
      </c>
      <c r="B8837" s="19">
        <v>96563</v>
      </c>
      <c r="C8837" s="20" t="s">
        <v>8948</v>
      </c>
      <c r="D8837" s="19" t="s">
        <v>38</v>
      </c>
      <c r="E8837" s="21">
        <f t="shared" si="410"/>
        <v>58.189999999999998</v>
      </c>
      <c r="F8837" s="22"/>
      <c r="G8837" s="21">
        <f t="shared" si="411"/>
        <v>56.600000000000001</v>
      </c>
      <c r="H8837" s="22"/>
      <c r="I8837" s="23" t="str">
        <f t="shared" si="412"/>
        <v xml:space="preserve">COM VALOR</v>
      </c>
      <c r="J8837" s="19"/>
      <c r="L8837" s="21">
        <v>58.189999999999998</v>
      </c>
      <c r="M8837" s="22">
        <v>0.16</v>
      </c>
      <c r="N8837" s="21">
        <v>56.600000000000001</v>
      </c>
      <c r="O8837" s="22">
        <v>0.16</v>
      </c>
    </row>
    <row r="8838" ht="25.5">
      <c r="A8838" t="s">
        <v>8949</v>
      </c>
      <c r="B8838" s="19">
        <v>102469</v>
      </c>
      <c r="C8838" s="20" t="s">
        <v>8950</v>
      </c>
      <c r="D8838" s="19" t="s">
        <v>29</v>
      </c>
      <c r="E8838" s="21" t="str">
        <f t="shared" si="410"/>
        <v>VERIFICAR</v>
      </c>
      <c r="F8838" s="22"/>
      <c r="G8838" s="21" t="str">
        <f t="shared" si="411"/>
        <v>VERIFICAR</v>
      </c>
      <c r="H8838" s="22"/>
      <c r="I8838" s="23" t="str">
        <f t="shared" si="412"/>
        <v xml:space="preserve">COM VALOR</v>
      </c>
      <c r="J8838" s="19"/>
      <c r="L8838" s="21">
        <v>0</v>
      </c>
      <c r="M8838" s="22"/>
      <c r="N8838" s="21">
        <v>0</v>
      </c>
      <c r="O8838" s="22"/>
    </row>
    <row r="8839" ht="25.5">
      <c r="A8839" t="s">
        <v>8949</v>
      </c>
      <c r="B8839" s="19">
        <v>104388</v>
      </c>
      <c r="C8839" s="20" t="s">
        <v>8951</v>
      </c>
      <c r="D8839" s="19" t="s">
        <v>29</v>
      </c>
      <c r="E8839" s="21" t="str">
        <f t="shared" si="410"/>
        <v>VERIFICAR</v>
      </c>
      <c r="F8839" s="22"/>
      <c r="G8839" s="21" t="str">
        <f t="shared" si="411"/>
        <v>VERIFICAR</v>
      </c>
      <c r="H8839" s="22"/>
      <c r="I8839" s="23" t="str">
        <f t="shared" si="412"/>
        <v xml:space="preserve">COM VALOR</v>
      </c>
      <c r="J8839" s="19"/>
      <c r="L8839" s="21">
        <v>0</v>
      </c>
      <c r="M8839" s="22"/>
      <c r="N8839" s="21">
        <v>0</v>
      </c>
      <c r="O8839" s="22"/>
    </row>
    <row r="8840" ht="25.5">
      <c r="A8840" t="s">
        <v>8949</v>
      </c>
      <c r="B8840" s="19">
        <v>104387</v>
      </c>
      <c r="C8840" s="20" t="s">
        <v>8952</v>
      </c>
      <c r="D8840" s="19" t="s">
        <v>121</v>
      </c>
      <c r="E8840" s="21" t="str">
        <f t="shared" si="410"/>
        <v>VERIFICAR</v>
      </c>
      <c r="F8840" s="22">
        <v>0.89000000000000001</v>
      </c>
      <c r="G8840" s="21" t="str">
        <f t="shared" si="411"/>
        <v>VERIFICAR</v>
      </c>
      <c r="H8840" s="22">
        <v>0.89000000000000001</v>
      </c>
      <c r="I8840" s="23" t="str">
        <f t="shared" si="412"/>
        <v xml:space="preserve">COM VALOR</v>
      </c>
      <c r="J8840" s="19"/>
      <c r="L8840" s="21">
        <v>0</v>
      </c>
      <c r="M8840" s="22"/>
      <c r="N8840" s="21">
        <v>0</v>
      </c>
      <c r="O8840" s="22"/>
    </row>
    <row r="8841" ht="25.5">
      <c r="A8841" t="s">
        <v>8949</v>
      </c>
      <c r="B8841" s="19">
        <v>104364</v>
      </c>
      <c r="C8841" s="20" t="s">
        <v>8953</v>
      </c>
      <c r="D8841" s="19" t="s">
        <v>121</v>
      </c>
      <c r="E8841" s="21" t="str">
        <f t="shared" si="410"/>
        <v>VERIFICAR</v>
      </c>
      <c r="F8841" s="22"/>
      <c r="G8841" s="21" t="str">
        <f t="shared" si="411"/>
        <v>VERIFICAR</v>
      </c>
      <c r="H8841" s="22"/>
      <c r="I8841" s="23" t="str">
        <f t="shared" si="412"/>
        <v xml:space="preserve">COM VALOR</v>
      </c>
      <c r="J8841" s="19"/>
      <c r="L8841" s="21">
        <v>0</v>
      </c>
      <c r="M8841" s="22"/>
      <c r="N8841" s="21">
        <v>0</v>
      </c>
      <c r="O8841" s="22"/>
    </row>
    <row r="8842" ht="25.5">
      <c r="A8842" t="s">
        <v>8949</v>
      </c>
      <c r="B8842" s="19">
        <v>102097</v>
      </c>
      <c r="C8842" s="20" t="s">
        <v>8954</v>
      </c>
      <c r="D8842" s="19" t="s">
        <v>121</v>
      </c>
      <c r="E8842" s="21" t="str">
        <f t="shared" si="410"/>
        <v>VERIFICAR</v>
      </c>
      <c r="F8842" s="22"/>
      <c r="G8842" s="21" t="str">
        <f t="shared" si="411"/>
        <v>VERIFICAR</v>
      </c>
      <c r="H8842" s="22"/>
      <c r="I8842" s="23" t="str">
        <f t="shared" si="412"/>
        <v xml:space="preserve">COM VALOR</v>
      </c>
      <c r="J8842" s="19"/>
      <c r="L8842" s="21">
        <v>0</v>
      </c>
      <c r="M8842" s="22"/>
      <c r="N8842" s="21">
        <v>0</v>
      </c>
      <c r="O8842" s="22"/>
    </row>
    <row r="8843" ht="25.5">
      <c r="A8843" t="s">
        <v>8949</v>
      </c>
      <c r="B8843" s="19">
        <v>104365</v>
      </c>
      <c r="C8843" s="20" t="s">
        <v>8955</v>
      </c>
      <c r="D8843" s="19" t="s">
        <v>121</v>
      </c>
      <c r="E8843" s="21" t="str">
        <f t="shared" ref="E8843:E8906" si="413">IF(L8843=0,"VERIFICAR",L8843)</f>
        <v>VERIFICAR</v>
      </c>
      <c r="F8843" s="22"/>
      <c r="G8843" s="21" t="str">
        <f t="shared" ref="G8843:G8906" si="414">IF(N8843=0,"VERIFICAR",N8843)</f>
        <v>VERIFICAR</v>
      </c>
      <c r="H8843" s="22"/>
      <c r="I8843" s="23" t="str">
        <f t="shared" ref="I8843:I8906" si="415">IF(OR(E8843=0,G8843=0),"SEM VALOR","COM VALOR")</f>
        <v xml:space="preserve">COM VALOR</v>
      </c>
      <c r="J8843" s="19"/>
      <c r="L8843" s="21">
        <v>0</v>
      </c>
      <c r="M8843" s="22"/>
      <c r="N8843" s="21">
        <v>0</v>
      </c>
      <c r="O8843" s="22"/>
    </row>
    <row r="8844" ht="51">
      <c r="A8844" t="s">
        <v>8949</v>
      </c>
      <c r="B8844" s="19">
        <v>101870</v>
      </c>
      <c r="C8844" s="20" t="s">
        <v>8956</v>
      </c>
      <c r="D8844" s="19" t="s">
        <v>29</v>
      </c>
      <c r="E8844" s="21">
        <f t="shared" si="413"/>
        <v>38.950000000000003</v>
      </c>
      <c r="F8844" s="22"/>
      <c r="G8844" s="21">
        <f t="shared" si="414"/>
        <v>37.100000000000001</v>
      </c>
      <c r="H8844" s="22"/>
      <c r="I8844" s="23" t="str">
        <f t="shared" si="415"/>
        <v xml:space="preserve">COM VALOR</v>
      </c>
      <c r="J8844" s="19"/>
      <c r="L8844" s="21">
        <v>38.950000000000003</v>
      </c>
      <c r="M8844" s="22">
        <v>0</v>
      </c>
      <c r="N8844" s="21">
        <v>37.100000000000001</v>
      </c>
      <c r="O8844" s="22">
        <v>0</v>
      </c>
    </row>
    <row r="8845" ht="51">
      <c r="A8845" t="s">
        <v>8949</v>
      </c>
      <c r="B8845" s="19">
        <v>101866</v>
      </c>
      <c r="C8845" s="20" t="s">
        <v>8957</v>
      </c>
      <c r="D8845" s="19" t="s">
        <v>29</v>
      </c>
      <c r="E8845" s="21">
        <f t="shared" si="413"/>
        <v>32.93</v>
      </c>
      <c r="F8845" s="22"/>
      <c r="G8845" s="21">
        <f t="shared" si="414"/>
        <v>31.399999999999999</v>
      </c>
      <c r="H8845" s="22"/>
      <c r="I8845" s="23" t="str">
        <f t="shared" si="415"/>
        <v xml:space="preserve">COM VALOR</v>
      </c>
      <c r="J8845" s="19"/>
      <c r="L8845" s="21">
        <v>32.93</v>
      </c>
      <c r="M8845" s="22">
        <v>0</v>
      </c>
      <c r="N8845" s="21">
        <v>31.399999999999999</v>
      </c>
      <c r="O8845" s="22">
        <v>0</v>
      </c>
    </row>
    <row r="8846" ht="51">
      <c r="A8846" t="s">
        <v>8949</v>
      </c>
      <c r="B8846" s="19">
        <v>101867</v>
      </c>
      <c r="C8846" s="20" t="s">
        <v>8958</v>
      </c>
      <c r="D8846" s="19" t="s">
        <v>29</v>
      </c>
      <c r="E8846" s="21">
        <f t="shared" si="413"/>
        <v>37.57</v>
      </c>
      <c r="F8846" s="22"/>
      <c r="G8846" s="21">
        <f t="shared" si="414"/>
        <v>35.789999999999999</v>
      </c>
      <c r="H8846" s="22"/>
      <c r="I8846" s="23" t="str">
        <f t="shared" si="415"/>
        <v xml:space="preserve">COM VALOR</v>
      </c>
      <c r="J8846" s="19"/>
      <c r="L8846" s="21">
        <v>37.57</v>
      </c>
      <c r="M8846" s="22">
        <v>0</v>
      </c>
      <c r="N8846" s="21">
        <v>35.789999999999999</v>
      </c>
      <c r="O8846" s="22">
        <v>0</v>
      </c>
    </row>
    <row r="8847" ht="51">
      <c r="A8847" t="s">
        <v>8949</v>
      </c>
      <c r="B8847" s="19">
        <v>101868</v>
      </c>
      <c r="C8847" s="20" t="s">
        <v>8959</v>
      </c>
      <c r="D8847" s="19" t="s">
        <v>29</v>
      </c>
      <c r="E8847" s="21">
        <f t="shared" si="413"/>
        <v>29.690000000000001</v>
      </c>
      <c r="F8847" s="22"/>
      <c r="G8847" s="21">
        <f t="shared" si="414"/>
        <v>28.34</v>
      </c>
      <c r="H8847" s="22"/>
      <c r="I8847" s="23" t="str">
        <f t="shared" si="415"/>
        <v xml:space="preserve">COM VALOR</v>
      </c>
      <c r="J8847" s="19"/>
      <c r="L8847" s="21">
        <v>29.690000000000001</v>
      </c>
      <c r="M8847" s="22">
        <v>0</v>
      </c>
      <c r="N8847" s="21">
        <v>28.34</v>
      </c>
      <c r="O8847" s="22">
        <v>0</v>
      </c>
    </row>
    <row r="8848" ht="51">
      <c r="A8848" t="s">
        <v>8949</v>
      </c>
      <c r="B8848" s="19">
        <v>101869</v>
      </c>
      <c r="C8848" s="20" t="s">
        <v>8960</v>
      </c>
      <c r="D8848" s="19" t="s">
        <v>29</v>
      </c>
      <c r="E8848" s="21">
        <f t="shared" si="413"/>
        <v>34.32</v>
      </c>
      <c r="F8848" s="22"/>
      <c r="G8848" s="21">
        <f t="shared" si="414"/>
        <v>32.719999999999999</v>
      </c>
      <c r="H8848" s="22"/>
      <c r="I8848" s="23" t="str">
        <f t="shared" si="415"/>
        <v xml:space="preserve">COM VALOR</v>
      </c>
      <c r="J8848" s="19"/>
      <c r="L8848" s="21">
        <v>34.32</v>
      </c>
      <c r="M8848" s="22">
        <v>0</v>
      </c>
      <c r="N8848" s="21">
        <v>32.719999999999999</v>
      </c>
      <c r="O8848" s="22">
        <v>0</v>
      </c>
    </row>
    <row r="8849" ht="38.25">
      <c r="A8849" t="s">
        <v>8949</v>
      </c>
      <c r="B8849" s="19">
        <v>101856</v>
      </c>
      <c r="C8849" s="20" t="s">
        <v>8961</v>
      </c>
      <c r="D8849" s="19" t="s">
        <v>29</v>
      </c>
      <c r="E8849" s="21">
        <f t="shared" si="413"/>
        <v>26.829999999999998</v>
      </c>
      <c r="F8849" s="22"/>
      <c r="G8849" s="21">
        <f t="shared" si="414"/>
        <v>25.640000000000001</v>
      </c>
      <c r="H8849" s="22"/>
      <c r="I8849" s="23" t="str">
        <f t="shared" si="415"/>
        <v xml:space="preserve">COM VALOR</v>
      </c>
      <c r="J8849" s="19"/>
      <c r="L8849" s="21">
        <v>26.829999999999998</v>
      </c>
      <c r="M8849" s="22">
        <v>0</v>
      </c>
      <c r="N8849" s="21">
        <v>25.640000000000001</v>
      </c>
      <c r="O8849" s="22">
        <v>0</v>
      </c>
    </row>
    <row r="8850" ht="51">
      <c r="A8850" t="s">
        <v>8949</v>
      </c>
      <c r="B8850" s="19">
        <v>101865</v>
      </c>
      <c r="C8850" s="20" t="s">
        <v>8962</v>
      </c>
      <c r="D8850" s="19" t="s">
        <v>29</v>
      </c>
      <c r="E8850" s="21">
        <f t="shared" si="413"/>
        <v>37.090000000000003</v>
      </c>
      <c r="F8850" s="22"/>
      <c r="G8850" s="21">
        <f t="shared" si="414"/>
        <v>35.350000000000001</v>
      </c>
      <c r="H8850" s="22"/>
      <c r="I8850" s="23" t="str">
        <f t="shared" si="415"/>
        <v xml:space="preserve">COM VALOR</v>
      </c>
      <c r="J8850" s="19"/>
      <c r="L8850" s="21">
        <v>37.090000000000003</v>
      </c>
      <c r="M8850" s="22">
        <v>0</v>
      </c>
      <c r="N8850" s="21">
        <v>35.350000000000001</v>
      </c>
      <c r="O8850" s="22">
        <v>0</v>
      </c>
    </row>
    <row r="8851" ht="51">
      <c r="A8851" t="s">
        <v>8949</v>
      </c>
      <c r="B8851" s="19">
        <v>101861</v>
      </c>
      <c r="C8851" s="20" t="s">
        <v>8963</v>
      </c>
      <c r="D8851" s="19" t="s">
        <v>29</v>
      </c>
      <c r="E8851" s="21">
        <f t="shared" si="413"/>
        <v>32.689999999999998</v>
      </c>
      <c r="F8851" s="22"/>
      <c r="G8851" s="21">
        <f t="shared" si="414"/>
        <v>31.18</v>
      </c>
      <c r="H8851" s="22"/>
      <c r="I8851" s="23" t="str">
        <f t="shared" si="415"/>
        <v xml:space="preserve">COM VALOR</v>
      </c>
      <c r="J8851" s="19"/>
      <c r="L8851" s="21">
        <v>32.689999999999998</v>
      </c>
      <c r="M8851" s="22">
        <v>0</v>
      </c>
      <c r="N8851" s="21">
        <v>31.18</v>
      </c>
      <c r="O8851" s="22">
        <v>0</v>
      </c>
    </row>
    <row r="8852" ht="51">
      <c r="A8852" t="s">
        <v>8949</v>
      </c>
      <c r="B8852" s="19">
        <v>101862</v>
      </c>
      <c r="C8852" s="20" t="s">
        <v>8964</v>
      </c>
      <c r="D8852" s="19" t="s">
        <v>29</v>
      </c>
      <c r="E8852" s="21">
        <f t="shared" si="413"/>
        <v>35.700000000000003</v>
      </c>
      <c r="F8852" s="22"/>
      <c r="G8852" s="21">
        <f t="shared" si="414"/>
        <v>34.020000000000003</v>
      </c>
      <c r="H8852" s="22"/>
      <c r="I8852" s="23" t="str">
        <f t="shared" si="415"/>
        <v xml:space="preserve">COM VALOR</v>
      </c>
      <c r="J8852" s="19"/>
      <c r="L8852" s="21">
        <v>35.700000000000003</v>
      </c>
      <c r="M8852" s="22">
        <v>0</v>
      </c>
      <c r="N8852" s="21">
        <v>34.020000000000003</v>
      </c>
      <c r="O8852" s="22">
        <v>0</v>
      </c>
    </row>
    <row r="8853" ht="51">
      <c r="A8853" t="s">
        <v>8949</v>
      </c>
      <c r="B8853" s="19">
        <v>101863</v>
      </c>
      <c r="C8853" s="20" t="s">
        <v>8965</v>
      </c>
      <c r="D8853" s="19" t="s">
        <v>29</v>
      </c>
      <c r="E8853" s="21">
        <f t="shared" si="413"/>
        <v>27.829999999999998</v>
      </c>
      <c r="F8853" s="22"/>
      <c r="G8853" s="21">
        <f t="shared" si="414"/>
        <v>26.59</v>
      </c>
      <c r="H8853" s="22"/>
      <c r="I8853" s="23" t="str">
        <f t="shared" si="415"/>
        <v xml:space="preserve">COM VALOR</v>
      </c>
      <c r="J8853" s="19"/>
      <c r="L8853" s="21">
        <v>27.829999999999998</v>
      </c>
      <c r="M8853" s="22">
        <v>0</v>
      </c>
      <c r="N8853" s="21">
        <v>26.59</v>
      </c>
      <c r="O8853" s="22">
        <v>0</v>
      </c>
    </row>
    <row r="8854" ht="51">
      <c r="A8854" t="s">
        <v>8949</v>
      </c>
      <c r="B8854" s="19">
        <v>101864</v>
      </c>
      <c r="C8854" s="20" t="s">
        <v>8966</v>
      </c>
      <c r="D8854" s="19" t="s">
        <v>29</v>
      </c>
      <c r="E8854" s="21">
        <f t="shared" si="413"/>
        <v>32.460000000000001</v>
      </c>
      <c r="F8854" s="22"/>
      <c r="G8854" s="21">
        <f t="shared" si="414"/>
        <v>30.960000000000001</v>
      </c>
      <c r="H8854" s="22"/>
      <c r="I8854" s="23" t="str">
        <f t="shared" si="415"/>
        <v xml:space="preserve">COM VALOR</v>
      </c>
      <c r="J8854" s="19"/>
      <c r="L8854" s="21">
        <v>32.460000000000001</v>
      </c>
      <c r="M8854" s="22">
        <v>0</v>
      </c>
      <c r="N8854" s="21">
        <v>30.960000000000001</v>
      </c>
      <c r="O8854" s="22">
        <v>0</v>
      </c>
    </row>
    <row r="8855" ht="51">
      <c r="A8855" t="s">
        <v>8949</v>
      </c>
      <c r="B8855" s="19">
        <v>101860</v>
      </c>
      <c r="C8855" s="20" t="s">
        <v>8967</v>
      </c>
      <c r="D8855" s="19" t="s">
        <v>29</v>
      </c>
      <c r="E8855" s="21">
        <f t="shared" si="413"/>
        <v>35</v>
      </c>
      <c r="F8855" s="22"/>
      <c r="G8855" s="21">
        <f t="shared" si="414"/>
        <v>33.369999999999997</v>
      </c>
      <c r="H8855" s="22"/>
      <c r="I8855" s="23" t="str">
        <f t="shared" si="415"/>
        <v xml:space="preserve">COM VALOR</v>
      </c>
      <c r="J8855" s="19"/>
      <c r="L8855" s="21">
        <v>35</v>
      </c>
      <c r="M8855" s="22">
        <v>0</v>
      </c>
      <c r="N8855" s="21">
        <v>33.369999999999997</v>
      </c>
      <c r="O8855" s="22">
        <v>0</v>
      </c>
    </row>
    <row r="8856" ht="51">
      <c r="A8856" t="s">
        <v>8949</v>
      </c>
      <c r="B8856" s="19">
        <v>101857</v>
      </c>
      <c r="C8856" s="20" t="s">
        <v>8968</v>
      </c>
      <c r="D8856" s="19" t="s">
        <v>29</v>
      </c>
      <c r="E8856" s="21">
        <f t="shared" si="413"/>
        <v>33.700000000000003</v>
      </c>
      <c r="F8856" s="22"/>
      <c r="G8856" s="21">
        <f t="shared" si="414"/>
        <v>32.140000000000001</v>
      </c>
      <c r="H8856" s="22"/>
      <c r="I8856" s="23" t="str">
        <f t="shared" si="415"/>
        <v xml:space="preserve">COM VALOR</v>
      </c>
      <c r="J8856" s="19"/>
      <c r="L8856" s="21">
        <v>33.700000000000003</v>
      </c>
      <c r="M8856" s="22">
        <v>0</v>
      </c>
      <c r="N8856" s="21">
        <v>32.140000000000001</v>
      </c>
      <c r="O8856" s="22">
        <v>0</v>
      </c>
    </row>
    <row r="8857" ht="51">
      <c r="A8857" t="s">
        <v>8949</v>
      </c>
      <c r="B8857" s="19">
        <v>101858</v>
      </c>
      <c r="C8857" s="20" t="s">
        <v>8969</v>
      </c>
      <c r="D8857" s="19" t="s">
        <v>29</v>
      </c>
      <c r="E8857" s="21">
        <f t="shared" si="413"/>
        <v>27.420000000000002</v>
      </c>
      <c r="F8857" s="22"/>
      <c r="G8857" s="21">
        <f t="shared" si="414"/>
        <v>26.199999999999999</v>
      </c>
      <c r="H8857" s="22"/>
      <c r="I8857" s="23" t="str">
        <f t="shared" si="415"/>
        <v xml:space="preserve">COM VALOR</v>
      </c>
      <c r="J8857" s="19"/>
      <c r="L8857" s="21">
        <v>27.420000000000002</v>
      </c>
      <c r="M8857" s="22">
        <v>0</v>
      </c>
      <c r="N8857" s="21">
        <v>26.199999999999999</v>
      </c>
      <c r="O8857" s="22">
        <v>0</v>
      </c>
    </row>
    <row r="8858" ht="51">
      <c r="A8858" t="s">
        <v>8949</v>
      </c>
      <c r="B8858" s="19">
        <v>101859</v>
      </c>
      <c r="C8858" s="20" t="s">
        <v>8970</v>
      </c>
      <c r="D8858" s="19" t="s">
        <v>29</v>
      </c>
      <c r="E8858" s="21">
        <f t="shared" si="413"/>
        <v>30.359999999999999</v>
      </c>
      <c r="F8858" s="22"/>
      <c r="G8858" s="21">
        <f t="shared" si="414"/>
        <v>28.98</v>
      </c>
      <c r="H8858" s="22"/>
      <c r="I8858" s="23" t="str">
        <f t="shared" si="415"/>
        <v xml:space="preserve">COM VALOR</v>
      </c>
      <c r="J8858" s="19"/>
      <c r="L8858" s="21">
        <v>30.359999999999999</v>
      </c>
      <c r="M8858" s="22">
        <v>0</v>
      </c>
      <c r="N8858" s="21">
        <v>28.98</v>
      </c>
      <c r="O8858" s="22">
        <v>0</v>
      </c>
    </row>
    <row r="8859" ht="38.25">
      <c r="A8859" t="s">
        <v>8949</v>
      </c>
      <c r="B8859" s="19">
        <v>101852</v>
      </c>
      <c r="C8859" s="20" t="s">
        <v>8971</v>
      </c>
      <c r="D8859" s="19" t="s">
        <v>29</v>
      </c>
      <c r="E8859" s="21">
        <f t="shared" si="413"/>
        <v>73.319999999999993</v>
      </c>
      <c r="F8859" s="22"/>
      <c r="G8859" s="21">
        <f t="shared" si="414"/>
        <v>70.790000000000006</v>
      </c>
      <c r="H8859" s="22"/>
      <c r="I8859" s="23" t="str">
        <f t="shared" si="415"/>
        <v xml:space="preserve">COM VALOR</v>
      </c>
      <c r="J8859" s="19"/>
      <c r="L8859" s="21">
        <v>73.319999999999993</v>
      </c>
      <c r="M8859" s="22">
        <v>0.12</v>
      </c>
      <c r="N8859" s="21">
        <v>70.790000000000006</v>
      </c>
      <c r="O8859" s="22">
        <v>0.13</v>
      </c>
    </row>
    <row r="8860" ht="51">
      <c r="A8860" t="s">
        <v>8949</v>
      </c>
      <c r="B8860" s="19">
        <v>104385</v>
      </c>
      <c r="C8860" s="20" t="s">
        <v>8972</v>
      </c>
      <c r="D8860" s="19" t="s">
        <v>29</v>
      </c>
      <c r="E8860" s="21" t="str">
        <f t="shared" si="413"/>
        <v>VERIFICAR</v>
      </c>
      <c r="F8860" s="22"/>
      <c r="G8860" s="21" t="str">
        <f t="shared" si="414"/>
        <v>VERIFICAR</v>
      </c>
      <c r="H8860" s="22"/>
      <c r="I8860" s="23" t="str">
        <f t="shared" si="415"/>
        <v xml:space="preserve">COM VALOR</v>
      </c>
      <c r="J8860" s="19"/>
      <c r="L8860" s="21">
        <v>0</v>
      </c>
      <c r="M8860" s="22"/>
      <c r="N8860" s="21">
        <v>0</v>
      </c>
      <c r="O8860" s="22"/>
    </row>
    <row r="8861" ht="38.25">
      <c r="A8861" t="s">
        <v>8949</v>
      </c>
      <c r="B8861" s="19">
        <v>101850</v>
      </c>
      <c r="C8861" s="20" t="s">
        <v>8973</v>
      </c>
      <c r="D8861" s="19" t="s">
        <v>29</v>
      </c>
      <c r="E8861" s="21">
        <f t="shared" si="413"/>
        <v>58.43</v>
      </c>
      <c r="F8861" s="22"/>
      <c r="G8861" s="21">
        <f t="shared" si="414"/>
        <v>56.240000000000002</v>
      </c>
      <c r="H8861" s="22"/>
      <c r="I8861" s="23" t="str">
        <f t="shared" si="415"/>
        <v xml:space="preserve">COM VALOR</v>
      </c>
      <c r="J8861" s="19"/>
      <c r="L8861" s="21">
        <v>58.43</v>
      </c>
      <c r="M8861" s="22">
        <v>0.14000000000000001</v>
      </c>
      <c r="N8861" s="21">
        <v>56.240000000000002</v>
      </c>
      <c r="O8861" s="22">
        <v>0.14000000000000001</v>
      </c>
    </row>
    <row r="8862" ht="38.25">
      <c r="A8862" t="s">
        <v>8949</v>
      </c>
      <c r="B8862" s="19">
        <v>101855</v>
      </c>
      <c r="C8862" s="20" t="s">
        <v>8974</v>
      </c>
      <c r="D8862" s="19" t="s">
        <v>29</v>
      </c>
      <c r="E8862" s="21">
        <f t="shared" si="413"/>
        <v>78.150000000000006</v>
      </c>
      <c r="F8862" s="22"/>
      <c r="G8862" s="21">
        <f t="shared" si="414"/>
        <v>75.890000000000001</v>
      </c>
      <c r="H8862" s="22"/>
      <c r="I8862" s="23" t="str">
        <f t="shared" si="415"/>
        <v xml:space="preserve">COM VALOR</v>
      </c>
      <c r="J8862" s="19"/>
      <c r="L8862" s="21">
        <v>78.150000000000006</v>
      </c>
      <c r="M8862" s="22">
        <v>0.10000000000000001</v>
      </c>
      <c r="N8862" s="21">
        <v>75.890000000000001</v>
      </c>
      <c r="O8862" s="22">
        <v>0.10000000000000001</v>
      </c>
    </row>
    <row r="8863" ht="51">
      <c r="A8863" t="s">
        <v>8949</v>
      </c>
      <c r="B8863" s="19">
        <v>104386</v>
      </c>
      <c r="C8863" s="20" t="s">
        <v>8975</v>
      </c>
      <c r="D8863" s="19" t="s">
        <v>29</v>
      </c>
      <c r="E8863" s="21" t="str">
        <f t="shared" si="413"/>
        <v>VERIFICAR</v>
      </c>
      <c r="F8863" s="22"/>
      <c r="G8863" s="21" t="str">
        <f t="shared" si="414"/>
        <v>VERIFICAR</v>
      </c>
      <c r="H8863" s="22"/>
      <c r="I8863" s="23" t="str">
        <f t="shared" si="415"/>
        <v xml:space="preserve">COM VALOR</v>
      </c>
      <c r="J8863" s="19"/>
      <c r="L8863" s="21">
        <v>0</v>
      </c>
      <c r="M8863" s="22"/>
      <c r="N8863" s="21">
        <v>0</v>
      </c>
      <c r="O8863" s="22"/>
    </row>
    <row r="8864" ht="38.25">
      <c r="A8864" t="s">
        <v>8949</v>
      </c>
      <c r="B8864" s="19">
        <v>101853</v>
      </c>
      <c r="C8864" s="20" t="s">
        <v>8976</v>
      </c>
      <c r="D8864" s="19" t="s">
        <v>29</v>
      </c>
      <c r="E8864" s="21">
        <f t="shared" si="413"/>
        <v>51.920000000000002</v>
      </c>
      <c r="F8864" s="22"/>
      <c r="G8864" s="21">
        <f t="shared" si="414"/>
        <v>50.140000000000001</v>
      </c>
      <c r="H8864" s="22"/>
      <c r="I8864" s="23" t="str">
        <f t="shared" si="415"/>
        <v xml:space="preserve">COM VALOR</v>
      </c>
      <c r="J8864" s="19"/>
      <c r="L8864" s="21">
        <v>51.920000000000002</v>
      </c>
      <c r="M8864" s="22">
        <v>0.13</v>
      </c>
      <c r="N8864" s="21">
        <v>50.140000000000001</v>
      </c>
      <c r="O8864" s="22">
        <v>0.13</v>
      </c>
    </row>
    <row r="8865" ht="38.25">
      <c r="A8865" t="s">
        <v>8949</v>
      </c>
      <c r="B8865" s="19">
        <v>101849</v>
      </c>
      <c r="C8865" s="20" t="s">
        <v>8977</v>
      </c>
      <c r="D8865" s="19" t="s">
        <v>121</v>
      </c>
      <c r="E8865" s="21">
        <f t="shared" si="413"/>
        <v>189.31</v>
      </c>
      <c r="F8865" s="22"/>
      <c r="G8865" s="21">
        <f t="shared" si="414"/>
        <v>188.43000000000001</v>
      </c>
      <c r="H8865" s="22"/>
      <c r="I8865" s="23" t="str">
        <f t="shared" si="415"/>
        <v xml:space="preserve">COM VALOR</v>
      </c>
      <c r="J8865" s="19"/>
      <c r="L8865" s="21">
        <v>189.31</v>
      </c>
      <c r="M8865" s="22">
        <v>4.0000000000000001e-002</v>
      </c>
      <c r="N8865" s="21">
        <v>188.43000000000001</v>
      </c>
      <c r="O8865" s="22">
        <v>4.0000000000000001e-002</v>
      </c>
    </row>
    <row r="8866" ht="38.25">
      <c r="A8866" t="s">
        <v>8949</v>
      </c>
      <c r="B8866" s="19">
        <v>101841</v>
      </c>
      <c r="C8866" s="20" t="s">
        <v>8978</v>
      </c>
      <c r="D8866" s="19" t="s">
        <v>121</v>
      </c>
      <c r="E8866" s="21">
        <f t="shared" si="413"/>
        <v>110.23</v>
      </c>
      <c r="F8866" s="22"/>
      <c r="G8866" s="21">
        <f t="shared" si="414"/>
        <v>109.55</v>
      </c>
      <c r="H8866" s="22"/>
      <c r="I8866" s="23" t="str">
        <f t="shared" si="415"/>
        <v xml:space="preserve">COM VALOR</v>
      </c>
      <c r="J8866" s="19"/>
      <c r="L8866" s="21">
        <v>110.23</v>
      </c>
      <c r="M8866" s="22">
        <v>5.9999999999999998e-002</v>
      </c>
      <c r="N8866" s="21">
        <v>109.55</v>
      </c>
      <c r="O8866" s="22">
        <v>5.9999999999999998e-002</v>
      </c>
    </row>
    <row r="8867" ht="38.25">
      <c r="A8867" t="s">
        <v>8949</v>
      </c>
      <c r="B8867" s="19">
        <v>101843</v>
      </c>
      <c r="C8867" s="20" t="s">
        <v>8979</v>
      </c>
      <c r="D8867" s="19" t="s">
        <v>121</v>
      </c>
      <c r="E8867" s="21">
        <f t="shared" si="413"/>
        <v>184.11000000000001</v>
      </c>
      <c r="F8867" s="22"/>
      <c r="G8867" s="21">
        <f t="shared" si="414"/>
        <v>183.43000000000001</v>
      </c>
      <c r="H8867" s="22"/>
      <c r="I8867" s="23" t="str">
        <f t="shared" si="415"/>
        <v xml:space="preserve">COM VALOR</v>
      </c>
      <c r="J8867" s="19"/>
      <c r="L8867" s="21">
        <v>184.11000000000001</v>
      </c>
      <c r="M8867" s="22">
        <v>4.0000000000000001e-002</v>
      </c>
      <c r="N8867" s="21">
        <v>183.43000000000001</v>
      </c>
      <c r="O8867" s="22">
        <v>4.0000000000000001e-002</v>
      </c>
    </row>
    <row r="8868" ht="38.25">
      <c r="A8868" t="s">
        <v>8949</v>
      </c>
      <c r="B8868" s="19">
        <v>101844</v>
      </c>
      <c r="C8868" s="20" t="s">
        <v>8980</v>
      </c>
      <c r="D8868" s="19" t="s">
        <v>121</v>
      </c>
      <c r="E8868" s="21">
        <f t="shared" si="413"/>
        <v>218.69</v>
      </c>
      <c r="F8868" s="22"/>
      <c r="G8868" s="21">
        <f t="shared" si="414"/>
        <v>218.00999999999999</v>
      </c>
      <c r="H8868" s="22"/>
      <c r="I8868" s="23" t="str">
        <f t="shared" si="415"/>
        <v xml:space="preserve">COM VALOR</v>
      </c>
      <c r="J8868" s="19"/>
      <c r="L8868" s="21">
        <v>218.69</v>
      </c>
      <c r="M8868" s="22">
        <v>2.9999999999999999e-002</v>
      </c>
      <c r="N8868" s="21">
        <v>218.00999999999999</v>
      </c>
      <c r="O8868" s="22">
        <v>2.9999999999999999e-002</v>
      </c>
    </row>
    <row r="8869" ht="38.25">
      <c r="A8869" t="s">
        <v>8949</v>
      </c>
      <c r="B8869" s="19">
        <v>101845</v>
      </c>
      <c r="C8869" s="20" t="s">
        <v>8981</v>
      </c>
      <c r="D8869" s="19" t="s">
        <v>121</v>
      </c>
      <c r="E8869" s="21">
        <f t="shared" si="413"/>
        <v>252.77000000000001</v>
      </c>
      <c r="F8869" s="22"/>
      <c r="G8869" s="21">
        <f t="shared" si="414"/>
        <v>252.09</v>
      </c>
      <c r="H8869" s="22"/>
      <c r="I8869" s="23" t="str">
        <f t="shared" si="415"/>
        <v xml:space="preserve">COM VALOR</v>
      </c>
      <c r="J8869" s="19"/>
      <c r="L8869" s="21">
        <v>252.77000000000001</v>
      </c>
      <c r="M8869" s="22">
        <v>2.9999999999999999e-002</v>
      </c>
      <c r="N8869" s="21">
        <v>252.09</v>
      </c>
      <c r="O8869" s="22">
        <v>2.9999999999999999e-002</v>
      </c>
    </row>
    <row r="8870" ht="38.25">
      <c r="A8870" t="s">
        <v>8949</v>
      </c>
      <c r="B8870" s="19">
        <v>101842</v>
      </c>
      <c r="C8870" s="20" t="s">
        <v>8982</v>
      </c>
      <c r="D8870" s="19" t="s">
        <v>121</v>
      </c>
      <c r="E8870" s="21">
        <f t="shared" si="413"/>
        <v>96.409999999999997</v>
      </c>
      <c r="F8870" s="22"/>
      <c r="G8870" s="21">
        <f t="shared" si="414"/>
        <v>95.730000000000004</v>
      </c>
      <c r="H8870" s="22"/>
      <c r="I8870" s="23" t="str">
        <f t="shared" si="415"/>
        <v xml:space="preserve">COM VALOR</v>
      </c>
      <c r="J8870" s="19"/>
      <c r="L8870" s="21">
        <v>96.409999999999997</v>
      </c>
      <c r="M8870" s="22">
        <v>7.0000000000000007e-002</v>
      </c>
      <c r="N8870" s="21">
        <v>95.730000000000004</v>
      </c>
      <c r="O8870" s="22">
        <v>7.0000000000000007e-002</v>
      </c>
    </row>
    <row r="8871" ht="38.25">
      <c r="A8871" t="s">
        <v>8949</v>
      </c>
      <c r="B8871" s="19">
        <v>101846</v>
      </c>
      <c r="C8871" s="20" t="s">
        <v>8983</v>
      </c>
      <c r="D8871" s="19" t="s">
        <v>121</v>
      </c>
      <c r="E8871" s="21">
        <f t="shared" si="413"/>
        <v>170.84999999999999</v>
      </c>
      <c r="F8871" s="22"/>
      <c r="G8871" s="21">
        <f t="shared" si="414"/>
        <v>170.16999999999999</v>
      </c>
      <c r="H8871" s="22"/>
      <c r="I8871" s="23" t="str">
        <f t="shared" si="415"/>
        <v xml:space="preserve">COM VALOR</v>
      </c>
      <c r="J8871" s="19"/>
      <c r="L8871" s="21">
        <v>170.84999999999999</v>
      </c>
      <c r="M8871" s="22">
        <v>4.0000000000000001e-002</v>
      </c>
      <c r="N8871" s="21">
        <v>170.16999999999999</v>
      </c>
      <c r="O8871" s="22">
        <v>4.0000000000000001e-002</v>
      </c>
    </row>
    <row r="8872" ht="38.25">
      <c r="A8872" t="s">
        <v>8949</v>
      </c>
      <c r="B8872" s="19">
        <v>101847</v>
      </c>
      <c r="C8872" s="20" t="s">
        <v>8984</v>
      </c>
      <c r="D8872" s="19" t="s">
        <v>121</v>
      </c>
      <c r="E8872" s="21">
        <f t="shared" si="413"/>
        <v>205.69</v>
      </c>
      <c r="F8872" s="22"/>
      <c r="G8872" s="21">
        <f t="shared" si="414"/>
        <v>205.00999999999999</v>
      </c>
      <c r="H8872" s="22"/>
      <c r="I8872" s="23" t="str">
        <f t="shared" si="415"/>
        <v xml:space="preserve">COM VALOR</v>
      </c>
      <c r="J8872" s="19"/>
      <c r="L8872" s="21">
        <v>205.69</v>
      </c>
      <c r="M8872" s="22">
        <v>2.9999999999999999e-002</v>
      </c>
      <c r="N8872" s="21">
        <v>205.00999999999999</v>
      </c>
      <c r="O8872" s="22">
        <v>2.9999999999999999e-002</v>
      </c>
    </row>
    <row r="8873" ht="38.25">
      <c r="A8873" t="s">
        <v>8949</v>
      </c>
      <c r="B8873" s="19">
        <v>101848</v>
      </c>
      <c r="C8873" s="20" t="s">
        <v>8985</v>
      </c>
      <c r="D8873" s="19" t="s">
        <v>121</v>
      </c>
      <c r="E8873" s="21">
        <f t="shared" si="413"/>
        <v>240.06</v>
      </c>
      <c r="F8873" s="22"/>
      <c r="G8873" s="21">
        <f t="shared" si="414"/>
        <v>239.38</v>
      </c>
      <c r="H8873" s="22"/>
      <c r="I8873" s="23" t="str">
        <f t="shared" si="415"/>
        <v xml:space="preserve">COM VALOR</v>
      </c>
      <c r="J8873" s="19"/>
      <c r="L8873" s="21">
        <v>240.06</v>
      </c>
      <c r="M8873" s="22">
        <v>2.9999999999999999e-002</v>
      </c>
      <c r="N8873" s="21">
        <v>239.38</v>
      </c>
      <c r="O8873" s="22">
        <v>2.9999999999999999e-002</v>
      </c>
    </row>
    <row r="8874" ht="38.25">
      <c r="A8874" t="s">
        <v>8949</v>
      </c>
      <c r="B8874" s="19">
        <v>101839</v>
      </c>
      <c r="C8874" s="20" t="s">
        <v>8986</v>
      </c>
      <c r="D8874" s="19" t="s">
        <v>121</v>
      </c>
      <c r="E8874" s="21">
        <f t="shared" si="413"/>
        <v>140.72999999999999</v>
      </c>
      <c r="F8874" s="22"/>
      <c r="G8874" s="21">
        <f t="shared" si="414"/>
        <v>140.05000000000001</v>
      </c>
      <c r="H8874" s="22"/>
      <c r="I8874" s="23" t="str">
        <f t="shared" si="415"/>
        <v xml:space="preserve">COM VALOR</v>
      </c>
      <c r="J8874" s="19"/>
      <c r="L8874" s="21">
        <v>140.72999999999999</v>
      </c>
      <c r="M8874" s="22">
        <v>5.0000000000000003e-002</v>
      </c>
      <c r="N8874" s="21">
        <v>140.05000000000001</v>
      </c>
      <c r="O8874" s="22">
        <v>5.0000000000000003e-002</v>
      </c>
    </row>
    <row r="8875" ht="38.25">
      <c r="A8875" t="s">
        <v>8949</v>
      </c>
      <c r="B8875" s="19">
        <v>101840</v>
      </c>
      <c r="C8875" s="20" t="s">
        <v>8987</v>
      </c>
      <c r="D8875" s="19" t="s">
        <v>121</v>
      </c>
      <c r="E8875" s="21">
        <f t="shared" si="413"/>
        <v>227.96000000000001</v>
      </c>
      <c r="F8875" s="22"/>
      <c r="G8875" s="21">
        <f t="shared" si="414"/>
        <v>225.65000000000001</v>
      </c>
      <c r="H8875" s="22"/>
      <c r="I8875" s="23" t="str">
        <f t="shared" si="415"/>
        <v xml:space="preserve">COM VALOR</v>
      </c>
      <c r="J8875" s="19"/>
      <c r="L8875" s="21">
        <v>227.96000000000001</v>
      </c>
      <c r="M8875" s="22">
        <v>2.9999999999999999e-002</v>
      </c>
      <c r="N8875" s="21">
        <v>225.65000000000001</v>
      </c>
      <c r="O8875" s="22">
        <v>2.9999999999999999e-002</v>
      </c>
    </row>
    <row r="8876" ht="38.25">
      <c r="A8876" t="s">
        <v>8949</v>
      </c>
      <c r="B8876" s="19">
        <v>101837</v>
      </c>
      <c r="C8876" s="20" t="s">
        <v>8988</v>
      </c>
      <c r="D8876" s="19" t="s">
        <v>121</v>
      </c>
      <c r="E8876" s="21">
        <f t="shared" si="413"/>
        <v>67.290000000000006</v>
      </c>
      <c r="F8876" s="22"/>
      <c r="G8876" s="21">
        <f t="shared" si="414"/>
        <v>66.609999999999999</v>
      </c>
      <c r="H8876" s="22"/>
      <c r="I8876" s="23" t="str">
        <f t="shared" si="415"/>
        <v xml:space="preserve">COM VALOR</v>
      </c>
      <c r="J8876" s="19"/>
      <c r="L8876" s="21">
        <v>67.290000000000006</v>
      </c>
      <c r="M8876" s="22">
        <v>0.10000000000000001</v>
      </c>
      <c r="N8876" s="21">
        <v>66.609999999999999</v>
      </c>
      <c r="O8876" s="22">
        <v>0.10000000000000001</v>
      </c>
    </row>
    <row r="8877" ht="38.25">
      <c r="A8877" t="s">
        <v>8949</v>
      </c>
      <c r="B8877" s="19">
        <v>101838</v>
      </c>
      <c r="C8877" s="20" t="s">
        <v>8989</v>
      </c>
      <c r="D8877" s="19" t="s">
        <v>121</v>
      </c>
      <c r="E8877" s="21">
        <f t="shared" si="413"/>
        <v>104.51000000000001</v>
      </c>
      <c r="F8877" s="22">
        <v>0</v>
      </c>
      <c r="G8877" s="21">
        <f t="shared" si="414"/>
        <v>103.83</v>
      </c>
      <c r="H8877" s="22">
        <v>0</v>
      </c>
      <c r="I8877" s="23" t="str">
        <f t="shared" si="415"/>
        <v xml:space="preserve">COM VALOR</v>
      </c>
      <c r="J8877" s="19"/>
      <c r="L8877" s="21">
        <v>104.51000000000001</v>
      </c>
      <c r="M8877" s="22">
        <v>5.9999999999999998e-002</v>
      </c>
      <c r="N8877" s="21">
        <v>103.83</v>
      </c>
      <c r="O8877" s="22">
        <v>5.9999999999999998e-002</v>
      </c>
    </row>
    <row r="8878" ht="38.25">
      <c r="A8878" t="s">
        <v>8949</v>
      </c>
      <c r="B8878" s="19">
        <v>101836</v>
      </c>
      <c r="C8878" s="20" t="s">
        <v>8990</v>
      </c>
      <c r="D8878" s="19" t="s">
        <v>121</v>
      </c>
      <c r="E8878" s="21">
        <f t="shared" si="413"/>
        <v>27.309999999999999</v>
      </c>
      <c r="F8878" s="22">
        <v>0</v>
      </c>
      <c r="G8878" s="21">
        <f t="shared" si="414"/>
        <v>26.629999999999999</v>
      </c>
      <c r="H8878" s="22">
        <v>0</v>
      </c>
      <c r="I8878" s="23" t="str">
        <f t="shared" si="415"/>
        <v xml:space="preserve">COM VALOR</v>
      </c>
      <c r="J8878" s="19"/>
      <c r="L8878" s="21">
        <v>27.309999999999999</v>
      </c>
      <c r="M8878" s="22">
        <v>0.23999999999999999</v>
      </c>
      <c r="N8878" s="21">
        <v>26.629999999999999</v>
      </c>
      <c r="O8878" s="22">
        <v>0.23999999999999999</v>
      </c>
    </row>
    <row r="8879" ht="38.25">
      <c r="A8879" t="s">
        <v>8949</v>
      </c>
      <c r="B8879" s="19">
        <v>101835</v>
      </c>
      <c r="C8879" s="20" t="s">
        <v>8991</v>
      </c>
      <c r="D8879" s="19" t="s">
        <v>121</v>
      </c>
      <c r="E8879" s="21">
        <f t="shared" si="413"/>
        <v>292.56999999999999</v>
      </c>
      <c r="F8879" s="22">
        <v>0</v>
      </c>
      <c r="G8879" s="21">
        <f t="shared" si="414"/>
        <v>285.29000000000002</v>
      </c>
      <c r="H8879" s="22">
        <v>0</v>
      </c>
      <c r="I8879" s="23" t="str">
        <f t="shared" si="415"/>
        <v xml:space="preserve">COM VALOR</v>
      </c>
      <c r="J8879" s="19"/>
      <c r="L8879" s="21">
        <v>292.56999999999999</v>
      </c>
      <c r="M8879" s="22">
        <v>1.e-002</v>
      </c>
      <c r="N8879" s="21">
        <v>285.29000000000002</v>
      </c>
      <c r="O8879" s="22">
        <v>1.e-002</v>
      </c>
    </row>
    <row r="8880" ht="38.25">
      <c r="A8880" t="s">
        <v>8949</v>
      </c>
      <c r="B8880" s="19">
        <v>101827</v>
      </c>
      <c r="C8880" s="20" t="s">
        <v>8992</v>
      </c>
      <c r="D8880" s="19" t="s">
        <v>121</v>
      </c>
      <c r="E8880" s="21">
        <f t="shared" si="413"/>
        <v>213.49000000000001</v>
      </c>
      <c r="F8880" s="22">
        <v>0</v>
      </c>
      <c r="G8880" s="21">
        <f t="shared" si="414"/>
        <v>206.41</v>
      </c>
      <c r="H8880" s="22">
        <v>0</v>
      </c>
      <c r="I8880" s="23" t="str">
        <f t="shared" si="415"/>
        <v xml:space="preserve">COM VALOR</v>
      </c>
      <c r="J8880" s="19"/>
      <c r="L8880" s="21">
        <v>213.49000000000001</v>
      </c>
      <c r="M8880" s="22">
        <v>0</v>
      </c>
      <c r="N8880" s="21">
        <v>206.41</v>
      </c>
      <c r="O8880" s="22">
        <v>0</v>
      </c>
    </row>
    <row r="8881" ht="38.25">
      <c r="A8881" t="s">
        <v>8949</v>
      </c>
      <c r="B8881" s="19">
        <v>101829</v>
      </c>
      <c r="C8881" s="20" t="s">
        <v>8993</v>
      </c>
      <c r="D8881" s="19" t="s">
        <v>121</v>
      </c>
      <c r="E8881" s="21">
        <f t="shared" si="413"/>
        <v>287.37</v>
      </c>
      <c r="F8881" s="22"/>
      <c r="G8881" s="21">
        <f t="shared" si="414"/>
        <v>280.29000000000002</v>
      </c>
      <c r="H8881" s="22"/>
      <c r="I8881" s="23" t="str">
        <f t="shared" si="415"/>
        <v xml:space="preserve">COM VALOR</v>
      </c>
      <c r="J8881" s="19"/>
      <c r="L8881" s="21">
        <v>287.37</v>
      </c>
      <c r="M8881" s="22">
        <v>0</v>
      </c>
      <c r="N8881" s="21">
        <v>280.29000000000002</v>
      </c>
      <c r="O8881" s="22">
        <v>0</v>
      </c>
    </row>
    <row r="8882" ht="38.25">
      <c r="A8882" t="s">
        <v>8949</v>
      </c>
      <c r="B8882" s="19">
        <v>101830</v>
      </c>
      <c r="C8882" s="20" t="s">
        <v>8994</v>
      </c>
      <c r="D8882" s="19" t="s">
        <v>121</v>
      </c>
      <c r="E8882" s="21">
        <f t="shared" si="413"/>
        <v>321.94999999999999</v>
      </c>
      <c r="F8882" s="22"/>
      <c r="G8882" s="21">
        <f t="shared" si="414"/>
        <v>314.87</v>
      </c>
      <c r="H8882" s="22"/>
      <c r="I8882" s="23" t="str">
        <f t="shared" si="415"/>
        <v xml:space="preserve">COM VALOR</v>
      </c>
      <c r="J8882" s="19"/>
      <c r="L8882" s="21">
        <v>321.94999999999999</v>
      </c>
      <c r="M8882" s="22">
        <v>0</v>
      </c>
      <c r="N8882" s="21">
        <v>314.87</v>
      </c>
      <c r="O8882" s="22">
        <v>0</v>
      </c>
    </row>
    <row r="8883" ht="38.25">
      <c r="A8883" t="s">
        <v>8949</v>
      </c>
      <c r="B8883" s="19">
        <v>101831</v>
      </c>
      <c r="C8883" s="20" t="s">
        <v>8995</v>
      </c>
      <c r="D8883" s="19" t="s">
        <v>121</v>
      </c>
      <c r="E8883" s="21">
        <f t="shared" si="413"/>
        <v>356.02999999999997</v>
      </c>
      <c r="F8883" s="22"/>
      <c r="G8883" s="21">
        <f t="shared" si="414"/>
        <v>348.94999999999999</v>
      </c>
      <c r="H8883" s="22"/>
      <c r="I8883" s="23" t="str">
        <f t="shared" si="415"/>
        <v xml:space="preserve">COM VALOR</v>
      </c>
      <c r="J8883" s="19"/>
      <c r="L8883" s="21">
        <v>356.02999999999997</v>
      </c>
      <c r="M8883" s="22">
        <v>0</v>
      </c>
      <c r="N8883" s="21">
        <v>348.94999999999999</v>
      </c>
      <c r="O8883" s="22">
        <v>0</v>
      </c>
    </row>
    <row r="8884" ht="38.25">
      <c r="A8884" t="s">
        <v>8949</v>
      </c>
      <c r="B8884" s="19">
        <v>101828</v>
      </c>
      <c r="C8884" s="20" t="s">
        <v>8996</v>
      </c>
      <c r="D8884" s="19" t="s">
        <v>121</v>
      </c>
      <c r="E8884" s="21">
        <f t="shared" si="413"/>
        <v>199.66999999999999</v>
      </c>
      <c r="F8884" s="22"/>
      <c r="G8884" s="21">
        <f t="shared" si="414"/>
        <v>192.59</v>
      </c>
      <c r="H8884" s="22"/>
      <c r="I8884" s="23" t="str">
        <f t="shared" si="415"/>
        <v xml:space="preserve">COM VALOR</v>
      </c>
      <c r="J8884" s="19"/>
      <c r="L8884" s="21">
        <v>199.66999999999999</v>
      </c>
      <c r="M8884" s="22">
        <v>0</v>
      </c>
      <c r="N8884" s="21">
        <v>192.59</v>
      </c>
      <c r="O8884" s="22">
        <v>0</v>
      </c>
    </row>
    <row r="8885" ht="38.25">
      <c r="A8885" t="s">
        <v>8949</v>
      </c>
      <c r="B8885" s="19">
        <v>101832</v>
      </c>
      <c r="C8885" s="20" t="s">
        <v>8997</v>
      </c>
      <c r="D8885" s="19" t="s">
        <v>121</v>
      </c>
      <c r="E8885" s="21">
        <f t="shared" si="413"/>
        <v>274.11000000000001</v>
      </c>
      <c r="F8885" s="22">
        <v>4.0000000000000001e-002</v>
      </c>
      <c r="G8885" s="21">
        <f t="shared" si="414"/>
        <v>267.02999999999997</v>
      </c>
      <c r="H8885" s="22">
        <v>5.0000000000000003e-002</v>
      </c>
      <c r="I8885" s="23" t="str">
        <f t="shared" si="415"/>
        <v xml:space="preserve">COM VALOR</v>
      </c>
      <c r="J8885" s="19"/>
      <c r="L8885" s="21">
        <v>274.11000000000001</v>
      </c>
      <c r="M8885" s="22">
        <v>0</v>
      </c>
      <c r="N8885" s="21">
        <v>267.02999999999997</v>
      </c>
      <c r="O8885" s="22">
        <v>0</v>
      </c>
    </row>
    <row r="8886" ht="38.25">
      <c r="A8886" t="s">
        <v>8949</v>
      </c>
      <c r="B8886" s="19">
        <v>101833</v>
      </c>
      <c r="C8886" s="20" t="s">
        <v>8998</v>
      </c>
      <c r="D8886" s="19" t="s">
        <v>121</v>
      </c>
      <c r="E8886" s="21">
        <f t="shared" si="413"/>
        <v>308.94999999999999</v>
      </c>
      <c r="F8886" s="22">
        <v>0</v>
      </c>
      <c r="G8886" s="21">
        <f t="shared" si="414"/>
        <v>301.87</v>
      </c>
      <c r="H8886" s="22">
        <v>0</v>
      </c>
      <c r="I8886" s="23" t="str">
        <f t="shared" si="415"/>
        <v xml:space="preserve">COM VALOR</v>
      </c>
      <c r="J8886" s="19"/>
      <c r="L8886" s="21">
        <v>308.94999999999999</v>
      </c>
      <c r="M8886" s="22">
        <v>0</v>
      </c>
      <c r="N8886" s="21">
        <v>301.87</v>
      </c>
      <c r="O8886" s="22">
        <v>0</v>
      </c>
    </row>
    <row r="8887" ht="38.25">
      <c r="A8887" t="s">
        <v>8949</v>
      </c>
      <c r="B8887" s="19">
        <v>101834</v>
      </c>
      <c r="C8887" s="20" t="s">
        <v>8999</v>
      </c>
      <c r="D8887" s="19" t="s">
        <v>121</v>
      </c>
      <c r="E8887" s="21">
        <f t="shared" si="413"/>
        <v>343.31999999999999</v>
      </c>
      <c r="F8887" s="22">
        <v>0</v>
      </c>
      <c r="G8887" s="21">
        <f t="shared" si="414"/>
        <v>336.24000000000001</v>
      </c>
      <c r="H8887" s="22">
        <v>0</v>
      </c>
      <c r="I8887" s="23" t="str">
        <f t="shared" si="415"/>
        <v xml:space="preserve">COM VALOR</v>
      </c>
      <c r="J8887" s="19"/>
      <c r="L8887" s="21">
        <v>343.31999999999999</v>
      </c>
      <c r="M8887" s="22">
        <v>0</v>
      </c>
      <c r="N8887" s="21">
        <v>336.24000000000001</v>
      </c>
      <c r="O8887" s="22">
        <v>0</v>
      </c>
    </row>
    <row r="8888" ht="38.25">
      <c r="A8888" t="s">
        <v>8949</v>
      </c>
      <c r="B8888" s="19">
        <v>101825</v>
      </c>
      <c r="C8888" s="20" t="s">
        <v>9000</v>
      </c>
      <c r="D8888" s="19" t="s">
        <v>121</v>
      </c>
      <c r="E8888" s="21">
        <f t="shared" si="413"/>
        <v>244</v>
      </c>
      <c r="F8888" s="22">
        <v>0</v>
      </c>
      <c r="G8888" s="21">
        <f t="shared" si="414"/>
        <v>236.91999999999999</v>
      </c>
      <c r="H8888" s="22">
        <v>0</v>
      </c>
      <c r="I8888" s="23" t="str">
        <f t="shared" si="415"/>
        <v xml:space="preserve">COM VALOR</v>
      </c>
      <c r="J8888" s="19"/>
      <c r="L8888" s="21">
        <v>244</v>
      </c>
      <c r="M8888" s="22">
        <v>0</v>
      </c>
      <c r="N8888" s="21">
        <v>236.91999999999999</v>
      </c>
      <c r="O8888" s="22">
        <v>0</v>
      </c>
    </row>
    <row r="8889" ht="38.25">
      <c r="A8889" t="s">
        <v>8949</v>
      </c>
      <c r="B8889" s="19">
        <v>101826</v>
      </c>
      <c r="C8889" s="20" t="s">
        <v>9001</v>
      </c>
      <c r="D8889" s="19" t="s">
        <v>121</v>
      </c>
      <c r="E8889" s="21">
        <f t="shared" si="413"/>
        <v>279.74000000000001</v>
      </c>
      <c r="F8889" s="22">
        <v>0</v>
      </c>
      <c r="G8889" s="21">
        <f t="shared" si="414"/>
        <v>272.66000000000003</v>
      </c>
      <c r="H8889" s="22">
        <v>0</v>
      </c>
      <c r="I8889" s="23" t="str">
        <f t="shared" si="415"/>
        <v xml:space="preserve">COM VALOR</v>
      </c>
      <c r="J8889" s="19"/>
      <c r="L8889" s="21">
        <v>279.74000000000001</v>
      </c>
      <c r="M8889" s="22">
        <v>0</v>
      </c>
      <c r="N8889" s="21">
        <v>272.66000000000003</v>
      </c>
      <c r="O8889" s="22">
        <v>0</v>
      </c>
    </row>
    <row r="8890" ht="38.25">
      <c r="A8890" t="s">
        <v>8949</v>
      </c>
      <c r="B8890" s="19">
        <v>101823</v>
      </c>
      <c r="C8890" s="20" t="s">
        <v>9002</v>
      </c>
      <c r="D8890" s="19" t="s">
        <v>121</v>
      </c>
      <c r="E8890" s="21">
        <f t="shared" si="413"/>
        <v>170.55000000000001</v>
      </c>
      <c r="F8890" s="22">
        <v>0</v>
      </c>
      <c r="G8890" s="21">
        <f t="shared" si="414"/>
        <v>163.47</v>
      </c>
      <c r="H8890" s="22">
        <v>0</v>
      </c>
      <c r="I8890" s="23" t="str">
        <f t="shared" si="415"/>
        <v xml:space="preserve">COM VALOR</v>
      </c>
      <c r="J8890" s="19"/>
      <c r="L8890" s="21">
        <v>170.55000000000001</v>
      </c>
      <c r="M8890" s="22">
        <v>0</v>
      </c>
      <c r="N8890" s="21">
        <v>163.47</v>
      </c>
      <c r="O8890" s="22">
        <v>0</v>
      </c>
    </row>
    <row r="8891" ht="38.25">
      <c r="A8891" t="s">
        <v>8949</v>
      </c>
      <c r="B8891" s="19">
        <v>101824</v>
      </c>
      <c r="C8891" s="20" t="s">
        <v>9003</v>
      </c>
      <c r="D8891" s="19" t="s">
        <v>121</v>
      </c>
      <c r="E8891" s="21">
        <f t="shared" si="413"/>
        <v>207.77000000000001</v>
      </c>
      <c r="F8891" s="22">
        <v>0</v>
      </c>
      <c r="G8891" s="21">
        <f t="shared" si="414"/>
        <v>200.69</v>
      </c>
      <c r="H8891" s="22">
        <v>0</v>
      </c>
      <c r="I8891" s="23" t="str">
        <f t="shared" si="415"/>
        <v xml:space="preserve">COM VALOR</v>
      </c>
      <c r="J8891" s="19"/>
      <c r="L8891" s="21">
        <v>207.77000000000001</v>
      </c>
      <c r="M8891" s="22">
        <v>0</v>
      </c>
      <c r="N8891" s="21">
        <v>200.69</v>
      </c>
      <c r="O8891" s="22">
        <v>0</v>
      </c>
    </row>
    <row r="8892" ht="38.25">
      <c r="A8892" t="s">
        <v>8949</v>
      </c>
      <c r="B8892" s="19">
        <v>101822</v>
      </c>
      <c r="C8892" s="20" t="s">
        <v>9004</v>
      </c>
      <c r="D8892" s="19" t="s">
        <v>121</v>
      </c>
      <c r="E8892" s="21">
        <f t="shared" si="413"/>
        <v>130.56999999999999</v>
      </c>
      <c r="F8892" s="22">
        <v>0</v>
      </c>
      <c r="G8892" s="21">
        <f t="shared" si="414"/>
        <v>123.48999999999999</v>
      </c>
      <c r="H8892" s="22">
        <v>0</v>
      </c>
      <c r="I8892" s="23" t="str">
        <f t="shared" si="415"/>
        <v xml:space="preserve">COM VALOR</v>
      </c>
      <c r="J8892" s="19"/>
      <c r="L8892" s="21">
        <v>130.56999999999999</v>
      </c>
      <c r="M8892" s="22">
        <v>0</v>
      </c>
      <c r="N8892" s="21">
        <v>123.48999999999999</v>
      </c>
      <c r="O8892" s="22">
        <v>0</v>
      </c>
    </row>
    <row r="8893" ht="51">
      <c r="A8893" t="s">
        <v>8949</v>
      </c>
      <c r="B8893" s="19">
        <v>101819</v>
      </c>
      <c r="C8893" s="20" t="s">
        <v>9005</v>
      </c>
      <c r="D8893" s="19" t="s">
        <v>29</v>
      </c>
      <c r="E8893" s="21">
        <f t="shared" si="413"/>
        <v>64.290000000000006</v>
      </c>
      <c r="F8893" s="22">
        <v>0</v>
      </c>
      <c r="G8893" s="21">
        <f t="shared" si="414"/>
        <v>61.869999999999997</v>
      </c>
      <c r="H8893" s="22">
        <v>0</v>
      </c>
      <c r="I8893" s="23" t="str">
        <f t="shared" si="415"/>
        <v xml:space="preserve">COM VALOR</v>
      </c>
      <c r="J8893" s="19"/>
      <c r="L8893" s="21">
        <v>64.290000000000006</v>
      </c>
      <c r="M8893" s="22">
        <v>0</v>
      </c>
      <c r="N8893" s="21">
        <v>61.869999999999997</v>
      </c>
      <c r="O8893" s="22">
        <v>0</v>
      </c>
    </row>
    <row r="8894" ht="51">
      <c r="A8894" t="s">
        <v>8949</v>
      </c>
      <c r="B8894" s="19">
        <v>104370</v>
      </c>
      <c r="C8894" s="20" t="s">
        <v>9006</v>
      </c>
      <c r="D8894" s="19" t="s">
        <v>29</v>
      </c>
      <c r="E8894" s="21" t="str">
        <f t="shared" si="413"/>
        <v>VERIFICAR</v>
      </c>
      <c r="F8894" s="22"/>
      <c r="G8894" s="21" t="str">
        <f t="shared" si="414"/>
        <v>VERIFICAR</v>
      </c>
      <c r="H8894" s="22"/>
      <c r="I8894" s="23" t="str">
        <f t="shared" si="415"/>
        <v xml:space="preserve">COM VALOR</v>
      </c>
      <c r="J8894" s="19"/>
      <c r="L8894" s="21">
        <v>0</v>
      </c>
      <c r="M8894" s="22"/>
      <c r="N8894" s="21">
        <v>0</v>
      </c>
      <c r="O8894" s="22"/>
    </row>
    <row r="8895" ht="51">
      <c r="A8895" t="s">
        <v>8949</v>
      </c>
      <c r="B8895" s="19">
        <v>101817</v>
      </c>
      <c r="C8895" s="20" t="s">
        <v>9007</v>
      </c>
      <c r="D8895" s="19" t="s">
        <v>29</v>
      </c>
      <c r="E8895" s="21">
        <f t="shared" si="413"/>
        <v>49.729999999999997</v>
      </c>
      <c r="F8895" s="22"/>
      <c r="G8895" s="21">
        <f t="shared" si="414"/>
        <v>47.670000000000002</v>
      </c>
      <c r="H8895" s="22"/>
      <c r="I8895" s="23" t="str">
        <f t="shared" si="415"/>
        <v xml:space="preserve">COM VALOR</v>
      </c>
      <c r="J8895" s="19"/>
      <c r="L8895" s="21">
        <v>49.729999999999997</v>
      </c>
      <c r="M8895" s="22">
        <v>0</v>
      </c>
      <c r="N8895" s="21">
        <v>47.670000000000002</v>
      </c>
      <c r="O8895" s="22">
        <v>0</v>
      </c>
    </row>
    <row r="8896" ht="51">
      <c r="A8896" t="s">
        <v>8949</v>
      </c>
      <c r="B8896" s="19">
        <v>101816</v>
      </c>
      <c r="C8896" s="20" t="s">
        <v>9008</v>
      </c>
      <c r="D8896" s="19" t="s">
        <v>29</v>
      </c>
      <c r="E8896" s="21">
        <f t="shared" si="413"/>
        <v>71.030000000000001</v>
      </c>
      <c r="F8896" s="22"/>
      <c r="G8896" s="21">
        <f t="shared" si="414"/>
        <v>68.840000000000003</v>
      </c>
      <c r="H8896" s="22"/>
      <c r="I8896" s="23" t="str">
        <f t="shared" si="415"/>
        <v xml:space="preserve">COM VALOR</v>
      </c>
      <c r="J8896" s="19"/>
      <c r="L8896" s="21">
        <v>71.030000000000001</v>
      </c>
      <c r="M8896" s="22">
        <v>0</v>
      </c>
      <c r="N8896" s="21">
        <v>68.840000000000003</v>
      </c>
      <c r="O8896" s="22">
        <v>0</v>
      </c>
    </row>
    <row r="8897" ht="51">
      <c r="A8897" t="s">
        <v>8949</v>
      </c>
      <c r="B8897" s="19">
        <v>104369</v>
      </c>
      <c r="C8897" s="20" t="s">
        <v>9009</v>
      </c>
      <c r="D8897" s="19" t="s">
        <v>29</v>
      </c>
      <c r="E8897" s="21" t="str">
        <f t="shared" si="413"/>
        <v>VERIFICAR</v>
      </c>
      <c r="F8897" s="22"/>
      <c r="G8897" s="21" t="str">
        <f t="shared" si="414"/>
        <v>VERIFICAR</v>
      </c>
      <c r="H8897" s="22"/>
      <c r="I8897" s="23" t="str">
        <f t="shared" si="415"/>
        <v xml:space="preserve">COM VALOR</v>
      </c>
      <c r="J8897" s="19"/>
      <c r="L8897" s="21">
        <v>0</v>
      </c>
      <c r="M8897" s="22"/>
      <c r="N8897" s="21">
        <v>0</v>
      </c>
      <c r="O8897" s="22"/>
    </row>
    <row r="8898" ht="51">
      <c r="A8898" t="s">
        <v>8949</v>
      </c>
      <c r="B8898" s="19">
        <v>101820</v>
      </c>
      <c r="C8898" s="20" t="s">
        <v>9010</v>
      </c>
      <c r="D8898" s="19" t="s">
        <v>29</v>
      </c>
      <c r="E8898" s="21">
        <f t="shared" si="413"/>
        <v>43.18</v>
      </c>
      <c r="F8898" s="22"/>
      <c r="G8898" s="21">
        <f t="shared" si="414"/>
        <v>41.140000000000001</v>
      </c>
      <c r="H8898" s="22"/>
      <c r="I8898" s="23" t="str">
        <f t="shared" si="415"/>
        <v xml:space="preserve">COM VALOR</v>
      </c>
      <c r="J8898" s="19"/>
      <c r="L8898" s="21">
        <v>43.18</v>
      </c>
      <c r="M8898" s="22">
        <v>0</v>
      </c>
      <c r="N8898" s="21">
        <v>41.140000000000001</v>
      </c>
      <c r="O8898" s="22">
        <v>0</v>
      </c>
    </row>
    <row r="8899" ht="51">
      <c r="A8899" t="s">
        <v>8949</v>
      </c>
      <c r="B8899" s="19">
        <v>102988</v>
      </c>
      <c r="C8899" s="20" t="s">
        <v>9011</v>
      </c>
      <c r="D8899" s="19" t="s">
        <v>29</v>
      </c>
      <c r="E8899" s="21">
        <f t="shared" si="413"/>
        <v>57.840000000000003</v>
      </c>
      <c r="F8899" s="22"/>
      <c r="G8899" s="21">
        <f t="shared" si="414"/>
        <v>55.020000000000003</v>
      </c>
      <c r="H8899" s="22"/>
      <c r="I8899" s="23" t="str">
        <f t="shared" si="415"/>
        <v xml:space="preserve">COM VALOR</v>
      </c>
      <c r="J8899" s="19"/>
      <c r="L8899" s="21">
        <v>57.840000000000003</v>
      </c>
      <c r="M8899" s="22">
        <v>0</v>
      </c>
      <c r="N8899" s="21">
        <v>55.020000000000003</v>
      </c>
      <c r="O8899" s="22">
        <v>0</v>
      </c>
    </row>
    <row r="8900" ht="51">
      <c r="A8900" t="s">
        <v>8949</v>
      </c>
      <c r="B8900" s="19">
        <v>101814</v>
      </c>
      <c r="C8900" s="20" t="s">
        <v>9012</v>
      </c>
      <c r="D8900" s="19" t="s">
        <v>29</v>
      </c>
      <c r="E8900" s="21">
        <f t="shared" si="413"/>
        <v>45.020000000000003</v>
      </c>
      <c r="F8900" s="22">
        <v>1.e-002</v>
      </c>
      <c r="G8900" s="21">
        <f t="shared" si="414"/>
        <v>43.329999999999998</v>
      </c>
      <c r="H8900" s="22">
        <v>1.e-002</v>
      </c>
      <c r="I8900" s="23" t="str">
        <f t="shared" si="415"/>
        <v xml:space="preserve">COM VALOR</v>
      </c>
      <c r="J8900" s="19"/>
      <c r="L8900" s="21">
        <v>45.020000000000003</v>
      </c>
      <c r="M8900" s="22">
        <v>0</v>
      </c>
      <c r="N8900" s="21">
        <v>43.329999999999998</v>
      </c>
      <c r="O8900" s="22">
        <v>0</v>
      </c>
    </row>
    <row r="8901" ht="38.25">
      <c r="A8901" t="s">
        <v>8949</v>
      </c>
      <c r="B8901" s="19">
        <v>102098</v>
      </c>
      <c r="C8901" s="20" t="s">
        <v>9013</v>
      </c>
      <c r="D8901" s="19" t="s">
        <v>121</v>
      </c>
      <c r="E8901" s="21">
        <f t="shared" si="413"/>
        <v>2239.8299999999999</v>
      </c>
      <c r="F8901" s="22"/>
      <c r="G8901" s="21">
        <f t="shared" si="414"/>
        <v>2221.46</v>
      </c>
      <c r="H8901" s="22"/>
      <c r="I8901" s="23" t="str">
        <f t="shared" si="415"/>
        <v xml:space="preserve">COM VALOR</v>
      </c>
      <c r="J8901" s="19"/>
      <c r="L8901" s="21">
        <v>2239.8299999999999</v>
      </c>
      <c r="M8901" s="22">
        <v>2.e-002</v>
      </c>
      <c r="N8901" s="21">
        <v>2221.46</v>
      </c>
      <c r="O8901" s="22">
        <v>2.e-002</v>
      </c>
    </row>
    <row r="8902" ht="38.25">
      <c r="A8902" t="s">
        <v>8949</v>
      </c>
      <c r="B8902" s="19">
        <v>104366</v>
      </c>
      <c r="C8902" s="20" t="s">
        <v>9014</v>
      </c>
      <c r="D8902" s="19" t="s">
        <v>121</v>
      </c>
      <c r="E8902" s="21" t="str">
        <f t="shared" si="413"/>
        <v>VERIFICAR</v>
      </c>
      <c r="F8902" s="22">
        <v>0</v>
      </c>
      <c r="G8902" s="21" t="str">
        <f t="shared" si="414"/>
        <v>VERIFICAR</v>
      </c>
      <c r="H8902" s="22">
        <v>0</v>
      </c>
      <c r="I8902" s="23" t="str">
        <f t="shared" si="415"/>
        <v xml:space="preserve">COM VALOR</v>
      </c>
      <c r="J8902" s="19"/>
      <c r="L8902" s="21">
        <v>0</v>
      </c>
      <c r="M8902" s="22"/>
      <c r="N8902" s="21">
        <v>0</v>
      </c>
      <c r="O8902" s="22"/>
    </row>
    <row r="8903" ht="38.25">
      <c r="A8903" t="s">
        <v>8949</v>
      </c>
      <c r="B8903" s="19">
        <v>102099</v>
      </c>
      <c r="C8903" s="20" t="s">
        <v>9015</v>
      </c>
      <c r="D8903" s="19" t="s">
        <v>121</v>
      </c>
      <c r="E8903" s="21" t="str">
        <f t="shared" si="413"/>
        <v>VERIFICAR</v>
      </c>
      <c r="F8903" s="22">
        <v>1.e-002</v>
      </c>
      <c r="G8903" s="21" t="str">
        <f t="shared" si="414"/>
        <v>VERIFICAR</v>
      </c>
      <c r="H8903" s="22">
        <v>1.e-002</v>
      </c>
      <c r="I8903" s="23" t="str">
        <f t="shared" si="415"/>
        <v xml:space="preserve">COM VALOR</v>
      </c>
      <c r="J8903" s="19"/>
      <c r="L8903" s="21">
        <v>0</v>
      </c>
      <c r="M8903" s="22"/>
      <c r="N8903" s="21">
        <v>0</v>
      </c>
      <c r="O8903" s="22"/>
    </row>
    <row r="8904" ht="38.25">
      <c r="A8904" t="s">
        <v>8949</v>
      </c>
      <c r="B8904" s="19">
        <v>104367</v>
      </c>
      <c r="C8904" s="20" t="s">
        <v>9016</v>
      </c>
      <c r="D8904" s="19" t="s">
        <v>121</v>
      </c>
      <c r="E8904" s="21" t="str">
        <f t="shared" si="413"/>
        <v>VERIFICAR</v>
      </c>
      <c r="F8904" s="22"/>
      <c r="G8904" s="21" t="str">
        <f t="shared" si="414"/>
        <v>VERIFICAR</v>
      </c>
      <c r="H8904" s="22"/>
      <c r="I8904" s="23" t="str">
        <f t="shared" si="415"/>
        <v xml:space="preserve">COM VALOR</v>
      </c>
      <c r="J8904" s="19"/>
      <c r="L8904" s="21">
        <v>0</v>
      </c>
      <c r="M8904" s="22"/>
      <c r="N8904" s="21">
        <v>0</v>
      </c>
      <c r="O8904" s="22"/>
    </row>
    <row r="8905" ht="38.25">
      <c r="A8905" t="s">
        <v>9017</v>
      </c>
      <c r="B8905" s="19">
        <v>92994</v>
      </c>
      <c r="C8905" s="20" t="s">
        <v>9018</v>
      </c>
      <c r="D8905" s="19" t="s">
        <v>38</v>
      </c>
      <c r="E8905" s="21">
        <f t="shared" si="413"/>
        <v>159.52000000000001</v>
      </c>
      <c r="F8905" s="22">
        <v>0</v>
      </c>
      <c r="G8905" s="21">
        <f t="shared" si="414"/>
        <v>159.06999999999999</v>
      </c>
      <c r="H8905" s="22">
        <v>0</v>
      </c>
      <c r="I8905" s="23" t="str">
        <f t="shared" si="415"/>
        <v xml:space="preserve">COM VALOR</v>
      </c>
      <c r="J8905" s="19"/>
      <c r="L8905" s="21">
        <v>159.52000000000001</v>
      </c>
      <c r="M8905" s="22">
        <v>0</v>
      </c>
      <c r="N8905" s="21">
        <v>159.06999999999999</v>
      </c>
      <c r="O8905" s="22">
        <v>0</v>
      </c>
    </row>
    <row r="8906" ht="38.25">
      <c r="A8906" t="s">
        <v>9017</v>
      </c>
      <c r="B8906" s="19">
        <v>92996</v>
      </c>
      <c r="C8906" s="20" t="s">
        <v>9019</v>
      </c>
      <c r="D8906" s="19" t="s">
        <v>38</v>
      </c>
      <c r="E8906" s="21">
        <f t="shared" si="413"/>
        <v>193.03999999999999</v>
      </c>
      <c r="F8906" s="22">
        <v>1.e-002</v>
      </c>
      <c r="G8906" s="21">
        <f t="shared" si="414"/>
        <v>192.5</v>
      </c>
      <c r="H8906" s="22">
        <v>1.e-002</v>
      </c>
      <c r="I8906" s="23" t="str">
        <f t="shared" si="415"/>
        <v xml:space="preserve">COM VALOR</v>
      </c>
      <c r="J8906" s="19"/>
      <c r="L8906" s="21">
        <v>193.03999999999999</v>
      </c>
      <c r="M8906" s="22">
        <v>0</v>
      </c>
      <c r="N8906" s="21">
        <v>192.5</v>
      </c>
      <c r="O8906" s="22">
        <v>0</v>
      </c>
    </row>
    <row r="8907" ht="38.25">
      <c r="A8907" t="s">
        <v>9017</v>
      </c>
      <c r="B8907" s="19">
        <v>92998</v>
      </c>
      <c r="C8907" s="20" t="s">
        <v>9020</v>
      </c>
      <c r="D8907" s="19" t="s">
        <v>38</v>
      </c>
      <c r="E8907" s="21">
        <f t="shared" ref="E8907:E8970" si="416">IF(L8907=0,"VERIFICAR",L8907)</f>
        <v>236.65000000000001</v>
      </c>
      <c r="F8907" s="22"/>
      <c r="G8907" s="21">
        <f t="shared" ref="G8907:G8970" si="417">IF(N8907=0,"VERIFICAR",N8907)</f>
        <v>236.02000000000001</v>
      </c>
      <c r="H8907" s="22"/>
      <c r="I8907" s="23" t="str">
        <f t="shared" ref="I8907:I8970" si="418">IF(OR(E8907=0,G8907=0),"SEM VALOR","COM VALOR")</f>
        <v xml:space="preserve">COM VALOR</v>
      </c>
      <c r="J8907" s="19"/>
      <c r="L8907" s="21">
        <v>236.65000000000001</v>
      </c>
      <c r="M8907" s="22">
        <v>0</v>
      </c>
      <c r="N8907" s="21">
        <v>236.02000000000001</v>
      </c>
      <c r="O8907" s="22">
        <v>0</v>
      </c>
    </row>
    <row r="8908" ht="38.25">
      <c r="A8908" t="s">
        <v>9017</v>
      </c>
      <c r="B8908" s="19">
        <v>93000</v>
      </c>
      <c r="C8908" s="20" t="s">
        <v>9021</v>
      </c>
      <c r="D8908" s="19" t="s">
        <v>38</v>
      </c>
      <c r="E8908" s="21">
        <f t="shared" si="416"/>
        <v>313.47000000000003</v>
      </c>
      <c r="F8908" s="22">
        <v>0</v>
      </c>
      <c r="G8908" s="21">
        <f t="shared" si="417"/>
        <v>312.69</v>
      </c>
      <c r="H8908" s="22">
        <v>0</v>
      </c>
      <c r="I8908" s="23" t="str">
        <f t="shared" si="418"/>
        <v xml:space="preserve">COM VALOR</v>
      </c>
      <c r="J8908" s="19"/>
      <c r="L8908" s="21">
        <v>313.47000000000003</v>
      </c>
      <c r="M8908" s="22">
        <v>0</v>
      </c>
      <c r="N8908" s="21">
        <v>312.69</v>
      </c>
      <c r="O8908" s="22">
        <v>0</v>
      </c>
    </row>
    <row r="8909" ht="38.25">
      <c r="A8909" t="s">
        <v>9017</v>
      </c>
      <c r="B8909" s="19">
        <v>92984</v>
      </c>
      <c r="C8909" s="20" t="s">
        <v>9022</v>
      </c>
      <c r="D8909" s="19" t="s">
        <v>38</v>
      </c>
      <c r="E8909" s="21">
        <f t="shared" si="416"/>
        <v>33.909999999999997</v>
      </c>
      <c r="F8909" s="22">
        <v>1.e-002</v>
      </c>
      <c r="G8909" s="21">
        <f t="shared" si="417"/>
        <v>33.729999999999997</v>
      </c>
      <c r="H8909" s="22">
        <v>1.e-002</v>
      </c>
      <c r="I8909" s="23" t="str">
        <f t="shared" si="418"/>
        <v xml:space="preserve">COM VALOR</v>
      </c>
      <c r="J8909" s="19"/>
      <c r="L8909" s="21">
        <v>33.909999999999997</v>
      </c>
      <c r="M8909" s="22">
        <v>0</v>
      </c>
      <c r="N8909" s="21">
        <v>33.729999999999997</v>
      </c>
      <c r="O8909" s="22">
        <v>0</v>
      </c>
    </row>
    <row r="8910" ht="38.25">
      <c r="A8910" t="s">
        <v>9017</v>
      </c>
      <c r="B8910" s="19">
        <v>93002</v>
      </c>
      <c r="C8910" s="20" t="s">
        <v>9023</v>
      </c>
      <c r="D8910" s="19" t="s">
        <v>38</v>
      </c>
      <c r="E8910" s="21">
        <f t="shared" si="416"/>
        <v>405.52999999999997</v>
      </c>
      <c r="F8910" s="22">
        <v>0</v>
      </c>
      <c r="G8910" s="21">
        <f t="shared" si="417"/>
        <v>404.58999999999997</v>
      </c>
      <c r="H8910" s="22">
        <v>0</v>
      </c>
      <c r="I8910" s="23" t="str">
        <f t="shared" si="418"/>
        <v xml:space="preserve">COM VALOR</v>
      </c>
      <c r="J8910" s="19"/>
      <c r="L8910" s="21">
        <v>405.52999999999997</v>
      </c>
      <c r="M8910" s="22">
        <v>0</v>
      </c>
      <c r="N8910" s="21">
        <v>404.58999999999997</v>
      </c>
      <c r="O8910" s="22">
        <v>0</v>
      </c>
    </row>
    <row r="8911" ht="38.25">
      <c r="A8911" t="s">
        <v>9017</v>
      </c>
      <c r="B8911" s="19">
        <v>92986</v>
      </c>
      <c r="C8911" s="20" t="s">
        <v>9024</v>
      </c>
      <c r="D8911" s="19" t="s">
        <v>38</v>
      </c>
      <c r="E8911" s="21">
        <f t="shared" si="416"/>
        <v>47.009999999999998</v>
      </c>
      <c r="F8911" s="22"/>
      <c r="G8911" s="21">
        <f t="shared" si="417"/>
        <v>46.789999999999999</v>
      </c>
      <c r="H8911" s="22"/>
      <c r="I8911" s="23" t="str">
        <f t="shared" si="418"/>
        <v xml:space="preserve">COM VALOR</v>
      </c>
      <c r="J8911" s="19"/>
      <c r="L8911" s="21">
        <v>47.009999999999998</v>
      </c>
      <c r="M8911" s="22">
        <v>0</v>
      </c>
      <c r="N8911" s="21">
        <v>46.789999999999999</v>
      </c>
      <c r="O8911" s="22">
        <v>0</v>
      </c>
    </row>
    <row r="8912" ht="38.25">
      <c r="A8912" t="s">
        <v>9017</v>
      </c>
      <c r="B8912" s="19">
        <v>92988</v>
      </c>
      <c r="C8912" s="20" t="s">
        <v>9025</v>
      </c>
      <c r="D8912" s="19" t="s">
        <v>38</v>
      </c>
      <c r="E8912" s="21">
        <f t="shared" si="416"/>
        <v>68.390000000000001</v>
      </c>
      <c r="F8912" s="22">
        <v>0</v>
      </c>
      <c r="G8912" s="21">
        <f t="shared" si="417"/>
        <v>68.140000000000001</v>
      </c>
      <c r="H8912" s="22">
        <v>0</v>
      </c>
      <c r="I8912" s="23" t="str">
        <f t="shared" si="418"/>
        <v xml:space="preserve">COM VALOR</v>
      </c>
      <c r="J8912" s="19"/>
      <c r="L8912" s="21">
        <v>68.390000000000001</v>
      </c>
      <c r="M8912" s="22">
        <v>0</v>
      </c>
      <c r="N8912" s="21">
        <v>68.140000000000001</v>
      </c>
      <c r="O8912" s="22">
        <v>0</v>
      </c>
    </row>
    <row r="8913" ht="38.25">
      <c r="A8913" t="s">
        <v>9017</v>
      </c>
      <c r="B8913" s="19">
        <v>92990</v>
      </c>
      <c r="C8913" s="20" t="s">
        <v>9026</v>
      </c>
      <c r="D8913" s="19" t="s">
        <v>38</v>
      </c>
      <c r="E8913" s="21">
        <f t="shared" si="416"/>
        <v>94.799999999999997</v>
      </c>
      <c r="F8913" s="22">
        <v>0</v>
      </c>
      <c r="G8913" s="21">
        <f t="shared" si="417"/>
        <v>94.489999999999995</v>
      </c>
      <c r="H8913" s="22">
        <v>0</v>
      </c>
      <c r="I8913" s="23" t="str">
        <f t="shared" si="418"/>
        <v xml:space="preserve">COM VALOR</v>
      </c>
      <c r="J8913" s="19"/>
      <c r="L8913" s="21">
        <v>94.799999999999997</v>
      </c>
      <c r="M8913" s="22">
        <v>0</v>
      </c>
      <c r="N8913" s="21">
        <v>94.489999999999995</v>
      </c>
      <c r="O8913" s="22">
        <v>0</v>
      </c>
    </row>
    <row r="8914" ht="38.25">
      <c r="A8914" t="s">
        <v>9017</v>
      </c>
      <c r="B8914" s="19">
        <v>92992</v>
      </c>
      <c r="C8914" s="20" t="s">
        <v>9027</v>
      </c>
      <c r="D8914" s="19" t="s">
        <v>38</v>
      </c>
      <c r="E8914" s="21">
        <f t="shared" si="416"/>
        <v>122.65000000000001</v>
      </c>
      <c r="F8914" s="22">
        <v>0</v>
      </c>
      <c r="G8914" s="21">
        <f t="shared" si="417"/>
        <v>122.27</v>
      </c>
      <c r="H8914" s="22">
        <v>0</v>
      </c>
      <c r="I8914" s="23" t="str">
        <f t="shared" si="418"/>
        <v xml:space="preserve">COM VALOR</v>
      </c>
      <c r="J8914" s="19"/>
      <c r="L8914" s="21">
        <v>122.65000000000001</v>
      </c>
      <c r="M8914" s="22">
        <v>0</v>
      </c>
      <c r="N8914" s="21">
        <v>122.27</v>
      </c>
      <c r="O8914" s="22">
        <v>0</v>
      </c>
    </row>
    <row r="8915" ht="38.25">
      <c r="A8915" t="s">
        <v>9017</v>
      </c>
      <c r="B8915" s="19">
        <v>103491</v>
      </c>
      <c r="C8915" s="20" t="s">
        <v>9028</v>
      </c>
      <c r="D8915" s="19" t="s">
        <v>121</v>
      </c>
      <c r="E8915" s="21">
        <f t="shared" si="416"/>
        <v>594.16999999999996</v>
      </c>
      <c r="F8915" s="22">
        <v>0.10000000000000001</v>
      </c>
      <c r="G8915" s="21">
        <f t="shared" si="417"/>
        <v>577.76999999999998</v>
      </c>
      <c r="H8915" s="22">
        <v>0.10000000000000001</v>
      </c>
      <c r="I8915" s="23" t="str">
        <f t="shared" si="418"/>
        <v xml:space="preserve">COM VALOR</v>
      </c>
      <c r="J8915" s="19"/>
      <c r="L8915" s="21">
        <v>594.16999999999996</v>
      </c>
      <c r="M8915" s="22">
        <v>0</v>
      </c>
      <c r="N8915" s="21">
        <v>577.76999999999998</v>
      </c>
      <c r="O8915" s="22">
        <v>0</v>
      </c>
    </row>
    <row r="8916" ht="38.25">
      <c r="A8916" t="s">
        <v>9017</v>
      </c>
      <c r="B8916" s="19">
        <v>93026</v>
      </c>
      <c r="C8916" s="20" t="s">
        <v>9029</v>
      </c>
      <c r="D8916" s="19" t="s">
        <v>31</v>
      </c>
      <c r="E8916" s="21">
        <f t="shared" si="416"/>
        <v>69.219999999999999</v>
      </c>
      <c r="F8916" s="22"/>
      <c r="G8916" s="21">
        <f t="shared" si="417"/>
        <v>67.239999999999995</v>
      </c>
      <c r="H8916" s="22"/>
      <c r="I8916" s="23" t="str">
        <f t="shared" si="418"/>
        <v xml:space="preserve">COM VALOR</v>
      </c>
      <c r="J8916" s="19"/>
      <c r="L8916" s="21">
        <v>69.219999999999999</v>
      </c>
      <c r="M8916" s="22">
        <v>0</v>
      </c>
      <c r="N8916" s="21">
        <v>67.239999999999995</v>
      </c>
      <c r="O8916" s="22">
        <v>0</v>
      </c>
    </row>
    <row r="8917" ht="38.25">
      <c r="A8917" t="s">
        <v>9017</v>
      </c>
      <c r="B8917" s="19">
        <v>93018</v>
      </c>
      <c r="C8917" s="20" t="s">
        <v>9030</v>
      </c>
      <c r="D8917" s="19" t="s">
        <v>31</v>
      </c>
      <c r="E8917" s="21">
        <f t="shared" si="416"/>
        <v>22.57</v>
      </c>
      <c r="F8917" s="22"/>
      <c r="G8917" s="21">
        <f t="shared" si="417"/>
        <v>21.530000000000001</v>
      </c>
      <c r="H8917" s="22"/>
      <c r="I8917" s="23" t="str">
        <f t="shared" si="418"/>
        <v xml:space="preserve">COM VALOR</v>
      </c>
      <c r="J8917" s="19"/>
      <c r="L8917" s="21">
        <v>22.57</v>
      </c>
      <c r="M8917" s="22">
        <v>0</v>
      </c>
      <c r="N8917" s="21">
        <v>21.530000000000001</v>
      </c>
      <c r="O8917" s="22">
        <v>0</v>
      </c>
    </row>
    <row r="8918" ht="38.25">
      <c r="A8918" t="s">
        <v>9017</v>
      </c>
      <c r="B8918" s="19">
        <v>93020</v>
      </c>
      <c r="C8918" s="20" t="s">
        <v>9031</v>
      </c>
      <c r="D8918" s="19" t="s">
        <v>31</v>
      </c>
      <c r="E8918" s="21">
        <f t="shared" si="416"/>
        <v>27.890000000000001</v>
      </c>
      <c r="F8918" s="22"/>
      <c r="G8918" s="21">
        <f t="shared" si="417"/>
        <v>26.699999999999999</v>
      </c>
      <c r="H8918" s="22"/>
      <c r="I8918" s="23" t="str">
        <f t="shared" si="418"/>
        <v xml:space="preserve">COM VALOR</v>
      </c>
      <c r="J8918" s="19"/>
      <c r="L8918" s="21">
        <v>27.890000000000001</v>
      </c>
      <c r="M8918" s="22">
        <v>0</v>
      </c>
      <c r="N8918" s="21">
        <v>26.699999999999999</v>
      </c>
      <c r="O8918" s="22">
        <v>0</v>
      </c>
    </row>
    <row r="8919" ht="38.25">
      <c r="A8919" t="s">
        <v>9017</v>
      </c>
      <c r="B8919" s="19">
        <v>93022</v>
      </c>
      <c r="C8919" s="20" t="s">
        <v>9032</v>
      </c>
      <c r="D8919" s="19" t="s">
        <v>31</v>
      </c>
      <c r="E8919" s="21">
        <f t="shared" si="416"/>
        <v>42.369999999999997</v>
      </c>
      <c r="F8919" s="22">
        <v>5.0000000000000003e-002</v>
      </c>
      <c r="G8919" s="21">
        <f t="shared" si="417"/>
        <v>40.93</v>
      </c>
      <c r="H8919" s="22">
        <v>5.9999999999999998e-002</v>
      </c>
      <c r="I8919" s="23" t="str">
        <f t="shared" si="418"/>
        <v xml:space="preserve">COM VALOR</v>
      </c>
      <c r="J8919" s="19"/>
      <c r="L8919" s="21">
        <v>42.369999999999997</v>
      </c>
      <c r="M8919" s="22">
        <v>0</v>
      </c>
      <c r="N8919" s="21">
        <v>40.93</v>
      </c>
      <c r="O8919" s="22">
        <v>0</v>
      </c>
    </row>
    <row r="8920" ht="38.25">
      <c r="A8920" t="s">
        <v>9017</v>
      </c>
      <c r="B8920" s="19">
        <v>93024</v>
      </c>
      <c r="C8920" s="20" t="s">
        <v>9033</v>
      </c>
      <c r="D8920" s="19" t="s">
        <v>31</v>
      </c>
      <c r="E8920" s="21">
        <f t="shared" si="416"/>
        <v>45.159999999999997</v>
      </c>
      <c r="F8920" s="22"/>
      <c r="G8920" s="21">
        <f t="shared" si="417"/>
        <v>43.57</v>
      </c>
      <c r="H8920" s="22"/>
      <c r="I8920" s="23" t="str">
        <f t="shared" si="418"/>
        <v xml:space="preserve">COM VALOR</v>
      </c>
      <c r="J8920" s="19"/>
      <c r="L8920" s="21">
        <v>45.159999999999997</v>
      </c>
      <c r="M8920" s="22">
        <v>0</v>
      </c>
      <c r="N8920" s="21">
        <v>43.57</v>
      </c>
      <c r="O8920" s="22">
        <v>0</v>
      </c>
    </row>
    <row r="8921" ht="38.25">
      <c r="A8921" t="s">
        <v>9017</v>
      </c>
      <c r="B8921" s="19">
        <v>97670</v>
      </c>
      <c r="C8921" s="20" t="s">
        <v>9034</v>
      </c>
      <c r="D8921" s="19" t="s">
        <v>38</v>
      </c>
      <c r="E8921" s="21">
        <f t="shared" si="416"/>
        <v>25.620000000000001</v>
      </c>
      <c r="F8921" s="22"/>
      <c r="G8921" s="21">
        <f t="shared" si="417"/>
        <v>25.079999999999998</v>
      </c>
      <c r="H8921" s="22"/>
      <c r="I8921" s="23" t="str">
        <f t="shared" si="418"/>
        <v xml:space="preserve">COM VALOR</v>
      </c>
      <c r="J8921" s="19"/>
      <c r="L8921" s="21">
        <v>25.620000000000001</v>
      </c>
      <c r="M8921" s="22">
        <v>0</v>
      </c>
      <c r="N8921" s="21">
        <v>25.079999999999998</v>
      </c>
      <c r="O8921" s="22">
        <v>0</v>
      </c>
    </row>
    <row r="8922" ht="38.25">
      <c r="A8922" t="s">
        <v>9017</v>
      </c>
      <c r="B8922" s="19">
        <v>103486</v>
      </c>
      <c r="C8922" s="20" t="s">
        <v>9035</v>
      </c>
      <c r="D8922" s="19" t="s">
        <v>38</v>
      </c>
      <c r="E8922" s="21" t="str">
        <f t="shared" si="416"/>
        <v>VERIFICAR</v>
      </c>
      <c r="F8922" s="22"/>
      <c r="G8922" s="21" t="str">
        <f t="shared" si="417"/>
        <v>VERIFICAR</v>
      </c>
      <c r="H8922" s="22"/>
      <c r="I8922" s="23" t="str">
        <f t="shared" si="418"/>
        <v xml:space="preserve">COM VALOR</v>
      </c>
      <c r="J8922" s="19"/>
      <c r="L8922" s="21">
        <v>0</v>
      </c>
      <c r="M8922" s="22"/>
      <c r="N8922" s="21">
        <v>0</v>
      </c>
      <c r="O8922" s="22"/>
    </row>
    <row r="8923" ht="38.25">
      <c r="A8923" t="s">
        <v>9017</v>
      </c>
      <c r="B8923" s="19">
        <v>103487</v>
      </c>
      <c r="C8923" s="20" t="s">
        <v>9036</v>
      </c>
      <c r="D8923" s="19" t="s">
        <v>38</v>
      </c>
      <c r="E8923" s="21" t="str">
        <f t="shared" si="416"/>
        <v>VERIFICAR</v>
      </c>
      <c r="F8923" s="22"/>
      <c r="G8923" s="21" t="str">
        <f t="shared" si="417"/>
        <v>VERIFICAR</v>
      </c>
      <c r="H8923" s="22"/>
      <c r="I8923" s="23" t="str">
        <f t="shared" si="418"/>
        <v xml:space="preserve">COM VALOR</v>
      </c>
      <c r="J8923" s="19"/>
      <c r="L8923" s="21">
        <v>0</v>
      </c>
      <c r="M8923" s="22"/>
      <c r="N8923" s="21">
        <v>0</v>
      </c>
      <c r="O8923" s="22"/>
    </row>
    <row r="8924" ht="38.25">
      <c r="A8924" t="s">
        <v>9017</v>
      </c>
      <c r="B8924" s="19">
        <v>103488</v>
      </c>
      <c r="C8924" s="20" t="s">
        <v>9037</v>
      </c>
      <c r="D8924" s="19" t="s">
        <v>38</v>
      </c>
      <c r="E8924" s="21" t="str">
        <f t="shared" si="416"/>
        <v>VERIFICAR</v>
      </c>
      <c r="F8924" s="22"/>
      <c r="G8924" s="21" t="str">
        <f t="shared" si="417"/>
        <v>VERIFICAR</v>
      </c>
      <c r="H8924" s="22"/>
      <c r="I8924" s="23" t="str">
        <f t="shared" si="418"/>
        <v xml:space="preserve">COM VALOR</v>
      </c>
      <c r="J8924" s="19"/>
      <c r="L8924" s="21">
        <v>0</v>
      </c>
      <c r="M8924" s="22"/>
      <c r="N8924" s="21">
        <v>0</v>
      </c>
      <c r="O8924" s="22"/>
    </row>
    <row r="8925" ht="38.25">
      <c r="A8925" t="s">
        <v>9017</v>
      </c>
      <c r="B8925" s="19">
        <v>103489</v>
      </c>
      <c r="C8925" s="20" t="s">
        <v>9038</v>
      </c>
      <c r="D8925" s="19" t="s">
        <v>38</v>
      </c>
      <c r="E8925" s="21" t="str">
        <f t="shared" si="416"/>
        <v>VERIFICAR</v>
      </c>
      <c r="F8925" s="22"/>
      <c r="G8925" s="21" t="str">
        <f t="shared" si="417"/>
        <v>VERIFICAR</v>
      </c>
      <c r="H8925" s="22"/>
      <c r="I8925" s="23" t="str">
        <f t="shared" si="418"/>
        <v xml:space="preserve">COM VALOR</v>
      </c>
      <c r="J8925" s="19"/>
      <c r="L8925" s="21">
        <v>0</v>
      </c>
      <c r="M8925" s="22"/>
      <c r="N8925" s="21">
        <v>0</v>
      </c>
      <c r="O8925" s="22"/>
    </row>
    <row r="8926" ht="38.25">
      <c r="A8926" t="s">
        <v>9017</v>
      </c>
      <c r="B8926" s="19">
        <v>97667</v>
      </c>
      <c r="C8926" s="20" t="s">
        <v>9039</v>
      </c>
      <c r="D8926" s="19" t="s">
        <v>38</v>
      </c>
      <c r="E8926" s="21">
        <f t="shared" si="416"/>
        <v>9.4499999999999993</v>
      </c>
      <c r="F8926" s="22"/>
      <c r="G8926" s="21">
        <f t="shared" si="417"/>
        <v>9.2400000000000002</v>
      </c>
      <c r="H8926" s="22"/>
      <c r="I8926" s="23" t="str">
        <f t="shared" si="418"/>
        <v xml:space="preserve">COM VALOR</v>
      </c>
      <c r="J8926" s="19"/>
      <c r="L8926" s="21">
        <v>9.4499999999999993</v>
      </c>
      <c r="M8926" s="22">
        <v>0</v>
      </c>
      <c r="N8926" s="21">
        <v>9.2400000000000002</v>
      </c>
      <c r="O8926" s="22">
        <v>0</v>
      </c>
    </row>
    <row r="8927" ht="38.25">
      <c r="A8927" t="s">
        <v>9017</v>
      </c>
      <c r="B8927" s="19">
        <v>97668</v>
      </c>
      <c r="C8927" s="20" t="s">
        <v>9040</v>
      </c>
      <c r="D8927" s="19" t="s">
        <v>38</v>
      </c>
      <c r="E8927" s="21">
        <f t="shared" si="416"/>
        <v>13.470000000000001</v>
      </c>
      <c r="F8927" s="22"/>
      <c r="G8927" s="21">
        <f t="shared" si="417"/>
        <v>13.18</v>
      </c>
      <c r="H8927" s="22"/>
      <c r="I8927" s="23" t="str">
        <f t="shared" si="418"/>
        <v xml:space="preserve">COM VALOR</v>
      </c>
      <c r="J8927" s="19"/>
      <c r="L8927" s="21">
        <v>13.470000000000001</v>
      </c>
      <c r="M8927" s="22">
        <v>0</v>
      </c>
      <c r="N8927" s="21">
        <v>13.18</v>
      </c>
      <c r="O8927" s="22">
        <v>0</v>
      </c>
    </row>
    <row r="8928" ht="38.25">
      <c r="A8928" t="s">
        <v>9017</v>
      </c>
      <c r="B8928" s="19">
        <v>97669</v>
      </c>
      <c r="C8928" s="20" t="s">
        <v>9041</v>
      </c>
      <c r="D8928" s="19" t="s">
        <v>38</v>
      </c>
      <c r="E8928" s="21">
        <f t="shared" si="416"/>
        <v>19.899999999999999</v>
      </c>
      <c r="F8928" s="22"/>
      <c r="G8928" s="21">
        <f t="shared" si="417"/>
        <v>19.43</v>
      </c>
      <c r="H8928" s="22"/>
      <c r="I8928" s="23" t="str">
        <f t="shared" si="418"/>
        <v xml:space="preserve">COM VALOR</v>
      </c>
      <c r="J8928" s="19"/>
      <c r="L8928" s="21">
        <v>19.899999999999999</v>
      </c>
      <c r="M8928" s="22">
        <v>0</v>
      </c>
      <c r="N8928" s="21">
        <v>19.43</v>
      </c>
      <c r="O8928" s="22">
        <v>0</v>
      </c>
    </row>
    <row r="8929" ht="38.25">
      <c r="A8929" t="s">
        <v>9017</v>
      </c>
      <c r="B8929" s="19">
        <v>93012</v>
      </c>
      <c r="C8929" s="20" t="s">
        <v>9042</v>
      </c>
      <c r="D8929" s="19" t="s">
        <v>38</v>
      </c>
      <c r="E8929" s="21">
        <f t="shared" si="416"/>
        <v>73.670000000000002</v>
      </c>
      <c r="F8929" s="22">
        <v>0</v>
      </c>
      <c r="G8929" s="21">
        <f t="shared" si="417"/>
        <v>73.010000000000005</v>
      </c>
      <c r="H8929" s="22">
        <v>0</v>
      </c>
      <c r="I8929" s="23" t="str">
        <f t="shared" si="418"/>
        <v xml:space="preserve">COM VALOR</v>
      </c>
      <c r="J8929" s="19"/>
      <c r="L8929" s="21">
        <v>73.670000000000002</v>
      </c>
      <c r="M8929" s="22">
        <v>0</v>
      </c>
      <c r="N8929" s="21">
        <v>73.010000000000005</v>
      </c>
      <c r="O8929" s="22">
        <v>0</v>
      </c>
    </row>
    <row r="8930" ht="38.25">
      <c r="A8930" t="s">
        <v>9017</v>
      </c>
      <c r="B8930" s="19">
        <v>93008</v>
      </c>
      <c r="C8930" s="20" t="s">
        <v>9043</v>
      </c>
      <c r="D8930" s="19" t="s">
        <v>38</v>
      </c>
      <c r="E8930" s="21">
        <f t="shared" si="416"/>
        <v>19.309999999999999</v>
      </c>
      <c r="F8930" s="22"/>
      <c r="G8930" s="21">
        <f t="shared" si="417"/>
        <v>18.949999999999999</v>
      </c>
      <c r="H8930" s="22"/>
      <c r="I8930" s="23" t="str">
        <f t="shared" si="418"/>
        <v xml:space="preserve">COM VALOR</v>
      </c>
      <c r="J8930" s="19"/>
      <c r="L8930" s="21">
        <v>19.309999999999999</v>
      </c>
      <c r="M8930" s="22">
        <v>0</v>
      </c>
      <c r="N8930" s="21">
        <v>18.949999999999999</v>
      </c>
      <c r="O8930" s="22">
        <v>0</v>
      </c>
    </row>
    <row r="8931" ht="38.25">
      <c r="A8931" t="s">
        <v>9017</v>
      </c>
      <c r="B8931" s="19">
        <v>93009</v>
      </c>
      <c r="C8931" s="20" t="s">
        <v>9044</v>
      </c>
      <c r="D8931" s="19" t="s">
        <v>38</v>
      </c>
      <c r="E8931" s="21">
        <f t="shared" si="416"/>
        <v>28.57</v>
      </c>
      <c r="F8931" s="22">
        <v>0.95999999999999996</v>
      </c>
      <c r="G8931" s="21">
        <f t="shared" si="417"/>
        <v>28.170000000000002</v>
      </c>
      <c r="H8931" s="22">
        <v>0.96999999999999997</v>
      </c>
      <c r="I8931" s="23" t="str">
        <f t="shared" si="418"/>
        <v xml:space="preserve">COM VALOR</v>
      </c>
      <c r="J8931" s="19"/>
      <c r="L8931" s="21">
        <v>28.57</v>
      </c>
      <c r="M8931" s="22">
        <v>0</v>
      </c>
      <c r="N8931" s="21">
        <v>28.170000000000002</v>
      </c>
      <c r="O8931" s="22">
        <v>0</v>
      </c>
    </row>
    <row r="8932" ht="38.25">
      <c r="A8932" t="s">
        <v>9017</v>
      </c>
      <c r="B8932" s="19">
        <v>93010</v>
      </c>
      <c r="C8932" s="20" t="s">
        <v>9045</v>
      </c>
      <c r="D8932" s="19" t="s">
        <v>38</v>
      </c>
      <c r="E8932" s="21">
        <f t="shared" si="416"/>
        <v>39.829999999999998</v>
      </c>
      <c r="F8932" s="22">
        <v>0.94999999999999996</v>
      </c>
      <c r="G8932" s="21">
        <f t="shared" si="417"/>
        <v>39.350000000000001</v>
      </c>
      <c r="H8932" s="22">
        <v>0.94999999999999996</v>
      </c>
      <c r="I8932" s="23" t="str">
        <f t="shared" si="418"/>
        <v xml:space="preserve">COM VALOR</v>
      </c>
      <c r="J8932" s="19"/>
      <c r="L8932" s="21">
        <v>39.829999999999998</v>
      </c>
      <c r="M8932" s="22">
        <v>0</v>
      </c>
      <c r="N8932" s="21">
        <v>39.350000000000001</v>
      </c>
      <c r="O8932" s="22">
        <v>0</v>
      </c>
    </row>
    <row r="8933" ht="38.25">
      <c r="A8933" t="s">
        <v>9017</v>
      </c>
      <c r="B8933" s="19">
        <v>93011</v>
      </c>
      <c r="C8933" s="20" t="s">
        <v>9046</v>
      </c>
      <c r="D8933" s="19" t="s">
        <v>38</v>
      </c>
      <c r="E8933" s="21">
        <f t="shared" si="416"/>
        <v>48.719999999999999</v>
      </c>
      <c r="F8933" s="22">
        <v>0.93000000000000005</v>
      </c>
      <c r="G8933" s="21">
        <f t="shared" si="417"/>
        <v>48.189999999999998</v>
      </c>
      <c r="H8933" s="22">
        <v>0.93999999999999995</v>
      </c>
      <c r="I8933" s="23" t="str">
        <f t="shared" si="418"/>
        <v xml:space="preserve">COM VALOR</v>
      </c>
      <c r="J8933" s="19"/>
      <c r="L8933" s="21">
        <v>48.719999999999999</v>
      </c>
      <c r="M8933" s="22">
        <v>0</v>
      </c>
      <c r="N8933" s="21">
        <v>48.189999999999998</v>
      </c>
      <c r="O8933" s="22">
        <v>0</v>
      </c>
    </row>
    <row r="8934" ht="38.25">
      <c r="A8934" t="s">
        <v>9017</v>
      </c>
      <c r="B8934" s="19">
        <v>103492</v>
      </c>
      <c r="C8934" s="20" t="s">
        <v>9047</v>
      </c>
      <c r="D8934" s="19" t="s">
        <v>38</v>
      </c>
      <c r="E8934" s="21" t="str">
        <f t="shared" si="416"/>
        <v>VERIFICAR</v>
      </c>
      <c r="F8934" s="22">
        <v>0.83999999999999997</v>
      </c>
      <c r="G8934" s="21" t="str">
        <f t="shared" si="417"/>
        <v>VERIFICAR</v>
      </c>
      <c r="H8934" s="22">
        <v>0.84999999999999998</v>
      </c>
      <c r="I8934" s="23" t="str">
        <f t="shared" si="418"/>
        <v xml:space="preserve">COM VALOR</v>
      </c>
      <c r="J8934" s="19"/>
      <c r="L8934" s="21">
        <v>0</v>
      </c>
      <c r="M8934" s="22"/>
      <c r="N8934" s="21">
        <v>0</v>
      </c>
      <c r="O8934" s="22"/>
    </row>
    <row r="8935" ht="38.25">
      <c r="A8935" t="s">
        <v>9017</v>
      </c>
      <c r="B8935" s="19">
        <v>93017</v>
      </c>
      <c r="C8935" s="20" t="s">
        <v>9048</v>
      </c>
      <c r="D8935" s="19" t="s">
        <v>31</v>
      </c>
      <c r="E8935" s="21">
        <f t="shared" si="416"/>
        <v>42.789999999999999</v>
      </c>
      <c r="F8935" s="22">
        <v>0.84999999999999998</v>
      </c>
      <c r="G8935" s="21">
        <f t="shared" si="417"/>
        <v>41.469999999999999</v>
      </c>
      <c r="H8935" s="22">
        <v>0.85999999999999999</v>
      </c>
      <c r="I8935" s="23" t="str">
        <f t="shared" si="418"/>
        <v xml:space="preserve">COM VALOR</v>
      </c>
      <c r="J8935" s="19"/>
      <c r="L8935" s="21">
        <v>42.789999999999999</v>
      </c>
      <c r="M8935" s="22">
        <v>0</v>
      </c>
      <c r="N8935" s="21">
        <v>41.469999999999999</v>
      </c>
      <c r="O8935" s="22">
        <v>0</v>
      </c>
    </row>
    <row r="8936" ht="38.25">
      <c r="A8936" t="s">
        <v>9017</v>
      </c>
      <c r="B8936" s="19">
        <v>93013</v>
      </c>
      <c r="C8936" s="20" t="s">
        <v>9049</v>
      </c>
      <c r="D8936" s="19" t="s">
        <v>31</v>
      </c>
      <c r="E8936" s="21">
        <f t="shared" si="416"/>
        <v>14.869999999999999</v>
      </c>
      <c r="F8936" s="22">
        <v>0.96999999999999997</v>
      </c>
      <c r="G8936" s="21">
        <f t="shared" si="417"/>
        <v>14.17</v>
      </c>
      <c r="H8936" s="22">
        <v>0.96999999999999997</v>
      </c>
      <c r="I8936" s="23" t="str">
        <f t="shared" si="418"/>
        <v xml:space="preserve">COM VALOR</v>
      </c>
      <c r="J8936" s="19"/>
      <c r="L8936" s="21">
        <v>14.869999999999999</v>
      </c>
      <c r="M8936" s="22">
        <v>0</v>
      </c>
      <c r="N8936" s="21">
        <v>14.17</v>
      </c>
      <c r="O8936" s="22">
        <v>0</v>
      </c>
    </row>
    <row r="8937" ht="38.25">
      <c r="A8937" t="s">
        <v>9017</v>
      </c>
      <c r="B8937" s="19">
        <v>93014</v>
      </c>
      <c r="C8937" s="20" t="s">
        <v>9050</v>
      </c>
      <c r="D8937" s="19" t="s">
        <v>31</v>
      </c>
      <c r="E8937" s="21">
        <f t="shared" si="416"/>
        <v>17.859999999999999</v>
      </c>
      <c r="F8937" s="22">
        <v>0.84999999999999998</v>
      </c>
      <c r="G8937" s="21">
        <f t="shared" si="417"/>
        <v>17.059999999999999</v>
      </c>
      <c r="H8937" s="22">
        <v>0.85999999999999999</v>
      </c>
      <c r="I8937" s="23" t="str">
        <f t="shared" si="418"/>
        <v xml:space="preserve">COM VALOR</v>
      </c>
      <c r="J8937" s="19"/>
      <c r="L8937" s="21">
        <v>17.859999999999999</v>
      </c>
      <c r="M8937" s="22">
        <v>0</v>
      </c>
      <c r="N8937" s="21">
        <v>17.059999999999999</v>
      </c>
      <c r="O8937" s="22">
        <v>0</v>
      </c>
    </row>
    <row r="8938" ht="38.25">
      <c r="A8938" t="s">
        <v>9017</v>
      </c>
      <c r="B8938" s="19">
        <v>93015</v>
      </c>
      <c r="C8938" s="20" t="s">
        <v>9051</v>
      </c>
      <c r="D8938" s="19" t="s">
        <v>31</v>
      </c>
      <c r="E8938" s="21">
        <f t="shared" si="416"/>
        <v>25.149999999999999</v>
      </c>
      <c r="F8938" s="22">
        <v>0</v>
      </c>
      <c r="G8938" s="21">
        <f t="shared" si="417"/>
        <v>24.199999999999999</v>
      </c>
      <c r="H8938" s="22">
        <v>0</v>
      </c>
      <c r="I8938" s="23" t="str">
        <f t="shared" si="418"/>
        <v xml:space="preserve">COM VALOR</v>
      </c>
      <c r="J8938" s="19"/>
      <c r="L8938" s="21">
        <v>25.149999999999999</v>
      </c>
      <c r="M8938" s="22">
        <v>0</v>
      </c>
      <c r="N8938" s="21">
        <v>24.199999999999999</v>
      </c>
      <c r="O8938" s="22">
        <v>0</v>
      </c>
    </row>
    <row r="8939" ht="38.25">
      <c r="A8939" t="s">
        <v>9017</v>
      </c>
      <c r="B8939" s="19">
        <v>93016</v>
      </c>
      <c r="C8939" s="20" t="s">
        <v>9052</v>
      </c>
      <c r="D8939" s="19" t="s">
        <v>31</v>
      </c>
      <c r="E8939" s="21">
        <f t="shared" si="416"/>
        <v>29.809999999999999</v>
      </c>
      <c r="F8939" s="22">
        <v>0</v>
      </c>
      <c r="G8939" s="21">
        <f t="shared" si="417"/>
        <v>28.75</v>
      </c>
      <c r="H8939" s="22">
        <v>0</v>
      </c>
      <c r="I8939" s="23" t="str">
        <f t="shared" si="418"/>
        <v xml:space="preserve">COM VALOR</v>
      </c>
      <c r="J8939" s="19"/>
      <c r="L8939" s="21">
        <v>29.809999999999999</v>
      </c>
      <c r="M8939" s="22">
        <v>0</v>
      </c>
      <c r="N8939" s="21">
        <v>28.75</v>
      </c>
      <c r="O8939" s="22">
        <v>0</v>
      </c>
    </row>
    <row r="8940" ht="38.25">
      <c r="A8940" t="s">
        <v>9017</v>
      </c>
      <c r="B8940" s="19">
        <v>103490</v>
      </c>
      <c r="C8940" s="20" t="s">
        <v>9053</v>
      </c>
      <c r="D8940" s="19" t="s">
        <v>121</v>
      </c>
      <c r="E8940" s="21">
        <f t="shared" si="416"/>
        <v>3163.21</v>
      </c>
      <c r="F8940" s="22">
        <v>0</v>
      </c>
      <c r="G8940" s="21">
        <f t="shared" si="417"/>
        <v>3036.4400000000001</v>
      </c>
      <c r="H8940" s="22">
        <v>0</v>
      </c>
      <c r="I8940" s="23" t="str">
        <f t="shared" si="418"/>
        <v xml:space="preserve">COM VALOR</v>
      </c>
      <c r="J8940" s="19"/>
      <c r="L8940" s="21">
        <v>3163.21</v>
      </c>
      <c r="M8940" s="22">
        <v>1.e-002</v>
      </c>
      <c r="N8940" s="21">
        <v>3036.4400000000001</v>
      </c>
      <c r="O8940" s="22">
        <v>1.e-002</v>
      </c>
    </row>
    <row r="8941" ht="12.75">
      <c r="A8941" t="s">
        <v>9054</v>
      </c>
      <c r="B8941" s="19">
        <v>106082</v>
      </c>
      <c r="C8941" s="20" t="s">
        <v>9055</v>
      </c>
      <c r="D8941" s="19" t="s">
        <v>31</v>
      </c>
      <c r="E8941" s="21">
        <f t="shared" si="416"/>
        <v>17.609999999999999</v>
      </c>
      <c r="F8941" s="22">
        <v>0</v>
      </c>
      <c r="G8941" s="21">
        <f t="shared" si="417"/>
        <v>17.09</v>
      </c>
      <c r="H8941" s="22">
        <v>0</v>
      </c>
      <c r="I8941" s="23" t="str">
        <f t="shared" si="418"/>
        <v xml:space="preserve">COM VALOR</v>
      </c>
      <c r="J8941" s="19"/>
      <c r="L8941" s="21">
        <v>17.609999999999999</v>
      </c>
      <c r="M8941" s="22">
        <v>0</v>
      </c>
      <c r="N8941" s="21">
        <v>17.09</v>
      </c>
      <c r="O8941" s="22">
        <v>0</v>
      </c>
    </row>
    <row r="8942" ht="25.5">
      <c r="A8942" t="s">
        <v>9054</v>
      </c>
      <c r="B8942" s="19">
        <v>98306</v>
      </c>
      <c r="C8942" s="20" t="s">
        <v>9056</v>
      </c>
      <c r="D8942" s="19" t="s">
        <v>31</v>
      </c>
      <c r="E8942" s="21">
        <f t="shared" si="416"/>
        <v>63.939999999999998</v>
      </c>
      <c r="F8942" s="22">
        <v>0</v>
      </c>
      <c r="G8942" s="21">
        <f t="shared" si="417"/>
        <v>62.170000000000002</v>
      </c>
      <c r="H8942" s="22">
        <v>0</v>
      </c>
      <c r="I8942" s="23" t="str">
        <f t="shared" si="418"/>
        <v xml:space="preserve">COM VALOR</v>
      </c>
      <c r="J8942" s="19"/>
      <c r="L8942" s="21">
        <v>63.939999999999998</v>
      </c>
      <c r="M8942" s="22">
        <v>0</v>
      </c>
      <c r="N8942" s="21">
        <v>62.170000000000002</v>
      </c>
      <c r="O8942" s="22">
        <v>0</v>
      </c>
    </row>
    <row r="8943" ht="12.75">
      <c r="A8943" t="s">
        <v>9054</v>
      </c>
      <c r="B8943" s="19">
        <v>100553</v>
      </c>
      <c r="C8943" s="20" t="s">
        <v>9057</v>
      </c>
      <c r="D8943" s="19" t="s">
        <v>38</v>
      </c>
      <c r="E8943" s="21">
        <f t="shared" si="416"/>
        <v>31.41</v>
      </c>
      <c r="F8943" s="22">
        <v>0</v>
      </c>
      <c r="G8943" s="21">
        <f t="shared" si="417"/>
        <v>31.140000000000001</v>
      </c>
      <c r="H8943" s="22">
        <v>0</v>
      </c>
      <c r="I8943" s="23" t="str">
        <f t="shared" si="418"/>
        <v xml:space="preserve">COM VALOR</v>
      </c>
      <c r="J8943" s="19"/>
      <c r="L8943" s="21">
        <v>31.41</v>
      </c>
      <c r="M8943" s="22">
        <v>0</v>
      </c>
      <c r="N8943" s="21">
        <v>31.140000000000001</v>
      </c>
      <c r="O8943" s="22">
        <v>0</v>
      </c>
    </row>
    <row r="8944" ht="12.75">
      <c r="A8944" t="s">
        <v>9054</v>
      </c>
      <c r="B8944" s="19">
        <v>100554</v>
      </c>
      <c r="C8944" s="20" t="s">
        <v>9058</v>
      </c>
      <c r="D8944" s="19" t="s">
        <v>38</v>
      </c>
      <c r="E8944" s="21">
        <f t="shared" si="416"/>
        <v>7.0199999999999996</v>
      </c>
      <c r="F8944" s="22">
        <v>0</v>
      </c>
      <c r="G8944" s="21">
        <f t="shared" si="417"/>
        <v>6.75</v>
      </c>
      <c r="H8944" s="22">
        <v>0</v>
      </c>
      <c r="I8944" s="23" t="str">
        <f t="shared" si="418"/>
        <v xml:space="preserve">COM VALOR</v>
      </c>
      <c r="J8944" s="19"/>
      <c r="L8944" s="21">
        <v>7.0199999999999996</v>
      </c>
      <c r="M8944" s="22">
        <v>0</v>
      </c>
      <c r="N8944" s="21">
        <v>6.75</v>
      </c>
      <c r="O8944" s="22">
        <v>0</v>
      </c>
    </row>
    <row r="8945" ht="12.75">
      <c r="A8945" t="s">
        <v>9054</v>
      </c>
      <c r="B8945" s="19">
        <v>98300</v>
      </c>
      <c r="C8945" s="20" t="s">
        <v>9059</v>
      </c>
      <c r="D8945" s="19" t="s">
        <v>38</v>
      </c>
      <c r="E8945" s="21">
        <f t="shared" si="416"/>
        <v>7.1100000000000003</v>
      </c>
      <c r="F8945" s="22">
        <v>0</v>
      </c>
      <c r="G8945" s="21">
        <f t="shared" si="417"/>
        <v>6.8399999999999999</v>
      </c>
      <c r="H8945" s="22">
        <v>0</v>
      </c>
      <c r="I8945" s="23" t="str">
        <f t="shared" si="418"/>
        <v xml:space="preserve">COM VALOR</v>
      </c>
      <c r="J8945" s="19"/>
      <c r="L8945" s="21">
        <v>7.1100000000000003</v>
      </c>
      <c r="M8945" s="22">
        <v>0</v>
      </c>
      <c r="N8945" s="21">
        <v>6.8399999999999999</v>
      </c>
      <c r="O8945" s="22">
        <v>0</v>
      </c>
    </row>
    <row r="8946" ht="25.5">
      <c r="A8946" t="s">
        <v>9054</v>
      </c>
      <c r="B8946" s="19">
        <v>98295</v>
      </c>
      <c r="C8946" s="20" t="s">
        <v>9060</v>
      </c>
      <c r="D8946" s="19" t="s">
        <v>38</v>
      </c>
      <c r="E8946" s="21">
        <f t="shared" si="416"/>
        <v>7.6900000000000004</v>
      </c>
      <c r="F8946" s="22">
        <v>0.52000000000000002</v>
      </c>
      <c r="G8946" s="21">
        <f t="shared" si="417"/>
        <v>7.6699999999999999</v>
      </c>
      <c r="H8946" s="22">
        <v>0.53000000000000003</v>
      </c>
      <c r="I8946" s="23" t="str">
        <f t="shared" si="418"/>
        <v xml:space="preserve">COM VALOR</v>
      </c>
      <c r="J8946" s="19"/>
      <c r="L8946" s="21">
        <v>7.6900000000000004</v>
      </c>
      <c r="M8946" s="22">
        <v>0</v>
      </c>
      <c r="N8946" s="21">
        <v>7.6699999999999999</v>
      </c>
      <c r="O8946" s="22">
        <v>0</v>
      </c>
    </row>
    <row r="8947" ht="25.5">
      <c r="A8947" t="s">
        <v>9054</v>
      </c>
      <c r="B8947" s="19">
        <v>98294</v>
      </c>
      <c r="C8947" s="20" t="s">
        <v>9061</v>
      </c>
      <c r="D8947" s="19" t="s">
        <v>38</v>
      </c>
      <c r="E8947" s="21">
        <f t="shared" si="416"/>
        <v>9.8399999999999999</v>
      </c>
      <c r="F8947" s="22">
        <v>0.52000000000000002</v>
      </c>
      <c r="G8947" s="21">
        <f t="shared" si="417"/>
        <v>9.6999999999999993</v>
      </c>
      <c r="H8947" s="22">
        <v>0.53000000000000003</v>
      </c>
      <c r="I8947" s="23" t="str">
        <f t="shared" si="418"/>
        <v xml:space="preserve">COM VALOR</v>
      </c>
      <c r="J8947" s="19"/>
      <c r="L8947" s="21">
        <v>9.8399999999999999</v>
      </c>
      <c r="M8947" s="22">
        <v>0</v>
      </c>
      <c r="N8947" s="21">
        <v>9.6999999999999993</v>
      </c>
      <c r="O8947" s="22">
        <v>0</v>
      </c>
    </row>
    <row r="8948" ht="25.5">
      <c r="A8948" t="s">
        <v>9054</v>
      </c>
      <c r="B8948" s="19">
        <v>98297</v>
      </c>
      <c r="C8948" s="20" t="s">
        <v>9062</v>
      </c>
      <c r="D8948" s="19" t="s">
        <v>38</v>
      </c>
      <c r="E8948" s="21">
        <f t="shared" si="416"/>
        <v>10.880000000000001</v>
      </c>
      <c r="F8948" s="22">
        <v>0.52000000000000002</v>
      </c>
      <c r="G8948" s="21">
        <f t="shared" si="417"/>
        <v>10.85</v>
      </c>
      <c r="H8948" s="22">
        <v>0.54000000000000004</v>
      </c>
      <c r="I8948" s="23" t="str">
        <f t="shared" si="418"/>
        <v xml:space="preserve">COM VALOR</v>
      </c>
      <c r="J8948" s="19"/>
      <c r="L8948" s="21">
        <v>10.880000000000001</v>
      </c>
      <c r="M8948" s="22">
        <v>0</v>
      </c>
      <c r="N8948" s="21">
        <v>10.85</v>
      </c>
      <c r="O8948" s="22">
        <v>0</v>
      </c>
    </row>
    <row r="8949" ht="25.5">
      <c r="A8949" t="s">
        <v>9054</v>
      </c>
      <c r="B8949" s="19">
        <v>98296</v>
      </c>
      <c r="C8949" s="20" t="s">
        <v>9063</v>
      </c>
      <c r="D8949" s="19" t="s">
        <v>38</v>
      </c>
      <c r="E8949" s="21">
        <f t="shared" si="416"/>
        <v>13.1</v>
      </c>
      <c r="F8949" s="22">
        <v>0.52000000000000002</v>
      </c>
      <c r="G8949" s="21">
        <f t="shared" si="417"/>
        <v>12.949999999999999</v>
      </c>
      <c r="H8949" s="22">
        <v>0.54000000000000004</v>
      </c>
      <c r="I8949" s="23" t="str">
        <f t="shared" si="418"/>
        <v xml:space="preserve">COM VALOR</v>
      </c>
      <c r="J8949" s="19"/>
      <c r="L8949" s="21">
        <v>13.1</v>
      </c>
      <c r="M8949" s="22">
        <v>0</v>
      </c>
      <c r="N8949" s="21">
        <v>12.949999999999999</v>
      </c>
      <c r="O8949" s="22">
        <v>0</v>
      </c>
    </row>
    <row r="8950" ht="25.5">
      <c r="A8950" t="s">
        <v>9054</v>
      </c>
      <c r="B8950" s="19">
        <v>98299</v>
      </c>
      <c r="C8950" s="20" t="s">
        <v>9064</v>
      </c>
      <c r="D8950" s="19" t="s">
        <v>38</v>
      </c>
      <c r="E8950" s="21">
        <f t="shared" si="416"/>
        <v>27.91</v>
      </c>
      <c r="F8950" s="22">
        <v>0.53000000000000003</v>
      </c>
      <c r="G8950" s="21">
        <f t="shared" si="417"/>
        <v>27.879999999999999</v>
      </c>
      <c r="H8950" s="22">
        <v>0.54000000000000004</v>
      </c>
      <c r="I8950" s="23" t="str">
        <f t="shared" si="418"/>
        <v xml:space="preserve">COM VALOR</v>
      </c>
      <c r="J8950" s="19"/>
      <c r="L8950" s="21">
        <v>27.91</v>
      </c>
      <c r="M8950" s="22">
        <v>0</v>
      </c>
      <c r="N8950" s="21">
        <v>27.879999999999999</v>
      </c>
      <c r="O8950" s="22">
        <v>0</v>
      </c>
    </row>
    <row r="8951" ht="25.5">
      <c r="A8951" t="s">
        <v>9054</v>
      </c>
      <c r="B8951" s="19">
        <v>98298</v>
      </c>
      <c r="C8951" s="20" t="s">
        <v>9065</v>
      </c>
      <c r="D8951" s="19" t="s">
        <v>38</v>
      </c>
      <c r="E8951" s="21">
        <f t="shared" si="416"/>
        <v>30.129999999999999</v>
      </c>
      <c r="F8951" s="22">
        <v>0.53000000000000003</v>
      </c>
      <c r="G8951" s="21">
        <f t="shared" si="417"/>
        <v>29.98</v>
      </c>
      <c r="H8951" s="22">
        <v>0.54000000000000004</v>
      </c>
      <c r="I8951" s="23" t="str">
        <f t="shared" si="418"/>
        <v xml:space="preserve">COM VALOR</v>
      </c>
      <c r="J8951" s="19"/>
      <c r="L8951" s="21">
        <v>30.129999999999999</v>
      </c>
      <c r="M8951" s="22">
        <v>0</v>
      </c>
      <c r="N8951" s="21">
        <v>29.98</v>
      </c>
      <c r="O8951" s="22">
        <v>0</v>
      </c>
    </row>
    <row r="8952" ht="25.5">
      <c r="A8952" t="s">
        <v>9054</v>
      </c>
      <c r="B8952" s="19">
        <v>98261</v>
      </c>
      <c r="C8952" s="20" t="s">
        <v>9066</v>
      </c>
      <c r="D8952" s="19" t="s">
        <v>38</v>
      </c>
      <c r="E8952" s="21">
        <f t="shared" si="416"/>
        <v>3.5899999999999999</v>
      </c>
      <c r="F8952" s="22">
        <v>0.53000000000000003</v>
      </c>
      <c r="G8952" s="21">
        <f t="shared" si="417"/>
        <v>3.4399999999999999</v>
      </c>
      <c r="H8952" s="22">
        <v>0.55000000000000004</v>
      </c>
      <c r="I8952" s="23" t="str">
        <f t="shared" si="418"/>
        <v xml:space="preserve">COM VALOR</v>
      </c>
      <c r="J8952" s="19"/>
      <c r="L8952" s="21">
        <v>3.5899999999999999</v>
      </c>
      <c r="M8952" s="22">
        <v>0</v>
      </c>
      <c r="N8952" s="21">
        <v>3.4399999999999999</v>
      </c>
      <c r="O8952" s="22">
        <v>0</v>
      </c>
    </row>
    <row r="8953" ht="38.25">
      <c r="A8953" t="s">
        <v>9054</v>
      </c>
      <c r="B8953" s="19">
        <v>98287</v>
      </c>
      <c r="C8953" s="20" t="s">
        <v>9067</v>
      </c>
      <c r="D8953" s="19" t="s">
        <v>38</v>
      </c>
      <c r="E8953" s="21">
        <f t="shared" si="416"/>
        <v>1.5700000000000001</v>
      </c>
      <c r="F8953" s="22">
        <v>0.53000000000000003</v>
      </c>
      <c r="G8953" s="21">
        <f t="shared" si="417"/>
        <v>1.53</v>
      </c>
      <c r="H8953" s="22">
        <v>0.55000000000000004</v>
      </c>
      <c r="I8953" s="23" t="str">
        <f t="shared" si="418"/>
        <v xml:space="preserve">COM VALOR</v>
      </c>
      <c r="J8953" s="19"/>
      <c r="L8953" s="21">
        <v>1.5700000000000001</v>
      </c>
      <c r="M8953" s="22">
        <v>0</v>
      </c>
      <c r="N8953" s="21">
        <v>1.53</v>
      </c>
      <c r="O8953" s="22">
        <v>0</v>
      </c>
    </row>
    <row r="8954" ht="38.25">
      <c r="A8954" t="s">
        <v>9054</v>
      </c>
      <c r="B8954" s="19">
        <v>98280</v>
      </c>
      <c r="C8954" s="20" t="s">
        <v>9068</v>
      </c>
      <c r="D8954" s="19" t="s">
        <v>38</v>
      </c>
      <c r="E8954" s="21">
        <f t="shared" si="416"/>
        <v>6.9699999999999998</v>
      </c>
      <c r="F8954" s="22">
        <v>0.54000000000000004</v>
      </c>
      <c r="G8954" s="21">
        <f t="shared" si="417"/>
        <v>6.6200000000000001</v>
      </c>
      <c r="H8954" s="22">
        <v>0.55000000000000004</v>
      </c>
      <c r="I8954" s="23" t="str">
        <f t="shared" si="418"/>
        <v xml:space="preserve">COM VALOR</v>
      </c>
      <c r="J8954" s="19"/>
      <c r="L8954" s="21">
        <v>6.9699999999999998</v>
      </c>
      <c r="M8954" s="22">
        <v>0</v>
      </c>
      <c r="N8954" s="21">
        <v>6.6200000000000001</v>
      </c>
      <c r="O8954" s="22">
        <v>0</v>
      </c>
    </row>
    <row r="8955" ht="38.25">
      <c r="A8955" t="s">
        <v>9054</v>
      </c>
      <c r="B8955" s="19">
        <v>98288</v>
      </c>
      <c r="C8955" s="20" t="s">
        <v>9069</v>
      </c>
      <c r="D8955" s="19" t="s">
        <v>38</v>
      </c>
      <c r="E8955" s="21">
        <f t="shared" si="416"/>
        <v>2.5499999999999998</v>
      </c>
      <c r="F8955" s="22">
        <v>0.53000000000000003</v>
      </c>
      <c r="G8955" s="21">
        <f t="shared" si="417"/>
        <v>2.5099999999999998</v>
      </c>
      <c r="H8955" s="22">
        <v>0.55000000000000004</v>
      </c>
      <c r="I8955" s="23" t="str">
        <f t="shared" si="418"/>
        <v xml:space="preserve">COM VALOR</v>
      </c>
      <c r="J8955" s="19"/>
      <c r="L8955" s="21">
        <v>2.5499999999999998</v>
      </c>
      <c r="M8955" s="22">
        <v>0</v>
      </c>
      <c r="N8955" s="21">
        <v>2.5099999999999998</v>
      </c>
      <c r="O8955" s="22">
        <v>0</v>
      </c>
    </row>
    <row r="8956" ht="38.25">
      <c r="A8956" t="s">
        <v>9054</v>
      </c>
      <c r="B8956" s="19">
        <v>98281</v>
      </c>
      <c r="C8956" s="20" t="s">
        <v>9070</v>
      </c>
      <c r="D8956" s="19" t="s">
        <v>38</v>
      </c>
      <c r="E8956" s="21">
        <f t="shared" si="416"/>
        <v>7.96</v>
      </c>
      <c r="F8956" s="22">
        <v>0.53000000000000003</v>
      </c>
      <c r="G8956" s="21">
        <f t="shared" si="417"/>
        <v>7.5999999999999996</v>
      </c>
      <c r="H8956" s="22">
        <v>0.55000000000000004</v>
      </c>
      <c r="I8956" s="23" t="str">
        <f t="shared" si="418"/>
        <v xml:space="preserve">COM VALOR</v>
      </c>
      <c r="J8956" s="19"/>
      <c r="L8956" s="21">
        <v>7.96</v>
      </c>
      <c r="M8956" s="22">
        <v>0</v>
      </c>
      <c r="N8956" s="21">
        <v>7.5999999999999996</v>
      </c>
      <c r="O8956" s="22">
        <v>0</v>
      </c>
    </row>
    <row r="8957" ht="25.5">
      <c r="A8957" t="s">
        <v>9054</v>
      </c>
      <c r="B8957" s="19">
        <v>98262</v>
      </c>
      <c r="C8957" s="20" t="s">
        <v>9071</v>
      </c>
      <c r="D8957" s="19" t="s">
        <v>38</v>
      </c>
      <c r="E8957" s="21">
        <f t="shared" si="416"/>
        <v>4.5700000000000003</v>
      </c>
      <c r="F8957" s="22">
        <v>0.53000000000000003</v>
      </c>
      <c r="G8957" s="21">
        <f t="shared" si="417"/>
        <v>4.4199999999999999</v>
      </c>
      <c r="H8957" s="22">
        <v>0.54000000000000004</v>
      </c>
      <c r="I8957" s="23" t="str">
        <f t="shared" si="418"/>
        <v xml:space="preserve">COM VALOR</v>
      </c>
      <c r="J8957" s="19"/>
      <c r="L8957" s="21">
        <v>4.5700000000000003</v>
      </c>
      <c r="M8957" s="22">
        <v>0</v>
      </c>
      <c r="N8957" s="21">
        <v>4.4199999999999999</v>
      </c>
      <c r="O8957" s="22">
        <v>0</v>
      </c>
    </row>
    <row r="8958" ht="38.25">
      <c r="A8958" t="s">
        <v>9054</v>
      </c>
      <c r="B8958" s="19">
        <v>98289</v>
      </c>
      <c r="C8958" s="20" t="s">
        <v>9072</v>
      </c>
      <c r="D8958" s="19" t="s">
        <v>38</v>
      </c>
      <c r="E8958" s="21">
        <f t="shared" si="416"/>
        <v>2.7599999999999998</v>
      </c>
      <c r="F8958" s="22">
        <v>0.54000000000000004</v>
      </c>
      <c r="G8958" s="21">
        <f t="shared" si="417"/>
        <v>2.7200000000000002</v>
      </c>
      <c r="H8958" s="22">
        <v>0.55000000000000004</v>
      </c>
      <c r="I8958" s="23" t="str">
        <f t="shared" si="418"/>
        <v xml:space="preserve">COM VALOR</v>
      </c>
      <c r="J8958" s="19"/>
      <c r="L8958" s="21">
        <v>2.7599999999999998</v>
      </c>
      <c r="M8958" s="22">
        <v>0</v>
      </c>
      <c r="N8958" s="21">
        <v>2.7200000000000002</v>
      </c>
      <c r="O8958" s="22">
        <v>0</v>
      </c>
    </row>
    <row r="8959" ht="38.25">
      <c r="A8959" t="s">
        <v>9054</v>
      </c>
      <c r="B8959" s="19">
        <v>98282</v>
      </c>
      <c r="C8959" s="20" t="s">
        <v>9073</v>
      </c>
      <c r="D8959" s="19" t="s">
        <v>38</v>
      </c>
      <c r="E8959" s="21">
        <f t="shared" si="416"/>
        <v>8.1600000000000001</v>
      </c>
      <c r="F8959" s="22">
        <v>0.53000000000000003</v>
      </c>
      <c r="G8959" s="21">
        <f t="shared" si="417"/>
        <v>7.8099999999999996</v>
      </c>
      <c r="H8959" s="22">
        <v>0.54000000000000004</v>
      </c>
      <c r="I8959" s="23" t="str">
        <f t="shared" si="418"/>
        <v xml:space="preserve">COM VALOR</v>
      </c>
      <c r="J8959" s="19"/>
      <c r="L8959" s="21">
        <v>8.1600000000000001</v>
      </c>
      <c r="M8959" s="22">
        <v>0</v>
      </c>
      <c r="N8959" s="21">
        <v>7.8099999999999996</v>
      </c>
      <c r="O8959" s="22">
        <v>0</v>
      </c>
    </row>
    <row r="8960" ht="25.5">
      <c r="A8960" t="s">
        <v>9054</v>
      </c>
      <c r="B8960" s="19">
        <v>98263</v>
      </c>
      <c r="C8960" s="20" t="s">
        <v>9074</v>
      </c>
      <c r="D8960" s="19" t="s">
        <v>38</v>
      </c>
      <c r="E8960" s="21">
        <f t="shared" si="416"/>
        <v>4.79</v>
      </c>
      <c r="F8960" s="22">
        <v>0.53000000000000003</v>
      </c>
      <c r="G8960" s="21">
        <f t="shared" si="417"/>
        <v>4.6299999999999999</v>
      </c>
      <c r="H8960" s="22">
        <v>0.54000000000000004</v>
      </c>
      <c r="I8960" s="23" t="str">
        <f t="shared" si="418"/>
        <v xml:space="preserve">COM VALOR</v>
      </c>
      <c r="J8960" s="19"/>
      <c r="L8960" s="21">
        <v>4.79</v>
      </c>
      <c r="M8960" s="22">
        <v>0</v>
      </c>
      <c r="N8960" s="21">
        <v>4.6299999999999999</v>
      </c>
      <c r="O8960" s="22">
        <v>0</v>
      </c>
    </row>
    <row r="8961" ht="38.25">
      <c r="A8961" t="s">
        <v>9054</v>
      </c>
      <c r="B8961" s="19">
        <v>98290</v>
      </c>
      <c r="C8961" s="20" t="s">
        <v>9075</v>
      </c>
      <c r="D8961" s="19" t="s">
        <v>38</v>
      </c>
      <c r="E8961" s="21">
        <f t="shared" si="416"/>
        <v>3.8399999999999999</v>
      </c>
      <c r="F8961" s="22">
        <v>0.53000000000000003</v>
      </c>
      <c r="G8961" s="21">
        <f t="shared" si="417"/>
        <v>3.7799999999999998</v>
      </c>
      <c r="H8961" s="22">
        <v>0.54000000000000004</v>
      </c>
      <c r="I8961" s="23" t="str">
        <f t="shared" si="418"/>
        <v xml:space="preserve">COM VALOR</v>
      </c>
      <c r="J8961" s="19"/>
      <c r="L8961" s="21">
        <v>3.8399999999999999</v>
      </c>
      <c r="M8961" s="22">
        <v>0</v>
      </c>
      <c r="N8961" s="21">
        <v>3.7799999999999998</v>
      </c>
      <c r="O8961" s="22">
        <v>0</v>
      </c>
    </row>
    <row r="8962" ht="38.25">
      <c r="A8962" t="s">
        <v>9054</v>
      </c>
      <c r="B8962" s="19">
        <v>98283</v>
      </c>
      <c r="C8962" s="20" t="s">
        <v>9076</v>
      </c>
      <c r="D8962" s="19" t="s">
        <v>38</v>
      </c>
      <c r="E8962" s="21">
        <f t="shared" si="416"/>
        <v>9.2400000000000002</v>
      </c>
      <c r="F8962" s="22">
        <v>0</v>
      </c>
      <c r="G8962" s="21">
        <f t="shared" si="417"/>
        <v>8.8699999999999992</v>
      </c>
      <c r="H8962" s="22">
        <v>0</v>
      </c>
      <c r="I8962" s="23" t="str">
        <f t="shared" si="418"/>
        <v xml:space="preserve">COM VALOR</v>
      </c>
      <c r="J8962" s="19"/>
      <c r="L8962" s="21">
        <v>9.2400000000000002</v>
      </c>
      <c r="M8962" s="22">
        <v>0</v>
      </c>
      <c r="N8962" s="21">
        <v>8.8699999999999992</v>
      </c>
      <c r="O8962" s="22">
        <v>0</v>
      </c>
    </row>
    <row r="8963" ht="25.5">
      <c r="A8963" t="s">
        <v>9054</v>
      </c>
      <c r="B8963" s="19">
        <v>98264</v>
      </c>
      <c r="C8963" s="20" t="s">
        <v>9077</v>
      </c>
      <c r="D8963" s="19" t="s">
        <v>38</v>
      </c>
      <c r="E8963" s="21">
        <f t="shared" si="416"/>
        <v>5.8600000000000003</v>
      </c>
      <c r="F8963" s="22">
        <v>0</v>
      </c>
      <c r="G8963" s="21">
        <f t="shared" si="417"/>
        <v>5.6900000000000004</v>
      </c>
      <c r="H8963" s="22">
        <v>0</v>
      </c>
      <c r="I8963" s="23" t="str">
        <f t="shared" si="418"/>
        <v xml:space="preserve">COM VALOR</v>
      </c>
      <c r="J8963" s="19"/>
      <c r="L8963" s="21">
        <v>5.8600000000000003</v>
      </c>
      <c r="M8963" s="22">
        <v>0</v>
      </c>
      <c r="N8963" s="21">
        <v>5.6900000000000004</v>
      </c>
      <c r="O8963" s="22">
        <v>0</v>
      </c>
    </row>
    <row r="8964" ht="25.5">
      <c r="A8964" t="s">
        <v>9054</v>
      </c>
      <c r="B8964" s="19">
        <v>98273</v>
      </c>
      <c r="C8964" s="20" t="s">
        <v>9078</v>
      </c>
      <c r="D8964" s="19" t="s">
        <v>38</v>
      </c>
      <c r="E8964" s="21">
        <f t="shared" si="416"/>
        <v>3.2400000000000002</v>
      </c>
      <c r="F8964" s="22">
        <v>0</v>
      </c>
      <c r="G8964" s="21">
        <f t="shared" si="417"/>
        <v>3.21</v>
      </c>
      <c r="H8964" s="22">
        <v>0</v>
      </c>
      <c r="I8964" s="23" t="str">
        <f t="shared" si="418"/>
        <v xml:space="preserve">COM VALOR</v>
      </c>
      <c r="J8964" s="19"/>
      <c r="L8964" s="21">
        <v>3.2400000000000002</v>
      </c>
      <c r="M8964" s="22">
        <v>0</v>
      </c>
      <c r="N8964" s="21">
        <v>3.21</v>
      </c>
      <c r="O8964" s="22">
        <v>0</v>
      </c>
    </row>
    <row r="8965" ht="38.25">
      <c r="A8965" t="s">
        <v>9054</v>
      </c>
      <c r="B8965" s="19">
        <v>98291</v>
      </c>
      <c r="C8965" s="20" t="s">
        <v>9079</v>
      </c>
      <c r="D8965" s="19" t="s">
        <v>38</v>
      </c>
      <c r="E8965" s="21">
        <f t="shared" si="416"/>
        <v>4.5300000000000002</v>
      </c>
      <c r="F8965" s="22">
        <v>0</v>
      </c>
      <c r="G8965" s="21">
        <f t="shared" si="417"/>
        <v>4.4699999999999998</v>
      </c>
      <c r="H8965" s="22">
        <v>0</v>
      </c>
      <c r="I8965" s="23" t="str">
        <f t="shared" si="418"/>
        <v xml:space="preserve">COM VALOR</v>
      </c>
      <c r="J8965" s="19"/>
      <c r="L8965" s="21">
        <v>4.5300000000000002</v>
      </c>
      <c r="M8965" s="22">
        <v>0</v>
      </c>
      <c r="N8965" s="21">
        <v>4.4699999999999998</v>
      </c>
      <c r="O8965" s="22">
        <v>0</v>
      </c>
    </row>
    <row r="8966" ht="38.25">
      <c r="A8966" t="s">
        <v>9054</v>
      </c>
      <c r="B8966" s="19">
        <v>98284</v>
      </c>
      <c r="C8966" s="20" t="s">
        <v>9080</v>
      </c>
      <c r="D8966" s="19" t="s">
        <v>38</v>
      </c>
      <c r="E8966" s="21">
        <f t="shared" si="416"/>
        <v>9.9399999999999995</v>
      </c>
      <c r="F8966" s="22">
        <v>0</v>
      </c>
      <c r="G8966" s="21">
        <f t="shared" si="417"/>
        <v>9.5800000000000001</v>
      </c>
      <c r="H8966" s="22">
        <v>0</v>
      </c>
      <c r="I8966" s="23" t="str">
        <f t="shared" si="418"/>
        <v xml:space="preserve">COM VALOR</v>
      </c>
      <c r="J8966" s="19"/>
      <c r="L8966" s="21">
        <v>9.9399999999999995</v>
      </c>
      <c r="M8966" s="22">
        <v>0</v>
      </c>
      <c r="N8966" s="21">
        <v>9.5800000000000001</v>
      </c>
      <c r="O8966" s="22">
        <v>0</v>
      </c>
    </row>
    <row r="8967" ht="25.5">
      <c r="A8967" t="s">
        <v>9054</v>
      </c>
      <c r="B8967" s="19">
        <v>98265</v>
      </c>
      <c r="C8967" s="20" t="s">
        <v>9081</v>
      </c>
      <c r="D8967" s="19" t="s">
        <v>38</v>
      </c>
      <c r="E8967" s="21">
        <f t="shared" si="416"/>
        <v>6.5599999999999996</v>
      </c>
      <c r="F8967" s="22">
        <v>0</v>
      </c>
      <c r="G8967" s="21">
        <f t="shared" si="417"/>
        <v>6.3899999999999997</v>
      </c>
      <c r="H8967" s="22">
        <v>0</v>
      </c>
      <c r="I8967" s="23" t="str">
        <f t="shared" si="418"/>
        <v xml:space="preserve">COM VALOR</v>
      </c>
      <c r="J8967" s="19"/>
      <c r="L8967" s="21">
        <v>6.5599999999999996</v>
      </c>
      <c r="M8967" s="22">
        <v>0</v>
      </c>
      <c r="N8967" s="21">
        <v>6.3899999999999997</v>
      </c>
      <c r="O8967" s="22">
        <v>0</v>
      </c>
    </row>
    <row r="8968" ht="25.5">
      <c r="A8968" t="s">
        <v>9054</v>
      </c>
      <c r="B8968" s="19">
        <v>98274</v>
      </c>
      <c r="C8968" s="20" t="s">
        <v>9082</v>
      </c>
      <c r="D8968" s="19" t="s">
        <v>38</v>
      </c>
      <c r="E8968" s="21">
        <f t="shared" si="416"/>
        <v>3.9300000000000002</v>
      </c>
      <c r="F8968" s="22">
        <v>0</v>
      </c>
      <c r="G8968" s="21">
        <f t="shared" si="417"/>
        <v>3.9199999999999999</v>
      </c>
      <c r="H8968" s="22">
        <v>0</v>
      </c>
      <c r="I8968" s="23" t="str">
        <f t="shared" si="418"/>
        <v xml:space="preserve">COM VALOR</v>
      </c>
      <c r="J8968" s="19"/>
      <c r="L8968" s="21">
        <v>3.9300000000000002</v>
      </c>
      <c r="M8968" s="22">
        <v>0</v>
      </c>
      <c r="N8968" s="21">
        <v>3.9199999999999999</v>
      </c>
      <c r="O8968" s="22">
        <v>0</v>
      </c>
    </row>
    <row r="8969" ht="38.25">
      <c r="A8969" t="s">
        <v>9054</v>
      </c>
      <c r="B8969" s="19">
        <v>98292</v>
      </c>
      <c r="C8969" s="20" t="s">
        <v>9083</v>
      </c>
      <c r="D8969" s="19" t="s">
        <v>38</v>
      </c>
      <c r="E8969" s="21">
        <f t="shared" si="416"/>
        <v>5.54</v>
      </c>
      <c r="F8969" s="22">
        <v>0</v>
      </c>
      <c r="G8969" s="21">
        <f t="shared" si="417"/>
        <v>5.4800000000000004</v>
      </c>
      <c r="H8969" s="22">
        <v>0</v>
      </c>
      <c r="I8969" s="23" t="str">
        <f t="shared" si="418"/>
        <v xml:space="preserve">COM VALOR</v>
      </c>
      <c r="J8969" s="19"/>
      <c r="L8969" s="21">
        <v>5.54</v>
      </c>
      <c r="M8969" s="22">
        <v>0</v>
      </c>
      <c r="N8969" s="21">
        <v>5.4800000000000004</v>
      </c>
      <c r="O8969" s="22">
        <v>0</v>
      </c>
    </row>
    <row r="8970" ht="38.25">
      <c r="A8970" t="s">
        <v>9054</v>
      </c>
      <c r="B8970" s="19">
        <v>98285</v>
      </c>
      <c r="C8970" s="20" t="s">
        <v>9084</v>
      </c>
      <c r="D8970" s="19" t="s">
        <v>38</v>
      </c>
      <c r="E8970" s="21">
        <f t="shared" si="416"/>
        <v>10.94</v>
      </c>
      <c r="F8970" s="22">
        <v>0.11</v>
      </c>
      <c r="G8970" s="21">
        <f t="shared" si="417"/>
        <v>10.57</v>
      </c>
      <c r="H8970" s="22">
        <v>0.12</v>
      </c>
      <c r="I8970" s="23" t="str">
        <f t="shared" si="418"/>
        <v xml:space="preserve">COM VALOR</v>
      </c>
      <c r="J8970" s="19"/>
      <c r="L8970" s="21">
        <v>10.94</v>
      </c>
      <c r="M8970" s="22">
        <v>0</v>
      </c>
      <c r="N8970" s="21">
        <v>10.57</v>
      </c>
      <c r="O8970" s="22">
        <v>0</v>
      </c>
    </row>
    <row r="8971" ht="25.5">
      <c r="A8971" t="s">
        <v>9054</v>
      </c>
      <c r="B8971" s="19">
        <v>98266</v>
      </c>
      <c r="C8971" s="20" t="s">
        <v>9085</v>
      </c>
      <c r="D8971" s="19" t="s">
        <v>38</v>
      </c>
      <c r="E8971" s="21">
        <f t="shared" ref="E8971:E9034" si="419">IF(L8971=0,"VERIFICAR",L8971)</f>
        <v>7.5499999999999998</v>
      </c>
      <c r="F8971" s="22">
        <v>0.11</v>
      </c>
      <c r="G8971" s="21">
        <f t="shared" ref="G8971:G9034" si="420">IF(N8971=0,"VERIFICAR",N8971)</f>
        <v>7.3799999999999999</v>
      </c>
      <c r="H8971" s="22">
        <v>0.11</v>
      </c>
      <c r="I8971" s="23" t="str">
        <f t="shared" ref="I8971:I9034" si="421">IF(OR(E8971=0,G8971=0),"SEM VALOR","COM VALOR")</f>
        <v xml:space="preserve">COM VALOR</v>
      </c>
      <c r="J8971" s="19"/>
      <c r="L8971" s="21">
        <v>7.5499999999999998</v>
      </c>
      <c r="M8971" s="22">
        <v>0</v>
      </c>
      <c r="N8971" s="21">
        <v>7.3799999999999999</v>
      </c>
      <c r="O8971" s="22">
        <v>0</v>
      </c>
    </row>
    <row r="8972" ht="25.5">
      <c r="A8972" t="s">
        <v>9054</v>
      </c>
      <c r="B8972" s="19">
        <v>98275</v>
      </c>
      <c r="C8972" s="20" t="s">
        <v>9086</v>
      </c>
      <c r="D8972" s="19" t="s">
        <v>38</v>
      </c>
      <c r="E8972" s="21">
        <f t="shared" si="419"/>
        <v>4.9299999999999997</v>
      </c>
      <c r="F8972" s="22">
        <v>0.10000000000000001</v>
      </c>
      <c r="G8972" s="21">
        <f t="shared" si="420"/>
        <v>4.9100000000000001</v>
      </c>
      <c r="H8972" s="22">
        <v>0.11</v>
      </c>
      <c r="I8972" s="23" t="str">
        <f t="shared" si="421"/>
        <v xml:space="preserve">COM VALOR</v>
      </c>
      <c r="J8972" s="19"/>
      <c r="L8972" s="21">
        <v>4.9299999999999997</v>
      </c>
      <c r="M8972" s="22">
        <v>0</v>
      </c>
      <c r="N8972" s="21">
        <v>4.9100000000000001</v>
      </c>
      <c r="O8972" s="22">
        <v>0</v>
      </c>
    </row>
    <row r="8973" ht="25.5">
      <c r="A8973" t="s">
        <v>9054</v>
      </c>
      <c r="B8973" s="19">
        <v>98293</v>
      </c>
      <c r="C8973" s="20" t="s">
        <v>9087</v>
      </c>
      <c r="D8973" s="19" t="s">
        <v>38</v>
      </c>
      <c r="E8973" s="21">
        <f t="shared" si="419"/>
        <v>10.16</v>
      </c>
      <c r="F8973" s="22">
        <v>0.11</v>
      </c>
      <c r="G8973" s="21">
        <f t="shared" si="420"/>
        <v>10.050000000000001</v>
      </c>
      <c r="H8973" s="22">
        <v>0.11</v>
      </c>
      <c r="I8973" s="23" t="str">
        <f t="shared" si="421"/>
        <v xml:space="preserve">COM VALOR</v>
      </c>
      <c r="J8973" s="19"/>
      <c r="L8973" s="21">
        <v>10.16</v>
      </c>
      <c r="M8973" s="22">
        <v>0</v>
      </c>
      <c r="N8973" s="21">
        <v>10.050000000000001</v>
      </c>
      <c r="O8973" s="22">
        <v>0</v>
      </c>
    </row>
    <row r="8974" ht="25.5">
      <c r="A8974" t="s">
        <v>9054</v>
      </c>
      <c r="B8974" s="19">
        <v>98286</v>
      </c>
      <c r="C8974" s="20" t="s">
        <v>9088</v>
      </c>
      <c r="D8974" s="19" t="s">
        <v>38</v>
      </c>
      <c r="E8974" s="21">
        <f t="shared" si="419"/>
        <v>15.56</v>
      </c>
      <c r="F8974" s="22">
        <v>0</v>
      </c>
      <c r="G8974" s="21">
        <f t="shared" si="420"/>
        <v>15.140000000000001</v>
      </c>
      <c r="H8974" s="22">
        <v>0</v>
      </c>
      <c r="I8974" s="23" t="str">
        <f t="shared" si="421"/>
        <v xml:space="preserve">COM VALOR</v>
      </c>
      <c r="J8974" s="19"/>
      <c r="L8974" s="21">
        <v>15.56</v>
      </c>
      <c r="M8974" s="22">
        <v>0</v>
      </c>
      <c r="N8974" s="21">
        <v>15.140000000000001</v>
      </c>
      <c r="O8974" s="22">
        <v>0</v>
      </c>
    </row>
    <row r="8975" ht="25.5">
      <c r="A8975" t="s">
        <v>9054</v>
      </c>
      <c r="B8975" s="19">
        <v>98267</v>
      </c>
      <c r="C8975" s="20" t="s">
        <v>9089</v>
      </c>
      <c r="D8975" s="19" t="s">
        <v>38</v>
      </c>
      <c r="E8975" s="21">
        <f t="shared" si="419"/>
        <v>12.19</v>
      </c>
      <c r="F8975" s="22">
        <v>0</v>
      </c>
      <c r="G8975" s="21">
        <f t="shared" si="420"/>
        <v>11.960000000000001</v>
      </c>
      <c r="H8975" s="22">
        <v>0</v>
      </c>
      <c r="I8975" s="23" t="str">
        <f t="shared" si="421"/>
        <v xml:space="preserve">COM VALOR</v>
      </c>
      <c r="J8975" s="19"/>
      <c r="L8975" s="21">
        <v>12.19</v>
      </c>
      <c r="M8975" s="22">
        <v>0</v>
      </c>
      <c r="N8975" s="21">
        <v>11.960000000000001</v>
      </c>
      <c r="O8975" s="22">
        <v>0</v>
      </c>
    </row>
    <row r="8976" ht="25.5">
      <c r="A8976" t="s">
        <v>9054</v>
      </c>
      <c r="B8976" s="19">
        <v>98276</v>
      </c>
      <c r="C8976" s="20" t="s">
        <v>9090</v>
      </c>
      <c r="D8976" s="19" t="s">
        <v>38</v>
      </c>
      <c r="E8976" s="21">
        <f t="shared" si="419"/>
        <v>9.5600000000000005</v>
      </c>
      <c r="F8976" s="22">
        <v>0</v>
      </c>
      <c r="G8976" s="21">
        <f t="shared" si="420"/>
        <v>9.4800000000000004</v>
      </c>
      <c r="H8976" s="22">
        <v>0</v>
      </c>
      <c r="I8976" s="23" t="str">
        <f t="shared" si="421"/>
        <v xml:space="preserve">COM VALOR</v>
      </c>
      <c r="J8976" s="19"/>
      <c r="L8976" s="21">
        <v>9.5600000000000005</v>
      </c>
      <c r="M8976" s="22">
        <v>0</v>
      </c>
      <c r="N8976" s="21">
        <v>9.4800000000000004</v>
      </c>
      <c r="O8976" s="22">
        <v>0</v>
      </c>
    </row>
    <row r="8977" ht="25.5">
      <c r="A8977" t="s">
        <v>9054</v>
      </c>
      <c r="B8977" s="19">
        <v>98268</v>
      </c>
      <c r="C8977" s="20" t="s">
        <v>9091</v>
      </c>
      <c r="D8977" s="19" t="s">
        <v>38</v>
      </c>
      <c r="E8977" s="21">
        <f t="shared" si="419"/>
        <v>20.09</v>
      </c>
      <c r="F8977" s="22">
        <v>0</v>
      </c>
      <c r="G8977" s="21">
        <f t="shared" si="420"/>
        <v>19.829999999999998</v>
      </c>
      <c r="H8977" s="22">
        <v>0</v>
      </c>
      <c r="I8977" s="23" t="str">
        <f t="shared" si="421"/>
        <v xml:space="preserve">COM VALOR</v>
      </c>
      <c r="J8977" s="19"/>
      <c r="L8977" s="21">
        <v>20.09</v>
      </c>
      <c r="M8977" s="22">
        <v>0</v>
      </c>
      <c r="N8977" s="21">
        <v>19.829999999999998</v>
      </c>
      <c r="O8977" s="22">
        <v>0</v>
      </c>
    </row>
    <row r="8978" ht="25.5">
      <c r="A8978" t="s">
        <v>9054</v>
      </c>
      <c r="B8978" s="19">
        <v>98277</v>
      </c>
      <c r="C8978" s="20" t="s">
        <v>9092</v>
      </c>
      <c r="D8978" s="19" t="s">
        <v>38</v>
      </c>
      <c r="E8978" s="21">
        <f t="shared" si="419"/>
        <v>17.460000000000001</v>
      </c>
      <c r="F8978" s="22">
        <v>0</v>
      </c>
      <c r="G8978" s="21">
        <f t="shared" si="420"/>
        <v>17.350000000000001</v>
      </c>
      <c r="H8978" s="22">
        <v>0</v>
      </c>
      <c r="I8978" s="23" t="str">
        <f t="shared" si="421"/>
        <v xml:space="preserve">COM VALOR</v>
      </c>
      <c r="J8978" s="19"/>
      <c r="L8978" s="21">
        <v>17.460000000000001</v>
      </c>
      <c r="M8978" s="22">
        <v>0</v>
      </c>
      <c r="N8978" s="21">
        <v>17.350000000000001</v>
      </c>
      <c r="O8978" s="22">
        <v>0</v>
      </c>
    </row>
    <row r="8979" ht="25.5">
      <c r="A8979" t="s">
        <v>9054</v>
      </c>
      <c r="B8979" s="19">
        <v>98272</v>
      </c>
      <c r="C8979" s="20" t="s">
        <v>9093</v>
      </c>
      <c r="D8979" s="19" t="s">
        <v>38</v>
      </c>
      <c r="E8979" s="21">
        <f t="shared" si="419"/>
        <v>138.93000000000001</v>
      </c>
      <c r="F8979" s="22">
        <v>0</v>
      </c>
      <c r="G8979" s="21">
        <f t="shared" si="420"/>
        <v>138.46000000000001</v>
      </c>
      <c r="H8979" s="22">
        <v>0</v>
      </c>
      <c r="I8979" s="23" t="str">
        <f t="shared" si="421"/>
        <v xml:space="preserve">COM VALOR</v>
      </c>
      <c r="J8979" s="19"/>
      <c r="L8979" s="21">
        <v>138.93000000000001</v>
      </c>
      <c r="M8979" s="22">
        <v>0</v>
      </c>
      <c r="N8979" s="21">
        <v>138.46000000000001</v>
      </c>
      <c r="O8979" s="22">
        <v>0</v>
      </c>
    </row>
    <row r="8980" ht="25.5">
      <c r="A8980" t="s">
        <v>9054</v>
      </c>
      <c r="B8980" s="19">
        <v>98269</v>
      </c>
      <c r="C8980" s="20" t="s">
        <v>9094</v>
      </c>
      <c r="D8980" s="19" t="s">
        <v>38</v>
      </c>
      <c r="E8980" s="21">
        <f t="shared" si="419"/>
        <v>27.739999999999998</v>
      </c>
      <c r="F8980" s="22">
        <v>0</v>
      </c>
      <c r="G8980" s="21">
        <f t="shared" si="420"/>
        <v>27.460000000000001</v>
      </c>
      <c r="H8980" s="22">
        <v>0</v>
      </c>
      <c r="I8980" s="23" t="str">
        <f t="shared" si="421"/>
        <v xml:space="preserve">COM VALOR</v>
      </c>
      <c r="J8980" s="19"/>
      <c r="L8980" s="21">
        <v>27.739999999999998</v>
      </c>
      <c r="M8980" s="22">
        <v>0</v>
      </c>
      <c r="N8980" s="21">
        <v>27.460000000000001</v>
      </c>
      <c r="O8980" s="22">
        <v>0</v>
      </c>
    </row>
    <row r="8981" ht="25.5">
      <c r="A8981" t="s">
        <v>9054</v>
      </c>
      <c r="B8981" s="19">
        <v>98278</v>
      </c>
      <c r="C8981" s="20" t="s">
        <v>9095</v>
      </c>
      <c r="D8981" s="19" t="s">
        <v>38</v>
      </c>
      <c r="E8981" s="21">
        <f t="shared" si="419"/>
        <v>25.109999999999999</v>
      </c>
      <c r="F8981" s="22">
        <v>0</v>
      </c>
      <c r="G8981" s="21">
        <f t="shared" si="420"/>
        <v>24.989999999999998</v>
      </c>
      <c r="H8981" s="22">
        <v>0</v>
      </c>
      <c r="I8981" s="23" t="str">
        <f t="shared" si="421"/>
        <v xml:space="preserve">COM VALOR</v>
      </c>
      <c r="J8981" s="19"/>
      <c r="L8981" s="21">
        <v>25.109999999999999</v>
      </c>
      <c r="M8981" s="22">
        <v>0</v>
      </c>
      <c r="N8981" s="21">
        <v>24.989999999999998</v>
      </c>
      <c r="O8981" s="22">
        <v>0</v>
      </c>
    </row>
    <row r="8982" ht="25.5">
      <c r="A8982" t="s">
        <v>9054</v>
      </c>
      <c r="B8982" s="19">
        <v>98270</v>
      </c>
      <c r="C8982" s="20" t="s">
        <v>9096</v>
      </c>
      <c r="D8982" s="19" t="s">
        <v>38</v>
      </c>
      <c r="E8982" s="21">
        <f t="shared" si="419"/>
        <v>42.340000000000003</v>
      </c>
      <c r="F8982" s="22">
        <v>0</v>
      </c>
      <c r="G8982" s="21">
        <f t="shared" si="420"/>
        <v>42.020000000000003</v>
      </c>
      <c r="H8982" s="22">
        <v>0</v>
      </c>
      <c r="I8982" s="23" t="str">
        <f t="shared" si="421"/>
        <v xml:space="preserve">COM VALOR</v>
      </c>
      <c r="J8982" s="19"/>
      <c r="L8982" s="21">
        <v>42.340000000000003</v>
      </c>
      <c r="M8982" s="22">
        <v>0</v>
      </c>
      <c r="N8982" s="21">
        <v>42.020000000000003</v>
      </c>
      <c r="O8982" s="22">
        <v>0</v>
      </c>
    </row>
    <row r="8983" ht="25.5">
      <c r="A8983" t="s">
        <v>9054</v>
      </c>
      <c r="B8983" s="19">
        <v>98279</v>
      </c>
      <c r="C8983" s="20" t="s">
        <v>9097</v>
      </c>
      <c r="D8983" s="19" t="s">
        <v>38</v>
      </c>
      <c r="E8983" s="21">
        <f t="shared" si="419"/>
        <v>39.710000000000001</v>
      </c>
      <c r="F8983" s="22">
        <v>0</v>
      </c>
      <c r="G8983" s="21">
        <f t="shared" si="420"/>
        <v>39.539999999999999</v>
      </c>
      <c r="H8983" s="22">
        <v>0</v>
      </c>
      <c r="I8983" s="23" t="str">
        <f t="shared" si="421"/>
        <v xml:space="preserve">COM VALOR</v>
      </c>
      <c r="J8983" s="19"/>
      <c r="L8983" s="21">
        <v>39.710000000000001</v>
      </c>
      <c r="M8983" s="22">
        <v>0</v>
      </c>
      <c r="N8983" s="21">
        <v>39.539999999999999</v>
      </c>
      <c r="O8983" s="22">
        <v>0</v>
      </c>
    </row>
    <row r="8984" ht="25.5">
      <c r="A8984" t="s">
        <v>9054</v>
      </c>
      <c r="B8984" s="19">
        <v>98271</v>
      </c>
      <c r="C8984" s="20" t="s">
        <v>9098</v>
      </c>
      <c r="D8984" s="19" t="s">
        <v>38</v>
      </c>
      <c r="E8984" s="21">
        <f t="shared" si="419"/>
        <v>59.950000000000003</v>
      </c>
      <c r="F8984" s="22">
        <v>0.33000000000000002</v>
      </c>
      <c r="G8984" s="21">
        <f t="shared" si="420"/>
        <v>59.600000000000001</v>
      </c>
      <c r="H8984" s="22">
        <v>0.34999999999999998</v>
      </c>
      <c r="I8984" s="23" t="str">
        <f t="shared" si="421"/>
        <v xml:space="preserve">COM VALOR</v>
      </c>
      <c r="J8984" s="19"/>
      <c r="L8984" s="21">
        <v>59.950000000000003</v>
      </c>
      <c r="M8984" s="22">
        <v>0</v>
      </c>
      <c r="N8984" s="21">
        <v>59.600000000000001</v>
      </c>
      <c r="O8984" s="22">
        <v>0</v>
      </c>
    </row>
    <row r="8985" ht="25.5">
      <c r="A8985" t="s">
        <v>9054</v>
      </c>
      <c r="B8985" s="19">
        <v>98400</v>
      </c>
      <c r="C8985" s="20" t="s">
        <v>9099</v>
      </c>
      <c r="D8985" s="19" t="s">
        <v>38</v>
      </c>
      <c r="E8985" s="21">
        <f t="shared" si="419"/>
        <v>15.210000000000001</v>
      </c>
      <c r="F8985" s="22">
        <v>0</v>
      </c>
      <c r="G8985" s="21">
        <f t="shared" si="420"/>
        <v>14.98</v>
      </c>
      <c r="H8985" s="22">
        <v>0</v>
      </c>
      <c r="I8985" s="23" t="str">
        <f t="shared" si="421"/>
        <v xml:space="preserve">COM VALOR</v>
      </c>
      <c r="J8985" s="19"/>
      <c r="L8985" s="21">
        <v>15.210000000000001</v>
      </c>
      <c r="M8985" s="22">
        <v>0</v>
      </c>
      <c r="N8985" s="21">
        <v>14.98</v>
      </c>
      <c r="O8985" s="22">
        <v>0</v>
      </c>
    </row>
    <row r="8986" ht="25.5">
      <c r="A8986" t="s">
        <v>9054</v>
      </c>
      <c r="B8986" s="19">
        <v>98401</v>
      </c>
      <c r="C8986" s="20" t="s">
        <v>9100</v>
      </c>
      <c r="D8986" s="19" t="s">
        <v>38</v>
      </c>
      <c r="E8986" s="21">
        <f t="shared" si="419"/>
        <v>24.280000000000001</v>
      </c>
      <c r="F8986" s="22">
        <v>0.47999999999999998</v>
      </c>
      <c r="G8986" s="21">
        <f t="shared" si="420"/>
        <v>24.02</v>
      </c>
      <c r="H8986" s="22">
        <v>0.5</v>
      </c>
      <c r="I8986" s="23" t="str">
        <f t="shared" si="421"/>
        <v xml:space="preserve">COM VALOR</v>
      </c>
      <c r="J8986" s="19"/>
      <c r="L8986" s="21">
        <v>24.280000000000001</v>
      </c>
      <c r="M8986" s="22">
        <v>0</v>
      </c>
      <c r="N8986" s="21">
        <v>24.02</v>
      </c>
      <c r="O8986" s="22">
        <v>0</v>
      </c>
    </row>
    <row r="8987" ht="25.5">
      <c r="A8987" t="s">
        <v>9054</v>
      </c>
      <c r="B8987" s="19">
        <v>98402</v>
      </c>
      <c r="C8987" s="20" t="s">
        <v>9101</v>
      </c>
      <c r="D8987" s="19" t="s">
        <v>38</v>
      </c>
      <c r="E8987" s="21">
        <f t="shared" si="419"/>
        <v>28.390000000000001</v>
      </c>
      <c r="F8987" s="22">
        <v>0.17999999999999999</v>
      </c>
      <c r="G8987" s="21">
        <f t="shared" si="420"/>
        <v>28.109999999999999</v>
      </c>
      <c r="H8987" s="22">
        <v>0.19</v>
      </c>
      <c r="I8987" s="23" t="str">
        <f t="shared" si="421"/>
        <v xml:space="preserve">COM VALOR</v>
      </c>
      <c r="J8987" s="19"/>
      <c r="L8987" s="21">
        <v>28.390000000000001</v>
      </c>
      <c r="M8987" s="22">
        <v>0</v>
      </c>
      <c r="N8987" s="21">
        <v>28.109999999999999</v>
      </c>
      <c r="O8987" s="22">
        <v>0</v>
      </c>
    </row>
    <row r="8988" ht="25.5">
      <c r="A8988" t="s">
        <v>9054</v>
      </c>
      <c r="B8988" s="19">
        <v>100556</v>
      </c>
      <c r="C8988" s="20" t="s">
        <v>9102</v>
      </c>
      <c r="D8988" s="19" t="s">
        <v>31</v>
      </c>
      <c r="E8988" s="21">
        <f t="shared" si="419"/>
        <v>29.82</v>
      </c>
      <c r="F8988" s="22">
        <v>0.19</v>
      </c>
      <c r="G8988" s="21">
        <f t="shared" si="420"/>
        <v>29.199999999999999</v>
      </c>
      <c r="H8988" s="22">
        <v>0.19</v>
      </c>
      <c r="I8988" s="23" t="str">
        <f t="shared" si="421"/>
        <v xml:space="preserve">COM VALOR</v>
      </c>
      <c r="J8988" s="19"/>
      <c r="L8988" s="21">
        <v>29.82</v>
      </c>
      <c r="M8988" s="22">
        <v>0.64000000000000001</v>
      </c>
      <c r="N8988" s="21">
        <v>29.199999999999999</v>
      </c>
      <c r="O8988" s="22">
        <v>0.65000000000000002</v>
      </c>
    </row>
    <row r="8989" ht="25.5">
      <c r="A8989" t="s">
        <v>9054</v>
      </c>
      <c r="B8989" s="19">
        <v>106083</v>
      </c>
      <c r="C8989" s="20" t="s">
        <v>9103</v>
      </c>
      <c r="D8989" s="19" t="s">
        <v>31</v>
      </c>
      <c r="E8989" s="21" t="str">
        <f t="shared" si="419"/>
        <v>VERIFICAR</v>
      </c>
      <c r="F8989" s="22">
        <v>0.17000000000000001</v>
      </c>
      <c r="G8989" s="21" t="str">
        <f t="shared" si="420"/>
        <v>VERIFICAR</v>
      </c>
      <c r="H8989" s="22">
        <v>0.17000000000000001</v>
      </c>
      <c r="I8989" s="23" t="str">
        <f t="shared" si="421"/>
        <v xml:space="preserve">COM VALOR</v>
      </c>
      <c r="J8989" s="19"/>
      <c r="L8989" s="21">
        <v>0</v>
      </c>
      <c r="M8989" s="22"/>
      <c r="N8989" s="21">
        <v>0</v>
      </c>
      <c r="O8989" s="22"/>
    </row>
    <row r="8990" ht="25.5">
      <c r="A8990" t="s">
        <v>9054</v>
      </c>
      <c r="B8990" s="19">
        <v>100557</v>
      </c>
      <c r="C8990" s="20" t="s">
        <v>9104</v>
      </c>
      <c r="D8990" s="19" t="s">
        <v>31</v>
      </c>
      <c r="E8990" s="21">
        <f t="shared" si="419"/>
        <v>405.69</v>
      </c>
      <c r="F8990" s="22">
        <v>0.22</v>
      </c>
      <c r="G8990" s="21">
        <f t="shared" si="420"/>
        <v>402.81</v>
      </c>
      <c r="H8990" s="22">
        <v>0.23000000000000001</v>
      </c>
      <c r="I8990" s="23" t="str">
        <f t="shared" si="421"/>
        <v xml:space="preserve">COM VALOR</v>
      </c>
      <c r="J8990" s="19"/>
      <c r="L8990" s="21">
        <v>405.69</v>
      </c>
      <c r="M8990" s="22">
        <v>0.88</v>
      </c>
      <c r="N8990" s="21">
        <v>402.81</v>
      </c>
      <c r="O8990" s="22">
        <v>0.88</v>
      </c>
    </row>
    <row r="8991" ht="25.5">
      <c r="A8991" t="s">
        <v>9054</v>
      </c>
      <c r="B8991" s="19">
        <v>106088</v>
      </c>
      <c r="C8991" s="20" t="s">
        <v>9105</v>
      </c>
      <c r="D8991" s="19" t="s">
        <v>31</v>
      </c>
      <c r="E8991" s="21" t="str">
        <f t="shared" si="419"/>
        <v>VERIFICAR</v>
      </c>
      <c r="F8991" s="22">
        <v>0</v>
      </c>
      <c r="G8991" s="21" t="str">
        <f t="shared" si="420"/>
        <v>VERIFICAR</v>
      </c>
      <c r="H8991" s="22">
        <v>0</v>
      </c>
      <c r="I8991" s="23" t="str">
        <f t="shared" si="421"/>
        <v xml:space="preserve">COM VALOR</v>
      </c>
      <c r="J8991" s="19"/>
      <c r="L8991" s="21">
        <v>0</v>
      </c>
      <c r="M8991" s="22"/>
      <c r="N8991" s="21">
        <v>0</v>
      </c>
      <c r="O8991" s="22"/>
    </row>
    <row r="8992" ht="25.5">
      <c r="A8992" t="s">
        <v>9054</v>
      </c>
      <c r="B8992" s="19">
        <v>106081</v>
      </c>
      <c r="C8992" s="20" t="s">
        <v>9106</v>
      </c>
      <c r="D8992" s="19" t="s">
        <v>31</v>
      </c>
      <c r="E8992" s="21" t="str">
        <f t="shared" si="419"/>
        <v>VERIFICAR</v>
      </c>
      <c r="F8992" s="22">
        <v>0</v>
      </c>
      <c r="G8992" s="21" t="str">
        <f t="shared" si="420"/>
        <v>VERIFICAR</v>
      </c>
      <c r="H8992" s="22">
        <v>0</v>
      </c>
      <c r="I8992" s="23" t="str">
        <f t="shared" si="421"/>
        <v xml:space="preserve">COM VALOR</v>
      </c>
      <c r="J8992" s="19"/>
      <c r="L8992" s="21">
        <v>0</v>
      </c>
      <c r="M8992" s="22"/>
      <c r="N8992" s="21">
        <v>0</v>
      </c>
      <c r="O8992" s="22"/>
    </row>
    <row r="8993" ht="25.5">
      <c r="A8993" t="s">
        <v>9054</v>
      </c>
      <c r="B8993" s="19">
        <v>106080</v>
      </c>
      <c r="C8993" s="20" t="s">
        <v>9107</v>
      </c>
      <c r="D8993" s="19" t="s">
        <v>31</v>
      </c>
      <c r="E8993" s="21" t="str">
        <f t="shared" si="419"/>
        <v>VERIFICAR</v>
      </c>
      <c r="F8993" s="22">
        <v>0</v>
      </c>
      <c r="G8993" s="21" t="str">
        <f t="shared" si="420"/>
        <v>VERIFICAR</v>
      </c>
      <c r="H8993" s="22">
        <v>0</v>
      </c>
      <c r="I8993" s="23" t="str">
        <f t="shared" si="421"/>
        <v xml:space="preserve">COM VALOR</v>
      </c>
      <c r="J8993" s="19"/>
      <c r="L8993" s="21">
        <v>0</v>
      </c>
      <c r="M8993" s="22"/>
      <c r="N8993" s="21">
        <v>0</v>
      </c>
      <c r="O8993" s="22"/>
    </row>
    <row r="8994" ht="25.5">
      <c r="A8994" t="s">
        <v>9054</v>
      </c>
      <c r="B8994" s="19">
        <v>98301</v>
      </c>
      <c r="C8994" s="20" t="s">
        <v>9108</v>
      </c>
      <c r="D8994" s="19" t="s">
        <v>31</v>
      </c>
      <c r="E8994" s="21">
        <f t="shared" si="419"/>
        <v>653.59000000000003</v>
      </c>
      <c r="F8994" s="22">
        <v>0</v>
      </c>
      <c r="G8994" s="21">
        <f t="shared" si="420"/>
        <v>637.46000000000004</v>
      </c>
      <c r="H8994" s="22">
        <v>0</v>
      </c>
      <c r="I8994" s="23" t="str">
        <f t="shared" si="421"/>
        <v xml:space="preserve">COM VALOR</v>
      </c>
      <c r="J8994" s="19"/>
      <c r="L8994" s="21">
        <v>653.59000000000003</v>
      </c>
      <c r="M8994" s="22">
        <v>0</v>
      </c>
      <c r="N8994" s="21">
        <v>637.46000000000004</v>
      </c>
      <c r="O8994" s="22">
        <v>0</v>
      </c>
    </row>
    <row r="8995" ht="25.5">
      <c r="A8995" t="s">
        <v>9054</v>
      </c>
      <c r="B8995" s="19">
        <v>98302</v>
      </c>
      <c r="C8995" s="20" t="s">
        <v>9109</v>
      </c>
      <c r="D8995" s="19" t="s">
        <v>31</v>
      </c>
      <c r="E8995" s="21">
        <f t="shared" si="419"/>
        <v>1274.48</v>
      </c>
      <c r="F8995" s="22">
        <v>0</v>
      </c>
      <c r="G8995" s="21">
        <f t="shared" si="420"/>
        <v>1258.3499999999999</v>
      </c>
      <c r="H8995" s="22">
        <v>0</v>
      </c>
      <c r="I8995" s="23" t="str">
        <f t="shared" si="421"/>
        <v xml:space="preserve">COM VALOR</v>
      </c>
      <c r="J8995" s="19"/>
      <c r="L8995" s="21">
        <v>1274.48</v>
      </c>
      <c r="M8995" s="22">
        <v>0</v>
      </c>
      <c r="N8995" s="21">
        <v>1258.3499999999999</v>
      </c>
      <c r="O8995" s="22">
        <v>0</v>
      </c>
    </row>
    <row r="8996" ht="25.5">
      <c r="A8996" t="s">
        <v>9054</v>
      </c>
      <c r="B8996" s="19">
        <v>98593</v>
      </c>
      <c r="C8996" s="20" t="s">
        <v>9110</v>
      </c>
      <c r="D8996" s="19" t="s">
        <v>31</v>
      </c>
      <c r="E8996" s="21">
        <f t="shared" si="419"/>
        <v>2790.0300000000002</v>
      </c>
      <c r="F8996" s="22">
        <v>0.57999999999999996</v>
      </c>
      <c r="G8996" s="21">
        <f t="shared" si="420"/>
        <v>2757.98</v>
      </c>
      <c r="H8996" s="22">
        <v>0.57999999999999996</v>
      </c>
      <c r="I8996" s="23" t="str">
        <f t="shared" si="421"/>
        <v xml:space="preserve">COM VALOR</v>
      </c>
      <c r="J8996" s="19"/>
      <c r="L8996" s="21">
        <v>2790.0300000000002</v>
      </c>
      <c r="M8996" s="22">
        <v>0</v>
      </c>
      <c r="N8996" s="21">
        <v>2757.98</v>
      </c>
      <c r="O8996" s="22">
        <v>0</v>
      </c>
    </row>
    <row r="8997" ht="25.5">
      <c r="A8997" t="s">
        <v>9054</v>
      </c>
      <c r="B8997" s="19">
        <v>98304</v>
      </c>
      <c r="C8997" s="20" t="s">
        <v>9111</v>
      </c>
      <c r="D8997" s="19" t="s">
        <v>31</v>
      </c>
      <c r="E8997" s="21">
        <f t="shared" si="419"/>
        <v>4056.04</v>
      </c>
      <c r="F8997" s="22">
        <v>0.58999999999999997</v>
      </c>
      <c r="G8997" s="21">
        <f t="shared" si="420"/>
        <v>4023.9899999999998</v>
      </c>
      <c r="H8997" s="22">
        <v>0.59999999999999998</v>
      </c>
      <c r="I8997" s="23" t="str">
        <f t="shared" si="421"/>
        <v xml:space="preserve">COM VALOR</v>
      </c>
      <c r="J8997" s="19"/>
      <c r="L8997" s="21">
        <v>4056.04</v>
      </c>
      <c r="M8997" s="22">
        <v>0</v>
      </c>
      <c r="N8997" s="21">
        <v>4023.9899999999998</v>
      </c>
      <c r="O8997" s="22">
        <v>0</v>
      </c>
    </row>
    <row r="8998" ht="25.5">
      <c r="A8998" t="s">
        <v>9054</v>
      </c>
      <c r="B8998" s="19">
        <v>106079</v>
      </c>
      <c r="C8998" s="20" t="s">
        <v>9112</v>
      </c>
      <c r="D8998" s="19" t="s">
        <v>31</v>
      </c>
      <c r="E8998" s="21" t="str">
        <f t="shared" si="419"/>
        <v>VERIFICAR</v>
      </c>
      <c r="F8998" s="22">
        <v>0.56999999999999995</v>
      </c>
      <c r="G8998" s="21" t="str">
        <f t="shared" si="420"/>
        <v>VERIFICAR</v>
      </c>
      <c r="H8998" s="22">
        <v>0.57999999999999996</v>
      </c>
      <c r="I8998" s="23" t="str">
        <f t="shared" si="421"/>
        <v xml:space="preserve">COM VALOR</v>
      </c>
      <c r="J8998" s="19"/>
      <c r="L8998" s="21">
        <v>0</v>
      </c>
      <c r="M8998" s="22"/>
      <c r="N8998" s="21">
        <v>0</v>
      </c>
      <c r="O8998" s="22"/>
    </row>
    <row r="8999" ht="38.25">
      <c r="A8999" t="s">
        <v>9054</v>
      </c>
      <c r="B8999" s="19">
        <v>100561</v>
      </c>
      <c r="C8999" s="20" t="s">
        <v>9113</v>
      </c>
      <c r="D8999" s="19" t="s">
        <v>31</v>
      </c>
      <c r="E8999" s="21">
        <f t="shared" si="419"/>
        <v>147.27000000000001</v>
      </c>
      <c r="F8999" s="22">
        <v>0</v>
      </c>
      <c r="G8999" s="21">
        <f t="shared" si="420"/>
        <v>145.78</v>
      </c>
      <c r="H8999" s="22">
        <v>0</v>
      </c>
      <c r="I8999" s="23" t="str">
        <f t="shared" si="421"/>
        <v xml:space="preserve">COM VALOR</v>
      </c>
      <c r="J8999" s="19"/>
      <c r="L8999" s="21">
        <v>147.27000000000001</v>
      </c>
      <c r="M8999" s="22">
        <v>0.78000000000000003</v>
      </c>
      <c r="N8999" s="21">
        <v>145.78</v>
      </c>
      <c r="O8999" s="22">
        <v>0.78000000000000003</v>
      </c>
    </row>
    <row r="9000" ht="38.25">
      <c r="A9000" t="s">
        <v>9054</v>
      </c>
      <c r="B9000" s="19">
        <v>100562</v>
      </c>
      <c r="C9000" s="20" t="s">
        <v>9114</v>
      </c>
      <c r="D9000" s="19" t="s">
        <v>31</v>
      </c>
      <c r="E9000" s="21">
        <f t="shared" si="419"/>
        <v>235.06999999999999</v>
      </c>
      <c r="F9000" s="22">
        <v>0</v>
      </c>
      <c r="G9000" s="21">
        <f t="shared" si="420"/>
        <v>233.27000000000001</v>
      </c>
      <c r="H9000" s="22">
        <v>0</v>
      </c>
      <c r="I9000" s="23" t="str">
        <f t="shared" si="421"/>
        <v xml:space="preserve">COM VALOR</v>
      </c>
      <c r="J9000" s="19"/>
      <c r="L9000" s="21">
        <v>235.06999999999999</v>
      </c>
      <c r="M9000" s="22">
        <v>0.81000000000000005</v>
      </c>
      <c r="N9000" s="21">
        <v>233.27000000000001</v>
      </c>
      <c r="O9000" s="22">
        <v>0.81000000000000005</v>
      </c>
    </row>
    <row r="9001" ht="38.25">
      <c r="A9001" t="s">
        <v>9054</v>
      </c>
      <c r="B9001" s="19">
        <v>100560</v>
      </c>
      <c r="C9001" s="20" t="s">
        <v>9115</v>
      </c>
      <c r="D9001" s="19" t="s">
        <v>31</v>
      </c>
      <c r="E9001" s="21">
        <f t="shared" si="419"/>
        <v>75.579999999999998</v>
      </c>
      <c r="F9001" s="22"/>
      <c r="G9001" s="21">
        <f t="shared" si="420"/>
        <v>74.340000000000003</v>
      </c>
      <c r="H9001" s="22"/>
      <c r="I9001" s="23" t="str">
        <f t="shared" si="421"/>
        <v xml:space="preserve">COM VALOR</v>
      </c>
      <c r="J9001" s="19"/>
      <c r="L9001" s="21">
        <v>75.579999999999998</v>
      </c>
      <c r="M9001" s="22">
        <v>0.68000000000000005</v>
      </c>
      <c r="N9001" s="21">
        <v>74.340000000000003</v>
      </c>
      <c r="O9001" s="22">
        <v>0.68999999999999995</v>
      </c>
    </row>
    <row r="9002" ht="38.25">
      <c r="A9002" t="s">
        <v>9054</v>
      </c>
      <c r="B9002" s="19">
        <v>100563</v>
      </c>
      <c r="C9002" s="20" t="s">
        <v>9116</v>
      </c>
      <c r="D9002" s="19" t="s">
        <v>31</v>
      </c>
      <c r="E9002" s="21">
        <f t="shared" si="419"/>
        <v>345.19</v>
      </c>
      <c r="F9002" s="22">
        <v>0</v>
      </c>
      <c r="G9002" s="21">
        <f t="shared" si="420"/>
        <v>343.00999999999999</v>
      </c>
      <c r="H9002" s="22">
        <v>0</v>
      </c>
      <c r="I9002" s="23" t="str">
        <f t="shared" si="421"/>
        <v xml:space="preserve">COM VALOR</v>
      </c>
      <c r="J9002" s="19"/>
      <c r="L9002" s="21">
        <v>345.19</v>
      </c>
      <c r="M9002" s="22">
        <v>0.81999999999999995</v>
      </c>
      <c r="N9002" s="21">
        <v>343.00999999999999</v>
      </c>
      <c r="O9002" s="22">
        <v>0.82999999999999996</v>
      </c>
    </row>
    <row r="9003" ht="25.5">
      <c r="A9003" t="s">
        <v>9054</v>
      </c>
      <c r="B9003" s="19">
        <v>100555</v>
      </c>
      <c r="C9003" s="20" t="s">
        <v>9117</v>
      </c>
      <c r="D9003" s="19" t="s">
        <v>31</v>
      </c>
      <c r="E9003" s="21">
        <f t="shared" si="419"/>
        <v>1526.6400000000001</v>
      </c>
      <c r="F9003" s="22">
        <v>0</v>
      </c>
      <c r="G9003" s="21">
        <f t="shared" si="420"/>
        <v>1523.97</v>
      </c>
      <c r="H9003" s="22">
        <v>0</v>
      </c>
      <c r="I9003" s="23" t="str">
        <f t="shared" si="421"/>
        <v xml:space="preserve">COM VALOR</v>
      </c>
      <c r="J9003" s="19"/>
      <c r="L9003" s="21">
        <v>1526.6400000000001</v>
      </c>
      <c r="M9003" s="22">
        <v>0</v>
      </c>
      <c r="N9003" s="21">
        <v>1523.97</v>
      </c>
      <c r="O9003" s="22">
        <v>0</v>
      </c>
    </row>
    <row r="9004" ht="25.5">
      <c r="A9004" t="s">
        <v>9054</v>
      </c>
      <c r="B9004" s="19">
        <v>106084</v>
      </c>
      <c r="C9004" s="20" t="s">
        <v>9118</v>
      </c>
      <c r="D9004" s="19" t="s">
        <v>31</v>
      </c>
      <c r="E9004" s="21" t="str">
        <f t="shared" si="419"/>
        <v>VERIFICAR</v>
      </c>
      <c r="F9004" s="22">
        <v>0</v>
      </c>
      <c r="G9004" s="21" t="str">
        <f t="shared" si="420"/>
        <v>VERIFICAR</v>
      </c>
      <c r="H9004" s="22">
        <v>0</v>
      </c>
      <c r="I9004" s="23" t="str">
        <f t="shared" si="421"/>
        <v xml:space="preserve">COM VALOR</v>
      </c>
      <c r="J9004" s="19"/>
      <c r="L9004" s="21">
        <v>0</v>
      </c>
      <c r="M9004" s="22"/>
      <c r="N9004" s="21">
        <v>0</v>
      </c>
      <c r="O9004" s="22"/>
    </row>
    <row r="9005" ht="25.5">
      <c r="A9005" t="s">
        <v>9054</v>
      </c>
      <c r="B9005" s="19">
        <v>106087</v>
      </c>
      <c r="C9005" s="20" t="s">
        <v>9119</v>
      </c>
      <c r="D9005" s="19" t="s">
        <v>31</v>
      </c>
      <c r="E9005" s="21" t="str">
        <f t="shared" si="419"/>
        <v>VERIFICAR</v>
      </c>
      <c r="F9005" s="22">
        <v>0</v>
      </c>
      <c r="G9005" s="21" t="str">
        <f t="shared" si="420"/>
        <v>VERIFICAR</v>
      </c>
      <c r="H9005" s="22">
        <v>0</v>
      </c>
      <c r="I9005" s="23" t="str">
        <f t="shared" si="421"/>
        <v xml:space="preserve">COM VALOR</v>
      </c>
      <c r="J9005" s="19"/>
      <c r="L9005" s="21">
        <v>0</v>
      </c>
      <c r="M9005" s="22"/>
      <c r="N9005" s="21">
        <v>0</v>
      </c>
      <c r="O9005" s="22"/>
    </row>
    <row r="9006" ht="25.5">
      <c r="A9006" t="s">
        <v>9054</v>
      </c>
      <c r="B9006" s="19">
        <v>106085</v>
      </c>
      <c r="C9006" s="20" t="s">
        <v>9120</v>
      </c>
      <c r="D9006" s="19" t="s">
        <v>31</v>
      </c>
      <c r="E9006" s="21" t="str">
        <f t="shared" si="419"/>
        <v>VERIFICAR</v>
      </c>
      <c r="F9006" s="22">
        <v>0</v>
      </c>
      <c r="G9006" s="21" t="str">
        <f t="shared" si="420"/>
        <v>VERIFICAR</v>
      </c>
      <c r="H9006" s="22">
        <v>0</v>
      </c>
      <c r="I9006" s="23" t="str">
        <f t="shared" si="421"/>
        <v xml:space="preserve">COM VALOR</v>
      </c>
      <c r="J9006" s="19"/>
      <c r="L9006" s="21">
        <v>0</v>
      </c>
      <c r="M9006" s="22"/>
      <c r="N9006" s="21">
        <v>0</v>
      </c>
      <c r="O9006" s="22"/>
    </row>
    <row r="9007" ht="25.5">
      <c r="A9007" t="s">
        <v>9054</v>
      </c>
      <c r="B9007" s="19">
        <v>106086</v>
      </c>
      <c r="C9007" s="20" t="s">
        <v>9121</v>
      </c>
      <c r="D9007" s="19" t="s">
        <v>31</v>
      </c>
      <c r="E9007" s="21" t="str">
        <f t="shared" si="419"/>
        <v>VERIFICAR</v>
      </c>
      <c r="F9007" s="22">
        <v>0</v>
      </c>
      <c r="G9007" s="21" t="str">
        <f t="shared" si="420"/>
        <v>VERIFICAR</v>
      </c>
      <c r="H9007" s="22">
        <v>0</v>
      </c>
      <c r="I9007" s="23" t="str">
        <f t="shared" si="421"/>
        <v xml:space="preserve">COM VALOR</v>
      </c>
      <c r="J9007" s="19"/>
      <c r="L9007" s="21">
        <v>0</v>
      </c>
      <c r="M9007" s="22"/>
      <c r="N9007" s="21">
        <v>0</v>
      </c>
      <c r="O9007" s="22"/>
    </row>
    <row r="9008" ht="25.5">
      <c r="A9008" t="s">
        <v>9054</v>
      </c>
      <c r="B9008" s="19">
        <v>98305</v>
      </c>
      <c r="C9008" s="20" t="s">
        <v>9122</v>
      </c>
      <c r="D9008" s="19" t="s">
        <v>31</v>
      </c>
      <c r="E9008" s="21">
        <f t="shared" si="419"/>
        <v>3057.9000000000001</v>
      </c>
      <c r="F9008" s="22"/>
      <c r="G9008" s="21">
        <f t="shared" si="420"/>
        <v>3055.23</v>
      </c>
      <c r="H9008" s="22"/>
      <c r="I9008" s="23" t="str">
        <f t="shared" si="421"/>
        <v xml:space="preserve">COM VALOR</v>
      </c>
      <c r="J9008" s="19"/>
      <c r="L9008" s="21">
        <v>3057.9000000000001</v>
      </c>
      <c r="M9008" s="22">
        <v>0</v>
      </c>
      <c r="N9008" s="21">
        <v>3055.23</v>
      </c>
      <c r="O9008" s="22">
        <v>0</v>
      </c>
    </row>
    <row r="9009" ht="12.75">
      <c r="A9009" t="s">
        <v>9054</v>
      </c>
      <c r="B9009" s="19">
        <v>98307</v>
      </c>
      <c r="C9009" s="20" t="s">
        <v>9123</v>
      </c>
      <c r="D9009" s="19" t="s">
        <v>31</v>
      </c>
      <c r="E9009" s="21">
        <f t="shared" si="419"/>
        <v>52.149999999999999</v>
      </c>
      <c r="F9009" s="22">
        <v>0</v>
      </c>
      <c r="G9009" s="21">
        <f t="shared" si="420"/>
        <v>50.939999999999998</v>
      </c>
      <c r="H9009" s="22">
        <v>0</v>
      </c>
      <c r="I9009" s="23" t="str">
        <f t="shared" si="421"/>
        <v xml:space="preserve">COM VALOR</v>
      </c>
      <c r="J9009" s="19"/>
      <c r="L9009" s="21">
        <v>52.149999999999999</v>
      </c>
      <c r="M9009" s="22">
        <v>0</v>
      </c>
      <c r="N9009" s="21">
        <v>50.939999999999998</v>
      </c>
      <c r="O9009" s="22">
        <v>0</v>
      </c>
    </row>
    <row r="9010" ht="25.5">
      <c r="A9010" t="s">
        <v>9054</v>
      </c>
      <c r="B9010" s="19">
        <v>98308</v>
      </c>
      <c r="C9010" s="20" t="s">
        <v>9124</v>
      </c>
      <c r="D9010" s="19" t="s">
        <v>31</v>
      </c>
      <c r="E9010" s="21">
        <f t="shared" si="419"/>
        <v>38.719999999999999</v>
      </c>
      <c r="F9010" s="22">
        <v>0</v>
      </c>
      <c r="G9010" s="21">
        <f t="shared" si="420"/>
        <v>37.509999999999998</v>
      </c>
      <c r="H9010" s="22">
        <v>0</v>
      </c>
      <c r="I9010" s="23" t="str">
        <f t="shared" si="421"/>
        <v xml:space="preserve">COM VALOR</v>
      </c>
      <c r="J9010" s="19"/>
      <c r="L9010" s="21">
        <v>38.719999999999999</v>
      </c>
      <c r="M9010" s="22">
        <v>0</v>
      </c>
      <c r="N9010" s="21">
        <v>37.509999999999998</v>
      </c>
      <c r="O9010" s="22">
        <v>0</v>
      </c>
    </row>
    <row r="9011" ht="25.5">
      <c r="A9011" t="s">
        <v>9054</v>
      </c>
      <c r="B9011" s="19">
        <v>106077</v>
      </c>
      <c r="C9011" s="20" t="s">
        <v>9125</v>
      </c>
      <c r="D9011" s="19" t="s">
        <v>31</v>
      </c>
      <c r="E9011" s="21" t="str">
        <f t="shared" si="419"/>
        <v>VERIFICAR</v>
      </c>
      <c r="F9011" s="22">
        <v>0</v>
      </c>
      <c r="G9011" s="21" t="str">
        <f t="shared" si="420"/>
        <v>VERIFICAR</v>
      </c>
      <c r="H9011" s="22">
        <v>0</v>
      </c>
      <c r="I9011" s="23" t="str">
        <f t="shared" si="421"/>
        <v xml:space="preserve">COM VALOR</v>
      </c>
      <c r="J9011" s="19"/>
      <c r="L9011" s="21">
        <v>0</v>
      </c>
      <c r="M9011" s="22"/>
      <c r="N9011" s="21">
        <v>0</v>
      </c>
      <c r="O9011" s="22"/>
    </row>
    <row r="9012" ht="25.5">
      <c r="A9012" t="s">
        <v>9054</v>
      </c>
      <c r="B9012" s="19">
        <v>106078</v>
      </c>
      <c r="C9012" s="20" t="s">
        <v>9126</v>
      </c>
      <c r="D9012" s="19" t="s">
        <v>31</v>
      </c>
      <c r="E9012" s="21" t="str">
        <f t="shared" si="419"/>
        <v>VERIFICAR</v>
      </c>
      <c r="F9012" s="22">
        <v>0</v>
      </c>
      <c r="G9012" s="21" t="str">
        <f t="shared" si="420"/>
        <v>VERIFICAR</v>
      </c>
      <c r="H9012" s="22">
        <v>0</v>
      </c>
      <c r="I9012" s="23" t="str">
        <f t="shared" si="421"/>
        <v xml:space="preserve">COM VALOR</v>
      </c>
      <c r="J9012" s="19"/>
      <c r="L9012" s="21">
        <v>0</v>
      </c>
      <c r="M9012" s="22"/>
      <c r="N9012" s="21">
        <v>0</v>
      </c>
      <c r="O9012" s="22"/>
    </row>
    <row r="9013" ht="38.25">
      <c r="A9013" t="s">
        <v>9127</v>
      </c>
      <c r="B9013" s="19">
        <v>103401</v>
      </c>
      <c r="C9013" s="20" t="s">
        <v>9128</v>
      </c>
      <c r="D9013" s="19" t="s">
        <v>31</v>
      </c>
      <c r="E9013" s="21">
        <f t="shared" si="419"/>
        <v>20.780000000000001</v>
      </c>
      <c r="F9013" s="22">
        <v>0.52000000000000002</v>
      </c>
      <c r="G9013" s="21">
        <f t="shared" si="420"/>
        <v>19.670000000000002</v>
      </c>
      <c r="H9013" s="22">
        <v>0.53000000000000003</v>
      </c>
      <c r="I9013" s="23" t="str">
        <f t="shared" si="421"/>
        <v xml:space="preserve">COM VALOR</v>
      </c>
      <c r="J9013" s="19"/>
      <c r="L9013" s="21">
        <v>20.780000000000001</v>
      </c>
      <c r="M9013" s="22">
        <v>0</v>
      </c>
      <c r="N9013" s="21">
        <v>19.670000000000002</v>
      </c>
      <c r="O9013" s="22">
        <v>0</v>
      </c>
    </row>
    <row r="9014" ht="38.25">
      <c r="A9014" t="s">
        <v>9127</v>
      </c>
      <c r="B9014" s="19">
        <v>103402</v>
      </c>
      <c r="C9014" s="20" t="s">
        <v>9129</v>
      </c>
      <c r="D9014" s="19" t="s">
        <v>31</v>
      </c>
      <c r="E9014" s="21">
        <f t="shared" si="419"/>
        <v>30.23</v>
      </c>
      <c r="F9014" s="22">
        <v>0</v>
      </c>
      <c r="G9014" s="21">
        <f t="shared" si="420"/>
        <v>28.609999999999999</v>
      </c>
      <c r="H9014" s="22">
        <v>0</v>
      </c>
      <c r="I9014" s="23" t="str">
        <f t="shared" si="421"/>
        <v xml:space="preserve">COM VALOR</v>
      </c>
      <c r="J9014" s="19"/>
      <c r="L9014" s="21">
        <v>30.23</v>
      </c>
      <c r="M9014" s="22">
        <v>0</v>
      </c>
      <c r="N9014" s="21">
        <v>28.609999999999999</v>
      </c>
      <c r="O9014" s="22">
        <v>0</v>
      </c>
    </row>
    <row r="9015" ht="38.25">
      <c r="A9015" t="s">
        <v>9127</v>
      </c>
      <c r="B9015" s="19">
        <v>103403</v>
      </c>
      <c r="C9015" s="20" t="s">
        <v>9130</v>
      </c>
      <c r="D9015" s="19" t="s">
        <v>31</v>
      </c>
      <c r="E9015" s="21">
        <f t="shared" si="419"/>
        <v>34.020000000000003</v>
      </c>
      <c r="F9015" s="22">
        <v>0.5</v>
      </c>
      <c r="G9015" s="21">
        <f t="shared" si="420"/>
        <v>32.189999999999998</v>
      </c>
      <c r="H9015" s="22">
        <v>0.5</v>
      </c>
      <c r="I9015" s="23" t="str">
        <f t="shared" si="421"/>
        <v xml:space="preserve">COM VALOR</v>
      </c>
      <c r="J9015" s="19"/>
      <c r="L9015" s="21">
        <v>34.020000000000003</v>
      </c>
      <c r="M9015" s="22">
        <v>0</v>
      </c>
      <c r="N9015" s="21">
        <v>32.189999999999998</v>
      </c>
      <c r="O9015" s="22">
        <v>0</v>
      </c>
    </row>
    <row r="9016" ht="38.25">
      <c r="A9016" t="s">
        <v>9127</v>
      </c>
      <c r="B9016" s="19">
        <v>103397</v>
      </c>
      <c r="C9016" s="20" t="s">
        <v>9131</v>
      </c>
      <c r="D9016" s="19" t="s">
        <v>31</v>
      </c>
      <c r="E9016" s="21">
        <f t="shared" si="419"/>
        <v>3.77</v>
      </c>
      <c r="F9016" s="22">
        <v>0.58999999999999997</v>
      </c>
      <c r="G9016" s="21">
        <f t="shared" si="420"/>
        <v>3.5600000000000001</v>
      </c>
      <c r="H9016" s="22">
        <v>0.60999999999999999</v>
      </c>
      <c r="I9016" s="23" t="str">
        <f t="shared" si="421"/>
        <v xml:space="preserve">COM VALOR</v>
      </c>
      <c r="J9016" s="19"/>
      <c r="L9016" s="21">
        <v>3.77</v>
      </c>
      <c r="M9016" s="22">
        <v>0</v>
      </c>
      <c r="N9016" s="21">
        <v>3.5600000000000001</v>
      </c>
      <c r="O9016" s="22">
        <v>0</v>
      </c>
    </row>
    <row r="9017" ht="38.25">
      <c r="A9017" t="s">
        <v>9127</v>
      </c>
      <c r="B9017" s="19">
        <v>103404</v>
      </c>
      <c r="C9017" s="20" t="s">
        <v>9132</v>
      </c>
      <c r="D9017" s="19" t="s">
        <v>31</v>
      </c>
      <c r="E9017" s="21">
        <f t="shared" si="419"/>
        <v>37.799999999999997</v>
      </c>
      <c r="F9017" s="22">
        <v>0</v>
      </c>
      <c r="G9017" s="21">
        <f t="shared" si="420"/>
        <v>35.770000000000003</v>
      </c>
      <c r="H9017" s="22">
        <v>0</v>
      </c>
      <c r="I9017" s="23" t="str">
        <f t="shared" si="421"/>
        <v xml:space="preserve">COM VALOR</v>
      </c>
      <c r="J9017" s="19"/>
      <c r="L9017" s="21">
        <v>37.799999999999997</v>
      </c>
      <c r="M9017" s="22">
        <v>0</v>
      </c>
      <c r="N9017" s="21">
        <v>35.770000000000003</v>
      </c>
      <c r="O9017" s="22">
        <v>0</v>
      </c>
    </row>
    <row r="9018" ht="38.25">
      <c r="A9018" t="s">
        <v>9127</v>
      </c>
      <c r="B9018" s="19">
        <v>103405</v>
      </c>
      <c r="C9018" s="20" t="s">
        <v>9133</v>
      </c>
      <c r="D9018" s="19" t="s">
        <v>31</v>
      </c>
      <c r="E9018" s="21">
        <f t="shared" si="419"/>
        <v>42.520000000000003</v>
      </c>
      <c r="F9018" s="22">
        <v>0</v>
      </c>
      <c r="G9018" s="21">
        <f t="shared" si="420"/>
        <v>40.240000000000002</v>
      </c>
      <c r="H9018" s="22">
        <v>0</v>
      </c>
      <c r="I9018" s="23" t="str">
        <f t="shared" si="421"/>
        <v xml:space="preserve">COM VALOR</v>
      </c>
      <c r="J9018" s="19"/>
      <c r="L9018" s="21">
        <v>42.520000000000003</v>
      </c>
      <c r="M9018" s="22">
        <v>0</v>
      </c>
      <c r="N9018" s="21">
        <v>40.240000000000002</v>
      </c>
      <c r="O9018" s="22">
        <v>0</v>
      </c>
    </row>
    <row r="9019" ht="38.25">
      <c r="A9019" t="s">
        <v>9127</v>
      </c>
      <c r="B9019" s="19">
        <v>103406</v>
      </c>
      <c r="C9019" s="20" t="s">
        <v>9134</v>
      </c>
      <c r="D9019" s="19" t="s">
        <v>31</v>
      </c>
      <c r="E9019" s="21">
        <f t="shared" si="419"/>
        <v>47.25</v>
      </c>
      <c r="F9019" s="22">
        <v>0</v>
      </c>
      <c r="G9019" s="21">
        <f t="shared" si="420"/>
        <v>44.710000000000001</v>
      </c>
      <c r="H9019" s="22">
        <v>0</v>
      </c>
      <c r="I9019" s="23" t="str">
        <f t="shared" si="421"/>
        <v xml:space="preserve">COM VALOR</v>
      </c>
      <c r="J9019" s="19"/>
      <c r="L9019" s="21">
        <v>47.25</v>
      </c>
      <c r="M9019" s="22">
        <v>0</v>
      </c>
      <c r="N9019" s="21">
        <v>44.710000000000001</v>
      </c>
      <c r="O9019" s="22">
        <v>0</v>
      </c>
    </row>
    <row r="9020" ht="38.25">
      <c r="A9020" t="s">
        <v>9127</v>
      </c>
      <c r="B9020" s="19">
        <v>103407</v>
      </c>
      <c r="C9020" s="20" t="s">
        <v>9135</v>
      </c>
      <c r="D9020" s="19" t="s">
        <v>31</v>
      </c>
      <c r="E9020" s="21">
        <f t="shared" si="419"/>
        <v>52.920000000000002</v>
      </c>
      <c r="F9020" s="22">
        <v>0</v>
      </c>
      <c r="G9020" s="21">
        <f t="shared" si="420"/>
        <v>50.079999999999998</v>
      </c>
      <c r="H9020" s="22">
        <v>0</v>
      </c>
      <c r="I9020" s="23" t="str">
        <f t="shared" si="421"/>
        <v xml:space="preserve">COM VALOR</v>
      </c>
      <c r="J9020" s="19"/>
      <c r="L9020" s="21">
        <v>52.920000000000002</v>
      </c>
      <c r="M9020" s="22">
        <v>0</v>
      </c>
      <c r="N9020" s="21">
        <v>50.079999999999998</v>
      </c>
      <c r="O9020" s="22">
        <v>0</v>
      </c>
    </row>
    <row r="9021" ht="38.25">
      <c r="A9021" t="s">
        <v>9127</v>
      </c>
      <c r="B9021" s="19">
        <v>103408</v>
      </c>
      <c r="C9021" s="20" t="s">
        <v>9136</v>
      </c>
      <c r="D9021" s="19" t="s">
        <v>31</v>
      </c>
      <c r="E9021" s="21">
        <f t="shared" si="419"/>
        <v>59.539999999999999</v>
      </c>
      <c r="F9021" s="22">
        <v>0</v>
      </c>
      <c r="G9021" s="21">
        <f t="shared" si="420"/>
        <v>56.350000000000001</v>
      </c>
      <c r="H9021" s="22">
        <v>0</v>
      </c>
      <c r="I9021" s="23" t="str">
        <f t="shared" si="421"/>
        <v xml:space="preserve">COM VALOR</v>
      </c>
      <c r="J9021" s="19"/>
      <c r="L9021" s="21">
        <v>59.539999999999999</v>
      </c>
      <c r="M9021" s="22">
        <v>0</v>
      </c>
      <c r="N9021" s="21">
        <v>56.350000000000001</v>
      </c>
      <c r="O9021" s="22">
        <v>0</v>
      </c>
    </row>
    <row r="9022" ht="38.25">
      <c r="A9022" t="s">
        <v>9127</v>
      </c>
      <c r="B9022" s="19">
        <v>103398</v>
      </c>
      <c r="C9022" s="20" t="s">
        <v>9137</v>
      </c>
      <c r="D9022" s="19" t="s">
        <v>31</v>
      </c>
      <c r="E9022" s="21">
        <f t="shared" si="419"/>
        <v>6.04</v>
      </c>
      <c r="F9022" s="22">
        <v>0</v>
      </c>
      <c r="G9022" s="21">
        <f t="shared" si="420"/>
        <v>5.7199999999999998</v>
      </c>
      <c r="H9022" s="22">
        <v>0</v>
      </c>
      <c r="I9022" s="23" t="str">
        <f t="shared" si="421"/>
        <v xml:space="preserve">COM VALOR</v>
      </c>
      <c r="J9022" s="19"/>
      <c r="L9022" s="21">
        <v>6.04</v>
      </c>
      <c r="M9022" s="22">
        <v>0</v>
      </c>
      <c r="N9022" s="21">
        <v>5.7199999999999998</v>
      </c>
      <c r="O9022" s="22">
        <v>0</v>
      </c>
    </row>
    <row r="9023" ht="38.25">
      <c r="A9023" t="s">
        <v>9127</v>
      </c>
      <c r="B9023" s="19">
        <v>103409</v>
      </c>
      <c r="C9023" s="20" t="s">
        <v>9138</v>
      </c>
      <c r="D9023" s="19" t="s">
        <v>31</v>
      </c>
      <c r="E9023" s="21">
        <f t="shared" si="419"/>
        <v>67.099999999999994</v>
      </c>
      <c r="F9023" s="22">
        <v>0</v>
      </c>
      <c r="G9023" s="21">
        <f t="shared" si="420"/>
        <v>63.5</v>
      </c>
      <c r="H9023" s="22">
        <v>0</v>
      </c>
      <c r="I9023" s="23" t="str">
        <f t="shared" si="421"/>
        <v xml:space="preserve">COM VALOR</v>
      </c>
      <c r="J9023" s="19"/>
      <c r="L9023" s="21">
        <v>67.099999999999994</v>
      </c>
      <c r="M9023" s="22">
        <v>0</v>
      </c>
      <c r="N9023" s="21">
        <v>63.5</v>
      </c>
      <c r="O9023" s="22">
        <v>0</v>
      </c>
    </row>
    <row r="9024" ht="38.25">
      <c r="A9024" t="s">
        <v>9127</v>
      </c>
      <c r="B9024" s="19">
        <v>103410</v>
      </c>
      <c r="C9024" s="20" t="s">
        <v>9139</v>
      </c>
      <c r="D9024" s="19" t="s">
        <v>31</v>
      </c>
      <c r="E9024" s="21">
        <f t="shared" si="419"/>
        <v>75.599999999999994</v>
      </c>
      <c r="F9024" s="22">
        <v>0</v>
      </c>
      <c r="G9024" s="21">
        <f t="shared" si="420"/>
        <v>71.540000000000006</v>
      </c>
      <c r="H9024" s="22">
        <v>0</v>
      </c>
      <c r="I9024" s="23" t="str">
        <f t="shared" si="421"/>
        <v xml:space="preserve">COM VALOR</v>
      </c>
      <c r="J9024" s="19"/>
      <c r="L9024" s="21">
        <v>75.599999999999994</v>
      </c>
      <c r="M9024" s="22">
        <v>0</v>
      </c>
      <c r="N9024" s="21">
        <v>71.540000000000006</v>
      </c>
      <c r="O9024" s="22">
        <v>0</v>
      </c>
    </row>
    <row r="9025" ht="38.25">
      <c r="A9025" t="s">
        <v>9127</v>
      </c>
      <c r="B9025" s="19">
        <v>103399</v>
      </c>
      <c r="C9025" s="20" t="s">
        <v>9140</v>
      </c>
      <c r="D9025" s="19" t="s">
        <v>31</v>
      </c>
      <c r="E9025" s="21">
        <f t="shared" si="419"/>
        <v>11.9</v>
      </c>
      <c r="F9025" s="22">
        <v>0</v>
      </c>
      <c r="G9025" s="21">
        <f t="shared" si="420"/>
        <v>11.26</v>
      </c>
      <c r="H9025" s="22">
        <v>0</v>
      </c>
      <c r="I9025" s="23" t="str">
        <f t="shared" si="421"/>
        <v xml:space="preserve">COM VALOR</v>
      </c>
      <c r="J9025" s="19"/>
      <c r="L9025" s="21">
        <v>11.9</v>
      </c>
      <c r="M9025" s="22">
        <v>0</v>
      </c>
      <c r="N9025" s="21">
        <v>11.26</v>
      </c>
      <c r="O9025" s="22">
        <v>0</v>
      </c>
    </row>
    <row r="9026" ht="38.25">
      <c r="A9026" t="s">
        <v>9127</v>
      </c>
      <c r="B9026" s="19">
        <v>103400</v>
      </c>
      <c r="C9026" s="20" t="s">
        <v>9141</v>
      </c>
      <c r="D9026" s="19" t="s">
        <v>31</v>
      </c>
      <c r="E9026" s="21">
        <f t="shared" si="419"/>
        <v>17</v>
      </c>
      <c r="F9026" s="22">
        <v>0</v>
      </c>
      <c r="G9026" s="21">
        <f t="shared" si="420"/>
        <v>16.09</v>
      </c>
      <c r="H9026" s="22">
        <v>0</v>
      </c>
      <c r="I9026" s="23" t="str">
        <f t="shared" si="421"/>
        <v xml:space="preserve">COM VALOR</v>
      </c>
      <c r="J9026" s="19"/>
      <c r="L9026" s="21">
        <v>17</v>
      </c>
      <c r="M9026" s="22">
        <v>0</v>
      </c>
      <c r="N9026" s="21">
        <v>16.09</v>
      </c>
      <c r="O9026" s="22">
        <v>0</v>
      </c>
    </row>
    <row r="9027" ht="38.25">
      <c r="A9027" t="s">
        <v>9127</v>
      </c>
      <c r="B9027" s="19">
        <v>103415</v>
      </c>
      <c r="C9027" s="20" t="s">
        <v>9142</v>
      </c>
      <c r="D9027" s="19" t="s">
        <v>31</v>
      </c>
      <c r="E9027" s="21">
        <f t="shared" si="419"/>
        <v>41.57</v>
      </c>
      <c r="F9027" s="22">
        <v>0</v>
      </c>
      <c r="G9027" s="21">
        <f t="shared" si="420"/>
        <v>39.350000000000001</v>
      </c>
      <c r="H9027" s="22">
        <v>0</v>
      </c>
      <c r="I9027" s="23" t="str">
        <f t="shared" si="421"/>
        <v xml:space="preserve">COM VALOR</v>
      </c>
      <c r="J9027" s="19"/>
      <c r="L9027" s="21">
        <v>41.57</v>
      </c>
      <c r="M9027" s="22">
        <v>0</v>
      </c>
      <c r="N9027" s="21">
        <v>39.350000000000001</v>
      </c>
      <c r="O9027" s="22">
        <v>0</v>
      </c>
    </row>
    <row r="9028" ht="38.25">
      <c r="A9028" t="s">
        <v>9127</v>
      </c>
      <c r="B9028" s="19">
        <v>103416</v>
      </c>
      <c r="C9028" s="20" t="s">
        <v>9143</v>
      </c>
      <c r="D9028" s="19" t="s">
        <v>31</v>
      </c>
      <c r="E9028" s="21">
        <f t="shared" si="419"/>
        <v>60.479999999999997</v>
      </c>
      <c r="F9028" s="22">
        <v>0</v>
      </c>
      <c r="G9028" s="21">
        <f t="shared" si="420"/>
        <v>57.240000000000002</v>
      </c>
      <c r="H9028" s="22">
        <v>0</v>
      </c>
      <c r="I9028" s="23" t="str">
        <f t="shared" si="421"/>
        <v xml:space="preserve">COM VALOR</v>
      </c>
      <c r="J9028" s="19"/>
      <c r="L9028" s="21">
        <v>60.479999999999997</v>
      </c>
      <c r="M9028" s="22">
        <v>0</v>
      </c>
      <c r="N9028" s="21">
        <v>57.240000000000002</v>
      </c>
      <c r="O9028" s="22">
        <v>0</v>
      </c>
    </row>
    <row r="9029" ht="38.25">
      <c r="A9029" t="s">
        <v>9127</v>
      </c>
      <c r="B9029" s="19">
        <v>103417</v>
      </c>
      <c r="C9029" s="20" t="s">
        <v>9144</v>
      </c>
      <c r="D9029" s="19" t="s">
        <v>31</v>
      </c>
      <c r="E9029" s="21">
        <f t="shared" si="419"/>
        <v>68.040000000000006</v>
      </c>
      <c r="F9029" s="22">
        <v>0.84999999999999998</v>
      </c>
      <c r="G9029" s="21">
        <f t="shared" si="420"/>
        <v>64.400000000000006</v>
      </c>
      <c r="H9029" s="22">
        <v>0.84999999999999998</v>
      </c>
      <c r="I9029" s="23" t="str">
        <f t="shared" si="421"/>
        <v xml:space="preserve">COM VALOR</v>
      </c>
      <c r="J9029" s="19"/>
      <c r="L9029" s="21">
        <v>68.040000000000006</v>
      </c>
      <c r="M9029" s="22">
        <v>0</v>
      </c>
      <c r="N9029" s="21">
        <v>64.400000000000006</v>
      </c>
      <c r="O9029" s="22">
        <v>0</v>
      </c>
    </row>
    <row r="9030" ht="38.25">
      <c r="A9030" t="s">
        <v>9127</v>
      </c>
      <c r="B9030" s="19">
        <v>103411</v>
      </c>
      <c r="C9030" s="20" t="s">
        <v>9145</v>
      </c>
      <c r="D9030" s="19" t="s">
        <v>31</v>
      </c>
      <c r="E9030" s="21">
        <f t="shared" si="419"/>
        <v>7.5499999999999998</v>
      </c>
      <c r="F9030" s="22">
        <v>0</v>
      </c>
      <c r="G9030" s="21">
        <f t="shared" si="420"/>
        <v>7.1399999999999997</v>
      </c>
      <c r="H9030" s="22">
        <v>0</v>
      </c>
      <c r="I9030" s="23" t="str">
        <f t="shared" si="421"/>
        <v xml:space="preserve">COM VALOR</v>
      </c>
      <c r="J9030" s="19"/>
      <c r="L9030" s="21">
        <v>7.5499999999999998</v>
      </c>
      <c r="M9030" s="22">
        <v>0</v>
      </c>
      <c r="N9030" s="21">
        <v>7.1399999999999997</v>
      </c>
      <c r="O9030" s="22">
        <v>0</v>
      </c>
    </row>
    <row r="9031" ht="38.25">
      <c r="A9031" t="s">
        <v>9127</v>
      </c>
      <c r="B9031" s="19">
        <v>103418</v>
      </c>
      <c r="C9031" s="20" t="s">
        <v>9146</v>
      </c>
      <c r="D9031" s="19" t="s">
        <v>31</v>
      </c>
      <c r="E9031" s="21">
        <f t="shared" si="419"/>
        <v>75.599999999999994</v>
      </c>
      <c r="F9031" s="22">
        <v>0</v>
      </c>
      <c r="G9031" s="21">
        <f t="shared" si="420"/>
        <v>71.540000000000006</v>
      </c>
      <c r="H9031" s="22">
        <v>0</v>
      </c>
      <c r="I9031" s="23" t="str">
        <f t="shared" si="421"/>
        <v xml:space="preserve">COM VALOR</v>
      </c>
      <c r="J9031" s="19"/>
      <c r="L9031" s="21">
        <v>75.599999999999994</v>
      </c>
      <c r="M9031" s="22">
        <v>0</v>
      </c>
      <c r="N9031" s="21">
        <v>71.540000000000006</v>
      </c>
      <c r="O9031" s="22">
        <v>0</v>
      </c>
    </row>
    <row r="9032" ht="38.25">
      <c r="A9032" t="s">
        <v>9127</v>
      </c>
      <c r="B9032" s="19">
        <v>103419</v>
      </c>
      <c r="C9032" s="20" t="s">
        <v>9147</v>
      </c>
      <c r="D9032" s="19" t="s">
        <v>31</v>
      </c>
      <c r="E9032" s="21">
        <f t="shared" si="419"/>
        <v>85.060000000000002</v>
      </c>
      <c r="F9032" s="22">
        <v>0.98999999999999999</v>
      </c>
      <c r="G9032" s="21">
        <f t="shared" si="420"/>
        <v>80.5</v>
      </c>
      <c r="H9032" s="22">
        <v>0.98999999999999999</v>
      </c>
      <c r="I9032" s="23" t="str">
        <f t="shared" si="421"/>
        <v xml:space="preserve">COM VALOR</v>
      </c>
      <c r="J9032" s="19"/>
      <c r="L9032" s="21">
        <v>85.060000000000002</v>
      </c>
      <c r="M9032" s="22">
        <v>0</v>
      </c>
      <c r="N9032" s="21">
        <v>80.5</v>
      </c>
      <c r="O9032" s="22">
        <v>0</v>
      </c>
    </row>
    <row r="9033" ht="38.25">
      <c r="A9033" t="s">
        <v>9127</v>
      </c>
      <c r="B9033" s="19">
        <v>103420</v>
      </c>
      <c r="C9033" s="20" t="s">
        <v>9148</v>
      </c>
      <c r="D9033" s="19" t="s">
        <v>31</v>
      </c>
      <c r="E9033" s="21">
        <f t="shared" si="419"/>
        <v>94.510000000000005</v>
      </c>
      <c r="F9033" s="22">
        <v>0</v>
      </c>
      <c r="G9033" s="21">
        <f t="shared" si="420"/>
        <v>89.439999999999998</v>
      </c>
      <c r="H9033" s="22">
        <v>0</v>
      </c>
      <c r="I9033" s="23" t="str">
        <f t="shared" si="421"/>
        <v xml:space="preserve">COM VALOR</v>
      </c>
      <c r="J9033" s="19"/>
      <c r="L9033" s="21">
        <v>94.510000000000005</v>
      </c>
      <c r="M9033" s="22">
        <v>0</v>
      </c>
      <c r="N9033" s="21">
        <v>89.439999999999998</v>
      </c>
      <c r="O9033" s="22">
        <v>0</v>
      </c>
    </row>
    <row r="9034" ht="38.25">
      <c r="A9034" t="s">
        <v>9127</v>
      </c>
      <c r="B9034" s="19">
        <v>103421</v>
      </c>
      <c r="C9034" s="20" t="s">
        <v>9149</v>
      </c>
      <c r="D9034" s="19" t="s">
        <v>31</v>
      </c>
      <c r="E9034" s="21">
        <f t="shared" si="419"/>
        <v>105.84</v>
      </c>
      <c r="F9034" s="22">
        <v>0.95999999999999996</v>
      </c>
      <c r="G9034" s="21">
        <f t="shared" si="420"/>
        <v>100.17</v>
      </c>
      <c r="H9034" s="22">
        <v>0.95999999999999996</v>
      </c>
      <c r="I9034" s="23" t="str">
        <f t="shared" si="421"/>
        <v xml:space="preserve">COM VALOR</v>
      </c>
      <c r="J9034" s="19"/>
      <c r="L9034" s="21">
        <v>105.84</v>
      </c>
      <c r="M9034" s="22">
        <v>0</v>
      </c>
      <c r="N9034" s="21">
        <v>100.17</v>
      </c>
      <c r="O9034" s="22">
        <v>0</v>
      </c>
    </row>
    <row r="9035" ht="38.25">
      <c r="A9035" t="s">
        <v>9127</v>
      </c>
      <c r="B9035" s="19">
        <v>103422</v>
      </c>
      <c r="C9035" s="20" t="s">
        <v>9150</v>
      </c>
      <c r="D9035" s="19" t="s">
        <v>31</v>
      </c>
      <c r="E9035" s="21">
        <f t="shared" ref="E9035:E9098" si="422">IF(L9035=0,"VERIFICAR",L9035)</f>
        <v>119.08</v>
      </c>
      <c r="F9035" s="22">
        <v>0.84999999999999998</v>
      </c>
      <c r="G9035" s="21">
        <f t="shared" ref="G9035:G9098" si="423">IF(N9035=0,"VERIFICAR",N9035)</f>
        <v>112.69</v>
      </c>
      <c r="H9035" s="22">
        <v>0.84999999999999998</v>
      </c>
      <c r="I9035" s="23" t="str">
        <f t="shared" ref="I9035:I9098" si="424">IF(OR(E9035=0,G9035=0),"SEM VALOR","COM VALOR")</f>
        <v xml:space="preserve">COM VALOR</v>
      </c>
      <c r="J9035" s="19"/>
      <c r="L9035" s="21">
        <v>119.08</v>
      </c>
      <c r="M9035" s="22">
        <v>0</v>
      </c>
      <c r="N9035" s="21">
        <v>112.69</v>
      </c>
      <c r="O9035" s="22">
        <v>0</v>
      </c>
    </row>
    <row r="9036" ht="38.25">
      <c r="A9036" t="s">
        <v>9127</v>
      </c>
      <c r="B9036" s="19">
        <v>103412</v>
      </c>
      <c r="C9036" s="20" t="s">
        <v>9151</v>
      </c>
      <c r="D9036" s="19" t="s">
        <v>31</v>
      </c>
      <c r="E9036" s="21">
        <f t="shared" si="422"/>
        <v>12.08</v>
      </c>
      <c r="F9036" s="22">
        <v>0</v>
      </c>
      <c r="G9036" s="21">
        <f t="shared" si="423"/>
        <v>11.44</v>
      </c>
      <c r="H9036" s="22">
        <v>0</v>
      </c>
      <c r="I9036" s="23" t="str">
        <f t="shared" si="424"/>
        <v xml:space="preserve">COM VALOR</v>
      </c>
      <c r="J9036" s="19"/>
      <c r="L9036" s="21">
        <v>12.08</v>
      </c>
      <c r="M9036" s="22">
        <v>0</v>
      </c>
      <c r="N9036" s="21">
        <v>11.44</v>
      </c>
      <c r="O9036" s="22">
        <v>0</v>
      </c>
    </row>
    <row r="9037" ht="38.25">
      <c r="A9037" t="s">
        <v>9127</v>
      </c>
      <c r="B9037" s="19">
        <v>103423</v>
      </c>
      <c r="C9037" s="20" t="s">
        <v>9152</v>
      </c>
      <c r="D9037" s="19" t="s">
        <v>31</v>
      </c>
      <c r="E9037" s="21">
        <f t="shared" si="422"/>
        <v>134.21000000000001</v>
      </c>
      <c r="F9037" s="22">
        <v>0</v>
      </c>
      <c r="G9037" s="21">
        <f t="shared" si="423"/>
        <v>127</v>
      </c>
      <c r="H9037" s="22">
        <v>0</v>
      </c>
      <c r="I9037" s="23" t="str">
        <f t="shared" si="424"/>
        <v xml:space="preserve">COM VALOR</v>
      </c>
      <c r="J9037" s="19"/>
      <c r="L9037" s="21">
        <v>134.21000000000001</v>
      </c>
      <c r="M9037" s="22">
        <v>0</v>
      </c>
      <c r="N9037" s="21">
        <v>127</v>
      </c>
      <c r="O9037" s="22">
        <v>0</v>
      </c>
    </row>
    <row r="9038" ht="38.25">
      <c r="A9038" t="s">
        <v>9127</v>
      </c>
      <c r="B9038" s="19">
        <v>103424</v>
      </c>
      <c r="C9038" s="20" t="s">
        <v>9153</v>
      </c>
      <c r="D9038" s="19" t="s">
        <v>31</v>
      </c>
      <c r="E9038" s="21">
        <f t="shared" si="422"/>
        <v>151.21000000000001</v>
      </c>
      <c r="F9038" s="22">
        <v>0</v>
      </c>
      <c r="G9038" s="21">
        <f t="shared" si="423"/>
        <v>143.11000000000001</v>
      </c>
      <c r="H9038" s="22">
        <v>0</v>
      </c>
      <c r="I9038" s="23" t="str">
        <f t="shared" si="424"/>
        <v xml:space="preserve">COM VALOR</v>
      </c>
      <c r="J9038" s="19"/>
      <c r="L9038" s="21">
        <v>151.21000000000001</v>
      </c>
      <c r="M9038" s="22">
        <v>0</v>
      </c>
      <c r="N9038" s="21">
        <v>143.11000000000001</v>
      </c>
      <c r="O9038" s="22">
        <v>0</v>
      </c>
    </row>
    <row r="9039" ht="38.25">
      <c r="A9039" t="s">
        <v>9127</v>
      </c>
      <c r="B9039" s="19">
        <v>103413</v>
      </c>
      <c r="C9039" s="20" t="s">
        <v>9154</v>
      </c>
      <c r="D9039" s="19" t="s">
        <v>31</v>
      </c>
      <c r="E9039" s="21">
        <f t="shared" si="422"/>
        <v>23.800000000000001</v>
      </c>
      <c r="F9039" s="22">
        <v>0</v>
      </c>
      <c r="G9039" s="21">
        <f t="shared" si="423"/>
        <v>22.530000000000001</v>
      </c>
      <c r="H9039" s="22">
        <v>0</v>
      </c>
      <c r="I9039" s="23" t="str">
        <f t="shared" si="424"/>
        <v xml:space="preserve">COM VALOR</v>
      </c>
      <c r="J9039" s="19"/>
      <c r="L9039" s="21">
        <v>23.800000000000001</v>
      </c>
      <c r="M9039" s="22">
        <v>0</v>
      </c>
      <c r="N9039" s="21">
        <v>22.530000000000001</v>
      </c>
      <c r="O9039" s="22">
        <v>0</v>
      </c>
    </row>
    <row r="9040" ht="38.25">
      <c r="A9040" t="s">
        <v>9127</v>
      </c>
      <c r="B9040" s="19">
        <v>103414</v>
      </c>
      <c r="C9040" s="20" t="s">
        <v>9155</v>
      </c>
      <c r="D9040" s="19" t="s">
        <v>31</v>
      </c>
      <c r="E9040" s="21">
        <f t="shared" si="422"/>
        <v>34.020000000000003</v>
      </c>
      <c r="F9040" s="22">
        <v>0</v>
      </c>
      <c r="G9040" s="21">
        <f t="shared" si="423"/>
        <v>32.189999999999998</v>
      </c>
      <c r="H9040" s="22">
        <v>0</v>
      </c>
      <c r="I9040" s="23" t="str">
        <f t="shared" si="424"/>
        <v xml:space="preserve">COM VALOR</v>
      </c>
      <c r="J9040" s="19"/>
      <c r="L9040" s="21">
        <v>34.020000000000003</v>
      </c>
      <c r="M9040" s="22">
        <v>0</v>
      </c>
      <c r="N9040" s="21">
        <v>32.189999999999998</v>
      </c>
      <c r="O9040" s="22">
        <v>0</v>
      </c>
    </row>
    <row r="9041" ht="38.25">
      <c r="A9041" t="s">
        <v>9127</v>
      </c>
      <c r="B9041" s="19">
        <v>103432</v>
      </c>
      <c r="C9041" s="20" t="s">
        <v>9156</v>
      </c>
      <c r="D9041" s="19" t="s">
        <v>31</v>
      </c>
      <c r="E9041" s="21">
        <f t="shared" si="422"/>
        <v>1646.6400000000001</v>
      </c>
      <c r="F9041" s="22">
        <v>0</v>
      </c>
      <c r="G9041" s="21">
        <f t="shared" si="423"/>
        <v>1644.6099999999999</v>
      </c>
      <c r="H9041" s="22">
        <v>0</v>
      </c>
      <c r="I9041" s="23" t="str">
        <f t="shared" si="424"/>
        <v xml:space="preserve">COM VALOR</v>
      </c>
      <c r="J9041" s="19"/>
      <c r="L9041" s="21">
        <v>1646.6400000000001</v>
      </c>
      <c r="M9041" s="22">
        <v>0.97999999999999998</v>
      </c>
      <c r="N9041" s="21">
        <v>1644.6099999999999</v>
      </c>
      <c r="O9041" s="22">
        <v>0.97999999999999998</v>
      </c>
    </row>
    <row r="9042" ht="38.25">
      <c r="A9042" t="s">
        <v>9127</v>
      </c>
      <c r="B9042" s="19">
        <v>103430</v>
      </c>
      <c r="C9042" s="20" t="s">
        <v>9157</v>
      </c>
      <c r="D9042" s="19" t="s">
        <v>31</v>
      </c>
      <c r="E9042" s="21">
        <f t="shared" si="422"/>
        <v>34.960000000000001</v>
      </c>
      <c r="F9042" s="22">
        <v>0</v>
      </c>
      <c r="G9042" s="21">
        <f t="shared" si="423"/>
        <v>34.640000000000001</v>
      </c>
      <c r="H9042" s="22">
        <v>0</v>
      </c>
      <c r="I9042" s="23" t="str">
        <f t="shared" si="424"/>
        <v xml:space="preserve">COM VALOR</v>
      </c>
      <c r="J9042" s="19"/>
      <c r="L9042" s="21">
        <v>34.960000000000001</v>
      </c>
      <c r="M9042" s="22">
        <v>0.82999999999999996</v>
      </c>
      <c r="N9042" s="21">
        <v>34.640000000000001</v>
      </c>
      <c r="O9042" s="22">
        <v>0.82999999999999996</v>
      </c>
    </row>
    <row r="9043" ht="38.25">
      <c r="A9043" t="s">
        <v>9127</v>
      </c>
      <c r="B9043" s="19">
        <v>103431</v>
      </c>
      <c r="C9043" s="20" t="s">
        <v>9158</v>
      </c>
      <c r="D9043" s="19" t="s">
        <v>31</v>
      </c>
      <c r="E9043" s="21">
        <f t="shared" si="422"/>
        <v>61.259999999999998</v>
      </c>
      <c r="F9043" s="22">
        <v>0</v>
      </c>
      <c r="G9043" s="21">
        <f t="shared" si="423"/>
        <v>60.619999999999997</v>
      </c>
      <c r="H9043" s="22">
        <v>0</v>
      </c>
      <c r="I9043" s="23" t="str">
        <f t="shared" si="424"/>
        <v xml:space="preserve">COM VALOR</v>
      </c>
      <c r="J9043" s="19"/>
      <c r="L9043" s="21">
        <v>61.259999999999998</v>
      </c>
      <c r="M9043" s="22">
        <v>0.81000000000000005</v>
      </c>
      <c r="N9043" s="21">
        <v>60.619999999999997</v>
      </c>
      <c r="O9043" s="22">
        <v>0.81000000000000005</v>
      </c>
    </row>
    <row r="9044" ht="38.25">
      <c r="A9044" t="s">
        <v>9127</v>
      </c>
      <c r="B9044" s="19">
        <v>103433</v>
      </c>
      <c r="C9044" s="20" t="s">
        <v>9159</v>
      </c>
      <c r="D9044" s="19" t="s">
        <v>31</v>
      </c>
      <c r="E9044" s="21">
        <f t="shared" si="422"/>
        <v>34.609999999999999</v>
      </c>
      <c r="F9044" s="22">
        <v>0</v>
      </c>
      <c r="G9044" s="21">
        <f t="shared" si="423"/>
        <v>34.399999999999999</v>
      </c>
      <c r="H9044" s="22">
        <v>0</v>
      </c>
      <c r="I9044" s="23" t="str">
        <f t="shared" si="424"/>
        <v xml:space="preserve">COM VALOR</v>
      </c>
      <c r="J9044" s="19"/>
      <c r="L9044" s="21">
        <v>34.609999999999999</v>
      </c>
      <c r="M9044" s="22">
        <v>0.89000000000000001</v>
      </c>
      <c r="N9044" s="21">
        <v>34.399999999999999</v>
      </c>
      <c r="O9044" s="22">
        <v>0.90000000000000002</v>
      </c>
    </row>
    <row r="9045" ht="38.25">
      <c r="A9045" t="s">
        <v>9127</v>
      </c>
      <c r="B9045" s="19">
        <v>103434</v>
      </c>
      <c r="C9045" s="20" t="s">
        <v>9160</v>
      </c>
      <c r="D9045" s="19" t="s">
        <v>31</v>
      </c>
      <c r="E9045" s="21">
        <f t="shared" si="422"/>
        <v>47.869999999999997</v>
      </c>
      <c r="F9045" s="22">
        <v>0</v>
      </c>
      <c r="G9045" s="21">
        <f t="shared" si="423"/>
        <v>47.549999999999997</v>
      </c>
      <c r="H9045" s="22">
        <v>0</v>
      </c>
      <c r="I9045" s="23" t="str">
        <f t="shared" si="424"/>
        <v xml:space="preserve">COM VALOR</v>
      </c>
      <c r="J9045" s="19"/>
      <c r="L9045" s="21">
        <v>47.869999999999997</v>
      </c>
      <c r="M9045" s="22">
        <v>0.87</v>
      </c>
      <c r="N9045" s="21">
        <v>47.549999999999997</v>
      </c>
      <c r="O9045" s="22">
        <v>0.88</v>
      </c>
    </row>
    <row r="9046" ht="38.25">
      <c r="A9046" t="s">
        <v>9127</v>
      </c>
      <c r="B9046" s="19">
        <v>103435</v>
      </c>
      <c r="C9046" s="20" t="s">
        <v>9161</v>
      </c>
      <c r="D9046" s="19" t="s">
        <v>31</v>
      </c>
      <c r="E9046" s="21">
        <f t="shared" si="422"/>
        <v>89.060000000000002</v>
      </c>
      <c r="F9046" s="22">
        <v>0</v>
      </c>
      <c r="G9046" s="21">
        <f t="shared" si="423"/>
        <v>88.420000000000002</v>
      </c>
      <c r="H9046" s="22">
        <v>0</v>
      </c>
      <c r="I9046" s="23" t="str">
        <f t="shared" si="424"/>
        <v xml:space="preserve">COM VALOR</v>
      </c>
      <c r="J9046" s="19"/>
      <c r="L9046" s="21">
        <v>89.060000000000002</v>
      </c>
      <c r="M9046" s="22">
        <v>0.87</v>
      </c>
      <c r="N9046" s="21">
        <v>88.420000000000002</v>
      </c>
      <c r="O9046" s="22">
        <v>0.87</v>
      </c>
    </row>
    <row r="9047" ht="38.25">
      <c r="A9047" t="s">
        <v>9127</v>
      </c>
      <c r="B9047" s="19">
        <v>103436</v>
      </c>
      <c r="C9047" s="20" t="s">
        <v>9162</v>
      </c>
      <c r="D9047" s="19" t="s">
        <v>31</v>
      </c>
      <c r="E9047" s="21">
        <f t="shared" si="422"/>
        <v>2332.2199999999998</v>
      </c>
      <c r="F9047" s="22">
        <v>0</v>
      </c>
      <c r="G9047" s="21">
        <f t="shared" si="423"/>
        <v>2330.1900000000001</v>
      </c>
      <c r="H9047" s="22">
        <v>0</v>
      </c>
      <c r="I9047" s="23" t="str">
        <f t="shared" si="424"/>
        <v xml:space="preserve">COM VALOR</v>
      </c>
      <c r="J9047" s="19"/>
      <c r="L9047" s="21">
        <v>2332.2199999999998</v>
      </c>
      <c r="M9047" s="22">
        <v>0.97999999999999998</v>
      </c>
      <c r="N9047" s="21">
        <v>2330.1900000000001</v>
      </c>
      <c r="O9047" s="22">
        <v>0.97999999999999998</v>
      </c>
    </row>
    <row r="9048" ht="51">
      <c r="A9048" t="s">
        <v>9127</v>
      </c>
      <c r="B9048" s="19">
        <v>103482</v>
      </c>
      <c r="C9048" s="20" t="s">
        <v>9163</v>
      </c>
      <c r="D9048" s="19" t="s">
        <v>31</v>
      </c>
      <c r="E9048" s="21" t="str">
        <f t="shared" si="422"/>
        <v>VERIFICAR</v>
      </c>
      <c r="F9048" s="22">
        <v>0</v>
      </c>
      <c r="G9048" s="21" t="str">
        <f t="shared" si="423"/>
        <v>VERIFICAR</v>
      </c>
      <c r="H9048" s="22">
        <v>0</v>
      </c>
      <c r="I9048" s="23" t="str">
        <f t="shared" si="424"/>
        <v xml:space="preserve">COM VALOR</v>
      </c>
      <c r="J9048" s="19"/>
      <c r="L9048" s="21">
        <v>0</v>
      </c>
      <c r="M9048" s="22"/>
      <c r="N9048" s="21">
        <v>0</v>
      </c>
      <c r="O9048" s="22"/>
    </row>
    <row r="9049" ht="51">
      <c r="A9049" t="s">
        <v>9127</v>
      </c>
      <c r="B9049" s="19">
        <v>103465</v>
      </c>
      <c r="C9049" s="20" t="s">
        <v>9164</v>
      </c>
      <c r="D9049" s="19" t="s">
        <v>31</v>
      </c>
      <c r="E9049" s="21" t="str">
        <f t="shared" si="422"/>
        <v>VERIFICAR</v>
      </c>
      <c r="F9049" s="22">
        <v>0</v>
      </c>
      <c r="G9049" s="21" t="str">
        <f t="shared" si="423"/>
        <v>VERIFICAR</v>
      </c>
      <c r="H9049" s="22">
        <v>0</v>
      </c>
      <c r="I9049" s="23" t="str">
        <f t="shared" si="424"/>
        <v xml:space="preserve">COM VALOR</v>
      </c>
      <c r="J9049" s="19"/>
      <c r="L9049" s="21">
        <v>0</v>
      </c>
      <c r="M9049" s="22"/>
      <c r="N9049" s="21">
        <v>0</v>
      </c>
      <c r="O9049" s="22"/>
    </row>
    <row r="9050" ht="51">
      <c r="A9050" t="s">
        <v>9127</v>
      </c>
      <c r="B9050" s="19">
        <v>103483</v>
      </c>
      <c r="C9050" s="20" t="s">
        <v>9165</v>
      </c>
      <c r="D9050" s="19" t="s">
        <v>31</v>
      </c>
      <c r="E9050" s="21" t="str">
        <f t="shared" si="422"/>
        <v>VERIFICAR</v>
      </c>
      <c r="F9050" s="22"/>
      <c r="G9050" s="21" t="str">
        <f t="shared" si="423"/>
        <v>VERIFICAR</v>
      </c>
      <c r="H9050" s="22"/>
      <c r="I9050" s="23" t="str">
        <f t="shared" si="424"/>
        <v xml:space="preserve">COM VALOR</v>
      </c>
      <c r="J9050" s="19"/>
      <c r="L9050" s="21">
        <v>0</v>
      </c>
      <c r="M9050" s="22"/>
      <c r="N9050" s="21">
        <v>0</v>
      </c>
      <c r="O9050" s="22"/>
    </row>
    <row r="9051" ht="51">
      <c r="A9051" t="s">
        <v>9127</v>
      </c>
      <c r="B9051" s="19">
        <v>103484</v>
      </c>
      <c r="C9051" s="20" t="s">
        <v>9166</v>
      </c>
      <c r="D9051" s="19" t="s">
        <v>31</v>
      </c>
      <c r="E9051" s="21" t="str">
        <f t="shared" si="422"/>
        <v>VERIFICAR</v>
      </c>
      <c r="F9051" s="22"/>
      <c r="G9051" s="21" t="str">
        <f t="shared" si="423"/>
        <v>VERIFICAR</v>
      </c>
      <c r="H9051" s="22"/>
      <c r="I9051" s="23" t="str">
        <f t="shared" si="424"/>
        <v xml:space="preserve">COM VALOR</v>
      </c>
      <c r="J9051" s="19"/>
      <c r="L9051" s="21">
        <v>0</v>
      </c>
      <c r="M9051" s="22"/>
      <c r="N9051" s="21">
        <v>0</v>
      </c>
      <c r="O9051" s="22"/>
    </row>
    <row r="9052" ht="51">
      <c r="A9052" t="s">
        <v>9127</v>
      </c>
      <c r="B9052" s="19">
        <v>103466</v>
      </c>
      <c r="C9052" s="20" t="s">
        <v>9167</v>
      </c>
      <c r="D9052" s="19" t="s">
        <v>31</v>
      </c>
      <c r="E9052" s="21" t="str">
        <f t="shared" si="422"/>
        <v>VERIFICAR</v>
      </c>
      <c r="F9052" s="22"/>
      <c r="G9052" s="21" t="str">
        <f t="shared" si="423"/>
        <v>VERIFICAR</v>
      </c>
      <c r="H9052" s="22"/>
      <c r="I9052" s="23" t="str">
        <f t="shared" si="424"/>
        <v xml:space="preserve">COM VALOR</v>
      </c>
      <c r="J9052" s="19"/>
      <c r="L9052" s="21">
        <v>0</v>
      </c>
      <c r="M9052" s="22"/>
      <c r="N9052" s="21">
        <v>0</v>
      </c>
      <c r="O9052" s="22"/>
    </row>
    <row r="9053" ht="51">
      <c r="A9053" t="s">
        <v>9127</v>
      </c>
      <c r="B9053" s="19">
        <v>103485</v>
      </c>
      <c r="C9053" s="20" t="s">
        <v>9168</v>
      </c>
      <c r="D9053" s="19" t="s">
        <v>31</v>
      </c>
      <c r="E9053" s="21" t="str">
        <f t="shared" si="422"/>
        <v>VERIFICAR</v>
      </c>
      <c r="F9053" s="22"/>
      <c r="G9053" s="21" t="str">
        <f t="shared" si="423"/>
        <v>VERIFICAR</v>
      </c>
      <c r="H9053" s="22"/>
      <c r="I9053" s="23" t="str">
        <f t="shared" si="424"/>
        <v xml:space="preserve">COM VALOR</v>
      </c>
      <c r="J9053" s="19"/>
      <c r="L9053" s="21">
        <v>0</v>
      </c>
      <c r="M9053" s="22"/>
      <c r="N9053" s="21">
        <v>0</v>
      </c>
      <c r="O9053" s="22"/>
    </row>
    <row r="9054" ht="51">
      <c r="A9054" t="s">
        <v>9127</v>
      </c>
      <c r="B9054" s="19">
        <v>103467</v>
      </c>
      <c r="C9054" s="20" t="s">
        <v>9169</v>
      </c>
      <c r="D9054" s="19" t="s">
        <v>31</v>
      </c>
      <c r="E9054" s="21" t="str">
        <f t="shared" si="422"/>
        <v>VERIFICAR</v>
      </c>
      <c r="F9054" s="22"/>
      <c r="G9054" s="21" t="str">
        <f t="shared" si="423"/>
        <v>VERIFICAR</v>
      </c>
      <c r="H9054" s="22"/>
      <c r="I9054" s="23" t="str">
        <f t="shared" si="424"/>
        <v xml:space="preserve">COM VALOR</v>
      </c>
      <c r="J9054" s="19"/>
      <c r="L9054" s="21">
        <v>0</v>
      </c>
      <c r="M9054" s="22"/>
      <c r="N9054" s="21">
        <v>0</v>
      </c>
      <c r="O9054" s="22"/>
    </row>
    <row r="9055" ht="51">
      <c r="A9055" t="s">
        <v>9127</v>
      </c>
      <c r="B9055" s="19">
        <v>103461</v>
      </c>
      <c r="C9055" s="20" t="s">
        <v>9170</v>
      </c>
      <c r="D9055" s="19" t="s">
        <v>31</v>
      </c>
      <c r="E9055" s="21" t="str">
        <f t="shared" si="422"/>
        <v>VERIFICAR</v>
      </c>
      <c r="F9055" s="22"/>
      <c r="G9055" s="21" t="str">
        <f t="shared" si="423"/>
        <v>VERIFICAR</v>
      </c>
      <c r="H9055" s="22"/>
      <c r="I9055" s="23" t="str">
        <f t="shared" si="424"/>
        <v xml:space="preserve">COM VALOR</v>
      </c>
      <c r="J9055" s="19"/>
      <c r="L9055" s="21">
        <v>0</v>
      </c>
      <c r="M9055" s="22"/>
      <c r="N9055" s="21">
        <v>0</v>
      </c>
      <c r="O9055" s="22"/>
    </row>
    <row r="9056" ht="51">
      <c r="A9056" t="s">
        <v>9127</v>
      </c>
      <c r="B9056" s="19">
        <v>103468</v>
      </c>
      <c r="C9056" s="20" t="s">
        <v>9171</v>
      </c>
      <c r="D9056" s="19" t="s">
        <v>31</v>
      </c>
      <c r="E9056" s="21" t="str">
        <f t="shared" si="422"/>
        <v>VERIFICAR</v>
      </c>
      <c r="F9056" s="22"/>
      <c r="G9056" s="21" t="str">
        <f t="shared" si="423"/>
        <v>VERIFICAR</v>
      </c>
      <c r="H9056" s="22"/>
      <c r="I9056" s="23" t="str">
        <f t="shared" si="424"/>
        <v xml:space="preserve">COM VALOR</v>
      </c>
      <c r="J9056" s="19"/>
      <c r="L9056" s="21">
        <v>0</v>
      </c>
      <c r="M9056" s="22"/>
      <c r="N9056" s="21">
        <v>0</v>
      </c>
      <c r="O9056" s="22"/>
    </row>
    <row r="9057" ht="51">
      <c r="A9057" t="s">
        <v>9127</v>
      </c>
      <c r="B9057" s="19">
        <v>103469</v>
      </c>
      <c r="C9057" s="20" t="s">
        <v>9172</v>
      </c>
      <c r="D9057" s="19" t="s">
        <v>31</v>
      </c>
      <c r="E9057" s="21" t="str">
        <f t="shared" si="422"/>
        <v>VERIFICAR</v>
      </c>
      <c r="F9057" s="22"/>
      <c r="G9057" s="21" t="str">
        <f t="shared" si="423"/>
        <v>VERIFICAR</v>
      </c>
      <c r="H9057" s="22"/>
      <c r="I9057" s="23" t="str">
        <f t="shared" si="424"/>
        <v xml:space="preserve">COM VALOR</v>
      </c>
      <c r="J9057" s="19"/>
      <c r="L9057" s="21">
        <v>0</v>
      </c>
      <c r="M9057" s="22"/>
      <c r="N9057" s="21">
        <v>0</v>
      </c>
      <c r="O9057" s="22"/>
    </row>
    <row r="9058" ht="51">
      <c r="A9058" t="s">
        <v>9127</v>
      </c>
      <c r="B9058" s="19">
        <v>103470</v>
      </c>
      <c r="C9058" s="20" t="s">
        <v>9173</v>
      </c>
      <c r="D9058" s="19" t="s">
        <v>31</v>
      </c>
      <c r="E9058" s="21" t="str">
        <f t="shared" si="422"/>
        <v>VERIFICAR</v>
      </c>
      <c r="F9058" s="22"/>
      <c r="G9058" s="21" t="str">
        <f t="shared" si="423"/>
        <v>VERIFICAR</v>
      </c>
      <c r="H9058" s="22"/>
      <c r="I9058" s="23" t="str">
        <f t="shared" si="424"/>
        <v xml:space="preserve">COM VALOR</v>
      </c>
      <c r="J9058" s="19"/>
      <c r="L9058" s="21">
        <v>0</v>
      </c>
      <c r="M9058" s="22"/>
      <c r="N9058" s="21">
        <v>0</v>
      </c>
      <c r="O9058" s="22"/>
    </row>
    <row r="9059" ht="51">
      <c r="A9059" t="s">
        <v>9127</v>
      </c>
      <c r="B9059" s="19">
        <v>103471</v>
      </c>
      <c r="C9059" s="20" t="s">
        <v>9174</v>
      </c>
      <c r="D9059" s="19" t="s">
        <v>31</v>
      </c>
      <c r="E9059" s="21" t="str">
        <f t="shared" si="422"/>
        <v>VERIFICAR</v>
      </c>
      <c r="F9059" s="22"/>
      <c r="G9059" s="21" t="str">
        <f t="shared" si="423"/>
        <v>VERIFICAR</v>
      </c>
      <c r="H9059" s="22"/>
      <c r="I9059" s="23" t="str">
        <f t="shared" si="424"/>
        <v xml:space="preserve">COM VALOR</v>
      </c>
      <c r="J9059" s="19"/>
      <c r="L9059" s="21">
        <v>0</v>
      </c>
      <c r="M9059" s="22"/>
      <c r="N9059" s="21">
        <v>0</v>
      </c>
      <c r="O9059" s="22"/>
    </row>
    <row r="9060" ht="51">
      <c r="A9060" t="s">
        <v>9127</v>
      </c>
      <c r="B9060" s="19">
        <v>103472</v>
      </c>
      <c r="C9060" s="20" t="s">
        <v>9175</v>
      </c>
      <c r="D9060" s="19" t="s">
        <v>31</v>
      </c>
      <c r="E9060" s="21" t="str">
        <f t="shared" si="422"/>
        <v>VERIFICAR</v>
      </c>
      <c r="F9060" s="22"/>
      <c r="G9060" s="21" t="str">
        <f t="shared" si="423"/>
        <v>VERIFICAR</v>
      </c>
      <c r="H9060" s="22"/>
      <c r="I9060" s="23" t="str">
        <f t="shared" si="424"/>
        <v xml:space="preserve">COM VALOR</v>
      </c>
      <c r="J9060" s="19"/>
      <c r="L9060" s="21">
        <v>0</v>
      </c>
      <c r="M9060" s="22"/>
      <c r="N9060" s="21">
        <v>0</v>
      </c>
      <c r="O9060" s="22"/>
    </row>
    <row r="9061" ht="51">
      <c r="A9061" t="s">
        <v>9127</v>
      </c>
      <c r="B9061" s="19">
        <v>103462</v>
      </c>
      <c r="C9061" s="20" t="s">
        <v>9176</v>
      </c>
      <c r="D9061" s="19" t="s">
        <v>31</v>
      </c>
      <c r="E9061" s="21" t="str">
        <f t="shared" si="422"/>
        <v>VERIFICAR</v>
      </c>
      <c r="F9061" s="22"/>
      <c r="G9061" s="21" t="str">
        <f t="shared" si="423"/>
        <v>VERIFICAR</v>
      </c>
      <c r="H9061" s="22"/>
      <c r="I9061" s="23" t="str">
        <f t="shared" si="424"/>
        <v xml:space="preserve">COM VALOR</v>
      </c>
      <c r="J9061" s="19"/>
      <c r="L9061" s="21">
        <v>0</v>
      </c>
      <c r="M9061" s="22"/>
      <c r="N9061" s="21">
        <v>0</v>
      </c>
      <c r="O9061" s="22"/>
    </row>
    <row r="9062" ht="51">
      <c r="A9062" t="s">
        <v>9127</v>
      </c>
      <c r="B9062" s="19">
        <v>103473</v>
      </c>
      <c r="C9062" s="20" t="s">
        <v>9177</v>
      </c>
      <c r="D9062" s="19" t="s">
        <v>31</v>
      </c>
      <c r="E9062" s="21" t="str">
        <f t="shared" si="422"/>
        <v>VERIFICAR</v>
      </c>
      <c r="F9062" s="22"/>
      <c r="G9062" s="21" t="str">
        <f t="shared" si="423"/>
        <v>VERIFICAR</v>
      </c>
      <c r="H9062" s="22"/>
      <c r="I9062" s="23" t="str">
        <f t="shared" si="424"/>
        <v xml:space="preserve">COM VALOR</v>
      </c>
      <c r="J9062" s="19"/>
      <c r="L9062" s="21">
        <v>0</v>
      </c>
      <c r="M9062" s="22"/>
      <c r="N9062" s="21">
        <v>0</v>
      </c>
      <c r="O9062" s="22"/>
    </row>
    <row r="9063" ht="51">
      <c r="A9063" t="s">
        <v>9127</v>
      </c>
      <c r="B9063" s="19">
        <v>103474</v>
      </c>
      <c r="C9063" s="20" t="s">
        <v>9178</v>
      </c>
      <c r="D9063" s="19" t="s">
        <v>31</v>
      </c>
      <c r="E9063" s="21" t="str">
        <f t="shared" si="422"/>
        <v>VERIFICAR</v>
      </c>
      <c r="F9063" s="22"/>
      <c r="G9063" s="21" t="str">
        <f t="shared" si="423"/>
        <v>VERIFICAR</v>
      </c>
      <c r="H9063" s="22"/>
      <c r="I9063" s="23" t="str">
        <f t="shared" si="424"/>
        <v xml:space="preserve">COM VALOR</v>
      </c>
      <c r="J9063" s="19"/>
      <c r="L9063" s="21">
        <v>0</v>
      </c>
      <c r="M9063" s="22"/>
      <c r="N9063" s="21">
        <v>0</v>
      </c>
      <c r="O9063" s="22"/>
    </row>
    <row r="9064" ht="51">
      <c r="A9064" t="s">
        <v>9127</v>
      </c>
      <c r="B9064" s="19">
        <v>103475</v>
      </c>
      <c r="C9064" s="20" t="s">
        <v>9179</v>
      </c>
      <c r="D9064" s="19" t="s">
        <v>31</v>
      </c>
      <c r="E9064" s="21" t="str">
        <f t="shared" si="422"/>
        <v>VERIFICAR</v>
      </c>
      <c r="F9064" s="22"/>
      <c r="G9064" s="21" t="str">
        <f t="shared" si="423"/>
        <v>VERIFICAR</v>
      </c>
      <c r="H9064" s="22"/>
      <c r="I9064" s="23" t="str">
        <f t="shared" si="424"/>
        <v xml:space="preserve">COM VALOR</v>
      </c>
      <c r="J9064" s="19"/>
      <c r="L9064" s="21">
        <v>0</v>
      </c>
      <c r="M9064" s="22"/>
      <c r="N9064" s="21">
        <v>0</v>
      </c>
      <c r="O9064" s="22"/>
    </row>
    <row r="9065" ht="51">
      <c r="A9065" t="s">
        <v>9127</v>
      </c>
      <c r="B9065" s="19">
        <v>103476</v>
      </c>
      <c r="C9065" s="20" t="s">
        <v>9180</v>
      </c>
      <c r="D9065" s="19" t="s">
        <v>31</v>
      </c>
      <c r="E9065" s="21" t="str">
        <f t="shared" si="422"/>
        <v>VERIFICAR</v>
      </c>
      <c r="F9065" s="22"/>
      <c r="G9065" s="21" t="str">
        <f t="shared" si="423"/>
        <v>VERIFICAR</v>
      </c>
      <c r="H9065" s="22"/>
      <c r="I9065" s="23" t="str">
        <f t="shared" si="424"/>
        <v xml:space="preserve">COM VALOR</v>
      </c>
      <c r="J9065" s="19"/>
      <c r="L9065" s="21">
        <v>0</v>
      </c>
      <c r="M9065" s="22"/>
      <c r="N9065" s="21">
        <v>0</v>
      </c>
      <c r="O9065" s="22"/>
    </row>
    <row r="9066" ht="51">
      <c r="A9066" t="s">
        <v>9127</v>
      </c>
      <c r="B9066" s="19">
        <v>103477</v>
      </c>
      <c r="C9066" s="20" t="s">
        <v>9181</v>
      </c>
      <c r="D9066" s="19" t="s">
        <v>31</v>
      </c>
      <c r="E9066" s="21" t="str">
        <f t="shared" si="422"/>
        <v>VERIFICAR</v>
      </c>
      <c r="F9066" s="22"/>
      <c r="G9066" s="21" t="str">
        <f t="shared" si="423"/>
        <v>VERIFICAR</v>
      </c>
      <c r="H9066" s="22"/>
      <c r="I9066" s="23" t="str">
        <f t="shared" si="424"/>
        <v xml:space="preserve">COM VALOR</v>
      </c>
      <c r="J9066" s="19"/>
      <c r="L9066" s="21">
        <v>0</v>
      </c>
      <c r="M9066" s="22"/>
      <c r="N9066" s="21">
        <v>0</v>
      </c>
      <c r="O9066" s="22"/>
    </row>
    <row r="9067" ht="51">
      <c r="A9067" t="s">
        <v>9127</v>
      </c>
      <c r="B9067" s="19">
        <v>103463</v>
      </c>
      <c r="C9067" s="20" t="s">
        <v>9182</v>
      </c>
      <c r="D9067" s="19" t="s">
        <v>31</v>
      </c>
      <c r="E9067" s="21" t="str">
        <f t="shared" si="422"/>
        <v>VERIFICAR</v>
      </c>
      <c r="F9067" s="22"/>
      <c r="G9067" s="21" t="str">
        <f t="shared" si="423"/>
        <v>VERIFICAR</v>
      </c>
      <c r="H9067" s="22"/>
      <c r="I9067" s="23" t="str">
        <f t="shared" si="424"/>
        <v xml:space="preserve">COM VALOR</v>
      </c>
      <c r="J9067" s="19"/>
      <c r="L9067" s="21">
        <v>0</v>
      </c>
      <c r="M9067" s="22"/>
      <c r="N9067" s="21">
        <v>0</v>
      </c>
      <c r="O9067" s="22"/>
    </row>
    <row r="9068" ht="51">
      <c r="A9068" t="s">
        <v>9127</v>
      </c>
      <c r="B9068" s="19">
        <v>103478</v>
      </c>
      <c r="C9068" s="20" t="s">
        <v>9183</v>
      </c>
      <c r="D9068" s="19" t="s">
        <v>31</v>
      </c>
      <c r="E9068" s="21" t="str">
        <f t="shared" si="422"/>
        <v>VERIFICAR</v>
      </c>
      <c r="F9068" s="22"/>
      <c r="G9068" s="21" t="str">
        <f t="shared" si="423"/>
        <v>VERIFICAR</v>
      </c>
      <c r="H9068" s="22"/>
      <c r="I9068" s="23" t="str">
        <f t="shared" si="424"/>
        <v xml:space="preserve">COM VALOR</v>
      </c>
      <c r="J9068" s="19"/>
      <c r="L9068" s="21">
        <v>0</v>
      </c>
      <c r="M9068" s="22"/>
      <c r="N9068" s="21">
        <v>0</v>
      </c>
      <c r="O9068" s="22"/>
    </row>
    <row r="9069" ht="51">
      <c r="A9069" t="s">
        <v>9127</v>
      </c>
      <c r="B9069" s="19">
        <v>103479</v>
      </c>
      <c r="C9069" s="20" t="s">
        <v>9184</v>
      </c>
      <c r="D9069" s="19" t="s">
        <v>31</v>
      </c>
      <c r="E9069" s="21" t="str">
        <f t="shared" si="422"/>
        <v>VERIFICAR</v>
      </c>
      <c r="F9069" s="22"/>
      <c r="G9069" s="21" t="str">
        <f t="shared" si="423"/>
        <v>VERIFICAR</v>
      </c>
      <c r="H9069" s="22"/>
      <c r="I9069" s="23" t="str">
        <f t="shared" si="424"/>
        <v xml:space="preserve">COM VALOR</v>
      </c>
      <c r="J9069" s="19"/>
      <c r="L9069" s="21">
        <v>0</v>
      </c>
      <c r="M9069" s="22"/>
      <c r="N9069" s="21">
        <v>0</v>
      </c>
      <c r="O9069" s="22"/>
    </row>
    <row r="9070" ht="51">
      <c r="A9070" t="s">
        <v>9127</v>
      </c>
      <c r="B9070" s="19">
        <v>103480</v>
      </c>
      <c r="C9070" s="20" t="s">
        <v>9185</v>
      </c>
      <c r="D9070" s="19" t="s">
        <v>31</v>
      </c>
      <c r="E9070" s="21" t="str">
        <f t="shared" si="422"/>
        <v>VERIFICAR</v>
      </c>
      <c r="F9070" s="22"/>
      <c r="G9070" s="21" t="str">
        <f t="shared" si="423"/>
        <v>VERIFICAR</v>
      </c>
      <c r="H9070" s="22"/>
      <c r="I9070" s="23" t="str">
        <f t="shared" si="424"/>
        <v xml:space="preserve">COM VALOR</v>
      </c>
      <c r="J9070" s="19"/>
      <c r="L9070" s="21">
        <v>0</v>
      </c>
      <c r="M9070" s="22"/>
      <c r="N9070" s="21">
        <v>0</v>
      </c>
      <c r="O9070" s="22"/>
    </row>
    <row r="9071" ht="51">
      <c r="A9071" t="s">
        <v>9127</v>
      </c>
      <c r="B9071" s="19">
        <v>103464</v>
      </c>
      <c r="C9071" s="20" t="s">
        <v>9186</v>
      </c>
      <c r="D9071" s="19" t="s">
        <v>31</v>
      </c>
      <c r="E9071" s="21" t="str">
        <f t="shared" si="422"/>
        <v>VERIFICAR</v>
      </c>
      <c r="F9071" s="22"/>
      <c r="G9071" s="21" t="str">
        <f t="shared" si="423"/>
        <v>VERIFICAR</v>
      </c>
      <c r="H9071" s="22"/>
      <c r="I9071" s="23" t="str">
        <f t="shared" si="424"/>
        <v xml:space="preserve">COM VALOR</v>
      </c>
      <c r="J9071" s="19"/>
      <c r="L9071" s="21">
        <v>0</v>
      </c>
      <c r="M9071" s="22"/>
      <c r="N9071" s="21">
        <v>0</v>
      </c>
      <c r="O9071" s="22"/>
    </row>
    <row r="9072" ht="51">
      <c r="A9072" t="s">
        <v>9127</v>
      </c>
      <c r="B9072" s="19">
        <v>103481</v>
      </c>
      <c r="C9072" s="20" t="s">
        <v>9187</v>
      </c>
      <c r="D9072" s="19" t="s">
        <v>31</v>
      </c>
      <c r="E9072" s="21" t="str">
        <f t="shared" si="422"/>
        <v>VERIFICAR</v>
      </c>
      <c r="F9072" s="22"/>
      <c r="G9072" s="21" t="str">
        <f t="shared" si="423"/>
        <v>VERIFICAR</v>
      </c>
      <c r="H9072" s="22"/>
      <c r="I9072" s="23" t="str">
        <f t="shared" si="424"/>
        <v xml:space="preserve">COM VALOR</v>
      </c>
      <c r="J9072" s="19"/>
      <c r="L9072" s="21">
        <v>0</v>
      </c>
      <c r="M9072" s="22"/>
      <c r="N9072" s="21">
        <v>0</v>
      </c>
      <c r="O9072" s="22"/>
    </row>
    <row r="9073" ht="51">
      <c r="A9073" t="s">
        <v>9127</v>
      </c>
      <c r="B9073" s="19">
        <v>103459</v>
      </c>
      <c r="C9073" s="20" t="s">
        <v>9188</v>
      </c>
      <c r="D9073" s="19" t="s">
        <v>31</v>
      </c>
      <c r="E9073" s="21" t="str">
        <f t="shared" si="422"/>
        <v>VERIFICAR</v>
      </c>
      <c r="F9073" s="22"/>
      <c r="G9073" s="21" t="str">
        <f t="shared" si="423"/>
        <v>VERIFICAR</v>
      </c>
      <c r="H9073" s="22"/>
      <c r="I9073" s="23" t="str">
        <f t="shared" si="424"/>
        <v xml:space="preserve">COM VALOR</v>
      </c>
      <c r="J9073" s="19"/>
      <c r="L9073" s="21">
        <v>0</v>
      </c>
      <c r="M9073" s="22"/>
      <c r="N9073" s="21">
        <v>0</v>
      </c>
      <c r="O9073" s="22"/>
    </row>
    <row r="9074" ht="51">
      <c r="A9074" t="s">
        <v>9127</v>
      </c>
      <c r="B9074" s="19">
        <v>103460</v>
      </c>
      <c r="C9074" s="20" t="s">
        <v>9189</v>
      </c>
      <c r="D9074" s="19" t="s">
        <v>31</v>
      </c>
      <c r="E9074" s="21" t="str">
        <f t="shared" si="422"/>
        <v>VERIFICAR</v>
      </c>
      <c r="F9074" s="22"/>
      <c r="G9074" s="21" t="str">
        <f t="shared" si="423"/>
        <v>VERIFICAR</v>
      </c>
      <c r="H9074" s="22"/>
      <c r="I9074" s="23" t="str">
        <f t="shared" si="424"/>
        <v xml:space="preserve">COM VALOR</v>
      </c>
      <c r="J9074" s="19"/>
      <c r="L9074" s="21">
        <v>0</v>
      </c>
      <c r="M9074" s="22"/>
      <c r="N9074" s="21">
        <v>0</v>
      </c>
      <c r="O9074" s="22"/>
    </row>
    <row r="9075" ht="51">
      <c r="A9075" t="s">
        <v>9127</v>
      </c>
      <c r="B9075" s="19">
        <v>103443</v>
      </c>
      <c r="C9075" s="20" t="s">
        <v>9190</v>
      </c>
      <c r="D9075" s="19" t="s">
        <v>31</v>
      </c>
      <c r="E9075" s="21" t="str">
        <f t="shared" si="422"/>
        <v>VERIFICAR</v>
      </c>
      <c r="F9075" s="22"/>
      <c r="G9075" s="21" t="str">
        <f t="shared" si="423"/>
        <v>VERIFICAR</v>
      </c>
      <c r="H9075" s="22"/>
      <c r="I9075" s="23" t="str">
        <f t="shared" si="424"/>
        <v xml:space="preserve">COM VALOR</v>
      </c>
      <c r="J9075" s="19"/>
      <c r="L9075" s="21">
        <v>0</v>
      </c>
      <c r="M9075" s="22"/>
      <c r="N9075" s="21">
        <v>0</v>
      </c>
      <c r="O9075" s="22"/>
    </row>
    <row r="9076" ht="51">
      <c r="A9076" t="s">
        <v>9127</v>
      </c>
      <c r="B9076" s="19">
        <v>103444</v>
      </c>
      <c r="C9076" s="20" t="s">
        <v>9191</v>
      </c>
      <c r="D9076" s="19" t="s">
        <v>31</v>
      </c>
      <c r="E9076" s="21" t="str">
        <f t="shared" si="422"/>
        <v>VERIFICAR</v>
      </c>
      <c r="F9076" s="22"/>
      <c r="G9076" s="21" t="str">
        <f t="shared" si="423"/>
        <v>VERIFICAR</v>
      </c>
      <c r="H9076" s="22"/>
      <c r="I9076" s="23" t="str">
        <f t="shared" si="424"/>
        <v xml:space="preserve">COM VALOR</v>
      </c>
      <c r="J9076" s="19"/>
      <c r="L9076" s="21">
        <v>0</v>
      </c>
      <c r="M9076" s="22"/>
      <c r="N9076" s="21">
        <v>0</v>
      </c>
      <c r="O9076" s="22"/>
    </row>
    <row r="9077" ht="51">
      <c r="A9077" t="s">
        <v>9127</v>
      </c>
      <c r="B9077" s="19">
        <v>103445</v>
      </c>
      <c r="C9077" s="20" t="s">
        <v>9192</v>
      </c>
      <c r="D9077" s="19" t="s">
        <v>31</v>
      </c>
      <c r="E9077" s="21" t="str">
        <f t="shared" si="422"/>
        <v>VERIFICAR</v>
      </c>
      <c r="F9077" s="22"/>
      <c r="G9077" s="21" t="str">
        <f t="shared" si="423"/>
        <v>VERIFICAR</v>
      </c>
      <c r="H9077" s="22"/>
      <c r="I9077" s="23" t="str">
        <f t="shared" si="424"/>
        <v xml:space="preserve">COM VALOR</v>
      </c>
      <c r="J9077" s="19"/>
      <c r="L9077" s="21">
        <v>0</v>
      </c>
      <c r="M9077" s="22"/>
      <c r="N9077" s="21">
        <v>0</v>
      </c>
      <c r="O9077" s="22"/>
    </row>
    <row r="9078" ht="51">
      <c r="A9078" t="s">
        <v>9127</v>
      </c>
      <c r="B9078" s="19">
        <v>103446</v>
      </c>
      <c r="C9078" s="20" t="s">
        <v>9193</v>
      </c>
      <c r="D9078" s="19" t="s">
        <v>31</v>
      </c>
      <c r="E9078" s="21" t="str">
        <f t="shared" si="422"/>
        <v>VERIFICAR</v>
      </c>
      <c r="F9078" s="22"/>
      <c r="G9078" s="21" t="str">
        <f t="shared" si="423"/>
        <v>VERIFICAR</v>
      </c>
      <c r="H9078" s="22"/>
      <c r="I9078" s="23" t="str">
        <f t="shared" si="424"/>
        <v xml:space="preserve">COM VALOR</v>
      </c>
      <c r="J9078" s="19"/>
      <c r="L9078" s="21">
        <v>0</v>
      </c>
      <c r="M9078" s="22"/>
      <c r="N9078" s="21">
        <v>0</v>
      </c>
      <c r="O9078" s="22"/>
    </row>
    <row r="9079" ht="51">
      <c r="A9079" t="s">
        <v>9127</v>
      </c>
      <c r="B9079" s="19">
        <v>103447</v>
      </c>
      <c r="C9079" s="20" t="s">
        <v>9194</v>
      </c>
      <c r="D9079" s="19" t="s">
        <v>31</v>
      </c>
      <c r="E9079" s="21" t="str">
        <f t="shared" si="422"/>
        <v>VERIFICAR</v>
      </c>
      <c r="F9079" s="22"/>
      <c r="G9079" s="21" t="str">
        <f t="shared" si="423"/>
        <v>VERIFICAR</v>
      </c>
      <c r="H9079" s="22"/>
      <c r="I9079" s="23" t="str">
        <f t="shared" si="424"/>
        <v xml:space="preserve">COM VALOR</v>
      </c>
      <c r="J9079" s="19"/>
      <c r="L9079" s="21">
        <v>0</v>
      </c>
      <c r="M9079" s="22"/>
      <c r="N9079" s="21">
        <v>0</v>
      </c>
      <c r="O9079" s="22"/>
    </row>
    <row r="9080" ht="51">
      <c r="A9080" t="s">
        <v>9127</v>
      </c>
      <c r="B9080" s="19">
        <v>103448</v>
      </c>
      <c r="C9080" s="20" t="s">
        <v>9195</v>
      </c>
      <c r="D9080" s="19" t="s">
        <v>31</v>
      </c>
      <c r="E9080" s="21" t="str">
        <f t="shared" si="422"/>
        <v>VERIFICAR</v>
      </c>
      <c r="F9080" s="22"/>
      <c r="G9080" s="21" t="str">
        <f t="shared" si="423"/>
        <v>VERIFICAR</v>
      </c>
      <c r="H9080" s="22"/>
      <c r="I9080" s="23" t="str">
        <f t="shared" si="424"/>
        <v xml:space="preserve">COM VALOR</v>
      </c>
      <c r="J9080" s="19"/>
      <c r="L9080" s="21">
        <v>0</v>
      </c>
      <c r="M9080" s="22"/>
      <c r="N9080" s="21">
        <v>0</v>
      </c>
      <c r="O9080" s="22"/>
    </row>
    <row r="9081" ht="51">
      <c r="A9081" t="s">
        <v>9127</v>
      </c>
      <c r="B9081" s="19">
        <v>103449</v>
      </c>
      <c r="C9081" s="20" t="s">
        <v>9196</v>
      </c>
      <c r="D9081" s="19" t="s">
        <v>31</v>
      </c>
      <c r="E9081" s="21" t="str">
        <f t="shared" si="422"/>
        <v>VERIFICAR</v>
      </c>
      <c r="F9081" s="22"/>
      <c r="G9081" s="21" t="str">
        <f t="shared" si="423"/>
        <v>VERIFICAR</v>
      </c>
      <c r="H9081" s="22"/>
      <c r="I9081" s="23" t="str">
        <f t="shared" si="424"/>
        <v xml:space="preserve">COM VALOR</v>
      </c>
      <c r="J9081" s="19"/>
      <c r="L9081" s="21">
        <v>0</v>
      </c>
      <c r="M9081" s="22"/>
      <c r="N9081" s="21">
        <v>0</v>
      </c>
      <c r="O9081" s="22"/>
    </row>
    <row r="9082" ht="51">
      <c r="A9082" t="s">
        <v>9127</v>
      </c>
      <c r="B9082" s="19">
        <v>103450</v>
      </c>
      <c r="C9082" s="20" t="s">
        <v>9197</v>
      </c>
      <c r="D9082" s="19" t="s">
        <v>31</v>
      </c>
      <c r="E9082" s="21" t="str">
        <f t="shared" si="422"/>
        <v>VERIFICAR</v>
      </c>
      <c r="F9082" s="22"/>
      <c r="G9082" s="21" t="str">
        <f t="shared" si="423"/>
        <v>VERIFICAR</v>
      </c>
      <c r="H9082" s="22"/>
      <c r="I9082" s="23" t="str">
        <f t="shared" si="424"/>
        <v xml:space="preserve">COM VALOR</v>
      </c>
      <c r="J9082" s="19"/>
      <c r="L9082" s="21">
        <v>0</v>
      </c>
      <c r="M9082" s="22"/>
      <c r="N9082" s="21">
        <v>0</v>
      </c>
      <c r="O9082" s="22"/>
    </row>
    <row r="9083" ht="51">
      <c r="A9083" t="s">
        <v>9127</v>
      </c>
      <c r="B9083" s="19">
        <v>103451</v>
      </c>
      <c r="C9083" s="20" t="s">
        <v>9198</v>
      </c>
      <c r="D9083" s="19" t="s">
        <v>31</v>
      </c>
      <c r="E9083" s="21" t="str">
        <f t="shared" si="422"/>
        <v>VERIFICAR</v>
      </c>
      <c r="F9083" s="22"/>
      <c r="G9083" s="21" t="str">
        <f t="shared" si="423"/>
        <v>VERIFICAR</v>
      </c>
      <c r="H9083" s="22"/>
      <c r="I9083" s="23" t="str">
        <f t="shared" si="424"/>
        <v xml:space="preserve">COM VALOR</v>
      </c>
      <c r="J9083" s="19"/>
      <c r="L9083" s="21">
        <v>0</v>
      </c>
      <c r="M9083" s="22"/>
      <c r="N9083" s="21">
        <v>0</v>
      </c>
      <c r="O9083" s="22"/>
    </row>
    <row r="9084" ht="51">
      <c r="A9084" t="s">
        <v>9127</v>
      </c>
      <c r="B9084" s="19">
        <v>103452</v>
      </c>
      <c r="C9084" s="20" t="s">
        <v>9199</v>
      </c>
      <c r="D9084" s="19" t="s">
        <v>31</v>
      </c>
      <c r="E9084" s="21" t="str">
        <f t="shared" si="422"/>
        <v>VERIFICAR</v>
      </c>
      <c r="F9084" s="22"/>
      <c r="G9084" s="21" t="str">
        <f t="shared" si="423"/>
        <v>VERIFICAR</v>
      </c>
      <c r="H9084" s="22"/>
      <c r="I9084" s="23" t="str">
        <f t="shared" si="424"/>
        <v xml:space="preserve">COM VALOR</v>
      </c>
      <c r="J9084" s="19"/>
      <c r="L9084" s="21">
        <v>0</v>
      </c>
      <c r="M9084" s="22"/>
      <c r="N9084" s="21">
        <v>0</v>
      </c>
      <c r="O9084" s="22"/>
    </row>
    <row r="9085" ht="51">
      <c r="A9085" t="s">
        <v>9127</v>
      </c>
      <c r="B9085" s="19">
        <v>103453</v>
      </c>
      <c r="C9085" s="20" t="s">
        <v>9200</v>
      </c>
      <c r="D9085" s="19" t="s">
        <v>31</v>
      </c>
      <c r="E9085" s="21" t="str">
        <f t="shared" si="422"/>
        <v>VERIFICAR</v>
      </c>
      <c r="F9085" s="22"/>
      <c r="G9085" s="21" t="str">
        <f t="shared" si="423"/>
        <v>VERIFICAR</v>
      </c>
      <c r="H9085" s="22"/>
      <c r="I9085" s="23" t="str">
        <f t="shared" si="424"/>
        <v xml:space="preserve">COM VALOR</v>
      </c>
      <c r="J9085" s="19"/>
      <c r="L9085" s="21">
        <v>0</v>
      </c>
      <c r="M9085" s="22"/>
      <c r="N9085" s="21">
        <v>0</v>
      </c>
      <c r="O9085" s="22"/>
    </row>
    <row r="9086" ht="51">
      <c r="A9086" t="s">
        <v>9127</v>
      </c>
      <c r="B9086" s="19">
        <v>103454</v>
      </c>
      <c r="C9086" s="20" t="s">
        <v>9201</v>
      </c>
      <c r="D9086" s="19" t="s">
        <v>31</v>
      </c>
      <c r="E9086" s="21" t="str">
        <f t="shared" si="422"/>
        <v>VERIFICAR</v>
      </c>
      <c r="F9086" s="22"/>
      <c r="G9086" s="21" t="str">
        <f t="shared" si="423"/>
        <v>VERIFICAR</v>
      </c>
      <c r="H9086" s="22"/>
      <c r="I9086" s="23" t="str">
        <f t="shared" si="424"/>
        <v xml:space="preserve">COM VALOR</v>
      </c>
      <c r="J9086" s="19"/>
      <c r="L9086" s="21">
        <v>0</v>
      </c>
      <c r="M9086" s="22"/>
      <c r="N9086" s="21">
        <v>0</v>
      </c>
      <c r="O9086" s="22"/>
    </row>
    <row r="9087" ht="51">
      <c r="A9087" t="s">
        <v>9127</v>
      </c>
      <c r="B9087" s="19">
        <v>103455</v>
      </c>
      <c r="C9087" s="20" t="s">
        <v>9202</v>
      </c>
      <c r="D9087" s="19" t="s">
        <v>31</v>
      </c>
      <c r="E9087" s="21" t="str">
        <f t="shared" si="422"/>
        <v>VERIFICAR</v>
      </c>
      <c r="F9087" s="22"/>
      <c r="G9087" s="21" t="str">
        <f t="shared" si="423"/>
        <v>VERIFICAR</v>
      </c>
      <c r="H9087" s="22"/>
      <c r="I9087" s="23" t="str">
        <f t="shared" si="424"/>
        <v xml:space="preserve">COM VALOR</v>
      </c>
      <c r="J9087" s="19"/>
      <c r="L9087" s="21">
        <v>0</v>
      </c>
      <c r="M9087" s="22"/>
      <c r="N9087" s="21">
        <v>0</v>
      </c>
      <c r="O9087" s="22"/>
    </row>
    <row r="9088" ht="51">
      <c r="A9088" t="s">
        <v>9127</v>
      </c>
      <c r="B9088" s="19">
        <v>103456</v>
      </c>
      <c r="C9088" s="20" t="s">
        <v>9203</v>
      </c>
      <c r="D9088" s="19" t="s">
        <v>31</v>
      </c>
      <c r="E9088" s="21" t="str">
        <f t="shared" si="422"/>
        <v>VERIFICAR</v>
      </c>
      <c r="F9088" s="22"/>
      <c r="G9088" s="21" t="str">
        <f t="shared" si="423"/>
        <v>VERIFICAR</v>
      </c>
      <c r="H9088" s="22"/>
      <c r="I9088" s="23" t="str">
        <f t="shared" si="424"/>
        <v xml:space="preserve">COM VALOR</v>
      </c>
      <c r="J9088" s="19"/>
      <c r="L9088" s="21">
        <v>0</v>
      </c>
      <c r="M9088" s="22"/>
      <c r="N9088" s="21">
        <v>0</v>
      </c>
      <c r="O9088" s="22"/>
    </row>
    <row r="9089" ht="51">
      <c r="A9089" t="s">
        <v>9127</v>
      </c>
      <c r="B9089" s="19">
        <v>103457</v>
      </c>
      <c r="C9089" s="20" t="s">
        <v>9204</v>
      </c>
      <c r="D9089" s="19" t="s">
        <v>31</v>
      </c>
      <c r="E9089" s="21" t="str">
        <f t="shared" si="422"/>
        <v>VERIFICAR</v>
      </c>
      <c r="F9089" s="22"/>
      <c r="G9089" s="21" t="str">
        <f t="shared" si="423"/>
        <v>VERIFICAR</v>
      </c>
      <c r="H9089" s="22"/>
      <c r="I9089" s="23" t="str">
        <f t="shared" si="424"/>
        <v xml:space="preserve">COM VALOR</v>
      </c>
      <c r="J9089" s="19"/>
      <c r="L9089" s="21">
        <v>0</v>
      </c>
      <c r="M9089" s="22"/>
      <c r="N9089" s="21">
        <v>0</v>
      </c>
      <c r="O9089" s="22"/>
    </row>
    <row r="9090" ht="51">
      <c r="A9090" t="s">
        <v>9127</v>
      </c>
      <c r="B9090" s="19">
        <v>103458</v>
      </c>
      <c r="C9090" s="20" t="s">
        <v>9205</v>
      </c>
      <c r="D9090" s="19" t="s">
        <v>31</v>
      </c>
      <c r="E9090" s="21" t="str">
        <f t="shared" si="422"/>
        <v>VERIFICAR</v>
      </c>
      <c r="F9090" s="22"/>
      <c r="G9090" s="21" t="str">
        <f t="shared" si="423"/>
        <v>VERIFICAR</v>
      </c>
      <c r="H9090" s="22"/>
      <c r="I9090" s="23" t="str">
        <f t="shared" si="424"/>
        <v xml:space="preserve">COM VALOR</v>
      </c>
      <c r="J9090" s="19"/>
      <c r="L9090" s="21">
        <v>0</v>
      </c>
      <c r="M9090" s="22"/>
      <c r="N9090" s="21">
        <v>0</v>
      </c>
      <c r="O9090" s="22"/>
    </row>
    <row r="9091" ht="38.25">
      <c r="A9091" t="s">
        <v>9127</v>
      </c>
      <c r="B9091" s="19">
        <v>103425</v>
      </c>
      <c r="C9091" s="20" t="s">
        <v>9206</v>
      </c>
      <c r="D9091" s="19" t="s">
        <v>31</v>
      </c>
      <c r="E9091" s="21">
        <f t="shared" si="422"/>
        <v>16.260000000000002</v>
      </c>
      <c r="F9091" s="22"/>
      <c r="G9091" s="21">
        <f t="shared" si="423"/>
        <v>16.050000000000001</v>
      </c>
      <c r="H9091" s="22"/>
      <c r="I9091" s="23" t="str">
        <f t="shared" si="424"/>
        <v xml:space="preserve">COM VALOR</v>
      </c>
      <c r="J9091" s="19"/>
      <c r="L9091" s="21">
        <v>16.260000000000002</v>
      </c>
      <c r="M9091" s="22">
        <v>0.77000000000000002</v>
      </c>
      <c r="N9091" s="21">
        <v>16.050000000000001</v>
      </c>
      <c r="O9091" s="22">
        <v>0.78000000000000003</v>
      </c>
    </row>
    <row r="9092" ht="38.25">
      <c r="A9092" t="s">
        <v>9127</v>
      </c>
      <c r="B9092" s="19">
        <v>103428</v>
      </c>
      <c r="C9092" s="20" t="s">
        <v>9207</v>
      </c>
      <c r="D9092" s="19" t="s">
        <v>31</v>
      </c>
      <c r="E9092" s="21">
        <f t="shared" si="422"/>
        <v>261.19</v>
      </c>
      <c r="F9092" s="22"/>
      <c r="G9092" s="21">
        <f t="shared" si="423"/>
        <v>259.16000000000003</v>
      </c>
      <c r="H9092" s="22"/>
      <c r="I9092" s="23" t="str">
        <f t="shared" si="424"/>
        <v xml:space="preserve">COM VALOR</v>
      </c>
      <c r="J9092" s="19"/>
      <c r="L9092" s="21">
        <v>261.19</v>
      </c>
      <c r="M9092" s="22">
        <v>0.85999999999999999</v>
      </c>
      <c r="N9092" s="21">
        <v>259.16000000000003</v>
      </c>
      <c r="O9092" s="22">
        <v>0.85999999999999999</v>
      </c>
    </row>
    <row r="9093" ht="38.25">
      <c r="A9093" t="s">
        <v>9127</v>
      </c>
      <c r="B9093" s="19">
        <v>103426</v>
      </c>
      <c r="C9093" s="20" t="s">
        <v>9208</v>
      </c>
      <c r="D9093" s="19" t="s">
        <v>31</v>
      </c>
      <c r="E9093" s="21">
        <f t="shared" si="422"/>
        <v>19.5</v>
      </c>
      <c r="F9093" s="22"/>
      <c r="G9093" s="21">
        <f t="shared" si="423"/>
        <v>19.18</v>
      </c>
      <c r="H9093" s="22"/>
      <c r="I9093" s="23" t="str">
        <f t="shared" si="424"/>
        <v xml:space="preserve">COM VALOR</v>
      </c>
      <c r="J9093" s="19"/>
      <c r="L9093" s="21">
        <v>19.5</v>
      </c>
      <c r="M9093" s="22">
        <v>0.68999999999999995</v>
      </c>
      <c r="N9093" s="21">
        <v>19.18</v>
      </c>
      <c r="O9093" s="22">
        <v>0.69999999999999996</v>
      </c>
    </row>
    <row r="9094" ht="38.25">
      <c r="A9094" t="s">
        <v>9127</v>
      </c>
      <c r="B9094" s="19">
        <v>103429</v>
      </c>
      <c r="C9094" s="20" t="s">
        <v>9209</v>
      </c>
      <c r="D9094" s="19" t="s">
        <v>31</v>
      </c>
      <c r="E9094" s="21">
        <f t="shared" si="422"/>
        <v>2900.4899999999998</v>
      </c>
      <c r="F9094" s="22"/>
      <c r="G9094" s="21">
        <f t="shared" si="423"/>
        <v>2896.4299999999998</v>
      </c>
      <c r="H9094" s="22"/>
      <c r="I9094" s="23" t="str">
        <f t="shared" si="424"/>
        <v xml:space="preserve">COM VALOR</v>
      </c>
      <c r="J9094" s="19"/>
      <c r="L9094" s="21">
        <v>2900.4899999999998</v>
      </c>
      <c r="M9094" s="22">
        <v>0.96999999999999997</v>
      </c>
      <c r="N9094" s="21">
        <v>2896.4299999999998</v>
      </c>
      <c r="O9094" s="22">
        <v>0.97999999999999998</v>
      </c>
    </row>
    <row r="9095" ht="38.25">
      <c r="A9095" t="s">
        <v>9127</v>
      </c>
      <c r="B9095" s="19">
        <v>103427</v>
      </c>
      <c r="C9095" s="20" t="s">
        <v>9210</v>
      </c>
      <c r="D9095" s="19" t="s">
        <v>31</v>
      </c>
      <c r="E9095" s="21">
        <f t="shared" si="422"/>
        <v>39.07</v>
      </c>
      <c r="F9095" s="22"/>
      <c r="G9095" s="21">
        <f t="shared" si="423"/>
        <v>38.43</v>
      </c>
      <c r="H9095" s="22"/>
      <c r="I9095" s="23" t="str">
        <f t="shared" si="424"/>
        <v xml:space="preserve">COM VALOR</v>
      </c>
      <c r="J9095" s="19"/>
      <c r="L9095" s="21">
        <v>39.07</v>
      </c>
      <c r="M9095" s="22">
        <v>0.69999999999999996</v>
      </c>
      <c r="N9095" s="21">
        <v>38.43</v>
      </c>
      <c r="O9095" s="22">
        <v>0.70999999999999996</v>
      </c>
    </row>
    <row r="9096" ht="38.25">
      <c r="A9096" t="s">
        <v>9127</v>
      </c>
      <c r="B9096" s="19">
        <v>103393</v>
      </c>
      <c r="C9096" s="20" t="s">
        <v>9211</v>
      </c>
      <c r="D9096" s="19" t="s">
        <v>38</v>
      </c>
      <c r="E9096" s="21">
        <f t="shared" si="422"/>
        <v>5467.5100000000002</v>
      </c>
      <c r="F9096" s="22"/>
      <c r="G9096" s="21">
        <f t="shared" si="423"/>
        <v>5466.54</v>
      </c>
      <c r="H9096" s="22"/>
      <c r="I9096" s="23" t="str">
        <f t="shared" si="424"/>
        <v xml:space="preserve">COM VALOR</v>
      </c>
      <c r="J9096" s="19"/>
      <c r="L9096" s="21">
        <v>5467.5100000000002</v>
      </c>
      <c r="M9096" s="22">
        <v>0.98999999999999999</v>
      </c>
      <c r="N9096" s="21">
        <v>5466.54</v>
      </c>
      <c r="O9096" s="22">
        <v>0.98999999999999999</v>
      </c>
    </row>
    <row r="9097" ht="38.25">
      <c r="A9097" t="s">
        <v>9127</v>
      </c>
      <c r="B9097" s="19">
        <v>103376</v>
      </c>
      <c r="C9097" s="20" t="s">
        <v>9212</v>
      </c>
      <c r="D9097" s="19" t="s">
        <v>38</v>
      </c>
      <c r="E9097" s="21">
        <f t="shared" si="422"/>
        <v>133.91</v>
      </c>
      <c r="F9097" s="22"/>
      <c r="G9097" s="21">
        <f t="shared" si="423"/>
        <v>133.84</v>
      </c>
      <c r="H9097" s="22"/>
      <c r="I9097" s="23" t="str">
        <f t="shared" si="424"/>
        <v xml:space="preserve">COM VALOR</v>
      </c>
      <c r="J9097" s="19"/>
      <c r="L9097" s="21">
        <v>133.91</v>
      </c>
      <c r="M9097" s="22">
        <v>0.98999999999999999</v>
      </c>
      <c r="N9097" s="21">
        <v>133.84</v>
      </c>
      <c r="O9097" s="22">
        <v>0.98999999999999999</v>
      </c>
    </row>
    <row r="9098" ht="38.25">
      <c r="A9098" t="s">
        <v>9127</v>
      </c>
      <c r="B9098" s="19">
        <v>104804</v>
      </c>
      <c r="C9098" s="20" t="s">
        <v>9213</v>
      </c>
      <c r="D9098" s="19" t="s">
        <v>38</v>
      </c>
      <c r="E9098" s="21" t="str">
        <f t="shared" si="422"/>
        <v>VERIFICAR</v>
      </c>
      <c r="F9098" s="22"/>
      <c r="G9098" s="21" t="str">
        <f t="shared" si="423"/>
        <v>VERIFICAR</v>
      </c>
      <c r="H9098" s="22"/>
      <c r="I9098" s="23" t="str">
        <f t="shared" si="424"/>
        <v xml:space="preserve">COM VALOR</v>
      </c>
      <c r="J9098" s="19"/>
      <c r="L9098" s="21">
        <v>0</v>
      </c>
      <c r="M9098" s="22"/>
      <c r="N9098" s="21">
        <v>0</v>
      </c>
      <c r="O9098" s="22"/>
    </row>
    <row r="9099" ht="38.25">
      <c r="A9099" t="s">
        <v>9127</v>
      </c>
      <c r="B9099" s="19">
        <v>104805</v>
      </c>
      <c r="C9099" s="20" t="s">
        <v>9214</v>
      </c>
      <c r="D9099" s="19" t="s">
        <v>38</v>
      </c>
      <c r="E9099" s="21" t="str">
        <f t="shared" ref="E9099:E9162" si="425">IF(L9099=0,"VERIFICAR",L9099)</f>
        <v>VERIFICAR</v>
      </c>
      <c r="F9099" s="22"/>
      <c r="G9099" s="21" t="str">
        <f t="shared" ref="G9099:G9162" si="426">IF(N9099=0,"VERIFICAR",N9099)</f>
        <v>VERIFICAR</v>
      </c>
      <c r="H9099" s="22"/>
      <c r="I9099" s="23" t="str">
        <f t="shared" ref="I9099:I9162" si="427">IF(OR(E9099=0,G9099=0),"SEM VALOR","COM VALOR")</f>
        <v xml:space="preserve">COM VALOR</v>
      </c>
      <c r="J9099" s="19"/>
      <c r="L9099" s="21">
        <v>0</v>
      </c>
      <c r="M9099" s="22"/>
      <c r="N9099" s="21">
        <v>0</v>
      </c>
      <c r="O9099" s="22"/>
    </row>
    <row r="9100" ht="38.25">
      <c r="A9100" t="s">
        <v>9127</v>
      </c>
      <c r="B9100" s="19">
        <v>103377</v>
      </c>
      <c r="C9100" s="20" t="s">
        <v>9215</v>
      </c>
      <c r="D9100" s="19" t="s">
        <v>38</v>
      </c>
      <c r="E9100" s="21">
        <f t="shared" si="425"/>
        <v>286.60000000000002</v>
      </c>
      <c r="F9100" s="22"/>
      <c r="G9100" s="21">
        <f t="shared" si="426"/>
        <v>286.50999999999999</v>
      </c>
      <c r="H9100" s="22"/>
      <c r="I9100" s="23" t="str">
        <f t="shared" si="427"/>
        <v xml:space="preserve">COM VALOR</v>
      </c>
      <c r="J9100" s="19"/>
      <c r="L9100" s="21">
        <v>286.60000000000002</v>
      </c>
      <c r="M9100" s="22">
        <v>0.98999999999999999</v>
      </c>
      <c r="N9100" s="21">
        <v>286.50999999999999</v>
      </c>
      <c r="O9100" s="22">
        <v>0.98999999999999999</v>
      </c>
    </row>
    <row r="9101" ht="38.25">
      <c r="A9101" t="s">
        <v>9127</v>
      </c>
      <c r="B9101" s="19">
        <v>104806</v>
      </c>
      <c r="C9101" s="20" t="s">
        <v>9216</v>
      </c>
      <c r="D9101" s="19" t="s">
        <v>38</v>
      </c>
      <c r="E9101" s="21" t="str">
        <f t="shared" si="425"/>
        <v>VERIFICAR</v>
      </c>
      <c r="F9101" s="22"/>
      <c r="G9101" s="21" t="str">
        <f t="shared" si="426"/>
        <v>VERIFICAR</v>
      </c>
      <c r="H9101" s="22"/>
      <c r="I9101" s="23" t="str">
        <f t="shared" si="427"/>
        <v xml:space="preserve">COM VALOR</v>
      </c>
      <c r="J9101" s="19"/>
      <c r="L9101" s="21">
        <v>0</v>
      </c>
      <c r="M9101" s="22"/>
      <c r="N9101" s="21">
        <v>0</v>
      </c>
      <c r="O9101" s="22"/>
    </row>
    <row r="9102" ht="38.25">
      <c r="A9102" t="s">
        <v>9127</v>
      </c>
      <c r="B9102" s="19">
        <v>103378</v>
      </c>
      <c r="C9102" s="20" t="s">
        <v>9217</v>
      </c>
      <c r="D9102" s="19" t="s">
        <v>38</v>
      </c>
      <c r="E9102" s="21" t="str">
        <f t="shared" si="425"/>
        <v>VERIFICAR</v>
      </c>
      <c r="F9102" s="22"/>
      <c r="G9102" s="21" t="str">
        <f t="shared" si="426"/>
        <v>VERIFICAR</v>
      </c>
      <c r="H9102" s="22"/>
      <c r="I9102" s="23" t="str">
        <f t="shared" si="427"/>
        <v xml:space="preserve">COM VALOR</v>
      </c>
      <c r="J9102" s="19"/>
      <c r="L9102" s="21">
        <v>0</v>
      </c>
      <c r="M9102" s="22"/>
      <c r="N9102" s="21">
        <v>0</v>
      </c>
      <c r="O9102" s="22"/>
    </row>
    <row r="9103" ht="38.25">
      <c r="A9103" t="s">
        <v>9127</v>
      </c>
      <c r="B9103" s="19">
        <v>103372</v>
      </c>
      <c r="C9103" s="20" t="s">
        <v>9218</v>
      </c>
      <c r="D9103" s="19" t="s">
        <v>38</v>
      </c>
      <c r="E9103" s="21">
        <f t="shared" si="425"/>
        <v>5.7199999999999998</v>
      </c>
      <c r="F9103" s="22"/>
      <c r="G9103" s="21">
        <f t="shared" si="426"/>
        <v>5.71</v>
      </c>
      <c r="H9103" s="22"/>
      <c r="I9103" s="23" t="str">
        <f t="shared" si="427"/>
        <v xml:space="preserve">COM VALOR</v>
      </c>
      <c r="J9103" s="19"/>
      <c r="L9103" s="21">
        <v>5.7199999999999998</v>
      </c>
      <c r="M9103" s="22">
        <v>0.95999999999999996</v>
      </c>
      <c r="N9103" s="21">
        <v>5.71</v>
      </c>
      <c r="O9103" s="22">
        <v>0.96499999999999997</v>
      </c>
    </row>
    <row r="9104" ht="38.25">
      <c r="A9104" t="s">
        <v>9127</v>
      </c>
      <c r="B9104" s="19">
        <v>103379</v>
      </c>
      <c r="C9104" s="20" t="s">
        <v>9219</v>
      </c>
      <c r="D9104" s="19" t="s">
        <v>38</v>
      </c>
      <c r="E9104" s="21">
        <f t="shared" si="425"/>
        <v>446.24000000000001</v>
      </c>
      <c r="F9104" s="22"/>
      <c r="G9104" s="21">
        <f t="shared" si="426"/>
        <v>446.12</v>
      </c>
      <c r="H9104" s="22"/>
      <c r="I9104" s="23" t="str">
        <f t="shared" si="427"/>
        <v xml:space="preserve">COM VALOR</v>
      </c>
      <c r="J9104" s="19"/>
      <c r="L9104" s="21">
        <v>446.24000000000001</v>
      </c>
      <c r="M9104" s="22">
        <v>1</v>
      </c>
      <c r="N9104" s="21">
        <v>446.12</v>
      </c>
      <c r="O9104" s="22">
        <v>1</v>
      </c>
    </row>
    <row r="9105" ht="38.25">
      <c r="A9105" t="s">
        <v>9127</v>
      </c>
      <c r="B9105" s="19">
        <v>103380</v>
      </c>
      <c r="C9105" s="20" t="s">
        <v>9220</v>
      </c>
      <c r="D9105" s="19" t="s">
        <v>38</v>
      </c>
      <c r="E9105" s="21" t="str">
        <f t="shared" si="425"/>
        <v>VERIFICAR</v>
      </c>
      <c r="F9105" s="22"/>
      <c r="G9105" s="21" t="str">
        <f t="shared" si="426"/>
        <v>VERIFICAR</v>
      </c>
      <c r="H9105" s="22"/>
      <c r="I9105" s="23" t="str">
        <f t="shared" si="427"/>
        <v xml:space="preserve">COM VALOR</v>
      </c>
      <c r="J9105" s="19"/>
      <c r="L9105" s="21">
        <v>0</v>
      </c>
      <c r="M9105" s="22"/>
      <c r="N9105" s="21">
        <v>0</v>
      </c>
      <c r="O9105" s="22"/>
    </row>
    <row r="9106" ht="38.25">
      <c r="A9106" t="s">
        <v>9127</v>
      </c>
      <c r="B9106" s="19">
        <v>103381</v>
      </c>
      <c r="C9106" s="20" t="s">
        <v>9221</v>
      </c>
      <c r="D9106" s="19" t="s">
        <v>38</v>
      </c>
      <c r="E9106" s="21" t="str">
        <f t="shared" si="425"/>
        <v>VERIFICAR</v>
      </c>
      <c r="F9106" s="22"/>
      <c r="G9106" s="21" t="str">
        <f t="shared" si="426"/>
        <v>VERIFICAR</v>
      </c>
      <c r="H9106" s="22"/>
      <c r="I9106" s="23" t="str">
        <f t="shared" si="427"/>
        <v xml:space="preserve">COM VALOR</v>
      </c>
      <c r="J9106" s="19"/>
      <c r="L9106" s="21">
        <v>0</v>
      </c>
      <c r="M9106" s="22"/>
      <c r="N9106" s="21">
        <v>0</v>
      </c>
      <c r="O9106" s="22"/>
    </row>
    <row r="9107" ht="38.25">
      <c r="A9107" t="s">
        <v>9127</v>
      </c>
      <c r="B9107" s="19">
        <v>103382</v>
      </c>
      <c r="C9107" s="20" t="s">
        <v>9222</v>
      </c>
      <c r="D9107" s="19" t="s">
        <v>38</v>
      </c>
      <c r="E9107" s="21" t="str">
        <f t="shared" si="425"/>
        <v>VERIFICAR</v>
      </c>
      <c r="F9107" s="22"/>
      <c r="G9107" s="21" t="str">
        <f t="shared" si="426"/>
        <v>VERIFICAR</v>
      </c>
      <c r="H9107" s="22"/>
      <c r="I9107" s="23" t="str">
        <f t="shared" si="427"/>
        <v xml:space="preserve">COM VALOR</v>
      </c>
      <c r="J9107" s="19"/>
      <c r="L9107" s="21">
        <v>0</v>
      </c>
      <c r="M9107" s="22"/>
      <c r="N9107" s="21">
        <v>0</v>
      </c>
      <c r="O9107" s="22"/>
    </row>
    <row r="9108" ht="38.25">
      <c r="A9108" t="s">
        <v>9127</v>
      </c>
      <c r="B9108" s="19">
        <v>103383</v>
      </c>
      <c r="C9108" s="20" t="s">
        <v>9223</v>
      </c>
      <c r="D9108" s="19" t="s">
        <v>38</v>
      </c>
      <c r="E9108" s="21">
        <f t="shared" si="425"/>
        <v>1094.3199999999999</v>
      </c>
      <c r="F9108" s="22"/>
      <c r="G9108" s="21">
        <f t="shared" si="426"/>
        <v>1094.21</v>
      </c>
      <c r="H9108" s="22"/>
      <c r="I9108" s="23" t="str">
        <f t="shared" si="427"/>
        <v xml:space="preserve">COM VALOR</v>
      </c>
      <c r="J9108" s="19"/>
      <c r="L9108" s="21">
        <v>1094.3199999999999</v>
      </c>
      <c r="M9108" s="22">
        <v>1</v>
      </c>
      <c r="N9108" s="21">
        <v>1094.21</v>
      </c>
      <c r="O9108" s="22">
        <v>1</v>
      </c>
    </row>
    <row r="9109" ht="38.25">
      <c r="A9109" t="s">
        <v>9127</v>
      </c>
      <c r="B9109" s="19">
        <v>103373</v>
      </c>
      <c r="C9109" s="20" t="s">
        <v>9224</v>
      </c>
      <c r="D9109" s="19" t="s">
        <v>38</v>
      </c>
      <c r="E9109" s="21">
        <f t="shared" si="425"/>
        <v>11.220000000000001</v>
      </c>
      <c r="F9109" s="22"/>
      <c r="G9109" s="21">
        <f t="shared" si="426"/>
        <v>11.210000000000001</v>
      </c>
      <c r="H9109" s="22"/>
      <c r="I9109" s="23" t="str">
        <f t="shared" si="427"/>
        <v xml:space="preserve">COM VALOR</v>
      </c>
      <c r="J9109" s="19"/>
      <c r="L9109" s="21">
        <v>11.220000000000001</v>
      </c>
      <c r="M9109" s="22">
        <v>0.96999999999999997</v>
      </c>
      <c r="N9109" s="21">
        <v>11.210000000000001</v>
      </c>
      <c r="O9109" s="22">
        <v>0.96999999999999997</v>
      </c>
    </row>
    <row r="9110" ht="38.25">
      <c r="A9110" t="s">
        <v>9127</v>
      </c>
      <c r="B9110" s="19">
        <v>103384</v>
      </c>
      <c r="C9110" s="20" t="s">
        <v>9225</v>
      </c>
      <c r="D9110" s="19" t="s">
        <v>38</v>
      </c>
      <c r="E9110" s="21" t="str">
        <f t="shared" si="425"/>
        <v>VERIFICAR</v>
      </c>
      <c r="F9110" s="22"/>
      <c r="G9110" s="21" t="str">
        <f t="shared" si="426"/>
        <v>VERIFICAR</v>
      </c>
      <c r="H9110" s="22"/>
      <c r="I9110" s="23" t="str">
        <f t="shared" si="427"/>
        <v xml:space="preserve">COM VALOR</v>
      </c>
      <c r="J9110" s="19"/>
      <c r="L9110" s="21">
        <v>0</v>
      </c>
      <c r="M9110" s="22"/>
      <c r="N9110" s="21">
        <v>0</v>
      </c>
      <c r="O9110" s="22"/>
    </row>
    <row r="9111" ht="38.25">
      <c r="A9111" t="s">
        <v>9127</v>
      </c>
      <c r="B9111" s="19">
        <v>103385</v>
      </c>
      <c r="C9111" s="20" t="s">
        <v>9226</v>
      </c>
      <c r="D9111" s="19" t="s">
        <v>38</v>
      </c>
      <c r="E9111" s="21">
        <f t="shared" si="425"/>
        <v>1764.51</v>
      </c>
      <c r="F9111" s="22"/>
      <c r="G9111" s="21">
        <f t="shared" si="426"/>
        <v>1764.28</v>
      </c>
      <c r="H9111" s="22"/>
      <c r="I9111" s="23" t="str">
        <f t="shared" si="427"/>
        <v xml:space="preserve">COM VALOR</v>
      </c>
      <c r="J9111" s="19"/>
      <c r="L9111" s="21">
        <v>1764.51</v>
      </c>
      <c r="M9111" s="22">
        <v>1</v>
      </c>
      <c r="N9111" s="21">
        <v>1764.28</v>
      </c>
      <c r="O9111" s="22">
        <v>1</v>
      </c>
    </row>
    <row r="9112" ht="38.25">
      <c r="A9112" t="s">
        <v>9127</v>
      </c>
      <c r="B9112" s="19">
        <v>103386</v>
      </c>
      <c r="C9112" s="20" t="s">
        <v>9227</v>
      </c>
      <c r="D9112" s="19" t="s">
        <v>38</v>
      </c>
      <c r="E9112" s="21" t="str">
        <f t="shared" si="425"/>
        <v>VERIFICAR</v>
      </c>
      <c r="F9112" s="22"/>
      <c r="G9112" s="21" t="str">
        <f t="shared" si="426"/>
        <v>VERIFICAR</v>
      </c>
      <c r="H9112" s="22"/>
      <c r="I9112" s="23" t="str">
        <f t="shared" si="427"/>
        <v xml:space="preserve">COM VALOR</v>
      </c>
      <c r="J9112" s="19"/>
      <c r="L9112" s="21">
        <v>0</v>
      </c>
      <c r="M9112" s="22"/>
      <c r="N9112" s="21">
        <v>0</v>
      </c>
      <c r="O9112" s="22"/>
    </row>
    <row r="9113" ht="38.25">
      <c r="A9113" t="s">
        <v>9127</v>
      </c>
      <c r="B9113" s="19">
        <v>103387</v>
      </c>
      <c r="C9113" s="20" t="s">
        <v>9228</v>
      </c>
      <c r="D9113" s="19" t="s">
        <v>38</v>
      </c>
      <c r="E9113" s="21">
        <f t="shared" si="425"/>
        <v>3095.48</v>
      </c>
      <c r="F9113" s="22"/>
      <c r="G9113" s="21">
        <f t="shared" si="426"/>
        <v>3095.1399999999999</v>
      </c>
      <c r="H9113" s="22"/>
      <c r="I9113" s="23" t="str">
        <f t="shared" si="427"/>
        <v xml:space="preserve">COM VALOR</v>
      </c>
      <c r="J9113" s="19"/>
      <c r="L9113" s="21">
        <v>3095.48</v>
      </c>
      <c r="M9113" s="22">
        <v>1</v>
      </c>
      <c r="N9113" s="21">
        <v>3095.1399999999999</v>
      </c>
      <c r="O9113" s="22">
        <v>1</v>
      </c>
    </row>
    <row r="9114" ht="38.25">
      <c r="A9114" t="s">
        <v>9127</v>
      </c>
      <c r="B9114" s="19">
        <v>103388</v>
      </c>
      <c r="C9114" s="20" t="s">
        <v>9229</v>
      </c>
      <c r="D9114" s="19" t="s">
        <v>38</v>
      </c>
      <c r="E9114" s="21" t="str">
        <f t="shared" si="425"/>
        <v>VERIFICAR</v>
      </c>
      <c r="F9114" s="22"/>
      <c r="G9114" s="21" t="str">
        <f t="shared" si="426"/>
        <v>VERIFICAR</v>
      </c>
      <c r="H9114" s="22"/>
      <c r="I9114" s="23" t="str">
        <f t="shared" si="427"/>
        <v xml:space="preserve">COM VALOR</v>
      </c>
      <c r="J9114" s="19"/>
      <c r="L9114" s="21">
        <v>0</v>
      </c>
      <c r="M9114" s="22"/>
      <c r="N9114" s="21">
        <v>0</v>
      </c>
      <c r="O9114" s="22"/>
    </row>
    <row r="9115" ht="38.25">
      <c r="A9115" t="s">
        <v>9127</v>
      </c>
      <c r="B9115" s="19">
        <v>103374</v>
      </c>
      <c r="C9115" s="20" t="s">
        <v>9230</v>
      </c>
      <c r="D9115" s="19" t="s">
        <v>38</v>
      </c>
      <c r="E9115" s="21" t="str">
        <f t="shared" si="425"/>
        <v>VERIFICAR</v>
      </c>
      <c r="F9115" s="22"/>
      <c r="G9115" s="21" t="str">
        <f t="shared" si="426"/>
        <v>VERIFICAR</v>
      </c>
      <c r="H9115" s="22"/>
      <c r="I9115" s="23" t="str">
        <f t="shared" si="427"/>
        <v xml:space="preserve">COM VALOR</v>
      </c>
      <c r="J9115" s="19"/>
      <c r="L9115" s="21">
        <v>0</v>
      </c>
      <c r="M9115" s="22"/>
      <c r="N9115" s="21">
        <v>0</v>
      </c>
      <c r="O9115" s="22"/>
    </row>
    <row r="9116" ht="38.25">
      <c r="A9116" t="s">
        <v>9127</v>
      </c>
      <c r="B9116" s="19">
        <v>103389</v>
      </c>
      <c r="C9116" s="20" t="s">
        <v>9231</v>
      </c>
      <c r="D9116" s="19" t="s">
        <v>38</v>
      </c>
      <c r="E9116" s="21">
        <f t="shared" si="425"/>
        <v>4603.4799999999996</v>
      </c>
      <c r="F9116" s="22"/>
      <c r="G9116" s="21">
        <f t="shared" si="426"/>
        <v>4602.9700000000003</v>
      </c>
      <c r="H9116" s="22"/>
      <c r="I9116" s="23" t="str">
        <f t="shared" si="427"/>
        <v xml:space="preserve">COM VALOR</v>
      </c>
      <c r="J9116" s="19"/>
      <c r="L9116" s="21">
        <v>4603.4799999999996</v>
      </c>
      <c r="M9116" s="22">
        <v>1</v>
      </c>
      <c r="N9116" s="21">
        <v>4602.9700000000003</v>
      </c>
      <c r="O9116" s="22">
        <v>1</v>
      </c>
    </row>
    <row r="9117" ht="38.25">
      <c r="A9117" t="s">
        <v>9127</v>
      </c>
      <c r="B9117" s="19">
        <v>103390</v>
      </c>
      <c r="C9117" s="20" t="s">
        <v>9232</v>
      </c>
      <c r="D9117" s="19" t="s">
        <v>38</v>
      </c>
      <c r="E9117" s="21" t="str">
        <f t="shared" si="425"/>
        <v>VERIFICAR</v>
      </c>
      <c r="F9117" s="22"/>
      <c r="G9117" s="21" t="str">
        <f t="shared" si="426"/>
        <v>VERIFICAR</v>
      </c>
      <c r="H9117" s="22"/>
      <c r="I9117" s="23" t="str">
        <f t="shared" si="427"/>
        <v xml:space="preserve">COM VALOR</v>
      </c>
      <c r="J9117" s="19"/>
      <c r="L9117" s="21">
        <v>0</v>
      </c>
      <c r="M9117" s="22"/>
      <c r="N9117" s="21">
        <v>0</v>
      </c>
      <c r="O9117" s="22"/>
    </row>
    <row r="9118" ht="38.25">
      <c r="A9118" t="s">
        <v>9127</v>
      </c>
      <c r="B9118" s="19">
        <v>103391</v>
      </c>
      <c r="C9118" s="20" t="s">
        <v>9233</v>
      </c>
      <c r="D9118" s="19" t="s">
        <v>38</v>
      </c>
      <c r="E9118" s="21">
        <f t="shared" si="425"/>
        <v>3033.0799999999999</v>
      </c>
      <c r="F9118" s="22"/>
      <c r="G9118" s="21">
        <f t="shared" si="426"/>
        <v>3032.3400000000001</v>
      </c>
      <c r="H9118" s="22"/>
      <c r="I9118" s="23" t="str">
        <f t="shared" si="427"/>
        <v xml:space="preserve">COM VALOR</v>
      </c>
      <c r="J9118" s="19"/>
      <c r="L9118" s="21">
        <v>3033.0799999999999</v>
      </c>
      <c r="M9118" s="22">
        <v>0.98999999999999999</v>
      </c>
      <c r="N9118" s="21">
        <v>3032.3400000000001</v>
      </c>
      <c r="O9118" s="22">
        <v>0.98999999999999999</v>
      </c>
    </row>
    <row r="9119" ht="38.25">
      <c r="A9119" t="s">
        <v>9127</v>
      </c>
      <c r="B9119" s="19">
        <v>103375</v>
      </c>
      <c r="C9119" s="20" t="s">
        <v>9234</v>
      </c>
      <c r="D9119" s="19" t="s">
        <v>38</v>
      </c>
      <c r="E9119" s="21" t="str">
        <f t="shared" si="425"/>
        <v>VERIFICAR</v>
      </c>
      <c r="F9119" s="22"/>
      <c r="G9119" s="21" t="str">
        <f t="shared" si="426"/>
        <v>VERIFICAR</v>
      </c>
      <c r="H9119" s="22"/>
      <c r="I9119" s="23" t="str">
        <f t="shared" si="427"/>
        <v xml:space="preserve">COM VALOR</v>
      </c>
      <c r="J9119" s="19"/>
      <c r="L9119" s="21">
        <v>0</v>
      </c>
      <c r="M9119" s="22"/>
      <c r="N9119" s="21">
        <v>0</v>
      </c>
      <c r="O9119" s="22"/>
    </row>
    <row r="9120" ht="38.25">
      <c r="A9120" t="s">
        <v>9127</v>
      </c>
      <c r="B9120" s="19">
        <v>103392</v>
      </c>
      <c r="C9120" s="20" t="s">
        <v>9235</v>
      </c>
      <c r="D9120" s="19" t="s">
        <v>38</v>
      </c>
      <c r="E9120" s="21">
        <f t="shared" si="425"/>
        <v>4957.1199999999999</v>
      </c>
      <c r="F9120" s="22"/>
      <c r="G9120" s="21">
        <f t="shared" si="426"/>
        <v>4956.2600000000002</v>
      </c>
      <c r="H9120" s="22"/>
      <c r="I9120" s="23" t="str">
        <f t="shared" si="427"/>
        <v xml:space="preserve">COM VALOR</v>
      </c>
      <c r="J9120" s="19"/>
      <c r="L9120" s="21">
        <v>4957.1199999999999</v>
      </c>
      <c r="M9120" s="22">
        <v>0.98999999999999999</v>
      </c>
      <c r="N9120" s="21">
        <v>4956.2600000000002</v>
      </c>
      <c r="O9120" s="22">
        <v>0.98999999999999999</v>
      </c>
    </row>
    <row r="9121" ht="38.25">
      <c r="A9121" t="s">
        <v>9127</v>
      </c>
      <c r="B9121" s="19">
        <v>103440</v>
      </c>
      <c r="C9121" s="20" t="s">
        <v>9236</v>
      </c>
      <c r="D9121" s="19" t="s">
        <v>31</v>
      </c>
      <c r="E9121" s="21">
        <f t="shared" si="425"/>
        <v>416.42000000000002</v>
      </c>
      <c r="F9121" s="22"/>
      <c r="G9121" s="21">
        <f t="shared" si="426"/>
        <v>412.36000000000001</v>
      </c>
      <c r="H9121" s="22"/>
      <c r="I9121" s="23" t="str">
        <f t="shared" si="427"/>
        <v xml:space="preserve">COM VALOR</v>
      </c>
      <c r="J9121" s="19"/>
      <c r="L9121" s="21">
        <v>416.42000000000002</v>
      </c>
      <c r="M9121" s="22">
        <v>0.81999999999999995</v>
      </c>
      <c r="N9121" s="21">
        <v>412.36000000000001</v>
      </c>
      <c r="O9121" s="22">
        <v>0.82999999999999996</v>
      </c>
    </row>
    <row r="9122" ht="38.25">
      <c r="A9122" t="s">
        <v>9127</v>
      </c>
      <c r="B9122" s="19">
        <v>103441</v>
      </c>
      <c r="C9122" s="20" t="s">
        <v>9237</v>
      </c>
      <c r="D9122" s="19" t="s">
        <v>31</v>
      </c>
      <c r="E9122" s="21">
        <f t="shared" si="425"/>
        <v>421.75</v>
      </c>
      <c r="F9122" s="22"/>
      <c r="G9122" s="21">
        <f t="shared" si="426"/>
        <v>417.69</v>
      </c>
      <c r="H9122" s="22"/>
      <c r="I9122" s="23" t="str">
        <f t="shared" si="427"/>
        <v xml:space="preserve">COM VALOR</v>
      </c>
      <c r="J9122" s="19"/>
      <c r="L9122" s="21">
        <v>421.75</v>
      </c>
      <c r="M9122" s="22">
        <v>0.81999999999999995</v>
      </c>
      <c r="N9122" s="21">
        <v>417.69</v>
      </c>
      <c r="O9122" s="22">
        <v>0.82999999999999996</v>
      </c>
    </row>
    <row r="9123" ht="38.25">
      <c r="A9123" t="s">
        <v>9127</v>
      </c>
      <c r="B9123" s="19">
        <v>103442</v>
      </c>
      <c r="C9123" s="20" t="s">
        <v>9238</v>
      </c>
      <c r="D9123" s="19" t="s">
        <v>31</v>
      </c>
      <c r="E9123" s="21">
        <f t="shared" si="425"/>
        <v>550.39999999999998</v>
      </c>
      <c r="F9123" s="22"/>
      <c r="G9123" s="21">
        <f t="shared" si="426"/>
        <v>546.34000000000003</v>
      </c>
      <c r="H9123" s="22"/>
      <c r="I9123" s="23" t="str">
        <f t="shared" si="427"/>
        <v xml:space="preserve">COM VALOR</v>
      </c>
      <c r="J9123" s="19"/>
      <c r="L9123" s="21">
        <v>550.39999999999998</v>
      </c>
      <c r="M9123" s="22">
        <v>0.85999999999999999</v>
      </c>
      <c r="N9123" s="21">
        <v>546.34000000000003</v>
      </c>
      <c r="O9123" s="22">
        <v>0.87</v>
      </c>
    </row>
    <row r="9124" ht="38.25">
      <c r="A9124" t="s">
        <v>9127</v>
      </c>
      <c r="B9124" s="19">
        <v>103437</v>
      </c>
      <c r="C9124" s="20" t="s">
        <v>9239</v>
      </c>
      <c r="D9124" s="19" t="s">
        <v>31</v>
      </c>
      <c r="E9124" s="21">
        <f t="shared" si="425"/>
        <v>184.78</v>
      </c>
      <c r="F9124" s="22"/>
      <c r="G9124" s="21">
        <f t="shared" si="426"/>
        <v>183.50999999999999</v>
      </c>
      <c r="H9124" s="22"/>
      <c r="I9124" s="23" t="str">
        <f t="shared" si="427"/>
        <v xml:space="preserve">COM VALOR</v>
      </c>
      <c r="J9124" s="19"/>
      <c r="L9124" s="21">
        <v>184.78</v>
      </c>
      <c r="M9124" s="22">
        <v>0.87</v>
      </c>
      <c r="N9124" s="21">
        <v>183.50999999999999</v>
      </c>
      <c r="O9124" s="22">
        <v>0.88</v>
      </c>
    </row>
    <row r="9125" ht="38.25">
      <c r="A9125" t="s">
        <v>9127</v>
      </c>
      <c r="B9125" s="19">
        <v>103438</v>
      </c>
      <c r="C9125" s="20" t="s">
        <v>9240</v>
      </c>
      <c r="D9125" s="19" t="s">
        <v>31</v>
      </c>
      <c r="E9125" s="21">
        <f t="shared" si="425"/>
        <v>184.78</v>
      </c>
      <c r="F9125" s="22"/>
      <c r="G9125" s="21">
        <f t="shared" si="426"/>
        <v>183.50999999999999</v>
      </c>
      <c r="H9125" s="22"/>
      <c r="I9125" s="23" t="str">
        <f t="shared" si="427"/>
        <v xml:space="preserve">COM VALOR</v>
      </c>
      <c r="J9125" s="19"/>
      <c r="L9125" s="21">
        <v>184.78</v>
      </c>
      <c r="M9125" s="22">
        <v>0.87</v>
      </c>
      <c r="N9125" s="21">
        <v>183.50999999999999</v>
      </c>
      <c r="O9125" s="22">
        <v>0.88</v>
      </c>
    </row>
    <row r="9126" ht="38.25">
      <c r="A9126" t="s">
        <v>9127</v>
      </c>
      <c r="B9126" s="19">
        <v>103439</v>
      </c>
      <c r="C9126" s="20" t="s">
        <v>9241</v>
      </c>
      <c r="D9126" s="19" t="s">
        <v>31</v>
      </c>
      <c r="E9126" s="21">
        <f t="shared" si="425"/>
        <v>217.69</v>
      </c>
      <c r="F9126" s="22"/>
      <c r="G9126" s="21">
        <f t="shared" si="426"/>
        <v>216.41999999999999</v>
      </c>
      <c r="H9126" s="22"/>
      <c r="I9126" s="23" t="str">
        <f t="shared" si="427"/>
        <v xml:space="preserve">COM VALOR</v>
      </c>
      <c r="J9126" s="19"/>
      <c r="L9126" s="21">
        <v>217.69</v>
      </c>
      <c r="M9126" s="22">
        <v>0.89000000000000001</v>
      </c>
      <c r="N9126" s="21">
        <v>216.41999999999999</v>
      </c>
      <c r="O9126" s="22">
        <v>0.90000000000000002</v>
      </c>
    </row>
    <row r="9127" ht="51">
      <c r="A9127" t="s">
        <v>9242</v>
      </c>
      <c r="B9127" s="19">
        <v>106122</v>
      </c>
      <c r="C9127" s="20" t="s">
        <v>9243</v>
      </c>
      <c r="D9127" s="19" t="s">
        <v>121</v>
      </c>
      <c r="E9127" s="21">
        <f t="shared" si="425"/>
        <v>77.769999999999996</v>
      </c>
      <c r="F9127" s="22"/>
      <c r="G9127" s="21">
        <f t="shared" si="426"/>
        <v>73.640000000000001</v>
      </c>
      <c r="H9127" s="22"/>
      <c r="I9127" s="23" t="str">
        <f t="shared" si="427"/>
        <v xml:space="preserve">COM VALOR</v>
      </c>
      <c r="J9127" s="19"/>
      <c r="L9127" s="21">
        <v>77.769999999999996</v>
      </c>
      <c r="M9127" s="22">
        <v>0</v>
      </c>
      <c r="N9127" s="21">
        <v>73.640000000000001</v>
      </c>
      <c r="O9127" s="22">
        <v>0</v>
      </c>
    </row>
    <row r="9128" ht="38.25">
      <c r="A9128" t="s">
        <v>9242</v>
      </c>
      <c r="B9128" s="19">
        <v>106131</v>
      </c>
      <c r="C9128" s="20" t="s">
        <v>9244</v>
      </c>
      <c r="D9128" s="19" t="s">
        <v>121</v>
      </c>
      <c r="E9128" s="21">
        <f t="shared" si="425"/>
        <v>116.20999999999999</v>
      </c>
      <c r="F9128" s="22"/>
      <c r="G9128" s="21">
        <f t="shared" si="426"/>
        <v>110.03</v>
      </c>
      <c r="H9128" s="22"/>
      <c r="I9128" s="23" t="str">
        <f t="shared" si="427"/>
        <v xml:space="preserve">COM VALOR</v>
      </c>
      <c r="J9128" s="19"/>
      <c r="L9128" s="21">
        <v>116.20999999999999</v>
      </c>
      <c r="M9128" s="22">
        <v>0</v>
      </c>
      <c r="N9128" s="21">
        <v>110.03</v>
      </c>
      <c r="O9128" s="22">
        <v>0</v>
      </c>
    </row>
    <row r="9129" ht="38.25">
      <c r="A9129" t="s">
        <v>9242</v>
      </c>
      <c r="B9129" s="19">
        <v>106127</v>
      </c>
      <c r="C9129" s="20" t="s">
        <v>9245</v>
      </c>
      <c r="D9129" s="19" t="s">
        <v>121</v>
      </c>
      <c r="E9129" s="21">
        <f t="shared" si="425"/>
        <v>104.62</v>
      </c>
      <c r="F9129" s="22"/>
      <c r="G9129" s="21">
        <f t="shared" si="426"/>
        <v>99.060000000000002</v>
      </c>
      <c r="H9129" s="22"/>
      <c r="I9129" s="23" t="str">
        <f t="shared" si="427"/>
        <v xml:space="preserve">COM VALOR</v>
      </c>
      <c r="J9129" s="19"/>
      <c r="L9129" s="21">
        <v>104.62</v>
      </c>
      <c r="M9129" s="22">
        <v>0</v>
      </c>
      <c r="N9129" s="21">
        <v>99.060000000000002</v>
      </c>
      <c r="O9129" s="22">
        <v>0</v>
      </c>
    </row>
    <row r="9130" ht="38.25">
      <c r="A9130" t="s">
        <v>9242</v>
      </c>
      <c r="B9130" s="19">
        <v>106126</v>
      </c>
      <c r="C9130" s="20" t="s">
        <v>9246</v>
      </c>
      <c r="D9130" s="19" t="s">
        <v>121</v>
      </c>
      <c r="E9130" s="21">
        <f t="shared" si="425"/>
        <v>46.219999999999999</v>
      </c>
      <c r="F9130" s="22"/>
      <c r="G9130" s="21">
        <f t="shared" si="426"/>
        <v>43.759999999999998</v>
      </c>
      <c r="H9130" s="22"/>
      <c r="I9130" s="23" t="str">
        <f t="shared" si="427"/>
        <v xml:space="preserve">COM VALOR</v>
      </c>
      <c r="J9130" s="19"/>
      <c r="L9130" s="21">
        <v>46.219999999999999</v>
      </c>
      <c r="M9130" s="22">
        <v>0</v>
      </c>
      <c r="N9130" s="21">
        <v>43.759999999999998</v>
      </c>
      <c r="O9130" s="22">
        <v>0</v>
      </c>
    </row>
    <row r="9131" ht="38.25">
      <c r="A9131" t="s">
        <v>9242</v>
      </c>
      <c r="B9131" s="19">
        <v>106128</v>
      </c>
      <c r="C9131" s="20" t="s">
        <v>9247</v>
      </c>
      <c r="D9131" s="19" t="s">
        <v>121</v>
      </c>
      <c r="E9131" s="21">
        <f t="shared" si="425"/>
        <v>156.84999999999999</v>
      </c>
      <c r="F9131" s="22"/>
      <c r="G9131" s="21">
        <f t="shared" si="426"/>
        <v>152.96000000000001</v>
      </c>
      <c r="H9131" s="22"/>
      <c r="I9131" s="23" t="str">
        <f t="shared" si="427"/>
        <v xml:space="preserve">COM VALOR</v>
      </c>
      <c r="J9131" s="19"/>
      <c r="L9131" s="21">
        <v>156.84999999999999</v>
      </c>
      <c r="M9131" s="22">
        <v>0</v>
      </c>
      <c r="N9131" s="21">
        <v>152.96000000000001</v>
      </c>
      <c r="O9131" s="22">
        <v>0</v>
      </c>
    </row>
    <row r="9132" ht="38.25">
      <c r="A9132" t="s">
        <v>9242</v>
      </c>
      <c r="B9132" s="19">
        <v>106130</v>
      </c>
      <c r="C9132" s="20" t="s">
        <v>9248</v>
      </c>
      <c r="D9132" s="19" t="s">
        <v>121</v>
      </c>
      <c r="E9132" s="21">
        <f t="shared" si="425"/>
        <v>131.61000000000001</v>
      </c>
      <c r="F9132" s="22"/>
      <c r="G9132" s="21">
        <f t="shared" si="426"/>
        <v>124.62</v>
      </c>
      <c r="H9132" s="22"/>
      <c r="I9132" s="23" t="str">
        <f t="shared" si="427"/>
        <v xml:space="preserve">COM VALOR</v>
      </c>
      <c r="J9132" s="19"/>
      <c r="L9132" s="21">
        <v>131.61000000000001</v>
      </c>
      <c r="M9132" s="22">
        <v>0</v>
      </c>
      <c r="N9132" s="21">
        <v>124.62</v>
      </c>
      <c r="O9132" s="22">
        <v>0</v>
      </c>
    </row>
    <row r="9133" ht="51">
      <c r="A9133" t="s">
        <v>9242</v>
      </c>
      <c r="B9133" s="19">
        <v>106129</v>
      </c>
      <c r="C9133" s="20" t="s">
        <v>9249</v>
      </c>
      <c r="D9133" s="19" t="s">
        <v>121</v>
      </c>
      <c r="E9133" s="21">
        <f t="shared" si="425"/>
        <v>69.189999999999998</v>
      </c>
      <c r="F9133" s="22"/>
      <c r="G9133" s="21">
        <f t="shared" si="426"/>
        <v>65.510000000000005</v>
      </c>
      <c r="H9133" s="22"/>
      <c r="I9133" s="23" t="str">
        <f t="shared" si="427"/>
        <v xml:space="preserve">COM VALOR</v>
      </c>
      <c r="J9133" s="19"/>
      <c r="L9133" s="21">
        <v>69.189999999999998</v>
      </c>
      <c r="M9133" s="22">
        <v>0</v>
      </c>
      <c r="N9133" s="21">
        <v>65.510000000000005</v>
      </c>
      <c r="O9133" s="22">
        <v>0</v>
      </c>
    </row>
    <row r="9134" ht="38.25">
      <c r="A9134" t="s">
        <v>9242</v>
      </c>
      <c r="B9134" s="19">
        <v>106125</v>
      </c>
      <c r="C9134" s="20" t="s">
        <v>9250</v>
      </c>
      <c r="D9134" s="19" t="s">
        <v>121</v>
      </c>
      <c r="E9134" s="21">
        <f t="shared" si="425"/>
        <v>53.490000000000002</v>
      </c>
      <c r="F9134" s="22"/>
      <c r="G9134" s="21">
        <f t="shared" si="426"/>
        <v>50.640000000000001</v>
      </c>
      <c r="H9134" s="22"/>
      <c r="I9134" s="23" t="str">
        <f t="shared" si="427"/>
        <v xml:space="preserve">COM VALOR</v>
      </c>
      <c r="J9134" s="19"/>
      <c r="L9134" s="21">
        <v>53.490000000000002</v>
      </c>
      <c r="M9134" s="22">
        <v>0</v>
      </c>
      <c r="N9134" s="21">
        <v>50.640000000000001</v>
      </c>
      <c r="O9134" s="22">
        <v>0</v>
      </c>
    </row>
    <row r="9135" ht="38.25">
      <c r="A9135" t="s">
        <v>9242</v>
      </c>
      <c r="B9135" s="19">
        <v>106124</v>
      </c>
      <c r="C9135" s="20" t="s">
        <v>9251</v>
      </c>
      <c r="D9135" s="19" t="s">
        <v>121</v>
      </c>
      <c r="E9135" s="21">
        <f t="shared" si="425"/>
        <v>53.289999999999999</v>
      </c>
      <c r="F9135" s="22"/>
      <c r="G9135" s="21">
        <f t="shared" si="426"/>
        <v>50.460000000000001</v>
      </c>
      <c r="H9135" s="22"/>
      <c r="I9135" s="23" t="str">
        <f t="shared" si="427"/>
        <v xml:space="preserve">COM VALOR</v>
      </c>
      <c r="J9135" s="19"/>
      <c r="L9135" s="21">
        <v>53.289999999999999</v>
      </c>
      <c r="M9135" s="22">
        <v>0</v>
      </c>
      <c r="N9135" s="21">
        <v>50.460000000000001</v>
      </c>
      <c r="O9135" s="22">
        <v>0</v>
      </c>
    </row>
    <row r="9136" ht="38.25">
      <c r="A9136" t="s">
        <v>9242</v>
      </c>
      <c r="B9136" s="19">
        <v>106123</v>
      </c>
      <c r="C9136" s="20" t="s">
        <v>9252</v>
      </c>
      <c r="D9136" s="19" t="s">
        <v>121</v>
      </c>
      <c r="E9136" s="21">
        <f t="shared" si="425"/>
        <v>157.27000000000001</v>
      </c>
      <c r="F9136" s="22"/>
      <c r="G9136" s="21">
        <f t="shared" si="426"/>
        <v>153.36000000000001</v>
      </c>
      <c r="H9136" s="22"/>
      <c r="I9136" s="23" t="str">
        <f t="shared" si="427"/>
        <v xml:space="preserve">COM VALOR</v>
      </c>
      <c r="J9136" s="19"/>
      <c r="L9136" s="21">
        <v>157.27000000000001</v>
      </c>
      <c r="M9136" s="22">
        <v>0</v>
      </c>
      <c r="N9136" s="21">
        <v>153.36000000000001</v>
      </c>
      <c r="O9136" s="22">
        <v>0</v>
      </c>
    </row>
    <row r="9137" ht="38.25">
      <c r="A9137" t="s">
        <v>9253</v>
      </c>
      <c r="B9137" s="19">
        <v>106445</v>
      </c>
      <c r="C9137" s="20" t="s">
        <v>9254</v>
      </c>
      <c r="D9137" s="19" t="s">
        <v>31</v>
      </c>
      <c r="E9137" s="21" t="str">
        <f t="shared" si="425"/>
        <v>VERIFICAR</v>
      </c>
      <c r="F9137" s="22"/>
      <c r="G9137" s="21" t="str">
        <f t="shared" si="426"/>
        <v>VERIFICAR</v>
      </c>
      <c r="H9137" s="22"/>
      <c r="I9137" s="23" t="str">
        <f t="shared" si="427"/>
        <v xml:space="preserve">COM VALOR</v>
      </c>
      <c r="J9137" s="19"/>
      <c r="L9137" s="21">
        <v>0</v>
      </c>
      <c r="M9137" s="22"/>
      <c r="N9137" s="21">
        <v>0</v>
      </c>
      <c r="O9137" s="22"/>
    </row>
    <row r="9138" ht="38.25">
      <c r="A9138" t="s">
        <v>9253</v>
      </c>
      <c r="B9138" s="19">
        <v>106446</v>
      </c>
      <c r="C9138" s="20" t="s">
        <v>9255</v>
      </c>
      <c r="D9138" s="19" t="s">
        <v>31</v>
      </c>
      <c r="E9138" s="21" t="str">
        <f t="shared" si="425"/>
        <v>VERIFICAR</v>
      </c>
      <c r="F9138" s="22"/>
      <c r="G9138" s="21" t="str">
        <f t="shared" si="426"/>
        <v>VERIFICAR</v>
      </c>
      <c r="H9138" s="22"/>
      <c r="I9138" s="23" t="str">
        <f t="shared" si="427"/>
        <v xml:space="preserve">COM VALOR</v>
      </c>
      <c r="J9138" s="19"/>
      <c r="L9138" s="21">
        <v>0</v>
      </c>
      <c r="M9138" s="22"/>
      <c r="N9138" s="21">
        <v>0</v>
      </c>
      <c r="O9138" s="22"/>
    </row>
    <row r="9139" ht="38.25">
      <c r="A9139" t="s">
        <v>9253</v>
      </c>
      <c r="B9139" s="19">
        <v>106447</v>
      </c>
      <c r="C9139" s="20" t="s">
        <v>9256</v>
      </c>
      <c r="D9139" s="19" t="s">
        <v>31</v>
      </c>
      <c r="E9139" s="21" t="str">
        <f t="shared" si="425"/>
        <v>VERIFICAR</v>
      </c>
      <c r="F9139" s="22"/>
      <c r="G9139" s="21" t="str">
        <f t="shared" si="426"/>
        <v>VERIFICAR</v>
      </c>
      <c r="H9139" s="22"/>
      <c r="I9139" s="23" t="str">
        <f t="shared" si="427"/>
        <v xml:space="preserve">COM VALOR</v>
      </c>
      <c r="J9139" s="19"/>
      <c r="L9139" s="21">
        <v>0</v>
      </c>
      <c r="M9139" s="22"/>
      <c r="N9139" s="21">
        <v>0</v>
      </c>
      <c r="O9139" s="22"/>
    </row>
    <row r="9140" ht="38.25">
      <c r="A9140" t="s">
        <v>9253</v>
      </c>
      <c r="B9140" s="19">
        <v>106448</v>
      </c>
      <c r="C9140" s="20" t="s">
        <v>9257</v>
      </c>
      <c r="D9140" s="19" t="s">
        <v>31</v>
      </c>
      <c r="E9140" s="21" t="str">
        <f t="shared" si="425"/>
        <v>VERIFICAR</v>
      </c>
      <c r="F9140" s="22"/>
      <c r="G9140" s="21" t="str">
        <f t="shared" si="426"/>
        <v>VERIFICAR</v>
      </c>
      <c r="H9140" s="22"/>
      <c r="I9140" s="23" t="str">
        <f t="shared" si="427"/>
        <v xml:space="preserve">COM VALOR</v>
      </c>
      <c r="J9140" s="19"/>
      <c r="L9140" s="21">
        <v>0</v>
      </c>
      <c r="M9140" s="22"/>
      <c r="N9140" s="21">
        <v>0</v>
      </c>
      <c r="O9140" s="22"/>
    </row>
    <row r="9141" ht="38.25">
      <c r="A9141" t="s">
        <v>9253</v>
      </c>
      <c r="B9141" s="19">
        <v>106449</v>
      </c>
      <c r="C9141" s="20" t="s">
        <v>9258</v>
      </c>
      <c r="D9141" s="19" t="s">
        <v>31</v>
      </c>
      <c r="E9141" s="21" t="str">
        <f t="shared" si="425"/>
        <v>VERIFICAR</v>
      </c>
      <c r="F9141" s="22"/>
      <c r="G9141" s="21" t="str">
        <f t="shared" si="426"/>
        <v>VERIFICAR</v>
      </c>
      <c r="H9141" s="22"/>
      <c r="I9141" s="23" t="str">
        <f t="shared" si="427"/>
        <v xml:space="preserve">COM VALOR</v>
      </c>
      <c r="J9141" s="19"/>
      <c r="L9141" s="21">
        <v>0</v>
      </c>
      <c r="M9141" s="22"/>
      <c r="N9141" s="21">
        <v>0</v>
      </c>
      <c r="O9141" s="22"/>
    </row>
    <row r="9142" ht="38.25">
      <c r="A9142" t="s">
        <v>9253</v>
      </c>
      <c r="B9142" s="19">
        <v>106455</v>
      </c>
      <c r="C9142" s="20" t="s">
        <v>9259</v>
      </c>
      <c r="D9142" s="19" t="s">
        <v>38</v>
      </c>
      <c r="E9142" s="21">
        <f t="shared" si="425"/>
        <v>1071.22</v>
      </c>
      <c r="F9142" s="22"/>
      <c r="G9142" s="21">
        <f t="shared" si="426"/>
        <v>1040.1500000000001</v>
      </c>
      <c r="H9142" s="22"/>
      <c r="I9142" s="23" t="str">
        <f t="shared" si="427"/>
        <v xml:space="preserve">COM VALOR</v>
      </c>
      <c r="J9142" s="19"/>
      <c r="L9142" s="21">
        <v>1071.22</v>
      </c>
      <c r="M9142" s="22">
        <v>0.33000000000000002</v>
      </c>
      <c r="N9142" s="21">
        <v>1040.1500000000001</v>
      </c>
      <c r="O9142" s="22">
        <v>0.34000000000000002</v>
      </c>
    </row>
    <row r="9143" ht="38.25">
      <c r="A9143" t="s">
        <v>9253</v>
      </c>
      <c r="B9143" s="19">
        <v>106450</v>
      </c>
      <c r="C9143" s="20" t="s">
        <v>9260</v>
      </c>
      <c r="D9143" s="19" t="s">
        <v>31</v>
      </c>
      <c r="E9143" s="21" t="str">
        <f t="shared" si="425"/>
        <v>VERIFICAR</v>
      </c>
      <c r="F9143" s="22"/>
      <c r="G9143" s="21" t="str">
        <f t="shared" si="426"/>
        <v>VERIFICAR</v>
      </c>
      <c r="H9143" s="22"/>
      <c r="I9143" s="23" t="str">
        <f t="shared" si="427"/>
        <v xml:space="preserve">COM VALOR</v>
      </c>
      <c r="J9143" s="19"/>
      <c r="L9143" s="21">
        <v>0</v>
      </c>
      <c r="M9143" s="22"/>
      <c r="N9143" s="21">
        <v>0</v>
      </c>
      <c r="O9143" s="22"/>
    </row>
    <row r="9144" ht="38.25">
      <c r="A9144" t="s">
        <v>9253</v>
      </c>
      <c r="B9144" s="19">
        <v>106451</v>
      </c>
      <c r="C9144" s="20" t="s">
        <v>9261</v>
      </c>
      <c r="D9144" s="19" t="s">
        <v>31</v>
      </c>
      <c r="E9144" s="21" t="str">
        <f t="shared" si="425"/>
        <v>VERIFICAR</v>
      </c>
      <c r="F9144" s="22"/>
      <c r="G9144" s="21" t="str">
        <f t="shared" si="426"/>
        <v>VERIFICAR</v>
      </c>
      <c r="H9144" s="22"/>
      <c r="I9144" s="23" t="str">
        <f t="shared" si="427"/>
        <v xml:space="preserve">COM VALOR</v>
      </c>
      <c r="J9144" s="19"/>
      <c r="L9144" s="21">
        <v>0</v>
      </c>
      <c r="M9144" s="22"/>
      <c r="N9144" s="21">
        <v>0</v>
      </c>
      <c r="O9144" s="22"/>
    </row>
    <row r="9145" ht="38.25">
      <c r="A9145" t="s">
        <v>9253</v>
      </c>
      <c r="B9145" s="19">
        <v>106452</v>
      </c>
      <c r="C9145" s="20" t="s">
        <v>9262</v>
      </c>
      <c r="D9145" s="19" t="s">
        <v>31</v>
      </c>
      <c r="E9145" s="21" t="str">
        <f t="shared" si="425"/>
        <v>VERIFICAR</v>
      </c>
      <c r="F9145" s="22"/>
      <c r="G9145" s="21" t="str">
        <f t="shared" si="426"/>
        <v>VERIFICAR</v>
      </c>
      <c r="H9145" s="22"/>
      <c r="I9145" s="23" t="str">
        <f t="shared" si="427"/>
        <v xml:space="preserve">COM VALOR</v>
      </c>
      <c r="J9145" s="19"/>
      <c r="L9145" s="21">
        <v>0</v>
      </c>
      <c r="M9145" s="22"/>
      <c r="N9145" s="21">
        <v>0</v>
      </c>
      <c r="O9145" s="22"/>
    </row>
    <row r="9146" ht="38.25">
      <c r="A9146" t="s">
        <v>9253</v>
      </c>
      <c r="B9146" s="19">
        <v>106453</v>
      </c>
      <c r="C9146" s="20" t="s">
        <v>9263</v>
      </c>
      <c r="D9146" s="19" t="s">
        <v>31</v>
      </c>
      <c r="E9146" s="21" t="str">
        <f t="shared" si="425"/>
        <v>VERIFICAR</v>
      </c>
      <c r="F9146" s="22"/>
      <c r="G9146" s="21" t="str">
        <f t="shared" si="426"/>
        <v>VERIFICAR</v>
      </c>
      <c r="H9146" s="22"/>
      <c r="I9146" s="23" t="str">
        <f t="shared" si="427"/>
        <v xml:space="preserve">COM VALOR</v>
      </c>
      <c r="J9146" s="19"/>
      <c r="L9146" s="21">
        <v>0</v>
      </c>
      <c r="M9146" s="22"/>
      <c r="N9146" s="21">
        <v>0</v>
      </c>
      <c r="O9146" s="22"/>
    </row>
    <row r="9147" ht="38.25">
      <c r="A9147" t="s">
        <v>9253</v>
      </c>
      <c r="B9147" s="19">
        <v>106454</v>
      </c>
      <c r="C9147" s="20" t="s">
        <v>9264</v>
      </c>
      <c r="D9147" s="19" t="s">
        <v>31</v>
      </c>
      <c r="E9147" s="21" t="str">
        <f t="shared" si="425"/>
        <v>VERIFICAR</v>
      </c>
      <c r="F9147" s="22"/>
      <c r="G9147" s="21" t="str">
        <f t="shared" si="426"/>
        <v>VERIFICAR</v>
      </c>
      <c r="H9147" s="22"/>
      <c r="I9147" s="23" t="str">
        <f t="shared" si="427"/>
        <v xml:space="preserve">COM VALOR</v>
      </c>
      <c r="J9147" s="19"/>
      <c r="L9147" s="21">
        <v>0</v>
      </c>
      <c r="M9147" s="22"/>
      <c r="N9147" s="21">
        <v>0</v>
      </c>
      <c r="O9147" s="22"/>
    </row>
    <row r="9148" ht="38.25">
      <c r="A9148" t="s">
        <v>9253</v>
      </c>
      <c r="B9148" s="19">
        <v>106456</v>
      </c>
      <c r="C9148" s="20" t="s">
        <v>9265</v>
      </c>
      <c r="D9148" s="19" t="s">
        <v>38</v>
      </c>
      <c r="E9148" s="21">
        <f t="shared" si="425"/>
        <v>1205.1099999999999</v>
      </c>
      <c r="F9148" s="22"/>
      <c r="G9148" s="21">
        <f t="shared" si="426"/>
        <v>1169.7</v>
      </c>
      <c r="H9148" s="22"/>
      <c r="I9148" s="23" t="str">
        <f t="shared" si="427"/>
        <v xml:space="preserve">COM VALOR</v>
      </c>
      <c r="J9148" s="19"/>
      <c r="L9148" s="21">
        <v>1205.1099999999999</v>
      </c>
      <c r="M9148" s="22">
        <v>0.31</v>
      </c>
      <c r="N9148" s="21">
        <v>1169.7</v>
      </c>
      <c r="O9148" s="22">
        <v>0.32000000000000001</v>
      </c>
    </row>
    <row r="9149" ht="38.25">
      <c r="A9149" t="s">
        <v>9253</v>
      </c>
      <c r="B9149" s="19">
        <v>106426</v>
      </c>
      <c r="C9149" s="20" t="s">
        <v>9266</v>
      </c>
      <c r="D9149" s="19" t="s">
        <v>31</v>
      </c>
      <c r="E9149" s="21" t="str">
        <f t="shared" si="425"/>
        <v>VERIFICAR</v>
      </c>
      <c r="F9149" s="22"/>
      <c r="G9149" s="21" t="str">
        <f t="shared" si="426"/>
        <v>VERIFICAR</v>
      </c>
      <c r="H9149" s="22"/>
      <c r="I9149" s="23" t="str">
        <f t="shared" si="427"/>
        <v xml:space="preserve">COM VALOR</v>
      </c>
      <c r="J9149" s="19"/>
      <c r="L9149" s="21">
        <v>0</v>
      </c>
      <c r="M9149" s="22"/>
      <c r="N9149" s="21">
        <v>0</v>
      </c>
      <c r="O9149" s="22"/>
    </row>
    <row r="9150" ht="38.25">
      <c r="A9150" t="s">
        <v>9253</v>
      </c>
      <c r="B9150" s="19">
        <v>106442</v>
      </c>
      <c r="C9150" s="20" t="s">
        <v>9267</v>
      </c>
      <c r="D9150" s="19" t="s">
        <v>31</v>
      </c>
      <c r="E9150" s="21" t="str">
        <f t="shared" si="425"/>
        <v>VERIFICAR</v>
      </c>
      <c r="F9150" s="22"/>
      <c r="G9150" s="21" t="str">
        <f t="shared" si="426"/>
        <v>VERIFICAR</v>
      </c>
      <c r="H9150" s="22"/>
      <c r="I9150" s="23" t="str">
        <f t="shared" si="427"/>
        <v xml:space="preserve">COM VALOR</v>
      </c>
      <c r="J9150" s="19"/>
      <c r="L9150" s="21">
        <v>0</v>
      </c>
      <c r="M9150" s="22"/>
      <c r="N9150" s="21">
        <v>0</v>
      </c>
      <c r="O9150" s="22"/>
    </row>
    <row r="9151" ht="38.25">
      <c r="A9151" t="s">
        <v>9253</v>
      </c>
      <c r="B9151" s="19">
        <v>106427</v>
      </c>
      <c r="C9151" s="20" t="s">
        <v>9268</v>
      </c>
      <c r="D9151" s="19" t="s">
        <v>31</v>
      </c>
      <c r="E9151" s="21" t="str">
        <f t="shared" si="425"/>
        <v>VERIFICAR</v>
      </c>
      <c r="F9151" s="22"/>
      <c r="G9151" s="21" t="str">
        <f t="shared" si="426"/>
        <v>VERIFICAR</v>
      </c>
      <c r="H9151" s="22"/>
      <c r="I9151" s="23" t="str">
        <f t="shared" si="427"/>
        <v xml:space="preserve">COM VALOR</v>
      </c>
      <c r="J9151" s="19"/>
      <c r="L9151" s="21">
        <v>0</v>
      </c>
      <c r="M9151" s="22"/>
      <c r="N9151" s="21">
        <v>0</v>
      </c>
      <c r="O9151" s="22"/>
    </row>
    <row r="9152" ht="38.25">
      <c r="A9152" t="s">
        <v>9253</v>
      </c>
      <c r="B9152" s="19">
        <v>106428</v>
      </c>
      <c r="C9152" s="20" t="s">
        <v>9269</v>
      </c>
      <c r="D9152" s="19" t="s">
        <v>31</v>
      </c>
      <c r="E9152" s="21" t="str">
        <f t="shared" si="425"/>
        <v>VERIFICAR</v>
      </c>
      <c r="F9152" s="22"/>
      <c r="G9152" s="21" t="str">
        <f t="shared" si="426"/>
        <v>VERIFICAR</v>
      </c>
      <c r="H9152" s="22"/>
      <c r="I9152" s="23" t="str">
        <f t="shared" si="427"/>
        <v xml:space="preserve">COM VALOR</v>
      </c>
      <c r="J9152" s="19"/>
      <c r="L9152" s="21">
        <v>0</v>
      </c>
      <c r="M9152" s="22"/>
      <c r="N9152" s="21">
        <v>0</v>
      </c>
      <c r="O9152" s="22"/>
    </row>
    <row r="9153" ht="38.25">
      <c r="A9153" t="s">
        <v>9253</v>
      </c>
      <c r="B9153" s="19">
        <v>106429</v>
      </c>
      <c r="C9153" s="20" t="s">
        <v>9270</v>
      </c>
      <c r="D9153" s="19" t="s">
        <v>31</v>
      </c>
      <c r="E9153" s="21" t="str">
        <f t="shared" si="425"/>
        <v>VERIFICAR</v>
      </c>
      <c r="F9153" s="22"/>
      <c r="G9153" s="21" t="str">
        <f t="shared" si="426"/>
        <v>VERIFICAR</v>
      </c>
      <c r="H9153" s="22"/>
      <c r="I9153" s="23" t="str">
        <f t="shared" si="427"/>
        <v xml:space="preserve">COM VALOR</v>
      </c>
      <c r="J9153" s="19"/>
      <c r="L9153" s="21">
        <v>0</v>
      </c>
      <c r="M9153" s="22"/>
      <c r="N9153" s="21">
        <v>0</v>
      </c>
      <c r="O9153" s="22"/>
    </row>
    <row r="9154" ht="38.25">
      <c r="A9154" t="s">
        <v>9253</v>
      </c>
      <c r="B9154" s="19">
        <v>106430</v>
      </c>
      <c r="C9154" s="20" t="s">
        <v>9271</v>
      </c>
      <c r="D9154" s="19" t="s">
        <v>31</v>
      </c>
      <c r="E9154" s="21" t="str">
        <f t="shared" si="425"/>
        <v>VERIFICAR</v>
      </c>
      <c r="F9154" s="22"/>
      <c r="G9154" s="21" t="str">
        <f t="shared" si="426"/>
        <v>VERIFICAR</v>
      </c>
      <c r="H9154" s="22"/>
      <c r="I9154" s="23" t="str">
        <f t="shared" si="427"/>
        <v xml:space="preserve">COM VALOR</v>
      </c>
      <c r="J9154" s="19"/>
      <c r="L9154" s="21">
        <v>0</v>
      </c>
      <c r="M9154" s="22"/>
      <c r="N9154" s="21">
        <v>0</v>
      </c>
      <c r="O9154" s="22"/>
    </row>
    <row r="9155" ht="38.25">
      <c r="A9155" t="s">
        <v>9253</v>
      </c>
      <c r="B9155" s="19">
        <v>106425</v>
      </c>
      <c r="C9155" s="20" t="s">
        <v>9272</v>
      </c>
      <c r="D9155" s="19" t="s">
        <v>31</v>
      </c>
      <c r="E9155" s="21" t="str">
        <f t="shared" si="425"/>
        <v>VERIFICAR</v>
      </c>
      <c r="F9155" s="22"/>
      <c r="G9155" s="21" t="str">
        <f t="shared" si="426"/>
        <v>VERIFICAR</v>
      </c>
      <c r="H9155" s="22"/>
      <c r="I9155" s="23" t="str">
        <f t="shared" si="427"/>
        <v xml:space="preserve">COM VALOR</v>
      </c>
      <c r="J9155" s="19"/>
      <c r="L9155" s="21">
        <v>0</v>
      </c>
      <c r="M9155" s="22"/>
      <c r="N9155" s="21">
        <v>0</v>
      </c>
      <c r="O9155" s="22"/>
    </row>
    <row r="9156" ht="38.25">
      <c r="A9156" t="s">
        <v>9253</v>
      </c>
      <c r="B9156" s="19">
        <v>106431</v>
      </c>
      <c r="C9156" s="20" t="s">
        <v>9273</v>
      </c>
      <c r="D9156" s="19" t="s">
        <v>31</v>
      </c>
      <c r="E9156" s="21" t="str">
        <f t="shared" si="425"/>
        <v>VERIFICAR</v>
      </c>
      <c r="F9156" s="22"/>
      <c r="G9156" s="21" t="str">
        <f t="shared" si="426"/>
        <v>VERIFICAR</v>
      </c>
      <c r="H9156" s="22"/>
      <c r="I9156" s="23" t="str">
        <f t="shared" si="427"/>
        <v xml:space="preserve">COM VALOR</v>
      </c>
      <c r="J9156" s="19"/>
      <c r="L9156" s="21">
        <v>0</v>
      </c>
      <c r="M9156" s="22"/>
      <c r="N9156" s="21">
        <v>0</v>
      </c>
      <c r="O9156" s="22"/>
    </row>
    <row r="9157" ht="38.25">
      <c r="A9157" t="s">
        <v>9253</v>
      </c>
      <c r="B9157" s="19">
        <v>106441</v>
      </c>
      <c r="C9157" s="20" t="s">
        <v>9274</v>
      </c>
      <c r="D9157" s="19" t="s">
        <v>31</v>
      </c>
      <c r="E9157" s="21" t="str">
        <f t="shared" si="425"/>
        <v>VERIFICAR</v>
      </c>
      <c r="F9157" s="22"/>
      <c r="G9157" s="21" t="str">
        <f t="shared" si="426"/>
        <v>VERIFICAR</v>
      </c>
      <c r="H9157" s="22"/>
      <c r="I9157" s="23" t="str">
        <f t="shared" si="427"/>
        <v xml:space="preserve">COM VALOR</v>
      </c>
      <c r="J9157" s="19"/>
      <c r="L9157" s="21">
        <v>0</v>
      </c>
      <c r="M9157" s="22"/>
      <c r="N9157" s="21">
        <v>0</v>
      </c>
      <c r="O9157" s="22"/>
    </row>
    <row r="9158" ht="38.25">
      <c r="A9158" t="s">
        <v>9253</v>
      </c>
      <c r="B9158" s="19">
        <v>106433</v>
      </c>
      <c r="C9158" s="20" t="s">
        <v>9275</v>
      </c>
      <c r="D9158" s="19" t="s">
        <v>31</v>
      </c>
      <c r="E9158" s="21" t="str">
        <f t="shared" si="425"/>
        <v>VERIFICAR</v>
      </c>
      <c r="F9158" s="22">
        <v>0</v>
      </c>
      <c r="G9158" s="21" t="str">
        <f t="shared" si="426"/>
        <v>VERIFICAR</v>
      </c>
      <c r="H9158" s="22">
        <v>0</v>
      </c>
      <c r="I9158" s="23" t="str">
        <f t="shared" si="427"/>
        <v xml:space="preserve">COM VALOR</v>
      </c>
      <c r="J9158" s="19"/>
      <c r="L9158" s="21">
        <v>0</v>
      </c>
      <c r="M9158" s="22"/>
      <c r="N9158" s="21">
        <v>0</v>
      </c>
      <c r="O9158" s="22"/>
    </row>
    <row r="9159" ht="38.25">
      <c r="A9159" t="s">
        <v>9253</v>
      </c>
      <c r="B9159" s="19">
        <v>106444</v>
      </c>
      <c r="C9159" s="20" t="s">
        <v>9276</v>
      </c>
      <c r="D9159" s="19" t="s">
        <v>31</v>
      </c>
      <c r="E9159" s="21" t="str">
        <f t="shared" si="425"/>
        <v>VERIFICAR</v>
      </c>
      <c r="F9159" s="22">
        <v>0</v>
      </c>
      <c r="G9159" s="21" t="str">
        <f t="shared" si="426"/>
        <v>VERIFICAR</v>
      </c>
      <c r="H9159" s="22">
        <v>0</v>
      </c>
      <c r="I9159" s="23" t="str">
        <f t="shared" si="427"/>
        <v xml:space="preserve">COM VALOR</v>
      </c>
      <c r="J9159" s="19"/>
      <c r="L9159" s="21">
        <v>0</v>
      </c>
      <c r="M9159" s="22"/>
      <c r="N9159" s="21">
        <v>0</v>
      </c>
      <c r="O9159" s="22"/>
    </row>
    <row r="9160" ht="38.25">
      <c r="A9160" t="s">
        <v>9253</v>
      </c>
      <c r="B9160" s="19">
        <v>106434</v>
      </c>
      <c r="C9160" s="20" t="s">
        <v>9277</v>
      </c>
      <c r="D9160" s="19" t="s">
        <v>31</v>
      </c>
      <c r="E9160" s="21" t="str">
        <f t="shared" si="425"/>
        <v>VERIFICAR</v>
      </c>
      <c r="F9160" s="22">
        <v>0</v>
      </c>
      <c r="G9160" s="21" t="str">
        <f t="shared" si="426"/>
        <v>VERIFICAR</v>
      </c>
      <c r="H9160" s="22">
        <v>0</v>
      </c>
      <c r="I9160" s="23" t="str">
        <f t="shared" si="427"/>
        <v xml:space="preserve">COM VALOR</v>
      </c>
      <c r="J9160" s="19"/>
      <c r="L9160" s="21">
        <v>0</v>
      </c>
      <c r="M9160" s="22"/>
      <c r="N9160" s="21">
        <v>0</v>
      </c>
      <c r="O9160" s="22"/>
    </row>
    <row r="9161" ht="38.25">
      <c r="A9161" t="s">
        <v>9253</v>
      </c>
      <c r="B9161" s="19">
        <v>106435</v>
      </c>
      <c r="C9161" s="20" t="s">
        <v>9278</v>
      </c>
      <c r="D9161" s="19" t="s">
        <v>31</v>
      </c>
      <c r="E9161" s="21" t="str">
        <f t="shared" si="425"/>
        <v>VERIFICAR</v>
      </c>
      <c r="F9161" s="22">
        <v>0</v>
      </c>
      <c r="G9161" s="21" t="str">
        <f t="shared" si="426"/>
        <v>VERIFICAR</v>
      </c>
      <c r="H9161" s="22">
        <v>0</v>
      </c>
      <c r="I9161" s="23" t="str">
        <f t="shared" si="427"/>
        <v xml:space="preserve">COM VALOR</v>
      </c>
      <c r="J9161" s="19"/>
      <c r="L9161" s="21">
        <v>0</v>
      </c>
      <c r="M9161" s="22"/>
      <c r="N9161" s="21">
        <v>0</v>
      </c>
      <c r="O9161" s="22"/>
    </row>
    <row r="9162" ht="38.25">
      <c r="A9162" t="s">
        <v>9253</v>
      </c>
      <c r="B9162" s="19">
        <v>106436</v>
      </c>
      <c r="C9162" s="20" t="s">
        <v>9279</v>
      </c>
      <c r="D9162" s="19" t="s">
        <v>31</v>
      </c>
      <c r="E9162" s="21" t="str">
        <f t="shared" si="425"/>
        <v>VERIFICAR</v>
      </c>
      <c r="F9162" s="22">
        <v>0</v>
      </c>
      <c r="G9162" s="21" t="str">
        <f t="shared" si="426"/>
        <v>VERIFICAR</v>
      </c>
      <c r="H9162" s="22">
        <v>0</v>
      </c>
      <c r="I9162" s="23" t="str">
        <f t="shared" si="427"/>
        <v xml:space="preserve">COM VALOR</v>
      </c>
      <c r="J9162" s="19"/>
      <c r="L9162" s="21">
        <v>0</v>
      </c>
      <c r="M9162" s="22"/>
      <c r="N9162" s="21">
        <v>0</v>
      </c>
      <c r="O9162" s="22"/>
    </row>
    <row r="9163" ht="38.25">
      <c r="A9163" t="s">
        <v>9253</v>
      </c>
      <c r="B9163" s="19">
        <v>106437</v>
      </c>
      <c r="C9163" s="20" t="s">
        <v>9280</v>
      </c>
      <c r="D9163" s="19" t="s">
        <v>31</v>
      </c>
      <c r="E9163" s="21" t="str">
        <f t="shared" ref="E9163:E9226" si="428">IF(L9163=0,"VERIFICAR",L9163)</f>
        <v>VERIFICAR</v>
      </c>
      <c r="F9163" s="22">
        <v>0</v>
      </c>
      <c r="G9163" s="21" t="str">
        <f t="shared" ref="G9163:G9226" si="429">IF(N9163=0,"VERIFICAR",N9163)</f>
        <v>VERIFICAR</v>
      </c>
      <c r="H9163" s="22">
        <v>0</v>
      </c>
      <c r="I9163" s="23" t="str">
        <f t="shared" ref="I9163:I9226" si="430">IF(OR(E9163=0,G9163=0),"SEM VALOR","COM VALOR")</f>
        <v xml:space="preserve">COM VALOR</v>
      </c>
      <c r="J9163" s="19"/>
      <c r="L9163" s="21">
        <v>0</v>
      </c>
      <c r="M9163" s="22"/>
      <c r="N9163" s="21">
        <v>0</v>
      </c>
      <c r="O9163" s="22"/>
    </row>
    <row r="9164" ht="38.25">
      <c r="A9164" t="s">
        <v>9253</v>
      </c>
      <c r="B9164" s="19">
        <v>106432</v>
      </c>
      <c r="C9164" s="20" t="s">
        <v>9281</v>
      </c>
      <c r="D9164" s="19" t="s">
        <v>31</v>
      </c>
      <c r="E9164" s="21" t="str">
        <f t="shared" si="428"/>
        <v>VERIFICAR</v>
      </c>
      <c r="F9164" s="22">
        <v>0</v>
      </c>
      <c r="G9164" s="21" t="str">
        <f t="shared" si="429"/>
        <v>VERIFICAR</v>
      </c>
      <c r="H9164" s="22">
        <v>0</v>
      </c>
      <c r="I9164" s="23" t="str">
        <f t="shared" si="430"/>
        <v xml:space="preserve">COM VALOR</v>
      </c>
      <c r="J9164" s="19"/>
      <c r="L9164" s="21">
        <v>0</v>
      </c>
      <c r="M9164" s="22"/>
      <c r="N9164" s="21">
        <v>0</v>
      </c>
      <c r="O9164" s="22"/>
    </row>
    <row r="9165" ht="38.25">
      <c r="A9165" t="s">
        <v>9253</v>
      </c>
      <c r="B9165" s="19">
        <v>106438</v>
      </c>
      <c r="C9165" s="20" t="s">
        <v>9282</v>
      </c>
      <c r="D9165" s="19" t="s">
        <v>31</v>
      </c>
      <c r="E9165" s="21" t="str">
        <f t="shared" si="428"/>
        <v>VERIFICAR</v>
      </c>
      <c r="F9165" s="22">
        <v>0</v>
      </c>
      <c r="G9165" s="21" t="str">
        <f t="shared" si="429"/>
        <v>VERIFICAR</v>
      </c>
      <c r="H9165" s="22">
        <v>0</v>
      </c>
      <c r="I9165" s="23" t="str">
        <f t="shared" si="430"/>
        <v xml:space="preserve">COM VALOR</v>
      </c>
      <c r="J9165" s="19"/>
      <c r="L9165" s="21">
        <v>0</v>
      </c>
      <c r="M9165" s="22"/>
      <c r="N9165" s="21">
        <v>0</v>
      </c>
      <c r="O9165" s="22"/>
    </row>
    <row r="9166" ht="38.25">
      <c r="A9166" t="s">
        <v>9253</v>
      </c>
      <c r="B9166" s="19">
        <v>106443</v>
      </c>
      <c r="C9166" s="20" t="s">
        <v>9283</v>
      </c>
      <c r="D9166" s="19" t="s">
        <v>31</v>
      </c>
      <c r="E9166" s="21" t="str">
        <f t="shared" si="428"/>
        <v>VERIFICAR</v>
      </c>
      <c r="F9166" s="22">
        <v>0</v>
      </c>
      <c r="G9166" s="21" t="str">
        <f t="shared" si="429"/>
        <v>VERIFICAR</v>
      </c>
      <c r="H9166" s="22">
        <v>0</v>
      </c>
      <c r="I9166" s="23" t="str">
        <f t="shared" si="430"/>
        <v xml:space="preserve">COM VALOR</v>
      </c>
      <c r="J9166" s="19"/>
      <c r="L9166" s="21">
        <v>0</v>
      </c>
      <c r="M9166" s="22"/>
      <c r="N9166" s="21">
        <v>0</v>
      </c>
      <c r="O9166" s="22"/>
    </row>
    <row r="9167" ht="25.5">
      <c r="A9167" t="s">
        <v>9253</v>
      </c>
      <c r="B9167" s="19">
        <v>106419</v>
      </c>
      <c r="C9167" s="20" t="s">
        <v>9284</v>
      </c>
      <c r="D9167" s="19" t="s">
        <v>31</v>
      </c>
      <c r="E9167" s="21" t="str">
        <f t="shared" si="428"/>
        <v>VERIFICAR</v>
      </c>
      <c r="F9167" s="22">
        <v>0</v>
      </c>
      <c r="G9167" s="21" t="str">
        <f t="shared" si="429"/>
        <v>VERIFICAR</v>
      </c>
      <c r="H9167" s="22">
        <v>0</v>
      </c>
      <c r="I9167" s="23" t="str">
        <f t="shared" si="430"/>
        <v xml:space="preserve">COM VALOR</v>
      </c>
      <c r="J9167" s="19"/>
      <c r="L9167" s="21">
        <v>0</v>
      </c>
      <c r="M9167" s="22"/>
      <c r="N9167" s="21">
        <v>0</v>
      </c>
      <c r="O9167" s="22"/>
    </row>
    <row r="9168" ht="25.5">
      <c r="A9168" t="s">
        <v>9253</v>
      </c>
      <c r="B9168" s="19">
        <v>106440</v>
      </c>
      <c r="C9168" s="20" t="s">
        <v>9285</v>
      </c>
      <c r="D9168" s="19" t="s">
        <v>31</v>
      </c>
      <c r="E9168" s="21" t="str">
        <f t="shared" si="428"/>
        <v>VERIFICAR</v>
      </c>
      <c r="F9168" s="22">
        <v>0</v>
      </c>
      <c r="G9168" s="21" t="str">
        <f t="shared" si="429"/>
        <v>VERIFICAR</v>
      </c>
      <c r="H9168" s="22">
        <v>0</v>
      </c>
      <c r="I9168" s="23" t="str">
        <f t="shared" si="430"/>
        <v xml:space="preserve">COM VALOR</v>
      </c>
      <c r="J9168" s="19"/>
      <c r="L9168" s="21">
        <v>0</v>
      </c>
      <c r="M9168" s="22"/>
      <c r="N9168" s="21">
        <v>0</v>
      </c>
      <c r="O9168" s="22"/>
    </row>
    <row r="9169" ht="25.5">
      <c r="A9169" t="s">
        <v>9253</v>
      </c>
      <c r="B9169" s="19">
        <v>106420</v>
      </c>
      <c r="C9169" s="20" t="s">
        <v>9286</v>
      </c>
      <c r="D9169" s="19" t="s">
        <v>31</v>
      </c>
      <c r="E9169" s="21" t="str">
        <f t="shared" si="428"/>
        <v>VERIFICAR</v>
      </c>
      <c r="F9169" s="22">
        <v>0</v>
      </c>
      <c r="G9169" s="21" t="str">
        <f t="shared" si="429"/>
        <v>VERIFICAR</v>
      </c>
      <c r="H9169" s="22">
        <v>0</v>
      </c>
      <c r="I9169" s="23" t="str">
        <f t="shared" si="430"/>
        <v xml:space="preserve">COM VALOR</v>
      </c>
      <c r="J9169" s="19"/>
      <c r="L9169" s="21">
        <v>0</v>
      </c>
      <c r="M9169" s="22"/>
      <c r="N9169" s="21">
        <v>0</v>
      </c>
      <c r="O9169" s="22"/>
    </row>
    <row r="9170" ht="25.5">
      <c r="A9170" t="s">
        <v>9253</v>
      </c>
      <c r="B9170" s="19">
        <v>106421</v>
      </c>
      <c r="C9170" s="20" t="s">
        <v>9287</v>
      </c>
      <c r="D9170" s="19" t="s">
        <v>31</v>
      </c>
      <c r="E9170" s="21" t="str">
        <f t="shared" si="428"/>
        <v>VERIFICAR</v>
      </c>
      <c r="F9170" s="22">
        <v>0</v>
      </c>
      <c r="G9170" s="21" t="str">
        <f t="shared" si="429"/>
        <v>VERIFICAR</v>
      </c>
      <c r="H9170" s="22">
        <v>0</v>
      </c>
      <c r="I9170" s="23" t="str">
        <f t="shared" si="430"/>
        <v xml:space="preserve">COM VALOR</v>
      </c>
      <c r="J9170" s="19"/>
      <c r="L9170" s="21">
        <v>0</v>
      </c>
      <c r="M9170" s="22"/>
      <c r="N9170" s="21">
        <v>0</v>
      </c>
      <c r="O9170" s="22"/>
    </row>
    <row r="9171" ht="25.5">
      <c r="A9171" t="s">
        <v>9253</v>
      </c>
      <c r="B9171" s="19">
        <v>106422</v>
      </c>
      <c r="C9171" s="20" t="s">
        <v>9288</v>
      </c>
      <c r="D9171" s="19" t="s">
        <v>31</v>
      </c>
      <c r="E9171" s="21" t="str">
        <f t="shared" si="428"/>
        <v>VERIFICAR</v>
      </c>
      <c r="F9171" s="22">
        <v>0</v>
      </c>
      <c r="G9171" s="21" t="str">
        <f t="shared" si="429"/>
        <v>VERIFICAR</v>
      </c>
      <c r="H9171" s="22">
        <v>0</v>
      </c>
      <c r="I9171" s="23" t="str">
        <f t="shared" si="430"/>
        <v xml:space="preserve">COM VALOR</v>
      </c>
      <c r="J9171" s="19"/>
      <c r="L9171" s="21">
        <v>0</v>
      </c>
      <c r="M9171" s="22"/>
      <c r="N9171" s="21">
        <v>0</v>
      </c>
      <c r="O9171" s="22"/>
    </row>
    <row r="9172" ht="25.5">
      <c r="A9172" t="s">
        <v>9253</v>
      </c>
      <c r="B9172" s="19">
        <v>106423</v>
      </c>
      <c r="C9172" s="20" t="s">
        <v>9289</v>
      </c>
      <c r="D9172" s="19" t="s">
        <v>31</v>
      </c>
      <c r="E9172" s="21" t="str">
        <f t="shared" si="428"/>
        <v>VERIFICAR</v>
      </c>
      <c r="F9172" s="22">
        <v>0</v>
      </c>
      <c r="G9172" s="21" t="str">
        <f t="shared" si="429"/>
        <v>VERIFICAR</v>
      </c>
      <c r="H9172" s="22">
        <v>0</v>
      </c>
      <c r="I9172" s="23" t="str">
        <f t="shared" si="430"/>
        <v xml:space="preserve">COM VALOR</v>
      </c>
      <c r="J9172" s="19"/>
      <c r="L9172" s="21">
        <v>0</v>
      </c>
      <c r="M9172" s="22"/>
      <c r="N9172" s="21">
        <v>0</v>
      </c>
      <c r="O9172" s="22"/>
    </row>
    <row r="9173" ht="25.5">
      <c r="A9173" t="s">
        <v>9253</v>
      </c>
      <c r="B9173" s="19">
        <v>106418</v>
      </c>
      <c r="C9173" s="20" t="s">
        <v>9290</v>
      </c>
      <c r="D9173" s="19" t="s">
        <v>31</v>
      </c>
      <c r="E9173" s="21" t="str">
        <f t="shared" si="428"/>
        <v>VERIFICAR</v>
      </c>
      <c r="F9173" s="22">
        <v>0</v>
      </c>
      <c r="G9173" s="21" t="str">
        <f t="shared" si="429"/>
        <v>VERIFICAR</v>
      </c>
      <c r="H9173" s="22">
        <v>0</v>
      </c>
      <c r="I9173" s="23" t="str">
        <f t="shared" si="430"/>
        <v xml:space="preserve">COM VALOR</v>
      </c>
      <c r="J9173" s="19"/>
      <c r="L9173" s="21">
        <v>0</v>
      </c>
      <c r="M9173" s="22"/>
      <c r="N9173" s="21">
        <v>0</v>
      </c>
      <c r="O9173" s="22"/>
    </row>
    <row r="9174" ht="25.5">
      <c r="A9174" t="s">
        <v>9253</v>
      </c>
      <c r="B9174" s="19">
        <v>106424</v>
      </c>
      <c r="C9174" s="20" t="s">
        <v>9291</v>
      </c>
      <c r="D9174" s="19" t="s">
        <v>31</v>
      </c>
      <c r="E9174" s="21" t="str">
        <f t="shared" si="428"/>
        <v>VERIFICAR</v>
      </c>
      <c r="F9174" s="22">
        <v>0</v>
      </c>
      <c r="G9174" s="21" t="str">
        <f t="shared" si="429"/>
        <v>VERIFICAR</v>
      </c>
      <c r="H9174" s="22">
        <v>0</v>
      </c>
      <c r="I9174" s="23" t="str">
        <f t="shared" si="430"/>
        <v xml:space="preserve">COM VALOR</v>
      </c>
      <c r="J9174" s="19"/>
      <c r="L9174" s="21">
        <v>0</v>
      </c>
      <c r="M9174" s="22"/>
      <c r="N9174" s="21">
        <v>0</v>
      </c>
      <c r="O9174" s="22"/>
    </row>
    <row r="9175" ht="25.5">
      <c r="A9175" t="s">
        <v>9253</v>
      </c>
      <c r="B9175" s="19">
        <v>106439</v>
      </c>
      <c r="C9175" s="20" t="s">
        <v>9292</v>
      </c>
      <c r="D9175" s="19" t="s">
        <v>31</v>
      </c>
      <c r="E9175" s="21" t="str">
        <f t="shared" si="428"/>
        <v>VERIFICAR</v>
      </c>
      <c r="F9175" s="22">
        <v>0</v>
      </c>
      <c r="G9175" s="21" t="str">
        <f t="shared" si="429"/>
        <v>VERIFICAR</v>
      </c>
      <c r="H9175" s="22">
        <v>0</v>
      </c>
      <c r="I9175" s="23" t="str">
        <f t="shared" si="430"/>
        <v xml:space="preserve">COM VALOR</v>
      </c>
      <c r="J9175" s="19"/>
      <c r="L9175" s="21">
        <v>0</v>
      </c>
      <c r="M9175" s="22"/>
      <c r="N9175" s="21">
        <v>0</v>
      </c>
      <c r="O9175" s="22"/>
    </row>
    <row r="9176" ht="38.25">
      <c r="A9176" t="s">
        <v>9293</v>
      </c>
      <c r="B9176" s="19">
        <v>88789</v>
      </c>
      <c r="C9176" s="20" t="s">
        <v>9294</v>
      </c>
      <c r="D9176" s="19" t="s">
        <v>29</v>
      </c>
      <c r="E9176" s="21">
        <f t="shared" si="428"/>
        <v>512.41999999999996</v>
      </c>
      <c r="F9176" s="22">
        <v>0</v>
      </c>
      <c r="G9176" s="21">
        <f t="shared" si="429"/>
        <v>509.36000000000001</v>
      </c>
      <c r="H9176" s="22">
        <v>0</v>
      </c>
      <c r="I9176" s="23" t="str">
        <f t="shared" si="430"/>
        <v xml:space="preserve">COM VALOR</v>
      </c>
      <c r="J9176" s="19"/>
      <c r="L9176" s="21">
        <v>512.41999999999996</v>
      </c>
      <c r="M9176" s="22">
        <v>0</v>
      </c>
      <c r="N9176" s="21">
        <v>509.36000000000001</v>
      </c>
      <c r="O9176" s="22">
        <v>0</v>
      </c>
    </row>
    <row r="9177" ht="38.25">
      <c r="A9177" t="s">
        <v>9293</v>
      </c>
      <c r="B9177" s="19">
        <v>88788</v>
      </c>
      <c r="C9177" s="20" t="s">
        <v>9295</v>
      </c>
      <c r="D9177" s="19" t="s">
        <v>29</v>
      </c>
      <c r="E9177" s="21">
        <f t="shared" si="428"/>
        <v>426.32999999999998</v>
      </c>
      <c r="F9177" s="22">
        <v>0</v>
      </c>
      <c r="G9177" s="21">
        <f t="shared" si="429"/>
        <v>423.68000000000001</v>
      </c>
      <c r="H9177" s="22">
        <v>0</v>
      </c>
      <c r="I9177" s="23" t="str">
        <f t="shared" si="430"/>
        <v xml:space="preserve">COM VALOR</v>
      </c>
      <c r="J9177" s="19"/>
      <c r="L9177" s="21">
        <v>426.32999999999998</v>
      </c>
      <c r="M9177" s="22">
        <v>0</v>
      </c>
      <c r="N9177" s="21">
        <v>423.68000000000001</v>
      </c>
      <c r="O9177" s="22">
        <v>0</v>
      </c>
    </row>
    <row r="9178" ht="38.25">
      <c r="A9178" t="s">
        <v>9293</v>
      </c>
      <c r="B9178" s="19">
        <v>87245</v>
      </c>
      <c r="C9178" s="20" t="s">
        <v>9296</v>
      </c>
      <c r="D9178" s="19" t="s">
        <v>29</v>
      </c>
      <c r="E9178" s="21">
        <f t="shared" si="428"/>
        <v>389.38999999999999</v>
      </c>
      <c r="F9178" s="22">
        <v>0</v>
      </c>
      <c r="G9178" s="21">
        <f t="shared" si="429"/>
        <v>386.42000000000002</v>
      </c>
      <c r="H9178" s="22">
        <v>0</v>
      </c>
      <c r="I9178" s="23" t="str">
        <f t="shared" si="430"/>
        <v xml:space="preserve">COM VALOR</v>
      </c>
      <c r="J9178" s="19"/>
      <c r="L9178" s="21">
        <v>389.38999999999999</v>
      </c>
      <c r="M9178" s="22">
        <v>0</v>
      </c>
      <c r="N9178" s="21">
        <v>386.42000000000002</v>
      </c>
      <c r="O9178" s="22">
        <v>0</v>
      </c>
    </row>
    <row r="9179" ht="38.25">
      <c r="A9179" t="s">
        <v>9293</v>
      </c>
      <c r="B9179" s="19">
        <v>87244</v>
      </c>
      <c r="C9179" s="20" t="s">
        <v>9297</v>
      </c>
      <c r="D9179" s="19" t="s">
        <v>29</v>
      </c>
      <c r="E9179" s="21">
        <f t="shared" si="428"/>
        <v>324.5</v>
      </c>
      <c r="F9179" s="22">
        <v>0</v>
      </c>
      <c r="G9179" s="21">
        <f t="shared" si="429"/>
        <v>321.94</v>
      </c>
      <c r="H9179" s="22">
        <v>0</v>
      </c>
      <c r="I9179" s="23" t="str">
        <f t="shared" si="430"/>
        <v xml:space="preserve">COM VALOR</v>
      </c>
      <c r="J9179" s="19"/>
      <c r="L9179" s="21">
        <v>324.5</v>
      </c>
      <c r="M9179" s="22">
        <v>0</v>
      </c>
      <c r="N9179" s="21">
        <v>321.94</v>
      </c>
      <c r="O9179" s="22">
        <v>0</v>
      </c>
    </row>
    <row r="9180" ht="51">
      <c r="A9180" t="s">
        <v>9293</v>
      </c>
      <c r="B9180" s="19">
        <v>104589</v>
      </c>
      <c r="C9180" s="20" t="s">
        <v>9298</v>
      </c>
      <c r="D9180" s="19" t="s">
        <v>29</v>
      </c>
      <c r="E9180" s="21">
        <f t="shared" si="428"/>
        <v>319.79000000000002</v>
      </c>
      <c r="F9180" s="22">
        <v>0</v>
      </c>
      <c r="G9180" s="21">
        <f t="shared" si="429"/>
        <v>316.83999999999997</v>
      </c>
      <c r="H9180" s="22">
        <v>0</v>
      </c>
      <c r="I9180" s="23" t="str">
        <f t="shared" si="430"/>
        <v xml:space="preserve">COM VALOR</v>
      </c>
      <c r="J9180" s="19"/>
      <c r="L9180" s="21">
        <v>319.79000000000002</v>
      </c>
      <c r="M9180" s="22">
        <v>0</v>
      </c>
      <c r="N9180" s="21">
        <v>316.83999999999997</v>
      </c>
      <c r="O9180" s="22">
        <v>0</v>
      </c>
    </row>
    <row r="9181" ht="38.25">
      <c r="A9181" t="s">
        <v>9293</v>
      </c>
      <c r="B9181" s="19">
        <v>104588</v>
      </c>
      <c r="C9181" s="20" t="s">
        <v>9299</v>
      </c>
      <c r="D9181" s="19" t="s">
        <v>29</v>
      </c>
      <c r="E9181" s="21">
        <f t="shared" si="428"/>
        <v>267.14999999999998</v>
      </c>
      <c r="F9181" s="22">
        <v>0</v>
      </c>
      <c r="G9181" s="21">
        <f t="shared" si="429"/>
        <v>264.62</v>
      </c>
      <c r="H9181" s="22">
        <v>0</v>
      </c>
      <c r="I9181" s="23" t="str">
        <f t="shared" si="430"/>
        <v xml:space="preserve">COM VALOR</v>
      </c>
      <c r="J9181" s="19"/>
      <c r="L9181" s="21">
        <v>267.14999999999998</v>
      </c>
      <c r="M9181" s="22">
        <v>0</v>
      </c>
      <c r="N9181" s="21">
        <v>264.62</v>
      </c>
      <c r="O9181" s="22">
        <v>0</v>
      </c>
    </row>
    <row r="9182" ht="51">
      <c r="A9182" t="s">
        <v>9293</v>
      </c>
      <c r="B9182" s="19">
        <v>104591</v>
      </c>
      <c r="C9182" s="20" t="s">
        <v>9300</v>
      </c>
      <c r="D9182" s="19" t="s">
        <v>29</v>
      </c>
      <c r="E9182" s="21">
        <f t="shared" si="428"/>
        <v>348.06999999999999</v>
      </c>
      <c r="F9182" s="22">
        <v>0</v>
      </c>
      <c r="G9182" s="21">
        <f t="shared" si="429"/>
        <v>344.38999999999999</v>
      </c>
      <c r="H9182" s="22">
        <v>0</v>
      </c>
      <c r="I9182" s="23" t="str">
        <f t="shared" si="430"/>
        <v xml:space="preserve">COM VALOR</v>
      </c>
      <c r="J9182" s="19"/>
      <c r="L9182" s="21">
        <v>348.06999999999999</v>
      </c>
      <c r="M9182" s="22">
        <v>0</v>
      </c>
      <c r="N9182" s="21">
        <v>344.38999999999999</v>
      </c>
      <c r="O9182" s="22">
        <v>0</v>
      </c>
    </row>
    <row r="9183" ht="38.25">
      <c r="A9183" t="s">
        <v>9293</v>
      </c>
      <c r="B9183" s="19">
        <v>104590</v>
      </c>
      <c r="C9183" s="20" t="s">
        <v>9301</v>
      </c>
      <c r="D9183" s="19" t="s">
        <v>29</v>
      </c>
      <c r="E9183" s="21">
        <f t="shared" si="428"/>
        <v>291.72000000000003</v>
      </c>
      <c r="F9183" s="22">
        <v>0.54000000000000004</v>
      </c>
      <c r="G9183" s="21">
        <f t="shared" si="429"/>
        <v>288.44999999999999</v>
      </c>
      <c r="H9183" s="22">
        <v>0.55000000000000004</v>
      </c>
      <c r="I9183" s="23" t="str">
        <f t="shared" si="430"/>
        <v xml:space="preserve">COM VALOR</v>
      </c>
      <c r="J9183" s="19"/>
      <c r="L9183" s="21">
        <v>291.72000000000003</v>
      </c>
      <c r="M9183" s="22">
        <v>0</v>
      </c>
      <c r="N9183" s="21">
        <v>288.44999999999999</v>
      </c>
      <c r="O9183" s="22">
        <v>0</v>
      </c>
    </row>
    <row r="9184" ht="38.25">
      <c r="A9184" t="s">
        <v>9302</v>
      </c>
      <c r="B9184" s="19">
        <v>87267</v>
      </c>
      <c r="C9184" s="20" t="s">
        <v>9303</v>
      </c>
      <c r="D9184" s="19" t="s">
        <v>29</v>
      </c>
      <c r="E9184" s="21">
        <f t="shared" si="428"/>
        <v>71.920000000000002</v>
      </c>
      <c r="F9184" s="22">
        <v>0.53000000000000003</v>
      </c>
      <c r="G9184" s="21">
        <f t="shared" si="429"/>
        <v>70.450000000000003</v>
      </c>
      <c r="H9184" s="22">
        <v>0.55000000000000004</v>
      </c>
      <c r="I9184" s="23" t="str">
        <f t="shared" si="430"/>
        <v xml:space="preserve">COM VALOR</v>
      </c>
      <c r="J9184" s="19"/>
      <c r="L9184" s="21">
        <v>71.920000000000002</v>
      </c>
      <c r="M9184" s="22">
        <v>0</v>
      </c>
      <c r="N9184" s="21">
        <v>70.450000000000003</v>
      </c>
      <c r="O9184" s="22">
        <v>0</v>
      </c>
    </row>
    <row r="9185" ht="38.25">
      <c r="A9185" t="s">
        <v>9302</v>
      </c>
      <c r="B9185" s="19">
        <v>104614</v>
      </c>
      <c r="C9185" s="20" t="s">
        <v>9304</v>
      </c>
      <c r="D9185" s="19" t="s">
        <v>29</v>
      </c>
      <c r="E9185" s="21">
        <f t="shared" si="428"/>
        <v>77.109999999999999</v>
      </c>
      <c r="F9185" s="22">
        <v>0.54000000000000004</v>
      </c>
      <c r="G9185" s="21">
        <f t="shared" si="429"/>
        <v>75.400000000000006</v>
      </c>
      <c r="H9185" s="22">
        <v>0.55000000000000004</v>
      </c>
      <c r="I9185" s="23" t="str">
        <f t="shared" si="430"/>
        <v xml:space="preserve">COM VALOR</v>
      </c>
      <c r="J9185" s="19"/>
      <c r="L9185" s="21">
        <v>77.109999999999999</v>
      </c>
      <c r="M9185" s="22">
        <v>0</v>
      </c>
      <c r="N9185" s="21">
        <v>75.400000000000006</v>
      </c>
      <c r="O9185" s="22">
        <v>0</v>
      </c>
    </row>
    <row r="9186" ht="38.25">
      <c r="A9186" t="s">
        <v>9302</v>
      </c>
      <c r="B9186" s="19">
        <v>104613</v>
      </c>
      <c r="C9186" s="20" t="s">
        <v>9305</v>
      </c>
      <c r="D9186" s="19" t="s">
        <v>29</v>
      </c>
      <c r="E9186" s="21">
        <f t="shared" si="428"/>
        <v>70.219999999999999</v>
      </c>
      <c r="F9186" s="22">
        <v>0.53000000000000003</v>
      </c>
      <c r="G9186" s="21">
        <f t="shared" si="429"/>
        <v>68.870000000000005</v>
      </c>
      <c r="H9186" s="22">
        <v>0.55000000000000004</v>
      </c>
      <c r="I9186" s="23" t="str">
        <f t="shared" si="430"/>
        <v xml:space="preserve">COM VALOR</v>
      </c>
      <c r="J9186" s="19"/>
      <c r="L9186" s="21">
        <v>70.219999999999999</v>
      </c>
      <c r="M9186" s="22">
        <v>0</v>
      </c>
      <c r="N9186" s="21">
        <v>68.870000000000005</v>
      </c>
      <c r="O9186" s="22">
        <v>0</v>
      </c>
    </row>
    <row r="9187" ht="38.25">
      <c r="A9187" t="s">
        <v>9302</v>
      </c>
      <c r="B9187" s="19">
        <v>87265</v>
      </c>
      <c r="C9187" s="20" t="s">
        <v>9306</v>
      </c>
      <c r="D9187" s="19" t="s">
        <v>29</v>
      </c>
      <c r="E9187" s="21">
        <f t="shared" si="428"/>
        <v>66.650000000000006</v>
      </c>
      <c r="F9187" s="22">
        <v>0.53000000000000003</v>
      </c>
      <c r="G9187" s="21">
        <f t="shared" si="429"/>
        <v>65.459999999999994</v>
      </c>
      <c r="H9187" s="22">
        <v>0.55000000000000004</v>
      </c>
      <c r="I9187" s="23" t="str">
        <f t="shared" si="430"/>
        <v xml:space="preserve">COM VALOR</v>
      </c>
      <c r="J9187" s="19"/>
      <c r="L9187" s="21">
        <v>66.650000000000006</v>
      </c>
      <c r="M9187" s="22">
        <v>0</v>
      </c>
      <c r="N9187" s="21">
        <v>65.459999999999994</v>
      </c>
      <c r="O9187" s="22">
        <v>0</v>
      </c>
    </row>
    <row r="9188" ht="38.25">
      <c r="A9188" t="s">
        <v>9302</v>
      </c>
      <c r="B9188" s="19">
        <v>87271</v>
      </c>
      <c r="C9188" s="20" t="s">
        <v>9307</v>
      </c>
      <c r="D9188" s="19" t="s">
        <v>29</v>
      </c>
      <c r="E9188" s="21">
        <f t="shared" si="428"/>
        <v>75.810000000000002</v>
      </c>
      <c r="F9188" s="22">
        <v>0.53000000000000003</v>
      </c>
      <c r="G9188" s="21">
        <f t="shared" si="429"/>
        <v>74.120000000000005</v>
      </c>
      <c r="H9188" s="22">
        <v>0.55000000000000004</v>
      </c>
      <c r="I9188" s="23" t="str">
        <f t="shared" si="430"/>
        <v xml:space="preserve">COM VALOR</v>
      </c>
      <c r="J9188" s="19"/>
      <c r="L9188" s="21">
        <v>75.810000000000002</v>
      </c>
      <c r="M9188" s="22">
        <v>0</v>
      </c>
      <c r="N9188" s="21">
        <v>74.120000000000005</v>
      </c>
      <c r="O9188" s="22">
        <v>0</v>
      </c>
    </row>
    <row r="9189" ht="38.25">
      <c r="A9189" t="s">
        <v>9302</v>
      </c>
      <c r="B9189" s="19">
        <v>87269</v>
      </c>
      <c r="C9189" s="20" t="s">
        <v>9308</v>
      </c>
      <c r="D9189" s="19" t="s">
        <v>29</v>
      </c>
      <c r="E9189" s="21">
        <f t="shared" si="428"/>
        <v>70.469999999999999</v>
      </c>
      <c r="F9189" s="22">
        <v>0.46000000000000002</v>
      </c>
      <c r="G9189" s="21">
        <f t="shared" si="429"/>
        <v>69.069999999999993</v>
      </c>
      <c r="H9189" s="22">
        <v>0.46000000000000002</v>
      </c>
      <c r="I9189" s="23" t="str">
        <f t="shared" si="430"/>
        <v xml:space="preserve">COM VALOR</v>
      </c>
      <c r="J9189" s="19"/>
      <c r="L9189" s="21">
        <v>70.469999999999999</v>
      </c>
      <c r="M9189" s="22">
        <v>0</v>
      </c>
      <c r="N9189" s="21">
        <v>69.069999999999993</v>
      </c>
      <c r="O9189" s="22">
        <v>0</v>
      </c>
    </row>
    <row r="9190" ht="38.25">
      <c r="A9190" t="s">
        <v>9302</v>
      </c>
      <c r="B9190" s="19">
        <v>87275</v>
      </c>
      <c r="C9190" s="20" t="s">
        <v>9309</v>
      </c>
      <c r="D9190" s="19" t="s">
        <v>29</v>
      </c>
      <c r="E9190" s="21">
        <f t="shared" si="428"/>
        <v>81.060000000000002</v>
      </c>
      <c r="F9190" s="22">
        <v>0.54000000000000004</v>
      </c>
      <c r="G9190" s="21">
        <f t="shared" si="429"/>
        <v>79.180000000000007</v>
      </c>
      <c r="H9190" s="22">
        <v>0.55000000000000004</v>
      </c>
      <c r="I9190" s="23" t="str">
        <f t="shared" si="430"/>
        <v xml:space="preserve">COM VALOR</v>
      </c>
      <c r="J9190" s="19"/>
      <c r="L9190" s="21">
        <v>81.060000000000002</v>
      </c>
      <c r="M9190" s="22">
        <v>0</v>
      </c>
      <c r="N9190" s="21">
        <v>79.180000000000007</v>
      </c>
      <c r="O9190" s="22">
        <v>0</v>
      </c>
    </row>
    <row r="9191" ht="38.25">
      <c r="A9191" t="s">
        <v>9302</v>
      </c>
      <c r="B9191" s="19">
        <v>87273</v>
      </c>
      <c r="C9191" s="20" t="s">
        <v>9310</v>
      </c>
      <c r="D9191" s="19" t="s">
        <v>29</v>
      </c>
      <c r="E9191" s="21">
        <f t="shared" si="428"/>
        <v>73.950000000000003</v>
      </c>
      <c r="F9191" s="22">
        <v>0.53000000000000003</v>
      </c>
      <c r="G9191" s="21">
        <f t="shared" si="429"/>
        <v>72.450000000000003</v>
      </c>
      <c r="H9191" s="22">
        <v>0.55000000000000004</v>
      </c>
      <c r="I9191" s="23" t="str">
        <f t="shared" si="430"/>
        <v xml:space="preserve">COM VALOR</v>
      </c>
      <c r="J9191" s="19"/>
      <c r="L9191" s="21">
        <v>73.950000000000003</v>
      </c>
      <c r="M9191" s="22">
        <v>0</v>
      </c>
      <c r="N9191" s="21">
        <v>72.450000000000003</v>
      </c>
      <c r="O9191" s="22">
        <v>0</v>
      </c>
    </row>
    <row r="9192" ht="38.25">
      <c r="A9192" t="s">
        <v>9302</v>
      </c>
      <c r="B9192" s="19">
        <v>104612</v>
      </c>
      <c r="C9192" s="20" t="s">
        <v>9311</v>
      </c>
      <c r="D9192" s="19" t="s">
        <v>29</v>
      </c>
      <c r="E9192" s="21">
        <f t="shared" si="428"/>
        <v>106.17</v>
      </c>
      <c r="F9192" s="22">
        <v>0</v>
      </c>
      <c r="G9192" s="21">
        <f t="shared" si="429"/>
        <v>104.51000000000001</v>
      </c>
      <c r="H9192" s="22">
        <v>0</v>
      </c>
      <c r="I9192" s="23" t="str">
        <f t="shared" si="430"/>
        <v xml:space="preserve">COM VALOR</v>
      </c>
      <c r="J9192" s="19"/>
      <c r="L9192" s="21">
        <v>106.17</v>
      </c>
      <c r="M9192" s="22">
        <v>0</v>
      </c>
      <c r="N9192" s="21">
        <v>104.51000000000001</v>
      </c>
      <c r="O9192" s="22">
        <v>0</v>
      </c>
    </row>
    <row r="9193" ht="38.25">
      <c r="A9193" t="s">
        <v>9302</v>
      </c>
      <c r="B9193" s="19">
        <v>104611</v>
      </c>
      <c r="C9193" s="20" t="s">
        <v>9312</v>
      </c>
      <c r="D9193" s="19" t="s">
        <v>29</v>
      </c>
      <c r="E9193" s="21">
        <f t="shared" si="428"/>
        <v>105.56999999999999</v>
      </c>
      <c r="F9193" s="22">
        <v>0</v>
      </c>
      <c r="G9193" s="21">
        <f t="shared" si="429"/>
        <v>103.98999999999999</v>
      </c>
      <c r="H9193" s="22">
        <v>0</v>
      </c>
      <c r="I9193" s="23" t="str">
        <f t="shared" si="430"/>
        <v xml:space="preserve">COM VALOR</v>
      </c>
      <c r="J9193" s="19"/>
      <c r="L9193" s="21">
        <v>105.56999999999999</v>
      </c>
      <c r="M9193" s="22">
        <v>0</v>
      </c>
      <c r="N9193" s="21">
        <v>103.98999999999999</v>
      </c>
      <c r="O9193" s="22">
        <v>0</v>
      </c>
    </row>
    <row r="9194" ht="38.25">
      <c r="A9194" t="s">
        <v>9302</v>
      </c>
      <c r="B9194" s="19">
        <v>104618</v>
      </c>
      <c r="C9194" s="20" t="s">
        <v>9313</v>
      </c>
      <c r="D9194" s="19" t="s">
        <v>29</v>
      </c>
      <c r="E9194" s="21">
        <f t="shared" si="428"/>
        <v>441.75</v>
      </c>
      <c r="F9194" s="22">
        <v>0</v>
      </c>
      <c r="G9194" s="21">
        <f t="shared" si="429"/>
        <v>438.97000000000003</v>
      </c>
      <c r="H9194" s="22">
        <v>0</v>
      </c>
      <c r="I9194" s="23" t="str">
        <f t="shared" si="430"/>
        <v xml:space="preserve">COM VALOR</v>
      </c>
      <c r="J9194" s="19"/>
      <c r="L9194" s="21">
        <v>441.75</v>
      </c>
      <c r="M9194" s="22">
        <v>0</v>
      </c>
      <c r="N9194" s="21">
        <v>438.97000000000003</v>
      </c>
      <c r="O9194" s="22">
        <v>0</v>
      </c>
    </row>
    <row r="9195" ht="38.25">
      <c r="A9195" t="s">
        <v>9302</v>
      </c>
      <c r="B9195" s="19">
        <v>104616</v>
      </c>
      <c r="C9195" s="20" t="s">
        <v>9314</v>
      </c>
      <c r="D9195" s="19" t="s">
        <v>29</v>
      </c>
      <c r="E9195" s="21">
        <f t="shared" si="428"/>
        <v>431.19</v>
      </c>
      <c r="F9195" s="22">
        <v>0</v>
      </c>
      <c r="G9195" s="21">
        <f t="shared" si="429"/>
        <v>429.00999999999999</v>
      </c>
      <c r="H9195" s="22">
        <v>0</v>
      </c>
      <c r="I9195" s="23" t="str">
        <f t="shared" si="430"/>
        <v xml:space="preserve">COM VALOR</v>
      </c>
      <c r="J9195" s="19"/>
      <c r="L9195" s="21">
        <v>431.19</v>
      </c>
      <c r="M9195" s="22">
        <v>0</v>
      </c>
      <c r="N9195" s="21">
        <v>429.00999999999999</v>
      </c>
      <c r="O9195" s="22">
        <v>0</v>
      </c>
    </row>
    <row r="9196" ht="38.25">
      <c r="A9196" t="s">
        <v>9302</v>
      </c>
      <c r="B9196" s="19">
        <v>104617</v>
      </c>
      <c r="C9196" s="20" t="s">
        <v>9315</v>
      </c>
      <c r="D9196" s="19" t="s">
        <v>29</v>
      </c>
      <c r="E9196" s="21">
        <f t="shared" si="428"/>
        <v>335.32999999999998</v>
      </c>
      <c r="F9196" s="22">
        <v>0</v>
      </c>
      <c r="G9196" s="21">
        <f t="shared" si="429"/>
        <v>332.55000000000001</v>
      </c>
      <c r="H9196" s="22">
        <v>0</v>
      </c>
      <c r="I9196" s="23" t="str">
        <f t="shared" si="430"/>
        <v xml:space="preserve">COM VALOR</v>
      </c>
      <c r="J9196" s="19"/>
      <c r="L9196" s="21">
        <v>335.32999999999998</v>
      </c>
      <c r="M9196" s="22">
        <v>0</v>
      </c>
      <c r="N9196" s="21">
        <v>332.55000000000001</v>
      </c>
      <c r="O9196" s="22">
        <v>0</v>
      </c>
    </row>
    <row r="9197" ht="38.25">
      <c r="A9197" t="s">
        <v>9302</v>
      </c>
      <c r="B9197" s="19">
        <v>104615</v>
      </c>
      <c r="C9197" s="20" t="s">
        <v>9316</v>
      </c>
      <c r="D9197" s="19" t="s">
        <v>29</v>
      </c>
      <c r="E9197" s="21">
        <f t="shared" si="428"/>
        <v>324.76999999999998</v>
      </c>
      <c r="F9197" s="22">
        <v>0</v>
      </c>
      <c r="G9197" s="21">
        <f t="shared" si="429"/>
        <v>322.58999999999997</v>
      </c>
      <c r="H9197" s="22">
        <v>0</v>
      </c>
      <c r="I9197" s="23" t="str">
        <f t="shared" si="430"/>
        <v xml:space="preserve">COM VALOR</v>
      </c>
      <c r="J9197" s="19"/>
      <c r="L9197" s="21">
        <v>324.76999999999998</v>
      </c>
      <c r="M9197" s="22">
        <v>0</v>
      </c>
      <c r="N9197" s="21">
        <v>322.58999999999997</v>
      </c>
      <c r="O9197" s="22">
        <v>0</v>
      </c>
    </row>
    <row r="9198" ht="38.25">
      <c r="A9198" t="s">
        <v>9302</v>
      </c>
      <c r="B9198" s="19">
        <v>87247</v>
      </c>
      <c r="C9198" s="20" t="s">
        <v>9317</v>
      </c>
      <c r="D9198" s="19" t="s">
        <v>29</v>
      </c>
      <c r="E9198" s="21">
        <f t="shared" si="428"/>
        <v>68.75</v>
      </c>
      <c r="F9198" s="22">
        <v>0</v>
      </c>
      <c r="G9198" s="21">
        <f t="shared" si="429"/>
        <v>67.790000000000006</v>
      </c>
      <c r="H9198" s="22">
        <v>0</v>
      </c>
      <c r="I9198" s="23" t="str">
        <f t="shared" si="430"/>
        <v xml:space="preserve">COM VALOR</v>
      </c>
      <c r="J9198" s="19"/>
      <c r="L9198" s="21">
        <v>68.75</v>
      </c>
      <c r="M9198" s="22">
        <v>0</v>
      </c>
      <c r="N9198" s="21">
        <v>67.790000000000006</v>
      </c>
      <c r="O9198" s="22">
        <v>0</v>
      </c>
    </row>
    <row r="9199" ht="38.25">
      <c r="A9199" t="s">
        <v>9302</v>
      </c>
      <c r="B9199" s="19">
        <v>87248</v>
      </c>
      <c r="C9199" s="20" t="s">
        <v>9318</v>
      </c>
      <c r="D9199" s="19" t="s">
        <v>29</v>
      </c>
      <c r="E9199" s="21">
        <f t="shared" si="428"/>
        <v>61.25</v>
      </c>
      <c r="F9199" s="22">
        <v>0</v>
      </c>
      <c r="G9199" s="21">
        <f t="shared" si="429"/>
        <v>60.700000000000003</v>
      </c>
      <c r="H9199" s="22">
        <v>0</v>
      </c>
      <c r="I9199" s="23" t="str">
        <f t="shared" si="430"/>
        <v xml:space="preserve">COM VALOR</v>
      </c>
      <c r="J9199" s="19"/>
      <c r="L9199" s="21">
        <v>61.25</v>
      </c>
      <c r="M9199" s="22">
        <v>0</v>
      </c>
      <c r="N9199" s="21">
        <v>60.700000000000003</v>
      </c>
      <c r="O9199" s="22">
        <v>0</v>
      </c>
    </row>
    <row r="9200" ht="38.25">
      <c r="A9200" t="s">
        <v>9302</v>
      </c>
      <c r="B9200" s="19">
        <v>87246</v>
      </c>
      <c r="C9200" s="20" t="s">
        <v>9319</v>
      </c>
      <c r="D9200" s="19" t="s">
        <v>29</v>
      </c>
      <c r="E9200" s="21">
        <f t="shared" si="428"/>
        <v>75.980000000000004</v>
      </c>
      <c r="F9200" s="22">
        <v>0</v>
      </c>
      <c r="G9200" s="21">
        <f t="shared" si="429"/>
        <v>74.659999999999997</v>
      </c>
      <c r="H9200" s="22">
        <v>0</v>
      </c>
      <c r="I9200" s="23" t="str">
        <f t="shared" si="430"/>
        <v xml:space="preserve">COM VALOR</v>
      </c>
      <c r="J9200" s="19"/>
      <c r="L9200" s="21">
        <v>75.980000000000004</v>
      </c>
      <c r="M9200" s="22">
        <v>0</v>
      </c>
      <c r="N9200" s="21">
        <v>74.659999999999997</v>
      </c>
      <c r="O9200" s="22">
        <v>0</v>
      </c>
    </row>
    <row r="9201" ht="38.25">
      <c r="A9201" t="s">
        <v>9302</v>
      </c>
      <c r="B9201" s="19">
        <v>104601</v>
      </c>
      <c r="C9201" s="20" t="s">
        <v>9320</v>
      </c>
      <c r="D9201" s="19" t="s">
        <v>29</v>
      </c>
      <c r="E9201" s="21">
        <f t="shared" si="428"/>
        <v>73.959999999999994</v>
      </c>
      <c r="F9201" s="22">
        <v>0</v>
      </c>
      <c r="G9201" s="21">
        <f t="shared" si="429"/>
        <v>72.769999999999996</v>
      </c>
      <c r="H9201" s="22">
        <v>0</v>
      </c>
      <c r="I9201" s="23" t="str">
        <f t="shared" si="430"/>
        <v xml:space="preserve">COM VALOR</v>
      </c>
      <c r="J9201" s="19"/>
      <c r="L9201" s="21">
        <v>73.959999999999994</v>
      </c>
      <c r="M9201" s="22">
        <v>0</v>
      </c>
      <c r="N9201" s="21">
        <v>72.769999999999996</v>
      </c>
      <c r="O9201" s="22">
        <v>0</v>
      </c>
    </row>
    <row r="9202" ht="38.25">
      <c r="A9202" t="s">
        <v>9302</v>
      </c>
      <c r="B9202" s="19">
        <v>104603</v>
      </c>
      <c r="C9202" s="20" t="s">
        <v>9321</v>
      </c>
      <c r="D9202" s="19" t="s">
        <v>29</v>
      </c>
      <c r="E9202" s="21">
        <f t="shared" si="428"/>
        <v>63.840000000000003</v>
      </c>
      <c r="F9202" s="22">
        <v>0</v>
      </c>
      <c r="G9202" s="21">
        <f t="shared" si="429"/>
        <v>63.18</v>
      </c>
      <c r="H9202" s="22">
        <v>0</v>
      </c>
      <c r="I9202" s="23" t="str">
        <f t="shared" si="430"/>
        <v xml:space="preserve">COM VALOR</v>
      </c>
      <c r="J9202" s="19"/>
      <c r="L9202" s="21">
        <v>63.840000000000003</v>
      </c>
      <c r="M9202" s="22">
        <v>0</v>
      </c>
      <c r="N9202" s="21">
        <v>63.18</v>
      </c>
      <c r="O9202" s="22">
        <v>0</v>
      </c>
    </row>
    <row r="9203" ht="38.25">
      <c r="A9203" t="s">
        <v>9302</v>
      </c>
      <c r="B9203" s="19">
        <v>104599</v>
      </c>
      <c r="C9203" s="20" t="s">
        <v>9322</v>
      </c>
      <c r="D9203" s="19" t="s">
        <v>29</v>
      </c>
      <c r="E9203" s="21">
        <f t="shared" si="428"/>
        <v>89.75</v>
      </c>
      <c r="F9203" s="22">
        <v>0</v>
      </c>
      <c r="G9203" s="21">
        <f t="shared" si="429"/>
        <v>87.829999999999998</v>
      </c>
      <c r="H9203" s="22">
        <v>0</v>
      </c>
      <c r="I9203" s="23" t="str">
        <f t="shared" si="430"/>
        <v xml:space="preserve">COM VALOR</v>
      </c>
      <c r="J9203" s="19"/>
      <c r="L9203" s="21">
        <v>89.75</v>
      </c>
      <c r="M9203" s="22">
        <v>0</v>
      </c>
      <c r="N9203" s="21">
        <v>87.829999999999998</v>
      </c>
      <c r="O9203" s="22">
        <v>0</v>
      </c>
    </row>
    <row r="9204" ht="38.25">
      <c r="A9204" t="s">
        <v>9302</v>
      </c>
      <c r="B9204" s="19">
        <v>87250</v>
      </c>
      <c r="C9204" s="20" t="s">
        <v>9323</v>
      </c>
      <c r="D9204" s="19" t="s">
        <v>29</v>
      </c>
      <c r="E9204" s="21">
        <f t="shared" si="428"/>
        <v>70.090000000000003</v>
      </c>
      <c r="F9204" s="22">
        <v>0</v>
      </c>
      <c r="G9204" s="21">
        <f t="shared" si="429"/>
        <v>69.060000000000002</v>
      </c>
      <c r="H9204" s="22">
        <v>0</v>
      </c>
      <c r="I9204" s="23" t="str">
        <f t="shared" si="430"/>
        <v xml:space="preserve">COM VALOR</v>
      </c>
      <c r="J9204" s="19"/>
      <c r="L9204" s="21">
        <v>70.090000000000003</v>
      </c>
      <c r="M9204" s="22">
        <v>0</v>
      </c>
      <c r="N9204" s="21">
        <v>69.060000000000002</v>
      </c>
      <c r="O9204" s="22">
        <v>0</v>
      </c>
    </row>
    <row r="9205" ht="38.25">
      <c r="A9205" t="s">
        <v>9302</v>
      </c>
      <c r="B9205" s="19">
        <v>87251</v>
      </c>
      <c r="C9205" s="20" t="s">
        <v>9324</v>
      </c>
      <c r="D9205" s="19" t="s">
        <v>29</v>
      </c>
      <c r="E9205" s="21">
        <f t="shared" si="428"/>
        <v>61.450000000000003</v>
      </c>
      <c r="F9205" s="22">
        <v>0</v>
      </c>
      <c r="G9205" s="21">
        <f t="shared" si="429"/>
        <v>60.880000000000003</v>
      </c>
      <c r="H9205" s="22">
        <v>0</v>
      </c>
      <c r="I9205" s="23" t="str">
        <f t="shared" si="430"/>
        <v xml:space="preserve">COM VALOR</v>
      </c>
      <c r="J9205" s="19"/>
      <c r="L9205" s="21">
        <v>61.450000000000003</v>
      </c>
      <c r="M9205" s="22">
        <v>0</v>
      </c>
      <c r="N9205" s="21">
        <v>60.880000000000003</v>
      </c>
      <c r="O9205" s="22">
        <v>0</v>
      </c>
    </row>
    <row r="9206" ht="38.25">
      <c r="A9206" t="s">
        <v>9302</v>
      </c>
      <c r="B9206" s="19">
        <v>87249</v>
      </c>
      <c r="C9206" s="20" t="s">
        <v>9325</v>
      </c>
      <c r="D9206" s="19" t="s">
        <v>29</v>
      </c>
      <c r="E9206" s="21">
        <f t="shared" si="428"/>
        <v>80.930000000000007</v>
      </c>
      <c r="F9206" s="22">
        <v>0</v>
      </c>
      <c r="G9206" s="21">
        <f t="shared" si="429"/>
        <v>79.390000000000001</v>
      </c>
      <c r="H9206" s="22">
        <v>0</v>
      </c>
      <c r="I9206" s="23" t="str">
        <f t="shared" si="430"/>
        <v xml:space="preserve">COM VALOR</v>
      </c>
      <c r="J9206" s="19"/>
      <c r="L9206" s="21">
        <v>80.930000000000007</v>
      </c>
      <c r="M9206" s="22">
        <v>0</v>
      </c>
      <c r="N9206" s="21">
        <v>79.390000000000001</v>
      </c>
      <c r="O9206" s="22">
        <v>0</v>
      </c>
    </row>
    <row r="9207" ht="38.25">
      <c r="A9207" t="s">
        <v>9302</v>
      </c>
      <c r="B9207" s="19">
        <v>104606</v>
      </c>
      <c r="C9207" s="20" t="s">
        <v>9326</v>
      </c>
      <c r="D9207" s="19" t="s">
        <v>29</v>
      </c>
      <c r="E9207" s="21">
        <f t="shared" si="428"/>
        <v>78.329999999999998</v>
      </c>
      <c r="F9207" s="22">
        <v>0</v>
      </c>
      <c r="G9207" s="21">
        <f t="shared" si="429"/>
        <v>76.950000000000003</v>
      </c>
      <c r="H9207" s="22">
        <v>0</v>
      </c>
      <c r="I9207" s="23" t="str">
        <f t="shared" si="430"/>
        <v xml:space="preserve">COM VALOR</v>
      </c>
      <c r="J9207" s="19"/>
      <c r="L9207" s="21">
        <v>78.329999999999998</v>
      </c>
      <c r="M9207" s="22">
        <v>0</v>
      </c>
      <c r="N9207" s="21">
        <v>76.950000000000003</v>
      </c>
      <c r="O9207" s="22">
        <v>0</v>
      </c>
    </row>
    <row r="9208" ht="38.25">
      <c r="A9208" t="s">
        <v>9302</v>
      </c>
      <c r="B9208" s="19">
        <v>104607</v>
      </c>
      <c r="C9208" s="20" t="s">
        <v>9327</v>
      </c>
      <c r="D9208" s="19" t="s">
        <v>29</v>
      </c>
      <c r="E9208" s="21">
        <f t="shared" si="428"/>
        <v>65.129999999999995</v>
      </c>
      <c r="F9208" s="22">
        <v>0</v>
      </c>
      <c r="G9208" s="21">
        <f t="shared" si="429"/>
        <v>64.400000000000006</v>
      </c>
      <c r="H9208" s="22">
        <v>0</v>
      </c>
      <c r="I9208" s="23" t="str">
        <f t="shared" si="430"/>
        <v xml:space="preserve">COM VALOR</v>
      </c>
      <c r="J9208" s="19"/>
      <c r="L9208" s="21">
        <v>65.129999999999995</v>
      </c>
      <c r="M9208" s="22">
        <v>0</v>
      </c>
      <c r="N9208" s="21">
        <v>64.400000000000006</v>
      </c>
      <c r="O9208" s="22">
        <v>0</v>
      </c>
    </row>
    <row r="9209" ht="38.25">
      <c r="A9209" t="s">
        <v>9302</v>
      </c>
      <c r="B9209" s="19">
        <v>104605</v>
      </c>
      <c r="C9209" s="20" t="s">
        <v>9328</v>
      </c>
      <c r="D9209" s="19" t="s">
        <v>29</v>
      </c>
      <c r="E9209" s="21">
        <f t="shared" si="428"/>
        <v>110.02</v>
      </c>
      <c r="F9209" s="22">
        <v>0</v>
      </c>
      <c r="G9209" s="21">
        <f t="shared" si="429"/>
        <v>107.22</v>
      </c>
      <c r="H9209" s="22">
        <v>0</v>
      </c>
      <c r="I9209" s="23" t="str">
        <f t="shared" si="430"/>
        <v xml:space="preserve">COM VALOR</v>
      </c>
      <c r="J9209" s="19"/>
      <c r="L9209" s="21">
        <v>110.02</v>
      </c>
      <c r="M9209" s="22">
        <v>0</v>
      </c>
      <c r="N9209" s="21">
        <v>107.22</v>
      </c>
      <c r="O9209" s="22">
        <v>0</v>
      </c>
    </row>
    <row r="9210" ht="38.25">
      <c r="A9210" t="s">
        <v>9302</v>
      </c>
      <c r="B9210" s="19">
        <v>87256</v>
      </c>
      <c r="C9210" s="20" t="s">
        <v>9329</v>
      </c>
      <c r="D9210" s="19" t="s">
        <v>29</v>
      </c>
      <c r="E9210" s="21">
        <f t="shared" si="428"/>
        <v>82.719999999999999</v>
      </c>
      <c r="F9210" s="22">
        <v>0</v>
      </c>
      <c r="G9210" s="21">
        <f t="shared" si="429"/>
        <v>81.590000000000003</v>
      </c>
      <c r="H9210" s="22">
        <v>0</v>
      </c>
      <c r="I9210" s="23" t="str">
        <f t="shared" si="430"/>
        <v xml:space="preserve">COM VALOR</v>
      </c>
      <c r="J9210" s="19"/>
      <c r="L9210" s="21">
        <v>82.719999999999999</v>
      </c>
      <c r="M9210" s="22">
        <v>0</v>
      </c>
      <c r="N9210" s="21">
        <v>81.590000000000003</v>
      </c>
      <c r="O9210" s="22">
        <v>0</v>
      </c>
    </row>
    <row r="9211" ht="38.25">
      <c r="A9211" t="s">
        <v>9302</v>
      </c>
      <c r="B9211" s="19">
        <v>87257</v>
      </c>
      <c r="C9211" s="20" t="s">
        <v>9330</v>
      </c>
      <c r="D9211" s="19" t="s">
        <v>29</v>
      </c>
      <c r="E9211" s="21">
        <f t="shared" si="428"/>
        <v>72.959999999999994</v>
      </c>
      <c r="F9211" s="22">
        <v>0</v>
      </c>
      <c r="G9211" s="21">
        <f t="shared" si="429"/>
        <v>72.329999999999998</v>
      </c>
      <c r="H9211" s="22">
        <v>0</v>
      </c>
      <c r="I9211" s="23" t="str">
        <f t="shared" si="430"/>
        <v xml:space="preserve">COM VALOR</v>
      </c>
      <c r="J9211" s="19"/>
      <c r="L9211" s="21">
        <v>72.959999999999994</v>
      </c>
      <c r="M9211" s="22">
        <v>0</v>
      </c>
      <c r="N9211" s="21">
        <v>72.329999999999998</v>
      </c>
      <c r="O9211" s="22">
        <v>0</v>
      </c>
    </row>
    <row r="9212" ht="38.25">
      <c r="A9212" t="s">
        <v>9302</v>
      </c>
      <c r="B9212" s="19">
        <v>87255</v>
      </c>
      <c r="C9212" s="20" t="s">
        <v>9331</v>
      </c>
      <c r="D9212" s="19" t="s">
        <v>29</v>
      </c>
      <c r="E9212" s="21">
        <f t="shared" si="428"/>
        <v>94.709999999999994</v>
      </c>
      <c r="F9212" s="22">
        <v>0</v>
      </c>
      <c r="G9212" s="21">
        <f t="shared" si="429"/>
        <v>93.030000000000001</v>
      </c>
      <c r="H9212" s="22">
        <v>0</v>
      </c>
      <c r="I9212" s="23" t="str">
        <f t="shared" si="430"/>
        <v xml:space="preserve">COM VALOR</v>
      </c>
      <c r="J9212" s="19"/>
      <c r="L9212" s="21">
        <v>94.709999999999994</v>
      </c>
      <c r="M9212" s="22">
        <v>0</v>
      </c>
      <c r="N9212" s="21">
        <v>93.030000000000001</v>
      </c>
      <c r="O9212" s="22">
        <v>0</v>
      </c>
    </row>
    <row r="9213" ht="38.25">
      <c r="A9213" t="s">
        <v>9302</v>
      </c>
      <c r="B9213" s="19">
        <v>104594</v>
      </c>
      <c r="C9213" s="20" t="s">
        <v>9332</v>
      </c>
      <c r="D9213" s="19" t="s">
        <v>29</v>
      </c>
      <c r="E9213" s="21">
        <f t="shared" si="428"/>
        <v>84.879999999999995</v>
      </c>
      <c r="F9213" s="22">
        <v>0</v>
      </c>
      <c r="G9213" s="21">
        <f t="shared" si="429"/>
        <v>83.650000000000006</v>
      </c>
      <c r="H9213" s="22">
        <v>0</v>
      </c>
      <c r="I9213" s="23" t="str">
        <f t="shared" si="430"/>
        <v xml:space="preserve">COM VALOR</v>
      </c>
      <c r="J9213" s="19"/>
      <c r="L9213" s="21">
        <v>84.879999999999995</v>
      </c>
      <c r="M9213" s="22">
        <v>0</v>
      </c>
      <c r="N9213" s="21">
        <v>83.650000000000006</v>
      </c>
      <c r="O9213" s="22">
        <v>0</v>
      </c>
    </row>
    <row r="9214" ht="38.25">
      <c r="A9214" t="s">
        <v>9302</v>
      </c>
      <c r="B9214" s="19">
        <v>104595</v>
      </c>
      <c r="C9214" s="20" t="s">
        <v>9333</v>
      </c>
      <c r="D9214" s="19" t="s">
        <v>29</v>
      </c>
      <c r="E9214" s="21">
        <f t="shared" si="428"/>
        <v>73.400000000000006</v>
      </c>
      <c r="F9214" s="22">
        <v>0</v>
      </c>
      <c r="G9214" s="21">
        <f t="shared" si="429"/>
        <v>72.739999999999995</v>
      </c>
      <c r="H9214" s="22">
        <v>0</v>
      </c>
      <c r="I9214" s="23" t="str">
        <f t="shared" si="430"/>
        <v xml:space="preserve">COM VALOR</v>
      </c>
      <c r="J9214" s="19"/>
      <c r="L9214" s="21">
        <v>73.400000000000006</v>
      </c>
      <c r="M9214" s="22">
        <v>0</v>
      </c>
      <c r="N9214" s="21">
        <v>72.739999999999995</v>
      </c>
      <c r="O9214" s="22">
        <v>0</v>
      </c>
    </row>
    <row r="9215" ht="38.25">
      <c r="A9215" t="s">
        <v>9302</v>
      </c>
      <c r="B9215" s="19">
        <v>104593</v>
      </c>
      <c r="C9215" s="20" t="s">
        <v>9334</v>
      </c>
      <c r="D9215" s="19" t="s">
        <v>29</v>
      </c>
      <c r="E9215" s="21">
        <f t="shared" si="428"/>
        <v>98.310000000000002</v>
      </c>
      <c r="F9215" s="22">
        <v>0</v>
      </c>
      <c r="G9215" s="21">
        <f t="shared" si="429"/>
        <v>96.469999999999999</v>
      </c>
      <c r="H9215" s="22">
        <v>0</v>
      </c>
      <c r="I9215" s="23" t="str">
        <f t="shared" si="430"/>
        <v xml:space="preserve">COM VALOR</v>
      </c>
      <c r="J9215" s="19"/>
      <c r="L9215" s="21">
        <v>98.310000000000002</v>
      </c>
      <c r="M9215" s="22">
        <v>0</v>
      </c>
      <c r="N9215" s="21">
        <v>96.469999999999999</v>
      </c>
      <c r="O9215" s="22">
        <v>0</v>
      </c>
    </row>
    <row r="9216" ht="38.25">
      <c r="A9216" t="s">
        <v>9302</v>
      </c>
      <c r="B9216" s="19">
        <v>87262</v>
      </c>
      <c r="C9216" s="20" t="s">
        <v>9335</v>
      </c>
      <c r="D9216" s="19" t="s">
        <v>29</v>
      </c>
      <c r="E9216" s="21">
        <f t="shared" si="428"/>
        <v>143.12</v>
      </c>
      <c r="F9216" s="22">
        <v>0</v>
      </c>
      <c r="G9216" s="21">
        <f t="shared" si="429"/>
        <v>141.58000000000001</v>
      </c>
      <c r="H9216" s="22">
        <v>0</v>
      </c>
      <c r="I9216" s="23" t="str">
        <f t="shared" si="430"/>
        <v xml:space="preserve">COM VALOR</v>
      </c>
      <c r="J9216" s="19"/>
      <c r="L9216" s="21">
        <v>143.12</v>
      </c>
      <c r="M9216" s="22">
        <v>0</v>
      </c>
      <c r="N9216" s="21">
        <v>141.58000000000001</v>
      </c>
      <c r="O9216" s="22">
        <v>0</v>
      </c>
    </row>
    <row r="9217" ht="38.25">
      <c r="A9217" t="s">
        <v>9302</v>
      </c>
      <c r="B9217" s="19">
        <v>87263</v>
      </c>
      <c r="C9217" s="20" t="s">
        <v>9336</v>
      </c>
      <c r="D9217" s="19" t="s">
        <v>29</v>
      </c>
      <c r="E9217" s="21">
        <f t="shared" si="428"/>
        <v>132.81</v>
      </c>
      <c r="F9217" s="22">
        <v>0</v>
      </c>
      <c r="G9217" s="21">
        <f t="shared" si="429"/>
        <v>131.75999999999999</v>
      </c>
      <c r="H9217" s="22">
        <v>0</v>
      </c>
      <c r="I9217" s="23" t="str">
        <f t="shared" si="430"/>
        <v xml:space="preserve">COM VALOR</v>
      </c>
      <c r="J9217" s="19"/>
      <c r="L9217" s="21">
        <v>132.81</v>
      </c>
      <c r="M9217" s="22">
        <v>0</v>
      </c>
      <c r="N9217" s="21">
        <v>131.75999999999999</v>
      </c>
      <c r="O9217" s="22">
        <v>0</v>
      </c>
    </row>
    <row r="9218" ht="38.25">
      <c r="A9218" t="s">
        <v>9302</v>
      </c>
      <c r="B9218" s="19">
        <v>87261</v>
      </c>
      <c r="C9218" s="20" t="s">
        <v>9337</v>
      </c>
      <c r="D9218" s="19" t="s">
        <v>29</v>
      </c>
      <c r="E9218" s="21">
        <f t="shared" si="428"/>
        <v>156.56999999999999</v>
      </c>
      <c r="F9218" s="22">
        <v>0</v>
      </c>
      <c r="G9218" s="21">
        <f t="shared" si="429"/>
        <v>154.47</v>
      </c>
      <c r="H9218" s="22">
        <v>0</v>
      </c>
      <c r="I9218" s="23" t="str">
        <f t="shared" si="430"/>
        <v xml:space="preserve">COM VALOR</v>
      </c>
      <c r="J9218" s="19"/>
      <c r="L9218" s="21">
        <v>156.56999999999999</v>
      </c>
      <c r="M9218" s="22">
        <v>0</v>
      </c>
      <c r="N9218" s="21">
        <v>154.47</v>
      </c>
      <c r="O9218" s="22">
        <v>0</v>
      </c>
    </row>
    <row r="9219" ht="38.25">
      <c r="A9219" t="s">
        <v>9302</v>
      </c>
      <c r="B9219" s="19">
        <v>104597</v>
      </c>
      <c r="C9219" s="20" t="s">
        <v>9338</v>
      </c>
      <c r="D9219" s="19" t="s">
        <v>29</v>
      </c>
      <c r="E9219" s="21">
        <f t="shared" si="428"/>
        <v>145.72</v>
      </c>
      <c r="F9219" s="22">
        <v>0</v>
      </c>
      <c r="G9219" s="21">
        <f t="shared" si="429"/>
        <v>144.08000000000001</v>
      </c>
      <c r="H9219" s="22">
        <v>0</v>
      </c>
      <c r="I9219" s="23" t="str">
        <f t="shared" si="430"/>
        <v xml:space="preserve">COM VALOR</v>
      </c>
      <c r="J9219" s="19"/>
      <c r="L9219" s="21">
        <v>145.72</v>
      </c>
      <c r="M9219" s="22">
        <v>0</v>
      </c>
      <c r="N9219" s="21">
        <v>144.08000000000001</v>
      </c>
      <c r="O9219" s="22">
        <v>0</v>
      </c>
    </row>
    <row r="9220" ht="38.25">
      <c r="A9220" t="s">
        <v>9302</v>
      </c>
      <c r="B9220" s="19">
        <v>104598</v>
      </c>
      <c r="C9220" s="20" t="s">
        <v>9339</v>
      </c>
      <c r="D9220" s="19" t="s">
        <v>29</v>
      </c>
      <c r="E9220" s="21">
        <f t="shared" si="428"/>
        <v>133.36000000000001</v>
      </c>
      <c r="F9220" s="22">
        <v>0</v>
      </c>
      <c r="G9220" s="21">
        <f t="shared" si="429"/>
        <v>132.30000000000001</v>
      </c>
      <c r="H9220" s="22">
        <v>0</v>
      </c>
      <c r="I9220" s="23" t="str">
        <f t="shared" si="430"/>
        <v xml:space="preserve">COM VALOR</v>
      </c>
      <c r="J9220" s="19"/>
      <c r="L9220" s="21">
        <v>133.36000000000001</v>
      </c>
      <c r="M9220" s="22">
        <v>0</v>
      </c>
      <c r="N9220" s="21">
        <v>132.30000000000001</v>
      </c>
      <c r="O9220" s="22">
        <v>0</v>
      </c>
    </row>
    <row r="9221" ht="38.25">
      <c r="A9221" t="s">
        <v>9302</v>
      </c>
      <c r="B9221" s="19">
        <v>104596</v>
      </c>
      <c r="C9221" s="20" t="s">
        <v>9340</v>
      </c>
      <c r="D9221" s="19" t="s">
        <v>29</v>
      </c>
      <c r="E9221" s="21">
        <f t="shared" si="428"/>
        <v>160.84999999999999</v>
      </c>
      <c r="F9221" s="22">
        <v>0</v>
      </c>
      <c r="G9221" s="21">
        <f t="shared" si="429"/>
        <v>158.59999999999999</v>
      </c>
      <c r="H9221" s="22">
        <v>0</v>
      </c>
      <c r="I9221" s="23" t="str">
        <f t="shared" si="430"/>
        <v xml:space="preserve">COM VALOR</v>
      </c>
      <c r="J9221" s="19"/>
      <c r="L9221" s="21">
        <v>160.84999999999999</v>
      </c>
      <c r="M9221" s="22">
        <v>0</v>
      </c>
      <c r="N9221" s="21">
        <v>158.59999999999999</v>
      </c>
      <c r="O9221" s="22">
        <v>0</v>
      </c>
    </row>
    <row r="9222" ht="25.5">
      <c r="A9222" t="s">
        <v>9302</v>
      </c>
      <c r="B9222" s="19">
        <v>88648</v>
      </c>
      <c r="C9222" s="20" t="s">
        <v>9341</v>
      </c>
      <c r="D9222" s="19" t="s">
        <v>38</v>
      </c>
      <c r="E9222" s="21">
        <f t="shared" si="428"/>
        <v>8.6099999999999994</v>
      </c>
      <c r="F9222" s="22">
        <v>0</v>
      </c>
      <c r="G9222" s="21">
        <f t="shared" si="429"/>
        <v>8.4600000000000009</v>
      </c>
      <c r="H9222" s="22">
        <v>0</v>
      </c>
      <c r="I9222" s="23" t="str">
        <f t="shared" si="430"/>
        <v xml:space="preserve">COM VALOR</v>
      </c>
      <c r="J9222" s="19"/>
      <c r="L9222" s="21">
        <v>8.6099999999999994</v>
      </c>
      <c r="M9222" s="22">
        <v>0</v>
      </c>
      <c r="N9222" s="21">
        <v>8.4600000000000009</v>
      </c>
      <c r="O9222" s="22">
        <v>0</v>
      </c>
    </row>
    <row r="9223" ht="25.5">
      <c r="A9223" t="s">
        <v>9302</v>
      </c>
      <c r="B9223" s="19">
        <v>88649</v>
      </c>
      <c r="C9223" s="20" t="s">
        <v>9342</v>
      </c>
      <c r="D9223" s="19" t="s">
        <v>38</v>
      </c>
      <c r="E9223" s="21">
        <f t="shared" si="428"/>
        <v>9.7899999999999991</v>
      </c>
      <c r="F9223" s="22">
        <v>0</v>
      </c>
      <c r="G9223" s="21">
        <f t="shared" si="429"/>
        <v>9.6300000000000008</v>
      </c>
      <c r="H9223" s="22">
        <v>0</v>
      </c>
      <c r="I9223" s="23" t="str">
        <f t="shared" si="430"/>
        <v xml:space="preserve">COM VALOR</v>
      </c>
      <c r="J9223" s="19"/>
      <c r="L9223" s="21">
        <v>9.7899999999999991</v>
      </c>
      <c r="M9223" s="22">
        <v>0</v>
      </c>
      <c r="N9223" s="21">
        <v>9.6300000000000008</v>
      </c>
      <c r="O9223" s="22">
        <v>0</v>
      </c>
    </row>
    <row r="9224" ht="25.5">
      <c r="A9224" t="s">
        <v>9302</v>
      </c>
      <c r="B9224" s="19">
        <v>88650</v>
      </c>
      <c r="C9224" s="20" t="s">
        <v>9343</v>
      </c>
      <c r="D9224" s="19" t="s">
        <v>38</v>
      </c>
      <c r="E9224" s="21">
        <f t="shared" si="428"/>
        <v>13.43</v>
      </c>
      <c r="F9224" s="22">
        <v>0</v>
      </c>
      <c r="G9224" s="21">
        <f t="shared" si="429"/>
        <v>13.24</v>
      </c>
      <c r="H9224" s="22">
        <v>0</v>
      </c>
      <c r="I9224" s="23" t="str">
        <f t="shared" si="430"/>
        <v xml:space="preserve">COM VALOR</v>
      </c>
      <c r="J9224" s="19"/>
      <c r="L9224" s="21">
        <v>13.43</v>
      </c>
      <c r="M9224" s="22">
        <v>0</v>
      </c>
      <c r="N9224" s="21">
        <v>13.24</v>
      </c>
      <c r="O9224" s="22">
        <v>0</v>
      </c>
    </row>
    <row r="9225" ht="25.5">
      <c r="A9225" t="s">
        <v>9302</v>
      </c>
      <c r="B9225" s="19">
        <v>104619</v>
      </c>
      <c r="C9225" s="20" t="s">
        <v>9344</v>
      </c>
      <c r="D9225" s="19" t="s">
        <v>38</v>
      </c>
      <c r="E9225" s="21">
        <f t="shared" si="428"/>
        <v>15.99</v>
      </c>
      <c r="F9225" s="22">
        <v>0</v>
      </c>
      <c r="G9225" s="21">
        <f t="shared" si="429"/>
        <v>15.789999999999999</v>
      </c>
      <c r="H9225" s="22">
        <v>0</v>
      </c>
      <c r="I9225" s="23" t="str">
        <f t="shared" si="430"/>
        <v xml:space="preserve">COM VALOR</v>
      </c>
      <c r="J9225" s="19"/>
      <c r="L9225" s="21">
        <v>15.99</v>
      </c>
      <c r="M9225" s="22">
        <v>0</v>
      </c>
      <c r="N9225" s="21">
        <v>15.789999999999999</v>
      </c>
      <c r="O9225" s="22">
        <v>0</v>
      </c>
    </row>
    <row r="9226" ht="25.5">
      <c r="A9226" t="s">
        <v>9345</v>
      </c>
      <c r="B9226" s="19">
        <v>103741</v>
      </c>
      <c r="C9226" s="20" t="s">
        <v>9346</v>
      </c>
      <c r="D9226" s="19" t="s">
        <v>31</v>
      </c>
      <c r="E9226" s="21" t="str">
        <f t="shared" si="428"/>
        <v>VERIFICAR</v>
      </c>
      <c r="F9226" s="22">
        <v>0</v>
      </c>
      <c r="G9226" s="21" t="str">
        <f t="shared" si="429"/>
        <v>VERIFICAR</v>
      </c>
      <c r="H9226" s="22">
        <v>0</v>
      </c>
      <c r="I9226" s="23" t="str">
        <f t="shared" si="430"/>
        <v xml:space="preserve">COM VALOR</v>
      </c>
      <c r="J9226" s="19"/>
      <c r="L9226" s="21">
        <v>0</v>
      </c>
      <c r="M9226" s="22"/>
      <c r="N9226" s="21">
        <v>0</v>
      </c>
      <c r="O9226" s="22"/>
    </row>
    <row r="9227" ht="25.5">
      <c r="A9227" t="s">
        <v>9345</v>
      </c>
      <c r="B9227" s="19">
        <v>103755</v>
      </c>
      <c r="C9227" s="20" t="s">
        <v>9347</v>
      </c>
      <c r="D9227" s="19" t="s">
        <v>38</v>
      </c>
      <c r="E9227" s="21" t="str">
        <f t="shared" ref="E9227:E9290" si="431">IF(L9227=0,"VERIFICAR",L9227)</f>
        <v>VERIFICAR</v>
      </c>
      <c r="F9227" s="22">
        <v>0</v>
      </c>
      <c r="G9227" s="21" t="str">
        <f t="shared" ref="G9227:G9290" si="432">IF(N9227=0,"VERIFICAR",N9227)</f>
        <v>VERIFICAR</v>
      </c>
      <c r="H9227" s="22">
        <v>0</v>
      </c>
      <c r="I9227" s="23" t="str">
        <f t="shared" ref="I9227:I9290" si="433">IF(OR(E9227=0,G9227=0),"SEM VALOR","COM VALOR")</f>
        <v xml:space="preserve">COM VALOR</v>
      </c>
      <c r="J9227" s="19"/>
      <c r="L9227" s="21">
        <v>0</v>
      </c>
      <c r="M9227" s="22"/>
      <c r="N9227" s="21">
        <v>0</v>
      </c>
      <c r="O9227" s="22"/>
    </row>
    <row r="9228" ht="25.5">
      <c r="A9228" t="s">
        <v>9345</v>
      </c>
      <c r="B9228" s="19">
        <v>103753</v>
      </c>
      <c r="C9228" s="20" t="s">
        <v>9348</v>
      </c>
      <c r="D9228" s="19" t="s">
        <v>38</v>
      </c>
      <c r="E9228" s="21" t="str">
        <f t="shared" si="431"/>
        <v>VERIFICAR</v>
      </c>
      <c r="F9228" s="22">
        <v>0</v>
      </c>
      <c r="G9228" s="21" t="str">
        <f t="shared" si="432"/>
        <v>VERIFICAR</v>
      </c>
      <c r="H9228" s="22">
        <v>0</v>
      </c>
      <c r="I9228" s="23" t="str">
        <f t="shared" si="433"/>
        <v xml:space="preserve">COM VALOR</v>
      </c>
      <c r="J9228" s="19"/>
      <c r="L9228" s="21">
        <v>0</v>
      </c>
      <c r="M9228" s="22"/>
      <c r="N9228" s="21">
        <v>0</v>
      </c>
      <c r="O9228" s="22"/>
    </row>
    <row r="9229" ht="25.5">
      <c r="A9229" t="s">
        <v>9345</v>
      </c>
      <c r="B9229" s="19">
        <v>103754</v>
      </c>
      <c r="C9229" s="20" t="s">
        <v>9349</v>
      </c>
      <c r="D9229" s="19" t="s">
        <v>38</v>
      </c>
      <c r="E9229" s="21" t="str">
        <f t="shared" si="431"/>
        <v>VERIFICAR</v>
      </c>
      <c r="F9229" s="22">
        <v>0</v>
      </c>
      <c r="G9229" s="21" t="str">
        <f t="shared" si="432"/>
        <v>VERIFICAR</v>
      </c>
      <c r="H9229" s="22">
        <v>0</v>
      </c>
      <c r="I9229" s="23" t="str">
        <f t="shared" si="433"/>
        <v xml:space="preserve">COM VALOR</v>
      </c>
      <c r="J9229" s="19"/>
      <c r="L9229" s="21">
        <v>0</v>
      </c>
      <c r="M9229" s="22"/>
      <c r="N9229" s="21">
        <v>0</v>
      </c>
      <c r="O9229" s="22"/>
    </row>
    <row r="9230" ht="25.5">
      <c r="A9230" t="s">
        <v>9345</v>
      </c>
      <c r="B9230" s="19">
        <v>103752</v>
      </c>
      <c r="C9230" s="20" t="s">
        <v>9350</v>
      </c>
      <c r="D9230" s="19" t="s">
        <v>38</v>
      </c>
      <c r="E9230" s="21" t="str">
        <f t="shared" si="431"/>
        <v>VERIFICAR</v>
      </c>
      <c r="F9230" s="22">
        <v>0</v>
      </c>
      <c r="G9230" s="21" t="str">
        <f t="shared" si="432"/>
        <v>VERIFICAR</v>
      </c>
      <c r="H9230" s="22">
        <v>0</v>
      </c>
      <c r="I9230" s="23" t="str">
        <f t="shared" si="433"/>
        <v xml:space="preserve">COM VALOR</v>
      </c>
      <c r="J9230" s="19"/>
      <c r="L9230" s="21">
        <v>0</v>
      </c>
      <c r="M9230" s="22"/>
      <c r="N9230" s="21">
        <v>0</v>
      </c>
      <c r="O9230" s="22"/>
    </row>
    <row r="9231" ht="25.5">
      <c r="A9231" t="s">
        <v>9345</v>
      </c>
      <c r="B9231" s="19">
        <v>103759</v>
      </c>
      <c r="C9231" s="20" t="s">
        <v>9351</v>
      </c>
      <c r="D9231" s="19" t="s">
        <v>38</v>
      </c>
      <c r="E9231" s="21" t="str">
        <f t="shared" si="431"/>
        <v>VERIFICAR</v>
      </c>
      <c r="F9231" s="22">
        <v>0</v>
      </c>
      <c r="G9231" s="21" t="str">
        <f t="shared" si="432"/>
        <v>VERIFICAR</v>
      </c>
      <c r="H9231" s="22">
        <v>0</v>
      </c>
      <c r="I9231" s="23" t="str">
        <f t="shared" si="433"/>
        <v xml:space="preserve">COM VALOR</v>
      </c>
      <c r="J9231" s="19"/>
      <c r="L9231" s="21">
        <v>0</v>
      </c>
      <c r="M9231" s="22"/>
      <c r="N9231" s="21">
        <v>0</v>
      </c>
      <c r="O9231" s="22"/>
    </row>
    <row r="9232" ht="25.5">
      <c r="A9232" t="s">
        <v>9345</v>
      </c>
      <c r="B9232" s="19">
        <v>103757</v>
      </c>
      <c r="C9232" s="20" t="s">
        <v>9352</v>
      </c>
      <c r="D9232" s="19" t="s">
        <v>38</v>
      </c>
      <c r="E9232" s="21" t="str">
        <f t="shared" si="431"/>
        <v>VERIFICAR</v>
      </c>
      <c r="F9232" s="22">
        <v>0</v>
      </c>
      <c r="G9232" s="21" t="str">
        <f t="shared" si="432"/>
        <v>VERIFICAR</v>
      </c>
      <c r="H9232" s="22">
        <v>0</v>
      </c>
      <c r="I9232" s="23" t="str">
        <f t="shared" si="433"/>
        <v xml:space="preserve">COM VALOR</v>
      </c>
      <c r="J9232" s="19"/>
      <c r="L9232" s="21">
        <v>0</v>
      </c>
      <c r="M9232" s="22"/>
      <c r="N9232" s="21">
        <v>0</v>
      </c>
      <c r="O9232" s="22"/>
    </row>
    <row r="9233" ht="25.5">
      <c r="A9233" t="s">
        <v>9345</v>
      </c>
      <c r="B9233" s="19">
        <v>103758</v>
      </c>
      <c r="C9233" s="20" t="s">
        <v>9353</v>
      </c>
      <c r="D9233" s="19" t="s">
        <v>38</v>
      </c>
      <c r="E9233" s="21" t="str">
        <f t="shared" si="431"/>
        <v>VERIFICAR</v>
      </c>
      <c r="F9233" s="22">
        <v>0</v>
      </c>
      <c r="G9233" s="21" t="str">
        <f t="shared" si="432"/>
        <v>VERIFICAR</v>
      </c>
      <c r="H9233" s="22">
        <v>0</v>
      </c>
      <c r="I9233" s="23" t="str">
        <f t="shared" si="433"/>
        <v xml:space="preserve">COM VALOR</v>
      </c>
      <c r="J9233" s="19"/>
      <c r="L9233" s="21">
        <v>0</v>
      </c>
      <c r="M9233" s="22"/>
      <c r="N9233" s="21">
        <v>0</v>
      </c>
      <c r="O9233" s="22"/>
    </row>
    <row r="9234" ht="25.5">
      <c r="A9234" t="s">
        <v>9345</v>
      </c>
      <c r="B9234" s="19">
        <v>103756</v>
      </c>
      <c r="C9234" s="20" t="s">
        <v>9354</v>
      </c>
      <c r="D9234" s="19" t="s">
        <v>38</v>
      </c>
      <c r="E9234" s="21" t="str">
        <f t="shared" si="431"/>
        <v>VERIFICAR</v>
      </c>
      <c r="F9234" s="22">
        <v>0</v>
      </c>
      <c r="G9234" s="21" t="str">
        <f t="shared" si="432"/>
        <v>VERIFICAR</v>
      </c>
      <c r="H9234" s="22">
        <v>0</v>
      </c>
      <c r="I9234" s="23" t="str">
        <f t="shared" si="433"/>
        <v xml:space="preserve">COM VALOR</v>
      </c>
      <c r="J9234" s="19"/>
      <c r="L9234" s="21">
        <v>0</v>
      </c>
      <c r="M9234" s="22"/>
      <c r="N9234" s="21">
        <v>0</v>
      </c>
      <c r="O9234" s="22"/>
    </row>
    <row r="9235" ht="25.5">
      <c r="A9235" t="s">
        <v>9345</v>
      </c>
      <c r="B9235" s="19">
        <v>103734</v>
      </c>
      <c r="C9235" s="20" t="s">
        <v>9355</v>
      </c>
      <c r="D9235" s="19" t="s">
        <v>31</v>
      </c>
      <c r="E9235" s="21" t="str">
        <f t="shared" si="431"/>
        <v>VERIFICAR</v>
      </c>
      <c r="F9235" s="22">
        <v>0</v>
      </c>
      <c r="G9235" s="21" t="str">
        <f t="shared" si="432"/>
        <v>VERIFICAR</v>
      </c>
      <c r="H9235" s="22">
        <v>0</v>
      </c>
      <c r="I9235" s="23" t="str">
        <f t="shared" si="433"/>
        <v xml:space="preserve">COM VALOR</v>
      </c>
      <c r="J9235" s="19"/>
      <c r="L9235" s="21">
        <v>0</v>
      </c>
      <c r="M9235" s="22"/>
      <c r="N9235" s="21">
        <v>0</v>
      </c>
      <c r="O9235" s="22"/>
    </row>
    <row r="9236" ht="12.75">
      <c r="A9236" t="s">
        <v>9345</v>
      </c>
      <c r="B9236" s="19">
        <v>103740</v>
      </c>
      <c r="C9236" s="20" t="s">
        <v>9356</v>
      </c>
      <c r="D9236" s="19" t="s">
        <v>31</v>
      </c>
      <c r="E9236" s="21" t="str">
        <f t="shared" si="431"/>
        <v>VERIFICAR</v>
      </c>
      <c r="F9236" s="22">
        <v>0</v>
      </c>
      <c r="G9236" s="21" t="str">
        <f t="shared" si="432"/>
        <v>VERIFICAR</v>
      </c>
      <c r="H9236" s="22">
        <v>0</v>
      </c>
      <c r="I9236" s="23" t="str">
        <f t="shared" si="433"/>
        <v xml:space="preserve">COM VALOR</v>
      </c>
      <c r="J9236" s="19"/>
      <c r="L9236" s="21">
        <v>0</v>
      </c>
      <c r="M9236" s="22"/>
      <c r="N9236" s="21">
        <v>0</v>
      </c>
      <c r="O9236" s="22"/>
    </row>
    <row r="9237" ht="25.5">
      <c r="A9237" t="s">
        <v>9345</v>
      </c>
      <c r="B9237" s="19">
        <v>103747</v>
      </c>
      <c r="C9237" s="20" t="s">
        <v>9357</v>
      </c>
      <c r="D9237" s="19" t="s">
        <v>38</v>
      </c>
      <c r="E9237" s="21" t="str">
        <f t="shared" si="431"/>
        <v>VERIFICAR</v>
      </c>
      <c r="F9237" s="22">
        <v>0</v>
      </c>
      <c r="G9237" s="21" t="str">
        <f t="shared" si="432"/>
        <v>VERIFICAR</v>
      </c>
      <c r="H9237" s="22">
        <v>0</v>
      </c>
      <c r="I9237" s="23" t="str">
        <f t="shared" si="433"/>
        <v xml:space="preserve">COM VALOR</v>
      </c>
      <c r="J9237" s="19"/>
      <c r="L9237" s="21">
        <v>0</v>
      </c>
      <c r="M9237" s="22"/>
      <c r="N9237" s="21">
        <v>0</v>
      </c>
      <c r="O9237" s="22"/>
    </row>
    <row r="9238" ht="25.5">
      <c r="A9238" t="s">
        <v>9345</v>
      </c>
      <c r="B9238" s="19">
        <v>103746</v>
      </c>
      <c r="C9238" s="20" t="s">
        <v>9358</v>
      </c>
      <c r="D9238" s="19" t="s">
        <v>38</v>
      </c>
      <c r="E9238" s="21" t="str">
        <f t="shared" si="431"/>
        <v>VERIFICAR</v>
      </c>
      <c r="F9238" s="22">
        <v>0</v>
      </c>
      <c r="G9238" s="21" t="str">
        <f t="shared" si="432"/>
        <v>VERIFICAR</v>
      </c>
      <c r="H9238" s="22">
        <v>0</v>
      </c>
      <c r="I9238" s="23" t="str">
        <f t="shared" si="433"/>
        <v xml:space="preserve">COM VALOR</v>
      </c>
      <c r="J9238" s="19"/>
      <c r="L9238" s="21">
        <v>0</v>
      </c>
      <c r="M9238" s="22"/>
      <c r="N9238" s="21">
        <v>0</v>
      </c>
      <c r="O9238" s="22"/>
    </row>
    <row r="9239" ht="25.5">
      <c r="A9239" t="s">
        <v>9345</v>
      </c>
      <c r="B9239" s="19">
        <v>103749</v>
      </c>
      <c r="C9239" s="20" t="s">
        <v>9359</v>
      </c>
      <c r="D9239" s="19" t="s">
        <v>38</v>
      </c>
      <c r="E9239" s="21" t="str">
        <f t="shared" si="431"/>
        <v>VERIFICAR</v>
      </c>
      <c r="F9239" s="22">
        <v>0</v>
      </c>
      <c r="G9239" s="21" t="str">
        <f t="shared" si="432"/>
        <v>VERIFICAR</v>
      </c>
      <c r="H9239" s="22">
        <v>0</v>
      </c>
      <c r="I9239" s="23" t="str">
        <f t="shared" si="433"/>
        <v xml:space="preserve">COM VALOR</v>
      </c>
      <c r="J9239" s="19"/>
      <c r="L9239" s="21">
        <v>0</v>
      </c>
      <c r="M9239" s="22"/>
      <c r="N9239" s="21">
        <v>0</v>
      </c>
      <c r="O9239" s="22"/>
    </row>
    <row r="9240" ht="25.5">
      <c r="A9240" t="s">
        <v>9345</v>
      </c>
      <c r="B9240" s="19">
        <v>103744</v>
      </c>
      <c r="C9240" s="20" t="s">
        <v>9360</v>
      </c>
      <c r="D9240" s="19" t="s">
        <v>38</v>
      </c>
      <c r="E9240" s="21" t="str">
        <f t="shared" si="431"/>
        <v>VERIFICAR</v>
      </c>
      <c r="F9240" s="22">
        <v>0</v>
      </c>
      <c r="G9240" s="21" t="str">
        <f t="shared" si="432"/>
        <v>VERIFICAR</v>
      </c>
      <c r="H9240" s="22">
        <v>0</v>
      </c>
      <c r="I9240" s="23" t="str">
        <f t="shared" si="433"/>
        <v xml:space="preserve">COM VALOR</v>
      </c>
      <c r="J9240" s="19"/>
      <c r="L9240" s="21">
        <v>0</v>
      </c>
      <c r="M9240" s="22"/>
      <c r="N9240" s="21">
        <v>0</v>
      </c>
      <c r="O9240" s="22"/>
    </row>
    <row r="9241" ht="25.5">
      <c r="A9241" t="s">
        <v>9345</v>
      </c>
      <c r="B9241" s="19">
        <v>103748</v>
      </c>
      <c r="C9241" s="20" t="s">
        <v>9361</v>
      </c>
      <c r="D9241" s="19" t="s">
        <v>38</v>
      </c>
      <c r="E9241" s="21" t="str">
        <f t="shared" si="431"/>
        <v>VERIFICAR</v>
      </c>
      <c r="F9241" s="22">
        <v>0</v>
      </c>
      <c r="G9241" s="21" t="str">
        <f t="shared" si="432"/>
        <v>VERIFICAR</v>
      </c>
      <c r="H9241" s="22">
        <v>0</v>
      </c>
      <c r="I9241" s="23" t="str">
        <f t="shared" si="433"/>
        <v xml:space="preserve">COM VALOR</v>
      </c>
      <c r="J9241" s="19"/>
      <c r="L9241" s="21">
        <v>0</v>
      </c>
      <c r="M9241" s="22"/>
      <c r="N9241" s="21">
        <v>0</v>
      </c>
      <c r="O9241" s="22"/>
    </row>
    <row r="9242" ht="25.5">
      <c r="A9242" t="s">
        <v>9345</v>
      </c>
      <c r="B9242" s="19">
        <v>103745</v>
      </c>
      <c r="C9242" s="20" t="s">
        <v>9362</v>
      </c>
      <c r="D9242" s="19" t="s">
        <v>38</v>
      </c>
      <c r="E9242" s="21" t="str">
        <f t="shared" si="431"/>
        <v>VERIFICAR</v>
      </c>
      <c r="F9242" s="22">
        <v>0</v>
      </c>
      <c r="G9242" s="21" t="str">
        <f t="shared" si="432"/>
        <v>VERIFICAR</v>
      </c>
      <c r="H9242" s="22">
        <v>0</v>
      </c>
      <c r="I9242" s="23" t="str">
        <f t="shared" si="433"/>
        <v xml:space="preserve">COM VALOR</v>
      </c>
      <c r="J9242" s="19"/>
      <c r="L9242" s="21">
        <v>0</v>
      </c>
      <c r="M9242" s="22"/>
      <c r="N9242" s="21">
        <v>0</v>
      </c>
      <c r="O9242" s="22"/>
    </row>
    <row r="9243" ht="25.5">
      <c r="A9243" t="s">
        <v>9345</v>
      </c>
      <c r="B9243" s="19">
        <v>103751</v>
      </c>
      <c r="C9243" s="20" t="s">
        <v>9363</v>
      </c>
      <c r="D9243" s="19" t="s">
        <v>38</v>
      </c>
      <c r="E9243" s="21" t="str">
        <f t="shared" si="431"/>
        <v>VERIFICAR</v>
      </c>
      <c r="F9243" s="22">
        <v>0</v>
      </c>
      <c r="G9243" s="21" t="str">
        <f t="shared" si="432"/>
        <v>VERIFICAR</v>
      </c>
      <c r="H9243" s="22">
        <v>0</v>
      </c>
      <c r="I9243" s="23" t="str">
        <f t="shared" si="433"/>
        <v xml:space="preserve">COM VALOR</v>
      </c>
      <c r="J9243" s="19"/>
      <c r="L9243" s="21">
        <v>0</v>
      </c>
      <c r="M9243" s="22"/>
      <c r="N9243" s="21">
        <v>0</v>
      </c>
      <c r="O9243" s="22"/>
    </row>
    <row r="9244" ht="25.5">
      <c r="A9244" t="s">
        <v>9345</v>
      </c>
      <c r="B9244" s="19">
        <v>103750</v>
      </c>
      <c r="C9244" s="20" t="s">
        <v>9364</v>
      </c>
      <c r="D9244" s="19" t="s">
        <v>38</v>
      </c>
      <c r="E9244" s="21" t="str">
        <f t="shared" si="431"/>
        <v>VERIFICAR</v>
      </c>
      <c r="F9244" s="22">
        <v>0</v>
      </c>
      <c r="G9244" s="21" t="str">
        <f t="shared" si="432"/>
        <v>VERIFICAR</v>
      </c>
      <c r="H9244" s="22">
        <v>0</v>
      </c>
      <c r="I9244" s="23" t="str">
        <f t="shared" si="433"/>
        <v xml:space="preserve">COM VALOR</v>
      </c>
      <c r="J9244" s="19"/>
      <c r="L9244" s="21">
        <v>0</v>
      </c>
      <c r="M9244" s="22"/>
      <c r="N9244" s="21">
        <v>0</v>
      </c>
      <c r="O9244" s="22"/>
    </row>
    <row r="9245" ht="25.5">
      <c r="A9245" t="s">
        <v>9345</v>
      </c>
      <c r="B9245" s="19">
        <v>103735</v>
      </c>
      <c r="C9245" s="20" t="s">
        <v>9365</v>
      </c>
      <c r="D9245" s="19" t="s">
        <v>31</v>
      </c>
      <c r="E9245" s="21" t="str">
        <f t="shared" si="431"/>
        <v>VERIFICAR</v>
      </c>
      <c r="F9245" s="22">
        <v>0</v>
      </c>
      <c r="G9245" s="21" t="str">
        <f t="shared" si="432"/>
        <v>VERIFICAR</v>
      </c>
      <c r="H9245" s="22">
        <v>0</v>
      </c>
      <c r="I9245" s="23" t="str">
        <f t="shared" si="433"/>
        <v xml:space="preserve">COM VALOR</v>
      </c>
      <c r="J9245" s="19"/>
      <c r="L9245" s="21">
        <v>0</v>
      </c>
      <c r="M9245" s="22"/>
      <c r="N9245" s="21">
        <v>0</v>
      </c>
      <c r="O9245" s="22"/>
    </row>
    <row r="9246" ht="12.75">
      <c r="A9246" t="s">
        <v>9345</v>
      </c>
      <c r="B9246" s="19">
        <v>103738</v>
      </c>
      <c r="C9246" s="20" t="s">
        <v>9366</v>
      </c>
      <c r="D9246" s="19" t="s">
        <v>31</v>
      </c>
      <c r="E9246" s="21" t="str">
        <f t="shared" si="431"/>
        <v>VERIFICAR</v>
      </c>
      <c r="F9246" s="22">
        <v>0</v>
      </c>
      <c r="G9246" s="21" t="str">
        <f t="shared" si="432"/>
        <v>VERIFICAR</v>
      </c>
      <c r="H9246" s="22">
        <v>0</v>
      </c>
      <c r="I9246" s="23" t="str">
        <f t="shared" si="433"/>
        <v xml:space="preserve">COM VALOR</v>
      </c>
      <c r="J9246" s="19"/>
      <c r="L9246" s="21">
        <v>0</v>
      </c>
      <c r="M9246" s="22"/>
      <c r="N9246" s="21">
        <v>0</v>
      </c>
      <c r="O9246" s="22"/>
    </row>
    <row r="9247" ht="25.5">
      <c r="A9247" t="s">
        <v>9345</v>
      </c>
      <c r="B9247" s="19">
        <v>103736</v>
      </c>
      <c r="C9247" s="20" t="s">
        <v>9367</v>
      </c>
      <c r="D9247" s="19" t="s">
        <v>31</v>
      </c>
      <c r="E9247" s="21" t="str">
        <f t="shared" si="431"/>
        <v>VERIFICAR</v>
      </c>
      <c r="F9247" s="22">
        <v>0</v>
      </c>
      <c r="G9247" s="21" t="str">
        <f t="shared" si="432"/>
        <v>VERIFICAR</v>
      </c>
      <c r="H9247" s="22">
        <v>0</v>
      </c>
      <c r="I9247" s="23" t="str">
        <f t="shared" si="433"/>
        <v xml:space="preserve">COM VALOR</v>
      </c>
      <c r="J9247" s="19"/>
      <c r="L9247" s="21">
        <v>0</v>
      </c>
      <c r="M9247" s="22"/>
      <c r="N9247" s="21">
        <v>0</v>
      </c>
      <c r="O9247" s="22"/>
    </row>
    <row r="9248" ht="12.75">
      <c r="A9248" t="s">
        <v>9345</v>
      </c>
      <c r="B9248" s="19">
        <v>103739</v>
      </c>
      <c r="C9248" s="20" t="s">
        <v>9368</v>
      </c>
      <c r="D9248" s="19" t="s">
        <v>31</v>
      </c>
      <c r="E9248" s="21" t="str">
        <f t="shared" si="431"/>
        <v>VERIFICAR</v>
      </c>
      <c r="F9248" s="22">
        <v>0</v>
      </c>
      <c r="G9248" s="21" t="str">
        <f t="shared" si="432"/>
        <v>VERIFICAR</v>
      </c>
      <c r="H9248" s="22">
        <v>0</v>
      </c>
      <c r="I9248" s="23" t="str">
        <f t="shared" si="433"/>
        <v xml:space="preserve">COM VALOR</v>
      </c>
      <c r="J9248" s="19"/>
      <c r="L9248" s="21">
        <v>0</v>
      </c>
      <c r="M9248" s="22"/>
      <c r="N9248" s="21">
        <v>0</v>
      </c>
      <c r="O9248" s="22"/>
    </row>
    <row r="9249" ht="12.75">
      <c r="A9249" t="s">
        <v>9345</v>
      </c>
      <c r="B9249" s="19">
        <v>103737</v>
      </c>
      <c r="C9249" s="20" t="s">
        <v>9369</v>
      </c>
      <c r="D9249" s="19" t="s">
        <v>31</v>
      </c>
      <c r="E9249" s="21" t="str">
        <f t="shared" si="431"/>
        <v>VERIFICAR</v>
      </c>
      <c r="F9249" s="22">
        <v>0</v>
      </c>
      <c r="G9249" s="21" t="str">
        <f t="shared" si="432"/>
        <v>VERIFICAR</v>
      </c>
      <c r="H9249" s="22">
        <v>0</v>
      </c>
      <c r="I9249" s="23" t="str">
        <f t="shared" si="433"/>
        <v xml:space="preserve">COM VALOR</v>
      </c>
      <c r="J9249" s="19"/>
      <c r="L9249" s="21">
        <v>0</v>
      </c>
      <c r="M9249" s="22"/>
      <c r="N9249" s="21">
        <v>0</v>
      </c>
      <c r="O9249" s="22"/>
    </row>
    <row r="9250" ht="25.5">
      <c r="A9250" t="s">
        <v>9345</v>
      </c>
      <c r="B9250" s="19">
        <v>103742</v>
      </c>
      <c r="C9250" s="20" t="s">
        <v>9370</v>
      </c>
      <c r="D9250" s="19" t="s">
        <v>31</v>
      </c>
      <c r="E9250" s="21" t="str">
        <f t="shared" si="431"/>
        <v>VERIFICAR</v>
      </c>
      <c r="F9250" s="22">
        <v>0</v>
      </c>
      <c r="G9250" s="21" t="str">
        <f t="shared" si="432"/>
        <v>VERIFICAR</v>
      </c>
      <c r="H9250" s="22">
        <v>0</v>
      </c>
      <c r="I9250" s="23" t="str">
        <f t="shared" si="433"/>
        <v xml:space="preserve">COM VALOR</v>
      </c>
      <c r="J9250" s="19"/>
      <c r="L9250" s="21">
        <v>0</v>
      </c>
      <c r="M9250" s="22"/>
      <c r="N9250" s="21">
        <v>0</v>
      </c>
      <c r="O9250" s="22"/>
    </row>
    <row r="9251" ht="25.5">
      <c r="A9251" t="s">
        <v>9371</v>
      </c>
      <c r="B9251" s="19">
        <v>103689</v>
      </c>
      <c r="C9251" s="20" t="s">
        <v>9372</v>
      </c>
      <c r="D9251" s="19" t="s">
        <v>29</v>
      </c>
      <c r="E9251" s="21">
        <f t="shared" si="431"/>
        <v>490.36000000000001</v>
      </c>
      <c r="F9251" s="22">
        <v>0.40000000000000002</v>
      </c>
      <c r="G9251" s="21">
        <f t="shared" si="432"/>
        <v>488.05000000000001</v>
      </c>
      <c r="H9251" s="22">
        <v>0.40999999999999998</v>
      </c>
      <c r="I9251" s="23" t="str">
        <f t="shared" si="433"/>
        <v xml:space="preserve">COM VALOR</v>
      </c>
      <c r="J9251" s="19"/>
      <c r="L9251" s="21">
        <v>490.36000000000001</v>
      </c>
      <c r="M9251" s="22">
        <v>0.89000000000000001</v>
      </c>
      <c r="N9251" s="21">
        <v>488.05000000000001</v>
      </c>
      <c r="O9251" s="22">
        <v>0.89000000000000001</v>
      </c>
    </row>
    <row r="9252" ht="25.5">
      <c r="A9252" t="s">
        <v>9371</v>
      </c>
      <c r="B9252" s="19">
        <v>103702</v>
      </c>
      <c r="C9252" s="20" t="s">
        <v>9373</v>
      </c>
      <c r="D9252" s="19" t="s">
        <v>29</v>
      </c>
      <c r="E9252" s="21" t="str">
        <f t="shared" si="431"/>
        <v>VERIFICAR</v>
      </c>
      <c r="F9252" s="22">
        <v>0.40000000000000002</v>
      </c>
      <c r="G9252" s="21" t="str">
        <f t="shared" si="432"/>
        <v>VERIFICAR</v>
      </c>
      <c r="H9252" s="22">
        <v>0.40999999999999998</v>
      </c>
      <c r="I9252" s="23" t="str">
        <f t="shared" si="433"/>
        <v xml:space="preserve">COM VALOR</v>
      </c>
      <c r="J9252" s="19"/>
      <c r="L9252" s="21">
        <v>0</v>
      </c>
      <c r="M9252" s="22"/>
      <c r="N9252" s="21">
        <v>0</v>
      </c>
      <c r="O9252" s="22"/>
    </row>
    <row r="9253" ht="25.5">
      <c r="A9253" t="s">
        <v>9371</v>
      </c>
      <c r="B9253" s="19">
        <v>103700</v>
      </c>
      <c r="C9253" s="20" t="s">
        <v>9374</v>
      </c>
      <c r="D9253" s="19" t="s">
        <v>29</v>
      </c>
      <c r="E9253" s="21" t="str">
        <f t="shared" si="431"/>
        <v>VERIFICAR</v>
      </c>
      <c r="F9253" s="22">
        <v>0.13</v>
      </c>
      <c r="G9253" s="21" t="str">
        <f t="shared" si="432"/>
        <v>VERIFICAR</v>
      </c>
      <c r="H9253" s="22">
        <v>0.13</v>
      </c>
      <c r="I9253" s="23" t="str">
        <f t="shared" si="433"/>
        <v xml:space="preserve">COM VALOR</v>
      </c>
      <c r="J9253" s="19"/>
      <c r="L9253" s="21">
        <v>0</v>
      </c>
      <c r="M9253" s="22"/>
      <c r="N9253" s="21">
        <v>0</v>
      </c>
      <c r="O9253" s="22"/>
    </row>
    <row r="9254" ht="25.5">
      <c r="A9254" t="s">
        <v>9371</v>
      </c>
      <c r="B9254" s="19">
        <v>103698</v>
      </c>
      <c r="C9254" s="20" t="s">
        <v>9375</v>
      </c>
      <c r="D9254" s="19" t="s">
        <v>29</v>
      </c>
      <c r="E9254" s="21" t="str">
        <f t="shared" si="431"/>
        <v>VERIFICAR</v>
      </c>
      <c r="F9254" s="22">
        <v>0.13</v>
      </c>
      <c r="G9254" s="21" t="str">
        <f t="shared" si="432"/>
        <v>VERIFICAR</v>
      </c>
      <c r="H9254" s="22">
        <v>0.13</v>
      </c>
      <c r="I9254" s="23" t="str">
        <f t="shared" si="433"/>
        <v xml:space="preserve">COM VALOR</v>
      </c>
      <c r="J9254" s="19"/>
      <c r="L9254" s="21">
        <v>0</v>
      </c>
      <c r="M9254" s="22"/>
      <c r="N9254" s="21">
        <v>0</v>
      </c>
      <c r="O9254" s="22"/>
    </row>
    <row r="9255" ht="25.5">
      <c r="A9255" t="s">
        <v>9371</v>
      </c>
      <c r="B9255" s="19">
        <v>103703</v>
      </c>
      <c r="C9255" s="20" t="s">
        <v>9376</v>
      </c>
      <c r="D9255" s="19" t="s">
        <v>29</v>
      </c>
      <c r="E9255" s="21" t="str">
        <f t="shared" si="431"/>
        <v>VERIFICAR</v>
      </c>
      <c r="F9255" s="22">
        <v>0.14000000000000001</v>
      </c>
      <c r="G9255" s="21" t="str">
        <f t="shared" si="432"/>
        <v>VERIFICAR</v>
      </c>
      <c r="H9255" s="22">
        <v>0.14000000000000001</v>
      </c>
      <c r="I9255" s="23" t="str">
        <f t="shared" si="433"/>
        <v xml:space="preserve">COM VALOR</v>
      </c>
      <c r="J9255" s="19"/>
      <c r="L9255" s="21">
        <v>0</v>
      </c>
      <c r="M9255" s="22"/>
      <c r="N9255" s="21">
        <v>0</v>
      </c>
      <c r="O9255" s="22"/>
    </row>
    <row r="9256" ht="25.5">
      <c r="A9256" t="s">
        <v>9371</v>
      </c>
      <c r="B9256" s="19">
        <v>103701</v>
      </c>
      <c r="C9256" s="20" t="s">
        <v>9377</v>
      </c>
      <c r="D9256" s="19" t="s">
        <v>29</v>
      </c>
      <c r="E9256" s="21" t="str">
        <f t="shared" si="431"/>
        <v>VERIFICAR</v>
      </c>
      <c r="F9256" s="22">
        <v>0.14000000000000001</v>
      </c>
      <c r="G9256" s="21" t="str">
        <f t="shared" si="432"/>
        <v>VERIFICAR</v>
      </c>
      <c r="H9256" s="22">
        <v>0.14000000000000001</v>
      </c>
      <c r="I9256" s="23" t="str">
        <f t="shared" si="433"/>
        <v xml:space="preserve">COM VALOR</v>
      </c>
      <c r="J9256" s="19"/>
      <c r="L9256" s="21">
        <v>0</v>
      </c>
      <c r="M9256" s="22"/>
      <c r="N9256" s="21">
        <v>0</v>
      </c>
      <c r="O9256" s="22"/>
    </row>
    <row r="9257" ht="25.5">
      <c r="A9257" t="s">
        <v>9371</v>
      </c>
      <c r="B9257" s="19">
        <v>103699</v>
      </c>
      <c r="C9257" s="20" t="s">
        <v>9378</v>
      </c>
      <c r="D9257" s="19" t="s">
        <v>29</v>
      </c>
      <c r="E9257" s="21" t="str">
        <f t="shared" si="431"/>
        <v>VERIFICAR</v>
      </c>
      <c r="F9257" s="22">
        <v>0.45000000000000001</v>
      </c>
      <c r="G9257" s="21" t="str">
        <f t="shared" si="432"/>
        <v>VERIFICAR</v>
      </c>
      <c r="H9257" s="22">
        <v>0.45000000000000001</v>
      </c>
      <c r="I9257" s="23" t="str">
        <f t="shared" si="433"/>
        <v xml:space="preserve">COM VALOR</v>
      </c>
      <c r="J9257" s="19"/>
      <c r="L9257" s="21">
        <v>0</v>
      </c>
      <c r="M9257" s="22"/>
      <c r="N9257" s="21">
        <v>0</v>
      </c>
      <c r="O9257" s="22"/>
    </row>
    <row r="9258" ht="25.5">
      <c r="A9258" t="s">
        <v>9371</v>
      </c>
      <c r="B9258" s="19">
        <v>103704</v>
      </c>
      <c r="C9258" s="20" t="s">
        <v>9379</v>
      </c>
      <c r="D9258" s="19" t="s">
        <v>29</v>
      </c>
      <c r="E9258" s="21" t="str">
        <f t="shared" si="431"/>
        <v>VERIFICAR</v>
      </c>
      <c r="F9258" s="22">
        <v>0.45000000000000001</v>
      </c>
      <c r="G9258" s="21" t="str">
        <f t="shared" si="432"/>
        <v>VERIFICAR</v>
      </c>
      <c r="H9258" s="22">
        <v>0.45000000000000001</v>
      </c>
      <c r="I9258" s="23" t="str">
        <f t="shared" si="433"/>
        <v xml:space="preserve">COM VALOR</v>
      </c>
      <c r="J9258" s="19"/>
      <c r="L9258" s="21">
        <v>0</v>
      </c>
      <c r="M9258" s="22"/>
      <c r="N9258" s="21">
        <v>0</v>
      </c>
      <c r="O9258" s="22"/>
    </row>
    <row r="9259" ht="25.5">
      <c r="A9259" t="s">
        <v>9371</v>
      </c>
      <c r="B9259" s="19">
        <v>103706</v>
      </c>
      <c r="C9259" s="20" t="s">
        <v>9380</v>
      </c>
      <c r="D9259" s="19" t="s">
        <v>31</v>
      </c>
      <c r="E9259" s="21" t="str">
        <f t="shared" si="431"/>
        <v>VERIFICAR</v>
      </c>
      <c r="F9259" s="22">
        <v>0.33000000000000002</v>
      </c>
      <c r="G9259" s="21" t="str">
        <f t="shared" si="432"/>
        <v>VERIFICAR</v>
      </c>
      <c r="H9259" s="22">
        <v>0.33000000000000002</v>
      </c>
      <c r="I9259" s="23" t="str">
        <f t="shared" si="433"/>
        <v xml:space="preserve">COM VALOR</v>
      </c>
      <c r="J9259" s="19"/>
      <c r="L9259" s="21">
        <v>0</v>
      </c>
      <c r="M9259" s="22"/>
      <c r="N9259" s="21">
        <v>0</v>
      </c>
      <c r="O9259" s="22"/>
    </row>
    <row r="9260" ht="25.5">
      <c r="A9260" t="s">
        <v>9371</v>
      </c>
      <c r="B9260" s="19">
        <v>103707</v>
      </c>
      <c r="C9260" s="20" t="s">
        <v>9381</v>
      </c>
      <c r="D9260" s="19" t="s">
        <v>31</v>
      </c>
      <c r="E9260" s="21" t="str">
        <f t="shared" si="431"/>
        <v>VERIFICAR</v>
      </c>
      <c r="F9260" s="22">
        <v>0.29999999999999999</v>
      </c>
      <c r="G9260" s="21" t="str">
        <f t="shared" si="432"/>
        <v>VERIFICAR</v>
      </c>
      <c r="H9260" s="22">
        <v>0.29999999999999999</v>
      </c>
      <c r="I9260" s="23" t="str">
        <f t="shared" si="433"/>
        <v xml:space="preserve">COM VALOR</v>
      </c>
      <c r="J9260" s="19"/>
      <c r="L9260" s="21">
        <v>0</v>
      </c>
      <c r="M9260" s="22"/>
      <c r="N9260" s="21">
        <v>0</v>
      </c>
      <c r="O9260" s="22"/>
    </row>
    <row r="9261" ht="25.5">
      <c r="A9261" t="s">
        <v>9371</v>
      </c>
      <c r="B9261" s="19">
        <v>103708</v>
      </c>
      <c r="C9261" s="20" t="s">
        <v>9382</v>
      </c>
      <c r="D9261" s="19" t="s">
        <v>31</v>
      </c>
      <c r="E9261" s="21" t="str">
        <f t="shared" si="431"/>
        <v>VERIFICAR</v>
      </c>
      <c r="F9261" s="22">
        <v>0.28999999999999998</v>
      </c>
      <c r="G9261" s="21" t="str">
        <f t="shared" si="432"/>
        <v>VERIFICAR</v>
      </c>
      <c r="H9261" s="22">
        <v>0.28999999999999998</v>
      </c>
      <c r="I9261" s="23" t="str">
        <f t="shared" si="433"/>
        <v xml:space="preserve">COM VALOR</v>
      </c>
      <c r="J9261" s="19"/>
      <c r="L9261" s="21">
        <v>0</v>
      </c>
      <c r="M9261" s="22"/>
      <c r="N9261" s="21">
        <v>0</v>
      </c>
      <c r="O9261" s="22"/>
    </row>
    <row r="9262" ht="25.5">
      <c r="A9262" t="s">
        <v>9371</v>
      </c>
      <c r="B9262" s="19">
        <v>103709</v>
      </c>
      <c r="C9262" s="20" t="s">
        <v>9383</v>
      </c>
      <c r="D9262" s="19" t="s">
        <v>31</v>
      </c>
      <c r="E9262" s="21" t="str">
        <f t="shared" si="431"/>
        <v>VERIFICAR</v>
      </c>
      <c r="F9262" s="22">
        <v>0.28999999999999998</v>
      </c>
      <c r="G9262" s="21" t="str">
        <f t="shared" si="432"/>
        <v>VERIFICAR</v>
      </c>
      <c r="H9262" s="22">
        <v>0.28999999999999998</v>
      </c>
      <c r="I9262" s="23" t="str">
        <f t="shared" si="433"/>
        <v xml:space="preserve">COM VALOR</v>
      </c>
      <c r="J9262" s="19"/>
      <c r="L9262" s="21">
        <v>0</v>
      </c>
      <c r="M9262" s="22"/>
      <c r="N9262" s="21">
        <v>0</v>
      </c>
      <c r="O9262" s="22"/>
    </row>
    <row r="9263" ht="25.5">
      <c r="A9263" t="s">
        <v>9371</v>
      </c>
      <c r="B9263" s="19">
        <v>103710</v>
      </c>
      <c r="C9263" s="20" t="s">
        <v>9384</v>
      </c>
      <c r="D9263" s="19" t="s">
        <v>31</v>
      </c>
      <c r="E9263" s="21" t="str">
        <f t="shared" si="431"/>
        <v>VERIFICAR</v>
      </c>
      <c r="F9263" s="22">
        <v>0.10000000000000001</v>
      </c>
      <c r="G9263" s="21" t="str">
        <f t="shared" si="432"/>
        <v>VERIFICAR</v>
      </c>
      <c r="H9263" s="22">
        <v>0.10000000000000001</v>
      </c>
      <c r="I9263" s="23" t="str">
        <f t="shared" si="433"/>
        <v xml:space="preserve">COM VALOR</v>
      </c>
      <c r="J9263" s="19"/>
      <c r="L9263" s="21">
        <v>0</v>
      </c>
      <c r="M9263" s="22"/>
      <c r="N9263" s="21">
        <v>0</v>
      </c>
      <c r="O9263" s="22"/>
    </row>
    <row r="9264" ht="25.5">
      <c r="A9264" t="s">
        <v>9371</v>
      </c>
      <c r="B9264" s="19">
        <v>103711</v>
      </c>
      <c r="C9264" s="20" t="s">
        <v>9385</v>
      </c>
      <c r="D9264" s="19" t="s">
        <v>31</v>
      </c>
      <c r="E9264" s="21" t="str">
        <f t="shared" si="431"/>
        <v>VERIFICAR</v>
      </c>
      <c r="F9264" s="22">
        <v>0.10000000000000001</v>
      </c>
      <c r="G9264" s="21" t="str">
        <f t="shared" si="432"/>
        <v>VERIFICAR</v>
      </c>
      <c r="H9264" s="22">
        <v>0.10000000000000001</v>
      </c>
      <c r="I9264" s="23" t="str">
        <f t="shared" si="433"/>
        <v xml:space="preserve">COM VALOR</v>
      </c>
      <c r="J9264" s="19"/>
      <c r="L9264" s="21">
        <v>0</v>
      </c>
      <c r="M9264" s="22"/>
      <c r="N9264" s="21">
        <v>0</v>
      </c>
      <c r="O9264" s="22"/>
    </row>
    <row r="9265" ht="25.5">
      <c r="A9265" t="s">
        <v>9371</v>
      </c>
      <c r="B9265" s="19">
        <v>103712</v>
      </c>
      <c r="C9265" s="20" t="s">
        <v>9386</v>
      </c>
      <c r="D9265" s="19" t="s">
        <v>31</v>
      </c>
      <c r="E9265" s="21" t="str">
        <f t="shared" si="431"/>
        <v>VERIFICAR</v>
      </c>
      <c r="F9265" s="22">
        <v>0.10000000000000001</v>
      </c>
      <c r="G9265" s="21" t="str">
        <f t="shared" si="432"/>
        <v>VERIFICAR</v>
      </c>
      <c r="H9265" s="22">
        <v>0.10000000000000001</v>
      </c>
      <c r="I9265" s="23" t="str">
        <f t="shared" si="433"/>
        <v xml:space="preserve">COM VALOR</v>
      </c>
      <c r="J9265" s="19"/>
      <c r="L9265" s="21">
        <v>0</v>
      </c>
      <c r="M9265" s="22"/>
      <c r="N9265" s="21">
        <v>0</v>
      </c>
      <c r="O9265" s="22"/>
    </row>
    <row r="9266" ht="25.5">
      <c r="A9266" t="s">
        <v>9371</v>
      </c>
      <c r="B9266" s="19">
        <v>103713</v>
      </c>
      <c r="C9266" s="20" t="s">
        <v>9387</v>
      </c>
      <c r="D9266" s="19" t="s">
        <v>31</v>
      </c>
      <c r="E9266" s="21" t="str">
        <f t="shared" si="431"/>
        <v>VERIFICAR</v>
      </c>
      <c r="F9266" s="22">
        <v>0.10000000000000001</v>
      </c>
      <c r="G9266" s="21" t="str">
        <f t="shared" si="432"/>
        <v>VERIFICAR</v>
      </c>
      <c r="H9266" s="22">
        <v>0.11</v>
      </c>
      <c r="I9266" s="23" t="str">
        <f t="shared" si="433"/>
        <v xml:space="preserve">COM VALOR</v>
      </c>
      <c r="J9266" s="19"/>
      <c r="L9266" s="21">
        <v>0</v>
      </c>
      <c r="M9266" s="22"/>
      <c r="N9266" s="21">
        <v>0</v>
      </c>
      <c r="O9266" s="22"/>
    </row>
    <row r="9267" ht="25.5">
      <c r="A9267" t="s">
        <v>9371</v>
      </c>
      <c r="B9267" s="19">
        <v>103714</v>
      </c>
      <c r="C9267" s="20" t="s">
        <v>9388</v>
      </c>
      <c r="D9267" s="19" t="s">
        <v>31</v>
      </c>
      <c r="E9267" s="21" t="str">
        <f t="shared" si="431"/>
        <v>VERIFICAR</v>
      </c>
      <c r="F9267" s="22">
        <v>0.29999999999999999</v>
      </c>
      <c r="G9267" s="21" t="str">
        <f t="shared" si="432"/>
        <v>VERIFICAR</v>
      </c>
      <c r="H9267" s="22">
        <v>0.31</v>
      </c>
      <c r="I9267" s="23" t="str">
        <f t="shared" si="433"/>
        <v xml:space="preserve">COM VALOR</v>
      </c>
      <c r="J9267" s="19"/>
      <c r="L9267" s="21">
        <v>0</v>
      </c>
      <c r="M9267" s="22"/>
      <c r="N9267" s="21">
        <v>0</v>
      </c>
      <c r="O9267" s="22"/>
    </row>
    <row r="9268" ht="25.5">
      <c r="A9268" t="s">
        <v>9371</v>
      </c>
      <c r="B9268" s="19">
        <v>103715</v>
      </c>
      <c r="C9268" s="20" t="s">
        <v>9389</v>
      </c>
      <c r="D9268" s="19" t="s">
        <v>31</v>
      </c>
      <c r="E9268" s="21" t="str">
        <f t="shared" si="431"/>
        <v>VERIFICAR</v>
      </c>
      <c r="F9268" s="22">
        <v>0.29999999999999999</v>
      </c>
      <c r="G9268" s="21" t="str">
        <f t="shared" si="432"/>
        <v>VERIFICAR</v>
      </c>
      <c r="H9268" s="22">
        <v>0.31</v>
      </c>
      <c r="I9268" s="23" t="str">
        <f t="shared" si="433"/>
        <v xml:space="preserve">COM VALOR</v>
      </c>
      <c r="J9268" s="19"/>
      <c r="L9268" s="21">
        <v>0</v>
      </c>
      <c r="M9268" s="22"/>
      <c r="N9268" s="21">
        <v>0</v>
      </c>
      <c r="O9268" s="22"/>
    </row>
    <row r="9269" ht="25.5">
      <c r="A9269" t="s">
        <v>9371</v>
      </c>
      <c r="B9269" s="19">
        <v>103716</v>
      </c>
      <c r="C9269" s="20" t="s">
        <v>9390</v>
      </c>
      <c r="D9269" s="19" t="s">
        <v>31</v>
      </c>
      <c r="E9269" s="21" t="str">
        <f t="shared" si="431"/>
        <v>VERIFICAR</v>
      </c>
      <c r="F9269" s="22">
        <v>0.34999999999999998</v>
      </c>
      <c r="G9269" s="21" t="str">
        <f t="shared" si="432"/>
        <v>VERIFICAR</v>
      </c>
      <c r="H9269" s="22">
        <v>0.34999999999999998</v>
      </c>
      <c r="I9269" s="23" t="str">
        <f t="shared" si="433"/>
        <v xml:space="preserve">COM VALOR</v>
      </c>
      <c r="J9269" s="19"/>
      <c r="L9269" s="21">
        <v>0</v>
      </c>
      <c r="M9269" s="22"/>
      <c r="N9269" s="21">
        <v>0</v>
      </c>
      <c r="O9269" s="22"/>
    </row>
    <row r="9270" ht="25.5">
      <c r="A9270" t="s">
        <v>9371</v>
      </c>
      <c r="B9270" s="19">
        <v>103717</v>
      </c>
      <c r="C9270" s="20" t="s">
        <v>9391</v>
      </c>
      <c r="D9270" s="19" t="s">
        <v>31</v>
      </c>
      <c r="E9270" s="21" t="str">
        <f t="shared" si="431"/>
        <v>VERIFICAR</v>
      </c>
      <c r="F9270" s="22">
        <v>0.34999999999999998</v>
      </c>
      <c r="G9270" s="21" t="str">
        <f t="shared" si="432"/>
        <v>VERIFICAR</v>
      </c>
      <c r="H9270" s="22">
        <v>0.34999999999999998</v>
      </c>
      <c r="I9270" s="23" t="str">
        <f t="shared" si="433"/>
        <v xml:space="preserve">COM VALOR</v>
      </c>
      <c r="J9270" s="19"/>
      <c r="L9270" s="21">
        <v>0</v>
      </c>
      <c r="M9270" s="22"/>
      <c r="N9270" s="21">
        <v>0</v>
      </c>
      <c r="O9270" s="22"/>
    </row>
    <row r="9271" ht="25.5">
      <c r="A9271" t="s">
        <v>9371</v>
      </c>
      <c r="B9271" s="19">
        <v>103718</v>
      </c>
      <c r="C9271" s="20" t="s">
        <v>9392</v>
      </c>
      <c r="D9271" s="19" t="s">
        <v>31</v>
      </c>
      <c r="E9271" s="21" t="str">
        <f t="shared" si="431"/>
        <v>VERIFICAR</v>
      </c>
      <c r="F9271" s="22">
        <v>0.29999999999999999</v>
      </c>
      <c r="G9271" s="21" t="str">
        <f t="shared" si="432"/>
        <v>VERIFICAR</v>
      </c>
      <c r="H9271" s="22">
        <v>0.31</v>
      </c>
      <c r="I9271" s="23" t="str">
        <f t="shared" si="433"/>
        <v xml:space="preserve">COM VALOR</v>
      </c>
      <c r="J9271" s="19"/>
      <c r="L9271" s="21">
        <v>0</v>
      </c>
      <c r="M9271" s="22"/>
      <c r="N9271" s="21">
        <v>0</v>
      </c>
      <c r="O9271" s="22"/>
    </row>
    <row r="9272" ht="25.5">
      <c r="A9272" t="s">
        <v>9371</v>
      </c>
      <c r="B9272" s="19">
        <v>103719</v>
      </c>
      <c r="C9272" s="20" t="s">
        <v>9393</v>
      </c>
      <c r="D9272" s="19" t="s">
        <v>31</v>
      </c>
      <c r="E9272" s="21" t="str">
        <f t="shared" si="431"/>
        <v>VERIFICAR</v>
      </c>
      <c r="F9272" s="22">
        <v>0.29999999999999999</v>
      </c>
      <c r="G9272" s="21" t="str">
        <f t="shared" si="432"/>
        <v>VERIFICAR</v>
      </c>
      <c r="H9272" s="22">
        <v>0.31</v>
      </c>
      <c r="I9272" s="23" t="str">
        <f t="shared" si="433"/>
        <v xml:space="preserve">COM VALOR</v>
      </c>
      <c r="J9272" s="19"/>
      <c r="L9272" s="21">
        <v>0</v>
      </c>
      <c r="M9272" s="22"/>
      <c r="N9272" s="21">
        <v>0</v>
      </c>
      <c r="O9272" s="22"/>
    </row>
    <row r="9273" ht="25.5">
      <c r="A9273" t="s">
        <v>9371</v>
      </c>
      <c r="B9273" s="19">
        <v>103720</v>
      </c>
      <c r="C9273" s="20" t="s">
        <v>9394</v>
      </c>
      <c r="D9273" s="19" t="s">
        <v>31</v>
      </c>
      <c r="E9273" s="21" t="str">
        <f t="shared" si="431"/>
        <v>VERIFICAR</v>
      </c>
      <c r="F9273" s="22">
        <v>0.29999999999999999</v>
      </c>
      <c r="G9273" s="21" t="str">
        <f t="shared" si="432"/>
        <v>VERIFICAR</v>
      </c>
      <c r="H9273" s="22">
        <v>0.31</v>
      </c>
      <c r="I9273" s="23" t="str">
        <f t="shared" si="433"/>
        <v xml:space="preserve">COM VALOR</v>
      </c>
      <c r="J9273" s="19"/>
      <c r="L9273" s="21">
        <v>0</v>
      </c>
      <c r="M9273" s="22"/>
      <c r="N9273" s="21">
        <v>0</v>
      </c>
      <c r="O9273" s="22"/>
    </row>
    <row r="9274" ht="25.5">
      <c r="A9274" t="s">
        <v>9371</v>
      </c>
      <c r="B9274" s="19">
        <v>103721</v>
      </c>
      <c r="C9274" s="20" t="s">
        <v>9395</v>
      </c>
      <c r="D9274" s="19" t="s">
        <v>31</v>
      </c>
      <c r="E9274" s="21" t="str">
        <f t="shared" si="431"/>
        <v>VERIFICAR</v>
      </c>
      <c r="F9274" s="22">
        <v>0.29999999999999999</v>
      </c>
      <c r="G9274" s="21" t="str">
        <f t="shared" si="432"/>
        <v>VERIFICAR</v>
      </c>
      <c r="H9274" s="22">
        <v>0.31</v>
      </c>
      <c r="I9274" s="23" t="str">
        <f t="shared" si="433"/>
        <v xml:space="preserve">COM VALOR</v>
      </c>
      <c r="J9274" s="19"/>
      <c r="L9274" s="21">
        <v>0</v>
      </c>
      <c r="M9274" s="22"/>
      <c r="N9274" s="21">
        <v>0</v>
      </c>
      <c r="O9274" s="22"/>
    </row>
    <row r="9275" ht="25.5">
      <c r="A9275" t="s">
        <v>9371</v>
      </c>
      <c r="B9275" s="19">
        <v>103705</v>
      </c>
      <c r="C9275" s="20" t="s">
        <v>9396</v>
      </c>
      <c r="D9275" s="19" t="s">
        <v>31</v>
      </c>
      <c r="E9275" s="21" t="str">
        <f t="shared" si="431"/>
        <v>VERIFICAR</v>
      </c>
      <c r="F9275" s="22">
        <v>0.10000000000000001</v>
      </c>
      <c r="G9275" s="21" t="str">
        <f t="shared" si="432"/>
        <v>VERIFICAR</v>
      </c>
      <c r="H9275" s="22">
        <v>0.10000000000000001</v>
      </c>
      <c r="I9275" s="23" t="str">
        <f t="shared" si="433"/>
        <v xml:space="preserve">COM VALOR</v>
      </c>
      <c r="J9275" s="19"/>
      <c r="L9275" s="21">
        <v>0</v>
      </c>
      <c r="M9275" s="22"/>
      <c r="N9275" s="21">
        <v>0</v>
      </c>
      <c r="O9275" s="22"/>
    </row>
    <row r="9276" ht="25.5">
      <c r="A9276" t="s">
        <v>9371</v>
      </c>
      <c r="B9276" s="19">
        <v>103722</v>
      </c>
      <c r="C9276" s="20" t="s">
        <v>9397</v>
      </c>
      <c r="D9276" s="19" t="s">
        <v>31</v>
      </c>
      <c r="E9276" s="21" t="str">
        <f t="shared" si="431"/>
        <v>VERIFICAR</v>
      </c>
      <c r="F9276" s="22">
        <v>0.10000000000000001</v>
      </c>
      <c r="G9276" s="21" t="str">
        <f t="shared" si="432"/>
        <v>VERIFICAR</v>
      </c>
      <c r="H9276" s="22">
        <v>0.10000000000000001</v>
      </c>
      <c r="I9276" s="23" t="str">
        <f t="shared" si="433"/>
        <v xml:space="preserve">COM VALOR</v>
      </c>
      <c r="J9276" s="19"/>
      <c r="L9276" s="21">
        <v>0</v>
      </c>
      <c r="M9276" s="22"/>
      <c r="N9276" s="21">
        <v>0</v>
      </c>
      <c r="O9276" s="22"/>
    </row>
    <row r="9277" ht="25.5">
      <c r="A9277" t="s">
        <v>9371</v>
      </c>
      <c r="B9277" s="19">
        <v>103723</v>
      </c>
      <c r="C9277" s="20" t="s">
        <v>9398</v>
      </c>
      <c r="D9277" s="19" t="s">
        <v>31</v>
      </c>
      <c r="E9277" s="21" t="str">
        <f t="shared" si="431"/>
        <v>VERIFICAR</v>
      </c>
      <c r="F9277" s="22">
        <v>0.10000000000000001</v>
      </c>
      <c r="G9277" s="21" t="str">
        <f t="shared" si="432"/>
        <v>VERIFICAR</v>
      </c>
      <c r="H9277" s="22">
        <v>0.10000000000000001</v>
      </c>
      <c r="I9277" s="23" t="str">
        <f t="shared" si="433"/>
        <v xml:space="preserve">COM VALOR</v>
      </c>
      <c r="J9277" s="19"/>
      <c r="L9277" s="21">
        <v>0</v>
      </c>
      <c r="M9277" s="22"/>
      <c r="N9277" s="21">
        <v>0</v>
      </c>
      <c r="O9277" s="22"/>
    </row>
    <row r="9278" ht="25.5">
      <c r="A9278" t="s">
        <v>9371</v>
      </c>
      <c r="B9278" s="19">
        <v>103724</v>
      </c>
      <c r="C9278" s="20" t="s">
        <v>9399</v>
      </c>
      <c r="D9278" s="19" t="s">
        <v>31</v>
      </c>
      <c r="E9278" s="21" t="str">
        <f t="shared" si="431"/>
        <v>VERIFICAR</v>
      </c>
      <c r="F9278" s="22">
        <v>0.10000000000000001</v>
      </c>
      <c r="G9278" s="21" t="str">
        <f t="shared" si="432"/>
        <v>VERIFICAR</v>
      </c>
      <c r="H9278" s="22">
        <v>0.10000000000000001</v>
      </c>
      <c r="I9278" s="23" t="str">
        <f t="shared" si="433"/>
        <v xml:space="preserve">COM VALOR</v>
      </c>
      <c r="J9278" s="19"/>
      <c r="L9278" s="21">
        <v>0</v>
      </c>
      <c r="M9278" s="22"/>
      <c r="N9278" s="21">
        <v>0</v>
      </c>
      <c r="O9278" s="22"/>
    </row>
    <row r="9279" ht="25.5">
      <c r="A9279" t="s">
        <v>9371</v>
      </c>
      <c r="B9279" s="19">
        <v>103725</v>
      </c>
      <c r="C9279" s="20" t="s">
        <v>9400</v>
      </c>
      <c r="D9279" s="19" t="s">
        <v>31</v>
      </c>
      <c r="E9279" s="21" t="str">
        <f t="shared" si="431"/>
        <v>VERIFICAR</v>
      </c>
      <c r="F9279" s="22">
        <v>0.11</v>
      </c>
      <c r="G9279" s="21" t="str">
        <f t="shared" si="432"/>
        <v>VERIFICAR</v>
      </c>
      <c r="H9279" s="22">
        <v>0.11</v>
      </c>
      <c r="I9279" s="23" t="str">
        <f t="shared" si="433"/>
        <v xml:space="preserve">COM VALOR</v>
      </c>
      <c r="J9279" s="19"/>
      <c r="L9279" s="21">
        <v>0</v>
      </c>
      <c r="M9279" s="22"/>
      <c r="N9279" s="21">
        <v>0</v>
      </c>
      <c r="O9279" s="22"/>
    </row>
    <row r="9280" ht="25.5">
      <c r="A9280" t="s">
        <v>9371</v>
      </c>
      <c r="B9280" s="19">
        <v>103726</v>
      </c>
      <c r="C9280" s="20" t="s">
        <v>9401</v>
      </c>
      <c r="D9280" s="19" t="s">
        <v>31</v>
      </c>
      <c r="E9280" s="21" t="str">
        <f t="shared" si="431"/>
        <v>VERIFICAR</v>
      </c>
      <c r="F9280" s="22">
        <v>0.11</v>
      </c>
      <c r="G9280" s="21" t="str">
        <f t="shared" si="432"/>
        <v>VERIFICAR</v>
      </c>
      <c r="H9280" s="22">
        <v>0.11</v>
      </c>
      <c r="I9280" s="23" t="str">
        <f t="shared" si="433"/>
        <v xml:space="preserve">COM VALOR</v>
      </c>
      <c r="J9280" s="19"/>
      <c r="L9280" s="21">
        <v>0</v>
      </c>
      <c r="M9280" s="22"/>
      <c r="N9280" s="21">
        <v>0</v>
      </c>
      <c r="O9280" s="22"/>
    </row>
    <row r="9281" ht="25.5">
      <c r="A9281" t="s">
        <v>9371</v>
      </c>
      <c r="B9281" s="19">
        <v>103727</v>
      </c>
      <c r="C9281" s="20" t="s">
        <v>9402</v>
      </c>
      <c r="D9281" s="19" t="s">
        <v>31</v>
      </c>
      <c r="E9281" s="21" t="str">
        <f t="shared" si="431"/>
        <v>VERIFICAR</v>
      </c>
      <c r="F9281" s="22">
        <v>0.11</v>
      </c>
      <c r="G9281" s="21" t="str">
        <f t="shared" si="432"/>
        <v>VERIFICAR</v>
      </c>
      <c r="H9281" s="22">
        <v>0.11</v>
      </c>
      <c r="I9281" s="23" t="str">
        <f t="shared" si="433"/>
        <v xml:space="preserve">COM VALOR</v>
      </c>
      <c r="J9281" s="19"/>
      <c r="L9281" s="21">
        <v>0</v>
      </c>
      <c r="M9281" s="22"/>
      <c r="N9281" s="21">
        <v>0</v>
      </c>
      <c r="O9281" s="22"/>
    </row>
    <row r="9282" ht="25.5">
      <c r="A9282" t="s">
        <v>9371</v>
      </c>
      <c r="B9282" s="19">
        <v>103728</v>
      </c>
      <c r="C9282" s="20" t="s">
        <v>9403</v>
      </c>
      <c r="D9282" s="19" t="s">
        <v>31</v>
      </c>
      <c r="E9282" s="21" t="str">
        <f t="shared" si="431"/>
        <v>VERIFICAR</v>
      </c>
      <c r="F9282" s="22">
        <v>0.11</v>
      </c>
      <c r="G9282" s="21" t="str">
        <f t="shared" si="432"/>
        <v>VERIFICAR</v>
      </c>
      <c r="H9282" s="22">
        <v>0.11</v>
      </c>
      <c r="I9282" s="23" t="str">
        <f t="shared" si="433"/>
        <v xml:space="preserve">COM VALOR</v>
      </c>
      <c r="J9282" s="19"/>
      <c r="L9282" s="21">
        <v>0</v>
      </c>
      <c r="M9282" s="22"/>
      <c r="N9282" s="21">
        <v>0</v>
      </c>
      <c r="O9282" s="22"/>
    </row>
    <row r="9283" ht="25.5">
      <c r="A9283" t="s">
        <v>9371</v>
      </c>
      <c r="B9283" s="19">
        <v>103729</v>
      </c>
      <c r="C9283" s="20" t="s">
        <v>9404</v>
      </c>
      <c r="D9283" s="19" t="s">
        <v>31</v>
      </c>
      <c r="E9283" s="21" t="str">
        <f t="shared" si="431"/>
        <v>VERIFICAR</v>
      </c>
      <c r="F9283" s="22">
        <v>0.32000000000000001</v>
      </c>
      <c r="G9283" s="21" t="str">
        <f t="shared" si="432"/>
        <v>VERIFICAR</v>
      </c>
      <c r="H9283" s="22">
        <v>0.32000000000000001</v>
      </c>
      <c r="I9283" s="23" t="str">
        <f t="shared" si="433"/>
        <v xml:space="preserve">COM VALOR</v>
      </c>
      <c r="J9283" s="19"/>
      <c r="L9283" s="21">
        <v>0</v>
      </c>
      <c r="M9283" s="22"/>
      <c r="N9283" s="21">
        <v>0</v>
      </c>
      <c r="O9283" s="22"/>
    </row>
    <row r="9284" ht="25.5">
      <c r="A9284" t="s">
        <v>9371</v>
      </c>
      <c r="B9284" s="19">
        <v>103730</v>
      </c>
      <c r="C9284" s="20" t="s">
        <v>9405</v>
      </c>
      <c r="D9284" s="19" t="s">
        <v>31</v>
      </c>
      <c r="E9284" s="21" t="str">
        <f t="shared" si="431"/>
        <v>VERIFICAR</v>
      </c>
      <c r="F9284" s="22">
        <v>0.31</v>
      </c>
      <c r="G9284" s="21" t="str">
        <f t="shared" si="432"/>
        <v>VERIFICAR</v>
      </c>
      <c r="H9284" s="22">
        <v>0.32000000000000001</v>
      </c>
      <c r="I9284" s="23" t="str">
        <f t="shared" si="433"/>
        <v xml:space="preserve">COM VALOR</v>
      </c>
      <c r="J9284" s="19"/>
      <c r="L9284" s="21">
        <v>0</v>
      </c>
      <c r="M9284" s="22"/>
      <c r="N9284" s="21">
        <v>0</v>
      </c>
      <c r="O9284" s="22"/>
    </row>
    <row r="9285" ht="25.5">
      <c r="A9285" t="s">
        <v>9371</v>
      </c>
      <c r="B9285" s="19">
        <v>103731</v>
      </c>
      <c r="C9285" s="20" t="s">
        <v>9406</v>
      </c>
      <c r="D9285" s="19" t="s">
        <v>31</v>
      </c>
      <c r="E9285" s="21" t="str">
        <f t="shared" si="431"/>
        <v>VERIFICAR</v>
      </c>
      <c r="F9285" s="22">
        <v>0.32000000000000001</v>
      </c>
      <c r="G9285" s="21" t="str">
        <f t="shared" si="432"/>
        <v>VERIFICAR</v>
      </c>
      <c r="H9285" s="22">
        <v>0.33000000000000002</v>
      </c>
      <c r="I9285" s="23" t="str">
        <f t="shared" si="433"/>
        <v xml:space="preserve">COM VALOR</v>
      </c>
      <c r="J9285" s="19"/>
      <c r="L9285" s="21">
        <v>0</v>
      </c>
      <c r="M9285" s="22"/>
      <c r="N9285" s="21">
        <v>0</v>
      </c>
      <c r="O9285" s="22"/>
    </row>
    <row r="9286" ht="25.5">
      <c r="A9286" t="s">
        <v>9371</v>
      </c>
      <c r="B9286" s="19">
        <v>103732</v>
      </c>
      <c r="C9286" s="20" t="s">
        <v>9407</v>
      </c>
      <c r="D9286" s="19" t="s">
        <v>31</v>
      </c>
      <c r="E9286" s="21" t="str">
        <f t="shared" si="431"/>
        <v>VERIFICAR</v>
      </c>
      <c r="F9286" s="22">
        <v>0.32000000000000001</v>
      </c>
      <c r="G9286" s="21" t="str">
        <f t="shared" si="432"/>
        <v>VERIFICAR</v>
      </c>
      <c r="H9286" s="22">
        <v>0.32000000000000001</v>
      </c>
      <c r="I9286" s="23" t="str">
        <f t="shared" si="433"/>
        <v xml:space="preserve">COM VALOR</v>
      </c>
      <c r="J9286" s="19"/>
      <c r="L9286" s="21">
        <v>0</v>
      </c>
      <c r="M9286" s="22"/>
      <c r="N9286" s="21">
        <v>0</v>
      </c>
      <c r="O9286" s="22"/>
    </row>
    <row r="9287" ht="25.5">
      <c r="A9287" t="s">
        <v>9371</v>
      </c>
      <c r="B9287" s="19">
        <v>103733</v>
      </c>
      <c r="C9287" s="20" t="s">
        <v>9408</v>
      </c>
      <c r="D9287" s="19" t="s">
        <v>31</v>
      </c>
      <c r="E9287" s="21" t="str">
        <f t="shared" si="431"/>
        <v>VERIFICAR</v>
      </c>
      <c r="F9287" s="22">
        <v>0.28999999999999998</v>
      </c>
      <c r="G9287" s="21" t="str">
        <f t="shared" si="432"/>
        <v>VERIFICAR</v>
      </c>
      <c r="H9287" s="22">
        <v>0.29999999999999999</v>
      </c>
      <c r="I9287" s="23" t="str">
        <f t="shared" si="433"/>
        <v xml:space="preserve">COM VALOR</v>
      </c>
      <c r="J9287" s="19"/>
      <c r="L9287" s="21">
        <v>0</v>
      </c>
      <c r="M9287" s="22"/>
      <c r="N9287" s="21">
        <v>0</v>
      </c>
      <c r="O9287" s="22"/>
    </row>
    <row r="9288" ht="38.25">
      <c r="A9288" t="s">
        <v>9371</v>
      </c>
      <c r="B9288" s="19">
        <v>103696</v>
      </c>
      <c r="C9288" s="20" t="s">
        <v>9409</v>
      </c>
      <c r="D9288" s="19" t="s">
        <v>31</v>
      </c>
      <c r="E9288" s="21">
        <f t="shared" si="431"/>
        <v>135.90000000000001</v>
      </c>
      <c r="F9288" s="22">
        <v>0.28999999999999998</v>
      </c>
      <c r="G9288" s="21">
        <f t="shared" si="432"/>
        <v>131.97999999999999</v>
      </c>
      <c r="H9288" s="22">
        <v>0.29999999999999999</v>
      </c>
      <c r="I9288" s="23" t="str">
        <f t="shared" si="433"/>
        <v xml:space="preserve">COM VALOR</v>
      </c>
      <c r="J9288" s="19"/>
      <c r="L9288" s="21">
        <v>135.90000000000001</v>
      </c>
      <c r="M9288" s="22">
        <v>0</v>
      </c>
      <c r="N9288" s="21">
        <v>131.97999999999999</v>
      </c>
      <c r="O9288" s="22">
        <v>0</v>
      </c>
    </row>
    <row r="9289" ht="38.25">
      <c r="A9289" t="s">
        <v>9371</v>
      </c>
      <c r="B9289" s="19">
        <v>103697</v>
      </c>
      <c r="C9289" s="20" t="s">
        <v>9410</v>
      </c>
      <c r="D9289" s="19" t="s">
        <v>31</v>
      </c>
      <c r="E9289" s="21">
        <f t="shared" si="431"/>
        <v>124.95999999999999</v>
      </c>
      <c r="F9289" s="22">
        <v>0.28999999999999998</v>
      </c>
      <c r="G9289" s="21">
        <f t="shared" si="432"/>
        <v>121.20999999999999</v>
      </c>
      <c r="H9289" s="22">
        <v>0.29999999999999999</v>
      </c>
      <c r="I9289" s="23" t="str">
        <f t="shared" si="433"/>
        <v xml:space="preserve">COM VALOR</v>
      </c>
      <c r="J9289" s="19"/>
      <c r="L9289" s="21">
        <v>124.95999999999999</v>
      </c>
      <c r="M9289" s="22">
        <v>0</v>
      </c>
      <c r="N9289" s="21">
        <v>121.20999999999999</v>
      </c>
      <c r="O9289" s="22">
        <v>0</v>
      </c>
    </row>
    <row r="9290" ht="38.25">
      <c r="A9290" t="s">
        <v>9371</v>
      </c>
      <c r="B9290" s="19">
        <v>103695</v>
      </c>
      <c r="C9290" s="20" t="s">
        <v>9411</v>
      </c>
      <c r="D9290" s="19" t="s">
        <v>31</v>
      </c>
      <c r="E9290" s="21">
        <f t="shared" si="431"/>
        <v>96.019999999999996</v>
      </c>
      <c r="F9290" s="22">
        <v>0.28999999999999998</v>
      </c>
      <c r="G9290" s="21">
        <f t="shared" si="432"/>
        <v>93.849999999999994</v>
      </c>
      <c r="H9290" s="22">
        <v>0.29999999999999999</v>
      </c>
      <c r="I9290" s="23" t="str">
        <f t="shared" si="433"/>
        <v xml:space="preserve">COM VALOR</v>
      </c>
      <c r="J9290" s="19"/>
      <c r="L9290" s="21">
        <v>96.019999999999996</v>
      </c>
      <c r="M9290" s="22">
        <v>0</v>
      </c>
      <c r="N9290" s="21">
        <v>93.849999999999994</v>
      </c>
      <c r="O9290" s="22">
        <v>0</v>
      </c>
    </row>
    <row r="9291" ht="38.25">
      <c r="A9291" t="s">
        <v>9371</v>
      </c>
      <c r="B9291" s="19">
        <v>103694</v>
      </c>
      <c r="C9291" s="20" t="s">
        <v>9412</v>
      </c>
      <c r="D9291" s="19" t="s">
        <v>31</v>
      </c>
      <c r="E9291" s="21">
        <f t="shared" ref="E9291:E9354" si="434">IF(L9291=0,"VERIFICAR",L9291)</f>
        <v>106.95999999999999</v>
      </c>
      <c r="F9291" s="22">
        <v>0.28999999999999998</v>
      </c>
      <c r="G9291" s="21">
        <f t="shared" ref="G9291:G9354" si="435">IF(N9291=0,"VERIFICAR",N9291)</f>
        <v>104.62</v>
      </c>
      <c r="H9291" s="22">
        <v>0.29999999999999999</v>
      </c>
      <c r="I9291" s="23" t="str">
        <f t="shared" ref="I9291:I9354" si="436">IF(OR(E9291=0,G9291=0),"SEM VALOR","COM VALOR")</f>
        <v xml:space="preserve">COM VALOR</v>
      </c>
      <c r="J9291" s="19"/>
      <c r="L9291" s="21">
        <v>106.95999999999999</v>
      </c>
      <c r="M9291" s="22">
        <v>0</v>
      </c>
      <c r="N9291" s="21">
        <v>104.62</v>
      </c>
      <c r="O9291" s="22">
        <v>0</v>
      </c>
    </row>
    <row r="9292" ht="38.25">
      <c r="A9292" t="s">
        <v>9371</v>
      </c>
      <c r="B9292" s="19">
        <v>103690</v>
      </c>
      <c r="C9292" s="20" t="s">
        <v>9413</v>
      </c>
      <c r="D9292" s="19" t="s">
        <v>31</v>
      </c>
      <c r="E9292" s="21" t="str">
        <f t="shared" si="434"/>
        <v>VERIFICAR</v>
      </c>
      <c r="F9292" s="22">
        <v>0.28999999999999998</v>
      </c>
      <c r="G9292" s="21" t="str">
        <f t="shared" si="435"/>
        <v>VERIFICAR</v>
      </c>
      <c r="H9292" s="22">
        <v>0.29999999999999999</v>
      </c>
      <c r="I9292" s="23" t="str">
        <f t="shared" si="436"/>
        <v xml:space="preserve">COM VALOR</v>
      </c>
      <c r="J9292" s="19"/>
      <c r="L9292" s="21">
        <v>0</v>
      </c>
      <c r="M9292" s="22"/>
      <c r="N9292" s="21">
        <v>0</v>
      </c>
      <c r="O9292" s="22"/>
    </row>
    <row r="9293" ht="38.25">
      <c r="A9293" t="s">
        <v>9371</v>
      </c>
      <c r="B9293" s="19">
        <v>103693</v>
      </c>
      <c r="C9293" s="20" t="s">
        <v>9414</v>
      </c>
      <c r="D9293" s="19" t="s">
        <v>31</v>
      </c>
      <c r="E9293" s="21" t="str">
        <f t="shared" si="434"/>
        <v>VERIFICAR</v>
      </c>
      <c r="F9293" s="22">
        <v>0.28999999999999998</v>
      </c>
      <c r="G9293" s="21" t="str">
        <f t="shared" si="435"/>
        <v>VERIFICAR</v>
      </c>
      <c r="H9293" s="22">
        <v>0.29999999999999999</v>
      </c>
      <c r="I9293" s="23" t="str">
        <f t="shared" si="436"/>
        <v xml:space="preserve">COM VALOR</v>
      </c>
      <c r="J9293" s="19"/>
      <c r="L9293" s="21">
        <v>0</v>
      </c>
      <c r="M9293" s="22"/>
      <c r="N9293" s="21">
        <v>0</v>
      </c>
      <c r="O9293" s="22"/>
    </row>
    <row r="9294" ht="38.25">
      <c r="A9294" t="s">
        <v>9371</v>
      </c>
      <c r="B9294" s="19">
        <v>103692</v>
      </c>
      <c r="C9294" s="20" t="s">
        <v>9415</v>
      </c>
      <c r="D9294" s="19" t="s">
        <v>31</v>
      </c>
      <c r="E9294" s="21" t="str">
        <f t="shared" si="434"/>
        <v>VERIFICAR</v>
      </c>
      <c r="F9294" s="22">
        <v>0.28999999999999998</v>
      </c>
      <c r="G9294" s="21" t="str">
        <f t="shared" si="435"/>
        <v>VERIFICAR</v>
      </c>
      <c r="H9294" s="22">
        <v>0.29999999999999999</v>
      </c>
      <c r="I9294" s="23" t="str">
        <f t="shared" si="436"/>
        <v xml:space="preserve">COM VALOR</v>
      </c>
      <c r="J9294" s="19"/>
      <c r="L9294" s="21">
        <v>0</v>
      </c>
      <c r="M9294" s="22"/>
      <c r="N9294" s="21">
        <v>0</v>
      </c>
      <c r="O9294" s="22"/>
    </row>
    <row r="9295" ht="38.25">
      <c r="A9295" t="s">
        <v>9371</v>
      </c>
      <c r="B9295" s="19">
        <v>103691</v>
      </c>
      <c r="C9295" s="20" t="s">
        <v>9416</v>
      </c>
      <c r="D9295" s="19" t="s">
        <v>31</v>
      </c>
      <c r="E9295" s="21" t="str">
        <f t="shared" si="434"/>
        <v>VERIFICAR</v>
      </c>
      <c r="F9295" s="22">
        <v>0.28999999999999998</v>
      </c>
      <c r="G9295" s="21" t="str">
        <f t="shared" si="435"/>
        <v>VERIFICAR</v>
      </c>
      <c r="H9295" s="22">
        <v>0.29999999999999999</v>
      </c>
      <c r="I9295" s="23" t="str">
        <f t="shared" si="436"/>
        <v xml:space="preserve">COM VALOR</v>
      </c>
      <c r="J9295" s="19"/>
      <c r="L9295" s="21">
        <v>0</v>
      </c>
      <c r="M9295" s="22"/>
      <c r="N9295" s="21">
        <v>0</v>
      </c>
      <c r="O9295" s="22"/>
    </row>
    <row r="9296" ht="25.5">
      <c r="A9296" t="s">
        <v>9417</v>
      </c>
      <c r="B9296" s="19">
        <v>96987</v>
      </c>
      <c r="C9296" s="20" t="s">
        <v>9418</v>
      </c>
      <c r="D9296" s="19" t="s">
        <v>31</v>
      </c>
      <c r="E9296" s="21">
        <f t="shared" si="434"/>
        <v>131.38999999999999</v>
      </c>
      <c r="F9296" s="22">
        <v>0.28999999999999998</v>
      </c>
      <c r="G9296" s="21">
        <f t="shared" si="435"/>
        <v>127.72</v>
      </c>
      <c r="H9296" s="22">
        <v>0.29999999999999999</v>
      </c>
      <c r="I9296" s="23" t="str">
        <f t="shared" si="436"/>
        <v xml:space="preserve">COM VALOR</v>
      </c>
      <c r="J9296" s="19"/>
      <c r="L9296" s="21">
        <v>131.38999999999999</v>
      </c>
      <c r="M9296" s="22">
        <v>4.0000000000000001e-002</v>
      </c>
      <c r="N9296" s="21">
        <v>127.72</v>
      </c>
      <c r="O9296" s="22">
        <v>4.0000000000000001e-002</v>
      </c>
    </row>
    <row r="9297" ht="25.5">
      <c r="A9297" t="s">
        <v>9417</v>
      </c>
      <c r="B9297" s="19">
        <v>96989</v>
      </c>
      <c r="C9297" s="20" t="s">
        <v>9419</v>
      </c>
      <c r="D9297" s="19" t="s">
        <v>31</v>
      </c>
      <c r="E9297" s="21">
        <f t="shared" si="434"/>
        <v>155.09</v>
      </c>
      <c r="F9297" s="22">
        <v>0.28999999999999998</v>
      </c>
      <c r="G9297" s="21">
        <f t="shared" si="435"/>
        <v>154.66999999999999</v>
      </c>
      <c r="H9297" s="22">
        <v>0.29999999999999999</v>
      </c>
      <c r="I9297" s="23" t="str">
        <f t="shared" si="436"/>
        <v xml:space="preserve">COM VALOR</v>
      </c>
      <c r="J9297" s="19"/>
      <c r="L9297" s="21">
        <v>155.09</v>
      </c>
      <c r="M9297" s="22">
        <v>0</v>
      </c>
      <c r="N9297" s="21">
        <v>154.66999999999999</v>
      </c>
      <c r="O9297" s="22">
        <v>0</v>
      </c>
    </row>
    <row r="9298" ht="38.25">
      <c r="A9298" t="s">
        <v>9417</v>
      </c>
      <c r="B9298" s="19">
        <v>104749</v>
      </c>
      <c r="C9298" s="20" t="s">
        <v>9420</v>
      </c>
      <c r="D9298" s="19" t="s">
        <v>31</v>
      </c>
      <c r="E9298" s="21">
        <f t="shared" si="434"/>
        <v>18.489999999999998</v>
      </c>
      <c r="F9298" s="22">
        <v>0.28999999999999998</v>
      </c>
      <c r="G9298" s="21">
        <f t="shared" si="435"/>
        <v>17.91</v>
      </c>
      <c r="H9298" s="22">
        <v>0.29999999999999999</v>
      </c>
      <c r="I9298" s="23" t="str">
        <f t="shared" si="436"/>
        <v xml:space="preserve">COM VALOR</v>
      </c>
      <c r="J9298" s="19"/>
      <c r="L9298" s="21">
        <v>18.489999999999998</v>
      </c>
      <c r="M9298" s="22">
        <v>0</v>
      </c>
      <c r="N9298" s="21">
        <v>17.91</v>
      </c>
      <c r="O9298" s="22">
        <v>0</v>
      </c>
    </row>
    <row r="9299" ht="38.25">
      <c r="A9299" t="s">
        <v>9417</v>
      </c>
      <c r="B9299" s="19">
        <v>104750</v>
      </c>
      <c r="C9299" s="20" t="s">
        <v>9421</v>
      </c>
      <c r="D9299" s="19" t="s">
        <v>31</v>
      </c>
      <c r="E9299" s="21">
        <f t="shared" si="434"/>
        <v>15.35</v>
      </c>
      <c r="F9299" s="22">
        <v>0.28999999999999998</v>
      </c>
      <c r="G9299" s="21">
        <f t="shared" si="435"/>
        <v>14.77</v>
      </c>
      <c r="H9299" s="22">
        <v>0.29999999999999999</v>
      </c>
      <c r="I9299" s="23" t="str">
        <f t="shared" si="436"/>
        <v xml:space="preserve">COM VALOR</v>
      </c>
      <c r="J9299" s="19"/>
      <c r="L9299" s="21">
        <v>15.35</v>
      </c>
      <c r="M9299" s="22">
        <v>0</v>
      </c>
      <c r="N9299" s="21">
        <v>14.77</v>
      </c>
      <c r="O9299" s="22">
        <v>0</v>
      </c>
    </row>
    <row r="9300" ht="25.5">
      <c r="A9300" t="s">
        <v>9417</v>
      </c>
      <c r="B9300" s="19">
        <v>104751</v>
      </c>
      <c r="C9300" s="20" t="s">
        <v>9422</v>
      </c>
      <c r="D9300" s="19" t="s">
        <v>31</v>
      </c>
      <c r="E9300" s="21">
        <f t="shared" si="434"/>
        <v>20.73</v>
      </c>
      <c r="F9300" s="22">
        <v>0.28999999999999998</v>
      </c>
      <c r="G9300" s="21">
        <f t="shared" si="435"/>
        <v>20.149999999999999</v>
      </c>
      <c r="H9300" s="22">
        <v>0.29999999999999999</v>
      </c>
      <c r="I9300" s="23" t="str">
        <f t="shared" si="436"/>
        <v xml:space="preserve">COM VALOR</v>
      </c>
      <c r="J9300" s="19"/>
      <c r="L9300" s="21">
        <v>20.73</v>
      </c>
      <c r="M9300" s="22">
        <v>0</v>
      </c>
      <c r="N9300" s="21">
        <v>20.149999999999999</v>
      </c>
      <c r="O9300" s="22">
        <v>0</v>
      </c>
    </row>
    <row r="9301" ht="25.5">
      <c r="A9301" t="s">
        <v>9417</v>
      </c>
      <c r="B9301" s="19">
        <v>104752</v>
      </c>
      <c r="C9301" s="20" t="s">
        <v>9423</v>
      </c>
      <c r="D9301" s="19" t="s">
        <v>31</v>
      </c>
      <c r="E9301" s="21">
        <f t="shared" si="434"/>
        <v>20.920000000000002</v>
      </c>
      <c r="F9301" s="22">
        <v>0.28999999999999998</v>
      </c>
      <c r="G9301" s="21">
        <f t="shared" si="435"/>
        <v>20.34</v>
      </c>
      <c r="H9301" s="22">
        <v>0.29999999999999999</v>
      </c>
      <c r="I9301" s="23" t="str">
        <f t="shared" si="436"/>
        <v xml:space="preserve">COM VALOR</v>
      </c>
      <c r="J9301" s="19"/>
      <c r="L9301" s="21">
        <v>20.920000000000002</v>
      </c>
      <c r="M9301" s="22">
        <v>0</v>
      </c>
      <c r="N9301" s="21">
        <v>20.34</v>
      </c>
      <c r="O9301" s="22">
        <v>0</v>
      </c>
    </row>
    <row r="9302" ht="25.5">
      <c r="A9302" t="s">
        <v>9417</v>
      </c>
      <c r="B9302" s="19">
        <v>104753</v>
      </c>
      <c r="C9302" s="20" t="s">
        <v>9424</v>
      </c>
      <c r="D9302" s="19" t="s">
        <v>31</v>
      </c>
      <c r="E9302" s="21">
        <f t="shared" si="434"/>
        <v>25.219999999999999</v>
      </c>
      <c r="F9302" s="22">
        <v>0.28999999999999998</v>
      </c>
      <c r="G9302" s="21">
        <f t="shared" si="435"/>
        <v>24.640000000000001</v>
      </c>
      <c r="H9302" s="22">
        <v>0.29999999999999999</v>
      </c>
      <c r="I9302" s="23" t="str">
        <f t="shared" si="436"/>
        <v xml:space="preserve">COM VALOR</v>
      </c>
      <c r="J9302" s="19"/>
      <c r="L9302" s="21">
        <v>25.219999999999999</v>
      </c>
      <c r="M9302" s="22">
        <v>0</v>
      </c>
      <c r="N9302" s="21">
        <v>24.640000000000001</v>
      </c>
      <c r="O9302" s="22">
        <v>0</v>
      </c>
    </row>
    <row r="9303" ht="25.5">
      <c r="A9303" t="s">
        <v>9417</v>
      </c>
      <c r="B9303" s="19">
        <v>104754</v>
      </c>
      <c r="C9303" s="20" t="s">
        <v>9425</v>
      </c>
      <c r="D9303" s="19" t="s">
        <v>31</v>
      </c>
      <c r="E9303" s="21">
        <f t="shared" si="434"/>
        <v>32.609999999999999</v>
      </c>
      <c r="F9303" s="22">
        <v>0.28999999999999998</v>
      </c>
      <c r="G9303" s="21">
        <f t="shared" si="435"/>
        <v>32.030000000000001</v>
      </c>
      <c r="H9303" s="22">
        <v>0.29999999999999999</v>
      </c>
      <c r="I9303" s="23" t="str">
        <f t="shared" si="436"/>
        <v xml:space="preserve">COM VALOR</v>
      </c>
      <c r="J9303" s="19"/>
      <c r="L9303" s="21">
        <v>32.609999999999999</v>
      </c>
      <c r="M9303" s="22">
        <v>0</v>
      </c>
      <c r="N9303" s="21">
        <v>32.030000000000001</v>
      </c>
      <c r="O9303" s="22">
        <v>0</v>
      </c>
    </row>
    <row r="9304" ht="25.5">
      <c r="A9304" t="s">
        <v>9417</v>
      </c>
      <c r="B9304" s="19">
        <v>104755</v>
      </c>
      <c r="C9304" s="20" t="s">
        <v>9426</v>
      </c>
      <c r="D9304" s="19" t="s">
        <v>31</v>
      </c>
      <c r="E9304" s="21">
        <f t="shared" si="434"/>
        <v>44.07</v>
      </c>
      <c r="F9304" s="22">
        <v>0.28999999999999998</v>
      </c>
      <c r="G9304" s="21">
        <f t="shared" si="435"/>
        <v>43.490000000000002</v>
      </c>
      <c r="H9304" s="22">
        <v>0.29999999999999999</v>
      </c>
      <c r="I9304" s="23" t="str">
        <f t="shared" si="436"/>
        <v xml:space="preserve">COM VALOR</v>
      </c>
      <c r="J9304" s="19"/>
      <c r="L9304" s="21">
        <v>44.07</v>
      </c>
      <c r="M9304" s="22">
        <v>0</v>
      </c>
      <c r="N9304" s="21">
        <v>43.490000000000002</v>
      </c>
      <c r="O9304" s="22">
        <v>0</v>
      </c>
    </row>
    <row r="9305" ht="25.5">
      <c r="A9305" t="s">
        <v>9417</v>
      </c>
      <c r="B9305" s="19">
        <v>96982</v>
      </c>
      <c r="C9305" s="20" t="s">
        <v>9427</v>
      </c>
      <c r="D9305" s="19" t="s">
        <v>31</v>
      </c>
      <c r="E9305" s="21" t="str">
        <f t="shared" si="434"/>
        <v>VERIFICAR</v>
      </c>
      <c r="F9305" s="22">
        <v>0.28999999999999998</v>
      </c>
      <c r="G9305" s="21" t="str">
        <f t="shared" si="435"/>
        <v>VERIFICAR</v>
      </c>
      <c r="H9305" s="22">
        <v>0.29999999999999999</v>
      </c>
      <c r="I9305" s="23" t="str">
        <f t="shared" si="436"/>
        <v xml:space="preserve">COM VALOR</v>
      </c>
      <c r="J9305" s="19"/>
      <c r="L9305" s="21">
        <v>0</v>
      </c>
      <c r="M9305" s="22"/>
      <c r="N9305" s="21">
        <v>0</v>
      </c>
      <c r="O9305" s="22"/>
    </row>
    <row r="9306" ht="25.5">
      <c r="A9306" t="s">
        <v>9417</v>
      </c>
      <c r="B9306" s="19">
        <v>96993</v>
      </c>
      <c r="C9306" s="20" t="s">
        <v>9428</v>
      </c>
      <c r="D9306" s="19" t="s">
        <v>31</v>
      </c>
      <c r="E9306" s="21" t="str">
        <f t="shared" si="434"/>
        <v>VERIFICAR</v>
      </c>
      <c r="F9306" s="22">
        <v>0.28999999999999998</v>
      </c>
      <c r="G9306" s="21" t="str">
        <f t="shared" si="435"/>
        <v>VERIFICAR</v>
      </c>
      <c r="H9306" s="22">
        <v>0.29999999999999999</v>
      </c>
      <c r="I9306" s="23" t="str">
        <f t="shared" si="436"/>
        <v xml:space="preserve">COM VALOR</v>
      </c>
      <c r="J9306" s="19"/>
      <c r="L9306" s="21">
        <v>0</v>
      </c>
      <c r="M9306" s="22"/>
      <c r="N9306" s="21">
        <v>0</v>
      </c>
      <c r="O9306" s="22"/>
    </row>
    <row r="9307" ht="25.5">
      <c r="A9307" t="s">
        <v>9417</v>
      </c>
      <c r="B9307" s="19">
        <v>96990</v>
      </c>
      <c r="C9307" s="20" t="s">
        <v>9429</v>
      </c>
      <c r="D9307" s="19" t="s">
        <v>31</v>
      </c>
      <c r="E9307" s="21" t="str">
        <f t="shared" si="434"/>
        <v>VERIFICAR</v>
      </c>
      <c r="F9307" s="22">
        <v>0.28999999999999998</v>
      </c>
      <c r="G9307" s="21" t="str">
        <f t="shared" si="435"/>
        <v>VERIFICAR</v>
      </c>
      <c r="H9307" s="22">
        <v>0.29999999999999999</v>
      </c>
      <c r="I9307" s="23" t="str">
        <f t="shared" si="436"/>
        <v xml:space="preserve">COM VALOR</v>
      </c>
      <c r="J9307" s="19"/>
      <c r="L9307" s="21">
        <v>0</v>
      </c>
      <c r="M9307" s="22"/>
      <c r="N9307" s="21">
        <v>0</v>
      </c>
      <c r="O9307" s="22"/>
    </row>
    <row r="9308" ht="25.5">
      <c r="A9308" t="s">
        <v>9417</v>
      </c>
      <c r="B9308" s="19">
        <v>96991</v>
      </c>
      <c r="C9308" s="20" t="s">
        <v>9430</v>
      </c>
      <c r="D9308" s="19" t="s">
        <v>31</v>
      </c>
      <c r="E9308" s="21" t="str">
        <f t="shared" si="434"/>
        <v>VERIFICAR</v>
      </c>
      <c r="F9308" s="22">
        <v>0.28999999999999998</v>
      </c>
      <c r="G9308" s="21" t="str">
        <f t="shared" si="435"/>
        <v>VERIFICAR</v>
      </c>
      <c r="H9308" s="22">
        <v>0.29999999999999999</v>
      </c>
      <c r="I9308" s="23" t="str">
        <f t="shared" si="436"/>
        <v xml:space="preserve">COM VALOR</v>
      </c>
      <c r="J9308" s="19"/>
      <c r="L9308" s="21">
        <v>0</v>
      </c>
      <c r="M9308" s="22"/>
      <c r="N9308" s="21">
        <v>0</v>
      </c>
      <c r="O9308" s="22"/>
    </row>
    <row r="9309" ht="25.5">
      <c r="A9309" t="s">
        <v>9417</v>
      </c>
      <c r="B9309" s="19">
        <v>96992</v>
      </c>
      <c r="C9309" s="20" t="s">
        <v>9431</v>
      </c>
      <c r="D9309" s="19" t="s">
        <v>31</v>
      </c>
      <c r="E9309" s="21" t="str">
        <f t="shared" si="434"/>
        <v>VERIFICAR</v>
      </c>
      <c r="F9309" s="22">
        <v>0.28999999999999998</v>
      </c>
      <c r="G9309" s="21" t="str">
        <f t="shared" si="435"/>
        <v>VERIFICAR</v>
      </c>
      <c r="H9309" s="22">
        <v>0.29999999999999999</v>
      </c>
      <c r="I9309" s="23" t="str">
        <f t="shared" si="436"/>
        <v xml:space="preserve">COM VALOR</v>
      </c>
      <c r="J9309" s="19"/>
      <c r="L9309" s="21">
        <v>0</v>
      </c>
      <c r="M9309" s="22"/>
      <c r="N9309" s="21">
        <v>0</v>
      </c>
      <c r="O9309" s="22"/>
    </row>
    <row r="9310" ht="51">
      <c r="A9310" t="s">
        <v>9417</v>
      </c>
      <c r="B9310" s="19">
        <v>96994</v>
      </c>
      <c r="C9310" s="20" t="s">
        <v>9432</v>
      </c>
      <c r="D9310" s="19" t="s">
        <v>31</v>
      </c>
      <c r="E9310" s="21" t="str">
        <f t="shared" si="434"/>
        <v>VERIFICAR</v>
      </c>
      <c r="F9310" s="22">
        <v>0.28999999999999998</v>
      </c>
      <c r="G9310" s="21" t="str">
        <f t="shared" si="435"/>
        <v>VERIFICAR</v>
      </c>
      <c r="H9310" s="22">
        <v>0.29999999999999999</v>
      </c>
      <c r="I9310" s="23" t="str">
        <f t="shared" si="436"/>
        <v xml:space="preserve">COM VALOR</v>
      </c>
      <c r="J9310" s="19"/>
      <c r="L9310" s="21">
        <v>0</v>
      </c>
      <c r="M9310" s="22"/>
      <c r="N9310" s="21">
        <v>0</v>
      </c>
      <c r="O9310" s="22"/>
    </row>
    <row r="9311" ht="25.5">
      <c r="A9311" t="s">
        <v>9417</v>
      </c>
      <c r="B9311" s="19">
        <v>96973</v>
      </c>
      <c r="C9311" s="20" t="s">
        <v>9433</v>
      </c>
      <c r="D9311" s="19" t="s">
        <v>38</v>
      </c>
      <c r="E9311" s="21">
        <f t="shared" si="434"/>
        <v>80.599999999999994</v>
      </c>
      <c r="F9311" s="22">
        <v>0.28999999999999998</v>
      </c>
      <c r="G9311" s="21">
        <f t="shared" si="435"/>
        <v>79.189999999999998</v>
      </c>
      <c r="H9311" s="22">
        <v>0.29999999999999999</v>
      </c>
      <c r="I9311" s="23" t="str">
        <f t="shared" si="436"/>
        <v xml:space="preserve">COM VALOR</v>
      </c>
      <c r="J9311" s="19"/>
      <c r="L9311" s="21">
        <v>80.599999999999994</v>
      </c>
      <c r="M9311" s="22">
        <v>1.e-002</v>
      </c>
      <c r="N9311" s="21">
        <v>79.189999999999998</v>
      </c>
      <c r="O9311" s="22">
        <v>1.e-002</v>
      </c>
    </row>
    <row r="9312" ht="25.5">
      <c r="A9312" t="s">
        <v>9417</v>
      </c>
      <c r="B9312" s="19">
        <v>104743</v>
      </c>
      <c r="C9312" s="20" t="s">
        <v>9434</v>
      </c>
      <c r="D9312" s="19" t="s">
        <v>38</v>
      </c>
      <c r="E9312" s="21" t="str">
        <f t="shared" si="434"/>
        <v>VERIFICAR</v>
      </c>
      <c r="F9312" s="22">
        <v>0.28999999999999998</v>
      </c>
      <c r="G9312" s="21" t="str">
        <f t="shared" si="435"/>
        <v>VERIFICAR</v>
      </c>
      <c r="H9312" s="22">
        <v>0.29999999999999999</v>
      </c>
      <c r="I9312" s="23" t="str">
        <f t="shared" si="436"/>
        <v xml:space="preserve">COM VALOR</v>
      </c>
      <c r="J9312" s="19"/>
      <c r="L9312" s="21">
        <v>0</v>
      </c>
      <c r="M9312" s="22"/>
      <c r="N9312" s="21">
        <v>0</v>
      </c>
      <c r="O9312" s="22"/>
    </row>
    <row r="9313" ht="25.5">
      <c r="A9313" t="s">
        <v>9417</v>
      </c>
      <c r="B9313" s="19">
        <v>96977</v>
      </c>
      <c r="C9313" s="20" t="s">
        <v>9435</v>
      </c>
      <c r="D9313" s="19" t="s">
        <v>38</v>
      </c>
      <c r="E9313" s="21">
        <f t="shared" si="434"/>
        <v>71.189999999999998</v>
      </c>
      <c r="F9313" s="22">
        <v>0.28999999999999998</v>
      </c>
      <c r="G9313" s="21">
        <f t="shared" si="435"/>
        <v>71.090000000000003</v>
      </c>
      <c r="H9313" s="22">
        <v>0.29999999999999999</v>
      </c>
      <c r="I9313" s="23" t="str">
        <f t="shared" si="436"/>
        <v xml:space="preserve">COM VALOR</v>
      </c>
      <c r="J9313" s="19"/>
      <c r="L9313" s="21">
        <v>71.189999999999998</v>
      </c>
      <c r="M9313" s="22">
        <v>0</v>
      </c>
      <c r="N9313" s="21">
        <v>71.090000000000003</v>
      </c>
      <c r="O9313" s="22">
        <v>0</v>
      </c>
    </row>
    <row r="9314" ht="25.5">
      <c r="A9314" t="s">
        <v>9417</v>
      </c>
      <c r="B9314" s="19">
        <v>96974</v>
      </c>
      <c r="C9314" s="20" t="s">
        <v>9436</v>
      </c>
      <c r="D9314" s="19" t="s">
        <v>38</v>
      </c>
      <c r="E9314" s="21">
        <f t="shared" si="434"/>
        <v>105.16</v>
      </c>
      <c r="F9314" s="22">
        <v>0.28999999999999998</v>
      </c>
      <c r="G9314" s="21">
        <f t="shared" si="435"/>
        <v>103.53</v>
      </c>
      <c r="H9314" s="22">
        <v>0.29999999999999999</v>
      </c>
      <c r="I9314" s="23" t="str">
        <f t="shared" si="436"/>
        <v xml:space="preserve">COM VALOR</v>
      </c>
      <c r="J9314" s="19"/>
      <c r="L9314" s="21">
        <v>105.16</v>
      </c>
      <c r="M9314" s="22">
        <v>1.e-002</v>
      </c>
      <c r="N9314" s="21">
        <v>103.53</v>
      </c>
      <c r="O9314" s="22">
        <v>1.e-002</v>
      </c>
    </row>
    <row r="9315" ht="25.5">
      <c r="A9315" t="s">
        <v>9417</v>
      </c>
      <c r="B9315" s="19">
        <v>104744</v>
      </c>
      <c r="C9315" s="20" t="s">
        <v>9437</v>
      </c>
      <c r="D9315" s="19" t="s">
        <v>38</v>
      </c>
      <c r="E9315" s="21" t="str">
        <f t="shared" si="434"/>
        <v>VERIFICAR</v>
      </c>
      <c r="F9315" s="22">
        <v>0.28999999999999998</v>
      </c>
      <c r="G9315" s="21" t="str">
        <f t="shared" si="435"/>
        <v>VERIFICAR</v>
      </c>
      <c r="H9315" s="22">
        <v>0.29999999999999999</v>
      </c>
      <c r="I9315" s="23" t="str">
        <f t="shared" si="436"/>
        <v xml:space="preserve">COM VALOR</v>
      </c>
      <c r="J9315" s="19"/>
      <c r="L9315" s="21">
        <v>0</v>
      </c>
      <c r="M9315" s="22"/>
      <c r="N9315" s="21">
        <v>0</v>
      </c>
      <c r="O9315" s="22"/>
    </row>
    <row r="9316" ht="25.5">
      <c r="A9316" t="s">
        <v>9417</v>
      </c>
      <c r="B9316" s="19">
        <v>96978</v>
      </c>
      <c r="C9316" s="20" t="s">
        <v>9438</v>
      </c>
      <c r="D9316" s="19" t="s">
        <v>38</v>
      </c>
      <c r="E9316" s="21">
        <f t="shared" si="434"/>
        <v>93.840000000000003</v>
      </c>
      <c r="F9316" s="22">
        <v>0.28999999999999998</v>
      </c>
      <c r="G9316" s="21">
        <f t="shared" si="435"/>
        <v>93.719999999999999</v>
      </c>
      <c r="H9316" s="22">
        <v>0.29999999999999999</v>
      </c>
      <c r="I9316" s="23" t="str">
        <f t="shared" si="436"/>
        <v xml:space="preserve">COM VALOR</v>
      </c>
      <c r="J9316" s="19"/>
      <c r="L9316" s="21">
        <v>93.840000000000003</v>
      </c>
      <c r="M9316" s="22">
        <v>0</v>
      </c>
      <c r="N9316" s="21">
        <v>93.719999999999999</v>
      </c>
      <c r="O9316" s="22">
        <v>0</v>
      </c>
    </row>
    <row r="9317" ht="25.5">
      <c r="A9317" t="s">
        <v>9417</v>
      </c>
      <c r="B9317" s="19">
        <v>96975</v>
      </c>
      <c r="C9317" s="20" t="s">
        <v>9439</v>
      </c>
      <c r="D9317" s="19" t="s">
        <v>38</v>
      </c>
      <c r="E9317" s="21">
        <f t="shared" si="434"/>
        <v>131.08000000000001</v>
      </c>
      <c r="F9317" s="22">
        <v>0.28999999999999998</v>
      </c>
      <c r="G9317" s="21">
        <f t="shared" si="435"/>
        <v>129.24000000000001</v>
      </c>
      <c r="H9317" s="22">
        <v>0.29999999999999999</v>
      </c>
      <c r="I9317" s="23" t="str">
        <f t="shared" si="436"/>
        <v xml:space="preserve">COM VALOR</v>
      </c>
      <c r="J9317" s="19"/>
      <c r="L9317" s="21">
        <v>131.08000000000001</v>
      </c>
      <c r="M9317" s="22">
        <v>1.e-002</v>
      </c>
      <c r="N9317" s="21">
        <v>129.24000000000001</v>
      </c>
      <c r="O9317" s="22">
        <v>1.e-002</v>
      </c>
    </row>
    <row r="9318" ht="25.5">
      <c r="A9318" t="s">
        <v>9417</v>
      </c>
      <c r="B9318" s="19">
        <v>104745</v>
      </c>
      <c r="C9318" s="20" t="s">
        <v>9440</v>
      </c>
      <c r="D9318" s="19" t="s">
        <v>38</v>
      </c>
      <c r="E9318" s="21" t="str">
        <f t="shared" si="434"/>
        <v>VERIFICAR</v>
      </c>
      <c r="F9318" s="22">
        <v>0.33000000000000002</v>
      </c>
      <c r="G9318" s="21" t="str">
        <f t="shared" si="435"/>
        <v>VERIFICAR</v>
      </c>
      <c r="H9318" s="22">
        <v>0.34000000000000002</v>
      </c>
      <c r="I9318" s="23" t="str">
        <f t="shared" si="436"/>
        <v xml:space="preserve">COM VALOR</v>
      </c>
      <c r="J9318" s="19"/>
      <c r="L9318" s="21">
        <v>0</v>
      </c>
      <c r="M9318" s="22"/>
      <c r="N9318" s="21">
        <v>0</v>
      </c>
      <c r="O9318" s="22"/>
    </row>
    <row r="9319" ht="25.5">
      <c r="A9319" t="s">
        <v>9417</v>
      </c>
      <c r="B9319" s="19">
        <v>96979</v>
      </c>
      <c r="C9319" s="20" t="s">
        <v>9441</v>
      </c>
      <c r="D9319" s="19" t="s">
        <v>38</v>
      </c>
      <c r="E9319" s="21">
        <f t="shared" si="434"/>
        <v>134.34999999999999</v>
      </c>
      <c r="F9319" s="22">
        <v>0.29999999999999999</v>
      </c>
      <c r="G9319" s="21">
        <f t="shared" si="435"/>
        <v>134.21000000000001</v>
      </c>
      <c r="H9319" s="22">
        <v>0.29999999999999999</v>
      </c>
      <c r="I9319" s="23" t="str">
        <f t="shared" si="436"/>
        <v xml:space="preserve">COM VALOR</v>
      </c>
      <c r="J9319" s="19"/>
      <c r="L9319" s="21">
        <v>134.34999999999999</v>
      </c>
      <c r="M9319" s="22">
        <v>0</v>
      </c>
      <c r="N9319" s="21">
        <v>134.21000000000001</v>
      </c>
      <c r="O9319" s="22">
        <v>0</v>
      </c>
    </row>
    <row r="9320" ht="25.5">
      <c r="A9320" t="s">
        <v>9417</v>
      </c>
      <c r="B9320" s="19">
        <v>96976</v>
      </c>
      <c r="C9320" s="20" t="s">
        <v>9442</v>
      </c>
      <c r="D9320" s="19" t="s">
        <v>38</v>
      </c>
      <c r="E9320" s="21">
        <f t="shared" si="434"/>
        <v>174.56</v>
      </c>
      <c r="F9320" s="22">
        <v>0.26000000000000001</v>
      </c>
      <c r="G9320" s="21">
        <f t="shared" si="435"/>
        <v>172.53999999999999</v>
      </c>
      <c r="H9320" s="22">
        <v>0.27000000000000002</v>
      </c>
      <c r="I9320" s="23" t="str">
        <f t="shared" si="436"/>
        <v xml:space="preserve">COM VALOR</v>
      </c>
      <c r="J9320" s="19"/>
      <c r="L9320" s="21">
        <v>174.56</v>
      </c>
      <c r="M9320" s="22">
        <v>0</v>
      </c>
      <c r="N9320" s="21">
        <v>172.53999999999999</v>
      </c>
      <c r="O9320" s="22">
        <v>5.0000000000000001e-003</v>
      </c>
    </row>
    <row r="9321" ht="25.5">
      <c r="A9321" t="s">
        <v>9417</v>
      </c>
      <c r="B9321" s="19">
        <v>96984</v>
      </c>
      <c r="C9321" s="20" t="s">
        <v>9443</v>
      </c>
      <c r="D9321" s="19" t="s">
        <v>31</v>
      </c>
      <c r="E9321" s="21">
        <f t="shared" si="434"/>
        <v>60.640000000000001</v>
      </c>
      <c r="F9321" s="22">
        <v>0.26000000000000001</v>
      </c>
      <c r="G9321" s="21">
        <f t="shared" si="435"/>
        <v>58.32</v>
      </c>
      <c r="H9321" s="22">
        <v>0.27000000000000002</v>
      </c>
      <c r="I9321" s="23" t="str">
        <f t="shared" si="436"/>
        <v xml:space="preserve">COM VALOR</v>
      </c>
      <c r="J9321" s="19"/>
      <c r="L9321" s="21">
        <v>60.640000000000001</v>
      </c>
      <c r="M9321" s="22">
        <v>0</v>
      </c>
      <c r="N9321" s="21">
        <v>58.32</v>
      </c>
      <c r="O9321" s="22">
        <v>0</v>
      </c>
    </row>
    <row r="9322" ht="25.5">
      <c r="A9322" t="s">
        <v>9417</v>
      </c>
      <c r="B9322" s="19">
        <v>96980</v>
      </c>
      <c r="C9322" s="20" t="s">
        <v>9444</v>
      </c>
      <c r="D9322" s="19" t="s">
        <v>38</v>
      </c>
      <c r="E9322" s="21" t="str">
        <f t="shared" si="434"/>
        <v>VERIFICAR</v>
      </c>
      <c r="F9322" s="22">
        <v>0.26000000000000001</v>
      </c>
      <c r="G9322" s="21" t="str">
        <f t="shared" si="435"/>
        <v>VERIFICAR</v>
      </c>
      <c r="H9322" s="22">
        <v>0.27000000000000002</v>
      </c>
      <c r="I9322" s="23" t="str">
        <f t="shared" si="436"/>
        <v xml:space="preserve">COM VALOR</v>
      </c>
      <c r="J9322" s="19"/>
      <c r="L9322" s="21">
        <v>0</v>
      </c>
      <c r="M9322" s="22"/>
      <c r="N9322" s="21">
        <v>0</v>
      </c>
      <c r="O9322" s="22"/>
    </row>
    <row r="9323" ht="25.5">
      <c r="A9323" t="s">
        <v>9417</v>
      </c>
      <c r="B9323" s="19">
        <v>96986</v>
      </c>
      <c r="C9323" s="20" t="s">
        <v>9445</v>
      </c>
      <c r="D9323" s="19" t="s">
        <v>31</v>
      </c>
      <c r="E9323" s="21">
        <f t="shared" si="434"/>
        <v>101.18000000000001</v>
      </c>
      <c r="F9323" s="22">
        <v>0.39000000000000001</v>
      </c>
      <c r="G9323" s="21">
        <f t="shared" si="435"/>
        <v>99.980000000000004</v>
      </c>
      <c r="H9323" s="22">
        <v>0.40000000000000002</v>
      </c>
      <c r="I9323" s="23" t="str">
        <f t="shared" si="436"/>
        <v xml:space="preserve">COM VALOR</v>
      </c>
      <c r="J9323" s="19"/>
      <c r="L9323" s="21">
        <v>101.18000000000001</v>
      </c>
      <c r="M9323" s="22">
        <v>0</v>
      </c>
      <c r="N9323" s="21">
        <v>99.980000000000004</v>
      </c>
      <c r="O9323" s="22">
        <v>0</v>
      </c>
    </row>
    <row r="9324" ht="25.5">
      <c r="A9324" t="s">
        <v>9417</v>
      </c>
      <c r="B9324" s="19">
        <v>96985</v>
      </c>
      <c r="C9324" s="20" t="s">
        <v>9446</v>
      </c>
      <c r="D9324" s="19" t="s">
        <v>31</v>
      </c>
      <c r="E9324" s="21">
        <f t="shared" si="434"/>
        <v>67.609999999999999</v>
      </c>
      <c r="F9324" s="22">
        <v>0.39000000000000001</v>
      </c>
      <c r="G9324" s="21">
        <f t="shared" si="435"/>
        <v>66.840000000000003</v>
      </c>
      <c r="H9324" s="22">
        <v>0.40000000000000002</v>
      </c>
      <c r="I9324" s="23" t="str">
        <f t="shared" si="436"/>
        <v xml:space="preserve">COM VALOR</v>
      </c>
      <c r="J9324" s="19"/>
      <c r="L9324" s="21">
        <v>67.609999999999999</v>
      </c>
      <c r="M9324" s="22">
        <v>0</v>
      </c>
      <c r="N9324" s="21">
        <v>66.840000000000003</v>
      </c>
      <c r="O9324" s="22">
        <v>0</v>
      </c>
    </row>
    <row r="9325" ht="25.5">
      <c r="A9325" t="s">
        <v>9417</v>
      </c>
      <c r="B9325" s="19">
        <v>96988</v>
      </c>
      <c r="C9325" s="20" t="s">
        <v>9447</v>
      </c>
      <c r="D9325" s="19" t="s">
        <v>31</v>
      </c>
      <c r="E9325" s="21">
        <f t="shared" si="434"/>
        <v>185.25999999999999</v>
      </c>
      <c r="F9325" s="22">
        <v>0.39000000000000001</v>
      </c>
      <c r="G9325" s="21">
        <f t="shared" si="435"/>
        <v>184.72999999999999</v>
      </c>
      <c r="H9325" s="22">
        <v>0.39000000000000001</v>
      </c>
      <c r="I9325" s="23" t="str">
        <f t="shared" si="436"/>
        <v xml:space="preserve">COM VALOR</v>
      </c>
      <c r="J9325" s="19"/>
      <c r="L9325" s="21">
        <v>185.25999999999999</v>
      </c>
      <c r="M9325" s="22">
        <v>0</v>
      </c>
      <c r="N9325" s="21">
        <v>184.72999999999999</v>
      </c>
      <c r="O9325" s="22">
        <v>0</v>
      </c>
    </row>
    <row r="9326" ht="12.75">
      <c r="A9326" t="s">
        <v>9417</v>
      </c>
      <c r="B9326" s="19">
        <v>104746</v>
      </c>
      <c r="C9326" s="20" t="s">
        <v>9448</v>
      </c>
      <c r="D9326" s="19" t="s">
        <v>31</v>
      </c>
      <c r="E9326" s="21">
        <f t="shared" si="434"/>
        <v>28.670000000000002</v>
      </c>
      <c r="F9326" s="22">
        <v>0.39000000000000001</v>
      </c>
      <c r="G9326" s="21">
        <f t="shared" si="435"/>
        <v>28.079999999999998</v>
      </c>
      <c r="H9326" s="22">
        <v>0.39000000000000001</v>
      </c>
      <c r="I9326" s="23" t="str">
        <f t="shared" si="436"/>
        <v xml:space="preserve">COM VALOR</v>
      </c>
      <c r="J9326" s="19"/>
      <c r="L9326" s="21">
        <v>28.670000000000002</v>
      </c>
      <c r="M9326" s="22">
        <v>8.9999999999999997e-002</v>
      </c>
      <c r="N9326" s="21">
        <v>28.079999999999998</v>
      </c>
      <c r="O9326" s="22">
        <v>8.9999999999999997e-002</v>
      </c>
    </row>
    <row r="9327" ht="25.5">
      <c r="A9327" t="s">
        <v>9417</v>
      </c>
      <c r="B9327" s="19">
        <v>104747</v>
      </c>
      <c r="C9327" s="20" t="s">
        <v>9449</v>
      </c>
      <c r="D9327" s="19" t="s">
        <v>31</v>
      </c>
      <c r="E9327" s="21" t="str">
        <f t="shared" si="434"/>
        <v>VERIFICAR</v>
      </c>
      <c r="F9327" s="22">
        <v>0.39000000000000001</v>
      </c>
      <c r="G9327" s="21" t="str">
        <f t="shared" si="435"/>
        <v>VERIFICAR</v>
      </c>
      <c r="H9327" s="22">
        <v>0.40000000000000002</v>
      </c>
      <c r="I9327" s="23" t="str">
        <f t="shared" si="436"/>
        <v xml:space="preserve">COM VALOR</v>
      </c>
      <c r="J9327" s="19"/>
      <c r="L9327" s="21">
        <v>0</v>
      </c>
      <c r="M9327" s="22"/>
      <c r="N9327" s="21">
        <v>0</v>
      </c>
      <c r="O9327" s="22"/>
    </row>
    <row r="9328" ht="25.5">
      <c r="A9328" t="s">
        <v>9417</v>
      </c>
      <c r="B9328" s="19">
        <v>96983</v>
      </c>
      <c r="C9328" s="20" t="s">
        <v>9450</v>
      </c>
      <c r="D9328" s="19" t="s">
        <v>31</v>
      </c>
      <c r="E9328" s="21" t="str">
        <f t="shared" si="434"/>
        <v>VERIFICAR</v>
      </c>
      <c r="F9328" s="22">
        <v>0.39000000000000001</v>
      </c>
      <c r="G9328" s="21" t="str">
        <f t="shared" si="435"/>
        <v>VERIFICAR</v>
      </c>
      <c r="H9328" s="22">
        <v>0.39000000000000001</v>
      </c>
      <c r="I9328" s="23" t="str">
        <f t="shared" si="436"/>
        <v xml:space="preserve">COM VALOR</v>
      </c>
      <c r="J9328" s="19"/>
      <c r="L9328" s="21">
        <v>0</v>
      </c>
      <c r="M9328" s="22"/>
      <c r="N9328" s="21">
        <v>0</v>
      </c>
      <c r="O9328" s="22"/>
    </row>
    <row r="9329" ht="38.25">
      <c r="A9329" t="s">
        <v>9417</v>
      </c>
      <c r="B9329" s="19">
        <v>104748</v>
      </c>
      <c r="C9329" s="20" t="s">
        <v>9451</v>
      </c>
      <c r="D9329" s="19" t="s">
        <v>31</v>
      </c>
      <c r="E9329" s="21" t="str">
        <f t="shared" si="434"/>
        <v>VERIFICAR</v>
      </c>
      <c r="F9329" s="22">
        <v>0.39000000000000001</v>
      </c>
      <c r="G9329" s="21" t="str">
        <f t="shared" si="435"/>
        <v>VERIFICAR</v>
      </c>
      <c r="H9329" s="22">
        <v>0.40000000000000002</v>
      </c>
      <c r="I9329" s="23" t="str">
        <f t="shared" si="436"/>
        <v xml:space="preserve">COM VALOR</v>
      </c>
      <c r="J9329" s="19"/>
      <c r="L9329" s="21">
        <v>0</v>
      </c>
      <c r="M9329" s="22"/>
      <c r="N9329" s="21">
        <v>0</v>
      </c>
      <c r="O9329" s="22"/>
    </row>
    <row r="9330" ht="25.5">
      <c r="A9330" t="s">
        <v>9417</v>
      </c>
      <c r="B9330" s="19">
        <v>98463</v>
      </c>
      <c r="C9330" s="20" t="s">
        <v>9452</v>
      </c>
      <c r="D9330" s="19" t="s">
        <v>31</v>
      </c>
      <c r="E9330" s="21">
        <f t="shared" si="434"/>
        <v>27.399999999999999</v>
      </c>
      <c r="F9330" s="22">
        <v>0.38</v>
      </c>
      <c r="G9330" s="21">
        <f t="shared" si="435"/>
        <v>26.43</v>
      </c>
      <c r="H9330" s="22">
        <v>0.39000000000000001</v>
      </c>
      <c r="I9330" s="23" t="str">
        <f t="shared" si="436"/>
        <v xml:space="preserve">COM VALOR</v>
      </c>
      <c r="J9330" s="19"/>
      <c r="L9330" s="21">
        <v>27.399999999999999</v>
      </c>
      <c r="M9330" s="22">
        <v>5.0000000000000003e-002</v>
      </c>
      <c r="N9330" s="21">
        <v>26.43</v>
      </c>
      <c r="O9330" s="22">
        <v>5.0000000000000003e-002</v>
      </c>
    </row>
    <row r="9331" ht="25.5">
      <c r="A9331" t="s">
        <v>9453</v>
      </c>
      <c r="B9331" s="19">
        <v>104827</v>
      </c>
      <c r="C9331" s="20" t="s">
        <v>9454</v>
      </c>
      <c r="D9331" s="19" t="s">
        <v>31</v>
      </c>
      <c r="E9331" s="21" t="str">
        <f t="shared" si="434"/>
        <v>VERIFICAR</v>
      </c>
      <c r="F9331" s="22">
        <v>0.39000000000000001</v>
      </c>
      <c r="G9331" s="21" t="str">
        <f t="shared" si="435"/>
        <v>VERIFICAR</v>
      </c>
      <c r="H9331" s="22">
        <v>0.40000000000000002</v>
      </c>
      <c r="I9331" s="23" t="str">
        <f t="shared" si="436"/>
        <v xml:space="preserve">COM VALOR</v>
      </c>
      <c r="J9331" s="19"/>
      <c r="L9331" s="21">
        <v>0</v>
      </c>
      <c r="M9331" s="22"/>
      <c r="N9331" s="21">
        <v>0</v>
      </c>
      <c r="O9331" s="22"/>
    </row>
    <row r="9332" ht="25.5">
      <c r="A9332" t="s">
        <v>9453</v>
      </c>
      <c r="B9332" s="19">
        <v>104828</v>
      </c>
      <c r="C9332" s="20" t="s">
        <v>9455</v>
      </c>
      <c r="D9332" s="19" t="s">
        <v>31</v>
      </c>
      <c r="E9332" s="21" t="str">
        <f t="shared" si="434"/>
        <v>VERIFICAR</v>
      </c>
      <c r="F9332" s="22">
        <v>0.39000000000000001</v>
      </c>
      <c r="G9332" s="21" t="str">
        <f t="shared" si="435"/>
        <v>VERIFICAR</v>
      </c>
      <c r="H9332" s="22">
        <v>0.39000000000000001</v>
      </c>
      <c r="I9332" s="23" t="str">
        <f t="shared" si="436"/>
        <v xml:space="preserve">COM VALOR</v>
      </c>
      <c r="J9332" s="19"/>
      <c r="L9332" s="21">
        <v>0</v>
      </c>
      <c r="M9332" s="22"/>
      <c r="N9332" s="21">
        <v>0</v>
      </c>
      <c r="O9332" s="22"/>
    </row>
    <row r="9333" ht="63.75">
      <c r="A9333" t="s">
        <v>9453</v>
      </c>
      <c r="B9333" s="19">
        <v>104824</v>
      </c>
      <c r="C9333" s="20" t="s">
        <v>9456</v>
      </c>
      <c r="D9333" s="19" t="s">
        <v>31</v>
      </c>
      <c r="E9333" s="21" t="str">
        <f t="shared" si="434"/>
        <v>VERIFICAR</v>
      </c>
      <c r="F9333" s="22">
        <v>0.13</v>
      </c>
      <c r="G9333" s="21" t="str">
        <f t="shared" si="435"/>
        <v>VERIFICAR</v>
      </c>
      <c r="H9333" s="22">
        <v>0.13</v>
      </c>
      <c r="I9333" s="23" t="str">
        <f t="shared" si="436"/>
        <v xml:space="preserve">COM VALOR</v>
      </c>
      <c r="J9333" s="19"/>
      <c r="L9333" s="21">
        <v>0</v>
      </c>
      <c r="M9333" s="22"/>
      <c r="N9333" s="21">
        <v>0</v>
      </c>
      <c r="O9333" s="22"/>
    </row>
    <row r="9334" ht="51">
      <c r="A9334" t="s">
        <v>9453</v>
      </c>
      <c r="B9334" s="19">
        <v>104826</v>
      </c>
      <c r="C9334" s="20" t="s">
        <v>9457</v>
      </c>
      <c r="D9334" s="19" t="s">
        <v>31</v>
      </c>
      <c r="E9334" s="21" t="str">
        <f t="shared" si="434"/>
        <v>VERIFICAR</v>
      </c>
      <c r="F9334" s="22">
        <v>0.13</v>
      </c>
      <c r="G9334" s="21" t="str">
        <f t="shared" si="435"/>
        <v>VERIFICAR</v>
      </c>
      <c r="H9334" s="22">
        <v>0.13</v>
      </c>
      <c r="I9334" s="23" t="str">
        <f t="shared" si="436"/>
        <v xml:space="preserve">COM VALOR</v>
      </c>
      <c r="J9334" s="19"/>
      <c r="L9334" s="21">
        <v>0</v>
      </c>
      <c r="M9334" s="22"/>
      <c r="N9334" s="21">
        <v>0</v>
      </c>
      <c r="O9334" s="22"/>
    </row>
    <row r="9335" ht="51">
      <c r="A9335" t="s">
        <v>9453</v>
      </c>
      <c r="B9335" s="19">
        <v>104825</v>
      </c>
      <c r="C9335" s="20" t="s">
        <v>9458</v>
      </c>
      <c r="D9335" s="19" t="s">
        <v>31</v>
      </c>
      <c r="E9335" s="21" t="str">
        <f t="shared" si="434"/>
        <v>VERIFICAR</v>
      </c>
      <c r="F9335" s="22">
        <v>0.13</v>
      </c>
      <c r="G9335" s="21" t="str">
        <f t="shared" si="435"/>
        <v>VERIFICAR</v>
      </c>
      <c r="H9335" s="22">
        <v>0.13</v>
      </c>
      <c r="I9335" s="23" t="str">
        <f t="shared" si="436"/>
        <v xml:space="preserve">COM VALOR</v>
      </c>
      <c r="J9335" s="19"/>
      <c r="L9335" s="21">
        <v>0</v>
      </c>
      <c r="M9335" s="22"/>
      <c r="N9335" s="21">
        <v>0</v>
      </c>
      <c r="O9335" s="22"/>
    </row>
    <row r="9336" ht="38.25">
      <c r="A9336" t="s">
        <v>9459</v>
      </c>
      <c r="B9336" s="19">
        <v>104993</v>
      </c>
      <c r="C9336" s="20" t="s">
        <v>9460</v>
      </c>
      <c r="D9336" s="19" t="s">
        <v>31</v>
      </c>
      <c r="E9336" s="21" t="str">
        <f t="shared" si="434"/>
        <v>VERIFICAR</v>
      </c>
      <c r="F9336" s="22">
        <v>0.13</v>
      </c>
      <c r="G9336" s="21" t="str">
        <f t="shared" si="435"/>
        <v>VERIFICAR</v>
      </c>
      <c r="H9336" s="22">
        <v>0.13</v>
      </c>
      <c r="I9336" s="23" t="str">
        <f t="shared" si="436"/>
        <v xml:space="preserve">COM VALOR</v>
      </c>
      <c r="J9336" s="19"/>
      <c r="L9336" s="21">
        <v>0</v>
      </c>
      <c r="M9336" s="22"/>
      <c r="N9336" s="21">
        <v>0</v>
      </c>
      <c r="O9336" s="22"/>
    </row>
    <row r="9337" ht="25.5">
      <c r="A9337" t="s">
        <v>9459</v>
      </c>
      <c r="B9337" s="19">
        <v>104994</v>
      </c>
      <c r="C9337" s="20" t="s">
        <v>9461</v>
      </c>
      <c r="D9337" s="19" t="s">
        <v>31</v>
      </c>
      <c r="E9337" s="21" t="str">
        <f t="shared" si="434"/>
        <v>VERIFICAR</v>
      </c>
      <c r="F9337" s="22">
        <v>0.13</v>
      </c>
      <c r="G9337" s="21" t="str">
        <f t="shared" si="435"/>
        <v>VERIFICAR</v>
      </c>
      <c r="H9337" s="22">
        <v>0.13</v>
      </c>
      <c r="I9337" s="23" t="str">
        <f t="shared" si="436"/>
        <v xml:space="preserve">COM VALOR</v>
      </c>
      <c r="J9337" s="19"/>
      <c r="L9337" s="21">
        <v>0</v>
      </c>
      <c r="M9337" s="22"/>
      <c r="N9337" s="21">
        <v>0</v>
      </c>
      <c r="O9337" s="22"/>
    </row>
    <row r="9338" ht="25.5">
      <c r="A9338" t="s">
        <v>9459</v>
      </c>
      <c r="B9338" s="19">
        <v>104995</v>
      </c>
      <c r="C9338" s="20" t="s">
        <v>9462</v>
      </c>
      <c r="D9338" s="19" t="s">
        <v>31</v>
      </c>
      <c r="E9338" s="21" t="str">
        <f t="shared" si="434"/>
        <v>VERIFICAR</v>
      </c>
      <c r="F9338" s="22">
        <v>0.12</v>
      </c>
      <c r="G9338" s="21" t="str">
        <f t="shared" si="435"/>
        <v>VERIFICAR</v>
      </c>
      <c r="H9338" s="22">
        <v>0.12</v>
      </c>
      <c r="I9338" s="23" t="str">
        <f t="shared" si="436"/>
        <v xml:space="preserve">COM VALOR</v>
      </c>
      <c r="J9338" s="19"/>
      <c r="L9338" s="21">
        <v>0</v>
      </c>
      <c r="M9338" s="22"/>
      <c r="N9338" s="21">
        <v>0</v>
      </c>
      <c r="O9338" s="22"/>
    </row>
    <row r="9339" ht="38.25">
      <c r="A9339" t="s">
        <v>9459</v>
      </c>
      <c r="B9339" s="19">
        <v>104996</v>
      </c>
      <c r="C9339" s="20" t="s">
        <v>9463</v>
      </c>
      <c r="D9339" s="19" t="s">
        <v>31</v>
      </c>
      <c r="E9339" s="21" t="str">
        <f t="shared" si="434"/>
        <v>VERIFICAR</v>
      </c>
      <c r="F9339" s="22">
        <v>0.11</v>
      </c>
      <c r="G9339" s="21" t="str">
        <f t="shared" si="435"/>
        <v>VERIFICAR</v>
      </c>
      <c r="H9339" s="22">
        <v>0.11</v>
      </c>
      <c r="I9339" s="23" t="str">
        <f t="shared" si="436"/>
        <v xml:space="preserve">COM VALOR</v>
      </c>
      <c r="J9339" s="19"/>
      <c r="L9339" s="21">
        <v>0</v>
      </c>
      <c r="M9339" s="22"/>
      <c r="N9339" s="21">
        <v>0</v>
      </c>
      <c r="O9339" s="22"/>
    </row>
    <row r="9340" ht="25.5">
      <c r="A9340" t="s">
        <v>9459</v>
      </c>
      <c r="B9340" s="19">
        <v>95676</v>
      </c>
      <c r="C9340" s="20" t="s">
        <v>9464</v>
      </c>
      <c r="D9340" s="19" t="s">
        <v>31</v>
      </c>
      <c r="E9340" s="21">
        <f t="shared" si="434"/>
        <v>141</v>
      </c>
      <c r="F9340" s="22">
        <v>0.12</v>
      </c>
      <c r="G9340" s="21">
        <f t="shared" si="435"/>
        <v>140.24000000000001</v>
      </c>
      <c r="H9340" s="22">
        <v>0.12</v>
      </c>
      <c r="I9340" s="23" t="str">
        <f t="shared" si="436"/>
        <v xml:space="preserve">COM VALOR</v>
      </c>
      <c r="J9340" s="19"/>
      <c r="L9340" s="21">
        <v>141</v>
      </c>
      <c r="M9340" s="22">
        <v>0</v>
      </c>
      <c r="N9340" s="21">
        <v>140.24000000000001</v>
      </c>
      <c r="O9340" s="22">
        <v>0</v>
      </c>
    </row>
    <row r="9341" ht="38.25">
      <c r="A9341" t="s">
        <v>9459</v>
      </c>
      <c r="B9341" s="19">
        <v>95677</v>
      </c>
      <c r="C9341" s="20" t="s">
        <v>9465</v>
      </c>
      <c r="D9341" s="19" t="s">
        <v>31</v>
      </c>
      <c r="E9341" s="21" t="str">
        <f t="shared" si="434"/>
        <v>VERIFICAR</v>
      </c>
      <c r="F9341" s="22">
        <v>0.12</v>
      </c>
      <c r="G9341" s="21" t="str">
        <f t="shared" si="435"/>
        <v>VERIFICAR</v>
      </c>
      <c r="H9341" s="22">
        <v>0.13</v>
      </c>
      <c r="I9341" s="23" t="str">
        <f t="shared" si="436"/>
        <v xml:space="preserve">COM VALOR</v>
      </c>
      <c r="J9341" s="19"/>
      <c r="L9341" s="21">
        <v>0</v>
      </c>
      <c r="M9341" s="22"/>
      <c r="N9341" s="21">
        <v>0</v>
      </c>
      <c r="O9341" s="22"/>
    </row>
    <row r="9342" ht="25.5">
      <c r="A9342" t="s">
        <v>9459</v>
      </c>
      <c r="B9342" s="19">
        <v>105135</v>
      </c>
      <c r="C9342" s="20" t="s">
        <v>9466</v>
      </c>
      <c r="D9342" s="19" t="s">
        <v>31</v>
      </c>
      <c r="E9342" s="21">
        <f t="shared" si="434"/>
        <v>992.88999999999999</v>
      </c>
      <c r="F9342" s="22">
        <v>0.12</v>
      </c>
      <c r="G9342" s="21">
        <f t="shared" si="435"/>
        <v>990.72000000000003</v>
      </c>
      <c r="H9342" s="22">
        <v>0.12</v>
      </c>
      <c r="I9342" s="23" t="str">
        <f t="shared" si="436"/>
        <v xml:space="preserve">COM VALOR</v>
      </c>
      <c r="J9342" s="19"/>
      <c r="L9342" s="21">
        <v>992.88999999999999</v>
      </c>
      <c r="M9342" s="22">
        <v>0.95999999999999996</v>
      </c>
      <c r="N9342" s="21">
        <v>990.72000000000003</v>
      </c>
      <c r="O9342" s="22">
        <v>0.95999999999999996</v>
      </c>
    </row>
    <row r="9343" ht="12.75">
      <c r="A9343" t="s">
        <v>9459</v>
      </c>
      <c r="B9343" s="19">
        <v>104998</v>
      </c>
      <c r="C9343" s="20" t="s">
        <v>9467</v>
      </c>
      <c r="D9343" s="19" t="s">
        <v>31</v>
      </c>
      <c r="E9343" s="21">
        <f t="shared" si="434"/>
        <v>607.47000000000003</v>
      </c>
      <c r="F9343" s="22">
        <v>0.14000000000000001</v>
      </c>
      <c r="G9343" s="21">
        <f t="shared" si="435"/>
        <v>605.61000000000001</v>
      </c>
      <c r="H9343" s="22">
        <v>0.14000000000000001</v>
      </c>
      <c r="I9343" s="23" t="str">
        <f t="shared" si="436"/>
        <v xml:space="preserve">COM VALOR</v>
      </c>
      <c r="J9343" s="19"/>
      <c r="L9343" s="21">
        <v>607.47000000000003</v>
      </c>
      <c r="M9343" s="22">
        <v>0.94999999999999996</v>
      </c>
      <c r="N9343" s="21">
        <v>605.61000000000001</v>
      </c>
      <c r="O9343" s="22">
        <v>0.94999999999999996</v>
      </c>
    </row>
    <row r="9344" ht="12.75">
      <c r="A9344" t="s">
        <v>9459</v>
      </c>
      <c r="B9344" s="19">
        <v>104997</v>
      </c>
      <c r="C9344" s="20" t="s">
        <v>9468</v>
      </c>
      <c r="D9344" s="19" t="s">
        <v>31</v>
      </c>
      <c r="E9344" s="21">
        <f t="shared" si="434"/>
        <v>453.79000000000002</v>
      </c>
      <c r="F9344" s="22">
        <v>0.14000000000000001</v>
      </c>
      <c r="G9344" s="21">
        <f t="shared" si="435"/>
        <v>451.93000000000001</v>
      </c>
      <c r="H9344" s="22">
        <v>0.14000000000000001</v>
      </c>
      <c r="I9344" s="23" t="str">
        <f t="shared" si="436"/>
        <v xml:space="preserve">COM VALOR</v>
      </c>
      <c r="J9344" s="19"/>
      <c r="L9344" s="21">
        <v>453.79000000000002</v>
      </c>
      <c r="M9344" s="22">
        <v>0.93000000000000005</v>
      </c>
      <c r="N9344" s="21">
        <v>451.93000000000001</v>
      </c>
      <c r="O9344" s="22">
        <v>0.93000000000000005</v>
      </c>
    </row>
    <row r="9345" ht="25.5">
      <c r="A9345" t="s">
        <v>9459</v>
      </c>
      <c r="B9345" s="19">
        <v>95673</v>
      </c>
      <c r="C9345" s="20" t="s">
        <v>9469</v>
      </c>
      <c r="D9345" s="19" t="s">
        <v>31</v>
      </c>
      <c r="E9345" s="21">
        <f t="shared" si="434"/>
        <v>132.09999999999999</v>
      </c>
      <c r="F9345" s="22">
        <v>0.13</v>
      </c>
      <c r="G9345" s="21">
        <f t="shared" si="435"/>
        <v>130.84999999999999</v>
      </c>
      <c r="H9345" s="22">
        <v>0.13</v>
      </c>
      <c r="I9345" s="23" t="str">
        <f t="shared" si="436"/>
        <v xml:space="preserve">COM VALOR</v>
      </c>
      <c r="J9345" s="19"/>
      <c r="L9345" s="21">
        <v>132.09999999999999</v>
      </c>
      <c r="M9345" s="22">
        <v>0.82999999999999996</v>
      </c>
      <c r="N9345" s="21">
        <v>130.84999999999999</v>
      </c>
      <c r="O9345" s="22">
        <v>0.83999999999999997</v>
      </c>
    </row>
    <row r="9346" ht="25.5">
      <c r="A9346" t="s">
        <v>9459</v>
      </c>
      <c r="B9346" s="19">
        <v>95674</v>
      </c>
      <c r="C9346" s="20" t="s">
        <v>9470</v>
      </c>
      <c r="D9346" s="19" t="s">
        <v>31</v>
      </c>
      <c r="E9346" s="21">
        <f t="shared" si="434"/>
        <v>140.18000000000001</v>
      </c>
      <c r="F9346" s="22">
        <v>0.13</v>
      </c>
      <c r="G9346" s="21">
        <f t="shared" si="435"/>
        <v>138.93000000000001</v>
      </c>
      <c r="H9346" s="22">
        <v>0.13</v>
      </c>
      <c r="I9346" s="23" t="str">
        <f t="shared" si="436"/>
        <v xml:space="preserve">COM VALOR</v>
      </c>
      <c r="J9346" s="19"/>
      <c r="L9346" s="21">
        <v>140.18000000000001</v>
      </c>
      <c r="M9346" s="22">
        <v>0.83999999999999997</v>
      </c>
      <c r="N9346" s="21">
        <v>138.93000000000001</v>
      </c>
      <c r="O9346" s="22">
        <v>0.84999999999999998</v>
      </c>
    </row>
    <row r="9347" ht="12.75">
      <c r="A9347" t="s">
        <v>9459</v>
      </c>
      <c r="B9347" s="19">
        <v>104992</v>
      </c>
      <c r="C9347" s="20" t="s">
        <v>9471</v>
      </c>
      <c r="D9347" s="19" t="s">
        <v>31</v>
      </c>
      <c r="E9347" s="21">
        <f t="shared" si="434"/>
        <v>1386.4200000000001</v>
      </c>
      <c r="F9347" s="22">
        <v>0.13</v>
      </c>
      <c r="G9347" s="21">
        <f t="shared" si="435"/>
        <v>1383.96</v>
      </c>
      <c r="H9347" s="22">
        <v>0.13</v>
      </c>
      <c r="I9347" s="23" t="str">
        <f t="shared" si="436"/>
        <v xml:space="preserve">COM VALOR</v>
      </c>
      <c r="J9347" s="19"/>
      <c r="L9347" s="21">
        <v>1386.4200000000001</v>
      </c>
      <c r="M9347" s="22">
        <v>0.96999999999999997</v>
      </c>
      <c r="N9347" s="21">
        <v>1383.96</v>
      </c>
      <c r="O9347" s="22">
        <v>0.96999999999999997</v>
      </c>
    </row>
    <row r="9348" ht="25.5">
      <c r="A9348" t="s">
        <v>9459</v>
      </c>
      <c r="B9348" s="19">
        <v>95675</v>
      </c>
      <c r="C9348" s="20" t="s">
        <v>9472</v>
      </c>
      <c r="D9348" s="19" t="s">
        <v>31</v>
      </c>
      <c r="E9348" s="21">
        <f t="shared" si="434"/>
        <v>172.94999999999999</v>
      </c>
      <c r="F9348" s="22">
        <v>0.13</v>
      </c>
      <c r="G9348" s="21">
        <f t="shared" si="435"/>
        <v>171.41</v>
      </c>
      <c r="H9348" s="22">
        <v>0.13</v>
      </c>
      <c r="I9348" s="23" t="str">
        <f t="shared" si="436"/>
        <v xml:space="preserve">COM VALOR</v>
      </c>
      <c r="J9348" s="19"/>
      <c r="L9348" s="21">
        <v>172.94999999999999</v>
      </c>
      <c r="M9348" s="22">
        <v>0.83999999999999997</v>
      </c>
      <c r="N9348" s="21">
        <v>171.41</v>
      </c>
      <c r="O9348" s="22">
        <v>0.84999999999999998</v>
      </c>
    </row>
    <row r="9349" ht="38.25">
      <c r="A9349" t="s">
        <v>9459</v>
      </c>
      <c r="B9349" s="19">
        <v>95648</v>
      </c>
      <c r="C9349" s="20" t="s">
        <v>9473</v>
      </c>
      <c r="D9349" s="19" t="s">
        <v>31</v>
      </c>
      <c r="E9349" s="21">
        <f t="shared" si="434"/>
        <v>638.76999999999998</v>
      </c>
      <c r="F9349" s="22">
        <v>0.12</v>
      </c>
      <c r="G9349" s="21">
        <f t="shared" si="435"/>
        <v>634.03999999999996</v>
      </c>
      <c r="H9349" s="22">
        <v>0.12</v>
      </c>
      <c r="I9349" s="23" t="str">
        <f t="shared" si="436"/>
        <v xml:space="preserve">COM VALOR</v>
      </c>
      <c r="J9349" s="19"/>
      <c r="L9349" s="21">
        <v>638.76999999999998</v>
      </c>
      <c r="M9349" s="22">
        <v>0</v>
      </c>
      <c r="N9349" s="21">
        <v>634.03999999999996</v>
      </c>
      <c r="O9349" s="22">
        <v>0</v>
      </c>
    </row>
    <row r="9350" ht="38.25">
      <c r="A9350" t="s">
        <v>9459</v>
      </c>
      <c r="B9350" s="19">
        <v>95649</v>
      </c>
      <c r="C9350" s="20" t="s">
        <v>9474</v>
      </c>
      <c r="D9350" s="19" t="s">
        <v>31</v>
      </c>
      <c r="E9350" s="21">
        <f t="shared" si="434"/>
        <v>1099.45</v>
      </c>
      <c r="F9350" s="22">
        <v>0.13</v>
      </c>
      <c r="G9350" s="21">
        <f t="shared" si="435"/>
        <v>1091.1800000000001</v>
      </c>
      <c r="H9350" s="22">
        <v>0.13</v>
      </c>
      <c r="I9350" s="23" t="str">
        <f t="shared" si="436"/>
        <v xml:space="preserve">COM VALOR</v>
      </c>
      <c r="J9350" s="19"/>
      <c r="L9350" s="21">
        <v>1099.45</v>
      </c>
      <c r="M9350" s="22">
        <v>0</v>
      </c>
      <c r="N9350" s="21">
        <v>1091.1800000000001</v>
      </c>
      <c r="O9350" s="22">
        <v>0</v>
      </c>
    </row>
    <row r="9351" ht="38.25">
      <c r="A9351" t="s">
        <v>9459</v>
      </c>
      <c r="B9351" s="19">
        <v>95650</v>
      </c>
      <c r="C9351" s="20" t="s">
        <v>9475</v>
      </c>
      <c r="D9351" s="19" t="s">
        <v>31</v>
      </c>
      <c r="E9351" s="21">
        <f t="shared" si="434"/>
        <v>1604.8699999999999</v>
      </c>
      <c r="F9351" s="22">
        <v>0.13</v>
      </c>
      <c r="G9351" s="21">
        <f t="shared" si="435"/>
        <v>1592.6400000000001</v>
      </c>
      <c r="H9351" s="22">
        <v>0.14000000000000001</v>
      </c>
      <c r="I9351" s="23" t="str">
        <f t="shared" si="436"/>
        <v xml:space="preserve">COM VALOR</v>
      </c>
      <c r="J9351" s="19"/>
      <c r="L9351" s="21">
        <v>1604.8699999999999</v>
      </c>
      <c r="M9351" s="22">
        <v>0</v>
      </c>
      <c r="N9351" s="21">
        <v>1592.6400000000001</v>
      </c>
      <c r="O9351" s="22">
        <v>0</v>
      </c>
    </row>
    <row r="9352" ht="38.25">
      <c r="A9352" t="s">
        <v>9459</v>
      </c>
      <c r="B9352" s="19">
        <v>95651</v>
      </c>
      <c r="C9352" s="20" t="s">
        <v>9476</v>
      </c>
      <c r="D9352" s="19" t="s">
        <v>31</v>
      </c>
      <c r="E9352" s="21">
        <f t="shared" si="434"/>
        <v>2083.77</v>
      </c>
      <c r="F9352" s="22">
        <v>0.13</v>
      </c>
      <c r="G9352" s="21">
        <f t="shared" si="435"/>
        <v>2067.8699999999999</v>
      </c>
      <c r="H9352" s="22">
        <v>0.13</v>
      </c>
      <c r="I9352" s="23" t="str">
        <f t="shared" si="436"/>
        <v xml:space="preserve">COM VALOR</v>
      </c>
      <c r="J9352" s="19"/>
      <c r="L9352" s="21">
        <v>2083.77</v>
      </c>
      <c r="M9352" s="22">
        <v>0</v>
      </c>
      <c r="N9352" s="21">
        <v>2067.8699999999999</v>
      </c>
      <c r="O9352" s="22">
        <v>0</v>
      </c>
    </row>
    <row r="9353" ht="38.25">
      <c r="A9353" t="s">
        <v>9459</v>
      </c>
      <c r="B9353" s="19">
        <v>95652</v>
      </c>
      <c r="C9353" s="20" t="s">
        <v>9477</v>
      </c>
      <c r="D9353" s="19" t="s">
        <v>31</v>
      </c>
      <c r="E9353" s="21">
        <f t="shared" si="434"/>
        <v>789.09000000000003</v>
      </c>
      <c r="F9353" s="22">
        <v>0.44</v>
      </c>
      <c r="G9353" s="21">
        <f t="shared" si="435"/>
        <v>783.80999999999995</v>
      </c>
      <c r="H9353" s="22">
        <v>0.44</v>
      </c>
      <c r="I9353" s="23" t="str">
        <f t="shared" si="436"/>
        <v xml:space="preserve">COM VALOR</v>
      </c>
      <c r="J9353" s="19"/>
      <c r="L9353" s="21">
        <v>789.09000000000003</v>
      </c>
      <c r="M9353" s="22">
        <v>0</v>
      </c>
      <c r="N9353" s="21">
        <v>783.80999999999995</v>
      </c>
      <c r="O9353" s="22">
        <v>0</v>
      </c>
    </row>
    <row r="9354" ht="38.25">
      <c r="A9354" t="s">
        <v>9459</v>
      </c>
      <c r="B9354" s="19">
        <v>95653</v>
      </c>
      <c r="C9354" s="20" t="s">
        <v>9478</v>
      </c>
      <c r="D9354" s="19" t="s">
        <v>31</v>
      </c>
      <c r="E9354" s="21">
        <f t="shared" si="434"/>
        <v>1398.02</v>
      </c>
      <c r="F9354" s="22">
        <v>0.44</v>
      </c>
      <c r="G9354" s="21">
        <f t="shared" si="435"/>
        <v>1388.6600000000001</v>
      </c>
      <c r="H9354" s="22">
        <v>0.44</v>
      </c>
      <c r="I9354" s="23" t="str">
        <f t="shared" si="436"/>
        <v xml:space="preserve">COM VALOR</v>
      </c>
      <c r="J9354" s="19"/>
      <c r="L9354" s="21">
        <v>1398.02</v>
      </c>
      <c r="M9354" s="22">
        <v>0</v>
      </c>
      <c r="N9354" s="21">
        <v>1388.6600000000001</v>
      </c>
      <c r="O9354" s="22">
        <v>0</v>
      </c>
    </row>
    <row r="9355" ht="38.25">
      <c r="A9355" t="s">
        <v>9459</v>
      </c>
      <c r="B9355" s="19">
        <v>95654</v>
      </c>
      <c r="C9355" s="20" t="s">
        <v>9479</v>
      </c>
      <c r="D9355" s="19" t="s">
        <v>31</v>
      </c>
      <c r="E9355" s="21">
        <f t="shared" ref="E9355:E9418" si="437">IF(L9355=0,"VERIFICAR",L9355)</f>
        <v>2057.8499999999999</v>
      </c>
      <c r="F9355" s="22">
        <v>0.42999999999999999</v>
      </c>
      <c r="G9355" s="21">
        <f t="shared" ref="G9355:G9418" si="438">IF(N9355=0,"VERIFICAR",N9355)</f>
        <v>2043.95</v>
      </c>
      <c r="H9355" s="22">
        <v>0.44</v>
      </c>
      <c r="I9355" s="23" t="str">
        <f t="shared" ref="I9355:I9418" si="439">IF(OR(E9355=0,G9355=0),"SEM VALOR","COM VALOR")</f>
        <v xml:space="preserve">COM VALOR</v>
      </c>
      <c r="J9355" s="19"/>
      <c r="L9355" s="21">
        <v>2057.8499999999999</v>
      </c>
      <c r="M9355" s="22">
        <v>0</v>
      </c>
      <c r="N9355" s="21">
        <v>2043.95</v>
      </c>
      <c r="O9355" s="22">
        <v>0</v>
      </c>
    </row>
    <row r="9356" ht="38.25">
      <c r="A9356" t="s">
        <v>9459</v>
      </c>
      <c r="B9356" s="19">
        <v>95655</v>
      </c>
      <c r="C9356" s="20" t="s">
        <v>9480</v>
      </c>
      <c r="D9356" s="19" t="s">
        <v>31</v>
      </c>
      <c r="E9356" s="21">
        <f t="shared" si="437"/>
        <v>2683.6399999999999</v>
      </c>
      <c r="F9356" s="22">
        <v>0.42999999999999999</v>
      </c>
      <c r="G9356" s="21">
        <f t="shared" si="438"/>
        <v>2665.5599999999999</v>
      </c>
      <c r="H9356" s="22">
        <v>0.44</v>
      </c>
      <c r="I9356" s="23" t="str">
        <f t="shared" si="439"/>
        <v xml:space="preserve">COM VALOR</v>
      </c>
      <c r="J9356" s="19"/>
      <c r="L9356" s="21">
        <v>2683.6399999999999</v>
      </c>
      <c r="M9356" s="22">
        <v>0</v>
      </c>
      <c r="N9356" s="21">
        <v>2665.5599999999999</v>
      </c>
      <c r="O9356" s="22">
        <v>0</v>
      </c>
    </row>
    <row r="9357" ht="38.25">
      <c r="A9357" t="s">
        <v>9459</v>
      </c>
      <c r="B9357" s="19">
        <v>95657</v>
      </c>
      <c r="C9357" s="20" t="s">
        <v>9481</v>
      </c>
      <c r="D9357" s="19" t="s">
        <v>31</v>
      </c>
      <c r="E9357" s="21">
        <f t="shared" si="437"/>
        <v>325.44999999999999</v>
      </c>
      <c r="F9357" s="22">
        <v>0.44</v>
      </c>
      <c r="G9357" s="21">
        <f t="shared" si="438"/>
        <v>318.73000000000002</v>
      </c>
      <c r="H9357" s="22">
        <v>0.44</v>
      </c>
      <c r="I9357" s="23" t="str">
        <f t="shared" si="439"/>
        <v xml:space="preserve">COM VALOR</v>
      </c>
      <c r="J9357" s="19"/>
      <c r="L9357" s="21">
        <v>325.44999999999999</v>
      </c>
      <c r="M9357" s="22">
        <v>0.54000000000000004</v>
      </c>
      <c r="N9357" s="21">
        <v>318.73000000000002</v>
      </c>
      <c r="O9357" s="22">
        <v>0.55000000000000004</v>
      </c>
    </row>
    <row r="9358" ht="38.25">
      <c r="A9358" t="s">
        <v>9459</v>
      </c>
      <c r="B9358" s="19">
        <v>95658</v>
      </c>
      <c r="C9358" s="20" t="s">
        <v>9482</v>
      </c>
      <c r="D9358" s="19" t="s">
        <v>31</v>
      </c>
      <c r="E9358" s="21">
        <f t="shared" si="437"/>
        <v>591.66999999999996</v>
      </c>
      <c r="F9358" s="22">
        <v>0.42999999999999999</v>
      </c>
      <c r="G9358" s="21">
        <f t="shared" si="438"/>
        <v>579.85000000000002</v>
      </c>
      <c r="H9358" s="22">
        <v>0.44</v>
      </c>
      <c r="I9358" s="23" t="str">
        <f t="shared" si="439"/>
        <v xml:space="preserve">COM VALOR</v>
      </c>
      <c r="J9358" s="19"/>
      <c r="L9358" s="21">
        <v>591.66999999999996</v>
      </c>
      <c r="M9358" s="22">
        <v>0.55000000000000004</v>
      </c>
      <c r="N9358" s="21">
        <v>579.85000000000002</v>
      </c>
      <c r="O9358" s="22">
        <v>0.56000000000000005</v>
      </c>
    </row>
    <row r="9359" ht="38.25">
      <c r="A9359" t="s">
        <v>9459</v>
      </c>
      <c r="B9359" s="19">
        <v>95659</v>
      </c>
      <c r="C9359" s="20" t="s">
        <v>9483</v>
      </c>
      <c r="D9359" s="19" t="s">
        <v>31</v>
      </c>
      <c r="E9359" s="21">
        <f t="shared" si="437"/>
        <v>880.55999999999995</v>
      </c>
      <c r="F9359" s="22">
        <v>0.44</v>
      </c>
      <c r="G9359" s="21">
        <f t="shared" si="438"/>
        <v>863.08000000000004</v>
      </c>
      <c r="H9359" s="22">
        <v>0.44</v>
      </c>
      <c r="I9359" s="23" t="str">
        <f t="shared" si="439"/>
        <v xml:space="preserve">COM VALOR</v>
      </c>
      <c r="J9359" s="19"/>
      <c r="L9359" s="21">
        <v>880.55999999999995</v>
      </c>
      <c r="M9359" s="22">
        <v>0.55000000000000004</v>
      </c>
      <c r="N9359" s="21">
        <v>863.08000000000004</v>
      </c>
      <c r="O9359" s="22">
        <v>0.56000000000000005</v>
      </c>
    </row>
    <row r="9360" ht="38.25">
      <c r="A9360" t="s">
        <v>9459</v>
      </c>
      <c r="B9360" s="19">
        <v>95660</v>
      </c>
      <c r="C9360" s="20" t="s">
        <v>9484</v>
      </c>
      <c r="D9360" s="19" t="s">
        <v>31</v>
      </c>
      <c r="E9360" s="21">
        <f t="shared" si="437"/>
        <v>1153.9300000000001</v>
      </c>
      <c r="F9360" s="22">
        <v>0.42999999999999999</v>
      </c>
      <c r="G9360" s="21">
        <f t="shared" si="438"/>
        <v>1131.1900000000001</v>
      </c>
      <c r="H9360" s="22">
        <v>0.42999999999999999</v>
      </c>
      <c r="I9360" s="23" t="str">
        <f t="shared" si="439"/>
        <v xml:space="preserve">COM VALOR</v>
      </c>
      <c r="J9360" s="19"/>
      <c r="L9360" s="21">
        <v>1153.9300000000001</v>
      </c>
      <c r="M9360" s="22">
        <v>0.55000000000000004</v>
      </c>
      <c r="N9360" s="21">
        <v>1131.1900000000001</v>
      </c>
      <c r="O9360" s="22">
        <v>0.56000000000000005</v>
      </c>
    </row>
    <row r="9361" ht="38.25">
      <c r="A9361" t="s">
        <v>9459</v>
      </c>
      <c r="B9361" s="19">
        <v>95661</v>
      </c>
      <c r="C9361" s="20" t="s">
        <v>9485</v>
      </c>
      <c r="D9361" s="19" t="s">
        <v>31</v>
      </c>
      <c r="E9361" s="21">
        <f t="shared" si="437"/>
        <v>402.20999999999998</v>
      </c>
      <c r="F9361" s="22">
        <v>0.44</v>
      </c>
      <c r="G9361" s="21">
        <f t="shared" si="438"/>
        <v>394.70999999999998</v>
      </c>
      <c r="H9361" s="22">
        <v>0.44</v>
      </c>
      <c r="I9361" s="23" t="str">
        <f t="shared" si="439"/>
        <v xml:space="preserve">COM VALOR</v>
      </c>
      <c r="J9361" s="19"/>
      <c r="L9361" s="21">
        <v>402.20999999999998</v>
      </c>
      <c r="M9361" s="22">
        <v>0.55000000000000004</v>
      </c>
      <c r="N9361" s="21">
        <v>394.70999999999998</v>
      </c>
      <c r="O9361" s="22">
        <v>0.56000000000000005</v>
      </c>
    </row>
    <row r="9362" ht="38.25">
      <c r="A9362" t="s">
        <v>9459</v>
      </c>
      <c r="B9362" s="19">
        <v>95662</v>
      </c>
      <c r="C9362" s="20" t="s">
        <v>9486</v>
      </c>
      <c r="D9362" s="19" t="s">
        <v>31</v>
      </c>
      <c r="E9362" s="21">
        <f t="shared" si="437"/>
        <v>743.61000000000001</v>
      </c>
      <c r="F9362" s="22">
        <v>0.42999999999999999</v>
      </c>
      <c r="G9362" s="21">
        <f t="shared" si="438"/>
        <v>730.25</v>
      </c>
      <c r="H9362" s="22">
        <v>0.44</v>
      </c>
      <c r="I9362" s="23" t="str">
        <f t="shared" si="439"/>
        <v xml:space="preserve">COM VALOR</v>
      </c>
      <c r="J9362" s="19"/>
      <c r="L9362" s="21">
        <v>743.61000000000001</v>
      </c>
      <c r="M9362" s="22">
        <v>0.56000000000000005</v>
      </c>
      <c r="N9362" s="21">
        <v>730.25</v>
      </c>
      <c r="O9362" s="22">
        <v>0.56999999999999995</v>
      </c>
    </row>
    <row r="9363" ht="38.25">
      <c r="A9363" t="s">
        <v>9459</v>
      </c>
      <c r="B9363" s="19">
        <v>95663</v>
      </c>
      <c r="C9363" s="20" t="s">
        <v>9487</v>
      </c>
      <c r="D9363" s="19" t="s">
        <v>31</v>
      </c>
      <c r="E9363" s="21">
        <f t="shared" si="437"/>
        <v>1112.3399999999999</v>
      </c>
      <c r="F9363" s="22">
        <v>0.35999999999999999</v>
      </c>
      <c r="G9363" s="21">
        <f t="shared" si="438"/>
        <v>1092.51</v>
      </c>
      <c r="H9363" s="22">
        <v>0.35999999999999999</v>
      </c>
      <c r="I9363" s="23" t="str">
        <f t="shared" si="439"/>
        <v xml:space="preserve">COM VALOR</v>
      </c>
      <c r="J9363" s="19"/>
      <c r="L9363" s="21">
        <v>1112.3399999999999</v>
      </c>
      <c r="M9363" s="22">
        <v>0.56000000000000005</v>
      </c>
      <c r="N9363" s="21">
        <v>1092.51</v>
      </c>
      <c r="O9363" s="22">
        <v>0.56999999999999995</v>
      </c>
    </row>
    <row r="9364" ht="38.25">
      <c r="A9364" t="s">
        <v>9459</v>
      </c>
      <c r="B9364" s="19">
        <v>95664</v>
      </c>
      <c r="C9364" s="20" t="s">
        <v>9488</v>
      </c>
      <c r="D9364" s="19" t="s">
        <v>31</v>
      </c>
      <c r="E9364" s="21">
        <f t="shared" si="437"/>
        <v>1459.8599999999999</v>
      </c>
      <c r="F9364" s="22">
        <v>0.34999999999999998</v>
      </c>
      <c r="G9364" s="21">
        <f t="shared" si="438"/>
        <v>1434.03</v>
      </c>
      <c r="H9364" s="22">
        <v>0.35999999999999999</v>
      </c>
      <c r="I9364" s="23" t="str">
        <f t="shared" si="439"/>
        <v xml:space="preserve">COM VALOR</v>
      </c>
      <c r="J9364" s="19"/>
      <c r="L9364" s="21">
        <v>1459.8599999999999</v>
      </c>
      <c r="M9364" s="22">
        <v>0.56000000000000005</v>
      </c>
      <c r="N9364" s="21">
        <v>1434.03</v>
      </c>
      <c r="O9364" s="22">
        <v>0.56999999999999995</v>
      </c>
    </row>
    <row r="9365" ht="38.25">
      <c r="A9365" t="s">
        <v>9459</v>
      </c>
      <c r="B9365" s="19">
        <v>95665</v>
      </c>
      <c r="C9365" s="20" t="s">
        <v>9489</v>
      </c>
      <c r="D9365" s="19" t="s">
        <v>31</v>
      </c>
      <c r="E9365" s="21">
        <f t="shared" si="437"/>
        <v>362.04000000000002</v>
      </c>
      <c r="F9365" s="22">
        <v>0.35999999999999999</v>
      </c>
      <c r="G9365" s="21">
        <f t="shared" si="438"/>
        <v>354.82999999999998</v>
      </c>
      <c r="H9365" s="22">
        <v>0.35999999999999999</v>
      </c>
      <c r="I9365" s="23" t="str">
        <f t="shared" si="439"/>
        <v xml:space="preserve">COM VALOR</v>
      </c>
      <c r="J9365" s="19"/>
      <c r="L9365" s="21">
        <v>362.04000000000002</v>
      </c>
      <c r="M9365" s="22">
        <v>0.56000000000000005</v>
      </c>
      <c r="N9365" s="21">
        <v>354.82999999999998</v>
      </c>
      <c r="O9365" s="22">
        <v>0.57999999999999996</v>
      </c>
    </row>
    <row r="9366" ht="38.25">
      <c r="A9366" t="s">
        <v>9459</v>
      </c>
      <c r="B9366" s="19">
        <v>95666</v>
      </c>
      <c r="C9366" s="20" t="s">
        <v>9490</v>
      </c>
      <c r="D9366" s="19" t="s">
        <v>31</v>
      </c>
      <c r="E9366" s="21">
        <f t="shared" si="437"/>
        <v>638.71000000000004</v>
      </c>
      <c r="F9366" s="22">
        <v>0.34999999999999998</v>
      </c>
      <c r="G9366" s="21">
        <f t="shared" si="438"/>
        <v>626.11000000000001</v>
      </c>
      <c r="H9366" s="22">
        <v>0.35999999999999999</v>
      </c>
      <c r="I9366" s="23" t="str">
        <f t="shared" si="439"/>
        <v xml:space="preserve">COM VALOR</v>
      </c>
      <c r="J9366" s="19"/>
      <c r="L9366" s="21">
        <v>638.71000000000004</v>
      </c>
      <c r="M9366" s="22">
        <v>0.56000000000000005</v>
      </c>
      <c r="N9366" s="21">
        <v>626.11000000000001</v>
      </c>
      <c r="O9366" s="22">
        <v>0.56999999999999995</v>
      </c>
    </row>
    <row r="9367" ht="38.25">
      <c r="A9367" t="s">
        <v>9459</v>
      </c>
      <c r="B9367" s="19">
        <v>95667</v>
      </c>
      <c r="C9367" s="20" t="s">
        <v>9491</v>
      </c>
      <c r="D9367" s="19" t="s">
        <v>31</v>
      </c>
      <c r="E9367" s="21">
        <f t="shared" si="437"/>
        <v>945.49000000000001</v>
      </c>
      <c r="F9367" s="22">
        <v>0.35999999999999999</v>
      </c>
      <c r="G9367" s="21">
        <f t="shared" si="438"/>
        <v>926.85000000000002</v>
      </c>
      <c r="H9367" s="22">
        <v>0.35999999999999999</v>
      </c>
      <c r="I9367" s="23" t="str">
        <f t="shared" si="439"/>
        <v xml:space="preserve">COM VALOR</v>
      </c>
      <c r="J9367" s="19"/>
      <c r="L9367" s="21">
        <v>945.49000000000001</v>
      </c>
      <c r="M9367" s="22">
        <v>0.56000000000000005</v>
      </c>
      <c r="N9367" s="21">
        <v>926.85000000000002</v>
      </c>
      <c r="O9367" s="22">
        <v>0.5675</v>
      </c>
    </row>
    <row r="9368" ht="38.25">
      <c r="A9368" t="s">
        <v>9459</v>
      </c>
      <c r="B9368" s="19">
        <v>95668</v>
      </c>
      <c r="C9368" s="20" t="s">
        <v>9492</v>
      </c>
      <c r="D9368" s="19" t="s">
        <v>31</v>
      </c>
      <c r="E9368" s="21">
        <f t="shared" si="437"/>
        <v>1234.5899999999999</v>
      </c>
      <c r="F9368" s="22">
        <v>0.34999999999999998</v>
      </c>
      <c r="G9368" s="21">
        <f t="shared" si="438"/>
        <v>1210.3800000000001</v>
      </c>
      <c r="H9368" s="22">
        <v>0.34999999999999998</v>
      </c>
      <c r="I9368" s="23" t="str">
        <f t="shared" si="439"/>
        <v xml:space="preserve">COM VALOR</v>
      </c>
      <c r="J9368" s="19"/>
      <c r="L9368" s="21">
        <v>1234.5899999999999</v>
      </c>
      <c r="M9368" s="22">
        <v>0.56000000000000005</v>
      </c>
      <c r="N9368" s="21">
        <v>1210.3800000000001</v>
      </c>
      <c r="O9368" s="22">
        <v>0.56999999999999995</v>
      </c>
    </row>
    <row r="9369" ht="38.25">
      <c r="A9369" t="s">
        <v>9459</v>
      </c>
      <c r="B9369" s="19">
        <v>95669</v>
      </c>
      <c r="C9369" s="20" t="s">
        <v>9493</v>
      </c>
      <c r="D9369" s="19" t="s">
        <v>31</v>
      </c>
      <c r="E9369" s="21">
        <f t="shared" si="437"/>
        <v>434.20999999999998</v>
      </c>
      <c r="F9369" s="22">
        <v>0.34000000000000002</v>
      </c>
      <c r="G9369" s="21">
        <f t="shared" si="438"/>
        <v>426.16000000000003</v>
      </c>
      <c r="H9369" s="22">
        <v>0.34999999999999998</v>
      </c>
      <c r="I9369" s="23" t="str">
        <f t="shared" si="439"/>
        <v xml:space="preserve">COM VALOR</v>
      </c>
      <c r="J9369" s="19"/>
      <c r="L9369" s="21">
        <v>434.20999999999998</v>
      </c>
      <c r="M9369" s="22">
        <v>0.56000000000000005</v>
      </c>
      <c r="N9369" s="21">
        <v>426.16000000000003</v>
      </c>
      <c r="O9369" s="22">
        <v>0.56999999999999995</v>
      </c>
    </row>
    <row r="9370" ht="38.25">
      <c r="A9370" t="s">
        <v>9459</v>
      </c>
      <c r="B9370" s="19">
        <v>95670</v>
      </c>
      <c r="C9370" s="20" t="s">
        <v>9494</v>
      </c>
      <c r="D9370" s="19" t="s">
        <v>31</v>
      </c>
      <c r="E9370" s="21">
        <f t="shared" si="437"/>
        <v>781.73000000000002</v>
      </c>
      <c r="F9370" s="22">
        <v>0.34000000000000002</v>
      </c>
      <c r="G9370" s="21">
        <f t="shared" si="438"/>
        <v>767.48000000000002</v>
      </c>
      <c r="H9370" s="22">
        <v>0.34999999999999998</v>
      </c>
      <c r="I9370" s="23" t="str">
        <f t="shared" si="439"/>
        <v xml:space="preserve">COM VALOR</v>
      </c>
      <c r="J9370" s="19"/>
      <c r="L9370" s="21">
        <v>781.73000000000002</v>
      </c>
      <c r="M9370" s="22">
        <v>0.56000000000000005</v>
      </c>
      <c r="N9370" s="21">
        <v>767.48000000000002</v>
      </c>
      <c r="O9370" s="22">
        <v>0.56999999999999995</v>
      </c>
    </row>
    <row r="9371" ht="38.25">
      <c r="A9371" t="s">
        <v>9459</v>
      </c>
      <c r="B9371" s="19">
        <v>95671</v>
      </c>
      <c r="C9371" s="20" t="s">
        <v>9495</v>
      </c>
      <c r="D9371" s="19" t="s">
        <v>31</v>
      </c>
      <c r="E9371" s="21">
        <f t="shared" si="437"/>
        <v>1163.28</v>
      </c>
      <c r="F9371" s="22">
        <v>0.34000000000000002</v>
      </c>
      <c r="G9371" s="21">
        <f t="shared" si="438"/>
        <v>1142.1099999999999</v>
      </c>
      <c r="H9371" s="22">
        <v>0.34000000000000002</v>
      </c>
      <c r="I9371" s="23" t="str">
        <f t="shared" si="439"/>
        <v xml:space="preserve">COM VALOR</v>
      </c>
      <c r="J9371" s="19"/>
      <c r="L9371" s="21">
        <v>1163.28</v>
      </c>
      <c r="M9371" s="22">
        <v>0.5575</v>
      </c>
      <c r="N9371" s="21">
        <v>1142.1099999999999</v>
      </c>
      <c r="O9371" s="22">
        <v>0.56999999999999995</v>
      </c>
    </row>
    <row r="9372" ht="38.25">
      <c r="A9372" t="s">
        <v>9459</v>
      </c>
      <c r="B9372" s="19">
        <v>95672</v>
      </c>
      <c r="C9372" s="20" t="s">
        <v>9496</v>
      </c>
      <c r="D9372" s="19" t="s">
        <v>31</v>
      </c>
      <c r="E9372" s="21">
        <f t="shared" si="437"/>
        <v>1522.3800000000001</v>
      </c>
      <c r="F9372" s="22">
        <v>0.34000000000000002</v>
      </c>
      <c r="G9372" s="21">
        <f t="shared" si="438"/>
        <v>1494.8299999999999</v>
      </c>
      <c r="H9372" s="22">
        <v>0.34999999999999998</v>
      </c>
      <c r="I9372" s="23" t="str">
        <f t="shared" si="439"/>
        <v xml:space="preserve">COM VALOR</v>
      </c>
      <c r="J9372" s="19"/>
      <c r="L9372" s="21">
        <v>1522.3800000000001</v>
      </c>
      <c r="M9372" s="22">
        <v>0.56000000000000005</v>
      </c>
      <c r="N9372" s="21">
        <v>1494.8299999999999</v>
      </c>
      <c r="O9372" s="22">
        <v>0.56999999999999995</v>
      </c>
    </row>
    <row r="9373" ht="38.25">
      <c r="A9373" t="s">
        <v>9459</v>
      </c>
      <c r="B9373" s="19">
        <v>97741</v>
      </c>
      <c r="C9373" s="20" t="s">
        <v>9497</v>
      </c>
      <c r="D9373" s="19" t="s">
        <v>31</v>
      </c>
      <c r="E9373" s="21">
        <f t="shared" si="437"/>
        <v>166.87</v>
      </c>
      <c r="F9373" s="22">
        <v>0.33000000000000002</v>
      </c>
      <c r="G9373" s="21">
        <f t="shared" si="438"/>
        <v>162.47999999999999</v>
      </c>
      <c r="H9373" s="22">
        <v>0.34000000000000002</v>
      </c>
      <c r="I9373" s="23" t="str">
        <f t="shared" si="439"/>
        <v xml:space="preserve">COM VALOR</v>
      </c>
      <c r="J9373" s="19"/>
      <c r="L9373" s="21">
        <v>166.87</v>
      </c>
      <c r="M9373" s="22">
        <v>0</v>
      </c>
      <c r="N9373" s="21">
        <v>162.47999999999999</v>
      </c>
      <c r="O9373" s="22">
        <v>0</v>
      </c>
    </row>
    <row r="9374" ht="38.25">
      <c r="A9374" t="s">
        <v>9459</v>
      </c>
      <c r="B9374" s="19">
        <v>95641</v>
      </c>
      <c r="C9374" s="20" t="s">
        <v>9498</v>
      </c>
      <c r="D9374" s="19" t="s">
        <v>31</v>
      </c>
      <c r="E9374" s="21">
        <f t="shared" si="437"/>
        <v>296.35000000000002</v>
      </c>
      <c r="F9374" s="22">
        <v>0.33000000000000002</v>
      </c>
      <c r="G9374" s="21">
        <f t="shared" si="438"/>
        <v>288.67000000000002</v>
      </c>
      <c r="H9374" s="22">
        <v>0.33000000000000002</v>
      </c>
      <c r="I9374" s="23" t="str">
        <f t="shared" si="439"/>
        <v xml:space="preserve">COM VALOR</v>
      </c>
      <c r="J9374" s="19"/>
      <c r="L9374" s="21">
        <v>296.35000000000002</v>
      </c>
      <c r="M9374" s="22">
        <v>0</v>
      </c>
      <c r="N9374" s="21">
        <v>288.67000000000002</v>
      </c>
      <c r="O9374" s="22">
        <v>0</v>
      </c>
    </row>
    <row r="9375" ht="38.25">
      <c r="A9375" t="s">
        <v>9459</v>
      </c>
      <c r="B9375" s="19">
        <v>95642</v>
      </c>
      <c r="C9375" s="20" t="s">
        <v>9499</v>
      </c>
      <c r="D9375" s="19" t="s">
        <v>31</v>
      </c>
      <c r="E9375" s="21">
        <f t="shared" si="437"/>
        <v>438.14999999999998</v>
      </c>
      <c r="F9375" s="22">
        <v>0.33000000000000002</v>
      </c>
      <c r="G9375" s="21">
        <f t="shared" si="438"/>
        <v>426.77999999999997</v>
      </c>
      <c r="H9375" s="22">
        <v>0.34000000000000002</v>
      </c>
      <c r="I9375" s="23" t="str">
        <f t="shared" si="439"/>
        <v xml:space="preserve">COM VALOR</v>
      </c>
      <c r="J9375" s="19"/>
      <c r="L9375" s="21">
        <v>438.14999999999998</v>
      </c>
      <c r="M9375" s="22">
        <v>0</v>
      </c>
      <c r="N9375" s="21">
        <v>426.77999999999997</v>
      </c>
      <c r="O9375" s="22">
        <v>0</v>
      </c>
    </row>
    <row r="9376" ht="38.25">
      <c r="A9376" t="s">
        <v>9459</v>
      </c>
      <c r="B9376" s="19">
        <v>95643</v>
      </c>
      <c r="C9376" s="20" t="s">
        <v>9500</v>
      </c>
      <c r="D9376" s="19" t="s">
        <v>31</v>
      </c>
      <c r="E9376" s="21">
        <f t="shared" si="437"/>
        <v>572.63</v>
      </c>
      <c r="F9376" s="22">
        <v>0.33000000000000002</v>
      </c>
      <c r="G9376" s="21">
        <f t="shared" si="438"/>
        <v>557.85000000000002</v>
      </c>
      <c r="H9376" s="22">
        <v>0.33000000000000002</v>
      </c>
      <c r="I9376" s="23" t="str">
        <f t="shared" si="439"/>
        <v xml:space="preserve">COM VALOR</v>
      </c>
      <c r="J9376" s="19"/>
      <c r="L9376" s="21">
        <v>572.63</v>
      </c>
      <c r="M9376" s="22">
        <v>0</v>
      </c>
      <c r="N9376" s="21">
        <v>557.85000000000002</v>
      </c>
      <c r="O9376" s="22">
        <v>0</v>
      </c>
    </row>
    <row r="9377" ht="38.25">
      <c r="A9377" t="s">
        <v>9459</v>
      </c>
      <c r="B9377" s="19">
        <v>95644</v>
      </c>
      <c r="C9377" s="20" t="s">
        <v>9501</v>
      </c>
      <c r="D9377" s="19" t="s">
        <v>31</v>
      </c>
      <c r="E9377" s="21">
        <f t="shared" si="437"/>
        <v>216.53</v>
      </c>
      <c r="F9377" s="22">
        <v>0.33000000000000002</v>
      </c>
      <c r="G9377" s="21">
        <f t="shared" si="438"/>
        <v>211.62</v>
      </c>
      <c r="H9377" s="22">
        <v>0.34000000000000002</v>
      </c>
      <c r="I9377" s="23" t="str">
        <f t="shared" si="439"/>
        <v xml:space="preserve">COM VALOR</v>
      </c>
      <c r="J9377" s="19"/>
      <c r="L9377" s="21">
        <v>216.53</v>
      </c>
      <c r="M9377" s="22">
        <v>0</v>
      </c>
      <c r="N9377" s="21">
        <v>211.62</v>
      </c>
      <c r="O9377" s="22">
        <v>0</v>
      </c>
    </row>
    <row r="9378" ht="38.25">
      <c r="A9378" t="s">
        <v>9459</v>
      </c>
      <c r="B9378" s="19">
        <v>95645</v>
      </c>
      <c r="C9378" s="20" t="s">
        <v>9502</v>
      </c>
      <c r="D9378" s="19" t="s">
        <v>31</v>
      </c>
      <c r="E9378" s="21">
        <f t="shared" si="437"/>
        <v>394.61000000000001</v>
      </c>
      <c r="F9378" s="22">
        <v>0.29999999999999999</v>
      </c>
      <c r="G9378" s="21">
        <f t="shared" si="438"/>
        <v>385.91000000000003</v>
      </c>
      <c r="H9378" s="22">
        <v>0.29999999999999999</v>
      </c>
      <c r="I9378" s="23" t="str">
        <f t="shared" si="439"/>
        <v xml:space="preserve">COM VALOR</v>
      </c>
      <c r="J9378" s="19"/>
      <c r="L9378" s="21">
        <v>394.61000000000001</v>
      </c>
      <c r="M9378" s="22">
        <v>0</v>
      </c>
      <c r="N9378" s="21">
        <v>385.91000000000003</v>
      </c>
      <c r="O9378" s="22">
        <v>0</v>
      </c>
    </row>
    <row r="9379" ht="38.25">
      <c r="A9379" t="s">
        <v>9459</v>
      </c>
      <c r="B9379" s="19">
        <v>95646</v>
      </c>
      <c r="C9379" s="20" t="s">
        <v>9503</v>
      </c>
      <c r="D9379" s="19" t="s">
        <v>31</v>
      </c>
      <c r="E9379" s="21">
        <f t="shared" si="437"/>
        <v>588.13999999999999</v>
      </c>
      <c r="F9379" s="22">
        <v>0.29999999999999999</v>
      </c>
      <c r="G9379" s="21">
        <f t="shared" si="438"/>
        <v>575.23000000000002</v>
      </c>
      <c r="H9379" s="22">
        <v>0.29999999999999999</v>
      </c>
      <c r="I9379" s="23" t="str">
        <f t="shared" si="439"/>
        <v xml:space="preserve">COM VALOR</v>
      </c>
      <c r="J9379" s="19"/>
      <c r="L9379" s="21">
        <v>588.13999999999999</v>
      </c>
      <c r="M9379" s="22">
        <v>0</v>
      </c>
      <c r="N9379" s="21">
        <v>575.23000000000002</v>
      </c>
      <c r="O9379" s="22">
        <v>0</v>
      </c>
    </row>
    <row r="9380" ht="38.25">
      <c r="A9380" t="s">
        <v>9459</v>
      </c>
      <c r="B9380" s="19">
        <v>95647</v>
      </c>
      <c r="C9380" s="20" t="s">
        <v>9504</v>
      </c>
      <c r="D9380" s="19" t="s">
        <v>31</v>
      </c>
      <c r="E9380" s="21">
        <f t="shared" si="437"/>
        <v>770.51999999999998</v>
      </c>
      <c r="F9380" s="22">
        <v>0.29999999999999999</v>
      </c>
      <c r="G9380" s="21">
        <f t="shared" si="438"/>
        <v>753.70000000000005</v>
      </c>
      <c r="H9380" s="22">
        <v>0.29999999999999999</v>
      </c>
      <c r="I9380" s="23" t="str">
        <f t="shared" si="439"/>
        <v xml:space="preserve">COM VALOR</v>
      </c>
      <c r="J9380" s="19"/>
      <c r="L9380" s="21">
        <v>770.51999999999998</v>
      </c>
      <c r="M9380" s="22">
        <v>0</v>
      </c>
      <c r="N9380" s="21">
        <v>753.70000000000005</v>
      </c>
      <c r="O9380" s="22">
        <v>0</v>
      </c>
    </row>
    <row r="9381" ht="38.25">
      <c r="A9381" t="s">
        <v>9459</v>
      </c>
      <c r="B9381" s="19">
        <v>95636</v>
      </c>
      <c r="C9381" s="20" t="s">
        <v>9505</v>
      </c>
      <c r="D9381" s="19" t="s">
        <v>31</v>
      </c>
      <c r="E9381" s="21">
        <f t="shared" si="437"/>
        <v>397.91000000000003</v>
      </c>
      <c r="F9381" s="22">
        <v>0.28999999999999998</v>
      </c>
      <c r="G9381" s="21">
        <f t="shared" si="438"/>
        <v>387.68000000000001</v>
      </c>
      <c r="H9381" s="22">
        <v>0.28999999999999998</v>
      </c>
      <c r="I9381" s="23" t="str">
        <f t="shared" si="439"/>
        <v xml:space="preserve">COM VALOR</v>
      </c>
      <c r="J9381" s="19"/>
      <c r="L9381" s="21">
        <v>397.91000000000003</v>
      </c>
      <c r="M9381" s="22">
        <v>0.10000000000000001</v>
      </c>
      <c r="N9381" s="21">
        <v>387.68000000000001</v>
      </c>
      <c r="O9381" s="22">
        <v>0.10000000000000001</v>
      </c>
    </row>
    <row r="9382" ht="38.25">
      <c r="A9382" t="s">
        <v>9459</v>
      </c>
      <c r="B9382" s="19">
        <v>95637</v>
      </c>
      <c r="C9382" s="20" t="s">
        <v>9506</v>
      </c>
      <c r="D9382" s="19" t="s">
        <v>31</v>
      </c>
      <c r="E9382" s="21">
        <f t="shared" si="437"/>
        <v>530.00999999999999</v>
      </c>
      <c r="F9382" s="22">
        <v>0.29999999999999999</v>
      </c>
      <c r="G9382" s="21">
        <f t="shared" si="438"/>
        <v>517.82000000000005</v>
      </c>
      <c r="H9382" s="22">
        <v>0.29999999999999999</v>
      </c>
      <c r="I9382" s="23" t="str">
        <f t="shared" si="439"/>
        <v xml:space="preserve">COM VALOR</v>
      </c>
      <c r="J9382" s="19"/>
      <c r="L9382" s="21">
        <v>530.00999999999999</v>
      </c>
      <c r="M9382" s="22">
        <v>0.10000000000000001</v>
      </c>
      <c r="N9382" s="21">
        <v>517.82000000000005</v>
      </c>
      <c r="O9382" s="22">
        <v>9.7500000000000003e-002</v>
      </c>
    </row>
    <row r="9383" ht="38.25">
      <c r="A9383" t="s">
        <v>9459</v>
      </c>
      <c r="B9383" s="19">
        <v>95638</v>
      </c>
      <c r="C9383" s="20" t="s">
        <v>9507</v>
      </c>
      <c r="D9383" s="19" t="s">
        <v>31</v>
      </c>
      <c r="E9383" s="21">
        <f t="shared" si="437"/>
        <v>655.79999999999995</v>
      </c>
      <c r="F9383" s="22">
        <v>2.9999999999999999e-002</v>
      </c>
      <c r="G9383" s="21">
        <f t="shared" si="438"/>
        <v>641.36000000000001</v>
      </c>
      <c r="H9383" s="22">
        <v>2.9999999999999999e-002</v>
      </c>
      <c r="I9383" s="23" t="str">
        <f t="shared" si="439"/>
        <v xml:space="preserve">COM VALOR</v>
      </c>
      <c r="J9383" s="19"/>
      <c r="L9383" s="21">
        <v>655.79999999999995</v>
      </c>
      <c r="M9383" s="22">
        <v>8.9999999999999997e-002</v>
      </c>
      <c r="N9383" s="21">
        <v>641.36000000000001</v>
      </c>
      <c r="O9383" s="22">
        <v>8.9999999999999997e-002</v>
      </c>
    </row>
    <row r="9384" ht="38.25">
      <c r="A9384" t="s">
        <v>9459</v>
      </c>
      <c r="B9384" s="19">
        <v>95639</v>
      </c>
      <c r="C9384" s="20" t="s">
        <v>9508</v>
      </c>
      <c r="D9384" s="19" t="s">
        <v>31</v>
      </c>
      <c r="E9384" s="21">
        <f t="shared" si="437"/>
        <v>904.29999999999995</v>
      </c>
      <c r="F9384" s="22">
        <v>2.9999999999999999e-002</v>
      </c>
      <c r="G9384" s="21">
        <f t="shared" si="438"/>
        <v>887.05999999999995</v>
      </c>
      <c r="H9384" s="22">
        <v>2.9999999999999999e-002</v>
      </c>
      <c r="I9384" s="23" t="str">
        <f t="shared" si="439"/>
        <v xml:space="preserve">COM VALOR</v>
      </c>
      <c r="J9384" s="19"/>
      <c r="L9384" s="21">
        <v>904.29999999999995</v>
      </c>
      <c r="M9384" s="22">
        <v>8.9999999999999997e-002</v>
      </c>
      <c r="N9384" s="21">
        <v>887.05999999999995</v>
      </c>
      <c r="O9384" s="22">
        <v>0.10000000000000001</v>
      </c>
    </row>
    <row r="9385" ht="38.25">
      <c r="A9385" t="s">
        <v>9459</v>
      </c>
      <c r="B9385" s="19">
        <v>95634</v>
      </c>
      <c r="C9385" s="20" t="s">
        <v>9509</v>
      </c>
      <c r="D9385" s="19" t="s">
        <v>31</v>
      </c>
      <c r="E9385" s="21">
        <f t="shared" si="437"/>
        <v>211.53</v>
      </c>
      <c r="F9385" s="22">
        <v>1.e-002</v>
      </c>
      <c r="G9385" s="21">
        <f t="shared" si="438"/>
        <v>207.83000000000001</v>
      </c>
      <c r="H9385" s="22">
        <v>1.e-002</v>
      </c>
      <c r="I9385" s="23" t="str">
        <f t="shared" si="439"/>
        <v xml:space="preserve">COM VALOR</v>
      </c>
      <c r="J9385" s="19"/>
      <c r="L9385" s="21">
        <v>211.53</v>
      </c>
      <c r="M9385" s="22">
        <v>0</v>
      </c>
      <c r="N9385" s="21">
        <v>207.83000000000001</v>
      </c>
      <c r="O9385" s="22">
        <v>0</v>
      </c>
    </row>
    <row r="9386" ht="38.25">
      <c r="A9386" t="s">
        <v>9459</v>
      </c>
      <c r="B9386" s="19">
        <v>95635</v>
      </c>
      <c r="C9386" s="20" t="s">
        <v>9510</v>
      </c>
      <c r="D9386" s="19" t="s">
        <v>31</v>
      </c>
      <c r="E9386" s="21">
        <f t="shared" si="437"/>
        <v>222.31</v>
      </c>
      <c r="F9386" s="22">
        <v>2.9999999999999999e-002</v>
      </c>
      <c r="G9386" s="21">
        <f t="shared" si="438"/>
        <v>218.02000000000001</v>
      </c>
      <c r="H9386" s="22">
        <v>2.9999999999999999e-002</v>
      </c>
      <c r="I9386" s="23" t="str">
        <f t="shared" si="439"/>
        <v xml:space="preserve">COM VALOR</v>
      </c>
      <c r="J9386" s="19"/>
      <c r="L9386" s="21">
        <v>222.31</v>
      </c>
      <c r="M9386" s="22">
        <v>0</v>
      </c>
      <c r="N9386" s="21">
        <v>218.02000000000001</v>
      </c>
      <c r="O9386" s="22">
        <v>0</v>
      </c>
    </row>
    <row r="9387" ht="25.5">
      <c r="A9387" t="s">
        <v>9511</v>
      </c>
      <c r="B9387" s="19">
        <v>98751</v>
      </c>
      <c r="C9387" s="20" t="s">
        <v>9512</v>
      </c>
      <c r="D9387" s="19" t="s">
        <v>38</v>
      </c>
      <c r="E9387" s="21">
        <f t="shared" si="437"/>
        <v>136.91999999999999</v>
      </c>
      <c r="F9387" s="22">
        <v>2.9999999999999999e-002</v>
      </c>
      <c r="G9387" s="21">
        <f t="shared" si="438"/>
        <v>134.03999999999999</v>
      </c>
      <c r="H9387" s="22">
        <v>2.9999999999999999e-002</v>
      </c>
      <c r="I9387" s="23" t="str">
        <f t="shared" si="439"/>
        <v xml:space="preserve">COM VALOR</v>
      </c>
      <c r="J9387" s="19"/>
      <c r="L9387" s="21">
        <v>136.91999999999999</v>
      </c>
      <c r="M9387" s="22">
        <v>0</v>
      </c>
      <c r="N9387" s="21">
        <v>134.03999999999999</v>
      </c>
      <c r="O9387" s="22">
        <v>0</v>
      </c>
    </row>
    <row r="9388" ht="25.5">
      <c r="A9388" t="s">
        <v>9511</v>
      </c>
      <c r="B9388" s="19">
        <v>98746</v>
      </c>
      <c r="C9388" s="20" t="s">
        <v>9513</v>
      </c>
      <c r="D9388" s="19" t="s">
        <v>38</v>
      </c>
      <c r="E9388" s="21">
        <f t="shared" si="437"/>
        <v>67.939999999999998</v>
      </c>
      <c r="F9388" s="22">
        <v>2.e-002</v>
      </c>
      <c r="G9388" s="21">
        <f t="shared" si="438"/>
        <v>65.430000000000007</v>
      </c>
      <c r="H9388" s="22">
        <v>2.e-002</v>
      </c>
      <c r="I9388" s="23" t="str">
        <f t="shared" si="439"/>
        <v xml:space="preserve">COM VALOR</v>
      </c>
      <c r="J9388" s="19"/>
      <c r="L9388" s="21">
        <v>67.939999999999998</v>
      </c>
      <c r="M9388" s="22">
        <v>0</v>
      </c>
      <c r="N9388" s="21">
        <v>65.430000000000007</v>
      </c>
      <c r="O9388" s="22">
        <v>0</v>
      </c>
    </row>
    <row r="9389" ht="25.5">
      <c r="A9389" t="s">
        <v>9511</v>
      </c>
      <c r="B9389" s="19">
        <v>98753</v>
      </c>
      <c r="C9389" s="20" t="s">
        <v>9514</v>
      </c>
      <c r="D9389" s="19" t="s">
        <v>38</v>
      </c>
      <c r="E9389" s="21">
        <f t="shared" si="437"/>
        <v>246.31</v>
      </c>
      <c r="F9389" s="22">
        <v>2.e-002</v>
      </c>
      <c r="G9389" s="21">
        <f t="shared" si="438"/>
        <v>243.06999999999999</v>
      </c>
      <c r="H9389" s="22">
        <v>2.e-002</v>
      </c>
      <c r="I9389" s="23" t="str">
        <f t="shared" si="439"/>
        <v xml:space="preserve">COM VALOR</v>
      </c>
      <c r="J9389" s="19"/>
      <c r="L9389" s="21">
        <v>246.31</v>
      </c>
      <c r="M9389" s="22">
        <v>0</v>
      </c>
      <c r="N9389" s="21">
        <v>243.06999999999999</v>
      </c>
      <c r="O9389" s="22">
        <v>0</v>
      </c>
    </row>
    <row r="9390" ht="25.5">
      <c r="A9390" t="s">
        <v>9511</v>
      </c>
      <c r="B9390" s="19">
        <v>98750</v>
      </c>
      <c r="C9390" s="20" t="s">
        <v>9515</v>
      </c>
      <c r="D9390" s="19" t="s">
        <v>38</v>
      </c>
      <c r="E9390" s="21">
        <f t="shared" si="437"/>
        <v>96.359999999999999</v>
      </c>
      <c r="F9390" s="22">
        <v>2.e-002</v>
      </c>
      <c r="G9390" s="21">
        <f t="shared" si="438"/>
        <v>93.670000000000002</v>
      </c>
      <c r="H9390" s="22">
        <v>2.e-002</v>
      </c>
      <c r="I9390" s="23" t="str">
        <f t="shared" si="439"/>
        <v xml:space="preserve">COM VALOR</v>
      </c>
      <c r="J9390" s="19"/>
      <c r="L9390" s="21">
        <v>96.359999999999999</v>
      </c>
      <c r="M9390" s="22">
        <v>0</v>
      </c>
      <c r="N9390" s="21">
        <v>93.670000000000002</v>
      </c>
      <c r="O9390" s="22">
        <v>0</v>
      </c>
    </row>
    <row r="9391" ht="25.5">
      <c r="A9391" t="s">
        <v>9511</v>
      </c>
      <c r="B9391" s="19">
        <v>98749</v>
      </c>
      <c r="C9391" s="20" t="s">
        <v>9516</v>
      </c>
      <c r="D9391" s="19" t="s">
        <v>38</v>
      </c>
      <c r="E9391" s="21">
        <f t="shared" si="437"/>
        <v>80.810000000000002</v>
      </c>
      <c r="F9391" s="22"/>
      <c r="G9391" s="21">
        <f t="shared" si="438"/>
        <v>78.200000000000003</v>
      </c>
      <c r="H9391" s="22"/>
      <c r="I9391" s="23" t="str">
        <f t="shared" si="439"/>
        <v xml:space="preserve">COM VALOR</v>
      </c>
      <c r="J9391" s="19"/>
      <c r="L9391" s="21">
        <v>80.810000000000002</v>
      </c>
      <c r="M9391" s="22">
        <v>0</v>
      </c>
      <c r="N9391" s="21">
        <v>78.200000000000003</v>
      </c>
      <c r="O9391" s="22">
        <v>0</v>
      </c>
    </row>
    <row r="9392" ht="25.5">
      <c r="A9392" t="s">
        <v>9511</v>
      </c>
      <c r="B9392" s="19">
        <v>98752</v>
      </c>
      <c r="C9392" s="20" t="s">
        <v>9517</v>
      </c>
      <c r="D9392" s="19" t="s">
        <v>38</v>
      </c>
      <c r="E9392" s="21">
        <f t="shared" si="437"/>
        <v>185.69</v>
      </c>
      <c r="F9392" s="22"/>
      <c r="G9392" s="21">
        <f t="shared" si="438"/>
        <v>182.63</v>
      </c>
      <c r="H9392" s="22"/>
      <c r="I9392" s="23" t="str">
        <f t="shared" si="439"/>
        <v xml:space="preserve">COM VALOR</v>
      </c>
      <c r="J9392" s="19"/>
      <c r="L9392" s="21">
        <v>185.69</v>
      </c>
      <c r="M9392" s="22">
        <v>0</v>
      </c>
      <c r="N9392" s="21">
        <v>182.63</v>
      </c>
      <c r="O9392" s="22">
        <v>0</v>
      </c>
    </row>
    <row r="9393" ht="25.5">
      <c r="A9393" t="s">
        <v>9518</v>
      </c>
      <c r="B9393" s="19">
        <v>98529</v>
      </c>
      <c r="C9393" s="20" t="s">
        <v>9519</v>
      </c>
      <c r="D9393" s="19" t="s">
        <v>31</v>
      </c>
      <c r="E9393" s="21">
        <f t="shared" si="437"/>
        <v>80.719999999999999</v>
      </c>
      <c r="F9393" s="22"/>
      <c r="G9393" s="21">
        <f t="shared" si="438"/>
        <v>76.340000000000003</v>
      </c>
      <c r="H9393" s="22"/>
      <c r="I9393" s="23" t="str">
        <f t="shared" si="439"/>
        <v xml:space="preserve">COM VALOR</v>
      </c>
      <c r="J9393" s="19"/>
      <c r="L9393" s="21">
        <v>80.719999999999999</v>
      </c>
      <c r="M9393" s="22">
        <v>0</v>
      </c>
      <c r="N9393" s="21">
        <v>76.340000000000003</v>
      </c>
      <c r="O9393" s="22">
        <v>0</v>
      </c>
    </row>
    <row r="9394" ht="25.5">
      <c r="A9394" t="s">
        <v>9518</v>
      </c>
      <c r="B9394" s="19">
        <v>98530</v>
      </c>
      <c r="C9394" s="20" t="s">
        <v>9520</v>
      </c>
      <c r="D9394" s="19" t="s">
        <v>31</v>
      </c>
      <c r="E9394" s="21">
        <f t="shared" si="437"/>
        <v>158.44</v>
      </c>
      <c r="F9394" s="22"/>
      <c r="G9394" s="21">
        <f t="shared" si="438"/>
        <v>149.83000000000001</v>
      </c>
      <c r="H9394" s="22"/>
      <c r="I9394" s="23" t="str">
        <f t="shared" si="439"/>
        <v xml:space="preserve">COM VALOR</v>
      </c>
      <c r="J9394" s="19"/>
      <c r="L9394" s="21">
        <v>158.44</v>
      </c>
      <c r="M9394" s="22">
        <v>0</v>
      </c>
      <c r="N9394" s="21">
        <v>149.83000000000001</v>
      </c>
      <c r="O9394" s="22">
        <v>0</v>
      </c>
    </row>
    <row r="9395" ht="25.5">
      <c r="A9395" t="s">
        <v>9518</v>
      </c>
      <c r="B9395" s="19">
        <v>98531</v>
      </c>
      <c r="C9395" s="20" t="s">
        <v>9521</v>
      </c>
      <c r="D9395" s="19" t="s">
        <v>31</v>
      </c>
      <c r="E9395" s="21">
        <f t="shared" si="437"/>
        <v>408.73000000000002</v>
      </c>
      <c r="F9395" s="22"/>
      <c r="G9395" s="21">
        <f t="shared" si="438"/>
        <v>393.31999999999999</v>
      </c>
      <c r="H9395" s="22"/>
      <c r="I9395" s="23" t="str">
        <f t="shared" si="439"/>
        <v xml:space="preserve">COM VALOR</v>
      </c>
      <c r="J9395" s="19"/>
      <c r="L9395" s="21">
        <v>408.73000000000002</v>
      </c>
      <c r="M9395" s="22">
        <v>0.31</v>
      </c>
      <c r="N9395" s="21">
        <v>393.31999999999999</v>
      </c>
      <c r="O9395" s="22">
        <v>0.32000000000000001</v>
      </c>
    </row>
    <row r="9396" ht="25.5">
      <c r="A9396" t="s">
        <v>9518</v>
      </c>
      <c r="B9396" s="19">
        <v>98524</v>
      </c>
      <c r="C9396" s="20" t="s">
        <v>9522</v>
      </c>
      <c r="D9396" s="19" t="s">
        <v>29</v>
      </c>
      <c r="E9396" s="21">
        <f t="shared" si="437"/>
        <v>4.8499999999999996</v>
      </c>
      <c r="F9396" s="22"/>
      <c r="G9396" s="21">
        <f t="shared" si="438"/>
        <v>4.5899999999999999</v>
      </c>
      <c r="H9396" s="22"/>
      <c r="I9396" s="23" t="str">
        <f t="shared" si="439"/>
        <v xml:space="preserve">COM VALOR</v>
      </c>
      <c r="J9396" s="19"/>
      <c r="L9396" s="21">
        <v>4.8499999999999996</v>
      </c>
      <c r="M9396" s="22">
        <v>0</v>
      </c>
      <c r="N9396" s="21">
        <v>4.5899999999999999</v>
      </c>
      <c r="O9396" s="22">
        <v>0</v>
      </c>
    </row>
    <row r="9397" ht="38.25">
      <c r="A9397" t="s">
        <v>9518</v>
      </c>
      <c r="B9397" s="19">
        <v>98525</v>
      </c>
      <c r="C9397" s="20" t="s">
        <v>9523</v>
      </c>
      <c r="D9397" s="19" t="s">
        <v>29</v>
      </c>
      <c r="E9397" s="21">
        <f t="shared" si="437"/>
        <v>0.70999999999999996</v>
      </c>
      <c r="F9397" s="22"/>
      <c r="G9397" s="21">
        <f t="shared" si="438"/>
        <v>0.68999999999999995</v>
      </c>
      <c r="H9397" s="22"/>
      <c r="I9397" s="23" t="str">
        <f t="shared" si="439"/>
        <v xml:space="preserve">COM VALOR</v>
      </c>
      <c r="J9397" s="19"/>
      <c r="L9397" s="21">
        <v>0.70999999999999996</v>
      </c>
      <c r="M9397" s="22">
        <v>0.46000000000000002</v>
      </c>
      <c r="N9397" s="21">
        <v>0.68999999999999995</v>
      </c>
      <c r="O9397" s="22">
        <v>0.47999999999999998</v>
      </c>
    </row>
    <row r="9398" ht="25.5">
      <c r="A9398" t="s">
        <v>9518</v>
      </c>
      <c r="B9398" s="19">
        <v>98533</v>
      </c>
      <c r="C9398" s="20" t="s">
        <v>9524</v>
      </c>
      <c r="D9398" s="19" t="s">
        <v>31</v>
      </c>
      <c r="E9398" s="21">
        <f t="shared" si="437"/>
        <v>125.39</v>
      </c>
      <c r="F9398" s="22"/>
      <c r="G9398" s="21">
        <f t="shared" si="438"/>
        <v>121.34</v>
      </c>
      <c r="H9398" s="22"/>
      <c r="I9398" s="23" t="str">
        <f t="shared" si="439"/>
        <v xml:space="preserve">COM VALOR</v>
      </c>
      <c r="J9398" s="19"/>
      <c r="L9398" s="21">
        <v>125.39</v>
      </c>
      <c r="M9398" s="22">
        <v>0.17000000000000001</v>
      </c>
      <c r="N9398" s="21">
        <v>121.34</v>
      </c>
      <c r="O9398" s="22">
        <v>0.17999999999999999</v>
      </c>
    </row>
    <row r="9399" ht="25.5">
      <c r="A9399" t="s">
        <v>9518</v>
      </c>
      <c r="B9399" s="19">
        <v>98534</v>
      </c>
      <c r="C9399" s="20" t="s">
        <v>9525</v>
      </c>
      <c r="D9399" s="19" t="s">
        <v>31</v>
      </c>
      <c r="E9399" s="21">
        <f t="shared" si="437"/>
        <v>346.74000000000001</v>
      </c>
      <c r="F9399" s="22"/>
      <c r="G9399" s="21">
        <f t="shared" si="438"/>
        <v>335.72000000000003</v>
      </c>
      <c r="H9399" s="22"/>
      <c r="I9399" s="23" t="str">
        <f t="shared" si="439"/>
        <v xml:space="preserve">COM VALOR</v>
      </c>
      <c r="J9399" s="19"/>
      <c r="L9399" s="21">
        <v>346.74000000000001</v>
      </c>
      <c r="M9399" s="22">
        <v>0.17999999999999999</v>
      </c>
      <c r="N9399" s="21">
        <v>335.72000000000003</v>
      </c>
      <c r="O9399" s="22">
        <v>0.17999999999999999</v>
      </c>
    </row>
    <row r="9400" ht="25.5">
      <c r="A9400" t="s">
        <v>9518</v>
      </c>
      <c r="B9400" s="19">
        <v>98535</v>
      </c>
      <c r="C9400" s="20" t="s">
        <v>9526</v>
      </c>
      <c r="D9400" s="19" t="s">
        <v>31</v>
      </c>
      <c r="E9400" s="21">
        <f t="shared" si="437"/>
        <v>727.75999999999999</v>
      </c>
      <c r="F9400" s="22"/>
      <c r="G9400" s="21">
        <f t="shared" si="438"/>
        <v>702.86000000000001</v>
      </c>
      <c r="H9400" s="22"/>
      <c r="I9400" s="23" t="str">
        <f t="shared" si="439"/>
        <v xml:space="preserve">COM VALOR</v>
      </c>
      <c r="J9400" s="19"/>
      <c r="L9400" s="21">
        <v>727.75999999999999</v>
      </c>
      <c r="M9400" s="22">
        <v>0.16</v>
      </c>
      <c r="N9400" s="21">
        <v>702.86000000000001</v>
      </c>
      <c r="O9400" s="22">
        <v>0.16</v>
      </c>
    </row>
    <row r="9401" ht="25.5">
      <c r="A9401" t="s">
        <v>9518</v>
      </c>
      <c r="B9401" s="19">
        <v>98532</v>
      </c>
      <c r="C9401" s="20" t="s">
        <v>9527</v>
      </c>
      <c r="D9401" s="19" t="s">
        <v>31</v>
      </c>
      <c r="E9401" s="21">
        <f t="shared" si="437"/>
        <v>33.100000000000001</v>
      </c>
      <c r="F9401" s="22"/>
      <c r="G9401" s="21">
        <f t="shared" si="438"/>
        <v>32.210000000000001</v>
      </c>
      <c r="H9401" s="22"/>
      <c r="I9401" s="23" t="str">
        <f t="shared" si="439"/>
        <v xml:space="preserve">COM VALOR</v>
      </c>
      <c r="J9401" s="19"/>
      <c r="L9401" s="21">
        <v>33.100000000000001</v>
      </c>
      <c r="M9401" s="22">
        <v>0.20999999999999999</v>
      </c>
      <c r="N9401" s="21">
        <v>32.210000000000001</v>
      </c>
      <c r="O9401" s="22">
        <v>0.22</v>
      </c>
    </row>
    <row r="9402" ht="25.5">
      <c r="A9402" t="s">
        <v>9518</v>
      </c>
      <c r="B9402" s="19">
        <v>98526</v>
      </c>
      <c r="C9402" s="20" t="s">
        <v>9528</v>
      </c>
      <c r="D9402" s="19" t="s">
        <v>31</v>
      </c>
      <c r="E9402" s="21">
        <f t="shared" si="437"/>
        <v>138.93000000000001</v>
      </c>
      <c r="F9402" s="22">
        <v>0.34000000000000002</v>
      </c>
      <c r="G9402" s="21">
        <f t="shared" si="438"/>
        <v>133.75999999999999</v>
      </c>
      <c r="H9402" s="22">
        <v>0.34999999999999998</v>
      </c>
      <c r="I9402" s="23" t="str">
        <f t="shared" si="439"/>
        <v xml:space="preserve">COM VALOR</v>
      </c>
      <c r="J9402" s="19"/>
      <c r="L9402" s="21">
        <v>138.93000000000001</v>
      </c>
      <c r="M9402" s="22">
        <v>0</v>
      </c>
      <c r="N9402" s="21">
        <v>133.75999999999999</v>
      </c>
      <c r="O9402" s="22">
        <v>0</v>
      </c>
    </row>
    <row r="9403" ht="25.5">
      <c r="A9403" t="s">
        <v>9518</v>
      </c>
      <c r="B9403" s="19">
        <v>98527</v>
      </c>
      <c r="C9403" s="20" t="s">
        <v>9529</v>
      </c>
      <c r="D9403" s="19" t="s">
        <v>31</v>
      </c>
      <c r="E9403" s="21">
        <f t="shared" si="437"/>
        <v>230.56999999999999</v>
      </c>
      <c r="F9403" s="22">
        <v>0.27000000000000002</v>
      </c>
      <c r="G9403" s="21">
        <f t="shared" si="438"/>
        <v>221.99000000000001</v>
      </c>
      <c r="H9403" s="22">
        <v>0.28000000000000003</v>
      </c>
      <c r="I9403" s="23" t="str">
        <f t="shared" si="439"/>
        <v xml:space="preserve">COM VALOR</v>
      </c>
      <c r="J9403" s="19"/>
      <c r="L9403" s="21">
        <v>230.56999999999999</v>
      </c>
      <c r="M9403" s="22">
        <v>0</v>
      </c>
      <c r="N9403" s="21">
        <v>221.99000000000001</v>
      </c>
      <c r="O9403" s="22">
        <v>0</v>
      </c>
    </row>
    <row r="9404" ht="25.5">
      <c r="A9404" t="s">
        <v>9518</v>
      </c>
      <c r="B9404" s="19">
        <v>98528</v>
      </c>
      <c r="C9404" s="20" t="s">
        <v>9530</v>
      </c>
      <c r="D9404" s="19" t="s">
        <v>31</v>
      </c>
      <c r="E9404" s="21">
        <f t="shared" si="437"/>
        <v>303.88999999999999</v>
      </c>
      <c r="F9404" s="22">
        <v>0.27000000000000002</v>
      </c>
      <c r="G9404" s="21">
        <f t="shared" si="438"/>
        <v>292.58999999999997</v>
      </c>
      <c r="H9404" s="22">
        <v>0.28000000000000003</v>
      </c>
      <c r="I9404" s="23" t="str">
        <f t="shared" si="439"/>
        <v xml:space="preserve">COM VALOR</v>
      </c>
      <c r="J9404" s="19"/>
      <c r="L9404" s="21">
        <v>303.88999999999999</v>
      </c>
      <c r="M9404" s="22">
        <v>0</v>
      </c>
      <c r="N9404" s="21">
        <v>292.58999999999997</v>
      </c>
      <c r="O9404" s="22">
        <v>0</v>
      </c>
    </row>
    <row r="9405" ht="12.75">
      <c r="A9405" t="s">
        <v>9531</v>
      </c>
      <c r="B9405" s="19">
        <v>94232</v>
      </c>
      <c r="C9405" s="20" t="s">
        <v>9532</v>
      </c>
      <c r="D9405" s="19" t="s">
        <v>31</v>
      </c>
      <c r="E9405" s="21">
        <f t="shared" si="437"/>
        <v>2.9300000000000002</v>
      </c>
      <c r="F9405" s="22">
        <v>0.32000000000000001</v>
      </c>
      <c r="G9405" s="21">
        <f t="shared" si="438"/>
        <v>2.7599999999999998</v>
      </c>
      <c r="H9405" s="22">
        <v>0.33000000000000002</v>
      </c>
      <c r="I9405" s="23" t="str">
        <f t="shared" si="439"/>
        <v xml:space="preserve">COM VALOR</v>
      </c>
      <c r="J9405" s="19"/>
      <c r="L9405" s="21">
        <v>2.9300000000000002</v>
      </c>
      <c r="M9405" s="22">
        <v>0</v>
      </c>
      <c r="N9405" s="21">
        <v>2.7599999999999998</v>
      </c>
      <c r="O9405" s="22">
        <v>0</v>
      </c>
    </row>
    <row r="9406" ht="38.25">
      <c r="A9406" t="s">
        <v>9531</v>
      </c>
      <c r="B9406" s="19">
        <v>100434</v>
      </c>
      <c r="C9406" s="20" t="s">
        <v>9533</v>
      </c>
      <c r="D9406" s="19" t="s">
        <v>38</v>
      </c>
      <c r="E9406" s="21">
        <f t="shared" si="437"/>
        <v>180.41999999999999</v>
      </c>
      <c r="F9406" s="22">
        <v>0.31</v>
      </c>
      <c r="G9406" s="21">
        <f t="shared" si="438"/>
        <v>179.81</v>
      </c>
      <c r="H9406" s="22">
        <v>0.32000000000000001</v>
      </c>
      <c r="I9406" s="23" t="str">
        <f t="shared" si="439"/>
        <v xml:space="preserve">COM VALOR</v>
      </c>
      <c r="J9406" s="19"/>
      <c r="L9406" s="21">
        <v>180.41999999999999</v>
      </c>
      <c r="M9406" s="22">
        <v>0</v>
      </c>
      <c r="N9406" s="21">
        <v>179.81</v>
      </c>
      <c r="O9406" s="22">
        <v>0</v>
      </c>
    </row>
    <row r="9407" ht="38.25">
      <c r="A9407" t="s">
        <v>9531</v>
      </c>
      <c r="B9407" s="19">
        <v>94229</v>
      </c>
      <c r="C9407" s="20" t="s">
        <v>9534</v>
      </c>
      <c r="D9407" s="19" t="s">
        <v>38</v>
      </c>
      <c r="E9407" s="21">
        <f t="shared" si="437"/>
        <v>151.34999999999999</v>
      </c>
      <c r="F9407" s="22">
        <v>0.28999999999999998</v>
      </c>
      <c r="G9407" s="21">
        <f t="shared" si="438"/>
        <v>149.68000000000001</v>
      </c>
      <c r="H9407" s="22">
        <v>0.29999999999999999</v>
      </c>
      <c r="I9407" s="23" t="str">
        <f t="shared" si="439"/>
        <v xml:space="preserve">COM VALOR</v>
      </c>
      <c r="J9407" s="19"/>
      <c r="L9407" s="21">
        <v>151.34999999999999</v>
      </c>
      <c r="M9407" s="22">
        <v>0.55000000000000004</v>
      </c>
      <c r="N9407" s="21">
        <v>149.68000000000001</v>
      </c>
      <c r="O9407" s="22">
        <v>0.56000000000000005</v>
      </c>
    </row>
    <row r="9408" ht="38.25">
      <c r="A9408" t="s">
        <v>9531</v>
      </c>
      <c r="B9408" s="19">
        <v>94227</v>
      </c>
      <c r="C9408" s="20" t="s">
        <v>9535</v>
      </c>
      <c r="D9408" s="19" t="s">
        <v>38</v>
      </c>
      <c r="E9408" s="21">
        <f t="shared" si="437"/>
        <v>57.630000000000003</v>
      </c>
      <c r="F9408" s="22">
        <v>0.28999999999999998</v>
      </c>
      <c r="G9408" s="21">
        <f t="shared" si="438"/>
        <v>56.939999999999998</v>
      </c>
      <c r="H9408" s="22">
        <v>0.29999999999999999</v>
      </c>
      <c r="I9408" s="23" t="str">
        <f t="shared" si="439"/>
        <v xml:space="preserve">COM VALOR</v>
      </c>
      <c r="J9408" s="19"/>
      <c r="L9408" s="21">
        <v>57.630000000000003</v>
      </c>
      <c r="M9408" s="22">
        <v>0.56999999999999995</v>
      </c>
      <c r="N9408" s="21">
        <v>56.939999999999998</v>
      </c>
      <c r="O9408" s="22">
        <v>0.57999999999999996</v>
      </c>
    </row>
    <row r="9409" ht="38.25">
      <c r="A9409" t="s">
        <v>9531</v>
      </c>
      <c r="B9409" s="19">
        <v>94228</v>
      </c>
      <c r="C9409" s="20" t="s">
        <v>9536</v>
      </c>
      <c r="D9409" s="19" t="s">
        <v>38</v>
      </c>
      <c r="E9409" s="21">
        <f t="shared" si="437"/>
        <v>78.540000000000006</v>
      </c>
      <c r="F9409" s="22">
        <v>0.28000000000000003</v>
      </c>
      <c r="G9409" s="21">
        <f t="shared" si="438"/>
        <v>77.599999999999994</v>
      </c>
      <c r="H9409" s="22">
        <v>0.28999999999999998</v>
      </c>
      <c r="I9409" s="23" t="str">
        <f t="shared" si="439"/>
        <v xml:space="preserve">COM VALOR</v>
      </c>
      <c r="J9409" s="19"/>
      <c r="L9409" s="21">
        <v>78.540000000000006</v>
      </c>
      <c r="M9409" s="22">
        <v>0.55000000000000004</v>
      </c>
      <c r="N9409" s="21">
        <v>77.599999999999994</v>
      </c>
      <c r="O9409" s="22">
        <v>0.55000000000000004</v>
      </c>
    </row>
    <row r="9410" ht="38.25">
      <c r="A9410" t="s">
        <v>9531</v>
      </c>
      <c r="B9410" s="19">
        <v>94219</v>
      </c>
      <c r="C9410" s="20" t="s">
        <v>9537</v>
      </c>
      <c r="D9410" s="19" t="s">
        <v>38</v>
      </c>
      <c r="E9410" s="21">
        <f t="shared" si="437"/>
        <v>36.850000000000001</v>
      </c>
      <c r="F9410" s="22">
        <v>0.28000000000000003</v>
      </c>
      <c r="G9410" s="21">
        <f t="shared" si="438"/>
        <v>35.82</v>
      </c>
      <c r="H9410" s="22">
        <v>0.28999999999999998</v>
      </c>
      <c r="I9410" s="23" t="str">
        <f t="shared" si="439"/>
        <v xml:space="preserve">COM VALOR</v>
      </c>
      <c r="J9410" s="19"/>
      <c r="L9410" s="21">
        <v>36.850000000000001</v>
      </c>
      <c r="M9410" s="22">
        <v>0</v>
      </c>
      <c r="N9410" s="21">
        <v>35.82</v>
      </c>
      <c r="O9410" s="22">
        <v>0</v>
      </c>
    </row>
    <row r="9411" ht="38.25">
      <c r="A9411" t="s">
        <v>9531</v>
      </c>
      <c r="B9411" s="19">
        <v>94220</v>
      </c>
      <c r="C9411" s="20" t="s">
        <v>9538</v>
      </c>
      <c r="D9411" s="19" t="s">
        <v>38</v>
      </c>
      <c r="E9411" s="21">
        <f t="shared" si="437"/>
        <v>63.939999999999998</v>
      </c>
      <c r="F9411" s="22">
        <v>0.28000000000000003</v>
      </c>
      <c r="G9411" s="21">
        <f t="shared" si="438"/>
        <v>62.909999999999997</v>
      </c>
      <c r="H9411" s="22">
        <v>0.28999999999999998</v>
      </c>
      <c r="I9411" s="23" t="str">
        <f t="shared" si="439"/>
        <v xml:space="preserve">COM VALOR</v>
      </c>
      <c r="J9411" s="19"/>
      <c r="L9411" s="21">
        <v>63.939999999999998</v>
      </c>
      <c r="M9411" s="22">
        <v>0</v>
      </c>
      <c r="N9411" s="21">
        <v>62.909999999999997</v>
      </c>
      <c r="O9411" s="22">
        <v>0</v>
      </c>
    </row>
    <row r="9412" ht="25.5">
      <c r="A9412" t="s">
        <v>9531</v>
      </c>
      <c r="B9412" s="19">
        <v>100326</v>
      </c>
      <c r="C9412" s="20" t="s">
        <v>9539</v>
      </c>
      <c r="D9412" s="19" t="s">
        <v>38</v>
      </c>
      <c r="E9412" s="21" t="str">
        <f t="shared" si="437"/>
        <v>VERIFICAR</v>
      </c>
      <c r="F9412" s="22">
        <v>0.28000000000000003</v>
      </c>
      <c r="G9412" s="21" t="str">
        <f t="shared" si="438"/>
        <v>VERIFICAR</v>
      </c>
      <c r="H9412" s="22">
        <v>0.28999999999999998</v>
      </c>
      <c r="I9412" s="23" t="str">
        <f t="shared" si="439"/>
        <v xml:space="preserve">COM VALOR</v>
      </c>
      <c r="J9412" s="19"/>
      <c r="L9412" s="21">
        <v>0</v>
      </c>
      <c r="M9412" s="22"/>
      <c r="N9412" s="21">
        <v>0</v>
      </c>
      <c r="O9412" s="22"/>
    </row>
    <row r="9413" ht="38.25">
      <c r="A9413" t="s">
        <v>9531</v>
      </c>
      <c r="B9413" s="19">
        <v>94221</v>
      </c>
      <c r="C9413" s="20" t="s">
        <v>9540</v>
      </c>
      <c r="D9413" s="19" t="s">
        <v>38</v>
      </c>
      <c r="E9413" s="21">
        <f t="shared" si="437"/>
        <v>29.760000000000002</v>
      </c>
      <c r="F9413" s="22">
        <v>0.28000000000000003</v>
      </c>
      <c r="G9413" s="21">
        <f t="shared" si="438"/>
        <v>29.129999999999999</v>
      </c>
      <c r="H9413" s="22">
        <v>0.28999999999999998</v>
      </c>
      <c r="I9413" s="23" t="str">
        <f t="shared" si="439"/>
        <v xml:space="preserve">COM VALOR</v>
      </c>
      <c r="J9413" s="19"/>
      <c r="L9413" s="21">
        <v>29.760000000000002</v>
      </c>
      <c r="M9413" s="22">
        <v>0</v>
      </c>
      <c r="N9413" s="21">
        <v>29.129999999999999</v>
      </c>
      <c r="O9413" s="22">
        <v>0</v>
      </c>
    </row>
    <row r="9414" ht="38.25">
      <c r="A9414" t="s">
        <v>9531</v>
      </c>
      <c r="B9414" s="19">
        <v>94222</v>
      </c>
      <c r="C9414" s="20" t="s">
        <v>9541</v>
      </c>
      <c r="D9414" s="19" t="s">
        <v>38</v>
      </c>
      <c r="E9414" s="21">
        <f t="shared" si="437"/>
        <v>56.850000000000001</v>
      </c>
      <c r="F9414" s="22">
        <v>0.27000000000000002</v>
      </c>
      <c r="G9414" s="21">
        <f t="shared" si="438"/>
        <v>56.219999999999999</v>
      </c>
      <c r="H9414" s="22">
        <v>0.28000000000000003</v>
      </c>
      <c r="I9414" s="23" t="str">
        <f t="shared" si="439"/>
        <v xml:space="preserve">COM VALOR</v>
      </c>
      <c r="J9414" s="19"/>
      <c r="L9414" s="21">
        <v>56.850000000000001</v>
      </c>
      <c r="M9414" s="22">
        <v>0</v>
      </c>
      <c r="N9414" s="21">
        <v>56.219999999999999</v>
      </c>
      <c r="O9414" s="22">
        <v>0</v>
      </c>
    </row>
    <row r="9415" ht="25.5">
      <c r="A9415" t="s">
        <v>9531</v>
      </c>
      <c r="B9415" s="19">
        <v>94451</v>
      </c>
      <c r="C9415" s="20" t="s">
        <v>9542</v>
      </c>
      <c r="D9415" s="19" t="s">
        <v>38</v>
      </c>
      <c r="E9415" s="21">
        <f t="shared" si="437"/>
        <v>86.340000000000003</v>
      </c>
      <c r="F9415" s="22">
        <v>0.34999999999999998</v>
      </c>
      <c r="G9415" s="21">
        <f t="shared" si="438"/>
        <v>86.150000000000006</v>
      </c>
      <c r="H9415" s="22">
        <v>0.35999999999999999</v>
      </c>
      <c r="I9415" s="23" t="str">
        <f t="shared" si="439"/>
        <v xml:space="preserve">COM VALOR</v>
      </c>
      <c r="J9415" s="19"/>
      <c r="L9415" s="21">
        <v>86.340000000000003</v>
      </c>
      <c r="M9415" s="22">
        <v>0</v>
      </c>
      <c r="N9415" s="21">
        <v>86.150000000000006</v>
      </c>
      <c r="O9415" s="22">
        <v>0</v>
      </c>
    </row>
    <row r="9416" ht="25.5">
      <c r="A9416" t="s">
        <v>9531</v>
      </c>
      <c r="B9416" s="19">
        <v>94223</v>
      </c>
      <c r="C9416" s="20" t="s">
        <v>9543</v>
      </c>
      <c r="D9416" s="19" t="s">
        <v>38</v>
      </c>
      <c r="E9416" s="21">
        <f t="shared" si="437"/>
        <v>76.790000000000006</v>
      </c>
      <c r="F9416" s="22">
        <v>0.27000000000000002</v>
      </c>
      <c r="G9416" s="21">
        <f t="shared" si="438"/>
        <v>76.609999999999999</v>
      </c>
      <c r="H9416" s="22">
        <v>0.28000000000000003</v>
      </c>
      <c r="I9416" s="23" t="str">
        <f t="shared" si="439"/>
        <v xml:space="preserve">COM VALOR</v>
      </c>
      <c r="J9416" s="19"/>
      <c r="L9416" s="21">
        <v>76.790000000000006</v>
      </c>
      <c r="M9416" s="22">
        <v>0</v>
      </c>
      <c r="N9416" s="21">
        <v>76.609999999999999</v>
      </c>
      <c r="O9416" s="22">
        <v>0</v>
      </c>
    </row>
    <row r="9417" ht="25.5">
      <c r="A9417" t="s">
        <v>9531</v>
      </c>
      <c r="B9417" s="19">
        <v>100325</v>
      </c>
      <c r="C9417" s="20" t="s">
        <v>9544</v>
      </c>
      <c r="D9417" s="19" t="s">
        <v>38</v>
      </c>
      <c r="E9417" s="21">
        <f t="shared" si="437"/>
        <v>83.680000000000007</v>
      </c>
      <c r="F9417" s="22">
        <v>0.27000000000000002</v>
      </c>
      <c r="G9417" s="21">
        <f t="shared" si="438"/>
        <v>83.549999999999997</v>
      </c>
      <c r="H9417" s="22">
        <v>0.28000000000000003</v>
      </c>
      <c r="I9417" s="23" t="str">
        <f t="shared" si="439"/>
        <v xml:space="preserve">COM VALOR</v>
      </c>
      <c r="J9417" s="19"/>
      <c r="L9417" s="21">
        <v>83.680000000000007</v>
      </c>
      <c r="M9417" s="22">
        <v>0</v>
      </c>
      <c r="N9417" s="21">
        <v>83.549999999999997</v>
      </c>
      <c r="O9417" s="22">
        <v>0</v>
      </c>
    </row>
    <row r="9418" ht="25.5">
      <c r="A9418" t="s">
        <v>9531</v>
      </c>
      <c r="B9418" s="19">
        <v>94224</v>
      </c>
      <c r="C9418" s="20" t="s">
        <v>9545</v>
      </c>
      <c r="D9418" s="19" t="s">
        <v>38</v>
      </c>
      <c r="E9418" s="21">
        <f t="shared" si="437"/>
        <v>27.25</v>
      </c>
      <c r="F9418" s="22">
        <v>0.31</v>
      </c>
      <c r="G9418" s="21">
        <f t="shared" si="438"/>
        <v>25.960000000000001</v>
      </c>
      <c r="H9418" s="22">
        <v>0.32000000000000001</v>
      </c>
      <c r="I9418" s="23" t="str">
        <f t="shared" si="439"/>
        <v xml:space="preserve">COM VALOR</v>
      </c>
      <c r="J9418" s="19"/>
      <c r="L9418" s="21">
        <v>27.25</v>
      </c>
      <c r="M9418" s="22">
        <v>0</v>
      </c>
      <c r="N9418" s="21">
        <v>25.960000000000001</v>
      </c>
      <c r="O9418" s="22">
        <v>0</v>
      </c>
    </row>
    <row r="9419" ht="25.5">
      <c r="A9419" t="s">
        <v>9531</v>
      </c>
      <c r="B9419" s="19">
        <v>102653</v>
      </c>
      <c r="C9419" s="20" t="s">
        <v>9546</v>
      </c>
      <c r="D9419" s="19" t="s">
        <v>29</v>
      </c>
      <c r="E9419" s="21" t="str">
        <f t="shared" ref="E9419:E9482" si="440">IF(L9419=0,"VERIFICAR",L9419)</f>
        <v>VERIFICAR</v>
      </c>
      <c r="F9419" s="22">
        <v>0.27000000000000002</v>
      </c>
      <c r="G9419" s="21" t="str">
        <f t="shared" ref="G9419:G9482" si="441">IF(N9419=0,"VERIFICAR",N9419)</f>
        <v>VERIFICAR</v>
      </c>
      <c r="H9419" s="22">
        <v>0.28000000000000003</v>
      </c>
      <c r="I9419" s="23" t="str">
        <f t="shared" ref="I9419:I9482" si="442">IF(OR(E9419=0,G9419=0),"SEM VALOR","COM VALOR")</f>
        <v xml:space="preserve">COM VALOR</v>
      </c>
      <c r="J9419" s="19"/>
      <c r="L9419" s="21">
        <v>0</v>
      </c>
      <c r="M9419" s="22"/>
      <c r="N9419" s="21">
        <v>0</v>
      </c>
      <c r="O9419" s="22"/>
    </row>
    <row r="9420" ht="25.5">
      <c r="A9420" t="s">
        <v>9531</v>
      </c>
      <c r="B9420" s="19">
        <v>100330</v>
      </c>
      <c r="C9420" s="20" t="s">
        <v>9547</v>
      </c>
      <c r="D9420" s="19" t="s">
        <v>29</v>
      </c>
      <c r="E9420" s="21">
        <f t="shared" si="440"/>
        <v>21.449999999999999</v>
      </c>
      <c r="F9420" s="22">
        <v>0.27000000000000002</v>
      </c>
      <c r="G9420" s="21">
        <f t="shared" si="441"/>
        <v>20.780000000000001</v>
      </c>
      <c r="H9420" s="22">
        <v>0.28000000000000003</v>
      </c>
      <c r="I9420" s="23" t="str">
        <f t="shared" si="442"/>
        <v xml:space="preserve">COM VALOR</v>
      </c>
      <c r="J9420" s="19"/>
      <c r="L9420" s="21">
        <v>21.449999999999999</v>
      </c>
      <c r="M9420" s="22">
        <v>0</v>
      </c>
      <c r="N9420" s="21">
        <v>20.780000000000001</v>
      </c>
      <c r="O9420" s="22">
        <v>0</v>
      </c>
    </row>
    <row r="9421" ht="25.5">
      <c r="A9421" t="s">
        <v>9531</v>
      </c>
      <c r="B9421" s="19">
        <v>100331</v>
      </c>
      <c r="C9421" s="20" t="s">
        <v>9548</v>
      </c>
      <c r="D9421" s="19" t="s">
        <v>29</v>
      </c>
      <c r="E9421" s="21">
        <f t="shared" si="440"/>
        <v>27.579999999999998</v>
      </c>
      <c r="F9421" s="22">
        <v>0.29999999999999999</v>
      </c>
      <c r="G9421" s="21">
        <f t="shared" si="441"/>
        <v>26.57</v>
      </c>
      <c r="H9421" s="22">
        <v>0.31</v>
      </c>
      <c r="I9421" s="23" t="str">
        <f t="shared" si="442"/>
        <v xml:space="preserve">COM VALOR</v>
      </c>
      <c r="J9421" s="19"/>
      <c r="L9421" s="21">
        <v>27.579999999999998</v>
      </c>
      <c r="M9421" s="22">
        <v>0</v>
      </c>
      <c r="N9421" s="21">
        <v>26.57</v>
      </c>
      <c r="O9421" s="22">
        <v>0</v>
      </c>
    </row>
    <row r="9422" ht="25.5">
      <c r="A9422" t="s">
        <v>9531</v>
      </c>
      <c r="B9422" s="19">
        <v>100328</v>
      </c>
      <c r="C9422" s="20" t="s">
        <v>9549</v>
      </c>
      <c r="D9422" s="19" t="s">
        <v>29</v>
      </c>
      <c r="E9422" s="21">
        <f t="shared" si="440"/>
        <v>15.789999999999999</v>
      </c>
      <c r="F9422" s="22">
        <v>0.28999999999999998</v>
      </c>
      <c r="G9422" s="21">
        <f t="shared" si="441"/>
        <v>15.289999999999999</v>
      </c>
      <c r="H9422" s="22">
        <v>0.29999999999999999</v>
      </c>
      <c r="I9422" s="23" t="str">
        <f t="shared" si="442"/>
        <v xml:space="preserve">COM VALOR</v>
      </c>
      <c r="J9422" s="19"/>
      <c r="L9422" s="21">
        <v>15.789999999999999</v>
      </c>
      <c r="M9422" s="22">
        <v>0</v>
      </c>
      <c r="N9422" s="21">
        <v>15.289999999999999</v>
      </c>
      <c r="O9422" s="22">
        <v>0</v>
      </c>
    </row>
    <row r="9423" ht="25.5">
      <c r="A9423" t="s">
        <v>9531</v>
      </c>
      <c r="B9423" s="19">
        <v>100329</v>
      </c>
      <c r="C9423" s="20" t="s">
        <v>9550</v>
      </c>
      <c r="D9423" s="19" t="s">
        <v>29</v>
      </c>
      <c r="E9423" s="21">
        <f t="shared" si="440"/>
        <v>19.379999999999999</v>
      </c>
      <c r="F9423" s="22">
        <v>0.28000000000000003</v>
      </c>
      <c r="G9423" s="21">
        <f t="shared" si="441"/>
        <v>18.68</v>
      </c>
      <c r="H9423" s="22">
        <v>0.28999999999999998</v>
      </c>
      <c r="I9423" s="23" t="str">
        <f t="shared" si="442"/>
        <v xml:space="preserve">COM VALOR</v>
      </c>
      <c r="J9423" s="19"/>
      <c r="L9423" s="21">
        <v>19.379999999999999</v>
      </c>
      <c r="M9423" s="22">
        <v>0</v>
      </c>
      <c r="N9423" s="21">
        <v>18.68</v>
      </c>
      <c r="O9423" s="22">
        <v>0</v>
      </c>
    </row>
    <row r="9424" ht="25.5">
      <c r="A9424" t="s">
        <v>9531</v>
      </c>
      <c r="B9424" s="19">
        <v>94231</v>
      </c>
      <c r="C9424" s="20" t="s">
        <v>9551</v>
      </c>
      <c r="D9424" s="19" t="s">
        <v>38</v>
      </c>
      <c r="E9424" s="21">
        <f t="shared" si="440"/>
        <v>47.030000000000001</v>
      </c>
      <c r="F9424" s="22">
        <v>0.28000000000000003</v>
      </c>
      <c r="G9424" s="21">
        <f t="shared" si="441"/>
        <v>46.549999999999997</v>
      </c>
      <c r="H9424" s="22">
        <v>0.28999999999999998</v>
      </c>
      <c r="I9424" s="23" t="str">
        <f t="shared" si="442"/>
        <v xml:space="preserve">COM VALOR</v>
      </c>
      <c r="J9424" s="19"/>
      <c r="L9424" s="21">
        <v>47.030000000000001</v>
      </c>
      <c r="M9424" s="22">
        <v>0.51000000000000001</v>
      </c>
      <c r="N9424" s="21">
        <v>46.549999999999997</v>
      </c>
      <c r="O9424" s="22">
        <v>0.51000000000000001</v>
      </c>
    </row>
    <row r="9425" ht="38.25">
      <c r="A9425" t="s">
        <v>9531</v>
      </c>
      <c r="B9425" s="19">
        <v>100435</v>
      </c>
      <c r="C9425" s="20" t="s">
        <v>9552</v>
      </c>
      <c r="D9425" s="19" t="s">
        <v>38</v>
      </c>
      <c r="E9425" s="21">
        <f t="shared" si="440"/>
        <v>63.560000000000002</v>
      </c>
      <c r="F9425" s="22">
        <v>0.27000000000000002</v>
      </c>
      <c r="G9425" s="21">
        <f t="shared" si="441"/>
        <v>63.159999999999997</v>
      </c>
      <c r="H9425" s="22">
        <v>0.28000000000000003</v>
      </c>
      <c r="I9425" s="23" t="str">
        <f t="shared" si="442"/>
        <v xml:space="preserve">COM VALOR</v>
      </c>
      <c r="J9425" s="19"/>
      <c r="L9425" s="21">
        <v>63.560000000000002</v>
      </c>
      <c r="M9425" s="22">
        <v>0</v>
      </c>
      <c r="N9425" s="21">
        <v>63.159999999999997</v>
      </c>
      <c r="O9425" s="22">
        <v>0</v>
      </c>
    </row>
    <row r="9426" ht="25.5">
      <c r="A9426" t="s">
        <v>9531</v>
      </c>
      <c r="B9426" s="19">
        <v>100327</v>
      </c>
      <c r="C9426" s="20" t="s">
        <v>9553</v>
      </c>
      <c r="D9426" s="19" t="s">
        <v>38</v>
      </c>
      <c r="E9426" s="21">
        <f t="shared" si="440"/>
        <v>53.310000000000002</v>
      </c>
      <c r="F9426" s="22">
        <v>0.27000000000000002</v>
      </c>
      <c r="G9426" s="21">
        <f t="shared" si="441"/>
        <v>52.75</v>
      </c>
      <c r="H9426" s="22">
        <v>0.28000000000000003</v>
      </c>
      <c r="I9426" s="23" t="str">
        <f t="shared" si="442"/>
        <v xml:space="preserve">COM VALOR</v>
      </c>
      <c r="J9426" s="19"/>
      <c r="L9426" s="21">
        <v>53.310000000000002</v>
      </c>
      <c r="M9426" s="22">
        <v>0.47999999999999998</v>
      </c>
      <c r="N9426" s="21">
        <v>52.75</v>
      </c>
      <c r="O9426" s="22">
        <v>0.47999999999999998</v>
      </c>
    </row>
    <row r="9427" ht="25.5">
      <c r="A9427" t="s">
        <v>9531</v>
      </c>
      <c r="B9427" s="19">
        <v>94226</v>
      </c>
      <c r="C9427" s="20" t="s">
        <v>9554</v>
      </c>
      <c r="D9427" s="19" t="s">
        <v>29</v>
      </c>
      <c r="E9427" s="21">
        <f t="shared" si="440"/>
        <v>21.219999999999999</v>
      </c>
      <c r="F9427" s="22">
        <v>0.27000000000000002</v>
      </c>
      <c r="G9427" s="21">
        <f t="shared" si="441"/>
        <v>20.699999999999999</v>
      </c>
      <c r="H9427" s="22">
        <v>0.28000000000000003</v>
      </c>
      <c r="I9427" s="23" t="str">
        <f t="shared" si="442"/>
        <v xml:space="preserve">COM VALOR</v>
      </c>
      <c r="J9427" s="19"/>
      <c r="L9427" s="21">
        <v>21.219999999999999</v>
      </c>
      <c r="M9427" s="22">
        <v>0.56999999999999995</v>
      </c>
      <c r="N9427" s="21">
        <v>20.699999999999999</v>
      </c>
      <c r="O9427" s="22">
        <v>0.57999999999999996</v>
      </c>
    </row>
    <row r="9428" ht="25.5">
      <c r="A9428" t="s">
        <v>9531</v>
      </c>
      <c r="B9428" s="19">
        <v>94201</v>
      </c>
      <c r="C9428" s="20" t="s">
        <v>9555</v>
      </c>
      <c r="D9428" s="19" t="s">
        <v>29</v>
      </c>
      <c r="E9428" s="21">
        <f t="shared" si="440"/>
        <v>62.509999999999998</v>
      </c>
      <c r="F9428" s="22">
        <v>0.27000000000000002</v>
      </c>
      <c r="G9428" s="21">
        <f t="shared" si="441"/>
        <v>61.659999999999997</v>
      </c>
      <c r="H9428" s="22">
        <v>0.28000000000000003</v>
      </c>
      <c r="I9428" s="23" t="str">
        <f t="shared" si="442"/>
        <v xml:space="preserve">COM VALOR</v>
      </c>
      <c r="J9428" s="19"/>
      <c r="L9428" s="21">
        <v>62.509999999999998</v>
      </c>
      <c r="M9428" s="22">
        <v>0</v>
      </c>
      <c r="N9428" s="21">
        <v>61.659999999999997</v>
      </c>
      <c r="O9428" s="22">
        <v>0</v>
      </c>
    </row>
    <row r="9429" ht="25.5">
      <c r="A9429" t="s">
        <v>9531</v>
      </c>
      <c r="B9429" s="19">
        <v>94204</v>
      </c>
      <c r="C9429" s="20" t="s">
        <v>9556</v>
      </c>
      <c r="D9429" s="19" t="s">
        <v>29</v>
      </c>
      <c r="E9429" s="21">
        <f t="shared" si="440"/>
        <v>68.609999999999999</v>
      </c>
      <c r="F9429" s="22">
        <v>0.27000000000000002</v>
      </c>
      <c r="G9429" s="21">
        <f t="shared" si="441"/>
        <v>67.420000000000002</v>
      </c>
      <c r="H9429" s="22">
        <v>0.28000000000000003</v>
      </c>
      <c r="I9429" s="23" t="str">
        <f t="shared" si="442"/>
        <v xml:space="preserve">COM VALOR</v>
      </c>
      <c r="J9429" s="19"/>
      <c r="L9429" s="21">
        <v>68.609999999999999</v>
      </c>
      <c r="M9429" s="22">
        <v>0</v>
      </c>
      <c r="N9429" s="21">
        <v>67.420000000000002</v>
      </c>
      <c r="O9429" s="22">
        <v>0</v>
      </c>
    </row>
    <row r="9430" ht="25.5">
      <c r="A9430" t="s">
        <v>9531</v>
      </c>
      <c r="B9430" s="19">
        <v>94447</v>
      </c>
      <c r="C9430" s="20" t="s">
        <v>9557</v>
      </c>
      <c r="D9430" s="19" t="s">
        <v>29</v>
      </c>
      <c r="E9430" s="21">
        <f t="shared" si="440"/>
        <v>62.509999999999998</v>
      </c>
      <c r="F9430" s="22">
        <v>0.27000000000000002</v>
      </c>
      <c r="G9430" s="21">
        <f t="shared" si="441"/>
        <v>61.659999999999997</v>
      </c>
      <c r="H9430" s="22">
        <v>0.28000000000000003</v>
      </c>
      <c r="I9430" s="23" t="str">
        <f t="shared" si="442"/>
        <v xml:space="preserve">COM VALOR</v>
      </c>
      <c r="J9430" s="19"/>
      <c r="L9430" s="21">
        <v>62.509999999999998</v>
      </c>
      <c r="M9430" s="22">
        <v>0</v>
      </c>
      <c r="N9430" s="21">
        <v>61.659999999999997</v>
      </c>
      <c r="O9430" s="22">
        <v>0</v>
      </c>
    </row>
    <row r="9431" ht="25.5">
      <c r="A9431" t="s">
        <v>9531</v>
      </c>
      <c r="B9431" s="19">
        <v>94448</v>
      </c>
      <c r="C9431" s="20" t="s">
        <v>9558</v>
      </c>
      <c r="D9431" s="19" t="s">
        <v>29</v>
      </c>
      <c r="E9431" s="21">
        <f t="shared" si="440"/>
        <v>68.609999999999999</v>
      </c>
      <c r="F9431" s="22">
        <v>0.32000000000000001</v>
      </c>
      <c r="G9431" s="21">
        <f t="shared" si="441"/>
        <v>67.420000000000002</v>
      </c>
      <c r="H9431" s="22">
        <v>0.33000000000000002</v>
      </c>
      <c r="I9431" s="23" t="str">
        <f t="shared" si="442"/>
        <v xml:space="preserve">COM VALOR</v>
      </c>
      <c r="J9431" s="19"/>
      <c r="L9431" s="21">
        <v>68.609999999999999</v>
      </c>
      <c r="M9431" s="22">
        <v>0</v>
      </c>
      <c r="N9431" s="21">
        <v>67.420000000000002</v>
      </c>
      <c r="O9431" s="22">
        <v>0</v>
      </c>
    </row>
    <row r="9432" ht="25.5">
      <c r="A9432" t="s">
        <v>9531</v>
      </c>
      <c r="B9432" s="19">
        <v>94445</v>
      </c>
      <c r="C9432" s="20" t="s">
        <v>9559</v>
      </c>
      <c r="D9432" s="19" t="s">
        <v>29</v>
      </c>
      <c r="E9432" s="21">
        <f t="shared" si="440"/>
        <v>62.509999999999998</v>
      </c>
      <c r="F9432" s="22">
        <v>0.27000000000000002</v>
      </c>
      <c r="G9432" s="21">
        <f t="shared" si="441"/>
        <v>61.659999999999997</v>
      </c>
      <c r="H9432" s="22">
        <v>0.28000000000000003</v>
      </c>
      <c r="I9432" s="23" t="str">
        <f t="shared" si="442"/>
        <v xml:space="preserve">COM VALOR</v>
      </c>
      <c r="J9432" s="19"/>
      <c r="L9432" s="21">
        <v>62.509999999999998</v>
      </c>
      <c r="M9432" s="22">
        <v>0</v>
      </c>
      <c r="N9432" s="21">
        <v>61.659999999999997</v>
      </c>
      <c r="O9432" s="22">
        <v>0</v>
      </c>
    </row>
    <row r="9433" ht="25.5">
      <c r="A9433" t="s">
        <v>9531</v>
      </c>
      <c r="B9433" s="19">
        <v>94446</v>
      </c>
      <c r="C9433" s="20" t="s">
        <v>9560</v>
      </c>
      <c r="D9433" s="19" t="s">
        <v>29</v>
      </c>
      <c r="E9433" s="21">
        <f t="shared" si="440"/>
        <v>68.609999999999999</v>
      </c>
      <c r="F9433" s="22">
        <v>0.27000000000000002</v>
      </c>
      <c r="G9433" s="21">
        <f t="shared" si="441"/>
        <v>67.420000000000002</v>
      </c>
      <c r="H9433" s="22">
        <v>0.28000000000000003</v>
      </c>
      <c r="I9433" s="23" t="str">
        <f t="shared" si="442"/>
        <v xml:space="preserve">COM VALOR</v>
      </c>
      <c r="J9433" s="19"/>
      <c r="L9433" s="21">
        <v>68.609999999999999</v>
      </c>
      <c r="M9433" s="22">
        <v>0</v>
      </c>
      <c r="N9433" s="21">
        <v>67.420000000000002</v>
      </c>
      <c r="O9433" s="22">
        <v>0</v>
      </c>
    </row>
    <row r="9434" ht="25.5">
      <c r="A9434" t="s">
        <v>9531</v>
      </c>
      <c r="B9434" s="19">
        <v>94440</v>
      </c>
      <c r="C9434" s="20" t="s">
        <v>9561</v>
      </c>
      <c r="D9434" s="19" t="s">
        <v>29</v>
      </c>
      <c r="E9434" s="21">
        <f t="shared" si="440"/>
        <v>43.979999999999997</v>
      </c>
      <c r="F9434" s="22">
        <v>0.29999999999999999</v>
      </c>
      <c r="G9434" s="21">
        <f t="shared" si="441"/>
        <v>43.439999999999998</v>
      </c>
      <c r="H9434" s="22">
        <v>0.31</v>
      </c>
      <c r="I9434" s="23" t="str">
        <f t="shared" si="442"/>
        <v xml:space="preserve">COM VALOR</v>
      </c>
      <c r="J9434" s="19"/>
      <c r="L9434" s="21">
        <v>43.979999999999997</v>
      </c>
      <c r="M9434" s="22">
        <v>0</v>
      </c>
      <c r="N9434" s="21">
        <v>43.439999999999998</v>
      </c>
      <c r="O9434" s="22">
        <v>0</v>
      </c>
    </row>
    <row r="9435" ht="25.5">
      <c r="A9435" t="s">
        <v>9531</v>
      </c>
      <c r="B9435" s="19">
        <v>94441</v>
      </c>
      <c r="C9435" s="20" t="s">
        <v>9562</v>
      </c>
      <c r="D9435" s="19" t="s">
        <v>29</v>
      </c>
      <c r="E9435" s="21">
        <f t="shared" si="440"/>
        <v>47.57</v>
      </c>
      <c r="F9435" s="22">
        <v>0.27000000000000002</v>
      </c>
      <c r="G9435" s="21">
        <f t="shared" si="441"/>
        <v>46.829999999999998</v>
      </c>
      <c r="H9435" s="22">
        <v>0.28000000000000003</v>
      </c>
      <c r="I9435" s="23" t="str">
        <f t="shared" si="442"/>
        <v xml:space="preserve">COM VALOR</v>
      </c>
      <c r="J9435" s="19"/>
      <c r="L9435" s="21">
        <v>47.57</v>
      </c>
      <c r="M9435" s="22">
        <v>0</v>
      </c>
      <c r="N9435" s="21">
        <v>46.829999999999998</v>
      </c>
      <c r="O9435" s="22">
        <v>0</v>
      </c>
    </row>
    <row r="9436" ht="25.5">
      <c r="A9436" t="s">
        <v>9531</v>
      </c>
      <c r="B9436" s="19">
        <v>94195</v>
      </c>
      <c r="C9436" s="20" t="s">
        <v>9563</v>
      </c>
      <c r="D9436" s="19" t="s">
        <v>29</v>
      </c>
      <c r="E9436" s="21">
        <f t="shared" si="440"/>
        <v>43.979999999999997</v>
      </c>
      <c r="F9436" s="22">
        <v>0.27000000000000002</v>
      </c>
      <c r="G9436" s="21">
        <f t="shared" si="441"/>
        <v>43.439999999999998</v>
      </c>
      <c r="H9436" s="22">
        <v>0.28000000000000003</v>
      </c>
      <c r="I9436" s="23" t="str">
        <f t="shared" si="442"/>
        <v xml:space="preserve">COM VALOR</v>
      </c>
      <c r="J9436" s="19"/>
      <c r="L9436" s="21">
        <v>43.979999999999997</v>
      </c>
      <c r="M9436" s="22">
        <v>0</v>
      </c>
      <c r="N9436" s="21">
        <v>43.439999999999998</v>
      </c>
      <c r="O9436" s="22">
        <v>0</v>
      </c>
    </row>
    <row r="9437" ht="25.5">
      <c r="A9437" t="s">
        <v>9531</v>
      </c>
      <c r="B9437" s="19">
        <v>94198</v>
      </c>
      <c r="C9437" s="20" t="s">
        <v>9564</v>
      </c>
      <c r="D9437" s="19" t="s">
        <v>29</v>
      </c>
      <c r="E9437" s="21">
        <f t="shared" si="440"/>
        <v>47.57</v>
      </c>
      <c r="F9437" s="22">
        <v>0.28999999999999998</v>
      </c>
      <c r="G9437" s="21">
        <f t="shared" si="441"/>
        <v>46.829999999999998</v>
      </c>
      <c r="H9437" s="22">
        <v>0.29999999999999999</v>
      </c>
      <c r="I9437" s="23" t="str">
        <f t="shared" si="442"/>
        <v xml:space="preserve">COM VALOR</v>
      </c>
      <c r="J9437" s="19"/>
      <c r="L9437" s="21">
        <v>47.57</v>
      </c>
      <c r="M9437" s="22">
        <v>0</v>
      </c>
      <c r="N9437" s="21">
        <v>46.829999999999998</v>
      </c>
      <c r="O9437" s="22">
        <v>0</v>
      </c>
    </row>
    <row r="9438" ht="25.5">
      <c r="A9438" t="s">
        <v>9531</v>
      </c>
      <c r="B9438" s="19">
        <v>94442</v>
      </c>
      <c r="C9438" s="20" t="s">
        <v>9565</v>
      </c>
      <c r="D9438" s="19" t="s">
        <v>29</v>
      </c>
      <c r="E9438" s="21">
        <f t="shared" si="440"/>
        <v>43.979999999999997</v>
      </c>
      <c r="F9438" s="22">
        <v>0.28000000000000003</v>
      </c>
      <c r="G9438" s="21">
        <f t="shared" si="441"/>
        <v>43.439999999999998</v>
      </c>
      <c r="H9438" s="22">
        <v>0.28999999999999998</v>
      </c>
      <c r="I9438" s="23" t="str">
        <f t="shared" si="442"/>
        <v xml:space="preserve">COM VALOR</v>
      </c>
      <c r="J9438" s="19"/>
      <c r="L9438" s="21">
        <v>43.979999999999997</v>
      </c>
      <c r="M9438" s="22">
        <v>0</v>
      </c>
      <c r="N9438" s="21">
        <v>43.439999999999998</v>
      </c>
      <c r="O9438" s="22">
        <v>0</v>
      </c>
    </row>
    <row r="9439" ht="25.5">
      <c r="A9439" t="s">
        <v>9531</v>
      </c>
      <c r="B9439" s="19">
        <v>94443</v>
      </c>
      <c r="C9439" s="20" t="s">
        <v>9566</v>
      </c>
      <c r="D9439" s="19" t="s">
        <v>29</v>
      </c>
      <c r="E9439" s="21">
        <f t="shared" si="440"/>
        <v>47.57</v>
      </c>
      <c r="F9439" s="22">
        <v>0.27000000000000002</v>
      </c>
      <c r="G9439" s="21">
        <f t="shared" si="441"/>
        <v>46.829999999999998</v>
      </c>
      <c r="H9439" s="22">
        <v>0.28999999999999998</v>
      </c>
      <c r="I9439" s="23" t="str">
        <f t="shared" si="442"/>
        <v xml:space="preserve">COM VALOR</v>
      </c>
      <c r="J9439" s="19"/>
      <c r="L9439" s="21">
        <v>47.57</v>
      </c>
      <c r="M9439" s="22">
        <v>0</v>
      </c>
      <c r="N9439" s="21">
        <v>46.829999999999998</v>
      </c>
      <c r="O9439" s="22">
        <v>0</v>
      </c>
    </row>
    <row r="9440" ht="25.5">
      <c r="A9440" t="s">
        <v>9531</v>
      </c>
      <c r="B9440" s="19">
        <v>94213</v>
      </c>
      <c r="C9440" s="20" t="s">
        <v>9567</v>
      </c>
      <c r="D9440" s="19" t="s">
        <v>29</v>
      </c>
      <c r="E9440" s="21">
        <f t="shared" si="440"/>
        <v>71.629999999999995</v>
      </c>
      <c r="F9440" s="22">
        <v>0.27000000000000002</v>
      </c>
      <c r="G9440" s="21">
        <f t="shared" si="441"/>
        <v>71.370000000000005</v>
      </c>
      <c r="H9440" s="22">
        <v>0.28000000000000003</v>
      </c>
      <c r="I9440" s="23" t="str">
        <f t="shared" si="442"/>
        <v xml:space="preserve">COM VALOR</v>
      </c>
      <c r="J9440" s="19"/>
      <c r="L9440" s="21">
        <v>71.629999999999995</v>
      </c>
      <c r="M9440" s="22">
        <v>0.85999999999999999</v>
      </c>
      <c r="N9440" s="21">
        <v>71.370000000000005</v>
      </c>
      <c r="O9440" s="22">
        <v>0.85999999999999999</v>
      </c>
    </row>
    <row r="9441" ht="25.5">
      <c r="A9441" t="s">
        <v>9531</v>
      </c>
      <c r="B9441" s="19">
        <v>94189</v>
      </c>
      <c r="C9441" s="20" t="s">
        <v>9568</v>
      </c>
      <c r="D9441" s="19" t="s">
        <v>29</v>
      </c>
      <c r="E9441" s="21">
        <f t="shared" si="440"/>
        <v>48.560000000000002</v>
      </c>
      <c r="F9441" s="22">
        <v>0.27000000000000002</v>
      </c>
      <c r="G9441" s="21">
        <f t="shared" si="441"/>
        <v>48.25</v>
      </c>
      <c r="H9441" s="22">
        <v>0.28000000000000003</v>
      </c>
      <c r="I9441" s="23" t="str">
        <f t="shared" si="442"/>
        <v xml:space="preserve">COM VALOR</v>
      </c>
      <c r="J9441" s="19"/>
      <c r="L9441" s="21">
        <v>48.560000000000002</v>
      </c>
      <c r="M9441" s="22">
        <v>0</v>
      </c>
      <c r="N9441" s="21">
        <v>48.25</v>
      </c>
      <c r="O9441" s="22">
        <v>0</v>
      </c>
    </row>
    <row r="9442" ht="25.5">
      <c r="A9442" t="s">
        <v>9531</v>
      </c>
      <c r="B9442" s="19">
        <v>94192</v>
      </c>
      <c r="C9442" s="20" t="s">
        <v>9569</v>
      </c>
      <c r="D9442" s="19" t="s">
        <v>29</v>
      </c>
      <c r="E9442" s="21">
        <f t="shared" si="440"/>
        <v>51.270000000000003</v>
      </c>
      <c r="F9442" s="22">
        <v>0.27000000000000002</v>
      </c>
      <c r="G9442" s="21">
        <f t="shared" si="441"/>
        <v>50.82</v>
      </c>
      <c r="H9442" s="22">
        <v>0.28000000000000003</v>
      </c>
      <c r="I9442" s="23" t="str">
        <f t="shared" si="442"/>
        <v xml:space="preserve">COM VALOR</v>
      </c>
      <c r="J9442" s="19"/>
      <c r="L9442" s="21">
        <v>51.270000000000003</v>
      </c>
      <c r="M9442" s="22">
        <v>0</v>
      </c>
      <c r="N9442" s="21">
        <v>50.82</v>
      </c>
      <c r="O9442" s="22">
        <v>0</v>
      </c>
    </row>
    <row r="9443" ht="25.5">
      <c r="A9443" t="s">
        <v>9531</v>
      </c>
      <c r="B9443" s="19">
        <v>94444</v>
      </c>
      <c r="C9443" s="20" t="s">
        <v>9570</v>
      </c>
      <c r="D9443" s="19" t="s">
        <v>29</v>
      </c>
      <c r="E9443" s="21">
        <f t="shared" si="440"/>
        <v>660.58000000000004</v>
      </c>
      <c r="F9443" s="22">
        <v>0.27000000000000002</v>
      </c>
      <c r="G9443" s="21">
        <f t="shared" si="441"/>
        <v>660.03999999999996</v>
      </c>
      <c r="H9443" s="22">
        <v>0.28000000000000003</v>
      </c>
      <c r="I9443" s="23" t="str">
        <f t="shared" si="442"/>
        <v xml:space="preserve">COM VALOR</v>
      </c>
      <c r="J9443" s="19"/>
      <c r="L9443" s="21">
        <v>660.58000000000004</v>
      </c>
      <c r="M9443" s="22">
        <v>0.98999999999999999</v>
      </c>
      <c r="N9443" s="21">
        <v>660.03999999999996</v>
      </c>
      <c r="O9443" s="22">
        <v>0.98999999999999999</v>
      </c>
    </row>
    <row r="9444" ht="25.5">
      <c r="A9444" t="s">
        <v>9531</v>
      </c>
      <c r="B9444" s="19">
        <v>94218</v>
      </c>
      <c r="C9444" s="20" t="s">
        <v>9571</v>
      </c>
      <c r="D9444" s="19" t="s">
        <v>29</v>
      </c>
      <c r="E9444" s="21">
        <f t="shared" si="440"/>
        <v>123.13</v>
      </c>
      <c r="F9444" s="22">
        <v>0.27000000000000002</v>
      </c>
      <c r="G9444" s="21">
        <f t="shared" si="441"/>
        <v>122.7</v>
      </c>
      <c r="H9444" s="22">
        <v>0.28000000000000003</v>
      </c>
      <c r="I9444" s="23" t="str">
        <f t="shared" si="442"/>
        <v xml:space="preserve">COM VALOR</v>
      </c>
      <c r="J9444" s="19"/>
      <c r="L9444" s="21">
        <v>123.13</v>
      </c>
      <c r="M9444" s="22">
        <v>0</v>
      </c>
      <c r="N9444" s="21">
        <v>122.7</v>
      </c>
      <c r="O9444" s="22">
        <v>0</v>
      </c>
    </row>
    <row r="9445" ht="25.5">
      <c r="A9445" t="s">
        <v>9531</v>
      </c>
      <c r="B9445" s="19">
        <v>94216</v>
      </c>
      <c r="C9445" s="20" t="s">
        <v>9572</v>
      </c>
      <c r="D9445" s="19" t="s">
        <v>29</v>
      </c>
      <c r="E9445" s="21">
        <f t="shared" si="440"/>
        <v>210.30000000000001</v>
      </c>
      <c r="F9445" s="22">
        <v>0.27000000000000002</v>
      </c>
      <c r="G9445" s="21">
        <f t="shared" si="441"/>
        <v>210.13</v>
      </c>
      <c r="H9445" s="22">
        <v>0.28000000000000003</v>
      </c>
      <c r="I9445" s="23" t="str">
        <f t="shared" si="442"/>
        <v xml:space="preserve">COM VALOR</v>
      </c>
      <c r="J9445" s="19"/>
      <c r="L9445" s="21">
        <v>210.30000000000001</v>
      </c>
      <c r="M9445" s="22">
        <v>0.95999999999999996</v>
      </c>
      <c r="N9445" s="21">
        <v>210.13</v>
      </c>
      <c r="O9445" s="22">
        <v>0.95999999999999996</v>
      </c>
    </row>
    <row r="9446" ht="38.25">
      <c r="A9446" t="s">
        <v>9531</v>
      </c>
      <c r="B9446" s="19">
        <v>94449</v>
      </c>
      <c r="C9446" s="20" t="s">
        <v>9573</v>
      </c>
      <c r="D9446" s="19" t="s">
        <v>29</v>
      </c>
      <c r="E9446" s="21">
        <f t="shared" si="440"/>
        <v>62.770000000000003</v>
      </c>
      <c r="F9446" s="22">
        <v>0.27000000000000002</v>
      </c>
      <c r="G9446" s="21">
        <f t="shared" si="441"/>
        <v>62.380000000000003</v>
      </c>
      <c r="H9446" s="22">
        <v>0.28000000000000003</v>
      </c>
      <c r="I9446" s="23" t="str">
        <f t="shared" si="442"/>
        <v xml:space="preserve">COM VALOR</v>
      </c>
      <c r="J9446" s="19"/>
      <c r="L9446" s="21">
        <v>62.770000000000003</v>
      </c>
      <c r="M9446" s="22">
        <v>0.82999999999999996</v>
      </c>
      <c r="N9446" s="21">
        <v>62.380000000000003</v>
      </c>
      <c r="O9446" s="22">
        <v>0.83999999999999997</v>
      </c>
    </row>
    <row r="9447" ht="51">
      <c r="A9447" t="s">
        <v>9531</v>
      </c>
      <c r="B9447" s="19">
        <v>94210</v>
      </c>
      <c r="C9447" s="20" t="s">
        <v>9574</v>
      </c>
      <c r="D9447" s="19" t="s">
        <v>29</v>
      </c>
      <c r="E9447" s="21">
        <f t="shared" si="440"/>
        <v>49.520000000000003</v>
      </c>
      <c r="F9447" s="22">
        <v>0.31</v>
      </c>
      <c r="G9447" s="21">
        <f t="shared" si="441"/>
        <v>49.100000000000001</v>
      </c>
      <c r="H9447" s="22">
        <v>0.32000000000000001</v>
      </c>
      <c r="I9447" s="23" t="str">
        <f t="shared" si="442"/>
        <v xml:space="preserve">COM VALOR</v>
      </c>
      <c r="J9447" s="19"/>
      <c r="L9447" s="21">
        <v>49.520000000000003</v>
      </c>
      <c r="M9447" s="22">
        <v>0</v>
      </c>
      <c r="N9447" s="21">
        <v>49.100000000000001</v>
      </c>
      <c r="O9447" s="22">
        <v>0</v>
      </c>
    </row>
    <row r="9448" ht="51">
      <c r="A9448" t="s">
        <v>9531</v>
      </c>
      <c r="B9448" s="19">
        <v>94207</v>
      </c>
      <c r="C9448" s="20" t="s">
        <v>9575</v>
      </c>
      <c r="D9448" s="19" t="s">
        <v>29</v>
      </c>
      <c r="E9448" s="21">
        <f t="shared" si="440"/>
        <v>46.509999999999998</v>
      </c>
      <c r="F9448" s="22">
        <v>0.27000000000000002</v>
      </c>
      <c r="G9448" s="21">
        <f t="shared" si="441"/>
        <v>46.119999999999997</v>
      </c>
      <c r="H9448" s="22">
        <v>0.28000000000000003</v>
      </c>
      <c r="I9448" s="23" t="str">
        <f t="shared" si="442"/>
        <v xml:space="preserve">COM VALOR</v>
      </c>
      <c r="J9448" s="19"/>
      <c r="L9448" s="21">
        <v>46.509999999999998</v>
      </c>
      <c r="M9448" s="22">
        <v>0</v>
      </c>
      <c r="N9448" s="21">
        <v>46.119999999999997</v>
      </c>
      <c r="O9448" s="22">
        <v>0</v>
      </c>
    </row>
    <row r="9449" ht="25.5">
      <c r="A9449" t="s">
        <v>9576</v>
      </c>
      <c r="B9449" s="19">
        <v>102109</v>
      </c>
      <c r="C9449" s="20" t="s">
        <v>9577</v>
      </c>
      <c r="D9449" s="19" t="s">
        <v>31</v>
      </c>
      <c r="E9449" s="21">
        <f t="shared" si="440"/>
        <v>88.189999999999998</v>
      </c>
      <c r="F9449" s="22">
        <v>0.27000000000000002</v>
      </c>
      <c r="G9449" s="21">
        <f t="shared" si="441"/>
        <v>86.799999999999997</v>
      </c>
      <c r="H9449" s="22">
        <v>0.28000000000000003</v>
      </c>
      <c r="I9449" s="23" t="str">
        <f t="shared" si="442"/>
        <v xml:space="preserve">COM VALOR</v>
      </c>
      <c r="J9449" s="19"/>
      <c r="L9449" s="21">
        <v>88.189999999999998</v>
      </c>
      <c r="M9449" s="22">
        <v>0</v>
      </c>
      <c r="N9449" s="21">
        <v>86.799999999999997</v>
      </c>
      <c r="O9449" s="22">
        <v>0</v>
      </c>
    </row>
    <row r="9450" ht="25.5">
      <c r="A9450" t="s">
        <v>9576</v>
      </c>
      <c r="B9450" s="19">
        <v>102110</v>
      </c>
      <c r="C9450" s="20" t="s">
        <v>9578</v>
      </c>
      <c r="D9450" s="19" t="s">
        <v>31</v>
      </c>
      <c r="E9450" s="21">
        <f t="shared" si="440"/>
        <v>302.60000000000002</v>
      </c>
      <c r="F9450" s="22">
        <v>0.27000000000000002</v>
      </c>
      <c r="G9450" s="21">
        <f t="shared" si="441"/>
        <v>301.20999999999998</v>
      </c>
      <c r="H9450" s="22">
        <v>0.28000000000000003</v>
      </c>
      <c r="I9450" s="23" t="str">
        <f t="shared" si="442"/>
        <v xml:space="preserve">COM VALOR</v>
      </c>
      <c r="J9450" s="19"/>
      <c r="L9450" s="21">
        <v>302.60000000000002</v>
      </c>
      <c r="M9450" s="22">
        <v>0</v>
      </c>
      <c r="N9450" s="21">
        <v>301.20999999999998</v>
      </c>
      <c r="O9450" s="22">
        <v>0</v>
      </c>
    </row>
    <row r="9451" ht="38.25">
      <c r="A9451" t="s">
        <v>9576</v>
      </c>
      <c r="B9451" s="19">
        <v>103656</v>
      </c>
      <c r="C9451" s="20" t="s">
        <v>9579</v>
      </c>
      <c r="D9451" s="19" t="s">
        <v>31</v>
      </c>
      <c r="E9451" s="21">
        <f t="shared" si="440"/>
        <v>185281.35000000001</v>
      </c>
      <c r="F9451" s="22">
        <v>0.25</v>
      </c>
      <c r="G9451" s="21">
        <f t="shared" si="441"/>
        <v>185237.60999999999</v>
      </c>
      <c r="H9451" s="22">
        <v>0.26000000000000001</v>
      </c>
      <c r="I9451" s="23" t="str">
        <f t="shared" si="442"/>
        <v xml:space="preserve">COM VALOR</v>
      </c>
      <c r="J9451" s="19"/>
      <c r="L9451" s="21">
        <v>185281.35000000001</v>
      </c>
      <c r="M9451" s="22">
        <v>0</v>
      </c>
      <c r="N9451" s="21">
        <v>185237.60999999999</v>
      </c>
      <c r="O9451" s="22">
        <v>0</v>
      </c>
    </row>
    <row r="9452" ht="38.25">
      <c r="A9452" t="s">
        <v>9576</v>
      </c>
      <c r="B9452" s="19">
        <v>102105</v>
      </c>
      <c r="C9452" s="20" t="s">
        <v>9580</v>
      </c>
      <c r="D9452" s="19" t="s">
        <v>31</v>
      </c>
      <c r="E9452" s="21">
        <f t="shared" si="440"/>
        <v>29100.810000000001</v>
      </c>
      <c r="F9452" s="22">
        <v>0.25</v>
      </c>
      <c r="G9452" s="21">
        <f t="shared" si="441"/>
        <v>29071.349999999999</v>
      </c>
      <c r="H9452" s="22">
        <v>0.26000000000000001</v>
      </c>
      <c r="I9452" s="23" t="str">
        <f t="shared" si="442"/>
        <v xml:space="preserve">COM VALOR</v>
      </c>
      <c r="J9452" s="19"/>
      <c r="L9452" s="21">
        <v>29100.810000000001</v>
      </c>
      <c r="M9452" s="22">
        <v>0</v>
      </c>
      <c r="N9452" s="21">
        <v>29071.349999999999</v>
      </c>
      <c r="O9452" s="22">
        <v>0</v>
      </c>
    </row>
    <row r="9453" ht="38.25">
      <c r="A9453" t="s">
        <v>9576</v>
      </c>
      <c r="B9453" s="19">
        <v>102106</v>
      </c>
      <c r="C9453" s="20" t="s">
        <v>9581</v>
      </c>
      <c r="D9453" s="19" t="s">
        <v>31</v>
      </c>
      <c r="E9453" s="21">
        <f t="shared" si="440"/>
        <v>36563.610000000001</v>
      </c>
      <c r="F9453" s="22">
        <v>0.26000000000000001</v>
      </c>
      <c r="G9453" s="21">
        <f t="shared" si="441"/>
        <v>36533.68</v>
      </c>
      <c r="H9453" s="22">
        <v>0.27000000000000002</v>
      </c>
      <c r="I9453" s="23" t="str">
        <f t="shared" si="442"/>
        <v xml:space="preserve">COM VALOR</v>
      </c>
      <c r="J9453" s="19"/>
      <c r="L9453" s="21">
        <v>36563.610000000001</v>
      </c>
      <c r="M9453" s="22">
        <v>0</v>
      </c>
      <c r="N9453" s="21">
        <v>36533.68</v>
      </c>
      <c r="O9453" s="22">
        <v>0</v>
      </c>
    </row>
    <row r="9454" ht="38.25">
      <c r="A9454" t="s">
        <v>9576</v>
      </c>
      <c r="B9454" s="19">
        <v>102107</v>
      </c>
      <c r="C9454" s="20" t="s">
        <v>9582</v>
      </c>
      <c r="D9454" s="19" t="s">
        <v>31</v>
      </c>
      <c r="E9454" s="21">
        <f t="shared" si="440"/>
        <v>51103.639999999999</v>
      </c>
      <c r="F9454" s="22">
        <v>0.26000000000000001</v>
      </c>
      <c r="G9454" s="21">
        <f t="shared" si="441"/>
        <v>51071.959999999999</v>
      </c>
      <c r="H9454" s="22">
        <v>0.27000000000000002</v>
      </c>
      <c r="I9454" s="23" t="str">
        <f t="shared" si="442"/>
        <v xml:space="preserve">COM VALOR</v>
      </c>
      <c r="J9454" s="19"/>
      <c r="L9454" s="21">
        <v>51103.639999999999</v>
      </c>
      <c r="M9454" s="22">
        <v>0</v>
      </c>
      <c r="N9454" s="21">
        <v>51071.959999999999</v>
      </c>
      <c r="O9454" s="22">
        <v>0</v>
      </c>
    </row>
    <row r="9455" ht="38.25">
      <c r="A9455" t="s">
        <v>9576</v>
      </c>
      <c r="B9455" s="19">
        <v>102102</v>
      </c>
      <c r="C9455" s="20" t="s">
        <v>9583</v>
      </c>
      <c r="D9455" s="19" t="s">
        <v>31</v>
      </c>
      <c r="E9455" s="21">
        <f t="shared" si="440"/>
        <v>16500.259999999998</v>
      </c>
      <c r="F9455" s="22">
        <v>0.26000000000000001</v>
      </c>
      <c r="G9455" s="21">
        <f t="shared" si="441"/>
        <v>16472.860000000001</v>
      </c>
      <c r="H9455" s="22">
        <v>0.27000000000000002</v>
      </c>
      <c r="I9455" s="23" t="str">
        <f t="shared" si="442"/>
        <v xml:space="preserve">COM VALOR</v>
      </c>
      <c r="J9455" s="19"/>
      <c r="L9455" s="21">
        <v>16500.259999999998</v>
      </c>
      <c r="M9455" s="22">
        <v>0</v>
      </c>
      <c r="N9455" s="21">
        <v>16472.860000000001</v>
      </c>
      <c r="O9455" s="22">
        <v>0</v>
      </c>
    </row>
    <row r="9456" ht="38.25">
      <c r="A9456" t="s">
        <v>9576</v>
      </c>
      <c r="B9456" s="19">
        <v>102108</v>
      </c>
      <c r="C9456" s="20" t="s">
        <v>9584</v>
      </c>
      <c r="D9456" s="19" t="s">
        <v>31</v>
      </c>
      <c r="E9456" s="21">
        <f t="shared" si="440"/>
        <v>59544.269999999997</v>
      </c>
      <c r="F9456" s="22">
        <v>0.26000000000000001</v>
      </c>
      <c r="G9456" s="21">
        <f t="shared" si="441"/>
        <v>59511.529999999999</v>
      </c>
      <c r="H9456" s="22">
        <v>0.27000000000000002</v>
      </c>
      <c r="I9456" s="23" t="str">
        <f t="shared" si="442"/>
        <v xml:space="preserve">COM VALOR</v>
      </c>
      <c r="J9456" s="19"/>
      <c r="L9456" s="21">
        <v>59544.269999999997</v>
      </c>
      <c r="M9456" s="22">
        <v>0</v>
      </c>
      <c r="N9456" s="21">
        <v>59511.529999999999</v>
      </c>
      <c r="O9456" s="22">
        <v>0</v>
      </c>
    </row>
    <row r="9457" ht="38.25">
      <c r="A9457" t="s">
        <v>9576</v>
      </c>
      <c r="B9457" s="19">
        <v>102103</v>
      </c>
      <c r="C9457" s="20" t="s">
        <v>9585</v>
      </c>
      <c r="D9457" s="19" t="s">
        <v>31</v>
      </c>
      <c r="E9457" s="21">
        <f t="shared" si="440"/>
        <v>18383</v>
      </c>
      <c r="F9457" s="22">
        <v>0.26000000000000001</v>
      </c>
      <c r="G9457" s="21">
        <f t="shared" si="441"/>
        <v>18355.139999999999</v>
      </c>
      <c r="H9457" s="22">
        <v>0.27000000000000002</v>
      </c>
      <c r="I9457" s="23" t="str">
        <f t="shared" si="442"/>
        <v xml:space="preserve">COM VALOR</v>
      </c>
      <c r="J9457" s="19"/>
      <c r="L9457" s="21">
        <v>18383</v>
      </c>
      <c r="M9457" s="22">
        <v>0</v>
      </c>
      <c r="N9457" s="21">
        <v>18355.139999999999</v>
      </c>
      <c r="O9457" s="22">
        <v>0</v>
      </c>
    </row>
    <row r="9458" ht="38.25">
      <c r="A9458" t="s">
        <v>9576</v>
      </c>
      <c r="B9458" s="19">
        <v>103654</v>
      </c>
      <c r="C9458" s="20" t="s">
        <v>9586</v>
      </c>
      <c r="D9458" s="19" t="s">
        <v>31</v>
      </c>
      <c r="E9458" s="21">
        <f t="shared" si="440"/>
        <v>96657.809999999998</v>
      </c>
      <c r="F9458" s="22">
        <v>0.25</v>
      </c>
      <c r="G9458" s="21">
        <f t="shared" si="441"/>
        <v>96625.149999999994</v>
      </c>
      <c r="H9458" s="22">
        <v>0.27000000000000002</v>
      </c>
      <c r="I9458" s="23" t="str">
        <f t="shared" si="442"/>
        <v xml:space="preserve">COM VALOR</v>
      </c>
      <c r="J9458" s="19"/>
      <c r="L9458" s="21">
        <v>96657.809999999998</v>
      </c>
      <c r="M9458" s="22">
        <v>0</v>
      </c>
      <c r="N9458" s="21">
        <v>96625.149999999994</v>
      </c>
      <c r="O9458" s="22">
        <v>0</v>
      </c>
    </row>
    <row r="9459" ht="38.25">
      <c r="A9459" t="s">
        <v>9576</v>
      </c>
      <c r="B9459" s="19">
        <v>102104</v>
      </c>
      <c r="C9459" s="20" t="s">
        <v>9587</v>
      </c>
      <c r="D9459" s="19" t="s">
        <v>31</v>
      </c>
      <c r="E9459" s="21">
        <f t="shared" si="440"/>
        <v>23639.139999999999</v>
      </c>
      <c r="F9459" s="22">
        <v>0.26000000000000001</v>
      </c>
      <c r="G9459" s="21">
        <f t="shared" si="441"/>
        <v>23610.470000000001</v>
      </c>
      <c r="H9459" s="22">
        <v>0.27000000000000002</v>
      </c>
      <c r="I9459" s="23" t="str">
        <f t="shared" si="442"/>
        <v xml:space="preserve">COM VALOR</v>
      </c>
      <c r="J9459" s="19"/>
      <c r="L9459" s="21">
        <v>23639.139999999999</v>
      </c>
      <c r="M9459" s="22">
        <v>0</v>
      </c>
      <c r="N9459" s="21">
        <v>23610.470000000001</v>
      </c>
      <c r="O9459" s="22">
        <v>0</v>
      </c>
    </row>
    <row r="9460" ht="38.25">
      <c r="A9460" t="s">
        <v>9576</v>
      </c>
      <c r="B9460" s="19">
        <v>103655</v>
      </c>
      <c r="C9460" s="20" t="s">
        <v>9588</v>
      </c>
      <c r="D9460" s="19" t="s">
        <v>31</v>
      </c>
      <c r="E9460" s="21">
        <f t="shared" si="440"/>
        <v>132462.07999999999</v>
      </c>
      <c r="F9460" s="22">
        <v>0.25</v>
      </c>
      <c r="G9460" s="21">
        <f t="shared" si="441"/>
        <v>132423.85000000001</v>
      </c>
      <c r="H9460" s="22">
        <v>0.27000000000000002</v>
      </c>
      <c r="I9460" s="23" t="str">
        <f t="shared" si="442"/>
        <v xml:space="preserve">COM VALOR</v>
      </c>
      <c r="J9460" s="19"/>
      <c r="L9460" s="21">
        <v>132462.07999999999</v>
      </c>
      <c r="M9460" s="22">
        <v>0</v>
      </c>
      <c r="N9460" s="21">
        <v>132423.85000000001</v>
      </c>
      <c r="O9460" s="22">
        <v>0</v>
      </c>
    </row>
    <row r="9461" ht="51">
      <c r="A9461" t="s">
        <v>9589</v>
      </c>
      <c r="B9461" s="19">
        <v>105473</v>
      </c>
      <c r="C9461" s="20" t="s">
        <v>9590</v>
      </c>
      <c r="D9461" s="19" t="s">
        <v>9591</v>
      </c>
      <c r="E9461" s="21" t="str">
        <f t="shared" si="440"/>
        <v>VERIFICAR</v>
      </c>
      <c r="F9461" s="22">
        <v>0.25</v>
      </c>
      <c r="G9461" s="21" t="str">
        <f t="shared" si="441"/>
        <v>VERIFICAR</v>
      </c>
      <c r="H9461" s="22">
        <v>0.26000000000000001</v>
      </c>
      <c r="I9461" s="23" t="str">
        <f t="shared" si="442"/>
        <v xml:space="preserve">COM VALOR</v>
      </c>
      <c r="J9461" s="19"/>
      <c r="L9461" s="21">
        <v>0</v>
      </c>
      <c r="M9461" s="22"/>
      <c r="N9461" s="21">
        <v>0</v>
      </c>
      <c r="O9461" s="22"/>
    </row>
    <row r="9462" ht="51">
      <c r="A9462" t="s">
        <v>9589</v>
      </c>
      <c r="B9462" s="19">
        <v>105414</v>
      </c>
      <c r="C9462" s="20" t="s">
        <v>9592</v>
      </c>
      <c r="D9462" s="19" t="s">
        <v>9591</v>
      </c>
      <c r="E9462" s="21" t="str">
        <f t="shared" si="440"/>
        <v>VERIFICAR</v>
      </c>
      <c r="F9462" s="22">
        <v>0.25</v>
      </c>
      <c r="G9462" s="21" t="str">
        <f t="shared" si="441"/>
        <v>VERIFICAR</v>
      </c>
      <c r="H9462" s="22">
        <v>0.26000000000000001</v>
      </c>
      <c r="I9462" s="23" t="str">
        <f t="shared" si="442"/>
        <v xml:space="preserve">COM VALOR</v>
      </c>
      <c r="J9462" s="19"/>
      <c r="L9462" s="21">
        <v>0</v>
      </c>
      <c r="M9462" s="22"/>
      <c r="N9462" s="21">
        <v>0</v>
      </c>
      <c r="O9462" s="22"/>
    </row>
    <row r="9463" ht="51">
      <c r="A9463" t="s">
        <v>9589</v>
      </c>
      <c r="B9463" s="19">
        <v>105424</v>
      </c>
      <c r="C9463" s="20" t="s">
        <v>9593</v>
      </c>
      <c r="D9463" s="19" t="s">
        <v>9591</v>
      </c>
      <c r="E9463" s="21" t="str">
        <f t="shared" si="440"/>
        <v>VERIFICAR</v>
      </c>
      <c r="F9463" s="22">
        <v>0.27000000000000002</v>
      </c>
      <c r="G9463" s="21" t="str">
        <f t="shared" si="441"/>
        <v>VERIFICAR</v>
      </c>
      <c r="H9463" s="22">
        <v>0.28000000000000003</v>
      </c>
      <c r="I9463" s="23" t="str">
        <f t="shared" si="442"/>
        <v xml:space="preserve">COM VALOR</v>
      </c>
      <c r="J9463" s="19"/>
      <c r="L9463" s="21">
        <v>0</v>
      </c>
      <c r="M9463" s="22"/>
      <c r="N9463" s="21">
        <v>0</v>
      </c>
      <c r="O9463" s="22"/>
    </row>
    <row r="9464" ht="51">
      <c r="A9464" t="s">
        <v>9589</v>
      </c>
      <c r="B9464" s="19">
        <v>105448</v>
      </c>
      <c r="C9464" s="20" t="s">
        <v>9594</v>
      </c>
      <c r="D9464" s="19" t="s">
        <v>9591</v>
      </c>
      <c r="E9464" s="21" t="str">
        <f t="shared" si="440"/>
        <v>VERIFICAR</v>
      </c>
      <c r="F9464" s="22">
        <v>0.25</v>
      </c>
      <c r="G9464" s="21" t="str">
        <f t="shared" si="441"/>
        <v>VERIFICAR</v>
      </c>
      <c r="H9464" s="22">
        <v>0.26000000000000001</v>
      </c>
      <c r="I9464" s="23" t="str">
        <f t="shared" si="442"/>
        <v xml:space="preserve">COM VALOR</v>
      </c>
      <c r="J9464" s="19"/>
      <c r="L9464" s="21">
        <v>0</v>
      </c>
      <c r="M9464" s="22"/>
      <c r="N9464" s="21">
        <v>0</v>
      </c>
      <c r="O9464" s="22"/>
    </row>
    <row r="9465" ht="38.25">
      <c r="A9465" t="s">
        <v>9589</v>
      </c>
      <c r="B9465" s="19">
        <v>105409</v>
      </c>
      <c r="C9465" s="20" t="s">
        <v>9595</v>
      </c>
      <c r="D9465" s="19" t="s">
        <v>9591</v>
      </c>
      <c r="E9465" s="21" t="str">
        <f t="shared" si="440"/>
        <v>VERIFICAR</v>
      </c>
      <c r="F9465" s="22">
        <v>0.25</v>
      </c>
      <c r="G9465" s="21" t="str">
        <f t="shared" si="441"/>
        <v>VERIFICAR</v>
      </c>
      <c r="H9465" s="22">
        <v>0.26000000000000001</v>
      </c>
      <c r="I9465" s="23" t="str">
        <f t="shared" si="442"/>
        <v xml:space="preserve">COM VALOR</v>
      </c>
      <c r="J9465" s="19"/>
      <c r="L9465" s="21">
        <v>0</v>
      </c>
      <c r="M9465" s="22"/>
      <c r="N9465" s="21">
        <v>0</v>
      </c>
      <c r="O9465" s="22"/>
    </row>
    <row r="9466" ht="38.25">
      <c r="A9466" t="s">
        <v>9589</v>
      </c>
      <c r="B9466" s="19">
        <v>105415</v>
      </c>
      <c r="C9466" s="20" t="s">
        <v>9596</v>
      </c>
      <c r="D9466" s="19" t="s">
        <v>9591</v>
      </c>
      <c r="E9466" s="21" t="str">
        <f t="shared" si="440"/>
        <v>VERIFICAR</v>
      </c>
      <c r="F9466" s="22">
        <v>0</v>
      </c>
      <c r="G9466" s="21" t="str">
        <f t="shared" si="441"/>
        <v>VERIFICAR</v>
      </c>
      <c r="H9466" s="22">
        <v>0</v>
      </c>
      <c r="I9466" s="23" t="str">
        <f t="shared" si="442"/>
        <v xml:space="preserve">COM VALOR</v>
      </c>
      <c r="J9466" s="19"/>
      <c r="L9466" s="21">
        <v>0</v>
      </c>
      <c r="M9466" s="22"/>
      <c r="N9466" s="21">
        <v>0</v>
      </c>
      <c r="O9466" s="22"/>
    </row>
    <row r="9467" ht="38.25">
      <c r="A9467" t="s">
        <v>9589</v>
      </c>
      <c r="B9467" s="19">
        <v>105487</v>
      </c>
      <c r="C9467" s="20" t="s">
        <v>9597</v>
      </c>
      <c r="D9467" s="19" t="s">
        <v>9591</v>
      </c>
      <c r="E9467" s="21" t="str">
        <f t="shared" si="440"/>
        <v>VERIFICAR</v>
      </c>
      <c r="F9467" s="22">
        <v>0</v>
      </c>
      <c r="G9467" s="21" t="str">
        <f t="shared" si="441"/>
        <v>VERIFICAR</v>
      </c>
      <c r="H9467" s="22">
        <v>0</v>
      </c>
      <c r="I9467" s="23" t="str">
        <f t="shared" si="442"/>
        <v xml:space="preserve">COM VALOR</v>
      </c>
      <c r="J9467" s="19"/>
      <c r="L9467" s="21">
        <v>0</v>
      </c>
      <c r="M9467" s="22"/>
      <c r="N9467" s="21">
        <v>0</v>
      </c>
      <c r="O9467" s="22"/>
    </row>
    <row r="9468" ht="38.25">
      <c r="A9468" t="s">
        <v>9589</v>
      </c>
      <c r="B9468" s="19">
        <v>105451</v>
      </c>
      <c r="C9468" s="20" t="s">
        <v>9598</v>
      </c>
      <c r="D9468" s="19" t="s">
        <v>9591</v>
      </c>
      <c r="E9468" s="21" t="str">
        <f t="shared" si="440"/>
        <v>VERIFICAR</v>
      </c>
      <c r="F9468" s="22">
        <v>0</v>
      </c>
      <c r="G9468" s="21" t="str">
        <f t="shared" si="441"/>
        <v>VERIFICAR</v>
      </c>
      <c r="H9468" s="22">
        <v>0</v>
      </c>
      <c r="I9468" s="23" t="str">
        <f t="shared" si="442"/>
        <v xml:space="preserve">COM VALOR</v>
      </c>
      <c r="J9468" s="19"/>
      <c r="L9468" s="21">
        <v>0</v>
      </c>
      <c r="M9468" s="22"/>
      <c r="N9468" s="21">
        <v>0</v>
      </c>
      <c r="O9468" s="22"/>
    </row>
    <row r="9469" ht="38.25">
      <c r="A9469" t="s">
        <v>9589</v>
      </c>
      <c r="B9469" s="19">
        <v>105454</v>
      </c>
      <c r="C9469" s="20" t="s">
        <v>9599</v>
      </c>
      <c r="D9469" s="19" t="s">
        <v>9591</v>
      </c>
      <c r="E9469" s="21" t="str">
        <f t="shared" si="440"/>
        <v>VERIFICAR</v>
      </c>
      <c r="F9469" s="22">
        <v>0</v>
      </c>
      <c r="G9469" s="21" t="str">
        <f t="shared" si="441"/>
        <v>VERIFICAR</v>
      </c>
      <c r="H9469" s="22">
        <v>0</v>
      </c>
      <c r="I9469" s="23" t="str">
        <f t="shared" si="442"/>
        <v xml:space="preserve">COM VALOR</v>
      </c>
      <c r="J9469" s="19"/>
      <c r="L9469" s="21">
        <v>0</v>
      </c>
      <c r="M9469" s="22"/>
      <c r="N9469" s="21">
        <v>0</v>
      </c>
      <c r="O9469" s="22"/>
    </row>
    <row r="9470" ht="38.25">
      <c r="A9470" t="s">
        <v>9589</v>
      </c>
      <c r="B9470" s="19">
        <v>105411</v>
      </c>
      <c r="C9470" s="20" t="s">
        <v>9600</v>
      </c>
      <c r="D9470" s="19" t="s">
        <v>9591</v>
      </c>
      <c r="E9470" s="21" t="str">
        <f t="shared" si="440"/>
        <v>VERIFICAR</v>
      </c>
      <c r="F9470" s="22">
        <v>2.e-002</v>
      </c>
      <c r="G9470" s="21" t="str">
        <f t="shared" si="441"/>
        <v>VERIFICAR</v>
      </c>
      <c r="H9470" s="22">
        <v>2.e-002</v>
      </c>
      <c r="I9470" s="23" t="str">
        <f t="shared" si="442"/>
        <v xml:space="preserve">COM VALOR</v>
      </c>
      <c r="J9470" s="19"/>
      <c r="L9470" s="21">
        <v>0</v>
      </c>
      <c r="M9470" s="22"/>
      <c r="N9470" s="21">
        <v>0</v>
      </c>
      <c r="O9470" s="22"/>
    </row>
    <row r="9471" ht="38.25">
      <c r="A9471" t="s">
        <v>9589</v>
      </c>
      <c r="B9471" s="19">
        <v>105419</v>
      </c>
      <c r="C9471" s="20" t="s">
        <v>9601</v>
      </c>
      <c r="D9471" s="19" t="s">
        <v>9591</v>
      </c>
      <c r="E9471" s="21" t="str">
        <f t="shared" si="440"/>
        <v>VERIFICAR</v>
      </c>
      <c r="F9471" s="22">
        <v>2.e-002</v>
      </c>
      <c r="G9471" s="21" t="str">
        <f t="shared" si="441"/>
        <v>VERIFICAR</v>
      </c>
      <c r="H9471" s="22">
        <v>2.e-002</v>
      </c>
      <c r="I9471" s="23" t="str">
        <f t="shared" si="442"/>
        <v xml:space="preserve">COM VALOR</v>
      </c>
      <c r="J9471" s="19"/>
      <c r="L9471" s="21">
        <v>0</v>
      </c>
      <c r="M9471" s="22"/>
      <c r="N9471" s="21">
        <v>0</v>
      </c>
      <c r="O9471" s="22"/>
    </row>
    <row r="9472" ht="38.25">
      <c r="A9472" t="s">
        <v>9589</v>
      </c>
      <c r="B9472" s="19">
        <v>105443</v>
      </c>
      <c r="C9472" s="20" t="s">
        <v>9602</v>
      </c>
      <c r="D9472" s="19" t="s">
        <v>9591</v>
      </c>
      <c r="E9472" s="21" t="str">
        <f t="shared" si="440"/>
        <v>VERIFICAR</v>
      </c>
      <c r="F9472" s="22">
        <v>0</v>
      </c>
      <c r="G9472" s="21" t="str">
        <f t="shared" si="441"/>
        <v>VERIFICAR</v>
      </c>
      <c r="H9472" s="22">
        <v>0</v>
      </c>
      <c r="I9472" s="23" t="str">
        <f t="shared" si="442"/>
        <v xml:space="preserve">COM VALOR</v>
      </c>
      <c r="J9472" s="19"/>
      <c r="L9472" s="21">
        <v>0</v>
      </c>
      <c r="M9472" s="22"/>
      <c r="N9472" s="21">
        <v>0</v>
      </c>
      <c r="O9472" s="22"/>
    </row>
    <row r="9473" ht="38.25">
      <c r="A9473" t="s">
        <v>9589</v>
      </c>
      <c r="B9473" s="19">
        <v>105455</v>
      </c>
      <c r="C9473" s="20" t="s">
        <v>9603</v>
      </c>
      <c r="D9473" s="19" t="s">
        <v>9591</v>
      </c>
      <c r="E9473" s="21" t="str">
        <f t="shared" si="440"/>
        <v>VERIFICAR</v>
      </c>
      <c r="F9473" s="22">
        <v>0</v>
      </c>
      <c r="G9473" s="21" t="str">
        <f t="shared" si="441"/>
        <v>VERIFICAR</v>
      </c>
      <c r="H9473" s="22">
        <v>0</v>
      </c>
      <c r="I9473" s="23" t="str">
        <f t="shared" si="442"/>
        <v xml:space="preserve">COM VALOR</v>
      </c>
      <c r="J9473" s="19"/>
      <c r="L9473" s="21">
        <v>0</v>
      </c>
      <c r="M9473" s="22"/>
      <c r="N9473" s="21">
        <v>0</v>
      </c>
      <c r="O9473" s="22"/>
    </row>
    <row r="9474" ht="38.25">
      <c r="A9474" t="s">
        <v>9589</v>
      </c>
      <c r="B9474" s="19">
        <v>105412</v>
      </c>
      <c r="C9474" s="20" t="s">
        <v>9604</v>
      </c>
      <c r="D9474" s="19" t="s">
        <v>9591</v>
      </c>
      <c r="E9474" s="21" t="str">
        <f t="shared" si="440"/>
        <v>VERIFICAR</v>
      </c>
      <c r="F9474" s="22">
        <v>2.e-002</v>
      </c>
      <c r="G9474" s="21" t="str">
        <f t="shared" si="441"/>
        <v>VERIFICAR</v>
      </c>
      <c r="H9474" s="22">
        <v>2.e-002</v>
      </c>
      <c r="I9474" s="23" t="str">
        <f t="shared" si="442"/>
        <v xml:space="preserve">COM VALOR</v>
      </c>
      <c r="J9474" s="19"/>
      <c r="L9474" s="21">
        <v>0</v>
      </c>
      <c r="M9474" s="22"/>
      <c r="N9474" s="21">
        <v>0</v>
      </c>
      <c r="O9474" s="22"/>
    </row>
    <row r="9475" ht="38.25">
      <c r="A9475" t="s">
        <v>9589</v>
      </c>
      <c r="B9475" s="19">
        <v>105420</v>
      </c>
      <c r="C9475" s="20" t="s">
        <v>9605</v>
      </c>
      <c r="D9475" s="19" t="s">
        <v>9591</v>
      </c>
      <c r="E9475" s="21" t="str">
        <f t="shared" si="440"/>
        <v>VERIFICAR</v>
      </c>
      <c r="F9475" s="22">
        <v>2.e-002</v>
      </c>
      <c r="G9475" s="21" t="str">
        <f t="shared" si="441"/>
        <v>VERIFICAR</v>
      </c>
      <c r="H9475" s="22">
        <v>2.e-002</v>
      </c>
      <c r="I9475" s="23" t="str">
        <f t="shared" si="442"/>
        <v xml:space="preserve">COM VALOR</v>
      </c>
      <c r="J9475" s="19"/>
      <c r="L9475" s="21">
        <v>0</v>
      </c>
      <c r="M9475" s="22"/>
      <c r="N9475" s="21">
        <v>0</v>
      </c>
      <c r="O9475" s="22"/>
    </row>
    <row r="9476" ht="38.25">
      <c r="A9476" t="s">
        <v>9589</v>
      </c>
      <c r="B9476" s="19">
        <v>105444</v>
      </c>
      <c r="C9476" s="20" t="s">
        <v>9606</v>
      </c>
      <c r="D9476" s="19" t="s">
        <v>9591</v>
      </c>
      <c r="E9476" s="21" t="str">
        <f t="shared" si="440"/>
        <v>VERIFICAR</v>
      </c>
      <c r="F9476" s="22">
        <v>0</v>
      </c>
      <c r="G9476" s="21" t="str">
        <f t="shared" si="441"/>
        <v>VERIFICAR</v>
      </c>
      <c r="H9476" s="22">
        <v>0</v>
      </c>
      <c r="I9476" s="23" t="str">
        <f t="shared" si="442"/>
        <v xml:space="preserve">COM VALOR</v>
      </c>
      <c r="J9476" s="19"/>
      <c r="L9476" s="21">
        <v>0</v>
      </c>
      <c r="M9476" s="22"/>
      <c r="N9476" s="21">
        <v>0</v>
      </c>
      <c r="O9476" s="22"/>
    </row>
    <row r="9477" ht="25.5">
      <c r="A9477" t="s">
        <v>9589</v>
      </c>
      <c r="B9477" s="19">
        <v>105456</v>
      </c>
      <c r="C9477" s="20" t="s">
        <v>9607</v>
      </c>
      <c r="D9477" s="19" t="s">
        <v>9591</v>
      </c>
      <c r="E9477" s="21" t="str">
        <f t="shared" si="440"/>
        <v>VERIFICAR</v>
      </c>
      <c r="F9477" s="22">
        <v>0</v>
      </c>
      <c r="G9477" s="21" t="str">
        <f t="shared" si="441"/>
        <v>VERIFICAR</v>
      </c>
      <c r="H9477" s="22">
        <v>0</v>
      </c>
      <c r="I9477" s="23" t="str">
        <f t="shared" si="442"/>
        <v xml:space="preserve">COM VALOR</v>
      </c>
      <c r="J9477" s="19"/>
      <c r="L9477" s="21">
        <v>0</v>
      </c>
      <c r="M9477" s="22"/>
      <c r="N9477" s="21">
        <v>0</v>
      </c>
      <c r="O9477" s="22"/>
    </row>
    <row r="9478" ht="25.5">
      <c r="A9478" t="s">
        <v>9589</v>
      </c>
      <c r="B9478" s="19">
        <v>105478</v>
      </c>
      <c r="C9478" s="20" t="s">
        <v>9608</v>
      </c>
      <c r="D9478" s="19" t="s">
        <v>9591</v>
      </c>
      <c r="E9478" s="21" t="str">
        <f t="shared" si="440"/>
        <v>VERIFICAR</v>
      </c>
      <c r="F9478" s="22">
        <v>2.9999999999999999e-002</v>
      </c>
      <c r="G9478" s="21" t="str">
        <f t="shared" si="441"/>
        <v>VERIFICAR</v>
      </c>
      <c r="H9478" s="22">
        <v>2.9999999999999999e-002</v>
      </c>
      <c r="I9478" s="23" t="str">
        <f t="shared" si="442"/>
        <v xml:space="preserve">COM VALOR</v>
      </c>
      <c r="J9478" s="19"/>
      <c r="L9478" s="21">
        <v>0</v>
      </c>
      <c r="M9478" s="22"/>
      <c r="N9478" s="21">
        <v>0</v>
      </c>
      <c r="O9478" s="22"/>
    </row>
    <row r="9479" ht="25.5">
      <c r="A9479" t="s">
        <v>9589</v>
      </c>
      <c r="B9479" s="19">
        <v>105421</v>
      </c>
      <c r="C9479" s="20" t="s">
        <v>9609</v>
      </c>
      <c r="D9479" s="19" t="s">
        <v>9591</v>
      </c>
      <c r="E9479" s="21" t="str">
        <f t="shared" si="440"/>
        <v>VERIFICAR</v>
      </c>
      <c r="F9479" s="22">
        <v>2.e-002</v>
      </c>
      <c r="G9479" s="21" t="str">
        <f t="shared" si="441"/>
        <v>VERIFICAR</v>
      </c>
      <c r="H9479" s="22">
        <v>2.e-002</v>
      </c>
      <c r="I9479" s="23" t="str">
        <f t="shared" si="442"/>
        <v xml:space="preserve">COM VALOR</v>
      </c>
      <c r="J9479" s="19"/>
      <c r="L9479" s="21">
        <v>0</v>
      </c>
      <c r="M9479" s="22"/>
      <c r="N9479" s="21">
        <v>0</v>
      </c>
      <c r="O9479" s="22"/>
    </row>
    <row r="9480" ht="25.5">
      <c r="A9480" t="s">
        <v>9589</v>
      </c>
      <c r="B9480" s="19">
        <v>105445</v>
      </c>
      <c r="C9480" s="20" t="s">
        <v>9610</v>
      </c>
      <c r="D9480" s="19" t="s">
        <v>9591</v>
      </c>
      <c r="E9480" s="21" t="str">
        <f t="shared" si="440"/>
        <v>VERIFICAR</v>
      </c>
      <c r="F9480" s="22">
        <v>0</v>
      </c>
      <c r="G9480" s="21" t="str">
        <f t="shared" si="441"/>
        <v>VERIFICAR</v>
      </c>
      <c r="H9480" s="22">
        <v>0</v>
      </c>
      <c r="I9480" s="23" t="str">
        <f t="shared" si="442"/>
        <v xml:space="preserve">COM VALOR</v>
      </c>
      <c r="J9480" s="19"/>
      <c r="L9480" s="21">
        <v>0</v>
      </c>
      <c r="M9480" s="22"/>
      <c r="N9480" s="21">
        <v>0</v>
      </c>
      <c r="O9480" s="22"/>
    </row>
    <row r="9481" ht="25.5">
      <c r="A9481" t="s">
        <v>9589</v>
      </c>
      <c r="B9481" s="19">
        <v>105453</v>
      </c>
      <c r="C9481" s="20" t="s">
        <v>9611</v>
      </c>
      <c r="D9481" s="19" t="s">
        <v>9591</v>
      </c>
      <c r="E9481" s="21" t="str">
        <f t="shared" si="440"/>
        <v>VERIFICAR</v>
      </c>
      <c r="F9481" s="22">
        <v>0</v>
      </c>
      <c r="G9481" s="21" t="str">
        <f t="shared" si="441"/>
        <v>VERIFICAR</v>
      </c>
      <c r="H9481" s="22">
        <v>0</v>
      </c>
      <c r="I9481" s="23" t="str">
        <f t="shared" si="442"/>
        <v xml:space="preserve">COM VALOR</v>
      </c>
      <c r="J9481" s="19"/>
      <c r="L9481" s="21">
        <v>0</v>
      </c>
      <c r="M9481" s="22"/>
      <c r="N9481" s="21">
        <v>0</v>
      </c>
      <c r="O9481" s="22"/>
    </row>
    <row r="9482" ht="25.5">
      <c r="A9482" t="s">
        <v>9589</v>
      </c>
      <c r="B9482" s="19">
        <v>105497</v>
      </c>
      <c r="C9482" s="20" t="s">
        <v>9612</v>
      </c>
      <c r="D9482" s="19" t="s">
        <v>9591</v>
      </c>
      <c r="E9482" s="21" t="str">
        <f t="shared" si="440"/>
        <v>VERIFICAR</v>
      </c>
      <c r="F9482" s="22">
        <v>2.9999999999999999e-002</v>
      </c>
      <c r="G9482" s="21" t="str">
        <f t="shared" si="441"/>
        <v>VERIFICAR</v>
      </c>
      <c r="H9482" s="22">
        <v>2.9999999999999999e-002</v>
      </c>
      <c r="I9482" s="23" t="str">
        <f t="shared" si="442"/>
        <v xml:space="preserve">COM VALOR</v>
      </c>
      <c r="J9482" s="19"/>
      <c r="L9482" s="21">
        <v>0</v>
      </c>
      <c r="M9482" s="22"/>
      <c r="N9482" s="21">
        <v>0</v>
      </c>
      <c r="O9482" s="22"/>
    </row>
    <row r="9483" ht="25.5">
      <c r="A9483" t="s">
        <v>9589</v>
      </c>
      <c r="B9483" s="19">
        <v>105418</v>
      </c>
      <c r="C9483" s="20" t="s">
        <v>9613</v>
      </c>
      <c r="D9483" s="19" t="s">
        <v>9591</v>
      </c>
      <c r="E9483" s="21" t="str">
        <f t="shared" ref="E9483:E9546" si="443">IF(L9483=0,"VERIFICAR",L9483)</f>
        <v>VERIFICAR</v>
      </c>
      <c r="F9483" s="22">
        <v>2.e-002</v>
      </c>
      <c r="G9483" s="21" t="str">
        <f t="shared" ref="G9483:G9546" si="444">IF(N9483=0,"VERIFICAR",N9483)</f>
        <v>VERIFICAR</v>
      </c>
      <c r="H9483" s="22">
        <v>2.e-002</v>
      </c>
      <c r="I9483" s="23" t="str">
        <f t="shared" ref="I9483:I9546" si="445">IF(OR(E9483=0,G9483=0),"SEM VALOR","COM VALOR")</f>
        <v xml:space="preserve">COM VALOR</v>
      </c>
      <c r="J9483" s="19"/>
      <c r="L9483" s="21">
        <v>0</v>
      </c>
      <c r="M9483" s="22"/>
      <c r="N9483" s="21">
        <v>0</v>
      </c>
      <c r="O9483" s="22"/>
    </row>
    <row r="9484" ht="25.5">
      <c r="A9484" t="s">
        <v>9589</v>
      </c>
      <c r="B9484" s="19">
        <v>105442</v>
      </c>
      <c r="C9484" s="20" t="s">
        <v>9614</v>
      </c>
      <c r="D9484" s="19" t="s">
        <v>9591</v>
      </c>
      <c r="E9484" s="21" t="str">
        <f t="shared" si="443"/>
        <v>VERIFICAR</v>
      </c>
      <c r="F9484" s="22">
        <v>1.e-002</v>
      </c>
      <c r="G9484" s="21" t="str">
        <f t="shared" si="444"/>
        <v>VERIFICAR</v>
      </c>
      <c r="H9484" s="22">
        <v>1.e-002</v>
      </c>
      <c r="I9484" s="23" t="str">
        <f t="shared" si="445"/>
        <v xml:space="preserve">COM VALOR</v>
      </c>
      <c r="J9484" s="19"/>
      <c r="L9484" s="21">
        <v>0</v>
      </c>
      <c r="M9484" s="22"/>
      <c r="N9484" s="21">
        <v>0</v>
      </c>
      <c r="O9484" s="22"/>
    </row>
    <row r="9485" ht="38.25">
      <c r="A9485" t="s">
        <v>9589</v>
      </c>
      <c r="B9485" s="19">
        <v>105410</v>
      </c>
      <c r="C9485" s="20" t="s">
        <v>9615</v>
      </c>
      <c r="D9485" s="19" t="s">
        <v>9591</v>
      </c>
      <c r="E9485" s="21" t="str">
        <f t="shared" si="443"/>
        <v>VERIFICAR</v>
      </c>
      <c r="F9485" s="22">
        <v>1.e-002</v>
      </c>
      <c r="G9485" s="21" t="str">
        <f t="shared" si="444"/>
        <v>VERIFICAR</v>
      </c>
      <c r="H9485" s="22">
        <v>1.e-002</v>
      </c>
      <c r="I9485" s="23" t="str">
        <f t="shared" si="445"/>
        <v xml:space="preserve">COM VALOR</v>
      </c>
      <c r="J9485" s="19"/>
      <c r="L9485" s="21">
        <v>0</v>
      </c>
      <c r="M9485" s="22"/>
      <c r="N9485" s="21">
        <v>0</v>
      </c>
      <c r="O9485" s="22"/>
    </row>
    <row r="9486" ht="38.25">
      <c r="A9486" t="s">
        <v>9589</v>
      </c>
      <c r="B9486" s="19">
        <v>105416</v>
      </c>
      <c r="C9486" s="20" t="s">
        <v>9616</v>
      </c>
      <c r="D9486" s="19" t="s">
        <v>9591</v>
      </c>
      <c r="E9486" s="21" t="str">
        <f t="shared" si="443"/>
        <v>VERIFICAR</v>
      </c>
      <c r="F9486" s="22"/>
      <c r="G9486" s="21" t="str">
        <f t="shared" si="444"/>
        <v>VERIFICAR</v>
      </c>
      <c r="H9486" s="22"/>
      <c r="I9486" s="23" t="str">
        <f t="shared" si="445"/>
        <v xml:space="preserve">COM VALOR</v>
      </c>
      <c r="J9486" s="19"/>
      <c r="L9486" s="21">
        <v>0</v>
      </c>
      <c r="M9486" s="22"/>
      <c r="N9486" s="21">
        <v>0</v>
      </c>
      <c r="O9486" s="22"/>
    </row>
    <row r="9487" ht="38.25">
      <c r="A9487" t="s">
        <v>9589</v>
      </c>
      <c r="B9487" s="19">
        <v>105488</v>
      </c>
      <c r="C9487" s="20" t="s">
        <v>9617</v>
      </c>
      <c r="D9487" s="19" t="s">
        <v>9591</v>
      </c>
      <c r="E9487" s="21" t="str">
        <f t="shared" si="443"/>
        <v>VERIFICAR</v>
      </c>
      <c r="F9487" s="22"/>
      <c r="G9487" s="21" t="str">
        <f t="shared" si="444"/>
        <v>VERIFICAR</v>
      </c>
      <c r="H9487" s="22"/>
      <c r="I9487" s="23" t="str">
        <f t="shared" si="445"/>
        <v xml:space="preserve">COM VALOR</v>
      </c>
      <c r="J9487" s="19"/>
      <c r="L9487" s="21">
        <v>0</v>
      </c>
      <c r="M9487" s="22"/>
      <c r="N9487" s="21">
        <v>0</v>
      </c>
      <c r="O9487" s="22"/>
    </row>
    <row r="9488" ht="38.25">
      <c r="A9488" t="s">
        <v>9589</v>
      </c>
      <c r="B9488" s="19">
        <v>105452</v>
      </c>
      <c r="C9488" s="20" t="s">
        <v>9618</v>
      </c>
      <c r="D9488" s="19" t="s">
        <v>9591</v>
      </c>
      <c r="E9488" s="21" t="str">
        <f t="shared" si="443"/>
        <v>VERIFICAR</v>
      </c>
      <c r="F9488" s="22"/>
      <c r="G9488" s="21" t="str">
        <f t="shared" si="444"/>
        <v>VERIFICAR</v>
      </c>
      <c r="H9488" s="22"/>
      <c r="I9488" s="23" t="str">
        <f t="shared" si="445"/>
        <v xml:space="preserve">COM VALOR</v>
      </c>
      <c r="J9488" s="19"/>
      <c r="L9488" s="21">
        <v>0</v>
      </c>
      <c r="M9488" s="22"/>
      <c r="N9488" s="21">
        <v>0</v>
      </c>
      <c r="O9488" s="22"/>
    </row>
    <row r="9489" ht="51">
      <c r="A9489" t="s">
        <v>9589</v>
      </c>
      <c r="B9489" s="19">
        <v>105475</v>
      </c>
      <c r="C9489" s="20" t="s">
        <v>9619</v>
      </c>
      <c r="D9489" s="19" t="s">
        <v>9591</v>
      </c>
      <c r="E9489" s="21" t="str">
        <f t="shared" si="443"/>
        <v>VERIFICAR</v>
      </c>
      <c r="F9489" s="22"/>
      <c r="G9489" s="21" t="str">
        <f t="shared" si="444"/>
        <v>VERIFICAR</v>
      </c>
      <c r="H9489" s="22"/>
      <c r="I9489" s="23" t="str">
        <f t="shared" si="445"/>
        <v xml:space="preserve">COM VALOR</v>
      </c>
      <c r="J9489" s="19"/>
      <c r="L9489" s="21">
        <v>0</v>
      </c>
      <c r="M9489" s="22"/>
      <c r="N9489" s="21">
        <v>0</v>
      </c>
      <c r="O9489" s="22"/>
    </row>
    <row r="9490" ht="51">
      <c r="A9490" t="s">
        <v>9589</v>
      </c>
      <c r="B9490" s="19">
        <v>105498</v>
      </c>
      <c r="C9490" s="20" t="s">
        <v>9620</v>
      </c>
      <c r="D9490" s="19" t="s">
        <v>9591</v>
      </c>
      <c r="E9490" s="21" t="str">
        <f t="shared" si="443"/>
        <v>VERIFICAR</v>
      </c>
      <c r="F9490" s="22"/>
      <c r="G9490" s="21" t="str">
        <f t="shared" si="444"/>
        <v>VERIFICAR</v>
      </c>
      <c r="H9490" s="22"/>
      <c r="I9490" s="23" t="str">
        <f t="shared" si="445"/>
        <v xml:space="preserve">COM VALOR</v>
      </c>
      <c r="J9490" s="19"/>
      <c r="L9490" s="21">
        <v>0</v>
      </c>
      <c r="M9490" s="22"/>
      <c r="N9490" s="21">
        <v>0</v>
      </c>
      <c r="O9490" s="22"/>
    </row>
    <row r="9491" ht="51">
      <c r="A9491" t="s">
        <v>9589</v>
      </c>
      <c r="B9491" s="19">
        <v>105486</v>
      </c>
      <c r="C9491" s="20" t="s">
        <v>9621</v>
      </c>
      <c r="D9491" s="19" t="s">
        <v>9591</v>
      </c>
      <c r="E9491" s="21" t="str">
        <f t="shared" si="443"/>
        <v>VERIFICAR</v>
      </c>
      <c r="F9491" s="22"/>
      <c r="G9491" s="21" t="str">
        <f t="shared" si="444"/>
        <v>VERIFICAR</v>
      </c>
      <c r="H9491" s="22"/>
      <c r="I9491" s="23" t="str">
        <f t="shared" si="445"/>
        <v xml:space="preserve">COM VALOR</v>
      </c>
      <c r="J9491" s="19"/>
      <c r="L9491" s="21">
        <v>0</v>
      </c>
      <c r="M9491" s="22"/>
      <c r="N9491" s="21">
        <v>0</v>
      </c>
      <c r="O9491" s="22"/>
    </row>
    <row r="9492" ht="51">
      <c r="A9492" t="s">
        <v>9589</v>
      </c>
      <c r="B9492" s="19">
        <v>105450</v>
      </c>
      <c r="C9492" s="20" t="s">
        <v>9622</v>
      </c>
      <c r="D9492" s="19" t="s">
        <v>9591</v>
      </c>
      <c r="E9492" s="21" t="str">
        <f t="shared" si="443"/>
        <v>VERIFICAR</v>
      </c>
      <c r="F9492" s="22">
        <v>0</v>
      </c>
      <c r="G9492" s="21" t="str">
        <f t="shared" si="444"/>
        <v>VERIFICAR</v>
      </c>
      <c r="H9492" s="22">
        <v>0</v>
      </c>
      <c r="I9492" s="23" t="str">
        <f t="shared" si="445"/>
        <v xml:space="preserve">COM VALOR</v>
      </c>
      <c r="J9492" s="19"/>
      <c r="L9492" s="21">
        <v>0</v>
      </c>
      <c r="M9492" s="22"/>
      <c r="N9492" s="21">
        <v>0</v>
      </c>
      <c r="O9492" s="22"/>
    </row>
    <row r="9493" ht="25.5">
      <c r="A9493" t="s">
        <v>9589</v>
      </c>
      <c r="B9493" s="19">
        <v>105438</v>
      </c>
      <c r="C9493" s="20" t="s">
        <v>9623</v>
      </c>
      <c r="D9493" s="19" t="s">
        <v>9591</v>
      </c>
      <c r="E9493" s="21" t="str">
        <f t="shared" si="443"/>
        <v>VERIFICAR</v>
      </c>
      <c r="F9493" s="22"/>
      <c r="G9493" s="21" t="str">
        <f t="shared" si="444"/>
        <v>VERIFICAR</v>
      </c>
      <c r="H9493" s="22"/>
      <c r="I9493" s="23" t="str">
        <f t="shared" si="445"/>
        <v xml:space="preserve">COM VALOR</v>
      </c>
      <c r="J9493" s="19"/>
      <c r="L9493" s="21">
        <v>0</v>
      </c>
      <c r="M9493" s="22"/>
      <c r="N9493" s="21">
        <v>0</v>
      </c>
      <c r="O9493" s="22"/>
    </row>
    <row r="9494" ht="25.5">
      <c r="A9494" t="s">
        <v>9589</v>
      </c>
      <c r="B9494" s="19">
        <v>105463</v>
      </c>
      <c r="C9494" s="20" t="s">
        <v>9624</v>
      </c>
      <c r="D9494" s="19" t="s">
        <v>9591</v>
      </c>
      <c r="E9494" s="21" t="str">
        <f t="shared" si="443"/>
        <v>VERIFICAR</v>
      </c>
      <c r="F9494" s="22"/>
      <c r="G9494" s="21" t="str">
        <f t="shared" si="444"/>
        <v>VERIFICAR</v>
      </c>
      <c r="H9494" s="22"/>
      <c r="I9494" s="23" t="str">
        <f t="shared" si="445"/>
        <v xml:space="preserve">COM VALOR</v>
      </c>
      <c r="J9494" s="19"/>
      <c r="L9494" s="21">
        <v>0</v>
      </c>
      <c r="M9494" s="22"/>
      <c r="N9494" s="21">
        <v>0</v>
      </c>
      <c r="O9494" s="22"/>
    </row>
    <row r="9495" ht="25.5">
      <c r="A9495" t="s">
        <v>9589</v>
      </c>
      <c r="B9495" s="19">
        <v>105485</v>
      </c>
      <c r="C9495" s="20" t="s">
        <v>9625</v>
      </c>
      <c r="D9495" s="19" t="s">
        <v>9591</v>
      </c>
      <c r="E9495" s="21" t="str">
        <f t="shared" si="443"/>
        <v>VERIFICAR</v>
      </c>
      <c r="F9495" s="22">
        <v>0</v>
      </c>
      <c r="G9495" s="21" t="str">
        <f t="shared" si="444"/>
        <v>VERIFICAR</v>
      </c>
      <c r="H9495" s="22">
        <v>0</v>
      </c>
      <c r="I9495" s="23" t="str">
        <f t="shared" si="445"/>
        <v xml:space="preserve">COM VALOR</v>
      </c>
      <c r="J9495" s="19"/>
      <c r="L9495" s="21">
        <v>0</v>
      </c>
      <c r="M9495" s="22"/>
      <c r="N9495" s="21">
        <v>0</v>
      </c>
      <c r="O9495" s="22"/>
    </row>
    <row r="9496" ht="25.5">
      <c r="A9496" t="s">
        <v>9589</v>
      </c>
      <c r="B9496" s="19">
        <v>105428</v>
      </c>
      <c r="C9496" s="20" t="s">
        <v>9626</v>
      </c>
      <c r="D9496" s="19" t="s">
        <v>9591</v>
      </c>
      <c r="E9496" s="21" t="str">
        <f t="shared" si="443"/>
        <v>VERIFICAR</v>
      </c>
      <c r="F9496" s="22">
        <v>0</v>
      </c>
      <c r="G9496" s="21" t="str">
        <f t="shared" si="444"/>
        <v>VERIFICAR</v>
      </c>
      <c r="H9496" s="22">
        <v>0</v>
      </c>
      <c r="I9496" s="23" t="str">
        <f t="shared" si="445"/>
        <v xml:space="preserve">COM VALOR</v>
      </c>
      <c r="J9496" s="19"/>
      <c r="L9496" s="21">
        <v>0</v>
      </c>
      <c r="M9496" s="22"/>
      <c r="N9496" s="21">
        <v>0</v>
      </c>
      <c r="O9496" s="22"/>
    </row>
    <row r="9497" ht="25.5">
      <c r="A9497" t="s">
        <v>9589</v>
      </c>
      <c r="B9497" s="19">
        <v>105426</v>
      </c>
      <c r="C9497" s="20" t="s">
        <v>9627</v>
      </c>
      <c r="D9497" s="19" t="s">
        <v>9591</v>
      </c>
      <c r="E9497" s="21" t="str">
        <f t="shared" si="443"/>
        <v>VERIFICAR</v>
      </c>
      <c r="F9497" s="22">
        <v>0</v>
      </c>
      <c r="G9497" s="21" t="str">
        <f t="shared" si="444"/>
        <v>VERIFICAR</v>
      </c>
      <c r="H9497" s="22">
        <v>0</v>
      </c>
      <c r="I9497" s="23" t="str">
        <f t="shared" si="445"/>
        <v xml:space="preserve">COM VALOR</v>
      </c>
      <c r="J9497" s="19"/>
      <c r="L9497" s="21">
        <v>0</v>
      </c>
      <c r="M9497" s="22"/>
      <c r="N9497" s="21">
        <v>0</v>
      </c>
      <c r="O9497" s="22"/>
    </row>
    <row r="9498" ht="25.5">
      <c r="A9498" t="s">
        <v>9589</v>
      </c>
      <c r="B9498" s="19">
        <v>105491</v>
      </c>
      <c r="C9498" s="20" t="s">
        <v>9628</v>
      </c>
      <c r="D9498" s="19" t="s">
        <v>9591</v>
      </c>
      <c r="E9498" s="21" t="str">
        <f t="shared" si="443"/>
        <v>VERIFICAR</v>
      </c>
      <c r="F9498" s="22">
        <v>0</v>
      </c>
      <c r="G9498" s="21" t="str">
        <f t="shared" si="444"/>
        <v>VERIFICAR</v>
      </c>
      <c r="H9498" s="22">
        <v>0</v>
      </c>
      <c r="I9498" s="23" t="str">
        <f t="shared" si="445"/>
        <v xml:space="preserve">COM VALOR</v>
      </c>
      <c r="J9498" s="19"/>
      <c r="L9498" s="21">
        <v>0</v>
      </c>
      <c r="M9498" s="22"/>
      <c r="N9498" s="21">
        <v>0</v>
      </c>
      <c r="O9498" s="22"/>
    </row>
    <row r="9499" ht="25.5">
      <c r="A9499" t="s">
        <v>9589</v>
      </c>
      <c r="B9499" s="19">
        <v>105495</v>
      </c>
      <c r="C9499" s="20" t="s">
        <v>9629</v>
      </c>
      <c r="D9499" s="19" t="s">
        <v>9591</v>
      </c>
      <c r="E9499" s="21" t="str">
        <f t="shared" si="443"/>
        <v>VERIFICAR</v>
      </c>
      <c r="F9499" s="22">
        <v>0</v>
      </c>
      <c r="G9499" s="21" t="str">
        <f t="shared" si="444"/>
        <v>VERIFICAR</v>
      </c>
      <c r="H9499" s="22">
        <v>0</v>
      </c>
      <c r="I9499" s="23" t="str">
        <f t="shared" si="445"/>
        <v xml:space="preserve">COM VALOR</v>
      </c>
      <c r="J9499" s="19"/>
      <c r="L9499" s="21">
        <v>0</v>
      </c>
      <c r="M9499" s="22"/>
      <c r="N9499" s="21">
        <v>0</v>
      </c>
      <c r="O9499" s="22"/>
    </row>
    <row r="9500" ht="25.5">
      <c r="A9500" t="s">
        <v>9589</v>
      </c>
      <c r="B9500" s="19">
        <v>105407</v>
      </c>
      <c r="C9500" s="20" t="s">
        <v>9630</v>
      </c>
      <c r="D9500" s="19" t="s">
        <v>9591</v>
      </c>
      <c r="E9500" s="21" t="str">
        <f t="shared" si="443"/>
        <v>VERIFICAR</v>
      </c>
      <c r="F9500" s="22">
        <v>0</v>
      </c>
      <c r="G9500" s="21" t="str">
        <f t="shared" si="444"/>
        <v>VERIFICAR</v>
      </c>
      <c r="H9500" s="22">
        <v>0</v>
      </c>
      <c r="I9500" s="23" t="str">
        <f t="shared" si="445"/>
        <v xml:space="preserve">COM VALOR</v>
      </c>
      <c r="J9500" s="19"/>
      <c r="L9500" s="21">
        <v>0</v>
      </c>
      <c r="M9500" s="22"/>
      <c r="N9500" s="21">
        <v>0</v>
      </c>
      <c r="O9500" s="22"/>
    </row>
    <row r="9501" ht="25.5">
      <c r="A9501" t="s">
        <v>9589</v>
      </c>
      <c r="B9501" s="19">
        <v>105427</v>
      </c>
      <c r="C9501" s="20" t="s">
        <v>9631</v>
      </c>
      <c r="D9501" s="19" t="s">
        <v>9591</v>
      </c>
      <c r="E9501" s="21" t="str">
        <f t="shared" si="443"/>
        <v>VERIFICAR</v>
      </c>
      <c r="F9501" s="22">
        <v>2.9999999999999999e-002</v>
      </c>
      <c r="G9501" s="21" t="str">
        <f t="shared" si="444"/>
        <v>VERIFICAR</v>
      </c>
      <c r="H9501" s="22">
        <v>2.9999999999999999e-002</v>
      </c>
      <c r="I9501" s="23" t="str">
        <f t="shared" si="445"/>
        <v xml:space="preserve">COM VALOR</v>
      </c>
      <c r="J9501" s="19"/>
      <c r="L9501" s="21">
        <v>0</v>
      </c>
      <c r="M9501" s="22"/>
      <c r="N9501" s="21">
        <v>0</v>
      </c>
      <c r="O9501" s="22"/>
    </row>
    <row r="9502" ht="25.5">
      <c r="A9502" t="s">
        <v>9589</v>
      </c>
      <c r="B9502" s="19">
        <v>105492</v>
      </c>
      <c r="C9502" s="20" t="s">
        <v>9632</v>
      </c>
      <c r="D9502" s="19" t="s">
        <v>9591</v>
      </c>
      <c r="E9502" s="21" t="str">
        <f t="shared" si="443"/>
        <v>VERIFICAR</v>
      </c>
      <c r="F9502" s="22">
        <v>2.9999999999999999e-002</v>
      </c>
      <c r="G9502" s="21" t="str">
        <f t="shared" si="444"/>
        <v>VERIFICAR</v>
      </c>
      <c r="H9502" s="22">
        <v>2.9999999999999999e-002</v>
      </c>
      <c r="I9502" s="23" t="str">
        <f t="shared" si="445"/>
        <v xml:space="preserve">COM VALOR</v>
      </c>
      <c r="J9502" s="19"/>
      <c r="L9502" s="21">
        <v>0</v>
      </c>
      <c r="M9502" s="22"/>
      <c r="N9502" s="21">
        <v>0</v>
      </c>
      <c r="O9502" s="22"/>
    </row>
    <row r="9503" ht="25.5">
      <c r="A9503" t="s">
        <v>9589</v>
      </c>
      <c r="B9503" s="19">
        <v>105496</v>
      </c>
      <c r="C9503" s="20" t="s">
        <v>9633</v>
      </c>
      <c r="D9503" s="19" t="s">
        <v>9591</v>
      </c>
      <c r="E9503" s="21" t="str">
        <f t="shared" si="443"/>
        <v>VERIFICAR</v>
      </c>
      <c r="F9503" s="22">
        <v>2.e-002</v>
      </c>
      <c r="G9503" s="21" t="str">
        <f t="shared" si="444"/>
        <v>VERIFICAR</v>
      </c>
      <c r="H9503" s="22">
        <v>2.e-002</v>
      </c>
      <c r="I9503" s="23" t="str">
        <f t="shared" si="445"/>
        <v xml:space="preserve">COM VALOR</v>
      </c>
      <c r="J9503" s="19"/>
      <c r="L9503" s="21">
        <v>0</v>
      </c>
      <c r="M9503" s="22"/>
      <c r="N9503" s="21">
        <v>0</v>
      </c>
      <c r="O9503" s="22"/>
    </row>
    <row r="9504" ht="25.5">
      <c r="A9504" t="s">
        <v>9589</v>
      </c>
      <c r="B9504" s="19">
        <v>105425</v>
      </c>
      <c r="C9504" s="20" t="s">
        <v>9634</v>
      </c>
      <c r="D9504" s="19" t="s">
        <v>9591</v>
      </c>
      <c r="E9504" s="21" t="str">
        <f t="shared" si="443"/>
        <v>VERIFICAR</v>
      </c>
      <c r="F9504" s="22">
        <v>1.e-002</v>
      </c>
      <c r="G9504" s="21" t="str">
        <f t="shared" si="444"/>
        <v>VERIFICAR</v>
      </c>
      <c r="H9504" s="22">
        <v>1.e-002</v>
      </c>
      <c r="I9504" s="23" t="str">
        <f t="shared" si="445"/>
        <v xml:space="preserve">COM VALOR</v>
      </c>
      <c r="J9504" s="19"/>
      <c r="L9504" s="21">
        <v>0</v>
      </c>
      <c r="M9504" s="22"/>
      <c r="N9504" s="21">
        <v>0</v>
      </c>
      <c r="O9504" s="22"/>
    </row>
    <row r="9505" ht="25.5">
      <c r="A9505" t="s">
        <v>9589</v>
      </c>
      <c r="B9505" s="19">
        <v>105477</v>
      </c>
      <c r="C9505" s="20" t="s">
        <v>9635</v>
      </c>
      <c r="D9505" s="19" t="s">
        <v>9591</v>
      </c>
      <c r="E9505" s="21" t="str">
        <f t="shared" si="443"/>
        <v>VERIFICAR</v>
      </c>
      <c r="F9505" s="22">
        <v>1.e-002</v>
      </c>
      <c r="G9505" s="21" t="str">
        <f t="shared" si="444"/>
        <v>VERIFICAR</v>
      </c>
      <c r="H9505" s="22">
        <v>1.e-002</v>
      </c>
      <c r="I9505" s="23" t="str">
        <f t="shared" si="445"/>
        <v xml:space="preserve">COM VALOR</v>
      </c>
      <c r="J9505" s="19"/>
      <c r="L9505" s="21">
        <v>0</v>
      </c>
      <c r="M9505" s="22"/>
      <c r="N9505" s="21">
        <v>0</v>
      </c>
      <c r="O9505" s="22"/>
    </row>
    <row r="9506" ht="25.5">
      <c r="A9506" t="s">
        <v>9589</v>
      </c>
      <c r="B9506" s="19">
        <v>105490</v>
      </c>
      <c r="C9506" s="20" t="s">
        <v>9636</v>
      </c>
      <c r="D9506" s="19" t="s">
        <v>9591</v>
      </c>
      <c r="E9506" s="21" t="str">
        <f t="shared" si="443"/>
        <v>VERIFICAR</v>
      </c>
      <c r="F9506" s="22">
        <v>1.e-002</v>
      </c>
      <c r="G9506" s="21" t="str">
        <f t="shared" si="444"/>
        <v>VERIFICAR</v>
      </c>
      <c r="H9506" s="22">
        <v>1.e-002</v>
      </c>
      <c r="I9506" s="23" t="str">
        <f t="shared" si="445"/>
        <v xml:space="preserve">COM VALOR</v>
      </c>
      <c r="J9506" s="19"/>
      <c r="L9506" s="21">
        <v>0</v>
      </c>
      <c r="M9506" s="22"/>
      <c r="N9506" s="21">
        <v>0</v>
      </c>
      <c r="O9506" s="22"/>
    </row>
    <row r="9507" ht="25.5">
      <c r="A9507" t="s">
        <v>9589</v>
      </c>
      <c r="B9507" s="19">
        <v>105494</v>
      </c>
      <c r="C9507" s="20" t="s">
        <v>9637</v>
      </c>
      <c r="D9507" s="19" t="s">
        <v>9591</v>
      </c>
      <c r="E9507" s="21" t="str">
        <f t="shared" si="443"/>
        <v>VERIFICAR</v>
      </c>
      <c r="F9507" s="22">
        <v>5.9999999999999998e-002</v>
      </c>
      <c r="G9507" s="21" t="str">
        <f t="shared" si="444"/>
        <v>VERIFICAR</v>
      </c>
      <c r="H9507" s="22">
        <v>5.9999999999999998e-002</v>
      </c>
      <c r="I9507" s="23" t="str">
        <f t="shared" si="445"/>
        <v xml:space="preserve">COM VALOR</v>
      </c>
      <c r="J9507" s="19"/>
      <c r="L9507" s="21">
        <v>0</v>
      </c>
      <c r="M9507" s="22"/>
      <c r="N9507" s="21">
        <v>0</v>
      </c>
      <c r="O9507" s="22"/>
    </row>
    <row r="9508" ht="25.5">
      <c r="A9508" t="s">
        <v>9589</v>
      </c>
      <c r="B9508" s="19">
        <v>105417</v>
      </c>
      <c r="C9508" s="20" t="s">
        <v>9638</v>
      </c>
      <c r="D9508" s="19" t="s">
        <v>9591</v>
      </c>
      <c r="E9508" s="21" t="str">
        <f t="shared" si="443"/>
        <v>VERIFICAR</v>
      </c>
      <c r="F9508" s="22">
        <v>5.0000000000000003e-002</v>
      </c>
      <c r="G9508" s="21" t="str">
        <f t="shared" si="444"/>
        <v>VERIFICAR</v>
      </c>
      <c r="H9508" s="22">
        <v>5.9999999999999998e-002</v>
      </c>
      <c r="I9508" s="23" t="str">
        <f t="shared" si="445"/>
        <v xml:space="preserve">COM VALOR</v>
      </c>
      <c r="J9508" s="19"/>
      <c r="L9508" s="21">
        <v>0</v>
      </c>
      <c r="M9508" s="22"/>
      <c r="N9508" s="21">
        <v>0</v>
      </c>
      <c r="O9508" s="22"/>
    </row>
    <row r="9509" ht="38.25">
      <c r="A9509" t="s">
        <v>9589</v>
      </c>
      <c r="B9509" s="19">
        <v>105461</v>
      </c>
      <c r="C9509" s="20" t="s">
        <v>9639</v>
      </c>
      <c r="D9509" s="19" t="s">
        <v>9591</v>
      </c>
      <c r="E9509" s="21" t="str">
        <f t="shared" si="443"/>
        <v>VERIFICAR</v>
      </c>
      <c r="F9509" s="22">
        <v>5.0000000000000003e-002</v>
      </c>
      <c r="G9509" s="21" t="str">
        <f t="shared" si="444"/>
        <v>VERIFICAR</v>
      </c>
      <c r="H9509" s="22">
        <v>5.0000000000000003e-002</v>
      </c>
      <c r="I9509" s="23" t="str">
        <f t="shared" si="445"/>
        <v xml:space="preserve">COM VALOR</v>
      </c>
      <c r="J9509" s="19"/>
      <c r="L9509" s="21">
        <v>0</v>
      </c>
      <c r="M9509" s="22"/>
      <c r="N9509" s="21">
        <v>0</v>
      </c>
      <c r="O9509" s="22"/>
    </row>
    <row r="9510" ht="38.25">
      <c r="A9510" t="s">
        <v>9589</v>
      </c>
      <c r="B9510" s="19">
        <v>105436</v>
      </c>
      <c r="C9510" s="20" t="s">
        <v>9640</v>
      </c>
      <c r="D9510" s="19" t="s">
        <v>9591</v>
      </c>
      <c r="E9510" s="21" t="str">
        <f t="shared" si="443"/>
        <v>VERIFICAR</v>
      </c>
      <c r="F9510" s="22">
        <v>0</v>
      </c>
      <c r="G9510" s="21" t="str">
        <f t="shared" si="444"/>
        <v>VERIFICAR</v>
      </c>
      <c r="H9510" s="22">
        <v>0</v>
      </c>
      <c r="I9510" s="23" t="str">
        <f t="shared" si="445"/>
        <v xml:space="preserve">COM VALOR</v>
      </c>
      <c r="J9510" s="19"/>
      <c r="L9510" s="21">
        <v>0</v>
      </c>
      <c r="M9510" s="22"/>
      <c r="N9510" s="21">
        <v>0</v>
      </c>
      <c r="O9510" s="22"/>
    </row>
    <row r="9511" ht="38.25">
      <c r="A9511" t="s">
        <v>9589</v>
      </c>
      <c r="B9511" s="19">
        <v>105483</v>
      </c>
      <c r="C9511" s="20" t="s">
        <v>9641</v>
      </c>
      <c r="D9511" s="19" t="s">
        <v>9591</v>
      </c>
      <c r="E9511" s="21" t="str">
        <f t="shared" si="443"/>
        <v>VERIFICAR</v>
      </c>
      <c r="F9511" s="22">
        <v>0</v>
      </c>
      <c r="G9511" s="21" t="str">
        <f t="shared" si="444"/>
        <v>VERIFICAR</v>
      </c>
      <c r="H9511" s="22">
        <v>0</v>
      </c>
      <c r="I9511" s="23" t="str">
        <f t="shared" si="445"/>
        <v xml:space="preserve">COM VALOR</v>
      </c>
      <c r="J9511" s="19"/>
      <c r="L9511" s="21">
        <v>0</v>
      </c>
      <c r="M9511" s="22"/>
      <c r="N9511" s="21">
        <v>0</v>
      </c>
      <c r="O9511" s="22"/>
    </row>
    <row r="9512" ht="38.25">
      <c r="A9512" t="s">
        <v>9589</v>
      </c>
      <c r="B9512" s="19">
        <v>105505</v>
      </c>
      <c r="C9512" s="20" t="s">
        <v>9642</v>
      </c>
      <c r="D9512" s="19" t="s">
        <v>9591</v>
      </c>
      <c r="E9512" s="21" t="str">
        <f t="shared" si="443"/>
        <v>VERIFICAR</v>
      </c>
      <c r="F9512" s="22">
        <v>0</v>
      </c>
      <c r="G9512" s="21" t="str">
        <f t="shared" si="444"/>
        <v>VERIFICAR</v>
      </c>
      <c r="H9512" s="22">
        <v>0</v>
      </c>
      <c r="I9512" s="23" t="str">
        <f t="shared" si="445"/>
        <v xml:space="preserve">COM VALOR</v>
      </c>
      <c r="J9512" s="19"/>
      <c r="L9512" s="21">
        <v>0</v>
      </c>
      <c r="M9512" s="22"/>
      <c r="N9512" s="21">
        <v>0</v>
      </c>
      <c r="O9512" s="22"/>
    </row>
    <row r="9513" ht="38.25">
      <c r="A9513" t="s">
        <v>9589</v>
      </c>
      <c r="B9513" s="19">
        <v>105435</v>
      </c>
      <c r="C9513" s="20" t="s">
        <v>9643</v>
      </c>
      <c r="D9513" s="19" t="s">
        <v>9591</v>
      </c>
      <c r="E9513" s="21" t="str">
        <f t="shared" si="443"/>
        <v>VERIFICAR</v>
      </c>
      <c r="F9513" s="22">
        <v>0</v>
      </c>
      <c r="G9513" s="21" t="str">
        <f t="shared" si="444"/>
        <v>VERIFICAR</v>
      </c>
      <c r="H9513" s="22">
        <v>0</v>
      </c>
      <c r="I9513" s="23" t="str">
        <f t="shared" si="445"/>
        <v xml:space="preserve">COM VALOR</v>
      </c>
      <c r="J9513" s="19"/>
      <c r="L9513" s="21">
        <v>0</v>
      </c>
      <c r="M9513" s="22"/>
      <c r="N9513" s="21">
        <v>0</v>
      </c>
      <c r="O9513" s="22"/>
    </row>
    <row r="9514" ht="38.25">
      <c r="A9514" t="s">
        <v>9589</v>
      </c>
      <c r="B9514" s="19">
        <v>105460</v>
      </c>
      <c r="C9514" s="20" t="s">
        <v>9644</v>
      </c>
      <c r="D9514" s="19" t="s">
        <v>9591</v>
      </c>
      <c r="E9514" s="21" t="str">
        <f t="shared" si="443"/>
        <v>VERIFICAR</v>
      </c>
      <c r="F9514" s="22">
        <v>0</v>
      </c>
      <c r="G9514" s="21" t="str">
        <f t="shared" si="444"/>
        <v>VERIFICAR</v>
      </c>
      <c r="H9514" s="22">
        <v>0</v>
      </c>
      <c r="I9514" s="23" t="str">
        <f t="shared" si="445"/>
        <v xml:space="preserve">COM VALOR</v>
      </c>
      <c r="J9514" s="19"/>
      <c r="L9514" s="21">
        <v>0</v>
      </c>
      <c r="M9514" s="22"/>
      <c r="N9514" s="21">
        <v>0</v>
      </c>
      <c r="O9514" s="22"/>
    </row>
    <row r="9515" ht="38.25">
      <c r="A9515" t="s">
        <v>9589</v>
      </c>
      <c r="B9515" s="19">
        <v>105470</v>
      </c>
      <c r="C9515" s="20" t="s">
        <v>9645</v>
      </c>
      <c r="D9515" s="19" t="s">
        <v>9591</v>
      </c>
      <c r="E9515" s="21" t="str">
        <f t="shared" si="443"/>
        <v>VERIFICAR</v>
      </c>
      <c r="F9515" s="22">
        <v>0</v>
      </c>
      <c r="G9515" s="21" t="str">
        <f t="shared" si="444"/>
        <v>VERIFICAR</v>
      </c>
      <c r="H9515" s="22">
        <v>0</v>
      </c>
      <c r="I9515" s="23" t="str">
        <f t="shared" si="445"/>
        <v xml:space="preserve">COM VALOR</v>
      </c>
      <c r="J9515" s="19"/>
      <c r="L9515" s="21">
        <v>0</v>
      </c>
      <c r="M9515" s="22"/>
      <c r="N9515" s="21">
        <v>0</v>
      </c>
      <c r="O9515" s="22"/>
    </row>
    <row r="9516" ht="38.25">
      <c r="A9516" t="s">
        <v>9589</v>
      </c>
      <c r="B9516" s="19">
        <v>105504</v>
      </c>
      <c r="C9516" s="20" t="s">
        <v>9646</v>
      </c>
      <c r="D9516" s="19" t="s">
        <v>9591</v>
      </c>
      <c r="E9516" s="21" t="str">
        <f t="shared" si="443"/>
        <v>VERIFICAR</v>
      </c>
      <c r="F9516" s="22">
        <v>2.9999999999999999e-002</v>
      </c>
      <c r="G9516" s="21" t="str">
        <f t="shared" si="444"/>
        <v>VERIFICAR</v>
      </c>
      <c r="H9516" s="22">
        <v>2.9999999999999999e-002</v>
      </c>
      <c r="I9516" s="23" t="str">
        <f t="shared" si="445"/>
        <v xml:space="preserve">COM VALOR</v>
      </c>
      <c r="J9516" s="19"/>
      <c r="L9516" s="21">
        <v>0</v>
      </c>
      <c r="M9516" s="22"/>
      <c r="N9516" s="21">
        <v>0</v>
      </c>
      <c r="O9516" s="22"/>
    </row>
    <row r="9517" ht="25.5">
      <c r="A9517" t="s">
        <v>9589</v>
      </c>
      <c r="B9517" s="19">
        <v>105476</v>
      </c>
      <c r="C9517" s="20" t="s">
        <v>9647</v>
      </c>
      <c r="D9517" s="19" t="s">
        <v>9591</v>
      </c>
      <c r="E9517" s="21" t="str">
        <f t="shared" si="443"/>
        <v>VERIFICAR</v>
      </c>
      <c r="F9517" s="22">
        <v>2.e-002</v>
      </c>
      <c r="G9517" s="21" t="str">
        <f t="shared" si="444"/>
        <v>VERIFICAR</v>
      </c>
      <c r="H9517" s="22">
        <v>2.e-002</v>
      </c>
      <c r="I9517" s="23" t="str">
        <f t="shared" si="445"/>
        <v xml:space="preserve">COM VALOR</v>
      </c>
      <c r="J9517" s="19"/>
      <c r="L9517" s="21">
        <v>0</v>
      </c>
      <c r="M9517" s="22"/>
      <c r="N9517" s="21">
        <v>0</v>
      </c>
      <c r="O9517" s="22"/>
    </row>
    <row r="9518" ht="25.5">
      <c r="A9518" t="s">
        <v>9589</v>
      </c>
      <c r="B9518" s="19">
        <v>105471</v>
      </c>
      <c r="C9518" s="20" t="s">
        <v>9648</v>
      </c>
      <c r="D9518" s="19" t="s">
        <v>9591</v>
      </c>
      <c r="E9518" s="21" t="str">
        <f t="shared" si="443"/>
        <v>VERIFICAR</v>
      </c>
      <c r="F9518" s="22">
        <v>2.e-002</v>
      </c>
      <c r="G9518" s="21" t="str">
        <f t="shared" si="444"/>
        <v>VERIFICAR</v>
      </c>
      <c r="H9518" s="22">
        <v>2.e-002</v>
      </c>
      <c r="I9518" s="23" t="str">
        <f t="shared" si="445"/>
        <v xml:space="preserve">COM VALOR</v>
      </c>
      <c r="J9518" s="19"/>
      <c r="L9518" s="21">
        <v>0</v>
      </c>
      <c r="M9518" s="22"/>
      <c r="N9518" s="21">
        <v>0</v>
      </c>
      <c r="O9518" s="22"/>
    </row>
    <row r="9519" ht="25.5">
      <c r="A9519" t="s">
        <v>9589</v>
      </c>
      <c r="B9519" s="19">
        <v>105493</v>
      </c>
      <c r="C9519" s="20" t="s">
        <v>9649</v>
      </c>
      <c r="D9519" s="19" t="s">
        <v>9591</v>
      </c>
      <c r="E9519" s="21" t="str">
        <f t="shared" si="443"/>
        <v>VERIFICAR</v>
      </c>
      <c r="F9519" s="22">
        <v>1.e-002</v>
      </c>
      <c r="G9519" s="21" t="str">
        <f t="shared" si="444"/>
        <v>VERIFICAR</v>
      </c>
      <c r="H9519" s="22">
        <v>1.e-002</v>
      </c>
      <c r="I9519" s="23" t="str">
        <f t="shared" si="445"/>
        <v xml:space="preserve">COM VALOR</v>
      </c>
      <c r="J9519" s="19"/>
      <c r="L9519" s="21">
        <v>0</v>
      </c>
      <c r="M9519" s="22"/>
      <c r="N9519" s="21">
        <v>0</v>
      </c>
      <c r="O9519" s="22"/>
    </row>
    <row r="9520" ht="25.5">
      <c r="A9520" t="s">
        <v>9589</v>
      </c>
      <c r="B9520" s="19">
        <v>105482</v>
      </c>
      <c r="C9520" s="20" t="s">
        <v>9650</v>
      </c>
      <c r="D9520" s="19" t="s">
        <v>9591</v>
      </c>
      <c r="E9520" s="21" t="str">
        <f t="shared" si="443"/>
        <v>VERIFICAR</v>
      </c>
      <c r="F9520" s="22">
        <v>1.e-002</v>
      </c>
      <c r="G9520" s="21" t="str">
        <f t="shared" si="444"/>
        <v>VERIFICAR</v>
      </c>
      <c r="H9520" s="22">
        <v>1.e-002</v>
      </c>
      <c r="I9520" s="23" t="str">
        <f t="shared" si="445"/>
        <v xml:space="preserve">COM VALOR</v>
      </c>
      <c r="J9520" s="19"/>
      <c r="L9520" s="21">
        <v>0</v>
      </c>
      <c r="M9520" s="22"/>
      <c r="N9520" s="21">
        <v>0</v>
      </c>
      <c r="O9520" s="22"/>
    </row>
    <row r="9521" ht="38.25">
      <c r="A9521" t="s">
        <v>9589</v>
      </c>
      <c r="B9521" s="19">
        <v>105430</v>
      </c>
      <c r="C9521" s="20" t="s">
        <v>9651</v>
      </c>
      <c r="D9521" s="19" t="s">
        <v>9591</v>
      </c>
      <c r="E9521" s="21" t="str">
        <f t="shared" si="443"/>
        <v>VERIFICAR</v>
      </c>
      <c r="F9521" s="22">
        <v>1.e-002</v>
      </c>
      <c r="G9521" s="21" t="str">
        <f t="shared" si="444"/>
        <v>VERIFICAR</v>
      </c>
      <c r="H9521" s="22">
        <v>1.e-002</v>
      </c>
      <c r="I9521" s="23" t="str">
        <f t="shared" si="445"/>
        <v xml:space="preserve">COM VALOR</v>
      </c>
      <c r="J9521" s="19"/>
      <c r="L9521" s="21">
        <v>0</v>
      </c>
      <c r="M9521" s="22"/>
      <c r="N9521" s="21">
        <v>0</v>
      </c>
      <c r="O9521" s="22"/>
    </row>
    <row r="9522" ht="38.25">
      <c r="A9522" t="s">
        <v>9589</v>
      </c>
      <c r="B9522" s="19">
        <v>105440</v>
      </c>
      <c r="C9522" s="20" t="s">
        <v>9652</v>
      </c>
      <c r="D9522" s="19" t="s">
        <v>9591</v>
      </c>
      <c r="E9522" s="21" t="str">
        <f t="shared" si="443"/>
        <v>VERIFICAR</v>
      </c>
      <c r="F9522" s="22">
        <v>5.9999999999999998e-002</v>
      </c>
      <c r="G9522" s="21" t="str">
        <f t="shared" si="444"/>
        <v>VERIFICAR</v>
      </c>
      <c r="H9522" s="22">
        <v>5.9999999999999998e-002</v>
      </c>
      <c r="I9522" s="23" t="str">
        <f t="shared" si="445"/>
        <v xml:space="preserve">COM VALOR</v>
      </c>
      <c r="J9522" s="19"/>
      <c r="L9522" s="21">
        <v>0</v>
      </c>
      <c r="M9522" s="22"/>
      <c r="N9522" s="21">
        <v>0</v>
      </c>
      <c r="O9522" s="22"/>
    </row>
    <row r="9523" ht="38.25">
      <c r="A9523" t="s">
        <v>9589</v>
      </c>
      <c r="B9523" s="19">
        <v>105465</v>
      </c>
      <c r="C9523" s="20" t="s">
        <v>9653</v>
      </c>
      <c r="D9523" s="19" t="s">
        <v>9591</v>
      </c>
      <c r="E9523" s="21" t="str">
        <f t="shared" si="443"/>
        <v>VERIFICAR</v>
      </c>
      <c r="F9523" s="22">
        <v>5.0000000000000003e-002</v>
      </c>
      <c r="G9523" s="21" t="str">
        <f t="shared" si="444"/>
        <v>VERIFICAR</v>
      </c>
      <c r="H9523" s="22">
        <v>5.9999999999999998e-002</v>
      </c>
      <c r="I9523" s="23" t="str">
        <f t="shared" si="445"/>
        <v xml:space="preserve">COM VALOR</v>
      </c>
      <c r="J9523" s="19"/>
      <c r="L9523" s="21">
        <v>0</v>
      </c>
      <c r="M9523" s="22"/>
      <c r="N9523" s="21">
        <v>0</v>
      </c>
      <c r="O9523" s="22"/>
    </row>
    <row r="9524" ht="38.25">
      <c r="A9524" t="s">
        <v>9589</v>
      </c>
      <c r="B9524" s="19">
        <v>105499</v>
      </c>
      <c r="C9524" s="20" t="s">
        <v>9654</v>
      </c>
      <c r="D9524" s="19" t="s">
        <v>9591</v>
      </c>
      <c r="E9524" s="21" t="str">
        <f t="shared" si="443"/>
        <v>VERIFICAR</v>
      </c>
      <c r="F9524" s="22">
        <v>5.0000000000000003e-002</v>
      </c>
      <c r="G9524" s="21" t="str">
        <f t="shared" si="444"/>
        <v>VERIFICAR</v>
      </c>
      <c r="H9524" s="22">
        <v>5.0000000000000003e-002</v>
      </c>
      <c r="I9524" s="23" t="str">
        <f t="shared" si="445"/>
        <v xml:space="preserve">COM VALOR</v>
      </c>
      <c r="J9524" s="19"/>
      <c r="L9524" s="21">
        <v>0</v>
      </c>
      <c r="M9524" s="22"/>
      <c r="N9524" s="21">
        <v>0</v>
      </c>
      <c r="O9524" s="22"/>
    </row>
    <row r="9525" ht="38.25">
      <c r="A9525" t="s">
        <v>9589</v>
      </c>
      <c r="B9525" s="19">
        <v>105431</v>
      </c>
      <c r="C9525" s="20" t="s">
        <v>9655</v>
      </c>
      <c r="D9525" s="19" t="s">
        <v>9591</v>
      </c>
      <c r="E9525" s="21" t="str">
        <f t="shared" si="443"/>
        <v>VERIFICAR</v>
      </c>
      <c r="F9525" s="22"/>
      <c r="G9525" s="21" t="str">
        <f t="shared" si="444"/>
        <v>VERIFICAR</v>
      </c>
      <c r="H9525" s="22"/>
      <c r="I9525" s="23" t="str">
        <f t="shared" si="445"/>
        <v xml:space="preserve">COM VALOR</v>
      </c>
      <c r="J9525" s="19"/>
      <c r="L9525" s="21">
        <v>0</v>
      </c>
      <c r="M9525" s="22"/>
      <c r="N9525" s="21">
        <v>0</v>
      </c>
      <c r="O9525" s="22"/>
    </row>
    <row r="9526" ht="38.25">
      <c r="A9526" t="s">
        <v>9589</v>
      </c>
      <c r="B9526" s="19">
        <v>105441</v>
      </c>
      <c r="C9526" s="20" t="s">
        <v>9656</v>
      </c>
      <c r="D9526" s="19" t="s">
        <v>9591</v>
      </c>
      <c r="E9526" s="21" t="str">
        <f t="shared" si="443"/>
        <v>VERIFICAR</v>
      </c>
      <c r="F9526" s="22"/>
      <c r="G9526" s="21" t="str">
        <f t="shared" si="444"/>
        <v>VERIFICAR</v>
      </c>
      <c r="H9526" s="22"/>
      <c r="I9526" s="23" t="str">
        <f t="shared" si="445"/>
        <v xml:space="preserve">COM VALOR</v>
      </c>
      <c r="J9526" s="19"/>
      <c r="L9526" s="21">
        <v>0</v>
      </c>
      <c r="M9526" s="22"/>
      <c r="N9526" s="21">
        <v>0</v>
      </c>
      <c r="O9526" s="22"/>
    </row>
    <row r="9527" ht="38.25">
      <c r="A9527" t="s">
        <v>9589</v>
      </c>
      <c r="B9527" s="19">
        <v>105466</v>
      </c>
      <c r="C9527" s="20" t="s">
        <v>9657</v>
      </c>
      <c r="D9527" s="19" t="s">
        <v>9591</v>
      </c>
      <c r="E9527" s="21" t="str">
        <f t="shared" si="443"/>
        <v>VERIFICAR</v>
      </c>
      <c r="F9527" s="22"/>
      <c r="G9527" s="21" t="str">
        <f t="shared" si="444"/>
        <v>VERIFICAR</v>
      </c>
      <c r="H9527" s="22"/>
      <c r="I9527" s="23" t="str">
        <f t="shared" si="445"/>
        <v xml:space="preserve">COM VALOR</v>
      </c>
      <c r="J9527" s="19"/>
      <c r="L9527" s="21">
        <v>0</v>
      </c>
      <c r="M9527" s="22"/>
      <c r="N9527" s="21">
        <v>0</v>
      </c>
      <c r="O9527" s="22"/>
    </row>
    <row r="9528" ht="38.25">
      <c r="A9528" t="s">
        <v>9589</v>
      </c>
      <c r="B9528" s="19">
        <v>105500</v>
      </c>
      <c r="C9528" s="20" t="s">
        <v>9658</v>
      </c>
      <c r="D9528" s="19" t="s">
        <v>9591</v>
      </c>
      <c r="E9528" s="21" t="str">
        <f t="shared" si="443"/>
        <v>VERIFICAR</v>
      </c>
      <c r="F9528" s="22"/>
      <c r="G9528" s="21" t="str">
        <f t="shared" si="444"/>
        <v>VERIFICAR</v>
      </c>
      <c r="H9528" s="22"/>
      <c r="I9528" s="23" t="str">
        <f t="shared" si="445"/>
        <v xml:space="preserve">COM VALOR</v>
      </c>
      <c r="J9528" s="19"/>
      <c r="L9528" s="21">
        <v>0</v>
      </c>
      <c r="M9528" s="22"/>
      <c r="N9528" s="21">
        <v>0</v>
      </c>
      <c r="O9528" s="22"/>
    </row>
    <row r="9529" ht="38.25">
      <c r="A9529" t="s">
        <v>9589</v>
      </c>
      <c r="B9529" s="19">
        <v>105429</v>
      </c>
      <c r="C9529" s="20" t="s">
        <v>9659</v>
      </c>
      <c r="D9529" s="19" t="s">
        <v>9591</v>
      </c>
      <c r="E9529" s="21" t="str">
        <f t="shared" si="443"/>
        <v>VERIFICAR</v>
      </c>
      <c r="F9529" s="22"/>
      <c r="G9529" s="21" t="str">
        <f t="shared" si="444"/>
        <v>VERIFICAR</v>
      </c>
      <c r="H9529" s="22"/>
      <c r="I9529" s="23" t="str">
        <f t="shared" si="445"/>
        <v xml:space="preserve">COM VALOR</v>
      </c>
      <c r="J9529" s="19"/>
      <c r="L9529" s="21">
        <v>0</v>
      </c>
      <c r="M9529" s="22"/>
      <c r="N9529" s="21">
        <v>0</v>
      </c>
      <c r="O9529" s="22"/>
    </row>
    <row r="9530" ht="38.25">
      <c r="A9530" t="s">
        <v>9589</v>
      </c>
      <c r="B9530" s="19">
        <v>105439</v>
      </c>
      <c r="C9530" s="20" t="s">
        <v>9660</v>
      </c>
      <c r="D9530" s="19" t="s">
        <v>9591</v>
      </c>
      <c r="E9530" s="21" t="str">
        <f t="shared" si="443"/>
        <v>VERIFICAR</v>
      </c>
      <c r="F9530" s="22"/>
      <c r="G9530" s="21" t="str">
        <f t="shared" si="444"/>
        <v>VERIFICAR</v>
      </c>
      <c r="H9530" s="22"/>
      <c r="I9530" s="23" t="str">
        <f t="shared" si="445"/>
        <v xml:space="preserve">COM VALOR</v>
      </c>
      <c r="J9530" s="19"/>
      <c r="L9530" s="21">
        <v>0</v>
      </c>
      <c r="M9530" s="22"/>
      <c r="N9530" s="21">
        <v>0</v>
      </c>
      <c r="O9530" s="22"/>
    </row>
    <row r="9531" ht="38.25">
      <c r="A9531" t="s">
        <v>9589</v>
      </c>
      <c r="B9531" s="19">
        <v>105464</v>
      </c>
      <c r="C9531" s="20" t="s">
        <v>9661</v>
      </c>
      <c r="D9531" s="19" t="s">
        <v>9591</v>
      </c>
      <c r="E9531" s="21" t="str">
        <f t="shared" si="443"/>
        <v>VERIFICAR</v>
      </c>
      <c r="F9531" s="22"/>
      <c r="G9531" s="21" t="str">
        <f t="shared" si="444"/>
        <v>VERIFICAR</v>
      </c>
      <c r="H9531" s="22"/>
      <c r="I9531" s="23" t="str">
        <f t="shared" si="445"/>
        <v xml:space="preserve">COM VALOR</v>
      </c>
      <c r="J9531" s="19"/>
      <c r="L9531" s="21">
        <v>0</v>
      </c>
      <c r="M9531" s="22"/>
      <c r="N9531" s="21">
        <v>0</v>
      </c>
      <c r="O9531" s="22"/>
    </row>
    <row r="9532" ht="38.25">
      <c r="A9532" t="s">
        <v>9589</v>
      </c>
      <c r="B9532" s="19">
        <v>105489</v>
      </c>
      <c r="C9532" s="20" t="s">
        <v>9662</v>
      </c>
      <c r="D9532" s="19" t="s">
        <v>9591</v>
      </c>
      <c r="E9532" s="21" t="str">
        <f t="shared" si="443"/>
        <v>VERIFICAR</v>
      </c>
      <c r="F9532" s="22"/>
      <c r="G9532" s="21" t="str">
        <f t="shared" si="444"/>
        <v>VERIFICAR</v>
      </c>
      <c r="H9532" s="22"/>
      <c r="I9532" s="23" t="str">
        <f t="shared" si="445"/>
        <v xml:space="preserve">COM VALOR</v>
      </c>
      <c r="J9532" s="19"/>
      <c r="L9532" s="21">
        <v>0</v>
      </c>
      <c r="M9532" s="22"/>
      <c r="N9532" s="21">
        <v>0</v>
      </c>
      <c r="O9532" s="22"/>
    </row>
    <row r="9533" ht="38.25">
      <c r="A9533" t="s">
        <v>9589</v>
      </c>
      <c r="B9533" s="19">
        <v>105437</v>
      </c>
      <c r="C9533" s="20" t="s">
        <v>9663</v>
      </c>
      <c r="D9533" s="19" t="s">
        <v>9591</v>
      </c>
      <c r="E9533" s="21" t="str">
        <f t="shared" si="443"/>
        <v>VERIFICAR</v>
      </c>
      <c r="F9533" s="22">
        <v>0.14999999999999999</v>
      </c>
      <c r="G9533" s="21" t="str">
        <f t="shared" si="444"/>
        <v>VERIFICAR</v>
      </c>
      <c r="H9533" s="22">
        <v>0.14999999999999999</v>
      </c>
      <c r="I9533" s="23" t="str">
        <f t="shared" si="445"/>
        <v xml:space="preserve">COM VALOR</v>
      </c>
      <c r="J9533" s="19"/>
      <c r="L9533" s="21">
        <v>0</v>
      </c>
      <c r="M9533" s="22"/>
      <c r="N9533" s="21">
        <v>0</v>
      </c>
      <c r="O9533" s="22"/>
    </row>
    <row r="9534" ht="38.25">
      <c r="A9534" t="s">
        <v>9589</v>
      </c>
      <c r="B9534" s="19">
        <v>105462</v>
      </c>
      <c r="C9534" s="20" t="s">
        <v>9664</v>
      </c>
      <c r="D9534" s="19" t="s">
        <v>9591</v>
      </c>
      <c r="E9534" s="21" t="str">
        <f t="shared" si="443"/>
        <v>VERIFICAR</v>
      </c>
      <c r="F9534" s="22">
        <v>0.12</v>
      </c>
      <c r="G9534" s="21" t="str">
        <f t="shared" si="444"/>
        <v>VERIFICAR</v>
      </c>
      <c r="H9534" s="22">
        <v>0.12</v>
      </c>
      <c r="I9534" s="23" t="str">
        <f t="shared" si="445"/>
        <v xml:space="preserve">COM VALOR</v>
      </c>
      <c r="J9534" s="19"/>
      <c r="L9534" s="21">
        <v>0</v>
      </c>
      <c r="M9534" s="22"/>
      <c r="N9534" s="21">
        <v>0</v>
      </c>
      <c r="O9534" s="22"/>
    </row>
    <row r="9535" ht="38.25">
      <c r="A9535" t="s">
        <v>9589</v>
      </c>
      <c r="B9535" s="19">
        <v>105484</v>
      </c>
      <c r="C9535" s="20" t="s">
        <v>9665</v>
      </c>
      <c r="D9535" s="19" t="s">
        <v>9591</v>
      </c>
      <c r="E9535" s="21" t="str">
        <f t="shared" si="443"/>
        <v>VERIFICAR</v>
      </c>
      <c r="F9535" s="22">
        <v>0.34000000000000002</v>
      </c>
      <c r="G9535" s="21" t="str">
        <f t="shared" si="444"/>
        <v>VERIFICAR</v>
      </c>
      <c r="H9535" s="22">
        <v>0.34999999999999998</v>
      </c>
      <c r="I9535" s="23" t="str">
        <f t="shared" si="445"/>
        <v xml:space="preserve">COM VALOR</v>
      </c>
      <c r="J9535" s="19"/>
      <c r="L9535" s="21">
        <v>0</v>
      </c>
      <c r="M9535" s="22"/>
      <c r="N9535" s="21">
        <v>0</v>
      </c>
      <c r="O9535" s="22"/>
    </row>
    <row r="9536" ht="38.25">
      <c r="A9536" t="s">
        <v>9589</v>
      </c>
      <c r="B9536" s="19">
        <v>105506</v>
      </c>
      <c r="C9536" s="20" t="s">
        <v>9666</v>
      </c>
      <c r="D9536" s="19" t="s">
        <v>9591</v>
      </c>
      <c r="E9536" s="21" t="str">
        <f t="shared" si="443"/>
        <v>VERIFICAR</v>
      </c>
      <c r="F9536" s="22">
        <v>0</v>
      </c>
      <c r="G9536" s="21" t="str">
        <f t="shared" si="444"/>
        <v>VERIFICAR</v>
      </c>
      <c r="H9536" s="22">
        <v>0</v>
      </c>
      <c r="I9536" s="23" t="str">
        <f t="shared" si="445"/>
        <v xml:space="preserve">COM VALOR</v>
      </c>
      <c r="J9536" s="19"/>
      <c r="L9536" s="21">
        <v>0</v>
      </c>
      <c r="M9536" s="22"/>
      <c r="N9536" s="21">
        <v>0</v>
      </c>
      <c r="O9536" s="22"/>
    </row>
    <row r="9537" ht="38.25">
      <c r="A9537" t="s">
        <v>9589</v>
      </c>
      <c r="B9537" s="19">
        <v>105432</v>
      </c>
      <c r="C9537" s="20" t="s">
        <v>9667</v>
      </c>
      <c r="D9537" s="19" t="s">
        <v>9591</v>
      </c>
      <c r="E9537" s="21" t="str">
        <f t="shared" si="443"/>
        <v>VERIFICAR</v>
      </c>
      <c r="F9537" s="22">
        <v>2.e-002</v>
      </c>
      <c r="G9537" s="21" t="str">
        <f t="shared" si="444"/>
        <v>VERIFICAR</v>
      </c>
      <c r="H9537" s="22">
        <v>2.e-002</v>
      </c>
      <c r="I9537" s="23" t="str">
        <f t="shared" si="445"/>
        <v xml:space="preserve">COM VALOR</v>
      </c>
      <c r="J9537" s="19"/>
      <c r="L9537" s="21">
        <v>0</v>
      </c>
      <c r="M9537" s="22"/>
      <c r="N9537" s="21">
        <v>0</v>
      </c>
      <c r="O9537" s="22"/>
    </row>
    <row r="9538" ht="38.25">
      <c r="A9538" t="s">
        <v>9589</v>
      </c>
      <c r="B9538" s="19">
        <v>105457</v>
      </c>
      <c r="C9538" s="20" t="s">
        <v>9668</v>
      </c>
      <c r="D9538" s="19" t="s">
        <v>9591</v>
      </c>
      <c r="E9538" s="21" t="str">
        <f t="shared" si="443"/>
        <v>VERIFICAR</v>
      </c>
      <c r="F9538" s="22"/>
      <c r="G9538" s="21" t="str">
        <f t="shared" si="444"/>
        <v>VERIFICAR</v>
      </c>
      <c r="H9538" s="22"/>
      <c r="I9538" s="23" t="str">
        <f t="shared" si="445"/>
        <v xml:space="preserve">COM VALOR</v>
      </c>
      <c r="J9538" s="19"/>
      <c r="L9538" s="21">
        <v>0</v>
      </c>
      <c r="M9538" s="22"/>
      <c r="N9538" s="21">
        <v>0</v>
      </c>
      <c r="O9538" s="22"/>
    </row>
    <row r="9539" ht="38.25">
      <c r="A9539" t="s">
        <v>9589</v>
      </c>
      <c r="B9539" s="19">
        <v>105467</v>
      </c>
      <c r="C9539" s="20" t="s">
        <v>9669</v>
      </c>
      <c r="D9539" s="19" t="s">
        <v>9591</v>
      </c>
      <c r="E9539" s="21" t="str">
        <f t="shared" si="443"/>
        <v>VERIFICAR</v>
      </c>
      <c r="F9539" s="22">
        <v>2.e-002</v>
      </c>
      <c r="G9539" s="21" t="str">
        <f t="shared" si="444"/>
        <v>VERIFICAR</v>
      </c>
      <c r="H9539" s="22">
        <v>2.e-002</v>
      </c>
      <c r="I9539" s="23" t="str">
        <f t="shared" si="445"/>
        <v xml:space="preserve">COM VALOR</v>
      </c>
      <c r="J9539" s="19"/>
      <c r="L9539" s="21">
        <v>0</v>
      </c>
      <c r="M9539" s="22"/>
      <c r="N9539" s="21">
        <v>0</v>
      </c>
      <c r="O9539" s="22"/>
    </row>
    <row r="9540" ht="38.25">
      <c r="A9540" t="s">
        <v>9589</v>
      </c>
      <c r="B9540" s="19">
        <v>105501</v>
      </c>
      <c r="C9540" s="20" t="s">
        <v>9670</v>
      </c>
      <c r="D9540" s="19" t="s">
        <v>9591</v>
      </c>
      <c r="E9540" s="21" t="str">
        <f t="shared" si="443"/>
        <v>VERIFICAR</v>
      </c>
      <c r="F9540" s="22"/>
      <c r="G9540" s="21" t="str">
        <f t="shared" si="444"/>
        <v>VERIFICAR</v>
      </c>
      <c r="H9540" s="22"/>
      <c r="I9540" s="23" t="str">
        <f t="shared" si="445"/>
        <v xml:space="preserve">COM VALOR</v>
      </c>
      <c r="J9540" s="19"/>
      <c r="L9540" s="21">
        <v>0</v>
      </c>
      <c r="M9540" s="22"/>
      <c r="N9540" s="21">
        <v>0</v>
      </c>
      <c r="O9540" s="22"/>
    </row>
    <row r="9541" ht="38.25">
      <c r="A9541" t="s">
        <v>9589</v>
      </c>
      <c r="B9541" s="19">
        <v>105433</v>
      </c>
      <c r="C9541" s="20" t="s">
        <v>9671</v>
      </c>
      <c r="D9541" s="19" t="s">
        <v>9591</v>
      </c>
      <c r="E9541" s="21" t="str">
        <f t="shared" si="443"/>
        <v>VERIFICAR</v>
      </c>
      <c r="F9541" s="22">
        <v>5.0000000000000003e-002</v>
      </c>
      <c r="G9541" s="21" t="str">
        <f t="shared" si="444"/>
        <v>VERIFICAR</v>
      </c>
      <c r="H9541" s="22">
        <v>5.0000000000000003e-002</v>
      </c>
      <c r="I9541" s="23" t="str">
        <f t="shared" si="445"/>
        <v xml:space="preserve">COM VALOR</v>
      </c>
      <c r="J9541" s="19"/>
      <c r="L9541" s="21">
        <v>0</v>
      </c>
      <c r="M9541" s="22"/>
      <c r="N9541" s="21">
        <v>0</v>
      </c>
      <c r="O9541" s="22"/>
    </row>
    <row r="9542" ht="38.25">
      <c r="A9542" t="s">
        <v>9589</v>
      </c>
      <c r="B9542" s="19">
        <v>105458</v>
      </c>
      <c r="C9542" s="20" t="s">
        <v>9672</v>
      </c>
      <c r="D9542" s="19" t="s">
        <v>9591</v>
      </c>
      <c r="E9542" s="21" t="str">
        <f t="shared" si="443"/>
        <v>VERIFICAR</v>
      </c>
      <c r="F9542" s="22"/>
      <c r="G9542" s="21" t="str">
        <f t="shared" si="444"/>
        <v>VERIFICAR</v>
      </c>
      <c r="H9542" s="22"/>
      <c r="I9542" s="23" t="str">
        <f t="shared" si="445"/>
        <v xml:space="preserve">COM VALOR</v>
      </c>
      <c r="J9542" s="19"/>
      <c r="L9542" s="21">
        <v>0</v>
      </c>
      <c r="M9542" s="22"/>
      <c r="N9542" s="21">
        <v>0</v>
      </c>
      <c r="O9542" s="22"/>
    </row>
    <row r="9543" ht="38.25">
      <c r="A9543" t="s">
        <v>9589</v>
      </c>
      <c r="B9543" s="19">
        <v>105468</v>
      </c>
      <c r="C9543" s="20" t="s">
        <v>9673</v>
      </c>
      <c r="D9543" s="19" t="s">
        <v>9591</v>
      </c>
      <c r="E9543" s="21" t="str">
        <f t="shared" si="443"/>
        <v>VERIFICAR</v>
      </c>
      <c r="F9543" s="22">
        <v>0.27000000000000002</v>
      </c>
      <c r="G9543" s="21" t="str">
        <f t="shared" si="444"/>
        <v>VERIFICAR</v>
      </c>
      <c r="H9543" s="22">
        <v>0.27000000000000002</v>
      </c>
      <c r="I9543" s="23" t="str">
        <f t="shared" si="445"/>
        <v xml:space="preserve">COM VALOR</v>
      </c>
      <c r="J9543" s="19"/>
      <c r="L9543" s="21">
        <v>0</v>
      </c>
      <c r="M9543" s="22"/>
      <c r="N9543" s="21">
        <v>0</v>
      </c>
      <c r="O9543" s="22"/>
    </row>
    <row r="9544" ht="38.25">
      <c r="A9544" t="s">
        <v>9589</v>
      </c>
      <c r="B9544" s="19">
        <v>105502</v>
      </c>
      <c r="C9544" s="20" t="s">
        <v>9674</v>
      </c>
      <c r="D9544" s="19" t="s">
        <v>9591</v>
      </c>
      <c r="E9544" s="21" t="str">
        <f t="shared" si="443"/>
        <v>VERIFICAR</v>
      </c>
      <c r="F9544" s="22">
        <v>0</v>
      </c>
      <c r="G9544" s="21" t="str">
        <f t="shared" si="444"/>
        <v>VERIFICAR</v>
      </c>
      <c r="H9544" s="22">
        <v>0</v>
      </c>
      <c r="I9544" s="23" t="str">
        <f t="shared" si="445"/>
        <v xml:space="preserve">COM VALOR</v>
      </c>
      <c r="J9544" s="19"/>
      <c r="L9544" s="21">
        <v>0</v>
      </c>
      <c r="M9544" s="22"/>
      <c r="N9544" s="21">
        <v>0</v>
      </c>
      <c r="O9544" s="22"/>
    </row>
    <row r="9545" ht="38.25">
      <c r="A9545" t="s">
        <v>9589</v>
      </c>
      <c r="B9545" s="19">
        <v>105434</v>
      </c>
      <c r="C9545" s="20" t="s">
        <v>9675</v>
      </c>
      <c r="D9545" s="19" t="s">
        <v>9591</v>
      </c>
      <c r="E9545" s="21" t="str">
        <f t="shared" si="443"/>
        <v>VERIFICAR</v>
      </c>
      <c r="F9545" s="22">
        <v>0.22</v>
      </c>
      <c r="G9545" s="21" t="str">
        <f t="shared" si="444"/>
        <v>VERIFICAR</v>
      </c>
      <c r="H9545" s="22">
        <v>0.23000000000000001</v>
      </c>
      <c r="I9545" s="23" t="str">
        <f t="shared" si="445"/>
        <v xml:space="preserve">COM VALOR</v>
      </c>
      <c r="J9545" s="19"/>
      <c r="L9545" s="21">
        <v>0</v>
      </c>
      <c r="M9545" s="22"/>
      <c r="N9545" s="21">
        <v>0</v>
      </c>
      <c r="O9545" s="22"/>
    </row>
    <row r="9546" ht="38.25">
      <c r="A9546" t="s">
        <v>9589</v>
      </c>
      <c r="B9546" s="19">
        <v>105459</v>
      </c>
      <c r="C9546" s="20" t="s">
        <v>9676</v>
      </c>
      <c r="D9546" s="19" t="s">
        <v>9591</v>
      </c>
      <c r="E9546" s="21" t="str">
        <f t="shared" si="443"/>
        <v>VERIFICAR</v>
      </c>
      <c r="F9546" s="22">
        <v>0</v>
      </c>
      <c r="G9546" s="21" t="str">
        <f t="shared" si="444"/>
        <v>VERIFICAR</v>
      </c>
      <c r="H9546" s="22">
        <v>0</v>
      </c>
      <c r="I9546" s="23" t="str">
        <f t="shared" si="445"/>
        <v xml:space="preserve">COM VALOR</v>
      </c>
      <c r="J9546" s="19"/>
      <c r="L9546" s="21">
        <v>0</v>
      </c>
      <c r="M9546" s="22"/>
      <c r="N9546" s="21">
        <v>0</v>
      </c>
      <c r="O9546" s="22"/>
    </row>
    <row r="9547" ht="38.25">
      <c r="A9547" t="s">
        <v>9589</v>
      </c>
      <c r="B9547" s="19">
        <v>105469</v>
      </c>
      <c r="C9547" s="20" t="s">
        <v>9677</v>
      </c>
      <c r="D9547" s="19" t="s">
        <v>9591</v>
      </c>
      <c r="E9547" s="21" t="str">
        <f t="shared" ref="E9547:E9610" si="446">IF(L9547=0,"VERIFICAR",L9547)</f>
        <v>VERIFICAR</v>
      </c>
      <c r="F9547" s="22">
        <v>0.14999999999999999</v>
      </c>
      <c r="G9547" s="21" t="str">
        <f t="shared" ref="G9547:G9610" si="447">IF(N9547=0,"VERIFICAR",N9547)</f>
        <v>VERIFICAR</v>
      </c>
      <c r="H9547" s="22">
        <v>0.14999999999999999</v>
      </c>
      <c r="I9547" s="23" t="str">
        <f t="shared" ref="I9547:I9610" si="448">IF(OR(E9547=0,G9547=0),"SEM VALOR","COM VALOR")</f>
        <v xml:space="preserve">COM VALOR</v>
      </c>
      <c r="J9547" s="19"/>
      <c r="L9547" s="21">
        <v>0</v>
      </c>
      <c r="M9547" s="22"/>
      <c r="N9547" s="21">
        <v>0</v>
      </c>
      <c r="O9547" s="22"/>
    </row>
    <row r="9548" ht="38.25">
      <c r="A9548" t="s">
        <v>9589</v>
      </c>
      <c r="B9548" s="19">
        <v>105503</v>
      </c>
      <c r="C9548" s="20" t="s">
        <v>9678</v>
      </c>
      <c r="D9548" s="19" t="s">
        <v>9591</v>
      </c>
      <c r="E9548" s="21" t="str">
        <f t="shared" si="446"/>
        <v>VERIFICAR</v>
      </c>
      <c r="F9548" s="22">
        <v>0</v>
      </c>
      <c r="G9548" s="21" t="str">
        <f t="shared" si="447"/>
        <v>VERIFICAR</v>
      </c>
      <c r="H9548" s="22">
        <v>0</v>
      </c>
      <c r="I9548" s="23" t="str">
        <f t="shared" si="448"/>
        <v xml:space="preserve">COM VALOR</v>
      </c>
      <c r="J9548" s="19"/>
      <c r="L9548" s="21">
        <v>0</v>
      </c>
      <c r="M9548" s="22"/>
      <c r="N9548" s="21">
        <v>0</v>
      </c>
      <c r="O9548" s="22"/>
    </row>
    <row r="9549" ht="38.25">
      <c r="A9549" t="s">
        <v>9589</v>
      </c>
      <c r="B9549" s="19">
        <v>105472</v>
      </c>
      <c r="C9549" s="20" t="s">
        <v>9679</v>
      </c>
      <c r="D9549" s="19" t="s">
        <v>9591</v>
      </c>
      <c r="E9549" s="21" t="str">
        <f t="shared" si="446"/>
        <v>VERIFICAR</v>
      </c>
      <c r="F9549" s="22">
        <v>8.9999999999999997e-002</v>
      </c>
      <c r="G9549" s="21" t="str">
        <f t="shared" si="447"/>
        <v>VERIFICAR</v>
      </c>
      <c r="H9549" s="22">
        <v>8.9999999999999997e-002</v>
      </c>
      <c r="I9549" s="23" t="str">
        <f t="shared" si="448"/>
        <v xml:space="preserve">COM VALOR</v>
      </c>
      <c r="J9549" s="19"/>
      <c r="L9549" s="21">
        <v>0</v>
      </c>
      <c r="M9549" s="22"/>
      <c r="N9549" s="21">
        <v>0</v>
      </c>
      <c r="O9549" s="22"/>
    </row>
    <row r="9550" ht="38.25">
      <c r="A9550" t="s">
        <v>9589</v>
      </c>
      <c r="B9550" s="19">
        <v>105413</v>
      </c>
      <c r="C9550" s="20" t="s">
        <v>9680</v>
      </c>
      <c r="D9550" s="19" t="s">
        <v>9591</v>
      </c>
      <c r="E9550" s="21" t="str">
        <f t="shared" si="446"/>
        <v>VERIFICAR</v>
      </c>
      <c r="F9550" s="22">
        <v>0</v>
      </c>
      <c r="G9550" s="21" t="str">
        <f t="shared" si="447"/>
        <v>VERIFICAR</v>
      </c>
      <c r="H9550" s="22">
        <v>0</v>
      </c>
      <c r="I9550" s="23" t="str">
        <f t="shared" si="448"/>
        <v xml:space="preserve">COM VALOR</v>
      </c>
      <c r="J9550" s="19"/>
      <c r="L9550" s="21">
        <v>0</v>
      </c>
      <c r="M9550" s="22"/>
      <c r="N9550" s="21">
        <v>0</v>
      </c>
      <c r="O9550" s="22"/>
    </row>
    <row r="9551" ht="38.25">
      <c r="A9551" t="s">
        <v>9589</v>
      </c>
      <c r="B9551" s="19">
        <v>105423</v>
      </c>
      <c r="C9551" s="20" t="s">
        <v>9681</v>
      </c>
      <c r="D9551" s="19" t="s">
        <v>9591</v>
      </c>
      <c r="E9551" s="21" t="str">
        <f t="shared" si="446"/>
        <v>VERIFICAR</v>
      </c>
      <c r="F9551" s="22">
        <v>0.33000000000000002</v>
      </c>
      <c r="G9551" s="21" t="str">
        <f t="shared" si="447"/>
        <v>VERIFICAR</v>
      </c>
      <c r="H9551" s="22">
        <v>0.34000000000000002</v>
      </c>
      <c r="I9551" s="23" t="str">
        <f t="shared" si="448"/>
        <v xml:space="preserve">COM VALOR</v>
      </c>
      <c r="J9551" s="19"/>
      <c r="L9551" s="21">
        <v>0</v>
      </c>
      <c r="M9551" s="22"/>
      <c r="N9551" s="21">
        <v>0</v>
      </c>
      <c r="O9551" s="22"/>
    </row>
    <row r="9552" ht="38.25">
      <c r="A9552" t="s">
        <v>9589</v>
      </c>
      <c r="B9552" s="19">
        <v>105447</v>
      </c>
      <c r="C9552" s="20" t="s">
        <v>9682</v>
      </c>
      <c r="D9552" s="19" t="s">
        <v>9591</v>
      </c>
      <c r="E9552" s="21" t="str">
        <f t="shared" si="446"/>
        <v>VERIFICAR</v>
      </c>
      <c r="F9552" s="22">
        <v>0</v>
      </c>
      <c r="G9552" s="21" t="str">
        <f t="shared" si="447"/>
        <v>VERIFICAR</v>
      </c>
      <c r="H9552" s="22">
        <v>0</v>
      </c>
      <c r="I9552" s="23" t="str">
        <f t="shared" si="448"/>
        <v xml:space="preserve">COM VALOR</v>
      </c>
      <c r="J9552" s="19"/>
      <c r="L9552" s="21">
        <v>0</v>
      </c>
      <c r="M9552" s="22"/>
      <c r="N9552" s="21">
        <v>0</v>
      </c>
      <c r="O9552" s="22"/>
    </row>
    <row r="9553" ht="38.25">
      <c r="A9553" t="s">
        <v>9589</v>
      </c>
      <c r="B9553" s="19">
        <v>105408</v>
      </c>
      <c r="C9553" s="20" t="s">
        <v>9683</v>
      </c>
      <c r="D9553" s="19" t="s">
        <v>9591</v>
      </c>
      <c r="E9553" s="21" t="str">
        <f t="shared" si="446"/>
        <v>VERIFICAR</v>
      </c>
      <c r="F9553" s="22">
        <v>0.31</v>
      </c>
      <c r="G9553" s="21" t="str">
        <f t="shared" si="447"/>
        <v>VERIFICAR</v>
      </c>
      <c r="H9553" s="22">
        <v>0.32000000000000001</v>
      </c>
      <c r="I9553" s="23" t="str">
        <f t="shared" si="448"/>
        <v xml:space="preserve">COM VALOR</v>
      </c>
      <c r="J9553" s="19"/>
      <c r="L9553" s="21">
        <v>0</v>
      </c>
      <c r="M9553" s="22"/>
      <c r="N9553" s="21">
        <v>0</v>
      </c>
      <c r="O9553" s="22"/>
    </row>
    <row r="9554" ht="38.25">
      <c r="A9554" t="s">
        <v>9589</v>
      </c>
      <c r="B9554" s="19">
        <v>105479</v>
      </c>
      <c r="C9554" s="20" t="s">
        <v>9684</v>
      </c>
      <c r="D9554" s="19" t="s">
        <v>9591</v>
      </c>
      <c r="E9554" s="21" t="str">
        <f t="shared" si="446"/>
        <v>VERIFICAR</v>
      </c>
      <c r="F9554" s="22">
        <v>0.26000000000000001</v>
      </c>
      <c r="G9554" s="21" t="str">
        <f t="shared" si="447"/>
        <v>VERIFICAR</v>
      </c>
      <c r="H9554" s="22">
        <v>0.26000000000000001</v>
      </c>
      <c r="I9554" s="23" t="str">
        <f t="shared" si="448"/>
        <v xml:space="preserve">COM VALOR</v>
      </c>
      <c r="J9554" s="19"/>
      <c r="L9554" s="21">
        <v>0</v>
      </c>
      <c r="M9554" s="22"/>
      <c r="N9554" s="21">
        <v>0</v>
      </c>
      <c r="O9554" s="22"/>
    </row>
    <row r="9555" ht="38.25">
      <c r="A9555" t="s">
        <v>9589</v>
      </c>
      <c r="B9555" s="19">
        <v>105422</v>
      </c>
      <c r="C9555" s="20" t="s">
        <v>9685</v>
      </c>
      <c r="D9555" s="19" t="s">
        <v>9591</v>
      </c>
      <c r="E9555" s="21" t="str">
        <f t="shared" si="446"/>
        <v>VERIFICAR</v>
      </c>
      <c r="F9555" s="22">
        <v>0</v>
      </c>
      <c r="G9555" s="21" t="str">
        <f t="shared" si="447"/>
        <v>VERIFICAR</v>
      </c>
      <c r="H9555" s="22">
        <v>0</v>
      </c>
      <c r="I9555" s="23" t="str">
        <f t="shared" si="448"/>
        <v xml:space="preserve">COM VALOR</v>
      </c>
      <c r="J9555" s="19"/>
      <c r="L9555" s="21">
        <v>0</v>
      </c>
      <c r="M9555" s="22"/>
      <c r="N9555" s="21">
        <v>0</v>
      </c>
      <c r="O9555" s="22"/>
    </row>
    <row r="9556" ht="38.25">
      <c r="A9556" t="s">
        <v>9589</v>
      </c>
      <c r="B9556" s="19">
        <v>105446</v>
      </c>
      <c r="C9556" s="20" t="s">
        <v>9686</v>
      </c>
      <c r="D9556" s="19" t="s">
        <v>9591</v>
      </c>
      <c r="E9556" s="21" t="str">
        <f t="shared" si="446"/>
        <v>VERIFICAR</v>
      </c>
      <c r="F9556" s="22">
        <v>0.19</v>
      </c>
      <c r="G9556" s="21" t="str">
        <f t="shared" si="447"/>
        <v>VERIFICAR</v>
      </c>
      <c r="H9556" s="22">
        <v>0.19</v>
      </c>
      <c r="I9556" s="23" t="str">
        <f t="shared" si="448"/>
        <v xml:space="preserve">COM VALOR</v>
      </c>
      <c r="J9556" s="19"/>
      <c r="L9556" s="21">
        <v>0</v>
      </c>
      <c r="M9556" s="22"/>
      <c r="N9556" s="21">
        <v>0</v>
      </c>
      <c r="O9556" s="22"/>
    </row>
    <row r="9557" ht="25.5">
      <c r="A9557" t="s">
        <v>9589</v>
      </c>
      <c r="B9557" s="19">
        <v>105474</v>
      </c>
      <c r="C9557" s="20" t="s">
        <v>9687</v>
      </c>
      <c r="D9557" s="19" t="s">
        <v>9591</v>
      </c>
      <c r="E9557" s="21" t="str">
        <f t="shared" si="446"/>
        <v>VERIFICAR</v>
      </c>
      <c r="F9557" s="22">
        <v>0</v>
      </c>
      <c r="G9557" s="21" t="str">
        <f t="shared" si="447"/>
        <v>VERIFICAR</v>
      </c>
      <c r="H9557" s="22">
        <v>0</v>
      </c>
      <c r="I9557" s="23" t="str">
        <f t="shared" si="448"/>
        <v xml:space="preserve">COM VALOR</v>
      </c>
      <c r="J9557" s="19"/>
      <c r="L9557" s="21">
        <v>0</v>
      </c>
      <c r="M9557" s="22"/>
      <c r="N9557" s="21">
        <v>0</v>
      </c>
      <c r="O9557" s="22"/>
    </row>
    <row r="9558" ht="25.5">
      <c r="A9558" t="s">
        <v>9589</v>
      </c>
      <c r="B9558" s="19">
        <v>105480</v>
      </c>
      <c r="C9558" s="20" t="s">
        <v>9688</v>
      </c>
      <c r="D9558" s="19" t="s">
        <v>9591</v>
      </c>
      <c r="E9558" s="21" t="str">
        <f t="shared" si="446"/>
        <v>VERIFICAR</v>
      </c>
      <c r="F9558" s="22">
        <v>0.11</v>
      </c>
      <c r="G9558" s="21" t="str">
        <f t="shared" si="447"/>
        <v>VERIFICAR</v>
      </c>
      <c r="H9558" s="22">
        <v>0.11</v>
      </c>
      <c r="I9558" s="23" t="str">
        <f t="shared" si="448"/>
        <v xml:space="preserve">COM VALOR</v>
      </c>
      <c r="J9558" s="19"/>
      <c r="L9558" s="21">
        <v>0</v>
      </c>
      <c r="M9558" s="22"/>
      <c r="N9558" s="21">
        <v>0</v>
      </c>
      <c r="O9558" s="22"/>
    </row>
    <row r="9559" ht="25.5">
      <c r="A9559" t="s">
        <v>9589</v>
      </c>
      <c r="B9559" s="19">
        <v>105481</v>
      </c>
      <c r="C9559" s="20" t="s">
        <v>9689</v>
      </c>
      <c r="D9559" s="19" t="s">
        <v>9591</v>
      </c>
      <c r="E9559" s="21" t="str">
        <f t="shared" si="446"/>
        <v>VERIFICAR</v>
      </c>
      <c r="F9559" s="22">
        <v>0</v>
      </c>
      <c r="G9559" s="21" t="str">
        <f t="shared" si="447"/>
        <v>VERIFICAR</v>
      </c>
      <c r="H9559" s="22">
        <v>0</v>
      </c>
      <c r="I9559" s="23" t="str">
        <f t="shared" si="448"/>
        <v xml:space="preserve">COM VALOR</v>
      </c>
      <c r="J9559" s="19"/>
      <c r="L9559" s="21">
        <v>0</v>
      </c>
      <c r="M9559" s="22"/>
      <c r="N9559" s="21">
        <v>0</v>
      </c>
      <c r="O9559" s="22"/>
    </row>
    <row r="9560" ht="25.5">
      <c r="A9560" t="s">
        <v>9589</v>
      </c>
      <c r="B9560" s="19">
        <v>105449</v>
      </c>
      <c r="C9560" s="20" t="s">
        <v>9690</v>
      </c>
      <c r="D9560" s="19" t="s">
        <v>9591</v>
      </c>
      <c r="E9560" s="21" t="str">
        <f t="shared" si="446"/>
        <v>VERIFICAR</v>
      </c>
      <c r="F9560" s="22">
        <v>0</v>
      </c>
      <c r="G9560" s="21" t="str">
        <f t="shared" si="447"/>
        <v>VERIFICAR</v>
      </c>
      <c r="H9560" s="22">
        <v>0</v>
      </c>
      <c r="I9560" s="23" t="str">
        <f t="shared" si="448"/>
        <v xml:space="preserve">COM VALOR</v>
      </c>
      <c r="J9560" s="19"/>
      <c r="L9560" s="21">
        <v>0</v>
      </c>
      <c r="M9560" s="22"/>
      <c r="N9560" s="21">
        <v>0</v>
      </c>
      <c r="O9560" s="22"/>
    </row>
    <row r="9561" ht="38.25">
      <c r="A9561" t="s">
        <v>9691</v>
      </c>
      <c r="B9561" s="19">
        <v>105511</v>
      </c>
      <c r="C9561" s="20" t="s">
        <v>9692</v>
      </c>
      <c r="D9561" s="19" t="s">
        <v>9693</v>
      </c>
      <c r="E9561" s="21" t="str">
        <f t="shared" si="446"/>
        <v>VERIFICAR</v>
      </c>
      <c r="F9561" s="22">
        <v>0</v>
      </c>
      <c r="G9561" s="21" t="str">
        <f t="shared" si="447"/>
        <v>VERIFICAR</v>
      </c>
      <c r="H9561" s="22">
        <v>0</v>
      </c>
      <c r="I9561" s="23" t="str">
        <f t="shared" si="448"/>
        <v xml:space="preserve">COM VALOR</v>
      </c>
      <c r="J9561" s="19"/>
      <c r="L9561" s="21">
        <v>0</v>
      </c>
      <c r="M9561" s="22"/>
      <c r="N9561" s="21">
        <v>0</v>
      </c>
      <c r="O9561" s="22"/>
    </row>
    <row r="9562" ht="38.25">
      <c r="A9562" t="s">
        <v>9691</v>
      </c>
      <c r="B9562" s="19">
        <v>105507</v>
      </c>
      <c r="C9562" s="20" t="s">
        <v>9694</v>
      </c>
      <c r="D9562" s="19" t="s">
        <v>9693</v>
      </c>
      <c r="E9562" s="21" t="str">
        <f t="shared" si="446"/>
        <v>VERIFICAR</v>
      </c>
      <c r="F9562" s="22">
        <v>0</v>
      </c>
      <c r="G9562" s="21" t="str">
        <f t="shared" si="447"/>
        <v>VERIFICAR</v>
      </c>
      <c r="H9562" s="22">
        <v>0</v>
      </c>
      <c r="I9562" s="23" t="str">
        <f t="shared" si="448"/>
        <v xml:space="preserve">COM VALOR</v>
      </c>
      <c r="J9562" s="19"/>
      <c r="L9562" s="21">
        <v>0</v>
      </c>
      <c r="M9562" s="22"/>
      <c r="N9562" s="21">
        <v>0</v>
      </c>
      <c r="O9562" s="22"/>
    </row>
    <row r="9563" ht="38.25">
      <c r="A9563" t="s">
        <v>9691</v>
      </c>
      <c r="B9563" s="19">
        <v>105512</v>
      </c>
      <c r="C9563" s="20" t="s">
        <v>9695</v>
      </c>
      <c r="D9563" s="19" t="s">
        <v>9693</v>
      </c>
      <c r="E9563" s="21" t="str">
        <f t="shared" si="446"/>
        <v>VERIFICAR</v>
      </c>
      <c r="F9563" s="22">
        <v>0</v>
      </c>
      <c r="G9563" s="21" t="str">
        <f t="shared" si="447"/>
        <v>VERIFICAR</v>
      </c>
      <c r="H9563" s="22">
        <v>0</v>
      </c>
      <c r="I9563" s="23" t="str">
        <f t="shared" si="448"/>
        <v xml:space="preserve">COM VALOR</v>
      </c>
      <c r="J9563" s="19"/>
      <c r="L9563" s="21">
        <v>0</v>
      </c>
      <c r="M9563" s="22"/>
      <c r="N9563" s="21">
        <v>0</v>
      </c>
      <c r="O9563" s="22"/>
    </row>
    <row r="9564" ht="38.25">
      <c r="A9564" t="s">
        <v>9691</v>
      </c>
      <c r="B9564" s="19">
        <v>105508</v>
      </c>
      <c r="C9564" s="20" t="s">
        <v>9696</v>
      </c>
      <c r="D9564" s="19" t="s">
        <v>9693</v>
      </c>
      <c r="E9564" s="21" t="str">
        <f t="shared" si="446"/>
        <v>VERIFICAR</v>
      </c>
      <c r="F9564" s="22">
        <v>0</v>
      </c>
      <c r="G9564" s="21" t="str">
        <f t="shared" si="447"/>
        <v>VERIFICAR</v>
      </c>
      <c r="H9564" s="22">
        <v>0</v>
      </c>
      <c r="I9564" s="23" t="str">
        <f t="shared" si="448"/>
        <v xml:space="preserve">COM VALOR</v>
      </c>
      <c r="J9564" s="19"/>
      <c r="L9564" s="21">
        <v>0</v>
      </c>
      <c r="M9564" s="22"/>
      <c r="N9564" s="21">
        <v>0</v>
      </c>
      <c r="O9564" s="22"/>
    </row>
    <row r="9565" ht="38.25">
      <c r="A9565" t="s">
        <v>9691</v>
      </c>
      <c r="B9565" s="19">
        <v>105513</v>
      </c>
      <c r="C9565" s="20" t="s">
        <v>9697</v>
      </c>
      <c r="D9565" s="19" t="s">
        <v>9693</v>
      </c>
      <c r="E9565" s="21" t="str">
        <f t="shared" si="446"/>
        <v>VERIFICAR</v>
      </c>
      <c r="F9565" s="22">
        <v>0</v>
      </c>
      <c r="G9565" s="21" t="str">
        <f t="shared" si="447"/>
        <v>VERIFICAR</v>
      </c>
      <c r="H9565" s="22">
        <v>0</v>
      </c>
      <c r="I9565" s="23" t="str">
        <f t="shared" si="448"/>
        <v xml:space="preserve">COM VALOR</v>
      </c>
      <c r="J9565" s="19"/>
      <c r="L9565" s="21">
        <v>0</v>
      </c>
      <c r="M9565" s="22"/>
      <c r="N9565" s="21">
        <v>0</v>
      </c>
      <c r="O9565" s="22"/>
    </row>
    <row r="9566" ht="38.25">
      <c r="A9566" t="s">
        <v>9691</v>
      </c>
      <c r="B9566" s="19">
        <v>105509</v>
      </c>
      <c r="C9566" s="20" t="s">
        <v>9698</v>
      </c>
      <c r="D9566" s="19" t="s">
        <v>9693</v>
      </c>
      <c r="E9566" s="21" t="str">
        <f t="shared" si="446"/>
        <v>VERIFICAR</v>
      </c>
      <c r="F9566" s="22">
        <v>0</v>
      </c>
      <c r="G9566" s="21" t="str">
        <f t="shared" si="447"/>
        <v>VERIFICAR</v>
      </c>
      <c r="H9566" s="22">
        <v>0</v>
      </c>
      <c r="I9566" s="23" t="str">
        <f t="shared" si="448"/>
        <v xml:space="preserve">COM VALOR</v>
      </c>
      <c r="J9566" s="19"/>
      <c r="L9566" s="21">
        <v>0</v>
      </c>
      <c r="M9566" s="22"/>
      <c r="N9566" s="21">
        <v>0</v>
      </c>
      <c r="O9566" s="22"/>
    </row>
    <row r="9567" ht="38.25">
      <c r="A9567" t="s">
        <v>9691</v>
      </c>
      <c r="B9567" s="19">
        <v>105514</v>
      </c>
      <c r="C9567" s="20" t="s">
        <v>9699</v>
      </c>
      <c r="D9567" s="19" t="s">
        <v>9693</v>
      </c>
      <c r="E9567" s="21" t="str">
        <f t="shared" si="446"/>
        <v>VERIFICAR</v>
      </c>
      <c r="F9567" s="22">
        <v>0</v>
      </c>
      <c r="G9567" s="21" t="str">
        <f t="shared" si="447"/>
        <v>VERIFICAR</v>
      </c>
      <c r="H9567" s="22">
        <v>0</v>
      </c>
      <c r="I9567" s="23" t="str">
        <f t="shared" si="448"/>
        <v xml:space="preserve">COM VALOR</v>
      </c>
      <c r="J9567" s="19"/>
      <c r="L9567" s="21">
        <v>0</v>
      </c>
      <c r="M9567" s="22"/>
      <c r="N9567" s="21">
        <v>0</v>
      </c>
      <c r="O9567" s="22"/>
    </row>
    <row r="9568" ht="38.25">
      <c r="A9568" t="s">
        <v>9691</v>
      </c>
      <c r="B9568" s="19">
        <v>105510</v>
      </c>
      <c r="C9568" s="20" t="s">
        <v>9700</v>
      </c>
      <c r="D9568" s="19" t="s">
        <v>9693</v>
      </c>
      <c r="E9568" s="21" t="str">
        <f t="shared" si="446"/>
        <v>VERIFICAR</v>
      </c>
      <c r="F9568" s="22"/>
      <c r="G9568" s="21" t="str">
        <f t="shared" si="447"/>
        <v>VERIFICAR</v>
      </c>
      <c r="H9568" s="22"/>
      <c r="I9568" s="23" t="str">
        <f t="shared" si="448"/>
        <v xml:space="preserve">COM VALOR</v>
      </c>
      <c r="J9568" s="19"/>
      <c r="L9568" s="21">
        <v>0</v>
      </c>
      <c r="M9568" s="22"/>
      <c r="N9568" s="21">
        <v>0</v>
      </c>
      <c r="O9568" s="22"/>
    </row>
    <row r="9569" ht="25.5">
      <c r="A9569" t="s">
        <v>9701</v>
      </c>
      <c r="B9569" s="19">
        <v>100207</v>
      </c>
      <c r="C9569" s="20" t="s">
        <v>9702</v>
      </c>
      <c r="D9569" s="19" t="s">
        <v>9703</v>
      </c>
      <c r="E9569" s="21">
        <f t="shared" si="446"/>
        <v>550.74000000000001</v>
      </c>
      <c r="F9569" s="22"/>
      <c r="G9569" s="21">
        <f t="shared" si="447"/>
        <v>538.15999999999997</v>
      </c>
      <c r="H9569" s="22"/>
      <c r="I9569" s="23" t="str">
        <f t="shared" si="448"/>
        <v xml:space="preserve">COM VALOR</v>
      </c>
      <c r="J9569" s="19"/>
      <c r="L9569" s="21">
        <v>550.74000000000001</v>
      </c>
      <c r="M9569" s="22">
        <v>0</v>
      </c>
      <c r="N9569" s="21">
        <v>538.15999999999997</v>
      </c>
      <c r="O9569" s="22">
        <v>0</v>
      </c>
    </row>
    <row r="9570" ht="38.25">
      <c r="A9570" t="s">
        <v>9701</v>
      </c>
      <c r="B9570" s="19">
        <v>100211</v>
      </c>
      <c r="C9570" s="20" t="s">
        <v>9704</v>
      </c>
      <c r="D9570" s="19" t="s">
        <v>7766</v>
      </c>
      <c r="E9570" s="21">
        <f t="shared" si="446"/>
        <v>7.3099999999999996</v>
      </c>
      <c r="F9570" s="22">
        <v>0</v>
      </c>
      <c r="G9570" s="21">
        <f t="shared" si="447"/>
        <v>6.9199999999999999</v>
      </c>
      <c r="H9570" s="22">
        <v>0</v>
      </c>
      <c r="I9570" s="23" t="str">
        <f t="shared" si="448"/>
        <v xml:space="preserve">COM VALOR</v>
      </c>
      <c r="J9570" s="19"/>
      <c r="L9570" s="21">
        <v>7.3099999999999996</v>
      </c>
      <c r="M9570" s="22">
        <v>0</v>
      </c>
      <c r="N9570" s="21">
        <v>6.9199999999999999</v>
      </c>
      <c r="O9570" s="22">
        <v>0</v>
      </c>
    </row>
    <row r="9571" ht="38.25">
      <c r="A9571" t="s">
        <v>9701</v>
      </c>
      <c r="B9571" s="19">
        <v>100210</v>
      </c>
      <c r="C9571" s="20" t="s">
        <v>9705</v>
      </c>
      <c r="D9571" s="19" t="s">
        <v>7766</v>
      </c>
      <c r="E9571" s="21">
        <f t="shared" si="446"/>
        <v>18.940000000000001</v>
      </c>
      <c r="F9571" s="22">
        <v>0</v>
      </c>
      <c r="G9571" s="21">
        <f t="shared" si="447"/>
        <v>17.940000000000001</v>
      </c>
      <c r="H9571" s="22">
        <v>0</v>
      </c>
      <c r="I9571" s="23" t="str">
        <f t="shared" si="448"/>
        <v xml:space="preserve">COM VALOR</v>
      </c>
      <c r="J9571" s="19"/>
      <c r="L9571" s="21">
        <v>18.940000000000001</v>
      </c>
      <c r="M9571" s="22">
        <v>0</v>
      </c>
      <c r="N9571" s="21">
        <v>17.940000000000001</v>
      </c>
      <c r="O9571" s="22">
        <v>0</v>
      </c>
    </row>
    <row r="9572" ht="25.5">
      <c r="A9572" t="s">
        <v>9701</v>
      </c>
      <c r="B9572" s="19">
        <v>100221</v>
      </c>
      <c r="C9572" s="20" t="s">
        <v>9706</v>
      </c>
      <c r="D9572" s="19" t="s">
        <v>9707</v>
      </c>
      <c r="E9572" s="21">
        <f t="shared" si="446"/>
        <v>33.490000000000002</v>
      </c>
      <c r="F9572" s="22">
        <v>0</v>
      </c>
      <c r="G9572" s="21">
        <f t="shared" si="447"/>
        <v>31.710000000000001</v>
      </c>
      <c r="H9572" s="22">
        <v>0</v>
      </c>
      <c r="I9572" s="23" t="str">
        <f t="shared" si="448"/>
        <v xml:space="preserve">COM VALOR</v>
      </c>
      <c r="J9572" s="19"/>
      <c r="L9572" s="21">
        <v>33.490000000000002</v>
      </c>
      <c r="M9572" s="22">
        <v>0</v>
      </c>
      <c r="N9572" s="21">
        <v>31.710000000000001</v>
      </c>
      <c r="O9572" s="22">
        <v>0</v>
      </c>
    </row>
    <row r="9573" ht="25.5">
      <c r="A9573" t="s">
        <v>9701</v>
      </c>
      <c r="B9573" s="19">
        <v>100203</v>
      </c>
      <c r="C9573" s="20" t="s">
        <v>9708</v>
      </c>
      <c r="D9573" s="19" t="s">
        <v>9709</v>
      </c>
      <c r="E9573" s="21">
        <f t="shared" si="446"/>
        <v>1.1699999999999999</v>
      </c>
      <c r="F9573" s="22">
        <v>0</v>
      </c>
      <c r="G9573" s="21">
        <f t="shared" si="447"/>
        <v>1.1100000000000001</v>
      </c>
      <c r="H9573" s="22">
        <v>0</v>
      </c>
      <c r="I9573" s="23" t="str">
        <f t="shared" si="448"/>
        <v xml:space="preserve">COM VALOR</v>
      </c>
      <c r="J9573" s="19"/>
      <c r="L9573" s="21">
        <v>1.1699999999999999</v>
      </c>
      <c r="M9573" s="22">
        <v>0</v>
      </c>
      <c r="N9573" s="21">
        <v>1.1100000000000001</v>
      </c>
      <c r="O9573" s="22">
        <v>0</v>
      </c>
    </row>
    <row r="9574" ht="25.5">
      <c r="A9574" t="s">
        <v>9701</v>
      </c>
      <c r="B9574" s="19">
        <v>100202</v>
      </c>
      <c r="C9574" s="20" t="s">
        <v>9710</v>
      </c>
      <c r="D9574" s="19" t="s">
        <v>9709</v>
      </c>
      <c r="E9574" s="21">
        <f t="shared" si="446"/>
        <v>0.98999999999999999</v>
      </c>
      <c r="F9574" s="22">
        <v>0</v>
      </c>
      <c r="G9574" s="21">
        <f t="shared" si="447"/>
        <v>0.93000000000000005</v>
      </c>
      <c r="H9574" s="22">
        <v>0</v>
      </c>
      <c r="I9574" s="23" t="str">
        <f t="shared" si="448"/>
        <v xml:space="preserve">COM VALOR</v>
      </c>
      <c r="J9574" s="19"/>
      <c r="L9574" s="21">
        <v>0.98999999999999999</v>
      </c>
      <c r="M9574" s="22">
        <v>0</v>
      </c>
      <c r="N9574" s="21">
        <v>0.93000000000000005</v>
      </c>
      <c r="O9574" s="22">
        <v>0</v>
      </c>
    </row>
    <row r="9575" ht="25.5">
      <c r="A9575" t="s">
        <v>9701</v>
      </c>
      <c r="B9575" s="19">
        <v>100201</v>
      </c>
      <c r="C9575" s="20" t="s">
        <v>9711</v>
      </c>
      <c r="D9575" s="19" t="s">
        <v>9709</v>
      </c>
      <c r="E9575" s="21">
        <f t="shared" si="446"/>
        <v>0.83999999999999997</v>
      </c>
      <c r="F9575" s="22">
        <v>0</v>
      </c>
      <c r="G9575" s="21">
        <f t="shared" si="447"/>
        <v>0.80000000000000004</v>
      </c>
      <c r="H9575" s="22">
        <v>0</v>
      </c>
      <c r="I9575" s="23" t="str">
        <f t="shared" si="448"/>
        <v xml:space="preserve">COM VALOR</v>
      </c>
      <c r="J9575" s="19"/>
      <c r="L9575" s="21">
        <v>0.83999999999999997</v>
      </c>
      <c r="M9575" s="22">
        <v>0</v>
      </c>
      <c r="N9575" s="21">
        <v>0.80000000000000004</v>
      </c>
      <c r="O9575" s="22">
        <v>0</v>
      </c>
    </row>
    <row r="9576" ht="38.25">
      <c r="A9576" t="s">
        <v>9701</v>
      </c>
      <c r="B9576" s="19">
        <v>100216</v>
      </c>
      <c r="C9576" s="20" t="s">
        <v>9712</v>
      </c>
      <c r="D9576" s="19" t="s">
        <v>7766</v>
      </c>
      <c r="E9576" s="21">
        <f t="shared" si="446"/>
        <v>1.02</v>
      </c>
      <c r="F9576" s="22">
        <v>0</v>
      </c>
      <c r="G9576" s="21">
        <f t="shared" si="447"/>
        <v>0.96999999999999997</v>
      </c>
      <c r="H9576" s="22">
        <v>0</v>
      </c>
      <c r="I9576" s="23" t="str">
        <f t="shared" si="448"/>
        <v xml:space="preserve">COM VALOR</v>
      </c>
      <c r="J9576" s="19"/>
      <c r="L9576" s="21">
        <v>1.02</v>
      </c>
      <c r="M9576" s="22">
        <v>0</v>
      </c>
      <c r="N9576" s="21">
        <v>0.96999999999999997</v>
      </c>
      <c r="O9576" s="22">
        <v>0</v>
      </c>
    </row>
    <row r="9577" ht="38.25">
      <c r="A9577" t="s">
        <v>9701</v>
      </c>
      <c r="B9577" s="19">
        <v>100215</v>
      </c>
      <c r="C9577" s="20" t="s">
        <v>9713</v>
      </c>
      <c r="D9577" s="19" t="s">
        <v>7766</v>
      </c>
      <c r="E9577" s="21">
        <f t="shared" si="446"/>
        <v>3.8100000000000001</v>
      </c>
      <c r="F9577" s="22">
        <v>0</v>
      </c>
      <c r="G9577" s="21">
        <f t="shared" si="447"/>
        <v>3.6099999999999999</v>
      </c>
      <c r="H9577" s="22">
        <v>0</v>
      </c>
      <c r="I9577" s="23" t="str">
        <f t="shared" si="448"/>
        <v xml:space="preserve">COM VALOR</v>
      </c>
      <c r="J9577" s="19"/>
      <c r="L9577" s="21">
        <v>3.8100000000000001</v>
      </c>
      <c r="M9577" s="22">
        <v>0</v>
      </c>
      <c r="N9577" s="21">
        <v>3.6099999999999999</v>
      </c>
      <c r="O9577" s="22">
        <v>0</v>
      </c>
    </row>
    <row r="9578" ht="38.25">
      <c r="A9578" t="s">
        <v>9701</v>
      </c>
      <c r="B9578" s="19">
        <v>100214</v>
      </c>
      <c r="C9578" s="20" t="s">
        <v>9714</v>
      </c>
      <c r="D9578" s="19" t="s">
        <v>7766</v>
      </c>
      <c r="E9578" s="21">
        <f t="shared" si="446"/>
        <v>4.4500000000000002</v>
      </c>
      <c r="F9578" s="22">
        <v>0</v>
      </c>
      <c r="G9578" s="21">
        <f t="shared" si="447"/>
        <v>4.21</v>
      </c>
      <c r="H9578" s="22">
        <v>0</v>
      </c>
      <c r="I9578" s="23" t="str">
        <f t="shared" si="448"/>
        <v xml:space="preserve">COM VALOR</v>
      </c>
      <c r="J9578" s="19"/>
      <c r="L9578" s="21">
        <v>4.4500000000000002</v>
      </c>
      <c r="M9578" s="22">
        <v>0</v>
      </c>
      <c r="N9578" s="21">
        <v>4.21</v>
      </c>
      <c r="O9578" s="22">
        <v>0</v>
      </c>
    </row>
    <row r="9579" ht="25.5">
      <c r="A9579" t="s">
        <v>9701</v>
      </c>
      <c r="B9579" s="19">
        <v>100223</v>
      </c>
      <c r="C9579" s="20" t="s">
        <v>9715</v>
      </c>
      <c r="D9579" s="19" t="s">
        <v>9707</v>
      </c>
      <c r="E9579" s="21">
        <f t="shared" si="446"/>
        <v>5.9299999999999997</v>
      </c>
      <c r="F9579" s="22">
        <v>0</v>
      </c>
      <c r="G9579" s="21">
        <f t="shared" si="447"/>
        <v>5.6200000000000001</v>
      </c>
      <c r="H9579" s="22">
        <v>0</v>
      </c>
      <c r="I9579" s="23" t="str">
        <f t="shared" si="448"/>
        <v xml:space="preserve">COM VALOR</v>
      </c>
      <c r="J9579" s="19"/>
      <c r="L9579" s="21">
        <v>5.9299999999999997</v>
      </c>
      <c r="M9579" s="22">
        <v>0</v>
      </c>
      <c r="N9579" s="21">
        <v>5.6200000000000001</v>
      </c>
      <c r="O9579" s="22">
        <v>0</v>
      </c>
    </row>
    <row r="9580" ht="38.25">
      <c r="A9580" t="s">
        <v>9701</v>
      </c>
      <c r="B9580" s="19">
        <v>100280</v>
      </c>
      <c r="C9580" s="20" t="s">
        <v>9716</v>
      </c>
      <c r="D9580" s="19" t="s">
        <v>7766</v>
      </c>
      <c r="E9580" s="21">
        <f t="shared" si="446"/>
        <v>19.469999999999999</v>
      </c>
      <c r="F9580" s="22">
        <v>0</v>
      </c>
      <c r="G9580" s="21">
        <f t="shared" si="447"/>
        <v>18.440000000000001</v>
      </c>
      <c r="H9580" s="22">
        <v>0</v>
      </c>
      <c r="I9580" s="23" t="str">
        <f t="shared" si="448"/>
        <v xml:space="preserve">COM VALOR</v>
      </c>
      <c r="J9580" s="19"/>
      <c r="L9580" s="21">
        <v>19.469999999999999</v>
      </c>
      <c r="M9580" s="22">
        <v>0</v>
      </c>
      <c r="N9580" s="21">
        <v>18.440000000000001</v>
      </c>
      <c r="O9580" s="22">
        <v>0</v>
      </c>
    </row>
    <row r="9581" ht="38.25">
      <c r="A9581" t="s">
        <v>9701</v>
      </c>
      <c r="B9581" s="19">
        <v>100270</v>
      </c>
      <c r="C9581" s="20" t="s">
        <v>9717</v>
      </c>
      <c r="D9581" s="19" t="s">
        <v>7766</v>
      </c>
      <c r="E9581" s="21">
        <f t="shared" si="446"/>
        <v>66.439999999999998</v>
      </c>
      <c r="F9581" s="22">
        <v>0</v>
      </c>
      <c r="G9581" s="21">
        <f t="shared" si="447"/>
        <v>62.909999999999997</v>
      </c>
      <c r="H9581" s="22">
        <v>0</v>
      </c>
      <c r="I9581" s="23" t="str">
        <f t="shared" si="448"/>
        <v xml:space="preserve">COM VALOR</v>
      </c>
      <c r="J9581" s="19"/>
      <c r="L9581" s="21">
        <v>66.439999999999998</v>
      </c>
      <c r="M9581" s="22">
        <v>0</v>
      </c>
      <c r="N9581" s="21">
        <v>62.909999999999997</v>
      </c>
      <c r="O9581" s="22">
        <v>0</v>
      </c>
    </row>
    <row r="9582" ht="25.5">
      <c r="A9582" t="s">
        <v>9701</v>
      </c>
      <c r="B9582" s="19">
        <v>100286</v>
      </c>
      <c r="C9582" s="20" t="s">
        <v>9718</v>
      </c>
      <c r="D9582" s="19" t="s">
        <v>9719</v>
      </c>
      <c r="E9582" s="21">
        <f t="shared" si="446"/>
        <v>14.539999999999999</v>
      </c>
      <c r="F9582" s="22">
        <v>0</v>
      </c>
      <c r="G9582" s="21">
        <f t="shared" si="447"/>
        <v>13.76</v>
      </c>
      <c r="H9582" s="22">
        <v>0</v>
      </c>
      <c r="I9582" s="23" t="str">
        <f t="shared" si="448"/>
        <v xml:space="preserve">COM VALOR</v>
      </c>
      <c r="J9582" s="19"/>
      <c r="L9582" s="21">
        <v>14.539999999999999</v>
      </c>
      <c r="M9582" s="22">
        <v>0</v>
      </c>
      <c r="N9582" s="21">
        <v>13.76</v>
      </c>
      <c r="O9582" s="22">
        <v>0</v>
      </c>
    </row>
    <row r="9583" ht="38.25">
      <c r="A9583" t="s">
        <v>9701</v>
      </c>
      <c r="B9583" s="19">
        <v>100213</v>
      </c>
      <c r="C9583" s="20" t="s">
        <v>9720</v>
      </c>
      <c r="D9583" s="19" t="s">
        <v>7766</v>
      </c>
      <c r="E9583" s="21">
        <f t="shared" si="446"/>
        <v>2.8999999999999999</v>
      </c>
      <c r="F9583" s="22">
        <v>0</v>
      </c>
      <c r="G9583" s="21">
        <f t="shared" si="447"/>
        <v>2.7400000000000002</v>
      </c>
      <c r="H9583" s="22">
        <v>0</v>
      </c>
      <c r="I9583" s="23" t="str">
        <f t="shared" si="448"/>
        <v xml:space="preserve">COM VALOR</v>
      </c>
      <c r="J9583" s="19"/>
      <c r="L9583" s="21">
        <v>2.8999999999999999</v>
      </c>
      <c r="M9583" s="22">
        <v>0</v>
      </c>
      <c r="N9583" s="21">
        <v>2.7400000000000002</v>
      </c>
      <c r="O9583" s="22">
        <v>0</v>
      </c>
    </row>
    <row r="9584" ht="38.25">
      <c r="A9584" t="s">
        <v>9701</v>
      </c>
      <c r="B9584" s="19">
        <v>100212</v>
      </c>
      <c r="C9584" s="20" t="s">
        <v>9721</v>
      </c>
      <c r="D9584" s="19" t="s">
        <v>7766</v>
      </c>
      <c r="E9584" s="21">
        <f t="shared" si="446"/>
        <v>8.0700000000000003</v>
      </c>
      <c r="F9584" s="22">
        <v>0</v>
      </c>
      <c r="G9584" s="21">
        <f t="shared" si="447"/>
        <v>7.6399999999999997</v>
      </c>
      <c r="H9584" s="22">
        <v>0</v>
      </c>
      <c r="I9584" s="23" t="str">
        <f t="shared" si="448"/>
        <v xml:space="preserve">COM VALOR</v>
      </c>
      <c r="J9584" s="19"/>
      <c r="L9584" s="21">
        <v>8.0700000000000003</v>
      </c>
      <c r="M9584" s="22">
        <v>0</v>
      </c>
      <c r="N9584" s="21">
        <v>7.6399999999999997</v>
      </c>
      <c r="O9584" s="22">
        <v>0</v>
      </c>
    </row>
    <row r="9585" ht="25.5">
      <c r="A9585" t="s">
        <v>9701</v>
      </c>
      <c r="B9585" s="19">
        <v>100222</v>
      </c>
      <c r="C9585" s="20" t="s">
        <v>9722</v>
      </c>
      <c r="D9585" s="19" t="s">
        <v>9707</v>
      </c>
      <c r="E9585" s="21">
        <f t="shared" si="446"/>
        <v>12.68</v>
      </c>
      <c r="F9585" s="22">
        <v>0</v>
      </c>
      <c r="G9585" s="21">
        <f t="shared" si="447"/>
        <v>12.01</v>
      </c>
      <c r="H9585" s="22">
        <v>0</v>
      </c>
      <c r="I9585" s="23" t="str">
        <f t="shared" si="448"/>
        <v xml:space="preserve">COM VALOR</v>
      </c>
      <c r="J9585" s="19"/>
      <c r="L9585" s="21">
        <v>12.68</v>
      </c>
      <c r="M9585" s="22">
        <v>0</v>
      </c>
      <c r="N9585" s="21">
        <v>12.01</v>
      </c>
      <c r="O9585" s="22">
        <v>0</v>
      </c>
    </row>
    <row r="9586" ht="25.5">
      <c r="A9586" t="s">
        <v>9701</v>
      </c>
      <c r="B9586" s="19">
        <v>100226</v>
      </c>
      <c r="C9586" s="20" t="s">
        <v>9723</v>
      </c>
      <c r="D9586" s="19" t="s">
        <v>9724</v>
      </c>
      <c r="E9586" s="21">
        <f t="shared" si="446"/>
        <v>0.72999999999999998</v>
      </c>
      <c r="F9586" s="22">
        <v>0</v>
      </c>
      <c r="G9586" s="21">
        <f t="shared" si="447"/>
        <v>0.68999999999999995</v>
      </c>
      <c r="H9586" s="22">
        <v>0</v>
      </c>
      <c r="I9586" s="23" t="str">
        <f t="shared" si="448"/>
        <v xml:space="preserve">COM VALOR</v>
      </c>
      <c r="J9586" s="19"/>
      <c r="L9586" s="21">
        <v>0.72999999999999998</v>
      </c>
      <c r="M9586" s="22">
        <v>0</v>
      </c>
      <c r="N9586" s="21">
        <v>0.68999999999999995</v>
      </c>
      <c r="O9586" s="22">
        <v>0</v>
      </c>
    </row>
    <row r="9587" ht="25.5">
      <c r="A9587" t="s">
        <v>9701</v>
      </c>
      <c r="B9587" s="19">
        <v>100200</v>
      </c>
      <c r="C9587" s="20" t="s">
        <v>9725</v>
      </c>
      <c r="D9587" s="19" t="s">
        <v>9709</v>
      </c>
      <c r="E9587" s="21">
        <f t="shared" si="446"/>
        <v>0.41999999999999998</v>
      </c>
      <c r="F9587" s="22">
        <v>0</v>
      </c>
      <c r="G9587" s="21">
        <f t="shared" si="447"/>
        <v>0.40000000000000002</v>
      </c>
      <c r="H9587" s="22">
        <v>0</v>
      </c>
      <c r="I9587" s="23" t="str">
        <f t="shared" si="448"/>
        <v xml:space="preserve">COM VALOR</v>
      </c>
      <c r="J9587" s="19"/>
      <c r="L9587" s="21">
        <v>0.41999999999999998</v>
      </c>
      <c r="M9587" s="22">
        <v>0</v>
      </c>
      <c r="N9587" s="21">
        <v>0.40000000000000002</v>
      </c>
      <c r="O9587" s="22">
        <v>0</v>
      </c>
    </row>
    <row r="9588" ht="25.5">
      <c r="A9588" t="s">
        <v>9701</v>
      </c>
      <c r="B9588" s="19">
        <v>100199</v>
      </c>
      <c r="C9588" s="20" t="s">
        <v>9726</v>
      </c>
      <c r="D9588" s="19" t="s">
        <v>9709</v>
      </c>
      <c r="E9588" s="21">
        <f t="shared" si="446"/>
        <v>0.34999999999999998</v>
      </c>
      <c r="F9588" s="22">
        <v>0</v>
      </c>
      <c r="G9588" s="21">
        <f t="shared" si="447"/>
        <v>0.33000000000000002</v>
      </c>
      <c r="H9588" s="22">
        <v>0</v>
      </c>
      <c r="I9588" s="23" t="str">
        <f t="shared" si="448"/>
        <v xml:space="preserve">COM VALOR</v>
      </c>
      <c r="J9588" s="19"/>
      <c r="L9588" s="21">
        <v>0.34999999999999998</v>
      </c>
      <c r="M9588" s="22">
        <v>0</v>
      </c>
      <c r="N9588" s="21">
        <v>0.33000000000000002</v>
      </c>
      <c r="O9588" s="22">
        <v>0</v>
      </c>
    </row>
    <row r="9589" ht="25.5">
      <c r="A9589" t="s">
        <v>9701</v>
      </c>
      <c r="B9589" s="19">
        <v>100198</v>
      </c>
      <c r="C9589" s="20" t="s">
        <v>9727</v>
      </c>
      <c r="D9589" s="19" t="s">
        <v>9709</v>
      </c>
      <c r="E9589" s="21">
        <f t="shared" si="446"/>
        <v>0.28999999999999998</v>
      </c>
      <c r="F9589" s="22">
        <v>0</v>
      </c>
      <c r="G9589" s="21">
        <f t="shared" si="447"/>
        <v>0.27000000000000002</v>
      </c>
      <c r="H9589" s="22">
        <v>0</v>
      </c>
      <c r="I9589" s="23" t="str">
        <f t="shared" si="448"/>
        <v xml:space="preserve">COM VALOR</v>
      </c>
      <c r="J9589" s="19"/>
      <c r="L9589" s="21">
        <v>0.28999999999999998</v>
      </c>
      <c r="M9589" s="22">
        <v>0</v>
      </c>
      <c r="N9589" s="21">
        <v>0.27000000000000002</v>
      </c>
      <c r="O9589" s="22">
        <v>0</v>
      </c>
    </row>
    <row r="9590" ht="25.5">
      <c r="A9590" t="s">
        <v>9701</v>
      </c>
      <c r="B9590" s="19">
        <v>100283</v>
      </c>
      <c r="C9590" s="20" t="s">
        <v>9728</v>
      </c>
      <c r="D9590" s="19" t="s">
        <v>9707</v>
      </c>
      <c r="E9590" s="21">
        <f t="shared" si="446"/>
        <v>26.82</v>
      </c>
      <c r="F9590" s="22">
        <v>0</v>
      </c>
      <c r="G9590" s="21">
        <f t="shared" si="447"/>
        <v>25.399999999999999</v>
      </c>
      <c r="H9590" s="22">
        <v>0</v>
      </c>
      <c r="I9590" s="23" t="str">
        <f t="shared" si="448"/>
        <v xml:space="preserve">COM VALOR</v>
      </c>
      <c r="J9590" s="19"/>
      <c r="L9590" s="21">
        <v>26.82</v>
      </c>
      <c r="M9590" s="22">
        <v>0</v>
      </c>
      <c r="N9590" s="21">
        <v>25.399999999999999</v>
      </c>
      <c r="O9590" s="22">
        <v>0</v>
      </c>
    </row>
    <row r="9591" ht="25.5">
      <c r="A9591" t="s">
        <v>9701</v>
      </c>
      <c r="B9591" s="19">
        <v>100227</v>
      </c>
      <c r="C9591" s="20" t="s">
        <v>9729</v>
      </c>
      <c r="D9591" s="19" t="s">
        <v>9724</v>
      </c>
      <c r="E9591" s="21">
        <f t="shared" si="446"/>
        <v>1.0700000000000001</v>
      </c>
      <c r="F9591" s="22">
        <v>0</v>
      </c>
      <c r="G9591" s="21">
        <f t="shared" si="447"/>
        <v>1.02</v>
      </c>
      <c r="H9591" s="22">
        <v>0</v>
      </c>
      <c r="I9591" s="23" t="str">
        <f t="shared" si="448"/>
        <v xml:space="preserve">COM VALOR</v>
      </c>
      <c r="J9591" s="19"/>
      <c r="L9591" s="21">
        <v>1.0700000000000001</v>
      </c>
      <c r="M9591" s="22">
        <v>0</v>
      </c>
      <c r="N9591" s="21">
        <v>1.02</v>
      </c>
      <c r="O9591" s="22">
        <v>0</v>
      </c>
    </row>
    <row r="9592" ht="25.5">
      <c r="A9592" t="s">
        <v>9701</v>
      </c>
      <c r="B9592" s="19">
        <v>100205</v>
      </c>
      <c r="C9592" s="20" t="s">
        <v>9730</v>
      </c>
      <c r="D9592" s="19" t="s">
        <v>9703</v>
      </c>
      <c r="E9592" s="21">
        <f t="shared" si="446"/>
        <v>1554.6500000000001</v>
      </c>
      <c r="F9592" s="22">
        <v>0</v>
      </c>
      <c r="G9592" s="21">
        <f t="shared" si="447"/>
        <v>1472</v>
      </c>
      <c r="H9592" s="22">
        <v>0</v>
      </c>
      <c r="I9592" s="23" t="str">
        <f t="shared" si="448"/>
        <v xml:space="preserve">COM VALOR</v>
      </c>
      <c r="J9592" s="19"/>
      <c r="L9592" s="21">
        <v>1554.6500000000001</v>
      </c>
      <c r="M9592" s="22">
        <v>0</v>
      </c>
      <c r="N9592" s="21">
        <v>1472</v>
      </c>
      <c r="O9592" s="22">
        <v>0</v>
      </c>
    </row>
    <row r="9593" ht="25.5">
      <c r="A9593" t="s">
        <v>9701</v>
      </c>
      <c r="B9593" s="19">
        <v>100206</v>
      </c>
      <c r="C9593" s="20" t="s">
        <v>9731</v>
      </c>
      <c r="D9593" s="19" t="s">
        <v>9703</v>
      </c>
      <c r="E9593" s="21">
        <f t="shared" si="446"/>
        <v>1123.75</v>
      </c>
      <c r="F9593" s="22">
        <v>0</v>
      </c>
      <c r="G9593" s="21">
        <f t="shared" si="447"/>
        <v>1064</v>
      </c>
      <c r="H9593" s="22">
        <v>0</v>
      </c>
      <c r="I9593" s="23" t="str">
        <f t="shared" si="448"/>
        <v xml:space="preserve">COM VALOR</v>
      </c>
      <c r="J9593" s="19"/>
      <c r="L9593" s="21">
        <v>1123.75</v>
      </c>
      <c r="M9593" s="22">
        <v>0</v>
      </c>
      <c r="N9593" s="21">
        <v>1064</v>
      </c>
      <c r="O9593" s="22">
        <v>0</v>
      </c>
    </row>
    <row r="9594" ht="38.25">
      <c r="A9594" t="s">
        <v>9701</v>
      </c>
      <c r="B9594" s="19">
        <v>100281</v>
      </c>
      <c r="C9594" s="20" t="s">
        <v>9732</v>
      </c>
      <c r="D9594" s="19" t="s">
        <v>7766</v>
      </c>
      <c r="E9594" s="21">
        <f t="shared" si="446"/>
        <v>4.3799999999999999</v>
      </c>
      <c r="F9594" s="22">
        <v>0</v>
      </c>
      <c r="G9594" s="21">
        <f t="shared" si="447"/>
        <v>4.2999999999999998</v>
      </c>
      <c r="H9594" s="22">
        <v>0</v>
      </c>
      <c r="I9594" s="23" t="str">
        <f t="shared" si="448"/>
        <v xml:space="preserve">COM VALOR</v>
      </c>
      <c r="J9594" s="19"/>
      <c r="L9594" s="21">
        <v>4.3799999999999999</v>
      </c>
      <c r="M9594" s="22">
        <v>0.51000000000000001</v>
      </c>
      <c r="N9594" s="21">
        <v>4.2999999999999998</v>
      </c>
      <c r="O9594" s="22">
        <v>0.52000000000000002</v>
      </c>
    </row>
    <row r="9595" ht="38.25">
      <c r="A9595" t="s">
        <v>9701</v>
      </c>
      <c r="B9595" s="19">
        <v>100219</v>
      </c>
      <c r="C9595" s="20" t="s">
        <v>9733</v>
      </c>
      <c r="D9595" s="19" t="s">
        <v>7766</v>
      </c>
      <c r="E9595" s="21">
        <f t="shared" si="446"/>
        <v>0.54000000000000004</v>
      </c>
      <c r="F9595" s="22">
        <v>0</v>
      </c>
      <c r="G9595" s="21">
        <f t="shared" si="447"/>
        <v>0.53000000000000003</v>
      </c>
      <c r="H9595" s="22">
        <v>0</v>
      </c>
      <c r="I9595" s="23" t="str">
        <f t="shared" si="448"/>
        <v xml:space="preserve">COM VALOR</v>
      </c>
      <c r="J9595" s="19"/>
      <c r="L9595" s="21">
        <v>0.54000000000000004</v>
      </c>
      <c r="M9595" s="22">
        <v>0.5</v>
      </c>
      <c r="N9595" s="21">
        <v>0.53000000000000003</v>
      </c>
      <c r="O9595" s="22">
        <v>0.51000000000000001</v>
      </c>
    </row>
    <row r="9596" ht="38.25">
      <c r="A9596" t="s">
        <v>9701</v>
      </c>
      <c r="B9596" s="19">
        <v>100218</v>
      </c>
      <c r="C9596" s="20" t="s">
        <v>9734</v>
      </c>
      <c r="D9596" s="19" t="s">
        <v>7766</v>
      </c>
      <c r="E9596" s="21">
        <f t="shared" si="446"/>
        <v>2.4500000000000002</v>
      </c>
      <c r="F9596" s="22">
        <v>0</v>
      </c>
      <c r="G9596" s="21">
        <f t="shared" si="447"/>
        <v>2.3999999999999999</v>
      </c>
      <c r="H9596" s="22">
        <v>0</v>
      </c>
      <c r="I9596" s="23" t="str">
        <f t="shared" si="448"/>
        <v xml:space="preserve">COM VALOR</v>
      </c>
      <c r="J9596" s="19"/>
      <c r="L9596" s="21">
        <v>2.4500000000000002</v>
      </c>
      <c r="M9596" s="22">
        <v>0.51000000000000001</v>
      </c>
      <c r="N9596" s="21">
        <v>2.3999999999999999</v>
      </c>
      <c r="O9596" s="22">
        <v>0.52000000000000002</v>
      </c>
    </row>
    <row r="9597" ht="38.25">
      <c r="A9597" t="s">
        <v>9701</v>
      </c>
      <c r="B9597" s="19">
        <v>100217</v>
      </c>
      <c r="C9597" s="20" t="s">
        <v>9735</v>
      </c>
      <c r="D9597" s="19" t="s">
        <v>7766</v>
      </c>
      <c r="E9597" s="21">
        <f t="shared" si="446"/>
        <v>3.5800000000000001</v>
      </c>
      <c r="F9597" s="22">
        <v>0</v>
      </c>
      <c r="G9597" s="21">
        <f t="shared" si="447"/>
        <v>3.5099999999999998</v>
      </c>
      <c r="H9597" s="22">
        <v>0</v>
      </c>
      <c r="I9597" s="23" t="str">
        <f t="shared" si="448"/>
        <v xml:space="preserve">COM VALOR</v>
      </c>
      <c r="J9597" s="19"/>
      <c r="L9597" s="21">
        <v>3.5800000000000001</v>
      </c>
      <c r="M9597" s="22">
        <v>0.51000000000000001</v>
      </c>
      <c r="N9597" s="21">
        <v>3.5099999999999998</v>
      </c>
      <c r="O9597" s="22">
        <v>0.52000000000000002</v>
      </c>
    </row>
    <row r="9598" ht="25.5">
      <c r="A9598" t="s">
        <v>9701</v>
      </c>
      <c r="B9598" s="19">
        <v>100224</v>
      </c>
      <c r="C9598" s="20" t="s">
        <v>9736</v>
      </c>
      <c r="D9598" s="19" t="s">
        <v>9707</v>
      </c>
      <c r="E9598" s="21">
        <f t="shared" si="446"/>
        <v>3.5800000000000001</v>
      </c>
      <c r="F9598" s="22">
        <v>0</v>
      </c>
      <c r="G9598" s="21">
        <f t="shared" si="447"/>
        <v>3.5099999999999998</v>
      </c>
      <c r="H9598" s="22">
        <v>0</v>
      </c>
      <c r="I9598" s="23" t="str">
        <f t="shared" si="448"/>
        <v xml:space="preserve">COM VALOR</v>
      </c>
      <c r="J9598" s="19"/>
      <c r="L9598" s="21">
        <v>3.5800000000000001</v>
      </c>
      <c r="M9598" s="22">
        <v>0.51000000000000001</v>
      </c>
      <c r="N9598" s="21">
        <v>3.5099999999999998</v>
      </c>
      <c r="O9598" s="22">
        <v>0.52000000000000002</v>
      </c>
    </row>
    <row r="9599" ht="25.5">
      <c r="A9599" t="s">
        <v>9701</v>
      </c>
      <c r="B9599" s="19">
        <v>100228</v>
      </c>
      <c r="C9599" s="20" t="s">
        <v>9737</v>
      </c>
      <c r="D9599" s="19" t="s">
        <v>9724</v>
      </c>
      <c r="E9599" s="21">
        <f t="shared" si="446"/>
        <v>0.34999999999999998</v>
      </c>
      <c r="F9599" s="22">
        <v>0</v>
      </c>
      <c r="G9599" s="21">
        <f t="shared" si="447"/>
        <v>0.34999999999999998</v>
      </c>
      <c r="H9599" s="22">
        <v>0</v>
      </c>
      <c r="I9599" s="23" t="str">
        <f t="shared" si="448"/>
        <v xml:space="preserve">COM VALOR</v>
      </c>
      <c r="J9599" s="19"/>
      <c r="L9599" s="21">
        <v>0.34999999999999998</v>
      </c>
      <c r="M9599" s="22">
        <v>0.51000000000000001</v>
      </c>
      <c r="N9599" s="21">
        <v>0.34999999999999998</v>
      </c>
      <c r="O9599" s="22">
        <v>0.51000000000000001</v>
      </c>
    </row>
    <row r="9600" ht="25.5">
      <c r="A9600" t="s">
        <v>9701</v>
      </c>
      <c r="B9600" s="19">
        <v>100204</v>
      </c>
      <c r="C9600" s="20" t="s">
        <v>9738</v>
      </c>
      <c r="D9600" s="19" t="s">
        <v>9709</v>
      </c>
      <c r="E9600" s="21">
        <f t="shared" si="446"/>
        <v>0.13</v>
      </c>
      <c r="F9600" s="22">
        <v>0</v>
      </c>
      <c r="G9600" s="21">
        <f t="shared" si="447"/>
        <v>0.13</v>
      </c>
      <c r="H9600" s="22">
        <v>0</v>
      </c>
      <c r="I9600" s="23" t="str">
        <f t="shared" si="448"/>
        <v xml:space="preserve">COM VALOR</v>
      </c>
      <c r="J9600" s="19"/>
      <c r="L9600" s="21">
        <v>0.13</v>
      </c>
      <c r="M9600" s="22">
        <v>0.46000000000000002</v>
      </c>
      <c r="N9600" s="21">
        <v>0.13</v>
      </c>
      <c r="O9600" s="22">
        <v>0.46000000000000002</v>
      </c>
    </row>
    <row r="9601" ht="25.5">
      <c r="A9601" t="s">
        <v>9701</v>
      </c>
      <c r="B9601" s="19">
        <v>100284</v>
      </c>
      <c r="C9601" s="20" t="s">
        <v>9739</v>
      </c>
      <c r="D9601" s="19" t="s">
        <v>9707</v>
      </c>
      <c r="E9601" s="21">
        <f t="shared" si="446"/>
        <v>12.81</v>
      </c>
      <c r="F9601" s="22">
        <v>0</v>
      </c>
      <c r="G9601" s="21">
        <f t="shared" si="447"/>
        <v>12.58</v>
      </c>
      <c r="H9601" s="22">
        <v>0</v>
      </c>
      <c r="I9601" s="23" t="str">
        <f t="shared" si="448"/>
        <v xml:space="preserve">COM VALOR</v>
      </c>
      <c r="J9601" s="19"/>
      <c r="L9601" s="21">
        <v>12.81</v>
      </c>
      <c r="M9601" s="22">
        <v>0.51000000000000001</v>
      </c>
      <c r="N9601" s="21">
        <v>12.58</v>
      </c>
      <c r="O9601" s="22">
        <v>0.52000000000000002</v>
      </c>
    </row>
    <row r="9602" ht="51">
      <c r="A9602" t="s">
        <v>9701</v>
      </c>
      <c r="B9602" s="19">
        <v>100277</v>
      </c>
      <c r="C9602" s="20" t="s">
        <v>9740</v>
      </c>
      <c r="D9602" s="19" t="s">
        <v>9707</v>
      </c>
      <c r="E9602" s="21">
        <f t="shared" si="446"/>
        <v>2.2799999999999998</v>
      </c>
      <c r="F9602" s="22">
        <v>0</v>
      </c>
      <c r="G9602" s="21">
        <f t="shared" si="447"/>
        <v>2.2400000000000002</v>
      </c>
      <c r="H9602" s="22">
        <v>0</v>
      </c>
      <c r="I9602" s="23" t="str">
        <f t="shared" si="448"/>
        <v xml:space="preserve">COM VALOR</v>
      </c>
      <c r="J9602" s="19"/>
      <c r="L9602" s="21">
        <v>2.2799999999999998</v>
      </c>
      <c r="M9602" s="22">
        <v>0.51000000000000001</v>
      </c>
      <c r="N9602" s="21">
        <v>2.2400000000000002</v>
      </c>
      <c r="O9602" s="22">
        <v>0.52000000000000002</v>
      </c>
    </row>
    <row r="9603" ht="25.5">
      <c r="A9603" t="s">
        <v>9701</v>
      </c>
      <c r="B9603" s="19">
        <v>100278</v>
      </c>
      <c r="C9603" s="20" t="s">
        <v>9741</v>
      </c>
      <c r="D9603" s="19" t="s">
        <v>7766</v>
      </c>
      <c r="E9603" s="21">
        <f t="shared" si="446"/>
        <v>42.409999999999997</v>
      </c>
      <c r="F9603" s="22">
        <v>0</v>
      </c>
      <c r="G9603" s="21">
        <f t="shared" si="447"/>
        <v>40.149999999999999</v>
      </c>
      <c r="H9603" s="22">
        <v>0</v>
      </c>
      <c r="I9603" s="23" t="str">
        <f t="shared" si="448"/>
        <v xml:space="preserve">COM VALOR</v>
      </c>
      <c r="J9603" s="19"/>
      <c r="L9603" s="21">
        <v>42.409999999999997</v>
      </c>
      <c r="M9603" s="22">
        <v>0</v>
      </c>
      <c r="N9603" s="21">
        <v>40.149999999999999</v>
      </c>
      <c r="O9603" s="22">
        <v>0</v>
      </c>
    </row>
    <row r="9604" ht="38.25">
      <c r="A9604" t="s">
        <v>9701</v>
      </c>
      <c r="B9604" s="19">
        <v>100268</v>
      </c>
      <c r="C9604" s="20" t="s">
        <v>9742</v>
      </c>
      <c r="D9604" s="19" t="s">
        <v>7766</v>
      </c>
      <c r="E9604" s="21">
        <f t="shared" si="446"/>
        <v>88.640000000000001</v>
      </c>
      <c r="F9604" s="22">
        <v>0</v>
      </c>
      <c r="G9604" s="21">
        <f t="shared" si="447"/>
        <v>83.920000000000002</v>
      </c>
      <c r="H9604" s="22">
        <v>0</v>
      </c>
      <c r="I9604" s="23" t="str">
        <f t="shared" si="448"/>
        <v xml:space="preserve">COM VALOR</v>
      </c>
      <c r="J9604" s="19"/>
      <c r="L9604" s="21">
        <v>88.640000000000001</v>
      </c>
      <c r="M9604" s="22">
        <v>0</v>
      </c>
      <c r="N9604" s="21">
        <v>83.920000000000002</v>
      </c>
      <c r="O9604" s="22">
        <v>0</v>
      </c>
    </row>
    <row r="9605" ht="25.5">
      <c r="A9605" t="s">
        <v>9701</v>
      </c>
      <c r="B9605" s="19">
        <v>100285</v>
      </c>
      <c r="C9605" s="20" t="s">
        <v>9743</v>
      </c>
      <c r="D9605" s="19" t="s">
        <v>9719</v>
      </c>
      <c r="E9605" s="21">
        <f t="shared" si="446"/>
        <v>44.619999999999997</v>
      </c>
      <c r="F9605" s="22">
        <v>0</v>
      </c>
      <c r="G9605" s="21">
        <f t="shared" si="447"/>
        <v>42.240000000000002</v>
      </c>
      <c r="H9605" s="22">
        <v>0</v>
      </c>
      <c r="I9605" s="23" t="str">
        <f t="shared" si="448"/>
        <v xml:space="preserve">COM VALOR</v>
      </c>
      <c r="J9605" s="19"/>
      <c r="L9605" s="21">
        <v>44.619999999999997</v>
      </c>
      <c r="M9605" s="22">
        <v>0</v>
      </c>
      <c r="N9605" s="21">
        <v>42.240000000000002</v>
      </c>
      <c r="O9605" s="22">
        <v>0</v>
      </c>
    </row>
    <row r="9606" ht="25.5">
      <c r="A9606" t="s">
        <v>9701</v>
      </c>
      <c r="B9606" s="19">
        <v>100209</v>
      </c>
      <c r="C9606" s="20" t="s">
        <v>9744</v>
      </c>
      <c r="D9606" s="19" t="s">
        <v>7766</v>
      </c>
      <c r="E9606" s="21">
        <f t="shared" si="446"/>
        <v>10.279999999999999</v>
      </c>
      <c r="F9606" s="22">
        <v>0</v>
      </c>
      <c r="G9606" s="21">
        <f t="shared" si="447"/>
        <v>9.7300000000000004</v>
      </c>
      <c r="H9606" s="22">
        <v>0</v>
      </c>
      <c r="I9606" s="23" t="str">
        <f t="shared" si="448"/>
        <v xml:space="preserve">COM VALOR</v>
      </c>
      <c r="J9606" s="19"/>
      <c r="L9606" s="21">
        <v>10.279999999999999</v>
      </c>
      <c r="M9606" s="22">
        <v>0</v>
      </c>
      <c r="N9606" s="21">
        <v>9.7300000000000004</v>
      </c>
      <c r="O9606" s="22">
        <v>0</v>
      </c>
    </row>
    <row r="9607" ht="38.25">
      <c r="A9607" t="s">
        <v>9701</v>
      </c>
      <c r="B9607" s="19">
        <v>100208</v>
      </c>
      <c r="C9607" s="20" t="s">
        <v>9745</v>
      </c>
      <c r="D9607" s="19" t="s">
        <v>7766</v>
      </c>
      <c r="E9607" s="21">
        <f t="shared" si="446"/>
        <v>20.559999999999999</v>
      </c>
      <c r="F9607" s="22">
        <v>0</v>
      </c>
      <c r="G9607" s="21">
        <f t="shared" si="447"/>
        <v>19.469999999999999</v>
      </c>
      <c r="H9607" s="22">
        <v>0</v>
      </c>
      <c r="I9607" s="23" t="str">
        <f t="shared" si="448"/>
        <v xml:space="preserve">COM VALOR</v>
      </c>
      <c r="J9607" s="19"/>
      <c r="L9607" s="21">
        <v>20.559999999999999</v>
      </c>
      <c r="M9607" s="22">
        <v>0</v>
      </c>
      <c r="N9607" s="21">
        <v>19.469999999999999</v>
      </c>
      <c r="O9607" s="22">
        <v>0</v>
      </c>
    </row>
    <row r="9608" ht="38.25">
      <c r="A9608" t="s">
        <v>9701</v>
      </c>
      <c r="B9608" s="19">
        <v>100256</v>
      </c>
      <c r="C9608" s="20" t="s">
        <v>9746</v>
      </c>
      <c r="D9608" s="19" t="s">
        <v>9719</v>
      </c>
      <c r="E9608" s="21">
        <f t="shared" si="446"/>
        <v>9.4199999999999999</v>
      </c>
      <c r="F9608" s="22">
        <v>0</v>
      </c>
      <c r="G9608" s="21">
        <f t="shared" si="447"/>
        <v>8.9199999999999999</v>
      </c>
      <c r="H9608" s="22">
        <v>0</v>
      </c>
      <c r="I9608" s="23" t="str">
        <f t="shared" si="448"/>
        <v xml:space="preserve">COM VALOR</v>
      </c>
      <c r="J9608" s="19"/>
      <c r="L9608" s="21">
        <v>9.4199999999999999</v>
      </c>
      <c r="M9608" s="22">
        <v>0</v>
      </c>
      <c r="N9608" s="21">
        <v>8.9199999999999999</v>
      </c>
      <c r="O9608" s="22">
        <v>0</v>
      </c>
    </row>
    <row r="9609" ht="25.5">
      <c r="A9609" t="s">
        <v>9701</v>
      </c>
      <c r="B9609" s="19">
        <v>100220</v>
      </c>
      <c r="C9609" s="20" t="s">
        <v>9747</v>
      </c>
      <c r="D9609" s="19" t="s">
        <v>9707</v>
      </c>
      <c r="E9609" s="21">
        <f t="shared" si="446"/>
        <v>29.539999999999999</v>
      </c>
      <c r="F9609" s="22">
        <v>0</v>
      </c>
      <c r="G9609" s="21">
        <f t="shared" si="447"/>
        <v>27.969999999999999</v>
      </c>
      <c r="H9609" s="22">
        <v>0</v>
      </c>
      <c r="I9609" s="23" t="str">
        <f t="shared" si="448"/>
        <v xml:space="preserve">COM VALOR</v>
      </c>
      <c r="J9609" s="19"/>
      <c r="L9609" s="21">
        <v>29.539999999999999</v>
      </c>
      <c r="M9609" s="22">
        <v>0</v>
      </c>
      <c r="N9609" s="21">
        <v>27.969999999999999</v>
      </c>
      <c r="O9609" s="22">
        <v>0</v>
      </c>
    </row>
    <row r="9610" ht="25.5">
      <c r="A9610" t="s">
        <v>9701</v>
      </c>
      <c r="B9610" s="19">
        <v>100287</v>
      </c>
      <c r="C9610" s="20" t="s">
        <v>9748</v>
      </c>
      <c r="D9610" s="19" t="s">
        <v>9719</v>
      </c>
      <c r="E9610" s="21">
        <f t="shared" si="446"/>
        <v>13.92</v>
      </c>
      <c r="F9610" s="22">
        <v>0</v>
      </c>
      <c r="G9610" s="21">
        <f t="shared" si="447"/>
        <v>13.18</v>
      </c>
      <c r="H9610" s="22">
        <v>0</v>
      </c>
      <c r="I9610" s="23" t="str">
        <f t="shared" si="448"/>
        <v xml:space="preserve">COM VALOR</v>
      </c>
      <c r="J9610" s="19"/>
      <c r="L9610" s="21">
        <v>13.92</v>
      </c>
      <c r="M9610" s="22">
        <v>0</v>
      </c>
      <c r="N9610" s="21">
        <v>13.18</v>
      </c>
      <c r="O9610" s="22">
        <v>0</v>
      </c>
    </row>
    <row r="9611" ht="25.5">
      <c r="A9611" t="s">
        <v>9701</v>
      </c>
      <c r="B9611" s="19">
        <v>100274</v>
      </c>
      <c r="C9611" s="20" t="s">
        <v>9749</v>
      </c>
      <c r="D9611" s="19" t="s">
        <v>9707</v>
      </c>
      <c r="E9611" s="21">
        <f t="shared" ref="E9611:E9674" si="449">IF(L9611=0,"VERIFICAR",L9611)</f>
        <v>29.559999999999999</v>
      </c>
      <c r="F9611" s="22">
        <v>0</v>
      </c>
      <c r="G9611" s="21">
        <f t="shared" ref="G9611:G9674" si="450">IF(N9611=0,"VERIFICAR",N9611)</f>
        <v>27.989999999999998</v>
      </c>
      <c r="H9611" s="22">
        <v>0</v>
      </c>
      <c r="I9611" s="23" t="str">
        <f t="shared" ref="I9611:I9674" si="451">IF(OR(E9611=0,G9611=0),"SEM VALOR","COM VALOR")</f>
        <v xml:space="preserve">COM VALOR</v>
      </c>
      <c r="J9611" s="19"/>
      <c r="L9611" s="21">
        <v>29.559999999999999</v>
      </c>
      <c r="M9611" s="22">
        <v>0</v>
      </c>
      <c r="N9611" s="21">
        <v>27.989999999999998</v>
      </c>
      <c r="O9611" s="22">
        <v>0</v>
      </c>
    </row>
    <row r="9612" ht="25.5">
      <c r="A9612" t="s">
        <v>9701</v>
      </c>
      <c r="B9612" s="19">
        <v>100264</v>
      </c>
      <c r="C9612" s="20" t="s">
        <v>9750</v>
      </c>
      <c r="D9612" s="19" t="s">
        <v>9707</v>
      </c>
      <c r="E9612" s="21">
        <f t="shared" si="449"/>
        <v>41.700000000000003</v>
      </c>
      <c r="F9612" s="22">
        <v>0</v>
      </c>
      <c r="G9612" s="21">
        <f t="shared" si="450"/>
        <v>39.490000000000002</v>
      </c>
      <c r="H9612" s="22">
        <v>0</v>
      </c>
      <c r="I9612" s="23" t="str">
        <f t="shared" si="451"/>
        <v xml:space="preserve">COM VALOR</v>
      </c>
      <c r="J9612" s="19"/>
      <c r="L9612" s="21">
        <v>41.700000000000003</v>
      </c>
      <c r="M9612" s="22">
        <v>0</v>
      </c>
      <c r="N9612" s="21">
        <v>39.490000000000002</v>
      </c>
      <c r="O9612" s="22">
        <v>0</v>
      </c>
    </row>
    <row r="9613" ht="25.5">
      <c r="A9613" t="s">
        <v>9701</v>
      </c>
      <c r="B9613" s="19">
        <v>100225</v>
      </c>
      <c r="C9613" s="20" t="s">
        <v>9751</v>
      </c>
      <c r="D9613" s="19" t="s">
        <v>9724</v>
      </c>
      <c r="E9613" s="21">
        <f t="shared" si="449"/>
        <v>2.3199999999999998</v>
      </c>
      <c r="F9613" s="22">
        <v>0</v>
      </c>
      <c r="G9613" s="21">
        <f t="shared" si="450"/>
        <v>2.1899999999999999</v>
      </c>
      <c r="H9613" s="22">
        <v>0</v>
      </c>
      <c r="I9613" s="23" t="str">
        <f t="shared" si="451"/>
        <v xml:space="preserve">COM VALOR</v>
      </c>
      <c r="J9613" s="19"/>
      <c r="L9613" s="21">
        <v>2.3199999999999998</v>
      </c>
      <c r="M9613" s="22">
        <v>0</v>
      </c>
      <c r="N9613" s="21">
        <v>2.1899999999999999</v>
      </c>
      <c r="O9613" s="22">
        <v>0</v>
      </c>
    </row>
    <row r="9614" ht="25.5">
      <c r="A9614" t="s">
        <v>9701</v>
      </c>
      <c r="B9614" s="19">
        <v>100266</v>
      </c>
      <c r="C9614" s="20" t="s">
        <v>9752</v>
      </c>
      <c r="D9614" s="19" t="s">
        <v>7766</v>
      </c>
      <c r="E9614" s="21">
        <f t="shared" si="449"/>
        <v>88.640000000000001</v>
      </c>
      <c r="F9614" s="22">
        <v>0</v>
      </c>
      <c r="G9614" s="21">
        <f t="shared" si="450"/>
        <v>83.920000000000002</v>
      </c>
      <c r="H9614" s="22">
        <v>0</v>
      </c>
      <c r="I9614" s="23" t="str">
        <f t="shared" si="451"/>
        <v xml:space="preserve">COM VALOR</v>
      </c>
      <c r="J9614" s="19"/>
      <c r="L9614" s="21">
        <v>88.640000000000001</v>
      </c>
      <c r="M9614" s="22">
        <v>0</v>
      </c>
      <c r="N9614" s="21">
        <v>83.920000000000002</v>
      </c>
      <c r="O9614" s="22">
        <v>0</v>
      </c>
    </row>
    <row r="9615" ht="25.5">
      <c r="A9615" t="s">
        <v>9701</v>
      </c>
      <c r="B9615" s="19">
        <v>100257</v>
      </c>
      <c r="C9615" s="20" t="s">
        <v>9753</v>
      </c>
      <c r="D9615" s="19" t="s">
        <v>9719</v>
      </c>
      <c r="E9615" s="21">
        <f t="shared" si="449"/>
        <v>5.6500000000000004</v>
      </c>
      <c r="F9615" s="22">
        <v>0</v>
      </c>
      <c r="G9615" s="21">
        <f t="shared" si="450"/>
        <v>5.3499999999999996</v>
      </c>
      <c r="H9615" s="22">
        <v>0</v>
      </c>
      <c r="I9615" s="23" t="str">
        <f t="shared" si="451"/>
        <v xml:space="preserve">COM VALOR</v>
      </c>
      <c r="J9615" s="19"/>
      <c r="L9615" s="21">
        <v>5.6500000000000004</v>
      </c>
      <c r="M9615" s="22">
        <v>0</v>
      </c>
      <c r="N9615" s="21">
        <v>5.3499999999999996</v>
      </c>
      <c r="O9615" s="22">
        <v>0</v>
      </c>
    </row>
    <row r="9616" ht="25.5">
      <c r="A9616" t="s">
        <v>9701</v>
      </c>
      <c r="B9616" s="19">
        <v>100197</v>
      </c>
      <c r="C9616" s="20" t="s">
        <v>9754</v>
      </c>
      <c r="D9616" s="19" t="s">
        <v>9709</v>
      </c>
      <c r="E9616" s="21">
        <f t="shared" si="449"/>
        <v>2.0800000000000001</v>
      </c>
      <c r="F9616" s="22">
        <v>0</v>
      </c>
      <c r="G9616" s="21">
        <f t="shared" si="450"/>
        <v>1.97</v>
      </c>
      <c r="H9616" s="22">
        <v>0</v>
      </c>
      <c r="I9616" s="23" t="str">
        <f t="shared" si="451"/>
        <v xml:space="preserve">COM VALOR</v>
      </c>
      <c r="J9616" s="19"/>
      <c r="L9616" s="21">
        <v>2.0800000000000001</v>
      </c>
      <c r="M9616" s="22">
        <v>0</v>
      </c>
      <c r="N9616" s="21">
        <v>1.97</v>
      </c>
      <c r="O9616" s="22">
        <v>0</v>
      </c>
    </row>
    <row r="9617" ht="25.5">
      <c r="A9617" t="s">
        <v>9701</v>
      </c>
      <c r="B9617" s="19">
        <v>100196</v>
      </c>
      <c r="C9617" s="20" t="s">
        <v>9755</v>
      </c>
      <c r="D9617" s="19" t="s">
        <v>9709</v>
      </c>
      <c r="E9617" s="21">
        <f t="shared" si="449"/>
        <v>1.3899999999999999</v>
      </c>
      <c r="F9617" s="22">
        <v>0</v>
      </c>
      <c r="G9617" s="21">
        <f t="shared" si="450"/>
        <v>1.3100000000000001</v>
      </c>
      <c r="H9617" s="22">
        <v>0</v>
      </c>
      <c r="I9617" s="23" t="str">
        <f t="shared" si="451"/>
        <v xml:space="preserve">COM VALOR</v>
      </c>
      <c r="J9617" s="19"/>
      <c r="L9617" s="21">
        <v>1.3899999999999999</v>
      </c>
      <c r="M9617" s="22">
        <v>0</v>
      </c>
      <c r="N9617" s="21">
        <v>1.3100000000000001</v>
      </c>
      <c r="O9617" s="22">
        <v>0</v>
      </c>
    </row>
    <row r="9618" ht="25.5">
      <c r="A9618" t="s">
        <v>9701</v>
      </c>
      <c r="B9618" s="19">
        <v>100195</v>
      </c>
      <c r="C9618" s="20" t="s">
        <v>9756</v>
      </c>
      <c r="D9618" s="19" t="s">
        <v>9709</v>
      </c>
      <c r="E9618" s="21">
        <f t="shared" si="449"/>
        <v>0.82999999999999996</v>
      </c>
      <c r="F9618" s="22">
        <v>0</v>
      </c>
      <c r="G9618" s="21">
        <f t="shared" si="450"/>
        <v>0.79000000000000004</v>
      </c>
      <c r="H9618" s="22">
        <v>0</v>
      </c>
      <c r="I9618" s="23" t="str">
        <f t="shared" si="451"/>
        <v xml:space="preserve">COM VALOR</v>
      </c>
      <c r="J9618" s="19"/>
      <c r="L9618" s="21">
        <v>0.82999999999999996</v>
      </c>
      <c r="M9618" s="22">
        <v>0</v>
      </c>
      <c r="N9618" s="21">
        <v>0.79000000000000004</v>
      </c>
      <c r="O9618" s="22">
        <v>0</v>
      </c>
    </row>
    <row r="9619" ht="25.5">
      <c r="A9619" t="s">
        <v>9701</v>
      </c>
      <c r="B9619" s="19">
        <v>100273</v>
      </c>
      <c r="C9619" s="20" t="s">
        <v>9757</v>
      </c>
      <c r="D9619" s="19" t="s">
        <v>9709</v>
      </c>
      <c r="E9619" s="21">
        <f t="shared" si="449"/>
        <v>3.46</v>
      </c>
      <c r="F9619" s="22">
        <v>0</v>
      </c>
      <c r="G9619" s="21">
        <f t="shared" si="450"/>
        <v>3.2799999999999998</v>
      </c>
      <c r="H9619" s="22">
        <v>0</v>
      </c>
      <c r="I9619" s="23" t="str">
        <f t="shared" si="451"/>
        <v xml:space="preserve">COM VALOR</v>
      </c>
      <c r="J9619" s="19"/>
      <c r="L9619" s="21">
        <v>3.46</v>
      </c>
      <c r="M9619" s="22">
        <v>0</v>
      </c>
      <c r="N9619" s="21">
        <v>3.2799999999999998</v>
      </c>
      <c r="O9619" s="22">
        <v>0</v>
      </c>
    </row>
    <row r="9620" ht="25.5">
      <c r="A9620" t="s">
        <v>9701</v>
      </c>
      <c r="B9620" s="19">
        <v>100282</v>
      </c>
      <c r="C9620" s="20" t="s">
        <v>9758</v>
      </c>
      <c r="D9620" s="19" t="s">
        <v>9707</v>
      </c>
      <c r="E9620" s="21">
        <f t="shared" si="449"/>
        <v>166.06999999999999</v>
      </c>
      <c r="F9620" s="22">
        <v>0</v>
      </c>
      <c r="G9620" s="21">
        <f t="shared" si="450"/>
        <v>157.24000000000001</v>
      </c>
      <c r="H9620" s="22">
        <v>0</v>
      </c>
      <c r="I9620" s="23" t="str">
        <f t="shared" si="451"/>
        <v xml:space="preserve">COM VALOR</v>
      </c>
      <c r="J9620" s="19"/>
      <c r="L9620" s="21">
        <v>166.06999999999999</v>
      </c>
      <c r="M9620" s="22">
        <v>0</v>
      </c>
      <c r="N9620" s="21">
        <v>157.24000000000001</v>
      </c>
      <c r="O9620" s="22">
        <v>0</v>
      </c>
    </row>
    <row r="9621" ht="38.25">
      <c r="A9621" t="s">
        <v>9701</v>
      </c>
      <c r="B9621" s="19">
        <v>100276</v>
      </c>
      <c r="C9621" s="20" t="s">
        <v>9759</v>
      </c>
      <c r="D9621" s="19" t="s">
        <v>9707</v>
      </c>
      <c r="E9621" s="21">
        <f t="shared" si="449"/>
        <v>34.869999999999997</v>
      </c>
      <c r="F9621" s="22">
        <v>0</v>
      </c>
      <c r="G9621" s="21">
        <f t="shared" si="450"/>
        <v>33.020000000000003</v>
      </c>
      <c r="H9621" s="22">
        <v>0</v>
      </c>
      <c r="I9621" s="23" t="str">
        <f t="shared" si="451"/>
        <v xml:space="preserve">COM VALOR</v>
      </c>
      <c r="J9621" s="19"/>
      <c r="L9621" s="21">
        <v>34.869999999999997</v>
      </c>
      <c r="M9621" s="22">
        <v>0</v>
      </c>
      <c r="N9621" s="21">
        <v>33.020000000000003</v>
      </c>
      <c r="O9621" s="22">
        <v>0</v>
      </c>
    </row>
    <row r="9622" ht="25.5">
      <c r="A9622" t="s">
        <v>9701</v>
      </c>
      <c r="B9622" s="19">
        <v>100275</v>
      </c>
      <c r="C9622" s="20" t="s">
        <v>9760</v>
      </c>
      <c r="D9622" s="19" t="s">
        <v>9707</v>
      </c>
      <c r="E9622" s="21">
        <f t="shared" si="449"/>
        <v>19.109999999999999</v>
      </c>
      <c r="F9622" s="22">
        <v>0</v>
      </c>
      <c r="G9622" s="21">
        <f t="shared" si="450"/>
        <v>18.09</v>
      </c>
      <c r="H9622" s="22">
        <v>0</v>
      </c>
      <c r="I9622" s="23" t="str">
        <f t="shared" si="451"/>
        <v xml:space="preserve">COM VALOR</v>
      </c>
      <c r="J9622" s="19"/>
      <c r="L9622" s="21">
        <v>19.109999999999999</v>
      </c>
      <c r="M9622" s="22">
        <v>0</v>
      </c>
      <c r="N9622" s="21">
        <v>18.09</v>
      </c>
      <c r="O9622" s="22">
        <v>0</v>
      </c>
    </row>
    <row r="9623" ht="38.25">
      <c r="A9623" t="s">
        <v>9701</v>
      </c>
      <c r="B9623" s="19">
        <v>100254</v>
      </c>
      <c r="C9623" s="20" t="s">
        <v>9761</v>
      </c>
      <c r="D9623" s="19" t="s">
        <v>9719</v>
      </c>
      <c r="E9623" s="21">
        <f t="shared" si="449"/>
        <v>41.770000000000003</v>
      </c>
      <c r="F9623" s="22">
        <v>0</v>
      </c>
      <c r="G9623" s="21">
        <f t="shared" si="450"/>
        <v>39.549999999999997</v>
      </c>
      <c r="H9623" s="22">
        <v>0</v>
      </c>
      <c r="I9623" s="23" t="str">
        <f t="shared" si="451"/>
        <v xml:space="preserve">COM VALOR</v>
      </c>
      <c r="J9623" s="19"/>
      <c r="L9623" s="21">
        <v>41.770000000000003</v>
      </c>
      <c r="M9623" s="22">
        <v>0</v>
      </c>
      <c r="N9623" s="21">
        <v>39.549999999999997</v>
      </c>
      <c r="O9623" s="22">
        <v>0</v>
      </c>
    </row>
    <row r="9624" ht="38.25">
      <c r="A9624" t="s">
        <v>9701</v>
      </c>
      <c r="B9624" s="19">
        <v>100250</v>
      </c>
      <c r="C9624" s="20" t="s">
        <v>9762</v>
      </c>
      <c r="D9624" s="19" t="s">
        <v>9719</v>
      </c>
      <c r="E9624" s="21">
        <f t="shared" si="449"/>
        <v>4.71</v>
      </c>
      <c r="F9624" s="22">
        <v>0</v>
      </c>
      <c r="G9624" s="21">
        <f t="shared" si="450"/>
        <v>4.46</v>
      </c>
      <c r="H9624" s="22">
        <v>0</v>
      </c>
      <c r="I9624" s="23" t="str">
        <f t="shared" si="451"/>
        <v xml:space="preserve">COM VALOR</v>
      </c>
      <c r="J9624" s="19"/>
      <c r="L9624" s="21">
        <v>4.71</v>
      </c>
      <c r="M9624" s="22">
        <v>0</v>
      </c>
      <c r="N9624" s="21">
        <v>4.46</v>
      </c>
      <c r="O9624" s="22">
        <v>0</v>
      </c>
    </row>
    <row r="9625" ht="38.25">
      <c r="A9625" t="s">
        <v>9701</v>
      </c>
      <c r="B9625" s="19">
        <v>100251</v>
      </c>
      <c r="C9625" s="20" t="s">
        <v>9763</v>
      </c>
      <c r="D9625" s="19" t="s">
        <v>9719</v>
      </c>
      <c r="E9625" s="21">
        <f t="shared" si="449"/>
        <v>13.92</v>
      </c>
      <c r="F9625" s="22">
        <v>0</v>
      </c>
      <c r="G9625" s="21">
        <f t="shared" si="450"/>
        <v>13.18</v>
      </c>
      <c r="H9625" s="22">
        <v>0</v>
      </c>
      <c r="I9625" s="23" t="str">
        <f t="shared" si="451"/>
        <v xml:space="preserve">COM VALOR</v>
      </c>
      <c r="J9625" s="19"/>
      <c r="L9625" s="21">
        <v>13.92</v>
      </c>
      <c r="M9625" s="22">
        <v>0</v>
      </c>
      <c r="N9625" s="21">
        <v>13.18</v>
      </c>
      <c r="O9625" s="22">
        <v>0</v>
      </c>
    </row>
    <row r="9626" ht="38.25">
      <c r="A9626" t="s">
        <v>9701</v>
      </c>
      <c r="B9626" s="19">
        <v>100252</v>
      </c>
      <c r="C9626" s="20" t="s">
        <v>9764</v>
      </c>
      <c r="D9626" s="19" t="s">
        <v>9719</v>
      </c>
      <c r="E9626" s="21">
        <f t="shared" si="449"/>
        <v>20.879999999999999</v>
      </c>
      <c r="F9626" s="22">
        <v>0</v>
      </c>
      <c r="G9626" s="21">
        <f t="shared" si="450"/>
        <v>19.77</v>
      </c>
      <c r="H9626" s="22">
        <v>0</v>
      </c>
      <c r="I9626" s="23" t="str">
        <f t="shared" si="451"/>
        <v xml:space="preserve">COM VALOR</v>
      </c>
      <c r="J9626" s="19"/>
      <c r="L9626" s="21">
        <v>20.879999999999999</v>
      </c>
      <c r="M9626" s="22">
        <v>0</v>
      </c>
      <c r="N9626" s="21">
        <v>19.77</v>
      </c>
      <c r="O9626" s="22">
        <v>0</v>
      </c>
    </row>
    <row r="9627" ht="38.25">
      <c r="A9627" t="s">
        <v>9701</v>
      </c>
      <c r="B9627" s="19">
        <v>100253</v>
      </c>
      <c r="C9627" s="20" t="s">
        <v>9765</v>
      </c>
      <c r="D9627" s="19" t="s">
        <v>9719</v>
      </c>
      <c r="E9627" s="21">
        <f t="shared" si="449"/>
        <v>27.84</v>
      </c>
      <c r="F9627" s="22">
        <v>0</v>
      </c>
      <c r="G9627" s="21">
        <f t="shared" si="450"/>
        <v>26.359999999999999</v>
      </c>
      <c r="H9627" s="22">
        <v>0</v>
      </c>
      <c r="I9627" s="23" t="str">
        <f t="shared" si="451"/>
        <v xml:space="preserve">COM VALOR</v>
      </c>
      <c r="J9627" s="19"/>
      <c r="L9627" s="21">
        <v>27.84</v>
      </c>
      <c r="M9627" s="22">
        <v>0</v>
      </c>
      <c r="N9627" s="21">
        <v>26.359999999999999</v>
      </c>
      <c r="O9627" s="22">
        <v>0</v>
      </c>
    </row>
    <row r="9628" ht="38.25">
      <c r="A9628" t="s">
        <v>9701</v>
      </c>
      <c r="B9628" s="19">
        <v>100249</v>
      </c>
      <c r="C9628" s="20" t="s">
        <v>9766</v>
      </c>
      <c r="D9628" s="19" t="s">
        <v>9719</v>
      </c>
      <c r="E9628" s="21">
        <f t="shared" si="449"/>
        <v>2.8199999999999998</v>
      </c>
      <c r="F9628" s="22">
        <v>0</v>
      </c>
      <c r="G9628" s="21">
        <f t="shared" si="450"/>
        <v>2.6699999999999999</v>
      </c>
      <c r="H9628" s="22">
        <v>0</v>
      </c>
      <c r="I9628" s="23" t="str">
        <f t="shared" si="451"/>
        <v xml:space="preserve">COM VALOR</v>
      </c>
      <c r="J9628" s="19"/>
      <c r="L9628" s="21">
        <v>2.8199999999999998</v>
      </c>
      <c r="M9628" s="22">
        <v>0</v>
      </c>
      <c r="N9628" s="21">
        <v>2.6699999999999999</v>
      </c>
      <c r="O9628" s="22">
        <v>0</v>
      </c>
    </row>
    <row r="9629" ht="38.25">
      <c r="A9629" t="s">
        <v>9701</v>
      </c>
      <c r="B9629" s="19">
        <v>100244</v>
      </c>
      <c r="C9629" s="20" t="s">
        <v>9767</v>
      </c>
      <c r="D9629" s="19" t="s">
        <v>9719</v>
      </c>
      <c r="E9629" s="21">
        <f t="shared" si="449"/>
        <v>4.2400000000000002</v>
      </c>
      <c r="F9629" s="22">
        <v>0</v>
      </c>
      <c r="G9629" s="21">
        <f t="shared" si="450"/>
        <v>4.0099999999999998</v>
      </c>
      <c r="H9629" s="22">
        <v>0</v>
      </c>
      <c r="I9629" s="23" t="str">
        <f t="shared" si="451"/>
        <v xml:space="preserve">COM VALOR</v>
      </c>
      <c r="J9629" s="19"/>
      <c r="L9629" s="21">
        <v>4.2400000000000002</v>
      </c>
      <c r="M9629" s="22">
        <v>0</v>
      </c>
      <c r="N9629" s="21">
        <v>4.0099999999999998</v>
      </c>
      <c r="O9629" s="22">
        <v>0</v>
      </c>
    </row>
    <row r="9630" ht="38.25">
      <c r="A9630" t="s">
        <v>9701</v>
      </c>
      <c r="B9630" s="19">
        <v>100245</v>
      </c>
      <c r="C9630" s="20" t="s">
        <v>9768</v>
      </c>
      <c r="D9630" s="19" t="s">
        <v>9719</v>
      </c>
      <c r="E9630" s="21">
        <f t="shared" si="449"/>
        <v>8.4800000000000004</v>
      </c>
      <c r="F9630" s="22">
        <v>0</v>
      </c>
      <c r="G9630" s="21">
        <f t="shared" si="450"/>
        <v>8.0299999999999994</v>
      </c>
      <c r="H9630" s="22">
        <v>0</v>
      </c>
      <c r="I9630" s="23" t="str">
        <f t="shared" si="451"/>
        <v xml:space="preserve">COM VALOR</v>
      </c>
      <c r="J9630" s="19"/>
      <c r="L9630" s="21">
        <v>8.4800000000000004</v>
      </c>
      <c r="M9630" s="22">
        <v>0</v>
      </c>
      <c r="N9630" s="21">
        <v>8.0299999999999994</v>
      </c>
      <c r="O9630" s="22">
        <v>0</v>
      </c>
    </row>
    <row r="9631" ht="25.5">
      <c r="A9631" t="s">
        <v>9701</v>
      </c>
      <c r="B9631" s="19">
        <v>100243</v>
      </c>
      <c r="C9631" s="20" t="s">
        <v>9769</v>
      </c>
      <c r="D9631" s="19" t="s">
        <v>9719</v>
      </c>
      <c r="E9631" s="21">
        <f t="shared" si="449"/>
        <v>3.3900000000000001</v>
      </c>
      <c r="F9631" s="22">
        <v>0</v>
      </c>
      <c r="G9631" s="21">
        <f t="shared" si="450"/>
        <v>3.21</v>
      </c>
      <c r="H9631" s="22">
        <v>0</v>
      </c>
      <c r="I9631" s="23" t="str">
        <f t="shared" si="451"/>
        <v xml:space="preserve">COM VALOR</v>
      </c>
      <c r="J9631" s="19"/>
      <c r="L9631" s="21">
        <v>3.3900000000000001</v>
      </c>
      <c r="M9631" s="22">
        <v>0</v>
      </c>
      <c r="N9631" s="21">
        <v>3.21</v>
      </c>
      <c r="O9631" s="22">
        <v>0</v>
      </c>
    </row>
    <row r="9632" ht="38.25">
      <c r="A9632" t="s">
        <v>9701</v>
      </c>
      <c r="B9632" s="19">
        <v>100239</v>
      </c>
      <c r="C9632" s="20" t="s">
        <v>9770</v>
      </c>
      <c r="D9632" s="19" t="s">
        <v>9719</v>
      </c>
      <c r="E9632" s="21">
        <f t="shared" si="449"/>
        <v>7.0599999999999996</v>
      </c>
      <c r="F9632" s="22">
        <v>0</v>
      </c>
      <c r="G9632" s="21">
        <f t="shared" si="450"/>
        <v>6.6900000000000004</v>
      </c>
      <c r="H9632" s="22">
        <v>0</v>
      </c>
      <c r="I9632" s="23" t="str">
        <f t="shared" si="451"/>
        <v xml:space="preserve">COM VALOR</v>
      </c>
      <c r="J9632" s="19"/>
      <c r="L9632" s="21">
        <v>7.0599999999999996</v>
      </c>
      <c r="M9632" s="22">
        <v>0</v>
      </c>
      <c r="N9632" s="21">
        <v>6.6900000000000004</v>
      </c>
      <c r="O9632" s="22">
        <v>0</v>
      </c>
    </row>
    <row r="9633" ht="25.5">
      <c r="A9633" t="s">
        <v>9701</v>
      </c>
      <c r="B9633" s="19">
        <v>100238</v>
      </c>
      <c r="C9633" s="20" t="s">
        <v>9771</v>
      </c>
      <c r="D9633" s="19" t="s">
        <v>9719</v>
      </c>
      <c r="E9633" s="21">
        <f t="shared" si="449"/>
        <v>5.6500000000000004</v>
      </c>
      <c r="F9633" s="22">
        <v>0.95999999999999996</v>
      </c>
      <c r="G9633" s="21">
        <f t="shared" si="450"/>
        <v>5.3499999999999996</v>
      </c>
      <c r="H9633" s="22">
        <v>0.95999999999999996</v>
      </c>
      <c r="I9633" s="23" t="str">
        <f t="shared" si="451"/>
        <v xml:space="preserve">COM VALOR</v>
      </c>
      <c r="J9633" s="19"/>
      <c r="L9633" s="21">
        <v>5.6500000000000004</v>
      </c>
      <c r="M9633" s="22">
        <v>0</v>
      </c>
      <c r="N9633" s="21">
        <v>5.3499999999999996</v>
      </c>
      <c r="O9633" s="22">
        <v>0</v>
      </c>
    </row>
    <row r="9634" ht="38.25">
      <c r="A9634" t="s">
        <v>9701</v>
      </c>
      <c r="B9634" s="19">
        <v>100241</v>
      </c>
      <c r="C9634" s="20" t="s">
        <v>9772</v>
      </c>
      <c r="D9634" s="19" t="s">
        <v>9719</v>
      </c>
      <c r="E9634" s="21">
        <f t="shared" si="449"/>
        <v>7.0599999999999996</v>
      </c>
      <c r="F9634" s="22">
        <v>0.96999999999999997</v>
      </c>
      <c r="G9634" s="21">
        <f t="shared" si="450"/>
        <v>6.6900000000000004</v>
      </c>
      <c r="H9634" s="22">
        <v>0.96999999999999997</v>
      </c>
      <c r="I9634" s="23" t="str">
        <f t="shared" si="451"/>
        <v xml:space="preserve">COM VALOR</v>
      </c>
      <c r="J9634" s="19"/>
      <c r="L9634" s="21">
        <v>7.0599999999999996</v>
      </c>
      <c r="M9634" s="22">
        <v>0</v>
      </c>
      <c r="N9634" s="21">
        <v>6.6900000000000004</v>
      </c>
      <c r="O9634" s="22">
        <v>0</v>
      </c>
    </row>
    <row r="9635" ht="38.25">
      <c r="A9635" t="s">
        <v>9701</v>
      </c>
      <c r="B9635" s="19">
        <v>100242</v>
      </c>
      <c r="C9635" s="20" t="s">
        <v>9773</v>
      </c>
      <c r="D9635" s="19" t="s">
        <v>9719</v>
      </c>
      <c r="E9635" s="21">
        <f t="shared" si="449"/>
        <v>20.879999999999999</v>
      </c>
      <c r="F9635" s="22">
        <v>0.95999999999999996</v>
      </c>
      <c r="G9635" s="21">
        <f t="shared" si="450"/>
        <v>19.77</v>
      </c>
      <c r="H9635" s="22">
        <v>0.96999999999999997</v>
      </c>
      <c r="I9635" s="23" t="str">
        <f t="shared" si="451"/>
        <v xml:space="preserve">COM VALOR</v>
      </c>
      <c r="J9635" s="19"/>
      <c r="L9635" s="21">
        <v>20.879999999999999</v>
      </c>
      <c r="M9635" s="22">
        <v>0</v>
      </c>
      <c r="N9635" s="21">
        <v>19.77</v>
      </c>
      <c r="O9635" s="22">
        <v>0</v>
      </c>
    </row>
    <row r="9636" ht="25.5">
      <c r="A9636" t="s">
        <v>9701</v>
      </c>
      <c r="B9636" s="19">
        <v>100240</v>
      </c>
      <c r="C9636" s="20" t="s">
        <v>9774</v>
      </c>
      <c r="D9636" s="19" t="s">
        <v>9719</v>
      </c>
      <c r="E9636" s="21">
        <f t="shared" si="449"/>
        <v>4.2400000000000002</v>
      </c>
      <c r="F9636" s="22">
        <v>0.96999999999999997</v>
      </c>
      <c r="G9636" s="21">
        <f t="shared" si="450"/>
        <v>4.0099999999999998</v>
      </c>
      <c r="H9636" s="22">
        <v>0.96999999999999997</v>
      </c>
      <c r="I9636" s="23" t="str">
        <f t="shared" si="451"/>
        <v xml:space="preserve">COM VALOR</v>
      </c>
      <c r="J9636" s="19"/>
      <c r="L9636" s="21">
        <v>4.2400000000000002</v>
      </c>
      <c r="M9636" s="22">
        <v>0</v>
      </c>
      <c r="N9636" s="21">
        <v>4.0099999999999998</v>
      </c>
      <c r="O9636" s="22">
        <v>0</v>
      </c>
    </row>
    <row r="9637" ht="38.25">
      <c r="A9637" t="s">
        <v>9701</v>
      </c>
      <c r="B9637" s="19">
        <v>100237</v>
      </c>
      <c r="C9637" s="20" t="s">
        <v>9775</v>
      </c>
      <c r="D9637" s="19" t="s">
        <v>9719</v>
      </c>
      <c r="E9637" s="21">
        <f t="shared" si="449"/>
        <v>3.5299999999999998</v>
      </c>
      <c r="F9637" s="22">
        <v>0.96999999999999997</v>
      </c>
      <c r="G9637" s="21">
        <f t="shared" si="450"/>
        <v>3.3399999999999999</v>
      </c>
      <c r="H9637" s="22">
        <v>0.96999999999999997</v>
      </c>
      <c r="I9637" s="23" t="str">
        <f t="shared" si="451"/>
        <v xml:space="preserve">COM VALOR</v>
      </c>
      <c r="J9637" s="19"/>
      <c r="L9637" s="21">
        <v>3.5299999999999998</v>
      </c>
      <c r="M9637" s="22">
        <v>0</v>
      </c>
      <c r="N9637" s="21">
        <v>3.3399999999999999</v>
      </c>
      <c r="O9637" s="22">
        <v>0</v>
      </c>
    </row>
    <row r="9638" ht="25.5">
      <c r="A9638" t="s">
        <v>9701</v>
      </c>
      <c r="B9638" s="19">
        <v>100236</v>
      </c>
      <c r="C9638" s="20" t="s">
        <v>9776</v>
      </c>
      <c r="D9638" s="19" t="s">
        <v>9719</v>
      </c>
      <c r="E9638" s="21">
        <f t="shared" si="449"/>
        <v>2.9399999999999999</v>
      </c>
      <c r="F9638" s="22">
        <v>0.95999999999999996</v>
      </c>
      <c r="G9638" s="21">
        <f t="shared" si="450"/>
        <v>2.79</v>
      </c>
      <c r="H9638" s="22">
        <v>0.96999999999999997</v>
      </c>
      <c r="I9638" s="23" t="str">
        <f t="shared" si="451"/>
        <v xml:space="preserve">COM VALOR</v>
      </c>
      <c r="J9638" s="19"/>
      <c r="L9638" s="21">
        <v>2.9399999999999999</v>
      </c>
      <c r="M9638" s="22">
        <v>0</v>
      </c>
      <c r="N9638" s="21">
        <v>2.79</v>
      </c>
      <c r="O9638" s="22">
        <v>0</v>
      </c>
    </row>
    <row r="9639" ht="51">
      <c r="A9639" t="s">
        <v>9701</v>
      </c>
      <c r="B9639" s="19">
        <v>100248</v>
      </c>
      <c r="C9639" s="20" t="s">
        <v>9777</v>
      </c>
      <c r="D9639" s="19" t="s">
        <v>9719</v>
      </c>
      <c r="E9639" s="21">
        <f t="shared" si="449"/>
        <v>13.92</v>
      </c>
      <c r="F9639" s="22">
        <v>0.96999999999999997</v>
      </c>
      <c r="G9639" s="21">
        <f t="shared" si="450"/>
        <v>13.18</v>
      </c>
      <c r="H9639" s="22">
        <v>0.96999999999999997</v>
      </c>
      <c r="I9639" s="23" t="str">
        <f t="shared" si="451"/>
        <v xml:space="preserve">COM VALOR</v>
      </c>
      <c r="J9639" s="19"/>
      <c r="L9639" s="21">
        <v>13.92</v>
      </c>
      <c r="M9639" s="22">
        <v>0</v>
      </c>
      <c r="N9639" s="21">
        <v>13.18</v>
      </c>
      <c r="O9639" s="22">
        <v>0</v>
      </c>
    </row>
    <row r="9640" ht="51">
      <c r="A9640" t="s">
        <v>9701</v>
      </c>
      <c r="B9640" s="19">
        <v>100247</v>
      </c>
      <c r="C9640" s="20" t="s">
        <v>9778</v>
      </c>
      <c r="D9640" s="19" t="s">
        <v>9719</v>
      </c>
      <c r="E9640" s="21">
        <f t="shared" si="449"/>
        <v>3.5299999999999998</v>
      </c>
      <c r="F9640" s="22">
        <v>0.95999999999999996</v>
      </c>
      <c r="G9640" s="21">
        <f t="shared" si="450"/>
        <v>3.3399999999999999</v>
      </c>
      <c r="H9640" s="22">
        <v>0.96999999999999997</v>
      </c>
      <c r="I9640" s="23" t="str">
        <f t="shared" si="451"/>
        <v xml:space="preserve">COM VALOR</v>
      </c>
      <c r="J9640" s="19"/>
      <c r="L9640" s="21">
        <v>3.5299999999999998</v>
      </c>
      <c r="M9640" s="22">
        <v>0</v>
      </c>
      <c r="N9640" s="21">
        <v>3.3399999999999999</v>
      </c>
      <c r="O9640" s="22">
        <v>0</v>
      </c>
    </row>
    <row r="9641" ht="51">
      <c r="A9641" t="s">
        <v>9701</v>
      </c>
      <c r="B9641" s="19">
        <v>100246</v>
      </c>
      <c r="C9641" s="20" t="s">
        <v>9779</v>
      </c>
      <c r="D9641" s="19" t="s">
        <v>9719</v>
      </c>
      <c r="E9641" s="21">
        <f t="shared" si="449"/>
        <v>2.8199999999999998</v>
      </c>
      <c r="F9641" s="22">
        <v>0.97999999999999998</v>
      </c>
      <c r="G9641" s="21">
        <f t="shared" si="450"/>
        <v>2.6699999999999999</v>
      </c>
      <c r="H9641" s="22">
        <v>0.97999999999999998</v>
      </c>
      <c r="I9641" s="23" t="str">
        <f t="shared" si="451"/>
        <v xml:space="preserve">COM VALOR</v>
      </c>
      <c r="J9641" s="19"/>
      <c r="L9641" s="21">
        <v>2.8199999999999998</v>
      </c>
      <c r="M9641" s="22">
        <v>0</v>
      </c>
      <c r="N9641" s="21">
        <v>2.6699999999999999</v>
      </c>
      <c r="O9641" s="22">
        <v>0</v>
      </c>
    </row>
    <row r="9642" ht="38.25">
      <c r="A9642" t="s">
        <v>9701</v>
      </c>
      <c r="B9642" s="19">
        <v>100255</v>
      </c>
      <c r="C9642" s="20" t="s">
        <v>9780</v>
      </c>
      <c r="D9642" s="19" t="s">
        <v>9719</v>
      </c>
      <c r="E9642" s="21">
        <f t="shared" si="449"/>
        <v>14.130000000000001</v>
      </c>
      <c r="F9642" s="22">
        <v>0.93000000000000005</v>
      </c>
      <c r="G9642" s="21">
        <f t="shared" si="450"/>
        <v>13.380000000000001</v>
      </c>
      <c r="H9642" s="22">
        <v>0.93999999999999995</v>
      </c>
      <c r="I9642" s="23" t="str">
        <f t="shared" si="451"/>
        <v xml:space="preserve">COM VALOR</v>
      </c>
      <c r="J9642" s="19"/>
      <c r="L9642" s="21">
        <v>14.130000000000001</v>
      </c>
      <c r="M9642" s="22">
        <v>0</v>
      </c>
      <c r="N9642" s="21">
        <v>13.380000000000001</v>
      </c>
      <c r="O9642" s="22">
        <v>0</v>
      </c>
    </row>
    <row r="9643" ht="38.25">
      <c r="A9643" t="s">
        <v>9701</v>
      </c>
      <c r="B9643" s="19">
        <v>100263</v>
      </c>
      <c r="C9643" s="20" t="s">
        <v>9781</v>
      </c>
      <c r="D9643" s="19" t="s">
        <v>9709</v>
      </c>
      <c r="E9643" s="21">
        <f t="shared" si="449"/>
        <v>2.29</v>
      </c>
      <c r="F9643" s="22">
        <v>0.93999999999999995</v>
      </c>
      <c r="G9643" s="21">
        <f t="shared" si="450"/>
        <v>2.1699999999999999</v>
      </c>
      <c r="H9643" s="22">
        <v>0.93999999999999995</v>
      </c>
      <c r="I9643" s="23" t="str">
        <f t="shared" si="451"/>
        <v xml:space="preserve">COM VALOR</v>
      </c>
      <c r="J9643" s="19"/>
      <c r="L9643" s="21">
        <v>2.29</v>
      </c>
      <c r="M9643" s="22">
        <v>0</v>
      </c>
      <c r="N9643" s="21">
        <v>2.1699999999999999</v>
      </c>
      <c r="O9643" s="22">
        <v>0</v>
      </c>
    </row>
    <row r="9644" ht="25.5">
      <c r="A9644" t="s">
        <v>9701</v>
      </c>
      <c r="B9644" s="19">
        <v>100260</v>
      </c>
      <c r="C9644" s="20" t="s">
        <v>9782</v>
      </c>
      <c r="D9644" s="19" t="s">
        <v>9709</v>
      </c>
      <c r="E9644" s="21">
        <f t="shared" si="449"/>
        <v>9.1699999999999999</v>
      </c>
      <c r="F9644" s="22">
        <v>0.93000000000000005</v>
      </c>
      <c r="G9644" s="21">
        <f t="shared" si="450"/>
        <v>8.6899999999999995</v>
      </c>
      <c r="H9644" s="22">
        <v>0.93999999999999995</v>
      </c>
      <c r="I9644" s="23" t="str">
        <f t="shared" si="451"/>
        <v xml:space="preserve">COM VALOR</v>
      </c>
      <c r="J9644" s="19"/>
      <c r="L9644" s="21">
        <v>9.1699999999999999</v>
      </c>
      <c r="M9644" s="22">
        <v>0</v>
      </c>
      <c r="N9644" s="21">
        <v>8.6899999999999995</v>
      </c>
      <c r="O9644" s="22">
        <v>0</v>
      </c>
    </row>
    <row r="9645" ht="25.5">
      <c r="A9645" t="s">
        <v>9701</v>
      </c>
      <c r="B9645" s="19">
        <v>100261</v>
      </c>
      <c r="C9645" s="20" t="s">
        <v>9783</v>
      </c>
      <c r="D9645" s="19" t="s">
        <v>9709</v>
      </c>
      <c r="E9645" s="21">
        <f t="shared" si="449"/>
        <v>5.7599999999999998</v>
      </c>
      <c r="F9645" s="22">
        <v>0.95999999999999996</v>
      </c>
      <c r="G9645" s="21">
        <f t="shared" si="450"/>
        <v>5.46</v>
      </c>
      <c r="H9645" s="22">
        <v>0.95999999999999996</v>
      </c>
      <c r="I9645" s="23" t="str">
        <f t="shared" si="451"/>
        <v xml:space="preserve">COM VALOR</v>
      </c>
      <c r="J9645" s="19"/>
      <c r="L9645" s="21">
        <v>5.7599999999999998</v>
      </c>
      <c r="M9645" s="22">
        <v>0</v>
      </c>
      <c r="N9645" s="21">
        <v>5.46</v>
      </c>
      <c r="O9645" s="22">
        <v>0</v>
      </c>
    </row>
    <row r="9646" ht="25.5">
      <c r="A9646" t="s">
        <v>9701</v>
      </c>
      <c r="B9646" s="19">
        <v>100262</v>
      </c>
      <c r="C9646" s="20" t="s">
        <v>9784</v>
      </c>
      <c r="D9646" s="19" t="s">
        <v>9709</v>
      </c>
      <c r="E9646" s="21">
        <f t="shared" si="449"/>
        <v>3.5699999999999998</v>
      </c>
      <c r="F9646" s="22">
        <v>0.94999999999999996</v>
      </c>
      <c r="G9646" s="21">
        <f t="shared" si="450"/>
        <v>3.3799999999999999</v>
      </c>
      <c r="H9646" s="22">
        <v>0.94999999999999996</v>
      </c>
      <c r="I9646" s="23" t="str">
        <f t="shared" si="451"/>
        <v xml:space="preserve">COM VALOR</v>
      </c>
      <c r="J9646" s="19"/>
      <c r="L9646" s="21">
        <v>3.5699999999999998</v>
      </c>
      <c r="M9646" s="22">
        <v>0</v>
      </c>
      <c r="N9646" s="21">
        <v>3.3799999999999999</v>
      </c>
      <c r="O9646" s="22">
        <v>0</v>
      </c>
    </row>
    <row r="9647" ht="25.5">
      <c r="A9647" t="s">
        <v>9701</v>
      </c>
      <c r="B9647" s="19">
        <v>100271</v>
      </c>
      <c r="C9647" s="20" t="s">
        <v>9785</v>
      </c>
      <c r="D9647" s="19" t="s">
        <v>9707</v>
      </c>
      <c r="E9647" s="21">
        <f t="shared" si="449"/>
        <v>66.480000000000004</v>
      </c>
      <c r="F9647" s="22">
        <v>0.93999999999999995</v>
      </c>
      <c r="G9647" s="21">
        <f t="shared" si="450"/>
        <v>62.939999999999998</v>
      </c>
      <c r="H9647" s="22">
        <v>0.93999999999999995</v>
      </c>
      <c r="I9647" s="23" t="str">
        <f t="shared" si="451"/>
        <v xml:space="preserve">COM VALOR</v>
      </c>
      <c r="J9647" s="19"/>
      <c r="L9647" s="21">
        <v>66.480000000000004</v>
      </c>
      <c r="M9647" s="22">
        <v>0</v>
      </c>
      <c r="N9647" s="21">
        <v>62.939999999999998</v>
      </c>
      <c r="O9647" s="22">
        <v>0</v>
      </c>
    </row>
    <row r="9648" ht="25.5">
      <c r="A9648" t="s">
        <v>9701</v>
      </c>
      <c r="B9648" s="19">
        <v>100258</v>
      </c>
      <c r="C9648" s="20" t="s">
        <v>9786</v>
      </c>
      <c r="D9648" s="19" t="s">
        <v>9719</v>
      </c>
      <c r="E9648" s="21">
        <f t="shared" si="449"/>
        <v>14.130000000000001</v>
      </c>
      <c r="F9648" s="22">
        <v>0.94999999999999996</v>
      </c>
      <c r="G9648" s="21">
        <f t="shared" si="450"/>
        <v>13.380000000000001</v>
      </c>
      <c r="H9648" s="22">
        <v>0.95999999999999996</v>
      </c>
      <c r="I9648" s="23" t="str">
        <f t="shared" si="451"/>
        <v xml:space="preserve">COM VALOR</v>
      </c>
      <c r="J9648" s="19"/>
      <c r="L9648" s="21">
        <v>14.130000000000001</v>
      </c>
      <c r="M9648" s="22">
        <v>0</v>
      </c>
      <c r="N9648" s="21">
        <v>13.380000000000001</v>
      </c>
      <c r="O9648" s="22">
        <v>0</v>
      </c>
    </row>
    <row r="9649" ht="25.5">
      <c r="A9649" t="s">
        <v>9701</v>
      </c>
      <c r="B9649" s="19">
        <v>100259</v>
      </c>
      <c r="C9649" s="20" t="s">
        <v>9787</v>
      </c>
      <c r="D9649" s="19" t="s">
        <v>9719</v>
      </c>
      <c r="E9649" s="21">
        <f t="shared" si="449"/>
        <v>27.84</v>
      </c>
      <c r="F9649" s="22">
        <v>0.93999999999999995</v>
      </c>
      <c r="G9649" s="21">
        <f t="shared" si="450"/>
        <v>26.359999999999999</v>
      </c>
      <c r="H9649" s="22">
        <v>0.94999999999999996</v>
      </c>
      <c r="I9649" s="23" t="str">
        <f t="shared" si="451"/>
        <v xml:space="preserve">COM VALOR</v>
      </c>
      <c r="J9649" s="19"/>
      <c r="L9649" s="21">
        <v>27.84</v>
      </c>
      <c r="M9649" s="22">
        <v>0</v>
      </c>
      <c r="N9649" s="21">
        <v>26.359999999999999</v>
      </c>
      <c r="O9649" s="22">
        <v>0</v>
      </c>
    </row>
    <row r="9650" ht="25.5">
      <c r="A9650" t="s">
        <v>9701</v>
      </c>
      <c r="B9650" s="19">
        <v>100279</v>
      </c>
      <c r="C9650" s="20" t="s">
        <v>9788</v>
      </c>
      <c r="D9650" s="19" t="s">
        <v>31</v>
      </c>
      <c r="E9650" s="21">
        <f t="shared" si="449"/>
        <v>0.81999999999999995</v>
      </c>
      <c r="F9650" s="22">
        <v>0.95999999999999996</v>
      </c>
      <c r="G9650" s="21">
        <f t="shared" si="450"/>
        <v>0.77000000000000002</v>
      </c>
      <c r="H9650" s="22">
        <v>0.96999999999999997</v>
      </c>
      <c r="I9650" s="23" t="str">
        <f t="shared" si="451"/>
        <v xml:space="preserve">COM VALOR</v>
      </c>
      <c r="J9650" s="19"/>
      <c r="L9650" s="21">
        <v>0.81999999999999995</v>
      </c>
      <c r="M9650" s="22">
        <v>0</v>
      </c>
      <c r="N9650" s="21">
        <v>0.77000000000000002</v>
      </c>
      <c r="O9650" s="22">
        <v>0</v>
      </c>
    </row>
    <row r="9651" ht="25.5">
      <c r="A9651" t="s">
        <v>9701</v>
      </c>
      <c r="B9651" s="19">
        <v>100233</v>
      </c>
      <c r="C9651" s="20" t="s">
        <v>9789</v>
      </c>
      <c r="D9651" s="19" t="s">
        <v>31</v>
      </c>
      <c r="E9651" s="21">
        <f t="shared" si="449"/>
        <v>0.19</v>
      </c>
      <c r="F9651" s="22">
        <v>0.95999999999999996</v>
      </c>
      <c r="G9651" s="21">
        <f t="shared" si="450"/>
        <v>0.17999999999999999</v>
      </c>
      <c r="H9651" s="22">
        <v>0.96999999999999997</v>
      </c>
      <c r="I9651" s="23" t="str">
        <f t="shared" si="451"/>
        <v xml:space="preserve">COM VALOR</v>
      </c>
      <c r="J9651" s="19"/>
      <c r="L9651" s="21">
        <v>0.19</v>
      </c>
      <c r="M9651" s="22">
        <v>0</v>
      </c>
      <c r="N9651" s="21">
        <v>0.17999999999999999</v>
      </c>
      <c r="O9651" s="22">
        <v>0</v>
      </c>
    </row>
    <row r="9652" ht="38.25">
      <c r="A9652" t="s">
        <v>9701</v>
      </c>
      <c r="B9652" s="19">
        <v>100232</v>
      </c>
      <c r="C9652" s="20" t="s">
        <v>9790</v>
      </c>
      <c r="D9652" s="19" t="s">
        <v>31</v>
      </c>
      <c r="E9652" s="21">
        <f t="shared" si="449"/>
        <v>0.39000000000000001</v>
      </c>
      <c r="F9652" s="22">
        <v>0.96999999999999997</v>
      </c>
      <c r="G9652" s="21">
        <f t="shared" si="450"/>
        <v>0.37</v>
      </c>
      <c r="H9652" s="22">
        <v>0.96999999999999997</v>
      </c>
      <c r="I9652" s="23" t="str">
        <f t="shared" si="451"/>
        <v xml:space="preserve">COM VALOR</v>
      </c>
      <c r="J9652" s="19"/>
      <c r="L9652" s="21">
        <v>0.39000000000000001</v>
      </c>
      <c r="M9652" s="22">
        <v>0</v>
      </c>
      <c r="N9652" s="21">
        <v>0.37</v>
      </c>
      <c r="O9652" s="22">
        <v>0</v>
      </c>
    </row>
    <row r="9653" ht="25.5">
      <c r="A9653" t="s">
        <v>9701</v>
      </c>
      <c r="B9653" s="19">
        <v>100234</v>
      </c>
      <c r="C9653" s="20" t="s">
        <v>9791</v>
      </c>
      <c r="D9653" s="19" t="s">
        <v>29</v>
      </c>
      <c r="E9653" s="21">
        <f t="shared" si="449"/>
        <v>0.57999999999999996</v>
      </c>
      <c r="F9653" s="22">
        <v>0.95999999999999996</v>
      </c>
      <c r="G9653" s="21">
        <f t="shared" si="450"/>
        <v>0.55000000000000004</v>
      </c>
      <c r="H9653" s="22">
        <v>0.96999999999999997</v>
      </c>
      <c r="I9653" s="23" t="str">
        <f t="shared" si="451"/>
        <v xml:space="preserve">COM VALOR</v>
      </c>
      <c r="J9653" s="19"/>
      <c r="L9653" s="21">
        <v>0.57999999999999996</v>
      </c>
      <c r="M9653" s="22">
        <v>0</v>
      </c>
      <c r="N9653" s="21">
        <v>0.55000000000000004</v>
      </c>
      <c r="O9653" s="22">
        <v>0</v>
      </c>
    </row>
    <row r="9654" ht="25.5">
      <c r="A9654" t="s">
        <v>9701</v>
      </c>
      <c r="B9654" s="19">
        <v>100265</v>
      </c>
      <c r="C9654" s="20" t="s">
        <v>9792</v>
      </c>
      <c r="D9654" s="19" t="s">
        <v>29</v>
      </c>
      <c r="E9654" s="21">
        <f t="shared" si="449"/>
        <v>0.87</v>
      </c>
      <c r="F9654" s="22">
        <v>0.97999999999999998</v>
      </c>
      <c r="G9654" s="21">
        <f t="shared" si="450"/>
        <v>0.81999999999999995</v>
      </c>
      <c r="H9654" s="22">
        <v>0.97999999999999998</v>
      </c>
      <c r="I9654" s="23" t="str">
        <f t="shared" si="451"/>
        <v xml:space="preserve">COM VALOR</v>
      </c>
      <c r="J9654" s="19"/>
      <c r="L9654" s="21">
        <v>0.87</v>
      </c>
      <c r="M9654" s="22">
        <v>0</v>
      </c>
      <c r="N9654" s="21">
        <v>0.81999999999999995</v>
      </c>
      <c r="O9654" s="22">
        <v>0</v>
      </c>
    </row>
    <row r="9655" ht="25.5">
      <c r="A9655" t="s">
        <v>9701</v>
      </c>
      <c r="B9655" s="19">
        <v>100235</v>
      </c>
      <c r="C9655" s="20" t="s">
        <v>9793</v>
      </c>
      <c r="D9655" s="19" t="s">
        <v>9794</v>
      </c>
      <c r="E9655" s="21">
        <f t="shared" si="449"/>
        <v>4.0000000000000001e-002</v>
      </c>
      <c r="F9655" s="22">
        <v>0.96999999999999997</v>
      </c>
      <c r="G9655" s="21">
        <f t="shared" si="450"/>
        <v>4.0000000000000001e-002</v>
      </c>
      <c r="H9655" s="22">
        <v>0.96999999999999997</v>
      </c>
      <c r="I9655" s="23" t="str">
        <f t="shared" si="451"/>
        <v xml:space="preserve">COM VALOR</v>
      </c>
      <c r="J9655" s="19"/>
      <c r="L9655" s="21">
        <v>4.0000000000000001e-002</v>
      </c>
      <c r="M9655" s="22">
        <v>0</v>
      </c>
      <c r="N9655" s="21">
        <v>4.0000000000000001e-002</v>
      </c>
      <c r="O9655" s="22">
        <v>0</v>
      </c>
    </row>
    <row r="9656" ht="25.5">
      <c r="A9656" t="s">
        <v>9701</v>
      </c>
      <c r="B9656" s="19">
        <v>100267</v>
      </c>
      <c r="C9656" s="20" t="s">
        <v>9795</v>
      </c>
      <c r="D9656" s="19" t="s">
        <v>31</v>
      </c>
      <c r="E9656" s="21">
        <f t="shared" si="449"/>
        <v>1.75</v>
      </c>
      <c r="F9656" s="22">
        <v>0.97999999999999998</v>
      </c>
      <c r="G9656" s="21">
        <f t="shared" si="450"/>
        <v>1.6599999999999999</v>
      </c>
      <c r="H9656" s="22">
        <v>0.97999999999999998</v>
      </c>
      <c r="I9656" s="23" t="str">
        <f t="shared" si="451"/>
        <v xml:space="preserve">COM VALOR</v>
      </c>
      <c r="J9656" s="19"/>
      <c r="L9656" s="21">
        <v>1.75</v>
      </c>
      <c r="M9656" s="22">
        <v>0</v>
      </c>
      <c r="N9656" s="21">
        <v>1.6599999999999999</v>
      </c>
      <c r="O9656" s="22">
        <v>0</v>
      </c>
    </row>
    <row r="9657" ht="25.5">
      <c r="A9657" t="s">
        <v>9701</v>
      </c>
      <c r="B9657" s="19">
        <v>100231</v>
      </c>
      <c r="C9657" s="20" t="s">
        <v>9796</v>
      </c>
      <c r="D9657" s="19" t="s">
        <v>302</v>
      </c>
      <c r="E9657" s="21">
        <f t="shared" si="449"/>
        <v>4.0000000000000001e-002</v>
      </c>
      <c r="F9657" s="22">
        <v>0.96999999999999997</v>
      </c>
      <c r="G9657" s="21">
        <f t="shared" si="450"/>
        <v>2.9999999999999999e-002</v>
      </c>
      <c r="H9657" s="22">
        <v>0.96999999999999997</v>
      </c>
      <c r="I9657" s="23" t="str">
        <f t="shared" si="451"/>
        <v xml:space="preserve">COM VALOR</v>
      </c>
      <c r="J9657" s="19"/>
      <c r="L9657" s="21">
        <v>4.0000000000000001e-002</v>
      </c>
      <c r="M9657" s="22">
        <v>0</v>
      </c>
      <c r="N9657" s="21">
        <v>2.9999999999999999e-002</v>
      </c>
      <c r="O9657" s="22">
        <v>0</v>
      </c>
    </row>
    <row r="9658" ht="25.5">
      <c r="A9658" t="s">
        <v>9701</v>
      </c>
      <c r="B9658" s="19">
        <v>100230</v>
      </c>
      <c r="C9658" s="20" t="s">
        <v>9797</v>
      </c>
      <c r="D9658" s="19" t="s">
        <v>302</v>
      </c>
      <c r="E9658" s="21">
        <f t="shared" si="449"/>
        <v>2.e-002</v>
      </c>
      <c r="F9658" s="22">
        <v>0.97999999999999998</v>
      </c>
      <c r="G9658" s="21">
        <f t="shared" si="450"/>
        <v>2.e-002</v>
      </c>
      <c r="H9658" s="22">
        <v>0.98999999999999999</v>
      </c>
      <c r="I9658" s="23" t="str">
        <f t="shared" si="451"/>
        <v xml:space="preserve">COM VALOR</v>
      </c>
      <c r="J9658" s="19"/>
      <c r="L9658" s="21">
        <v>2.e-002</v>
      </c>
      <c r="M9658" s="22">
        <v>0</v>
      </c>
      <c r="N9658" s="21">
        <v>2.e-002</v>
      </c>
      <c r="O9658" s="22">
        <v>0</v>
      </c>
    </row>
    <row r="9659" ht="25.5">
      <c r="A9659" t="s">
        <v>9701</v>
      </c>
      <c r="B9659" s="19">
        <v>100229</v>
      </c>
      <c r="C9659" s="20" t="s">
        <v>9798</v>
      </c>
      <c r="D9659" s="19" t="s">
        <v>302</v>
      </c>
      <c r="E9659" s="21">
        <f t="shared" si="449"/>
        <v>1.e-002</v>
      </c>
      <c r="F9659" s="22"/>
      <c r="G9659" s="21">
        <f t="shared" si="450"/>
        <v>1.e-002</v>
      </c>
      <c r="H9659" s="22"/>
      <c r="I9659" s="23" t="str">
        <f t="shared" si="451"/>
        <v xml:space="preserve">COM VALOR</v>
      </c>
      <c r="J9659" s="19"/>
      <c r="L9659" s="21">
        <v>1.e-002</v>
      </c>
      <c r="M9659" s="22">
        <v>0</v>
      </c>
      <c r="N9659" s="21">
        <v>1.e-002</v>
      </c>
      <c r="O9659" s="22">
        <v>0</v>
      </c>
    </row>
    <row r="9660" ht="25.5">
      <c r="A9660" t="s">
        <v>9701</v>
      </c>
      <c r="B9660" s="19">
        <v>100272</v>
      </c>
      <c r="C9660" s="20" t="s">
        <v>9799</v>
      </c>
      <c r="D9660" s="19" t="s">
        <v>29</v>
      </c>
      <c r="E9660" s="21">
        <f t="shared" si="449"/>
        <v>1.3100000000000001</v>
      </c>
      <c r="F9660" s="22"/>
      <c r="G9660" s="21">
        <f t="shared" si="450"/>
        <v>1.24</v>
      </c>
      <c r="H9660" s="22"/>
      <c r="I9660" s="23" t="str">
        <f t="shared" si="451"/>
        <v xml:space="preserve">COM VALOR</v>
      </c>
      <c r="J9660" s="19"/>
      <c r="L9660" s="21">
        <v>1.3100000000000001</v>
      </c>
      <c r="M9660" s="22">
        <v>0</v>
      </c>
      <c r="N9660" s="21">
        <v>1.24</v>
      </c>
      <c r="O9660" s="22">
        <v>0</v>
      </c>
    </row>
    <row r="9661" ht="38.25">
      <c r="A9661" t="s">
        <v>9701</v>
      </c>
      <c r="B9661" s="19">
        <v>100269</v>
      </c>
      <c r="C9661" s="20" t="s">
        <v>9800</v>
      </c>
      <c r="D9661" s="19" t="s">
        <v>31</v>
      </c>
      <c r="E9661" s="21">
        <f t="shared" si="449"/>
        <v>1.75</v>
      </c>
      <c r="F9661" s="22"/>
      <c r="G9661" s="21">
        <f t="shared" si="450"/>
        <v>1.6599999999999999</v>
      </c>
      <c r="H9661" s="22"/>
      <c r="I9661" s="23" t="str">
        <f t="shared" si="451"/>
        <v xml:space="preserve">COM VALOR</v>
      </c>
      <c r="J9661" s="19"/>
      <c r="L9661" s="21">
        <v>1.75</v>
      </c>
      <c r="M9661" s="22">
        <v>0</v>
      </c>
      <c r="N9661" s="21">
        <v>1.6599999999999999</v>
      </c>
      <c r="O9661" s="22">
        <v>0</v>
      </c>
    </row>
    <row r="9662" ht="25.5">
      <c r="A9662" t="s">
        <v>9801</v>
      </c>
      <c r="B9662" s="19">
        <v>100986</v>
      </c>
      <c r="C9662" s="20" t="s">
        <v>9802</v>
      </c>
      <c r="D9662" s="19" t="s">
        <v>121</v>
      </c>
      <c r="E9662" s="21">
        <f t="shared" si="449"/>
        <v>9.7899999999999991</v>
      </c>
      <c r="F9662" s="22"/>
      <c r="G9662" s="21">
        <f t="shared" si="450"/>
        <v>9.7100000000000009</v>
      </c>
      <c r="H9662" s="22"/>
      <c r="I9662" s="23" t="str">
        <f t="shared" si="451"/>
        <v xml:space="preserve">COM VALOR</v>
      </c>
      <c r="J9662" s="19"/>
      <c r="L9662" s="21">
        <v>9.7899999999999991</v>
      </c>
      <c r="M9662" s="22">
        <v>0.38</v>
      </c>
      <c r="N9662" s="21">
        <v>9.7100000000000009</v>
      </c>
      <c r="O9662" s="22">
        <v>0.39000000000000001</v>
      </c>
    </row>
    <row r="9663" ht="25.5">
      <c r="A9663" t="s">
        <v>9801</v>
      </c>
      <c r="B9663" s="19">
        <v>101002</v>
      </c>
      <c r="C9663" s="20" t="s">
        <v>9803</v>
      </c>
      <c r="D9663" s="19" t="s">
        <v>9591</v>
      </c>
      <c r="E9663" s="21">
        <f t="shared" si="449"/>
        <v>6.5199999999999996</v>
      </c>
      <c r="F9663" s="22"/>
      <c r="G9663" s="21">
        <f t="shared" si="450"/>
        <v>6.4699999999999998</v>
      </c>
      <c r="H9663" s="22"/>
      <c r="I9663" s="23" t="str">
        <f t="shared" si="451"/>
        <v xml:space="preserve">COM VALOR</v>
      </c>
      <c r="J9663" s="19"/>
      <c r="L9663" s="21">
        <v>6.5199999999999996</v>
      </c>
      <c r="M9663" s="22">
        <v>0.38500000000000001</v>
      </c>
      <c r="N9663" s="21">
        <v>6.4699999999999998</v>
      </c>
      <c r="O9663" s="22">
        <v>0.39000000000000001</v>
      </c>
    </row>
    <row r="9664" ht="25.5">
      <c r="A9664" t="s">
        <v>9801</v>
      </c>
      <c r="B9664" s="19">
        <v>100987</v>
      </c>
      <c r="C9664" s="20" t="s">
        <v>9804</v>
      </c>
      <c r="D9664" s="19" t="s">
        <v>121</v>
      </c>
      <c r="E9664" s="21">
        <f t="shared" si="449"/>
        <v>11.16</v>
      </c>
      <c r="F9664" s="22"/>
      <c r="G9664" s="21">
        <f t="shared" si="450"/>
        <v>11.09</v>
      </c>
      <c r="H9664" s="22"/>
      <c r="I9664" s="23" t="str">
        <f t="shared" si="451"/>
        <v xml:space="preserve">COM VALOR</v>
      </c>
      <c r="J9664" s="19"/>
      <c r="L9664" s="21">
        <v>11.16</v>
      </c>
      <c r="M9664" s="22">
        <v>0.12</v>
      </c>
      <c r="N9664" s="21">
        <v>11.09</v>
      </c>
      <c r="O9664" s="22">
        <v>0.12</v>
      </c>
    </row>
    <row r="9665" ht="25.5">
      <c r="A9665" t="s">
        <v>9801</v>
      </c>
      <c r="B9665" s="19">
        <v>101003</v>
      </c>
      <c r="C9665" s="20" t="s">
        <v>9805</v>
      </c>
      <c r="D9665" s="19" t="s">
        <v>9591</v>
      </c>
      <c r="E9665" s="21">
        <f t="shared" si="449"/>
        <v>7.4299999999999997</v>
      </c>
      <c r="F9665" s="22"/>
      <c r="G9665" s="21">
        <f t="shared" si="450"/>
        <v>7.3899999999999997</v>
      </c>
      <c r="H9665" s="22"/>
      <c r="I9665" s="23" t="str">
        <f t="shared" si="451"/>
        <v xml:space="preserve">COM VALOR</v>
      </c>
      <c r="J9665" s="19"/>
      <c r="L9665" s="21">
        <v>7.4299999999999997</v>
      </c>
      <c r="M9665" s="22">
        <v>0.1225</v>
      </c>
      <c r="N9665" s="21">
        <v>7.3899999999999997</v>
      </c>
      <c r="O9665" s="22">
        <v>0.12</v>
      </c>
    </row>
    <row r="9666" ht="25.5">
      <c r="A9666" t="s">
        <v>9801</v>
      </c>
      <c r="B9666" s="19">
        <v>100988</v>
      </c>
      <c r="C9666" s="20" t="s">
        <v>9806</v>
      </c>
      <c r="D9666" s="19" t="s">
        <v>121</v>
      </c>
      <c r="E9666" s="21">
        <f t="shared" si="449"/>
        <v>11.869999999999999</v>
      </c>
      <c r="F9666" s="22"/>
      <c r="G9666" s="21">
        <f t="shared" si="450"/>
        <v>11.789999999999999</v>
      </c>
      <c r="H9666" s="22"/>
      <c r="I9666" s="23" t="str">
        <f t="shared" si="451"/>
        <v xml:space="preserve">COM VALOR</v>
      </c>
      <c r="J9666" s="19"/>
      <c r="L9666" s="21">
        <v>11.869999999999999</v>
      </c>
      <c r="M9666" s="22">
        <v>0.13</v>
      </c>
      <c r="N9666" s="21">
        <v>11.789999999999999</v>
      </c>
      <c r="O9666" s="22">
        <v>0.13</v>
      </c>
    </row>
    <row r="9667" ht="25.5">
      <c r="A9667" t="s">
        <v>9801</v>
      </c>
      <c r="B9667" s="19">
        <v>101004</v>
      </c>
      <c r="C9667" s="20" t="s">
        <v>9807</v>
      </c>
      <c r="D9667" s="19" t="s">
        <v>9591</v>
      </c>
      <c r="E9667" s="21">
        <f t="shared" si="449"/>
        <v>7.9100000000000001</v>
      </c>
      <c r="F9667" s="22"/>
      <c r="G9667" s="21">
        <f t="shared" si="450"/>
        <v>7.8600000000000003</v>
      </c>
      <c r="H9667" s="22"/>
      <c r="I9667" s="23" t="str">
        <f t="shared" si="451"/>
        <v xml:space="preserve">COM VALOR</v>
      </c>
      <c r="J9667" s="19"/>
      <c r="L9667" s="21">
        <v>7.9100000000000001</v>
      </c>
      <c r="M9667" s="22">
        <v>0.13</v>
      </c>
      <c r="N9667" s="21">
        <v>7.8600000000000003</v>
      </c>
      <c r="O9667" s="22">
        <v>0.13</v>
      </c>
    </row>
    <row r="9668" ht="25.5">
      <c r="A9668" t="s">
        <v>9801</v>
      </c>
      <c r="B9668" s="19">
        <v>100985</v>
      </c>
      <c r="C9668" s="20" t="s">
        <v>9808</v>
      </c>
      <c r="D9668" s="19" t="s">
        <v>121</v>
      </c>
      <c r="E9668" s="21">
        <f t="shared" si="449"/>
        <v>7.9900000000000002</v>
      </c>
      <c r="F9668" s="22"/>
      <c r="G9668" s="21">
        <f t="shared" si="450"/>
        <v>7.8899999999999997</v>
      </c>
      <c r="H9668" s="22"/>
      <c r="I9668" s="23" t="str">
        <f t="shared" si="451"/>
        <v xml:space="preserve">COM VALOR</v>
      </c>
      <c r="J9668" s="19"/>
      <c r="L9668" s="21">
        <v>7.9900000000000002</v>
      </c>
      <c r="M9668" s="22">
        <v>0.42999999999999999</v>
      </c>
      <c r="N9668" s="21">
        <v>7.8899999999999997</v>
      </c>
      <c r="O9668" s="22">
        <v>0.42999999999999999</v>
      </c>
    </row>
    <row r="9669" ht="25.5">
      <c r="A9669" t="s">
        <v>9801</v>
      </c>
      <c r="B9669" s="19">
        <v>101001</v>
      </c>
      <c r="C9669" s="20" t="s">
        <v>9809</v>
      </c>
      <c r="D9669" s="19" t="s">
        <v>9591</v>
      </c>
      <c r="E9669" s="21">
        <f t="shared" si="449"/>
        <v>5.3200000000000003</v>
      </c>
      <c r="F9669" s="22"/>
      <c r="G9669" s="21">
        <f t="shared" si="450"/>
        <v>5.2599999999999998</v>
      </c>
      <c r="H9669" s="22"/>
      <c r="I9669" s="23" t="str">
        <f t="shared" si="451"/>
        <v xml:space="preserve">COM VALOR</v>
      </c>
      <c r="J9669" s="19"/>
      <c r="L9669" s="21">
        <v>5.3200000000000003</v>
      </c>
      <c r="M9669" s="22">
        <v>0.42999999999999999</v>
      </c>
      <c r="N9669" s="21">
        <v>5.2599999999999998</v>
      </c>
      <c r="O9669" s="22">
        <v>0.42999999999999999</v>
      </c>
    </row>
    <row r="9670" ht="12.75">
      <c r="A9670" t="s">
        <v>9801</v>
      </c>
      <c r="B9670" s="19">
        <v>101008</v>
      </c>
      <c r="C9670" s="20" t="s">
        <v>9810</v>
      </c>
      <c r="D9670" s="19" t="s">
        <v>121</v>
      </c>
      <c r="E9670" s="21">
        <f t="shared" si="449"/>
        <v>10.08</v>
      </c>
      <c r="F9670" s="22"/>
      <c r="G9670" s="21">
        <f t="shared" si="450"/>
        <v>10.029999999999999</v>
      </c>
      <c r="H9670" s="22"/>
      <c r="I9670" s="23" t="str">
        <f t="shared" si="451"/>
        <v xml:space="preserve">COM VALOR</v>
      </c>
      <c r="J9670" s="19"/>
      <c r="L9670" s="21">
        <v>10.08</v>
      </c>
      <c r="M9670" s="22">
        <v>0.32000000000000001</v>
      </c>
      <c r="N9670" s="21">
        <v>10.029999999999999</v>
      </c>
      <c r="O9670" s="22">
        <v>0.32000000000000001</v>
      </c>
    </row>
    <row r="9671" ht="12.75">
      <c r="A9671" t="s">
        <v>9801</v>
      </c>
      <c r="B9671" s="19">
        <v>106708</v>
      </c>
      <c r="C9671" s="20" t="s">
        <v>9811</v>
      </c>
      <c r="D9671" s="19" t="s">
        <v>121</v>
      </c>
      <c r="E9671" s="21">
        <f t="shared" si="449"/>
        <v>6.9299999999999997</v>
      </c>
      <c r="F9671" s="22"/>
      <c r="G9671" s="21">
        <f t="shared" si="450"/>
        <v>6.8899999999999997</v>
      </c>
      <c r="H9671" s="22"/>
      <c r="I9671" s="23" t="str">
        <f t="shared" si="451"/>
        <v xml:space="preserve">COM VALOR</v>
      </c>
      <c r="J9671" s="19"/>
      <c r="L9671" s="21">
        <v>6.9299999999999997</v>
      </c>
      <c r="M9671" s="22">
        <v>0.34999999999999998</v>
      </c>
      <c r="N9671" s="21">
        <v>6.8899999999999997</v>
      </c>
      <c r="O9671" s="22">
        <v>0.34999999999999998</v>
      </c>
    </row>
    <row r="9672" ht="12.75">
      <c r="A9672" t="s">
        <v>9801</v>
      </c>
      <c r="B9672" s="19">
        <v>101007</v>
      </c>
      <c r="C9672" s="20" t="s">
        <v>9812</v>
      </c>
      <c r="D9672" s="19" t="s">
        <v>121</v>
      </c>
      <c r="E9672" s="21">
        <f t="shared" si="449"/>
        <v>12.449999999999999</v>
      </c>
      <c r="F9672" s="22"/>
      <c r="G9672" s="21">
        <f t="shared" si="450"/>
        <v>12.359999999999999</v>
      </c>
      <c r="H9672" s="22"/>
      <c r="I9672" s="23" t="str">
        <f t="shared" si="451"/>
        <v xml:space="preserve">COM VALOR</v>
      </c>
      <c r="J9672" s="19"/>
      <c r="L9672" s="21">
        <v>12.449999999999999</v>
      </c>
      <c r="M9672" s="22">
        <v>0.28000000000000003</v>
      </c>
      <c r="N9672" s="21">
        <v>12.359999999999999</v>
      </c>
      <c r="O9672" s="22">
        <v>0.28000000000000003</v>
      </c>
    </row>
    <row r="9673" ht="25.5">
      <c r="A9673" t="s">
        <v>9801</v>
      </c>
      <c r="B9673" s="19">
        <v>106711</v>
      </c>
      <c r="C9673" s="20" t="s">
        <v>9813</v>
      </c>
      <c r="D9673" s="19" t="s">
        <v>121</v>
      </c>
      <c r="E9673" s="21" t="str">
        <f t="shared" si="449"/>
        <v>VERIFICAR</v>
      </c>
      <c r="F9673" s="22"/>
      <c r="G9673" s="21" t="str">
        <f t="shared" si="450"/>
        <v>VERIFICAR</v>
      </c>
      <c r="H9673" s="22"/>
      <c r="I9673" s="23" t="str">
        <f t="shared" si="451"/>
        <v xml:space="preserve">COM VALOR</v>
      </c>
      <c r="J9673" s="19"/>
      <c r="L9673" s="21">
        <v>0</v>
      </c>
      <c r="M9673" s="22"/>
      <c r="N9673" s="21">
        <v>0</v>
      </c>
      <c r="O9673" s="22"/>
    </row>
    <row r="9674" ht="38.25">
      <c r="A9674" t="s">
        <v>9801</v>
      </c>
      <c r="B9674" s="19">
        <v>106709</v>
      </c>
      <c r="C9674" s="20" t="s">
        <v>9814</v>
      </c>
      <c r="D9674" s="19" t="s">
        <v>9591</v>
      </c>
      <c r="E9674" s="21" t="str">
        <f t="shared" si="449"/>
        <v>VERIFICAR</v>
      </c>
      <c r="F9674" s="22"/>
      <c r="G9674" s="21" t="str">
        <f t="shared" si="450"/>
        <v>VERIFICAR</v>
      </c>
      <c r="H9674" s="22"/>
      <c r="I9674" s="23" t="str">
        <f t="shared" si="451"/>
        <v xml:space="preserve">COM VALOR</v>
      </c>
      <c r="J9674" s="19"/>
      <c r="L9674" s="21">
        <v>0</v>
      </c>
      <c r="M9674" s="22"/>
      <c r="N9674" s="21">
        <v>0</v>
      </c>
      <c r="O9674" s="22"/>
    </row>
    <row r="9675" ht="38.25">
      <c r="A9675" t="s">
        <v>9801</v>
      </c>
      <c r="B9675" s="19">
        <v>106710</v>
      </c>
      <c r="C9675" s="20" t="s">
        <v>9815</v>
      </c>
      <c r="D9675" s="19" t="s">
        <v>9591</v>
      </c>
      <c r="E9675" s="21" t="str">
        <f t="shared" ref="E9675:E9738" si="452">IF(L9675=0,"VERIFICAR",L9675)</f>
        <v>VERIFICAR</v>
      </c>
      <c r="F9675" s="22"/>
      <c r="G9675" s="21" t="str">
        <f t="shared" ref="G9675:G9738" si="453">IF(N9675=0,"VERIFICAR",N9675)</f>
        <v>VERIFICAR</v>
      </c>
      <c r="H9675" s="22"/>
      <c r="I9675" s="23" t="str">
        <f t="shared" ref="I9675:I9738" si="454">IF(OR(E9675=0,G9675=0),"SEM VALOR","COM VALOR")</f>
        <v xml:space="preserve">COM VALOR</v>
      </c>
      <c r="J9675" s="19"/>
      <c r="L9675" s="21">
        <v>0</v>
      </c>
      <c r="M9675" s="22"/>
      <c r="N9675" s="21">
        <v>0</v>
      </c>
      <c r="O9675" s="22"/>
    </row>
    <row r="9676" ht="38.25">
      <c r="A9676" t="s">
        <v>9801</v>
      </c>
      <c r="B9676" s="19">
        <v>100982</v>
      </c>
      <c r="C9676" s="20" t="s">
        <v>9816</v>
      </c>
      <c r="D9676" s="19" t="s">
        <v>121</v>
      </c>
      <c r="E9676" s="21">
        <f t="shared" si="452"/>
        <v>9.4700000000000006</v>
      </c>
      <c r="F9676" s="22"/>
      <c r="G9676" s="21">
        <f t="shared" si="453"/>
        <v>9.3800000000000008</v>
      </c>
      <c r="H9676" s="22"/>
      <c r="I9676" s="23" t="str">
        <f t="shared" si="454"/>
        <v xml:space="preserve">COM VALOR</v>
      </c>
      <c r="J9676" s="19"/>
      <c r="L9676" s="21">
        <v>9.4700000000000006</v>
      </c>
      <c r="M9676" s="22">
        <v>0.28000000000000003</v>
      </c>
      <c r="N9676" s="21">
        <v>9.3800000000000008</v>
      </c>
      <c r="O9676" s="22">
        <v>0.28000000000000003</v>
      </c>
    </row>
    <row r="9677" ht="38.25">
      <c r="A9677" t="s">
        <v>9801</v>
      </c>
      <c r="B9677" s="19">
        <v>100998</v>
      </c>
      <c r="C9677" s="20" t="s">
        <v>9817</v>
      </c>
      <c r="D9677" s="19" t="s">
        <v>9591</v>
      </c>
      <c r="E9677" s="21">
        <f t="shared" si="452"/>
        <v>6.3099999999999996</v>
      </c>
      <c r="F9677" s="22"/>
      <c r="G9677" s="21">
        <f t="shared" si="453"/>
        <v>6.25</v>
      </c>
      <c r="H9677" s="22"/>
      <c r="I9677" s="23" t="str">
        <f t="shared" si="454"/>
        <v xml:space="preserve">COM VALOR</v>
      </c>
      <c r="J9677" s="19"/>
      <c r="L9677" s="21">
        <v>6.3099999999999996</v>
      </c>
      <c r="M9677" s="22">
        <v>0.28000000000000003</v>
      </c>
      <c r="N9677" s="21">
        <v>6.25</v>
      </c>
      <c r="O9677" s="22">
        <v>0.28000000000000003</v>
      </c>
    </row>
    <row r="9678" ht="38.25">
      <c r="A9678" t="s">
        <v>9801</v>
      </c>
      <c r="B9678" s="19">
        <v>100983</v>
      </c>
      <c r="C9678" s="20" t="s">
        <v>9818</v>
      </c>
      <c r="D9678" s="19" t="s">
        <v>121</v>
      </c>
      <c r="E9678" s="21">
        <f t="shared" si="452"/>
        <v>9.4499999999999993</v>
      </c>
      <c r="F9678" s="22"/>
      <c r="G9678" s="21">
        <f t="shared" si="453"/>
        <v>9.3699999999999992</v>
      </c>
      <c r="H9678" s="22"/>
      <c r="I9678" s="23" t="str">
        <f t="shared" si="454"/>
        <v xml:space="preserve">COM VALOR</v>
      </c>
      <c r="J9678" s="19"/>
      <c r="L9678" s="21">
        <v>9.4499999999999993</v>
      </c>
      <c r="M9678" s="22">
        <v>8.9999999999999997e-002</v>
      </c>
      <c r="N9678" s="21">
        <v>9.3699999999999992</v>
      </c>
      <c r="O9678" s="22">
        <v>8.9999999999999997e-002</v>
      </c>
    </row>
    <row r="9679" ht="38.25">
      <c r="A9679" t="s">
        <v>9801</v>
      </c>
      <c r="B9679" s="19">
        <v>100999</v>
      </c>
      <c r="C9679" s="20" t="s">
        <v>9819</v>
      </c>
      <c r="D9679" s="19" t="s">
        <v>9591</v>
      </c>
      <c r="E9679" s="21">
        <f t="shared" si="452"/>
        <v>6.2999999999999998</v>
      </c>
      <c r="F9679" s="22"/>
      <c r="G9679" s="21">
        <f t="shared" si="453"/>
        <v>6.2400000000000002</v>
      </c>
      <c r="H9679" s="22"/>
      <c r="I9679" s="23" t="str">
        <f t="shared" si="454"/>
        <v xml:space="preserve">COM VALOR</v>
      </c>
      <c r="J9679" s="19"/>
      <c r="L9679" s="21">
        <v>6.2999999999999998</v>
      </c>
      <c r="M9679" s="22">
        <v>8.9999999999999997e-002</v>
      </c>
      <c r="N9679" s="21">
        <v>6.2400000000000002</v>
      </c>
      <c r="O9679" s="22">
        <v>8.9999999999999997e-002</v>
      </c>
    </row>
    <row r="9680" ht="38.25">
      <c r="A9680" t="s">
        <v>9801</v>
      </c>
      <c r="B9680" s="19">
        <v>100984</v>
      </c>
      <c r="C9680" s="20" t="s">
        <v>9820</v>
      </c>
      <c r="D9680" s="19" t="s">
        <v>121</v>
      </c>
      <c r="E9680" s="21">
        <f t="shared" si="452"/>
        <v>9.2699999999999996</v>
      </c>
      <c r="F9680" s="22"/>
      <c r="G9680" s="21">
        <f t="shared" si="453"/>
        <v>9.1999999999999993</v>
      </c>
      <c r="H9680" s="22"/>
      <c r="I9680" s="23" t="str">
        <f t="shared" si="454"/>
        <v xml:space="preserve">COM VALOR</v>
      </c>
      <c r="J9680" s="19"/>
      <c r="L9680" s="21">
        <v>9.2699999999999996</v>
      </c>
      <c r="M9680" s="22">
        <v>0.10000000000000001</v>
      </c>
      <c r="N9680" s="21">
        <v>9.1999999999999993</v>
      </c>
      <c r="O9680" s="22">
        <v>0.10000000000000001</v>
      </c>
    </row>
    <row r="9681" ht="38.25">
      <c r="A9681" t="s">
        <v>9801</v>
      </c>
      <c r="B9681" s="19">
        <v>101000</v>
      </c>
      <c r="C9681" s="20" t="s">
        <v>9821</v>
      </c>
      <c r="D9681" s="19" t="s">
        <v>9591</v>
      </c>
      <c r="E9681" s="21">
        <f t="shared" si="452"/>
        <v>6.1799999999999997</v>
      </c>
      <c r="F9681" s="22"/>
      <c r="G9681" s="21">
        <f t="shared" si="453"/>
        <v>6.1299999999999999</v>
      </c>
      <c r="H9681" s="22"/>
      <c r="I9681" s="23" t="str">
        <f t="shared" si="454"/>
        <v xml:space="preserve">COM VALOR</v>
      </c>
      <c r="J9681" s="19"/>
      <c r="L9681" s="21">
        <v>6.1799999999999997</v>
      </c>
      <c r="M9681" s="22">
        <v>0.10000000000000001</v>
      </c>
      <c r="N9681" s="21">
        <v>6.1299999999999999</v>
      </c>
      <c r="O9681" s="22">
        <v>0.10000000000000001</v>
      </c>
    </row>
    <row r="9682" ht="38.25">
      <c r="A9682" t="s">
        <v>9801</v>
      </c>
      <c r="B9682" s="19">
        <v>100981</v>
      </c>
      <c r="C9682" s="20" t="s">
        <v>9822</v>
      </c>
      <c r="D9682" s="19" t="s">
        <v>121</v>
      </c>
      <c r="E9682" s="21">
        <f t="shared" si="452"/>
        <v>9.7400000000000002</v>
      </c>
      <c r="F9682" s="22"/>
      <c r="G9682" s="21">
        <f t="shared" si="453"/>
        <v>9.6099999999999994</v>
      </c>
      <c r="H9682" s="22"/>
      <c r="I9682" s="23" t="str">
        <f t="shared" si="454"/>
        <v xml:space="preserve">COM VALOR</v>
      </c>
      <c r="J9682" s="19"/>
      <c r="L9682" s="21">
        <v>9.7400000000000002</v>
      </c>
      <c r="M9682" s="22">
        <v>0.28999999999999998</v>
      </c>
      <c r="N9682" s="21">
        <v>9.6099999999999994</v>
      </c>
      <c r="O9682" s="22">
        <v>0.28999999999999998</v>
      </c>
    </row>
    <row r="9683" ht="38.25">
      <c r="A9683" t="s">
        <v>9801</v>
      </c>
      <c r="B9683" s="19">
        <v>100997</v>
      </c>
      <c r="C9683" s="20" t="s">
        <v>9823</v>
      </c>
      <c r="D9683" s="19" t="s">
        <v>9591</v>
      </c>
      <c r="E9683" s="21">
        <f t="shared" si="452"/>
        <v>6.4900000000000002</v>
      </c>
      <c r="F9683" s="22"/>
      <c r="G9683" s="21">
        <f t="shared" si="453"/>
        <v>6.4100000000000001</v>
      </c>
      <c r="H9683" s="22"/>
      <c r="I9683" s="23" t="str">
        <f t="shared" si="454"/>
        <v xml:space="preserve">COM VALOR</v>
      </c>
      <c r="J9683" s="19"/>
      <c r="L9683" s="21">
        <v>6.4900000000000002</v>
      </c>
      <c r="M9683" s="22">
        <v>0.28999999999999998</v>
      </c>
      <c r="N9683" s="21">
        <v>6.4100000000000001</v>
      </c>
      <c r="O9683" s="22">
        <v>0.28999999999999998</v>
      </c>
    </row>
    <row r="9684" ht="25.5">
      <c r="A9684" t="s">
        <v>9801</v>
      </c>
      <c r="B9684" s="19">
        <v>101010</v>
      </c>
      <c r="C9684" s="20" t="s">
        <v>9824</v>
      </c>
      <c r="D9684" s="19" t="s">
        <v>9591</v>
      </c>
      <c r="E9684" s="21">
        <f t="shared" si="452"/>
        <v>28.91</v>
      </c>
      <c r="F9684" s="22"/>
      <c r="G9684" s="21">
        <f t="shared" si="453"/>
        <v>28.699999999999999</v>
      </c>
      <c r="H9684" s="22"/>
      <c r="I9684" s="23" t="str">
        <f t="shared" si="454"/>
        <v xml:space="preserve">COM VALOR</v>
      </c>
      <c r="J9684" s="19"/>
      <c r="L9684" s="21">
        <v>28.91</v>
      </c>
      <c r="M9684" s="22">
        <v>0.33000000000000002</v>
      </c>
      <c r="N9684" s="21">
        <v>28.699999999999999</v>
      </c>
      <c r="O9684" s="22">
        <v>0.33000000000000002</v>
      </c>
    </row>
    <row r="9685" ht="25.5">
      <c r="A9685" t="s">
        <v>9801</v>
      </c>
      <c r="B9685" s="19">
        <v>106721</v>
      </c>
      <c r="C9685" s="20" t="s">
        <v>9825</v>
      </c>
      <c r="D9685" s="19" t="s">
        <v>9591</v>
      </c>
      <c r="E9685" s="21">
        <f t="shared" si="452"/>
        <v>32.609999999999999</v>
      </c>
      <c r="F9685" s="22"/>
      <c r="G9685" s="21">
        <f t="shared" si="453"/>
        <v>32.409999999999997</v>
      </c>
      <c r="H9685" s="22"/>
      <c r="I9685" s="23" t="str">
        <f t="shared" si="454"/>
        <v xml:space="preserve">COM VALOR</v>
      </c>
      <c r="J9685" s="19"/>
      <c r="L9685" s="21">
        <v>32.609999999999999</v>
      </c>
      <c r="M9685" s="22">
        <v>0.44</v>
      </c>
      <c r="N9685" s="21">
        <v>32.409999999999997</v>
      </c>
      <c r="O9685" s="22">
        <v>0.44</v>
      </c>
    </row>
    <row r="9686" ht="25.5">
      <c r="A9686" t="s">
        <v>9801</v>
      </c>
      <c r="B9686" s="19">
        <v>101009</v>
      </c>
      <c r="C9686" s="20" t="s">
        <v>9826</v>
      </c>
      <c r="D9686" s="19" t="s">
        <v>9591</v>
      </c>
      <c r="E9686" s="21">
        <f t="shared" si="452"/>
        <v>45.759999999999998</v>
      </c>
      <c r="F9686" s="22"/>
      <c r="G9686" s="21">
        <f t="shared" si="453"/>
        <v>45.43</v>
      </c>
      <c r="H9686" s="22"/>
      <c r="I9686" s="23" t="str">
        <f t="shared" si="454"/>
        <v xml:space="preserve">COM VALOR</v>
      </c>
      <c r="J9686" s="19"/>
      <c r="L9686" s="21">
        <v>45.759999999999998</v>
      </c>
      <c r="M9686" s="22">
        <v>0.33000000000000002</v>
      </c>
      <c r="N9686" s="21">
        <v>45.43</v>
      </c>
      <c r="O9686" s="22">
        <v>0.33000000000000002</v>
      </c>
    </row>
    <row r="9687" ht="25.5">
      <c r="A9687" t="s">
        <v>9801</v>
      </c>
      <c r="B9687" s="19">
        <v>106720</v>
      </c>
      <c r="C9687" s="20" t="s">
        <v>9827</v>
      </c>
      <c r="D9687" s="19" t="s">
        <v>9591</v>
      </c>
      <c r="E9687" s="21">
        <f t="shared" si="452"/>
        <v>52.460000000000001</v>
      </c>
      <c r="F9687" s="22"/>
      <c r="G9687" s="21">
        <f t="shared" si="453"/>
        <v>52.140000000000001</v>
      </c>
      <c r="H9687" s="22"/>
      <c r="I9687" s="23" t="str">
        <f t="shared" si="454"/>
        <v xml:space="preserve">COM VALOR</v>
      </c>
      <c r="J9687" s="19"/>
      <c r="L9687" s="21">
        <v>52.460000000000001</v>
      </c>
      <c r="M9687" s="22">
        <v>0.44</v>
      </c>
      <c r="N9687" s="21">
        <v>52.140000000000001</v>
      </c>
      <c r="O9687" s="22">
        <v>0.44</v>
      </c>
    </row>
    <row r="9688" ht="51">
      <c r="A9688" t="s">
        <v>9801</v>
      </c>
      <c r="B9688" s="19">
        <v>100978</v>
      </c>
      <c r="C9688" s="20" t="s">
        <v>9828</v>
      </c>
      <c r="D9688" s="19" t="s">
        <v>121</v>
      </c>
      <c r="E9688" s="21">
        <f t="shared" si="452"/>
        <v>7.2699999999999996</v>
      </c>
      <c r="F9688" s="22"/>
      <c r="G9688" s="21">
        <f t="shared" si="453"/>
        <v>7.1900000000000004</v>
      </c>
      <c r="H9688" s="22"/>
      <c r="I9688" s="23" t="str">
        <f t="shared" si="454"/>
        <v xml:space="preserve">COM VALOR</v>
      </c>
      <c r="J9688" s="19"/>
      <c r="L9688" s="21">
        <v>7.2699999999999996</v>
      </c>
      <c r="M9688" s="22">
        <v>0.28999999999999998</v>
      </c>
      <c r="N9688" s="21">
        <v>7.1900000000000004</v>
      </c>
      <c r="O9688" s="22">
        <v>0.28999999999999998</v>
      </c>
    </row>
    <row r="9689" ht="51">
      <c r="A9689" t="s">
        <v>9801</v>
      </c>
      <c r="B9689" s="19">
        <v>100994</v>
      </c>
      <c r="C9689" s="20" t="s">
        <v>9829</v>
      </c>
      <c r="D9689" s="19" t="s">
        <v>9591</v>
      </c>
      <c r="E9689" s="21">
        <f t="shared" si="452"/>
        <v>4.8300000000000001</v>
      </c>
      <c r="F9689" s="22"/>
      <c r="G9689" s="21">
        <f t="shared" si="453"/>
        <v>4.79</v>
      </c>
      <c r="H9689" s="22"/>
      <c r="I9689" s="23" t="str">
        <f t="shared" si="454"/>
        <v xml:space="preserve">COM VALOR</v>
      </c>
      <c r="J9689" s="19"/>
      <c r="L9689" s="21">
        <v>4.8300000000000001</v>
      </c>
      <c r="M9689" s="22">
        <v>0.28999999999999998</v>
      </c>
      <c r="N9689" s="21">
        <v>4.79</v>
      </c>
      <c r="O9689" s="22">
        <v>0.28999999999999998</v>
      </c>
    </row>
    <row r="9690" ht="51">
      <c r="A9690" t="s">
        <v>9801</v>
      </c>
      <c r="B9690" s="19">
        <v>100974</v>
      </c>
      <c r="C9690" s="20" t="s">
        <v>9830</v>
      </c>
      <c r="D9690" s="19" t="s">
        <v>121</v>
      </c>
      <c r="E9690" s="21">
        <f t="shared" si="452"/>
        <v>8.2799999999999994</v>
      </c>
      <c r="F9690" s="22"/>
      <c r="G9690" s="21">
        <f t="shared" si="453"/>
        <v>8.1999999999999993</v>
      </c>
      <c r="H9690" s="22"/>
      <c r="I9690" s="23" t="str">
        <f t="shared" si="454"/>
        <v xml:space="preserve">COM VALOR</v>
      </c>
      <c r="J9690" s="19"/>
      <c r="L9690" s="21">
        <v>8.2799999999999994</v>
      </c>
      <c r="M9690" s="22">
        <v>0.29999999999999999</v>
      </c>
      <c r="N9690" s="21">
        <v>8.1999999999999993</v>
      </c>
      <c r="O9690" s="22">
        <v>0.29999999999999999</v>
      </c>
    </row>
    <row r="9691" ht="51">
      <c r="A9691" t="s">
        <v>9801</v>
      </c>
      <c r="B9691" s="19">
        <v>100990</v>
      </c>
      <c r="C9691" s="20" t="s">
        <v>9831</v>
      </c>
      <c r="D9691" s="19" t="s">
        <v>9591</v>
      </c>
      <c r="E9691" s="21">
        <f t="shared" si="452"/>
        <v>5.5199999999999996</v>
      </c>
      <c r="F9691" s="22"/>
      <c r="G9691" s="21">
        <f t="shared" si="453"/>
        <v>5.46</v>
      </c>
      <c r="H9691" s="22"/>
      <c r="I9691" s="23" t="str">
        <f t="shared" si="454"/>
        <v xml:space="preserve">COM VALOR</v>
      </c>
      <c r="J9691" s="19"/>
      <c r="L9691" s="21">
        <v>5.5199999999999996</v>
      </c>
      <c r="M9691" s="22">
        <v>0.29999999999999999</v>
      </c>
      <c r="N9691" s="21">
        <v>5.46</v>
      </c>
      <c r="O9691" s="22">
        <v>0.29999999999999999</v>
      </c>
    </row>
    <row r="9692" ht="51">
      <c r="A9692" t="s">
        <v>9801</v>
      </c>
      <c r="B9692" s="19">
        <v>100979</v>
      </c>
      <c r="C9692" s="20" t="s">
        <v>9832</v>
      </c>
      <c r="D9692" s="19" t="s">
        <v>121</v>
      </c>
      <c r="E9692" s="21">
        <f t="shared" si="452"/>
        <v>6.9400000000000004</v>
      </c>
      <c r="F9692" s="22"/>
      <c r="G9692" s="21">
        <f t="shared" si="453"/>
        <v>6.8799999999999999</v>
      </c>
      <c r="H9692" s="22"/>
      <c r="I9692" s="23" t="str">
        <f t="shared" si="454"/>
        <v xml:space="preserve">COM VALOR</v>
      </c>
      <c r="J9692" s="19"/>
      <c r="L9692" s="21">
        <v>6.9400000000000004</v>
      </c>
      <c r="M9692" s="22">
        <v>0.10000000000000001</v>
      </c>
      <c r="N9692" s="21">
        <v>6.8799999999999999</v>
      </c>
      <c r="O9692" s="22">
        <v>0.10000000000000001</v>
      </c>
    </row>
    <row r="9693" ht="51">
      <c r="A9693" t="s">
        <v>9801</v>
      </c>
      <c r="B9693" s="19">
        <v>100995</v>
      </c>
      <c r="C9693" s="20" t="s">
        <v>9833</v>
      </c>
      <c r="D9693" s="19" t="s">
        <v>9591</v>
      </c>
      <c r="E9693" s="21">
        <f t="shared" si="452"/>
        <v>4.6200000000000001</v>
      </c>
      <c r="F9693" s="22"/>
      <c r="G9693" s="21">
        <f t="shared" si="453"/>
        <v>4.5700000000000003</v>
      </c>
      <c r="H9693" s="22"/>
      <c r="I9693" s="23" t="str">
        <f t="shared" si="454"/>
        <v xml:space="preserve">COM VALOR</v>
      </c>
      <c r="J9693" s="19"/>
      <c r="L9693" s="21">
        <v>4.6200000000000001</v>
      </c>
      <c r="M9693" s="22">
        <v>8.9999999999999997e-002</v>
      </c>
      <c r="N9693" s="21">
        <v>4.5700000000000003</v>
      </c>
      <c r="O9693" s="22">
        <v>8.9999999999999997e-002</v>
      </c>
    </row>
    <row r="9694" ht="51">
      <c r="A9694" t="s">
        <v>9801</v>
      </c>
      <c r="B9694" s="19">
        <v>100975</v>
      </c>
      <c r="C9694" s="20" t="s">
        <v>9834</v>
      </c>
      <c r="D9694" s="19" t="s">
        <v>121</v>
      </c>
      <c r="E9694" s="21">
        <f t="shared" si="452"/>
        <v>8.2100000000000009</v>
      </c>
      <c r="F9694" s="22"/>
      <c r="G9694" s="21">
        <f t="shared" si="453"/>
        <v>8.1500000000000004</v>
      </c>
      <c r="H9694" s="22"/>
      <c r="I9694" s="23" t="str">
        <f t="shared" si="454"/>
        <v xml:space="preserve">COM VALOR</v>
      </c>
      <c r="J9694" s="19"/>
      <c r="L9694" s="21">
        <v>8.2100000000000009</v>
      </c>
      <c r="M9694" s="22">
        <v>0.10000000000000001</v>
      </c>
      <c r="N9694" s="21">
        <v>8.1500000000000004</v>
      </c>
      <c r="O9694" s="22">
        <v>0.10000000000000001</v>
      </c>
    </row>
    <row r="9695" ht="51">
      <c r="A9695" t="s">
        <v>9801</v>
      </c>
      <c r="B9695" s="19">
        <v>100991</v>
      </c>
      <c r="C9695" s="20" t="s">
        <v>9835</v>
      </c>
      <c r="D9695" s="19" t="s">
        <v>9591</v>
      </c>
      <c r="E9695" s="21">
        <f t="shared" si="452"/>
        <v>5.4699999999999998</v>
      </c>
      <c r="F9695" s="22"/>
      <c r="G9695" s="21">
        <f t="shared" si="453"/>
        <v>5.4199999999999999</v>
      </c>
      <c r="H9695" s="22"/>
      <c r="I9695" s="23" t="str">
        <f t="shared" si="454"/>
        <v xml:space="preserve">COM VALOR</v>
      </c>
      <c r="J9695" s="19"/>
      <c r="L9695" s="21">
        <v>5.4699999999999998</v>
      </c>
      <c r="M9695" s="22">
        <v>0.10000000000000001</v>
      </c>
      <c r="N9695" s="21">
        <v>5.4199999999999999</v>
      </c>
      <c r="O9695" s="22">
        <v>0.10000000000000001</v>
      </c>
    </row>
    <row r="9696" ht="51">
      <c r="A9696" t="s">
        <v>9801</v>
      </c>
      <c r="B9696" s="19">
        <v>100980</v>
      </c>
      <c r="C9696" s="20" t="s">
        <v>9836</v>
      </c>
      <c r="D9696" s="19" t="s">
        <v>121</v>
      </c>
      <c r="E9696" s="21">
        <f t="shared" si="452"/>
        <v>6.5899999999999999</v>
      </c>
      <c r="F9696" s="22"/>
      <c r="G9696" s="21">
        <f t="shared" si="453"/>
        <v>6.5300000000000002</v>
      </c>
      <c r="H9696" s="22"/>
      <c r="I9696" s="23" t="str">
        <f t="shared" si="454"/>
        <v xml:space="preserve">COM VALOR</v>
      </c>
      <c r="J9696" s="19"/>
      <c r="L9696" s="21">
        <v>6.5899999999999999</v>
      </c>
      <c r="M9696" s="22">
        <v>0.10000000000000001</v>
      </c>
      <c r="N9696" s="21">
        <v>6.5300000000000002</v>
      </c>
      <c r="O9696" s="22">
        <v>0.10000000000000001</v>
      </c>
    </row>
    <row r="9697" ht="51">
      <c r="A9697" t="s">
        <v>9801</v>
      </c>
      <c r="B9697" s="19">
        <v>100996</v>
      </c>
      <c r="C9697" s="20" t="s">
        <v>9837</v>
      </c>
      <c r="D9697" s="19" t="s">
        <v>9591</v>
      </c>
      <c r="E9697" s="21">
        <f t="shared" si="452"/>
        <v>4.3799999999999999</v>
      </c>
      <c r="F9697" s="22"/>
      <c r="G9697" s="21">
        <f t="shared" si="453"/>
        <v>4.3399999999999999</v>
      </c>
      <c r="H9697" s="22"/>
      <c r="I9697" s="23" t="str">
        <f t="shared" si="454"/>
        <v xml:space="preserve">COM VALOR</v>
      </c>
      <c r="J9697" s="19"/>
      <c r="L9697" s="21">
        <v>4.3799999999999999</v>
      </c>
      <c r="M9697" s="22">
        <v>0.10000000000000001</v>
      </c>
      <c r="N9697" s="21">
        <v>4.3399999999999999</v>
      </c>
      <c r="O9697" s="22">
        <v>0.10000000000000001</v>
      </c>
    </row>
    <row r="9698" ht="51">
      <c r="A9698" t="s">
        <v>9801</v>
      </c>
      <c r="B9698" s="19">
        <v>100976</v>
      </c>
      <c r="C9698" s="20" t="s">
        <v>9838</v>
      </c>
      <c r="D9698" s="19" t="s">
        <v>121</v>
      </c>
      <c r="E9698" s="21">
        <f t="shared" si="452"/>
        <v>8</v>
      </c>
      <c r="F9698" s="22"/>
      <c r="G9698" s="21">
        <f t="shared" si="453"/>
        <v>7.9500000000000002</v>
      </c>
      <c r="H9698" s="22"/>
      <c r="I9698" s="23" t="str">
        <f t="shared" si="454"/>
        <v xml:space="preserve">COM VALOR</v>
      </c>
      <c r="J9698" s="19"/>
      <c r="L9698" s="21">
        <v>8</v>
      </c>
      <c r="M9698" s="22">
        <v>0.10000000000000001</v>
      </c>
      <c r="N9698" s="21">
        <v>7.9500000000000002</v>
      </c>
      <c r="O9698" s="22">
        <v>0.10000000000000001</v>
      </c>
    </row>
    <row r="9699" ht="51">
      <c r="A9699" t="s">
        <v>9801</v>
      </c>
      <c r="B9699" s="19">
        <v>100992</v>
      </c>
      <c r="C9699" s="20" t="s">
        <v>9839</v>
      </c>
      <c r="D9699" s="19" t="s">
        <v>9591</v>
      </c>
      <c r="E9699" s="21">
        <f t="shared" si="452"/>
        <v>5.3200000000000003</v>
      </c>
      <c r="F9699" s="22"/>
      <c r="G9699" s="21">
        <f t="shared" si="453"/>
        <v>5.2800000000000002</v>
      </c>
      <c r="H9699" s="22"/>
      <c r="I9699" s="23" t="str">
        <f t="shared" si="454"/>
        <v xml:space="preserve">COM VALOR</v>
      </c>
      <c r="J9699" s="19"/>
      <c r="L9699" s="21">
        <v>5.3200000000000003</v>
      </c>
      <c r="M9699" s="22">
        <v>0.10000000000000001</v>
      </c>
      <c r="N9699" s="21">
        <v>5.2800000000000002</v>
      </c>
      <c r="O9699" s="22">
        <v>0.10000000000000001</v>
      </c>
    </row>
    <row r="9700" ht="51">
      <c r="A9700" t="s">
        <v>9801</v>
      </c>
      <c r="B9700" s="19">
        <v>100977</v>
      </c>
      <c r="C9700" s="20" t="s">
        <v>9840</v>
      </c>
      <c r="D9700" s="19" t="s">
        <v>121</v>
      </c>
      <c r="E9700" s="21">
        <f t="shared" si="452"/>
        <v>7.9800000000000004</v>
      </c>
      <c r="F9700" s="22"/>
      <c r="G9700" s="21">
        <f t="shared" si="453"/>
        <v>7.8700000000000001</v>
      </c>
      <c r="H9700" s="22"/>
      <c r="I9700" s="23" t="str">
        <f t="shared" si="454"/>
        <v xml:space="preserve">COM VALOR</v>
      </c>
      <c r="J9700" s="19"/>
      <c r="L9700" s="21">
        <v>7.9800000000000004</v>
      </c>
      <c r="M9700" s="22">
        <v>0.29999999999999999</v>
      </c>
      <c r="N9700" s="21">
        <v>7.8700000000000001</v>
      </c>
      <c r="O9700" s="22">
        <v>0.31</v>
      </c>
    </row>
    <row r="9701" ht="51">
      <c r="A9701" t="s">
        <v>9801</v>
      </c>
      <c r="B9701" s="19">
        <v>100993</v>
      </c>
      <c r="C9701" s="20" t="s">
        <v>9841</v>
      </c>
      <c r="D9701" s="19" t="s">
        <v>9591</v>
      </c>
      <c r="E9701" s="21">
        <f t="shared" si="452"/>
        <v>5.3099999999999996</v>
      </c>
      <c r="F9701" s="22"/>
      <c r="G9701" s="21">
        <f t="shared" si="453"/>
        <v>5.2400000000000002</v>
      </c>
      <c r="H9701" s="22"/>
      <c r="I9701" s="23" t="str">
        <f t="shared" si="454"/>
        <v xml:space="preserve">COM VALOR</v>
      </c>
      <c r="J9701" s="19"/>
      <c r="L9701" s="21">
        <v>5.3099999999999996</v>
      </c>
      <c r="M9701" s="22">
        <v>0.31</v>
      </c>
      <c r="N9701" s="21">
        <v>5.2400000000000002</v>
      </c>
      <c r="O9701" s="22">
        <v>0.31</v>
      </c>
    </row>
    <row r="9702" ht="51">
      <c r="A9702" t="s">
        <v>9801</v>
      </c>
      <c r="B9702" s="19">
        <v>100973</v>
      </c>
      <c r="C9702" s="20" t="s">
        <v>9842</v>
      </c>
      <c r="D9702" s="19" t="s">
        <v>121</v>
      </c>
      <c r="E9702" s="21">
        <f t="shared" si="452"/>
        <v>8.5999999999999996</v>
      </c>
      <c r="F9702" s="22"/>
      <c r="G9702" s="21">
        <f t="shared" si="453"/>
        <v>8.4900000000000002</v>
      </c>
      <c r="H9702" s="22"/>
      <c r="I9702" s="23" t="str">
        <f t="shared" si="454"/>
        <v xml:space="preserve">COM VALOR</v>
      </c>
      <c r="J9702" s="19"/>
      <c r="L9702" s="21">
        <v>8.5999999999999996</v>
      </c>
      <c r="M9702" s="22">
        <v>0.32000000000000001</v>
      </c>
      <c r="N9702" s="21">
        <v>8.4900000000000002</v>
      </c>
      <c r="O9702" s="22">
        <v>0.32000000000000001</v>
      </c>
    </row>
    <row r="9703" ht="51">
      <c r="A9703" t="s">
        <v>9801</v>
      </c>
      <c r="B9703" s="19">
        <v>100989</v>
      </c>
      <c r="C9703" s="20" t="s">
        <v>9843</v>
      </c>
      <c r="D9703" s="19" t="s">
        <v>9591</v>
      </c>
      <c r="E9703" s="21">
        <f t="shared" si="452"/>
        <v>5.7199999999999998</v>
      </c>
      <c r="F9703" s="22"/>
      <c r="G9703" s="21">
        <f t="shared" si="453"/>
        <v>5.6500000000000004</v>
      </c>
      <c r="H9703" s="22"/>
      <c r="I9703" s="23" t="str">
        <f t="shared" si="454"/>
        <v xml:space="preserve">COM VALOR</v>
      </c>
      <c r="J9703" s="19"/>
      <c r="L9703" s="21">
        <v>5.7199999999999998</v>
      </c>
      <c r="M9703" s="22">
        <v>0.32000000000000001</v>
      </c>
      <c r="N9703" s="21">
        <v>5.6500000000000004</v>
      </c>
      <c r="O9703" s="22">
        <v>0.32000000000000001</v>
      </c>
    </row>
    <row r="9704" ht="38.25">
      <c r="A9704" t="s">
        <v>9801</v>
      </c>
      <c r="B9704" s="19">
        <v>101467</v>
      </c>
      <c r="C9704" s="20" t="s">
        <v>9844</v>
      </c>
      <c r="D9704" s="19" t="s">
        <v>9591</v>
      </c>
      <c r="E9704" s="21">
        <f t="shared" si="452"/>
        <v>21.109999999999999</v>
      </c>
      <c r="F9704" s="22"/>
      <c r="G9704" s="21">
        <f t="shared" si="453"/>
        <v>20.800000000000001</v>
      </c>
      <c r="H9704" s="22"/>
      <c r="I9704" s="23" t="str">
        <f t="shared" si="454"/>
        <v xml:space="preserve">COM VALOR</v>
      </c>
      <c r="J9704" s="19"/>
      <c r="L9704" s="21">
        <v>21.109999999999999</v>
      </c>
      <c r="M9704" s="22">
        <v>0.28000000000000003</v>
      </c>
      <c r="N9704" s="21">
        <v>20.800000000000001</v>
      </c>
      <c r="O9704" s="22">
        <v>0.28000000000000003</v>
      </c>
    </row>
    <row r="9705" ht="38.25">
      <c r="A9705" t="s">
        <v>9801</v>
      </c>
      <c r="B9705" s="19">
        <v>106729</v>
      </c>
      <c r="C9705" s="20" t="s">
        <v>9845</v>
      </c>
      <c r="D9705" s="19" t="s">
        <v>9591</v>
      </c>
      <c r="E9705" s="21">
        <f t="shared" si="452"/>
        <v>22.309999999999999</v>
      </c>
      <c r="F9705" s="22"/>
      <c r="G9705" s="21">
        <f t="shared" si="453"/>
        <v>22.02</v>
      </c>
      <c r="H9705" s="22"/>
      <c r="I9705" s="23" t="str">
        <f t="shared" si="454"/>
        <v xml:space="preserve">COM VALOR</v>
      </c>
      <c r="J9705" s="19"/>
      <c r="L9705" s="21">
        <v>22.309999999999999</v>
      </c>
      <c r="M9705" s="22">
        <v>0.37</v>
      </c>
      <c r="N9705" s="21">
        <v>22.02</v>
      </c>
      <c r="O9705" s="22">
        <v>0.38</v>
      </c>
    </row>
    <row r="9706" ht="38.25">
      <c r="A9706" t="s">
        <v>9801</v>
      </c>
      <c r="B9706" s="19">
        <v>101468</v>
      </c>
      <c r="C9706" s="20" t="s">
        <v>9846</v>
      </c>
      <c r="D9706" s="19" t="s">
        <v>9591</v>
      </c>
      <c r="E9706" s="21">
        <f t="shared" si="452"/>
        <v>19.219999999999999</v>
      </c>
      <c r="F9706" s="22"/>
      <c r="G9706" s="21">
        <f t="shared" si="453"/>
        <v>18.940000000000001</v>
      </c>
      <c r="H9706" s="22"/>
      <c r="I9706" s="23" t="str">
        <f t="shared" si="454"/>
        <v xml:space="preserve">COM VALOR</v>
      </c>
      <c r="J9706" s="19"/>
      <c r="L9706" s="21">
        <v>19.219999999999999</v>
      </c>
      <c r="M9706" s="22">
        <v>0.27000000000000002</v>
      </c>
      <c r="N9706" s="21">
        <v>18.940000000000001</v>
      </c>
      <c r="O9706" s="22">
        <v>0.28000000000000003</v>
      </c>
    </row>
    <row r="9707" ht="38.25">
      <c r="A9707" t="s">
        <v>9801</v>
      </c>
      <c r="B9707" s="19">
        <v>106730</v>
      </c>
      <c r="C9707" s="20" t="s">
        <v>9847</v>
      </c>
      <c r="D9707" s="19" t="s">
        <v>9591</v>
      </c>
      <c r="E9707" s="21">
        <f t="shared" si="452"/>
        <v>19.760000000000002</v>
      </c>
      <c r="F9707" s="22"/>
      <c r="G9707" s="21">
        <f t="shared" si="453"/>
        <v>19.510000000000002</v>
      </c>
      <c r="H9707" s="22"/>
      <c r="I9707" s="23" t="str">
        <f t="shared" si="454"/>
        <v xml:space="preserve">COM VALOR</v>
      </c>
      <c r="J9707" s="19"/>
      <c r="L9707" s="21">
        <v>19.760000000000002</v>
      </c>
      <c r="M9707" s="22">
        <v>0.375</v>
      </c>
      <c r="N9707" s="21">
        <v>19.510000000000002</v>
      </c>
      <c r="O9707" s="22">
        <v>0.38</v>
      </c>
    </row>
    <row r="9708" ht="38.25">
      <c r="A9708" t="s">
        <v>9801</v>
      </c>
      <c r="B9708" s="19">
        <v>101014</v>
      </c>
      <c r="C9708" s="20" t="s">
        <v>9848</v>
      </c>
      <c r="D9708" s="19" t="s">
        <v>9591</v>
      </c>
      <c r="E9708" s="21">
        <f t="shared" si="452"/>
        <v>48.979999999999997</v>
      </c>
      <c r="F9708" s="22"/>
      <c r="G9708" s="21">
        <f t="shared" si="453"/>
        <v>48.270000000000003</v>
      </c>
      <c r="H9708" s="22"/>
      <c r="I9708" s="23" t="str">
        <f t="shared" si="454"/>
        <v xml:space="preserve">COM VALOR</v>
      </c>
      <c r="J9708" s="19"/>
      <c r="L9708" s="21">
        <v>48.979999999999997</v>
      </c>
      <c r="M9708" s="22">
        <v>0.28000000000000003</v>
      </c>
      <c r="N9708" s="21">
        <v>48.270000000000003</v>
      </c>
      <c r="O9708" s="22">
        <v>0.28000000000000003</v>
      </c>
    </row>
    <row r="9709" ht="38.25">
      <c r="A9709" t="s">
        <v>9801</v>
      </c>
      <c r="B9709" s="19">
        <v>106723</v>
      </c>
      <c r="C9709" s="20" t="s">
        <v>9849</v>
      </c>
      <c r="D9709" s="19" t="s">
        <v>9591</v>
      </c>
      <c r="E9709" s="21">
        <f t="shared" si="452"/>
        <v>54.579999999999998</v>
      </c>
      <c r="F9709" s="22"/>
      <c r="G9709" s="21">
        <f t="shared" si="453"/>
        <v>53.880000000000003</v>
      </c>
      <c r="H9709" s="22"/>
      <c r="I9709" s="23" t="str">
        <f t="shared" si="454"/>
        <v xml:space="preserve">COM VALOR</v>
      </c>
      <c r="J9709" s="19"/>
      <c r="L9709" s="21">
        <v>54.579999999999998</v>
      </c>
      <c r="M9709" s="22">
        <v>0.38</v>
      </c>
      <c r="N9709" s="21">
        <v>53.880000000000003</v>
      </c>
      <c r="O9709" s="22">
        <v>0.38</v>
      </c>
    </row>
    <row r="9710" ht="38.25">
      <c r="A9710" t="s">
        <v>9801</v>
      </c>
      <c r="B9710" s="19">
        <v>101015</v>
      </c>
      <c r="C9710" s="20" t="s">
        <v>9850</v>
      </c>
      <c r="D9710" s="19" t="s">
        <v>9591</v>
      </c>
      <c r="E9710" s="21">
        <f t="shared" si="452"/>
        <v>40.159999999999997</v>
      </c>
      <c r="F9710" s="22"/>
      <c r="G9710" s="21">
        <f t="shared" si="453"/>
        <v>39.560000000000002</v>
      </c>
      <c r="H9710" s="22"/>
      <c r="I9710" s="23" t="str">
        <f t="shared" si="454"/>
        <v xml:space="preserve">COM VALOR</v>
      </c>
      <c r="J9710" s="19"/>
      <c r="L9710" s="21">
        <v>40.159999999999997</v>
      </c>
      <c r="M9710" s="22">
        <v>0.28000000000000003</v>
      </c>
      <c r="N9710" s="21">
        <v>39.560000000000002</v>
      </c>
      <c r="O9710" s="22">
        <v>0.28000000000000003</v>
      </c>
    </row>
    <row r="9711" ht="38.25">
      <c r="A9711" t="s">
        <v>9801</v>
      </c>
      <c r="B9711" s="19">
        <v>106724</v>
      </c>
      <c r="C9711" s="20" t="s">
        <v>9851</v>
      </c>
      <c r="D9711" s="19" t="s">
        <v>9591</v>
      </c>
      <c r="E9711" s="21">
        <f t="shared" si="452"/>
        <v>44.439999999999998</v>
      </c>
      <c r="F9711" s="22"/>
      <c r="G9711" s="21">
        <f t="shared" si="453"/>
        <v>43.880000000000003</v>
      </c>
      <c r="H9711" s="22"/>
      <c r="I9711" s="23" t="str">
        <f t="shared" si="454"/>
        <v xml:space="preserve">COM VALOR</v>
      </c>
      <c r="J9711" s="19"/>
      <c r="L9711" s="21">
        <v>44.439999999999998</v>
      </c>
      <c r="M9711" s="22">
        <v>0.38</v>
      </c>
      <c r="N9711" s="21">
        <v>43.880000000000003</v>
      </c>
      <c r="O9711" s="22">
        <v>0.38</v>
      </c>
    </row>
    <row r="9712" ht="38.25">
      <c r="A9712" t="s">
        <v>9801</v>
      </c>
      <c r="B9712" s="19">
        <v>101463</v>
      </c>
      <c r="C9712" s="20" t="s">
        <v>9852</v>
      </c>
      <c r="D9712" s="19" t="s">
        <v>9591</v>
      </c>
      <c r="E9712" s="21">
        <f t="shared" si="452"/>
        <v>53.670000000000002</v>
      </c>
      <c r="F9712" s="22"/>
      <c r="G9712" s="21">
        <f t="shared" si="453"/>
        <v>52.880000000000003</v>
      </c>
      <c r="H9712" s="22"/>
      <c r="I9712" s="23" t="str">
        <f t="shared" si="454"/>
        <v xml:space="preserve">COM VALOR</v>
      </c>
      <c r="J9712" s="19"/>
      <c r="L9712" s="21">
        <v>53.670000000000002</v>
      </c>
      <c r="M9712" s="22">
        <v>0.28000000000000003</v>
      </c>
      <c r="N9712" s="21">
        <v>52.880000000000003</v>
      </c>
      <c r="O9712" s="22">
        <v>0.28000000000000003</v>
      </c>
    </row>
    <row r="9713" ht="38.25">
      <c r="A9713" t="s">
        <v>9801</v>
      </c>
      <c r="B9713" s="19">
        <v>106725</v>
      </c>
      <c r="C9713" s="20" t="s">
        <v>9853</v>
      </c>
      <c r="D9713" s="19" t="s">
        <v>9591</v>
      </c>
      <c r="E9713" s="21">
        <f t="shared" si="452"/>
        <v>59.93</v>
      </c>
      <c r="F9713" s="22"/>
      <c r="G9713" s="21">
        <f t="shared" si="453"/>
        <v>59.170000000000002</v>
      </c>
      <c r="H9713" s="22"/>
      <c r="I9713" s="23" t="str">
        <f t="shared" si="454"/>
        <v xml:space="preserve">COM VALOR</v>
      </c>
      <c r="J9713" s="19"/>
      <c r="L9713" s="21">
        <v>59.93</v>
      </c>
      <c r="M9713" s="22">
        <v>0.38</v>
      </c>
      <c r="N9713" s="21">
        <v>59.170000000000002</v>
      </c>
      <c r="O9713" s="22">
        <v>0.38</v>
      </c>
    </row>
    <row r="9714" ht="38.25">
      <c r="A9714" t="s">
        <v>9801</v>
      </c>
      <c r="B9714" s="19">
        <v>101464</v>
      </c>
      <c r="C9714" s="20" t="s">
        <v>9854</v>
      </c>
      <c r="D9714" s="19" t="s">
        <v>9591</v>
      </c>
      <c r="E9714" s="21">
        <f t="shared" si="452"/>
        <v>41.100000000000001</v>
      </c>
      <c r="F9714" s="22"/>
      <c r="G9714" s="21">
        <f t="shared" si="453"/>
        <v>40.509999999999998</v>
      </c>
      <c r="H9714" s="22"/>
      <c r="I9714" s="23" t="str">
        <f t="shared" si="454"/>
        <v xml:space="preserve">COM VALOR</v>
      </c>
      <c r="J9714" s="19"/>
      <c r="L9714" s="21">
        <v>41.100000000000001</v>
      </c>
      <c r="M9714" s="22">
        <v>0.28000000000000003</v>
      </c>
      <c r="N9714" s="21">
        <v>40.509999999999998</v>
      </c>
      <c r="O9714" s="22">
        <v>0.28000000000000003</v>
      </c>
    </row>
    <row r="9715" ht="38.25">
      <c r="A9715" t="s">
        <v>9801</v>
      </c>
      <c r="B9715" s="19">
        <v>106726</v>
      </c>
      <c r="C9715" s="20" t="s">
        <v>9855</v>
      </c>
      <c r="D9715" s="19" t="s">
        <v>9591</v>
      </c>
      <c r="E9715" s="21">
        <f t="shared" si="452"/>
        <v>45.619999999999997</v>
      </c>
      <c r="F9715" s="22"/>
      <c r="G9715" s="21">
        <f t="shared" si="453"/>
        <v>45.030000000000001</v>
      </c>
      <c r="H9715" s="22"/>
      <c r="I9715" s="23" t="str">
        <f t="shared" si="454"/>
        <v xml:space="preserve">COM VALOR</v>
      </c>
      <c r="J9715" s="19"/>
      <c r="L9715" s="21">
        <v>45.619999999999997</v>
      </c>
      <c r="M9715" s="22">
        <v>0.38</v>
      </c>
      <c r="N9715" s="21">
        <v>45.030000000000001</v>
      </c>
      <c r="O9715" s="22">
        <v>0.38</v>
      </c>
    </row>
    <row r="9716" ht="38.25">
      <c r="A9716" t="s">
        <v>9801</v>
      </c>
      <c r="B9716" s="19">
        <v>101465</v>
      </c>
      <c r="C9716" s="20" t="s">
        <v>9856</v>
      </c>
      <c r="D9716" s="19" t="s">
        <v>9591</v>
      </c>
      <c r="E9716" s="21">
        <f t="shared" si="452"/>
        <v>31.300000000000001</v>
      </c>
      <c r="F9716" s="22"/>
      <c r="G9716" s="21">
        <f t="shared" si="453"/>
        <v>30.829999999999998</v>
      </c>
      <c r="H9716" s="22"/>
      <c r="I9716" s="23" t="str">
        <f t="shared" si="454"/>
        <v xml:space="preserve">COM VALOR</v>
      </c>
      <c r="J9716" s="19"/>
      <c r="L9716" s="21">
        <v>31.300000000000001</v>
      </c>
      <c r="M9716" s="22">
        <v>0.27000000000000002</v>
      </c>
      <c r="N9716" s="21">
        <v>30.829999999999998</v>
      </c>
      <c r="O9716" s="22">
        <v>0.28000000000000003</v>
      </c>
    </row>
    <row r="9717" ht="38.25">
      <c r="A9717" t="s">
        <v>9801</v>
      </c>
      <c r="B9717" s="19">
        <v>106727</v>
      </c>
      <c r="C9717" s="20" t="s">
        <v>9857</v>
      </c>
      <c r="D9717" s="19" t="s">
        <v>9591</v>
      </c>
      <c r="E9717" s="21">
        <f t="shared" si="452"/>
        <v>34.079999999999998</v>
      </c>
      <c r="F9717" s="22"/>
      <c r="G9717" s="21">
        <f t="shared" si="453"/>
        <v>33.649999999999999</v>
      </c>
      <c r="H9717" s="22"/>
      <c r="I9717" s="23" t="str">
        <f t="shared" si="454"/>
        <v xml:space="preserve">COM VALOR</v>
      </c>
      <c r="J9717" s="19"/>
      <c r="L9717" s="21">
        <v>34.079999999999998</v>
      </c>
      <c r="M9717" s="22">
        <v>0.375</v>
      </c>
      <c r="N9717" s="21">
        <v>33.649999999999999</v>
      </c>
      <c r="O9717" s="22">
        <v>0.38</v>
      </c>
    </row>
    <row r="9718" ht="38.25">
      <c r="A9718" t="s">
        <v>9801</v>
      </c>
      <c r="B9718" s="19">
        <v>101466</v>
      </c>
      <c r="C9718" s="20" t="s">
        <v>9858</v>
      </c>
      <c r="D9718" s="19" t="s">
        <v>9591</v>
      </c>
      <c r="E9718" s="21">
        <f t="shared" si="452"/>
        <v>25.359999999999999</v>
      </c>
      <c r="F9718" s="22"/>
      <c r="G9718" s="21">
        <f t="shared" si="453"/>
        <v>24.98</v>
      </c>
      <c r="H9718" s="22"/>
      <c r="I9718" s="23" t="str">
        <f t="shared" si="454"/>
        <v xml:space="preserve">COM VALOR</v>
      </c>
      <c r="J9718" s="19"/>
      <c r="L9718" s="21">
        <v>25.359999999999999</v>
      </c>
      <c r="M9718" s="22">
        <v>0.28000000000000003</v>
      </c>
      <c r="N9718" s="21">
        <v>24.98</v>
      </c>
      <c r="O9718" s="22">
        <v>0.28000000000000003</v>
      </c>
    </row>
    <row r="9719" ht="38.25">
      <c r="A9719" t="s">
        <v>9801</v>
      </c>
      <c r="B9719" s="19">
        <v>106728</v>
      </c>
      <c r="C9719" s="20" t="s">
        <v>9859</v>
      </c>
      <c r="D9719" s="19" t="s">
        <v>9591</v>
      </c>
      <c r="E9719" s="21">
        <f t="shared" si="452"/>
        <v>27.399999999999999</v>
      </c>
      <c r="F9719" s="22"/>
      <c r="G9719" s="21">
        <f t="shared" si="453"/>
        <v>27.050000000000001</v>
      </c>
      <c r="H9719" s="22"/>
      <c r="I9719" s="23" t="str">
        <f t="shared" si="454"/>
        <v xml:space="preserve">COM VALOR</v>
      </c>
      <c r="J9719" s="19"/>
      <c r="L9719" s="21">
        <v>27.399999999999999</v>
      </c>
      <c r="M9719" s="22">
        <v>0.38</v>
      </c>
      <c r="N9719" s="21">
        <v>27.050000000000001</v>
      </c>
      <c r="O9719" s="22">
        <v>0.38</v>
      </c>
    </row>
    <row r="9720" ht="38.25">
      <c r="A9720" t="s">
        <v>9801</v>
      </c>
      <c r="B9720" s="19">
        <v>101013</v>
      </c>
      <c r="C9720" s="20" t="s">
        <v>9860</v>
      </c>
      <c r="D9720" s="19" t="s">
        <v>9591</v>
      </c>
      <c r="E9720" s="21">
        <f t="shared" si="452"/>
        <v>53.539999999999999</v>
      </c>
      <c r="F9720" s="22"/>
      <c r="G9720" s="21">
        <f t="shared" si="453"/>
        <v>52.75</v>
      </c>
      <c r="H9720" s="22"/>
      <c r="I9720" s="23" t="str">
        <f t="shared" si="454"/>
        <v xml:space="preserve">COM VALOR</v>
      </c>
      <c r="J9720" s="19"/>
      <c r="L9720" s="21">
        <v>53.539999999999999</v>
      </c>
      <c r="M9720" s="22">
        <v>0.28000000000000003</v>
      </c>
      <c r="N9720" s="21">
        <v>52.75</v>
      </c>
      <c r="O9720" s="22">
        <v>0.28000000000000003</v>
      </c>
    </row>
    <row r="9721" ht="38.25">
      <c r="A9721" t="s">
        <v>9801</v>
      </c>
      <c r="B9721" s="19">
        <v>106722</v>
      </c>
      <c r="C9721" s="20" t="s">
        <v>9861</v>
      </c>
      <c r="D9721" s="19" t="s">
        <v>9591</v>
      </c>
      <c r="E9721" s="21">
        <f t="shared" si="452"/>
        <v>59.93</v>
      </c>
      <c r="F9721" s="22"/>
      <c r="G9721" s="21">
        <f t="shared" si="453"/>
        <v>59.170000000000002</v>
      </c>
      <c r="H9721" s="22"/>
      <c r="I9721" s="23" t="str">
        <f t="shared" si="454"/>
        <v xml:space="preserve">COM VALOR</v>
      </c>
      <c r="J9721" s="19"/>
      <c r="L9721" s="21">
        <v>59.93</v>
      </c>
      <c r="M9721" s="22">
        <v>0.38</v>
      </c>
      <c r="N9721" s="21">
        <v>59.170000000000002</v>
      </c>
      <c r="O9721" s="22">
        <v>0.38</v>
      </c>
    </row>
    <row r="9722" ht="25.5">
      <c r="A9722" t="s">
        <v>9801</v>
      </c>
      <c r="B9722" s="19">
        <v>101477</v>
      </c>
      <c r="C9722" s="20" t="s">
        <v>9862</v>
      </c>
      <c r="D9722" s="19" t="s">
        <v>9591</v>
      </c>
      <c r="E9722" s="21">
        <f t="shared" si="452"/>
        <v>15.140000000000001</v>
      </c>
      <c r="F9722" s="22"/>
      <c r="G9722" s="21">
        <f t="shared" si="453"/>
        <v>14.92</v>
      </c>
      <c r="H9722" s="22"/>
      <c r="I9722" s="23" t="str">
        <f t="shared" si="454"/>
        <v xml:space="preserve">COM VALOR</v>
      </c>
      <c r="J9722" s="19"/>
      <c r="L9722" s="21">
        <v>15.140000000000001</v>
      </c>
      <c r="M9722" s="22">
        <v>0.27000000000000002</v>
      </c>
      <c r="N9722" s="21">
        <v>14.92</v>
      </c>
      <c r="O9722" s="22">
        <v>0.28000000000000003</v>
      </c>
    </row>
    <row r="9723" ht="25.5">
      <c r="A9723" t="s">
        <v>9801</v>
      </c>
      <c r="B9723" s="19">
        <v>106742</v>
      </c>
      <c r="C9723" s="20" t="s">
        <v>9863</v>
      </c>
      <c r="D9723" s="19" t="s">
        <v>9591</v>
      </c>
      <c r="E9723" s="21">
        <f t="shared" si="452"/>
        <v>15.81</v>
      </c>
      <c r="F9723" s="22"/>
      <c r="G9723" s="21">
        <f t="shared" si="453"/>
        <v>15.6</v>
      </c>
      <c r="H9723" s="22"/>
      <c r="I9723" s="23" t="str">
        <f t="shared" si="454"/>
        <v xml:space="preserve">COM VALOR</v>
      </c>
      <c r="J9723" s="19"/>
      <c r="L9723" s="21">
        <v>15.81</v>
      </c>
      <c r="M9723" s="22">
        <v>0.38</v>
      </c>
      <c r="N9723" s="21">
        <v>15.6</v>
      </c>
      <c r="O9723" s="22">
        <v>0.38</v>
      </c>
    </row>
    <row r="9724" ht="25.5">
      <c r="A9724" t="s">
        <v>9801</v>
      </c>
      <c r="B9724" s="19">
        <v>101478</v>
      </c>
      <c r="C9724" s="20" t="s">
        <v>9864</v>
      </c>
      <c r="D9724" s="19" t="s">
        <v>9591</v>
      </c>
      <c r="E9724" s="21">
        <f t="shared" si="452"/>
        <v>12.779999999999999</v>
      </c>
      <c r="F9724" s="22"/>
      <c r="G9724" s="21">
        <f t="shared" si="453"/>
        <v>12.6</v>
      </c>
      <c r="H9724" s="22"/>
      <c r="I9724" s="23" t="str">
        <f t="shared" si="454"/>
        <v xml:space="preserve">COM VALOR</v>
      </c>
      <c r="J9724" s="19"/>
      <c r="L9724" s="21">
        <v>12.779999999999999</v>
      </c>
      <c r="M9724" s="22">
        <v>0.28000000000000003</v>
      </c>
      <c r="N9724" s="21">
        <v>12.6</v>
      </c>
      <c r="O9724" s="22">
        <v>0.28000000000000003</v>
      </c>
    </row>
    <row r="9725" ht="25.5">
      <c r="A9725" t="s">
        <v>9801</v>
      </c>
      <c r="B9725" s="19">
        <v>106743</v>
      </c>
      <c r="C9725" s="20" t="s">
        <v>9865</v>
      </c>
      <c r="D9725" s="19" t="s">
        <v>9591</v>
      </c>
      <c r="E9725" s="21">
        <f t="shared" si="452"/>
        <v>12.66</v>
      </c>
      <c r="F9725" s="22"/>
      <c r="G9725" s="21">
        <f t="shared" si="453"/>
        <v>12.51</v>
      </c>
      <c r="H9725" s="22"/>
      <c r="I9725" s="23" t="str">
        <f t="shared" si="454"/>
        <v xml:space="preserve">COM VALOR</v>
      </c>
      <c r="J9725" s="19"/>
      <c r="L9725" s="21">
        <v>12.66</v>
      </c>
      <c r="M9725" s="22">
        <v>0.38</v>
      </c>
      <c r="N9725" s="21">
        <v>12.51</v>
      </c>
      <c r="O9725" s="22">
        <v>0.38</v>
      </c>
    </row>
    <row r="9726" ht="25.5">
      <c r="A9726" t="s">
        <v>9801</v>
      </c>
      <c r="B9726" s="19">
        <v>101017</v>
      </c>
      <c r="C9726" s="20" t="s">
        <v>9866</v>
      </c>
      <c r="D9726" s="19" t="s">
        <v>9591</v>
      </c>
      <c r="E9726" s="21">
        <f t="shared" si="452"/>
        <v>35.189999999999998</v>
      </c>
      <c r="F9726" s="22"/>
      <c r="G9726" s="21">
        <f t="shared" si="453"/>
        <v>34.670000000000002</v>
      </c>
      <c r="H9726" s="22"/>
      <c r="I9726" s="23" t="str">
        <f t="shared" si="454"/>
        <v xml:space="preserve">COM VALOR</v>
      </c>
      <c r="J9726" s="19"/>
      <c r="L9726" s="21">
        <v>35.189999999999998</v>
      </c>
      <c r="M9726" s="22">
        <v>0.28000000000000003</v>
      </c>
      <c r="N9726" s="21">
        <v>34.670000000000002</v>
      </c>
      <c r="O9726" s="22">
        <v>0.28000000000000003</v>
      </c>
    </row>
    <row r="9727" ht="25.5">
      <c r="A9727" t="s">
        <v>9801</v>
      </c>
      <c r="B9727" s="19">
        <v>106732</v>
      </c>
      <c r="C9727" s="20" t="s">
        <v>9867</v>
      </c>
      <c r="D9727" s="19" t="s">
        <v>9591</v>
      </c>
      <c r="E9727" s="21">
        <f t="shared" si="452"/>
        <v>38.729999999999997</v>
      </c>
      <c r="F9727" s="22"/>
      <c r="G9727" s="21">
        <f t="shared" si="453"/>
        <v>38.229999999999997</v>
      </c>
      <c r="H9727" s="22"/>
      <c r="I9727" s="23" t="str">
        <f t="shared" si="454"/>
        <v xml:space="preserve">COM VALOR</v>
      </c>
      <c r="J9727" s="19"/>
      <c r="L9727" s="21">
        <v>38.729999999999997</v>
      </c>
      <c r="M9727" s="22">
        <v>0.37</v>
      </c>
      <c r="N9727" s="21">
        <v>38.229999999999997</v>
      </c>
      <c r="O9727" s="22">
        <v>0.38</v>
      </c>
    </row>
    <row r="9728" ht="25.5">
      <c r="A9728" t="s">
        <v>9801</v>
      </c>
      <c r="B9728" s="19">
        <v>101018</v>
      </c>
      <c r="C9728" s="20" t="s">
        <v>9868</v>
      </c>
      <c r="D9728" s="19" t="s">
        <v>9591</v>
      </c>
      <c r="E9728" s="21">
        <f t="shared" si="452"/>
        <v>28.789999999999999</v>
      </c>
      <c r="F9728" s="22"/>
      <c r="G9728" s="21">
        <f t="shared" si="453"/>
        <v>28.379999999999999</v>
      </c>
      <c r="H9728" s="22"/>
      <c r="I9728" s="23" t="str">
        <f t="shared" si="454"/>
        <v xml:space="preserve">COM VALOR</v>
      </c>
      <c r="J9728" s="19"/>
      <c r="L9728" s="21">
        <v>28.789999999999999</v>
      </c>
      <c r="M9728" s="22">
        <v>0.28000000000000003</v>
      </c>
      <c r="N9728" s="21">
        <v>28.379999999999999</v>
      </c>
      <c r="O9728" s="22">
        <v>0.28000000000000003</v>
      </c>
    </row>
    <row r="9729" ht="25.5">
      <c r="A9729" t="s">
        <v>9801</v>
      </c>
      <c r="B9729" s="19">
        <v>106733</v>
      </c>
      <c r="C9729" s="20" t="s">
        <v>9869</v>
      </c>
      <c r="D9729" s="19" t="s">
        <v>9591</v>
      </c>
      <c r="E9729" s="21">
        <f t="shared" si="452"/>
        <v>31.280000000000001</v>
      </c>
      <c r="F9729" s="22"/>
      <c r="G9729" s="21">
        <f t="shared" si="453"/>
        <v>30.879999999999999</v>
      </c>
      <c r="H9729" s="22"/>
      <c r="I9729" s="23" t="str">
        <f t="shared" si="454"/>
        <v xml:space="preserve">COM VALOR</v>
      </c>
      <c r="J9729" s="19"/>
      <c r="L9729" s="21">
        <v>31.280000000000001</v>
      </c>
      <c r="M9729" s="22">
        <v>0.375</v>
      </c>
      <c r="N9729" s="21">
        <v>30.879999999999999</v>
      </c>
      <c r="O9729" s="22">
        <v>0.38</v>
      </c>
    </row>
    <row r="9730" ht="25.5">
      <c r="A9730" t="s">
        <v>9801</v>
      </c>
      <c r="B9730" s="19">
        <v>101469</v>
      </c>
      <c r="C9730" s="20" t="s">
        <v>9870</v>
      </c>
      <c r="D9730" s="19" t="s">
        <v>9591</v>
      </c>
      <c r="E9730" s="21">
        <f t="shared" si="452"/>
        <v>43.840000000000003</v>
      </c>
      <c r="F9730" s="22"/>
      <c r="G9730" s="21">
        <f t="shared" si="453"/>
        <v>43.210000000000001</v>
      </c>
      <c r="H9730" s="22"/>
      <c r="I9730" s="23" t="str">
        <f t="shared" si="454"/>
        <v xml:space="preserve">COM VALOR</v>
      </c>
      <c r="J9730" s="19"/>
      <c r="L9730" s="21">
        <v>43.840000000000003</v>
      </c>
      <c r="M9730" s="22">
        <v>0.28000000000000003</v>
      </c>
      <c r="N9730" s="21">
        <v>43.210000000000001</v>
      </c>
      <c r="O9730" s="22">
        <v>0.28000000000000003</v>
      </c>
    </row>
    <row r="9731" ht="25.5">
      <c r="A9731" t="s">
        <v>9801</v>
      </c>
      <c r="B9731" s="19">
        <v>106734</v>
      </c>
      <c r="C9731" s="20" t="s">
        <v>9871</v>
      </c>
      <c r="D9731" s="19" t="s">
        <v>9591</v>
      </c>
      <c r="E9731" s="21">
        <f t="shared" si="452"/>
        <v>48.729999999999997</v>
      </c>
      <c r="F9731" s="22"/>
      <c r="G9731" s="21">
        <f t="shared" si="453"/>
        <v>48.109999999999999</v>
      </c>
      <c r="H9731" s="22"/>
      <c r="I9731" s="23" t="str">
        <f t="shared" si="454"/>
        <v xml:space="preserve">COM VALOR</v>
      </c>
      <c r="J9731" s="19"/>
      <c r="L9731" s="21">
        <v>48.729999999999997</v>
      </c>
      <c r="M9731" s="22">
        <v>0.38</v>
      </c>
      <c r="N9731" s="21">
        <v>48.109999999999999</v>
      </c>
      <c r="O9731" s="22">
        <v>0.38</v>
      </c>
    </row>
    <row r="9732" ht="25.5">
      <c r="A9732" t="s">
        <v>9801</v>
      </c>
      <c r="B9732" s="19">
        <v>101470</v>
      </c>
      <c r="C9732" s="20" t="s">
        <v>9872</v>
      </c>
      <c r="D9732" s="19" t="s">
        <v>9591</v>
      </c>
      <c r="E9732" s="21">
        <f t="shared" si="452"/>
        <v>34.68</v>
      </c>
      <c r="F9732" s="22"/>
      <c r="G9732" s="21">
        <f t="shared" si="453"/>
        <v>34.18</v>
      </c>
      <c r="H9732" s="22"/>
      <c r="I9732" s="23" t="str">
        <f t="shared" si="454"/>
        <v xml:space="preserve">COM VALOR</v>
      </c>
      <c r="J9732" s="19"/>
      <c r="L9732" s="21">
        <v>34.68</v>
      </c>
      <c r="M9732" s="22">
        <v>0.28000000000000003</v>
      </c>
      <c r="N9732" s="21">
        <v>34.18</v>
      </c>
      <c r="O9732" s="22">
        <v>0.28000000000000003</v>
      </c>
    </row>
    <row r="9733" ht="25.5">
      <c r="A9733" t="s">
        <v>9801</v>
      </c>
      <c r="B9733" s="19">
        <v>106735</v>
      </c>
      <c r="C9733" s="20" t="s">
        <v>9873</v>
      </c>
      <c r="D9733" s="19" t="s">
        <v>9591</v>
      </c>
      <c r="E9733" s="21">
        <f t="shared" si="452"/>
        <v>38.149999999999999</v>
      </c>
      <c r="F9733" s="22"/>
      <c r="G9733" s="21">
        <f t="shared" si="453"/>
        <v>37.659999999999997</v>
      </c>
      <c r="H9733" s="22"/>
      <c r="I9733" s="23" t="str">
        <f t="shared" si="454"/>
        <v xml:space="preserve">COM VALOR</v>
      </c>
      <c r="J9733" s="19"/>
      <c r="L9733" s="21">
        <v>38.149999999999999</v>
      </c>
      <c r="M9733" s="22">
        <v>0.38</v>
      </c>
      <c r="N9733" s="21">
        <v>37.659999999999997</v>
      </c>
      <c r="O9733" s="22">
        <v>0.38</v>
      </c>
    </row>
    <row r="9734" ht="26.25">
      <c r="A9734" t="s">
        <v>9801</v>
      </c>
      <c r="B9734" s="19">
        <v>101471</v>
      </c>
      <c r="C9734" s="20" t="s">
        <v>9874</v>
      </c>
      <c r="D9734" s="19" t="s">
        <v>9591</v>
      </c>
      <c r="E9734" s="21">
        <f t="shared" si="452"/>
        <v>29.690000000000001</v>
      </c>
      <c r="F9734" s="22"/>
      <c r="G9734" s="21">
        <f t="shared" si="453"/>
        <v>29.239999999999998</v>
      </c>
      <c r="H9734" s="22"/>
      <c r="I9734" s="23" t="str">
        <f t="shared" si="454"/>
        <v xml:space="preserve">COM VALOR</v>
      </c>
      <c r="L9734" s="21">
        <v>29.690000000000001</v>
      </c>
      <c r="M9734" s="22">
        <v>0.28000000000000003</v>
      </c>
      <c r="N9734" s="21">
        <v>29.239999999999998</v>
      </c>
      <c r="O9734" s="22">
        <v>0.28000000000000003</v>
      </c>
    </row>
    <row r="9735" ht="26.25">
      <c r="A9735" t="s">
        <v>9801</v>
      </c>
      <c r="B9735" s="19">
        <v>106736</v>
      </c>
      <c r="C9735" s="20" t="s">
        <v>9875</v>
      </c>
      <c r="D9735" s="19" t="s">
        <v>9591</v>
      </c>
      <c r="E9735" s="21">
        <f t="shared" si="452"/>
        <v>32.270000000000003</v>
      </c>
      <c r="F9735" s="22"/>
      <c r="G9735" s="21">
        <f t="shared" si="453"/>
        <v>31.850000000000001</v>
      </c>
      <c r="H9735" s="22"/>
      <c r="I9735" s="23" t="str">
        <f t="shared" si="454"/>
        <v xml:space="preserve">COM VALOR</v>
      </c>
      <c r="L9735" s="21">
        <v>32.270000000000003</v>
      </c>
      <c r="M9735" s="22">
        <v>0.375</v>
      </c>
      <c r="N9735" s="21">
        <v>31.850000000000001</v>
      </c>
      <c r="O9735" s="22">
        <v>0.38</v>
      </c>
    </row>
    <row r="9736" ht="26.25">
      <c r="A9736" t="s">
        <v>9801</v>
      </c>
      <c r="B9736" s="19">
        <v>101472</v>
      </c>
      <c r="C9736" s="20" t="s">
        <v>9876</v>
      </c>
      <c r="D9736" s="19" t="s">
        <v>9591</v>
      </c>
      <c r="E9736" s="21">
        <f t="shared" si="452"/>
        <v>22.960000000000001</v>
      </c>
      <c r="F9736" s="22"/>
      <c r="G9736" s="21">
        <f t="shared" si="453"/>
        <v>22.629999999999999</v>
      </c>
      <c r="H9736" s="22"/>
      <c r="I9736" s="23" t="str">
        <f t="shared" si="454"/>
        <v xml:space="preserve">COM VALOR</v>
      </c>
      <c r="L9736" s="21">
        <v>22.960000000000001</v>
      </c>
      <c r="M9736" s="22">
        <v>0.28000000000000003</v>
      </c>
      <c r="N9736" s="21">
        <v>22.629999999999999</v>
      </c>
      <c r="O9736" s="22">
        <v>0.28000000000000003</v>
      </c>
    </row>
    <row r="9737" ht="26.25">
      <c r="A9737" t="s">
        <v>9801</v>
      </c>
      <c r="B9737" s="19">
        <v>106737</v>
      </c>
      <c r="C9737" s="20" t="s">
        <v>9877</v>
      </c>
      <c r="D9737" s="19" t="s">
        <v>9591</v>
      </c>
      <c r="E9737" s="21">
        <f t="shared" si="452"/>
        <v>24.579999999999998</v>
      </c>
      <c r="F9737" s="22"/>
      <c r="G9737" s="21">
        <f t="shared" si="453"/>
        <v>24.27</v>
      </c>
      <c r="H9737" s="22"/>
      <c r="I9737" s="23" t="str">
        <f t="shared" si="454"/>
        <v xml:space="preserve">COM VALOR</v>
      </c>
      <c r="L9737" s="21">
        <v>24.579999999999998</v>
      </c>
      <c r="M9737" s="22">
        <v>0.38</v>
      </c>
      <c r="N9737" s="21">
        <v>24.27</v>
      </c>
      <c r="O9737" s="22">
        <v>0.38</v>
      </c>
    </row>
    <row r="9738" ht="26.25">
      <c r="A9738" t="s">
        <v>9801</v>
      </c>
      <c r="B9738" s="19">
        <v>101473</v>
      </c>
      <c r="C9738" s="20" t="s">
        <v>9878</v>
      </c>
      <c r="D9738" s="19" t="s">
        <v>9591</v>
      </c>
      <c r="E9738" s="21">
        <f t="shared" si="452"/>
        <v>33.280000000000001</v>
      </c>
      <c r="F9738" s="22"/>
      <c r="G9738" s="21">
        <f t="shared" si="453"/>
        <v>32.789999999999999</v>
      </c>
      <c r="H9738" s="22"/>
      <c r="I9738" s="23" t="str">
        <f t="shared" si="454"/>
        <v xml:space="preserve">COM VALOR</v>
      </c>
      <c r="L9738" s="21">
        <v>33.280000000000001</v>
      </c>
      <c r="M9738" s="22">
        <v>0.28000000000000003</v>
      </c>
      <c r="N9738" s="21">
        <v>32.789999999999999</v>
      </c>
      <c r="O9738" s="22">
        <v>0.28000000000000003</v>
      </c>
    </row>
    <row r="9739" ht="26.25">
      <c r="A9739" t="s">
        <v>9801</v>
      </c>
      <c r="B9739" s="19">
        <v>106738</v>
      </c>
      <c r="C9739" s="20" t="s">
        <v>9879</v>
      </c>
      <c r="D9739" s="19" t="s">
        <v>9591</v>
      </c>
      <c r="E9739" s="21">
        <f t="shared" ref="E9739:E9802" si="455">IF(L9739=0,"VERIFICAR",L9739)</f>
        <v>36.07</v>
      </c>
      <c r="F9739" s="22"/>
      <c r="G9739" s="21">
        <f t="shared" ref="G9739:G9802" si="456">IF(N9739=0,"VERIFICAR",N9739)</f>
        <v>35.609999999999999</v>
      </c>
      <c r="H9739" s="22"/>
      <c r="I9739" s="23" t="str">
        <f t="shared" ref="I9739:I9802" si="457">IF(OR(E9739=0,G9739=0),"SEM VALOR","COM VALOR")</f>
        <v xml:space="preserve">COM VALOR</v>
      </c>
      <c r="L9739" s="21">
        <v>36.07</v>
      </c>
      <c r="M9739" s="22">
        <v>0.38</v>
      </c>
      <c r="N9739" s="21">
        <v>35.609999999999999</v>
      </c>
      <c r="O9739" s="22">
        <v>0.38</v>
      </c>
    </row>
    <row r="9740" ht="26.25">
      <c r="A9740" t="s">
        <v>9801</v>
      </c>
      <c r="B9740" s="19">
        <v>101474</v>
      </c>
      <c r="C9740" s="20" t="s">
        <v>9880</v>
      </c>
      <c r="D9740" s="19" t="s">
        <v>9591</v>
      </c>
      <c r="E9740" s="21">
        <f t="shared" si="455"/>
        <v>23.670000000000002</v>
      </c>
      <c r="F9740" s="22"/>
      <c r="G9740" s="21">
        <f t="shared" si="456"/>
        <v>23.32</v>
      </c>
      <c r="H9740" s="22"/>
      <c r="I9740" s="23" t="str">
        <f t="shared" si="457"/>
        <v xml:space="preserve">COM VALOR</v>
      </c>
      <c r="L9740" s="21">
        <v>23.670000000000002</v>
      </c>
      <c r="M9740" s="22">
        <v>0.28000000000000003</v>
      </c>
      <c r="N9740" s="21">
        <v>23.32</v>
      </c>
      <c r="O9740" s="22">
        <v>0.28000000000000003</v>
      </c>
    </row>
    <row r="9741" ht="26.25">
      <c r="A9741" t="s">
        <v>9801</v>
      </c>
      <c r="B9741" s="19">
        <v>106739</v>
      </c>
      <c r="C9741" s="20" t="s">
        <v>9881</v>
      </c>
      <c r="D9741" s="19" t="s">
        <v>9591</v>
      </c>
      <c r="E9741" s="21">
        <f t="shared" si="455"/>
        <v>25.199999999999999</v>
      </c>
      <c r="F9741" s="22"/>
      <c r="G9741" s="21">
        <f t="shared" si="456"/>
        <v>24.870000000000001</v>
      </c>
      <c r="H9741" s="22"/>
      <c r="I9741" s="23" t="str">
        <f t="shared" si="457"/>
        <v xml:space="preserve">COM VALOR</v>
      </c>
      <c r="L9741" s="21">
        <v>25.199999999999999</v>
      </c>
      <c r="M9741" s="22">
        <v>0.375</v>
      </c>
      <c r="N9741" s="21">
        <v>24.870000000000001</v>
      </c>
      <c r="O9741" s="22">
        <v>0.38</v>
      </c>
    </row>
    <row r="9742" ht="26.25">
      <c r="A9742" t="s">
        <v>9801</v>
      </c>
      <c r="B9742" s="19">
        <v>101475</v>
      </c>
      <c r="C9742" s="20" t="s">
        <v>9882</v>
      </c>
      <c r="D9742" s="19" t="s">
        <v>9591</v>
      </c>
      <c r="E9742" s="21">
        <f t="shared" si="455"/>
        <v>20.82</v>
      </c>
      <c r="F9742" s="22"/>
      <c r="G9742" s="21">
        <f t="shared" si="456"/>
        <v>20.52</v>
      </c>
      <c r="H9742" s="22"/>
      <c r="I9742" s="23" t="str">
        <f t="shared" si="457"/>
        <v xml:space="preserve">COM VALOR</v>
      </c>
      <c r="L9742" s="21">
        <v>20.82</v>
      </c>
      <c r="M9742" s="22">
        <v>0.28000000000000003</v>
      </c>
      <c r="N9742" s="21">
        <v>20.52</v>
      </c>
      <c r="O9742" s="22">
        <v>0.28000000000000003</v>
      </c>
    </row>
    <row r="9743" ht="26.25">
      <c r="A9743" t="s">
        <v>9801</v>
      </c>
      <c r="B9743" s="19">
        <v>106740</v>
      </c>
      <c r="C9743" s="20" t="s">
        <v>9883</v>
      </c>
      <c r="D9743" s="19" t="s">
        <v>9591</v>
      </c>
      <c r="E9743" s="21">
        <f t="shared" si="455"/>
        <v>21.41</v>
      </c>
      <c r="F9743" s="22"/>
      <c r="G9743" s="21">
        <f t="shared" si="456"/>
        <v>21.129999999999999</v>
      </c>
      <c r="H9743" s="22"/>
      <c r="I9743" s="23" t="str">
        <f t="shared" si="457"/>
        <v xml:space="preserve">COM VALOR</v>
      </c>
      <c r="L9743" s="21">
        <v>21.41</v>
      </c>
      <c r="M9743" s="22">
        <v>0.38</v>
      </c>
      <c r="N9743" s="21">
        <v>21.129999999999999</v>
      </c>
      <c r="O9743" s="22">
        <v>0.38</v>
      </c>
    </row>
    <row r="9744" ht="26.25">
      <c r="A9744" t="s">
        <v>9801</v>
      </c>
      <c r="B9744" s="19">
        <v>101476</v>
      </c>
      <c r="C9744" s="20" t="s">
        <v>9884</v>
      </c>
      <c r="D9744" s="19" t="s">
        <v>9591</v>
      </c>
      <c r="E9744" s="21">
        <f t="shared" si="455"/>
        <v>18.469999999999999</v>
      </c>
      <c r="F9744" s="22"/>
      <c r="G9744" s="21">
        <f t="shared" si="456"/>
        <v>18.190000000000001</v>
      </c>
      <c r="H9744" s="22"/>
      <c r="I9744" s="23" t="str">
        <f t="shared" si="457"/>
        <v xml:space="preserve">COM VALOR</v>
      </c>
      <c r="L9744" s="21">
        <v>18.469999999999999</v>
      </c>
      <c r="M9744" s="22">
        <v>0.28000000000000003</v>
      </c>
      <c r="N9744" s="21">
        <v>18.190000000000001</v>
      </c>
      <c r="O9744" s="22">
        <v>0.28000000000000003</v>
      </c>
    </row>
    <row r="9745" ht="26.25">
      <c r="A9745" t="s">
        <v>9801</v>
      </c>
      <c r="B9745" s="19">
        <v>106741</v>
      </c>
      <c r="C9745" s="20" t="s">
        <v>9885</v>
      </c>
      <c r="D9745" s="19" t="s">
        <v>9591</v>
      </c>
      <c r="E9745" s="21">
        <f t="shared" si="455"/>
        <v>18.199999999999999</v>
      </c>
      <c r="F9745" s="22"/>
      <c r="G9745" s="21">
        <f t="shared" si="456"/>
        <v>17.969999999999999</v>
      </c>
      <c r="H9745" s="22"/>
      <c r="I9745" s="23" t="str">
        <f t="shared" si="457"/>
        <v xml:space="preserve">COM VALOR</v>
      </c>
      <c r="L9745" s="21">
        <v>18.199999999999999</v>
      </c>
      <c r="M9745" s="22">
        <v>0.38</v>
      </c>
      <c r="N9745" s="21">
        <v>17.969999999999999</v>
      </c>
      <c r="O9745" s="22">
        <v>0.38</v>
      </c>
    </row>
    <row r="9746" ht="39">
      <c r="A9746" t="s">
        <v>9801</v>
      </c>
      <c r="B9746" s="19">
        <v>101016</v>
      </c>
      <c r="C9746" s="20" t="s">
        <v>9886</v>
      </c>
      <c r="D9746" s="19" t="s">
        <v>9591</v>
      </c>
      <c r="E9746" s="21">
        <f t="shared" si="455"/>
        <v>46.560000000000002</v>
      </c>
      <c r="F9746" s="22"/>
      <c r="G9746" s="21">
        <f t="shared" si="456"/>
        <v>45.869999999999997</v>
      </c>
      <c r="H9746" s="22"/>
      <c r="I9746" s="23" t="str">
        <f t="shared" si="457"/>
        <v xml:space="preserve">COM VALOR</v>
      </c>
      <c r="L9746" s="21">
        <v>46.560000000000002</v>
      </c>
      <c r="M9746" s="22">
        <v>0.28000000000000003</v>
      </c>
      <c r="N9746" s="21">
        <v>45.869999999999997</v>
      </c>
      <c r="O9746" s="22">
        <v>0.28000000000000003</v>
      </c>
    </row>
    <row r="9747" ht="39">
      <c r="A9747" t="s">
        <v>9801</v>
      </c>
      <c r="B9747" s="19">
        <v>106731</v>
      </c>
      <c r="C9747" s="20" t="s">
        <v>9887</v>
      </c>
      <c r="D9747" s="19" t="s">
        <v>9591</v>
      </c>
      <c r="E9747" s="21">
        <f t="shared" si="455"/>
        <v>51.869999999999997</v>
      </c>
      <c r="F9747" s="22"/>
      <c r="G9747" s="21">
        <f t="shared" si="456"/>
        <v>51.210000000000001</v>
      </c>
      <c r="H9747" s="22"/>
      <c r="I9747" s="23" t="str">
        <f t="shared" si="457"/>
        <v xml:space="preserve">COM VALOR</v>
      </c>
      <c r="L9747" s="21">
        <v>51.869999999999997</v>
      </c>
      <c r="M9747" s="22">
        <v>0.38</v>
      </c>
      <c r="N9747" s="21">
        <v>51.210000000000001</v>
      </c>
      <c r="O9747" s="22">
        <v>0.38</v>
      </c>
    </row>
    <row r="9748" ht="26.25">
      <c r="A9748" t="s">
        <v>9801</v>
      </c>
      <c r="B9748" s="19">
        <v>101487</v>
      </c>
      <c r="C9748" s="20" t="s">
        <v>9888</v>
      </c>
      <c r="D9748" s="19" t="s">
        <v>9591</v>
      </c>
      <c r="E9748" s="21">
        <f t="shared" si="455"/>
        <v>114.19</v>
      </c>
      <c r="F9748" s="22"/>
      <c r="G9748" s="21">
        <f t="shared" si="456"/>
        <v>112.51000000000001</v>
      </c>
      <c r="H9748" s="22"/>
      <c r="I9748" s="23" t="str">
        <f t="shared" si="457"/>
        <v xml:space="preserve">COM VALOR</v>
      </c>
      <c r="L9748" s="21">
        <v>114.19</v>
      </c>
      <c r="M9748" s="22">
        <v>0.28000000000000003</v>
      </c>
      <c r="N9748" s="21">
        <v>112.51000000000001</v>
      </c>
      <c r="O9748" s="22">
        <v>0.28000000000000003</v>
      </c>
    </row>
    <row r="9749" ht="26.25">
      <c r="A9749" t="s">
        <v>9801</v>
      </c>
      <c r="B9749" s="19">
        <v>106754</v>
      </c>
      <c r="C9749" s="20" t="s">
        <v>9889</v>
      </c>
      <c r="D9749" s="19" t="s">
        <v>9591</v>
      </c>
      <c r="E9749" s="21">
        <f t="shared" si="455"/>
        <v>116.84999999999999</v>
      </c>
      <c r="F9749" s="22"/>
      <c r="G9749" s="21">
        <f t="shared" si="456"/>
        <v>115.36</v>
      </c>
      <c r="H9749" s="22"/>
      <c r="I9749" s="23" t="str">
        <f t="shared" si="457"/>
        <v xml:space="preserve">COM VALOR</v>
      </c>
      <c r="L9749" s="21">
        <v>116.84999999999999</v>
      </c>
      <c r="M9749" s="22">
        <v>0.38</v>
      </c>
      <c r="N9749" s="21">
        <v>115.36</v>
      </c>
      <c r="O9749" s="22">
        <v>0.38</v>
      </c>
    </row>
    <row r="9750" ht="26.25">
      <c r="A9750" t="s">
        <v>9801</v>
      </c>
      <c r="B9750" s="19">
        <v>101488</v>
      </c>
      <c r="C9750" s="20" t="s">
        <v>9890</v>
      </c>
      <c r="D9750" s="19" t="s">
        <v>9591</v>
      </c>
      <c r="E9750" s="21">
        <f t="shared" si="455"/>
        <v>98.25</v>
      </c>
      <c r="F9750" s="22"/>
      <c r="G9750" s="21">
        <f t="shared" si="456"/>
        <v>96.810000000000002</v>
      </c>
      <c r="H9750" s="22"/>
      <c r="I9750" s="23" t="str">
        <f t="shared" si="457"/>
        <v xml:space="preserve">COM VALOR</v>
      </c>
      <c r="L9750" s="21">
        <v>98.25</v>
      </c>
      <c r="M9750" s="22">
        <v>0.28000000000000003</v>
      </c>
      <c r="N9750" s="21">
        <v>96.810000000000002</v>
      </c>
      <c r="O9750" s="22">
        <v>0.28000000000000003</v>
      </c>
    </row>
    <row r="9751" ht="26.25">
      <c r="A9751" t="s">
        <v>9801</v>
      </c>
      <c r="B9751" s="19">
        <v>106755</v>
      </c>
      <c r="C9751" s="20" t="s">
        <v>9891</v>
      </c>
      <c r="D9751" s="19" t="s">
        <v>9591</v>
      </c>
      <c r="E9751" s="21">
        <f t="shared" si="455"/>
        <v>96.239999999999995</v>
      </c>
      <c r="F9751" s="22"/>
      <c r="G9751" s="21">
        <f t="shared" si="456"/>
        <v>95.019999999999996</v>
      </c>
      <c r="H9751" s="22"/>
      <c r="I9751" s="23" t="str">
        <f t="shared" si="457"/>
        <v xml:space="preserve">COM VALOR</v>
      </c>
      <c r="L9751" s="21">
        <v>96.239999999999995</v>
      </c>
      <c r="M9751" s="22">
        <v>0.38</v>
      </c>
      <c r="N9751" s="21">
        <v>95.019999999999996</v>
      </c>
      <c r="O9751" s="22">
        <v>0.38</v>
      </c>
    </row>
    <row r="9752" ht="26.25">
      <c r="A9752" t="s">
        <v>9801</v>
      </c>
      <c r="B9752" s="19">
        <v>101480</v>
      </c>
      <c r="C9752" s="20" t="s">
        <v>9892</v>
      </c>
      <c r="D9752" s="19" t="s">
        <v>9591</v>
      </c>
      <c r="E9752" s="21">
        <f t="shared" si="455"/>
        <v>78.859999999999999</v>
      </c>
      <c r="F9752" s="22"/>
      <c r="G9752" s="21">
        <f t="shared" si="456"/>
        <v>77.689999999999998</v>
      </c>
      <c r="H9752" s="22"/>
      <c r="I9752" s="23" t="str">
        <f t="shared" si="457"/>
        <v xml:space="preserve">COM VALOR</v>
      </c>
      <c r="L9752" s="21">
        <v>78.859999999999999</v>
      </c>
      <c r="M9752" s="22">
        <v>0.28000000000000003</v>
      </c>
      <c r="N9752" s="21">
        <v>77.689999999999998</v>
      </c>
      <c r="O9752" s="22">
        <v>0.28000000000000003</v>
      </c>
    </row>
    <row r="9753" ht="26.25">
      <c r="A9753" t="s">
        <v>9801</v>
      </c>
      <c r="B9753" s="19">
        <v>106747</v>
      </c>
      <c r="C9753" s="20" t="s">
        <v>9893</v>
      </c>
      <c r="D9753" s="19" t="s">
        <v>9591</v>
      </c>
      <c r="E9753" s="21">
        <f t="shared" si="455"/>
        <v>89.290000000000006</v>
      </c>
      <c r="F9753" s="22"/>
      <c r="G9753" s="21">
        <f t="shared" si="456"/>
        <v>88.150000000000006</v>
      </c>
      <c r="H9753" s="22"/>
      <c r="I9753" s="23" t="str">
        <f t="shared" si="457"/>
        <v xml:space="preserve">COM VALOR</v>
      </c>
      <c r="L9753" s="21">
        <v>89.290000000000006</v>
      </c>
      <c r="M9753" s="22">
        <v>0.38</v>
      </c>
      <c r="N9753" s="21">
        <v>88.150000000000006</v>
      </c>
      <c r="O9753" s="22">
        <v>0.38</v>
      </c>
    </row>
    <row r="9754" ht="26.25">
      <c r="A9754" t="s">
        <v>9801</v>
      </c>
      <c r="B9754" s="19">
        <v>101481</v>
      </c>
      <c r="C9754" s="20" t="s">
        <v>9894</v>
      </c>
      <c r="D9754" s="19" t="s">
        <v>9591</v>
      </c>
      <c r="E9754" s="21">
        <f t="shared" si="455"/>
        <v>56.799999999999997</v>
      </c>
      <c r="F9754" s="22"/>
      <c r="G9754" s="21">
        <f t="shared" si="456"/>
        <v>55.969999999999999</v>
      </c>
      <c r="H9754" s="22"/>
      <c r="I9754" s="23" t="str">
        <f t="shared" si="457"/>
        <v xml:space="preserve">COM VALOR</v>
      </c>
      <c r="L9754" s="21">
        <v>56.799999999999997</v>
      </c>
      <c r="M9754" s="22">
        <v>0.28000000000000003</v>
      </c>
      <c r="N9754" s="21">
        <v>55.969999999999999</v>
      </c>
      <c r="O9754" s="22">
        <v>0.28000000000000003</v>
      </c>
    </row>
    <row r="9755" ht="26.25">
      <c r="A9755" t="s">
        <v>9801</v>
      </c>
      <c r="B9755" s="19">
        <v>106748</v>
      </c>
      <c r="C9755" s="20" t="s">
        <v>9895</v>
      </c>
      <c r="D9755" s="19" t="s">
        <v>9591</v>
      </c>
      <c r="E9755" s="21">
        <f t="shared" si="455"/>
        <v>63.770000000000003</v>
      </c>
      <c r="F9755" s="22"/>
      <c r="G9755" s="21">
        <f t="shared" si="456"/>
        <v>62.960000000000001</v>
      </c>
      <c r="H9755" s="22"/>
      <c r="I9755" s="23" t="str">
        <f t="shared" si="457"/>
        <v xml:space="preserve">COM VALOR</v>
      </c>
      <c r="L9755" s="21">
        <v>63.770000000000003</v>
      </c>
      <c r="M9755" s="22">
        <v>0.38</v>
      </c>
      <c r="N9755" s="21">
        <v>62.960000000000001</v>
      </c>
      <c r="O9755" s="22">
        <v>0.38</v>
      </c>
    </row>
    <row r="9756" ht="26.25">
      <c r="A9756" t="s">
        <v>9801</v>
      </c>
      <c r="B9756" s="19">
        <v>101482</v>
      </c>
      <c r="C9756" s="20" t="s">
        <v>9896</v>
      </c>
      <c r="D9756" s="19" t="s">
        <v>9591</v>
      </c>
      <c r="E9756" s="21">
        <f t="shared" si="455"/>
        <v>42.299999999999997</v>
      </c>
      <c r="F9756" s="22"/>
      <c r="G9756" s="21">
        <f t="shared" si="456"/>
        <v>41.689999999999998</v>
      </c>
      <c r="H9756" s="22"/>
      <c r="I9756" s="23" t="str">
        <f t="shared" si="457"/>
        <v xml:space="preserve">COM VALOR</v>
      </c>
      <c r="L9756" s="21">
        <v>42.299999999999997</v>
      </c>
      <c r="M9756" s="22">
        <v>0.28000000000000003</v>
      </c>
      <c r="N9756" s="21">
        <v>41.689999999999998</v>
      </c>
      <c r="O9756" s="22">
        <v>0.28000000000000003</v>
      </c>
    </row>
    <row r="9757" ht="26.25">
      <c r="A9757" t="s">
        <v>9801</v>
      </c>
      <c r="B9757" s="19">
        <v>106749</v>
      </c>
      <c r="C9757" s="20" t="s">
        <v>9897</v>
      </c>
      <c r="D9757" s="19" t="s">
        <v>9591</v>
      </c>
      <c r="E9757" s="21">
        <f t="shared" si="455"/>
        <v>46.899999999999999</v>
      </c>
      <c r="F9757" s="22"/>
      <c r="G9757" s="21">
        <f t="shared" si="456"/>
        <v>46.299999999999997</v>
      </c>
      <c r="H9757" s="22"/>
      <c r="I9757" s="23" t="str">
        <f t="shared" si="457"/>
        <v xml:space="preserve">COM VALOR</v>
      </c>
      <c r="L9757" s="21">
        <v>46.899999999999999</v>
      </c>
      <c r="M9757" s="22">
        <v>0.38</v>
      </c>
      <c r="N9757" s="21">
        <v>46.299999999999997</v>
      </c>
      <c r="O9757" s="22">
        <v>0.38</v>
      </c>
    </row>
    <row r="9758" ht="26.25">
      <c r="A9758" t="s">
        <v>9801</v>
      </c>
      <c r="B9758" s="19">
        <v>101483</v>
      </c>
      <c r="C9758" s="20" t="s">
        <v>9898</v>
      </c>
      <c r="D9758" s="19" t="s">
        <v>9591</v>
      </c>
      <c r="E9758" s="21">
        <f t="shared" si="455"/>
        <v>43.920000000000002</v>
      </c>
      <c r="F9758" s="22"/>
      <c r="G9758" s="21">
        <f t="shared" si="456"/>
        <v>43.289999999999999</v>
      </c>
      <c r="H9758" s="22"/>
      <c r="I9758" s="23" t="str">
        <f t="shared" si="457"/>
        <v xml:space="preserve">COM VALOR</v>
      </c>
      <c r="L9758" s="21">
        <v>43.920000000000002</v>
      </c>
      <c r="M9758" s="22">
        <v>0.28000000000000003</v>
      </c>
      <c r="N9758" s="21">
        <v>43.289999999999999</v>
      </c>
      <c r="O9758" s="22">
        <v>0.28000000000000003</v>
      </c>
    </row>
    <row r="9759" ht="26.25">
      <c r="A9759" t="s">
        <v>9801</v>
      </c>
      <c r="B9759" s="19">
        <v>106750</v>
      </c>
      <c r="C9759" s="20" t="s">
        <v>9899</v>
      </c>
      <c r="D9759" s="19" t="s">
        <v>9591</v>
      </c>
      <c r="E9759" s="21">
        <f t="shared" si="455"/>
        <v>48.829999999999998</v>
      </c>
      <c r="F9759" s="22"/>
      <c r="G9759" s="21">
        <f t="shared" si="456"/>
        <v>48.200000000000003</v>
      </c>
      <c r="H9759" s="22"/>
      <c r="I9759" s="23" t="str">
        <f t="shared" si="457"/>
        <v xml:space="preserve">COM VALOR</v>
      </c>
      <c r="L9759" s="21">
        <v>48.829999999999998</v>
      </c>
      <c r="M9759" s="22">
        <v>0.38</v>
      </c>
      <c r="N9759" s="21">
        <v>48.200000000000003</v>
      </c>
      <c r="O9759" s="22">
        <v>0.38</v>
      </c>
    </row>
    <row r="9760" ht="26.25">
      <c r="A9760" t="s">
        <v>9801</v>
      </c>
      <c r="B9760" s="19">
        <v>101484</v>
      </c>
      <c r="C9760" s="20" t="s">
        <v>9900</v>
      </c>
      <c r="D9760" s="19" t="s">
        <v>9591</v>
      </c>
      <c r="E9760" s="21">
        <f t="shared" si="455"/>
        <v>228.91</v>
      </c>
      <c r="F9760" s="22"/>
      <c r="G9760" s="21">
        <f t="shared" si="456"/>
        <v>225.55000000000001</v>
      </c>
      <c r="H9760" s="22"/>
      <c r="I9760" s="23" t="str">
        <f t="shared" si="457"/>
        <v xml:space="preserve">COM VALOR</v>
      </c>
      <c r="L9760" s="21">
        <v>228.91</v>
      </c>
      <c r="M9760" s="22">
        <v>0.28000000000000003</v>
      </c>
      <c r="N9760" s="21">
        <v>225.55000000000001</v>
      </c>
      <c r="O9760" s="22">
        <v>0.28000000000000003</v>
      </c>
    </row>
    <row r="9761" ht="26.25">
      <c r="A9761" t="s">
        <v>9801</v>
      </c>
      <c r="B9761" s="19">
        <v>106751</v>
      </c>
      <c r="C9761" s="20" t="s">
        <v>9901</v>
      </c>
      <c r="D9761" s="19" t="s">
        <v>9591</v>
      </c>
      <c r="E9761" s="21">
        <f t="shared" si="455"/>
        <v>255.37</v>
      </c>
      <c r="F9761" s="22"/>
      <c r="G9761" s="21">
        <f t="shared" si="456"/>
        <v>252.13</v>
      </c>
      <c r="H9761" s="22"/>
      <c r="I9761" s="23" t="str">
        <f t="shared" si="457"/>
        <v xml:space="preserve">COM VALOR</v>
      </c>
      <c r="L9761" s="21">
        <v>255.37</v>
      </c>
      <c r="M9761" s="22">
        <v>0.38</v>
      </c>
      <c r="N9761" s="21">
        <v>252.13</v>
      </c>
      <c r="O9761" s="22">
        <v>0.38</v>
      </c>
    </row>
    <row r="9762" ht="26.25">
      <c r="A9762" t="s">
        <v>9801</v>
      </c>
      <c r="B9762" s="19">
        <v>101485</v>
      </c>
      <c r="C9762" s="20" t="s">
        <v>9902</v>
      </c>
      <c r="D9762" s="19" t="s">
        <v>9591</v>
      </c>
      <c r="E9762" s="21">
        <f t="shared" si="455"/>
        <v>174.72999999999999</v>
      </c>
      <c r="F9762" s="22"/>
      <c r="G9762" s="21">
        <f t="shared" si="456"/>
        <v>172.16</v>
      </c>
      <c r="H9762" s="22"/>
      <c r="I9762" s="23" t="str">
        <f t="shared" si="457"/>
        <v xml:space="preserve">COM VALOR</v>
      </c>
      <c r="L9762" s="21">
        <v>174.72999999999999</v>
      </c>
      <c r="M9762" s="22">
        <v>0.28000000000000003</v>
      </c>
      <c r="N9762" s="21">
        <v>172.16</v>
      </c>
      <c r="O9762" s="22">
        <v>0.28000000000000003</v>
      </c>
    </row>
    <row r="9763" ht="26.25">
      <c r="A9763" t="s">
        <v>9801</v>
      </c>
      <c r="B9763" s="19">
        <v>106752</v>
      </c>
      <c r="C9763" s="20" t="s">
        <v>9903</v>
      </c>
      <c r="D9763" s="19" t="s">
        <v>9591</v>
      </c>
      <c r="E9763" s="21">
        <f t="shared" si="455"/>
        <v>188.28</v>
      </c>
      <c r="F9763" s="22"/>
      <c r="G9763" s="21">
        <f t="shared" si="456"/>
        <v>185.88</v>
      </c>
      <c r="H9763" s="22"/>
      <c r="I9763" s="23" t="str">
        <f t="shared" si="457"/>
        <v xml:space="preserve">COM VALOR</v>
      </c>
      <c r="L9763" s="21">
        <v>188.28</v>
      </c>
      <c r="M9763" s="22">
        <v>0.38</v>
      </c>
      <c r="N9763" s="21">
        <v>185.88</v>
      </c>
      <c r="O9763" s="22">
        <v>0.38</v>
      </c>
    </row>
    <row r="9764" ht="26.25">
      <c r="A9764" t="s">
        <v>9801</v>
      </c>
      <c r="B9764" s="19">
        <v>101486</v>
      </c>
      <c r="C9764" s="20" t="s">
        <v>9904</v>
      </c>
      <c r="D9764" s="19" t="s">
        <v>9591</v>
      </c>
      <c r="E9764" s="21">
        <f t="shared" si="455"/>
        <v>155.97999999999999</v>
      </c>
      <c r="F9764" s="22"/>
      <c r="G9764" s="21">
        <f t="shared" si="456"/>
        <v>153.69999999999999</v>
      </c>
      <c r="H9764" s="22"/>
      <c r="I9764" s="23" t="str">
        <f t="shared" si="457"/>
        <v xml:space="preserve">COM VALOR</v>
      </c>
      <c r="L9764" s="21">
        <v>155.97999999999999</v>
      </c>
      <c r="M9764" s="22">
        <v>0.28000000000000003</v>
      </c>
      <c r="N9764" s="21">
        <v>153.69999999999999</v>
      </c>
      <c r="O9764" s="22">
        <v>0.28000000000000003</v>
      </c>
    </row>
    <row r="9765" ht="26.25">
      <c r="A9765" t="s">
        <v>9801</v>
      </c>
      <c r="B9765" s="19">
        <v>106753</v>
      </c>
      <c r="C9765" s="20" t="s">
        <v>9905</v>
      </c>
      <c r="D9765" s="19" t="s">
        <v>9591</v>
      </c>
      <c r="E9765" s="21">
        <f t="shared" si="455"/>
        <v>158.80000000000001</v>
      </c>
      <c r="F9765" s="22"/>
      <c r="G9765" s="21">
        <f t="shared" si="456"/>
        <v>156.77000000000001</v>
      </c>
      <c r="H9765" s="22"/>
      <c r="I9765" s="23" t="str">
        <f t="shared" si="457"/>
        <v xml:space="preserve">COM VALOR</v>
      </c>
      <c r="L9765" s="21">
        <v>158.80000000000001</v>
      </c>
      <c r="M9765" s="22">
        <v>0.38</v>
      </c>
      <c r="N9765" s="21">
        <v>156.77000000000001</v>
      </c>
      <c r="O9765" s="22">
        <v>0.38</v>
      </c>
    </row>
    <row r="9766" ht="26.25">
      <c r="A9766" t="s">
        <v>9801</v>
      </c>
      <c r="B9766" s="19">
        <v>101006</v>
      </c>
      <c r="C9766" s="20" t="s">
        <v>9906</v>
      </c>
      <c r="D9766" s="19" t="s">
        <v>121</v>
      </c>
      <c r="E9766" s="21">
        <f t="shared" si="455"/>
        <v>25.609999999999999</v>
      </c>
      <c r="F9766" s="22"/>
      <c r="G9766" s="21">
        <f t="shared" si="456"/>
        <v>25.449999999999999</v>
      </c>
      <c r="H9766" s="22"/>
      <c r="I9766" s="23" t="str">
        <f t="shared" si="457"/>
        <v xml:space="preserve">COM VALOR</v>
      </c>
      <c r="L9766" s="21">
        <v>25.609999999999999</v>
      </c>
      <c r="M9766" s="22">
        <v>0.32000000000000001</v>
      </c>
      <c r="N9766" s="21">
        <v>25.449999999999999</v>
      </c>
      <c r="O9766" s="22">
        <v>0.32000000000000001</v>
      </c>
    </row>
    <row r="9767" ht="26.25">
      <c r="A9767" t="s">
        <v>9801</v>
      </c>
      <c r="B9767" s="19">
        <v>106707</v>
      </c>
      <c r="C9767" s="20" t="s">
        <v>9907</v>
      </c>
      <c r="D9767" s="19" t="s">
        <v>121</v>
      </c>
      <c r="E9767" s="21">
        <f t="shared" si="455"/>
        <v>20.27</v>
      </c>
      <c r="F9767" s="22"/>
      <c r="G9767" s="21">
        <f t="shared" si="456"/>
        <v>20.149999999999999</v>
      </c>
      <c r="H9767" s="22"/>
      <c r="I9767" s="23" t="str">
        <f t="shared" si="457"/>
        <v xml:space="preserve">COM VALOR</v>
      </c>
      <c r="L9767" s="21">
        <v>20.27</v>
      </c>
      <c r="M9767" s="22">
        <v>0.34999999999999998</v>
      </c>
      <c r="N9767" s="21">
        <v>20.149999999999999</v>
      </c>
      <c r="O9767" s="22">
        <v>0.34999999999999998</v>
      </c>
    </row>
    <row r="9768" ht="26.25">
      <c r="A9768" t="s">
        <v>9801</v>
      </c>
      <c r="B9768" s="19">
        <v>101005</v>
      </c>
      <c r="C9768" s="20" t="s">
        <v>9908</v>
      </c>
      <c r="D9768" s="19" t="s">
        <v>121</v>
      </c>
      <c r="E9768" s="21">
        <f t="shared" si="455"/>
        <v>25.969999999999999</v>
      </c>
      <c r="F9768" s="22"/>
      <c r="G9768" s="21">
        <f t="shared" si="456"/>
        <v>25.780000000000001</v>
      </c>
      <c r="H9768" s="22"/>
      <c r="I9768" s="23" t="str">
        <f t="shared" si="457"/>
        <v xml:space="preserve">COM VALOR</v>
      </c>
      <c r="L9768" s="21">
        <v>25.969999999999999</v>
      </c>
      <c r="M9768" s="22">
        <v>0.28000000000000003</v>
      </c>
      <c r="N9768" s="21">
        <v>25.780000000000001</v>
      </c>
      <c r="O9768" s="22">
        <v>0.28000000000000003</v>
      </c>
    </row>
    <row r="9769" ht="26.25">
      <c r="A9769" t="s">
        <v>9801</v>
      </c>
      <c r="B9769" s="19">
        <v>106757</v>
      </c>
      <c r="C9769" s="20" t="s">
        <v>9909</v>
      </c>
      <c r="D9769" s="19" t="s">
        <v>9591</v>
      </c>
      <c r="E9769" s="21">
        <f t="shared" si="455"/>
        <v>102.20999999999999</v>
      </c>
      <c r="F9769" s="22"/>
      <c r="G9769" s="21">
        <f t="shared" si="456"/>
        <v>100.81999999999999</v>
      </c>
      <c r="H9769" s="22"/>
      <c r="I9769" s="23" t="str">
        <f t="shared" si="457"/>
        <v xml:space="preserve">COM VALOR</v>
      </c>
      <c r="L9769" s="21">
        <v>102.20999999999999</v>
      </c>
      <c r="M9769" s="22">
        <v>0.31</v>
      </c>
      <c r="N9769" s="21">
        <v>100.81999999999999</v>
      </c>
      <c r="O9769" s="22">
        <v>0.32000000000000001</v>
      </c>
    </row>
    <row r="9770" ht="26.25">
      <c r="A9770" t="s">
        <v>9801</v>
      </c>
      <c r="B9770" s="19">
        <v>106713</v>
      </c>
      <c r="C9770" s="20" t="s">
        <v>9910</v>
      </c>
      <c r="D9770" s="19" t="s">
        <v>9591</v>
      </c>
      <c r="E9770" s="21">
        <f t="shared" si="455"/>
        <v>81.719999999999999</v>
      </c>
      <c r="F9770" s="22"/>
      <c r="G9770" s="21">
        <f t="shared" si="456"/>
        <v>80.299999999999997</v>
      </c>
      <c r="H9770" s="22"/>
      <c r="I9770" s="23" t="str">
        <f t="shared" si="457"/>
        <v xml:space="preserve">COM VALOR</v>
      </c>
      <c r="L9770" s="21">
        <v>81.719999999999999</v>
      </c>
      <c r="M9770" s="22">
        <v>0.27000000000000002</v>
      </c>
      <c r="N9770" s="21">
        <v>80.299999999999997</v>
      </c>
      <c r="O9770" s="22">
        <v>0.28000000000000003</v>
      </c>
    </row>
    <row r="9771" ht="26.25">
      <c r="A9771" t="s">
        <v>9801</v>
      </c>
      <c r="B9771" s="19">
        <v>106758</v>
      </c>
      <c r="C9771" s="20" t="s">
        <v>9911</v>
      </c>
      <c r="D9771" s="19" t="s">
        <v>9591</v>
      </c>
      <c r="E9771" s="21">
        <f t="shared" si="455"/>
        <v>73.799999999999997</v>
      </c>
      <c r="F9771" s="22"/>
      <c r="G9771" s="21">
        <f t="shared" si="456"/>
        <v>72.799999999999997</v>
      </c>
      <c r="H9771" s="22"/>
      <c r="I9771" s="23" t="str">
        <f t="shared" si="457"/>
        <v xml:space="preserve">COM VALOR</v>
      </c>
      <c r="L9771" s="21">
        <v>73.799999999999997</v>
      </c>
      <c r="M9771" s="22">
        <v>0.31</v>
      </c>
      <c r="N9771" s="21">
        <v>72.799999999999997</v>
      </c>
      <c r="O9771" s="22">
        <v>0.32000000000000001</v>
      </c>
    </row>
    <row r="9772" ht="26.25">
      <c r="A9772" t="s">
        <v>9801</v>
      </c>
      <c r="B9772" s="19">
        <v>106714</v>
      </c>
      <c r="C9772" s="20" t="s">
        <v>9912</v>
      </c>
      <c r="D9772" s="19" t="s">
        <v>9591</v>
      </c>
      <c r="E9772" s="21">
        <f t="shared" si="455"/>
        <v>59.409999999999997</v>
      </c>
      <c r="F9772" s="22"/>
      <c r="G9772" s="21">
        <f t="shared" si="456"/>
        <v>58.390000000000001</v>
      </c>
      <c r="H9772" s="22"/>
      <c r="I9772" s="23" t="str">
        <f t="shared" si="457"/>
        <v xml:space="preserve">COM VALOR</v>
      </c>
      <c r="L9772" s="21">
        <v>59.409999999999997</v>
      </c>
      <c r="M9772" s="22">
        <v>0.27000000000000002</v>
      </c>
      <c r="N9772" s="21">
        <v>58.390000000000001</v>
      </c>
      <c r="O9772" s="22">
        <v>0.28000000000000003</v>
      </c>
    </row>
    <row r="9773" ht="26.25">
      <c r="A9773" t="s">
        <v>9801</v>
      </c>
      <c r="B9773" s="19">
        <v>106759</v>
      </c>
      <c r="C9773" s="20" t="s">
        <v>9913</v>
      </c>
      <c r="D9773" s="19" t="s">
        <v>9591</v>
      </c>
      <c r="E9773" s="21">
        <f t="shared" si="455"/>
        <v>42.549999999999997</v>
      </c>
      <c r="F9773" s="22"/>
      <c r="G9773" s="21">
        <f t="shared" si="456"/>
        <v>41.969999999999999</v>
      </c>
      <c r="H9773" s="22"/>
      <c r="I9773" s="23" t="str">
        <f t="shared" si="457"/>
        <v xml:space="preserve">COM VALOR</v>
      </c>
      <c r="L9773" s="21">
        <v>42.549999999999997</v>
      </c>
      <c r="M9773" s="22">
        <v>0.31</v>
      </c>
      <c r="N9773" s="21">
        <v>41.969999999999999</v>
      </c>
      <c r="O9773" s="22">
        <v>0.32000000000000001</v>
      </c>
    </row>
    <row r="9774" ht="26.25">
      <c r="A9774" t="s">
        <v>9801</v>
      </c>
      <c r="B9774" s="19">
        <v>106715</v>
      </c>
      <c r="C9774" s="20" t="s">
        <v>9914</v>
      </c>
      <c r="D9774" s="19" t="s">
        <v>9591</v>
      </c>
      <c r="E9774" s="21">
        <f t="shared" si="455"/>
        <v>34.880000000000003</v>
      </c>
      <c r="F9774" s="22"/>
      <c r="G9774" s="21">
        <f t="shared" si="456"/>
        <v>34.259999999999998</v>
      </c>
      <c r="H9774" s="22"/>
      <c r="I9774" s="23" t="str">
        <f t="shared" si="457"/>
        <v xml:space="preserve">COM VALOR</v>
      </c>
      <c r="L9774" s="21">
        <v>34.880000000000003</v>
      </c>
      <c r="M9774" s="22">
        <v>0.27000000000000002</v>
      </c>
      <c r="N9774" s="21">
        <v>34.259999999999998</v>
      </c>
      <c r="O9774" s="22">
        <v>0.28000000000000003</v>
      </c>
    </row>
    <row r="9775" ht="26.25">
      <c r="A9775" t="s">
        <v>9801</v>
      </c>
      <c r="B9775" s="19">
        <v>106762</v>
      </c>
      <c r="C9775" s="20" t="s">
        <v>9915</v>
      </c>
      <c r="D9775" s="19" t="s">
        <v>9591</v>
      </c>
      <c r="E9775" s="21">
        <f t="shared" si="455"/>
        <v>290.20999999999998</v>
      </c>
      <c r="F9775" s="22"/>
      <c r="G9775" s="21">
        <f t="shared" si="456"/>
        <v>286.25999999999999</v>
      </c>
      <c r="H9775" s="22"/>
      <c r="I9775" s="23" t="str">
        <f t="shared" si="457"/>
        <v xml:space="preserve">COM VALOR</v>
      </c>
      <c r="L9775" s="21">
        <v>290.20999999999998</v>
      </c>
      <c r="M9775" s="22">
        <v>0.31</v>
      </c>
      <c r="N9775" s="21">
        <v>286.25999999999999</v>
      </c>
      <c r="O9775" s="22">
        <v>0.32000000000000001</v>
      </c>
    </row>
    <row r="9776" ht="26.25">
      <c r="A9776" t="s">
        <v>9801</v>
      </c>
      <c r="B9776" s="19">
        <v>106718</v>
      </c>
      <c r="C9776" s="20" t="s">
        <v>9916</v>
      </c>
      <c r="D9776" s="19" t="s">
        <v>9591</v>
      </c>
      <c r="E9776" s="21">
        <f t="shared" si="455"/>
        <v>229.34</v>
      </c>
      <c r="F9776" s="22"/>
      <c r="G9776" s="21">
        <f t="shared" si="456"/>
        <v>225.37</v>
      </c>
      <c r="H9776" s="22"/>
      <c r="I9776" s="23" t="str">
        <f t="shared" si="457"/>
        <v xml:space="preserve">COM VALOR</v>
      </c>
      <c r="L9776" s="21">
        <v>229.34</v>
      </c>
      <c r="M9776" s="22">
        <v>0.27000000000000002</v>
      </c>
      <c r="N9776" s="21">
        <v>225.37</v>
      </c>
      <c r="O9776" s="22">
        <v>0.28000000000000003</v>
      </c>
    </row>
    <row r="9777" ht="26.25">
      <c r="A9777" t="s">
        <v>9801</v>
      </c>
      <c r="B9777" s="19">
        <v>106761</v>
      </c>
      <c r="C9777" s="20" t="s">
        <v>9917</v>
      </c>
      <c r="D9777" s="19" t="s">
        <v>9591</v>
      </c>
      <c r="E9777" s="21">
        <f t="shared" si="455"/>
        <v>362.06</v>
      </c>
      <c r="F9777" s="22"/>
      <c r="G9777" s="21">
        <f t="shared" si="456"/>
        <v>357.13999999999999</v>
      </c>
      <c r="H9777" s="22"/>
      <c r="I9777" s="23" t="str">
        <f t="shared" si="457"/>
        <v xml:space="preserve">COM VALOR</v>
      </c>
      <c r="L9777" s="21">
        <v>362.06</v>
      </c>
      <c r="M9777" s="22">
        <v>0.31</v>
      </c>
      <c r="N9777" s="21">
        <v>357.13999999999999</v>
      </c>
      <c r="O9777" s="22">
        <v>0.32000000000000001</v>
      </c>
    </row>
    <row r="9778" ht="26.25">
      <c r="A9778" t="s">
        <v>9801</v>
      </c>
      <c r="B9778" s="19">
        <v>106717</v>
      </c>
      <c r="C9778" s="20" t="s">
        <v>9918</v>
      </c>
      <c r="D9778" s="19" t="s">
        <v>9591</v>
      </c>
      <c r="E9778" s="21">
        <f t="shared" si="455"/>
        <v>285.75</v>
      </c>
      <c r="F9778" s="22"/>
      <c r="G9778" s="21">
        <f t="shared" si="456"/>
        <v>280.81</v>
      </c>
      <c r="H9778" s="22"/>
      <c r="I9778" s="23" t="str">
        <f t="shared" si="457"/>
        <v xml:space="preserve">COM VALOR</v>
      </c>
      <c r="L9778" s="21">
        <v>285.75</v>
      </c>
      <c r="M9778" s="22">
        <v>0.27000000000000002</v>
      </c>
      <c r="N9778" s="21">
        <v>280.81</v>
      </c>
      <c r="O9778" s="22">
        <v>0.28000000000000003</v>
      </c>
    </row>
    <row r="9779" ht="26.25">
      <c r="A9779" t="s">
        <v>9801</v>
      </c>
      <c r="B9779" s="19">
        <v>106760</v>
      </c>
      <c r="C9779" s="20" t="s">
        <v>9919</v>
      </c>
      <c r="D9779" s="19" t="s">
        <v>9591</v>
      </c>
      <c r="E9779" s="21">
        <f t="shared" si="455"/>
        <v>146.5</v>
      </c>
      <c r="F9779" s="22"/>
      <c r="G9779" s="21">
        <f t="shared" si="456"/>
        <v>144.5</v>
      </c>
      <c r="H9779" s="22"/>
      <c r="I9779" s="23" t="str">
        <f t="shared" si="457"/>
        <v xml:space="preserve">COM VALOR</v>
      </c>
      <c r="L9779" s="21">
        <v>146.5</v>
      </c>
      <c r="M9779" s="22">
        <v>0.31</v>
      </c>
      <c r="N9779" s="21">
        <v>144.5</v>
      </c>
      <c r="O9779" s="22">
        <v>0.32000000000000001</v>
      </c>
    </row>
    <row r="9780" ht="26.25">
      <c r="A9780" t="s">
        <v>9801</v>
      </c>
      <c r="B9780" s="19">
        <v>106716</v>
      </c>
      <c r="C9780" s="20" t="s">
        <v>9920</v>
      </c>
      <c r="D9780" s="19" t="s">
        <v>9591</v>
      </c>
      <c r="E9780" s="21">
        <f t="shared" si="455"/>
        <v>116.48999999999999</v>
      </c>
      <c r="F9780" s="22"/>
      <c r="G9780" s="21">
        <f t="shared" si="456"/>
        <v>114.47</v>
      </c>
      <c r="H9780" s="22"/>
      <c r="I9780" s="23" t="str">
        <f t="shared" si="457"/>
        <v xml:space="preserve">COM VALOR</v>
      </c>
      <c r="L9780" s="21">
        <v>116.48999999999999</v>
      </c>
      <c r="M9780" s="22">
        <v>0.27000000000000002</v>
      </c>
      <c r="N9780" s="21">
        <v>114.47</v>
      </c>
      <c r="O9780" s="22">
        <v>0.28000000000000003</v>
      </c>
    </row>
    <row r="9781" ht="26.25">
      <c r="A9781" t="s">
        <v>9801</v>
      </c>
      <c r="B9781" s="19">
        <v>106756</v>
      </c>
      <c r="C9781" s="20" t="s">
        <v>9921</v>
      </c>
      <c r="D9781" s="19" t="s">
        <v>9591</v>
      </c>
      <c r="E9781" s="21">
        <f t="shared" si="455"/>
        <v>334.19</v>
      </c>
      <c r="F9781" s="22"/>
      <c r="G9781" s="21">
        <f t="shared" si="456"/>
        <v>329.66000000000003</v>
      </c>
      <c r="H9781" s="22"/>
      <c r="I9781" s="23" t="str">
        <f t="shared" si="457"/>
        <v xml:space="preserve">COM VALOR</v>
      </c>
      <c r="L9781" s="21">
        <v>334.19</v>
      </c>
      <c r="M9781" s="22">
        <v>0.31</v>
      </c>
      <c r="N9781" s="21">
        <v>329.66000000000003</v>
      </c>
      <c r="O9781" s="22">
        <v>0.32000000000000001</v>
      </c>
    </row>
    <row r="9782" ht="26.25">
      <c r="A9782" t="s">
        <v>9801</v>
      </c>
      <c r="B9782" s="19">
        <v>106712</v>
      </c>
      <c r="C9782" s="20" t="s">
        <v>9922</v>
      </c>
      <c r="D9782" s="19" t="s">
        <v>9591</v>
      </c>
      <c r="E9782" s="21">
        <f t="shared" si="455"/>
        <v>263.87</v>
      </c>
      <c r="F9782" s="22"/>
      <c r="G9782" s="21">
        <f t="shared" si="456"/>
        <v>259.30000000000001</v>
      </c>
      <c r="H9782" s="22"/>
      <c r="I9782" s="23" t="str">
        <f t="shared" si="457"/>
        <v xml:space="preserve">COM VALOR</v>
      </c>
      <c r="L9782" s="21">
        <v>263.87</v>
      </c>
      <c r="M9782" s="22">
        <v>0.27000000000000002</v>
      </c>
      <c r="N9782" s="21">
        <v>259.30000000000001</v>
      </c>
      <c r="O9782" s="22">
        <v>0.28000000000000003</v>
      </c>
    </row>
    <row r="9783" ht="26.25">
      <c r="A9783" t="s">
        <v>9801</v>
      </c>
      <c r="B9783" s="19">
        <v>106745</v>
      </c>
      <c r="C9783" s="20" t="s">
        <v>9923</v>
      </c>
      <c r="D9783" s="19" t="s">
        <v>9591</v>
      </c>
      <c r="E9783" s="21">
        <f t="shared" si="455"/>
        <v>473.41000000000003</v>
      </c>
      <c r="F9783" s="22"/>
      <c r="G9783" s="21">
        <f t="shared" si="456"/>
        <v>465.63</v>
      </c>
      <c r="H9783" s="22"/>
      <c r="I9783" s="23" t="str">
        <f t="shared" si="457"/>
        <v xml:space="preserve">COM VALOR</v>
      </c>
      <c r="L9783" s="21">
        <v>473.41000000000003</v>
      </c>
      <c r="M9783" s="22">
        <v>0.28999999999999998</v>
      </c>
      <c r="N9783" s="21">
        <v>465.63</v>
      </c>
      <c r="O9783" s="22">
        <v>0.29999999999999999</v>
      </c>
    </row>
    <row r="9784" ht="26.25">
      <c r="A9784" t="s">
        <v>9801</v>
      </c>
      <c r="B9784" s="19">
        <v>102568</v>
      </c>
      <c r="C9784" s="20" t="s">
        <v>9924</v>
      </c>
      <c r="D9784" s="19" t="s">
        <v>9591</v>
      </c>
      <c r="E9784" s="21">
        <f t="shared" si="455"/>
        <v>380.60000000000002</v>
      </c>
      <c r="F9784" s="22"/>
      <c r="G9784" s="21">
        <f t="shared" si="456"/>
        <v>372.79000000000002</v>
      </c>
      <c r="H9784" s="22"/>
      <c r="I9784" s="23" t="str">
        <f t="shared" si="457"/>
        <v xml:space="preserve">COM VALOR</v>
      </c>
      <c r="L9784" s="21">
        <v>380.60000000000002</v>
      </c>
      <c r="M9784" s="22">
        <v>0.25</v>
      </c>
      <c r="N9784" s="21">
        <v>372.79000000000002</v>
      </c>
      <c r="O9784" s="22">
        <v>0.255</v>
      </c>
    </row>
    <row r="9785" ht="26.25">
      <c r="A9785" t="s">
        <v>9801</v>
      </c>
      <c r="B9785" s="19">
        <v>106746</v>
      </c>
      <c r="C9785" s="20" t="s">
        <v>9925</v>
      </c>
      <c r="D9785" s="19" t="s">
        <v>9591</v>
      </c>
      <c r="E9785" s="21">
        <f t="shared" si="455"/>
        <v>276.5</v>
      </c>
      <c r="F9785" s="22"/>
      <c r="G9785" s="21">
        <f t="shared" si="456"/>
        <v>271.95999999999998</v>
      </c>
      <c r="H9785" s="22"/>
      <c r="I9785" s="23" t="str">
        <f t="shared" si="457"/>
        <v xml:space="preserve">COM VALOR</v>
      </c>
      <c r="L9785" s="21">
        <v>276.5</v>
      </c>
      <c r="M9785" s="22">
        <v>0.28999999999999998</v>
      </c>
      <c r="N9785" s="21">
        <v>271.95999999999998</v>
      </c>
      <c r="O9785" s="22">
        <v>0.29999999999999999</v>
      </c>
    </row>
    <row r="9786" ht="26.25">
      <c r="A9786" t="s">
        <v>9801</v>
      </c>
      <c r="B9786" s="19">
        <v>101479</v>
      </c>
      <c r="C9786" s="20" t="s">
        <v>9926</v>
      </c>
      <c r="D9786" s="19" t="s">
        <v>9591</v>
      </c>
      <c r="E9786" s="21">
        <f t="shared" si="455"/>
        <v>222.97</v>
      </c>
      <c r="F9786" s="22"/>
      <c r="G9786" s="21">
        <f t="shared" si="456"/>
        <v>218.38999999999999</v>
      </c>
      <c r="H9786" s="22"/>
      <c r="I9786" s="23" t="str">
        <f t="shared" si="457"/>
        <v xml:space="preserve">COM VALOR</v>
      </c>
      <c r="L9786" s="21">
        <v>222.97</v>
      </c>
      <c r="M9786" s="22">
        <v>0.25</v>
      </c>
      <c r="N9786" s="21">
        <v>218.38999999999999</v>
      </c>
      <c r="O9786" s="22">
        <v>0.255</v>
      </c>
    </row>
    <row r="9787" ht="26.25">
      <c r="A9787" t="s">
        <v>9801</v>
      </c>
      <c r="B9787" s="19">
        <v>106744</v>
      </c>
      <c r="C9787" s="20" t="s">
        <v>9927</v>
      </c>
      <c r="D9787" s="19" t="s">
        <v>9591</v>
      </c>
      <c r="E9787" s="21">
        <f t="shared" si="455"/>
        <v>957.26999999999998</v>
      </c>
      <c r="F9787" s="22"/>
      <c r="G9787" s="21">
        <f t="shared" si="456"/>
        <v>941.54999999999995</v>
      </c>
      <c r="H9787" s="22"/>
      <c r="I9787" s="23" t="str">
        <f t="shared" si="457"/>
        <v xml:space="preserve">COM VALOR</v>
      </c>
      <c r="L9787" s="21">
        <v>957.26999999999998</v>
      </c>
      <c r="M9787" s="22">
        <v>0.28999999999999998</v>
      </c>
      <c r="N9787" s="21">
        <v>941.54999999999995</v>
      </c>
      <c r="O9787" s="22">
        <v>0.29999999999999999</v>
      </c>
    </row>
    <row r="9788" ht="26.25">
      <c r="A9788" t="s">
        <v>9801</v>
      </c>
      <c r="B9788" s="19">
        <v>101019</v>
      </c>
      <c r="C9788" s="20" t="s">
        <v>9928</v>
      </c>
      <c r="D9788" s="19" t="s">
        <v>9591</v>
      </c>
      <c r="E9788" s="21">
        <f t="shared" si="455"/>
        <v>767.95000000000005</v>
      </c>
      <c r="F9788" s="22"/>
      <c r="G9788" s="21">
        <f t="shared" si="456"/>
        <v>752.19000000000005</v>
      </c>
      <c r="H9788" s="22"/>
      <c r="I9788" s="23" t="str">
        <f t="shared" si="457"/>
        <v xml:space="preserve">COM VALOR</v>
      </c>
      <c r="L9788" s="21">
        <v>767.95000000000005</v>
      </c>
      <c r="M9788" s="22">
        <v>0.25</v>
      </c>
      <c r="N9788" s="21">
        <v>752.19000000000005</v>
      </c>
      <c r="O9788" s="22">
        <v>0.255</v>
      </c>
    </row>
    <row r="9789" ht="26.25">
      <c r="A9789" t="s">
        <v>9801</v>
      </c>
      <c r="B9789" s="19">
        <v>106763</v>
      </c>
      <c r="C9789" s="20" t="s">
        <v>9929</v>
      </c>
      <c r="D9789" s="19" t="s">
        <v>9591</v>
      </c>
      <c r="E9789" s="21">
        <f t="shared" si="455"/>
        <v>92.469999999999999</v>
      </c>
      <c r="F9789" s="22"/>
      <c r="G9789" s="21">
        <f t="shared" si="456"/>
        <v>90.959999999999994</v>
      </c>
      <c r="H9789" s="22"/>
      <c r="I9789" s="23" t="str">
        <f t="shared" si="457"/>
        <v xml:space="preserve">COM VALOR</v>
      </c>
      <c r="L9789" s="21">
        <v>92.469999999999999</v>
      </c>
      <c r="M9789" s="22">
        <v>0.20999999999999999</v>
      </c>
      <c r="N9789" s="21">
        <v>90.959999999999994</v>
      </c>
      <c r="O9789" s="22">
        <v>0.20999999999999999</v>
      </c>
    </row>
    <row r="9790" ht="26.25">
      <c r="A9790" t="s">
        <v>9801</v>
      </c>
      <c r="B9790" s="19">
        <v>106719</v>
      </c>
      <c r="C9790" s="20" t="s">
        <v>9930</v>
      </c>
      <c r="D9790" s="19" t="s">
        <v>9591</v>
      </c>
      <c r="E9790" s="21">
        <f t="shared" si="455"/>
        <v>81.299999999999997</v>
      </c>
      <c r="F9790" s="22"/>
      <c r="G9790" s="21">
        <f t="shared" si="456"/>
        <v>79.75</v>
      </c>
      <c r="H9790" s="22"/>
      <c r="I9790" s="23" t="str">
        <f t="shared" si="457"/>
        <v xml:space="preserve">COM VALOR</v>
      </c>
      <c r="L9790" s="21">
        <v>81.299999999999997</v>
      </c>
      <c r="M9790" s="22">
        <v>0.17000000000000001</v>
      </c>
      <c r="N9790" s="21">
        <v>79.75</v>
      </c>
      <c r="O9790" s="22">
        <v>0.17000000000000001</v>
      </c>
    </row>
    <row r="9791" ht="26.25">
      <c r="A9791" t="s">
        <v>9801</v>
      </c>
      <c r="B9791" s="19">
        <v>100938</v>
      </c>
      <c r="C9791" s="20" t="s">
        <v>9931</v>
      </c>
      <c r="D9791" s="19" t="s">
        <v>9703</v>
      </c>
      <c r="E9791" s="21">
        <f t="shared" si="455"/>
        <v>7.9400000000000004</v>
      </c>
      <c r="F9791" s="22"/>
      <c r="G9791" s="21">
        <f t="shared" si="456"/>
        <v>7.8899999999999997</v>
      </c>
      <c r="H9791" s="22"/>
      <c r="I9791" s="23" t="str">
        <f t="shared" si="457"/>
        <v xml:space="preserve">COM VALOR</v>
      </c>
      <c r="L9791" s="21">
        <v>7.9400000000000004</v>
      </c>
      <c r="M9791" s="22">
        <v>0.37</v>
      </c>
      <c r="N9791" s="21">
        <v>7.8899999999999997</v>
      </c>
      <c r="O9791" s="22">
        <v>0.38</v>
      </c>
    </row>
    <row r="9792" ht="26.25">
      <c r="A9792" t="s">
        <v>9801</v>
      </c>
      <c r="B9792" s="19">
        <v>100942</v>
      </c>
      <c r="C9792" s="20" t="s">
        <v>9932</v>
      </c>
      <c r="D9792" s="19" t="s">
        <v>9693</v>
      </c>
      <c r="E9792" s="21">
        <f t="shared" si="455"/>
        <v>5.29</v>
      </c>
      <c r="F9792" s="22"/>
      <c r="G9792" s="21">
        <f t="shared" si="456"/>
        <v>5.25</v>
      </c>
      <c r="H9792" s="22"/>
      <c r="I9792" s="23" t="str">
        <f t="shared" si="457"/>
        <v xml:space="preserve">COM VALOR</v>
      </c>
      <c r="L9792" s="21">
        <v>5.29</v>
      </c>
      <c r="M9792" s="22">
        <v>0.37</v>
      </c>
      <c r="N9792" s="21">
        <v>5.25</v>
      </c>
      <c r="O9792" s="22">
        <v>0.38</v>
      </c>
    </row>
    <row r="9793" ht="26.25">
      <c r="A9793" t="s">
        <v>9801</v>
      </c>
      <c r="B9793" s="19">
        <v>93588</v>
      </c>
      <c r="C9793" s="20" t="s">
        <v>9933</v>
      </c>
      <c r="D9793" s="19" t="s">
        <v>9703</v>
      </c>
      <c r="E9793" s="21">
        <f t="shared" si="455"/>
        <v>3.96</v>
      </c>
      <c r="F9793" s="22"/>
      <c r="G9793" s="21">
        <f t="shared" si="456"/>
        <v>3.9399999999999999</v>
      </c>
      <c r="H9793" s="22"/>
      <c r="I9793" s="23" t="str">
        <f t="shared" si="457"/>
        <v xml:space="preserve">COM VALOR</v>
      </c>
      <c r="L9793" s="21">
        <v>3.96</v>
      </c>
      <c r="M9793" s="22">
        <v>0.37</v>
      </c>
      <c r="N9793" s="21">
        <v>3.9399999999999999</v>
      </c>
      <c r="O9793" s="22">
        <v>0.38</v>
      </c>
    </row>
    <row r="9794" ht="26.25">
      <c r="A9794" t="s">
        <v>9801</v>
      </c>
      <c r="B9794" s="19">
        <v>93594</v>
      </c>
      <c r="C9794" s="20" t="s">
        <v>9934</v>
      </c>
      <c r="D9794" s="19" t="s">
        <v>9693</v>
      </c>
      <c r="E9794" s="21">
        <f t="shared" si="455"/>
        <v>2.6400000000000001</v>
      </c>
      <c r="F9794" s="22"/>
      <c r="G9794" s="21">
        <f t="shared" si="456"/>
        <v>2.6200000000000001</v>
      </c>
      <c r="H9794" s="22"/>
      <c r="I9794" s="23" t="str">
        <f t="shared" si="457"/>
        <v xml:space="preserve">COM VALOR</v>
      </c>
      <c r="L9794" s="21">
        <v>2.6400000000000001</v>
      </c>
      <c r="M9794" s="22">
        <v>0.37</v>
      </c>
      <c r="N9794" s="21">
        <v>2.6200000000000001</v>
      </c>
      <c r="O9794" s="22">
        <v>0.37</v>
      </c>
      <c r="P9794" s="21"/>
      <c r="Q9794" s="22"/>
    </row>
    <row r="9795" ht="26.25">
      <c r="A9795" t="s">
        <v>9801</v>
      </c>
      <c r="B9795" s="19">
        <v>93589</v>
      </c>
      <c r="C9795" s="20" t="s">
        <v>9935</v>
      </c>
      <c r="D9795" s="19" t="s">
        <v>9703</v>
      </c>
      <c r="E9795" s="21">
        <f t="shared" si="455"/>
        <v>3.02</v>
      </c>
      <c r="F9795" s="22"/>
      <c r="G9795" s="21">
        <f t="shared" si="456"/>
        <v>3</v>
      </c>
      <c r="H9795" s="22"/>
      <c r="I9795" s="23" t="str">
        <f t="shared" si="457"/>
        <v xml:space="preserve">COM VALOR</v>
      </c>
      <c r="L9795" s="21">
        <v>3.02</v>
      </c>
      <c r="M9795" s="22">
        <v>0.37</v>
      </c>
      <c r="N9795" s="21">
        <v>3</v>
      </c>
      <c r="O9795" s="22">
        <v>0.37</v>
      </c>
      <c r="P9795" s="21"/>
      <c r="Q9795" s="22"/>
    </row>
    <row r="9796" ht="26.25">
      <c r="A9796" t="s">
        <v>9801</v>
      </c>
      <c r="B9796" s="19">
        <v>93595</v>
      </c>
      <c r="C9796" s="20" t="s">
        <v>9936</v>
      </c>
      <c r="D9796" s="19" t="s">
        <v>9693</v>
      </c>
      <c r="E9796" s="21">
        <f t="shared" si="455"/>
        <v>2.0099999999999998</v>
      </c>
      <c r="F9796" s="22"/>
      <c r="G9796" s="21">
        <f t="shared" si="456"/>
        <v>2</v>
      </c>
      <c r="H9796" s="22"/>
      <c r="I9796" s="23" t="str">
        <f t="shared" si="457"/>
        <v xml:space="preserve">COM VALOR</v>
      </c>
      <c r="L9796" s="21">
        <v>2.0099999999999998</v>
      </c>
      <c r="M9796" s="22">
        <v>0.37</v>
      </c>
      <c r="N9796" s="21">
        <v>2</v>
      </c>
      <c r="O9796" s="22">
        <v>0.375</v>
      </c>
      <c r="P9796" s="21"/>
      <c r="Q9796" s="22"/>
    </row>
    <row r="9797" ht="39">
      <c r="A9797" t="s">
        <v>9801</v>
      </c>
      <c r="B9797" s="19">
        <v>93590</v>
      </c>
      <c r="C9797" s="20" t="s">
        <v>9937</v>
      </c>
      <c r="D9797" s="19" t="s">
        <v>9703</v>
      </c>
      <c r="E9797" s="21">
        <f t="shared" si="455"/>
        <v>1.05</v>
      </c>
      <c r="F9797" s="22"/>
      <c r="G9797" s="21">
        <f t="shared" si="456"/>
        <v>1.05</v>
      </c>
      <c r="H9797" s="22"/>
      <c r="I9797" s="23" t="str">
        <f t="shared" si="457"/>
        <v xml:space="preserve">COM VALOR</v>
      </c>
      <c r="L9797" s="21">
        <v>1.05</v>
      </c>
      <c r="M9797" s="22">
        <v>0.35999999999999999</v>
      </c>
      <c r="N9797" s="21">
        <v>1.05</v>
      </c>
      <c r="O9797" s="22">
        <v>0.35999999999999999</v>
      </c>
      <c r="P9797" s="21"/>
      <c r="Q9797" s="22"/>
    </row>
    <row r="9798" ht="39">
      <c r="A9798" t="s">
        <v>9801</v>
      </c>
      <c r="B9798" s="19">
        <v>93596</v>
      </c>
      <c r="C9798" s="20" t="s">
        <v>9938</v>
      </c>
      <c r="D9798" s="19" t="s">
        <v>9693</v>
      </c>
      <c r="E9798" s="21">
        <f t="shared" si="455"/>
        <v>0.69999999999999996</v>
      </c>
      <c r="F9798" s="22"/>
      <c r="G9798" s="21">
        <f t="shared" si="456"/>
        <v>0.69999999999999996</v>
      </c>
      <c r="H9798" s="22"/>
      <c r="I9798" s="23" t="str">
        <f t="shared" si="457"/>
        <v xml:space="preserve">COM VALOR</v>
      </c>
      <c r="L9798" s="21">
        <v>0.69999999999999996</v>
      </c>
      <c r="M9798" s="22">
        <v>0.35999999999999999</v>
      </c>
      <c r="N9798" s="21">
        <v>0.69999999999999996</v>
      </c>
      <c r="O9798" s="22">
        <v>0.35999999999999999</v>
      </c>
      <c r="P9798" s="21"/>
      <c r="Q9798" s="22"/>
    </row>
    <row r="9799" ht="26.25">
      <c r="A9799" t="s">
        <v>9801</v>
      </c>
      <c r="B9799" s="19">
        <v>95875</v>
      </c>
      <c r="C9799" s="20" t="s">
        <v>9939</v>
      </c>
      <c r="D9799" s="19" t="s">
        <v>9703</v>
      </c>
      <c r="E9799" s="21">
        <f t="shared" si="455"/>
        <v>2.7599999999999998</v>
      </c>
      <c r="F9799" s="22"/>
      <c r="G9799" s="21">
        <f t="shared" si="456"/>
        <v>2.73</v>
      </c>
      <c r="H9799" s="22"/>
      <c r="I9799" s="23" t="str">
        <f t="shared" si="457"/>
        <v xml:space="preserve">COM VALOR</v>
      </c>
      <c r="L9799" s="21">
        <v>2.7599999999999998</v>
      </c>
      <c r="M9799" s="22">
        <v>0.37</v>
      </c>
      <c r="N9799" s="21">
        <v>2.73</v>
      </c>
      <c r="O9799" s="22">
        <v>0.38</v>
      </c>
      <c r="P9799" s="21"/>
      <c r="Q9799" s="22"/>
    </row>
    <row r="9800" ht="26.25">
      <c r="A9800" t="s">
        <v>9801</v>
      </c>
      <c r="B9800" s="19">
        <v>95878</v>
      </c>
      <c r="C9800" s="20" t="s">
        <v>9940</v>
      </c>
      <c r="D9800" s="19" t="s">
        <v>9693</v>
      </c>
      <c r="E9800" s="21">
        <f t="shared" si="455"/>
        <v>1.8400000000000001</v>
      </c>
      <c r="F9800" s="22"/>
      <c r="G9800" s="21">
        <f t="shared" si="456"/>
        <v>1.8200000000000001</v>
      </c>
      <c r="H9800" s="22"/>
      <c r="I9800" s="23" t="str">
        <f t="shared" si="457"/>
        <v xml:space="preserve">COM VALOR</v>
      </c>
      <c r="L9800" s="21">
        <v>1.8400000000000001</v>
      </c>
      <c r="M9800" s="22">
        <v>0.37</v>
      </c>
      <c r="N9800" s="21">
        <v>1.8200000000000001</v>
      </c>
      <c r="O9800" s="22">
        <v>0.37</v>
      </c>
      <c r="P9800" s="21"/>
      <c r="Q9800" s="22"/>
    </row>
    <row r="9801" ht="26.25">
      <c r="A9801" t="s">
        <v>9801</v>
      </c>
      <c r="B9801" s="19">
        <v>100943</v>
      </c>
      <c r="C9801" s="20" t="s">
        <v>9941</v>
      </c>
      <c r="D9801" s="19" t="s">
        <v>9693</v>
      </c>
      <c r="E9801" s="21">
        <f t="shared" si="455"/>
        <v>4.5899999999999999</v>
      </c>
      <c r="F9801" s="22"/>
      <c r="G9801" s="21">
        <f t="shared" si="456"/>
        <v>4.5700000000000003</v>
      </c>
      <c r="H9801" s="22"/>
      <c r="I9801" s="23" t="str">
        <f t="shared" si="457"/>
        <v xml:space="preserve">COM VALOR</v>
      </c>
      <c r="L9801" s="21">
        <v>4.5899999999999999</v>
      </c>
      <c r="M9801" s="22">
        <v>0.12</v>
      </c>
      <c r="N9801" s="21">
        <v>4.5700000000000003</v>
      </c>
      <c r="O9801" s="22">
        <v>0.12</v>
      </c>
      <c r="P9801" s="21"/>
      <c r="Q9801" s="22"/>
    </row>
    <row r="9802" ht="26.25">
      <c r="A9802" t="s">
        <v>9801</v>
      </c>
      <c r="B9802" s="19">
        <v>100939</v>
      </c>
      <c r="C9802" s="20" t="s">
        <v>9942</v>
      </c>
      <c r="D9802" s="19" t="s">
        <v>9703</v>
      </c>
      <c r="E9802" s="21">
        <f t="shared" si="455"/>
        <v>6.9000000000000004</v>
      </c>
      <c r="F9802" s="22"/>
      <c r="G9802" s="21">
        <f t="shared" si="456"/>
        <v>6.8600000000000003</v>
      </c>
      <c r="H9802" s="22"/>
      <c r="I9802" s="23" t="str">
        <f t="shared" si="457"/>
        <v xml:space="preserve">COM VALOR</v>
      </c>
      <c r="L9802" s="21">
        <v>6.9000000000000004</v>
      </c>
      <c r="M9802" s="22">
        <v>0.12</v>
      </c>
      <c r="N9802" s="21">
        <v>6.8600000000000003</v>
      </c>
      <c r="O9802" s="22">
        <v>0.12</v>
      </c>
      <c r="P9802" s="21"/>
      <c r="Q9802" s="22"/>
    </row>
    <row r="9803" ht="26.25">
      <c r="A9803" t="s">
        <v>9801</v>
      </c>
      <c r="B9803" s="19">
        <v>93591</v>
      </c>
      <c r="C9803" s="20" t="s">
        <v>9943</v>
      </c>
      <c r="D9803" s="19" t="s">
        <v>9703</v>
      </c>
      <c r="E9803" s="21">
        <f t="shared" ref="E9803:E9866" si="458">IF(L9803=0,"VERIFICAR",L9803)</f>
        <v>3.4500000000000002</v>
      </c>
      <c r="F9803" s="22"/>
      <c r="G9803" s="21">
        <f t="shared" ref="G9803:G9866" si="459">IF(N9803=0,"VERIFICAR",N9803)</f>
        <v>3.4199999999999999</v>
      </c>
      <c r="H9803" s="22"/>
      <c r="I9803" s="23" t="str">
        <f t="shared" ref="I9803:I9866" si="460">IF(OR(E9803=0,G9803=0),"SEM VALOR","COM VALOR")</f>
        <v xml:space="preserve">COM VALOR</v>
      </c>
      <c r="L9803" s="21">
        <v>3.4500000000000002</v>
      </c>
      <c r="M9803" s="22">
        <v>0.12</v>
      </c>
      <c r="N9803" s="21">
        <v>3.4199999999999999</v>
      </c>
      <c r="O9803" s="22">
        <v>0.12</v>
      </c>
      <c r="P9803" s="21"/>
      <c r="Q9803" s="22"/>
    </row>
    <row r="9804" ht="26.25">
      <c r="A9804" t="s">
        <v>9801</v>
      </c>
      <c r="B9804" s="19">
        <v>93597</v>
      </c>
      <c r="C9804" s="20" t="s">
        <v>9944</v>
      </c>
      <c r="D9804" s="19" t="s">
        <v>9693</v>
      </c>
      <c r="E9804" s="21">
        <f t="shared" si="458"/>
        <v>2.29</v>
      </c>
      <c r="F9804" s="22"/>
      <c r="G9804" s="21">
        <f t="shared" si="459"/>
        <v>2.2799999999999998</v>
      </c>
      <c r="H9804" s="22"/>
      <c r="I9804" s="23" t="str">
        <f t="shared" si="460"/>
        <v xml:space="preserve">COM VALOR</v>
      </c>
      <c r="L9804" s="21">
        <v>2.29</v>
      </c>
      <c r="M9804" s="22">
        <v>0.12</v>
      </c>
      <c r="N9804" s="21">
        <v>2.2799999999999998</v>
      </c>
      <c r="O9804" s="22">
        <v>0.12</v>
      </c>
      <c r="P9804" s="21"/>
      <c r="Q9804" s="22"/>
    </row>
    <row r="9805" ht="26.25">
      <c r="A9805" t="s">
        <v>9801</v>
      </c>
      <c r="B9805" s="19">
        <v>93592</v>
      </c>
      <c r="C9805" s="20" t="s">
        <v>9945</v>
      </c>
      <c r="D9805" s="19" t="s">
        <v>9703</v>
      </c>
      <c r="E9805" s="21">
        <f t="shared" si="458"/>
        <v>2.6299999999999999</v>
      </c>
      <c r="F9805" s="22"/>
      <c r="G9805" s="21">
        <f t="shared" si="459"/>
        <v>2.6000000000000001</v>
      </c>
      <c r="H9805" s="22"/>
      <c r="I9805" s="23" t="str">
        <f t="shared" si="460"/>
        <v xml:space="preserve">COM VALOR</v>
      </c>
      <c r="L9805" s="21">
        <v>2.6299999999999999</v>
      </c>
      <c r="M9805" s="22">
        <v>0.11</v>
      </c>
      <c r="N9805" s="21">
        <v>2.6000000000000001</v>
      </c>
      <c r="O9805" s="22">
        <v>0.12</v>
      </c>
      <c r="P9805" s="21"/>
      <c r="Q9805" s="22"/>
    </row>
    <row r="9806" ht="26.25">
      <c r="A9806" t="s">
        <v>9801</v>
      </c>
      <c r="B9806" s="19">
        <v>93598</v>
      </c>
      <c r="C9806" s="20" t="s">
        <v>9946</v>
      </c>
      <c r="D9806" s="19" t="s">
        <v>9693</v>
      </c>
      <c r="E9806" s="21">
        <f t="shared" si="458"/>
        <v>1.74</v>
      </c>
      <c r="F9806" s="22"/>
      <c r="G9806" s="21">
        <f t="shared" si="459"/>
        <v>1.73</v>
      </c>
      <c r="H9806" s="22"/>
      <c r="I9806" s="23" t="str">
        <f t="shared" si="460"/>
        <v xml:space="preserve">COM VALOR</v>
      </c>
      <c r="L9806" s="21">
        <v>1.74</v>
      </c>
      <c r="M9806" s="22">
        <v>0.11</v>
      </c>
      <c r="N9806" s="21">
        <v>1.73</v>
      </c>
      <c r="O9806" s="22">
        <v>0.12</v>
      </c>
      <c r="P9806" s="21"/>
      <c r="Q9806" s="22"/>
    </row>
    <row r="9807" ht="39">
      <c r="A9807" t="s">
        <v>9801</v>
      </c>
      <c r="B9807" s="19">
        <v>93593</v>
      </c>
      <c r="C9807" s="20" t="s">
        <v>9947</v>
      </c>
      <c r="D9807" s="19" t="s">
        <v>9703</v>
      </c>
      <c r="E9807" s="21">
        <f t="shared" si="458"/>
        <v>0.91000000000000003</v>
      </c>
      <c r="F9807" s="22"/>
      <c r="G9807" s="21">
        <f t="shared" si="459"/>
        <v>0.90000000000000002</v>
      </c>
      <c r="H9807" s="22"/>
      <c r="I9807" s="23" t="str">
        <f t="shared" si="460"/>
        <v xml:space="preserve">COM VALOR</v>
      </c>
      <c r="L9807" s="21">
        <v>0.91000000000000003</v>
      </c>
      <c r="M9807" s="22">
        <v>0.11</v>
      </c>
      <c r="N9807" s="21">
        <v>0.90000000000000002</v>
      </c>
      <c r="O9807" s="22">
        <v>0.11</v>
      </c>
      <c r="P9807" s="21"/>
      <c r="Q9807" s="22"/>
    </row>
    <row r="9808" ht="39">
      <c r="A9808" t="s">
        <v>9801</v>
      </c>
      <c r="B9808" s="19">
        <v>93599</v>
      </c>
      <c r="C9808" s="20" t="s">
        <v>9948</v>
      </c>
      <c r="D9808" s="19" t="s">
        <v>9693</v>
      </c>
      <c r="E9808" s="21">
        <f t="shared" si="458"/>
        <v>0.60999999999999999</v>
      </c>
      <c r="F9808" s="22"/>
      <c r="G9808" s="21">
        <f t="shared" si="459"/>
        <v>0.59999999999999998</v>
      </c>
      <c r="H9808" s="22"/>
      <c r="I9808" s="23" t="str">
        <f t="shared" si="460"/>
        <v xml:space="preserve">COM VALOR</v>
      </c>
      <c r="L9808" s="21">
        <v>0.60999999999999999</v>
      </c>
      <c r="M9808" s="22">
        <v>0.11</v>
      </c>
      <c r="N9808" s="21">
        <v>0.59999999999999998</v>
      </c>
      <c r="O9808" s="22">
        <v>0.12</v>
      </c>
      <c r="P9808" s="21"/>
      <c r="Q9808" s="22"/>
    </row>
    <row r="9809" ht="26.25">
      <c r="A9809" t="s">
        <v>9801</v>
      </c>
      <c r="B9809" s="19">
        <v>95876</v>
      </c>
      <c r="C9809" s="20" t="s">
        <v>9949</v>
      </c>
      <c r="D9809" s="19" t="s">
        <v>9703</v>
      </c>
      <c r="E9809" s="21">
        <f t="shared" si="458"/>
        <v>2.3999999999999999</v>
      </c>
      <c r="F9809" s="22"/>
      <c r="G9809" s="21">
        <f t="shared" si="459"/>
        <v>2.3799999999999999</v>
      </c>
      <c r="H9809" s="22"/>
      <c r="I9809" s="23" t="str">
        <f t="shared" si="460"/>
        <v xml:space="preserve">COM VALOR</v>
      </c>
      <c r="L9809" s="21">
        <v>2.3999999999999999</v>
      </c>
      <c r="M9809" s="22">
        <v>0.12</v>
      </c>
      <c r="N9809" s="21">
        <v>2.3799999999999999</v>
      </c>
      <c r="O9809" s="22">
        <v>0.12</v>
      </c>
      <c r="P9809" s="21"/>
      <c r="Q9809" s="22"/>
    </row>
    <row r="9810" ht="26.25">
      <c r="A9810" t="s">
        <v>9801</v>
      </c>
      <c r="B9810" s="19">
        <v>95879</v>
      </c>
      <c r="C9810" s="20" t="s">
        <v>9950</v>
      </c>
      <c r="D9810" s="19" t="s">
        <v>9693</v>
      </c>
      <c r="E9810" s="21">
        <f t="shared" si="458"/>
        <v>1.5900000000000001</v>
      </c>
      <c r="F9810" s="22"/>
      <c r="G9810" s="21">
        <f t="shared" si="459"/>
        <v>1.5900000000000001</v>
      </c>
      <c r="H9810" s="22"/>
      <c r="I9810" s="23" t="str">
        <f t="shared" si="460"/>
        <v xml:space="preserve">COM VALOR</v>
      </c>
      <c r="L9810" s="21">
        <v>1.5900000000000001</v>
      </c>
      <c r="M9810" s="22">
        <v>0.11</v>
      </c>
      <c r="N9810" s="21">
        <v>1.5900000000000001</v>
      </c>
      <c r="O9810" s="22">
        <v>0.11</v>
      </c>
      <c r="P9810" s="21"/>
      <c r="Q9810" s="22"/>
    </row>
    <row r="9811" ht="26.25">
      <c r="A9811" t="s">
        <v>9801</v>
      </c>
      <c r="B9811" s="19">
        <v>100940</v>
      </c>
      <c r="C9811" s="20" t="s">
        <v>9951</v>
      </c>
      <c r="D9811" s="19" t="s">
        <v>9703</v>
      </c>
      <c r="E9811" s="21">
        <f t="shared" si="458"/>
        <v>5.9299999999999997</v>
      </c>
      <c r="F9811" s="22"/>
      <c r="G9811" s="21">
        <f t="shared" si="459"/>
        <v>5.8899999999999997</v>
      </c>
      <c r="H9811" s="22"/>
      <c r="I9811" s="23" t="str">
        <f t="shared" si="460"/>
        <v xml:space="preserve">COM VALOR</v>
      </c>
      <c r="L9811" s="21">
        <v>5.9299999999999997</v>
      </c>
      <c r="M9811" s="22">
        <v>0.13</v>
      </c>
      <c r="N9811" s="21">
        <v>5.8899999999999997</v>
      </c>
      <c r="O9811" s="22">
        <v>0.13</v>
      </c>
      <c r="P9811" s="21"/>
      <c r="Q9811" s="22"/>
    </row>
    <row r="9812" ht="26.25">
      <c r="A9812" t="s">
        <v>9801</v>
      </c>
      <c r="B9812" s="19">
        <v>100944</v>
      </c>
      <c r="C9812" s="20" t="s">
        <v>9952</v>
      </c>
      <c r="D9812" s="19" t="s">
        <v>9693</v>
      </c>
      <c r="E9812" s="21">
        <f t="shared" si="458"/>
        <v>3.9500000000000002</v>
      </c>
      <c r="F9812" s="22"/>
      <c r="G9812" s="21">
        <f t="shared" si="459"/>
        <v>3.9199999999999999</v>
      </c>
      <c r="H9812" s="22"/>
      <c r="I9812" s="23" t="str">
        <f t="shared" si="460"/>
        <v xml:space="preserve">COM VALOR</v>
      </c>
      <c r="L9812" s="21">
        <v>3.9500000000000002</v>
      </c>
      <c r="M9812" s="22">
        <v>0.12</v>
      </c>
      <c r="N9812" s="21">
        <v>3.9199999999999999</v>
      </c>
      <c r="O9812" s="22">
        <v>0.125</v>
      </c>
      <c r="P9812" s="21"/>
      <c r="Q9812" s="22"/>
    </row>
    <row r="9813" ht="26.25">
      <c r="A9813" t="s">
        <v>9801</v>
      </c>
      <c r="B9813" s="19">
        <v>95425</v>
      </c>
      <c r="C9813" s="20" t="s">
        <v>9953</v>
      </c>
      <c r="D9813" s="19" t="s">
        <v>9703</v>
      </c>
      <c r="E9813" s="21">
        <f t="shared" si="458"/>
        <v>2.96</v>
      </c>
      <c r="F9813" s="22"/>
      <c r="G9813" s="21">
        <f t="shared" si="459"/>
        <v>2.9399999999999999</v>
      </c>
      <c r="H9813" s="22"/>
      <c r="I9813" s="23" t="str">
        <f t="shared" si="460"/>
        <v xml:space="preserve">COM VALOR</v>
      </c>
      <c r="L9813" s="21">
        <v>2.96</v>
      </c>
      <c r="M9813" s="22">
        <v>0.125</v>
      </c>
      <c r="N9813" s="21">
        <v>2.9399999999999999</v>
      </c>
      <c r="O9813" s="22">
        <v>0.13</v>
      </c>
      <c r="P9813" s="21"/>
      <c r="Q9813" s="22"/>
    </row>
    <row r="9814" ht="26.25">
      <c r="A9814" t="s">
        <v>9801</v>
      </c>
      <c r="B9814" s="19">
        <v>95428</v>
      </c>
      <c r="C9814" s="20" t="s">
        <v>9954</v>
      </c>
      <c r="D9814" s="19" t="s">
        <v>9693</v>
      </c>
      <c r="E9814" s="21">
        <f t="shared" si="458"/>
        <v>1.97</v>
      </c>
      <c r="F9814" s="22"/>
      <c r="G9814" s="21">
        <f t="shared" si="459"/>
        <v>1.96</v>
      </c>
      <c r="H9814" s="22"/>
      <c r="I9814" s="23" t="str">
        <f t="shared" si="460"/>
        <v xml:space="preserve">COM VALOR</v>
      </c>
      <c r="L9814" s="21">
        <v>1.97</v>
      </c>
      <c r="M9814" s="22">
        <v>0.12</v>
      </c>
      <c r="N9814" s="21">
        <v>1.96</v>
      </c>
      <c r="O9814" s="22">
        <v>0.12</v>
      </c>
      <c r="P9814" s="21"/>
      <c r="Q9814" s="22"/>
    </row>
    <row r="9815" ht="26.25">
      <c r="A9815" t="s">
        <v>9801</v>
      </c>
      <c r="B9815" s="19">
        <v>95426</v>
      </c>
      <c r="C9815" s="20" t="s">
        <v>9955</v>
      </c>
      <c r="D9815" s="19" t="s">
        <v>9703</v>
      </c>
      <c r="E9815" s="21">
        <f t="shared" si="458"/>
        <v>2.2599999999999998</v>
      </c>
      <c r="F9815" s="22"/>
      <c r="G9815" s="21">
        <f t="shared" si="459"/>
        <v>2.2400000000000002</v>
      </c>
      <c r="H9815" s="22"/>
      <c r="I9815" s="23" t="str">
        <f t="shared" si="460"/>
        <v xml:space="preserve">COM VALOR</v>
      </c>
      <c r="L9815" s="21">
        <v>2.2599999999999998</v>
      </c>
      <c r="M9815" s="22">
        <v>0.12</v>
      </c>
      <c r="N9815" s="21">
        <v>2.2400000000000002</v>
      </c>
      <c r="O9815" s="22">
        <v>0.125</v>
      </c>
      <c r="P9815" s="21"/>
      <c r="Q9815" s="22"/>
    </row>
    <row r="9816" ht="26.25">
      <c r="A9816" t="s">
        <v>9801</v>
      </c>
      <c r="B9816" s="19">
        <v>95429</v>
      </c>
      <c r="C9816" s="20" t="s">
        <v>9956</v>
      </c>
      <c r="D9816" s="19" t="s">
        <v>9693</v>
      </c>
      <c r="E9816" s="21">
        <f t="shared" si="458"/>
        <v>1.5</v>
      </c>
      <c r="F9816" s="22"/>
      <c r="G9816" s="21">
        <f t="shared" si="459"/>
        <v>1.49</v>
      </c>
      <c r="H9816" s="22"/>
      <c r="I9816" s="23" t="str">
        <f t="shared" si="460"/>
        <v xml:space="preserve">COM VALOR</v>
      </c>
      <c r="L9816" s="21">
        <v>1.5</v>
      </c>
      <c r="M9816" s="22">
        <v>0.12</v>
      </c>
      <c r="N9816" s="21">
        <v>1.49</v>
      </c>
      <c r="O9816" s="22">
        <v>0.12</v>
      </c>
      <c r="P9816" s="21"/>
      <c r="Q9816" s="22"/>
    </row>
    <row r="9817" ht="39">
      <c r="A9817" t="s">
        <v>9801</v>
      </c>
      <c r="B9817" s="19">
        <v>95427</v>
      </c>
      <c r="C9817" s="20" t="s">
        <v>9957</v>
      </c>
      <c r="D9817" s="19" t="s">
        <v>9703</v>
      </c>
      <c r="E9817" s="21">
        <f t="shared" si="458"/>
        <v>0.78000000000000003</v>
      </c>
      <c r="F9817" s="22"/>
      <c r="G9817" s="21">
        <f t="shared" si="459"/>
        <v>0.78000000000000003</v>
      </c>
      <c r="H9817" s="22"/>
      <c r="I9817" s="23" t="str">
        <f t="shared" si="460"/>
        <v xml:space="preserve">COM VALOR</v>
      </c>
      <c r="L9817" s="21">
        <v>0.78000000000000003</v>
      </c>
      <c r="M9817" s="22">
        <v>0.12</v>
      </c>
      <c r="N9817" s="21">
        <v>0.78000000000000003</v>
      </c>
      <c r="O9817" s="22">
        <v>0.12</v>
      </c>
      <c r="P9817" s="21"/>
      <c r="Q9817" s="22"/>
    </row>
    <row r="9818" ht="39">
      <c r="A9818" t="s">
        <v>9801</v>
      </c>
      <c r="B9818" s="19">
        <v>95430</v>
      </c>
      <c r="C9818" s="20" t="s">
        <v>9958</v>
      </c>
      <c r="D9818" s="19" t="s">
        <v>9693</v>
      </c>
      <c r="E9818" s="21">
        <f t="shared" si="458"/>
        <v>0.52000000000000002</v>
      </c>
      <c r="F9818" s="22"/>
      <c r="G9818" s="21">
        <f t="shared" si="459"/>
        <v>0.52000000000000002</v>
      </c>
      <c r="H9818" s="22"/>
      <c r="I9818" s="23" t="str">
        <f t="shared" si="460"/>
        <v xml:space="preserve">COM VALOR</v>
      </c>
      <c r="L9818" s="21">
        <v>0.52000000000000002</v>
      </c>
      <c r="M9818" s="22">
        <v>0.12</v>
      </c>
      <c r="N9818" s="21">
        <v>0.52000000000000002</v>
      </c>
      <c r="O9818" s="22">
        <v>0.12</v>
      </c>
      <c r="P9818" s="21"/>
      <c r="Q9818" s="22"/>
    </row>
    <row r="9819" ht="26.25">
      <c r="A9819" t="s">
        <v>9801</v>
      </c>
      <c r="B9819" s="19">
        <v>95877</v>
      </c>
      <c r="C9819" s="20" t="s">
        <v>9959</v>
      </c>
      <c r="D9819" s="19" t="s">
        <v>9703</v>
      </c>
      <c r="E9819" s="21">
        <f t="shared" si="458"/>
        <v>2.0499999999999998</v>
      </c>
      <c r="F9819" s="22"/>
      <c r="G9819" s="21">
        <f t="shared" si="459"/>
        <v>2.0499999999999998</v>
      </c>
      <c r="H9819" s="22"/>
      <c r="I9819" s="23" t="str">
        <f t="shared" si="460"/>
        <v xml:space="preserve">COM VALOR</v>
      </c>
      <c r="L9819" s="21">
        <v>2.0499999999999998</v>
      </c>
      <c r="M9819" s="22">
        <v>0.13</v>
      </c>
      <c r="N9819" s="21">
        <v>2.0499999999999998</v>
      </c>
      <c r="O9819" s="22">
        <v>0.13</v>
      </c>
      <c r="P9819" s="21"/>
      <c r="Q9819" s="22"/>
    </row>
    <row r="9820" ht="26.25">
      <c r="A9820" t="s">
        <v>9801</v>
      </c>
      <c r="B9820" s="19">
        <v>95880</v>
      </c>
      <c r="C9820" s="20" t="s">
        <v>9960</v>
      </c>
      <c r="D9820" s="19" t="s">
        <v>9693</v>
      </c>
      <c r="E9820" s="21">
        <f t="shared" si="458"/>
        <v>1.3600000000000001</v>
      </c>
      <c r="F9820" s="22"/>
      <c r="G9820" s="21">
        <f t="shared" si="459"/>
        <v>1.3600000000000001</v>
      </c>
      <c r="H9820" s="22"/>
      <c r="I9820" s="23" t="str">
        <f t="shared" si="460"/>
        <v xml:space="preserve">COM VALOR</v>
      </c>
      <c r="L9820" s="21">
        <v>1.3600000000000001</v>
      </c>
      <c r="M9820" s="22">
        <v>0.12</v>
      </c>
      <c r="N9820" s="21">
        <v>1.3600000000000001</v>
      </c>
      <c r="O9820" s="22">
        <v>0.12</v>
      </c>
      <c r="P9820" s="21"/>
      <c r="Q9820" s="22"/>
    </row>
    <row r="9821" ht="26.25">
      <c r="A9821" t="s">
        <v>9801</v>
      </c>
      <c r="B9821" s="19">
        <v>100937</v>
      </c>
      <c r="C9821" s="20" t="s">
        <v>9961</v>
      </c>
      <c r="D9821" s="19" t="s">
        <v>9703</v>
      </c>
      <c r="E9821" s="21">
        <f t="shared" si="458"/>
        <v>9.3499999999999996</v>
      </c>
      <c r="F9821" s="22"/>
      <c r="G9821" s="21">
        <f t="shared" si="459"/>
        <v>9.25</v>
      </c>
      <c r="H9821" s="22"/>
      <c r="I9821" s="23" t="str">
        <f t="shared" si="460"/>
        <v xml:space="preserve">COM VALOR</v>
      </c>
      <c r="L9821" s="21">
        <v>9.3499999999999996</v>
      </c>
      <c r="M9821" s="22">
        <v>0.41999999999999998</v>
      </c>
      <c r="N9821" s="21">
        <v>9.25</v>
      </c>
      <c r="O9821" s="22">
        <v>0.41999999999999998</v>
      </c>
      <c r="P9821" s="21"/>
      <c r="Q9821" s="22"/>
    </row>
    <row r="9822" ht="26.25">
      <c r="A9822" t="s">
        <v>9801</v>
      </c>
      <c r="B9822" s="19">
        <v>100941</v>
      </c>
      <c r="C9822" s="20" t="s">
        <v>9962</v>
      </c>
      <c r="D9822" s="19" t="s">
        <v>9693</v>
      </c>
      <c r="E9822" s="21">
        <f t="shared" si="458"/>
        <v>6.2300000000000004</v>
      </c>
      <c r="F9822" s="22"/>
      <c r="G9822" s="21">
        <f t="shared" si="459"/>
        <v>6.1600000000000001</v>
      </c>
      <c r="H9822" s="22"/>
      <c r="I9822" s="23" t="str">
        <f t="shared" si="460"/>
        <v xml:space="preserve">COM VALOR</v>
      </c>
      <c r="L9822" s="21">
        <v>6.2300000000000004</v>
      </c>
      <c r="M9822" s="22">
        <v>0.41999999999999998</v>
      </c>
      <c r="N9822" s="21">
        <v>6.1600000000000001</v>
      </c>
      <c r="O9822" s="22">
        <v>0.41999999999999998</v>
      </c>
      <c r="P9822" s="21"/>
      <c r="Q9822" s="22"/>
    </row>
    <row r="9823" ht="26.25">
      <c r="A9823" t="s">
        <v>9801</v>
      </c>
      <c r="B9823" s="19">
        <v>97912</v>
      </c>
      <c r="C9823" s="20" t="s">
        <v>9963</v>
      </c>
      <c r="D9823" s="19" t="s">
        <v>9703</v>
      </c>
      <c r="E9823" s="21">
        <f t="shared" si="458"/>
        <v>4.6699999999999999</v>
      </c>
      <c r="F9823" s="22"/>
      <c r="G9823" s="21">
        <f t="shared" si="459"/>
        <v>4.6200000000000001</v>
      </c>
      <c r="H9823" s="22"/>
      <c r="I9823" s="23" t="str">
        <f t="shared" si="460"/>
        <v xml:space="preserve">COM VALOR</v>
      </c>
      <c r="L9823" s="21">
        <v>4.6699999999999999</v>
      </c>
      <c r="M9823" s="22">
        <v>0.41999999999999998</v>
      </c>
      <c r="N9823" s="21">
        <v>4.6200000000000001</v>
      </c>
      <c r="O9823" s="22">
        <v>0.41999999999999998</v>
      </c>
      <c r="P9823" s="21"/>
      <c r="Q9823" s="22"/>
    </row>
    <row r="9824" ht="26.25">
      <c r="A9824" t="s">
        <v>9801</v>
      </c>
      <c r="B9824" s="19">
        <v>97916</v>
      </c>
      <c r="C9824" s="20" t="s">
        <v>9964</v>
      </c>
      <c r="D9824" s="19" t="s">
        <v>9693</v>
      </c>
      <c r="E9824" s="21">
        <f t="shared" si="458"/>
        <v>3.1099999999999999</v>
      </c>
      <c r="F9824" s="22"/>
      <c r="G9824" s="21">
        <f t="shared" si="459"/>
        <v>3.0699999999999998</v>
      </c>
      <c r="H9824" s="22"/>
      <c r="I9824" s="23" t="str">
        <f t="shared" si="460"/>
        <v xml:space="preserve">COM VALOR</v>
      </c>
      <c r="L9824" s="21">
        <v>3.1099999999999999</v>
      </c>
      <c r="M9824" s="22">
        <v>0.41999999999999998</v>
      </c>
      <c r="N9824" s="21">
        <v>3.0699999999999998</v>
      </c>
      <c r="O9824" s="22">
        <v>0.41999999999999998</v>
      </c>
      <c r="P9824" s="21"/>
      <c r="Q9824" s="22"/>
    </row>
    <row r="9825" ht="26.25">
      <c r="A9825" t="s">
        <v>9801</v>
      </c>
      <c r="B9825" s="19">
        <v>97913</v>
      </c>
      <c r="C9825" s="20" t="s">
        <v>9965</v>
      </c>
      <c r="D9825" s="19" t="s">
        <v>9703</v>
      </c>
      <c r="E9825" s="21">
        <f t="shared" si="458"/>
        <v>3.5499999999999998</v>
      </c>
      <c r="F9825" s="22"/>
      <c r="G9825" s="21">
        <f t="shared" si="459"/>
        <v>3.52</v>
      </c>
      <c r="H9825" s="22"/>
      <c r="I9825" s="23" t="str">
        <f t="shared" si="460"/>
        <v xml:space="preserve">COM VALOR</v>
      </c>
      <c r="L9825" s="21">
        <v>3.5499999999999998</v>
      </c>
      <c r="M9825" s="22">
        <v>0.41999999999999998</v>
      </c>
      <c r="N9825" s="21">
        <v>3.52</v>
      </c>
      <c r="O9825" s="22">
        <v>0.41999999999999998</v>
      </c>
      <c r="P9825" s="21"/>
      <c r="Q9825" s="22"/>
    </row>
    <row r="9826" ht="26.25">
      <c r="A9826" t="s">
        <v>9801</v>
      </c>
      <c r="B9826" s="19">
        <v>97917</v>
      </c>
      <c r="C9826" s="20" t="s">
        <v>9966</v>
      </c>
      <c r="D9826" s="19" t="s">
        <v>9693</v>
      </c>
      <c r="E9826" s="21">
        <f t="shared" si="458"/>
        <v>2.3599999999999999</v>
      </c>
      <c r="F9826" s="22"/>
      <c r="G9826" s="21">
        <f t="shared" si="459"/>
        <v>2.3500000000000001</v>
      </c>
      <c r="H9826" s="22"/>
      <c r="I9826" s="23" t="str">
        <f t="shared" si="460"/>
        <v xml:space="preserve">COM VALOR</v>
      </c>
      <c r="L9826" s="21">
        <v>2.3599999999999999</v>
      </c>
      <c r="M9826" s="22">
        <v>0.41999999999999998</v>
      </c>
      <c r="N9826" s="21">
        <v>2.3500000000000001</v>
      </c>
      <c r="O9826" s="22">
        <v>0.41999999999999998</v>
      </c>
      <c r="P9826" s="21"/>
      <c r="Q9826" s="22"/>
    </row>
    <row r="9827" ht="39">
      <c r="A9827" t="s">
        <v>9801</v>
      </c>
      <c r="B9827" s="19">
        <v>97915</v>
      </c>
      <c r="C9827" s="20" t="s">
        <v>9967</v>
      </c>
      <c r="D9827" s="19" t="s">
        <v>9703</v>
      </c>
      <c r="E9827" s="21">
        <f t="shared" si="458"/>
        <v>1.24</v>
      </c>
      <c r="F9827" s="22"/>
      <c r="G9827" s="21">
        <f t="shared" si="459"/>
        <v>1.23</v>
      </c>
      <c r="H9827" s="22"/>
      <c r="I9827" s="23" t="str">
        <f t="shared" si="460"/>
        <v xml:space="preserve">COM VALOR</v>
      </c>
      <c r="L9827" s="21">
        <v>1.24</v>
      </c>
      <c r="M9827" s="22">
        <v>0.40999999999999998</v>
      </c>
      <c r="N9827" s="21">
        <v>1.23</v>
      </c>
      <c r="O9827" s="22">
        <v>0.40999999999999998</v>
      </c>
      <c r="P9827" s="21"/>
      <c r="Q9827" s="22"/>
    </row>
    <row r="9828" ht="39">
      <c r="A9828" t="s">
        <v>9801</v>
      </c>
      <c r="B9828" s="19">
        <v>97919</v>
      </c>
      <c r="C9828" s="20" t="s">
        <v>9968</v>
      </c>
      <c r="D9828" s="19" t="s">
        <v>9693</v>
      </c>
      <c r="E9828" s="21">
        <f t="shared" si="458"/>
        <v>0.81999999999999995</v>
      </c>
      <c r="F9828" s="22"/>
      <c r="G9828" s="21">
        <f t="shared" si="459"/>
        <v>0.81000000000000005</v>
      </c>
      <c r="H9828" s="22"/>
      <c r="I9828" s="23" t="str">
        <f t="shared" si="460"/>
        <v xml:space="preserve">COM VALOR</v>
      </c>
      <c r="L9828" s="21">
        <v>0.81999999999999995</v>
      </c>
      <c r="M9828" s="22">
        <v>0.40999999999999998</v>
      </c>
      <c r="N9828" s="21">
        <v>0.81000000000000005</v>
      </c>
      <c r="O9828" s="22">
        <v>0.41999999999999998</v>
      </c>
      <c r="P9828" s="21"/>
      <c r="Q9828" s="22"/>
    </row>
    <row r="9829" ht="26.25">
      <c r="A9829" t="s">
        <v>9801</v>
      </c>
      <c r="B9829" s="19">
        <v>97914</v>
      </c>
      <c r="C9829" s="20" t="s">
        <v>9969</v>
      </c>
      <c r="D9829" s="19" t="s">
        <v>9703</v>
      </c>
      <c r="E9829" s="21">
        <f t="shared" si="458"/>
        <v>3.25</v>
      </c>
      <c r="F9829" s="22"/>
      <c r="G9829" s="21">
        <f t="shared" si="459"/>
        <v>3.21</v>
      </c>
      <c r="H9829" s="22"/>
      <c r="I9829" s="23" t="str">
        <f t="shared" si="460"/>
        <v xml:space="preserve">COM VALOR</v>
      </c>
      <c r="L9829" s="21">
        <v>3.25</v>
      </c>
      <c r="M9829" s="22">
        <v>0.41999999999999998</v>
      </c>
      <c r="N9829" s="21">
        <v>3.21</v>
      </c>
      <c r="O9829" s="22">
        <v>0.41999999999999998</v>
      </c>
      <c r="P9829" s="21"/>
      <c r="Q9829" s="22"/>
    </row>
    <row r="9830" ht="26.25">
      <c r="A9830" t="s">
        <v>9801</v>
      </c>
      <c r="B9830" s="19">
        <v>97918</v>
      </c>
      <c r="C9830" s="20" t="s">
        <v>9970</v>
      </c>
      <c r="D9830" s="19" t="s">
        <v>9693</v>
      </c>
      <c r="E9830" s="21">
        <f t="shared" si="458"/>
        <v>2.1600000000000001</v>
      </c>
      <c r="F9830" s="22"/>
      <c r="G9830" s="21">
        <f t="shared" si="459"/>
        <v>2.1299999999999999</v>
      </c>
      <c r="H9830" s="22"/>
      <c r="I9830" s="23" t="str">
        <f t="shared" si="460"/>
        <v xml:space="preserve">COM VALOR</v>
      </c>
      <c r="L9830" s="21">
        <v>2.1600000000000001</v>
      </c>
      <c r="M9830" s="22">
        <v>0.41999999999999998</v>
      </c>
      <c r="N9830" s="21">
        <v>2.1299999999999999</v>
      </c>
      <c r="O9830" s="22">
        <v>0.42249999999999999</v>
      </c>
      <c r="P9830" s="21"/>
      <c r="Q9830" s="22"/>
    </row>
    <row r="9831" ht="26.25">
      <c r="A9831" t="s">
        <v>9801</v>
      </c>
      <c r="B9831" s="19">
        <v>106686</v>
      </c>
      <c r="C9831" s="20" t="s">
        <v>9971</v>
      </c>
      <c r="D9831" s="19" t="s">
        <v>9693</v>
      </c>
      <c r="E9831" s="21">
        <f t="shared" si="458"/>
        <v>5.7300000000000004</v>
      </c>
      <c r="F9831" s="22"/>
      <c r="G9831" s="21">
        <f t="shared" si="459"/>
        <v>5.6900000000000004</v>
      </c>
      <c r="H9831" s="22"/>
      <c r="I9831" s="23" t="str">
        <f t="shared" si="460"/>
        <v xml:space="preserve">COM VALOR</v>
      </c>
      <c r="L9831" s="21">
        <v>5.7300000000000004</v>
      </c>
      <c r="M9831" s="22">
        <v>0.37</v>
      </c>
      <c r="N9831" s="21">
        <v>5.6900000000000004</v>
      </c>
      <c r="O9831" s="22">
        <v>0.37</v>
      </c>
      <c r="P9831" s="21"/>
      <c r="Q9831" s="22"/>
    </row>
    <row r="9832" ht="26.25">
      <c r="A9832" t="s">
        <v>9801</v>
      </c>
      <c r="B9832" s="19">
        <v>106682</v>
      </c>
      <c r="C9832" s="20" t="s">
        <v>9972</v>
      </c>
      <c r="D9832" s="19" t="s">
        <v>9693</v>
      </c>
      <c r="E9832" s="21">
        <f t="shared" si="458"/>
        <v>2.8599999999999999</v>
      </c>
      <c r="F9832" s="22"/>
      <c r="G9832" s="21">
        <f t="shared" si="459"/>
        <v>2.8399999999999999</v>
      </c>
      <c r="H9832" s="22"/>
      <c r="I9832" s="23" t="str">
        <f t="shared" si="460"/>
        <v xml:space="preserve">COM VALOR</v>
      </c>
      <c r="L9832" s="21">
        <v>2.8599999999999999</v>
      </c>
      <c r="M9832" s="22">
        <v>0.37</v>
      </c>
      <c r="N9832" s="21">
        <v>2.8399999999999999</v>
      </c>
      <c r="O9832" s="22">
        <v>0.37</v>
      </c>
      <c r="P9832" s="21"/>
      <c r="Q9832" s="22"/>
    </row>
    <row r="9833" ht="26.25">
      <c r="A9833" t="s">
        <v>9801</v>
      </c>
      <c r="B9833" s="19">
        <v>106683</v>
      </c>
      <c r="C9833" s="20" t="s">
        <v>9973</v>
      </c>
      <c r="D9833" s="19" t="s">
        <v>9693</v>
      </c>
      <c r="E9833" s="21">
        <f t="shared" si="458"/>
        <v>2.1800000000000002</v>
      </c>
      <c r="F9833" s="22"/>
      <c r="G9833" s="21">
        <f t="shared" si="459"/>
        <v>2.1600000000000001</v>
      </c>
      <c r="H9833" s="22"/>
      <c r="I9833" s="23" t="str">
        <f t="shared" si="460"/>
        <v xml:space="preserve">COM VALOR</v>
      </c>
      <c r="L9833" s="21">
        <v>2.1800000000000002</v>
      </c>
      <c r="M9833" s="22">
        <v>0.37</v>
      </c>
      <c r="N9833" s="21">
        <v>2.1600000000000001</v>
      </c>
      <c r="O9833" s="22">
        <v>0.37</v>
      </c>
      <c r="P9833" s="21"/>
      <c r="Q9833" s="22"/>
    </row>
    <row r="9834" ht="39">
      <c r="A9834" t="s">
        <v>9801</v>
      </c>
      <c r="B9834" s="19">
        <v>106685</v>
      </c>
      <c r="C9834" s="20" t="s">
        <v>9974</v>
      </c>
      <c r="D9834" s="19" t="s">
        <v>9693</v>
      </c>
      <c r="E9834" s="21">
        <f t="shared" si="458"/>
        <v>0.76000000000000001</v>
      </c>
      <c r="F9834" s="22"/>
      <c r="G9834" s="21">
        <f t="shared" si="459"/>
        <v>0.75</v>
      </c>
      <c r="H9834" s="22"/>
      <c r="I9834" s="23" t="str">
        <f t="shared" si="460"/>
        <v xml:space="preserve">COM VALOR</v>
      </c>
      <c r="L9834" s="21">
        <v>0.76000000000000001</v>
      </c>
      <c r="M9834" s="22">
        <v>0.37</v>
      </c>
      <c r="N9834" s="21">
        <v>0.75</v>
      </c>
      <c r="O9834" s="22">
        <v>0.37</v>
      </c>
      <c r="P9834" s="21"/>
      <c r="Q9834" s="22"/>
    </row>
    <row r="9835" ht="26.25">
      <c r="A9835" t="s">
        <v>9801</v>
      </c>
      <c r="B9835" s="19">
        <v>106684</v>
      </c>
      <c r="C9835" s="20" t="s">
        <v>9975</v>
      </c>
      <c r="D9835" s="19" t="s">
        <v>9693</v>
      </c>
      <c r="E9835" s="21">
        <f t="shared" si="458"/>
        <v>1.98</v>
      </c>
      <c r="F9835" s="22"/>
      <c r="G9835" s="21">
        <f t="shared" si="459"/>
        <v>1.97</v>
      </c>
      <c r="H9835" s="22"/>
      <c r="I9835" s="23" t="str">
        <f t="shared" si="460"/>
        <v xml:space="preserve">COM VALOR</v>
      </c>
      <c r="L9835" s="21">
        <v>1.98</v>
      </c>
      <c r="M9835" s="22">
        <v>0.37</v>
      </c>
      <c r="N9835" s="21">
        <v>1.97</v>
      </c>
      <c r="O9835" s="22">
        <v>0.37</v>
      </c>
      <c r="P9835" s="21"/>
      <c r="Q9835" s="22"/>
    </row>
    <row r="9836" ht="26.25">
      <c r="A9836" t="s">
        <v>9801</v>
      </c>
      <c r="B9836" s="19">
        <v>100949</v>
      </c>
      <c r="C9836" s="20" t="s">
        <v>9976</v>
      </c>
      <c r="D9836" s="19" t="s">
        <v>9693</v>
      </c>
      <c r="E9836" s="21">
        <f t="shared" si="458"/>
        <v>7.1200000000000001</v>
      </c>
      <c r="F9836" s="22"/>
      <c r="G9836" s="21">
        <f t="shared" si="459"/>
        <v>7.0599999999999996</v>
      </c>
      <c r="H9836" s="22"/>
      <c r="I9836" s="23" t="str">
        <f t="shared" si="460"/>
        <v xml:space="preserve">COM VALOR</v>
      </c>
      <c r="L9836" s="21">
        <v>7.1200000000000001</v>
      </c>
      <c r="M9836" s="22">
        <v>0.34000000000000002</v>
      </c>
      <c r="N9836" s="21">
        <v>7.0599999999999996</v>
      </c>
      <c r="O9836" s="22">
        <v>0.34000000000000002</v>
      </c>
      <c r="P9836" s="21"/>
      <c r="Q9836" s="22"/>
    </row>
    <row r="9837" ht="26.25">
      <c r="A9837" t="s">
        <v>9801</v>
      </c>
      <c r="B9837" s="19">
        <v>100945</v>
      </c>
      <c r="C9837" s="20" t="s">
        <v>9977</v>
      </c>
      <c r="D9837" s="19" t="s">
        <v>9693</v>
      </c>
      <c r="E9837" s="21">
        <f t="shared" si="458"/>
        <v>3.5499999999999998</v>
      </c>
      <c r="F9837" s="22"/>
      <c r="G9837" s="21">
        <f t="shared" si="459"/>
        <v>3.5299999999999998</v>
      </c>
      <c r="H9837" s="22"/>
      <c r="I9837" s="23" t="str">
        <f t="shared" si="460"/>
        <v xml:space="preserve">COM VALOR</v>
      </c>
      <c r="L9837" s="21">
        <v>3.5499999999999998</v>
      </c>
      <c r="M9837" s="22">
        <v>0.34000000000000002</v>
      </c>
      <c r="N9837" s="21">
        <v>3.5299999999999998</v>
      </c>
      <c r="O9837" s="22">
        <v>0.34000000000000002</v>
      </c>
      <c r="P9837" s="21"/>
      <c r="Q9837" s="22"/>
    </row>
    <row r="9838" ht="26.25">
      <c r="A9838" t="s">
        <v>9801</v>
      </c>
      <c r="B9838" s="19">
        <v>100946</v>
      </c>
      <c r="C9838" s="20" t="s">
        <v>9978</v>
      </c>
      <c r="D9838" s="19" t="s">
        <v>9693</v>
      </c>
      <c r="E9838" s="21">
        <f t="shared" si="458"/>
        <v>2.71</v>
      </c>
      <c r="F9838" s="22"/>
      <c r="G9838" s="21">
        <f t="shared" si="459"/>
        <v>2.6800000000000002</v>
      </c>
      <c r="H9838" s="22"/>
      <c r="I9838" s="23" t="str">
        <f t="shared" si="460"/>
        <v xml:space="preserve">COM VALOR</v>
      </c>
      <c r="L9838" s="21">
        <v>2.71</v>
      </c>
      <c r="M9838" s="22">
        <v>0.34000000000000002</v>
      </c>
      <c r="N9838" s="21">
        <v>2.6800000000000002</v>
      </c>
      <c r="O9838" s="22">
        <v>0.34000000000000002</v>
      </c>
      <c r="P9838" s="21"/>
      <c r="Q9838" s="22"/>
    </row>
    <row r="9839" ht="39">
      <c r="A9839" t="s">
        <v>9801</v>
      </c>
      <c r="B9839" s="19">
        <v>100948</v>
      </c>
      <c r="C9839" s="20" t="s">
        <v>9979</v>
      </c>
      <c r="D9839" s="19" t="s">
        <v>9693</v>
      </c>
      <c r="E9839" s="21">
        <f t="shared" si="458"/>
        <v>0.93999999999999995</v>
      </c>
      <c r="F9839" s="22"/>
      <c r="G9839" s="21">
        <f t="shared" si="459"/>
        <v>0.93000000000000005</v>
      </c>
      <c r="H9839" s="22"/>
      <c r="I9839" s="23" t="str">
        <f t="shared" si="460"/>
        <v xml:space="preserve">COM VALOR</v>
      </c>
      <c r="L9839" s="21">
        <v>0.93999999999999995</v>
      </c>
      <c r="M9839" s="22">
        <v>0.33000000000000002</v>
      </c>
      <c r="N9839" s="21">
        <v>0.93000000000000005</v>
      </c>
      <c r="O9839" s="22">
        <v>0.33000000000000002</v>
      </c>
      <c r="P9839" s="21"/>
      <c r="Q9839" s="22"/>
    </row>
    <row r="9840" ht="26.25">
      <c r="A9840" t="s">
        <v>9801</v>
      </c>
      <c r="B9840" s="19">
        <v>100947</v>
      </c>
      <c r="C9840" s="20" t="s">
        <v>9980</v>
      </c>
      <c r="D9840" s="19" t="s">
        <v>9693</v>
      </c>
      <c r="E9840" s="21">
        <f t="shared" si="458"/>
        <v>2.4700000000000002</v>
      </c>
      <c r="F9840" s="22"/>
      <c r="G9840" s="21">
        <f t="shared" si="459"/>
        <v>2.4500000000000002</v>
      </c>
      <c r="H9840" s="22"/>
      <c r="I9840" s="23" t="str">
        <f t="shared" si="460"/>
        <v xml:space="preserve">COM VALOR</v>
      </c>
      <c r="L9840" s="21">
        <v>2.4700000000000002</v>
      </c>
      <c r="M9840" s="22">
        <v>0.34000000000000002</v>
      </c>
      <c r="N9840" s="21">
        <v>2.4500000000000002</v>
      </c>
      <c r="O9840" s="22">
        <v>0.34000000000000002</v>
      </c>
      <c r="P9840" s="21"/>
      <c r="Q9840" s="22"/>
    </row>
    <row r="9841" ht="39">
      <c r="A9841" t="s">
        <v>9801</v>
      </c>
      <c r="B9841" s="19">
        <v>100954</v>
      </c>
      <c r="C9841" s="20" t="s">
        <v>9981</v>
      </c>
      <c r="D9841" s="19" t="s">
        <v>9693</v>
      </c>
      <c r="E9841" s="21">
        <f t="shared" si="458"/>
        <v>9.0299999999999994</v>
      </c>
      <c r="F9841" s="22"/>
      <c r="G9841" s="21">
        <f t="shared" si="459"/>
        <v>8.9600000000000009</v>
      </c>
      <c r="H9841" s="22"/>
      <c r="I9841" s="23" t="str">
        <f t="shared" si="460"/>
        <v xml:space="preserve">COM VALOR</v>
      </c>
      <c r="L9841" s="21">
        <v>9.0299999999999994</v>
      </c>
      <c r="M9841" s="22">
        <v>0.33000000000000002</v>
      </c>
      <c r="N9841" s="21">
        <v>8.9600000000000009</v>
      </c>
      <c r="O9841" s="22">
        <v>0.33000000000000002</v>
      </c>
      <c r="P9841" s="21"/>
      <c r="Q9841" s="22"/>
    </row>
    <row r="9842" ht="39">
      <c r="A9842" t="s">
        <v>9801</v>
      </c>
      <c r="B9842" s="19">
        <v>100950</v>
      </c>
      <c r="C9842" s="20" t="s">
        <v>9982</v>
      </c>
      <c r="D9842" s="19" t="s">
        <v>9693</v>
      </c>
      <c r="E9842" s="21">
        <f t="shared" si="458"/>
        <v>4.5099999999999998</v>
      </c>
      <c r="F9842" s="22"/>
      <c r="G9842" s="21">
        <f t="shared" si="459"/>
        <v>4.4800000000000004</v>
      </c>
      <c r="H9842" s="22"/>
      <c r="I9842" s="23" t="str">
        <f t="shared" si="460"/>
        <v xml:space="preserve">COM VALOR</v>
      </c>
      <c r="L9842" s="21">
        <v>4.5099999999999998</v>
      </c>
      <c r="M9842" s="22">
        <v>0.33000000000000002</v>
      </c>
      <c r="N9842" s="21">
        <v>4.4800000000000004</v>
      </c>
      <c r="O9842" s="22">
        <v>0.33000000000000002</v>
      </c>
      <c r="P9842" s="21"/>
      <c r="Q9842" s="22"/>
    </row>
    <row r="9843" ht="39">
      <c r="A9843" t="s">
        <v>9801</v>
      </c>
      <c r="B9843" s="19">
        <v>100951</v>
      </c>
      <c r="C9843" s="20" t="s">
        <v>9983</v>
      </c>
      <c r="D9843" s="19" t="s">
        <v>9693</v>
      </c>
      <c r="E9843" s="21">
        <f t="shared" si="458"/>
        <v>3.4399999999999999</v>
      </c>
      <c r="F9843" s="22"/>
      <c r="G9843" s="21">
        <f t="shared" si="459"/>
        <v>3.4100000000000001</v>
      </c>
      <c r="H9843" s="22"/>
      <c r="I9843" s="23" t="str">
        <f t="shared" si="460"/>
        <v xml:space="preserve">COM VALOR</v>
      </c>
      <c r="L9843" s="21">
        <v>3.4399999999999999</v>
      </c>
      <c r="M9843" s="22">
        <v>0.33000000000000002</v>
      </c>
      <c r="N9843" s="21">
        <v>3.4100000000000001</v>
      </c>
      <c r="O9843" s="22">
        <v>0.33000000000000002</v>
      </c>
      <c r="P9843" s="21"/>
      <c r="Q9843" s="22"/>
    </row>
    <row r="9844" ht="39">
      <c r="A9844" t="s">
        <v>9801</v>
      </c>
      <c r="B9844" s="19">
        <v>100953</v>
      </c>
      <c r="C9844" s="20" t="s">
        <v>9984</v>
      </c>
      <c r="D9844" s="19" t="s">
        <v>9693</v>
      </c>
      <c r="E9844" s="21">
        <f t="shared" si="458"/>
        <v>1.1899999999999999</v>
      </c>
      <c r="F9844" s="22"/>
      <c r="G9844" s="21">
        <f t="shared" si="459"/>
        <v>1.1799999999999999</v>
      </c>
      <c r="H9844" s="22"/>
      <c r="I9844" s="23" t="str">
        <f t="shared" si="460"/>
        <v xml:space="preserve">COM VALOR</v>
      </c>
      <c r="L9844" s="21">
        <v>1.1899999999999999</v>
      </c>
      <c r="M9844" s="22">
        <v>0.32000000000000001</v>
      </c>
      <c r="N9844" s="21">
        <v>1.1799999999999999</v>
      </c>
      <c r="O9844" s="22">
        <v>0.32000000000000001</v>
      </c>
      <c r="P9844" s="21"/>
      <c r="Q9844" s="22"/>
    </row>
    <row r="9845" ht="39">
      <c r="A9845" t="s">
        <v>9801</v>
      </c>
      <c r="B9845" s="19">
        <v>100952</v>
      </c>
      <c r="C9845" s="20" t="s">
        <v>9985</v>
      </c>
      <c r="D9845" s="19" t="s">
        <v>9693</v>
      </c>
      <c r="E9845" s="21">
        <f t="shared" si="458"/>
        <v>3.1299999999999999</v>
      </c>
      <c r="F9845" s="22"/>
      <c r="G9845" s="21">
        <f t="shared" si="459"/>
        <v>3.1099999999999999</v>
      </c>
      <c r="H9845" s="22"/>
      <c r="I9845" s="23" t="str">
        <f t="shared" si="460"/>
        <v xml:space="preserve">COM VALOR</v>
      </c>
      <c r="L9845" s="21">
        <v>3.1299999999999999</v>
      </c>
      <c r="M9845" s="22">
        <v>0.33000000000000002</v>
      </c>
      <c r="N9845" s="21">
        <v>3.1099999999999999</v>
      </c>
      <c r="O9845" s="22">
        <v>0.33000000000000002</v>
      </c>
      <c r="P9845" s="21"/>
      <c r="Q9845" s="22"/>
    </row>
    <row r="9846" ht="39">
      <c r="A9846" t="s">
        <v>9801</v>
      </c>
      <c r="B9846" s="19">
        <v>106691</v>
      </c>
      <c r="C9846" s="20" t="s">
        <v>9986</v>
      </c>
      <c r="D9846" s="19" t="s">
        <v>9693</v>
      </c>
      <c r="E9846" s="21">
        <f t="shared" si="458"/>
        <v>6.4500000000000002</v>
      </c>
      <c r="F9846" s="22"/>
      <c r="G9846" s="21">
        <f t="shared" si="459"/>
        <v>6.4100000000000001</v>
      </c>
      <c r="H9846" s="22"/>
      <c r="I9846" s="23" t="str">
        <f t="shared" si="460"/>
        <v xml:space="preserve">COM VALOR</v>
      </c>
      <c r="L9846" s="21">
        <v>6.4500000000000002</v>
      </c>
      <c r="M9846" s="22">
        <v>0.42999999999999999</v>
      </c>
      <c r="N9846" s="21">
        <v>6.4100000000000001</v>
      </c>
      <c r="O9846" s="22">
        <v>0.44</v>
      </c>
      <c r="P9846" s="21"/>
      <c r="Q9846" s="22"/>
    </row>
    <row r="9847" ht="39">
      <c r="A9847" t="s">
        <v>9801</v>
      </c>
      <c r="B9847" s="19">
        <v>106687</v>
      </c>
      <c r="C9847" s="20" t="s">
        <v>9987</v>
      </c>
      <c r="D9847" s="19" t="s">
        <v>9693</v>
      </c>
      <c r="E9847" s="21">
        <f t="shared" si="458"/>
        <v>3.2200000000000002</v>
      </c>
      <c r="F9847" s="22"/>
      <c r="G9847" s="21">
        <f t="shared" si="459"/>
        <v>3.2000000000000002</v>
      </c>
      <c r="H9847" s="22"/>
      <c r="I9847" s="23" t="str">
        <f t="shared" si="460"/>
        <v xml:space="preserve">COM VALOR</v>
      </c>
      <c r="L9847" s="21">
        <v>3.2200000000000002</v>
      </c>
      <c r="M9847" s="22">
        <v>0.42999999999999999</v>
      </c>
      <c r="N9847" s="21">
        <v>3.2000000000000002</v>
      </c>
      <c r="O9847" s="22">
        <v>0.42999999999999999</v>
      </c>
      <c r="P9847" s="21"/>
      <c r="Q9847" s="22"/>
    </row>
    <row r="9848" ht="39">
      <c r="A9848" t="s">
        <v>9801</v>
      </c>
      <c r="B9848" s="19">
        <v>106688</v>
      </c>
      <c r="C9848" s="20" t="s">
        <v>9988</v>
      </c>
      <c r="D9848" s="19" t="s">
        <v>9693</v>
      </c>
      <c r="E9848" s="21">
        <f t="shared" si="458"/>
        <v>2.4500000000000002</v>
      </c>
      <c r="F9848" s="22"/>
      <c r="G9848" s="21">
        <f t="shared" si="459"/>
        <v>2.4300000000000002</v>
      </c>
      <c r="H9848" s="22"/>
      <c r="I9848" s="23" t="str">
        <f t="shared" si="460"/>
        <v xml:space="preserve">COM VALOR</v>
      </c>
      <c r="L9848" s="21">
        <v>2.4500000000000002</v>
      </c>
      <c r="M9848" s="22">
        <v>0.42999999999999999</v>
      </c>
      <c r="N9848" s="21">
        <v>2.4300000000000002</v>
      </c>
      <c r="O9848" s="22">
        <v>0.44</v>
      </c>
      <c r="P9848" s="21"/>
      <c r="Q9848" s="22"/>
    </row>
    <row r="9849" ht="39">
      <c r="A9849" t="s">
        <v>9801</v>
      </c>
      <c r="B9849" s="19">
        <v>106690</v>
      </c>
      <c r="C9849" s="20" t="s">
        <v>9989</v>
      </c>
      <c r="D9849" s="19" t="s">
        <v>9693</v>
      </c>
      <c r="E9849" s="21">
        <f t="shared" si="458"/>
        <v>0.84999999999999998</v>
      </c>
      <c r="F9849" s="22"/>
      <c r="G9849" s="21">
        <f t="shared" si="459"/>
        <v>0.84999999999999998</v>
      </c>
      <c r="H9849" s="22"/>
      <c r="I9849" s="23" t="str">
        <f t="shared" si="460"/>
        <v xml:space="preserve">COM VALOR</v>
      </c>
      <c r="L9849" s="21">
        <v>0.84999999999999998</v>
      </c>
      <c r="M9849" s="22">
        <v>0.41999999999999998</v>
      </c>
      <c r="N9849" s="21">
        <v>0.84999999999999998</v>
      </c>
      <c r="O9849" s="22">
        <v>0.41999999999999998</v>
      </c>
      <c r="P9849" s="21"/>
      <c r="Q9849" s="22"/>
    </row>
    <row r="9850" ht="39">
      <c r="A9850" t="s">
        <v>9801</v>
      </c>
      <c r="B9850" s="19">
        <v>106689</v>
      </c>
      <c r="C9850" s="20" t="s">
        <v>9990</v>
      </c>
      <c r="D9850" s="19" t="s">
        <v>9693</v>
      </c>
      <c r="E9850" s="21">
        <f t="shared" si="458"/>
        <v>2.2400000000000002</v>
      </c>
      <c r="F9850" s="22"/>
      <c r="G9850" s="21">
        <f t="shared" si="459"/>
        <v>2.2200000000000002</v>
      </c>
      <c r="H9850" s="22"/>
      <c r="I9850" s="23" t="str">
        <f t="shared" si="460"/>
        <v xml:space="preserve">COM VALOR</v>
      </c>
      <c r="L9850" s="21">
        <v>2.2400000000000002</v>
      </c>
      <c r="M9850" s="22">
        <v>0.42999999999999999</v>
      </c>
      <c r="N9850" s="21">
        <v>2.2200000000000002</v>
      </c>
      <c r="O9850" s="22">
        <v>0.44</v>
      </c>
      <c r="P9850" s="21"/>
      <c r="Q9850" s="22"/>
    </row>
    <row r="9851" ht="26.25">
      <c r="A9851" t="s">
        <v>9801</v>
      </c>
      <c r="B9851" s="19">
        <v>100964</v>
      </c>
      <c r="C9851" s="20" t="s">
        <v>9991</v>
      </c>
      <c r="D9851" s="19" t="s">
        <v>9703</v>
      </c>
      <c r="E9851" s="21">
        <f t="shared" si="458"/>
        <v>9.3399999999999999</v>
      </c>
      <c r="F9851" s="22"/>
      <c r="G9851" s="21">
        <f t="shared" si="459"/>
        <v>9.2799999999999994</v>
      </c>
      <c r="H9851" s="22"/>
      <c r="I9851" s="23" t="str">
        <f t="shared" si="460"/>
        <v xml:space="preserve">COM VALOR</v>
      </c>
      <c r="L9851" s="21">
        <v>9.3399999999999999</v>
      </c>
      <c r="M9851" s="22">
        <v>0.32000000000000001</v>
      </c>
      <c r="N9851" s="21">
        <v>9.2799999999999994</v>
      </c>
      <c r="O9851" s="22">
        <v>0.32000000000000001</v>
      </c>
      <c r="P9851" s="21"/>
      <c r="Q9851" s="22"/>
    </row>
    <row r="9852" ht="26.25">
      <c r="A9852" t="s">
        <v>9801</v>
      </c>
      <c r="B9852" s="19">
        <v>100960</v>
      </c>
      <c r="C9852" s="20" t="s">
        <v>9992</v>
      </c>
      <c r="D9852" s="19" t="s">
        <v>9703</v>
      </c>
      <c r="E9852" s="21">
        <f t="shared" si="458"/>
        <v>4.6600000000000001</v>
      </c>
      <c r="F9852" s="22"/>
      <c r="G9852" s="21">
        <f t="shared" si="459"/>
        <v>4.6299999999999999</v>
      </c>
      <c r="H9852" s="22"/>
      <c r="I9852" s="23" t="str">
        <f t="shared" si="460"/>
        <v xml:space="preserve">COM VALOR</v>
      </c>
      <c r="L9852" s="21">
        <v>4.6600000000000001</v>
      </c>
      <c r="M9852" s="22">
        <v>0.32000000000000001</v>
      </c>
      <c r="N9852" s="21">
        <v>4.6299999999999999</v>
      </c>
      <c r="O9852" s="22">
        <v>0.32000000000000001</v>
      </c>
      <c r="P9852" s="21"/>
      <c r="Q9852" s="22"/>
    </row>
    <row r="9853" ht="26.25">
      <c r="A9853" t="s">
        <v>9801</v>
      </c>
      <c r="B9853" s="19">
        <v>100961</v>
      </c>
      <c r="C9853" s="20" t="s">
        <v>9993</v>
      </c>
      <c r="D9853" s="19" t="s">
        <v>9703</v>
      </c>
      <c r="E9853" s="21">
        <f t="shared" si="458"/>
        <v>3.5499999999999998</v>
      </c>
      <c r="F9853" s="22"/>
      <c r="G9853" s="21">
        <f t="shared" si="459"/>
        <v>3.5299999999999998</v>
      </c>
      <c r="H9853" s="22"/>
      <c r="I9853" s="23" t="str">
        <f t="shared" si="460"/>
        <v xml:space="preserve">COM VALOR</v>
      </c>
      <c r="L9853" s="21">
        <v>3.5499999999999998</v>
      </c>
      <c r="M9853" s="22">
        <v>0.32000000000000001</v>
      </c>
      <c r="N9853" s="21">
        <v>3.5299999999999998</v>
      </c>
      <c r="O9853" s="22">
        <v>0.32000000000000001</v>
      </c>
      <c r="P9853" s="21"/>
      <c r="Q9853" s="22"/>
    </row>
    <row r="9854" ht="39">
      <c r="A9854" t="s">
        <v>9801</v>
      </c>
      <c r="B9854" s="19">
        <v>100963</v>
      </c>
      <c r="C9854" s="20" t="s">
        <v>9994</v>
      </c>
      <c r="D9854" s="19" t="s">
        <v>9703</v>
      </c>
      <c r="E9854" s="21">
        <f t="shared" si="458"/>
        <v>1.24</v>
      </c>
      <c r="F9854" s="22"/>
      <c r="G9854" s="21">
        <f t="shared" si="459"/>
        <v>1.23</v>
      </c>
      <c r="H9854" s="22"/>
      <c r="I9854" s="23" t="str">
        <f t="shared" si="460"/>
        <v xml:space="preserve">COM VALOR</v>
      </c>
      <c r="L9854" s="21">
        <v>1.24</v>
      </c>
      <c r="M9854" s="22">
        <v>0.31</v>
      </c>
      <c r="N9854" s="21">
        <v>1.23</v>
      </c>
      <c r="O9854" s="22">
        <v>0.31</v>
      </c>
      <c r="P9854" s="21"/>
      <c r="Q9854" s="22"/>
    </row>
    <row r="9855" ht="26.25">
      <c r="A9855" t="s">
        <v>9801</v>
      </c>
      <c r="B9855" s="19">
        <v>100962</v>
      </c>
      <c r="C9855" s="20" t="s">
        <v>9995</v>
      </c>
      <c r="D9855" s="19" t="s">
        <v>9703</v>
      </c>
      <c r="E9855" s="21">
        <f t="shared" si="458"/>
        <v>3.25</v>
      </c>
      <c r="F9855" s="22"/>
      <c r="G9855" s="21">
        <f t="shared" si="459"/>
        <v>3.2200000000000002</v>
      </c>
      <c r="H9855" s="22"/>
      <c r="I9855" s="23" t="str">
        <f t="shared" si="460"/>
        <v xml:space="preserve">COM VALOR</v>
      </c>
      <c r="L9855" s="21">
        <v>3.25</v>
      </c>
      <c r="M9855" s="22">
        <v>0.31</v>
      </c>
      <c r="N9855" s="21">
        <v>3.2200000000000002</v>
      </c>
      <c r="O9855" s="22">
        <v>0.32000000000000001</v>
      </c>
      <c r="P9855" s="21"/>
      <c r="Q9855" s="22"/>
    </row>
    <row r="9856" ht="26.25">
      <c r="A9856" t="s">
        <v>9801</v>
      </c>
      <c r="B9856" s="19">
        <v>106696</v>
      </c>
      <c r="C9856" s="20" t="s">
        <v>9996</v>
      </c>
      <c r="D9856" s="19" t="s">
        <v>9703</v>
      </c>
      <c r="E9856" s="21">
        <f t="shared" si="458"/>
        <v>5.9400000000000004</v>
      </c>
      <c r="F9856" s="22"/>
      <c r="G9856" s="21">
        <f t="shared" si="459"/>
        <v>5.9000000000000004</v>
      </c>
      <c r="H9856" s="22"/>
      <c r="I9856" s="23" t="str">
        <f t="shared" si="460"/>
        <v xml:space="preserve">COM VALOR</v>
      </c>
      <c r="L9856" s="21">
        <v>5.9400000000000004</v>
      </c>
      <c r="M9856" s="22">
        <v>0.34999999999999998</v>
      </c>
      <c r="N9856" s="21">
        <v>5.9000000000000004</v>
      </c>
      <c r="O9856" s="22">
        <v>0.35249999999999998</v>
      </c>
      <c r="P9856" s="21"/>
      <c r="Q9856" s="22"/>
    </row>
    <row r="9857" ht="26.25">
      <c r="A9857" t="s">
        <v>9801</v>
      </c>
      <c r="B9857" s="19">
        <v>106692</v>
      </c>
      <c r="C9857" s="20" t="s">
        <v>9997</v>
      </c>
      <c r="D9857" s="19" t="s">
        <v>9703</v>
      </c>
      <c r="E9857" s="21">
        <f t="shared" si="458"/>
        <v>2.96</v>
      </c>
      <c r="F9857" s="22"/>
      <c r="G9857" s="21">
        <f t="shared" si="459"/>
        <v>2.9500000000000002</v>
      </c>
      <c r="H9857" s="22"/>
      <c r="I9857" s="23" t="str">
        <f t="shared" si="460"/>
        <v xml:space="preserve">COM VALOR</v>
      </c>
      <c r="L9857" s="21">
        <v>2.96</v>
      </c>
      <c r="M9857" s="22">
        <v>0.34999999999999998</v>
      </c>
      <c r="N9857" s="21">
        <v>2.9500000000000002</v>
      </c>
      <c r="O9857" s="22">
        <v>0.34999999999999998</v>
      </c>
      <c r="P9857" s="21"/>
      <c r="Q9857" s="22"/>
    </row>
    <row r="9858" ht="26.25">
      <c r="A9858" t="s">
        <v>9801</v>
      </c>
      <c r="B9858" s="19">
        <v>106693</v>
      </c>
      <c r="C9858" s="20" t="s">
        <v>9998</v>
      </c>
      <c r="D9858" s="19" t="s">
        <v>9703</v>
      </c>
      <c r="E9858" s="21">
        <f t="shared" si="458"/>
        <v>2.25</v>
      </c>
      <c r="F9858" s="22"/>
      <c r="G9858" s="21">
        <f t="shared" si="459"/>
        <v>2.2400000000000002</v>
      </c>
      <c r="H9858" s="22"/>
      <c r="I9858" s="23" t="str">
        <f t="shared" si="460"/>
        <v xml:space="preserve">COM VALOR</v>
      </c>
      <c r="L9858" s="21">
        <v>2.25</v>
      </c>
      <c r="M9858" s="22">
        <v>0.34999999999999998</v>
      </c>
      <c r="N9858" s="21">
        <v>2.2400000000000002</v>
      </c>
      <c r="O9858" s="22">
        <v>0.34999999999999998</v>
      </c>
      <c r="P9858" s="21"/>
      <c r="Q9858" s="22"/>
    </row>
    <row r="9859" ht="39">
      <c r="A9859" t="s">
        <v>9801</v>
      </c>
      <c r="B9859" s="19">
        <v>106695</v>
      </c>
      <c r="C9859" s="20" t="s">
        <v>9999</v>
      </c>
      <c r="D9859" s="19" t="s">
        <v>9703</v>
      </c>
      <c r="E9859" s="21">
        <f t="shared" si="458"/>
        <v>0.78000000000000003</v>
      </c>
      <c r="F9859" s="22"/>
      <c r="G9859" s="21">
        <f t="shared" si="459"/>
        <v>0.78000000000000003</v>
      </c>
      <c r="H9859" s="22"/>
      <c r="I9859" s="23" t="str">
        <f t="shared" si="460"/>
        <v xml:space="preserve">COM VALOR</v>
      </c>
      <c r="L9859" s="21">
        <v>0.78000000000000003</v>
      </c>
      <c r="M9859" s="22">
        <v>0.34999999999999998</v>
      </c>
      <c r="N9859" s="21">
        <v>0.78000000000000003</v>
      </c>
      <c r="O9859" s="22">
        <v>0.34999999999999998</v>
      </c>
      <c r="P9859" s="21"/>
      <c r="Q9859" s="22"/>
    </row>
    <row r="9860" ht="26.25">
      <c r="A9860" t="s">
        <v>9801</v>
      </c>
      <c r="B9860" s="19">
        <v>106694</v>
      </c>
      <c r="C9860" s="20" t="s">
        <v>10000</v>
      </c>
      <c r="D9860" s="19" t="s">
        <v>9703</v>
      </c>
      <c r="E9860" s="21">
        <f t="shared" si="458"/>
        <v>2.0600000000000001</v>
      </c>
      <c r="F9860" s="22"/>
      <c r="G9860" s="21">
        <f t="shared" si="459"/>
        <v>2.04</v>
      </c>
      <c r="H9860" s="22"/>
      <c r="I9860" s="23" t="str">
        <f t="shared" si="460"/>
        <v xml:space="preserve">COM VALOR</v>
      </c>
      <c r="L9860" s="21">
        <v>2.0600000000000001</v>
      </c>
      <c r="M9860" s="22">
        <v>0.34000000000000002</v>
      </c>
      <c r="N9860" s="21">
        <v>2.04</v>
      </c>
      <c r="O9860" s="22">
        <v>0.34999999999999998</v>
      </c>
      <c r="P9860" s="21"/>
      <c r="Q9860" s="22"/>
    </row>
    <row r="9861" ht="26.25">
      <c r="A9861" t="s">
        <v>9801</v>
      </c>
      <c r="B9861" s="19">
        <v>100959</v>
      </c>
      <c r="C9861" s="20" t="s">
        <v>10001</v>
      </c>
      <c r="D9861" s="19" t="s">
        <v>9703</v>
      </c>
      <c r="E9861" s="21">
        <f t="shared" si="458"/>
        <v>12.550000000000001</v>
      </c>
      <c r="F9861" s="22"/>
      <c r="G9861" s="21">
        <f t="shared" si="459"/>
        <v>12.460000000000001</v>
      </c>
      <c r="H9861" s="22"/>
      <c r="I9861" s="23" t="str">
        <f t="shared" si="460"/>
        <v xml:space="preserve">COM VALOR</v>
      </c>
      <c r="L9861" s="21">
        <v>12.550000000000001</v>
      </c>
      <c r="M9861" s="22">
        <v>0.28000000000000003</v>
      </c>
      <c r="N9861" s="21">
        <v>12.460000000000001</v>
      </c>
      <c r="O9861" s="22">
        <v>0.28000000000000003</v>
      </c>
      <c r="P9861" s="21"/>
      <c r="Q9861" s="22"/>
    </row>
    <row r="9862" ht="26.25">
      <c r="A9862" t="s">
        <v>9801</v>
      </c>
      <c r="B9862" s="19">
        <v>100955</v>
      </c>
      <c r="C9862" s="20" t="s">
        <v>10002</v>
      </c>
      <c r="D9862" s="19" t="s">
        <v>9703</v>
      </c>
      <c r="E9862" s="21">
        <f t="shared" si="458"/>
        <v>6.2699999999999996</v>
      </c>
      <c r="F9862" s="22"/>
      <c r="G9862" s="21">
        <f t="shared" si="459"/>
        <v>6.2300000000000004</v>
      </c>
      <c r="H9862" s="22"/>
      <c r="I9862" s="23" t="str">
        <f t="shared" si="460"/>
        <v xml:space="preserve">COM VALOR</v>
      </c>
      <c r="L9862" s="21">
        <v>6.2699999999999996</v>
      </c>
      <c r="M9862" s="22">
        <v>0.28000000000000003</v>
      </c>
      <c r="N9862" s="21">
        <v>6.2300000000000004</v>
      </c>
      <c r="O9862" s="22">
        <v>0.28000000000000003</v>
      </c>
      <c r="P9862" s="21"/>
      <c r="Q9862" s="22"/>
    </row>
    <row r="9863" ht="26.25">
      <c r="A9863" t="s">
        <v>9801</v>
      </c>
      <c r="B9863" s="19">
        <v>100956</v>
      </c>
      <c r="C9863" s="20" t="s">
        <v>10003</v>
      </c>
      <c r="D9863" s="19" t="s">
        <v>9703</v>
      </c>
      <c r="E9863" s="21">
        <f t="shared" si="458"/>
        <v>4.7800000000000002</v>
      </c>
      <c r="F9863" s="22"/>
      <c r="G9863" s="21">
        <f t="shared" si="459"/>
        <v>4.7400000000000002</v>
      </c>
      <c r="H9863" s="22"/>
      <c r="I9863" s="23" t="str">
        <f t="shared" si="460"/>
        <v xml:space="preserve">COM VALOR</v>
      </c>
      <c r="L9863" s="21">
        <v>4.7800000000000002</v>
      </c>
      <c r="M9863" s="22">
        <v>0.28000000000000003</v>
      </c>
      <c r="N9863" s="21">
        <v>4.7400000000000002</v>
      </c>
      <c r="O9863" s="22">
        <v>0.28000000000000003</v>
      </c>
      <c r="P9863" s="21"/>
      <c r="Q9863" s="22"/>
    </row>
    <row r="9864" ht="39">
      <c r="A9864" t="s">
        <v>9801</v>
      </c>
      <c r="B9864" s="19">
        <v>100958</v>
      </c>
      <c r="C9864" s="20" t="s">
        <v>10004</v>
      </c>
      <c r="D9864" s="19" t="s">
        <v>9703</v>
      </c>
      <c r="E9864" s="21">
        <f t="shared" si="458"/>
        <v>1.6599999999999999</v>
      </c>
      <c r="F9864" s="22"/>
      <c r="G9864" s="21">
        <f t="shared" si="459"/>
        <v>1.6499999999999999</v>
      </c>
      <c r="H9864" s="22"/>
      <c r="I9864" s="23" t="str">
        <f t="shared" si="460"/>
        <v xml:space="preserve">COM VALOR</v>
      </c>
      <c r="L9864" s="21">
        <v>1.6599999999999999</v>
      </c>
      <c r="M9864" s="22">
        <v>0.28000000000000003</v>
      </c>
      <c r="N9864" s="21">
        <v>1.6499999999999999</v>
      </c>
      <c r="O9864" s="22">
        <v>0.28000000000000003</v>
      </c>
      <c r="P9864" s="21"/>
      <c r="Q9864" s="22"/>
    </row>
    <row r="9865" ht="26.25">
      <c r="A9865" t="s">
        <v>9801</v>
      </c>
      <c r="B9865" s="19">
        <v>100957</v>
      </c>
      <c r="C9865" s="20" t="s">
        <v>10005</v>
      </c>
      <c r="D9865" s="19" t="s">
        <v>9703</v>
      </c>
      <c r="E9865" s="21">
        <f t="shared" si="458"/>
        <v>4.3600000000000003</v>
      </c>
      <c r="F9865" s="22"/>
      <c r="G9865" s="21">
        <f t="shared" si="459"/>
        <v>4.3300000000000001</v>
      </c>
      <c r="H9865" s="22"/>
      <c r="I9865" s="23" t="str">
        <f t="shared" si="460"/>
        <v xml:space="preserve">COM VALOR</v>
      </c>
      <c r="L9865" s="21">
        <v>4.3600000000000003</v>
      </c>
      <c r="M9865" s="22">
        <v>0.28000000000000003</v>
      </c>
      <c r="N9865" s="21">
        <v>4.3300000000000001</v>
      </c>
      <c r="O9865" s="22">
        <v>0.28000000000000003</v>
      </c>
      <c r="P9865" s="21"/>
      <c r="Q9865" s="22"/>
    </row>
    <row r="9866" ht="26.25">
      <c r="A9866" t="s">
        <v>9801</v>
      </c>
      <c r="B9866" s="19">
        <v>106706</v>
      </c>
      <c r="C9866" s="20" t="s">
        <v>10006</v>
      </c>
      <c r="D9866" s="19" t="s">
        <v>9703</v>
      </c>
      <c r="E9866" s="21" t="str">
        <f t="shared" si="458"/>
        <v>VERIFICAR</v>
      </c>
      <c r="F9866" s="22"/>
      <c r="G9866" s="21" t="str">
        <f t="shared" si="459"/>
        <v>VERIFICAR</v>
      </c>
      <c r="H9866" s="22"/>
      <c r="I9866" s="23" t="str">
        <f t="shared" si="460"/>
        <v xml:space="preserve">COM VALOR</v>
      </c>
      <c r="L9866" s="21">
        <v>0</v>
      </c>
      <c r="M9866" s="22"/>
      <c r="N9866" s="21">
        <v>0</v>
      </c>
      <c r="O9866" s="22"/>
      <c r="P9866" s="21"/>
      <c r="Q9866" s="22"/>
    </row>
    <row r="9867" ht="26.25">
      <c r="A9867" t="s">
        <v>9801</v>
      </c>
      <c r="B9867" s="19">
        <v>106702</v>
      </c>
      <c r="C9867" s="20" t="s">
        <v>10007</v>
      </c>
      <c r="D9867" s="19" t="s">
        <v>9703</v>
      </c>
      <c r="E9867" s="21" t="str">
        <f t="shared" ref="E9867:E9930" si="461">IF(L9867=0,"VERIFICAR",L9867)</f>
        <v>VERIFICAR</v>
      </c>
      <c r="F9867" s="22"/>
      <c r="G9867" s="21" t="str">
        <f t="shared" ref="G9867:G9930" si="462">IF(N9867=0,"VERIFICAR",N9867)</f>
        <v>VERIFICAR</v>
      </c>
      <c r="H9867" s="22"/>
      <c r="I9867" s="23" t="str">
        <f t="shared" ref="I9867:I9930" si="463">IF(OR(E9867=0,G9867=0),"SEM VALOR","COM VALOR")</f>
        <v xml:space="preserve">COM VALOR</v>
      </c>
      <c r="L9867" s="21">
        <v>0</v>
      </c>
      <c r="M9867" s="22"/>
      <c r="N9867" s="21">
        <v>0</v>
      </c>
      <c r="O9867" s="22"/>
      <c r="P9867" s="21"/>
      <c r="Q9867" s="22"/>
    </row>
    <row r="9868" ht="26.25">
      <c r="A9868" t="s">
        <v>9801</v>
      </c>
      <c r="B9868" s="19">
        <v>106703</v>
      </c>
      <c r="C9868" s="20" t="s">
        <v>10008</v>
      </c>
      <c r="D9868" s="19" t="s">
        <v>9703</v>
      </c>
      <c r="E9868" s="21" t="str">
        <f t="shared" si="461"/>
        <v>VERIFICAR</v>
      </c>
      <c r="F9868" s="22"/>
      <c r="G9868" s="21" t="str">
        <f t="shared" si="462"/>
        <v>VERIFICAR</v>
      </c>
      <c r="H9868" s="22"/>
      <c r="I9868" s="23" t="str">
        <f t="shared" si="463"/>
        <v xml:space="preserve">COM VALOR</v>
      </c>
      <c r="L9868" s="21">
        <v>0</v>
      </c>
      <c r="M9868" s="22"/>
      <c r="N9868" s="21">
        <v>0</v>
      </c>
      <c r="O9868" s="22"/>
      <c r="P9868" s="21"/>
      <c r="Q9868" s="22"/>
    </row>
    <row r="9869" ht="39">
      <c r="A9869" t="s">
        <v>9801</v>
      </c>
      <c r="B9869" s="19">
        <v>106705</v>
      </c>
      <c r="C9869" s="20" t="s">
        <v>10009</v>
      </c>
      <c r="D9869" s="19" t="s">
        <v>9703</v>
      </c>
      <c r="E9869" s="21" t="str">
        <f t="shared" si="461"/>
        <v>VERIFICAR</v>
      </c>
      <c r="F9869" s="22"/>
      <c r="G9869" s="21" t="str">
        <f t="shared" si="462"/>
        <v>VERIFICAR</v>
      </c>
      <c r="H9869" s="22"/>
      <c r="I9869" s="23" t="str">
        <f t="shared" si="463"/>
        <v xml:space="preserve">COM VALOR</v>
      </c>
      <c r="L9869" s="21">
        <v>0</v>
      </c>
      <c r="M9869" s="22"/>
      <c r="N9869" s="21">
        <v>0</v>
      </c>
      <c r="O9869" s="22"/>
      <c r="P9869" s="21"/>
      <c r="Q9869" s="22"/>
    </row>
    <row r="9870" ht="39">
      <c r="A9870" t="s">
        <v>9801</v>
      </c>
      <c r="B9870" s="19">
        <v>106704</v>
      </c>
      <c r="C9870" s="20" t="s">
        <v>10010</v>
      </c>
      <c r="D9870" s="19" t="s">
        <v>9703</v>
      </c>
      <c r="E9870" s="21" t="str">
        <f t="shared" si="461"/>
        <v>VERIFICAR</v>
      </c>
      <c r="F9870" s="22"/>
      <c r="G9870" s="21" t="str">
        <f t="shared" si="462"/>
        <v>VERIFICAR</v>
      </c>
      <c r="H9870" s="22"/>
      <c r="I9870" s="23" t="str">
        <f t="shared" si="463"/>
        <v xml:space="preserve">COM VALOR</v>
      </c>
      <c r="L9870" s="21">
        <v>0</v>
      </c>
      <c r="M9870" s="22"/>
      <c r="N9870" s="21">
        <v>0</v>
      </c>
      <c r="O9870" s="22"/>
      <c r="P9870" s="21"/>
      <c r="Q9870" s="22"/>
    </row>
    <row r="9871" ht="39">
      <c r="A9871" t="s">
        <v>9801</v>
      </c>
      <c r="B9871" s="19">
        <v>100969</v>
      </c>
      <c r="C9871" s="20" t="s">
        <v>10011</v>
      </c>
      <c r="D9871" s="19" t="s">
        <v>9693</v>
      </c>
      <c r="E9871" s="21">
        <f t="shared" si="461"/>
        <v>2.9500000000000002</v>
      </c>
      <c r="F9871" s="22"/>
      <c r="G9871" s="21">
        <f t="shared" si="462"/>
        <v>2.9300000000000002</v>
      </c>
      <c r="H9871" s="22"/>
      <c r="I9871" s="23" t="str">
        <f t="shared" si="463"/>
        <v xml:space="preserve">COM VALOR</v>
      </c>
      <c r="L9871" s="21">
        <v>2.9500000000000002</v>
      </c>
      <c r="M9871" s="22">
        <v>2.e-002</v>
      </c>
      <c r="N9871" s="21">
        <v>2.9300000000000002</v>
      </c>
      <c r="O9871" s="22">
        <v>2.e-002</v>
      </c>
      <c r="P9871" s="21"/>
      <c r="Q9871" s="22"/>
    </row>
    <row r="9872" ht="39">
      <c r="A9872" t="s">
        <v>9801</v>
      </c>
      <c r="B9872" s="19">
        <v>100970</v>
      </c>
      <c r="C9872" s="20" t="s">
        <v>10012</v>
      </c>
      <c r="D9872" s="19" t="s">
        <v>9693</v>
      </c>
      <c r="E9872" s="21">
        <f t="shared" si="461"/>
        <v>2.25</v>
      </c>
      <c r="F9872" s="22"/>
      <c r="G9872" s="21">
        <f t="shared" si="462"/>
        <v>2.23</v>
      </c>
      <c r="H9872" s="22"/>
      <c r="I9872" s="23" t="str">
        <f t="shared" si="463"/>
        <v xml:space="preserve">COM VALOR</v>
      </c>
      <c r="L9872" s="21">
        <v>2.25</v>
      </c>
      <c r="M9872" s="22">
        <v>2.9999999999999999e-002</v>
      </c>
      <c r="N9872" s="21">
        <v>2.23</v>
      </c>
      <c r="O9872" s="22">
        <v>2.9999999999999999e-002</v>
      </c>
      <c r="P9872" s="21"/>
      <c r="Q9872" s="22"/>
    </row>
    <row r="9873" ht="39">
      <c r="A9873" t="s">
        <v>9801</v>
      </c>
      <c r="B9873" s="19">
        <v>102333</v>
      </c>
      <c r="C9873" s="20" t="s">
        <v>10013</v>
      </c>
      <c r="D9873" s="19" t="s">
        <v>9693</v>
      </c>
      <c r="E9873" s="21">
        <f t="shared" si="461"/>
        <v>0.78000000000000003</v>
      </c>
      <c r="F9873" s="22"/>
      <c r="G9873" s="21">
        <f t="shared" si="462"/>
        <v>0.77000000000000002</v>
      </c>
      <c r="H9873" s="22"/>
      <c r="I9873" s="23" t="str">
        <f t="shared" si="463"/>
        <v xml:space="preserve">COM VALOR</v>
      </c>
      <c r="L9873" s="21">
        <v>0.78000000000000003</v>
      </c>
      <c r="M9873" s="22">
        <v>1.e-002</v>
      </c>
      <c r="N9873" s="21">
        <v>0.77000000000000002</v>
      </c>
      <c r="O9873" s="22">
        <v>1.e-002</v>
      </c>
      <c r="P9873" s="21"/>
      <c r="Q9873" s="22"/>
    </row>
    <row r="9874" ht="39">
      <c r="A9874" t="s">
        <v>9801</v>
      </c>
      <c r="B9874" s="19">
        <v>102332</v>
      </c>
      <c r="C9874" s="20" t="s">
        <v>10014</v>
      </c>
      <c r="D9874" s="19" t="s">
        <v>9693</v>
      </c>
      <c r="E9874" s="21">
        <f t="shared" si="461"/>
        <v>2.0499999999999998</v>
      </c>
      <c r="F9874" s="22"/>
      <c r="G9874" s="21">
        <f t="shared" si="462"/>
        <v>2.04</v>
      </c>
      <c r="H9874" s="22"/>
      <c r="I9874" s="23" t="str">
        <f t="shared" si="463"/>
        <v xml:space="preserve">COM VALOR</v>
      </c>
      <c r="L9874" s="21">
        <v>2.0499999999999998</v>
      </c>
      <c r="M9874" s="22">
        <v>2.e-002</v>
      </c>
      <c r="N9874" s="21">
        <v>2.04</v>
      </c>
      <c r="O9874" s="22">
        <v>2.e-002</v>
      </c>
      <c r="P9874" s="21"/>
      <c r="Q9874" s="22"/>
    </row>
    <row r="9875" ht="39">
      <c r="A9875" t="s">
        <v>9801</v>
      </c>
      <c r="B9875" s="19">
        <v>100965</v>
      </c>
      <c r="C9875" s="20" t="s">
        <v>10015</v>
      </c>
      <c r="D9875" s="19" t="s">
        <v>9693</v>
      </c>
      <c r="E9875" s="21">
        <f t="shared" si="461"/>
        <v>2.2599999999999998</v>
      </c>
      <c r="F9875" s="22"/>
      <c r="G9875" s="21">
        <f t="shared" si="462"/>
        <v>2.25</v>
      </c>
      <c r="H9875" s="22"/>
      <c r="I9875" s="23" t="str">
        <f t="shared" si="463"/>
        <v xml:space="preserve">COM VALOR</v>
      </c>
      <c r="L9875" s="21">
        <v>2.2599999999999998</v>
      </c>
      <c r="M9875" s="22">
        <v>2.9999999999999999e-002</v>
      </c>
      <c r="N9875" s="21">
        <v>2.25</v>
      </c>
      <c r="O9875" s="22">
        <v>2.9999999999999999e-002</v>
      </c>
      <c r="P9875" s="21"/>
      <c r="Q9875" s="22"/>
    </row>
    <row r="9876" ht="39">
      <c r="A9876" t="s">
        <v>9801</v>
      </c>
      <c r="B9876" s="19">
        <v>100966</v>
      </c>
      <c r="C9876" s="20" t="s">
        <v>10016</v>
      </c>
      <c r="D9876" s="19" t="s">
        <v>9693</v>
      </c>
      <c r="E9876" s="21">
        <f t="shared" si="461"/>
        <v>1.73</v>
      </c>
      <c r="F9876" s="22"/>
      <c r="G9876" s="21">
        <f t="shared" si="462"/>
        <v>1.72</v>
      </c>
      <c r="H9876" s="22"/>
      <c r="I9876" s="23" t="str">
        <f t="shared" si="463"/>
        <v xml:space="preserve">COM VALOR</v>
      </c>
      <c r="L9876" s="21">
        <v>1.73</v>
      </c>
      <c r="M9876" s="22">
        <v>2.e-002</v>
      </c>
      <c r="N9876" s="21">
        <v>1.72</v>
      </c>
      <c r="O9876" s="22">
        <v>2.e-002</v>
      </c>
      <c r="P9876" s="21"/>
      <c r="Q9876" s="22"/>
    </row>
    <row r="9877" ht="39">
      <c r="A9877" t="s">
        <v>9801</v>
      </c>
      <c r="B9877" s="19">
        <v>102331</v>
      </c>
      <c r="C9877" s="20" t="s">
        <v>10017</v>
      </c>
      <c r="D9877" s="19" t="s">
        <v>9693</v>
      </c>
      <c r="E9877" s="21">
        <f t="shared" si="461"/>
        <v>0.58999999999999997</v>
      </c>
      <c r="F9877" s="22"/>
      <c r="G9877" s="21">
        <f t="shared" si="462"/>
        <v>0.58999999999999997</v>
      </c>
      <c r="H9877" s="22"/>
      <c r="I9877" s="23" t="str">
        <f t="shared" si="463"/>
        <v xml:space="preserve">COM VALOR</v>
      </c>
      <c r="L9877" s="21">
        <v>0.58999999999999997</v>
      </c>
      <c r="M9877" s="22">
        <v>2.e-002</v>
      </c>
      <c r="N9877" s="21">
        <v>0.58999999999999997</v>
      </c>
      <c r="O9877" s="22">
        <v>2.e-002</v>
      </c>
      <c r="P9877" s="21"/>
      <c r="Q9877" s="22"/>
    </row>
    <row r="9878" ht="39">
      <c r="A9878" t="s">
        <v>9801</v>
      </c>
      <c r="B9878" s="19">
        <v>102330</v>
      </c>
      <c r="C9878" s="20" t="s">
        <v>10018</v>
      </c>
      <c r="D9878" s="19" t="s">
        <v>9693</v>
      </c>
      <c r="E9878" s="21">
        <f t="shared" si="461"/>
        <v>1.5700000000000001</v>
      </c>
      <c r="F9878" s="22"/>
      <c r="G9878" s="21">
        <f t="shared" si="462"/>
        <v>1.5700000000000001</v>
      </c>
      <c r="H9878" s="22"/>
      <c r="I9878" s="23" t="str">
        <f t="shared" si="463"/>
        <v xml:space="preserve">COM VALOR</v>
      </c>
      <c r="L9878" s="21">
        <v>1.5700000000000001</v>
      </c>
      <c r="M9878" s="22">
        <v>2.e-002</v>
      </c>
      <c r="N9878" s="21">
        <v>1.5700000000000001</v>
      </c>
      <c r="O9878" s="22">
        <v>2.e-002</v>
      </c>
      <c r="P9878" s="21"/>
      <c r="Q9878" s="22"/>
    </row>
    <row r="9879" ht="26.25">
      <c r="A9879" t="s">
        <v>9801</v>
      </c>
      <c r="B9879" s="19">
        <v>106701</v>
      </c>
      <c r="C9879" s="20" t="s">
        <v>10019</v>
      </c>
      <c r="D9879" s="19" t="s">
        <v>9693</v>
      </c>
      <c r="E9879" s="21" t="str">
        <f t="shared" si="461"/>
        <v>VERIFICAR</v>
      </c>
      <c r="F9879" s="22"/>
      <c r="G9879" s="21" t="str">
        <f t="shared" si="462"/>
        <v>VERIFICAR</v>
      </c>
      <c r="H9879" s="22"/>
      <c r="I9879" s="23" t="str">
        <f t="shared" si="463"/>
        <v xml:space="preserve">COM VALOR</v>
      </c>
      <c r="L9879" s="21">
        <v>0</v>
      </c>
      <c r="M9879" s="22"/>
      <c r="N9879" s="21">
        <v>0</v>
      </c>
      <c r="O9879" s="22"/>
      <c r="P9879" s="21"/>
      <c r="Q9879" s="22"/>
    </row>
    <row r="9880" ht="26.25">
      <c r="A9880" t="s">
        <v>9801</v>
      </c>
      <c r="B9880" s="19">
        <v>106697</v>
      </c>
      <c r="C9880" s="20" t="s">
        <v>10020</v>
      </c>
      <c r="D9880" s="19" t="s">
        <v>9693</v>
      </c>
      <c r="E9880" s="21" t="str">
        <f t="shared" si="461"/>
        <v>VERIFICAR</v>
      </c>
      <c r="F9880" s="22"/>
      <c r="G9880" s="21" t="str">
        <f t="shared" si="462"/>
        <v>VERIFICAR</v>
      </c>
      <c r="H9880" s="22"/>
      <c r="I9880" s="23" t="str">
        <f t="shared" si="463"/>
        <v xml:space="preserve">COM VALOR</v>
      </c>
      <c r="L9880" s="21">
        <v>0</v>
      </c>
      <c r="M9880" s="22"/>
      <c r="N9880" s="21">
        <v>0</v>
      </c>
      <c r="O9880" s="22"/>
      <c r="P9880" s="21"/>
      <c r="Q9880" s="22"/>
    </row>
    <row r="9881" ht="26.25">
      <c r="A9881" t="s">
        <v>9801</v>
      </c>
      <c r="B9881" s="19">
        <v>106698</v>
      </c>
      <c r="C9881" s="20" t="s">
        <v>10021</v>
      </c>
      <c r="D9881" s="19" t="s">
        <v>9693</v>
      </c>
      <c r="E9881" s="21" t="str">
        <f t="shared" si="461"/>
        <v>VERIFICAR</v>
      </c>
      <c r="F9881" s="22"/>
      <c r="G9881" s="21" t="str">
        <f t="shared" si="462"/>
        <v>VERIFICAR</v>
      </c>
      <c r="H9881" s="22"/>
      <c r="I9881" s="23" t="str">
        <f t="shared" si="463"/>
        <v xml:space="preserve">COM VALOR</v>
      </c>
      <c r="L9881" s="21">
        <v>0</v>
      </c>
      <c r="M9881" s="22"/>
      <c r="N9881" s="21">
        <v>0</v>
      </c>
      <c r="O9881" s="22"/>
      <c r="P9881" s="21"/>
      <c r="Q9881" s="22"/>
    </row>
    <row r="9882" ht="39">
      <c r="A9882" t="s">
        <v>9801</v>
      </c>
      <c r="B9882" s="19">
        <v>106700</v>
      </c>
      <c r="C9882" s="20" t="s">
        <v>10022</v>
      </c>
      <c r="D9882" s="19" t="s">
        <v>9693</v>
      </c>
      <c r="E9882" s="21" t="str">
        <f t="shared" si="461"/>
        <v>VERIFICAR</v>
      </c>
      <c r="F9882" s="22"/>
      <c r="G9882" s="21" t="str">
        <f t="shared" si="462"/>
        <v>VERIFICAR</v>
      </c>
      <c r="H9882" s="22"/>
      <c r="I9882" s="23" t="str">
        <f t="shared" si="463"/>
        <v xml:space="preserve">COM VALOR</v>
      </c>
      <c r="L9882" s="21">
        <v>0</v>
      </c>
      <c r="M9882" s="22"/>
      <c r="N9882" s="21">
        <v>0</v>
      </c>
      <c r="O9882" s="22"/>
      <c r="P9882" s="21"/>
      <c r="Q9882" s="22"/>
    </row>
    <row r="9883" ht="26.25">
      <c r="A9883" t="s">
        <v>9801</v>
      </c>
      <c r="B9883" s="19">
        <v>106699</v>
      </c>
      <c r="C9883" s="20" t="s">
        <v>10023</v>
      </c>
      <c r="D9883" s="19" t="s">
        <v>9693</v>
      </c>
      <c r="E9883" s="21" t="str">
        <f t="shared" si="461"/>
        <v>VERIFICAR</v>
      </c>
      <c r="F9883" s="22"/>
      <c r="G9883" s="21" t="str">
        <f t="shared" si="462"/>
        <v>VERIFICAR</v>
      </c>
      <c r="H9883" s="22"/>
      <c r="I9883" s="23" t="str">
        <f t="shared" si="463"/>
        <v xml:space="preserve">COM VALOR</v>
      </c>
      <c r="L9883" s="21">
        <v>0</v>
      </c>
      <c r="M9883" s="22"/>
      <c r="N9883" s="21">
        <v>0</v>
      </c>
      <c r="O9883" s="22"/>
      <c r="P9883" s="21"/>
      <c r="Q9883" s="22"/>
    </row>
    <row r="9884" ht="26.25">
      <c r="A9884" t="s">
        <v>10024</v>
      </c>
      <c r="B9884" s="19">
        <v>97804</v>
      </c>
      <c r="C9884" s="20" t="s">
        <v>10025</v>
      </c>
      <c r="D9884" s="19" t="s">
        <v>29</v>
      </c>
      <c r="E9884" s="21" t="str">
        <f t="shared" si="461"/>
        <v>VERIFICAR</v>
      </c>
      <c r="F9884" s="22"/>
      <c r="G9884" s="21" t="str">
        <f t="shared" si="462"/>
        <v>VERIFICAR</v>
      </c>
      <c r="H9884" s="22"/>
      <c r="I9884" s="23" t="str">
        <f t="shared" si="463"/>
        <v xml:space="preserve">COM VALOR</v>
      </c>
      <c r="L9884" s="21">
        <v>0</v>
      </c>
      <c r="M9884" s="22"/>
      <c r="N9884" s="21">
        <v>0</v>
      </c>
      <c r="O9884" s="22"/>
      <c r="P9884" s="21"/>
      <c r="Q9884" s="22"/>
    </row>
    <row r="9885" ht="26.25">
      <c r="A9885" t="s">
        <v>10024</v>
      </c>
      <c r="B9885" s="19">
        <v>106306</v>
      </c>
      <c r="C9885" s="20" t="s">
        <v>10026</v>
      </c>
      <c r="D9885" s="19" t="s">
        <v>29</v>
      </c>
      <c r="E9885" s="21" t="str">
        <f t="shared" si="461"/>
        <v>VERIFICAR</v>
      </c>
      <c r="F9885" s="22"/>
      <c r="G9885" s="21" t="str">
        <f t="shared" si="462"/>
        <v>VERIFICAR</v>
      </c>
      <c r="H9885" s="22"/>
      <c r="I9885" s="23" t="str">
        <f t="shared" si="463"/>
        <v xml:space="preserve">COM VALOR</v>
      </c>
      <c r="L9885" s="21">
        <v>0</v>
      </c>
      <c r="M9885" s="22"/>
      <c r="N9885" s="21">
        <v>0</v>
      </c>
      <c r="O9885" s="22"/>
      <c r="P9885" s="21"/>
      <c r="Q9885" s="22"/>
    </row>
    <row r="9886" ht="26.25">
      <c r="A9886" t="s">
        <v>10024</v>
      </c>
      <c r="B9886" s="19">
        <v>104389</v>
      </c>
      <c r="C9886" s="20" t="s">
        <v>10027</v>
      </c>
      <c r="D9886" s="19" t="s">
        <v>29</v>
      </c>
      <c r="E9886" s="21" t="str">
        <f t="shared" si="461"/>
        <v>VERIFICAR</v>
      </c>
      <c r="F9886" s="22"/>
      <c r="G9886" s="21" t="str">
        <f t="shared" si="462"/>
        <v>VERIFICAR</v>
      </c>
      <c r="H9886" s="22"/>
      <c r="I9886" s="23" t="str">
        <f t="shared" si="463"/>
        <v xml:space="preserve">COM VALOR</v>
      </c>
      <c r="L9886" s="21">
        <v>0</v>
      </c>
      <c r="M9886" s="22"/>
      <c r="N9886" s="21">
        <v>0</v>
      </c>
      <c r="O9886" s="22"/>
      <c r="P9886" s="21"/>
      <c r="Q9886" s="22"/>
    </row>
    <row r="9887" ht="26.25">
      <c r="A9887" t="s">
        <v>10024</v>
      </c>
      <c r="B9887" s="19">
        <v>106307</v>
      </c>
      <c r="C9887" s="20" t="s">
        <v>10028</v>
      </c>
      <c r="D9887" s="19" t="s">
        <v>29</v>
      </c>
      <c r="E9887" s="21" t="str">
        <f t="shared" si="461"/>
        <v>VERIFICAR</v>
      </c>
      <c r="F9887" s="22"/>
      <c r="G9887" s="21" t="str">
        <f t="shared" si="462"/>
        <v>VERIFICAR</v>
      </c>
      <c r="H9887" s="22"/>
      <c r="I9887" s="23" t="str">
        <f t="shared" si="463"/>
        <v xml:space="preserve">COM VALOR</v>
      </c>
      <c r="L9887" s="21">
        <v>0</v>
      </c>
      <c r="M9887" s="22"/>
      <c r="N9887" s="21">
        <v>0</v>
      </c>
      <c r="O9887" s="22"/>
      <c r="P9887" s="21"/>
      <c r="Q9887" s="22"/>
    </row>
    <row r="9888" ht="39">
      <c r="A9888" t="s">
        <v>10024</v>
      </c>
      <c r="B9888" s="19">
        <v>104378</v>
      </c>
      <c r="C9888" s="20" t="s">
        <v>10029</v>
      </c>
      <c r="D9888" s="19" t="s">
        <v>29</v>
      </c>
      <c r="E9888" s="21" t="str">
        <f t="shared" si="461"/>
        <v>VERIFICAR</v>
      </c>
      <c r="F9888" s="22"/>
      <c r="G9888" s="21" t="str">
        <f t="shared" si="462"/>
        <v>VERIFICAR</v>
      </c>
      <c r="H9888" s="22"/>
      <c r="I9888" s="23" t="str">
        <f t="shared" si="463"/>
        <v xml:space="preserve">COM VALOR</v>
      </c>
      <c r="L9888" s="21">
        <v>0</v>
      </c>
      <c r="M9888" s="22"/>
      <c r="N9888" s="21">
        <v>0</v>
      </c>
      <c r="O9888" s="22"/>
      <c r="P9888" s="21"/>
      <c r="Q9888" s="22"/>
    </row>
    <row r="9889" ht="39">
      <c r="A9889" t="s">
        <v>10024</v>
      </c>
      <c r="B9889" s="19">
        <v>106308</v>
      </c>
      <c r="C9889" s="20" t="s">
        <v>10030</v>
      </c>
      <c r="D9889" s="19" t="s">
        <v>29</v>
      </c>
      <c r="E9889" s="21" t="str">
        <f t="shared" si="461"/>
        <v>VERIFICAR</v>
      </c>
      <c r="F9889" s="22"/>
      <c r="G9889" s="21" t="str">
        <f t="shared" si="462"/>
        <v>VERIFICAR</v>
      </c>
      <c r="H9889" s="22"/>
      <c r="I9889" s="23" t="str">
        <f t="shared" si="463"/>
        <v xml:space="preserve">COM VALOR</v>
      </c>
      <c r="L9889" s="21">
        <v>0</v>
      </c>
      <c r="M9889" s="22"/>
      <c r="N9889" s="21">
        <v>0</v>
      </c>
      <c r="O9889" s="22"/>
      <c r="P9889" s="21"/>
      <c r="Q9889" s="22"/>
    </row>
    <row r="9890" ht="39">
      <c r="A9890" t="s">
        <v>10024</v>
      </c>
      <c r="B9890" s="19">
        <v>104379</v>
      </c>
      <c r="C9890" s="20" t="s">
        <v>10031</v>
      </c>
      <c r="D9890" s="19" t="s">
        <v>29</v>
      </c>
      <c r="E9890" s="21" t="str">
        <f t="shared" si="461"/>
        <v>VERIFICAR</v>
      </c>
      <c r="F9890" s="22"/>
      <c r="G9890" s="21" t="str">
        <f t="shared" si="462"/>
        <v>VERIFICAR</v>
      </c>
      <c r="H9890" s="22"/>
      <c r="I9890" s="23" t="str">
        <f t="shared" si="463"/>
        <v xml:space="preserve">COM VALOR</v>
      </c>
      <c r="L9890" s="21">
        <v>0</v>
      </c>
      <c r="M9890" s="22"/>
      <c r="N9890" s="21">
        <v>0</v>
      </c>
      <c r="O9890" s="22"/>
      <c r="P9890" s="21"/>
      <c r="Q9890" s="22"/>
    </row>
    <row r="9891" ht="39">
      <c r="A9891" t="s">
        <v>10024</v>
      </c>
      <c r="B9891" s="19">
        <v>106309</v>
      </c>
      <c r="C9891" s="20" t="s">
        <v>10032</v>
      </c>
      <c r="D9891" s="19" t="s">
        <v>29</v>
      </c>
      <c r="E9891" s="21" t="str">
        <f t="shared" si="461"/>
        <v>VERIFICAR</v>
      </c>
      <c r="F9891" s="22"/>
      <c r="G9891" s="21" t="str">
        <f t="shared" si="462"/>
        <v>VERIFICAR</v>
      </c>
      <c r="H9891" s="22"/>
      <c r="I9891" s="23" t="str">
        <f t="shared" si="463"/>
        <v xml:space="preserve">COM VALOR</v>
      </c>
      <c r="L9891" s="21">
        <v>0</v>
      </c>
      <c r="M9891" s="22"/>
      <c r="N9891" s="21">
        <v>0</v>
      </c>
      <c r="O9891" s="22"/>
      <c r="P9891" s="21"/>
      <c r="Q9891" s="22"/>
    </row>
    <row r="9892" ht="26.25">
      <c r="A9892" t="s">
        <v>10024</v>
      </c>
      <c r="B9892" s="19">
        <v>97801</v>
      </c>
      <c r="C9892" s="20" t="s">
        <v>10033</v>
      </c>
      <c r="D9892" s="19" t="s">
        <v>29</v>
      </c>
      <c r="E9892" s="21" t="str">
        <f t="shared" si="461"/>
        <v>VERIFICAR</v>
      </c>
      <c r="F9892" s="22"/>
      <c r="G9892" s="21" t="str">
        <f t="shared" si="462"/>
        <v>VERIFICAR</v>
      </c>
      <c r="H9892" s="22"/>
      <c r="I9892" s="23" t="str">
        <f t="shared" si="463"/>
        <v xml:space="preserve">COM VALOR</v>
      </c>
      <c r="L9892" s="21">
        <v>0</v>
      </c>
      <c r="M9892" s="22"/>
      <c r="N9892" s="21">
        <v>0</v>
      </c>
      <c r="O9892" s="22"/>
      <c r="P9892" s="21"/>
      <c r="Q9892" s="22"/>
    </row>
    <row r="9893" ht="26.25">
      <c r="A9893" t="s">
        <v>10024</v>
      </c>
      <c r="B9893" s="19">
        <v>106303</v>
      </c>
      <c r="C9893" s="20" t="s">
        <v>10034</v>
      </c>
      <c r="D9893" s="19" t="s">
        <v>29</v>
      </c>
      <c r="E9893" s="21" t="str">
        <f t="shared" si="461"/>
        <v>VERIFICAR</v>
      </c>
      <c r="F9893" s="22"/>
      <c r="G9893" s="21" t="str">
        <f t="shared" si="462"/>
        <v>VERIFICAR</v>
      </c>
      <c r="H9893" s="22"/>
      <c r="I9893" s="23" t="str">
        <f t="shared" si="463"/>
        <v xml:space="preserve">COM VALOR</v>
      </c>
      <c r="L9893" s="21">
        <v>0</v>
      </c>
      <c r="M9893" s="22"/>
      <c r="N9893" s="21">
        <v>0</v>
      </c>
      <c r="O9893" s="22"/>
      <c r="P9893" s="21"/>
      <c r="Q9893" s="22"/>
    </row>
    <row r="9894" ht="26.25">
      <c r="A9894" t="s">
        <v>10024</v>
      </c>
      <c r="B9894" s="19">
        <v>104376</v>
      </c>
      <c r="C9894" s="20" t="s">
        <v>10035</v>
      </c>
      <c r="D9894" s="19" t="s">
        <v>29</v>
      </c>
      <c r="E9894" s="21" t="str">
        <f t="shared" si="461"/>
        <v>VERIFICAR</v>
      </c>
      <c r="F9894" s="22"/>
      <c r="G9894" s="21" t="str">
        <f t="shared" si="462"/>
        <v>VERIFICAR</v>
      </c>
      <c r="H9894" s="22"/>
      <c r="I9894" s="23" t="str">
        <f t="shared" si="463"/>
        <v xml:space="preserve">COM VALOR</v>
      </c>
      <c r="L9894" s="21">
        <v>0</v>
      </c>
      <c r="M9894" s="22"/>
      <c r="N9894" s="21">
        <v>0</v>
      </c>
      <c r="O9894" s="22"/>
      <c r="P9894" s="21"/>
      <c r="Q9894" s="22"/>
    </row>
    <row r="9895" ht="26.25">
      <c r="A9895" t="s">
        <v>10024</v>
      </c>
      <c r="B9895" s="19">
        <v>106304</v>
      </c>
      <c r="C9895" s="20" t="s">
        <v>10036</v>
      </c>
      <c r="D9895" s="19" t="s">
        <v>29</v>
      </c>
      <c r="E9895" s="21" t="str">
        <f t="shared" si="461"/>
        <v>VERIFICAR</v>
      </c>
      <c r="F9895" s="22"/>
      <c r="G9895" s="21" t="str">
        <f t="shared" si="462"/>
        <v>VERIFICAR</v>
      </c>
      <c r="H9895" s="22"/>
      <c r="I9895" s="23" t="str">
        <f t="shared" si="463"/>
        <v xml:space="preserve">COM VALOR</v>
      </c>
      <c r="L9895" s="21">
        <v>0</v>
      </c>
      <c r="M9895" s="22"/>
      <c r="N9895" s="21">
        <v>0</v>
      </c>
      <c r="O9895" s="22"/>
      <c r="P9895" s="21"/>
      <c r="Q9895" s="22"/>
    </row>
    <row r="9896" ht="39">
      <c r="A9896" t="s">
        <v>10024</v>
      </c>
      <c r="B9896" s="19">
        <v>104377</v>
      </c>
      <c r="C9896" s="20" t="s">
        <v>10037</v>
      </c>
      <c r="D9896" s="19" t="s">
        <v>29</v>
      </c>
      <c r="E9896" s="21" t="str">
        <f t="shared" si="461"/>
        <v>VERIFICAR</v>
      </c>
      <c r="F9896" s="22"/>
      <c r="G9896" s="21" t="str">
        <f t="shared" si="462"/>
        <v>VERIFICAR</v>
      </c>
      <c r="H9896" s="22"/>
      <c r="I9896" s="23" t="str">
        <f t="shared" si="463"/>
        <v xml:space="preserve">COM VALOR</v>
      </c>
      <c r="L9896" s="21">
        <v>0</v>
      </c>
      <c r="M9896" s="22"/>
      <c r="N9896" s="21">
        <v>0</v>
      </c>
      <c r="O9896" s="22"/>
      <c r="P9896" s="21"/>
      <c r="Q9896" s="22"/>
    </row>
    <row r="9897" ht="39">
      <c r="A9897" t="s">
        <v>10024</v>
      </c>
      <c r="B9897" s="19">
        <v>106305</v>
      </c>
      <c r="C9897" s="20" t="s">
        <v>10038</v>
      </c>
      <c r="D9897" s="19" t="s">
        <v>29</v>
      </c>
      <c r="E9897" s="21" t="str">
        <f t="shared" si="461"/>
        <v>VERIFICAR</v>
      </c>
      <c r="F9897" s="22"/>
      <c r="G9897" s="21" t="str">
        <f t="shared" si="462"/>
        <v>VERIFICAR</v>
      </c>
      <c r="H9897" s="22"/>
      <c r="I9897" s="23" t="str">
        <f t="shared" si="463"/>
        <v xml:space="preserve">COM VALOR</v>
      </c>
      <c r="L9897" s="21">
        <v>0</v>
      </c>
      <c r="M9897" s="22"/>
      <c r="N9897" s="21">
        <v>0</v>
      </c>
      <c r="O9897" s="22"/>
      <c r="P9897" s="21"/>
      <c r="Q9897" s="22"/>
    </row>
    <row r="9898" ht="26.25">
      <c r="A9898" t="s">
        <v>10024</v>
      </c>
      <c r="B9898" s="19">
        <v>97808</v>
      </c>
      <c r="C9898" s="20" t="s">
        <v>10039</v>
      </c>
      <c r="D9898" s="19" t="s">
        <v>29</v>
      </c>
      <c r="E9898" s="21" t="str">
        <f t="shared" si="461"/>
        <v>VERIFICAR</v>
      </c>
      <c r="F9898" s="22"/>
      <c r="G9898" s="21" t="str">
        <f t="shared" si="462"/>
        <v>VERIFICAR</v>
      </c>
      <c r="H9898" s="22"/>
      <c r="I9898" s="23" t="str">
        <f t="shared" si="463"/>
        <v xml:space="preserve">COM VALOR</v>
      </c>
      <c r="L9898" s="21">
        <v>0</v>
      </c>
      <c r="M9898" s="22"/>
      <c r="N9898" s="21">
        <v>0</v>
      </c>
      <c r="O9898" s="22"/>
      <c r="P9898" s="21"/>
      <c r="Q9898" s="22"/>
    </row>
    <row r="9899" ht="26.25">
      <c r="A9899" t="s">
        <v>10024</v>
      </c>
      <c r="B9899" s="19">
        <v>106310</v>
      </c>
      <c r="C9899" s="20" t="s">
        <v>10040</v>
      </c>
      <c r="D9899" s="19" t="s">
        <v>29</v>
      </c>
      <c r="E9899" s="21" t="str">
        <f t="shared" si="461"/>
        <v>VERIFICAR</v>
      </c>
      <c r="F9899" s="22"/>
      <c r="G9899" s="21" t="str">
        <f t="shared" si="462"/>
        <v>VERIFICAR</v>
      </c>
      <c r="H9899" s="22"/>
      <c r="I9899" s="23" t="str">
        <f t="shared" si="463"/>
        <v xml:space="preserve">COM VALOR</v>
      </c>
      <c r="L9899" s="21">
        <v>0</v>
      </c>
      <c r="M9899" s="22"/>
      <c r="N9899" s="21">
        <v>0</v>
      </c>
      <c r="O9899" s="22"/>
      <c r="P9899" s="21"/>
      <c r="Q9899" s="22"/>
    </row>
    <row r="9900" ht="26.25">
      <c r="A9900" t="s">
        <v>10024</v>
      </c>
      <c r="B9900" s="19">
        <v>104380</v>
      </c>
      <c r="C9900" s="20" t="s">
        <v>10041</v>
      </c>
      <c r="D9900" s="19" t="s">
        <v>29</v>
      </c>
      <c r="E9900" s="21" t="str">
        <f t="shared" si="461"/>
        <v>VERIFICAR</v>
      </c>
      <c r="F9900" s="22"/>
      <c r="G9900" s="21" t="str">
        <f t="shared" si="462"/>
        <v>VERIFICAR</v>
      </c>
      <c r="H9900" s="22"/>
      <c r="I9900" s="23" t="str">
        <f t="shared" si="463"/>
        <v xml:space="preserve">COM VALOR</v>
      </c>
      <c r="L9900" s="21">
        <v>0</v>
      </c>
      <c r="M9900" s="22"/>
      <c r="N9900" s="21">
        <v>0</v>
      </c>
      <c r="O9900" s="22"/>
      <c r="P9900" s="21"/>
      <c r="Q9900" s="22"/>
    </row>
    <row r="9901" ht="26.25">
      <c r="A9901" t="s">
        <v>10024</v>
      </c>
      <c r="B9901" s="19">
        <v>106311</v>
      </c>
      <c r="C9901" s="20" t="s">
        <v>10042</v>
      </c>
      <c r="D9901" s="19" t="s">
        <v>29</v>
      </c>
      <c r="E9901" s="21" t="str">
        <f t="shared" si="461"/>
        <v>VERIFICAR</v>
      </c>
      <c r="F9901" s="22"/>
      <c r="G9901" s="21" t="str">
        <f t="shared" si="462"/>
        <v>VERIFICAR</v>
      </c>
      <c r="H9901" s="22"/>
      <c r="I9901" s="23" t="str">
        <f t="shared" si="463"/>
        <v xml:space="preserve">COM VALOR</v>
      </c>
      <c r="L9901" s="21">
        <v>0</v>
      </c>
      <c r="M9901" s="22"/>
      <c r="N9901" s="21">
        <v>0</v>
      </c>
      <c r="O9901" s="22"/>
      <c r="P9901" s="21"/>
      <c r="Q9901" s="22"/>
    </row>
    <row r="9902" ht="39">
      <c r="A9902" t="s">
        <v>10024</v>
      </c>
      <c r="B9902" s="19">
        <v>104381</v>
      </c>
      <c r="C9902" s="20" t="s">
        <v>10043</v>
      </c>
      <c r="D9902" s="19" t="s">
        <v>29</v>
      </c>
      <c r="E9902" s="21" t="str">
        <f t="shared" si="461"/>
        <v>VERIFICAR</v>
      </c>
      <c r="F9902" s="22"/>
      <c r="G9902" s="21" t="str">
        <f t="shared" si="462"/>
        <v>VERIFICAR</v>
      </c>
      <c r="H9902" s="22"/>
      <c r="I9902" s="23" t="str">
        <f t="shared" si="463"/>
        <v xml:space="preserve">COM VALOR</v>
      </c>
      <c r="L9902" s="21">
        <v>0</v>
      </c>
      <c r="M9902" s="22"/>
      <c r="N9902" s="21">
        <v>0</v>
      </c>
      <c r="O9902" s="22"/>
      <c r="P9902" s="21"/>
      <c r="Q9902" s="22"/>
    </row>
    <row r="9903" ht="39">
      <c r="A9903" t="s">
        <v>10024</v>
      </c>
      <c r="B9903" s="19">
        <v>106312</v>
      </c>
      <c r="C9903" s="20" t="s">
        <v>10044</v>
      </c>
      <c r="D9903" s="19" t="s">
        <v>29</v>
      </c>
      <c r="E9903" s="21" t="str">
        <f t="shared" si="461"/>
        <v>VERIFICAR</v>
      </c>
      <c r="F9903" s="22"/>
      <c r="G9903" s="21" t="str">
        <f t="shared" si="462"/>
        <v>VERIFICAR</v>
      </c>
      <c r="H9903" s="22"/>
      <c r="I9903" s="23" t="str">
        <f t="shared" si="463"/>
        <v xml:space="preserve">COM VALOR</v>
      </c>
      <c r="L9903" s="21">
        <v>0</v>
      </c>
      <c r="M9903" s="22"/>
      <c r="N9903" s="21">
        <v>0</v>
      </c>
      <c r="O9903" s="22"/>
      <c r="P9903" s="21"/>
      <c r="Q9903" s="22"/>
    </row>
    <row r="9904" ht="39">
      <c r="A9904" t="s">
        <v>10024</v>
      </c>
      <c r="B9904" s="19">
        <v>104382</v>
      </c>
      <c r="C9904" s="20" t="s">
        <v>10045</v>
      </c>
      <c r="D9904" s="19" t="s">
        <v>29</v>
      </c>
      <c r="E9904" s="21" t="str">
        <f t="shared" si="461"/>
        <v>VERIFICAR</v>
      </c>
      <c r="F9904" s="22"/>
      <c r="G9904" s="21" t="str">
        <f t="shared" si="462"/>
        <v>VERIFICAR</v>
      </c>
      <c r="H9904" s="22"/>
      <c r="I9904" s="23" t="str">
        <f t="shared" si="463"/>
        <v xml:space="preserve">COM VALOR</v>
      </c>
      <c r="L9904" s="21">
        <v>0</v>
      </c>
      <c r="M9904" s="22"/>
      <c r="N9904" s="21">
        <v>0</v>
      </c>
      <c r="O9904" s="22"/>
      <c r="P9904" s="21"/>
      <c r="Q9904" s="22"/>
    </row>
    <row r="9905" ht="39">
      <c r="A9905" t="s">
        <v>10024</v>
      </c>
      <c r="B9905" s="19">
        <v>106313</v>
      </c>
      <c r="C9905" s="20" t="s">
        <v>10046</v>
      </c>
      <c r="D9905" s="19" t="s">
        <v>29</v>
      </c>
      <c r="E9905" s="21" t="str">
        <f t="shared" si="461"/>
        <v>VERIFICAR</v>
      </c>
      <c r="F9905" s="22"/>
      <c r="G9905" s="21" t="str">
        <f t="shared" si="462"/>
        <v>VERIFICAR</v>
      </c>
      <c r="H9905" s="22"/>
      <c r="I9905" s="23" t="str">
        <f t="shared" si="463"/>
        <v xml:space="preserve">COM VALOR</v>
      </c>
      <c r="L9905" s="21">
        <v>0</v>
      </c>
      <c r="M9905" s="22"/>
      <c r="N9905" s="21">
        <v>0</v>
      </c>
      <c r="O9905" s="22"/>
      <c r="P9905" s="21"/>
      <c r="Q9905" s="22"/>
    </row>
    <row r="9906" ht="39">
      <c r="A9906" t="s">
        <v>10047</v>
      </c>
      <c r="B9906" s="19">
        <v>103138</v>
      </c>
      <c r="C9906" s="20" t="s">
        <v>10048</v>
      </c>
      <c r="D9906" s="19" t="s">
        <v>31</v>
      </c>
      <c r="E9906" s="21">
        <f t="shared" si="461"/>
        <v>39.850000000000001</v>
      </c>
      <c r="F9906" s="22"/>
      <c r="G9906" s="21">
        <f t="shared" si="462"/>
        <v>39.030000000000001</v>
      </c>
      <c r="H9906" s="22"/>
      <c r="I9906" s="23" t="str">
        <f t="shared" si="463"/>
        <v xml:space="preserve">COM VALOR</v>
      </c>
      <c r="L9906" s="21">
        <v>39.850000000000001</v>
      </c>
      <c r="M9906" s="22">
        <v>0.32000000000000001</v>
      </c>
      <c r="N9906" s="21">
        <v>39.030000000000001</v>
      </c>
      <c r="O9906" s="22">
        <v>0.33000000000000002</v>
      </c>
      <c r="P9906" s="21"/>
      <c r="Q9906" s="22"/>
    </row>
    <row r="9907" ht="39">
      <c r="A9907" t="s">
        <v>10047</v>
      </c>
      <c r="B9907" s="19">
        <v>103151</v>
      </c>
      <c r="C9907" s="20" t="s">
        <v>10049</v>
      </c>
      <c r="D9907" s="19" t="s">
        <v>31</v>
      </c>
      <c r="E9907" s="21">
        <f t="shared" si="461"/>
        <v>375.44</v>
      </c>
      <c r="F9907" s="22"/>
      <c r="G9907" s="21">
        <f t="shared" si="462"/>
        <v>364.91000000000003</v>
      </c>
      <c r="H9907" s="22"/>
      <c r="I9907" s="23" t="str">
        <f t="shared" si="463"/>
        <v xml:space="preserve">COM VALOR</v>
      </c>
      <c r="L9907" s="21">
        <v>375.44</v>
      </c>
      <c r="M9907" s="22">
        <v>0.25750000000000001</v>
      </c>
      <c r="N9907" s="21">
        <v>364.91000000000003</v>
      </c>
      <c r="O9907" s="22">
        <v>0.26000000000000001</v>
      </c>
      <c r="P9907" s="21"/>
      <c r="Q9907" s="22"/>
    </row>
    <row r="9908" ht="39">
      <c r="A9908" t="s">
        <v>10047</v>
      </c>
      <c r="B9908" s="19">
        <v>103152</v>
      </c>
      <c r="C9908" s="20" t="s">
        <v>10050</v>
      </c>
      <c r="D9908" s="19" t="s">
        <v>31</v>
      </c>
      <c r="E9908" s="21">
        <f t="shared" si="461"/>
        <v>447.44999999999999</v>
      </c>
      <c r="F9908" s="22"/>
      <c r="G9908" s="21">
        <f t="shared" si="462"/>
        <v>434.83999999999997</v>
      </c>
      <c r="H9908" s="22"/>
      <c r="I9908" s="23" t="str">
        <f t="shared" si="463"/>
        <v xml:space="preserve">COM VALOR</v>
      </c>
      <c r="L9908" s="21">
        <v>447.44999999999999</v>
      </c>
      <c r="M9908" s="22">
        <v>0.26000000000000001</v>
      </c>
      <c r="N9908" s="21">
        <v>434.83999999999997</v>
      </c>
      <c r="O9908" s="22">
        <v>0.26000000000000001</v>
      </c>
      <c r="P9908" s="21"/>
      <c r="Q9908" s="22"/>
    </row>
    <row r="9909" ht="39">
      <c r="A9909" t="s">
        <v>10047</v>
      </c>
      <c r="B9909" s="19">
        <v>103139</v>
      </c>
      <c r="C9909" s="20" t="s">
        <v>10051</v>
      </c>
      <c r="D9909" s="19" t="s">
        <v>31</v>
      </c>
      <c r="E9909" s="21">
        <f t="shared" si="461"/>
        <v>52.109999999999999</v>
      </c>
      <c r="F9909" s="22"/>
      <c r="G9909" s="21">
        <f t="shared" si="462"/>
        <v>50.93</v>
      </c>
      <c r="H9909" s="22"/>
      <c r="I9909" s="23" t="str">
        <f t="shared" si="463"/>
        <v xml:space="preserve">COM VALOR</v>
      </c>
      <c r="L9909" s="21">
        <v>52.109999999999999</v>
      </c>
      <c r="M9909" s="22">
        <v>0.29999999999999999</v>
      </c>
      <c r="N9909" s="21">
        <v>50.93</v>
      </c>
      <c r="O9909" s="22">
        <v>0.31</v>
      </c>
      <c r="P9909" s="21"/>
      <c r="Q9909" s="22"/>
    </row>
    <row r="9910" ht="39">
      <c r="A9910" t="s">
        <v>10047</v>
      </c>
      <c r="B9910" s="19">
        <v>103140</v>
      </c>
      <c r="C9910" s="20" t="s">
        <v>10052</v>
      </c>
      <c r="D9910" s="19" t="s">
        <v>31</v>
      </c>
      <c r="E9910" s="21">
        <f t="shared" si="461"/>
        <v>64.359999999999999</v>
      </c>
      <c r="F9910" s="22"/>
      <c r="G9910" s="21">
        <f t="shared" si="462"/>
        <v>62.82</v>
      </c>
      <c r="H9910" s="22"/>
      <c r="I9910" s="23" t="str">
        <f t="shared" si="463"/>
        <v xml:space="preserve">COM VALOR</v>
      </c>
      <c r="L9910" s="21">
        <v>64.359999999999999</v>
      </c>
      <c r="M9910" s="22">
        <v>0.28999999999999998</v>
      </c>
      <c r="N9910" s="21">
        <v>62.82</v>
      </c>
      <c r="O9910" s="22">
        <v>0.29999999999999999</v>
      </c>
      <c r="P9910" s="21"/>
      <c r="Q9910" s="22"/>
    </row>
    <row r="9911" ht="39">
      <c r="A9911" t="s">
        <v>10047</v>
      </c>
      <c r="B9911" s="19">
        <v>103141</v>
      </c>
      <c r="C9911" s="20" t="s">
        <v>10053</v>
      </c>
      <c r="D9911" s="19" t="s">
        <v>31</v>
      </c>
      <c r="E9911" s="21">
        <f t="shared" si="461"/>
        <v>99.620000000000005</v>
      </c>
      <c r="F9911" s="22"/>
      <c r="G9911" s="21">
        <f t="shared" si="462"/>
        <v>97.079999999999998</v>
      </c>
      <c r="H9911" s="22"/>
      <c r="I9911" s="23" t="str">
        <f t="shared" si="463"/>
        <v xml:space="preserve">COM VALOR</v>
      </c>
      <c r="L9911" s="21">
        <v>99.620000000000005</v>
      </c>
      <c r="M9911" s="22">
        <v>0.28000000000000003</v>
      </c>
      <c r="N9911" s="21">
        <v>97.079999999999998</v>
      </c>
      <c r="O9911" s="22">
        <v>0.28999999999999998</v>
      </c>
      <c r="P9911" s="21"/>
      <c r="Q9911" s="22"/>
    </row>
    <row r="9912" ht="39">
      <c r="A9912" t="s">
        <v>10047</v>
      </c>
      <c r="B9912" s="19">
        <v>103142</v>
      </c>
      <c r="C9912" s="20" t="s">
        <v>10054</v>
      </c>
      <c r="D9912" s="19" t="s">
        <v>31</v>
      </c>
      <c r="E9912" s="21">
        <f t="shared" si="461"/>
        <v>111.87</v>
      </c>
      <c r="F9912" s="22"/>
      <c r="G9912" s="21">
        <f t="shared" si="462"/>
        <v>108.95999999999999</v>
      </c>
      <c r="H9912" s="22"/>
      <c r="I9912" s="23" t="str">
        <f t="shared" si="463"/>
        <v xml:space="preserve">COM VALOR</v>
      </c>
      <c r="L9912" s="21">
        <v>111.87</v>
      </c>
      <c r="M9912" s="22">
        <v>0.28000000000000003</v>
      </c>
      <c r="N9912" s="21">
        <v>108.95999999999999</v>
      </c>
      <c r="O9912" s="22">
        <v>0.28000000000000003</v>
      </c>
      <c r="P9912" s="21"/>
      <c r="Q9912" s="22"/>
    </row>
    <row r="9913" ht="39">
      <c r="A9913" t="s">
        <v>10047</v>
      </c>
      <c r="B9913" s="19">
        <v>103143</v>
      </c>
      <c r="C9913" s="20" t="s">
        <v>10055</v>
      </c>
      <c r="D9913" s="19" t="s">
        <v>31</v>
      </c>
      <c r="E9913" s="21">
        <f t="shared" si="461"/>
        <v>147.13999999999999</v>
      </c>
      <c r="F9913" s="22"/>
      <c r="G9913" s="21">
        <f t="shared" si="462"/>
        <v>143.22999999999999</v>
      </c>
      <c r="H9913" s="22"/>
      <c r="I9913" s="23" t="str">
        <f t="shared" si="463"/>
        <v xml:space="preserve">COM VALOR</v>
      </c>
      <c r="L9913" s="21">
        <v>147.13999999999999</v>
      </c>
      <c r="M9913" s="22">
        <v>0.27000000000000002</v>
      </c>
      <c r="N9913" s="21">
        <v>143.22999999999999</v>
      </c>
      <c r="O9913" s="22">
        <v>0.28000000000000003</v>
      </c>
      <c r="P9913" s="21"/>
      <c r="Q9913" s="22"/>
    </row>
    <row r="9914" ht="39">
      <c r="A9914" t="s">
        <v>10047</v>
      </c>
      <c r="B9914" s="19">
        <v>103144</v>
      </c>
      <c r="C9914" s="20" t="s">
        <v>10056</v>
      </c>
      <c r="D9914" s="19" t="s">
        <v>31</v>
      </c>
      <c r="E9914" s="21">
        <f t="shared" si="461"/>
        <v>159.38999999999999</v>
      </c>
      <c r="F9914" s="22"/>
      <c r="G9914" s="21">
        <f t="shared" si="462"/>
        <v>155.09</v>
      </c>
      <c r="H9914" s="22"/>
      <c r="I9914" s="23" t="str">
        <f t="shared" si="463"/>
        <v xml:space="preserve">COM VALOR</v>
      </c>
      <c r="L9914" s="21">
        <v>159.38999999999999</v>
      </c>
      <c r="M9914" s="22">
        <v>0.27000000000000002</v>
      </c>
      <c r="N9914" s="21">
        <v>155.09</v>
      </c>
      <c r="O9914" s="22">
        <v>0.28000000000000003</v>
      </c>
      <c r="P9914" s="21"/>
      <c r="Q9914" s="22"/>
    </row>
    <row r="9915" ht="39">
      <c r="A9915" t="s">
        <v>10047</v>
      </c>
      <c r="B9915" s="19">
        <v>103145</v>
      </c>
      <c r="C9915" s="20" t="s">
        <v>10057</v>
      </c>
      <c r="D9915" s="19" t="s">
        <v>31</v>
      </c>
      <c r="E9915" s="21">
        <f t="shared" si="461"/>
        <v>194.66999999999999</v>
      </c>
      <c r="F9915" s="22"/>
      <c r="G9915" s="21">
        <f t="shared" si="462"/>
        <v>189.36000000000001</v>
      </c>
      <c r="H9915" s="22"/>
      <c r="I9915" s="23" t="str">
        <f t="shared" si="463"/>
        <v xml:space="preserve">COM VALOR</v>
      </c>
      <c r="L9915" s="21">
        <v>194.66999999999999</v>
      </c>
      <c r="M9915" s="22">
        <v>0.26000000000000001</v>
      </c>
      <c r="N9915" s="21">
        <v>189.36000000000001</v>
      </c>
      <c r="O9915" s="22">
        <v>0.27000000000000002</v>
      </c>
      <c r="P9915" s="21"/>
      <c r="Q9915" s="22"/>
    </row>
    <row r="9916" ht="39">
      <c r="A9916" t="s">
        <v>10047</v>
      </c>
      <c r="B9916" s="19">
        <v>103146</v>
      </c>
      <c r="C9916" s="20" t="s">
        <v>10058</v>
      </c>
      <c r="D9916" s="19" t="s">
        <v>31</v>
      </c>
      <c r="E9916" s="21">
        <f t="shared" si="461"/>
        <v>206.91</v>
      </c>
      <c r="F9916" s="22"/>
      <c r="G9916" s="21">
        <f t="shared" si="462"/>
        <v>201.24000000000001</v>
      </c>
      <c r="H9916" s="22"/>
      <c r="I9916" s="23" t="str">
        <f t="shared" si="463"/>
        <v xml:space="preserve">COM VALOR</v>
      </c>
      <c r="L9916" s="21">
        <v>206.91</v>
      </c>
      <c r="M9916" s="22">
        <v>0.26000000000000001</v>
      </c>
      <c r="N9916" s="21">
        <v>201.24000000000001</v>
      </c>
      <c r="O9916" s="22">
        <v>0.27000000000000002</v>
      </c>
      <c r="P9916" s="21"/>
      <c r="Q9916" s="22"/>
    </row>
    <row r="9917" ht="39">
      <c r="A9917" t="s">
        <v>10047</v>
      </c>
      <c r="B9917" s="19">
        <v>103147</v>
      </c>
      <c r="C9917" s="20" t="s">
        <v>10059</v>
      </c>
      <c r="D9917" s="19" t="s">
        <v>31</v>
      </c>
      <c r="E9917" s="21">
        <f t="shared" si="461"/>
        <v>231.40000000000001</v>
      </c>
      <c r="F9917" s="22"/>
      <c r="G9917" s="21">
        <f t="shared" si="462"/>
        <v>225.03999999999999</v>
      </c>
      <c r="H9917" s="22"/>
      <c r="I9917" s="23" t="str">
        <f t="shared" si="463"/>
        <v xml:space="preserve">COM VALOR</v>
      </c>
      <c r="L9917" s="21">
        <v>231.40000000000001</v>
      </c>
      <c r="M9917" s="22">
        <v>0.26000000000000001</v>
      </c>
      <c r="N9917" s="21">
        <v>225.03999999999999</v>
      </c>
      <c r="O9917" s="22">
        <v>0.27000000000000002</v>
      </c>
      <c r="P9917" s="21"/>
      <c r="Q9917" s="22"/>
    </row>
    <row r="9918" ht="39">
      <c r="A9918" t="s">
        <v>10047</v>
      </c>
      <c r="B9918" s="19">
        <v>103148</v>
      </c>
      <c r="C9918" s="20" t="s">
        <v>10060</v>
      </c>
      <c r="D9918" s="19" t="s">
        <v>31</v>
      </c>
      <c r="E9918" s="21">
        <f t="shared" si="461"/>
        <v>278.91000000000003</v>
      </c>
      <c r="F9918" s="22"/>
      <c r="G9918" s="21">
        <f t="shared" si="462"/>
        <v>271.18000000000001</v>
      </c>
      <c r="H9918" s="22"/>
      <c r="I9918" s="23" t="str">
        <f t="shared" si="463"/>
        <v xml:space="preserve">COM VALOR</v>
      </c>
      <c r="L9918" s="21">
        <v>278.91000000000003</v>
      </c>
      <c r="M9918" s="22">
        <v>0.26000000000000001</v>
      </c>
      <c r="N9918" s="21">
        <v>271.18000000000001</v>
      </c>
      <c r="O9918" s="22">
        <v>0.26750000000000002</v>
      </c>
      <c r="P9918" s="21"/>
      <c r="Q9918" s="22"/>
    </row>
    <row r="9919" ht="39">
      <c r="A9919" t="s">
        <v>10047</v>
      </c>
      <c r="B9919" s="19">
        <v>103137</v>
      </c>
      <c r="C9919" s="20" t="s">
        <v>10061</v>
      </c>
      <c r="D9919" s="19" t="s">
        <v>31</v>
      </c>
      <c r="E9919" s="21">
        <f t="shared" si="461"/>
        <v>34.950000000000003</v>
      </c>
      <c r="F9919" s="22"/>
      <c r="G9919" s="21">
        <f t="shared" si="462"/>
        <v>34.280000000000001</v>
      </c>
      <c r="H9919" s="22"/>
      <c r="I9919" s="23" t="str">
        <f t="shared" si="463"/>
        <v xml:space="preserve">COM VALOR</v>
      </c>
      <c r="L9919" s="21">
        <v>34.950000000000003</v>
      </c>
      <c r="M9919" s="22">
        <v>0.33000000000000002</v>
      </c>
      <c r="N9919" s="21">
        <v>34.280000000000001</v>
      </c>
      <c r="O9919" s="22">
        <v>0.34000000000000002</v>
      </c>
      <c r="P9919" s="21"/>
      <c r="Q9919" s="22"/>
    </row>
    <row r="9920" ht="39">
      <c r="A9920" t="s">
        <v>10047</v>
      </c>
      <c r="B9920" s="19">
        <v>103149</v>
      </c>
      <c r="C9920" s="20" t="s">
        <v>10062</v>
      </c>
      <c r="D9920" s="19" t="s">
        <v>31</v>
      </c>
      <c r="E9920" s="21">
        <f t="shared" si="461"/>
        <v>303.42000000000002</v>
      </c>
      <c r="F9920" s="22"/>
      <c r="G9920" s="21">
        <f t="shared" si="462"/>
        <v>294.97000000000003</v>
      </c>
      <c r="H9920" s="22"/>
      <c r="I9920" s="23" t="str">
        <f t="shared" si="463"/>
        <v xml:space="preserve">COM VALOR</v>
      </c>
      <c r="L9920" s="21">
        <v>303.42000000000002</v>
      </c>
      <c r="M9920" s="22">
        <v>0.26000000000000001</v>
      </c>
      <c r="N9920" s="21">
        <v>294.97000000000003</v>
      </c>
      <c r="O9920" s="22">
        <v>0.27000000000000002</v>
      </c>
      <c r="P9920" s="21"/>
      <c r="Q9920" s="22"/>
    </row>
    <row r="9921" ht="39">
      <c r="A9921" t="s">
        <v>10047</v>
      </c>
      <c r="B9921" s="19">
        <v>103150</v>
      </c>
      <c r="C9921" s="20" t="s">
        <v>10063</v>
      </c>
      <c r="D9921" s="19" t="s">
        <v>31</v>
      </c>
      <c r="E9921" s="21">
        <f t="shared" si="461"/>
        <v>350.88</v>
      </c>
      <c r="F9921" s="22"/>
      <c r="G9921" s="21">
        <f t="shared" si="462"/>
        <v>341.06</v>
      </c>
      <c r="H9921" s="22"/>
      <c r="I9921" s="23" t="str">
        <f t="shared" si="463"/>
        <v xml:space="preserve">COM VALOR</v>
      </c>
      <c r="L9921" s="21">
        <v>350.88</v>
      </c>
      <c r="M9921" s="22">
        <v>0.26000000000000001</v>
      </c>
      <c r="N9921" s="21">
        <v>341.06</v>
      </c>
      <c r="O9921" s="22">
        <v>0.27000000000000002</v>
      </c>
      <c r="P9921" s="21"/>
      <c r="Q9921" s="22"/>
    </row>
    <row r="9922" ht="39">
      <c r="A9922" t="s">
        <v>10047</v>
      </c>
      <c r="B9922" s="19">
        <v>103106</v>
      </c>
      <c r="C9922" s="20" t="s">
        <v>10064</v>
      </c>
      <c r="D9922" s="19" t="s">
        <v>31</v>
      </c>
      <c r="E9922" s="21">
        <f t="shared" si="461"/>
        <v>60.600000000000001</v>
      </c>
      <c r="F9922" s="22"/>
      <c r="G9922" s="21">
        <f t="shared" si="462"/>
        <v>59.18</v>
      </c>
      <c r="H9922" s="22"/>
      <c r="I9922" s="23" t="str">
        <f t="shared" si="463"/>
        <v xml:space="preserve">COM VALOR</v>
      </c>
      <c r="L9922" s="21">
        <v>60.600000000000001</v>
      </c>
      <c r="M9922" s="22">
        <v>0.29999999999999999</v>
      </c>
      <c r="N9922" s="21">
        <v>59.18</v>
      </c>
      <c r="O9922" s="22">
        <v>0.29999999999999999</v>
      </c>
      <c r="P9922" s="21"/>
      <c r="Q9922" s="22"/>
    </row>
    <row r="9923" ht="39">
      <c r="A9923" t="s">
        <v>10047</v>
      </c>
      <c r="B9923" s="19">
        <v>103119</v>
      </c>
      <c r="C9923" s="20" t="s">
        <v>10065</v>
      </c>
      <c r="D9923" s="19" t="s">
        <v>31</v>
      </c>
      <c r="E9923" s="21">
        <f t="shared" si="461"/>
        <v>731.78999999999996</v>
      </c>
      <c r="F9923" s="22"/>
      <c r="G9923" s="21">
        <f t="shared" si="462"/>
        <v>710.94000000000005</v>
      </c>
      <c r="H9923" s="22"/>
      <c r="I9923" s="23" t="str">
        <f t="shared" si="463"/>
        <v xml:space="preserve">COM VALOR</v>
      </c>
      <c r="L9923" s="21">
        <v>731.78999999999996</v>
      </c>
      <c r="M9923" s="22">
        <v>0.25</v>
      </c>
      <c r="N9923" s="21">
        <v>710.94000000000005</v>
      </c>
      <c r="O9923" s="22">
        <v>0.26000000000000001</v>
      </c>
      <c r="P9923" s="21"/>
      <c r="Q9923" s="22"/>
    </row>
    <row r="9924" ht="39">
      <c r="A9924" t="s">
        <v>10047</v>
      </c>
      <c r="B9924" s="19">
        <v>103120</v>
      </c>
      <c r="C9924" s="20" t="s">
        <v>10066</v>
      </c>
      <c r="D9924" s="19" t="s">
        <v>31</v>
      </c>
      <c r="E9924" s="21">
        <f t="shared" si="461"/>
        <v>875.82000000000005</v>
      </c>
      <c r="F9924" s="22"/>
      <c r="G9924" s="21">
        <f t="shared" si="462"/>
        <v>850.80999999999995</v>
      </c>
      <c r="H9924" s="22"/>
      <c r="I9924" s="23" t="str">
        <f t="shared" si="463"/>
        <v xml:space="preserve">COM VALOR</v>
      </c>
      <c r="L9924" s="21">
        <v>875.82000000000005</v>
      </c>
      <c r="M9924" s="22">
        <v>0.25</v>
      </c>
      <c r="N9924" s="21">
        <v>850.80999999999995</v>
      </c>
      <c r="O9924" s="22">
        <v>0.26000000000000001</v>
      </c>
      <c r="P9924" s="21"/>
      <c r="Q9924" s="22"/>
    </row>
    <row r="9925" ht="39">
      <c r="A9925" t="s">
        <v>10047</v>
      </c>
      <c r="B9925" s="19">
        <v>103107</v>
      </c>
      <c r="C9925" s="20" t="s">
        <v>10067</v>
      </c>
      <c r="D9925" s="19" t="s">
        <v>31</v>
      </c>
      <c r="E9925" s="21">
        <f t="shared" si="461"/>
        <v>85.109999999999999</v>
      </c>
      <c r="F9925" s="22"/>
      <c r="G9925" s="21">
        <f t="shared" si="462"/>
        <v>82.980000000000004</v>
      </c>
      <c r="H9925" s="22"/>
      <c r="I9925" s="23" t="str">
        <f t="shared" si="463"/>
        <v xml:space="preserve">COM VALOR</v>
      </c>
      <c r="L9925" s="21">
        <v>85.109999999999999</v>
      </c>
      <c r="M9925" s="22">
        <v>0.28000000000000003</v>
      </c>
      <c r="N9925" s="21">
        <v>82.980000000000004</v>
      </c>
      <c r="O9925" s="22">
        <v>0.28999999999999998</v>
      </c>
      <c r="P9925" s="21"/>
      <c r="Q9925" s="22"/>
    </row>
    <row r="9926" ht="39">
      <c r="A9926" t="s">
        <v>10047</v>
      </c>
      <c r="B9926" s="19">
        <v>103108</v>
      </c>
      <c r="C9926" s="20" t="s">
        <v>10068</v>
      </c>
      <c r="D9926" s="19" t="s">
        <v>31</v>
      </c>
      <c r="E9926" s="21">
        <f t="shared" si="461"/>
        <v>109.61</v>
      </c>
      <c r="F9926" s="22"/>
      <c r="G9926" s="21">
        <f t="shared" si="462"/>
        <v>106.77</v>
      </c>
      <c r="H9926" s="22"/>
      <c r="I9926" s="23" t="str">
        <f t="shared" si="463"/>
        <v xml:space="preserve">COM VALOR</v>
      </c>
      <c r="L9926" s="21">
        <v>109.61</v>
      </c>
      <c r="M9926" s="22">
        <v>0.28000000000000003</v>
      </c>
      <c r="N9926" s="21">
        <v>106.77</v>
      </c>
      <c r="O9926" s="22">
        <v>0.28000000000000003</v>
      </c>
      <c r="P9926" s="21"/>
      <c r="Q9926" s="22"/>
    </row>
    <row r="9927" ht="39">
      <c r="A9927" t="s">
        <v>10047</v>
      </c>
      <c r="B9927" s="19">
        <v>103109</v>
      </c>
      <c r="C9927" s="20" t="s">
        <v>10069</v>
      </c>
      <c r="D9927" s="19" t="s">
        <v>31</v>
      </c>
      <c r="E9927" s="21">
        <f t="shared" si="461"/>
        <v>180.13</v>
      </c>
      <c r="F9927" s="22"/>
      <c r="G9927" s="21">
        <f t="shared" si="462"/>
        <v>175.25999999999999</v>
      </c>
      <c r="H9927" s="22"/>
      <c r="I9927" s="23" t="str">
        <f t="shared" si="463"/>
        <v xml:space="preserve">COM VALOR</v>
      </c>
      <c r="L9927" s="21">
        <v>180.13</v>
      </c>
      <c r="M9927" s="22">
        <v>0.27000000000000002</v>
      </c>
      <c r="N9927" s="21">
        <v>175.25999999999999</v>
      </c>
      <c r="O9927" s="22">
        <v>0.27000000000000002</v>
      </c>
      <c r="P9927" s="21"/>
      <c r="Q9927" s="22"/>
    </row>
    <row r="9928" ht="39">
      <c r="A9928" t="s">
        <v>10047</v>
      </c>
      <c r="B9928" s="19">
        <v>103110</v>
      </c>
      <c r="C9928" s="20" t="s">
        <v>10070</v>
      </c>
      <c r="D9928" s="19" t="s">
        <v>31</v>
      </c>
      <c r="E9928" s="21">
        <f t="shared" si="461"/>
        <v>204.63999999999999</v>
      </c>
      <c r="F9928" s="22"/>
      <c r="G9928" s="21">
        <f t="shared" si="462"/>
        <v>199.03999999999999</v>
      </c>
      <c r="H9928" s="22"/>
      <c r="I9928" s="23" t="str">
        <f t="shared" si="463"/>
        <v xml:space="preserve">COM VALOR</v>
      </c>
      <c r="L9928" s="21">
        <v>204.63999999999999</v>
      </c>
      <c r="M9928" s="22">
        <v>0.26000000000000001</v>
      </c>
      <c r="N9928" s="21">
        <v>199.03999999999999</v>
      </c>
      <c r="O9928" s="22">
        <v>0.27000000000000002</v>
      </c>
      <c r="P9928" s="21"/>
      <c r="Q9928" s="22"/>
    </row>
    <row r="9929" ht="39">
      <c r="A9929" t="s">
        <v>10047</v>
      </c>
      <c r="B9929" s="19">
        <v>103111</v>
      </c>
      <c r="C9929" s="20" t="s">
        <v>10071</v>
      </c>
      <c r="D9929" s="19" t="s">
        <v>31</v>
      </c>
      <c r="E9929" s="21">
        <f t="shared" si="461"/>
        <v>275.18000000000001</v>
      </c>
      <c r="F9929" s="22"/>
      <c r="G9929" s="21">
        <f t="shared" si="462"/>
        <v>267.54000000000002</v>
      </c>
      <c r="H9929" s="22"/>
      <c r="I9929" s="23" t="str">
        <f t="shared" si="463"/>
        <v xml:space="preserve">COM VALOR</v>
      </c>
      <c r="L9929" s="21">
        <v>275.18000000000001</v>
      </c>
      <c r="M9929" s="22">
        <v>0.26000000000000001</v>
      </c>
      <c r="N9929" s="21">
        <v>267.54000000000002</v>
      </c>
      <c r="O9929" s="22">
        <v>0.27000000000000002</v>
      </c>
      <c r="P9929" s="21"/>
      <c r="Q9929" s="22"/>
    </row>
    <row r="9930" ht="39">
      <c r="A9930" t="s">
        <v>10047</v>
      </c>
      <c r="B9930" s="19">
        <v>103112</v>
      </c>
      <c r="C9930" s="20" t="s">
        <v>10072</v>
      </c>
      <c r="D9930" s="19" t="s">
        <v>31</v>
      </c>
      <c r="E9930" s="21">
        <f t="shared" si="461"/>
        <v>299.68000000000001</v>
      </c>
      <c r="F9930" s="22"/>
      <c r="G9930" s="21">
        <f t="shared" si="462"/>
        <v>291.32999999999998</v>
      </c>
      <c r="H9930" s="22"/>
      <c r="I9930" s="23" t="str">
        <f t="shared" si="463"/>
        <v xml:space="preserve">COM VALOR</v>
      </c>
      <c r="L9930" s="21">
        <v>299.68000000000001</v>
      </c>
      <c r="M9930" s="22">
        <v>0.26000000000000001</v>
      </c>
      <c r="N9930" s="21">
        <v>291.32999999999998</v>
      </c>
      <c r="O9930" s="22">
        <v>0.27000000000000002</v>
      </c>
      <c r="P9930" s="21"/>
      <c r="Q9930" s="22"/>
    </row>
    <row r="9931" ht="39">
      <c r="A9931" t="s">
        <v>10047</v>
      </c>
      <c r="B9931" s="19">
        <v>103113</v>
      </c>
      <c r="C9931" s="20" t="s">
        <v>10073</v>
      </c>
      <c r="D9931" s="19" t="s">
        <v>31</v>
      </c>
      <c r="E9931" s="21">
        <f t="shared" ref="E9931:E9994" si="464">IF(L9931=0,"VERIFICAR",L9931)</f>
        <v>370.22000000000003</v>
      </c>
      <c r="F9931" s="22"/>
      <c r="G9931" s="21">
        <f t="shared" ref="G9931:G9994" si="465">IF(N9931=0,"VERIFICAR",N9931)</f>
        <v>359.82999999999998</v>
      </c>
      <c r="H9931" s="22"/>
      <c r="I9931" s="23" t="str">
        <f t="shared" ref="I9931:I9994" si="466">IF(OR(E9931=0,G9931=0),"SEM VALOR","COM VALOR")</f>
        <v xml:space="preserve">COM VALOR</v>
      </c>
      <c r="L9931" s="21">
        <v>370.22000000000003</v>
      </c>
      <c r="M9931" s="22">
        <v>0.25750000000000001</v>
      </c>
      <c r="N9931" s="21">
        <v>359.82999999999998</v>
      </c>
      <c r="O9931" s="22">
        <v>0.26500000000000001</v>
      </c>
      <c r="P9931" s="21"/>
      <c r="Q9931" s="22"/>
    </row>
    <row r="9932" ht="39">
      <c r="A9932" t="s">
        <v>10047</v>
      </c>
      <c r="B9932" s="19">
        <v>103114</v>
      </c>
      <c r="C9932" s="20" t="s">
        <v>10074</v>
      </c>
      <c r="D9932" s="19" t="s">
        <v>31</v>
      </c>
      <c r="E9932" s="21">
        <f t="shared" si="464"/>
        <v>394.70999999999998</v>
      </c>
      <c r="F9932" s="22"/>
      <c r="G9932" s="21">
        <f t="shared" si="465"/>
        <v>383.63</v>
      </c>
      <c r="H9932" s="22"/>
      <c r="I9932" s="23" t="str">
        <f t="shared" si="466"/>
        <v xml:space="preserve">COM VALOR</v>
      </c>
      <c r="L9932" s="21">
        <v>394.70999999999998</v>
      </c>
      <c r="M9932" s="22">
        <v>0.26000000000000001</v>
      </c>
      <c r="N9932" s="21">
        <v>383.63</v>
      </c>
      <c r="O9932" s="22">
        <v>0.26000000000000001</v>
      </c>
      <c r="P9932" s="21"/>
      <c r="Q9932" s="22"/>
    </row>
    <row r="9933" ht="39">
      <c r="A9933" t="s">
        <v>10047</v>
      </c>
      <c r="B9933" s="19">
        <v>103115</v>
      </c>
      <c r="C9933" s="20" t="s">
        <v>10075</v>
      </c>
      <c r="D9933" s="19" t="s">
        <v>31</v>
      </c>
      <c r="E9933" s="21">
        <f t="shared" si="464"/>
        <v>443.70999999999998</v>
      </c>
      <c r="F9933" s="22"/>
      <c r="G9933" s="21">
        <f t="shared" si="465"/>
        <v>431.20999999999998</v>
      </c>
      <c r="H9933" s="22"/>
      <c r="I9933" s="23" t="str">
        <f t="shared" si="466"/>
        <v xml:space="preserve">COM VALOR</v>
      </c>
      <c r="L9933" s="21">
        <v>443.70999999999998</v>
      </c>
      <c r="M9933" s="22">
        <v>0.26000000000000001</v>
      </c>
      <c r="N9933" s="21">
        <v>431.20999999999998</v>
      </c>
      <c r="O9933" s="22">
        <v>0.26000000000000001</v>
      </c>
      <c r="P9933" s="21"/>
      <c r="Q9933" s="22"/>
    </row>
    <row r="9934" ht="39">
      <c r="A9934" t="s">
        <v>10047</v>
      </c>
      <c r="B9934" s="19">
        <v>103116</v>
      </c>
      <c r="C9934" s="20" t="s">
        <v>10076</v>
      </c>
      <c r="D9934" s="19" t="s">
        <v>31</v>
      </c>
      <c r="E9934" s="21">
        <f t="shared" si="464"/>
        <v>538.75</v>
      </c>
      <c r="F9934" s="22"/>
      <c r="G9934" s="21">
        <f t="shared" si="465"/>
        <v>523.48000000000002</v>
      </c>
      <c r="H9934" s="22"/>
      <c r="I9934" s="23" t="str">
        <f t="shared" si="466"/>
        <v xml:space="preserve">COM VALOR</v>
      </c>
      <c r="L9934" s="21">
        <v>538.75</v>
      </c>
      <c r="M9934" s="22">
        <v>0.26000000000000001</v>
      </c>
      <c r="N9934" s="21">
        <v>523.48000000000002</v>
      </c>
      <c r="O9934" s="22">
        <v>0.26000000000000001</v>
      </c>
      <c r="P9934" s="21"/>
      <c r="Q9934" s="22"/>
    </row>
    <row r="9935" ht="39">
      <c r="A9935" t="s">
        <v>10047</v>
      </c>
      <c r="B9935" s="19">
        <v>103105</v>
      </c>
      <c r="C9935" s="20" t="s">
        <v>10077</v>
      </c>
      <c r="D9935" s="19" t="s">
        <v>31</v>
      </c>
      <c r="E9935" s="21">
        <f t="shared" si="464"/>
        <v>50.799999999999997</v>
      </c>
      <c r="F9935" s="22"/>
      <c r="G9935" s="21">
        <f t="shared" si="465"/>
        <v>49.649999999999999</v>
      </c>
      <c r="H9935" s="22"/>
      <c r="I9935" s="23" t="str">
        <f t="shared" si="466"/>
        <v xml:space="preserve">COM VALOR</v>
      </c>
      <c r="L9935" s="21">
        <v>50.799999999999997</v>
      </c>
      <c r="M9935" s="22">
        <v>0.31</v>
      </c>
      <c r="N9935" s="21">
        <v>49.649999999999999</v>
      </c>
      <c r="O9935" s="22">
        <v>0.31</v>
      </c>
      <c r="P9935" s="21"/>
      <c r="Q9935" s="22"/>
    </row>
    <row r="9936" ht="39">
      <c r="A9936" t="s">
        <v>10047</v>
      </c>
      <c r="B9936" s="19">
        <v>103117</v>
      </c>
      <c r="C9936" s="20" t="s">
        <v>10078</v>
      </c>
      <c r="D9936" s="19" t="s">
        <v>31</v>
      </c>
      <c r="E9936" s="21">
        <f t="shared" si="464"/>
        <v>587.75</v>
      </c>
      <c r="F9936" s="22"/>
      <c r="G9936" s="21">
        <f t="shared" si="465"/>
        <v>571.07000000000005</v>
      </c>
      <c r="H9936" s="22"/>
      <c r="I9936" s="23" t="str">
        <f t="shared" si="466"/>
        <v xml:space="preserve">COM VALOR</v>
      </c>
      <c r="L9936" s="21">
        <v>587.75</v>
      </c>
      <c r="M9936" s="22">
        <v>0.25</v>
      </c>
      <c r="N9936" s="21">
        <v>571.07000000000005</v>
      </c>
      <c r="O9936" s="22">
        <v>0.26000000000000001</v>
      </c>
      <c r="P9936" s="21"/>
      <c r="Q9936" s="22"/>
    </row>
    <row r="9937" ht="39">
      <c r="A9937" t="s">
        <v>10047</v>
      </c>
      <c r="B9937" s="19">
        <v>103118</v>
      </c>
      <c r="C9937" s="20" t="s">
        <v>10079</v>
      </c>
      <c r="D9937" s="19" t="s">
        <v>31</v>
      </c>
      <c r="E9937" s="21">
        <f t="shared" si="464"/>
        <v>682.77999999999997</v>
      </c>
      <c r="F9937" s="22"/>
      <c r="G9937" s="21">
        <f t="shared" si="465"/>
        <v>663.36000000000001</v>
      </c>
      <c r="H9937" s="22"/>
      <c r="I9937" s="23" t="str">
        <f t="shared" si="466"/>
        <v xml:space="preserve">COM VALOR</v>
      </c>
      <c r="L9937" s="21">
        <v>682.77999999999997</v>
      </c>
      <c r="M9937" s="22">
        <v>0.25</v>
      </c>
      <c r="N9937" s="21">
        <v>663.36000000000001</v>
      </c>
      <c r="O9937" s="22">
        <v>0.26000000000000001</v>
      </c>
      <c r="P9937" s="21"/>
      <c r="Q9937" s="22"/>
    </row>
    <row r="9938" ht="39">
      <c r="A9938" t="s">
        <v>10047</v>
      </c>
      <c r="B9938" s="19">
        <v>103122</v>
      </c>
      <c r="C9938" s="20" t="s">
        <v>10080</v>
      </c>
      <c r="D9938" s="19" t="s">
        <v>31</v>
      </c>
      <c r="E9938" s="21">
        <f t="shared" si="464"/>
        <v>81.370000000000005</v>
      </c>
      <c r="F9938" s="22"/>
      <c r="G9938" s="21">
        <f t="shared" si="465"/>
        <v>79.340000000000003</v>
      </c>
      <c r="H9938" s="22"/>
      <c r="I9938" s="23" t="str">
        <f t="shared" si="466"/>
        <v xml:space="preserve">COM VALOR</v>
      </c>
      <c r="L9938" s="21">
        <v>81.370000000000005</v>
      </c>
      <c r="M9938" s="22">
        <v>0.28999999999999998</v>
      </c>
      <c r="N9938" s="21">
        <v>79.340000000000003</v>
      </c>
      <c r="O9938" s="22">
        <v>0.28999999999999998</v>
      </c>
      <c r="P9938" s="21"/>
      <c r="Q9938" s="22"/>
    </row>
    <row r="9939" ht="39">
      <c r="A9939" t="s">
        <v>10047</v>
      </c>
      <c r="B9939" s="19">
        <v>103135</v>
      </c>
      <c r="C9939" s="20" t="s">
        <v>10081</v>
      </c>
      <c r="D9939" s="19" t="s">
        <v>31</v>
      </c>
      <c r="E9939" s="21">
        <f t="shared" si="464"/>
        <v>1088.1300000000001</v>
      </c>
      <c r="F9939" s="22"/>
      <c r="G9939" s="21">
        <f t="shared" si="465"/>
        <v>1056.99</v>
      </c>
      <c r="H9939" s="22"/>
      <c r="I9939" s="23" t="str">
        <f t="shared" si="466"/>
        <v xml:space="preserve">COM VALOR</v>
      </c>
      <c r="L9939" s="21">
        <v>1088.1300000000001</v>
      </c>
      <c r="M9939" s="22">
        <v>0.2525</v>
      </c>
      <c r="N9939" s="21">
        <v>1056.99</v>
      </c>
      <c r="O9939" s="22">
        <v>0.26000000000000001</v>
      </c>
      <c r="P9939" s="21"/>
      <c r="Q9939" s="22"/>
    </row>
    <row r="9940" ht="39">
      <c r="A9940" t="s">
        <v>10047</v>
      </c>
      <c r="B9940" s="19">
        <v>103136</v>
      </c>
      <c r="C9940" s="20" t="s">
        <v>10082</v>
      </c>
      <c r="D9940" s="19" t="s">
        <v>31</v>
      </c>
      <c r="E9940" s="21">
        <f t="shared" si="464"/>
        <v>1304.1800000000001</v>
      </c>
      <c r="F9940" s="22"/>
      <c r="G9940" s="21">
        <f t="shared" si="465"/>
        <v>1266.78</v>
      </c>
      <c r="H9940" s="22"/>
      <c r="I9940" s="23" t="str">
        <f t="shared" si="466"/>
        <v xml:space="preserve">COM VALOR</v>
      </c>
      <c r="L9940" s="21">
        <v>1304.1800000000001</v>
      </c>
      <c r="M9940" s="22">
        <v>0.25</v>
      </c>
      <c r="N9940" s="21">
        <v>1266.78</v>
      </c>
      <c r="O9940" s="22">
        <v>0.26000000000000001</v>
      </c>
      <c r="P9940" s="21"/>
      <c r="Q9940" s="22"/>
    </row>
    <row r="9941" ht="39">
      <c r="A9941" t="s">
        <v>10047</v>
      </c>
      <c r="B9941" s="19">
        <v>103123</v>
      </c>
      <c r="C9941" s="20" t="s">
        <v>10083</v>
      </c>
      <c r="D9941" s="19" t="s">
        <v>31</v>
      </c>
      <c r="E9941" s="21">
        <f t="shared" si="464"/>
        <v>118.14</v>
      </c>
      <c r="F9941" s="22"/>
      <c r="G9941" s="21">
        <f t="shared" si="465"/>
        <v>115.05</v>
      </c>
      <c r="H9941" s="22"/>
      <c r="I9941" s="23" t="str">
        <f t="shared" si="466"/>
        <v xml:space="preserve">COM VALOR</v>
      </c>
      <c r="L9941" s="21">
        <v>118.14</v>
      </c>
      <c r="M9941" s="22">
        <v>0.27000000000000002</v>
      </c>
      <c r="N9941" s="21">
        <v>115.05</v>
      </c>
      <c r="O9941" s="22">
        <v>0.28000000000000003</v>
      </c>
      <c r="P9941" s="21"/>
      <c r="Q9941" s="22"/>
    </row>
    <row r="9942" ht="39">
      <c r="A9942" t="s">
        <v>10047</v>
      </c>
      <c r="B9942" s="19">
        <v>103124</v>
      </c>
      <c r="C9942" s="20" t="s">
        <v>10084</v>
      </c>
      <c r="D9942" s="19" t="s">
        <v>31</v>
      </c>
      <c r="E9942" s="21">
        <f t="shared" si="464"/>
        <v>154.87</v>
      </c>
      <c r="F9942" s="22"/>
      <c r="G9942" s="21">
        <f t="shared" si="465"/>
        <v>150.69999999999999</v>
      </c>
      <c r="H9942" s="22"/>
      <c r="I9942" s="23" t="str">
        <f t="shared" si="466"/>
        <v xml:space="preserve">COM VALOR</v>
      </c>
      <c r="L9942" s="21">
        <v>154.87</v>
      </c>
      <c r="M9942" s="22">
        <v>0.27000000000000002</v>
      </c>
      <c r="N9942" s="21">
        <v>150.69999999999999</v>
      </c>
      <c r="O9942" s="22">
        <v>0.28000000000000003</v>
      </c>
      <c r="P9942" s="21"/>
      <c r="Q9942" s="22"/>
    </row>
    <row r="9943" ht="39">
      <c r="A9943" t="s">
        <v>10047</v>
      </c>
      <c r="B9943" s="19">
        <v>103125</v>
      </c>
      <c r="C9943" s="20" t="s">
        <v>10085</v>
      </c>
      <c r="D9943" s="19" t="s">
        <v>31</v>
      </c>
      <c r="E9943" s="21">
        <f t="shared" si="464"/>
        <v>260.68000000000001</v>
      </c>
      <c r="F9943" s="22"/>
      <c r="G9943" s="21">
        <f t="shared" si="465"/>
        <v>253.47</v>
      </c>
      <c r="H9943" s="22"/>
      <c r="I9943" s="23" t="str">
        <f t="shared" si="466"/>
        <v xml:space="preserve">COM VALOR</v>
      </c>
      <c r="L9943" s="21">
        <v>260.68000000000001</v>
      </c>
      <c r="M9943" s="22">
        <v>0.26000000000000001</v>
      </c>
      <c r="N9943" s="21">
        <v>253.47</v>
      </c>
      <c r="O9943" s="22">
        <v>0.27000000000000002</v>
      </c>
      <c r="P9943" s="21"/>
      <c r="Q9943" s="22"/>
    </row>
    <row r="9944" ht="39">
      <c r="A9944" t="s">
        <v>10047</v>
      </c>
      <c r="B9944" s="19">
        <v>103126</v>
      </c>
      <c r="C9944" s="20" t="s">
        <v>10086</v>
      </c>
      <c r="D9944" s="19" t="s">
        <v>31</v>
      </c>
      <c r="E9944" s="21">
        <f t="shared" si="464"/>
        <v>297.42000000000002</v>
      </c>
      <c r="F9944" s="22"/>
      <c r="G9944" s="21">
        <f t="shared" si="465"/>
        <v>289.13999999999999</v>
      </c>
      <c r="H9944" s="22"/>
      <c r="I9944" s="23" t="str">
        <f t="shared" si="466"/>
        <v xml:space="preserve">COM VALOR</v>
      </c>
      <c r="L9944" s="21">
        <v>297.42000000000002</v>
      </c>
      <c r="M9944" s="22">
        <v>0.26000000000000001</v>
      </c>
      <c r="N9944" s="21">
        <v>289.13999999999999</v>
      </c>
      <c r="O9944" s="22">
        <v>0.27000000000000002</v>
      </c>
      <c r="P9944" s="21"/>
      <c r="Q9944" s="22"/>
    </row>
    <row r="9945" ht="39">
      <c r="A9945" t="s">
        <v>10047</v>
      </c>
      <c r="B9945" s="19">
        <v>103127</v>
      </c>
      <c r="C9945" s="20" t="s">
        <v>10087</v>
      </c>
      <c r="D9945" s="19" t="s">
        <v>31</v>
      </c>
      <c r="E9945" s="21">
        <f t="shared" si="464"/>
        <v>403.25</v>
      </c>
      <c r="F9945" s="22"/>
      <c r="G9945" s="21">
        <f t="shared" si="465"/>
        <v>391.88999999999999</v>
      </c>
      <c r="H9945" s="22"/>
      <c r="I9945" s="23" t="str">
        <f t="shared" si="466"/>
        <v xml:space="preserve">COM VALOR</v>
      </c>
      <c r="L9945" s="21">
        <v>403.25</v>
      </c>
      <c r="M9945" s="22">
        <v>0.26000000000000001</v>
      </c>
      <c r="N9945" s="21">
        <v>391.88999999999999</v>
      </c>
      <c r="O9945" s="22">
        <v>0.26000000000000001</v>
      </c>
      <c r="P9945" s="21"/>
      <c r="Q9945" s="22"/>
    </row>
    <row r="9946" ht="39">
      <c r="A9946" t="s">
        <v>10047</v>
      </c>
      <c r="B9946" s="19">
        <v>103128</v>
      </c>
      <c r="C9946" s="20" t="s">
        <v>10088</v>
      </c>
      <c r="D9946" s="19" t="s">
        <v>31</v>
      </c>
      <c r="E9946" s="21">
        <f t="shared" si="464"/>
        <v>439.97000000000003</v>
      </c>
      <c r="F9946" s="22"/>
      <c r="G9946" s="21">
        <f t="shared" si="465"/>
        <v>427.56999999999999</v>
      </c>
      <c r="H9946" s="22"/>
      <c r="I9946" s="23" t="str">
        <f t="shared" si="466"/>
        <v xml:space="preserve">COM VALOR</v>
      </c>
      <c r="L9946" s="21">
        <v>439.97000000000003</v>
      </c>
      <c r="M9946" s="22">
        <v>0.26000000000000001</v>
      </c>
      <c r="N9946" s="21">
        <v>427.56999999999999</v>
      </c>
      <c r="O9946" s="22">
        <v>0.26000000000000001</v>
      </c>
      <c r="P9946" s="21"/>
      <c r="Q9946" s="22"/>
    </row>
    <row r="9947" ht="39">
      <c r="A9947" t="s">
        <v>10047</v>
      </c>
      <c r="B9947" s="19">
        <v>103129</v>
      </c>
      <c r="C9947" s="20" t="s">
        <v>10089</v>
      </c>
      <c r="D9947" s="19" t="s">
        <v>31</v>
      </c>
      <c r="E9947" s="21">
        <f t="shared" si="464"/>
        <v>545.78999999999996</v>
      </c>
      <c r="F9947" s="22"/>
      <c r="G9947" s="21">
        <f t="shared" si="465"/>
        <v>530.33000000000004</v>
      </c>
      <c r="H9947" s="22"/>
      <c r="I9947" s="23" t="str">
        <f t="shared" si="466"/>
        <v xml:space="preserve">COM VALOR</v>
      </c>
      <c r="L9947" s="21">
        <v>545.78999999999996</v>
      </c>
      <c r="M9947" s="22">
        <v>0.26000000000000001</v>
      </c>
      <c r="N9947" s="21">
        <v>530.33000000000004</v>
      </c>
      <c r="O9947" s="22">
        <v>0.26250000000000001</v>
      </c>
      <c r="P9947" s="21"/>
      <c r="Q9947" s="22"/>
    </row>
    <row r="9948" ht="39">
      <c r="A9948" t="s">
        <v>10047</v>
      </c>
      <c r="B9948" s="19">
        <v>103130</v>
      </c>
      <c r="C9948" s="20" t="s">
        <v>10090</v>
      </c>
      <c r="D9948" s="19" t="s">
        <v>31</v>
      </c>
      <c r="E9948" s="21">
        <f t="shared" si="464"/>
        <v>582.51999999999998</v>
      </c>
      <c r="F9948" s="22"/>
      <c r="G9948" s="21">
        <f t="shared" si="465"/>
        <v>565.99000000000001</v>
      </c>
      <c r="H9948" s="22"/>
      <c r="I9948" s="23" t="str">
        <f t="shared" si="466"/>
        <v xml:space="preserve">COM VALOR</v>
      </c>
      <c r="L9948" s="21">
        <v>582.51999999999998</v>
      </c>
      <c r="M9948" s="22">
        <v>0.25</v>
      </c>
      <c r="N9948" s="21">
        <v>565.99000000000001</v>
      </c>
      <c r="O9948" s="22">
        <v>0.26000000000000001</v>
      </c>
      <c r="P9948" s="21"/>
      <c r="Q9948" s="22"/>
    </row>
    <row r="9949" ht="39">
      <c r="A9949" t="s">
        <v>10047</v>
      </c>
      <c r="B9949" s="19">
        <v>103131</v>
      </c>
      <c r="C9949" s="20" t="s">
        <v>10091</v>
      </c>
      <c r="D9949" s="19" t="s">
        <v>31</v>
      </c>
      <c r="E9949" s="21">
        <f t="shared" si="464"/>
        <v>656.02999999999997</v>
      </c>
      <c r="F9949" s="22"/>
      <c r="G9949" s="21">
        <f t="shared" si="465"/>
        <v>637.37</v>
      </c>
      <c r="H9949" s="22"/>
      <c r="I9949" s="23" t="str">
        <f t="shared" si="466"/>
        <v xml:space="preserve">COM VALOR</v>
      </c>
      <c r="L9949" s="21">
        <v>656.02999999999997</v>
      </c>
      <c r="M9949" s="22">
        <v>0.25</v>
      </c>
      <c r="N9949" s="21">
        <v>637.37</v>
      </c>
      <c r="O9949" s="22">
        <v>0.26000000000000001</v>
      </c>
      <c r="P9949" s="21"/>
      <c r="Q9949" s="22"/>
    </row>
    <row r="9950" ht="39">
      <c r="A9950" t="s">
        <v>10047</v>
      </c>
      <c r="B9950" s="19">
        <v>103132</v>
      </c>
      <c r="C9950" s="20" t="s">
        <v>10092</v>
      </c>
      <c r="D9950" s="19" t="s">
        <v>31</v>
      </c>
      <c r="E9950" s="21">
        <f t="shared" si="464"/>
        <v>798.57000000000005</v>
      </c>
      <c r="F9950" s="22"/>
      <c r="G9950" s="21">
        <f t="shared" si="465"/>
        <v>775.79999999999995</v>
      </c>
      <c r="H9950" s="22"/>
      <c r="I9950" s="23" t="str">
        <f t="shared" si="466"/>
        <v xml:space="preserve">COM VALOR</v>
      </c>
      <c r="L9950" s="21">
        <v>798.57000000000005</v>
      </c>
      <c r="M9950" s="22">
        <v>0.25</v>
      </c>
      <c r="N9950" s="21">
        <v>775.79999999999995</v>
      </c>
      <c r="O9950" s="22">
        <v>0.26000000000000001</v>
      </c>
      <c r="P9950" s="21"/>
      <c r="Q9950" s="22"/>
    </row>
    <row r="9951" ht="39">
      <c r="A9951" t="s">
        <v>10047</v>
      </c>
      <c r="B9951" s="19">
        <v>103121</v>
      </c>
      <c r="C9951" s="20" t="s">
        <v>10093</v>
      </c>
      <c r="D9951" s="19" t="s">
        <v>31</v>
      </c>
      <c r="E9951" s="21">
        <f t="shared" si="464"/>
        <v>66.670000000000002</v>
      </c>
      <c r="F9951" s="22"/>
      <c r="G9951" s="21">
        <f t="shared" si="465"/>
        <v>65.069999999999993</v>
      </c>
      <c r="H9951" s="22"/>
      <c r="I9951" s="23" t="str">
        <f t="shared" si="466"/>
        <v xml:space="preserve">COM VALOR</v>
      </c>
      <c r="L9951" s="21">
        <v>66.670000000000002</v>
      </c>
      <c r="M9951" s="22">
        <v>0.28999999999999998</v>
      </c>
      <c r="N9951" s="21">
        <v>65.069999999999993</v>
      </c>
      <c r="O9951" s="22">
        <v>0.29999999999999999</v>
      </c>
      <c r="P9951" s="21"/>
      <c r="Q9951" s="22"/>
    </row>
    <row r="9952" ht="39">
      <c r="A9952" t="s">
        <v>10047</v>
      </c>
      <c r="B9952" s="19">
        <v>103133</v>
      </c>
      <c r="C9952" s="20" t="s">
        <v>10094</v>
      </c>
      <c r="D9952" s="19" t="s">
        <v>31</v>
      </c>
      <c r="E9952" s="21">
        <f t="shared" si="464"/>
        <v>872.08000000000004</v>
      </c>
      <c r="F9952" s="22"/>
      <c r="G9952" s="21">
        <f t="shared" si="465"/>
        <v>847.17999999999995</v>
      </c>
      <c r="H9952" s="22"/>
      <c r="I9952" s="23" t="str">
        <f t="shared" si="466"/>
        <v xml:space="preserve">COM VALOR</v>
      </c>
      <c r="L9952" s="21">
        <v>872.08000000000004</v>
      </c>
      <c r="M9952" s="22">
        <v>0.25</v>
      </c>
      <c r="N9952" s="21">
        <v>847.17999999999995</v>
      </c>
      <c r="O9952" s="22">
        <v>0.26000000000000001</v>
      </c>
      <c r="P9952" s="21"/>
      <c r="Q9952" s="22"/>
    </row>
    <row r="9953" ht="39">
      <c r="A9953" t="s">
        <v>10047</v>
      </c>
      <c r="B9953" s="19">
        <v>103134</v>
      </c>
      <c r="C9953" s="20" t="s">
        <v>10095</v>
      </c>
      <c r="D9953" s="19" t="s">
        <v>31</v>
      </c>
      <c r="E9953" s="21">
        <f t="shared" si="464"/>
        <v>1014.63</v>
      </c>
      <c r="F9953" s="22"/>
      <c r="G9953" s="21">
        <f t="shared" si="465"/>
        <v>985.60000000000002</v>
      </c>
      <c r="H9953" s="22"/>
      <c r="I9953" s="23" t="str">
        <f t="shared" si="466"/>
        <v xml:space="preserve">COM VALOR</v>
      </c>
      <c r="L9953" s="21">
        <v>1014.63</v>
      </c>
      <c r="M9953" s="22">
        <v>0.25</v>
      </c>
      <c r="N9953" s="21">
        <v>985.60000000000002</v>
      </c>
      <c r="O9953" s="22">
        <v>0.26000000000000001</v>
      </c>
      <c r="P9953" s="21"/>
      <c r="Q9953" s="22"/>
    </row>
    <row r="9954" ht="26.25">
      <c r="A9954" t="s">
        <v>10047</v>
      </c>
      <c r="B9954" s="19">
        <v>103090</v>
      </c>
      <c r="C9954" s="20" t="s">
        <v>10096</v>
      </c>
      <c r="D9954" s="19" t="s">
        <v>38</v>
      </c>
      <c r="E9954" s="21">
        <f t="shared" si="464"/>
        <v>14.390000000000001</v>
      </c>
      <c r="F9954" s="22"/>
      <c r="G9954" s="21">
        <f t="shared" si="465"/>
        <v>13.98</v>
      </c>
      <c r="H9954" s="22"/>
      <c r="I9954" s="23" t="str">
        <f t="shared" si="466"/>
        <v xml:space="preserve">COM VALOR</v>
      </c>
      <c r="L9954" s="21">
        <v>14.390000000000001</v>
      </c>
      <c r="M9954" s="22">
        <v>0.25</v>
      </c>
      <c r="N9954" s="21">
        <v>13.98</v>
      </c>
      <c r="O9954" s="22">
        <v>0.26000000000000001</v>
      </c>
      <c r="P9954" s="21"/>
      <c r="Q9954" s="22"/>
    </row>
    <row r="9955" ht="26.25">
      <c r="A9955" t="s">
        <v>10047</v>
      </c>
      <c r="B9955" s="19">
        <v>103103</v>
      </c>
      <c r="C9955" s="20" t="s">
        <v>10097</v>
      </c>
      <c r="D9955" s="19" t="s">
        <v>38</v>
      </c>
      <c r="E9955" s="21">
        <f t="shared" si="464"/>
        <v>141.34999999999999</v>
      </c>
      <c r="F9955" s="22"/>
      <c r="G9955" s="21">
        <f t="shared" si="465"/>
        <v>137.06</v>
      </c>
      <c r="H9955" s="22"/>
      <c r="I9955" s="23" t="str">
        <f t="shared" si="466"/>
        <v xml:space="preserve">COM VALOR</v>
      </c>
      <c r="L9955" s="21">
        <v>141.34999999999999</v>
      </c>
      <c r="M9955" s="22">
        <v>0.23999999999999999</v>
      </c>
      <c r="N9955" s="21">
        <v>137.06</v>
      </c>
      <c r="O9955" s="22">
        <v>0.25</v>
      </c>
      <c r="P9955" s="21"/>
      <c r="Q9955" s="22"/>
    </row>
    <row r="9956" ht="26.25">
      <c r="A9956" t="s">
        <v>10047</v>
      </c>
      <c r="B9956" s="19">
        <v>103104</v>
      </c>
      <c r="C9956" s="20" t="s">
        <v>10098</v>
      </c>
      <c r="D9956" s="19" t="s">
        <v>38</v>
      </c>
      <c r="E9956" s="21">
        <f t="shared" si="464"/>
        <v>169.03999999999999</v>
      </c>
      <c r="F9956" s="22"/>
      <c r="G9956" s="21">
        <f t="shared" si="465"/>
        <v>163.91999999999999</v>
      </c>
      <c r="H9956" s="22"/>
      <c r="I9956" s="23" t="str">
        <f t="shared" si="466"/>
        <v xml:space="preserve">COM VALOR</v>
      </c>
      <c r="L9956" s="21">
        <v>169.03999999999999</v>
      </c>
      <c r="M9956" s="22">
        <v>0.23749999999999999</v>
      </c>
      <c r="N9956" s="21">
        <v>163.91999999999999</v>
      </c>
      <c r="O9956" s="22">
        <v>0.23999999999999999</v>
      </c>
      <c r="P9956" s="21"/>
      <c r="Q9956" s="22"/>
    </row>
    <row r="9957" ht="26.25">
      <c r="A9957" t="s">
        <v>10047</v>
      </c>
      <c r="B9957" s="19">
        <v>103091</v>
      </c>
      <c r="C9957" s="20" t="s">
        <v>10099</v>
      </c>
      <c r="D9957" s="19" t="s">
        <v>38</v>
      </c>
      <c r="E9957" s="21">
        <f t="shared" si="464"/>
        <v>20.23</v>
      </c>
      <c r="F9957" s="22"/>
      <c r="G9957" s="21">
        <f t="shared" si="465"/>
        <v>19.649999999999999</v>
      </c>
      <c r="H9957" s="22"/>
      <c r="I9957" s="23" t="str">
        <f t="shared" si="466"/>
        <v xml:space="preserve">COM VALOR</v>
      </c>
      <c r="L9957" s="21">
        <v>20.23</v>
      </c>
      <c r="M9957" s="22">
        <v>0.25</v>
      </c>
      <c r="N9957" s="21">
        <v>19.649999999999999</v>
      </c>
      <c r="O9957" s="22">
        <v>0.26000000000000001</v>
      </c>
      <c r="P9957" s="21"/>
      <c r="Q9957" s="22"/>
    </row>
    <row r="9958" ht="26.25">
      <c r="A9958" t="s">
        <v>10047</v>
      </c>
      <c r="B9958" s="19">
        <v>103092</v>
      </c>
      <c r="C9958" s="20" t="s">
        <v>10100</v>
      </c>
      <c r="D9958" s="19" t="s">
        <v>38</v>
      </c>
      <c r="E9958" s="21">
        <f t="shared" si="464"/>
        <v>26.079999999999998</v>
      </c>
      <c r="F9958" s="22"/>
      <c r="G9958" s="21">
        <f t="shared" si="465"/>
        <v>25.309999999999999</v>
      </c>
      <c r="H9958" s="22"/>
      <c r="I9958" s="23" t="str">
        <f t="shared" si="466"/>
        <v xml:space="preserve">COM VALOR</v>
      </c>
      <c r="L9958" s="21">
        <v>26.079999999999998</v>
      </c>
      <c r="M9958" s="22">
        <v>0.23999999999999999</v>
      </c>
      <c r="N9958" s="21">
        <v>25.309999999999999</v>
      </c>
      <c r="O9958" s="22">
        <v>0.25</v>
      </c>
      <c r="P9958" s="21"/>
      <c r="Q9958" s="22"/>
    </row>
    <row r="9959" ht="26.25">
      <c r="A9959" t="s">
        <v>10047</v>
      </c>
      <c r="B9959" s="19">
        <v>103093</v>
      </c>
      <c r="C9959" s="20" t="s">
        <v>10101</v>
      </c>
      <c r="D9959" s="19" t="s">
        <v>38</v>
      </c>
      <c r="E9959" s="21">
        <f t="shared" si="464"/>
        <v>39.859999999999999</v>
      </c>
      <c r="F9959" s="22"/>
      <c r="G9959" s="21">
        <f t="shared" si="465"/>
        <v>38.689999999999998</v>
      </c>
      <c r="H9959" s="22"/>
      <c r="I9959" s="23" t="str">
        <f t="shared" si="466"/>
        <v xml:space="preserve">COM VALOR</v>
      </c>
      <c r="L9959" s="21">
        <v>39.859999999999999</v>
      </c>
      <c r="M9959" s="22">
        <v>0.23999999999999999</v>
      </c>
      <c r="N9959" s="21">
        <v>38.689999999999998</v>
      </c>
      <c r="O9959" s="22">
        <v>0.25</v>
      </c>
      <c r="P9959" s="21"/>
      <c r="Q9959" s="22"/>
    </row>
    <row r="9960" ht="26.25">
      <c r="A9960" t="s">
        <v>10047</v>
      </c>
      <c r="B9960" s="19">
        <v>103094</v>
      </c>
      <c r="C9960" s="20" t="s">
        <v>10102</v>
      </c>
      <c r="D9960" s="19" t="s">
        <v>38</v>
      </c>
      <c r="E9960" s="21">
        <f t="shared" si="464"/>
        <v>45.740000000000002</v>
      </c>
      <c r="F9960" s="22"/>
      <c r="G9960" s="21">
        <f t="shared" si="465"/>
        <v>44.380000000000003</v>
      </c>
      <c r="H9960" s="22"/>
      <c r="I9960" s="23" t="str">
        <f t="shared" si="466"/>
        <v xml:space="preserve">COM VALOR</v>
      </c>
      <c r="L9960" s="21">
        <v>45.740000000000002</v>
      </c>
      <c r="M9960" s="22">
        <v>0.23999999999999999</v>
      </c>
      <c r="N9960" s="21">
        <v>44.380000000000003</v>
      </c>
      <c r="O9960" s="22">
        <v>0.25</v>
      </c>
      <c r="P9960" s="21"/>
      <c r="Q9960" s="22"/>
    </row>
    <row r="9961" ht="26.25">
      <c r="A9961" t="s">
        <v>10047</v>
      </c>
      <c r="B9961" s="19">
        <v>103095</v>
      </c>
      <c r="C9961" s="20" t="s">
        <v>10103</v>
      </c>
      <c r="D9961" s="19" t="s">
        <v>38</v>
      </c>
      <c r="E9961" s="21">
        <f t="shared" si="464"/>
        <v>59.5</v>
      </c>
      <c r="F9961" s="22"/>
      <c r="G9961" s="21">
        <f t="shared" si="465"/>
        <v>57.75</v>
      </c>
      <c r="H9961" s="22"/>
      <c r="I9961" s="23" t="str">
        <f t="shared" si="466"/>
        <v xml:space="preserve">COM VALOR</v>
      </c>
      <c r="L9961" s="21">
        <v>59.5</v>
      </c>
      <c r="M9961" s="22">
        <v>0.23999999999999999</v>
      </c>
      <c r="N9961" s="21">
        <v>57.75</v>
      </c>
      <c r="O9961" s="22">
        <v>0.25</v>
      </c>
      <c r="P9961" s="21"/>
      <c r="Q9961" s="22"/>
    </row>
    <row r="9962" ht="26.25">
      <c r="A9962" t="s">
        <v>10047</v>
      </c>
      <c r="B9962" s="19">
        <v>103096</v>
      </c>
      <c r="C9962" s="20" t="s">
        <v>10104</v>
      </c>
      <c r="D9962" s="19" t="s">
        <v>38</v>
      </c>
      <c r="E9962" s="21">
        <f t="shared" si="464"/>
        <v>65.379999999999995</v>
      </c>
      <c r="F9962" s="22"/>
      <c r="G9962" s="21">
        <f t="shared" si="465"/>
        <v>63.420000000000002</v>
      </c>
      <c r="H9962" s="22"/>
      <c r="I9962" s="23" t="str">
        <f t="shared" si="466"/>
        <v xml:space="preserve">COM VALOR</v>
      </c>
      <c r="L9962" s="21">
        <v>65.379999999999995</v>
      </c>
      <c r="M9962" s="22">
        <v>0.23999999999999999</v>
      </c>
      <c r="N9962" s="21">
        <v>63.420000000000002</v>
      </c>
      <c r="O9962" s="22">
        <v>0.25</v>
      </c>
      <c r="P9962" s="21"/>
      <c r="Q9962" s="22"/>
    </row>
    <row r="9963" ht="26.25">
      <c r="A9963" t="s">
        <v>10047</v>
      </c>
      <c r="B9963" s="19">
        <v>103097</v>
      </c>
      <c r="C9963" s="20" t="s">
        <v>10105</v>
      </c>
      <c r="D9963" s="19" t="s">
        <v>38</v>
      </c>
      <c r="E9963" s="21">
        <f t="shared" si="464"/>
        <v>79.159999999999997</v>
      </c>
      <c r="F9963" s="22"/>
      <c r="G9963" s="21">
        <f t="shared" si="465"/>
        <v>76.799999999999997</v>
      </c>
      <c r="H9963" s="22"/>
      <c r="I9963" s="23" t="str">
        <f t="shared" si="466"/>
        <v xml:space="preserve">COM VALOR</v>
      </c>
      <c r="L9963" s="21">
        <v>79.159999999999997</v>
      </c>
      <c r="M9963" s="22">
        <v>0.23999999999999999</v>
      </c>
      <c r="N9963" s="21">
        <v>76.799999999999997</v>
      </c>
      <c r="O9963" s="22">
        <v>0.25</v>
      </c>
      <c r="P9963" s="21"/>
      <c r="Q9963" s="22"/>
    </row>
    <row r="9964" ht="26.25">
      <c r="A9964" t="s">
        <v>10047</v>
      </c>
      <c r="B9964" s="19">
        <v>103098</v>
      </c>
      <c r="C9964" s="20" t="s">
        <v>10106</v>
      </c>
      <c r="D9964" s="19" t="s">
        <v>38</v>
      </c>
      <c r="E9964" s="21">
        <f t="shared" si="464"/>
        <v>85.019999999999996</v>
      </c>
      <c r="F9964" s="22"/>
      <c r="G9964" s="21">
        <f t="shared" si="465"/>
        <v>82.480000000000004</v>
      </c>
      <c r="H9964" s="22"/>
      <c r="I9964" s="23" t="str">
        <f t="shared" si="466"/>
        <v xml:space="preserve">COM VALOR</v>
      </c>
      <c r="L9964" s="21">
        <v>85.019999999999996</v>
      </c>
      <c r="M9964" s="22">
        <v>0.23999999999999999</v>
      </c>
      <c r="N9964" s="21">
        <v>82.480000000000004</v>
      </c>
      <c r="O9964" s="22">
        <v>0.25</v>
      </c>
      <c r="P9964" s="21"/>
      <c r="Q9964" s="22"/>
    </row>
    <row r="9965" ht="26.25">
      <c r="A9965" t="s">
        <v>10047</v>
      </c>
      <c r="B9965" s="19">
        <v>103099</v>
      </c>
      <c r="C9965" s="20" t="s">
        <v>10107</v>
      </c>
      <c r="D9965" s="19" t="s">
        <v>38</v>
      </c>
      <c r="E9965" s="21">
        <f t="shared" si="464"/>
        <v>96.700000000000003</v>
      </c>
      <c r="F9965" s="22"/>
      <c r="G9965" s="21">
        <f t="shared" si="465"/>
        <v>93.810000000000002</v>
      </c>
      <c r="H9965" s="22"/>
      <c r="I9965" s="23" t="str">
        <f t="shared" si="466"/>
        <v xml:space="preserve">COM VALOR</v>
      </c>
      <c r="L9965" s="21">
        <v>96.700000000000003</v>
      </c>
      <c r="M9965" s="22">
        <v>0.23999999999999999</v>
      </c>
      <c r="N9965" s="21">
        <v>93.810000000000002</v>
      </c>
      <c r="O9965" s="22">
        <v>0.25</v>
      </c>
      <c r="P9965" s="21"/>
      <c r="Q9965" s="22"/>
    </row>
    <row r="9966" ht="26.25">
      <c r="A9966" t="s">
        <v>10047</v>
      </c>
      <c r="B9966" s="19">
        <v>103100</v>
      </c>
      <c r="C9966" s="20" t="s">
        <v>10108</v>
      </c>
      <c r="D9966" s="19" t="s">
        <v>38</v>
      </c>
      <c r="E9966" s="21">
        <f t="shared" si="464"/>
        <v>103.19</v>
      </c>
      <c r="F9966" s="22"/>
      <c r="G9966" s="21">
        <f t="shared" si="465"/>
        <v>100.08</v>
      </c>
      <c r="H9966" s="22"/>
      <c r="I9966" s="23" t="str">
        <f t="shared" si="466"/>
        <v xml:space="preserve">COM VALOR</v>
      </c>
      <c r="L9966" s="21">
        <v>103.19</v>
      </c>
      <c r="M9966" s="22">
        <v>0.23999999999999999</v>
      </c>
      <c r="N9966" s="21">
        <v>100.08</v>
      </c>
      <c r="O9966" s="22">
        <v>0.25</v>
      </c>
      <c r="P9966" s="21"/>
      <c r="Q9966" s="22"/>
    </row>
    <row r="9967" ht="26.25">
      <c r="A9967" t="s">
        <v>10047</v>
      </c>
      <c r="B9967" s="19">
        <v>103089</v>
      </c>
      <c r="C9967" s="20" t="s">
        <v>10109</v>
      </c>
      <c r="D9967" s="19" t="s">
        <v>38</v>
      </c>
      <c r="E9967" s="21">
        <f t="shared" si="464"/>
        <v>12.050000000000001</v>
      </c>
      <c r="F9967" s="22"/>
      <c r="G9967" s="21">
        <f t="shared" si="465"/>
        <v>11.710000000000001</v>
      </c>
      <c r="H9967" s="22"/>
      <c r="I9967" s="23" t="str">
        <f t="shared" si="466"/>
        <v xml:space="preserve">COM VALOR</v>
      </c>
      <c r="L9967" s="21">
        <v>12.050000000000001</v>
      </c>
      <c r="M9967" s="22">
        <v>0.26000000000000001</v>
      </c>
      <c r="N9967" s="21">
        <v>11.710000000000001</v>
      </c>
      <c r="O9967" s="22">
        <v>0.27000000000000002</v>
      </c>
      <c r="P9967" s="21"/>
      <c r="Q9967" s="22"/>
    </row>
    <row r="9968" ht="26.25">
      <c r="A9968" t="s">
        <v>10047</v>
      </c>
      <c r="B9968" s="19">
        <v>103101</v>
      </c>
      <c r="C9968" s="20" t="s">
        <v>10110</v>
      </c>
      <c r="D9968" s="19" t="s">
        <v>38</v>
      </c>
      <c r="E9968" s="21">
        <f t="shared" si="464"/>
        <v>113.66</v>
      </c>
      <c r="F9968" s="22"/>
      <c r="G9968" s="21">
        <f t="shared" si="465"/>
        <v>110.22</v>
      </c>
      <c r="H9968" s="22"/>
      <c r="I9968" s="23" t="str">
        <f t="shared" si="466"/>
        <v xml:space="preserve">COM VALOR</v>
      </c>
      <c r="L9968" s="21">
        <v>113.66</v>
      </c>
      <c r="M9968" s="22">
        <v>0.23999999999999999</v>
      </c>
      <c r="N9968" s="21">
        <v>110.22</v>
      </c>
      <c r="O9968" s="22">
        <v>0.25</v>
      </c>
      <c r="P9968" s="21"/>
      <c r="Q9968" s="22"/>
    </row>
    <row r="9969" ht="26.25">
      <c r="A9969" t="s">
        <v>10047</v>
      </c>
      <c r="B9969" s="19">
        <v>103102</v>
      </c>
      <c r="C9969" s="20" t="s">
        <v>10111</v>
      </c>
      <c r="D9969" s="19" t="s">
        <v>38</v>
      </c>
      <c r="E9969" s="21">
        <f t="shared" si="464"/>
        <v>130.88999999999999</v>
      </c>
      <c r="F9969" s="22"/>
      <c r="G9969" s="21">
        <f t="shared" si="465"/>
        <v>126.93000000000001</v>
      </c>
      <c r="H9969" s="22"/>
      <c r="I9969" s="23" t="str">
        <f t="shared" si="466"/>
        <v xml:space="preserve">COM VALOR</v>
      </c>
      <c r="L9969" s="21">
        <v>130.88999999999999</v>
      </c>
      <c r="M9969" s="22">
        <v>0.23999999999999999</v>
      </c>
      <c r="N9969" s="21">
        <v>126.93000000000001</v>
      </c>
      <c r="O9969" s="22">
        <v>0.25</v>
      </c>
      <c r="P9969" s="21"/>
      <c r="Q9969" s="22"/>
    </row>
    <row r="9970" ht="39">
      <c r="A9970" t="s">
        <v>10112</v>
      </c>
      <c r="B9970" s="19">
        <v>101112</v>
      </c>
      <c r="C9970" s="20" t="s">
        <v>10113</v>
      </c>
      <c r="D9970" s="19" t="s">
        <v>121</v>
      </c>
      <c r="E9970" s="21">
        <f t="shared" si="464"/>
        <v>970.36000000000001</v>
      </c>
      <c r="F9970" s="22"/>
      <c r="G9970" s="21">
        <f t="shared" si="465"/>
        <v>944.17999999999995</v>
      </c>
      <c r="H9970" s="22"/>
      <c r="I9970" s="23" t="str">
        <f t="shared" si="466"/>
        <v xml:space="preserve">COM VALOR</v>
      </c>
      <c r="L9970" s="21">
        <v>970.36000000000001</v>
      </c>
      <c r="M9970" s="22">
        <v>0</v>
      </c>
      <c r="N9970" s="21">
        <v>944.17999999999995</v>
      </c>
      <c r="O9970" s="22">
        <v>0</v>
      </c>
      <c r="P9970" s="21"/>
      <c r="Q9970" s="22"/>
    </row>
    <row r="9971" ht="39">
      <c r="A9971" t="s">
        <v>10112</v>
      </c>
      <c r="B9971" s="19">
        <v>101113</v>
      </c>
      <c r="C9971" s="20" t="s">
        <v>10114</v>
      </c>
      <c r="D9971" s="19" t="s">
        <v>121</v>
      </c>
      <c r="E9971" s="21">
        <f t="shared" si="464"/>
        <v>1059.6400000000001</v>
      </c>
      <c r="F9971" s="22"/>
      <c r="G9971" s="21">
        <f t="shared" si="465"/>
        <v>1040.5799999999999</v>
      </c>
      <c r="H9971" s="22"/>
      <c r="I9971" s="23" t="str">
        <f t="shared" si="466"/>
        <v xml:space="preserve">COM VALOR</v>
      </c>
      <c r="L9971" s="21">
        <v>1059.6400000000001</v>
      </c>
      <c r="M9971" s="22">
        <v>0</v>
      </c>
      <c r="N9971" s="21">
        <v>1040.5799999999999</v>
      </c>
      <c r="O9971" s="22">
        <v>0</v>
      </c>
      <c r="P9971" s="21"/>
      <c r="Q9971" s="22"/>
    </row>
    <row r="9972" ht="39">
      <c r="A9972" t="s">
        <v>10112</v>
      </c>
      <c r="B9972" s="19">
        <v>101098</v>
      </c>
      <c r="C9972" s="20" t="s">
        <v>10115</v>
      </c>
      <c r="D9972" s="19" t="s">
        <v>121</v>
      </c>
      <c r="E9972" s="21">
        <f t="shared" si="464"/>
        <v>1180.28</v>
      </c>
      <c r="F9972" s="22"/>
      <c r="G9972" s="21">
        <f t="shared" si="465"/>
        <v>1147.5799999999999</v>
      </c>
      <c r="H9972" s="22"/>
      <c r="I9972" s="23" t="str">
        <f t="shared" si="466"/>
        <v xml:space="preserve">COM VALOR</v>
      </c>
      <c r="L9972" s="21">
        <v>1180.28</v>
      </c>
      <c r="M9972" s="22">
        <v>0</v>
      </c>
      <c r="N9972" s="21">
        <v>1147.5799999999999</v>
      </c>
      <c r="O9972" s="22">
        <v>0</v>
      </c>
      <c r="P9972" s="21"/>
      <c r="Q9972" s="22"/>
    </row>
    <row r="9973" ht="51.75">
      <c r="A9973" t="s">
        <v>10112</v>
      </c>
      <c r="B9973" s="19">
        <v>101106</v>
      </c>
      <c r="C9973" s="20" t="s">
        <v>10116</v>
      </c>
      <c r="D9973" s="19" t="s">
        <v>121</v>
      </c>
      <c r="E9973" s="21">
        <f t="shared" si="464"/>
        <v>1261.01</v>
      </c>
      <c r="F9973" s="22"/>
      <c r="G9973" s="21">
        <f t="shared" si="465"/>
        <v>1235.23</v>
      </c>
      <c r="H9973" s="22"/>
      <c r="I9973" s="23" t="str">
        <f t="shared" si="466"/>
        <v xml:space="preserve">COM VALOR</v>
      </c>
      <c r="L9973" s="21">
        <v>1261.01</v>
      </c>
      <c r="M9973" s="22">
        <v>0</v>
      </c>
      <c r="N9973" s="21">
        <v>1235.23</v>
      </c>
      <c r="O9973" s="22">
        <v>0</v>
      </c>
      <c r="P9973" s="21"/>
      <c r="Q9973" s="22"/>
    </row>
    <row r="9974" ht="51.75">
      <c r="A9974" t="s">
        <v>10112</v>
      </c>
      <c r="B9974" s="19">
        <v>101102</v>
      </c>
      <c r="C9974" s="20" t="s">
        <v>10117</v>
      </c>
      <c r="D9974" s="19" t="s">
        <v>121</v>
      </c>
      <c r="E9974" s="21">
        <f t="shared" si="464"/>
        <v>903.46000000000004</v>
      </c>
      <c r="F9974" s="22"/>
      <c r="G9974" s="21">
        <f t="shared" si="465"/>
        <v>892.42999999999995</v>
      </c>
      <c r="H9974" s="22"/>
      <c r="I9974" s="23" t="str">
        <f t="shared" si="466"/>
        <v xml:space="preserve">COM VALOR</v>
      </c>
      <c r="L9974" s="21">
        <v>903.46000000000004</v>
      </c>
      <c r="M9974" s="22">
        <v>2.e-002</v>
      </c>
      <c r="N9974" s="21">
        <v>892.42999999999995</v>
      </c>
      <c r="O9974" s="22">
        <v>2.e-002</v>
      </c>
      <c r="P9974" s="21"/>
      <c r="Q9974" s="22"/>
    </row>
    <row r="9975" ht="51.75">
      <c r="A9975" t="s">
        <v>10112</v>
      </c>
      <c r="B9975" s="19">
        <v>101110</v>
      </c>
      <c r="C9975" s="20" t="s">
        <v>10118</v>
      </c>
      <c r="D9975" s="19" t="s">
        <v>121</v>
      </c>
      <c r="E9975" s="21">
        <f t="shared" si="464"/>
        <v>978.86000000000001</v>
      </c>
      <c r="F9975" s="22"/>
      <c r="G9975" s="21">
        <f t="shared" si="465"/>
        <v>975.11000000000001</v>
      </c>
      <c r="H9975" s="22"/>
      <c r="I9975" s="23" t="str">
        <f t="shared" si="466"/>
        <v xml:space="preserve">COM VALOR</v>
      </c>
      <c r="L9975" s="21">
        <v>978.86000000000001</v>
      </c>
      <c r="M9975" s="22">
        <v>2.e-002</v>
      </c>
      <c r="N9975" s="21">
        <v>975.11000000000001</v>
      </c>
      <c r="O9975" s="22">
        <v>2.e-002</v>
      </c>
      <c r="P9975" s="21"/>
      <c r="Q9975" s="22"/>
    </row>
    <row r="9976" ht="39">
      <c r="A9976" t="s">
        <v>10112</v>
      </c>
      <c r="B9976" s="19">
        <v>101099</v>
      </c>
      <c r="C9976" s="20" t="s">
        <v>10119</v>
      </c>
      <c r="D9976" s="19" t="s">
        <v>121</v>
      </c>
      <c r="E9976" s="21">
        <f t="shared" si="464"/>
        <v>1078.46</v>
      </c>
      <c r="F9976" s="22"/>
      <c r="G9976" s="21">
        <f t="shared" si="465"/>
        <v>1050.0799999999999</v>
      </c>
      <c r="H9976" s="22"/>
      <c r="I9976" s="23" t="str">
        <f t="shared" si="466"/>
        <v xml:space="preserve">COM VALOR</v>
      </c>
      <c r="L9976" s="21">
        <v>1078.46</v>
      </c>
      <c r="M9976" s="22">
        <v>0</v>
      </c>
      <c r="N9976" s="21">
        <v>1050.0799999999999</v>
      </c>
      <c r="O9976" s="22">
        <v>0</v>
      </c>
      <c r="P9976" s="21"/>
      <c r="Q9976" s="22"/>
    </row>
    <row r="9977" ht="51.75">
      <c r="A9977" t="s">
        <v>10112</v>
      </c>
      <c r="B9977" s="19">
        <v>101107</v>
      </c>
      <c r="C9977" s="20" t="s">
        <v>10120</v>
      </c>
      <c r="D9977" s="19" t="s">
        <v>121</v>
      </c>
      <c r="E9977" s="21">
        <f t="shared" si="464"/>
        <v>1156.9000000000001</v>
      </c>
      <c r="F9977" s="22"/>
      <c r="G9977" s="21">
        <f t="shared" si="465"/>
        <v>1135.1800000000001</v>
      </c>
      <c r="H9977" s="22"/>
      <c r="I9977" s="23" t="str">
        <f t="shared" si="466"/>
        <v xml:space="preserve">COM VALOR</v>
      </c>
      <c r="L9977" s="21">
        <v>1156.9000000000001</v>
      </c>
      <c r="M9977" s="22">
        <v>0</v>
      </c>
      <c r="N9977" s="21">
        <v>1135.1800000000001</v>
      </c>
      <c r="O9977" s="22">
        <v>0</v>
      </c>
      <c r="P9977" s="21"/>
      <c r="Q9977" s="22"/>
    </row>
    <row r="9978" ht="51.75">
      <c r="A9978" t="s">
        <v>10112</v>
      </c>
      <c r="B9978" s="19">
        <v>101103</v>
      </c>
      <c r="C9978" s="20" t="s">
        <v>10121</v>
      </c>
      <c r="D9978" s="19" t="s">
        <v>121</v>
      </c>
      <c r="E9978" s="21">
        <f t="shared" si="464"/>
        <v>851.78999999999996</v>
      </c>
      <c r="F9978" s="22"/>
      <c r="G9978" s="21">
        <f t="shared" si="465"/>
        <v>841.48000000000002</v>
      </c>
      <c r="H9978" s="22"/>
      <c r="I9978" s="23" t="str">
        <f t="shared" si="466"/>
        <v xml:space="preserve">COM VALOR</v>
      </c>
      <c r="L9978" s="21">
        <v>851.78999999999996</v>
      </c>
      <c r="M9978" s="22">
        <v>2.e-002</v>
      </c>
      <c r="N9978" s="21">
        <v>841.48000000000002</v>
      </c>
      <c r="O9978" s="22">
        <v>2.e-002</v>
      </c>
      <c r="P9978" s="21"/>
      <c r="Q9978" s="22"/>
    </row>
    <row r="9979" ht="51.75">
      <c r="A9979" t="s">
        <v>10112</v>
      </c>
      <c r="B9979" s="19">
        <v>101111</v>
      </c>
      <c r="C9979" s="20" t="s">
        <v>10122</v>
      </c>
      <c r="D9979" s="19" t="s">
        <v>121</v>
      </c>
      <c r="E9979" s="21">
        <f t="shared" si="464"/>
        <v>925.63</v>
      </c>
      <c r="F9979" s="22"/>
      <c r="G9979" s="21">
        <f t="shared" si="465"/>
        <v>922.29999999999995</v>
      </c>
      <c r="H9979" s="22"/>
      <c r="I9979" s="23" t="str">
        <f t="shared" si="466"/>
        <v xml:space="preserve">COM VALOR</v>
      </c>
      <c r="L9979" s="21">
        <v>925.63</v>
      </c>
      <c r="M9979" s="22">
        <v>2.e-002</v>
      </c>
      <c r="N9979" s="21">
        <v>922.29999999999995</v>
      </c>
      <c r="O9979" s="22">
        <v>2.e-002</v>
      </c>
      <c r="P9979" s="21"/>
      <c r="Q9979" s="22"/>
    </row>
    <row r="9980" ht="39">
      <c r="A9980" t="s">
        <v>10112</v>
      </c>
      <c r="B9980" s="19">
        <v>101096</v>
      </c>
      <c r="C9980" s="20" t="s">
        <v>10123</v>
      </c>
      <c r="D9980" s="19" t="s">
        <v>121</v>
      </c>
      <c r="E9980" s="21">
        <f t="shared" si="464"/>
        <v>1362.6800000000001</v>
      </c>
      <c r="F9980" s="22"/>
      <c r="G9980" s="21">
        <f t="shared" si="465"/>
        <v>1318.78</v>
      </c>
      <c r="H9980" s="22"/>
      <c r="I9980" s="23" t="str">
        <f t="shared" si="466"/>
        <v xml:space="preserve">COM VALOR</v>
      </c>
      <c r="L9980" s="21">
        <v>1362.6800000000001</v>
      </c>
      <c r="M9980" s="22">
        <v>0</v>
      </c>
      <c r="N9980" s="21">
        <v>1318.78</v>
      </c>
      <c r="O9980" s="22">
        <v>0</v>
      </c>
      <c r="P9980" s="21"/>
      <c r="Q9980" s="22"/>
    </row>
    <row r="9981" ht="51.75">
      <c r="A9981" t="s">
        <v>10112</v>
      </c>
      <c r="B9981" s="19">
        <v>101104</v>
      </c>
      <c r="C9981" s="20" t="s">
        <v>10124</v>
      </c>
      <c r="D9981" s="19" t="s">
        <v>121</v>
      </c>
      <c r="E9981" s="21">
        <f t="shared" si="464"/>
        <v>1445.8099999999999</v>
      </c>
      <c r="F9981" s="22"/>
      <c r="G9981" s="21">
        <f t="shared" si="465"/>
        <v>1409.1700000000001</v>
      </c>
      <c r="H9981" s="22"/>
      <c r="I9981" s="23" t="str">
        <f t="shared" si="466"/>
        <v xml:space="preserve">COM VALOR</v>
      </c>
      <c r="L9981" s="21">
        <v>1445.8099999999999</v>
      </c>
      <c r="M9981" s="22">
        <v>0</v>
      </c>
      <c r="N9981" s="21">
        <v>1409.1700000000001</v>
      </c>
      <c r="O9981" s="22">
        <v>0</v>
      </c>
      <c r="P9981" s="21"/>
      <c r="Q9981" s="22"/>
    </row>
    <row r="9982" ht="39">
      <c r="A9982" t="s">
        <v>10112</v>
      </c>
      <c r="B9982" s="19">
        <v>101100</v>
      </c>
      <c r="C9982" s="20" t="s">
        <v>10125</v>
      </c>
      <c r="D9982" s="19" t="s">
        <v>121</v>
      </c>
      <c r="E9982" s="21">
        <f t="shared" si="464"/>
        <v>952.51999999999998</v>
      </c>
      <c r="F9982" s="22"/>
      <c r="G9982" s="21">
        <f t="shared" si="465"/>
        <v>939.91999999999996</v>
      </c>
      <c r="H9982" s="22"/>
      <c r="I9982" s="23" t="str">
        <f t="shared" si="466"/>
        <v xml:space="preserve">COM VALOR</v>
      </c>
      <c r="L9982" s="21">
        <v>952.51999999999998</v>
      </c>
      <c r="M9982" s="22">
        <v>2.75e-002</v>
      </c>
      <c r="N9982" s="21">
        <v>939.91999999999996</v>
      </c>
      <c r="O9982" s="22">
        <v>2.9999999999999999e-002</v>
      </c>
      <c r="P9982" s="21"/>
      <c r="Q9982" s="22"/>
    </row>
    <row r="9983" ht="51.75">
      <c r="A9983" t="s">
        <v>10112</v>
      </c>
      <c r="B9983" s="19">
        <v>101108</v>
      </c>
      <c r="C9983" s="20" t="s">
        <v>10126</v>
      </c>
      <c r="D9983" s="19" t="s">
        <v>121</v>
      </c>
      <c r="E9983" s="21">
        <f t="shared" si="464"/>
        <v>1029.26</v>
      </c>
      <c r="F9983" s="22"/>
      <c r="G9983" s="21">
        <f t="shared" si="465"/>
        <v>1024.3499999999999</v>
      </c>
      <c r="H9983" s="22"/>
      <c r="I9983" s="23" t="str">
        <f t="shared" si="466"/>
        <v xml:space="preserve">COM VALOR</v>
      </c>
      <c r="L9983" s="21">
        <v>1029.26</v>
      </c>
      <c r="M9983" s="22">
        <v>2.9999999999999999e-002</v>
      </c>
      <c r="N9983" s="21">
        <v>1024.3499999999999</v>
      </c>
      <c r="O9983" s="22">
        <v>2.9999999999999999e-002</v>
      </c>
      <c r="P9983" s="21"/>
      <c r="Q9983" s="22"/>
    </row>
    <row r="9984" ht="39">
      <c r="A9984" t="s">
        <v>10112</v>
      </c>
      <c r="B9984" s="19">
        <v>101097</v>
      </c>
      <c r="C9984" s="20" t="s">
        <v>10127</v>
      </c>
      <c r="D9984" s="19" t="s">
        <v>121</v>
      </c>
      <c r="E9984" s="21">
        <f t="shared" si="464"/>
        <v>1283.3199999999999</v>
      </c>
      <c r="F9984" s="22"/>
      <c r="G9984" s="21">
        <f t="shared" si="465"/>
        <v>1244.1400000000001</v>
      </c>
      <c r="H9984" s="22"/>
      <c r="I9984" s="23" t="str">
        <f t="shared" si="466"/>
        <v xml:space="preserve">COM VALOR</v>
      </c>
      <c r="L9984" s="21">
        <v>1283.3199999999999</v>
      </c>
      <c r="M9984" s="22">
        <v>0</v>
      </c>
      <c r="N9984" s="21">
        <v>1244.1400000000001</v>
      </c>
      <c r="O9984" s="22">
        <v>0</v>
      </c>
      <c r="P9984" s="21"/>
      <c r="Q9984" s="22"/>
    </row>
    <row r="9985" ht="51.75">
      <c r="A9985" t="s">
        <v>10112</v>
      </c>
      <c r="B9985" s="19">
        <v>101105</v>
      </c>
      <c r="C9985" s="20" t="s">
        <v>10128</v>
      </c>
      <c r="D9985" s="19" t="s">
        <v>121</v>
      </c>
      <c r="E9985" s="21">
        <f t="shared" si="464"/>
        <v>1365.3</v>
      </c>
      <c r="F9985" s="22"/>
      <c r="G9985" s="21">
        <f t="shared" si="465"/>
        <v>1333.26</v>
      </c>
      <c r="H9985" s="22"/>
      <c r="I9985" s="23" t="str">
        <f t="shared" si="466"/>
        <v xml:space="preserve">COM VALOR</v>
      </c>
      <c r="L9985" s="21">
        <v>1365.3</v>
      </c>
      <c r="M9985" s="22">
        <v>0</v>
      </c>
      <c r="N9985" s="21">
        <v>1333.26</v>
      </c>
      <c r="O9985" s="22">
        <v>0</v>
      </c>
      <c r="P9985" s="21"/>
      <c r="Q9985" s="22"/>
    </row>
    <row r="9986" ht="51.75">
      <c r="A9986" t="s">
        <v>10112</v>
      </c>
      <c r="B9986" s="19">
        <v>101101</v>
      </c>
      <c r="C9986" s="20" t="s">
        <v>10129</v>
      </c>
      <c r="D9986" s="19" t="s">
        <v>121</v>
      </c>
      <c r="E9986" s="21">
        <f t="shared" si="464"/>
        <v>929.26999999999998</v>
      </c>
      <c r="F9986" s="22"/>
      <c r="G9986" s="21">
        <f t="shared" si="465"/>
        <v>917.29999999999995</v>
      </c>
      <c r="H9986" s="22"/>
      <c r="I9986" s="23" t="str">
        <f t="shared" si="466"/>
        <v xml:space="preserve">COM VALOR</v>
      </c>
      <c r="L9986" s="21">
        <v>929.26999999999998</v>
      </c>
      <c r="M9986" s="22">
        <v>2.9999999999999999e-002</v>
      </c>
      <c r="N9986" s="21">
        <v>917.29999999999995</v>
      </c>
      <c r="O9986" s="22">
        <v>2.9999999999999999e-002</v>
      </c>
      <c r="P9986" s="21"/>
      <c r="Q9986" s="22"/>
    </row>
    <row r="9987" ht="51.75">
      <c r="A9987" t="s">
        <v>10112</v>
      </c>
      <c r="B9987" s="19">
        <v>101109</v>
      </c>
      <c r="C9987" s="20" t="s">
        <v>10130</v>
      </c>
      <c r="D9987" s="19" t="s">
        <v>121</v>
      </c>
      <c r="E9987" s="21">
        <f t="shared" si="464"/>
        <v>1005.1900000000001</v>
      </c>
      <c r="F9987" s="22"/>
      <c r="G9987" s="21">
        <f t="shared" si="465"/>
        <v>1000.77</v>
      </c>
      <c r="H9987" s="22"/>
      <c r="I9987" s="23" t="str">
        <f t="shared" si="466"/>
        <v xml:space="preserve">COM VALOR</v>
      </c>
      <c r="L9987" s="21">
        <v>1005.1900000000001</v>
      </c>
      <c r="M9987" s="22">
        <v>2.e-002</v>
      </c>
      <c r="N9987" s="21">
        <v>1000.77</v>
      </c>
      <c r="O9987" s="22">
        <v>2.e-002</v>
      </c>
    </row>
    <row r="9988" ht="26.25">
      <c r="A9988" t="s">
        <v>10131</v>
      </c>
      <c r="B9988" s="19">
        <v>106209</v>
      </c>
      <c r="C9988" s="20" t="s">
        <v>10132</v>
      </c>
      <c r="D9988" s="19" t="s">
        <v>31</v>
      </c>
      <c r="E9988" s="21" t="str">
        <f t="shared" si="464"/>
        <v>VERIFICAR</v>
      </c>
      <c r="F9988" s="22"/>
      <c r="G9988" s="21" t="str">
        <f t="shared" si="465"/>
        <v>VERIFICAR</v>
      </c>
      <c r="H9988" s="22"/>
      <c r="I9988" s="23" t="str">
        <f t="shared" si="466"/>
        <v xml:space="preserve">COM VALOR</v>
      </c>
      <c r="L9988" s="21">
        <v>0</v>
      </c>
      <c r="M9988" s="22"/>
      <c r="N9988" s="21">
        <v>0</v>
      </c>
      <c r="O9988" s="22"/>
    </row>
    <row r="9989" ht="39">
      <c r="A9989" t="s">
        <v>10131</v>
      </c>
      <c r="B9989" s="19">
        <v>106172</v>
      </c>
      <c r="C9989" s="20" t="s">
        <v>10133</v>
      </c>
      <c r="D9989" s="19" t="s">
        <v>38</v>
      </c>
      <c r="E9989" s="21" t="str">
        <f t="shared" si="464"/>
        <v>VERIFICAR</v>
      </c>
      <c r="F9989" s="22"/>
      <c r="G9989" s="21" t="str">
        <f t="shared" si="465"/>
        <v>VERIFICAR</v>
      </c>
      <c r="H9989" s="22"/>
      <c r="I9989" s="23" t="str">
        <f t="shared" si="466"/>
        <v xml:space="preserve">COM VALOR</v>
      </c>
      <c r="L9989" s="21">
        <v>0</v>
      </c>
      <c r="M9989" s="22"/>
      <c r="N9989" s="21">
        <v>0</v>
      </c>
      <c r="O9989" s="22"/>
    </row>
    <row r="9990" ht="39">
      <c r="A9990" t="s">
        <v>10131</v>
      </c>
      <c r="B9990" s="19">
        <v>106173</v>
      </c>
      <c r="C9990" s="20" t="s">
        <v>10134</v>
      </c>
      <c r="D9990" s="19" t="s">
        <v>38</v>
      </c>
      <c r="E9990" s="21" t="str">
        <f t="shared" si="464"/>
        <v>VERIFICAR</v>
      </c>
      <c r="F9990" s="22"/>
      <c r="G9990" s="21" t="str">
        <f t="shared" si="465"/>
        <v>VERIFICAR</v>
      </c>
      <c r="H9990" s="22"/>
      <c r="I9990" s="23" t="str">
        <f t="shared" si="466"/>
        <v xml:space="preserve">COM VALOR</v>
      </c>
      <c r="L9990" s="21">
        <v>0</v>
      </c>
      <c r="M9990" s="22"/>
      <c r="N9990" s="21">
        <v>0</v>
      </c>
      <c r="O9990" s="22"/>
    </row>
    <row r="9991" ht="39">
      <c r="A9991" t="s">
        <v>10131</v>
      </c>
      <c r="B9991" s="19">
        <v>106174</v>
      </c>
      <c r="C9991" s="20" t="s">
        <v>10135</v>
      </c>
      <c r="D9991" s="19" t="s">
        <v>38</v>
      </c>
      <c r="E9991" s="21" t="str">
        <f t="shared" si="464"/>
        <v>VERIFICAR</v>
      </c>
      <c r="F9991" s="22"/>
      <c r="G9991" s="21" t="str">
        <f t="shared" si="465"/>
        <v>VERIFICAR</v>
      </c>
      <c r="H9991" s="22"/>
      <c r="I9991" s="23" t="str">
        <f t="shared" si="466"/>
        <v xml:space="preserve">COM VALOR</v>
      </c>
      <c r="L9991" s="21">
        <v>0</v>
      </c>
      <c r="M9991" s="22"/>
      <c r="N9991" s="21">
        <v>0</v>
      </c>
      <c r="O9991" s="22"/>
    </row>
    <row r="9992" ht="39">
      <c r="A9992" t="s">
        <v>10131</v>
      </c>
      <c r="B9992" s="19">
        <v>106175</v>
      </c>
      <c r="C9992" s="20" t="s">
        <v>10136</v>
      </c>
      <c r="D9992" s="19" t="s">
        <v>38</v>
      </c>
      <c r="E9992" s="21" t="str">
        <f t="shared" si="464"/>
        <v>VERIFICAR</v>
      </c>
      <c r="F9992" s="22"/>
      <c r="G9992" s="21" t="str">
        <f t="shared" si="465"/>
        <v>VERIFICAR</v>
      </c>
      <c r="H9992" s="22"/>
      <c r="I9992" s="23" t="str">
        <f t="shared" si="466"/>
        <v xml:space="preserve">COM VALOR</v>
      </c>
      <c r="L9992" s="21">
        <v>0</v>
      </c>
      <c r="M9992" s="22"/>
      <c r="N9992" s="21">
        <v>0</v>
      </c>
      <c r="O9992" s="22"/>
    </row>
    <row r="9993" ht="39">
      <c r="A9993" t="s">
        <v>10131</v>
      </c>
      <c r="B9993" s="19">
        <v>106176</v>
      </c>
      <c r="C9993" s="20" t="s">
        <v>10137</v>
      </c>
      <c r="D9993" s="19" t="s">
        <v>38</v>
      </c>
      <c r="E9993" s="21" t="str">
        <f t="shared" si="464"/>
        <v>VERIFICAR</v>
      </c>
      <c r="F9993" s="22"/>
      <c r="G9993" s="21" t="str">
        <f t="shared" si="465"/>
        <v>VERIFICAR</v>
      </c>
      <c r="H9993" s="22"/>
      <c r="I9993" s="23" t="str">
        <f t="shared" si="466"/>
        <v xml:space="preserve">COM VALOR</v>
      </c>
      <c r="L9993" s="21">
        <v>0</v>
      </c>
      <c r="M9993" s="22"/>
      <c r="N9993" s="21">
        <v>0</v>
      </c>
      <c r="O9993" s="22"/>
    </row>
    <row r="9994" ht="39">
      <c r="A9994" t="s">
        <v>10131</v>
      </c>
      <c r="B9994" s="19">
        <v>106177</v>
      </c>
      <c r="C9994" s="20" t="s">
        <v>10138</v>
      </c>
      <c r="D9994" s="19" t="s">
        <v>38</v>
      </c>
      <c r="E9994" s="21" t="str">
        <f t="shared" si="464"/>
        <v>VERIFICAR</v>
      </c>
      <c r="F9994" s="22"/>
      <c r="G9994" s="21" t="str">
        <f t="shared" si="465"/>
        <v>VERIFICAR</v>
      </c>
      <c r="H9994" s="22"/>
      <c r="I9994" s="23" t="str">
        <f t="shared" si="466"/>
        <v xml:space="preserve">COM VALOR</v>
      </c>
      <c r="L9994" s="21">
        <v>0</v>
      </c>
      <c r="M9994" s="22"/>
      <c r="N9994" s="21">
        <v>0</v>
      </c>
      <c r="O9994" s="22"/>
    </row>
    <row r="9995" ht="39">
      <c r="A9995" t="s">
        <v>10131</v>
      </c>
      <c r="B9995" s="19">
        <v>106178</v>
      </c>
      <c r="C9995" s="20" t="s">
        <v>10139</v>
      </c>
      <c r="D9995" s="19" t="s">
        <v>38</v>
      </c>
      <c r="E9995" s="21" t="str">
        <f t="shared" ref="E9995:E10058" si="467">IF(L9995=0,"VERIFICAR",L9995)</f>
        <v>VERIFICAR</v>
      </c>
      <c r="F9995" s="22"/>
      <c r="G9995" s="21" t="str">
        <f t="shared" ref="G9995:G10058" si="468">IF(N9995=0,"VERIFICAR",N9995)</f>
        <v>VERIFICAR</v>
      </c>
      <c r="H9995" s="22"/>
      <c r="I9995" s="23" t="str">
        <f t="shared" ref="I9995:I10058" si="469">IF(OR(E9995=0,G9995=0),"SEM VALOR","COM VALOR")</f>
        <v xml:space="preserve">COM VALOR</v>
      </c>
      <c r="L9995" s="21">
        <v>0</v>
      </c>
      <c r="M9995" s="22"/>
      <c r="N9995" s="21">
        <v>0</v>
      </c>
      <c r="O9995" s="22"/>
    </row>
    <row r="9996" ht="39">
      <c r="A9996" t="s">
        <v>10131</v>
      </c>
      <c r="B9996" s="19">
        <v>106179</v>
      </c>
      <c r="C9996" s="20" t="s">
        <v>10140</v>
      </c>
      <c r="D9996" s="19" t="s">
        <v>38</v>
      </c>
      <c r="E9996" s="21" t="str">
        <f t="shared" si="467"/>
        <v>VERIFICAR</v>
      </c>
      <c r="F9996" s="22"/>
      <c r="G9996" s="21" t="str">
        <f t="shared" si="468"/>
        <v>VERIFICAR</v>
      </c>
      <c r="H9996" s="22"/>
      <c r="I9996" s="23" t="str">
        <f t="shared" si="469"/>
        <v xml:space="preserve">COM VALOR</v>
      </c>
      <c r="L9996" s="21">
        <v>0</v>
      </c>
      <c r="M9996" s="22"/>
      <c r="N9996" s="21">
        <v>0</v>
      </c>
      <c r="O9996" s="22"/>
    </row>
    <row r="9997" ht="39">
      <c r="A9997" t="s">
        <v>10131</v>
      </c>
      <c r="B9997" s="19">
        <v>106180</v>
      </c>
      <c r="C9997" s="20" t="s">
        <v>10141</v>
      </c>
      <c r="D9997" s="19" t="s">
        <v>38</v>
      </c>
      <c r="E9997" s="21" t="str">
        <f t="shared" si="467"/>
        <v>VERIFICAR</v>
      </c>
      <c r="F9997" s="22"/>
      <c r="G9997" s="21" t="str">
        <f t="shared" si="468"/>
        <v>VERIFICAR</v>
      </c>
      <c r="H9997" s="22"/>
      <c r="I9997" s="23" t="str">
        <f t="shared" si="469"/>
        <v xml:space="preserve">COM VALOR</v>
      </c>
      <c r="L9997" s="21">
        <v>0</v>
      </c>
      <c r="M9997" s="22"/>
      <c r="N9997" s="21">
        <v>0</v>
      </c>
      <c r="O9997" s="22"/>
    </row>
    <row r="9998" ht="39">
      <c r="A9998" t="s">
        <v>10131</v>
      </c>
      <c r="B9998" s="19">
        <v>106181</v>
      </c>
      <c r="C9998" s="20" t="s">
        <v>10142</v>
      </c>
      <c r="D9998" s="19" t="s">
        <v>38</v>
      </c>
      <c r="E9998" s="21" t="str">
        <f t="shared" si="467"/>
        <v>VERIFICAR</v>
      </c>
      <c r="F9998" s="22"/>
      <c r="G9998" s="21" t="str">
        <f t="shared" si="468"/>
        <v>VERIFICAR</v>
      </c>
      <c r="H9998" s="22"/>
      <c r="I9998" s="23" t="str">
        <f t="shared" si="469"/>
        <v xml:space="preserve">COM VALOR</v>
      </c>
      <c r="L9998" s="21">
        <v>0</v>
      </c>
      <c r="M9998" s="22"/>
      <c r="N9998" s="21">
        <v>0</v>
      </c>
      <c r="O9998" s="22"/>
    </row>
    <row r="9999" ht="39">
      <c r="A9999" t="s">
        <v>10131</v>
      </c>
      <c r="B9999" s="19">
        <v>106182</v>
      </c>
      <c r="C9999" s="20" t="s">
        <v>10143</v>
      </c>
      <c r="D9999" s="19" t="s">
        <v>38</v>
      </c>
      <c r="E9999" s="21" t="str">
        <f t="shared" si="467"/>
        <v>VERIFICAR</v>
      </c>
      <c r="F9999" s="22"/>
      <c r="G9999" s="21" t="str">
        <f t="shared" si="468"/>
        <v>VERIFICAR</v>
      </c>
      <c r="H9999" s="22"/>
      <c r="I9999" s="23" t="str">
        <f t="shared" si="469"/>
        <v xml:space="preserve">COM VALOR</v>
      </c>
      <c r="L9999" s="21">
        <v>0</v>
      </c>
      <c r="M9999" s="22"/>
      <c r="N9999" s="21">
        <v>0</v>
      </c>
      <c r="O9999" s="22"/>
    </row>
    <row r="10000" ht="39">
      <c r="A10000" t="s">
        <v>10131</v>
      </c>
      <c r="B10000" s="19">
        <v>106183</v>
      </c>
      <c r="C10000" s="20" t="s">
        <v>10144</v>
      </c>
      <c r="D10000" s="19" t="s">
        <v>38</v>
      </c>
      <c r="E10000" s="21" t="str">
        <f t="shared" si="467"/>
        <v>VERIFICAR</v>
      </c>
      <c r="F10000" s="22"/>
      <c r="G10000" s="21" t="str">
        <f t="shared" si="468"/>
        <v>VERIFICAR</v>
      </c>
      <c r="H10000" s="22"/>
      <c r="I10000" s="23" t="str">
        <f t="shared" si="469"/>
        <v xml:space="preserve">COM VALOR</v>
      </c>
      <c r="L10000" s="21">
        <v>0</v>
      </c>
      <c r="M10000" s="22"/>
      <c r="N10000" s="21">
        <v>0</v>
      </c>
      <c r="O10000" s="22"/>
    </row>
    <row r="10001" ht="39">
      <c r="A10001" t="s">
        <v>10131</v>
      </c>
      <c r="B10001" s="19">
        <v>106184</v>
      </c>
      <c r="C10001" s="20" t="s">
        <v>10145</v>
      </c>
      <c r="D10001" s="19" t="s">
        <v>38</v>
      </c>
      <c r="E10001" s="21" t="str">
        <f t="shared" si="467"/>
        <v>VERIFICAR</v>
      </c>
      <c r="F10001" s="22"/>
      <c r="G10001" s="21" t="str">
        <f t="shared" si="468"/>
        <v>VERIFICAR</v>
      </c>
      <c r="H10001" s="22"/>
      <c r="I10001" s="23" t="str">
        <f t="shared" si="469"/>
        <v xml:space="preserve">COM VALOR</v>
      </c>
      <c r="L10001" s="21">
        <v>0</v>
      </c>
      <c r="M10001" s="22"/>
      <c r="N10001" s="21">
        <v>0</v>
      </c>
      <c r="O10001" s="22"/>
    </row>
    <row r="10002" ht="39">
      <c r="A10002" t="s">
        <v>10131</v>
      </c>
      <c r="B10002" s="19">
        <v>106185</v>
      </c>
      <c r="C10002" s="20" t="s">
        <v>10146</v>
      </c>
      <c r="D10002" s="19" t="s">
        <v>38</v>
      </c>
      <c r="E10002" s="21" t="str">
        <f t="shared" si="467"/>
        <v>VERIFICAR</v>
      </c>
      <c r="F10002" s="22"/>
      <c r="G10002" s="21" t="str">
        <f t="shared" si="468"/>
        <v>VERIFICAR</v>
      </c>
      <c r="H10002" s="22"/>
      <c r="I10002" s="23" t="str">
        <f t="shared" si="469"/>
        <v xml:space="preserve">COM VALOR</v>
      </c>
      <c r="L10002" s="21">
        <v>0</v>
      </c>
      <c r="M10002" s="22"/>
      <c r="N10002" s="21">
        <v>0</v>
      </c>
      <c r="O10002" s="22"/>
    </row>
    <row r="10003" ht="39">
      <c r="A10003" t="s">
        <v>10131</v>
      </c>
      <c r="B10003" s="19">
        <v>106186</v>
      </c>
      <c r="C10003" s="20" t="s">
        <v>10147</v>
      </c>
      <c r="D10003" s="19" t="s">
        <v>38</v>
      </c>
      <c r="E10003" s="21" t="str">
        <f t="shared" si="467"/>
        <v>VERIFICAR</v>
      </c>
      <c r="F10003" s="22"/>
      <c r="G10003" s="21" t="str">
        <f t="shared" si="468"/>
        <v>VERIFICAR</v>
      </c>
      <c r="H10003" s="22"/>
      <c r="I10003" s="23" t="str">
        <f t="shared" si="469"/>
        <v xml:space="preserve">COM VALOR</v>
      </c>
      <c r="L10003" s="21">
        <v>0</v>
      </c>
      <c r="M10003" s="22"/>
      <c r="N10003" s="21">
        <v>0</v>
      </c>
      <c r="O10003" s="22"/>
    </row>
    <row r="10004" ht="39">
      <c r="A10004" t="s">
        <v>10131</v>
      </c>
      <c r="B10004" s="19">
        <v>106187</v>
      </c>
      <c r="C10004" s="20" t="s">
        <v>10148</v>
      </c>
      <c r="D10004" s="19" t="s">
        <v>38</v>
      </c>
      <c r="E10004" s="21" t="str">
        <f t="shared" si="467"/>
        <v>VERIFICAR</v>
      </c>
      <c r="F10004" s="22"/>
      <c r="G10004" s="21" t="str">
        <f t="shared" si="468"/>
        <v>VERIFICAR</v>
      </c>
      <c r="H10004" s="22"/>
      <c r="I10004" s="23" t="str">
        <f t="shared" si="469"/>
        <v xml:space="preserve">COM VALOR</v>
      </c>
      <c r="L10004" s="21">
        <v>0</v>
      </c>
      <c r="M10004" s="22"/>
      <c r="N10004" s="21">
        <v>0</v>
      </c>
      <c r="O10004" s="22"/>
    </row>
    <row r="10005" ht="39">
      <c r="A10005" t="s">
        <v>10131</v>
      </c>
      <c r="B10005" s="19">
        <v>106188</v>
      </c>
      <c r="C10005" s="20" t="s">
        <v>10149</v>
      </c>
      <c r="D10005" s="19" t="s">
        <v>38</v>
      </c>
      <c r="E10005" s="21" t="str">
        <f t="shared" si="467"/>
        <v>VERIFICAR</v>
      </c>
      <c r="F10005" s="22"/>
      <c r="G10005" s="21" t="str">
        <f t="shared" si="468"/>
        <v>VERIFICAR</v>
      </c>
      <c r="H10005" s="22"/>
      <c r="I10005" s="23" t="str">
        <f t="shared" si="469"/>
        <v xml:space="preserve">COM VALOR</v>
      </c>
      <c r="L10005" s="21">
        <v>0</v>
      </c>
      <c r="M10005" s="22"/>
      <c r="N10005" s="21">
        <v>0</v>
      </c>
      <c r="O10005" s="22"/>
    </row>
    <row r="10006" ht="39">
      <c r="A10006" t="s">
        <v>10131</v>
      </c>
      <c r="B10006" s="19">
        <v>106189</v>
      </c>
      <c r="C10006" s="20" t="s">
        <v>10150</v>
      </c>
      <c r="D10006" s="19" t="s">
        <v>38</v>
      </c>
      <c r="E10006" s="21" t="str">
        <f t="shared" si="467"/>
        <v>VERIFICAR</v>
      </c>
      <c r="F10006" s="22"/>
      <c r="G10006" s="21" t="str">
        <f t="shared" si="468"/>
        <v>VERIFICAR</v>
      </c>
      <c r="H10006" s="22"/>
      <c r="I10006" s="23" t="str">
        <f t="shared" si="469"/>
        <v xml:space="preserve">COM VALOR</v>
      </c>
      <c r="L10006" s="21">
        <v>0</v>
      </c>
      <c r="M10006" s="22"/>
      <c r="N10006" s="21">
        <v>0</v>
      </c>
      <c r="O10006" s="22"/>
    </row>
    <row r="10007" ht="39">
      <c r="A10007" t="s">
        <v>10131</v>
      </c>
      <c r="B10007" s="19">
        <v>106190</v>
      </c>
      <c r="C10007" s="20" t="s">
        <v>10151</v>
      </c>
      <c r="D10007" s="19" t="s">
        <v>38</v>
      </c>
      <c r="E10007" s="21" t="str">
        <f t="shared" si="467"/>
        <v>VERIFICAR</v>
      </c>
      <c r="F10007" s="22"/>
      <c r="G10007" s="21" t="str">
        <f t="shared" si="468"/>
        <v>VERIFICAR</v>
      </c>
      <c r="H10007" s="22"/>
      <c r="I10007" s="23" t="str">
        <f t="shared" si="469"/>
        <v xml:space="preserve">COM VALOR</v>
      </c>
      <c r="L10007" s="21">
        <v>0</v>
      </c>
      <c r="M10007" s="22"/>
      <c r="N10007" s="21">
        <v>0</v>
      </c>
      <c r="O10007" s="22"/>
    </row>
    <row r="10008" ht="39">
      <c r="A10008" t="s">
        <v>10131</v>
      </c>
      <c r="B10008" s="19">
        <v>106191</v>
      </c>
      <c r="C10008" s="20" t="s">
        <v>10152</v>
      </c>
      <c r="D10008" s="19" t="s">
        <v>38</v>
      </c>
      <c r="E10008" s="21" t="str">
        <f t="shared" si="467"/>
        <v>VERIFICAR</v>
      </c>
      <c r="F10008" s="22"/>
      <c r="G10008" s="21" t="str">
        <f t="shared" si="468"/>
        <v>VERIFICAR</v>
      </c>
      <c r="H10008" s="22"/>
      <c r="I10008" s="23" t="str">
        <f t="shared" si="469"/>
        <v xml:space="preserve">COM VALOR</v>
      </c>
      <c r="L10008" s="21">
        <v>0</v>
      </c>
      <c r="M10008" s="22"/>
      <c r="N10008" s="21">
        <v>0</v>
      </c>
      <c r="O10008" s="22"/>
    </row>
    <row r="10009" ht="39">
      <c r="A10009" t="s">
        <v>10131</v>
      </c>
      <c r="B10009" s="19">
        <v>106192</v>
      </c>
      <c r="C10009" s="20" t="s">
        <v>10153</v>
      </c>
      <c r="D10009" s="19" t="s">
        <v>38</v>
      </c>
      <c r="E10009" s="21" t="str">
        <f t="shared" si="467"/>
        <v>VERIFICAR</v>
      </c>
      <c r="F10009" s="22"/>
      <c r="G10009" s="21" t="str">
        <f t="shared" si="468"/>
        <v>VERIFICAR</v>
      </c>
      <c r="H10009" s="22"/>
      <c r="I10009" s="23" t="str">
        <f t="shared" si="469"/>
        <v xml:space="preserve">COM VALOR</v>
      </c>
      <c r="L10009" s="21">
        <v>0</v>
      </c>
      <c r="M10009" s="22"/>
      <c r="N10009" s="21">
        <v>0</v>
      </c>
      <c r="O10009" s="22"/>
    </row>
    <row r="10010" ht="39">
      <c r="A10010" t="s">
        <v>10131</v>
      </c>
      <c r="B10010" s="19">
        <v>106193</v>
      </c>
      <c r="C10010" s="20" t="s">
        <v>10154</v>
      </c>
      <c r="D10010" s="19" t="s">
        <v>38</v>
      </c>
      <c r="E10010" s="21" t="str">
        <f t="shared" si="467"/>
        <v>VERIFICAR</v>
      </c>
      <c r="F10010" s="22"/>
      <c r="G10010" s="21" t="str">
        <f t="shared" si="468"/>
        <v>VERIFICAR</v>
      </c>
      <c r="H10010" s="22"/>
      <c r="I10010" s="23" t="str">
        <f t="shared" si="469"/>
        <v xml:space="preserve">COM VALOR</v>
      </c>
      <c r="L10010" s="21">
        <v>0</v>
      </c>
      <c r="M10010" s="22"/>
      <c r="N10010" s="21">
        <v>0</v>
      </c>
      <c r="O10010" s="22"/>
    </row>
    <row r="10011" ht="39">
      <c r="A10011" t="s">
        <v>10131</v>
      </c>
      <c r="B10011" s="19">
        <v>106194</v>
      </c>
      <c r="C10011" s="20" t="s">
        <v>10155</v>
      </c>
      <c r="D10011" s="19" t="s">
        <v>38</v>
      </c>
      <c r="E10011" s="21" t="str">
        <f t="shared" si="467"/>
        <v>VERIFICAR</v>
      </c>
      <c r="F10011" s="22"/>
      <c r="G10011" s="21" t="str">
        <f t="shared" si="468"/>
        <v>VERIFICAR</v>
      </c>
      <c r="H10011" s="22"/>
      <c r="I10011" s="23" t="str">
        <f t="shared" si="469"/>
        <v xml:space="preserve">COM VALOR</v>
      </c>
      <c r="L10011" s="21">
        <v>0</v>
      </c>
      <c r="M10011" s="22"/>
      <c r="N10011" s="21">
        <v>0</v>
      </c>
      <c r="O10011" s="22"/>
    </row>
    <row r="10012" ht="39">
      <c r="A10012" t="s">
        <v>10131</v>
      </c>
      <c r="B10012" s="19">
        <v>106195</v>
      </c>
      <c r="C10012" s="20" t="s">
        <v>10156</v>
      </c>
      <c r="D10012" s="19" t="s">
        <v>38</v>
      </c>
      <c r="E10012" s="21" t="str">
        <f t="shared" si="467"/>
        <v>VERIFICAR</v>
      </c>
      <c r="F10012" s="22"/>
      <c r="G10012" s="21" t="str">
        <f t="shared" si="468"/>
        <v>VERIFICAR</v>
      </c>
      <c r="H10012" s="22"/>
      <c r="I10012" s="23" t="str">
        <f t="shared" si="469"/>
        <v xml:space="preserve">COM VALOR</v>
      </c>
      <c r="L10012" s="21">
        <v>0</v>
      </c>
      <c r="M10012" s="22"/>
      <c r="N10012" s="21">
        <v>0</v>
      </c>
      <c r="O10012" s="22"/>
    </row>
    <row r="10013" ht="39">
      <c r="A10013" t="s">
        <v>10131</v>
      </c>
      <c r="B10013" s="19">
        <v>106196</v>
      </c>
      <c r="C10013" s="20" t="s">
        <v>10157</v>
      </c>
      <c r="D10013" s="19" t="s">
        <v>38</v>
      </c>
      <c r="E10013" s="21" t="str">
        <f t="shared" si="467"/>
        <v>VERIFICAR</v>
      </c>
      <c r="F10013" s="22"/>
      <c r="G10013" s="21" t="str">
        <f t="shared" si="468"/>
        <v>VERIFICAR</v>
      </c>
      <c r="H10013" s="22"/>
      <c r="I10013" s="23" t="str">
        <f t="shared" si="469"/>
        <v xml:space="preserve">COM VALOR</v>
      </c>
      <c r="L10013" s="21">
        <v>0</v>
      </c>
      <c r="M10013" s="22"/>
      <c r="N10013" s="21">
        <v>0</v>
      </c>
      <c r="O10013" s="22"/>
    </row>
    <row r="10014" ht="39">
      <c r="A10014" t="s">
        <v>10131</v>
      </c>
      <c r="B10014" s="19">
        <v>106197</v>
      </c>
      <c r="C10014" s="20" t="s">
        <v>10158</v>
      </c>
      <c r="D10014" s="19" t="s">
        <v>38</v>
      </c>
      <c r="E10014" s="21" t="str">
        <f t="shared" si="467"/>
        <v>VERIFICAR</v>
      </c>
      <c r="F10014" s="22"/>
      <c r="G10014" s="21" t="str">
        <f t="shared" si="468"/>
        <v>VERIFICAR</v>
      </c>
      <c r="H10014" s="22"/>
      <c r="I10014" s="23" t="str">
        <f t="shared" si="469"/>
        <v xml:space="preserve">COM VALOR</v>
      </c>
      <c r="L10014" s="21">
        <v>0</v>
      </c>
      <c r="M10014" s="22"/>
      <c r="N10014" s="21">
        <v>0</v>
      </c>
      <c r="O10014" s="22"/>
    </row>
    <row r="10015" ht="39">
      <c r="A10015" t="s">
        <v>10131</v>
      </c>
      <c r="B10015" s="19">
        <v>106200</v>
      </c>
      <c r="C10015" s="20" t="s">
        <v>10159</v>
      </c>
      <c r="D10015" s="19" t="s">
        <v>38</v>
      </c>
      <c r="E10015" s="21" t="str">
        <f t="shared" si="467"/>
        <v>VERIFICAR</v>
      </c>
      <c r="F10015" s="22"/>
      <c r="G10015" s="21" t="str">
        <f t="shared" si="468"/>
        <v>VERIFICAR</v>
      </c>
      <c r="H10015" s="22"/>
      <c r="I10015" s="23" t="str">
        <f t="shared" si="469"/>
        <v xml:space="preserve">COM VALOR</v>
      </c>
      <c r="L10015" s="21">
        <v>0</v>
      </c>
      <c r="M10015" s="22"/>
      <c r="N10015" s="21">
        <v>0</v>
      </c>
      <c r="O10015" s="22"/>
    </row>
    <row r="10016" ht="39">
      <c r="A10016" t="s">
        <v>10131</v>
      </c>
      <c r="B10016" s="19">
        <v>106198</v>
      </c>
      <c r="C10016" s="20" t="s">
        <v>10160</v>
      </c>
      <c r="D10016" s="19" t="s">
        <v>38</v>
      </c>
      <c r="E10016" s="21" t="str">
        <f t="shared" si="467"/>
        <v>VERIFICAR</v>
      </c>
      <c r="F10016" s="22"/>
      <c r="G10016" s="21" t="str">
        <f t="shared" si="468"/>
        <v>VERIFICAR</v>
      </c>
      <c r="H10016" s="22"/>
      <c r="I10016" s="23" t="str">
        <f t="shared" si="469"/>
        <v xml:space="preserve">COM VALOR</v>
      </c>
      <c r="L10016" s="21">
        <v>0</v>
      </c>
      <c r="M10016" s="22"/>
      <c r="N10016" s="21">
        <v>0</v>
      </c>
      <c r="O10016" s="22"/>
    </row>
    <row r="10017" ht="39">
      <c r="A10017" t="s">
        <v>10131</v>
      </c>
      <c r="B10017" s="19">
        <v>106199</v>
      </c>
      <c r="C10017" s="20" t="s">
        <v>10161</v>
      </c>
      <c r="D10017" s="19" t="s">
        <v>38</v>
      </c>
      <c r="E10017" s="21" t="str">
        <f t="shared" si="467"/>
        <v>VERIFICAR</v>
      </c>
      <c r="F10017" s="22"/>
      <c r="G10017" s="21" t="str">
        <f t="shared" si="468"/>
        <v>VERIFICAR</v>
      </c>
      <c r="H10017" s="22"/>
      <c r="I10017" s="23" t="str">
        <f t="shared" si="469"/>
        <v xml:space="preserve">COM VALOR</v>
      </c>
      <c r="L10017" s="21">
        <v>0</v>
      </c>
      <c r="M10017" s="22"/>
      <c r="N10017" s="21">
        <v>0</v>
      </c>
      <c r="O10017" s="22"/>
    </row>
    <row r="10018" ht="39">
      <c r="A10018" t="s">
        <v>10131</v>
      </c>
      <c r="B10018" s="19">
        <v>106201</v>
      </c>
      <c r="C10018" s="20" t="s">
        <v>10162</v>
      </c>
      <c r="D10018" s="19" t="s">
        <v>38</v>
      </c>
      <c r="E10018" s="21" t="str">
        <f t="shared" si="467"/>
        <v>VERIFICAR</v>
      </c>
      <c r="F10018" s="22"/>
      <c r="G10018" s="21" t="str">
        <f t="shared" si="468"/>
        <v>VERIFICAR</v>
      </c>
      <c r="H10018" s="22"/>
      <c r="I10018" s="23" t="str">
        <f t="shared" si="469"/>
        <v xml:space="preserve">COM VALOR</v>
      </c>
      <c r="L10018" s="21">
        <v>0</v>
      </c>
      <c r="M10018" s="22"/>
      <c r="N10018" s="21">
        <v>0</v>
      </c>
      <c r="O10018" s="22"/>
    </row>
    <row r="10019" ht="39">
      <c r="A10019" t="s">
        <v>10131</v>
      </c>
      <c r="B10019" s="19">
        <v>106202</v>
      </c>
      <c r="C10019" s="20" t="s">
        <v>10163</v>
      </c>
      <c r="D10019" s="19" t="s">
        <v>38</v>
      </c>
      <c r="E10019" s="21" t="str">
        <f t="shared" si="467"/>
        <v>VERIFICAR</v>
      </c>
      <c r="F10019" s="22"/>
      <c r="G10019" s="21" t="str">
        <f t="shared" si="468"/>
        <v>VERIFICAR</v>
      </c>
      <c r="H10019" s="22"/>
      <c r="I10019" s="23" t="str">
        <f t="shared" si="469"/>
        <v xml:space="preserve">COM VALOR</v>
      </c>
      <c r="L10019" s="21">
        <v>0</v>
      </c>
      <c r="M10019" s="22"/>
      <c r="N10019" s="21">
        <v>0</v>
      </c>
      <c r="O10019" s="22"/>
    </row>
    <row r="10020" ht="39">
      <c r="A10020" t="s">
        <v>10131</v>
      </c>
      <c r="B10020" s="19">
        <v>106203</v>
      </c>
      <c r="C10020" s="20" t="s">
        <v>10164</v>
      </c>
      <c r="D10020" s="19" t="s">
        <v>38</v>
      </c>
      <c r="E10020" s="21" t="str">
        <f t="shared" si="467"/>
        <v>VERIFICAR</v>
      </c>
      <c r="F10020" s="22"/>
      <c r="G10020" s="21" t="str">
        <f t="shared" si="468"/>
        <v>VERIFICAR</v>
      </c>
      <c r="H10020" s="22"/>
      <c r="I10020" s="23" t="str">
        <f t="shared" si="469"/>
        <v xml:space="preserve">COM VALOR</v>
      </c>
      <c r="L10020" s="21">
        <v>0</v>
      </c>
      <c r="M10020" s="22"/>
      <c r="N10020" s="21">
        <v>0</v>
      </c>
      <c r="O10020" s="22"/>
    </row>
    <row r="10021" ht="39">
      <c r="A10021" t="s">
        <v>10131</v>
      </c>
      <c r="B10021" s="19">
        <v>106204</v>
      </c>
      <c r="C10021" s="20" t="s">
        <v>10165</v>
      </c>
      <c r="D10021" s="19" t="s">
        <v>38</v>
      </c>
      <c r="E10021" s="21" t="str">
        <f t="shared" si="467"/>
        <v>VERIFICAR</v>
      </c>
      <c r="F10021" s="22"/>
      <c r="G10021" s="21" t="str">
        <f t="shared" si="468"/>
        <v>VERIFICAR</v>
      </c>
      <c r="H10021" s="22"/>
      <c r="I10021" s="23" t="str">
        <f t="shared" si="469"/>
        <v xml:space="preserve">COM VALOR</v>
      </c>
      <c r="L10021" s="21">
        <v>0</v>
      </c>
      <c r="M10021" s="22"/>
      <c r="N10021" s="21">
        <v>0</v>
      </c>
      <c r="O10021" s="22"/>
    </row>
    <row r="10022" ht="26.25">
      <c r="A10022" t="s">
        <v>10131</v>
      </c>
      <c r="B10022" s="19">
        <v>106205</v>
      </c>
      <c r="C10022" s="20" t="s">
        <v>10166</v>
      </c>
      <c r="D10022" s="19" t="s">
        <v>121</v>
      </c>
      <c r="E10022" s="21">
        <f t="shared" si="467"/>
        <v>118.86</v>
      </c>
      <c r="F10022" s="22"/>
      <c r="G10022" s="21">
        <f t="shared" si="468"/>
        <v>112.03</v>
      </c>
      <c r="H10022" s="22"/>
      <c r="I10022" s="23" t="str">
        <f t="shared" si="469"/>
        <v xml:space="preserve">COM VALOR</v>
      </c>
      <c r="L10022" s="21">
        <v>118.86</v>
      </c>
      <c r="M10022" s="22">
        <v>0</v>
      </c>
      <c r="N10022" s="21">
        <v>112.03</v>
      </c>
      <c r="O10022" s="22">
        <v>0</v>
      </c>
    </row>
    <row r="10023" ht="26.25">
      <c r="A10023" t="s">
        <v>10131</v>
      </c>
      <c r="B10023" s="19">
        <v>106206</v>
      </c>
      <c r="C10023" s="20" t="s">
        <v>10167</v>
      </c>
      <c r="D10023" s="19" t="s">
        <v>121</v>
      </c>
      <c r="E10023" s="21">
        <f t="shared" si="467"/>
        <v>135.91</v>
      </c>
      <c r="F10023" s="22"/>
      <c r="G10023" s="21">
        <f t="shared" si="468"/>
        <v>128.09999999999999</v>
      </c>
      <c r="H10023" s="22"/>
      <c r="I10023" s="23" t="str">
        <f t="shared" si="469"/>
        <v xml:space="preserve">COM VALOR</v>
      </c>
      <c r="L10023" s="21">
        <v>135.91</v>
      </c>
      <c r="M10023" s="22">
        <v>0</v>
      </c>
      <c r="N10023" s="21">
        <v>128.09999999999999</v>
      </c>
      <c r="O10023" s="22">
        <v>0</v>
      </c>
    </row>
    <row r="10024" ht="26.25">
      <c r="A10024" t="s">
        <v>10131</v>
      </c>
      <c r="B10024" s="19">
        <v>106207</v>
      </c>
      <c r="C10024" s="20" t="s">
        <v>10168</v>
      </c>
      <c r="D10024" s="19" t="s">
        <v>121</v>
      </c>
      <c r="E10024" s="21" t="str">
        <f t="shared" si="467"/>
        <v>VERIFICAR</v>
      </c>
      <c r="F10024" s="22"/>
      <c r="G10024" s="21" t="str">
        <f t="shared" si="468"/>
        <v>VERIFICAR</v>
      </c>
      <c r="H10024" s="22"/>
      <c r="I10024" s="23" t="str">
        <f t="shared" si="469"/>
        <v xml:space="preserve">COM VALOR</v>
      </c>
      <c r="L10024" s="21">
        <v>0</v>
      </c>
      <c r="M10024" s="22"/>
      <c r="N10024" s="21">
        <v>0</v>
      </c>
      <c r="O10024" s="22"/>
    </row>
    <row r="10025" ht="26.25">
      <c r="A10025" t="s">
        <v>10131</v>
      </c>
      <c r="B10025" s="19">
        <v>106208</v>
      </c>
      <c r="C10025" s="20" t="s">
        <v>10169</v>
      </c>
      <c r="D10025" s="19" t="s">
        <v>38</v>
      </c>
      <c r="E10025" s="21" t="str">
        <f t="shared" si="467"/>
        <v>VERIFICAR</v>
      </c>
      <c r="F10025" s="22"/>
      <c r="G10025" s="21" t="str">
        <f t="shared" si="468"/>
        <v>VERIFICAR</v>
      </c>
      <c r="H10025" s="22"/>
      <c r="I10025" s="23" t="str">
        <f t="shared" si="469"/>
        <v xml:space="preserve">COM VALOR</v>
      </c>
      <c r="L10025" s="21">
        <v>0</v>
      </c>
      <c r="M10025" s="22"/>
      <c r="N10025" s="21">
        <v>0</v>
      </c>
      <c r="O10025" s="22"/>
    </row>
    <row r="10026">
      <c r="A10026" t="s">
        <v>10170</v>
      </c>
      <c r="B10026" s="19">
        <v>96393</v>
      </c>
      <c r="C10026" s="20" t="s">
        <v>10171</v>
      </c>
      <c r="D10026" s="19" t="s">
        <v>121</v>
      </c>
      <c r="E10026" s="21">
        <f t="shared" si="467"/>
        <v>162</v>
      </c>
      <c r="F10026" s="22"/>
      <c r="G10026" s="21">
        <f t="shared" si="468"/>
        <v>161.80000000000001</v>
      </c>
      <c r="H10026" s="22"/>
      <c r="I10026" s="23" t="str">
        <f t="shared" si="469"/>
        <v xml:space="preserve">COM VALOR</v>
      </c>
      <c r="L10026" s="21">
        <v>162</v>
      </c>
      <c r="M10026" s="22">
        <v>1.e-002</v>
      </c>
      <c r="N10026" s="21">
        <v>161.80000000000001</v>
      </c>
      <c r="O10026" s="22">
        <v>1.e-002</v>
      </c>
    </row>
    <row r="10027">
      <c r="A10027" t="s">
        <v>10170</v>
      </c>
      <c r="B10027" s="19">
        <v>96394</v>
      </c>
      <c r="C10027" s="20" t="s">
        <v>10172</v>
      </c>
      <c r="D10027" s="19" t="s">
        <v>121</v>
      </c>
      <c r="E10027" s="21">
        <f t="shared" si="467"/>
        <v>231.75999999999999</v>
      </c>
      <c r="F10027" s="22"/>
      <c r="G10027" s="21">
        <f t="shared" si="468"/>
        <v>231.58000000000001</v>
      </c>
      <c r="H10027" s="22"/>
      <c r="I10027" s="23" t="str">
        <f t="shared" si="469"/>
        <v xml:space="preserve">COM VALOR</v>
      </c>
      <c r="L10027" s="21">
        <v>231.75999999999999</v>
      </c>
      <c r="M10027" s="22">
        <v>7.4999999999999997e-003</v>
      </c>
      <c r="N10027" s="21">
        <v>231.58000000000001</v>
      </c>
      <c r="O10027" s="22">
        <v>7.4999999999999997e-003</v>
      </c>
    </row>
    <row r="10028" ht="39">
      <c r="A10028" t="s">
        <v>10170</v>
      </c>
      <c r="B10028" s="19">
        <v>104363</v>
      </c>
      <c r="C10028" s="20" t="s">
        <v>10173</v>
      </c>
      <c r="D10028" s="19" t="s">
        <v>9591</v>
      </c>
      <c r="E10028" s="21" t="str">
        <f t="shared" si="467"/>
        <v>VERIFICAR</v>
      </c>
      <c r="F10028" s="22"/>
      <c r="G10028" s="21" t="str">
        <f t="shared" si="468"/>
        <v>VERIFICAR</v>
      </c>
      <c r="H10028" s="22"/>
      <c r="I10028" s="23" t="str">
        <f t="shared" si="469"/>
        <v xml:space="preserve">COM VALOR</v>
      </c>
      <c r="L10028" s="21">
        <v>0</v>
      </c>
      <c r="M10028" s="22"/>
      <c r="N10028" s="21">
        <v>0</v>
      </c>
      <c r="O10028" s="22"/>
    </row>
    <row r="10029" ht="39">
      <c r="A10029" t="s">
        <v>10170</v>
      </c>
      <c r="B10029" s="19">
        <v>104360</v>
      </c>
      <c r="C10029" s="20" t="s">
        <v>10174</v>
      </c>
      <c r="D10029" s="19" t="s">
        <v>9591</v>
      </c>
      <c r="E10029" s="21" t="str">
        <f t="shared" si="467"/>
        <v>VERIFICAR</v>
      </c>
      <c r="F10029" s="22"/>
      <c r="G10029" s="21" t="str">
        <f t="shared" si="468"/>
        <v>VERIFICAR</v>
      </c>
      <c r="H10029" s="22"/>
      <c r="I10029" s="23" t="str">
        <f t="shared" si="469"/>
        <v xml:space="preserve">COM VALOR</v>
      </c>
      <c r="L10029" s="21">
        <v>0</v>
      </c>
      <c r="M10029" s="22"/>
      <c r="N10029" s="21">
        <v>0</v>
      </c>
      <c r="O10029" s="22"/>
    </row>
    <row r="10030" ht="39">
      <c r="A10030" t="s">
        <v>10170</v>
      </c>
      <c r="B10030" s="19">
        <v>104358</v>
      </c>
      <c r="C10030" s="20" t="s">
        <v>10175</v>
      </c>
      <c r="D10030" s="19" t="s">
        <v>9591</v>
      </c>
      <c r="E10030" s="21" t="str">
        <f t="shared" si="467"/>
        <v>VERIFICAR</v>
      </c>
      <c r="F10030" s="22"/>
      <c r="G10030" s="21" t="str">
        <f t="shared" si="468"/>
        <v>VERIFICAR</v>
      </c>
      <c r="H10030" s="22"/>
      <c r="I10030" s="23" t="str">
        <f t="shared" si="469"/>
        <v xml:space="preserve">COM VALOR</v>
      </c>
      <c r="L10030" s="21">
        <v>0</v>
      </c>
      <c r="M10030" s="22"/>
      <c r="N10030" s="21">
        <v>0</v>
      </c>
      <c r="O10030" s="22"/>
    </row>
    <row r="10031" ht="39">
      <c r="A10031" t="s">
        <v>10170</v>
      </c>
      <c r="B10031" s="19">
        <v>104362</v>
      </c>
      <c r="C10031" s="20" t="s">
        <v>10176</v>
      </c>
      <c r="D10031" s="19" t="s">
        <v>9591</v>
      </c>
      <c r="E10031" s="21" t="str">
        <f t="shared" si="467"/>
        <v>VERIFICAR</v>
      </c>
      <c r="F10031" s="22"/>
      <c r="G10031" s="21" t="str">
        <f t="shared" si="468"/>
        <v>VERIFICAR</v>
      </c>
      <c r="H10031" s="22"/>
      <c r="I10031" s="23" t="str">
        <f t="shared" si="469"/>
        <v xml:space="preserve">COM VALOR</v>
      </c>
      <c r="L10031" s="21">
        <v>0</v>
      </c>
      <c r="M10031" s="22"/>
      <c r="N10031" s="21">
        <v>0</v>
      </c>
      <c r="O10031" s="22"/>
    </row>
    <row r="10032" ht="39">
      <c r="A10032" t="s">
        <v>10170</v>
      </c>
      <c r="B10032" s="19">
        <v>104361</v>
      </c>
      <c r="C10032" s="20" t="s">
        <v>10177</v>
      </c>
      <c r="D10032" s="19" t="s">
        <v>9591</v>
      </c>
      <c r="E10032" s="21" t="str">
        <f t="shared" si="467"/>
        <v>VERIFICAR</v>
      </c>
      <c r="F10032" s="22"/>
      <c r="G10032" s="21" t="str">
        <f t="shared" si="468"/>
        <v>VERIFICAR</v>
      </c>
      <c r="H10032" s="22"/>
      <c r="I10032" s="23" t="str">
        <f t="shared" si="469"/>
        <v xml:space="preserve">COM VALOR</v>
      </c>
      <c r="L10032" s="21">
        <v>0</v>
      </c>
      <c r="M10032" s="22"/>
      <c r="N10032" s="21">
        <v>0</v>
      </c>
      <c r="O10032" s="22"/>
    </row>
    <row r="10033" ht="39">
      <c r="A10033" t="s">
        <v>10170</v>
      </c>
      <c r="B10033" s="19">
        <v>104359</v>
      </c>
      <c r="C10033" s="20" t="s">
        <v>10178</v>
      </c>
      <c r="D10033" s="19" t="s">
        <v>9591</v>
      </c>
      <c r="E10033" s="21" t="str">
        <f t="shared" si="467"/>
        <v>VERIFICAR</v>
      </c>
      <c r="F10033" s="22"/>
      <c r="G10033" s="21" t="str">
        <f t="shared" si="468"/>
        <v>VERIFICAR</v>
      </c>
      <c r="H10033" s="22"/>
      <c r="I10033" s="23" t="str">
        <f t="shared" si="469"/>
        <v xml:space="preserve">COM VALOR</v>
      </c>
      <c r="L10033" s="21">
        <v>0</v>
      </c>
      <c r="M10033" s="22"/>
      <c r="N10033" s="21">
        <v>0</v>
      </c>
      <c r="O10033" s="22"/>
    </row>
    <row r="10034">
      <c r="A10034" t="s">
        <v>10170</v>
      </c>
      <c r="B10034" s="19">
        <v>96395</v>
      </c>
      <c r="C10034" s="20" t="s">
        <v>10179</v>
      </c>
      <c r="D10034" s="19" t="s">
        <v>121</v>
      </c>
      <c r="E10034" s="21">
        <f t="shared" si="467"/>
        <v>328.57999999999998</v>
      </c>
      <c r="F10034" s="22"/>
      <c r="G10034" s="21">
        <f t="shared" si="468"/>
        <v>328.25999999999999</v>
      </c>
      <c r="H10034" s="22"/>
      <c r="I10034" s="23" t="str">
        <f t="shared" si="469"/>
        <v xml:space="preserve">COM VALOR</v>
      </c>
      <c r="L10034" s="21">
        <v>328.57999999999998</v>
      </c>
      <c r="M10034" s="22">
        <v>0</v>
      </c>
      <c r="N10034" s="21">
        <v>328.25999999999999</v>
      </c>
      <c r="O10034" s="22">
        <v>0</v>
      </c>
    </row>
    <row r="10035">
      <c r="A10035" t="s">
        <v>10170</v>
      </c>
      <c r="B10035" s="19">
        <v>106102</v>
      </c>
      <c r="C10035" s="20" t="s">
        <v>10180</v>
      </c>
      <c r="D10035" s="19" t="s">
        <v>9591</v>
      </c>
      <c r="E10035" s="21" t="str">
        <f t="shared" si="467"/>
        <v>VERIFICAR</v>
      </c>
      <c r="F10035" s="22"/>
      <c r="G10035" s="21" t="str">
        <f t="shared" si="468"/>
        <v>VERIFICAR</v>
      </c>
      <c r="H10035" s="22"/>
      <c r="I10035" s="23" t="str">
        <f t="shared" si="469"/>
        <v xml:space="preserve">COM VALOR</v>
      </c>
      <c r="L10035" s="21">
        <v>0</v>
      </c>
      <c r="M10035" s="22"/>
      <c r="N10035" s="21">
        <v>0</v>
      </c>
      <c r="O10035" s="22"/>
    </row>
    <row r="10036">
      <c r="A10036" t="s">
        <v>10170</v>
      </c>
      <c r="B10036" s="19">
        <v>106103</v>
      </c>
      <c r="C10036" s="20" t="s">
        <v>10181</v>
      </c>
      <c r="D10036" s="19" t="s">
        <v>9591</v>
      </c>
      <c r="E10036" s="21" t="str">
        <f t="shared" si="467"/>
        <v>VERIFICAR</v>
      </c>
      <c r="F10036" s="22"/>
      <c r="G10036" s="21" t="str">
        <f t="shared" si="468"/>
        <v>VERIFICAR</v>
      </c>
      <c r="H10036" s="22"/>
      <c r="I10036" s="23" t="str">
        <f t="shared" si="469"/>
        <v xml:space="preserve">COM VALOR</v>
      </c>
      <c r="L10036" s="21">
        <v>0</v>
      </c>
      <c r="M10036" s="22"/>
      <c r="N10036" s="21">
        <v>0</v>
      </c>
      <c r="O10036" s="22"/>
    </row>
    <row r="10037" ht="26.25">
      <c r="A10037" t="s">
        <v>10170</v>
      </c>
      <c r="B10037" s="19">
        <v>104373</v>
      </c>
      <c r="C10037" s="20" t="s">
        <v>10182</v>
      </c>
      <c r="D10037" s="19" t="s">
        <v>9591</v>
      </c>
      <c r="E10037" s="21" t="str">
        <f t="shared" si="467"/>
        <v>VERIFICAR</v>
      </c>
      <c r="F10037" s="22"/>
      <c r="G10037" s="21" t="str">
        <f t="shared" si="468"/>
        <v>VERIFICAR</v>
      </c>
      <c r="H10037" s="22"/>
      <c r="I10037" s="23" t="str">
        <f t="shared" si="469"/>
        <v xml:space="preserve">COM VALOR</v>
      </c>
      <c r="L10037" s="21">
        <v>0</v>
      </c>
      <c r="M10037" s="22"/>
      <c r="N10037" s="21">
        <v>0</v>
      </c>
      <c r="O10037" s="22"/>
    </row>
    <row r="10038" ht="26.25">
      <c r="A10038" t="s">
        <v>10170</v>
      </c>
      <c r="B10038" s="19">
        <v>104374</v>
      </c>
      <c r="C10038" s="20" t="s">
        <v>10183</v>
      </c>
      <c r="D10038" s="19" t="s">
        <v>9591</v>
      </c>
      <c r="E10038" s="21" t="str">
        <f t="shared" si="467"/>
        <v>VERIFICAR</v>
      </c>
      <c r="F10038" s="22"/>
      <c r="G10038" s="21" t="str">
        <f t="shared" si="468"/>
        <v>VERIFICAR</v>
      </c>
      <c r="H10038" s="22"/>
      <c r="I10038" s="23" t="str">
        <f t="shared" si="469"/>
        <v xml:space="preserve">COM VALOR</v>
      </c>
      <c r="L10038" s="21">
        <v>0</v>
      </c>
      <c r="M10038" s="22"/>
      <c r="N10038" s="21">
        <v>0</v>
      </c>
      <c r="O10038" s="22"/>
    </row>
    <row r="10039" ht="26.25">
      <c r="A10039" t="s">
        <v>10170</v>
      </c>
      <c r="B10039" s="19">
        <v>105529</v>
      </c>
      <c r="C10039" s="20" t="s">
        <v>10184</v>
      </c>
      <c r="D10039" s="19" t="s">
        <v>121</v>
      </c>
      <c r="E10039" s="21">
        <f t="shared" si="467"/>
        <v>199.84999999999999</v>
      </c>
      <c r="F10039" s="22"/>
      <c r="G10039" s="21">
        <f t="shared" si="468"/>
        <v>199.66</v>
      </c>
      <c r="H10039" s="22"/>
      <c r="I10039" s="23" t="str">
        <f t="shared" si="469"/>
        <v xml:space="preserve">COM VALOR</v>
      </c>
      <c r="L10039" s="21">
        <v>199.84999999999999</v>
      </c>
      <c r="M10039" s="22">
        <v>1.e-002</v>
      </c>
      <c r="N10039" s="21">
        <v>199.66</v>
      </c>
      <c r="O10039" s="22">
        <v>1.e-002</v>
      </c>
    </row>
    <row r="10040" ht="26.25">
      <c r="A10040" t="s">
        <v>10170</v>
      </c>
      <c r="B10040" s="19">
        <v>105530</v>
      </c>
      <c r="C10040" s="20" t="s">
        <v>10185</v>
      </c>
      <c r="D10040" s="19" t="s">
        <v>121</v>
      </c>
      <c r="E10040" s="21">
        <f t="shared" si="467"/>
        <v>232.16</v>
      </c>
      <c r="F10040" s="22"/>
      <c r="G10040" s="21">
        <f t="shared" si="468"/>
        <v>231.97</v>
      </c>
      <c r="H10040" s="22"/>
      <c r="I10040" s="23" t="str">
        <f t="shared" si="469"/>
        <v xml:space="preserve">COM VALOR</v>
      </c>
      <c r="L10040" s="21">
        <v>232.16</v>
      </c>
      <c r="M10040" s="22">
        <v>7.4999999999999997e-003</v>
      </c>
      <c r="N10040" s="21">
        <v>231.97</v>
      </c>
      <c r="O10040" s="22">
        <v>7.4999999999999997e-003</v>
      </c>
    </row>
    <row r="10041" ht="26.25">
      <c r="A10041" t="s">
        <v>10170</v>
      </c>
      <c r="B10041" s="19">
        <v>105531</v>
      </c>
      <c r="C10041" s="20" t="s">
        <v>10186</v>
      </c>
      <c r="D10041" s="19" t="s">
        <v>121</v>
      </c>
      <c r="E10041" s="21">
        <f t="shared" si="467"/>
        <v>264.45999999999998</v>
      </c>
      <c r="F10041" s="22"/>
      <c r="G10041" s="21">
        <f t="shared" si="468"/>
        <v>264.27999999999997</v>
      </c>
      <c r="H10041" s="22"/>
      <c r="I10041" s="23" t="str">
        <f t="shared" si="469"/>
        <v xml:space="preserve">COM VALOR</v>
      </c>
      <c r="L10041" s="21">
        <v>264.45999999999998</v>
      </c>
      <c r="M10041" s="22">
        <v>1.e-002</v>
      </c>
      <c r="N10041" s="21">
        <v>264.27999999999997</v>
      </c>
      <c r="O10041" s="22">
        <v>1.e-002</v>
      </c>
    </row>
    <row r="10042" ht="26.25">
      <c r="A10042" t="s">
        <v>10170</v>
      </c>
      <c r="B10042" s="19">
        <v>105527</v>
      </c>
      <c r="C10042" s="20" t="s">
        <v>10187</v>
      </c>
      <c r="D10042" s="19" t="s">
        <v>121</v>
      </c>
      <c r="E10042" s="21">
        <f t="shared" si="467"/>
        <v>135.19999999999999</v>
      </c>
      <c r="F10042" s="22"/>
      <c r="G10042" s="21">
        <f t="shared" si="468"/>
        <v>135.00999999999999</v>
      </c>
      <c r="H10042" s="22"/>
      <c r="I10042" s="23" t="str">
        <f t="shared" si="469"/>
        <v xml:space="preserve">COM VALOR</v>
      </c>
      <c r="L10042" s="21">
        <v>135.19999999999999</v>
      </c>
      <c r="M10042" s="22">
        <v>1.e-002</v>
      </c>
      <c r="N10042" s="21">
        <v>135.00999999999999</v>
      </c>
      <c r="O10042" s="22">
        <v>1.e-002</v>
      </c>
    </row>
    <row r="10043" ht="26.25">
      <c r="A10043" t="s">
        <v>10170</v>
      </c>
      <c r="B10043" s="19">
        <v>105532</v>
      </c>
      <c r="C10043" s="20" t="s">
        <v>10188</v>
      </c>
      <c r="D10043" s="19" t="s">
        <v>121</v>
      </c>
      <c r="E10043" s="21">
        <f t="shared" si="467"/>
        <v>179.66999999999999</v>
      </c>
      <c r="F10043" s="22"/>
      <c r="G10043" s="21">
        <f t="shared" si="468"/>
        <v>179.47999999999999</v>
      </c>
      <c r="H10043" s="22"/>
      <c r="I10043" s="23" t="str">
        <f t="shared" si="469"/>
        <v xml:space="preserve">COM VALOR</v>
      </c>
      <c r="L10043" s="21">
        <v>179.66999999999999</v>
      </c>
      <c r="M10043" s="22">
        <v>1.e-002</v>
      </c>
      <c r="N10043" s="21">
        <v>179.47999999999999</v>
      </c>
      <c r="O10043" s="22">
        <v>1.e-002</v>
      </c>
    </row>
    <row r="10044" ht="26.25">
      <c r="A10044" t="s">
        <v>10170</v>
      </c>
      <c r="B10044" s="19">
        <v>105533</v>
      </c>
      <c r="C10044" s="20" t="s">
        <v>10189</v>
      </c>
      <c r="D10044" s="19" t="s">
        <v>121</v>
      </c>
      <c r="E10044" s="21">
        <f t="shared" si="467"/>
        <v>212.40000000000001</v>
      </c>
      <c r="F10044" s="22"/>
      <c r="G10044" s="21">
        <f t="shared" si="468"/>
        <v>212.21000000000001</v>
      </c>
      <c r="H10044" s="22"/>
      <c r="I10044" s="23" t="str">
        <f t="shared" si="469"/>
        <v xml:space="preserve">COM VALOR</v>
      </c>
      <c r="L10044" s="21">
        <v>212.40000000000001</v>
      </c>
      <c r="M10044" s="22">
        <v>1.e-002</v>
      </c>
      <c r="N10044" s="21">
        <v>212.21000000000001</v>
      </c>
      <c r="O10044" s="22">
        <v>1.e-002</v>
      </c>
    </row>
    <row r="10045" ht="26.25">
      <c r="A10045" t="s">
        <v>10170</v>
      </c>
      <c r="B10045" s="19">
        <v>105534</v>
      </c>
      <c r="C10045" s="20" t="s">
        <v>10190</v>
      </c>
      <c r="D10045" s="19" t="s">
        <v>121</v>
      </c>
      <c r="E10045" s="21">
        <f t="shared" si="467"/>
        <v>245.13</v>
      </c>
      <c r="F10045" s="22"/>
      <c r="G10045" s="21">
        <f t="shared" si="468"/>
        <v>244.94999999999999</v>
      </c>
      <c r="H10045" s="22"/>
      <c r="I10045" s="23" t="str">
        <f t="shared" si="469"/>
        <v xml:space="preserve">COM VALOR</v>
      </c>
      <c r="L10045" s="21">
        <v>245.13</v>
      </c>
      <c r="M10045" s="22">
        <v>1.e-002</v>
      </c>
      <c r="N10045" s="21">
        <v>244.94999999999999</v>
      </c>
      <c r="O10045" s="22">
        <v>1.e-002</v>
      </c>
    </row>
    <row r="10046" ht="26.25">
      <c r="A10046" t="s">
        <v>10170</v>
      </c>
      <c r="B10046" s="19">
        <v>105528</v>
      </c>
      <c r="C10046" s="20" t="s">
        <v>10191</v>
      </c>
      <c r="D10046" s="19" t="s">
        <v>121</v>
      </c>
      <c r="E10046" s="21">
        <f t="shared" si="467"/>
        <v>114.19</v>
      </c>
      <c r="F10046" s="22"/>
      <c r="G10046" s="21">
        <f t="shared" si="468"/>
        <v>114</v>
      </c>
      <c r="H10046" s="22"/>
      <c r="I10046" s="23" t="str">
        <f t="shared" si="469"/>
        <v xml:space="preserve">COM VALOR</v>
      </c>
      <c r="L10046" s="21">
        <v>114.19</v>
      </c>
      <c r="M10046" s="22">
        <v>2.e-002</v>
      </c>
      <c r="N10046" s="21">
        <v>114</v>
      </c>
      <c r="O10046" s="22">
        <v>2.e-002</v>
      </c>
    </row>
    <row r="10047">
      <c r="A10047" t="s">
        <v>10170</v>
      </c>
      <c r="B10047" s="19">
        <v>105523</v>
      </c>
      <c r="C10047" s="20" t="s">
        <v>10192</v>
      </c>
      <c r="D10047" s="19" t="s">
        <v>121</v>
      </c>
      <c r="E10047" s="21">
        <f t="shared" si="467"/>
        <v>43.960000000000001</v>
      </c>
      <c r="F10047" s="22"/>
      <c r="G10047" s="21">
        <f t="shared" si="468"/>
        <v>43.780000000000001</v>
      </c>
      <c r="H10047" s="22"/>
      <c r="I10047" s="23" t="str">
        <f t="shared" si="469"/>
        <v xml:space="preserve">COM VALOR</v>
      </c>
      <c r="L10047" s="21">
        <v>43.960000000000001</v>
      </c>
      <c r="M10047" s="22">
        <v>4.0000000000000001e-002</v>
      </c>
      <c r="N10047" s="21">
        <v>43.780000000000001</v>
      </c>
      <c r="O10047" s="22">
        <v>4.0000000000000001e-002</v>
      </c>
    </row>
    <row r="10048">
      <c r="A10048" t="s">
        <v>10170</v>
      </c>
      <c r="B10048" s="19">
        <v>105759</v>
      </c>
      <c r="C10048" s="20" t="s">
        <v>10193</v>
      </c>
      <c r="D10048" s="19" t="s">
        <v>121</v>
      </c>
      <c r="E10048" s="21">
        <f t="shared" si="467"/>
        <v>61.380000000000003</v>
      </c>
      <c r="F10048" s="22"/>
      <c r="G10048" s="21">
        <f t="shared" si="468"/>
        <v>61.189999999999998</v>
      </c>
      <c r="H10048" s="22"/>
      <c r="I10048" s="23" t="str">
        <f t="shared" si="469"/>
        <v xml:space="preserve">COM VALOR</v>
      </c>
      <c r="L10048" s="21">
        <v>61.380000000000003</v>
      </c>
      <c r="M10048" s="22">
        <v>2.9999999999999999e-002</v>
      </c>
      <c r="N10048" s="21">
        <v>61.189999999999998</v>
      </c>
      <c r="O10048" s="22">
        <v>2.9999999999999999e-002</v>
      </c>
    </row>
    <row r="10049">
      <c r="A10049" t="s">
        <v>10170</v>
      </c>
      <c r="B10049" s="19">
        <v>105524</v>
      </c>
      <c r="C10049" s="20" t="s">
        <v>10194</v>
      </c>
      <c r="D10049" s="19" t="s">
        <v>121</v>
      </c>
      <c r="E10049" s="21">
        <f t="shared" si="467"/>
        <v>78.799999999999997</v>
      </c>
      <c r="F10049" s="22"/>
      <c r="G10049" s="21">
        <f t="shared" si="468"/>
        <v>78.609999999999999</v>
      </c>
      <c r="H10049" s="22"/>
      <c r="I10049" s="23" t="str">
        <f t="shared" si="469"/>
        <v xml:space="preserve">COM VALOR</v>
      </c>
      <c r="L10049" s="21">
        <v>78.799999999999997</v>
      </c>
      <c r="M10049" s="22">
        <v>2.e-002</v>
      </c>
      <c r="N10049" s="21">
        <v>78.609999999999999</v>
      </c>
      <c r="O10049" s="22">
        <v>2.e-002</v>
      </c>
    </row>
    <row r="10050">
      <c r="A10050" t="s">
        <v>10170</v>
      </c>
      <c r="B10050" s="19">
        <v>105525</v>
      </c>
      <c r="C10050" s="20" t="s">
        <v>10195</v>
      </c>
      <c r="D10050" s="19" t="s">
        <v>121</v>
      </c>
      <c r="E10050" s="21">
        <f t="shared" si="467"/>
        <v>113.64</v>
      </c>
      <c r="F10050" s="22"/>
      <c r="G10050" s="21">
        <f t="shared" si="468"/>
        <v>113.45</v>
      </c>
      <c r="H10050" s="22"/>
      <c r="I10050" s="23" t="str">
        <f t="shared" si="469"/>
        <v xml:space="preserve">COM VALOR</v>
      </c>
      <c r="L10050" s="21">
        <v>113.64</v>
      </c>
      <c r="M10050" s="22">
        <v>2.e-002</v>
      </c>
      <c r="N10050" s="21">
        <v>113.45</v>
      </c>
      <c r="O10050" s="22">
        <v>2.e-002</v>
      </c>
    </row>
    <row r="10051">
      <c r="A10051" t="s">
        <v>10170</v>
      </c>
      <c r="B10051" s="19">
        <v>105526</v>
      </c>
      <c r="C10051" s="20" t="s">
        <v>10196</v>
      </c>
      <c r="D10051" s="19" t="s">
        <v>121</v>
      </c>
      <c r="E10051" s="21">
        <f t="shared" si="467"/>
        <v>148.47</v>
      </c>
      <c r="F10051" s="22"/>
      <c r="G10051" s="21">
        <f t="shared" si="468"/>
        <v>148.28999999999999</v>
      </c>
      <c r="H10051" s="22"/>
      <c r="I10051" s="23" t="str">
        <f t="shared" si="469"/>
        <v xml:space="preserve">COM VALOR</v>
      </c>
      <c r="L10051" s="21">
        <v>148.47</v>
      </c>
      <c r="M10051" s="22">
        <v>1.e-002</v>
      </c>
      <c r="N10051" s="21">
        <v>148.28999999999999</v>
      </c>
      <c r="O10051" s="22">
        <v>1.e-002</v>
      </c>
    </row>
    <row r="10052" ht="26.25">
      <c r="A10052" t="s">
        <v>10197</v>
      </c>
      <c r="B10052" s="19">
        <v>105034</v>
      </c>
      <c r="C10052" s="20" t="s">
        <v>10198</v>
      </c>
      <c r="D10052" s="19" t="s">
        <v>38</v>
      </c>
      <c r="E10052" s="21">
        <f t="shared" si="467"/>
        <v>42.600000000000001</v>
      </c>
      <c r="F10052" s="22"/>
      <c r="G10052" s="21">
        <f t="shared" si="468"/>
        <v>41.829999999999998</v>
      </c>
      <c r="H10052" s="22"/>
      <c r="I10052" s="23" t="str">
        <f t="shared" si="469"/>
        <v xml:space="preserve">COM VALOR</v>
      </c>
      <c r="L10052" s="21">
        <v>42.600000000000001</v>
      </c>
      <c r="M10052" s="22">
        <v>0</v>
      </c>
      <c r="N10052" s="21">
        <v>41.829999999999998</v>
      </c>
      <c r="O10052" s="22">
        <v>0</v>
      </c>
    </row>
    <row r="10053" ht="26.25">
      <c r="A10053" t="s">
        <v>10197</v>
      </c>
      <c r="B10053" s="19">
        <v>105033</v>
      </c>
      <c r="C10053" s="20" t="s">
        <v>10199</v>
      </c>
      <c r="D10053" s="19" t="s">
        <v>38</v>
      </c>
      <c r="E10053" s="21">
        <f t="shared" si="467"/>
        <v>59.829999999999998</v>
      </c>
      <c r="F10053" s="22"/>
      <c r="G10053" s="21">
        <f t="shared" si="468"/>
        <v>58.740000000000002</v>
      </c>
      <c r="H10053" s="22"/>
      <c r="I10053" s="23" t="str">
        <f t="shared" si="469"/>
        <v xml:space="preserve">COM VALOR</v>
      </c>
      <c r="L10053" s="21">
        <v>59.829999999999998</v>
      </c>
      <c r="M10053" s="22">
        <v>0</v>
      </c>
      <c r="N10053" s="21">
        <v>58.740000000000002</v>
      </c>
      <c r="O10053" s="22">
        <v>0</v>
      </c>
    </row>
    <row r="10054" ht="26.25">
      <c r="A10054" t="s">
        <v>10197</v>
      </c>
      <c r="B10054" s="19">
        <v>93205</v>
      </c>
      <c r="C10054" s="20" t="s">
        <v>10200</v>
      </c>
      <c r="D10054" s="19" t="s">
        <v>38</v>
      </c>
      <c r="E10054" s="21">
        <f t="shared" si="467"/>
        <v>72.180000000000007</v>
      </c>
      <c r="F10054" s="22"/>
      <c r="G10054" s="21">
        <f t="shared" si="468"/>
        <v>70.840000000000003</v>
      </c>
      <c r="H10054" s="22"/>
      <c r="I10054" s="23" t="str">
        <f t="shared" si="469"/>
        <v xml:space="preserve">COM VALOR</v>
      </c>
      <c r="L10054" s="21">
        <v>72.180000000000007</v>
      </c>
      <c r="M10054" s="22">
        <v>0</v>
      </c>
      <c r="N10054" s="21">
        <v>70.840000000000003</v>
      </c>
      <c r="O10054" s="22">
        <v>0</v>
      </c>
    </row>
    <row r="10055" ht="26.25">
      <c r="A10055" t="s">
        <v>10197</v>
      </c>
      <c r="B10055" s="19">
        <v>105032</v>
      </c>
      <c r="C10055" s="20" t="s">
        <v>10201</v>
      </c>
      <c r="D10055" s="19" t="s">
        <v>38</v>
      </c>
      <c r="E10055" s="21">
        <f t="shared" si="467"/>
        <v>33.979999999999997</v>
      </c>
      <c r="F10055" s="22"/>
      <c r="G10055" s="21">
        <f t="shared" si="468"/>
        <v>33.539999999999999</v>
      </c>
      <c r="H10055" s="22"/>
      <c r="I10055" s="23" t="str">
        <f t="shared" si="469"/>
        <v xml:space="preserve">COM VALOR</v>
      </c>
      <c r="L10055" s="21">
        <v>33.979999999999997</v>
      </c>
      <c r="M10055" s="22">
        <v>0</v>
      </c>
      <c r="N10055" s="21">
        <v>33.539999999999999</v>
      </c>
      <c r="O10055" s="22">
        <v>0</v>
      </c>
    </row>
    <row r="10056" ht="26.25">
      <c r="A10056" t="s">
        <v>10197</v>
      </c>
      <c r="B10056" s="19">
        <v>105031</v>
      </c>
      <c r="C10056" s="20" t="s">
        <v>10202</v>
      </c>
      <c r="D10056" s="19" t="s">
        <v>38</v>
      </c>
      <c r="E10056" s="21">
        <f t="shared" si="467"/>
        <v>50.039999999999999</v>
      </c>
      <c r="F10056" s="22"/>
      <c r="G10056" s="21">
        <f t="shared" si="468"/>
        <v>49.359999999999999</v>
      </c>
      <c r="H10056" s="22"/>
      <c r="I10056" s="23" t="str">
        <f t="shared" si="469"/>
        <v xml:space="preserve">COM VALOR</v>
      </c>
      <c r="L10056" s="21">
        <v>50.039999999999999</v>
      </c>
      <c r="M10056" s="22">
        <v>0</v>
      </c>
      <c r="N10056" s="21">
        <v>49.359999999999999</v>
      </c>
      <c r="O10056" s="22">
        <v>0</v>
      </c>
    </row>
    <row r="10057" ht="26.25">
      <c r="A10057" t="s">
        <v>10197</v>
      </c>
      <c r="B10057" s="19">
        <v>93199</v>
      </c>
      <c r="C10057" s="20" t="s">
        <v>10203</v>
      </c>
      <c r="D10057" s="19" t="s">
        <v>38</v>
      </c>
      <c r="E10057" s="21">
        <f t="shared" si="467"/>
        <v>51.93</v>
      </c>
      <c r="F10057" s="22"/>
      <c r="G10057" s="21">
        <f t="shared" si="468"/>
        <v>51.07</v>
      </c>
      <c r="H10057" s="22"/>
      <c r="I10057" s="23" t="str">
        <f t="shared" si="469"/>
        <v xml:space="preserve">COM VALOR</v>
      </c>
      <c r="L10057" s="21">
        <v>51.93</v>
      </c>
      <c r="M10057" s="22">
        <v>0</v>
      </c>
      <c r="N10057" s="21">
        <v>51.07</v>
      </c>
      <c r="O10057" s="22">
        <v>0</v>
      </c>
    </row>
    <row r="10058" ht="26.25">
      <c r="A10058" t="s">
        <v>10197</v>
      </c>
      <c r="B10058" s="19">
        <v>105030</v>
      </c>
      <c r="C10058" s="20" t="s">
        <v>10204</v>
      </c>
      <c r="D10058" s="19" t="s">
        <v>38</v>
      </c>
      <c r="E10058" s="21">
        <f t="shared" si="467"/>
        <v>41.670000000000002</v>
      </c>
      <c r="F10058" s="22"/>
      <c r="G10058" s="21">
        <f t="shared" si="468"/>
        <v>40.890000000000001</v>
      </c>
      <c r="H10058" s="22"/>
      <c r="I10058" s="23" t="str">
        <f t="shared" si="469"/>
        <v xml:space="preserve">COM VALOR</v>
      </c>
      <c r="L10058" s="21">
        <v>41.670000000000002</v>
      </c>
      <c r="M10058" s="22">
        <v>2.9999999999999999e-002</v>
      </c>
      <c r="N10058" s="21">
        <v>40.890000000000001</v>
      </c>
      <c r="O10058" s="22">
        <v>2.9999999999999999e-002</v>
      </c>
    </row>
    <row r="10059" ht="26.25">
      <c r="A10059" t="s">
        <v>10197</v>
      </c>
      <c r="B10059" s="19">
        <v>105029</v>
      </c>
      <c r="C10059" s="20" t="s">
        <v>10205</v>
      </c>
      <c r="D10059" s="19" t="s">
        <v>38</v>
      </c>
      <c r="E10059" s="21">
        <f t="shared" ref="E10059:E10122" si="470">IF(L10059=0,"VERIFICAR",L10059)</f>
        <v>49.460000000000001</v>
      </c>
      <c r="F10059" s="22"/>
      <c r="G10059" s="21">
        <f t="shared" ref="G10059:G10122" si="471">IF(N10059=0,"VERIFICAR",N10059)</f>
        <v>48.490000000000002</v>
      </c>
      <c r="H10059" s="22"/>
      <c r="I10059" s="23" t="str">
        <f t="shared" ref="I10059:I10122" si="472">IF(OR(E10059=0,G10059=0),"SEM VALOR","COM VALOR")</f>
        <v xml:space="preserve">COM VALOR</v>
      </c>
      <c r="L10059" s="21">
        <v>49.460000000000001</v>
      </c>
      <c r="M10059" s="22">
        <v>2.9999999999999999e-002</v>
      </c>
      <c r="N10059" s="21">
        <v>48.490000000000002</v>
      </c>
      <c r="O10059" s="22">
        <v>2.9999999999999999e-002</v>
      </c>
    </row>
    <row r="10060" ht="26.25">
      <c r="A10060" t="s">
        <v>10197</v>
      </c>
      <c r="B10060" s="19">
        <v>93197</v>
      </c>
      <c r="C10060" s="20" t="s">
        <v>10206</v>
      </c>
      <c r="D10060" s="19" t="s">
        <v>38</v>
      </c>
      <c r="E10060" s="21">
        <f t="shared" si="470"/>
        <v>57.289999999999999</v>
      </c>
      <c r="F10060" s="22"/>
      <c r="G10060" s="21">
        <f t="shared" si="471"/>
        <v>56.119999999999997</v>
      </c>
      <c r="H10060" s="22"/>
      <c r="I10060" s="23" t="str">
        <f t="shared" si="472"/>
        <v xml:space="preserve">COM VALOR</v>
      </c>
      <c r="L10060" s="21">
        <v>57.289999999999999</v>
      </c>
      <c r="M10060" s="22">
        <v>2.e-002</v>
      </c>
      <c r="N10060" s="21">
        <v>56.119999999999997</v>
      </c>
      <c r="O10060" s="22">
        <v>2.e-002</v>
      </c>
    </row>
    <row r="10061">
      <c r="A10061" t="s">
        <v>10197</v>
      </c>
      <c r="B10061" s="19">
        <v>105040</v>
      </c>
      <c r="C10061" s="20" t="s">
        <v>10207</v>
      </c>
      <c r="D10061" s="19" t="s">
        <v>38</v>
      </c>
      <c r="E10061" s="21">
        <f t="shared" si="470"/>
        <v>32.170000000000002</v>
      </c>
      <c r="F10061" s="22"/>
      <c r="G10061" s="21">
        <f t="shared" si="471"/>
        <v>30.899999999999999</v>
      </c>
      <c r="H10061" s="22"/>
      <c r="I10061" s="23" t="str">
        <f t="shared" si="472"/>
        <v xml:space="preserve">COM VALOR</v>
      </c>
      <c r="L10061" s="21">
        <v>32.170000000000002</v>
      </c>
      <c r="M10061" s="22">
        <v>1.e-002</v>
      </c>
      <c r="N10061" s="21">
        <v>30.899999999999999</v>
      </c>
      <c r="O10061" s="22">
        <v>1.e-002</v>
      </c>
    </row>
    <row r="10062">
      <c r="A10062" t="s">
        <v>10197</v>
      </c>
      <c r="B10062" s="19">
        <v>105039</v>
      </c>
      <c r="C10062" s="20" t="s">
        <v>10208</v>
      </c>
      <c r="D10062" s="19" t="s">
        <v>38</v>
      </c>
      <c r="E10062" s="21">
        <f t="shared" si="470"/>
        <v>47.520000000000003</v>
      </c>
      <c r="F10062" s="22"/>
      <c r="G10062" s="21">
        <f t="shared" si="471"/>
        <v>45.659999999999997</v>
      </c>
      <c r="H10062" s="22"/>
      <c r="I10062" s="23" t="str">
        <f t="shared" si="472"/>
        <v xml:space="preserve">COM VALOR</v>
      </c>
      <c r="L10062" s="21">
        <v>47.520000000000003</v>
      </c>
      <c r="M10062" s="22">
        <v>1.e-002</v>
      </c>
      <c r="N10062" s="21">
        <v>45.659999999999997</v>
      </c>
      <c r="O10062" s="22">
        <v>1.e-002</v>
      </c>
    </row>
    <row r="10063">
      <c r="A10063" t="s">
        <v>10197</v>
      </c>
      <c r="B10063" s="19">
        <v>105038</v>
      </c>
      <c r="C10063" s="20" t="s">
        <v>10209</v>
      </c>
      <c r="D10063" s="19" t="s">
        <v>38</v>
      </c>
      <c r="E10063" s="21">
        <f t="shared" si="470"/>
        <v>66.019999999999996</v>
      </c>
      <c r="F10063" s="22"/>
      <c r="G10063" s="21">
        <f t="shared" si="471"/>
        <v>63.43</v>
      </c>
      <c r="H10063" s="22"/>
      <c r="I10063" s="23" t="str">
        <f t="shared" si="472"/>
        <v xml:space="preserve">COM VALOR</v>
      </c>
      <c r="L10063" s="21">
        <v>66.019999999999996</v>
      </c>
      <c r="M10063" s="22">
        <v>1.e-002</v>
      </c>
      <c r="N10063" s="21">
        <v>63.43</v>
      </c>
      <c r="O10063" s="22">
        <v>1.e-002</v>
      </c>
    </row>
    <row r="10064">
      <c r="A10064" t="s">
        <v>10197</v>
      </c>
      <c r="B10064" s="19">
        <v>105028</v>
      </c>
      <c r="C10064" s="20" t="s">
        <v>10210</v>
      </c>
      <c r="D10064" s="19" t="s">
        <v>38</v>
      </c>
      <c r="E10064" s="21">
        <f t="shared" si="470"/>
        <v>21.550000000000001</v>
      </c>
      <c r="F10064" s="22"/>
      <c r="G10064" s="21">
        <f t="shared" si="471"/>
        <v>21.219999999999999</v>
      </c>
      <c r="H10064" s="22"/>
      <c r="I10064" s="23" t="str">
        <f t="shared" si="472"/>
        <v xml:space="preserve">COM VALOR</v>
      </c>
      <c r="L10064" s="21">
        <v>21.550000000000001</v>
      </c>
      <c r="M10064" s="22">
        <v>5.9999999999999998e-002</v>
      </c>
      <c r="N10064" s="21">
        <v>21.219999999999999</v>
      </c>
      <c r="O10064" s="22">
        <v>5.9999999999999998e-002</v>
      </c>
    </row>
    <row r="10065">
      <c r="A10065" t="s">
        <v>10197</v>
      </c>
      <c r="B10065" s="19">
        <v>105027</v>
      </c>
      <c r="C10065" s="20" t="s">
        <v>10211</v>
      </c>
      <c r="D10065" s="19" t="s">
        <v>38</v>
      </c>
      <c r="E10065" s="21">
        <f t="shared" si="470"/>
        <v>24.57</v>
      </c>
      <c r="F10065" s="22"/>
      <c r="G10065" s="21">
        <f t="shared" si="471"/>
        <v>24.199999999999999</v>
      </c>
      <c r="H10065" s="22"/>
      <c r="I10065" s="23" t="str">
        <f t="shared" si="472"/>
        <v xml:space="preserve">COM VALOR</v>
      </c>
      <c r="L10065" s="21">
        <v>24.57</v>
      </c>
      <c r="M10065" s="22">
        <v>5.0000000000000003e-002</v>
      </c>
      <c r="N10065" s="21">
        <v>24.199999999999999</v>
      </c>
      <c r="O10065" s="22">
        <v>5.0000000000000003e-002</v>
      </c>
    </row>
    <row r="10066">
      <c r="A10066" t="s">
        <v>10197</v>
      </c>
      <c r="B10066" s="19">
        <v>93194</v>
      </c>
      <c r="C10066" s="20" t="s">
        <v>10212</v>
      </c>
      <c r="D10066" s="19" t="s">
        <v>38</v>
      </c>
      <c r="E10066" s="21">
        <f t="shared" si="470"/>
        <v>28</v>
      </c>
      <c r="F10066" s="22"/>
      <c r="G10066" s="21">
        <f t="shared" si="471"/>
        <v>27.579999999999998</v>
      </c>
      <c r="H10066" s="22"/>
      <c r="I10066" s="23" t="str">
        <f t="shared" si="472"/>
        <v xml:space="preserve">COM VALOR</v>
      </c>
      <c r="L10066" s="21">
        <v>28</v>
      </c>
      <c r="M10066" s="22">
        <v>5.0000000000000003e-002</v>
      </c>
      <c r="N10066" s="21">
        <v>27.579999999999998</v>
      </c>
      <c r="O10066" s="22">
        <v>5.0000000000000003e-002</v>
      </c>
    </row>
    <row r="10067" ht="26.25">
      <c r="A10067" t="s">
        <v>10197</v>
      </c>
      <c r="B10067" s="19">
        <v>93200</v>
      </c>
      <c r="C10067" s="20" t="s">
        <v>10213</v>
      </c>
      <c r="D10067" s="19" t="s">
        <v>38</v>
      </c>
      <c r="E10067" s="21">
        <f t="shared" si="470"/>
        <v>11.82</v>
      </c>
      <c r="F10067" s="22"/>
      <c r="G10067" s="21">
        <f t="shared" si="471"/>
        <v>11.24</v>
      </c>
      <c r="H10067" s="22"/>
      <c r="I10067" s="23" t="str">
        <f t="shared" si="472"/>
        <v xml:space="preserve">COM VALOR</v>
      </c>
      <c r="L10067" s="21">
        <v>11.82</v>
      </c>
      <c r="M10067" s="22">
        <v>0</v>
      </c>
      <c r="N10067" s="21">
        <v>11.24</v>
      </c>
      <c r="O10067" s="22">
        <v>0</v>
      </c>
    </row>
    <row r="10068" ht="26.25">
      <c r="A10068" t="s">
        <v>10197</v>
      </c>
      <c r="B10068" s="19">
        <v>93203</v>
      </c>
      <c r="C10068" s="20" t="s">
        <v>10214</v>
      </c>
      <c r="D10068" s="19" t="s">
        <v>38</v>
      </c>
      <c r="E10068" s="21">
        <f t="shared" si="470"/>
        <v>13.9</v>
      </c>
      <c r="F10068" s="22"/>
      <c r="G10068" s="21">
        <f t="shared" si="471"/>
        <v>13.800000000000001</v>
      </c>
      <c r="H10068" s="22"/>
      <c r="I10068" s="23" t="str">
        <f t="shared" si="472"/>
        <v xml:space="preserve">COM VALOR</v>
      </c>
      <c r="L10068" s="21">
        <v>13.9</v>
      </c>
      <c r="M10068" s="22">
        <v>0</v>
      </c>
      <c r="N10068" s="21">
        <v>13.800000000000001</v>
      </c>
      <c r="O10068" s="22">
        <v>0</v>
      </c>
    </row>
    <row r="10069" ht="26.25">
      <c r="A10069" t="s">
        <v>10197</v>
      </c>
      <c r="B10069" s="19">
        <v>93202</v>
      </c>
      <c r="C10069" s="20" t="s">
        <v>10215</v>
      </c>
      <c r="D10069" s="19" t="s">
        <v>38</v>
      </c>
      <c r="E10069" s="21">
        <f t="shared" si="470"/>
        <v>28.989999999999998</v>
      </c>
      <c r="F10069" s="22"/>
      <c r="G10069" s="21">
        <f t="shared" si="471"/>
        <v>27.920000000000002</v>
      </c>
      <c r="H10069" s="22"/>
      <c r="I10069" s="23" t="str">
        <f t="shared" si="472"/>
        <v xml:space="preserve">COM VALOR</v>
      </c>
      <c r="L10069" s="21">
        <v>28.989999999999998</v>
      </c>
      <c r="M10069" s="22">
        <v>0</v>
      </c>
      <c r="N10069" s="21">
        <v>27.920000000000002</v>
      </c>
      <c r="O10069" s="22">
        <v>0</v>
      </c>
    </row>
    <row r="10070" ht="26.25">
      <c r="A10070" t="s">
        <v>10197</v>
      </c>
      <c r="B10070" s="19">
        <v>105026</v>
      </c>
      <c r="C10070" s="20" t="s">
        <v>10216</v>
      </c>
      <c r="D10070" s="19" t="s">
        <v>38</v>
      </c>
      <c r="E10070" s="21">
        <f t="shared" si="470"/>
        <v>42.950000000000003</v>
      </c>
      <c r="F10070" s="22"/>
      <c r="G10070" s="21">
        <f t="shared" si="471"/>
        <v>42.280000000000001</v>
      </c>
      <c r="H10070" s="22"/>
      <c r="I10070" s="23" t="str">
        <f t="shared" si="472"/>
        <v xml:space="preserve">COM VALOR</v>
      </c>
      <c r="L10070" s="21">
        <v>42.950000000000003</v>
      </c>
      <c r="M10070" s="22">
        <v>0</v>
      </c>
      <c r="N10070" s="21">
        <v>42.280000000000001</v>
      </c>
      <c r="O10070" s="22">
        <v>0</v>
      </c>
    </row>
    <row r="10071" ht="26.25">
      <c r="A10071" t="s">
        <v>10197</v>
      </c>
      <c r="B10071" s="19">
        <v>105025</v>
      </c>
      <c r="C10071" s="20" t="s">
        <v>10217</v>
      </c>
      <c r="D10071" s="19" t="s">
        <v>38</v>
      </c>
      <c r="E10071" s="21">
        <f t="shared" si="470"/>
        <v>60.979999999999997</v>
      </c>
      <c r="F10071" s="22"/>
      <c r="G10071" s="21">
        <f t="shared" si="471"/>
        <v>59.950000000000003</v>
      </c>
      <c r="H10071" s="22"/>
      <c r="I10071" s="23" t="str">
        <f t="shared" si="472"/>
        <v xml:space="preserve">COM VALOR</v>
      </c>
      <c r="L10071" s="21">
        <v>60.979999999999997</v>
      </c>
      <c r="M10071" s="22">
        <v>0</v>
      </c>
      <c r="N10071" s="21">
        <v>59.950000000000003</v>
      </c>
      <c r="O10071" s="22">
        <v>0</v>
      </c>
    </row>
    <row r="10072" ht="26.25">
      <c r="A10072" t="s">
        <v>10197</v>
      </c>
      <c r="B10072" s="19">
        <v>93191</v>
      </c>
      <c r="C10072" s="20" t="s">
        <v>10218</v>
      </c>
      <c r="D10072" s="19" t="s">
        <v>38</v>
      </c>
      <c r="E10072" s="21">
        <f t="shared" si="470"/>
        <v>73.739999999999995</v>
      </c>
      <c r="F10072" s="22"/>
      <c r="G10072" s="21">
        <f t="shared" si="471"/>
        <v>72.450000000000003</v>
      </c>
      <c r="H10072" s="22"/>
      <c r="I10072" s="23" t="str">
        <f t="shared" si="472"/>
        <v xml:space="preserve">COM VALOR</v>
      </c>
      <c r="L10072" s="21">
        <v>73.739999999999995</v>
      </c>
      <c r="M10072" s="22">
        <v>0</v>
      </c>
      <c r="N10072" s="21">
        <v>72.450000000000003</v>
      </c>
      <c r="O10072" s="22">
        <v>0</v>
      </c>
    </row>
    <row r="10073" ht="26.25">
      <c r="A10073" t="s">
        <v>10197</v>
      </c>
      <c r="B10073" s="19">
        <v>105024</v>
      </c>
      <c r="C10073" s="20" t="s">
        <v>10219</v>
      </c>
      <c r="D10073" s="19" t="s">
        <v>38</v>
      </c>
      <c r="E10073" s="21">
        <f t="shared" si="470"/>
        <v>53.390000000000001</v>
      </c>
      <c r="F10073" s="22"/>
      <c r="G10073" s="21">
        <f t="shared" si="471"/>
        <v>52.18</v>
      </c>
      <c r="H10073" s="22"/>
      <c r="I10073" s="23" t="str">
        <f t="shared" si="472"/>
        <v xml:space="preserve">COM VALOR</v>
      </c>
      <c r="L10073" s="21">
        <v>53.390000000000001</v>
      </c>
      <c r="M10073" s="22">
        <v>2.e-002</v>
      </c>
      <c r="N10073" s="21">
        <v>52.18</v>
      </c>
      <c r="O10073" s="22">
        <v>2.9999999999999999e-002</v>
      </c>
    </row>
    <row r="10074" ht="26.25">
      <c r="A10074" t="s">
        <v>10197</v>
      </c>
      <c r="B10074" s="19">
        <v>105023</v>
      </c>
      <c r="C10074" s="20" t="s">
        <v>10220</v>
      </c>
      <c r="D10074" s="19" t="s">
        <v>38</v>
      </c>
      <c r="E10074" s="21">
        <f t="shared" si="470"/>
        <v>65.049999999999997</v>
      </c>
      <c r="F10074" s="22"/>
      <c r="G10074" s="21">
        <f t="shared" si="471"/>
        <v>63.490000000000002</v>
      </c>
      <c r="H10074" s="22"/>
      <c r="I10074" s="23" t="str">
        <f t="shared" si="472"/>
        <v xml:space="preserve">COM VALOR</v>
      </c>
      <c r="L10074" s="21">
        <v>65.049999999999997</v>
      </c>
      <c r="M10074" s="22">
        <v>2.e-002</v>
      </c>
      <c r="N10074" s="21">
        <v>63.490000000000002</v>
      </c>
      <c r="O10074" s="22">
        <v>2.e-002</v>
      </c>
    </row>
    <row r="10075" ht="26.25">
      <c r="A10075" t="s">
        <v>10197</v>
      </c>
      <c r="B10075" s="19">
        <v>93187</v>
      </c>
      <c r="C10075" s="20" t="s">
        <v>10221</v>
      </c>
      <c r="D10075" s="19" t="s">
        <v>38</v>
      </c>
      <c r="E10075" s="21">
        <f t="shared" si="470"/>
        <v>76.680000000000007</v>
      </c>
      <c r="F10075" s="22"/>
      <c r="G10075" s="21">
        <f t="shared" si="471"/>
        <v>74.799999999999997</v>
      </c>
      <c r="H10075" s="22"/>
      <c r="I10075" s="23" t="str">
        <f t="shared" si="472"/>
        <v xml:space="preserve">COM VALOR</v>
      </c>
      <c r="L10075" s="21">
        <v>76.680000000000007</v>
      </c>
      <c r="M10075" s="22">
        <v>2.e-002</v>
      </c>
      <c r="N10075" s="21">
        <v>74.799999999999997</v>
      </c>
      <c r="O10075" s="22">
        <v>2.e-002</v>
      </c>
    </row>
    <row r="10076" ht="26.25">
      <c r="A10076" t="s">
        <v>10197</v>
      </c>
      <c r="B10076" s="19">
        <v>105037</v>
      </c>
      <c r="C10076" s="20" t="s">
        <v>10222</v>
      </c>
      <c r="D10076" s="19" t="s">
        <v>38</v>
      </c>
      <c r="E10076" s="21">
        <f t="shared" si="470"/>
        <v>32.32</v>
      </c>
      <c r="F10076" s="22"/>
      <c r="G10076" s="21">
        <f t="shared" si="471"/>
        <v>31.059999999999999</v>
      </c>
      <c r="H10076" s="22"/>
      <c r="I10076" s="23" t="str">
        <f t="shared" si="472"/>
        <v xml:space="preserve">COM VALOR</v>
      </c>
      <c r="L10076" s="21">
        <v>32.32</v>
      </c>
      <c r="M10076" s="22">
        <v>1.e-002</v>
      </c>
      <c r="N10076" s="21">
        <v>31.059999999999999</v>
      </c>
      <c r="O10076" s="22">
        <v>1.e-002</v>
      </c>
    </row>
    <row r="10077" ht="26.25">
      <c r="A10077" t="s">
        <v>10197</v>
      </c>
      <c r="B10077" s="19">
        <v>105036</v>
      </c>
      <c r="C10077" s="20" t="s">
        <v>10223</v>
      </c>
      <c r="D10077" s="19" t="s">
        <v>38</v>
      </c>
      <c r="E10077" s="21">
        <f t="shared" si="470"/>
        <v>47.719999999999999</v>
      </c>
      <c r="F10077" s="22"/>
      <c r="G10077" s="21">
        <f t="shared" si="471"/>
        <v>45.850000000000001</v>
      </c>
      <c r="H10077" s="22"/>
      <c r="I10077" s="23" t="str">
        <f t="shared" si="472"/>
        <v xml:space="preserve">COM VALOR</v>
      </c>
      <c r="L10077" s="21">
        <v>47.719999999999999</v>
      </c>
      <c r="M10077" s="22">
        <v>1.e-002</v>
      </c>
      <c r="N10077" s="21">
        <v>45.850000000000001</v>
      </c>
      <c r="O10077" s="22">
        <v>1.e-002</v>
      </c>
    </row>
    <row r="10078" ht="26.25">
      <c r="A10078" t="s">
        <v>10197</v>
      </c>
      <c r="B10078" s="19">
        <v>105035</v>
      </c>
      <c r="C10078" s="20" t="s">
        <v>10224</v>
      </c>
      <c r="D10078" s="19" t="s">
        <v>38</v>
      </c>
      <c r="E10078" s="21">
        <f t="shared" si="470"/>
        <v>66.200000000000003</v>
      </c>
      <c r="F10078" s="22"/>
      <c r="G10078" s="21">
        <f t="shared" si="471"/>
        <v>63.600000000000001</v>
      </c>
      <c r="H10078" s="22"/>
      <c r="I10078" s="23" t="str">
        <f t="shared" si="472"/>
        <v xml:space="preserve">COM VALOR</v>
      </c>
      <c r="L10078" s="21">
        <v>66.200000000000003</v>
      </c>
      <c r="M10078" s="22">
        <v>1.e-002</v>
      </c>
      <c r="N10078" s="21">
        <v>63.600000000000001</v>
      </c>
      <c r="O10078" s="22">
        <v>1.e-002</v>
      </c>
    </row>
    <row r="10079" ht="26.25">
      <c r="A10079" t="s">
        <v>10197</v>
      </c>
      <c r="B10079" s="19">
        <v>105022</v>
      </c>
      <c r="C10079" s="20" t="s">
        <v>10225</v>
      </c>
      <c r="D10079" s="19" t="s">
        <v>38</v>
      </c>
      <c r="E10079" s="21">
        <f t="shared" si="470"/>
        <v>21.890000000000001</v>
      </c>
      <c r="F10079" s="22"/>
      <c r="G10079" s="21">
        <f t="shared" si="471"/>
        <v>21.550000000000001</v>
      </c>
      <c r="H10079" s="22"/>
      <c r="I10079" s="23" t="str">
        <f t="shared" si="472"/>
        <v xml:space="preserve">COM VALOR</v>
      </c>
      <c r="L10079" s="21">
        <v>21.890000000000001</v>
      </c>
      <c r="M10079" s="22">
        <v>5.9999999999999998e-002</v>
      </c>
      <c r="N10079" s="21">
        <v>21.550000000000001</v>
      </c>
      <c r="O10079" s="22">
        <v>5.9999999999999998e-002</v>
      </c>
    </row>
    <row r="10080" ht="26.25">
      <c r="A10080" t="s">
        <v>10197</v>
      </c>
      <c r="B10080" s="19">
        <v>105021</v>
      </c>
      <c r="C10080" s="20" t="s">
        <v>10226</v>
      </c>
      <c r="D10080" s="19" t="s">
        <v>38</v>
      </c>
      <c r="E10080" s="21">
        <f t="shared" si="470"/>
        <v>24.949999999999999</v>
      </c>
      <c r="F10080" s="22"/>
      <c r="G10080" s="21">
        <f t="shared" si="471"/>
        <v>24.559999999999999</v>
      </c>
      <c r="H10080" s="22"/>
      <c r="I10080" s="23" t="str">
        <f t="shared" si="472"/>
        <v xml:space="preserve">COM VALOR</v>
      </c>
      <c r="L10080" s="21">
        <v>24.949999999999999</v>
      </c>
      <c r="M10080" s="22">
        <v>5.0000000000000003e-002</v>
      </c>
      <c r="N10080" s="21">
        <v>24.559999999999999</v>
      </c>
      <c r="O10080" s="22">
        <v>5.0000000000000003e-002</v>
      </c>
    </row>
    <row r="10081" ht="26.25">
      <c r="A10081" t="s">
        <v>10197</v>
      </c>
      <c r="B10081" s="19">
        <v>93184</v>
      </c>
      <c r="C10081" s="20" t="s">
        <v>10227</v>
      </c>
      <c r="D10081" s="19" t="s">
        <v>38</v>
      </c>
      <c r="E10081" s="21">
        <f t="shared" si="470"/>
        <v>28.760000000000002</v>
      </c>
      <c r="F10081" s="22"/>
      <c r="G10081" s="21">
        <f t="shared" si="471"/>
        <v>28.32</v>
      </c>
      <c r="H10081" s="22"/>
      <c r="I10081" s="23" t="str">
        <f t="shared" si="472"/>
        <v xml:space="preserve">COM VALOR</v>
      </c>
      <c r="L10081" s="21">
        <v>28.760000000000002</v>
      </c>
      <c r="M10081" s="22">
        <v>5.0000000000000003e-002</v>
      </c>
      <c r="N10081" s="21">
        <v>28.32</v>
      </c>
      <c r="O10081" s="22">
        <v>5.0000000000000003e-002</v>
      </c>
    </row>
    <row r="10082" ht="39">
      <c r="A10082" t="s">
        <v>10228</v>
      </c>
      <c r="B10082" s="19">
        <v>106317</v>
      </c>
      <c r="C10082" s="20" t="s">
        <v>10229</v>
      </c>
      <c r="D10082" s="19" t="s">
        <v>29</v>
      </c>
      <c r="E10082" s="21" t="str">
        <f t="shared" si="470"/>
        <v>VERIFICAR</v>
      </c>
      <c r="F10082" s="22"/>
      <c r="G10082" s="21" t="str">
        <f t="shared" si="471"/>
        <v>VERIFICAR</v>
      </c>
      <c r="H10082" s="22"/>
      <c r="I10082" s="23" t="str">
        <f t="shared" si="472"/>
        <v xml:space="preserve">COM VALOR</v>
      </c>
      <c r="L10082" s="21">
        <v>0</v>
      </c>
      <c r="M10082" s="22"/>
      <c r="N10082" s="21">
        <v>0</v>
      </c>
      <c r="O10082" s="22"/>
    </row>
    <row r="10083" ht="39">
      <c r="A10083" t="s">
        <v>10228</v>
      </c>
      <c r="B10083" s="19">
        <v>102237</v>
      </c>
      <c r="C10083" s="20" t="s">
        <v>10230</v>
      </c>
      <c r="D10083" s="19" t="s">
        <v>29</v>
      </c>
      <c r="E10083" s="21" t="str">
        <f t="shared" si="470"/>
        <v>VERIFICAR</v>
      </c>
      <c r="F10083" s="22"/>
      <c r="G10083" s="21" t="str">
        <f t="shared" si="471"/>
        <v>VERIFICAR</v>
      </c>
      <c r="H10083" s="22"/>
      <c r="I10083" s="23" t="str">
        <f t="shared" si="472"/>
        <v xml:space="preserve">COM VALOR</v>
      </c>
      <c r="L10083" s="21">
        <v>0</v>
      </c>
      <c r="M10083" s="22"/>
      <c r="N10083" s="21">
        <v>0</v>
      </c>
      <c r="O10083" s="22"/>
    </row>
    <row r="10084" ht="39">
      <c r="A10084" t="s">
        <v>10228</v>
      </c>
      <c r="B10084" s="19">
        <v>102149</v>
      </c>
      <c r="C10084" s="20" t="s">
        <v>10231</v>
      </c>
      <c r="D10084" s="19" t="s">
        <v>29</v>
      </c>
      <c r="E10084" s="21" t="str">
        <f t="shared" si="470"/>
        <v>VERIFICAR</v>
      </c>
      <c r="F10084" s="22"/>
      <c r="G10084" s="21" t="str">
        <f t="shared" si="471"/>
        <v>VERIFICAR</v>
      </c>
      <c r="H10084" s="22"/>
      <c r="I10084" s="23" t="str">
        <f t="shared" si="472"/>
        <v xml:space="preserve">COM VALOR</v>
      </c>
      <c r="L10084" s="21">
        <v>0</v>
      </c>
      <c r="M10084" s="22"/>
      <c r="N10084" s="21">
        <v>0</v>
      </c>
      <c r="O10084" s="22"/>
    </row>
    <row r="10085" ht="39">
      <c r="A10085" t="s">
        <v>10228</v>
      </c>
      <c r="B10085" s="19">
        <v>102144</v>
      </c>
      <c r="C10085" s="20" t="s">
        <v>10232</v>
      </c>
      <c r="D10085" s="19" t="s">
        <v>29</v>
      </c>
      <c r="E10085" s="21" t="str">
        <f t="shared" si="470"/>
        <v>VERIFICAR</v>
      </c>
      <c r="F10085" s="22"/>
      <c r="G10085" s="21" t="str">
        <f t="shared" si="471"/>
        <v>VERIFICAR</v>
      </c>
      <c r="H10085" s="22"/>
      <c r="I10085" s="23" t="str">
        <f t="shared" si="472"/>
        <v xml:space="preserve">COM VALOR</v>
      </c>
      <c r="L10085" s="21">
        <v>0</v>
      </c>
      <c r="M10085" s="22"/>
      <c r="N10085" s="21">
        <v>0</v>
      </c>
      <c r="O10085" s="22"/>
    </row>
    <row r="10086" ht="39">
      <c r="A10086" t="s">
        <v>10228</v>
      </c>
      <c r="B10086" s="19">
        <v>102150</v>
      </c>
      <c r="C10086" s="20" t="s">
        <v>10233</v>
      </c>
      <c r="D10086" s="19" t="s">
        <v>29</v>
      </c>
      <c r="E10086" s="21" t="str">
        <f t="shared" si="470"/>
        <v>VERIFICAR</v>
      </c>
      <c r="F10086" s="22"/>
      <c r="G10086" s="21" t="str">
        <f t="shared" si="471"/>
        <v>VERIFICAR</v>
      </c>
      <c r="H10086" s="22"/>
      <c r="I10086" s="23" t="str">
        <f t="shared" si="472"/>
        <v xml:space="preserve">COM VALOR</v>
      </c>
      <c r="L10086" s="21">
        <v>0</v>
      </c>
      <c r="M10086" s="22"/>
      <c r="N10086" s="21">
        <v>0</v>
      </c>
      <c r="O10086" s="22"/>
    </row>
    <row r="10087" ht="39">
      <c r="A10087" t="s">
        <v>10228</v>
      </c>
      <c r="B10087" s="19">
        <v>102145</v>
      </c>
      <c r="C10087" s="20" t="s">
        <v>10234</v>
      </c>
      <c r="D10087" s="19" t="s">
        <v>29</v>
      </c>
      <c r="E10087" s="21" t="str">
        <f t="shared" si="470"/>
        <v>VERIFICAR</v>
      </c>
      <c r="F10087" s="22"/>
      <c r="G10087" s="21" t="str">
        <f t="shared" si="471"/>
        <v>VERIFICAR</v>
      </c>
      <c r="H10087" s="22"/>
      <c r="I10087" s="23" t="str">
        <f t="shared" si="472"/>
        <v xml:space="preserve">COM VALOR</v>
      </c>
      <c r="L10087" s="21">
        <v>0</v>
      </c>
      <c r="M10087" s="22"/>
      <c r="N10087" s="21">
        <v>0</v>
      </c>
      <c r="O10087" s="22"/>
    </row>
    <row r="10088" ht="26.25">
      <c r="A10088" t="s">
        <v>10228</v>
      </c>
      <c r="B10088" s="19">
        <v>102146</v>
      </c>
      <c r="C10088" s="20" t="s">
        <v>10235</v>
      </c>
      <c r="D10088" s="19" t="s">
        <v>29</v>
      </c>
      <c r="E10088" s="21" t="str">
        <f t="shared" si="470"/>
        <v>VERIFICAR</v>
      </c>
      <c r="F10088" s="22"/>
      <c r="G10088" s="21" t="str">
        <f t="shared" si="471"/>
        <v>VERIFICAR</v>
      </c>
      <c r="H10088" s="22"/>
      <c r="I10088" s="23" t="str">
        <f t="shared" si="472"/>
        <v xml:space="preserve">COM VALOR</v>
      </c>
      <c r="L10088" s="21">
        <v>0</v>
      </c>
      <c r="M10088" s="22"/>
      <c r="N10088" s="21">
        <v>0</v>
      </c>
      <c r="O10088" s="22"/>
    </row>
    <row r="10089" ht="26.25">
      <c r="A10089" t="s">
        <v>10228</v>
      </c>
      <c r="B10089" s="19">
        <v>102147</v>
      </c>
      <c r="C10089" s="20" t="s">
        <v>10236</v>
      </c>
      <c r="D10089" s="19" t="s">
        <v>29</v>
      </c>
      <c r="E10089" s="21" t="str">
        <f t="shared" si="470"/>
        <v>VERIFICAR</v>
      </c>
      <c r="F10089" s="22"/>
      <c r="G10089" s="21" t="str">
        <f t="shared" si="471"/>
        <v>VERIFICAR</v>
      </c>
      <c r="H10089" s="22"/>
      <c r="I10089" s="23" t="str">
        <f t="shared" si="472"/>
        <v xml:space="preserve">COM VALOR</v>
      </c>
      <c r="L10089" s="21">
        <v>0</v>
      </c>
      <c r="M10089" s="22"/>
      <c r="N10089" s="21">
        <v>0</v>
      </c>
      <c r="O10089" s="22"/>
    </row>
    <row r="10090" ht="39">
      <c r="A10090" t="s">
        <v>10228</v>
      </c>
      <c r="B10090" s="19">
        <v>102148</v>
      </c>
      <c r="C10090" s="20" t="s">
        <v>10237</v>
      </c>
      <c r="D10090" s="19" t="s">
        <v>29</v>
      </c>
      <c r="E10090" s="21" t="str">
        <f t="shared" si="470"/>
        <v>VERIFICAR</v>
      </c>
      <c r="F10090" s="22"/>
      <c r="G10090" s="21" t="str">
        <f t="shared" si="471"/>
        <v>VERIFICAR</v>
      </c>
      <c r="H10090" s="22"/>
      <c r="I10090" s="23" t="str">
        <f t="shared" si="472"/>
        <v xml:space="preserve">COM VALOR</v>
      </c>
      <c r="L10090" s="21">
        <v>0</v>
      </c>
      <c r="M10090" s="22"/>
      <c r="N10090" s="21">
        <v>0</v>
      </c>
      <c r="O10090" s="22"/>
    </row>
    <row r="10091" ht="26.25">
      <c r="A10091" t="s">
        <v>10228</v>
      </c>
      <c r="B10091" s="19">
        <v>102171</v>
      </c>
      <c r="C10091" s="20" t="s">
        <v>10238</v>
      </c>
      <c r="D10091" s="19" t="s">
        <v>29</v>
      </c>
      <c r="E10091" s="21">
        <f t="shared" si="470"/>
        <v>533.36000000000001</v>
      </c>
      <c r="F10091" s="22"/>
      <c r="G10091" s="21">
        <f t="shared" si="471"/>
        <v>532.02999999999997</v>
      </c>
      <c r="H10091" s="22"/>
      <c r="I10091" s="23" t="str">
        <f t="shared" si="472"/>
        <v xml:space="preserve">COM VALOR</v>
      </c>
      <c r="L10091" s="21">
        <v>533.36000000000001</v>
      </c>
      <c r="M10091" s="22">
        <v>0.14999999999999999</v>
      </c>
      <c r="N10091" s="21">
        <v>532.02999999999997</v>
      </c>
      <c r="O10091" s="22">
        <v>0.14999999999999999</v>
      </c>
    </row>
    <row r="10092" ht="26.25">
      <c r="A10092" t="s">
        <v>10228</v>
      </c>
      <c r="B10092" s="19">
        <v>102172</v>
      </c>
      <c r="C10092" s="20" t="s">
        <v>10239</v>
      </c>
      <c r="D10092" s="19" t="s">
        <v>29</v>
      </c>
      <c r="E10092" s="21">
        <f t="shared" si="470"/>
        <v>519.73000000000002</v>
      </c>
      <c r="F10092" s="22"/>
      <c r="G10092" s="21">
        <f t="shared" si="471"/>
        <v>518.71000000000004</v>
      </c>
      <c r="H10092" s="22"/>
      <c r="I10092" s="23" t="str">
        <f t="shared" si="472"/>
        <v xml:space="preserve">COM VALOR</v>
      </c>
      <c r="L10092" s="21">
        <v>519.73000000000002</v>
      </c>
      <c r="M10092" s="22">
        <v>0.12</v>
      </c>
      <c r="N10092" s="21">
        <v>518.71000000000004</v>
      </c>
      <c r="O10092" s="22">
        <v>0.12</v>
      </c>
    </row>
    <row r="10093" ht="26.25">
      <c r="A10093" t="s">
        <v>10228</v>
      </c>
      <c r="B10093" s="19">
        <v>102170</v>
      </c>
      <c r="C10093" s="20" t="s">
        <v>10240</v>
      </c>
      <c r="D10093" s="19" t="s">
        <v>29</v>
      </c>
      <c r="E10093" s="21">
        <f t="shared" si="470"/>
        <v>285.85000000000002</v>
      </c>
      <c r="F10093" s="22"/>
      <c r="G10093" s="21">
        <f t="shared" si="471"/>
        <v>284.20999999999998</v>
      </c>
      <c r="H10093" s="22"/>
      <c r="I10093" s="23" t="str">
        <f t="shared" si="472"/>
        <v xml:space="preserve">COM VALOR</v>
      </c>
      <c r="L10093" s="21">
        <v>285.85000000000002</v>
      </c>
      <c r="M10093" s="22">
        <v>0.34999999999999998</v>
      </c>
      <c r="N10093" s="21">
        <v>284.20999999999998</v>
      </c>
      <c r="O10093" s="22">
        <v>0.34999999999999998</v>
      </c>
    </row>
    <row r="10094" ht="26.25">
      <c r="A10094" t="s">
        <v>10228</v>
      </c>
      <c r="B10094" s="19">
        <v>102160</v>
      </c>
      <c r="C10094" s="20" t="s">
        <v>10241</v>
      </c>
      <c r="D10094" s="19" t="s">
        <v>29</v>
      </c>
      <c r="E10094" s="21">
        <f t="shared" si="470"/>
        <v>178.91999999999999</v>
      </c>
      <c r="F10094" s="22"/>
      <c r="G10094" s="21">
        <f t="shared" si="471"/>
        <v>177.40000000000001</v>
      </c>
      <c r="H10094" s="22"/>
      <c r="I10094" s="23" t="str">
        <f t="shared" si="472"/>
        <v xml:space="preserve">COM VALOR</v>
      </c>
      <c r="L10094" s="21">
        <v>178.91999999999999</v>
      </c>
      <c r="M10094" s="22">
        <v>0</v>
      </c>
      <c r="N10094" s="21">
        <v>177.40000000000001</v>
      </c>
      <c r="O10094" s="22">
        <v>0</v>
      </c>
    </row>
    <row r="10095" ht="26.25">
      <c r="A10095" t="s">
        <v>10228</v>
      </c>
      <c r="B10095" s="19">
        <v>106315</v>
      </c>
      <c r="C10095" s="20" t="s">
        <v>10242</v>
      </c>
      <c r="D10095" s="19" t="s">
        <v>29</v>
      </c>
      <c r="E10095" s="21" t="str">
        <f t="shared" si="470"/>
        <v>VERIFICAR</v>
      </c>
      <c r="F10095" s="22"/>
      <c r="G10095" s="21" t="str">
        <f t="shared" si="471"/>
        <v>VERIFICAR</v>
      </c>
      <c r="H10095" s="22"/>
      <c r="I10095" s="23" t="str">
        <f t="shared" si="472"/>
        <v xml:space="preserve">COM VALOR</v>
      </c>
      <c r="L10095" s="21">
        <v>0</v>
      </c>
      <c r="M10095" s="22"/>
      <c r="N10095" s="21">
        <v>0</v>
      </c>
      <c r="O10095" s="22"/>
    </row>
    <row r="10096" ht="26.25">
      <c r="A10096" t="s">
        <v>10228</v>
      </c>
      <c r="B10096" s="19">
        <v>102174</v>
      </c>
      <c r="C10096" s="20" t="s">
        <v>10243</v>
      </c>
      <c r="D10096" s="19" t="s">
        <v>29</v>
      </c>
      <c r="E10096" s="21" t="str">
        <f t="shared" si="470"/>
        <v>VERIFICAR</v>
      </c>
      <c r="F10096" s="22"/>
      <c r="G10096" s="21" t="str">
        <f t="shared" si="471"/>
        <v>VERIFICAR</v>
      </c>
      <c r="H10096" s="22"/>
      <c r="I10096" s="23" t="str">
        <f t="shared" si="472"/>
        <v xml:space="preserve">COM VALOR</v>
      </c>
      <c r="L10096" s="21">
        <v>0</v>
      </c>
      <c r="M10096" s="22"/>
      <c r="N10096" s="21">
        <v>0</v>
      </c>
      <c r="O10096" s="22"/>
    </row>
    <row r="10097" ht="26.25">
      <c r="A10097" t="s">
        <v>10228</v>
      </c>
      <c r="B10097" s="19">
        <v>106316</v>
      </c>
      <c r="C10097" s="20" t="s">
        <v>10244</v>
      </c>
      <c r="D10097" s="19" t="s">
        <v>29</v>
      </c>
      <c r="E10097" s="21" t="str">
        <f t="shared" si="470"/>
        <v>VERIFICAR</v>
      </c>
      <c r="F10097" s="22"/>
      <c r="G10097" s="21" t="str">
        <f t="shared" si="471"/>
        <v>VERIFICAR</v>
      </c>
      <c r="H10097" s="22"/>
      <c r="I10097" s="23" t="str">
        <f t="shared" si="472"/>
        <v xml:space="preserve">COM VALOR</v>
      </c>
      <c r="L10097" s="21">
        <v>0</v>
      </c>
      <c r="M10097" s="22"/>
      <c r="N10097" s="21">
        <v>0</v>
      </c>
      <c r="O10097" s="22"/>
    </row>
    <row r="10098" ht="26.25">
      <c r="A10098" t="s">
        <v>10228</v>
      </c>
      <c r="B10098" s="19">
        <v>102175</v>
      </c>
      <c r="C10098" s="20" t="s">
        <v>10245</v>
      </c>
      <c r="D10098" s="19" t="s">
        <v>29</v>
      </c>
      <c r="E10098" s="21" t="str">
        <f t="shared" si="470"/>
        <v>VERIFICAR</v>
      </c>
      <c r="F10098" s="22"/>
      <c r="G10098" s="21" t="str">
        <f t="shared" si="471"/>
        <v>VERIFICAR</v>
      </c>
      <c r="H10098" s="22"/>
      <c r="I10098" s="23" t="str">
        <f t="shared" si="472"/>
        <v xml:space="preserve">COM VALOR</v>
      </c>
      <c r="L10098" s="21">
        <v>0</v>
      </c>
      <c r="M10098" s="22"/>
      <c r="N10098" s="21">
        <v>0</v>
      </c>
      <c r="O10098" s="22"/>
    </row>
    <row r="10099" ht="26.25">
      <c r="A10099" t="s">
        <v>10228</v>
      </c>
      <c r="B10099" s="19">
        <v>106314</v>
      </c>
      <c r="C10099" s="20" t="s">
        <v>10246</v>
      </c>
      <c r="D10099" s="19" t="s">
        <v>29</v>
      </c>
      <c r="E10099" s="21" t="str">
        <f t="shared" si="470"/>
        <v>VERIFICAR</v>
      </c>
      <c r="F10099" s="22"/>
      <c r="G10099" s="21" t="str">
        <f t="shared" si="471"/>
        <v>VERIFICAR</v>
      </c>
      <c r="H10099" s="22"/>
      <c r="I10099" s="23" t="str">
        <f t="shared" si="472"/>
        <v xml:space="preserve">COM VALOR</v>
      </c>
      <c r="L10099" s="21">
        <v>0</v>
      </c>
      <c r="M10099" s="22"/>
      <c r="N10099" s="21">
        <v>0</v>
      </c>
      <c r="O10099" s="22"/>
    </row>
    <row r="10100" ht="26.25">
      <c r="A10100" t="s">
        <v>10228</v>
      </c>
      <c r="B10100" s="19">
        <v>102173</v>
      </c>
      <c r="C10100" s="20" t="s">
        <v>10247</v>
      </c>
      <c r="D10100" s="19" t="s">
        <v>29</v>
      </c>
      <c r="E10100" s="21" t="str">
        <f t="shared" si="470"/>
        <v>VERIFICAR</v>
      </c>
      <c r="F10100" s="22"/>
      <c r="G10100" s="21" t="str">
        <f t="shared" si="471"/>
        <v>VERIFICAR</v>
      </c>
      <c r="H10100" s="22"/>
      <c r="I10100" s="23" t="str">
        <f t="shared" si="472"/>
        <v xml:space="preserve">COM VALOR</v>
      </c>
      <c r="L10100" s="21">
        <v>0</v>
      </c>
      <c r="M10100" s="22"/>
      <c r="N10100" s="21">
        <v>0</v>
      </c>
      <c r="O10100" s="22"/>
    </row>
    <row r="10101" ht="26.25">
      <c r="A10101" t="s">
        <v>10228</v>
      </c>
      <c r="B10101" s="19">
        <v>102163</v>
      </c>
      <c r="C10101" s="20" t="s">
        <v>10248</v>
      </c>
      <c r="D10101" s="19" t="s">
        <v>29</v>
      </c>
      <c r="E10101" s="21">
        <f t="shared" si="470"/>
        <v>368.35000000000002</v>
      </c>
      <c r="F10101" s="22"/>
      <c r="G10101" s="21">
        <f t="shared" si="471"/>
        <v>366.70999999999998</v>
      </c>
      <c r="H10101" s="22"/>
      <c r="I10101" s="23" t="str">
        <f t="shared" si="472"/>
        <v xml:space="preserve">COM VALOR</v>
      </c>
      <c r="L10101" s="21">
        <v>368.35000000000002</v>
      </c>
      <c r="M10101" s="22">
        <v>0.27000000000000002</v>
      </c>
      <c r="N10101" s="21">
        <v>366.70999999999998</v>
      </c>
      <c r="O10101" s="22">
        <v>0.27000000000000002</v>
      </c>
    </row>
    <row r="10102" ht="26.25">
      <c r="A10102" t="s">
        <v>10228</v>
      </c>
      <c r="B10102" s="19">
        <v>102153</v>
      </c>
      <c r="C10102" s="20" t="s">
        <v>10249</v>
      </c>
      <c r="D10102" s="19" t="s">
        <v>29</v>
      </c>
      <c r="E10102" s="21">
        <f t="shared" si="470"/>
        <v>261.42000000000002</v>
      </c>
      <c r="F10102" s="22"/>
      <c r="G10102" s="21">
        <f t="shared" si="471"/>
        <v>259.89999999999998</v>
      </c>
      <c r="H10102" s="22"/>
      <c r="I10102" s="23" t="str">
        <f t="shared" si="472"/>
        <v xml:space="preserve">COM VALOR</v>
      </c>
      <c r="L10102" s="21">
        <v>261.42000000000002</v>
      </c>
      <c r="M10102" s="22">
        <v>0</v>
      </c>
      <c r="N10102" s="21">
        <v>259.89999999999998</v>
      </c>
      <c r="O10102" s="22">
        <v>0</v>
      </c>
    </row>
    <row r="10103" ht="26.25">
      <c r="A10103" t="s">
        <v>10228</v>
      </c>
      <c r="B10103" s="19">
        <v>102165</v>
      </c>
      <c r="C10103" s="20" t="s">
        <v>10250</v>
      </c>
      <c r="D10103" s="19" t="s">
        <v>29</v>
      </c>
      <c r="E10103" s="21">
        <f t="shared" si="470"/>
        <v>358.33999999999997</v>
      </c>
      <c r="F10103" s="22"/>
      <c r="G10103" s="21">
        <f t="shared" si="471"/>
        <v>357.00999999999999</v>
      </c>
      <c r="H10103" s="22"/>
      <c r="I10103" s="23" t="str">
        <f t="shared" si="472"/>
        <v xml:space="preserve">COM VALOR</v>
      </c>
      <c r="L10103" s="21">
        <v>358.33999999999997</v>
      </c>
      <c r="M10103" s="22">
        <v>0.22750000000000001</v>
      </c>
      <c r="N10103" s="21">
        <v>357.00999999999999</v>
      </c>
      <c r="O10103" s="22">
        <v>0.23000000000000001</v>
      </c>
    </row>
    <row r="10104" ht="26.25">
      <c r="A10104" t="s">
        <v>10228</v>
      </c>
      <c r="B10104" s="19">
        <v>102155</v>
      </c>
      <c r="C10104" s="20" t="s">
        <v>10251</v>
      </c>
      <c r="D10104" s="19" t="s">
        <v>29</v>
      </c>
      <c r="E10104" s="21">
        <f t="shared" si="470"/>
        <v>270.81</v>
      </c>
      <c r="F10104" s="22"/>
      <c r="G10104" s="21">
        <f t="shared" si="471"/>
        <v>269.58999999999997</v>
      </c>
      <c r="H10104" s="22"/>
      <c r="I10104" s="23" t="str">
        <f t="shared" si="472"/>
        <v xml:space="preserve">COM VALOR</v>
      </c>
      <c r="L10104" s="21">
        <v>270.81</v>
      </c>
      <c r="M10104" s="22">
        <v>0</v>
      </c>
      <c r="N10104" s="21">
        <v>269.58999999999997</v>
      </c>
      <c r="O10104" s="22">
        <v>0</v>
      </c>
    </row>
    <row r="10105" ht="26.25">
      <c r="A10105" t="s">
        <v>10228</v>
      </c>
      <c r="B10105" s="19">
        <v>102167</v>
      </c>
      <c r="C10105" s="20" t="s">
        <v>10252</v>
      </c>
      <c r="D10105" s="19" t="s">
        <v>29</v>
      </c>
      <c r="E10105" s="21">
        <f t="shared" si="470"/>
        <v>423.49000000000001</v>
      </c>
      <c r="F10105" s="22"/>
      <c r="G10105" s="21">
        <f t="shared" si="471"/>
        <v>422.47000000000003</v>
      </c>
      <c r="H10105" s="22"/>
      <c r="I10105" s="23" t="str">
        <f t="shared" si="472"/>
        <v xml:space="preserve">COM VALOR</v>
      </c>
      <c r="L10105" s="21">
        <v>423.49000000000001</v>
      </c>
      <c r="M10105" s="22">
        <v>0.14999999999999999</v>
      </c>
      <c r="N10105" s="21">
        <v>422.47000000000003</v>
      </c>
      <c r="O10105" s="22">
        <v>0.14999999999999999</v>
      </c>
    </row>
    <row r="10106" ht="26.25">
      <c r="A10106" t="s">
        <v>10228</v>
      </c>
      <c r="B10106" s="19">
        <v>102157</v>
      </c>
      <c r="C10106" s="20" t="s">
        <v>10253</v>
      </c>
      <c r="D10106" s="19" t="s">
        <v>29</v>
      </c>
      <c r="E10106" s="21">
        <f t="shared" si="470"/>
        <v>355.56999999999999</v>
      </c>
      <c r="F10106" s="22"/>
      <c r="G10106" s="21">
        <f t="shared" si="471"/>
        <v>354.63</v>
      </c>
      <c r="H10106" s="22"/>
      <c r="I10106" s="23" t="str">
        <f t="shared" si="472"/>
        <v xml:space="preserve">COM VALOR</v>
      </c>
      <c r="L10106" s="21">
        <v>355.56999999999999</v>
      </c>
      <c r="M10106" s="22">
        <v>0</v>
      </c>
      <c r="N10106" s="21">
        <v>354.63</v>
      </c>
      <c r="O10106" s="22">
        <v>0</v>
      </c>
    </row>
    <row r="10107" ht="26.25">
      <c r="A10107" t="s">
        <v>10228</v>
      </c>
      <c r="B10107" s="19">
        <v>102169</v>
      </c>
      <c r="C10107" s="20" t="s">
        <v>10254</v>
      </c>
      <c r="D10107" s="19" t="s">
        <v>29</v>
      </c>
      <c r="E10107" s="21">
        <f t="shared" si="470"/>
        <v>472.88</v>
      </c>
      <c r="F10107" s="22"/>
      <c r="G10107" s="21">
        <f t="shared" si="471"/>
        <v>472.22000000000003</v>
      </c>
      <c r="H10107" s="22"/>
      <c r="I10107" s="23" t="str">
        <f t="shared" si="472"/>
        <v xml:space="preserve">COM VALOR</v>
      </c>
      <c r="L10107" s="21">
        <v>472.88</v>
      </c>
      <c r="M10107" s="22">
        <v>8.9999999999999997e-002</v>
      </c>
      <c r="N10107" s="21">
        <v>472.22000000000003</v>
      </c>
      <c r="O10107" s="22">
        <v>8.9999999999999997e-002</v>
      </c>
    </row>
    <row r="10108" ht="26.25">
      <c r="A10108" t="s">
        <v>10228</v>
      </c>
      <c r="B10108" s="19">
        <v>102159</v>
      </c>
      <c r="C10108" s="20" t="s">
        <v>10255</v>
      </c>
      <c r="D10108" s="19" t="s">
        <v>29</v>
      </c>
      <c r="E10108" s="21">
        <f t="shared" si="470"/>
        <v>429.10000000000002</v>
      </c>
      <c r="F10108" s="22"/>
      <c r="G10108" s="21">
        <f t="shared" si="471"/>
        <v>428.48000000000002</v>
      </c>
      <c r="H10108" s="22"/>
      <c r="I10108" s="23" t="str">
        <f t="shared" si="472"/>
        <v xml:space="preserve">COM VALOR</v>
      </c>
      <c r="L10108" s="21">
        <v>429.10000000000002</v>
      </c>
      <c r="M10108" s="22">
        <v>0</v>
      </c>
      <c r="N10108" s="21">
        <v>428.48000000000002</v>
      </c>
      <c r="O10108" s="22">
        <v>0</v>
      </c>
    </row>
    <row r="10109" ht="26.25">
      <c r="A10109" t="s">
        <v>10228</v>
      </c>
      <c r="B10109" s="19">
        <v>102161</v>
      </c>
      <c r="C10109" s="20" t="s">
        <v>10256</v>
      </c>
      <c r="D10109" s="19" t="s">
        <v>29</v>
      </c>
      <c r="E10109" s="21">
        <f t="shared" si="470"/>
        <v>292.73000000000002</v>
      </c>
      <c r="F10109" s="22"/>
      <c r="G10109" s="21">
        <f t="shared" si="471"/>
        <v>291.08999999999997</v>
      </c>
      <c r="H10109" s="22"/>
      <c r="I10109" s="23" t="str">
        <f t="shared" si="472"/>
        <v xml:space="preserve">COM VALOR</v>
      </c>
      <c r="L10109" s="21">
        <v>292.73000000000002</v>
      </c>
      <c r="M10109" s="22">
        <v>0.34000000000000002</v>
      </c>
      <c r="N10109" s="21">
        <v>291.08999999999997</v>
      </c>
      <c r="O10109" s="22">
        <v>0.34000000000000002</v>
      </c>
    </row>
    <row r="10110" ht="26.25">
      <c r="A10110" t="s">
        <v>10228</v>
      </c>
      <c r="B10110" s="19">
        <v>102151</v>
      </c>
      <c r="C10110" s="20" t="s">
        <v>10257</v>
      </c>
      <c r="D10110" s="19" t="s">
        <v>29</v>
      </c>
      <c r="E10110" s="21">
        <f t="shared" si="470"/>
        <v>185.80000000000001</v>
      </c>
      <c r="F10110" s="22"/>
      <c r="G10110" s="21">
        <f t="shared" si="471"/>
        <v>184.28</v>
      </c>
      <c r="H10110" s="22"/>
      <c r="I10110" s="23" t="str">
        <f t="shared" si="472"/>
        <v xml:space="preserve">COM VALOR</v>
      </c>
      <c r="L10110" s="21">
        <v>185.80000000000001</v>
      </c>
      <c r="M10110" s="22">
        <v>0</v>
      </c>
      <c r="N10110" s="21">
        <v>184.28</v>
      </c>
      <c r="O10110" s="22">
        <v>0</v>
      </c>
    </row>
    <row r="10111" ht="26.25">
      <c r="A10111" t="s">
        <v>10228</v>
      </c>
      <c r="B10111" s="19">
        <v>102162</v>
      </c>
      <c r="C10111" s="20" t="s">
        <v>10258</v>
      </c>
      <c r="D10111" s="19" t="s">
        <v>29</v>
      </c>
      <c r="E10111" s="21">
        <f t="shared" si="470"/>
        <v>313.36000000000001</v>
      </c>
      <c r="F10111" s="22"/>
      <c r="G10111" s="21">
        <f t="shared" si="471"/>
        <v>311.72000000000003</v>
      </c>
      <c r="H10111" s="22"/>
      <c r="I10111" s="23" t="str">
        <f t="shared" si="472"/>
        <v xml:space="preserve">COM VALOR</v>
      </c>
      <c r="L10111" s="21">
        <v>313.36000000000001</v>
      </c>
      <c r="M10111" s="22">
        <v>0.32000000000000001</v>
      </c>
      <c r="N10111" s="21">
        <v>311.72000000000003</v>
      </c>
      <c r="O10111" s="22">
        <v>0.32000000000000001</v>
      </c>
    </row>
    <row r="10112" ht="26.25">
      <c r="A10112" t="s">
        <v>10228</v>
      </c>
      <c r="B10112" s="19">
        <v>102152</v>
      </c>
      <c r="C10112" s="20" t="s">
        <v>10259</v>
      </c>
      <c r="D10112" s="19" t="s">
        <v>29</v>
      </c>
      <c r="E10112" s="21">
        <f t="shared" si="470"/>
        <v>206.43000000000001</v>
      </c>
      <c r="F10112" s="22"/>
      <c r="G10112" s="21">
        <f t="shared" si="471"/>
        <v>204.91</v>
      </c>
      <c r="H10112" s="22"/>
      <c r="I10112" s="23" t="str">
        <f t="shared" si="472"/>
        <v xml:space="preserve">COM VALOR</v>
      </c>
      <c r="L10112" s="21">
        <v>206.43000000000001</v>
      </c>
      <c r="M10112" s="22">
        <v>0</v>
      </c>
      <c r="N10112" s="21">
        <v>204.91</v>
      </c>
      <c r="O10112" s="22">
        <v>0</v>
      </c>
    </row>
    <row r="10113" ht="26.25">
      <c r="A10113" t="s">
        <v>10228</v>
      </c>
      <c r="B10113" s="19">
        <v>102164</v>
      </c>
      <c r="C10113" s="20" t="s">
        <v>10260</v>
      </c>
      <c r="D10113" s="19" t="s">
        <v>29</v>
      </c>
      <c r="E10113" s="21">
        <f t="shared" si="470"/>
        <v>313.36000000000001</v>
      </c>
      <c r="F10113" s="22"/>
      <c r="G10113" s="21">
        <f t="shared" si="471"/>
        <v>312.02999999999997</v>
      </c>
      <c r="H10113" s="22"/>
      <c r="I10113" s="23" t="str">
        <f t="shared" si="472"/>
        <v xml:space="preserve">COM VALOR</v>
      </c>
      <c r="L10113" s="21">
        <v>313.36000000000001</v>
      </c>
      <c r="M10113" s="22">
        <v>0.26000000000000001</v>
      </c>
      <c r="N10113" s="21">
        <v>312.02999999999997</v>
      </c>
      <c r="O10113" s="22">
        <v>0.26000000000000001</v>
      </c>
    </row>
    <row r="10114" ht="26.25">
      <c r="A10114" t="s">
        <v>10228</v>
      </c>
      <c r="B10114" s="19">
        <v>102154</v>
      </c>
      <c r="C10114" s="20" t="s">
        <v>10261</v>
      </c>
      <c r="D10114" s="19" t="s">
        <v>29</v>
      </c>
      <c r="E10114" s="21">
        <f t="shared" si="470"/>
        <v>225.83000000000001</v>
      </c>
      <c r="F10114" s="22"/>
      <c r="G10114" s="21">
        <f t="shared" si="471"/>
        <v>224.61000000000001</v>
      </c>
      <c r="H10114" s="22"/>
      <c r="I10114" s="23" t="str">
        <f t="shared" si="472"/>
        <v xml:space="preserve">COM VALOR</v>
      </c>
      <c r="L10114" s="21">
        <v>225.83000000000001</v>
      </c>
      <c r="M10114" s="22">
        <v>0</v>
      </c>
      <c r="N10114" s="21">
        <v>224.61000000000001</v>
      </c>
      <c r="O10114" s="22">
        <v>0</v>
      </c>
    </row>
    <row r="10115" ht="26.25">
      <c r="A10115" t="s">
        <v>10228</v>
      </c>
      <c r="B10115" s="19">
        <v>102166</v>
      </c>
      <c r="C10115" s="20" t="s">
        <v>10262</v>
      </c>
      <c r="D10115" s="19" t="s">
        <v>29</v>
      </c>
      <c r="E10115" s="21">
        <f t="shared" si="470"/>
        <v>327.24000000000001</v>
      </c>
      <c r="F10115" s="22"/>
      <c r="G10115" s="21">
        <f t="shared" si="471"/>
        <v>326.22000000000003</v>
      </c>
      <c r="H10115" s="22"/>
      <c r="I10115" s="23" t="str">
        <f t="shared" si="472"/>
        <v xml:space="preserve">COM VALOR</v>
      </c>
      <c r="L10115" s="21">
        <v>327.24000000000001</v>
      </c>
      <c r="M10115" s="22">
        <v>0.19</v>
      </c>
      <c r="N10115" s="21">
        <v>326.22000000000003</v>
      </c>
      <c r="O10115" s="22">
        <v>0.19</v>
      </c>
    </row>
    <row r="10116" ht="26.25">
      <c r="A10116" t="s">
        <v>10228</v>
      </c>
      <c r="B10116" s="19">
        <v>102156</v>
      </c>
      <c r="C10116" s="20" t="s">
        <v>10263</v>
      </c>
      <c r="D10116" s="19" t="s">
        <v>29</v>
      </c>
      <c r="E10116" s="21">
        <f t="shared" si="470"/>
        <v>259.31999999999999</v>
      </c>
      <c r="F10116" s="22"/>
      <c r="G10116" s="21">
        <f t="shared" si="471"/>
        <v>258.38</v>
      </c>
      <c r="H10116" s="22"/>
      <c r="I10116" s="23" t="str">
        <f t="shared" si="472"/>
        <v xml:space="preserve">COM VALOR</v>
      </c>
      <c r="L10116" s="21">
        <v>259.31999999999999</v>
      </c>
      <c r="M10116" s="22">
        <v>0</v>
      </c>
      <c r="N10116" s="21">
        <v>258.38</v>
      </c>
      <c r="O10116" s="22">
        <v>0</v>
      </c>
    </row>
    <row r="10117" ht="26.25">
      <c r="A10117" t="s">
        <v>10228</v>
      </c>
      <c r="B10117" s="19">
        <v>102168</v>
      </c>
      <c r="C10117" s="20" t="s">
        <v>10264</v>
      </c>
      <c r="D10117" s="19" t="s">
        <v>29</v>
      </c>
      <c r="E10117" s="21">
        <f t="shared" si="470"/>
        <v>410.29000000000002</v>
      </c>
      <c r="F10117" s="22"/>
      <c r="G10117" s="21">
        <f t="shared" si="471"/>
        <v>409.52999999999997</v>
      </c>
      <c r="H10117" s="22"/>
      <c r="I10117" s="23" t="str">
        <f t="shared" si="472"/>
        <v xml:space="preserve">COM VALOR</v>
      </c>
      <c r="L10117" s="21">
        <v>410.29000000000002</v>
      </c>
      <c r="M10117" s="22">
        <v>0.11</v>
      </c>
      <c r="N10117" s="21">
        <v>409.52999999999997</v>
      </c>
      <c r="O10117" s="22">
        <v>0.11</v>
      </c>
    </row>
    <row r="10118" ht="26.25">
      <c r="A10118" t="s">
        <v>10228</v>
      </c>
      <c r="B10118" s="19">
        <v>102158</v>
      </c>
      <c r="C10118" s="20" t="s">
        <v>10265</v>
      </c>
      <c r="D10118" s="19" t="s">
        <v>29</v>
      </c>
      <c r="E10118" s="21">
        <f t="shared" si="470"/>
        <v>359.97000000000003</v>
      </c>
      <c r="F10118" s="22"/>
      <c r="G10118" s="21">
        <f t="shared" si="471"/>
        <v>359.26999999999998</v>
      </c>
      <c r="H10118" s="22"/>
      <c r="I10118" s="23" t="str">
        <f t="shared" si="472"/>
        <v xml:space="preserve">COM VALOR</v>
      </c>
      <c r="L10118" s="21">
        <v>359.97000000000003</v>
      </c>
      <c r="M10118" s="22">
        <v>0</v>
      </c>
      <c r="N10118" s="21">
        <v>359.26999999999998</v>
      </c>
      <c r="O10118" s="22">
        <v>0</v>
      </c>
    </row>
    <row r="10119" ht="26.25">
      <c r="A10119" t="s">
        <v>10228</v>
      </c>
      <c r="B10119" s="19">
        <v>102181</v>
      </c>
      <c r="C10119" s="20" t="s">
        <v>10266</v>
      </c>
      <c r="D10119" s="19" t="s">
        <v>29</v>
      </c>
      <c r="E10119" s="21">
        <f t="shared" si="470"/>
        <v>546.46000000000004</v>
      </c>
      <c r="F10119" s="22"/>
      <c r="G10119" s="21">
        <f t="shared" si="471"/>
        <v>543.64999999999998</v>
      </c>
      <c r="H10119" s="22"/>
      <c r="I10119" s="23" t="str">
        <f t="shared" si="472"/>
        <v xml:space="preserve">COM VALOR</v>
      </c>
      <c r="L10119" s="21">
        <v>546.46000000000004</v>
      </c>
      <c r="M10119" s="22">
        <v>0</v>
      </c>
      <c r="N10119" s="21">
        <v>543.64999999999998</v>
      </c>
      <c r="O10119" s="22">
        <v>0</v>
      </c>
    </row>
    <row r="10120" ht="26.25">
      <c r="A10120" t="s">
        <v>10228</v>
      </c>
      <c r="B10120" s="19">
        <v>102179</v>
      </c>
      <c r="C10120" s="20" t="s">
        <v>10267</v>
      </c>
      <c r="D10120" s="19" t="s">
        <v>29</v>
      </c>
      <c r="E10120" s="21">
        <f t="shared" si="470"/>
        <v>397.19999999999999</v>
      </c>
      <c r="F10120" s="22"/>
      <c r="G10120" s="21">
        <f t="shared" si="471"/>
        <v>394.10000000000002</v>
      </c>
      <c r="H10120" s="22"/>
      <c r="I10120" s="23" t="str">
        <f t="shared" si="472"/>
        <v xml:space="preserve">COM VALOR</v>
      </c>
      <c r="L10120" s="21">
        <v>397.19999999999999</v>
      </c>
      <c r="M10120" s="22">
        <v>0</v>
      </c>
      <c r="N10120" s="21">
        <v>394.10000000000002</v>
      </c>
      <c r="O10120" s="22">
        <v>0</v>
      </c>
    </row>
    <row r="10121" ht="26.25">
      <c r="A10121" t="s">
        <v>10228</v>
      </c>
      <c r="B10121" s="19">
        <v>102180</v>
      </c>
      <c r="C10121" s="20" t="s">
        <v>10268</v>
      </c>
      <c r="D10121" s="19" t="s">
        <v>29</v>
      </c>
      <c r="E10121" s="21">
        <f t="shared" si="470"/>
        <v>460.13999999999999</v>
      </c>
      <c r="F10121" s="22"/>
      <c r="G10121" s="21">
        <f t="shared" si="471"/>
        <v>457.17000000000002</v>
      </c>
      <c r="H10121" s="22"/>
      <c r="I10121" s="23" t="str">
        <f t="shared" si="472"/>
        <v xml:space="preserve">COM VALOR</v>
      </c>
      <c r="L10121" s="21">
        <v>460.13999999999999</v>
      </c>
      <c r="M10121" s="22">
        <v>0</v>
      </c>
      <c r="N10121" s="21">
        <v>457.17000000000002</v>
      </c>
      <c r="O10121" s="22">
        <v>0</v>
      </c>
    </row>
    <row r="10122" ht="51.75">
      <c r="A10122" t="s">
        <v>10228</v>
      </c>
      <c r="B10122" s="19">
        <v>102189</v>
      </c>
      <c r="C10122" s="20" t="s">
        <v>10269</v>
      </c>
      <c r="D10122" s="19" t="s">
        <v>31</v>
      </c>
      <c r="E10122" s="21">
        <f t="shared" si="470"/>
        <v>251.77000000000001</v>
      </c>
      <c r="F10122" s="22"/>
      <c r="G10122" s="21">
        <f t="shared" si="471"/>
        <v>247.31</v>
      </c>
      <c r="H10122" s="22"/>
      <c r="I10122" s="23" t="str">
        <f t="shared" si="472"/>
        <v xml:space="preserve">COM VALOR</v>
      </c>
      <c r="L10122" s="21">
        <v>251.77000000000001</v>
      </c>
      <c r="M10122" s="22">
        <v>0</v>
      </c>
      <c r="N10122" s="21">
        <v>247.31</v>
      </c>
      <c r="O10122" s="22">
        <v>0</v>
      </c>
    </row>
    <row r="10123" ht="26.25">
      <c r="A10123" t="s">
        <v>10228</v>
      </c>
      <c r="B10123" s="19">
        <v>102188</v>
      </c>
      <c r="C10123" s="20" t="s">
        <v>10270</v>
      </c>
      <c r="D10123" s="19" t="s">
        <v>31</v>
      </c>
      <c r="E10123" s="21">
        <f t="shared" ref="E10123:E10186" si="473">IF(L10123=0,"VERIFICAR",L10123)</f>
        <v>992.24000000000001</v>
      </c>
      <c r="F10123" s="22"/>
      <c r="G10123" s="21">
        <f t="shared" ref="G10123:G10186" si="474">IF(N10123=0,"VERIFICAR",N10123)</f>
        <v>987.92999999999995</v>
      </c>
      <c r="H10123" s="22"/>
      <c r="I10123" s="23" t="str">
        <f t="shared" ref="I10123:I10186" si="475">IF(OR(E10123=0,G10123=0),"SEM VALOR","COM VALOR")</f>
        <v xml:space="preserve">COM VALOR</v>
      </c>
      <c r="L10123" s="21">
        <v>992.24000000000001</v>
      </c>
      <c r="M10123" s="22">
        <v>0</v>
      </c>
      <c r="N10123" s="21">
        <v>987.92999999999995</v>
      </c>
      <c r="O10123" s="22">
        <v>0</v>
      </c>
    </row>
    <row r="10124" ht="26.25">
      <c r="A10124" t="s">
        <v>10228</v>
      </c>
      <c r="B10124" s="19">
        <v>106320</v>
      </c>
      <c r="C10124" s="20" t="s">
        <v>10271</v>
      </c>
      <c r="D10124" s="19" t="s">
        <v>31</v>
      </c>
      <c r="E10124" s="21">
        <f t="shared" si="473"/>
        <v>2396.9499999999998</v>
      </c>
      <c r="F10124" s="22"/>
      <c r="G10124" s="21">
        <f t="shared" si="474"/>
        <v>2388.5100000000002</v>
      </c>
      <c r="H10124" s="22"/>
      <c r="I10124" s="23" t="str">
        <f t="shared" si="475"/>
        <v xml:space="preserve">COM VALOR</v>
      </c>
      <c r="L10124" s="21">
        <v>2396.9499999999998</v>
      </c>
      <c r="M10124" s="22">
        <v>0</v>
      </c>
      <c r="N10124" s="21">
        <v>2388.5100000000002</v>
      </c>
      <c r="O10124" s="22">
        <v>0</v>
      </c>
    </row>
    <row r="10125" ht="39">
      <c r="A10125" t="s">
        <v>10228</v>
      </c>
      <c r="B10125" s="19">
        <v>102185</v>
      </c>
      <c r="C10125" s="20" t="s">
        <v>10272</v>
      </c>
      <c r="D10125" s="19" t="s">
        <v>31</v>
      </c>
      <c r="E10125" s="21">
        <f t="shared" si="473"/>
        <v>4199.8800000000001</v>
      </c>
      <c r="F10125" s="22"/>
      <c r="G10125" s="21">
        <f t="shared" si="474"/>
        <v>4183.7700000000004</v>
      </c>
      <c r="H10125" s="22"/>
      <c r="I10125" s="23" t="str">
        <f t="shared" si="475"/>
        <v xml:space="preserve">COM VALOR</v>
      </c>
      <c r="L10125" s="21">
        <v>4199.8800000000001</v>
      </c>
      <c r="M10125" s="22">
        <v>0</v>
      </c>
      <c r="N10125" s="21">
        <v>4183.7700000000004</v>
      </c>
      <c r="O10125" s="22">
        <v>0</v>
      </c>
    </row>
    <row r="10126" ht="26.25">
      <c r="A10126" t="s">
        <v>10228</v>
      </c>
      <c r="B10126" s="19">
        <v>106318</v>
      </c>
      <c r="C10126" s="20" t="s">
        <v>10273</v>
      </c>
      <c r="D10126" s="19" t="s">
        <v>31</v>
      </c>
      <c r="E10126" s="21">
        <f t="shared" si="473"/>
        <v>1892.4000000000001</v>
      </c>
      <c r="F10126" s="22"/>
      <c r="G10126" s="21">
        <f t="shared" si="474"/>
        <v>1885.1300000000001</v>
      </c>
      <c r="H10126" s="22"/>
      <c r="I10126" s="23" t="str">
        <f t="shared" si="475"/>
        <v xml:space="preserve">COM VALOR</v>
      </c>
      <c r="L10126" s="21">
        <v>1892.4000000000001</v>
      </c>
      <c r="M10126" s="22">
        <v>0</v>
      </c>
      <c r="N10126" s="21">
        <v>1885.1300000000001</v>
      </c>
      <c r="O10126" s="22">
        <v>0</v>
      </c>
    </row>
    <row r="10127" ht="26.25">
      <c r="A10127" t="s">
        <v>10228</v>
      </c>
      <c r="B10127" s="19">
        <v>106319</v>
      </c>
      <c r="C10127" s="20" t="s">
        <v>10274</v>
      </c>
      <c r="D10127" s="19" t="s">
        <v>31</v>
      </c>
      <c r="E10127" s="21">
        <f t="shared" si="473"/>
        <v>1993.3099999999999</v>
      </c>
      <c r="F10127" s="22"/>
      <c r="G10127" s="21">
        <f t="shared" si="474"/>
        <v>1985.8</v>
      </c>
      <c r="H10127" s="22"/>
      <c r="I10127" s="23" t="str">
        <f t="shared" si="475"/>
        <v xml:space="preserve">COM VALOR</v>
      </c>
      <c r="L10127" s="21">
        <v>1993.3099999999999</v>
      </c>
      <c r="M10127" s="22">
        <v>0</v>
      </c>
      <c r="N10127" s="21">
        <v>1985.8</v>
      </c>
      <c r="O10127" s="22">
        <v>0</v>
      </c>
    </row>
    <row r="10128" ht="26.25">
      <c r="A10128" t="s">
        <v>10228</v>
      </c>
      <c r="B10128" s="19">
        <v>102184</v>
      </c>
      <c r="C10128" s="20" t="s">
        <v>10275</v>
      </c>
      <c r="D10128" s="19" t="s">
        <v>31</v>
      </c>
      <c r="E10128" s="21">
        <f t="shared" si="473"/>
        <v>2094.2199999999998</v>
      </c>
      <c r="F10128" s="22"/>
      <c r="G10128" s="21">
        <f t="shared" si="474"/>
        <v>2086.48</v>
      </c>
      <c r="H10128" s="22"/>
      <c r="I10128" s="23" t="str">
        <f t="shared" si="475"/>
        <v xml:space="preserve">COM VALOR</v>
      </c>
      <c r="L10128" s="21">
        <v>2094.2199999999998</v>
      </c>
      <c r="M10128" s="22">
        <v>0</v>
      </c>
      <c r="N10128" s="21">
        <v>2086.48</v>
      </c>
      <c r="O10128" s="22">
        <v>0</v>
      </c>
    </row>
    <row r="10129" ht="26.25">
      <c r="A10129" t="s">
        <v>10228</v>
      </c>
      <c r="B10129" s="19">
        <v>102187</v>
      </c>
      <c r="C10129" s="20" t="s">
        <v>10276</v>
      </c>
      <c r="D10129" s="19" t="s">
        <v>31</v>
      </c>
      <c r="E10129" s="21" t="str">
        <f t="shared" si="473"/>
        <v>VERIFICAR</v>
      </c>
      <c r="F10129" s="22"/>
      <c r="G10129" s="21" t="str">
        <f t="shared" si="474"/>
        <v>VERIFICAR</v>
      </c>
      <c r="H10129" s="22"/>
      <c r="I10129" s="23" t="str">
        <f t="shared" si="475"/>
        <v xml:space="preserve">COM VALOR</v>
      </c>
      <c r="L10129" s="21">
        <v>0</v>
      </c>
      <c r="M10129" s="22"/>
      <c r="N10129" s="21">
        <v>0</v>
      </c>
      <c r="O10129" s="22"/>
    </row>
    <row r="10130" ht="26.25">
      <c r="A10130" t="s">
        <v>10228</v>
      </c>
      <c r="B10130" s="19">
        <v>102186</v>
      </c>
      <c r="C10130" s="20" t="s">
        <v>10277</v>
      </c>
      <c r="D10130" s="19" t="s">
        <v>31</v>
      </c>
      <c r="E10130" s="21" t="str">
        <f t="shared" si="473"/>
        <v>VERIFICAR</v>
      </c>
      <c r="F10130" s="22"/>
      <c r="G10130" s="21" t="str">
        <f t="shared" si="474"/>
        <v>VERIFICAR</v>
      </c>
      <c r="H10130" s="22"/>
      <c r="I10130" s="23" t="str">
        <f t="shared" si="475"/>
        <v xml:space="preserve">COM VALOR</v>
      </c>
      <c r="L10130" s="21">
        <v>0</v>
      </c>
      <c r="M10130" s="22"/>
      <c r="N10130" s="21">
        <v>0</v>
      </c>
      <c r="O10130" s="22"/>
    </row>
    <row r="10131" ht="26.25">
      <c r="A10131" t="s">
        <v>10228</v>
      </c>
      <c r="B10131" s="19">
        <v>102183</v>
      </c>
      <c r="C10131" s="20" t="s">
        <v>10278</v>
      </c>
      <c r="D10131" s="19" t="s">
        <v>31</v>
      </c>
      <c r="E10131" s="21">
        <f t="shared" si="473"/>
        <v>2088.7600000000002</v>
      </c>
      <c r="F10131" s="22"/>
      <c r="G10131" s="21">
        <f t="shared" si="474"/>
        <v>2079</v>
      </c>
      <c r="H10131" s="22"/>
      <c r="I10131" s="23" t="str">
        <f t="shared" si="475"/>
        <v xml:space="preserve">COM VALOR</v>
      </c>
      <c r="L10131" s="21">
        <v>2088.7600000000002</v>
      </c>
      <c r="M10131" s="22">
        <v>0</v>
      </c>
      <c r="N10131" s="21">
        <v>2079</v>
      </c>
      <c r="O10131" s="22">
        <v>0</v>
      </c>
    </row>
    <row r="10132" ht="26.25">
      <c r="A10132" t="s">
        <v>10228</v>
      </c>
      <c r="B10132" s="19">
        <v>102182</v>
      </c>
      <c r="C10132" s="20" t="s">
        <v>10279</v>
      </c>
      <c r="D10132" s="19" t="s">
        <v>31</v>
      </c>
      <c r="E10132" s="21">
        <f t="shared" si="473"/>
        <v>1123.3099999999999</v>
      </c>
      <c r="F10132" s="22"/>
      <c r="G10132" s="21">
        <f t="shared" si="474"/>
        <v>1118.74</v>
      </c>
      <c r="H10132" s="22"/>
      <c r="I10132" s="23" t="str">
        <f t="shared" si="475"/>
        <v xml:space="preserve">COM VALOR</v>
      </c>
      <c r="L10132" s="21">
        <v>1123.3099999999999</v>
      </c>
      <c r="M10132" s="22">
        <v>0</v>
      </c>
      <c r="N10132" s="21">
        <v>1118.74</v>
      </c>
      <c r="O10132" s="22">
        <v>0</v>
      </c>
    </row>
    <row r="10133" ht="26.25">
      <c r="A10133" t="s">
        <v>10228</v>
      </c>
      <c r="B10133" s="19">
        <v>102191</v>
      </c>
      <c r="C10133" s="20" t="s">
        <v>10280</v>
      </c>
      <c r="D10133" s="19" t="s">
        <v>29</v>
      </c>
      <c r="E10133" s="21">
        <f t="shared" si="473"/>
        <v>19.100000000000001</v>
      </c>
      <c r="F10133" s="22"/>
      <c r="G10133" s="21">
        <f t="shared" si="474"/>
        <v>18.07</v>
      </c>
      <c r="H10133" s="22"/>
      <c r="I10133" s="23" t="str">
        <f t="shared" si="475"/>
        <v xml:space="preserve">COM VALOR</v>
      </c>
      <c r="L10133" s="21">
        <v>19.100000000000001</v>
      </c>
      <c r="M10133" s="22">
        <v>0</v>
      </c>
      <c r="N10133" s="21">
        <v>18.07</v>
      </c>
      <c r="O10133" s="22">
        <v>0</v>
      </c>
    </row>
    <row r="10134" ht="26.25">
      <c r="A10134" t="s">
        <v>10228</v>
      </c>
      <c r="B10134" s="19">
        <v>102190</v>
      </c>
      <c r="C10134" s="20" t="s">
        <v>10281</v>
      </c>
      <c r="D10134" s="19" t="s">
        <v>29</v>
      </c>
      <c r="E10134" s="21">
        <f t="shared" si="473"/>
        <v>17.640000000000001</v>
      </c>
      <c r="F10134" s="22"/>
      <c r="G10134" s="21">
        <f t="shared" si="474"/>
        <v>16.68</v>
      </c>
      <c r="H10134" s="22"/>
      <c r="I10134" s="23" t="str">
        <f t="shared" si="475"/>
        <v xml:space="preserve">COM VALOR</v>
      </c>
      <c r="L10134" s="21">
        <v>17.640000000000001</v>
      </c>
      <c r="M10134" s="22">
        <v>0</v>
      </c>
      <c r="N10134" s="21">
        <v>16.68</v>
      </c>
      <c r="O10134" s="22">
        <v>0</v>
      </c>
    </row>
    <row r="10135">
      <c r="A10135" t="s">
        <v>10228</v>
      </c>
      <c r="B10135" s="19">
        <v>102192</v>
      </c>
      <c r="C10135" s="20" t="s">
        <v>10282</v>
      </c>
      <c r="D10135" s="19" t="s">
        <v>29</v>
      </c>
      <c r="E10135" s="21">
        <f t="shared" si="473"/>
        <v>16.870000000000001</v>
      </c>
      <c r="F10135" s="22"/>
      <c r="G10135" s="21">
        <f t="shared" si="474"/>
        <v>15.949999999999999</v>
      </c>
      <c r="H10135" s="22"/>
      <c r="I10135" s="23" t="str">
        <f t="shared" si="475"/>
        <v xml:space="preserve">COM VALOR</v>
      </c>
      <c r="L10135" s="21">
        <v>16.870000000000001</v>
      </c>
      <c r="M10135" s="22">
        <v>0</v>
      </c>
      <c r="N10135" s="21">
        <v>15.949999999999999</v>
      </c>
      <c r="O10135" s="22">
        <v>0</v>
      </c>
    </row>
    <row r="10136" ht="26.25">
      <c r="A10136" t="s">
        <v>10283</v>
      </c>
      <c r="B10136" s="19">
        <v>89354</v>
      </c>
      <c r="C10136" s="20" t="s">
        <v>10284</v>
      </c>
      <c r="D10136" s="19" t="s">
        <v>31</v>
      </c>
      <c r="E10136" s="21">
        <f t="shared" si="473"/>
        <v>642.23000000000002</v>
      </c>
      <c r="F10136" s="22"/>
      <c r="G10136" s="21">
        <f t="shared" si="474"/>
        <v>640.45000000000005</v>
      </c>
      <c r="H10136" s="22"/>
      <c r="I10136" s="23" t="str">
        <f t="shared" si="475"/>
        <v xml:space="preserve">COM VALOR</v>
      </c>
      <c r="L10136" s="21">
        <v>642.23000000000002</v>
      </c>
      <c r="M10136" s="22">
        <v>0</v>
      </c>
      <c r="N10136" s="21">
        <v>640.45000000000005</v>
      </c>
      <c r="O10136" s="22">
        <v>0</v>
      </c>
    </row>
    <row r="10137" ht="26.25">
      <c r="A10137" t="s">
        <v>10283</v>
      </c>
      <c r="B10137" s="19">
        <v>103041</v>
      </c>
      <c r="C10137" s="20" t="s">
        <v>10285</v>
      </c>
      <c r="D10137" s="19" t="s">
        <v>31</v>
      </c>
      <c r="E10137" s="21">
        <f t="shared" si="473"/>
        <v>18.559999999999999</v>
      </c>
      <c r="F10137" s="22"/>
      <c r="G10137" s="21">
        <f t="shared" si="474"/>
        <v>18.350000000000001</v>
      </c>
      <c r="H10137" s="22"/>
      <c r="I10137" s="23" t="str">
        <f t="shared" si="475"/>
        <v xml:space="preserve">COM VALOR</v>
      </c>
      <c r="L10137" s="21">
        <v>18.559999999999999</v>
      </c>
      <c r="M10137" s="22">
        <v>0</v>
      </c>
      <c r="N10137" s="21">
        <v>18.350000000000001</v>
      </c>
      <c r="O10137" s="22">
        <v>0</v>
      </c>
    </row>
    <row r="10138" ht="26.25">
      <c r="A10138" t="s">
        <v>10283</v>
      </c>
      <c r="B10138" s="19">
        <v>103042</v>
      </c>
      <c r="C10138" s="20" t="s">
        <v>10286</v>
      </c>
      <c r="D10138" s="19" t="s">
        <v>31</v>
      </c>
      <c r="E10138" s="21">
        <f t="shared" si="473"/>
        <v>23.120000000000001</v>
      </c>
      <c r="F10138" s="22"/>
      <c r="G10138" s="21">
        <f t="shared" si="474"/>
        <v>22.800000000000001</v>
      </c>
      <c r="H10138" s="22"/>
      <c r="I10138" s="23" t="str">
        <f t="shared" si="475"/>
        <v xml:space="preserve">COM VALOR</v>
      </c>
      <c r="L10138" s="21">
        <v>23.120000000000001</v>
      </c>
      <c r="M10138" s="22">
        <v>0</v>
      </c>
      <c r="N10138" s="21">
        <v>22.800000000000001</v>
      </c>
      <c r="O10138" s="22">
        <v>0</v>
      </c>
    </row>
    <row r="10139" ht="26.25">
      <c r="A10139" t="s">
        <v>10283</v>
      </c>
      <c r="B10139" s="19">
        <v>103043</v>
      </c>
      <c r="C10139" s="20" t="s">
        <v>10287</v>
      </c>
      <c r="D10139" s="19" t="s">
        <v>31</v>
      </c>
      <c r="E10139" s="21">
        <f t="shared" si="473"/>
        <v>21.329999999999998</v>
      </c>
      <c r="F10139" s="22"/>
      <c r="G10139" s="21">
        <f t="shared" si="474"/>
        <v>21.120000000000001</v>
      </c>
      <c r="H10139" s="22"/>
      <c r="I10139" s="23" t="str">
        <f t="shared" si="475"/>
        <v xml:space="preserve">COM VALOR</v>
      </c>
      <c r="L10139" s="21">
        <v>21.329999999999998</v>
      </c>
      <c r="M10139" s="22">
        <v>0</v>
      </c>
      <c r="N10139" s="21">
        <v>21.120000000000001</v>
      </c>
      <c r="O10139" s="22">
        <v>0</v>
      </c>
    </row>
    <row r="10140" ht="26.25">
      <c r="A10140" t="s">
        <v>10283</v>
      </c>
      <c r="B10140" s="19">
        <v>103044</v>
      </c>
      <c r="C10140" s="20" t="s">
        <v>10288</v>
      </c>
      <c r="D10140" s="19" t="s">
        <v>31</v>
      </c>
      <c r="E10140" s="21">
        <f t="shared" si="473"/>
        <v>28.879999999999999</v>
      </c>
      <c r="F10140" s="22"/>
      <c r="G10140" s="21">
        <f t="shared" si="474"/>
        <v>28.559999999999999</v>
      </c>
      <c r="H10140" s="22"/>
      <c r="I10140" s="23" t="str">
        <f t="shared" si="475"/>
        <v xml:space="preserve">COM VALOR</v>
      </c>
      <c r="L10140" s="21">
        <v>28.879999999999999</v>
      </c>
      <c r="M10140" s="22">
        <v>0</v>
      </c>
      <c r="N10140" s="21">
        <v>28.559999999999999</v>
      </c>
      <c r="O10140" s="22">
        <v>0</v>
      </c>
    </row>
    <row r="10141" ht="26.25">
      <c r="A10141" t="s">
        <v>10283</v>
      </c>
      <c r="B10141" s="19">
        <v>103039</v>
      </c>
      <c r="C10141" s="20" t="s">
        <v>10289</v>
      </c>
      <c r="D10141" s="19" t="s">
        <v>31</v>
      </c>
      <c r="E10141" s="21">
        <f t="shared" si="473"/>
        <v>64</v>
      </c>
      <c r="F10141" s="22"/>
      <c r="G10141" s="21">
        <f t="shared" si="474"/>
        <v>63.240000000000002</v>
      </c>
      <c r="H10141" s="22"/>
      <c r="I10141" s="23" t="str">
        <f t="shared" si="475"/>
        <v xml:space="preserve">COM VALOR</v>
      </c>
      <c r="L10141" s="21">
        <v>64</v>
      </c>
      <c r="M10141" s="22">
        <v>0</v>
      </c>
      <c r="N10141" s="21">
        <v>63.240000000000002</v>
      </c>
      <c r="O10141" s="22">
        <v>0</v>
      </c>
    </row>
    <row r="10142" ht="26.25">
      <c r="A10142" t="s">
        <v>10283</v>
      </c>
      <c r="B10142" s="19">
        <v>103038</v>
      </c>
      <c r="C10142" s="20" t="s">
        <v>10290</v>
      </c>
      <c r="D10142" s="19" t="s">
        <v>31</v>
      </c>
      <c r="E10142" s="21">
        <f t="shared" si="473"/>
        <v>58.439999999999998</v>
      </c>
      <c r="F10142" s="22"/>
      <c r="G10142" s="21">
        <f t="shared" si="474"/>
        <v>57.859999999999999</v>
      </c>
      <c r="H10142" s="22"/>
      <c r="I10142" s="23" t="str">
        <f t="shared" si="475"/>
        <v xml:space="preserve">COM VALOR</v>
      </c>
      <c r="L10142" s="21">
        <v>58.439999999999998</v>
      </c>
      <c r="M10142" s="22">
        <v>0</v>
      </c>
      <c r="N10142" s="21">
        <v>57.859999999999999</v>
      </c>
      <c r="O10142" s="22">
        <v>0</v>
      </c>
    </row>
    <row r="10143" ht="26.25">
      <c r="A10143" t="s">
        <v>10283</v>
      </c>
      <c r="B10143" s="19">
        <v>103037</v>
      </c>
      <c r="C10143" s="20" t="s">
        <v>10291</v>
      </c>
      <c r="D10143" s="19" t="s">
        <v>31</v>
      </c>
      <c r="E10143" s="21">
        <f t="shared" si="473"/>
        <v>43.630000000000003</v>
      </c>
      <c r="F10143" s="22"/>
      <c r="G10143" s="21">
        <f t="shared" si="474"/>
        <v>43.200000000000003</v>
      </c>
      <c r="H10143" s="22"/>
      <c r="I10143" s="23" t="str">
        <f t="shared" si="475"/>
        <v xml:space="preserve">COM VALOR</v>
      </c>
      <c r="L10143" s="21">
        <v>43.630000000000003</v>
      </c>
      <c r="M10143" s="22">
        <v>0</v>
      </c>
      <c r="N10143" s="21">
        <v>43.200000000000003</v>
      </c>
      <c r="O10143" s="22">
        <v>0</v>
      </c>
    </row>
    <row r="10144" ht="26.25">
      <c r="A10144" t="s">
        <v>10283</v>
      </c>
      <c r="B10144" s="19">
        <v>103036</v>
      </c>
      <c r="C10144" s="20" t="s">
        <v>10292</v>
      </c>
      <c r="D10144" s="19" t="s">
        <v>31</v>
      </c>
      <c r="E10144" s="21">
        <f t="shared" si="473"/>
        <v>22.140000000000001</v>
      </c>
      <c r="F10144" s="22"/>
      <c r="G10144" s="21">
        <f t="shared" si="474"/>
        <v>21.93</v>
      </c>
      <c r="H10144" s="22"/>
      <c r="I10144" s="23" t="str">
        <f t="shared" si="475"/>
        <v xml:space="preserve">COM VALOR</v>
      </c>
      <c r="L10144" s="21">
        <v>22.140000000000001</v>
      </c>
      <c r="M10144" s="22">
        <v>0</v>
      </c>
      <c r="N10144" s="21">
        <v>21.93</v>
      </c>
      <c r="O10144" s="22">
        <v>0</v>
      </c>
    </row>
    <row r="10145" ht="26.25">
      <c r="A10145" t="s">
        <v>10283</v>
      </c>
      <c r="B10145" s="19">
        <v>103040</v>
      </c>
      <c r="C10145" s="20" t="s">
        <v>10293</v>
      </c>
      <c r="D10145" s="19" t="s">
        <v>31</v>
      </c>
      <c r="E10145" s="21">
        <f t="shared" si="473"/>
        <v>94.650000000000006</v>
      </c>
      <c r="F10145" s="22"/>
      <c r="G10145" s="21">
        <f t="shared" si="474"/>
        <v>93.659999999999997</v>
      </c>
      <c r="H10145" s="22"/>
      <c r="I10145" s="23" t="str">
        <f t="shared" si="475"/>
        <v xml:space="preserve">COM VALOR</v>
      </c>
      <c r="L10145" s="21">
        <v>94.650000000000006</v>
      </c>
      <c r="M10145" s="22">
        <v>0</v>
      </c>
      <c r="N10145" s="21">
        <v>93.659999999999997</v>
      </c>
      <c r="O10145" s="22">
        <v>0</v>
      </c>
    </row>
    <row r="10146" ht="26.25">
      <c r="A10146" t="s">
        <v>10283</v>
      </c>
      <c r="B10146" s="19">
        <v>90371</v>
      </c>
      <c r="C10146" s="20" t="s">
        <v>10294</v>
      </c>
      <c r="D10146" s="19" t="s">
        <v>31</v>
      </c>
      <c r="E10146" s="21">
        <f t="shared" si="473"/>
        <v>27.739999999999998</v>
      </c>
      <c r="F10146" s="22"/>
      <c r="G10146" s="21">
        <f t="shared" si="474"/>
        <v>27.420000000000002</v>
      </c>
      <c r="H10146" s="22"/>
      <c r="I10146" s="23" t="str">
        <f t="shared" si="475"/>
        <v xml:space="preserve">COM VALOR</v>
      </c>
      <c r="L10146" s="21">
        <v>27.739999999999998</v>
      </c>
      <c r="M10146" s="22">
        <v>0</v>
      </c>
      <c r="N10146" s="21">
        <v>27.420000000000002</v>
      </c>
      <c r="O10146" s="22">
        <v>0</v>
      </c>
    </row>
    <row r="10147" ht="26.25">
      <c r="A10147" t="s">
        <v>10283</v>
      </c>
      <c r="B10147" s="19">
        <v>103047</v>
      </c>
      <c r="C10147" s="20" t="s">
        <v>10295</v>
      </c>
      <c r="D10147" s="19" t="s">
        <v>31</v>
      </c>
      <c r="E10147" s="21">
        <f t="shared" si="473"/>
        <v>23.02</v>
      </c>
      <c r="F10147" s="22"/>
      <c r="G10147" s="21">
        <f t="shared" si="474"/>
        <v>22.77</v>
      </c>
      <c r="H10147" s="22"/>
      <c r="I10147" s="23" t="str">
        <f t="shared" si="475"/>
        <v xml:space="preserve">COM VALOR</v>
      </c>
      <c r="L10147" s="21">
        <v>23.02</v>
      </c>
      <c r="M10147" s="22">
        <v>0</v>
      </c>
      <c r="N10147" s="21">
        <v>22.77</v>
      </c>
      <c r="O10147" s="22">
        <v>0</v>
      </c>
    </row>
    <row r="10148" ht="26.25">
      <c r="A10148" t="s">
        <v>10283</v>
      </c>
      <c r="B10148" s="19">
        <v>94489</v>
      </c>
      <c r="C10148" s="20" t="s">
        <v>10296</v>
      </c>
      <c r="D10148" s="19" t="s">
        <v>31</v>
      </c>
      <c r="E10148" s="21">
        <f t="shared" si="473"/>
        <v>28.16</v>
      </c>
      <c r="F10148" s="22"/>
      <c r="G10148" s="21">
        <f t="shared" si="474"/>
        <v>27.93</v>
      </c>
      <c r="H10148" s="22"/>
      <c r="I10148" s="23" t="str">
        <f t="shared" si="475"/>
        <v xml:space="preserve">COM VALOR</v>
      </c>
      <c r="L10148" s="21">
        <v>28.16</v>
      </c>
      <c r="M10148" s="22">
        <v>0</v>
      </c>
      <c r="N10148" s="21">
        <v>27.93</v>
      </c>
      <c r="O10148" s="22">
        <v>0</v>
      </c>
    </row>
    <row r="10149" ht="26.25">
      <c r="A10149" t="s">
        <v>10283</v>
      </c>
      <c r="B10149" s="19">
        <v>94490</v>
      </c>
      <c r="C10149" s="20" t="s">
        <v>10297</v>
      </c>
      <c r="D10149" s="19" t="s">
        <v>31</v>
      </c>
      <c r="E10149" s="21">
        <f t="shared" si="473"/>
        <v>41.270000000000003</v>
      </c>
      <c r="F10149" s="22"/>
      <c r="G10149" s="21">
        <f t="shared" si="474"/>
        <v>41.039999999999999</v>
      </c>
      <c r="H10149" s="22"/>
      <c r="I10149" s="23" t="str">
        <f t="shared" si="475"/>
        <v xml:space="preserve">COM VALOR</v>
      </c>
      <c r="L10149" s="21">
        <v>41.270000000000003</v>
      </c>
      <c r="M10149" s="22">
        <v>0</v>
      </c>
      <c r="N10149" s="21">
        <v>41.039999999999999</v>
      </c>
      <c r="O10149" s="22">
        <v>0</v>
      </c>
    </row>
    <row r="10150" ht="26.25">
      <c r="A10150" t="s">
        <v>10283</v>
      </c>
      <c r="B10150" s="19">
        <v>94491</v>
      </c>
      <c r="C10150" s="20" t="s">
        <v>10298</v>
      </c>
      <c r="D10150" s="19" t="s">
        <v>31</v>
      </c>
      <c r="E10150" s="21">
        <f t="shared" si="473"/>
        <v>56.469999999999999</v>
      </c>
      <c r="F10150" s="22"/>
      <c r="G10150" s="21">
        <f t="shared" si="474"/>
        <v>56.149999999999999</v>
      </c>
      <c r="H10150" s="22"/>
      <c r="I10150" s="23" t="str">
        <f t="shared" si="475"/>
        <v xml:space="preserve">COM VALOR</v>
      </c>
      <c r="L10150" s="21">
        <v>56.469999999999999</v>
      </c>
      <c r="M10150" s="22">
        <v>0</v>
      </c>
      <c r="N10150" s="21">
        <v>56.149999999999999</v>
      </c>
      <c r="O10150" s="22">
        <v>0</v>
      </c>
    </row>
    <row r="10151" ht="26.25">
      <c r="A10151" t="s">
        <v>10283</v>
      </c>
      <c r="B10151" s="19">
        <v>94492</v>
      </c>
      <c r="C10151" s="20" t="s">
        <v>10299</v>
      </c>
      <c r="D10151" s="19" t="s">
        <v>31</v>
      </c>
      <c r="E10151" s="21">
        <f t="shared" si="473"/>
        <v>58.020000000000003</v>
      </c>
      <c r="F10151" s="22"/>
      <c r="G10151" s="21">
        <f t="shared" si="474"/>
        <v>57.700000000000003</v>
      </c>
      <c r="H10151" s="22"/>
      <c r="I10151" s="23" t="str">
        <f t="shared" si="475"/>
        <v xml:space="preserve">COM VALOR</v>
      </c>
      <c r="L10151" s="21">
        <v>58.020000000000003</v>
      </c>
      <c r="M10151" s="22">
        <v>0</v>
      </c>
      <c r="N10151" s="21">
        <v>57.700000000000003</v>
      </c>
      <c r="O10151" s="22">
        <v>0</v>
      </c>
    </row>
    <row r="10152" ht="26.25">
      <c r="A10152" t="s">
        <v>10283</v>
      </c>
      <c r="B10152" s="19">
        <v>94493</v>
      </c>
      <c r="C10152" s="20" t="s">
        <v>10300</v>
      </c>
      <c r="D10152" s="19" t="s">
        <v>31</v>
      </c>
      <c r="E10152" s="21">
        <f t="shared" si="473"/>
        <v>106.36</v>
      </c>
      <c r="F10152" s="22"/>
      <c r="G10152" s="21">
        <f t="shared" si="474"/>
        <v>105.83</v>
      </c>
      <c r="H10152" s="22"/>
      <c r="I10152" s="23" t="str">
        <f t="shared" si="475"/>
        <v xml:space="preserve">COM VALOR</v>
      </c>
      <c r="L10152" s="21">
        <v>106.36</v>
      </c>
      <c r="M10152" s="22">
        <v>0</v>
      </c>
      <c r="N10152" s="21">
        <v>105.83</v>
      </c>
      <c r="O10152" s="22">
        <v>0</v>
      </c>
    </row>
    <row r="10153" ht="26.25">
      <c r="A10153" t="s">
        <v>10283</v>
      </c>
      <c r="B10153" s="19">
        <v>94497</v>
      </c>
      <c r="C10153" s="20" t="s">
        <v>10301</v>
      </c>
      <c r="D10153" s="19" t="s">
        <v>31</v>
      </c>
      <c r="E10153" s="21">
        <f t="shared" si="473"/>
        <v>91.620000000000005</v>
      </c>
      <c r="F10153" s="22"/>
      <c r="G10153" s="21">
        <f t="shared" si="474"/>
        <v>90.859999999999999</v>
      </c>
      <c r="H10153" s="22"/>
      <c r="I10153" s="23" t="str">
        <f t="shared" si="475"/>
        <v xml:space="preserve">COM VALOR</v>
      </c>
      <c r="L10153" s="21">
        <v>91.620000000000005</v>
      </c>
      <c r="M10153" s="22">
        <v>0</v>
      </c>
      <c r="N10153" s="21">
        <v>90.859999999999999</v>
      </c>
      <c r="O10153" s="22">
        <v>0</v>
      </c>
    </row>
    <row r="10154" ht="39">
      <c r="A10154" t="s">
        <v>10283</v>
      </c>
      <c r="B10154" s="19">
        <v>94794</v>
      </c>
      <c r="C10154" s="20" t="s">
        <v>10302</v>
      </c>
      <c r="D10154" s="19" t="s">
        <v>31</v>
      </c>
      <c r="E10154" s="21">
        <f t="shared" si="473"/>
        <v>143.93000000000001</v>
      </c>
      <c r="F10154" s="22"/>
      <c r="G10154" s="21">
        <f t="shared" si="474"/>
        <v>142.84999999999999</v>
      </c>
      <c r="H10154" s="22"/>
      <c r="I10154" s="23" t="str">
        <f t="shared" si="475"/>
        <v xml:space="preserve">COM VALOR</v>
      </c>
      <c r="L10154" s="21">
        <v>143.93000000000001</v>
      </c>
      <c r="M10154" s="22">
        <v>0</v>
      </c>
      <c r="N10154" s="21">
        <v>142.84999999999999</v>
      </c>
      <c r="O10154" s="22">
        <v>0</v>
      </c>
    </row>
    <row r="10155" ht="26.25">
      <c r="A10155" t="s">
        <v>10283</v>
      </c>
      <c r="B10155" s="19">
        <v>94496</v>
      </c>
      <c r="C10155" s="20" t="s">
        <v>10303</v>
      </c>
      <c r="D10155" s="19" t="s">
        <v>31</v>
      </c>
      <c r="E10155" s="21">
        <f t="shared" si="473"/>
        <v>72.25</v>
      </c>
      <c r="F10155" s="22"/>
      <c r="G10155" s="21">
        <f t="shared" si="474"/>
        <v>71.670000000000002</v>
      </c>
      <c r="H10155" s="22"/>
      <c r="I10155" s="23" t="str">
        <f t="shared" si="475"/>
        <v xml:space="preserve">COM VALOR</v>
      </c>
      <c r="L10155" s="21">
        <v>72.25</v>
      </c>
      <c r="M10155" s="22">
        <v>0</v>
      </c>
      <c r="N10155" s="21">
        <v>71.670000000000002</v>
      </c>
      <c r="O10155" s="22">
        <v>0</v>
      </c>
    </row>
    <row r="10156" ht="39">
      <c r="A10156" t="s">
        <v>10283</v>
      </c>
      <c r="B10156" s="19">
        <v>94793</v>
      </c>
      <c r="C10156" s="20" t="s">
        <v>10304</v>
      </c>
      <c r="D10156" s="19" t="s">
        <v>31</v>
      </c>
      <c r="E10156" s="21">
        <f t="shared" si="473"/>
        <v>135.30000000000001</v>
      </c>
      <c r="F10156" s="22"/>
      <c r="G10156" s="21">
        <f t="shared" si="474"/>
        <v>134.40000000000001</v>
      </c>
      <c r="H10156" s="22"/>
      <c r="I10156" s="23" t="str">
        <f t="shared" si="475"/>
        <v xml:space="preserve">COM VALOR</v>
      </c>
      <c r="L10156" s="21">
        <v>135.30000000000001</v>
      </c>
      <c r="M10156" s="22">
        <v>0</v>
      </c>
      <c r="N10156" s="21">
        <v>134.40000000000001</v>
      </c>
      <c r="O10156" s="22">
        <v>0</v>
      </c>
    </row>
    <row r="10157" ht="26.25">
      <c r="A10157" t="s">
        <v>10283</v>
      </c>
      <c r="B10157" s="19">
        <v>94495</v>
      </c>
      <c r="C10157" s="20" t="s">
        <v>10305</v>
      </c>
      <c r="D10157" s="19" t="s">
        <v>31</v>
      </c>
      <c r="E10157" s="21">
        <f t="shared" si="473"/>
        <v>53.039999999999999</v>
      </c>
      <c r="F10157" s="22"/>
      <c r="G10157" s="21">
        <f t="shared" si="474"/>
        <v>52.609999999999999</v>
      </c>
      <c r="H10157" s="22"/>
      <c r="I10157" s="23" t="str">
        <f t="shared" si="475"/>
        <v xml:space="preserve">COM VALOR</v>
      </c>
      <c r="L10157" s="21">
        <v>53.039999999999999</v>
      </c>
      <c r="M10157" s="22">
        <v>0</v>
      </c>
      <c r="N10157" s="21">
        <v>52.609999999999999</v>
      </c>
      <c r="O10157" s="22">
        <v>0</v>
      </c>
    </row>
    <row r="10158" ht="39">
      <c r="A10158" t="s">
        <v>10283</v>
      </c>
      <c r="B10158" s="19">
        <v>94792</v>
      </c>
      <c r="C10158" s="20" t="s">
        <v>10306</v>
      </c>
      <c r="D10158" s="19" t="s">
        <v>31</v>
      </c>
      <c r="E10158" s="21">
        <f t="shared" si="473"/>
        <v>99.079999999999998</v>
      </c>
      <c r="F10158" s="22"/>
      <c r="G10158" s="21">
        <f t="shared" si="474"/>
        <v>98.329999999999998</v>
      </c>
      <c r="H10158" s="22"/>
      <c r="I10158" s="23" t="str">
        <f t="shared" si="475"/>
        <v xml:space="preserve">COM VALOR</v>
      </c>
      <c r="L10158" s="21">
        <v>99.079999999999998</v>
      </c>
      <c r="M10158" s="22">
        <v>0</v>
      </c>
      <c r="N10158" s="21">
        <v>98.329999999999998</v>
      </c>
      <c r="O10158" s="22">
        <v>0</v>
      </c>
    </row>
    <row r="10159" ht="26.25">
      <c r="A10159" t="s">
        <v>10283</v>
      </c>
      <c r="B10159" s="19">
        <v>89352</v>
      </c>
      <c r="C10159" s="20" t="s">
        <v>10307</v>
      </c>
      <c r="D10159" s="19" t="s">
        <v>31</v>
      </c>
      <c r="E10159" s="21">
        <f t="shared" si="473"/>
        <v>30.989999999999998</v>
      </c>
      <c r="F10159" s="22"/>
      <c r="G10159" s="21">
        <f t="shared" si="474"/>
        <v>30.780000000000001</v>
      </c>
      <c r="H10159" s="22"/>
      <c r="I10159" s="23" t="str">
        <f t="shared" si="475"/>
        <v xml:space="preserve">COM VALOR</v>
      </c>
      <c r="L10159" s="21">
        <v>30.989999999999998</v>
      </c>
      <c r="M10159" s="22">
        <v>0</v>
      </c>
      <c r="N10159" s="21">
        <v>30.780000000000001</v>
      </c>
      <c r="O10159" s="22">
        <v>0</v>
      </c>
    </row>
    <row r="10160" ht="39">
      <c r="A10160" t="s">
        <v>10283</v>
      </c>
      <c r="B10160" s="19">
        <v>89986</v>
      </c>
      <c r="C10160" s="20" t="s">
        <v>10308</v>
      </c>
      <c r="D10160" s="19" t="s">
        <v>31</v>
      </c>
      <c r="E10160" s="21">
        <f t="shared" si="473"/>
        <v>71.469999999999999</v>
      </c>
      <c r="F10160" s="22"/>
      <c r="G10160" s="21">
        <f t="shared" si="474"/>
        <v>70.939999999999998</v>
      </c>
      <c r="H10160" s="22"/>
      <c r="I10160" s="23" t="str">
        <f t="shared" si="475"/>
        <v xml:space="preserve">COM VALOR</v>
      </c>
      <c r="L10160" s="21">
        <v>71.469999999999999</v>
      </c>
      <c r="M10160" s="22">
        <v>0</v>
      </c>
      <c r="N10160" s="21">
        <v>70.939999999999998</v>
      </c>
      <c r="O10160" s="22">
        <v>0</v>
      </c>
    </row>
    <row r="10161" ht="26.25">
      <c r="A10161" t="s">
        <v>10283</v>
      </c>
      <c r="B10161" s="19">
        <v>94499</v>
      </c>
      <c r="C10161" s="20" t="s">
        <v>10309</v>
      </c>
      <c r="D10161" s="19" t="s">
        <v>31</v>
      </c>
      <c r="E10161" s="21">
        <f t="shared" si="473"/>
        <v>248.68000000000001</v>
      </c>
      <c r="F10161" s="22"/>
      <c r="G10161" s="21">
        <f t="shared" si="474"/>
        <v>247.36000000000001</v>
      </c>
      <c r="H10161" s="22"/>
      <c r="I10161" s="23" t="str">
        <f t="shared" si="475"/>
        <v xml:space="preserve">COM VALOR</v>
      </c>
      <c r="L10161" s="21">
        <v>248.68000000000001</v>
      </c>
      <c r="M10161" s="22">
        <v>0</v>
      </c>
      <c r="N10161" s="21">
        <v>247.36000000000001</v>
      </c>
      <c r="O10161" s="22">
        <v>0</v>
      </c>
    </row>
    <row r="10162" ht="26.25">
      <c r="A10162" t="s">
        <v>10283</v>
      </c>
      <c r="B10162" s="19">
        <v>94498</v>
      </c>
      <c r="C10162" s="20" t="s">
        <v>10310</v>
      </c>
      <c r="D10162" s="19" t="s">
        <v>31</v>
      </c>
      <c r="E10162" s="21">
        <f t="shared" si="473"/>
        <v>126.2</v>
      </c>
      <c r="F10162" s="22"/>
      <c r="G10162" s="21">
        <f t="shared" si="474"/>
        <v>125.20999999999999</v>
      </c>
      <c r="H10162" s="22"/>
      <c r="I10162" s="23" t="str">
        <f t="shared" si="475"/>
        <v xml:space="preserve">COM VALOR</v>
      </c>
      <c r="L10162" s="21">
        <v>126.2</v>
      </c>
      <c r="M10162" s="22">
        <v>0</v>
      </c>
      <c r="N10162" s="21">
        <v>125.20999999999999</v>
      </c>
      <c r="O10162" s="22">
        <v>0</v>
      </c>
    </row>
    <row r="10163" ht="26.25">
      <c r="A10163" t="s">
        <v>10283</v>
      </c>
      <c r="B10163" s="19">
        <v>94500</v>
      </c>
      <c r="C10163" s="20" t="s">
        <v>10311</v>
      </c>
      <c r="D10163" s="19" t="s">
        <v>31</v>
      </c>
      <c r="E10163" s="21">
        <f t="shared" si="473"/>
        <v>302.01999999999998</v>
      </c>
      <c r="F10163" s="22"/>
      <c r="G10163" s="21">
        <f t="shared" si="474"/>
        <v>300.38</v>
      </c>
      <c r="H10163" s="22"/>
      <c r="I10163" s="23" t="str">
        <f t="shared" si="475"/>
        <v xml:space="preserve">COM VALOR</v>
      </c>
      <c r="L10163" s="21">
        <v>302.01999999999998</v>
      </c>
      <c r="M10163" s="22">
        <v>0</v>
      </c>
      <c r="N10163" s="21">
        <v>300.38</v>
      </c>
      <c r="O10163" s="22">
        <v>0</v>
      </c>
    </row>
    <row r="10164" ht="26.25">
      <c r="A10164" t="s">
        <v>10283</v>
      </c>
      <c r="B10164" s="19">
        <v>89353</v>
      </c>
      <c r="C10164" s="20" t="s">
        <v>10312</v>
      </c>
      <c r="D10164" s="19" t="s">
        <v>31</v>
      </c>
      <c r="E10164" s="21">
        <f t="shared" si="473"/>
        <v>34.450000000000003</v>
      </c>
      <c r="F10164" s="22"/>
      <c r="G10164" s="21">
        <f t="shared" si="474"/>
        <v>34.130000000000003</v>
      </c>
      <c r="H10164" s="22"/>
      <c r="I10164" s="23" t="str">
        <f t="shared" si="475"/>
        <v xml:space="preserve">COM VALOR</v>
      </c>
      <c r="L10164" s="21">
        <v>34.450000000000003</v>
      </c>
      <c r="M10164" s="22">
        <v>0</v>
      </c>
      <c r="N10164" s="21">
        <v>34.130000000000003</v>
      </c>
      <c r="O10164" s="22">
        <v>0</v>
      </c>
    </row>
    <row r="10165" ht="39">
      <c r="A10165" t="s">
        <v>10283</v>
      </c>
      <c r="B10165" s="19">
        <v>89987</v>
      </c>
      <c r="C10165" s="20" t="s">
        <v>10313</v>
      </c>
      <c r="D10165" s="19" t="s">
        <v>31</v>
      </c>
      <c r="E10165" s="21">
        <f t="shared" si="473"/>
        <v>81.390000000000001</v>
      </c>
      <c r="F10165" s="22"/>
      <c r="G10165" s="21">
        <f t="shared" si="474"/>
        <v>80.75</v>
      </c>
      <c r="H10165" s="22"/>
      <c r="I10165" s="23" t="str">
        <f t="shared" si="475"/>
        <v xml:space="preserve">COM VALOR</v>
      </c>
      <c r="L10165" s="21">
        <v>81.390000000000001</v>
      </c>
      <c r="M10165" s="22">
        <v>0</v>
      </c>
      <c r="N10165" s="21">
        <v>80.75</v>
      </c>
      <c r="O10165" s="22">
        <v>0</v>
      </c>
    </row>
    <row r="10166" ht="26.25">
      <c r="A10166" t="s">
        <v>10283</v>
      </c>
      <c r="B10166" s="19">
        <v>94501</v>
      </c>
      <c r="C10166" s="20" t="s">
        <v>10314</v>
      </c>
      <c r="D10166" s="19" t="s">
        <v>31</v>
      </c>
      <c r="E10166" s="21">
        <f t="shared" si="473"/>
        <v>605.25</v>
      </c>
      <c r="F10166" s="22"/>
      <c r="G10166" s="21">
        <f t="shared" si="474"/>
        <v>603.15999999999997</v>
      </c>
      <c r="H10166" s="22"/>
      <c r="I10166" s="23" t="str">
        <f t="shared" si="475"/>
        <v xml:space="preserve">COM VALOR</v>
      </c>
      <c r="L10166" s="21">
        <v>605.25</v>
      </c>
      <c r="M10166" s="22">
        <v>0</v>
      </c>
      <c r="N10166" s="21">
        <v>603.15999999999997</v>
      </c>
      <c r="O10166" s="22">
        <v>0</v>
      </c>
    </row>
    <row r="10167" ht="26.25">
      <c r="A10167" t="s">
        <v>10283</v>
      </c>
      <c r="B10167" s="19">
        <v>89349</v>
      </c>
      <c r="C10167" s="20" t="s">
        <v>10315</v>
      </c>
      <c r="D10167" s="19" t="s">
        <v>31</v>
      </c>
      <c r="E10167" s="21">
        <f t="shared" si="473"/>
        <v>23.059999999999999</v>
      </c>
      <c r="F10167" s="22"/>
      <c r="G10167" s="21">
        <f t="shared" si="474"/>
        <v>22.850000000000001</v>
      </c>
      <c r="H10167" s="22"/>
      <c r="I10167" s="23" t="str">
        <f t="shared" si="475"/>
        <v xml:space="preserve">COM VALOR</v>
      </c>
      <c r="L10167" s="21">
        <v>23.059999999999999</v>
      </c>
      <c r="M10167" s="22">
        <v>0</v>
      </c>
      <c r="N10167" s="21">
        <v>22.850000000000001</v>
      </c>
      <c r="O10167" s="22">
        <v>0</v>
      </c>
    </row>
    <row r="10168" ht="39">
      <c r="A10168" t="s">
        <v>10283</v>
      </c>
      <c r="B10168" s="19">
        <v>89984</v>
      </c>
      <c r="C10168" s="20" t="s">
        <v>10316</v>
      </c>
      <c r="D10168" s="19" t="s">
        <v>31</v>
      </c>
      <c r="E10168" s="21">
        <f t="shared" si="473"/>
        <v>73.290000000000006</v>
      </c>
      <c r="F10168" s="22"/>
      <c r="G10168" s="21">
        <f t="shared" si="474"/>
        <v>72.760000000000005</v>
      </c>
      <c r="H10168" s="22"/>
      <c r="I10168" s="23" t="str">
        <f t="shared" si="475"/>
        <v xml:space="preserve">COM VALOR</v>
      </c>
      <c r="L10168" s="21">
        <v>73.290000000000006</v>
      </c>
      <c r="M10168" s="22">
        <v>0</v>
      </c>
      <c r="N10168" s="21">
        <v>72.760000000000005</v>
      </c>
      <c r="O10168" s="22">
        <v>0</v>
      </c>
    </row>
    <row r="10169" ht="39">
      <c r="A10169" t="s">
        <v>10283</v>
      </c>
      <c r="B10169" s="19">
        <v>89985</v>
      </c>
      <c r="C10169" s="20" t="s">
        <v>10317</v>
      </c>
      <c r="D10169" s="19" t="s">
        <v>31</v>
      </c>
      <c r="E10169" s="21">
        <f t="shared" si="473"/>
        <v>77.409999999999997</v>
      </c>
      <c r="F10169" s="22"/>
      <c r="G10169" s="21">
        <f t="shared" si="474"/>
        <v>76.769999999999996</v>
      </c>
      <c r="H10169" s="22"/>
      <c r="I10169" s="23" t="str">
        <f t="shared" si="475"/>
        <v xml:space="preserve">COM VALOR</v>
      </c>
      <c r="L10169" s="21">
        <v>77.409999999999997</v>
      </c>
      <c r="M10169" s="22">
        <v>0</v>
      </c>
      <c r="N10169" s="21">
        <v>76.769999999999996</v>
      </c>
      <c r="O10169" s="22">
        <v>0</v>
      </c>
    </row>
    <row r="10170" ht="26.25">
      <c r="A10170" t="s">
        <v>10283</v>
      </c>
      <c r="B10170" s="19">
        <v>89351</v>
      </c>
      <c r="C10170" s="20" t="s">
        <v>10318</v>
      </c>
      <c r="D10170" s="19" t="s">
        <v>31</v>
      </c>
      <c r="E10170" s="21">
        <f t="shared" si="473"/>
        <v>28.77</v>
      </c>
      <c r="F10170" s="22"/>
      <c r="G10170" s="21">
        <f t="shared" si="474"/>
        <v>28.449999999999999</v>
      </c>
      <c r="H10170" s="22"/>
      <c r="I10170" s="23" t="str">
        <f t="shared" si="475"/>
        <v xml:space="preserve">COM VALOR</v>
      </c>
      <c r="L10170" s="21">
        <v>28.77</v>
      </c>
      <c r="M10170" s="22">
        <v>0</v>
      </c>
      <c r="N10170" s="21">
        <v>28.449999999999999</v>
      </c>
      <c r="O10170" s="22">
        <v>0</v>
      </c>
    </row>
    <row r="10171" ht="26.25">
      <c r="A10171" t="s">
        <v>10283</v>
      </c>
      <c r="B10171" s="19">
        <v>103045</v>
      </c>
      <c r="C10171" s="20" t="s">
        <v>10319</v>
      </c>
      <c r="D10171" s="19" t="s">
        <v>31</v>
      </c>
      <c r="E10171" s="21">
        <f t="shared" si="473"/>
        <v>9.4700000000000006</v>
      </c>
      <c r="F10171" s="22"/>
      <c r="G10171" s="21">
        <f t="shared" si="474"/>
        <v>9.2599999999999998</v>
      </c>
      <c r="H10171" s="22"/>
      <c r="I10171" s="23" t="str">
        <f t="shared" si="475"/>
        <v xml:space="preserve">COM VALOR</v>
      </c>
      <c r="L10171" s="21">
        <v>9.4700000000000006</v>
      </c>
      <c r="M10171" s="22">
        <v>0</v>
      </c>
      <c r="N10171" s="21">
        <v>9.2599999999999998</v>
      </c>
      <c r="O10171" s="22">
        <v>0</v>
      </c>
    </row>
    <row r="10172" ht="26.25">
      <c r="A10172" t="s">
        <v>10283</v>
      </c>
      <c r="B10172" s="19">
        <v>103046</v>
      </c>
      <c r="C10172" s="20" t="s">
        <v>10320</v>
      </c>
      <c r="D10172" s="19" t="s">
        <v>31</v>
      </c>
      <c r="E10172" s="21">
        <f t="shared" si="473"/>
        <v>21.960000000000001</v>
      </c>
      <c r="F10172" s="22"/>
      <c r="G10172" s="21">
        <f t="shared" si="474"/>
        <v>21.640000000000001</v>
      </c>
      <c r="H10172" s="22"/>
      <c r="I10172" s="23" t="str">
        <f t="shared" si="475"/>
        <v xml:space="preserve">COM VALOR</v>
      </c>
      <c r="L10172" s="21">
        <v>21.960000000000001</v>
      </c>
      <c r="M10172" s="22">
        <v>0</v>
      </c>
      <c r="N10172" s="21">
        <v>21.640000000000001</v>
      </c>
      <c r="O10172" s="22">
        <v>0</v>
      </c>
    </row>
    <row r="10173" ht="26.25">
      <c r="A10173" t="s">
        <v>10283</v>
      </c>
      <c r="B10173" s="19">
        <v>103048</v>
      </c>
      <c r="C10173" s="20" t="s">
        <v>10321</v>
      </c>
      <c r="D10173" s="19" t="s">
        <v>31</v>
      </c>
      <c r="E10173" s="21">
        <f t="shared" si="473"/>
        <v>17.530000000000001</v>
      </c>
      <c r="F10173" s="22"/>
      <c r="G10173" s="21">
        <f t="shared" si="474"/>
        <v>17.280000000000001</v>
      </c>
      <c r="H10173" s="22"/>
      <c r="I10173" s="23" t="str">
        <f t="shared" si="475"/>
        <v xml:space="preserve">COM VALOR</v>
      </c>
      <c r="L10173" s="21">
        <v>17.530000000000001</v>
      </c>
      <c r="M10173" s="22">
        <v>0</v>
      </c>
      <c r="N10173" s="21">
        <v>17.280000000000001</v>
      </c>
      <c r="O10173" s="22">
        <v>0</v>
      </c>
    </row>
    <row r="10174" ht="26.25">
      <c r="A10174" t="s">
        <v>10283</v>
      </c>
      <c r="B10174" s="19">
        <v>103049</v>
      </c>
      <c r="C10174" s="20" t="s">
        <v>10322</v>
      </c>
      <c r="D10174" s="19" t="s">
        <v>31</v>
      </c>
      <c r="E10174" s="21">
        <f t="shared" si="473"/>
        <v>19.010000000000002</v>
      </c>
      <c r="F10174" s="22"/>
      <c r="G10174" s="21">
        <f t="shared" si="474"/>
        <v>18.780000000000001</v>
      </c>
      <c r="H10174" s="22"/>
      <c r="I10174" s="23" t="str">
        <f t="shared" si="475"/>
        <v xml:space="preserve">COM VALOR</v>
      </c>
      <c r="L10174" s="21">
        <v>19.010000000000002</v>
      </c>
      <c r="M10174" s="22">
        <v>0</v>
      </c>
      <c r="N10174" s="21">
        <v>18.780000000000001</v>
      </c>
      <c r="O10174" s="22">
        <v>0</v>
      </c>
    </row>
    <row r="10175" ht="26.25">
      <c r="A10175" t="s">
        <v>10283</v>
      </c>
      <c r="B10175" s="19">
        <v>103029</v>
      </c>
      <c r="C10175" s="20" t="s">
        <v>10323</v>
      </c>
      <c r="D10175" s="19" t="s">
        <v>31</v>
      </c>
      <c r="E10175" s="21">
        <f t="shared" si="473"/>
        <v>39.18</v>
      </c>
      <c r="F10175" s="22"/>
      <c r="G10175" s="21">
        <f t="shared" si="474"/>
        <v>38.859999999999999</v>
      </c>
      <c r="H10175" s="22"/>
      <c r="I10175" s="23" t="str">
        <f t="shared" si="475"/>
        <v xml:space="preserve">COM VALOR</v>
      </c>
      <c r="L10175" s="21">
        <v>39.18</v>
      </c>
      <c r="M10175" s="22">
        <v>0</v>
      </c>
      <c r="N10175" s="21">
        <v>38.859999999999999</v>
      </c>
      <c r="O10175" s="22">
        <v>0</v>
      </c>
    </row>
    <row r="10176" ht="39">
      <c r="A10176" t="s">
        <v>10283</v>
      </c>
      <c r="B10176" s="19">
        <v>103019</v>
      </c>
      <c r="C10176" s="20" t="s">
        <v>10324</v>
      </c>
      <c r="D10176" s="19" t="s">
        <v>31</v>
      </c>
      <c r="E10176" s="21">
        <f t="shared" si="473"/>
        <v>203.59999999999999</v>
      </c>
      <c r="F10176" s="22"/>
      <c r="G10176" s="21">
        <f t="shared" si="474"/>
        <v>202.28</v>
      </c>
      <c r="H10176" s="22"/>
      <c r="I10176" s="23" t="str">
        <f t="shared" si="475"/>
        <v xml:space="preserve">COM VALOR</v>
      </c>
      <c r="L10176" s="21">
        <v>203.59999999999999</v>
      </c>
      <c r="M10176" s="22">
        <v>0</v>
      </c>
      <c r="N10176" s="21">
        <v>202.28</v>
      </c>
      <c r="O10176" s="22">
        <v>0</v>
      </c>
    </row>
    <row r="10177" ht="26.25">
      <c r="A10177" t="s">
        <v>10283</v>
      </c>
      <c r="B10177" s="19">
        <v>103050</v>
      </c>
      <c r="C10177" s="20" t="s">
        <v>10325</v>
      </c>
      <c r="D10177" s="19" t="s">
        <v>31</v>
      </c>
      <c r="E10177" s="21">
        <f t="shared" si="473"/>
        <v>25.84</v>
      </c>
      <c r="F10177" s="22"/>
      <c r="G10177" s="21">
        <f t="shared" si="474"/>
        <v>24.690000000000001</v>
      </c>
      <c r="H10177" s="22"/>
      <c r="I10177" s="23" t="str">
        <f t="shared" si="475"/>
        <v xml:space="preserve">COM VALOR</v>
      </c>
      <c r="L10177" s="21">
        <v>25.84</v>
      </c>
      <c r="M10177" s="22">
        <v>0</v>
      </c>
      <c r="N10177" s="21">
        <v>24.690000000000001</v>
      </c>
      <c r="O10177" s="22">
        <v>0</v>
      </c>
    </row>
    <row r="10178" ht="26.25">
      <c r="A10178" t="s">
        <v>10283</v>
      </c>
      <c r="B10178" s="19">
        <v>103051</v>
      </c>
      <c r="C10178" s="20" t="s">
        <v>10326</v>
      </c>
      <c r="D10178" s="19" t="s">
        <v>31</v>
      </c>
      <c r="E10178" s="21">
        <f t="shared" si="473"/>
        <v>31.23</v>
      </c>
      <c r="F10178" s="22"/>
      <c r="G10178" s="21">
        <f t="shared" si="474"/>
        <v>29.859999999999999</v>
      </c>
      <c r="H10178" s="22"/>
      <c r="I10178" s="23" t="str">
        <f t="shared" si="475"/>
        <v xml:space="preserve">COM VALOR</v>
      </c>
      <c r="L10178" s="21">
        <v>31.23</v>
      </c>
      <c r="M10178" s="22">
        <v>0</v>
      </c>
      <c r="N10178" s="21">
        <v>29.859999999999999</v>
      </c>
      <c r="O10178" s="22">
        <v>0</v>
      </c>
    </row>
    <row r="10179" ht="26.25">
      <c r="A10179" t="s">
        <v>10283</v>
      </c>
      <c r="B10179" s="19">
        <v>103052</v>
      </c>
      <c r="C10179" s="20" t="s">
        <v>10327</v>
      </c>
      <c r="D10179" s="19" t="s">
        <v>31</v>
      </c>
      <c r="E10179" s="21">
        <f t="shared" si="473"/>
        <v>41.990000000000002</v>
      </c>
      <c r="F10179" s="22"/>
      <c r="G10179" s="21">
        <f t="shared" si="474"/>
        <v>40.289999999999999</v>
      </c>
      <c r="H10179" s="22"/>
      <c r="I10179" s="23" t="str">
        <f t="shared" si="475"/>
        <v xml:space="preserve">COM VALOR</v>
      </c>
      <c r="L10179" s="21">
        <v>41.990000000000002</v>
      </c>
      <c r="M10179" s="22">
        <v>0</v>
      </c>
      <c r="N10179" s="21">
        <v>40.289999999999999</v>
      </c>
      <c r="O10179" s="22">
        <v>0</v>
      </c>
    </row>
    <row r="10180" ht="26.25">
      <c r="A10180" t="s">
        <v>10283</v>
      </c>
      <c r="B10180" s="19">
        <v>94799</v>
      </c>
      <c r="C10180" s="20" t="s">
        <v>10328</v>
      </c>
      <c r="D10180" s="19" t="s">
        <v>31</v>
      </c>
      <c r="E10180" s="21">
        <f t="shared" si="473"/>
        <v>191.46000000000001</v>
      </c>
      <c r="F10180" s="22"/>
      <c r="G10180" s="21">
        <f t="shared" si="474"/>
        <v>190.15000000000001</v>
      </c>
      <c r="H10180" s="22"/>
      <c r="I10180" s="23" t="str">
        <f t="shared" si="475"/>
        <v xml:space="preserve">COM VALOR</v>
      </c>
      <c r="L10180" s="21">
        <v>191.46000000000001</v>
      </c>
      <c r="M10180" s="22">
        <v>0</v>
      </c>
      <c r="N10180" s="21">
        <v>190.15000000000001</v>
      </c>
      <c r="O10180" s="22">
        <v>0</v>
      </c>
    </row>
    <row r="10181" ht="26.25">
      <c r="A10181" t="s">
        <v>10283</v>
      </c>
      <c r="B10181" s="19">
        <v>94798</v>
      </c>
      <c r="C10181" s="20" t="s">
        <v>10329</v>
      </c>
      <c r="D10181" s="19" t="s">
        <v>31</v>
      </c>
      <c r="E10181" s="21">
        <f t="shared" si="473"/>
        <v>155.86000000000001</v>
      </c>
      <c r="F10181" s="22"/>
      <c r="G10181" s="21">
        <f t="shared" si="474"/>
        <v>154.86000000000001</v>
      </c>
      <c r="H10181" s="22"/>
      <c r="I10181" s="23" t="str">
        <f t="shared" si="475"/>
        <v xml:space="preserve">COM VALOR</v>
      </c>
      <c r="L10181" s="21">
        <v>155.86000000000001</v>
      </c>
      <c r="M10181" s="22">
        <v>0</v>
      </c>
      <c r="N10181" s="21">
        <v>154.86000000000001</v>
      </c>
      <c r="O10181" s="22">
        <v>0</v>
      </c>
    </row>
    <row r="10182" ht="26.25">
      <c r="A10182" t="s">
        <v>10283</v>
      </c>
      <c r="B10182" s="19">
        <v>94797</v>
      </c>
      <c r="C10182" s="20" t="s">
        <v>10330</v>
      </c>
      <c r="D10182" s="19" t="s">
        <v>31</v>
      </c>
      <c r="E10182" s="21">
        <f t="shared" si="473"/>
        <v>94.159999999999997</v>
      </c>
      <c r="F10182" s="22"/>
      <c r="G10182" s="21">
        <f t="shared" si="474"/>
        <v>93.420000000000002</v>
      </c>
      <c r="H10182" s="22"/>
      <c r="I10182" s="23" t="str">
        <f t="shared" si="475"/>
        <v xml:space="preserve">COM VALOR</v>
      </c>
      <c r="L10182" s="21">
        <v>94.159999999999997</v>
      </c>
      <c r="M10182" s="22">
        <v>0</v>
      </c>
      <c r="N10182" s="21">
        <v>93.420000000000002</v>
      </c>
      <c r="O10182" s="22">
        <v>0</v>
      </c>
    </row>
    <row r="10183" ht="26.25">
      <c r="A10183" t="s">
        <v>10283</v>
      </c>
      <c r="B10183" s="19">
        <v>94795</v>
      </c>
      <c r="C10183" s="20" t="s">
        <v>10331</v>
      </c>
      <c r="D10183" s="19" t="s">
        <v>31</v>
      </c>
      <c r="E10183" s="21">
        <f t="shared" si="473"/>
        <v>39.719999999999999</v>
      </c>
      <c r="F10183" s="22"/>
      <c r="G10183" s="21">
        <f t="shared" si="474"/>
        <v>39.359999999999999</v>
      </c>
      <c r="H10183" s="22"/>
      <c r="I10183" s="23" t="str">
        <f t="shared" si="475"/>
        <v xml:space="preserve">COM VALOR</v>
      </c>
      <c r="L10183" s="21">
        <v>39.719999999999999</v>
      </c>
      <c r="M10183" s="22">
        <v>0</v>
      </c>
      <c r="N10183" s="21">
        <v>39.359999999999999</v>
      </c>
      <c r="O10183" s="22">
        <v>0</v>
      </c>
    </row>
    <row r="10184" ht="26.25">
      <c r="A10184" t="s">
        <v>10283</v>
      </c>
      <c r="B10184" s="19">
        <v>94800</v>
      </c>
      <c r="C10184" s="20" t="s">
        <v>10332</v>
      </c>
      <c r="D10184" s="19" t="s">
        <v>31</v>
      </c>
      <c r="E10184" s="21">
        <f t="shared" si="473"/>
        <v>245.83000000000001</v>
      </c>
      <c r="F10184" s="22"/>
      <c r="G10184" s="21">
        <f t="shared" si="474"/>
        <v>244.13999999999999</v>
      </c>
      <c r="H10184" s="22"/>
      <c r="I10184" s="23" t="str">
        <f t="shared" si="475"/>
        <v xml:space="preserve">COM VALOR</v>
      </c>
      <c r="L10184" s="21">
        <v>245.83000000000001</v>
      </c>
      <c r="M10184" s="22">
        <v>0</v>
      </c>
      <c r="N10184" s="21">
        <v>244.13999999999999</v>
      </c>
      <c r="O10184" s="22">
        <v>0</v>
      </c>
    </row>
    <row r="10185" ht="26.25">
      <c r="A10185" t="s">
        <v>10283</v>
      </c>
      <c r="B10185" s="19">
        <v>94796</v>
      </c>
      <c r="C10185" s="20" t="s">
        <v>10333</v>
      </c>
      <c r="D10185" s="19" t="s">
        <v>31</v>
      </c>
      <c r="E10185" s="21">
        <f t="shared" si="473"/>
        <v>45.759999999999998</v>
      </c>
      <c r="F10185" s="22"/>
      <c r="G10185" s="21">
        <f t="shared" si="474"/>
        <v>45.210000000000001</v>
      </c>
      <c r="H10185" s="22"/>
      <c r="I10185" s="23" t="str">
        <f t="shared" si="475"/>
        <v xml:space="preserve">COM VALOR</v>
      </c>
      <c r="L10185" s="21">
        <v>45.759999999999998</v>
      </c>
      <c r="M10185" s="22">
        <v>0</v>
      </c>
      <c r="N10185" s="21">
        <v>45.210000000000001</v>
      </c>
      <c r="O10185" s="22">
        <v>0</v>
      </c>
    </row>
    <row r="10186" ht="26.25">
      <c r="A10186" t="s">
        <v>10283</v>
      </c>
      <c r="B10186" s="19">
        <v>99635</v>
      </c>
      <c r="C10186" s="20" t="s">
        <v>10334</v>
      </c>
      <c r="D10186" s="19" t="s">
        <v>31</v>
      </c>
      <c r="E10186" s="21">
        <f t="shared" si="473"/>
        <v>261.70999999999998</v>
      </c>
      <c r="F10186" s="22"/>
      <c r="G10186" s="21">
        <f t="shared" si="474"/>
        <v>259.05000000000001</v>
      </c>
      <c r="H10186" s="22"/>
      <c r="I10186" s="23" t="str">
        <f t="shared" si="475"/>
        <v xml:space="preserve">COM VALOR</v>
      </c>
      <c r="L10186" s="21">
        <v>261.70999999999998</v>
      </c>
      <c r="M10186" s="22">
        <v>0</v>
      </c>
      <c r="N10186" s="21">
        <v>259.05000000000001</v>
      </c>
      <c r="O10186" s="22">
        <v>0</v>
      </c>
    </row>
    <row r="10187" ht="26.25">
      <c r="A10187" t="s">
        <v>10283</v>
      </c>
      <c r="B10187" s="19">
        <v>103018</v>
      </c>
      <c r="C10187" s="20" t="s">
        <v>10335</v>
      </c>
      <c r="D10187" s="19" t="s">
        <v>31</v>
      </c>
      <c r="E10187" s="21">
        <f t="shared" ref="E10187:E10250" si="476">IF(L10187=0,"VERIFICAR",L10187)</f>
        <v>214.72999999999999</v>
      </c>
      <c r="F10187" s="22"/>
      <c r="G10187" s="21">
        <f t="shared" ref="G10187:G10250" si="477">IF(N10187=0,"VERIFICAR",N10187)</f>
        <v>212.41999999999999</v>
      </c>
      <c r="H10187" s="22"/>
      <c r="I10187" s="23" t="str">
        <f t="shared" ref="I10187:I10250" si="478">IF(OR(E10187=0,G10187=0),"SEM VALOR","COM VALOR")</f>
        <v xml:space="preserve">COM VALOR</v>
      </c>
      <c r="L10187" s="21">
        <v>214.72999999999999</v>
      </c>
      <c r="M10187" s="22">
        <v>0</v>
      </c>
      <c r="N10187" s="21">
        <v>212.41999999999999</v>
      </c>
      <c r="O10187" s="22">
        <v>0</v>
      </c>
    </row>
    <row r="10188" ht="26.25">
      <c r="A10188" t="s">
        <v>10283</v>
      </c>
      <c r="B10188" s="19">
        <v>95252</v>
      </c>
      <c r="C10188" s="20" t="s">
        <v>10336</v>
      </c>
      <c r="D10188" s="19" t="s">
        <v>31</v>
      </c>
      <c r="E10188" s="21">
        <f t="shared" si="476"/>
        <v>127.81</v>
      </c>
      <c r="F10188" s="22"/>
      <c r="G10188" s="21">
        <f t="shared" si="477"/>
        <v>127.05</v>
      </c>
      <c r="H10188" s="22"/>
      <c r="I10188" s="23" t="str">
        <f t="shared" si="478"/>
        <v xml:space="preserve">COM VALOR</v>
      </c>
      <c r="L10188" s="21">
        <v>127.81</v>
      </c>
      <c r="M10188" s="22">
        <v>0</v>
      </c>
      <c r="N10188" s="21">
        <v>127.05</v>
      </c>
      <c r="O10188" s="22">
        <v>0</v>
      </c>
    </row>
    <row r="10189" ht="26.25">
      <c r="A10189" t="s">
        <v>10283</v>
      </c>
      <c r="B10189" s="19">
        <v>95251</v>
      </c>
      <c r="C10189" s="20" t="s">
        <v>10337</v>
      </c>
      <c r="D10189" s="19" t="s">
        <v>31</v>
      </c>
      <c r="E10189" s="21">
        <f t="shared" si="476"/>
        <v>105.23</v>
      </c>
      <c r="F10189" s="22"/>
      <c r="G10189" s="21">
        <f t="shared" si="477"/>
        <v>104.65000000000001</v>
      </c>
      <c r="H10189" s="22"/>
      <c r="I10189" s="23" t="str">
        <f t="shared" si="478"/>
        <v xml:space="preserve">COM VALOR</v>
      </c>
      <c r="L10189" s="21">
        <v>105.23</v>
      </c>
      <c r="M10189" s="22">
        <v>0</v>
      </c>
      <c r="N10189" s="21">
        <v>104.65000000000001</v>
      </c>
      <c r="O10189" s="22">
        <v>0</v>
      </c>
    </row>
    <row r="10190" ht="26.25">
      <c r="A10190" t="s">
        <v>10283</v>
      </c>
      <c r="B10190" s="19">
        <v>95250</v>
      </c>
      <c r="C10190" s="20" t="s">
        <v>10338</v>
      </c>
      <c r="D10190" s="19" t="s">
        <v>31</v>
      </c>
      <c r="E10190" s="21">
        <f t="shared" si="476"/>
        <v>71.290000000000006</v>
      </c>
      <c r="F10190" s="22"/>
      <c r="G10190" s="21">
        <f t="shared" si="477"/>
        <v>70.859999999999999</v>
      </c>
      <c r="H10190" s="22"/>
      <c r="I10190" s="23" t="str">
        <f t="shared" si="478"/>
        <v xml:space="preserve">COM VALOR</v>
      </c>
      <c r="L10190" s="21">
        <v>71.290000000000006</v>
      </c>
      <c r="M10190" s="22">
        <v>0</v>
      </c>
      <c r="N10190" s="21">
        <v>70.859999999999999</v>
      </c>
      <c r="O10190" s="22">
        <v>0</v>
      </c>
    </row>
    <row r="10191" ht="26.25">
      <c r="A10191" t="s">
        <v>10283</v>
      </c>
      <c r="B10191" s="19">
        <v>95248</v>
      </c>
      <c r="C10191" s="20" t="s">
        <v>10339</v>
      </c>
      <c r="D10191" s="19" t="s">
        <v>31</v>
      </c>
      <c r="E10191" s="21">
        <f t="shared" si="476"/>
        <v>44.560000000000002</v>
      </c>
      <c r="F10191" s="22"/>
      <c r="G10191" s="21">
        <f t="shared" si="477"/>
        <v>44.350000000000001</v>
      </c>
      <c r="H10191" s="22"/>
      <c r="I10191" s="23" t="str">
        <f t="shared" si="478"/>
        <v xml:space="preserve">COM VALOR</v>
      </c>
      <c r="L10191" s="21">
        <v>44.560000000000002</v>
      </c>
      <c r="M10191" s="22">
        <v>0</v>
      </c>
      <c r="N10191" s="21">
        <v>44.350000000000001</v>
      </c>
      <c r="O10191" s="22">
        <v>0</v>
      </c>
    </row>
    <row r="10192" ht="26.25">
      <c r="A10192" t="s">
        <v>10283</v>
      </c>
      <c r="B10192" s="19">
        <v>95253</v>
      </c>
      <c r="C10192" s="20" t="s">
        <v>10340</v>
      </c>
      <c r="D10192" s="19" t="s">
        <v>31</v>
      </c>
      <c r="E10192" s="21">
        <f t="shared" si="476"/>
        <v>193.63</v>
      </c>
      <c r="F10192" s="22"/>
      <c r="G10192" s="21">
        <f t="shared" si="477"/>
        <v>192.63999999999999</v>
      </c>
      <c r="H10192" s="22"/>
      <c r="I10192" s="23" t="str">
        <f t="shared" si="478"/>
        <v xml:space="preserve">COM VALOR</v>
      </c>
      <c r="L10192" s="21">
        <v>193.63</v>
      </c>
      <c r="M10192" s="22">
        <v>0</v>
      </c>
      <c r="N10192" s="21">
        <v>192.63999999999999</v>
      </c>
      <c r="O10192" s="22">
        <v>0</v>
      </c>
    </row>
    <row r="10193" ht="26.25">
      <c r="A10193" t="s">
        <v>10283</v>
      </c>
      <c r="B10193" s="19">
        <v>95249</v>
      </c>
      <c r="C10193" s="20" t="s">
        <v>10341</v>
      </c>
      <c r="D10193" s="19" t="s">
        <v>31</v>
      </c>
      <c r="E10193" s="21">
        <f t="shared" si="476"/>
        <v>52.82</v>
      </c>
      <c r="F10193" s="22"/>
      <c r="G10193" s="21">
        <f t="shared" si="477"/>
        <v>52.5</v>
      </c>
      <c r="H10193" s="22"/>
      <c r="I10193" s="23" t="str">
        <f t="shared" si="478"/>
        <v xml:space="preserve">COM VALOR</v>
      </c>
      <c r="L10193" s="21">
        <v>52.82</v>
      </c>
      <c r="M10193" s="22">
        <v>0</v>
      </c>
      <c r="N10193" s="21">
        <v>52.5</v>
      </c>
      <c r="O10193" s="22">
        <v>0</v>
      </c>
    </row>
    <row r="10194" ht="26.25">
      <c r="A10194" t="s">
        <v>10283</v>
      </c>
      <c r="B10194" s="19">
        <v>99622</v>
      </c>
      <c r="C10194" s="20" t="s">
        <v>10342</v>
      </c>
      <c r="D10194" s="19" t="s">
        <v>31</v>
      </c>
      <c r="E10194" s="21">
        <f t="shared" si="476"/>
        <v>364.45999999999998</v>
      </c>
      <c r="F10194" s="22"/>
      <c r="G10194" s="21">
        <f t="shared" si="477"/>
        <v>363.69999999999999</v>
      </c>
      <c r="H10194" s="22"/>
      <c r="I10194" s="23" t="str">
        <f t="shared" si="478"/>
        <v xml:space="preserve">COM VALOR</v>
      </c>
      <c r="L10194" s="21">
        <v>364.45999999999998</v>
      </c>
      <c r="M10194" s="22">
        <v>0.95999999999999996</v>
      </c>
      <c r="N10194" s="21">
        <v>363.69999999999999</v>
      </c>
      <c r="O10194" s="22">
        <v>0.95999999999999996</v>
      </c>
    </row>
    <row r="10195" ht="26.25">
      <c r="A10195" t="s">
        <v>10283</v>
      </c>
      <c r="B10195" s="19">
        <v>99621</v>
      </c>
      <c r="C10195" s="20" t="s">
        <v>10343</v>
      </c>
      <c r="D10195" s="19" t="s">
        <v>31</v>
      </c>
      <c r="E10195" s="21">
        <f t="shared" si="476"/>
        <v>324.39999999999998</v>
      </c>
      <c r="F10195" s="22"/>
      <c r="G10195" s="21">
        <f t="shared" si="477"/>
        <v>323.81999999999999</v>
      </c>
      <c r="H10195" s="22"/>
      <c r="I10195" s="23" t="str">
        <f t="shared" si="478"/>
        <v xml:space="preserve">COM VALOR</v>
      </c>
      <c r="L10195" s="21">
        <v>324.39999999999998</v>
      </c>
      <c r="M10195" s="22">
        <v>0.96750000000000003</v>
      </c>
      <c r="N10195" s="21">
        <v>323.81999999999999</v>
      </c>
      <c r="O10195" s="22">
        <v>0.96999999999999997</v>
      </c>
    </row>
    <row r="10196" ht="26.25">
      <c r="A10196" t="s">
        <v>10283</v>
      </c>
      <c r="B10196" s="19">
        <v>99620</v>
      </c>
      <c r="C10196" s="20" t="s">
        <v>10344</v>
      </c>
      <c r="D10196" s="19" t="s">
        <v>31</v>
      </c>
      <c r="E10196" s="21">
        <f t="shared" si="476"/>
        <v>217.41999999999999</v>
      </c>
      <c r="F10196" s="22"/>
      <c r="G10196" s="21">
        <f t="shared" si="477"/>
        <v>216.99000000000001</v>
      </c>
      <c r="H10196" s="22"/>
      <c r="I10196" s="23" t="str">
        <f t="shared" si="478"/>
        <v xml:space="preserve">COM VALOR</v>
      </c>
      <c r="L10196" s="21">
        <v>217.41999999999999</v>
      </c>
      <c r="M10196" s="22">
        <v>0.95999999999999996</v>
      </c>
      <c r="N10196" s="21">
        <v>216.99000000000001</v>
      </c>
      <c r="O10196" s="22">
        <v>0.96999999999999997</v>
      </c>
    </row>
    <row r="10197" ht="26.25">
      <c r="A10197" t="s">
        <v>10283</v>
      </c>
      <c r="B10197" s="19">
        <v>103008</v>
      </c>
      <c r="C10197" s="20" t="s">
        <v>10345</v>
      </c>
      <c r="D10197" s="19" t="s">
        <v>31</v>
      </c>
      <c r="E10197" s="21">
        <f t="shared" si="476"/>
        <v>131.08000000000001</v>
      </c>
      <c r="F10197" s="22"/>
      <c r="G10197" s="21">
        <f t="shared" si="477"/>
        <v>130.87</v>
      </c>
      <c r="H10197" s="22"/>
      <c r="I10197" s="23" t="str">
        <f t="shared" si="478"/>
        <v xml:space="preserve">COM VALOR</v>
      </c>
      <c r="L10197" s="21">
        <v>131.08000000000001</v>
      </c>
      <c r="M10197" s="22">
        <v>0.96999999999999997</v>
      </c>
      <c r="N10197" s="21">
        <v>130.87</v>
      </c>
      <c r="O10197" s="22">
        <v>0.96999999999999997</v>
      </c>
    </row>
    <row r="10198" ht="26.25">
      <c r="A10198" t="s">
        <v>10283</v>
      </c>
      <c r="B10198" s="19">
        <v>99624</v>
      </c>
      <c r="C10198" s="20" t="s">
        <v>10346</v>
      </c>
      <c r="D10198" s="19" t="s">
        <v>31</v>
      </c>
      <c r="E10198" s="21">
        <f t="shared" si="476"/>
        <v>726.34000000000003</v>
      </c>
      <c r="F10198" s="22"/>
      <c r="G10198" s="21">
        <f t="shared" si="477"/>
        <v>725.01999999999998</v>
      </c>
      <c r="H10198" s="22"/>
      <c r="I10198" s="23" t="str">
        <f t="shared" si="478"/>
        <v xml:space="preserve">COM VALOR</v>
      </c>
      <c r="L10198" s="21">
        <v>726.34000000000003</v>
      </c>
      <c r="M10198" s="22">
        <v>0.96750000000000003</v>
      </c>
      <c r="N10198" s="21">
        <v>725.01999999999998</v>
      </c>
      <c r="O10198" s="22">
        <v>0.96999999999999997</v>
      </c>
    </row>
    <row r="10199" ht="26.25">
      <c r="A10199" t="s">
        <v>10283</v>
      </c>
      <c r="B10199" s="19">
        <v>99623</v>
      </c>
      <c r="C10199" s="20" t="s">
        <v>10347</v>
      </c>
      <c r="D10199" s="19" t="s">
        <v>31</v>
      </c>
      <c r="E10199" s="21">
        <f t="shared" si="476"/>
        <v>509.08999999999997</v>
      </c>
      <c r="F10199" s="22"/>
      <c r="G10199" s="21">
        <f t="shared" si="477"/>
        <v>508.10000000000002</v>
      </c>
      <c r="H10199" s="22"/>
      <c r="I10199" s="23" t="str">
        <f t="shared" si="478"/>
        <v xml:space="preserve">COM VALOR</v>
      </c>
      <c r="L10199" s="21">
        <v>509.08999999999997</v>
      </c>
      <c r="M10199" s="22">
        <v>0.96999999999999997</v>
      </c>
      <c r="N10199" s="21">
        <v>508.10000000000002</v>
      </c>
      <c r="O10199" s="22">
        <v>0.96999999999999997</v>
      </c>
    </row>
    <row r="10200" ht="26.25">
      <c r="A10200" t="s">
        <v>10283</v>
      </c>
      <c r="B10200" s="19">
        <v>99625</v>
      </c>
      <c r="C10200" s="20" t="s">
        <v>10348</v>
      </c>
      <c r="D10200" s="19" t="s">
        <v>31</v>
      </c>
      <c r="E10200" s="21">
        <f t="shared" si="476"/>
        <v>1000.16</v>
      </c>
      <c r="F10200" s="22"/>
      <c r="G10200" s="21">
        <f t="shared" si="477"/>
        <v>998.51999999999998</v>
      </c>
      <c r="H10200" s="22"/>
      <c r="I10200" s="23" t="str">
        <f t="shared" si="478"/>
        <v xml:space="preserve">COM VALOR</v>
      </c>
      <c r="L10200" s="21">
        <v>1000.16</v>
      </c>
      <c r="M10200" s="22">
        <v>0.96999999999999997</v>
      </c>
      <c r="N10200" s="21">
        <v>998.51999999999998</v>
      </c>
      <c r="O10200" s="22">
        <v>0.96999999999999997</v>
      </c>
    </row>
    <row r="10201" ht="26.25">
      <c r="A10201" t="s">
        <v>10283</v>
      </c>
      <c r="B10201" s="19">
        <v>99619</v>
      </c>
      <c r="C10201" s="20" t="s">
        <v>10349</v>
      </c>
      <c r="D10201" s="19" t="s">
        <v>31</v>
      </c>
      <c r="E10201" s="21">
        <f t="shared" si="476"/>
        <v>160.02000000000001</v>
      </c>
      <c r="F10201" s="22"/>
      <c r="G10201" s="21">
        <f t="shared" si="477"/>
        <v>159.69999999999999</v>
      </c>
      <c r="H10201" s="22"/>
      <c r="I10201" s="23" t="str">
        <f t="shared" si="478"/>
        <v xml:space="preserve">COM VALOR</v>
      </c>
      <c r="L10201" s="21">
        <v>160.02000000000001</v>
      </c>
      <c r="M10201" s="22">
        <v>0.95999999999999996</v>
      </c>
      <c r="N10201" s="21">
        <v>159.69999999999999</v>
      </c>
      <c r="O10201" s="22">
        <v>0.96999999999999997</v>
      </c>
    </row>
    <row r="10202" ht="26.25">
      <c r="A10202" t="s">
        <v>10283</v>
      </c>
      <c r="B10202" s="19">
        <v>99626</v>
      </c>
      <c r="C10202" s="20" t="s">
        <v>10350</v>
      </c>
      <c r="D10202" s="19" t="s">
        <v>31</v>
      </c>
      <c r="E10202" s="21">
        <f t="shared" si="476"/>
        <v>1542.9300000000001</v>
      </c>
      <c r="F10202" s="22"/>
      <c r="G10202" s="21">
        <f t="shared" si="477"/>
        <v>1540.8399999999999</v>
      </c>
      <c r="H10202" s="22"/>
      <c r="I10202" s="23" t="str">
        <f t="shared" si="478"/>
        <v xml:space="preserve">COM VALOR</v>
      </c>
      <c r="L10202" s="21">
        <v>1542.9300000000001</v>
      </c>
      <c r="M10202" s="22">
        <v>0.97999999999999998</v>
      </c>
      <c r="N10202" s="21">
        <v>1540.8399999999999</v>
      </c>
      <c r="O10202" s="22">
        <v>0.97999999999999998</v>
      </c>
    </row>
    <row r="10203" ht="26.25">
      <c r="A10203" t="s">
        <v>10283</v>
      </c>
      <c r="B10203" s="19">
        <v>99631</v>
      </c>
      <c r="C10203" s="20" t="s">
        <v>10351</v>
      </c>
      <c r="D10203" s="19" t="s">
        <v>31</v>
      </c>
      <c r="E10203" s="21">
        <f t="shared" si="476"/>
        <v>200.43000000000001</v>
      </c>
      <c r="F10203" s="22"/>
      <c r="G10203" s="21">
        <f t="shared" si="477"/>
        <v>199.66999999999999</v>
      </c>
      <c r="H10203" s="22"/>
      <c r="I10203" s="23" t="str">
        <f t="shared" si="478"/>
        <v xml:space="preserve">COM VALOR</v>
      </c>
      <c r="L10203" s="21">
        <v>200.43000000000001</v>
      </c>
      <c r="M10203" s="22">
        <v>0.93000000000000005</v>
      </c>
      <c r="N10203" s="21">
        <v>199.66999999999999</v>
      </c>
      <c r="O10203" s="22">
        <v>0.93999999999999995</v>
      </c>
    </row>
    <row r="10204" ht="26.25">
      <c r="A10204" t="s">
        <v>10283</v>
      </c>
      <c r="B10204" s="19">
        <v>99630</v>
      </c>
      <c r="C10204" s="20" t="s">
        <v>10352</v>
      </c>
      <c r="D10204" s="19" t="s">
        <v>31</v>
      </c>
      <c r="E10204" s="21">
        <f t="shared" si="476"/>
        <v>172.63</v>
      </c>
      <c r="F10204" s="22"/>
      <c r="G10204" s="21">
        <f t="shared" si="477"/>
        <v>172.05000000000001</v>
      </c>
      <c r="H10204" s="22"/>
      <c r="I10204" s="23" t="str">
        <f t="shared" si="478"/>
        <v xml:space="preserve">COM VALOR</v>
      </c>
      <c r="L10204" s="21">
        <v>172.63</v>
      </c>
      <c r="M10204" s="22">
        <v>0.93999999999999995</v>
      </c>
      <c r="N10204" s="21">
        <v>172.05000000000001</v>
      </c>
      <c r="O10204" s="22">
        <v>0.93999999999999995</v>
      </c>
    </row>
    <row r="10205" ht="26.25">
      <c r="A10205" t="s">
        <v>10283</v>
      </c>
      <c r="B10205" s="19">
        <v>99629</v>
      </c>
      <c r="C10205" s="20" t="s">
        <v>10353</v>
      </c>
      <c r="D10205" s="19" t="s">
        <v>31</v>
      </c>
      <c r="E10205" s="21">
        <f t="shared" si="476"/>
        <v>115.8</v>
      </c>
      <c r="F10205" s="22"/>
      <c r="G10205" s="21">
        <f t="shared" si="477"/>
        <v>115.37</v>
      </c>
      <c r="H10205" s="22"/>
      <c r="I10205" s="23" t="str">
        <f t="shared" si="478"/>
        <v xml:space="preserve">COM VALOR</v>
      </c>
      <c r="L10205" s="21">
        <v>115.8</v>
      </c>
      <c r="M10205" s="22">
        <v>0.93000000000000005</v>
      </c>
      <c r="N10205" s="21">
        <v>115.37</v>
      </c>
      <c r="O10205" s="22">
        <v>0.93999999999999995</v>
      </c>
    </row>
    <row r="10206" ht="26.25">
      <c r="A10206" t="s">
        <v>10283</v>
      </c>
      <c r="B10206" s="19">
        <v>99627</v>
      </c>
      <c r="C10206" s="20" t="s">
        <v>10354</v>
      </c>
      <c r="D10206" s="19" t="s">
        <v>31</v>
      </c>
      <c r="E10206" s="21">
        <f t="shared" si="476"/>
        <v>96.450000000000003</v>
      </c>
      <c r="F10206" s="22"/>
      <c r="G10206" s="21">
        <f t="shared" si="477"/>
        <v>96.239999999999995</v>
      </c>
      <c r="H10206" s="22"/>
      <c r="I10206" s="23" t="str">
        <f t="shared" si="478"/>
        <v xml:space="preserve">COM VALOR</v>
      </c>
      <c r="L10206" s="21">
        <v>96.450000000000003</v>
      </c>
      <c r="M10206" s="22">
        <v>0.95999999999999996</v>
      </c>
      <c r="N10206" s="21">
        <v>96.239999999999995</v>
      </c>
      <c r="O10206" s="22">
        <v>0.95999999999999996</v>
      </c>
    </row>
    <row r="10207" ht="26.25">
      <c r="A10207" t="s">
        <v>10283</v>
      </c>
      <c r="B10207" s="19">
        <v>103009</v>
      </c>
      <c r="C10207" s="20" t="s">
        <v>10355</v>
      </c>
      <c r="D10207" s="19" t="s">
        <v>31</v>
      </c>
      <c r="E10207" s="21">
        <f t="shared" si="476"/>
        <v>459.58999999999997</v>
      </c>
      <c r="F10207" s="22"/>
      <c r="G10207" s="21">
        <f t="shared" si="477"/>
        <v>458.26999999999998</v>
      </c>
      <c r="H10207" s="22"/>
      <c r="I10207" s="23" t="str">
        <f t="shared" si="478"/>
        <v xml:space="preserve">COM VALOR</v>
      </c>
      <c r="L10207" s="21">
        <v>459.58999999999997</v>
      </c>
      <c r="M10207" s="22">
        <v>0.94999999999999996</v>
      </c>
      <c r="N10207" s="21">
        <v>458.26999999999998</v>
      </c>
      <c r="O10207" s="22">
        <v>0.94999999999999996</v>
      </c>
    </row>
    <row r="10208" ht="26.25">
      <c r="A10208" t="s">
        <v>10283</v>
      </c>
      <c r="B10208" s="19">
        <v>99632</v>
      </c>
      <c r="C10208" s="20" t="s">
        <v>10356</v>
      </c>
      <c r="D10208" s="19" t="s">
        <v>31</v>
      </c>
      <c r="E10208" s="21">
        <f t="shared" si="476"/>
        <v>289.75</v>
      </c>
      <c r="F10208" s="22"/>
      <c r="G10208" s="21">
        <f t="shared" si="477"/>
        <v>288.75999999999999</v>
      </c>
      <c r="H10208" s="22"/>
      <c r="I10208" s="23" t="str">
        <f t="shared" si="478"/>
        <v xml:space="preserve">COM VALOR</v>
      </c>
      <c r="L10208" s="21">
        <v>289.75</v>
      </c>
      <c r="M10208" s="22">
        <v>0.93999999999999995</v>
      </c>
      <c r="N10208" s="21">
        <v>288.75999999999999</v>
      </c>
      <c r="O10208" s="22">
        <v>0.93999999999999995</v>
      </c>
    </row>
    <row r="10209" ht="26.25">
      <c r="A10209" t="s">
        <v>10283</v>
      </c>
      <c r="B10209" s="19">
        <v>99633</v>
      </c>
      <c r="C10209" s="20" t="s">
        <v>10357</v>
      </c>
      <c r="D10209" s="19" t="s">
        <v>31</v>
      </c>
      <c r="E10209" s="21">
        <f t="shared" si="476"/>
        <v>624.89999999999998</v>
      </c>
      <c r="F10209" s="22"/>
      <c r="G10209" s="21">
        <f t="shared" si="477"/>
        <v>623.25999999999999</v>
      </c>
      <c r="H10209" s="22"/>
      <c r="I10209" s="23" t="str">
        <f t="shared" si="478"/>
        <v xml:space="preserve">COM VALOR</v>
      </c>
      <c r="L10209" s="21">
        <v>624.89999999999998</v>
      </c>
      <c r="M10209" s="22">
        <v>0.94999999999999996</v>
      </c>
      <c r="N10209" s="21">
        <v>623.25999999999999</v>
      </c>
      <c r="O10209" s="22">
        <v>0.95999999999999996</v>
      </c>
    </row>
    <row r="10210" ht="26.25">
      <c r="A10210" t="s">
        <v>10283</v>
      </c>
      <c r="B10210" s="19">
        <v>99628</v>
      </c>
      <c r="C10210" s="20" t="s">
        <v>10358</v>
      </c>
      <c r="D10210" s="19" t="s">
        <v>31</v>
      </c>
      <c r="E10210" s="21">
        <f t="shared" si="476"/>
        <v>104.65000000000001</v>
      </c>
      <c r="F10210" s="22"/>
      <c r="G10210" s="21">
        <f t="shared" si="477"/>
        <v>104.33</v>
      </c>
      <c r="H10210" s="22"/>
      <c r="I10210" s="23" t="str">
        <f t="shared" si="478"/>
        <v xml:space="preserve">COM VALOR</v>
      </c>
      <c r="L10210" s="21">
        <v>104.65000000000001</v>
      </c>
      <c r="M10210" s="22">
        <v>0.94499999999999995</v>
      </c>
      <c r="N10210" s="21">
        <v>104.33</v>
      </c>
      <c r="O10210" s="22">
        <v>0.94999999999999996</v>
      </c>
    </row>
    <row r="10211" ht="26.25">
      <c r="A10211" t="s">
        <v>10283</v>
      </c>
      <c r="B10211" s="19">
        <v>99634</v>
      </c>
      <c r="C10211" s="20" t="s">
        <v>10359</v>
      </c>
      <c r="D10211" s="19" t="s">
        <v>31</v>
      </c>
      <c r="E10211" s="21">
        <f t="shared" si="476"/>
        <v>1070.77</v>
      </c>
      <c r="F10211" s="22"/>
      <c r="G10211" s="21">
        <f t="shared" si="477"/>
        <v>1068.6800000000001</v>
      </c>
      <c r="H10211" s="22"/>
      <c r="I10211" s="23" t="str">
        <f t="shared" si="478"/>
        <v xml:space="preserve">COM VALOR</v>
      </c>
      <c r="L10211" s="21">
        <v>1070.77</v>
      </c>
      <c r="M10211" s="22">
        <v>0.96499999999999997</v>
      </c>
      <c r="N10211" s="21">
        <v>1068.6800000000001</v>
      </c>
      <c r="O10211" s="22">
        <v>0.96999999999999997</v>
      </c>
    </row>
    <row r="10212" ht="26.25">
      <c r="A10212" t="s">
        <v>10283</v>
      </c>
      <c r="B10212" s="19">
        <v>103013</v>
      </c>
      <c r="C10212" s="20" t="s">
        <v>10360</v>
      </c>
      <c r="D10212" s="19" t="s">
        <v>31</v>
      </c>
      <c r="E10212" s="21">
        <f t="shared" si="476"/>
        <v>187.62</v>
      </c>
      <c r="F10212" s="22"/>
      <c r="G10212" s="21">
        <f t="shared" si="477"/>
        <v>187.24000000000001</v>
      </c>
      <c r="H10212" s="22"/>
      <c r="I10212" s="23" t="str">
        <f t="shared" si="478"/>
        <v xml:space="preserve">COM VALOR</v>
      </c>
      <c r="L10212" s="21">
        <v>187.62</v>
      </c>
      <c r="M10212" s="22">
        <v>0.95999999999999996</v>
      </c>
      <c r="N10212" s="21">
        <v>187.24000000000001</v>
      </c>
      <c r="O10212" s="22">
        <v>0.96999999999999997</v>
      </c>
    </row>
    <row r="10213" ht="26.25">
      <c r="A10213" t="s">
        <v>10283</v>
      </c>
      <c r="B10213" s="19">
        <v>103012</v>
      </c>
      <c r="C10213" s="20" t="s">
        <v>10361</v>
      </c>
      <c r="D10213" s="19" t="s">
        <v>31</v>
      </c>
      <c r="E10213" s="21">
        <f t="shared" si="476"/>
        <v>174.68000000000001</v>
      </c>
      <c r="F10213" s="22"/>
      <c r="G10213" s="21">
        <f t="shared" si="477"/>
        <v>174.38</v>
      </c>
      <c r="H10213" s="22"/>
      <c r="I10213" s="23" t="str">
        <f t="shared" si="478"/>
        <v xml:space="preserve">COM VALOR</v>
      </c>
      <c r="L10213" s="21">
        <v>174.68000000000001</v>
      </c>
      <c r="M10213" s="22">
        <v>0.96999999999999997</v>
      </c>
      <c r="N10213" s="21">
        <v>174.38</v>
      </c>
      <c r="O10213" s="22">
        <v>0.96999999999999997</v>
      </c>
    </row>
    <row r="10214" ht="26.25">
      <c r="A10214" t="s">
        <v>10283</v>
      </c>
      <c r="B10214" s="19">
        <v>103011</v>
      </c>
      <c r="C10214" s="20" t="s">
        <v>10362</v>
      </c>
      <c r="D10214" s="19" t="s">
        <v>31</v>
      </c>
      <c r="E10214" s="21">
        <f t="shared" si="476"/>
        <v>110.59</v>
      </c>
      <c r="F10214" s="22"/>
      <c r="G10214" s="21">
        <f t="shared" si="477"/>
        <v>110.38</v>
      </c>
      <c r="H10214" s="22"/>
      <c r="I10214" s="23" t="str">
        <f t="shared" si="478"/>
        <v xml:space="preserve">COM VALOR</v>
      </c>
      <c r="L10214" s="21">
        <v>110.59</v>
      </c>
      <c r="M10214" s="22">
        <v>0.96499999999999997</v>
      </c>
      <c r="N10214" s="21">
        <v>110.38</v>
      </c>
      <c r="O10214" s="22">
        <v>0.96999999999999997</v>
      </c>
    </row>
    <row r="10215" ht="26.25">
      <c r="A10215" t="s">
        <v>10283</v>
      </c>
      <c r="B10215" s="19">
        <v>103015</v>
      </c>
      <c r="C10215" s="20" t="s">
        <v>10363</v>
      </c>
      <c r="D10215" s="19" t="s">
        <v>31</v>
      </c>
      <c r="E10215" s="21">
        <f t="shared" si="476"/>
        <v>501.14999999999998</v>
      </c>
      <c r="F10215" s="22"/>
      <c r="G10215" s="21">
        <f t="shared" si="477"/>
        <v>500.49000000000001</v>
      </c>
      <c r="H10215" s="22"/>
      <c r="I10215" s="23" t="str">
        <f t="shared" si="478"/>
        <v xml:space="preserve">COM VALOR</v>
      </c>
      <c r="L10215" s="21">
        <v>501.14999999999998</v>
      </c>
      <c r="M10215" s="22">
        <v>0.97999999999999998</v>
      </c>
      <c r="N10215" s="21">
        <v>500.49000000000001</v>
      </c>
      <c r="O10215" s="22">
        <v>0.97999999999999998</v>
      </c>
    </row>
    <row r="10216" ht="26.25">
      <c r="A10216" t="s">
        <v>10283</v>
      </c>
      <c r="B10216" s="19">
        <v>103014</v>
      </c>
      <c r="C10216" s="20" t="s">
        <v>10364</v>
      </c>
      <c r="D10216" s="19" t="s">
        <v>31</v>
      </c>
      <c r="E10216" s="21">
        <f t="shared" si="476"/>
        <v>282.67000000000002</v>
      </c>
      <c r="F10216" s="22"/>
      <c r="G10216" s="21">
        <f t="shared" si="477"/>
        <v>282.18000000000001</v>
      </c>
      <c r="H10216" s="22"/>
      <c r="I10216" s="23" t="str">
        <f t="shared" si="478"/>
        <v xml:space="preserve">COM VALOR</v>
      </c>
      <c r="L10216" s="21">
        <v>282.67000000000002</v>
      </c>
      <c r="M10216" s="22">
        <v>0.96999999999999997</v>
      </c>
      <c r="N10216" s="21">
        <v>282.18000000000001</v>
      </c>
      <c r="O10216" s="22">
        <v>0.96999999999999997</v>
      </c>
    </row>
    <row r="10217" ht="26.25">
      <c r="A10217" t="s">
        <v>10283</v>
      </c>
      <c r="B10217" s="19">
        <v>103016</v>
      </c>
      <c r="C10217" s="20" t="s">
        <v>10365</v>
      </c>
      <c r="D10217" s="19" t="s">
        <v>31</v>
      </c>
      <c r="E10217" s="21">
        <f t="shared" si="476"/>
        <v>685.61000000000001</v>
      </c>
      <c r="F10217" s="22"/>
      <c r="G10217" s="21">
        <f t="shared" si="477"/>
        <v>684.78999999999996</v>
      </c>
      <c r="H10217" s="22"/>
      <c r="I10217" s="23" t="str">
        <f t="shared" si="478"/>
        <v xml:space="preserve">COM VALOR</v>
      </c>
      <c r="L10217" s="21">
        <v>685.61000000000001</v>
      </c>
      <c r="M10217" s="22">
        <v>0.97999999999999998</v>
      </c>
      <c r="N10217" s="21">
        <v>684.78999999999996</v>
      </c>
      <c r="O10217" s="22">
        <v>0.97999999999999998</v>
      </c>
    </row>
    <row r="10218" ht="26.25">
      <c r="A10218" t="s">
        <v>10283</v>
      </c>
      <c r="B10218" s="19">
        <v>103010</v>
      </c>
      <c r="C10218" s="20" t="s">
        <v>10366</v>
      </c>
      <c r="D10218" s="19" t="s">
        <v>31</v>
      </c>
      <c r="E10218" s="21">
        <f t="shared" si="476"/>
        <v>99.379999999999995</v>
      </c>
      <c r="F10218" s="22"/>
      <c r="G10218" s="21">
        <f t="shared" si="477"/>
        <v>99.219999999999999</v>
      </c>
      <c r="H10218" s="22"/>
      <c r="I10218" s="23" t="str">
        <f t="shared" si="478"/>
        <v xml:space="preserve">COM VALOR</v>
      </c>
      <c r="L10218" s="21">
        <v>99.379999999999995</v>
      </c>
      <c r="M10218" s="22">
        <v>0.96999999999999997</v>
      </c>
      <c r="N10218" s="21">
        <v>99.219999999999999</v>
      </c>
      <c r="O10218" s="22">
        <v>0.96999999999999997</v>
      </c>
    </row>
    <row r="10219" ht="26.25">
      <c r="A10219" t="s">
        <v>10283</v>
      </c>
      <c r="B10219" s="19">
        <v>103017</v>
      </c>
      <c r="C10219" s="20" t="s">
        <v>10367</v>
      </c>
      <c r="D10219" s="19" t="s">
        <v>31</v>
      </c>
      <c r="E10219" s="21">
        <f t="shared" si="476"/>
        <v>1199.3699999999999</v>
      </c>
      <c r="F10219" s="22"/>
      <c r="G10219" s="21">
        <f t="shared" si="477"/>
        <v>1198.3399999999999</v>
      </c>
      <c r="H10219" s="22"/>
      <c r="I10219" s="23" t="str">
        <f t="shared" si="478"/>
        <v xml:space="preserve">COM VALOR</v>
      </c>
      <c r="L10219" s="21">
        <v>1199.3699999999999</v>
      </c>
      <c r="M10219" s="22">
        <v>0.97999999999999998</v>
      </c>
      <c r="N10219" s="21">
        <v>1198.3399999999999</v>
      </c>
      <c r="O10219" s="22">
        <v>0.98999999999999999</v>
      </c>
    </row>
    <row r="10220" ht="26.25">
      <c r="A10220" t="s">
        <v>10283</v>
      </c>
      <c r="B10220" s="19">
        <v>103033</v>
      </c>
      <c r="C10220" s="20" t="s">
        <v>10368</v>
      </c>
      <c r="D10220" s="19" t="s">
        <v>31</v>
      </c>
      <c r="E10220" s="21" t="str">
        <f t="shared" si="476"/>
        <v>VERIFICAR</v>
      </c>
      <c r="F10220" s="22"/>
      <c r="G10220" s="21" t="str">
        <f t="shared" si="477"/>
        <v>VERIFICAR</v>
      </c>
      <c r="H10220" s="22"/>
      <c r="I10220" s="23" t="str">
        <f t="shared" si="478"/>
        <v xml:space="preserve">COM VALOR</v>
      </c>
      <c r="L10220" s="21">
        <v>0</v>
      </c>
      <c r="M10220" s="22"/>
      <c r="N10220" s="21">
        <v>0</v>
      </c>
      <c r="O10220" s="22"/>
    </row>
    <row r="10221" ht="26.25">
      <c r="A10221" t="s">
        <v>10283</v>
      </c>
      <c r="B10221" s="19">
        <v>103032</v>
      </c>
      <c r="C10221" s="20" t="s">
        <v>10369</v>
      </c>
      <c r="D10221" s="19" t="s">
        <v>31</v>
      </c>
      <c r="E10221" s="21" t="str">
        <f t="shared" si="476"/>
        <v>VERIFICAR</v>
      </c>
      <c r="F10221" s="22"/>
      <c r="G10221" s="21" t="str">
        <f t="shared" si="477"/>
        <v>VERIFICAR</v>
      </c>
      <c r="H10221" s="22"/>
      <c r="I10221" s="23" t="str">
        <f t="shared" si="478"/>
        <v xml:space="preserve">COM VALOR</v>
      </c>
      <c r="L10221" s="21">
        <v>0</v>
      </c>
      <c r="M10221" s="22"/>
      <c r="N10221" s="21">
        <v>0</v>
      </c>
      <c r="O10221" s="22"/>
    </row>
    <row r="10222" ht="26.25">
      <c r="A10222" t="s">
        <v>10283</v>
      </c>
      <c r="B10222" s="19">
        <v>103030</v>
      </c>
      <c r="C10222" s="20" t="s">
        <v>10370</v>
      </c>
      <c r="D10222" s="19" t="s">
        <v>31</v>
      </c>
      <c r="E10222" s="21" t="str">
        <f t="shared" si="476"/>
        <v>VERIFICAR</v>
      </c>
      <c r="F10222" s="22"/>
      <c r="G10222" s="21" t="str">
        <f t="shared" si="477"/>
        <v>VERIFICAR</v>
      </c>
      <c r="H10222" s="22"/>
      <c r="I10222" s="23" t="str">
        <f t="shared" si="478"/>
        <v xml:space="preserve">COM VALOR</v>
      </c>
      <c r="L10222" s="21">
        <v>0</v>
      </c>
      <c r="M10222" s="22"/>
      <c r="N10222" s="21">
        <v>0</v>
      </c>
      <c r="O10222" s="22"/>
    </row>
    <row r="10223" ht="26.25">
      <c r="A10223" t="s">
        <v>10283</v>
      </c>
      <c r="B10223" s="19">
        <v>103031</v>
      </c>
      <c r="C10223" s="20" t="s">
        <v>10371</v>
      </c>
      <c r="D10223" s="19" t="s">
        <v>31</v>
      </c>
      <c r="E10223" s="21" t="str">
        <f t="shared" si="476"/>
        <v>VERIFICAR</v>
      </c>
      <c r="F10223" s="22"/>
      <c r="G10223" s="21" t="str">
        <f t="shared" si="477"/>
        <v>VERIFICAR</v>
      </c>
      <c r="H10223" s="22"/>
      <c r="I10223" s="23" t="str">
        <f t="shared" si="478"/>
        <v xml:space="preserve">COM VALOR</v>
      </c>
      <c r="L10223" s="21">
        <v>0</v>
      </c>
      <c r="M10223" s="22"/>
      <c r="N10223" s="21">
        <v>0</v>
      </c>
      <c r="O10223" s="22"/>
    </row>
    <row r="10224" ht="26.25">
      <c r="A10224" t="s">
        <v>10283</v>
      </c>
      <c r="B10224" s="19">
        <v>103035</v>
      </c>
      <c r="C10224" s="20" t="s">
        <v>10372</v>
      </c>
      <c r="D10224" s="19" t="s">
        <v>31</v>
      </c>
      <c r="E10224" s="21" t="str">
        <f t="shared" si="476"/>
        <v>VERIFICAR</v>
      </c>
      <c r="F10224" s="22"/>
      <c r="G10224" s="21" t="str">
        <f t="shared" si="477"/>
        <v>VERIFICAR</v>
      </c>
      <c r="H10224" s="22"/>
      <c r="I10224" s="23" t="str">
        <f t="shared" si="478"/>
        <v xml:space="preserve">COM VALOR</v>
      </c>
      <c r="L10224" s="21">
        <v>0</v>
      </c>
      <c r="M10224" s="22"/>
      <c r="N10224" s="21">
        <v>0</v>
      </c>
      <c r="O10224" s="22"/>
    </row>
    <row r="10225" ht="26.25">
      <c r="A10225" t="s">
        <v>10283</v>
      </c>
      <c r="B10225" s="19">
        <v>103034</v>
      </c>
      <c r="C10225" s="20" t="s">
        <v>10373</v>
      </c>
      <c r="D10225" s="19" t="s">
        <v>31</v>
      </c>
      <c r="E10225" s="21" t="str">
        <f t="shared" si="476"/>
        <v>VERIFICAR</v>
      </c>
      <c r="F10225" s="22"/>
      <c r="G10225" s="21" t="str">
        <f t="shared" si="477"/>
        <v>VERIFICAR</v>
      </c>
      <c r="H10225" s="22"/>
      <c r="I10225" s="23" t="str">
        <f t="shared" si="478"/>
        <v xml:space="preserve">COM VALOR</v>
      </c>
      <c r="L10225" s="21">
        <v>0</v>
      </c>
      <c r="M10225" s="22"/>
      <c r="N10225" s="21">
        <v>0</v>
      </c>
      <c r="O10225" s="22"/>
    </row>
    <row r="10226" ht="26.25">
      <c r="A10226" t="s">
        <v>10283</v>
      </c>
      <c r="B10226" s="19">
        <v>103024</v>
      </c>
      <c r="C10226" s="20" t="s">
        <v>10374</v>
      </c>
      <c r="D10226" s="19" t="s">
        <v>31</v>
      </c>
      <c r="E10226" s="21" t="str">
        <f t="shared" si="476"/>
        <v>VERIFICAR</v>
      </c>
      <c r="F10226" s="22"/>
      <c r="G10226" s="21" t="str">
        <f t="shared" si="477"/>
        <v>VERIFICAR</v>
      </c>
      <c r="H10226" s="22"/>
      <c r="I10226" s="23" t="str">
        <f t="shared" si="478"/>
        <v xml:space="preserve">COM VALOR</v>
      </c>
      <c r="L10226" s="21">
        <v>0</v>
      </c>
      <c r="M10226" s="22"/>
      <c r="N10226" s="21">
        <v>0</v>
      </c>
      <c r="O10226" s="22"/>
    </row>
    <row r="10227" ht="26.25">
      <c r="A10227" t="s">
        <v>10283</v>
      </c>
      <c r="B10227" s="19">
        <v>103023</v>
      </c>
      <c r="C10227" s="20" t="s">
        <v>10375</v>
      </c>
      <c r="D10227" s="19" t="s">
        <v>31</v>
      </c>
      <c r="E10227" s="21" t="str">
        <f t="shared" si="476"/>
        <v>VERIFICAR</v>
      </c>
      <c r="F10227" s="22"/>
      <c r="G10227" s="21" t="str">
        <f t="shared" si="477"/>
        <v>VERIFICAR</v>
      </c>
      <c r="H10227" s="22"/>
      <c r="I10227" s="23" t="str">
        <f t="shared" si="478"/>
        <v xml:space="preserve">COM VALOR</v>
      </c>
      <c r="L10227" s="21">
        <v>0</v>
      </c>
      <c r="M10227" s="22"/>
      <c r="N10227" s="21">
        <v>0</v>
      </c>
      <c r="O10227" s="22"/>
    </row>
    <row r="10228" ht="26.25">
      <c r="A10228" t="s">
        <v>10283</v>
      </c>
      <c r="B10228" s="19">
        <v>103022</v>
      </c>
      <c r="C10228" s="20" t="s">
        <v>10376</v>
      </c>
      <c r="D10228" s="19" t="s">
        <v>31</v>
      </c>
      <c r="E10228" s="21" t="str">
        <f t="shared" si="476"/>
        <v>VERIFICAR</v>
      </c>
      <c r="F10228" s="22"/>
      <c r="G10228" s="21" t="str">
        <f t="shared" si="477"/>
        <v>VERIFICAR</v>
      </c>
      <c r="H10228" s="22"/>
      <c r="I10228" s="23" t="str">
        <f t="shared" si="478"/>
        <v xml:space="preserve">COM VALOR</v>
      </c>
      <c r="L10228" s="21">
        <v>0</v>
      </c>
      <c r="M10228" s="22"/>
      <c r="N10228" s="21">
        <v>0</v>
      </c>
      <c r="O10228" s="22"/>
    </row>
    <row r="10229" ht="26.25">
      <c r="A10229" t="s">
        <v>10283</v>
      </c>
      <c r="B10229" s="19">
        <v>103020</v>
      </c>
      <c r="C10229" s="20" t="s">
        <v>10377</v>
      </c>
      <c r="D10229" s="19" t="s">
        <v>31</v>
      </c>
      <c r="E10229" s="21" t="str">
        <f t="shared" si="476"/>
        <v>VERIFICAR</v>
      </c>
      <c r="F10229" s="22"/>
      <c r="G10229" s="21" t="str">
        <f t="shared" si="477"/>
        <v>VERIFICAR</v>
      </c>
      <c r="H10229" s="22"/>
      <c r="I10229" s="23" t="str">
        <f t="shared" si="478"/>
        <v xml:space="preserve">COM VALOR</v>
      </c>
      <c r="L10229" s="21">
        <v>0</v>
      </c>
      <c r="M10229" s="22"/>
      <c r="N10229" s="21">
        <v>0</v>
      </c>
      <c r="O10229" s="22"/>
    </row>
    <row r="10230" ht="26.25">
      <c r="A10230" t="s">
        <v>10283</v>
      </c>
      <c r="B10230" s="19">
        <v>103026</v>
      </c>
      <c r="C10230" s="20" t="s">
        <v>10378</v>
      </c>
      <c r="D10230" s="19" t="s">
        <v>31</v>
      </c>
      <c r="E10230" s="21" t="str">
        <f t="shared" si="476"/>
        <v>VERIFICAR</v>
      </c>
      <c r="F10230" s="22"/>
      <c r="G10230" s="21" t="str">
        <f t="shared" si="477"/>
        <v>VERIFICAR</v>
      </c>
      <c r="H10230" s="22"/>
      <c r="I10230" s="23" t="str">
        <f t="shared" si="478"/>
        <v xml:space="preserve">COM VALOR</v>
      </c>
      <c r="L10230" s="21">
        <v>0</v>
      </c>
      <c r="M10230" s="22"/>
      <c r="N10230" s="21">
        <v>0</v>
      </c>
      <c r="O10230" s="22"/>
    </row>
    <row r="10231" ht="26.25">
      <c r="A10231" t="s">
        <v>10283</v>
      </c>
      <c r="B10231" s="19">
        <v>103025</v>
      </c>
      <c r="C10231" s="20" t="s">
        <v>10379</v>
      </c>
      <c r="D10231" s="19" t="s">
        <v>31</v>
      </c>
      <c r="E10231" s="21" t="str">
        <f t="shared" si="476"/>
        <v>VERIFICAR</v>
      </c>
      <c r="F10231" s="22"/>
      <c r="G10231" s="21" t="str">
        <f t="shared" si="477"/>
        <v>VERIFICAR</v>
      </c>
      <c r="H10231" s="22"/>
      <c r="I10231" s="23" t="str">
        <f t="shared" si="478"/>
        <v xml:space="preserve">COM VALOR</v>
      </c>
      <c r="L10231" s="21">
        <v>0</v>
      </c>
      <c r="M10231" s="22"/>
      <c r="N10231" s="21">
        <v>0</v>
      </c>
      <c r="O10231" s="22"/>
    </row>
    <row r="10232" ht="26.25">
      <c r="A10232" t="s">
        <v>10283</v>
      </c>
      <c r="B10232" s="19">
        <v>103021</v>
      </c>
      <c r="C10232" s="20" t="s">
        <v>10380</v>
      </c>
      <c r="D10232" s="19" t="s">
        <v>31</v>
      </c>
      <c r="E10232" s="21" t="str">
        <f t="shared" si="476"/>
        <v>VERIFICAR</v>
      </c>
      <c r="F10232" s="22"/>
      <c r="G10232" s="21" t="str">
        <f t="shared" si="477"/>
        <v>VERIFICAR</v>
      </c>
      <c r="H10232" s="22"/>
      <c r="I10232" s="23" t="str">
        <f t="shared" si="478"/>
        <v xml:space="preserve">COM VALOR</v>
      </c>
      <c r="L10232" s="21">
        <v>0</v>
      </c>
      <c r="M10232" s="22"/>
      <c r="N10232" s="21">
        <v>0</v>
      </c>
      <c r="O10232" s="22"/>
    </row>
    <row r="10233" ht="26.25">
      <c r="A10233" t="s">
        <v>10283</v>
      </c>
      <c r="B10233" s="19">
        <v>103027</v>
      </c>
      <c r="C10233" s="20" t="s">
        <v>10381</v>
      </c>
      <c r="D10233" s="19" t="s">
        <v>31</v>
      </c>
      <c r="E10233" s="21" t="str">
        <f t="shared" si="476"/>
        <v>VERIFICAR</v>
      </c>
      <c r="F10233" s="22"/>
      <c r="G10233" s="21" t="str">
        <f t="shared" si="477"/>
        <v>VERIFICAR</v>
      </c>
      <c r="H10233" s="22"/>
      <c r="I10233" s="23" t="str">
        <f t="shared" si="478"/>
        <v xml:space="preserve">COM VALOR</v>
      </c>
      <c r="L10233" s="21">
        <v>0</v>
      </c>
      <c r="M10233" s="22"/>
      <c r="N10233" s="21">
        <v>0</v>
      </c>
      <c r="O10233" s="22"/>
    </row>
    <row r="10234" ht="26.25">
      <c r="A10234" t="s">
        <v>10283</v>
      </c>
      <c r="B10234" s="19">
        <v>103028</v>
      </c>
      <c r="C10234" s="20" t="s">
        <v>10382</v>
      </c>
      <c r="D10234" s="19" t="s">
        <v>31</v>
      </c>
      <c r="E10234" s="21" t="str">
        <f t="shared" si="476"/>
        <v>VERIFICAR</v>
      </c>
      <c r="F10234" s="22"/>
      <c r="G10234" s="21" t="str">
        <f t="shared" si="477"/>
        <v>VERIFICAR</v>
      </c>
      <c r="H10234" s="22"/>
      <c r="I10234" s="23" t="str">
        <f t="shared" si="478"/>
        <v xml:space="preserve">COM VALOR</v>
      </c>
      <c r="L10234" s="21">
        <v>0</v>
      </c>
      <c r="M10234" s="22"/>
      <c r="N10234" s="21">
        <v>0</v>
      </c>
      <c r="O10234" s="22"/>
    </row>
    <row r="10235" ht="26.25">
      <c r="A10235" t="s">
        <v>10383</v>
      </c>
      <c r="B10235" s="19">
        <v>103563</v>
      </c>
      <c r="C10235" s="20" t="s">
        <v>10384</v>
      </c>
      <c r="D10235" s="19" t="s">
        <v>31</v>
      </c>
      <c r="E10235" s="21" t="str">
        <f t="shared" si="476"/>
        <v>VERIFICAR</v>
      </c>
      <c r="F10235" s="22"/>
      <c r="G10235" s="21" t="str">
        <f t="shared" si="477"/>
        <v>VERIFICAR</v>
      </c>
      <c r="H10235" s="22"/>
      <c r="I10235" s="23" t="str">
        <f t="shared" si="478"/>
        <v xml:space="preserve">COM VALOR</v>
      </c>
      <c r="L10235" s="21">
        <v>0</v>
      </c>
      <c r="M10235" s="22"/>
      <c r="N10235" s="21">
        <v>0</v>
      </c>
      <c r="O10235" s="22"/>
    </row>
    <row r="10236" ht="26.25">
      <c r="A10236" t="s">
        <v>10383</v>
      </c>
      <c r="B10236" s="19">
        <v>103564</v>
      </c>
      <c r="C10236" s="20" t="s">
        <v>10385</v>
      </c>
      <c r="D10236" s="19" t="s">
        <v>31</v>
      </c>
      <c r="E10236" s="21" t="str">
        <f t="shared" si="476"/>
        <v>VERIFICAR</v>
      </c>
      <c r="F10236" s="22"/>
      <c r="G10236" s="21" t="str">
        <f t="shared" si="477"/>
        <v>VERIFICAR</v>
      </c>
      <c r="H10236" s="22"/>
      <c r="I10236" s="23" t="str">
        <f t="shared" si="478"/>
        <v xml:space="preserve">COM VALOR</v>
      </c>
      <c r="L10236" s="21">
        <v>0</v>
      </c>
      <c r="M10236" s="22"/>
      <c r="N10236" s="21">
        <v>0</v>
      </c>
      <c r="O10236" s="22"/>
    </row>
    <row r="10237" ht="26.25">
      <c r="A10237" t="s">
        <v>10383</v>
      </c>
      <c r="B10237" s="19">
        <v>103565</v>
      </c>
      <c r="C10237" s="20" t="s">
        <v>10386</v>
      </c>
      <c r="D10237" s="19" t="s">
        <v>31</v>
      </c>
      <c r="E10237" s="21" t="str">
        <f t="shared" si="476"/>
        <v>VERIFICAR</v>
      </c>
      <c r="F10237" s="22"/>
      <c r="G10237" s="21" t="str">
        <f t="shared" si="477"/>
        <v>VERIFICAR</v>
      </c>
      <c r="H10237" s="22"/>
      <c r="I10237" s="23" t="str">
        <f t="shared" si="478"/>
        <v xml:space="preserve">COM VALOR</v>
      </c>
      <c r="L10237" s="21">
        <v>0</v>
      </c>
      <c r="M10237" s="22"/>
      <c r="N10237" s="21">
        <v>0</v>
      </c>
      <c r="O10237" s="22"/>
    </row>
    <row r="10238" ht="26.25">
      <c r="A10238" t="s">
        <v>10383</v>
      </c>
      <c r="B10238" s="19">
        <v>103566</v>
      </c>
      <c r="C10238" s="20" t="s">
        <v>10387</v>
      </c>
      <c r="D10238" s="19" t="s">
        <v>31</v>
      </c>
      <c r="E10238" s="21" t="str">
        <f t="shared" si="476"/>
        <v>VERIFICAR</v>
      </c>
      <c r="F10238" s="22"/>
      <c r="G10238" s="21" t="str">
        <f t="shared" si="477"/>
        <v>VERIFICAR</v>
      </c>
      <c r="H10238" s="22"/>
      <c r="I10238" s="23" t="str">
        <f t="shared" si="478"/>
        <v xml:space="preserve">COM VALOR</v>
      </c>
      <c r="L10238" s="21">
        <v>0</v>
      </c>
      <c r="M10238" s="22"/>
      <c r="N10238" s="21">
        <v>0</v>
      </c>
      <c r="O10238" s="22"/>
    </row>
    <row r="10239" ht="26.25">
      <c r="A10239" t="s">
        <v>10383</v>
      </c>
      <c r="B10239" s="19">
        <v>103567</v>
      </c>
      <c r="C10239" s="20" t="s">
        <v>10388</v>
      </c>
      <c r="D10239" s="19" t="s">
        <v>31</v>
      </c>
      <c r="E10239" s="21" t="str">
        <f t="shared" si="476"/>
        <v>VERIFICAR</v>
      </c>
      <c r="F10239" s="22"/>
      <c r="G10239" s="21" t="str">
        <f t="shared" si="477"/>
        <v>VERIFICAR</v>
      </c>
      <c r="H10239" s="22"/>
      <c r="I10239" s="23" t="str">
        <f t="shared" si="478"/>
        <v xml:space="preserve">COM VALOR</v>
      </c>
      <c r="L10239" s="21">
        <v>0</v>
      </c>
      <c r="M10239" s="22"/>
      <c r="N10239" s="21">
        <v>0</v>
      </c>
      <c r="O10239" s="22"/>
    </row>
    <row r="10240" ht="26.25">
      <c r="A10240" t="s">
        <v>10383</v>
      </c>
      <c r="B10240" s="19">
        <v>103568</v>
      </c>
      <c r="C10240" s="20" t="s">
        <v>10389</v>
      </c>
      <c r="D10240" s="19" t="s">
        <v>31</v>
      </c>
      <c r="E10240" s="21" t="str">
        <f t="shared" si="476"/>
        <v>VERIFICAR</v>
      </c>
      <c r="F10240" s="22"/>
      <c r="G10240" s="21" t="str">
        <f t="shared" si="477"/>
        <v>VERIFICAR</v>
      </c>
      <c r="H10240" s="22"/>
      <c r="I10240" s="23" t="str">
        <f t="shared" si="478"/>
        <v xml:space="preserve">COM VALOR</v>
      </c>
      <c r="L10240" s="21">
        <v>0</v>
      </c>
      <c r="M10240" s="22"/>
      <c r="N10240" s="21">
        <v>0</v>
      </c>
      <c r="O10240" s="22"/>
    </row>
    <row r="10241" ht="26.25">
      <c r="A10241" t="s">
        <v>10383</v>
      </c>
      <c r="B10241" s="19">
        <v>103569</v>
      </c>
      <c r="C10241" s="20" t="s">
        <v>10390</v>
      </c>
      <c r="D10241" s="19" t="s">
        <v>31</v>
      </c>
      <c r="E10241" s="21" t="str">
        <f t="shared" si="476"/>
        <v>VERIFICAR</v>
      </c>
      <c r="F10241" s="22"/>
      <c r="G10241" s="21" t="str">
        <f t="shared" si="477"/>
        <v>VERIFICAR</v>
      </c>
      <c r="H10241" s="22"/>
      <c r="I10241" s="23" t="str">
        <f t="shared" si="478"/>
        <v xml:space="preserve">COM VALOR</v>
      </c>
      <c r="L10241" s="21">
        <v>0</v>
      </c>
      <c r="M10241" s="22"/>
      <c r="N10241" s="21">
        <v>0</v>
      </c>
      <c r="O10241" s="22"/>
    </row>
    <row r="10242" ht="26.25">
      <c r="A10242" t="s">
        <v>10383</v>
      </c>
      <c r="B10242" s="19">
        <v>103570</v>
      </c>
      <c r="C10242" s="20" t="s">
        <v>10391</v>
      </c>
      <c r="D10242" s="19" t="s">
        <v>31</v>
      </c>
      <c r="E10242" s="21" t="str">
        <f t="shared" si="476"/>
        <v>VERIFICAR</v>
      </c>
      <c r="F10242" s="22"/>
      <c r="G10242" s="21" t="str">
        <f t="shared" si="477"/>
        <v>VERIFICAR</v>
      </c>
      <c r="H10242" s="22"/>
      <c r="I10242" s="23" t="str">
        <f t="shared" si="478"/>
        <v xml:space="preserve">COM VALOR</v>
      </c>
      <c r="L10242" s="21">
        <v>0</v>
      </c>
      <c r="M10242" s="22"/>
      <c r="N10242" s="21">
        <v>0</v>
      </c>
      <c r="O10242" s="22"/>
    </row>
    <row r="10243" ht="26.25">
      <c r="A10243" t="s">
        <v>10383</v>
      </c>
      <c r="B10243" s="19">
        <v>103571</v>
      </c>
      <c r="C10243" s="20" t="s">
        <v>10392</v>
      </c>
      <c r="D10243" s="19" t="s">
        <v>31</v>
      </c>
      <c r="E10243" s="21" t="str">
        <f t="shared" si="476"/>
        <v>VERIFICAR</v>
      </c>
      <c r="F10243" s="22"/>
      <c r="G10243" s="21" t="str">
        <f t="shared" si="477"/>
        <v>VERIFICAR</v>
      </c>
      <c r="H10243" s="22"/>
      <c r="I10243" s="23" t="str">
        <f t="shared" si="478"/>
        <v xml:space="preserve">COM VALOR</v>
      </c>
      <c r="L10243" s="21">
        <v>0</v>
      </c>
      <c r="M10243" s="22"/>
      <c r="N10243" s="21">
        <v>0</v>
      </c>
      <c r="O10243" s="22"/>
    </row>
    <row r="10244" ht="26.25">
      <c r="A10244" t="s">
        <v>10383</v>
      </c>
      <c r="B10244" s="19">
        <v>103562</v>
      </c>
      <c r="C10244" s="20" t="s">
        <v>10393</v>
      </c>
      <c r="D10244" s="19" t="s">
        <v>31</v>
      </c>
      <c r="E10244" s="21" t="str">
        <f t="shared" si="476"/>
        <v>VERIFICAR</v>
      </c>
      <c r="F10244" s="22"/>
      <c r="G10244" s="21" t="str">
        <f t="shared" si="477"/>
        <v>VERIFICAR</v>
      </c>
      <c r="H10244" s="22"/>
      <c r="I10244" s="23" t="str">
        <f t="shared" si="478"/>
        <v xml:space="preserve">COM VALOR</v>
      </c>
      <c r="L10244" s="21">
        <v>0</v>
      </c>
      <c r="M10244" s="22"/>
      <c r="N10244" s="21">
        <v>0</v>
      </c>
      <c r="O10244" s="22"/>
    </row>
    <row r="10245" ht="39">
      <c r="A10245" t="s">
        <v>10383</v>
      </c>
      <c r="B10245" s="19">
        <v>103573</v>
      </c>
      <c r="C10245" s="20" t="s">
        <v>10394</v>
      </c>
      <c r="D10245" s="19" t="s">
        <v>31</v>
      </c>
      <c r="E10245" s="21" t="str">
        <f t="shared" si="476"/>
        <v>VERIFICAR</v>
      </c>
      <c r="F10245" s="22"/>
      <c r="G10245" s="21" t="str">
        <f t="shared" si="477"/>
        <v>VERIFICAR</v>
      </c>
      <c r="H10245" s="22"/>
      <c r="I10245" s="23" t="str">
        <f t="shared" si="478"/>
        <v xml:space="preserve">COM VALOR</v>
      </c>
      <c r="L10245" s="21">
        <v>0</v>
      </c>
      <c r="M10245" s="22"/>
      <c r="N10245" s="21">
        <v>0</v>
      </c>
      <c r="O10245" s="22"/>
    </row>
    <row r="10246" ht="39">
      <c r="A10246" t="s">
        <v>10383</v>
      </c>
      <c r="B10246" s="19">
        <v>103585</v>
      </c>
      <c r="C10246" s="20" t="s">
        <v>10395</v>
      </c>
      <c r="D10246" s="19" t="s">
        <v>31</v>
      </c>
      <c r="E10246" s="21" t="str">
        <f t="shared" si="476"/>
        <v>VERIFICAR</v>
      </c>
      <c r="F10246" s="22"/>
      <c r="G10246" s="21" t="str">
        <f t="shared" si="477"/>
        <v>VERIFICAR</v>
      </c>
      <c r="H10246" s="22"/>
      <c r="I10246" s="23" t="str">
        <f t="shared" si="478"/>
        <v xml:space="preserve">COM VALOR</v>
      </c>
      <c r="L10246" s="21">
        <v>0</v>
      </c>
      <c r="M10246" s="22"/>
      <c r="N10246" s="21">
        <v>0</v>
      </c>
      <c r="O10246" s="22"/>
    </row>
    <row r="10247" ht="39">
      <c r="A10247" t="s">
        <v>10383</v>
      </c>
      <c r="B10247" s="19">
        <v>103586</v>
      </c>
      <c r="C10247" s="20" t="s">
        <v>10396</v>
      </c>
      <c r="D10247" s="19" t="s">
        <v>31</v>
      </c>
      <c r="E10247" s="21" t="str">
        <f t="shared" si="476"/>
        <v>VERIFICAR</v>
      </c>
      <c r="F10247" s="22"/>
      <c r="G10247" s="21" t="str">
        <f t="shared" si="477"/>
        <v>VERIFICAR</v>
      </c>
      <c r="H10247" s="22"/>
      <c r="I10247" s="23" t="str">
        <f t="shared" si="478"/>
        <v xml:space="preserve">COM VALOR</v>
      </c>
      <c r="L10247" s="21">
        <v>0</v>
      </c>
      <c r="M10247" s="22"/>
      <c r="N10247" s="21">
        <v>0</v>
      </c>
      <c r="O10247" s="22"/>
    </row>
    <row r="10248" ht="39">
      <c r="A10248" t="s">
        <v>10383</v>
      </c>
      <c r="B10248" s="19">
        <v>103574</v>
      </c>
      <c r="C10248" s="20" t="s">
        <v>10397</v>
      </c>
      <c r="D10248" s="19" t="s">
        <v>31</v>
      </c>
      <c r="E10248" s="21" t="str">
        <f t="shared" si="476"/>
        <v>VERIFICAR</v>
      </c>
      <c r="F10248" s="22"/>
      <c r="G10248" s="21" t="str">
        <f t="shared" si="477"/>
        <v>VERIFICAR</v>
      </c>
      <c r="H10248" s="22"/>
      <c r="I10248" s="23" t="str">
        <f t="shared" si="478"/>
        <v xml:space="preserve">COM VALOR</v>
      </c>
      <c r="L10248" s="21">
        <v>0</v>
      </c>
      <c r="M10248" s="22"/>
      <c r="N10248" s="21">
        <v>0</v>
      </c>
      <c r="O10248" s="22"/>
    </row>
    <row r="10249" ht="39">
      <c r="A10249" t="s">
        <v>10383</v>
      </c>
      <c r="B10249" s="19">
        <v>103575</v>
      </c>
      <c r="C10249" s="20" t="s">
        <v>10398</v>
      </c>
      <c r="D10249" s="19" t="s">
        <v>31</v>
      </c>
      <c r="E10249" s="21" t="str">
        <f t="shared" si="476"/>
        <v>VERIFICAR</v>
      </c>
      <c r="F10249" s="22"/>
      <c r="G10249" s="21" t="str">
        <f t="shared" si="477"/>
        <v>VERIFICAR</v>
      </c>
      <c r="H10249" s="22"/>
      <c r="I10249" s="23" t="str">
        <f t="shared" si="478"/>
        <v xml:space="preserve">COM VALOR</v>
      </c>
      <c r="L10249" s="21">
        <v>0</v>
      </c>
      <c r="M10249" s="22"/>
      <c r="N10249" s="21">
        <v>0</v>
      </c>
      <c r="O10249" s="22"/>
    </row>
    <row r="10250" ht="39">
      <c r="A10250" t="s">
        <v>10383</v>
      </c>
      <c r="B10250" s="19">
        <v>103576</v>
      </c>
      <c r="C10250" s="20" t="s">
        <v>10399</v>
      </c>
      <c r="D10250" s="19" t="s">
        <v>31</v>
      </c>
      <c r="E10250" s="21" t="str">
        <f t="shared" si="476"/>
        <v>VERIFICAR</v>
      </c>
      <c r="F10250" s="22"/>
      <c r="G10250" s="21" t="str">
        <f t="shared" si="477"/>
        <v>VERIFICAR</v>
      </c>
      <c r="H10250" s="22"/>
      <c r="I10250" s="23" t="str">
        <f t="shared" si="478"/>
        <v xml:space="preserve">COM VALOR</v>
      </c>
      <c r="L10250" s="21">
        <v>0</v>
      </c>
      <c r="M10250" s="22"/>
      <c r="N10250" s="21">
        <v>0</v>
      </c>
      <c r="O10250" s="22"/>
    </row>
    <row r="10251" ht="39">
      <c r="A10251" t="s">
        <v>10383</v>
      </c>
      <c r="B10251" s="19">
        <v>103577</v>
      </c>
      <c r="C10251" s="20" t="s">
        <v>10400</v>
      </c>
      <c r="D10251" s="19" t="s">
        <v>31</v>
      </c>
      <c r="E10251" s="21" t="str">
        <f t="shared" ref="E10251:E10294" si="479">IF(L10251=0,"VERIFICAR",L10251)</f>
        <v>VERIFICAR</v>
      </c>
      <c r="F10251" s="22"/>
      <c r="G10251" s="21" t="str">
        <f t="shared" ref="G10251:G10294" si="480">IF(N10251=0,"VERIFICAR",N10251)</f>
        <v>VERIFICAR</v>
      </c>
      <c r="H10251" s="22"/>
      <c r="I10251" s="23" t="str">
        <f t="shared" ref="I10251:I10294" si="481">IF(OR(E10251=0,G10251=0),"SEM VALOR","COM VALOR")</f>
        <v xml:space="preserve">COM VALOR</v>
      </c>
      <c r="L10251" s="21">
        <v>0</v>
      </c>
      <c r="M10251" s="22"/>
      <c r="N10251" s="21">
        <v>0</v>
      </c>
      <c r="O10251" s="22"/>
    </row>
    <row r="10252" ht="39">
      <c r="A10252" t="s">
        <v>10383</v>
      </c>
      <c r="B10252" s="19">
        <v>103578</v>
      </c>
      <c r="C10252" s="20" t="s">
        <v>10401</v>
      </c>
      <c r="D10252" s="19" t="s">
        <v>31</v>
      </c>
      <c r="E10252" s="21" t="str">
        <f t="shared" si="479"/>
        <v>VERIFICAR</v>
      </c>
      <c r="F10252" s="22"/>
      <c r="G10252" s="21" t="str">
        <f t="shared" si="480"/>
        <v>VERIFICAR</v>
      </c>
      <c r="H10252" s="22"/>
      <c r="I10252" s="23" t="str">
        <f t="shared" si="481"/>
        <v xml:space="preserve">COM VALOR</v>
      </c>
      <c r="L10252" s="21">
        <v>0</v>
      </c>
      <c r="M10252" s="22"/>
      <c r="N10252" s="21">
        <v>0</v>
      </c>
      <c r="O10252" s="22"/>
    </row>
    <row r="10253" ht="39">
      <c r="A10253" t="s">
        <v>10383</v>
      </c>
      <c r="B10253" s="19">
        <v>103579</v>
      </c>
      <c r="C10253" s="20" t="s">
        <v>10402</v>
      </c>
      <c r="D10253" s="19" t="s">
        <v>31</v>
      </c>
      <c r="E10253" s="21" t="str">
        <f t="shared" si="479"/>
        <v>VERIFICAR</v>
      </c>
      <c r="F10253" s="22"/>
      <c r="G10253" s="21" t="str">
        <f t="shared" si="480"/>
        <v>VERIFICAR</v>
      </c>
      <c r="H10253" s="22"/>
      <c r="I10253" s="23" t="str">
        <f t="shared" si="481"/>
        <v xml:space="preserve">COM VALOR</v>
      </c>
      <c r="L10253" s="21">
        <v>0</v>
      </c>
      <c r="M10253" s="22"/>
      <c r="N10253" s="21">
        <v>0</v>
      </c>
      <c r="O10253" s="22"/>
    </row>
    <row r="10254" ht="39">
      <c r="A10254" t="s">
        <v>10383</v>
      </c>
      <c r="B10254" s="19">
        <v>103580</v>
      </c>
      <c r="C10254" s="20" t="s">
        <v>10403</v>
      </c>
      <c r="D10254" s="19" t="s">
        <v>31</v>
      </c>
      <c r="E10254" s="21" t="str">
        <f t="shared" si="479"/>
        <v>VERIFICAR</v>
      </c>
      <c r="F10254" s="22"/>
      <c r="G10254" s="21" t="str">
        <f t="shared" si="480"/>
        <v>VERIFICAR</v>
      </c>
      <c r="H10254" s="22"/>
      <c r="I10254" s="23" t="str">
        <f t="shared" si="481"/>
        <v xml:space="preserve">COM VALOR</v>
      </c>
      <c r="L10254" s="21">
        <v>0</v>
      </c>
      <c r="M10254" s="22"/>
      <c r="N10254" s="21">
        <v>0</v>
      </c>
      <c r="O10254" s="22"/>
    </row>
    <row r="10255" ht="39">
      <c r="A10255" t="s">
        <v>10383</v>
      </c>
      <c r="B10255" s="19">
        <v>103581</v>
      </c>
      <c r="C10255" s="20" t="s">
        <v>10404</v>
      </c>
      <c r="D10255" s="19" t="s">
        <v>31</v>
      </c>
      <c r="E10255" s="21" t="str">
        <f t="shared" si="479"/>
        <v>VERIFICAR</v>
      </c>
      <c r="F10255" s="22"/>
      <c r="G10255" s="21" t="str">
        <f t="shared" si="480"/>
        <v>VERIFICAR</v>
      </c>
      <c r="H10255" s="22"/>
      <c r="I10255" s="23" t="str">
        <f t="shared" si="481"/>
        <v xml:space="preserve">COM VALOR</v>
      </c>
      <c r="L10255" s="21">
        <v>0</v>
      </c>
      <c r="M10255" s="22"/>
      <c r="N10255" s="21">
        <v>0</v>
      </c>
      <c r="O10255" s="22"/>
    </row>
    <row r="10256" ht="39">
      <c r="A10256" t="s">
        <v>10383</v>
      </c>
      <c r="B10256" s="19">
        <v>103582</v>
      </c>
      <c r="C10256" s="20" t="s">
        <v>10405</v>
      </c>
      <c r="D10256" s="19" t="s">
        <v>31</v>
      </c>
      <c r="E10256" s="21" t="str">
        <f t="shared" si="479"/>
        <v>VERIFICAR</v>
      </c>
      <c r="F10256" s="22"/>
      <c r="G10256" s="21" t="str">
        <f t="shared" si="480"/>
        <v>VERIFICAR</v>
      </c>
      <c r="H10256" s="22"/>
      <c r="I10256" s="23" t="str">
        <f t="shared" si="481"/>
        <v xml:space="preserve">COM VALOR</v>
      </c>
      <c r="L10256" s="21">
        <v>0</v>
      </c>
      <c r="M10256" s="22"/>
      <c r="N10256" s="21">
        <v>0</v>
      </c>
      <c r="O10256" s="22"/>
    </row>
    <row r="10257" ht="39">
      <c r="A10257" t="s">
        <v>10383</v>
      </c>
      <c r="B10257" s="19">
        <v>103572</v>
      </c>
      <c r="C10257" s="20" t="s">
        <v>10406</v>
      </c>
      <c r="D10257" s="19" t="s">
        <v>31</v>
      </c>
      <c r="E10257" s="21" t="str">
        <f t="shared" si="479"/>
        <v>VERIFICAR</v>
      </c>
      <c r="F10257" s="22"/>
      <c r="G10257" s="21" t="str">
        <f t="shared" si="480"/>
        <v>VERIFICAR</v>
      </c>
      <c r="H10257" s="22"/>
      <c r="I10257" s="23" t="str">
        <f t="shared" si="481"/>
        <v xml:space="preserve">COM VALOR</v>
      </c>
      <c r="L10257" s="21">
        <v>0</v>
      </c>
      <c r="M10257" s="22"/>
      <c r="N10257" s="21">
        <v>0</v>
      </c>
      <c r="O10257" s="22"/>
    </row>
    <row r="10258" ht="39">
      <c r="A10258" t="s">
        <v>10383</v>
      </c>
      <c r="B10258" s="19">
        <v>103583</v>
      </c>
      <c r="C10258" s="20" t="s">
        <v>10407</v>
      </c>
      <c r="D10258" s="19" t="s">
        <v>31</v>
      </c>
      <c r="E10258" s="21" t="str">
        <f t="shared" si="479"/>
        <v>VERIFICAR</v>
      </c>
      <c r="F10258" s="22"/>
      <c r="G10258" s="21" t="str">
        <f t="shared" si="480"/>
        <v>VERIFICAR</v>
      </c>
      <c r="H10258" s="22"/>
      <c r="I10258" s="23" t="str">
        <f t="shared" si="481"/>
        <v xml:space="preserve">COM VALOR</v>
      </c>
      <c r="L10258" s="21">
        <v>0</v>
      </c>
      <c r="M10258" s="22"/>
      <c r="N10258" s="21">
        <v>0</v>
      </c>
      <c r="O10258" s="22"/>
    </row>
    <row r="10259" ht="39">
      <c r="A10259" t="s">
        <v>10383</v>
      </c>
      <c r="B10259" s="19">
        <v>103584</v>
      </c>
      <c r="C10259" s="20" t="s">
        <v>10408</v>
      </c>
      <c r="D10259" s="19" t="s">
        <v>31</v>
      </c>
      <c r="E10259" s="21" t="str">
        <f t="shared" si="479"/>
        <v>VERIFICAR</v>
      </c>
      <c r="F10259" s="22"/>
      <c r="G10259" s="21" t="str">
        <f t="shared" si="480"/>
        <v>VERIFICAR</v>
      </c>
      <c r="H10259" s="22"/>
      <c r="I10259" s="23" t="str">
        <f t="shared" si="481"/>
        <v xml:space="preserve">COM VALOR</v>
      </c>
      <c r="L10259" s="21">
        <v>0</v>
      </c>
      <c r="M10259" s="22"/>
      <c r="N10259" s="21">
        <v>0</v>
      </c>
      <c r="O10259" s="22"/>
    </row>
    <row r="10260" ht="26.25">
      <c r="A10260" t="s">
        <v>10383</v>
      </c>
      <c r="B10260" s="19">
        <v>103557</v>
      </c>
      <c r="C10260" s="20" t="s">
        <v>10409</v>
      </c>
      <c r="D10260" s="19" t="s">
        <v>31</v>
      </c>
      <c r="E10260" s="21" t="str">
        <f t="shared" si="479"/>
        <v>VERIFICAR</v>
      </c>
      <c r="F10260" s="22"/>
      <c r="G10260" s="21" t="str">
        <f t="shared" si="480"/>
        <v>VERIFICAR</v>
      </c>
      <c r="H10260" s="22"/>
      <c r="I10260" s="23" t="str">
        <f t="shared" si="481"/>
        <v xml:space="preserve">COM VALOR</v>
      </c>
      <c r="L10260" s="21">
        <v>0</v>
      </c>
      <c r="M10260" s="22"/>
      <c r="N10260" s="21">
        <v>0</v>
      </c>
      <c r="O10260" s="22"/>
    </row>
    <row r="10261" ht="26.25">
      <c r="A10261" t="s">
        <v>10383</v>
      </c>
      <c r="B10261" s="19">
        <v>103558</v>
      </c>
      <c r="C10261" s="20" t="s">
        <v>10410</v>
      </c>
      <c r="D10261" s="19" t="s">
        <v>31</v>
      </c>
      <c r="E10261" s="21" t="str">
        <f t="shared" si="479"/>
        <v>VERIFICAR</v>
      </c>
      <c r="F10261" s="22"/>
      <c r="G10261" s="21" t="str">
        <f t="shared" si="480"/>
        <v>VERIFICAR</v>
      </c>
      <c r="H10261" s="22"/>
      <c r="I10261" s="23" t="str">
        <f t="shared" si="481"/>
        <v xml:space="preserve">COM VALOR</v>
      </c>
      <c r="L10261" s="21">
        <v>0</v>
      </c>
      <c r="M10261" s="22"/>
      <c r="N10261" s="21">
        <v>0</v>
      </c>
      <c r="O10261" s="22"/>
    </row>
    <row r="10262" ht="26.25">
      <c r="A10262" t="s">
        <v>10383</v>
      </c>
      <c r="B10262" s="19">
        <v>103559</v>
      </c>
      <c r="C10262" s="20" t="s">
        <v>10411</v>
      </c>
      <c r="D10262" s="19" t="s">
        <v>31</v>
      </c>
      <c r="E10262" s="21" t="str">
        <f t="shared" si="479"/>
        <v>VERIFICAR</v>
      </c>
      <c r="F10262" s="22"/>
      <c r="G10262" s="21" t="str">
        <f t="shared" si="480"/>
        <v>VERIFICAR</v>
      </c>
      <c r="H10262" s="22"/>
      <c r="I10262" s="23" t="str">
        <f t="shared" si="481"/>
        <v xml:space="preserve">COM VALOR</v>
      </c>
      <c r="L10262" s="21">
        <v>0</v>
      </c>
      <c r="M10262" s="22"/>
      <c r="N10262" s="21">
        <v>0</v>
      </c>
      <c r="O10262" s="22"/>
    </row>
    <row r="10263" ht="26.25">
      <c r="A10263" t="s">
        <v>10383</v>
      </c>
      <c r="B10263" s="19">
        <v>103560</v>
      </c>
      <c r="C10263" s="20" t="s">
        <v>10412</v>
      </c>
      <c r="D10263" s="19" t="s">
        <v>31</v>
      </c>
      <c r="E10263" s="21" t="str">
        <f t="shared" si="479"/>
        <v>VERIFICAR</v>
      </c>
      <c r="F10263" s="22"/>
      <c r="G10263" s="21" t="str">
        <f t="shared" si="480"/>
        <v>VERIFICAR</v>
      </c>
      <c r="H10263" s="22"/>
      <c r="I10263" s="23" t="str">
        <f t="shared" si="481"/>
        <v xml:space="preserve">COM VALOR</v>
      </c>
      <c r="L10263" s="21">
        <v>0</v>
      </c>
      <c r="M10263" s="22"/>
      <c r="N10263" s="21">
        <v>0</v>
      </c>
      <c r="O10263" s="22"/>
    </row>
    <row r="10264" ht="26.25">
      <c r="A10264" t="s">
        <v>10383</v>
      </c>
      <c r="B10264" s="19">
        <v>103561</v>
      </c>
      <c r="C10264" s="20" t="s">
        <v>10413</v>
      </c>
      <c r="D10264" s="19" t="s">
        <v>31</v>
      </c>
      <c r="E10264" s="21" t="str">
        <f t="shared" si="479"/>
        <v>VERIFICAR</v>
      </c>
      <c r="F10264" s="22"/>
      <c r="G10264" s="21" t="str">
        <f t="shared" si="480"/>
        <v>VERIFICAR</v>
      </c>
      <c r="H10264" s="22"/>
      <c r="I10264" s="23" t="str">
        <f t="shared" si="481"/>
        <v xml:space="preserve">COM VALOR</v>
      </c>
      <c r="L10264" s="21">
        <v>0</v>
      </c>
      <c r="M10264" s="22"/>
      <c r="N10264" s="21">
        <v>0</v>
      </c>
      <c r="O10264" s="22"/>
    </row>
    <row r="10265" ht="26.25">
      <c r="A10265" t="s">
        <v>10383</v>
      </c>
      <c r="B10265" s="19">
        <v>103529</v>
      </c>
      <c r="C10265" s="20" t="s">
        <v>10414</v>
      </c>
      <c r="D10265" s="19" t="s">
        <v>31</v>
      </c>
      <c r="E10265" s="21" t="str">
        <f t="shared" si="479"/>
        <v>VERIFICAR</v>
      </c>
      <c r="F10265" s="22"/>
      <c r="G10265" s="21" t="str">
        <f t="shared" si="480"/>
        <v>VERIFICAR</v>
      </c>
      <c r="H10265" s="22"/>
      <c r="I10265" s="23" t="str">
        <f t="shared" si="481"/>
        <v xml:space="preserve">COM VALOR</v>
      </c>
      <c r="L10265" s="21">
        <v>0</v>
      </c>
      <c r="M10265" s="22"/>
      <c r="N10265" s="21">
        <v>0</v>
      </c>
      <c r="O10265" s="22"/>
    </row>
    <row r="10266" ht="26.25">
      <c r="A10266" t="s">
        <v>10383</v>
      </c>
      <c r="B10266" s="19">
        <v>103530</v>
      </c>
      <c r="C10266" s="20" t="s">
        <v>10415</v>
      </c>
      <c r="D10266" s="19" t="s">
        <v>31</v>
      </c>
      <c r="E10266" s="21" t="str">
        <f t="shared" si="479"/>
        <v>VERIFICAR</v>
      </c>
      <c r="F10266" s="22"/>
      <c r="G10266" s="21" t="str">
        <f t="shared" si="480"/>
        <v>VERIFICAR</v>
      </c>
      <c r="H10266" s="22"/>
      <c r="I10266" s="23" t="str">
        <f t="shared" si="481"/>
        <v xml:space="preserve">COM VALOR</v>
      </c>
      <c r="L10266" s="21">
        <v>0</v>
      </c>
      <c r="M10266" s="22"/>
      <c r="N10266" s="21">
        <v>0</v>
      </c>
      <c r="O10266" s="22"/>
    </row>
    <row r="10267" ht="26.25">
      <c r="A10267" t="s">
        <v>10383</v>
      </c>
      <c r="B10267" s="19">
        <v>103531</v>
      </c>
      <c r="C10267" s="20" t="s">
        <v>10416</v>
      </c>
      <c r="D10267" s="19" t="s">
        <v>31</v>
      </c>
      <c r="E10267" s="21" t="str">
        <f t="shared" si="479"/>
        <v>VERIFICAR</v>
      </c>
      <c r="F10267" s="22"/>
      <c r="G10267" s="21" t="str">
        <f t="shared" si="480"/>
        <v>VERIFICAR</v>
      </c>
      <c r="H10267" s="22"/>
      <c r="I10267" s="23" t="str">
        <f t="shared" si="481"/>
        <v xml:space="preserve">COM VALOR</v>
      </c>
      <c r="L10267" s="21">
        <v>0</v>
      </c>
      <c r="M10267" s="22"/>
      <c r="N10267" s="21">
        <v>0</v>
      </c>
      <c r="O10267" s="22"/>
    </row>
    <row r="10268" ht="26.25">
      <c r="A10268" t="s">
        <v>10383</v>
      </c>
      <c r="B10268" s="19">
        <v>103532</v>
      </c>
      <c r="C10268" s="20" t="s">
        <v>10417</v>
      </c>
      <c r="D10268" s="19" t="s">
        <v>31</v>
      </c>
      <c r="E10268" s="21" t="str">
        <f t="shared" si="479"/>
        <v>VERIFICAR</v>
      </c>
      <c r="F10268" s="22"/>
      <c r="G10268" s="21" t="str">
        <f t="shared" si="480"/>
        <v>VERIFICAR</v>
      </c>
      <c r="H10268" s="22"/>
      <c r="I10268" s="23" t="str">
        <f t="shared" si="481"/>
        <v xml:space="preserve">COM VALOR</v>
      </c>
      <c r="L10268" s="21">
        <v>0</v>
      </c>
      <c r="M10268" s="22"/>
      <c r="N10268" s="21">
        <v>0</v>
      </c>
      <c r="O10268" s="22"/>
    </row>
    <row r="10269" ht="26.25">
      <c r="A10269" t="s">
        <v>10383</v>
      </c>
      <c r="B10269" s="19">
        <v>103533</v>
      </c>
      <c r="C10269" s="20" t="s">
        <v>10418</v>
      </c>
      <c r="D10269" s="19" t="s">
        <v>31</v>
      </c>
      <c r="E10269" s="21" t="str">
        <f t="shared" si="479"/>
        <v>VERIFICAR</v>
      </c>
      <c r="F10269" s="22"/>
      <c r="G10269" s="21" t="str">
        <f t="shared" si="480"/>
        <v>VERIFICAR</v>
      </c>
      <c r="H10269" s="22"/>
      <c r="I10269" s="23" t="str">
        <f t="shared" si="481"/>
        <v xml:space="preserve">COM VALOR</v>
      </c>
      <c r="L10269" s="21">
        <v>0</v>
      </c>
      <c r="M10269" s="22"/>
      <c r="N10269" s="21">
        <v>0</v>
      </c>
      <c r="O10269" s="22"/>
    </row>
    <row r="10270" ht="26.25">
      <c r="A10270" t="s">
        <v>10383</v>
      </c>
      <c r="B10270" s="19">
        <v>103534</v>
      </c>
      <c r="C10270" s="20" t="s">
        <v>10419</v>
      </c>
      <c r="D10270" s="19" t="s">
        <v>31</v>
      </c>
      <c r="E10270" s="21" t="str">
        <f t="shared" si="479"/>
        <v>VERIFICAR</v>
      </c>
      <c r="F10270" s="22"/>
      <c r="G10270" s="21" t="str">
        <f t="shared" si="480"/>
        <v>VERIFICAR</v>
      </c>
      <c r="H10270" s="22"/>
      <c r="I10270" s="23" t="str">
        <f t="shared" si="481"/>
        <v xml:space="preserve">COM VALOR</v>
      </c>
      <c r="L10270" s="21">
        <v>0</v>
      </c>
      <c r="M10270" s="22"/>
      <c r="N10270" s="21">
        <v>0</v>
      </c>
      <c r="O10270" s="22"/>
    </row>
    <row r="10271" ht="26.25">
      <c r="A10271" t="s">
        <v>10383</v>
      </c>
      <c r="B10271" s="19">
        <v>103535</v>
      </c>
      <c r="C10271" s="20" t="s">
        <v>10420</v>
      </c>
      <c r="D10271" s="19" t="s">
        <v>31</v>
      </c>
      <c r="E10271" s="21" t="str">
        <f t="shared" si="479"/>
        <v>VERIFICAR</v>
      </c>
      <c r="F10271" s="22"/>
      <c r="G10271" s="21" t="str">
        <f t="shared" si="480"/>
        <v>VERIFICAR</v>
      </c>
      <c r="H10271" s="22"/>
      <c r="I10271" s="23" t="str">
        <f t="shared" si="481"/>
        <v xml:space="preserve">COM VALOR</v>
      </c>
      <c r="L10271" s="21">
        <v>0</v>
      </c>
      <c r="M10271" s="22"/>
      <c r="N10271" s="21">
        <v>0</v>
      </c>
      <c r="O10271" s="22"/>
    </row>
    <row r="10272" ht="26.25">
      <c r="A10272" t="s">
        <v>10383</v>
      </c>
      <c r="B10272" s="19">
        <v>103527</v>
      </c>
      <c r="C10272" s="20" t="s">
        <v>10421</v>
      </c>
      <c r="D10272" s="19" t="s">
        <v>31</v>
      </c>
      <c r="E10272" s="21" t="str">
        <f t="shared" si="479"/>
        <v>VERIFICAR</v>
      </c>
      <c r="F10272" s="22"/>
      <c r="G10272" s="21" t="str">
        <f t="shared" si="480"/>
        <v>VERIFICAR</v>
      </c>
      <c r="H10272" s="22"/>
      <c r="I10272" s="23" t="str">
        <f t="shared" si="481"/>
        <v xml:space="preserve">COM VALOR</v>
      </c>
      <c r="L10272" s="21">
        <v>0</v>
      </c>
      <c r="M10272" s="22"/>
      <c r="N10272" s="21">
        <v>0</v>
      </c>
      <c r="O10272" s="22"/>
    </row>
    <row r="10273" ht="26.25">
      <c r="A10273" t="s">
        <v>10383</v>
      </c>
      <c r="B10273" s="19">
        <v>103536</v>
      </c>
      <c r="C10273" s="20" t="s">
        <v>10422</v>
      </c>
      <c r="D10273" s="19" t="s">
        <v>31</v>
      </c>
      <c r="E10273" s="21" t="str">
        <f t="shared" si="479"/>
        <v>VERIFICAR</v>
      </c>
      <c r="F10273" s="22"/>
      <c r="G10273" s="21" t="str">
        <f t="shared" si="480"/>
        <v>VERIFICAR</v>
      </c>
      <c r="H10273" s="22"/>
      <c r="I10273" s="23" t="str">
        <f t="shared" si="481"/>
        <v xml:space="preserve">COM VALOR</v>
      </c>
      <c r="L10273" s="21">
        <v>0</v>
      </c>
      <c r="M10273" s="22"/>
      <c r="N10273" s="21">
        <v>0</v>
      </c>
      <c r="O10273" s="22"/>
    </row>
    <row r="10274" ht="26.25">
      <c r="A10274" t="s">
        <v>10383</v>
      </c>
      <c r="B10274" s="19">
        <v>103528</v>
      </c>
      <c r="C10274" s="20" t="s">
        <v>10423</v>
      </c>
      <c r="D10274" s="19" t="s">
        <v>31</v>
      </c>
      <c r="E10274" s="21" t="str">
        <f t="shared" si="479"/>
        <v>VERIFICAR</v>
      </c>
      <c r="F10274" s="22"/>
      <c r="G10274" s="21" t="str">
        <f t="shared" si="480"/>
        <v>VERIFICAR</v>
      </c>
      <c r="H10274" s="22"/>
      <c r="I10274" s="23" t="str">
        <f t="shared" si="481"/>
        <v xml:space="preserve">COM VALOR</v>
      </c>
      <c r="L10274" s="21">
        <v>0</v>
      </c>
      <c r="M10274" s="22"/>
      <c r="N10274" s="21">
        <v>0</v>
      </c>
      <c r="O10274" s="22"/>
    </row>
    <row r="10275" ht="26.25">
      <c r="A10275" t="s">
        <v>10383</v>
      </c>
      <c r="B10275" s="19">
        <v>103541</v>
      </c>
      <c r="C10275" s="20" t="s">
        <v>10424</v>
      </c>
      <c r="D10275" s="19" t="s">
        <v>31</v>
      </c>
      <c r="E10275" s="21" t="str">
        <f t="shared" si="479"/>
        <v>VERIFICAR</v>
      </c>
      <c r="F10275" s="22"/>
      <c r="G10275" s="21" t="str">
        <f t="shared" si="480"/>
        <v>VERIFICAR</v>
      </c>
      <c r="H10275" s="22"/>
      <c r="I10275" s="23" t="str">
        <f t="shared" si="481"/>
        <v xml:space="preserve">COM VALOR</v>
      </c>
      <c r="L10275" s="21">
        <v>0</v>
      </c>
      <c r="M10275" s="22"/>
      <c r="N10275" s="21">
        <v>0</v>
      </c>
      <c r="O10275" s="22"/>
    </row>
    <row r="10276" ht="26.25">
      <c r="A10276" t="s">
        <v>10383</v>
      </c>
      <c r="B10276" s="19">
        <v>103539</v>
      </c>
      <c r="C10276" s="20" t="s">
        <v>10425</v>
      </c>
      <c r="D10276" s="19" t="s">
        <v>31</v>
      </c>
      <c r="E10276" s="21" t="str">
        <f t="shared" si="479"/>
        <v>VERIFICAR</v>
      </c>
      <c r="F10276" s="22"/>
      <c r="G10276" s="21" t="str">
        <f t="shared" si="480"/>
        <v>VERIFICAR</v>
      </c>
      <c r="H10276" s="22"/>
      <c r="I10276" s="23" t="str">
        <f t="shared" si="481"/>
        <v xml:space="preserve">COM VALOR</v>
      </c>
      <c r="L10276" s="21">
        <v>0</v>
      </c>
      <c r="M10276" s="22"/>
      <c r="N10276" s="21">
        <v>0</v>
      </c>
      <c r="O10276" s="22"/>
    </row>
    <row r="10277" ht="26.25">
      <c r="A10277" t="s">
        <v>10383</v>
      </c>
      <c r="B10277" s="19">
        <v>103540</v>
      </c>
      <c r="C10277" s="20" t="s">
        <v>10426</v>
      </c>
      <c r="D10277" s="19" t="s">
        <v>31</v>
      </c>
      <c r="E10277" s="21" t="str">
        <f t="shared" si="479"/>
        <v>VERIFICAR</v>
      </c>
      <c r="F10277" s="22"/>
      <c r="G10277" s="21" t="str">
        <f t="shared" si="480"/>
        <v>VERIFICAR</v>
      </c>
      <c r="H10277" s="22"/>
      <c r="I10277" s="23" t="str">
        <f t="shared" si="481"/>
        <v xml:space="preserve">COM VALOR</v>
      </c>
      <c r="L10277" s="21">
        <v>0</v>
      </c>
      <c r="M10277" s="22"/>
      <c r="N10277" s="21">
        <v>0</v>
      </c>
      <c r="O10277" s="22"/>
    </row>
    <row r="10278" ht="26.25">
      <c r="A10278" t="s">
        <v>10383</v>
      </c>
      <c r="B10278" s="19">
        <v>103542</v>
      </c>
      <c r="C10278" s="20" t="s">
        <v>10427</v>
      </c>
      <c r="D10278" s="19" t="s">
        <v>31</v>
      </c>
      <c r="E10278" s="21" t="str">
        <f t="shared" si="479"/>
        <v>VERIFICAR</v>
      </c>
      <c r="F10278" s="22"/>
      <c r="G10278" s="21" t="str">
        <f t="shared" si="480"/>
        <v>VERIFICAR</v>
      </c>
      <c r="H10278" s="22"/>
      <c r="I10278" s="23" t="str">
        <f t="shared" si="481"/>
        <v xml:space="preserve">COM VALOR</v>
      </c>
      <c r="L10278" s="21">
        <v>0</v>
      </c>
      <c r="M10278" s="22"/>
      <c r="N10278" s="21">
        <v>0</v>
      </c>
      <c r="O10278" s="22"/>
    </row>
    <row r="10279" ht="26.25">
      <c r="A10279" t="s">
        <v>10383</v>
      </c>
      <c r="B10279" s="19">
        <v>103543</v>
      </c>
      <c r="C10279" s="20" t="s">
        <v>10428</v>
      </c>
      <c r="D10279" s="19" t="s">
        <v>31</v>
      </c>
      <c r="E10279" s="21" t="str">
        <f t="shared" si="479"/>
        <v>VERIFICAR</v>
      </c>
      <c r="F10279" s="22"/>
      <c r="G10279" s="21" t="str">
        <f t="shared" si="480"/>
        <v>VERIFICAR</v>
      </c>
      <c r="H10279" s="22"/>
      <c r="I10279" s="23" t="str">
        <f t="shared" si="481"/>
        <v xml:space="preserve">COM VALOR</v>
      </c>
      <c r="L10279" s="21">
        <v>0</v>
      </c>
      <c r="M10279" s="22"/>
      <c r="N10279" s="21">
        <v>0</v>
      </c>
      <c r="O10279" s="22"/>
    </row>
    <row r="10280" ht="26.25">
      <c r="A10280" t="s">
        <v>10383</v>
      </c>
      <c r="B10280" s="19">
        <v>103544</v>
      </c>
      <c r="C10280" s="20" t="s">
        <v>10429</v>
      </c>
      <c r="D10280" s="19" t="s">
        <v>31</v>
      </c>
      <c r="E10280" s="21" t="str">
        <f t="shared" si="479"/>
        <v>VERIFICAR</v>
      </c>
      <c r="F10280" s="22"/>
      <c r="G10280" s="21" t="str">
        <f t="shared" si="480"/>
        <v>VERIFICAR</v>
      </c>
      <c r="H10280" s="22"/>
      <c r="I10280" s="23" t="str">
        <f t="shared" si="481"/>
        <v xml:space="preserve">COM VALOR</v>
      </c>
      <c r="L10280" s="21">
        <v>0</v>
      </c>
      <c r="M10280" s="22"/>
      <c r="N10280" s="21">
        <v>0</v>
      </c>
      <c r="O10280" s="22"/>
    </row>
    <row r="10281" ht="26.25">
      <c r="A10281" t="s">
        <v>10383</v>
      </c>
      <c r="B10281" s="19">
        <v>103545</v>
      </c>
      <c r="C10281" s="20" t="s">
        <v>10430</v>
      </c>
      <c r="D10281" s="19" t="s">
        <v>31</v>
      </c>
      <c r="E10281" s="21" t="str">
        <f t="shared" si="479"/>
        <v>VERIFICAR</v>
      </c>
      <c r="F10281" s="22"/>
      <c r="G10281" s="21" t="str">
        <f t="shared" si="480"/>
        <v>VERIFICAR</v>
      </c>
      <c r="H10281" s="22"/>
      <c r="I10281" s="23" t="str">
        <f t="shared" si="481"/>
        <v xml:space="preserve">COM VALOR</v>
      </c>
      <c r="L10281" s="21">
        <v>0</v>
      </c>
      <c r="M10281" s="22"/>
      <c r="N10281" s="21">
        <v>0</v>
      </c>
      <c r="O10281" s="22"/>
    </row>
    <row r="10282" ht="26.25">
      <c r="A10282" t="s">
        <v>10383</v>
      </c>
      <c r="B10282" s="19">
        <v>103537</v>
      </c>
      <c r="C10282" s="20" t="s">
        <v>10431</v>
      </c>
      <c r="D10282" s="19" t="s">
        <v>31</v>
      </c>
      <c r="E10282" s="21" t="str">
        <f t="shared" si="479"/>
        <v>VERIFICAR</v>
      </c>
      <c r="F10282" s="22"/>
      <c r="G10282" s="21" t="str">
        <f t="shared" si="480"/>
        <v>VERIFICAR</v>
      </c>
      <c r="H10282" s="22"/>
      <c r="I10282" s="23" t="str">
        <f t="shared" si="481"/>
        <v xml:space="preserve">COM VALOR</v>
      </c>
      <c r="L10282" s="21">
        <v>0</v>
      </c>
      <c r="M10282" s="22"/>
      <c r="N10282" s="21">
        <v>0</v>
      </c>
      <c r="O10282" s="22"/>
    </row>
    <row r="10283" ht="26.25">
      <c r="A10283" t="s">
        <v>10383</v>
      </c>
      <c r="B10283" s="19">
        <v>103546</v>
      </c>
      <c r="C10283" s="20" t="s">
        <v>10432</v>
      </c>
      <c r="D10283" s="19" t="s">
        <v>31</v>
      </c>
      <c r="E10283" s="21" t="str">
        <f t="shared" si="479"/>
        <v>VERIFICAR</v>
      </c>
      <c r="F10283" s="22"/>
      <c r="G10283" s="21" t="str">
        <f t="shared" si="480"/>
        <v>VERIFICAR</v>
      </c>
      <c r="H10283" s="22"/>
      <c r="I10283" s="23" t="str">
        <f t="shared" si="481"/>
        <v xml:space="preserve">COM VALOR</v>
      </c>
      <c r="L10283" s="21">
        <v>0</v>
      </c>
      <c r="M10283" s="22"/>
      <c r="N10283" s="21">
        <v>0</v>
      </c>
      <c r="O10283" s="22"/>
    </row>
    <row r="10284" ht="26.25">
      <c r="A10284" t="s">
        <v>10383</v>
      </c>
      <c r="B10284" s="19">
        <v>103538</v>
      </c>
      <c r="C10284" s="20" t="s">
        <v>10433</v>
      </c>
      <c r="D10284" s="19" t="s">
        <v>31</v>
      </c>
      <c r="E10284" s="21" t="str">
        <f t="shared" si="479"/>
        <v>VERIFICAR</v>
      </c>
      <c r="F10284" s="22"/>
      <c r="G10284" s="21" t="str">
        <f t="shared" si="480"/>
        <v>VERIFICAR</v>
      </c>
      <c r="H10284" s="22"/>
      <c r="I10284" s="23" t="str">
        <f t="shared" si="481"/>
        <v xml:space="preserve">COM VALOR</v>
      </c>
      <c r="L10284" s="21">
        <v>0</v>
      </c>
      <c r="M10284" s="22"/>
      <c r="N10284" s="21">
        <v>0</v>
      </c>
      <c r="O10284" s="22"/>
    </row>
    <row r="10285" ht="26.25">
      <c r="A10285" t="s">
        <v>10383</v>
      </c>
      <c r="B10285" s="19">
        <v>103549</v>
      </c>
      <c r="C10285" s="20" t="s">
        <v>10434</v>
      </c>
      <c r="D10285" s="19" t="s">
        <v>31</v>
      </c>
      <c r="E10285" s="21" t="str">
        <f t="shared" si="479"/>
        <v>VERIFICAR</v>
      </c>
      <c r="F10285" s="22"/>
      <c r="G10285" s="21" t="str">
        <f t="shared" si="480"/>
        <v>VERIFICAR</v>
      </c>
      <c r="H10285" s="22"/>
      <c r="I10285" s="23" t="str">
        <f t="shared" si="481"/>
        <v xml:space="preserve">COM VALOR</v>
      </c>
      <c r="L10285" s="21">
        <v>0</v>
      </c>
      <c r="M10285" s="22"/>
      <c r="N10285" s="21">
        <v>0</v>
      </c>
      <c r="O10285" s="22"/>
    </row>
    <row r="10286" ht="26.25">
      <c r="A10286" t="s">
        <v>10383</v>
      </c>
      <c r="B10286" s="19">
        <v>103550</v>
      </c>
      <c r="C10286" s="20" t="s">
        <v>10435</v>
      </c>
      <c r="D10286" s="19" t="s">
        <v>31</v>
      </c>
      <c r="E10286" s="21" t="str">
        <f t="shared" si="479"/>
        <v>VERIFICAR</v>
      </c>
      <c r="F10286" s="22"/>
      <c r="G10286" s="21" t="str">
        <f t="shared" si="480"/>
        <v>VERIFICAR</v>
      </c>
      <c r="H10286" s="22"/>
      <c r="I10286" s="23" t="str">
        <f t="shared" si="481"/>
        <v xml:space="preserve">COM VALOR</v>
      </c>
      <c r="L10286" s="21">
        <v>0</v>
      </c>
      <c r="M10286" s="22"/>
      <c r="N10286" s="21">
        <v>0</v>
      </c>
      <c r="O10286" s="22"/>
    </row>
    <row r="10287" ht="26.25">
      <c r="A10287" t="s">
        <v>10383</v>
      </c>
      <c r="B10287" s="19">
        <v>103551</v>
      </c>
      <c r="C10287" s="20" t="s">
        <v>10436</v>
      </c>
      <c r="D10287" s="19" t="s">
        <v>31</v>
      </c>
      <c r="E10287" s="21" t="str">
        <f t="shared" si="479"/>
        <v>VERIFICAR</v>
      </c>
      <c r="F10287" s="22"/>
      <c r="G10287" s="21" t="str">
        <f t="shared" si="480"/>
        <v>VERIFICAR</v>
      </c>
      <c r="H10287" s="22"/>
      <c r="I10287" s="23" t="str">
        <f t="shared" si="481"/>
        <v xml:space="preserve">COM VALOR</v>
      </c>
      <c r="L10287" s="21">
        <v>0</v>
      </c>
      <c r="M10287" s="22"/>
      <c r="N10287" s="21">
        <v>0</v>
      </c>
      <c r="O10287" s="22"/>
    </row>
    <row r="10288" ht="26.25">
      <c r="A10288" t="s">
        <v>10383</v>
      </c>
      <c r="B10288" s="19">
        <v>103552</v>
      </c>
      <c r="C10288" s="20" t="s">
        <v>10437</v>
      </c>
      <c r="D10288" s="19" t="s">
        <v>31</v>
      </c>
      <c r="E10288" s="21" t="str">
        <f t="shared" si="479"/>
        <v>VERIFICAR</v>
      </c>
      <c r="F10288" s="22"/>
      <c r="G10288" s="21" t="str">
        <f t="shared" si="480"/>
        <v>VERIFICAR</v>
      </c>
      <c r="H10288" s="22"/>
      <c r="I10288" s="23" t="str">
        <f t="shared" si="481"/>
        <v xml:space="preserve">COM VALOR</v>
      </c>
      <c r="L10288" s="21">
        <v>0</v>
      </c>
      <c r="M10288" s="22"/>
      <c r="N10288" s="21">
        <v>0</v>
      </c>
      <c r="O10288" s="22"/>
    </row>
    <row r="10289" ht="26.25">
      <c r="A10289" t="s">
        <v>10383</v>
      </c>
      <c r="B10289" s="19">
        <v>103553</v>
      </c>
      <c r="C10289" s="20" t="s">
        <v>10438</v>
      </c>
      <c r="D10289" s="19" t="s">
        <v>31</v>
      </c>
      <c r="E10289" s="21" t="str">
        <f t="shared" si="479"/>
        <v>VERIFICAR</v>
      </c>
      <c r="F10289" s="22"/>
      <c r="G10289" s="21" t="str">
        <f t="shared" si="480"/>
        <v>VERIFICAR</v>
      </c>
      <c r="H10289" s="22"/>
      <c r="I10289" s="23" t="str">
        <f t="shared" si="481"/>
        <v xml:space="preserve">COM VALOR</v>
      </c>
      <c r="L10289" s="21">
        <v>0</v>
      </c>
      <c r="M10289" s="22"/>
      <c r="N10289" s="21">
        <v>0</v>
      </c>
      <c r="O10289" s="22"/>
    </row>
    <row r="10290" ht="26.25">
      <c r="A10290" t="s">
        <v>10383</v>
      </c>
      <c r="B10290" s="19">
        <v>103554</v>
      </c>
      <c r="C10290" s="20" t="s">
        <v>10439</v>
      </c>
      <c r="D10290" s="19" t="s">
        <v>31</v>
      </c>
      <c r="E10290" s="21" t="str">
        <f t="shared" si="479"/>
        <v>VERIFICAR</v>
      </c>
      <c r="F10290" s="22"/>
      <c r="G10290" s="21" t="str">
        <f t="shared" si="480"/>
        <v>VERIFICAR</v>
      </c>
      <c r="H10290" s="22"/>
      <c r="I10290" s="23" t="str">
        <f t="shared" si="481"/>
        <v xml:space="preserve">COM VALOR</v>
      </c>
      <c r="L10290" s="21">
        <v>0</v>
      </c>
      <c r="M10290" s="22"/>
      <c r="N10290" s="21">
        <v>0</v>
      </c>
      <c r="O10290" s="22"/>
    </row>
    <row r="10291" ht="26.25">
      <c r="A10291" t="s">
        <v>10383</v>
      </c>
      <c r="B10291" s="19">
        <v>103555</v>
      </c>
      <c r="C10291" s="20" t="s">
        <v>10440</v>
      </c>
      <c r="D10291" s="19" t="s">
        <v>31</v>
      </c>
      <c r="E10291" s="21" t="str">
        <f t="shared" si="479"/>
        <v>VERIFICAR</v>
      </c>
      <c r="F10291" s="22"/>
      <c r="G10291" s="21" t="str">
        <f t="shared" si="480"/>
        <v>VERIFICAR</v>
      </c>
      <c r="H10291" s="22"/>
      <c r="I10291" s="23" t="str">
        <f t="shared" si="481"/>
        <v xml:space="preserve">COM VALOR</v>
      </c>
      <c r="L10291" s="21">
        <v>0</v>
      </c>
      <c r="M10291" s="22"/>
      <c r="N10291" s="21">
        <v>0</v>
      </c>
      <c r="O10291" s="22"/>
    </row>
    <row r="10292" ht="26.25">
      <c r="A10292" t="s">
        <v>10383</v>
      </c>
      <c r="B10292" s="19">
        <v>103547</v>
      </c>
      <c r="C10292" s="20" t="s">
        <v>10441</v>
      </c>
      <c r="D10292" s="19" t="s">
        <v>31</v>
      </c>
      <c r="E10292" s="21" t="str">
        <f t="shared" si="479"/>
        <v>VERIFICAR</v>
      </c>
      <c r="F10292" s="22"/>
      <c r="G10292" s="21" t="str">
        <f t="shared" si="480"/>
        <v>VERIFICAR</v>
      </c>
      <c r="H10292" s="22"/>
      <c r="I10292" s="23" t="str">
        <f t="shared" si="481"/>
        <v xml:space="preserve">COM VALOR</v>
      </c>
      <c r="L10292" s="21">
        <v>0</v>
      </c>
      <c r="M10292" s="22"/>
      <c r="N10292" s="21">
        <v>0</v>
      </c>
      <c r="O10292" s="22"/>
    </row>
    <row r="10293" ht="26.25">
      <c r="A10293" t="s">
        <v>10383</v>
      </c>
      <c r="B10293" s="19">
        <v>103556</v>
      </c>
      <c r="C10293" s="20" t="s">
        <v>10442</v>
      </c>
      <c r="D10293" s="19" t="s">
        <v>31</v>
      </c>
      <c r="E10293" s="21" t="str">
        <f t="shared" si="479"/>
        <v>VERIFICAR</v>
      </c>
      <c r="F10293" s="22"/>
      <c r="G10293" s="21" t="str">
        <f t="shared" si="480"/>
        <v>VERIFICAR</v>
      </c>
      <c r="H10293" s="22"/>
      <c r="I10293" s="23" t="str">
        <f t="shared" si="481"/>
        <v xml:space="preserve">COM VALOR</v>
      </c>
      <c r="L10293" s="21">
        <v>0</v>
      </c>
      <c r="M10293" s="22"/>
      <c r="N10293" s="21">
        <v>0</v>
      </c>
      <c r="O10293" s="22"/>
    </row>
    <row r="10294" ht="26.25">
      <c r="A10294" t="s">
        <v>10383</v>
      </c>
      <c r="B10294" s="19">
        <v>103548</v>
      </c>
      <c r="C10294" s="20" t="s">
        <v>10443</v>
      </c>
      <c r="D10294" s="19" t="s">
        <v>31</v>
      </c>
      <c r="E10294" s="21" t="str">
        <f t="shared" si="479"/>
        <v>VERIFICAR</v>
      </c>
      <c r="F10294" s="22"/>
      <c r="G10294" s="21" t="str">
        <f t="shared" si="480"/>
        <v>VERIFICAR</v>
      </c>
      <c r="H10294" s="22"/>
      <c r="I10294" s="23" t="str">
        <f t="shared" si="481"/>
        <v xml:space="preserve">COM VALOR</v>
      </c>
      <c r="L10294" s="21">
        <v>0</v>
      </c>
      <c r="M10294" s="22"/>
      <c r="N10294" s="21">
        <v>0</v>
      </c>
      <c r="O10294" s="22"/>
    </row>
  </sheetData>
  <hyperlinks>
    <hyperlink r:id="rId1" ref="A11"/>
    <hyperlink r:id="rId1" ref="A12"/>
    <hyperlink r:id="rId1" ref="A13"/>
    <hyperlink r:id="rId1" ref="A14"/>
    <hyperlink r:id="rId1" ref="A15"/>
    <hyperlink r:id="rId1" ref="A16"/>
    <hyperlink r:id="rId1" ref="A17"/>
    <hyperlink r:id="rId1" ref="A18"/>
    <hyperlink r:id="rId1" ref="A19"/>
    <hyperlink r:id="rId2" ref="A20"/>
    <hyperlink r:id="rId2" ref="A21"/>
    <hyperlink r:id="rId2" ref="A22"/>
    <hyperlink r:id="rId2" ref="A23"/>
    <hyperlink r:id="rId2" ref="A24"/>
    <hyperlink r:id="rId2" ref="A25"/>
    <hyperlink r:id="rId2" ref="A26"/>
    <hyperlink r:id="rId2" ref="A27"/>
    <hyperlink r:id="rId3" ref="A28"/>
    <hyperlink r:id="rId3" ref="A29"/>
    <hyperlink r:id="rId3" ref="A30"/>
    <hyperlink r:id="rId3" ref="A31"/>
    <hyperlink r:id="rId3" ref="A32"/>
    <hyperlink r:id="rId3" ref="A33"/>
    <hyperlink r:id="rId3" ref="A34"/>
    <hyperlink r:id="rId3" ref="A35"/>
    <hyperlink r:id="rId3" ref="A36"/>
    <hyperlink r:id="rId3" ref="A37"/>
    <hyperlink r:id="rId3" ref="A38"/>
    <hyperlink r:id="rId3" ref="A39"/>
    <hyperlink r:id="rId4" ref="A40"/>
    <hyperlink r:id="rId4" ref="A41"/>
    <hyperlink r:id="rId4" ref="A42"/>
    <hyperlink r:id="rId4" ref="A43"/>
    <hyperlink r:id="rId4" ref="A44"/>
    <hyperlink r:id="rId4" ref="A45"/>
    <hyperlink r:id="rId4" ref="A46"/>
    <hyperlink r:id="rId4" ref="A47"/>
    <hyperlink r:id="rId4" ref="A48"/>
    <hyperlink r:id="rId4" ref="A49"/>
    <hyperlink r:id="rId4" ref="A50"/>
    <hyperlink r:id="rId4" ref="A51"/>
    <hyperlink r:id="rId4" ref="A52"/>
    <hyperlink r:id="rId4" ref="A53"/>
    <hyperlink r:id="rId4" ref="A54"/>
    <hyperlink r:id="rId4" ref="A55"/>
    <hyperlink r:id="rId4" ref="A56"/>
    <hyperlink r:id="rId4" ref="A57"/>
    <hyperlink r:id="rId4" ref="A58"/>
    <hyperlink r:id="rId4" ref="A59"/>
    <hyperlink r:id="rId4" ref="A60"/>
    <hyperlink r:id="rId4" ref="A61"/>
    <hyperlink r:id="rId4" ref="A62"/>
    <hyperlink r:id="rId4" ref="A63"/>
    <hyperlink r:id="rId4" ref="A64"/>
    <hyperlink r:id="rId4" ref="A65"/>
    <hyperlink r:id="rId4" ref="A66"/>
    <hyperlink r:id="rId4" ref="A67"/>
    <hyperlink r:id="rId4" ref="A68"/>
    <hyperlink r:id="rId4" ref="A69"/>
    <hyperlink r:id="rId4" ref="A70"/>
    <hyperlink r:id="rId4" ref="A71"/>
    <hyperlink r:id="rId4" ref="A72"/>
    <hyperlink r:id="rId4" ref="A73"/>
    <hyperlink r:id="rId4" ref="A74"/>
    <hyperlink r:id="rId4" ref="A75"/>
    <hyperlink r:id="rId4" ref="A76"/>
    <hyperlink r:id="rId4" ref="A77"/>
    <hyperlink r:id="rId4" ref="A78"/>
    <hyperlink r:id="rId4" ref="A79"/>
    <hyperlink r:id="rId4" ref="A80"/>
    <hyperlink r:id="rId4" ref="A81"/>
    <hyperlink r:id="rId4" ref="A82"/>
    <hyperlink r:id="rId4" ref="A83"/>
    <hyperlink r:id="rId4" ref="A84"/>
    <hyperlink r:id="rId4" ref="A85"/>
    <hyperlink r:id="rId4" ref="A86"/>
    <hyperlink r:id="rId4" ref="A87"/>
    <hyperlink r:id="rId4" ref="A88"/>
    <hyperlink r:id="rId4" ref="A89"/>
    <hyperlink r:id="rId4" ref="A90"/>
    <hyperlink r:id="rId4" ref="A91"/>
    <hyperlink r:id="rId4" ref="A92"/>
    <hyperlink r:id="rId4" ref="A93"/>
    <hyperlink r:id="rId4" ref="A94"/>
    <hyperlink r:id="rId4" ref="A95"/>
    <hyperlink r:id="rId5" ref="A96"/>
    <hyperlink r:id="rId5" ref="A97"/>
    <hyperlink r:id="rId5" ref="A98"/>
    <hyperlink r:id="rId5" ref="A99"/>
    <hyperlink r:id="rId5" ref="A100"/>
    <hyperlink r:id="rId5" ref="A101"/>
    <hyperlink r:id="rId5" ref="A102"/>
    <hyperlink r:id="rId5" ref="A103"/>
    <hyperlink r:id="rId5" ref="A104"/>
    <hyperlink r:id="rId5" ref="A105"/>
    <hyperlink r:id="rId5" ref="A106"/>
    <hyperlink r:id="rId5" ref="A107"/>
    <hyperlink r:id="rId5" ref="A108"/>
    <hyperlink r:id="rId6" ref="A109"/>
    <hyperlink r:id="rId6" ref="A110"/>
    <hyperlink r:id="rId6" ref="A111"/>
    <hyperlink r:id="rId6" ref="A112"/>
    <hyperlink r:id="rId6" ref="A113"/>
    <hyperlink r:id="rId6" ref="A114"/>
    <hyperlink r:id="rId6" ref="A115"/>
    <hyperlink r:id="rId6" ref="A116"/>
    <hyperlink r:id="rId6" ref="A117"/>
    <hyperlink r:id="rId6" ref="A118"/>
    <hyperlink r:id="rId6" ref="A119"/>
    <hyperlink r:id="rId6" ref="A120"/>
    <hyperlink r:id="rId6" ref="A121"/>
    <hyperlink r:id="rId6" ref="A122"/>
    <hyperlink r:id="rId6" ref="A123"/>
    <hyperlink r:id="rId6" ref="A124"/>
    <hyperlink r:id="rId6" ref="A125"/>
    <hyperlink r:id="rId6" ref="A126"/>
    <hyperlink r:id="rId6" ref="A127"/>
    <hyperlink r:id="rId6" ref="A128"/>
    <hyperlink r:id="rId6" ref="A129"/>
    <hyperlink r:id="rId6" ref="A130"/>
    <hyperlink r:id="rId6" ref="A131"/>
    <hyperlink r:id="rId6" ref="A132"/>
    <hyperlink r:id="rId6" ref="A133"/>
    <hyperlink r:id="rId6" ref="A134"/>
    <hyperlink r:id="rId6" ref="A135"/>
    <hyperlink r:id="rId6" ref="A136"/>
    <hyperlink r:id="rId6" ref="A137"/>
    <hyperlink r:id="rId6" ref="A138"/>
    <hyperlink r:id="rId6" ref="A139"/>
    <hyperlink r:id="rId6" ref="A140"/>
    <hyperlink r:id="rId6" ref="A141"/>
    <hyperlink r:id="rId6" ref="A142"/>
    <hyperlink r:id="rId6" ref="A143"/>
    <hyperlink r:id="rId6" ref="A144"/>
    <hyperlink r:id="rId6" ref="A145"/>
    <hyperlink r:id="rId6" ref="A146"/>
    <hyperlink r:id="rId6" ref="A147"/>
    <hyperlink r:id="rId6" ref="A148"/>
    <hyperlink r:id="rId6" ref="A149"/>
    <hyperlink r:id="rId6" ref="A150"/>
    <hyperlink r:id="rId6" ref="A151"/>
    <hyperlink r:id="rId6" ref="A152"/>
    <hyperlink r:id="rId6" ref="A153"/>
    <hyperlink r:id="rId6" ref="A154"/>
    <hyperlink r:id="rId6" ref="A155"/>
    <hyperlink r:id="rId6" ref="A156"/>
    <hyperlink r:id="rId6" ref="A157"/>
    <hyperlink r:id="rId6" ref="A158"/>
    <hyperlink r:id="rId6" ref="A159"/>
    <hyperlink r:id="rId6" ref="A160"/>
    <hyperlink r:id="rId6" ref="A161"/>
    <hyperlink r:id="rId6" ref="A162"/>
    <hyperlink r:id="rId6" ref="A163"/>
    <hyperlink r:id="rId6" ref="A164"/>
    <hyperlink r:id="rId6" ref="A165"/>
    <hyperlink r:id="rId6" ref="A166"/>
    <hyperlink r:id="rId6" ref="A167"/>
    <hyperlink r:id="rId6" ref="A168"/>
    <hyperlink r:id="rId6" ref="A169"/>
    <hyperlink r:id="rId6" ref="A170"/>
    <hyperlink r:id="rId6" ref="A171"/>
    <hyperlink r:id="rId6" ref="A172"/>
    <hyperlink r:id="rId6" ref="A173"/>
    <hyperlink r:id="rId6" ref="A174"/>
    <hyperlink r:id="rId6" ref="A175"/>
    <hyperlink r:id="rId6" ref="A176"/>
    <hyperlink r:id="rId6" ref="A177"/>
    <hyperlink r:id="rId6" ref="A178"/>
    <hyperlink r:id="rId6" ref="A179"/>
    <hyperlink r:id="rId6" ref="A180"/>
    <hyperlink r:id="rId6" ref="A181"/>
    <hyperlink r:id="rId6" ref="A182"/>
    <hyperlink r:id="rId6" ref="A183"/>
    <hyperlink r:id="rId6" ref="A184"/>
    <hyperlink r:id="rId6" ref="A185"/>
    <hyperlink r:id="rId6" ref="A186"/>
    <hyperlink r:id="rId6" ref="A187"/>
    <hyperlink r:id="rId6" ref="A188"/>
    <hyperlink r:id="rId6" ref="A189"/>
    <hyperlink r:id="rId6" ref="A190"/>
    <hyperlink r:id="rId6" ref="A191"/>
    <hyperlink r:id="rId6" ref="A192"/>
    <hyperlink r:id="rId6" ref="A193"/>
    <hyperlink r:id="rId6" ref="A194"/>
    <hyperlink r:id="rId6" ref="A195"/>
    <hyperlink r:id="rId6" ref="A196"/>
    <hyperlink r:id="rId6" ref="A197"/>
    <hyperlink r:id="rId6" ref="A198"/>
    <hyperlink r:id="rId6" ref="A199"/>
    <hyperlink r:id="rId6" ref="A200"/>
    <hyperlink r:id="rId6" ref="A201"/>
    <hyperlink r:id="rId6" ref="A202"/>
    <hyperlink r:id="rId6" ref="A203"/>
    <hyperlink r:id="rId6" ref="A204"/>
    <hyperlink r:id="rId6" ref="A205"/>
    <hyperlink r:id="rId6" ref="A206"/>
    <hyperlink r:id="rId6" ref="A207"/>
    <hyperlink r:id="rId6" ref="A208"/>
    <hyperlink r:id="rId6" ref="A209"/>
    <hyperlink r:id="rId6" ref="A210"/>
    <hyperlink r:id="rId6" ref="A211"/>
    <hyperlink r:id="rId6" ref="A212"/>
    <hyperlink r:id="rId6" ref="A213"/>
    <hyperlink r:id="rId6" ref="A214"/>
    <hyperlink r:id="rId6" ref="A215"/>
    <hyperlink r:id="rId6" ref="A216"/>
    <hyperlink r:id="rId6" ref="A217"/>
    <hyperlink r:id="rId6" ref="A218"/>
    <hyperlink r:id="rId6" ref="A219"/>
    <hyperlink r:id="rId6" ref="A220"/>
    <hyperlink r:id="rId6" ref="A221"/>
    <hyperlink r:id="rId6" ref="A222"/>
    <hyperlink r:id="rId6" ref="A223"/>
    <hyperlink r:id="rId6" ref="A224"/>
    <hyperlink r:id="rId6" ref="A225"/>
    <hyperlink r:id="rId6" ref="A226"/>
    <hyperlink r:id="rId6" ref="A227"/>
    <hyperlink r:id="rId6" ref="A228"/>
    <hyperlink r:id="rId6" ref="A229"/>
    <hyperlink r:id="rId6" ref="A230"/>
    <hyperlink r:id="rId6" ref="A231"/>
    <hyperlink r:id="rId6" ref="A232"/>
    <hyperlink r:id="rId6" ref="A233"/>
    <hyperlink r:id="rId6" ref="A234"/>
    <hyperlink r:id="rId6" ref="A235"/>
    <hyperlink r:id="rId6" ref="A236"/>
    <hyperlink r:id="rId6" ref="A237"/>
    <hyperlink r:id="rId6" ref="A238"/>
    <hyperlink r:id="rId6" ref="A239"/>
    <hyperlink r:id="rId6" ref="A240"/>
    <hyperlink r:id="rId6" ref="A241"/>
    <hyperlink r:id="rId6" ref="A242"/>
    <hyperlink r:id="rId6" ref="A243"/>
    <hyperlink r:id="rId6" ref="A244"/>
    <hyperlink r:id="rId6" ref="A245"/>
    <hyperlink r:id="rId6" ref="A246"/>
    <hyperlink r:id="rId6" ref="A247"/>
    <hyperlink r:id="rId6" ref="A248"/>
    <hyperlink r:id="rId6" ref="A249"/>
    <hyperlink r:id="rId6" ref="A250"/>
    <hyperlink r:id="rId6" ref="A251"/>
    <hyperlink r:id="rId6" ref="A252"/>
    <hyperlink r:id="rId6" ref="A253"/>
    <hyperlink r:id="rId6" ref="A254"/>
    <hyperlink r:id="rId6" ref="A255"/>
    <hyperlink r:id="rId6" ref="A256"/>
    <hyperlink r:id="rId6" ref="A257"/>
    <hyperlink r:id="rId6" ref="A258"/>
    <hyperlink r:id="rId6" ref="A259"/>
    <hyperlink r:id="rId6" ref="A260"/>
    <hyperlink r:id="rId6" ref="A261"/>
    <hyperlink r:id="rId6" ref="A262"/>
    <hyperlink r:id="rId6" ref="A263"/>
    <hyperlink r:id="rId6" ref="A264"/>
    <hyperlink r:id="rId6" ref="A265"/>
    <hyperlink r:id="rId6" ref="A266"/>
    <hyperlink r:id="rId6" ref="A267"/>
    <hyperlink r:id="rId6" ref="A268"/>
    <hyperlink r:id="rId6" ref="A269"/>
    <hyperlink r:id="rId6" ref="A270"/>
    <hyperlink r:id="rId6" ref="A271"/>
    <hyperlink r:id="rId6" ref="A272"/>
    <hyperlink r:id="rId6" ref="A273"/>
    <hyperlink r:id="rId7" ref="A274"/>
    <hyperlink r:id="rId7" ref="A275"/>
    <hyperlink r:id="rId7" ref="A276"/>
    <hyperlink r:id="rId7" ref="A277"/>
    <hyperlink r:id="rId7" ref="A278"/>
    <hyperlink r:id="rId7" ref="A279"/>
    <hyperlink r:id="rId7" ref="A280"/>
    <hyperlink r:id="rId7" ref="A281"/>
    <hyperlink r:id="rId7" ref="A282"/>
    <hyperlink r:id="rId7" ref="A283"/>
    <hyperlink r:id="rId7" ref="A284"/>
    <hyperlink r:id="rId8" ref="A285"/>
    <hyperlink r:id="rId8" ref="A286"/>
    <hyperlink r:id="rId8" ref="A287"/>
    <hyperlink r:id="rId8" ref="A288"/>
    <hyperlink r:id="rId8" ref="A289"/>
    <hyperlink r:id="rId8" ref="A290"/>
    <hyperlink r:id="rId8" ref="A291"/>
    <hyperlink r:id="rId8" ref="A292"/>
    <hyperlink r:id="rId8" ref="A293"/>
    <hyperlink r:id="rId8" ref="A294"/>
    <hyperlink r:id="rId8" ref="A295"/>
    <hyperlink r:id="rId8" ref="A296"/>
    <hyperlink r:id="rId8" ref="A297"/>
    <hyperlink r:id="rId8" ref="A298"/>
    <hyperlink r:id="rId8" ref="A299"/>
    <hyperlink r:id="rId8" ref="A300"/>
    <hyperlink r:id="rId8" ref="A301"/>
    <hyperlink r:id="rId8" ref="A302"/>
    <hyperlink r:id="rId8" ref="A303"/>
    <hyperlink r:id="rId8" ref="A304"/>
    <hyperlink r:id="rId8" ref="A305"/>
    <hyperlink r:id="rId8" ref="A306"/>
    <hyperlink r:id="rId8" ref="A307"/>
    <hyperlink r:id="rId8" ref="A308"/>
    <hyperlink r:id="rId8" ref="A309"/>
    <hyperlink r:id="rId8" ref="A310"/>
    <hyperlink r:id="rId8" ref="A311"/>
    <hyperlink r:id="rId8" ref="A312"/>
    <hyperlink r:id="rId8" ref="A313"/>
    <hyperlink r:id="rId8" ref="A314"/>
    <hyperlink r:id="rId8" ref="A315"/>
    <hyperlink r:id="rId8" ref="A316"/>
    <hyperlink r:id="rId8" ref="A317"/>
    <hyperlink r:id="rId8" ref="A318"/>
    <hyperlink r:id="rId8" ref="A319"/>
    <hyperlink r:id="rId8" ref="A320"/>
    <hyperlink r:id="rId8" ref="A321"/>
    <hyperlink r:id="rId8" ref="A322"/>
    <hyperlink r:id="rId8" ref="A323"/>
    <hyperlink r:id="rId8" ref="A324"/>
    <hyperlink r:id="rId8" ref="A325"/>
    <hyperlink r:id="rId8" ref="A326"/>
    <hyperlink r:id="rId8" ref="A327"/>
    <hyperlink r:id="rId8" ref="A328"/>
    <hyperlink r:id="rId8" ref="A329"/>
    <hyperlink r:id="rId8" ref="A330"/>
    <hyperlink r:id="rId8" ref="A331"/>
    <hyperlink r:id="rId8" ref="A332"/>
    <hyperlink r:id="rId8" ref="A333"/>
    <hyperlink r:id="rId8" ref="A334"/>
    <hyperlink r:id="rId8" ref="A335"/>
    <hyperlink r:id="rId8" ref="A336"/>
    <hyperlink r:id="rId8" ref="A337"/>
    <hyperlink r:id="rId8" ref="A338"/>
    <hyperlink r:id="rId8" ref="A339"/>
    <hyperlink r:id="rId8" ref="A340"/>
    <hyperlink r:id="rId9" ref="A341"/>
    <hyperlink r:id="rId9" ref="A342"/>
    <hyperlink r:id="rId9" ref="A343"/>
    <hyperlink r:id="rId9" ref="A344"/>
    <hyperlink r:id="rId9" ref="A345"/>
    <hyperlink r:id="rId9" ref="A346"/>
    <hyperlink r:id="rId9" ref="A347"/>
    <hyperlink r:id="rId9" ref="A348"/>
    <hyperlink r:id="rId9" ref="A349"/>
    <hyperlink r:id="rId9" ref="A350"/>
    <hyperlink r:id="rId9" ref="A351"/>
    <hyperlink r:id="rId10" ref="A352"/>
    <hyperlink r:id="rId10" ref="A353"/>
    <hyperlink r:id="rId10" ref="A354"/>
    <hyperlink r:id="rId10" ref="A355"/>
    <hyperlink r:id="rId10" ref="A356"/>
    <hyperlink r:id="rId10" ref="A357"/>
    <hyperlink r:id="rId10" ref="A358"/>
    <hyperlink r:id="rId10" ref="A359"/>
    <hyperlink r:id="rId10" ref="A360"/>
    <hyperlink r:id="rId10" ref="A361"/>
    <hyperlink r:id="rId10" ref="A362"/>
    <hyperlink r:id="rId10" ref="A363"/>
    <hyperlink r:id="rId11" ref="A364"/>
    <hyperlink r:id="rId11" ref="A365"/>
    <hyperlink r:id="rId11" ref="A366"/>
    <hyperlink r:id="rId11" ref="A367"/>
    <hyperlink r:id="rId11" ref="A368"/>
    <hyperlink r:id="rId11" ref="A369"/>
    <hyperlink r:id="rId11" ref="A370"/>
    <hyperlink r:id="rId11" ref="A371"/>
    <hyperlink r:id="rId11" ref="A372"/>
    <hyperlink r:id="rId11" ref="A373"/>
    <hyperlink r:id="rId11" ref="A374"/>
    <hyperlink r:id="rId11" ref="A375"/>
    <hyperlink r:id="rId11" ref="A376"/>
    <hyperlink r:id="rId11" ref="A377"/>
    <hyperlink r:id="rId11" ref="A378"/>
    <hyperlink r:id="rId11" ref="A379"/>
    <hyperlink r:id="rId11" ref="A380"/>
    <hyperlink r:id="rId11" ref="A381"/>
    <hyperlink r:id="rId11" ref="A382"/>
    <hyperlink r:id="rId11" ref="A383"/>
    <hyperlink r:id="rId11" ref="A384"/>
    <hyperlink r:id="rId11" ref="A385"/>
    <hyperlink r:id="rId11" ref="A386"/>
    <hyperlink r:id="rId11" ref="A387"/>
    <hyperlink r:id="rId11" ref="A388"/>
    <hyperlink r:id="rId11" ref="A389"/>
    <hyperlink r:id="rId11" ref="A390"/>
    <hyperlink r:id="rId11" ref="A391"/>
    <hyperlink r:id="rId11" ref="A392"/>
    <hyperlink r:id="rId11" ref="A393"/>
    <hyperlink r:id="rId11" ref="A394"/>
    <hyperlink r:id="rId11" ref="A395"/>
    <hyperlink r:id="rId11" ref="A396"/>
    <hyperlink r:id="rId11" ref="A397"/>
    <hyperlink r:id="rId11" ref="A398"/>
    <hyperlink r:id="rId11" ref="A399"/>
    <hyperlink r:id="rId11" ref="A400"/>
    <hyperlink r:id="rId11" ref="A401"/>
    <hyperlink r:id="rId11" ref="A402"/>
    <hyperlink r:id="rId11" ref="A403"/>
    <hyperlink r:id="rId11" ref="A404"/>
    <hyperlink r:id="rId11" ref="A405"/>
    <hyperlink r:id="rId11" ref="A406"/>
    <hyperlink r:id="rId11" ref="A407"/>
    <hyperlink r:id="rId11" ref="A408"/>
    <hyperlink r:id="rId11" ref="A409"/>
    <hyperlink r:id="rId11" ref="A410"/>
    <hyperlink r:id="rId11" ref="A411"/>
    <hyperlink r:id="rId11" ref="A412"/>
    <hyperlink r:id="rId11" ref="A413"/>
    <hyperlink r:id="rId11" ref="A414"/>
    <hyperlink r:id="rId11" ref="A415"/>
    <hyperlink r:id="rId11" ref="A416"/>
    <hyperlink r:id="rId11" ref="A417"/>
    <hyperlink r:id="rId11" ref="A418"/>
    <hyperlink r:id="rId11" ref="A419"/>
    <hyperlink r:id="rId12" ref="A420"/>
    <hyperlink r:id="rId12" ref="A421"/>
    <hyperlink r:id="rId12" ref="A422"/>
    <hyperlink r:id="rId12" ref="A423"/>
    <hyperlink r:id="rId12" ref="A424"/>
    <hyperlink r:id="rId12" ref="A425"/>
    <hyperlink r:id="rId12" ref="A426"/>
    <hyperlink r:id="rId12" ref="A427"/>
    <hyperlink r:id="rId12" ref="A428"/>
    <hyperlink r:id="rId12" ref="A429"/>
    <hyperlink r:id="rId12" ref="A430"/>
    <hyperlink r:id="rId12" ref="A431"/>
    <hyperlink r:id="rId12" ref="A432"/>
    <hyperlink r:id="rId12" ref="A433"/>
    <hyperlink r:id="rId12" ref="A434"/>
    <hyperlink r:id="rId12" ref="A435"/>
    <hyperlink r:id="rId12" ref="A436"/>
    <hyperlink r:id="rId12" ref="A437"/>
    <hyperlink r:id="rId12" ref="A438"/>
    <hyperlink r:id="rId12" ref="A439"/>
    <hyperlink r:id="rId12" ref="A440"/>
    <hyperlink r:id="rId12" ref="A441"/>
    <hyperlink r:id="rId12" ref="A442"/>
    <hyperlink r:id="rId12" ref="A443"/>
    <hyperlink r:id="rId12" ref="A444"/>
    <hyperlink r:id="rId12" ref="A445"/>
    <hyperlink r:id="rId12" ref="A446"/>
    <hyperlink r:id="rId12" ref="A447"/>
    <hyperlink r:id="rId12" ref="A448"/>
    <hyperlink r:id="rId12" ref="A449"/>
    <hyperlink r:id="rId12" ref="A450"/>
    <hyperlink r:id="rId12" ref="A451"/>
    <hyperlink r:id="rId12" ref="A452"/>
    <hyperlink r:id="rId12" ref="A453"/>
    <hyperlink r:id="rId12" ref="A454"/>
    <hyperlink r:id="rId12" ref="A455"/>
    <hyperlink r:id="rId12" ref="A456"/>
    <hyperlink r:id="rId12" ref="A457"/>
    <hyperlink r:id="rId12" ref="A458"/>
    <hyperlink r:id="rId12" ref="A459"/>
    <hyperlink r:id="rId12" ref="A460"/>
    <hyperlink r:id="rId12" ref="A461"/>
    <hyperlink r:id="rId12" ref="A462"/>
    <hyperlink r:id="rId12" ref="A463"/>
    <hyperlink r:id="rId12" ref="A464"/>
    <hyperlink r:id="rId12" ref="A465"/>
    <hyperlink r:id="rId12" ref="A466"/>
    <hyperlink r:id="rId12" ref="A467"/>
    <hyperlink r:id="rId12" ref="A468"/>
    <hyperlink r:id="rId12" ref="A469"/>
    <hyperlink r:id="rId12" ref="A470"/>
    <hyperlink r:id="rId12" ref="A471"/>
    <hyperlink r:id="rId12" ref="A472"/>
    <hyperlink r:id="rId12" ref="A473"/>
    <hyperlink r:id="rId12" ref="A474"/>
    <hyperlink r:id="rId12" ref="A475"/>
    <hyperlink r:id="rId12" ref="A476"/>
    <hyperlink r:id="rId12" ref="A477"/>
    <hyperlink r:id="rId12" ref="A478"/>
    <hyperlink r:id="rId12" ref="A479"/>
    <hyperlink r:id="rId12" ref="A480"/>
    <hyperlink r:id="rId12" ref="A481"/>
    <hyperlink r:id="rId12" ref="A482"/>
    <hyperlink r:id="rId12" ref="A483"/>
    <hyperlink r:id="rId12" ref="A484"/>
    <hyperlink r:id="rId12" ref="A485"/>
    <hyperlink r:id="rId12" ref="A486"/>
    <hyperlink r:id="rId12" ref="A487"/>
    <hyperlink r:id="rId12" ref="A488"/>
    <hyperlink r:id="rId12" ref="A489"/>
    <hyperlink r:id="rId12" ref="A490"/>
    <hyperlink r:id="rId12" ref="A491"/>
    <hyperlink r:id="rId12" ref="A492"/>
    <hyperlink r:id="rId12" ref="A493"/>
    <hyperlink r:id="rId12" ref="A494"/>
    <hyperlink r:id="rId12" ref="A495"/>
    <hyperlink r:id="rId12" ref="A496"/>
    <hyperlink r:id="rId12" ref="A497"/>
    <hyperlink r:id="rId12" ref="A498"/>
    <hyperlink r:id="rId12" ref="A499"/>
    <hyperlink r:id="rId12" ref="A500"/>
    <hyperlink r:id="rId12" ref="A501"/>
    <hyperlink r:id="rId12" ref="A502"/>
    <hyperlink r:id="rId12" ref="A503"/>
    <hyperlink r:id="rId12" ref="A504"/>
    <hyperlink r:id="rId12" ref="A505"/>
    <hyperlink r:id="rId12" ref="A506"/>
    <hyperlink r:id="rId12" ref="A507"/>
    <hyperlink r:id="rId12" ref="A508"/>
    <hyperlink r:id="rId12" ref="A509"/>
    <hyperlink r:id="rId12" ref="A510"/>
    <hyperlink r:id="rId12" ref="A511"/>
    <hyperlink r:id="rId12" ref="A512"/>
    <hyperlink r:id="rId12" ref="A513"/>
    <hyperlink r:id="rId12" ref="A514"/>
    <hyperlink r:id="rId12" ref="A515"/>
    <hyperlink r:id="rId12" ref="A516"/>
    <hyperlink r:id="rId12" ref="A517"/>
    <hyperlink r:id="rId12" ref="A518"/>
    <hyperlink r:id="rId12" ref="A519"/>
    <hyperlink r:id="rId12" ref="A520"/>
    <hyperlink r:id="rId12" ref="A521"/>
    <hyperlink r:id="rId12" ref="A522"/>
    <hyperlink r:id="rId12" ref="A523"/>
    <hyperlink r:id="rId12" ref="A524"/>
    <hyperlink r:id="rId12" ref="A525"/>
    <hyperlink r:id="rId12" ref="A526"/>
    <hyperlink r:id="rId12" ref="A527"/>
    <hyperlink r:id="rId12" ref="A528"/>
    <hyperlink r:id="rId12" ref="A529"/>
    <hyperlink r:id="rId12" ref="A530"/>
    <hyperlink r:id="rId12" ref="A531"/>
    <hyperlink r:id="rId12" ref="A532"/>
    <hyperlink r:id="rId12" ref="A533"/>
    <hyperlink r:id="rId12" ref="A534"/>
    <hyperlink r:id="rId12" ref="A535"/>
    <hyperlink r:id="rId12" ref="A536"/>
    <hyperlink r:id="rId12" ref="A537"/>
    <hyperlink r:id="rId12" ref="A538"/>
    <hyperlink r:id="rId12" ref="A539"/>
    <hyperlink r:id="rId12" ref="A540"/>
    <hyperlink r:id="rId12" ref="A541"/>
    <hyperlink r:id="rId12" ref="A542"/>
    <hyperlink r:id="rId12" ref="A543"/>
    <hyperlink r:id="rId12" ref="A544"/>
    <hyperlink r:id="rId12" ref="A545"/>
    <hyperlink r:id="rId12" ref="A546"/>
    <hyperlink r:id="rId12" ref="A547"/>
    <hyperlink r:id="rId12" ref="A548"/>
    <hyperlink r:id="rId12" ref="A549"/>
    <hyperlink r:id="rId12" ref="A550"/>
    <hyperlink r:id="rId12" ref="A551"/>
    <hyperlink r:id="rId12" ref="A552"/>
    <hyperlink r:id="rId12" ref="A553"/>
    <hyperlink r:id="rId12" ref="A554"/>
    <hyperlink r:id="rId12" ref="A555"/>
    <hyperlink r:id="rId12" ref="A556"/>
    <hyperlink r:id="rId12" ref="A557"/>
    <hyperlink r:id="rId12" ref="A558"/>
    <hyperlink r:id="rId12" ref="A559"/>
    <hyperlink r:id="rId12" ref="A560"/>
    <hyperlink r:id="rId12" ref="A561"/>
    <hyperlink r:id="rId12" ref="A562"/>
    <hyperlink r:id="rId12" ref="A563"/>
    <hyperlink r:id="rId12" ref="A564"/>
    <hyperlink r:id="rId12" ref="A565"/>
    <hyperlink r:id="rId12" ref="A566"/>
    <hyperlink r:id="rId12" ref="A567"/>
    <hyperlink r:id="rId12" ref="A568"/>
    <hyperlink r:id="rId12" ref="A569"/>
    <hyperlink r:id="rId12" ref="A570"/>
    <hyperlink r:id="rId12" ref="A571"/>
    <hyperlink r:id="rId12" ref="A572"/>
    <hyperlink r:id="rId12" ref="A573"/>
    <hyperlink r:id="rId12" ref="A574"/>
    <hyperlink r:id="rId12" ref="A575"/>
    <hyperlink r:id="rId12" ref="A576"/>
    <hyperlink r:id="rId12" ref="A577"/>
    <hyperlink r:id="rId12" ref="A578"/>
    <hyperlink r:id="rId12" ref="A579"/>
    <hyperlink r:id="rId12" ref="A580"/>
    <hyperlink r:id="rId12" ref="A581"/>
    <hyperlink r:id="rId12" ref="A582"/>
    <hyperlink r:id="rId12" ref="A583"/>
    <hyperlink r:id="rId12" ref="A584"/>
    <hyperlink r:id="rId12" ref="A585"/>
    <hyperlink r:id="rId12" ref="A586"/>
    <hyperlink r:id="rId12" ref="A587"/>
    <hyperlink r:id="rId12" ref="A588"/>
    <hyperlink r:id="rId12" ref="A589"/>
    <hyperlink r:id="rId12" ref="A590"/>
    <hyperlink r:id="rId12" ref="A591"/>
    <hyperlink r:id="rId12" ref="A592"/>
    <hyperlink r:id="rId12" ref="A593"/>
    <hyperlink r:id="rId12" ref="A594"/>
    <hyperlink r:id="rId12" ref="A595"/>
    <hyperlink r:id="rId12" ref="A596"/>
    <hyperlink r:id="rId12" ref="A597"/>
    <hyperlink r:id="rId12" ref="A598"/>
    <hyperlink r:id="rId12" ref="A599"/>
    <hyperlink r:id="rId12" ref="A600"/>
    <hyperlink r:id="rId12" ref="A601"/>
    <hyperlink r:id="rId12" ref="A602"/>
    <hyperlink r:id="rId12" ref="A603"/>
    <hyperlink r:id="rId12" ref="A604"/>
    <hyperlink r:id="rId12" ref="A605"/>
    <hyperlink r:id="rId12" ref="A606"/>
    <hyperlink r:id="rId12" ref="A607"/>
    <hyperlink r:id="rId12" ref="A608"/>
    <hyperlink r:id="rId12" ref="A609"/>
    <hyperlink r:id="rId12" ref="A610"/>
    <hyperlink r:id="rId12" ref="A611"/>
    <hyperlink r:id="rId12" ref="A612"/>
    <hyperlink r:id="rId12" ref="A613"/>
    <hyperlink r:id="rId12" ref="A614"/>
    <hyperlink r:id="rId12" ref="A615"/>
    <hyperlink r:id="rId12" ref="A616"/>
    <hyperlink r:id="rId12" ref="A617"/>
    <hyperlink r:id="rId12" ref="A618"/>
    <hyperlink r:id="rId12" ref="A619"/>
    <hyperlink r:id="rId12" ref="A620"/>
    <hyperlink r:id="rId12" ref="A621"/>
    <hyperlink r:id="rId12" ref="A622"/>
    <hyperlink r:id="rId12" ref="A623"/>
    <hyperlink r:id="rId12" ref="A624"/>
    <hyperlink r:id="rId12" ref="A625"/>
    <hyperlink r:id="rId12" ref="A626"/>
    <hyperlink r:id="rId12" ref="A627"/>
    <hyperlink r:id="rId12" ref="A628"/>
    <hyperlink r:id="rId12" ref="A629"/>
    <hyperlink r:id="rId12" ref="A630"/>
    <hyperlink r:id="rId12" ref="A631"/>
    <hyperlink r:id="rId12" ref="A632"/>
    <hyperlink r:id="rId12" ref="A633"/>
    <hyperlink r:id="rId12" ref="A634"/>
    <hyperlink r:id="rId12" ref="A635"/>
    <hyperlink r:id="rId12" ref="A636"/>
    <hyperlink r:id="rId12" ref="A637"/>
    <hyperlink r:id="rId12" ref="A638"/>
    <hyperlink r:id="rId12" ref="A639"/>
    <hyperlink r:id="rId12" ref="A640"/>
    <hyperlink r:id="rId12" ref="A641"/>
    <hyperlink r:id="rId12" ref="A642"/>
    <hyperlink r:id="rId12" ref="A643"/>
    <hyperlink r:id="rId12" ref="A644"/>
    <hyperlink r:id="rId12" ref="A645"/>
    <hyperlink r:id="rId13" ref="A646"/>
    <hyperlink r:id="rId13" ref="A647"/>
    <hyperlink r:id="rId13" ref="A648"/>
    <hyperlink r:id="rId13" ref="A649"/>
    <hyperlink r:id="rId13" ref="A650"/>
    <hyperlink r:id="rId13" ref="A651"/>
    <hyperlink r:id="rId13" ref="A652"/>
    <hyperlink r:id="rId13" ref="A653"/>
    <hyperlink r:id="rId13" ref="A654"/>
    <hyperlink r:id="rId13" ref="A655"/>
    <hyperlink r:id="rId13" ref="A656"/>
    <hyperlink r:id="rId13" ref="A657"/>
    <hyperlink r:id="rId13" ref="A658"/>
    <hyperlink r:id="rId13" ref="A659"/>
    <hyperlink r:id="rId13" ref="A660"/>
    <hyperlink r:id="rId13" ref="A661"/>
    <hyperlink r:id="rId13" ref="A662"/>
    <hyperlink r:id="rId13" ref="A663"/>
    <hyperlink r:id="rId13" ref="A664"/>
    <hyperlink r:id="rId13" ref="A665"/>
    <hyperlink r:id="rId13" ref="A666"/>
    <hyperlink r:id="rId13" ref="A667"/>
    <hyperlink r:id="rId13" ref="A668"/>
    <hyperlink r:id="rId13" ref="A669"/>
    <hyperlink r:id="rId13" ref="A670"/>
    <hyperlink r:id="rId13" ref="A671"/>
    <hyperlink r:id="rId13" ref="A672"/>
    <hyperlink r:id="rId13" ref="A673"/>
    <hyperlink r:id="rId13" ref="A674"/>
    <hyperlink r:id="rId13" ref="A675"/>
    <hyperlink r:id="rId13" ref="A676"/>
    <hyperlink r:id="rId13" ref="A677"/>
    <hyperlink r:id="rId13" ref="A678"/>
    <hyperlink r:id="rId13" ref="A679"/>
    <hyperlink r:id="rId13" ref="A680"/>
    <hyperlink r:id="rId13" ref="A681"/>
    <hyperlink r:id="rId13" ref="A682"/>
    <hyperlink r:id="rId13" ref="A683"/>
    <hyperlink r:id="rId13" ref="A684"/>
    <hyperlink r:id="rId13" ref="A685"/>
    <hyperlink r:id="rId13" ref="A686"/>
    <hyperlink r:id="rId13" ref="A687"/>
    <hyperlink r:id="rId13" ref="A688"/>
    <hyperlink r:id="rId13" ref="A689"/>
    <hyperlink r:id="rId13" ref="A690"/>
    <hyperlink r:id="rId13" ref="A691"/>
    <hyperlink r:id="rId13" ref="A692"/>
    <hyperlink r:id="rId13" ref="A693"/>
    <hyperlink r:id="rId13" ref="A694"/>
    <hyperlink r:id="rId13" ref="A695"/>
    <hyperlink r:id="rId13" ref="A696"/>
    <hyperlink r:id="rId13" ref="A697"/>
    <hyperlink r:id="rId13" ref="A698"/>
    <hyperlink r:id="rId13" ref="A699"/>
    <hyperlink r:id="rId13" ref="A700"/>
    <hyperlink r:id="rId13" ref="A701"/>
    <hyperlink r:id="rId13" ref="A702"/>
    <hyperlink r:id="rId13" ref="A703"/>
    <hyperlink r:id="rId13" ref="A704"/>
    <hyperlink r:id="rId13" ref="A705"/>
    <hyperlink r:id="rId13" ref="A706"/>
    <hyperlink r:id="rId13" ref="A707"/>
    <hyperlink r:id="rId13" ref="A708"/>
    <hyperlink r:id="rId13" ref="A709"/>
    <hyperlink r:id="rId13" ref="A710"/>
    <hyperlink r:id="rId13" ref="A711"/>
    <hyperlink r:id="rId13" ref="A712"/>
    <hyperlink r:id="rId13" ref="A713"/>
    <hyperlink r:id="rId13" ref="A714"/>
    <hyperlink r:id="rId13" ref="A715"/>
    <hyperlink r:id="rId13" ref="A716"/>
    <hyperlink r:id="rId13" ref="A717"/>
    <hyperlink r:id="rId13" ref="A718"/>
    <hyperlink r:id="rId13" ref="A719"/>
    <hyperlink r:id="rId13" ref="A720"/>
    <hyperlink r:id="rId13" ref="A721"/>
    <hyperlink r:id="rId13" ref="A722"/>
    <hyperlink r:id="rId13" ref="A723"/>
    <hyperlink r:id="rId13" ref="A724"/>
    <hyperlink r:id="rId13" ref="A725"/>
    <hyperlink r:id="rId13" ref="A726"/>
    <hyperlink r:id="rId13" ref="A727"/>
    <hyperlink r:id="rId13" ref="A728"/>
    <hyperlink r:id="rId13" ref="A729"/>
    <hyperlink r:id="rId13" ref="A730"/>
    <hyperlink r:id="rId13" ref="A731"/>
    <hyperlink r:id="rId14" ref="A732"/>
    <hyperlink r:id="rId14" ref="A733"/>
    <hyperlink r:id="rId14" ref="A734"/>
    <hyperlink r:id="rId14" ref="A735"/>
    <hyperlink r:id="rId14" ref="A736"/>
    <hyperlink r:id="rId14" ref="A737"/>
    <hyperlink r:id="rId14" ref="A738"/>
    <hyperlink r:id="rId14" ref="A739"/>
    <hyperlink r:id="rId14" ref="A740"/>
    <hyperlink r:id="rId14" ref="A741"/>
    <hyperlink r:id="rId14" ref="A742"/>
    <hyperlink r:id="rId14" ref="A743"/>
    <hyperlink r:id="rId14" ref="A744"/>
    <hyperlink r:id="rId14" ref="A745"/>
    <hyperlink r:id="rId14" ref="A746"/>
    <hyperlink r:id="rId14" ref="A747"/>
    <hyperlink r:id="rId14" ref="A748"/>
    <hyperlink r:id="rId14" ref="A749"/>
    <hyperlink r:id="rId14" ref="A750"/>
    <hyperlink r:id="rId14" ref="A751"/>
    <hyperlink r:id="rId14" ref="A752"/>
    <hyperlink r:id="rId14" ref="A753"/>
    <hyperlink r:id="rId14" ref="A754"/>
    <hyperlink r:id="rId14" ref="A755"/>
    <hyperlink r:id="rId14" ref="A756"/>
    <hyperlink r:id="rId14" ref="A757"/>
    <hyperlink r:id="rId14" ref="A758"/>
    <hyperlink r:id="rId14" ref="A759"/>
    <hyperlink r:id="rId14" ref="A760"/>
    <hyperlink r:id="rId14" ref="A761"/>
    <hyperlink r:id="rId14" ref="A762"/>
    <hyperlink r:id="rId14" ref="A763"/>
    <hyperlink r:id="rId14" ref="A764"/>
    <hyperlink r:id="rId14" ref="A765"/>
    <hyperlink r:id="rId14" ref="A766"/>
    <hyperlink r:id="rId14" ref="A767"/>
    <hyperlink r:id="rId14" ref="A768"/>
    <hyperlink r:id="rId15" ref="A769"/>
    <hyperlink r:id="rId15" ref="A770"/>
    <hyperlink r:id="rId15" ref="A771"/>
    <hyperlink r:id="rId15" ref="A772"/>
    <hyperlink r:id="rId15" ref="A773"/>
    <hyperlink r:id="rId15" ref="A774"/>
    <hyperlink r:id="rId15" ref="A775"/>
    <hyperlink r:id="rId15" ref="A776"/>
    <hyperlink r:id="rId15" ref="A777"/>
    <hyperlink r:id="rId15" ref="A778"/>
    <hyperlink r:id="rId15" ref="A779"/>
    <hyperlink r:id="rId15" ref="A780"/>
    <hyperlink r:id="rId15" ref="A781"/>
    <hyperlink r:id="rId15" ref="A782"/>
    <hyperlink r:id="rId15" ref="A783"/>
    <hyperlink r:id="rId15" ref="A784"/>
    <hyperlink r:id="rId15" ref="A785"/>
    <hyperlink r:id="rId15" ref="A786"/>
    <hyperlink r:id="rId15" ref="A787"/>
    <hyperlink r:id="rId15" ref="A788"/>
    <hyperlink r:id="rId15" ref="A789"/>
    <hyperlink r:id="rId15" ref="A790"/>
    <hyperlink r:id="rId15" ref="A791"/>
    <hyperlink r:id="rId15" ref="A792"/>
    <hyperlink r:id="rId15" ref="A793"/>
    <hyperlink r:id="rId15" ref="A794"/>
    <hyperlink r:id="rId15" ref="A795"/>
    <hyperlink r:id="rId15" ref="A796"/>
    <hyperlink r:id="rId15" ref="A797"/>
    <hyperlink r:id="rId15" ref="A798"/>
    <hyperlink r:id="rId15" ref="A799"/>
    <hyperlink r:id="rId15" ref="A800"/>
    <hyperlink r:id="rId15" ref="A801"/>
    <hyperlink r:id="rId15" ref="A802"/>
    <hyperlink r:id="rId15" ref="A803"/>
    <hyperlink r:id="rId15" ref="A804"/>
    <hyperlink r:id="rId15" ref="A805"/>
    <hyperlink r:id="rId15" ref="A806"/>
    <hyperlink r:id="rId15" ref="A807"/>
    <hyperlink r:id="rId15" ref="A808"/>
    <hyperlink r:id="rId15" ref="A809"/>
    <hyperlink r:id="rId15" ref="A810"/>
    <hyperlink r:id="rId15" ref="A811"/>
    <hyperlink r:id="rId15" ref="A812"/>
    <hyperlink r:id="rId15" ref="A813"/>
    <hyperlink r:id="rId15" ref="A814"/>
    <hyperlink r:id="rId15" ref="A815"/>
    <hyperlink r:id="rId15" ref="A816"/>
    <hyperlink r:id="rId15" ref="A817"/>
    <hyperlink r:id="rId15" ref="A818"/>
    <hyperlink r:id="rId15" ref="A819"/>
    <hyperlink r:id="rId15" ref="A820"/>
    <hyperlink r:id="rId15" ref="A821"/>
    <hyperlink r:id="rId15" ref="A822"/>
    <hyperlink r:id="rId15" ref="A823"/>
    <hyperlink r:id="rId15" ref="A824"/>
    <hyperlink r:id="rId15" ref="A825"/>
    <hyperlink r:id="rId15" ref="A826"/>
    <hyperlink r:id="rId15" ref="A827"/>
    <hyperlink r:id="rId15" ref="A828"/>
    <hyperlink r:id="rId15" ref="A829"/>
    <hyperlink r:id="rId15" ref="A830"/>
    <hyperlink r:id="rId15" ref="A831"/>
    <hyperlink r:id="rId15" ref="A832"/>
    <hyperlink r:id="rId15" ref="A833"/>
    <hyperlink r:id="rId15" ref="A834"/>
    <hyperlink r:id="rId15" ref="A835"/>
    <hyperlink r:id="rId15" ref="A836"/>
    <hyperlink r:id="rId15" ref="A837"/>
    <hyperlink r:id="rId15" ref="A838"/>
    <hyperlink r:id="rId15" ref="A839"/>
    <hyperlink r:id="rId15" ref="A840"/>
    <hyperlink r:id="rId15" ref="A841"/>
    <hyperlink r:id="rId15" ref="A842"/>
    <hyperlink r:id="rId15" ref="A843"/>
    <hyperlink r:id="rId15" ref="A844"/>
    <hyperlink r:id="rId15" ref="A845"/>
    <hyperlink r:id="rId15" ref="A846"/>
    <hyperlink r:id="rId15" ref="A847"/>
    <hyperlink r:id="rId15" ref="A848"/>
    <hyperlink r:id="rId15" ref="A849"/>
    <hyperlink r:id="rId15" ref="A850"/>
    <hyperlink r:id="rId15" ref="A851"/>
    <hyperlink r:id="rId15" ref="A852"/>
    <hyperlink r:id="rId15" ref="A853"/>
    <hyperlink r:id="rId15" ref="A854"/>
    <hyperlink r:id="rId15" ref="A855"/>
    <hyperlink r:id="rId15" ref="A856"/>
    <hyperlink r:id="rId15" ref="A857"/>
    <hyperlink r:id="rId15" ref="A858"/>
    <hyperlink r:id="rId15" ref="A859"/>
    <hyperlink r:id="rId15" ref="A860"/>
    <hyperlink r:id="rId15" ref="A861"/>
    <hyperlink r:id="rId15" ref="A862"/>
    <hyperlink r:id="rId15" ref="A863"/>
    <hyperlink r:id="rId15" ref="A864"/>
    <hyperlink r:id="rId15" ref="A865"/>
    <hyperlink r:id="rId15" ref="A866"/>
    <hyperlink r:id="rId15" ref="A867"/>
    <hyperlink r:id="rId15" ref="A868"/>
    <hyperlink r:id="rId15" ref="A869"/>
    <hyperlink r:id="rId15" ref="A870"/>
    <hyperlink r:id="rId15" ref="A871"/>
    <hyperlink r:id="rId15" ref="A872"/>
    <hyperlink r:id="rId15" ref="A873"/>
    <hyperlink r:id="rId15" ref="A874"/>
    <hyperlink r:id="rId15" ref="A875"/>
    <hyperlink r:id="rId15" ref="A876"/>
    <hyperlink r:id="rId15" ref="A877"/>
    <hyperlink r:id="rId15" ref="A878"/>
    <hyperlink r:id="rId15" ref="A879"/>
    <hyperlink r:id="rId15" ref="A880"/>
    <hyperlink r:id="rId15" ref="A881"/>
    <hyperlink r:id="rId15" ref="A882"/>
    <hyperlink r:id="rId15" ref="A883"/>
    <hyperlink r:id="rId15" ref="A884"/>
    <hyperlink r:id="rId15" ref="A885"/>
    <hyperlink r:id="rId15" ref="A886"/>
    <hyperlink r:id="rId15" ref="A887"/>
    <hyperlink r:id="rId15" ref="A888"/>
    <hyperlink r:id="rId15" ref="A889"/>
    <hyperlink r:id="rId15" ref="A890"/>
    <hyperlink r:id="rId15" ref="A891"/>
    <hyperlink r:id="rId15" ref="A892"/>
    <hyperlink r:id="rId15" ref="A893"/>
    <hyperlink r:id="rId15" ref="A894"/>
    <hyperlink r:id="rId15" ref="A895"/>
    <hyperlink r:id="rId15" ref="A896"/>
    <hyperlink r:id="rId15" ref="A897"/>
    <hyperlink r:id="rId15" ref="A898"/>
    <hyperlink r:id="rId15" ref="A899"/>
    <hyperlink r:id="rId15" ref="A900"/>
    <hyperlink r:id="rId15" ref="A901"/>
    <hyperlink r:id="rId15" ref="A902"/>
    <hyperlink r:id="rId15" ref="A903"/>
    <hyperlink r:id="rId15" ref="A904"/>
    <hyperlink r:id="rId15" ref="A905"/>
    <hyperlink r:id="rId15" ref="A906"/>
    <hyperlink r:id="rId15" ref="A907"/>
    <hyperlink r:id="rId15" ref="A908"/>
    <hyperlink r:id="rId15" ref="A909"/>
    <hyperlink r:id="rId15" ref="A910"/>
    <hyperlink r:id="rId15" ref="A911"/>
    <hyperlink r:id="rId15" ref="A912"/>
    <hyperlink r:id="rId15" ref="A913"/>
    <hyperlink r:id="rId15" ref="A914"/>
    <hyperlink r:id="rId15" ref="A915"/>
    <hyperlink r:id="rId15" ref="A916"/>
    <hyperlink r:id="rId15" ref="A917"/>
    <hyperlink r:id="rId15" ref="A918"/>
    <hyperlink r:id="rId15" ref="A919"/>
    <hyperlink r:id="rId15" ref="A920"/>
    <hyperlink r:id="rId15" ref="A921"/>
    <hyperlink r:id="rId15" ref="A922"/>
    <hyperlink r:id="rId15" ref="A923"/>
    <hyperlink r:id="rId15" ref="A924"/>
    <hyperlink r:id="rId15" ref="A925"/>
    <hyperlink r:id="rId15" ref="A926"/>
    <hyperlink r:id="rId15" ref="A927"/>
    <hyperlink r:id="rId15" ref="A928"/>
    <hyperlink r:id="rId15" ref="A929"/>
    <hyperlink r:id="rId15" ref="A930"/>
    <hyperlink r:id="rId15" ref="A931"/>
    <hyperlink r:id="rId15" ref="A932"/>
    <hyperlink r:id="rId15" ref="A933"/>
    <hyperlink r:id="rId15" ref="A934"/>
    <hyperlink r:id="rId15" ref="A935"/>
    <hyperlink r:id="rId15" ref="A936"/>
    <hyperlink r:id="rId15" ref="A937"/>
    <hyperlink r:id="rId15" ref="A938"/>
    <hyperlink r:id="rId15" ref="A939"/>
    <hyperlink r:id="rId15" ref="A940"/>
    <hyperlink r:id="rId15" ref="A941"/>
    <hyperlink r:id="rId15" ref="A942"/>
    <hyperlink r:id="rId15" ref="A943"/>
    <hyperlink r:id="rId15" ref="A944"/>
    <hyperlink r:id="rId15" ref="A945"/>
    <hyperlink r:id="rId15" ref="A946"/>
    <hyperlink r:id="rId15" ref="A947"/>
    <hyperlink r:id="rId15" ref="A948"/>
    <hyperlink r:id="rId15" ref="A949"/>
    <hyperlink r:id="rId15" ref="A950"/>
    <hyperlink r:id="rId15" ref="A951"/>
    <hyperlink r:id="rId15" ref="A952"/>
    <hyperlink r:id="rId15" ref="A953"/>
    <hyperlink r:id="rId15" ref="A954"/>
    <hyperlink r:id="rId15" ref="A955"/>
    <hyperlink r:id="rId15" ref="A956"/>
    <hyperlink r:id="rId15" ref="A957"/>
    <hyperlink r:id="rId15" ref="A958"/>
    <hyperlink r:id="rId15" ref="A959"/>
    <hyperlink r:id="rId15" ref="A960"/>
    <hyperlink r:id="rId15" ref="A961"/>
    <hyperlink r:id="rId15" ref="A962"/>
    <hyperlink r:id="rId15" ref="A963"/>
    <hyperlink r:id="rId15" ref="A964"/>
    <hyperlink r:id="rId15" ref="A965"/>
    <hyperlink r:id="rId15" ref="A966"/>
    <hyperlink r:id="rId15" ref="A967"/>
    <hyperlink r:id="rId15" ref="A968"/>
    <hyperlink r:id="rId15" ref="A969"/>
    <hyperlink r:id="rId15" ref="A970"/>
    <hyperlink r:id="rId15" ref="A971"/>
    <hyperlink r:id="rId15" ref="A972"/>
    <hyperlink r:id="rId15" ref="A973"/>
    <hyperlink r:id="rId15" ref="A974"/>
    <hyperlink r:id="rId15" ref="A975"/>
    <hyperlink r:id="rId15" ref="A976"/>
    <hyperlink r:id="rId15" ref="A977"/>
    <hyperlink r:id="rId15" ref="A978"/>
    <hyperlink r:id="rId15" ref="A979"/>
    <hyperlink r:id="rId15" ref="A980"/>
    <hyperlink r:id="rId15" ref="A981"/>
    <hyperlink r:id="rId15" ref="A982"/>
    <hyperlink r:id="rId15" ref="A983"/>
    <hyperlink r:id="rId15" ref="A984"/>
    <hyperlink r:id="rId15" ref="A985"/>
    <hyperlink r:id="rId15" ref="A986"/>
    <hyperlink r:id="rId15" ref="A987"/>
    <hyperlink r:id="rId15" ref="A988"/>
    <hyperlink r:id="rId15" ref="A989"/>
    <hyperlink r:id="rId15" ref="A990"/>
    <hyperlink r:id="rId15" ref="A991"/>
    <hyperlink r:id="rId15" ref="A992"/>
    <hyperlink r:id="rId15" ref="A993"/>
    <hyperlink r:id="rId15" ref="A994"/>
    <hyperlink r:id="rId15" ref="A995"/>
    <hyperlink r:id="rId15" ref="A996"/>
    <hyperlink r:id="rId15" ref="A997"/>
    <hyperlink r:id="rId15" ref="A998"/>
    <hyperlink r:id="rId15" ref="A999"/>
    <hyperlink r:id="rId15" ref="A1000"/>
    <hyperlink r:id="rId16" ref="A1001"/>
    <hyperlink r:id="rId16" ref="A1002"/>
    <hyperlink r:id="rId16" ref="A1003"/>
    <hyperlink r:id="rId16" ref="A1004"/>
    <hyperlink r:id="rId16" ref="A1005"/>
    <hyperlink r:id="rId16" ref="A1006"/>
    <hyperlink r:id="rId16" ref="A1007"/>
    <hyperlink r:id="rId16" ref="A1008"/>
    <hyperlink r:id="rId16" ref="A1009"/>
    <hyperlink r:id="rId16" ref="A1010"/>
    <hyperlink r:id="rId16" ref="A1011"/>
    <hyperlink r:id="rId16" ref="A1012"/>
    <hyperlink r:id="rId16" ref="A1013"/>
    <hyperlink r:id="rId16" ref="A1014"/>
    <hyperlink r:id="rId16" ref="A1015"/>
    <hyperlink r:id="rId16" ref="A1016"/>
    <hyperlink r:id="rId16" ref="A1017"/>
    <hyperlink r:id="rId16" ref="A1018"/>
    <hyperlink r:id="rId16" ref="A1019"/>
    <hyperlink r:id="rId16" ref="A1020"/>
    <hyperlink r:id="rId16" ref="A1021"/>
    <hyperlink r:id="rId16" ref="A1022"/>
    <hyperlink r:id="rId16" ref="A1023"/>
    <hyperlink r:id="rId16" ref="A1024"/>
    <hyperlink r:id="rId16" ref="A1025"/>
    <hyperlink r:id="rId16" ref="A1026"/>
    <hyperlink r:id="rId16" ref="A1027"/>
    <hyperlink r:id="rId16" ref="A1028"/>
    <hyperlink r:id="rId16" ref="A1029"/>
    <hyperlink r:id="rId16" ref="A1030"/>
    <hyperlink r:id="rId16" ref="A1031"/>
    <hyperlink r:id="rId16" ref="A1032"/>
    <hyperlink r:id="rId16" ref="A1033"/>
    <hyperlink r:id="rId16" ref="A1034"/>
    <hyperlink r:id="rId16" ref="A1035"/>
    <hyperlink r:id="rId16" ref="A1036"/>
    <hyperlink r:id="rId16" ref="A1037"/>
    <hyperlink r:id="rId16" ref="A1038"/>
    <hyperlink r:id="rId16" ref="A1039"/>
    <hyperlink r:id="rId16" ref="A1040"/>
    <hyperlink r:id="rId16" ref="A1041"/>
    <hyperlink r:id="rId16" ref="A1042"/>
    <hyperlink r:id="rId16" ref="A1043"/>
    <hyperlink r:id="rId16" ref="A1044"/>
    <hyperlink r:id="rId16" ref="A1045"/>
    <hyperlink r:id="rId16" ref="A1046"/>
    <hyperlink r:id="rId16" ref="A1047"/>
    <hyperlink r:id="rId16" ref="A1048"/>
    <hyperlink r:id="rId16" ref="A1049"/>
    <hyperlink r:id="rId16" ref="A1050"/>
    <hyperlink r:id="rId16" ref="A1051"/>
    <hyperlink r:id="rId16" ref="A1052"/>
    <hyperlink r:id="rId16" ref="A1053"/>
    <hyperlink r:id="rId16" ref="A1054"/>
    <hyperlink r:id="rId16" ref="A1055"/>
    <hyperlink r:id="rId16" ref="A1056"/>
    <hyperlink r:id="rId16" ref="A1057"/>
    <hyperlink r:id="rId16" ref="A1058"/>
    <hyperlink r:id="rId16" ref="A1059"/>
    <hyperlink r:id="rId16" ref="A1060"/>
    <hyperlink r:id="rId16" ref="A1061"/>
    <hyperlink r:id="rId16" ref="A1062"/>
    <hyperlink r:id="rId16" ref="A1063"/>
    <hyperlink r:id="rId16" ref="A1064"/>
    <hyperlink r:id="rId16" ref="A1065"/>
    <hyperlink r:id="rId16" ref="A1066"/>
    <hyperlink r:id="rId16" ref="A1067"/>
    <hyperlink r:id="rId16" ref="A1068"/>
    <hyperlink r:id="rId16" ref="A1069"/>
    <hyperlink r:id="rId16" ref="A1070"/>
    <hyperlink r:id="rId16" ref="A1071"/>
    <hyperlink r:id="rId16" ref="A1072"/>
    <hyperlink r:id="rId16" ref="A1073"/>
    <hyperlink r:id="rId16" ref="A1074"/>
    <hyperlink r:id="rId16" ref="A1075"/>
    <hyperlink r:id="rId16" ref="A1076"/>
    <hyperlink r:id="rId17" ref="A1077"/>
    <hyperlink r:id="rId17" ref="A1078"/>
    <hyperlink r:id="rId17" ref="A1079"/>
    <hyperlink r:id="rId17" ref="A1080"/>
    <hyperlink r:id="rId17" ref="A1081"/>
    <hyperlink r:id="rId17" ref="A1082"/>
    <hyperlink r:id="rId17" ref="A1083"/>
    <hyperlink r:id="rId17" ref="A1084"/>
    <hyperlink r:id="rId17" ref="A1085"/>
    <hyperlink r:id="rId17" ref="A1086"/>
    <hyperlink r:id="rId17" ref="A1087"/>
    <hyperlink r:id="rId17" ref="A1088"/>
    <hyperlink r:id="rId17" ref="A1089"/>
    <hyperlink r:id="rId17" ref="A1090"/>
    <hyperlink r:id="rId17" ref="A1091"/>
    <hyperlink r:id="rId17" ref="A1092"/>
    <hyperlink r:id="rId17" ref="A1093"/>
    <hyperlink r:id="rId17" ref="A1094"/>
    <hyperlink r:id="rId17" ref="A1095"/>
    <hyperlink r:id="rId17" ref="A1096"/>
    <hyperlink r:id="rId17" ref="A1097"/>
    <hyperlink r:id="rId17" ref="A1098"/>
    <hyperlink r:id="rId17" ref="A1099"/>
    <hyperlink r:id="rId17" ref="A1100"/>
    <hyperlink r:id="rId17" ref="A1101"/>
    <hyperlink r:id="rId18" ref="A1102"/>
    <hyperlink r:id="rId18" ref="A1103"/>
    <hyperlink r:id="rId18" ref="A1104"/>
    <hyperlink r:id="rId18" ref="A1105"/>
    <hyperlink r:id="rId19" ref="A1106"/>
    <hyperlink r:id="rId19" ref="A1107"/>
    <hyperlink r:id="rId19" ref="A1108"/>
    <hyperlink r:id="rId19" ref="A1109"/>
    <hyperlink r:id="rId19" ref="A1110"/>
    <hyperlink r:id="rId19" ref="A1111"/>
    <hyperlink r:id="rId19" ref="A1112"/>
    <hyperlink r:id="rId19" ref="A1113"/>
    <hyperlink r:id="rId19" ref="A1114"/>
    <hyperlink r:id="rId19" ref="A1115"/>
    <hyperlink r:id="rId19" ref="A1116"/>
    <hyperlink r:id="rId19" ref="A1117"/>
    <hyperlink r:id="rId19" ref="A1118"/>
    <hyperlink r:id="rId19" ref="A1119"/>
    <hyperlink r:id="rId19" ref="A1120"/>
    <hyperlink r:id="rId19" ref="A1121"/>
    <hyperlink r:id="rId19" ref="A1122"/>
    <hyperlink r:id="rId19" ref="A1123"/>
    <hyperlink r:id="rId19" ref="A1124"/>
    <hyperlink r:id="rId19" ref="A1125"/>
    <hyperlink r:id="rId19" ref="A1126"/>
    <hyperlink r:id="rId19" ref="A1127"/>
    <hyperlink r:id="rId19" ref="A1128"/>
    <hyperlink r:id="rId19" ref="A1129"/>
    <hyperlink r:id="rId19" ref="A1130"/>
    <hyperlink r:id="rId19" ref="A1131"/>
    <hyperlink r:id="rId19" ref="A1132"/>
    <hyperlink r:id="rId19" ref="A1133"/>
    <hyperlink r:id="rId19" ref="A1134"/>
    <hyperlink r:id="rId19" ref="A1135"/>
    <hyperlink r:id="rId19" ref="A1136"/>
    <hyperlink r:id="rId19" ref="A1137"/>
    <hyperlink r:id="rId19" ref="A1138"/>
    <hyperlink r:id="rId19" ref="A1139"/>
    <hyperlink r:id="rId19" ref="A1140"/>
    <hyperlink r:id="rId19" ref="A1141"/>
    <hyperlink r:id="rId19" ref="A1142"/>
    <hyperlink r:id="rId19" ref="A1143"/>
    <hyperlink r:id="rId19" ref="A1144"/>
    <hyperlink r:id="rId19" ref="A1145"/>
    <hyperlink r:id="rId19" ref="A1146"/>
    <hyperlink r:id="rId19" ref="A1147"/>
    <hyperlink r:id="rId19" ref="A1148"/>
    <hyperlink r:id="rId19" ref="A1149"/>
    <hyperlink r:id="rId19" ref="A1150"/>
    <hyperlink r:id="rId19" ref="A1151"/>
    <hyperlink r:id="rId19" ref="A1152"/>
    <hyperlink r:id="rId19" ref="A1153"/>
    <hyperlink r:id="rId19" ref="A1154"/>
    <hyperlink r:id="rId19" ref="A1155"/>
    <hyperlink r:id="rId19" ref="A1156"/>
    <hyperlink r:id="rId19" ref="A1157"/>
    <hyperlink r:id="rId19" ref="A1158"/>
    <hyperlink r:id="rId19" ref="A1159"/>
    <hyperlink r:id="rId19" ref="A1160"/>
    <hyperlink r:id="rId19" ref="A1161"/>
    <hyperlink r:id="rId19" ref="A1162"/>
    <hyperlink r:id="rId19" ref="A1163"/>
    <hyperlink r:id="rId19" ref="A1164"/>
    <hyperlink r:id="rId20" ref="A1165"/>
    <hyperlink r:id="rId20" ref="A1166"/>
    <hyperlink r:id="rId20" ref="A1167"/>
    <hyperlink r:id="rId20" ref="A1168"/>
    <hyperlink r:id="rId20" ref="A1169"/>
    <hyperlink r:id="rId20" ref="A1170"/>
    <hyperlink r:id="rId20" ref="A1171"/>
    <hyperlink r:id="rId20" ref="A1172"/>
    <hyperlink r:id="rId20" ref="A1173"/>
    <hyperlink r:id="rId20" ref="A1174"/>
    <hyperlink r:id="rId20" ref="A1175"/>
    <hyperlink r:id="rId20" ref="A1176"/>
    <hyperlink r:id="rId20" ref="A1177"/>
    <hyperlink r:id="rId20" ref="A1178"/>
    <hyperlink r:id="rId20" ref="A1179"/>
    <hyperlink r:id="rId20" ref="A1180"/>
    <hyperlink r:id="rId20" ref="A1181"/>
    <hyperlink r:id="rId20" ref="A1182"/>
    <hyperlink r:id="rId20" ref="A1183"/>
    <hyperlink r:id="rId20" ref="A1184"/>
    <hyperlink r:id="rId20" ref="A1185"/>
    <hyperlink r:id="rId20" ref="A1186"/>
    <hyperlink r:id="rId20" ref="A1187"/>
    <hyperlink r:id="rId20" ref="A1188"/>
    <hyperlink r:id="rId20" ref="A1189"/>
    <hyperlink r:id="rId20" ref="A1190"/>
    <hyperlink r:id="rId20" ref="A1191"/>
    <hyperlink r:id="rId20" ref="A1192"/>
    <hyperlink r:id="rId20" ref="A1193"/>
    <hyperlink r:id="rId20" ref="A1194"/>
    <hyperlink r:id="rId20" ref="A1195"/>
    <hyperlink r:id="rId20" ref="A1196"/>
    <hyperlink r:id="rId20" ref="A1197"/>
    <hyperlink r:id="rId20" ref="A1198"/>
    <hyperlink r:id="rId20" ref="A1199"/>
    <hyperlink r:id="rId20" ref="A1200"/>
    <hyperlink r:id="rId20" ref="A1201"/>
    <hyperlink r:id="rId21" ref="A1202"/>
    <hyperlink r:id="rId21" ref="A1203"/>
    <hyperlink r:id="rId21" ref="A1204"/>
    <hyperlink r:id="rId21" ref="A1205"/>
    <hyperlink r:id="rId21" ref="A1206"/>
    <hyperlink r:id="rId21" ref="A1207"/>
    <hyperlink r:id="rId21" ref="A1208"/>
    <hyperlink r:id="rId21" ref="A1209"/>
    <hyperlink r:id="rId21" ref="A1210"/>
    <hyperlink r:id="rId21" ref="A1211"/>
    <hyperlink r:id="rId21" ref="A1212"/>
    <hyperlink r:id="rId21" ref="A1213"/>
    <hyperlink r:id="rId21" ref="A1214"/>
    <hyperlink r:id="rId21" ref="A1215"/>
    <hyperlink r:id="rId21" ref="A1216"/>
    <hyperlink r:id="rId21" ref="A1217"/>
    <hyperlink r:id="rId21" ref="A1218"/>
    <hyperlink r:id="rId21" ref="A1219"/>
    <hyperlink r:id="rId21" ref="A1220"/>
    <hyperlink r:id="rId21" ref="A1221"/>
    <hyperlink r:id="rId21" ref="A1222"/>
    <hyperlink r:id="rId21" ref="A1223"/>
    <hyperlink r:id="rId21" ref="A1224"/>
    <hyperlink r:id="rId21" ref="A1225"/>
    <hyperlink r:id="rId21" ref="A1226"/>
    <hyperlink r:id="rId21" ref="A1227"/>
    <hyperlink r:id="rId21" ref="A1228"/>
    <hyperlink r:id="rId21" ref="A1229"/>
    <hyperlink r:id="rId21" ref="A1230"/>
    <hyperlink r:id="rId21" ref="A1231"/>
    <hyperlink r:id="rId21" ref="A1232"/>
    <hyperlink r:id="rId21" ref="A1233"/>
    <hyperlink r:id="rId21" ref="A1234"/>
    <hyperlink r:id="rId21" ref="A1235"/>
    <hyperlink r:id="rId21" ref="A1236"/>
    <hyperlink r:id="rId21" ref="A1237"/>
    <hyperlink r:id="rId21" ref="A1238"/>
    <hyperlink r:id="rId21" ref="A1239"/>
    <hyperlink r:id="rId21" ref="A1240"/>
    <hyperlink r:id="rId21" ref="A1241"/>
    <hyperlink r:id="rId21" ref="A1242"/>
    <hyperlink r:id="rId21" ref="A1243"/>
    <hyperlink r:id="rId21" ref="A1244"/>
    <hyperlink r:id="rId21" ref="A1245"/>
    <hyperlink r:id="rId21" ref="A1246"/>
    <hyperlink r:id="rId21" ref="A1247"/>
    <hyperlink r:id="rId21" ref="A1248"/>
    <hyperlink r:id="rId21" ref="A1249"/>
    <hyperlink r:id="rId21" ref="A1250"/>
    <hyperlink r:id="rId22" ref="A1251"/>
    <hyperlink r:id="rId22" ref="A1252"/>
    <hyperlink r:id="rId22" ref="A1253"/>
    <hyperlink r:id="rId22" ref="A1254"/>
    <hyperlink r:id="rId22" ref="A1255"/>
    <hyperlink r:id="rId22" ref="A1256"/>
    <hyperlink r:id="rId22" ref="A1257"/>
    <hyperlink r:id="rId22" ref="A1258"/>
    <hyperlink r:id="rId22" ref="A1259"/>
    <hyperlink r:id="rId22" ref="A1260"/>
    <hyperlink r:id="rId22" ref="A1261"/>
    <hyperlink r:id="rId22" ref="A1262"/>
    <hyperlink r:id="rId22" ref="A1263"/>
    <hyperlink r:id="rId22" ref="A1264"/>
    <hyperlink r:id="rId22" ref="A1265"/>
    <hyperlink r:id="rId22" ref="A1266"/>
    <hyperlink r:id="rId22" ref="A1267"/>
    <hyperlink r:id="rId22" ref="A1268"/>
    <hyperlink r:id="rId22" ref="A1269"/>
    <hyperlink r:id="rId22" ref="A1270"/>
    <hyperlink r:id="rId22" ref="A1271"/>
    <hyperlink r:id="rId22" ref="A1272"/>
    <hyperlink r:id="rId22" ref="A1273"/>
    <hyperlink r:id="rId22" ref="A1274"/>
    <hyperlink r:id="rId22" ref="A1275"/>
    <hyperlink r:id="rId22" ref="A1276"/>
    <hyperlink r:id="rId22" ref="A1277"/>
    <hyperlink r:id="rId22" ref="A1278"/>
    <hyperlink r:id="rId22" ref="A1279"/>
    <hyperlink r:id="rId22" ref="A1280"/>
    <hyperlink r:id="rId22" ref="A1281"/>
    <hyperlink r:id="rId22" ref="A1282"/>
    <hyperlink r:id="rId22" ref="A1283"/>
    <hyperlink r:id="rId22" ref="A1284"/>
    <hyperlink r:id="rId22" ref="A1285"/>
    <hyperlink r:id="rId22" ref="A1286"/>
    <hyperlink r:id="rId22" ref="A1287"/>
    <hyperlink r:id="rId22" ref="A1288"/>
    <hyperlink r:id="rId22" ref="A1289"/>
    <hyperlink r:id="rId22" ref="A1290"/>
    <hyperlink r:id="rId22" ref="A1291"/>
    <hyperlink r:id="rId22" ref="A1292"/>
    <hyperlink r:id="rId22" ref="A1293"/>
    <hyperlink r:id="rId22" ref="A1294"/>
    <hyperlink r:id="rId22" ref="A1295"/>
    <hyperlink r:id="rId23" ref="A1296"/>
    <hyperlink r:id="rId23" ref="A1297"/>
    <hyperlink r:id="rId23" ref="A1298"/>
    <hyperlink r:id="rId23" ref="A1299"/>
    <hyperlink r:id="rId23" ref="A1300"/>
    <hyperlink r:id="rId23" ref="A1301"/>
    <hyperlink r:id="rId23" ref="A1302"/>
    <hyperlink r:id="rId23" ref="A1303"/>
    <hyperlink r:id="rId23" ref="A1304"/>
    <hyperlink r:id="rId23" ref="A1305"/>
    <hyperlink r:id="rId23" ref="A1306"/>
    <hyperlink r:id="rId23" ref="A1307"/>
    <hyperlink r:id="rId23" ref="A1308"/>
    <hyperlink r:id="rId23" ref="A1309"/>
    <hyperlink r:id="rId23" ref="A1310"/>
    <hyperlink r:id="rId23" ref="A1311"/>
    <hyperlink r:id="rId23" ref="A1312"/>
    <hyperlink r:id="rId23" ref="A1313"/>
    <hyperlink r:id="rId23" ref="A1314"/>
    <hyperlink r:id="rId23" ref="A1315"/>
    <hyperlink r:id="rId23" ref="A1316"/>
    <hyperlink r:id="rId23" ref="A1317"/>
    <hyperlink r:id="rId23" ref="A1318"/>
    <hyperlink r:id="rId23" ref="A1319"/>
    <hyperlink r:id="rId23" ref="A1320"/>
    <hyperlink r:id="rId23" ref="A1321"/>
    <hyperlink r:id="rId23" ref="A1322"/>
    <hyperlink r:id="rId23" ref="A1323"/>
    <hyperlink r:id="rId24" ref="A1324"/>
    <hyperlink r:id="rId24" ref="A1325"/>
    <hyperlink r:id="rId24" ref="A1326"/>
    <hyperlink r:id="rId24" ref="A1327"/>
    <hyperlink r:id="rId24" ref="A1328"/>
    <hyperlink r:id="rId24" ref="A1329"/>
    <hyperlink r:id="rId24" ref="A1330"/>
    <hyperlink r:id="rId24" ref="A1331"/>
    <hyperlink r:id="rId24" ref="A1332"/>
    <hyperlink r:id="rId24" ref="A1333"/>
    <hyperlink r:id="rId24" ref="A1334"/>
    <hyperlink r:id="rId24" ref="A1335"/>
    <hyperlink r:id="rId24" ref="A1336"/>
    <hyperlink r:id="rId24" ref="A1337"/>
    <hyperlink r:id="rId24" ref="A1338"/>
    <hyperlink r:id="rId24" ref="A1339"/>
    <hyperlink r:id="rId24" ref="A1340"/>
    <hyperlink r:id="rId24" ref="A1341"/>
    <hyperlink r:id="rId24" ref="A1342"/>
    <hyperlink r:id="rId24" ref="A1343"/>
    <hyperlink r:id="rId25" ref="A1344"/>
    <hyperlink r:id="rId25" ref="A1345"/>
    <hyperlink r:id="rId25" ref="A1346"/>
    <hyperlink r:id="rId25" ref="A1347"/>
    <hyperlink r:id="rId25" ref="A1348"/>
    <hyperlink r:id="rId25" ref="A1349"/>
    <hyperlink r:id="rId25" ref="A1350"/>
    <hyperlink r:id="rId25" ref="A1351"/>
    <hyperlink r:id="rId25" ref="A1352"/>
    <hyperlink r:id="rId25" ref="A1353"/>
    <hyperlink r:id="rId25" ref="A1354"/>
    <hyperlink r:id="rId25" ref="A1355"/>
    <hyperlink r:id="rId25" ref="A1356"/>
    <hyperlink r:id="rId25" ref="A1357"/>
    <hyperlink r:id="rId25" ref="A1358"/>
    <hyperlink r:id="rId25" ref="A1359"/>
    <hyperlink r:id="rId25" ref="A1360"/>
    <hyperlink r:id="rId25" ref="A1361"/>
    <hyperlink r:id="rId25" ref="A1362"/>
    <hyperlink r:id="rId25" ref="A1363"/>
    <hyperlink r:id="rId25" ref="A1364"/>
    <hyperlink r:id="rId25" ref="A1365"/>
    <hyperlink r:id="rId25" ref="A1366"/>
    <hyperlink r:id="rId25" ref="A1367"/>
    <hyperlink r:id="rId25" ref="A1368"/>
    <hyperlink r:id="rId25" ref="A1369"/>
    <hyperlink r:id="rId25" ref="A1370"/>
    <hyperlink r:id="rId25" ref="A1371"/>
    <hyperlink r:id="rId25" ref="A1372"/>
    <hyperlink r:id="rId25" ref="A1373"/>
    <hyperlink r:id="rId25" ref="A1374"/>
    <hyperlink r:id="rId25" ref="A1375"/>
    <hyperlink r:id="rId25" ref="A1376"/>
    <hyperlink r:id="rId26" ref="A1377"/>
    <hyperlink r:id="rId26" ref="A1378"/>
    <hyperlink r:id="rId26" ref="A1379"/>
    <hyperlink r:id="rId26" ref="A1380"/>
    <hyperlink r:id="rId26" ref="A1381"/>
    <hyperlink r:id="rId26" ref="A1382"/>
    <hyperlink r:id="rId26" ref="A1383"/>
    <hyperlink r:id="rId26" ref="A1384"/>
    <hyperlink r:id="rId26" ref="A1385"/>
    <hyperlink r:id="rId26" ref="A1386"/>
    <hyperlink r:id="rId26" ref="A1387"/>
    <hyperlink r:id="rId26" ref="A1388"/>
    <hyperlink r:id="rId26" ref="A1389"/>
    <hyperlink r:id="rId26" ref="A1390"/>
    <hyperlink r:id="rId26" ref="A1391"/>
    <hyperlink r:id="rId26" ref="A1392"/>
    <hyperlink r:id="rId26" ref="A1393"/>
    <hyperlink r:id="rId26" ref="A1394"/>
    <hyperlink r:id="rId26" ref="A1395"/>
    <hyperlink r:id="rId26" ref="A1396"/>
    <hyperlink r:id="rId26" ref="A1397"/>
    <hyperlink r:id="rId26" ref="A1398"/>
    <hyperlink r:id="rId26" ref="A1399"/>
    <hyperlink r:id="rId26" ref="A1400"/>
    <hyperlink r:id="rId26" ref="A1401"/>
    <hyperlink r:id="rId26" ref="A1402"/>
    <hyperlink r:id="rId26" ref="A1403"/>
    <hyperlink r:id="rId26" ref="A1404"/>
    <hyperlink r:id="rId26" ref="A1405"/>
    <hyperlink r:id="rId26" ref="A1406"/>
    <hyperlink r:id="rId26" ref="A1407"/>
    <hyperlink r:id="rId26" ref="A1408"/>
    <hyperlink r:id="rId26" ref="A1409"/>
    <hyperlink r:id="rId26" ref="A1410"/>
    <hyperlink r:id="rId26" ref="A1411"/>
    <hyperlink r:id="rId26" ref="A1412"/>
    <hyperlink r:id="rId26" ref="A1413"/>
    <hyperlink r:id="rId26" ref="A1414"/>
    <hyperlink r:id="rId26" ref="A1415"/>
    <hyperlink r:id="rId26" ref="A1416"/>
    <hyperlink r:id="rId26" ref="A1417"/>
    <hyperlink r:id="rId26" ref="A1418"/>
    <hyperlink r:id="rId26" ref="A1419"/>
    <hyperlink r:id="rId26" ref="A1420"/>
    <hyperlink r:id="rId26" ref="A1421"/>
    <hyperlink r:id="rId26" ref="A1422"/>
    <hyperlink r:id="rId26" ref="A1423"/>
    <hyperlink r:id="rId27" ref="A1424"/>
    <hyperlink r:id="rId27" ref="A1425"/>
    <hyperlink r:id="rId27" ref="A1426"/>
    <hyperlink r:id="rId27" ref="A1427"/>
    <hyperlink r:id="rId27" ref="A1428"/>
    <hyperlink r:id="rId27" ref="A1429"/>
    <hyperlink r:id="rId27" ref="A1430"/>
    <hyperlink r:id="rId27" ref="A1431"/>
    <hyperlink r:id="rId27" ref="A1432"/>
    <hyperlink r:id="rId27" ref="A1433"/>
    <hyperlink r:id="rId27" ref="A1434"/>
    <hyperlink r:id="rId27" ref="A1435"/>
    <hyperlink r:id="rId27" ref="A1436"/>
    <hyperlink r:id="rId27" ref="A1437"/>
    <hyperlink r:id="rId27" ref="A1438"/>
    <hyperlink r:id="rId27" ref="A1439"/>
    <hyperlink r:id="rId27" ref="A1440"/>
    <hyperlink r:id="rId27" ref="A1441"/>
    <hyperlink r:id="rId27" ref="A1442"/>
    <hyperlink r:id="rId27" ref="A1443"/>
    <hyperlink r:id="rId27" ref="A1444"/>
    <hyperlink r:id="rId27" ref="A1445"/>
    <hyperlink r:id="rId27" ref="A1446"/>
    <hyperlink r:id="rId27" ref="A1447"/>
    <hyperlink r:id="rId27" ref="A1448"/>
    <hyperlink r:id="rId27" ref="A1449"/>
    <hyperlink r:id="rId27" ref="A1450"/>
    <hyperlink r:id="rId27" ref="A1451"/>
    <hyperlink r:id="rId27" ref="A1452"/>
    <hyperlink r:id="rId27" ref="A1453"/>
    <hyperlink r:id="rId27" ref="A1454"/>
    <hyperlink r:id="rId27" ref="A1455"/>
    <hyperlink r:id="rId27" ref="A1456"/>
    <hyperlink r:id="rId27" ref="A1457"/>
    <hyperlink r:id="rId27" ref="A1458"/>
    <hyperlink r:id="rId27" ref="A1459"/>
    <hyperlink r:id="rId27" ref="A1460"/>
    <hyperlink r:id="rId27" ref="A1461"/>
    <hyperlink r:id="rId27" ref="A1462"/>
    <hyperlink r:id="rId27" ref="A1463"/>
    <hyperlink r:id="rId27" ref="A1464"/>
    <hyperlink r:id="rId27" ref="A1465"/>
    <hyperlink r:id="rId27" ref="A1466"/>
    <hyperlink r:id="rId27" ref="A1467"/>
    <hyperlink r:id="rId27" ref="A1468"/>
    <hyperlink r:id="rId27" ref="A1469"/>
    <hyperlink r:id="rId27" ref="A1470"/>
    <hyperlink r:id="rId27" ref="A1471"/>
    <hyperlink r:id="rId27" ref="A1472"/>
    <hyperlink r:id="rId27" ref="A1473"/>
    <hyperlink r:id="rId27" ref="A1474"/>
    <hyperlink r:id="rId27" ref="A1475"/>
    <hyperlink r:id="rId27" ref="A1476"/>
    <hyperlink r:id="rId27" ref="A1477"/>
    <hyperlink r:id="rId27" ref="A1478"/>
    <hyperlink r:id="rId27" ref="A1479"/>
    <hyperlink r:id="rId27" ref="A1480"/>
    <hyperlink r:id="rId27" ref="A1481"/>
    <hyperlink r:id="rId27" ref="A1482"/>
    <hyperlink r:id="rId28" ref="A1483"/>
    <hyperlink r:id="rId28" ref="A1484"/>
    <hyperlink r:id="rId28" ref="A1485"/>
    <hyperlink r:id="rId28" ref="A1486"/>
    <hyperlink r:id="rId28" ref="A1487"/>
    <hyperlink r:id="rId28" ref="A1488"/>
    <hyperlink r:id="rId28" ref="A1489"/>
    <hyperlink r:id="rId28" ref="A1490"/>
    <hyperlink r:id="rId28" ref="A1491"/>
    <hyperlink r:id="rId28" ref="A1492"/>
    <hyperlink r:id="rId28" ref="A1493"/>
    <hyperlink r:id="rId28" ref="A1494"/>
    <hyperlink r:id="rId28" ref="A1495"/>
    <hyperlink r:id="rId28" ref="A1496"/>
    <hyperlink r:id="rId28" ref="A1497"/>
    <hyperlink r:id="rId28" ref="A1498"/>
    <hyperlink r:id="rId28" ref="A1499"/>
    <hyperlink r:id="rId28" ref="A1500"/>
    <hyperlink r:id="rId28" ref="A1501"/>
    <hyperlink r:id="rId28" ref="A1502"/>
    <hyperlink r:id="rId28" ref="A1503"/>
    <hyperlink r:id="rId28" ref="A1504"/>
    <hyperlink r:id="rId28" ref="A1505"/>
    <hyperlink r:id="rId28" ref="A1506"/>
    <hyperlink r:id="rId28" ref="A1507"/>
    <hyperlink r:id="rId28" ref="A1508"/>
    <hyperlink r:id="rId28" ref="A1509"/>
    <hyperlink r:id="rId28" ref="A1510"/>
    <hyperlink r:id="rId28" ref="A1511"/>
    <hyperlink r:id="rId28" ref="A1512"/>
    <hyperlink r:id="rId28" ref="A1513"/>
    <hyperlink r:id="rId28" ref="A1514"/>
    <hyperlink r:id="rId28" ref="A1515"/>
    <hyperlink r:id="rId28" ref="A1516"/>
    <hyperlink r:id="rId28" ref="A1517"/>
    <hyperlink r:id="rId28" ref="A1518"/>
    <hyperlink r:id="rId28" ref="A1519"/>
    <hyperlink r:id="rId28" ref="A1520"/>
    <hyperlink r:id="rId28" ref="A1521"/>
    <hyperlink r:id="rId28" ref="A1522"/>
    <hyperlink r:id="rId28" ref="A1523"/>
    <hyperlink r:id="rId28" ref="A1524"/>
    <hyperlink r:id="rId28" ref="A1525"/>
    <hyperlink r:id="rId28" ref="A1526"/>
    <hyperlink r:id="rId28" ref="A1527"/>
    <hyperlink r:id="rId28" ref="A1528"/>
    <hyperlink r:id="rId28" ref="A1529"/>
    <hyperlink r:id="rId28" ref="A1530"/>
    <hyperlink r:id="rId28" ref="A1531"/>
    <hyperlink r:id="rId28" ref="A1532"/>
    <hyperlink r:id="rId28" ref="A1533"/>
    <hyperlink r:id="rId28" ref="A1534"/>
    <hyperlink r:id="rId28" ref="A1535"/>
    <hyperlink r:id="rId28" ref="A1536"/>
    <hyperlink r:id="rId28" ref="A1537"/>
    <hyperlink r:id="rId28" ref="A1538"/>
    <hyperlink r:id="rId28" ref="A1539"/>
    <hyperlink r:id="rId28" ref="A1540"/>
    <hyperlink r:id="rId28" ref="A1541"/>
    <hyperlink r:id="rId28" ref="A1542"/>
    <hyperlink r:id="rId28" ref="A1543"/>
    <hyperlink r:id="rId28" ref="A1544"/>
    <hyperlink r:id="rId28" ref="A1545"/>
    <hyperlink r:id="rId28" ref="A1546"/>
    <hyperlink r:id="rId28" ref="A1547"/>
    <hyperlink r:id="rId28" ref="A1548"/>
    <hyperlink r:id="rId28" ref="A1549"/>
    <hyperlink r:id="rId28" ref="A1550"/>
    <hyperlink r:id="rId28" ref="A1551"/>
    <hyperlink r:id="rId28" ref="A1552"/>
    <hyperlink r:id="rId28" ref="A1553"/>
    <hyperlink r:id="rId28" ref="A1554"/>
    <hyperlink r:id="rId28" ref="A1555"/>
    <hyperlink r:id="rId28" ref="A1556"/>
    <hyperlink r:id="rId28" ref="A1557"/>
    <hyperlink r:id="rId28" ref="A1558"/>
    <hyperlink r:id="rId28" ref="A1559"/>
    <hyperlink r:id="rId28" ref="A1560"/>
    <hyperlink r:id="rId28" ref="A1561"/>
    <hyperlink r:id="rId28" ref="A1562"/>
    <hyperlink r:id="rId28" ref="A1563"/>
    <hyperlink r:id="rId28" ref="A1564"/>
    <hyperlink r:id="rId28" ref="A1565"/>
    <hyperlink r:id="rId28" ref="A1566"/>
    <hyperlink r:id="rId28" ref="A1567"/>
    <hyperlink r:id="rId28" ref="A1568"/>
    <hyperlink r:id="rId28" ref="A1569"/>
    <hyperlink r:id="rId28" ref="A1570"/>
    <hyperlink r:id="rId28" ref="A1571"/>
    <hyperlink r:id="rId28" ref="A1572"/>
    <hyperlink r:id="rId28" ref="A1573"/>
    <hyperlink r:id="rId28" ref="A1574"/>
    <hyperlink r:id="rId28" ref="A1575"/>
    <hyperlink r:id="rId28" ref="A1576"/>
    <hyperlink r:id="rId28" ref="A1577"/>
    <hyperlink r:id="rId28" ref="A1578"/>
    <hyperlink r:id="rId28" ref="A1579"/>
    <hyperlink r:id="rId28" ref="A1580"/>
    <hyperlink r:id="rId28" ref="A1581"/>
    <hyperlink r:id="rId28" ref="A1582"/>
    <hyperlink r:id="rId28" ref="A1583"/>
    <hyperlink r:id="rId28" ref="A1584"/>
    <hyperlink r:id="rId28" ref="A1585"/>
    <hyperlink r:id="rId28" ref="A1586"/>
    <hyperlink r:id="rId28" ref="A1587"/>
    <hyperlink r:id="rId28" ref="A1588"/>
    <hyperlink r:id="rId28" ref="A1589"/>
    <hyperlink r:id="rId28" ref="A1590"/>
    <hyperlink r:id="rId28" ref="A1591"/>
    <hyperlink r:id="rId28" ref="A1592"/>
    <hyperlink r:id="rId28" ref="A1593"/>
    <hyperlink r:id="rId28" ref="A1594"/>
    <hyperlink r:id="rId28" ref="A1595"/>
    <hyperlink r:id="rId28" ref="A1596"/>
    <hyperlink r:id="rId28" ref="A1597"/>
    <hyperlink r:id="rId28" ref="A1598"/>
    <hyperlink r:id="rId28" ref="A1599"/>
    <hyperlink r:id="rId28" ref="A1600"/>
    <hyperlink r:id="rId28" ref="A1601"/>
    <hyperlink r:id="rId28" ref="A1602"/>
    <hyperlink r:id="rId28" ref="A1603"/>
    <hyperlink r:id="rId28" ref="A1604"/>
    <hyperlink r:id="rId28" ref="A1605"/>
    <hyperlink r:id="rId28" ref="A1606"/>
    <hyperlink r:id="rId28" ref="A1607"/>
    <hyperlink r:id="rId28" ref="A1608"/>
    <hyperlink r:id="rId28" ref="A1609"/>
    <hyperlink r:id="rId28" ref="A1610"/>
    <hyperlink r:id="rId28" ref="A1611"/>
    <hyperlink r:id="rId28" ref="A1612"/>
    <hyperlink r:id="rId28" ref="A1613"/>
    <hyperlink r:id="rId28" ref="A1614"/>
    <hyperlink r:id="rId28" ref="A1615"/>
    <hyperlink r:id="rId28" ref="A1616"/>
    <hyperlink r:id="rId28" ref="A1617"/>
    <hyperlink r:id="rId28" ref="A1618"/>
    <hyperlink r:id="rId28" ref="A1619"/>
    <hyperlink r:id="rId28" ref="A1620"/>
    <hyperlink r:id="rId28" ref="A1621"/>
    <hyperlink r:id="rId28" ref="A1622"/>
    <hyperlink r:id="rId28" ref="A1623"/>
    <hyperlink r:id="rId28" ref="A1624"/>
    <hyperlink r:id="rId28" ref="A1625"/>
    <hyperlink r:id="rId28" ref="A1626"/>
    <hyperlink r:id="rId28" ref="A1627"/>
    <hyperlink r:id="rId28" ref="A1628"/>
    <hyperlink r:id="rId28" ref="A1629"/>
    <hyperlink r:id="rId28" ref="A1630"/>
    <hyperlink r:id="rId28" ref="A1631"/>
    <hyperlink r:id="rId28" ref="A1632"/>
    <hyperlink r:id="rId28" ref="A1633"/>
    <hyperlink r:id="rId28" ref="A1634"/>
    <hyperlink r:id="rId28" ref="A1635"/>
    <hyperlink r:id="rId28" ref="A1636"/>
    <hyperlink r:id="rId28" ref="A1637"/>
    <hyperlink r:id="rId28" ref="A1638"/>
    <hyperlink r:id="rId28" ref="A1639"/>
    <hyperlink r:id="rId28" ref="A1640"/>
    <hyperlink r:id="rId28" ref="A1641"/>
    <hyperlink r:id="rId28" ref="A1642"/>
    <hyperlink r:id="rId28" ref="A1643"/>
    <hyperlink r:id="rId28" ref="A1644"/>
    <hyperlink r:id="rId28" ref="A1645"/>
    <hyperlink r:id="rId28" ref="A1646"/>
    <hyperlink r:id="rId28" ref="A1647"/>
    <hyperlink r:id="rId28" ref="A1648"/>
    <hyperlink r:id="rId28" ref="A1649"/>
    <hyperlink r:id="rId28" ref="A1650"/>
    <hyperlink r:id="rId28" ref="A1651"/>
    <hyperlink r:id="rId28" ref="A1652"/>
    <hyperlink r:id="rId28" ref="A1653"/>
    <hyperlink r:id="rId28" ref="A1654"/>
    <hyperlink r:id="rId28" ref="A1655"/>
    <hyperlink r:id="rId28" ref="A1656"/>
    <hyperlink r:id="rId28" ref="A1657"/>
    <hyperlink r:id="rId28" ref="A1658"/>
    <hyperlink r:id="rId28" ref="A1659"/>
    <hyperlink r:id="rId28" ref="A1660"/>
    <hyperlink r:id="rId28" ref="A1661"/>
    <hyperlink r:id="rId28" ref="A1662"/>
    <hyperlink r:id="rId28" ref="A1663"/>
    <hyperlink r:id="rId28" ref="A1664"/>
    <hyperlink r:id="rId28" ref="A1665"/>
    <hyperlink r:id="rId28" ref="A1666"/>
    <hyperlink r:id="rId28" ref="A1667"/>
    <hyperlink r:id="rId28" ref="A1668"/>
    <hyperlink r:id="rId28" ref="A1669"/>
    <hyperlink r:id="rId28" ref="A1670"/>
    <hyperlink r:id="rId28" ref="A1671"/>
    <hyperlink r:id="rId28" ref="A1672"/>
    <hyperlink r:id="rId28" ref="A1673"/>
    <hyperlink r:id="rId28" ref="A1674"/>
    <hyperlink r:id="rId28" ref="A1675"/>
    <hyperlink r:id="rId28" ref="A1676"/>
    <hyperlink r:id="rId28" ref="A1677"/>
    <hyperlink r:id="rId28" ref="A1678"/>
    <hyperlink r:id="rId28" ref="A1679"/>
    <hyperlink r:id="rId28" ref="A1680"/>
    <hyperlink r:id="rId28" ref="A1681"/>
    <hyperlink r:id="rId28" ref="A1682"/>
    <hyperlink r:id="rId28" ref="A1683"/>
    <hyperlink r:id="rId28" ref="A1684"/>
    <hyperlink r:id="rId28" ref="A1685"/>
    <hyperlink r:id="rId28" ref="A1686"/>
    <hyperlink r:id="rId28" ref="A1687"/>
    <hyperlink r:id="rId28" ref="A1688"/>
    <hyperlink r:id="rId28" ref="A1689"/>
    <hyperlink r:id="rId28" ref="A1690"/>
    <hyperlink r:id="rId28" ref="A1691"/>
    <hyperlink r:id="rId28" ref="A1692"/>
    <hyperlink r:id="rId28" ref="A1693"/>
    <hyperlink r:id="rId28" ref="A1694"/>
    <hyperlink r:id="rId28" ref="A1695"/>
    <hyperlink r:id="rId28" ref="A1696"/>
    <hyperlink r:id="rId28" ref="A1697"/>
    <hyperlink r:id="rId28" ref="A1698"/>
    <hyperlink r:id="rId28" ref="A1699"/>
    <hyperlink r:id="rId28" ref="A1700"/>
    <hyperlink r:id="rId28" ref="A1701"/>
    <hyperlink r:id="rId28" ref="A1702"/>
    <hyperlink r:id="rId28" ref="A1703"/>
    <hyperlink r:id="rId28" ref="A1704"/>
    <hyperlink r:id="rId28" ref="A1705"/>
    <hyperlink r:id="rId28" ref="A1706"/>
    <hyperlink r:id="rId28" ref="A1707"/>
    <hyperlink r:id="rId28" ref="A1708"/>
    <hyperlink r:id="rId28" ref="A1709"/>
    <hyperlink r:id="rId28" ref="A1710"/>
    <hyperlink r:id="rId28" ref="A1711"/>
    <hyperlink r:id="rId28" ref="A1712"/>
    <hyperlink r:id="rId28" ref="A1713"/>
    <hyperlink r:id="rId28" ref="A1714"/>
    <hyperlink r:id="rId28" ref="A1715"/>
    <hyperlink r:id="rId28" ref="A1716"/>
    <hyperlink r:id="rId28" ref="A1717"/>
    <hyperlink r:id="rId28" ref="A1718"/>
    <hyperlink r:id="rId28" ref="A1719"/>
    <hyperlink r:id="rId28" ref="A1720"/>
    <hyperlink r:id="rId28" ref="A1721"/>
    <hyperlink r:id="rId28" ref="A1722"/>
    <hyperlink r:id="rId28" ref="A1723"/>
    <hyperlink r:id="rId28" ref="A1724"/>
    <hyperlink r:id="rId28" ref="A1725"/>
    <hyperlink r:id="rId28" ref="A1726"/>
    <hyperlink r:id="rId28" ref="A1727"/>
    <hyperlink r:id="rId28" ref="A1728"/>
    <hyperlink r:id="rId28" ref="A1729"/>
    <hyperlink r:id="rId28" ref="A1730"/>
    <hyperlink r:id="rId28" ref="A1731"/>
    <hyperlink r:id="rId28" ref="A1732"/>
    <hyperlink r:id="rId28" ref="A1733"/>
    <hyperlink r:id="rId28" ref="A1734"/>
    <hyperlink r:id="rId28" ref="A1735"/>
    <hyperlink r:id="rId28" ref="A1736"/>
    <hyperlink r:id="rId28" ref="A1737"/>
    <hyperlink r:id="rId28" ref="A1738"/>
    <hyperlink r:id="rId28" ref="A1739"/>
    <hyperlink r:id="rId28" ref="A1740"/>
    <hyperlink r:id="rId28" ref="A1741"/>
    <hyperlink r:id="rId28" ref="A1742"/>
    <hyperlink r:id="rId28" ref="A1743"/>
    <hyperlink r:id="rId28" ref="A1744"/>
    <hyperlink r:id="rId28" ref="A1745"/>
    <hyperlink r:id="rId28" ref="A1746"/>
    <hyperlink r:id="rId28" ref="A1747"/>
    <hyperlink r:id="rId28" ref="A1748"/>
    <hyperlink r:id="rId28" ref="A1749"/>
    <hyperlink r:id="rId28" ref="A1750"/>
    <hyperlink r:id="rId28" ref="A1751"/>
    <hyperlink r:id="rId28" ref="A1752"/>
    <hyperlink r:id="rId28" ref="A1753"/>
    <hyperlink r:id="rId28" ref="A1754"/>
    <hyperlink r:id="rId28" ref="A1755"/>
    <hyperlink r:id="rId28" ref="A1756"/>
    <hyperlink r:id="rId28" ref="A1757"/>
    <hyperlink r:id="rId28" ref="A1758"/>
    <hyperlink r:id="rId28" ref="A1759"/>
    <hyperlink r:id="rId28" ref="A1760"/>
    <hyperlink r:id="rId28" ref="A1761"/>
    <hyperlink r:id="rId28" ref="A1762"/>
    <hyperlink r:id="rId28" ref="A1763"/>
    <hyperlink r:id="rId28" ref="A1764"/>
    <hyperlink r:id="rId28" ref="A1765"/>
    <hyperlink r:id="rId28" ref="A1766"/>
    <hyperlink r:id="rId28" ref="A1767"/>
    <hyperlink r:id="rId28" ref="A1768"/>
    <hyperlink r:id="rId28" ref="A1769"/>
    <hyperlink r:id="rId28" ref="A1770"/>
    <hyperlink r:id="rId28" ref="A1771"/>
    <hyperlink r:id="rId28" ref="A1772"/>
    <hyperlink r:id="rId28" ref="A1773"/>
    <hyperlink r:id="rId28" ref="A1774"/>
    <hyperlink r:id="rId28" ref="A1775"/>
    <hyperlink r:id="rId28" ref="A1776"/>
    <hyperlink r:id="rId28" ref="A1777"/>
    <hyperlink r:id="rId28" ref="A1778"/>
    <hyperlink r:id="rId28" ref="A1779"/>
    <hyperlink r:id="rId28" ref="A1780"/>
    <hyperlink r:id="rId28" ref="A1781"/>
    <hyperlink r:id="rId28" ref="A1782"/>
    <hyperlink r:id="rId28" ref="A1783"/>
    <hyperlink r:id="rId28" ref="A1784"/>
    <hyperlink r:id="rId28" ref="A1785"/>
    <hyperlink r:id="rId28" ref="A1786"/>
    <hyperlink r:id="rId28" ref="A1787"/>
    <hyperlink r:id="rId28" ref="A1788"/>
    <hyperlink r:id="rId28" ref="A1789"/>
    <hyperlink r:id="rId28" ref="A1790"/>
    <hyperlink r:id="rId28" ref="A1791"/>
    <hyperlink r:id="rId28" ref="A1792"/>
    <hyperlink r:id="rId28" ref="A1793"/>
    <hyperlink r:id="rId28" ref="A1794"/>
    <hyperlink r:id="rId28" ref="A1795"/>
    <hyperlink r:id="rId28" ref="A1796"/>
    <hyperlink r:id="rId28" ref="A1797"/>
    <hyperlink r:id="rId28" ref="A1798"/>
    <hyperlink r:id="rId28" ref="A1799"/>
    <hyperlink r:id="rId28" ref="A1800"/>
    <hyperlink r:id="rId28" ref="A1801"/>
    <hyperlink r:id="rId28" ref="A1802"/>
    <hyperlink r:id="rId28" ref="A1803"/>
    <hyperlink r:id="rId28" ref="A1804"/>
    <hyperlink r:id="rId28" ref="A1805"/>
    <hyperlink r:id="rId28" ref="A1806"/>
    <hyperlink r:id="rId28" ref="A1807"/>
    <hyperlink r:id="rId28" ref="A1808"/>
    <hyperlink r:id="rId28" ref="A1809"/>
    <hyperlink r:id="rId28" ref="A1810"/>
    <hyperlink r:id="rId28" ref="A1811"/>
    <hyperlink r:id="rId28" ref="A1812"/>
    <hyperlink r:id="rId28" ref="A1813"/>
    <hyperlink r:id="rId28" ref="A1814"/>
    <hyperlink r:id="rId28" ref="A1815"/>
    <hyperlink r:id="rId28" ref="A1816"/>
    <hyperlink r:id="rId28" ref="A1817"/>
    <hyperlink r:id="rId28" ref="A1818"/>
    <hyperlink r:id="rId28" ref="A1819"/>
    <hyperlink r:id="rId28" ref="A1820"/>
    <hyperlink r:id="rId28" ref="A1821"/>
    <hyperlink r:id="rId28" ref="A1822"/>
    <hyperlink r:id="rId28" ref="A1823"/>
    <hyperlink r:id="rId28" ref="A1824"/>
    <hyperlink r:id="rId28" ref="A1825"/>
    <hyperlink r:id="rId28" ref="A1826"/>
    <hyperlink r:id="rId28" ref="A1827"/>
    <hyperlink r:id="rId28" ref="A1828"/>
    <hyperlink r:id="rId28" ref="A1829"/>
    <hyperlink r:id="rId28" ref="A1830"/>
    <hyperlink r:id="rId28" ref="A1831"/>
    <hyperlink r:id="rId28" ref="A1832"/>
    <hyperlink r:id="rId28" ref="A1833"/>
    <hyperlink r:id="rId28" ref="A1834"/>
    <hyperlink r:id="rId28" ref="A1835"/>
    <hyperlink r:id="rId28" ref="A1836"/>
    <hyperlink r:id="rId28" ref="A1837"/>
    <hyperlink r:id="rId28" ref="A1838"/>
    <hyperlink r:id="rId28" ref="A1839"/>
    <hyperlink r:id="rId28" ref="A1840"/>
    <hyperlink r:id="rId28" ref="A1841"/>
    <hyperlink r:id="rId28" ref="A1842"/>
    <hyperlink r:id="rId28" ref="A1843"/>
    <hyperlink r:id="rId28" ref="A1844"/>
    <hyperlink r:id="rId28" ref="A1845"/>
    <hyperlink r:id="rId28" ref="A1846"/>
    <hyperlink r:id="rId28" ref="A1847"/>
    <hyperlink r:id="rId28" ref="A1848"/>
    <hyperlink r:id="rId28" ref="A1849"/>
    <hyperlink r:id="rId28" ref="A1850"/>
    <hyperlink r:id="rId28" ref="A1851"/>
    <hyperlink r:id="rId28" ref="A1852"/>
    <hyperlink r:id="rId28" ref="A1853"/>
    <hyperlink r:id="rId28" ref="A1854"/>
    <hyperlink r:id="rId28" ref="A1855"/>
    <hyperlink r:id="rId28" ref="A1856"/>
    <hyperlink r:id="rId28" ref="A1857"/>
    <hyperlink r:id="rId28" ref="A1858"/>
    <hyperlink r:id="rId28" ref="A1859"/>
    <hyperlink r:id="rId28" ref="A1860"/>
    <hyperlink r:id="rId28" ref="A1861"/>
    <hyperlink r:id="rId28" ref="A1862"/>
    <hyperlink r:id="rId28" ref="A1863"/>
    <hyperlink r:id="rId28" ref="A1864"/>
    <hyperlink r:id="rId28" ref="A1865"/>
    <hyperlink r:id="rId28" ref="A1866"/>
    <hyperlink r:id="rId28" ref="A1867"/>
    <hyperlink r:id="rId28" ref="A1868"/>
    <hyperlink r:id="rId28" ref="A1869"/>
    <hyperlink r:id="rId28" ref="A1870"/>
    <hyperlink r:id="rId28" ref="A1871"/>
    <hyperlink r:id="rId28" ref="A1872"/>
    <hyperlink r:id="rId28" ref="A1873"/>
    <hyperlink r:id="rId28" ref="A1874"/>
    <hyperlink r:id="rId28" ref="A1875"/>
    <hyperlink r:id="rId28" ref="A1876"/>
    <hyperlink r:id="rId28" ref="A1877"/>
    <hyperlink r:id="rId28" ref="A1878"/>
    <hyperlink r:id="rId28" ref="A1879"/>
    <hyperlink r:id="rId28" ref="A1880"/>
    <hyperlink r:id="rId28" ref="A1881"/>
    <hyperlink r:id="rId28" ref="A1882"/>
    <hyperlink r:id="rId28" ref="A1883"/>
    <hyperlink r:id="rId28" ref="A1884"/>
    <hyperlink r:id="rId28" ref="A1885"/>
    <hyperlink r:id="rId28" ref="A1886"/>
    <hyperlink r:id="rId28" ref="A1887"/>
    <hyperlink r:id="rId28" ref="A1888"/>
    <hyperlink r:id="rId28" ref="A1889"/>
    <hyperlink r:id="rId28" ref="A1890"/>
    <hyperlink r:id="rId28" ref="A1891"/>
    <hyperlink r:id="rId28" ref="A1892"/>
    <hyperlink r:id="rId28" ref="A1893"/>
    <hyperlink r:id="rId28" ref="A1894"/>
    <hyperlink r:id="rId28" ref="A1895"/>
    <hyperlink r:id="rId28" ref="A1896"/>
    <hyperlink r:id="rId28" ref="A1897"/>
    <hyperlink r:id="rId28" ref="A1898"/>
    <hyperlink r:id="rId28" ref="A1899"/>
    <hyperlink r:id="rId28" ref="A1900"/>
    <hyperlink r:id="rId28" ref="A1901"/>
    <hyperlink r:id="rId28" ref="A1902"/>
    <hyperlink r:id="rId28" ref="A1903"/>
    <hyperlink r:id="rId28" ref="A1904"/>
    <hyperlink r:id="rId28" ref="A1905"/>
    <hyperlink r:id="rId28" ref="A1906"/>
    <hyperlink r:id="rId28" ref="A1907"/>
    <hyperlink r:id="rId28" ref="A1908"/>
    <hyperlink r:id="rId28" ref="A1909"/>
    <hyperlink r:id="rId28" ref="A1910"/>
    <hyperlink r:id="rId28" ref="A1911"/>
    <hyperlink r:id="rId28" ref="A1912"/>
    <hyperlink r:id="rId28" ref="A1913"/>
    <hyperlink r:id="rId28" ref="A1914"/>
    <hyperlink r:id="rId28" ref="A1915"/>
    <hyperlink r:id="rId28" ref="A1916"/>
    <hyperlink r:id="rId29" ref="A1917"/>
    <hyperlink r:id="rId29" ref="A1918"/>
    <hyperlink r:id="rId29" ref="A1919"/>
    <hyperlink r:id="rId29" ref="A1920"/>
    <hyperlink r:id="rId29" ref="A1921"/>
    <hyperlink r:id="rId29" ref="A1922"/>
    <hyperlink r:id="rId29" ref="A1923"/>
    <hyperlink r:id="rId29" ref="A1924"/>
    <hyperlink r:id="rId29" ref="A1925"/>
    <hyperlink r:id="rId29" ref="A1926"/>
    <hyperlink r:id="rId29" ref="A1927"/>
    <hyperlink r:id="rId29" ref="A1928"/>
    <hyperlink r:id="rId29" ref="A1929"/>
    <hyperlink r:id="rId29" ref="A1930"/>
    <hyperlink r:id="rId29" ref="A1931"/>
    <hyperlink r:id="rId29" ref="A1932"/>
    <hyperlink r:id="rId29" ref="A1933"/>
    <hyperlink r:id="rId29" ref="A1934"/>
    <hyperlink r:id="rId29" ref="A1935"/>
    <hyperlink r:id="rId29" ref="A1936"/>
    <hyperlink r:id="rId29" ref="A1937"/>
    <hyperlink r:id="rId29" ref="A1938"/>
    <hyperlink r:id="rId29" ref="A1939"/>
    <hyperlink r:id="rId29" ref="A1940"/>
    <hyperlink r:id="rId29" ref="A1941"/>
    <hyperlink r:id="rId29" ref="A1942"/>
    <hyperlink r:id="rId29" ref="A1943"/>
    <hyperlink r:id="rId29" ref="A1944"/>
    <hyperlink r:id="rId29" ref="A1945"/>
    <hyperlink r:id="rId29" ref="A1946"/>
    <hyperlink r:id="rId29" ref="A1947"/>
    <hyperlink r:id="rId29" ref="A1948"/>
    <hyperlink r:id="rId29" ref="A1949"/>
    <hyperlink r:id="rId29" ref="A1950"/>
    <hyperlink r:id="rId29" ref="A1951"/>
    <hyperlink r:id="rId29" ref="A1952"/>
    <hyperlink r:id="rId29" ref="A1953"/>
    <hyperlink r:id="rId29" ref="A1954"/>
    <hyperlink r:id="rId29" ref="A1955"/>
    <hyperlink r:id="rId29" ref="A1956"/>
    <hyperlink r:id="rId29" ref="A1957"/>
    <hyperlink r:id="rId29" ref="A1958"/>
    <hyperlink r:id="rId29" ref="A1959"/>
    <hyperlink r:id="rId29" ref="A1960"/>
    <hyperlink r:id="rId29" ref="A1961"/>
    <hyperlink r:id="rId29" ref="A1962"/>
    <hyperlink r:id="rId29" ref="A1963"/>
    <hyperlink r:id="rId29" ref="A1964"/>
    <hyperlink r:id="rId29" ref="A1965"/>
    <hyperlink r:id="rId29" ref="A1966"/>
    <hyperlink r:id="rId29" ref="A1967"/>
    <hyperlink r:id="rId29" ref="A1968"/>
    <hyperlink r:id="rId29" ref="A1969"/>
    <hyperlink r:id="rId29" ref="A1970"/>
    <hyperlink r:id="rId29" ref="A1971"/>
    <hyperlink r:id="rId29" ref="A1972"/>
    <hyperlink r:id="rId29" ref="A1973"/>
    <hyperlink r:id="rId29" ref="A1974"/>
    <hyperlink r:id="rId29" ref="A1975"/>
    <hyperlink r:id="rId29" ref="A1976"/>
    <hyperlink r:id="rId29" ref="A1977"/>
    <hyperlink r:id="rId30" ref="A1978"/>
    <hyperlink r:id="rId30" ref="A1979"/>
    <hyperlink r:id="rId30" ref="A1980"/>
    <hyperlink r:id="rId30" ref="A1981"/>
    <hyperlink r:id="rId30" ref="A1982"/>
    <hyperlink r:id="rId30" ref="A1983"/>
    <hyperlink r:id="rId30" ref="A1984"/>
    <hyperlink r:id="rId30" ref="A1985"/>
    <hyperlink r:id="rId30" ref="A1986"/>
    <hyperlink r:id="rId30" ref="A1987"/>
    <hyperlink r:id="rId30" ref="A1988"/>
    <hyperlink r:id="rId30" ref="A1989"/>
    <hyperlink r:id="rId30" ref="A1990"/>
    <hyperlink r:id="rId30" ref="A1991"/>
    <hyperlink r:id="rId30" ref="A1992"/>
    <hyperlink r:id="rId30" ref="A1993"/>
    <hyperlink r:id="rId30" ref="A1994"/>
    <hyperlink r:id="rId30" ref="A1995"/>
    <hyperlink r:id="rId30" ref="A1996"/>
    <hyperlink r:id="rId30" ref="A1997"/>
    <hyperlink r:id="rId30" ref="A1998"/>
    <hyperlink r:id="rId30" ref="A1999"/>
    <hyperlink r:id="rId30" ref="A2000"/>
    <hyperlink r:id="rId30" ref="A2001"/>
    <hyperlink r:id="rId30" ref="A2002"/>
    <hyperlink r:id="rId30" ref="A2003"/>
    <hyperlink r:id="rId30" ref="A2004"/>
    <hyperlink r:id="rId30" ref="A2005"/>
    <hyperlink r:id="rId30" ref="A2006"/>
    <hyperlink r:id="rId30" ref="A2007"/>
    <hyperlink r:id="rId30" ref="A2008"/>
    <hyperlink r:id="rId30" ref="A2009"/>
    <hyperlink r:id="rId30" ref="A2010"/>
    <hyperlink r:id="rId30" ref="A2011"/>
    <hyperlink r:id="rId30" ref="A2012"/>
    <hyperlink r:id="rId30" ref="A2013"/>
    <hyperlink r:id="rId30" ref="A2014"/>
    <hyperlink r:id="rId30" ref="A2015"/>
    <hyperlink r:id="rId30" ref="A2016"/>
    <hyperlink r:id="rId30" ref="A2017"/>
    <hyperlink r:id="rId30" ref="A2018"/>
    <hyperlink r:id="rId30" ref="A2019"/>
    <hyperlink r:id="rId30" ref="A2020"/>
    <hyperlink r:id="rId30" ref="A2021"/>
    <hyperlink r:id="rId30" ref="A2022"/>
    <hyperlink r:id="rId30" ref="A2023"/>
    <hyperlink r:id="rId30" ref="A2024"/>
    <hyperlink r:id="rId30" ref="A2025"/>
    <hyperlink r:id="rId30" ref="A2026"/>
    <hyperlink r:id="rId30" ref="A2027"/>
    <hyperlink r:id="rId30" ref="A2028"/>
    <hyperlink r:id="rId30" ref="A2029"/>
    <hyperlink r:id="rId30" ref="A2030"/>
    <hyperlink r:id="rId30" ref="A2031"/>
    <hyperlink r:id="rId30" ref="A2032"/>
    <hyperlink r:id="rId30" ref="A2033"/>
    <hyperlink r:id="rId30" ref="A2034"/>
    <hyperlink r:id="rId30" ref="A2035"/>
    <hyperlink r:id="rId30" ref="A2036"/>
    <hyperlink r:id="rId30" ref="A2037"/>
    <hyperlink r:id="rId30" ref="A2038"/>
    <hyperlink r:id="rId30" ref="A2039"/>
    <hyperlink r:id="rId30" ref="A2040"/>
    <hyperlink r:id="rId30" ref="A2041"/>
    <hyperlink r:id="rId30" ref="A2042"/>
    <hyperlink r:id="rId30" ref="A2043"/>
    <hyperlink r:id="rId30" ref="A2044"/>
    <hyperlink r:id="rId30" ref="A2045"/>
    <hyperlink r:id="rId30" ref="A2046"/>
    <hyperlink r:id="rId30" ref="A2047"/>
    <hyperlink r:id="rId30" ref="A2048"/>
    <hyperlink r:id="rId30" ref="A2049"/>
    <hyperlink r:id="rId30" ref="A2050"/>
    <hyperlink r:id="rId30" ref="A2051"/>
    <hyperlink r:id="rId30" ref="A2052"/>
    <hyperlink r:id="rId30" ref="A2053"/>
    <hyperlink r:id="rId30" ref="A2054"/>
    <hyperlink r:id="rId30" ref="A2055"/>
    <hyperlink r:id="rId30" ref="A2056"/>
    <hyperlink r:id="rId30" ref="A2057"/>
    <hyperlink r:id="rId30" ref="A2058"/>
    <hyperlink r:id="rId30" ref="A2059"/>
    <hyperlink r:id="rId30" ref="A2060"/>
    <hyperlink r:id="rId30" ref="A2061"/>
    <hyperlink r:id="rId30" ref="A2062"/>
    <hyperlink r:id="rId30" ref="A2063"/>
    <hyperlink r:id="rId30" ref="A2064"/>
    <hyperlink r:id="rId30" ref="A2065"/>
    <hyperlink r:id="rId30" ref="A2066"/>
    <hyperlink r:id="rId30" ref="A2067"/>
    <hyperlink r:id="rId30" ref="A2068"/>
    <hyperlink r:id="rId30" ref="A2069"/>
    <hyperlink r:id="rId30" ref="A2070"/>
    <hyperlink r:id="rId30" ref="A2071"/>
    <hyperlink r:id="rId30" ref="A2072"/>
    <hyperlink r:id="rId30" ref="A2073"/>
    <hyperlink r:id="rId30" ref="A2074"/>
    <hyperlink r:id="rId30" ref="A2075"/>
    <hyperlink r:id="rId30" ref="A2076"/>
    <hyperlink r:id="rId30" ref="A2077"/>
    <hyperlink r:id="rId30" ref="A2078"/>
    <hyperlink r:id="rId30" ref="A2079"/>
    <hyperlink r:id="rId30" ref="A2080"/>
    <hyperlink r:id="rId30" ref="A2081"/>
    <hyperlink r:id="rId30" ref="A2082"/>
    <hyperlink r:id="rId30" ref="A2083"/>
    <hyperlink r:id="rId30" ref="A2084"/>
    <hyperlink r:id="rId30" ref="A2085"/>
    <hyperlink r:id="rId30" ref="A2086"/>
    <hyperlink r:id="rId30" ref="A2087"/>
    <hyperlink r:id="rId30" ref="A2088"/>
    <hyperlink r:id="rId30" ref="A2089"/>
    <hyperlink r:id="rId30" ref="A2090"/>
    <hyperlink r:id="rId30" ref="A2091"/>
    <hyperlink r:id="rId30" ref="A2092"/>
    <hyperlink r:id="rId30" ref="A2093"/>
    <hyperlink r:id="rId30" ref="A2094"/>
    <hyperlink r:id="rId30" ref="A2095"/>
    <hyperlink r:id="rId30" ref="A2096"/>
    <hyperlink r:id="rId30" ref="A2097"/>
    <hyperlink r:id="rId30" ref="A2098"/>
    <hyperlink r:id="rId30" ref="A2099"/>
    <hyperlink r:id="rId30" ref="A2100"/>
    <hyperlink r:id="rId30" ref="A2101"/>
    <hyperlink r:id="rId30" ref="A2102"/>
    <hyperlink r:id="rId30" ref="A2103"/>
    <hyperlink r:id="rId30" ref="A2104"/>
    <hyperlink r:id="rId30" ref="A2105"/>
    <hyperlink r:id="rId30" ref="A2106"/>
    <hyperlink r:id="rId30" ref="A2107"/>
    <hyperlink r:id="rId30" ref="A2108"/>
    <hyperlink r:id="rId30" ref="A2109"/>
    <hyperlink r:id="rId30" ref="A2110"/>
    <hyperlink r:id="rId30" ref="A2111"/>
    <hyperlink r:id="rId30" ref="A2112"/>
    <hyperlink r:id="rId30" ref="A2113"/>
    <hyperlink r:id="rId30" ref="A2114"/>
    <hyperlink r:id="rId30" ref="A2115"/>
    <hyperlink r:id="rId30" ref="A2116"/>
    <hyperlink r:id="rId30" ref="A2117"/>
    <hyperlink r:id="rId30" ref="A2118"/>
    <hyperlink r:id="rId30" ref="A2119"/>
    <hyperlink r:id="rId30" ref="A2120"/>
    <hyperlink r:id="rId30" ref="A2121"/>
    <hyperlink r:id="rId30" ref="A2122"/>
    <hyperlink r:id="rId30" ref="A2123"/>
    <hyperlink r:id="rId30" ref="A2124"/>
    <hyperlink r:id="rId30" ref="A2125"/>
    <hyperlink r:id="rId30" ref="A2126"/>
    <hyperlink r:id="rId30" ref="A2127"/>
    <hyperlink r:id="rId30" ref="A2128"/>
    <hyperlink r:id="rId30" ref="A2129"/>
    <hyperlink r:id="rId30" ref="A2130"/>
    <hyperlink r:id="rId30" ref="A2131"/>
    <hyperlink r:id="rId30" ref="A2132"/>
    <hyperlink r:id="rId30" ref="A2133"/>
    <hyperlink r:id="rId30" ref="A2134"/>
    <hyperlink r:id="rId30" ref="A2135"/>
    <hyperlink r:id="rId30" ref="A2136"/>
    <hyperlink r:id="rId30" ref="A2137"/>
    <hyperlink r:id="rId30" ref="A2138"/>
    <hyperlink r:id="rId30" ref="A2139"/>
    <hyperlink r:id="rId30" ref="A2140"/>
    <hyperlink r:id="rId30" ref="A2141"/>
    <hyperlink r:id="rId30" ref="A2142"/>
    <hyperlink r:id="rId30" ref="A2143"/>
    <hyperlink r:id="rId30" ref="A2144"/>
    <hyperlink r:id="rId30" ref="A2145"/>
    <hyperlink r:id="rId30" ref="A2146"/>
    <hyperlink r:id="rId30" ref="A2147"/>
    <hyperlink r:id="rId30" ref="A2148"/>
    <hyperlink r:id="rId30" ref="A2149"/>
    <hyperlink r:id="rId30" ref="A2150"/>
    <hyperlink r:id="rId30" ref="A2151"/>
    <hyperlink r:id="rId30" ref="A2152"/>
    <hyperlink r:id="rId30" ref="A2153"/>
    <hyperlink r:id="rId30" ref="A2154"/>
    <hyperlink r:id="rId30" ref="A2155"/>
    <hyperlink r:id="rId30" ref="A2156"/>
    <hyperlink r:id="rId30" ref="A2157"/>
    <hyperlink r:id="rId30" ref="A2158"/>
    <hyperlink r:id="rId30" ref="A2159"/>
    <hyperlink r:id="rId30" ref="A2160"/>
    <hyperlink r:id="rId30" ref="A2161"/>
    <hyperlink r:id="rId30" ref="A2162"/>
    <hyperlink r:id="rId30" ref="A2163"/>
    <hyperlink r:id="rId30" ref="A2164"/>
    <hyperlink r:id="rId30" ref="A2165"/>
    <hyperlink r:id="rId30" ref="A2166"/>
    <hyperlink r:id="rId30" ref="A2167"/>
    <hyperlink r:id="rId30" ref="A2168"/>
    <hyperlink r:id="rId30" ref="A2169"/>
    <hyperlink r:id="rId30" ref="A2170"/>
    <hyperlink r:id="rId30" ref="A2171"/>
    <hyperlink r:id="rId30" ref="A2172"/>
    <hyperlink r:id="rId30" ref="A2173"/>
    <hyperlink r:id="rId30" ref="A2174"/>
    <hyperlink r:id="rId30" ref="A2175"/>
    <hyperlink r:id="rId30" ref="A2176"/>
    <hyperlink r:id="rId30" ref="A2177"/>
    <hyperlink r:id="rId30" ref="A2178"/>
    <hyperlink r:id="rId30" ref="A2179"/>
    <hyperlink r:id="rId30" ref="A2180"/>
    <hyperlink r:id="rId30" ref="A2181"/>
    <hyperlink r:id="rId30" ref="A2182"/>
    <hyperlink r:id="rId30" ref="A2183"/>
    <hyperlink r:id="rId30" ref="A2184"/>
    <hyperlink r:id="rId30" ref="A2185"/>
    <hyperlink r:id="rId30" ref="A2186"/>
    <hyperlink r:id="rId30" ref="A2187"/>
    <hyperlink r:id="rId30" ref="A2188"/>
    <hyperlink r:id="rId30" ref="A2189"/>
    <hyperlink r:id="rId30" ref="A2190"/>
    <hyperlink r:id="rId30" ref="A2191"/>
    <hyperlink r:id="rId30" ref="A2192"/>
    <hyperlink r:id="rId30" ref="A2193"/>
    <hyperlink r:id="rId30" ref="A2194"/>
    <hyperlink r:id="rId30" ref="A2195"/>
    <hyperlink r:id="rId30" ref="A2196"/>
    <hyperlink r:id="rId30" ref="A2197"/>
    <hyperlink r:id="rId30" ref="A2198"/>
    <hyperlink r:id="rId30" ref="A2199"/>
    <hyperlink r:id="rId30" ref="A2200"/>
    <hyperlink r:id="rId30" ref="A2201"/>
    <hyperlink r:id="rId30" ref="A2202"/>
    <hyperlink r:id="rId30" ref="A2203"/>
    <hyperlink r:id="rId30" ref="A2204"/>
    <hyperlink r:id="rId30" ref="A2205"/>
    <hyperlink r:id="rId30" ref="A2206"/>
    <hyperlink r:id="rId30" ref="A2207"/>
    <hyperlink r:id="rId30" ref="A2208"/>
    <hyperlink r:id="rId30" ref="A2209"/>
    <hyperlink r:id="rId30" ref="A2210"/>
    <hyperlink r:id="rId30" ref="A2211"/>
    <hyperlink r:id="rId30" ref="A2212"/>
    <hyperlink r:id="rId30" ref="A2213"/>
    <hyperlink r:id="rId30" ref="A2214"/>
    <hyperlink r:id="rId30" ref="A2215"/>
    <hyperlink r:id="rId30" ref="A2216"/>
    <hyperlink r:id="rId30" ref="A2217"/>
    <hyperlink r:id="rId30" ref="A2218"/>
    <hyperlink r:id="rId30" ref="A2219"/>
    <hyperlink r:id="rId30" ref="A2220"/>
    <hyperlink r:id="rId30" ref="A2221"/>
    <hyperlink r:id="rId30" ref="A2222"/>
    <hyperlink r:id="rId30" ref="A2223"/>
    <hyperlink r:id="rId30" ref="A2224"/>
    <hyperlink r:id="rId30" ref="A2225"/>
    <hyperlink r:id="rId30" ref="A2226"/>
    <hyperlink r:id="rId30" ref="A2227"/>
    <hyperlink r:id="rId30" ref="A2228"/>
    <hyperlink r:id="rId30" ref="A2229"/>
    <hyperlink r:id="rId30" ref="A2230"/>
    <hyperlink r:id="rId30" ref="A2231"/>
    <hyperlink r:id="rId30" ref="A2232"/>
    <hyperlink r:id="rId30" ref="A2233"/>
    <hyperlink r:id="rId30" ref="A2234"/>
    <hyperlink r:id="rId30" ref="A2235"/>
    <hyperlink r:id="rId30" ref="A2236"/>
    <hyperlink r:id="rId30" ref="A2237"/>
    <hyperlink r:id="rId30" ref="A2238"/>
    <hyperlink r:id="rId30" ref="A2239"/>
    <hyperlink r:id="rId30" ref="A2240"/>
    <hyperlink r:id="rId30" ref="A2241"/>
    <hyperlink r:id="rId30" ref="A2242"/>
    <hyperlink r:id="rId30" ref="A2243"/>
    <hyperlink r:id="rId30" ref="A2244"/>
    <hyperlink r:id="rId30" ref="A2245"/>
    <hyperlink r:id="rId30" ref="A2246"/>
    <hyperlink r:id="rId30" ref="A2247"/>
    <hyperlink r:id="rId30" ref="A2248"/>
    <hyperlink r:id="rId30" ref="A2249"/>
    <hyperlink r:id="rId30" ref="A2250"/>
    <hyperlink r:id="rId30" ref="A2251"/>
    <hyperlink r:id="rId30" ref="A2252"/>
    <hyperlink r:id="rId30" ref="A2253"/>
    <hyperlink r:id="rId30" ref="A2254"/>
    <hyperlink r:id="rId30" ref="A2255"/>
    <hyperlink r:id="rId30" ref="A2256"/>
    <hyperlink r:id="rId30" ref="A2257"/>
    <hyperlink r:id="rId30" ref="A2258"/>
    <hyperlink r:id="rId30" ref="A2259"/>
    <hyperlink r:id="rId30" ref="A2260"/>
    <hyperlink r:id="rId30" ref="A2261"/>
    <hyperlink r:id="rId30" ref="A2262"/>
    <hyperlink r:id="rId30" ref="A2263"/>
    <hyperlink r:id="rId30" ref="A2264"/>
    <hyperlink r:id="rId30" ref="A2265"/>
    <hyperlink r:id="rId30" ref="A2266"/>
    <hyperlink r:id="rId30" ref="A2267"/>
    <hyperlink r:id="rId30" ref="A2268"/>
    <hyperlink r:id="rId30" ref="A2269"/>
    <hyperlink r:id="rId30" ref="A2270"/>
    <hyperlink r:id="rId30" ref="A2271"/>
    <hyperlink r:id="rId30" ref="A2272"/>
    <hyperlink r:id="rId30" ref="A2273"/>
    <hyperlink r:id="rId30" ref="A2274"/>
    <hyperlink r:id="rId30" ref="A2275"/>
    <hyperlink r:id="rId30" ref="A2276"/>
    <hyperlink r:id="rId30" ref="A2277"/>
    <hyperlink r:id="rId30" ref="A2278"/>
    <hyperlink r:id="rId30" ref="A2279"/>
    <hyperlink r:id="rId30" ref="A2280"/>
    <hyperlink r:id="rId30" ref="A2281"/>
    <hyperlink r:id="rId30" ref="A2282"/>
    <hyperlink r:id="rId30" ref="A2283"/>
    <hyperlink r:id="rId30" ref="A2284"/>
    <hyperlink r:id="rId30" ref="A2285"/>
    <hyperlink r:id="rId30" ref="A2286"/>
    <hyperlink r:id="rId30" ref="A2287"/>
    <hyperlink r:id="rId30" ref="A2288"/>
    <hyperlink r:id="rId30" ref="A2289"/>
    <hyperlink r:id="rId30" ref="A2290"/>
    <hyperlink r:id="rId30" ref="A2291"/>
    <hyperlink r:id="rId30" ref="A2292"/>
    <hyperlink r:id="rId30" ref="A2293"/>
    <hyperlink r:id="rId30" ref="A2294"/>
    <hyperlink r:id="rId30" ref="A2295"/>
    <hyperlink r:id="rId30" ref="A2296"/>
    <hyperlink r:id="rId30" ref="A2297"/>
    <hyperlink r:id="rId30" ref="A2298"/>
    <hyperlink r:id="rId30" ref="A2299"/>
    <hyperlink r:id="rId30" ref="A2300"/>
    <hyperlink r:id="rId30" ref="A2301"/>
    <hyperlink r:id="rId30" ref="A2302"/>
    <hyperlink r:id="rId30" ref="A2303"/>
    <hyperlink r:id="rId30" ref="A2304"/>
    <hyperlink r:id="rId30" ref="A2305"/>
    <hyperlink r:id="rId30" ref="A2306"/>
    <hyperlink r:id="rId30" ref="A2307"/>
    <hyperlink r:id="rId30" ref="A2308"/>
    <hyperlink r:id="rId30" ref="A2309"/>
    <hyperlink r:id="rId30" ref="A2310"/>
    <hyperlink r:id="rId30" ref="A2311"/>
    <hyperlink r:id="rId30" ref="A2312"/>
    <hyperlink r:id="rId30" ref="A2313"/>
    <hyperlink r:id="rId30" ref="A2314"/>
    <hyperlink r:id="rId30" ref="A2315"/>
    <hyperlink r:id="rId30" ref="A2316"/>
    <hyperlink r:id="rId30" ref="A2317"/>
    <hyperlink r:id="rId30" ref="A2318"/>
    <hyperlink r:id="rId30" ref="A2319"/>
    <hyperlink r:id="rId30" ref="A2320"/>
    <hyperlink r:id="rId30" ref="A2321"/>
    <hyperlink r:id="rId30" ref="A2322"/>
    <hyperlink r:id="rId30" ref="A2323"/>
    <hyperlink r:id="rId30" ref="A2324"/>
    <hyperlink r:id="rId30" ref="A2325"/>
    <hyperlink r:id="rId30" ref="A2326"/>
    <hyperlink r:id="rId30" ref="A2327"/>
    <hyperlink r:id="rId30" ref="A2328"/>
    <hyperlink r:id="rId30" ref="A2329"/>
    <hyperlink r:id="rId30" ref="A2330"/>
    <hyperlink r:id="rId30" ref="A2331"/>
    <hyperlink r:id="rId30" ref="A2332"/>
    <hyperlink r:id="rId30" ref="A2333"/>
    <hyperlink r:id="rId30" ref="A2334"/>
    <hyperlink r:id="rId30" ref="A2335"/>
    <hyperlink r:id="rId30" ref="A2336"/>
    <hyperlink r:id="rId30" ref="A2337"/>
    <hyperlink r:id="rId30" ref="A2338"/>
    <hyperlink r:id="rId30" ref="A2339"/>
    <hyperlink r:id="rId30" ref="A2340"/>
    <hyperlink r:id="rId30" ref="A2341"/>
    <hyperlink r:id="rId30" ref="A2342"/>
    <hyperlink r:id="rId30" ref="A2343"/>
    <hyperlink r:id="rId30" ref="A2344"/>
    <hyperlink r:id="rId30" ref="A2345"/>
    <hyperlink r:id="rId30" ref="A2346"/>
    <hyperlink r:id="rId30" ref="A2347"/>
    <hyperlink r:id="rId30" ref="A2348"/>
    <hyperlink r:id="rId30" ref="A2349"/>
    <hyperlink r:id="rId30" ref="A2350"/>
    <hyperlink r:id="rId30" ref="A2351"/>
    <hyperlink r:id="rId30" ref="A2352"/>
    <hyperlink r:id="rId30" ref="A2353"/>
    <hyperlink r:id="rId30" ref="A2354"/>
    <hyperlink r:id="rId30" ref="A2355"/>
    <hyperlink r:id="rId30" ref="A2356"/>
    <hyperlink r:id="rId30" ref="A2357"/>
    <hyperlink r:id="rId30" ref="A2358"/>
    <hyperlink r:id="rId30" ref="A2359"/>
    <hyperlink r:id="rId30" ref="A2360"/>
    <hyperlink r:id="rId30" ref="A2361"/>
    <hyperlink r:id="rId30" ref="A2362"/>
    <hyperlink r:id="rId30" ref="A2363"/>
    <hyperlink r:id="rId30" ref="A2364"/>
    <hyperlink r:id="rId30" ref="A2365"/>
    <hyperlink r:id="rId30" ref="A2366"/>
    <hyperlink r:id="rId30" ref="A2367"/>
    <hyperlink r:id="rId30" ref="A2368"/>
    <hyperlink r:id="rId30" ref="A2369"/>
    <hyperlink r:id="rId30" ref="A2370"/>
    <hyperlink r:id="rId30" ref="A2371"/>
    <hyperlink r:id="rId30" ref="A2372"/>
    <hyperlink r:id="rId30" ref="A2373"/>
    <hyperlink r:id="rId30" ref="A2374"/>
    <hyperlink r:id="rId30" ref="A2375"/>
    <hyperlink r:id="rId30" ref="A2376"/>
    <hyperlink r:id="rId30" ref="A2377"/>
    <hyperlink r:id="rId30" ref="A2378"/>
    <hyperlink r:id="rId30" ref="A2379"/>
    <hyperlink r:id="rId30" ref="A2380"/>
    <hyperlink r:id="rId30" ref="A2381"/>
    <hyperlink r:id="rId30" ref="A2382"/>
    <hyperlink r:id="rId30" ref="A2383"/>
    <hyperlink r:id="rId30" ref="A2384"/>
    <hyperlink r:id="rId30" ref="A2385"/>
    <hyperlink r:id="rId30" ref="A2386"/>
    <hyperlink r:id="rId30" ref="A2387"/>
    <hyperlink r:id="rId30" ref="A2388"/>
    <hyperlink r:id="rId30" ref="A2389"/>
    <hyperlink r:id="rId30" ref="A2390"/>
    <hyperlink r:id="rId30" ref="A2391"/>
    <hyperlink r:id="rId30" ref="A2392"/>
    <hyperlink r:id="rId30" ref="A2393"/>
    <hyperlink r:id="rId30" ref="A2394"/>
    <hyperlink r:id="rId30" ref="A2395"/>
    <hyperlink r:id="rId30" ref="A2396"/>
    <hyperlink r:id="rId30" ref="A2397"/>
    <hyperlink r:id="rId30" ref="A2398"/>
    <hyperlink r:id="rId30" ref="A2399"/>
    <hyperlink r:id="rId30" ref="A2400"/>
    <hyperlink r:id="rId30" ref="A2401"/>
    <hyperlink r:id="rId30" ref="A2402"/>
    <hyperlink r:id="rId30" ref="A2403"/>
    <hyperlink r:id="rId30" ref="A2404"/>
    <hyperlink r:id="rId30" ref="A2405"/>
    <hyperlink r:id="rId30" ref="A2406"/>
    <hyperlink r:id="rId30" ref="A2407"/>
    <hyperlink r:id="rId30" ref="A2408"/>
    <hyperlink r:id="rId30" ref="A2409"/>
    <hyperlink r:id="rId30" ref="A2410"/>
    <hyperlink r:id="rId30" ref="A2411"/>
    <hyperlink r:id="rId30" ref="A2412"/>
    <hyperlink r:id="rId30" ref="A2413"/>
    <hyperlink r:id="rId30" ref="A2414"/>
    <hyperlink r:id="rId30" ref="A2415"/>
    <hyperlink r:id="rId30" ref="A2416"/>
    <hyperlink r:id="rId30" ref="A2417"/>
    <hyperlink r:id="rId30" ref="A2418"/>
    <hyperlink r:id="rId30" ref="A2419"/>
    <hyperlink r:id="rId30" ref="A2420"/>
    <hyperlink r:id="rId30" ref="A2421"/>
    <hyperlink r:id="rId30" ref="A2422"/>
    <hyperlink r:id="rId30" ref="A2423"/>
    <hyperlink r:id="rId30" ref="A2424"/>
    <hyperlink r:id="rId30" ref="A2425"/>
    <hyperlink r:id="rId30" ref="A2426"/>
    <hyperlink r:id="rId30" ref="A2427"/>
    <hyperlink r:id="rId30" ref="A2428"/>
    <hyperlink r:id="rId30" ref="A2429"/>
    <hyperlink r:id="rId30" ref="A2430"/>
    <hyperlink r:id="rId30" ref="A2431"/>
    <hyperlink r:id="rId30" ref="A2432"/>
    <hyperlink r:id="rId30" ref="A2433"/>
    <hyperlink r:id="rId30" ref="A2434"/>
    <hyperlink r:id="rId30" ref="A2435"/>
    <hyperlink r:id="rId30" ref="A2436"/>
    <hyperlink r:id="rId30" ref="A2437"/>
    <hyperlink r:id="rId30" ref="A2438"/>
    <hyperlink r:id="rId30" ref="A2439"/>
    <hyperlink r:id="rId30" ref="A2440"/>
    <hyperlink r:id="rId30" ref="A2441"/>
    <hyperlink r:id="rId30" ref="A2442"/>
    <hyperlink r:id="rId30" ref="A2443"/>
    <hyperlink r:id="rId30" ref="A2444"/>
    <hyperlink r:id="rId30" ref="A2445"/>
    <hyperlink r:id="rId30" ref="A2446"/>
    <hyperlink r:id="rId30" ref="A2447"/>
    <hyperlink r:id="rId30" ref="A2448"/>
    <hyperlink r:id="rId30" ref="A2449"/>
    <hyperlink r:id="rId30" ref="A2450"/>
    <hyperlink r:id="rId30" ref="A2451"/>
    <hyperlink r:id="rId30" ref="A2452"/>
    <hyperlink r:id="rId30" ref="A2453"/>
    <hyperlink r:id="rId30" ref="A2454"/>
    <hyperlink r:id="rId30" ref="A2455"/>
    <hyperlink r:id="rId30" ref="A2456"/>
    <hyperlink r:id="rId30" ref="A2457"/>
    <hyperlink r:id="rId30" ref="A2458"/>
    <hyperlink r:id="rId30" ref="A2459"/>
    <hyperlink r:id="rId30" ref="A2460"/>
    <hyperlink r:id="rId30" ref="A2461"/>
    <hyperlink r:id="rId30" ref="A2462"/>
    <hyperlink r:id="rId30" ref="A2463"/>
    <hyperlink r:id="rId30" ref="A2464"/>
    <hyperlink r:id="rId30" ref="A2465"/>
    <hyperlink r:id="rId30" ref="A2466"/>
    <hyperlink r:id="rId30" ref="A2467"/>
    <hyperlink r:id="rId30" ref="A2468"/>
    <hyperlink r:id="rId30" ref="A2469"/>
    <hyperlink r:id="rId30" ref="A2470"/>
    <hyperlink r:id="rId30" ref="A2471"/>
    <hyperlink r:id="rId30" ref="A2472"/>
    <hyperlink r:id="rId30" ref="A2473"/>
    <hyperlink r:id="rId30" ref="A2474"/>
    <hyperlink r:id="rId30" ref="A2475"/>
    <hyperlink r:id="rId30" ref="A2476"/>
    <hyperlink r:id="rId30" ref="A2477"/>
    <hyperlink r:id="rId30" ref="A2478"/>
    <hyperlink r:id="rId30" ref="A2479"/>
    <hyperlink r:id="rId30" ref="A2480"/>
    <hyperlink r:id="rId30" ref="A2481"/>
    <hyperlink r:id="rId30" ref="A2482"/>
    <hyperlink r:id="rId30" ref="A2483"/>
    <hyperlink r:id="rId30" ref="A2484"/>
    <hyperlink r:id="rId30" ref="A2485"/>
    <hyperlink r:id="rId30" ref="A2486"/>
    <hyperlink r:id="rId30" ref="A2487"/>
    <hyperlink r:id="rId30" ref="A2488"/>
    <hyperlink r:id="rId30" ref="A2489"/>
    <hyperlink r:id="rId30" ref="A2490"/>
    <hyperlink r:id="rId30" ref="A2491"/>
    <hyperlink r:id="rId30" ref="A2492"/>
    <hyperlink r:id="rId30" ref="A2493"/>
    <hyperlink r:id="rId30" ref="A2494"/>
    <hyperlink r:id="rId30" ref="A2495"/>
    <hyperlink r:id="rId30" ref="A2496"/>
    <hyperlink r:id="rId30" ref="A2497"/>
    <hyperlink r:id="rId30" ref="A2498"/>
    <hyperlink r:id="rId30" ref="A2499"/>
    <hyperlink r:id="rId30" ref="A2500"/>
    <hyperlink r:id="rId30" ref="A2501"/>
    <hyperlink r:id="rId30" ref="A2502"/>
    <hyperlink r:id="rId30" ref="A2503"/>
    <hyperlink r:id="rId30" ref="A2504"/>
    <hyperlink r:id="rId30" ref="A2505"/>
    <hyperlink r:id="rId30" ref="A2506"/>
    <hyperlink r:id="rId30" ref="A2507"/>
    <hyperlink r:id="rId30" ref="A2508"/>
    <hyperlink r:id="rId30" ref="A2509"/>
    <hyperlink r:id="rId30" ref="A2510"/>
    <hyperlink r:id="rId30" ref="A2511"/>
    <hyperlink r:id="rId30" ref="A2512"/>
    <hyperlink r:id="rId30" ref="A2513"/>
    <hyperlink r:id="rId30" ref="A2514"/>
    <hyperlink r:id="rId30" ref="A2515"/>
    <hyperlink r:id="rId30" ref="A2516"/>
    <hyperlink r:id="rId30" ref="A2517"/>
    <hyperlink r:id="rId30" ref="A2518"/>
    <hyperlink r:id="rId30" ref="A2519"/>
    <hyperlink r:id="rId30" ref="A2520"/>
    <hyperlink r:id="rId30" ref="A2521"/>
    <hyperlink r:id="rId30" ref="A2522"/>
    <hyperlink r:id="rId30" ref="A2523"/>
    <hyperlink r:id="rId30" ref="A2524"/>
    <hyperlink r:id="rId30" ref="A2525"/>
    <hyperlink r:id="rId30" ref="A2526"/>
    <hyperlink r:id="rId30" ref="A2527"/>
    <hyperlink r:id="rId30" ref="A2528"/>
    <hyperlink r:id="rId30" ref="A2529"/>
    <hyperlink r:id="rId30" ref="A2530"/>
    <hyperlink r:id="rId30" ref="A2531"/>
    <hyperlink r:id="rId30" ref="A2532"/>
    <hyperlink r:id="rId30" ref="A2533"/>
    <hyperlink r:id="rId30" ref="A2534"/>
    <hyperlink r:id="rId30" ref="A2535"/>
    <hyperlink r:id="rId30" ref="A2536"/>
    <hyperlink r:id="rId30" ref="A2537"/>
    <hyperlink r:id="rId30" ref="A2538"/>
    <hyperlink r:id="rId30" ref="A2539"/>
    <hyperlink r:id="rId30" ref="A2540"/>
    <hyperlink r:id="rId30" ref="A2541"/>
    <hyperlink r:id="rId30" ref="A2542"/>
    <hyperlink r:id="rId30" ref="A2543"/>
    <hyperlink r:id="rId30" ref="A2544"/>
    <hyperlink r:id="rId30" ref="A2545"/>
    <hyperlink r:id="rId30" ref="A2546"/>
    <hyperlink r:id="rId30" ref="A2547"/>
    <hyperlink r:id="rId30" ref="A2548"/>
    <hyperlink r:id="rId30" ref="A2549"/>
    <hyperlink r:id="rId30" ref="A2550"/>
    <hyperlink r:id="rId30" ref="A2551"/>
    <hyperlink r:id="rId30" ref="A2552"/>
    <hyperlink r:id="rId30" ref="A2553"/>
    <hyperlink r:id="rId30" ref="A2554"/>
    <hyperlink r:id="rId30" ref="A2555"/>
    <hyperlink r:id="rId30" ref="A2556"/>
    <hyperlink r:id="rId30" ref="A2557"/>
    <hyperlink r:id="rId30" ref="A2558"/>
    <hyperlink r:id="rId30" ref="A2559"/>
    <hyperlink r:id="rId30" ref="A2560"/>
    <hyperlink r:id="rId30" ref="A2561"/>
    <hyperlink r:id="rId30" ref="A2562"/>
    <hyperlink r:id="rId30" ref="A2563"/>
    <hyperlink r:id="rId30" ref="A2564"/>
    <hyperlink r:id="rId30" ref="A2565"/>
    <hyperlink r:id="rId30" ref="A2566"/>
    <hyperlink r:id="rId30" ref="A2567"/>
    <hyperlink r:id="rId30" ref="A2568"/>
    <hyperlink r:id="rId30" ref="A2569"/>
    <hyperlink r:id="rId30" ref="A2570"/>
    <hyperlink r:id="rId30" ref="A2571"/>
    <hyperlink r:id="rId30" ref="A2572"/>
    <hyperlink r:id="rId30" ref="A2573"/>
    <hyperlink r:id="rId30" ref="A2574"/>
    <hyperlink r:id="rId30" ref="A2575"/>
    <hyperlink r:id="rId30" ref="A2576"/>
    <hyperlink r:id="rId30" ref="A2577"/>
    <hyperlink r:id="rId30" ref="A2578"/>
    <hyperlink r:id="rId30" ref="A2579"/>
    <hyperlink r:id="rId30" ref="A2580"/>
    <hyperlink r:id="rId30" ref="A2581"/>
    <hyperlink r:id="rId30" ref="A2582"/>
    <hyperlink r:id="rId30" ref="A2583"/>
    <hyperlink r:id="rId30" ref="A2584"/>
    <hyperlink r:id="rId30" ref="A2585"/>
    <hyperlink r:id="rId30" ref="A2586"/>
    <hyperlink r:id="rId30" ref="A2587"/>
    <hyperlink r:id="rId30" ref="A2588"/>
    <hyperlink r:id="rId30" ref="A2589"/>
    <hyperlink r:id="rId30" ref="A2590"/>
    <hyperlink r:id="rId30" ref="A2591"/>
    <hyperlink r:id="rId30" ref="A2592"/>
    <hyperlink r:id="rId30" ref="A2593"/>
    <hyperlink r:id="rId30" ref="A2594"/>
    <hyperlink r:id="rId30" ref="A2595"/>
    <hyperlink r:id="rId30" ref="A2596"/>
    <hyperlink r:id="rId30" ref="A2597"/>
    <hyperlink r:id="rId30" ref="A2598"/>
    <hyperlink r:id="rId30" ref="A2599"/>
    <hyperlink r:id="rId30" ref="A2600"/>
    <hyperlink r:id="rId30" ref="A2601"/>
    <hyperlink r:id="rId30" ref="A2602"/>
    <hyperlink r:id="rId30" ref="A2603"/>
    <hyperlink r:id="rId30" ref="A2604"/>
    <hyperlink r:id="rId30" ref="A2605"/>
    <hyperlink r:id="rId30" ref="A2606"/>
    <hyperlink r:id="rId30" ref="A2607"/>
    <hyperlink r:id="rId30" ref="A2608"/>
    <hyperlink r:id="rId30" ref="A2609"/>
    <hyperlink r:id="rId30" ref="A2610"/>
    <hyperlink r:id="rId30" ref="A2611"/>
    <hyperlink r:id="rId30" ref="A2612"/>
    <hyperlink r:id="rId30" ref="A2613"/>
    <hyperlink r:id="rId30" ref="A2614"/>
    <hyperlink r:id="rId30" ref="A2615"/>
    <hyperlink r:id="rId30" ref="A2616"/>
    <hyperlink r:id="rId30" ref="A2617"/>
    <hyperlink r:id="rId30" ref="A2618"/>
    <hyperlink r:id="rId30" ref="A2619"/>
    <hyperlink r:id="rId30" ref="A2620"/>
    <hyperlink r:id="rId30" ref="A2621"/>
    <hyperlink r:id="rId30" ref="A2622"/>
    <hyperlink r:id="rId30" ref="A2623"/>
    <hyperlink r:id="rId30" ref="A2624"/>
    <hyperlink r:id="rId30" ref="A2625"/>
    <hyperlink r:id="rId30" ref="A2626"/>
    <hyperlink r:id="rId30" ref="A2627"/>
    <hyperlink r:id="rId30" ref="A2628"/>
    <hyperlink r:id="rId30" ref="A2629"/>
    <hyperlink r:id="rId30" ref="A2630"/>
    <hyperlink r:id="rId30" ref="A2631"/>
    <hyperlink r:id="rId30" ref="A2632"/>
    <hyperlink r:id="rId30" ref="A2633"/>
    <hyperlink r:id="rId30" ref="A2634"/>
    <hyperlink r:id="rId30" ref="A2635"/>
    <hyperlink r:id="rId30" ref="A2636"/>
    <hyperlink r:id="rId30" ref="A2637"/>
    <hyperlink r:id="rId30" ref="A2638"/>
    <hyperlink r:id="rId30" ref="A2639"/>
    <hyperlink r:id="rId30" ref="A2640"/>
    <hyperlink r:id="rId30" ref="A2641"/>
    <hyperlink r:id="rId30" ref="A2642"/>
    <hyperlink r:id="rId30" ref="A2643"/>
    <hyperlink r:id="rId30" ref="A2644"/>
    <hyperlink r:id="rId30" ref="A2645"/>
    <hyperlink r:id="rId30" ref="A2646"/>
    <hyperlink r:id="rId30" ref="A2647"/>
    <hyperlink r:id="rId30" ref="A2648"/>
    <hyperlink r:id="rId30" ref="A2649"/>
    <hyperlink r:id="rId30" ref="A2650"/>
    <hyperlink r:id="rId30" ref="A2651"/>
    <hyperlink r:id="rId30" ref="A2652"/>
    <hyperlink r:id="rId30" ref="A2653"/>
    <hyperlink r:id="rId30" ref="A2654"/>
    <hyperlink r:id="rId30" ref="A2655"/>
    <hyperlink r:id="rId30" ref="A2656"/>
    <hyperlink r:id="rId30" ref="A2657"/>
    <hyperlink r:id="rId30" ref="A2658"/>
    <hyperlink r:id="rId30" ref="A2659"/>
    <hyperlink r:id="rId30" ref="A2660"/>
    <hyperlink r:id="rId30" ref="A2661"/>
    <hyperlink r:id="rId30" ref="A2662"/>
    <hyperlink r:id="rId30" ref="A2663"/>
    <hyperlink r:id="rId30" ref="A2664"/>
    <hyperlink r:id="rId30" ref="A2665"/>
    <hyperlink r:id="rId30" ref="A2666"/>
    <hyperlink r:id="rId30" ref="A2667"/>
    <hyperlink r:id="rId30" ref="A2668"/>
    <hyperlink r:id="rId30" ref="A2669"/>
    <hyperlink r:id="rId30" ref="A2670"/>
    <hyperlink r:id="rId30" ref="A2671"/>
    <hyperlink r:id="rId30" ref="A2672"/>
    <hyperlink r:id="rId30" ref="A2673"/>
    <hyperlink r:id="rId30" ref="A2674"/>
    <hyperlink r:id="rId30" ref="A2675"/>
    <hyperlink r:id="rId30" ref="A2676"/>
    <hyperlink r:id="rId30" ref="A2677"/>
    <hyperlink r:id="rId30" ref="A2678"/>
    <hyperlink r:id="rId30" ref="A2679"/>
    <hyperlink r:id="rId30" ref="A2680"/>
    <hyperlink r:id="rId30" ref="A2681"/>
    <hyperlink r:id="rId30" ref="A2682"/>
    <hyperlink r:id="rId30" ref="A2683"/>
    <hyperlink r:id="rId30" ref="A2684"/>
    <hyperlink r:id="rId30" ref="A2685"/>
    <hyperlink r:id="rId30" ref="A2686"/>
    <hyperlink r:id="rId30" ref="A2687"/>
    <hyperlink r:id="rId30" ref="A2688"/>
    <hyperlink r:id="rId30" ref="A2689"/>
    <hyperlink r:id="rId30" ref="A2690"/>
    <hyperlink r:id="rId30" ref="A2691"/>
    <hyperlink r:id="rId30" ref="A2692"/>
    <hyperlink r:id="rId30" ref="A2693"/>
    <hyperlink r:id="rId30" ref="A2694"/>
    <hyperlink r:id="rId30" ref="A2695"/>
    <hyperlink r:id="rId30" ref="A2696"/>
    <hyperlink r:id="rId30" ref="A2697"/>
    <hyperlink r:id="rId30" ref="A2698"/>
    <hyperlink r:id="rId30" ref="A2699"/>
    <hyperlink r:id="rId30" ref="A2700"/>
    <hyperlink r:id="rId30" ref="A2701"/>
    <hyperlink r:id="rId30" ref="A2702"/>
    <hyperlink r:id="rId30" ref="A2703"/>
    <hyperlink r:id="rId30" ref="A2704"/>
    <hyperlink r:id="rId30" ref="A2705"/>
    <hyperlink r:id="rId30" ref="A2706"/>
    <hyperlink r:id="rId30" ref="A2707"/>
    <hyperlink r:id="rId30" ref="A2708"/>
    <hyperlink r:id="rId30" ref="A2709"/>
    <hyperlink r:id="rId30" ref="A2710"/>
    <hyperlink r:id="rId30" ref="A2711"/>
    <hyperlink r:id="rId30" ref="A2712"/>
    <hyperlink r:id="rId30" ref="A2713"/>
    <hyperlink r:id="rId30" ref="A2714"/>
    <hyperlink r:id="rId30" ref="A2715"/>
    <hyperlink r:id="rId30" ref="A2716"/>
    <hyperlink r:id="rId30" ref="A2717"/>
    <hyperlink r:id="rId30" ref="A2718"/>
    <hyperlink r:id="rId30" ref="A2719"/>
    <hyperlink r:id="rId30" ref="A2720"/>
    <hyperlink r:id="rId30" ref="A2721"/>
    <hyperlink r:id="rId30" ref="A2722"/>
    <hyperlink r:id="rId30" ref="A2723"/>
    <hyperlink r:id="rId30" ref="A2724"/>
    <hyperlink r:id="rId30" ref="A2725"/>
    <hyperlink r:id="rId30" ref="A2726"/>
    <hyperlink r:id="rId30" ref="A2727"/>
    <hyperlink r:id="rId30" ref="A2728"/>
    <hyperlink r:id="rId30" ref="A2729"/>
    <hyperlink r:id="rId30" ref="A2730"/>
    <hyperlink r:id="rId30" ref="A2731"/>
    <hyperlink r:id="rId30" ref="A2732"/>
    <hyperlink r:id="rId30" ref="A2733"/>
    <hyperlink r:id="rId30" ref="A2734"/>
    <hyperlink r:id="rId30" ref="A2735"/>
    <hyperlink r:id="rId30" ref="A2736"/>
    <hyperlink r:id="rId30" ref="A2737"/>
    <hyperlink r:id="rId30" ref="A2738"/>
    <hyperlink r:id="rId30" ref="A2739"/>
    <hyperlink r:id="rId30" ref="A2740"/>
    <hyperlink r:id="rId30" ref="A2741"/>
    <hyperlink r:id="rId30" ref="A2742"/>
    <hyperlink r:id="rId30" ref="A2743"/>
    <hyperlink r:id="rId30" ref="A2744"/>
    <hyperlink r:id="rId30" ref="A2745"/>
    <hyperlink r:id="rId30" ref="A2746"/>
    <hyperlink r:id="rId30" ref="A2747"/>
    <hyperlink r:id="rId30" ref="A2748"/>
    <hyperlink r:id="rId30" ref="A2749"/>
    <hyperlink r:id="rId30" ref="A2750"/>
    <hyperlink r:id="rId30" ref="A2751"/>
    <hyperlink r:id="rId30" ref="A2752"/>
    <hyperlink r:id="rId30" ref="A2753"/>
    <hyperlink r:id="rId30" ref="A2754"/>
    <hyperlink r:id="rId30" ref="A2755"/>
    <hyperlink r:id="rId30" ref="A2756"/>
    <hyperlink r:id="rId30" ref="A2757"/>
    <hyperlink r:id="rId30" ref="A2758"/>
    <hyperlink r:id="rId30" ref="A2759"/>
    <hyperlink r:id="rId30" ref="A2760"/>
    <hyperlink r:id="rId30" ref="A2761"/>
    <hyperlink r:id="rId30" ref="A2762"/>
    <hyperlink r:id="rId30" ref="A2763"/>
    <hyperlink r:id="rId30" ref="A2764"/>
    <hyperlink r:id="rId30" ref="A2765"/>
    <hyperlink r:id="rId30" ref="A2766"/>
    <hyperlink r:id="rId30" ref="A2767"/>
    <hyperlink r:id="rId30" ref="A2768"/>
    <hyperlink r:id="rId30" ref="A2769"/>
    <hyperlink r:id="rId30" ref="A2770"/>
    <hyperlink r:id="rId30" ref="A2771"/>
    <hyperlink r:id="rId30" ref="A2772"/>
    <hyperlink r:id="rId30" ref="A2773"/>
    <hyperlink r:id="rId30" ref="A2774"/>
    <hyperlink r:id="rId30" ref="A2775"/>
    <hyperlink r:id="rId30" ref="A2776"/>
    <hyperlink r:id="rId30" ref="A2777"/>
    <hyperlink r:id="rId30" ref="A2778"/>
    <hyperlink r:id="rId30" ref="A2779"/>
    <hyperlink r:id="rId30" ref="A2780"/>
    <hyperlink r:id="rId30" ref="A2781"/>
    <hyperlink r:id="rId30" ref="A2782"/>
    <hyperlink r:id="rId30" ref="A2783"/>
    <hyperlink r:id="rId30" ref="A2784"/>
    <hyperlink r:id="rId30" ref="A2785"/>
    <hyperlink r:id="rId30" ref="A2786"/>
    <hyperlink r:id="rId30" ref="A2787"/>
    <hyperlink r:id="rId30" ref="A2788"/>
    <hyperlink r:id="rId30" ref="A2789"/>
    <hyperlink r:id="rId30" ref="A2790"/>
    <hyperlink r:id="rId30" ref="A2791"/>
    <hyperlink r:id="rId30" ref="A2792"/>
    <hyperlink r:id="rId30" ref="A2793"/>
    <hyperlink r:id="rId30" ref="A2794"/>
    <hyperlink r:id="rId30" ref="A2795"/>
    <hyperlink r:id="rId30" ref="A2796"/>
    <hyperlink r:id="rId30" ref="A2797"/>
    <hyperlink r:id="rId30" ref="A2798"/>
    <hyperlink r:id="rId30" ref="A2799"/>
    <hyperlink r:id="rId30" ref="A2800"/>
    <hyperlink r:id="rId30" ref="A2801"/>
    <hyperlink r:id="rId30" ref="A2802"/>
    <hyperlink r:id="rId30" ref="A2803"/>
    <hyperlink r:id="rId30" ref="A2804"/>
    <hyperlink r:id="rId30" ref="A2805"/>
    <hyperlink r:id="rId30" ref="A2806"/>
    <hyperlink r:id="rId30" ref="A2807"/>
    <hyperlink r:id="rId30" ref="A2808"/>
    <hyperlink r:id="rId30" ref="A2809"/>
    <hyperlink r:id="rId30" ref="A2810"/>
    <hyperlink r:id="rId30" ref="A2811"/>
    <hyperlink r:id="rId30" ref="A2812"/>
    <hyperlink r:id="rId30" ref="A2813"/>
    <hyperlink r:id="rId30" ref="A2814"/>
    <hyperlink r:id="rId30" ref="A2815"/>
    <hyperlink r:id="rId30" ref="A2816"/>
    <hyperlink r:id="rId30" ref="A2817"/>
    <hyperlink r:id="rId30" ref="A2818"/>
    <hyperlink r:id="rId30" ref="A2819"/>
    <hyperlink r:id="rId30" ref="A2820"/>
    <hyperlink r:id="rId30" ref="A2821"/>
    <hyperlink r:id="rId30" ref="A2822"/>
    <hyperlink r:id="rId30" ref="A2823"/>
    <hyperlink r:id="rId30" ref="A2824"/>
    <hyperlink r:id="rId30" ref="A2825"/>
    <hyperlink r:id="rId30" ref="A2826"/>
    <hyperlink r:id="rId30" ref="A2827"/>
    <hyperlink r:id="rId30" ref="A2828"/>
    <hyperlink r:id="rId30" ref="A2829"/>
    <hyperlink r:id="rId30" ref="A2830"/>
    <hyperlink r:id="rId30" ref="A2831"/>
    <hyperlink r:id="rId30" ref="A2832"/>
    <hyperlink r:id="rId30" ref="A2833"/>
    <hyperlink r:id="rId30" ref="A2834"/>
    <hyperlink r:id="rId30" ref="A2835"/>
    <hyperlink r:id="rId30" ref="A2836"/>
    <hyperlink r:id="rId30" ref="A2837"/>
    <hyperlink r:id="rId30" ref="A2838"/>
    <hyperlink r:id="rId30" ref="A2839"/>
    <hyperlink r:id="rId30" ref="A2840"/>
    <hyperlink r:id="rId30" ref="A2841"/>
    <hyperlink r:id="rId30" ref="A2842"/>
    <hyperlink r:id="rId30" ref="A2843"/>
    <hyperlink r:id="rId30" ref="A2844"/>
    <hyperlink r:id="rId30" ref="A2845"/>
    <hyperlink r:id="rId30" ref="A2846"/>
    <hyperlink r:id="rId30" ref="A2847"/>
    <hyperlink r:id="rId30" ref="A2848"/>
    <hyperlink r:id="rId30" ref="A2849"/>
    <hyperlink r:id="rId30" ref="A2850"/>
    <hyperlink r:id="rId30" ref="A2851"/>
    <hyperlink r:id="rId30" ref="A2852"/>
    <hyperlink r:id="rId30" ref="A2853"/>
    <hyperlink r:id="rId30" ref="A2854"/>
    <hyperlink r:id="rId30" ref="A2855"/>
    <hyperlink r:id="rId30" ref="A2856"/>
    <hyperlink r:id="rId30" ref="A2857"/>
    <hyperlink r:id="rId30" ref="A2858"/>
    <hyperlink r:id="rId30" ref="A2859"/>
    <hyperlink r:id="rId30" ref="A2860"/>
    <hyperlink r:id="rId30" ref="A2861"/>
    <hyperlink r:id="rId30" ref="A2862"/>
    <hyperlink r:id="rId30" ref="A2863"/>
    <hyperlink r:id="rId30" ref="A2864"/>
    <hyperlink r:id="rId30" ref="A2865"/>
    <hyperlink r:id="rId30" ref="A2866"/>
    <hyperlink r:id="rId30" ref="A2867"/>
    <hyperlink r:id="rId30" ref="A2868"/>
    <hyperlink r:id="rId30" ref="A2869"/>
    <hyperlink r:id="rId30" ref="A2870"/>
    <hyperlink r:id="rId30" ref="A2871"/>
    <hyperlink r:id="rId30" ref="A2872"/>
    <hyperlink r:id="rId30" ref="A2873"/>
    <hyperlink r:id="rId30" ref="A2874"/>
    <hyperlink r:id="rId30" ref="A2875"/>
    <hyperlink r:id="rId31" ref="A2876"/>
    <hyperlink r:id="rId31" ref="A2877"/>
    <hyperlink r:id="rId31" ref="A2878"/>
    <hyperlink r:id="rId31" ref="A2879"/>
    <hyperlink r:id="rId31" ref="A2880"/>
    <hyperlink r:id="rId31" ref="A2881"/>
    <hyperlink r:id="rId31" ref="A2882"/>
    <hyperlink r:id="rId31" ref="A2883"/>
    <hyperlink r:id="rId31" ref="A2884"/>
    <hyperlink r:id="rId31" ref="A2885"/>
    <hyperlink r:id="rId31" ref="A2886"/>
    <hyperlink r:id="rId31" ref="A2887"/>
    <hyperlink r:id="rId31" ref="A2888"/>
    <hyperlink r:id="rId31" ref="A2889"/>
    <hyperlink r:id="rId32" ref="A2890"/>
    <hyperlink r:id="rId32" ref="A2891"/>
    <hyperlink r:id="rId32" ref="A2892"/>
    <hyperlink r:id="rId32" ref="A2893"/>
    <hyperlink r:id="rId32" ref="A2894"/>
    <hyperlink r:id="rId32" ref="A2895"/>
    <hyperlink r:id="rId32" ref="A2896"/>
    <hyperlink r:id="rId32" ref="A2897"/>
    <hyperlink r:id="rId32" ref="A2898"/>
    <hyperlink r:id="rId32" ref="A2899"/>
    <hyperlink r:id="rId32" ref="A2900"/>
    <hyperlink r:id="rId32" ref="A2901"/>
    <hyperlink r:id="rId32" ref="A2902"/>
    <hyperlink r:id="rId32" ref="A2903"/>
    <hyperlink r:id="rId32" ref="A2904"/>
    <hyperlink r:id="rId33" ref="A2905"/>
    <hyperlink r:id="rId33" ref="A2906"/>
    <hyperlink r:id="rId33" ref="A2907"/>
    <hyperlink r:id="rId33" ref="A2908"/>
    <hyperlink r:id="rId34" ref="A2909"/>
    <hyperlink r:id="rId34" ref="A2910"/>
    <hyperlink r:id="rId34" ref="A2911"/>
    <hyperlink r:id="rId34" ref="A2912"/>
    <hyperlink r:id="rId34" ref="A2913"/>
    <hyperlink r:id="rId34" ref="A2914"/>
    <hyperlink r:id="rId34" ref="A2915"/>
    <hyperlink r:id="rId34" ref="A2916"/>
    <hyperlink r:id="rId34" ref="A2917"/>
    <hyperlink r:id="rId34" ref="A2918"/>
    <hyperlink r:id="rId34" ref="A2919"/>
    <hyperlink r:id="rId34" ref="A2920"/>
    <hyperlink r:id="rId34" ref="A2921"/>
    <hyperlink r:id="rId34" ref="A2922"/>
    <hyperlink r:id="rId34" ref="A2923"/>
    <hyperlink r:id="rId34" ref="A2924"/>
    <hyperlink r:id="rId34" ref="A2925"/>
    <hyperlink r:id="rId34" ref="A2926"/>
    <hyperlink r:id="rId35" ref="A2927"/>
    <hyperlink r:id="rId35" ref="A2928"/>
    <hyperlink r:id="rId35" ref="A2929"/>
    <hyperlink r:id="rId35" ref="A2930"/>
    <hyperlink r:id="rId35" ref="A2931"/>
    <hyperlink r:id="rId35" ref="A2932"/>
    <hyperlink r:id="rId35" ref="A2933"/>
    <hyperlink r:id="rId35" ref="A2934"/>
    <hyperlink r:id="rId35" ref="A2935"/>
    <hyperlink r:id="rId35" ref="A2936"/>
    <hyperlink r:id="rId35" ref="A2937"/>
    <hyperlink r:id="rId35" ref="A2938"/>
    <hyperlink r:id="rId35" ref="A2939"/>
    <hyperlink r:id="rId35" ref="A2940"/>
    <hyperlink r:id="rId35" ref="A2941"/>
    <hyperlink r:id="rId35" ref="A2942"/>
    <hyperlink r:id="rId36" ref="A2943"/>
    <hyperlink r:id="rId36" ref="A2944"/>
    <hyperlink r:id="rId36" ref="A2945"/>
    <hyperlink r:id="rId36" ref="A2946"/>
    <hyperlink r:id="rId36" ref="A2947"/>
    <hyperlink r:id="rId36" ref="A2948"/>
    <hyperlink r:id="rId36" ref="A2949"/>
    <hyperlink r:id="rId36" ref="A2950"/>
    <hyperlink r:id="rId36" ref="A2951"/>
    <hyperlink r:id="rId36" ref="A2952"/>
    <hyperlink r:id="rId36" ref="A2953"/>
    <hyperlink r:id="rId36" ref="A2954"/>
    <hyperlink r:id="rId36" ref="A2955"/>
    <hyperlink r:id="rId36" ref="A2956"/>
    <hyperlink r:id="rId36" ref="A2957"/>
    <hyperlink r:id="rId36" ref="A2958"/>
    <hyperlink r:id="rId36" ref="A2959"/>
    <hyperlink r:id="rId36" ref="A2960"/>
    <hyperlink r:id="rId36" ref="A2961"/>
    <hyperlink r:id="rId36" ref="A2962"/>
    <hyperlink r:id="rId36" ref="A2963"/>
    <hyperlink r:id="rId36" ref="A2964"/>
    <hyperlink r:id="rId36" ref="A2965"/>
    <hyperlink r:id="rId36" ref="A2966"/>
    <hyperlink r:id="rId36" ref="A2967"/>
    <hyperlink r:id="rId36" ref="A2968"/>
    <hyperlink r:id="rId36" ref="A2969"/>
    <hyperlink r:id="rId36" ref="A2970"/>
    <hyperlink r:id="rId36" ref="A2971"/>
    <hyperlink r:id="rId36" ref="A2972"/>
    <hyperlink r:id="rId36" ref="A2973"/>
    <hyperlink r:id="rId36" ref="A2974"/>
    <hyperlink r:id="rId36" ref="A2975"/>
    <hyperlink r:id="rId36" ref="A2976"/>
    <hyperlink r:id="rId36" ref="A2977"/>
    <hyperlink r:id="rId36" ref="A2978"/>
    <hyperlink r:id="rId36" ref="A2979"/>
    <hyperlink r:id="rId36" ref="A2980"/>
    <hyperlink r:id="rId36" ref="A2981"/>
    <hyperlink r:id="rId36" ref="A2982"/>
    <hyperlink r:id="rId36" ref="A2983"/>
    <hyperlink r:id="rId36" ref="A2984"/>
    <hyperlink r:id="rId36" ref="A2985"/>
    <hyperlink r:id="rId36" ref="A2986"/>
    <hyperlink r:id="rId36" ref="A2987"/>
    <hyperlink r:id="rId36" ref="A2988"/>
    <hyperlink r:id="rId36" ref="A2989"/>
    <hyperlink r:id="rId36" ref="A2990"/>
    <hyperlink r:id="rId36" ref="A2991"/>
    <hyperlink r:id="rId36" ref="A2992"/>
    <hyperlink r:id="rId36" ref="A2993"/>
    <hyperlink r:id="rId36" ref="A2994"/>
    <hyperlink r:id="rId37" ref="A2995"/>
    <hyperlink r:id="rId37" ref="A2996"/>
    <hyperlink r:id="rId37" ref="A2997"/>
    <hyperlink r:id="rId37" ref="A2998"/>
    <hyperlink r:id="rId37" ref="A2999"/>
    <hyperlink r:id="rId37" ref="A3000"/>
    <hyperlink r:id="rId37" ref="A3001"/>
    <hyperlink r:id="rId37" ref="A3002"/>
    <hyperlink r:id="rId37" ref="A3003"/>
    <hyperlink r:id="rId37" ref="A3004"/>
    <hyperlink r:id="rId37" ref="A3005"/>
    <hyperlink r:id="rId37" ref="A3006"/>
    <hyperlink r:id="rId37" ref="A3007"/>
    <hyperlink r:id="rId37" ref="A3008"/>
    <hyperlink r:id="rId37" ref="A3009"/>
    <hyperlink r:id="rId37" ref="A3010"/>
    <hyperlink r:id="rId37" ref="A3011"/>
    <hyperlink r:id="rId37" ref="A3012"/>
    <hyperlink r:id="rId37" ref="A3013"/>
    <hyperlink r:id="rId37" ref="A3014"/>
    <hyperlink r:id="rId37" ref="A3015"/>
    <hyperlink r:id="rId37" ref="A3016"/>
    <hyperlink r:id="rId37" ref="A3017"/>
    <hyperlink r:id="rId37" ref="A3018"/>
    <hyperlink r:id="rId37" ref="A3019"/>
    <hyperlink r:id="rId37" ref="A3020"/>
    <hyperlink r:id="rId37" ref="A3021"/>
    <hyperlink r:id="rId37" ref="A3022"/>
    <hyperlink r:id="rId37" ref="A3023"/>
    <hyperlink r:id="rId37" ref="A3024"/>
    <hyperlink r:id="rId37" ref="A3025"/>
    <hyperlink r:id="rId37" ref="A3026"/>
    <hyperlink r:id="rId37" ref="A3027"/>
    <hyperlink r:id="rId37" ref="A3028"/>
    <hyperlink r:id="rId37" ref="A3029"/>
    <hyperlink r:id="rId37" ref="A3030"/>
    <hyperlink r:id="rId37" ref="A3031"/>
    <hyperlink r:id="rId37" ref="A3032"/>
    <hyperlink r:id="rId37" ref="A3033"/>
    <hyperlink r:id="rId37" ref="A3034"/>
    <hyperlink r:id="rId37" ref="A3035"/>
    <hyperlink r:id="rId37" ref="A3036"/>
    <hyperlink r:id="rId37" ref="A3037"/>
    <hyperlink r:id="rId37" ref="A3038"/>
    <hyperlink r:id="rId37" ref="A3039"/>
    <hyperlink r:id="rId37" ref="A3040"/>
    <hyperlink r:id="rId37" ref="A3041"/>
    <hyperlink r:id="rId37" ref="A3042"/>
    <hyperlink r:id="rId37" ref="A3043"/>
    <hyperlink r:id="rId38" ref="A3044"/>
    <hyperlink r:id="rId38" ref="A3045"/>
    <hyperlink r:id="rId38" ref="A3046"/>
    <hyperlink r:id="rId38" ref="A3047"/>
    <hyperlink r:id="rId38" ref="A3048"/>
    <hyperlink r:id="rId38" ref="A3049"/>
    <hyperlink r:id="rId38" ref="A3050"/>
    <hyperlink r:id="rId38" ref="A3051"/>
    <hyperlink r:id="rId38" ref="A3052"/>
    <hyperlink r:id="rId38" ref="A3053"/>
    <hyperlink r:id="rId38" ref="A3054"/>
    <hyperlink r:id="rId38" ref="A3055"/>
    <hyperlink r:id="rId38" ref="A3056"/>
    <hyperlink r:id="rId38" ref="A3057"/>
    <hyperlink r:id="rId38" ref="A3058"/>
    <hyperlink r:id="rId38" ref="A3059"/>
    <hyperlink r:id="rId38" ref="A3060"/>
    <hyperlink r:id="rId38" ref="A3061"/>
    <hyperlink r:id="rId38" ref="A3062"/>
    <hyperlink r:id="rId38" ref="A3063"/>
    <hyperlink r:id="rId38" ref="A3064"/>
    <hyperlink r:id="rId38" ref="A3065"/>
    <hyperlink r:id="rId38" ref="A3066"/>
    <hyperlink r:id="rId38" ref="A3067"/>
    <hyperlink r:id="rId38" ref="A3068"/>
    <hyperlink r:id="rId38" ref="A3069"/>
    <hyperlink r:id="rId38" ref="A3070"/>
    <hyperlink r:id="rId38" ref="A3071"/>
    <hyperlink r:id="rId38" ref="A3072"/>
    <hyperlink r:id="rId38" ref="A3073"/>
    <hyperlink r:id="rId38" ref="A3074"/>
    <hyperlink r:id="rId38" ref="A3075"/>
    <hyperlink r:id="rId38" ref="A3076"/>
    <hyperlink r:id="rId38" ref="A3077"/>
    <hyperlink r:id="rId38" ref="A3078"/>
    <hyperlink r:id="rId38" ref="A3079"/>
    <hyperlink r:id="rId39" ref="A3080"/>
    <hyperlink r:id="rId39" ref="A3081"/>
    <hyperlink r:id="rId39" ref="A3082"/>
    <hyperlink r:id="rId39" ref="A3083"/>
    <hyperlink r:id="rId39" ref="A3084"/>
    <hyperlink r:id="rId39" ref="A3085"/>
    <hyperlink r:id="rId39" ref="A3086"/>
    <hyperlink r:id="rId39" ref="A3087"/>
    <hyperlink r:id="rId39" ref="A3088"/>
    <hyperlink r:id="rId39" ref="A3089"/>
    <hyperlink r:id="rId39" ref="A3090"/>
    <hyperlink r:id="rId39" ref="A3091"/>
    <hyperlink r:id="rId39" ref="A3092"/>
    <hyperlink r:id="rId39" ref="A3093"/>
    <hyperlink r:id="rId39" ref="A3094"/>
    <hyperlink r:id="rId39" ref="A3095"/>
    <hyperlink r:id="rId39" ref="A3096"/>
    <hyperlink r:id="rId39" ref="A3097"/>
    <hyperlink r:id="rId39" ref="A3098"/>
    <hyperlink r:id="rId39" ref="A3099"/>
    <hyperlink r:id="rId39" ref="A3100"/>
    <hyperlink r:id="rId39" ref="A3101"/>
    <hyperlink r:id="rId39" ref="A3102"/>
    <hyperlink r:id="rId39" ref="A3103"/>
    <hyperlink r:id="rId39" ref="A3104"/>
    <hyperlink r:id="rId39" ref="A3105"/>
    <hyperlink r:id="rId39" ref="A3106"/>
    <hyperlink r:id="rId39" ref="A3107"/>
    <hyperlink r:id="rId39" ref="A3108"/>
    <hyperlink r:id="rId39" ref="A3109"/>
    <hyperlink r:id="rId39" ref="A3110"/>
    <hyperlink r:id="rId39" ref="A3111"/>
    <hyperlink r:id="rId39" ref="A3112"/>
    <hyperlink r:id="rId39" ref="A3113"/>
    <hyperlink r:id="rId39" ref="A3114"/>
    <hyperlink r:id="rId39" ref="A3115"/>
    <hyperlink r:id="rId39" ref="A3116"/>
    <hyperlink r:id="rId39" ref="A3117"/>
    <hyperlink r:id="rId39" ref="A3118"/>
    <hyperlink r:id="rId39" ref="A3119"/>
    <hyperlink r:id="rId39" ref="A3120"/>
    <hyperlink r:id="rId39" ref="A3121"/>
    <hyperlink r:id="rId39" ref="A3122"/>
    <hyperlink r:id="rId39" ref="A3123"/>
    <hyperlink r:id="rId39" ref="A3124"/>
    <hyperlink r:id="rId39" ref="A3125"/>
    <hyperlink r:id="rId39" ref="A3126"/>
    <hyperlink r:id="rId39" ref="A3127"/>
    <hyperlink r:id="rId39" ref="A3128"/>
    <hyperlink r:id="rId39" ref="A3129"/>
    <hyperlink r:id="rId39" ref="A3130"/>
    <hyperlink r:id="rId39" ref="A3131"/>
    <hyperlink r:id="rId39" ref="A3132"/>
    <hyperlink r:id="rId39" ref="A3133"/>
    <hyperlink r:id="rId39" ref="A3134"/>
    <hyperlink r:id="rId39" ref="A3135"/>
    <hyperlink r:id="rId39" ref="A3136"/>
    <hyperlink r:id="rId39" ref="A3137"/>
    <hyperlink r:id="rId39" ref="A3138"/>
    <hyperlink r:id="rId39" ref="A3139"/>
    <hyperlink r:id="rId39" ref="A3140"/>
    <hyperlink r:id="rId39" ref="A3141"/>
    <hyperlink r:id="rId39" ref="A3142"/>
    <hyperlink r:id="rId39" ref="A3143"/>
    <hyperlink r:id="rId39" ref="A3144"/>
    <hyperlink r:id="rId39" ref="A3145"/>
    <hyperlink r:id="rId39" ref="A3146"/>
    <hyperlink r:id="rId39" ref="A3147"/>
    <hyperlink r:id="rId39" ref="A3148"/>
    <hyperlink r:id="rId39" ref="A3149"/>
    <hyperlink r:id="rId39" ref="A3150"/>
    <hyperlink r:id="rId39" ref="A3151"/>
    <hyperlink r:id="rId39" ref="A3152"/>
    <hyperlink r:id="rId39" ref="A3153"/>
    <hyperlink r:id="rId39" ref="A3154"/>
    <hyperlink r:id="rId39" ref="A3155"/>
    <hyperlink r:id="rId39" ref="A3156"/>
    <hyperlink r:id="rId39" ref="A3157"/>
    <hyperlink r:id="rId40" ref="A3158"/>
    <hyperlink r:id="rId40" ref="A3159"/>
    <hyperlink r:id="rId40" ref="A3160"/>
    <hyperlink r:id="rId40" ref="A3161"/>
    <hyperlink r:id="rId40" ref="A3162"/>
    <hyperlink r:id="rId40" ref="A3163"/>
    <hyperlink r:id="rId40" ref="A3164"/>
    <hyperlink r:id="rId40" ref="A3165"/>
    <hyperlink r:id="rId40" ref="A3166"/>
    <hyperlink r:id="rId40" ref="A3167"/>
    <hyperlink r:id="rId40" ref="A3168"/>
    <hyperlink r:id="rId40" ref="A3169"/>
    <hyperlink r:id="rId40" ref="A3170"/>
    <hyperlink r:id="rId40" ref="A3171"/>
    <hyperlink r:id="rId40" ref="A3172"/>
    <hyperlink r:id="rId40" ref="A3173"/>
    <hyperlink r:id="rId40" ref="A3174"/>
    <hyperlink r:id="rId40" ref="A3175"/>
    <hyperlink r:id="rId40" ref="A3176"/>
    <hyperlink r:id="rId40" ref="A3177"/>
    <hyperlink r:id="rId40" ref="A3178"/>
    <hyperlink r:id="rId40" ref="A3179"/>
    <hyperlink r:id="rId40" ref="A3180"/>
    <hyperlink r:id="rId40" ref="A3181"/>
    <hyperlink r:id="rId40" ref="A3182"/>
    <hyperlink r:id="rId40" ref="A3183"/>
    <hyperlink r:id="rId40" ref="A3184"/>
    <hyperlink r:id="rId40" ref="A3185"/>
    <hyperlink r:id="rId40" ref="A3186"/>
    <hyperlink r:id="rId40" ref="A3187"/>
    <hyperlink r:id="rId40" ref="A3188"/>
    <hyperlink r:id="rId40" ref="A3189"/>
    <hyperlink r:id="rId40" ref="A3190"/>
    <hyperlink r:id="rId40" ref="A3191"/>
    <hyperlink r:id="rId40" ref="A3192"/>
    <hyperlink r:id="rId40" ref="A3193"/>
    <hyperlink r:id="rId40" ref="A3194"/>
    <hyperlink r:id="rId40" ref="A3195"/>
    <hyperlink r:id="rId40" ref="A3196"/>
    <hyperlink r:id="rId40" ref="A3197"/>
    <hyperlink r:id="rId40" ref="A3198"/>
    <hyperlink r:id="rId40" ref="A3199"/>
    <hyperlink r:id="rId40" ref="A3200"/>
    <hyperlink r:id="rId40" ref="A3201"/>
    <hyperlink r:id="rId40" ref="A3202"/>
    <hyperlink r:id="rId40" ref="A3203"/>
    <hyperlink r:id="rId40" ref="A3204"/>
    <hyperlink r:id="rId40" ref="A3205"/>
    <hyperlink r:id="rId40" ref="A3206"/>
    <hyperlink r:id="rId40" ref="A3207"/>
    <hyperlink r:id="rId40" ref="A3208"/>
    <hyperlink r:id="rId40" ref="A3209"/>
    <hyperlink r:id="rId40" ref="A3210"/>
    <hyperlink r:id="rId40" ref="A3211"/>
    <hyperlink r:id="rId40" ref="A3212"/>
    <hyperlink r:id="rId40" ref="A3213"/>
    <hyperlink r:id="rId40" ref="A3214"/>
    <hyperlink r:id="rId40" ref="A3215"/>
    <hyperlink r:id="rId40" ref="A3216"/>
    <hyperlink r:id="rId40" ref="A3217"/>
    <hyperlink r:id="rId40" ref="A3218"/>
    <hyperlink r:id="rId40" ref="A3219"/>
    <hyperlink r:id="rId40" ref="A3220"/>
    <hyperlink r:id="rId40" ref="A3221"/>
    <hyperlink r:id="rId40" ref="A3222"/>
    <hyperlink r:id="rId40" ref="A3223"/>
    <hyperlink r:id="rId40" ref="A3224"/>
    <hyperlink r:id="rId40" ref="A3225"/>
    <hyperlink r:id="rId40" ref="A3226"/>
    <hyperlink r:id="rId40" ref="A3227"/>
    <hyperlink r:id="rId40" ref="A3228"/>
    <hyperlink r:id="rId40" ref="A3229"/>
    <hyperlink r:id="rId40" ref="A3230"/>
    <hyperlink r:id="rId40" ref="A3231"/>
    <hyperlink r:id="rId40" ref="A3232"/>
    <hyperlink r:id="rId40" ref="A3233"/>
    <hyperlink r:id="rId40" ref="A3234"/>
    <hyperlink r:id="rId40" ref="A3235"/>
    <hyperlink r:id="rId40" ref="A3236"/>
    <hyperlink r:id="rId40" ref="A3237"/>
    <hyperlink r:id="rId40" ref="A3238"/>
    <hyperlink r:id="rId40" ref="A3239"/>
    <hyperlink r:id="rId40" ref="A3240"/>
    <hyperlink r:id="rId40" ref="A3241"/>
    <hyperlink r:id="rId40" ref="A3242"/>
    <hyperlink r:id="rId40" ref="A3243"/>
    <hyperlink r:id="rId40" ref="A3244"/>
    <hyperlink r:id="rId40" ref="A3245"/>
    <hyperlink r:id="rId40" ref="A3246"/>
    <hyperlink r:id="rId40" ref="A3247"/>
    <hyperlink r:id="rId40" ref="A3248"/>
    <hyperlink r:id="rId40" ref="A3249"/>
    <hyperlink r:id="rId40" ref="A3250"/>
    <hyperlink r:id="rId40" ref="A3251"/>
    <hyperlink r:id="rId40" ref="A3252"/>
    <hyperlink r:id="rId40" ref="A3253"/>
    <hyperlink r:id="rId40" ref="A3254"/>
    <hyperlink r:id="rId40" ref="A3255"/>
    <hyperlink r:id="rId41" ref="A3256"/>
    <hyperlink r:id="rId41" ref="A3257"/>
    <hyperlink r:id="rId41" ref="A3258"/>
    <hyperlink r:id="rId41" ref="A3259"/>
    <hyperlink r:id="rId41" ref="A3260"/>
    <hyperlink r:id="rId41" ref="A3261"/>
    <hyperlink r:id="rId41" ref="A3262"/>
    <hyperlink r:id="rId41" ref="A3263"/>
    <hyperlink r:id="rId41" ref="A3264"/>
    <hyperlink r:id="rId41" ref="A3265"/>
    <hyperlink r:id="rId41" ref="A3266"/>
    <hyperlink r:id="rId41" ref="A3267"/>
    <hyperlink r:id="rId41" ref="A3268"/>
    <hyperlink r:id="rId41" ref="A3269"/>
    <hyperlink r:id="rId41" ref="A3270"/>
    <hyperlink r:id="rId41" ref="A3271"/>
    <hyperlink r:id="rId41" ref="A3272"/>
    <hyperlink r:id="rId41" ref="A3273"/>
    <hyperlink r:id="rId41" ref="A3274"/>
    <hyperlink r:id="rId41" ref="A3275"/>
    <hyperlink r:id="rId41" ref="A3276"/>
    <hyperlink r:id="rId41" ref="A3277"/>
    <hyperlink r:id="rId41" ref="A3278"/>
    <hyperlink r:id="rId41" ref="A3279"/>
    <hyperlink r:id="rId41" ref="A3280"/>
    <hyperlink r:id="rId41" ref="A3281"/>
    <hyperlink r:id="rId41" ref="A3282"/>
    <hyperlink r:id="rId41" ref="A3283"/>
    <hyperlink r:id="rId41" ref="A3284"/>
    <hyperlink r:id="rId41" ref="A3285"/>
    <hyperlink r:id="rId41" ref="A3286"/>
    <hyperlink r:id="rId41" ref="A3287"/>
    <hyperlink r:id="rId41" ref="A3288"/>
    <hyperlink r:id="rId41" ref="A3289"/>
    <hyperlink r:id="rId41" ref="A3290"/>
    <hyperlink r:id="rId41" ref="A3291"/>
    <hyperlink r:id="rId41" ref="A3292"/>
    <hyperlink r:id="rId41" ref="A3293"/>
    <hyperlink r:id="rId41" ref="A3294"/>
    <hyperlink r:id="rId41" ref="A3295"/>
    <hyperlink r:id="rId42" ref="A3296"/>
    <hyperlink r:id="rId42" ref="A3297"/>
    <hyperlink r:id="rId42" ref="A3298"/>
    <hyperlink r:id="rId42" ref="A3299"/>
    <hyperlink r:id="rId42" ref="A3300"/>
    <hyperlink r:id="rId42" ref="A3301"/>
    <hyperlink r:id="rId42" ref="A3302"/>
    <hyperlink r:id="rId42" ref="A3303"/>
    <hyperlink r:id="rId42" ref="A3304"/>
    <hyperlink r:id="rId42" ref="A3305"/>
    <hyperlink r:id="rId42" ref="A3306"/>
    <hyperlink r:id="rId42" ref="A3307"/>
    <hyperlink r:id="rId42" ref="A3308"/>
    <hyperlink r:id="rId42" ref="A3309"/>
    <hyperlink r:id="rId42" ref="A3310"/>
    <hyperlink r:id="rId42" ref="A3311"/>
    <hyperlink r:id="rId42" ref="A3312"/>
    <hyperlink r:id="rId42" ref="A3313"/>
    <hyperlink r:id="rId42" ref="A3314"/>
    <hyperlink r:id="rId42" ref="A3315"/>
    <hyperlink r:id="rId42" ref="A3316"/>
    <hyperlink r:id="rId42" ref="A3317"/>
    <hyperlink r:id="rId42" ref="A3318"/>
    <hyperlink r:id="rId42" ref="A3319"/>
    <hyperlink r:id="rId42" ref="A3320"/>
    <hyperlink r:id="rId42" ref="A3321"/>
    <hyperlink r:id="rId42" ref="A3322"/>
    <hyperlink r:id="rId42" ref="A3323"/>
    <hyperlink r:id="rId42" ref="A3324"/>
    <hyperlink r:id="rId42" ref="A3325"/>
    <hyperlink r:id="rId42" ref="A3326"/>
    <hyperlink r:id="rId42" ref="A3327"/>
    <hyperlink r:id="rId42" ref="A3328"/>
    <hyperlink r:id="rId42" ref="A3329"/>
    <hyperlink r:id="rId42" ref="A3330"/>
    <hyperlink r:id="rId42" ref="A3331"/>
    <hyperlink r:id="rId42" ref="A3332"/>
    <hyperlink r:id="rId42" ref="A3333"/>
    <hyperlink r:id="rId42" ref="A3334"/>
    <hyperlink r:id="rId42" ref="A3335"/>
    <hyperlink r:id="rId42" ref="A3336"/>
    <hyperlink r:id="rId42" ref="A3337"/>
    <hyperlink r:id="rId42" ref="A3338"/>
    <hyperlink r:id="rId42" ref="A3339"/>
    <hyperlink r:id="rId42" ref="A3340"/>
    <hyperlink r:id="rId42" ref="A3341"/>
    <hyperlink r:id="rId42" ref="A3342"/>
    <hyperlink r:id="rId42" ref="A3343"/>
    <hyperlink r:id="rId42" ref="A3344"/>
    <hyperlink r:id="rId42" ref="A3345"/>
    <hyperlink r:id="rId42" ref="A3346"/>
    <hyperlink r:id="rId42" ref="A3347"/>
    <hyperlink r:id="rId42" ref="A3348"/>
    <hyperlink r:id="rId42" ref="A3349"/>
    <hyperlink r:id="rId42" ref="A3350"/>
    <hyperlink r:id="rId42" ref="A3351"/>
    <hyperlink r:id="rId42" ref="A3352"/>
    <hyperlink r:id="rId42" ref="A3353"/>
    <hyperlink r:id="rId42" ref="A3354"/>
    <hyperlink r:id="rId42" ref="A3355"/>
    <hyperlink r:id="rId42" ref="A3356"/>
    <hyperlink r:id="rId42" ref="A3357"/>
    <hyperlink r:id="rId42" ref="A3358"/>
    <hyperlink r:id="rId42" ref="A3359"/>
    <hyperlink r:id="rId42" ref="A3360"/>
    <hyperlink r:id="rId42" ref="A3361"/>
    <hyperlink r:id="rId42" ref="A3362"/>
    <hyperlink r:id="rId42" ref="A3363"/>
    <hyperlink r:id="rId42" ref="A3364"/>
    <hyperlink r:id="rId42" ref="A3365"/>
    <hyperlink r:id="rId42" ref="A3366"/>
    <hyperlink r:id="rId42" ref="A3367"/>
    <hyperlink r:id="rId43" ref="A3368"/>
    <hyperlink r:id="rId43" ref="A3369"/>
    <hyperlink r:id="rId43" ref="A3370"/>
    <hyperlink r:id="rId43" ref="A3371"/>
    <hyperlink r:id="rId43" ref="A3372"/>
    <hyperlink r:id="rId43" ref="A3373"/>
    <hyperlink r:id="rId43" ref="A3374"/>
    <hyperlink r:id="rId43" ref="A3375"/>
    <hyperlink r:id="rId43" ref="A3376"/>
    <hyperlink r:id="rId43" ref="A3377"/>
    <hyperlink r:id="rId43" ref="A3378"/>
    <hyperlink r:id="rId43" ref="A3379"/>
    <hyperlink r:id="rId43" ref="A3380"/>
    <hyperlink r:id="rId43" ref="A3381"/>
    <hyperlink r:id="rId43" ref="A3382"/>
    <hyperlink r:id="rId43" ref="A3383"/>
    <hyperlink r:id="rId43" ref="A3384"/>
    <hyperlink r:id="rId43" ref="A3385"/>
    <hyperlink r:id="rId43" ref="A3386"/>
    <hyperlink r:id="rId43" ref="A3387"/>
    <hyperlink r:id="rId43" ref="A3388"/>
    <hyperlink r:id="rId43" ref="A3389"/>
    <hyperlink r:id="rId43" ref="A3390"/>
    <hyperlink r:id="rId43" ref="A3391"/>
    <hyperlink r:id="rId43" ref="A3392"/>
    <hyperlink r:id="rId43" ref="A3393"/>
    <hyperlink r:id="rId43" ref="A3394"/>
    <hyperlink r:id="rId43" ref="A3395"/>
    <hyperlink r:id="rId43" ref="A3396"/>
    <hyperlink r:id="rId43" ref="A3397"/>
    <hyperlink r:id="rId43" ref="A3398"/>
    <hyperlink r:id="rId43" ref="A3399"/>
    <hyperlink r:id="rId43" ref="A3400"/>
    <hyperlink r:id="rId43" ref="A3401"/>
    <hyperlink r:id="rId43" ref="A3402"/>
    <hyperlink r:id="rId43" ref="A3403"/>
    <hyperlink r:id="rId43" ref="A3404"/>
    <hyperlink r:id="rId43" ref="A3405"/>
    <hyperlink r:id="rId43" ref="A3406"/>
    <hyperlink r:id="rId43" ref="A3407"/>
    <hyperlink r:id="rId43" ref="A3408"/>
    <hyperlink r:id="rId43" ref="A3409"/>
    <hyperlink r:id="rId43" ref="A3410"/>
    <hyperlink r:id="rId43" ref="A3411"/>
    <hyperlink r:id="rId43" ref="A3412"/>
    <hyperlink r:id="rId43" ref="A3413"/>
    <hyperlink r:id="rId43" ref="A3414"/>
    <hyperlink r:id="rId43" ref="A3415"/>
    <hyperlink r:id="rId43" ref="A3416"/>
    <hyperlink r:id="rId43" ref="A3417"/>
    <hyperlink r:id="rId43" ref="A3418"/>
    <hyperlink r:id="rId43" ref="A3419"/>
    <hyperlink r:id="rId43" ref="A3420"/>
    <hyperlink r:id="rId43" ref="A3421"/>
    <hyperlink r:id="rId43" ref="A3422"/>
    <hyperlink r:id="rId43" ref="A3423"/>
    <hyperlink r:id="rId43" ref="A3424"/>
    <hyperlink r:id="rId43" ref="A3425"/>
    <hyperlink r:id="rId43" ref="A3426"/>
    <hyperlink r:id="rId43" ref="A3427"/>
    <hyperlink r:id="rId43" ref="A3428"/>
    <hyperlink r:id="rId43" ref="A3429"/>
    <hyperlink r:id="rId43" ref="A3430"/>
    <hyperlink r:id="rId43" ref="A3431"/>
    <hyperlink r:id="rId43" ref="A3432"/>
    <hyperlink r:id="rId43" ref="A3433"/>
    <hyperlink r:id="rId43" ref="A3434"/>
    <hyperlink r:id="rId43" ref="A3435"/>
    <hyperlink r:id="rId43" ref="A3436"/>
    <hyperlink r:id="rId43" ref="A3437"/>
    <hyperlink r:id="rId43" ref="A3438"/>
    <hyperlink r:id="rId43" ref="A3439"/>
    <hyperlink r:id="rId43" ref="A3440"/>
    <hyperlink r:id="rId44" ref="A3441"/>
    <hyperlink r:id="rId44" ref="A3442"/>
    <hyperlink r:id="rId44" ref="A3443"/>
    <hyperlink r:id="rId44" ref="A3444"/>
    <hyperlink r:id="rId44" ref="A3445"/>
    <hyperlink r:id="rId44" ref="A3446"/>
    <hyperlink r:id="rId44" ref="A3447"/>
    <hyperlink r:id="rId44" ref="A3448"/>
    <hyperlink r:id="rId44" ref="A3449"/>
    <hyperlink r:id="rId44" ref="A3450"/>
    <hyperlink r:id="rId44" ref="A3451"/>
    <hyperlink r:id="rId44" ref="A3452"/>
    <hyperlink r:id="rId44" ref="A3453"/>
    <hyperlink r:id="rId44" ref="A3454"/>
    <hyperlink r:id="rId44" ref="A3455"/>
    <hyperlink r:id="rId44" ref="A3456"/>
    <hyperlink r:id="rId45" ref="A3457"/>
    <hyperlink r:id="rId45" ref="A3458"/>
    <hyperlink r:id="rId45" ref="A3459"/>
    <hyperlink r:id="rId45" ref="A3460"/>
    <hyperlink r:id="rId45" ref="A3461"/>
    <hyperlink r:id="rId45" ref="A3462"/>
    <hyperlink r:id="rId45" ref="A3463"/>
    <hyperlink r:id="rId45" ref="A3464"/>
    <hyperlink r:id="rId45" ref="A3465"/>
    <hyperlink r:id="rId45" ref="A3466"/>
    <hyperlink r:id="rId45" ref="A3467"/>
    <hyperlink r:id="rId45" ref="A3468"/>
    <hyperlink r:id="rId45" ref="A3469"/>
    <hyperlink r:id="rId45" ref="A3470"/>
    <hyperlink r:id="rId45" ref="A3471"/>
    <hyperlink r:id="rId45" ref="A3472"/>
    <hyperlink r:id="rId45" ref="A3473"/>
    <hyperlink r:id="rId45" ref="A3474"/>
    <hyperlink r:id="rId45" ref="A3475"/>
    <hyperlink r:id="rId45" ref="A3476"/>
    <hyperlink r:id="rId45" ref="A3477"/>
    <hyperlink r:id="rId45" ref="A3478"/>
    <hyperlink r:id="rId45" ref="A3479"/>
    <hyperlink r:id="rId45" ref="A3480"/>
    <hyperlink r:id="rId45" ref="A3481"/>
    <hyperlink r:id="rId45" ref="A3482"/>
    <hyperlink r:id="rId45" ref="A3483"/>
    <hyperlink r:id="rId45" ref="A3484"/>
    <hyperlink r:id="rId45" ref="A3485"/>
    <hyperlink r:id="rId45" ref="A3486"/>
    <hyperlink r:id="rId45" ref="A3487"/>
    <hyperlink r:id="rId45" ref="A3488"/>
    <hyperlink r:id="rId45" ref="A3489"/>
    <hyperlink r:id="rId45" ref="A3490"/>
    <hyperlink r:id="rId45" ref="A3491"/>
    <hyperlink r:id="rId45" ref="A3492"/>
    <hyperlink r:id="rId45" ref="A3493"/>
    <hyperlink r:id="rId45" ref="A3494"/>
    <hyperlink r:id="rId45" ref="A3495"/>
    <hyperlink r:id="rId45" ref="A3496"/>
    <hyperlink r:id="rId45" ref="A3497"/>
    <hyperlink r:id="rId45" ref="A3498"/>
    <hyperlink r:id="rId45" ref="A3499"/>
    <hyperlink r:id="rId45" ref="A3500"/>
    <hyperlink r:id="rId45" ref="A3501"/>
    <hyperlink r:id="rId45" ref="A3502"/>
    <hyperlink r:id="rId45" ref="A3503"/>
    <hyperlink r:id="rId45" ref="A3504"/>
    <hyperlink r:id="rId45" ref="A3505"/>
    <hyperlink r:id="rId45" ref="A3506"/>
    <hyperlink r:id="rId45" ref="A3507"/>
    <hyperlink r:id="rId46" ref="A3508"/>
    <hyperlink r:id="rId46" ref="A3509"/>
    <hyperlink r:id="rId46" ref="A3510"/>
    <hyperlink r:id="rId46" ref="A3511"/>
    <hyperlink r:id="rId46" ref="A3512"/>
    <hyperlink r:id="rId46" ref="A3513"/>
    <hyperlink r:id="rId46" ref="A3514"/>
    <hyperlink r:id="rId46" ref="A3515"/>
    <hyperlink r:id="rId46" ref="A3516"/>
    <hyperlink r:id="rId46" ref="A3517"/>
    <hyperlink r:id="rId46" ref="A3518"/>
    <hyperlink r:id="rId46" ref="A3519"/>
    <hyperlink r:id="rId46" ref="A3520"/>
    <hyperlink r:id="rId46" ref="A3521"/>
    <hyperlink r:id="rId46" ref="A3522"/>
    <hyperlink r:id="rId47" ref="A3523"/>
    <hyperlink r:id="rId47" ref="A3524"/>
    <hyperlink r:id="rId47" ref="A3525"/>
    <hyperlink r:id="rId47" ref="A3526"/>
    <hyperlink r:id="rId47" ref="A3527"/>
    <hyperlink r:id="rId47" ref="A3528"/>
    <hyperlink r:id="rId47" ref="A3529"/>
    <hyperlink r:id="rId47" ref="A3530"/>
    <hyperlink r:id="rId47" ref="A3531"/>
    <hyperlink r:id="rId47" ref="A3532"/>
    <hyperlink r:id="rId47" ref="A3533"/>
    <hyperlink r:id="rId47" ref="A3534"/>
    <hyperlink r:id="rId47" ref="A3535"/>
    <hyperlink r:id="rId47" ref="A3536"/>
    <hyperlink r:id="rId47" ref="A3537"/>
    <hyperlink r:id="rId47" ref="A3538"/>
    <hyperlink r:id="rId47" ref="A3539"/>
    <hyperlink r:id="rId47" ref="A3540"/>
    <hyperlink r:id="rId47" ref="A3541"/>
    <hyperlink r:id="rId47" ref="A3542"/>
    <hyperlink r:id="rId47" ref="A3543"/>
    <hyperlink r:id="rId47" ref="A3544"/>
    <hyperlink r:id="rId47" ref="A3545"/>
    <hyperlink r:id="rId47" ref="A3546"/>
    <hyperlink r:id="rId47" ref="A3547"/>
    <hyperlink r:id="rId47" ref="A3548"/>
    <hyperlink r:id="rId47" ref="A3549"/>
    <hyperlink r:id="rId47" ref="A3550"/>
    <hyperlink r:id="rId47" ref="A3551"/>
    <hyperlink r:id="rId47" ref="A3552"/>
    <hyperlink r:id="rId47" ref="A3553"/>
    <hyperlink r:id="rId48" ref="A3554"/>
    <hyperlink r:id="rId48" ref="A3555"/>
    <hyperlink r:id="rId48" ref="A3556"/>
    <hyperlink r:id="rId48" ref="A3557"/>
    <hyperlink r:id="rId48" ref="A3558"/>
    <hyperlink r:id="rId48" ref="A3559"/>
    <hyperlink r:id="rId48" ref="A3560"/>
    <hyperlink r:id="rId48" ref="A3561"/>
    <hyperlink r:id="rId48" ref="A3562"/>
    <hyperlink r:id="rId48" ref="A3563"/>
    <hyperlink r:id="rId48" ref="A3564"/>
    <hyperlink r:id="rId48" ref="A3565"/>
    <hyperlink r:id="rId48" ref="A3566"/>
    <hyperlink r:id="rId48" ref="A3567"/>
    <hyperlink r:id="rId48" ref="A3568"/>
    <hyperlink r:id="rId48" ref="A3569"/>
    <hyperlink r:id="rId48" ref="A3570"/>
    <hyperlink r:id="rId48" ref="A3571"/>
    <hyperlink r:id="rId48" ref="A3572"/>
    <hyperlink r:id="rId48" ref="A3573"/>
    <hyperlink r:id="rId48" ref="A3574"/>
    <hyperlink r:id="rId48" ref="A3575"/>
    <hyperlink r:id="rId48" ref="A3576"/>
    <hyperlink r:id="rId48" ref="A3577"/>
    <hyperlink r:id="rId48" ref="A3578"/>
    <hyperlink r:id="rId48" ref="A3579"/>
    <hyperlink r:id="rId48" ref="A3580"/>
    <hyperlink r:id="rId48" ref="A3581"/>
    <hyperlink r:id="rId48" ref="A3582"/>
    <hyperlink r:id="rId48" ref="A3583"/>
    <hyperlink r:id="rId48" ref="A3584"/>
    <hyperlink r:id="rId48" ref="A3585"/>
    <hyperlink r:id="rId48" ref="A3586"/>
    <hyperlink r:id="rId48" ref="A3587"/>
    <hyperlink r:id="rId48" ref="A3588"/>
    <hyperlink r:id="rId48" ref="A3589"/>
    <hyperlink r:id="rId48" ref="A3590"/>
    <hyperlink r:id="rId48" ref="A3591"/>
    <hyperlink r:id="rId48" ref="A3592"/>
    <hyperlink r:id="rId48" ref="A3593"/>
    <hyperlink r:id="rId48" ref="A3594"/>
    <hyperlink r:id="rId48" ref="A3595"/>
    <hyperlink r:id="rId48" ref="A3596"/>
    <hyperlink r:id="rId48" ref="A3597"/>
    <hyperlink r:id="rId48" ref="A3598"/>
    <hyperlink r:id="rId48" ref="A3599"/>
    <hyperlink r:id="rId48" ref="A3600"/>
    <hyperlink r:id="rId48" ref="A3601"/>
    <hyperlink r:id="rId48" ref="A3602"/>
    <hyperlink r:id="rId48" ref="A3603"/>
    <hyperlink r:id="rId48" ref="A3604"/>
    <hyperlink r:id="rId48" ref="A3605"/>
    <hyperlink r:id="rId48" ref="A3606"/>
    <hyperlink r:id="rId48" ref="A3607"/>
    <hyperlink r:id="rId48" ref="A3608"/>
    <hyperlink r:id="rId48" ref="A3609"/>
    <hyperlink r:id="rId48" ref="A3610"/>
    <hyperlink r:id="rId48" ref="A3611"/>
    <hyperlink r:id="rId48" ref="A3612"/>
    <hyperlink r:id="rId48" ref="A3613"/>
    <hyperlink r:id="rId48" ref="A3614"/>
    <hyperlink r:id="rId48" ref="A3615"/>
    <hyperlink r:id="rId48" ref="A3616"/>
    <hyperlink r:id="rId48" ref="A3617"/>
    <hyperlink r:id="rId48" ref="A3618"/>
    <hyperlink r:id="rId48" ref="A3619"/>
    <hyperlink r:id="rId48" ref="A3620"/>
    <hyperlink r:id="rId48" ref="A3621"/>
    <hyperlink r:id="rId48" ref="A3622"/>
    <hyperlink r:id="rId48" ref="A3623"/>
    <hyperlink r:id="rId48" ref="A3624"/>
    <hyperlink r:id="rId48" ref="A3625"/>
    <hyperlink r:id="rId48" ref="A3626"/>
    <hyperlink r:id="rId48" ref="A3627"/>
    <hyperlink r:id="rId48" ref="A3628"/>
    <hyperlink r:id="rId48" ref="A3629"/>
    <hyperlink r:id="rId48" ref="A3630"/>
    <hyperlink r:id="rId48" ref="A3631"/>
    <hyperlink r:id="rId48" ref="A3632"/>
    <hyperlink r:id="rId48" ref="A3633"/>
    <hyperlink r:id="rId48" ref="A3634"/>
    <hyperlink r:id="rId48" ref="A3635"/>
    <hyperlink r:id="rId48" ref="A3636"/>
    <hyperlink r:id="rId48" ref="A3637"/>
    <hyperlink r:id="rId48" ref="A3638"/>
    <hyperlink r:id="rId48" ref="A3639"/>
    <hyperlink r:id="rId48" ref="A3640"/>
    <hyperlink r:id="rId48" ref="A3641"/>
    <hyperlink r:id="rId48" ref="A3642"/>
    <hyperlink r:id="rId48" ref="A3643"/>
    <hyperlink r:id="rId48" ref="A3644"/>
    <hyperlink r:id="rId48" ref="A3645"/>
    <hyperlink r:id="rId48" ref="A3646"/>
    <hyperlink r:id="rId48" ref="A3647"/>
    <hyperlink r:id="rId48" ref="A3648"/>
    <hyperlink r:id="rId48" ref="A3649"/>
    <hyperlink r:id="rId48" ref="A3650"/>
    <hyperlink r:id="rId48" ref="A3651"/>
    <hyperlink r:id="rId48" ref="A3652"/>
    <hyperlink r:id="rId48" ref="A3653"/>
    <hyperlink r:id="rId48" ref="A3654"/>
    <hyperlink r:id="rId48" ref="A3655"/>
    <hyperlink r:id="rId48" ref="A3656"/>
    <hyperlink r:id="rId48" ref="A3657"/>
    <hyperlink r:id="rId48" ref="A3658"/>
    <hyperlink r:id="rId48" ref="A3659"/>
    <hyperlink r:id="rId48" ref="A3660"/>
    <hyperlink r:id="rId48" ref="A3661"/>
    <hyperlink r:id="rId48" ref="A3662"/>
    <hyperlink r:id="rId48" ref="A3663"/>
    <hyperlink r:id="rId48" ref="A3664"/>
    <hyperlink r:id="rId48" ref="A3665"/>
    <hyperlink r:id="rId48" ref="A3666"/>
    <hyperlink r:id="rId48" ref="A3667"/>
    <hyperlink r:id="rId48" ref="A3668"/>
    <hyperlink r:id="rId48" ref="A3669"/>
    <hyperlink r:id="rId48" ref="A3670"/>
    <hyperlink r:id="rId48" ref="A3671"/>
    <hyperlink r:id="rId48" ref="A3672"/>
    <hyperlink r:id="rId48" ref="A3673"/>
    <hyperlink r:id="rId48" ref="A3674"/>
    <hyperlink r:id="rId48" ref="A3675"/>
    <hyperlink r:id="rId48" ref="A3676"/>
    <hyperlink r:id="rId48" ref="A3677"/>
    <hyperlink r:id="rId48" ref="A3678"/>
    <hyperlink r:id="rId48" ref="A3679"/>
    <hyperlink r:id="rId48" ref="A3680"/>
    <hyperlink r:id="rId48" ref="A3681"/>
    <hyperlink r:id="rId48" ref="A3682"/>
    <hyperlink r:id="rId48" ref="A3683"/>
    <hyperlink r:id="rId48" ref="A3684"/>
    <hyperlink r:id="rId48" ref="A3685"/>
    <hyperlink r:id="rId49" ref="A3686"/>
    <hyperlink r:id="rId49" ref="A3687"/>
    <hyperlink r:id="rId49" ref="A3688"/>
    <hyperlink r:id="rId49" ref="A3689"/>
    <hyperlink r:id="rId49" ref="A3690"/>
    <hyperlink r:id="rId49" ref="A3691"/>
    <hyperlink r:id="rId49" ref="A3692"/>
    <hyperlink r:id="rId49" ref="A3693"/>
    <hyperlink r:id="rId49" ref="A3694"/>
    <hyperlink r:id="rId49" ref="A3695"/>
    <hyperlink r:id="rId49" ref="A3696"/>
    <hyperlink r:id="rId49" ref="A3697"/>
    <hyperlink r:id="rId49" ref="A3698"/>
    <hyperlink r:id="rId49" ref="A3699"/>
    <hyperlink r:id="rId49" ref="A3700"/>
    <hyperlink r:id="rId50" ref="A3701"/>
    <hyperlink r:id="rId50" ref="A3702"/>
    <hyperlink r:id="rId50" ref="A3703"/>
    <hyperlink r:id="rId50" ref="A3704"/>
    <hyperlink r:id="rId50" ref="A3705"/>
    <hyperlink r:id="rId51" ref="A3706"/>
    <hyperlink r:id="rId51" ref="A3707"/>
    <hyperlink r:id="rId51" ref="A3708"/>
    <hyperlink r:id="rId51" ref="A3709"/>
    <hyperlink r:id="rId51" ref="A3710"/>
    <hyperlink r:id="rId51" ref="A3711"/>
    <hyperlink r:id="rId52" ref="A3712"/>
    <hyperlink r:id="rId52" ref="A3713"/>
    <hyperlink r:id="rId52" ref="A3714"/>
    <hyperlink r:id="rId53" ref="A3715"/>
    <hyperlink r:id="rId53" ref="A3716"/>
    <hyperlink r:id="rId53" ref="A3717"/>
    <hyperlink r:id="rId53" ref="A3718"/>
    <hyperlink r:id="rId53" ref="A3719"/>
    <hyperlink r:id="rId53" ref="A3720"/>
    <hyperlink r:id="rId53" ref="A3721"/>
    <hyperlink r:id="rId53" ref="A3722"/>
    <hyperlink r:id="rId54" ref="A3723"/>
    <hyperlink r:id="rId54" ref="A3724"/>
    <hyperlink r:id="rId54" ref="A3725"/>
    <hyperlink r:id="rId54" ref="A3726"/>
    <hyperlink r:id="rId54" ref="A3727"/>
    <hyperlink r:id="rId54" ref="A3728"/>
    <hyperlink r:id="rId54" ref="A3729"/>
    <hyperlink r:id="rId54" ref="A3730"/>
    <hyperlink r:id="rId54" ref="A3731"/>
    <hyperlink r:id="rId54" ref="A3732"/>
    <hyperlink r:id="rId54" ref="A3733"/>
    <hyperlink r:id="rId54" ref="A3734"/>
    <hyperlink r:id="rId54" ref="A3735"/>
    <hyperlink r:id="rId54" ref="A3736"/>
    <hyperlink r:id="rId54" ref="A3737"/>
    <hyperlink r:id="rId54" ref="A3738"/>
    <hyperlink r:id="rId54" ref="A3739"/>
    <hyperlink r:id="rId54" ref="A3740"/>
    <hyperlink r:id="rId54" ref="A3741"/>
    <hyperlink r:id="rId54" ref="A3742"/>
    <hyperlink r:id="rId55" ref="A3743"/>
    <hyperlink r:id="rId55" ref="A3744"/>
    <hyperlink r:id="rId55" ref="A3745"/>
    <hyperlink r:id="rId55" ref="A3746"/>
    <hyperlink r:id="rId55" ref="A3747"/>
    <hyperlink r:id="rId55" ref="A3748"/>
    <hyperlink r:id="rId55" ref="A3749"/>
    <hyperlink r:id="rId55" ref="A3750"/>
    <hyperlink r:id="rId55" ref="A3751"/>
    <hyperlink r:id="rId55" ref="A3752"/>
    <hyperlink r:id="rId55" ref="A3753"/>
    <hyperlink r:id="rId55" ref="A3754"/>
    <hyperlink r:id="rId55" ref="A3755"/>
    <hyperlink r:id="rId55" ref="A3756"/>
    <hyperlink r:id="rId55" ref="A3757"/>
    <hyperlink r:id="rId55" ref="A3758"/>
    <hyperlink r:id="rId55" ref="A3759"/>
    <hyperlink r:id="rId55" ref="A3760"/>
    <hyperlink r:id="rId55" ref="A3761"/>
    <hyperlink r:id="rId55" ref="A3762"/>
    <hyperlink r:id="rId55" ref="A3763"/>
    <hyperlink r:id="rId55" ref="A3764"/>
    <hyperlink r:id="rId55" ref="A3765"/>
    <hyperlink r:id="rId55" ref="A3766"/>
    <hyperlink r:id="rId55" ref="A3767"/>
    <hyperlink r:id="rId55" ref="A3768"/>
    <hyperlink r:id="rId55" ref="A3769"/>
    <hyperlink r:id="rId55" ref="A3770"/>
    <hyperlink r:id="rId55" ref="A3771"/>
    <hyperlink r:id="rId55" ref="A3772"/>
    <hyperlink r:id="rId55" ref="A3773"/>
    <hyperlink r:id="rId55" ref="A3774"/>
    <hyperlink r:id="rId55" ref="A3775"/>
    <hyperlink r:id="rId55" ref="A3776"/>
    <hyperlink r:id="rId55" ref="A3777"/>
    <hyperlink r:id="rId55" ref="A3778"/>
    <hyperlink r:id="rId55" ref="A3779"/>
    <hyperlink r:id="rId55" ref="A3780"/>
    <hyperlink r:id="rId55" ref="A3781"/>
    <hyperlink r:id="rId55" ref="A3782"/>
    <hyperlink r:id="rId55" ref="A3783"/>
    <hyperlink r:id="rId55" ref="A3784"/>
    <hyperlink r:id="rId55" ref="A3785"/>
    <hyperlink r:id="rId55" ref="A3786"/>
    <hyperlink r:id="rId55" ref="A3787"/>
    <hyperlink r:id="rId55" ref="A3788"/>
    <hyperlink r:id="rId55" ref="A3789"/>
    <hyperlink r:id="rId55" ref="A3790"/>
    <hyperlink r:id="rId55" ref="A3791"/>
    <hyperlink r:id="rId55" ref="A3792"/>
    <hyperlink r:id="rId55" ref="A3793"/>
    <hyperlink r:id="rId55" ref="A3794"/>
    <hyperlink r:id="rId55" ref="A3795"/>
    <hyperlink r:id="rId55" ref="A3796"/>
    <hyperlink r:id="rId55" ref="A3797"/>
    <hyperlink r:id="rId55" ref="A3798"/>
    <hyperlink r:id="rId55" ref="A3799"/>
    <hyperlink r:id="rId55" ref="A3800"/>
    <hyperlink r:id="rId55" ref="A3801"/>
    <hyperlink r:id="rId55" ref="A3802"/>
    <hyperlink r:id="rId55" ref="A3803"/>
    <hyperlink r:id="rId55" ref="A3804"/>
    <hyperlink r:id="rId55" ref="A3805"/>
    <hyperlink r:id="rId55" ref="A3806"/>
    <hyperlink r:id="rId55" ref="A3807"/>
    <hyperlink r:id="rId55" ref="A3808"/>
    <hyperlink r:id="rId55" ref="A3809"/>
    <hyperlink r:id="rId55" ref="A3810"/>
    <hyperlink r:id="rId55" ref="A3811"/>
    <hyperlink r:id="rId55" ref="A3812"/>
    <hyperlink r:id="rId55" ref="A3813"/>
    <hyperlink r:id="rId55" ref="A3814"/>
    <hyperlink r:id="rId55" ref="A3815"/>
    <hyperlink r:id="rId55" ref="A3816"/>
    <hyperlink r:id="rId55" ref="A3817"/>
    <hyperlink r:id="rId55" ref="A3818"/>
    <hyperlink r:id="rId55" ref="A3819"/>
    <hyperlink r:id="rId55" ref="A3820"/>
    <hyperlink r:id="rId55" ref="A3821"/>
    <hyperlink r:id="rId55" ref="A3822"/>
    <hyperlink r:id="rId55" ref="A3823"/>
    <hyperlink r:id="rId55" ref="A3824"/>
    <hyperlink r:id="rId55" ref="A3825"/>
    <hyperlink r:id="rId55" ref="A3826"/>
    <hyperlink r:id="rId55" ref="A3827"/>
    <hyperlink r:id="rId55" ref="A3828"/>
    <hyperlink r:id="rId55" ref="A3829"/>
    <hyperlink r:id="rId55" ref="A3830"/>
    <hyperlink r:id="rId55" ref="A3831"/>
    <hyperlink r:id="rId55" ref="A3832"/>
    <hyperlink r:id="rId55" ref="A3833"/>
    <hyperlink r:id="rId55" ref="A3834"/>
    <hyperlink r:id="rId55" ref="A3835"/>
    <hyperlink r:id="rId55" ref="A3836"/>
    <hyperlink r:id="rId55" ref="A3837"/>
    <hyperlink r:id="rId55" ref="A3838"/>
    <hyperlink r:id="rId55" ref="A3839"/>
    <hyperlink r:id="rId55" ref="A3840"/>
    <hyperlink r:id="rId55" ref="A3841"/>
    <hyperlink r:id="rId55" ref="A3842"/>
    <hyperlink r:id="rId55" ref="A3843"/>
    <hyperlink r:id="rId55" ref="A3844"/>
    <hyperlink r:id="rId55" ref="A3845"/>
    <hyperlink r:id="rId55" ref="A3846"/>
    <hyperlink r:id="rId55" ref="A3847"/>
    <hyperlink r:id="rId55" ref="A3848"/>
    <hyperlink r:id="rId55" ref="A3849"/>
    <hyperlink r:id="rId55" ref="A3850"/>
    <hyperlink r:id="rId55" ref="A3851"/>
    <hyperlink r:id="rId55" ref="A3852"/>
    <hyperlink r:id="rId55" ref="A3853"/>
    <hyperlink r:id="rId55" ref="A3854"/>
    <hyperlink r:id="rId55" ref="A3855"/>
    <hyperlink r:id="rId55" ref="A3856"/>
    <hyperlink r:id="rId55" ref="A3857"/>
    <hyperlink r:id="rId55" ref="A3858"/>
    <hyperlink r:id="rId55" ref="A3859"/>
    <hyperlink r:id="rId55" ref="A3860"/>
    <hyperlink r:id="rId55" ref="A3861"/>
    <hyperlink r:id="rId55" ref="A3862"/>
    <hyperlink r:id="rId55" ref="A3863"/>
    <hyperlink r:id="rId56" ref="A3864"/>
    <hyperlink r:id="rId56" ref="A3865"/>
    <hyperlink r:id="rId56" ref="A3866"/>
    <hyperlink r:id="rId56" ref="A3867"/>
    <hyperlink r:id="rId56" ref="A3868"/>
    <hyperlink r:id="rId56" ref="A3869"/>
    <hyperlink r:id="rId56" ref="A3870"/>
    <hyperlink r:id="rId56" ref="A3871"/>
    <hyperlink r:id="rId56" ref="A3872"/>
    <hyperlink r:id="rId56" ref="A3873"/>
    <hyperlink r:id="rId56" ref="A3874"/>
    <hyperlink r:id="rId56" ref="A3875"/>
    <hyperlink r:id="rId56" ref="A3876"/>
    <hyperlink r:id="rId56" ref="A3877"/>
    <hyperlink r:id="rId56" ref="A3878"/>
    <hyperlink r:id="rId56" ref="A3879"/>
    <hyperlink r:id="rId56" ref="A3880"/>
    <hyperlink r:id="rId56" ref="A3881"/>
    <hyperlink r:id="rId57" ref="A3882"/>
    <hyperlink r:id="rId57" ref="A3883"/>
    <hyperlink r:id="rId57" ref="A3884"/>
    <hyperlink r:id="rId57" ref="A3885"/>
    <hyperlink r:id="rId57" ref="A3886"/>
    <hyperlink r:id="rId57" ref="A3887"/>
    <hyperlink r:id="rId57" ref="A3888"/>
    <hyperlink r:id="rId57" ref="A3889"/>
    <hyperlink r:id="rId57" ref="A3890"/>
    <hyperlink r:id="rId57" ref="A3891"/>
    <hyperlink r:id="rId57" ref="A3892"/>
    <hyperlink r:id="rId57" ref="A3893"/>
    <hyperlink r:id="rId58" ref="A3894"/>
    <hyperlink r:id="rId58" ref="A3895"/>
    <hyperlink r:id="rId58" ref="A3896"/>
    <hyperlink r:id="rId58" ref="A3897"/>
    <hyperlink r:id="rId58" ref="A3898"/>
    <hyperlink r:id="rId58" ref="A3899"/>
    <hyperlink r:id="rId58" ref="A3900"/>
    <hyperlink r:id="rId58" ref="A3901"/>
    <hyperlink r:id="rId58" ref="A3902"/>
    <hyperlink r:id="rId58" ref="A3903"/>
    <hyperlink r:id="rId58" ref="A3904"/>
    <hyperlink r:id="rId58" ref="A3905"/>
    <hyperlink r:id="rId58" ref="A3906"/>
    <hyperlink r:id="rId58" ref="A3907"/>
    <hyperlink r:id="rId58" ref="A3908"/>
    <hyperlink r:id="rId58" ref="A3909"/>
    <hyperlink r:id="rId58" ref="A3910"/>
    <hyperlink r:id="rId58" ref="A3911"/>
    <hyperlink r:id="rId58" ref="A3912"/>
    <hyperlink r:id="rId58" ref="A3913"/>
    <hyperlink r:id="rId59" ref="A3914"/>
    <hyperlink r:id="rId59" ref="A3915"/>
    <hyperlink r:id="rId59" ref="A3916"/>
    <hyperlink r:id="rId59" ref="A3917"/>
    <hyperlink r:id="rId59" ref="A3918"/>
    <hyperlink r:id="rId59" ref="A3919"/>
    <hyperlink r:id="rId59" ref="A3920"/>
    <hyperlink r:id="rId59" ref="A3921"/>
    <hyperlink r:id="rId59" ref="A3922"/>
    <hyperlink r:id="rId59" ref="A3923"/>
    <hyperlink r:id="rId59" ref="A3924"/>
    <hyperlink r:id="rId59" ref="A3925"/>
    <hyperlink r:id="rId59" ref="A3926"/>
    <hyperlink r:id="rId59" ref="A3927"/>
    <hyperlink r:id="rId59" ref="A3928"/>
    <hyperlink r:id="rId59" ref="A3929"/>
    <hyperlink r:id="rId59" ref="A3930"/>
    <hyperlink r:id="rId59" ref="A3931"/>
    <hyperlink r:id="rId59" ref="A3932"/>
    <hyperlink r:id="rId59" ref="A3933"/>
    <hyperlink r:id="rId59" ref="A3934"/>
    <hyperlink r:id="rId59" ref="A3935"/>
    <hyperlink r:id="rId59" ref="A3936"/>
    <hyperlink r:id="rId59" ref="A3937"/>
    <hyperlink r:id="rId59" ref="A3938"/>
    <hyperlink r:id="rId59" ref="A3939"/>
    <hyperlink r:id="rId59" ref="A3940"/>
    <hyperlink r:id="rId59" ref="A3941"/>
    <hyperlink r:id="rId59" ref="A3942"/>
    <hyperlink r:id="rId59" ref="A3943"/>
    <hyperlink r:id="rId59" ref="A3944"/>
    <hyperlink r:id="rId59" ref="A3945"/>
    <hyperlink r:id="rId59" ref="A3946"/>
    <hyperlink r:id="rId59" ref="A3947"/>
    <hyperlink r:id="rId59" ref="A3948"/>
    <hyperlink r:id="rId59" ref="A3949"/>
    <hyperlink r:id="rId59" ref="A3950"/>
    <hyperlink r:id="rId59" ref="A3951"/>
    <hyperlink r:id="rId59" ref="A3952"/>
    <hyperlink r:id="rId59" ref="A3953"/>
    <hyperlink r:id="rId59" ref="A3954"/>
    <hyperlink r:id="rId59" ref="A3955"/>
    <hyperlink r:id="rId59" ref="A3956"/>
    <hyperlink r:id="rId59" ref="A3957"/>
    <hyperlink r:id="rId59" ref="A3958"/>
    <hyperlink r:id="rId59" ref="A3959"/>
    <hyperlink r:id="rId59" ref="A3960"/>
    <hyperlink r:id="rId59" ref="A3961"/>
    <hyperlink r:id="rId59" ref="A3962"/>
    <hyperlink r:id="rId59" ref="A3963"/>
    <hyperlink r:id="rId59" ref="A3964"/>
    <hyperlink r:id="rId59" ref="A3965"/>
    <hyperlink r:id="rId59" ref="A3966"/>
    <hyperlink r:id="rId59" ref="A3967"/>
    <hyperlink r:id="rId59" ref="A3968"/>
    <hyperlink r:id="rId59" ref="A3969"/>
    <hyperlink r:id="rId59" ref="A3970"/>
    <hyperlink r:id="rId59" ref="A3971"/>
    <hyperlink r:id="rId59" ref="A3972"/>
    <hyperlink r:id="rId59" ref="A3973"/>
    <hyperlink r:id="rId59" ref="A3974"/>
    <hyperlink r:id="rId59" ref="A3975"/>
    <hyperlink r:id="rId60" ref="A3976"/>
    <hyperlink r:id="rId60" ref="A3977"/>
    <hyperlink r:id="rId60" ref="A3978"/>
    <hyperlink r:id="rId60" ref="A3979"/>
    <hyperlink r:id="rId60" ref="A3980"/>
    <hyperlink r:id="rId60" ref="A3981"/>
    <hyperlink r:id="rId61" ref="A3982"/>
    <hyperlink r:id="rId61" ref="A3983"/>
    <hyperlink r:id="rId61" ref="A3984"/>
    <hyperlink r:id="rId61" ref="A3985"/>
    <hyperlink r:id="rId61" ref="A3986"/>
    <hyperlink r:id="rId61" ref="A3987"/>
    <hyperlink r:id="rId61" ref="A3988"/>
    <hyperlink r:id="rId61" ref="A3989"/>
    <hyperlink r:id="rId61" ref="A3990"/>
    <hyperlink r:id="rId61" ref="A3991"/>
    <hyperlink r:id="rId61" ref="A3992"/>
    <hyperlink r:id="rId61" ref="A3993"/>
    <hyperlink r:id="rId61" ref="A3994"/>
    <hyperlink r:id="rId61" ref="A3995"/>
    <hyperlink r:id="rId61" ref="A3996"/>
    <hyperlink r:id="rId61" ref="A3997"/>
    <hyperlink r:id="rId61" ref="A3998"/>
    <hyperlink r:id="rId61" ref="A3999"/>
    <hyperlink r:id="rId61" ref="A4000"/>
    <hyperlink r:id="rId61" ref="A4001"/>
    <hyperlink r:id="rId61" ref="A4002"/>
    <hyperlink r:id="rId61" ref="A4003"/>
    <hyperlink r:id="rId61" ref="A4004"/>
    <hyperlink r:id="rId61" ref="A4005"/>
    <hyperlink r:id="rId61" ref="A4006"/>
    <hyperlink r:id="rId61" ref="A4007"/>
    <hyperlink r:id="rId61" ref="A4008"/>
    <hyperlink r:id="rId61" ref="A4009"/>
    <hyperlink r:id="rId61" ref="A4010"/>
    <hyperlink r:id="rId61" ref="A4011"/>
    <hyperlink r:id="rId61" ref="A4012"/>
    <hyperlink r:id="rId61" ref="A4013"/>
    <hyperlink r:id="rId61" ref="A4014"/>
    <hyperlink r:id="rId61" ref="A4015"/>
    <hyperlink r:id="rId61" ref="A4016"/>
    <hyperlink r:id="rId61" ref="A4017"/>
    <hyperlink r:id="rId61" ref="A4018"/>
    <hyperlink r:id="rId61" ref="A4019"/>
    <hyperlink r:id="rId61" ref="A4020"/>
    <hyperlink r:id="rId61" ref="A4021"/>
    <hyperlink r:id="rId61" ref="A4022"/>
    <hyperlink r:id="rId61" ref="A4023"/>
    <hyperlink r:id="rId61" ref="A4024"/>
    <hyperlink r:id="rId61" ref="A4025"/>
    <hyperlink r:id="rId61" ref="A4026"/>
    <hyperlink r:id="rId61" ref="A4027"/>
    <hyperlink r:id="rId61" ref="A4028"/>
    <hyperlink r:id="rId61" ref="A4029"/>
    <hyperlink r:id="rId61" ref="A4030"/>
    <hyperlink r:id="rId61" ref="A4031"/>
    <hyperlink r:id="rId61" ref="A4032"/>
    <hyperlink r:id="rId61" ref="A4033"/>
    <hyperlink r:id="rId61" ref="A4034"/>
    <hyperlink r:id="rId62" ref="A4035"/>
    <hyperlink r:id="rId62" ref="A4036"/>
    <hyperlink r:id="rId62" ref="A4037"/>
    <hyperlink r:id="rId62" ref="A4038"/>
    <hyperlink r:id="rId62" ref="A4039"/>
    <hyperlink r:id="rId62" ref="A4040"/>
    <hyperlink r:id="rId63" ref="A4041"/>
    <hyperlink r:id="rId63" ref="A4042"/>
    <hyperlink r:id="rId63" ref="A4043"/>
    <hyperlink r:id="rId63" ref="A4044"/>
    <hyperlink r:id="rId63" ref="A4045"/>
    <hyperlink r:id="rId63" ref="A4046"/>
    <hyperlink r:id="rId63" ref="A4047"/>
    <hyperlink r:id="rId63" ref="A4048"/>
    <hyperlink r:id="rId63" ref="A4049"/>
    <hyperlink r:id="rId63" ref="A4050"/>
    <hyperlink r:id="rId63" ref="A4051"/>
    <hyperlink r:id="rId63" ref="A4052"/>
    <hyperlink r:id="rId63" ref="A4053"/>
    <hyperlink r:id="rId63" ref="A4054"/>
    <hyperlink r:id="rId63" ref="A4055"/>
    <hyperlink r:id="rId63" ref="A4056"/>
    <hyperlink r:id="rId63" ref="A4057"/>
    <hyperlink r:id="rId64" ref="A4058"/>
    <hyperlink r:id="rId64" ref="A4059"/>
    <hyperlink r:id="rId64" ref="A4060"/>
    <hyperlink r:id="rId64" ref="A4061"/>
    <hyperlink r:id="rId64" ref="A4062"/>
    <hyperlink r:id="rId64" ref="A4063"/>
    <hyperlink r:id="rId64" ref="A4064"/>
    <hyperlink r:id="rId64" ref="A4065"/>
    <hyperlink r:id="rId64" ref="A4066"/>
    <hyperlink r:id="rId64" ref="A4067"/>
    <hyperlink r:id="rId64" ref="A4068"/>
    <hyperlink r:id="rId64" ref="A4069"/>
    <hyperlink r:id="rId64" ref="A4070"/>
    <hyperlink r:id="rId64" ref="A4071"/>
    <hyperlink r:id="rId64" ref="A4072"/>
    <hyperlink r:id="rId64" ref="A4073"/>
    <hyperlink r:id="rId64" ref="A4074"/>
    <hyperlink r:id="rId64" ref="A4075"/>
    <hyperlink r:id="rId64" ref="A4076"/>
    <hyperlink r:id="rId64" ref="A4077"/>
    <hyperlink r:id="rId64" ref="A4078"/>
    <hyperlink r:id="rId64" ref="A4079"/>
    <hyperlink r:id="rId64" ref="A4080"/>
    <hyperlink r:id="rId64" ref="A4081"/>
    <hyperlink r:id="rId64" ref="A4082"/>
    <hyperlink r:id="rId64" ref="A4083"/>
    <hyperlink r:id="rId64" ref="A4084"/>
    <hyperlink r:id="rId64" ref="A4085"/>
    <hyperlink r:id="rId64" ref="A4086"/>
    <hyperlink r:id="rId64" ref="A4087"/>
    <hyperlink r:id="rId64" ref="A4088"/>
    <hyperlink r:id="rId64" ref="A4089"/>
    <hyperlink r:id="rId64" ref="A4090"/>
    <hyperlink r:id="rId64" ref="A4091"/>
    <hyperlink r:id="rId64" ref="A4092"/>
    <hyperlink r:id="rId64" ref="A4093"/>
    <hyperlink r:id="rId64" ref="A4094"/>
    <hyperlink r:id="rId64" ref="A4095"/>
    <hyperlink r:id="rId64" ref="A4096"/>
    <hyperlink r:id="rId64" ref="A4097"/>
    <hyperlink r:id="rId64" ref="A4098"/>
    <hyperlink r:id="rId64" ref="A4099"/>
    <hyperlink r:id="rId64" ref="A4100"/>
    <hyperlink r:id="rId64" ref="A4101"/>
    <hyperlink r:id="rId64" ref="A4102"/>
    <hyperlink r:id="rId64" ref="A4103"/>
    <hyperlink r:id="rId64" ref="A4104"/>
    <hyperlink r:id="rId64" ref="A4105"/>
    <hyperlink r:id="rId64" ref="A4106"/>
    <hyperlink r:id="rId65" ref="A4107"/>
    <hyperlink r:id="rId65" ref="A4108"/>
    <hyperlink r:id="rId65" ref="A4109"/>
    <hyperlink r:id="rId65" ref="A4110"/>
    <hyperlink r:id="rId65" ref="A4111"/>
    <hyperlink r:id="rId65" ref="A4112"/>
    <hyperlink r:id="rId65" ref="A4113"/>
    <hyperlink r:id="rId65" ref="A4114"/>
    <hyperlink r:id="rId65" ref="A4115"/>
    <hyperlink r:id="rId65" ref="A4116"/>
    <hyperlink r:id="rId65" ref="A4117"/>
    <hyperlink r:id="rId65" ref="A4118"/>
    <hyperlink r:id="rId65" ref="A4119"/>
    <hyperlink r:id="rId65" ref="A4120"/>
    <hyperlink r:id="rId65" ref="A4121"/>
    <hyperlink r:id="rId65" ref="A4122"/>
    <hyperlink r:id="rId65" ref="A4123"/>
    <hyperlink r:id="rId65" ref="A4124"/>
    <hyperlink r:id="rId65" ref="A4125"/>
    <hyperlink r:id="rId65" ref="A4126"/>
    <hyperlink r:id="rId65" ref="A4127"/>
    <hyperlink r:id="rId65" ref="A4128"/>
    <hyperlink r:id="rId65" ref="A4129"/>
    <hyperlink r:id="rId65" ref="A4130"/>
    <hyperlink r:id="rId65" ref="A4131"/>
    <hyperlink r:id="rId65" ref="A4132"/>
    <hyperlink r:id="rId65" ref="A4133"/>
    <hyperlink r:id="rId65" ref="A4134"/>
    <hyperlink r:id="rId65" ref="A4135"/>
    <hyperlink r:id="rId65" ref="A4136"/>
    <hyperlink r:id="rId65" ref="A4137"/>
    <hyperlink r:id="rId65" ref="A4138"/>
    <hyperlink r:id="rId65" ref="A4139"/>
    <hyperlink r:id="rId65" ref="A4140"/>
    <hyperlink r:id="rId65" ref="A4141"/>
    <hyperlink r:id="rId65" ref="A4142"/>
    <hyperlink r:id="rId65" ref="A4143"/>
    <hyperlink r:id="rId65" ref="A4144"/>
    <hyperlink r:id="rId65" ref="A4145"/>
    <hyperlink r:id="rId65" ref="A4146"/>
    <hyperlink r:id="rId65" ref="A4147"/>
    <hyperlink r:id="rId65" ref="A4148"/>
    <hyperlink r:id="rId65" ref="A4149"/>
    <hyperlink r:id="rId65" ref="A4150"/>
    <hyperlink r:id="rId65" ref="A4151"/>
    <hyperlink r:id="rId65" ref="A4152"/>
    <hyperlink r:id="rId66" ref="A4153"/>
    <hyperlink r:id="rId66" ref="A4154"/>
    <hyperlink r:id="rId66" ref="A4155"/>
    <hyperlink r:id="rId66" ref="A4156"/>
    <hyperlink r:id="rId67" ref="A4157"/>
    <hyperlink r:id="rId67" ref="A4158"/>
    <hyperlink r:id="rId67" ref="A4159"/>
    <hyperlink r:id="rId67" ref="A4160"/>
    <hyperlink r:id="rId67" ref="A4161"/>
    <hyperlink r:id="rId67" ref="A4162"/>
    <hyperlink r:id="rId67" ref="A4163"/>
    <hyperlink r:id="rId67" ref="A4164"/>
    <hyperlink r:id="rId67" ref="A4165"/>
    <hyperlink r:id="rId67" ref="A4166"/>
    <hyperlink r:id="rId67" ref="A4167"/>
    <hyperlink r:id="rId67" ref="A4168"/>
    <hyperlink r:id="rId67" ref="A4169"/>
    <hyperlink r:id="rId67" ref="A4170"/>
    <hyperlink r:id="rId67" ref="A4171"/>
    <hyperlink r:id="rId67" ref="A4172"/>
    <hyperlink r:id="rId67" ref="A4173"/>
    <hyperlink r:id="rId67" ref="A4174"/>
    <hyperlink r:id="rId67" ref="A4175"/>
    <hyperlink r:id="rId67" ref="A4176"/>
    <hyperlink r:id="rId67" ref="A4177"/>
    <hyperlink r:id="rId67" ref="A4178"/>
    <hyperlink r:id="rId67" ref="A4179"/>
    <hyperlink r:id="rId67" ref="A4180"/>
    <hyperlink r:id="rId67" ref="A4181"/>
    <hyperlink r:id="rId67" ref="A4182"/>
    <hyperlink r:id="rId67" ref="A4183"/>
    <hyperlink r:id="rId67" ref="A4184"/>
    <hyperlink r:id="rId67" ref="A4185"/>
    <hyperlink r:id="rId67" ref="A4186"/>
    <hyperlink r:id="rId67" ref="A4187"/>
    <hyperlink r:id="rId67" ref="A4188"/>
    <hyperlink r:id="rId67" ref="A4189"/>
    <hyperlink r:id="rId67" ref="A4190"/>
    <hyperlink r:id="rId67" ref="A4191"/>
    <hyperlink r:id="rId67" ref="A4192"/>
    <hyperlink r:id="rId67" ref="A4193"/>
    <hyperlink r:id="rId67" ref="A4194"/>
    <hyperlink r:id="rId67" ref="A4195"/>
    <hyperlink r:id="rId67" ref="A4196"/>
    <hyperlink r:id="rId67" ref="A4197"/>
    <hyperlink r:id="rId67" ref="A4198"/>
    <hyperlink r:id="rId67" ref="A4199"/>
    <hyperlink r:id="rId67" ref="A4200"/>
    <hyperlink r:id="rId67" ref="A4201"/>
    <hyperlink r:id="rId67" ref="A4202"/>
    <hyperlink r:id="rId67" ref="A4203"/>
    <hyperlink r:id="rId67" ref="A4204"/>
    <hyperlink r:id="rId67" ref="A4205"/>
    <hyperlink r:id="rId67" ref="A4206"/>
    <hyperlink r:id="rId67" ref="A4207"/>
    <hyperlink r:id="rId67" ref="A4208"/>
    <hyperlink r:id="rId67" ref="A4209"/>
    <hyperlink r:id="rId67" ref="A4210"/>
    <hyperlink r:id="rId67" ref="A4211"/>
    <hyperlink r:id="rId67" ref="A4212"/>
    <hyperlink r:id="rId67" ref="A4213"/>
    <hyperlink r:id="rId67" ref="A4214"/>
    <hyperlink r:id="rId67" ref="A4215"/>
    <hyperlink r:id="rId67" ref="A4216"/>
    <hyperlink r:id="rId67" ref="A4217"/>
    <hyperlink r:id="rId67" ref="A4218"/>
    <hyperlink r:id="rId67" ref="A4219"/>
    <hyperlink r:id="rId67" ref="A4220"/>
    <hyperlink r:id="rId67" ref="A4221"/>
    <hyperlink r:id="rId67" ref="A4222"/>
    <hyperlink r:id="rId67" ref="A4223"/>
    <hyperlink r:id="rId67" ref="A4224"/>
    <hyperlink r:id="rId67" ref="A4225"/>
    <hyperlink r:id="rId67" ref="A4226"/>
    <hyperlink r:id="rId67" ref="A4227"/>
    <hyperlink r:id="rId67" ref="A4228"/>
    <hyperlink r:id="rId67" ref="A4229"/>
    <hyperlink r:id="rId67" ref="A4230"/>
    <hyperlink r:id="rId67" ref="A4231"/>
    <hyperlink r:id="rId67" ref="A4232"/>
    <hyperlink r:id="rId67" ref="A4233"/>
    <hyperlink r:id="rId67" ref="A4234"/>
    <hyperlink r:id="rId67" ref="A4235"/>
    <hyperlink r:id="rId67" ref="A4236"/>
    <hyperlink r:id="rId67" ref="A4237"/>
    <hyperlink r:id="rId67" ref="A4238"/>
    <hyperlink r:id="rId67" ref="A4239"/>
    <hyperlink r:id="rId67" ref="A4240"/>
    <hyperlink r:id="rId67" ref="A4241"/>
    <hyperlink r:id="rId67" ref="A4242"/>
    <hyperlink r:id="rId67" ref="A4243"/>
    <hyperlink r:id="rId67" ref="A4244"/>
    <hyperlink r:id="rId67" ref="A4245"/>
    <hyperlink r:id="rId67" ref="A4246"/>
    <hyperlink r:id="rId67" ref="A4247"/>
    <hyperlink r:id="rId67" ref="A4248"/>
    <hyperlink r:id="rId67" ref="A4249"/>
    <hyperlink r:id="rId67" ref="A4250"/>
    <hyperlink r:id="rId67" ref="A4251"/>
    <hyperlink r:id="rId67" ref="A4252"/>
    <hyperlink r:id="rId67" ref="A4253"/>
    <hyperlink r:id="rId67" ref="A4254"/>
    <hyperlink r:id="rId67" ref="A4255"/>
    <hyperlink r:id="rId67" ref="A4256"/>
    <hyperlink r:id="rId67" ref="A4257"/>
    <hyperlink r:id="rId68" ref="A4258"/>
    <hyperlink r:id="rId68" ref="A4259"/>
    <hyperlink r:id="rId68" ref="A4260"/>
    <hyperlink r:id="rId68" ref="A4261"/>
    <hyperlink r:id="rId68" ref="A4262"/>
    <hyperlink r:id="rId68" ref="A4263"/>
    <hyperlink r:id="rId68" ref="A4264"/>
    <hyperlink r:id="rId68" ref="A4265"/>
    <hyperlink r:id="rId68" ref="A4266"/>
    <hyperlink r:id="rId68" ref="A4267"/>
    <hyperlink r:id="rId69" ref="A4268"/>
    <hyperlink r:id="rId69" ref="A4269"/>
    <hyperlink r:id="rId69" ref="A4270"/>
    <hyperlink r:id="rId69" ref="A4271"/>
    <hyperlink r:id="rId69" ref="A4272"/>
    <hyperlink r:id="rId69" ref="A4273"/>
    <hyperlink r:id="rId69" ref="A4274"/>
    <hyperlink r:id="rId69" ref="A4275"/>
    <hyperlink r:id="rId69" ref="A4276"/>
    <hyperlink r:id="rId69" ref="A4277"/>
    <hyperlink r:id="rId69" ref="A4278"/>
    <hyperlink r:id="rId69" ref="A4279"/>
    <hyperlink r:id="rId69" ref="A4280"/>
    <hyperlink r:id="rId69" ref="A4281"/>
    <hyperlink r:id="rId69" ref="A4282"/>
    <hyperlink r:id="rId69" ref="A4283"/>
    <hyperlink r:id="rId70" ref="A4284"/>
    <hyperlink r:id="rId70" ref="A4285"/>
    <hyperlink r:id="rId70" ref="A4286"/>
    <hyperlink r:id="rId70" ref="A4287"/>
    <hyperlink r:id="rId70" ref="A4288"/>
    <hyperlink r:id="rId70" ref="A4289"/>
    <hyperlink r:id="rId70" ref="A4290"/>
    <hyperlink r:id="rId70" ref="A4291"/>
    <hyperlink r:id="rId70" ref="A4292"/>
    <hyperlink r:id="rId70" ref="A4293"/>
    <hyperlink r:id="rId70" ref="A4294"/>
    <hyperlink r:id="rId70" ref="A4295"/>
    <hyperlink r:id="rId70" ref="A4296"/>
    <hyperlink r:id="rId70" ref="A4297"/>
    <hyperlink r:id="rId70" ref="A4298"/>
    <hyperlink r:id="rId70" ref="A4299"/>
    <hyperlink r:id="rId70" ref="A4300"/>
    <hyperlink r:id="rId70" ref="A4301"/>
    <hyperlink r:id="rId70" ref="A4302"/>
    <hyperlink r:id="rId70" ref="A4303"/>
    <hyperlink r:id="rId70" ref="A4304"/>
    <hyperlink r:id="rId70" ref="A4305"/>
    <hyperlink r:id="rId70" ref="A4306"/>
    <hyperlink r:id="rId70" ref="A4307"/>
    <hyperlink r:id="rId70" ref="A4308"/>
    <hyperlink r:id="rId71" ref="A4309"/>
    <hyperlink r:id="rId71" ref="A4310"/>
    <hyperlink r:id="rId71" ref="A4311"/>
    <hyperlink r:id="rId72" ref="A4312"/>
    <hyperlink r:id="rId72" ref="A4313"/>
    <hyperlink r:id="rId72" ref="A4314"/>
    <hyperlink r:id="rId72" ref="A4315"/>
    <hyperlink r:id="rId72" ref="A4316"/>
    <hyperlink r:id="rId72" ref="A4317"/>
    <hyperlink r:id="rId72" ref="A4318"/>
    <hyperlink r:id="rId72" ref="A4319"/>
    <hyperlink r:id="rId72" ref="A4320"/>
    <hyperlink r:id="rId72" ref="A4321"/>
    <hyperlink r:id="rId72" ref="A4322"/>
    <hyperlink r:id="rId72" ref="A4323"/>
    <hyperlink r:id="rId72" ref="A4324"/>
    <hyperlink r:id="rId72" ref="A4325"/>
    <hyperlink r:id="rId72" ref="A4326"/>
    <hyperlink r:id="rId72" ref="A4327"/>
    <hyperlink r:id="rId72" ref="A4328"/>
    <hyperlink r:id="rId72" ref="A4329"/>
    <hyperlink r:id="rId72" ref="A4330"/>
    <hyperlink r:id="rId72" ref="A4331"/>
    <hyperlink r:id="rId72" ref="A4332"/>
    <hyperlink r:id="rId72" ref="A4333"/>
    <hyperlink r:id="rId72" ref="A4334"/>
    <hyperlink r:id="rId72" ref="A4335"/>
    <hyperlink r:id="rId73" ref="A4336"/>
    <hyperlink r:id="rId73" ref="A4337"/>
    <hyperlink r:id="rId73" ref="A4338"/>
    <hyperlink r:id="rId73" ref="A4339"/>
    <hyperlink r:id="rId73" ref="A4340"/>
    <hyperlink r:id="rId73" ref="A4341"/>
    <hyperlink r:id="rId73" ref="A4342"/>
    <hyperlink r:id="rId73" ref="A4343"/>
    <hyperlink r:id="rId73" ref="A4344"/>
    <hyperlink r:id="rId73" ref="A4345"/>
    <hyperlink r:id="rId73" ref="A4346"/>
    <hyperlink r:id="rId73" ref="A4347"/>
    <hyperlink r:id="rId73" ref="A4348"/>
    <hyperlink r:id="rId73" ref="A4349"/>
    <hyperlink r:id="rId73" ref="A4350"/>
    <hyperlink r:id="rId73" ref="A4351"/>
    <hyperlink r:id="rId73" ref="A4352"/>
    <hyperlink r:id="rId73" ref="A4353"/>
    <hyperlink r:id="rId73" ref="A4354"/>
    <hyperlink r:id="rId73" ref="A4355"/>
    <hyperlink r:id="rId73" ref="A4356"/>
    <hyperlink r:id="rId74" ref="A4357"/>
    <hyperlink r:id="rId74" ref="A4358"/>
    <hyperlink r:id="rId74" ref="A4359"/>
    <hyperlink r:id="rId74" ref="A4360"/>
    <hyperlink r:id="rId74" ref="A4361"/>
    <hyperlink r:id="rId74" ref="A4362"/>
    <hyperlink r:id="rId74" ref="A4363"/>
    <hyperlink r:id="rId74" ref="A4364"/>
    <hyperlink r:id="rId74" ref="A4365"/>
    <hyperlink r:id="rId74" ref="A4366"/>
    <hyperlink r:id="rId74" ref="A4367"/>
    <hyperlink r:id="rId74" ref="A4368"/>
    <hyperlink r:id="rId74" ref="A4369"/>
    <hyperlink r:id="rId74" ref="A4370"/>
    <hyperlink r:id="rId74" ref="A4371"/>
    <hyperlink r:id="rId74" ref="A4372"/>
    <hyperlink r:id="rId74" ref="A4373"/>
    <hyperlink r:id="rId74" ref="A4374"/>
    <hyperlink r:id="rId74" ref="A4375"/>
    <hyperlink r:id="rId74" ref="A4376"/>
    <hyperlink r:id="rId74" ref="A4377"/>
    <hyperlink r:id="rId74" ref="A4378"/>
    <hyperlink r:id="rId74" ref="A4379"/>
    <hyperlink r:id="rId74" ref="A4380"/>
    <hyperlink r:id="rId74" ref="A4381"/>
    <hyperlink r:id="rId74" ref="A4382"/>
    <hyperlink r:id="rId74" ref="A4383"/>
    <hyperlink r:id="rId74" ref="A4384"/>
    <hyperlink r:id="rId74" ref="A4385"/>
    <hyperlink r:id="rId75" ref="A4386"/>
    <hyperlink r:id="rId75" ref="A4387"/>
    <hyperlink r:id="rId75" ref="A4388"/>
    <hyperlink r:id="rId75" ref="A4389"/>
    <hyperlink r:id="rId75" ref="A4390"/>
    <hyperlink r:id="rId75" ref="A4391"/>
    <hyperlink r:id="rId75" ref="A4392"/>
    <hyperlink r:id="rId75" ref="A4393"/>
    <hyperlink r:id="rId75" ref="A4394"/>
    <hyperlink r:id="rId75" ref="A4395"/>
    <hyperlink r:id="rId75" ref="A4396"/>
    <hyperlink r:id="rId75" ref="A4397"/>
    <hyperlink r:id="rId75" ref="A4398"/>
    <hyperlink r:id="rId75" ref="A4399"/>
    <hyperlink r:id="rId75" ref="A4400"/>
    <hyperlink r:id="rId75" ref="A4401"/>
    <hyperlink r:id="rId75" ref="A4402"/>
    <hyperlink r:id="rId75" ref="A4403"/>
    <hyperlink r:id="rId75" ref="A4404"/>
    <hyperlink r:id="rId75" ref="A4405"/>
    <hyperlink r:id="rId75" ref="A4406"/>
    <hyperlink r:id="rId75" ref="A4407"/>
    <hyperlink r:id="rId75" ref="A4408"/>
    <hyperlink r:id="rId75" ref="A4409"/>
    <hyperlink r:id="rId75" ref="A4410"/>
    <hyperlink r:id="rId75" ref="A4411"/>
    <hyperlink r:id="rId75" ref="A4412"/>
    <hyperlink r:id="rId75" ref="A4413"/>
    <hyperlink r:id="rId75" ref="A4414"/>
    <hyperlink r:id="rId75" ref="A4415"/>
    <hyperlink r:id="rId75" ref="A4416"/>
    <hyperlink r:id="rId75" ref="A4417"/>
    <hyperlink r:id="rId75" ref="A4418"/>
    <hyperlink r:id="rId75" ref="A4419"/>
    <hyperlink r:id="rId76" ref="A4420"/>
    <hyperlink r:id="rId76" ref="A4421"/>
    <hyperlink r:id="rId76" ref="A4422"/>
    <hyperlink r:id="rId76" ref="A4423"/>
    <hyperlink r:id="rId76" ref="A4424"/>
    <hyperlink r:id="rId76" ref="A4425"/>
    <hyperlink r:id="rId76" ref="A4426"/>
    <hyperlink r:id="rId76" ref="A4427"/>
    <hyperlink r:id="rId76" ref="A4428"/>
    <hyperlink r:id="rId76" ref="A4429"/>
    <hyperlink r:id="rId76" ref="A4430"/>
    <hyperlink r:id="rId76" ref="A4431"/>
    <hyperlink r:id="rId76" ref="A4432"/>
    <hyperlink r:id="rId76" ref="A4433"/>
    <hyperlink r:id="rId76" ref="A4434"/>
    <hyperlink r:id="rId76" ref="A4435"/>
    <hyperlink r:id="rId76" ref="A4436"/>
    <hyperlink r:id="rId76" ref="A4437"/>
    <hyperlink r:id="rId76" ref="A4438"/>
    <hyperlink r:id="rId76" ref="A4439"/>
    <hyperlink r:id="rId76" ref="A4440"/>
    <hyperlink r:id="rId76" ref="A4441"/>
    <hyperlink r:id="rId76" ref="A4442"/>
    <hyperlink r:id="rId76" ref="A4443"/>
    <hyperlink r:id="rId76" ref="A4444"/>
    <hyperlink r:id="rId76" ref="A4445"/>
    <hyperlink r:id="rId76" ref="A4446"/>
    <hyperlink r:id="rId76" ref="A4447"/>
    <hyperlink r:id="rId76" ref="A4448"/>
    <hyperlink r:id="rId76" ref="A4449"/>
    <hyperlink r:id="rId76" ref="A4450"/>
    <hyperlink r:id="rId76" ref="A4451"/>
    <hyperlink r:id="rId76" ref="A4452"/>
    <hyperlink r:id="rId76" ref="A4453"/>
    <hyperlink r:id="rId76" ref="A4454"/>
    <hyperlink r:id="rId76" ref="A4455"/>
    <hyperlink r:id="rId76" ref="A4456"/>
    <hyperlink r:id="rId76" ref="A4457"/>
    <hyperlink r:id="rId76" ref="A4458"/>
    <hyperlink r:id="rId76" ref="A4459"/>
    <hyperlink r:id="rId76" ref="A4460"/>
    <hyperlink r:id="rId76" ref="A4461"/>
    <hyperlink r:id="rId76" ref="A4462"/>
    <hyperlink r:id="rId76" ref="A4463"/>
    <hyperlink r:id="rId76" ref="A4464"/>
    <hyperlink r:id="rId76" ref="A4465"/>
    <hyperlink r:id="rId77" ref="A4466"/>
    <hyperlink r:id="rId77" ref="A4467"/>
    <hyperlink r:id="rId77" ref="A4468"/>
    <hyperlink r:id="rId77" ref="A4469"/>
    <hyperlink r:id="rId77" ref="A4470"/>
    <hyperlink r:id="rId77" ref="A4471"/>
    <hyperlink r:id="rId77" ref="A4472"/>
    <hyperlink r:id="rId77" ref="A4473"/>
    <hyperlink r:id="rId77" ref="A4474"/>
    <hyperlink r:id="rId77" ref="A4475"/>
    <hyperlink r:id="rId77" ref="A4476"/>
    <hyperlink r:id="rId77" ref="A4477"/>
    <hyperlink r:id="rId77" ref="A4478"/>
    <hyperlink r:id="rId77" ref="A4479"/>
    <hyperlink r:id="rId77" ref="A4480"/>
    <hyperlink r:id="rId77" ref="A4481"/>
    <hyperlink r:id="rId77" ref="A4482"/>
    <hyperlink r:id="rId77" ref="A4483"/>
    <hyperlink r:id="rId77" ref="A4484"/>
    <hyperlink r:id="rId77" ref="A4485"/>
    <hyperlink r:id="rId77" ref="A4486"/>
    <hyperlink r:id="rId77" ref="A4487"/>
    <hyperlink r:id="rId77" ref="A4488"/>
    <hyperlink r:id="rId77" ref="A4489"/>
    <hyperlink r:id="rId77" ref="A4490"/>
    <hyperlink r:id="rId77" ref="A4491"/>
    <hyperlink r:id="rId77" ref="A4492"/>
    <hyperlink r:id="rId77" ref="A4493"/>
    <hyperlink r:id="rId77" ref="A4494"/>
    <hyperlink r:id="rId78" ref="A4495"/>
    <hyperlink r:id="rId78" ref="A4496"/>
    <hyperlink r:id="rId78" ref="A4497"/>
    <hyperlink r:id="rId78" ref="A4498"/>
    <hyperlink r:id="rId78" ref="A4499"/>
    <hyperlink r:id="rId78" ref="A4500"/>
    <hyperlink r:id="rId78" ref="A4501"/>
    <hyperlink r:id="rId78" ref="A4502"/>
    <hyperlink r:id="rId78" ref="A4503"/>
    <hyperlink r:id="rId78" ref="A4504"/>
    <hyperlink r:id="rId78" ref="A4505"/>
    <hyperlink r:id="rId78" ref="A4506"/>
    <hyperlink r:id="rId78" ref="A4507"/>
    <hyperlink r:id="rId78" ref="A4508"/>
    <hyperlink r:id="rId78" ref="A4509"/>
    <hyperlink r:id="rId78" ref="A4510"/>
    <hyperlink r:id="rId78" ref="A4511"/>
    <hyperlink r:id="rId78" ref="A4512"/>
    <hyperlink r:id="rId78" ref="A4513"/>
    <hyperlink r:id="rId78" ref="A4514"/>
    <hyperlink r:id="rId78" ref="A4515"/>
    <hyperlink r:id="rId78" ref="A4516"/>
    <hyperlink r:id="rId78" ref="A4517"/>
    <hyperlink r:id="rId78" ref="A4518"/>
    <hyperlink r:id="rId78" ref="A4519"/>
    <hyperlink r:id="rId78" ref="A4520"/>
    <hyperlink r:id="rId78" ref="A4521"/>
    <hyperlink r:id="rId78" ref="A4522"/>
    <hyperlink r:id="rId78" ref="A4523"/>
    <hyperlink r:id="rId78" ref="A4524"/>
    <hyperlink r:id="rId78" ref="A4525"/>
    <hyperlink r:id="rId78" ref="A4526"/>
    <hyperlink r:id="rId78" ref="A4527"/>
    <hyperlink r:id="rId78" ref="A4528"/>
    <hyperlink r:id="rId78" ref="A4529"/>
    <hyperlink r:id="rId78" ref="A4530"/>
    <hyperlink r:id="rId78" ref="A4531"/>
    <hyperlink r:id="rId78" ref="A4532"/>
    <hyperlink r:id="rId78" ref="A4533"/>
    <hyperlink r:id="rId78" ref="A4534"/>
    <hyperlink r:id="rId78" ref="A4535"/>
    <hyperlink r:id="rId78" ref="A4536"/>
    <hyperlink r:id="rId78" ref="A4537"/>
    <hyperlink r:id="rId78" ref="A4538"/>
    <hyperlink r:id="rId78" ref="A4539"/>
    <hyperlink r:id="rId78" ref="A4540"/>
    <hyperlink r:id="rId78" ref="A4541"/>
    <hyperlink r:id="rId78" ref="A4542"/>
    <hyperlink r:id="rId78" ref="A4543"/>
    <hyperlink r:id="rId78" ref="A4544"/>
    <hyperlink r:id="rId78" ref="A4545"/>
    <hyperlink r:id="rId78" ref="A4546"/>
    <hyperlink r:id="rId78" ref="A4547"/>
    <hyperlink r:id="rId78" ref="A4548"/>
    <hyperlink r:id="rId78" ref="A4549"/>
    <hyperlink r:id="rId78" ref="A4550"/>
    <hyperlink r:id="rId78" ref="A4551"/>
    <hyperlink r:id="rId78" ref="A4552"/>
    <hyperlink r:id="rId78" ref="A4553"/>
    <hyperlink r:id="rId78" ref="A4554"/>
    <hyperlink r:id="rId78" ref="A4555"/>
    <hyperlink r:id="rId78" ref="A4556"/>
    <hyperlink r:id="rId78" ref="A4557"/>
    <hyperlink r:id="rId78" ref="A4558"/>
    <hyperlink r:id="rId78" ref="A4559"/>
    <hyperlink r:id="rId78" ref="A4560"/>
    <hyperlink r:id="rId78" ref="A4561"/>
    <hyperlink r:id="rId78" ref="A4562"/>
    <hyperlink r:id="rId78" ref="A4563"/>
    <hyperlink r:id="rId78" ref="A4564"/>
    <hyperlink r:id="rId78" ref="A4565"/>
    <hyperlink r:id="rId78" ref="A4566"/>
    <hyperlink r:id="rId78" ref="A4567"/>
    <hyperlink r:id="rId78" ref="A4568"/>
    <hyperlink r:id="rId78" ref="A4569"/>
    <hyperlink r:id="rId78" ref="A4570"/>
    <hyperlink r:id="rId78" ref="A4571"/>
    <hyperlink r:id="rId78" ref="A4572"/>
    <hyperlink r:id="rId78" ref="A4573"/>
    <hyperlink r:id="rId78" ref="A4574"/>
    <hyperlink r:id="rId78" ref="A4575"/>
    <hyperlink r:id="rId78" ref="A4576"/>
    <hyperlink r:id="rId78" ref="A4577"/>
    <hyperlink r:id="rId78" ref="A4578"/>
    <hyperlink r:id="rId78" ref="A4579"/>
    <hyperlink r:id="rId78" ref="A4580"/>
    <hyperlink r:id="rId78" ref="A4581"/>
    <hyperlink r:id="rId78" ref="A4582"/>
    <hyperlink r:id="rId78" ref="A4583"/>
    <hyperlink r:id="rId78" ref="A4584"/>
    <hyperlink r:id="rId78" ref="A4585"/>
    <hyperlink r:id="rId78" ref="A4586"/>
    <hyperlink r:id="rId78" ref="A4587"/>
    <hyperlink r:id="rId78" ref="A4588"/>
    <hyperlink r:id="rId78" ref="A4589"/>
    <hyperlink r:id="rId78" ref="A4590"/>
    <hyperlink r:id="rId78" ref="A4591"/>
    <hyperlink r:id="rId78" ref="A4592"/>
    <hyperlink r:id="rId78" ref="A4593"/>
    <hyperlink r:id="rId78" ref="A4594"/>
    <hyperlink r:id="rId78" ref="A4595"/>
    <hyperlink r:id="rId78" ref="A4596"/>
    <hyperlink r:id="rId78" ref="A4597"/>
    <hyperlink r:id="rId78" ref="A4598"/>
    <hyperlink r:id="rId78" ref="A4599"/>
    <hyperlink r:id="rId78" ref="A4600"/>
    <hyperlink r:id="rId78" ref="A4601"/>
    <hyperlink r:id="rId78" ref="A4602"/>
    <hyperlink r:id="rId78" ref="A4603"/>
    <hyperlink r:id="rId78" ref="A4604"/>
    <hyperlink r:id="rId78" ref="A4605"/>
    <hyperlink r:id="rId78" ref="A4606"/>
    <hyperlink r:id="rId78" ref="A4607"/>
    <hyperlink r:id="rId78" ref="A4608"/>
    <hyperlink r:id="rId78" ref="A4609"/>
    <hyperlink r:id="rId78" ref="A4610"/>
    <hyperlink r:id="rId78" ref="A4611"/>
    <hyperlink r:id="rId78" ref="A4612"/>
    <hyperlink r:id="rId78" ref="A4613"/>
    <hyperlink r:id="rId78" ref="A4614"/>
    <hyperlink r:id="rId78" ref="A4615"/>
    <hyperlink r:id="rId78" ref="A4616"/>
    <hyperlink r:id="rId78" ref="A4617"/>
    <hyperlink r:id="rId78" ref="A4618"/>
    <hyperlink r:id="rId78" ref="A4619"/>
    <hyperlink r:id="rId78" ref="A4620"/>
    <hyperlink r:id="rId78" ref="A4621"/>
    <hyperlink r:id="rId78" ref="A4622"/>
    <hyperlink r:id="rId78" ref="A4623"/>
    <hyperlink r:id="rId78" ref="A4624"/>
    <hyperlink r:id="rId78" ref="A4625"/>
    <hyperlink r:id="rId78" ref="A4626"/>
    <hyperlink r:id="rId78" ref="A4627"/>
    <hyperlink r:id="rId78" ref="A4628"/>
    <hyperlink r:id="rId78" ref="A4629"/>
    <hyperlink r:id="rId78" ref="A4630"/>
    <hyperlink r:id="rId78" ref="A4631"/>
    <hyperlink r:id="rId78" ref="A4632"/>
    <hyperlink r:id="rId78" ref="A4633"/>
    <hyperlink r:id="rId78" ref="A4634"/>
    <hyperlink r:id="rId78" ref="A4635"/>
    <hyperlink r:id="rId78" ref="A4636"/>
    <hyperlink r:id="rId78" ref="A4637"/>
    <hyperlink r:id="rId78" ref="A4638"/>
    <hyperlink r:id="rId78" ref="A4639"/>
    <hyperlink r:id="rId78" ref="A4640"/>
    <hyperlink r:id="rId78" ref="A4641"/>
    <hyperlink r:id="rId78" ref="A4642"/>
    <hyperlink r:id="rId78" ref="A4643"/>
    <hyperlink r:id="rId78" ref="A4644"/>
    <hyperlink r:id="rId78" ref="A4645"/>
    <hyperlink r:id="rId78" ref="A4646"/>
    <hyperlink r:id="rId78" ref="A4647"/>
    <hyperlink r:id="rId78" ref="A4648"/>
    <hyperlink r:id="rId78" ref="A4649"/>
    <hyperlink r:id="rId78" ref="A4650"/>
    <hyperlink r:id="rId78" ref="A4651"/>
    <hyperlink r:id="rId78" ref="A4652"/>
    <hyperlink r:id="rId78" ref="A4653"/>
    <hyperlink r:id="rId78" ref="A4654"/>
    <hyperlink r:id="rId78" ref="A4655"/>
    <hyperlink r:id="rId78" ref="A4656"/>
    <hyperlink r:id="rId78" ref="A4657"/>
    <hyperlink r:id="rId78" ref="A4658"/>
    <hyperlink r:id="rId78" ref="A4659"/>
    <hyperlink r:id="rId78" ref="A4660"/>
    <hyperlink r:id="rId78" ref="A4661"/>
    <hyperlink r:id="rId78" ref="A4662"/>
    <hyperlink r:id="rId78" ref="A4663"/>
    <hyperlink r:id="rId78" ref="A4664"/>
    <hyperlink r:id="rId78" ref="A4665"/>
    <hyperlink r:id="rId78" ref="A4666"/>
    <hyperlink r:id="rId78" ref="A4667"/>
    <hyperlink r:id="rId78" ref="A4668"/>
    <hyperlink r:id="rId78" ref="A4669"/>
    <hyperlink r:id="rId78" ref="A4670"/>
    <hyperlink r:id="rId78" ref="A4671"/>
    <hyperlink r:id="rId78" ref="A4672"/>
    <hyperlink r:id="rId78" ref="A4673"/>
    <hyperlink r:id="rId78" ref="A4674"/>
    <hyperlink r:id="rId78" ref="A4675"/>
    <hyperlink r:id="rId78" ref="A4676"/>
    <hyperlink r:id="rId78" ref="A4677"/>
    <hyperlink r:id="rId78" ref="A4678"/>
    <hyperlink r:id="rId78" ref="A4679"/>
    <hyperlink r:id="rId78" ref="A4680"/>
    <hyperlink r:id="rId78" ref="A4681"/>
    <hyperlink r:id="rId78" ref="A4682"/>
    <hyperlink r:id="rId78" ref="A4683"/>
    <hyperlink r:id="rId78" ref="A4684"/>
    <hyperlink r:id="rId78" ref="A4685"/>
    <hyperlink r:id="rId78" ref="A4686"/>
    <hyperlink r:id="rId78" ref="A4687"/>
    <hyperlink r:id="rId78" ref="A4688"/>
    <hyperlink r:id="rId78" ref="A4689"/>
    <hyperlink r:id="rId78" ref="A4690"/>
    <hyperlink r:id="rId78" ref="A4691"/>
    <hyperlink r:id="rId78" ref="A4692"/>
    <hyperlink r:id="rId78" ref="A4693"/>
    <hyperlink r:id="rId78" ref="A4694"/>
    <hyperlink r:id="rId78" ref="A4695"/>
    <hyperlink r:id="rId78" ref="A4696"/>
    <hyperlink r:id="rId79" ref="A4697"/>
    <hyperlink r:id="rId79" ref="A4698"/>
    <hyperlink r:id="rId79" ref="A4699"/>
    <hyperlink r:id="rId79" ref="A4700"/>
    <hyperlink r:id="rId79" ref="A4701"/>
    <hyperlink r:id="rId79" ref="A4702"/>
    <hyperlink r:id="rId79" ref="A4703"/>
    <hyperlink r:id="rId79" ref="A4704"/>
    <hyperlink r:id="rId79" ref="A4705"/>
    <hyperlink r:id="rId79" ref="A4706"/>
    <hyperlink r:id="rId79" ref="A4707"/>
    <hyperlink r:id="rId79" ref="A4708"/>
    <hyperlink r:id="rId79" ref="A4709"/>
    <hyperlink r:id="rId79" ref="A4710"/>
    <hyperlink r:id="rId79" ref="A4711"/>
    <hyperlink r:id="rId79" ref="A4712"/>
    <hyperlink r:id="rId79" ref="A4713"/>
    <hyperlink r:id="rId79" ref="A4714"/>
    <hyperlink r:id="rId79" ref="A4715"/>
    <hyperlink r:id="rId79" ref="A4716"/>
    <hyperlink r:id="rId79" ref="A4717"/>
    <hyperlink r:id="rId79" ref="A4718"/>
    <hyperlink r:id="rId79" ref="A4719"/>
    <hyperlink r:id="rId79" ref="A4720"/>
    <hyperlink r:id="rId79" ref="A4721"/>
    <hyperlink r:id="rId79" ref="A4722"/>
    <hyperlink r:id="rId79" ref="A4723"/>
    <hyperlink r:id="rId79" ref="A4724"/>
    <hyperlink r:id="rId79" ref="A4725"/>
    <hyperlink r:id="rId79" ref="A4726"/>
    <hyperlink r:id="rId79" ref="A4727"/>
    <hyperlink r:id="rId79" ref="A4728"/>
    <hyperlink r:id="rId79" ref="A4729"/>
    <hyperlink r:id="rId79" ref="A4730"/>
    <hyperlink r:id="rId79" ref="A4731"/>
    <hyperlink r:id="rId79" ref="A4732"/>
    <hyperlink r:id="rId79" ref="A4733"/>
    <hyperlink r:id="rId79" ref="A4734"/>
    <hyperlink r:id="rId79" ref="A4735"/>
    <hyperlink r:id="rId79" ref="A4736"/>
    <hyperlink r:id="rId79" ref="A4737"/>
    <hyperlink r:id="rId79" ref="A4738"/>
    <hyperlink r:id="rId79" ref="A4739"/>
    <hyperlink r:id="rId79" ref="A4740"/>
    <hyperlink r:id="rId79" ref="A4741"/>
    <hyperlink r:id="rId79" ref="A4742"/>
    <hyperlink r:id="rId79" ref="A4743"/>
    <hyperlink r:id="rId79" ref="A4744"/>
    <hyperlink r:id="rId79" ref="A4745"/>
    <hyperlink r:id="rId79" ref="A4746"/>
    <hyperlink r:id="rId79" ref="A4747"/>
    <hyperlink r:id="rId79" ref="A4748"/>
    <hyperlink r:id="rId79" ref="A4749"/>
    <hyperlink r:id="rId79" ref="A4750"/>
    <hyperlink r:id="rId79" ref="A4751"/>
    <hyperlink r:id="rId79" ref="A4752"/>
    <hyperlink r:id="rId79" ref="A4753"/>
    <hyperlink r:id="rId79" ref="A4754"/>
    <hyperlink r:id="rId79" ref="A4755"/>
    <hyperlink r:id="rId79" ref="A4756"/>
    <hyperlink r:id="rId79" ref="A4757"/>
    <hyperlink r:id="rId79" ref="A4758"/>
    <hyperlink r:id="rId79" ref="A4759"/>
    <hyperlink r:id="rId79" ref="A4760"/>
    <hyperlink r:id="rId79" ref="A4761"/>
    <hyperlink r:id="rId79" ref="A4762"/>
    <hyperlink r:id="rId79" ref="A4763"/>
    <hyperlink r:id="rId79" ref="A4764"/>
    <hyperlink r:id="rId79" ref="A4765"/>
    <hyperlink r:id="rId79" ref="A4766"/>
    <hyperlink r:id="rId79" ref="A4767"/>
    <hyperlink r:id="rId79" ref="A4768"/>
    <hyperlink r:id="rId79" ref="A4769"/>
    <hyperlink r:id="rId79" ref="A4770"/>
    <hyperlink r:id="rId79" ref="A4771"/>
    <hyperlink r:id="rId79" ref="A4772"/>
    <hyperlink r:id="rId79" ref="A4773"/>
    <hyperlink r:id="rId79" ref="A4774"/>
    <hyperlink r:id="rId79" ref="A4775"/>
    <hyperlink r:id="rId79" ref="A4776"/>
    <hyperlink r:id="rId79" ref="A4777"/>
    <hyperlink r:id="rId79" ref="A4778"/>
    <hyperlink r:id="rId79" ref="A4779"/>
    <hyperlink r:id="rId79" ref="A4780"/>
    <hyperlink r:id="rId79" ref="A4781"/>
    <hyperlink r:id="rId79" ref="A4782"/>
    <hyperlink r:id="rId79" ref="A4783"/>
    <hyperlink r:id="rId79" ref="A4784"/>
    <hyperlink r:id="rId80" ref="A4785"/>
    <hyperlink r:id="rId80" ref="A4786"/>
    <hyperlink r:id="rId80" ref="A4787"/>
    <hyperlink r:id="rId80" ref="A4788"/>
    <hyperlink r:id="rId80" ref="A4789"/>
    <hyperlink r:id="rId80" ref="A4790"/>
    <hyperlink r:id="rId80" ref="A4791"/>
    <hyperlink r:id="rId80" ref="A4792"/>
    <hyperlink r:id="rId80" ref="A4793"/>
    <hyperlink r:id="rId80" ref="A4794"/>
    <hyperlink r:id="rId80" ref="A4795"/>
    <hyperlink r:id="rId80" ref="A4796"/>
    <hyperlink r:id="rId80" ref="A4797"/>
    <hyperlink r:id="rId80" ref="A4798"/>
    <hyperlink r:id="rId80" ref="A4799"/>
    <hyperlink r:id="rId80" ref="A4800"/>
    <hyperlink r:id="rId80" ref="A4801"/>
    <hyperlink r:id="rId80" ref="A4802"/>
    <hyperlink r:id="rId80" ref="A4803"/>
    <hyperlink r:id="rId80" ref="A4804"/>
    <hyperlink r:id="rId80" ref="A4805"/>
    <hyperlink r:id="rId80" ref="A4806"/>
    <hyperlink r:id="rId80" ref="A4807"/>
    <hyperlink r:id="rId80" ref="A4808"/>
    <hyperlink r:id="rId80" ref="A4809"/>
    <hyperlink r:id="rId80" ref="A4810"/>
    <hyperlink r:id="rId80" ref="A4811"/>
    <hyperlink r:id="rId80" ref="A4812"/>
    <hyperlink r:id="rId80" ref="A4813"/>
    <hyperlink r:id="rId80" ref="A4814"/>
    <hyperlink r:id="rId80" ref="A4815"/>
    <hyperlink r:id="rId80" ref="A4816"/>
    <hyperlink r:id="rId80" ref="A4817"/>
    <hyperlink r:id="rId80" ref="A4818"/>
    <hyperlink r:id="rId80" ref="A4819"/>
    <hyperlink r:id="rId80" ref="A4820"/>
    <hyperlink r:id="rId80" ref="A4821"/>
    <hyperlink r:id="rId80" ref="A4822"/>
    <hyperlink r:id="rId80" ref="A4823"/>
    <hyperlink r:id="rId80" ref="A4824"/>
    <hyperlink r:id="rId80" ref="A4825"/>
    <hyperlink r:id="rId80" ref="A4826"/>
    <hyperlink r:id="rId80" ref="A4827"/>
    <hyperlink r:id="rId80" ref="A4828"/>
    <hyperlink r:id="rId80" ref="A4829"/>
    <hyperlink r:id="rId80" ref="A4830"/>
    <hyperlink r:id="rId80" ref="A4831"/>
    <hyperlink r:id="rId80" ref="A4832"/>
    <hyperlink r:id="rId80" ref="A4833"/>
    <hyperlink r:id="rId80" ref="A4834"/>
    <hyperlink r:id="rId80" ref="A4835"/>
    <hyperlink r:id="rId80" ref="A4836"/>
    <hyperlink r:id="rId80" ref="A4837"/>
    <hyperlink r:id="rId80" ref="A4838"/>
    <hyperlink r:id="rId80" ref="A4839"/>
    <hyperlink r:id="rId80" ref="A4840"/>
    <hyperlink r:id="rId80" ref="A4841"/>
    <hyperlink r:id="rId80" ref="A4842"/>
    <hyperlink r:id="rId80" ref="A4843"/>
    <hyperlink r:id="rId80" ref="A4844"/>
    <hyperlink r:id="rId80" ref="A4845"/>
    <hyperlink r:id="rId80" ref="A4846"/>
    <hyperlink r:id="rId80" ref="A4847"/>
    <hyperlink r:id="rId80" ref="A4848"/>
    <hyperlink r:id="rId80" ref="A4849"/>
    <hyperlink r:id="rId80" ref="A4850"/>
    <hyperlink r:id="rId80" ref="A4851"/>
    <hyperlink r:id="rId80" ref="A4852"/>
    <hyperlink r:id="rId80" ref="A4853"/>
    <hyperlink r:id="rId80" ref="A4854"/>
    <hyperlink r:id="rId80" ref="A4855"/>
    <hyperlink r:id="rId80" ref="A4856"/>
    <hyperlink r:id="rId80" ref="A4857"/>
    <hyperlink r:id="rId80" ref="A4858"/>
    <hyperlink r:id="rId80" ref="A4859"/>
    <hyperlink r:id="rId80" ref="A4860"/>
    <hyperlink r:id="rId80" ref="A4861"/>
    <hyperlink r:id="rId80" ref="A4862"/>
    <hyperlink r:id="rId80" ref="A4863"/>
    <hyperlink r:id="rId80" ref="A4864"/>
    <hyperlink r:id="rId80" ref="A4865"/>
    <hyperlink r:id="rId80" ref="A4866"/>
    <hyperlink r:id="rId80" ref="A4867"/>
    <hyperlink r:id="rId80" ref="A4868"/>
    <hyperlink r:id="rId80" ref="A4869"/>
    <hyperlink r:id="rId80" ref="A4870"/>
    <hyperlink r:id="rId80" ref="A4871"/>
    <hyperlink r:id="rId80" ref="A4872"/>
    <hyperlink r:id="rId80" ref="A4873"/>
    <hyperlink r:id="rId80" ref="A4874"/>
    <hyperlink r:id="rId80" ref="A4875"/>
    <hyperlink r:id="rId80" ref="A4876"/>
    <hyperlink r:id="rId80" ref="A4877"/>
    <hyperlink r:id="rId80" ref="A4878"/>
    <hyperlink r:id="rId80" ref="A4879"/>
    <hyperlink r:id="rId81" ref="A4880"/>
    <hyperlink r:id="rId81" ref="A4881"/>
    <hyperlink r:id="rId81" ref="A4882"/>
    <hyperlink r:id="rId81" ref="A4883"/>
    <hyperlink r:id="rId81" ref="A4884"/>
    <hyperlink r:id="rId81" ref="A4885"/>
    <hyperlink r:id="rId81" ref="A4886"/>
    <hyperlink r:id="rId81" ref="A4887"/>
    <hyperlink r:id="rId81" ref="A4888"/>
    <hyperlink r:id="rId81" ref="A4889"/>
    <hyperlink r:id="rId81" ref="A4890"/>
    <hyperlink r:id="rId81" ref="A4891"/>
    <hyperlink r:id="rId81" ref="A4892"/>
    <hyperlink r:id="rId81" ref="A4893"/>
    <hyperlink r:id="rId81" ref="A4894"/>
    <hyperlink r:id="rId81" ref="A4895"/>
    <hyperlink r:id="rId81" ref="A4896"/>
    <hyperlink r:id="rId81" ref="A4897"/>
    <hyperlink r:id="rId81" ref="A4898"/>
    <hyperlink r:id="rId81" ref="A4899"/>
    <hyperlink r:id="rId81" ref="A4900"/>
    <hyperlink r:id="rId81" ref="A4901"/>
    <hyperlink r:id="rId81" ref="A4902"/>
    <hyperlink r:id="rId81" ref="A4903"/>
    <hyperlink r:id="rId81" ref="A4904"/>
    <hyperlink r:id="rId81" ref="A4905"/>
    <hyperlink r:id="rId81" ref="A4906"/>
    <hyperlink r:id="rId81" ref="A4907"/>
    <hyperlink r:id="rId81" ref="A4908"/>
    <hyperlink r:id="rId81" ref="A4909"/>
    <hyperlink r:id="rId81" ref="A4910"/>
    <hyperlink r:id="rId81" ref="A4911"/>
    <hyperlink r:id="rId81" ref="A4912"/>
    <hyperlink r:id="rId81" ref="A4913"/>
    <hyperlink r:id="rId81" ref="A4914"/>
    <hyperlink r:id="rId81" ref="A4915"/>
    <hyperlink r:id="rId81" ref="A4916"/>
    <hyperlink r:id="rId81" ref="A4917"/>
    <hyperlink r:id="rId81" ref="A4918"/>
    <hyperlink r:id="rId81" ref="A4919"/>
    <hyperlink r:id="rId81" ref="A4920"/>
    <hyperlink r:id="rId81" ref="A4921"/>
    <hyperlink r:id="rId81" ref="A4922"/>
    <hyperlink r:id="rId81" ref="A4923"/>
    <hyperlink r:id="rId81" ref="A4924"/>
    <hyperlink r:id="rId81" ref="A4925"/>
    <hyperlink r:id="rId81" ref="A4926"/>
    <hyperlink r:id="rId81" ref="A4927"/>
    <hyperlink r:id="rId81" ref="A4928"/>
    <hyperlink r:id="rId81" ref="A4929"/>
    <hyperlink r:id="rId81" ref="A4930"/>
    <hyperlink r:id="rId81" ref="A4931"/>
    <hyperlink r:id="rId81" ref="A4932"/>
    <hyperlink r:id="rId81" ref="A4933"/>
    <hyperlink r:id="rId81" ref="A4934"/>
    <hyperlink r:id="rId81" ref="A4935"/>
    <hyperlink r:id="rId81" ref="A4936"/>
    <hyperlink r:id="rId81" ref="A4937"/>
    <hyperlink r:id="rId81" ref="A4938"/>
    <hyperlink r:id="rId81" ref="A4939"/>
    <hyperlink r:id="rId81" ref="A4940"/>
    <hyperlink r:id="rId81" ref="A4941"/>
    <hyperlink r:id="rId81" ref="A4942"/>
    <hyperlink r:id="rId81" ref="A4943"/>
    <hyperlink r:id="rId81" ref="A4944"/>
    <hyperlink r:id="rId81" ref="A4945"/>
    <hyperlink r:id="rId81" ref="A4946"/>
    <hyperlink r:id="rId81" ref="A4947"/>
    <hyperlink r:id="rId81" ref="A4948"/>
    <hyperlink r:id="rId81" ref="A4949"/>
    <hyperlink r:id="rId81" ref="A4950"/>
    <hyperlink r:id="rId81" ref="A4951"/>
    <hyperlink r:id="rId81" ref="A4952"/>
    <hyperlink r:id="rId81" ref="A4953"/>
    <hyperlink r:id="rId81" ref="A4954"/>
    <hyperlink r:id="rId81" ref="A4955"/>
    <hyperlink r:id="rId81" ref="A4956"/>
    <hyperlink r:id="rId81" ref="A4957"/>
    <hyperlink r:id="rId81" ref="A4958"/>
    <hyperlink r:id="rId81" ref="A4959"/>
    <hyperlink r:id="rId81" ref="A4960"/>
    <hyperlink r:id="rId81" ref="A4961"/>
    <hyperlink r:id="rId81" ref="A4962"/>
    <hyperlink r:id="rId81" ref="A4963"/>
    <hyperlink r:id="rId81" ref="A4964"/>
    <hyperlink r:id="rId81" ref="A4965"/>
    <hyperlink r:id="rId81" ref="A4966"/>
    <hyperlink r:id="rId81" ref="A4967"/>
    <hyperlink r:id="rId81" ref="A4968"/>
    <hyperlink r:id="rId81" ref="A4969"/>
    <hyperlink r:id="rId81" ref="A4970"/>
    <hyperlink r:id="rId81" ref="A4971"/>
    <hyperlink r:id="rId81" ref="A4972"/>
    <hyperlink r:id="rId81" ref="A4973"/>
    <hyperlink r:id="rId81" ref="A4974"/>
    <hyperlink r:id="rId81" ref="A4975"/>
    <hyperlink r:id="rId81" ref="A4976"/>
    <hyperlink r:id="rId81" ref="A4977"/>
    <hyperlink r:id="rId81" ref="A4978"/>
    <hyperlink r:id="rId81" ref="A4979"/>
    <hyperlink r:id="rId81" ref="A4980"/>
    <hyperlink r:id="rId81" ref="A4981"/>
    <hyperlink r:id="rId81" ref="A4982"/>
    <hyperlink r:id="rId81" ref="A4983"/>
    <hyperlink r:id="rId81" ref="A4984"/>
    <hyperlink r:id="rId81" ref="A4985"/>
    <hyperlink r:id="rId82" ref="A4986"/>
    <hyperlink r:id="rId82" ref="A4987"/>
    <hyperlink r:id="rId82" ref="A4988"/>
    <hyperlink r:id="rId82" ref="A4989"/>
    <hyperlink r:id="rId82" ref="A4990"/>
    <hyperlink r:id="rId82" ref="A4991"/>
    <hyperlink r:id="rId82" ref="A4992"/>
    <hyperlink r:id="rId82" ref="A4993"/>
    <hyperlink r:id="rId82" ref="A4994"/>
    <hyperlink r:id="rId82" ref="A4995"/>
    <hyperlink r:id="rId82" ref="A4996"/>
    <hyperlink r:id="rId82" ref="A4997"/>
    <hyperlink r:id="rId82" ref="A4998"/>
    <hyperlink r:id="rId82" ref="A4999"/>
    <hyperlink r:id="rId82" ref="A5000"/>
    <hyperlink r:id="rId82" ref="A5001"/>
    <hyperlink r:id="rId82" ref="A5002"/>
    <hyperlink r:id="rId82" ref="A5003"/>
    <hyperlink r:id="rId82" ref="A5004"/>
    <hyperlink r:id="rId82" ref="A5005"/>
    <hyperlink r:id="rId82" ref="A5006"/>
    <hyperlink r:id="rId82" ref="A5007"/>
    <hyperlink r:id="rId82" ref="A5008"/>
    <hyperlink r:id="rId82" ref="A5009"/>
    <hyperlink r:id="rId82" ref="A5010"/>
    <hyperlink r:id="rId82" ref="A5011"/>
    <hyperlink r:id="rId82" ref="A5012"/>
    <hyperlink r:id="rId82" ref="A5013"/>
    <hyperlink r:id="rId82" ref="A5014"/>
    <hyperlink r:id="rId82" ref="A5015"/>
    <hyperlink r:id="rId82" ref="A5016"/>
    <hyperlink r:id="rId82" ref="A5017"/>
    <hyperlink r:id="rId82" ref="A5018"/>
    <hyperlink r:id="rId82" ref="A5019"/>
    <hyperlink r:id="rId82" ref="A5020"/>
    <hyperlink r:id="rId82" ref="A5021"/>
    <hyperlink r:id="rId82" ref="A5022"/>
    <hyperlink r:id="rId82" ref="A5023"/>
    <hyperlink r:id="rId82" ref="A5024"/>
    <hyperlink r:id="rId82" ref="A5025"/>
    <hyperlink r:id="rId82" ref="A5026"/>
    <hyperlink r:id="rId82" ref="A5027"/>
    <hyperlink r:id="rId82" ref="A5028"/>
    <hyperlink r:id="rId82" ref="A5029"/>
    <hyperlink r:id="rId82" ref="A5030"/>
    <hyperlink r:id="rId82" ref="A5031"/>
    <hyperlink r:id="rId82" ref="A5032"/>
    <hyperlink r:id="rId82" ref="A5033"/>
    <hyperlink r:id="rId82" ref="A5034"/>
    <hyperlink r:id="rId82" ref="A5035"/>
    <hyperlink r:id="rId82" ref="A5036"/>
    <hyperlink r:id="rId82" ref="A5037"/>
    <hyperlink r:id="rId82" ref="A5038"/>
    <hyperlink r:id="rId82" ref="A5039"/>
    <hyperlink r:id="rId82" ref="A5040"/>
    <hyperlink r:id="rId82" ref="A5041"/>
    <hyperlink r:id="rId82" ref="A5042"/>
    <hyperlink r:id="rId82" ref="A5043"/>
    <hyperlink r:id="rId82" ref="A5044"/>
    <hyperlink r:id="rId82" ref="A5045"/>
    <hyperlink r:id="rId82" ref="A5046"/>
    <hyperlink r:id="rId82" ref="A5047"/>
    <hyperlink r:id="rId82" ref="A5048"/>
    <hyperlink r:id="rId82" ref="A5049"/>
    <hyperlink r:id="rId82" ref="A5050"/>
    <hyperlink r:id="rId82" ref="A5051"/>
    <hyperlink r:id="rId82" ref="A5052"/>
    <hyperlink r:id="rId82" ref="A5053"/>
    <hyperlink r:id="rId82" ref="A5054"/>
    <hyperlink r:id="rId82" ref="A5055"/>
    <hyperlink r:id="rId82" ref="A5056"/>
    <hyperlink r:id="rId82" ref="A5057"/>
    <hyperlink r:id="rId82" ref="A5058"/>
    <hyperlink r:id="rId82" ref="A5059"/>
    <hyperlink r:id="rId82" ref="A5060"/>
    <hyperlink r:id="rId82" ref="A5061"/>
    <hyperlink r:id="rId82" ref="A5062"/>
    <hyperlink r:id="rId82" ref="A5063"/>
    <hyperlink r:id="rId82" ref="A5064"/>
    <hyperlink r:id="rId82" ref="A5065"/>
    <hyperlink r:id="rId82" ref="A5066"/>
    <hyperlink r:id="rId82" ref="A5067"/>
    <hyperlink r:id="rId82" ref="A5068"/>
    <hyperlink r:id="rId82" ref="A5069"/>
    <hyperlink r:id="rId82" ref="A5070"/>
    <hyperlink r:id="rId82" ref="A5071"/>
    <hyperlink r:id="rId82" ref="A5072"/>
    <hyperlink r:id="rId82" ref="A5073"/>
    <hyperlink r:id="rId82" ref="A5074"/>
    <hyperlink r:id="rId82" ref="A5075"/>
    <hyperlink r:id="rId82" ref="A5076"/>
    <hyperlink r:id="rId82" ref="A5077"/>
    <hyperlink r:id="rId82" ref="A5078"/>
    <hyperlink r:id="rId82" ref="A5079"/>
    <hyperlink r:id="rId82" ref="A5080"/>
    <hyperlink r:id="rId82" ref="A5081"/>
    <hyperlink r:id="rId82" ref="A5082"/>
    <hyperlink r:id="rId82" ref="A5083"/>
    <hyperlink r:id="rId82" ref="A5084"/>
    <hyperlink r:id="rId82" ref="A5085"/>
    <hyperlink r:id="rId82" ref="A5086"/>
    <hyperlink r:id="rId82" ref="A5087"/>
    <hyperlink r:id="rId82" ref="A5088"/>
    <hyperlink r:id="rId82" ref="A5089"/>
    <hyperlink r:id="rId82" ref="A5090"/>
    <hyperlink r:id="rId82" ref="A5091"/>
    <hyperlink r:id="rId82" ref="A5092"/>
    <hyperlink r:id="rId82" ref="A5093"/>
    <hyperlink r:id="rId82" ref="A5094"/>
    <hyperlink r:id="rId82" ref="A5095"/>
    <hyperlink r:id="rId82" ref="A5096"/>
    <hyperlink r:id="rId82" ref="A5097"/>
    <hyperlink r:id="rId82" ref="A5098"/>
    <hyperlink r:id="rId82" ref="A5099"/>
    <hyperlink r:id="rId82" ref="A5100"/>
    <hyperlink r:id="rId82" ref="A5101"/>
    <hyperlink r:id="rId82" ref="A5102"/>
    <hyperlink r:id="rId82" ref="A5103"/>
    <hyperlink r:id="rId82" ref="A5104"/>
    <hyperlink r:id="rId82" ref="A5105"/>
    <hyperlink r:id="rId82" ref="A5106"/>
    <hyperlink r:id="rId82" ref="A5107"/>
    <hyperlink r:id="rId82" ref="A5108"/>
    <hyperlink r:id="rId82" ref="A5109"/>
    <hyperlink r:id="rId82" ref="A5110"/>
    <hyperlink r:id="rId82" ref="A5111"/>
    <hyperlink r:id="rId82" ref="A5112"/>
    <hyperlink r:id="rId82" ref="A5113"/>
    <hyperlink r:id="rId82" ref="A5114"/>
    <hyperlink r:id="rId82" ref="A5115"/>
    <hyperlink r:id="rId82" ref="A5116"/>
    <hyperlink r:id="rId82" ref="A5117"/>
    <hyperlink r:id="rId82" ref="A5118"/>
    <hyperlink r:id="rId82" ref="A5119"/>
    <hyperlink r:id="rId82" ref="A5120"/>
    <hyperlink r:id="rId82" ref="A5121"/>
    <hyperlink r:id="rId82" ref="A5122"/>
    <hyperlink r:id="rId82" ref="A5123"/>
    <hyperlink r:id="rId82" ref="A5124"/>
    <hyperlink r:id="rId82" ref="A5125"/>
    <hyperlink r:id="rId82" ref="A5126"/>
    <hyperlink r:id="rId82" ref="A5127"/>
    <hyperlink r:id="rId82" ref="A5128"/>
    <hyperlink r:id="rId82" ref="A5129"/>
    <hyperlink r:id="rId82" ref="A5130"/>
    <hyperlink r:id="rId82" ref="A5131"/>
    <hyperlink r:id="rId82" ref="A5132"/>
    <hyperlink r:id="rId82" ref="A5133"/>
    <hyperlink r:id="rId82" ref="A5134"/>
    <hyperlink r:id="rId82" ref="A5135"/>
    <hyperlink r:id="rId82" ref="A5136"/>
    <hyperlink r:id="rId82" ref="A5137"/>
    <hyperlink r:id="rId82" ref="A5138"/>
    <hyperlink r:id="rId82" ref="A5139"/>
    <hyperlink r:id="rId82" ref="A5140"/>
    <hyperlink r:id="rId82" ref="A5141"/>
    <hyperlink r:id="rId82" ref="A5142"/>
    <hyperlink r:id="rId82" ref="A5143"/>
    <hyperlink r:id="rId82" ref="A5144"/>
    <hyperlink r:id="rId82" ref="A5145"/>
    <hyperlink r:id="rId82" ref="A5146"/>
    <hyperlink r:id="rId82" ref="A5147"/>
    <hyperlink r:id="rId82" ref="A5148"/>
    <hyperlink r:id="rId82" ref="A5149"/>
    <hyperlink r:id="rId82" ref="A5150"/>
    <hyperlink r:id="rId82" ref="A5151"/>
    <hyperlink r:id="rId82" ref="A5152"/>
    <hyperlink r:id="rId82" ref="A5153"/>
    <hyperlink r:id="rId82" ref="A5154"/>
    <hyperlink r:id="rId82" ref="A5155"/>
    <hyperlink r:id="rId82" ref="A5156"/>
    <hyperlink r:id="rId82" ref="A5157"/>
    <hyperlink r:id="rId82" ref="A5158"/>
    <hyperlink r:id="rId82" ref="A5159"/>
    <hyperlink r:id="rId82" ref="A5160"/>
    <hyperlink r:id="rId82" ref="A5161"/>
    <hyperlink r:id="rId82" ref="A5162"/>
    <hyperlink r:id="rId82" ref="A5163"/>
    <hyperlink r:id="rId82" ref="A5164"/>
    <hyperlink r:id="rId82" ref="A5165"/>
    <hyperlink r:id="rId82" ref="A5166"/>
    <hyperlink r:id="rId82" ref="A5167"/>
    <hyperlink r:id="rId82" ref="A5168"/>
    <hyperlink r:id="rId82" ref="A5169"/>
    <hyperlink r:id="rId82" ref="A5170"/>
    <hyperlink r:id="rId82" ref="A5171"/>
    <hyperlink r:id="rId82" ref="A5172"/>
    <hyperlink r:id="rId82" ref="A5173"/>
    <hyperlink r:id="rId82" ref="A5174"/>
    <hyperlink r:id="rId82" ref="A5175"/>
    <hyperlink r:id="rId82" ref="A5176"/>
    <hyperlink r:id="rId82" ref="A5177"/>
    <hyperlink r:id="rId82" ref="A5178"/>
    <hyperlink r:id="rId82" ref="A5179"/>
    <hyperlink r:id="rId82" ref="A5180"/>
    <hyperlink r:id="rId82" ref="A5181"/>
    <hyperlink r:id="rId82" ref="A5182"/>
    <hyperlink r:id="rId82" ref="A5183"/>
    <hyperlink r:id="rId82" ref="A5184"/>
    <hyperlink r:id="rId82" ref="A5185"/>
    <hyperlink r:id="rId82" ref="A5186"/>
    <hyperlink r:id="rId82" ref="A5187"/>
    <hyperlink r:id="rId82" ref="A5188"/>
    <hyperlink r:id="rId82" ref="A5189"/>
    <hyperlink r:id="rId82" ref="A5190"/>
    <hyperlink r:id="rId82" ref="A5191"/>
    <hyperlink r:id="rId82" ref="A5192"/>
    <hyperlink r:id="rId82" ref="A5193"/>
    <hyperlink r:id="rId82" ref="A5194"/>
    <hyperlink r:id="rId82" ref="A5195"/>
    <hyperlink r:id="rId82" ref="A5196"/>
    <hyperlink r:id="rId82" ref="A5197"/>
    <hyperlink r:id="rId82" ref="A5198"/>
    <hyperlink r:id="rId82" ref="A5199"/>
    <hyperlink r:id="rId82" ref="A5200"/>
    <hyperlink r:id="rId82" ref="A5201"/>
    <hyperlink r:id="rId82" ref="A5202"/>
    <hyperlink r:id="rId82" ref="A5203"/>
    <hyperlink r:id="rId82" ref="A5204"/>
    <hyperlink r:id="rId82" ref="A5205"/>
    <hyperlink r:id="rId82" ref="A5206"/>
    <hyperlink r:id="rId82" ref="A5207"/>
    <hyperlink r:id="rId82" ref="A5208"/>
    <hyperlink r:id="rId82" ref="A5209"/>
    <hyperlink r:id="rId82" ref="A5210"/>
    <hyperlink r:id="rId82" ref="A5211"/>
    <hyperlink r:id="rId82" ref="A5212"/>
    <hyperlink r:id="rId82" ref="A5213"/>
    <hyperlink r:id="rId82" ref="A5214"/>
    <hyperlink r:id="rId82" ref="A5215"/>
    <hyperlink r:id="rId82" ref="A5216"/>
    <hyperlink r:id="rId82" ref="A5217"/>
    <hyperlink r:id="rId82" ref="A5218"/>
    <hyperlink r:id="rId82" ref="A5219"/>
    <hyperlink r:id="rId82" ref="A5220"/>
    <hyperlink r:id="rId82" ref="A5221"/>
    <hyperlink r:id="rId82" ref="A5222"/>
    <hyperlink r:id="rId82" ref="A5223"/>
    <hyperlink r:id="rId82" ref="A5224"/>
    <hyperlink r:id="rId82" ref="A5225"/>
    <hyperlink r:id="rId82" ref="A5226"/>
    <hyperlink r:id="rId82" ref="A5227"/>
    <hyperlink r:id="rId82" ref="A5228"/>
    <hyperlink r:id="rId82" ref="A5229"/>
    <hyperlink r:id="rId82" ref="A5230"/>
    <hyperlink r:id="rId82" ref="A5231"/>
    <hyperlink r:id="rId82" ref="A5232"/>
    <hyperlink r:id="rId82" ref="A5233"/>
    <hyperlink r:id="rId82" ref="A5234"/>
    <hyperlink r:id="rId82" ref="A5235"/>
    <hyperlink r:id="rId82" ref="A5236"/>
    <hyperlink r:id="rId82" ref="A5237"/>
    <hyperlink r:id="rId82" ref="A5238"/>
    <hyperlink r:id="rId82" ref="A5239"/>
    <hyperlink r:id="rId82" ref="A5240"/>
    <hyperlink r:id="rId82" ref="A5241"/>
    <hyperlink r:id="rId82" ref="A5242"/>
    <hyperlink r:id="rId82" ref="A5243"/>
    <hyperlink r:id="rId82" ref="A5244"/>
    <hyperlink r:id="rId82" ref="A5245"/>
    <hyperlink r:id="rId82" ref="A5246"/>
    <hyperlink r:id="rId82" ref="A5247"/>
    <hyperlink r:id="rId82" ref="A5248"/>
    <hyperlink r:id="rId82" ref="A5249"/>
    <hyperlink r:id="rId82" ref="A5250"/>
    <hyperlink r:id="rId82" ref="A5251"/>
    <hyperlink r:id="rId82" ref="A5252"/>
    <hyperlink r:id="rId82" ref="A5253"/>
    <hyperlink r:id="rId82" ref="A5254"/>
    <hyperlink r:id="rId82" ref="A5255"/>
    <hyperlink r:id="rId82" ref="A5256"/>
    <hyperlink r:id="rId82" ref="A5257"/>
    <hyperlink r:id="rId82" ref="A5258"/>
    <hyperlink r:id="rId82" ref="A5259"/>
    <hyperlink r:id="rId82" ref="A5260"/>
    <hyperlink r:id="rId82" ref="A5261"/>
    <hyperlink r:id="rId82" ref="A5262"/>
    <hyperlink r:id="rId82" ref="A5263"/>
    <hyperlink r:id="rId82" ref="A5264"/>
    <hyperlink r:id="rId82" ref="A5265"/>
    <hyperlink r:id="rId82" ref="A5266"/>
    <hyperlink r:id="rId82" ref="A5267"/>
    <hyperlink r:id="rId82" ref="A5268"/>
    <hyperlink r:id="rId82" ref="A5269"/>
    <hyperlink r:id="rId82" ref="A5270"/>
    <hyperlink r:id="rId82" ref="A5271"/>
    <hyperlink r:id="rId82" ref="A5272"/>
    <hyperlink r:id="rId82" ref="A5273"/>
    <hyperlink r:id="rId82" ref="A5274"/>
    <hyperlink r:id="rId82" ref="A5275"/>
    <hyperlink r:id="rId82" ref="A5276"/>
    <hyperlink r:id="rId82" ref="A5277"/>
    <hyperlink r:id="rId82" ref="A5278"/>
    <hyperlink r:id="rId82" ref="A5279"/>
    <hyperlink r:id="rId82" ref="A5280"/>
    <hyperlink r:id="rId82" ref="A5281"/>
    <hyperlink r:id="rId82" ref="A5282"/>
    <hyperlink r:id="rId82" ref="A5283"/>
    <hyperlink r:id="rId82" ref="A5284"/>
    <hyperlink r:id="rId82" ref="A5285"/>
    <hyperlink r:id="rId82" ref="A5286"/>
    <hyperlink r:id="rId82" ref="A5287"/>
    <hyperlink r:id="rId82" ref="A5288"/>
    <hyperlink r:id="rId82" ref="A5289"/>
    <hyperlink r:id="rId82" ref="A5290"/>
    <hyperlink r:id="rId82" ref="A5291"/>
    <hyperlink r:id="rId83" ref="A5292"/>
    <hyperlink r:id="rId83" ref="A5293"/>
    <hyperlink r:id="rId83" ref="A5294"/>
    <hyperlink r:id="rId83" ref="A5295"/>
    <hyperlink r:id="rId83" ref="A5296"/>
    <hyperlink r:id="rId83" ref="A5297"/>
    <hyperlink r:id="rId83" ref="A5298"/>
    <hyperlink r:id="rId83" ref="A5299"/>
    <hyperlink r:id="rId83" ref="A5300"/>
    <hyperlink r:id="rId83" ref="A5301"/>
    <hyperlink r:id="rId83" ref="A5302"/>
    <hyperlink r:id="rId83" ref="A5303"/>
    <hyperlink r:id="rId83" ref="A5304"/>
    <hyperlink r:id="rId83" ref="A5305"/>
    <hyperlink r:id="rId83" ref="A5306"/>
    <hyperlink r:id="rId83" ref="A5307"/>
    <hyperlink r:id="rId83" ref="A5308"/>
    <hyperlink r:id="rId83" ref="A5309"/>
    <hyperlink r:id="rId83" ref="A5310"/>
    <hyperlink r:id="rId83" ref="A5311"/>
    <hyperlink r:id="rId83" ref="A5312"/>
    <hyperlink r:id="rId83" ref="A5313"/>
    <hyperlink r:id="rId83" ref="A5314"/>
    <hyperlink r:id="rId83" ref="A5315"/>
    <hyperlink r:id="rId83" ref="A5316"/>
    <hyperlink r:id="rId83" ref="A5317"/>
    <hyperlink r:id="rId83" ref="A5318"/>
    <hyperlink r:id="rId83" ref="A5319"/>
    <hyperlink r:id="rId83" ref="A5320"/>
    <hyperlink r:id="rId83" ref="A5321"/>
    <hyperlink r:id="rId83" ref="A5322"/>
    <hyperlink r:id="rId83" ref="A5323"/>
    <hyperlink r:id="rId83" ref="A5324"/>
    <hyperlink r:id="rId83" ref="A5325"/>
    <hyperlink r:id="rId83" ref="A5326"/>
    <hyperlink r:id="rId83" ref="A5327"/>
    <hyperlink r:id="rId83" ref="A5328"/>
    <hyperlink r:id="rId83" ref="A5329"/>
    <hyperlink r:id="rId83" ref="A5330"/>
    <hyperlink r:id="rId83" ref="A5331"/>
    <hyperlink r:id="rId83" ref="A5332"/>
    <hyperlink r:id="rId83" ref="A5333"/>
    <hyperlink r:id="rId83" ref="A5334"/>
    <hyperlink r:id="rId83" ref="A5335"/>
    <hyperlink r:id="rId83" ref="A5336"/>
    <hyperlink r:id="rId83" ref="A5337"/>
    <hyperlink r:id="rId83" ref="A5338"/>
    <hyperlink r:id="rId83" ref="A5339"/>
    <hyperlink r:id="rId83" ref="A5340"/>
    <hyperlink r:id="rId83" ref="A5341"/>
    <hyperlink r:id="rId83" ref="A5342"/>
    <hyperlink r:id="rId83" ref="A5343"/>
    <hyperlink r:id="rId83" ref="A5344"/>
    <hyperlink r:id="rId83" ref="A5345"/>
    <hyperlink r:id="rId83" ref="A5346"/>
    <hyperlink r:id="rId83" ref="A5347"/>
    <hyperlink r:id="rId83" ref="A5348"/>
    <hyperlink r:id="rId83" ref="A5349"/>
    <hyperlink r:id="rId83" ref="A5350"/>
    <hyperlink r:id="rId83" ref="A5351"/>
    <hyperlink r:id="rId83" ref="A5352"/>
    <hyperlink r:id="rId83" ref="A5353"/>
    <hyperlink r:id="rId83" ref="A5354"/>
    <hyperlink r:id="rId83" ref="A5355"/>
    <hyperlink r:id="rId83" ref="A5356"/>
    <hyperlink r:id="rId83" ref="A5357"/>
    <hyperlink r:id="rId83" ref="A5358"/>
    <hyperlink r:id="rId83" ref="A5359"/>
    <hyperlink r:id="rId83" ref="A5360"/>
    <hyperlink r:id="rId83" ref="A5361"/>
    <hyperlink r:id="rId83" ref="A5362"/>
    <hyperlink r:id="rId83" ref="A5363"/>
    <hyperlink r:id="rId83" ref="A5364"/>
    <hyperlink r:id="rId83" ref="A5365"/>
    <hyperlink r:id="rId83" ref="A5366"/>
    <hyperlink r:id="rId83" ref="A5367"/>
    <hyperlink r:id="rId83" ref="A5368"/>
    <hyperlink r:id="rId83" ref="A5369"/>
    <hyperlink r:id="rId83" ref="A5370"/>
    <hyperlink r:id="rId83" ref="A5371"/>
    <hyperlink r:id="rId83" ref="A5372"/>
    <hyperlink r:id="rId83" ref="A5373"/>
    <hyperlink r:id="rId83" ref="A5374"/>
    <hyperlink r:id="rId83" ref="A5375"/>
    <hyperlink r:id="rId83" ref="A5376"/>
    <hyperlink r:id="rId83" ref="A5377"/>
    <hyperlink r:id="rId83" ref="A5378"/>
    <hyperlink r:id="rId83" ref="A5379"/>
    <hyperlink r:id="rId83" ref="A5380"/>
    <hyperlink r:id="rId83" ref="A5381"/>
    <hyperlink r:id="rId83" ref="A5382"/>
    <hyperlink r:id="rId83" ref="A5383"/>
    <hyperlink r:id="rId83" ref="A5384"/>
    <hyperlink r:id="rId83" ref="A5385"/>
    <hyperlink r:id="rId83" ref="A5386"/>
    <hyperlink r:id="rId83" ref="A5387"/>
    <hyperlink r:id="rId83" ref="A5388"/>
    <hyperlink r:id="rId83" ref="A5389"/>
    <hyperlink r:id="rId83" ref="A5390"/>
    <hyperlink r:id="rId83" ref="A5391"/>
    <hyperlink r:id="rId83" ref="A5392"/>
    <hyperlink r:id="rId83" ref="A5393"/>
    <hyperlink r:id="rId83" ref="A5394"/>
    <hyperlink r:id="rId83" ref="A5395"/>
    <hyperlink r:id="rId83" ref="A5396"/>
    <hyperlink r:id="rId83" ref="A5397"/>
    <hyperlink r:id="rId83" ref="A5398"/>
    <hyperlink r:id="rId83" ref="A5399"/>
    <hyperlink r:id="rId83" ref="A5400"/>
    <hyperlink r:id="rId83" ref="A5401"/>
    <hyperlink r:id="rId83" ref="A5402"/>
    <hyperlink r:id="rId83" ref="A5403"/>
    <hyperlink r:id="rId83" ref="A5404"/>
    <hyperlink r:id="rId83" ref="A5405"/>
    <hyperlink r:id="rId83" ref="A5406"/>
    <hyperlink r:id="rId83" ref="A5407"/>
    <hyperlink r:id="rId83" ref="A5408"/>
    <hyperlink r:id="rId83" ref="A5409"/>
    <hyperlink r:id="rId83" ref="A5410"/>
    <hyperlink r:id="rId83" ref="A5411"/>
    <hyperlink r:id="rId83" ref="A5412"/>
    <hyperlink r:id="rId83" ref="A5413"/>
    <hyperlink r:id="rId83" ref="A5414"/>
    <hyperlink r:id="rId83" ref="A5415"/>
    <hyperlink r:id="rId83" ref="A5416"/>
    <hyperlink r:id="rId83" ref="A5417"/>
    <hyperlink r:id="rId83" ref="A5418"/>
    <hyperlink r:id="rId83" ref="A5419"/>
    <hyperlink r:id="rId83" ref="A5420"/>
    <hyperlink r:id="rId83" ref="A5421"/>
    <hyperlink r:id="rId83" ref="A5422"/>
    <hyperlink r:id="rId83" ref="A5423"/>
    <hyperlink r:id="rId83" ref="A5424"/>
    <hyperlink r:id="rId83" ref="A5425"/>
    <hyperlink r:id="rId83" ref="A5426"/>
    <hyperlink r:id="rId83" ref="A5427"/>
    <hyperlink r:id="rId83" ref="A5428"/>
    <hyperlink r:id="rId83" ref="A5429"/>
    <hyperlink r:id="rId84" ref="A5430"/>
    <hyperlink r:id="rId84" ref="A5431"/>
    <hyperlink r:id="rId84" ref="A5432"/>
    <hyperlink r:id="rId84" ref="A5433"/>
    <hyperlink r:id="rId84" ref="A5434"/>
    <hyperlink r:id="rId84" ref="A5435"/>
    <hyperlink r:id="rId84" ref="A5436"/>
    <hyperlink r:id="rId84" ref="A5437"/>
    <hyperlink r:id="rId84" ref="A5438"/>
    <hyperlink r:id="rId84" ref="A5439"/>
    <hyperlink r:id="rId84" ref="A5440"/>
    <hyperlink r:id="rId84" ref="A5441"/>
    <hyperlink r:id="rId84" ref="A5442"/>
    <hyperlink r:id="rId84" ref="A5443"/>
    <hyperlink r:id="rId84" ref="A5444"/>
    <hyperlink r:id="rId84" ref="A5445"/>
    <hyperlink r:id="rId84" ref="A5446"/>
    <hyperlink r:id="rId84" ref="A5447"/>
    <hyperlink r:id="rId84" ref="A5448"/>
    <hyperlink r:id="rId84" ref="A5449"/>
    <hyperlink r:id="rId84" ref="A5450"/>
    <hyperlink r:id="rId84" ref="A5451"/>
    <hyperlink r:id="rId84" ref="A5452"/>
    <hyperlink r:id="rId84" ref="A5453"/>
    <hyperlink r:id="rId84" ref="A5454"/>
    <hyperlink r:id="rId84" ref="A5455"/>
    <hyperlink r:id="rId84" ref="A5456"/>
    <hyperlink r:id="rId84" ref="A5457"/>
    <hyperlink r:id="rId84" ref="A5458"/>
    <hyperlink r:id="rId84" ref="A5459"/>
    <hyperlink r:id="rId84" ref="A5460"/>
    <hyperlink r:id="rId84" ref="A5461"/>
    <hyperlink r:id="rId84" ref="A5462"/>
    <hyperlink r:id="rId84" ref="A5463"/>
    <hyperlink r:id="rId84" ref="A5464"/>
    <hyperlink r:id="rId84" ref="A5465"/>
    <hyperlink r:id="rId84" ref="A5466"/>
    <hyperlink r:id="rId84" ref="A5467"/>
    <hyperlink r:id="rId84" ref="A5468"/>
    <hyperlink r:id="rId84" ref="A5469"/>
    <hyperlink r:id="rId84" ref="A5470"/>
    <hyperlink r:id="rId84" ref="A5471"/>
    <hyperlink r:id="rId84" ref="A5472"/>
    <hyperlink r:id="rId84" ref="A5473"/>
    <hyperlink r:id="rId84" ref="A5474"/>
    <hyperlink r:id="rId84" ref="A5475"/>
    <hyperlink r:id="rId84" ref="A5476"/>
    <hyperlink r:id="rId84" ref="A5477"/>
    <hyperlink r:id="rId84" ref="A5478"/>
    <hyperlink r:id="rId84" ref="A5479"/>
    <hyperlink r:id="rId84" ref="A5480"/>
    <hyperlink r:id="rId84" ref="A5481"/>
    <hyperlink r:id="rId84" ref="A5482"/>
    <hyperlink r:id="rId84" ref="A5483"/>
    <hyperlink r:id="rId84" ref="A5484"/>
    <hyperlink r:id="rId84" ref="A5485"/>
    <hyperlink r:id="rId84" ref="A5486"/>
    <hyperlink r:id="rId84" ref="A5487"/>
    <hyperlink r:id="rId84" ref="A5488"/>
    <hyperlink r:id="rId84" ref="A5489"/>
    <hyperlink r:id="rId84" ref="A5490"/>
    <hyperlink r:id="rId84" ref="A5491"/>
    <hyperlink r:id="rId84" ref="A5492"/>
    <hyperlink r:id="rId84" ref="A5493"/>
    <hyperlink r:id="rId84" ref="A5494"/>
    <hyperlink r:id="rId84" ref="A5495"/>
    <hyperlink r:id="rId84" ref="A5496"/>
    <hyperlink r:id="rId84" ref="A5497"/>
    <hyperlink r:id="rId84" ref="A5498"/>
    <hyperlink r:id="rId84" ref="A5499"/>
    <hyperlink r:id="rId84" ref="A5500"/>
    <hyperlink r:id="rId84" ref="A5501"/>
    <hyperlink r:id="rId84" ref="A5502"/>
    <hyperlink r:id="rId84" ref="A5503"/>
    <hyperlink r:id="rId84" ref="A5504"/>
    <hyperlink r:id="rId84" ref="A5505"/>
    <hyperlink r:id="rId84" ref="A5506"/>
    <hyperlink r:id="rId84" ref="A5507"/>
    <hyperlink r:id="rId84" ref="A5508"/>
    <hyperlink r:id="rId84" ref="A5509"/>
    <hyperlink r:id="rId84" ref="A5510"/>
    <hyperlink r:id="rId84" ref="A5511"/>
    <hyperlink r:id="rId84" ref="A5512"/>
    <hyperlink r:id="rId84" ref="A5513"/>
    <hyperlink r:id="rId84" ref="A5514"/>
    <hyperlink r:id="rId84" ref="A5515"/>
    <hyperlink r:id="rId84" ref="A5516"/>
    <hyperlink r:id="rId84" ref="A5517"/>
    <hyperlink r:id="rId84" ref="A5518"/>
    <hyperlink r:id="rId84" ref="A5519"/>
    <hyperlink r:id="rId84" ref="A5520"/>
    <hyperlink r:id="rId84" ref="A5521"/>
    <hyperlink r:id="rId84" ref="A5522"/>
    <hyperlink r:id="rId84" ref="A5523"/>
    <hyperlink r:id="rId84" ref="A5524"/>
    <hyperlink r:id="rId85" ref="A5525"/>
    <hyperlink r:id="rId85" ref="A5526"/>
    <hyperlink r:id="rId85" ref="A5527"/>
    <hyperlink r:id="rId85" ref="A5528"/>
    <hyperlink r:id="rId85" ref="A5529"/>
    <hyperlink r:id="rId85" ref="A5530"/>
    <hyperlink r:id="rId85" ref="A5531"/>
    <hyperlink r:id="rId85" ref="A5532"/>
    <hyperlink r:id="rId85" ref="A5533"/>
    <hyperlink r:id="rId86" ref="A5534"/>
    <hyperlink r:id="rId86" ref="A5535"/>
    <hyperlink r:id="rId86" ref="A5536"/>
    <hyperlink r:id="rId86" ref="A5537"/>
    <hyperlink r:id="rId86" ref="A5538"/>
    <hyperlink r:id="rId86" ref="A5539"/>
    <hyperlink r:id="rId86" ref="A5540"/>
    <hyperlink r:id="rId86" ref="A5541"/>
    <hyperlink r:id="rId86" ref="A5542"/>
    <hyperlink r:id="rId86" ref="A5543"/>
    <hyperlink r:id="rId86" ref="A5544"/>
    <hyperlink r:id="rId86" ref="A5545"/>
    <hyperlink r:id="rId86" ref="A5546"/>
    <hyperlink r:id="rId86" ref="A5547"/>
    <hyperlink r:id="rId86" ref="A5548"/>
    <hyperlink r:id="rId86" ref="A5549"/>
    <hyperlink r:id="rId86" ref="A5550"/>
    <hyperlink r:id="rId86" ref="A5551"/>
    <hyperlink r:id="rId86" ref="A5552"/>
    <hyperlink r:id="rId86" ref="A5553"/>
    <hyperlink r:id="rId86" ref="A5554"/>
    <hyperlink r:id="rId86" ref="A5555"/>
    <hyperlink r:id="rId86" ref="A5556"/>
    <hyperlink r:id="rId86" ref="A5557"/>
    <hyperlink r:id="rId86" ref="A5558"/>
    <hyperlink r:id="rId86" ref="A5559"/>
    <hyperlink r:id="rId86" ref="A5560"/>
    <hyperlink r:id="rId86" ref="A5561"/>
    <hyperlink r:id="rId86" ref="A5562"/>
    <hyperlink r:id="rId86" ref="A5563"/>
    <hyperlink r:id="rId86" ref="A5564"/>
    <hyperlink r:id="rId86" ref="A5565"/>
    <hyperlink r:id="rId86" ref="A5566"/>
    <hyperlink r:id="rId86" ref="A5567"/>
    <hyperlink r:id="rId86" ref="A5568"/>
    <hyperlink r:id="rId86" ref="A5569"/>
    <hyperlink r:id="rId86" ref="A5570"/>
    <hyperlink r:id="rId86" ref="A5571"/>
    <hyperlink r:id="rId86" ref="A5572"/>
    <hyperlink r:id="rId86" ref="A5573"/>
    <hyperlink r:id="rId86" ref="A5574"/>
    <hyperlink r:id="rId86" ref="A5575"/>
    <hyperlink r:id="rId86" ref="A5576"/>
    <hyperlink r:id="rId86" ref="A5577"/>
    <hyperlink r:id="rId86" ref="A5578"/>
    <hyperlink r:id="rId86" ref="A5579"/>
    <hyperlink r:id="rId86" ref="A5580"/>
    <hyperlink r:id="rId86" ref="A5581"/>
    <hyperlink r:id="rId86" ref="A5582"/>
    <hyperlink r:id="rId86" ref="A5583"/>
    <hyperlink r:id="rId86" ref="A5584"/>
    <hyperlink r:id="rId86" ref="A5585"/>
    <hyperlink r:id="rId86" ref="A5586"/>
    <hyperlink r:id="rId86" ref="A5587"/>
    <hyperlink r:id="rId86" ref="A5588"/>
    <hyperlink r:id="rId86" ref="A5589"/>
    <hyperlink r:id="rId86" ref="A5590"/>
    <hyperlink r:id="rId86" ref="A5591"/>
    <hyperlink r:id="rId86" ref="A5592"/>
    <hyperlink r:id="rId86" ref="A5593"/>
    <hyperlink r:id="rId86" ref="A5594"/>
    <hyperlink r:id="rId86" ref="A5595"/>
    <hyperlink r:id="rId86" ref="A5596"/>
    <hyperlink r:id="rId86" ref="A5597"/>
    <hyperlink r:id="rId86" ref="A5598"/>
    <hyperlink r:id="rId86" ref="A5599"/>
    <hyperlink r:id="rId86" ref="A5600"/>
    <hyperlink r:id="rId86" ref="A5601"/>
    <hyperlink r:id="rId86" ref="A5602"/>
    <hyperlink r:id="rId86" ref="A5603"/>
    <hyperlink r:id="rId86" ref="A5604"/>
    <hyperlink r:id="rId86" ref="A5605"/>
    <hyperlink r:id="rId86" ref="A5606"/>
    <hyperlink r:id="rId86" ref="A5607"/>
    <hyperlink r:id="rId86" ref="A5608"/>
    <hyperlink r:id="rId86" ref="A5609"/>
    <hyperlink r:id="rId86" ref="A5610"/>
    <hyperlink r:id="rId86" ref="A5611"/>
    <hyperlink r:id="rId86" ref="A5612"/>
    <hyperlink r:id="rId86" ref="A5613"/>
    <hyperlink r:id="rId86" ref="A5614"/>
    <hyperlink r:id="rId86" ref="A5615"/>
    <hyperlink r:id="rId86" ref="A5616"/>
    <hyperlink r:id="rId86" ref="A5617"/>
    <hyperlink r:id="rId86" ref="A5618"/>
    <hyperlink r:id="rId86" ref="A5619"/>
    <hyperlink r:id="rId86" ref="A5620"/>
    <hyperlink r:id="rId86" ref="A5621"/>
    <hyperlink r:id="rId86" ref="A5622"/>
    <hyperlink r:id="rId86" ref="A5623"/>
    <hyperlink r:id="rId87" ref="A5624"/>
    <hyperlink r:id="rId87" ref="A5625"/>
    <hyperlink r:id="rId87" ref="A5626"/>
    <hyperlink r:id="rId87" ref="A5627"/>
    <hyperlink r:id="rId87" ref="A5628"/>
    <hyperlink r:id="rId87" ref="A5629"/>
    <hyperlink r:id="rId87" ref="A5630"/>
    <hyperlink r:id="rId87" ref="A5631"/>
    <hyperlink r:id="rId87" ref="A5632"/>
    <hyperlink r:id="rId87" ref="A5633"/>
    <hyperlink r:id="rId87" ref="A5634"/>
    <hyperlink r:id="rId87" ref="A5635"/>
    <hyperlink r:id="rId87" ref="A5636"/>
    <hyperlink r:id="rId87" ref="A5637"/>
    <hyperlink r:id="rId87" ref="A5638"/>
    <hyperlink r:id="rId87" ref="A5639"/>
    <hyperlink r:id="rId87" ref="A5640"/>
    <hyperlink r:id="rId87" ref="A5641"/>
    <hyperlink r:id="rId87" ref="A5642"/>
    <hyperlink r:id="rId87" ref="A5643"/>
    <hyperlink r:id="rId87" ref="A5644"/>
    <hyperlink r:id="rId87" ref="A5645"/>
    <hyperlink r:id="rId87" ref="A5646"/>
    <hyperlink r:id="rId87" ref="A5647"/>
    <hyperlink r:id="rId87" ref="A5648"/>
    <hyperlink r:id="rId87" ref="A5649"/>
    <hyperlink r:id="rId87" ref="A5650"/>
    <hyperlink r:id="rId87" ref="A5651"/>
    <hyperlink r:id="rId87" ref="A5652"/>
    <hyperlink r:id="rId87" ref="A5653"/>
    <hyperlink r:id="rId87" ref="A5654"/>
    <hyperlink r:id="rId87" ref="A5655"/>
    <hyperlink r:id="rId87" ref="A5656"/>
    <hyperlink r:id="rId87" ref="A5657"/>
    <hyperlink r:id="rId87" ref="A5658"/>
    <hyperlink r:id="rId87" ref="A5659"/>
    <hyperlink r:id="rId87" ref="A5660"/>
    <hyperlink r:id="rId87" ref="A5661"/>
    <hyperlink r:id="rId87" ref="A5662"/>
    <hyperlink r:id="rId87" ref="A5663"/>
    <hyperlink r:id="rId87" ref="A5664"/>
    <hyperlink r:id="rId87" ref="A5665"/>
    <hyperlink r:id="rId87" ref="A5666"/>
    <hyperlink r:id="rId87" ref="A5667"/>
    <hyperlink r:id="rId87" ref="A5668"/>
    <hyperlink r:id="rId87" ref="A5669"/>
    <hyperlink r:id="rId87" ref="A5670"/>
    <hyperlink r:id="rId87" ref="A5671"/>
    <hyperlink r:id="rId87" ref="A5672"/>
    <hyperlink r:id="rId87" ref="A5673"/>
    <hyperlink r:id="rId87" ref="A5674"/>
    <hyperlink r:id="rId87" ref="A5675"/>
    <hyperlink r:id="rId87" ref="A5676"/>
    <hyperlink r:id="rId87" ref="A5677"/>
    <hyperlink r:id="rId87" ref="A5678"/>
    <hyperlink r:id="rId87" ref="A5679"/>
    <hyperlink r:id="rId87" ref="A5680"/>
    <hyperlink r:id="rId87" ref="A5681"/>
    <hyperlink r:id="rId87" ref="A5682"/>
    <hyperlink r:id="rId87" ref="A5683"/>
    <hyperlink r:id="rId87" ref="A5684"/>
    <hyperlink r:id="rId87" ref="A5685"/>
    <hyperlink r:id="rId87" ref="A5686"/>
    <hyperlink r:id="rId87" ref="A5687"/>
    <hyperlink r:id="rId87" ref="A5688"/>
    <hyperlink r:id="rId87" ref="A5689"/>
    <hyperlink r:id="rId87" ref="A5690"/>
    <hyperlink r:id="rId87" ref="A5691"/>
    <hyperlink r:id="rId87" ref="A5692"/>
    <hyperlink r:id="rId87" ref="A5693"/>
    <hyperlink r:id="rId87" ref="A5694"/>
    <hyperlink r:id="rId87" ref="A5695"/>
    <hyperlink r:id="rId87" ref="A5696"/>
    <hyperlink r:id="rId87" ref="A5697"/>
    <hyperlink r:id="rId87" ref="A5698"/>
    <hyperlink r:id="rId87" ref="A5699"/>
    <hyperlink r:id="rId87" ref="A5700"/>
    <hyperlink r:id="rId87" ref="A5701"/>
    <hyperlink r:id="rId87" ref="A5702"/>
    <hyperlink r:id="rId87" ref="A5703"/>
    <hyperlink r:id="rId87" ref="A5704"/>
    <hyperlink r:id="rId87" ref="A5705"/>
    <hyperlink r:id="rId87" ref="A5706"/>
    <hyperlink r:id="rId87" ref="A5707"/>
    <hyperlink r:id="rId87" ref="A5708"/>
    <hyperlink r:id="rId87" ref="A5709"/>
    <hyperlink r:id="rId87" ref="A5710"/>
    <hyperlink r:id="rId87" ref="A5711"/>
    <hyperlink r:id="rId87" ref="A5712"/>
    <hyperlink r:id="rId87" ref="A5713"/>
    <hyperlink r:id="rId87" ref="A5714"/>
    <hyperlink r:id="rId87" ref="A5715"/>
    <hyperlink r:id="rId87" ref="A5716"/>
    <hyperlink r:id="rId87" ref="A5717"/>
    <hyperlink r:id="rId87" ref="A5718"/>
    <hyperlink r:id="rId87" ref="A5719"/>
    <hyperlink r:id="rId87" ref="A5720"/>
    <hyperlink r:id="rId87" ref="A5721"/>
    <hyperlink r:id="rId87" ref="A5722"/>
    <hyperlink r:id="rId87" ref="A5723"/>
    <hyperlink r:id="rId87" ref="A5724"/>
    <hyperlink r:id="rId87" ref="A5725"/>
    <hyperlink r:id="rId87" ref="A5726"/>
    <hyperlink r:id="rId87" ref="A5727"/>
    <hyperlink r:id="rId87" ref="A5728"/>
    <hyperlink r:id="rId87" ref="A5729"/>
    <hyperlink r:id="rId87" ref="A5730"/>
    <hyperlink r:id="rId87" ref="A5731"/>
    <hyperlink r:id="rId87" ref="A5732"/>
    <hyperlink r:id="rId87" ref="A5733"/>
    <hyperlink r:id="rId87" ref="A5734"/>
    <hyperlink r:id="rId87" ref="A5735"/>
    <hyperlink r:id="rId87" ref="A5736"/>
    <hyperlink r:id="rId87" ref="A5737"/>
    <hyperlink r:id="rId87" ref="A5738"/>
    <hyperlink r:id="rId87" ref="A5739"/>
    <hyperlink r:id="rId87" ref="A5740"/>
    <hyperlink r:id="rId87" ref="A5741"/>
    <hyperlink r:id="rId87" ref="A5742"/>
    <hyperlink r:id="rId87" ref="A5743"/>
    <hyperlink r:id="rId87" ref="A5744"/>
    <hyperlink r:id="rId87" ref="A5745"/>
    <hyperlink r:id="rId87" ref="A5746"/>
    <hyperlink r:id="rId87" ref="A5747"/>
    <hyperlink r:id="rId87" ref="A5748"/>
    <hyperlink r:id="rId87" ref="A5749"/>
    <hyperlink r:id="rId87" ref="A5750"/>
    <hyperlink r:id="rId87" ref="A5751"/>
    <hyperlink r:id="rId87" ref="A5752"/>
    <hyperlink r:id="rId87" ref="A5753"/>
    <hyperlink r:id="rId87" ref="A5754"/>
    <hyperlink r:id="rId87" ref="A5755"/>
    <hyperlink r:id="rId87" ref="A5756"/>
    <hyperlink r:id="rId87" ref="A5757"/>
    <hyperlink r:id="rId87" ref="A5758"/>
    <hyperlink r:id="rId87" ref="A5759"/>
    <hyperlink r:id="rId87" ref="A5760"/>
    <hyperlink r:id="rId87" ref="A5761"/>
    <hyperlink r:id="rId87" ref="A5762"/>
    <hyperlink r:id="rId87" ref="A5763"/>
    <hyperlink r:id="rId87" ref="A5764"/>
    <hyperlink r:id="rId87" ref="A5765"/>
    <hyperlink r:id="rId87" ref="A5766"/>
    <hyperlink r:id="rId87" ref="A5767"/>
    <hyperlink r:id="rId87" ref="A5768"/>
    <hyperlink r:id="rId87" ref="A5769"/>
    <hyperlink r:id="rId87" ref="A5770"/>
    <hyperlink r:id="rId87" ref="A5771"/>
    <hyperlink r:id="rId87" ref="A5772"/>
    <hyperlink r:id="rId87" ref="A5773"/>
    <hyperlink r:id="rId87" ref="A5774"/>
    <hyperlink r:id="rId87" ref="A5775"/>
    <hyperlink r:id="rId87" ref="A5776"/>
    <hyperlink r:id="rId87" ref="A5777"/>
    <hyperlink r:id="rId87" ref="A5778"/>
    <hyperlink r:id="rId87" ref="A5779"/>
    <hyperlink r:id="rId87" ref="A5780"/>
    <hyperlink r:id="rId87" ref="A5781"/>
    <hyperlink r:id="rId87" ref="A5782"/>
    <hyperlink r:id="rId87" ref="A5783"/>
    <hyperlink r:id="rId87" ref="A5784"/>
    <hyperlink r:id="rId87" ref="A5785"/>
    <hyperlink r:id="rId87" ref="A5786"/>
    <hyperlink r:id="rId87" ref="A5787"/>
    <hyperlink r:id="rId87" ref="A5788"/>
    <hyperlink r:id="rId87" ref="A5789"/>
    <hyperlink r:id="rId87" ref="A5790"/>
    <hyperlink r:id="rId87" ref="A5791"/>
    <hyperlink r:id="rId87" ref="A5792"/>
    <hyperlink r:id="rId87" ref="A5793"/>
    <hyperlink r:id="rId87" ref="A5794"/>
    <hyperlink r:id="rId87" ref="A5795"/>
    <hyperlink r:id="rId87" ref="A5796"/>
    <hyperlink r:id="rId87" ref="A5797"/>
    <hyperlink r:id="rId87" ref="A5798"/>
    <hyperlink r:id="rId87" ref="A5799"/>
    <hyperlink r:id="rId87" ref="A5800"/>
    <hyperlink r:id="rId87" ref="A5801"/>
    <hyperlink r:id="rId87" ref="A5802"/>
    <hyperlink r:id="rId87" ref="A5803"/>
    <hyperlink r:id="rId87" ref="A5804"/>
    <hyperlink r:id="rId87" ref="A5805"/>
    <hyperlink r:id="rId87" ref="A5806"/>
    <hyperlink r:id="rId87" ref="A5807"/>
    <hyperlink r:id="rId87" ref="A5808"/>
    <hyperlink r:id="rId87" ref="A5809"/>
    <hyperlink r:id="rId87" ref="A5810"/>
    <hyperlink r:id="rId87" ref="A5811"/>
    <hyperlink r:id="rId87" ref="A5812"/>
    <hyperlink r:id="rId87" ref="A5813"/>
    <hyperlink r:id="rId87" ref="A5814"/>
    <hyperlink r:id="rId87" ref="A5815"/>
    <hyperlink r:id="rId87" ref="A5816"/>
    <hyperlink r:id="rId87" ref="A5817"/>
    <hyperlink r:id="rId87" ref="A5818"/>
    <hyperlink r:id="rId87" ref="A5819"/>
    <hyperlink r:id="rId87" ref="A5820"/>
    <hyperlink r:id="rId87" ref="A5821"/>
    <hyperlink r:id="rId87" ref="A5822"/>
    <hyperlink r:id="rId87" ref="A5823"/>
    <hyperlink r:id="rId87" ref="A5824"/>
    <hyperlink r:id="rId87" ref="A5825"/>
    <hyperlink r:id="rId87" ref="A5826"/>
    <hyperlink r:id="rId87" ref="A5827"/>
    <hyperlink r:id="rId87" ref="A5828"/>
    <hyperlink r:id="rId87" ref="A5829"/>
    <hyperlink r:id="rId87" ref="A5830"/>
    <hyperlink r:id="rId87" ref="A5831"/>
    <hyperlink r:id="rId87" ref="A5832"/>
    <hyperlink r:id="rId87" ref="A5833"/>
    <hyperlink r:id="rId87" ref="A5834"/>
    <hyperlink r:id="rId87" ref="A5835"/>
    <hyperlink r:id="rId87" ref="A5836"/>
    <hyperlink r:id="rId87" ref="A5837"/>
    <hyperlink r:id="rId87" ref="A5838"/>
    <hyperlink r:id="rId87" ref="A5839"/>
    <hyperlink r:id="rId87" ref="A5840"/>
    <hyperlink r:id="rId87" ref="A5841"/>
    <hyperlink r:id="rId87" ref="A5842"/>
    <hyperlink r:id="rId87" ref="A5843"/>
    <hyperlink r:id="rId87" ref="A5844"/>
    <hyperlink r:id="rId87" ref="A5845"/>
    <hyperlink r:id="rId87" ref="A5846"/>
    <hyperlink r:id="rId87" ref="A5847"/>
    <hyperlink r:id="rId87" ref="A5848"/>
    <hyperlink r:id="rId87" ref="A5849"/>
    <hyperlink r:id="rId87" ref="A5850"/>
    <hyperlink r:id="rId87" ref="A5851"/>
    <hyperlink r:id="rId87" ref="A5852"/>
    <hyperlink r:id="rId87" ref="A5853"/>
    <hyperlink r:id="rId87" ref="A5854"/>
    <hyperlink r:id="rId87" ref="A5855"/>
    <hyperlink r:id="rId87" ref="A5856"/>
    <hyperlink r:id="rId87" ref="A5857"/>
    <hyperlink r:id="rId87" ref="A5858"/>
    <hyperlink r:id="rId88" ref="A5859"/>
    <hyperlink r:id="rId88" ref="A5860"/>
    <hyperlink r:id="rId88" ref="A5861"/>
    <hyperlink r:id="rId88" ref="A5862"/>
    <hyperlink r:id="rId88" ref="A5863"/>
    <hyperlink r:id="rId88" ref="A5864"/>
    <hyperlink r:id="rId88" ref="A5865"/>
    <hyperlink r:id="rId88" ref="A5866"/>
    <hyperlink r:id="rId88" ref="A5867"/>
    <hyperlink r:id="rId88" ref="A5868"/>
    <hyperlink r:id="rId88" ref="A5869"/>
    <hyperlink r:id="rId88" ref="A5870"/>
    <hyperlink r:id="rId88" ref="A5871"/>
    <hyperlink r:id="rId88" ref="A5872"/>
    <hyperlink r:id="rId88" ref="A5873"/>
    <hyperlink r:id="rId88" ref="A5874"/>
    <hyperlink r:id="rId88" ref="A5875"/>
    <hyperlink r:id="rId88" ref="A5876"/>
    <hyperlink r:id="rId88" ref="A5877"/>
    <hyperlink r:id="rId88" ref="A5878"/>
    <hyperlink r:id="rId88" ref="A5879"/>
    <hyperlink r:id="rId88" ref="A5880"/>
    <hyperlink r:id="rId88" ref="A5881"/>
    <hyperlink r:id="rId88" ref="A5882"/>
    <hyperlink r:id="rId88" ref="A5883"/>
    <hyperlink r:id="rId88" ref="A5884"/>
    <hyperlink r:id="rId88" ref="A5885"/>
    <hyperlink r:id="rId88" ref="A5886"/>
    <hyperlink r:id="rId88" ref="A5887"/>
    <hyperlink r:id="rId88" ref="A5888"/>
    <hyperlink r:id="rId88" ref="A5889"/>
    <hyperlink r:id="rId88" ref="A5890"/>
    <hyperlink r:id="rId88" ref="A5891"/>
    <hyperlink r:id="rId88" ref="A5892"/>
    <hyperlink r:id="rId88" ref="A5893"/>
    <hyperlink r:id="rId88" ref="A5894"/>
    <hyperlink r:id="rId88" ref="A5895"/>
    <hyperlink r:id="rId88" ref="A5896"/>
    <hyperlink r:id="rId88" ref="A5897"/>
    <hyperlink r:id="rId88" ref="A5898"/>
    <hyperlink r:id="rId88" ref="A5899"/>
    <hyperlink r:id="rId88" ref="A5900"/>
    <hyperlink r:id="rId88" ref="A5901"/>
    <hyperlink r:id="rId88" ref="A5902"/>
    <hyperlink r:id="rId88" ref="A5903"/>
    <hyperlink r:id="rId88" ref="A5904"/>
    <hyperlink r:id="rId88" ref="A5905"/>
    <hyperlink r:id="rId88" ref="A5906"/>
    <hyperlink r:id="rId88" ref="A5907"/>
    <hyperlink r:id="rId88" ref="A5908"/>
    <hyperlink r:id="rId88" ref="A5909"/>
    <hyperlink r:id="rId88" ref="A5910"/>
    <hyperlink r:id="rId88" ref="A5911"/>
    <hyperlink r:id="rId88" ref="A5912"/>
    <hyperlink r:id="rId88" ref="A5913"/>
    <hyperlink r:id="rId88" ref="A5914"/>
    <hyperlink r:id="rId88" ref="A5915"/>
    <hyperlink r:id="rId88" ref="A5916"/>
    <hyperlink r:id="rId88" ref="A5917"/>
    <hyperlink r:id="rId88" ref="A5918"/>
    <hyperlink r:id="rId88" ref="A5919"/>
    <hyperlink r:id="rId88" ref="A5920"/>
    <hyperlink r:id="rId88" ref="A5921"/>
    <hyperlink r:id="rId88" ref="A5922"/>
    <hyperlink r:id="rId88" ref="A5923"/>
    <hyperlink r:id="rId88" ref="A5924"/>
    <hyperlink r:id="rId88" ref="A5925"/>
    <hyperlink r:id="rId88" ref="A5926"/>
    <hyperlink r:id="rId88" ref="A5927"/>
    <hyperlink r:id="rId88" ref="A5928"/>
    <hyperlink r:id="rId88" ref="A5929"/>
    <hyperlink r:id="rId88" ref="A5930"/>
    <hyperlink r:id="rId88" ref="A5931"/>
    <hyperlink r:id="rId88" ref="A5932"/>
    <hyperlink r:id="rId88" ref="A5933"/>
    <hyperlink r:id="rId88" ref="A5934"/>
    <hyperlink r:id="rId88" ref="A5935"/>
    <hyperlink r:id="rId88" ref="A5936"/>
    <hyperlink r:id="rId88" ref="A5937"/>
    <hyperlink r:id="rId88" ref="A5938"/>
    <hyperlink r:id="rId88" ref="A5939"/>
    <hyperlink r:id="rId88" ref="A5940"/>
    <hyperlink r:id="rId88" ref="A5941"/>
    <hyperlink r:id="rId88" ref="A5942"/>
    <hyperlink r:id="rId88" ref="A5943"/>
    <hyperlink r:id="rId88" ref="A5944"/>
    <hyperlink r:id="rId88" ref="A5945"/>
    <hyperlink r:id="rId88" ref="A5946"/>
    <hyperlink r:id="rId88" ref="A5947"/>
    <hyperlink r:id="rId88" ref="A5948"/>
    <hyperlink r:id="rId88" ref="A5949"/>
    <hyperlink r:id="rId88" ref="A5950"/>
    <hyperlink r:id="rId88" ref="A5951"/>
    <hyperlink r:id="rId88" ref="A5952"/>
    <hyperlink r:id="rId88" ref="A5953"/>
    <hyperlink r:id="rId88" ref="A5954"/>
    <hyperlink r:id="rId88" ref="A5955"/>
    <hyperlink r:id="rId88" ref="A5956"/>
    <hyperlink r:id="rId88" ref="A5957"/>
    <hyperlink r:id="rId88" ref="A5958"/>
    <hyperlink r:id="rId88" ref="A5959"/>
    <hyperlink r:id="rId88" ref="A5960"/>
    <hyperlink r:id="rId88" ref="A5961"/>
    <hyperlink r:id="rId88" ref="A5962"/>
    <hyperlink r:id="rId88" ref="A5963"/>
    <hyperlink r:id="rId88" ref="A5964"/>
    <hyperlink r:id="rId88" ref="A5965"/>
    <hyperlink r:id="rId88" ref="A5966"/>
    <hyperlink r:id="rId88" ref="A5967"/>
    <hyperlink r:id="rId88" ref="A5968"/>
    <hyperlink r:id="rId88" ref="A5969"/>
    <hyperlink r:id="rId88" ref="A5970"/>
    <hyperlink r:id="rId88" ref="A5971"/>
    <hyperlink r:id="rId88" ref="A5972"/>
    <hyperlink r:id="rId88" ref="A5973"/>
    <hyperlink r:id="rId88" ref="A5974"/>
    <hyperlink r:id="rId88" ref="A5975"/>
    <hyperlink r:id="rId88" ref="A5976"/>
    <hyperlink r:id="rId88" ref="A5977"/>
    <hyperlink r:id="rId88" ref="A5978"/>
    <hyperlink r:id="rId88" ref="A5979"/>
    <hyperlink r:id="rId88" ref="A5980"/>
    <hyperlink r:id="rId88" ref="A5981"/>
    <hyperlink r:id="rId88" ref="A5982"/>
    <hyperlink r:id="rId88" ref="A5983"/>
    <hyperlink r:id="rId88" ref="A5984"/>
    <hyperlink r:id="rId88" ref="A5985"/>
    <hyperlink r:id="rId88" ref="A5986"/>
    <hyperlink r:id="rId88" ref="A5987"/>
    <hyperlink r:id="rId88" ref="A5988"/>
    <hyperlink r:id="rId88" ref="A5989"/>
    <hyperlink r:id="rId88" ref="A5990"/>
    <hyperlink r:id="rId88" ref="A5991"/>
    <hyperlink r:id="rId88" ref="A5992"/>
    <hyperlink r:id="rId88" ref="A5993"/>
    <hyperlink r:id="rId88" ref="A5994"/>
    <hyperlink r:id="rId88" ref="A5995"/>
    <hyperlink r:id="rId89" ref="A5996"/>
    <hyperlink r:id="rId89" ref="A5997"/>
    <hyperlink r:id="rId89" ref="A5998"/>
    <hyperlink r:id="rId89" ref="A5999"/>
    <hyperlink r:id="rId89" ref="A6000"/>
    <hyperlink r:id="rId89" ref="A6001"/>
    <hyperlink r:id="rId89" ref="A6002"/>
    <hyperlink r:id="rId89" ref="A6003"/>
    <hyperlink r:id="rId89" ref="A6004"/>
    <hyperlink r:id="rId89" ref="A6005"/>
    <hyperlink r:id="rId89" ref="A6006"/>
    <hyperlink r:id="rId89" ref="A6007"/>
    <hyperlink r:id="rId89" ref="A6008"/>
    <hyperlink r:id="rId89" ref="A6009"/>
    <hyperlink r:id="rId89" ref="A6010"/>
    <hyperlink r:id="rId89" ref="A6011"/>
    <hyperlink r:id="rId89" ref="A6012"/>
    <hyperlink r:id="rId89" ref="A6013"/>
    <hyperlink r:id="rId89" ref="A6014"/>
    <hyperlink r:id="rId89" ref="A6015"/>
    <hyperlink r:id="rId89" ref="A6016"/>
    <hyperlink r:id="rId89" ref="A6017"/>
    <hyperlink r:id="rId89" ref="A6018"/>
    <hyperlink r:id="rId89" ref="A6019"/>
    <hyperlink r:id="rId89" ref="A6020"/>
    <hyperlink r:id="rId89" ref="A6021"/>
    <hyperlink r:id="rId89" ref="A6022"/>
    <hyperlink r:id="rId89" ref="A6023"/>
    <hyperlink r:id="rId89" ref="A6024"/>
    <hyperlink r:id="rId89" ref="A6025"/>
    <hyperlink r:id="rId89" ref="A6026"/>
    <hyperlink r:id="rId89" ref="A6027"/>
    <hyperlink r:id="rId89" ref="A6028"/>
    <hyperlink r:id="rId89" ref="A6029"/>
    <hyperlink r:id="rId89" ref="A6030"/>
    <hyperlink r:id="rId89" ref="A6031"/>
    <hyperlink r:id="rId89" ref="A6032"/>
    <hyperlink r:id="rId89" ref="A6033"/>
    <hyperlink r:id="rId89" ref="A6034"/>
    <hyperlink r:id="rId89" ref="A6035"/>
    <hyperlink r:id="rId89" ref="A6036"/>
    <hyperlink r:id="rId89" ref="A6037"/>
    <hyperlink r:id="rId89" ref="A6038"/>
    <hyperlink r:id="rId89" ref="A6039"/>
    <hyperlink r:id="rId89" ref="A6040"/>
    <hyperlink r:id="rId89" ref="A6041"/>
    <hyperlink r:id="rId89" ref="A6042"/>
    <hyperlink r:id="rId89" ref="A6043"/>
    <hyperlink r:id="rId89" ref="A6044"/>
    <hyperlink r:id="rId89" ref="A6045"/>
    <hyperlink r:id="rId89" ref="A6046"/>
    <hyperlink r:id="rId89" ref="A6047"/>
    <hyperlink r:id="rId89" ref="A6048"/>
    <hyperlink r:id="rId89" ref="A6049"/>
    <hyperlink r:id="rId89" ref="A6050"/>
    <hyperlink r:id="rId89" ref="A6051"/>
    <hyperlink r:id="rId89" ref="A6052"/>
    <hyperlink r:id="rId89" ref="A6053"/>
    <hyperlink r:id="rId89" ref="A6054"/>
    <hyperlink r:id="rId89" ref="A6055"/>
    <hyperlink r:id="rId89" ref="A6056"/>
    <hyperlink r:id="rId89" ref="A6057"/>
    <hyperlink r:id="rId89" ref="A6058"/>
    <hyperlink r:id="rId89" ref="A6059"/>
    <hyperlink r:id="rId89" ref="A6060"/>
    <hyperlink r:id="rId89" ref="A6061"/>
    <hyperlink r:id="rId89" ref="A6062"/>
    <hyperlink r:id="rId89" ref="A6063"/>
    <hyperlink r:id="rId89" ref="A6064"/>
    <hyperlink r:id="rId89" ref="A6065"/>
    <hyperlink r:id="rId89" ref="A6066"/>
    <hyperlink r:id="rId89" ref="A6067"/>
    <hyperlink r:id="rId89" ref="A6068"/>
    <hyperlink r:id="rId89" ref="A6069"/>
    <hyperlink r:id="rId89" ref="A6070"/>
    <hyperlink r:id="rId89" ref="A6071"/>
    <hyperlink r:id="rId89" ref="A6072"/>
    <hyperlink r:id="rId89" ref="A6073"/>
    <hyperlink r:id="rId89" ref="A6074"/>
    <hyperlink r:id="rId89" ref="A6075"/>
    <hyperlink r:id="rId89" ref="A6076"/>
    <hyperlink r:id="rId89" ref="A6077"/>
    <hyperlink r:id="rId89" ref="A6078"/>
    <hyperlink r:id="rId89" ref="A6079"/>
    <hyperlink r:id="rId89" ref="A6080"/>
    <hyperlink r:id="rId89" ref="A6081"/>
    <hyperlink r:id="rId90" ref="A6082"/>
    <hyperlink r:id="rId90" ref="A6083"/>
    <hyperlink r:id="rId90" ref="A6084"/>
    <hyperlink r:id="rId90" ref="A6085"/>
    <hyperlink r:id="rId90" ref="A6086"/>
    <hyperlink r:id="rId90" ref="A6087"/>
    <hyperlink r:id="rId90" ref="A6088"/>
    <hyperlink r:id="rId90" ref="A6089"/>
    <hyperlink r:id="rId90" ref="A6090"/>
    <hyperlink r:id="rId90" ref="A6091"/>
    <hyperlink r:id="rId90" ref="A6092"/>
    <hyperlink r:id="rId90" ref="A6093"/>
    <hyperlink r:id="rId90" ref="A6094"/>
    <hyperlink r:id="rId90" ref="A6095"/>
    <hyperlink r:id="rId90" ref="A6096"/>
    <hyperlink r:id="rId90" ref="A6097"/>
    <hyperlink r:id="rId90" ref="A6098"/>
    <hyperlink r:id="rId90" ref="A6099"/>
    <hyperlink r:id="rId90" ref="A6100"/>
    <hyperlink r:id="rId90" ref="A6101"/>
    <hyperlink r:id="rId90" ref="A6102"/>
    <hyperlink r:id="rId90" ref="A6103"/>
    <hyperlink r:id="rId91" ref="A6104"/>
    <hyperlink r:id="rId91" ref="A6105"/>
    <hyperlink r:id="rId91" ref="A6106"/>
    <hyperlink r:id="rId91" ref="A6107"/>
    <hyperlink r:id="rId91" ref="A6108"/>
    <hyperlink r:id="rId91" ref="A6109"/>
    <hyperlink r:id="rId91" ref="A6110"/>
    <hyperlink r:id="rId91" ref="A6111"/>
    <hyperlink r:id="rId91" ref="A6112"/>
    <hyperlink r:id="rId91" ref="A6113"/>
    <hyperlink r:id="rId91" ref="A6114"/>
    <hyperlink r:id="rId91" ref="A6115"/>
    <hyperlink r:id="rId91" ref="A6116"/>
    <hyperlink r:id="rId91" ref="A6117"/>
    <hyperlink r:id="rId91" ref="A6118"/>
    <hyperlink r:id="rId91" ref="A6119"/>
    <hyperlink r:id="rId91" ref="A6120"/>
    <hyperlink r:id="rId91" ref="A6121"/>
    <hyperlink r:id="rId91" ref="A6122"/>
    <hyperlink r:id="rId91" ref="A6123"/>
    <hyperlink r:id="rId91" ref="A6124"/>
    <hyperlink r:id="rId91" ref="A6125"/>
    <hyperlink r:id="rId91" ref="A6126"/>
    <hyperlink r:id="rId91" ref="A6127"/>
    <hyperlink r:id="rId91" ref="A6128"/>
    <hyperlink r:id="rId91" ref="A6129"/>
    <hyperlink r:id="rId91" ref="A6130"/>
    <hyperlink r:id="rId91" ref="A6131"/>
    <hyperlink r:id="rId91" ref="A6132"/>
    <hyperlink r:id="rId91" ref="A6133"/>
    <hyperlink r:id="rId91" ref="A6134"/>
    <hyperlink r:id="rId91" ref="A6135"/>
    <hyperlink r:id="rId91" ref="A6136"/>
    <hyperlink r:id="rId91" ref="A6137"/>
    <hyperlink r:id="rId91" ref="A6138"/>
    <hyperlink r:id="rId91" ref="A6139"/>
    <hyperlink r:id="rId91" ref="A6140"/>
    <hyperlink r:id="rId91" ref="A6141"/>
    <hyperlink r:id="rId91" ref="A6142"/>
    <hyperlink r:id="rId91" ref="A6143"/>
    <hyperlink r:id="rId91" ref="A6144"/>
    <hyperlink r:id="rId91" ref="A6145"/>
    <hyperlink r:id="rId91" ref="A6146"/>
    <hyperlink r:id="rId91" ref="A6147"/>
    <hyperlink r:id="rId91" ref="A6148"/>
    <hyperlink r:id="rId91" ref="A6149"/>
    <hyperlink r:id="rId91" ref="A6150"/>
    <hyperlink r:id="rId91" ref="A6151"/>
    <hyperlink r:id="rId91" ref="A6152"/>
    <hyperlink r:id="rId91" ref="A6153"/>
    <hyperlink r:id="rId91" ref="A6154"/>
    <hyperlink r:id="rId91" ref="A6155"/>
    <hyperlink r:id="rId91" ref="A6156"/>
    <hyperlink r:id="rId91" ref="A6157"/>
    <hyperlink r:id="rId91" ref="A6158"/>
    <hyperlink r:id="rId91" ref="A6159"/>
    <hyperlink r:id="rId91" ref="A6160"/>
    <hyperlink r:id="rId91" ref="A6161"/>
    <hyperlink r:id="rId91" ref="A6162"/>
    <hyperlink r:id="rId91" ref="A6163"/>
    <hyperlink r:id="rId91" ref="A6164"/>
    <hyperlink r:id="rId91" ref="A6165"/>
    <hyperlink r:id="rId91" ref="A6166"/>
    <hyperlink r:id="rId91" ref="A6167"/>
    <hyperlink r:id="rId91" ref="A6168"/>
    <hyperlink r:id="rId91" ref="A6169"/>
    <hyperlink r:id="rId91" ref="A6170"/>
    <hyperlink r:id="rId91" ref="A6171"/>
    <hyperlink r:id="rId91" ref="A6172"/>
    <hyperlink r:id="rId91" ref="A6173"/>
    <hyperlink r:id="rId91" ref="A6174"/>
    <hyperlink r:id="rId91" ref="A6175"/>
    <hyperlink r:id="rId91" ref="A6176"/>
    <hyperlink r:id="rId91" ref="A6177"/>
    <hyperlink r:id="rId91" ref="A6178"/>
    <hyperlink r:id="rId91" ref="A6179"/>
    <hyperlink r:id="rId91" ref="A6180"/>
    <hyperlink r:id="rId91" ref="A6181"/>
    <hyperlink r:id="rId91" ref="A6182"/>
    <hyperlink r:id="rId91" ref="A6183"/>
    <hyperlink r:id="rId91" ref="A6184"/>
    <hyperlink r:id="rId91" ref="A6185"/>
    <hyperlink r:id="rId91" ref="A6186"/>
    <hyperlink r:id="rId91" ref="A6187"/>
    <hyperlink r:id="rId91" ref="A6188"/>
    <hyperlink r:id="rId91" ref="A6189"/>
    <hyperlink r:id="rId91" ref="A6190"/>
    <hyperlink r:id="rId91" ref="A6191"/>
    <hyperlink r:id="rId91" ref="A6192"/>
    <hyperlink r:id="rId91" ref="A6193"/>
    <hyperlink r:id="rId91" ref="A6194"/>
    <hyperlink r:id="rId91" ref="A6195"/>
    <hyperlink r:id="rId91" ref="A6196"/>
    <hyperlink r:id="rId91" ref="A6197"/>
    <hyperlink r:id="rId91" ref="A6198"/>
    <hyperlink r:id="rId91" ref="A6199"/>
    <hyperlink r:id="rId91" ref="A6200"/>
    <hyperlink r:id="rId91" ref="A6201"/>
    <hyperlink r:id="rId91" ref="A6202"/>
    <hyperlink r:id="rId91" ref="A6203"/>
    <hyperlink r:id="rId91" ref="A6204"/>
    <hyperlink r:id="rId91" ref="A6205"/>
    <hyperlink r:id="rId91" ref="A6206"/>
    <hyperlink r:id="rId91" ref="A6207"/>
    <hyperlink r:id="rId91" ref="A6208"/>
    <hyperlink r:id="rId91" ref="A6209"/>
    <hyperlink r:id="rId91" ref="A6210"/>
    <hyperlink r:id="rId91" ref="A6211"/>
    <hyperlink r:id="rId91" ref="A6212"/>
    <hyperlink r:id="rId91" ref="A6213"/>
    <hyperlink r:id="rId91" ref="A6214"/>
    <hyperlink r:id="rId91" ref="A6215"/>
    <hyperlink r:id="rId91" ref="A6216"/>
    <hyperlink r:id="rId91" ref="A6217"/>
    <hyperlink r:id="rId91" ref="A6218"/>
    <hyperlink r:id="rId91" ref="A6219"/>
    <hyperlink r:id="rId91" ref="A6220"/>
    <hyperlink r:id="rId91" ref="A6221"/>
    <hyperlink r:id="rId91" ref="A6222"/>
    <hyperlink r:id="rId91" ref="A6223"/>
    <hyperlink r:id="rId91" ref="A6224"/>
    <hyperlink r:id="rId91" ref="A6225"/>
    <hyperlink r:id="rId91" ref="A6226"/>
    <hyperlink r:id="rId91" ref="A6227"/>
    <hyperlink r:id="rId91" ref="A6228"/>
    <hyperlink r:id="rId91" ref="A6229"/>
    <hyperlink r:id="rId91" ref="A6230"/>
    <hyperlink r:id="rId91" ref="A6231"/>
    <hyperlink r:id="rId91" ref="A6232"/>
    <hyperlink r:id="rId91" ref="A6233"/>
    <hyperlink r:id="rId91" ref="A6234"/>
    <hyperlink r:id="rId91" ref="A6235"/>
    <hyperlink r:id="rId91" ref="A6236"/>
    <hyperlink r:id="rId91" ref="A6237"/>
    <hyperlink r:id="rId91" ref="A6238"/>
    <hyperlink r:id="rId91" ref="A6239"/>
    <hyperlink r:id="rId91" ref="A6240"/>
    <hyperlink r:id="rId91" ref="A6241"/>
    <hyperlink r:id="rId91" ref="A6242"/>
    <hyperlink r:id="rId91" ref="A6243"/>
    <hyperlink r:id="rId91" ref="A6244"/>
    <hyperlink r:id="rId91" ref="A6245"/>
    <hyperlink r:id="rId91" ref="A6246"/>
    <hyperlink r:id="rId91" ref="A6247"/>
    <hyperlink r:id="rId91" ref="A6248"/>
    <hyperlink r:id="rId91" ref="A6249"/>
    <hyperlink r:id="rId91" ref="A6250"/>
    <hyperlink r:id="rId91" ref="A6251"/>
    <hyperlink r:id="rId91" ref="A6252"/>
    <hyperlink r:id="rId91" ref="A6253"/>
    <hyperlink r:id="rId91" ref="A6254"/>
    <hyperlink r:id="rId91" ref="A6255"/>
    <hyperlink r:id="rId91" ref="A6256"/>
    <hyperlink r:id="rId91" ref="A6257"/>
    <hyperlink r:id="rId91" ref="A6258"/>
    <hyperlink r:id="rId91" ref="A6259"/>
    <hyperlink r:id="rId91" ref="A6260"/>
    <hyperlink r:id="rId91" ref="A6261"/>
    <hyperlink r:id="rId91" ref="A6262"/>
    <hyperlink r:id="rId91" ref="A6263"/>
    <hyperlink r:id="rId91" ref="A6264"/>
    <hyperlink r:id="rId91" ref="A6265"/>
    <hyperlink r:id="rId91" ref="A6266"/>
    <hyperlink r:id="rId91" ref="A6267"/>
    <hyperlink r:id="rId91" ref="A6268"/>
    <hyperlink r:id="rId91" ref="A6269"/>
    <hyperlink r:id="rId91" ref="A6270"/>
    <hyperlink r:id="rId91" ref="A6271"/>
    <hyperlink r:id="rId91" ref="A6272"/>
    <hyperlink r:id="rId91" ref="A6273"/>
    <hyperlink r:id="rId91" ref="A6274"/>
    <hyperlink r:id="rId91" ref="A6275"/>
    <hyperlink r:id="rId91" ref="A6276"/>
    <hyperlink r:id="rId91" ref="A6277"/>
    <hyperlink r:id="rId91" ref="A6278"/>
    <hyperlink r:id="rId91" ref="A6279"/>
    <hyperlink r:id="rId91" ref="A6280"/>
    <hyperlink r:id="rId91" ref="A6281"/>
    <hyperlink r:id="rId91" ref="A6282"/>
    <hyperlink r:id="rId91" ref="A6283"/>
    <hyperlink r:id="rId91" ref="A6284"/>
    <hyperlink r:id="rId91" ref="A6285"/>
    <hyperlink r:id="rId91" ref="A6286"/>
    <hyperlink r:id="rId91" ref="A6287"/>
    <hyperlink r:id="rId91" ref="A6288"/>
    <hyperlink r:id="rId91" ref="A6289"/>
    <hyperlink r:id="rId91" ref="A6290"/>
    <hyperlink r:id="rId91" ref="A6291"/>
    <hyperlink r:id="rId91" ref="A6292"/>
    <hyperlink r:id="rId91" ref="A6293"/>
    <hyperlink r:id="rId91" ref="A6294"/>
    <hyperlink r:id="rId91" ref="A6295"/>
    <hyperlink r:id="rId91" ref="A6296"/>
    <hyperlink r:id="rId91" ref="A6297"/>
    <hyperlink r:id="rId91" ref="A6298"/>
    <hyperlink r:id="rId91" ref="A6299"/>
    <hyperlink r:id="rId91" ref="A6300"/>
    <hyperlink r:id="rId91" ref="A6301"/>
    <hyperlink r:id="rId91" ref="A6302"/>
    <hyperlink r:id="rId91" ref="A6303"/>
    <hyperlink r:id="rId91" ref="A6304"/>
    <hyperlink r:id="rId91" ref="A6305"/>
    <hyperlink r:id="rId91" ref="A6306"/>
    <hyperlink r:id="rId91" ref="A6307"/>
    <hyperlink r:id="rId91" ref="A6308"/>
    <hyperlink r:id="rId91" ref="A6309"/>
    <hyperlink r:id="rId91" ref="A6310"/>
    <hyperlink r:id="rId91" ref="A6311"/>
    <hyperlink r:id="rId91" ref="A6312"/>
    <hyperlink r:id="rId91" ref="A6313"/>
    <hyperlink r:id="rId91" ref="A6314"/>
    <hyperlink r:id="rId91" ref="A6315"/>
    <hyperlink r:id="rId91" ref="A6316"/>
    <hyperlink r:id="rId91" ref="A6317"/>
    <hyperlink r:id="rId91" ref="A6318"/>
    <hyperlink r:id="rId91" ref="A6319"/>
    <hyperlink r:id="rId91" ref="A6320"/>
    <hyperlink r:id="rId91" ref="A6321"/>
    <hyperlink r:id="rId91" ref="A6322"/>
    <hyperlink r:id="rId91" ref="A6323"/>
    <hyperlink r:id="rId91" ref="A6324"/>
    <hyperlink r:id="rId91" ref="A6325"/>
    <hyperlink r:id="rId91" ref="A6326"/>
    <hyperlink r:id="rId91" ref="A6327"/>
    <hyperlink r:id="rId91" ref="A6328"/>
    <hyperlink r:id="rId91" ref="A6329"/>
    <hyperlink r:id="rId91" ref="A6330"/>
    <hyperlink r:id="rId91" ref="A6331"/>
    <hyperlink r:id="rId91" ref="A6332"/>
    <hyperlink r:id="rId91" ref="A6333"/>
    <hyperlink r:id="rId91" ref="A6334"/>
    <hyperlink r:id="rId91" ref="A6335"/>
    <hyperlink r:id="rId91" ref="A6336"/>
    <hyperlink r:id="rId91" ref="A6337"/>
    <hyperlink r:id="rId91" ref="A6338"/>
    <hyperlink r:id="rId91" ref="A6339"/>
    <hyperlink r:id="rId91" ref="A6340"/>
    <hyperlink r:id="rId91" ref="A6341"/>
    <hyperlink r:id="rId91" ref="A6342"/>
    <hyperlink r:id="rId91" ref="A6343"/>
    <hyperlink r:id="rId91" ref="A6344"/>
    <hyperlink r:id="rId91" ref="A6345"/>
    <hyperlink r:id="rId91" ref="A6346"/>
    <hyperlink r:id="rId91" ref="A6347"/>
    <hyperlink r:id="rId91" ref="A6348"/>
    <hyperlink r:id="rId91" ref="A6349"/>
    <hyperlink r:id="rId91" ref="A6350"/>
    <hyperlink r:id="rId91" ref="A6351"/>
    <hyperlink r:id="rId91" ref="A6352"/>
    <hyperlink r:id="rId91" ref="A6353"/>
    <hyperlink r:id="rId91" ref="A6354"/>
    <hyperlink r:id="rId91" ref="A6355"/>
    <hyperlink r:id="rId91" ref="A6356"/>
    <hyperlink r:id="rId91" ref="A6357"/>
    <hyperlink r:id="rId91" ref="A6358"/>
    <hyperlink r:id="rId91" ref="A6359"/>
    <hyperlink r:id="rId91" ref="A6360"/>
    <hyperlink r:id="rId91" ref="A6361"/>
    <hyperlink r:id="rId91" ref="A6362"/>
    <hyperlink r:id="rId91" ref="A6363"/>
    <hyperlink r:id="rId91" ref="A6364"/>
    <hyperlink r:id="rId91" ref="A6365"/>
    <hyperlink r:id="rId91" ref="A6366"/>
    <hyperlink r:id="rId91" ref="A6367"/>
    <hyperlink r:id="rId91" ref="A6368"/>
    <hyperlink r:id="rId91" ref="A6369"/>
    <hyperlink r:id="rId91" ref="A6370"/>
    <hyperlink r:id="rId91" ref="A6371"/>
    <hyperlink r:id="rId91" ref="A6372"/>
    <hyperlink r:id="rId91" ref="A6373"/>
    <hyperlink r:id="rId91" ref="A6374"/>
    <hyperlink r:id="rId91" ref="A6375"/>
    <hyperlink r:id="rId91" ref="A6376"/>
    <hyperlink r:id="rId91" ref="A6377"/>
    <hyperlink r:id="rId91" ref="A6378"/>
    <hyperlink r:id="rId91" ref="A6379"/>
    <hyperlink r:id="rId91" ref="A6380"/>
    <hyperlink r:id="rId91" ref="A6381"/>
    <hyperlink r:id="rId91" ref="A6382"/>
    <hyperlink r:id="rId91" ref="A6383"/>
    <hyperlink r:id="rId91" ref="A6384"/>
    <hyperlink r:id="rId91" ref="A6385"/>
    <hyperlink r:id="rId91" ref="A6386"/>
    <hyperlink r:id="rId91" ref="A6387"/>
    <hyperlink r:id="rId91" ref="A6388"/>
    <hyperlink r:id="rId91" ref="A6389"/>
    <hyperlink r:id="rId91" ref="A6390"/>
    <hyperlink r:id="rId91" ref="A6391"/>
    <hyperlink r:id="rId91" ref="A6392"/>
    <hyperlink r:id="rId91" ref="A6393"/>
    <hyperlink r:id="rId91" ref="A6394"/>
    <hyperlink r:id="rId91" ref="A6395"/>
    <hyperlink r:id="rId91" ref="A6396"/>
    <hyperlink r:id="rId91" ref="A6397"/>
    <hyperlink r:id="rId91" ref="A6398"/>
    <hyperlink r:id="rId91" ref="A6399"/>
    <hyperlink r:id="rId91" ref="A6400"/>
    <hyperlink r:id="rId91" ref="A6401"/>
    <hyperlink r:id="rId91" ref="A6402"/>
    <hyperlink r:id="rId91" ref="A6403"/>
    <hyperlink r:id="rId91" ref="A6404"/>
    <hyperlink r:id="rId91" ref="A6405"/>
    <hyperlink r:id="rId91" ref="A6406"/>
    <hyperlink r:id="rId91" ref="A6407"/>
    <hyperlink r:id="rId91" ref="A6408"/>
    <hyperlink r:id="rId91" ref="A6409"/>
    <hyperlink r:id="rId91" ref="A6410"/>
    <hyperlink r:id="rId91" ref="A6411"/>
    <hyperlink r:id="rId91" ref="A6412"/>
    <hyperlink r:id="rId91" ref="A6413"/>
    <hyperlink r:id="rId91" ref="A6414"/>
    <hyperlink r:id="rId91" ref="A6415"/>
    <hyperlink r:id="rId91" ref="A6416"/>
    <hyperlink r:id="rId91" ref="A6417"/>
    <hyperlink r:id="rId91" ref="A6418"/>
    <hyperlink r:id="rId91" ref="A6419"/>
    <hyperlink r:id="rId91" ref="A6420"/>
    <hyperlink r:id="rId91" ref="A6421"/>
    <hyperlink r:id="rId91" ref="A6422"/>
    <hyperlink r:id="rId91" ref="A6423"/>
    <hyperlink r:id="rId92" ref="A6424"/>
    <hyperlink r:id="rId92" ref="A6425"/>
    <hyperlink r:id="rId92" ref="A6426"/>
    <hyperlink r:id="rId92" ref="A6427"/>
    <hyperlink r:id="rId92" ref="A6428"/>
    <hyperlink r:id="rId92" ref="A6429"/>
    <hyperlink r:id="rId92" ref="A6430"/>
    <hyperlink r:id="rId92" ref="A6431"/>
    <hyperlink r:id="rId92" ref="A6432"/>
    <hyperlink r:id="rId92" ref="A6433"/>
    <hyperlink r:id="rId92" ref="A6434"/>
    <hyperlink r:id="rId92" ref="A6435"/>
    <hyperlink r:id="rId92" ref="A6436"/>
    <hyperlink r:id="rId92" ref="A6437"/>
    <hyperlink r:id="rId92" ref="A6438"/>
    <hyperlink r:id="rId92" ref="A6439"/>
    <hyperlink r:id="rId92" ref="A6440"/>
    <hyperlink r:id="rId92" ref="A6441"/>
    <hyperlink r:id="rId92" ref="A6442"/>
    <hyperlink r:id="rId92" ref="A6443"/>
    <hyperlink r:id="rId92" ref="A6444"/>
    <hyperlink r:id="rId92" ref="A6445"/>
    <hyperlink r:id="rId92" ref="A6446"/>
    <hyperlink r:id="rId92" ref="A6447"/>
    <hyperlink r:id="rId92" ref="A6448"/>
    <hyperlink r:id="rId92" ref="A6449"/>
    <hyperlink r:id="rId92" ref="A6450"/>
    <hyperlink r:id="rId92" ref="A6451"/>
    <hyperlink r:id="rId92" ref="A6452"/>
    <hyperlink r:id="rId92" ref="A6453"/>
    <hyperlink r:id="rId92" ref="A6454"/>
    <hyperlink r:id="rId92" ref="A6455"/>
    <hyperlink r:id="rId92" ref="A6456"/>
    <hyperlink r:id="rId92" ref="A6457"/>
    <hyperlink r:id="rId92" ref="A6458"/>
    <hyperlink r:id="rId92" ref="A6459"/>
    <hyperlink r:id="rId92" ref="A6460"/>
    <hyperlink r:id="rId92" ref="A6461"/>
    <hyperlink r:id="rId92" ref="A6462"/>
    <hyperlink r:id="rId92" ref="A6463"/>
    <hyperlink r:id="rId92" ref="A6464"/>
    <hyperlink r:id="rId92" ref="A6465"/>
    <hyperlink r:id="rId92" ref="A6466"/>
    <hyperlink r:id="rId92" ref="A6467"/>
    <hyperlink r:id="rId92" ref="A6468"/>
    <hyperlink r:id="rId92" ref="A6469"/>
    <hyperlink r:id="rId92" ref="A6470"/>
    <hyperlink r:id="rId92" ref="A6471"/>
    <hyperlink r:id="rId92" ref="A6472"/>
    <hyperlink r:id="rId92" ref="A6473"/>
    <hyperlink r:id="rId92" ref="A6474"/>
    <hyperlink r:id="rId92" ref="A6475"/>
    <hyperlink r:id="rId92" ref="A6476"/>
    <hyperlink r:id="rId92" ref="A6477"/>
    <hyperlink r:id="rId92" ref="A6478"/>
    <hyperlink r:id="rId92" ref="A6479"/>
    <hyperlink r:id="rId92" ref="A6480"/>
    <hyperlink r:id="rId92" ref="A6481"/>
    <hyperlink r:id="rId92" ref="A6482"/>
    <hyperlink r:id="rId93" ref="A6483"/>
    <hyperlink r:id="rId93" ref="A6484"/>
    <hyperlink r:id="rId93" ref="A6485"/>
    <hyperlink r:id="rId93" ref="A6486"/>
    <hyperlink r:id="rId93" ref="A6487"/>
    <hyperlink r:id="rId93" ref="A6488"/>
    <hyperlink r:id="rId93" ref="A6489"/>
    <hyperlink r:id="rId93" ref="A6490"/>
    <hyperlink r:id="rId93" ref="A6491"/>
    <hyperlink r:id="rId93" ref="A6492"/>
    <hyperlink r:id="rId93" ref="A6493"/>
    <hyperlink r:id="rId93" ref="A6494"/>
    <hyperlink r:id="rId93" ref="A6495"/>
    <hyperlink r:id="rId93" ref="A6496"/>
    <hyperlink r:id="rId93" ref="A6497"/>
    <hyperlink r:id="rId93" ref="A6498"/>
    <hyperlink r:id="rId93" ref="A6499"/>
    <hyperlink r:id="rId93" ref="A6500"/>
    <hyperlink r:id="rId93" ref="A6501"/>
    <hyperlink r:id="rId93" ref="A6502"/>
    <hyperlink r:id="rId93" ref="A6503"/>
    <hyperlink r:id="rId93" ref="A6504"/>
    <hyperlink r:id="rId93" ref="A6505"/>
    <hyperlink r:id="rId93" ref="A6506"/>
    <hyperlink r:id="rId93" ref="A6507"/>
    <hyperlink r:id="rId93" ref="A6508"/>
    <hyperlink r:id="rId93" ref="A6509"/>
    <hyperlink r:id="rId93" ref="A6510"/>
    <hyperlink r:id="rId93" ref="A6511"/>
    <hyperlink r:id="rId93" ref="A6512"/>
    <hyperlink r:id="rId93" ref="A6513"/>
    <hyperlink r:id="rId93" ref="A6514"/>
    <hyperlink r:id="rId93" ref="A6515"/>
    <hyperlink r:id="rId93" ref="A6516"/>
    <hyperlink r:id="rId93" ref="A6517"/>
    <hyperlink r:id="rId93" ref="A6518"/>
    <hyperlink r:id="rId93" ref="A6519"/>
    <hyperlink r:id="rId93" ref="A6520"/>
    <hyperlink r:id="rId93" ref="A6521"/>
    <hyperlink r:id="rId93" ref="A6522"/>
    <hyperlink r:id="rId93" ref="A6523"/>
    <hyperlink r:id="rId93" ref="A6524"/>
    <hyperlink r:id="rId93" ref="A6525"/>
    <hyperlink r:id="rId93" ref="A6526"/>
    <hyperlink r:id="rId93" ref="A6527"/>
    <hyperlink r:id="rId93" ref="A6528"/>
    <hyperlink r:id="rId93" ref="A6529"/>
    <hyperlink r:id="rId93" ref="A6530"/>
    <hyperlink r:id="rId93" ref="A6531"/>
    <hyperlink r:id="rId94" ref="A6532"/>
    <hyperlink r:id="rId94" ref="A6533"/>
    <hyperlink r:id="rId94" ref="A6534"/>
    <hyperlink r:id="rId94" ref="A6535"/>
    <hyperlink r:id="rId94" ref="A6536"/>
    <hyperlink r:id="rId94" ref="A6537"/>
    <hyperlink r:id="rId94" ref="A6538"/>
    <hyperlink r:id="rId94" ref="A6539"/>
    <hyperlink r:id="rId94" ref="A6540"/>
    <hyperlink r:id="rId94" ref="A6541"/>
    <hyperlink r:id="rId94" ref="A6542"/>
    <hyperlink r:id="rId94" ref="A6543"/>
    <hyperlink r:id="rId94" ref="A6544"/>
    <hyperlink r:id="rId94" ref="A6545"/>
    <hyperlink r:id="rId94" ref="A6546"/>
    <hyperlink r:id="rId94" ref="A6547"/>
    <hyperlink r:id="rId94" ref="A6548"/>
    <hyperlink r:id="rId94" ref="A6549"/>
    <hyperlink r:id="rId95" ref="A6550"/>
    <hyperlink r:id="rId95" ref="A6551"/>
    <hyperlink r:id="rId95" ref="A6552"/>
    <hyperlink r:id="rId95" ref="A6553"/>
    <hyperlink r:id="rId95" ref="A6554"/>
    <hyperlink r:id="rId95" ref="A6555"/>
    <hyperlink r:id="rId95" ref="A6556"/>
    <hyperlink r:id="rId95" ref="A6557"/>
    <hyperlink r:id="rId95" ref="A6558"/>
    <hyperlink r:id="rId95" ref="A6559"/>
    <hyperlink r:id="rId95" ref="A6560"/>
    <hyperlink r:id="rId95" ref="A6561"/>
    <hyperlink r:id="rId95" ref="A6562"/>
    <hyperlink r:id="rId95" ref="A6563"/>
    <hyperlink r:id="rId95" ref="A6564"/>
    <hyperlink r:id="rId95" ref="A6565"/>
    <hyperlink r:id="rId95" ref="A6566"/>
    <hyperlink r:id="rId95" ref="A6567"/>
    <hyperlink r:id="rId95" ref="A6568"/>
    <hyperlink r:id="rId95" ref="A6569"/>
    <hyperlink r:id="rId95" ref="A6570"/>
    <hyperlink r:id="rId95" ref="A6571"/>
    <hyperlink r:id="rId95" ref="A6572"/>
    <hyperlink r:id="rId95" ref="A6573"/>
    <hyperlink r:id="rId95" ref="A6574"/>
    <hyperlink r:id="rId95" ref="A6575"/>
    <hyperlink r:id="rId95" ref="A6576"/>
    <hyperlink r:id="rId95" ref="A6577"/>
    <hyperlink r:id="rId95" ref="A6578"/>
    <hyperlink r:id="rId95" ref="A6579"/>
    <hyperlink r:id="rId95" ref="A6580"/>
    <hyperlink r:id="rId95" ref="A6581"/>
    <hyperlink r:id="rId95" ref="A6582"/>
    <hyperlink r:id="rId95" ref="A6583"/>
    <hyperlink r:id="rId95" ref="A6584"/>
    <hyperlink r:id="rId95" ref="A6585"/>
    <hyperlink r:id="rId95" ref="A6586"/>
    <hyperlink r:id="rId95" ref="A6587"/>
    <hyperlink r:id="rId95" ref="A6588"/>
    <hyperlink r:id="rId95" ref="A6589"/>
    <hyperlink r:id="rId95" ref="A6590"/>
    <hyperlink r:id="rId95" ref="A6591"/>
    <hyperlink r:id="rId95" ref="A6592"/>
    <hyperlink r:id="rId95" ref="A6593"/>
    <hyperlink r:id="rId95" ref="A6594"/>
    <hyperlink r:id="rId95" ref="A6595"/>
    <hyperlink r:id="rId95" ref="A6596"/>
    <hyperlink r:id="rId95" ref="A6597"/>
    <hyperlink r:id="rId95" ref="A6598"/>
    <hyperlink r:id="rId95" ref="A6599"/>
    <hyperlink r:id="rId95" ref="A6600"/>
    <hyperlink r:id="rId95" ref="A6601"/>
    <hyperlink r:id="rId95" ref="A6602"/>
    <hyperlink r:id="rId95" ref="A6603"/>
    <hyperlink r:id="rId95" ref="A6604"/>
    <hyperlink r:id="rId95" ref="A6605"/>
    <hyperlink r:id="rId95" ref="A6606"/>
    <hyperlink r:id="rId95" ref="A6607"/>
    <hyperlink r:id="rId95" ref="A6608"/>
    <hyperlink r:id="rId95" ref="A6609"/>
    <hyperlink r:id="rId95" ref="A6610"/>
    <hyperlink r:id="rId95" ref="A6611"/>
    <hyperlink r:id="rId95" ref="A6612"/>
    <hyperlink r:id="rId95" ref="A6613"/>
    <hyperlink r:id="rId95" ref="A6614"/>
    <hyperlink r:id="rId95" ref="A6615"/>
    <hyperlink r:id="rId95" ref="A6616"/>
    <hyperlink r:id="rId95" ref="A6617"/>
    <hyperlink r:id="rId95" ref="A6618"/>
    <hyperlink r:id="rId95" ref="A6619"/>
    <hyperlink r:id="rId95" ref="A6620"/>
    <hyperlink r:id="rId95" ref="A6621"/>
    <hyperlink r:id="rId95" ref="A6622"/>
    <hyperlink r:id="rId95" ref="A6623"/>
    <hyperlink r:id="rId95" ref="A6624"/>
    <hyperlink r:id="rId95" ref="A6625"/>
    <hyperlink r:id="rId95" ref="A6626"/>
    <hyperlink r:id="rId95" ref="A6627"/>
    <hyperlink r:id="rId95" ref="A6628"/>
    <hyperlink r:id="rId95" ref="A6629"/>
    <hyperlink r:id="rId95" ref="A6630"/>
    <hyperlink r:id="rId95" ref="A6631"/>
    <hyperlink r:id="rId95" ref="A6632"/>
    <hyperlink r:id="rId95" ref="A6633"/>
    <hyperlink r:id="rId95" ref="A6634"/>
    <hyperlink r:id="rId95" ref="A6635"/>
    <hyperlink r:id="rId95" ref="A6636"/>
    <hyperlink r:id="rId95" ref="A6637"/>
    <hyperlink r:id="rId95" ref="A6638"/>
    <hyperlink r:id="rId95" ref="A6639"/>
    <hyperlink r:id="rId95" ref="A6640"/>
    <hyperlink r:id="rId95" ref="A6641"/>
    <hyperlink r:id="rId95" ref="A6642"/>
    <hyperlink r:id="rId95" ref="A6643"/>
    <hyperlink r:id="rId95" ref="A6644"/>
    <hyperlink r:id="rId95" ref="A6645"/>
    <hyperlink r:id="rId95" ref="A6646"/>
    <hyperlink r:id="rId95" ref="A6647"/>
    <hyperlink r:id="rId95" ref="A6648"/>
    <hyperlink r:id="rId95" ref="A6649"/>
    <hyperlink r:id="rId95" ref="A6650"/>
    <hyperlink r:id="rId95" ref="A6651"/>
    <hyperlink r:id="rId95" ref="A6652"/>
    <hyperlink r:id="rId95" ref="A6653"/>
    <hyperlink r:id="rId95" ref="A6654"/>
    <hyperlink r:id="rId95" ref="A6655"/>
    <hyperlink r:id="rId95" ref="A6656"/>
    <hyperlink r:id="rId95" ref="A6657"/>
    <hyperlink r:id="rId95" ref="A6658"/>
    <hyperlink r:id="rId95" ref="A6659"/>
    <hyperlink r:id="rId95" ref="A6660"/>
    <hyperlink r:id="rId95" ref="A6661"/>
    <hyperlink r:id="rId95" ref="A6662"/>
    <hyperlink r:id="rId95" ref="A6663"/>
    <hyperlink r:id="rId95" ref="A6664"/>
    <hyperlink r:id="rId95" ref="A6665"/>
    <hyperlink r:id="rId95" ref="A6666"/>
    <hyperlink r:id="rId95" ref="A6667"/>
    <hyperlink r:id="rId95" ref="A6668"/>
    <hyperlink r:id="rId95" ref="A6669"/>
    <hyperlink r:id="rId95" ref="A6670"/>
    <hyperlink r:id="rId95" ref="A6671"/>
    <hyperlink r:id="rId95" ref="A6672"/>
    <hyperlink r:id="rId95" ref="A6673"/>
    <hyperlink r:id="rId95" ref="A6674"/>
    <hyperlink r:id="rId95" ref="A6675"/>
    <hyperlink r:id="rId95" ref="A6676"/>
    <hyperlink r:id="rId95" ref="A6677"/>
    <hyperlink r:id="rId95" ref="A6678"/>
    <hyperlink r:id="rId95" ref="A6679"/>
    <hyperlink r:id="rId95" ref="A6680"/>
    <hyperlink r:id="rId95" ref="A6681"/>
    <hyperlink r:id="rId95" ref="A6682"/>
    <hyperlink r:id="rId95" ref="A6683"/>
    <hyperlink r:id="rId95" ref="A6684"/>
    <hyperlink r:id="rId95" ref="A6685"/>
    <hyperlink r:id="rId95" ref="A6686"/>
    <hyperlink r:id="rId95" ref="A6687"/>
    <hyperlink r:id="rId95" ref="A6688"/>
    <hyperlink r:id="rId95" ref="A6689"/>
    <hyperlink r:id="rId95" ref="A6690"/>
    <hyperlink r:id="rId95" ref="A6691"/>
    <hyperlink r:id="rId95" ref="A6692"/>
    <hyperlink r:id="rId95" ref="A6693"/>
    <hyperlink r:id="rId95" ref="A6694"/>
    <hyperlink r:id="rId95" ref="A6695"/>
    <hyperlink r:id="rId95" ref="A6696"/>
    <hyperlink r:id="rId95" ref="A6697"/>
    <hyperlink r:id="rId95" ref="A6698"/>
    <hyperlink r:id="rId95" ref="A6699"/>
    <hyperlink r:id="rId95" ref="A6700"/>
    <hyperlink r:id="rId95" ref="A6701"/>
    <hyperlink r:id="rId95" ref="A6702"/>
    <hyperlink r:id="rId95" ref="A6703"/>
    <hyperlink r:id="rId95" ref="A6704"/>
    <hyperlink r:id="rId95" ref="A6705"/>
    <hyperlink r:id="rId95" ref="A6706"/>
    <hyperlink r:id="rId95" ref="A6707"/>
    <hyperlink r:id="rId95" ref="A6708"/>
    <hyperlink r:id="rId95" ref="A6709"/>
    <hyperlink r:id="rId95" ref="A6710"/>
    <hyperlink r:id="rId95" ref="A6711"/>
    <hyperlink r:id="rId95" ref="A6712"/>
    <hyperlink r:id="rId95" ref="A6713"/>
    <hyperlink r:id="rId95" ref="A6714"/>
    <hyperlink r:id="rId95" ref="A6715"/>
    <hyperlink r:id="rId95" ref="A6716"/>
    <hyperlink r:id="rId95" ref="A6717"/>
    <hyperlink r:id="rId95" ref="A6718"/>
    <hyperlink r:id="rId95" ref="A6719"/>
    <hyperlink r:id="rId95" ref="A6720"/>
    <hyperlink r:id="rId95" ref="A6721"/>
    <hyperlink r:id="rId95" ref="A6722"/>
    <hyperlink r:id="rId95" ref="A6723"/>
    <hyperlink r:id="rId95" ref="A6724"/>
    <hyperlink r:id="rId95" ref="A6725"/>
    <hyperlink r:id="rId95" ref="A6726"/>
    <hyperlink r:id="rId95" ref="A6727"/>
    <hyperlink r:id="rId95" ref="A6728"/>
    <hyperlink r:id="rId95" ref="A6729"/>
    <hyperlink r:id="rId95" ref="A6730"/>
    <hyperlink r:id="rId95" ref="A6731"/>
    <hyperlink r:id="rId95" ref="A6732"/>
    <hyperlink r:id="rId95" ref="A6733"/>
    <hyperlink r:id="rId95" ref="A6734"/>
    <hyperlink r:id="rId95" ref="A6735"/>
    <hyperlink r:id="rId95" ref="A6736"/>
    <hyperlink r:id="rId95" ref="A6737"/>
    <hyperlink r:id="rId95" ref="A6738"/>
    <hyperlink r:id="rId95" ref="A6739"/>
    <hyperlink r:id="rId95" ref="A6740"/>
    <hyperlink r:id="rId95" ref="A6741"/>
    <hyperlink r:id="rId95" ref="A6742"/>
    <hyperlink r:id="rId95" ref="A6743"/>
    <hyperlink r:id="rId95" ref="A6744"/>
    <hyperlink r:id="rId95" ref="A6745"/>
    <hyperlink r:id="rId95" ref="A6746"/>
    <hyperlink r:id="rId95" ref="A6747"/>
    <hyperlink r:id="rId95" ref="A6748"/>
    <hyperlink r:id="rId95" ref="A6749"/>
    <hyperlink r:id="rId95" ref="A6750"/>
    <hyperlink r:id="rId95" ref="A6751"/>
    <hyperlink r:id="rId95" ref="A6752"/>
    <hyperlink r:id="rId95" ref="A6753"/>
    <hyperlink r:id="rId95" ref="A6754"/>
    <hyperlink r:id="rId95" ref="A6755"/>
    <hyperlink r:id="rId95" ref="A6756"/>
    <hyperlink r:id="rId95" ref="A6757"/>
    <hyperlink r:id="rId95" ref="A6758"/>
    <hyperlink r:id="rId95" ref="A6759"/>
    <hyperlink r:id="rId95" ref="A6760"/>
    <hyperlink r:id="rId95" ref="A6761"/>
    <hyperlink r:id="rId95" ref="A6762"/>
    <hyperlink r:id="rId95" ref="A6763"/>
    <hyperlink r:id="rId95" ref="A6764"/>
    <hyperlink r:id="rId95" ref="A6765"/>
    <hyperlink r:id="rId95" ref="A6766"/>
    <hyperlink r:id="rId95" ref="A6767"/>
    <hyperlink r:id="rId95" ref="A6768"/>
    <hyperlink r:id="rId95" ref="A6769"/>
    <hyperlink r:id="rId95" ref="A6770"/>
    <hyperlink r:id="rId95" ref="A6771"/>
    <hyperlink r:id="rId95" ref="A6772"/>
    <hyperlink r:id="rId95" ref="A6773"/>
    <hyperlink r:id="rId95" ref="A6774"/>
    <hyperlink r:id="rId95" ref="A6775"/>
    <hyperlink r:id="rId95" ref="A6776"/>
    <hyperlink r:id="rId95" ref="A6777"/>
    <hyperlink r:id="rId95" ref="A6778"/>
    <hyperlink r:id="rId95" ref="A6779"/>
    <hyperlink r:id="rId95" ref="A6780"/>
    <hyperlink r:id="rId95" ref="A6781"/>
    <hyperlink r:id="rId95" ref="A6782"/>
    <hyperlink r:id="rId95" ref="A6783"/>
    <hyperlink r:id="rId95" ref="A6784"/>
    <hyperlink r:id="rId95" ref="A6785"/>
    <hyperlink r:id="rId95" ref="A6786"/>
    <hyperlink r:id="rId95" ref="A6787"/>
    <hyperlink r:id="rId95" ref="A6788"/>
    <hyperlink r:id="rId95" ref="A6789"/>
    <hyperlink r:id="rId95" ref="A6790"/>
    <hyperlink r:id="rId95" ref="A6791"/>
    <hyperlink r:id="rId96" ref="A6792"/>
    <hyperlink r:id="rId96" ref="A6793"/>
    <hyperlink r:id="rId96" ref="A6794"/>
    <hyperlink r:id="rId96" ref="A6795"/>
    <hyperlink r:id="rId96" ref="A6796"/>
    <hyperlink r:id="rId96" ref="A6797"/>
    <hyperlink r:id="rId96" ref="A6798"/>
    <hyperlink r:id="rId96" ref="A6799"/>
    <hyperlink r:id="rId96" ref="A6800"/>
    <hyperlink r:id="rId96" ref="A6801"/>
    <hyperlink r:id="rId96" ref="A6802"/>
    <hyperlink r:id="rId96" ref="A6803"/>
    <hyperlink r:id="rId96" ref="A6804"/>
    <hyperlink r:id="rId96" ref="A6805"/>
    <hyperlink r:id="rId96" ref="A6806"/>
    <hyperlink r:id="rId96" ref="A6807"/>
    <hyperlink r:id="rId96" ref="A6808"/>
    <hyperlink r:id="rId96" ref="A6809"/>
    <hyperlink r:id="rId96" ref="A6810"/>
    <hyperlink r:id="rId96" ref="A6811"/>
    <hyperlink r:id="rId96" ref="A6812"/>
    <hyperlink r:id="rId96" ref="A6813"/>
    <hyperlink r:id="rId96" ref="A6814"/>
    <hyperlink r:id="rId96" ref="A6815"/>
    <hyperlink r:id="rId96" ref="A6816"/>
    <hyperlink r:id="rId96" ref="A6817"/>
    <hyperlink r:id="rId96" ref="A6818"/>
    <hyperlink r:id="rId96" ref="A6819"/>
    <hyperlink r:id="rId96" ref="A6820"/>
    <hyperlink r:id="rId96" ref="A6821"/>
    <hyperlink r:id="rId96" ref="A6822"/>
    <hyperlink r:id="rId96" ref="A6823"/>
    <hyperlink r:id="rId96" ref="A6824"/>
    <hyperlink r:id="rId96" ref="A6825"/>
    <hyperlink r:id="rId96" ref="A6826"/>
    <hyperlink r:id="rId96" ref="A6827"/>
    <hyperlink r:id="rId96" ref="A6828"/>
    <hyperlink r:id="rId96" ref="A6829"/>
    <hyperlink r:id="rId96" ref="A6830"/>
    <hyperlink r:id="rId96" ref="A6831"/>
    <hyperlink r:id="rId97" ref="A6832"/>
    <hyperlink r:id="rId97" ref="A6833"/>
    <hyperlink r:id="rId97" ref="A6834"/>
    <hyperlink r:id="rId97" ref="A6835"/>
    <hyperlink r:id="rId97" ref="A6836"/>
    <hyperlink r:id="rId97" ref="A6837"/>
    <hyperlink r:id="rId97" ref="A6838"/>
    <hyperlink r:id="rId97" ref="A6839"/>
    <hyperlink r:id="rId97" ref="A6840"/>
    <hyperlink r:id="rId97" ref="A6841"/>
    <hyperlink r:id="rId97" ref="A6842"/>
    <hyperlink r:id="rId97" ref="A6843"/>
    <hyperlink r:id="rId97" ref="A6844"/>
    <hyperlink r:id="rId97" ref="A6845"/>
    <hyperlink r:id="rId97" ref="A6846"/>
    <hyperlink r:id="rId97" ref="A6847"/>
    <hyperlink r:id="rId97" ref="A6848"/>
    <hyperlink r:id="rId97" ref="A6849"/>
    <hyperlink r:id="rId97" ref="A6850"/>
    <hyperlink r:id="rId97" ref="A6851"/>
    <hyperlink r:id="rId97" ref="A6852"/>
    <hyperlink r:id="rId97" ref="A6853"/>
    <hyperlink r:id="rId97" ref="A6854"/>
    <hyperlink r:id="rId97" ref="A6855"/>
    <hyperlink r:id="rId97" ref="A6856"/>
    <hyperlink r:id="rId97" ref="A6857"/>
    <hyperlink r:id="rId97" ref="A6858"/>
    <hyperlink r:id="rId97" ref="A6859"/>
    <hyperlink r:id="rId97" ref="A6860"/>
    <hyperlink r:id="rId97" ref="A6861"/>
    <hyperlink r:id="rId97" ref="A6862"/>
    <hyperlink r:id="rId97" ref="A6863"/>
    <hyperlink r:id="rId97" ref="A6864"/>
    <hyperlink r:id="rId97" ref="A6865"/>
    <hyperlink r:id="rId97" ref="A6866"/>
    <hyperlink r:id="rId97" ref="A6867"/>
    <hyperlink r:id="rId97" ref="A6868"/>
    <hyperlink r:id="rId97" ref="A6869"/>
    <hyperlink r:id="rId97" ref="A6870"/>
    <hyperlink r:id="rId97" ref="A6871"/>
    <hyperlink r:id="rId97" ref="A6872"/>
    <hyperlink r:id="rId97" ref="A6873"/>
    <hyperlink r:id="rId97" ref="A6874"/>
    <hyperlink r:id="rId98" ref="A6875"/>
    <hyperlink r:id="rId98" ref="A6876"/>
    <hyperlink r:id="rId98" ref="A6877"/>
    <hyperlink r:id="rId98" ref="A6878"/>
    <hyperlink r:id="rId98" ref="A6879"/>
    <hyperlink r:id="rId98" ref="A6880"/>
    <hyperlink r:id="rId98" ref="A6881"/>
    <hyperlink r:id="rId98" ref="A6882"/>
    <hyperlink r:id="rId98" ref="A6883"/>
    <hyperlink r:id="rId98" ref="A6884"/>
    <hyperlink r:id="rId98" ref="A6885"/>
    <hyperlink r:id="rId98" ref="A6886"/>
    <hyperlink r:id="rId98" ref="A6887"/>
    <hyperlink r:id="rId99" ref="A6888"/>
    <hyperlink r:id="rId99" ref="A6889"/>
    <hyperlink r:id="rId99" ref="A6890"/>
    <hyperlink r:id="rId99" ref="A6891"/>
    <hyperlink r:id="rId99" ref="A6892"/>
    <hyperlink r:id="rId99" ref="A6893"/>
    <hyperlink r:id="rId99" ref="A6894"/>
    <hyperlink r:id="rId99" ref="A6895"/>
    <hyperlink r:id="rId99" ref="A6896"/>
    <hyperlink r:id="rId99" ref="A6897"/>
    <hyperlink r:id="rId99" ref="A6898"/>
    <hyperlink r:id="rId99" ref="A6899"/>
    <hyperlink r:id="rId99" ref="A6900"/>
    <hyperlink r:id="rId99" ref="A6901"/>
    <hyperlink r:id="rId99" ref="A6902"/>
    <hyperlink r:id="rId99" ref="A6903"/>
    <hyperlink r:id="rId99" ref="A6904"/>
    <hyperlink r:id="rId99" ref="A6905"/>
    <hyperlink r:id="rId99" ref="A6906"/>
    <hyperlink r:id="rId99" ref="A6907"/>
    <hyperlink r:id="rId99" ref="A6908"/>
    <hyperlink r:id="rId99" ref="A6909"/>
    <hyperlink r:id="rId99" ref="A6910"/>
    <hyperlink r:id="rId99" ref="A6911"/>
    <hyperlink r:id="rId99" ref="A6912"/>
    <hyperlink r:id="rId99" ref="A6913"/>
    <hyperlink r:id="rId99" ref="A6914"/>
    <hyperlink r:id="rId99" ref="A6915"/>
    <hyperlink r:id="rId99" ref="A6916"/>
    <hyperlink r:id="rId99" ref="A6917"/>
    <hyperlink r:id="rId99" ref="A6918"/>
    <hyperlink r:id="rId99" ref="A6919"/>
    <hyperlink r:id="rId99" ref="A6920"/>
    <hyperlink r:id="rId99" ref="A6921"/>
    <hyperlink r:id="rId99" ref="A6922"/>
    <hyperlink r:id="rId99" ref="A6923"/>
    <hyperlink r:id="rId99" ref="A6924"/>
    <hyperlink r:id="rId99" ref="A6925"/>
    <hyperlink r:id="rId99" ref="A6926"/>
    <hyperlink r:id="rId99" ref="A6927"/>
    <hyperlink r:id="rId99" ref="A6928"/>
    <hyperlink r:id="rId99" ref="A6929"/>
    <hyperlink r:id="rId99" ref="A6930"/>
    <hyperlink r:id="rId99" ref="A6931"/>
    <hyperlink r:id="rId99" ref="A6932"/>
    <hyperlink r:id="rId100" ref="A6933"/>
    <hyperlink r:id="rId100" ref="A6934"/>
    <hyperlink r:id="rId100" ref="A6935"/>
    <hyperlink r:id="rId100" ref="A6936"/>
    <hyperlink r:id="rId100" ref="A6937"/>
    <hyperlink r:id="rId100" ref="A6938"/>
    <hyperlink r:id="rId100" ref="A6939"/>
    <hyperlink r:id="rId100" ref="A6940"/>
    <hyperlink r:id="rId100" ref="A6941"/>
    <hyperlink r:id="rId100" ref="A6942"/>
    <hyperlink r:id="rId100" ref="A6943"/>
    <hyperlink r:id="rId100" ref="A6944"/>
    <hyperlink r:id="rId100" ref="A6945"/>
    <hyperlink r:id="rId100" ref="A6946"/>
    <hyperlink r:id="rId100" ref="A6947"/>
    <hyperlink r:id="rId100" ref="A6948"/>
    <hyperlink r:id="rId100" ref="A6949"/>
    <hyperlink r:id="rId100" ref="A6950"/>
    <hyperlink r:id="rId100" ref="A6951"/>
    <hyperlink r:id="rId100" ref="A6952"/>
    <hyperlink r:id="rId100" ref="A6953"/>
    <hyperlink r:id="rId100" ref="A6954"/>
    <hyperlink r:id="rId100" ref="A6955"/>
    <hyperlink r:id="rId100" ref="A6956"/>
    <hyperlink r:id="rId100" ref="A6957"/>
    <hyperlink r:id="rId100" ref="A6958"/>
    <hyperlink r:id="rId100" ref="A6959"/>
    <hyperlink r:id="rId100" ref="A6960"/>
    <hyperlink r:id="rId101" ref="A6961"/>
    <hyperlink r:id="rId101" ref="A6962"/>
    <hyperlink r:id="rId101" ref="A6963"/>
    <hyperlink r:id="rId101" ref="A6964"/>
    <hyperlink r:id="rId101" ref="A6965"/>
    <hyperlink r:id="rId101" ref="A6966"/>
    <hyperlink r:id="rId101" ref="A6967"/>
    <hyperlink r:id="rId101" ref="A6968"/>
    <hyperlink r:id="rId101" ref="A6969"/>
    <hyperlink r:id="rId101" ref="A6970"/>
    <hyperlink r:id="rId101" ref="A6971"/>
    <hyperlink r:id="rId101" ref="A6972"/>
    <hyperlink r:id="rId101" ref="A6973"/>
    <hyperlink r:id="rId101" ref="A6974"/>
    <hyperlink r:id="rId101" ref="A6975"/>
    <hyperlink r:id="rId101" ref="A6976"/>
    <hyperlink r:id="rId101" ref="A6977"/>
    <hyperlink r:id="rId101" ref="A6978"/>
    <hyperlink r:id="rId101" ref="A6979"/>
    <hyperlink r:id="rId101" ref="A6980"/>
    <hyperlink r:id="rId101" ref="A6981"/>
    <hyperlink r:id="rId101" ref="A6982"/>
    <hyperlink r:id="rId101" ref="A6983"/>
    <hyperlink r:id="rId101" ref="A6984"/>
    <hyperlink r:id="rId101" ref="A6985"/>
    <hyperlink r:id="rId101" ref="A6986"/>
    <hyperlink r:id="rId101" ref="A6987"/>
    <hyperlink r:id="rId101" ref="A6988"/>
    <hyperlink r:id="rId101" ref="A6989"/>
    <hyperlink r:id="rId101" ref="A6990"/>
    <hyperlink r:id="rId101" ref="A6991"/>
    <hyperlink r:id="rId101" ref="A6992"/>
    <hyperlink r:id="rId101" ref="A6993"/>
    <hyperlink r:id="rId101" ref="A6994"/>
    <hyperlink r:id="rId101" ref="A6995"/>
    <hyperlink r:id="rId101" ref="A6996"/>
    <hyperlink r:id="rId101" ref="A6997"/>
    <hyperlink r:id="rId101" ref="A6998"/>
    <hyperlink r:id="rId101" ref="A6999"/>
    <hyperlink r:id="rId101" ref="A7000"/>
    <hyperlink r:id="rId101" ref="A7001"/>
    <hyperlink r:id="rId101" ref="A7002"/>
    <hyperlink r:id="rId101" ref="A7003"/>
    <hyperlink r:id="rId101" ref="A7004"/>
    <hyperlink r:id="rId101" ref="A7005"/>
    <hyperlink r:id="rId101" ref="A7006"/>
    <hyperlink r:id="rId101" ref="A7007"/>
    <hyperlink r:id="rId101" ref="A7008"/>
    <hyperlink r:id="rId101" ref="A7009"/>
    <hyperlink r:id="rId101" ref="A7010"/>
    <hyperlink r:id="rId101" ref="A7011"/>
    <hyperlink r:id="rId101" ref="A7012"/>
    <hyperlink r:id="rId101" ref="A7013"/>
    <hyperlink r:id="rId101" ref="A7014"/>
    <hyperlink r:id="rId101" ref="A7015"/>
    <hyperlink r:id="rId101" ref="A7016"/>
    <hyperlink r:id="rId101" ref="A7017"/>
    <hyperlink r:id="rId101" ref="A7018"/>
    <hyperlink r:id="rId101" ref="A7019"/>
    <hyperlink r:id="rId101" ref="A7020"/>
    <hyperlink r:id="rId101" ref="A7021"/>
    <hyperlink r:id="rId101" ref="A7022"/>
    <hyperlink r:id="rId101" ref="A7023"/>
    <hyperlink r:id="rId101" ref="A7024"/>
    <hyperlink r:id="rId101" ref="A7025"/>
    <hyperlink r:id="rId101" ref="A7026"/>
    <hyperlink r:id="rId101" ref="A7027"/>
    <hyperlink r:id="rId101" ref="A7028"/>
    <hyperlink r:id="rId101" ref="A7029"/>
    <hyperlink r:id="rId101" ref="A7030"/>
    <hyperlink r:id="rId101" ref="A7031"/>
    <hyperlink r:id="rId101" ref="A7032"/>
    <hyperlink r:id="rId101" ref="A7033"/>
    <hyperlink r:id="rId101" ref="A7034"/>
    <hyperlink r:id="rId101" ref="A7035"/>
    <hyperlink r:id="rId101" ref="A7036"/>
    <hyperlink r:id="rId101" ref="A7037"/>
    <hyperlink r:id="rId101" ref="A7038"/>
    <hyperlink r:id="rId101" ref="A7039"/>
    <hyperlink r:id="rId101" ref="A7040"/>
    <hyperlink r:id="rId101" ref="A7041"/>
    <hyperlink r:id="rId101" ref="A7042"/>
    <hyperlink r:id="rId101" ref="A7043"/>
    <hyperlink r:id="rId101" ref="A7044"/>
    <hyperlink r:id="rId101" ref="A7045"/>
    <hyperlink r:id="rId101" ref="A7046"/>
    <hyperlink r:id="rId101" ref="A7047"/>
    <hyperlink r:id="rId101" ref="A7048"/>
    <hyperlink r:id="rId101" ref="A7049"/>
    <hyperlink r:id="rId101" ref="A7050"/>
    <hyperlink r:id="rId101" ref="A7051"/>
    <hyperlink r:id="rId101" ref="A7052"/>
    <hyperlink r:id="rId101" ref="A7053"/>
    <hyperlink r:id="rId101" ref="A7054"/>
    <hyperlink r:id="rId101" ref="A7055"/>
    <hyperlink r:id="rId101" ref="A7056"/>
    <hyperlink r:id="rId101" ref="A7057"/>
    <hyperlink r:id="rId101" ref="A7058"/>
    <hyperlink r:id="rId101" ref="A7059"/>
    <hyperlink r:id="rId101" ref="A7060"/>
    <hyperlink r:id="rId101" ref="A7061"/>
    <hyperlink r:id="rId101" ref="A7062"/>
    <hyperlink r:id="rId101" ref="A7063"/>
    <hyperlink r:id="rId101" ref="A7064"/>
    <hyperlink r:id="rId101" ref="A7065"/>
    <hyperlink r:id="rId101" ref="A7066"/>
    <hyperlink r:id="rId101" ref="A7067"/>
    <hyperlink r:id="rId101" ref="A7068"/>
    <hyperlink r:id="rId101" ref="A7069"/>
    <hyperlink r:id="rId101" ref="A7070"/>
    <hyperlink r:id="rId101" ref="A7071"/>
    <hyperlink r:id="rId101" ref="A7072"/>
    <hyperlink r:id="rId101" ref="A7073"/>
    <hyperlink r:id="rId101" ref="A7074"/>
    <hyperlink r:id="rId101" ref="A7075"/>
    <hyperlink r:id="rId101" ref="A7076"/>
    <hyperlink r:id="rId101" ref="A7077"/>
    <hyperlink r:id="rId101" ref="A7078"/>
    <hyperlink r:id="rId101" ref="A7079"/>
    <hyperlink r:id="rId101" ref="A7080"/>
    <hyperlink r:id="rId101" ref="A7081"/>
    <hyperlink r:id="rId101" ref="A7082"/>
    <hyperlink r:id="rId101" ref="A7083"/>
    <hyperlink r:id="rId101" ref="A7084"/>
    <hyperlink r:id="rId101" ref="A7085"/>
    <hyperlink r:id="rId101" ref="A7086"/>
    <hyperlink r:id="rId101" ref="A7087"/>
    <hyperlink r:id="rId101" ref="A7088"/>
    <hyperlink r:id="rId101" ref="A7089"/>
    <hyperlink r:id="rId101" ref="A7090"/>
    <hyperlink r:id="rId101" ref="A7091"/>
    <hyperlink r:id="rId101" ref="A7092"/>
    <hyperlink r:id="rId101" ref="A7093"/>
    <hyperlink r:id="rId101" ref="A7094"/>
    <hyperlink r:id="rId101" ref="A7095"/>
    <hyperlink r:id="rId101" ref="A7096"/>
    <hyperlink r:id="rId101" ref="A7097"/>
    <hyperlink r:id="rId101" ref="A7098"/>
    <hyperlink r:id="rId101" ref="A7099"/>
    <hyperlink r:id="rId101" ref="A7100"/>
    <hyperlink r:id="rId101" ref="A7101"/>
    <hyperlink r:id="rId101" ref="A7102"/>
    <hyperlink r:id="rId101" ref="A7103"/>
    <hyperlink r:id="rId101" ref="A7104"/>
    <hyperlink r:id="rId101" ref="A7105"/>
    <hyperlink r:id="rId101" ref="A7106"/>
    <hyperlink r:id="rId101" ref="A7107"/>
    <hyperlink r:id="rId101" ref="A7108"/>
    <hyperlink r:id="rId101" ref="A7109"/>
    <hyperlink r:id="rId101" ref="A7110"/>
    <hyperlink r:id="rId101" ref="A7111"/>
    <hyperlink r:id="rId101" ref="A7112"/>
    <hyperlink r:id="rId101" ref="A7113"/>
    <hyperlink r:id="rId101" ref="A7114"/>
    <hyperlink r:id="rId101" ref="A7115"/>
    <hyperlink r:id="rId101" ref="A7116"/>
    <hyperlink r:id="rId101" ref="A7117"/>
    <hyperlink r:id="rId101" ref="A7118"/>
    <hyperlink r:id="rId101" ref="A7119"/>
    <hyperlink r:id="rId101" ref="A7120"/>
    <hyperlink r:id="rId101" ref="A7121"/>
    <hyperlink r:id="rId101" ref="A7122"/>
    <hyperlink r:id="rId101" ref="A7123"/>
    <hyperlink r:id="rId101" ref="A7124"/>
    <hyperlink r:id="rId101" ref="A7125"/>
    <hyperlink r:id="rId101" ref="A7126"/>
    <hyperlink r:id="rId101" ref="A7127"/>
    <hyperlink r:id="rId101" ref="A7128"/>
    <hyperlink r:id="rId101" ref="A7129"/>
    <hyperlink r:id="rId101" ref="A7130"/>
    <hyperlink r:id="rId101" ref="A7131"/>
    <hyperlink r:id="rId101" ref="A7132"/>
    <hyperlink r:id="rId101" ref="A7133"/>
    <hyperlink r:id="rId101" ref="A7134"/>
    <hyperlink r:id="rId101" ref="A7135"/>
    <hyperlink r:id="rId101" ref="A7136"/>
    <hyperlink r:id="rId101" ref="A7137"/>
    <hyperlink r:id="rId101" ref="A7138"/>
    <hyperlink r:id="rId101" ref="A7139"/>
    <hyperlink r:id="rId101" ref="A7140"/>
    <hyperlink r:id="rId101" ref="A7141"/>
    <hyperlink r:id="rId101" ref="A7142"/>
    <hyperlink r:id="rId101" ref="A7143"/>
    <hyperlink r:id="rId101" ref="A7144"/>
    <hyperlink r:id="rId101" ref="A7145"/>
    <hyperlink r:id="rId101" ref="A7146"/>
    <hyperlink r:id="rId101" ref="A7147"/>
    <hyperlink r:id="rId101" ref="A7148"/>
    <hyperlink r:id="rId101" ref="A7149"/>
    <hyperlink r:id="rId101" ref="A7150"/>
    <hyperlink r:id="rId101" ref="A7151"/>
    <hyperlink r:id="rId101" ref="A7152"/>
    <hyperlink r:id="rId101" ref="A7153"/>
    <hyperlink r:id="rId101" ref="A7154"/>
    <hyperlink r:id="rId101" ref="A7155"/>
    <hyperlink r:id="rId101" ref="A7156"/>
    <hyperlink r:id="rId101" ref="A7157"/>
    <hyperlink r:id="rId101" ref="A7158"/>
    <hyperlink r:id="rId101" ref="A7159"/>
    <hyperlink r:id="rId101" ref="A7160"/>
    <hyperlink r:id="rId101" ref="A7161"/>
    <hyperlink r:id="rId101" ref="A7162"/>
    <hyperlink r:id="rId101" ref="A7163"/>
    <hyperlink r:id="rId101" ref="A7164"/>
    <hyperlink r:id="rId101" ref="A7165"/>
    <hyperlink r:id="rId101" ref="A7166"/>
    <hyperlink r:id="rId101" ref="A7167"/>
    <hyperlink r:id="rId101" ref="A7168"/>
    <hyperlink r:id="rId101" ref="A7169"/>
    <hyperlink r:id="rId101" ref="A7170"/>
    <hyperlink r:id="rId101" ref="A7171"/>
    <hyperlink r:id="rId101" ref="A7172"/>
    <hyperlink r:id="rId101" ref="A7173"/>
    <hyperlink r:id="rId101" ref="A7174"/>
    <hyperlink r:id="rId101" ref="A7175"/>
    <hyperlink r:id="rId101" ref="A7176"/>
    <hyperlink r:id="rId101" ref="A7177"/>
    <hyperlink r:id="rId101" ref="A7178"/>
    <hyperlink r:id="rId101" ref="A7179"/>
    <hyperlink r:id="rId101" ref="A7180"/>
    <hyperlink r:id="rId101" ref="A7181"/>
    <hyperlink r:id="rId101" ref="A7182"/>
    <hyperlink r:id="rId101" ref="A7183"/>
    <hyperlink r:id="rId101" ref="A7184"/>
    <hyperlink r:id="rId101" ref="A7185"/>
    <hyperlink r:id="rId101" ref="A7186"/>
    <hyperlink r:id="rId101" ref="A7187"/>
    <hyperlink r:id="rId101" ref="A7188"/>
    <hyperlink r:id="rId101" ref="A7189"/>
    <hyperlink r:id="rId101" ref="A7190"/>
    <hyperlink r:id="rId101" ref="A7191"/>
    <hyperlink r:id="rId101" ref="A7192"/>
    <hyperlink r:id="rId101" ref="A7193"/>
    <hyperlink r:id="rId101" ref="A7194"/>
    <hyperlink r:id="rId101" ref="A7195"/>
    <hyperlink r:id="rId101" ref="A7196"/>
    <hyperlink r:id="rId101" ref="A7197"/>
    <hyperlink r:id="rId101" ref="A7198"/>
    <hyperlink r:id="rId101" ref="A7199"/>
    <hyperlink r:id="rId101" ref="A7200"/>
    <hyperlink r:id="rId101" ref="A7201"/>
    <hyperlink r:id="rId101" ref="A7202"/>
    <hyperlink r:id="rId101" ref="A7203"/>
    <hyperlink r:id="rId101" ref="A7204"/>
    <hyperlink r:id="rId101" ref="A7205"/>
    <hyperlink r:id="rId101" ref="A7206"/>
    <hyperlink r:id="rId101" ref="A7207"/>
    <hyperlink r:id="rId101" ref="A7208"/>
    <hyperlink r:id="rId101" ref="A7209"/>
    <hyperlink r:id="rId101" ref="A7210"/>
    <hyperlink r:id="rId101" ref="A7211"/>
    <hyperlink r:id="rId101" ref="A7212"/>
    <hyperlink r:id="rId101" ref="A7213"/>
    <hyperlink r:id="rId101" ref="A7214"/>
    <hyperlink r:id="rId101" ref="A7215"/>
    <hyperlink r:id="rId101" ref="A7216"/>
    <hyperlink r:id="rId101" ref="A7217"/>
    <hyperlink r:id="rId101" ref="A7218"/>
    <hyperlink r:id="rId101" ref="A7219"/>
    <hyperlink r:id="rId101" ref="A7220"/>
    <hyperlink r:id="rId101" ref="A7221"/>
    <hyperlink r:id="rId101" ref="A7222"/>
    <hyperlink r:id="rId101" ref="A7223"/>
    <hyperlink r:id="rId101" ref="A7224"/>
    <hyperlink r:id="rId101" ref="A7225"/>
    <hyperlink r:id="rId101" ref="A7226"/>
    <hyperlink r:id="rId101" ref="A7227"/>
    <hyperlink r:id="rId101" ref="A7228"/>
    <hyperlink r:id="rId101" ref="A7229"/>
    <hyperlink r:id="rId101" ref="A7230"/>
    <hyperlink r:id="rId101" ref="A7231"/>
    <hyperlink r:id="rId101" ref="A7232"/>
    <hyperlink r:id="rId101" ref="A7233"/>
    <hyperlink r:id="rId101" ref="A7234"/>
    <hyperlink r:id="rId101" ref="A7235"/>
    <hyperlink r:id="rId101" ref="A7236"/>
    <hyperlink r:id="rId101" ref="A7237"/>
    <hyperlink r:id="rId101" ref="A7238"/>
    <hyperlink r:id="rId101" ref="A7239"/>
    <hyperlink r:id="rId101" ref="A7240"/>
    <hyperlink r:id="rId101" ref="A7241"/>
    <hyperlink r:id="rId101" ref="A7242"/>
    <hyperlink r:id="rId101" ref="A7243"/>
    <hyperlink r:id="rId101" ref="A7244"/>
    <hyperlink r:id="rId101" ref="A7245"/>
    <hyperlink r:id="rId101" ref="A7246"/>
    <hyperlink r:id="rId101" ref="A7247"/>
    <hyperlink r:id="rId101" ref="A7248"/>
    <hyperlink r:id="rId101" ref="A7249"/>
    <hyperlink r:id="rId101" ref="A7250"/>
    <hyperlink r:id="rId101" ref="A7251"/>
    <hyperlink r:id="rId101" ref="A7252"/>
    <hyperlink r:id="rId101" ref="A7253"/>
    <hyperlink r:id="rId101" ref="A7254"/>
    <hyperlink r:id="rId101" ref="A7255"/>
    <hyperlink r:id="rId101" ref="A7256"/>
    <hyperlink r:id="rId101" ref="A7257"/>
    <hyperlink r:id="rId101" ref="A7258"/>
    <hyperlink r:id="rId101" ref="A7259"/>
    <hyperlink r:id="rId101" ref="A7260"/>
    <hyperlink r:id="rId101" ref="A7261"/>
    <hyperlink r:id="rId101" ref="A7262"/>
    <hyperlink r:id="rId101" ref="A7263"/>
    <hyperlink r:id="rId101" ref="A7264"/>
    <hyperlink r:id="rId101" ref="A7265"/>
    <hyperlink r:id="rId101" ref="A7266"/>
    <hyperlink r:id="rId101" ref="A7267"/>
    <hyperlink r:id="rId101" ref="A7268"/>
    <hyperlink r:id="rId101" ref="A7269"/>
    <hyperlink r:id="rId101" ref="A7270"/>
    <hyperlink r:id="rId101" ref="A7271"/>
    <hyperlink r:id="rId101" ref="A7272"/>
    <hyperlink r:id="rId101" ref="A7273"/>
    <hyperlink r:id="rId101" ref="A7274"/>
    <hyperlink r:id="rId101" ref="A7275"/>
    <hyperlink r:id="rId101" ref="A7276"/>
    <hyperlink r:id="rId101" ref="A7277"/>
    <hyperlink r:id="rId101" ref="A7278"/>
    <hyperlink r:id="rId101" ref="A7279"/>
    <hyperlink r:id="rId101" ref="A7280"/>
    <hyperlink r:id="rId101" ref="A7281"/>
    <hyperlink r:id="rId101" ref="A7282"/>
    <hyperlink r:id="rId101" ref="A7283"/>
    <hyperlink r:id="rId101" ref="A7284"/>
    <hyperlink r:id="rId101" ref="A7285"/>
    <hyperlink r:id="rId101" ref="A7286"/>
    <hyperlink r:id="rId101" ref="A7287"/>
    <hyperlink r:id="rId101" ref="A7288"/>
    <hyperlink r:id="rId101" ref="A7289"/>
    <hyperlink r:id="rId101" ref="A7290"/>
    <hyperlink r:id="rId101" ref="A7291"/>
    <hyperlink r:id="rId101" ref="A7292"/>
    <hyperlink r:id="rId101" ref="A7293"/>
    <hyperlink r:id="rId101" ref="A7294"/>
    <hyperlink r:id="rId101" ref="A7295"/>
    <hyperlink r:id="rId101" ref="A7296"/>
    <hyperlink r:id="rId101" ref="A7297"/>
    <hyperlink r:id="rId101" ref="A7298"/>
    <hyperlink r:id="rId101" ref="A7299"/>
    <hyperlink r:id="rId101" ref="A7300"/>
    <hyperlink r:id="rId101" ref="A7301"/>
    <hyperlink r:id="rId101" ref="A7302"/>
    <hyperlink r:id="rId101" ref="A7303"/>
    <hyperlink r:id="rId101" ref="A7304"/>
    <hyperlink r:id="rId101" ref="A7305"/>
    <hyperlink r:id="rId101" ref="A7306"/>
    <hyperlink r:id="rId101" ref="A7307"/>
    <hyperlink r:id="rId101" ref="A7308"/>
    <hyperlink r:id="rId101" ref="A7309"/>
    <hyperlink r:id="rId101" ref="A7310"/>
    <hyperlink r:id="rId101" ref="A7311"/>
    <hyperlink r:id="rId101" ref="A7312"/>
    <hyperlink r:id="rId101" ref="A7313"/>
    <hyperlink r:id="rId101" ref="A7314"/>
    <hyperlink r:id="rId101" ref="A7315"/>
    <hyperlink r:id="rId101" ref="A7316"/>
    <hyperlink r:id="rId101" ref="A7317"/>
    <hyperlink r:id="rId101" ref="A7318"/>
    <hyperlink r:id="rId101" ref="A7319"/>
    <hyperlink r:id="rId101" ref="A7320"/>
    <hyperlink r:id="rId101" ref="A7321"/>
    <hyperlink r:id="rId101" ref="A7322"/>
    <hyperlink r:id="rId101" ref="A7323"/>
    <hyperlink r:id="rId101" ref="A7324"/>
    <hyperlink r:id="rId101" ref="A7325"/>
    <hyperlink r:id="rId101" ref="A7326"/>
    <hyperlink r:id="rId101" ref="A7327"/>
    <hyperlink r:id="rId101" ref="A7328"/>
    <hyperlink r:id="rId101" ref="A7329"/>
    <hyperlink r:id="rId101" ref="A7330"/>
    <hyperlink r:id="rId101" ref="A7331"/>
    <hyperlink r:id="rId101" ref="A7332"/>
    <hyperlink r:id="rId101" ref="A7333"/>
    <hyperlink r:id="rId101" ref="A7334"/>
    <hyperlink r:id="rId101" ref="A7335"/>
    <hyperlink r:id="rId101" ref="A7336"/>
    <hyperlink r:id="rId102" ref="A7337"/>
    <hyperlink r:id="rId102" ref="A7338"/>
    <hyperlink r:id="rId102" ref="A7339"/>
    <hyperlink r:id="rId102" ref="A7340"/>
    <hyperlink r:id="rId102" ref="A7341"/>
    <hyperlink r:id="rId102" ref="A7342"/>
    <hyperlink r:id="rId102" ref="A7343"/>
    <hyperlink r:id="rId102" ref="A7344"/>
    <hyperlink r:id="rId102" ref="A7345"/>
    <hyperlink r:id="rId102" ref="A7346"/>
    <hyperlink r:id="rId102" ref="A7347"/>
    <hyperlink r:id="rId102" ref="A7348"/>
    <hyperlink r:id="rId103" ref="A7349"/>
    <hyperlink r:id="rId103" ref="A7350"/>
    <hyperlink r:id="rId103" ref="A7351"/>
    <hyperlink r:id="rId103" ref="A7352"/>
    <hyperlink r:id="rId103" ref="A7353"/>
    <hyperlink r:id="rId103" ref="A7354"/>
    <hyperlink r:id="rId103" ref="A7355"/>
    <hyperlink r:id="rId103" ref="A7356"/>
    <hyperlink r:id="rId103" ref="A7357"/>
    <hyperlink r:id="rId103" ref="A7358"/>
    <hyperlink r:id="rId103" ref="A7359"/>
    <hyperlink r:id="rId103" ref="A7360"/>
    <hyperlink r:id="rId103" ref="A7361"/>
    <hyperlink r:id="rId103" ref="A7362"/>
    <hyperlink r:id="rId103" ref="A7363"/>
    <hyperlink r:id="rId103" ref="A7364"/>
    <hyperlink r:id="rId103" ref="A7365"/>
    <hyperlink r:id="rId103" ref="A7366"/>
    <hyperlink r:id="rId103" ref="A7367"/>
    <hyperlink r:id="rId103" ref="A7368"/>
    <hyperlink r:id="rId103" ref="A7369"/>
    <hyperlink r:id="rId103" ref="A7370"/>
    <hyperlink r:id="rId103" ref="A7371"/>
    <hyperlink r:id="rId103" ref="A7372"/>
    <hyperlink r:id="rId103" ref="A7373"/>
    <hyperlink r:id="rId103" ref="A7374"/>
    <hyperlink r:id="rId103" ref="A7375"/>
    <hyperlink r:id="rId103" ref="A7376"/>
    <hyperlink r:id="rId103" ref="A7377"/>
    <hyperlink r:id="rId103" ref="A7378"/>
    <hyperlink r:id="rId103" ref="A7379"/>
    <hyperlink r:id="rId103" ref="A7380"/>
    <hyperlink r:id="rId103" ref="A7381"/>
    <hyperlink r:id="rId103" ref="A7382"/>
    <hyperlink r:id="rId103" ref="A7383"/>
    <hyperlink r:id="rId103" ref="A7384"/>
    <hyperlink r:id="rId103" ref="A7385"/>
    <hyperlink r:id="rId103" ref="A7386"/>
    <hyperlink r:id="rId103" ref="A7387"/>
    <hyperlink r:id="rId103" ref="A7388"/>
    <hyperlink r:id="rId103" ref="A7389"/>
    <hyperlink r:id="rId103" ref="A7390"/>
    <hyperlink r:id="rId103" ref="A7391"/>
    <hyperlink r:id="rId103" ref="A7392"/>
    <hyperlink r:id="rId103" ref="A7393"/>
    <hyperlink r:id="rId103" ref="A7394"/>
    <hyperlink r:id="rId103" ref="A7395"/>
    <hyperlink r:id="rId103" ref="A7396"/>
    <hyperlink r:id="rId103" ref="A7397"/>
    <hyperlink r:id="rId103" ref="A7398"/>
    <hyperlink r:id="rId103" ref="A7399"/>
    <hyperlink r:id="rId103" ref="A7400"/>
    <hyperlink r:id="rId103" ref="A7401"/>
    <hyperlink r:id="rId103" ref="A7402"/>
    <hyperlink r:id="rId103" ref="A7403"/>
    <hyperlink r:id="rId103" ref="A7404"/>
    <hyperlink r:id="rId103" ref="A7405"/>
    <hyperlink r:id="rId103" ref="A7406"/>
    <hyperlink r:id="rId103" ref="A7407"/>
    <hyperlink r:id="rId103" ref="A7408"/>
    <hyperlink r:id="rId103" ref="A7409"/>
    <hyperlink r:id="rId103" ref="A7410"/>
    <hyperlink r:id="rId103" ref="A7411"/>
    <hyperlink r:id="rId103" ref="A7412"/>
    <hyperlink r:id="rId103" ref="A7413"/>
    <hyperlink r:id="rId103" ref="A7414"/>
    <hyperlink r:id="rId103" ref="A7415"/>
    <hyperlink r:id="rId103" ref="A7416"/>
    <hyperlink r:id="rId103" ref="A7417"/>
    <hyperlink r:id="rId103" ref="A7418"/>
    <hyperlink r:id="rId103" ref="A7419"/>
    <hyperlink r:id="rId103" ref="A7420"/>
    <hyperlink r:id="rId103" ref="A7421"/>
    <hyperlink r:id="rId103" ref="A7422"/>
    <hyperlink r:id="rId103" ref="A7423"/>
    <hyperlink r:id="rId103" ref="A7424"/>
    <hyperlink r:id="rId103" ref="A7425"/>
    <hyperlink r:id="rId103" ref="A7426"/>
    <hyperlink r:id="rId103" ref="A7427"/>
    <hyperlink r:id="rId103" ref="A7428"/>
    <hyperlink r:id="rId103" ref="A7429"/>
    <hyperlink r:id="rId103" ref="A7430"/>
    <hyperlink r:id="rId103" ref="A7431"/>
    <hyperlink r:id="rId103" ref="A7432"/>
    <hyperlink r:id="rId103" ref="A7433"/>
    <hyperlink r:id="rId103" ref="A7434"/>
    <hyperlink r:id="rId103" ref="A7435"/>
    <hyperlink r:id="rId103" ref="A7436"/>
    <hyperlink r:id="rId103" ref="A7437"/>
    <hyperlink r:id="rId103" ref="A7438"/>
    <hyperlink r:id="rId103" ref="A7439"/>
    <hyperlink r:id="rId103" ref="A7440"/>
    <hyperlink r:id="rId103" ref="A7441"/>
    <hyperlink r:id="rId103" ref="A7442"/>
    <hyperlink r:id="rId103" ref="A7443"/>
    <hyperlink r:id="rId103" ref="A7444"/>
    <hyperlink r:id="rId103" ref="A7445"/>
    <hyperlink r:id="rId103" ref="A7446"/>
    <hyperlink r:id="rId103" ref="A7447"/>
    <hyperlink r:id="rId103" ref="A7448"/>
    <hyperlink r:id="rId103" ref="A7449"/>
    <hyperlink r:id="rId103" ref="A7450"/>
    <hyperlink r:id="rId103" ref="A7451"/>
    <hyperlink r:id="rId103" ref="A7452"/>
    <hyperlink r:id="rId103" ref="A7453"/>
    <hyperlink r:id="rId103" ref="A7454"/>
    <hyperlink r:id="rId103" ref="A7455"/>
    <hyperlink r:id="rId103" ref="A7456"/>
    <hyperlink r:id="rId103" ref="A7457"/>
    <hyperlink r:id="rId103" ref="A7458"/>
    <hyperlink r:id="rId103" ref="A7459"/>
    <hyperlink r:id="rId103" ref="A7460"/>
    <hyperlink r:id="rId103" ref="A7461"/>
    <hyperlink r:id="rId103" ref="A7462"/>
    <hyperlink r:id="rId103" ref="A7463"/>
    <hyperlink r:id="rId103" ref="A7464"/>
    <hyperlink r:id="rId103" ref="A7465"/>
    <hyperlink r:id="rId103" ref="A7466"/>
    <hyperlink r:id="rId103" ref="A7467"/>
    <hyperlink r:id="rId104" ref="A7468"/>
    <hyperlink r:id="rId104" ref="A7469"/>
    <hyperlink r:id="rId104" ref="A7470"/>
    <hyperlink r:id="rId104" ref="A7471"/>
    <hyperlink r:id="rId104" ref="A7472"/>
    <hyperlink r:id="rId104" ref="A7473"/>
    <hyperlink r:id="rId104" ref="A7474"/>
    <hyperlink r:id="rId104" ref="A7475"/>
    <hyperlink r:id="rId104" ref="A7476"/>
    <hyperlink r:id="rId104" ref="A7477"/>
    <hyperlink r:id="rId104" ref="A7478"/>
    <hyperlink r:id="rId104" ref="A7479"/>
    <hyperlink r:id="rId104" ref="A7480"/>
    <hyperlink r:id="rId104" ref="A7481"/>
    <hyperlink r:id="rId104" ref="A7482"/>
    <hyperlink r:id="rId104" ref="A7483"/>
    <hyperlink r:id="rId104" ref="A7484"/>
    <hyperlink r:id="rId104" ref="A7485"/>
    <hyperlink r:id="rId104" ref="A7486"/>
    <hyperlink r:id="rId104" ref="A7487"/>
    <hyperlink r:id="rId104" ref="A7488"/>
    <hyperlink r:id="rId104" ref="A7489"/>
    <hyperlink r:id="rId104" ref="A7490"/>
    <hyperlink r:id="rId104" ref="A7491"/>
    <hyperlink r:id="rId104" ref="A7492"/>
    <hyperlink r:id="rId104" ref="A7493"/>
    <hyperlink r:id="rId104" ref="A7494"/>
    <hyperlink r:id="rId105" ref="A7495"/>
    <hyperlink r:id="rId105" ref="A7496"/>
    <hyperlink r:id="rId105" ref="A7497"/>
    <hyperlink r:id="rId105" ref="A7498"/>
    <hyperlink r:id="rId105" ref="A7499"/>
    <hyperlink r:id="rId105" ref="A7500"/>
    <hyperlink r:id="rId105" ref="A7501"/>
    <hyperlink r:id="rId105" ref="A7502"/>
    <hyperlink r:id="rId105" ref="A7503"/>
    <hyperlink r:id="rId105" ref="A7504"/>
    <hyperlink r:id="rId105" ref="A7505"/>
    <hyperlink r:id="rId105" ref="A7506"/>
    <hyperlink r:id="rId105" ref="A7507"/>
    <hyperlink r:id="rId105" ref="A7508"/>
    <hyperlink r:id="rId105" ref="A7509"/>
    <hyperlink r:id="rId105" ref="A7510"/>
    <hyperlink r:id="rId105" ref="A7511"/>
    <hyperlink r:id="rId105" ref="A7512"/>
    <hyperlink r:id="rId105" ref="A7513"/>
    <hyperlink r:id="rId105" ref="A7514"/>
    <hyperlink r:id="rId105" ref="A7515"/>
    <hyperlink r:id="rId105" ref="A7516"/>
    <hyperlink r:id="rId105" ref="A7517"/>
    <hyperlink r:id="rId105" ref="A7518"/>
    <hyperlink r:id="rId105" ref="A7519"/>
    <hyperlink r:id="rId105" ref="A7520"/>
    <hyperlink r:id="rId105" ref="A7521"/>
    <hyperlink r:id="rId105" ref="A7522"/>
    <hyperlink r:id="rId105" ref="A7523"/>
    <hyperlink r:id="rId105" ref="A7524"/>
    <hyperlink r:id="rId105" ref="A7525"/>
    <hyperlink r:id="rId105" ref="A7526"/>
    <hyperlink r:id="rId105" ref="A7527"/>
    <hyperlink r:id="rId105" ref="A7528"/>
    <hyperlink r:id="rId105" ref="A7529"/>
    <hyperlink r:id="rId105" ref="A7530"/>
    <hyperlink r:id="rId105" ref="A7531"/>
    <hyperlink r:id="rId105" ref="A7532"/>
    <hyperlink r:id="rId105" ref="A7533"/>
    <hyperlink r:id="rId105" ref="A7534"/>
    <hyperlink r:id="rId105" ref="A7535"/>
    <hyperlink r:id="rId105" ref="A7536"/>
    <hyperlink r:id="rId105" ref="A7537"/>
    <hyperlink r:id="rId105" ref="A7538"/>
    <hyperlink r:id="rId105" ref="A7539"/>
    <hyperlink r:id="rId105" ref="A7540"/>
    <hyperlink r:id="rId105" ref="A7541"/>
    <hyperlink r:id="rId105" ref="A7542"/>
    <hyperlink r:id="rId105" ref="A7543"/>
    <hyperlink r:id="rId105" ref="A7544"/>
    <hyperlink r:id="rId105" ref="A7545"/>
    <hyperlink r:id="rId105" ref="A7546"/>
    <hyperlink r:id="rId105" ref="A7547"/>
    <hyperlink r:id="rId105" ref="A7548"/>
    <hyperlink r:id="rId105" ref="A7549"/>
    <hyperlink r:id="rId105" ref="A7550"/>
    <hyperlink r:id="rId105" ref="A7551"/>
    <hyperlink r:id="rId105" ref="A7552"/>
    <hyperlink r:id="rId105" ref="A7553"/>
    <hyperlink r:id="rId105" ref="A7554"/>
    <hyperlink r:id="rId105" ref="A7555"/>
    <hyperlink r:id="rId105" ref="A7556"/>
    <hyperlink r:id="rId105" ref="A7557"/>
    <hyperlink r:id="rId105" ref="A7558"/>
    <hyperlink r:id="rId105" ref="A7559"/>
    <hyperlink r:id="rId105" ref="A7560"/>
    <hyperlink r:id="rId105" ref="A7561"/>
    <hyperlink r:id="rId105" ref="A7562"/>
    <hyperlink r:id="rId105" ref="A7563"/>
    <hyperlink r:id="rId105" ref="A7564"/>
    <hyperlink r:id="rId105" ref="A7565"/>
    <hyperlink r:id="rId105" ref="A7566"/>
    <hyperlink r:id="rId105" ref="A7567"/>
    <hyperlink r:id="rId105" ref="A7568"/>
    <hyperlink r:id="rId105" ref="A7569"/>
    <hyperlink r:id="rId105" ref="A7570"/>
    <hyperlink r:id="rId105" ref="A7571"/>
    <hyperlink r:id="rId105" ref="A7572"/>
    <hyperlink r:id="rId105" ref="A7573"/>
    <hyperlink r:id="rId105" ref="A7574"/>
    <hyperlink r:id="rId105" ref="A7575"/>
    <hyperlink r:id="rId105" ref="A7576"/>
    <hyperlink r:id="rId105" ref="A7577"/>
    <hyperlink r:id="rId105" ref="A7578"/>
    <hyperlink r:id="rId105" ref="A7579"/>
    <hyperlink r:id="rId105" ref="A7580"/>
    <hyperlink r:id="rId105" ref="A7581"/>
    <hyperlink r:id="rId105" ref="A7582"/>
    <hyperlink r:id="rId105" ref="A7583"/>
    <hyperlink r:id="rId105" ref="A7584"/>
    <hyperlink r:id="rId105" ref="A7585"/>
    <hyperlink r:id="rId105" ref="A7586"/>
    <hyperlink r:id="rId105" ref="A7587"/>
    <hyperlink r:id="rId105" ref="A7588"/>
    <hyperlink r:id="rId105" ref="A7589"/>
    <hyperlink r:id="rId105" ref="A7590"/>
    <hyperlink r:id="rId105" ref="A7591"/>
    <hyperlink r:id="rId105" ref="A7592"/>
    <hyperlink r:id="rId105" ref="A7593"/>
    <hyperlink r:id="rId105" ref="A7594"/>
    <hyperlink r:id="rId105" ref="A7595"/>
    <hyperlink r:id="rId105" ref="A7596"/>
    <hyperlink r:id="rId105" ref="A7597"/>
    <hyperlink r:id="rId106" ref="A7598"/>
    <hyperlink r:id="rId106" ref="A7599"/>
    <hyperlink r:id="rId106" ref="A7600"/>
    <hyperlink r:id="rId106" ref="A7601"/>
    <hyperlink r:id="rId106" ref="A7602"/>
    <hyperlink r:id="rId106" ref="A7603"/>
    <hyperlink r:id="rId106" ref="A7604"/>
    <hyperlink r:id="rId106" ref="A7605"/>
    <hyperlink r:id="rId106" ref="A7606"/>
    <hyperlink r:id="rId106" ref="A7607"/>
    <hyperlink r:id="rId106" ref="A7608"/>
    <hyperlink r:id="rId106" ref="A7609"/>
    <hyperlink r:id="rId106" ref="A7610"/>
    <hyperlink r:id="rId106" ref="A7611"/>
    <hyperlink r:id="rId106" ref="A7612"/>
    <hyperlink r:id="rId106" ref="A7613"/>
    <hyperlink r:id="rId106" ref="A7614"/>
    <hyperlink r:id="rId106" ref="A7615"/>
    <hyperlink r:id="rId106" ref="A7616"/>
    <hyperlink r:id="rId106" ref="A7617"/>
    <hyperlink r:id="rId106" ref="A7618"/>
    <hyperlink r:id="rId106" ref="A7619"/>
    <hyperlink r:id="rId106" ref="A7620"/>
    <hyperlink r:id="rId106" ref="A7621"/>
    <hyperlink r:id="rId106" ref="A7622"/>
    <hyperlink r:id="rId106" ref="A7623"/>
    <hyperlink r:id="rId106" ref="A7624"/>
    <hyperlink r:id="rId106" ref="A7625"/>
    <hyperlink r:id="rId106" ref="A7626"/>
    <hyperlink r:id="rId106" ref="A7627"/>
    <hyperlink r:id="rId106" ref="A7628"/>
    <hyperlink r:id="rId106" ref="A7629"/>
    <hyperlink r:id="rId106" ref="A7630"/>
    <hyperlink r:id="rId106" ref="A7631"/>
    <hyperlink r:id="rId106" ref="A7632"/>
    <hyperlink r:id="rId106" ref="A7633"/>
    <hyperlink r:id="rId106" ref="A7634"/>
    <hyperlink r:id="rId106" ref="A7635"/>
    <hyperlink r:id="rId106" ref="A7636"/>
    <hyperlink r:id="rId106" ref="A7637"/>
    <hyperlink r:id="rId106" ref="A7638"/>
    <hyperlink r:id="rId106" ref="A7639"/>
    <hyperlink r:id="rId106" ref="A7640"/>
    <hyperlink r:id="rId106" ref="A7641"/>
    <hyperlink r:id="rId106" ref="A7642"/>
    <hyperlink r:id="rId106" ref="A7643"/>
    <hyperlink r:id="rId106" ref="A7644"/>
    <hyperlink r:id="rId106" ref="A7645"/>
    <hyperlink r:id="rId106" ref="A7646"/>
    <hyperlink r:id="rId106" ref="A7647"/>
    <hyperlink r:id="rId107" ref="A7648"/>
    <hyperlink r:id="rId107" ref="A7649"/>
    <hyperlink r:id="rId107" ref="A7650"/>
    <hyperlink r:id="rId107" ref="A7651"/>
    <hyperlink r:id="rId107" ref="A7652"/>
    <hyperlink r:id="rId107" ref="A7653"/>
    <hyperlink r:id="rId107" ref="A7654"/>
    <hyperlink r:id="rId107" ref="A7655"/>
    <hyperlink r:id="rId107" ref="A7656"/>
    <hyperlink r:id="rId107" ref="A7657"/>
    <hyperlink r:id="rId107" ref="A7658"/>
    <hyperlink r:id="rId107" ref="A7659"/>
    <hyperlink r:id="rId107" ref="A7660"/>
    <hyperlink r:id="rId107" ref="A7661"/>
    <hyperlink r:id="rId107" ref="A7662"/>
    <hyperlink r:id="rId107" ref="A7663"/>
    <hyperlink r:id="rId107" ref="A7664"/>
    <hyperlink r:id="rId107" ref="A7665"/>
    <hyperlink r:id="rId107" ref="A7666"/>
    <hyperlink r:id="rId107" ref="A7667"/>
    <hyperlink r:id="rId107" ref="A7668"/>
    <hyperlink r:id="rId107" ref="A7669"/>
    <hyperlink r:id="rId107" ref="A7670"/>
    <hyperlink r:id="rId107" ref="A7671"/>
    <hyperlink r:id="rId107" ref="A7672"/>
    <hyperlink r:id="rId107" ref="A7673"/>
    <hyperlink r:id="rId107" ref="A7674"/>
    <hyperlink r:id="rId107" ref="A7675"/>
    <hyperlink r:id="rId107" ref="A7676"/>
    <hyperlink r:id="rId107" ref="A7677"/>
    <hyperlink r:id="rId107" ref="A7678"/>
    <hyperlink r:id="rId107" ref="A7679"/>
    <hyperlink r:id="rId107" ref="A7680"/>
    <hyperlink r:id="rId107" ref="A7681"/>
    <hyperlink r:id="rId107" ref="A7682"/>
    <hyperlink r:id="rId107" ref="A7683"/>
    <hyperlink r:id="rId107" ref="A7684"/>
    <hyperlink r:id="rId107" ref="A7685"/>
    <hyperlink r:id="rId107" ref="A7686"/>
    <hyperlink r:id="rId107" ref="A7687"/>
    <hyperlink r:id="rId107" ref="A7688"/>
    <hyperlink r:id="rId107" ref="A7689"/>
    <hyperlink r:id="rId107" ref="A7690"/>
    <hyperlink r:id="rId107" ref="A7691"/>
    <hyperlink r:id="rId107" ref="A7692"/>
    <hyperlink r:id="rId107" ref="A7693"/>
    <hyperlink r:id="rId107" ref="A7694"/>
    <hyperlink r:id="rId107" ref="A7695"/>
    <hyperlink r:id="rId107" ref="A7696"/>
    <hyperlink r:id="rId107" ref="A7697"/>
    <hyperlink r:id="rId107" ref="A7698"/>
    <hyperlink r:id="rId107" ref="A7699"/>
    <hyperlink r:id="rId107" ref="A7700"/>
    <hyperlink r:id="rId107" ref="A7701"/>
    <hyperlink r:id="rId107" ref="A7702"/>
    <hyperlink r:id="rId107" ref="A7703"/>
    <hyperlink r:id="rId107" ref="A7704"/>
    <hyperlink r:id="rId107" ref="A7705"/>
    <hyperlink r:id="rId107" ref="A7706"/>
    <hyperlink r:id="rId107" ref="A7707"/>
    <hyperlink r:id="rId107" ref="A7708"/>
    <hyperlink r:id="rId107" ref="A7709"/>
    <hyperlink r:id="rId107" ref="A7710"/>
    <hyperlink r:id="rId107" ref="A7711"/>
    <hyperlink r:id="rId107" ref="A7712"/>
    <hyperlink r:id="rId107" ref="A7713"/>
    <hyperlink r:id="rId107" ref="A7714"/>
    <hyperlink r:id="rId107" ref="A7715"/>
    <hyperlink r:id="rId107" ref="A7716"/>
    <hyperlink r:id="rId107" ref="A7717"/>
    <hyperlink r:id="rId107" ref="A7718"/>
    <hyperlink r:id="rId107" ref="A7719"/>
    <hyperlink r:id="rId107" ref="A7720"/>
    <hyperlink r:id="rId107" ref="A7721"/>
    <hyperlink r:id="rId107" ref="A7722"/>
    <hyperlink r:id="rId107" ref="A7723"/>
    <hyperlink r:id="rId107" ref="A7724"/>
    <hyperlink r:id="rId107" ref="A7725"/>
    <hyperlink r:id="rId107" ref="A7726"/>
    <hyperlink r:id="rId107" ref="A7727"/>
    <hyperlink r:id="rId107" ref="A7728"/>
    <hyperlink r:id="rId107" ref="A7729"/>
    <hyperlink r:id="rId107" ref="A7730"/>
    <hyperlink r:id="rId107" ref="A7731"/>
    <hyperlink r:id="rId107" ref="A7732"/>
    <hyperlink r:id="rId107" ref="A7733"/>
    <hyperlink r:id="rId107" ref="A7734"/>
    <hyperlink r:id="rId107" ref="A7735"/>
    <hyperlink r:id="rId108" ref="A7736"/>
    <hyperlink r:id="rId108" ref="A7737"/>
    <hyperlink r:id="rId108" ref="A7738"/>
    <hyperlink r:id="rId108" ref="A7739"/>
    <hyperlink r:id="rId108" ref="A7740"/>
    <hyperlink r:id="rId108" ref="A7741"/>
    <hyperlink r:id="rId108" ref="A7742"/>
    <hyperlink r:id="rId108" ref="A7743"/>
    <hyperlink r:id="rId108" ref="A7744"/>
    <hyperlink r:id="rId108" ref="A7745"/>
    <hyperlink r:id="rId108" ref="A7746"/>
    <hyperlink r:id="rId108" ref="A7747"/>
    <hyperlink r:id="rId108" ref="A7748"/>
    <hyperlink r:id="rId108" ref="A7749"/>
    <hyperlink r:id="rId108" ref="A7750"/>
    <hyperlink r:id="rId108" ref="A7751"/>
    <hyperlink r:id="rId108" ref="A7752"/>
    <hyperlink r:id="rId108" ref="A7753"/>
    <hyperlink r:id="rId108" ref="A7754"/>
    <hyperlink r:id="rId108" ref="A7755"/>
    <hyperlink r:id="rId108" ref="A7756"/>
    <hyperlink r:id="rId108" ref="A7757"/>
    <hyperlink r:id="rId108" ref="A7758"/>
    <hyperlink r:id="rId109" ref="A7759"/>
    <hyperlink r:id="rId109" ref="A7760"/>
    <hyperlink r:id="rId109" ref="A7761"/>
    <hyperlink r:id="rId109" ref="A7762"/>
    <hyperlink r:id="rId109" ref="A7763"/>
    <hyperlink r:id="rId109" ref="A7764"/>
    <hyperlink r:id="rId109" ref="A7765"/>
    <hyperlink r:id="rId109" ref="A7766"/>
    <hyperlink r:id="rId109" ref="A7767"/>
    <hyperlink r:id="rId109" ref="A7768"/>
    <hyperlink r:id="rId109" ref="A7769"/>
    <hyperlink r:id="rId109" ref="A7770"/>
    <hyperlink r:id="rId110" ref="A7771"/>
    <hyperlink r:id="rId110" ref="A7772"/>
    <hyperlink r:id="rId110" ref="A7773"/>
    <hyperlink r:id="rId110" ref="A7774"/>
    <hyperlink r:id="rId110" ref="A7775"/>
    <hyperlink r:id="rId110" ref="A7776"/>
    <hyperlink r:id="rId110" ref="A7777"/>
    <hyperlink r:id="rId110" ref="A7778"/>
    <hyperlink r:id="rId110" ref="A7779"/>
    <hyperlink r:id="rId110" ref="A7780"/>
    <hyperlink r:id="rId111" ref="A7781"/>
    <hyperlink r:id="rId111" ref="A7782"/>
    <hyperlink r:id="rId111" ref="A7783"/>
    <hyperlink r:id="rId111" ref="A7784"/>
    <hyperlink r:id="rId111" ref="A7785"/>
    <hyperlink r:id="rId111" ref="A7786"/>
    <hyperlink r:id="rId111" ref="A7787"/>
    <hyperlink r:id="rId111" ref="A7788"/>
    <hyperlink r:id="rId111" ref="A7789"/>
    <hyperlink r:id="rId111" ref="A7790"/>
    <hyperlink r:id="rId111" ref="A7791"/>
    <hyperlink r:id="rId111" ref="A7792"/>
    <hyperlink r:id="rId111" ref="A7793"/>
    <hyperlink r:id="rId111" ref="A7794"/>
    <hyperlink r:id="rId111" ref="A7795"/>
    <hyperlink r:id="rId111" ref="A7796"/>
    <hyperlink r:id="rId111" ref="A7797"/>
    <hyperlink r:id="rId111" ref="A7798"/>
    <hyperlink r:id="rId111" ref="A7799"/>
    <hyperlink r:id="rId111" ref="A7800"/>
    <hyperlink r:id="rId111" ref="A7801"/>
    <hyperlink r:id="rId112" ref="A7802"/>
    <hyperlink r:id="rId112" ref="A7803"/>
    <hyperlink r:id="rId112" ref="A7804"/>
    <hyperlink r:id="rId112" ref="A7805"/>
    <hyperlink r:id="rId112" ref="A7806"/>
    <hyperlink r:id="rId112" ref="A7807"/>
    <hyperlink r:id="rId112" ref="A7808"/>
    <hyperlink r:id="rId112" ref="A7809"/>
    <hyperlink r:id="rId112" ref="A7810"/>
    <hyperlink r:id="rId112" ref="A7811"/>
    <hyperlink r:id="rId112" ref="A7812"/>
    <hyperlink r:id="rId112" ref="A7813"/>
    <hyperlink r:id="rId112" ref="A7814"/>
    <hyperlink r:id="rId112" ref="A7815"/>
    <hyperlink r:id="rId112" ref="A7816"/>
    <hyperlink r:id="rId112" ref="A7817"/>
    <hyperlink r:id="rId112" ref="A7818"/>
    <hyperlink r:id="rId112" ref="A7819"/>
    <hyperlink r:id="rId112" ref="A7820"/>
    <hyperlink r:id="rId112" ref="A7821"/>
    <hyperlink r:id="rId113" ref="A7822"/>
    <hyperlink r:id="rId113" ref="A7823"/>
    <hyperlink r:id="rId113" ref="A7824"/>
    <hyperlink r:id="rId113" ref="A7825"/>
    <hyperlink r:id="rId113" ref="A7826"/>
    <hyperlink r:id="rId113" ref="A7827"/>
    <hyperlink r:id="rId113" ref="A7828"/>
    <hyperlink r:id="rId113" ref="A7829"/>
    <hyperlink r:id="rId113" ref="A7830"/>
    <hyperlink r:id="rId113" ref="A7831"/>
    <hyperlink r:id="rId113" ref="A7832"/>
    <hyperlink r:id="rId113" ref="A7833"/>
    <hyperlink r:id="rId113" ref="A7834"/>
    <hyperlink r:id="rId113" ref="A7835"/>
    <hyperlink r:id="rId113" ref="A7836"/>
    <hyperlink r:id="rId113" ref="A7837"/>
    <hyperlink r:id="rId114" ref="A7838"/>
    <hyperlink r:id="rId114" ref="A7839"/>
    <hyperlink r:id="rId114" ref="A7840"/>
    <hyperlink r:id="rId114" ref="A7841"/>
    <hyperlink r:id="rId114" ref="A7842"/>
    <hyperlink r:id="rId114" ref="A7843"/>
    <hyperlink r:id="rId114" ref="A7844"/>
    <hyperlink r:id="rId114" ref="A7845"/>
    <hyperlink r:id="rId114" ref="A7846"/>
    <hyperlink r:id="rId114" ref="A7847"/>
    <hyperlink r:id="rId114" ref="A7848"/>
    <hyperlink r:id="rId114" ref="A7849"/>
    <hyperlink r:id="rId114" ref="A7850"/>
    <hyperlink r:id="rId114" ref="A7851"/>
    <hyperlink r:id="rId114" ref="A7852"/>
    <hyperlink r:id="rId114" ref="A7853"/>
    <hyperlink r:id="rId114" ref="A7854"/>
    <hyperlink r:id="rId114" ref="A7855"/>
    <hyperlink r:id="rId114" ref="A7856"/>
    <hyperlink r:id="rId114" ref="A7857"/>
    <hyperlink r:id="rId114" ref="A7858"/>
    <hyperlink r:id="rId114" ref="A7859"/>
    <hyperlink r:id="rId114" ref="A7860"/>
    <hyperlink r:id="rId114" ref="A7861"/>
    <hyperlink r:id="rId114" ref="A7862"/>
    <hyperlink r:id="rId114" ref="A7863"/>
    <hyperlink r:id="rId114" ref="A7864"/>
    <hyperlink r:id="rId114" ref="A7865"/>
    <hyperlink r:id="rId114" ref="A7866"/>
    <hyperlink r:id="rId114" ref="A7867"/>
    <hyperlink r:id="rId114" ref="A7868"/>
    <hyperlink r:id="rId115" ref="A7869"/>
    <hyperlink r:id="rId115" ref="A7870"/>
    <hyperlink r:id="rId115" ref="A7871"/>
    <hyperlink r:id="rId115" ref="A7872"/>
    <hyperlink r:id="rId115" ref="A7873"/>
    <hyperlink r:id="rId115" ref="A7874"/>
    <hyperlink r:id="rId115" ref="A7875"/>
    <hyperlink r:id="rId115" ref="A7876"/>
    <hyperlink r:id="rId115" ref="A7877"/>
    <hyperlink r:id="rId115" ref="A7878"/>
    <hyperlink r:id="rId116" ref="A7879"/>
    <hyperlink r:id="rId116" ref="A7880"/>
    <hyperlink r:id="rId116" ref="A7881"/>
    <hyperlink r:id="rId116" ref="A7882"/>
    <hyperlink r:id="rId116" ref="A7883"/>
    <hyperlink r:id="rId116" ref="A7884"/>
    <hyperlink r:id="rId116" ref="A7885"/>
    <hyperlink r:id="rId116" ref="A7886"/>
    <hyperlink r:id="rId116" ref="A7887"/>
    <hyperlink r:id="rId116" ref="A7888"/>
    <hyperlink r:id="rId116" ref="A7889"/>
    <hyperlink r:id="rId116" ref="A7890"/>
    <hyperlink r:id="rId116" ref="A7891"/>
    <hyperlink r:id="rId116" ref="A7892"/>
    <hyperlink r:id="rId116" ref="A7893"/>
    <hyperlink r:id="rId116" ref="A7894"/>
    <hyperlink r:id="rId116" ref="A7895"/>
    <hyperlink r:id="rId116" ref="A7896"/>
    <hyperlink r:id="rId116" ref="A7897"/>
    <hyperlink r:id="rId116" ref="A7898"/>
    <hyperlink r:id="rId116" ref="A7899"/>
    <hyperlink r:id="rId116" ref="A7900"/>
    <hyperlink r:id="rId116" ref="A7901"/>
    <hyperlink r:id="rId116" ref="A7902"/>
    <hyperlink r:id="rId116" ref="A7903"/>
    <hyperlink r:id="rId117" ref="A7904"/>
    <hyperlink r:id="rId117" ref="A7905"/>
    <hyperlink r:id="rId117" ref="A7906"/>
    <hyperlink r:id="rId117" ref="A7907"/>
    <hyperlink r:id="rId117" ref="A7908"/>
    <hyperlink r:id="rId117" ref="A7909"/>
    <hyperlink r:id="rId117" ref="A7910"/>
    <hyperlink r:id="rId117" ref="A7911"/>
    <hyperlink r:id="rId117" ref="A7912"/>
    <hyperlink r:id="rId117" ref="A7913"/>
    <hyperlink r:id="rId117" ref="A7914"/>
    <hyperlink r:id="rId117" ref="A7915"/>
    <hyperlink r:id="rId117" ref="A7916"/>
    <hyperlink r:id="rId117" ref="A7917"/>
    <hyperlink r:id="rId117" ref="A7918"/>
    <hyperlink r:id="rId117" ref="A7919"/>
    <hyperlink r:id="rId117" ref="A7920"/>
    <hyperlink r:id="rId117" ref="A7921"/>
    <hyperlink r:id="rId117" ref="A7922"/>
    <hyperlink r:id="rId117" ref="A7923"/>
    <hyperlink r:id="rId117" ref="A7924"/>
    <hyperlink r:id="rId117" ref="A7925"/>
    <hyperlink r:id="rId117" ref="A7926"/>
    <hyperlink r:id="rId117" ref="A7927"/>
    <hyperlink r:id="rId117" ref="A7928"/>
    <hyperlink r:id="rId117" ref="A7929"/>
    <hyperlink r:id="rId117" ref="A7930"/>
    <hyperlink r:id="rId117" ref="A7931"/>
    <hyperlink r:id="rId117" ref="A7932"/>
    <hyperlink r:id="rId117" ref="A7933"/>
    <hyperlink r:id="rId117" ref="A7934"/>
    <hyperlink r:id="rId117" ref="A7935"/>
    <hyperlink r:id="rId117" ref="A7936"/>
    <hyperlink r:id="rId117" ref="A7937"/>
    <hyperlink r:id="rId117" ref="A7938"/>
    <hyperlink r:id="rId118" ref="A7939"/>
    <hyperlink r:id="rId118" ref="A7940"/>
    <hyperlink r:id="rId118" ref="A7941"/>
    <hyperlink r:id="rId118" ref="A7942"/>
    <hyperlink r:id="rId118" ref="A7943"/>
    <hyperlink r:id="rId118" ref="A7944"/>
    <hyperlink r:id="rId118" ref="A7945"/>
    <hyperlink r:id="rId118" ref="A7946"/>
    <hyperlink r:id="rId118" ref="A7947"/>
    <hyperlink r:id="rId118" ref="A7948"/>
    <hyperlink r:id="rId118" ref="A7949"/>
    <hyperlink r:id="rId118" ref="A7950"/>
    <hyperlink r:id="rId118" ref="A7951"/>
    <hyperlink r:id="rId118" ref="A7952"/>
    <hyperlink r:id="rId118" ref="A7953"/>
    <hyperlink r:id="rId118" ref="A7954"/>
    <hyperlink r:id="rId118" ref="A7955"/>
    <hyperlink r:id="rId119" ref="A7956"/>
    <hyperlink r:id="rId119" ref="A7957"/>
    <hyperlink r:id="rId119" ref="A7958"/>
    <hyperlink r:id="rId119" ref="A7959"/>
    <hyperlink r:id="rId119" ref="A7960"/>
    <hyperlink r:id="rId119" ref="A7961"/>
    <hyperlink r:id="rId120" ref="A7962"/>
    <hyperlink r:id="rId120" ref="A7963"/>
    <hyperlink r:id="rId120" ref="A7964"/>
    <hyperlink r:id="rId120" ref="A7965"/>
    <hyperlink r:id="rId120" ref="A7966"/>
    <hyperlink r:id="rId120" ref="A7967"/>
    <hyperlink r:id="rId120" ref="A7968"/>
    <hyperlink r:id="rId120" ref="A7969"/>
    <hyperlink r:id="rId120" ref="A7970"/>
    <hyperlink r:id="rId120" ref="A7971"/>
    <hyperlink r:id="rId120" ref="A7972"/>
    <hyperlink r:id="rId120" ref="A7973"/>
    <hyperlink r:id="rId120" ref="A7974"/>
    <hyperlink r:id="rId120" ref="A7975"/>
    <hyperlink r:id="rId120" ref="A7976"/>
    <hyperlink r:id="rId120" ref="A7977"/>
    <hyperlink r:id="rId120" ref="A7978"/>
    <hyperlink r:id="rId120" ref="A7979"/>
    <hyperlink r:id="rId120" ref="A7980"/>
    <hyperlink r:id="rId120" ref="A7981"/>
    <hyperlink r:id="rId120" ref="A7982"/>
    <hyperlink r:id="rId120" ref="A7983"/>
    <hyperlink r:id="rId120" ref="A7984"/>
    <hyperlink r:id="rId120" ref="A7985"/>
    <hyperlink r:id="rId120" ref="A7986"/>
    <hyperlink r:id="rId120" ref="A7987"/>
    <hyperlink r:id="rId120" ref="A7988"/>
    <hyperlink r:id="rId120" ref="A7989"/>
    <hyperlink r:id="rId120" ref="A7990"/>
    <hyperlink r:id="rId120" ref="A7991"/>
    <hyperlink r:id="rId120" ref="A7992"/>
    <hyperlink r:id="rId121" ref="A7993"/>
    <hyperlink r:id="rId121" ref="A7994"/>
    <hyperlink r:id="rId121" ref="A7995"/>
    <hyperlink r:id="rId121" ref="A7996"/>
    <hyperlink r:id="rId121" ref="A7997"/>
    <hyperlink r:id="rId121" ref="A7998"/>
    <hyperlink r:id="rId121" ref="A7999"/>
    <hyperlink r:id="rId121" ref="A8000"/>
    <hyperlink r:id="rId121" ref="A8001"/>
    <hyperlink r:id="rId121" ref="A8002"/>
    <hyperlink r:id="rId121" ref="A8003"/>
    <hyperlink r:id="rId121" ref="A8004"/>
    <hyperlink r:id="rId121" ref="A8005"/>
    <hyperlink r:id="rId121" ref="A8006"/>
    <hyperlink r:id="rId121" ref="A8007"/>
    <hyperlink r:id="rId121" ref="A8008"/>
    <hyperlink r:id="rId121" ref="A8009"/>
    <hyperlink r:id="rId121" ref="A8010"/>
    <hyperlink r:id="rId121" ref="A8011"/>
    <hyperlink r:id="rId121" ref="A8012"/>
    <hyperlink r:id="rId121" ref="A8013"/>
    <hyperlink r:id="rId121" ref="A8014"/>
    <hyperlink r:id="rId121" ref="A8015"/>
    <hyperlink r:id="rId121" ref="A8016"/>
    <hyperlink r:id="rId121" ref="A8017"/>
    <hyperlink r:id="rId121" ref="A8018"/>
    <hyperlink r:id="rId121" ref="A8019"/>
    <hyperlink r:id="rId121" ref="A8020"/>
    <hyperlink r:id="rId121" ref="A8021"/>
    <hyperlink r:id="rId121" ref="A8022"/>
    <hyperlink r:id="rId121" ref="A8023"/>
    <hyperlink r:id="rId121" ref="A8024"/>
    <hyperlink r:id="rId121" ref="A8025"/>
    <hyperlink r:id="rId121" ref="A8026"/>
    <hyperlink r:id="rId121" ref="A8027"/>
    <hyperlink r:id="rId122" ref="A8028"/>
    <hyperlink r:id="rId122" ref="A8029"/>
    <hyperlink r:id="rId122" ref="A8030"/>
    <hyperlink r:id="rId122" ref="A8031"/>
    <hyperlink r:id="rId122" ref="A8032"/>
    <hyperlink r:id="rId122" ref="A8033"/>
    <hyperlink r:id="rId122" ref="A8034"/>
    <hyperlink r:id="rId122" ref="A8035"/>
    <hyperlink r:id="rId122" ref="A8036"/>
    <hyperlink r:id="rId123" ref="A8037"/>
    <hyperlink r:id="rId123" ref="A8038"/>
    <hyperlink r:id="rId123" ref="A8039"/>
    <hyperlink r:id="rId123" ref="A8040"/>
    <hyperlink r:id="rId123" ref="A8041"/>
    <hyperlink r:id="rId124" ref="A8042"/>
    <hyperlink r:id="rId124" ref="A8043"/>
    <hyperlink r:id="rId124" ref="A8044"/>
    <hyperlink r:id="rId125" ref="A8045"/>
    <hyperlink r:id="rId125" ref="A8046"/>
    <hyperlink r:id="rId125" ref="A8047"/>
    <hyperlink r:id="rId125" ref="A8048"/>
    <hyperlink r:id="rId125" ref="A8049"/>
    <hyperlink r:id="rId125" ref="A8050"/>
    <hyperlink r:id="rId125" ref="A8051"/>
    <hyperlink r:id="rId125" ref="A8052"/>
    <hyperlink r:id="rId125" ref="A8053"/>
    <hyperlink r:id="rId125" ref="A8054"/>
    <hyperlink r:id="rId125" ref="A8055"/>
    <hyperlink r:id="rId125" ref="A8056"/>
    <hyperlink r:id="rId125" ref="A8057"/>
    <hyperlink r:id="rId125" ref="A8058"/>
    <hyperlink r:id="rId125" ref="A8059"/>
    <hyperlink r:id="rId125" ref="A8060"/>
    <hyperlink r:id="rId125" ref="A8061"/>
    <hyperlink r:id="rId125" ref="A8062"/>
    <hyperlink r:id="rId125" ref="A8063"/>
    <hyperlink r:id="rId125" ref="A8064"/>
    <hyperlink r:id="rId125" ref="A8065"/>
    <hyperlink r:id="rId125" ref="A8066"/>
    <hyperlink r:id="rId125" ref="A8067"/>
    <hyperlink r:id="rId125" ref="A8068"/>
    <hyperlink r:id="rId125" ref="A8069"/>
    <hyperlink r:id="rId125" ref="A8070"/>
    <hyperlink r:id="rId125" ref="A8071"/>
    <hyperlink r:id="rId125" ref="A8072"/>
    <hyperlink r:id="rId125" ref="A8073"/>
    <hyperlink r:id="rId125" ref="A8074"/>
    <hyperlink r:id="rId125" ref="A8075"/>
    <hyperlink r:id="rId125" ref="A8076"/>
    <hyperlink r:id="rId125" ref="A8077"/>
    <hyperlink r:id="rId125" ref="A8078"/>
    <hyperlink r:id="rId125" ref="A8079"/>
    <hyperlink r:id="rId125" ref="A8080"/>
    <hyperlink r:id="rId125" ref="A8081"/>
    <hyperlink r:id="rId125" ref="A8082"/>
    <hyperlink r:id="rId125" ref="A8083"/>
    <hyperlink r:id="rId125" ref="A8084"/>
    <hyperlink r:id="rId125" ref="A8085"/>
    <hyperlink r:id="rId125" ref="A8086"/>
    <hyperlink r:id="rId125" ref="A8087"/>
    <hyperlink r:id="rId125" ref="A8088"/>
    <hyperlink r:id="rId125" ref="A8089"/>
    <hyperlink r:id="rId125" ref="A8090"/>
    <hyperlink r:id="rId125" ref="A8091"/>
    <hyperlink r:id="rId125" ref="A8092"/>
    <hyperlink r:id="rId125" ref="A8093"/>
    <hyperlink r:id="rId125" ref="A8094"/>
    <hyperlink r:id="rId125" ref="A8095"/>
    <hyperlink r:id="rId125" ref="A8096"/>
    <hyperlink r:id="rId125" ref="A8097"/>
    <hyperlink r:id="rId125" ref="A8098"/>
    <hyperlink r:id="rId125" ref="A8099"/>
    <hyperlink r:id="rId125" ref="A8100"/>
    <hyperlink r:id="rId125" ref="A8101"/>
    <hyperlink r:id="rId125" ref="A8102"/>
    <hyperlink r:id="rId125" ref="A8103"/>
    <hyperlink r:id="rId125" ref="A8104"/>
    <hyperlink r:id="rId125" ref="A8105"/>
    <hyperlink r:id="rId125" ref="A8106"/>
    <hyperlink r:id="rId125" ref="A8107"/>
    <hyperlink r:id="rId125" ref="A8108"/>
    <hyperlink r:id="rId125" ref="A8109"/>
    <hyperlink r:id="rId125" ref="A8110"/>
    <hyperlink r:id="rId126" ref="A8111"/>
    <hyperlink r:id="rId126" ref="A8112"/>
    <hyperlink r:id="rId126" ref="A8113"/>
    <hyperlink r:id="rId126" ref="A8114"/>
    <hyperlink r:id="rId126" ref="A8115"/>
    <hyperlink r:id="rId126" ref="A8116"/>
    <hyperlink r:id="rId126" ref="A8117"/>
    <hyperlink r:id="rId126" ref="A8118"/>
    <hyperlink r:id="rId126" ref="A8119"/>
    <hyperlink r:id="rId126" ref="A8120"/>
    <hyperlink r:id="rId126" ref="A8121"/>
    <hyperlink r:id="rId126" ref="A8122"/>
    <hyperlink r:id="rId126" ref="A8123"/>
    <hyperlink r:id="rId126" ref="A8124"/>
    <hyperlink r:id="rId126" ref="A8125"/>
    <hyperlink r:id="rId126" ref="A8126"/>
    <hyperlink r:id="rId126" ref="A8127"/>
    <hyperlink r:id="rId126" ref="A8128"/>
    <hyperlink r:id="rId126" ref="A8129"/>
    <hyperlink r:id="rId126" ref="A8130"/>
    <hyperlink r:id="rId126" ref="A8131"/>
    <hyperlink r:id="rId126" ref="A8132"/>
    <hyperlink r:id="rId126" ref="A8133"/>
    <hyperlink r:id="rId126" ref="A8134"/>
    <hyperlink r:id="rId126" ref="A8135"/>
    <hyperlink r:id="rId126" ref="A8136"/>
    <hyperlink r:id="rId126" ref="A8137"/>
    <hyperlink r:id="rId126" ref="A8138"/>
    <hyperlink r:id="rId126" ref="A8139"/>
    <hyperlink r:id="rId126" ref="A8140"/>
    <hyperlink r:id="rId126" ref="A8141"/>
    <hyperlink r:id="rId127" ref="A8142"/>
    <hyperlink r:id="rId127" ref="A8143"/>
    <hyperlink r:id="rId127" ref="A8144"/>
    <hyperlink r:id="rId127" ref="A8145"/>
    <hyperlink r:id="rId127" ref="A8146"/>
    <hyperlink r:id="rId127" ref="A8147"/>
    <hyperlink r:id="rId127" ref="A8148"/>
    <hyperlink r:id="rId127" ref="A8149"/>
    <hyperlink r:id="rId127" ref="A8150"/>
    <hyperlink r:id="rId127" ref="A8151"/>
    <hyperlink r:id="rId127" ref="A8152"/>
    <hyperlink r:id="rId127" ref="A8153"/>
    <hyperlink r:id="rId127" ref="A8154"/>
    <hyperlink r:id="rId127" ref="A8155"/>
    <hyperlink r:id="rId127" ref="A8156"/>
    <hyperlink r:id="rId127" ref="A8157"/>
    <hyperlink r:id="rId127" ref="A8158"/>
    <hyperlink r:id="rId127" ref="A8159"/>
    <hyperlink r:id="rId127" ref="A8160"/>
    <hyperlink r:id="rId127" ref="A8161"/>
    <hyperlink r:id="rId127" ref="A8162"/>
    <hyperlink r:id="rId127" ref="A8163"/>
    <hyperlink r:id="rId128" ref="A8164"/>
    <hyperlink r:id="rId128" ref="A8165"/>
    <hyperlink r:id="rId128" ref="A8166"/>
    <hyperlink r:id="rId128" ref="A8167"/>
    <hyperlink r:id="rId128" ref="A8168"/>
    <hyperlink r:id="rId128" ref="A8169"/>
    <hyperlink r:id="rId128" ref="A8170"/>
    <hyperlink r:id="rId128" ref="A8171"/>
    <hyperlink r:id="rId128" ref="A8172"/>
    <hyperlink r:id="rId128" ref="A8173"/>
    <hyperlink r:id="rId128" ref="A8174"/>
    <hyperlink r:id="rId128" ref="A8175"/>
    <hyperlink r:id="rId128" ref="A8176"/>
    <hyperlink r:id="rId128" ref="A8177"/>
    <hyperlink r:id="rId128" ref="A8178"/>
    <hyperlink r:id="rId128" ref="A8179"/>
    <hyperlink r:id="rId128" ref="A8180"/>
    <hyperlink r:id="rId128" ref="A8181"/>
    <hyperlink r:id="rId128" ref="A8182"/>
    <hyperlink r:id="rId128" ref="A8183"/>
    <hyperlink r:id="rId128" ref="A8184"/>
    <hyperlink r:id="rId128" ref="A8185"/>
    <hyperlink r:id="rId128" ref="A8186"/>
    <hyperlink r:id="rId128" ref="A8187"/>
    <hyperlink r:id="rId128" ref="A8188"/>
    <hyperlink r:id="rId128" ref="A8189"/>
    <hyperlink r:id="rId128" ref="A8190"/>
    <hyperlink r:id="rId128" ref="A8191"/>
    <hyperlink r:id="rId128" ref="A8192"/>
    <hyperlink r:id="rId128" ref="A8193"/>
    <hyperlink r:id="rId128" ref="A8194"/>
    <hyperlink r:id="rId128" ref="A8195"/>
    <hyperlink r:id="rId128" ref="A8196"/>
    <hyperlink r:id="rId128" ref="A8197"/>
    <hyperlink r:id="rId128" ref="A8198"/>
    <hyperlink r:id="rId128" ref="A8199"/>
    <hyperlink r:id="rId128" ref="A8200"/>
    <hyperlink r:id="rId128" ref="A8201"/>
    <hyperlink r:id="rId128" ref="A8202"/>
    <hyperlink r:id="rId128" ref="A8203"/>
    <hyperlink r:id="rId128" ref="A8204"/>
    <hyperlink r:id="rId128" ref="A8205"/>
    <hyperlink r:id="rId129" ref="A8206"/>
    <hyperlink r:id="rId129" ref="A8207"/>
    <hyperlink r:id="rId129" ref="A8208"/>
    <hyperlink r:id="rId129" ref="A8209"/>
    <hyperlink r:id="rId129" ref="A8210"/>
    <hyperlink r:id="rId129" ref="A8211"/>
    <hyperlink r:id="rId129" ref="A8212"/>
    <hyperlink r:id="rId129" ref="A8213"/>
    <hyperlink r:id="rId129" ref="A8214"/>
    <hyperlink r:id="rId129" ref="A8215"/>
    <hyperlink r:id="rId129" ref="A8216"/>
    <hyperlink r:id="rId129" ref="A8217"/>
    <hyperlink r:id="rId129" ref="A8218"/>
    <hyperlink r:id="rId129" ref="A8219"/>
    <hyperlink r:id="rId129" ref="A8220"/>
    <hyperlink r:id="rId129" ref="A8221"/>
    <hyperlink r:id="rId129" ref="A8222"/>
    <hyperlink r:id="rId129" ref="A8223"/>
    <hyperlink r:id="rId129" ref="A8224"/>
    <hyperlink r:id="rId129" ref="A8225"/>
    <hyperlink r:id="rId129" ref="A8226"/>
    <hyperlink r:id="rId129" ref="A8227"/>
    <hyperlink r:id="rId129" ref="A8228"/>
    <hyperlink r:id="rId129" ref="A8229"/>
    <hyperlink r:id="rId129" ref="A8230"/>
    <hyperlink r:id="rId129" ref="A8231"/>
    <hyperlink r:id="rId129" ref="A8232"/>
    <hyperlink r:id="rId129" ref="A8233"/>
    <hyperlink r:id="rId129" ref="A8234"/>
    <hyperlink r:id="rId129" ref="A8235"/>
    <hyperlink r:id="rId129" ref="A8236"/>
    <hyperlink r:id="rId129" ref="A8237"/>
    <hyperlink r:id="rId129" ref="A8238"/>
    <hyperlink r:id="rId129" ref="A8239"/>
    <hyperlink r:id="rId129" ref="A8240"/>
    <hyperlink r:id="rId129" ref="A8241"/>
    <hyperlink r:id="rId129" ref="A8242"/>
    <hyperlink r:id="rId129" ref="A8243"/>
    <hyperlink r:id="rId129" ref="A8244"/>
    <hyperlink r:id="rId129" ref="A8245"/>
    <hyperlink r:id="rId129" ref="A8246"/>
    <hyperlink r:id="rId129" ref="A8247"/>
    <hyperlink r:id="rId129" ref="A8248"/>
    <hyperlink r:id="rId129" ref="A8249"/>
    <hyperlink r:id="rId129" ref="A8250"/>
    <hyperlink r:id="rId129" ref="A8251"/>
    <hyperlink r:id="rId129" ref="A8252"/>
    <hyperlink r:id="rId130" ref="A8253"/>
    <hyperlink r:id="rId130" ref="A8254"/>
    <hyperlink r:id="rId130" ref="A8255"/>
    <hyperlink r:id="rId130" ref="A8256"/>
    <hyperlink r:id="rId130" ref="A8257"/>
    <hyperlink r:id="rId130" ref="A8258"/>
    <hyperlink r:id="rId130" ref="A8259"/>
    <hyperlink r:id="rId130" ref="A8260"/>
    <hyperlink r:id="rId130" ref="A8261"/>
    <hyperlink r:id="rId130" ref="A8262"/>
    <hyperlink r:id="rId130" ref="A8263"/>
    <hyperlink r:id="rId130" ref="A8264"/>
    <hyperlink r:id="rId130" ref="A8265"/>
    <hyperlink r:id="rId130" ref="A8266"/>
    <hyperlink r:id="rId130" ref="A8267"/>
    <hyperlink r:id="rId130" ref="A8268"/>
    <hyperlink r:id="rId130" ref="A8269"/>
    <hyperlink r:id="rId130" ref="A8270"/>
    <hyperlink r:id="rId130" ref="A8271"/>
    <hyperlink r:id="rId130" ref="A8272"/>
    <hyperlink r:id="rId130" ref="A8273"/>
    <hyperlink r:id="rId130" ref="A8274"/>
    <hyperlink r:id="rId130" ref="A8275"/>
    <hyperlink r:id="rId130" ref="A8276"/>
    <hyperlink r:id="rId130" ref="A8277"/>
    <hyperlink r:id="rId130" ref="A8278"/>
    <hyperlink r:id="rId130" ref="A8279"/>
    <hyperlink r:id="rId130" ref="A8280"/>
    <hyperlink r:id="rId130" ref="A8281"/>
    <hyperlink r:id="rId130" ref="A8282"/>
    <hyperlink r:id="rId130" ref="A8283"/>
    <hyperlink r:id="rId130" ref="A8284"/>
    <hyperlink r:id="rId130" ref="A8285"/>
    <hyperlink r:id="rId131" ref="A8286"/>
    <hyperlink r:id="rId131" ref="A8287"/>
    <hyperlink r:id="rId131" ref="A8288"/>
    <hyperlink r:id="rId131" ref="A8289"/>
    <hyperlink r:id="rId131" ref="A8290"/>
    <hyperlink r:id="rId131" ref="A8291"/>
    <hyperlink r:id="rId131" ref="A8292"/>
    <hyperlink r:id="rId131" ref="A8293"/>
    <hyperlink r:id="rId131" ref="A8294"/>
    <hyperlink r:id="rId131" ref="A8295"/>
    <hyperlink r:id="rId131" ref="A8296"/>
    <hyperlink r:id="rId131" ref="A8297"/>
    <hyperlink r:id="rId131" ref="A8298"/>
    <hyperlink r:id="rId131" ref="A8299"/>
    <hyperlink r:id="rId131" ref="A8300"/>
    <hyperlink r:id="rId131" ref="A8301"/>
    <hyperlink r:id="rId131" ref="A8302"/>
    <hyperlink r:id="rId131" ref="A8303"/>
    <hyperlink r:id="rId131" ref="A8304"/>
    <hyperlink r:id="rId131" ref="A8305"/>
    <hyperlink r:id="rId131" ref="A8306"/>
    <hyperlink r:id="rId131" ref="A8307"/>
    <hyperlink r:id="rId131" ref="A8308"/>
    <hyperlink r:id="rId131" ref="A8309"/>
    <hyperlink r:id="rId131" ref="A8310"/>
    <hyperlink r:id="rId131" ref="A8311"/>
    <hyperlink r:id="rId131" ref="A8312"/>
    <hyperlink r:id="rId131" ref="A8313"/>
    <hyperlink r:id="rId131" ref="A8314"/>
    <hyperlink r:id="rId131" ref="A8315"/>
    <hyperlink r:id="rId131" ref="A8316"/>
    <hyperlink r:id="rId131" ref="A8317"/>
    <hyperlink r:id="rId131" ref="A8318"/>
    <hyperlink r:id="rId131" ref="A8319"/>
    <hyperlink r:id="rId131" ref="A8320"/>
    <hyperlink r:id="rId131" ref="A8321"/>
    <hyperlink r:id="rId131" ref="A8322"/>
    <hyperlink r:id="rId131" ref="A8323"/>
    <hyperlink r:id="rId131" ref="A8324"/>
    <hyperlink r:id="rId131" ref="A8325"/>
    <hyperlink r:id="rId131" ref="A8326"/>
    <hyperlink r:id="rId131" ref="A8327"/>
    <hyperlink r:id="rId131" ref="A8328"/>
    <hyperlink r:id="rId131" ref="A8329"/>
    <hyperlink r:id="rId131" ref="A8330"/>
    <hyperlink r:id="rId131" ref="A8331"/>
    <hyperlink r:id="rId131" ref="A8332"/>
    <hyperlink r:id="rId131" ref="A8333"/>
    <hyperlink r:id="rId131" ref="A8334"/>
    <hyperlink r:id="rId131" ref="A8335"/>
    <hyperlink r:id="rId131" ref="A8336"/>
    <hyperlink r:id="rId131" ref="A8337"/>
    <hyperlink r:id="rId131" ref="A8338"/>
    <hyperlink r:id="rId131" ref="A8339"/>
    <hyperlink r:id="rId131" ref="A8340"/>
    <hyperlink r:id="rId131" ref="A8341"/>
    <hyperlink r:id="rId132" ref="A8342"/>
    <hyperlink r:id="rId132" ref="A8343"/>
    <hyperlink r:id="rId132" ref="A8344"/>
    <hyperlink r:id="rId132" ref="A8345"/>
    <hyperlink r:id="rId132" ref="A8346"/>
    <hyperlink r:id="rId132" ref="A8347"/>
    <hyperlink r:id="rId132" ref="A8348"/>
    <hyperlink r:id="rId132" ref="A8349"/>
    <hyperlink r:id="rId132" ref="A8350"/>
    <hyperlink r:id="rId132" ref="A8351"/>
    <hyperlink r:id="rId132" ref="A8352"/>
    <hyperlink r:id="rId132" ref="A8353"/>
    <hyperlink r:id="rId132" ref="A8354"/>
    <hyperlink r:id="rId132" ref="A8355"/>
    <hyperlink r:id="rId132" ref="A8356"/>
    <hyperlink r:id="rId132" ref="A8357"/>
    <hyperlink r:id="rId132" ref="A8358"/>
    <hyperlink r:id="rId132" ref="A8359"/>
    <hyperlink r:id="rId132" ref="A8360"/>
    <hyperlink r:id="rId132" ref="A8361"/>
    <hyperlink r:id="rId132" ref="A8362"/>
    <hyperlink r:id="rId132" ref="A8363"/>
    <hyperlink r:id="rId132" ref="A8364"/>
    <hyperlink r:id="rId132" ref="A8365"/>
    <hyperlink r:id="rId132" ref="A8366"/>
    <hyperlink r:id="rId132" ref="A8367"/>
    <hyperlink r:id="rId132" ref="A8368"/>
    <hyperlink r:id="rId132" ref="A8369"/>
    <hyperlink r:id="rId132" ref="A8370"/>
    <hyperlink r:id="rId132" ref="A8371"/>
    <hyperlink r:id="rId132" ref="A8372"/>
    <hyperlink r:id="rId132" ref="A8373"/>
    <hyperlink r:id="rId132" ref="A8374"/>
    <hyperlink r:id="rId132" ref="A8375"/>
    <hyperlink r:id="rId132" ref="A8376"/>
    <hyperlink r:id="rId132" ref="A8377"/>
    <hyperlink r:id="rId132" ref="A8378"/>
    <hyperlink r:id="rId132" ref="A8379"/>
    <hyperlink r:id="rId132" ref="A8380"/>
    <hyperlink r:id="rId132" ref="A8381"/>
    <hyperlink r:id="rId132" ref="A8382"/>
    <hyperlink r:id="rId132" ref="A8383"/>
    <hyperlink r:id="rId132" ref="A8384"/>
    <hyperlink r:id="rId132" ref="A8385"/>
    <hyperlink r:id="rId132" ref="A8386"/>
    <hyperlink r:id="rId132" ref="A8387"/>
    <hyperlink r:id="rId132" ref="A8388"/>
    <hyperlink r:id="rId132" ref="A8389"/>
    <hyperlink r:id="rId132" ref="A8390"/>
    <hyperlink r:id="rId132" ref="A8391"/>
    <hyperlink r:id="rId132" ref="A8392"/>
    <hyperlink r:id="rId132" ref="A8393"/>
    <hyperlink r:id="rId132" ref="A8394"/>
    <hyperlink r:id="rId132" ref="A8395"/>
    <hyperlink r:id="rId132" ref="A8396"/>
    <hyperlink r:id="rId132" ref="A8397"/>
    <hyperlink r:id="rId132" ref="A8398"/>
    <hyperlink r:id="rId132" ref="A8399"/>
    <hyperlink r:id="rId132" ref="A8400"/>
    <hyperlink r:id="rId132" ref="A8401"/>
    <hyperlink r:id="rId132" ref="A8402"/>
    <hyperlink r:id="rId132" ref="A8403"/>
    <hyperlink r:id="rId132" ref="A8404"/>
    <hyperlink r:id="rId132" ref="A8405"/>
    <hyperlink r:id="rId132" ref="A8406"/>
    <hyperlink r:id="rId132" ref="A8407"/>
    <hyperlink r:id="rId132" ref="A8408"/>
    <hyperlink r:id="rId132" ref="A8409"/>
    <hyperlink r:id="rId132" ref="A8410"/>
    <hyperlink r:id="rId132" ref="A8411"/>
    <hyperlink r:id="rId132" ref="A8412"/>
    <hyperlink r:id="rId132" ref="A8413"/>
    <hyperlink r:id="rId132" ref="A8414"/>
    <hyperlink r:id="rId132" ref="A8415"/>
    <hyperlink r:id="rId132" ref="A8416"/>
    <hyperlink r:id="rId132" ref="A8417"/>
    <hyperlink r:id="rId132" ref="A8418"/>
    <hyperlink r:id="rId132" ref="A8419"/>
    <hyperlink r:id="rId132" ref="A8420"/>
    <hyperlink r:id="rId133" ref="A8421"/>
    <hyperlink r:id="rId133" ref="A8422"/>
    <hyperlink r:id="rId133" ref="A8423"/>
    <hyperlink r:id="rId133" ref="A8424"/>
    <hyperlink r:id="rId133" ref="A8425"/>
    <hyperlink r:id="rId133" ref="A8426"/>
    <hyperlink r:id="rId133" ref="A8427"/>
    <hyperlink r:id="rId133" ref="A8428"/>
    <hyperlink r:id="rId133" ref="A8429"/>
    <hyperlink r:id="rId133" ref="A8430"/>
    <hyperlink r:id="rId133" ref="A8431"/>
    <hyperlink r:id="rId133" ref="A8432"/>
    <hyperlink r:id="rId133" ref="A8433"/>
    <hyperlink r:id="rId133" ref="A8434"/>
    <hyperlink r:id="rId133" ref="A8435"/>
    <hyperlink r:id="rId133" ref="A8436"/>
    <hyperlink r:id="rId133" ref="A8437"/>
    <hyperlink r:id="rId133" ref="A8438"/>
    <hyperlink r:id="rId133" ref="A8439"/>
    <hyperlink r:id="rId133" ref="A8440"/>
    <hyperlink r:id="rId133" ref="A8441"/>
    <hyperlink r:id="rId133" ref="A8442"/>
    <hyperlink r:id="rId133" ref="A8443"/>
    <hyperlink r:id="rId133" ref="A8444"/>
    <hyperlink r:id="rId133" ref="A8445"/>
    <hyperlink r:id="rId133" ref="A8446"/>
    <hyperlink r:id="rId133" ref="A8447"/>
    <hyperlink r:id="rId133" ref="A8448"/>
    <hyperlink r:id="rId133" ref="A8449"/>
    <hyperlink r:id="rId133" ref="A8450"/>
    <hyperlink r:id="rId133" ref="A8451"/>
    <hyperlink r:id="rId133" ref="A8452"/>
    <hyperlink r:id="rId133" ref="A8453"/>
    <hyperlink r:id="rId133" ref="A8454"/>
    <hyperlink r:id="rId133" ref="A8455"/>
    <hyperlink r:id="rId133" ref="A8456"/>
    <hyperlink r:id="rId133" ref="A8457"/>
    <hyperlink r:id="rId133" ref="A8458"/>
    <hyperlink r:id="rId133" ref="A8459"/>
    <hyperlink r:id="rId133" ref="A8460"/>
    <hyperlink r:id="rId133" ref="A8461"/>
    <hyperlink r:id="rId133" ref="A8462"/>
    <hyperlink r:id="rId133" ref="A8463"/>
    <hyperlink r:id="rId133" ref="A8464"/>
    <hyperlink r:id="rId133" ref="A8465"/>
    <hyperlink r:id="rId133" ref="A8466"/>
    <hyperlink r:id="rId133" ref="A8467"/>
    <hyperlink r:id="rId133" ref="A8468"/>
    <hyperlink r:id="rId133" ref="A8469"/>
    <hyperlink r:id="rId133" ref="A8470"/>
    <hyperlink r:id="rId133" ref="A8471"/>
    <hyperlink r:id="rId133" ref="A8472"/>
    <hyperlink r:id="rId133" ref="A8473"/>
    <hyperlink r:id="rId133" ref="A8474"/>
    <hyperlink r:id="rId133" ref="A8475"/>
    <hyperlink r:id="rId133" ref="A8476"/>
    <hyperlink r:id="rId133" ref="A8477"/>
    <hyperlink r:id="rId133" ref="A8478"/>
    <hyperlink r:id="rId133" ref="A8479"/>
    <hyperlink r:id="rId133" ref="A8480"/>
    <hyperlink r:id="rId133" ref="A8481"/>
    <hyperlink r:id="rId133" ref="A8482"/>
    <hyperlink r:id="rId133" ref="A8483"/>
    <hyperlink r:id="rId133" ref="A8484"/>
    <hyperlink r:id="rId133" ref="A8485"/>
    <hyperlink r:id="rId133" ref="A8486"/>
    <hyperlink r:id="rId133" ref="A8487"/>
    <hyperlink r:id="rId133" ref="A8488"/>
    <hyperlink r:id="rId133" ref="A8489"/>
    <hyperlink r:id="rId133" ref="A8490"/>
    <hyperlink r:id="rId133" ref="A8491"/>
    <hyperlink r:id="rId133" ref="A8492"/>
    <hyperlink r:id="rId133" ref="A8493"/>
    <hyperlink r:id="rId133" ref="A8494"/>
    <hyperlink r:id="rId133" ref="A8495"/>
    <hyperlink r:id="rId133" ref="A8496"/>
    <hyperlink r:id="rId133" ref="A8497"/>
    <hyperlink r:id="rId133" ref="A8498"/>
    <hyperlink r:id="rId133" ref="A8499"/>
    <hyperlink r:id="rId133" ref="A8500"/>
    <hyperlink r:id="rId133" ref="A8501"/>
    <hyperlink r:id="rId133" ref="A8502"/>
    <hyperlink r:id="rId133" ref="A8503"/>
    <hyperlink r:id="rId133" ref="A8504"/>
    <hyperlink r:id="rId133" ref="A8505"/>
    <hyperlink r:id="rId133" ref="A8506"/>
    <hyperlink r:id="rId133" ref="A8507"/>
    <hyperlink r:id="rId133" ref="A8508"/>
    <hyperlink r:id="rId133" ref="A8509"/>
    <hyperlink r:id="rId133" ref="A8510"/>
    <hyperlink r:id="rId133" ref="A8511"/>
    <hyperlink r:id="rId133" ref="A8512"/>
    <hyperlink r:id="rId133" ref="A8513"/>
    <hyperlink r:id="rId133" ref="A8514"/>
    <hyperlink r:id="rId133" ref="A8515"/>
    <hyperlink r:id="rId133" ref="A8516"/>
    <hyperlink r:id="rId133" ref="A8517"/>
    <hyperlink r:id="rId133" ref="A8518"/>
    <hyperlink r:id="rId133" ref="A8519"/>
    <hyperlink r:id="rId133" ref="A8520"/>
    <hyperlink r:id="rId133" ref="A8521"/>
    <hyperlink r:id="rId133" ref="A8522"/>
    <hyperlink r:id="rId133" ref="A8523"/>
    <hyperlink r:id="rId133" ref="A8524"/>
    <hyperlink r:id="rId133" ref="A8525"/>
    <hyperlink r:id="rId133" ref="A8526"/>
    <hyperlink r:id="rId133" ref="A8527"/>
    <hyperlink r:id="rId133" ref="A8528"/>
    <hyperlink r:id="rId133" ref="A8529"/>
    <hyperlink r:id="rId133" ref="A8530"/>
    <hyperlink r:id="rId133" ref="A8531"/>
    <hyperlink r:id="rId133" ref="A8532"/>
    <hyperlink r:id="rId133" ref="A8533"/>
    <hyperlink r:id="rId133" ref="A8534"/>
    <hyperlink r:id="rId133" ref="A8535"/>
    <hyperlink r:id="rId133" ref="A8536"/>
    <hyperlink r:id="rId133" ref="A8537"/>
    <hyperlink r:id="rId133" ref="A8538"/>
    <hyperlink r:id="rId133" ref="A8539"/>
    <hyperlink r:id="rId133" ref="A8540"/>
    <hyperlink r:id="rId133" ref="A8541"/>
    <hyperlink r:id="rId133" ref="A8542"/>
    <hyperlink r:id="rId133" ref="A8543"/>
    <hyperlink r:id="rId133" ref="A8544"/>
    <hyperlink r:id="rId133" ref="A8545"/>
    <hyperlink r:id="rId133" ref="A8546"/>
    <hyperlink r:id="rId133" ref="A8547"/>
    <hyperlink r:id="rId133" ref="A8548"/>
    <hyperlink r:id="rId133" ref="A8549"/>
    <hyperlink r:id="rId133" ref="A8550"/>
    <hyperlink r:id="rId133" ref="A8551"/>
    <hyperlink r:id="rId133" ref="A8552"/>
    <hyperlink r:id="rId133" ref="A8553"/>
    <hyperlink r:id="rId133" ref="A8554"/>
    <hyperlink r:id="rId133" ref="A8555"/>
    <hyperlink r:id="rId133" ref="A8556"/>
    <hyperlink r:id="rId133" ref="A8557"/>
    <hyperlink r:id="rId133" ref="A8558"/>
    <hyperlink r:id="rId133" ref="A8559"/>
    <hyperlink r:id="rId133" ref="A8560"/>
    <hyperlink r:id="rId133" ref="A8561"/>
    <hyperlink r:id="rId133" ref="A8562"/>
    <hyperlink r:id="rId133" ref="A8563"/>
    <hyperlink r:id="rId133" ref="A8564"/>
    <hyperlink r:id="rId133" ref="A8565"/>
    <hyperlink r:id="rId133" ref="A8566"/>
    <hyperlink r:id="rId133" ref="A8567"/>
    <hyperlink r:id="rId133" ref="A8568"/>
    <hyperlink r:id="rId133" ref="A8569"/>
    <hyperlink r:id="rId133" ref="A8570"/>
    <hyperlink r:id="rId133" ref="A8571"/>
    <hyperlink r:id="rId133" ref="A8572"/>
    <hyperlink r:id="rId133" ref="A8573"/>
    <hyperlink r:id="rId133" ref="A8574"/>
    <hyperlink r:id="rId133" ref="A8575"/>
    <hyperlink r:id="rId133" ref="A8576"/>
    <hyperlink r:id="rId133" ref="A8577"/>
    <hyperlink r:id="rId133" ref="A8578"/>
    <hyperlink r:id="rId133" ref="A8579"/>
    <hyperlink r:id="rId133" ref="A8580"/>
    <hyperlink r:id="rId133" ref="A8581"/>
    <hyperlink r:id="rId133" ref="A8582"/>
    <hyperlink r:id="rId133" ref="A8583"/>
    <hyperlink r:id="rId133" ref="A8584"/>
    <hyperlink r:id="rId133" ref="A8585"/>
    <hyperlink r:id="rId133" ref="A8586"/>
    <hyperlink r:id="rId133" ref="A8587"/>
    <hyperlink r:id="rId133" ref="A8588"/>
    <hyperlink r:id="rId133" ref="A8589"/>
    <hyperlink r:id="rId133" ref="A8590"/>
    <hyperlink r:id="rId133" ref="A8591"/>
    <hyperlink r:id="rId133" ref="A8592"/>
    <hyperlink r:id="rId133" ref="A8593"/>
    <hyperlink r:id="rId133" ref="A8594"/>
    <hyperlink r:id="rId133" ref="A8595"/>
    <hyperlink r:id="rId134" ref="A8596"/>
    <hyperlink r:id="rId134" ref="A8597"/>
    <hyperlink r:id="rId134" ref="A8598"/>
    <hyperlink r:id="rId134" ref="A8599"/>
    <hyperlink r:id="rId134" ref="A8600"/>
    <hyperlink r:id="rId134" ref="A8601"/>
    <hyperlink r:id="rId134" ref="A8602"/>
    <hyperlink r:id="rId134" ref="A8603"/>
    <hyperlink r:id="rId134" ref="A8604"/>
    <hyperlink r:id="rId134" ref="A8605"/>
    <hyperlink r:id="rId134" ref="A8606"/>
    <hyperlink r:id="rId134" ref="A8607"/>
    <hyperlink r:id="rId134" ref="A8608"/>
    <hyperlink r:id="rId134" ref="A8609"/>
    <hyperlink r:id="rId134" ref="A8610"/>
    <hyperlink r:id="rId134" ref="A8611"/>
    <hyperlink r:id="rId134" ref="A8612"/>
    <hyperlink r:id="rId134" ref="A8613"/>
    <hyperlink r:id="rId134" ref="A8614"/>
    <hyperlink r:id="rId134" ref="A8615"/>
    <hyperlink r:id="rId134" ref="A8616"/>
    <hyperlink r:id="rId134" ref="A8617"/>
    <hyperlink r:id="rId134" ref="A8618"/>
    <hyperlink r:id="rId134" ref="A8619"/>
    <hyperlink r:id="rId134" ref="A8620"/>
    <hyperlink r:id="rId134" ref="A8621"/>
    <hyperlink r:id="rId134" ref="A8622"/>
    <hyperlink r:id="rId134" ref="A8623"/>
    <hyperlink r:id="rId134" ref="A8624"/>
    <hyperlink r:id="rId135" ref="A8625"/>
    <hyperlink r:id="rId135" ref="A8626"/>
    <hyperlink r:id="rId135" ref="A8627"/>
    <hyperlink r:id="rId135" ref="A8628"/>
    <hyperlink r:id="rId135" ref="A8629"/>
    <hyperlink r:id="rId135" ref="A8630"/>
    <hyperlink r:id="rId135" ref="A8631"/>
    <hyperlink r:id="rId135" ref="A8632"/>
    <hyperlink r:id="rId135" ref="A8633"/>
    <hyperlink r:id="rId135" ref="A8634"/>
    <hyperlink r:id="rId135" ref="A8635"/>
    <hyperlink r:id="rId135" ref="A8636"/>
    <hyperlink r:id="rId136" ref="A8637"/>
    <hyperlink r:id="rId136" ref="A8638"/>
    <hyperlink r:id="rId136" ref="A8639"/>
    <hyperlink r:id="rId136" ref="A8640"/>
    <hyperlink r:id="rId136" ref="A8641"/>
    <hyperlink r:id="rId136" ref="A8642"/>
    <hyperlink r:id="rId136" ref="A8643"/>
    <hyperlink r:id="rId136" ref="A8644"/>
    <hyperlink r:id="rId136" ref="A8645"/>
    <hyperlink r:id="rId136" ref="A8646"/>
    <hyperlink r:id="rId136" ref="A8647"/>
    <hyperlink r:id="rId136" ref="A8648"/>
    <hyperlink r:id="rId136" ref="A8649"/>
    <hyperlink r:id="rId136" ref="A8650"/>
    <hyperlink r:id="rId136" ref="A8651"/>
    <hyperlink r:id="rId136" ref="A8652"/>
    <hyperlink r:id="rId136" ref="A8653"/>
    <hyperlink r:id="rId136" ref="A8654"/>
    <hyperlink r:id="rId137" ref="A8655"/>
    <hyperlink r:id="rId137" ref="A8656"/>
    <hyperlink r:id="rId137" ref="A8657"/>
    <hyperlink r:id="rId137" ref="A8658"/>
    <hyperlink r:id="rId137" ref="A8659"/>
    <hyperlink r:id="rId137" ref="A8660"/>
    <hyperlink r:id="rId137" ref="A8661"/>
    <hyperlink r:id="rId137" ref="A8662"/>
    <hyperlink r:id="rId137" ref="A8663"/>
    <hyperlink r:id="rId137" ref="A8664"/>
    <hyperlink r:id="rId137" ref="A8665"/>
    <hyperlink r:id="rId137" ref="A8666"/>
    <hyperlink r:id="rId137" ref="A8667"/>
    <hyperlink r:id="rId137" ref="A8668"/>
    <hyperlink r:id="rId137" ref="A8669"/>
    <hyperlink r:id="rId137" ref="A8670"/>
    <hyperlink r:id="rId137" ref="A8671"/>
    <hyperlink r:id="rId137" ref="A8672"/>
    <hyperlink r:id="rId137" ref="A8673"/>
    <hyperlink r:id="rId137" ref="A8674"/>
    <hyperlink r:id="rId137" ref="A8675"/>
    <hyperlink r:id="rId137" ref="A8676"/>
    <hyperlink r:id="rId137" ref="A8677"/>
    <hyperlink r:id="rId137" ref="A8678"/>
    <hyperlink r:id="rId137" ref="A8679"/>
    <hyperlink r:id="rId137" ref="A8680"/>
    <hyperlink r:id="rId137" ref="A8681"/>
    <hyperlink r:id="rId137" ref="A8682"/>
    <hyperlink r:id="rId137" ref="A8683"/>
    <hyperlink r:id="rId137" ref="A8684"/>
    <hyperlink r:id="rId137" ref="A8685"/>
    <hyperlink r:id="rId137" ref="A8686"/>
    <hyperlink r:id="rId137" ref="A8687"/>
    <hyperlink r:id="rId137" ref="A8688"/>
    <hyperlink r:id="rId137" ref="A8689"/>
    <hyperlink r:id="rId137" ref="A8690"/>
    <hyperlink r:id="rId137" ref="A8691"/>
    <hyperlink r:id="rId137" ref="A8692"/>
    <hyperlink r:id="rId137" ref="A8693"/>
    <hyperlink r:id="rId137" ref="A8694"/>
    <hyperlink r:id="rId137" ref="A8695"/>
    <hyperlink r:id="rId137" ref="A8696"/>
    <hyperlink r:id="rId137" ref="A8697"/>
    <hyperlink r:id="rId137" ref="A8698"/>
    <hyperlink r:id="rId137" ref="A8699"/>
    <hyperlink r:id="rId137" ref="A8700"/>
    <hyperlink r:id="rId137" ref="A8701"/>
    <hyperlink r:id="rId138" ref="A8702"/>
    <hyperlink r:id="rId138" ref="A8703"/>
    <hyperlink r:id="rId138" ref="A8704"/>
    <hyperlink r:id="rId138" ref="A8705"/>
    <hyperlink r:id="rId138" ref="A8706"/>
    <hyperlink r:id="rId138" ref="A8707"/>
    <hyperlink r:id="rId138" ref="A8708"/>
    <hyperlink r:id="rId138" ref="A8709"/>
    <hyperlink r:id="rId138" ref="A8710"/>
    <hyperlink r:id="rId138" ref="A8711"/>
    <hyperlink r:id="rId138" ref="A8712"/>
    <hyperlink r:id="rId138" ref="A8713"/>
    <hyperlink r:id="rId138" ref="A8714"/>
    <hyperlink r:id="rId138" ref="A8715"/>
    <hyperlink r:id="rId138" ref="A8716"/>
    <hyperlink r:id="rId138" ref="A8717"/>
    <hyperlink r:id="rId138" ref="A8718"/>
    <hyperlink r:id="rId138" ref="A8719"/>
    <hyperlink r:id="rId138" ref="A8720"/>
    <hyperlink r:id="rId138" ref="A8721"/>
    <hyperlink r:id="rId138" ref="A8722"/>
    <hyperlink r:id="rId138" ref="A8723"/>
    <hyperlink r:id="rId138" ref="A8724"/>
    <hyperlink r:id="rId138" ref="A8725"/>
    <hyperlink r:id="rId138" ref="A8726"/>
    <hyperlink r:id="rId138" ref="A8727"/>
    <hyperlink r:id="rId138" ref="A8728"/>
    <hyperlink r:id="rId138" ref="A8729"/>
    <hyperlink r:id="rId138" ref="A8730"/>
    <hyperlink r:id="rId138" ref="A8731"/>
    <hyperlink r:id="rId138" ref="A8732"/>
    <hyperlink r:id="rId138" ref="A8733"/>
    <hyperlink r:id="rId138" ref="A8734"/>
    <hyperlink r:id="rId138" ref="A8735"/>
    <hyperlink r:id="rId138" ref="A8736"/>
    <hyperlink r:id="rId138" ref="A8737"/>
    <hyperlink r:id="rId138" ref="A8738"/>
    <hyperlink r:id="rId138" ref="A8739"/>
    <hyperlink r:id="rId138" ref="A8740"/>
    <hyperlink r:id="rId138" ref="A8741"/>
    <hyperlink r:id="rId138" ref="A8742"/>
    <hyperlink r:id="rId138" ref="A8743"/>
    <hyperlink r:id="rId138" ref="A8744"/>
    <hyperlink r:id="rId138" ref="A8745"/>
    <hyperlink r:id="rId138" ref="A8746"/>
    <hyperlink r:id="rId138" ref="A8747"/>
    <hyperlink r:id="rId138" ref="A8748"/>
    <hyperlink r:id="rId138" ref="A8749"/>
    <hyperlink r:id="rId139" ref="A8750"/>
    <hyperlink r:id="rId139" ref="A8751"/>
    <hyperlink r:id="rId139" ref="A8752"/>
    <hyperlink r:id="rId139" ref="A8753"/>
    <hyperlink r:id="rId139" ref="A8754"/>
    <hyperlink r:id="rId139" ref="A8755"/>
    <hyperlink r:id="rId139" ref="A8756"/>
    <hyperlink r:id="rId139" ref="A8757"/>
    <hyperlink r:id="rId139" ref="A8758"/>
    <hyperlink r:id="rId139" ref="A8759"/>
    <hyperlink r:id="rId139" ref="A8760"/>
    <hyperlink r:id="rId139" ref="A8761"/>
    <hyperlink r:id="rId139" ref="A8762"/>
    <hyperlink r:id="rId139" ref="A8763"/>
    <hyperlink r:id="rId139" ref="A8764"/>
    <hyperlink r:id="rId139" ref="A8765"/>
    <hyperlink r:id="rId139" ref="A8766"/>
    <hyperlink r:id="rId139" ref="A8767"/>
    <hyperlink r:id="rId139" ref="A8768"/>
    <hyperlink r:id="rId139" ref="A8769"/>
    <hyperlink r:id="rId139" ref="A8770"/>
    <hyperlink r:id="rId139" ref="A8771"/>
    <hyperlink r:id="rId139" ref="A8772"/>
    <hyperlink r:id="rId139" ref="A8773"/>
    <hyperlink r:id="rId139" ref="A8774"/>
    <hyperlink r:id="rId139" ref="A8775"/>
    <hyperlink r:id="rId139" ref="A8776"/>
    <hyperlink r:id="rId139" ref="A8777"/>
    <hyperlink r:id="rId139" ref="A8778"/>
    <hyperlink r:id="rId139" ref="A8779"/>
    <hyperlink r:id="rId139" ref="A8780"/>
    <hyperlink r:id="rId139" ref="A8781"/>
    <hyperlink r:id="rId139" ref="A8782"/>
    <hyperlink r:id="rId139" ref="A8783"/>
    <hyperlink r:id="rId139" ref="A8784"/>
    <hyperlink r:id="rId139" ref="A8785"/>
    <hyperlink r:id="rId139" ref="A8786"/>
    <hyperlink r:id="rId139" ref="A8787"/>
    <hyperlink r:id="rId139" ref="A8788"/>
    <hyperlink r:id="rId139" ref="A8789"/>
    <hyperlink r:id="rId139" ref="A8790"/>
    <hyperlink r:id="rId139" ref="A8791"/>
    <hyperlink r:id="rId139" ref="A8792"/>
    <hyperlink r:id="rId139" ref="A8793"/>
    <hyperlink r:id="rId139" ref="A8794"/>
    <hyperlink r:id="rId139" ref="A8795"/>
    <hyperlink r:id="rId139" ref="A8796"/>
    <hyperlink r:id="rId139" ref="A8797"/>
    <hyperlink r:id="rId139" ref="A8798"/>
    <hyperlink r:id="rId139" ref="A8799"/>
    <hyperlink r:id="rId139" ref="A8800"/>
    <hyperlink r:id="rId139" ref="A8801"/>
    <hyperlink r:id="rId139" ref="A8802"/>
    <hyperlink r:id="rId139" ref="A8803"/>
    <hyperlink r:id="rId139" ref="A8804"/>
    <hyperlink r:id="rId139" ref="A8805"/>
    <hyperlink r:id="rId139" ref="A8806"/>
    <hyperlink r:id="rId139" ref="A8807"/>
    <hyperlink r:id="rId139" ref="A8808"/>
    <hyperlink r:id="rId139" ref="A8809"/>
    <hyperlink r:id="rId139" ref="A8810"/>
    <hyperlink r:id="rId139" ref="A8811"/>
    <hyperlink r:id="rId139" ref="A8812"/>
    <hyperlink r:id="rId139" ref="A8813"/>
    <hyperlink r:id="rId139" ref="A8814"/>
    <hyperlink r:id="rId139" ref="A8815"/>
    <hyperlink r:id="rId139" ref="A8816"/>
    <hyperlink r:id="rId139" ref="A8817"/>
    <hyperlink r:id="rId139" ref="A8818"/>
    <hyperlink r:id="rId139" ref="A8819"/>
    <hyperlink r:id="rId139" ref="A8820"/>
    <hyperlink r:id="rId139" ref="A8821"/>
    <hyperlink r:id="rId139" ref="A8822"/>
    <hyperlink r:id="rId139" ref="A8823"/>
    <hyperlink r:id="rId139" ref="A8824"/>
    <hyperlink r:id="rId139" ref="A8825"/>
    <hyperlink r:id="rId139" ref="A8826"/>
    <hyperlink r:id="rId139" ref="A8827"/>
    <hyperlink r:id="rId139" ref="A8828"/>
    <hyperlink r:id="rId139" ref="A8829"/>
    <hyperlink r:id="rId139" ref="A8830"/>
    <hyperlink r:id="rId139" ref="A8831"/>
    <hyperlink r:id="rId139" ref="A8832"/>
    <hyperlink r:id="rId139" ref="A8833"/>
    <hyperlink r:id="rId139" ref="A8834"/>
    <hyperlink r:id="rId139" ref="A8835"/>
    <hyperlink r:id="rId139" ref="A8836"/>
    <hyperlink r:id="rId139" ref="A8837"/>
    <hyperlink r:id="rId140" ref="A8838"/>
    <hyperlink r:id="rId140" ref="A8839"/>
    <hyperlink r:id="rId140" ref="A8840"/>
    <hyperlink r:id="rId140" ref="A8841"/>
    <hyperlink r:id="rId140" ref="A8842"/>
    <hyperlink r:id="rId140" ref="A8843"/>
    <hyperlink r:id="rId140" ref="A8844"/>
    <hyperlink r:id="rId140" ref="A8845"/>
    <hyperlink r:id="rId140" ref="A8846"/>
    <hyperlink r:id="rId140" ref="A8847"/>
    <hyperlink r:id="rId140" ref="A8848"/>
    <hyperlink r:id="rId140" ref="A8849"/>
    <hyperlink r:id="rId140" ref="A8850"/>
    <hyperlink r:id="rId140" ref="A8851"/>
    <hyperlink r:id="rId140" ref="A8852"/>
    <hyperlink r:id="rId140" ref="A8853"/>
    <hyperlink r:id="rId140" ref="A8854"/>
    <hyperlink r:id="rId140" ref="A8855"/>
    <hyperlink r:id="rId140" ref="A8856"/>
    <hyperlink r:id="rId140" ref="A8857"/>
    <hyperlink r:id="rId140" ref="A8858"/>
    <hyperlink r:id="rId140" ref="A8859"/>
    <hyperlink r:id="rId140" ref="A8860"/>
    <hyperlink r:id="rId140" ref="A8861"/>
    <hyperlink r:id="rId140" ref="A8862"/>
    <hyperlink r:id="rId140" ref="A8863"/>
    <hyperlink r:id="rId140" ref="A8864"/>
    <hyperlink r:id="rId140" ref="A8865"/>
    <hyperlink r:id="rId140" ref="A8866"/>
    <hyperlink r:id="rId140" ref="A8867"/>
    <hyperlink r:id="rId140" ref="A8868"/>
    <hyperlink r:id="rId140" ref="A8869"/>
    <hyperlink r:id="rId140" ref="A8870"/>
    <hyperlink r:id="rId140" ref="A8871"/>
    <hyperlink r:id="rId140" ref="A8872"/>
    <hyperlink r:id="rId140" ref="A8873"/>
    <hyperlink r:id="rId140" ref="A8874"/>
    <hyperlink r:id="rId140" ref="A8875"/>
    <hyperlink r:id="rId140" ref="A8876"/>
    <hyperlink r:id="rId140" ref="A8877"/>
    <hyperlink r:id="rId140" ref="A8878"/>
    <hyperlink r:id="rId140" ref="A8879"/>
    <hyperlink r:id="rId140" ref="A8880"/>
    <hyperlink r:id="rId140" ref="A8881"/>
    <hyperlink r:id="rId140" ref="A8882"/>
    <hyperlink r:id="rId140" ref="A8883"/>
    <hyperlink r:id="rId140" ref="A8884"/>
    <hyperlink r:id="rId140" ref="A8885"/>
    <hyperlink r:id="rId140" ref="A8886"/>
    <hyperlink r:id="rId140" ref="A8887"/>
    <hyperlink r:id="rId140" ref="A8888"/>
    <hyperlink r:id="rId140" ref="A8889"/>
    <hyperlink r:id="rId140" ref="A8890"/>
    <hyperlink r:id="rId140" ref="A8891"/>
    <hyperlink r:id="rId140" ref="A8892"/>
    <hyperlink r:id="rId140" ref="A8893"/>
    <hyperlink r:id="rId140" ref="A8894"/>
    <hyperlink r:id="rId140" ref="A8895"/>
    <hyperlink r:id="rId140" ref="A8896"/>
    <hyperlink r:id="rId140" ref="A8897"/>
    <hyperlink r:id="rId140" ref="A8898"/>
    <hyperlink r:id="rId140" ref="A8899"/>
    <hyperlink r:id="rId140" ref="A8900"/>
    <hyperlink r:id="rId140" ref="A8901"/>
    <hyperlink r:id="rId140" ref="A8902"/>
    <hyperlink r:id="rId140" ref="A8903"/>
    <hyperlink r:id="rId140" ref="A8904"/>
    <hyperlink r:id="rId141" ref="A8905"/>
    <hyperlink r:id="rId141" ref="A8906"/>
    <hyperlink r:id="rId141" ref="A8907"/>
    <hyperlink r:id="rId141" ref="A8908"/>
    <hyperlink r:id="rId141" ref="A8909"/>
    <hyperlink r:id="rId141" ref="A8910"/>
    <hyperlink r:id="rId141" ref="A8911"/>
    <hyperlink r:id="rId141" ref="A8912"/>
    <hyperlink r:id="rId141" ref="A8913"/>
    <hyperlink r:id="rId141" ref="A8914"/>
    <hyperlink r:id="rId141" ref="A8915"/>
    <hyperlink r:id="rId141" ref="A8916"/>
    <hyperlink r:id="rId141" ref="A8917"/>
    <hyperlink r:id="rId141" ref="A8918"/>
    <hyperlink r:id="rId141" ref="A8919"/>
    <hyperlink r:id="rId141" ref="A8920"/>
    <hyperlink r:id="rId141" ref="A8921"/>
    <hyperlink r:id="rId141" ref="A8922"/>
    <hyperlink r:id="rId141" ref="A8923"/>
    <hyperlink r:id="rId141" ref="A8924"/>
    <hyperlink r:id="rId141" ref="A8925"/>
    <hyperlink r:id="rId141" ref="A8926"/>
    <hyperlink r:id="rId141" ref="A8927"/>
    <hyperlink r:id="rId141" ref="A8928"/>
    <hyperlink r:id="rId141" ref="A8929"/>
    <hyperlink r:id="rId141" ref="A8930"/>
    <hyperlink r:id="rId141" ref="A8931"/>
    <hyperlink r:id="rId141" ref="A8932"/>
    <hyperlink r:id="rId141" ref="A8933"/>
    <hyperlink r:id="rId141" ref="A8934"/>
    <hyperlink r:id="rId141" ref="A8935"/>
    <hyperlink r:id="rId141" ref="A8936"/>
    <hyperlink r:id="rId141" ref="A8937"/>
    <hyperlink r:id="rId141" ref="A8938"/>
    <hyperlink r:id="rId141" ref="A8939"/>
    <hyperlink r:id="rId141" ref="A8940"/>
    <hyperlink r:id="rId142" ref="A8941"/>
    <hyperlink r:id="rId142" ref="A8942"/>
    <hyperlink r:id="rId142" ref="A8943"/>
    <hyperlink r:id="rId142" ref="A8944"/>
    <hyperlink r:id="rId142" ref="A8945"/>
    <hyperlink r:id="rId142" ref="A8946"/>
    <hyperlink r:id="rId142" ref="A8947"/>
    <hyperlink r:id="rId142" ref="A8948"/>
    <hyperlink r:id="rId142" ref="A8949"/>
    <hyperlink r:id="rId142" ref="A8950"/>
    <hyperlink r:id="rId142" ref="A8951"/>
    <hyperlink r:id="rId142" ref="A8952"/>
    <hyperlink r:id="rId142" ref="A8953"/>
    <hyperlink r:id="rId142" ref="A8954"/>
    <hyperlink r:id="rId142" ref="A8955"/>
    <hyperlink r:id="rId142" ref="A8956"/>
    <hyperlink r:id="rId142" ref="A8957"/>
    <hyperlink r:id="rId142" ref="A8958"/>
    <hyperlink r:id="rId142" ref="A8959"/>
    <hyperlink r:id="rId142" ref="A8960"/>
    <hyperlink r:id="rId142" ref="A8961"/>
    <hyperlink r:id="rId142" ref="A8962"/>
    <hyperlink r:id="rId142" ref="A8963"/>
    <hyperlink r:id="rId142" ref="A8964"/>
    <hyperlink r:id="rId142" ref="A8965"/>
    <hyperlink r:id="rId142" ref="A8966"/>
    <hyperlink r:id="rId142" ref="A8967"/>
    <hyperlink r:id="rId142" ref="A8968"/>
    <hyperlink r:id="rId142" ref="A8969"/>
    <hyperlink r:id="rId142" ref="A8970"/>
    <hyperlink r:id="rId142" ref="A8971"/>
    <hyperlink r:id="rId142" ref="A8972"/>
    <hyperlink r:id="rId142" ref="A8973"/>
    <hyperlink r:id="rId142" ref="A8974"/>
    <hyperlink r:id="rId142" ref="A8975"/>
    <hyperlink r:id="rId142" ref="A8976"/>
    <hyperlink r:id="rId142" ref="A8977"/>
    <hyperlink r:id="rId142" ref="A8978"/>
    <hyperlink r:id="rId142" ref="A8979"/>
    <hyperlink r:id="rId142" ref="A8980"/>
    <hyperlink r:id="rId142" ref="A8981"/>
    <hyperlink r:id="rId142" ref="A8982"/>
    <hyperlink r:id="rId142" ref="A8983"/>
    <hyperlink r:id="rId142" ref="A8984"/>
    <hyperlink r:id="rId142" ref="A8985"/>
    <hyperlink r:id="rId142" ref="A8986"/>
    <hyperlink r:id="rId142" ref="A8987"/>
    <hyperlink r:id="rId142" ref="A8988"/>
    <hyperlink r:id="rId142" ref="A8989"/>
    <hyperlink r:id="rId142" ref="A8990"/>
    <hyperlink r:id="rId142" ref="A8991"/>
    <hyperlink r:id="rId142" ref="A8992"/>
    <hyperlink r:id="rId142" ref="A8993"/>
    <hyperlink r:id="rId142" ref="A8994"/>
    <hyperlink r:id="rId142" ref="A8995"/>
    <hyperlink r:id="rId142" ref="A8996"/>
    <hyperlink r:id="rId142" ref="A8997"/>
    <hyperlink r:id="rId142" ref="A8998"/>
    <hyperlink r:id="rId142" ref="A8999"/>
    <hyperlink r:id="rId142" ref="A9000"/>
    <hyperlink r:id="rId142" ref="A9001"/>
    <hyperlink r:id="rId142" ref="A9002"/>
    <hyperlink r:id="rId142" ref="A9003"/>
    <hyperlink r:id="rId142" ref="A9004"/>
    <hyperlink r:id="rId142" ref="A9005"/>
    <hyperlink r:id="rId142" ref="A9006"/>
    <hyperlink r:id="rId142" ref="A9007"/>
    <hyperlink r:id="rId142" ref="A9008"/>
    <hyperlink r:id="rId142" ref="A9009"/>
    <hyperlink r:id="rId142" ref="A9010"/>
    <hyperlink r:id="rId142" ref="A9011"/>
    <hyperlink r:id="rId142" ref="A9012"/>
    <hyperlink r:id="rId143" ref="A9013"/>
    <hyperlink r:id="rId143" ref="A9014"/>
    <hyperlink r:id="rId143" ref="A9015"/>
    <hyperlink r:id="rId143" ref="A9016"/>
    <hyperlink r:id="rId143" ref="A9017"/>
    <hyperlink r:id="rId143" ref="A9018"/>
    <hyperlink r:id="rId143" ref="A9019"/>
    <hyperlink r:id="rId143" ref="A9020"/>
    <hyperlink r:id="rId143" ref="A9021"/>
    <hyperlink r:id="rId143" ref="A9022"/>
    <hyperlink r:id="rId143" ref="A9023"/>
    <hyperlink r:id="rId143" ref="A9024"/>
    <hyperlink r:id="rId143" ref="A9025"/>
    <hyperlink r:id="rId143" ref="A9026"/>
    <hyperlink r:id="rId143" ref="A9027"/>
    <hyperlink r:id="rId143" ref="A9028"/>
    <hyperlink r:id="rId143" ref="A9029"/>
    <hyperlink r:id="rId143" ref="A9030"/>
    <hyperlink r:id="rId143" ref="A9031"/>
    <hyperlink r:id="rId143" ref="A9032"/>
    <hyperlink r:id="rId143" ref="A9033"/>
    <hyperlink r:id="rId143" ref="A9034"/>
    <hyperlink r:id="rId143" ref="A9035"/>
    <hyperlink r:id="rId143" ref="A9036"/>
    <hyperlink r:id="rId143" ref="A9037"/>
    <hyperlink r:id="rId143" ref="A9038"/>
    <hyperlink r:id="rId143" ref="A9039"/>
    <hyperlink r:id="rId143" ref="A9040"/>
    <hyperlink r:id="rId143" ref="A9041"/>
    <hyperlink r:id="rId143" ref="A9042"/>
    <hyperlink r:id="rId143" ref="A9043"/>
    <hyperlink r:id="rId143" ref="A9044"/>
    <hyperlink r:id="rId143" ref="A9045"/>
    <hyperlink r:id="rId143" ref="A9046"/>
    <hyperlink r:id="rId143" ref="A9047"/>
    <hyperlink r:id="rId143" ref="A9048"/>
    <hyperlink r:id="rId143" ref="A9049"/>
    <hyperlink r:id="rId143" ref="A9050"/>
    <hyperlink r:id="rId143" ref="A9051"/>
    <hyperlink r:id="rId143" ref="A9052"/>
    <hyperlink r:id="rId143" ref="A9053"/>
    <hyperlink r:id="rId143" ref="A9054"/>
    <hyperlink r:id="rId143" ref="A9055"/>
    <hyperlink r:id="rId143" ref="A9056"/>
    <hyperlink r:id="rId143" ref="A9057"/>
    <hyperlink r:id="rId143" ref="A9058"/>
    <hyperlink r:id="rId143" ref="A9059"/>
    <hyperlink r:id="rId143" ref="A9060"/>
    <hyperlink r:id="rId143" ref="A9061"/>
    <hyperlink r:id="rId143" ref="A9062"/>
    <hyperlink r:id="rId143" ref="A9063"/>
    <hyperlink r:id="rId143" ref="A9064"/>
    <hyperlink r:id="rId143" ref="A9065"/>
    <hyperlink r:id="rId143" ref="A9066"/>
    <hyperlink r:id="rId143" ref="A9067"/>
    <hyperlink r:id="rId143" ref="A9068"/>
    <hyperlink r:id="rId143" ref="A9069"/>
    <hyperlink r:id="rId143" ref="A9070"/>
    <hyperlink r:id="rId143" ref="A9071"/>
    <hyperlink r:id="rId143" ref="A9072"/>
    <hyperlink r:id="rId143" ref="A9073"/>
    <hyperlink r:id="rId143" ref="A9074"/>
    <hyperlink r:id="rId143" ref="A9075"/>
    <hyperlink r:id="rId143" ref="A9076"/>
    <hyperlink r:id="rId143" ref="A9077"/>
    <hyperlink r:id="rId143" ref="A9078"/>
    <hyperlink r:id="rId143" ref="A9079"/>
    <hyperlink r:id="rId143" ref="A9080"/>
    <hyperlink r:id="rId143" ref="A9081"/>
    <hyperlink r:id="rId143" ref="A9082"/>
    <hyperlink r:id="rId143" ref="A9083"/>
    <hyperlink r:id="rId143" ref="A9084"/>
    <hyperlink r:id="rId143" ref="A9085"/>
    <hyperlink r:id="rId143" ref="A9086"/>
    <hyperlink r:id="rId143" ref="A9087"/>
    <hyperlink r:id="rId143" ref="A9088"/>
    <hyperlink r:id="rId143" ref="A9089"/>
    <hyperlink r:id="rId143" ref="A9090"/>
    <hyperlink r:id="rId143" ref="A9091"/>
    <hyperlink r:id="rId143" ref="A9092"/>
    <hyperlink r:id="rId143" ref="A9093"/>
    <hyperlink r:id="rId143" ref="A9094"/>
    <hyperlink r:id="rId143" ref="A9095"/>
    <hyperlink r:id="rId143" ref="A9096"/>
    <hyperlink r:id="rId143" ref="A9097"/>
    <hyperlink r:id="rId143" ref="A9098"/>
    <hyperlink r:id="rId143" ref="A9099"/>
    <hyperlink r:id="rId143" ref="A9100"/>
    <hyperlink r:id="rId143" ref="A9101"/>
    <hyperlink r:id="rId143" ref="A9102"/>
    <hyperlink r:id="rId143" ref="A9103"/>
    <hyperlink r:id="rId143" ref="A9104"/>
    <hyperlink r:id="rId143" ref="A9105"/>
    <hyperlink r:id="rId143" ref="A9106"/>
    <hyperlink r:id="rId143" ref="A9107"/>
    <hyperlink r:id="rId143" ref="A9108"/>
    <hyperlink r:id="rId143" ref="A9109"/>
    <hyperlink r:id="rId143" ref="A9110"/>
    <hyperlink r:id="rId143" ref="A9111"/>
    <hyperlink r:id="rId143" ref="A9112"/>
    <hyperlink r:id="rId143" ref="A9113"/>
    <hyperlink r:id="rId143" ref="A9114"/>
    <hyperlink r:id="rId143" ref="A9115"/>
    <hyperlink r:id="rId143" ref="A9116"/>
    <hyperlink r:id="rId143" ref="A9117"/>
    <hyperlink r:id="rId143" ref="A9118"/>
    <hyperlink r:id="rId143" ref="A9119"/>
    <hyperlink r:id="rId143" ref="A9120"/>
    <hyperlink r:id="rId143" ref="A9121"/>
    <hyperlink r:id="rId143" ref="A9122"/>
    <hyperlink r:id="rId143" ref="A9123"/>
    <hyperlink r:id="rId143" ref="A9124"/>
    <hyperlink r:id="rId143" ref="A9125"/>
    <hyperlink r:id="rId143" ref="A9126"/>
    <hyperlink r:id="rId144" ref="A9127"/>
    <hyperlink r:id="rId144" ref="A9128"/>
    <hyperlink r:id="rId144" ref="A9129"/>
    <hyperlink r:id="rId144" ref="A9130"/>
    <hyperlink r:id="rId144" ref="A9131"/>
    <hyperlink r:id="rId144" ref="A9132"/>
    <hyperlink r:id="rId144" ref="A9133"/>
    <hyperlink r:id="rId144" ref="A9134"/>
    <hyperlink r:id="rId144" ref="A9135"/>
    <hyperlink r:id="rId144" ref="A9136"/>
    <hyperlink r:id="rId145" ref="A9137"/>
    <hyperlink r:id="rId145" ref="A9138"/>
    <hyperlink r:id="rId145" ref="A9139"/>
    <hyperlink r:id="rId145" ref="A9140"/>
    <hyperlink r:id="rId145" ref="A9141"/>
    <hyperlink r:id="rId145" ref="A9142"/>
    <hyperlink r:id="rId145" ref="A9143"/>
    <hyperlink r:id="rId145" ref="A9144"/>
    <hyperlink r:id="rId145" ref="A9145"/>
    <hyperlink r:id="rId145" ref="A9146"/>
    <hyperlink r:id="rId145" ref="A9147"/>
    <hyperlink r:id="rId145" ref="A9148"/>
    <hyperlink r:id="rId145" ref="A9149"/>
    <hyperlink r:id="rId145" ref="A9150"/>
    <hyperlink r:id="rId145" ref="A9151"/>
    <hyperlink r:id="rId145" ref="A9152"/>
    <hyperlink r:id="rId145" ref="A9153"/>
    <hyperlink r:id="rId145" ref="A9154"/>
    <hyperlink r:id="rId145" ref="A9155"/>
    <hyperlink r:id="rId145" ref="A9156"/>
    <hyperlink r:id="rId145" ref="A9157"/>
    <hyperlink r:id="rId145" ref="A9158"/>
    <hyperlink r:id="rId145" ref="A9159"/>
    <hyperlink r:id="rId145" ref="A9160"/>
    <hyperlink r:id="rId145" ref="A9161"/>
    <hyperlink r:id="rId145" ref="A9162"/>
    <hyperlink r:id="rId145" ref="A9163"/>
    <hyperlink r:id="rId145" ref="A9164"/>
    <hyperlink r:id="rId145" ref="A9165"/>
    <hyperlink r:id="rId145" ref="A9166"/>
    <hyperlink r:id="rId145" ref="A9167"/>
    <hyperlink r:id="rId145" ref="A9168"/>
    <hyperlink r:id="rId145" ref="A9169"/>
    <hyperlink r:id="rId145" ref="A9170"/>
    <hyperlink r:id="rId145" ref="A9171"/>
    <hyperlink r:id="rId145" ref="A9172"/>
    <hyperlink r:id="rId145" ref="A9173"/>
    <hyperlink r:id="rId145" ref="A9174"/>
    <hyperlink r:id="rId145" ref="A9175"/>
    <hyperlink r:id="rId146" ref="A9176"/>
    <hyperlink r:id="rId146" ref="A9177"/>
    <hyperlink r:id="rId146" ref="A9178"/>
    <hyperlink r:id="rId146" ref="A9179"/>
    <hyperlink r:id="rId146" ref="A9180"/>
    <hyperlink r:id="rId146" ref="A9181"/>
    <hyperlink r:id="rId146" ref="A9182"/>
    <hyperlink r:id="rId146" ref="A9183"/>
    <hyperlink r:id="rId147" ref="A9184"/>
    <hyperlink r:id="rId147" ref="A9185"/>
    <hyperlink r:id="rId147" ref="A9186"/>
    <hyperlink r:id="rId147" ref="A9187"/>
    <hyperlink r:id="rId147" ref="A9188"/>
    <hyperlink r:id="rId147" ref="A9189"/>
    <hyperlink r:id="rId147" ref="A9190"/>
    <hyperlink r:id="rId147" ref="A9191"/>
    <hyperlink r:id="rId147" ref="A9192"/>
    <hyperlink r:id="rId147" ref="A9193"/>
    <hyperlink r:id="rId147" ref="A9194"/>
    <hyperlink r:id="rId147" ref="A9195"/>
    <hyperlink r:id="rId147" ref="A9196"/>
    <hyperlink r:id="rId147" ref="A9197"/>
    <hyperlink r:id="rId147" ref="A9198"/>
    <hyperlink r:id="rId147" ref="A9199"/>
    <hyperlink r:id="rId147" ref="A9200"/>
    <hyperlink r:id="rId147" ref="A9201"/>
    <hyperlink r:id="rId147" ref="A9202"/>
    <hyperlink r:id="rId147" ref="A9203"/>
    <hyperlink r:id="rId147" ref="A9204"/>
    <hyperlink r:id="rId147" ref="A9205"/>
    <hyperlink r:id="rId147" ref="A9206"/>
    <hyperlink r:id="rId147" ref="A9207"/>
    <hyperlink r:id="rId147" ref="A9208"/>
    <hyperlink r:id="rId147" ref="A9209"/>
    <hyperlink r:id="rId147" ref="A9210"/>
    <hyperlink r:id="rId147" ref="A9211"/>
    <hyperlink r:id="rId147" ref="A9212"/>
    <hyperlink r:id="rId147" ref="A9213"/>
    <hyperlink r:id="rId147" ref="A9214"/>
    <hyperlink r:id="rId147" ref="A9215"/>
    <hyperlink r:id="rId147" ref="A9216"/>
    <hyperlink r:id="rId147" ref="A9217"/>
    <hyperlink r:id="rId147" ref="A9218"/>
    <hyperlink r:id="rId147" ref="A9219"/>
    <hyperlink r:id="rId147" ref="A9220"/>
    <hyperlink r:id="rId147" ref="A9221"/>
    <hyperlink r:id="rId147" ref="A9222"/>
    <hyperlink r:id="rId147" ref="A9223"/>
    <hyperlink r:id="rId147" ref="A9224"/>
    <hyperlink r:id="rId147" ref="A9225"/>
    <hyperlink r:id="rId148" ref="A9226"/>
    <hyperlink r:id="rId148" ref="A9227"/>
    <hyperlink r:id="rId148" ref="A9228"/>
    <hyperlink r:id="rId148" ref="A9229"/>
    <hyperlink r:id="rId148" ref="A9230"/>
    <hyperlink r:id="rId148" ref="A9231"/>
    <hyperlink r:id="rId148" ref="A9232"/>
    <hyperlink r:id="rId148" ref="A9233"/>
    <hyperlink r:id="rId148" ref="A9234"/>
    <hyperlink r:id="rId148" ref="A9235"/>
    <hyperlink r:id="rId148" ref="A9236"/>
    <hyperlink r:id="rId148" ref="A9237"/>
    <hyperlink r:id="rId148" ref="A9238"/>
    <hyperlink r:id="rId148" ref="A9239"/>
    <hyperlink r:id="rId148" ref="A9240"/>
    <hyperlink r:id="rId148" ref="A9241"/>
    <hyperlink r:id="rId148" ref="A9242"/>
    <hyperlink r:id="rId148" ref="A9243"/>
    <hyperlink r:id="rId148" ref="A9244"/>
    <hyperlink r:id="rId148" ref="A9245"/>
    <hyperlink r:id="rId148" ref="A9246"/>
    <hyperlink r:id="rId148" ref="A9247"/>
    <hyperlink r:id="rId148" ref="A9248"/>
    <hyperlink r:id="rId148" ref="A9249"/>
    <hyperlink r:id="rId148" ref="A9250"/>
    <hyperlink r:id="rId149" ref="A9251"/>
    <hyperlink r:id="rId149" ref="A9252"/>
    <hyperlink r:id="rId149" ref="A9253"/>
    <hyperlink r:id="rId149" ref="A9254"/>
    <hyperlink r:id="rId149" ref="A9255"/>
    <hyperlink r:id="rId149" ref="A9256"/>
    <hyperlink r:id="rId149" ref="A9257"/>
    <hyperlink r:id="rId149" ref="A9258"/>
    <hyperlink r:id="rId149" ref="A9259"/>
    <hyperlink r:id="rId149" ref="A9260"/>
    <hyperlink r:id="rId149" ref="A9261"/>
    <hyperlink r:id="rId149" ref="A9262"/>
    <hyperlink r:id="rId149" ref="A9263"/>
    <hyperlink r:id="rId149" ref="A9264"/>
    <hyperlink r:id="rId149" ref="A9265"/>
    <hyperlink r:id="rId149" ref="A9266"/>
    <hyperlink r:id="rId149" ref="A9267"/>
    <hyperlink r:id="rId149" ref="A9268"/>
    <hyperlink r:id="rId149" ref="A9269"/>
    <hyperlink r:id="rId149" ref="A9270"/>
    <hyperlink r:id="rId149" ref="A9271"/>
    <hyperlink r:id="rId149" ref="A9272"/>
    <hyperlink r:id="rId149" ref="A9273"/>
    <hyperlink r:id="rId149" ref="A9274"/>
    <hyperlink r:id="rId149" ref="A9275"/>
    <hyperlink r:id="rId149" ref="A9276"/>
    <hyperlink r:id="rId149" ref="A9277"/>
    <hyperlink r:id="rId149" ref="A9278"/>
    <hyperlink r:id="rId149" ref="A9279"/>
    <hyperlink r:id="rId149" ref="A9280"/>
    <hyperlink r:id="rId149" ref="A9281"/>
    <hyperlink r:id="rId149" ref="A9282"/>
    <hyperlink r:id="rId149" ref="A9283"/>
    <hyperlink r:id="rId149" ref="A9284"/>
    <hyperlink r:id="rId149" ref="A9285"/>
    <hyperlink r:id="rId149" ref="A9286"/>
    <hyperlink r:id="rId149" ref="A9287"/>
    <hyperlink r:id="rId149" ref="A9288"/>
    <hyperlink r:id="rId149" ref="A9289"/>
    <hyperlink r:id="rId149" ref="A9290"/>
    <hyperlink r:id="rId149" ref="A9291"/>
    <hyperlink r:id="rId149" ref="A9292"/>
    <hyperlink r:id="rId149" ref="A9293"/>
    <hyperlink r:id="rId149" ref="A9294"/>
    <hyperlink r:id="rId149" ref="A9295"/>
    <hyperlink r:id="rId150" ref="A9296"/>
    <hyperlink r:id="rId150" ref="A9297"/>
    <hyperlink r:id="rId150" ref="A9298"/>
    <hyperlink r:id="rId150" ref="A9299"/>
    <hyperlink r:id="rId150" ref="A9300"/>
    <hyperlink r:id="rId150" ref="A9301"/>
    <hyperlink r:id="rId150" ref="A9302"/>
    <hyperlink r:id="rId150" ref="A9303"/>
    <hyperlink r:id="rId150" ref="A9304"/>
    <hyperlink r:id="rId150" ref="A9305"/>
    <hyperlink r:id="rId150" ref="A9306"/>
    <hyperlink r:id="rId150" ref="A9307"/>
    <hyperlink r:id="rId150" ref="A9308"/>
    <hyperlink r:id="rId150" ref="A9309"/>
    <hyperlink r:id="rId150" ref="A9310"/>
    <hyperlink r:id="rId150" ref="A9311"/>
    <hyperlink r:id="rId150" ref="A9312"/>
    <hyperlink r:id="rId150" ref="A9313"/>
    <hyperlink r:id="rId150" ref="A9314"/>
    <hyperlink r:id="rId150" ref="A9315"/>
    <hyperlink r:id="rId150" ref="A9316"/>
    <hyperlink r:id="rId150" ref="A9317"/>
    <hyperlink r:id="rId150" ref="A9318"/>
    <hyperlink r:id="rId150" ref="A9319"/>
    <hyperlink r:id="rId150" ref="A9320"/>
    <hyperlink r:id="rId150" ref="A9321"/>
    <hyperlink r:id="rId150" ref="A9322"/>
    <hyperlink r:id="rId150" ref="A9323"/>
    <hyperlink r:id="rId150" ref="A9324"/>
    <hyperlink r:id="rId150" ref="A9325"/>
    <hyperlink r:id="rId150" ref="A9326"/>
    <hyperlink r:id="rId150" ref="A9327"/>
    <hyperlink r:id="rId150" ref="A9328"/>
    <hyperlink r:id="rId150" ref="A9329"/>
    <hyperlink r:id="rId150" ref="A9330"/>
    <hyperlink r:id="rId151" ref="A9331"/>
    <hyperlink r:id="rId151" ref="A9332"/>
    <hyperlink r:id="rId151" ref="A9333"/>
    <hyperlink r:id="rId151" ref="A9334"/>
    <hyperlink r:id="rId151" ref="A9335"/>
    <hyperlink r:id="rId152" ref="A9336"/>
    <hyperlink r:id="rId152" ref="A9337"/>
    <hyperlink r:id="rId152" ref="A9338"/>
    <hyperlink r:id="rId152" ref="A9339"/>
    <hyperlink r:id="rId152" ref="A9340"/>
    <hyperlink r:id="rId152" ref="A9341"/>
    <hyperlink r:id="rId152" ref="A9342"/>
    <hyperlink r:id="rId152" ref="A9343"/>
    <hyperlink r:id="rId152" ref="A9344"/>
    <hyperlink r:id="rId152" ref="A9345"/>
    <hyperlink r:id="rId152" ref="A9346"/>
    <hyperlink r:id="rId152" ref="A9347"/>
    <hyperlink r:id="rId152" ref="A9348"/>
    <hyperlink r:id="rId152" ref="A9349"/>
    <hyperlink r:id="rId152" ref="A9350"/>
    <hyperlink r:id="rId152" ref="A9351"/>
    <hyperlink r:id="rId152" ref="A9352"/>
    <hyperlink r:id="rId152" ref="A9353"/>
    <hyperlink r:id="rId152" ref="A9354"/>
    <hyperlink r:id="rId152" ref="A9355"/>
    <hyperlink r:id="rId152" ref="A9356"/>
    <hyperlink r:id="rId152" ref="A9357"/>
    <hyperlink r:id="rId152" ref="A9358"/>
    <hyperlink r:id="rId152" ref="A9359"/>
    <hyperlink r:id="rId152" ref="A9360"/>
    <hyperlink r:id="rId152" ref="A9361"/>
    <hyperlink r:id="rId152" ref="A9362"/>
    <hyperlink r:id="rId152" ref="A9363"/>
    <hyperlink r:id="rId152" ref="A9364"/>
    <hyperlink r:id="rId152" ref="A9365"/>
    <hyperlink r:id="rId152" ref="A9366"/>
    <hyperlink r:id="rId152" ref="A9367"/>
    <hyperlink r:id="rId152" ref="A9368"/>
    <hyperlink r:id="rId152" ref="A9369"/>
    <hyperlink r:id="rId152" ref="A9370"/>
    <hyperlink r:id="rId152" ref="A9371"/>
    <hyperlink r:id="rId152" ref="A9372"/>
    <hyperlink r:id="rId152" ref="A9373"/>
    <hyperlink r:id="rId152" ref="A9374"/>
    <hyperlink r:id="rId152" ref="A9375"/>
    <hyperlink r:id="rId152" ref="A9376"/>
    <hyperlink r:id="rId152" ref="A9377"/>
    <hyperlink r:id="rId152" ref="A9378"/>
    <hyperlink r:id="rId152" ref="A9379"/>
    <hyperlink r:id="rId152" ref="A9380"/>
    <hyperlink r:id="rId152" ref="A9381"/>
    <hyperlink r:id="rId152" ref="A9382"/>
    <hyperlink r:id="rId152" ref="A9383"/>
    <hyperlink r:id="rId152" ref="A9384"/>
    <hyperlink r:id="rId152" ref="A9385"/>
    <hyperlink r:id="rId152" ref="A9386"/>
    <hyperlink r:id="rId153" ref="A9387"/>
    <hyperlink r:id="rId153" ref="A9388"/>
    <hyperlink r:id="rId153" ref="A9389"/>
    <hyperlink r:id="rId153" ref="A9390"/>
    <hyperlink r:id="rId153" ref="A9391"/>
    <hyperlink r:id="rId153" ref="A9392"/>
    <hyperlink r:id="rId154" ref="A9393"/>
    <hyperlink r:id="rId154" ref="A9394"/>
    <hyperlink r:id="rId154" ref="A9395"/>
    <hyperlink r:id="rId154" ref="A9396"/>
    <hyperlink r:id="rId154" ref="A9397"/>
    <hyperlink r:id="rId154" ref="A9398"/>
    <hyperlink r:id="rId154" ref="A9399"/>
    <hyperlink r:id="rId154" ref="A9400"/>
    <hyperlink r:id="rId154" ref="A9401"/>
    <hyperlink r:id="rId154" ref="A9402"/>
    <hyperlink r:id="rId154" ref="A9403"/>
    <hyperlink r:id="rId154" ref="A9404"/>
    <hyperlink r:id="rId155" ref="A9405"/>
    <hyperlink r:id="rId155" ref="A9406"/>
    <hyperlink r:id="rId155" ref="A9407"/>
    <hyperlink r:id="rId155" ref="A9408"/>
    <hyperlink r:id="rId155" ref="A9409"/>
    <hyperlink r:id="rId155" ref="A9410"/>
    <hyperlink r:id="rId155" ref="A9411"/>
    <hyperlink r:id="rId155" ref="A9412"/>
    <hyperlink r:id="rId155" ref="A9413"/>
    <hyperlink r:id="rId155" ref="A9414"/>
    <hyperlink r:id="rId155" ref="A9415"/>
    <hyperlink r:id="rId155" ref="A9416"/>
    <hyperlink r:id="rId155" ref="A9417"/>
    <hyperlink r:id="rId155" ref="A9418"/>
    <hyperlink r:id="rId155" ref="A9419"/>
    <hyperlink r:id="rId155" ref="A9420"/>
    <hyperlink r:id="rId155" ref="A9421"/>
    <hyperlink r:id="rId155" ref="A9422"/>
    <hyperlink r:id="rId155" ref="A9423"/>
    <hyperlink r:id="rId155" ref="A9424"/>
    <hyperlink r:id="rId155" ref="A9425"/>
    <hyperlink r:id="rId155" ref="A9426"/>
    <hyperlink r:id="rId155" ref="A9427"/>
    <hyperlink r:id="rId155" ref="A9428"/>
    <hyperlink r:id="rId155" ref="A9429"/>
    <hyperlink r:id="rId155" ref="A9430"/>
    <hyperlink r:id="rId155" ref="A9431"/>
    <hyperlink r:id="rId155" ref="A9432"/>
    <hyperlink r:id="rId155" ref="A9433"/>
    <hyperlink r:id="rId155" ref="A9434"/>
    <hyperlink r:id="rId155" ref="A9435"/>
    <hyperlink r:id="rId155" ref="A9436"/>
    <hyperlink r:id="rId155" ref="A9437"/>
    <hyperlink r:id="rId155" ref="A9438"/>
    <hyperlink r:id="rId155" ref="A9439"/>
    <hyperlink r:id="rId155" ref="A9440"/>
    <hyperlink r:id="rId155" ref="A9441"/>
    <hyperlink r:id="rId155" ref="A9442"/>
    <hyperlink r:id="rId155" ref="A9443"/>
    <hyperlink r:id="rId155" ref="A9444"/>
    <hyperlink r:id="rId155" ref="A9445"/>
    <hyperlink r:id="rId155" ref="A9446"/>
    <hyperlink r:id="rId155" ref="A9447"/>
    <hyperlink r:id="rId155" ref="A9448"/>
    <hyperlink r:id="rId156" ref="A9449"/>
    <hyperlink r:id="rId156" ref="A9450"/>
    <hyperlink r:id="rId156" ref="A9451"/>
    <hyperlink r:id="rId156" ref="A9452"/>
    <hyperlink r:id="rId156" ref="A9453"/>
    <hyperlink r:id="rId156" ref="A9454"/>
    <hyperlink r:id="rId156" ref="A9455"/>
    <hyperlink r:id="rId156" ref="A9456"/>
    <hyperlink r:id="rId156" ref="A9457"/>
    <hyperlink r:id="rId156" ref="A9458"/>
    <hyperlink r:id="rId156" ref="A9459"/>
    <hyperlink r:id="rId156" ref="A9460"/>
    <hyperlink r:id="rId157" ref="A9461"/>
    <hyperlink r:id="rId157" ref="A9462"/>
    <hyperlink r:id="rId157" ref="A9463"/>
    <hyperlink r:id="rId157" ref="A9464"/>
    <hyperlink r:id="rId157" ref="A9465"/>
    <hyperlink r:id="rId157" ref="A9466"/>
    <hyperlink r:id="rId157" ref="A9467"/>
    <hyperlink r:id="rId157" ref="A9468"/>
    <hyperlink r:id="rId157" ref="A9469"/>
    <hyperlink r:id="rId157" ref="A9470"/>
    <hyperlink r:id="rId157" ref="A9471"/>
    <hyperlink r:id="rId157" ref="A9472"/>
    <hyperlink r:id="rId157" ref="A9473"/>
    <hyperlink r:id="rId157" ref="A9474"/>
    <hyperlink r:id="rId157" ref="A9475"/>
    <hyperlink r:id="rId157" ref="A9476"/>
    <hyperlink r:id="rId157" ref="A9477"/>
    <hyperlink r:id="rId157" ref="A9478"/>
    <hyperlink r:id="rId157" ref="A9479"/>
    <hyperlink r:id="rId157" ref="A9480"/>
    <hyperlink r:id="rId157" ref="A9481"/>
    <hyperlink r:id="rId157" ref="A9482"/>
    <hyperlink r:id="rId157" ref="A9483"/>
    <hyperlink r:id="rId157" ref="A9484"/>
    <hyperlink r:id="rId157" ref="A9485"/>
    <hyperlink r:id="rId157" ref="A9486"/>
    <hyperlink r:id="rId157" ref="A9487"/>
    <hyperlink r:id="rId157" ref="A9488"/>
    <hyperlink r:id="rId157" ref="A9489"/>
    <hyperlink r:id="rId157" ref="A9490"/>
    <hyperlink r:id="rId157" ref="A9491"/>
    <hyperlink r:id="rId157" ref="A9492"/>
    <hyperlink r:id="rId157" ref="A9493"/>
    <hyperlink r:id="rId157" ref="A9494"/>
    <hyperlink r:id="rId157" ref="A9495"/>
    <hyperlink r:id="rId157" ref="A9496"/>
    <hyperlink r:id="rId157" ref="A9497"/>
    <hyperlink r:id="rId157" ref="A9498"/>
    <hyperlink r:id="rId157" ref="A9499"/>
    <hyperlink r:id="rId157" ref="A9500"/>
    <hyperlink r:id="rId157" ref="A9501"/>
    <hyperlink r:id="rId157" ref="A9502"/>
    <hyperlink r:id="rId157" ref="A9503"/>
    <hyperlink r:id="rId157" ref="A9504"/>
    <hyperlink r:id="rId157" ref="A9505"/>
    <hyperlink r:id="rId157" ref="A9506"/>
    <hyperlink r:id="rId157" ref="A9507"/>
    <hyperlink r:id="rId157" ref="A9508"/>
    <hyperlink r:id="rId157" ref="A9509"/>
    <hyperlink r:id="rId157" ref="A9510"/>
    <hyperlink r:id="rId157" ref="A9511"/>
    <hyperlink r:id="rId157" ref="A9512"/>
    <hyperlink r:id="rId157" ref="A9513"/>
    <hyperlink r:id="rId157" ref="A9514"/>
    <hyperlink r:id="rId157" ref="A9515"/>
    <hyperlink r:id="rId157" ref="A9516"/>
    <hyperlink r:id="rId157" ref="A9517"/>
    <hyperlink r:id="rId157" ref="A9518"/>
    <hyperlink r:id="rId157" ref="A9519"/>
    <hyperlink r:id="rId157" ref="A9520"/>
    <hyperlink r:id="rId157" ref="A9521"/>
    <hyperlink r:id="rId157" ref="A9522"/>
    <hyperlink r:id="rId157" ref="A9523"/>
    <hyperlink r:id="rId157" ref="A9524"/>
    <hyperlink r:id="rId157" ref="A9525"/>
    <hyperlink r:id="rId157" ref="A9526"/>
    <hyperlink r:id="rId157" ref="A9527"/>
    <hyperlink r:id="rId157" ref="A9528"/>
    <hyperlink r:id="rId157" ref="A9529"/>
    <hyperlink r:id="rId157" ref="A9530"/>
    <hyperlink r:id="rId157" ref="A9531"/>
    <hyperlink r:id="rId157" ref="A9532"/>
    <hyperlink r:id="rId157" ref="A9533"/>
    <hyperlink r:id="rId157" ref="A9534"/>
    <hyperlink r:id="rId157" ref="A9535"/>
    <hyperlink r:id="rId157" ref="A9536"/>
    <hyperlink r:id="rId157" ref="A9537"/>
    <hyperlink r:id="rId157" ref="A9538"/>
    <hyperlink r:id="rId157" ref="A9539"/>
    <hyperlink r:id="rId157" ref="A9540"/>
    <hyperlink r:id="rId157" ref="A9541"/>
    <hyperlink r:id="rId157" ref="A9542"/>
    <hyperlink r:id="rId157" ref="A9543"/>
    <hyperlink r:id="rId157" ref="A9544"/>
    <hyperlink r:id="rId157" ref="A9545"/>
    <hyperlink r:id="rId157" ref="A9546"/>
    <hyperlink r:id="rId157" ref="A9547"/>
    <hyperlink r:id="rId157" ref="A9548"/>
    <hyperlink r:id="rId157" ref="A9549"/>
    <hyperlink r:id="rId157" ref="A9550"/>
    <hyperlink r:id="rId157" ref="A9551"/>
    <hyperlink r:id="rId157" ref="A9552"/>
    <hyperlink r:id="rId157" ref="A9553"/>
    <hyperlink r:id="rId157" ref="A9554"/>
    <hyperlink r:id="rId157" ref="A9555"/>
    <hyperlink r:id="rId157" ref="A9556"/>
    <hyperlink r:id="rId157" ref="A9557"/>
    <hyperlink r:id="rId157" ref="A9558"/>
    <hyperlink r:id="rId157" ref="A9559"/>
    <hyperlink r:id="rId157" ref="A9560"/>
    <hyperlink r:id="rId158" ref="A9561"/>
    <hyperlink r:id="rId158" ref="A9562"/>
    <hyperlink r:id="rId158" ref="A9563"/>
    <hyperlink r:id="rId158" ref="A9564"/>
    <hyperlink r:id="rId158" ref="A9565"/>
    <hyperlink r:id="rId158" ref="A9566"/>
    <hyperlink r:id="rId158" ref="A9567"/>
    <hyperlink r:id="rId158" ref="A9568"/>
    <hyperlink r:id="rId159" ref="A9569"/>
    <hyperlink r:id="rId159" ref="A9570"/>
    <hyperlink r:id="rId159" ref="A9571"/>
    <hyperlink r:id="rId159" ref="A9572"/>
    <hyperlink r:id="rId159" ref="A9573"/>
    <hyperlink r:id="rId159" ref="A9574"/>
    <hyperlink r:id="rId159" ref="A9575"/>
    <hyperlink r:id="rId159" ref="A9576"/>
    <hyperlink r:id="rId159" ref="A9577"/>
    <hyperlink r:id="rId159" ref="A9578"/>
    <hyperlink r:id="rId159" ref="A9579"/>
    <hyperlink r:id="rId159" ref="A9580"/>
    <hyperlink r:id="rId159" ref="A9581"/>
    <hyperlink r:id="rId159" ref="A9582"/>
    <hyperlink r:id="rId159" ref="A9583"/>
    <hyperlink r:id="rId159" ref="A9584"/>
    <hyperlink r:id="rId159" ref="A9585"/>
    <hyperlink r:id="rId159" ref="A9586"/>
    <hyperlink r:id="rId159" ref="A9587"/>
    <hyperlink r:id="rId159" ref="A9588"/>
    <hyperlink r:id="rId159" ref="A9589"/>
    <hyperlink r:id="rId159" ref="A9590"/>
    <hyperlink r:id="rId159" ref="A9591"/>
    <hyperlink r:id="rId159" ref="A9592"/>
    <hyperlink r:id="rId159" ref="A9593"/>
    <hyperlink r:id="rId159" ref="A9594"/>
    <hyperlink r:id="rId159" ref="A9595"/>
    <hyperlink r:id="rId159" ref="A9596"/>
    <hyperlink r:id="rId159" ref="A9597"/>
    <hyperlink r:id="rId159" ref="A9598"/>
    <hyperlink r:id="rId159" ref="A9599"/>
    <hyperlink r:id="rId159" ref="A9600"/>
    <hyperlink r:id="rId159" ref="A9601"/>
    <hyperlink r:id="rId159" ref="A9602"/>
    <hyperlink r:id="rId159" ref="A9603"/>
    <hyperlink r:id="rId159" ref="A9604"/>
    <hyperlink r:id="rId159" ref="A9605"/>
    <hyperlink r:id="rId159" ref="A9606"/>
    <hyperlink r:id="rId159" ref="A9607"/>
    <hyperlink r:id="rId159" ref="A9608"/>
    <hyperlink r:id="rId159" ref="A9609"/>
    <hyperlink r:id="rId159" ref="A9610"/>
    <hyperlink r:id="rId159" ref="A9611"/>
    <hyperlink r:id="rId159" ref="A9612"/>
    <hyperlink r:id="rId159" ref="A9613"/>
    <hyperlink r:id="rId159" ref="A9614"/>
    <hyperlink r:id="rId159" ref="A9615"/>
    <hyperlink r:id="rId159" ref="A9616"/>
    <hyperlink r:id="rId159" ref="A9617"/>
    <hyperlink r:id="rId159" ref="A9618"/>
    <hyperlink r:id="rId159" ref="A9619"/>
    <hyperlink r:id="rId159" ref="A9620"/>
    <hyperlink r:id="rId159" ref="A9621"/>
    <hyperlink r:id="rId159" ref="A9622"/>
    <hyperlink r:id="rId159" ref="A9623"/>
    <hyperlink r:id="rId159" ref="A9624"/>
    <hyperlink r:id="rId159" ref="A9625"/>
    <hyperlink r:id="rId159" ref="A9626"/>
    <hyperlink r:id="rId159" ref="A9627"/>
    <hyperlink r:id="rId159" ref="A9628"/>
    <hyperlink r:id="rId159" ref="A9629"/>
    <hyperlink r:id="rId159" ref="A9630"/>
    <hyperlink r:id="rId159" ref="A9631"/>
    <hyperlink r:id="rId159" ref="A9632"/>
    <hyperlink r:id="rId159" ref="A9633"/>
    <hyperlink r:id="rId159" ref="A9634"/>
    <hyperlink r:id="rId159" ref="A9635"/>
    <hyperlink r:id="rId159" ref="A9636"/>
    <hyperlink r:id="rId159" ref="A9637"/>
    <hyperlink r:id="rId159" ref="A9638"/>
    <hyperlink r:id="rId159" ref="A9639"/>
    <hyperlink r:id="rId159" ref="A9640"/>
    <hyperlink r:id="rId159" ref="A9641"/>
    <hyperlink r:id="rId159" ref="A9642"/>
    <hyperlink r:id="rId159" ref="A9643"/>
    <hyperlink r:id="rId159" ref="A9644"/>
    <hyperlink r:id="rId159" ref="A9645"/>
    <hyperlink r:id="rId159" ref="A9646"/>
    <hyperlink r:id="rId159" ref="A9647"/>
    <hyperlink r:id="rId159" ref="A9648"/>
    <hyperlink r:id="rId159" ref="A9649"/>
    <hyperlink r:id="rId159" ref="A9650"/>
    <hyperlink r:id="rId159" ref="A9651"/>
    <hyperlink r:id="rId159" ref="A9652"/>
    <hyperlink r:id="rId159" ref="A9653"/>
    <hyperlink r:id="rId159" ref="A9654"/>
    <hyperlink r:id="rId159" ref="A9655"/>
    <hyperlink r:id="rId159" ref="A9656"/>
    <hyperlink r:id="rId159" ref="A9657"/>
    <hyperlink r:id="rId159" ref="A9658"/>
    <hyperlink r:id="rId159" ref="A9659"/>
    <hyperlink r:id="rId159" ref="A9660"/>
    <hyperlink r:id="rId159" ref="A9661"/>
    <hyperlink r:id="rId160" ref="A9662"/>
    <hyperlink r:id="rId160" ref="A9663"/>
    <hyperlink r:id="rId160" ref="A9664"/>
    <hyperlink r:id="rId160" ref="A9665"/>
    <hyperlink r:id="rId160" ref="A9666"/>
    <hyperlink r:id="rId160" ref="A9667"/>
    <hyperlink r:id="rId160" ref="A9668"/>
    <hyperlink r:id="rId160" ref="A9669"/>
    <hyperlink r:id="rId160" ref="A9670"/>
    <hyperlink r:id="rId160" ref="A9671"/>
    <hyperlink r:id="rId160" ref="A9672"/>
    <hyperlink r:id="rId160" ref="A9673"/>
    <hyperlink r:id="rId160" ref="A9674"/>
    <hyperlink r:id="rId160" ref="A9675"/>
    <hyperlink r:id="rId160" ref="A9676"/>
    <hyperlink r:id="rId160" ref="A9677"/>
    <hyperlink r:id="rId160" ref="A9678"/>
    <hyperlink r:id="rId160" ref="A9679"/>
    <hyperlink r:id="rId160" ref="A9680"/>
    <hyperlink r:id="rId160" ref="A9681"/>
    <hyperlink r:id="rId160" ref="A9682"/>
    <hyperlink r:id="rId160" ref="A9683"/>
    <hyperlink r:id="rId160" ref="A9684"/>
    <hyperlink r:id="rId160" ref="A9685"/>
    <hyperlink r:id="rId160" ref="A9686"/>
    <hyperlink r:id="rId160" ref="A9687"/>
    <hyperlink r:id="rId160" ref="A9688"/>
    <hyperlink r:id="rId160" ref="A9689"/>
    <hyperlink r:id="rId160" ref="A9690"/>
    <hyperlink r:id="rId160" ref="A9691"/>
    <hyperlink r:id="rId160" ref="A9692"/>
    <hyperlink r:id="rId160" ref="A9693"/>
    <hyperlink r:id="rId160" ref="A9694"/>
    <hyperlink r:id="rId160" ref="A9695"/>
    <hyperlink r:id="rId160" ref="A9696"/>
    <hyperlink r:id="rId160" ref="A9697"/>
    <hyperlink r:id="rId160" ref="A9698"/>
    <hyperlink r:id="rId160" ref="A9699"/>
    <hyperlink r:id="rId160" ref="A9700"/>
    <hyperlink r:id="rId160" ref="A9701"/>
    <hyperlink r:id="rId160" ref="A9702"/>
    <hyperlink r:id="rId160" ref="A9703"/>
    <hyperlink r:id="rId160" ref="A9704"/>
    <hyperlink r:id="rId160" ref="A9705"/>
    <hyperlink r:id="rId160" ref="A9706"/>
    <hyperlink r:id="rId160" ref="A9707"/>
    <hyperlink r:id="rId160" ref="A9708"/>
    <hyperlink r:id="rId160" ref="A9709"/>
    <hyperlink r:id="rId160" ref="A9710"/>
    <hyperlink r:id="rId160" ref="A9711"/>
    <hyperlink r:id="rId160" ref="A9712"/>
    <hyperlink r:id="rId160" ref="A9713"/>
    <hyperlink r:id="rId160" ref="A9714"/>
    <hyperlink r:id="rId160" ref="A9715"/>
    <hyperlink r:id="rId160" ref="A9716"/>
    <hyperlink r:id="rId160" ref="A9717"/>
    <hyperlink r:id="rId160" ref="A9718"/>
    <hyperlink r:id="rId160" ref="A9719"/>
    <hyperlink r:id="rId160" ref="A9720"/>
    <hyperlink r:id="rId160" ref="A9721"/>
    <hyperlink r:id="rId160" ref="A9722"/>
    <hyperlink r:id="rId160" ref="A9723"/>
    <hyperlink r:id="rId160" ref="A9724"/>
    <hyperlink r:id="rId160" ref="A9725"/>
    <hyperlink r:id="rId160" ref="A9726"/>
    <hyperlink r:id="rId160" ref="A9727"/>
    <hyperlink r:id="rId160" ref="A9728"/>
    <hyperlink r:id="rId160" ref="A9729"/>
    <hyperlink r:id="rId160" ref="A9730"/>
    <hyperlink r:id="rId160" ref="A9731"/>
    <hyperlink r:id="rId160" ref="A9732"/>
    <hyperlink r:id="rId160" ref="A9733"/>
    <hyperlink r:id="rId160" ref="A9734"/>
    <hyperlink r:id="rId160" ref="A9735"/>
    <hyperlink r:id="rId160" ref="A9736"/>
    <hyperlink r:id="rId160" ref="A9737"/>
    <hyperlink r:id="rId160" ref="A9738"/>
    <hyperlink r:id="rId160" ref="A9739"/>
    <hyperlink r:id="rId160" ref="A9740"/>
    <hyperlink r:id="rId160" ref="A9741"/>
    <hyperlink r:id="rId160" ref="A9742"/>
    <hyperlink r:id="rId160" ref="A9743"/>
    <hyperlink r:id="rId160" ref="A9744"/>
    <hyperlink r:id="rId160" ref="A9745"/>
    <hyperlink r:id="rId160" ref="A9746"/>
    <hyperlink r:id="rId160" ref="A9747"/>
    <hyperlink r:id="rId160" ref="A9748"/>
    <hyperlink r:id="rId160" ref="A9749"/>
    <hyperlink r:id="rId160" ref="A9750"/>
    <hyperlink r:id="rId160" ref="A9751"/>
    <hyperlink r:id="rId160" ref="A9752"/>
    <hyperlink r:id="rId160" ref="A9753"/>
    <hyperlink r:id="rId160" ref="A9754"/>
    <hyperlink r:id="rId160" ref="A9755"/>
    <hyperlink r:id="rId160" ref="A9756"/>
    <hyperlink r:id="rId160" ref="A9757"/>
    <hyperlink r:id="rId160" ref="A9758"/>
    <hyperlink r:id="rId160" ref="A9759"/>
    <hyperlink r:id="rId160" ref="A9760"/>
    <hyperlink r:id="rId160" ref="A9761"/>
    <hyperlink r:id="rId160" ref="A9762"/>
    <hyperlink r:id="rId160" ref="A9763"/>
    <hyperlink r:id="rId160" ref="A9764"/>
    <hyperlink r:id="rId160" ref="A9765"/>
    <hyperlink r:id="rId160" ref="A9766"/>
    <hyperlink r:id="rId160" ref="A9767"/>
    <hyperlink r:id="rId160" ref="A9768"/>
    <hyperlink r:id="rId160" ref="A9769"/>
    <hyperlink r:id="rId160" ref="A9770"/>
    <hyperlink r:id="rId160" ref="A9771"/>
    <hyperlink r:id="rId160" ref="A9772"/>
    <hyperlink r:id="rId160" ref="A9773"/>
    <hyperlink r:id="rId160" ref="A9774"/>
    <hyperlink r:id="rId160" ref="A9775"/>
    <hyperlink r:id="rId160" ref="A9776"/>
    <hyperlink r:id="rId160" ref="A9777"/>
    <hyperlink r:id="rId160" ref="A9778"/>
    <hyperlink r:id="rId160" ref="A9779"/>
    <hyperlink r:id="rId160" ref="A9780"/>
    <hyperlink r:id="rId160" ref="A9781"/>
    <hyperlink r:id="rId160" ref="A9782"/>
    <hyperlink r:id="rId160" ref="A9783"/>
    <hyperlink r:id="rId160" ref="A9784"/>
    <hyperlink r:id="rId160" ref="A9785"/>
    <hyperlink r:id="rId160" ref="A9786"/>
    <hyperlink r:id="rId160" ref="A9787"/>
    <hyperlink r:id="rId160" ref="A9788"/>
    <hyperlink r:id="rId160" ref="A9789"/>
    <hyperlink r:id="rId160" ref="A9790"/>
    <hyperlink r:id="rId160" ref="A9791"/>
    <hyperlink r:id="rId160" ref="A9792"/>
    <hyperlink r:id="rId160" ref="A9793"/>
    <hyperlink r:id="rId160" ref="A9794"/>
    <hyperlink r:id="rId160" ref="A9795"/>
    <hyperlink r:id="rId160" ref="A9796"/>
    <hyperlink r:id="rId160" ref="A9797"/>
    <hyperlink r:id="rId160" ref="A9798"/>
    <hyperlink r:id="rId160" ref="A9799"/>
    <hyperlink r:id="rId160" ref="A9800"/>
    <hyperlink r:id="rId160" ref="A9801"/>
    <hyperlink r:id="rId160" ref="A9802"/>
    <hyperlink r:id="rId160" ref="A9803"/>
    <hyperlink r:id="rId160" ref="A9804"/>
    <hyperlink r:id="rId160" ref="A9805"/>
    <hyperlink r:id="rId160" ref="A9806"/>
    <hyperlink r:id="rId160" ref="A9807"/>
    <hyperlink r:id="rId160" ref="A9808"/>
    <hyperlink r:id="rId160" ref="A9809"/>
    <hyperlink r:id="rId160" ref="A9810"/>
    <hyperlink r:id="rId160" ref="A9811"/>
    <hyperlink r:id="rId160" ref="A9812"/>
    <hyperlink r:id="rId160" ref="A9813"/>
    <hyperlink r:id="rId160" ref="A9814"/>
    <hyperlink r:id="rId160" ref="A9815"/>
    <hyperlink r:id="rId160" ref="A9816"/>
    <hyperlink r:id="rId160" ref="A9817"/>
    <hyperlink r:id="rId160" ref="A9818"/>
    <hyperlink r:id="rId160" ref="A9819"/>
    <hyperlink r:id="rId160" ref="A9820"/>
    <hyperlink r:id="rId160" ref="A9821"/>
    <hyperlink r:id="rId160" ref="A9822"/>
    <hyperlink r:id="rId160" ref="A9823"/>
    <hyperlink r:id="rId160" ref="A9824"/>
    <hyperlink r:id="rId160" ref="A9825"/>
    <hyperlink r:id="rId160" ref="A9826"/>
    <hyperlink r:id="rId160" ref="A9827"/>
    <hyperlink r:id="rId160" ref="A9828"/>
    <hyperlink r:id="rId160" ref="A9829"/>
    <hyperlink r:id="rId160" ref="A9830"/>
    <hyperlink r:id="rId160" ref="A9831"/>
    <hyperlink r:id="rId160" ref="A9832"/>
    <hyperlink r:id="rId160" ref="A9833"/>
    <hyperlink r:id="rId160" ref="A9834"/>
    <hyperlink r:id="rId160" ref="A9835"/>
    <hyperlink r:id="rId160" ref="A9836"/>
    <hyperlink r:id="rId160" ref="A9837"/>
    <hyperlink r:id="rId160" ref="A9838"/>
    <hyperlink r:id="rId160" ref="A9839"/>
    <hyperlink r:id="rId160" ref="A9840"/>
    <hyperlink r:id="rId160" ref="A9841"/>
    <hyperlink r:id="rId160" ref="A9842"/>
    <hyperlink r:id="rId160" ref="A9843"/>
    <hyperlink r:id="rId160" ref="A9844"/>
    <hyperlink r:id="rId160" ref="A9845"/>
    <hyperlink r:id="rId160" ref="A9846"/>
    <hyperlink r:id="rId160" ref="A9847"/>
    <hyperlink r:id="rId160" ref="A9848"/>
    <hyperlink r:id="rId160" ref="A9849"/>
    <hyperlink r:id="rId160" ref="A9850"/>
    <hyperlink r:id="rId160" ref="A9851"/>
    <hyperlink r:id="rId160" ref="A9852"/>
    <hyperlink r:id="rId160" ref="A9853"/>
    <hyperlink r:id="rId160" ref="A9854"/>
    <hyperlink r:id="rId160" ref="A9855"/>
    <hyperlink r:id="rId160" ref="A9856"/>
    <hyperlink r:id="rId160" ref="A9857"/>
    <hyperlink r:id="rId160" ref="A9858"/>
    <hyperlink r:id="rId160" ref="A9859"/>
    <hyperlink r:id="rId160" ref="A9860"/>
    <hyperlink r:id="rId160" ref="A9861"/>
    <hyperlink r:id="rId160" ref="A9862"/>
    <hyperlink r:id="rId160" ref="A9863"/>
    <hyperlink r:id="rId160" ref="A9864"/>
    <hyperlink r:id="rId160" ref="A9865"/>
    <hyperlink r:id="rId160" ref="A9866"/>
    <hyperlink r:id="rId160" ref="A9867"/>
    <hyperlink r:id="rId160" ref="A9868"/>
    <hyperlink r:id="rId160" ref="A9869"/>
    <hyperlink r:id="rId160" ref="A9870"/>
    <hyperlink r:id="rId160" ref="A9871"/>
    <hyperlink r:id="rId160" ref="A9872"/>
    <hyperlink r:id="rId160" ref="A9873"/>
    <hyperlink r:id="rId160" ref="A9874"/>
    <hyperlink r:id="rId160" ref="A9875"/>
    <hyperlink r:id="rId160" ref="A9876"/>
    <hyperlink r:id="rId160" ref="A9877"/>
    <hyperlink r:id="rId160" ref="A9878"/>
    <hyperlink r:id="rId160" ref="A9879"/>
    <hyperlink r:id="rId160" ref="A9880"/>
    <hyperlink r:id="rId160" ref="A9881"/>
    <hyperlink r:id="rId160" ref="A9882"/>
    <hyperlink r:id="rId160" ref="A9883"/>
    <hyperlink r:id="rId161" ref="A9884"/>
    <hyperlink r:id="rId161" ref="A9885"/>
    <hyperlink r:id="rId161" ref="A9886"/>
    <hyperlink r:id="rId161" ref="A9887"/>
    <hyperlink r:id="rId161" ref="A9888"/>
    <hyperlink r:id="rId161" ref="A9889"/>
    <hyperlink r:id="rId161" ref="A9890"/>
    <hyperlink r:id="rId161" ref="A9891"/>
    <hyperlink r:id="rId161" ref="A9892"/>
    <hyperlink r:id="rId161" ref="A9893"/>
    <hyperlink r:id="rId161" ref="A9894"/>
    <hyperlink r:id="rId161" ref="A9895"/>
    <hyperlink r:id="rId161" ref="A9896"/>
    <hyperlink r:id="rId161" ref="A9897"/>
    <hyperlink r:id="rId161" ref="A9898"/>
    <hyperlink r:id="rId161" ref="A9899"/>
    <hyperlink r:id="rId161" ref="A9900"/>
    <hyperlink r:id="rId161" ref="A9901"/>
    <hyperlink r:id="rId161" ref="A9902"/>
    <hyperlink r:id="rId161" ref="A9903"/>
    <hyperlink r:id="rId161" ref="A9904"/>
    <hyperlink r:id="rId161" ref="A9905"/>
    <hyperlink r:id="rId162" ref="A9906"/>
    <hyperlink r:id="rId162" ref="A9907"/>
    <hyperlink r:id="rId162" ref="A9908"/>
    <hyperlink r:id="rId162" ref="A9909"/>
    <hyperlink r:id="rId162" ref="A9910"/>
    <hyperlink r:id="rId162" ref="A9911"/>
    <hyperlink r:id="rId162" ref="A9912"/>
    <hyperlink r:id="rId162" ref="A9913"/>
    <hyperlink r:id="rId162" ref="A9914"/>
    <hyperlink r:id="rId162" ref="A9915"/>
    <hyperlink r:id="rId162" ref="A9916"/>
    <hyperlink r:id="rId162" ref="A9917"/>
    <hyperlink r:id="rId162" ref="A9918"/>
    <hyperlink r:id="rId162" ref="A9919"/>
    <hyperlink r:id="rId162" ref="A9920"/>
    <hyperlink r:id="rId162" ref="A9921"/>
    <hyperlink r:id="rId162" ref="A9922"/>
    <hyperlink r:id="rId162" ref="A9923"/>
    <hyperlink r:id="rId162" ref="A9924"/>
    <hyperlink r:id="rId162" ref="A9925"/>
    <hyperlink r:id="rId162" ref="A9926"/>
    <hyperlink r:id="rId162" ref="A9927"/>
    <hyperlink r:id="rId162" ref="A9928"/>
    <hyperlink r:id="rId162" ref="A9929"/>
    <hyperlink r:id="rId162" ref="A9930"/>
    <hyperlink r:id="rId162" ref="A9931"/>
    <hyperlink r:id="rId162" ref="A9932"/>
    <hyperlink r:id="rId162" ref="A9933"/>
    <hyperlink r:id="rId162" ref="A9934"/>
    <hyperlink r:id="rId162" ref="A9935"/>
    <hyperlink r:id="rId162" ref="A9936"/>
    <hyperlink r:id="rId162" ref="A9937"/>
    <hyperlink r:id="rId162" ref="A9938"/>
    <hyperlink r:id="rId162" ref="A9939"/>
    <hyperlink r:id="rId162" ref="A9940"/>
    <hyperlink r:id="rId162" ref="A9941"/>
    <hyperlink r:id="rId162" ref="A9942"/>
    <hyperlink r:id="rId162" ref="A9943"/>
    <hyperlink r:id="rId162" ref="A9944"/>
    <hyperlink r:id="rId162" ref="A9945"/>
    <hyperlink r:id="rId162" ref="A9946"/>
    <hyperlink r:id="rId162" ref="A9947"/>
    <hyperlink r:id="rId162" ref="A9948"/>
    <hyperlink r:id="rId162" ref="A9949"/>
    <hyperlink r:id="rId162" ref="A9950"/>
    <hyperlink r:id="rId162" ref="A9951"/>
    <hyperlink r:id="rId162" ref="A9952"/>
    <hyperlink r:id="rId162" ref="A9953"/>
    <hyperlink r:id="rId162" ref="A9954"/>
    <hyperlink r:id="rId162" ref="A9955"/>
    <hyperlink r:id="rId162" ref="A9956"/>
    <hyperlink r:id="rId162" ref="A9957"/>
    <hyperlink r:id="rId162" ref="A9958"/>
    <hyperlink r:id="rId162" ref="A9959"/>
    <hyperlink r:id="rId162" ref="A9960"/>
    <hyperlink r:id="rId162" ref="A9961"/>
    <hyperlink r:id="rId162" ref="A9962"/>
    <hyperlink r:id="rId162" ref="A9963"/>
    <hyperlink r:id="rId162" ref="A9964"/>
    <hyperlink r:id="rId162" ref="A9965"/>
    <hyperlink r:id="rId162" ref="A9966"/>
    <hyperlink r:id="rId162" ref="A9967"/>
    <hyperlink r:id="rId162" ref="A9968"/>
    <hyperlink r:id="rId162" ref="A9969"/>
    <hyperlink r:id="rId163" ref="A9970"/>
    <hyperlink r:id="rId163" ref="A9971"/>
    <hyperlink r:id="rId163" ref="A9972"/>
    <hyperlink r:id="rId163" ref="A9973"/>
    <hyperlink r:id="rId163" ref="A9974"/>
    <hyperlink r:id="rId163" ref="A9975"/>
    <hyperlink r:id="rId163" ref="A9976"/>
    <hyperlink r:id="rId163" ref="A9977"/>
    <hyperlink r:id="rId163" ref="A9978"/>
    <hyperlink r:id="rId163" ref="A9979"/>
    <hyperlink r:id="rId163" ref="A9980"/>
    <hyperlink r:id="rId163" ref="A9981"/>
    <hyperlink r:id="rId163" ref="A9982"/>
    <hyperlink r:id="rId163" ref="A9983"/>
    <hyperlink r:id="rId163" ref="A9984"/>
    <hyperlink r:id="rId163" ref="A9985"/>
    <hyperlink r:id="rId163" ref="A9986"/>
    <hyperlink r:id="rId163" ref="A9987"/>
    <hyperlink r:id="rId164" ref="A9988"/>
    <hyperlink r:id="rId164" ref="A9989"/>
    <hyperlink r:id="rId164" ref="A9990"/>
    <hyperlink r:id="rId164" ref="A9991"/>
    <hyperlink r:id="rId164" ref="A9992"/>
    <hyperlink r:id="rId164" ref="A9993"/>
    <hyperlink r:id="rId164" ref="A9994"/>
    <hyperlink r:id="rId164" ref="A9995"/>
    <hyperlink r:id="rId164" ref="A9996"/>
    <hyperlink r:id="rId164" ref="A9997"/>
    <hyperlink r:id="rId164" ref="A9998"/>
    <hyperlink r:id="rId164" ref="A9999"/>
    <hyperlink r:id="rId164" ref="A10000"/>
    <hyperlink r:id="rId164" ref="A10001"/>
    <hyperlink r:id="rId164" ref="A10002"/>
    <hyperlink r:id="rId164" ref="A10003"/>
    <hyperlink r:id="rId164" ref="A10004"/>
    <hyperlink r:id="rId164" ref="A10005"/>
    <hyperlink r:id="rId164" ref="A10006"/>
    <hyperlink r:id="rId164" ref="A10007"/>
    <hyperlink r:id="rId164" ref="A10008"/>
    <hyperlink r:id="rId164" ref="A10009"/>
    <hyperlink r:id="rId164" ref="A10010"/>
    <hyperlink r:id="rId164" ref="A10011"/>
    <hyperlink r:id="rId164" ref="A10012"/>
    <hyperlink r:id="rId164" ref="A10013"/>
    <hyperlink r:id="rId164" ref="A10014"/>
    <hyperlink r:id="rId164" ref="A10015"/>
    <hyperlink r:id="rId164" ref="A10016"/>
    <hyperlink r:id="rId164" ref="A10017"/>
    <hyperlink r:id="rId164" ref="A10018"/>
    <hyperlink r:id="rId164" ref="A10019"/>
    <hyperlink r:id="rId164" ref="A10020"/>
    <hyperlink r:id="rId164" ref="A10021"/>
    <hyperlink r:id="rId164" ref="A10022"/>
    <hyperlink r:id="rId164" ref="A10023"/>
    <hyperlink r:id="rId164" ref="A10024"/>
    <hyperlink r:id="rId164" ref="A10025"/>
    <hyperlink r:id="rId165" ref="A10026"/>
    <hyperlink r:id="rId165" ref="A10027"/>
    <hyperlink r:id="rId165" ref="A10028"/>
    <hyperlink r:id="rId165" ref="A10029"/>
    <hyperlink r:id="rId165" ref="A10030"/>
    <hyperlink r:id="rId165" ref="A10031"/>
    <hyperlink r:id="rId165" ref="A10032"/>
    <hyperlink r:id="rId165" ref="A10033"/>
    <hyperlink r:id="rId165" ref="A10034"/>
    <hyperlink r:id="rId165" ref="A10035"/>
    <hyperlink r:id="rId165" ref="A10036"/>
    <hyperlink r:id="rId165" ref="A10037"/>
    <hyperlink r:id="rId165" ref="A10038"/>
    <hyperlink r:id="rId165" ref="A10039"/>
    <hyperlink r:id="rId165" ref="A10040"/>
    <hyperlink r:id="rId165" ref="A10041"/>
    <hyperlink r:id="rId165" ref="A10042"/>
    <hyperlink r:id="rId165" ref="A10043"/>
    <hyperlink r:id="rId165" ref="A10044"/>
    <hyperlink r:id="rId165" ref="A10045"/>
    <hyperlink r:id="rId165" ref="A10046"/>
    <hyperlink r:id="rId165" ref="A10047"/>
    <hyperlink r:id="rId165" ref="A10048"/>
    <hyperlink r:id="rId165" ref="A10049"/>
    <hyperlink r:id="rId165" ref="A10050"/>
    <hyperlink r:id="rId165" ref="A10051"/>
    <hyperlink r:id="rId166" ref="A10052"/>
    <hyperlink r:id="rId166" ref="A10053"/>
    <hyperlink r:id="rId166" ref="A10054"/>
    <hyperlink r:id="rId166" ref="A10055"/>
    <hyperlink r:id="rId166" ref="A10056"/>
    <hyperlink r:id="rId166" ref="A10057"/>
    <hyperlink r:id="rId166" ref="A10058"/>
    <hyperlink r:id="rId166" ref="A10059"/>
    <hyperlink r:id="rId166" ref="A10060"/>
    <hyperlink r:id="rId166" ref="A10061"/>
    <hyperlink r:id="rId166" ref="A10062"/>
    <hyperlink r:id="rId166" ref="A10063"/>
    <hyperlink r:id="rId166" ref="A10064"/>
    <hyperlink r:id="rId166" ref="A10065"/>
    <hyperlink r:id="rId166" ref="A10066"/>
    <hyperlink r:id="rId166" ref="A10067"/>
    <hyperlink r:id="rId166" ref="A10068"/>
    <hyperlink r:id="rId166" ref="A10069"/>
    <hyperlink r:id="rId166" ref="A10070"/>
    <hyperlink r:id="rId166" ref="A10071"/>
    <hyperlink r:id="rId166" ref="A10072"/>
    <hyperlink r:id="rId166" ref="A10073"/>
    <hyperlink r:id="rId166" ref="A10074"/>
    <hyperlink r:id="rId166" ref="A10075"/>
    <hyperlink r:id="rId166" ref="A10076"/>
    <hyperlink r:id="rId166" ref="A10077"/>
    <hyperlink r:id="rId166" ref="A10078"/>
    <hyperlink r:id="rId166" ref="A10079"/>
    <hyperlink r:id="rId166" ref="A10080"/>
    <hyperlink r:id="rId166" ref="A10081"/>
    <hyperlink r:id="rId167" ref="A10082"/>
    <hyperlink r:id="rId167" ref="A10083"/>
    <hyperlink r:id="rId167" ref="A10084"/>
    <hyperlink r:id="rId167" ref="A10085"/>
    <hyperlink r:id="rId167" ref="A10086"/>
    <hyperlink r:id="rId167" ref="A10087"/>
    <hyperlink r:id="rId167" ref="A10088"/>
    <hyperlink r:id="rId167" ref="A10089"/>
    <hyperlink r:id="rId167" ref="A10090"/>
    <hyperlink r:id="rId167" ref="A10091"/>
    <hyperlink r:id="rId167" ref="A10092"/>
    <hyperlink r:id="rId167" ref="A10093"/>
    <hyperlink r:id="rId167" ref="A10094"/>
    <hyperlink r:id="rId167" ref="A10095"/>
    <hyperlink r:id="rId167" ref="A10096"/>
    <hyperlink r:id="rId167" ref="A10097"/>
    <hyperlink r:id="rId167" ref="A10098"/>
    <hyperlink r:id="rId167" ref="A10099"/>
    <hyperlink r:id="rId167" ref="A10100"/>
    <hyperlink r:id="rId167" ref="A10101"/>
    <hyperlink r:id="rId167" ref="A10102"/>
    <hyperlink r:id="rId167" ref="A10103"/>
    <hyperlink r:id="rId167" ref="A10104"/>
    <hyperlink r:id="rId167" ref="A10105"/>
    <hyperlink r:id="rId167" ref="A10106"/>
    <hyperlink r:id="rId167" ref="A10107"/>
    <hyperlink r:id="rId167" ref="A10108"/>
    <hyperlink r:id="rId167" ref="A10109"/>
    <hyperlink r:id="rId167" ref="A10110"/>
    <hyperlink r:id="rId167" ref="A10111"/>
    <hyperlink r:id="rId167" ref="A10112"/>
    <hyperlink r:id="rId167" ref="A10113"/>
    <hyperlink r:id="rId167" ref="A10114"/>
    <hyperlink r:id="rId167" ref="A10115"/>
    <hyperlink r:id="rId167" ref="A10116"/>
    <hyperlink r:id="rId167" ref="A10117"/>
    <hyperlink r:id="rId167" ref="A10118"/>
    <hyperlink r:id="rId167" ref="A10119"/>
    <hyperlink r:id="rId167" ref="A10120"/>
    <hyperlink r:id="rId167" ref="A10121"/>
    <hyperlink r:id="rId167" ref="A10122"/>
    <hyperlink r:id="rId167" ref="A10123"/>
    <hyperlink r:id="rId167" ref="A10124"/>
    <hyperlink r:id="rId167" ref="A10125"/>
    <hyperlink r:id="rId167" ref="A10126"/>
    <hyperlink r:id="rId167" ref="A10127"/>
    <hyperlink r:id="rId167" ref="A10128"/>
    <hyperlink r:id="rId167" ref="A10129"/>
    <hyperlink r:id="rId167" ref="A10130"/>
    <hyperlink r:id="rId167" ref="A10131"/>
    <hyperlink r:id="rId167" ref="A10132"/>
    <hyperlink r:id="rId167" ref="A10133"/>
    <hyperlink r:id="rId167" ref="A10134"/>
    <hyperlink r:id="rId167" ref="A10135"/>
    <hyperlink r:id="rId168" ref="A10136"/>
    <hyperlink r:id="rId168" ref="A10137"/>
    <hyperlink r:id="rId168" ref="A10138"/>
    <hyperlink r:id="rId168" ref="A10139"/>
    <hyperlink r:id="rId168" ref="A10140"/>
    <hyperlink r:id="rId168" ref="A10141"/>
    <hyperlink r:id="rId168" ref="A10142"/>
    <hyperlink r:id="rId168" ref="A10143"/>
    <hyperlink r:id="rId168" ref="A10144"/>
    <hyperlink r:id="rId168" ref="A10145"/>
    <hyperlink r:id="rId168" ref="A10146"/>
    <hyperlink r:id="rId168" ref="A10147"/>
    <hyperlink r:id="rId168" ref="A10148"/>
    <hyperlink r:id="rId168" ref="A10149"/>
    <hyperlink r:id="rId168" ref="A10150"/>
    <hyperlink r:id="rId168" ref="A10151"/>
    <hyperlink r:id="rId168" ref="A10152"/>
    <hyperlink r:id="rId168" ref="A10153"/>
    <hyperlink r:id="rId168" ref="A10154"/>
    <hyperlink r:id="rId168" ref="A10155"/>
    <hyperlink r:id="rId168" ref="A10156"/>
    <hyperlink r:id="rId168" ref="A10157"/>
    <hyperlink r:id="rId168" ref="A10158"/>
    <hyperlink r:id="rId168" ref="A10159"/>
    <hyperlink r:id="rId168" ref="A10160"/>
    <hyperlink r:id="rId168" ref="A10161"/>
    <hyperlink r:id="rId168" ref="A10162"/>
    <hyperlink r:id="rId168" ref="A10163"/>
    <hyperlink r:id="rId168" ref="A10164"/>
    <hyperlink r:id="rId168" ref="A10165"/>
    <hyperlink r:id="rId168" ref="A10166"/>
    <hyperlink r:id="rId168" ref="A10167"/>
    <hyperlink r:id="rId168" ref="A10168"/>
    <hyperlink r:id="rId168" ref="A10169"/>
    <hyperlink r:id="rId168" ref="A10170"/>
    <hyperlink r:id="rId168" ref="A10171"/>
    <hyperlink r:id="rId168" ref="A10172"/>
    <hyperlink r:id="rId168" ref="A10173"/>
    <hyperlink r:id="rId168" ref="A10174"/>
    <hyperlink r:id="rId168" ref="A10175"/>
    <hyperlink r:id="rId168" ref="A10176"/>
    <hyperlink r:id="rId168" ref="A10177"/>
    <hyperlink r:id="rId168" ref="A10178"/>
    <hyperlink r:id="rId168" ref="A10179"/>
    <hyperlink r:id="rId168" ref="A10180"/>
    <hyperlink r:id="rId168" ref="A10181"/>
    <hyperlink r:id="rId168" ref="A10182"/>
    <hyperlink r:id="rId168" ref="A10183"/>
    <hyperlink r:id="rId168" ref="A10184"/>
    <hyperlink r:id="rId168" ref="A10185"/>
    <hyperlink r:id="rId168" ref="A10186"/>
    <hyperlink r:id="rId168" ref="A10187"/>
    <hyperlink r:id="rId168" ref="A10188"/>
    <hyperlink r:id="rId168" ref="A10189"/>
    <hyperlink r:id="rId168" ref="A10190"/>
    <hyperlink r:id="rId168" ref="A10191"/>
    <hyperlink r:id="rId168" ref="A10192"/>
    <hyperlink r:id="rId168" ref="A10193"/>
    <hyperlink r:id="rId168" ref="A10194"/>
    <hyperlink r:id="rId168" ref="A10195"/>
    <hyperlink r:id="rId168" ref="A10196"/>
    <hyperlink r:id="rId168" ref="A10197"/>
    <hyperlink r:id="rId168" ref="A10198"/>
    <hyperlink r:id="rId168" ref="A10199"/>
    <hyperlink r:id="rId168" ref="A10200"/>
    <hyperlink r:id="rId168" ref="A10201"/>
    <hyperlink r:id="rId168" ref="A10202"/>
    <hyperlink r:id="rId168" ref="A10203"/>
    <hyperlink r:id="rId168" ref="A10204"/>
    <hyperlink r:id="rId168" ref="A10205"/>
    <hyperlink r:id="rId168" ref="A10206"/>
    <hyperlink r:id="rId168" ref="A10207"/>
    <hyperlink r:id="rId168" ref="A10208"/>
    <hyperlink r:id="rId168" ref="A10209"/>
    <hyperlink r:id="rId168" ref="A10210"/>
    <hyperlink r:id="rId168" ref="A10211"/>
    <hyperlink r:id="rId168" ref="A10212"/>
    <hyperlink r:id="rId168" ref="A10213"/>
    <hyperlink r:id="rId168" ref="A10214"/>
    <hyperlink r:id="rId168" ref="A10215"/>
    <hyperlink r:id="rId168" ref="A10216"/>
    <hyperlink r:id="rId168" ref="A10217"/>
    <hyperlink r:id="rId168" ref="A10218"/>
    <hyperlink r:id="rId168" ref="A10219"/>
    <hyperlink r:id="rId168" ref="A10220"/>
    <hyperlink r:id="rId168" ref="A10221"/>
    <hyperlink r:id="rId168" ref="A10222"/>
    <hyperlink r:id="rId168" ref="A10223"/>
    <hyperlink r:id="rId168" ref="A10224"/>
    <hyperlink r:id="rId168" ref="A10225"/>
    <hyperlink r:id="rId168" ref="A10226"/>
    <hyperlink r:id="rId168" ref="A10227"/>
    <hyperlink r:id="rId168" ref="A10228"/>
    <hyperlink r:id="rId168" ref="A10229"/>
    <hyperlink r:id="rId168" ref="A10230"/>
    <hyperlink r:id="rId168" ref="A10231"/>
    <hyperlink r:id="rId168" ref="A10232"/>
    <hyperlink r:id="rId168" ref="A10233"/>
    <hyperlink r:id="rId168" ref="A10234"/>
    <hyperlink r:id="rId169" ref="A10235"/>
    <hyperlink r:id="rId169" ref="A10236"/>
    <hyperlink r:id="rId169" ref="A10237"/>
    <hyperlink r:id="rId169" ref="A10238"/>
    <hyperlink r:id="rId169" ref="A10239"/>
    <hyperlink r:id="rId169" ref="A10240"/>
    <hyperlink r:id="rId169" ref="A10241"/>
    <hyperlink r:id="rId169" ref="A10242"/>
    <hyperlink r:id="rId169" ref="A10243"/>
    <hyperlink r:id="rId169" ref="A10244"/>
    <hyperlink r:id="rId169" ref="A10245"/>
    <hyperlink r:id="rId169" ref="A10246"/>
    <hyperlink r:id="rId169" ref="A10247"/>
    <hyperlink r:id="rId169" ref="A10248"/>
    <hyperlink r:id="rId169" ref="A10249"/>
    <hyperlink r:id="rId169" ref="A10250"/>
    <hyperlink r:id="rId169" ref="A10251"/>
    <hyperlink r:id="rId169" ref="A10252"/>
    <hyperlink r:id="rId169" ref="A10253"/>
    <hyperlink r:id="rId169" ref="A10254"/>
    <hyperlink r:id="rId169" ref="A10255"/>
    <hyperlink r:id="rId169" ref="A10256"/>
    <hyperlink r:id="rId169" ref="A10257"/>
    <hyperlink r:id="rId169" ref="A10258"/>
    <hyperlink r:id="rId169" ref="A10259"/>
    <hyperlink r:id="rId169" ref="A10260"/>
    <hyperlink r:id="rId169" ref="A10261"/>
    <hyperlink r:id="rId169" ref="A10262"/>
    <hyperlink r:id="rId169" ref="A10263"/>
    <hyperlink r:id="rId169" ref="A10264"/>
    <hyperlink r:id="rId169" ref="A10265"/>
    <hyperlink r:id="rId169" ref="A10266"/>
    <hyperlink r:id="rId169" ref="A10267"/>
    <hyperlink r:id="rId169" ref="A10268"/>
    <hyperlink r:id="rId169" ref="A10269"/>
    <hyperlink r:id="rId169" ref="A10270"/>
    <hyperlink r:id="rId169" ref="A10271"/>
    <hyperlink r:id="rId169" ref="A10272"/>
    <hyperlink r:id="rId169" ref="A10273"/>
    <hyperlink r:id="rId169" ref="A10274"/>
    <hyperlink r:id="rId169" ref="A10275"/>
    <hyperlink r:id="rId169" ref="A10276"/>
    <hyperlink r:id="rId169" ref="A10277"/>
    <hyperlink r:id="rId169" ref="A10278"/>
    <hyperlink r:id="rId169" ref="A10279"/>
    <hyperlink r:id="rId169" ref="A10280"/>
    <hyperlink r:id="rId169" ref="A10281"/>
    <hyperlink r:id="rId169" ref="A10282"/>
    <hyperlink r:id="rId169" ref="A10283"/>
    <hyperlink r:id="rId169" ref="A10284"/>
    <hyperlink r:id="rId169" ref="A10285"/>
    <hyperlink r:id="rId169" ref="A10286"/>
    <hyperlink r:id="rId169" ref="A10287"/>
    <hyperlink r:id="rId169" ref="A10288"/>
    <hyperlink r:id="rId169" ref="A10289"/>
    <hyperlink r:id="rId169" ref="A10290"/>
    <hyperlink r:id="rId169" ref="A10291"/>
    <hyperlink r:id="rId169" ref="A10292"/>
    <hyperlink r:id="rId169" ref="A10293"/>
    <hyperlink r:id="rId169" ref="A10294"/>
  </hyperlinks>
  <printOptions headings="0" gridLines="0"/>
  <pageMargins left="0.75" right="0.75" top="1" bottom="1" header="0.5" footer="0.5"/>
  <pageSetup paperSize="9" scale="100" firstPageNumber="2147483647" fitToWidth="1" fitToHeight="1" pageOrder="downThenOver" orientation="portrait"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2">
    <tabColor theme="7" tint="-0.249977111117893"/>
    <outlinePr applyStyles="0" summaryBelow="1" summaryRight="1" showOutlineSymbols="1"/>
    <pageSetUpPr autoPageBreaks="1" fitToPage="0"/>
  </sheetPr>
  <sheetViews>
    <sheetView zoomScale="100" workbookViewId="0">
      <selection activeCell="I116" activeCellId="0" sqref="I116"/>
    </sheetView>
  </sheetViews>
  <sheetFormatPr defaultColWidth="9.140625" defaultRowHeight="13.5"/>
  <cols>
    <col customWidth="1" min="1" max="1" style="1" width="17.7109375"/>
    <col customWidth="1" min="2" max="2" style="1" width="14.7109375"/>
    <col customWidth="1" min="3" max="3" style="2" width="60.7109375"/>
    <col customWidth="1" min="4" max="4" style="1" width="10.7109375"/>
    <col customWidth="1" min="5" max="5" style="1" width="11.7109375"/>
    <col customWidth="1" min="6" max="6" style="1" width="16"/>
    <col customWidth="1" min="7" max="7" style="1" width="17.140625"/>
    <col customWidth="1" min="8" max="8" style="1" width="15.140625"/>
    <col customWidth="1" min="9" max="9" style="24" width="11.42578125"/>
    <col customWidth="1" min="12" max="12" style="25" width="14.28515625"/>
    <col customWidth="1" min="13" max="13" style="9" width="14.28515625"/>
    <col customWidth="1" min="14" max="14" style="25" width="15.140625"/>
  </cols>
  <sheetData>
    <row r="1">
      <c r="A1" s="3" t="s">
        <v>0</v>
      </c>
    </row>
    <row r="2">
      <c r="A2" s="5" t="s">
        <v>10444</v>
      </c>
    </row>
    <row r="3" ht="31.5" customHeight="1">
      <c r="A3" s="5" t="s">
        <v>2</v>
      </c>
      <c r="B3" s="6" t="s">
        <v>3</v>
      </c>
      <c r="E3" s="7" t="s">
        <v>4</v>
      </c>
      <c r="F3" s="26" t="s">
        <v>10445</v>
      </c>
      <c r="G3" s="26" t="s">
        <v>10446</v>
      </c>
      <c r="H3" s="11" t="s">
        <v>10447</v>
      </c>
      <c r="L3" s="27" t="s">
        <v>10445</v>
      </c>
      <c r="M3" s="26" t="s">
        <v>10446</v>
      </c>
      <c r="N3" s="25" t="s">
        <v>10447</v>
      </c>
    </row>
    <row r="4">
      <c r="A4" s="5" t="s">
        <v>7</v>
      </c>
      <c r="B4" s="6" t="s">
        <v>8</v>
      </c>
      <c r="E4" s="12"/>
      <c r="F4" s="13" t="s">
        <v>10</v>
      </c>
      <c r="G4" s="13" t="s">
        <v>10</v>
      </c>
      <c r="L4" s="28" t="s">
        <v>10</v>
      </c>
      <c r="M4" s="29" t="s">
        <v>10</v>
      </c>
    </row>
    <row r="5">
      <c r="E5" s="17" t="s">
        <v>11</v>
      </c>
      <c r="F5" s="15" t="s">
        <v>12</v>
      </c>
      <c r="G5" s="15" t="s">
        <v>12</v>
      </c>
      <c r="L5" s="30" t="s">
        <v>12</v>
      </c>
      <c r="M5" s="31" t="s">
        <v>12</v>
      </c>
    </row>
    <row r="6">
      <c r="A6" s="3" t="s">
        <v>10448</v>
      </c>
      <c r="B6" s="5" t="s">
        <v>10449</v>
      </c>
      <c r="C6" s="20" t="s">
        <v>10450</v>
      </c>
      <c r="E6" s="17" t="s">
        <v>15</v>
      </c>
      <c r="F6" s="16">
        <v>1.1571</v>
      </c>
      <c r="G6" s="16">
        <v>0.99560000000000004</v>
      </c>
      <c r="L6" s="32">
        <v>1.1571</v>
      </c>
      <c r="M6" s="33">
        <v>0.99560000000000004</v>
      </c>
    </row>
    <row r="7">
      <c r="A7" s="34"/>
      <c r="E7" s="17" t="s">
        <v>17</v>
      </c>
      <c r="F7" s="16">
        <v>0.7157</v>
      </c>
      <c r="G7" s="16">
        <v>0.58740000000000003</v>
      </c>
      <c r="L7" s="32">
        <v>0.7157</v>
      </c>
      <c r="M7" s="33">
        <v>0.58740000000000003</v>
      </c>
    </row>
    <row r="9" ht="14.25">
      <c r="A9" s="35" t="s">
        <v>10451</v>
      </c>
      <c r="E9" s="12" t="s">
        <v>10452</v>
      </c>
    </row>
    <row r="10" ht="25.5">
      <c r="A10" s="13" t="s">
        <v>10453</v>
      </c>
      <c r="B10" s="13" t="s">
        <v>10454</v>
      </c>
      <c r="C10" s="13" t="s">
        <v>10455</v>
      </c>
      <c r="D10" s="13" t="s">
        <v>23</v>
      </c>
      <c r="E10" s="17" t="s">
        <v>10456</v>
      </c>
      <c r="F10" s="13" t="s">
        <v>10</v>
      </c>
      <c r="G10" s="13" t="s">
        <v>10</v>
      </c>
      <c r="H10" s="13" t="s">
        <v>10</v>
      </c>
      <c r="I10" s="13" t="s">
        <v>26</v>
      </c>
      <c r="L10" s="28" t="s">
        <v>10</v>
      </c>
      <c r="M10" s="29" t="s">
        <v>10</v>
      </c>
      <c r="N10" s="28" t="s">
        <v>10</v>
      </c>
    </row>
    <row r="11" ht="38.25">
      <c r="A11" s="19" t="s">
        <v>10457</v>
      </c>
      <c r="B11" s="19">
        <v>45333</v>
      </c>
      <c r="C11" s="20" t="s">
        <v>10458</v>
      </c>
      <c r="D11" s="19" t="s">
        <v>31</v>
      </c>
      <c r="E11" s="19" t="s">
        <v>10459</v>
      </c>
      <c r="F11" s="21">
        <f t="shared" ref="F11:H74" si="482">IF(L11=0,"VERIFICAR",L11)</f>
        <v>190.13</v>
      </c>
      <c r="G11" s="21">
        <f t="shared" si="482"/>
        <v>190.13</v>
      </c>
      <c r="H11" s="21">
        <f t="shared" si="482"/>
        <v>190.13</v>
      </c>
      <c r="I11" s="24" t="str">
        <f t="shared" ref="I11:I74" si="483">IF(OR(L11=0,M11=0,N11=0),"SEM VALOR","COM VALOR")</f>
        <v xml:space="preserve">COM VALOR</v>
      </c>
      <c r="L11" s="36">
        <v>190.13</v>
      </c>
      <c r="M11" s="37">
        <v>190.13</v>
      </c>
      <c r="N11" s="36">
        <v>190.13</v>
      </c>
    </row>
    <row r="12" ht="25.5">
      <c r="A12" s="19" t="s">
        <v>10460</v>
      </c>
      <c r="B12" s="19">
        <v>11270</v>
      </c>
      <c r="C12" s="20" t="s">
        <v>10461</v>
      </c>
      <c r="D12" s="19" t="s">
        <v>31</v>
      </c>
      <c r="E12" s="19" t="s">
        <v>10459</v>
      </c>
      <c r="F12" s="21">
        <f t="shared" si="482"/>
        <v>3</v>
      </c>
      <c r="G12" s="21">
        <f t="shared" si="482"/>
        <v>3</v>
      </c>
      <c r="H12" s="21">
        <f t="shared" si="482"/>
        <v>3</v>
      </c>
      <c r="I12" s="24" t="str">
        <f t="shared" si="483"/>
        <v xml:space="preserve">COM VALOR</v>
      </c>
      <c r="L12" s="36">
        <v>3</v>
      </c>
      <c r="M12" s="37">
        <v>3</v>
      </c>
      <c r="N12" s="36">
        <v>3</v>
      </c>
    </row>
    <row r="13" ht="25.5">
      <c r="A13" s="19" t="s">
        <v>10460</v>
      </c>
      <c r="B13" s="19">
        <v>412</v>
      </c>
      <c r="C13" s="20" t="s">
        <v>10462</v>
      </c>
      <c r="D13" s="19" t="s">
        <v>31</v>
      </c>
      <c r="E13" s="19" t="s">
        <v>10459</v>
      </c>
      <c r="F13" s="21">
        <f t="shared" si="482"/>
        <v>1.54</v>
      </c>
      <c r="G13" s="21">
        <f t="shared" si="482"/>
        <v>1.54</v>
      </c>
      <c r="H13" s="21">
        <f t="shared" si="482"/>
        <v>1.54</v>
      </c>
      <c r="I13" s="24" t="str">
        <f t="shared" si="483"/>
        <v xml:space="preserve">COM VALOR</v>
      </c>
      <c r="L13" s="36">
        <v>1.54</v>
      </c>
      <c r="M13" s="37">
        <v>1.54</v>
      </c>
      <c r="N13" s="36">
        <v>1.54</v>
      </c>
    </row>
    <row r="14" ht="25.5">
      <c r="A14" s="19" t="s">
        <v>10460</v>
      </c>
      <c r="B14" s="19">
        <v>414</v>
      </c>
      <c r="C14" s="20" t="s">
        <v>10463</v>
      </c>
      <c r="D14" s="19" t="s">
        <v>31</v>
      </c>
      <c r="E14" s="19" t="s">
        <v>10459</v>
      </c>
      <c r="F14" s="21">
        <f t="shared" si="482"/>
        <v>8.9999999999999997e-002</v>
      </c>
      <c r="G14" s="21">
        <f t="shared" si="482"/>
        <v>8.9999999999999997e-002</v>
      </c>
      <c r="H14" s="21">
        <f t="shared" si="482"/>
        <v>8.9999999999999997e-002</v>
      </c>
      <c r="I14" s="24" t="str">
        <f t="shared" si="483"/>
        <v xml:space="preserve">COM VALOR</v>
      </c>
      <c r="L14" s="36">
        <v>8.9999999999999997e-002</v>
      </c>
      <c r="M14" s="37">
        <v>8.9999999999999997e-002</v>
      </c>
      <c r="N14" s="36">
        <v>8.9999999999999997e-002</v>
      </c>
    </row>
    <row r="15" ht="25.5">
      <c r="A15" s="19" t="s">
        <v>10460</v>
      </c>
      <c r="B15" s="19">
        <v>410</v>
      </c>
      <c r="C15" s="20" t="s">
        <v>10464</v>
      </c>
      <c r="D15" s="19" t="s">
        <v>31</v>
      </c>
      <c r="E15" s="19" t="s">
        <v>10459</v>
      </c>
      <c r="F15" s="21">
        <f t="shared" si="482"/>
        <v>0.23000000000000001</v>
      </c>
      <c r="G15" s="21">
        <f t="shared" si="482"/>
        <v>0.23000000000000001</v>
      </c>
      <c r="H15" s="21">
        <f t="shared" si="482"/>
        <v>0.23000000000000001</v>
      </c>
      <c r="I15" s="24" t="str">
        <f t="shared" si="483"/>
        <v xml:space="preserve">COM VALOR</v>
      </c>
      <c r="L15" s="36">
        <v>0.23000000000000001</v>
      </c>
      <c r="M15" s="37">
        <v>0.23000000000000001</v>
      </c>
      <c r="N15" s="36">
        <v>0.23000000000000001</v>
      </c>
    </row>
    <row r="16" ht="25.5">
      <c r="A16" s="19" t="s">
        <v>10460</v>
      </c>
      <c r="B16" s="19">
        <v>411</v>
      </c>
      <c r="C16" s="20" t="s">
        <v>10465</v>
      </c>
      <c r="D16" s="19" t="s">
        <v>31</v>
      </c>
      <c r="E16" s="19" t="s">
        <v>10466</v>
      </c>
      <c r="F16" s="21">
        <f t="shared" si="482"/>
        <v>0.29999999999999999</v>
      </c>
      <c r="G16" s="21">
        <f t="shared" si="482"/>
        <v>0.29999999999999999</v>
      </c>
      <c r="H16" s="21">
        <f t="shared" si="482"/>
        <v>0.29999999999999999</v>
      </c>
      <c r="I16" s="24" t="str">
        <f t="shared" si="483"/>
        <v xml:space="preserve">COM VALOR</v>
      </c>
      <c r="L16" s="36">
        <v>0.29999999999999999</v>
      </c>
      <c r="M16" s="37">
        <v>0.29999999999999999</v>
      </c>
      <c r="N16" s="36">
        <v>0.29999999999999999</v>
      </c>
    </row>
    <row r="17" ht="25.5">
      <c r="A17" s="19" t="s">
        <v>10460</v>
      </c>
      <c r="B17" s="19">
        <v>408</v>
      </c>
      <c r="C17" s="20" t="s">
        <v>10467</v>
      </c>
      <c r="D17" s="19" t="s">
        <v>31</v>
      </c>
      <c r="E17" s="19" t="s">
        <v>10459</v>
      </c>
      <c r="F17" s="21">
        <f t="shared" si="482"/>
        <v>1.48</v>
      </c>
      <c r="G17" s="21">
        <f t="shared" si="482"/>
        <v>1.48</v>
      </c>
      <c r="H17" s="21">
        <f t="shared" si="482"/>
        <v>1.48</v>
      </c>
      <c r="I17" s="24" t="str">
        <f t="shared" si="483"/>
        <v xml:space="preserve">COM VALOR</v>
      </c>
      <c r="L17" s="36">
        <v>1.48</v>
      </c>
      <c r="M17" s="37">
        <v>1.48</v>
      </c>
      <c r="N17" s="36">
        <v>1.48</v>
      </c>
    </row>
    <row r="18" ht="25.5">
      <c r="A18" s="19" t="s">
        <v>10460</v>
      </c>
      <c r="B18" s="19">
        <v>39131</v>
      </c>
      <c r="C18" s="20" t="s">
        <v>10468</v>
      </c>
      <c r="D18" s="19" t="s">
        <v>31</v>
      </c>
      <c r="E18" s="19" t="s">
        <v>10459</v>
      </c>
      <c r="F18" s="21">
        <f t="shared" si="482"/>
        <v>6.6299999999999999</v>
      </c>
      <c r="G18" s="21">
        <f t="shared" si="482"/>
        <v>6.6299999999999999</v>
      </c>
      <c r="H18" s="21">
        <f t="shared" si="482"/>
        <v>6.6299999999999999</v>
      </c>
      <c r="I18" s="24" t="str">
        <f t="shared" si="483"/>
        <v xml:space="preserve">COM VALOR</v>
      </c>
      <c r="L18" s="36">
        <v>6.6299999999999999</v>
      </c>
      <c r="M18" s="37">
        <v>6.6299999999999999</v>
      </c>
      <c r="N18" s="36">
        <v>6.6299999999999999</v>
      </c>
    </row>
    <row r="19" ht="25.5">
      <c r="A19" s="19" t="s">
        <v>10460</v>
      </c>
      <c r="B19" s="19">
        <v>394</v>
      </c>
      <c r="C19" s="20" t="s">
        <v>10469</v>
      </c>
      <c r="D19" s="19" t="s">
        <v>31</v>
      </c>
      <c r="E19" s="19" t="s">
        <v>10459</v>
      </c>
      <c r="F19" s="21">
        <f t="shared" si="482"/>
        <v>6.7199999999999998</v>
      </c>
      <c r="G19" s="21">
        <f t="shared" si="482"/>
        <v>6.7199999999999998</v>
      </c>
      <c r="H19" s="21">
        <f t="shared" si="482"/>
        <v>6.7199999999999998</v>
      </c>
      <c r="I19" s="24" t="str">
        <f t="shared" si="483"/>
        <v xml:space="preserve">COM VALOR</v>
      </c>
      <c r="L19" s="36">
        <v>6.7199999999999998</v>
      </c>
      <c r="M19" s="37">
        <v>6.7199999999999998</v>
      </c>
      <c r="N19" s="36">
        <v>6.7199999999999998</v>
      </c>
    </row>
    <row r="20" ht="25.5">
      <c r="A20" s="19" t="s">
        <v>10460</v>
      </c>
      <c r="B20" s="19">
        <v>39130</v>
      </c>
      <c r="C20" s="20" t="s">
        <v>10470</v>
      </c>
      <c r="D20" s="19" t="s">
        <v>31</v>
      </c>
      <c r="E20" s="19" t="s">
        <v>10459</v>
      </c>
      <c r="F20" s="21">
        <f t="shared" si="482"/>
        <v>6.0499999999999998</v>
      </c>
      <c r="G20" s="21">
        <f t="shared" si="482"/>
        <v>6.0499999999999998</v>
      </c>
      <c r="H20" s="21">
        <f t="shared" si="482"/>
        <v>6.0499999999999998</v>
      </c>
      <c r="I20" s="24" t="str">
        <f t="shared" si="483"/>
        <v xml:space="preserve">COM VALOR</v>
      </c>
      <c r="L20" s="36">
        <v>6.0499999999999998</v>
      </c>
      <c r="M20" s="37">
        <v>6.0499999999999998</v>
      </c>
      <c r="N20" s="36">
        <v>6.0499999999999998</v>
      </c>
    </row>
    <row r="21" ht="25.5">
      <c r="A21" s="19" t="s">
        <v>10460</v>
      </c>
      <c r="B21" s="19">
        <v>395</v>
      </c>
      <c r="C21" s="20" t="s">
        <v>10471</v>
      </c>
      <c r="D21" s="19" t="s">
        <v>31</v>
      </c>
      <c r="E21" s="19" t="s">
        <v>10459</v>
      </c>
      <c r="F21" s="21">
        <f t="shared" si="482"/>
        <v>6.4699999999999998</v>
      </c>
      <c r="G21" s="21">
        <f t="shared" si="482"/>
        <v>6.4699999999999998</v>
      </c>
      <c r="H21" s="21">
        <f t="shared" si="482"/>
        <v>6.4699999999999998</v>
      </c>
      <c r="I21" s="24" t="str">
        <f t="shared" si="483"/>
        <v xml:space="preserve">COM VALOR</v>
      </c>
      <c r="L21" s="36">
        <v>6.4699999999999998</v>
      </c>
      <c r="M21" s="37">
        <v>6.4699999999999998</v>
      </c>
      <c r="N21" s="36">
        <v>6.4699999999999998</v>
      </c>
    </row>
    <row r="22" ht="25.5">
      <c r="A22" s="19" t="s">
        <v>10460</v>
      </c>
      <c r="B22" s="19">
        <v>39129</v>
      </c>
      <c r="C22" s="20" t="s">
        <v>10472</v>
      </c>
      <c r="D22" s="19" t="s">
        <v>31</v>
      </c>
      <c r="E22" s="19" t="s">
        <v>10459</v>
      </c>
      <c r="F22" s="21">
        <f t="shared" si="482"/>
        <v>3.73</v>
      </c>
      <c r="G22" s="21">
        <f t="shared" si="482"/>
        <v>3.73</v>
      </c>
      <c r="H22" s="21">
        <f t="shared" si="482"/>
        <v>3.73</v>
      </c>
      <c r="I22" s="24" t="str">
        <f t="shared" si="483"/>
        <v xml:space="preserve">COM VALOR</v>
      </c>
      <c r="L22" s="36">
        <v>3.73</v>
      </c>
      <c r="M22" s="37">
        <v>3.73</v>
      </c>
      <c r="N22" s="36">
        <v>3.73</v>
      </c>
    </row>
    <row r="23" ht="25.5">
      <c r="A23" s="19" t="s">
        <v>10460</v>
      </c>
      <c r="B23" s="19">
        <v>393</v>
      </c>
      <c r="C23" s="20" t="s">
        <v>10473</v>
      </c>
      <c r="D23" s="19" t="s">
        <v>31</v>
      </c>
      <c r="E23" s="19" t="s">
        <v>10466</v>
      </c>
      <c r="F23" s="21">
        <f t="shared" si="482"/>
        <v>3.8999999999999999</v>
      </c>
      <c r="G23" s="21">
        <f t="shared" si="482"/>
        <v>3.8999999999999999</v>
      </c>
      <c r="H23" s="21">
        <f t="shared" si="482"/>
        <v>3.8999999999999999</v>
      </c>
      <c r="I23" s="24" t="str">
        <f t="shared" si="483"/>
        <v xml:space="preserve">COM VALOR</v>
      </c>
      <c r="L23" s="36">
        <v>3.8999999999999999</v>
      </c>
      <c r="M23" s="37">
        <v>3.8999999999999999</v>
      </c>
      <c r="N23" s="36">
        <v>3.8999999999999999</v>
      </c>
    </row>
    <row r="24" ht="25.5">
      <c r="A24" s="19" t="s">
        <v>10460</v>
      </c>
      <c r="B24" s="19">
        <v>39127</v>
      </c>
      <c r="C24" s="20" t="s">
        <v>10474</v>
      </c>
      <c r="D24" s="19" t="s">
        <v>31</v>
      </c>
      <c r="E24" s="19" t="s">
        <v>10459</v>
      </c>
      <c r="F24" s="21">
        <f t="shared" si="482"/>
        <v>3.1899999999999999</v>
      </c>
      <c r="G24" s="21">
        <f t="shared" si="482"/>
        <v>3.1899999999999999</v>
      </c>
      <c r="H24" s="21">
        <f t="shared" si="482"/>
        <v>3.1899999999999999</v>
      </c>
      <c r="I24" s="24" t="str">
        <f t="shared" si="483"/>
        <v xml:space="preserve">COM VALOR</v>
      </c>
      <c r="L24" s="36">
        <v>3.1899999999999999</v>
      </c>
      <c r="M24" s="37">
        <v>3.1899999999999999</v>
      </c>
      <c r="N24" s="36">
        <v>3.1899999999999999</v>
      </c>
    </row>
    <row r="25" ht="25.5">
      <c r="A25" s="19" t="s">
        <v>10460</v>
      </c>
      <c r="B25" s="19">
        <v>392</v>
      </c>
      <c r="C25" s="20" t="s">
        <v>10475</v>
      </c>
      <c r="D25" s="19" t="s">
        <v>31</v>
      </c>
      <c r="E25" s="19" t="s">
        <v>10459</v>
      </c>
      <c r="F25" s="21">
        <f t="shared" si="482"/>
        <v>3.27</v>
      </c>
      <c r="G25" s="21">
        <f t="shared" si="482"/>
        <v>3.27</v>
      </c>
      <c r="H25" s="21">
        <f t="shared" si="482"/>
        <v>3.27</v>
      </c>
      <c r="I25" s="24" t="str">
        <f t="shared" si="483"/>
        <v xml:space="preserve">COM VALOR</v>
      </c>
      <c r="L25" s="36">
        <v>3.27</v>
      </c>
      <c r="M25" s="37">
        <v>3.27</v>
      </c>
      <c r="N25" s="36">
        <v>3.27</v>
      </c>
    </row>
    <row r="26" ht="25.5">
      <c r="A26" s="19" t="s">
        <v>10460</v>
      </c>
      <c r="B26" s="19">
        <v>39133</v>
      </c>
      <c r="C26" s="20" t="s">
        <v>10476</v>
      </c>
      <c r="D26" s="19" t="s">
        <v>31</v>
      </c>
      <c r="E26" s="19" t="s">
        <v>10459</v>
      </c>
      <c r="F26" s="21">
        <f t="shared" si="482"/>
        <v>8.7100000000000009</v>
      </c>
      <c r="G26" s="21">
        <f t="shared" si="482"/>
        <v>8.7100000000000009</v>
      </c>
      <c r="H26" s="21">
        <f t="shared" si="482"/>
        <v>8.7100000000000009</v>
      </c>
      <c r="I26" s="24" t="str">
        <f t="shared" si="483"/>
        <v xml:space="preserve">COM VALOR</v>
      </c>
      <c r="L26" s="36">
        <v>8.7100000000000009</v>
      </c>
      <c r="M26" s="37">
        <v>8.7100000000000009</v>
      </c>
      <c r="N26" s="36">
        <v>8.7100000000000009</v>
      </c>
    </row>
    <row r="27" ht="25.5">
      <c r="A27" s="19" t="s">
        <v>10460</v>
      </c>
      <c r="B27" s="19">
        <v>397</v>
      </c>
      <c r="C27" s="20" t="s">
        <v>10477</v>
      </c>
      <c r="D27" s="19" t="s">
        <v>31</v>
      </c>
      <c r="E27" s="19" t="s">
        <v>10459</v>
      </c>
      <c r="F27" s="21">
        <f t="shared" si="482"/>
        <v>9.6199999999999992</v>
      </c>
      <c r="G27" s="21">
        <f t="shared" si="482"/>
        <v>9.6199999999999992</v>
      </c>
      <c r="H27" s="21">
        <f t="shared" si="482"/>
        <v>9.6199999999999992</v>
      </c>
      <c r="I27" s="24" t="str">
        <f t="shared" si="483"/>
        <v xml:space="preserve">COM VALOR</v>
      </c>
      <c r="L27" s="36">
        <v>9.6199999999999992</v>
      </c>
      <c r="M27" s="37">
        <v>9.6199999999999992</v>
      </c>
      <c r="N27" s="36">
        <v>9.6199999999999992</v>
      </c>
    </row>
    <row r="28" ht="25.5">
      <c r="A28" s="19" t="s">
        <v>10460</v>
      </c>
      <c r="B28" s="19">
        <v>39132</v>
      </c>
      <c r="C28" s="20" t="s">
        <v>10478</v>
      </c>
      <c r="D28" s="19" t="s">
        <v>31</v>
      </c>
      <c r="E28" s="19" t="s">
        <v>10459</v>
      </c>
      <c r="F28" s="21">
        <f t="shared" si="482"/>
        <v>6.9699999999999998</v>
      </c>
      <c r="G28" s="21">
        <f t="shared" si="482"/>
        <v>6.9699999999999998</v>
      </c>
      <c r="H28" s="21">
        <f t="shared" si="482"/>
        <v>6.9699999999999998</v>
      </c>
      <c r="I28" s="24" t="str">
        <f t="shared" si="483"/>
        <v xml:space="preserve">COM VALOR</v>
      </c>
      <c r="L28" s="36">
        <v>6.9699999999999998</v>
      </c>
      <c r="M28" s="37">
        <v>6.9699999999999998</v>
      </c>
      <c r="N28" s="36">
        <v>6.9699999999999998</v>
      </c>
    </row>
    <row r="29" ht="25.5">
      <c r="A29" s="19" t="s">
        <v>10460</v>
      </c>
      <c r="B29" s="19">
        <v>396</v>
      </c>
      <c r="C29" s="20" t="s">
        <v>10479</v>
      </c>
      <c r="D29" s="19" t="s">
        <v>31</v>
      </c>
      <c r="E29" s="19" t="s">
        <v>10459</v>
      </c>
      <c r="F29" s="21">
        <f t="shared" si="482"/>
        <v>7.46</v>
      </c>
      <c r="G29" s="21">
        <f t="shared" si="482"/>
        <v>7.46</v>
      </c>
      <c r="H29" s="21">
        <f t="shared" si="482"/>
        <v>7.46</v>
      </c>
      <c r="I29" s="24" t="str">
        <f t="shared" si="483"/>
        <v xml:space="preserve">COM VALOR</v>
      </c>
      <c r="L29" s="36">
        <v>7.46</v>
      </c>
      <c r="M29" s="37">
        <v>7.46</v>
      </c>
      <c r="N29" s="36">
        <v>7.46</v>
      </c>
    </row>
    <row r="30" ht="25.5">
      <c r="A30" s="19" t="s">
        <v>10460</v>
      </c>
      <c r="B30" s="19">
        <v>39135</v>
      </c>
      <c r="C30" s="20" t="s">
        <v>10480</v>
      </c>
      <c r="D30" s="19" t="s">
        <v>31</v>
      </c>
      <c r="E30" s="19" t="s">
        <v>10459</v>
      </c>
      <c r="F30" s="21">
        <f t="shared" si="482"/>
        <v>13.94</v>
      </c>
      <c r="G30" s="21">
        <f t="shared" si="482"/>
        <v>13.94</v>
      </c>
      <c r="H30" s="21">
        <f t="shared" si="482"/>
        <v>13.94</v>
      </c>
      <c r="I30" s="24" t="str">
        <f t="shared" si="483"/>
        <v xml:space="preserve">COM VALOR</v>
      </c>
      <c r="L30" s="36">
        <v>13.94</v>
      </c>
      <c r="M30" s="37">
        <v>13.94</v>
      </c>
      <c r="N30" s="36">
        <v>13.94</v>
      </c>
    </row>
    <row r="31" ht="25.5">
      <c r="A31" s="19" t="s">
        <v>10460</v>
      </c>
      <c r="B31" s="19">
        <v>39134</v>
      </c>
      <c r="C31" s="20" t="s">
        <v>10481</v>
      </c>
      <c r="D31" s="19" t="s">
        <v>31</v>
      </c>
      <c r="E31" s="19" t="s">
        <v>10459</v>
      </c>
      <c r="F31" s="21">
        <f t="shared" si="482"/>
        <v>11.609999999999999</v>
      </c>
      <c r="G31" s="21">
        <f t="shared" si="482"/>
        <v>11.609999999999999</v>
      </c>
      <c r="H31" s="21">
        <f t="shared" si="482"/>
        <v>11.609999999999999</v>
      </c>
      <c r="I31" s="24" t="str">
        <f t="shared" si="483"/>
        <v xml:space="preserve">COM VALOR</v>
      </c>
      <c r="L31" s="36">
        <v>11.609999999999999</v>
      </c>
      <c r="M31" s="37">
        <v>11.609999999999999</v>
      </c>
      <c r="N31" s="36">
        <v>11.609999999999999</v>
      </c>
    </row>
    <row r="32" ht="25.5">
      <c r="A32" s="19" t="s">
        <v>10460</v>
      </c>
      <c r="B32" s="19">
        <v>398</v>
      </c>
      <c r="C32" s="20" t="s">
        <v>10482</v>
      </c>
      <c r="D32" s="19" t="s">
        <v>31</v>
      </c>
      <c r="E32" s="19" t="s">
        <v>10459</v>
      </c>
      <c r="F32" s="21">
        <f t="shared" si="482"/>
        <v>10.699999999999999</v>
      </c>
      <c r="G32" s="21">
        <f t="shared" si="482"/>
        <v>10.699999999999999</v>
      </c>
      <c r="H32" s="21">
        <f t="shared" si="482"/>
        <v>10.699999999999999</v>
      </c>
      <c r="I32" s="24" t="str">
        <f t="shared" si="483"/>
        <v xml:space="preserve">COM VALOR</v>
      </c>
      <c r="L32" s="36">
        <v>10.699999999999999</v>
      </c>
      <c r="M32" s="37">
        <v>10.699999999999999</v>
      </c>
      <c r="N32" s="36">
        <v>10.699999999999999</v>
      </c>
    </row>
    <row r="33" ht="25.5">
      <c r="A33" s="19" t="s">
        <v>10460</v>
      </c>
      <c r="B33" s="19">
        <v>39128</v>
      </c>
      <c r="C33" s="20" t="s">
        <v>10483</v>
      </c>
      <c r="D33" s="19" t="s">
        <v>31</v>
      </c>
      <c r="E33" s="19" t="s">
        <v>10459</v>
      </c>
      <c r="F33" s="21">
        <f t="shared" si="482"/>
        <v>3.48</v>
      </c>
      <c r="G33" s="21">
        <f t="shared" si="482"/>
        <v>3.48</v>
      </c>
      <c r="H33" s="21">
        <f t="shared" si="482"/>
        <v>3.48</v>
      </c>
      <c r="I33" s="24" t="str">
        <f t="shared" si="483"/>
        <v xml:space="preserve">COM VALOR</v>
      </c>
      <c r="L33" s="36">
        <v>3.48</v>
      </c>
      <c r="M33" s="37">
        <v>3.48</v>
      </c>
      <c r="N33" s="36">
        <v>3.48</v>
      </c>
    </row>
    <row r="34" ht="25.5">
      <c r="A34" s="19" t="s">
        <v>10460</v>
      </c>
      <c r="B34" s="19">
        <v>400</v>
      </c>
      <c r="C34" s="20" t="s">
        <v>10484</v>
      </c>
      <c r="D34" s="19" t="s">
        <v>31</v>
      </c>
      <c r="E34" s="19" t="s">
        <v>10459</v>
      </c>
      <c r="F34" s="21">
        <f t="shared" si="482"/>
        <v>3.3999999999999999</v>
      </c>
      <c r="G34" s="21">
        <f t="shared" si="482"/>
        <v>3.3999999999999999</v>
      </c>
      <c r="H34" s="21">
        <f t="shared" si="482"/>
        <v>3.3999999999999999</v>
      </c>
      <c r="I34" s="24" t="str">
        <f t="shared" si="483"/>
        <v xml:space="preserve">COM VALOR</v>
      </c>
      <c r="L34" s="36">
        <v>3.3999999999999999</v>
      </c>
      <c r="M34" s="37">
        <v>3.3999999999999999</v>
      </c>
      <c r="N34" s="36">
        <v>3.3999999999999999</v>
      </c>
    </row>
    <row r="35" ht="25.5">
      <c r="A35" s="19" t="s">
        <v>10460</v>
      </c>
      <c r="B35" s="19">
        <v>39125</v>
      </c>
      <c r="C35" s="20" t="s">
        <v>10485</v>
      </c>
      <c r="D35" s="19" t="s">
        <v>31</v>
      </c>
      <c r="E35" s="19" t="s">
        <v>10459</v>
      </c>
      <c r="F35" s="21">
        <f t="shared" si="482"/>
        <v>3.48</v>
      </c>
      <c r="G35" s="21">
        <f t="shared" si="482"/>
        <v>3.48</v>
      </c>
      <c r="H35" s="21">
        <f t="shared" si="482"/>
        <v>3.48</v>
      </c>
      <c r="I35" s="24" t="str">
        <f t="shared" si="483"/>
        <v xml:space="preserve">COM VALOR</v>
      </c>
      <c r="L35" s="36">
        <v>3.48</v>
      </c>
      <c r="M35" s="37">
        <v>3.48</v>
      </c>
      <c r="N35" s="36">
        <v>3.48</v>
      </c>
    </row>
    <row r="36" ht="25.5">
      <c r="A36" s="19" t="s">
        <v>10460</v>
      </c>
      <c r="B36" s="19">
        <v>39126</v>
      </c>
      <c r="C36" s="20" t="s">
        <v>10486</v>
      </c>
      <c r="D36" s="19" t="s">
        <v>31</v>
      </c>
      <c r="E36" s="19" t="s">
        <v>10459</v>
      </c>
      <c r="F36" s="21">
        <f t="shared" si="482"/>
        <v>15.68</v>
      </c>
      <c r="G36" s="21">
        <f t="shared" si="482"/>
        <v>15.68</v>
      </c>
      <c r="H36" s="21">
        <f t="shared" si="482"/>
        <v>15.68</v>
      </c>
      <c r="I36" s="24" t="str">
        <f t="shared" si="483"/>
        <v xml:space="preserve">COM VALOR</v>
      </c>
      <c r="L36" s="36">
        <v>15.68</v>
      </c>
      <c r="M36" s="37">
        <v>15.68</v>
      </c>
      <c r="N36" s="36">
        <v>15.68</v>
      </c>
    </row>
    <row r="37" ht="25.5">
      <c r="A37" s="19" t="s">
        <v>10460</v>
      </c>
      <c r="B37" s="19">
        <v>399</v>
      </c>
      <c r="C37" s="20" t="s">
        <v>10487</v>
      </c>
      <c r="D37" s="19" t="s">
        <v>31</v>
      </c>
      <c r="E37" s="19" t="s">
        <v>10459</v>
      </c>
      <c r="F37" s="21">
        <f t="shared" si="482"/>
        <v>13.81</v>
      </c>
      <c r="G37" s="21">
        <f t="shared" si="482"/>
        <v>13.81</v>
      </c>
      <c r="H37" s="21">
        <f t="shared" si="482"/>
        <v>13.81</v>
      </c>
      <c r="I37" s="24" t="str">
        <f t="shared" si="483"/>
        <v xml:space="preserve">COM VALOR</v>
      </c>
      <c r="L37" s="36">
        <v>13.81</v>
      </c>
      <c r="M37" s="37">
        <v>13.81</v>
      </c>
      <c r="N37" s="36">
        <v>13.81</v>
      </c>
    </row>
    <row r="38" ht="25.5">
      <c r="A38" s="19" t="s">
        <v>10460</v>
      </c>
      <c r="B38" s="19">
        <v>39158</v>
      </c>
      <c r="C38" s="20" t="s">
        <v>10488</v>
      </c>
      <c r="D38" s="19" t="s">
        <v>31</v>
      </c>
      <c r="E38" s="19" t="s">
        <v>10459</v>
      </c>
      <c r="F38" s="21">
        <f t="shared" si="482"/>
        <v>37.090000000000003</v>
      </c>
      <c r="G38" s="21">
        <f t="shared" si="482"/>
        <v>37.090000000000003</v>
      </c>
      <c r="H38" s="21">
        <f t="shared" si="482"/>
        <v>37.090000000000003</v>
      </c>
      <c r="I38" s="24" t="str">
        <f t="shared" si="483"/>
        <v xml:space="preserve">COM VALOR</v>
      </c>
      <c r="L38" s="36">
        <v>37.090000000000003</v>
      </c>
      <c r="M38" s="37">
        <v>37.090000000000003</v>
      </c>
      <c r="N38" s="36">
        <v>37.090000000000003</v>
      </c>
    </row>
    <row r="39" ht="25.5">
      <c r="A39" s="19" t="s">
        <v>10460</v>
      </c>
      <c r="B39" s="19">
        <v>39141</v>
      </c>
      <c r="C39" s="20" t="s">
        <v>10489</v>
      </c>
      <c r="D39" s="19" t="s">
        <v>31</v>
      </c>
      <c r="E39" s="19" t="s">
        <v>10459</v>
      </c>
      <c r="F39" s="21">
        <f t="shared" si="482"/>
        <v>2.6899999999999999</v>
      </c>
      <c r="G39" s="21">
        <f t="shared" si="482"/>
        <v>2.6899999999999999</v>
      </c>
      <c r="H39" s="21">
        <f t="shared" si="482"/>
        <v>2.6899999999999999</v>
      </c>
      <c r="I39" s="24" t="str">
        <f t="shared" si="483"/>
        <v xml:space="preserve">COM VALOR</v>
      </c>
      <c r="L39" s="36">
        <v>2.6899999999999999</v>
      </c>
      <c r="M39" s="37">
        <v>2.6899999999999999</v>
      </c>
      <c r="N39" s="36">
        <v>2.6899999999999999</v>
      </c>
    </row>
    <row r="40" ht="25.5">
      <c r="A40" s="19" t="s">
        <v>10460</v>
      </c>
      <c r="B40" s="19">
        <v>39140</v>
      </c>
      <c r="C40" s="20" t="s">
        <v>10490</v>
      </c>
      <c r="D40" s="19" t="s">
        <v>31</v>
      </c>
      <c r="E40" s="19" t="s">
        <v>10459</v>
      </c>
      <c r="F40" s="21">
        <f t="shared" si="482"/>
        <v>2.4399999999999999</v>
      </c>
      <c r="G40" s="21">
        <f t="shared" si="482"/>
        <v>2.4399999999999999</v>
      </c>
      <c r="H40" s="21">
        <f t="shared" si="482"/>
        <v>2.4399999999999999</v>
      </c>
      <c r="I40" s="24" t="str">
        <f t="shared" si="483"/>
        <v xml:space="preserve">COM VALOR</v>
      </c>
      <c r="L40" s="36">
        <v>2.4399999999999999</v>
      </c>
      <c r="M40" s="37">
        <v>2.4399999999999999</v>
      </c>
      <c r="N40" s="36">
        <v>2.4399999999999999</v>
      </c>
    </row>
    <row r="41" ht="25.5">
      <c r="A41" s="19" t="s">
        <v>10460</v>
      </c>
      <c r="B41" s="19">
        <v>39139</v>
      </c>
      <c r="C41" s="20" t="s">
        <v>10491</v>
      </c>
      <c r="D41" s="19" t="s">
        <v>31</v>
      </c>
      <c r="E41" s="19" t="s">
        <v>10459</v>
      </c>
      <c r="F41" s="21">
        <f t="shared" si="482"/>
        <v>2.0299999999999998</v>
      </c>
      <c r="G41" s="21">
        <f t="shared" si="482"/>
        <v>2.0299999999999998</v>
      </c>
      <c r="H41" s="21">
        <f t="shared" si="482"/>
        <v>2.0299999999999998</v>
      </c>
      <c r="I41" s="24" t="str">
        <f t="shared" si="483"/>
        <v xml:space="preserve">COM VALOR</v>
      </c>
      <c r="L41" s="36">
        <v>2.0299999999999998</v>
      </c>
      <c r="M41" s="37">
        <v>2.0299999999999998</v>
      </c>
      <c r="N41" s="36">
        <v>2.0299999999999998</v>
      </c>
    </row>
    <row r="42" ht="25.5">
      <c r="A42" s="19" t="s">
        <v>10460</v>
      </c>
      <c r="B42" s="19">
        <v>39137</v>
      </c>
      <c r="C42" s="20" t="s">
        <v>10492</v>
      </c>
      <c r="D42" s="19" t="s">
        <v>31</v>
      </c>
      <c r="E42" s="19" t="s">
        <v>10459</v>
      </c>
      <c r="F42" s="21">
        <f t="shared" si="482"/>
        <v>1.4099999999999999</v>
      </c>
      <c r="G42" s="21">
        <f t="shared" si="482"/>
        <v>1.4099999999999999</v>
      </c>
      <c r="H42" s="21">
        <f t="shared" si="482"/>
        <v>1.4099999999999999</v>
      </c>
      <c r="I42" s="24" t="str">
        <f t="shared" si="483"/>
        <v xml:space="preserve">COM VALOR</v>
      </c>
      <c r="L42" s="36">
        <v>1.4099999999999999</v>
      </c>
      <c r="M42" s="37">
        <v>1.4099999999999999</v>
      </c>
      <c r="N42" s="36">
        <v>1.4099999999999999</v>
      </c>
    </row>
    <row r="43" ht="25.5">
      <c r="A43" s="19" t="s">
        <v>10460</v>
      </c>
      <c r="B43" s="19">
        <v>39143</v>
      </c>
      <c r="C43" s="20" t="s">
        <v>10493</v>
      </c>
      <c r="D43" s="19" t="s">
        <v>31</v>
      </c>
      <c r="E43" s="19" t="s">
        <v>10459</v>
      </c>
      <c r="F43" s="21">
        <f t="shared" si="482"/>
        <v>5.5499999999999998</v>
      </c>
      <c r="G43" s="21">
        <f t="shared" si="482"/>
        <v>5.5499999999999998</v>
      </c>
      <c r="H43" s="21">
        <f t="shared" si="482"/>
        <v>5.5499999999999998</v>
      </c>
      <c r="I43" s="24" t="str">
        <f t="shared" si="483"/>
        <v xml:space="preserve">COM VALOR</v>
      </c>
      <c r="L43" s="36">
        <v>5.5499999999999998</v>
      </c>
      <c r="M43" s="37">
        <v>5.5499999999999998</v>
      </c>
      <c r="N43" s="36">
        <v>5.5499999999999998</v>
      </c>
    </row>
    <row r="44" ht="25.5">
      <c r="A44" s="19" t="s">
        <v>10460</v>
      </c>
      <c r="B44" s="19">
        <v>39142</v>
      </c>
      <c r="C44" s="20" t="s">
        <v>10494</v>
      </c>
      <c r="D44" s="19" t="s">
        <v>31</v>
      </c>
      <c r="E44" s="19" t="s">
        <v>10459</v>
      </c>
      <c r="F44" s="21">
        <f t="shared" si="482"/>
        <v>3.98</v>
      </c>
      <c r="G44" s="21">
        <f t="shared" si="482"/>
        <v>3.98</v>
      </c>
      <c r="H44" s="21">
        <f t="shared" si="482"/>
        <v>3.98</v>
      </c>
      <c r="I44" s="24" t="str">
        <f t="shared" si="483"/>
        <v xml:space="preserve">COM VALOR</v>
      </c>
      <c r="L44" s="36">
        <v>3.98</v>
      </c>
      <c r="M44" s="37">
        <v>3.98</v>
      </c>
      <c r="N44" s="36">
        <v>3.98</v>
      </c>
    </row>
    <row r="45" ht="25.5">
      <c r="A45" s="19" t="s">
        <v>10460</v>
      </c>
      <c r="B45" s="19">
        <v>39144</v>
      </c>
      <c r="C45" s="20" t="s">
        <v>10495</v>
      </c>
      <c r="D45" s="19" t="s">
        <v>31</v>
      </c>
      <c r="E45" s="19" t="s">
        <v>10459</v>
      </c>
      <c r="F45" s="21">
        <f t="shared" si="482"/>
        <v>6.4699999999999998</v>
      </c>
      <c r="G45" s="21">
        <f t="shared" si="482"/>
        <v>6.4699999999999998</v>
      </c>
      <c r="H45" s="21">
        <f t="shared" si="482"/>
        <v>6.4699999999999998</v>
      </c>
      <c r="I45" s="24" t="str">
        <f t="shared" si="483"/>
        <v xml:space="preserve">COM VALOR</v>
      </c>
      <c r="L45" s="36">
        <v>6.4699999999999998</v>
      </c>
      <c r="M45" s="37">
        <v>6.4699999999999998</v>
      </c>
      <c r="N45" s="36">
        <v>6.4699999999999998</v>
      </c>
    </row>
    <row r="46" ht="25.5">
      <c r="A46" s="19" t="s">
        <v>10460</v>
      </c>
      <c r="B46" s="19">
        <v>39138</v>
      </c>
      <c r="C46" s="20" t="s">
        <v>10496</v>
      </c>
      <c r="D46" s="19" t="s">
        <v>31</v>
      </c>
      <c r="E46" s="19" t="s">
        <v>10459</v>
      </c>
      <c r="F46" s="21">
        <f t="shared" si="482"/>
        <v>1.49</v>
      </c>
      <c r="G46" s="21">
        <f t="shared" si="482"/>
        <v>1.49</v>
      </c>
      <c r="H46" s="21">
        <f t="shared" si="482"/>
        <v>1.49</v>
      </c>
      <c r="I46" s="24" t="str">
        <f t="shared" si="483"/>
        <v xml:space="preserve">COM VALOR</v>
      </c>
      <c r="L46" s="36">
        <v>1.49</v>
      </c>
      <c r="M46" s="37">
        <v>1.49</v>
      </c>
      <c r="N46" s="36">
        <v>1.49</v>
      </c>
    </row>
    <row r="47" ht="25.5">
      <c r="A47" s="19" t="s">
        <v>10460</v>
      </c>
      <c r="B47" s="19">
        <v>39136</v>
      </c>
      <c r="C47" s="20" t="s">
        <v>10497</v>
      </c>
      <c r="D47" s="19" t="s">
        <v>31</v>
      </c>
      <c r="E47" s="19" t="s">
        <v>10459</v>
      </c>
      <c r="F47" s="21">
        <f t="shared" si="482"/>
        <v>0.98999999999999999</v>
      </c>
      <c r="G47" s="21">
        <f t="shared" si="482"/>
        <v>0.98999999999999999</v>
      </c>
      <c r="H47" s="21">
        <f t="shared" si="482"/>
        <v>0.98999999999999999</v>
      </c>
      <c r="I47" s="24" t="str">
        <f t="shared" si="483"/>
        <v xml:space="preserve">COM VALOR</v>
      </c>
      <c r="L47" s="36">
        <v>0.98999999999999999</v>
      </c>
      <c r="M47" s="37">
        <v>0.98999999999999999</v>
      </c>
      <c r="N47" s="36">
        <v>0.98999999999999999</v>
      </c>
    </row>
    <row r="48" ht="25.5">
      <c r="A48" s="19" t="s">
        <v>10460</v>
      </c>
      <c r="B48" s="19">
        <v>39145</v>
      </c>
      <c r="C48" s="20" t="s">
        <v>10498</v>
      </c>
      <c r="D48" s="19" t="s">
        <v>31</v>
      </c>
      <c r="E48" s="19" t="s">
        <v>10459</v>
      </c>
      <c r="F48" s="21">
        <f t="shared" si="482"/>
        <v>10.66</v>
      </c>
      <c r="G48" s="21">
        <f t="shared" si="482"/>
        <v>10.66</v>
      </c>
      <c r="H48" s="21">
        <f t="shared" si="482"/>
        <v>10.66</v>
      </c>
      <c r="I48" s="24" t="str">
        <f t="shared" si="483"/>
        <v xml:space="preserve">COM VALOR</v>
      </c>
      <c r="L48" s="36">
        <v>10.66</v>
      </c>
      <c r="M48" s="37">
        <v>10.66</v>
      </c>
      <c r="N48" s="36">
        <v>10.66</v>
      </c>
    </row>
    <row r="49" ht="25.5">
      <c r="A49" s="19" t="s">
        <v>10460</v>
      </c>
      <c r="B49" s="19">
        <v>12615</v>
      </c>
      <c r="C49" s="20" t="s">
        <v>10499</v>
      </c>
      <c r="D49" s="19" t="s">
        <v>31</v>
      </c>
      <c r="E49" s="19" t="s">
        <v>10459</v>
      </c>
      <c r="F49" s="21">
        <f t="shared" si="482"/>
        <v>14.06</v>
      </c>
      <c r="G49" s="21">
        <f t="shared" si="482"/>
        <v>14.06</v>
      </c>
      <c r="H49" s="21">
        <f t="shared" si="482"/>
        <v>14.06</v>
      </c>
      <c r="I49" s="24" t="str">
        <f t="shared" si="483"/>
        <v xml:space="preserve">COM VALOR</v>
      </c>
      <c r="L49" s="36">
        <v>14.06</v>
      </c>
      <c r="M49" s="37">
        <v>14.06</v>
      </c>
      <c r="N49" s="36">
        <v>14.06</v>
      </c>
    </row>
    <row r="50" ht="25.5">
      <c r="A50" s="19" t="s">
        <v>10460</v>
      </c>
      <c r="B50" s="19">
        <v>11927</v>
      </c>
      <c r="C50" s="20" t="s">
        <v>10500</v>
      </c>
      <c r="D50" s="19" t="s">
        <v>31</v>
      </c>
      <c r="E50" s="19" t="s">
        <v>10459</v>
      </c>
      <c r="F50" s="21">
        <f t="shared" si="482"/>
        <v>8.9499999999999993</v>
      </c>
      <c r="G50" s="21">
        <f t="shared" si="482"/>
        <v>8.9499999999999993</v>
      </c>
      <c r="H50" s="21">
        <f t="shared" si="482"/>
        <v>8.9499999999999993</v>
      </c>
      <c r="I50" s="24" t="str">
        <f t="shared" si="483"/>
        <v xml:space="preserve">COM VALOR</v>
      </c>
      <c r="L50" s="36">
        <v>8.9499999999999993</v>
      </c>
      <c r="M50" s="37">
        <v>8.9499999999999993</v>
      </c>
      <c r="N50" s="36">
        <v>8.9499999999999993</v>
      </c>
    </row>
    <row r="51" ht="25.5">
      <c r="A51" s="19" t="s">
        <v>10460</v>
      </c>
      <c r="B51" s="19">
        <v>11928</v>
      </c>
      <c r="C51" s="20" t="s">
        <v>10501</v>
      </c>
      <c r="D51" s="19" t="s">
        <v>31</v>
      </c>
      <c r="E51" s="19" t="s">
        <v>10459</v>
      </c>
      <c r="F51" s="21">
        <f t="shared" si="482"/>
        <v>10.26</v>
      </c>
      <c r="G51" s="21">
        <f t="shared" si="482"/>
        <v>10.26</v>
      </c>
      <c r="H51" s="21">
        <f t="shared" si="482"/>
        <v>10.26</v>
      </c>
      <c r="I51" s="24" t="str">
        <f t="shared" si="483"/>
        <v xml:space="preserve">COM VALOR</v>
      </c>
      <c r="L51" s="36">
        <v>10.26</v>
      </c>
      <c r="M51" s="37">
        <v>10.26</v>
      </c>
      <c r="N51" s="36">
        <v>10.26</v>
      </c>
    </row>
    <row r="52" ht="25.5">
      <c r="A52" s="19" t="s">
        <v>10460</v>
      </c>
      <c r="B52" s="19">
        <v>11929</v>
      </c>
      <c r="C52" s="20" t="s">
        <v>10502</v>
      </c>
      <c r="D52" s="19" t="s">
        <v>31</v>
      </c>
      <c r="E52" s="19" t="s">
        <v>10459</v>
      </c>
      <c r="F52" s="21">
        <f t="shared" si="482"/>
        <v>15.859999999999999</v>
      </c>
      <c r="G52" s="21">
        <f t="shared" si="482"/>
        <v>15.859999999999999</v>
      </c>
      <c r="H52" s="21">
        <f t="shared" si="482"/>
        <v>15.859999999999999</v>
      </c>
      <c r="I52" s="24" t="str">
        <f t="shared" si="483"/>
        <v xml:space="preserve">COM VALOR</v>
      </c>
      <c r="L52" s="36">
        <v>15.859999999999999</v>
      </c>
      <c r="M52" s="37">
        <v>15.859999999999999</v>
      </c>
      <c r="N52" s="36">
        <v>15.859999999999999</v>
      </c>
    </row>
    <row r="53" ht="25.5">
      <c r="A53" s="19" t="s">
        <v>10460</v>
      </c>
      <c r="B53" s="19">
        <v>36801</v>
      </c>
      <c r="C53" s="20" t="s">
        <v>10503</v>
      </c>
      <c r="D53" s="19" t="s">
        <v>31</v>
      </c>
      <c r="E53" s="19" t="s">
        <v>10459</v>
      </c>
      <c r="F53" s="21">
        <f t="shared" si="482"/>
        <v>41.409999999999997</v>
      </c>
      <c r="G53" s="21">
        <f t="shared" si="482"/>
        <v>41.409999999999997</v>
      </c>
      <c r="H53" s="21">
        <f t="shared" si="482"/>
        <v>41.409999999999997</v>
      </c>
      <c r="I53" s="24" t="str">
        <f t="shared" si="483"/>
        <v xml:space="preserve">COM VALOR</v>
      </c>
      <c r="L53" s="36">
        <v>41.409999999999997</v>
      </c>
      <c r="M53" s="37">
        <v>41.409999999999997</v>
      </c>
      <c r="N53" s="36">
        <v>41.409999999999997</v>
      </c>
    </row>
    <row r="54" ht="25.5">
      <c r="A54" s="19" t="s">
        <v>10460</v>
      </c>
      <c r="B54" s="19">
        <v>36246</v>
      </c>
      <c r="C54" s="20" t="s">
        <v>10504</v>
      </c>
      <c r="D54" s="19" t="s">
        <v>38</v>
      </c>
      <c r="E54" s="19" t="s">
        <v>10459</v>
      </c>
      <c r="F54" s="21">
        <f t="shared" si="482"/>
        <v>5.2400000000000002</v>
      </c>
      <c r="G54" s="21">
        <f t="shared" si="482"/>
        <v>5.2400000000000002</v>
      </c>
      <c r="H54" s="21">
        <f t="shared" si="482"/>
        <v>5.2400000000000002</v>
      </c>
      <c r="I54" s="24" t="str">
        <f t="shared" si="483"/>
        <v xml:space="preserve">COM VALOR</v>
      </c>
      <c r="L54" s="36">
        <v>5.2400000000000002</v>
      </c>
      <c r="M54" s="37">
        <v>5.2400000000000002</v>
      </c>
      <c r="N54" s="36">
        <v>5.2400000000000002</v>
      </c>
    </row>
    <row r="55" ht="25.5">
      <c r="A55" s="19" t="s">
        <v>10460</v>
      </c>
      <c r="B55" s="19">
        <v>37600</v>
      </c>
      <c r="C55" s="20" t="s">
        <v>10505</v>
      </c>
      <c r="D55" s="19" t="s">
        <v>31</v>
      </c>
      <c r="E55" s="19" t="s">
        <v>10459</v>
      </c>
      <c r="F55" s="21" t="str">
        <f t="shared" si="482"/>
        <v>VERIFICAR</v>
      </c>
      <c r="G55" s="21" t="str">
        <f t="shared" si="482"/>
        <v>VERIFICAR</v>
      </c>
      <c r="H55" s="21" t="str">
        <f t="shared" si="482"/>
        <v>VERIFICAR</v>
      </c>
      <c r="I55" s="24" t="str">
        <f t="shared" si="483"/>
        <v xml:space="preserve">SEM VALOR</v>
      </c>
      <c r="L55" s="36"/>
      <c r="M55" s="37"/>
      <c r="N55" s="36"/>
    </row>
    <row r="56" ht="25.5">
      <c r="A56" s="19" t="s">
        <v>10460</v>
      </c>
      <c r="B56" s="19">
        <v>37599</v>
      </c>
      <c r="C56" s="20" t="s">
        <v>10506</v>
      </c>
      <c r="D56" s="19" t="s">
        <v>31</v>
      </c>
      <c r="E56" s="19" t="s">
        <v>10459</v>
      </c>
      <c r="F56" s="21" t="str">
        <f t="shared" si="482"/>
        <v>VERIFICAR</v>
      </c>
      <c r="G56" s="21" t="str">
        <f t="shared" si="482"/>
        <v>VERIFICAR</v>
      </c>
      <c r="H56" s="21" t="str">
        <f t="shared" si="482"/>
        <v>VERIFICAR</v>
      </c>
      <c r="I56" s="24" t="str">
        <f t="shared" si="483"/>
        <v xml:space="preserve">SEM VALOR</v>
      </c>
      <c r="L56" s="36"/>
      <c r="M56" s="37"/>
      <c r="N56" s="36"/>
    </row>
    <row r="57" ht="25.5">
      <c r="A57" s="19" t="s">
        <v>10460</v>
      </c>
      <c r="B57" s="19">
        <v>1</v>
      </c>
      <c r="C57" s="20" t="s">
        <v>10507</v>
      </c>
      <c r="D57" s="19" t="s">
        <v>302</v>
      </c>
      <c r="E57" s="19" t="s">
        <v>10466</v>
      </c>
      <c r="F57" s="21">
        <f t="shared" si="482"/>
        <v>110</v>
      </c>
      <c r="G57" s="21">
        <f t="shared" si="482"/>
        <v>110</v>
      </c>
      <c r="H57" s="21">
        <f t="shared" si="482"/>
        <v>110</v>
      </c>
      <c r="I57" s="24" t="str">
        <f t="shared" si="483"/>
        <v xml:space="preserve">COM VALOR</v>
      </c>
      <c r="L57" s="36">
        <v>110</v>
      </c>
      <c r="M57" s="37">
        <v>110</v>
      </c>
      <c r="N57" s="36">
        <v>110</v>
      </c>
    </row>
    <row r="58" ht="25.5">
      <c r="A58" s="19" t="s">
        <v>10460</v>
      </c>
      <c r="B58" s="19">
        <v>3</v>
      </c>
      <c r="C58" s="20" t="s">
        <v>10508</v>
      </c>
      <c r="D58" s="19" t="s">
        <v>9794</v>
      </c>
      <c r="E58" s="19" t="s">
        <v>10459</v>
      </c>
      <c r="F58" s="21">
        <f t="shared" si="482"/>
        <v>13.44</v>
      </c>
      <c r="G58" s="21">
        <f t="shared" si="482"/>
        <v>13.44</v>
      </c>
      <c r="H58" s="21">
        <f t="shared" si="482"/>
        <v>13.44</v>
      </c>
      <c r="I58" s="24" t="str">
        <f t="shared" si="483"/>
        <v xml:space="preserve">COM VALOR</v>
      </c>
      <c r="L58" s="36">
        <v>13.44</v>
      </c>
      <c r="M58" s="37">
        <v>13.44</v>
      </c>
      <c r="N58" s="36">
        <v>13.44</v>
      </c>
    </row>
    <row r="59" ht="25.5">
      <c r="A59" s="19" t="s">
        <v>10460</v>
      </c>
      <c r="B59" s="19">
        <v>43054</v>
      </c>
      <c r="C59" s="20" t="s">
        <v>10509</v>
      </c>
      <c r="D59" s="19" t="s">
        <v>302</v>
      </c>
      <c r="E59" s="19" t="s">
        <v>10459</v>
      </c>
      <c r="F59" s="21">
        <f t="shared" si="482"/>
        <v>8.3599999999999994</v>
      </c>
      <c r="G59" s="21">
        <f t="shared" si="482"/>
        <v>8.3599999999999994</v>
      </c>
      <c r="H59" s="21">
        <f t="shared" si="482"/>
        <v>8.3599999999999994</v>
      </c>
      <c r="I59" s="24" t="str">
        <f t="shared" si="483"/>
        <v xml:space="preserve">COM VALOR</v>
      </c>
      <c r="L59" s="36">
        <v>8.3599999999999994</v>
      </c>
      <c r="M59" s="37">
        <v>8.3599999999999994</v>
      </c>
      <c r="N59" s="36">
        <v>8.3599999999999994</v>
      </c>
    </row>
    <row r="60" ht="12.75">
      <c r="A60" s="19" t="s">
        <v>10460</v>
      </c>
      <c r="B60" s="19">
        <v>42402</v>
      </c>
      <c r="C60" s="20" t="s">
        <v>10510</v>
      </c>
      <c r="D60" s="19" t="s">
        <v>302</v>
      </c>
      <c r="E60" s="19" t="s">
        <v>10459</v>
      </c>
      <c r="F60" s="21">
        <f t="shared" si="482"/>
        <v>7.9900000000000002</v>
      </c>
      <c r="G60" s="21">
        <f t="shared" si="482"/>
        <v>7.9900000000000002</v>
      </c>
      <c r="H60" s="21">
        <f t="shared" si="482"/>
        <v>7.9900000000000002</v>
      </c>
      <c r="I60" s="24" t="str">
        <f t="shared" si="483"/>
        <v xml:space="preserve">COM VALOR</v>
      </c>
      <c r="L60" s="36">
        <v>7.9900000000000002</v>
      </c>
      <c r="M60" s="37">
        <v>7.9900000000000002</v>
      </c>
      <c r="N60" s="36">
        <v>7.9900000000000002</v>
      </c>
    </row>
    <row r="61" ht="12.75">
      <c r="A61" s="19" t="s">
        <v>10460</v>
      </c>
      <c r="B61" s="19">
        <v>42403</v>
      </c>
      <c r="C61" s="20" t="s">
        <v>10511</v>
      </c>
      <c r="D61" s="19" t="s">
        <v>302</v>
      </c>
      <c r="E61" s="19" t="s">
        <v>10459</v>
      </c>
      <c r="F61" s="21">
        <f t="shared" si="482"/>
        <v>10.25</v>
      </c>
      <c r="G61" s="21">
        <f t="shared" si="482"/>
        <v>10.25</v>
      </c>
      <c r="H61" s="21">
        <f t="shared" si="482"/>
        <v>10.25</v>
      </c>
      <c r="I61" s="24" t="str">
        <f t="shared" si="483"/>
        <v xml:space="preserve">COM VALOR</v>
      </c>
      <c r="L61" s="36">
        <v>10.25</v>
      </c>
      <c r="M61" s="37">
        <v>10.25</v>
      </c>
      <c r="N61" s="36">
        <v>10.25</v>
      </c>
    </row>
    <row r="62" ht="12.75">
      <c r="A62" s="19" t="s">
        <v>10460</v>
      </c>
      <c r="B62" s="19">
        <v>42404</v>
      </c>
      <c r="C62" s="20" t="s">
        <v>10512</v>
      </c>
      <c r="D62" s="19" t="s">
        <v>302</v>
      </c>
      <c r="E62" s="19" t="s">
        <v>10459</v>
      </c>
      <c r="F62" s="21">
        <f t="shared" si="482"/>
        <v>10.19</v>
      </c>
      <c r="G62" s="21">
        <f t="shared" si="482"/>
        <v>10.19</v>
      </c>
      <c r="H62" s="21">
        <f t="shared" si="482"/>
        <v>10.19</v>
      </c>
      <c r="I62" s="24" t="str">
        <f t="shared" si="483"/>
        <v xml:space="preserve">COM VALOR</v>
      </c>
      <c r="L62" s="36">
        <v>10.19</v>
      </c>
      <c r="M62" s="37">
        <v>10.19</v>
      </c>
      <c r="N62" s="36">
        <v>10.19</v>
      </c>
    </row>
    <row r="63" ht="12.75">
      <c r="A63" s="19" t="s">
        <v>10460</v>
      </c>
      <c r="B63" s="19">
        <v>42405</v>
      </c>
      <c r="C63" s="20" t="s">
        <v>10513</v>
      </c>
      <c r="D63" s="19" t="s">
        <v>302</v>
      </c>
      <c r="E63" s="19" t="s">
        <v>10459</v>
      </c>
      <c r="F63" s="21">
        <f t="shared" si="482"/>
        <v>10.85</v>
      </c>
      <c r="G63" s="21">
        <f t="shared" si="482"/>
        <v>10.85</v>
      </c>
      <c r="H63" s="21">
        <f t="shared" si="482"/>
        <v>10.85</v>
      </c>
      <c r="I63" s="24" t="str">
        <f t="shared" si="483"/>
        <v xml:space="preserve">COM VALOR</v>
      </c>
      <c r="L63" s="36">
        <v>10.85</v>
      </c>
      <c r="M63" s="37">
        <v>10.85</v>
      </c>
      <c r="N63" s="36">
        <v>10.85</v>
      </c>
    </row>
    <row r="64" ht="12.75">
      <c r="A64" s="19" t="s">
        <v>10460</v>
      </c>
      <c r="B64" s="19">
        <v>34341</v>
      </c>
      <c r="C64" s="20" t="s">
        <v>10514</v>
      </c>
      <c r="D64" s="19" t="s">
        <v>302</v>
      </c>
      <c r="E64" s="19" t="s">
        <v>10459</v>
      </c>
      <c r="F64" s="21">
        <f t="shared" si="482"/>
        <v>9.4199999999999999</v>
      </c>
      <c r="G64" s="21">
        <f t="shared" si="482"/>
        <v>9.4199999999999999</v>
      </c>
      <c r="H64" s="21">
        <f t="shared" si="482"/>
        <v>9.4199999999999999</v>
      </c>
      <c r="I64" s="24" t="str">
        <f t="shared" si="483"/>
        <v xml:space="preserve">COM VALOR</v>
      </c>
      <c r="L64" s="36">
        <v>9.4199999999999999</v>
      </c>
      <c r="M64" s="37">
        <v>9.4199999999999999</v>
      </c>
      <c r="N64" s="36">
        <v>9.4199999999999999</v>
      </c>
    </row>
    <row r="65" ht="12.75">
      <c r="A65" s="19" t="s">
        <v>10460</v>
      </c>
      <c r="B65" s="19">
        <v>43053</v>
      </c>
      <c r="C65" s="20" t="s">
        <v>10515</v>
      </c>
      <c r="D65" s="19" t="s">
        <v>302</v>
      </c>
      <c r="E65" s="19" t="s">
        <v>10459</v>
      </c>
      <c r="F65" s="21">
        <f t="shared" si="482"/>
        <v>7.4699999999999998</v>
      </c>
      <c r="G65" s="21">
        <f t="shared" si="482"/>
        <v>7.4699999999999998</v>
      </c>
      <c r="H65" s="21">
        <f t="shared" si="482"/>
        <v>7.4699999999999998</v>
      </c>
      <c r="I65" s="24" t="str">
        <f t="shared" si="483"/>
        <v xml:space="preserve">COM VALOR</v>
      </c>
      <c r="L65" s="36">
        <v>7.4699999999999998</v>
      </c>
      <c r="M65" s="37">
        <v>7.4699999999999998</v>
      </c>
      <c r="N65" s="36">
        <v>7.4699999999999998</v>
      </c>
    </row>
    <row r="66" ht="25.5">
      <c r="A66" s="19" t="s">
        <v>10460</v>
      </c>
      <c r="B66" s="19">
        <v>43058</v>
      </c>
      <c r="C66" s="20" t="s">
        <v>10516</v>
      </c>
      <c r="D66" s="19" t="s">
        <v>302</v>
      </c>
      <c r="E66" s="19" t="s">
        <v>10459</v>
      </c>
      <c r="F66" s="21">
        <f t="shared" si="482"/>
        <v>7.7400000000000002</v>
      </c>
      <c r="G66" s="21">
        <f t="shared" si="482"/>
        <v>7.7400000000000002</v>
      </c>
      <c r="H66" s="21">
        <f t="shared" si="482"/>
        <v>7.7400000000000002</v>
      </c>
      <c r="I66" s="24" t="str">
        <f t="shared" si="483"/>
        <v xml:space="preserve">COM VALOR</v>
      </c>
      <c r="L66" s="36">
        <v>7.7400000000000002</v>
      </c>
      <c r="M66" s="37">
        <v>7.7400000000000002</v>
      </c>
      <c r="N66" s="36">
        <v>7.7400000000000002</v>
      </c>
    </row>
    <row r="67" ht="12.75">
      <c r="A67" s="19" t="s">
        <v>10460</v>
      </c>
      <c r="B67" s="19">
        <v>34</v>
      </c>
      <c r="C67" s="20" t="s">
        <v>10517</v>
      </c>
      <c r="D67" s="19" t="s">
        <v>302</v>
      </c>
      <c r="E67" s="19" t="s">
        <v>10459</v>
      </c>
      <c r="F67" s="21">
        <f t="shared" si="482"/>
        <v>7.7800000000000002</v>
      </c>
      <c r="G67" s="21">
        <f t="shared" si="482"/>
        <v>7.7800000000000002</v>
      </c>
      <c r="H67" s="21">
        <f t="shared" si="482"/>
        <v>7.7800000000000002</v>
      </c>
      <c r="I67" s="24" t="str">
        <f t="shared" si="483"/>
        <v xml:space="preserve">COM VALOR</v>
      </c>
      <c r="L67" s="36">
        <v>7.7800000000000002</v>
      </c>
      <c r="M67" s="37">
        <v>7.7800000000000002</v>
      </c>
      <c r="N67" s="36">
        <v>7.7800000000000002</v>
      </c>
    </row>
    <row r="68" ht="12.75">
      <c r="A68" s="19" t="s">
        <v>10460</v>
      </c>
      <c r="B68" s="19">
        <v>43055</v>
      </c>
      <c r="C68" s="20" t="s">
        <v>10518</v>
      </c>
      <c r="D68" s="19" t="s">
        <v>302</v>
      </c>
      <c r="E68" s="19" t="s">
        <v>10466</v>
      </c>
      <c r="F68" s="21">
        <f t="shared" si="482"/>
        <v>6.7400000000000002</v>
      </c>
      <c r="G68" s="21">
        <f t="shared" si="482"/>
        <v>6.7400000000000002</v>
      </c>
      <c r="H68" s="21">
        <f t="shared" si="482"/>
        <v>6.7400000000000002</v>
      </c>
      <c r="I68" s="24" t="str">
        <f t="shared" si="483"/>
        <v xml:space="preserve">COM VALOR</v>
      </c>
      <c r="L68" s="36">
        <v>6.7400000000000002</v>
      </c>
      <c r="M68" s="37">
        <v>6.7400000000000002</v>
      </c>
      <c r="N68" s="36">
        <v>6.7400000000000002</v>
      </c>
    </row>
    <row r="69" ht="12.75">
      <c r="A69" s="19" t="s">
        <v>10460</v>
      </c>
      <c r="B69" s="19">
        <v>43056</v>
      </c>
      <c r="C69" s="20" t="s">
        <v>10519</v>
      </c>
      <c r="D69" s="19" t="s">
        <v>302</v>
      </c>
      <c r="E69" s="19" t="s">
        <v>10459</v>
      </c>
      <c r="F69" s="21">
        <f t="shared" si="482"/>
        <v>7.7699999999999996</v>
      </c>
      <c r="G69" s="21">
        <f t="shared" si="482"/>
        <v>7.7699999999999996</v>
      </c>
      <c r="H69" s="21">
        <f t="shared" si="482"/>
        <v>7.7699999999999996</v>
      </c>
      <c r="I69" s="24" t="str">
        <f t="shared" si="483"/>
        <v xml:space="preserve">COM VALOR</v>
      </c>
      <c r="L69" s="36">
        <v>7.7699999999999996</v>
      </c>
      <c r="M69" s="37">
        <v>7.7699999999999996</v>
      </c>
      <c r="N69" s="36">
        <v>7.7699999999999996</v>
      </c>
    </row>
    <row r="70" ht="12.75">
      <c r="A70" s="19" t="s">
        <v>10460</v>
      </c>
      <c r="B70" s="19">
        <v>43057</v>
      </c>
      <c r="C70" s="20" t="s">
        <v>10520</v>
      </c>
      <c r="D70" s="19" t="s">
        <v>302</v>
      </c>
      <c r="E70" s="19" t="s">
        <v>10459</v>
      </c>
      <c r="F70" s="21">
        <f t="shared" si="482"/>
        <v>8.5399999999999991</v>
      </c>
      <c r="G70" s="21">
        <f t="shared" si="482"/>
        <v>8.5399999999999991</v>
      </c>
      <c r="H70" s="21">
        <f t="shared" si="482"/>
        <v>8.5399999999999991</v>
      </c>
      <c r="I70" s="24" t="str">
        <f t="shared" si="483"/>
        <v xml:space="preserve">COM VALOR</v>
      </c>
      <c r="L70" s="36">
        <v>8.5399999999999991</v>
      </c>
      <c r="M70" s="37">
        <v>8.5399999999999991</v>
      </c>
      <c r="N70" s="36">
        <v>8.5399999999999991</v>
      </c>
    </row>
    <row r="71" ht="12.75">
      <c r="A71" s="19" t="s">
        <v>10460</v>
      </c>
      <c r="B71" s="19">
        <v>34449</v>
      </c>
      <c r="C71" s="20" t="s">
        <v>10521</v>
      </c>
      <c r="D71" s="19" t="s">
        <v>302</v>
      </c>
      <c r="E71" s="19" t="s">
        <v>10459</v>
      </c>
      <c r="F71" s="21">
        <f t="shared" si="482"/>
        <v>9.1300000000000008</v>
      </c>
      <c r="G71" s="21">
        <f t="shared" si="482"/>
        <v>9.1300000000000008</v>
      </c>
      <c r="H71" s="21">
        <f t="shared" si="482"/>
        <v>9.1300000000000008</v>
      </c>
      <c r="I71" s="24" t="str">
        <f t="shared" si="483"/>
        <v xml:space="preserve">COM VALOR</v>
      </c>
      <c r="L71" s="36">
        <v>9.1300000000000008</v>
      </c>
      <c r="M71" s="37">
        <v>9.1300000000000008</v>
      </c>
      <c r="N71" s="36">
        <v>9.1300000000000008</v>
      </c>
    </row>
    <row r="72" ht="12.75">
      <c r="A72" s="19" t="s">
        <v>10460</v>
      </c>
      <c r="B72" s="19">
        <v>32</v>
      </c>
      <c r="C72" s="20" t="s">
        <v>10522</v>
      </c>
      <c r="D72" s="19" t="s">
        <v>302</v>
      </c>
      <c r="E72" s="19" t="s">
        <v>10459</v>
      </c>
      <c r="F72" s="21">
        <f t="shared" si="482"/>
        <v>8.2100000000000009</v>
      </c>
      <c r="G72" s="21">
        <f t="shared" si="482"/>
        <v>8.2100000000000009</v>
      </c>
      <c r="H72" s="21">
        <f t="shared" si="482"/>
        <v>8.2100000000000009</v>
      </c>
      <c r="I72" s="24" t="str">
        <f t="shared" si="483"/>
        <v xml:space="preserve">COM VALOR</v>
      </c>
      <c r="L72" s="36">
        <v>8.2100000000000009</v>
      </c>
      <c r="M72" s="37">
        <v>8.2100000000000009</v>
      </c>
      <c r="N72" s="36">
        <v>8.2100000000000009</v>
      </c>
    </row>
    <row r="73" ht="12.75">
      <c r="A73" s="19" t="s">
        <v>10460</v>
      </c>
      <c r="B73" s="19">
        <v>33</v>
      </c>
      <c r="C73" s="20" t="s">
        <v>10523</v>
      </c>
      <c r="D73" s="19" t="s">
        <v>302</v>
      </c>
      <c r="E73" s="19" t="s">
        <v>10459</v>
      </c>
      <c r="F73" s="21">
        <f t="shared" si="482"/>
        <v>8.25</v>
      </c>
      <c r="G73" s="21">
        <f t="shared" si="482"/>
        <v>8.25</v>
      </c>
      <c r="H73" s="21">
        <f t="shared" si="482"/>
        <v>8.25</v>
      </c>
      <c r="I73" s="24" t="str">
        <f t="shared" si="483"/>
        <v xml:space="preserve">COM VALOR</v>
      </c>
      <c r="L73" s="36">
        <v>8.25</v>
      </c>
      <c r="M73" s="37">
        <v>8.25</v>
      </c>
      <c r="N73" s="36">
        <v>8.25</v>
      </c>
    </row>
    <row r="74" ht="12.75">
      <c r="A74" s="19" t="s">
        <v>10460</v>
      </c>
      <c r="B74" s="19">
        <v>43061</v>
      </c>
      <c r="C74" s="20" t="s">
        <v>10524</v>
      </c>
      <c r="D74" s="19" t="s">
        <v>302</v>
      </c>
      <c r="E74" s="19" t="s">
        <v>10459</v>
      </c>
      <c r="F74" s="21">
        <f t="shared" si="482"/>
        <v>7.71</v>
      </c>
      <c r="G74" s="21">
        <f t="shared" si="482"/>
        <v>7.71</v>
      </c>
      <c r="H74" s="21">
        <f t="shared" si="482"/>
        <v>7.71</v>
      </c>
      <c r="I74" s="24" t="str">
        <f t="shared" si="483"/>
        <v xml:space="preserve">COM VALOR</v>
      </c>
      <c r="L74" s="36">
        <v>7.71</v>
      </c>
      <c r="M74" s="37">
        <v>7.71</v>
      </c>
      <c r="N74" s="36">
        <v>7.71</v>
      </c>
    </row>
    <row r="75" ht="25.5">
      <c r="A75" s="19" t="s">
        <v>10460</v>
      </c>
      <c r="B75" s="19">
        <v>43059</v>
      </c>
      <c r="C75" s="20" t="s">
        <v>10525</v>
      </c>
      <c r="D75" s="19" t="s">
        <v>302</v>
      </c>
      <c r="E75" s="19" t="s">
        <v>10459</v>
      </c>
      <c r="F75" s="21">
        <f t="shared" ref="F75:H138" si="484">IF(L75=0,"VERIFICAR",L75)</f>
        <v>7.3600000000000003</v>
      </c>
      <c r="G75" s="21">
        <f t="shared" si="484"/>
        <v>7.3600000000000003</v>
      </c>
      <c r="H75" s="21">
        <f t="shared" si="484"/>
        <v>7.3600000000000003</v>
      </c>
      <c r="I75" s="24" t="str">
        <f t="shared" ref="I75:I138" si="485">IF(OR(L75=0,M75=0,N75=0),"SEM VALOR","COM VALOR")</f>
        <v xml:space="preserve">COM VALOR</v>
      </c>
      <c r="L75" s="36">
        <v>7.3600000000000003</v>
      </c>
      <c r="M75" s="37">
        <v>7.3600000000000003</v>
      </c>
      <c r="N75" s="36">
        <v>7.3600000000000003</v>
      </c>
    </row>
    <row r="76" ht="12.75">
      <c r="A76" s="19" t="s">
        <v>10460</v>
      </c>
      <c r="B76" s="19">
        <v>43062</v>
      </c>
      <c r="C76" s="20" t="s">
        <v>10526</v>
      </c>
      <c r="D76" s="19" t="s">
        <v>302</v>
      </c>
      <c r="E76" s="19" t="s">
        <v>10459</v>
      </c>
      <c r="F76" s="21">
        <f t="shared" si="484"/>
        <v>8.1600000000000001</v>
      </c>
      <c r="G76" s="21">
        <f t="shared" si="484"/>
        <v>8.1600000000000001</v>
      </c>
      <c r="H76" s="21">
        <f t="shared" si="484"/>
        <v>8.1600000000000001</v>
      </c>
      <c r="I76" s="24" t="str">
        <f t="shared" si="485"/>
        <v xml:space="preserve">COM VALOR</v>
      </c>
      <c r="L76" s="36">
        <v>8.1600000000000001</v>
      </c>
      <c r="M76" s="37">
        <v>8.1600000000000001</v>
      </c>
      <c r="N76" s="36">
        <v>8.1600000000000001</v>
      </c>
    </row>
    <row r="77" ht="12.75">
      <c r="A77" s="19" t="s">
        <v>10460</v>
      </c>
      <c r="B77" s="19">
        <v>43060</v>
      </c>
      <c r="C77" s="20" t="s">
        <v>10527</v>
      </c>
      <c r="D77" s="19" t="s">
        <v>302</v>
      </c>
      <c r="E77" s="19" t="s">
        <v>10459</v>
      </c>
      <c r="F77" s="21">
        <f t="shared" si="484"/>
        <v>6.4100000000000001</v>
      </c>
      <c r="G77" s="21">
        <f t="shared" si="484"/>
        <v>6.4100000000000001</v>
      </c>
      <c r="H77" s="21">
        <f t="shared" si="484"/>
        <v>6.4100000000000001</v>
      </c>
      <c r="I77" s="24" t="str">
        <f t="shared" si="485"/>
        <v xml:space="preserve">COM VALOR</v>
      </c>
      <c r="L77" s="36">
        <v>6.4100000000000001</v>
      </c>
      <c r="M77" s="37">
        <v>6.4100000000000001</v>
      </c>
      <c r="N77" s="36">
        <v>6.4100000000000001</v>
      </c>
    </row>
    <row r="78" ht="25.5">
      <c r="A78" s="19" t="s">
        <v>10460</v>
      </c>
      <c r="B78" s="19">
        <v>40410</v>
      </c>
      <c r="C78" s="20" t="s">
        <v>10528</v>
      </c>
      <c r="D78" s="19" t="s">
        <v>31</v>
      </c>
      <c r="E78" s="19" t="s">
        <v>10466</v>
      </c>
      <c r="F78" s="21" t="str">
        <f t="shared" si="484"/>
        <v>VERIFICAR</v>
      </c>
      <c r="G78" s="21" t="str">
        <f t="shared" si="484"/>
        <v>VERIFICAR</v>
      </c>
      <c r="H78" s="21" t="str">
        <f t="shared" si="484"/>
        <v>VERIFICAR</v>
      </c>
      <c r="I78" s="24" t="str">
        <f t="shared" si="485"/>
        <v xml:space="preserve">SEM VALOR</v>
      </c>
      <c r="L78" s="36"/>
      <c r="M78" s="37"/>
      <c r="N78" s="36"/>
    </row>
    <row r="79" ht="25.5">
      <c r="A79" s="19" t="s">
        <v>10460</v>
      </c>
      <c r="B79" s="19">
        <v>40411</v>
      </c>
      <c r="C79" s="20" t="s">
        <v>10529</v>
      </c>
      <c r="D79" s="19" t="s">
        <v>31</v>
      </c>
      <c r="E79" s="19" t="s">
        <v>10459</v>
      </c>
      <c r="F79" s="21" t="str">
        <f t="shared" si="484"/>
        <v>VERIFICAR</v>
      </c>
      <c r="G79" s="21" t="str">
        <f t="shared" si="484"/>
        <v>VERIFICAR</v>
      </c>
      <c r="H79" s="21" t="str">
        <f t="shared" si="484"/>
        <v>VERIFICAR</v>
      </c>
      <c r="I79" s="24" t="str">
        <f t="shared" si="485"/>
        <v xml:space="preserve">SEM VALOR</v>
      </c>
      <c r="L79" s="36"/>
      <c r="M79" s="37"/>
      <c r="N79" s="36"/>
    </row>
    <row r="80" ht="25.5">
      <c r="A80" s="19" t="s">
        <v>10460</v>
      </c>
      <c r="B80" s="19">
        <v>40412</v>
      </c>
      <c r="C80" s="20" t="s">
        <v>10530</v>
      </c>
      <c r="D80" s="19" t="s">
        <v>31</v>
      </c>
      <c r="E80" s="19" t="s">
        <v>10459</v>
      </c>
      <c r="F80" s="21" t="str">
        <f t="shared" si="484"/>
        <v>VERIFICAR</v>
      </c>
      <c r="G80" s="21" t="str">
        <f t="shared" si="484"/>
        <v>VERIFICAR</v>
      </c>
      <c r="H80" s="21" t="str">
        <f t="shared" si="484"/>
        <v>VERIFICAR</v>
      </c>
      <c r="I80" s="24" t="str">
        <f t="shared" si="485"/>
        <v xml:space="preserve">SEM VALOR</v>
      </c>
      <c r="L80" s="36"/>
      <c r="M80" s="37"/>
      <c r="N80" s="36"/>
    </row>
    <row r="81" ht="25.5">
      <c r="A81" s="19" t="s">
        <v>10460</v>
      </c>
      <c r="B81" s="19">
        <v>44254</v>
      </c>
      <c r="C81" s="20" t="s">
        <v>10531</v>
      </c>
      <c r="D81" s="19" t="s">
        <v>31</v>
      </c>
      <c r="E81" s="19" t="s">
        <v>10459</v>
      </c>
      <c r="F81" s="21">
        <f t="shared" si="484"/>
        <v>32.530000000000001</v>
      </c>
      <c r="G81" s="21">
        <f t="shared" si="484"/>
        <v>32.530000000000001</v>
      </c>
      <c r="H81" s="21">
        <f t="shared" si="484"/>
        <v>32.530000000000001</v>
      </c>
      <c r="I81" s="24" t="str">
        <f t="shared" si="485"/>
        <v xml:space="preserve">COM VALOR</v>
      </c>
      <c r="L81" s="36">
        <v>32.530000000000001</v>
      </c>
      <c r="M81" s="37">
        <v>32.530000000000001</v>
      </c>
      <c r="N81" s="36">
        <v>32.530000000000001</v>
      </c>
    </row>
    <row r="82" ht="25.5">
      <c r="A82" s="19" t="s">
        <v>10460</v>
      </c>
      <c r="B82" s="19">
        <v>44255</v>
      </c>
      <c r="C82" s="20" t="s">
        <v>10532</v>
      </c>
      <c r="D82" s="19" t="s">
        <v>31</v>
      </c>
      <c r="E82" s="19" t="s">
        <v>10459</v>
      </c>
      <c r="F82" s="21">
        <f t="shared" si="484"/>
        <v>36.049999999999997</v>
      </c>
      <c r="G82" s="21">
        <f t="shared" si="484"/>
        <v>36.049999999999997</v>
      </c>
      <c r="H82" s="21">
        <f t="shared" si="484"/>
        <v>36.049999999999997</v>
      </c>
      <c r="I82" s="24" t="str">
        <f t="shared" si="485"/>
        <v xml:space="preserve">COM VALOR</v>
      </c>
      <c r="L82" s="36">
        <v>36.049999999999997</v>
      </c>
      <c r="M82" s="37">
        <v>36.049999999999997</v>
      </c>
      <c r="N82" s="36">
        <v>36.049999999999997</v>
      </c>
    </row>
    <row r="83" ht="25.5">
      <c r="A83" s="19" t="s">
        <v>10460</v>
      </c>
      <c r="B83" s="19">
        <v>44256</v>
      </c>
      <c r="C83" s="20" t="s">
        <v>10533</v>
      </c>
      <c r="D83" s="19" t="s">
        <v>31</v>
      </c>
      <c r="E83" s="19" t="s">
        <v>10459</v>
      </c>
      <c r="F83" s="21">
        <f t="shared" si="484"/>
        <v>40.719999999999999</v>
      </c>
      <c r="G83" s="21">
        <f t="shared" si="484"/>
        <v>40.719999999999999</v>
      </c>
      <c r="H83" s="21">
        <f t="shared" si="484"/>
        <v>40.719999999999999</v>
      </c>
      <c r="I83" s="24" t="str">
        <f t="shared" si="485"/>
        <v xml:space="preserve">COM VALOR</v>
      </c>
      <c r="L83" s="36">
        <v>40.719999999999999</v>
      </c>
      <c r="M83" s="37">
        <v>40.719999999999999</v>
      </c>
      <c r="N83" s="36">
        <v>40.719999999999999</v>
      </c>
    </row>
    <row r="84" ht="25.5">
      <c r="A84" s="19" t="s">
        <v>10460</v>
      </c>
      <c r="B84" s="19">
        <v>44257</v>
      </c>
      <c r="C84" s="20" t="s">
        <v>10534</v>
      </c>
      <c r="D84" s="19" t="s">
        <v>31</v>
      </c>
      <c r="E84" s="19" t="s">
        <v>10459</v>
      </c>
      <c r="F84" s="21">
        <f t="shared" si="484"/>
        <v>64.420000000000002</v>
      </c>
      <c r="G84" s="21">
        <f t="shared" si="484"/>
        <v>64.420000000000002</v>
      </c>
      <c r="H84" s="21">
        <f t="shared" si="484"/>
        <v>64.420000000000002</v>
      </c>
      <c r="I84" s="24" t="str">
        <f t="shared" si="485"/>
        <v xml:space="preserve">COM VALOR</v>
      </c>
      <c r="L84" s="36">
        <v>64.420000000000002</v>
      </c>
      <c r="M84" s="37">
        <v>64.420000000000002</v>
      </c>
      <c r="N84" s="36">
        <v>64.420000000000002</v>
      </c>
    </row>
    <row r="85" ht="25.5">
      <c r="A85" s="19" t="s">
        <v>10460</v>
      </c>
      <c r="B85" s="19">
        <v>44258</v>
      </c>
      <c r="C85" s="20" t="s">
        <v>10535</v>
      </c>
      <c r="D85" s="19" t="s">
        <v>31</v>
      </c>
      <c r="E85" s="19" t="s">
        <v>10459</v>
      </c>
      <c r="F85" s="21">
        <f t="shared" si="484"/>
        <v>73.629999999999995</v>
      </c>
      <c r="G85" s="21">
        <f t="shared" si="484"/>
        <v>73.629999999999995</v>
      </c>
      <c r="H85" s="21">
        <f t="shared" si="484"/>
        <v>73.629999999999995</v>
      </c>
      <c r="I85" s="24" t="str">
        <f t="shared" si="485"/>
        <v xml:space="preserve">COM VALOR</v>
      </c>
      <c r="L85" s="36">
        <v>73.629999999999995</v>
      </c>
      <c r="M85" s="37">
        <v>73.629999999999995</v>
      </c>
      <c r="N85" s="36">
        <v>73.629999999999995</v>
      </c>
    </row>
    <row r="86" ht="25.5">
      <c r="A86" s="19" t="s">
        <v>10460</v>
      </c>
      <c r="B86" s="19">
        <v>44259</v>
      </c>
      <c r="C86" s="20" t="s">
        <v>10536</v>
      </c>
      <c r="D86" s="19" t="s">
        <v>31</v>
      </c>
      <c r="E86" s="19" t="s">
        <v>10459</v>
      </c>
      <c r="F86" s="21">
        <f t="shared" si="484"/>
        <v>101.06</v>
      </c>
      <c r="G86" s="21">
        <f t="shared" si="484"/>
        <v>101.06</v>
      </c>
      <c r="H86" s="21">
        <f t="shared" si="484"/>
        <v>101.06</v>
      </c>
      <c r="I86" s="24" t="str">
        <f t="shared" si="485"/>
        <v xml:space="preserve">COM VALOR</v>
      </c>
      <c r="L86" s="36">
        <v>101.06</v>
      </c>
      <c r="M86" s="37">
        <v>101.06</v>
      </c>
      <c r="N86" s="36">
        <v>101.06</v>
      </c>
    </row>
    <row r="87" ht="12.75">
      <c r="A87" s="19" t="s">
        <v>10460</v>
      </c>
      <c r="B87" s="19">
        <v>37997</v>
      </c>
      <c r="C87" s="20" t="s">
        <v>10537</v>
      </c>
      <c r="D87" s="19" t="s">
        <v>31</v>
      </c>
      <c r="E87" s="19" t="s">
        <v>10459</v>
      </c>
      <c r="F87" s="21">
        <f t="shared" si="484"/>
        <v>19.379999999999999</v>
      </c>
      <c r="G87" s="21">
        <f t="shared" si="484"/>
        <v>19.379999999999999</v>
      </c>
      <c r="H87" s="21">
        <f t="shared" si="484"/>
        <v>19.379999999999999</v>
      </c>
      <c r="I87" s="24" t="str">
        <f t="shared" si="485"/>
        <v xml:space="preserve">COM VALOR</v>
      </c>
      <c r="L87" s="36">
        <v>19.379999999999999</v>
      </c>
      <c r="M87" s="37">
        <v>19.379999999999999</v>
      </c>
      <c r="N87" s="36">
        <v>19.379999999999999</v>
      </c>
    </row>
    <row r="88" ht="12.75">
      <c r="A88" s="19" t="s">
        <v>10460</v>
      </c>
      <c r="B88" s="19">
        <v>37998</v>
      </c>
      <c r="C88" s="20" t="s">
        <v>10538</v>
      </c>
      <c r="D88" s="19" t="s">
        <v>31</v>
      </c>
      <c r="E88" s="19" t="s">
        <v>10459</v>
      </c>
      <c r="F88" s="21">
        <f t="shared" si="484"/>
        <v>25.940000000000001</v>
      </c>
      <c r="G88" s="21">
        <f t="shared" si="484"/>
        <v>25.940000000000001</v>
      </c>
      <c r="H88" s="21">
        <f t="shared" si="484"/>
        <v>25.940000000000001</v>
      </c>
      <c r="I88" s="24" t="str">
        <f t="shared" si="485"/>
        <v xml:space="preserve">COM VALOR</v>
      </c>
      <c r="L88" s="36">
        <v>25.940000000000001</v>
      </c>
      <c r="M88" s="37">
        <v>25.940000000000001</v>
      </c>
      <c r="N88" s="36">
        <v>25.940000000000001</v>
      </c>
    </row>
    <row r="89" ht="38.25">
      <c r="A89" s="19" t="s">
        <v>10460</v>
      </c>
      <c r="B89" s="19">
        <v>55</v>
      </c>
      <c r="C89" s="20" t="s">
        <v>10539</v>
      </c>
      <c r="D89" s="19" t="s">
        <v>31</v>
      </c>
      <c r="E89" s="19" t="s">
        <v>10466</v>
      </c>
      <c r="F89" s="21" t="str">
        <f t="shared" si="484"/>
        <v>VERIFICAR</v>
      </c>
      <c r="G89" s="21" t="str">
        <f t="shared" si="484"/>
        <v>VERIFICAR</v>
      </c>
      <c r="H89" s="21" t="str">
        <f t="shared" si="484"/>
        <v>VERIFICAR</v>
      </c>
      <c r="I89" s="24" t="str">
        <f t="shared" si="485"/>
        <v xml:space="preserve">SEM VALOR</v>
      </c>
      <c r="L89" s="36"/>
      <c r="M89" s="37"/>
      <c r="N89" s="36"/>
    </row>
    <row r="90" ht="38.25">
      <c r="A90" s="19" t="s">
        <v>10460</v>
      </c>
      <c r="B90" s="19">
        <v>61</v>
      </c>
      <c r="C90" s="20" t="s">
        <v>10540</v>
      </c>
      <c r="D90" s="19" t="s">
        <v>31</v>
      </c>
      <c r="E90" s="19" t="s">
        <v>10459</v>
      </c>
      <c r="F90" s="21" t="str">
        <f t="shared" si="484"/>
        <v>VERIFICAR</v>
      </c>
      <c r="G90" s="21" t="str">
        <f t="shared" si="484"/>
        <v>VERIFICAR</v>
      </c>
      <c r="H90" s="21" t="str">
        <f t="shared" si="484"/>
        <v>VERIFICAR</v>
      </c>
      <c r="I90" s="24" t="str">
        <f t="shared" si="485"/>
        <v xml:space="preserve">SEM VALOR</v>
      </c>
      <c r="L90" s="36"/>
      <c r="M90" s="37"/>
      <c r="N90" s="36"/>
    </row>
    <row r="91" ht="38.25">
      <c r="A91" s="19" t="s">
        <v>10460</v>
      </c>
      <c r="B91" s="19">
        <v>62</v>
      </c>
      <c r="C91" s="20" t="s">
        <v>10541</v>
      </c>
      <c r="D91" s="19" t="s">
        <v>31</v>
      </c>
      <c r="E91" s="19" t="s">
        <v>10459</v>
      </c>
      <c r="F91" s="21" t="str">
        <f t="shared" si="484"/>
        <v>VERIFICAR</v>
      </c>
      <c r="G91" s="21" t="str">
        <f t="shared" si="484"/>
        <v>VERIFICAR</v>
      </c>
      <c r="H91" s="21" t="str">
        <f t="shared" si="484"/>
        <v>VERIFICAR</v>
      </c>
      <c r="I91" s="24" t="str">
        <f t="shared" si="485"/>
        <v xml:space="preserve">SEM VALOR</v>
      </c>
      <c r="L91" s="36"/>
      <c r="M91" s="37"/>
      <c r="N91" s="36"/>
    </row>
    <row r="92" ht="38.25">
      <c r="A92" s="19" t="s">
        <v>10460</v>
      </c>
      <c r="B92" s="19">
        <v>10899</v>
      </c>
      <c r="C92" s="20" t="s">
        <v>10542</v>
      </c>
      <c r="D92" s="19" t="s">
        <v>31</v>
      </c>
      <c r="E92" s="19" t="s">
        <v>10459</v>
      </c>
      <c r="F92" s="21">
        <f t="shared" si="484"/>
        <v>78.849999999999994</v>
      </c>
      <c r="G92" s="21">
        <f t="shared" si="484"/>
        <v>78.849999999999994</v>
      </c>
      <c r="H92" s="21">
        <f t="shared" si="484"/>
        <v>78.849999999999994</v>
      </c>
      <c r="I92" s="24" t="str">
        <f t="shared" si="485"/>
        <v xml:space="preserve">COM VALOR</v>
      </c>
      <c r="L92" s="36">
        <v>78.849999999999994</v>
      </c>
      <c r="M92" s="37">
        <v>78.849999999999994</v>
      </c>
      <c r="N92" s="36">
        <v>78.849999999999994</v>
      </c>
    </row>
    <row r="93" ht="38.25">
      <c r="A93" s="19" t="s">
        <v>10460</v>
      </c>
      <c r="B93" s="19">
        <v>10900</v>
      </c>
      <c r="C93" s="20" t="s">
        <v>10543</v>
      </c>
      <c r="D93" s="19" t="s">
        <v>31</v>
      </c>
      <c r="E93" s="19" t="s">
        <v>10459</v>
      </c>
      <c r="F93" s="21">
        <f t="shared" si="484"/>
        <v>61.710000000000001</v>
      </c>
      <c r="G93" s="21">
        <f t="shared" si="484"/>
        <v>61.710000000000001</v>
      </c>
      <c r="H93" s="21">
        <f t="shared" si="484"/>
        <v>61.710000000000001</v>
      </c>
      <c r="I93" s="24" t="str">
        <f t="shared" si="485"/>
        <v xml:space="preserve">COM VALOR</v>
      </c>
      <c r="L93" s="36">
        <v>61.710000000000001</v>
      </c>
      <c r="M93" s="37">
        <v>61.710000000000001</v>
      </c>
      <c r="N93" s="36">
        <v>61.710000000000001</v>
      </c>
    </row>
    <row r="94" ht="12.75">
      <c r="A94" s="19" t="s">
        <v>10460</v>
      </c>
      <c r="B94" s="19">
        <v>47</v>
      </c>
      <c r="C94" s="20" t="s">
        <v>10544</v>
      </c>
      <c r="D94" s="19" t="s">
        <v>31</v>
      </c>
      <c r="E94" s="19" t="s">
        <v>10459</v>
      </c>
      <c r="F94" s="21">
        <f t="shared" si="484"/>
        <v>65.549999999999997</v>
      </c>
      <c r="G94" s="21">
        <f t="shared" si="484"/>
        <v>65.549999999999997</v>
      </c>
      <c r="H94" s="21">
        <f t="shared" si="484"/>
        <v>65.549999999999997</v>
      </c>
      <c r="I94" s="24" t="str">
        <f t="shared" si="485"/>
        <v xml:space="preserve">COM VALOR</v>
      </c>
      <c r="L94" s="36">
        <v>65.549999999999997</v>
      </c>
      <c r="M94" s="37">
        <v>65.549999999999997</v>
      </c>
      <c r="N94" s="36">
        <v>65.549999999999997</v>
      </c>
    </row>
    <row r="95" ht="12.75">
      <c r="A95" s="19" t="s">
        <v>10460</v>
      </c>
      <c r="B95" s="19">
        <v>48</v>
      </c>
      <c r="C95" s="20" t="s">
        <v>10545</v>
      </c>
      <c r="D95" s="19" t="s">
        <v>31</v>
      </c>
      <c r="E95" s="19" t="s">
        <v>10459</v>
      </c>
      <c r="F95" s="21">
        <f t="shared" si="484"/>
        <v>17.100000000000001</v>
      </c>
      <c r="G95" s="21">
        <f t="shared" si="484"/>
        <v>17.100000000000001</v>
      </c>
      <c r="H95" s="21">
        <f t="shared" si="484"/>
        <v>17.100000000000001</v>
      </c>
      <c r="I95" s="24" t="str">
        <f t="shared" si="485"/>
        <v xml:space="preserve">COM VALOR</v>
      </c>
      <c r="L95" s="36">
        <v>17.100000000000001</v>
      </c>
      <c r="M95" s="37">
        <v>17.100000000000001</v>
      </c>
      <c r="N95" s="36">
        <v>17.100000000000001</v>
      </c>
    </row>
    <row r="96" ht="12.75">
      <c r="A96" s="19" t="s">
        <v>10460</v>
      </c>
      <c r="B96" s="19">
        <v>46</v>
      </c>
      <c r="C96" s="20" t="s">
        <v>10546</v>
      </c>
      <c r="D96" s="19" t="s">
        <v>31</v>
      </c>
      <c r="E96" s="19" t="s">
        <v>10459</v>
      </c>
      <c r="F96" s="21">
        <f t="shared" si="484"/>
        <v>38.340000000000003</v>
      </c>
      <c r="G96" s="21">
        <f t="shared" si="484"/>
        <v>38.340000000000003</v>
      </c>
      <c r="H96" s="21">
        <f t="shared" si="484"/>
        <v>38.340000000000003</v>
      </c>
      <c r="I96" s="24" t="str">
        <f t="shared" si="485"/>
        <v xml:space="preserve">COM VALOR</v>
      </c>
      <c r="L96" s="36">
        <v>38.340000000000003</v>
      </c>
      <c r="M96" s="37">
        <v>38.340000000000003</v>
      </c>
      <c r="N96" s="36">
        <v>38.340000000000003</v>
      </c>
    </row>
    <row r="97" ht="12.75">
      <c r="A97" s="19" t="s">
        <v>10460</v>
      </c>
      <c r="B97" s="19">
        <v>52</v>
      </c>
      <c r="C97" s="20" t="s">
        <v>10547</v>
      </c>
      <c r="D97" s="19" t="s">
        <v>31</v>
      </c>
      <c r="E97" s="19" t="s">
        <v>10459</v>
      </c>
      <c r="F97" s="21">
        <f t="shared" si="484"/>
        <v>12.99</v>
      </c>
      <c r="G97" s="21">
        <f t="shared" si="484"/>
        <v>12.99</v>
      </c>
      <c r="H97" s="21">
        <f t="shared" si="484"/>
        <v>12.99</v>
      </c>
      <c r="I97" s="24" t="str">
        <f t="shared" si="485"/>
        <v xml:space="preserve">COM VALOR</v>
      </c>
      <c r="L97" s="36">
        <v>12.99</v>
      </c>
      <c r="M97" s="37">
        <v>12.99</v>
      </c>
      <c r="N97" s="36">
        <v>12.99</v>
      </c>
    </row>
    <row r="98" ht="12.75">
      <c r="A98" s="19" t="s">
        <v>10460</v>
      </c>
      <c r="B98" s="19">
        <v>43</v>
      </c>
      <c r="C98" s="20" t="s">
        <v>10548</v>
      </c>
      <c r="D98" s="19" t="s">
        <v>31</v>
      </c>
      <c r="E98" s="19" t="s">
        <v>10459</v>
      </c>
      <c r="F98" s="21">
        <f t="shared" si="484"/>
        <v>43.840000000000003</v>
      </c>
      <c r="G98" s="21">
        <f t="shared" si="484"/>
        <v>43.840000000000003</v>
      </c>
      <c r="H98" s="21">
        <f t="shared" si="484"/>
        <v>43.840000000000003</v>
      </c>
      <c r="I98" s="24" t="str">
        <f t="shared" si="485"/>
        <v xml:space="preserve">COM VALOR</v>
      </c>
      <c r="L98" s="36">
        <v>43.840000000000003</v>
      </c>
      <c r="M98" s="37">
        <v>43.840000000000003</v>
      </c>
      <c r="N98" s="36">
        <v>43.840000000000003</v>
      </c>
    </row>
    <row r="99" ht="25.5">
      <c r="A99" s="19" t="s">
        <v>10460</v>
      </c>
      <c r="B99" s="19">
        <v>103</v>
      </c>
      <c r="C99" s="20" t="s">
        <v>10549</v>
      </c>
      <c r="D99" s="19" t="s">
        <v>31</v>
      </c>
      <c r="E99" s="19" t="s">
        <v>10459</v>
      </c>
      <c r="F99" s="21">
        <f t="shared" si="484"/>
        <v>45.100000000000001</v>
      </c>
      <c r="G99" s="21">
        <f t="shared" si="484"/>
        <v>45.100000000000001</v>
      </c>
      <c r="H99" s="21">
        <f t="shared" si="484"/>
        <v>45.100000000000001</v>
      </c>
      <c r="I99" s="24" t="str">
        <f t="shared" si="485"/>
        <v xml:space="preserve">COM VALOR</v>
      </c>
      <c r="L99" s="36">
        <v>45.100000000000001</v>
      </c>
      <c r="M99" s="37">
        <v>45.100000000000001</v>
      </c>
      <c r="N99" s="36">
        <v>45.100000000000001</v>
      </c>
    </row>
    <row r="100" ht="25.5">
      <c r="A100" s="19" t="s">
        <v>10460</v>
      </c>
      <c r="B100" s="19">
        <v>107</v>
      </c>
      <c r="C100" s="20" t="s">
        <v>10550</v>
      </c>
      <c r="D100" s="19" t="s">
        <v>31</v>
      </c>
      <c r="E100" s="19" t="s">
        <v>10459</v>
      </c>
      <c r="F100" s="21">
        <f t="shared" si="484"/>
        <v>0.84999999999999998</v>
      </c>
      <c r="G100" s="21">
        <f t="shared" si="484"/>
        <v>0.84999999999999998</v>
      </c>
      <c r="H100" s="21">
        <f t="shared" si="484"/>
        <v>0.84999999999999998</v>
      </c>
      <c r="I100" s="24" t="str">
        <f t="shared" si="485"/>
        <v xml:space="preserve">COM VALOR</v>
      </c>
      <c r="L100" s="36">
        <v>0.84999999999999998</v>
      </c>
      <c r="M100" s="37">
        <v>0.84999999999999998</v>
      </c>
      <c r="N100" s="36">
        <v>0.84999999999999998</v>
      </c>
    </row>
    <row r="101" ht="25.5">
      <c r="A101" s="19" t="s">
        <v>10460</v>
      </c>
      <c r="B101" s="19">
        <v>65</v>
      </c>
      <c r="C101" s="20" t="s">
        <v>10551</v>
      </c>
      <c r="D101" s="19" t="s">
        <v>31</v>
      </c>
      <c r="E101" s="19" t="s">
        <v>10459</v>
      </c>
      <c r="F101" s="21">
        <f t="shared" si="484"/>
        <v>0.93000000000000005</v>
      </c>
      <c r="G101" s="21">
        <f t="shared" si="484"/>
        <v>0.93000000000000005</v>
      </c>
      <c r="H101" s="21">
        <f t="shared" si="484"/>
        <v>0.93000000000000005</v>
      </c>
      <c r="I101" s="24" t="str">
        <f t="shared" si="485"/>
        <v xml:space="preserve">COM VALOR</v>
      </c>
      <c r="L101" s="36">
        <v>0.93000000000000005</v>
      </c>
      <c r="M101" s="37">
        <v>0.93000000000000005</v>
      </c>
      <c r="N101" s="36">
        <v>0.93000000000000005</v>
      </c>
    </row>
    <row r="102" ht="25.5">
      <c r="A102" s="19" t="s">
        <v>10460</v>
      </c>
      <c r="B102" s="19">
        <v>108</v>
      </c>
      <c r="C102" s="20" t="s">
        <v>10552</v>
      </c>
      <c r="D102" s="19" t="s">
        <v>31</v>
      </c>
      <c r="E102" s="19" t="s">
        <v>10459</v>
      </c>
      <c r="F102" s="21">
        <f t="shared" si="484"/>
        <v>1.8700000000000001</v>
      </c>
      <c r="G102" s="21">
        <f t="shared" si="484"/>
        <v>1.8700000000000001</v>
      </c>
      <c r="H102" s="21">
        <f t="shared" si="484"/>
        <v>1.8700000000000001</v>
      </c>
      <c r="I102" s="24" t="str">
        <f t="shared" si="485"/>
        <v xml:space="preserve">COM VALOR</v>
      </c>
      <c r="L102" s="36">
        <v>1.8700000000000001</v>
      </c>
      <c r="M102" s="37">
        <v>1.8700000000000001</v>
      </c>
      <c r="N102" s="36">
        <v>1.8700000000000001</v>
      </c>
    </row>
    <row r="103" ht="25.5">
      <c r="A103" s="19" t="s">
        <v>10460</v>
      </c>
      <c r="B103" s="19">
        <v>110</v>
      </c>
      <c r="C103" s="20" t="s">
        <v>10553</v>
      </c>
      <c r="D103" s="19" t="s">
        <v>31</v>
      </c>
      <c r="E103" s="19" t="s">
        <v>10459</v>
      </c>
      <c r="F103" s="21">
        <f t="shared" si="484"/>
        <v>6.4900000000000002</v>
      </c>
      <c r="G103" s="21">
        <f t="shared" si="484"/>
        <v>6.4900000000000002</v>
      </c>
      <c r="H103" s="21">
        <f t="shared" si="484"/>
        <v>6.4900000000000002</v>
      </c>
      <c r="I103" s="24" t="str">
        <f t="shared" si="485"/>
        <v xml:space="preserve">COM VALOR</v>
      </c>
      <c r="L103" s="36">
        <v>6.4900000000000002</v>
      </c>
      <c r="M103" s="37">
        <v>6.4900000000000002</v>
      </c>
      <c r="N103" s="36">
        <v>6.4900000000000002</v>
      </c>
    </row>
    <row r="104" ht="25.5">
      <c r="A104" s="19" t="s">
        <v>10460</v>
      </c>
      <c r="B104" s="19">
        <v>109</v>
      </c>
      <c r="C104" s="20" t="s">
        <v>10554</v>
      </c>
      <c r="D104" s="19" t="s">
        <v>31</v>
      </c>
      <c r="E104" s="19" t="s">
        <v>10459</v>
      </c>
      <c r="F104" s="21">
        <f t="shared" si="484"/>
        <v>3.8599999999999999</v>
      </c>
      <c r="G104" s="21">
        <f t="shared" si="484"/>
        <v>3.8599999999999999</v>
      </c>
      <c r="H104" s="21">
        <f t="shared" si="484"/>
        <v>3.8599999999999999</v>
      </c>
      <c r="I104" s="24" t="str">
        <f t="shared" si="485"/>
        <v xml:space="preserve">COM VALOR</v>
      </c>
      <c r="L104" s="36">
        <v>3.8599999999999999</v>
      </c>
      <c r="M104" s="37">
        <v>3.8599999999999999</v>
      </c>
      <c r="N104" s="36">
        <v>3.8599999999999999</v>
      </c>
    </row>
    <row r="105" ht="25.5">
      <c r="A105" s="19" t="s">
        <v>10460</v>
      </c>
      <c r="B105" s="19">
        <v>111</v>
      </c>
      <c r="C105" s="20" t="s">
        <v>10555</v>
      </c>
      <c r="D105" s="19" t="s">
        <v>31</v>
      </c>
      <c r="E105" s="19" t="s">
        <v>10459</v>
      </c>
      <c r="F105" s="21">
        <f t="shared" si="484"/>
        <v>8.7799999999999994</v>
      </c>
      <c r="G105" s="21">
        <f t="shared" si="484"/>
        <v>8.7799999999999994</v>
      </c>
      <c r="H105" s="21">
        <f t="shared" si="484"/>
        <v>8.7799999999999994</v>
      </c>
      <c r="I105" s="24" t="str">
        <f t="shared" si="485"/>
        <v xml:space="preserve">COM VALOR</v>
      </c>
      <c r="L105" s="36">
        <v>8.7799999999999994</v>
      </c>
      <c r="M105" s="37">
        <v>8.7799999999999994</v>
      </c>
      <c r="N105" s="36">
        <v>8.7799999999999994</v>
      </c>
    </row>
    <row r="106" ht="25.5">
      <c r="A106" s="19" t="s">
        <v>10460</v>
      </c>
      <c r="B106" s="19">
        <v>112</v>
      </c>
      <c r="C106" s="20" t="s">
        <v>10556</v>
      </c>
      <c r="D106" s="19" t="s">
        <v>31</v>
      </c>
      <c r="E106" s="19" t="s">
        <v>10459</v>
      </c>
      <c r="F106" s="21">
        <f t="shared" si="484"/>
        <v>4.6500000000000004</v>
      </c>
      <c r="G106" s="21">
        <f t="shared" si="484"/>
        <v>4.6500000000000004</v>
      </c>
      <c r="H106" s="21">
        <f t="shared" si="484"/>
        <v>4.6500000000000004</v>
      </c>
      <c r="I106" s="24" t="str">
        <f t="shared" si="485"/>
        <v xml:space="preserve">COM VALOR</v>
      </c>
      <c r="L106" s="36">
        <v>4.6500000000000004</v>
      </c>
      <c r="M106" s="37">
        <v>4.6500000000000004</v>
      </c>
      <c r="N106" s="36">
        <v>4.6500000000000004</v>
      </c>
    </row>
    <row r="107" ht="25.5">
      <c r="A107" s="19" t="s">
        <v>10460</v>
      </c>
      <c r="B107" s="19">
        <v>113</v>
      </c>
      <c r="C107" s="20" t="s">
        <v>10557</v>
      </c>
      <c r="D107" s="19" t="s">
        <v>31</v>
      </c>
      <c r="E107" s="19" t="s">
        <v>10459</v>
      </c>
      <c r="F107" s="21">
        <f t="shared" si="484"/>
        <v>11.65</v>
      </c>
      <c r="G107" s="21">
        <f t="shared" si="484"/>
        <v>11.65</v>
      </c>
      <c r="H107" s="21">
        <f t="shared" si="484"/>
        <v>11.65</v>
      </c>
      <c r="I107" s="24" t="str">
        <f t="shared" si="485"/>
        <v xml:space="preserve">COM VALOR</v>
      </c>
      <c r="L107" s="36">
        <v>11.65</v>
      </c>
      <c r="M107" s="37">
        <v>11.65</v>
      </c>
      <c r="N107" s="36">
        <v>11.65</v>
      </c>
    </row>
    <row r="108" ht="25.5">
      <c r="A108" s="19" t="s">
        <v>10460</v>
      </c>
      <c r="B108" s="19">
        <v>104</v>
      </c>
      <c r="C108" s="20" t="s">
        <v>10558</v>
      </c>
      <c r="D108" s="19" t="s">
        <v>31</v>
      </c>
      <c r="E108" s="19" t="s">
        <v>10459</v>
      </c>
      <c r="F108" s="21">
        <f t="shared" si="484"/>
        <v>20.27</v>
      </c>
      <c r="G108" s="21">
        <f t="shared" si="484"/>
        <v>20.27</v>
      </c>
      <c r="H108" s="21">
        <f t="shared" si="484"/>
        <v>20.27</v>
      </c>
      <c r="I108" s="24" t="str">
        <f t="shared" si="485"/>
        <v xml:space="preserve">COM VALOR</v>
      </c>
      <c r="L108" s="36">
        <v>20.27</v>
      </c>
      <c r="M108" s="37">
        <v>20.27</v>
      </c>
      <c r="N108" s="36">
        <v>20.27</v>
      </c>
    </row>
    <row r="109" ht="25.5">
      <c r="A109" s="19" t="s">
        <v>10460</v>
      </c>
      <c r="B109" s="19">
        <v>102</v>
      </c>
      <c r="C109" s="20" t="s">
        <v>10559</v>
      </c>
      <c r="D109" s="19" t="s">
        <v>31</v>
      </c>
      <c r="E109" s="19" t="s">
        <v>10459</v>
      </c>
      <c r="F109" s="21">
        <f t="shared" si="484"/>
        <v>27.940000000000001</v>
      </c>
      <c r="G109" s="21">
        <f t="shared" si="484"/>
        <v>27.940000000000001</v>
      </c>
      <c r="H109" s="21">
        <f t="shared" si="484"/>
        <v>27.940000000000001</v>
      </c>
      <c r="I109" s="24" t="str">
        <f t="shared" si="485"/>
        <v xml:space="preserve">COM VALOR</v>
      </c>
      <c r="L109" s="36">
        <v>27.940000000000001</v>
      </c>
      <c r="M109" s="37">
        <v>27.940000000000001</v>
      </c>
      <c r="N109" s="36">
        <v>27.940000000000001</v>
      </c>
    </row>
    <row r="110" ht="25.5">
      <c r="A110" s="19" t="s">
        <v>10460</v>
      </c>
      <c r="B110" s="19">
        <v>95</v>
      </c>
      <c r="C110" s="20" t="s">
        <v>10560</v>
      </c>
      <c r="D110" s="19" t="s">
        <v>31</v>
      </c>
      <c r="E110" s="19" t="s">
        <v>10459</v>
      </c>
      <c r="F110" s="21">
        <f t="shared" si="484"/>
        <v>11.81</v>
      </c>
      <c r="G110" s="21">
        <f t="shared" si="484"/>
        <v>11.81</v>
      </c>
      <c r="H110" s="21">
        <f t="shared" si="484"/>
        <v>11.81</v>
      </c>
      <c r="I110" s="24" t="str">
        <f t="shared" si="485"/>
        <v xml:space="preserve">COM VALOR</v>
      </c>
      <c r="L110" s="36">
        <v>11.81</v>
      </c>
      <c r="M110" s="37">
        <v>11.81</v>
      </c>
      <c r="N110" s="36">
        <v>11.81</v>
      </c>
    </row>
    <row r="111" ht="25.5">
      <c r="A111" s="19" t="s">
        <v>10460</v>
      </c>
      <c r="B111" s="19">
        <v>96</v>
      </c>
      <c r="C111" s="20" t="s">
        <v>10561</v>
      </c>
      <c r="D111" s="19" t="s">
        <v>31</v>
      </c>
      <c r="E111" s="19" t="s">
        <v>10459</v>
      </c>
      <c r="F111" s="21">
        <f t="shared" si="484"/>
        <v>12.84</v>
      </c>
      <c r="G111" s="21">
        <f t="shared" si="484"/>
        <v>12.84</v>
      </c>
      <c r="H111" s="21">
        <f t="shared" si="484"/>
        <v>12.84</v>
      </c>
      <c r="I111" s="24" t="str">
        <f t="shared" si="485"/>
        <v xml:space="preserve">COM VALOR</v>
      </c>
      <c r="L111" s="36">
        <v>12.84</v>
      </c>
      <c r="M111" s="37">
        <v>12.84</v>
      </c>
      <c r="N111" s="36">
        <v>12.84</v>
      </c>
    </row>
    <row r="112" ht="25.5">
      <c r="A112" s="19" t="s">
        <v>10460</v>
      </c>
      <c r="B112" s="19">
        <v>97</v>
      </c>
      <c r="C112" s="20" t="s">
        <v>10562</v>
      </c>
      <c r="D112" s="19" t="s">
        <v>31</v>
      </c>
      <c r="E112" s="19" t="s">
        <v>10459</v>
      </c>
      <c r="F112" s="21">
        <f t="shared" si="484"/>
        <v>19.32</v>
      </c>
      <c r="G112" s="21">
        <f t="shared" si="484"/>
        <v>19.32</v>
      </c>
      <c r="H112" s="21">
        <f t="shared" si="484"/>
        <v>19.32</v>
      </c>
      <c r="I112" s="24" t="str">
        <f t="shared" si="485"/>
        <v xml:space="preserve">COM VALOR</v>
      </c>
      <c r="L112" s="36">
        <v>19.32</v>
      </c>
      <c r="M112" s="37">
        <v>19.32</v>
      </c>
      <c r="N112" s="36">
        <v>19.32</v>
      </c>
    </row>
    <row r="113" ht="25.5">
      <c r="A113" s="19" t="s">
        <v>10460</v>
      </c>
      <c r="B113" s="19">
        <v>98</v>
      </c>
      <c r="C113" s="20" t="s">
        <v>10563</v>
      </c>
      <c r="D113" s="19" t="s">
        <v>31</v>
      </c>
      <c r="E113" s="19" t="s">
        <v>10459</v>
      </c>
      <c r="F113" s="21">
        <f t="shared" si="484"/>
        <v>28.93</v>
      </c>
      <c r="G113" s="21">
        <f t="shared" si="484"/>
        <v>28.93</v>
      </c>
      <c r="H113" s="21">
        <f t="shared" si="484"/>
        <v>28.93</v>
      </c>
      <c r="I113" s="24" t="str">
        <f t="shared" si="485"/>
        <v xml:space="preserve">COM VALOR</v>
      </c>
      <c r="L113" s="36">
        <v>28.93</v>
      </c>
      <c r="M113" s="37">
        <v>28.93</v>
      </c>
      <c r="N113" s="36">
        <v>28.93</v>
      </c>
    </row>
    <row r="114" ht="25.5">
      <c r="A114" s="19" t="s">
        <v>10460</v>
      </c>
      <c r="B114" s="19">
        <v>99</v>
      </c>
      <c r="C114" s="20" t="s">
        <v>10564</v>
      </c>
      <c r="D114" s="19" t="s">
        <v>31</v>
      </c>
      <c r="E114" s="19" t="s">
        <v>10459</v>
      </c>
      <c r="F114" s="21">
        <f t="shared" si="484"/>
        <v>27.34</v>
      </c>
      <c r="G114" s="21">
        <f t="shared" si="484"/>
        <v>27.34</v>
      </c>
      <c r="H114" s="21">
        <f t="shared" si="484"/>
        <v>27.34</v>
      </c>
      <c r="I114" s="24" t="str">
        <f t="shared" si="485"/>
        <v xml:space="preserve">COM VALOR</v>
      </c>
      <c r="L114" s="36">
        <v>27.34</v>
      </c>
      <c r="M114" s="37">
        <v>27.34</v>
      </c>
      <c r="N114" s="36">
        <v>27.34</v>
      </c>
    </row>
    <row r="115" ht="25.5">
      <c r="A115" s="19" t="s">
        <v>10460</v>
      </c>
      <c r="B115" s="19">
        <v>60</v>
      </c>
      <c r="C115" s="20" t="s">
        <v>10565</v>
      </c>
      <c r="D115" s="19" t="s">
        <v>31</v>
      </c>
      <c r="E115" s="19" t="s">
        <v>10459</v>
      </c>
      <c r="F115" s="21" t="str">
        <f t="shared" si="484"/>
        <v>VERIFICAR</v>
      </c>
      <c r="G115" s="21" t="str">
        <f t="shared" si="484"/>
        <v>VERIFICAR</v>
      </c>
      <c r="H115" s="21" t="str">
        <f t="shared" si="484"/>
        <v>VERIFICAR</v>
      </c>
      <c r="I115" s="24" t="str">
        <f t="shared" si="485"/>
        <v xml:space="preserve">SEM VALOR</v>
      </c>
      <c r="L115" s="36"/>
      <c r="M115" s="37"/>
      <c r="N115" s="36"/>
    </row>
    <row r="116" ht="25.5">
      <c r="A116" s="19" t="s">
        <v>10460</v>
      </c>
      <c r="B116" s="19">
        <v>72</v>
      </c>
      <c r="C116" s="20" t="s">
        <v>10566</v>
      </c>
      <c r="D116" s="19" t="s">
        <v>31</v>
      </c>
      <c r="E116" s="19" t="s">
        <v>10459</v>
      </c>
      <c r="F116" s="21">
        <f t="shared" si="484"/>
        <v>52.439999999999998</v>
      </c>
      <c r="G116" s="21">
        <f t="shared" si="484"/>
        <v>52.439999999999998</v>
      </c>
      <c r="H116" s="21">
        <f t="shared" si="484"/>
        <v>52.439999999999998</v>
      </c>
      <c r="I116" s="24" t="str">
        <f t="shared" si="485"/>
        <v xml:space="preserve">COM VALOR</v>
      </c>
      <c r="L116" s="36">
        <v>52.439999999999998</v>
      </c>
      <c r="M116" s="37">
        <v>52.439999999999998</v>
      </c>
      <c r="N116" s="36">
        <v>52.439999999999998</v>
      </c>
    </row>
    <row r="117" ht="25.5">
      <c r="A117" s="19" t="s">
        <v>10460</v>
      </c>
      <c r="B117" s="19">
        <v>71</v>
      </c>
      <c r="C117" s="20" t="s">
        <v>10567</v>
      </c>
      <c r="D117" s="19" t="s">
        <v>31</v>
      </c>
      <c r="E117" s="19" t="s">
        <v>10459</v>
      </c>
      <c r="F117" s="21">
        <f t="shared" si="484"/>
        <v>32.380000000000003</v>
      </c>
      <c r="G117" s="21">
        <f t="shared" si="484"/>
        <v>32.380000000000003</v>
      </c>
      <c r="H117" s="21">
        <f t="shared" si="484"/>
        <v>32.380000000000003</v>
      </c>
      <c r="I117" s="24" t="str">
        <f t="shared" si="485"/>
        <v xml:space="preserve">COM VALOR</v>
      </c>
      <c r="L117" s="36">
        <v>32.380000000000003</v>
      </c>
      <c r="M117" s="37">
        <v>32.380000000000003</v>
      </c>
      <c r="N117" s="36">
        <v>32.380000000000003</v>
      </c>
    </row>
    <row r="118" ht="25.5">
      <c r="A118" s="19" t="s">
        <v>10460</v>
      </c>
      <c r="B118" s="19">
        <v>67</v>
      </c>
      <c r="C118" s="20" t="s">
        <v>10568</v>
      </c>
      <c r="D118" s="19" t="s">
        <v>31</v>
      </c>
      <c r="E118" s="19" t="s">
        <v>10459</v>
      </c>
      <c r="F118" s="21">
        <f t="shared" si="484"/>
        <v>16.949999999999999</v>
      </c>
      <c r="G118" s="21">
        <f t="shared" si="484"/>
        <v>16.949999999999999</v>
      </c>
      <c r="H118" s="21">
        <f t="shared" si="484"/>
        <v>16.949999999999999</v>
      </c>
      <c r="I118" s="24" t="str">
        <f t="shared" si="485"/>
        <v xml:space="preserve">COM VALOR</v>
      </c>
      <c r="L118" s="36">
        <v>16.949999999999999</v>
      </c>
      <c r="M118" s="37">
        <v>16.949999999999999</v>
      </c>
      <c r="N118" s="36">
        <v>16.949999999999999</v>
      </c>
    </row>
    <row r="119" ht="25.5">
      <c r="A119" s="19" t="s">
        <v>10460</v>
      </c>
      <c r="B119" s="19">
        <v>73</v>
      </c>
      <c r="C119" s="20" t="s">
        <v>10569</v>
      </c>
      <c r="D119" s="19" t="s">
        <v>31</v>
      </c>
      <c r="E119" s="19" t="s">
        <v>10459</v>
      </c>
      <c r="F119" s="21">
        <f t="shared" si="484"/>
        <v>16.219999999999999</v>
      </c>
      <c r="G119" s="21">
        <f t="shared" si="484"/>
        <v>16.219999999999999</v>
      </c>
      <c r="H119" s="21">
        <f t="shared" si="484"/>
        <v>16.219999999999999</v>
      </c>
      <c r="I119" s="24" t="str">
        <f t="shared" si="485"/>
        <v xml:space="preserve">COM VALOR</v>
      </c>
      <c r="L119" s="36">
        <v>16.219999999999999</v>
      </c>
      <c r="M119" s="37">
        <v>16.219999999999999</v>
      </c>
      <c r="N119" s="36">
        <v>16.219999999999999</v>
      </c>
    </row>
    <row r="120" ht="25.5">
      <c r="A120" s="19" t="s">
        <v>10460</v>
      </c>
      <c r="B120" s="19">
        <v>100</v>
      </c>
      <c r="C120" s="20" t="s">
        <v>10570</v>
      </c>
      <c r="D120" s="19" t="s">
        <v>31</v>
      </c>
      <c r="E120" s="19" t="s">
        <v>10459</v>
      </c>
      <c r="F120" s="21">
        <f t="shared" si="484"/>
        <v>47.770000000000003</v>
      </c>
      <c r="G120" s="21">
        <f t="shared" si="484"/>
        <v>47.770000000000003</v>
      </c>
      <c r="H120" s="21">
        <f t="shared" si="484"/>
        <v>47.770000000000003</v>
      </c>
      <c r="I120" s="24" t="str">
        <f t="shared" si="485"/>
        <v xml:space="preserve">COM VALOR</v>
      </c>
      <c r="L120" s="36">
        <v>47.770000000000003</v>
      </c>
      <c r="M120" s="37">
        <v>47.770000000000003</v>
      </c>
      <c r="N120" s="36">
        <v>47.770000000000003</v>
      </c>
    </row>
    <row r="121" ht="25.5">
      <c r="A121" s="19" t="s">
        <v>10460</v>
      </c>
      <c r="B121" s="19">
        <v>75</v>
      </c>
      <c r="C121" s="20" t="s">
        <v>10571</v>
      </c>
      <c r="D121" s="19" t="s">
        <v>31</v>
      </c>
      <c r="E121" s="19" t="s">
        <v>10459</v>
      </c>
      <c r="F121" s="21">
        <f t="shared" si="484"/>
        <v>278.50999999999999</v>
      </c>
      <c r="G121" s="21">
        <f t="shared" si="484"/>
        <v>278.50999999999999</v>
      </c>
      <c r="H121" s="21">
        <f t="shared" si="484"/>
        <v>278.50999999999999</v>
      </c>
      <c r="I121" s="24" t="str">
        <f t="shared" si="485"/>
        <v xml:space="preserve">COM VALOR</v>
      </c>
      <c r="L121" s="36">
        <v>278.50999999999999</v>
      </c>
      <c r="M121" s="37">
        <v>278.50999999999999</v>
      </c>
      <c r="N121" s="36">
        <v>278.50999999999999</v>
      </c>
    </row>
    <row r="122" ht="25.5">
      <c r="A122" s="19" t="s">
        <v>10460</v>
      </c>
      <c r="B122" s="19">
        <v>83</v>
      </c>
      <c r="C122" s="20" t="s">
        <v>10572</v>
      </c>
      <c r="D122" s="19" t="s">
        <v>31</v>
      </c>
      <c r="E122" s="19" t="s">
        <v>10459</v>
      </c>
      <c r="F122" s="21">
        <f t="shared" si="484"/>
        <v>222.66</v>
      </c>
      <c r="G122" s="21">
        <f t="shared" si="484"/>
        <v>222.66</v>
      </c>
      <c r="H122" s="21">
        <f t="shared" si="484"/>
        <v>222.66</v>
      </c>
      <c r="I122" s="24" t="str">
        <f t="shared" si="485"/>
        <v xml:space="preserve">COM VALOR</v>
      </c>
      <c r="L122" s="36">
        <v>222.66</v>
      </c>
      <c r="M122" s="37">
        <v>222.66</v>
      </c>
      <c r="N122" s="36">
        <v>222.66</v>
      </c>
    </row>
    <row r="123" ht="25.5">
      <c r="A123" s="19" t="s">
        <v>10460</v>
      </c>
      <c r="B123" s="19">
        <v>74</v>
      </c>
      <c r="C123" s="20" t="s">
        <v>10573</v>
      </c>
      <c r="D123" s="19" t="s">
        <v>31</v>
      </c>
      <c r="E123" s="19" t="s">
        <v>10459</v>
      </c>
      <c r="F123" s="21">
        <f t="shared" si="484"/>
        <v>318.33999999999997</v>
      </c>
      <c r="G123" s="21">
        <f t="shared" si="484"/>
        <v>318.33999999999997</v>
      </c>
      <c r="H123" s="21">
        <f t="shared" si="484"/>
        <v>318.33999999999997</v>
      </c>
      <c r="I123" s="24" t="str">
        <f t="shared" si="485"/>
        <v xml:space="preserve">COM VALOR</v>
      </c>
      <c r="L123" s="36">
        <v>318.33999999999997</v>
      </c>
      <c r="M123" s="37">
        <v>318.33999999999997</v>
      </c>
      <c r="N123" s="36">
        <v>318.33999999999997</v>
      </c>
    </row>
    <row r="124" ht="25.5">
      <c r="A124" s="19" t="s">
        <v>10460</v>
      </c>
      <c r="B124" s="19">
        <v>106</v>
      </c>
      <c r="C124" s="20" t="s">
        <v>10574</v>
      </c>
      <c r="D124" s="19" t="s">
        <v>31</v>
      </c>
      <c r="E124" s="19" t="s">
        <v>10459</v>
      </c>
      <c r="F124" s="21">
        <f t="shared" si="484"/>
        <v>402.55000000000001</v>
      </c>
      <c r="G124" s="21">
        <f t="shared" si="484"/>
        <v>402.55000000000001</v>
      </c>
      <c r="H124" s="21">
        <f t="shared" si="484"/>
        <v>402.55000000000001</v>
      </c>
      <c r="I124" s="24" t="str">
        <f t="shared" si="485"/>
        <v xml:space="preserve">COM VALOR</v>
      </c>
      <c r="L124" s="36">
        <v>402.55000000000001</v>
      </c>
      <c r="M124" s="37">
        <v>402.55000000000001</v>
      </c>
      <c r="N124" s="36">
        <v>402.55000000000001</v>
      </c>
    </row>
    <row r="125" ht="25.5">
      <c r="A125" s="19" t="s">
        <v>10460</v>
      </c>
      <c r="B125" s="19">
        <v>88</v>
      </c>
      <c r="C125" s="20" t="s">
        <v>10575</v>
      </c>
      <c r="D125" s="19" t="s">
        <v>31</v>
      </c>
      <c r="E125" s="19" t="s">
        <v>10459</v>
      </c>
      <c r="F125" s="21">
        <f t="shared" si="484"/>
        <v>11.31</v>
      </c>
      <c r="G125" s="21">
        <f t="shared" si="484"/>
        <v>11.31</v>
      </c>
      <c r="H125" s="21">
        <f t="shared" si="484"/>
        <v>11.31</v>
      </c>
      <c r="I125" s="24" t="str">
        <f t="shared" si="485"/>
        <v xml:space="preserve">COM VALOR</v>
      </c>
      <c r="L125" s="36">
        <v>11.31</v>
      </c>
      <c r="M125" s="37">
        <v>11.31</v>
      </c>
      <c r="N125" s="36">
        <v>11.31</v>
      </c>
    </row>
    <row r="126" ht="25.5">
      <c r="A126" s="19" t="s">
        <v>10460</v>
      </c>
      <c r="B126" s="19">
        <v>82</v>
      </c>
      <c r="C126" s="20" t="s">
        <v>10576</v>
      </c>
      <c r="D126" s="19" t="s">
        <v>31</v>
      </c>
      <c r="E126" s="19" t="s">
        <v>10459</v>
      </c>
      <c r="F126" s="21">
        <f t="shared" si="484"/>
        <v>211.84</v>
      </c>
      <c r="G126" s="21">
        <f t="shared" si="484"/>
        <v>211.84</v>
      </c>
      <c r="H126" s="21">
        <f t="shared" si="484"/>
        <v>211.84</v>
      </c>
      <c r="I126" s="24" t="str">
        <f t="shared" si="485"/>
        <v xml:space="preserve">COM VALOR</v>
      </c>
      <c r="L126" s="36">
        <v>211.84</v>
      </c>
      <c r="M126" s="37">
        <v>211.84</v>
      </c>
      <c r="N126" s="36">
        <v>211.84</v>
      </c>
    </row>
    <row r="127" ht="25.5">
      <c r="A127" s="19" t="s">
        <v>10460</v>
      </c>
      <c r="B127" s="19">
        <v>105</v>
      </c>
      <c r="C127" s="20" t="s">
        <v>10577</v>
      </c>
      <c r="D127" s="19" t="s">
        <v>31</v>
      </c>
      <c r="E127" s="19" t="s">
        <v>10459</v>
      </c>
      <c r="F127" s="21">
        <f t="shared" si="484"/>
        <v>300.18000000000001</v>
      </c>
      <c r="G127" s="21">
        <f t="shared" si="484"/>
        <v>300.18000000000001</v>
      </c>
      <c r="H127" s="21">
        <f t="shared" si="484"/>
        <v>300.18000000000001</v>
      </c>
      <c r="I127" s="24" t="str">
        <f t="shared" si="485"/>
        <v xml:space="preserve">COM VALOR</v>
      </c>
      <c r="L127" s="36">
        <v>300.18000000000001</v>
      </c>
      <c r="M127" s="37">
        <v>300.18000000000001</v>
      </c>
      <c r="N127" s="36">
        <v>300.18000000000001</v>
      </c>
    </row>
    <row r="128" ht="38.25">
      <c r="A128" s="19" t="s">
        <v>10460</v>
      </c>
      <c r="B128" s="19">
        <v>39719</v>
      </c>
      <c r="C128" s="20" t="s">
        <v>10578</v>
      </c>
      <c r="D128" s="19" t="s">
        <v>9794</v>
      </c>
      <c r="E128" s="19" t="s">
        <v>10459</v>
      </c>
      <c r="F128" s="21">
        <f t="shared" si="484"/>
        <v>200.15000000000001</v>
      </c>
      <c r="G128" s="21">
        <f t="shared" si="484"/>
        <v>200.15000000000001</v>
      </c>
      <c r="H128" s="21">
        <f t="shared" si="484"/>
        <v>200.15000000000001</v>
      </c>
      <c r="I128" s="24" t="str">
        <f t="shared" si="485"/>
        <v xml:space="preserve">COM VALOR</v>
      </c>
      <c r="L128" s="36">
        <v>200.15000000000001</v>
      </c>
      <c r="M128" s="37">
        <v>200.15000000000001</v>
      </c>
      <c r="N128" s="36">
        <v>200.15000000000001</v>
      </c>
    </row>
    <row r="129" ht="12.75">
      <c r="A129" s="19" t="s">
        <v>10460</v>
      </c>
      <c r="B129" s="19">
        <v>3410</v>
      </c>
      <c r="C129" s="20" t="s">
        <v>10579</v>
      </c>
      <c r="D129" s="19" t="s">
        <v>302</v>
      </c>
      <c r="E129" s="19" t="s">
        <v>10459</v>
      </c>
      <c r="F129" s="21">
        <f t="shared" si="484"/>
        <v>45.020000000000003</v>
      </c>
      <c r="G129" s="21">
        <f t="shared" si="484"/>
        <v>45.020000000000003</v>
      </c>
      <c r="H129" s="21">
        <f t="shared" si="484"/>
        <v>45.020000000000003</v>
      </c>
      <c r="I129" s="24" t="str">
        <f t="shared" si="485"/>
        <v xml:space="preserve">COM VALOR</v>
      </c>
      <c r="L129" s="36">
        <v>45.020000000000003</v>
      </c>
      <c r="M129" s="37">
        <v>45.020000000000003</v>
      </c>
      <c r="N129" s="36">
        <v>45.020000000000003</v>
      </c>
    </row>
    <row r="130" ht="12.75">
      <c r="A130" s="19" t="s">
        <v>10460</v>
      </c>
      <c r="B130" s="19">
        <v>4791</v>
      </c>
      <c r="C130" s="20" t="s">
        <v>10580</v>
      </c>
      <c r="D130" s="19" t="s">
        <v>302</v>
      </c>
      <c r="E130" s="19" t="s">
        <v>10459</v>
      </c>
      <c r="F130" s="21">
        <f t="shared" si="484"/>
        <v>32.350000000000001</v>
      </c>
      <c r="G130" s="21">
        <f t="shared" si="484"/>
        <v>32.350000000000001</v>
      </c>
      <c r="H130" s="21">
        <f t="shared" si="484"/>
        <v>32.350000000000001</v>
      </c>
      <c r="I130" s="24" t="str">
        <f t="shared" si="485"/>
        <v xml:space="preserve">COM VALOR</v>
      </c>
      <c r="L130" s="36">
        <v>32.350000000000001</v>
      </c>
      <c r="M130" s="37">
        <v>32.350000000000001</v>
      </c>
      <c r="N130" s="36">
        <v>32.350000000000001</v>
      </c>
    </row>
    <row r="131" ht="25.5">
      <c r="A131" s="19" t="s">
        <v>10460</v>
      </c>
      <c r="B131" s="19">
        <v>157</v>
      </c>
      <c r="C131" s="20" t="s">
        <v>10581</v>
      </c>
      <c r="D131" s="19" t="s">
        <v>302</v>
      </c>
      <c r="E131" s="19" t="s">
        <v>10459</v>
      </c>
      <c r="F131" s="21">
        <f t="shared" si="484"/>
        <v>143.21000000000001</v>
      </c>
      <c r="G131" s="21">
        <f t="shared" si="484"/>
        <v>143.21000000000001</v>
      </c>
      <c r="H131" s="21">
        <f t="shared" si="484"/>
        <v>143.21000000000001</v>
      </c>
      <c r="I131" s="24" t="str">
        <f t="shared" si="485"/>
        <v xml:space="preserve">COM VALOR</v>
      </c>
      <c r="L131" s="36">
        <v>143.21000000000001</v>
      </c>
      <c r="M131" s="37">
        <v>143.21000000000001</v>
      </c>
      <c r="N131" s="36">
        <v>143.21000000000001</v>
      </c>
    </row>
    <row r="132" ht="25.5">
      <c r="A132" s="19" t="s">
        <v>10460</v>
      </c>
      <c r="B132" s="19">
        <v>156</v>
      </c>
      <c r="C132" s="20" t="s">
        <v>10582</v>
      </c>
      <c r="D132" s="19" t="s">
        <v>302</v>
      </c>
      <c r="E132" s="19" t="s">
        <v>10459</v>
      </c>
      <c r="F132" s="21">
        <f t="shared" si="484"/>
        <v>50.990000000000002</v>
      </c>
      <c r="G132" s="21">
        <f t="shared" si="484"/>
        <v>50.990000000000002</v>
      </c>
      <c r="H132" s="21">
        <f t="shared" si="484"/>
        <v>50.990000000000002</v>
      </c>
      <c r="I132" s="24" t="str">
        <f t="shared" si="485"/>
        <v xml:space="preserve">COM VALOR</v>
      </c>
      <c r="L132" s="36">
        <v>50.990000000000002</v>
      </c>
      <c r="M132" s="37">
        <v>50.990000000000002</v>
      </c>
      <c r="N132" s="36">
        <v>50.990000000000002</v>
      </c>
    </row>
    <row r="133" ht="25.5">
      <c r="A133" s="19" t="s">
        <v>10460</v>
      </c>
      <c r="B133" s="19">
        <v>131</v>
      </c>
      <c r="C133" s="20" t="s">
        <v>10583</v>
      </c>
      <c r="D133" s="19" t="s">
        <v>302</v>
      </c>
      <c r="E133" s="19" t="s">
        <v>10459</v>
      </c>
      <c r="F133" s="21">
        <f t="shared" si="484"/>
        <v>43.600000000000001</v>
      </c>
      <c r="G133" s="21">
        <f t="shared" si="484"/>
        <v>43.600000000000001</v>
      </c>
      <c r="H133" s="21">
        <f t="shared" si="484"/>
        <v>43.600000000000001</v>
      </c>
      <c r="I133" s="24" t="str">
        <f t="shared" si="485"/>
        <v xml:space="preserve">COM VALOR</v>
      </c>
      <c r="L133" s="36">
        <v>43.600000000000001</v>
      </c>
      <c r="M133" s="37">
        <v>43.600000000000001</v>
      </c>
      <c r="N133" s="36">
        <v>43.600000000000001</v>
      </c>
    </row>
    <row r="134" ht="12.75">
      <c r="A134" s="19" t="s">
        <v>10460</v>
      </c>
      <c r="B134" s="19">
        <v>21114</v>
      </c>
      <c r="C134" s="20" t="s">
        <v>10584</v>
      </c>
      <c r="D134" s="19" t="s">
        <v>31</v>
      </c>
      <c r="E134" s="19" t="s">
        <v>10459</v>
      </c>
      <c r="F134" s="21">
        <f t="shared" si="484"/>
        <v>39.450000000000003</v>
      </c>
      <c r="G134" s="21">
        <f t="shared" si="484"/>
        <v>39.450000000000003</v>
      </c>
      <c r="H134" s="21">
        <f t="shared" si="484"/>
        <v>39.450000000000003</v>
      </c>
      <c r="I134" s="24" t="str">
        <f t="shared" si="485"/>
        <v xml:space="preserve">COM VALOR</v>
      </c>
      <c r="L134" s="36">
        <v>39.450000000000003</v>
      </c>
      <c r="M134" s="37">
        <v>39.450000000000003</v>
      </c>
      <c r="N134" s="36">
        <v>39.450000000000003</v>
      </c>
    </row>
    <row r="135" ht="12.75">
      <c r="A135" s="19" t="s">
        <v>10460</v>
      </c>
      <c r="B135" s="19">
        <v>119</v>
      </c>
      <c r="C135" s="20" t="s">
        <v>10585</v>
      </c>
      <c r="D135" s="19" t="s">
        <v>31</v>
      </c>
      <c r="E135" s="19" t="s">
        <v>10466</v>
      </c>
      <c r="F135" s="21">
        <f t="shared" si="484"/>
        <v>10</v>
      </c>
      <c r="G135" s="21">
        <f t="shared" si="484"/>
        <v>10</v>
      </c>
      <c r="H135" s="21">
        <f t="shared" si="484"/>
        <v>10</v>
      </c>
      <c r="I135" s="24" t="str">
        <f t="shared" si="485"/>
        <v xml:space="preserve">COM VALOR</v>
      </c>
      <c r="L135" s="36">
        <v>10</v>
      </c>
      <c r="M135" s="37">
        <v>10</v>
      </c>
      <c r="N135" s="36">
        <v>10</v>
      </c>
    </row>
    <row r="136" ht="12.75">
      <c r="A136" s="19" t="s">
        <v>10460</v>
      </c>
      <c r="B136" s="19">
        <v>122</v>
      </c>
      <c r="C136" s="20" t="s">
        <v>10586</v>
      </c>
      <c r="D136" s="19" t="s">
        <v>31</v>
      </c>
      <c r="E136" s="19" t="s">
        <v>10459</v>
      </c>
      <c r="F136" s="21">
        <f t="shared" si="484"/>
        <v>76.939999999999998</v>
      </c>
      <c r="G136" s="21">
        <f t="shared" si="484"/>
        <v>76.939999999999998</v>
      </c>
      <c r="H136" s="21">
        <f t="shared" si="484"/>
        <v>76.939999999999998</v>
      </c>
      <c r="I136" s="24" t="str">
        <f t="shared" si="485"/>
        <v xml:space="preserve">COM VALOR</v>
      </c>
      <c r="L136" s="36">
        <v>76.939999999999998</v>
      </c>
      <c r="M136" s="37">
        <v>76.939999999999998</v>
      </c>
      <c r="N136" s="36">
        <v>76.939999999999998</v>
      </c>
    </row>
    <row r="137" ht="12.75">
      <c r="A137" s="19" t="s">
        <v>10460</v>
      </c>
      <c r="B137" s="19">
        <v>20080</v>
      </c>
      <c r="C137" s="20" t="s">
        <v>10587</v>
      </c>
      <c r="D137" s="19" t="s">
        <v>31</v>
      </c>
      <c r="E137" s="19" t="s">
        <v>10459</v>
      </c>
      <c r="F137" s="21">
        <f t="shared" si="484"/>
        <v>25.109999999999999</v>
      </c>
      <c r="G137" s="21">
        <f t="shared" si="484"/>
        <v>25.109999999999999</v>
      </c>
      <c r="H137" s="21">
        <f t="shared" si="484"/>
        <v>25.109999999999999</v>
      </c>
      <c r="I137" s="24" t="str">
        <f t="shared" si="485"/>
        <v xml:space="preserve">COM VALOR</v>
      </c>
      <c r="L137" s="36">
        <v>25.109999999999999</v>
      </c>
      <c r="M137" s="37">
        <v>25.109999999999999</v>
      </c>
      <c r="N137" s="36">
        <v>25.109999999999999</v>
      </c>
    </row>
    <row r="138" ht="38.25">
      <c r="A138" s="19" t="s">
        <v>10460</v>
      </c>
      <c r="B138" s="19">
        <v>124</v>
      </c>
      <c r="C138" s="20" t="s">
        <v>10588</v>
      </c>
      <c r="D138" s="19" t="s">
        <v>9794</v>
      </c>
      <c r="E138" s="19" t="s">
        <v>10459</v>
      </c>
      <c r="F138" s="21">
        <f t="shared" si="484"/>
        <v>16.809999999999999</v>
      </c>
      <c r="G138" s="21">
        <f t="shared" si="484"/>
        <v>16.809999999999999</v>
      </c>
      <c r="H138" s="21">
        <f t="shared" si="484"/>
        <v>16.809999999999999</v>
      </c>
      <c r="I138" s="24" t="str">
        <f t="shared" si="485"/>
        <v xml:space="preserve">COM VALOR</v>
      </c>
      <c r="L138" s="36">
        <v>16.809999999999999</v>
      </c>
      <c r="M138" s="37">
        <v>16.809999999999999</v>
      </c>
      <c r="N138" s="36">
        <v>16.809999999999999</v>
      </c>
    </row>
    <row r="139" ht="25.5">
      <c r="A139" s="19" t="s">
        <v>10460</v>
      </c>
      <c r="B139" s="19">
        <v>7334</v>
      </c>
      <c r="C139" s="20" t="s">
        <v>10589</v>
      </c>
      <c r="D139" s="19" t="s">
        <v>9794</v>
      </c>
      <c r="E139" s="19" t="s">
        <v>10459</v>
      </c>
      <c r="F139" s="21" t="str">
        <f t="shared" ref="F139:H202" si="486">IF(L139=0,"VERIFICAR",L139)</f>
        <v>VERIFICAR</v>
      </c>
      <c r="G139" s="21" t="str">
        <f t="shared" si="486"/>
        <v>VERIFICAR</v>
      </c>
      <c r="H139" s="21" t="str">
        <f t="shared" si="486"/>
        <v>VERIFICAR</v>
      </c>
      <c r="I139" s="24" t="str">
        <f t="shared" ref="I139:I202" si="487">IF(OR(L139=0,M139=0,N139=0),"SEM VALOR","COM VALOR")</f>
        <v xml:space="preserve">SEM VALOR</v>
      </c>
      <c r="L139" s="36"/>
      <c r="M139" s="37"/>
      <c r="N139" s="36"/>
    </row>
    <row r="140" ht="12.75">
      <c r="A140" s="19" t="s">
        <v>10460</v>
      </c>
      <c r="B140" s="19">
        <v>45146</v>
      </c>
      <c r="C140" s="20" t="s">
        <v>10590</v>
      </c>
      <c r="D140" s="19" t="s">
        <v>302</v>
      </c>
      <c r="E140" s="19" t="s">
        <v>10459</v>
      </c>
      <c r="F140" s="21">
        <f t="shared" si="486"/>
        <v>32.240000000000002</v>
      </c>
      <c r="G140" s="21">
        <f t="shared" si="486"/>
        <v>32.240000000000002</v>
      </c>
      <c r="H140" s="21">
        <f t="shared" si="486"/>
        <v>32.240000000000002</v>
      </c>
      <c r="I140" s="24" t="str">
        <f t="shared" si="487"/>
        <v xml:space="preserve">COM VALOR</v>
      </c>
      <c r="L140" s="36">
        <v>32.240000000000002</v>
      </c>
      <c r="M140" s="37">
        <v>32.240000000000002</v>
      </c>
      <c r="N140" s="36">
        <v>32.240000000000002</v>
      </c>
    </row>
    <row r="141" ht="38.25">
      <c r="A141" s="19" t="s">
        <v>10460</v>
      </c>
      <c r="B141" s="19">
        <v>123</v>
      </c>
      <c r="C141" s="20" t="s">
        <v>10591</v>
      </c>
      <c r="D141" s="19" t="s">
        <v>9794</v>
      </c>
      <c r="E141" s="19" t="s">
        <v>10466</v>
      </c>
      <c r="F141" s="21">
        <f t="shared" si="486"/>
        <v>6.8799999999999999</v>
      </c>
      <c r="G141" s="21">
        <f t="shared" si="486"/>
        <v>6.8799999999999999</v>
      </c>
      <c r="H141" s="21">
        <f t="shared" si="486"/>
        <v>6.8799999999999999</v>
      </c>
      <c r="I141" s="24" t="str">
        <f t="shared" si="487"/>
        <v xml:space="preserve">COM VALOR</v>
      </c>
      <c r="L141" s="36">
        <v>6.8799999999999999</v>
      </c>
      <c r="M141" s="37">
        <v>6.8799999999999999</v>
      </c>
      <c r="N141" s="36">
        <v>6.8799999999999999</v>
      </c>
    </row>
    <row r="142" ht="25.5">
      <c r="A142" s="19" t="s">
        <v>10460</v>
      </c>
      <c r="B142" s="19">
        <v>127</v>
      </c>
      <c r="C142" s="20" t="s">
        <v>10592</v>
      </c>
      <c r="D142" s="19" t="s">
        <v>9794</v>
      </c>
      <c r="E142" s="19" t="s">
        <v>10459</v>
      </c>
      <c r="F142" s="21">
        <f t="shared" si="486"/>
        <v>16.420000000000002</v>
      </c>
      <c r="G142" s="21">
        <f t="shared" si="486"/>
        <v>16.420000000000002</v>
      </c>
      <c r="H142" s="21">
        <f t="shared" si="486"/>
        <v>16.420000000000002</v>
      </c>
      <c r="I142" s="24" t="str">
        <f t="shared" si="487"/>
        <v xml:space="preserve">COM VALOR</v>
      </c>
      <c r="L142" s="36">
        <v>16.420000000000002</v>
      </c>
      <c r="M142" s="37">
        <v>16.420000000000002</v>
      </c>
      <c r="N142" s="36">
        <v>16.420000000000002</v>
      </c>
    </row>
    <row r="143" ht="25.5">
      <c r="A143" s="19" t="s">
        <v>10460</v>
      </c>
      <c r="B143" s="19">
        <v>133</v>
      </c>
      <c r="C143" s="20" t="s">
        <v>10593</v>
      </c>
      <c r="D143" s="19" t="s">
        <v>9794</v>
      </c>
      <c r="E143" s="19" t="s">
        <v>10459</v>
      </c>
      <c r="F143" s="21">
        <f t="shared" si="486"/>
        <v>6.8200000000000003</v>
      </c>
      <c r="G143" s="21">
        <f t="shared" si="486"/>
        <v>6.8200000000000003</v>
      </c>
      <c r="H143" s="21">
        <f t="shared" si="486"/>
        <v>6.8200000000000003</v>
      </c>
      <c r="I143" s="24" t="str">
        <f t="shared" si="487"/>
        <v xml:space="preserve">COM VALOR</v>
      </c>
      <c r="L143" s="36">
        <v>6.8200000000000003</v>
      </c>
      <c r="M143" s="37">
        <v>6.8200000000000003</v>
      </c>
      <c r="N143" s="36">
        <v>6.8200000000000003</v>
      </c>
    </row>
    <row r="144" ht="38.25">
      <c r="A144" s="19" t="s">
        <v>10460</v>
      </c>
      <c r="B144" s="19">
        <v>43617</v>
      </c>
      <c r="C144" s="20" t="s">
        <v>10594</v>
      </c>
      <c r="D144" s="19" t="s">
        <v>9794</v>
      </c>
      <c r="E144" s="19" t="s">
        <v>10459</v>
      </c>
      <c r="F144" s="21">
        <f t="shared" si="486"/>
        <v>7.6200000000000001</v>
      </c>
      <c r="G144" s="21">
        <f t="shared" si="486"/>
        <v>7.6200000000000001</v>
      </c>
      <c r="H144" s="21">
        <f t="shared" si="486"/>
        <v>7.6200000000000001</v>
      </c>
      <c r="I144" s="24" t="str">
        <f t="shared" si="487"/>
        <v xml:space="preserve">COM VALOR</v>
      </c>
      <c r="L144" s="36">
        <v>7.6200000000000001</v>
      </c>
      <c r="M144" s="37">
        <v>7.6200000000000001</v>
      </c>
      <c r="N144" s="36">
        <v>7.6200000000000001</v>
      </c>
    </row>
    <row r="145" ht="25.5">
      <c r="A145" s="19" t="s">
        <v>10460</v>
      </c>
      <c r="B145" s="19">
        <v>132</v>
      </c>
      <c r="C145" s="20" t="s">
        <v>10595</v>
      </c>
      <c r="D145" s="19" t="s">
        <v>9794</v>
      </c>
      <c r="E145" s="19" t="s">
        <v>10459</v>
      </c>
      <c r="F145" s="21">
        <f t="shared" si="486"/>
        <v>7.0700000000000003</v>
      </c>
      <c r="G145" s="21">
        <f t="shared" si="486"/>
        <v>7.0700000000000003</v>
      </c>
      <c r="H145" s="21">
        <f t="shared" si="486"/>
        <v>7.0700000000000003</v>
      </c>
      <c r="I145" s="24" t="str">
        <f t="shared" si="487"/>
        <v xml:space="preserve">COM VALOR</v>
      </c>
      <c r="L145" s="36">
        <v>7.0700000000000003</v>
      </c>
      <c r="M145" s="37">
        <v>7.0700000000000003</v>
      </c>
      <c r="N145" s="36">
        <v>7.0700000000000003</v>
      </c>
    </row>
    <row r="146" ht="25.5">
      <c r="A146" s="19" t="s">
        <v>10460</v>
      </c>
      <c r="B146" s="19">
        <v>43618</v>
      </c>
      <c r="C146" s="20" t="s">
        <v>10596</v>
      </c>
      <c r="D146" s="19" t="s">
        <v>302</v>
      </c>
      <c r="E146" s="19" t="s">
        <v>10459</v>
      </c>
      <c r="F146" s="21">
        <f t="shared" si="486"/>
        <v>17.800000000000001</v>
      </c>
      <c r="G146" s="21">
        <f t="shared" si="486"/>
        <v>17.800000000000001</v>
      </c>
      <c r="H146" s="21">
        <f t="shared" si="486"/>
        <v>17.800000000000001</v>
      </c>
      <c r="I146" s="24" t="str">
        <f t="shared" si="487"/>
        <v xml:space="preserve">COM VALOR</v>
      </c>
      <c r="L146" s="36">
        <v>17.800000000000001</v>
      </c>
      <c r="M146" s="37">
        <v>17.800000000000001</v>
      </c>
      <c r="N146" s="36">
        <v>17.800000000000001</v>
      </c>
    </row>
    <row r="147" ht="51">
      <c r="A147" s="19" t="s">
        <v>10460</v>
      </c>
      <c r="B147" s="19">
        <v>37476</v>
      </c>
      <c r="C147" s="20" t="s">
        <v>10597</v>
      </c>
      <c r="D147" s="19" t="s">
        <v>31</v>
      </c>
      <c r="E147" s="19" t="s">
        <v>10459</v>
      </c>
      <c r="F147" s="21">
        <f t="shared" si="486"/>
        <v>4143.0200000000004</v>
      </c>
      <c r="G147" s="21">
        <f t="shared" si="486"/>
        <v>4143.0200000000004</v>
      </c>
      <c r="H147" s="21">
        <f t="shared" si="486"/>
        <v>4143.0200000000004</v>
      </c>
      <c r="I147" s="24" t="str">
        <f t="shared" si="487"/>
        <v xml:space="preserve">COM VALOR</v>
      </c>
      <c r="L147" s="36">
        <v>4143.0200000000004</v>
      </c>
      <c r="M147" s="37">
        <v>4143.0200000000004</v>
      </c>
      <c r="N147" s="36">
        <v>4143.0200000000004</v>
      </c>
    </row>
    <row r="148" ht="51">
      <c r="A148" s="19" t="s">
        <v>10460</v>
      </c>
      <c r="B148" s="19">
        <v>37478</v>
      </c>
      <c r="C148" s="20" t="s">
        <v>10598</v>
      </c>
      <c r="D148" s="19" t="s">
        <v>31</v>
      </c>
      <c r="E148" s="19" t="s">
        <v>10459</v>
      </c>
      <c r="F148" s="21">
        <f t="shared" si="486"/>
        <v>5189.2399999999998</v>
      </c>
      <c r="G148" s="21">
        <f t="shared" si="486"/>
        <v>5189.2399999999998</v>
      </c>
      <c r="H148" s="21">
        <f t="shared" si="486"/>
        <v>5189.2399999999998</v>
      </c>
      <c r="I148" s="24" t="str">
        <f t="shared" si="487"/>
        <v xml:space="preserve">COM VALOR</v>
      </c>
      <c r="L148" s="36">
        <v>5189.2399999999998</v>
      </c>
      <c r="M148" s="37">
        <v>5189.2399999999998</v>
      </c>
      <c r="N148" s="36">
        <v>5189.2399999999998</v>
      </c>
    </row>
    <row r="149" ht="51">
      <c r="A149" s="19" t="s">
        <v>10460</v>
      </c>
      <c r="B149" s="19">
        <v>37477</v>
      </c>
      <c r="C149" s="20" t="s">
        <v>10599</v>
      </c>
      <c r="D149" s="19" t="s">
        <v>31</v>
      </c>
      <c r="E149" s="19" t="s">
        <v>10459</v>
      </c>
      <c r="F149" s="21">
        <f t="shared" si="486"/>
        <v>7030.5799999999999</v>
      </c>
      <c r="G149" s="21">
        <f t="shared" si="486"/>
        <v>7030.5799999999999</v>
      </c>
      <c r="H149" s="21">
        <f t="shared" si="486"/>
        <v>7030.5799999999999</v>
      </c>
      <c r="I149" s="24" t="str">
        <f t="shared" si="487"/>
        <v xml:space="preserve">COM VALOR</v>
      </c>
      <c r="L149" s="36">
        <v>7030.5799999999999</v>
      </c>
      <c r="M149" s="37">
        <v>7030.5799999999999</v>
      </c>
      <c r="N149" s="36">
        <v>7030.5799999999999</v>
      </c>
    </row>
    <row r="150" ht="51">
      <c r="A150" s="19" t="s">
        <v>10460</v>
      </c>
      <c r="B150" s="19">
        <v>37479</v>
      </c>
      <c r="C150" s="20" t="s">
        <v>10600</v>
      </c>
      <c r="D150" s="19" t="s">
        <v>31</v>
      </c>
      <c r="E150" s="19" t="s">
        <v>10459</v>
      </c>
      <c r="F150" s="21">
        <f t="shared" si="486"/>
        <v>8338.3600000000006</v>
      </c>
      <c r="G150" s="21">
        <f t="shared" si="486"/>
        <v>8338.3600000000006</v>
      </c>
      <c r="H150" s="21">
        <f t="shared" si="486"/>
        <v>8338.3600000000006</v>
      </c>
      <c r="I150" s="24" t="str">
        <f t="shared" si="487"/>
        <v xml:space="preserve">COM VALOR</v>
      </c>
      <c r="L150" s="36">
        <v>8338.3600000000006</v>
      </c>
      <c r="M150" s="37">
        <v>8338.3600000000006</v>
      </c>
      <c r="N150" s="36">
        <v>8338.3600000000006</v>
      </c>
    </row>
    <row r="151" ht="25.5">
      <c r="A151" s="19" t="s">
        <v>10460</v>
      </c>
      <c r="B151" s="19">
        <v>4319</v>
      </c>
      <c r="C151" s="20" t="s">
        <v>10601</v>
      </c>
      <c r="D151" s="19" t="s">
        <v>31</v>
      </c>
      <c r="E151" s="19" t="s">
        <v>10459</v>
      </c>
      <c r="F151" s="21">
        <f t="shared" si="486"/>
        <v>1.2</v>
      </c>
      <c r="G151" s="21">
        <f t="shared" si="486"/>
        <v>1.2</v>
      </c>
      <c r="H151" s="21">
        <f t="shared" si="486"/>
        <v>1.2</v>
      </c>
      <c r="I151" s="24" t="str">
        <f t="shared" si="487"/>
        <v xml:space="preserve">COM VALOR</v>
      </c>
      <c r="L151" s="36">
        <v>1.2</v>
      </c>
      <c r="M151" s="37">
        <v>1.2</v>
      </c>
      <c r="N151" s="36">
        <v>1.2</v>
      </c>
    </row>
    <row r="152" ht="25.5">
      <c r="A152" s="19" t="s">
        <v>10460</v>
      </c>
      <c r="B152" s="19">
        <v>42409</v>
      </c>
      <c r="C152" s="20" t="s">
        <v>10602</v>
      </c>
      <c r="D152" s="19" t="s">
        <v>302</v>
      </c>
      <c r="E152" s="19" t="s">
        <v>10459</v>
      </c>
      <c r="F152" s="21">
        <f t="shared" si="486"/>
        <v>11.210000000000001</v>
      </c>
      <c r="G152" s="21">
        <f t="shared" si="486"/>
        <v>11.210000000000001</v>
      </c>
      <c r="H152" s="21">
        <f t="shared" si="486"/>
        <v>11.210000000000001</v>
      </c>
      <c r="I152" s="24" t="str">
        <f t="shared" si="487"/>
        <v xml:space="preserve">COM VALOR</v>
      </c>
      <c r="L152" s="36">
        <v>11.210000000000001</v>
      </c>
      <c r="M152" s="37">
        <v>11.210000000000001</v>
      </c>
      <c r="N152" s="36">
        <v>11.210000000000001</v>
      </c>
    </row>
    <row r="153" ht="25.5">
      <c r="A153" s="19" t="s">
        <v>10460</v>
      </c>
      <c r="B153" s="19">
        <v>40553</v>
      </c>
      <c r="C153" s="20" t="s">
        <v>10603</v>
      </c>
      <c r="D153" s="19" t="s">
        <v>121</v>
      </c>
      <c r="E153" s="19" t="s">
        <v>10466</v>
      </c>
      <c r="F153" s="21" t="str">
        <f t="shared" si="486"/>
        <v>VERIFICAR</v>
      </c>
      <c r="G153" s="21" t="str">
        <f t="shared" si="486"/>
        <v>VERIFICAR</v>
      </c>
      <c r="H153" s="21" t="str">
        <f t="shared" si="486"/>
        <v>VERIFICAR</v>
      </c>
      <c r="I153" s="24" t="str">
        <f t="shared" si="487"/>
        <v xml:space="preserve">SEM VALOR</v>
      </c>
      <c r="L153" s="36"/>
      <c r="M153" s="37"/>
      <c r="N153" s="36"/>
    </row>
    <row r="154" ht="12.75">
      <c r="A154" s="19" t="s">
        <v>10604</v>
      </c>
      <c r="B154" s="19">
        <v>6114</v>
      </c>
      <c r="C154" s="20" t="s">
        <v>10605</v>
      </c>
      <c r="D154" s="19" t="s">
        <v>2032</v>
      </c>
      <c r="E154" s="19" t="s">
        <v>10459</v>
      </c>
      <c r="F154" s="21">
        <f t="shared" si="486"/>
        <v>16.5</v>
      </c>
      <c r="G154" s="21">
        <f t="shared" si="486"/>
        <v>16.5</v>
      </c>
      <c r="H154" s="21">
        <f t="shared" si="486"/>
        <v>16.5</v>
      </c>
      <c r="I154" s="24" t="str">
        <f t="shared" si="487"/>
        <v xml:space="preserve">COM VALOR</v>
      </c>
      <c r="L154" s="36">
        <v>16.5</v>
      </c>
      <c r="M154" s="37">
        <v>16.5</v>
      </c>
      <c r="N154" s="36">
        <v>16.5</v>
      </c>
    </row>
    <row r="155" ht="12.75">
      <c r="A155" s="19" t="s">
        <v>10604</v>
      </c>
      <c r="B155" s="19">
        <v>40912</v>
      </c>
      <c r="C155" s="20" t="s">
        <v>10606</v>
      </c>
      <c r="D155" s="19" t="s">
        <v>7087</v>
      </c>
      <c r="E155" s="19" t="s">
        <v>10459</v>
      </c>
      <c r="F155" s="21">
        <f t="shared" si="486"/>
        <v>2888.9200000000001</v>
      </c>
      <c r="G155" s="21">
        <f t="shared" si="486"/>
        <v>2888.9200000000001</v>
      </c>
      <c r="H155" s="21">
        <f t="shared" si="486"/>
        <v>2888.9200000000001</v>
      </c>
      <c r="I155" s="24" t="str">
        <f t="shared" si="487"/>
        <v xml:space="preserve">COM VALOR</v>
      </c>
      <c r="L155" s="36">
        <v>2888.9200000000001</v>
      </c>
      <c r="M155" s="37">
        <v>2888.9200000000001</v>
      </c>
      <c r="N155" s="36">
        <v>2888.9200000000001</v>
      </c>
    </row>
    <row r="156" ht="12.75">
      <c r="A156" s="19" t="s">
        <v>10604</v>
      </c>
      <c r="B156" s="19">
        <v>247</v>
      </c>
      <c r="C156" s="20" t="s">
        <v>10607</v>
      </c>
      <c r="D156" s="19" t="s">
        <v>2032</v>
      </c>
      <c r="E156" s="19" t="s">
        <v>10459</v>
      </c>
      <c r="F156" s="21">
        <f t="shared" si="486"/>
        <v>16.5</v>
      </c>
      <c r="G156" s="21">
        <f t="shared" si="486"/>
        <v>16.5</v>
      </c>
      <c r="H156" s="21">
        <f t="shared" si="486"/>
        <v>16.5</v>
      </c>
      <c r="I156" s="24" t="str">
        <f t="shared" si="487"/>
        <v xml:space="preserve">COM VALOR</v>
      </c>
      <c r="L156" s="36">
        <v>16.5</v>
      </c>
      <c r="M156" s="37">
        <v>16.5</v>
      </c>
      <c r="N156" s="36">
        <v>16.5</v>
      </c>
    </row>
    <row r="157" ht="12.75">
      <c r="A157" s="19" t="s">
        <v>10604</v>
      </c>
      <c r="B157" s="19">
        <v>40919</v>
      </c>
      <c r="C157" s="20" t="s">
        <v>10608</v>
      </c>
      <c r="D157" s="19" t="s">
        <v>7087</v>
      </c>
      <c r="E157" s="19" t="s">
        <v>10459</v>
      </c>
      <c r="F157" s="21">
        <f t="shared" si="486"/>
        <v>2888.9200000000001</v>
      </c>
      <c r="G157" s="21">
        <f t="shared" si="486"/>
        <v>2888.9200000000001</v>
      </c>
      <c r="H157" s="21">
        <f t="shared" si="486"/>
        <v>2888.9200000000001</v>
      </c>
      <c r="I157" s="24" t="str">
        <f t="shared" si="487"/>
        <v xml:space="preserve">COM VALOR</v>
      </c>
      <c r="L157" s="36">
        <v>2888.9200000000001</v>
      </c>
      <c r="M157" s="37">
        <v>2888.9200000000001</v>
      </c>
      <c r="N157" s="36">
        <v>2888.9200000000001</v>
      </c>
    </row>
    <row r="158" ht="12.75">
      <c r="A158" s="19" t="s">
        <v>10604</v>
      </c>
      <c r="B158" s="19">
        <v>44499</v>
      </c>
      <c r="C158" s="20" t="s">
        <v>10609</v>
      </c>
      <c r="D158" s="19" t="s">
        <v>2032</v>
      </c>
      <c r="E158" s="19" t="s">
        <v>10459</v>
      </c>
      <c r="F158" s="21">
        <f t="shared" si="486"/>
        <v>16.5</v>
      </c>
      <c r="G158" s="21">
        <f t="shared" si="486"/>
        <v>16.5</v>
      </c>
      <c r="H158" s="21">
        <f t="shared" si="486"/>
        <v>16.5</v>
      </c>
      <c r="I158" s="24" t="str">
        <f t="shared" si="487"/>
        <v xml:space="preserve">COM VALOR</v>
      </c>
      <c r="L158" s="36">
        <v>16.5</v>
      </c>
      <c r="M158" s="37">
        <v>16.5</v>
      </c>
      <c r="N158" s="36">
        <v>16.5</v>
      </c>
    </row>
    <row r="159" ht="12.75">
      <c r="A159" s="19" t="s">
        <v>10604</v>
      </c>
      <c r="B159" s="19">
        <v>40984</v>
      </c>
      <c r="C159" s="20" t="s">
        <v>10610</v>
      </c>
      <c r="D159" s="19" t="s">
        <v>7087</v>
      </c>
      <c r="E159" s="19" t="s">
        <v>10459</v>
      </c>
      <c r="F159" s="21">
        <f t="shared" si="486"/>
        <v>2888.9200000000001</v>
      </c>
      <c r="G159" s="21">
        <f t="shared" si="486"/>
        <v>2888.9200000000001</v>
      </c>
      <c r="H159" s="21">
        <f t="shared" si="486"/>
        <v>2888.9200000000001</v>
      </c>
      <c r="I159" s="24" t="str">
        <f t="shared" si="487"/>
        <v xml:space="preserve">COM VALOR</v>
      </c>
      <c r="L159" s="36">
        <v>2888.9200000000001</v>
      </c>
      <c r="M159" s="37">
        <v>2888.9200000000001</v>
      </c>
      <c r="N159" s="36">
        <v>2888.9200000000001</v>
      </c>
    </row>
    <row r="160" ht="12.75">
      <c r="A160" s="19" t="s">
        <v>10604</v>
      </c>
      <c r="B160" s="19">
        <v>248</v>
      </c>
      <c r="C160" s="20" t="s">
        <v>10611</v>
      </c>
      <c r="D160" s="19" t="s">
        <v>2032</v>
      </c>
      <c r="E160" s="19" t="s">
        <v>10459</v>
      </c>
      <c r="F160" s="21">
        <f t="shared" si="486"/>
        <v>17.010000000000002</v>
      </c>
      <c r="G160" s="21">
        <f t="shared" si="486"/>
        <v>17.010000000000002</v>
      </c>
      <c r="H160" s="21">
        <f t="shared" si="486"/>
        <v>17.010000000000002</v>
      </c>
      <c r="I160" s="24" t="str">
        <f t="shared" si="487"/>
        <v xml:space="preserve">COM VALOR</v>
      </c>
      <c r="L160" s="36">
        <v>17.010000000000002</v>
      </c>
      <c r="M160" s="37">
        <v>17.010000000000002</v>
      </c>
      <c r="N160" s="36">
        <v>17.010000000000002</v>
      </c>
    </row>
    <row r="161" ht="12.75">
      <c r="A161" s="19" t="s">
        <v>10604</v>
      </c>
      <c r="B161" s="19">
        <v>41086</v>
      </c>
      <c r="C161" s="20" t="s">
        <v>10612</v>
      </c>
      <c r="D161" s="19" t="s">
        <v>7087</v>
      </c>
      <c r="E161" s="19" t="s">
        <v>10459</v>
      </c>
      <c r="F161" s="21">
        <f t="shared" si="486"/>
        <v>2978.5</v>
      </c>
      <c r="G161" s="21">
        <f t="shared" si="486"/>
        <v>2978.5</v>
      </c>
      <c r="H161" s="21">
        <f t="shared" si="486"/>
        <v>2978.5</v>
      </c>
      <c r="I161" s="24" t="str">
        <f t="shared" si="487"/>
        <v xml:space="preserve">COM VALOR</v>
      </c>
      <c r="L161" s="36">
        <v>2978.5</v>
      </c>
      <c r="M161" s="37">
        <v>2978.5</v>
      </c>
      <c r="N161" s="36">
        <v>2978.5</v>
      </c>
    </row>
    <row r="162" ht="12.75">
      <c r="A162" s="19" t="s">
        <v>10604</v>
      </c>
      <c r="B162" s="19">
        <v>34466</v>
      </c>
      <c r="C162" s="20" t="s">
        <v>10613</v>
      </c>
      <c r="D162" s="19" t="s">
        <v>2032</v>
      </c>
      <c r="E162" s="19" t="s">
        <v>10459</v>
      </c>
      <c r="F162" s="21">
        <f t="shared" si="486"/>
        <v>16.5</v>
      </c>
      <c r="G162" s="21">
        <f t="shared" si="486"/>
        <v>16.5</v>
      </c>
      <c r="H162" s="21">
        <f t="shared" si="486"/>
        <v>16.5</v>
      </c>
      <c r="I162" s="24" t="str">
        <f t="shared" si="487"/>
        <v xml:space="preserve">COM VALOR</v>
      </c>
      <c r="L162" s="36">
        <v>16.5</v>
      </c>
      <c r="M162" s="37">
        <v>16.5</v>
      </c>
      <c r="N162" s="36">
        <v>16.5</v>
      </c>
    </row>
    <row r="163" ht="12.75">
      <c r="A163" s="19" t="s">
        <v>10604</v>
      </c>
      <c r="B163" s="19">
        <v>41083</v>
      </c>
      <c r="C163" s="20" t="s">
        <v>10614</v>
      </c>
      <c r="D163" s="19" t="s">
        <v>7087</v>
      </c>
      <c r="E163" s="19" t="s">
        <v>10459</v>
      </c>
      <c r="F163" s="21">
        <f t="shared" si="486"/>
        <v>2888.9200000000001</v>
      </c>
      <c r="G163" s="21">
        <f t="shared" si="486"/>
        <v>2888.9200000000001</v>
      </c>
      <c r="H163" s="21">
        <f t="shared" si="486"/>
        <v>2888.9200000000001</v>
      </c>
      <c r="I163" s="24" t="str">
        <f t="shared" si="487"/>
        <v xml:space="preserve">COM VALOR</v>
      </c>
      <c r="L163" s="36">
        <v>2888.9200000000001</v>
      </c>
      <c r="M163" s="37">
        <v>2888.9200000000001</v>
      </c>
      <c r="N163" s="36">
        <v>2888.9200000000001</v>
      </c>
    </row>
    <row r="164" ht="12.75">
      <c r="A164" s="19" t="s">
        <v>10604</v>
      </c>
      <c r="B164" s="19">
        <v>252</v>
      </c>
      <c r="C164" s="20" t="s">
        <v>10615</v>
      </c>
      <c r="D164" s="19" t="s">
        <v>2032</v>
      </c>
      <c r="E164" s="19" t="s">
        <v>10459</v>
      </c>
      <c r="F164" s="21">
        <f t="shared" si="486"/>
        <v>16.5</v>
      </c>
      <c r="G164" s="21">
        <f t="shared" si="486"/>
        <v>16.5</v>
      </c>
      <c r="H164" s="21">
        <f t="shared" si="486"/>
        <v>16.5</v>
      </c>
      <c r="I164" s="24" t="str">
        <f t="shared" si="487"/>
        <v xml:space="preserve">COM VALOR</v>
      </c>
      <c r="L164" s="36">
        <v>16.5</v>
      </c>
      <c r="M164" s="37">
        <v>16.5</v>
      </c>
      <c r="N164" s="36">
        <v>16.5</v>
      </c>
    </row>
    <row r="165" ht="12.75">
      <c r="A165" s="19" t="s">
        <v>10604</v>
      </c>
      <c r="B165" s="19">
        <v>40909</v>
      </c>
      <c r="C165" s="20" t="s">
        <v>10616</v>
      </c>
      <c r="D165" s="19" t="s">
        <v>7087</v>
      </c>
      <c r="E165" s="19" t="s">
        <v>10459</v>
      </c>
      <c r="F165" s="21">
        <f t="shared" si="486"/>
        <v>2888.9200000000001</v>
      </c>
      <c r="G165" s="21">
        <f t="shared" si="486"/>
        <v>2888.9200000000001</v>
      </c>
      <c r="H165" s="21">
        <f t="shared" si="486"/>
        <v>2888.9200000000001</v>
      </c>
      <c r="I165" s="24" t="str">
        <f t="shared" si="487"/>
        <v xml:space="preserve">COM VALOR</v>
      </c>
      <c r="L165" s="36">
        <v>2888.9200000000001</v>
      </c>
      <c r="M165" s="37">
        <v>2888.9200000000001</v>
      </c>
      <c r="N165" s="36">
        <v>2888.9200000000001</v>
      </c>
    </row>
    <row r="166" ht="12.75">
      <c r="A166" s="19" t="s">
        <v>10604</v>
      </c>
      <c r="B166" s="19">
        <v>242</v>
      </c>
      <c r="C166" s="20" t="s">
        <v>10617</v>
      </c>
      <c r="D166" s="19" t="s">
        <v>2032</v>
      </c>
      <c r="E166" s="19" t="s">
        <v>10459</v>
      </c>
      <c r="F166" s="21">
        <f t="shared" si="486"/>
        <v>17.010000000000002</v>
      </c>
      <c r="G166" s="21">
        <f t="shared" si="486"/>
        <v>17.010000000000002</v>
      </c>
      <c r="H166" s="21">
        <f t="shared" si="486"/>
        <v>17.010000000000002</v>
      </c>
      <c r="I166" s="24" t="str">
        <f t="shared" si="487"/>
        <v xml:space="preserve">COM VALOR</v>
      </c>
      <c r="L166" s="36">
        <v>17.010000000000002</v>
      </c>
      <c r="M166" s="37">
        <v>17.010000000000002</v>
      </c>
      <c r="N166" s="36">
        <v>17.010000000000002</v>
      </c>
    </row>
    <row r="167" ht="12.75">
      <c r="A167" s="19" t="s">
        <v>10604</v>
      </c>
      <c r="B167" s="19">
        <v>41085</v>
      </c>
      <c r="C167" s="20" t="s">
        <v>10618</v>
      </c>
      <c r="D167" s="19" t="s">
        <v>7087</v>
      </c>
      <c r="E167" s="19" t="s">
        <v>10459</v>
      </c>
      <c r="F167" s="21">
        <f t="shared" si="486"/>
        <v>2978.5</v>
      </c>
      <c r="G167" s="21">
        <f t="shared" si="486"/>
        <v>2978.5</v>
      </c>
      <c r="H167" s="21">
        <f t="shared" si="486"/>
        <v>2978.5</v>
      </c>
      <c r="I167" s="24" t="str">
        <f t="shared" si="487"/>
        <v xml:space="preserve">COM VALOR</v>
      </c>
      <c r="L167" s="36">
        <v>2978.5</v>
      </c>
      <c r="M167" s="37">
        <v>2978.5</v>
      </c>
      <c r="N167" s="36">
        <v>2978.5</v>
      </c>
    </row>
    <row r="168" ht="25.5">
      <c r="A168" s="19" t="s">
        <v>10460</v>
      </c>
      <c r="B168" s="19">
        <v>427</v>
      </c>
      <c r="C168" s="20" t="s">
        <v>10619</v>
      </c>
      <c r="D168" s="19" t="s">
        <v>31</v>
      </c>
      <c r="E168" s="19" t="s">
        <v>10459</v>
      </c>
      <c r="F168" s="21">
        <f t="shared" si="486"/>
        <v>12.890000000000001</v>
      </c>
      <c r="G168" s="21">
        <f t="shared" si="486"/>
        <v>12.890000000000001</v>
      </c>
      <c r="H168" s="21">
        <f t="shared" si="486"/>
        <v>12.890000000000001</v>
      </c>
      <c r="I168" s="24" t="str">
        <f t="shared" si="487"/>
        <v xml:space="preserve">COM VALOR</v>
      </c>
      <c r="L168" s="36">
        <v>12.890000000000001</v>
      </c>
      <c r="M168" s="37">
        <v>12.890000000000001</v>
      </c>
      <c r="N168" s="36">
        <v>12.890000000000001</v>
      </c>
    </row>
    <row r="169" ht="25.5">
      <c r="A169" s="19" t="s">
        <v>10460</v>
      </c>
      <c r="B169" s="19">
        <v>417</v>
      </c>
      <c r="C169" s="20" t="s">
        <v>10620</v>
      </c>
      <c r="D169" s="19" t="s">
        <v>31</v>
      </c>
      <c r="E169" s="19" t="s">
        <v>10459</v>
      </c>
      <c r="F169" s="21">
        <f t="shared" si="486"/>
        <v>6.0800000000000001</v>
      </c>
      <c r="G169" s="21">
        <f t="shared" si="486"/>
        <v>6.0800000000000001</v>
      </c>
      <c r="H169" s="21">
        <f t="shared" si="486"/>
        <v>6.0800000000000001</v>
      </c>
      <c r="I169" s="24" t="str">
        <f t="shared" si="487"/>
        <v xml:space="preserve">COM VALOR</v>
      </c>
      <c r="L169" s="36">
        <v>6.0800000000000001</v>
      </c>
      <c r="M169" s="37">
        <v>6.0800000000000001</v>
      </c>
      <c r="N169" s="36">
        <v>6.0800000000000001</v>
      </c>
    </row>
    <row r="170" ht="38.25">
      <c r="A170" s="19" t="s">
        <v>10460</v>
      </c>
      <c r="B170" s="19">
        <v>11273</v>
      </c>
      <c r="C170" s="20" t="s">
        <v>10621</v>
      </c>
      <c r="D170" s="19" t="s">
        <v>31</v>
      </c>
      <c r="E170" s="19" t="s">
        <v>10459</v>
      </c>
      <c r="F170" s="21">
        <f t="shared" si="486"/>
        <v>18.859999999999999</v>
      </c>
      <c r="G170" s="21">
        <f t="shared" si="486"/>
        <v>18.859999999999999</v>
      </c>
      <c r="H170" s="21">
        <f t="shared" si="486"/>
        <v>18.859999999999999</v>
      </c>
      <c r="I170" s="24" t="str">
        <f t="shared" si="487"/>
        <v xml:space="preserve">COM VALOR</v>
      </c>
      <c r="L170" s="36">
        <v>18.859999999999999</v>
      </c>
      <c r="M170" s="37">
        <v>18.859999999999999</v>
      </c>
      <c r="N170" s="36">
        <v>18.859999999999999</v>
      </c>
    </row>
    <row r="171" ht="38.25">
      <c r="A171" s="19" t="s">
        <v>10460</v>
      </c>
      <c r="B171" s="19">
        <v>11272</v>
      </c>
      <c r="C171" s="20" t="s">
        <v>10622</v>
      </c>
      <c r="D171" s="19" t="s">
        <v>31</v>
      </c>
      <c r="E171" s="19" t="s">
        <v>10459</v>
      </c>
      <c r="F171" s="21">
        <f t="shared" si="486"/>
        <v>11.380000000000001</v>
      </c>
      <c r="G171" s="21">
        <f t="shared" si="486"/>
        <v>11.380000000000001</v>
      </c>
      <c r="H171" s="21">
        <f t="shared" si="486"/>
        <v>11.380000000000001</v>
      </c>
      <c r="I171" s="24" t="str">
        <f t="shared" si="487"/>
        <v xml:space="preserve">COM VALOR</v>
      </c>
      <c r="L171" s="36">
        <v>11.380000000000001</v>
      </c>
      <c r="M171" s="37">
        <v>11.380000000000001</v>
      </c>
      <c r="N171" s="36">
        <v>11.380000000000001</v>
      </c>
    </row>
    <row r="172" ht="25.5">
      <c r="A172" s="19" t="s">
        <v>10460</v>
      </c>
      <c r="B172" s="19">
        <v>11275</v>
      </c>
      <c r="C172" s="20" t="s">
        <v>10623</v>
      </c>
      <c r="D172" s="19" t="s">
        <v>31</v>
      </c>
      <c r="E172" s="19" t="s">
        <v>10459</v>
      </c>
      <c r="F172" s="21">
        <f t="shared" si="486"/>
        <v>4.5700000000000003</v>
      </c>
      <c r="G172" s="21">
        <f t="shared" si="486"/>
        <v>4.5700000000000003</v>
      </c>
      <c r="H172" s="21">
        <f t="shared" si="486"/>
        <v>4.5700000000000003</v>
      </c>
      <c r="I172" s="24" t="str">
        <f t="shared" si="487"/>
        <v xml:space="preserve">COM VALOR</v>
      </c>
      <c r="L172" s="36">
        <v>4.5700000000000003</v>
      </c>
      <c r="M172" s="37">
        <v>4.5700000000000003</v>
      </c>
      <c r="N172" s="36">
        <v>4.5700000000000003</v>
      </c>
    </row>
    <row r="173" ht="25.5">
      <c r="A173" s="19" t="s">
        <v>10460</v>
      </c>
      <c r="B173" s="19">
        <v>11274</v>
      </c>
      <c r="C173" s="20" t="s">
        <v>10624</v>
      </c>
      <c r="D173" s="19" t="s">
        <v>31</v>
      </c>
      <c r="E173" s="19" t="s">
        <v>10459</v>
      </c>
      <c r="F173" s="21">
        <f t="shared" si="486"/>
        <v>3.48</v>
      </c>
      <c r="G173" s="21">
        <f t="shared" si="486"/>
        <v>3.48</v>
      </c>
      <c r="H173" s="21">
        <f t="shared" si="486"/>
        <v>3.48</v>
      </c>
      <c r="I173" s="24" t="str">
        <f t="shared" si="487"/>
        <v xml:space="preserve">COM VALOR</v>
      </c>
      <c r="L173" s="36">
        <v>3.48</v>
      </c>
      <c r="M173" s="37">
        <v>3.48</v>
      </c>
      <c r="N173" s="36">
        <v>3.48</v>
      </c>
    </row>
    <row r="174" ht="25.5">
      <c r="A174" s="19" t="s">
        <v>10460</v>
      </c>
      <c r="B174" s="19">
        <v>45208</v>
      </c>
      <c r="C174" s="20" t="s">
        <v>10625</v>
      </c>
      <c r="D174" s="19" t="s">
        <v>31</v>
      </c>
      <c r="E174" s="19" t="s">
        <v>10459</v>
      </c>
      <c r="F174" s="21">
        <f t="shared" si="486"/>
        <v>296.01999999999998</v>
      </c>
      <c r="G174" s="21">
        <f t="shared" si="486"/>
        <v>296.01999999999998</v>
      </c>
      <c r="H174" s="21">
        <f t="shared" si="486"/>
        <v>296.01999999999998</v>
      </c>
      <c r="I174" s="24" t="str">
        <f t="shared" si="487"/>
        <v xml:space="preserve">COM VALOR</v>
      </c>
      <c r="L174" s="36">
        <v>296.01999999999998</v>
      </c>
      <c r="M174" s="37">
        <v>296.01999999999998</v>
      </c>
      <c r="N174" s="36">
        <v>296.01999999999998</v>
      </c>
    </row>
    <row r="175" ht="25.5">
      <c r="A175" s="19" t="s">
        <v>10460</v>
      </c>
      <c r="B175" s="19">
        <v>45250</v>
      </c>
      <c r="C175" s="20" t="s">
        <v>10626</v>
      </c>
      <c r="D175" s="19" t="s">
        <v>31</v>
      </c>
      <c r="E175" s="19" t="s">
        <v>10459</v>
      </c>
      <c r="F175" s="21">
        <f t="shared" si="486"/>
        <v>30.73</v>
      </c>
      <c r="G175" s="21">
        <f t="shared" si="486"/>
        <v>30.73</v>
      </c>
      <c r="H175" s="21">
        <f t="shared" si="486"/>
        <v>30.73</v>
      </c>
      <c r="I175" s="24" t="str">
        <f t="shared" si="487"/>
        <v xml:space="preserve">COM VALOR</v>
      </c>
      <c r="L175" s="36">
        <v>30.73</v>
      </c>
      <c r="M175" s="37">
        <v>30.73</v>
      </c>
      <c r="N175" s="36">
        <v>30.73</v>
      </c>
    </row>
    <row r="176" ht="12.75">
      <c r="A176" s="19" t="s">
        <v>10460</v>
      </c>
      <c r="B176" s="19">
        <v>38470</v>
      </c>
      <c r="C176" s="20" t="s">
        <v>10627</v>
      </c>
      <c r="D176" s="19" t="s">
        <v>31</v>
      </c>
      <c r="E176" s="19" t="s">
        <v>10459</v>
      </c>
      <c r="F176" s="21">
        <f t="shared" si="486"/>
        <v>31.460000000000001</v>
      </c>
      <c r="G176" s="21">
        <f t="shared" si="486"/>
        <v>31.460000000000001</v>
      </c>
      <c r="H176" s="21">
        <f t="shared" si="486"/>
        <v>31.460000000000001</v>
      </c>
      <c r="I176" s="24" t="str">
        <f t="shared" si="487"/>
        <v xml:space="preserve">COM VALOR</v>
      </c>
      <c r="L176" s="36">
        <v>31.460000000000001</v>
      </c>
      <c r="M176" s="37">
        <v>31.460000000000001</v>
      </c>
      <c r="N176" s="36">
        <v>31.460000000000001</v>
      </c>
    </row>
    <row r="177" ht="12.75">
      <c r="A177" s="19" t="s">
        <v>10460</v>
      </c>
      <c r="B177" s="19">
        <v>38547</v>
      </c>
      <c r="C177" s="20" t="s">
        <v>10628</v>
      </c>
      <c r="D177" s="19" t="s">
        <v>31</v>
      </c>
      <c r="E177" s="19" t="s">
        <v>10459</v>
      </c>
      <c r="F177" s="21">
        <f t="shared" si="486"/>
        <v>208.86000000000001</v>
      </c>
      <c r="G177" s="21">
        <f t="shared" si="486"/>
        <v>208.86000000000001</v>
      </c>
      <c r="H177" s="21">
        <f t="shared" si="486"/>
        <v>208.86000000000001</v>
      </c>
      <c r="I177" s="24" t="str">
        <f t="shared" si="487"/>
        <v xml:space="preserve">COM VALOR</v>
      </c>
      <c r="L177" s="36">
        <v>208.86000000000001</v>
      </c>
      <c r="M177" s="37">
        <v>208.86000000000001</v>
      </c>
      <c r="N177" s="36">
        <v>208.86000000000001</v>
      </c>
    </row>
    <row r="178" ht="12.75">
      <c r="A178" s="19" t="s">
        <v>10460</v>
      </c>
      <c r="B178" s="19">
        <v>38467</v>
      </c>
      <c r="C178" s="20" t="s">
        <v>10629</v>
      </c>
      <c r="D178" s="19" t="s">
        <v>31</v>
      </c>
      <c r="E178" s="19" t="s">
        <v>10459</v>
      </c>
      <c r="F178" s="21">
        <f t="shared" si="486"/>
        <v>186.84999999999999</v>
      </c>
      <c r="G178" s="21">
        <f t="shared" si="486"/>
        <v>186.84999999999999</v>
      </c>
      <c r="H178" s="21">
        <f t="shared" si="486"/>
        <v>186.84999999999999</v>
      </c>
      <c r="I178" s="24" t="str">
        <f t="shared" si="487"/>
        <v xml:space="preserve">COM VALOR</v>
      </c>
      <c r="L178" s="36">
        <v>186.84999999999999</v>
      </c>
      <c r="M178" s="37">
        <v>186.84999999999999</v>
      </c>
      <c r="N178" s="36">
        <v>186.84999999999999</v>
      </c>
    </row>
    <row r="179" ht="12.75">
      <c r="A179" s="19" t="s">
        <v>10460</v>
      </c>
      <c r="B179" s="19">
        <v>38468</v>
      </c>
      <c r="C179" s="20" t="s">
        <v>10630</v>
      </c>
      <c r="D179" s="19" t="s">
        <v>31</v>
      </c>
      <c r="E179" s="19" t="s">
        <v>10459</v>
      </c>
      <c r="F179" s="21">
        <f t="shared" si="486"/>
        <v>233.24000000000001</v>
      </c>
      <c r="G179" s="21">
        <f t="shared" si="486"/>
        <v>233.24000000000001</v>
      </c>
      <c r="H179" s="21">
        <f t="shared" si="486"/>
        <v>233.24000000000001</v>
      </c>
      <c r="I179" s="24" t="str">
        <f t="shared" si="487"/>
        <v xml:space="preserve">COM VALOR</v>
      </c>
      <c r="L179" s="36">
        <v>233.24000000000001</v>
      </c>
      <c r="M179" s="37">
        <v>233.24000000000001</v>
      </c>
      <c r="N179" s="36">
        <v>233.24000000000001</v>
      </c>
    </row>
    <row r="180" ht="12.75">
      <c r="A180" s="19" t="s">
        <v>10460</v>
      </c>
      <c r="B180" s="19">
        <v>38469</v>
      </c>
      <c r="C180" s="20" t="s">
        <v>10631</v>
      </c>
      <c r="D180" s="19" t="s">
        <v>31</v>
      </c>
      <c r="E180" s="19" t="s">
        <v>10459</v>
      </c>
      <c r="F180" s="21">
        <f t="shared" si="486"/>
        <v>199.43000000000001</v>
      </c>
      <c r="G180" s="21">
        <f t="shared" si="486"/>
        <v>199.43000000000001</v>
      </c>
      <c r="H180" s="21">
        <f t="shared" si="486"/>
        <v>199.43000000000001</v>
      </c>
      <c r="I180" s="24" t="str">
        <f t="shared" si="487"/>
        <v xml:space="preserve">COM VALOR</v>
      </c>
      <c r="L180" s="36">
        <v>199.43000000000001</v>
      </c>
      <c r="M180" s="37">
        <v>199.43000000000001</v>
      </c>
      <c r="N180" s="36">
        <v>199.43000000000001</v>
      </c>
    </row>
    <row r="181" ht="12.75">
      <c r="A181" s="19" t="s">
        <v>10460</v>
      </c>
      <c r="B181" s="19">
        <v>45197</v>
      </c>
      <c r="C181" s="20" t="s">
        <v>10632</v>
      </c>
      <c r="D181" s="19" t="s">
        <v>31</v>
      </c>
      <c r="E181" s="19" t="s">
        <v>10459</v>
      </c>
      <c r="F181" s="21">
        <f t="shared" si="486"/>
        <v>159.05000000000001</v>
      </c>
      <c r="G181" s="21">
        <f t="shared" si="486"/>
        <v>159.05000000000001</v>
      </c>
      <c r="H181" s="21">
        <f t="shared" si="486"/>
        <v>159.05000000000001</v>
      </c>
      <c r="I181" s="24" t="str">
        <f t="shared" si="487"/>
        <v xml:space="preserve">COM VALOR</v>
      </c>
      <c r="L181" s="36">
        <v>159.05000000000001</v>
      </c>
      <c r="M181" s="37">
        <v>159.05000000000001</v>
      </c>
      <c r="N181" s="36">
        <v>159.05000000000001</v>
      </c>
    </row>
    <row r="182" ht="12.75">
      <c r="A182" s="19" t="s">
        <v>10460</v>
      </c>
      <c r="B182" s="19">
        <v>38471</v>
      </c>
      <c r="C182" s="20" t="s">
        <v>10633</v>
      </c>
      <c r="D182" s="19" t="s">
        <v>31</v>
      </c>
      <c r="E182" s="19" t="s">
        <v>10459</v>
      </c>
      <c r="F182" s="21">
        <f t="shared" si="486"/>
        <v>213.28999999999999</v>
      </c>
      <c r="G182" s="21">
        <f t="shared" si="486"/>
        <v>213.28999999999999</v>
      </c>
      <c r="H182" s="21">
        <f t="shared" si="486"/>
        <v>213.28999999999999</v>
      </c>
      <c r="I182" s="24" t="str">
        <f t="shared" si="487"/>
        <v xml:space="preserve">COM VALOR</v>
      </c>
      <c r="L182" s="36">
        <v>213.28999999999999</v>
      </c>
      <c r="M182" s="37">
        <v>213.28999999999999</v>
      </c>
      <c r="N182" s="36">
        <v>213.28999999999999</v>
      </c>
    </row>
    <row r="183" ht="25.5">
      <c r="A183" s="19" t="s">
        <v>10460</v>
      </c>
      <c r="B183" s="19">
        <v>45206</v>
      </c>
      <c r="C183" s="20" t="s">
        <v>10634</v>
      </c>
      <c r="D183" s="19" t="s">
        <v>31</v>
      </c>
      <c r="E183" s="19" t="s">
        <v>10459</v>
      </c>
      <c r="F183" s="21">
        <f t="shared" si="486"/>
        <v>42.140000000000001</v>
      </c>
      <c r="G183" s="21">
        <f t="shared" si="486"/>
        <v>42.140000000000001</v>
      </c>
      <c r="H183" s="21">
        <f t="shared" si="486"/>
        <v>42.140000000000001</v>
      </c>
      <c r="I183" s="24" t="str">
        <f t="shared" si="487"/>
        <v xml:space="preserve">COM VALOR</v>
      </c>
      <c r="L183" s="36">
        <v>42.140000000000001</v>
      </c>
      <c r="M183" s="37">
        <v>42.140000000000001</v>
      </c>
      <c r="N183" s="36">
        <v>42.140000000000001</v>
      </c>
    </row>
    <row r="184" ht="25.5">
      <c r="A184" s="19" t="s">
        <v>10635</v>
      </c>
      <c r="B184" s="19">
        <v>37370</v>
      </c>
      <c r="C184" s="20" t="s">
        <v>10636</v>
      </c>
      <c r="D184" s="19" t="s">
        <v>2032</v>
      </c>
      <c r="E184" s="19" t="s">
        <v>10466</v>
      </c>
      <c r="F184" s="21">
        <f t="shared" si="486"/>
        <v>1.73</v>
      </c>
      <c r="G184" s="21">
        <f t="shared" si="486"/>
        <v>1.73</v>
      </c>
      <c r="H184" s="21">
        <f t="shared" si="486"/>
        <v>1.73</v>
      </c>
      <c r="I184" s="24" t="str">
        <f t="shared" si="487"/>
        <v xml:space="preserve">COM VALOR</v>
      </c>
      <c r="L184" s="36">
        <v>1.73</v>
      </c>
      <c r="M184" s="37">
        <v>1.73</v>
      </c>
      <c r="N184" s="36">
        <v>1.73</v>
      </c>
    </row>
    <row r="185" ht="25.5">
      <c r="A185" s="19" t="s">
        <v>10635</v>
      </c>
      <c r="B185" s="19">
        <v>40862</v>
      </c>
      <c r="C185" s="20" t="s">
        <v>10637</v>
      </c>
      <c r="D185" s="19" t="s">
        <v>7087</v>
      </c>
      <c r="E185" s="19" t="s">
        <v>10466</v>
      </c>
      <c r="F185" s="21">
        <f t="shared" si="486"/>
        <v>284.85000000000002</v>
      </c>
      <c r="G185" s="21">
        <f t="shared" si="486"/>
        <v>284.85000000000002</v>
      </c>
      <c r="H185" s="21">
        <f t="shared" si="486"/>
        <v>284.85000000000002</v>
      </c>
      <c r="I185" s="24" t="str">
        <f t="shared" si="487"/>
        <v xml:space="preserve">COM VALOR</v>
      </c>
      <c r="L185" s="36">
        <v>284.85000000000002</v>
      </c>
      <c r="M185" s="37">
        <v>284.85000000000002</v>
      </c>
      <c r="N185" s="36">
        <v>284.85000000000002</v>
      </c>
    </row>
    <row r="186" ht="25.5">
      <c r="A186" s="19" t="s">
        <v>10638</v>
      </c>
      <c r="B186" s="19">
        <v>10658</v>
      </c>
      <c r="C186" s="20" t="s">
        <v>10639</v>
      </c>
      <c r="D186" s="19" t="s">
        <v>31</v>
      </c>
      <c r="E186" s="19" t="s">
        <v>10466</v>
      </c>
      <c r="F186" s="21" t="str">
        <f t="shared" si="486"/>
        <v>VERIFICAR</v>
      </c>
      <c r="G186" s="21" t="str">
        <f t="shared" si="486"/>
        <v>VERIFICAR</v>
      </c>
      <c r="H186" s="21" t="str">
        <f t="shared" si="486"/>
        <v>VERIFICAR</v>
      </c>
      <c r="I186" s="24" t="str">
        <f t="shared" si="487"/>
        <v xml:space="preserve">SEM VALOR</v>
      </c>
      <c r="L186" s="36"/>
      <c r="M186" s="37"/>
      <c r="N186" s="36"/>
    </row>
    <row r="187" ht="12.75">
      <c r="A187" s="19" t="s">
        <v>10604</v>
      </c>
      <c r="B187" s="19">
        <v>253</v>
      </c>
      <c r="C187" s="20" t="s">
        <v>10640</v>
      </c>
      <c r="D187" s="19" t="s">
        <v>2032</v>
      </c>
      <c r="E187" s="19" t="s">
        <v>10466</v>
      </c>
      <c r="F187" s="21">
        <f t="shared" si="486"/>
        <v>24.48</v>
      </c>
      <c r="G187" s="21">
        <f t="shared" si="486"/>
        <v>24.48</v>
      </c>
      <c r="H187" s="21">
        <f t="shared" si="486"/>
        <v>24.48</v>
      </c>
      <c r="I187" s="24" t="str">
        <f t="shared" si="487"/>
        <v xml:space="preserve">COM VALOR</v>
      </c>
      <c r="L187" s="36">
        <v>24.48</v>
      </c>
      <c r="M187" s="37">
        <v>24.48</v>
      </c>
      <c r="N187" s="36">
        <v>24.48</v>
      </c>
    </row>
    <row r="188" ht="12.75">
      <c r="A188" s="19" t="s">
        <v>10604</v>
      </c>
      <c r="B188" s="19">
        <v>40809</v>
      </c>
      <c r="C188" s="20" t="s">
        <v>10641</v>
      </c>
      <c r="D188" s="19" t="s">
        <v>7087</v>
      </c>
      <c r="E188" s="19" t="s">
        <v>10459</v>
      </c>
      <c r="F188" s="21">
        <f t="shared" si="486"/>
        <v>4284.1000000000004</v>
      </c>
      <c r="G188" s="21">
        <f t="shared" si="486"/>
        <v>4284.1000000000004</v>
      </c>
      <c r="H188" s="21">
        <f t="shared" si="486"/>
        <v>4284.1000000000004</v>
      </c>
      <c r="I188" s="24" t="str">
        <f t="shared" si="487"/>
        <v xml:space="preserve">COM VALOR</v>
      </c>
      <c r="L188" s="36">
        <v>4284.1000000000004</v>
      </c>
      <c r="M188" s="37">
        <v>4284.1000000000004</v>
      </c>
      <c r="N188" s="36">
        <v>4284.1000000000004</v>
      </c>
    </row>
    <row r="189" ht="51">
      <c r="A189" s="19" t="s">
        <v>10460</v>
      </c>
      <c r="B189" s="19">
        <v>42428</v>
      </c>
      <c r="C189" s="20" t="s">
        <v>10642</v>
      </c>
      <c r="D189" s="19" t="s">
        <v>31</v>
      </c>
      <c r="E189" s="19" t="s">
        <v>10466</v>
      </c>
      <c r="F189" s="21" t="str">
        <f t="shared" si="486"/>
        <v>VERIFICAR</v>
      </c>
      <c r="G189" s="21" t="str">
        <f t="shared" si="486"/>
        <v>VERIFICAR</v>
      </c>
      <c r="H189" s="21" t="str">
        <f t="shared" si="486"/>
        <v>VERIFICAR</v>
      </c>
      <c r="I189" s="24" t="str">
        <f t="shared" si="487"/>
        <v xml:space="preserve">SEM VALOR</v>
      </c>
      <c r="L189" s="36"/>
      <c r="M189" s="37"/>
      <c r="N189" s="36"/>
    </row>
    <row r="190" ht="25.5">
      <c r="A190" s="19" t="s">
        <v>10460</v>
      </c>
      <c r="B190" s="19">
        <v>301</v>
      </c>
      <c r="C190" s="20" t="s">
        <v>10643</v>
      </c>
      <c r="D190" s="19" t="s">
        <v>31</v>
      </c>
      <c r="E190" s="19" t="s">
        <v>10466</v>
      </c>
      <c r="F190" s="21">
        <f t="shared" si="486"/>
        <v>3</v>
      </c>
      <c r="G190" s="21">
        <f t="shared" si="486"/>
        <v>3</v>
      </c>
      <c r="H190" s="21">
        <f t="shared" si="486"/>
        <v>3</v>
      </c>
      <c r="I190" s="24" t="str">
        <f t="shared" si="487"/>
        <v xml:space="preserve">COM VALOR</v>
      </c>
      <c r="L190" s="36">
        <v>3</v>
      </c>
      <c r="M190" s="37">
        <v>3</v>
      </c>
      <c r="N190" s="36">
        <v>3</v>
      </c>
    </row>
    <row r="191" ht="25.5">
      <c r="A191" s="19" t="s">
        <v>10460</v>
      </c>
      <c r="B191" s="19">
        <v>296</v>
      </c>
      <c r="C191" s="20" t="s">
        <v>10644</v>
      </c>
      <c r="D191" s="19" t="s">
        <v>31</v>
      </c>
      <c r="E191" s="19" t="s">
        <v>10459</v>
      </c>
      <c r="F191" s="21">
        <f t="shared" si="486"/>
        <v>1.6899999999999999</v>
      </c>
      <c r="G191" s="21">
        <f t="shared" si="486"/>
        <v>1.6899999999999999</v>
      </c>
      <c r="H191" s="21">
        <f t="shared" si="486"/>
        <v>1.6899999999999999</v>
      </c>
      <c r="I191" s="24" t="str">
        <f t="shared" si="487"/>
        <v xml:space="preserve">COM VALOR</v>
      </c>
      <c r="L191" s="36">
        <v>1.6899999999999999</v>
      </c>
      <c r="M191" s="37">
        <v>1.6899999999999999</v>
      </c>
      <c r="N191" s="36">
        <v>1.6899999999999999</v>
      </c>
    </row>
    <row r="192" ht="25.5">
      <c r="A192" s="19" t="s">
        <v>10460</v>
      </c>
      <c r="B192" s="19">
        <v>297</v>
      </c>
      <c r="C192" s="20" t="s">
        <v>10645</v>
      </c>
      <c r="D192" s="19" t="s">
        <v>31</v>
      </c>
      <c r="E192" s="19" t="s">
        <v>10459</v>
      </c>
      <c r="F192" s="21">
        <f t="shared" si="486"/>
        <v>2.4900000000000002</v>
      </c>
      <c r="G192" s="21">
        <f t="shared" si="486"/>
        <v>2.4900000000000002</v>
      </c>
      <c r="H192" s="21">
        <f t="shared" si="486"/>
        <v>2.4900000000000002</v>
      </c>
      <c r="I192" s="24" t="str">
        <f t="shared" si="487"/>
        <v xml:space="preserve">COM VALOR</v>
      </c>
      <c r="L192" s="36">
        <v>2.4900000000000002</v>
      </c>
      <c r="M192" s="37">
        <v>2.4900000000000002</v>
      </c>
      <c r="N192" s="36">
        <v>2.4900000000000002</v>
      </c>
    </row>
    <row r="193" ht="25.5">
      <c r="A193" s="19" t="s">
        <v>10460</v>
      </c>
      <c r="B193" s="19">
        <v>299</v>
      </c>
      <c r="C193" s="20" t="s">
        <v>10646</v>
      </c>
      <c r="D193" s="19" t="s">
        <v>31</v>
      </c>
      <c r="E193" s="19" t="s">
        <v>10459</v>
      </c>
      <c r="F193" s="21">
        <f t="shared" si="486"/>
        <v>3.52</v>
      </c>
      <c r="G193" s="21">
        <f t="shared" si="486"/>
        <v>3.52</v>
      </c>
      <c r="H193" s="21">
        <f t="shared" si="486"/>
        <v>3.52</v>
      </c>
      <c r="I193" s="24" t="str">
        <f t="shared" si="487"/>
        <v xml:space="preserve">COM VALOR</v>
      </c>
      <c r="L193" s="36">
        <v>3.52</v>
      </c>
      <c r="M193" s="37">
        <v>3.52</v>
      </c>
      <c r="N193" s="36">
        <v>3.52</v>
      </c>
    </row>
    <row r="194" ht="25.5">
      <c r="A194" s="19" t="s">
        <v>10460</v>
      </c>
      <c r="B194" s="19">
        <v>300</v>
      </c>
      <c r="C194" s="20" t="s">
        <v>10647</v>
      </c>
      <c r="D194" s="19" t="s">
        <v>31</v>
      </c>
      <c r="E194" s="19" t="s">
        <v>10459</v>
      </c>
      <c r="F194" s="21">
        <f t="shared" si="486"/>
        <v>12.18</v>
      </c>
      <c r="G194" s="21">
        <f t="shared" si="486"/>
        <v>12.18</v>
      </c>
      <c r="H194" s="21">
        <f t="shared" si="486"/>
        <v>12.18</v>
      </c>
      <c r="I194" s="24" t="str">
        <f t="shared" si="487"/>
        <v xml:space="preserve">COM VALOR</v>
      </c>
      <c r="L194" s="36">
        <v>12.18</v>
      </c>
      <c r="M194" s="37">
        <v>12.18</v>
      </c>
      <c r="N194" s="36">
        <v>12.18</v>
      </c>
    </row>
    <row r="195" ht="25.5">
      <c r="A195" s="19" t="s">
        <v>10460</v>
      </c>
      <c r="B195" s="19">
        <v>20085</v>
      </c>
      <c r="C195" s="20" t="s">
        <v>10648</v>
      </c>
      <c r="D195" s="19" t="s">
        <v>31</v>
      </c>
      <c r="E195" s="19" t="s">
        <v>10459</v>
      </c>
      <c r="F195" s="21">
        <f t="shared" si="486"/>
        <v>2.2200000000000002</v>
      </c>
      <c r="G195" s="21">
        <f t="shared" si="486"/>
        <v>2.2200000000000002</v>
      </c>
      <c r="H195" s="21">
        <f t="shared" si="486"/>
        <v>2.2200000000000002</v>
      </c>
      <c r="I195" s="24" t="str">
        <f t="shared" si="487"/>
        <v xml:space="preserve">COM VALOR</v>
      </c>
      <c r="L195" s="36">
        <v>2.2200000000000002</v>
      </c>
      <c r="M195" s="37">
        <v>2.2200000000000002</v>
      </c>
      <c r="N195" s="36">
        <v>2.2200000000000002</v>
      </c>
    </row>
    <row r="196" ht="25.5">
      <c r="A196" s="19" t="s">
        <v>10460</v>
      </c>
      <c r="B196" s="19">
        <v>298</v>
      </c>
      <c r="C196" s="20" t="s">
        <v>10649</v>
      </c>
      <c r="D196" s="19" t="s">
        <v>31</v>
      </c>
      <c r="E196" s="19" t="s">
        <v>10459</v>
      </c>
      <c r="F196" s="21">
        <f t="shared" si="486"/>
        <v>2.7000000000000002</v>
      </c>
      <c r="G196" s="21">
        <f t="shared" si="486"/>
        <v>2.7000000000000002</v>
      </c>
      <c r="H196" s="21">
        <f t="shared" si="486"/>
        <v>2.7000000000000002</v>
      </c>
      <c r="I196" s="24" t="str">
        <f t="shared" si="487"/>
        <v xml:space="preserve">COM VALOR</v>
      </c>
      <c r="L196" s="36">
        <v>2.7000000000000002</v>
      </c>
      <c r="M196" s="37">
        <v>2.7000000000000002</v>
      </c>
      <c r="N196" s="36">
        <v>2.7000000000000002</v>
      </c>
    </row>
    <row r="197" ht="25.5">
      <c r="A197" s="19" t="s">
        <v>10460</v>
      </c>
      <c r="B197" s="19">
        <v>311</v>
      </c>
      <c r="C197" s="20" t="s">
        <v>10650</v>
      </c>
      <c r="D197" s="19" t="s">
        <v>31</v>
      </c>
      <c r="E197" s="19" t="s">
        <v>10459</v>
      </c>
      <c r="F197" s="21">
        <f t="shared" si="486"/>
        <v>10.039999999999999</v>
      </c>
      <c r="G197" s="21">
        <f t="shared" si="486"/>
        <v>10.039999999999999</v>
      </c>
      <c r="H197" s="21">
        <f t="shared" si="486"/>
        <v>10.039999999999999</v>
      </c>
      <c r="I197" s="24" t="str">
        <f t="shared" si="487"/>
        <v xml:space="preserve">COM VALOR</v>
      </c>
      <c r="L197" s="36">
        <v>10.039999999999999</v>
      </c>
      <c r="M197" s="37">
        <v>10.039999999999999</v>
      </c>
      <c r="N197" s="36">
        <v>10.039999999999999</v>
      </c>
    </row>
    <row r="198" ht="25.5">
      <c r="A198" s="19" t="s">
        <v>10460</v>
      </c>
      <c r="B198" s="19">
        <v>318</v>
      </c>
      <c r="C198" s="20" t="s">
        <v>10651</v>
      </c>
      <c r="D198" s="19" t="s">
        <v>31</v>
      </c>
      <c r="E198" s="19" t="s">
        <v>10459</v>
      </c>
      <c r="F198" s="21">
        <f t="shared" si="486"/>
        <v>20.219999999999999</v>
      </c>
      <c r="G198" s="21">
        <f t="shared" si="486"/>
        <v>20.219999999999999</v>
      </c>
      <c r="H198" s="21">
        <f t="shared" si="486"/>
        <v>20.219999999999999</v>
      </c>
      <c r="I198" s="24" t="str">
        <f t="shared" si="487"/>
        <v xml:space="preserve">COM VALOR</v>
      </c>
      <c r="L198" s="36">
        <v>20.219999999999999</v>
      </c>
      <c r="M198" s="37">
        <v>20.219999999999999</v>
      </c>
      <c r="N198" s="36">
        <v>20.219999999999999</v>
      </c>
    </row>
    <row r="199" ht="25.5">
      <c r="A199" s="19" t="s">
        <v>10460</v>
      </c>
      <c r="B199" s="19">
        <v>319</v>
      </c>
      <c r="C199" s="20" t="s">
        <v>10652</v>
      </c>
      <c r="D199" s="19" t="s">
        <v>31</v>
      </c>
      <c r="E199" s="19" t="s">
        <v>10459</v>
      </c>
      <c r="F199" s="21">
        <f t="shared" si="486"/>
        <v>31.710000000000001</v>
      </c>
      <c r="G199" s="21">
        <f t="shared" si="486"/>
        <v>31.710000000000001</v>
      </c>
      <c r="H199" s="21">
        <f t="shared" si="486"/>
        <v>31.710000000000001</v>
      </c>
      <c r="I199" s="24" t="str">
        <f t="shared" si="487"/>
        <v xml:space="preserve">COM VALOR</v>
      </c>
      <c r="L199" s="36">
        <v>31.710000000000001</v>
      </c>
      <c r="M199" s="37">
        <v>31.710000000000001</v>
      </c>
      <c r="N199" s="36">
        <v>31.710000000000001</v>
      </c>
    </row>
    <row r="200" ht="25.5">
      <c r="A200" s="19" t="s">
        <v>10460</v>
      </c>
      <c r="B200" s="19">
        <v>303</v>
      </c>
      <c r="C200" s="20" t="s">
        <v>10653</v>
      </c>
      <c r="D200" s="19" t="s">
        <v>31</v>
      </c>
      <c r="E200" s="19" t="s">
        <v>10459</v>
      </c>
      <c r="F200" s="21">
        <f t="shared" si="486"/>
        <v>3.3199999999999998</v>
      </c>
      <c r="G200" s="21">
        <f t="shared" si="486"/>
        <v>3.3199999999999998</v>
      </c>
      <c r="H200" s="21">
        <f t="shared" si="486"/>
        <v>3.3199999999999998</v>
      </c>
      <c r="I200" s="24" t="str">
        <f t="shared" si="487"/>
        <v xml:space="preserve">COM VALOR</v>
      </c>
      <c r="L200" s="36">
        <v>3.3199999999999998</v>
      </c>
      <c r="M200" s="37">
        <v>3.3199999999999998</v>
      </c>
      <c r="N200" s="36">
        <v>3.3199999999999998</v>
      </c>
    </row>
    <row r="201" ht="25.5">
      <c r="A201" s="19" t="s">
        <v>10460</v>
      </c>
      <c r="B201" s="19">
        <v>305</v>
      </c>
      <c r="C201" s="20" t="s">
        <v>10654</v>
      </c>
      <c r="D201" s="19" t="s">
        <v>31</v>
      </c>
      <c r="E201" s="19" t="s">
        <v>10459</v>
      </c>
      <c r="F201" s="21">
        <f t="shared" si="486"/>
        <v>10.449999999999999</v>
      </c>
      <c r="G201" s="21">
        <f t="shared" si="486"/>
        <v>10.449999999999999</v>
      </c>
      <c r="H201" s="21">
        <f t="shared" si="486"/>
        <v>10.449999999999999</v>
      </c>
      <c r="I201" s="24" t="str">
        <f t="shared" si="487"/>
        <v xml:space="preserve">COM VALOR</v>
      </c>
      <c r="L201" s="36">
        <v>10.449999999999999</v>
      </c>
      <c r="M201" s="37">
        <v>10.449999999999999</v>
      </c>
      <c r="N201" s="36">
        <v>10.449999999999999</v>
      </c>
    </row>
    <row r="202" ht="25.5">
      <c r="A202" s="19" t="s">
        <v>10460</v>
      </c>
      <c r="B202" s="19">
        <v>306</v>
      </c>
      <c r="C202" s="20" t="s">
        <v>10655</v>
      </c>
      <c r="D202" s="19" t="s">
        <v>31</v>
      </c>
      <c r="E202" s="19" t="s">
        <v>10459</v>
      </c>
      <c r="F202" s="21">
        <f t="shared" si="486"/>
        <v>15.85</v>
      </c>
      <c r="G202" s="21">
        <f t="shared" si="486"/>
        <v>15.85</v>
      </c>
      <c r="H202" s="21">
        <f t="shared" si="486"/>
        <v>15.85</v>
      </c>
      <c r="I202" s="24" t="str">
        <f t="shared" si="487"/>
        <v xml:space="preserve">COM VALOR</v>
      </c>
      <c r="L202" s="36">
        <v>15.85</v>
      </c>
      <c r="M202" s="37">
        <v>15.85</v>
      </c>
      <c r="N202" s="36">
        <v>15.85</v>
      </c>
    </row>
    <row r="203" ht="25.5">
      <c r="A203" s="19" t="s">
        <v>10460</v>
      </c>
      <c r="B203" s="19">
        <v>307</v>
      </c>
      <c r="C203" s="20" t="s">
        <v>10656</v>
      </c>
      <c r="D203" s="19" t="s">
        <v>31</v>
      </c>
      <c r="E203" s="19" t="s">
        <v>10459</v>
      </c>
      <c r="F203" s="21">
        <f t="shared" ref="F203:H266" si="488">IF(L203=0,"VERIFICAR",L203)</f>
        <v>40.060000000000002</v>
      </c>
      <c r="G203" s="21">
        <f t="shared" si="488"/>
        <v>40.060000000000002</v>
      </c>
      <c r="H203" s="21">
        <f t="shared" si="488"/>
        <v>40.060000000000002</v>
      </c>
      <c r="I203" s="24" t="str">
        <f t="shared" ref="I203:I266" si="489">IF(OR(L203=0,M203=0,N203=0),"SEM VALOR","COM VALOR")</f>
        <v xml:space="preserve">COM VALOR</v>
      </c>
      <c r="L203" s="36">
        <v>40.060000000000002</v>
      </c>
      <c r="M203" s="37">
        <v>40.060000000000002</v>
      </c>
      <c r="N203" s="36">
        <v>40.060000000000002</v>
      </c>
    </row>
    <row r="204" ht="25.5">
      <c r="A204" s="19" t="s">
        <v>10460</v>
      </c>
      <c r="B204" s="19">
        <v>309</v>
      </c>
      <c r="C204" s="20" t="s">
        <v>10657</v>
      </c>
      <c r="D204" s="19" t="s">
        <v>31</v>
      </c>
      <c r="E204" s="19" t="s">
        <v>10459</v>
      </c>
      <c r="F204" s="21">
        <f t="shared" si="488"/>
        <v>65.620000000000005</v>
      </c>
      <c r="G204" s="21">
        <f t="shared" si="488"/>
        <v>65.620000000000005</v>
      </c>
      <c r="H204" s="21">
        <f t="shared" si="488"/>
        <v>65.620000000000005</v>
      </c>
      <c r="I204" s="24" t="str">
        <f t="shared" si="489"/>
        <v xml:space="preserve">COM VALOR</v>
      </c>
      <c r="L204" s="36">
        <v>65.620000000000005</v>
      </c>
      <c r="M204" s="37">
        <v>65.620000000000005</v>
      </c>
      <c r="N204" s="36">
        <v>65.620000000000005</v>
      </c>
    </row>
    <row r="205" ht="25.5">
      <c r="A205" s="19" t="s">
        <v>10460</v>
      </c>
      <c r="B205" s="19">
        <v>310</v>
      </c>
      <c r="C205" s="20" t="s">
        <v>10658</v>
      </c>
      <c r="D205" s="19" t="s">
        <v>31</v>
      </c>
      <c r="E205" s="19" t="s">
        <v>10459</v>
      </c>
      <c r="F205" s="21">
        <f t="shared" si="488"/>
        <v>90.950000000000003</v>
      </c>
      <c r="G205" s="21">
        <f t="shared" si="488"/>
        <v>90.950000000000003</v>
      </c>
      <c r="H205" s="21">
        <f t="shared" si="488"/>
        <v>90.950000000000003</v>
      </c>
      <c r="I205" s="24" t="str">
        <f t="shared" si="489"/>
        <v xml:space="preserve">COM VALOR</v>
      </c>
      <c r="L205" s="36">
        <v>90.950000000000003</v>
      </c>
      <c r="M205" s="37">
        <v>90.950000000000003</v>
      </c>
      <c r="N205" s="36">
        <v>90.950000000000003</v>
      </c>
    </row>
    <row r="206" ht="25.5">
      <c r="A206" s="19" t="s">
        <v>10460</v>
      </c>
      <c r="B206" s="19">
        <v>308</v>
      </c>
      <c r="C206" s="20" t="s">
        <v>10659</v>
      </c>
      <c r="D206" s="19" t="s">
        <v>31</v>
      </c>
      <c r="E206" s="19" t="s">
        <v>10459</v>
      </c>
      <c r="F206" s="21">
        <f t="shared" si="488"/>
        <v>89.400000000000006</v>
      </c>
      <c r="G206" s="21">
        <f t="shared" si="488"/>
        <v>89.400000000000006</v>
      </c>
      <c r="H206" s="21">
        <f t="shared" si="488"/>
        <v>89.400000000000006</v>
      </c>
      <c r="I206" s="24" t="str">
        <f t="shared" si="489"/>
        <v xml:space="preserve">COM VALOR</v>
      </c>
      <c r="L206" s="36">
        <v>89.400000000000006</v>
      </c>
      <c r="M206" s="37">
        <v>89.400000000000006</v>
      </c>
      <c r="N206" s="36">
        <v>89.400000000000006</v>
      </c>
    </row>
    <row r="207" ht="25.5">
      <c r="A207" s="19" t="s">
        <v>10460</v>
      </c>
      <c r="B207" s="19">
        <v>328</v>
      </c>
      <c r="C207" s="20" t="s">
        <v>10660</v>
      </c>
      <c r="D207" s="19" t="s">
        <v>31</v>
      </c>
      <c r="E207" s="19" t="s">
        <v>10459</v>
      </c>
      <c r="F207" s="21">
        <f t="shared" si="488"/>
        <v>7.9500000000000002</v>
      </c>
      <c r="G207" s="21">
        <f t="shared" si="488"/>
        <v>7.9500000000000002</v>
      </c>
      <c r="H207" s="21">
        <f t="shared" si="488"/>
        <v>7.9500000000000002</v>
      </c>
      <c r="I207" s="24" t="str">
        <f t="shared" si="489"/>
        <v xml:space="preserve">COM VALOR</v>
      </c>
      <c r="L207" s="36">
        <v>7.9500000000000002</v>
      </c>
      <c r="M207" s="37">
        <v>7.9500000000000002</v>
      </c>
      <c r="N207" s="36">
        <v>7.9500000000000002</v>
      </c>
    </row>
    <row r="208" ht="25.5">
      <c r="A208" s="19" t="s">
        <v>10460</v>
      </c>
      <c r="B208" s="19">
        <v>325</v>
      </c>
      <c r="C208" s="20" t="s">
        <v>10661</v>
      </c>
      <c r="D208" s="19" t="s">
        <v>31</v>
      </c>
      <c r="E208" s="19" t="s">
        <v>10459</v>
      </c>
      <c r="F208" s="21">
        <f t="shared" si="488"/>
        <v>2.3399999999999999</v>
      </c>
      <c r="G208" s="21">
        <f t="shared" si="488"/>
        <v>2.3399999999999999</v>
      </c>
      <c r="H208" s="21">
        <f t="shared" si="488"/>
        <v>2.3399999999999999</v>
      </c>
      <c r="I208" s="24" t="str">
        <f t="shared" si="489"/>
        <v xml:space="preserve">COM VALOR</v>
      </c>
      <c r="L208" s="36">
        <v>2.3399999999999999</v>
      </c>
      <c r="M208" s="37">
        <v>2.3399999999999999</v>
      </c>
      <c r="N208" s="36">
        <v>2.3399999999999999</v>
      </c>
    </row>
    <row r="209" ht="25.5">
      <c r="A209" s="19" t="s">
        <v>10460</v>
      </c>
      <c r="B209" s="19">
        <v>20326</v>
      </c>
      <c r="C209" s="20" t="s">
        <v>10662</v>
      </c>
      <c r="D209" s="19" t="s">
        <v>31</v>
      </c>
      <c r="E209" s="19" t="s">
        <v>10459</v>
      </c>
      <c r="F209" s="21">
        <f t="shared" si="488"/>
        <v>4.29</v>
      </c>
      <c r="G209" s="21">
        <f t="shared" si="488"/>
        <v>4.29</v>
      </c>
      <c r="H209" s="21">
        <f t="shared" si="488"/>
        <v>4.29</v>
      </c>
      <c r="I209" s="24" t="str">
        <f t="shared" si="489"/>
        <v xml:space="preserve">COM VALOR</v>
      </c>
      <c r="L209" s="36">
        <v>4.29</v>
      </c>
      <c r="M209" s="37">
        <v>4.29</v>
      </c>
      <c r="N209" s="36">
        <v>4.29</v>
      </c>
    </row>
    <row r="210" ht="25.5">
      <c r="A210" s="19" t="s">
        <v>10460</v>
      </c>
      <c r="B210" s="19">
        <v>329</v>
      </c>
      <c r="C210" s="20" t="s">
        <v>10663</v>
      </c>
      <c r="D210" s="19" t="s">
        <v>31</v>
      </c>
      <c r="E210" s="19" t="s">
        <v>10459</v>
      </c>
      <c r="F210" s="21">
        <f t="shared" si="488"/>
        <v>6.6500000000000004</v>
      </c>
      <c r="G210" s="21">
        <f t="shared" si="488"/>
        <v>6.6500000000000004</v>
      </c>
      <c r="H210" s="21">
        <f t="shared" si="488"/>
        <v>6.6500000000000004</v>
      </c>
      <c r="I210" s="24" t="str">
        <f t="shared" si="489"/>
        <v xml:space="preserve">COM VALOR</v>
      </c>
      <c r="L210" s="36">
        <v>6.6500000000000004</v>
      </c>
      <c r="M210" s="37">
        <v>6.6500000000000004</v>
      </c>
      <c r="N210" s="36">
        <v>6.6500000000000004</v>
      </c>
    </row>
    <row r="211" ht="25.5">
      <c r="A211" s="19" t="s">
        <v>10460</v>
      </c>
      <c r="B211" s="19">
        <v>39642</v>
      </c>
      <c r="C211" s="20" t="s">
        <v>10664</v>
      </c>
      <c r="D211" s="19" t="s">
        <v>31</v>
      </c>
      <c r="E211" s="19" t="s">
        <v>10459</v>
      </c>
      <c r="F211" s="21">
        <f t="shared" si="488"/>
        <v>2.9399999999999999</v>
      </c>
      <c r="G211" s="21">
        <f t="shared" si="488"/>
        <v>2.9399999999999999</v>
      </c>
      <c r="H211" s="21">
        <f t="shared" si="488"/>
        <v>2.9399999999999999</v>
      </c>
      <c r="I211" s="24" t="str">
        <f t="shared" si="489"/>
        <v xml:space="preserve">COM VALOR</v>
      </c>
      <c r="L211" s="36">
        <v>2.9399999999999999</v>
      </c>
      <c r="M211" s="37">
        <v>2.9399999999999999</v>
      </c>
      <c r="N211" s="36">
        <v>2.9399999999999999</v>
      </c>
    </row>
    <row r="212" ht="25.5">
      <c r="A212" s="19" t="s">
        <v>10460</v>
      </c>
      <c r="B212" s="19">
        <v>39641</v>
      </c>
      <c r="C212" s="20" t="s">
        <v>10665</v>
      </c>
      <c r="D212" s="19" t="s">
        <v>31</v>
      </c>
      <c r="E212" s="19" t="s">
        <v>10459</v>
      </c>
      <c r="F212" s="21">
        <f t="shared" si="488"/>
        <v>2.5800000000000001</v>
      </c>
      <c r="G212" s="21">
        <f t="shared" si="488"/>
        <v>2.5800000000000001</v>
      </c>
      <c r="H212" s="21">
        <f t="shared" si="488"/>
        <v>2.5800000000000001</v>
      </c>
      <c r="I212" s="24" t="str">
        <f t="shared" si="489"/>
        <v xml:space="preserve">COM VALOR</v>
      </c>
      <c r="L212" s="36">
        <v>2.5800000000000001</v>
      </c>
      <c r="M212" s="37">
        <v>2.5800000000000001</v>
      </c>
      <c r="N212" s="36">
        <v>2.5800000000000001</v>
      </c>
    </row>
    <row r="213" ht="25.5">
      <c r="A213" s="19" t="s">
        <v>10460</v>
      </c>
      <c r="B213" s="19">
        <v>39643</v>
      </c>
      <c r="C213" s="20" t="s">
        <v>10666</v>
      </c>
      <c r="D213" s="19" t="s">
        <v>31</v>
      </c>
      <c r="E213" s="19" t="s">
        <v>10459</v>
      </c>
      <c r="F213" s="21">
        <f t="shared" si="488"/>
        <v>3.46</v>
      </c>
      <c r="G213" s="21">
        <f t="shared" si="488"/>
        <v>3.46</v>
      </c>
      <c r="H213" s="21">
        <f t="shared" si="488"/>
        <v>3.46</v>
      </c>
      <c r="I213" s="24" t="str">
        <f t="shared" si="489"/>
        <v xml:space="preserve">COM VALOR</v>
      </c>
      <c r="L213" s="36">
        <v>3.46</v>
      </c>
      <c r="M213" s="37">
        <v>3.46</v>
      </c>
      <c r="N213" s="36">
        <v>3.46</v>
      </c>
    </row>
    <row r="214" ht="25.5">
      <c r="A214" s="19" t="s">
        <v>10460</v>
      </c>
      <c r="B214" s="19">
        <v>39644</v>
      </c>
      <c r="C214" s="20" t="s">
        <v>10667</v>
      </c>
      <c r="D214" s="19" t="s">
        <v>31</v>
      </c>
      <c r="E214" s="19" t="s">
        <v>10459</v>
      </c>
      <c r="F214" s="21">
        <f t="shared" si="488"/>
        <v>5.3600000000000003</v>
      </c>
      <c r="G214" s="21">
        <f t="shared" si="488"/>
        <v>5.3600000000000003</v>
      </c>
      <c r="H214" s="21">
        <f t="shared" si="488"/>
        <v>5.3600000000000003</v>
      </c>
      <c r="I214" s="24" t="str">
        <f t="shared" si="489"/>
        <v xml:space="preserve">COM VALOR</v>
      </c>
      <c r="L214" s="36">
        <v>5.3600000000000003</v>
      </c>
      <c r="M214" s="37">
        <v>5.3600000000000003</v>
      </c>
      <c r="N214" s="36">
        <v>5.3600000000000003</v>
      </c>
    </row>
    <row r="215" ht="25.5">
      <c r="A215" s="19" t="s">
        <v>10460</v>
      </c>
      <c r="B215" s="19">
        <v>39645</v>
      </c>
      <c r="C215" s="20" t="s">
        <v>10668</v>
      </c>
      <c r="D215" s="19" t="s">
        <v>31</v>
      </c>
      <c r="E215" s="19" t="s">
        <v>10459</v>
      </c>
      <c r="F215" s="21">
        <f t="shared" si="488"/>
        <v>5.8799999999999999</v>
      </c>
      <c r="G215" s="21">
        <f t="shared" si="488"/>
        <v>5.8799999999999999</v>
      </c>
      <c r="H215" s="21">
        <f t="shared" si="488"/>
        <v>5.8799999999999999</v>
      </c>
      <c r="I215" s="24" t="str">
        <f t="shared" si="489"/>
        <v xml:space="preserve">COM VALOR</v>
      </c>
      <c r="L215" s="36">
        <v>5.8799999999999999</v>
      </c>
      <c r="M215" s="37">
        <v>5.8799999999999999</v>
      </c>
      <c r="N215" s="36">
        <v>5.8799999999999999</v>
      </c>
    </row>
    <row r="216" ht="25.5">
      <c r="A216" s="19" t="s">
        <v>10460</v>
      </c>
      <c r="B216" s="19">
        <v>41610</v>
      </c>
      <c r="C216" s="20" t="s">
        <v>10669</v>
      </c>
      <c r="D216" s="19" t="s">
        <v>31</v>
      </c>
      <c r="E216" s="19" t="s">
        <v>10459</v>
      </c>
      <c r="F216" s="21">
        <f t="shared" si="488"/>
        <v>768.63</v>
      </c>
      <c r="G216" s="21">
        <f t="shared" si="488"/>
        <v>768.63</v>
      </c>
      <c r="H216" s="21">
        <f t="shared" si="488"/>
        <v>768.63</v>
      </c>
      <c r="I216" s="24" t="str">
        <f t="shared" si="489"/>
        <v xml:space="preserve">COM VALOR</v>
      </c>
      <c r="L216" s="36">
        <v>768.63</v>
      </c>
      <c r="M216" s="37">
        <v>768.63</v>
      </c>
      <c r="N216" s="36">
        <v>768.63</v>
      </c>
    </row>
    <row r="217" ht="25.5">
      <c r="A217" s="19" t="s">
        <v>10460</v>
      </c>
      <c r="B217" s="19">
        <v>41611</v>
      </c>
      <c r="C217" s="20" t="s">
        <v>10670</v>
      </c>
      <c r="D217" s="19" t="s">
        <v>31</v>
      </c>
      <c r="E217" s="19" t="s">
        <v>10459</v>
      </c>
      <c r="F217" s="21">
        <f t="shared" si="488"/>
        <v>1211.52</v>
      </c>
      <c r="G217" s="21">
        <f t="shared" si="488"/>
        <v>1211.52</v>
      </c>
      <c r="H217" s="21">
        <f t="shared" si="488"/>
        <v>1211.52</v>
      </c>
      <c r="I217" s="24" t="str">
        <f t="shared" si="489"/>
        <v xml:space="preserve">COM VALOR</v>
      </c>
      <c r="L217" s="36">
        <v>1211.52</v>
      </c>
      <c r="M217" s="37">
        <v>1211.52</v>
      </c>
      <c r="N217" s="36">
        <v>1211.52</v>
      </c>
    </row>
    <row r="218" ht="25.5">
      <c r="A218" s="19" t="s">
        <v>10460</v>
      </c>
      <c r="B218" s="19">
        <v>41612</v>
      </c>
      <c r="C218" s="20" t="s">
        <v>10671</v>
      </c>
      <c r="D218" s="19" t="s">
        <v>31</v>
      </c>
      <c r="E218" s="19" t="s">
        <v>10459</v>
      </c>
      <c r="F218" s="21">
        <f t="shared" si="488"/>
        <v>1701.1500000000001</v>
      </c>
      <c r="G218" s="21">
        <f t="shared" si="488"/>
        <v>1701.1500000000001</v>
      </c>
      <c r="H218" s="21">
        <f t="shared" si="488"/>
        <v>1701.1500000000001</v>
      </c>
      <c r="I218" s="24" t="str">
        <f t="shared" si="489"/>
        <v xml:space="preserve">COM VALOR</v>
      </c>
      <c r="L218" s="36">
        <v>1701.1500000000001</v>
      </c>
      <c r="M218" s="37">
        <v>1701.1500000000001</v>
      </c>
      <c r="N218" s="36">
        <v>1701.1500000000001</v>
      </c>
    </row>
    <row r="219" ht="25.5">
      <c r="A219" s="19" t="s">
        <v>10460</v>
      </c>
      <c r="B219" s="19">
        <v>41637</v>
      </c>
      <c r="C219" s="20" t="s">
        <v>10672</v>
      </c>
      <c r="D219" s="19" t="s">
        <v>31</v>
      </c>
      <c r="E219" s="19" t="s">
        <v>10459</v>
      </c>
      <c r="F219" s="21">
        <f t="shared" si="488"/>
        <v>159.02000000000001</v>
      </c>
      <c r="G219" s="21">
        <f t="shared" si="488"/>
        <v>159.02000000000001</v>
      </c>
      <c r="H219" s="21">
        <f t="shared" si="488"/>
        <v>159.02000000000001</v>
      </c>
      <c r="I219" s="24" t="str">
        <f t="shared" si="489"/>
        <v xml:space="preserve">COM VALOR</v>
      </c>
      <c r="L219" s="36">
        <v>159.02000000000001</v>
      </c>
      <c r="M219" s="37">
        <v>159.02000000000001</v>
      </c>
      <c r="N219" s="36">
        <v>159.02000000000001</v>
      </c>
    </row>
    <row r="220" ht="25.5">
      <c r="A220" s="19" t="s">
        <v>10460</v>
      </c>
      <c r="B220" s="19">
        <v>41638</v>
      </c>
      <c r="C220" s="20" t="s">
        <v>10673</v>
      </c>
      <c r="D220" s="19" t="s">
        <v>31</v>
      </c>
      <c r="E220" s="19" t="s">
        <v>10459</v>
      </c>
      <c r="F220" s="21">
        <f t="shared" si="488"/>
        <v>207.15000000000001</v>
      </c>
      <c r="G220" s="21">
        <f t="shared" si="488"/>
        <v>207.15000000000001</v>
      </c>
      <c r="H220" s="21">
        <f t="shared" si="488"/>
        <v>207.15000000000001</v>
      </c>
      <c r="I220" s="24" t="str">
        <f t="shared" si="489"/>
        <v xml:space="preserve">COM VALOR</v>
      </c>
      <c r="L220" s="36">
        <v>207.15000000000001</v>
      </c>
      <c r="M220" s="37">
        <v>207.15000000000001</v>
      </c>
      <c r="N220" s="36">
        <v>207.15000000000001</v>
      </c>
    </row>
    <row r="221" ht="25.5">
      <c r="A221" s="19" t="s">
        <v>10460</v>
      </c>
      <c r="B221" s="19">
        <v>41639</v>
      </c>
      <c r="C221" s="20" t="s">
        <v>10674</v>
      </c>
      <c r="D221" s="19" t="s">
        <v>31</v>
      </c>
      <c r="E221" s="19" t="s">
        <v>10459</v>
      </c>
      <c r="F221" s="21">
        <f t="shared" si="488"/>
        <v>501.13</v>
      </c>
      <c r="G221" s="21">
        <f t="shared" si="488"/>
        <v>501.13</v>
      </c>
      <c r="H221" s="21">
        <f t="shared" si="488"/>
        <v>501.13</v>
      </c>
      <c r="I221" s="24" t="str">
        <f t="shared" si="489"/>
        <v xml:space="preserve">COM VALOR</v>
      </c>
      <c r="L221" s="36">
        <v>501.13</v>
      </c>
      <c r="M221" s="37">
        <v>501.13</v>
      </c>
      <c r="N221" s="36">
        <v>501.13</v>
      </c>
    </row>
    <row r="222" ht="25.5">
      <c r="A222" s="19" t="s">
        <v>10460</v>
      </c>
      <c r="B222" s="19">
        <v>11789</v>
      </c>
      <c r="C222" s="20" t="s">
        <v>10675</v>
      </c>
      <c r="D222" s="19" t="s">
        <v>31</v>
      </c>
      <c r="E222" s="19" t="s">
        <v>10459</v>
      </c>
      <c r="F222" s="21">
        <f t="shared" si="488"/>
        <v>1.72</v>
      </c>
      <c r="G222" s="21">
        <f t="shared" si="488"/>
        <v>1.72</v>
      </c>
      <c r="H222" s="21">
        <f t="shared" si="488"/>
        <v>1.72</v>
      </c>
      <c r="I222" s="24" t="str">
        <f t="shared" si="489"/>
        <v xml:space="preserve">COM VALOR</v>
      </c>
      <c r="L222" s="36">
        <v>1.72</v>
      </c>
      <c r="M222" s="37">
        <v>1.72</v>
      </c>
      <c r="N222" s="36">
        <v>1.72</v>
      </c>
    </row>
    <row r="223" ht="25.5">
      <c r="A223" s="19" t="s">
        <v>10460</v>
      </c>
      <c r="B223" s="19">
        <v>20975</v>
      </c>
      <c r="C223" s="20" t="s">
        <v>10676</v>
      </c>
      <c r="D223" s="19" t="s">
        <v>31</v>
      </c>
      <c r="E223" s="19" t="s">
        <v>10459</v>
      </c>
      <c r="F223" s="21">
        <f t="shared" si="488"/>
        <v>12.359999999999999</v>
      </c>
      <c r="G223" s="21">
        <f t="shared" si="488"/>
        <v>12.359999999999999</v>
      </c>
      <c r="H223" s="21">
        <f t="shared" si="488"/>
        <v>12.359999999999999</v>
      </c>
      <c r="I223" s="24" t="str">
        <f t="shared" si="489"/>
        <v xml:space="preserve">COM VALOR</v>
      </c>
      <c r="L223" s="36">
        <v>12.359999999999999</v>
      </c>
      <c r="M223" s="37">
        <v>12.359999999999999</v>
      </c>
      <c r="N223" s="36">
        <v>12.359999999999999</v>
      </c>
    </row>
    <row r="224" ht="25.5">
      <c r="A224" s="19" t="s">
        <v>10460</v>
      </c>
      <c r="B224" s="19">
        <v>20976</v>
      </c>
      <c r="C224" s="20" t="s">
        <v>10677</v>
      </c>
      <c r="D224" s="19" t="s">
        <v>31</v>
      </c>
      <c r="E224" s="19" t="s">
        <v>10459</v>
      </c>
      <c r="F224" s="21">
        <f t="shared" si="488"/>
        <v>18.68</v>
      </c>
      <c r="G224" s="21">
        <f t="shared" si="488"/>
        <v>18.68</v>
      </c>
      <c r="H224" s="21">
        <f t="shared" si="488"/>
        <v>18.68</v>
      </c>
      <c r="I224" s="24" t="str">
        <f t="shared" si="489"/>
        <v xml:space="preserve">COM VALOR</v>
      </c>
      <c r="L224" s="36">
        <v>18.68</v>
      </c>
      <c r="M224" s="37">
        <v>18.68</v>
      </c>
      <c r="N224" s="36">
        <v>18.68</v>
      </c>
    </row>
    <row r="225" ht="25.5">
      <c r="A225" s="19" t="s">
        <v>10460</v>
      </c>
      <c r="B225" s="19">
        <v>6138</v>
      </c>
      <c r="C225" s="20" t="s">
        <v>10678</v>
      </c>
      <c r="D225" s="19" t="s">
        <v>31</v>
      </c>
      <c r="E225" s="19" t="s">
        <v>10459</v>
      </c>
      <c r="F225" s="21">
        <f t="shared" si="488"/>
        <v>12.73</v>
      </c>
      <c r="G225" s="21">
        <f t="shared" si="488"/>
        <v>12.73</v>
      </c>
      <c r="H225" s="21">
        <f t="shared" si="488"/>
        <v>12.73</v>
      </c>
      <c r="I225" s="24" t="str">
        <f t="shared" si="489"/>
        <v xml:space="preserve">COM VALOR</v>
      </c>
      <c r="L225" s="36">
        <v>12.73</v>
      </c>
      <c r="M225" s="37">
        <v>12.73</v>
      </c>
      <c r="N225" s="36">
        <v>12.73</v>
      </c>
    </row>
    <row r="226" ht="25.5">
      <c r="A226" s="19" t="s">
        <v>10460</v>
      </c>
      <c r="B226" s="19">
        <v>40340</v>
      </c>
      <c r="C226" s="20" t="s">
        <v>10679</v>
      </c>
      <c r="D226" s="19" t="s">
        <v>31</v>
      </c>
      <c r="E226" s="19" t="s">
        <v>10459</v>
      </c>
      <c r="F226" s="21">
        <f t="shared" si="488"/>
        <v>22.07</v>
      </c>
      <c r="G226" s="21">
        <f t="shared" si="488"/>
        <v>22.07</v>
      </c>
      <c r="H226" s="21">
        <f t="shared" si="488"/>
        <v>22.07</v>
      </c>
      <c r="I226" s="24" t="str">
        <f t="shared" si="489"/>
        <v xml:space="preserve">COM VALOR</v>
      </c>
      <c r="L226" s="36">
        <v>22.07</v>
      </c>
      <c r="M226" s="37">
        <v>22.07</v>
      </c>
      <c r="N226" s="36">
        <v>22.07</v>
      </c>
    </row>
    <row r="227" ht="25.5">
      <c r="A227" s="19" t="s">
        <v>10460</v>
      </c>
      <c r="B227" s="19">
        <v>40341</v>
      </c>
      <c r="C227" s="20" t="s">
        <v>10680</v>
      </c>
      <c r="D227" s="19" t="s">
        <v>31</v>
      </c>
      <c r="E227" s="19" t="s">
        <v>10459</v>
      </c>
      <c r="F227" s="21">
        <f t="shared" si="488"/>
        <v>26.34</v>
      </c>
      <c r="G227" s="21">
        <f t="shared" si="488"/>
        <v>26.34</v>
      </c>
      <c r="H227" s="21">
        <f t="shared" si="488"/>
        <v>26.34</v>
      </c>
      <c r="I227" s="24" t="str">
        <f t="shared" si="489"/>
        <v xml:space="preserve">COM VALOR</v>
      </c>
      <c r="L227" s="36">
        <v>26.34</v>
      </c>
      <c r="M227" s="37">
        <v>26.34</v>
      </c>
      <c r="N227" s="36">
        <v>26.34</v>
      </c>
    </row>
    <row r="228" ht="25.5">
      <c r="A228" s="19" t="s">
        <v>10460</v>
      </c>
      <c r="B228" s="19">
        <v>40342</v>
      </c>
      <c r="C228" s="20" t="s">
        <v>10681</v>
      </c>
      <c r="D228" s="19" t="s">
        <v>31</v>
      </c>
      <c r="E228" s="19" t="s">
        <v>10459</v>
      </c>
      <c r="F228" s="21">
        <f t="shared" si="488"/>
        <v>31.41</v>
      </c>
      <c r="G228" s="21">
        <f t="shared" si="488"/>
        <v>31.41</v>
      </c>
      <c r="H228" s="21">
        <f t="shared" si="488"/>
        <v>31.41</v>
      </c>
      <c r="I228" s="24" t="str">
        <f t="shared" si="489"/>
        <v xml:space="preserve">COM VALOR</v>
      </c>
      <c r="L228" s="36">
        <v>31.41</v>
      </c>
      <c r="M228" s="37">
        <v>31.41</v>
      </c>
      <c r="N228" s="36">
        <v>31.41</v>
      </c>
    </row>
    <row r="229" ht="25.5">
      <c r="A229" s="19" t="s">
        <v>10460</v>
      </c>
      <c r="B229" s="19">
        <v>40343</v>
      </c>
      <c r="C229" s="20" t="s">
        <v>10682</v>
      </c>
      <c r="D229" s="19" t="s">
        <v>31</v>
      </c>
      <c r="E229" s="19" t="s">
        <v>10459</v>
      </c>
      <c r="F229" s="21">
        <f t="shared" si="488"/>
        <v>37.259999999999998</v>
      </c>
      <c r="G229" s="21">
        <f t="shared" si="488"/>
        <v>37.259999999999998</v>
      </c>
      <c r="H229" s="21">
        <f t="shared" si="488"/>
        <v>37.259999999999998</v>
      </c>
      <c r="I229" s="24" t="str">
        <f t="shared" si="489"/>
        <v xml:space="preserve">COM VALOR</v>
      </c>
      <c r="L229" s="36">
        <v>37.259999999999998</v>
      </c>
      <c r="M229" s="37">
        <v>37.259999999999998</v>
      </c>
      <c r="N229" s="36">
        <v>37.259999999999998</v>
      </c>
    </row>
    <row r="230" ht="25.5">
      <c r="A230" s="19" t="s">
        <v>10460</v>
      </c>
      <c r="B230" s="19">
        <v>40344</v>
      </c>
      <c r="C230" s="20" t="s">
        <v>10683</v>
      </c>
      <c r="D230" s="19" t="s">
        <v>31</v>
      </c>
      <c r="E230" s="19" t="s">
        <v>10459</v>
      </c>
      <c r="F230" s="21">
        <f t="shared" si="488"/>
        <v>50.789999999999999</v>
      </c>
      <c r="G230" s="21">
        <f t="shared" si="488"/>
        <v>50.789999999999999</v>
      </c>
      <c r="H230" s="21">
        <f t="shared" si="488"/>
        <v>50.789999999999999</v>
      </c>
      <c r="I230" s="24" t="str">
        <f t="shared" si="489"/>
        <v xml:space="preserve">COM VALOR</v>
      </c>
      <c r="L230" s="36">
        <v>50.789999999999999</v>
      </c>
      <c r="M230" s="37">
        <v>50.789999999999999</v>
      </c>
      <c r="N230" s="36">
        <v>50.789999999999999</v>
      </c>
    </row>
    <row r="231" ht="25.5">
      <c r="A231" s="19" t="s">
        <v>10460</v>
      </c>
      <c r="B231" s="19">
        <v>40345</v>
      </c>
      <c r="C231" s="20" t="s">
        <v>10684</v>
      </c>
      <c r="D231" s="19" t="s">
        <v>31</v>
      </c>
      <c r="E231" s="19" t="s">
        <v>10459</v>
      </c>
      <c r="F231" s="21">
        <f t="shared" si="488"/>
        <v>62.579999999999998</v>
      </c>
      <c r="G231" s="21">
        <f t="shared" si="488"/>
        <v>62.579999999999998</v>
      </c>
      <c r="H231" s="21">
        <f t="shared" si="488"/>
        <v>62.579999999999998</v>
      </c>
      <c r="I231" s="24" t="str">
        <f t="shared" si="489"/>
        <v xml:space="preserve">COM VALOR</v>
      </c>
      <c r="L231" s="36">
        <v>62.579999999999998</v>
      </c>
      <c r="M231" s="37">
        <v>62.579999999999998</v>
      </c>
      <c r="N231" s="36">
        <v>62.579999999999998</v>
      </c>
    </row>
    <row r="232" ht="25.5">
      <c r="A232" s="19" t="s">
        <v>10460</v>
      </c>
      <c r="B232" s="19">
        <v>40346</v>
      </c>
      <c r="C232" s="20" t="s">
        <v>10685</v>
      </c>
      <c r="D232" s="19" t="s">
        <v>31</v>
      </c>
      <c r="E232" s="19" t="s">
        <v>10459</v>
      </c>
      <c r="F232" s="21">
        <f t="shared" si="488"/>
        <v>72.599999999999994</v>
      </c>
      <c r="G232" s="21">
        <f t="shared" si="488"/>
        <v>72.599999999999994</v>
      </c>
      <c r="H232" s="21">
        <f t="shared" si="488"/>
        <v>72.599999999999994</v>
      </c>
      <c r="I232" s="24" t="str">
        <f t="shared" si="489"/>
        <v xml:space="preserve">COM VALOR</v>
      </c>
      <c r="L232" s="36">
        <v>72.599999999999994</v>
      </c>
      <c r="M232" s="37">
        <v>72.599999999999994</v>
      </c>
      <c r="N232" s="36">
        <v>72.599999999999994</v>
      </c>
    </row>
    <row r="233" ht="25.5">
      <c r="A233" s="19" t="s">
        <v>10460</v>
      </c>
      <c r="B233" s="19">
        <v>40347</v>
      </c>
      <c r="C233" s="20" t="s">
        <v>10686</v>
      </c>
      <c r="D233" s="19" t="s">
        <v>31</v>
      </c>
      <c r="E233" s="19" t="s">
        <v>10459</v>
      </c>
      <c r="F233" s="21">
        <f t="shared" si="488"/>
        <v>91.209999999999994</v>
      </c>
      <c r="G233" s="21">
        <f t="shared" si="488"/>
        <v>91.209999999999994</v>
      </c>
      <c r="H233" s="21">
        <f t="shared" si="488"/>
        <v>91.209999999999994</v>
      </c>
      <c r="I233" s="24" t="str">
        <f t="shared" si="489"/>
        <v xml:space="preserve">COM VALOR</v>
      </c>
      <c r="L233" s="36">
        <v>91.209999999999994</v>
      </c>
      <c r="M233" s="37">
        <v>91.209999999999994</v>
      </c>
      <c r="N233" s="36">
        <v>91.209999999999994</v>
      </c>
    </row>
    <row r="234" ht="38.25">
      <c r="A234" s="19" t="s">
        <v>10460</v>
      </c>
      <c r="B234" s="19">
        <v>43424</v>
      </c>
      <c r="C234" s="20" t="s">
        <v>10687</v>
      </c>
      <c r="D234" s="19" t="s">
        <v>31</v>
      </c>
      <c r="E234" s="19" t="s">
        <v>10459</v>
      </c>
      <c r="F234" s="21">
        <f t="shared" si="488"/>
        <v>643.98000000000002</v>
      </c>
      <c r="G234" s="21">
        <f t="shared" si="488"/>
        <v>643.98000000000002</v>
      </c>
      <c r="H234" s="21">
        <f t="shared" si="488"/>
        <v>643.98000000000002</v>
      </c>
      <c r="I234" s="24" t="str">
        <f t="shared" si="489"/>
        <v xml:space="preserve">COM VALOR</v>
      </c>
      <c r="L234" s="36">
        <v>643.98000000000002</v>
      </c>
      <c r="M234" s="37">
        <v>643.98000000000002</v>
      </c>
      <c r="N234" s="36">
        <v>643.98000000000002</v>
      </c>
    </row>
    <row r="235" ht="38.25">
      <c r="A235" s="19" t="s">
        <v>10460</v>
      </c>
      <c r="B235" s="19">
        <v>43426</v>
      </c>
      <c r="C235" s="20" t="s">
        <v>10688</v>
      </c>
      <c r="D235" s="19" t="s">
        <v>31</v>
      </c>
      <c r="E235" s="19" t="s">
        <v>10459</v>
      </c>
      <c r="F235" s="21">
        <f t="shared" si="488"/>
        <v>2221.1199999999999</v>
      </c>
      <c r="G235" s="21">
        <f t="shared" si="488"/>
        <v>2221.1199999999999</v>
      </c>
      <c r="H235" s="21">
        <f t="shared" si="488"/>
        <v>2221.1199999999999</v>
      </c>
      <c r="I235" s="24" t="str">
        <f t="shared" si="489"/>
        <v xml:space="preserve">COM VALOR</v>
      </c>
      <c r="L235" s="36">
        <v>2221.1199999999999</v>
      </c>
      <c r="M235" s="37">
        <v>2221.1199999999999</v>
      </c>
      <c r="N235" s="36">
        <v>2221.1199999999999</v>
      </c>
    </row>
    <row r="236" ht="38.25">
      <c r="A236" s="19" t="s">
        <v>10460</v>
      </c>
      <c r="B236" s="19">
        <v>12565</v>
      </c>
      <c r="C236" s="20" t="s">
        <v>10689</v>
      </c>
      <c r="D236" s="19" t="s">
        <v>31</v>
      </c>
      <c r="E236" s="19" t="s">
        <v>10459</v>
      </c>
      <c r="F236" s="21">
        <f t="shared" si="488"/>
        <v>778.91999999999996</v>
      </c>
      <c r="G236" s="21">
        <f t="shared" si="488"/>
        <v>778.91999999999996</v>
      </c>
      <c r="H236" s="21">
        <f t="shared" si="488"/>
        <v>778.91999999999996</v>
      </c>
      <c r="I236" s="24" t="str">
        <f t="shared" si="489"/>
        <v xml:space="preserve">COM VALOR</v>
      </c>
      <c r="L236" s="36">
        <v>778.91999999999996</v>
      </c>
      <c r="M236" s="37">
        <v>778.91999999999996</v>
      </c>
      <c r="N236" s="36">
        <v>778.91999999999996</v>
      </c>
    </row>
    <row r="237" ht="38.25">
      <c r="A237" s="19" t="s">
        <v>10460</v>
      </c>
      <c r="B237" s="19">
        <v>12567</v>
      </c>
      <c r="C237" s="20" t="s">
        <v>10690</v>
      </c>
      <c r="D237" s="19" t="s">
        <v>31</v>
      </c>
      <c r="E237" s="19" t="s">
        <v>10459</v>
      </c>
      <c r="F237" s="21">
        <f t="shared" si="488"/>
        <v>1046.21</v>
      </c>
      <c r="G237" s="21">
        <f t="shared" si="488"/>
        <v>1046.21</v>
      </c>
      <c r="H237" s="21">
        <f t="shared" si="488"/>
        <v>1046.21</v>
      </c>
      <c r="I237" s="24" t="str">
        <f t="shared" si="489"/>
        <v xml:space="preserve">COM VALOR</v>
      </c>
      <c r="L237" s="36">
        <v>1046.21</v>
      </c>
      <c r="M237" s="37">
        <v>1046.21</v>
      </c>
      <c r="N237" s="36">
        <v>1046.21</v>
      </c>
    </row>
    <row r="238" ht="38.25">
      <c r="A238" s="19" t="s">
        <v>10460</v>
      </c>
      <c r="B238" s="19">
        <v>12568</v>
      </c>
      <c r="C238" s="20" t="s">
        <v>10691</v>
      </c>
      <c r="D238" s="19" t="s">
        <v>31</v>
      </c>
      <c r="E238" s="19" t="s">
        <v>10459</v>
      </c>
      <c r="F238" s="21">
        <f t="shared" si="488"/>
        <v>1464.7</v>
      </c>
      <c r="G238" s="21">
        <f t="shared" si="488"/>
        <v>1464.7</v>
      </c>
      <c r="H238" s="21">
        <f t="shared" si="488"/>
        <v>1464.7</v>
      </c>
      <c r="I238" s="24" t="str">
        <f t="shared" si="489"/>
        <v xml:space="preserve">COM VALOR</v>
      </c>
      <c r="L238" s="36">
        <v>1464.7</v>
      </c>
      <c r="M238" s="37">
        <v>1464.7</v>
      </c>
      <c r="N238" s="36">
        <v>1464.7</v>
      </c>
    </row>
    <row r="239" ht="38.25">
      <c r="A239" s="19" t="s">
        <v>10460</v>
      </c>
      <c r="B239" s="19">
        <v>43441</v>
      </c>
      <c r="C239" s="20" t="s">
        <v>10692</v>
      </c>
      <c r="D239" s="19" t="s">
        <v>31</v>
      </c>
      <c r="E239" s="19" t="s">
        <v>10459</v>
      </c>
      <c r="F239" s="21">
        <f t="shared" si="488"/>
        <v>188.31</v>
      </c>
      <c r="G239" s="21">
        <f t="shared" si="488"/>
        <v>188.31</v>
      </c>
      <c r="H239" s="21">
        <f t="shared" si="488"/>
        <v>188.31</v>
      </c>
      <c r="I239" s="24" t="str">
        <f t="shared" si="489"/>
        <v xml:space="preserve">COM VALOR</v>
      </c>
      <c r="L239" s="36">
        <v>188.31</v>
      </c>
      <c r="M239" s="37">
        <v>188.31</v>
      </c>
      <c r="N239" s="36">
        <v>188.31</v>
      </c>
    </row>
    <row r="240" ht="38.25">
      <c r="A240" s="19" t="s">
        <v>10460</v>
      </c>
      <c r="B240" s="19">
        <v>43423</v>
      </c>
      <c r="C240" s="20" t="s">
        <v>10693</v>
      </c>
      <c r="D240" s="19" t="s">
        <v>31</v>
      </c>
      <c r="E240" s="19" t="s">
        <v>10459</v>
      </c>
      <c r="F240" s="21">
        <f t="shared" si="488"/>
        <v>87.879999999999995</v>
      </c>
      <c r="G240" s="21">
        <f t="shared" si="488"/>
        <v>87.879999999999995</v>
      </c>
      <c r="H240" s="21">
        <f t="shared" si="488"/>
        <v>87.879999999999995</v>
      </c>
      <c r="I240" s="24" t="str">
        <f t="shared" si="489"/>
        <v xml:space="preserve">COM VALOR</v>
      </c>
      <c r="L240" s="36">
        <v>87.879999999999995</v>
      </c>
      <c r="M240" s="37">
        <v>87.879999999999995</v>
      </c>
      <c r="N240" s="36">
        <v>87.879999999999995</v>
      </c>
    </row>
    <row r="241" ht="38.25">
      <c r="A241" s="19" t="s">
        <v>10460</v>
      </c>
      <c r="B241" s="19">
        <v>12532</v>
      </c>
      <c r="C241" s="20" t="s">
        <v>10694</v>
      </c>
      <c r="D241" s="19" t="s">
        <v>31</v>
      </c>
      <c r="E241" s="19" t="s">
        <v>10459</v>
      </c>
      <c r="F241" s="21">
        <f t="shared" si="488"/>
        <v>135.53</v>
      </c>
      <c r="G241" s="21">
        <f t="shared" si="488"/>
        <v>135.53</v>
      </c>
      <c r="H241" s="21">
        <f t="shared" si="488"/>
        <v>135.53</v>
      </c>
      <c r="I241" s="24" t="str">
        <f t="shared" si="489"/>
        <v xml:space="preserve">COM VALOR</v>
      </c>
      <c r="L241" s="36">
        <v>135.53</v>
      </c>
      <c r="M241" s="37">
        <v>135.53</v>
      </c>
      <c r="N241" s="36">
        <v>135.53</v>
      </c>
    </row>
    <row r="242" ht="51">
      <c r="A242" s="19" t="s">
        <v>10460</v>
      </c>
      <c r="B242" s="19">
        <v>43444</v>
      </c>
      <c r="C242" s="20" t="s">
        <v>10695</v>
      </c>
      <c r="D242" s="19" t="s">
        <v>31</v>
      </c>
      <c r="E242" s="19" t="s">
        <v>10459</v>
      </c>
      <c r="F242" s="21">
        <f t="shared" si="488"/>
        <v>455.10000000000002</v>
      </c>
      <c r="G242" s="21">
        <f t="shared" si="488"/>
        <v>455.10000000000002</v>
      </c>
      <c r="H242" s="21">
        <f t="shared" si="488"/>
        <v>455.10000000000002</v>
      </c>
      <c r="I242" s="24" t="str">
        <f t="shared" si="489"/>
        <v xml:space="preserve">COM VALOR</v>
      </c>
      <c r="L242" s="36">
        <v>455.10000000000002</v>
      </c>
      <c r="M242" s="37">
        <v>455.10000000000002</v>
      </c>
      <c r="N242" s="36">
        <v>455.10000000000002</v>
      </c>
    </row>
    <row r="243" ht="51">
      <c r="A243" s="19" t="s">
        <v>10460</v>
      </c>
      <c r="B243" s="19">
        <v>12551</v>
      </c>
      <c r="C243" s="20" t="s">
        <v>10696</v>
      </c>
      <c r="D243" s="19" t="s">
        <v>31</v>
      </c>
      <c r="E243" s="19" t="s">
        <v>10459</v>
      </c>
      <c r="F243" s="21">
        <f t="shared" si="488"/>
        <v>324.69999999999999</v>
      </c>
      <c r="G243" s="21">
        <f t="shared" si="488"/>
        <v>324.69999999999999</v>
      </c>
      <c r="H243" s="21">
        <f t="shared" si="488"/>
        <v>324.69999999999999</v>
      </c>
      <c r="I243" s="24" t="str">
        <f t="shared" si="489"/>
        <v xml:space="preserve">COM VALOR</v>
      </c>
      <c r="L243" s="36">
        <v>324.69999999999999</v>
      </c>
      <c r="M243" s="37">
        <v>324.69999999999999</v>
      </c>
      <c r="N243" s="36">
        <v>324.69999999999999</v>
      </c>
    </row>
    <row r="244" ht="51">
      <c r="A244" s="19" t="s">
        <v>10460</v>
      </c>
      <c r="B244" s="19">
        <v>43442</v>
      </c>
      <c r="C244" s="20" t="s">
        <v>10697</v>
      </c>
      <c r="D244" s="19" t="s">
        <v>31</v>
      </c>
      <c r="E244" s="19" t="s">
        <v>10459</v>
      </c>
      <c r="F244" s="21">
        <f t="shared" si="488"/>
        <v>251.09</v>
      </c>
      <c r="G244" s="21">
        <f t="shared" si="488"/>
        <v>251.09</v>
      </c>
      <c r="H244" s="21">
        <f t="shared" si="488"/>
        <v>251.09</v>
      </c>
      <c r="I244" s="24" t="str">
        <f t="shared" si="489"/>
        <v xml:space="preserve">COM VALOR</v>
      </c>
      <c r="L244" s="36">
        <v>251.09</v>
      </c>
      <c r="M244" s="37">
        <v>251.09</v>
      </c>
      <c r="N244" s="36">
        <v>251.09</v>
      </c>
    </row>
    <row r="245" ht="51">
      <c r="A245" s="19" t="s">
        <v>10460</v>
      </c>
      <c r="B245" s="19">
        <v>43443</v>
      </c>
      <c r="C245" s="20" t="s">
        <v>10698</v>
      </c>
      <c r="D245" s="19" t="s">
        <v>31</v>
      </c>
      <c r="E245" s="19" t="s">
        <v>10459</v>
      </c>
      <c r="F245" s="21">
        <f t="shared" si="488"/>
        <v>329.55000000000001</v>
      </c>
      <c r="G245" s="21">
        <f t="shared" si="488"/>
        <v>329.55000000000001</v>
      </c>
      <c r="H245" s="21">
        <f t="shared" si="488"/>
        <v>329.55000000000001</v>
      </c>
      <c r="I245" s="24" t="str">
        <f t="shared" si="489"/>
        <v xml:space="preserve">COM VALOR</v>
      </c>
      <c r="L245" s="36">
        <v>329.55000000000001</v>
      </c>
      <c r="M245" s="37">
        <v>329.55000000000001</v>
      </c>
      <c r="N245" s="36">
        <v>329.55000000000001</v>
      </c>
    </row>
    <row r="246" ht="51">
      <c r="A246" s="19" t="s">
        <v>10460</v>
      </c>
      <c r="B246" s="19">
        <v>12544</v>
      </c>
      <c r="C246" s="20" t="s">
        <v>10699</v>
      </c>
      <c r="D246" s="19" t="s">
        <v>31</v>
      </c>
      <c r="E246" s="19" t="s">
        <v>10459</v>
      </c>
      <c r="F246" s="21">
        <f t="shared" si="488"/>
        <v>177.84999999999999</v>
      </c>
      <c r="G246" s="21">
        <f t="shared" si="488"/>
        <v>177.84999999999999</v>
      </c>
      <c r="H246" s="21">
        <f t="shared" si="488"/>
        <v>177.84999999999999</v>
      </c>
      <c r="I246" s="24" t="str">
        <f t="shared" si="489"/>
        <v xml:space="preserve">COM VALOR</v>
      </c>
      <c r="L246" s="36">
        <v>177.84999999999999</v>
      </c>
      <c r="M246" s="37">
        <v>177.84999999999999</v>
      </c>
      <c r="N246" s="36">
        <v>177.84999999999999</v>
      </c>
    </row>
    <row r="247" ht="51">
      <c r="A247" s="19" t="s">
        <v>10460</v>
      </c>
      <c r="B247" s="19">
        <v>12547</v>
      </c>
      <c r="C247" s="20" t="s">
        <v>10700</v>
      </c>
      <c r="D247" s="19" t="s">
        <v>31</v>
      </c>
      <c r="E247" s="19" t="s">
        <v>10459</v>
      </c>
      <c r="F247" s="21">
        <f t="shared" si="488"/>
        <v>239.19999999999999</v>
      </c>
      <c r="G247" s="21">
        <f t="shared" si="488"/>
        <v>239.19999999999999</v>
      </c>
      <c r="H247" s="21">
        <f t="shared" si="488"/>
        <v>239.19999999999999</v>
      </c>
      <c r="I247" s="24" t="str">
        <f t="shared" si="489"/>
        <v xml:space="preserve">COM VALOR</v>
      </c>
      <c r="L247" s="36">
        <v>239.19999999999999</v>
      </c>
      <c r="M247" s="37">
        <v>239.19999999999999</v>
      </c>
      <c r="N247" s="36">
        <v>239.19999999999999</v>
      </c>
    </row>
    <row r="248" ht="51">
      <c r="A248" s="19" t="s">
        <v>10460</v>
      </c>
      <c r="B248" s="19">
        <v>43445</v>
      </c>
      <c r="C248" s="20" t="s">
        <v>10701</v>
      </c>
      <c r="D248" s="19" t="s">
        <v>31</v>
      </c>
      <c r="E248" s="19" t="s">
        <v>10459</v>
      </c>
      <c r="F248" s="21">
        <f t="shared" si="488"/>
        <v>627.73000000000002</v>
      </c>
      <c r="G248" s="21">
        <f t="shared" si="488"/>
        <v>627.73000000000002</v>
      </c>
      <c r="H248" s="21">
        <f t="shared" si="488"/>
        <v>627.73000000000002</v>
      </c>
      <c r="I248" s="24" t="str">
        <f t="shared" si="489"/>
        <v xml:space="preserve">COM VALOR</v>
      </c>
      <c r="L248" s="36">
        <v>627.73000000000002</v>
      </c>
      <c r="M248" s="37">
        <v>627.73000000000002</v>
      </c>
      <c r="N248" s="36">
        <v>627.73000000000002</v>
      </c>
    </row>
    <row r="249" ht="51">
      <c r="A249" s="19" t="s">
        <v>10460</v>
      </c>
      <c r="B249" s="19">
        <v>12563</v>
      </c>
      <c r="C249" s="20" t="s">
        <v>10702</v>
      </c>
      <c r="D249" s="19" t="s">
        <v>31</v>
      </c>
      <c r="E249" s="19" t="s">
        <v>10459</v>
      </c>
      <c r="F249" s="21">
        <f t="shared" si="488"/>
        <v>449.12</v>
      </c>
      <c r="G249" s="21">
        <f t="shared" si="488"/>
        <v>449.12</v>
      </c>
      <c r="H249" s="21">
        <f t="shared" si="488"/>
        <v>449.12</v>
      </c>
      <c r="I249" s="24" t="str">
        <f t="shared" si="489"/>
        <v xml:space="preserve">COM VALOR</v>
      </c>
      <c r="L249" s="36">
        <v>449.12</v>
      </c>
      <c r="M249" s="37">
        <v>449.12</v>
      </c>
      <c r="N249" s="36">
        <v>449.12</v>
      </c>
    </row>
    <row r="250" ht="38.25">
      <c r="A250" s="19" t="s">
        <v>10460</v>
      </c>
      <c r="B250" s="19">
        <v>43425</v>
      </c>
      <c r="C250" s="20" t="s">
        <v>10703</v>
      </c>
      <c r="D250" s="19" t="s">
        <v>31</v>
      </c>
      <c r="E250" s="19" t="s">
        <v>10459</v>
      </c>
      <c r="F250" s="21">
        <f t="shared" si="488"/>
        <v>282.47000000000003</v>
      </c>
      <c r="G250" s="21">
        <f t="shared" si="488"/>
        <v>282.47000000000003</v>
      </c>
      <c r="H250" s="21">
        <f t="shared" si="488"/>
        <v>282.47000000000003</v>
      </c>
      <c r="I250" s="24" t="str">
        <f t="shared" si="489"/>
        <v xml:space="preserve">COM VALOR</v>
      </c>
      <c r="L250" s="36">
        <v>282.47000000000003</v>
      </c>
      <c r="M250" s="37">
        <v>282.47000000000003</v>
      </c>
      <c r="N250" s="36">
        <v>282.47000000000003</v>
      </c>
    </row>
    <row r="251" ht="38.25">
      <c r="A251" s="19" t="s">
        <v>10460</v>
      </c>
      <c r="B251" s="19">
        <v>43446</v>
      </c>
      <c r="C251" s="20" t="s">
        <v>10704</v>
      </c>
      <c r="D251" s="19" t="s">
        <v>31</v>
      </c>
      <c r="E251" s="19" t="s">
        <v>10459</v>
      </c>
      <c r="F251" s="21">
        <f t="shared" si="488"/>
        <v>596.34000000000003</v>
      </c>
      <c r="G251" s="21">
        <f t="shared" si="488"/>
        <v>596.34000000000003</v>
      </c>
      <c r="H251" s="21">
        <f t="shared" si="488"/>
        <v>596.34000000000003</v>
      </c>
      <c r="I251" s="24" t="str">
        <f t="shared" si="489"/>
        <v xml:space="preserve">COM VALOR</v>
      </c>
      <c r="L251" s="36">
        <v>596.34000000000003</v>
      </c>
      <c r="M251" s="37">
        <v>596.34000000000003</v>
      </c>
      <c r="N251" s="36">
        <v>596.34000000000003</v>
      </c>
    </row>
    <row r="252" ht="38.25">
      <c r="A252" s="19" t="s">
        <v>10460</v>
      </c>
      <c r="B252" s="19">
        <v>43447</v>
      </c>
      <c r="C252" s="20" t="s">
        <v>10705</v>
      </c>
      <c r="D252" s="19" t="s">
        <v>31</v>
      </c>
      <c r="E252" s="19" t="s">
        <v>10459</v>
      </c>
      <c r="F252" s="21">
        <f t="shared" si="488"/>
        <v>732.35000000000002</v>
      </c>
      <c r="G252" s="21">
        <f t="shared" si="488"/>
        <v>732.35000000000002</v>
      </c>
      <c r="H252" s="21">
        <f t="shared" si="488"/>
        <v>732.35000000000002</v>
      </c>
      <c r="I252" s="24" t="str">
        <f t="shared" si="489"/>
        <v xml:space="preserve">COM VALOR</v>
      </c>
      <c r="L252" s="36">
        <v>732.35000000000002</v>
      </c>
      <c r="M252" s="37">
        <v>732.35000000000002</v>
      </c>
      <c r="N252" s="36">
        <v>732.35000000000002</v>
      </c>
    </row>
    <row r="253" ht="38.25">
      <c r="A253" s="19" t="s">
        <v>10460</v>
      </c>
      <c r="B253" s="19">
        <v>43448</v>
      </c>
      <c r="C253" s="20" t="s">
        <v>10706</v>
      </c>
      <c r="D253" s="19" t="s">
        <v>31</v>
      </c>
      <c r="E253" s="19" t="s">
        <v>10459</v>
      </c>
      <c r="F253" s="21">
        <f t="shared" si="488"/>
        <v>1025.29</v>
      </c>
      <c r="G253" s="21">
        <f t="shared" si="488"/>
        <v>1025.29</v>
      </c>
      <c r="H253" s="21">
        <f t="shared" si="488"/>
        <v>1025.29</v>
      </c>
      <c r="I253" s="24" t="str">
        <f t="shared" si="489"/>
        <v xml:space="preserve">COM VALOR</v>
      </c>
      <c r="L253" s="36">
        <v>1025.29</v>
      </c>
      <c r="M253" s="37">
        <v>1025.29</v>
      </c>
      <c r="N253" s="36">
        <v>1025.29</v>
      </c>
    </row>
    <row r="254" ht="38.25">
      <c r="A254" s="19" t="s">
        <v>10638</v>
      </c>
      <c r="B254" s="19">
        <v>13761</v>
      </c>
      <c r="C254" s="20" t="s">
        <v>10707</v>
      </c>
      <c r="D254" s="19" t="s">
        <v>31</v>
      </c>
      <c r="E254" s="19" t="s">
        <v>10459</v>
      </c>
      <c r="F254" s="21">
        <f t="shared" si="488"/>
        <v>4708.9399999999996</v>
      </c>
      <c r="G254" s="21">
        <f t="shared" si="488"/>
        <v>4708.9399999999996</v>
      </c>
      <c r="H254" s="21">
        <f t="shared" si="488"/>
        <v>4708.9399999999996</v>
      </c>
      <c r="I254" s="24" t="str">
        <f t="shared" si="489"/>
        <v xml:space="preserve">COM VALOR</v>
      </c>
      <c r="L254" s="36">
        <v>4708.9399999999996</v>
      </c>
      <c r="M254" s="37">
        <v>4708.9399999999996</v>
      </c>
      <c r="N254" s="36">
        <v>4708.9399999999996</v>
      </c>
    </row>
    <row r="255" ht="38.25">
      <c r="A255" s="19" t="s">
        <v>10460</v>
      </c>
      <c r="B255" s="19">
        <v>4814</v>
      </c>
      <c r="C255" s="20" t="s">
        <v>10708</v>
      </c>
      <c r="D255" s="19" t="s">
        <v>31</v>
      </c>
      <c r="E255" s="19" t="s">
        <v>10459</v>
      </c>
      <c r="F255" s="21">
        <f t="shared" si="488"/>
        <v>55.270000000000003</v>
      </c>
      <c r="G255" s="21">
        <f t="shared" si="488"/>
        <v>55.270000000000003</v>
      </c>
      <c r="H255" s="21">
        <f t="shared" si="488"/>
        <v>55.270000000000003</v>
      </c>
      <c r="I255" s="24" t="str">
        <f t="shared" si="489"/>
        <v xml:space="preserve">COM VALOR</v>
      </c>
      <c r="L255" s="36">
        <v>55.270000000000003</v>
      </c>
      <c r="M255" s="37">
        <v>55.270000000000003</v>
      </c>
      <c r="N255" s="36">
        <v>55.270000000000003</v>
      </c>
    </row>
    <row r="256" ht="12.75">
      <c r="A256" s="19" t="s">
        <v>10638</v>
      </c>
      <c r="B256" s="19">
        <v>44473</v>
      </c>
      <c r="C256" s="20" t="s">
        <v>10709</v>
      </c>
      <c r="D256" s="19" t="s">
        <v>31</v>
      </c>
      <c r="E256" s="19" t="s">
        <v>10459</v>
      </c>
      <c r="F256" s="21">
        <f t="shared" si="488"/>
        <v>2485.5300000000002</v>
      </c>
      <c r="G256" s="21">
        <f t="shared" si="488"/>
        <v>2485.5300000000002</v>
      </c>
      <c r="H256" s="21">
        <f t="shared" si="488"/>
        <v>2485.5300000000002</v>
      </c>
      <c r="I256" s="24" t="str">
        <f t="shared" si="489"/>
        <v xml:space="preserve">COM VALOR</v>
      </c>
      <c r="J256" s="38" t="s">
        <v>10710</v>
      </c>
      <c r="L256" s="36">
        <v>2485.5300000000002</v>
      </c>
      <c r="M256" s="37">
        <v>2485.5300000000002</v>
      </c>
      <c r="N256" s="36">
        <v>2485.5300000000002</v>
      </c>
    </row>
    <row r="257" ht="12.75">
      <c r="A257" s="19" t="s">
        <v>10604</v>
      </c>
      <c r="B257" s="19">
        <v>6122</v>
      </c>
      <c r="C257" s="20" t="s">
        <v>10711</v>
      </c>
      <c r="D257" s="19" t="s">
        <v>2032</v>
      </c>
      <c r="E257" s="19" t="s">
        <v>10459</v>
      </c>
      <c r="F257" s="21">
        <f t="shared" si="488"/>
        <v>23.550000000000001</v>
      </c>
      <c r="G257" s="21">
        <f t="shared" si="488"/>
        <v>23.550000000000001</v>
      </c>
      <c r="H257" s="21">
        <f t="shared" si="488"/>
        <v>23.550000000000001</v>
      </c>
      <c r="I257" s="24" t="str">
        <f t="shared" si="489"/>
        <v xml:space="preserve">COM VALOR</v>
      </c>
      <c r="L257" s="36">
        <v>23.550000000000001</v>
      </c>
      <c r="M257" s="37">
        <v>23.550000000000001</v>
      </c>
      <c r="N257" s="36">
        <v>23.550000000000001</v>
      </c>
    </row>
    <row r="258" ht="25.5">
      <c r="A258" s="19" t="s">
        <v>10604</v>
      </c>
      <c r="B258" s="19">
        <v>40810</v>
      </c>
      <c r="C258" s="20" t="s">
        <v>10712</v>
      </c>
      <c r="D258" s="19" t="s">
        <v>7087</v>
      </c>
      <c r="E258" s="19" t="s">
        <v>10459</v>
      </c>
      <c r="F258" s="21">
        <f t="shared" si="488"/>
        <v>4123.3400000000001</v>
      </c>
      <c r="G258" s="21">
        <f t="shared" si="488"/>
        <v>4123.3400000000001</v>
      </c>
      <c r="H258" s="21">
        <f t="shared" si="488"/>
        <v>4123.3400000000001</v>
      </c>
      <c r="I258" s="24" t="str">
        <f t="shared" si="489"/>
        <v xml:space="preserve">COM VALOR</v>
      </c>
      <c r="L258" s="36">
        <v>4123.3400000000001</v>
      </c>
      <c r="M258" s="37">
        <v>4123.3400000000001</v>
      </c>
      <c r="N258" s="36">
        <v>4123.3400000000001</v>
      </c>
    </row>
    <row r="259" ht="38.25">
      <c r="A259" s="19" t="s">
        <v>10638</v>
      </c>
      <c r="B259" s="19">
        <v>34469</v>
      </c>
      <c r="C259" s="20" t="s">
        <v>10713</v>
      </c>
      <c r="D259" s="19" t="s">
        <v>31</v>
      </c>
      <c r="E259" s="19" t="s">
        <v>10459</v>
      </c>
      <c r="F259" s="21" t="str">
        <f t="shared" si="488"/>
        <v>VERIFICAR</v>
      </c>
      <c r="G259" s="21" t="str">
        <f t="shared" si="488"/>
        <v>VERIFICAR</v>
      </c>
      <c r="H259" s="21" t="str">
        <f t="shared" si="488"/>
        <v>VERIFICAR</v>
      </c>
      <c r="I259" s="24" t="str">
        <f t="shared" si="489"/>
        <v xml:space="preserve">SEM VALOR</v>
      </c>
      <c r="L259" s="36"/>
      <c r="M259" s="37"/>
      <c r="N259" s="36"/>
    </row>
    <row r="260" ht="38.25">
      <c r="A260" s="19" t="s">
        <v>10638</v>
      </c>
      <c r="B260" s="19">
        <v>34476</v>
      </c>
      <c r="C260" s="20" t="s">
        <v>10714</v>
      </c>
      <c r="D260" s="19" t="s">
        <v>31</v>
      </c>
      <c r="E260" s="19" t="s">
        <v>10459</v>
      </c>
      <c r="F260" s="21" t="str">
        <f t="shared" si="488"/>
        <v>VERIFICAR</v>
      </c>
      <c r="G260" s="21" t="str">
        <f t="shared" si="488"/>
        <v>VERIFICAR</v>
      </c>
      <c r="H260" s="21" t="str">
        <f t="shared" si="488"/>
        <v>VERIFICAR</v>
      </c>
      <c r="I260" s="24" t="str">
        <f t="shared" si="489"/>
        <v xml:space="preserve">SEM VALOR</v>
      </c>
      <c r="L260" s="36"/>
      <c r="M260" s="37"/>
      <c r="N260" s="36"/>
    </row>
    <row r="261" ht="38.25">
      <c r="A261" s="19" t="s">
        <v>10638</v>
      </c>
      <c r="B261" s="19">
        <v>34477</v>
      </c>
      <c r="C261" s="20" t="s">
        <v>10715</v>
      </c>
      <c r="D261" s="19" t="s">
        <v>31</v>
      </c>
      <c r="E261" s="19" t="s">
        <v>10459</v>
      </c>
      <c r="F261" s="21" t="str">
        <f t="shared" si="488"/>
        <v>VERIFICAR</v>
      </c>
      <c r="G261" s="21" t="str">
        <f t="shared" si="488"/>
        <v>VERIFICAR</v>
      </c>
      <c r="H261" s="21" t="str">
        <f t="shared" si="488"/>
        <v>VERIFICAR</v>
      </c>
      <c r="I261" s="24" t="str">
        <f t="shared" si="489"/>
        <v xml:space="preserve">SEM VALOR</v>
      </c>
      <c r="L261" s="36"/>
      <c r="M261" s="37"/>
      <c r="N261" s="36"/>
    </row>
    <row r="262" ht="38.25">
      <c r="A262" s="19" t="s">
        <v>10638</v>
      </c>
      <c r="B262" s="19">
        <v>34482</v>
      </c>
      <c r="C262" s="20" t="s">
        <v>10716</v>
      </c>
      <c r="D262" s="19" t="s">
        <v>31</v>
      </c>
      <c r="E262" s="19" t="s">
        <v>10459</v>
      </c>
      <c r="F262" s="21" t="str">
        <f t="shared" si="488"/>
        <v>VERIFICAR</v>
      </c>
      <c r="G262" s="21" t="str">
        <f t="shared" si="488"/>
        <v>VERIFICAR</v>
      </c>
      <c r="H262" s="21" t="str">
        <f t="shared" si="488"/>
        <v>VERIFICAR</v>
      </c>
      <c r="I262" s="24" t="str">
        <f t="shared" si="489"/>
        <v xml:space="preserve">SEM VALOR</v>
      </c>
      <c r="L262" s="36"/>
      <c r="M262" s="37"/>
      <c r="N262" s="36"/>
    </row>
    <row r="263" ht="63.75">
      <c r="A263" s="19" t="s">
        <v>10638</v>
      </c>
      <c r="B263" s="19">
        <v>34472</v>
      </c>
      <c r="C263" s="20" t="s">
        <v>10717</v>
      </c>
      <c r="D263" s="19" t="s">
        <v>31</v>
      </c>
      <c r="E263" s="19" t="s">
        <v>10466</v>
      </c>
      <c r="F263" s="21" t="str">
        <f t="shared" si="488"/>
        <v>VERIFICAR</v>
      </c>
      <c r="G263" s="21" t="str">
        <f t="shared" si="488"/>
        <v>VERIFICAR</v>
      </c>
      <c r="H263" s="21" t="str">
        <f t="shared" si="488"/>
        <v>VERIFICAR</v>
      </c>
      <c r="I263" s="24" t="str">
        <f t="shared" si="489"/>
        <v xml:space="preserve">SEM VALOR</v>
      </c>
      <c r="L263" s="36"/>
      <c r="M263" s="37"/>
      <c r="N263" s="36"/>
    </row>
    <row r="264" ht="12.75">
      <c r="A264" s="19" t="s">
        <v>10638</v>
      </c>
      <c r="B264" s="19">
        <v>39577</v>
      </c>
      <c r="C264" s="20" t="s">
        <v>10718</v>
      </c>
      <c r="D264" s="19" t="s">
        <v>31</v>
      </c>
      <c r="E264" s="19" t="s">
        <v>10459</v>
      </c>
      <c r="F264" s="21" t="str">
        <f t="shared" si="488"/>
        <v>VERIFICAR</v>
      </c>
      <c r="G264" s="21" t="str">
        <f t="shared" si="488"/>
        <v>VERIFICAR</v>
      </c>
      <c r="H264" s="21" t="str">
        <f t="shared" si="488"/>
        <v>VERIFICAR</v>
      </c>
      <c r="I264" s="24" t="str">
        <f t="shared" si="489"/>
        <v xml:space="preserve">SEM VALOR</v>
      </c>
      <c r="L264" s="36"/>
      <c r="M264" s="37"/>
      <c r="N264" s="36"/>
    </row>
    <row r="265" ht="12.75">
      <c r="A265" s="19" t="s">
        <v>10638</v>
      </c>
      <c r="B265" s="19">
        <v>39578</v>
      </c>
      <c r="C265" s="20" t="s">
        <v>10719</v>
      </c>
      <c r="D265" s="19" t="s">
        <v>31</v>
      </c>
      <c r="E265" s="19" t="s">
        <v>10459</v>
      </c>
      <c r="F265" s="21" t="str">
        <f t="shared" si="488"/>
        <v>VERIFICAR</v>
      </c>
      <c r="G265" s="21" t="str">
        <f t="shared" si="488"/>
        <v>VERIFICAR</v>
      </c>
      <c r="H265" s="21" t="str">
        <f t="shared" si="488"/>
        <v>VERIFICAR</v>
      </c>
      <c r="I265" s="24" t="str">
        <f t="shared" si="489"/>
        <v xml:space="preserve">SEM VALOR</v>
      </c>
      <c r="L265" s="36"/>
      <c r="M265" s="37"/>
      <c r="N265" s="36"/>
    </row>
    <row r="266" ht="12.75">
      <c r="A266" s="19" t="s">
        <v>10638</v>
      </c>
      <c r="B266" s="19">
        <v>39579</v>
      </c>
      <c r="C266" s="20" t="s">
        <v>10720</v>
      </c>
      <c r="D266" s="19" t="s">
        <v>31</v>
      </c>
      <c r="E266" s="19" t="s">
        <v>10459</v>
      </c>
      <c r="F266" s="21" t="str">
        <f t="shared" si="488"/>
        <v>VERIFICAR</v>
      </c>
      <c r="G266" s="21" t="str">
        <f t="shared" si="488"/>
        <v>VERIFICAR</v>
      </c>
      <c r="H266" s="21" t="str">
        <f t="shared" si="488"/>
        <v>VERIFICAR</v>
      </c>
      <c r="I266" s="24" t="str">
        <f t="shared" si="489"/>
        <v xml:space="preserve">SEM VALOR</v>
      </c>
      <c r="L266" s="36"/>
      <c r="M266" s="37"/>
      <c r="N266" s="36"/>
    </row>
    <row r="267" ht="38.25">
      <c r="A267" s="19" t="s">
        <v>10638</v>
      </c>
      <c r="B267" s="19">
        <v>42425</v>
      </c>
      <c r="C267" s="20" t="s">
        <v>10721</v>
      </c>
      <c r="D267" s="19" t="s">
        <v>31</v>
      </c>
      <c r="E267" s="19" t="s">
        <v>10459</v>
      </c>
      <c r="F267" s="21" t="str">
        <f t="shared" ref="F267:H330" si="490">IF(L267=0,"VERIFICAR",L267)</f>
        <v>VERIFICAR</v>
      </c>
      <c r="G267" s="21" t="str">
        <f t="shared" si="490"/>
        <v>VERIFICAR</v>
      </c>
      <c r="H267" s="21" t="str">
        <f t="shared" si="490"/>
        <v>VERIFICAR</v>
      </c>
      <c r="I267" s="24" t="str">
        <f t="shared" ref="I267:I330" si="491">IF(OR(L267=0,M267=0,N267=0),"SEM VALOR","COM VALOR")</f>
        <v xml:space="preserve">SEM VALOR</v>
      </c>
      <c r="L267" s="36"/>
      <c r="M267" s="37"/>
      <c r="N267" s="36"/>
    </row>
    <row r="268" ht="38.25">
      <c r="A268" s="19" t="s">
        <v>10638</v>
      </c>
      <c r="B268" s="19">
        <v>42422</v>
      </c>
      <c r="C268" s="20" t="s">
        <v>10722</v>
      </c>
      <c r="D268" s="19" t="s">
        <v>31</v>
      </c>
      <c r="E268" s="19" t="s">
        <v>10466</v>
      </c>
      <c r="F268" s="21" t="str">
        <f t="shared" si="490"/>
        <v>VERIFICAR</v>
      </c>
      <c r="G268" s="21" t="str">
        <f t="shared" si="490"/>
        <v>VERIFICAR</v>
      </c>
      <c r="H268" s="21" t="str">
        <f t="shared" si="490"/>
        <v>VERIFICAR</v>
      </c>
      <c r="I268" s="24" t="str">
        <f t="shared" si="491"/>
        <v xml:space="preserve">SEM VALOR</v>
      </c>
      <c r="L268" s="36"/>
      <c r="M268" s="37"/>
      <c r="N268" s="36"/>
    </row>
    <row r="269" ht="38.25">
      <c r="A269" s="19" t="s">
        <v>10638</v>
      </c>
      <c r="B269" s="19">
        <v>43184</v>
      </c>
      <c r="C269" s="20" t="s">
        <v>10723</v>
      </c>
      <c r="D269" s="19" t="s">
        <v>31</v>
      </c>
      <c r="E269" s="19" t="s">
        <v>10459</v>
      </c>
      <c r="F269" s="21" t="str">
        <f t="shared" si="490"/>
        <v>VERIFICAR</v>
      </c>
      <c r="G269" s="21" t="str">
        <f t="shared" si="490"/>
        <v>VERIFICAR</v>
      </c>
      <c r="H269" s="21" t="str">
        <f t="shared" si="490"/>
        <v>VERIFICAR</v>
      </c>
      <c r="I269" s="24" t="str">
        <f t="shared" si="491"/>
        <v xml:space="preserve">SEM VALOR</v>
      </c>
      <c r="L269" s="36"/>
      <c r="M269" s="37"/>
      <c r="N269" s="36"/>
    </row>
    <row r="270" ht="38.25">
      <c r="A270" s="19" t="s">
        <v>10638</v>
      </c>
      <c r="B270" s="19">
        <v>42424</v>
      </c>
      <c r="C270" s="20" t="s">
        <v>10724</v>
      </c>
      <c r="D270" s="19" t="s">
        <v>31</v>
      </c>
      <c r="E270" s="19" t="s">
        <v>10459</v>
      </c>
      <c r="F270" s="21" t="str">
        <f t="shared" si="490"/>
        <v>VERIFICAR</v>
      </c>
      <c r="G270" s="21" t="str">
        <f t="shared" si="490"/>
        <v>VERIFICAR</v>
      </c>
      <c r="H270" s="21" t="str">
        <f t="shared" si="490"/>
        <v>VERIFICAR</v>
      </c>
      <c r="I270" s="24" t="str">
        <f t="shared" si="491"/>
        <v xml:space="preserve">SEM VALOR</v>
      </c>
      <c r="L270" s="36"/>
      <c r="M270" s="37"/>
      <c r="N270" s="36"/>
    </row>
    <row r="271" ht="38.25">
      <c r="A271" s="19" t="s">
        <v>10638</v>
      </c>
      <c r="B271" s="19">
        <v>42416</v>
      </c>
      <c r="C271" s="20" t="s">
        <v>10725</v>
      </c>
      <c r="D271" s="19" t="s">
        <v>31</v>
      </c>
      <c r="E271" s="19" t="s">
        <v>10459</v>
      </c>
      <c r="F271" s="21" t="str">
        <f t="shared" si="490"/>
        <v>VERIFICAR</v>
      </c>
      <c r="G271" s="21" t="str">
        <f t="shared" si="490"/>
        <v>VERIFICAR</v>
      </c>
      <c r="H271" s="21" t="str">
        <f t="shared" si="490"/>
        <v>VERIFICAR</v>
      </c>
      <c r="I271" s="24" t="str">
        <f t="shared" si="491"/>
        <v xml:space="preserve">SEM VALOR</v>
      </c>
      <c r="L271" s="36"/>
      <c r="M271" s="37"/>
      <c r="N271" s="36"/>
    </row>
    <row r="272" ht="38.25">
      <c r="A272" s="19" t="s">
        <v>10638</v>
      </c>
      <c r="B272" s="19">
        <v>42417</v>
      </c>
      <c r="C272" s="20" t="s">
        <v>10726</v>
      </c>
      <c r="D272" s="19" t="s">
        <v>31</v>
      </c>
      <c r="E272" s="19" t="s">
        <v>10459</v>
      </c>
      <c r="F272" s="21" t="str">
        <f t="shared" si="490"/>
        <v>VERIFICAR</v>
      </c>
      <c r="G272" s="21" t="str">
        <f t="shared" si="490"/>
        <v>VERIFICAR</v>
      </c>
      <c r="H272" s="21" t="str">
        <f t="shared" si="490"/>
        <v>VERIFICAR</v>
      </c>
      <c r="I272" s="24" t="str">
        <f t="shared" si="491"/>
        <v xml:space="preserve">SEM VALOR</v>
      </c>
      <c r="L272" s="36"/>
      <c r="M272" s="37"/>
      <c r="N272" s="36"/>
    </row>
    <row r="273" ht="38.25">
      <c r="A273" s="19" t="s">
        <v>10638</v>
      </c>
      <c r="B273" s="19">
        <v>39826</v>
      </c>
      <c r="C273" s="20" t="s">
        <v>10727</v>
      </c>
      <c r="D273" s="19" t="s">
        <v>31</v>
      </c>
      <c r="E273" s="19" t="s">
        <v>10459</v>
      </c>
      <c r="F273" s="21" t="str">
        <f t="shared" si="490"/>
        <v>VERIFICAR</v>
      </c>
      <c r="G273" s="21" t="str">
        <f t="shared" si="490"/>
        <v>VERIFICAR</v>
      </c>
      <c r="H273" s="21" t="str">
        <f t="shared" si="490"/>
        <v>VERIFICAR</v>
      </c>
      <c r="I273" s="24" t="str">
        <f t="shared" si="491"/>
        <v xml:space="preserve">SEM VALOR</v>
      </c>
      <c r="L273" s="36"/>
      <c r="M273" s="37"/>
      <c r="N273" s="36"/>
    </row>
    <row r="274" ht="38.25">
      <c r="A274" s="19" t="s">
        <v>10638</v>
      </c>
      <c r="B274" s="19">
        <v>42419</v>
      </c>
      <c r="C274" s="20" t="s">
        <v>10728</v>
      </c>
      <c r="D274" s="19" t="s">
        <v>31</v>
      </c>
      <c r="E274" s="19" t="s">
        <v>10459</v>
      </c>
      <c r="F274" s="21" t="str">
        <f t="shared" si="490"/>
        <v>VERIFICAR</v>
      </c>
      <c r="G274" s="21" t="str">
        <f t="shared" si="490"/>
        <v>VERIFICAR</v>
      </c>
      <c r="H274" s="21" t="str">
        <f t="shared" si="490"/>
        <v>VERIFICAR</v>
      </c>
      <c r="I274" s="24" t="str">
        <f t="shared" si="491"/>
        <v xml:space="preserve">SEM VALOR</v>
      </c>
      <c r="L274" s="36"/>
      <c r="M274" s="37"/>
      <c r="N274" s="36"/>
    </row>
    <row r="275" ht="38.25">
      <c r="A275" s="19" t="s">
        <v>10638</v>
      </c>
      <c r="B275" s="19">
        <v>42420</v>
      </c>
      <c r="C275" s="20" t="s">
        <v>10729</v>
      </c>
      <c r="D275" s="19" t="s">
        <v>31</v>
      </c>
      <c r="E275" s="19" t="s">
        <v>10459</v>
      </c>
      <c r="F275" s="21" t="str">
        <f t="shared" si="490"/>
        <v>VERIFICAR</v>
      </c>
      <c r="G275" s="21" t="str">
        <f t="shared" si="490"/>
        <v>VERIFICAR</v>
      </c>
      <c r="H275" s="21" t="str">
        <f t="shared" si="490"/>
        <v>VERIFICAR</v>
      </c>
      <c r="I275" s="24" t="str">
        <f t="shared" si="491"/>
        <v xml:space="preserve">SEM VALOR</v>
      </c>
      <c r="L275" s="36"/>
      <c r="M275" s="37"/>
      <c r="N275" s="36"/>
    </row>
    <row r="276" ht="51">
      <c r="A276" s="19" t="s">
        <v>10638</v>
      </c>
      <c r="B276" s="19">
        <v>42421</v>
      </c>
      <c r="C276" s="20" t="s">
        <v>10730</v>
      </c>
      <c r="D276" s="19" t="s">
        <v>31</v>
      </c>
      <c r="E276" s="19" t="s">
        <v>10459</v>
      </c>
      <c r="F276" s="21" t="str">
        <f t="shared" si="490"/>
        <v>VERIFICAR</v>
      </c>
      <c r="G276" s="21" t="str">
        <f t="shared" si="490"/>
        <v>VERIFICAR</v>
      </c>
      <c r="H276" s="21" t="str">
        <f t="shared" si="490"/>
        <v>VERIFICAR</v>
      </c>
      <c r="I276" s="24" t="str">
        <f t="shared" si="491"/>
        <v xml:space="preserve">SEM VALOR</v>
      </c>
      <c r="L276" s="36"/>
      <c r="M276" s="37"/>
      <c r="N276" s="36"/>
    </row>
    <row r="277" ht="38.25">
      <c r="A277" s="19" t="s">
        <v>10638</v>
      </c>
      <c r="B277" s="19">
        <v>39556</v>
      </c>
      <c r="C277" s="20" t="s">
        <v>10731</v>
      </c>
      <c r="D277" s="19" t="s">
        <v>31</v>
      </c>
      <c r="E277" s="19" t="s">
        <v>10459</v>
      </c>
      <c r="F277" s="21" t="str">
        <f t="shared" si="490"/>
        <v>VERIFICAR</v>
      </c>
      <c r="G277" s="21" t="str">
        <f t="shared" si="490"/>
        <v>VERIFICAR</v>
      </c>
      <c r="H277" s="21" t="str">
        <f t="shared" si="490"/>
        <v>VERIFICAR</v>
      </c>
      <c r="I277" s="24" t="str">
        <f t="shared" si="491"/>
        <v xml:space="preserve">SEM VALOR</v>
      </c>
      <c r="L277" s="36"/>
      <c r="M277" s="37"/>
      <c r="N277" s="36"/>
    </row>
    <row r="278" ht="38.25">
      <c r="A278" s="19" t="s">
        <v>10638</v>
      </c>
      <c r="B278" s="19">
        <v>39557</v>
      </c>
      <c r="C278" s="20" t="s">
        <v>10732</v>
      </c>
      <c r="D278" s="19" t="s">
        <v>31</v>
      </c>
      <c r="E278" s="19" t="s">
        <v>10459</v>
      </c>
      <c r="F278" s="21" t="str">
        <f t="shared" si="490"/>
        <v>VERIFICAR</v>
      </c>
      <c r="G278" s="21" t="str">
        <f t="shared" si="490"/>
        <v>VERIFICAR</v>
      </c>
      <c r="H278" s="21" t="str">
        <f t="shared" si="490"/>
        <v>VERIFICAR</v>
      </c>
      <c r="I278" s="24" t="str">
        <f t="shared" si="491"/>
        <v xml:space="preserve">SEM VALOR</v>
      </c>
      <c r="L278" s="36"/>
      <c r="M278" s="37"/>
      <c r="N278" s="36"/>
    </row>
    <row r="279" ht="38.25">
      <c r="A279" s="19" t="s">
        <v>10638</v>
      </c>
      <c r="B279" s="19">
        <v>39559</v>
      </c>
      <c r="C279" s="20" t="s">
        <v>10733</v>
      </c>
      <c r="D279" s="19" t="s">
        <v>31</v>
      </c>
      <c r="E279" s="19" t="s">
        <v>10459</v>
      </c>
      <c r="F279" s="21" t="str">
        <f t="shared" si="490"/>
        <v>VERIFICAR</v>
      </c>
      <c r="G279" s="21" t="str">
        <f t="shared" si="490"/>
        <v>VERIFICAR</v>
      </c>
      <c r="H279" s="21" t="str">
        <f t="shared" si="490"/>
        <v>VERIFICAR</v>
      </c>
      <c r="I279" s="24" t="str">
        <f t="shared" si="491"/>
        <v xml:space="preserve">SEM VALOR</v>
      </c>
      <c r="L279" s="36"/>
      <c r="M279" s="37"/>
      <c r="N279" s="36"/>
    </row>
    <row r="280" ht="38.25">
      <c r="A280" s="19" t="s">
        <v>10638</v>
      </c>
      <c r="B280" s="19">
        <v>39560</v>
      </c>
      <c r="C280" s="20" t="s">
        <v>10734</v>
      </c>
      <c r="D280" s="19" t="s">
        <v>31</v>
      </c>
      <c r="E280" s="19" t="s">
        <v>10459</v>
      </c>
      <c r="F280" s="21" t="str">
        <f t="shared" si="490"/>
        <v>VERIFICAR</v>
      </c>
      <c r="G280" s="21" t="str">
        <f t="shared" si="490"/>
        <v>VERIFICAR</v>
      </c>
      <c r="H280" s="21" t="str">
        <f t="shared" si="490"/>
        <v>VERIFICAR</v>
      </c>
      <c r="I280" s="24" t="str">
        <f t="shared" si="491"/>
        <v xml:space="preserve">SEM VALOR</v>
      </c>
      <c r="L280" s="36"/>
      <c r="M280" s="37"/>
      <c r="N280" s="36"/>
    </row>
    <row r="281" ht="38.25">
      <c r="A281" s="19" t="s">
        <v>10638</v>
      </c>
      <c r="B281" s="19">
        <v>39561</v>
      </c>
      <c r="C281" s="20" t="s">
        <v>10735</v>
      </c>
      <c r="D281" s="19" t="s">
        <v>31</v>
      </c>
      <c r="E281" s="19" t="s">
        <v>10459</v>
      </c>
      <c r="F281" s="21" t="str">
        <f t="shared" si="490"/>
        <v>VERIFICAR</v>
      </c>
      <c r="G281" s="21" t="str">
        <f t="shared" si="490"/>
        <v>VERIFICAR</v>
      </c>
      <c r="H281" s="21" t="str">
        <f t="shared" si="490"/>
        <v>VERIFICAR</v>
      </c>
      <c r="I281" s="24" t="str">
        <f t="shared" si="491"/>
        <v xml:space="preserve">SEM VALOR</v>
      </c>
      <c r="L281" s="36"/>
      <c r="M281" s="37"/>
      <c r="N281" s="36"/>
    </row>
    <row r="282" ht="38.25">
      <c r="A282" s="19" t="s">
        <v>10638</v>
      </c>
      <c r="B282" s="19">
        <v>43195</v>
      </c>
      <c r="C282" s="20" t="s">
        <v>10736</v>
      </c>
      <c r="D282" s="19" t="s">
        <v>31</v>
      </c>
      <c r="E282" s="19" t="s">
        <v>10459</v>
      </c>
      <c r="F282" s="21" t="str">
        <f t="shared" si="490"/>
        <v>VERIFICAR</v>
      </c>
      <c r="G282" s="21" t="str">
        <f t="shared" si="490"/>
        <v>VERIFICAR</v>
      </c>
      <c r="H282" s="21" t="str">
        <f t="shared" si="490"/>
        <v>VERIFICAR</v>
      </c>
      <c r="I282" s="24" t="str">
        <f t="shared" si="491"/>
        <v xml:space="preserve">SEM VALOR</v>
      </c>
      <c r="L282" s="36"/>
      <c r="M282" s="37"/>
      <c r="N282" s="36"/>
    </row>
    <row r="283" ht="38.25">
      <c r="A283" s="19" t="s">
        <v>10638</v>
      </c>
      <c r="B283" s="19">
        <v>43196</v>
      </c>
      <c r="C283" s="20" t="s">
        <v>10737</v>
      </c>
      <c r="D283" s="19" t="s">
        <v>31</v>
      </c>
      <c r="E283" s="19" t="s">
        <v>10459</v>
      </c>
      <c r="F283" s="21" t="str">
        <f t="shared" si="490"/>
        <v>VERIFICAR</v>
      </c>
      <c r="G283" s="21" t="str">
        <f t="shared" si="490"/>
        <v>VERIFICAR</v>
      </c>
      <c r="H283" s="21" t="str">
        <f t="shared" si="490"/>
        <v>VERIFICAR</v>
      </c>
      <c r="I283" s="24" t="str">
        <f t="shared" si="491"/>
        <v xml:space="preserve">SEM VALOR</v>
      </c>
      <c r="L283" s="36"/>
      <c r="M283" s="37"/>
      <c r="N283" s="36"/>
    </row>
    <row r="284" ht="38.25">
      <c r="A284" s="19" t="s">
        <v>10638</v>
      </c>
      <c r="B284" s="19">
        <v>43198</v>
      </c>
      <c r="C284" s="20" t="s">
        <v>10738</v>
      </c>
      <c r="D284" s="19" t="s">
        <v>31</v>
      </c>
      <c r="E284" s="19" t="s">
        <v>10459</v>
      </c>
      <c r="F284" s="21" t="str">
        <f t="shared" si="490"/>
        <v>VERIFICAR</v>
      </c>
      <c r="G284" s="21" t="str">
        <f t="shared" si="490"/>
        <v>VERIFICAR</v>
      </c>
      <c r="H284" s="21" t="str">
        <f t="shared" si="490"/>
        <v>VERIFICAR</v>
      </c>
      <c r="I284" s="24" t="str">
        <f t="shared" si="491"/>
        <v xml:space="preserve">SEM VALOR</v>
      </c>
      <c r="L284" s="36"/>
      <c r="M284" s="37"/>
      <c r="N284" s="36"/>
    </row>
    <row r="285" ht="38.25">
      <c r="A285" s="19" t="s">
        <v>10638</v>
      </c>
      <c r="B285" s="19">
        <v>43199</v>
      </c>
      <c r="C285" s="20" t="s">
        <v>10739</v>
      </c>
      <c r="D285" s="19" t="s">
        <v>31</v>
      </c>
      <c r="E285" s="19" t="s">
        <v>10459</v>
      </c>
      <c r="F285" s="21" t="str">
        <f t="shared" si="490"/>
        <v>VERIFICAR</v>
      </c>
      <c r="G285" s="21" t="str">
        <f t="shared" si="490"/>
        <v>VERIFICAR</v>
      </c>
      <c r="H285" s="21" t="str">
        <f t="shared" si="490"/>
        <v>VERIFICAR</v>
      </c>
      <c r="I285" s="24" t="str">
        <f t="shared" si="491"/>
        <v xml:space="preserve">SEM VALOR</v>
      </c>
      <c r="L285" s="36"/>
      <c r="M285" s="37"/>
      <c r="N285" s="36"/>
    </row>
    <row r="286" ht="38.25">
      <c r="A286" s="19" t="s">
        <v>10638</v>
      </c>
      <c r="B286" s="19">
        <v>43200</v>
      </c>
      <c r="C286" s="20" t="s">
        <v>10740</v>
      </c>
      <c r="D286" s="19" t="s">
        <v>31</v>
      </c>
      <c r="E286" s="19" t="s">
        <v>10459</v>
      </c>
      <c r="F286" s="21" t="str">
        <f t="shared" si="490"/>
        <v>VERIFICAR</v>
      </c>
      <c r="G286" s="21" t="str">
        <f t="shared" si="490"/>
        <v>VERIFICAR</v>
      </c>
      <c r="H286" s="21" t="str">
        <f t="shared" si="490"/>
        <v>VERIFICAR</v>
      </c>
      <c r="I286" s="24" t="str">
        <f t="shared" si="491"/>
        <v xml:space="preserve">SEM VALOR</v>
      </c>
      <c r="L286" s="36"/>
      <c r="M286" s="37"/>
      <c r="N286" s="36"/>
    </row>
    <row r="287" ht="38.25">
      <c r="A287" s="19" t="s">
        <v>10638</v>
      </c>
      <c r="B287" s="19">
        <v>43190</v>
      </c>
      <c r="C287" s="20" t="s">
        <v>10741</v>
      </c>
      <c r="D287" s="19" t="s">
        <v>31</v>
      </c>
      <c r="E287" s="19" t="s">
        <v>10459</v>
      </c>
      <c r="F287" s="21" t="str">
        <f t="shared" si="490"/>
        <v>VERIFICAR</v>
      </c>
      <c r="G287" s="21" t="str">
        <f t="shared" si="490"/>
        <v>VERIFICAR</v>
      </c>
      <c r="H287" s="21" t="str">
        <f t="shared" si="490"/>
        <v>VERIFICAR</v>
      </c>
      <c r="I287" s="24" t="str">
        <f t="shared" si="491"/>
        <v xml:space="preserve">SEM VALOR</v>
      </c>
      <c r="L287" s="36"/>
      <c r="M287" s="37"/>
      <c r="N287" s="36"/>
    </row>
    <row r="288" ht="38.25">
      <c r="A288" s="19" t="s">
        <v>10638</v>
      </c>
      <c r="B288" s="19">
        <v>39555</v>
      </c>
      <c r="C288" s="20" t="s">
        <v>10742</v>
      </c>
      <c r="D288" s="19" t="s">
        <v>31</v>
      </c>
      <c r="E288" s="19" t="s">
        <v>10459</v>
      </c>
      <c r="F288" s="21" t="str">
        <f t="shared" si="490"/>
        <v>VERIFICAR</v>
      </c>
      <c r="G288" s="21" t="str">
        <f t="shared" si="490"/>
        <v>VERIFICAR</v>
      </c>
      <c r="H288" s="21" t="str">
        <f t="shared" si="490"/>
        <v>VERIFICAR</v>
      </c>
      <c r="I288" s="24" t="str">
        <f t="shared" si="491"/>
        <v xml:space="preserve">SEM VALOR</v>
      </c>
      <c r="L288" s="36"/>
      <c r="M288" s="37"/>
      <c r="N288" s="36"/>
    </row>
    <row r="289" ht="38.25">
      <c r="A289" s="19" t="s">
        <v>10638</v>
      </c>
      <c r="B289" s="19">
        <v>43191</v>
      </c>
      <c r="C289" s="20" t="s">
        <v>10743</v>
      </c>
      <c r="D289" s="19" t="s">
        <v>31</v>
      </c>
      <c r="E289" s="19" t="s">
        <v>10459</v>
      </c>
      <c r="F289" s="21" t="str">
        <f t="shared" si="490"/>
        <v>VERIFICAR</v>
      </c>
      <c r="G289" s="21" t="str">
        <f t="shared" si="490"/>
        <v>VERIFICAR</v>
      </c>
      <c r="H289" s="21" t="str">
        <f t="shared" si="490"/>
        <v>VERIFICAR</v>
      </c>
      <c r="I289" s="24" t="str">
        <f t="shared" si="491"/>
        <v xml:space="preserve">SEM VALOR</v>
      </c>
      <c r="L289" s="36"/>
      <c r="M289" s="37"/>
      <c r="N289" s="36"/>
    </row>
    <row r="290" ht="38.25">
      <c r="A290" s="19" t="s">
        <v>10638</v>
      </c>
      <c r="B290" s="19">
        <v>39548</v>
      </c>
      <c r="C290" s="20" t="s">
        <v>10744</v>
      </c>
      <c r="D290" s="19" t="s">
        <v>31</v>
      </c>
      <c r="E290" s="19" t="s">
        <v>10459</v>
      </c>
      <c r="F290" s="21" t="str">
        <f t="shared" si="490"/>
        <v>VERIFICAR</v>
      </c>
      <c r="G290" s="21" t="str">
        <f t="shared" si="490"/>
        <v>VERIFICAR</v>
      </c>
      <c r="H290" s="21" t="str">
        <f t="shared" si="490"/>
        <v>VERIFICAR</v>
      </c>
      <c r="I290" s="24" t="str">
        <f t="shared" si="491"/>
        <v xml:space="preserve">SEM VALOR</v>
      </c>
      <c r="L290" s="36"/>
      <c r="M290" s="37"/>
      <c r="N290" s="36"/>
    </row>
    <row r="291" ht="38.25">
      <c r="A291" s="19" t="s">
        <v>10638</v>
      </c>
      <c r="B291" s="19">
        <v>43192</v>
      </c>
      <c r="C291" s="20" t="s">
        <v>10745</v>
      </c>
      <c r="D291" s="19" t="s">
        <v>31</v>
      </c>
      <c r="E291" s="19" t="s">
        <v>10459</v>
      </c>
      <c r="F291" s="21" t="str">
        <f t="shared" si="490"/>
        <v>VERIFICAR</v>
      </c>
      <c r="G291" s="21" t="str">
        <f t="shared" si="490"/>
        <v>VERIFICAR</v>
      </c>
      <c r="H291" s="21" t="str">
        <f t="shared" si="490"/>
        <v>VERIFICAR</v>
      </c>
      <c r="I291" s="24" t="str">
        <f t="shared" si="491"/>
        <v xml:space="preserve">SEM VALOR</v>
      </c>
      <c r="L291" s="36"/>
      <c r="M291" s="37"/>
      <c r="N291" s="36"/>
    </row>
    <row r="292" ht="38.25">
      <c r="A292" s="19" t="s">
        <v>10638</v>
      </c>
      <c r="B292" s="19">
        <v>39554</v>
      </c>
      <c r="C292" s="20" t="s">
        <v>10746</v>
      </c>
      <c r="D292" s="19" t="s">
        <v>31</v>
      </c>
      <c r="E292" s="19" t="s">
        <v>10459</v>
      </c>
      <c r="F292" s="21" t="str">
        <f t="shared" si="490"/>
        <v>VERIFICAR</v>
      </c>
      <c r="G292" s="21" t="str">
        <f t="shared" si="490"/>
        <v>VERIFICAR</v>
      </c>
      <c r="H292" s="21" t="str">
        <f t="shared" si="490"/>
        <v>VERIFICAR</v>
      </c>
      <c r="I292" s="24" t="str">
        <f t="shared" si="491"/>
        <v xml:space="preserve">SEM VALOR</v>
      </c>
      <c r="L292" s="36"/>
      <c r="M292" s="37"/>
      <c r="N292" s="36"/>
    </row>
    <row r="293" ht="38.25">
      <c r="A293" s="19" t="s">
        <v>10638</v>
      </c>
      <c r="B293" s="19">
        <v>43194</v>
      </c>
      <c r="C293" s="20" t="s">
        <v>10747</v>
      </c>
      <c r="D293" s="19" t="s">
        <v>31</v>
      </c>
      <c r="E293" s="19" t="s">
        <v>10459</v>
      </c>
      <c r="F293" s="21" t="str">
        <f t="shared" si="490"/>
        <v>VERIFICAR</v>
      </c>
      <c r="G293" s="21" t="str">
        <f t="shared" si="490"/>
        <v>VERIFICAR</v>
      </c>
      <c r="H293" s="21" t="str">
        <f t="shared" si="490"/>
        <v>VERIFICAR</v>
      </c>
      <c r="I293" s="24" t="str">
        <f t="shared" si="491"/>
        <v xml:space="preserve">SEM VALOR</v>
      </c>
      <c r="L293" s="36"/>
      <c r="M293" s="37"/>
      <c r="N293" s="36"/>
    </row>
    <row r="294" ht="38.25">
      <c r="A294" s="19" t="s">
        <v>10638</v>
      </c>
      <c r="B294" s="19">
        <v>39551</v>
      </c>
      <c r="C294" s="20" t="s">
        <v>10748</v>
      </c>
      <c r="D294" s="19" t="s">
        <v>31</v>
      </c>
      <c r="E294" s="19" t="s">
        <v>10459</v>
      </c>
      <c r="F294" s="21" t="str">
        <f t="shared" si="490"/>
        <v>VERIFICAR</v>
      </c>
      <c r="G294" s="21" t="str">
        <f t="shared" si="490"/>
        <v>VERIFICAR</v>
      </c>
      <c r="H294" s="21" t="str">
        <f t="shared" si="490"/>
        <v>VERIFICAR</v>
      </c>
      <c r="I294" s="24" t="str">
        <f t="shared" si="491"/>
        <v xml:space="preserve">SEM VALOR</v>
      </c>
      <c r="L294" s="36"/>
      <c r="M294" s="37"/>
      <c r="N294" s="36"/>
    </row>
    <row r="295" ht="38.25">
      <c r="A295" s="19" t="s">
        <v>10638</v>
      </c>
      <c r="B295" s="19">
        <v>43185</v>
      </c>
      <c r="C295" s="20" t="s">
        <v>10749</v>
      </c>
      <c r="D295" s="19" t="s">
        <v>31</v>
      </c>
      <c r="E295" s="19" t="s">
        <v>10459</v>
      </c>
      <c r="F295" s="21" t="str">
        <f t="shared" si="490"/>
        <v>VERIFICAR</v>
      </c>
      <c r="G295" s="21" t="str">
        <f t="shared" si="490"/>
        <v>VERIFICAR</v>
      </c>
      <c r="H295" s="21" t="str">
        <f t="shared" si="490"/>
        <v>VERIFICAR</v>
      </c>
      <c r="I295" s="24" t="str">
        <f t="shared" si="491"/>
        <v xml:space="preserve">SEM VALOR</v>
      </c>
      <c r="L295" s="36"/>
      <c r="M295" s="37"/>
      <c r="N295" s="36"/>
    </row>
    <row r="296" ht="38.25">
      <c r="A296" s="19" t="s">
        <v>10638</v>
      </c>
      <c r="B296" s="19">
        <v>43186</v>
      </c>
      <c r="C296" s="20" t="s">
        <v>10750</v>
      </c>
      <c r="D296" s="19" t="s">
        <v>31</v>
      </c>
      <c r="E296" s="19" t="s">
        <v>10459</v>
      </c>
      <c r="F296" s="21" t="str">
        <f t="shared" si="490"/>
        <v>VERIFICAR</v>
      </c>
      <c r="G296" s="21" t="str">
        <f t="shared" si="490"/>
        <v>VERIFICAR</v>
      </c>
      <c r="H296" s="21" t="str">
        <f t="shared" si="490"/>
        <v>VERIFICAR</v>
      </c>
      <c r="I296" s="24" t="str">
        <f t="shared" si="491"/>
        <v xml:space="preserve">SEM VALOR</v>
      </c>
      <c r="L296" s="36"/>
      <c r="M296" s="37"/>
      <c r="N296" s="36"/>
    </row>
    <row r="297" ht="38.25">
      <c r="A297" s="19" t="s">
        <v>10638</v>
      </c>
      <c r="B297" s="19">
        <v>43187</v>
      </c>
      <c r="C297" s="20" t="s">
        <v>10751</v>
      </c>
      <c r="D297" s="19" t="s">
        <v>31</v>
      </c>
      <c r="E297" s="19" t="s">
        <v>10459</v>
      </c>
      <c r="F297" s="21" t="str">
        <f t="shared" si="490"/>
        <v>VERIFICAR</v>
      </c>
      <c r="G297" s="21" t="str">
        <f t="shared" si="490"/>
        <v>VERIFICAR</v>
      </c>
      <c r="H297" s="21" t="str">
        <f t="shared" si="490"/>
        <v>VERIFICAR</v>
      </c>
      <c r="I297" s="24" t="str">
        <f t="shared" si="491"/>
        <v xml:space="preserve">SEM VALOR</v>
      </c>
      <c r="L297" s="36"/>
      <c r="M297" s="37"/>
      <c r="N297" s="36"/>
    </row>
    <row r="298" ht="38.25">
      <c r="A298" s="19" t="s">
        <v>10638</v>
      </c>
      <c r="B298" s="19">
        <v>43188</v>
      </c>
      <c r="C298" s="20" t="s">
        <v>10752</v>
      </c>
      <c r="D298" s="19" t="s">
        <v>31</v>
      </c>
      <c r="E298" s="19" t="s">
        <v>10459</v>
      </c>
      <c r="F298" s="21" t="str">
        <f t="shared" si="490"/>
        <v>VERIFICAR</v>
      </c>
      <c r="G298" s="21" t="str">
        <f t="shared" si="490"/>
        <v>VERIFICAR</v>
      </c>
      <c r="H298" s="21" t="str">
        <f t="shared" si="490"/>
        <v>VERIFICAR</v>
      </c>
      <c r="I298" s="24" t="str">
        <f t="shared" si="491"/>
        <v xml:space="preserve">SEM VALOR</v>
      </c>
      <c r="L298" s="36"/>
      <c r="M298" s="37"/>
      <c r="N298" s="36"/>
    </row>
    <row r="299" ht="38.25">
      <c r="A299" s="19" t="s">
        <v>10638</v>
      </c>
      <c r="B299" s="19">
        <v>43189</v>
      </c>
      <c r="C299" s="20" t="s">
        <v>10753</v>
      </c>
      <c r="D299" s="19" t="s">
        <v>31</v>
      </c>
      <c r="E299" s="19" t="s">
        <v>10459</v>
      </c>
      <c r="F299" s="21" t="str">
        <f t="shared" si="490"/>
        <v>VERIFICAR</v>
      </c>
      <c r="G299" s="21" t="str">
        <f t="shared" si="490"/>
        <v>VERIFICAR</v>
      </c>
      <c r="H299" s="21" t="str">
        <f t="shared" si="490"/>
        <v>VERIFICAR</v>
      </c>
      <c r="I299" s="24" t="str">
        <f t="shared" si="491"/>
        <v xml:space="preserve">SEM VALOR</v>
      </c>
      <c r="L299" s="36"/>
      <c r="M299" s="37"/>
      <c r="N299" s="36"/>
    </row>
    <row r="300" ht="25.5">
      <c r="A300" s="19" t="s">
        <v>10460</v>
      </c>
      <c r="B300" s="19">
        <v>346</v>
      </c>
      <c r="C300" s="20" t="s">
        <v>10754</v>
      </c>
      <c r="D300" s="19" t="s">
        <v>302</v>
      </c>
      <c r="E300" s="19" t="s">
        <v>10459</v>
      </c>
      <c r="F300" s="21">
        <f t="shared" si="490"/>
        <v>22.239999999999998</v>
      </c>
      <c r="G300" s="21">
        <f t="shared" si="490"/>
        <v>22.239999999999998</v>
      </c>
      <c r="H300" s="21">
        <f t="shared" si="490"/>
        <v>22.239999999999998</v>
      </c>
      <c r="I300" s="24" t="str">
        <f t="shared" si="491"/>
        <v xml:space="preserve">COM VALOR</v>
      </c>
      <c r="L300" s="36">
        <v>22.239999999999998</v>
      </c>
      <c r="M300" s="37">
        <v>22.239999999999998</v>
      </c>
      <c r="N300" s="36">
        <v>22.239999999999998</v>
      </c>
    </row>
    <row r="301" ht="25.5">
      <c r="A301" s="19" t="s">
        <v>10460</v>
      </c>
      <c r="B301" s="19">
        <v>3312</v>
      </c>
      <c r="C301" s="20" t="s">
        <v>10755</v>
      </c>
      <c r="D301" s="19" t="s">
        <v>302</v>
      </c>
      <c r="E301" s="19" t="s">
        <v>10459</v>
      </c>
      <c r="F301" s="21">
        <f t="shared" si="490"/>
        <v>19.699999999999999</v>
      </c>
      <c r="G301" s="21">
        <f t="shared" si="490"/>
        <v>19.699999999999999</v>
      </c>
      <c r="H301" s="21">
        <f t="shared" si="490"/>
        <v>19.699999999999999</v>
      </c>
      <c r="I301" s="24" t="str">
        <f t="shared" si="491"/>
        <v xml:space="preserve">COM VALOR</v>
      </c>
      <c r="L301" s="36">
        <v>19.699999999999999</v>
      </c>
      <c r="M301" s="37">
        <v>19.699999999999999</v>
      </c>
      <c r="N301" s="36">
        <v>19.699999999999999</v>
      </c>
    </row>
    <row r="302" ht="25.5">
      <c r="A302" s="19" t="s">
        <v>10460</v>
      </c>
      <c r="B302" s="19">
        <v>339</v>
      </c>
      <c r="C302" s="20" t="s">
        <v>10756</v>
      </c>
      <c r="D302" s="19" t="s">
        <v>38</v>
      </c>
      <c r="E302" s="19" t="s">
        <v>10459</v>
      </c>
      <c r="F302" s="21">
        <f t="shared" si="490"/>
        <v>1.1399999999999999</v>
      </c>
      <c r="G302" s="21">
        <f t="shared" si="490"/>
        <v>1.1399999999999999</v>
      </c>
      <c r="H302" s="21">
        <f t="shared" si="490"/>
        <v>1.1399999999999999</v>
      </c>
      <c r="I302" s="24" t="str">
        <f t="shared" si="491"/>
        <v xml:space="preserve">COM VALOR</v>
      </c>
      <c r="L302" s="36">
        <v>1.1399999999999999</v>
      </c>
      <c r="M302" s="37">
        <v>1.1399999999999999</v>
      </c>
      <c r="N302" s="36">
        <v>1.1399999999999999</v>
      </c>
    </row>
    <row r="303" ht="25.5">
      <c r="A303" s="19" t="s">
        <v>10460</v>
      </c>
      <c r="B303" s="19">
        <v>340</v>
      </c>
      <c r="C303" s="20" t="s">
        <v>10757</v>
      </c>
      <c r="D303" s="19" t="s">
        <v>38</v>
      </c>
      <c r="E303" s="19" t="s">
        <v>10459</v>
      </c>
      <c r="F303" s="21">
        <f t="shared" si="490"/>
        <v>1.03</v>
      </c>
      <c r="G303" s="21">
        <f t="shared" si="490"/>
        <v>1.03</v>
      </c>
      <c r="H303" s="21">
        <f t="shared" si="490"/>
        <v>1.03</v>
      </c>
      <c r="I303" s="24" t="str">
        <f t="shared" si="491"/>
        <v xml:space="preserve">COM VALOR</v>
      </c>
      <c r="L303" s="36">
        <v>1.03</v>
      </c>
      <c r="M303" s="37">
        <v>1.03</v>
      </c>
      <c r="N303" s="36">
        <v>1.03</v>
      </c>
    </row>
    <row r="304" ht="25.5">
      <c r="A304" s="19" t="s">
        <v>10460</v>
      </c>
      <c r="B304" s="19">
        <v>43130</v>
      </c>
      <c r="C304" s="20" t="s">
        <v>10758</v>
      </c>
      <c r="D304" s="19" t="s">
        <v>302</v>
      </c>
      <c r="E304" s="19" t="s">
        <v>10466</v>
      </c>
      <c r="F304" s="21">
        <f t="shared" si="490"/>
        <v>18.780000000000001</v>
      </c>
      <c r="G304" s="21">
        <f t="shared" si="490"/>
        <v>18.780000000000001</v>
      </c>
      <c r="H304" s="21">
        <f t="shared" si="490"/>
        <v>18.780000000000001</v>
      </c>
      <c r="I304" s="24" t="str">
        <f t="shared" si="491"/>
        <v xml:space="preserve">COM VALOR</v>
      </c>
      <c r="L304" s="36">
        <v>18.780000000000001</v>
      </c>
      <c r="M304" s="37">
        <v>18.780000000000001</v>
      </c>
      <c r="N304" s="36">
        <v>18.780000000000001</v>
      </c>
    </row>
    <row r="305" ht="12.75">
      <c r="A305" s="19" t="s">
        <v>10460</v>
      </c>
      <c r="B305" s="19">
        <v>344</v>
      </c>
      <c r="C305" s="20" t="s">
        <v>10759</v>
      </c>
      <c r="D305" s="19" t="s">
        <v>302</v>
      </c>
      <c r="E305" s="19" t="s">
        <v>10459</v>
      </c>
      <c r="F305" s="21">
        <f t="shared" si="490"/>
        <v>24.690000000000001</v>
      </c>
      <c r="G305" s="21">
        <f t="shared" si="490"/>
        <v>24.690000000000001</v>
      </c>
      <c r="H305" s="21">
        <f t="shared" si="490"/>
        <v>24.690000000000001</v>
      </c>
      <c r="I305" s="24" t="str">
        <f t="shared" si="491"/>
        <v xml:space="preserve">COM VALOR</v>
      </c>
      <c r="L305" s="36">
        <v>24.690000000000001</v>
      </c>
      <c r="M305" s="37">
        <v>24.690000000000001</v>
      </c>
      <c r="N305" s="36">
        <v>24.690000000000001</v>
      </c>
    </row>
    <row r="306" ht="12.75">
      <c r="A306" s="19" t="s">
        <v>10460</v>
      </c>
      <c r="B306" s="19">
        <v>345</v>
      </c>
      <c r="C306" s="20" t="s">
        <v>10760</v>
      </c>
      <c r="D306" s="19" t="s">
        <v>302</v>
      </c>
      <c r="E306" s="19" t="s">
        <v>10459</v>
      </c>
      <c r="F306" s="21">
        <f t="shared" si="490"/>
        <v>26.780000000000001</v>
      </c>
      <c r="G306" s="21">
        <f t="shared" si="490"/>
        <v>26.780000000000001</v>
      </c>
      <c r="H306" s="21">
        <f t="shared" si="490"/>
        <v>26.780000000000001</v>
      </c>
      <c r="I306" s="24" t="str">
        <f t="shared" si="491"/>
        <v xml:space="preserve">COM VALOR</v>
      </c>
      <c r="L306" s="36">
        <v>26.780000000000001</v>
      </c>
      <c r="M306" s="37">
        <v>26.780000000000001</v>
      </c>
      <c r="N306" s="36">
        <v>26.780000000000001</v>
      </c>
    </row>
    <row r="307" ht="38.25">
      <c r="A307" s="19" t="s">
        <v>10460</v>
      </c>
      <c r="B307" s="19">
        <v>43131</v>
      </c>
      <c r="C307" s="20" t="s">
        <v>10761</v>
      </c>
      <c r="D307" s="19" t="s">
        <v>302</v>
      </c>
      <c r="E307" s="19" t="s">
        <v>10459</v>
      </c>
      <c r="F307" s="21">
        <f t="shared" si="490"/>
        <v>21.809999999999999</v>
      </c>
      <c r="G307" s="21">
        <f t="shared" si="490"/>
        <v>21.809999999999999</v>
      </c>
      <c r="H307" s="21">
        <f t="shared" si="490"/>
        <v>21.809999999999999</v>
      </c>
      <c r="I307" s="24" t="str">
        <f t="shared" si="491"/>
        <v xml:space="preserve">COM VALOR</v>
      </c>
      <c r="L307" s="36">
        <v>21.809999999999999</v>
      </c>
      <c r="M307" s="37">
        <v>21.809999999999999</v>
      </c>
      <c r="N307" s="36">
        <v>21.809999999999999</v>
      </c>
    </row>
    <row r="308" ht="25.5">
      <c r="A308" s="19" t="s">
        <v>10460</v>
      </c>
      <c r="B308" s="19">
        <v>3313</v>
      </c>
      <c r="C308" s="20" t="s">
        <v>10762</v>
      </c>
      <c r="D308" s="19" t="s">
        <v>302</v>
      </c>
      <c r="E308" s="19" t="s">
        <v>10459</v>
      </c>
      <c r="F308" s="21">
        <f t="shared" si="490"/>
        <v>25.350000000000001</v>
      </c>
      <c r="G308" s="21">
        <f t="shared" si="490"/>
        <v>25.350000000000001</v>
      </c>
      <c r="H308" s="21">
        <f t="shared" si="490"/>
        <v>25.350000000000001</v>
      </c>
      <c r="I308" s="24" t="str">
        <f t="shared" si="491"/>
        <v xml:space="preserve">COM VALOR</v>
      </c>
      <c r="L308" s="36">
        <v>25.350000000000001</v>
      </c>
      <c r="M308" s="37">
        <v>25.350000000000001</v>
      </c>
      <c r="N308" s="36">
        <v>25.350000000000001</v>
      </c>
    </row>
    <row r="309" ht="25.5">
      <c r="A309" s="19" t="s">
        <v>10460</v>
      </c>
      <c r="B309" s="19">
        <v>43132</v>
      </c>
      <c r="C309" s="20" t="s">
        <v>10763</v>
      </c>
      <c r="D309" s="19" t="s">
        <v>302</v>
      </c>
      <c r="E309" s="19" t="s">
        <v>10459</v>
      </c>
      <c r="F309" s="21">
        <f t="shared" si="490"/>
        <v>18.780000000000001</v>
      </c>
      <c r="G309" s="21">
        <f t="shared" si="490"/>
        <v>18.780000000000001</v>
      </c>
      <c r="H309" s="21">
        <f t="shared" si="490"/>
        <v>18.780000000000001</v>
      </c>
      <c r="I309" s="24" t="str">
        <f t="shared" si="491"/>
        <v xml:space="preserve">COM VALOR</v>
      </c>
      <c r="L309" s="36">
        <v>18.780000000000001</v>
      </c>
      <c r="M309" s="37">
        <v>18.780000000000001</v>
      </c>
      <c r="N309" s="36">
        <v>18.780000000000001</v>
      </c>
    </row>
    <row r="310" ht="12.75">
      <c r="A310" s="19" t="s">
        <v>10460</v>
      </c>
      <c r="B310" s="19">
        <v>45245</v>
      </c>
      <c r="C310" s="20" t="s">
        <v>10764</v>
      </c>
      <c r="D310" s="19" t="s">
        <v>31</v>
      </c>
      <c r="E310" s="19" t="s">
        <v>10459</v>
      </c>
      <c r="F310" s="21">
        <f t="shared" si="490"/>
        <v>33.789999999999999</v>
      </c>
      <c r="G310" s="21">
        <f t="shared" si="490"/>
        <v>33.789999999999999</v>
      </c>
      <c r="H310" s="21">
        <f t="shared" si="490"/>
        <v>33.789999999999999</v>
      </c>
      <c r="I310" s="24" t="str">
        <f t="shared" si="491"/>
        <v xml:space="preserve">COM VALOR</v>
      </c>
      <c r="L310" s="36">
        <v>33.789999999999999</v>
      </c>
      <c r="M310" s="37">
        <v>33.789999999999999</v>
      </c>
      <c r="N310" s="36">
        <v>33.789999999999999</v>
      </c>
    </row>
    <row r="311" ht="25.5">
      <c r="A311" s="19" t="s">
        <v>10460</v>
      </c>
      <c r="B311" s="19">
        <v>366</v>
      </c>
      <c r="C311" s="20" t="s">
        <v>10765</v>
      </c>
      <c r="D311" s="19" t="s">
        <v>121</v>
      </c>
      <c r="E311" s="19" t="s">
        <v>10466</v>
      </c>
      <c r="F311" s="21">
        <f t="shared" si="490"/>
        <v>76</v>
      </c>
      <c r="G311" s="21">
        <f t="shared" si="490"/>
        <v>76</v>
      </c>
      <c r="H311" s="21">
        <f t="shared" si="490"/>
        <v>76</v>
      </c>
      <c r="I311" s="24" t="str">
        <f t="shared" si="491"/>
        <v xml:space="preserve">COM VALOR</v>
      </c>
      <c r="L311" s="36">
        <v>76</v>
      </c>
      <c r="M311" s="37">
        <v>76</v>
      </c>
      <c r="N311" s="36">
        <v>76</v>
      </c>
    </row>
    <row r="312" ht="25.5">
      <c r="A312" s="19" t="s">
        <v>10460</v>
      </c>
      <c r="B312" s="19">
        <v>367</v>
      </c>
      <c r="C312" s="20" t="s">
        <v>10766</v>
      </c>
      <c r="D312" s="19" t="s">
        <v>121</v>
      </c>
      <c r="E312" s="19" t="s">
        <v>10459</v>
      </c>
      <c r="F312" s="21">
        <f t="shared" si="490"/>
        <v>76.989999999999995</v>
      </c>
      <c r="G312" s="21">
        <f t="shared" si="490"/>
        <v>76.989999999999995</v>
      </c>
      <c r="H312" s="21">
        <f t="shared" si="490"/>
        <v>76.989999999999995</v>
      </c>
      <c r="I312" s="24" t="str">
        <f t="shared" si="491"/>
        <v xml:space="preserve">COM VALOR</v>
      </c>
      <c r="L312" s="36">
        <v>76.989999999999995</v>
      </c>
      <c r="M312" s="37">
        <v>76.989999999999995</v>
      </c>
      <c r="N312" s="36">
        <v>76.989999999999995</v>
      </c>
    </row>
    <row r="313" ht="25.5">
      <c r="A313" s="19" t="s">
        <v>10460</v>
      </c>
      <c r="B313" s="19">
        <v>370</v>
      </c>
      <c r="C313" s="20" t="s">
        <v>10767</v>
      </c>
      <c r="D313" s="19" t="s">
        <v>121</v>
      </c>
      <c r="E313" s="19" t="s">
        <v>10459</v>
      </c>
      <c r="F313" s="21">
        <f t="shared" si="490"/>
        <v>76</v>
      </c>
      <c r="G313" s="21">
        <f t="shared" si="490"/>
        <v>76</v>
      </c>
      <c r="H313" s="21">
        <f t="shared" si="490"/>
        <v>76</v>
      </c>
      <c r="I313" s="24" t="str">
        <f t="shared" si="491"/>
        <v xml:space="preserve">COM VALOR</v>
      </c>
      <c r="L313" s="36">
        <v>76</v>
      </c>
      <c r="M313" s="37">
        <v>76</v>
      </c>
      <c r="N313" s="36">
        <v>76</v>
      </c>
    </row>
    <row r="314" ht="25.5">
      <c r="A314" s="19" t="s">
        <v>10460</v>
      </c>
      <c r="B314" s="19">
        <v>368</v>
      </c>
      <c r="C314" s="20" t="s">
        <v>10768</v>
      </c>
      <c r="D314" s="19" t="s">
        <v>121</v>
      </c>
      <c r="E314" s="19" t="s">
        <v>10459</v>
      </c>
      <c r="F314" s="21">
        <f t="shared" si="490"/>
        <v>38</v>
      </c>
      <c r="G314" s="21">
        <f t="shared" si="490"/>
        <v>38</v>
      </c>
      <c r="H314" s="21">
        <f t="shared" si="490"/>
        <v>38</v>
      </c>
      <c r="I314" s="24" t="str">
        <f t="shared" si="491"/>
        <v xml:space="preserve">COM VALOR</v>
      </c>
      <c r="L314" s="36">
        <v>38</v>
      </c>
      <c r="M314" s="37">
        <v>38</v>
      </c>
      <c r="N314" s="36">
        <v>38</v>
      </c>
    </row>
    <row r="315" ht="38.25">
      <c r="A315" s="19" t="s">
        <v>10460</v>
      </c>
      <c r="B315" s="19">
        <v>11075</v>
      </c>
      <c r="C315" s="20" t="s">
        <v>10769</v>
      </c>
      <c r="D315" s="19" t="s">
        <v>121</v>
      </c>
      <c r="E315" s="19" t="s">
        <v>10459</v>
      </c>
      <c r="F315" s="21">
        <f t="shared" si="490"/>
        <v>872.24000000000001</v>
      </c>
      <c r="G315" s="21">
        <f t="shared" si="490"/>
        <v>872.24000000000001</v>
      </c>
      <c r="H315" s="21">
        <f t="shared" si="490"/>
        <v>872.24000000000001</v>
      </c>
      <c r="I315" s="24" t="str">
        <f t="shared" si="491"/>
        <v xml:space="preserve">COM VALOR</v>
      </c>
      <c r="L315" s="36">
        <v>872.24000000000001</v>
      </c>
      <c r="M315" s="37">
        <v>872.24000000000001</v>
      </c>
      <c r="N315" s="36">
        <v>872.24000000000001</v>
      </c>
    </row>
    <row r="316" ht="12.75">
      <c r="A316" s="19" t="s">
        <v>10460</v>
      </c>
      <c r="B316" s="19">
        <v>1381</v>
      </c>
      <c r="C316" s="20" t="s">
        <v>10770</v>
      </c>
      <c r="D316" s="19" t="s">
        <v>302</v>
      </c>
      <c r="E316" s="19" t="s">
        <v>10466</v>
      </c>
      <c r="F316" s="21">
        <f t="shared" si="490"/>
        <v>1</v>
      </c>
      <c r="G316" s="21">
        <f t="shared" si="490"/>
        <v>1</v>
      </c>
      <c r="H316" s="21">
        <f t="shared" si="490"/>
        <v>1</v>
      </c>
      <c r="I316" s="24" t="str">
        <f t="shared" si="491"/>
        <v xml:space="preserve">COM VALOR</v>
      </c>
      <c r="L316" s="36">
        <v>1</v>
      </c>
      <c r="M316" s="37">
        <v>1</v>
      </c>
      <c r="N316" s="36">
        <v>1</v>
      </c>
    </row>
    <row r="317" ht="12.75">
      <c r="A317" s="19" t="s">
        <v>10460</v>
      </c>
      <c r="B317" s="19">
        <v>34353</v>
      </c>
      <c r="C317" s="20" t="s">
        <v>10771</v>
      </c>
      <c r="D317" s="19" t="s">
        <v>302</v>
      </c>
      <c r="E317" s="19" t="s">
        <v>10459</v>
      </c>
      <c r="F317" s="21">
        <f t="shared" si="490"/>
        <v>1.8600000000000001</v>
      </c>
      <c r="G317" s="21">
        <f t="shared" si="490"/>
        <v>1.8600000000000001</v>
      </c>
      <c r="H317" s="21">
        <f t="shared" si="490"/>
        <v>1.8600000000000001</v>
      </c>
      <c r="I317" s="24" t="str">
        <f t="shared" si="491"/>
        <v xml:space="preserve">COM VALOR</v>
      </c>
      <c r="L317" s="36">
        <v>1.8600000000000001</v>
      </c>
      <c r="M317" s="37">
        <v>1.8600000000000001</v>
      </c>
      <c r="N317" s="36">
        <v>1.8600000000000001</v>
      </c>
    </row>
    <row r="318" ht="12.75">
      <c r="A318" s="19" t="s">
        <v>10460</v>
      </c>
      <c r="B318" s="19">
        <v>37595</v>
      </c>
      <c r="C318" s="20" t="s">
        <v>10772</v>
      </c>
      <c r="D318" s="19" t="s">
        <v>302</v>
      </c>
      <c r="E318" s="19" t="s">
        <v>10459</v>
      </c>
      <c r="F318" s="21">
        <f t="shared" si="490"/>
        <v>3.0699999999999998</v>
      </c>
      <c r="G318" s="21">
        <f t="shared" si="490"/>
        <v>3.0699999999999998</v>
      </c>
      <c r="H318" s="21">
        <f t="shared" si="490"/>
        <v>3.0699999999999998</v>
      </c>
      <c r="I318" s="24" t="str">
        <f t="shared" si="491"/>
        <v xml:space="preserve">COM VALOR</v>
      </c>
      <c r="L318" s="36">
        <v>3.0699999999999998</v>
      </c>
      <c r="M318" s="37">
        <v>3.0699999999999998</v>
      </c>
      <c r="N318" s="36">
        <v>3.0699999999999998</v>
      </c>
    </row>
    <row r="319" ht="12.75">
      <c r="A319" s="19" t="s">
        <v>10460</v>
      </c>
      <c r="B319" s="19">
        <v>37596</v>
      </c>
      <c r="C319" s="20" t="s">
        <v>10773</v>
      </c>
      <c r="D319" s="19" t="s">
        <v>302</v>
      </c>
      <c r="E319" s="19" t="s">
        <v>10459</v>
      </c>
      <c r="F319" s="21">
        <f t="shared" si="490"/>
        <v>3.52</v>
      </c>
      <c r="G319" s="21">
        <f t="shared" si="490"/>
        <v>3.52</v>
      </c>
      <c r="H319" s="21">
        <f t="shared" si="490"/>
        <v>3.52</v>
      </c>
      <c r="I319" s="24" t="str">
        <f t="shared" si="491"/>
        <v xml:space="preserve">COM VALOR</v>
      </c>
      <c r="L319" s="36">
        <v>3.52</v>
      </c>
      <c r="M319" s="37">
        <v>3.52</v>
      </c>
      <c r="N319" s="36">
        <v>3.52</v>
      </c>
    </row>
    <row r="320" ht="38.25">
      <c r="A320" s="19" t="s">
        <v>10460</v>
      </c>
      <c r="B320" s="19">
        <v>371</v>
      </c>
      <c r="C320" s="20" t="s">
        <v>10774</v>
      </c>
      <c r="D320" s="19" t="s">
        <v>302</v>
      </c>
      <c r="E320" s="19" t="s">
        <v>10459</v>
      </c>
      <c r="F320" s="21">
        <f t="shared" si="490"/>
        <v>1.0900000000000001</v>
      </c>
      <c r="G320" s="21">
        <f t="shared" si="490"/>
        <v>1.0900000000000001</v>
      </c>
      <c r="H320" s="21">
        <f t="shared" si="490"/>
        <v>1.0900000000000001</v>
      </c>
      <c r="I320" s="24" t="str">
        <f t="shared" si="491"/>
        <v xml:space="preserve">COM VALOR</v>
      </c>
      <c r="L320" s="36">
        <v>1.0900000000000001</v>
      </c>
      <c r="M320" s="37">
        <v>1.0900000000000001</v>
      </c>
      <c r="N320" s="36">
        <v>1.0900000000000001</v>
      </c>
    </row>
    <row r="321" ht="12.75">
      <c r="A321" s="19" t="s">
        <v>10460</v>
      </c>
      <c r="B321" s="19">
        <v>37553</v>
      </c>
      <c r="C321" s="20" t="s">
        <v>10775</v>
      </c>
      <c r="D321" s="19" t="s">
        <v>302</v>
      </c>
      <c r="E321" s="19" t="s">
        <v>10459</v>
      </c>
      <c r="F321" s="21">
        <f t="shared" si="490"/>
        <v>2.04</v>
      </c>
      <c r="G321" s="21">
        <f t="shared" si="490"/>
        <v>2.04</v>
      </c>
      <c r="H321" s="21">
        <f t="shared" si="490"/>
        <v>2.04</v>
      </c>
      <c r="I321" s="24" t="str">
        <f t="shared" si="491"/>
        <v xml:space="preserve">COM VALOR</v>
      </c>
      <c r="L321" s="36">
        <v>2.04</v>
      </c>
      <c r="M321" s="37">
        <v>2.04</v>
      </c>
      <c r="N321" s="36">
        <v>2.04</v>
      </c>
    </row>
    <row r="322" ht="12.75">
      <c r="A322" s="19" t="s">
        <v>10460</v>
      </c>
      <c r="B322" s="19">
        <v>37552</v>
      </c>
      <c r="C322" s="20" t="s">
        <v>10776</v>
      </c>
      <c r="D322" s="19" t="s">
        <v>302</v>
      </c>
      <c r="E322" s="19" t="s">
        <v>10459</v>
      </c>
      <c r="F322" s="21">
        <f t="shared" si="490"/>
        <v>3.2799999999999998</v>
      </c>
      <c r="G322" s="21">
        <f t="shared" si="490"/>
        <v>3.2799999999999998</v>
      </c>
      <c r="H322" s="21">
        <f t="shared" si="490"/>
        <v>3.2799999999999998</v>
      </c>
      <c r="I322" s="24" t="str">
        <f t="shared" si="491"/>
        <v xml:space="preserve">COM VALOR</v>
      </c>
      <c r="L322" s="36">
        <v>3.2799999999999998</v>
      </c>
      <c r="M322" s="37">
        <v>3.2799999999999998</v>
      </c>
      <c r="N322" s="36">
        <v>3.2799999999999998</v>
      </c>
    </row>
    <row r="323" ht="25.5">
      <c r="A323" s="19" t="s">
        <v>10460</v>
      </c>
      <c r="B323" s="19">
        <v>36880</v>
      </c>
      <c r="C323" s="20" t="s">
        <v>10777</v>
      </c>
      <c r="D323" s="19" t="s">
        <v>302</v>
      </c>
      <c r="E323" s="19" t="s">
        <v>10459</v>
      </c>
      <c r="F323" s="21">
        <f t="shared" si="490"/>
        <v>3.3300000000000001</v>
      </c>
      <c r="G323" s="21">
        <f t="shared" si="490"/>
        <v>3.3300000000000001</v>
      </c>
      <c r="H323" s="21">
        <f t="shared" si="490"/>
        <v>3.3300000000000001</v>
      </c>
      <c r="I323" s="24" t="str">
        <f t="shared" si="491"/>
        <v xml:space="preserve">COM VALOR</v>
      </c>
      <c r="L323" s="36">
        <v>3.3300000000000001</v>
      </c>
      <c r="M323" s="37">
        <v>3.3300000000000001</v>
      </c>
      <c r="N323" s="36">
        <v>3.3300000000000001</v>
      </c>
    </row>
    <row r="324" ht="12.75">
      <c r="A324" s="19" t="s">
        <v>10460</v>
      </c>
      <c r="B324" s="19">
        <v>34355</v>
      </c>
      <c r="C324" s="20" t="s">
        <v>10778</v>
      </c>
      <c r="D324" s="19" t="s">
        <v>302</v>
      </c>
      <c r="E324" s="19" t="s">
        <v>10459</v>
      </c>
      <c r="F324" s="21">
        <f t="shared" si="490"/>
        <v>2.8700000000000001</v>
      </c>
      <c r="G324" s="21">
        <f t="shared" si="490"/>
        <v>2.8700000000000001</v>
      </c>
      <c r="H324" s="21">
        <f t="shared" si="490"/>
        <v>2.8700000000000001</v>
      </c>
      <c r="I324" s="24" t="str">
        <f t="shared" si="491"/>
        <v xml:space="preserve">COM VALOR</v>
      </c>
      <c r="L324" s="36">
        <v>2.8700000000000001</v>
      </c>
      <c r="M324" s="37">
        <v>2.8700000000000001</v>
      </c>
      <c r="N324" s="36">
        <v>2.8700000000000001</v>
      </c>
    </row>
    <row r="325" ht="25.5">
      <c r="A325" s="19" t="s">
        <v>10460</v>
      </c>
      <c r="B325" s="19">
        <v>130</v>
      </c>
      <c r="C325" s="20" t="s">
        <v>10779</v>
      </c>
      <c r="D325" s="19" t="s">
        <v>302</v>
      </c>
      <c r="E325" s="19" t="s">
        <v>10459</v>
      </c>
      <c r="F325" s="21">
        <f t="shared" si="490"/>
        <v>3.9199999999999999</v>
      </c>
      <c r="G325" s="21">
        <f t="shared" si="490"/>
        <v>3.9199999999999999</v>
      </c>
      <c r="H325" s="21">
        <f t="shared" si="490"/>
        <v>3.9199999999999999</v>
      </c>
      <c r="I325" s="24" t="str">
        <f t="shared" si="491"/>
        <v xml:space="preserve">COM VALOR</v>
      </c>
      <c r="L325" s="36">
        <v>3.9199999999999999</v>
      </c>
      <c r="M325" s="37">
        <v>3.9199999999999999</v>
      </c>
      <c r="N325" s="36">
        <v>3.9199999999999999</v>
      </c>
    </row>
    <row r="326" ht="25.5">
      <c r="A326" s="19" t="s">
        <v>10460</v>
      </c>
      <c r="B326" s="19">
        <v>135</v>
      </c>
      <c r="C326" s="20" t="s">
        <v>10780</v>
      </c>
      <c r="D326" s="19" t="s">
        <v>302</v>
      </c>
      <c r="E326" s="19" t="s">
        <v>10459</v>
      </c>
      <c r="F326" s="21">
        <f t="shared" si="490"/>
        <v>3.1499999999999999</v>
      </c>
      <c r="G326" s="21">
        <f t="shared" si="490"/>
        <v>3.1499999999999999</v>
      </c>
      <c r="H326" s="21">
        <f t="shared" si="490"/>
        <v>3.1499999999999999</v>
      </c>
      <c r="I326" s="24" t="str">
        <f t="shared" si="491"/>
        <v xml:space="preserve">COM VALOR</v>
      </c>
      <c r="L326" s="36">
        <v>3.1499999999999999</v>
      </c>
      <c r="M326" s="37">
        <v>3.1499999999999999</v>
      </c>
      <c r="N326" s="36">
        <v>3.1499999999999999</v>
      </c>
    </row>
    <row r="327" ht="12.75">
      <c r="A327" s="19" t="s">
        <v>10460</v>
      </c>
      <c r="B327" s="19">
        <v>36886</v>
      </c>
      <c r="C327" s="20" t="s">
        <v>10781</v>
      </c>
      <c r="D327" s="19" t="s">
        <v>302</v>
      </c>
      <c r="E327" s="19" t="s">
        <v>10459</v>
      </c>
      <c r="F327" s="21">
        <f t="shared" si="490"/>
        <v>1.03</v>
      </c>
      <c r="G327" s="21">
        <f t="shared" si="490"/>
        <v>1.03</v>
      </c>
      <c r="H327" s="21">
        <f t="shared" si="490"/>
        <v>1.03</v>
      </c>
      <c r="I327" s="24" t="str">
        <f t="shared" si="491"/>
        <v xml:space="preserve">COM VALOR</v>
      </c>
      <c r="L327" s="36">
        <v>1.03</v>
      </c>
      <c r="M327" s="37">
        <v>1.03</v>
      </c>
      <c r="N327" s="36">
        <v>1.03</v>
      </c>
    </row>
    <row r="328" ht="38.25">
      <c r="A328" s="19" t="s">
        <v>10460</v>
      </c>
      <c r="B328" s="19">
        <v>38546</v>
      </c>
      <c r="C328" s="20" t="s">
        <v>10782</v>
      </c>
      <c r="D328" s="19" t="s">
        <v>121</v>
      </c>
      <c r="E328" s="19" t="s">
        <v>10459</v>
      </c>
      <c r="F328" s="21">
        <f t="shared" si="490"/>
        <v>611.03999999999996</v>
      </c>
      <c r="G328" s="21">
        <f t="shared" si="490"/>
        <v>611.03999999999996</v>
      </c>
      <c r="H328" s="21">
        <f t="shared" si="490"/>
        <v>611.03999999999996</v>
      </c>
      <c r="I328" s="24" t="str">
        <f t="shared" si="491"/>
        <v xml:space="preserve">COM VALOR</v>
      </c>
      <c r="L328" s="36">
        <v>611.03999999999996</v>
      </c>
      <c r="M328" s="37">
        <v>611.03999999999996</v>
      </c>
      <c r="N328" s="36">
        <v>611.03999999999996</v>
      </c>
    </row>
    <row r="329" ht="12.75">
      <c r="A329" s="19" t="s">
        <v>10460</v>
      </c>
      <c r="B329" s="19">
        <v>34549</v>
      </c>
      <c r="C329" s="20" t="s">
        <v>10783</v>
      </c>
      <c r="D329" s="19" t="s">
        <v>121</v>
      </c>
      <c r="E329" s="19" t="s">
        <v>10459</v>
      </c>
      <c r="F329" s="21" t="str">
        <f t="shared" si="490"/>
        <v>VERIFICAR</v>
      </c>
      <c r="G329" s="21" t="str">
        <f t="shared" si="490"/>
        <v>VERIFICAR</v>
      </c>
      <c r="H329" s="21" t="str">
        <f t="shared" si="490"/>
        <v>VERIFICAR</v>
      </c>
      <c r="I329" s="24" t="str">
        <f t="shared" si="491"/>
        <v xml:space="preserve">SEM VALOR</v>
      </c>
      <c r="L329" s="36"/>
      <c r="M329" s="37"/>
      <c r="N329" s="36"/>
    </row>
    <row r="330" ht="25.5">
      <c r="A330" s="19" t="s">
        <v>10460</v>
      </c>
      <c r="B330" s="19">
        <v>6081</v>
      </c>
      <c r="C330" s="20" t="s">
        <v>10784</v>
      </c>
      <c r="D330" s="19" t="s">
        <v>121</v>
      </c>
      <c r="E330" s="19" t="s">
        <v>10459</v>
      </c>
      <c r="F330" s="21" t="str">
        <f t="shared" si="490"/>
        <v>VERIFICAR</v>
      </c>
      <c r="G330" s="21" t="str">
        <f t="shared" si="490"/>
        <v>VERIFICAR</v>
      </c>
      <c r="H330" s="21" t="str">
        <f t="shared" si="490"/>
        <v>VERIFICAR</v>
      </c>
      <c r="I330" s="24" t="str">
        <f t="shared" si="491"/>
        <v xml:space="preserve">SEM VALOR</v>
      </c>
      <c r="L330" s="36"/>
      <c r="M330" s="37"/>
      <c r="N330" s="36"/>
    </row>
    <row r="331" ht="25.5">
      <c r="A331" s="19" t="s">
        <v>10460</v>
      </c>
      <c r="B331" s="19">
        <v>6077</v>
      </c>
      <c r="C331" s="20" t="s">
        <v>10785</v>
      </c>
      <c r="D331" s="19" t="s">
        <v>121</v>
      </c>
      <c r="E331" s="19" t="s">
        <v>10459</v>
      </c>
      <c r="F331" s="21" t="str">
        <f t="shared" ref="F331:H394" si="492">IF(L331=0,"VERIFICAR",L331)</f>
        <v>VERIFICAR</v>
      </c>
      <c r="G331" s="21" t="str">
        <f t="shared" si="492"/>
        <v>VERIFICAR</v>
      </c>
      <c r="H331" s="21" t="str">
        <f t="shared" si="492"/>
        <v>VERIFICAR</v>
      </c>
      <c r="I331" s="24" t="str">
        <f t="shared" ref="I331:I394" si="493">IF(OR(L331=0,M331=0,N331=0),"SEM VALOR","COM VALOR")</f>
        <v xml:space="preserve">SEM VALOR</v>
      </c>
      <c r="L331" s="36"/>
      <c r="M331" s="37"/>
      <c r="N331" s="36"/>
    </row>
    <row r="332" ht="25.5">
      <c r="A332" s="19" t="s">
        <v>10460</v>
      </c>
      <c r="B332" s="19">
        <v>6079</v>
      </c>
      <c r="C332" s="20" t="s">
        <v>10786</v>
      </c>
      <c r="D332" s="19" t="s">
        <v>121</v>
      </c>
      <c r="E332" s="19" t="s">
        <v>10459</v>
      </c>
      <c r="F332" s="21">
        <f t="shared" si="492"/>
        <v>38.759999999999998</v>
      </c>
      <c r="G332" s="21">
        <f t="shared" si="492"/>
        <v>38.759999999999998</v>
      </c>
      <c r="H332" s="21">
        <f t="shared" si="492"/>
        <v>38.759999999999998</v>
      </c>
      <c r="I332" s="24" t="str">
        <f t="shared" si="493"/>
        <v xml:space="preserve">COM VALOR</v>
      </c>
      <c r="J332" s="38" t="s">
        <v>10710</v>
      </c>
      <c r="L332" s="36">
        <v>38.759999999999998</v>
      </c>
      <c r="M332" s="37">
        <v>38.759999999999998</v>
      </c>
      <c r="N332" s="36">
        <v>38.759999999999998</v>
      </c>
    </row>
    <row r="333" ht="25.5">
      <c r="A333" s="19" t="s">
        <v>10460</v>
      </c>
      <c r="B333" s="19">
        <v>1091</v>
      </c>
      <c r="C333" s="20" t="s">
        <v>10787</v>
      </c>
      <c r="D333" s="19" t="s">
        <v>31</v>
      </c>
      <c r="E333" s="19" t="s">
        <v>10459</v>
      </c>
      <c r="F333" s="21">
        <f t="shared" si="492"/>
        <v>51.359999999999999</v>
      </c>
      <c r="G333" s="21">
        <f t="shared" si="492"/>
        <v>51.359999999999999</v>
      </c>
      <c r="H333" s="21">
        <f t="shared" si="492"/>
        <v>51.359999999999999</v>
      </c>
      <c r="I333" s="24" t="str">
        <f t="shared" si="493"/>
        <v xml:space="preserve">COM VALOR</v>
      </c>
      <c r="L333" s="36">
        <v>51.359999999999999</v>
      </c>
      <c r="M333" s="37">
        <v>51.359999999999999</v>
      </c>
      <c r="N333" s="36">
        <v>51.359999999999999</v>
      </c>
    </row>
    <row r="334" ht="25.5">
      <c r="A334" s="19" t="s">
        <v>10460</v>
      </c>
      <c r="B334" s="19">
        <v>1094</v>
      </c>
      <c r="C334" s="20" t="s">
        <v>10788</v>
      </c>
      <c r="D334" s="19" t="s">
        <v>31</v>
      </c>
      <c r="E334" s="19" t="s">
        <v>10459</v>
      </c>
      <c r="F334" s="21">
        <f t="shared" si="492"/>
        <v>35.920000000000002</v>
      </c>
      <c r="G334" s="21">
        <f t="shared" si="492"/>
        <v>35.920000000000002</v>
      </c>
      <c r="H334" s="21">
        <f t="shared" si="492"/>
        <v>35.920000000000002</v>
      </c>
      <c r="I334" s="24" t="str">
        <f t="shared" si="493"/>
        <v xml:space="preserve">COM VALOR</v>
      </c>
      <c r="L334" s="36">
        <v>35.920000000000002</v>
      </c>
      <c r="M334" s="37">
        <v>35.920000000000002</v>
      </c>
      <c r="N334" s="36">
        <v>35.920000000000002</v>
      </c>
    </row>
    <row r="335" ht="38.25">
      <c r="A335" s="19" t="s">
        <v>10460</v>
      </c>
      <c r="B335" s="19">
        <v>1095</v>
      </c>
      <c r="C335" s="20" t="s">
        <v>10789</v>
      </c>
      <c r="D335" s="19" t="s">
        <v>31</v>
      </c>
      <c r="E335" s="19" t="s">
        <v>10459</v>
      </c>
      <c r="F335" s="21">
        <f t="shared" si="492"/>
        <v>76.340000000000003</v>
      </c>
      <c r="G335" s="21">
        <f t="shared" si="492"/>
        <v>76.340000000000003</v>
      </c>
      <c r="H335" s="21">
        <f t="shared" si="492"/>
        <v>76.340000000000003</v>
      </c>
      <c r="I335" s="24" t="str">
        <f t="shared" si="493"/>
        <v xml:space="preserve">COM VALOR</v>
      </c>
      <c r="L335" s="36">
        <v>76.340000000000003</v>
      </c>
      <c r="M335" s="37">
        <v>76.340000000000003</v>
      </c>
      <c r="N335" s="36">
        <v>76.340000000000003</v>
      </c>
    </row>
    <row r="336" ht="25.5">
      <c r="A336" s="19" t="s">
        <v>10460</v>
      </c>
      <c r="B336" s="19">
        <v>1092</v>
      </c>
      <c r="C336" s="20" t="s">
        <v>10790</v>
      </c>
      <c r="D336" s="19" t="s">
        <v>31</v>
      </c>
      <c r="E336" s="19" t="s">
        <v>10466</v>
      </c>
      <c r="F336" s="21">
        <f t="shared" si="492"/>
        <v>59.07</v>
      </c>
      <c r="G336" s="21">
        <f t="shared" si="492"/>
        <v>59.07</v>
      </c>
      <c r="H336" s="21">
        <f t="shared" si="492"/>
        <v>59.07</v>
      </c>
      <c r="I336" s="24" t="str">
        <f t="shared" si="493"/>
        <v xml:space="preserve">COM VALOR</v>
      </c>
      <c r="L336" s="36">
        <v>59.07</v>
      </c>
      <c r="M336" s="37">
        <v>59.07</v>
      </c>
      <c r="N336" s="36">
        <v>59.07</v>
      </c>
    </row>
    <row r="337" ht="38.25">
      <c r="A337" s="19" t="s">
        <v>10460</v>
      </c>
      <c r="B337" s="19">
        <v>1093</v>
      </c>
      <c r="C337" s="20" t="s">
        <v>10791</v>
      </c>
      <c r="D337" s="19" t="s">
        <v>31</v>
      </c>
      <c r="E337" s="19" t="s">
        <v>10459</v>
      </c>
      <c r="F337" s="21">
        <f t="shared" si="492"/>
        <v>137.94999999999999</v>
      </c>
      <c r="G337" s="21">
        <f t="shared" si="492"/>
        <v>137.94999999999999</v>
      </c>
      <c r="H337" s="21">
        <f t="shared" si="492"/>
        <v>137.94999999999999</v>
      </c>
      <c r="I337" s="24" t="str">
        <f t="shared" si="493"/>
        <v xml:space="preserve">COM VALOR</v>
      </c>
      <c r="L337" s="36">
        <v>137.94999999999999</v>
      </c>
      <c r="M337" s="37">
        <v>137.94999999999999</v>
      </c>
      <c r="N337" s="36">
        <v>137.94999999999999</v>
      </c>
    </row>
    <row r="338" ht="25.5">
      <c r="A338" s="19" t="s">
        <v>10460</v>
      </c>
      <c r="B338" s="19">
        <v>1090</v>
      </c>
      <c r="C338" s="20" t="s">
        <v>10792</v>
      </c>
      <c r="D338" s="19" t="s">
        <v>31</v>
      </c>
      <c r="E338" s="19" t="s">
        <v>10459</v>
      </c>
      <c r="F338" s="21">
        <f t="shared" si="492"/>
        <v>98.769999999999996</v>
      </c>
      <c r="G338" s="21">
        <f t="shared" si="492"/>
        <v>98.769999999999996</v>
      </c>
      <c r="H338" s="21">
        <f t="shared" si="492"/>
        <v>98.769999999999996</v>
      </c>
      <c r="I338" s="24" t="str">
        <f t="shared" si="493"/>
        <v xml:space="preserve">COM VALOR</v>
      </c>
      <c r="L338" s="36">
        <v>98.769999999999996</v>
      </c>
      <c r="M338" s="37">
        <v>98.769999999999996</v>
      </c>
      <c r="N338" s="36">
        <v>98.769999999999996</v>
      </c>
    </row>
    <row r="339" ht="38.25">
      <c r="A339" s="19" t="s">
        <v>10460</v>
      </c>
      <c r="B339" s="19">
        <v>1096</v>
      </c>
      <c r="C339" s="20" t="s">
        <v>10793</v>
      </c>
      <c r="D339" s="19" t="s">
        <v>31</v>
      </c>
      <c r="E339" s="19" t="s">
        <v>10459</v>
      </c>
      <c r="F339" s="21">
        <f t="shared" si="492"/>
        <v>177.75</v>
      </c>
      <c r="G339" s="21">
        <f t="shared" si="492"/>
        <v>177.75</v>
      </c>
      <c r="H339" s="21">
        <f t="shared" si="492"/>
        <v>177.75</v>
      </c>
      <c r="I339" s="24" t="str">
        <f t="shared" si="493"/>
        <v xml:space="preserve">COM VALOR</v>
      </c>
      <c r="L339" s="36">
        <v>177.75</v>
      </c>
      <c r="M339" s="37">
        <v>177.75</v>
      </c>
      <c r="N339" s="36">
        <v>177.75</v>
      </c>
    </row>
    <row r="340" ht="25.5">
      <c r="A340" s="19" t="s">
        <v>10460</v>
      </c>
      <c r="B340" s="19">
        <v>1097</v>
      </c>
      <c r="C340" s="20" t="s">
        <v>10794</v>
      </c>
      <c r="D340" s="19" t="s">
        <v>31</v>
      </c>
      <c r="E340" s="19" t="s">
        <v>10459</v>
      </c>
      <c r="F340" s="21">
        <f t="shared" si="492"/>
        <v>150.88</v>
      </c>
      <c r="G340" s="21">
        <f t="shared" si="492"/>
        <v>150.88</v>
      </c>
      <c r="H340" s="21">
        <f t="shared" si="492"/>
        <v>150.88</v>
      </c>
      <c r="I340" s="24" t="str">
        <f t="shared" si="493"/>
        <v xml:space="preserve">COM VALOR</v>
      </c>
      <c r="L340" s="36">
        <v>150.88</v>
      </c>
      <c r="M340" s="37">
        <v>150.88</v>
      </c>
      <c r="N340" s="36">
        <v>150.88</v>
      </c>
    </row>
    <row r="341" ht="12.75">
      <c r="A341" s="19" t="s">
        <v>10604</v>
      </c>
      <c r="B341" s="19">
        <v>378</v>
      </c>
      <c r="C341" s="20" t="s">
        <v>10795</v>
      </c>
      <c r="D341" s="19" t="s">
        <v>2032</v>
      </c>
      <c r="E341" s="19" t="s">
        <v>10459</v>
      </c>
      <c r="F341" s="21">
        <f t="shared" si="492"/>
        <v>21.260000000000002</v>
      </c>
      <c r="G341" s="21">
        <f t="shared" si="492"/>
        <v>21.260000000000002</v>
      </c>
      <c r="H341" s="21">
        <f t="shared" si="492"/>
        <v>21.260000000000002</v>
      </c>
      <c r="I341" s="24" t="str">
        <f t="shared" si="493"/>
        <v xml:space="preserve">COM VALOR</v>
      </c>
      <c r="J341" s="38"/>
      <c r="L341" s="36">
        <v>21.260000000000002</v>
      </c>
      <c r="M341" s="37">
        <v>21.260000000000002</v>
      </c>
      <c r="N341" s="36">
        <v>21.260000000000002</v>
      </c>
    </row>
    <row r="342" ht="12.75">
      <c r="A342" s="19" t="s">
        <v>10604</v>
      </c>
      <c r="B342" s="19">
        <v>40911</v>
      </c>
      <c r="C342" s="20" t="s">
        <v>10796</v>
      </c>
      <c r="D342" s="19" t="s">
        <v>7087</v>
      </c>
      <c r="E342" s="19" t="s">
        <v>10459</v>
      </c>
      <c r="F342" s="21">
        <f t="shared" si="492"/>
        <v>3721.6900000000001</v>
      </c>
      <c r="G342" s="21">
        <f t="shared" si="492"/>
        <v>3721.6900000000001</v>
      </c>
      <c r="H342" s="21">
        <f t="shared" si="492"/>
        <v>3721.6900000000001</v>
      </c>
      <c r="I342" s="24" t="str">
        <f t="shared" si="493"/>
        <v xml:space="preserve">COM VALOR</v>
      </c>
      <c r="L342" s="36">
        <v>3721.6900000000001</v>
      </c>
      <c r="M342" s="37">
        <v>3721.6900000000001</v>
      </c>
      <c r="N342" s="36">
        <v>3721.6900000000001</v>
      </c>
    </row>
    <row r="343" ht="12.75">
      <c r="A343" s="19" t="s">
        <v>10604</v>
      </c>
      <c r="B343" s="19">
        <v>33939</v>
      </c>
      <c r="C343" s="20" t="s">
        <v>10797</v>
      </c>
      <c r="D343" s="19" t="s">
        <v>2032</v>
      </c>
      <c r="E343" s="19" t="s">
        <v>10459</v>
      </c>
      <c r="F343" s="21">
        <f t="shared" si="492"/>
        <v>132.59</v>
      </c>
      <c r="G343" s="21">
        <f t="shared" si="492"/>
        <v>132.59</v>
      </c>
      <c r="H343" s="21">
        <f t="shared" si="492"/>
        <v>132.59</v>
      </c>
      <c r="I343" s="24" t="str">
        <f t="shared" si="493"/>
        <v xml:space="preserve">COM VALOR</v>
      </c>
      <c r="L343" s="36">
        <v>132.59</v>
      </c>
      <c r="M343" s="37">
        <v>132.59</v>
      </c>
      <c r="N343" s="36">
        <v>132.59</v>
      </c>
    </row>
    <row r="344" ht="12.75">
      <c r="A344" s="19" t="s">
        <v>10604</v>
      </c>
      <c r="B344" s="19">
        <v>40815</v>
      </c>
      <c r="C344" s="20" t="s">
        <v>10798</v>
      </c>
      <c r="D344" s="19" t="s">
        <v>7087</v>
      </c>
      <c r="E344" s="19" t="s">
        <v>10459</v>
      </c>
      <c r="F344" s="21">
        <f t="shared" si="492"/>
        <v>23203.02</v>
      </c>
      <c r="G344" s="21">
        <f t="shared" si="492"/>
        <v>23203.02</v>
      </c>
      <c r="H344" s="21">
        <f t="shared" si="492"/>
        <v>23203.02</v>
      </c>
      <c r="I344" s="24" t="str">
        <f t="shared" si="493"/>
        <v xml:space="preserve">COM VALOR</v>
      </c>
      <c r="L344" s="36">
        <v>23203.02</v>
      </c>
      <c r="M344" s="37">
        <v>23203.02</v>
      </c>
      <c r="N344" s="36">
        <v>23203.02</v>
      </c>
    </row>
    <row r="345" ht="12.75">
      <c r="A345" s="19" t="s">
        <v>10604</v>
      </c>
      <c r="B345" s="19">
        <v>33952</v>
      </c>
      <c r="C345" s="20" t="s">
        <v>10799</v>
      </c>
      <c r="D345" s="19" t="s">
        <v>2032</v>
      </c>
      <c r="E345" s="19" t="s">
        <v>10459</v>
      </c>
      <c r="F345" s="21">
        <f t="shared" si="492"/>
        <v>140.47</v>
      </c>
      <c r="G345" s="21">
        <f t="shared" si="492"/>
        <v>140.47</v>
      </c>
      <c r="H345" s="21">
        <f t="shared" si="492"/>
        <v>140.47</v>
      </c>
      <c r="I345" s="24" t="str">
        <f t="shared" si="493"/>
        <v xml:space="preserve">COM VALOR</v>
      </c>
      <c r="L345" s="36">
        <v>140.47</v>
      </c>
      <c r="M345" s="37">
        <v>140.47</v>
      </c>
      <c r="N345" s="36">
        <v>140.47</v>
      </c>
    </row>
    <row r="346" ht="12.75">
      <c r="A346" s="19" t="s">
        <v>10604</v>
      </c>
      <c r="B346" s="19">
        <v>40816</v>
      </c>
      <c r="C346" s="20" t="s">
        <v>10800</v>
      </c>
      <c r="D346" s="19" t="s">
        <v>7087</v>
      </c>
      <c r="E346" s="19" t="s">
        <v>10459</v>
      </c>
      <c r="F346" s="21">
        <f t="shared" si="492"/>
        <v>24581.360000000001</v>
      </c>
      <c r="G346" s="21">
        <f t="shared" si="492"/>
        <v>24581.360000000001</v>
      </c>
      <c r="H346" s="21">
        <f t="shared" si="492"/>
        <v>24581.360000000001</v>
      </c>
      <c r="I346" s="24" t="str">
        <f t="shared" si="493"/>
        <v xml:space="preserve">COM VALOR</v>
      </c>
      <c r="L346" s="36">
        <v>24581.360000000001</v>
      </c>
      <c r="M346" s="37">
        <v>24581.360000000001</v>
      </c>
      <c r="N346" s="36">
        <v>24581.360000000001</v>
      </c>
    </row>
    <row r="347" ht="12.75">
      <c r="A347" s="19" t="s">
        <v>10604</v>
      </c>
      <c r="B347" s="19">
        <v>33953</v>
      </c>
      <c r="C347" s="20" t="s">
        <v>10801</v>
      </c>
      <c r="D347" s="19" t="s">
        <v>2032</v>
      </c>
      <c r="E347" s="19" t="s">
        <v>10459</v>
      </c>
      <c r="F347" s="21">
        <f t="shared" si="492"/>
        <v>147.22</v>
      </c>
      <c r="G347" s="21">
        <f t="shared" si="492"/>
        <v>147.22</v>
      </c>
      <c r="H347" s="21">
        <f t="shared" si="492"/>
        <v>147.22</v>
      </c>
      <c r="I347" s="24" t="str">
        <f t="shared" si="493"/>
        <v xml:space="preserve">COM VALOR</v>
      </c>
      <c r="L347" s="36">
        <v>147.22</v>
      </c>
      <c r="M347" s="37">
        <v>147.22</v>
      </c>
      <c r="N347" s="36">
        <v>147.22</v>
      </c>
    </row>
    <row r="348" ht="12.75">
      <c r="A348" s="19" t="s">
        <v>10604</v>
      </c>
      <c r="B348" s="19">
        <v>40817</v>
      </c>
      <c r="C348" s="20" t="s">
        <v>10802</v>
      </c>
      <c r="D348" s="19" t="s">
        <v>7087</v>
      </c>
      <c r="E348" s="19" t="s">
        <v>10459</v>
      </c>
      <c r="F348" s="21">
        <f t="shared" si="492"/>
        <v>25762.07</v>
      </c>
      <c r="G348" s="21">
        <f t="shared" si="492"/>
        <v>25762.07</v>
      </c>
      <c r="H348" s="21">
        <f t="shared" si="492"/>
        <v>25762.07</v>
      </c>
      <c r="I348" s="24" t="str">
        <f t="shared" si="493"/>
        <v xml:space="preserve">COM VALOR</v>
      </c>
      <c r="L348" s="36">
        <v>25762.07</v>
      </c>
      <c r="M348" s="37">
        <v>25762.07</v>
      </c>
      <c r="N348" s="36">
        <v>25762.07</v>
      </c>
    </row>
    <row r="349" ht="25.5">
      <c r="A349" s="19" t="s">
        <v>10460</v>
      </c>
      <c r="B349" s="19">
        <v>13348</v>
      </c>
      <c r="C349" s="20" t="s">
        <v>10803</v>
      </c>
      <c r="D349" s="19" t="s">
        <v>31</v>
      </c>
      <c r="E349" s="19" t="s">
        <v>10459</v>
      </c>
      <c r="F349" s="21" t="str">
        <f t="shared" si="492"/>
        <v>VERIFICAR</v>
      </c>
      <c r="G349" s="21" t="str">
        <f t="shared" si="492"/>
        <v>VERIFICAR</v>
      </c>
      <c r="H349" s="21" t="str">
        <f t="shared" si="492"/>
        <v>VERIFICAR</v>
      </c>
      <c r="I349" s="24" t="str">
        <f t="shared" si="493"/>
        <v xml:space="preserve">SEM VALOR</v>
      </c>
      <c r="L349" s="36"/>
      <c r="M349" s="37"/>
      <c r="N349" s="36"/>
    </row>
    <row r="350" ht="25.5">
      <c r="A350" s="19" t="s">
        <v>10460</v>
      </c>
      <c r="B350" s="19">
        <v>39212</v>
      </c>
      <c r="C350" s="20" t="s">
        <v>10804</v>
      </c>
      <c r="D350" s="19" t="s">
        <v>31</v>
      </c>
      <c r="E350" s="19" t="s">
        <v>10459</v>
      </c>
      <c r="F350" s="21">
        <f t="shared" si="492"/>
        <v>1.97</v>
      </c>
      <c r="G350" s="21">
        <f t="shared" si="492"/>
        <v>1.97</v>
      </c>
      <c r="H350" s="21">
        <f t="shared" si="492"/>
        <v>1.97</v>
      </c>
      <c r="I350" s="24" t="str">
        <f t="shared" si="493"/>
        <v xml:space="preserve">COM VALOR</v>
      </c>
      <c r="L350" s="36">
        <v>1.97</v>
      </c>
      <c r="M350" s="37">
        <v>1.97</v>
      </c>
      <c r="N350" s="36">
        <v>1.97</v>
      </c>
    </row>
    <row r="351" ht="25.5">
      <c r="A351" s="19" t="s">
        <v>10460</v>
      </c>
      <c r="B351" s="19">
        <v>39211</v>
      </c>
      <c r="C351" s="20" t="s">
        <v>10805</v>
      </c>
      <c r="D351" s="19" t="s">
        <v>31</v>
      </c>
      <c r="E351" s="19" t="s">
        <v>10459</v>
      </c>
      <c r="F351" s="21">
        <f t="shared" si="492"/>
        <v>1.76</v>
      </c>
      <c r="G351" s="21">
        <f t="shared" si="492"/>
        <v>1.76</v>
      </c>
      <c r="H351" s="21">
        <f t="shared" si="492"/>
        <v>1.76</v>
      </c>
      <c r="I351" s="24" t="str">
        <f t="shared" si="493"/>
        <v xml:space="preserve">COM VALOR</v>
      </c>
      <c r="L351" s="36">
        <v>1.76</v>
      </c>
      <c r="M351" s="37">
        <v>1.76</v>
      </c>
      <c r="N351" s="36">
        <v>1.76</v>
      </c>
    </row>
    <row r="352" ht="25.5">
      <c r="A352" s="19" t="s">
        <v>10460</v>
      </c>
      <c r="B352" s="19">
        <v>39210</v>
      </c>
      <c r="C352" s="20" t="s">
        <v>10806</v>
      </c>
      <c r="D352" s="19" t="s">
        <v>31</v>
      </c>
      <c r="E352" s="19" t="s">
        <v>10459</v>
      </c>
      <c r="F352" s="21">
        <f t="shared" si="492"/>
        <v>0.98999999999999999</v>
      </c>
      <c r="G352" s="21">
        <f t="shared" si="492"/>
        <v>0.98999999999999999</v>
      </c>
      <c r="H352" s="21">
        <f t="shared" si="492"/>
        <v>0.98999999999999999</v>
      </c>
      <c r="I352" s="24" t="str">
        <f t="shared" si="493"/>
        <v xml:space="preserve">COM VALOR</v>
      </c>
      <c r="L352" s="36">
        <v>0.98999999999999999</v>
      </c>
      <c r="M352" s="37">
        <v>0.98999999999999999</v>
      </c>
      <c r="N352" s="36">
        <v>0.98999999999999999</v>
      </c>
    </row>
    <row r="353" ht="25.5">
      <c r="A353" s="19" t="s">
        <v>10460</v>
      </c>
      <c r="B353" s="19">
        <v>39208</v>
      </c>
      <c r="C353" s="20" t="s">
        <v>10807</v>
      </c>
      <c r="D353" s="19" t="s">
        <v>31</v>
      </c>
      <c r="E353" s="19" t="s">
        <v>10459</v>
      </c>
      <c r="F353" s="21">
        <f t="shared" si="492"/>
        <v>0.54000000000000004</v>
      </c>
      <c r="G353" s="21">
        <f t="shared" si="492"/>
        <v>0.54000000000000004</v>
      </c>
      <c r="H353" s="21">
        <f t="shared" si="492"/>
        <v>0.54000000000000004</v>
      </c>
      <c r="I353" s="24" t="str">
        <f t="shared" si="493"/>
        <v xml:space="preserve">COM VALOR</v>
      </c>
      <c r="L353" s="36">
        <v>0.54000000000000004</v>
      </c>
      <c r="M353" s="37">
        <v>0.54000000000000004</v>
      </c>
      <c r="N353" s="36">
        <v>0.54000000000000004</v>
      </c>
    </row>
    <row r="354" ht="25.5">
      <c r="A354" s="19" t="s">
        <v>10460</v>
      </c>
      <c r="B354" s="19">
        <v>39214</v>
      </c>
      <c r="C354" s="20" t="s">
        <v>10808</v>
      </c>
      <c r="D354" s="19" t="s">
        <v>31</v>
      </c>
      <c r="E354" s="19" t="s">
        <v>10459</v>
      </c>
      <c r="F354" s="21">
        <f t="shared" si="492"/>
        <v>3.6499999999999999</v>
      </c>
      <c r="G354" s="21">
        <f t="shared" si="492"/>
        <v>3.6499999999999999</v>
      </c>
      <c r="H354" s="21">
        <f t="shared" si="492"/>
        <v>3.6499999999999999</v>
      </c>
      <c r="I354" s="24" t="str">
        <f t="shared" si="493"/>
        <v xml:space="preserve">COM VALOR</v>
      </c>
      <c r="L354" s="36">
        <v>3.6499999999999999</v>
      </c>
      <c r="M354" s="37">
        <v>3.6499999999999999</v>
      </c>
      <c r="N354" s="36">
        <v>3.6499999999999999</v>
      </c>
    </row>
    <row r="355" ht="25.5">
      <c r="A355" s="19" t="s">
        <v>10460</v>
      </c>
      <c r="B355" s="19">
        <v>39213</v>
      </c>
      <c r="C355" s="20" t="s">
        <v>10809</v>
      </c>
      <c r="D355" s="19" t="s">
        <v>31</v>
      </c>
      <c r="E355" s="19" t="s">
        <v>10459</v>
      </c>
      <c r="F355" s="21">
        <f t="shared" si="492"/>
        <v>2.5800000000000001</v>
      </c>
      <c r="G355" s="21">
        <f t="shared" si="492"/>
        <v>2.5800000000000001</v>
      </c>
      <c r="H355" s="21">
        <f t="shared" si="492"/>
        <v>2.5800000000000001</v>
      </c>
      <c r="I355" s="24" t="str">
        <f t="shared" si="493"/>
        <v xml:space="preserve">COM VALOR</v>
      </c>
      <c r="L355" s="36">
        <v>2.5800000000000001</v>
      </c>
      <c r="M355" s="37">
        <v>2.5800000000000001</v>
      </c>
      <c r="N355" s="36">
        <v>2.5800000000000001</v>
      </c>
    </row>
    <row r="356" ht="25.5">
      <c r="A356" s="19" t="s">
        <v>10460</v>
      </c>
      <c r="B356" s="19">
        <v>39215</v>
      </c>
      <c r="C356" s="20" t="s">
        <v>10810</v>
      </c>
      <c r="D356" s="19" t="s">
        <v>31</v>
      </c>
      <c r="E356" s="19" t="s">
        <v>10459</v>
      </c>
      <c r="F356" s="21">
        <f t="shared" si="492"/>
        <v>6.6500000000000004</v>
      </c>
      <c r="G356" s="21">
        <f t="shared" si="492"/>
        <v>6.6500000000000004</v>
      </c>
      <c r="H356" s="21">
        <f t="shared" si="492"/>
        <v>6.6500000000000004</v>
      </c>
      <c r="I356" s="24" t="str">
        <f t="shared" si="493"/>
        <v xml:space="preserve">COM VALOR</v>
      </c>
      <c r="L356" s="36">
        <v>6.6500000000000004</v>
      </c>
      <c r="M356" s="37">
        <v>6.6500000000000004</v>
      </c>
      <c r="N356" s="36">
        <v>6.6500000000000004</v>
      </c>
    </row>
    <row r="357" ht="25.5">
      <c r="A357" s="19" t="s">
        <v>10460</v>
      </c>
      <c r="B357" s="19">
        <v>39209</v>
      </c>
      <c r="C357" s="20" t="s">
        <v>10811</v>
      </c>
      <c r="D357" s="19" t="s">
        <v>31</v>
      </c>
      <c r="E357" s="19" t="s">
        <v>10459</v>
      </c>
      <c r="F357" s="21">
        <f t="shared" si="492"/>
        <v>0.64000000000000001</v>
      </c>
      <c r="G357" s="21">
        <f t="shared" si="492"/>
        <v>0.64000000000000001</v>
      </c>
      <c r="H357" s="21">
        <f t="shared" si="492"/>
        <v>0.64000000000000001</v>
      </c>
      <c r="I357" s="24" t="str">
        <f t="shared" si="493"/>
        <v xml:space="preserve">COM VALOR</v>
      </c>
      <c r="L357" s="36">
        <v>0.64000000000000001</v>
      </c>
      <c r="M357" s="37">
        <v>0.64000000000000001</v>
      </c>
      <c r="N357" s="36">
        <v>0.64000000000000001</v>
      </c>
    </row>
    <row r="358" ht="25.5">
      <c r="A358" s="19" t="s">
        <v>10460</v>
      </c>
      <c r="B358" s="19">
        <v>39207</v>
      </c>
      <c r="C358" s="20" t="s">
        <v>10812</v>
      </c>
      <c r="D358" s="19" t="s">
        <v>31</v>
      </c>
      <c r="E358" s="19" t="s">
        <v>10459</v>
      </c>
      <c r="F358" s="21">
        <f t="shared" si="492"/>
        <v>0.98999999999999999</v>
      </c>
      <c r="G358" s="21">
        <f t="shared" si="492"/>
        <v>0.98999999999999999</v>
      </c>
      <c r="H358" s="21">
        <f t="shared" si="492"/>
        <v>0.98999999999999999</v>
      </c>
      <c r="I358" s="24" t="str">
        <f t="shared" si="493"/>
        <v xml:space="preserve">COM VALOR</v>
      </c>
      <c r="L358" s="36">
        <v>0.98999999999999999</v>
      </c>
      <c r="M358" s="37">
        <v>0.98999999999999999</v>
      </c>
      <c r="N358" s="36">
        <v>0.98999999999999999</v>
      </c>
    </row>
    <row r="359" ht="25.5">
      <c r="A359" s="19" t="s">
        <v>10460</v>
      </c>
      <c r="B359" s="19">
        <v>39216</v>
      </c>
      <c r="C359" s="20" t="s">
        <v>10813</v>
      </c>
      <c r="D359" s="19" t="s">
        <v>31</v>
      </c>
      <c r="E359" s="19" t="s">
        <v>10459</v>
      </c>
      <c r="F359" s="21">
        <f t="shared" si="492"/>
        <v>9.2699999999999996</v>
      </c>
      <c r="G359" s="21">
        <f t="shared" si="492"/>
        <v>9.2699999999999996</v>
      </c>
      <c r="H359" s="21">
        <f t="shared" si="492"/>
        <v>9.2699999999999996</v>
      </c>
      <c r="I359" s="24" t="str">
        <f t="shared" si="493"/>
        <v xml:space="preserve">COM VALOR</v>
      </c>
      <c r="L359" s="36">
        <v>9.2699999999999996</v>
      </c>
      <c r="M359" s="37">
        <v>9.2699999999999996</v>
      </c>
      <c r="N359" s="36">
        <v>9.2699999999999996</v>
      </c>
    </row>
    <row r="360" ht="38.25">
      <c r="A360" s="19" t="s">
        <v>10460</v>
      </c>
      <c r="B360" s="19">
        <v>11267</v>
      </c>
      <c r="C360" s="20" t="s">
        <v>10814</v>
      </c>
      <c r="D360" s="19" t="s">
        <v>31</v>
      </c>
      <c r="E360" s="19" t="s">
        <v>10459</v>
      </c>
      <c r="F360" s="21">
        <f t="shared" si="492"/>
        <v>1.29</v>
      </c>
      <c r="G360" s="21">
        <f t="shared" si="492"/>
        <v>1.29</v>
      </c>
      <c r="H360" s="21">
        <f t="shared" si="492"/>
        <v>1.29</v>
      </c>
      <c r="I360" s="24" t="str">
        <f t="shared" si="493"/>
        <v xml:space="preserve">COM VALOR</v>
      </c>
      <c r="J360" s="38" t="s">
        <v>10710</v>
      </c>
      <c r="L360" s="36">
        <v>1.29</v>
      </c>
      <c r="M360" s="37">
        <v>1.29</v>
      </c>
      <c r="N360" s="36">
        <v>1.29</v>
      </c>
    </row>
    <row r="361" ht="25.5">
      <c r="A361" s="19" t="s">
        <v>10460</v>
      </c>
      <c r="B361" s="19">
        <v>379</v>
      </c>
      <c r="C361" s="20" t="s">
        <v>10815</v>
      </c>
      <c r="D361" s="19" t="s">
        <v>31</v>
      </c>
      <c r="E361" s="19" t="s">
        <v>10459</v>
      </c>
      <c r="F361" s="21" t="str">
        <f t="shared" si="492"/>
        <v>VERIFICAR</v>
      </c>
      <c r="G361" s="21" t="str">
        <f t="shared" si="492"/>
        <v>VERIFICAR</v>
      </c>
      <c r="H361" s="21" t="str">
        <f t="shared" si="492"/>
        <v>VERIFICAR</v>
      </c>
      <c r="I361" s="24" t="str">
        <f t="shared" si="493"/>
        <v xml:space="preserve">SEM VALOR</v>
      </c>
      <c r="L361" s="36"/>
      <c r="M361" s="37"/>
      <c r="N361" s="36"/>
    </row>
    <row r="362" ht="38.25">
      <c r="A362" s="19" t="s">
        <v>10460</v>
      </c>
      <c r="B362" s="19">
        <v>510</v>
      </c>
      <c r="C362" s="20" t="s">
        <v>10816</v>
      </c>
      <c r="D362" s="19" t="s">
        <v>302</v>
      </c>
      <c r="E362" s="19" t="s">
        <v>10459</v>
      </c>
      <c r="F362" s="21">
        <f t="shared" si="492"/>
        <v>16.050000000000001</v>
      </c>
      <c r="G362" s="21">
        <f t="shared" si="492"/>
        <v>16.050000000000001</v>
      </c>
      <c r="H362" s="21">
        <f t="shared" si="492"/>
        <v>16.050000000000001</v>
      </c>
      <c r="I362" s="24" t="str">
        <f t="shared" si="493"/>
        <v xml:space="preserve">COM VALOR</v>
      </c>
      <c r="L362" s="36">
        <v>16.050000000000001</v>
      </c>
      <c r="M362" s="37">
        <v>16.050000000000001</v>
      </c>
      <c r="N362" s="36">
        <v>16.050000000000001</v>
      </c>
    </row>
    <row r="363" ht="38.25">
      <c r="A363" s="19" t="s">
        <v>10460</v>
      </c>
      <c r="B363" s="19">
        <v>516</v>
      </c>
      <c r="C363" s="20" t="s">
        <v>10817</v>
      </c>
      <c r="D363" s="19" t="s">
        <v>302</v>
      </c>
      <c r="E363" s="19" t="s">
        <v>10459</v>
      </c>
      <c r="F363" s="21">
        <f t="shared" si="492"/>
        <v>19.02</v>
      </c>
      <c r="G363" s="21">
        <f t="shared" si="492"/>
        <v>19.02</v>
      </c>
      <c r="H363" s="21">
        <f t="shared" si="492"/>
        <v>19.02</v>
      </c>
      <c r="I363" s="24" t="str">
        <f t="shared" si="493"/>
        <v xml:space="preserve">COM VALOR</v>
      </c>
      <c r="L363" s="36">
        <v>19.02</v>
      </c>
      <c r="M363" s="37">
        <v>19.02</v>
      </c>
      <c r="N363" s="36">
        <v>19.02</v>
      </c>
    </row>
    <row r="364" ht="38.25">
      <c r="A364" s="19" t="s">
        <v>10460</v>
      </c>
      <c r="B364" s="19">
        <v>509</v>
      </c>
      <c r="C364" s="20" t="s">
        <v>10818</v>
      </c>
      <c r="D364" s="19" t="s">
        <v>302</v>
      </c>
      <c r="E364" s="19" t="s">
        <v>10459</v>
      </c>
      <c r="F364" s="21">
        <f t="shared" si="492"/>
        <v>21.34</v>
      </c>
      <c r="G364" s="21">
        <f t="shared" si="492"/>
        <v>21.34</v>
      </c>
      <c r="H364" s="21">
        <f t="shared" si="492"/>
        <v>21.34</v>
      </c>
      <c r="I364" s="24" t="str">
        <f t="shared" si="493"/>
        <v xml:space="preserve">COM VALOR</v>
      </c>
      <c r="L364" s="36">
        <v>21.34</v>
      </c>
      <c r="M364" s="37">
        <v>21.34</v>
      </c>
      <c r="N364" s="36">
        <v>21.34</v>
      </c>
    </row>
    <row r="365" ht="12.75">
      <c r="A365" s="19" t="s">
        <v>10604</v>
      </c>
      <c r="B365" s="19">
        <v>40331</v>
      </c>
      <c r="C365" s="20" t="s">
        <v>10819</v>
      </c>
      <c r="D365" s="19" t="s">
        <v>2032</v>
      </c>
      <c r="E365" s="19" t="s">
        <v>10459</v>
      </c>
      <c r="F365" s="21">
        <f t="shared" si="492"/>
        <v>14.279999999999999</v>
      </c>
      <c r="G365" s="21">
        <f t="shared" si="492"/>
        <v>14.279999999999999</v>
      </c>
      <c r="H365" s="21">
        <f t="shared" si="492"/>
        <v>14.279999999999999</v>
      </c>
      <c r="I365" s="24" t="str">
        <f t="shared" si="493"/>
        <v xml:space="preserve">COM VALOR</v>
      </c>
      <c r="L365" s="36">
        <v>14.279999999999999</v>
      </c>
      <c r="M365" s="37">
        <v>14.279999999999999</v>
      </c>
      <c r="N365" s="36">
        <v>14.279999999999999</v>
      </c>
    </row>
    <row r="366" ht="12.75">
      <c r="A366" s="19" t="s">
        <v>10604</v>
      </c>
      <c r="B366" s="19">
        <v>40930</v>
      </c>
      <c r="C366" s="20" t="s">
        <v>10820</v>
      </c>
      <c r="D366" s="19" t="s">
        <v>7087</v>
      </c>
      <c r="E366" s="19" t="s">
        <v>10459</v>
      </c>
      <c r="F366" s="21">
        <f t="shared" si="492"/>
        <v>2499.6500000000001</v>
      </c>
      <c r="G366" s="21">
        <f t="shared" si="492"/>
        <v>2499.6500000000001</v>
      </c>
      <c r="H366" s="21">
        <f t="shared" si="492"/>
        <v>2499.6500000000001</v>
      </c>
      <c r="I366" s="24" t="str">
        <f t="shared" si="493"/>
        <v xml:space="preserve">COM VALOR</v>
      </c>
      <c r="L366" s="36">
        <v>2499.6500000000001</v>
      </c>
      <c r="M366" s="37">
        <v>2499.6500000000001</v>
      </c>
      <c r="N366" s="36">
        <v>2499.6500000000001</v>
      </c>
    </row>
    <row r="367" ht="12.75">
      <c r="A367" s="19" t="s">
        <v>10460</v>
      </c>
      <c r="B367" s="19">
        <v>377</v>
      </c>
      <c r="C367" s="20" t="s">
        <v>10821</v>
      </c>
      <c r="D367" s="19" t="s">
        <v>31</v>
      </c>
      <c r="E367" s="19" t="s">
        <v>10466</v>
      </c>
      <c r="F367" s="21">
        <f t="shared" si="492"/>
        <v>41.789999999999999</v>
      </c>
      <c r="G367" s="21">
        <f t="shared" si="492"/>
        <v>41.789999999999999</v>
      </c>
      <c r="H367" s="21">
        <f t="shared" si="492"/>
        <v>41.789999999999999</v>
      </c>
      <c r="I367" s="24" t="str">
        <f t="shared" si="493"/>
        <v xml:space="preserve">COM VALOR</v>
      </c>
      <c r="L367" s="36">
        <v>41.789999999999999</v>
      </c>
      <c r="M367" s="37">
        <v>41.789999999999999</v>
      </c>
      <c r="N367" s="36">
        <v>41.789999999999999</v>
      </c>
    </row>
    <row r="368" ht="12.75">
      <c r="A368" s="19" t="s">
        <v>10460</v>
      </c>
      <c r="B368" s="19">
        <v>11761</v>
      </c>
      <c r="C368" s="20" t="s">
        <v>10822</v>
      </c>
      <c r="D368" s="19" t="s">
        <v>31</v>
      </c>
      <c r="E368" s="19" t="s">
        <v>10459</v>
      </c>
      <c r="F368" s="21">
        <f t="shared" si="492"/>
        <v>88.930000000000007</v>
      </c>
      <c r="G368" s="21">
        <f t="shared" si="492"/>
        <v>88.930000000000007</v>
      </c>
      <c r="H368" s="21">
        <f t="shared" si="492"/>
        <v>88.930000000000007</v>
      </c>
      <c r="I368" s="24" t="str">
        <f t="shared" si="493"/>
        <v xml:space="preserve">COM VALOR</v>
      </c>
      <c r="L368" s="36">
        <v>88.930000000000007</v>
      </c>
      <c r="M368" s="37">
        <v>88.930000000000007</v>
      </c>
      <c r="N368" s="36">
        <v>88.930000000000007</v>
      </c>
    </row>
    <row r="369" ht="12.75">
      <c r="A369" s="19" t="s">
        <v>10460</v>
      </c>
      <c r="B369" s="19">
        <v>7588</v>
      </c>
      <c r="C369" s="20" t="s">
        <v>10823</v>
      </c>
      <c r="D369" s="19" t="s">
        <v>31</v>
      </c>
      <c r="E369" s="19" t="s">
        <v>10466</v>
      </c>
      <c r="F369" s="21">
        <v>1.4299999999999999</v>
      </c>
      <c r="G369" s="21">
        <v>1.4299999999999999</v>
      </c>
      <c r="H369" s="21">
        <v>1.4299999999999999</v>
      </c>
      <c r="I369" s="24" t="str">
        <f t="shared" si="493"/>
        <v xml:space="preserve">COM VALOR</v>
      </c>
      <c r="J369" s="39"/>
      <c r="L369" s="36">
        <v>61</v>
      </c>
      <c r="M369" s="37">
        <v>61</v>
      </c>
      <c r="N369" s="36">
        <v>61</v>
      </c>
    </row>
    <row r="370" ht="12.75">
      <c r="A370" s="19" t="s">
        <v>10604</v>
      </c>
      <c r="B370" s="19">
        <v>34551</v>
      </c>
      <c r="C370" s="20" t="s">
        <v>10824</v>
      </c>
      <c r="D370" s="19" t="s">
        <v>2032</v>
      </c>
      <c r="E370" s="19" t="s">
        <v>10459</v>
      </c>
      <c r="F370" s="21">
        <f t="shared" si="492"/>
        <v>15.85</v>
      </c>
      <c r="G370" s="21">
        <f t="shared" si="492"/>
        <v>15.85</v>
      </c>
      <c r="H370" s="21">
        <f t="shared" si="492"/>
        <v>15.85</v>
      </c>
      <c r="I370" s="24" t="str">
        <f t="shared" si="493"/>
        <v xml:space="preserve">COM VALOR</v>
      </c>
      <c r="L370" s="36">
        <v>15.85</v>
      </c>
      <c r="M370" s="37">
        <v>15.85</v>
      </c>
      <c r="N370" s="36">
        <v>15.85</v>
      </c>
    </row>
    <row r="371" ht="12.75">
      <c r="A371" s="19" t="s">
        <v>10604</v>
      </c>
      <c r="B371" s="19">
        <v>41078</v>
      </c>
      <c r="C371" s="20" t="s">
        <v>10825</v>
      </c>
      <c r="D371" s="19" t="s">
        <v>7087</v>
      </c>
      <c r="E371" s="19" t="s">
        <v>10459</v>
      </c>
      <c r="F371" s="21">
        <f t="shared" si="492"/>
        <v>2775.48</v>
      </c>
      <c r="G371" s="21">
        <f t="shared" si="492"/>
        <v>2775.48</v>
      </c>
      <c r="H371" s="21">
        <f t="shared" si="492"/>
        <v>2775.48</v>
      </c>
      <c r="I371" s="24" t="str">
        <f t="shared" si="493"/>
        <v xml:space="preserve">COM VALOR</v>
      </c>
      <c r="L371" s="36">
        <v>2775.48</v>
      </c>
      <c r="M371" s="37">
        <v>2775.48</v>
      </c>
      <c r="N371" s="36">
        <v>2775.48</v>
      </c>
    </row>
    <row r="372" ht="25.5">
      <c r="A372" s="19" t="s">
        <v>10604</v>
      </c>
      <c r="B372" s="19">
        <v>246</v>
      </c>
      <c r="C372" s="20" t="s">
        <v>10826</v>
      </c>
      <c r="D372" s="19" t="s">
        <v>2032</v>
      </c>
      <c r="E372" s="19" t="s">
        <v>10459</v>
      </c>
      <c r="F372" s="21">
        <f t="shared" si="492"/>
        <v>16.5</v>
      </c>
      <c r="G372" s="21">
        <f t="shared" si="492"/>
        <v>16.5</v>
      </c>
      <c r="H372" s="21">
        <f t="shared" si="492"/>
        <v>16.5</v>
      </c>
      <c r="I372" s="24" t="str">
        <f t="shared" si="493"/>
        <v xml:space="preserve">COM VALOR</v>
      </c>
      <c r="L372" s="36">
        <v>16.5</v>
      </c>
      <c r="M372" s="37">
        <v>16.5</v>
      </c>
      <c r="N372" s="36">
        <v>16.5</v>
      </c>
    </row>
    <row r="373" ht="25.5">
      <c r="A373" s="19" t="s">
        <v>10604</v>
      </c>
      <c r="B373" s="19">
        <v>40927</v>
      </c>
      <c r="C373" s="20" t="s">
        <v>10827</v>
      </c>
      <c r="D373" s="19" t="s">
        <v>7087</v>
      </c>
      <c r="E373" s="19" t="s">
        <v>10459</v>
      </c>
      <c r="F373" s="21">
        <f t="shared" si="492"/>
        <v>2888.9200000000001</v>
      </c>
      <c r="G373" s="21">
        <f t="shared" si="492"/>
        <v>2888.9200000000001</v>
      </c>
      <c r="H373" s="21">
        <f t="shared" si="492"/>
        <v>2888.9200000000001</v>
      </c>
      <c r="I373" s="24" t="str">
        <f t="shared" si="493"/>
        <v xml:space="preserve">COM VALOR</v>
      </c>
      <c r="L373" s="36">
        <v>2888.9200000000001</v>
      </c>
      <c r="M373" s="37">
        <v>2888.9200000000001</v>
      </c>
      <c r="N373" s="36">
        <v>2888.9200000000001</v>
      </c>
    </row>
    <row r="374" ht="12.75">
      <c r="A374" s="19" t="s">
        <v>10604</v>
      </c>
      <c r="B374" s="19">
        <v>2350</v>
      </c>
      <c r="C374" s="20" t="s">
        <v>10828</v>
      </c>
      <c r="D374" s="19" t="s">
        <v>2032</v>
      </c>
      <c r="E374" s="19" t="s">
        <v>10459</v>
      </c>
      <c r="F374" s="21">
        <f t="shared" si="492"/>
        <v>20.899999999999999</v>
      </c>
      <c r="G374" s="21">
        <f t="shared" si="492"/>
        <v>20.899999999999999</v>
      </c>
      <c r="H374" s="21">
        <f t="shared" si="492"/>
        <v>20.899999999999999</v>
      </c>
      <c r="I374" s="24" t="str">
        <f t="shared" si="493"/>
        <v xml:space="preserve">COM VALOR</v>
      </c>
      <c r="L374" s="36">
        <v>20.899999999999999</v>
      </c>
      <c r="M374" s="37">
        <v>20.899999999999999</v>
      </c>
      <c r="N374" s="36">
        <v>20.899999999999999</v>
      </c>
    </row>
    <row r="375" ht="12.75">
      <c r="A375" s="19" t="s">
        <v>10604</v>
      </c>
      <c r="B375" s="19">
        <v>40812</v>
      </c>
      <c r="C375" s="20" t="s">
        <v>10829</v>
      </c>
      <c r="D375" s="19" t="s">
        <v>7087</v>
      </c>
      <c r="E375" s="19" t="s">
        <v>10459</v>
      </c>
      <c r="F375" s="21">
        <f t="shared" si="492"/>
        <v>3657.9699999999998</v>
      </c>
      <c r="G375" s="21">
        <f t="shared" si="492"/>
        <v>3657.9699999999998</v>
      </c>
      <c r="H375" s="21">
        <f t="shared" si="492"/>
        <v>3657.9699999999998</v>
      </c>
      <c r="I375" s="24" t="str">
        <f t="shared" si="493"/>
        <v xml:space="preserve">COM VALOR</v>
      </c>
      <c r="L375" s="36">
        <v>3657.9699999999998</v>
      </c>
      <c r="M375" s="37">
        <v>3657.9699999999998</v>
      </c>
      <c r="N375" s="36">
        <v>3657.9699999999998</v>
      </c>
    </row>
    <row r="376" ht="25.5">
      <c r="A376" s="19" t="s">
        <v>10604</v>
      </c>
      <c r="B376" s="19">
        <v>245</v>
      </c>
      <c r="C376" s="20" t="s">
        <v>10830</v>
      </c>
      <c r="D376" s="19" t="s">
        <v>2032</v>
      </c>
      <c r="E376" s="19" t="s">
        <v>10459</v>
      </c>
      <c r="F376" s="21">
        <f t="shared" si="492"/>
        <v>30.579999999999998</v>
      </c>
      <c r="G376" s="21">
        <f t="shared" si="492"/>
        <v>30.579999999999998</v>
      </c>
      <c r="H376" s="21">
        <f t="shared" si="492"/>
        <v>30.579999999999998</v>
      </c>
      <c r="I376" s="24" t="str">
        <f t="shared" si="493"/>
        <v xml:space="preserve">COM VALOR</v>
      </c>
      <c r="L376" s="36">
        <v>30.579999999999998</v>
      </c>
      <c r="M376" s="37">
        <v>30.579999999999998</v>
      </c>
      <c r="N376" s="36">
        <v>30.579999999999998</v>
      </c>
    </row>
    <row r="377" ht="25.5">
      <c r="A377" s="19" t="s">
        <v>10604</v>
      </c>
      <c r="B377" s="19">
        <v>41090</v>
      </c>
      <c r="C377" s="20" t="s">
        <v>10831</v>
      </c>
      <c r="D377" s="19" t="s">
        <v>7087</v>
      </c>
      <c r="E377" s="19" t="s">
        <v>10459</v>
      </c>
      <c r="F377" s="21">
        <f t="shared" si="492"/>
        <v>5355.1199999999999</v>
      </c>
      <c r="G377" s="21">
        <f t="shared" si="492"/>
        <v>5355.1199999999999</v>
      </c>
      <c r="H377" s="21">
        <f t="shared" si="492"/>
        <v>5355.1199999999999</v>
      </c>
      <c r="I377" s="24" t="str">
        <f t="shared" si="493"/>
        <v xml:space="preserve">COM VALOR</v>
      </c>
      <c r="L377" s="36">
        <v>5355.1199999999999</v>
      </c>
      <c r="M377" s="37">
        <v>5355.1199999999999</v>
      </c>
      <c r="N377" s="36">
        <v>5355.1199999999999</v>
      </c>
    </row>
    <row r="378" ht="12.75">
      <c r="A378" s="19" t="s">
        <v>10604</v>
      </c>
      <c r="B378" s="19">
        <v>251</v>
      </c>
      <c r="C378" s="20" t="s">
        <v>10832</v>
      </c>
      <c r="D378" s="19" t="s">
        <v>2032</v>
      </c>
      <c r="E378" s="19" t="s">
        <v>10459</v>
      </c>
      <c r="F378" s="21">
        <f t="shared" si="492"/>
        <v>16.5</v>
      </c>
      <c r="G378" s="21">
        <f t="shared" si="492"/>
        <v>16.5</v>
      </c>
      <c r="H378" s="21">
        <f t="shared" si="492"/>
        <v>16.5</v>
      </c>
      <c r="I378" s="24" t="str">
        <f t="shared" si="493"/>
        <v xml:space="preserve">COM VALOR</v>
      </c>
      <c r="L378" s="36">
        <v>16.5</v>
      </c>
      <c r="M378" s="37">
        <v>16.5</v>
      </c>
      <c r="N378" s="36">
        <v>16.5</v>
      </c>
    </row>
    <row r="379" ht="12.75">
      <c r="A379" s="19" t="s">
        <v>10604</v>
      </c>
      <c r="B379" s="19">
        <v>40975</v>
      </c>
      <c r="C379" s="20" t="s">
        <v>10833</v>
      </c>
      <c r="D379" s="19" t="s">
        <v>7087</v>
      </c>
      <c r="E379" s="19" t="s">
        <v>10459</v>
      </c>
      <c r="F379" s="21">
        <f t="shared" si="492"/>
        <v>2888.9200000000001</v>
      </c>
      <c r="G379" s="21">
        <f t="shared" si="492"/>
        <v>2888.9200000000001</v>
      </c>
      <c r="H379" s="21">
        <f t="shared" si="492"/>
        <v>2888.9200000000001</v>
      </c>
      <c r="I379" s="24" t="str">
        <f t="shared" si="493"/>
        <v xml:space="preserve">COM VALOR</v>
      </c>
      <c r="L379" s="36">
        <v>2888.9200000000001</v>
      </c>
      <c r="M379" s="37">
        <v>2888.9200000000001</v>
      </c>
      <c r="N379" s="36">
        <v>2888.9200000000001</v>
      </c>
    </row>
    <row r="380" ht="12.75">
      <c r="A380" s="19" t="s">
        <v>10604</v>
      </c>
      <c r="B380" s="19">
        <v>6127</v>
      </c>
      <c r="C380" s="20" t="s">
        <v>10834</v>
      </c>
      <c r="D380" s="19" t="s">
        <v>2032</v>
      </c>
      <c r="E380" s="19" t="s">
        <v>10459</v>
      </c>
      <c r="F380" s="21">
        <f t="shared" si="492"/>
        <v>16.5</v>
      </c>
      <c r="G380" s="21">
        <f t="shared" si="492"/>
        <v>16.5</v>
      </c>
      <c r="H380" s="21">
        <f t="shared" si="492"/>
        <v>16.5</v>
      </c>
      <c r="I380" s="24" t="str">
        <f t="shared" si="493"/>
        <v xml:space="preserve">COM VALOR</v>
      </c>
      <c r="L380" s="36">
        <v>16.5</v>
      </c>
      <c r="M380" s="37">
        <v>16.5</v>
      </c>
      <c r="N380" s="36">
        <v>16.5</v>
      </c>
    </row>
    <row r="381" ht="12.75">
      <c r="A381" s="19" t="s">
        <v>10604</v>
      </c>
      <c r="B381" s="19">
        <v>41072</v>
      </c>
      <c r="C381" s="20" t="s">
        <v>10835</v>
      </c>
      <c r="D381" s="19" t="s">
        <v>7087</v>
      </c>
      <c r="E381" s="19" t="s">
        <v>10459</v>
      </c>
      <c r="F381" s="21">
        <f t="shared" si="492"/>
        <v>2888.9200000000001</v>
      </c>
      <c r="G381" s="21">
        <f t="shared" si="492"/>
        <v>2888.9200000000001</v>
      </c>
      <c r="H381" s="21">
        <f t="shared" si="492"/>
        <v>2888.9200000000001</v>
      </c>
      <c r="I381" s="24" t="str">
        <f t="shared" si="493"/>
        <v xml:space="preserve">COM VALOR</v>
      </c>
      <c r="L381" s="36">
        <v>2888.9200000000001</v>
      </c>
      <c r="M381" s="37">
        <v>2888.9200000000001</v>
      </c>
      <c r="N381" s="36">
        <v>2888.9200000000001</v>
      </c>
    </row>
    <row r="382" ht="12.75">
      <c r="A382" s="19" t="s">
        <v>10604</v>
      </c>
      <c r="B382" s="19">
        <v>6121</v>
      </c>
      <c r="C382" s="20" t="s">
        <v>10836</v>
      </c>
      <c r="D382" s="19" t="s">
        <v>2032</v>
      </c>
      <c r="E382" s="19" t="s">
        <v>10459</v>
      </c>
      <c r="F382" s="21">
        <f t="shared" si="492"/>
        <v>15.890000000000001</v>
      </c>
      <c r="G382" s="21">
        <f t="shared" si="492"/>
        <v>15.890000000000001</v>
      </c>
      <c r="H382" s="21">
        <f t="shared" si="492"/>
        <v>15.890000000000001</v>
      </c>
      <c r="I382" s="24" t="str">
        <f t="shared" si="493"/>
        <v xml:space="preserve">COM VALOR</v>
      </c>
      <c r="L382" s="36">
        <v>15.890000000000001</v>
      </c>
      <c r="M382" s="37">
        <v>15.890000000000001</v>
      </c>
      <c r="N382" s="36">
        <v>15.890000000000001</v>
      </c>
    </row>
    <row r="383" ht="12.75">
      <c r="A383" s="19" t="s">
        <v>10604</v>
      </c>
      <c r="B383" s="19">
        <v>41071</v>
      </c>
      <c r="C383" s="20" t="s">
        <v>10837</v>
      </c>
      <c r="D383" s="19" t="s">
        <v>7087</v>
      </c>
      <c r="E383" s="19" t="s">
        <v>10459</v>
      </c>
      <c r="F383" s="21">
        <f t="shared" si="492"/>
        <v>2781.8299999999999</v>
      </c>
      <c r="G383" s="21">
        <f t="shared" si="492"/>
        <v>2781.8299999999999</v>
      </c>
      <c r="H383" s="21">
        <f t="shared" si="492"/>
        <v>2781.8299999999999</v>
      </c>
      <c r="I383" s="24" t="str">
        <f t="shared" si="493"/>
        <v xml:space="preserve">COM VALOR</v>
      </c>
      <c r="L383" s="36">
        <v>2781.8299999999999</v>
      </c>
      <c r="M383" s="37">
        <v>2781.8299999999999</v>
      </c>
      <c r="N383" s="36">
        <v>2781.8299999999999</v>
      </c>
    </row>
    <row r="384" ht="12.75">
      <c r="A384" s="19" t="s">
        <v>10604</v>
      </c>
      <c r="B384" s="19">
        <v>244</v>
      </c>
      <c r="C384" s="20" t="s">
        <v>10838</v>
      </c>
      <c r="D384" s="19" t="s">
        <v>2032</v>
      </c>
      <c r="E384" s="19" t="s">
        <v>10459</v>
      </c>
      <c r="F384" s="21">
        <f t="shared" si="492"/>
        <v>14.279999999999999</v>
      </c>
      <c r="G384" s="21">
        <f t="shared" si="492"/>
        <v>14.279999999999999</v>
      </c>
      <c r="H384" s="21">
        <f t="shared" si="492"/>
        <v>14.279999999999999</v>
      </c>
      <c r="I384" s="24" t="str">
        <f t="shared" si="493"/>
        <v xml:space="preserve">COM VALOR</v>
      </c>
      <c r="L384" s="36">
        <v>14.279999999999999</v>
      </c>
      <c r="M384" s="37">
        <v>14.279999999999999</v>
      </c>
      <c r="N384" s="36">
        <v>14.279999999999999</v>
      </c>
    </row>
    <row r="385" ht="12.75">
      <c r="A385" s="19" t="s">
        <v>10604</v>
      </c>
      <c r="B385" s="19">
        <v>41093</v>
      </c>
      <c r="C385" s="20" t="s">
        <v>10839</v>
      </c>
      <c r="D385" s="19" t="s">
        <v>7087</v>
      </c>
      <c r="E385" s="19" t="s">
        <v>10459</v>
      </c>
      <c r="F385" s="21">
        <f t="shared" si="492"/>
        <v>2502.0999999999999</v>
      </c>
      <c r="G385" s="21">
        <f t="shared" si="492"/>
        <v>2502.0999999999999</v>
      </c>
      <c r="H385" s="21">
        <f t="shared" si="492"/>
        <v>2502.0999999999999</v>
      </c>
      <c r="I385" s="24" t="str">
        <f t="shared" si="493"/>
        <v xml:space="preserve">COM VALOR</v>
      </c>
      <c r="L385" s="36">
        <v>2502.0999999999999</v>
      </c>
      <c r="M385" s="37">
        <v>2502.0999999999999</v>
      </c>
      <c r="N385" s="36">
        <v>2502.0999999999999</v>
      </c>
    </row>
    <row r="386" ht="12.75">
      <c r="A386" s="19" t="s">
        <v>10604</v>
      </c>
      <c r="B386" s="19">
        <v>532</v>
      </c>
      <c r="C386" s="20" t="s">
        <v>10840</v>
      </c>
      <c r="D386" s="19" t="s">
        <v>2032</v>
      </c>
      <c r="E386" s="19" t="s">
        <v>10459</v>
      </c>
      <c r="F386" s="21">
        <f t="shared" si="492"/>
        <v>27.579999999999998</v>
      </c>
      <c r="G386" s="21">
        <f t="shared" si="492"/>
        <v>27.579999999999998</v>
      </c>
      <c r="H386" s="21">
        <f t="shared" si="492"/>
        <v>27.579999999999998</v>
      </c>
      <c r="I386" s="24" t="str">
        <f t="shared" si="493"/>
        <v xml:space="preserve">COM VALOR</v>
      </c>
      <c r="L386" s="36">
        <v>27.579999999999998</v>
      </c>
      <c r="M386" s="37">
        <v>27.579999999999998</v>
      </c>
      <c r="N386" s="36">
        <v>27.579999999999998</v>
      </c>
    </row>
    <row r="387" ht="25.5">
      <c r="A387" s="19" t="s">
        <v>10604</v>
      </c>
      <c r="B387" s="19">
        <v>40931</v>
      </c>
      <c r="C387" s="20" t="s">
        <v>10841</v>
      </c>
      <c r="D387" s="19" t="s">
        <v>7087</v>
      </c>
      <c r="E387" s="19" t="s">
        <v>10459</v>
      </c>
      <c r="F387" s="21">
        <f t="shared" si="492"/>
        <v>4828.9399999999996</v>
      </c>
      <c r="G387" s="21">
        <f t="shared" si="492"/>
        <v>4828.9399999999996</v>
      </c>
      <c r="H387" s="21">
        <f t="shared" si="492"/>
        <v>4828.9399999999996</v>
      </c>
      <c r="I387" s="24" t="str">
        <f t="shared" si="493"/>
        <v xml:space="preserve">COM VALOR</v>
      </c>
      <c r="L387" s="36">
        <v>4828.9399999999996</v>
      </c>
      <c r="M387" s="37">
        <v>4828.9399999999996</v>
      </c>
      <c r="N387" s="36">
        <v>4828.9399999999996</v>
      </c>
    </row>
    <row r="388" ht="12.75">
      <c r="A388" s="19" t="s">
        <v>10460</v>
      </c>
      <c r="B388" s="19">
        <v>36150</v>
      </c>
      <c r="C388" s="20" t="s">
        <v>10842</v>
      </c>
      <c r="D388" s="19" t="s">
        <v>31</v>
      </c>
      <c r="E388" s="19" t="s">
        <v>10459</v>
      </c>
      <c r="F388" s="21">
        <f t="shared" si="492"/>
        <v>42.689999999999998</v>
      </c>
      <c r="G388" s="21">
        <f t="shared" si="492"/>
        <v>42.689999999999998</v>
      </c>
      <c r="H388" s="21">
        <f t="shared" si="492"/>
        <v>42.689999999999998</v>
      </c>
      <c r="I388" s="24" t="str">
        <f t="shared" si="493"/>
        <v xml:space="preserve">COM VALOR</v>
      </c>
      <c r="L388" s="36">
        <v>42.689999999999998</v>
      </c>
      <c r="M388" s="37">
        <v>42.689999999999998</v>
      </c>
      <c r="N388" s="36">
        <v>42.689999999999998</v>
      </c>
    </row>
    <row r="389" ht="25.5">
      <c r="A389" s="19" t="s">
        <v>10460</v>
      </c>
      <c r="B389" s="19">
        <v>45262</v>
      </c>
      <c r="C389" s="20" t="s">
        <v>10843</v>
      </c>
      <c r="D389" s="19" t="s">
        <v>31</v>
      </c>
      <c r="E389" s="19" t="s">
        <v>10459</v>
      </c>
      <c r="F389" s="21">
        <f t="shared" si="492"/>
        <v>12.710000000000001</v>
      </c>
      <c r="G389" s="21">
        <f t="shared" si="492"/>
        <v>12.710000000000001</v>
      </c>
      <c r="H389" s="21">
        <f t="shared" si="492"/>
        <v>12.710000000000001</v>
      </c>
      <c r="I389" s="24" t="str">
        <f t="shared" si="493"/>
        <v xml:space="preserve">COM VALOR</v>
      </c>
      <c r="L389" s="36">
        <v>12.710000000000001</v>
      </c>
      <c r="M389" s="37">
        <v>12.710000000000001</v>
      </c>
      <c r="N389" s="36">
        <v>12.710000000000001</v>
      </c>
    </row>
    <row r="390" ht="12.75">
      <c r="A390" s="19" t="s">
        <v>10604</v>
      </c>
      <c r="B390" s="19">
        <v>4760</v>
      </c>
      <c r="C390" s="20" t="s">
        <v>10844</v>
      </c>
      <c r="D390" s="19" t="s">
        <v>2032</v>
      </c>
      <c r="E390" s="19" t="s">
        <v>10459</v>
      </c>
      <c r="F390" s="21">
        <f t="shared" si="492"/>
        <v>21.260000000000002</v>
      </c>
      <c r="G390" s="21">
        <f t="shared" si="492"/>
        <v>21.260000000000002</v>
      </c>
      <c r="H390" s="21">
        <f t="shared" si="492"/>
        <v>21.260000000000002</v>
      </c>
      <c r="I390" s="24" t="str">
        <f t="shared" si="493"/>
        <v xml:space="preserve">COM VALOR</v>
      </c>
      <c r="L390" s="36">
        <v>21.260000000000002</v>
      </c>
      <c r="M390" s="37">
        <v>21.260000000000002</v>
      </c>
      <c r="N390" s="36">
        <v>21.260000000000002</v>
      </c>
    </row>
    <row r="391" ht="12.75">
      <c r="A391" s="19" t="s">
        <v>10604</v>
      </c>
      <c r="B391" s="19">
        <v>41069</v>
      </c>
      <c r="C391" s="20" t="s">
        <v>10845</v>
      </c>
      <c r="D391" s="19" t="s">
        <v>7087</v>
      </c>
      <c r="E391" s="19" t="s">
        <v>10459</v>
      </c>
      <c r="F391" s="21">
        <f t="shared" si="492"/>
        <v>3721.6900000000001</v>
      </c>
      <c r="G391" s="21">
        <f t="shared" si="492"/>
        <v>3721.6900000000001</v>
      </c>
      <c r="H391" s="21">
        <f t="shared" si="492"/>
        <v>3721.6900000000001</v>
      </c>
      <c r="I391" s="24" t="str">
        <f t="shared" si="493"/>
        <v xml:space="preserve">COM VALOR</v>
      </c>
      <c r="L391" s="36">
        <v>3721.6900000000001</v>
      </c>
      <c r="M391" s="37">
        <v>3721.6900000000001</v>
      </c>
      <c r="N391" s="36">
        <v>3721.6900000000001</v>
      </c>
    </row>
    <row r="392" ht="25.5">
      <c r="A392" s="19" t="s">
        <v>10460</v>
      </c>
      <c r="B392" s="19">
        <v>10422</v>
      </c>
      <c r="C392" s="20" t="s">
        <v>10846</v>
      </c>
      <c r="D392" s="19" t="s">
        <v>31</v>
      </c>
      <c r="E392" s="19" t="s">
        <v>10459</v>
      </c>
      <c r="F392" s="21">
        <f t="shared" si="492"/>
        <v>498.88999999999999</v>
      </c>
      <c r="G392" s="21">
        <f t="shared" si="492"/>
        <v>498.88999999999999</v>
      </c>
      <c r="H392" s="21">
        <f t="shared" si="492"/>
        <v>498.88999999999999</v>
      </c>
      <c r="I392" s="24" t="str">
        <f t="shared" si="493"/>
        <v xml:space="preserve">COM VALOR</v>
      </c>
      <c r="L392" s="36">
        <v>498.88999999999999</v>
      </c>
      <c r="M392" s="37">
        <v>498.88999999999999</v>
      </c>
      <c r="N392" s="36">
        <v>498.88999999999999</v>
      </c>
    </row>
    <row r="393" ht="38.25">
      <c r="A393" s="19" t="s">
        <v>10460</v>
      </c>
      <c r="B393" s="19">
        <v>44019</v>
      </c>
      <c r="C393" s="20" t="s">
        <v>10847</v>
      </c>
      <c r="D393" s="19" t="s">
        <v>31</v>
      </c>
      <c r="E393" s="19" t="s">
        <v>10459</v>
      </c>
      <c r="F393" s="21">
        <f t="shared" si="492"/>
        <v>690.58000000000004</v>
      </c>
      <c r="G393" s="21">
        <f t="shared" si="492"/>
        <v>690.58000000000004</v>
      </c>
      <c r="H393" s="21">
        <f t="shared" si="492"/>
        <v>690.58000000000004</v>
      </c>
      <c r="I393" s="24" t="str">
        <f t="shared" si="493"/>
        <v xml:space="preserve">COM VALOR</v>
      </c>
      <c r="L393" s="36">
        <v>690.58000000000004</v>
      </c>
      <c r="M393" s="37">
        <v>690.58000000000004</v>
      </c>
      <c r="N393" s="36">
        <v>690.58000000000004</v>
      </c>
    </row>
    <row r="394" ht="25.5">
      <c r="A394" s="19" t="s">
        <v>10460</v>
      </c>
      <c r="B394" s="19">
        <v>36520</v>
      </c>
      <c r="C394" s="20" t="s">
        <v>10848</v>
      </c>
      <c r="D394" s="19" t="s">
        <v>31</v>
      </c>
      <c r="E394" s="19" t="s">
        <v>10459</v>
      </c>
      <c r="F394" s="21">
        <f t="shared" si="492"/>
        <v>839.66999999999996</v>
      </c>
      <c r="G394" s="21">
        <f t="shared" si="492"/>
        <v>839.66999999999996</v>
      </c>
      <c r="H394" s="21">
        <f t="shared" si="492"/>
        <v>839.66999999999996</v>
      </c>
      <c r="I394" s="24" t="str">
        <f t="shared" si="493"/>
        <v xml:space="preserve">COM VALOR</v>
      </c>
      <c r="L394" s="36">
        <v>839.66999999999996</v>
      </c>
      <c r="M394" s="37">
        <v>839.66999999999996</v>
      </c>
      <c r="N394" s="36">
        <v>839.66999999999996</v>
      </c>
    </row>
    <row r="395" ht="38.25">
      <c r="A395" s="19" t="s">
        <v>10460</v>
      </c>
      <c r="B395" s="19">
        <v>42319</v>
      </c>
      <c r="C395" s="20" t="s">
        <v>10849</v>
      </c>
      <c r="D395" s="19" t="s">
        <v>31</v>
      </c>
      <c r="E395" s="19" t="s">
        <v>10459</v>
      </c>
      <c r="F395" s="21">
        <f t="shared" ref="F395:H458" si="494">IF(L395=0,"VERIFICAR",L395)</f>
        <v>752.38999999999999</v>
      </c>
      <c r="G395" s="21">
        <f t="shared" si="494"/>
        <v>752.38999999999999</v>
      </c>
      <c r="H395" s="21">
        <f t="shared" si="494"/>
        <v>752.38999999999999</v>
      </c>
      <c r="I395" s="24" t="str">
        <f t="shared" ref="I395:I458" si="495">IF(OR(L395=0,M395=0,N395=0),"SEM VALOR","COM VALOR")</f>
        <v xml:space="preserve">COM VALOR</v>
      </c>
      <c r="L395" s="36">
        <v>752.38999999999999</v>
      </c>
      <c r="M395" s="37">
        <v>752.38999999999999</v>
      </c>
      <c r="N395" s="36">
        <v>752.38999999999999</v>
      </c>
    </row>
    <row r="396" ht="25.5">
      <c r="A396" s="19" t="s">
        <v>10460</v>
      </c>
      <c r="B396" s="19">
        <v>10420</v>
      </c>
      <c r="C396" s="20" t="s">
        <v>10850</v>
      </c>
      <c r="D396" s="19" t="s">
        <v>31</v>
      </c>
      <c r="E396" s="19" t="s">
        <v>10466</v>
      </c>
      <c r="F396" s="21">
        <f t="shared" si="494"/>
        <v>266.89999999999998</v>
      </c>
      <c r="G396" s="21">
        <f t="shared" si="494"/>
        <v>266.89999999999998</v>
      </c>
      <c r="H396" s="21">
        <f t="shared" si="494"/>
        <v>266.89999999999998</v>
      </c>
      <c r="I396" s="24" t="str">
        <f t="shared" si="495"/>
        <v xml:space="preserve">COM VALOR</v>
      </c>
      <c r="L396" s="36">
        <v>266.89999999999998</v>
      </c>
      <c r="M396" s="37">
        <v>266.89999999999998</v>
      </c>
      <c r="N396" s="36">
        <v>266.89999999999998</v>
      </c>
    </row>
    <row r="397" ht="38.25">
      <c r="A397" s="19" t="s">
        <v>10460</v>
      </c>
      <c r="B397" s="19">
        <v>10421</v>
      </c>
      <c r="C397" s="20" t="s">
        <v>10851</v>
      </c>
      <c r="D397" s="19" t="s">
        <v>31</v>
      </c>
      <c r="E397" s="19" t="s">
        <v>10459</v>
      </c>
      <c r="F397" s="21">
        <f t="shared" si="494"/>
        <v>293.29000000000002</v>
      </c>
      <c r="G397" s="21">
        <f t="shared" si="494"/>
        <v>293.29000000000002</v>
      </c>
      <c r="H397" s="21">
        <f t="shared" si="494"/>
        <v>293.29000000000002</v>
      </c>
      <c r="I397" s="24" t="str">
        <f t="shared" si="495"/>
        <v xml:space="preserve">COM VALOR</v>
      </c>
      <c r="L397" s="36">
        <v>293.29000000000002</v>
      </c>
      <c r="M397" s="37">
        <v>293.29000000000002</v>
      </c>
      <c r="N397" s="36">
        <v>293.29000000000002</v>
      </c>
    </row>
    <row r="398" ht="25.5">
      <c r="A398" s="19" t="s">
        <v>10460</v>
      </c>
      <c r="B398" s="19">
        <v>11786</v>
      </c>
      <c r="C398" s="20" t="s">
        <v>10852</v>
      </c>
      <c r="D398" s="19" t="s">
        <v>31</v>
      </c>
      <c r="E398" s="19" t="s">
        <v>10459</v>
      </c>
      <c r="F398" s="21">
        <f t="shared" si="494"/>
        <v>591.38</v>
      </c>
      <c r="G398" s="21">
        <f t="shared" si="494"/>
        <v>591.38</v>
      </c>
      <c r="H398" s="21">
        <f t="shared" si="494"/>
        <v>591.38</v>
      </c>
      <c r="I398" s="24" t="str">
        <f t="shared" si="495"/>
        <v xml:space="preserve">COM VALOR</v>
      </c>
      <c r="L398" s="36">
        <v>591.38</v>
      </c>
      <c r="M398" s="37">
        <v>591.38</v>
      </c>
      <c r="N398" s="36">
        <v>591.38</v>
      </c>
    </row>
    <row r="399" ht="25.5">
      <c r="A399" s="19" t="s">
        <v>10460</v>
      </c>
      <c r="B399" s="19">
        <v>45195</v>
      </c>
      <c r="C399" s="20" t="s">
        <v>10853</v>
      </c>
      <c r="D399" s="19" t="s">
        <v>31</v>
      </c>
      <c r="E399" s="19" t="s">
        <v>10459</v>
      </c>
      <c r="F399" s="21">
        <f t="shared" si="494"/>
        <v>4009.0900000000001</v>
      </c>
      <c r="G399" s="21">
        <f t="shared" si="494"/>
        <v>4009.0900000000001</v>
      </c>
      <c r="H399" s="21">
        <f t="shared" si="494"/>
        <v>4009.0900000000001</v>
      </c>
      <c r="I399" s="24" t="str">
        <f t="shared" si="495"/>
        <v xml:space="preserve">COM VALOR</v>
      </c>
      <c r="L399" s="36">
        <v>4009.0900000000001</v>
      </c>
      <c r="M399" s="37">
        <v>4009.0900000000001</v>
      </c>
      <c r="N399" s="36">
        <v>4009.0900000000001</v>
      </c>
    </row>
    <row r="400" ht="12.75">
      <c r="A400" s="19" t="s">
        <v>10460</v>
      </c>
      <c r="B400" s="19">
        <v>45226</v>
      </c>
      <c r="C400" s="20" t="s">
        <v>10854</v>
      </c>
      <c r="D400" s="19" t="s">
        <v>31</v>
      </c>
      <c r="E400" s="19" t="s">
        <v>10459</v>
      </c>
      <c r="F400" s="21" t="str">
        <f t="shared" si="494"/>
        <v>VERIFICAR</v>
      </c>
      <c r="G400" s="21" t="str">
        <f t="shared" si="494"/>
        <v>VERIFICAR</v>
      </c>
      <c r="H400" s="21" t="str">
        <f t="shared" si="494"/>
        <v>VERIFICAR</v>
      </c>
      <c r="I400" s="24" t="str">
        <f t="shared" si="495"/>
        <v xml:space="preserve">SEM VALOR</v>
      </c>
      <c r="L400" s="36"/>
      <c r="M400" s="37"/>
      <c r="N400" s="36"/>
    </row>
    <row r="401" ht="12.75">
      <c r="A401" s="19" t="s">
        <v>10460</v>
      </c>
      <c r="B401" s="19">
        <v>4815</v>
      </c>
      <c r="C401" s="20" t="s">
        <v>10855</v>
      </c>
      <c r="D401" s="19" t="s">
        <v>31</v>
      </c>
      <c r="E401" s="19" t="s">
        <v>10459</v>
      </c>
      <c r="F401" s="21">
        <f t="shared" si="494"/>
        <v>10.460000000000001</v>
      </c>
      <c r="G401" s="21">
        <f t="shared" si="494"/>
        <v>10.460000000000001</v>
      </c>
      <c r="H401" s="21">
        <f t="shared" si="494"/>
        <v>10.460000000000001</v>
      </c>
      <c r="I401" s="24" t="str">
        <f t="shared" si="495"/>
        <v xml:space="preserve">COM VALOR</v>
      </c>
      <c r="L401" s="36">
        <v>10.460000000000001</v>
      </c>
      <c r="M401" s="37">
        <v>10.460000000000001</v>
      </c>
      <c r="N401" s="36">
        <v>10.460000000000001</v>
      </c>
    </row>
    <row r="402" ht="25.5">
      <c r="A402" s="19" t="s">
        <v>10460</v>
      </c>
      <c r="B402" s="19">
        <v>541</v>
      </c>
      <c r="C402" s="20" t="s">
        <v>10856</v>
      </c>
      <c r="D402" s="19" t="s">
        <v>31</v>
      </c>
      <c r="E402" s="19" t="s">
        <v>10466</v>
      </c>
      <c r="F402" s="21">
        <f t="shared" si="494"/>
        <v>375.25</v>
      </c>
      <c r="G402" s="21">
        <f t="shared" si="494"/>
        <v>375.25</v>
      </c>
      <c r="H402" s="21">
        <f t="shared" si="494"/>
        <v>375.25</v>
      </c>
      <c r="I402" s="24" t="str">
        <f t="shared" si="495"/>
        <v xml:space="preserve">COM VALOR</v>
      </c>
      <c r="L402" s="36">
        <v>375.25</v>
      </c>
      <c r="M402" s="37">
        <v>375.25</v>
      </c>
      <c r="N402" s="36">
        <v>375.25</v>
      </c>
    </row>
    <row r="403" ht="25.5">
      <c r="A403" s="19" t="s">
        <v>10460</v>
      </c>
      <c r="B403" s="19">
        <v>542</v>
      </c>
      <c r="C403" s="20" t="s">
        <v>10857</v>
      </c>
      <c r="D403" s="19" t="s">
        <v>31</v>
      </c>
      <c r="E403" s="19" t="s">
        <v>10459</v>
      </c>
      <c r="F403" s="21">
        <f t="shared" si="494"/>
        <v>470.38</v>
      </c>
      <c r="G403" s="21">
        <f t="shared" si="494"/>
        <v>470.38</v>
      </c>
      <c r="H403" s="21">
        <f t="shared" si="494"/>
        <v>470.38</v>
      </c>
      <c r="I403" s="24" t="str">
        <f t="shared" si="495"/>
        <v xml:space="preserve">COM VALOR</v>
      </c>
      <c r="L403" s="36">
        <v>470.38</v>
      </c>
      <c r="M403" s="37">
        <v>470.38</v>
      </c>
      <c r="N403" s="36">
        <v>470.38</v>
      </c>
    </row>
    <row r="404" ht="25.5">
      <c r="A404" s="19" t="s">
        <v>10460</v>
      </c>
      <c r="B404" s="19">
        <v>540</v>
      </c>
      <c r="C404" s="20" t="s">
        <v>10858</v>
      </c>
      <c r="D404" s="19" t="s">
        <v>31</v>
      </c>
      <c r="E404" s="19" t="s">
        <v>10459</v>
      </c>
      <c r="F404" s="21">
        <f t="shared" si="494"/>
        <v>1060</v>
      </c>
      <c r="G404" s="21">
        <f t="shared" si="494"/>
        <v>1060</v>
      </c>
      <c r="H404" s="21">
        <f t="shared" si="494"/>
        <v>1060</v>
      </c>
      <c r="I404" s="24" t="str">
        <f t="shared" si="495"/>
        <v xml:space="preserve">COM VALOR</v>
      </c>
      <c r="L404" s="36">
        <v>1060</v>
      </c>
      <c r="M404" s="37">
        <v>1060</v>
      </c>
      <c r="N404" s="36">
        <v>1060</v>
      </c>
    </row>
    <row r="405" ht="38.25">
      <c r="A405" s="19" t="s">
        <v>10460</v>
      </c>
      <c r="B405" s="19">
        <v>38364</v>
      </c>
      <c r="C405" s="20" t="s">
        <v>10859</v>
      </c>
      <c r="D405" s="19" t="s">
        <v>31</v>
      </c>
      <c r="E405" s="19" t="s">
        <v>10459</v>
      </c>
      <c r="F405" s="21">
        <f t="shared" si="494"/>
        <v>943.38999999999999</v>
      </c>
      <c r="G405" s="21">
        <f t="shared" si="494"/>
        <v>943.38999999999999</v>
      </c>
      <c r="H405" s="21">
        <f t="shared" si="494"/>
        <v>943.38999999999999</v>
      </c>
      <c r="I405" s="24" t="str">
        <f t="shared" si="495"/>
        <v xml:space="preserve">COM VALOR</v>
      </c>
      <c r="L405" s="36">
        <v>943.38999999999999</v>
      </c>
      <c r="M405" s="37">
        <v>943.38999999999999</v>
      </c>
      <c r="N405" s="36">
        <v>943.38999999999999</v>
      </c>
    </row>
    <row r="406" ht="38.25">
      <c r="A406" s="19" t="s">
        <v>10460</v>
      </c>
      <c r="B406" s="19">
        <v>11692</v>
      </c>
      <c r="C406" s="20" t="s">
        <v>10860</v>
      </c>
      <c r="D406" s="19" t="s">
        <v>29</v>
      </c>
      <c r="E406" s="19" t="s">
        <v>10459</v>
      </c>
      <c r="F406" s="21">
        <f t="shared" si="494"/>
        <v>643.51999999999998</v>
      </c>
      <c r="G406" s="21">
        <f t="shared" si="494"/>
        <v>643.51999999999998</v>
      </c>
      <c r="H406" s="21">
        <f t="shared" si="494"/>
        <v>643.51999999999998</v>
      </c>
      <c r="I406" s="24" t="str">
        <f t="shared" si="495"/>
        <v xml:space="preserve">COM VALOR</v>
      </c>
      <c r="L406" s="36">
        <v>643.51999999999998</v>
      </c>
      <c r="M406" s="37">
        <v>643.51999999999998</v>
      </c>
      <c r="N406" s="36">
        <v>643.51999999999998</v>
      </c>
    </row>
    <row r="407" ht="38.25">
      <c r="A407" s="19" t="s">
        <v>10460</v>
      </c>
      <c r="B407" s="19">
        <v>1746</v>
      </c>
      <c r="C407" s="20" t="s">
        <v>10861</v>
      </c>
      <c r="D407" s="19" t="s">
        <v>31</v>
      </c>
      <c r="E407" s="19" t="s">
        <v>10466</v>
      </c>
      <c r="F407" s="21">
        <f t="shared" si="494"/>
        <v>264.44999999999999</v>
      </c>
      <c r="G407" s="21">
        <f t="shared" si="494"/>
        <v>264.44999999999999</v>
      </c>
      <c r="H407" s="21">
        <f t="shared" si="494"/>
        <v>264.44999999999999</v>
      </c>
      <c r="I407" s="24" t="str">
        <f t="shared" si="495"/>
        <v xml:space="preserve">COM VALOR</v>
      </c>
      <c r="L407" s="36">
        <v>264.44999999999999</v>
      </c>
      <c r="M407" s="37">
        <v>264.44999999999999</v>
      </c>
      <c r="N407" s="36">
        <v>264.44999999999999</v>
      </c>
    </row>
    <row r="408" ht="38.25">
      <c r="A408" s="19" t="s">
        <v>10460</v>
      </c>
      <c r="B408" s="19">
        <v>1748</v>
      </c>
      <c r="C408" s="20" t="s">
        <v>10862</v>
      </c>
      <c r="D408" s="19" t="s">
        <v>31</v>
      </c>
      <c r="E408" s="19" t="s">
        <v>10459</v>
      </c>
      <c r="F408" s="21">
        <f t="shared" si="494"/>
        <v>351.64999999999998</v>
      </c>
      <c r="G408" s="21">
        <f t="shared" si="494"/>
        <v>351.64999999999998</v>
      </c>
      <c r="H408" s="21">
        <f t="shared" si="494"/>
        <v>351.64999999999998</v>
      </c>
      <c r="I408" s="24" t="str">
        <f t="shared" si="495"/>
        <v xml:space="preserve">COM VALOR</v>
      </c>
      <c r="L408" s="36">
        <v>351.64999999999998</v>
      </c>
      <c r="M408" s="37">
        <v>351.64999999999998</v>
      </c>
      <c r="N408" s="36">
        <v>351.64999999999998</v>
      </c>
    </row>
    <row r="409" ht="38.25">
      <c r="A409" s="19" t="s">
        <v>10460</v>
      </c>
      <c r="B409" s="19">
        <v>1749</v>
      </c>
      <c r="C409" s="20" t="s">
        <v>10863</v>
      </c>
      <c r="D409" s="19" t="s">
        <v>31</v>
      </c>
      <c r="E409" s="19" t="s">
        <v>10459</v>
      </c>
      <c r="F409" s="21">
        <f t="shared" si="494"/>
        <v>509.48000000000002</v>
      </c>
      <c r="G409" s="21">
        <f t="shared" si="494"/>
        <v>509.48000000000002</v>
      </c>
      <c r="H409" s="21">
        <f t="shared" si="494"/>
        <v>509.48000000000002</v>
      </c>
      <c r="I409" s="24" t="str">
        <f t="shared" si="495"/>
        <v xml:space="preserve">COM VALOR</v>
      </c>
      <c r="L409" s="36">
        <v>509.48000000000002</v>
      </c>
      <c r="M409" s="37">
        <v>509.48000000000002</v>
      </c>
      <c r="N409" s="36">
        <v>509.48000000000002</v>
      </c>
    </row>
    <row r="410" ht="38.25">
      <c r="A410" s="19" t="s">
        <v>10460</v>
      </c>
      <c r="B410" s="19">
        <v>37412</v>
      </c>
      <c r="C410" s="20" t="s">
        <v>10864</v>
      </c>
      <c r="D410" s="19" t="s">
        <v>31</v>
      </c>
      <c r="E410" s="19" t="s">
        <v>10459</v>
      </c>
      <c r="F410" s="21">
        <f t="shared" si="494"/>
        <v>258.5</v>
      </c>
      <c r="G410" s="21">
        <f t="shared" si="494"/>
        <v>258.5</v>
      </c>
      <c r="H410" s="21">
        <f t="shared" si="494"/>
        <v>258.5</v>
      </c>
      <c r="I410" s="24" t="str">
        <f t="shared" si="495"/>
        <v xml:space="preserve">COM VALOR</v>
      </c>
      <c r="L410" s="36">
        <v>258.5</v>
      </c>
      <c r="M410" s="37">
        <v>258.5</v>
      </c>
      <c r="N410" s="36">
        <v>258.5</v>
      </c>
    </row>
    <row r="411" ht="38.25">
      <c r="A411" s="19" t="s">
        <v>10460</v>
      </c>
      <c r="B411" s="19">
        <v>1745</v>
      </c>
      <c r="C411" s="20" t="s">
        <v>10865</v>
      </c>
      <c r="D411" s="19" t="s">
        <v>31</v>
      </c>
      <c r="E411" s="19" t="s">
        <v>10459</v>
      </c>
      <c r="F411" s="21">
        <f t="shared" si="494"/>
        <v>307.38999999999999</v>
      </c>
      <c r="G411" s="21">
        <f t="shared" si="494"/>
        <v>307.38999999999999</v>
      </c>
      <c r="H411" s="21">
        <f t="shared" si="494"/>
        <v>307.38999999999999</v>
      </c>
      <c r="I411" s="24" t="str">
        <f t="shared" si="495"/>
        <v xml:space="preserve">COM VALOR</v>
      </c>
      <c r="L411" s="36">
        <v>307.38999999999999</v>
      </c>
      <c r="M411" s="37">
        <v>307.38999999999999</v>
      </c>
      <c r="N411" s="36">
        <v>307.38999999999999</v>
      </c>
    </row>
    <row r="412" ht="38.25">
      <c r="A412" s="19" t="s">
        <v>10460</v>
      </c>
      <c r="B412" s="19">
        <v>1750</v>
      </c>
      <c r="C412" s="20" t="s">
        <v>10866</v>
      </c>
      <c r="D412" s="19" t="s">
        <v>31</v>
      </c>
      <c r="E412" s="19" t="s">
        <v>10459</v>
      </c>
      <c r="F412" s="21">
        <f t="shared" si="494"/>
        <v>718.32000000000005</v>
      </c>
      <c r="G412" s="21">
        <f t="shared" si="494"/>
        <v>718.32000000000005</v>
      </c>
      <c r="H412" s="21">
        <f t="shared" si="494"/>
        <v>718.32000000000005</v>
      </c>
      <c r="I412" s="24" t="str">
        <f t="shared" si="495"/>
        <v xml:space="preserve">COM VALOR</v>
      </c>
      <c r="L412" s="36">
        <v>718.32000000000005</v>
      </c>
      <c r="M412" s="37">
        <v>718.32000000000005</v>
      </c>
      <c r="N412" s="36">
        <v>718.32000000000005</v>
      </c>
    </row>
    <row r="413" ht="25.5">
      <c r="A413" s="19" t="s">
        <v>10460</v>
      </c>
      <c r="B413" s="19">
        <v>11687</v>
      </c>
      <c r="C413" s="20" t="s">
        <v>10867</v>
      </c>
      <c r="D413" s="19" t="s">
        <v>38</v>
      </c>
      <c r="E413" s="19" t="s">
        <v>10459</v>
      </c>
      <c r="F413" s="21">
        <f t="shared" si="494"/>
        <v>1144.51</v>
      </c>
      <c r="G413" s="21">
        <f t="shared" si="494"/>
        <v>1144.51</v>
      </c>
      <c r="H413" s="21">
        <f t="shared" si="494"/>
        <v>1144.51</v>
      </c>
      <c r="I413" s="24" t="str">
        <f t="shared" si="495"/>
        <v xml:space="preserve">COM VALOR</v>
      </c>
      <c r="L413" s="36">
        <v>1144.51</v>
      </c>
      <c r="M413" s="37">
        <v>1144.51</v>
      </c>
      <c r="N413" s="36">
        <v>1144.51</v>
      </c>
    </row>
    <row r="414" ht="25.5">
      <c r="A414" s="19" t="s">
        <v>10460</v>
      </c>
      <c r="B414" s="19">
        <v>11689</v>
      </c>
      <c r="C414" s="20" t="s">
        <v>10868</v>
      </c>
      <c r="D414" s="19" t="s">
        <v>38</v>
      </c>
      <c r="E414" s="19" t="s">
        <v>10459</v>
      </c>
      <c r="F414" s="21">
        <f t="shared" si="494"/>
        <v>1434</v>
      </c>
      <c r="G414" s="21">
        <f t="shared" si="494"/>
        <v>1434</v>
      </c>
      <c r="H414" s="21">
        <f t="shared" si="494"/>
        <v>1434</v>
      </c>
      <c r="I414" s="24" t="str">
        <f t="shared" si="495"/>
        <v xml:space="preserve">COM VALOR</v>
      </c>
      <c r="L414" s="36">
        <v>1434</v>
      </c>
      <c r="M414" s="37">
        <v>1434</v>
      </c>
      <c r="N414" s="36">
        <v>1434</v>
      </c>
    </row>
    <row r="415" ht="12.75">
      <c r="A415" s="19" t="s">
        <v>10460</v>
      </c>
      <c r="B415" s="19">
        <v>11693</v>
      </c>
      <c r="C415" s="20" t="s">
        <v>10869</v>
      </c>
      <c r="D415" s="19" t="s">
        <v>29</v>
      </c>
      <c r="E415" s="19" t="s">
        <v>10459</v>
      </c>
      <c r="F415" s="21">
        <f t="shared" si="494"/>
        <v>416.06999999999999</v>
      </c>
      <c r="G415" s="21">
        <f t="shared" si="494"/>
        <v>416.06999999999999</v>
      </c>
      <c r="H415" s="21">
        <f t="shared" si="494"/>
        <v>416.06999999999999</v>
      </c>
      <c r="I415" s="24" t="str">
        <f t="shared" si="495"/>
        <v xml:space="preserve">COM VALOR</v>
      </c>
      <c r="L415" s="36">
        <v>416.06999999999999</v>
      </c>
      <c r="M415" s="37">
        <v>416.06999999999999</v>
      </c>
      <c r="N415" s="36">
        <v>416.06999999999999</v>
      </c>
    </row>
    <row r="416" ht="25.5">
      <c r="A416" s="19" t="s">
        <v>10460</v>
      </c>
      <c r="B416" s="19">
        <v>36215</v>
      </c>
      <c r="C416" s="20" t="s">
        <v>10870</v>
      </c>
      <c r="D416" s="19" t="s">
        <v>31</v>
      </c>
      <c r="E416" s="19" t="s">
        <v>10459</v>
      </c>
      <c r="F416" s="21" t="str">
        <f t="shared" si="494"/>
        <v>VERIFICAR</v>
      </c>
      <c r="G416" s="21" t="str">
        <f t="shared" si="494"/>
        <v>VERIFICAR</v>
      </c>
      <c r="H416" s="21" t="str">
        <f t="shared" si="494"/>
        <v>VERIFICAR</v>
      </c>
      <c r="I416" s="24" t="str">
        <f t="shared" si="495"/>
        <v xml:space="preserve">SEM VALOR</v>
      </c>
      <c r="L416" s="36"/>
      <c r="M416" s="37"/>
      <c r="N416" s="36"/>
    </row>
    <row r="417" ht="51">
      <c r="A417" s="19" t="s">
        <v>10460</v>
      </c>
      <c r="B417" s="19">
        <v>42439</v>
      </c>
      <c r="C417" s="20" t="s">
        <v>10871</v>
      </c>
      <c r="D417" s="19" t="s">
        <v>31</v>
      </c>
      <c r="E417" s="19" t="s">
        <v>10459</v>
      </c>
      <c r="F417" s="21" t="str">
        <f t="shared" si="494"/>
        <v>VERIFICAR</v>
      </c>
      <c r="G417" s="21" t="str">
        <f t="shared" si="494"/>
        <v>VERIFICAR</v>
      </c>
      <c r="H417" s="21" t="str">
        <f t="shared" si="494"/>
        <v>VERIFICAR</v>
      </c>
      <c r="I417" s="24" t="str">
        <f t="shared" si="495"/>
        <v xml:space="preserve">SEM VALOR</v>
      </c>
      <c r="L417" s="36"/>
      <c r="M417" s="37"/>
      <c r="N417" s="36"/>
    </row>
    <row r="418" ht="12.75">
      <c r="A418" s="19" t="s">
        <v>10460</v>
      </c>
      <c r="B418" s="19">
        <v>38381</v>
      </c>
      <c r="C418" s="20" t="s">
        <v>10872</v>
      </c>
      <c r="D418" s="19" t="s">
        <v>31</v>
      </c>
      <c r="E418" s="19" t="s">
        <v>10459</v>
      </c>
      <c r="F418" s="21" t="str">
        <f t="shared" si="494"/>
        <v>VERIFICAR</v>
      </c>
      <c r="G418" s="21" t="str">
        <f t="shared" si="494"/>
        <v>VERIFICAR</v>
      </c>
      <c r="H418" s="21" t="str">
        <f t="shared" si="494"/>
        <v>VERIFICAR</v>
      </c>
      <c r="I418" s="24" t="str">
        <f t="shared" si="495"/>
        <v xml:space="preserve">SEM VALOR</v>
      </c>
      <c r="L418" s="36"/>
      <c r="M418" s="37"/>
      <c r="N418" s="36"/>
    </row>
    <row r="419" ht="25.5">
      <c r="A419" s="19" t="s">
        <v>10460</v>
      </c>
      <c r="B419" s="19">
        <v>39621</v>
      </c>
      <c r="C419" s="20" t="s">
        <v>10873</v>
      </c>
      <c r="D419" s="19" t="s">
        <v>10874</v>
      </c>
      <c r="E419" s="19" t="s">
        <v>10459</v>
      </c>
      <c r="F419" s="21">
        <f t="shared" si="494"/>
        <v>1275.9400000000001</v>
      </c>
      <c r="G419" s="21">
        <f t="shared" si="494"/>
        <v>1275.9400000000001</v>
      </c>
      <c r="H419" s="21">
        <f t="shared" si="494"/>
        <v>1275.9400000000001</v>
      </c>
      <c r="I419" s="24" t="str">
        <f t="shared" si="495"/>
        <v xml:space="preserve">COM VALOR</v>
      </c>
      <c r="L419" s="36">
        <v>1275.9400000000001</v>
      </c>
      <c r="M419" s="37">
        <v>1275.9400000000001</v>
      </c>
      <c r="N419" s="36">
        <v>1275.9400000000001</v>
      </c>
    </row>
    <row r="420" ht="25.5">
      <c r="A420" s="19" t="s">
        <v>10460</v>
      </c>
      <c r="B420" s="19">
        <v>39624</v>
      </c>
      <c r="C420" s="20" t="s">
        <v>10875</v>
      </c>
      <c r="D420" s="19" t="s">
        <v>10874</v>
      </c>
      <c r="E420" s="19" t="s">
        <v>10459</v>
      </c>
      <c r="F420" s="21">
        <f t="shared" si="494"/>
        <v>1407.5</v>
      </c>
      <c r="G420" s="21">
        <f t="shared" si="494"/>
        <v>1407.5</v>
      </c>
      <c r="H420" s="21">
        <f t="shared" si="494"/>
        <v>1407.5</v>
      </c>
      <c r="I420" s="24" t="str">
        <f t="shared" si="495"/>
        <v xml:space="preserve">COM VALOR</v>
      </c>
      <c r="L420" s="36">
        <v>1407.5</v>
      </c>
      <c r="M420" s="37">
        <v>1407.5</v>
      </c>
      <c r="N420" s="36">
        <v>1407.5</v>
      </c>
    </row>
    <row r="421" ht="25.5">
      <c r="A421" s="19" t="s">
        <v>10460</v>
      </c>
      <c r="B421" s="19">
        <v>39615</v>
      </c>
      <c r="C421" s="20" t="s">
        <v>10876</v>
      </c>
      <c r="D421" s="19" t="s">
        <v>31</v>
      </c>
      <c r="E421" s="19" t="s">
        <v>10459</v>
      </c>
      <c r="F421" s="21">
        <f t="shared" si="494"/>
        <v>568.75999999999999</v>
      </c>
      <c r="G421" s="21">
        <f t="shared" si="494"/>
        <v>568.75999999999999</v>
      </c>
      <c r="H421" s="21">
        <f t="shared" si="494"/>
        <v>568.75999999999999</v>
      </c>
      <c r="I421" s="24" t="str">
        <f t="shared" si="495"/>
        <v xml:space="preserve">COM VALOR</v>
      </c>
      <c r="L421" s="36">
        <v>568.75999999999999</v>
      </c>
      <c r="M421" s="37">
        <v>568.75999999999999</v>
      </c>
      <c r="N421" s="36">
        <v>568.75999999999999</v>
      </c>
    </row>
    <row r="422" ht="25.5">
      <c r="A422" s="19" t="s">
        <v>10460</v>
      </c>
      <c r="B422" s="19">
        <v>39620</v>
      </c>
      <c r="C422" s="20" t="s">
        <v>10877</v>
      </c>
      <c r="D422" s="19" t="s">
        <v>31</v>
      </c>
      <c r="E422" s="19" t="s">
        <v>10459</v>
      </c>
      <c r="F422" s="21">
        <f t="shared" si="494"/>
        <v>868.64999999999998</v>
      </c>
      <c r="G422" s="21">
        <f t="shared" si="494"/>
        <v>868.64999999999998</v>
      </c>
      <c r="H422" s="21">
        <f t="shared" si="494"/>
        <v>868.64999999999998</v>
      </c>
      <c r="I422" s="24" t="str">
        <f t="shared" si="495"/>
        <v xml:space="preserve">COM VALOR</v>
      </c>
      <c r="L422" s="36">
        <v>868.64999999999998</v>
      </c>
      <c r="M422" s="37">
        <v>868.64999999999998</v>
      </c>
      <c r="N422" s="36">
        <v>868.64999999999998</v>
      </c>
    </row>
    <row r="423" ht="25.5">
      <c r="A423" s="19" t="s">
        <v>10460</v>
      </c>
      <c r="B423" s="19">
        <v>39623</v>
      </c>
      <c r="C423" s="20" t="s">
        <v>10878</v>
      </c>
      <c r="D423" s="19" t="s">
        <v>31</v>
      </c>
      <c r="E423" s="19" t="s">
        <v>10459</v>
      </c>
      <c r="F423" s="21">
        <f t="shared" si="494"/>
        <v>930.39999999999998</v>
      </c>
      <c r="G423" s="21">
        <f t="shared" si="494"/>
        <v>930.39999999999998</v>
      </c>
      <c r="H423" s="21">
        <f t="shared" si="494"/>
        <v>930.39999999999998</v>
      </c>
      <c r="I423" s="24" t="str">
        <f t="shared" si="495"/>
        <v xml:space="preserve">COM VALOR</v>
      </c>
      <c r="L423" s="36">
        <v>930.39999999999998</v>
      </c>
      <c r="M423" s="37">
        <v>930.39999999999998</v>
      </c>
      <c r="N423" s="36">
        <v>930.39999999999998</v>
      </c>
    </row>
    <row r="424" ht="12.75">
      <c r="A424" s="19" t="s">
        <v>10460</v>
      </c>
      <c r="B424" s="19">
        <v>546</v>
      </c>
      <c r="C424" s="20" t="s">
        <v>10879</v>
      </c>
      <c r="D424" s="19" t="s">
        <v>302</v>
      </c>
      <c r="E424" s="19" t="s">
        <v>10466</v>
      </c>
      <c r="F424" s="21">
        <f t="shared" si="494"/>
        <v>9.5899999999999999</v>
      </c>
      <c r="G424" s="21">
        <f t="shared" si="494"/>
        <v>9.5899999999999999</v>
      </c>
      <c r="H424" s="21">
        <f t="shared" si="494"/>
        <v>9.5899999999999999</v>
      </c>
      <c r="I424" s="24" t="str">
        <f t="shared" si="495"/>
        <v xml:space="preserve">COM VALOR</v>
      </c>
      <c r="L424" s="36">
        <v>9.5899999999999999</v>
      </c>
      <c r="M424" s="37">
        <v>9.5899999999999999</v>
      </c>
      <c r="N424" s="36">
        <v>9.5899999999999999</v>
      </c>
    </row>
    <row r="425" ht="25.5">
      <c r="A425" s="19" t="s">
        <v>10460</v>
      </c>
      <c r="B425" s="19">
        <v>566</v>
      </c>
      <c r="C425" s="20" t="s">
        <v>10880</v>
      </c>
      <c r="D425" s="19" t="s">
        <v>38</v>
      </c>
      <c r="E425" s="19" t="s">
        <v>10459</v>
      </c>
      <c r="F425" s="21">
        <f t="shared" si="494"/>
        <v>4.5499999999999998</v>
      </c>
      <c r="G425" s="21">
        <f t="shared" si="494"/>
        <v>4.5499999999999998</v>
      </c>
      <c r="H425" s="21">
        <f t="shared" si="494"/>
        <v>4.5499999999999998</v>
      </c>
      <c r="I425" s="24" t="str">
        <f t="shared" si="495"/>
        <v xml:space="preserve">COM VALOR</v>
      </c>
      <c r="L425" s="36">
        <v>4.5499999999999998</v>
      </c>
      <c r="M425" s="37">
        <v>4.5499999999999998</v>
      </c>
      <c r="N425" s="36">
        <v>4.5499999999999998</v>
      </c>
    </row>
    <row r="426" ht="25.5">
      <c r="A426" s="19" t="s">
        <v>10460</v>
      </c>
      <c r="B426" s="19">
        <v>565</v>
      </c>
      <c r="C426" s="20" t="s">
        <v>10881</v>
      </c>
      <c r="D426" s="19" t="s">
        <v>38</v>
      </c>
      <c r="E426" s="19" t="s">
        <v>10459</v>
      </c>
      <c r="F426" s="21">
        <f t="shared" si="494"/>
        <v>9.0199999999999996</v>
      </c>
      <c r="G426" s="21">
        <f t="shared" si="494"/>
        <v>9.0199999999999996</v>
      </c>
      <c r="H426" s="21">
        <f t="shared" si="494"/>
        <v>9.0199999999999996</v>
      </c>
      <c r="I426" s="24" t="str">
        <f t="shared" si="495"/>
        <v xml:space="preserve">COM VALOR</v>
      </c>
      <c r="L426" s="36">
        <v>9.0199999999999996</v>
      </c>
      <c r="M426" s="37">
        <v>9.0199999999999996</v>
      </c>
      <c r="N426" s="36">
        <v>9.0199999999999996</v>
      </c>
    </row>
    <row r="427" ht="25.5">
      <c r="A427" s="19" t="s">
        <v>10460</v>
      </c>
      <c r="B427" s="19">
        <v>555</v>
      </c>
      <c r="C427" s="20" t="s">
        <v>10882</v>
      </c>
      <c r="D427" s="19" t="s">
        <v>38</v>
      </c>
      <c r="E427" s="19" t="s">
        <v>10459</v>
      </c>
      <c r="F427" s="21">
        <f t="shared" si="494"/>
        <v>11.76</v>
      </c>
      <c r="G427" s="21">
        <f t="shared" si="494"/>
        <v>11.76</v>
      </c>
      <c r="H427" s="21">
        <f t="shared" si="494"/>
        <v>11.76</v>
      </c>
      <c r="I427" s="24" t="str">
        <f t="shared" si="495"/>
        <v xml:space="preserve">COM VALOR</v>
      </c>
      <c r="L427" s="36">
        <v>11.76</v>
      </c>
      <c r="M427" s="37">
        <v>11.76</v>
      </c>
      <c r="N427" s="36">
        <v>11.76</v>
      </c>
    </row>
    <row r="428" ht="25.5">
      <c r="A428" s="19" t="s">
        <v>10460</v>
      </c>
      <c r="B428" s="19">
        <v>557</v>
      </c>
      <c r="C428" s="20" t="s">
        <v>10883</v>
      </c>
      <c r="D428" s="19" t="s">
        <v>38</v>
      </c>
      <c r="E428" s="19" t="s">
        <v>10459</v>
      </c>
      <c r="F428" s="21">
        <f t="shared" si="494"/>
        <v>36.899999999999999</v>
      </c>
      <c r="G428" s="21">
        <f t="shared" si="494"/>
        <v>36.899999999999999</v>
      </c>
      <c r="H428" s="21">
        <f t="shared" si="494"/>
        <v>36.899999999999999</v>
      </c>
      <c r="I428" s="24" t="str">
        <f t="shared" si="495"/>
        <v xml:space="preserve">COM VALOR</v>
      </c>
      <c r="L428" s="36">
        <v>36.899999999999999</v>
      </c>
      <c r="M428" s="37">
        <v>36.899999999999999</v>
      </c>
      <c r="N428" s="36">
        <v>36.899999999999999</v>
      </c>
    </row>
    <row r="429" ht="25.5">
      <c r="A429" s="19" t="s">
        <v>10460</v>
      </c>
      <c r="B429" s="19">
        <v>552</v>
      </c>
      <c r="C429" s="20" t="s">
        <v>10884</v>
      </c>
      <c r="D429" s="19" t="s">
        <v>38</v>
      </c>
      <c r="E429" s="19" t="s">
        <v>10459</v>
      </c>
      <c r="F429" s="21">
        <f t="shared" si="494"/>
        <v>18.309999999999999</v>
      </c>
      <c r="G429" s="21">
        <f t="shared" si="494"/>
        <v>18.309999999999999</v>
      </c>
      <c r="H429" s="21">
        <f t="shared" si="494"/>
        <v>18.309999999999999</v>
      </c>
      <c r="I429" s="24" t="str">
        <f t="shared" si="495"/>
        <v xml:space="preserve">COM VALOR</v>
      </c>
      <c r="L429" s="36">
        <v>18.309999999999999</v>
      </c>
      <c r="M429" s="37">
        <v>18.309999999999999</v>
      </c>
      <c r="N429" s="36">
        <v>18.309999999999999</v>
      </c>
    </row>
    <row r="430" ht="25.5">
      <c r="A430" s="19" t="s">
        <v>10460</v>
      </c>
      <c r="B430" s="19">
        <v>563</v>
      </c>
      <c r="C430" s="20" t="s">
        <v>10885</v>
      </c>
      <c r="D430" s="19" t="s">
        <v>38</v>
      </c>
      <c r="E430" s="19" t="s">
        <v>10459</v>
      </c>
      <c r="F430" s="21">
        <f t="shared" si="494"/>
        <v>27.510000000000002</v>
      </c>
      <c r="G430" s="21">
        <f t="shared" si="494"/>
        <v>27.510000000000002</v>
      </c>
      <c r="H430" s="21">
        <f t="shared" si="494"/>
        <v>27.510000000000002</v>
      </c>
      <c r="I430" s="24" t="str">
        <f t="shared" si="495"/>
        <v xml:space="preserve">COM VALOR</v>
      </c>
      <c r="L430" s="36">
        <v>27.510000000000002</v>
      </c>
      <c r="M430" s="37">
        <v>27.510000000000002</v>
      </c>
      <c r="N430" s="36">
        <v>27.510000000000002</v>
      </c>
    </row>
    <row r="431" ht="25.5">
      <c r="A431" s="19" t="s">
        <v>10460</v>
      </c>
      <c r="B431" s="19">
        <v>549</v>
      </c>
      <c r="C431" s="20" t="s">
        <v>10886</v>
      </c>
      <c r="D431" s="19" t="s">
        <v>38</v>
      </c>
      <c r="E431" s="19" t="s">
        <v>10459</v>
      </c>
      <c r="F431" s="21">
        <f t="shared" si="494"/>
        <v>49.509999999999998</v>
      </c>
      <c r="G431" s="21">
        <f t="shared" si="494"/>
        <v>49.509999999999998</v>
      </c>
      <c r="H431" s="21">
        <f t="shared" si="494"/>
        <v>49.509999999999998</v>
      </c>
      <c r="I431" s="24" t="str">
        <f t="shared" si="495"/>
        <v xml:space="preserve">COM VALOR</v>
      </c>
      <c r="L431" s="36">
        <v>49.509999999999998</v>
      </c>
      <c r="M431" s="37">
        <v>49.509999999999998</v>
      </c>
      <c r="N431" s="36">
        <v>49.509999999999998</v>
      </c>
    </row>
    <row r="432" ht="25.5">
      <c r="A432" s="19" t="s">
        <v>10460</v>
      </c>
      <c r="B432" s="19">
        <v>551</v>
      </c>
      <c r="C432" s="20" t="s">
        <v>10887</v>
      </c>
      <c r="D432" s="19" t="s">
        <v>38</v>
      </c>
      <c r="E432" s="19" t="s">
        <v>10459</v>
      </c>
      <c r="F432" s="21">
        <f t="shared" si="494"/>
        <v>98.040000000000006</v>
      </c>
      <c r="G432" s="21">
        <f t="shared" si="494"/>
        <v>98.040000000000006</v>
      </c>
      <c r="H432" s="21">
        <f t="shared" si="494"/>
        <v>98.040000000000006</v>
      </c>
      <c r="I432" s="24" t="str">
        <f t="shared" si="495"/>
        <v xml:space="preserve">COM VALOR</v>
      </c>
      <c r="L432" s="36">
        <v>98.040000000000006</v>
      </c>
      <c r="M432" s="37">
        <v>98.040000000000006</v>
      </c>
      <c r="N432" s="36">
        <v>98.040000000000006</v>
      </c>
    </row>
    <row r="433" ht="25.5">
      <c r="A433" s="19" t="s">
        <v>10460</v>
      </c>
      <c r="B433" s="19">
        <v>559</v>
      </c>
      <c r="C433" s="20" t="s">
        <v>10888</v>
      </c>
      <c r="D433" s="19" t="s">
        <v>38</v>
      </c>
      <c r="E433" s="19" t="s">
        <v>10459</v>
      </c>
      <c r="F433" s="21">
        <f t="shared" si="494"/>
        <v>24.510000000000002</v>
      </c>
      <c r="G433" s="21">
        <f t="shared" si="494"/>
        <v>24.510000000000002</v>
      </c>
      <c r="H433" s="21">
        <f t="shared" si="494"/>
        <v>24.510000000000002</v>
      </c>
      <c r="I433" s="24" t="str">
        <f t="shared" si="495"/>
        <v xml:space="preserve">COM VALOR</v>
      </c>
      <c r="L433" s="36">
        <v>24.510000000000002</v>
      </c>
      <c r="M433" s="37">
        <v>24.510000000000002</v>
      </c>
      <c r="N433" s="36">
        <v>24.510000000000002</v>
      </c>
    </row>
    <row r="434" ht="25.5">
      <c r="A434" s="19" t="s">
        <v>10460</v>
      </c>
      <c r="B434" s="19">
        <v>560</v>
      </c>
      <c r="C434" s="20" t="s">
        <v>10889</v>
      </c>
      <c r="D434" s="19" t="s">
        <v>38</v>
      </c>
      <c r="E434" s="19" t="s">
        <v>10459</v>
      </c>
      <c r="F434" s="21">
        <f t="shared" si="494"/>
        <v>30.66</v>
      </c>
      <c r="G434" s="21">
        <f t="shared" si="494"/>
        <v>30.66</v>
      </c>
      <c r="H434" s="21">
        <f t="shared" si="494"/>
        <v>30.66</v>
      </c>
      <c r="I434" s="24" t="str">
        <f t="shared" si="495"/>
        <v xml:space="preserve">COM VALOR</v>
      </c>
      <c r="L434" s="36">
        <v>30.66</v>
      </c>
      <c r="M434" s="37">
        <v>30.66</v>
      </c>
      <c r="N434" s="36">
        <v>30.66</v>
      </c>
    </row>
    <row r="435" ht="25.5">
      <c r="A435" s="19" t="s">
        <v>10460</v>
      </c>
      <c r="B435" s="19">
        <v>547</v>
      </c>
      <c r="C435" s="20" t="s">
        <v>10890</v>
      </c>
      <c r="D435" s="19" t="s">
        <v>38</v>
      </c>
      <c r="E435" s="19" t="s">
        <v>10459</v>
      </c>
      <c r="F435" s="21">
        <f t="shared" si="494"/>
        <v>36.710000000000001</v>
      </c>
      <c r="G435" s="21">
        <f t="shared" si="494"/>
        <v>36.710000000000001</v>
      </c>
      <c r="H435" s="21">
        <f t="shared" si="494"/>
        <v>36.710000000000001</v>
      </c>
      <c r="I435" s="24" t="str">
        <f t="shared" si="495"/>
        <v xml:space="preserve">COM VALOR</v>
      </c>
      <c r="L435" s="36">
        <v>36.710000000000001</v>
      </c>
      <c r="M435" s="37">
        <v>36.710000000000001</v>
      </c>
      <c r="N435" s="36">
        <v>36.710000000000001</v>
      </c>
    </row>
    <row r="436" ht="25.5">
      <c r="A436" s="19" t="s">
        <v>10460</v>
      </c>
      <c r="B436" s="19">
        <v>36207</v>
      </c>
      <c r="C436" s="20" t="s">
        <v>10891</v>
      </c>
      <c r="D436" s="19" t="s">
        <v>31</v>
      </c>
      <c r="E436" s="19" t="s">
        <v>10459</v>
      </c>
      <c r="F436" s="21" t="str">
        <f t="shared" si="494"/>
        <v>VERIFICAR</v>
      </c>
      <c r="G436" s="21" t="str">
        <f t="shared" si="494"/>
        <v>VERIFICAR</v>
      </c>
      <c r="H436" s="21" t="str">
        <f t="shared" si="494"/>
        <v>VERIFICAR</v>
      </c>
      <c r="I436" s="24" t="str">
        <f t="shared" si="495"/>
        <v xml:space="preserve">SEM VALOR</v>
      </c>
      <c r="L436" s="36"/>
      <c r="M436" s="37"/>
      <c r="N436" s="36"/>
    </row>
    <row r="437" ht="25.5">
      <c r="A437" s="19" t="s">
        <v>10460</v>
      </c>
      <c r="B437" s="19">
        <v>36209</v>
      </c>
      <c r="C437" s="20" t="s">
        <v>10892</v>
      </c>
      <c r="D437" s="19" t="s">
        <v>31</v>
      </c>
      <c r="E437" s="19" t="s">
        <v>10459</v>
      </c>
      <c r="F437" s="21" t="str">
        <f t="shared" si="494"/>
        <v>VERIFICAR</v>
      </c>
      <c r="G437" s="21" t="str">
        <f t="shared" si="494"/>
        <v>VERIFICAR</v>
      </c>
      <c r="H437" s="21" t="str">
        <f t="shared" si="494"/>
        <v>VERIFICAR</v>
      </c>
      <c r="I437" s="24" t="str">
        <f t="shared" si="495"/>
        <v xml:space="preserve">SEM VALOR</v>
      </c>
      <c r="L437" s="36"/>
      <c r="M437" s="37"/>
      <c r="N437" s="36"/>
    </row>
    <row r="438" ht="25.5">
      <c r="A438" s="19" t="s">
        <v>10460</v>
      </c>
      <c r="B438" s="19">
        <v>36210</v>
      </c>
      <c r="C438" s="20" t="s">
        <v>10893</v>
      </c>
      <c r="D438" s="19" t="s">
        <v>31</v>
      </c>
      <c r="E438" s="19" t="s">
        <v>10459</v>
      </c>
      <c r="F438" s="21" t="str">
        <f t="shared" si="494"/>
        <v>VERIFICAR</v>
      </c>
      <c r="G438" s="21" t="str">
        <f t="shared" si="494"/>
        <v>VERIFICAR</v>
      </c>
      <c r="H438" s="21" t="str">
        <f t="shared" si="494"/>
        <v>VERIFICAR</v>
      </c>
      <c r="I438" s="24" t="str">
        <f t="shared" si="495"/>
        <v xml:space="preserve">SEM VALOR</v>
      </c>
      <c r="L438" s="36"/>
      <c r="M438" s="37"/>
      <c r="N438" s="36"/>
    </row>
    <row r="439" ht="25.5">
      <c r="A439" s="19" t="s">
        <v>10460</v>
      </c>
      <c r="B439" s="19">
        <v>36204</v>
      </c>
      <c r="C439" s="20" t="s">
        <v>10894</v>
      </c>
      <c r="D439" s="19" t="s">
        <v>31</v>
      </c>
      <c r="E439" s="19" t="s">
        <v>10459</v>
      </c>
      <c r="F439" s="21" t="str">
        <f t="shared" si="494"/>
        <v>VERIFICAR</v>
      </c>
      <c r="G439" s="21" t="str">
        <f t="shared" si="494"/>
        <v>VERIFICAR</v>
      </c>
      <c r="H439" s="21" t="str">
        <f t="shared" si="494"/>
        <v>VERIFICAR</v>
      </c>
      <c r="I439" s="24" t="str">
        <f t="shared" si="495"/>
        <v xml:space="preserve">SEM VALOR</v>
      </c>
      <c r="L439" s="36"/>
      <c r="M439" s="37"/>
      <c r="N439" s="36"/>
    </row>
    <row r="440" ht="25.5">
      <c r="A440" s="19" t="s">
        <v>10460</v>
      </c>
      <c r="B440" s="19">
        <v>36205</v>
      </c>
      <c r="C440" s="20" t="s">
        <v>10895</v>
      </c>
      <c r="D440" s="19" t="s">
        <v>31</v>
      </c>
      <c r="E440" s="19" t="s">
        <v>10459</v>
      </c>
      <c r="F440" s="21" t="str">
        <f t="shared" si="494"/>
        <v>VERIFICAR</v>
      </c>
      <c r="G440" s="21" t="str">
        <f t="shared" si="494"/>
        <v>VERIFICAR</v>
      </c>
      <c r="H440" s="21" t="str">
        <f t="shared" si="494"/>
        <v>VERIFICAR</v>
      </c>
      <c r="I440" s="24" t="str">
        <f t="shared" si="495"/>
        <v xml:space="preserve">SEM VALOR</v>
      </c>
      <c r="L440" s="36"/>
      <c r="M440" s="37"/>
      <c r="N440" s="36"/>
    </row>
    <row r="441" ht="25.5">
      <c r="A441" s="19" t="s">
        <v>10460</v>
      </c>
      <c r="B441" s="19">
        <v>36081</v>
      </c>
      <c r="C441" s="20" t="s">
        <v>10896</v>
      </c>
      <c r="D441" s="19" t="s">
        <v>31</v>
      </c>
      <c r="E441" s="19" t="s">
        <v>10466</v>
      </c>
      <c r="F441" s="21" t="str">
        <f t="shared" si="494"/>
        <v>VERIFICAR</v>
      </c>
      <c r="G441" s="21" t="str">
        <f t="shared" si="494"/>
        <v>VERIFICAR</v>
      </c>
      <c r="H441" s="21" t="str">
        <f t="shared" si="494"/>
        <v>VERIFICAR</v>
      </c>
      <c r="I441" s="24" t="str">
        <f t="shared" si="495"/>
        <v xml:space="preserve">SEM VALOR</v>
      </c>
      <c r="L441" s="36"/>
      <c r="M441" s="37"/>
      <c r="N441" s="36"/>
    </row>
    <row r="442" ht="25.5">
      <c r="A442" s="19" t="s">
        <v>10460</v>
      </c>
      <c r="B442" s="19">
        <v>36206</v>
      </c>
      <c r="C442" s="20" t="s">
        <v>10897</v>
      </c>
      <c r="D442" s="19" t="s">
        <v>31</v>
      </c>
      <c r="E442" s="19" t="s">
        <v>10459</v>
      </c>
      <c r="F442" s="21" t="str">
        <f t="shared" si="494"/>
        <v>VERIFICAR</v>
      </c>
      <c r="G442" s="21" t="str">
        <f t="shared" si="494"/>
        <v>VERIFICAR</v>
      </c>
      <c r="H442" s="21" t="str">
        <f t="shared" si="494"/>
        <v>VERIFICAR</v>
      </c>
      <c r="I442" s="24" t="str">
        <f t="shared" si="495"/>
        <v xml:space="preserve">SEM VALOR</v>
      </c>
      <c r="L442" s="36"/>
      <c r="M442" s="37"/>
      <c r="N442" s="36"/>
    </row>
    <row r="443" ht="25.5">
      <c r="A443" s="19" t="s">
        <v>10460</v>
      </c>
      <c r="B443" s="19">
        <v>36218</v>
      </c>
      <c r="C443" s="20" t="s">
        <v>10898</v>
      </c>
      <c r="D443" s="19" t="s">
        <v>31</v>
      </c>
      <c r="E443" s="19" t="s">
        <v>10459</v>
      </c>
      <c r="F443" s="21" t="str">
        <f t="shared" si="494"/>
        <v>VERIFICAR</v>
      </c>
      <c r="G443" s="21" t="str">
        <f t="shared" si="494"/>
        <v>VERIFICAR</v>
      </c>
      <c r="H443" s="21" t="str">
        <f t="shared" si="494"/>
        <v>VERIFICAR</v>
      </c>
      <c r="I443" s="24" t="str">
        <f t="shared" si="495"/>
        <v xml:space="preserve">SEM VALOR</v>
      </c>
      <c r="L443" s="36"/>
      <c r="M443" s="37"/>
      <c r="N443" s="36"/>
    </row>
    <row r="444" ht="25.5">
      <c r="A444" s="19" t="s">
        <v>10460</v>
      </c>
      <c r="B444" s="19">
        <v>36220</v>
      </c>
      <c r="C444" s="20" t="s">
        <v>10899</v>
      </c>
      <c r="D444" s="19" t="s">
        <v>31</v>
      </c>
      <c r="E444" s="19" t="s">
        <v>10459</v>
      </c>
      <c r="F444" s="21" t="str">
        <f t="shared" si="494"/>
        <v>VERIFICAR</v>
      </c>
      <c r="G444" s="21" t="str">
        <f t="shared" si="494"/>
        <v>VERIFICAR</v>
      </c>
      <c r="H444" s="21" t="str">
        <f t="shared" si="494"/>
        <v>VERIFICAR</v>
      </c>
      <c r="I444" s="24" t="str">
        <f t="shared" si="495"/>
        <v xml:space="preserve">SEM VALOR</v>
      </c>
      <c r="L444" s="36"/>
      <c r="M444" s="37"/>
      <c r="N444" s="36"/>
    </row>
    <row r="445" ht="25.5">
      <c r="A445" s="19" t="s">
        <v>10460</v>
      </c>
      <c r="B445" s="19">
        <v>36080</v>
      </c>
      <c r="C445" s="20" t="s">
        <v>10900</v>
      </c>
      <c r="D445" s="19" t="s">
        <v>31</v>
      </c>
      <c r="E445" s="19" t="s">
        <v>10466</v>
      </c>
      <c r="F445" s="21" t="str">
        <f t="shared" si="494"/>
        <v>VERIFICAR</v>
      </c>
      <c r="G445" s="21" t="str">
        <f t="shared" si="494"/>
        <v>VERIFICAR</v>
      </c>
      <c r="H445" s="21" t="str">
        <f t="shared" si="494"/>
        <v>VERIFICAR</v>
      </c>
      <c r="I445" s="24" t="str">
        <f t="shared" si="495"/>
        <v xml:space="preserve">SEM VALOR</v>
      </c>
      <c r="L445" s="36"/>
      <c r="M445" s="37"/>
      <c r="N445" s="36"/>
    </row>
    <row r="446" ht="25.5">
      <c r="A446" s="19" t="s">
        <v>10460</v>
      </c>
      <c r="B446" s="19">
        <v>36223</v>
      </c>
      <c r="C446" s="20" t="s">
        <v>10901</v>
      </c>
      <c r="D446" s="19" t="s">
        <v>31</v>
      </c>
      <c r="E446" s="19" t="s">
        <v>10459</v>
      </c>
      <c r="F446" s="21" t="str">
        <f t="shared" si="494"/>
        <v>VERIFICAR</v>
      </c>
      <c r="G446" s="21" t="str">
        <f t="shared" si="494"/>
        <v>VERIFICAR</v>
      </c>
      <c r="H446" s="21" t="str">
        <f t="shared" si="494"/>
        <v>VERIFICAR</v>
      </c>
      <c r="I446" s="24" t="str">
        <f t="shared" si="495"/>
        <v xml:space="preserve">SEM VALOR</v>
      </c>
      <c r="L446" s="36"/>
      <c r="M446" s="37"/>
      <c r="N446" s="36"/>
    </row>
    <row r="447" ht="25.5">
      <c r="A447" s="19" t="s">
        <v>10460</v>
      </c>
      <c r="B447" s="19">
        <v>38127</v>
      </c>
      <c r="C447" s="20" t="s">
        <v>10902</v>
      </c>
      <c r="D447" s="19" t="s">
        <v>31</v>
      </c>
      <c r="E447" s="19" t="s">
        <v>10459</v>
      </c>
      <c r="F447" s="21">
        <f t="shared" si="494"/>
        <v>527.16999999999996</v>
      </c>
      <c r="G447" s="21">
        <f t="shared" si="494"/>
        <v>527.16999999999996</v>
      </c>
      <c r="H447" s="21">
        <f t="shared" si="494"/>
        <v>527.16999999999996</v>
      </c>
      <c r="I447" s="24" t="str">
        <f t="shared" si="495"/>
        <v xml:space="preserve">COM VALOR</v>
      </c>
      <c r="L447" s="36">
        <v>527.16999999999996</v>
      </c>
      <c r="M447" s="37">
        <v>527.16999999999996</v>
      </c>
      <c r="N447" s="36">
        <v>527.16999999999996</v>
      </c>
    </row>
    <row r="448" ht="25.5">
      <c r="A448" s="19" t="s">
        <v>10460</v>
      </c>
      <c r="B448" s="19">
        <v>38060</v>
      </c>
      <c r="C448" s="20" t="s">
        <v>10903</v>
      </c>
      <c r="D448" s="19" t="s">
        <v>31</v>
      </c>
      <c r="E448" s="19" t="s">
        <v>10459</v>
      </c>
      <c r="F448" s="21">
        <f t="shared" si="494"/>
        <v>59.600000000000001</v>
      </c>
      <c r="G448" s="21">
        <f t="shared" si="494"/>
        <v>59.600000000000001</v>
      </c>
      <c r="H448" s="21">
        <f t="shared" si="494"/>
        <v>59.600000000000001</v>
      </c>
      <c r="I448" s="24" t="str">
        <f t="shared" si="495"/>
        <v xml:space="preserve">COM VALOR</v>
      </c>
      <c r="L448" s="36">
        <v>59.600000000000001</v>
      </c>
      <c r="M448" s="37">
        <v>59.600000000000001</v>
      </c>
      <c r="N448" s="36">
        <v>59.600000000000001</v>
      </c>
    </row>
    <row r="449" ht="12.75">
      <c r="A449" s="19" t="s">
        <v>10460</v>
      </c>
      <c r="B449" s="19">
        <v>10956</v>
      </c>
      <c r="C449" s="20" t="s">
        <v>10904</v>
      </c>
      <c r="D449" s="19" t="s">
        <v>31</v>
      </c>
      <c r="E449" s="19" t="s">
        <v>10459</v>
      </c>
      <c r="F449" s="21">
        <f t="shared" si="494"/>
        <v>65.359999999999999</v>
      </c>
      <c r="G449" s="21">
        <f t="shared" si="494"/>
        <v>65.359999999999999</v>
      </c>
      <c r="H449" s="21">
        <f t="shared" si="494"/>
        <v>65.359999999999999</v>
      </c>
      <c r="I449" s="24" t="str">
        <f t="shared" si="495"/>
        <v xml:space="preserve">COM VALOR</v>
      </c>
      <c r="L449" s="36">
        <v>65.359999999999999</v>
      </c>
      <c r="M449" s="37">
        <v>65.359999999999999</v>
      </c>
      <c r="N449" s="36">
        <v>65.359999999999999</v>
      </c>
    </row>
    <row r="450" ht="12.75">
      <c r="A450" s="19" t="s">
        <v>10460</v>
      </c>
      <c r="B450" s="19">
        <v>39380</v>
      </c>
      <c r="C450" s="20" t="s">
        <v>10905</v>
      </c>
      <c r="D450" s="19" t="s">
        <v>31</v>
      </c>
      <c r="E450" s="19" t="s">
        <v>10459</v>
      </c>
      <c r="F450" s="21" t="str">
        <f t="shared" si="494"/>
        <v>VERIFICAR</v>
      </c>
      <c r="G450" s="21" t="str">
        <f t="shared" si="494"/>
        <v>VERIFICAR</v>
      </c>
      <c r="H450" s="21" t="str">
        <f t="shared" si="494"/>
        <v>VERIFICAR</v>
      </c>
      <c r="I450" s="24" t="str">
        <f t="shared" si="495"/>
        <v xml:space="preserve">SEM VALOR</v>
      </c>
      <c r="L450" s="36"/>
      <c r="M450" s="37"/>
      <c r="N450" s="36"/>
    </row>
    <row r="451" ht="12.75">
      <c r="A451" s="19" t="s">
        <v>10460</v>
      </c>
      <c r="B451" s="19">
        <v>44172</v>
      </c>
      <c r="C451" s="20" t="s">
        <v>10906</v>
      </c>
      <c r="D451" s="19" t="s">
        <v>31</v>
      </c>
      <c r="E451" s="19" t="s">
        <v>10459</v>
      </c>
      <c r="F451" s="21">
        <f t="shared" si="494"/>
        <v>8.5</v>
      </c>
      <c r="G451" s="21">
        <f t="shared" si="494"/>
        <v>8.5</v>
      </c>
      <c r="H451" s="21">
        <f t="shared" si="494"/>
        <v>8.5</v>
      </c>
      <c r="I451" s="24" t="str">
        <f t="shared" si="495"/>
        <v xml:space="preserve">COM VALOR</v>
      </c>
      <c r="L451" s="36">
        <v>8.5</v>
      </c>
      <c r="M451" s="37">
        <v>8.5</v>
      </c>
      <c r="N451" s="36">
        <v>8.5</v>
      </c>
    </row>
    <row r="452" ht="25.5">
      <c r="A452" s="19" t="s">
        <v>10638</v>
      </c>
      <c r="B452" s="19">
        <v>37597</v>
      </c>
      <c r="C452" s="20" t="s">
        <v>10907</v>
      </c>
      <c r="D452" s="19" t="s">
        <v>31</v>
      </c>
      <c r="E452" s="19" t="s">
        <v>10459</v>
      </c>
      <c r="F452" s="21" t="str">
        <f t="shared" si="494"/>
        <v>VERIFICAR</v>
      </c>
      <c r="G452" s="21" t="str">
        <f t="shared" si="494"/>
        <v>VERIFICAR</v>
      </c>
      <c r="H452" s="21" t="str">
        <f t="shared" si="494"/>
        <v>VERIFICAR</v>
      </c>
      <c r="I452" s="24" t="str">
        <f t="shared" si="495"/>
        <v xml:space="preserve">SEM VALOR</v>
      </c>
      <c r="L452" s="36"/>
      <c r="M452" s="37"/>
      <c r="N452" s="36"/>
    </row>
    <row r="453" ht="63.75">
      <c r="A453" s="19" t="s">
        <v>10460</v>
      </c>
      <c r="B453" s="19">
        <v>183</v>
      </c>
      <c r="C453" s="20" t="s">
        <v>10908</v>
      </c>
      <c r="D453" s="19" t="s">
        <v>10909</v>
      </c>
      <c r="E453" s="19" t="s">
        <v>10466</v>
      </c>
      <c r="F453" s="21">
        <f t="shared" si="494"/>
        <v>224.5</v>
      </c>
      <c r="G453" s="21">
        <f t="shared" si="494"/>
        <v>224.5</v>
      </c>
      <c r="H453" s="21">
        <f t="shared" si="494"/>
        <v>224.5</v>
      </c>
      <c r="I453" s="24" t="str">
        <f t="shared" si="495"/>
        <v xml:space="preserve">COM VALOR</v>
      </c>
      <c r="L453" s="36">
        <v>224.5</v>
      </c>
      <c r="M453" s="37">
        <v>224.5</v>
      </c>
      <c r="N453" s="36">
        <v>224.5</v>
      </c>
    </row>
    <row r="454" ht="51">
      <c r="A454" s="19" t="s">
        <v>10460</v>
      </c>
      <c r="B454" s="19">
        <v>184</v>
      </c>
      <c r="C454" s="20" t="s">
        <v>10910</v>
      </c>
      <c r="D454" s="19" t="s">
        <v>10909</v>
      </c>
      <c r="E454" s="19" t="s">
        <v>10459</v>
      </c>
      <c r="F454" s="21">
        <f t="shared" si="494"/>
        <v>139.03999999999999</v>
      </c>
      <c r="G454" s="21">
        <f t="shared" si="494"/>
        <v>139.03999999999999</v>
      </c>
      <c r="H454" s="21">
        <f t="shared" si="494"/>
        <v>139.03999999999999</v>
      </c>
      <c r="I454" s="24" t="str">
        <f t="shared" si="495"/>
        <v xml:space="preserve">COM VALOR</v>
      </c>
      <c r="L454" s="36">
        <v>139.03999999999999</v>
      </c>
      <c r="M454" s="37">
        <v>139.03999999999999</v>
      </c>
      <c r="N454" s="36">
        <v>139.03999999999999</v>
      </c>
    </row>
    <row r="455" ht="63.75">
      <c r="A455" s="19" t="s">
        <v>10460</v>
      </c>
      <c r="B455" s="19">
        <v>181</v>
      </c>
      <c r="C455" s="20" t="s">
        <v>10911</v>
      </c>
      <c r="D455" s="19" t="s">
        <v>10909</v>
      </c>
      <c r="E455" s="19" t="s">
        <v>10459</v>
      </c>
      <c r="F455" s="21">
        <f t="shared" si="494"/>
        <v>299.81</v>
      </c>
      <c r="G455" s="21">
        <f t="shared" si="494"/>
        <v>299.81</v>
      </c>
      <c r="H455" s="21">
        <f t="shared" si="494"/>
        <v>299.81</v>
      </c>
      <c r="I455" s="24" t="str">
        <f t="shared" si="495"/>
        <v xml:space="preserve">COM VALOR</v>
      </c>
      <c r="L455" s="36">
        <v>299.81</v>
      </c>
      <c r="M455" s="37">
        <v>299.81</v>
      </c>
      <c r="N455" s="36">
        <v>299.81</v>
      </c>
    </row>
    <row r="456" ht="51">
      <c r="A456" s="19" t="s">
        <v>10460</v>
      </c>
      <c r="B456" s="19">
        <v>20001</v>
      </c>
      <c r="C456" s="20" t="s">
        <v>10912</v>
      </c>
      <c r="D456" s="19" t="s">
        <v>10909</v>
      </c>
      <c r="E456" s="19" t="s">
        <v>10459</v>
      </c>
      <c r="F456" s="21">
        <f t="shared" si="494"/>
        <v>173.80000000000001</v>
      </c>
      <c r="G456" s="21">
        <f t="shared" si="494"/>
        <v>173.80000000000001</v>
      </c>
      <c r="H456" s="21">
        <f t="shared" si="494"/>
        <v>173.80000000000001</v>
      </c>
      <c r="I456" s="24" t="str">
        <f t="shared" si="495"/>
        <v xml:space="preserve">COM VALOR</v>
      </c>
      <c r="L456" s="36">
        <v>173.80000000000001</v>
      </c>
      <c r="M456" s="37">
        <v>173.80000000000001</v>
      </c>
      <c r="N456" s="36">
        <v>173.80000000000001</v>
      </c>
    </row>
    <row r="457" ht="38.25">
      <c r="A457" s="19" t="s">
        <v>10460</v>
      </c>
      <c r="B457" s="19">
        <v>39837</v>
      </c>
      <c r="C457" s="20" t="s">
        <v>10913</v>
      </c>
      <c r="D457" s="19" t="s">
        <v>10909</v>
      </c>
      <c r="E457" s="19" t="s">
        <v>10459</v>
      </c>
      <c r="F457" s="21">
        <f t="shared" si="494"/>
        <v>362.50999999999999</v>
      </c>
      <c r="G457" s="21">
        <f t="shared" si="494"/>
        <v>362.50999999999999</v>
      </c>
      <c r="H457" s="21">
        <f t="shared" si="494"/>
        <v>362.50999999999999</v>
      </c>
      <c r="I457" s="24" t="str">
        <f t="shared" si="495"/>
        <v xml:space="preserve">COM VALOR</v>
      </c>
      <c r="L457" s="36">
        <v>362.50999999999999</v>
      </c>
      <c r="M457" s="37">
        <v>362.50999999999999</v>
      </c>
      <c r="N457" s="36">
        <v>362.50999999999999</v>
      </c>
    </row>
    <row r="458" ht="12.75">
      <c r="A458" s="19" t="s">
        <v>10460</v>
      </c>
      <c r="B458" s="19">
        <v>43366</v>
      </c>
      <c r="C458" s="20" t="s">
        <v>10914</v>
      </c>
      <c r="D458" s="19" t="s">
        <v>302</v>
      </c>
      <c r="E458" s="19" t="s">
        <v>10459</v>
      </c>
      <c r="F458" s="21" t="str">
        <f t="shared" si="494"/>
        <v>VERIFICAR</v>
      </c>
      <c r="G458" s="21" t="str">
        <f t="shared" si="494"/>
        <v>VERIFICAR</v>
      </c>
      <c r="H458" s="21" t="str">
        <f t="shared" si="494"/>
        <v>VERIFICAR</v>
      </c>
      <c r="I458" s="24" t="str">
        <f t="shared" si="495"/>
        <v xml:space="preserve">SEM VALOR</v>
      </c>
      <c r="L458" s="36"/>
      <c r="M458" s="37"/>
      <c r="N458" s="36"/>
    </row>
    <row r="459" ht="38.25">
      <c r="A459" s="19" t="s">
        <v>10638</v>
      </c>
      <c r="B459" s="19">
        <v>10535</v>
      </c>
      <c r="C459" s="20" t="s">
        <v>10915</v>
      </c>
      <c r="D459" s="19" t="s">
        <v>31</v>
      </c>
      <c r="E459" s="19" t="s">
        <v>10466</v>
      </c>
      <c r="F459" s="21">
        <f t="shared" ref="F459:H522" si="496">IF(L459=0,"VERIFICAR",L459)</f>
        <v>4989.9899999999998</v>
      </c>
      <c r="G459" s="21">
        <f t="shared" si="496"/>
        <v>4989.9899999999998</v>
      </c>
      <c r="H459" s="21">
        <f t="shared" si="496"/>
        <v>4989.9899999999998</v>
      </c>
      <c r="I459" s="24" t="str">
        <f t="shared" ref="I459:I522" si="497">IF(OR(L459=0,M459=0,N459=0),"SEM VALOR","COM VALOR")</f>
        <v xml:space="preserve">COM VALOR</v>
      </c>
      <c r="L459" s="36">
        <v>4989.9899999999998</v>
      </c>
      <c r="M459" s="37">
        <v>4989.9899999999998</v>
      </c>
      <c r="N459" s="36">
        <v>4989.9899999999998</v>
      </c>
    </row>
    <row r="460" ht="38.25">
      <c r="A460" s="19" t="s">
        <v>10638</v>
      </c>
      <c r="B460" s="19">
        <v>10537</v>
      </c>
      <c r="C460" s="20" t="s">
        <v>10916</v>
      </c>
      <c r="D460" s="19" t="s">
        <v>31</v>
      </c>
      <c r="E460" s="19" t="s">
        <v>10459</v>
      </c>
      <c r="F460" s="21">
        <f t="shared" si="496"/>
        <v>6804.9899999999998</v>
      </c>
      <c r="G460" s="21">
        <f t="shared" si="496"/>
        <v>6804.9899999999998</v>
      </c>
      <c r="H460" s="21">
        <f t="shared" si="496"/>
        <v>6804.9899999999998</v>
      </c>
      <c r="I460" s="24" t="str">
        <f t="shared" si="497"/>
        <v xml:space="preserve">COM VALOR</v>
      </c>
      <c r="L460" s="36">
        <v>6804.9899999999998</v>
      </c>
      <c r="M460" s="37">
        <v>6804.9899999999998</v>
      </c>
      <c r="N460" s="36">
        <v>6804.9899999999998</v>
      </c>
    </row>
    <row r="461" ht="38.25">
      <c r="A461" s="19" t="s">
        <v>10638</v>
      </c>
      <c r="B461" s="19">
        <v>13891</v>
      </c>
      <c r="C461" s="20" t="s">
        <v>10917</v>
      </c>
      <c r="D461" s="19" t="s">
        <v>31</v>
      </c>
      <c r="E461" s="19" t="s">
        <v>10459</v>
      </c>
      <c r="F461" s="21">
        <f t="shared" si="496"/>
        <v>6241.71</v>
      </c>
      <c r="G461" s="21">
        <f t="shared" si="496"/>
        <v>6241.71</v>
      </c>
      <c r="H461" s="21">
        <f t="shared" si="496"/>
        <v>6241.71</v>
      </c>
      <c r="I461" s="24" t="str">
        <f t="shared" si="497"/>
        <v xml:space="preserve">COM VALOR</v>
      </c>
      <c r="L461" s="36">
        <v>6241.71</v>
      </c>
      <c r="M461" s="37">
        <v>6241.71</v>
      </c>
      <c r="N461" s="36">
        <v>6241.71</v>
      </c>
    </row>
    <row r="462" ht="38.25">
      <c r="A462" s="19" t="s">
        <v>10638</v>
      </c>
      <c r="B462" s="19">
        <v>36397</v>
      </c>
      <c r="C462" s="20" t="s">
        <v>10918</v>
      </c>
      <c r="D462" s="19" t="s">
        <v>31</v>
      </c>
      <c r="E462" s="19" t="s">
        <v>10459</v>
      </c>
      <c r="F462" s="21">
        <f t="shared" si="496"/>
        <v>20298.259999999998</v>
      </c>
      <c r="G462" s="21">
        <f t="shared" si="496"/>
        <v>20298.259999999998</v>
      </c>
      <c r="H462" s="21">
        <f t="shared" si="496"/>
        <v>20298.259999999998</v>
      </c>
      <c r="I462" s="24" t="str">
        <f t="shared" si="497"/>
        <v xml:space="preserve">COM VALOR</v>
      </c>
      <c r="L462" s="36">
        <v>20298.259999999998</v>
      </c>
      <c r="M462" s="37">
        <v>20298.259999999998</v>
      </c>
      <c r="N462" s="36">
        <v>20298.259999999998</v>
      </c>
    </row>
    <row r="463" ht="38.25">
      <c r="A463" s="19" t="s">
        <v>10638</v>
      </c>
      <c r="B463" s="19">
        <v>36398</v>
      </c>
      <c r="C463" s="20" t="s">
        <v>10919</v>
      </c>
      <c r="D463" s="19" t="s">
        <v>31</v>
      </c>
      <c r="E463" s="19" t="s">
        <v>10459</v>
      </c>
      <c r="F463" s="21">
        <f t="shared" si="496"/>
        <v>24670.84</v>
      </c>
      <c r="G463" s="21">
        <f t="shared" si="496"/>
        <v>24670.84</v>
      </c>
      <c r="H463" s="21">
        <f t="shared" si="496"/>
        <v>24670.84</v>
      </c>
      <c r="I463" s="24" t="str">
        <f t="shared" si="497"/>
        <v xml:space="preserve">COM VALOR</v>
      </c>
      <c r="L463" s="36">
        <v>24670.84</v>
      </c>
      <c r="M463" s="37">
        <v>24670.84</v>
      </c>
      <c r="N463" s="36">
        <v>24670.84</v>
      </c>
    </row>
    <row r="464" ht="12.75">
      <c r="A464" s="19" t="s">
        <v>10604</v>
      </c>
      <c r="B464" s="19">
        <v>647</v>
      </c>
      <c r="C464" s="20" t="s">
        <v>10920</v>
      </c>
      <c r="D464" s="19" t="s">
        <v>2032</v>
      </c>
      <c r="E464" s="19" t="s">
        <v>10459</v>
      </c>
      <c r="F464" s="21">
        <f t="shared" si="496"/>
        <v>20.079999999999998</v>
      </c>
      <c r="G464" s="21">
        <f t="shared" si="496"/>
        <v>20.079999999999998</v>
      </c>
      <c r="H464" s="21">
        <f t="shared" si="496"/>
        <v>20.079999999999998</v>
      </c>
      <c r="I464" s="24" t="str">
        <f t="shared" si="497"/>
        <v xml:space="preserve">COM VALOR</v>
      </c>
      <c r="L464" s="36">
        <v>20.079999999999998</v>
      </c>
      <c r="M464" s="37">
        <v>20.079999999999998</v>
      </c>
      <c r="N464" s="36">
        <v>20.079999999999998</v>
      </c>
    </row>
    <row r="465" ht="12.75">
      <c r="A465" s="19" t="s">
        <v>10604</v>
      </c>
      <c r="B465" s="19">
        <v>40920</v>
      </c>
      <c r="C465" s="20" t="s">
        <v>10921</v>
      </c>
      <c r="D465" s="19" t="s">
        <v>7087</v>
      </c>
      <c r="E465" s="19" t="s">
        <v>10459</v>
      </c>
      <c r="F465" s="21">
        <f t="shared" si="496"/>
        <v>3515.2399999999998</v>
      </c>
      <c r="G465" s="21">
        <f t="shared" si="496"/>
        <v>3515.2399999999998</v>
      </c>
      <c r="H465" s="21">
        <f t="shared" si="496"/>
        <v>3515.2399999999998</v>
      </c>
      <c r="I465" s="24" t="str">
        <f t="shared" si="497"/>
        <v xml:space="preserve">COM VALOR</v>
      </c>
      <c r="L465" s="36">
        <v>3515.2399999999998</v>
      </c>
      <c r="M465" s="37">
        <v>3515.2399999999998</v>
      </c>
      <c r="N465" s="36">
        <v>3515.2399999999998</v>
      </c>
    </row>
    <row r="466" ht="25.5">
      <c r="A466" s="19" t="s">
        <v>10460</v>
      </c>
      <c r="B466" s="19">
        <v>715</v>
      </c>
      <c r="C466" s="20" t="s">
        <v>10922</v>
      </c>
      <c r="D466" s="19" t="s">
        <v>31</v>
      </c>
      <c r="E466" s="19" t="s">
        <v>10466</v>
      </c>
      <c r="F466" s="21" t="str">
        <f t="shared" si="496"/>
        <v>VERIFICAR</v>
      </c>
      <c r="G466" s="21" t="str">
        <f t="shared" si="496"/>
        <v>VERIFICAR</v>
      </c>
      <c r="H466" s="21" t="str">
        <f t="shared" si="496"/>
        <v>VERIFICAR</v>
      </c>
      <c r="I466" s="24" t="str">
        <f t="shared" si="497"/>
        <v xml:space="preserve">SEM VALOR</v>
      </c>
      <c r="L466" s="36"/>
      <c r="M466" s="37"/>
      <c r="N466" s="36"/>
    </row>
    <row r="467" ht="25.5">
      <c r="A467" s="19" t="s">
        <v>10460</v>
      </c>
      <c r="B467" s="19">
        <v>716</v>
      </c>
      <c r="C467" s="20" t="s">
        <v>10923</v>
      </c>
      <c r="D467" s="19" t="s">
        <v>31</v>
      </c>
      <c r="E467" s="19" t="s">
        <v>10459</v>
      </c>
      <c r="F467" s="21" t="str">
        <f t="shared" si="496"/>
        <v>VERIFICAR</v>
      </c>
      <c r="G467" s="21" t="str">
        <f t="shared" si="496"/>
        <v>VERIFICAR</v>
      </c>
      <c r="H467" s="21" t="str">
        <f t="shared" si="496"/>
        <v>VERIFICAR</v>
      </c>
      <c r="I467" s="24" t="str">
        <f t="shared" si="497"/>
        <v xml:space="preserve">SEM VALOR</v>
      </c>
      <c r="L467" s="36"/>
      <c r="M467" s="37"/>
      <c r="N467" s="36"/>
    </row>
    <row r="468" ht="38.25">
      <c r="A468" s="19" t="s">
        <v>10460</v>
      </c>
      <c r="B468" s="19">
        <v>7270</v>
      </c>
      <c r="C468" s="20" t="s">
        <v>10924</v>
      </c>
      <c r="D468" s="19" t="s">
        <v>31</v>
      </c>
      <c r="E468" s="19" t="s">
        <v>10459</v>
      </c>
      <c r="F468" s="21">
        <f t="shared" si="496"/>
        <v>0.91000000000000003</v>
      </c>
      <c r="G468" s="21">
        <f t="shared" si="496"/>
        <v>0.91000000000000003</v>
      </c>
      <c r="H468" s="21">
        <f t="shared" si="496"/>
        <v>0.91000000000000003</v>
      </c>
      <c r="I468" s="24" t="str">
        <f t="shared" si="497"/>
        <v xml:space="preserve">COM VALOR</v>
      </c>
      <c r="L468" s="36">
        <v>0.91000000000000003</v>
      </c>
      <c r="M468" s="37">
        <v>0.91000000000000003</v>
      </c>
      <c r="N468" s="36">
        <v>0.91000000000000003</v>
      </c>
    </row>
    <row r="469" ht="38.25">
      <c r="A469" s="19" t="s">
        <v>10460</v>
      </c>
      <c r="B469" s="19">
        <v>44460</v>
      </c>
      <c r="C469" s="20" t="s">
        <v>10925</v>
      </c>
      <c r="D469" s="19" t="s">
        <v>31</v>
      </c>
      <c r="E469" s="19" t="s">
        <v>10459</v>
      </c>
      <c r="F469" s="21">
        <f t="shared" si="496"/>
        <v>1.52</v>
      </c>
      <c r="G469" s="21">
        <f t="shared" si="496"/>
        <v>1.52</v>
      </c>
      <c r="H469" s="21">
        <f t="shared" si="496"/>
        <v>1.52</v>
      </c>
      <c r="I469" s="24" t="str">
        <f t="shared" si="497"/>
        <v xml:space="preserve">COM VALOR</v>
      </c>
      <c r="L469" s="36">
        <v>1.52</v>
      </c>
      <c r="M469" s="37">
        <v>1.52</v>
      </c>
      <c r="N469" s="36">
        <v>1.52</v>
      </c>
    </row>
    <row r="470" ht="38.25">
      <c r="A470" s="19" t="s">
        <v>10460</v>
      </c>
      <c r="B470" s="19">
        <v>44461</v>
      </c>
      <c r="C470" s="20" t="s">
        <v>10926</v>
      </c>
      <c r="D470" s="19" t="s">
        <v>31</v>
      </c>
      <c r="E470" s="19" t="s">
        <v>10459</v>
      </c>
      <c r="F470" s="21">
        <f t="shared" si="496"/>
        <v>2.0800000000000001</v>
      </c>
      <c r="G470" s="21">
        <f t="shared" si="496"/>
        <v>2.0800000000000001</v>
      </c>
      <c r="H470" s="21">
        <f t="shared" si="496"/>
        <v>2.0800000000000001</v>
      </c>
      <c r="I470" s="24" t="str">
        <f t="shared" si="497"/>
        <v xml:space="preserve">COM VALOR</v>
      </c>
      <c r="L470" s="36">
        <v>2.0800000000000001</v>
      </c>
      <c r="M470" s="37">
        <v>2.0800000000000001</v>
      </c>
      <c r="N470" s="36">
        <v>2.0800000000000001</v>
      </c>
    </row>
    <row r="471" ht="38.25">
      <c r="A471" s="19" t="s">
        <v>10460</v>
      </c>
      <c r="B471" s="19">
        <v>7267</v>
      </c>
      <c r="C471" s="20" t="s">
        <v>10927</v>
      </c>
      <c r="D471" s="19" t="s">
        <v>31</v>
      </c>
      <c r="E471" s="19" t="s">
        <v>10459</v>
      </c>
      <c r="F471" s="21">
        <f t="shared" si="496"/>
        <v>0.76000000000000001</v>
      </c>
      <c r="G471" s="21">
        <f t="shared" si="496"/>
        <v>0.76000000000000001</v>
      </c>
      <c r="H471" s="21">
        <f t="shared" si="496"/>
        <v>0.76000000000000001</v>
      </c>
      <c r="I471" s="24" t="str">
        <f t="shared" si="497"/>
        <v xml:space="preserve">COM VALOR</v>
      </c>
      <c r="L471" s="36">
        <v>0.76000000000000001</v>
      </c>
      <c r="M471" s="37">
        <v>0.76000000000000001</v>
      </c>
      <c r="N471" s="36">
        <v>0.76000000000000001</v>
      </c>
    </row>
    <row r="472" ht="38.25">
      <c r="A472" s="19" t="s">
        <v>10460</v>
      </c>
      <c r="B472" s="19">
        <v>44458</v>
      </c>
      <c r="C472" s="20" t="s">
        <v>10928</v>
      </c>
      <c r="D472" s="19" t="s">
        <v>31</v>
      </c>
      <c r="E472" s="19" t="s">
        <v>10459</v>
      </c>
      <c r="F472" s="21">
        <f t="shared" si="496"/>
        <v>0.93000000000000005</v>
      </c>
      <c r="G472" s="21">
        <f t="shared" si="496"/>
        <v>0.93000000000000005</v>
      </c>
      <c r="H472" s="21">
        <f t="shared" si="496"/>
        <v>0.93000000000000005</v>
      </c>
      <c r="I472" s="24" t="str">
        <f t="shared" si="497"/>
        <v xml:space="preserve">COM VALOR</v>
      </c>
      <c r="L472" s="36">
        <v>0.93000000000000005</v>
      </c>
      <c r="M472" s="37">
        <v>0.93000000000000005</v>
      </c>
      <c r="N472" s="36">
        <v>0.93000000000000005</v>
      </c>
    </row>
    <row r="473" ht="38.25">
      <c r="A473" s="19" t="s">
        <v>10460</v>
      </c>
      <c r="B473" s="19">
        <v>44457</v>
      </c>
      <c r="C473" s="20" t="s">
        <v>10929</v>
      </c>
      <c r="D473" s="19" t="s">
        <v>31</v>
      </c>
      <c r="E473" s="19" t="s">
        <v>10459</v>
      </c>
      <c r="F473" s="21">
        <f t="shared" si="496"/>
        <v>1.79</v>
      </c>
      <c r="G473" s="21">
        <f t="shared" si="496"/>
        <v>1.79</v>
      </c>
      <c r="H473" s="21">
        <f t="shared" si="496"/>
        <v>1.79</v>
      </c>
      <c r="I473" s="24" t="str">
        <f t="shared" si="497"/>
        <v xml:space="preserve">COM VALOR</v>
      </c>
      <c r="L473" s="36">
        <v>1.79</v>
      </c>
      <c r="M473" s="37">
        <v>1.79</v>
      </c>
      <c r="N473" s="36">
        <v>1.79</v>
      </c>
    </row>
    <row r="474" ht="38.25">
      <c r="A474" s="19" t="s">
        <v>10460</v>
      </c>
      <c r="B474" s="19">
        <v>7271</v>
      </c>
      <c r="C474" s="20" t="s">
        <v>10930</v>
      </c>
      <c r="D474" s="19" t="s">
        <v>31</v>
      </c>
      <c r="E474" s="19" t="s">
        <v>10466</v>
      </c>
      <c r="F474" s="21">
        <f t="shared" si="496"/>
        <v>0.96999999999999997</v>
      </c>
      <c r="G474" s="21">
        <f t="shared" si="496"/>
        <v>0.96999999999999997</v>
      </c>
      <c r="H474" s="21">
        <f t="shared" si="496"/>
        <v>0.96999999999999997</v>
      </c>
      <c r="I474" s="24" t="str">
        <f t="shared" si="497"/>
        <v xml:space="preserve">COM VALOR</v>
      </c>
      <c r="L474" s="36">
        <v>0.96999999999999997</v>
      </c>
      <c r="M474" s="37">
        <v>0.96999999999999997</v>
      </c>
      <c r="N474" s="36">
        <v>0.96999999999999997</v>
      </c>
    </row>
    <row r="475" ht="38.25">
      <c r="A475" s="19" t="s">
        <v>10460</v>
      </c>
      <c r="B475" s="19">
        <v>7268</v>
      </c>
      <c r="C475" s="20" t="s">
        <v>10931</v>
      </c>
      <c r="D475" s="19" t="s">
        <v>31</v>
      </c>
      <c r="E475" s="19" t="s">
        <v>10459</v>
      </c>
      <c r="F475" s="21">
        <f t="shared" si="496"/>
        <v>1.51</v>
      </c>
      <c r="G475" s="21">
        <f t="shared" si="496"/>
        <v>1.51</v>
      </c>
      <c r="H475" s="21">
        <f t="shared" si="496"/>
        <v>1.51</v>
      </c>
      <c r="I475" s="24" t="str">
        <f t="shared" si="497"/>
        <v xml:space="preserve">COM VALOR</v>
      </c>
      <c r="L475" s="36">
        <v>1.51</v>
      </c>
      <c r="M475" s="37">
        <v>1.51</v>
      </c>
      <c r="N475" s="36">
        <v>1.51</v>
      </c>
    </row>
    <row r="476" ht="38.25">
      <c r="A476" s="19" t="s">
        <v>10460</v>
      </c>
      <c r="B476" s="19">
        <v>44459</v>
      </c>
      <c r="C476" s="20" t="s">
        <v>10932</v>
      </c>
      <c r="D476" s="19" t="s">
        <v>31</v>
      </c>
      <c r="E476" s="19" t="s">
        <v>10459</v>
      </c>
      <c r="F476" s="21">
        <f t="shared" si="496"/>
        <v>0.97999999999999998</v>
      </c>
      <c r="G476" s="21">
        <f t="shared" si="496"/>
        <v>0.97999999999999998</v>
      </c>
      <c r="H476" s="21">
        <f t="shared" si="496"/>
        <v>0.97999999999999998</v>
      </c>
      <c r="I476" s="24" t="str">
        <f t="shared" si="497"/>
        <v xml:space="preserve">COM VALOR</v>
      </c>
      <c r="L476" s="36">
        <v>0.97999999999999998</v>
      </c>
      <c r="M476" s="37">
        <v>0.97999999999999998</v>
      </c>
      <c r="N476" s="36">
        <v>0.97999999999999998</v>
      </c>
    </row>
    <row r="477" ht="38.25">
      <c r="A477" s="19" t="s">
        <v>10460</v>
      </c>
      <c r="B477" s="19">
        <v>44462</v>
      </c>
      <c r="C477" s="20" t="s">
        <v>10933</v>
      </c>
      <c r="D477" s="19" t="s">
        <v>31</v>
      </c>
      <c r="E477" s="19" t="s">
        <v>10459</v>
      </c>
      <c r="F477" s="21">
        <f t="shared" si="496"/>
        <v>1.73</v>
      </c>
      <c r="G477" s="21">
        <f t="shared" si="496"/>
        <v>1.73</v>
      </c>
      <c r="H477" s="21">
        <f t="shared" si="496"/>
        <v>1.73</v>
      </c>
      <c r="I477" s="24" t="str">
        <f t="shared" si="497"/>
        <v xml:space="preserve">COM VALOR</v>
      </c>
      <c r="L477" s="36">
        <v>1.73</v>
      </c>
      <c r="M477" s="37">
        <v>1.73</v>
      </c>
      <c r="N477" s="36">
        <v>1.73</v>
      </c>
    </row>
    <row r="478" ht="38.25">
      <c r="A478" s="19" t="s">
        <v>10460</v>
      </c>
      <c r="B478" s="19">
        <v>44463</v>
      </c>
      <c r="C478" s="20" t="s">
        <v>10934</v>
      </c>
      <c r="D478" s="19" t="s">
        <v>31</v>
      </c>
      <c r="E478" s="19" t="s">
        <v>10459</v>
      </c>
      <c r="F478" s="21">
        <f t="shared" si="496"/>
        <v>2.23</v>
      </c>
      <c r="G478" s="21">
        <f t="shared" si="496"/>
        <v>2.23</v>
      </c>
      <c r="H478" s="21">
        <f t="shared" si="496"/>
        <v>2.23</v>
      </c>
      <c r="I478" s="24" t="str">
        <f t="shared" si="497"/>
        <v xml:space="preserve">COM VALOR</v>
      </c>
      <c r="L478" s="36">
        <v>2.23</v>
      </c>
      <c r="M478" s="37">
        <v>2.23</v>
      </c>
      <c r="N478" s="36">
        <v>2.23</v>
      </c>
    </row>
    <row r="479" ht="38.25">
      <c r="A479" s="19" t="s">
        <v>10460</v>
      </c>
      <c r="B479" s="19">
        <v>44464</v>
      </c>
      <c r="C479" s="20" t="s">
        <v>10935</v>
      </c>
      <c r="D479" s="19" t="s">
        <v>31</v>
      </c>
      <c r="E479" s="19" t="s">
        <v>10459</v>
      </c>
      <c r="F479" s="21">
        <f t="shared" si="496"/>
        <v>2.3100000000000001</v>
      </c>
      <c r="G479" s="21">
        <f t="shared" si="496"/>
        <v>2.3100000000000001</v>
      </c>
      <c r="H479" s="21">
        <f t="shared" si="496"/>
        <v>2.3100000000000001</v>
      </c>
      <c r="I479" s="24" t="str">
        <f t="shared" si="497"/>
        <v xml:space="preserve">COM VALOR</v>
      </c>
      <c r="L479" s="36">
        <v>2.3100000000000001</v>
      </c>
      <c r="M479" s="37">
        <v>2.3100000000000001</v>
      </c>
      <c r="N479" s="36">
        <v>2.3100000000000001</v>
      </c>
    </row>
    <row r="480" ht="38.25">
      <c r="A480" s="19" t="s">
        <v>10460</v>
      </c>
      <c r="B480" s="19">
        <v>44465</v>
      </c>
      <c r="C480" s="20" t="s">
        <v>10936</v>
      </c>
      <c r="D480" s="19" t="s">
        <v>31</v>
      </c>
      <c r="E480" s="19" t="s">
        <v>10459</v>
      </c>
      <c r="F480" s="21">
        <f t="shared" si="496"/>
        <v>3.1699999999999999</v>
      </c>
      <c r="G480" s="21">
        <f t="shared" si="496"/>
        <v>3.1699999999999999</v>
      </c>
      <c r="H480" s="21">
        <f t="shared" si="496"/>
        <v>3.1699999999999999</v>
      </c>
      <c r="I480" s="24" t="str">
        <f t="shared" si="497"/>
        <v xml:space="preserve">COM VALOR</v>
      </c>
      <c r="L480" s="36">
        <v>3.1699999999999999</v>
      </c>
      <c r="M480" s="37">
        <v>3.1699999999999999</v>
      </c>
      <c r="N480" s="36">
        <v>3.1699999999999999</v>
      </c>
    </row>
    <row r="481" ht="38.25">
      <c r="A481" s="19" t="s">
        <v>10460</v>
      </c>
      <c r="B481" s="19">
        <v>38783</v>
      </c>
      <c r="C481" s="20" t="s">
        <v>10937</v>
      </c>
      <c r="D481" s="19" t="s">
        <v>31</v>
      </c>
      <c r="E481" s="19" t="s">
        <v>10459</v>
      </c>
      <c r="F481" s="21">
        <f t="shared" si="496"/>
        <v>1.1100000000000001</v>
      </c>
      <c r="G481" s="21">
        <f t="shared" si="496"/>
        <v>1.1100000000000001</v>
      </c>
      <c r="H481" s="21">
        <f t="shared" si="496"/>
        <v>1.1100000000000001</v>
      </c>
      <c r="I481" s="24" t="str">
        <f t="shared" si="497"/>
        <v xml:space="preserve">COM VALOR</v>
      </c>
      <c r="L481" s="36">
        <v>1.1100000000000001</v>
      </c>
      <c r="M481" s="37">
        <v>1.1100000000000001</v>
      </c>
      <c r="N481" s="36">
        <v>1.1100000000000001</v>
      </c>
    </row>
    <row r="482" ht="25.5">
      <c r="A482" s="19" t="s">
        <v>10460</v>
      </c>
      <c r="B482" s="19">
        <v>44466</v>
      </c>
      <c r="C482" s="20" t="s">
        <v>10938</v>
      </c>
      <c r="D482" s="19" t="s">
        <v>31</v>
      </c>
      <c r="E482" s="19" t="s">
        <v>10459</v>
      </c>
      <c r="F482" s="21">
        <f t="shared" si="496"/>
        <v>2.25</v>
      </c>
      <c r="G482" s="21">
        <f t="shared" si="496"/>
        <v>2.25</v>
      </c>
      <c r="H482" s="21">
        <f t="shared" si="496"/>
        <v>2.25</v>
      </c>
      <c r="I482" s="24" t="str">
        <f t="shared" si="497"/>
        <v xml:space="preserve">COM VALOR</v>
      </c>
      <c r="L482" s="36">
        <v>2.25</v>
      </c>
      <c r="M482" s="37">
        <v>2.25</v>
      </c>
      <c r="N482" s="36">
        <v>2.25</v>
      </c>
    </row>
    <row r="483" ht="25.5">
      <c r="A483" s="19" t="s">
        <v>10460</v>
      </c>
      <c r="B483" s="19">
        <v>44467</v>
      </c>
      <c r="C483" s="20" t="s">
        <v>10939</v>
      </c>
      <c r="D483" s="19" t="s">
        <v>31</v>
      </c>
      <c r="E483" s="19" t="s">
        <v>10459</v>
      </c>
      <c r="F483" s="21">
        <f t="shared" si="496"/>
        <v>2.71</v>
      </c>
      <c r="G483" s="21">
        <f t="shared" si="496"/>
        <v>2.71</v>
      </c>
      <c r="H483" s="21">
        <f t="shared" si="496"/>
        <v>2.71</v>
      </c>
      <c r="I483" s="24" t="str">
        <f t="shared" si="497"/>
        <v xml:space="preserve">COM VALOR</v>
      </c>
      <c r="L483" s="36">
        <v>2.71</v>
      </c>
      <c r="M483" s="37">
        <v>2.71</v>
      </c>
      <c r="N483" s="36">
        <v>2.71</v>
      </c>
    </row>
    <row r="484" ht="25.5">
      <c r="A484" s="19" t="s">
        <v>10460</v>
      </c>
      <c r="B484" s="19">
        <v>44468</v>
      </c>
      <c r="C484" s="20" t="s">
        <v>10940</v>
      </c>
      <c r="D484" s="19" t="s">
        <v>31</v>
      </c>
      <c r="E484" s="19" t="s">
        <v>10459</v>
      </c>
      <c r="F484" s="21">
        <f t="shared" si="496"/>
        <v>2.3500000000000001</v>
      </c>
      <c r="G484" s="21">
        <f t="shared" si="496"/>
        <v>2.3500000000000001</v>
      </c>
      <c r="H484" s="21">
        <f t="shared" si="496"/>
        <v>2.3500000000000001</v>
      </c>
      <c r="I484" s="24" t="str">
        <f t="shared" si="497"/>
        <v xml:space="preserve">COM VALOR</v>
      </c>
      <c r="L484" s="36">
        <v>2.3500000000000001</v>
      </c>
      <c r="M484" s="37">
        <v>2.3500000000000001</v>
      </c>
      <c r="N484" s="36">
        <v>2.3500000000000001</v>
      </c>
    </row>
    <row r="485" ht="25.5">
      <c r="A485" s="19" t="s">
        <v>10460</v>
      </c>
      <c r="B485" s="19">
        <v>37593</v>
      </c>
      <c r="C485" s="20" t="s">
        <v>10941</v>
      </c>
      <c r="D485" s="19" t="s">
        <v>31</v>
      </c>
      <c r="E485" s="19" t="s">
        <v>10459</v>
      </c>
      <c r="F485" s="21">
        <f t="shared" si="496"/>
        <v>3.02</v>
      </c>
      <c r="G485" s="21">
        <f t="shared" si="496"/>
        <v>3.02</v>
      </c>
      <c r="H485" s="21">
        <f t="shared" si="496"/>
        <v>3.02</v>
      </c>
      <c r="I485" s="24" t="str">
        <f t="shared" si="497"/>
        <v xml:space="preserve">COM VALOR</v>
      </c>
      <c r="L485" s="36">
        <v>3.02</v>
      </c>
      <c r="M485" s="37">
        <v>3.02</v>
      </c>
      <c r="N485" s="36">
        <v>3.02</v>
      </c>
    </row>
    <row r="486" ht="25.5">
      <c r="A486" s="19" t="s">
        <v>10460</v>
      </c>
      <c r="B486" s="19">
        <v>37594</v>
      </c>
      <c r="C486" s="20" t="s">
        <v>10942</v>
      </c>
      <c r="D486" s="19" t="s">
        <v>31</v>
      </c>
      <c r="E486" s="19" t="s">
        <v>10459</v>
      </c>
      <c r="F486" s="21">
        <f t="shared" si="496"/>
        <v>3.5899999999999999</v>
      </c>
      <c r="G486" s="21">
        <f t="shared" si="496"/>
        <v>3.5899999999999999</v>
      </c>
      <c r="H486" s="21">
        <f t="shared" si="496"/>
        <v>3.5899999999999999</v>
      </c>
      <c r="I486" s="24" t="str">
        <f t="shared" si="497"/>
        <v xml:space="preserve">COM VALOR</v>
      </c>
      <c r="L486" s="36">
        <v>3.5899999999999999</v>
      </c>
      <c r="M486" s="37">
        <v>3.5899999999999999</v>
      </c>
      <c r="N486" s="36">
        <v>3.5899999999999999</v>
      </c>
    </row>
    <row r="487" ht="25.5">
      <c r="A487" s="19" t="s">
        <v>10460</v>
      </c>
      <c r="B487" s="19">
        <v>37592</v>
      </c>
      <c r="C487" s="20" t="s">
        <v>10943</v>
      </c>
      <c r="D487" s="19" t="s">
        <v>31</v>
      </c>
      <c r="E487" s="19" t="s">
        <v>10459</v>
      </c>
      <c r="F487" s="21">
        <f t="shared" si="496"/>
        <v>2.3900000000000001</v>
      </c>
      <c r="G487" s="21">
        <f t="shared" si="496"/>
        <v>2.3900000000000001</v>
      </c>
      <c r="H487" s="21">
        <f t="shared" si="496"/>
        <v>2.3900000000000001</v>
      </c>
      <c r="I487" s="24" t="str">
        <f t="shared" si="497"/>
        <v xml:space="preserve">COM VALOR</v>
      </c>
      <c r="L487" s="36">
        <v>2.3900000000000001</v>
      </c>
      <c r="M487" s="37">
        <v>2.3900000000000001</v>
      </c>
      <c r="N487" s="36">
        <v>2.3900000000000001</v>
      </c>
    </row>
    <row r="488" ht="25.5">
      <c r="A488" s="19" t="s">
        <v>10460</v>
      </c>
      <c r="B488" s="19">
        <v>41372</v>
      </c>
      <c r="C488" s="20" t="s">
        <v>10944</v>
      </c>
      <c r="D488" s="19" t="s">
        <v>29</v>
      </c>
      <c r="E488" s="19" t="s">
        <v>10459</v>
      </c>
      <c r="F488" s="21" t="str">
        <f t="shared" si="496"/>
        <v>VERIFICAR</v>
      </c>
      <c r="G488" s="21" t="str">
        <f t="shared" si="496"/>
        <v>VERIFICAR</v>
      </c>
      <c r="H488" s="21" t="str">
        <f t="shared" si="496"/>
        <v>VERIFICAR</v>
      </c>
      <c r="I488" s="24" t="str">
        <f t="shared" si="497"/>
        <v xml:space="preserve">SEM VALOR</v>
      </c>
      <c r="L488" s="36"/>
      <c r="M488" s="37"/>
      <c r="N488" s="36"/>
    </row>
    <row r="489" ht="25.5">
      <c r="A489" s="19" t="s">
        <v>10460</v>
      </c>
      <c r="B489" s="19">
        <v>41371</v>
      </c>
      <c r="C489" s="20" t="s">
        <v>10945</v>
      </c>
      <c r="D489" s="19" t="s">
        <v>29</v>
      </c>
      <c r="E489" s="19" t="s">
        <v>10459</v>
      </c>
      <c r="F489" s="21" t="str">
        <f t="shared" si="496"/>
        <v>VERIFICAR</v>
      </c>
      <c r="G489" s="21" t="str">
        <f t="shared" si="496"/>
        <v>VERIFICAR</v>
      </c>
      <c r="H489" s="21" t="str">
        <f t="shared" si="496"/>
        <v>VERIFICAR</v>
      </c>
      <c r="I489" s="24" t="str">
        <f t="shared" si="497"/>
        <v xml:space="preserve">SEM VALOR</v>
      </c>
      <c r="L489" s="36"/>
      <c r="M489" s="37"/>
      <c r="N489" s="36"/>
    </row>
    <row r="490" ht="25.5">
      <c r="A490" s="19" t="s">
        <v>10460</v>
      </c>
      <c r="B490" s="19">
        <v>34556</v>
      </c>
      <c r="C490" s="20" t="s">
        <v>10946</v>
      </c>
      <c r="D490" s="19" t="s">
        <v>31</v>
      </c>
      <c r="E490" s="19" t="s">
        <v>10459</v>
      </c>
      <c r="F490" s="21">
        <f t="shared" si="496"/>
        <v>5.5800000000000001</v>
      </c>
      <c r="G490" s="21">
        <f t="shared" si="496"/>
        <v>5.5800000000000001</v>
      </c>
      <c r="H490" s="21">
        <f t="shared" si="496"/>
        <v>5.5800000000000001</v>
      </c>
      <c r="I490" s="24" t="str">
        <f t="shared" si="497"/>
        <v xml:space="preserve">COM VALOR</v>
      </c>
      <c r="L490" s="36">
        <v>5.5800000000000001</v>
      </c>
      <c r="M490" s="37">
        <v>5.5800000000000001</v>
      </c>
      <c r="N490" s="36">
        <v>5.5800000000000001</v>
      </c>
    </row>
    <row r="491" ht="25.5">
      <c r="A491" s="19" t="s">
        <v>10460</v>
      </c>
      <c r="B491" s="19">
        <v>37873</v>
      </c>
      <c r="C491" s="20" t="s">
        <v>10947</v>
      </c>
      <c r="D491" s="19" t="s">
        <v>31</v>
      </c>
      <c r="E491" s="19" t="s">
        <v>10459</v>
      </c>
      <c r="F491" s="21">
        <f t="shared" si="496"/>
        <v>5.6799999999999997</v>
      </c>
      <c r="G491" s="21">
        <f t="shared" si="496"/>
        <v>5.6799999999999997</v>
      </c>
      <c r="H491" s="21">
        <f t="shared" si="496"/>
        <v>5.6799999999999997</v>
      </c>
      <c r="I491" s="24" t="str">
        <f t="shared" si="497"/>
        <v xml:space="preserve">COM VALOR</v>
      </c>
      <c r="L491" s="36">
        <v>5.6799999999999997</v>
      </c>
      <c r="M491" s="37">
        <v>5.6799999999999997</v>
      </c>
      <c r="N491" s="36">
        <v>5.6799999999999997</v>
      </c>
    </row>
    <row r="492" ht="25.5">
      <c r="A492" s="19" t="s">
        <v>10460</v>
      </c>
      <c r="B492" s="19">
        <v>34564</v>
      </c>
      <c r="C492" s="20" t="s">
        <v>10948</v>
      </c>
      <c r="D492" s="19" t="s">
        <v>31</v>
      </c>
      <c r="E492" s="19" t="s">
        <v>10459</v>
      </c>
      <c r="F492" s="21">
        <f t="shared" si="496"/>
        <v>5.9500000000000002</v>
      </c>
      <c r="G492" s="21">
        <f t="shared" si="496"/>
        <v>5.9500000000000002</v>
      </c>
      <c r="H492" s="21">
        <f t="shared" si="496"/>
        <v>5.9500000000000002</v>
      </c>
      <c r="I492" s="24" t="str">
        <f t="shared" si="497"/>
        <v xml:space="preserve">COM VALOR</v>
      </c>
      <c r="L492" s="36">
        <v>5.9500000000000002</v>
      </c>
      <c r="M492" s="37">
        <v>5.9500000000000002</v>
      </c>
      <c r="N492" s="36">
        <v>5.9500000000000002</v>
      </c>
    </row>
    <row r="493" ht="25.5">
      <c r="A493" s="19" t="s">
        <v>10460</v>
      </c>
      <c r="B493" s="19">
        <v>34565</v>
      </c>
      <c r="C493" s="20" t="s">
        <v>10949</v>
      </c>
      <c r="D493" s="19" t="s">
        <v>31</v>
      </c>
      <c r="E493" s="19" t="s">
        <v>10459</v>
      </c>
      <c r="F493" s="21">
        <f t="shared" si="496"/>
        <v>6.29</v>
      </c>
      <c r="G493" s="21">
        <f t="shared" si="496"/>
        <v>6.29</v>
      </c>
      <c r="H493" s="21">
        <f t="shared" si="496"/>
        <v>6.29</v>
      </c>
      <c r="I493" s="24" t="str">
        <f t="shared" si="497"/>
        <v xml:space="preserve">COM VALOR</v>
      </c>
      <c r="L493" s="36">
        <v>6.29</v>
      </c>
      <c r="M493" s="37">
        <v>6.29</v>
      </c>
      <c r="N493" s="36">
        <v>6.29</v>
      </c>
    </row>
    <row r="494" ht="25.5">
      <c r="A494" s="19" t="s">
        <v>10460</v>
      </c>
      <c r="B494" s="19">
        <v>38590</v>
      </c>
      <c r="C494" s="20" t="s">
        <v>10950</v>
      </c>
      <c r="D494" s="19" t="s">
        <v>31</v>
      </c>
      <c r="E494" s="19" t="s">
        <v>10459</v>
      </c>
      <c r="F494" s="21">
        <f t="shared" si="496"/>
        <v>4.6500000000000004</v>
      </c>
      <c r="G494" s="21">
        <f t="shared" si="496"/>
        <v>4.6500000000000004</v>
      </c>
      <c r="H494" s="21">
        <f t="shared" si="496"/>
        <v>4.6500000000000004</v>
      </c>
      <c r="I494" s="24" t="str">
        <f t="shared" si="497"/>
        <v xml:space="preserve">COM VALOR</v>
      </c>
      <c r="L494" s="36">
        <v>4.6500000000000004</v>
      </c>
      <c r="M494" s="37">
        <v>4.6500000000000004</v>
      </c>
      <c r="N494" s="36">
        <v>4.6500000000000004</v>
      </c>
    </row>
    <row r="495" ht="25.5">
      <c r="A495" s="19" t="s">
        <v>10460</v>
      </c>
      <c r="B495" s="19">
        <v>34566</v>
      </c>
      <c r="C495" s="20" t="s">
        <v>10951</v>
      </c>
      <c r="D495" s="19" t="s">
        <v>31</v>
      </c>
      <c r="E495" s="19" t="s">
        <v>10459</v>
      </c>
      <c r="F495" s="21">
        <f t="shared" si="496"/>
        <v>4.8799999999999999</v>
      </c>
      <c r="G495" s="21">
        <f t="shared" si="496"/>
        <v>4.8799999999999999</v>
      </c>
      <c r="H495" s="21">
        <f t="shared" si="496"/>
        <v>4.8799999999999999</v>
      </c>
      <c r="I495" s="24" t="str">
        <f t="shared" si="497"/>
        <v xml:space="preserve">COM VALOR</v>
      </c>
      <c r="L495" s="36">
        <v>4.8799999999999999</v>
      </c>
      <c r="M495" s="37">
        <v>4.8799999999999999</v>
      </c>
      <c r="N495" s="36">
        <v>4.8799999999999999</v>
      </c>
    </row>
    <row r="496" ht="25.5">
      <c r="A496" s="19" t="s">
        <v>10460</v>
      </c>
      <c r="B496" s="19">
        <v>34567</v>
      </c>
      <c r="C496" s="20" t="s">
        <v>10952</v>
      </c>
      <c r="D496" s="19" t="s">
        <v>31</v>
      </c>
      <c r="E496" s="19" t="s">
        <v>10459</v>
      </c>
      <c r="F496" s="21">
        <f t="shared" si="496"/>
        <v>5.1699999999999999</v>
      </c>
      <c r="G496" s="21">
        <f t="shared" si="496"/>
        <v>5.1699999999999999</v>
      </c>
      <c r="H496" s="21">
        <f t="shared" si="496"/>
        <v>5.1699999999999999</v>
      </c>
      <c r="I496" s="24" t="str">
        <f t="shared" si="497"/>
        <v xml:space="preserve">COM VALOR</v>
      </c>
      <c r="L496" s="36">
        <v>5.1699999999999999</v>
      </c>
      <c r="M496" s="37">
        <v>5.1699999999999999</v>
      </c>
      <c r="N496" s="36">
        <v>5.1699999999999999</v>
      </c>
    </row>
    <row r="497" ht="25.5">
      <c r="A497" s="19" t="s">
        <v>10460</v>
      </c>
      <c r="B497" s="19">
        <v>38591</v>
      </c>
      <c r="C497" s="20" t="s">
        <v>10953</v>
      </c>
      <c r="D497" s="19" t="s">
        <v>31</v>
      </c>
      <c r="E497" s="19" t="s">
        <v>10459</v>
      </c>
      <c r="F497" s="21">
        <f t="shared" si="496"/>
        <v>4.7000000000000002</v>
      </c>
      <c r="G497" s="21">
        <f t="shared" si="496"/>
        <v>4.7000000000000002</v>
      </c>
      <c r="H497" s="21">
        <f t="shared" si="496"/>
        <v>4.7000000000000002</v>
      </c>
      <c r="I497" s="24" t="str">
        <f t="shared" si="497"/>
        <v xml:space="preserve">COM VALOR</v>
      </c>
      <c r="L497" s="36">
        <v>4.7000000000000002</v>
      </c>
      <c r="M497" s="37">
        <v>4.7000000000000002</v>
      </c>
      <c r="N497" s="36">
        <v>4.7000000000000002</v>
      </c>
    </row>
    <row r="498" ht="25.5">
      <c r="A498" s="19" t="s">
        <v>10460</v>
      </c>
      <c r="B498" s="19">
        <v>34568</v>
      </c>
      <c r="C498" s="20" t="s">
        <v>10954</v>
      </c>
      <c r="D498" s="19" t="s">
        <v>31</v>
      </c>
      <c r="E498" s="19" t="s">
        <v>10459</v>
      </c>
      <c r="F498" s="21">
        <f t="shared" si="496"/>
        <v>6.1200000000000001</v>
      </c>
      <c r="G498" s="21">
        <f t="shared" si="496"/>
        <v>6.1200000000000001</v>
      </c>
      <c r="H498" s="21">
        <f t="shared" si="496"/>
        <v>6.1200000000000001</v>
      </c>
      <c r="I498" s="24" t="str">
        <f t="shared" si="497"/>
        <v xml:space="preserve">COM VALOR</v>
      </c>
      <c r="L498" s="36">
        <v>6.1200000000000001</v>
      </c>
      <c r="M498" s="37">
        <v>6.1200000000000001</v>
      </c>
      <c r="N498" s="36">
        <v>6.1200000000000001</v>
      </c>
    </row>
    <row r="499" ht="25.5">
      <c r="A499" s="19" t="s">
        <v>10460</v>
      </c>
      <c r="B499" s="19">
        <v>34569</v>
      </c>
      <c r="C499" s="20" t="s">
        <v>10955</v>
      </c>
      <c r="D499" s="19" t="s">
        <v>31</v>
      </c>
      <c r="E499" s="19" t="s">
        <v>10459</v>
      </c>
      <c r="F499" s="21">
        <f t="shared" si="496"/>
        <v>6.29</v>
      </c>
      <c r="G499" s="21">
        <f t="shared" si="496"/>
        <v>6.29</v>
      </c>
      <c r="H499" s="21">
        <f t="shared" si="496"/>
        <v>6.29</v>
      </c>
      <c r="I499" s="24" t="str">
        <f t="shared" si="497"/>
        <v xml:space="preserve">COM VALOR</v>
      </c>
      <c r="L499" s="36">
        <v>6.29</v>
      </c>
      <c r="M499" s="37">
        <v>6.29</v>
      </c>
      <c r="N499" s="36">
        <v>6.29</v>
      </c>
    </row>
    <row r="500" ht="25.5">
      <c r="A500" s="19" t="s">
        <v>10460</v>
      </c>
      <c r="B500" s="19">
        <v>34570</v>
      </c>
      <c r="C500" s="20" t="s">
        <v>10956</v>
      </c>
      <c r="D500" s="19" t="s">
        <v>31</v>
      </c>
      <c r="E500" s="19" t="s">
        <v>10459</v>
      </c>
      <c r="F500" s="21">
        <f t="shared" si="496"/>
        <v>6.8300000000000001</v>
      </c>
      <c r="G500" s="21">
        <f t="shared" si="496"/>
        <v>6.8300000000000001</v>
      </c>
      <c r="H500" s="21">
        <f t="shared" si="496"/>
        <v>6.8300000000000001</v>
      </c>
      <c r="I500" s="24" t="str">
        <f t="shared" si="497"/>
        <v xml:space="preserve">COM VALOR</v>
      </c>
      <c r="L500" s="36">
        <v>6.8300000000000001</v>
      </c>
      <c r="M500" s="37">
        <v>6.8300000000000001</v>
      </c>
      <c r="N500" s="36">
        <v>6.8300000000000001</v>
      </c>
    </row>
    <row r="501" ht="25.5">
      <c r="A501" s="19" t="s">
        <v>10460</v>
      </c>
      <c r="B501" s="19">
        <v>25070</v>
      </c>
      <c r="C501" s="20" t="s">
        <v>10957</v>
      </c>
      <c r="D501" s="19" t="s">
        <v>31</v>
      </c>
      <c r="E501" s="19" t="s">
        <v>10459</v>
      </c>
      <c r="F501" s="21">
        <f t="shared" si="496"/>
        <v>5.1399999999999997</v>
      </c>
      <c r="G501" s="21">
        <f t="shared" si="496"/>
        <v>5.1399999999999997</v>
      </c>
      <c r="H501" s="21">
        <f t="shared" si="496"/>
        <v>5.1399999999999997</v>
      </c>
      <c r="I501" s="24" t="str">
        <f t="shared" si="497"/>
        <v xml:space="preserve">COM VALOR</v>
      </c>
      <c r="L501" s="36">
        <v>5.1399999999999997</v>
      </c>
      <c r="M501" s="37">
        <v>5.1399999999999997</v>
      </c>
      <c r="N501" s="36">
        <v>5.1399999999999997</v>
      </c>
    </row>
    <row r="502" ht="25.5">
      <c r="A502" s="19" t="s">
        <v>10460</v>
      </c>
      <c r="B502" s="19">
        <v>34571</v>
      </c>
      <c r="C502" s="20" t="s">
        <v>10958</v>
      </c>
      <c r="D502" s="19" t="s">
        <v>31</v>
      </c>
      <c r="E502" s="19" t="s">
        <v>10459</v>
      </c>
      <c r="F502" s="21">
        <f t="shared" si="496"/>
        <v>5.1900000000000004</v>
      </c>
      <c r="G502" s="21">
        <f t="shared" si="496"/>
        <v>5.1900000000000004</v>
      </c>
      <c r="H502" s="21">
        <f t="shared" si="496"/>
        <v>5.1900000000000004</v>
      </c>
      <c r="I502" s="24" t="str">
        <f t="shared" si="497"/>
        <v xml:space="preserve">COM VALOR</v>
      </c>
      <c r="L502" s="36">
        <v>5.1900000000000004</v>
      </c>
      <c r="M502" s="37">
        <v>5.1900000000000004</v>
      </c>
      <c r="N502" s="36">
        <v>5.1900000000000004</v>
      </c>
    </row>
    <row r="503" ht="25.5">
      <c r="A503" s="19" t="s">
        <v>10460</v>
      </c>
      <c r="B503" s="19">
        <v>34573</v>
      </c>
      <c r="C503" s="20" t="s">
        <v>10959</v>
      </c>
      <c r="D503" s="19" t="s">
        <v>31</v>
      </c>
      <c r="E503" s="19" t="s">
        <v>10459</v>
      </c>
      <c r="F503" s="21">
        <f t="shared" si="496"/>
        <v>5.46</v>
      </c>
      <c r="G503" s="21">
        <f t="shared" si="496"/>
        <v>5.46</v>
      </c>
      <c r="H503" s="21">
        <f t="shared" si="496"/>
        <v>5.46</v>
      </c>
      <c r="I503" s="24" t="str">
        <f t="shared" si="497"/>
        <v xml:space="preserve">COM VALOR</v>
      </c>
      <c r="L503" s="36">
        <v>5.46</v>
      </c>
      <c r="M503" s="37">
        <v>5.46</v>
      </c>
      <c r="N503" s="36">
        <v>5.46</v>
      </c>
    </row>
    <row r="504" ht="25.5">
      <c r="A504" s="19" t="s">
        <v>10460</v>
      </c>
      <c r="B504" s="19">
        <v>37107</v>
      </c>
      <c r="C504" s="20" t="s">
        <v>10960</v>
      </c>
      <c r="D504" s="19" t="s">
        <v>31</v>
      </c>
      <c r="E504" s="19" t="s">
        <v>10459</v>
      </c>
      <c r="F504" s="21">
        <f t="shared" si="496"/>
        <v>7.21</v>
      </c>
      <c r="G504" s="21">
        <f t="shared" si="496"/>
        <v>7.21</v>
      </c>
      <c r="H504" s="21">
        <f t="shared" si="496"/>
        <v>7.21</v>
      </c>
      <c r="I504" s="24" t="str">
        <f t="shared" si="497"/>
        <v xml:space="preserve">COM VALOR</v>
      </c>
      <c r="L504" s="36">
        <v>7.21</v>
      </c>
      <c r="M504" s="37">
        <v>7.21</v>
      </c>
      <c r="N504" s="36">
        <v>7.21</v>
      </c>
    </row>
    <row r="505" ht="25.5">
      <c r="A505" s="19" t="s">
        <v>10460</v>
      </c>
      <c r="B505" s="19">
        <v>34576</v>
      </c>
      <c r="C505" s="20" t="s">
        <v>10961</v>
      </c>
      <c r="D505" s="19" t="s">
        <v>31</v>
      </c>
      <c r="E505" s="19" t="s">
        <v>10459</v>
      </c>
      <c r="F505" s="21">
        <f t="shared" si="496"/>
        <v>7.9500000000000002</v>
      </c>
      <c r="G505" s="21">
        <f t="shared" si="496"/>
        <v>7.9500000000000002</v>
      </c>
      <c r="H505" s="21">
        <f t="shared" si="496"/>
        <v>7.9500000000000002</v>
      </c>
      <c r="I505" s="24" t="str">
        <f t="shared" si="497"/>
        <v xml:space="preserve">COM VALOR</v>
      </c>
      <c r="L505" s="36">
        <v>7.9500000000000002</v>
      </c>
      <c r="M505" s="37">
        <v>7.9500000000000002</v>
      </c>
      <c r="N505" s="36">
        <v>7.9500000000000002</v>
      </c>
    </row>
    <row r="506" ht="25.5">
      <c r="A506" s="19" t="s">
        <v>10460</v>
      </c>
      <c r="B506" s="19">
        <v>34577</v>
      </c>
      <c r="C506" s="20" t="s">
        <v>10962</v>
      </c>
      <c r="D506" s="19" t="s">
        <v>31</v>
      </c>
      <c r="E506" s="19" t="s">
        <v>10459</v>
      </c>
      <c r="F506" s="21">
        <f t="shared" si="496"/>
        <v>8.3000000000000007</v>
      </c>
      <c r="G506" s="21">
        <f t="shared" si="496"/>
        <v>8.3000000000000007</v>
      </c>
      <c r="H506" s="21">
        <f t="shared" si="496"/>
        <v>8.3000000000000007</v>
      </c>
      <c r="I506" s="24" t="str">
        <f t="shared" si="497"/>
        <v xml:space="preserve">COM VALOR</v>
      </c>
      <c r="L506" s="36">
        <v>8.3000000000000007</v>
      </c>
      <c r="M506" s="37">
        <v>8.3000000000000007</v>
      </c>
      <c r="N506" s="36">
        <v>8.3000000000000007</v>
      </c>
    </row>
    <row r="507" ht="25.5">
      <c r="A507" s="19" t="s">
        <v>10460</v>
      </c>
      <c r="B507" s="19">
        <v>34578</v>
      </c>
      <c r="C507" s="20" t="s">
        <v>10963</v>
      </c>
      <c r="D507" s="19" t="s">
        <v>31</v>
      </c>
      <c r="E507" s="19" t="s">
        <v>10459</v>
      </c>
      <c r="F507" s="21">
        <f t="shared" si="496"/>
        <v>9</v>
      </c>
      <c r="G507" s="21">
        <f t="shared" si="496"/>
        <v>9</v>
      </c>
      <c r="H507" s="21">
        <f t="shared" si="496"/>
        <v>9</v>
      </c>
      <c r="I507" s="24" t="str">
        <f t="shared" si="497"/>
        <v xml:space="preserve">COM VALOR</v>
      </c>
      <c r="L507" s="36">
        <v>9</v>
      </c>
      <c r="M507" s="37">
        <v>9</v>
      </c>
      <c r="N507" s="36">
        <v>9</v>
      </c>
    </row>
    <row r="508" ht="25.5">
      <c r="A508" s="19" t="s">
        <v>10460</v>
      </c>
      <c r="B508" s="19">
        <v>34579</v>
      </c>
      <c r="C508" s="20" t="s">
        <v>10964</v>
      </c>
      <c r="D508" s="19" t="s">
        <v>31</v>
      </c>
      <c r="E508" s="19" t="s">
        <v>10459</v>
      </c>
      <c r="F508" s="21">
        <f t="shared" si="496"/>
        <v>9.5999999999999996</v>
      </c>
      <c r="G508" s="21">
        <f t="shared" si="496"/>
        <v>9.5999999999999996</v>
      </c>
      <c r="H508" s="21">
        <f t="shared" si="496"/>
        <v>9.5999999999999996</v>
      </c>
      <c r="I508" s="24" t="str">
        <f t="shared" si="497"/>
        <v xml:space="preserve">COM VALOR</v>
      </c>
      <c r="L508" s="36">
        <v>9.5999999999999996</v>
      </c>
      <c r="M508" s="37">
        <v>9.5999999999999996</v>
      </c>
      <c r="N508" s="36">
        <v>9.5999999999999996</v>
      </c>
    </row>
    <row r="509" ht="25.5">
      <c r="A509" s="19" t="s">
        <v>10460</v>
      </c>
      <c r="B509" s="19">
        <v>25067</v>
      </c>
      <c r="C509" s="20" t="s">
        <v>10965</v>
      </c>
      <c r="D509" s="19" t="s">
        <v>31</v>
      </c>
      <c r="E509" s="19" t="s">
        <v>10459</v>
      </c>
      <c r="F509" s="21">
        <f t="shared" si="496"/>
        <v>6.4199999999999999</v>
      </c>
      <c r="G509" s="21">
        <f t="shared" si="496"/>
        <v>6.4199999999999999</v>
      </c>
      <c r="H509" s="21">
        <f t="shared" si="496"/>
        <v>6.4199999999999999</v>
      </c>
      <c r="I509" s="24" t="str">
        <f t="shared" si="497"/>
        <v xml:space="preserve">COM VALOR</v>
      </c>
      <c r="L509" s="36">
        <v>6.4199999999999999</v>
      </c>
      <c r="M509" s="37">
        <v>6.4199999999999999</v>
      </c>
      <c r="N509" s="36">
        <v>6.4199999999999999</v>
      </c>
    </row>
    <row r="510" ht="25.5">
      <c r="A510" s="19" t="s">
        <v>10460</v>
      </c>
      <c r="B510" s="19">
        <v>34580</v>
      </c>
      <c r="C510" s="20" t="s">
        <v>10966</v>
      </c>
      <c r="D510" s="19" t="s">
        <v>31</v>
      </c>
      <c r="E510" s="19" t="s">
        <v>10459</v>
      </c>
      <c r="F510" s="21">
        <f t="shared" si="496"/>
        <v>7.1699999999999999</v>
      </c>
      <c r="G510" s="21">
        <f t="shared" si="496"/>
        <v>7.1699999999999999</v>
      </c>
      <c r="H510" s="21">
        <f t="shared" si="496"/>
        <v>7.1699999999999999</v>
      </c>
      <c r="I510" s="24" t="str">
        <f t="shared" si="497"/>
        <v xml:space="preserve">COM VALOR</v>
      </c>
      <c r="L510" s="36">
        <v>7.1699999999999999</v>
      </c>
      <c r="M510" s="37">
        <v>7.1699999999999999</v>
      </c>
      <c r="N510" s="36">
        <v>7.1699999999999999</v>
      </c>
    </row>
    <row r="511" ht="25.5">
      <c r="A511" s="19" t="s">
        <v>10460</v>
      </c>
      <c r="B511" s="19">
        <v>25071</v>
      </c>
      <c r="C511" s="20" t="s">
        <v>10967</v>
      </c>
      <c r="D511" s="19" t="s">
        <v>31</v>
      </c>
      <c r="E511" s="19" t="s">
        <v>10459</v>
      </c>
      <c r="F511" s="21">
        <f t="shared" si="496"/>
        <v>3.5699999999999998</v>
      </c>
      <c r="G511" s="21">
        <f t="shared" si="496"/>
        <v>3.5699999999999998</v>
      </c>
      <c r="H511" s="21">
        <f t="shared" si="496"/>
        <v>3.5699999999999998</v>
      </c>
      <c r="I511" s="24" t="str">
        <f t="shared" si="497"/>
        <v xml:space="preserve">COM VALOR</v>
      </c>
      <c r="L511" s="36">
        <v>3.5699999999999998</v>
      </c>
      <c r="M511" s="37">
        <v>3.5699999999999998</v>
      </c>
      <c r="N511" s="36">
        <v>3.5699999999999998</v>
      </c>
    </row>
    <row r="512" ht="12.75">
      <c r="A512" s="19" t="s">
        <v>10460</v>
      </c>
      <c r="B512" s="19">
        <v>44171</v>
      </c>
      <c r="C512" s="20" t="s">
        <v>10968</v>
      </c>
      <c r="D512" s="19" t="s">
        <v>31</v>
      </c>
      <c r="E512" s="19" t="s">
        <v>10459</v>
      </c>
      <c r="F512" s="21">
        <f t="shared" si="496"/>
        <v>24.25</v>
      </c>
      <c r="G512" s="21">
        <f t="shared" si="496"/>
        <v>24.25</v>
      </c>
      <c r="H512" s="21">
        <f t="shared" si="496"/>
        <v>24.25</v>
      </c>
      <c r="I512" s="24" t="str">
        <f t="shared" si="497"/>
        <v xml:space="preserve">COM VALOR</v>
      </c>
      <c r="L512" s="36">
        <v>24.25</v>
      </c>
      <c r="M512" s="37">
        <v>24.25</v>
      </c>
      <c r="N512" s="36">
        <v>24.25</v>
      </c>
    </row>
    <row r="513" ht="12.75">
      <c r="A513" s="19" t="s">
        <v>10460</v>
      </c>
      <c r="B513" s="19">
        <v>38395</v>
      </c>
      <c r="C513" s="20" t="s">
        <v>10969</v>
      </c>
      <c r="D513" s="19" t="s">
        <v>31</v>
      </c>
      <c r="E513" s="19" t="s">
        <v>10459</v>
      </c>
      <c r="F513" s="21">
        <f t="shared" si="496"/>
        <v>12.23</v>
      </c>
      <c r="G513" s="21">
        <f t="shared" si="496"/>
        <v>12.23</v>
      </c>
      <c r="H513" s="21">
        <f t="shared" si="496"/>
        <v>12.23</v>
      </c>
      <c r="I513" s="24" t="str">
        <f t="shared" si="497"/>
        <v xml:space="preserve">COM VALOR</v>
      </c>
      <c r="L513" s="36">
        <v>12.23</v>
      </c>
      <c r="M513" s="37">
        <v>12.23</v>
      </c>
      <c r="N513" s="36">
        <v>12.23</v>
      </c>
    </row>
    <row r="514" ht="25.5">
      <c r="A514" s="19" t="s">
        <v>10460</v>
      </c>
      <c r="B514" s="19">
        <v>34583</v>
      </c>
      <c r="C514" s="20" t="s">
        <v>10970</v>
      </c>
      <c r="D514" s="19" t="s">
        <v>29</v>
      </c>
      <c r="E514" s="19" t="s">
        <v>10459</v>
      </c>
      <c r="F514" s="21">
        <f t="shared" si="496"/>
        <v>58.630000000000003</v>
      </c>
      <c r="G514" s="21">
        <f t="shared" si="496"/>
        <v>58.630000000000003</v>
      </c>
      <c r="H514" s="21">
        <f t="shared" si="496"/>
        <v>58.630000000000003</v>
      </c>
      <c r="I514" s="24" t="str">
        <f t="shared" si="497"/>
        <v xml:space="preserve">COM VALOR</v>
      </c>
      <c r="L514" s="36">
        <v>58.630000000000003</v>
      </c>
      <c r="M514" s="37">
        <v>58.630000000000003</v>
      </c>
      <c r="N514" s="36">
        <v>58.630000000000003</v>
      </c>
    </row>
    <row r="515" ht="25.5">
      <c r="A515" s="19" t="s">
        <v>10460</v>
      </c>
      <c r="B515" s="19">
        <v>34584</v>
      </c>
      <c r="C515" s="20" t="s">
        <v>10971</v>
      </c>
      <c r="D515" s="19" t="s">
        <v>29</v>
      </c>
      <c r="E515" s="19" t="s">
        <v>10459</v>
      </c>
      <c r="F515" s="21">
        <f t="shared" si="496"/>
        <v>43</v>
      </c>
      <c r="G515" s="21">
        <f t="shared" si="496"/>
        <v>43</v>
      </c>
      <c r="H515" s="21">
        <f t="shared" si="496"/>
        <v>43</v>
      </c>
      <c r="I515" s="24" t="str">
        <f t="shared" si="497"/>
        <v xml:space="preserve">COM VALOR</v>
      </c>
      <c r="L515" s="36">
        <v>43</v>
      </c>
      <c r="M515" s="37">
        <v>43</v>
      </c>
      <c r="N515" s="36">
        <v>43</v>
      </c>
    </row>
    <row r="516" ht="38.25">
      <c r="A516" s="19" t="s">
        <v>10460</v>
      </c>
      <c r="B516" s="19">
        <v>709</v>
      </c>
      <c r="C516" s="20" t="s">
        <v>10972</v>
      </c>
      <c r="D516" s="19" t="s">
        <v>29</v>
      </c>
      <c r="E516" s="19" t="s">
        <v>10459</v>
      </c>
      <c r="F516" s="21" t="str">
        <f t="shared" si="496"/>
        <v>VERIFICAR</v>
      </c>
      <c r="G516" s="21" t="str">
        <f t="shared" si="496"/>
        <v>VERIFICAR</v>
      </c>
      <c r="H516" s="21" t="str">
        <f t="shared" si="496"/>
        <v>VERIFICAR</v>
      </c>
      <c r="I516" s="24" t="str">
        <f t="shared" si="497"/>
        <v xml:space="preserve">SEM VALOR</v>
      </c>
      <c r="L516" s="36"/>
      <c r="M516" s="37"/>
      <c r="N516" s="36"/>
    </row>
    <row r="517" ht="25.5">
      <c r="A517" s="19" t="s">
        <v>10460</v>
      </c>
      <c r="B517" s="19">
        <v>34592</v>
      </c>
      <c r="C517" s="20" t="s">
        <v>10973</v>
      </c>
      <c r="D517" s="19" t="s">
        <v>31</v>
      </c>
      <c r="E517" s="19" t="s">
        <v>10459</v>
      </c>
      <c r="F517" s="21">
        <f t="shared" si="496"/>
        <v>4.0800000000000001</v>
      </c>
      <c r="G517" s="21">
        <f t="shared" si="496"/>
        <v>4.0800000000000001</v>
      </c>
      <c r="H517" s="21">
        <f t="shared" si="496"/>
        <v>4.0800000000000001</v>
      </c>
      <c r="I517" s="24" t="str">
        <f t="shared" si="497"/>
        <v xml:space="preserve">COM VALOR</v>
      </c>
      <c r="L517" s="36">
        <v>4.0800000000000001</v>
      </c>
      <c r="M517" s="37">
        <v>4.0800000000000001</v>
      </c>
      <c r="N517" s="36">
        <v>4.0800000000000001</v>
      </c>
    </row>
    <row r="518" ht="25.5">
      <c r="A518" s="19" t="s">
        <v>10460</v>
      </c>
      <c r="B518" s="19">
        <v>34599</v>
      </c>
      <c r="C518" s="20" t="s">
        <v>10974</v>
      </c>
      <c r="D518" s="19" t="s">
        <v>31</v>
      </c>
      <c r="E518" s="19" t="s">
        <v>10459</v>
      </c>
      <c r="F518" s="21">
        <f t="shared" si="496"/>
        <v>3.6699999999999999</v>
      </c>
      <c r="G518" s="21">
        <f t="shared" si="496"/>
        <v>3.6699999999999999</v>
      </c>
      <c r="H518" s="21">
        <f t="shared" si="496"/>
        <v>3.6699999999999999</v>
      </c>
      <c r="I518" s="24" t="str">
        <f t="shared" si="497"/>
        <v xml:space="preserve">COM VALOR</v>
      </c>
      <c r="L518" s="36">
        <v>3.6699999999999999</v>
      </c>
      <c r="M518" s="37">
        <v>3.6699999999999999</v>
      </c>
      <c r="N518" s="36">
        <v>3.6699999999999999</v>
      </c>
    </row>
    <row r="519" ht="25.5">
      <c r="A519" s="19" t="s">
        <v>10460</v>
      </c>
      <c r="B519" s="19">
        <v>651</v>
      </c>
      <c r="C519" s="20" t="s">
        <v>10975</v>
      </c>
      <c r="D519" s="19" t="s">
        <v>31</v>
      </c>
      <c r="E519" s="19" t="s">
        <v>10459</v>
      </c>
      <c r="F519" s="21">
        <f t="shared" si="496"/>
        <v>4.5</v>
      </c>
      <c r="G519" s="21">
        <f t="shared" si="496"/>
        <v>4.5</v>
      </c>
      <c r="H519" s="21">
        <f t="shared" si="496"/>
        <v>4.5</v>
      </c>
      <c r="I519" s="24" t="str">
        <f t="shared" si="497"/>
        <v xml:space="preserve">COM VALOR</v>
      </c>
      <c r="L519" s="36">
        <v>4.5</v>
      </c>
      <c r="M519" s="37">
        <v>4.5</v>
      </c>
      <c r="N519" s="36">
        <v>4.5</v>
      </c>
    </row>
    <row r="520" ht="25.5">
      <c r="A520" s="19" t="s">
        <v>10460</v>
      </c>
      <c r="B520" s="19">
        <v>654</v>
      </c>
      <c r="C520" s="20" t="s">
        <v>10976</v>
      </c>
      <c r="D520" s="19" t="s">
        <v>31</v>
      </c>
      <c r="E520" s="19" t="s">
        <v>10459</v>
      </c>
      <c r="F520" s="21">
        <f t="shared" si="496"/>
        <v>5.5800000000000001</v>
      </c>
      <c r="G520" s="21">
        <f t="shared" si="496"/>
        <v>5.5800000000000001</v>
      </c>
      <c r="H520" s="21">
        <f t="shared" si="496"/>
        <v>5.5800000000000001</v>
      </c>
      <c r="I520" s="24" t="str">
        <f t="shared" si="497"/>
        <v xml:space="preserve">COM VALOR</v>
      </c>
      <c r="L520" s="36">
        <v>5.5800000000000001</v>
      </c>
      <c r="M520" s="37">
        <v>5.5800000000000001</v>
      </c>
      <c r="N520" s="36">
        <v>5.5800000000000001</v>
      </c>
    </row>
    <row r="521" ht="25.5">
      <c r="A521" s="19" t="s">
        <v>10460</v>
      </c>
      <c r="B521" s="19">
        <v>37103</v>
      </c>
      <c r="C521" s="20" t="s">
        <v>10977</v>
      </c>
      <c r="D521" s="19" t="s">
        <v>31</v>
      </c>
      <c r="E521" s="19" t="s">
        <v>10459</v>
      </c>
      <c r="F521" s="21">
        <f t="shared" si="496"/>
        <v>4.6699999999999999</v>
      </c>
      <c r="G521" s="21">
        <f t="shared" si="496"/>
        <v>4.6699999999999999</v>
      </c>
      <c r="H521" s="21">
        <f t="shared" si="496"/>
        <v>4.6699999999999999</v>
      </c>
      <c r="I521" s="24" t="str">
        <f t="shared" si="497"/>
        <v xml:space="preserve">COM VALOR</v>
      </c>
      <c r="L521" s="36">
        <v>4.6699999999999999</v>
      </c>
      <c r="M521" s="37">
        <v>4.6699999999999999</v>
      </c>
      <c r="N521" s="36">
        <v>4.6699999999999999</v>
      </c>
    </row>
    <row r="522" ht="25.5">
      <c r="A522" s="19" t="s">
        <v>10460</v>
      </c>
      <c r="B522" s="19">
        <v>34555</v>
      </c>
      <c r="C522" s="20" t="s">
        <v>10978</v>
      </c>
      <c r="D522" s="19" t="s">
        <v>31</v>
      </c>
      <c r="E522" s="19" t="s">
        <v>10459</v>
      </c>
      <c r="F522" s="21">
        <f t="shared" si="496"/>
        <v>5.9299999999999997</v>
      </c>
      <c r="G522" s="21">
        <f t="shared" si="496"/>
        <v>5.9299999999999997</v>
      </c>
      <c r="H522" s="21">
        <f t="shared" si="496"/>
        <v>5.9299999999999997</v>
      </c>
      <c r="I522" s="24" t="str">
        <f t="shared" si="497"/>
        <v xml:space="preserve">COM VALOR</v>
      </c>
      <c r="L522" s="36">
        <v>5.9299999999999997</v>
      </c>
      <c r="M522" s="37">
        <v>5.9299999999999997</v>
      </c>
      <c r="N522" s="36">
        <v>5.9299999999999997</v>
      </c>
    </row>
    <row r="523" ht="25.5">
      <c r="A523" s="19" t="s">
        <v>10460</v>
      </c>
      <c r="B523" s="19">
        <v>674</v>
      </c>
      <c r="C523" s="20" t="s">
        <v>10979</v>
      </c>
      <c r="D523" s="19" t="s">
        <v>29</v>
      </c>
      <c r="E523" s="19" t="s">
        <v>10459</v>
      </c>
      <c r="F523" s="21" t="str">
        <f t="shared" ref="F523:H586" si="498">IF(L523=0,"VERIFICAR",L523)</f>
        <v>VERIFICAR</v>
      </c>
      <c r="G523" s="21" t="str">
        <f t="shared" si="498"/>
        <v>VERIFICAR</v>
      </c>
      <c r="H523" s="21" t="str">
        <f t="shared" si="498"/>
        <v>VERIFICAR</v>
      </c>
      <c r="I523" s="24" t="str">
        <f t="shared" ref="I523:I586" si="499">IF(OR(L523=0,M523=0,N523=0),"SEM VALOR","COM VALOR")</f>
        <v xml:space="preserve">SEM VALOR</v>
      </c>
      <c r="L523" s="36"/>
      <c r="M523" s="37"/>
      <c r="N523" s="36"/>
    </row>
    <row r="524" ht="25.5">
      <c r="A524" s="19" t="s">
        <v>10460</v>
      </c>
      <c r="B524" s="19">
        <v>34600</v>
      </c>
      <c r="C524" s="20" t="s">
        <v>10980</v>
      </c>
      <c r="D524" s="19" t="s">
        <v>29</v>
      </c>
      <c r="E524" s="19" t="s">
        <v>10466</v>
      </c>
      <c r="F524" s="21" t="str">
        <f t="shared" si="498"/>
        <v>VERIFICAR</v>
      </c>
      <c r="G524" s="21" t="str">
        <f t="shared" si="498"/>
        <v>VERIFICAR</v>
      </c>
      <c r="H524" s="21" t="str">
        <f t="shared" si="498"/>
        <v>VERIFICAR</v>
      </c>
      <c r="I524" s="24" t="str">
        <f t="shared" si="499"/>
        <v xml:space="preserve">SEM VALOR</v>
      </c>
      <c r="L524" s="36"/>
      <c r="M524" s="37"/>
      <c r="N524" s="36"/>
    </row>
    <row r="525" ht="25.5">
      <c r="A525" s="19" t="s">
        <v>10460</v>
      </c>
      <c r="B525" s="19">
        <v>652</v>
      </c>
      <c r="C525" s="20" t="s">
        <v>10981</v>
      </c>
      <c r="D525" s="19" t="s">
        <v>29</v>
      </c>
      <c r="E525" s="19" t="s">
        <v>10459</v>
      </c>
      <c r="F525" s="21" t="str">
        <f t="shared" si="498"/>
        <v>VERIFICAR</v>
      </c>
      <c r="G525" s="21" t="str">
        <f t="shared" si="498"/>
        <v>VERIFICAR</v>
      </c>
      <c r="H525" s="21" t="str">
        <f t="shared" si="498"/>
        <v>VERIFICAR</v>
      </c>
      <c r="I525" s="24" t="str">
        <f t="shared" si="499"/>
        <v xml:space="preserve">SEM VALOR</v>
      </c>
      <c r="L525" s="36"/>
      <c r="M525" s="37"/>
      <c r="N525" s="36"/>
    </row>
    <row r="526" ht="25.5">
      <c r="A526" s="19" t="s">
        <v>10460</v>
      </c>
      <c r="B526" s="19">
        <v>650</v>
      </c>
      <c r="C526" s="20" t="s">
        <v>10982</v>
      </c>
      <c r="D526" s="19" t="s">
        <v>31</v>
      </c>
      <c r="E526" s="19" t="s">
        <v>10466</v>
      </c>
      <c r="F526" s="21">
        <f t="shared" si="498"/>
        <v>3.6000000000000001</v>
      </c>
      <c r="G526" s="21">
        <f t="shared" si="498"/>
        <v>3.6000000000000001</v>
      </c>
      <c r="H526" s="21">
        <f t="shared" si="498"/>
        <v>3.6000000000000001</v>
      </c>
      <c r="I526" s="24" t="str">
        <f t="shared" si="499"/>
        <v xml:space="preserve">COM VALOR</v>
      </c>
      <c r="L526" s="36">
        <v>3.6000000000000001</v>
      </c>
      <c r="M526" s="37">
        <v>3.6000000000000001</v>
      </c>
      <c r="N526" s="36">
        <v>3.6000000000000001</v>
      </c>
    </row>
    <row r="527" ht="25.5">
      <c r="A527" s="19" t="s">
        <v>10460</v>
      </c>
      <c r="B527" s="19">
        <v>718</v>
      </c>
      <c r="C527" s="20" t="s">
        <v>10983</v>
      </c>
      <c r="D527" s="19" t="s">
        <v>31</v>
      </c>
      <c r="E527" s="19" t="s">
        <v>10459</v>
      </c>
      <c r="F527" s="21" t="str">
        <f t="shared" si="498"/>
        <v>VERIFICAR</v>
      </c>
      <c r="G527" s="21" t="str">
        <f t="shared" si="498"/>
        <v>VERIFICAR</v>
      </c>
      <c r="H527" s="21" t="str">
        <f t="shared" si="498"/>
        <v>VERIFICAR</v>
      </c>
      <c r="I527" s="24" t="str">
        <f t="shared" si="499"/>
        <v xml:space="preserve">SEM VALOR</v>
      </c>
      <c r="L527" s="36"/>
      <c r="M527" s="37"/>
      <c r="N527" s="36"/>
    </row>
    <row r="528" ht="25.5">
      <c r="A528" s="19" t="s">
        <v>10460</v>
      </c>
      <c r="B528" s="19">
        <v>11981</v>
      </c>
      <c r="C528" s="20" t="s">
        <v>10984</v>
      </c>
      <c r="D528" s="19" t="s">
        <v>31</v>
      </c>
      <c r="E528" s="19" t="s">
        <v>10459</v>
      </c>
      <c r="F528" s="21" t="str">
        <f t="shared" si="498"/>
        <v>VERIFICAR</v>
      </c>
      <c r="G528" s="21" t="str">
        <f t="shared" si="498"/>
        <v>VERIFICAR</v>
      </c>
      <c r="H528" s="21" t="str">
        <f t="shared" si="498"/>
        <v>VERIFICAR</v>
      </c>
      <c r="I528" s="24" t="str">
        <f t="shared" si="499"/>
        <v xml:space="preserve">SEM VALOR</v>
      </c>
      <c r="L528" s="36"/>
      <c r="M528" s="37"/>
      <c r="N528" s="36"/>
    </row>
    <row r="529" ht="25.5">
      <c r="A529" s="19" t="s">
        <v>10460</v>
      </c>
      <c r="B529" s="19">
        <v>34586</v>
      </c>
      <c r="C529" s="20" t="s">
        <v>10985</v>
      </c>
      <c r="D529" s="19" t="s">
        <v>31</v>
      </c>
      <c r="E529" s="19" t="s">
        <v>10459</v>
      </c>
      <c r="F529" s="21">
        <f t="shared" si="498"/>
        <v>2.3900000000000001</v>
      </c>
      <c r="G529" s="21">
        <f t="shared" si="498"/>
        <v>2.3900000000000001</v>
      </c>
      <c r="H529" s="21">
        <f t="shared" si="498"/>
        <v>2.3900000000000001</v>
      </c>
      <c r="I529" s="24" t="str">
        <f t="shared" si="499"/>
        <v xml:space="preserve">COM VALOR</v>
      </c>
      <c r="L529" s="36">
        <v>2.3900000000000001</v>
      </c>
      <c r="M529" s="37">
        <v>2.3900000000000001</v>
      </c>
      <c r="N529" s="36">
        <v>2.3900000000000001</v>
      </c>
    </row>
    <row r="530" ht="25.5">
      <c r="A530" s="19" t="s">
        <v>10460</v>
      </c>
      <c r="B530" s="19">
        <v>38603</v>
      </c>
      <c r="C530" s="20" t="s">
        <v>10986</v>
      </c>
      <c r="D530" s="19" t="s">
        <v>31</v>
      </c>
      <c r="E530" s="19" t="s">
        <v>10459</v>
      </c>
      <c r="F530" s="21">
        <f t="shared" si="498"/>
        <v>2.8399999999999999</v>
      </c>
      <c r="G530" s="21">
        <f t="shared" si="498"/>
        <v>2.8399999999999999</v>
      </c>
      <c r="H530" s="21">
        <f t="shared" si="498"/>
        <v>2.8399999999999999</v>
      </c>
      <c r="I530" s="24" t="str">
        <f t="shared" si="499"/>
        <v xml:space="preserve">COM VALOR</v>
      </c>
      <c r="L530" s="36">
        <v>2.8399999999999999</v>
      </c>
      <c r="M530" s="37">
        <v>2.8399999999999999</v>
      </c>
      <c r="N530" s="36">
        <v>2.8399999999999999</v>
      </c>
    </row>
    <row r="531" ht="25.5">
      <c r="A531" s="19" t="s">
        <v>10460</v>
      </c>
      <c r="B531" s="19">
        <v>34588</v>
      </c>
      <c r="C531" s="20" t="s">
        <v>10987</v>
      </c>
      <c r="D531" s="19" t="s">
        <v>31</v>
      </c>
      <c r="E531" s="19" t="s">
        <v>10459</v>
      </c>
      <c r="F531" s="21">
        <f t="shared" si="498"/>
        <v>3.23</v>
      </c>
      <c r="G531" s="21">
        <f t="shared" si="498"/>
        <v>3.23</v>
      </c>
      <c r="H531" s="21">
        <f t="shared" si="498"/>
        <v>3.23</v>
      </c>
      <c r="I531" s="24" t="str">
        <f t="shared" si="499"/>
        <v xml:space="preserve">COM VALOR</v>
      </c>
      <c r="L531" s="36">
        <v>3.23</v>
      </c>
      <c r="M531" s="37">
        <v>3.23</v>
      </c>
      <c r="N531" s="36">
        <v>3.23</v>
      </c>
    </row>
    <row r="532" ht="25.5">
      <c r="A532" s="19" t="s">
        <v>10460</v>
      </c>
      <c r="B532" s="19">
        <v>34590</v>
      </c>
      <c r="C532" s="20" t="s">
        <v>10988</v>
      </c>
      <c r="D532" s="19" t="s">
        <v>31</v>
      </c>
      <c r="E532" s="19" t="s">
        <v>10459</v>
      </c>
      <c r="F532" s="21">
        <f t="shared" si="498"/>
        <v>3.2000000000000002</v>
      </c>
      <c r="G532" s="21">
        <f t="shared" si="498"/>
        <v>3.2000000000000002</v>
      </c>
      <c r="H532" s="21">
        <f t="shared" si="498"/>
        <v>3.2000000000000002</v>
      </c>
      <c r="I532" s="24" t="str">
        <f t="shared" si="499"/>
        <v xml:space="preserve">COM VALOR</v>
      </c>
      <c r="L532" s="36">
        <v>3.2000000000000002</v>
      </c>
      <c r="M532" s="37">
        <v>3.2000000000000002</v>
      </c>
      <c r="N532" s="36">
        <v>3.2000000000000002</v>
      </c>
    </row>
    <row r="533" ht="25.5">
      <c r="A533" s="19" t="s">
        <v>10460</v>
      </c>
      <c r="B533" s="19">
        <v>34591</v>
      </c>
      <c r="C533" s="20" t="s">
        <v>10989</v>
      </c>
      <c r="D533" s="19" t="s">
        <v>31</v>
      </c>
      <c r="E533" s="19" t="s">
        <v>10459</v>
      </c>
      <c r="F533" s="21">
        <f t="shared" si="498"/>
        <v>3.8999999999999999</v>
      </c>
      <c r="G533" s="21">
        <f t="shared" si="498"/>
        <v>3.8999999999999999</v>
      </c>
      <c r="H533" s="21">
        <f t="shared" si="498"/>
        <v>3.8999999999999999</v>
      </c>
      <c r="I533" s="24" t="str">
        <f t="shared" si="499"/>
        <v xml:space="preserve">COM VALOR</v>
      </c>
      <c r="L533" s="36">
        <v>3.8999999999999999</v>
      </c>
      <c r="M533" s="37">
        <v>3.8999999999999999</v>
      </c>
      <c r="N533" s="36">
        <v>3.8999999999999999</v>
      </c>
    </row>
    <row r="534" ht="38.25">
      <c r="A534" s="19" t="s">
        <v>10460</v>
      </c>
      <c r="B534" s="19">
        <v>40517</v>
      </c>
      <c r="C534" s="20" t="s">
        <v>10990</v>
      </c>
      <c r="D534" s="19" t="s">
        <v>29</v>
      </c>
      <c r="E534" s="19" t="s">
        <v>10459</v>
      </c>
      <c r="F534" s="21">
        <f t="shared" si="498"/>
        <v>80.170000000000002</v>
      </c>
      <c r="G534" s="21">
        <f t="shared" si="498"/>
        <v>80.170000000000002</v>
      </c>
      <c r="H534" s="21">
        <f t="shared" si="498"/>
        <v>80.170000000000002</v>
      </c>
      <c r="I534" s="24" t="str">
        <f t="shared" si="499"/>
        <v xml:space="preserve">COM VALOR</v>
      </c>
      <c r="L534" s="36">
        <v>80.170000000000002</v>
      </c>
      <c r="M534" s="37">
        <v>80.170000000000002</v>
      </c>
      <c r="N534" s="36">
        <v>80.170000000000002</v>
      </c>
    </row>
    <row r="535" ht="51">
      <c r="A535" s="19" t="s">
        <v>10460</v>
      </c>
      <c r="B535" s="19">
        <v>40515</v>
      </c>
      <c r="C535" s="20" t="s">
        <v>10991</v>
      </c>
      <c r="D535" s="19" t="s">
        <v>29</v>
      </c>
      <c r="E535" s="19" t="s">
        <v>10459</v>
      </c>
      <c r="F535" s="21">
        <f t="shared" si="498"/>
        <v>88.189999999999998</v>
      </c>
      <c r="G535" s="21">
        <f t="shared" si="498"/>
        <v>88.189999999999998</v>
      </c>
      <c r="H535" s="21">
        <f t="shared" si="498"/>
        <v>88.189999999999998</v>
      </c>
      <c r="I535" s="24" t="str">
        <f t="shared" si="499"/>
        <v xml:space="preserve">COM VALOR</v>
      </c>
      <c r="L535" s="36">
        <v>88.189999999999998</v>
      </c>
      <c r="M535" s="37">
        <v>88.189999999999998</v>
      </c>
      <c r="N535" s="36">
        <v>88.189999999999998</v>
      </c>
    </row>
    <row r="536" ht="63.75">
      <c r="A536" s="19" t="s">
        <v>10460</v>
      </c>
      <c r="B536" s="19">
        <v>40524</v>
      </c>
      <c r="C536" s="20" t="s">
        <v>10992</v>
      </c>
      <c r="D536" s="19" t="s">
        <v>29</v>
      </c>
      <c r="E536" s="19" t="s">
        <v>10459</v>
      </c>
      <c r="F536" s="21">
        <f t="shared" si="498"/>
        <v>91.629999999999995</v>
      </c>
      <c r="G536" s="21">
        <f t="shared" si="498"/>
        <v>91.629999999999995</v>
      </c>
      <c r="H536" s="21">
        <f t="shared" si="498"/>
        <v>91.629999999999995</v>
      </c>
      <c r="I536" s="24" t="str">
        <f t="shared" si="499"/>
        <v xml:space="preserve">COM VALOR</v>
      </c>
      <c r="L536" s="36">
        <v>91.629999999999995</v>
      </c>
      <c r="M536" s="37">
        <v>91.629999999999995</v>
      </c>
      <c r="N536" s="36">
        <v>91.629999999999995</v>
      </c>
    </row>
    <row r="537" ht="63.75">
      <c r="A537" s="19" t="s">
        <v>10460</v>
      </c>
      <c r="B537" s="19">
        <v>40529</v>
      </c>
      <c r="C537" s="20" t="s">
        <v>10993</v>
      </c>
      <c r="D537" s="19" t="s">
        <v>29</v>
      </c>
      <c r="E537" s="19" t="s">
        <v>10459</v>
      </c>
      <c r="F537" s="21">
        <f t="shared" si="498"/>
        <v>145.28</v>
      </c>
      <c r="G537" s="21">
        <f t="shared" si="498"/>
        <v>145.28</v>
      </c>
      <c r="H537" s="21">
        <f t="shared" si="498"/>
        <v>145.28</v>
      </c>
      <c r="I537" s="24" t="str">
        <f t="shared" si="499"/>
        <v xml:space="preserve">COM VALOR</v>
      </c>
      <c r="L537" s="36">
        <v>145.28</v>
      </c>
      <c r="M537" s="37">
        <v>145.28</v>
      </c>
      <c r="N537" s="36">
        <v>145.28</v>
      </c>
    </row>
    <row r="538" ht="63.75">
      <c r="A538" s="19" t="s">
        <v>10460</v>
      </c>
      <c r="B538" s="19">
        <v>36156</v>
      </c>
      <c r="C538" s="20" t="s">
        <v>10994</v>
      </c>
      <c r="D538" s="19" t="s">
        <v>29</v>
      </c>
      <c r="E538" s="19" t="s">
        <v>10459</v>
      </c>
      <c r="F538" s="21">
        <f t="shared" si="498"/>
        <v>86.799999999999997</v>
      </c>
      <c r="G538" s="21">
        <f t="shared" si="498"/>
        <v>86.799999999999997</v>
      </c>
      <c r="H538" s="21">
        <f t="shared" si="498"/>
        <v>86.799999999999997</v>
      </c>
      <c r="I538" s="24" t="str">
        <f t="shared" si="499"/>
        <v xml:space="preserve">COM VALOR</v>
      </c>
      <c r="L538" s="36">
        <v>86.799999999999997</v>
      </c>
      <c r="M538" s="37">
        <v>86.799999999999997</v>
      </c>
      <c r="N538" s="36">
        <v>86.799999999999997</v>
      </c>
    </row>
    <row r="539" ht="63.75">
      <c r="A539" s="19" t="s">
        <v>10460</v>
      </c>
      <c r="B539" s="19">
        <v>36155</v>
      </c>
      <c r="C539" s="20" t="s">
        <v>10995</v>
      </c>
      <c r="D539" s="19" t="s">
        <v>29</v>
      </c>
      <c r="E539" s="19" t="s">
        <v>10459</v>
      </c>
      <c r="F539" s="21">
        <f t="shared" si="498"/>
        <v>68.719999999999999</v>
      </c>
      <c r="G539" s="21">
        <f t="shared" si="498"/>
        <v>68.719999999999999</v>
      </c>
      <c r="H539" s="21">
        <f t="shared" si="498"/>
        <v>68.719999999999999</v>
      </c>
      <c r="I539" s="24" t="str">
        <f t="shared" si="499"/>
        <v xml:space="preserve">COM VALOR</v>
      </c>
      <c r="L539" s="36">
        <v>68.719999999999999</v>
      </c>
      <c r="M539" s="37">
        <v>68.719999999999999</v>
      </c>
      <c r="N539" s="36">
        <v>68.719999999999999</v>
      </c>
    </row>
    <row r="540" ht="63.75">
      <c r="A540" s="19" t="s">
        <v>10460</v>
      </c>
      <c r="B540" s="19">
        <v>36154</v>
      </c>
      <c r="C540" s="20" t="s">
        <v>10996</v>
      </c>
      <c r="D540" s="19" t="s">
        <v>29</v>
      </c>
      <c r="E540" s="19" t="s">
        <v>10459</v>
      </c>
      <c r="F540" s="21">
        <f t="shared" si="498"/>
        <v>103.68000000000001</v>
      </c>
      <c r="G540" s="21">
        <f t="shared" si="498"/>
        <v>103.68000000000001</v>
      </c>
      <c r="H540" s="21">
        <f t="shared" si="498"/>
        <v>103.68000000000001</v>
      </c>
      <c r="I540" s="24" t="str">
        <f t="shared" si="499"/>
        <v xml:space="preserve">COM VALOR</v>
      </c>
      <c r="L540" s="36">
        <v>103.68000000000001</v>
      </c>
      <c r="M540" s="37">
        <v>103.68000000000001</v>
      </c>
      <c r="N540" s="36">
        <v>103.68000000000001</v>
      </c>
    </row>
    <row r="541" ht="63.75">
      <c r="A541" s="19" t="s">
        <v>10460</v>
      </c>
      <c r="B541" s="19">
        <v>36170</v>
      </c>
      <c r="C541" s="20" t="s">
        <v>10997</v>
      </c>
      <c r="D541" s="19" t="s">
        <v>29</v>
      </c>
      <c r="E541" s="19" t="s">
        <v>10466</v>
      </c>
      <c r="F541" s="21">
        <f t="shared" si="498"/>
        <v>78.370000000000005</v>
      </c>
      <c r="G541" s="21">
        <f t="shared" si="498"/>
        <v>78.370000000000005</v>
      </c>
      <c r="H541" s="21">
        <f t="shared" si="498"/>
        <v>78.370000000000005</v>
      </c>
      <c r="I541" s="24" t="str">
        <f t="shared" si="499"/>
        <v xml:space="preserve">COM VALOR</v>
      </c>
      <c r="L541" s="36">
        <v>78.370000000000005</v>
      </c>
      <c r="M541" s="37">
        <v>78.370000000000005</v>
      </c>
      <c r="N541" s="36">
        <v>78.370000000000005</v>
      </c>
    </row>
    <row r="542" ht="38.25">
      <c r="A542" s="19" t="s">
        <v>10460</v>
      </c>
      <c r="B542" s="19">
        <v>695</v>
      </c>
      <c r="C542" s="20" t="s">
        <v>10998</v>
      </c>
      <c r="D542" s="19" t="s">
        <v>29</v>
      </c>
      <c r="E542" s="19" t="s">
        <v>10459</v>
      </c>
      <c r="F542" s="21">
        <f t="shared" si="498"/>
        <v>87.109999999999999</v>
      </c>
      <c r="G542" s="21">
        <f t="shared" si="498"/>
        <v>87.109999999999999</v>
      </c>
      <c r="H542" s="21">
        <f t="shared" si="498"/>
        <v>87.109999999999999</v>
      </c>
      <c r="I542" s="24" t="str">
        <f t="shared" si="499"/>
        <v xml:space="preserve">COM VALOR</v>
      </c>
      <c r="L542" s="36">
        <v>87.109999999999999</v>
      </c>
      <c r="M542" s="37">
        <v>87.109999999999999</v>
      </c>
      <c r="N542" s="36">
        <v>87.109999999999999</v>
      </c>
    </row>
    <row r="543" ht="38.25">
      <c r="A543" s="19" t="s">
        <v>10460</v>
      </c>
      <c r="B543" s="19">
        <v>679</v>
      </c>
      <c r="C543" s="20" t="s">
        <v>10999</v>
      </c>
      <c r="D543" s="19" t="s">
        <v>29</v>
      </c>
      <c r="E543" s="19" t="s">
        <v>10459</v>
      </c>
      <c r="F543" s="21">
        <f t="shared" si="498"/>
        <v>124.3</v>
      </c>
      <c r="G543" s="21">
        <f t="shared" si="498"/>
        <v>124.3</v>
      </c>
      <c r="H543" s="21">
        <f t="shared" si="498"/>
        <v>124.3</v>
      </c>
      <c r="I543" s="24" t="str">
        <f t="shared" si="499"/>
        <v xml:space="preserve">COM VALOR</v>
      </c>
      <c r="L543" s="36">
        <v>124.3</v>
      </c>
      <c r="M543" s="37">
        <v>124.3</v>
      </c>
      <c r="N543" s="36">
        <v>124.3</v>
      </c>
    </row>
    <row r="544" ht="38.25">
      <c r="A544" s="19" t="s">
        <v>10460</v>
      </c>
      <c r="B544" s="19">
        <v>711</v>
      </c>
      <c r="C544" s="20" t="s">
        <v>11000</v>
      </c>
      <c r="D544" s="19" t="s">
        <v>29</v>
      </c>
      <c r="E544" s="19" t="s">
        <v>10459</v>
      </c>
      <c r="F544" s="21">
        <f t="shared" si="498"/>
        <v>78.370000000000005</v>
      </c>
      <c r="G544" s="21">
        <f t="shared" si="498"/>
        <v>78.370000000000005</v>
      </c>
      <c r="H544" s="21">
        <f t="shared" si="498"/>
        <v>78.370000000000005</v>
      </c>
      <c r="I544" s="24" t="str">
        <f t="shared" si="499"/>
        <v xml:space="preserve">COM VALOR</v>
      </c>
      <c r="L544" s="36">
        <v>78.370000000000005</v>
      </c>
      <c r="M544" s="37">
        <v>78.370000000000005</v>
      </c>
      <c r="N544" s="36">
        <v>78.370000000000005</v>
      </c>
    </row>
    <row r="545" ht="38.25">
      <c r="A545" s="19" t="s">
        <v>10460</v>
      </c>
      <c r="B545" s="19">
        <v>712</v>
      </c>
      <c r="C545" s="20" t="s">
        <v>11001</v>
      </c>
      <c r="D545" s="19" t="s">
        <v>29</v>
      </c>
      <c r="E545" s="19" t="s">
        <v>10459</v>
      </c>
      <c r="F545" s="21">
        <f t="shared" si="498"/>
        <v>94.040000000000006</v>
      </c>
      <c r="G545" s="21">
        <f t="shared" si="498"/>
        <v>94.040000000000006</v>
      </c>
      <c r="H545" s="21">
        <f t="shared" si="498"/>
        <v>94.040000000000006</v>
      </c>
      <c r="I545" s="24" t="str">
        <f t="shared" si="499"/>
        <v xml:space="preserve">COM VALOR</v>
      </c>
      <c r="L545" s="36">
        <v>94.040000000000006</v>
      </c>
      <c r="M545" s="37">
        <v>94.040000000000006</v>
      </c>
      <c r="N545" s="36">
        <v>94.040000000000006</v>
      </c>
    </row>
    <row r="546" ht="25.5">
      <c r="A546" s="19" t="s">
        <v>10460</v>
      </c>
      <c r="B546" s="19">
        <v>12614</v>
      </c>
      <c r="C546" s="20" t="s">
        <v>11002</v>
      </c>
      <c r="D546" s="19" t="s">
        <v>31</v>
      </c>
      <c r="E546" s="19" t="s">
        <v>10459</v>
      </c>
      <c r="F546" s="21">
        <f t="shared" si="498"/>
        <v>60.640000000000001</v>
      </c>
      <c r="G546" s="21">
        <f t="shared" si="498"/>
        <v>60.640000000000001</v>
      </c>
      <c r="H546" s="21">
        <f t="shared" si="498"/>
        <v>60.640000000000001</v>
      </c>
      <c r="I546" s="24" t="str">
        <f t="shared" si="499"/>
        <v xml:space="preserve">COM VALOR</v>
      </c>
      <c r="L546" s="36">
        <v>60.640000000000001</v>
      </c>
      <c r="M546" s="37">
        <v>60.640000000000001</v>
      </c>
      <c r="N546" s="36">
        <v>60.640000000000001</v>
      </c>
    </row>
    <row r="547" ht="25.5">
      <c r="A547" s="19" t="s">
        <v>10460</v>
      </c>
      <c r="B547" s="19">
        <v>6140</v>
      </c>
      <c r="C547" s="20" t="s">
        <v>11003</v>
      </c>
      <c r="D547" s="19" t="s">
        <v>31</v>
      </c>
      <c r="E547" s="19" t="s">
        <v>10459</v>
      </c>
      <c r="F547" s="21">
        <f t="shared" si="498"/>
        <v>4.46</v>
      </c>
      <c r="G547" s="21">
        <f t="shared" si="498"/>
        <v>4.46</v>
      </c>
      <c r="H547" s="21">
        <f t="shared" si="498"/>
        <v>4.46</v>
      </c>
      <c r="I547" s="24" t="str">
        <f t="shared" si="499"/>
        <v xml:space="preserve">COM VALOR</v>
      </c>
      <c r="L547" s="36">
        <v>4.46</v>
      </c>
      <c r="M547" s="37">
        <v>4.46</v>
      </c>
      <c r="N547" s="36">
        <v>4.46</v>
      </c>
    </row>
    <row r="548" ht="12.75">
      <c r="A548" s="19" t="s">
        <v>10460</v>
      </c>
      <c r="B548" s="19">
        <v>38399</v>
      </c>
      <c r="C548" s="20" t="s">
        <v>11004</v>
      </c>
      <c r="D548" s="19" t="s">
        <v>31</v>
      </c>
      <c r="E548" s="19" t="s">
        <v>10459</v>
      </c>
      <c r="F548" s="21">
        <f t="shared" si="498"/>
        <v>156.38999999999999</v>
      </c>
      <c r="G548" s="21">
        <f t="shared" si="498"/>
        <v>156.38999999999999</v>
      </c>
      <c r="H548" s="21">
        <f t="shared" si="498"/>
        <v>156.38999999999999</v>
      </c>
      <c r="I548" s="24" t="str">
        <f t="shared" si="499"/>
        <v xml:space="preserve">COM VALOR</v>
      </c>
      <c r="L548" s="36">
        <v>156.38999999999999</v>
      </c>
      <c r="M548" s="37">
        <v>156.38999999999999</v>
      </c>
      <c r="N548" s="36">
        <v>156.38999999999999</v>
      </c>
    </row>
    <row r="549" ht="38.25">
      <c r="A549" s="19" t="s">
        <v>10638</v>
      </c>
      <c r="B549" s="19">
        <v>729</v>
      </c>
      <c r="C549" s="20" t="s">
        <v>11005</v>
      </c>
      <c r="D549" s="19" t="s">
        <v>31</v>
      </c>
      <c r="E549" s="19" t="s">
        <v>10466</v>
      </c>
      <c r="F549" s="21">
        <f t="shared" si="498"/>
        <v>828.44000000000005</v>
      </c>
      <c r="G549" s="21">
        <f t="shared" si="498"/>
        <v>828.44000000000005</v>
      </c>
      <c r="H549" s="21">
        <f t="shared" si="498"/>
        <v>828.44000000000005</v>
      </c>
      <c r="I549" s="24" t="str">
        <f t="shared" si="499"/>
        <v xml:space="preserve">COM VALOR</v>
      </c>
      <c r="L549" s="36">
        <v>828.44000000000005</v>
      </c>
      <c r="M549" s="37">
        <v>828.44000000000005</v>
      </c>
      <c r="N549" s="36">
        <v>828.44000000000005</v>
      </c>
    </row>
    <row r="550" ht="38.25">
      <c r="A550" s="19" t="s">
        <v>10638</v>
      </c>
      <c r="B550" s="19">
        <v>39925</v>
      </c>
      <c r="C550" s="20" t="s">
        <v>11006</v>
      </c>
      <c r="D550" s="19" t="s">
        <v>31</v>
      </c>
      <c r="E550" s="19" t="s">
        <v>10459</v>
      </c>
      <c r="F550" s="21">
        <f t="shared" si="498"/>
        <v>11970.879999999999</v>
      </c>
      <c r="G550" s="21">
        <f t="shared" si="498"/>
        <v>11970.879999999999</v>
      </c>
      <c r="H550" s="21">
        <f t="shared" si="498"/>
        <v>11970.879999999999</v>
      </c>
      <c r="I550" s="24" t="str">
        <f t="shared" si="499"/>
        <v xml:space="preserve">COM VALOR</v>
      </c>
      <c r="L550" s="36">
        <v>11970.879999999999</v>
      </c>
      <c r="M550" s="37">
        <v>11970.879999999999</v>
      </c>
      <c r="N550" s="36">
        <v>11970.879999999999</v>
      </c>
    </row>
    <row r="551" ht="38.25">
      <c r="A551" s="19" t="s">
        <v>10638</v>
      </c>
      <c r="B551" s="19">
        <v>731</v>
      </c>
      <c r="C551" s="20" t="s">
        <v>11007</v>
      </c>
      <c r="D551" s="19" t="s">
        <v>31</v>
      </c>
      <c r="E551" s="19" t="s">
        <v>10459</v>
      </c>
      <c r="F551" s="21">
        <f t="shared" si="498"/>
        <v>806.26999999999998</v>
      </c>
      <c r="G551" s="21">
        <f t="shared" si="498"/>
        <v>806.26999999999998</v>
      </c>
      <c r="H551" s="21">
        <f t="shared" si="498"/>
        <v>806.26999999999998</v>
      </c>
      <c r="I551" s="24" t="str">
        <f t="shared" si="499"/>
        <v xml:space="preserve">COM VALOR</v>
      </c>
      <c r="L551" s="36">
        <v>806.26999999999998</v>
      </c>
      <c r="M551" s="37">
        <v>806.26999999999998</v>
      </c>
      <c r="N551" s="36">
        <v>806.26999999999998</v>
      </c>
    </row>
    <row r="552" ht="38.25">
      <c r="A552" s="19" t="s">
        <v>10638</v>
      </c>
      <c r="B552" s="19">
        <v>732</v>
      </c>
      <c r="C552" s="20" t="s">
        <v>11008</v>
      </c>
      <c r="D552" s="19" t="s">
        <v>31</v>
      </c>
      <c r="E552" s="19" t="s">
        <v>10459</v>
      </c>
      <c r="F552" s="21">
        <f t="shared" si="498"/>
        <v>1359.1099999999999</v>
      </c>
      <c r="G552" s="21">
        <f t="shared" si="498"/>
        <v>1359.1099999999999</v>
      </c>
      <c r="H552" s="21">
        <f t="shared" si="498"/>
        <v>1359.1099999999999</v>
      </c>
      <c r="I552" s="24" t="str">
        <f t="shared" si="499"/>
        <v xml:space="preserve">COM VALOR</v>
      </c>
      <c r="L552" s="36">
        <v>1359.1099999999999</v>
      </c>
      <c r="M552" s="37">
        <v>1359.1099999999999</v>
      </c>
      <c r="N552" s="36">
        <v>1359.1099999999999</v>
      </c>
    </row>
    <row r="553" ht="51">
      <c r="A553" s="19" t="s">
        <v>10638</v>
      </c>
      <c r="B553" s="19">
        <v>735</v>
      </c>
      <c r="C553" s="20" t="s">
        <v>11009</v>
      </c>
      <c r="D553" s="19" t="s">
        <v>31</v>
      </c>
      <c r="E553" s="19" t="s">
        <v>10459</v>
      </c>
      <c r="F553" s="21">
        <f t="shared" si="498"/>
        <v>2417.79</v>
      </c>
      <c r="G553" s="21">
        <f t="shared" si="498"/>
        <v>2417.79</v>
      </c>
      <c r="H553" s="21">
        <f t="shared" si="498"/>
        <v>2417.79</v>
      </c>
      <c r="I553" s="24" t="str">
        <f t="shared" si="499"/>
        <v xml:space="preserve">COM VALOR</v>
      </c>
      <c r="L553" s="36">
        <v>2417.79</v>
      </c>
      <c r="M553" s="37">
        <v>2417.79</v>
      </c>
      <c r="N553" s="36">
        <v>2417.79</v>
      </c>
    </row>
    <row r="554" ht="38.25">
      <c r="A554" s="19" t="s">
        <v>10638</v>
      </c>
      <c r="B554" s="19">
        <v>736</v>
      </c>
      <c r="C554" s="20" t="s">
        <v>11010</v>
      </c>
      <c r="D554" s="19" t="s">
        <v>31</v>
      </c>
      <c r="E554" s="19" t="s">
        <v>10459</v>
      </c>
      <c r="F554" s="21">
        <f t="shared" si="498"/>
        <v>2032.9300000000001</v>
      </c>
      <c r="G554" s="21">
        <f t="shared" si="498"/>
        <v>2032.9300000000001</v>
      </c>
      <c r="H554" s="21">
        <f t="shared" si="498"/>
        <v>2032.9300000000001</v>
      </c>
      <c r="I554" s="24" t="str">
        <f t="shared" si="499"/>
        <v xml:space="preserve">COM VALOR</v>
      </c>
      <c r="L554" s="36">
        <v>2032.9300000000001</v>
      </c>
      <c r="M554" s="37">
        <v>2032.9300000000001</v>
      </c>
      <c r="N554" s="36">
        <v>2032.9300000000001</v>
      </c>
    </row>
    <row r="555" ht="51">
      <c r="A555" s="19" t="s">
        <v>10638</v>
      </c>
      <c r="B555" s="19">
        <v>740</v>
      </c>
      <c r="C555" s="20" t="s">
        <v>11011</v>
      </c>
      <c r="D555" s="19" t="s">
        <v>31</v>
      </c>
      <c r="E555" s="19" t="s">
        <v>10459</v>
      </c>
      <c r="F555" s="21">
        <f t="shared" si="498"/>
        <v>7169.8400000000001</v>
      </c>
      <c r="G555" s="21">
        <f t="shared" si="498"/>
        <v>7169.8400000000001</v>
      </c>
      <c r="H555" s="21">
        <f t="shared" si="498"/>
        <v>7169.8400000000001</v>
      </c>
      <c r="I555" s="24" t="str">
        <f t="shared" si="499"/>
        <v xml:space="preserve">COM VALOR</v>
      </c>
      <c r="L555" s="36">
        <v>7169.8400000000001</v>
      </c>
      <c r="M555" s="37">
        <v>7169.8400000000001</v>
      </c>
      <c r="N555" s="36">
        <v>7169.8400000000001</v>
      </c>
    </row>
    <row r="556" ht="38.25">
      <c r="A556" s="19" t="s">
        <v>10638</v>
      </c>
      <c r="B556" s="19">
        <v>734</v>
      </c>
      <c r="C556" s="20" t="s">
        <v>11012</v>
      </c>
      <c r="D556" s="19" t="s">
        <v>31</v>
      </c>
      <c r="E556" s="19" t="s">
        <v>10459</v>
      </c>
      <c r="F556" s="21">
        <f t="shared" si="498"/>
        <v>1456.97</v>
      </c>
      <c r="G556" s="21">
        <f t="shared" si="498"/>
        <v>1456.97</v>
      </c>
      <c r="H556" s="21">
        <f t="shared" si="498"/>
        <v>1456.97</v>
      </c>
      <c r="I556" s="24" t="str">
        <f t="shared" si="499"/>
        <v xml:space="preserve">COM VALOR</v>
      </c>
      <c r="L556" s="36">
        <v>1456.97</v>
      </c>
      <c r="M556" s="37">
        <v>1456.97</v>
      </c>
      <c r="N556" s="36">
        <v>1456.97</v>
      </c>
    </row>
    <row r="557" ht="25.5">
      <c r="A557" s="19" t="s">
        <v>10638</v>
      </c>
      <c r="B557" s="19">
        <v>39008</v>
      </c>
      <c r="C557" s="20" t="s">
        <v>11013</v>
      </c>
      <c r="D557" s="19" t="s">
        <v>31</v>
      </c>
      <c r="E557" s="19" t="s">
        <v>10459</v>
      </c>
      <c r="F557" s="21">
        <f t="shared" si="498"/>
        <v>60829.5</v>
      </c>
      <c r="G557" s="21">
        <f t="shared" si="498"/>
        <v>60829.5</v>
      </c>
      <c r="H557" s="21">
        <f t="shared" si="498"/>
        <v>60829.5</v>
      </c>
      <c r="I557" s="24" t="str">
        <f t="shared" si="499"/>
        <v xml:space="preserve">COM VALOR</v>
      </c>
      <c r="L557" s="36">
        <v>60829.5</v>
      </c>
      <c r="M557" s="37">
        <v>60829.5</v>
      </c>
      <c r="N557" s="36">
        <v>60829.5</v>
      </c>
    </row>
    <row r="558" ht="25.5">
      <c r="A558" s="19" t="s">
        <v>10638</v>
      </c>
      <c r="B558" s="19">
        <v>39009</v>
      </c>
      <c r="C558" s="20" t="s">
        <v>11014</v>
      </c>
      <c r="D558" s="19" t="s">
        <v>31</v>
      </c>
      <c r="E558" s="19" t="s">
        <v>10459</v>
      </c>
      <c r="F558" s="21">
        <f t="shared" si="498"/>
        <v>65171.269999999997</v>
      </c>
      <c r="G558" s="21">
        <f t="shared" si="498"/>
        <v>65171.269999999997</v>
      </c>
      <c r="H558" s="21">
        <f t="shared" si="498"/>
        <v>65171.269999999997</v>
      </c>
      <c r="I558" s="24" t="str">
        <f t="shared" si="499"/>
        <v xml:space="preserve">COM VALOR</v>
      </c>
      <c r="L558" s="36">
        <v>65171.269999999997</v>
      </c>
      <c r="M558" s="37">
        <v>65171.269999999997</v>
      </c>
      <c r="N558" s="36">
        <v>65171.269999999997</v>
      </c>
    </row>
    <row r="559" ht="51">
      <c r="A559" s="19" t="s">
        <v>10638</v>
      </c>
      <c r="B559" s="19">
        <v>10592</v>
      </c>
      <c r="C559" s="20" t="s">
        <v>11015</v>
      </c>
      <c r="D559" s="19" t="s">
        <v>31</v>
      </c>
      <c r="E559" s="19" t="s">
        <v>10466</v>
      </c>
      <c r="F559" s="21">
        <f t="shared" si="498"/>
        <v>7710</v>
      </c>
      <c r="G559" s="21">
        <f t="shared" si="498"/>
        <v>7710</v>
      </c>
      <c r="H559" s="21">
        <f t="shared" si="498"/>
        <v>7710</v>
      </c>
      <c r="I559" s="24" t="str">
        <f t="shared" si="499"/>
        <v xml:space="preserve">COM VALOR</v>
      </c>
      <c r="L559" s="36">
        <v>7710</v>
      </c>
      <c r="M559" s="37">
        <v>7710</v>
      </c>
      <c r="N559" s="36">
        <v>7710</v>
      </c>
    </row>
    <row r="560" ht="51">
      <c r="A560" s="19" t="s">
        <v>10638</v>
      </c>
      <c r="B560" s="19">
        <v>751</v>
      </c>
      <c r="C560" s="20" t="s">
        <v>11016</v>
      </c>
      <c r="D560" s="19" t="s">
        <v>31</v>
      </c>
      <c r="E560" s="19" t="s">
        <v>10459</v>
      </c>
      <c r="F560" s="21">
        <f t="shared" si="498"/>
        <v>9107.4300000000003</v>
      </c>
      <c r="G560" s="21">
        <f t="shared" si="498"/>
        <v>9107.4300000000003</v>
      </c>
      <c r="H560" s="21">
        <f t="shared" si="498"/>
        <v>9107.4300000000003</v>
      </c>
      <c r="I560" s="24" t="str">
        <f t="shared" si="499"/>
        <v xml:space="preserve">COM VALOR</v>
      </c>
      <c r="L560" s="36">
        <v>9107.4300000000003</v>
      </c>
      <c r="M560" s="37">
        <v>9107.4300000000003</v>
      </c>
      <c r="N560" s="36">
        <v>9107.4300000000003</v>
      </c>
    </row>
    <row r="561" ht="51">
      <c r="A561" s="19" t="s">
        <v>10638</v>
      </c>
      <c r="B561" s="19">
        <v>754</v>
      </c>
      <c r="C561" s="20" t="s">
        <v>11017</v>
      </c>
      <c r="D561" s="19" t="s">
        <v>31</v>
      </c>
      <c r="E561" s="19" t="s">
        <v>10459</v>
      </c>
      <c r="F561" s="21">
        <f t="shared" si="498"/>
        <v>14456.25</v>
      </c>
      <c r="G561" s="21">
        <f t="shared" si="498"/>
        <v>14456.25</v>
      </c>
      <c r="H561" s="21">
        <f t="shared" si="498"/>
        <v>14456.25</v>
      </c>
      <c r="I561" s="24" t="str">
        <f t="shared" si="499"/>
        <v xml:space="preserve">COM VALOR</v>
      </c>
      <c r="L561" s="36">
        <v>14456.25</v>
      </c>
      <c r="M561" s="37">
        <v>14456.25</v>
      </c>
      <c r="N561" s="36">
        <v>14456.25</v>
      </c>
    </row>
    <row r="562" ht="38.25">
      <c r="A562" s="19" t="s">
        <v>10638</v>
      </c>
      <c r="B562" s="19">
        <v>39917</v>
      </c>
      <c r="C562" s="20" t="s">
        <v>11018</v>
      </c>
      <c r="D562" s="19" t="s">
        <v>31</v>
      </c>
      <c r="E562" s="19" t="s">
        <v>10459</v>
      </c>
      <c r="F562" s="21">
        <f t="shared" si="498"/>
        <v>93438.5</v>
      </c>
      <c r="G562" s="21">
        <f t="shared" si="498"/>
        <v>93438.5</v>
      </c>
      <c r="H562" s="21">
        <f t="shared" si="498"/>
        <v>93438.5</v>
      </c>
      <c r="I562" s="24" t="str">
        <f t="shared" si="499"/>
        <v xml:space="preserve">COM VALOR</v>
      </c>
      <c r="L562" s="36">
        <v>93438.5</v>
      </c>
      <c r="M562" s="37">
        <v>93438.5</v>
      </c>
      <c r="N562" s="36">
        <v>93438.5</v>
      </c>
    </row>
    <row r="563" ht="25.5">
      <c r="A563" s="19" t="s">
        <v>10460</v>
      </c>
      <c r="B563" s="19">
        <v>38167</v>
      </c>
      <c r="C563" s="20" t="s">
        <v>11019</v>
      </c>
      <c r="D563" s="19" t="s">
        <v>10874</v>
      </c>
      <c r="E563" s="19" t="s">
        <v>10459</v>
      </c>
      <c r="F563" s="21">
        <f t="shared" si="498"/>
        <v>33.130000000000003</v>
      </c>
      <c r="G563" s="21">
        <f t="shared" si="498"/>
        <v>33.130000000000003</v>
      </c>
      <c r="H563" s="21">
        <f t="shared" si="498"/>
        <v>33.130000000000003</v>
      </c>
      <c r="I563" s="24" t="str">
        <f t="shared" si="499"/>
        <v xml:space="preserve">COM VALOR</v>
      </c>
      <c r="L563" s="36">
        <v>33.130000000000003</v>
      </c>
      <c r="M563" s="37">
        <v>33.130000000000003</v>
      </c>
      <c r="N563" s="36">
        <v>33.130000000000003</v>
      </c>
    </row>
    <row r="564" ht="12.75">
      <c r="A564" s="19" t="s">
        <v>10460</v>
      </c>
      <c r="B564" s="19">
        <v>36145</v>
      </c>
      <c r="C564" s="20" t="s">
        <v>11020</v>
      </c>
      <c r="D564" s="19" t="s">
        <v>10874</v>
      </c>
      <c r="E564" s="19" t="s">
        <v>10459</v>
      </c>
      <c r="F564" s="21">
        <f t="shared" si="498"/>
        <v>45.740000000000002</v>
      </c>
      <c r="G564" s="21">
        <f t="shared" si="498"/>
        <v>45.740000000000002</v>
      </c>
      <c r="H564" s="21">
        <f t="shared" si="498"/>
        <v>45.740000000000002</v>
      </c>
      <c r="I564" s="24" t="str">
        <f t="shared" si="499"/>
        <v xml:space="preserve">COM VALOR</v>
      </c>
      <c r="L564" s="36">
        <v>45.740000000000002</v>
      </c>
      <c r="M564" s="37">
        <v>45.740000000000002</v>
      </c>
      <c r="N564" s="36">
        <v>45.740000000000002</v>
      </c>
    </row>
    <row r="565" ht="25.5">
      <c r="A565" s="19" t="s">
        <v>10460</v>
      </c>
      <c r="B565" s="19">
        <v>12893</v>
      </c>
      <c r="C565" s="20" t="s">
        <v>11021</v>
      </c>
      <c r="D565" s="19" t="s">
        <v>10874</v>
      </c>
      <c r="E565" s="19" t="s">
        <v>10459</v>
      </c>
      <c r="F565" s="21">
        <f t="shared" si="498"/>
        <v>80.5</v>
      </c>
      <c r="G565" s="21">
        <f t="shared" si="498"/>
        <v>80.5</v>
      </c>
      <c r="H565" s="21">
        <f t="shared" si="498"/>
        <v>80.5</v>
      </c>
      <c r="I565" s="24" t="str">
        <f t="shared" si="499"/>
        <v xml:space="preserve">COM VALOR</v>
      </c>
      <c r="L565" s="36">
        <v>80.5</v>
      </c>
      <c r="M565" s="37">
        <v>80.5</v>
      </c>
      <c r="N565" s="36">
        <v>80.5</v>
      </c>
    </row>
    <row r="566" ht="25.5">
      <c r="A566" s="19" t="s">
        <v>10460</v>
      </c>
      <c r="B566" s="19">
        <v>11685</v>
      </c>
      <c r="C566" s="20" t="s">
        <v>11022</v>
      </c>
      <c r="D566" s="19" t="s">
        <v>31</v>
      </c>
      <c r="E566" s="19" t="s">
        <v>10459</v>
      </c>
      <c r="F566" s="21">
        <f t="shared" si="498"/>
        <v>59.479999999999997</v>
      </c>
      <c r="G566" s="21">
        <f t="shared" si="498"/>
        <v>59.479999999999997</v>
      </c>
      <c r="H566" s="21">
        <f t="shared" si="498"/>
        <v>59.479999999999997</v>
      </c>
      <c r="I566" s="24" t="str">
        <f t="shared" si="499"/>
        <v xml:space="preserve">COM VALOR</v>
      </c>
      <c r="L566" s="36">
        <v>59.479999999999997</v>
      </c>
      <c r="M566" s="37">
        <v>59.479999999999997</v>
      </c>
      <c r="N566" s="36">
        <v>59.479999999999997</v>
      </c>
    </row>
    <row r="567" ht="25.5">
      <c r="A567" s="19" t="s">
        <v>10460</v>
      </c>
      <c r="B567" s="19">
        <v>11680</v>
      </c>
      <c r="C567" s="20" t="s">
        <v>11023</v>
      </c>
      <c r="D567" s="19" t="s">
        <v>31</v>
      </c>
      <c r="E567" s="19" t="s">
        <v>10459</v>
      </c>
      <c r="F567" s="21">
        <f t="shared" si="498"/>
        <v>19.48</v>
      </c>
      <c r="G567" s="21">
        <f t="shared" si="498"/>
        <v>19.48</v>
      </c>
      <c r="H567" s="21">
        <f t="shared" si="498"/>
        <v>19.48</v>
      </c>
      <c r="I567" s="24" t="str">
        <f t="shared" si="499"/>
        <v xml:space="preserve">COM VALOR</v>
      </c>
      <c r="L567" s="36">
        <v>19.48</v>
      </c>
      <c r="M567" s="37">
        <v>19.48</v>
      </c>
      <c r="N567" s="36">
        <v>19.48</v>
      </c>
    </row>
    <row r="568" ht="25.5">
      <c r="A568" s="19" t="s">
        <v>10460</v>
      </c>
      <c r="B568" s="19">
        <v>11679</v>
      </c>
      <c r="C568" s="20" t="s">
        <v>11024</v>
      </c>
      <c r="D568" s="19" t="s">
        <v>31</v>
      </c>
      <c r="E568" s="19" t="s">
        <v>10459</v>
      </c>
      <c r="F568" s="21">
        <f t="shared" si="498"/>
        <v>26.420000000000002</v>
      </c>
      <c r="G568" s="21">
        <f t="shared" si="498"/>
        <v>26.420000000000002</v>
      </c>
      <c r="H568" s="21">
        <f t="shared" si="498"/>
        <v>26.420000000000002</v>
      </c>
      <c r="I568" s="24" t="str">
        <f t="shared" si="499"/>
        <v xml:space="preserve">COM VALOR</v>
      </c>
      <c r="L568" s="36">
        <v>26.420000000000002</v>
      </c>
      <c r="M568" s="37">
        <v>26.420000000000002</v>
      </c>
      <c r="N568" s="36">
        <v>26.420000000000002</v>
      </c>
    </row>
    <row r="569" ht="25.5">
      <c r="A569" s="19" t="s">
        <v>10460</v>
      </c>
      <c r="B569" s="19">
        <v>2512</v>
      </c>
      <c r="C569" s="20" t="s">
        <v>11025</v>
      </c>
      <c r="D569" s="19" t="s">
        <v>31</v>
      </c>
      <c r="E569" s="19" t="s">
        <v>10459</v>
      </c>
      <c r="F569" s="21" t="str">
        <f t="shared" si="498"/>
        <v>VERIFICAR</v>
      </c>
      <c r="G569" s="21" t="str">
        <f t="shared" si="498"/>
        <v>VERIFICAR</v>
      </c>
      <c r="H569" s="21" t="str">
        <f t="shared" si="498"/>
        <v>VERIFICAR</v>
      </c>
      <c r="I569" s="24" t="str">
        <f t="shared" si="499"/>
        <v xml:space="preserve">SEM VALOR</v>
      </c>
      <c r="L569" s="36"/>
      <c r="M569" s="37"/>
      <c r="N569" s="36"/>
    </row>
    <row r="570" ht="12.75">
      <c r="A570" s="19" t="s">
        <v>10460</v>
      </c>
      <c r="B570" s="19">
        <v>45203</v>
      </c>
      <c r="C570" s="20" t="s">
        <v>11026</v>
      </c>
      <c r="D570" s="19" t="s">
        <v>31</v>
      </c>
      <c r="E570" s="19" t="s">
        <v>10459</v>
      </c>
      <c r="F570" s="21">
        <f t="shared" si="498"/>
        <v>11.51</v>
      </c>
      <c r="G570" s="21">
        <f t="shared" si="498"/>
        <v>11.51</v>
      </c>
      <c r="H570" s="21">
        <f t="shared" si="498"/>
        <v>11.51</v>
      </c>
      <c r="I570" s="24" t="str">
        <f t="shared" si="499"/>
        <v xml:space="preserve">COM VALOR</v>
      </c>
      <c r="L570" s="36">
        <v>11.51</v>
      </c>
      <c r="M570" s="37">
        <v>11.51</v>
      </c>
      <c r="N570" s="36">
        <v>11.51</v>
      </c>
    </row>
    <row r="571" ht="12.75">
      <c r="A571" s="19" t="s">
        <v>10460</v>
      </c>
      <c r="B571" s="19">
        <v>4374</v>
      </c>
      <c r="C571" s="20" t="s">
        <v>11027</v>
      </c>
      <c r="D571" s="19" t="s">
        <v>31</v>
      </c>
      <c r="E571" s="19" t="s">
        <v>10459</v>
      </c>
      <c r="F571" s="21">
        <f t="shared" si="498"/>
        <v>0.25</v>
      </c>
      <c r="G571" s="21">
        <f t="shared" si="498"/>
        <v>0.25</v>
      </c>
      <c r="H571" s="21">
        <f t="shared" si="498"/>
        <v>0.25</v>
      </c>
      <c r="I571" s="24" t="str">
        <f t="shared" si="499"/>
        <v xml:space="preserve">COM VALOR</v>
      </c>
      <c r="L571" s="36">
        <v>0.25</v>
      </c>
      <c r="M571" s="37">
        <v>0.25</v>
      </c>
      <c r="N571" s="36">
        <v>0.25</v>
      </c>
    </row>
    <row r="572" ht="38.25">
      <c r="A572" s="19" t="s">
        <v>10460</v>
      </c>
      <c r="B572" s="19">
        <v>7568</v>
      </c>
      <c r="C572" s="20" t="s">
        <v>11028</v>
      </c>
      <c r="D572" s="19" t="s">
        <v>31</v>
      </c>
      <c r="E572" s="19" t="s">
        <v>10459</v>
      </c>
      <c r="F572" s="21">
        <f t="shared" si="498"/>
        <v>0.42999999999999999</v>
      </c>
      <c r="G572" s="21">
        <f t="shared" si="498"/>
        <v>0.42999999999999999</v>
      </c>
      <c r="H572" s="21">
        <f t="shared" si="498"/>
        <v>0.42999999999999999</v>
      </c>
      <c r="I572" s="24" t="str">
        <f t="shared" si="499"/>
        <v xml:space="preserve">COM VALOR</v>
      </c>
      <c r="L572" s="36">
        <v>0.42999999999999999</v>
      </c>
      <c r="M572" s="37">
        <v>0.42999999999999999</v>
      </c>
      <c r="N572" s="36">
        <v>0.42999999999999999</v>
      </c>
    </row>
    <row r="573" ht="38.25">
      <c r="A573" s="19" t="s">
        <v>10460</v>
      </c>
      <c r="B573" s="19">
        <v>7584</v>
      </c>
      <c r="C573" s="20" t="s">
        <v>11029</v>
      </c>
      <c r="D573" s="19" t="s">
        <v>31</v>
      </c>
      <c r="E573" s="19" t="s">
        <v>10459</v>
      </c>
      <c r="F573" s="21">
        <f t="shared" si="498"/>
        <v>0.65000000000000002</v>
      </c>
      <c r="G573" s="21">
        <f t="shared" si="498"/>
        <v>0.65000000000000002</v>
      </c>
      <c r="H573" s="21">
        <f t="shared" si="498"/>
        <v>0.65000000000000002</v>
      </c>
      <c r="I573" s="24" t="str">
        <f t="shared" si="499"/>
        <v xml:space="preserve">COM VALOR</v>
      </c>
      <c r="L573" s="36">
        <v>0.65000000000000002</v>
      </c>
      <c r="M573" s="37">
        <v>0.65000000000000002</v>
      </c>
      <c r="N573" s="36">
        <v>0.65000000000000002</v>
      </c>
    </row>
    <row r="574" ht="12.75">
      <c r="A574" s="19" t="s">
        <v>10460</v>
      </c>
      <c r="B574" s="19">
        <v>11945</v>
      </c>
      <c r="C574" s="20" t="s">
        <v>11030</v>
      </c>
      <c r="D574" s="19" t="s">
        <v>31</v>
      </c>
      <c r="E574" s="19" t="s">
        <v>10459</v>
      </c>
      <c r="F574" s="21">
        <f t="shared" si="498"/>
        <v>4.0000000000000001e-002</v>
      </c>
      <c r="G574" s="21">
        <f t="shared" si="498"/>
        <v>4.0000000000000001e-002</v>
      </c>
      <c r="H574" s="21">
        <f t="shared" si="498"/>
        <v>4.0000000000000001e-002</v>
      </c>
      <c r="I574" s="24" t="str">
        <f t="shared" si="499"/>
        <v xml:space="preserve">COM VALOR</v>
      </c>
      <c r="L574" s="36">
        <v>4.0000000000000001e-002</v>
      </c>
      <c r="M574" s="37">
        <v>4.0000000000000001e-002</v>
      </c>
      <c r="N574" s="36">
        <v>4.0000000000000001e-002</v>
      </c>
    </row>
    <row r="575" ht="12.75">
      <c r="A575" s="19" t="s">
        <v>10460</v>
      </c>
      <c r="B575" s="19">
        <v>11946</v>
      </c>
      <c r="C575" s="20" t="s">
        <v>11031</v>
      </c>
      <c r="D575" s="19" t="s">
        <v>31</v>
      </c>
      <c r="E575" s="19" t="s">
        <v>10459</v>
      </c>
      <c r="F575" s="21">
        <f t="shared" si="498"/>
        <v>4.0000000000000001e-002</v>
      </c>
      <c r="G575" s="21">
        <f t="shared" si="498"/>
        <v>4.0000000000000001e-002</v>
      </c>
      <c r="H575" s="21">
        <f t="shared" si="498"/>
        <v>4.0000000000000001e-002</v>
      </c>
      <c r="I575" s="24" t="str">
        <f t="shared" si="499"/>
        <v xml:space="preserve">COM VALOR</v>
      </c>
      <c r="L575" s="36">
        <v>4.0000000000000001e-002</v>
      </c>
      <c r="M575" s="37">
        <v>4.0000000000000001e-002</v>
      </c>
      <c r="N575" s="36">
        <v>4.0000000000000001e-002</v>
      </c>
    </row>
    <row r="576" ht="12.75">
      <c r="A576" s="19" t="s">
        <v>10460</v>
      </c>
      <c r="B576" s="19">
        <v>4375</v>
      </c>
      <c r="C576" s="20" t="s">
        <v>11032</v>
      </c>
      <c r="D576" s="19" t="s">
        <v>31</v>
      </c>
      <c r="E576" s="19" t="s">
        <v>10466</v>
      </c>
      <c r="F576" s="21">
        <f t="shared" si="498"/>
        <v>7.0000000000000007e-002</v>
      </c>
      <c r="G576" s="21">
        <f t="shared" si="498"/>
        <v>7.0000000000000007e-002</v>
      </c>
      <c r="H576" s="21">
        <f t="shared" si="498"/>
        <v>7.0000000000000007e-002</v>
      </c>
      <c r="I576" s="24" t="str">
        <f t="shared" si="499"/>
        <v xml:space="preserve">COM VALOR</v>
      </c>
      <c r="L576" s="36">
        <v>7.0000000000000007e-002</v>
      </c>
      <c r="M576" s="37">
        <v>7.0000000000000007e-002</v>
      </c>
      <c r="N576" s="36">
        <v>7.0000000000000007e-002</v>
      </c>
    </row>
    <row r="577" ht="38.25">
      <c r="A577" s="19" t="s">
        <v>10460</v>
      </c>
      <c r="B577" s="19">
        <v>11950</v>
      </c>
      <c r="C577" s="20" t="s">
        <v>11033</v>
      </c>
      <c r="D577" s="19" t="s">
        <v>31</v>
      </c>
      <c r="E577" s="19" t="s">
        <v>10459</v>
      </c>
      <c r="F577" s="21">
        <f t="shared" si="498"/>
        <v>0.14000000000000001</v>
      </c>
      <c r="G577" s="21">
        <f t="shared" si="498"/>
        <v>0.14000000000000001</v>
      </c>
      <c r="H577" s="21">
        <f t="shared" si="498"/>
        <v>0.14000000000000001</v>
      </c>
      <c r="I577" s="24" t="str">
        <f t="shared" si="499"/>
        <v xml:space="preserve">COM VALOR</v>
      </c>
      <c r="L577" s="36">
        <v>0.14000000000000001</v>
      </c>
      <c r="M577" s="37">
        <v>0.14000000000000001</v>
      </c>
      <c r="N577" s="36">
        <v>0.14000000000000001</v>
      </c>
    </row>
    <row r="578" ht="12.75">
      <c r="A578" s="19" t="s">
        <v>10460</v>
      </c>
      <c r="B578" s="19">
        <v>4376</v>
      </c>
      <c r="C578" s="20" t="s">
        <v>11034</v>
      </c>
      <c r="D578" s="19" t="s">
        <v>31</v>
      </c>
      <c r="E578" s="19" t="s">
        <v>10459</v>
      </c>
      <c r="F578" s="21">
        <f t="shared" si="498"/>
        <v>0.13</v>
      </c>
      <c r="G578" s="21">
        <f t="shared" si="498"/>
        <v>0.13</v>
      </c>
      <c r="H578" s="21">
        <f t="shared" si="498"/>
        <v>0.13</v>
      </c>
      <c r="I578" s="24" t="str">
        <f t="shared" si="499"/>
        <v xml:space="preserve">COM VALOR</v>
      </c>
      <c r="L578" s="36">
        <v>0.13</v>
      </c>
      <c r="M578" s="37">
        <v>0.13</v>
      </c>
      <c r="N578" s="36">
        <v>0.13</v>
      </c>
    </row>
    <row r="579" ht="38.25">
      <c r="A579" s="19" t="s">
        <v>10460</v>
      </c>
      <c r="B579" s="19">
        <v>7583</v>
      </c>
      <c r="C579" s="20" t="s">
        <v>11035</v>
      </c>
      <c r="D579" s="19" t="s">
        <v>31</v>
      </c>
      <c r="E579" s="19" t="s">
        <v>10459</v>
      </c>
      <c r="F579" s="21">
        <f t="shared" si="498"/>
        <v>0.28999999999999998</v>
      </c>
      <c r="G579" s="21">
        <f t="shared" si="498"/>
        <v>0.28999999999999998</v>
      </c>
      <c r="H579" s="21">
        <f t="shared" si="498"/>
        <v>0.28999999999999998</v>
      </c>
      <c r="I579" s="24" t="str">
        <f t="shared" si="499"/>
        <v xml:space="preserve">COM VALOR</v>
      </c>
      <c r="L579" s="36">
        <v>0.28999999999999998</v>
      </c>
      <c r="M579" s="37">
        <v>0.28999999999999998</v>
      </c>
      <c r="N579" s="36">
        <v>0.28999999999999998</v>
      </c>
    </row>
    <row r="580" ht="38.25">
      <c r="A580" s="19" t="s">
        <v>10460</v>
      </c>
      <c r="B580" s="19">
        <v>4350</v>
      </c>
      <c r="C580" s="20" t="s">
        <v>11036</v>
      </c>
      <c r="D580" s="19" t="s">
        <v>31</v>
      </c>
      <c r="E580" s="19" t="s">
        <v>10459</v>
      </c>
      <c r="F580" s="21">
        <f t="shared" si="498"/>
        <v>0.72999999999999998</v>
      </c>
      <c r="G580" s="21">
        <f t="shared" si="498"/>
        <v>0.72999999999999998</v>
      </c>
      <c r="H580" s="21">
        <f t="shared" si="498"/>
        <v>0.72999999999999998</v>
      </c>
      <c r="I580" s="24" t="str">
        <f t="shared" si="499"/>
        <v xml:space="preserve">COM VALOR</v>
      </c>
      <c r="L580" s="36">
        <v>0.72999999999999998</v>
      </c>
      <c r="M580" s="37">
        <v>0.72999999999999998</v>
      </c>
      <c r="N580" s="36">
        <v>0.72999999999999998</v>
      </c>
    </row>
    <row r="581" ht="25.5">
      <c r="A581" s="19" t="s">
        <v>10460</v>
      </c>
      <c r="B581" s="19">
        <v>44400</v>
      </c>
      <c r="C581" s="20" t="s">
        <v>11037</v>
      </c>
      <c r="D581" s="19" t="s">
        <v>31</v>
      </c>
      <c r="E581" s="19" t="s">
        <v>10459</v>
      </c>
      <c r="F581" s="21">
        <f t="shared" si="498"/>
        <v>35.920000000000002</v>
      </c>
      <c r="G581" s="21">
        <f t="shared" si="498"/>
        <v>35.920000000000002</v>
      </c>
      <c r="H581" s="21">
        <f t="shared" si="498"/>
        <v>35.920000000000002</v>
      </c>
      <c r="I581" s="24" t="str">
        <f t="shared" si="499"/>
        <v xml:space="preserve">COM VALOR</v>
      </c>
      <c r="L581" s="36">
        <v>35.920000000000002</v>
      </c>
      <c r="M581" s="37">
        <v>35.920000000000002</v>
      </c>
      <c r="N581" s="36">
        <v>35.920000000000002</v>
      </c>
    </row>
    <row r="582" ht="25.5">
      <c r="A582" s="19" t="s">
        <v>10460</v>
      </c>
      <c r="B582" s="19">
        <v>39886</v>
      </c>
      <c r="C582" s="20" t="s">
        <v>11038</v>
      </c>
      <c r="D582" s="19" t="s">
        <v>31</v>
      </c>
      <c r="E582" s="19" t="s">
        <v>10459</v>
      </c>
      <c r="F582" s="21" t="str">
        <f t="shared" si="498"/>
        <v>VERIFICAR</v>
      </c>
      <c r="G582" s="21" t="str">
        <f t="shared" si="498"/>
        <v>VERIFICAR</v>
      </c>
      <c r="H582" s="21" t="str">
        <f t="shared" si="498"/>
        <v>VERIFICAR</v>
      </c>
      <c r="I582" s="24" t="str">
        <f t="shared" si="499"/>
        <v xml:space="preserve">SEM VALOR</v>
      </c>
      <c r="L582" s="36"/>
      <c r="M582" s="37"/>
      <c r="N582" s="36"/>
    </row>
    <row r="583" ht="25.5">
      <c r="A583" s="19" t="s">
        <v>10460</v>
      </c>
      <c r="B583" s="19">
        <v>39887</v>
      </c>
      <c r="C583" s="20" t="s">
        <v>11039</v>
      </c>
      <c r="D583" s="19" t="s">
        <v>31</v>
      </c>
      <c r="E583" s="19" t="s">
        <v>10459</v>
      </c>
      <c r="F583" s="21" t="str">
        <f t="shared" si="498"/>
        <v>VERIFICAR</v>
      </c>
      <c r="G583" s="21" t="str">
        <f t="shared" si="498"/>
        <v>VERIFICAR</v>
      </c>
      <c r="H583" s="21" t="str">
        <f t="shared" si="498"/>
        <v>VERIFICAR</v>
      </c>
      <c r="I583" s="24" t="str">
        <f t="shared" si="499"/>
        <v xml:space="preserve">SEM VALOR</v>
      </c>
      <c r="L583" s="36"/>
      <c r="M583" s="37"/>
      <c r="N583" s="36"/>
    </row>
    <row r="584" ht="25.5">
      <c r="A584" s="19" t="s">
        <v>10460</v>
      </c>
      <c r="B584" s="19">
        <v>39888</v>
      </c>
      <c r="C584" s="20" t="s">
        <v>11040</v>
      </c>
      <c r="D584" s="19" t="s">
        <v>31</v>
      </c>
      <c r="E584" s="19" t="s">
        <v>10459</v>
      </c>
      <c r="F584" s="21" t="str">
        <f t="shared" si="498"/>
        <v>VERIFICAR</v>
      </c>
      <c r="G584" s="21" t="str">
        <f t="shared" si="498"/>
        <v>VERIFICAR</v>
      </c>
      <c r="H584" s="21" t="str">
        <f t="shared" si="498"/>
        <v>VERIFICAR</v>
      </c>
      <c r="I584" s="24" t="str">
        <f t="shared" si="499"/>
        <v xml:space="preserve">SEM VALOR</v>
      </c>
      <c r="L584" s="36"/>
      <c r="M584" s="37"/>
      <c r="N584" s="36"/>
    </row>
    <row r="585" ht="25.5">
      <c r="A585" s="19" t="s">
        <v>10460</v>
      </c>
      <c r="B585" s="19">
        <v>39890</v>
      </c>
      <c r="C585" s="20" t="s">
        <v>11041</v>
      </c>
      <c r="D585" s="19" t="s">
        <v>31</v>
      </c>
      <c r="E585" s="19" t="s">
        <v>10459</v>
      </c>
      <c r="F585" s="21" t="str">
        <f t="shared" si="498"/>
        <v>VERIFICAR</v>
      </c>
      <c r="G585" s="21" t="str">
        <f t="shared" si="498"/>
        <v>VERIFICAR</v>
      </c>
      <c r="H585" s="21" t="str">
        <f t="shared" si="498"/>
        <v>VERIFICAR</v>
      </c>
      <c r="I585" s="24" t="str">
        <f t="shared" si="499"/>
        <v xml:space="preserve">SEM VALOR</v>
      </c>
      <c r="L585" s="36"/>
      <c r="M585" s="37"/>
      <c r="N585" s="36"/>
    </row>
    <row r="586" ht="25.5">
      <c r="A586" s="19" t="s">
        <v>10460</v>
      </c>
      <c r="B586" s="19">
        <v>39891</v>
      </c>
      <c r="C586" s="20" t="s">
        <v>11042</v>
      </c>
      <c r="D586" s="19" t="s">
        <v>31</v>
      </c>
      <c r="E586" s="19" t="s">
        <v>10459</v>
      </c>
      <c r="F586" s="21" t="str">
        <f t="shared" si="498"/>
        <v>VERIFICAR</v>
      </c>
      <c r="G586" s="21" t="str">
        <f t="shared" si="498"/>
        <v>VERIFICAR</v>
      </c>
      <c r="H586" s="21" t="str">
        <f t="shared" si="498"/>
        <v>VERIFICAR</v>
      </c>
      <c r="I586" s="24" t="str">
        <f t="shared" si="499"/>
        <v xml:space="preserve">SEM VALOR</v>
      </c>
      <c r="L586" s="36"/>
      <c r="M586" s="37"/>
      <c r="N586" s="36"/>
    </row>
    <row r="587" ht="25.5">
      <c r="A587" s="19" t="s">
        <v>10460</v>
      </c>
      <c r="B587" s="19">
        <v>39892</v>
      </c>
      <c r="C587" s="20" t="s">
        <v>11043</v>
      </c>
      <c r="D587" s="19" t="s">
        <v>31</v>
      </c>
      <c r="E587" s="19" t="s">
        <v>10459</v>
      </c>
      <c r="F587" s="21" t="str">
        <f t="shared" ref="F587:H650" si="500">IF(L587=0,"VERIFICAR",L587)</f>
        <v>VERIFICAR</v>
      </c>
      <c r="G587" s="21" t="str">
        <f t="shared" si="500"/>
        <v>VERIFICAR</v>
      </c>
      <c r="H587" s="21" t="str">
        <f t="shared" si="500"/>
        <v>VERIFICAR</v>
      </c>
      <c r="I587" s="24" t="str">
        <f t="shared" ref="I587:I650" si="501">IF(OR(L587=0,M587=0,N587=0),"SEM VALOR","COM VALOR")</f>
        <v xml:space="preserve">SEM VALOR</v>
      </c>
      <c r="L587" s="36"/>
      <c r="M587" s="37"/>
      <c r="N587" s="36"/>
    </row>
    <row r="588" ht="25.5">
      <c r="A588" s="19" t="s">
        <v>10460</v>
      </c>
      <c r="B588" s="19">
        <v>790</v>
      </c>
      <c r="C588" s="20" t="s">
        <v>11044</v>
      </c>
      <c r="D588" s="19" t="s">
        <v>31</v>
      </c>
      <c r="E588" s="19" t="s">
        <v>10459</v>
      </c>
      <c r="F588" s="21">
        <f t="shared" si="500"/>
        <v>23.25</v>
      </c>
      <c r="G588" s="21">
        <f t="shared" si="500"/>
        <v>23.25</v>
      </c>
      <c r="H588" s="21">
        <f t="shared" si="500"/>
        <v>23.25</v>
      </c>
      <c r="I588" s="24" t="str">
        <f t="shared" si="501"/>
        <v xml:space="preserve">COM VALOR</v>
      </c>
      <c r="L588" s="36">
        <v>23.25</v>
      </c>
      <c r="M588" s="37">
        <v>23.25</v>
      </c>
      <c r="N588" s="36">
        <v>23.25</v>
      </c>
    </row>
    <row r="589" ht="25.5">
      <c r="A589" s="19" t="s">
        <v>10460</v>
      </c>
      <c r="B589" s="19">
        <v>791</v>
      </c>
      <c r="C589" s="20" t="s">
        <v>11045</v>
      </c>
      <c r="D589" s="19" t="s">
        <v>31</v>
      </c>
      <c r="E589" s="19" t="s">
        <v>10459</v>
      </c>
      <c r="F589" s="21">
        <f t="shared" si="500"/>
        <v>23.25</v>
      </c>
      <c r="G589" s="21">
        <f t="shared" si="500"/>
        <v>23.25</v>
      </c>
      <c r="H589" s="21">
        <f t="shared" si="500"/>
        <v>23.25</v>
      </c>
      <c r="I589" s="24" t="str">
        <f t="shared" si="501"/>
        <v xml:space="preserve">COM VALOR</v>
      </c>
      <c r="L589" s="36">
        <v>23.25</v>
      </c>
      <c r="M589" s="37">
        <v>23.25</v>
      </c>
      <c r="N589" s="36">
        <v>23.25</v>
      </c>
    </row>
    <row r="590" ht="25.5">
      <c r="A590" s="19" t="s">
        <v>10460</v>
      </c>
      <c r="B590" s="19">
        <v>766</v>
      </c>
      <c r="C590" s="20" t="s">
        <v>11046</v>
      </c>
      <c r="D590" s="19" t="s">
        <v>31</v>
      </c>
      <c r="E590" s="19" t="s">
        <v>10459</v>
      </c>
      <c r="F590" s="21">
        <f t="shared" si="500"/>
        <v>23.25</v>
      </c>
      <c r="G590" s="21">
        <f t="shared" si="500"/>
        <v>23.25</v>
      </c>
      <c r="H590" s="21">
        <f t="shared" si="500"/>
        <v>23.25</v>
      </c>
      <c r="I590" s="24" t="str">
        <f t="shared" si="501"/>
        <v xml:space="preserve">COM VALOR</v>
      </c>
      <c r="L590" s="36">
        <v>23.25</v>
      </c>
      <c r="M590" s="37">
        <v>23.25</v>
      </c>
      <c r="N590" s="36">
        <v>23.25</v>
      </c>
    </row>
    <row r="591" ht="25.5">
      <c r="A591" s="19" t="s">
        <v>10460</v>
      </c>
      <c r="B591" s="19">
        <v>767</v>
      </c>
      <c r="C591" s="20" t="s">
        <v>11047</v>
      </c>
      <c r="D591" s="19" t="s">
        <v>31</v>
      </c>
      <c r="E591" s="19" t="s">
        <v>10459</v>
      </c>
      <c r="F591" s="21">
        <f t="shared" si="500"/>
        <v>23.25</v>
      </c>
      <c r="G591" s="21">
        <f t="shared" si="500"/>
        <v>23.25</v>
      </c>
      <c r="H591" s="21">
        <f t="shared" si="500"/>
        <v>23.25</v>
      </c>
      <c r="I591" s="24" t="str">
        <f t="shared" si="501"/>
        <v xml:space="preserve">COM VALOR</v>
      </c>
      <c r="L591" s="36">
        <v>23.25</v>
      </c>
      <c r="M591" s="37">
        <v>23.25</v>
      </c>
      <c r="N591" s="36">
        <v>23.25</v>
      </c>
    </row>
    <row r="592" ht="25.5">
      <c r="A592" s="19" t="s">
        <v>10460</v>
      </c>
      <c r="B592" s="19">
        <v>789</v>
      </c>
      <c r="C592" s="20" t="s">
        <v>11048</v>
      </c>
      <c r="D592" s="19" t="s">
        <v>31</v>
      </c>
      <c r="E592" s="19" t="s">
        <v>10459</v>
      </c>
      <c r="F592" s="21">
        <f t="shared" si="500"/>
        <v>17.870000000000001</v>
      </c>
      <c r="G592" s="21">
        <f t="shared" si="500"/>
        <v>17.870000000000001</v>
      </c>
      <c r="H592" s="21">
        <f t="shared" si="500"/>
        <v>17.870000000000001</v>
      </c>
      <c r="I592" s="24" t="str">
        <f t="shared" si="501"/>
        <v xml:space="preserve">COM VALOR</v>
      </c>
      <c r="L592" s="36">
        <v>17.870000000000001</v>
      </c>
      <c r="M592" s="37">
        <v>17.870000000000001</v>
      </c>
      <c r="N592" s="36">
        <v>17.870000000000001</v>
      </c>
    </row>
    <row r="593" ht="25.5">
      <c r="A593" s="19" t="s">
        <v>10460</v>
      </c>
      <c r="B593" s="19">
        <v>768</v>
      </c>
      <c r="C593" s="20" t="s">
        <v>11049</v>
      </c>
      <c r="D593" s="19" t="s">
        <v>31</v>
      </c>
      <c r="E593" s="19" t="s">
        <v>10459</v>
      </c>
      <c r="F593" s="21">
        <f t="shared" si="500"/>
        <v>18.260000000000002</v>
      </c>
      <c r="G593" s="21">
        <f t="shared" si="500"/>
        <v>18.260000000000002</v>
      </c>
      <c r="H593" s="21">
        <f t="shared" si="500"/>
        <v>18.260000000000002</v>
      </c>
      <c r="I593" s="24" t="str">
        <f t="shared" si="501"/>
        <v xml:space="preserve">COM VALOR</v>
      </c>
      <c r="L593" s="36">
        <v>18.260000000000002</v>
      </c>
      <c r="M593" s="37">
        <v>18.260000000000002</v>
      </c>
      <c r="N593" s="36">
        <v>18.260000000000002</v>
      </c>
    </row>
    <row r="594" ht="25.5">
      <c r="A594" s="19" t="s">
        <v>10460</v>
      </c>
      <c r="B594" s="19">
        <v>769</v>
      </c>
      <c r="C594" s="20" t="s">
        <v>11050</v>
      </c>
      <c r="D594" s="19" t="s">
        <v>31</v>
      </c>
      <c r="E594" s="19" t="s">
        <v>10459</v>
      </c>
      <c r="F594" s="21">
        <f t="shared" si="500"/>
        <v>18.260000000000002</v>
      </c>
      <c r="G594" s="21">
        <f t="shared" si="500"/>
        <v>18.260000000000002</v>
      </c>
      <c r="H594" s="21">
        <f t="shared" si="500"/>
        <v>18.260000000000002</v>
      </c>
      <c r="I594" s="24" t="str">
        <f t="shared" si="501"/>
        <v xml:space="preserve">COM VALOR</v>
      </c>
      <c r="L594" s="36">
        <v>18.260000000000002</v>
      </c>
      <c r="M594" s="37">
        <v>18.260000000000002</v>
      </c>
      <c r="N594" s="36">
        <v>18.260000000000002</v>
      </c>
    </row>
    <row r="595" ht="25.5">
      <c r="A595" s="19" t="s">
        <v>10460</v>
      </c>
      <c r="B595" s="19">
        <v>764</v>
      </c>
      <c r="C595" s="20" t="s">
        <v>11051</v>
      </c>
      <c r="D595" s="19" t="s">
        <v>31</v>
      </c>
      <c r="E595" s="19" t="s">
        <v>10466</v>
      </c>
      <c r="F595" s="21">
        <f t="shared" si="500"/>
        <v>11.24</v>
      </c>
      <c r="G595" s="21">
        <f t="shared" si="500"/>
        <v>11.24</v>
      </c>
      <c r="H595" s="21">
        <f t="shared" si="500"/>
        <v>11.24</v>
      </c>
      <c r="I595" s="24" t="str">
        <f t="shared" si="501"/>
        <v xml:space="preserve">COM VALOR</v>
      </c>
      <c r="L595" s="36">
        <v>11.24</v>
      </c>
      <c r="M595" s="37">
        <v>11.24</v>
      </c>
      <c r="N595" s="36">
        <v>11.24</v>
      </c>
    </row>
    <row r="596" ht="25.5">
      <c r="A596" s="19" t="s">
        <v>10460</v>
      </c>
      <c r="B596" s="19">
        <v>765</v>
      </c>
      <c r="C596" s="20" t="s">
        <v>11052</v>
      </c>
      <c r="D596" s="19" t="s">
        <v>31</v>
      </c>
      <c r="E596" s="19" t="s">
        <v>10459</v>
      </c>
      <c r="F596" s="21">
        <f t="shared" si="500"/>
        <v>11.24</v>
      </c>
      <c r="G596" s="21">
        <f t="shared" si="500"/>
        <v>11.24</v>
      </c>
      <c r="H596" s="21">
        <f t="shared" si="500"/>
        <v>11.24</v>
      </c>
      <c r="I596" s="24" t="str">
        <f t="shared" si="501"/>
        <v xml:space="preserve">COM VALOR</v>
      </c>
      <c r="L596" s="36">
        <v>11.24</v>
      </c>
      <c r="M596" s="37">
        <v>11.24</v>
      </c>
      <c r="N596" s="36">
        <v>11.24</v>
      </c>
    </row>
    <row r="597" ht="25.5">
      <c r="A597" s="19" t="s">
        <v>10460</v>
      </c>
      <c r="B597" s="19">
        <v>770</v>
      </c>
      <c r="C597" s="20" t="s">
        <v>11053</v>
      </c>
      <c r="D597" s="19" t="s">
        <v>31</v>
      </c>
      <c r="E597" s="19" t="s">
        <v>10459</v>
      </c>
      <c r="F597" s="21">
        <f t="shared" si="500"/>
        <v>6.4400000000000004</v>
      </c>
      <c r="G597" s="21">
        <f t="shared" si="500"/>
        <v>6.4400000000000004</v>
      </c>
      <c r="H597" s="21">
        <f t="shared" si="500"/>
        <v>6.4400000000000004</v>
      </c>
      <c r="I597" s="24" t="str">
        <f t="shared" si="501"/>
        <v xml:space="preserve">COM VALOR</v>
      </c>
      <c r="L597" s="36">
        <v>6.4400000000000004</v>
      </c>
      <c r="M597" s="37">
        <v>6.4400000000000004</v>
      </c>
      <c r="N597" s="36">
        <v>6.4400000000000004</v>
      </c>
    </row>
    <row r="598" ht="25.5">
      <c r="A598" s="19" t="s">
        <v>10460</v>
      </c>
      <c r="B598" s="19">
        <v>12394</v>
      </c>
      <c r="C598" s="20" t="s">
        <v>11054</v>
      </c>
      <c r="D598" s="19" t="s">
        <v>31</v>
      </c>
      <c r="E598" s="19" t="s">
        <v>10459</v>
      </c>
      <c r="F598" s="21">
        <f t="shared" si="500"/>
        <v>6.4400000000000004</v>
      </c>
      <c r="G598" s="21">
        <f t="shared" si="500"/>
        <v>6.4400000000000004</v>
      </c>
      <c r="H598" s="21">
        <f t="shared" si="500"/>
        <v>6.4400000000000004</v>
      </c>
      <c r="I598" s="24" t="str">
        <f t="shared" si="501"/>
        <v xml:space="preserve">COM VALOR</v>
      </c>
      <c r="L598" s="36">
        <v>6.4400000000000004</v>
      </c>
      <c r="M598" s="37">
        <v>6.4400000000000004</v>
      </c>
      <c r="N598" s="36">
        <v>6.4400000000000004</v>
      </c>
    </row>
    <row r="599" ht="25.5">
      <c r="A599" s="19" t="s">
        <v>10460</v>
      </c>
      <c r="B599" s="19">
        <v>787</v>
      </c>
      <c r="C599" s="20" t="s">
        <v>11055</v>
      </c>
      <c r="D599" s="19" t="s">
        <v>31</v>
      </c>
      <c r="E599" s="19" t="s">
        <v>10459</v>
      </c>
      <c r="F599" s="21">
        <f t="shared" si="500"/>
        <v>50.210000000000001</v>
      </c>
      <c r="G599" s="21">
        <f t="shared" si="500"/>
        <v>50.210000000000001</v>
      </c>
      <c r="H599" s="21">
        <f t="shared" si="500"/>
        <v>50.210000000000001</v>
      </c>
      <c r="I599" s="24" t="str">
        <f t="shared" si="501"/>
        <v xml:space="preserve">COM VALOR</v>
      </c>
      <c r="L599" s="36">
        <v>50.210000000000001</v>
      </c>
      <c r="M599" s="37">
        <v>50.210000000000001</v>
      </c>
      <c r="N599" s="36">
        <v>50.210000000000001</v>
      </c>
    </row>
    <row r="600" ht="25.5">
      <c r="A600" s="19" t="s">
        <v>10460</v>
      </c>
      <c r="B600" s="19">
        <v>774</v>
      </c>
      <c r="C600" s="20" t="s">
        <v>11056</v>
      </c>
      <c r="D600" s="19" t="s">
        <v>31</v>
      </c>
      <c r="E600" s="19" t="s">
        <v>10459</v>
      </c>
      <c r="F600" s="21">
        <f t="shared" si="500"/>
        <v>50.210000000000001</v>
      </c>
      <c r="G600" s="21">
        <f t="shared" si="500"/>
        <v>50.210000000000001</v>
      </c>
      <c r="H600" s="21">
        <f t="shared" si="500"/>
        <v>50.210000000000001</v>
      </c>
      <c r="I600" s="24" t="str">
        <f t="shared" si="501"/>
        <v xml:space="preserve">COM VALOR</v>
      </c>
      <c r="L600" s="36">
        <v>50.210000000000001</v>
      </c>
      <c r="M600" s="37">
        <v>50.210000000000001</v>
      </c>
      <c r="N600" s="36">
        <v>50.210000000000001</v>
      </c>
    </row>
    <row r="601" ht="25.5">
      <c r="A601" s="19" t="s">
        <v>10460</v>
      </c>
      <c r="B601" s="19">
        <v>773</v>
      </c>
      <c r="C601" s="20" t="s">
        <v>11057</v>
      </c>
      <c r="D601" s="19" t="s">
        <v>31</v>
      </c>
      <c r="E601" s="19" t="s">
        <v>10459</v>
      </c>
      <c r="F601" s="21">
        <f t="shared" si="500"/>
        <v>50.210000000000001</v>
      </c>
      <c r="G601" s="21">
        <f t="shared" si="500"/>
        <v>50.210000000000001</v>
      </c>
      <c r="H601" s="21">
        <f t="shared" si="500"/>
        <v>50.210000000000001</v>
      </c>
      <c r="I601" s="24" t="str">
        <f t="shared" si="501"/>
        <v xml:space="preserve">COM VALOR</v>
      </c>
      <c r="L601" s="36">
        <v>50.210000000000001</v>
      </c>
      <c r="M601" s="37">
        <v>50.210000000000001</v>
      </c>
      <c r="N601" s="36">
        <v>50.210000000000001</v>
      </c>
    </row>
    <row r="602" ht="25.5">
      <c r="A602" s="19" t="s">
        <v>10460</v>
      </c>
      <c r="B602" s="19">
        <v>775</v>
      </c>
      <c r="C602" s="20" t="s">
        <v>11058</v>
      </c>
      <c r="D602" s="19" t="s">
        <v>31</v>
      </c>
      <c r="E602" s="19" t="s">
        <v>10459</v>
      </c>
      <c r="F602" s="21">
        <f t="shared" si="500"/>
        <v>50.210000000000001</v>
      </c>
      <c r="G602" s="21">
        <f t="shared" si="500"/>
        <v>50.210000000000001</v>
      </c>
      <c r="H602" s="21">
        <f t="shared" si="500"/>
        <v>50.210000000000001</v>
      </c>
      <c r="I602" s="24" t="str">
        <f t="shared" si="501"/>
        <v xml:space="preserve">COM VALOR</v>
      </c>
      <c r="L602" s="36">
        <v>50.210000000000001</v>
      </c>
      <c r="M602" s="37">
        <v>50.210000000000001</v>
      </c>
      <c r="N602" s="36">
        <v>50.210000000000001</v>
      </c>
    </row>
    <row r="603" ht="25.5">
      <c r="A603" s="19" t="s">
        <v>10460</v>
      </c>
      <c r="B603" s="19">
        <v>788</v>
      </c>
      <c r="C603" s="20" t="s">
        <v>11059</v>
      </c>
      <c r="D603" s="19" t="s">
        <v>31</v>
      </c>
      <c r="E603" s="19" t="s">
        <v>10459</v>
      </c>
      <c r="F603" s="21">
        <f t="shared" si="500"/>
        <v>31.199999999999999</v>
      </c>
      <c r="G603" s="21">
        <f t="shared" si="500"/>
        <v>31.199999999999999</v>
      </c>
      <c r="H603" s="21">
        <f t="shared" si="500"/>
        <v>31.199999999999999</v>
      </c>
      <c r="I603" s="24" t="str">
        <f t="shared" si="501"/>
        <v xml:space="preserve">COM VALOR</v>
      </c>
      <c r="L603" s="36">
        <v>31.199999999999999</v>
      </c>
      <c r="M603" s="37">
        <v>31.199999999999999</v>
      </c>
      <c r="N603" s="36">
        <v>31.199999999999999</v>
      </c>
    </row>
    <row r="604" ht="25.5">
      <c r="A604" s="19" t="s">
        <v>10460</v>
      </c>
      <c r="B604" s="19">
        <v>772</v>
      </c>
      <c r="C604" s="20" t="s">
        <v>11060</v>
      </c>
      <c r="D604" s="19" t="s">
        <v>31</v>
      </c>
      <c r="E604" s="19" t="s">
        <v>10459</v>
      </c>
      <c r="F604" s="21">
        <f t="shared" si="500"/>
        <v>31.199999999999999</v>
      </c>
      <c r="G604" s="21">
        <f t="shared" si="500"/>
        <v>31.199999999999999</v>
      </c>
      <c r="H604" s="21">
        <f t="shared" si="500"/>
        <v>31.199999999999999</v>
      </c>
      <c r="I604" s="24" t="str">
        <f t="shared" si="501"/>
        <v xml:space="preserve">COM VALOR</v>
      </c>
      <c r="L604" s="36">
        <v>31.199999999999999</v>
      </c>
      <c r="M604" s="37">
        <v>31.199999999999999</v>
      </c>
      <c r="N604" s="36">
        <v>31.199999999999999</v>
      </c>
    </row>
    <row r="605" ht="25.5">
      <c r="A605" s="19" t="s">
        <v>10460</v>
      </c>
      <c r="B605" s="19">
        <v>771</v>
      </c>
      <c r="C605" s="20" t="s">
        <v>11061</v>
      </c>
      <c r="D605" s="19" t="s">
        <v>31</v>
      </c>
      <c r="E605" s="19" t="s">
        <v>10459</v>
      </c>
      <c r="F605" s="21">
        <f t="shared" si="500"/>
        <v>31.199999999999999</v>
      </c>
      <c r="G605" s="21">
        <f t="shared" si="500"/>
        <v>31.199999999999999</v>
      </c>
      <c r="H605" s="21">
        <f t="shared" si="500"/>
        <v>31.199999999999999</v>
      </c>
      <c r="I605" s="24" t="str">
        <f t="shared" si="501"/>
        <v xml:space="preserve">COM VALOR</v>
      </c>
      <c r="L605" s="36">
        <v>31.199999999999999</v>
      </c>
      <c r="M605" s="37">
        <v>31.199999999999999</v>
      </c>
      <c r="N605" s="36">
        <v>31.199999999999999</v>
      </c>
    </row>
    <row r="606" ht="25.5">
      <c r="A606" s="19" t="s">
        <v>10460</v>
      </c>
      <c r="B606" s="19">
        <v>776</v>
      </c>
      <c r="C606" s="20" t="s">
        <v>11062</v>
      </c>
      <c r="D606" s="19" t="s">
        <v>31</v>
      </c>
      <c r="E606" s="19" t="s">
        <v>10459</v>
      </c>
      <c r="F606" s="21">
        <f t="shared" si="500"/>
        <v>74.010000000000005</v>
      </c>
      <c r="G606" s="21">
        <f t="shared" si="500"/>
        <v>74.010000000000005</v>
      </c>
      <c r="H606" s="21">
        <f t="shared" si="500"/>
        <v>74.010000000000005</v>
      </c>
      <c r="I606" s="24" t="str">
        <f t="shared" si="501"/>
        <v xml:space="preserve">COM VALOR</v>
      </c>
      <c r="L606" s="36">
        <v>74.010000000000005</v>
      </c>
      <c r="M606" s="37">
        <v>74.010000000000005</v>
      </c>
      <c r="N606" s="36">
        <v>74.010000000000005</v>
      </c>
    </row>
    <row r="607" ht="25.5">
      <c r="A607" s="19" t="s">
        <v>10460</v>
      </c>
      <c r="B607" s="19">
        <v>777</v>
      </c>
      <c r="C607" s="20" t="s">
        <v>11063</v>
      </c>
      <c r="D607" s="19" t="s">
        <v>31</v>
      </c>
      <c r="E607" s="19" t="s">
        <v>10459</v>
      </c>
      <c r="F607" s="21">
        <f t="shared" si="500"/>
        <v>71.950000000000003</v>
      </c>
      <c r="G607" s="21">
        <f t="shared" si="500"/>
        <v>71.950000000000003</v>
      </c>
      <c r="H607" s="21">
        <f t="shared" si="500"/>
        <v>71.950000000000003</v>
      </c>
      <c r="I607" s="24" t="str">
        <f t="shared" si="501"/>
        <v xml:space="preserve">COM VALOR</v>
      </c>
      <c r="L607" s="36">
        <v>71.950000000000003</v>
      </c>
      <c r="M607" s="37">
        <v>71.950000000000003</v>
      </c>
      <c r="N607" s="36">
        <v>71.950000000000003</v>
      </c>
    </row>
    <row r="608" ht="25.5">
      <c r="A608" s="19" t="s">
        <v>10460</v>
      </c>
      <c r="B608" s="19">
        <v>780</v>
      </c>
      <c r="C608" s="20" t="s">
        <v>11064</v>
      </c>
      <c r="D608" s="19" t="s">
        <v>31</v>
      </c>
      <c r="E608" s="19" t="s">
        <v>10459</v>
      </c>
      <c r="F608" s="21">
        <f t="shared" si="500"/>
        <v>72.310000000000002</v>
      </c>
      <c r="G608" s="21">
        <f t="shared" si="500"/>
        <v>72.310000000000002</v>
      </c>
      <c r="H608" s="21">
        <f t="shared" si="500"/>
        <v>72.310000000000002</v>
      </c>
      <c r="I608" s="24" t="str">
        <f t="shared" si="501"/>
        <v xml:space="preserve">COM VALOR</v>
      </c>
      <c r="L608" s="36">
        <v>72.310000000000002</v>
      </c>
      <c r="M608" s="37">
        <v>72.310000000000002</v>
      </c>
      <c r="N608" s="36">
        <v>72.310000000000002</v>
      </c>
    </row>
    <row r="609" ht="25.5">
      <c r="A609" s="19" t="s">
        <v>10460</v>
      </c>
      <c r="B609" s="19">
        <v>778</v>
      </c>
      <c r="C609" s="20" t="s">
        <v>11065</v>
      </c>
      <c r="D609" s="19" t="s">
        <v>31</v>
      </c>
      <c r="E609" s="19" t="s">
        <v>10459</v>
      </c>
      <c r="F609" s="21">
        <f t="shared" si="500"/>
        <v>74.010000000000005</v>
      </c>
      <c r="G609" s="21">
        <f t="shared" si="500"/>
        <v>74.010000000000005</v>
      </c>
      <c r="H609" s="21">
        <f t="shared" si="500"/>
        <v>74.010000000000005</v>
      </c>
      <c r="I609" s="24" t="str">
        <f t="shared" si="501"/>
        <v xml:space="preserve">COM VALOR</v>
      </c>
      <c r="L609" s="36">
        <v>74.010000000000005</v>
      </c>
      <c r="M609" s="37">
        <v>74.010000000000005</v>
      </c>
      <c r="N609" s="36">
        <v>74.010000000000005</v>
      </c>
    </row>
    <row r="610" ht="25.5">
      <c r="A610" s="19" t="s">
        <v>10460</v>
      </c>
      <c r="B610" s="19">
        <v>779</v>
      </c>
      <c r="C610" s="20" t="s">
        <v>11066</v>
      </c>
      <c r="D610" s="19" t="s">
        <v>31</v>
      </c>
      <c r="E610" s="19" t="s">
        <v>10459</v>
      </c>
      <c r="F610" s="21">
        <f t="shared" si="500"/>
        <v>7.7599999999999998</v>
      </c>
      <c r="G610" s="21">
        <f t="shared" si="500"/>
        <v>7.7599999999999998</v>
      </c>
      <c r="H610" s="21">
        <f t="shared" si="500"/>
        <v>7.7599999999999998</v>
      </c>
      <c r="I610" s="24" t="str">
        <f t="shared" si="501"/>
        <v xml:space="preserve">COM VALOR</v>
      </c>
      <c r="L610" s="36">
        <v>7.7599999999999998</v>
      </c>
      <c r="M610" s="37">
        <v>7.7599999999999998</v>
      </c>
      <c r="N610" s="36">
        <v>7.7599999999999998</v>
      </c>
    </row>
    <row r="611" ht="25.5">
      <c r="A611" s="19" t="s">
        <v>10460</v>
      </c>
      <c r="B611" s="19">
        <v>781</v>
      </c>
      <c r="C611" s="20" t="s">
        <v>11067</v>
      </c>
      <c r="D611" s="19" t="s">
        <v>31</v>
      </c>
      <c r="E611" s="19" t="s">
        <v>10459</v>
      </c>
      <c r="F611" s="21">
        <f t="shared" si="500"/>
        <v>136.75</v>
      </c>
      <c r="G611" s="21">
        <f t="shared" si="500"/>
        <v>136.75</v>
      </c>
      <c r="H611" s="21">
        <f t="shared" si="500"/>
        <v>136.75</v>
      </c>
      <c r="I611" s="24" t="str">
        <f t="shared" si="501"/>
        <v xml:space="preserve">COM VALOR</v>
      </c>
      <c r="L611" s="36">
        <v>136.75</v>
      </c>
      <c r="M611" s="37">
        <v>136.75</v>
      </c>
      <c r="N611" s="36">
        <v>136.75</v>
      </c>
    </row>
    <row r="612" ht="25.5">
      <c r="A612" s="19" t="s">
        <v>10460</v>
      </c>
      <c r="B612" s="19">
        <v>786</v>
      </c>
      <c r="C612" s="20" t="s">
        <v>11068</v>
      </c>
      <c r="D612" s="19" t="s">
        <v>31</v>
      </c>
      <c r="E612" s="19" t="s">
        <v>10459</v>
      </c>
      <c r="F612" s="21">
        <f t="shared" si="500"/>
        <v>136.75</v>
      </c>
      <c r="G612" s="21">
        <f t="shared" si="500"/>
        <v>136.75</v>
      </c>
      <c r="H612" s="21">
        <f t="shared" si="500"/>
        <v>136.75</v>
      </c>
      <c r="I612" s="24" t="str">
        <f t="shared" si="501"/>
        <v xml:space="preserve">COM VALOR</v>
      </c>
      <c r="L612" s="36">
        <v>136.75</v>
      </c>
      <c r="M612" s="37">
        <v>136.75</v>
      </c>
      <c r="N612" s="36">
        <v>136.75</v>
      </c>
    </row>
    <row r="613" ht="25.5">
      <c r="A613" s="19" t="s">
        <v>10460</v>
      </c>
      <c r="B613" s="19">
        <v>782</v>
      </c>
      <c r="C613" s="20" t="s">
        <v>11069</v>
      </c>
      <c r="D613" s="19" t="s">
        <v>31</v>
      </c>
      <c r="E613" s="19" t="s">
        <v>10459</v>
      </c>
      <c r="F613" s="21">
        <f t="shared" si="500"/>
        <v>136.75</v>
      </c>
      <c r="G613" s="21">
        <f t="shared" si="500"/>
        <v>136.75</v>
      </c>
      <c r="H613" s="21">
        <f t="shared" si="500"/>
        <v>136.75</v>
      </c>
      <c r="I613" s="24" t="str">
        <f t="shared" si="501"/>
        <v xml:space="preserve">COM VALOR</v>
      </c>
      <c r="L613" s="36">
        <v>136.75</v>
      </c>
      <c r="M613" s="37">
        <v>136.75</v>
      </c>
      <c r="N613" s="36">
        <v>136.75</v>
      </c>
    </row>
    <row r="614" ht="25.5">
      <c r="A614" s="19" t="s">
        <v>10460</v>
      </c>
      <c r="B614" s="19">
        <v>783</v>
      </c>
      <c r="C614" s="20" t="s">
        <v>11070</v>
      </c>
      <c r="D614" s="19" t="s">
        <v>31</v>
      </c>
      <c r="E614" s="19" t="s">
        <v>10459</v>
      </c>
      <c r="F614" s="21">
        <f t="shared" si="500"/>
        <v>374.27999999999997</v>
      </c>
      <c r="G614" s="21">
        <f t="shared" si="500"/>
        <v>374.27999999999997</v>
      </c>
      <c r="H614" s="21">
        <f t="shared" si="500"/>
        <v>374.27999999999997</v>
      </c>
      <c r="I614" s="24" t="str">
        <f t="shared" si="501"/>
        <v xml:space="preserve">COM VALOR</v>
      </c>
      <c r="L614" s="36">
        <v>374.27999999999997</v>
      </c>
      <c r="M614" s="37">
        <v>374.27999999999997</v>
      </c>
      <c r="N614" s="36">
        <v>374.27999999999997</v>
      </c>
    </row>
    <row r="615" ht="25.5">
      <c r="A615" s="19" t="s">
        <v>10460</v>
      </c>
      <c r="B615" s="19">
        <v>785</v>
      </c>
      <c r="C615" s="20" t="s">
        <v>11071</v>
      </c>
      <c r="D615" s="19" t="s">
        <v>31</v>
      </c>
      <c r="E615" s="19" t="s">
        <v>10459</v>
      </c>
      <c r="F615" s="21">
        <f t="shared" si="500"/>
        <v>395.45999999999998</v>
      </c>
      <c r="G615" s="21">
        <f t="shared" si="500"/>
        <v>395.45999999999998</v>
      </c>
      <c r="H615" s="21">
        <f t="shared" si="500"/>
        <v>395.45999999999998</v>
      </c>
      <c r="I615" s="24" t="str">
        <f t="shared" si="501"/>
        <v xml:space="preserve">COM VALOR</v>
      </c>
      <c r="L615" s="36">
        <v>395.45999999999998</v>
      </c>
      <c r="M615" s="37">
        <v>395.45999999999998</v>
      </c>
      <c r="N615" s="36">
        <v>395.45999999999998</v>
      </c>
    </row>
    <row r="616" ht="25.5">
      <c r="A616" s="19" t="s">
        <v>10460</v>
      </c>
      <c r="B616" s="19">
        <v>784</v>
      </c>
      <c r="C616" s="20" t="s">
        <v>11072</v>
      </c>
      <c r="D616" s="19" t="s">
        <v>31</v>
      </c>
      <c r="E616" s="19" t="s">
        <v>10459</v>
      </c>
      <c r="F616" s="21">
        <f t="shared" si="500"/>
        <v>424.23000000000002</v>
      </c>
      <c r="G616" s="21">
        <f t="shared" si="500"/>
        <v>424.23000000000002</v>
      </c>
      <c r="H616" s="21">
        <f t="shared" si="500"/>
        <v>424.23000000000002</v>
      </c>
      <c r="I616" s="24" t="str">
        <f t="shared" si="501"/>
        <v xml:space="preserve">COM VALOR</v>
      </c>
      <c r="L616" s="36">
        <v>424.23000000000002</v>
      </c>
      <c r="M616" s="37">
        <v>424.23000000000002</v>
      </c>
      <c r="N616" s="36">
        <v>424.23000000000002</v>
      </c>
    </row>
    <row r="617" ht="25.5">
      <c r="A617" s="19" t="s">
        <v>10460</v>
      </c>
      <c r="B617" s="19">
        <v>828</v>
      </c>
      <c r="C617" s="20" t="s">
        <v>11073</v>
      </c>
      <c r="D617" s="19" t="s">
        <v>31</v>
      </c>
      <c r="E617" s="19" t="s">
        <v>10459</v>
      </c>
      <c r="F617" s="21">
        <f t="shared" si="500"/>
        <v>0.62</v>
      </c>
      <c r="G617" s="21">
        <f t="shared" si="500"/>
        <v>0.62</v>
      </c>
      <c r="H617" s="21">
        <f t="shared" si="500"/>
        <v>0.62</v>
      </c>
      <c r="I617" s="24" t="str">
        <f t="shared" si="501"/>
        <v xml:space="preserve">COM VALOR</v>
      </c>
      <c r="L617" s="36">
        <v>0.62</v>
      </c>
      <c r="M617" s="37">
        <v>0.62</v>
      </c>
      <c r="N617" s="36">
        <v>0.62</v>
      </c>
    </row>
    <row r="618" ht="25.5">
      <c r="A618" s="19" t="s">
        <v>10460</v>
      </c>
      <c r="B618" s="19">
        <v>829</v>
      </c>
      <c r="C618" s="20" t="s">
        <v>11074</v>
      </c>
      <c r="D618" s="19" t="s">
        <v>31</v>
      </c>
      <c r="E618" s="19" t="s">
        <v>10459</v>
      </c>
      <c r="F618" s="21">
        <f t="shared" si="500"/>
        <v>0.98999999999999999</v>
      </c>
      <c r="G618" s="21">
        <f t="shared" si="500"/>
        <v>0.98999999999999999</v>
      </c>
      <c r="H618" s="21">
        <f t="shared" si="500"/>
        <v>0.98999999999999999</v>
      </c>
      <c r="I618" s="24" t="str">
        <f t="shared" si="501"/>
        <v xml:space="preserve">COM VALOR</v>
      </c>
      <c r="L618" s="36">
        <v>0.98999999999999999</v>
      </c>
      <c r="M618" s="37">
        <v>0.98999999999999999</v>
      </c>
      <c r="N618" s="36">
        <v>0.98999999999999999</v>
      </c>
    </row>
    <row r="619" ht="25.5">
      <c r="A619" s="19" t="s">
        <v>10460</v>
      </c>
      <c r="B619" s="19">
        <v>812</v>
      </c>
      <c r="C619" s="20" t="s">
        <v>11075</v>
      </c>
      <c r="D619" s="19" t="s">
        <v>31</v>
      </c>
      <c r="E619" s="19" t="s">
        <v>10459</v>
      </c>
      <c r="F619" s="21">
        <f t="shared" si="500"/>
        <v>2.1899999999999999</v>
      </c>
      <c r="G619" s="21">
        <f t="shared" si="500"/>
        <v>2.1899999999999999</v>
      </c>
      <c r="H619" s="21">
        <f t="shared" si="500"/>
        <v>2.1899999999999999</v>
      </c>
      <c r="I619" s="24" t="str">
        <f t="shared" si="501"/>
        <v xml:space="preserve">COM VALOR</v>
      </c>
      <c r="L619" s="36">
        <v>2.1899999999999999</v>
      </c>
      <c r="M619" s="37">
        <v>2.1899999999999999</v>
      </c>
      <c r="N619" s="36">
        <v>2.1899999999999999</v>
      </c>
    </row>
    <row r="620" ht="25.5">
      <c r="A620" s="19" t="s">
        <v>10460</v>
      </c>
      <c r="B620" s="19">
        <v>819</v>
      </c>
      <c r="C620" s="20" t="s">
        <v>11076</v>
      </c>
      <c r="D620" s="19" t="s">
        <v>31</v>
      </c>
      <c r="E620" s="19" t="s">
        <v>10459</v>
      </c>
      <c r="F620" s="21">
        <f t="shared" si="500"/>
        <v>3.8100000000000001</v>
      </c>
      <c r="G620" s="21">
        <f t="shared" si="500"/>
        <v>3.8100000000000001</v>
      </c>
      <c r="H620" s="21">
        <f t="shared" si="500"/>
        <v>3.8100000000000001</v>
      </c>
      <c r="I620" s="24" t="str">
        <f t="shared" si="501"/>
        <v xml:space="preserve">COM VALOR</v>
      </c>
      <c r="L620" s="36">
        <v>3.8100000000000001</v>
      </c>
      <c r="M620" s="37">
        <v>3.8100000000000001</v>
      </c>
      <c r="N620" s="36">
        <v>3.8100000000000001</v>
      </c>
    </row>
    <row r="621" ht="25.5">
      <c r="A621" s="19" t="s">
        <v>10460</v>
      </c>
      <c r="B621" s="19">
        <v>818</v>
      </c>
      <c r="C621" s="20" t="s">
        <v>11077</v>
      </c>
      <c r="D621" s="19" t="s">
        <v>31</v>
      </c>
      <c r="E621" s="19" t="s">
        <v>10459</v>
      </c>
      <c r="F621" s="21">
        <f t="shared" si="500"/>
        <v>7.1100000000000003</v>
      </c>
      <c r="G621" s="21">
        <f t="shared" si="500"/>
        <v>7.1100000000000003</v>
      </c>
      <c r="H621" s="21">
        <f t="shared" si="500"/>
        <v>7.1100000000000003</v>
      </c>
      <c r="I621" s="24" t="str">
        <f t="shared" si="501"/>
        <v xml:space="preserve">COM VALOR</v>
      </c>
      <c r="L621" s="36">
        <v>7.1100000000000003</v>
      </c>
      <c r="M621" s="37">
        <v>7.1100000000000003</v>
      </c>
      <c r="N621" s="36">
        <v>7.1100000000000003</v>
      </c>
    </row>
    <row r="622" ht="25.5">
      <c r="A622" s="19" t="s">
        <v>10460</v>
      </c>
      <c r="B622" s="19">
        <v>20086</v>
      </c>
      <c r="C622" s="20" t="s">
        <v>11078</v>
      </c>
      <c r="D622" s="19" t="s">
        <v>31</v>
      </c>
      <c r="E622" s="19" t="s">
        <v>10459</v>
      </c>
      <c r="F622" s="21">
        <f t="shared" si="500"/>
        <v>3.4700000000000002</v>
      </c>
      <c r="G622" s="21">
        <f t="shared" si="500"/>
        <v>3.4700000000000002</v>
      </c>
      <c r="H622" s="21">
        <f t="shared" si="500"/>
        <v>3.4700000000000002</v>
      </c>
      <c r="I622" s="24" t="str">
        <f t="shared" si="501"/>
        <v xml:space="preserve">COM VALOR</v>
      </c>
      <c r="L622" s="36">
        <v>3.4700000000000002</v>
      </c>
      <c r="M622" s="37">
        <v>3.4700000000000002</v>
      </c>
      <c r="N622" s="36">
        <v>3.4700000000000002</v>
      </c>
    </row>
    <row r="623" ht="25.5">
      <c r="A623" s="19" t="s">
        <v>10460</v>
      </c>
      <c r="B623" s="19">
        <v>832</v>
      </c>
      <c r="C623" s="20" t="s">
        <v>11079</v>
      </c>
      <c r="D623" s="19" t="s">
        <v>31</v>
      </c>
      <c r="E623" s="19" t="s">
        <v>10459</v>
      </c>
      <c r="F623" s="21">
        <f t="shared" si="500"/>
        <v>2.9300000000000002</v>
      </c>
      <c r="G623" s="21">
        <f t="shared" si="500"/>
        <v>2.9300000000000002</v>
      </c>
      <c r="H623" s="21">
        <f t="shared" si="500"/>
        <v>2.9300000000000002</v>
      </c>
      <c r="I623" s="24" t="str">
        <f t="shared" si="501"/>
        <v xml:space="preserve">COM VALOR</v>
      </c>
      <c r="L623" s="36">
        <v>2.9300000000000002</v>
      </c>
      <c r="M623" s="37">
        <v>2.9300000000000002</v>
      </c>
      <c r="N623" s="36">
        <v>2.9300000000000002</v>
      </c>
    </row>
    <row r="624" ht="25.5">
      <c r="A624" s="19" t="s">
        <v>10460</v>
      </c>
      <c r="B624" s="19">
        <v>834</v>
      </c>
      <c r="C624" s="20" t="s">
        <v>11080</v>
      </c>
      <c r="D624" s="19" t="s">
        <v>31</v>
      </c>
      <c r="E624" s="19" t="s">
        <v>10459</v>
      </c>
      <c r="F624" s="21">
        <f t="shared" si="500"/>
        <v>3.7999999999999998</v>
      </c>
      <c r="G624" s="21">
        <f t="shared" si="500"/>
        <v>3.7999999999999998</v>
      </c>
      <c r="H624" s="21">
        <f t="shared" si="500"/>
        <v>3.7999999999999998</v>
      </c>
      <c r="I624" s="24" t="str">
        <f t="shared" si="501"/>
        <v xml:space="preserve">COM VALOR</v>
      </c>
      <c r="L624" s="36">
        <v>3.7999999999999998</v>
      </c>
      <c r="M624" s="37">
        <v>3.7999999999999998</v>
      </c>
      <c r="N624" s="36">
        <v>3.7999999999999998</v>
      </c>
    </row>
    <row r="625" ht="25.5">
      <c r="A625" s="19" t="s">
        <v>10460</v>
      </c>
      <c r="B625" s="19">
        <v>813</v>
      </c>
      <c r="C625" s="20" t="s">
        <v>11081</v>
      </c>
      <c r="D625" s="19" t="s">
        <v>31</v>
      </c>
      <c r="E625" s="19" t="s">
        <v>10459</v>
      </c>
      <c r="F625" s="21">
        <f t="shared" si="500"/>
        <v>4.4199999999999999</v>
      </c>
      <c r="G625" s="21">
        <f t="shared" si="500"/>
        <v>4.4199999999999999</v>
      </c>
      <c r="H625" s="21">
        <f t="shared" si="500"/>
        <v>4.4199999999999999</v>
      </c>
      <c r="I625" s="24" t="str">
        <f t="shared" si="501"/>
        <v xml:space="preserve">COM VALOR</v>
      </c>
      <c r="L625" s="36">
        <v>4.4199999999999999</v>
      </c>
      <c r="M625" s="37">
        <v>4.4199999999999999</v>
      </c>
      <c r="N625" s="36">
        <v>4.4199999999999999</v>
      </c>
    </row>
    <row r="626" ht="25.5">
      <c r="A626" s="19" t="s">
        <v>10460</v>
      </c>
      <c r="B626" s="19">
        <v>820</v>
      </c>
      <c r="C626" s="20" t="s">
        <v>11082</v>
      </c>
      <c r="D626" s="19" t="s">
        <v>31</v>
      </c>
      <c r="E626" s="19" t="s">
        <v>10459</v>
      </c>
      <c r="F626" s="21">
        <f t="shared" si="500"/>
        <v>5.9500000000000002</v>
      </c>
      <c r="G626" s="21">
        <f t="shared" si="500"/>
        <v>5.9500000000000002</v>
      </c>
      <c r="H626" s="21">
        <f t="shared" si="500"/>
        <v>5.9500000000000002</v>
      </c>
      <c r="I626" s="24" t="str">
        <f t="shared" si="501"/>
        <v xml:space="preserve">COM VALOR</v>
      </c>
      <c r="L626" s="36">
        <v>5.9500000000000002</v>
      </c>
      <c r="M626" s="37">
        <v>5.9500000000000002</v>
      </c>
      <c r="N626" s="36">
        <v>5.9500000000000002</v>
      </c>
    </row>
    <row r="627" ht="25.5">
      <c r="A627" s="19" t="s">
        <v>10460</v>
      </c>
      <c r="B627" s="19">
        <v>816</v>
      </c>
      <c r="C627" s="20" t="s">
        <v>11083</v>
      </c>
      <c r="D627" s="19" t="s">
        <v>31</v>
      </c>
      <c r="E627" s="19" t="s">
        <v>10459</v>
      </c>
      <c r="F627" s="21">
        <f t="shared" si="500"/>
        <v>10.609999999999999</v>
      </c>
      <c r="G627" s="21">
        <f t="shared" si="500"/>
        <v>10.609999999999999</v>
      </c>
      <c r="H627" s="21">
        <f t="shared" si="500"/>
        <v>10.609999999999999</v>
      </c>
      <c r="I627" s="24" t="str">
        <f t="shared" si="501"/>
        <v xml:space="preserve">COM VALOR</v>
      </c>
      <c r="L627" s="36">
        <v>10.609999999999999</v>
      </c>
      <c r="M627" s="37">
        <v>10.609999999999999</v>
      </c>
      <c r="N627" s="36">
        <v>10.609999999999999</v>
      </c>
    </row>
    <row r="628" ht="25.5">
      <c r="A628" s="19" t="s">
        <v>10460</v>
      </c>
      <c r="B628" s="19">
        <v>814</v>
      </c>
      <c r="C628" s="20" t="s">
        <v>11084</v>
      </c>
      <c r="D628" s="19" t="s">
        <v>31</v>
      </c>
      <c r="E628" s="19" t="s">
        <v>10459</v>
      </c>
      <c r="F628" s="21">
        <f t="shared" si="500"/>
        <v>13.18</v>
      </c>
      <c r="G628" s="21">
        <f t="shared" si="500"/>
        <v>13.18</v>
      </c>
      <c r="H628" s="21">
        <f t="shared" si="500"/>
        <v>13.18</v>
      </c>
      <c r="I628" s="24" t="str">
        <f t="shared" si="501"/>
        <v xml:space="preserve">COM VALOR</v>
      </c>
      <c r="L628" s="36">
        <v>13.18</v>
      </c>
      <c r="M628" s="37">
        <v>13.18</v>
      </c>
      <c r="N628" s="36">
        <v>13.18</v>
      </c>
    </row>
    <row r="629" ht="25.5">
      <c r="A629" s="19" t="s">
        <v>10460</v>
      </c>
      <c r="B629" s="19">
        <v>822</v>
      </c>
      <c r="C629" s="20" t="s">
        <v>11085</v>
      </c>
      <c r="D629" s="19" t="s">
        <v>31</v>
      </c>
      <c r="E629" s="19" t="s">
        <v>10459</v>
      </c>
      <c r="F629" s="21">
        <f t="shared" si="500"/>
        <v>17.199999999999999</v>
      </c>
      <c r="G629" s="21">
        <f t="shared" si="500"/>
        <v>17.199999999999999</v>
      </c>
      <c r="H629" s="21">
        <f t="shared" si="500"/>
        <v>17.199999999999999</v>
      </c>
      <c r="I629" s="24" t="str">
        <f t="shared" si="501"/>
        <v xml:space="preserve">COM VALOR</v>
      </c>
      <c r="L629" s="36">
        <v>17.199999999999999</v>
      </c>
      <c r="M629" s="37">
        <v>17.199999999999999</v>
      </c>
      <c r="N629" s="36">
        <v>17.199999999999999</v>
      </c>
    </row>
    <row r="630" ht="25.5">
      <c r="A630" s="19" t="s">
        <v>10460</v>
      </c>
      <c r="B630" s="19">
        <v>821</v>
      </c>
      <c r="C630" s="20" t="s">
        <v>11086</v>
      </c>
      <c r="D630" s="19" t="s">
        <v>31</v>
      </c>
      <c r="E630" s="19" t="s">
        <v>10459</v>
      </c>
      <c r="F630" s="21">
        <f t="shared" si="500"/>
        <v>19.68</v>
      </c>
      <c r="G630" s="21">
        <f t="shared" si="500"/>
        <v>19.68</v>
      </c>
      <c r="H630" s="21">
        <f t="shared" si="500"/>
        <v>19.68</v>
      </c>
      <c r="I630" s="24" t="str">
        <f t="shared" si="501"/>
        <v xml:space="preserve">COM VALOR</v>
      </c>
      <c r="L630" s="36">
        <v>19.68</v>
      </c>
      <c r="M630" s="37">
        <v>19.68</v>
      </c>
      <c r="N630" s="36">
        <v>19.68</v>
      </c>
    </row>
    <row r="631" ht="25.5">
      <c r="A631" s="19" t="s">
        <v>10460</v>
      </c>
      <c r="B631" s="19">
        <v>39191</v>
      </c>
      <c r="C631" s="20" t="s">
        <v>11087</v>
      </c>
      <c r="D631" s="19" t="s">
        <v>31</v>
      </c>
      <c r="E631" s="19" t="s">
        <v>10459</v>
      </c>
      <c r="F631" s="21">
        <f t="shared" si="500"/>
        <v>20.710000000000001</v>
      </c>
      <c r="G631" s="21">
        <f t="shared" si="500"/>
        <v>20.710000000000001</v>
      </c>
      <c r="H631" s="21">
        <f t="shared" si="500"/>
        <v>20.710000000000001</v>
      </c>
      <c r="I631" s="24" t="str">
        <f t="shared" si="501"/>
        <v xml:space="preserve">COM VALOR</v>
      </c>
      <c r="L631" s="36">
        <v>20.710000000000001</v>
      </c>
      <c r="M631" s="37">
        <v>20.710000000000001</v>
      </c>
      <c r="N631" s="36">
        <v>20.710000000000001</v>
      </c>
    </row>
    <row r="632" ht="25.5">
      <c r="A632" s="19" t="s">
        <v>10460</v>
      </c>
      <c r="B632" s="19">
        <v>39190</v>
      </c>
      <c r="C632" s="20" t="s">
        <v>11088</v>
      </c>
      <c r="D632" s="19" t="s">
        <v>31</v>
      </c>
      <c r="E632" s="19" t="s">
        <v>10459</v>
      </c>
      <c r="F632" s="21">
        <f t="shared" si="500"/>
        <v>21.640000000000001</v>
      </c>
      <c r="G632" s="21">
        <f t="shared" si="500"/>
        <v>21.640000000000001</v>
      </c>
      <c r="H632" s="21">
        <f t="shared" si="500"/>
        <v>21.640000000000001</v>
      </c>
      <c r="I632" s="24" t="str">
        <f t="shared" si="501"/>
        <v xml:space="preserve">COM VALOR</v>
      </c>
      <c r="L632" s="36">
        <v>21.640000000000001</v>
      </c>
      <c r="M632" s="37">
        <v>21.640000000000001</v>
      </c>
      <c r="N632" s="36">
        <v>21.640000000000001</v>
      </c>
    </row>
    <row r="633" ht="25.5">
      <c r="A633" s="19" t="s">
        <v>10460</v>
      </c>
      <c r="B633" s="19">
        <v>39189</v>
      </c>
      <c r="C633" s="20" t="s">
        <v>11089</v>
      </c>
      <c r="D633" s="19" t="s">
        <v>31</v>
      </c>
      <c r="E633" s="19" t="s">
        <v>10459</v>
      </c>
      <c r="F633" s="21">
        <f t="shared" si="500"/>
        <v>22.899999999999999</v>
      </c>
      <c r="G633" s="21">
        <f t="shared" si="500"/>
        <v>22.899999999999999</v>
      </c>
      <c r="H633" s="21">
        <f t="shared" si="500"/>
        <v>22.899999999999999</v>
      </c>
      <c r="I633" s="24" t="str">
        <f t="shared" si="501"/>
        <v xml:space="preserve">COM VALOR</v>
      </c>
      <c r="L633" s="36">
        <v>22.899999999999999</v>
      </c>
      <c r="M633" s="37">
        <v>22.899999999999999</v>
      </c>
      <c r="N633" s="36">
        <v>22.899999999999999</v>
      </c>
    </row>
    <row r="634" ht="25.5">
      <c r="A634" s="19" t="s">
        <v>10460</v>
      </c>
      <c r="B634" s="19">
        <v>39188</v>
      </c>
      <c r="C634" s="20" t="s">
        <v>11090</v>
      </c>
      <c r="D634" s="19" t="s">
        <v>31</v>
      </c>
      <c r="E634" s="19" t="s">
        <v>10459</v>
      </c>
      <c r="F634" s="21">
        <f t="shared" si="500"/>
        <v>16.859999999999999</v>
      </c>
      <c r="G634" s="21">
        <f t="shared" si="500"/>
        <v>16.859999999999999</v>
      </c>
      <c r="H634" s="21">
        <f t="shared" si="500"/>
        <v>16.859999999999999</v>
      </c>
      <c r="I634" s="24" t="str">
        <f t="shared" si="501"/>
        <v xml:space="preserve">COM VALOR</v>
      </c>
      <c r="L634" s="36">
        <v>16.859999999999999</v>
      </c>
      <c r="M634" s="37">
        <v>16.859999999999999</v>
      </c>
      <c r="N634" s="36">
        <v>16.859999999999999</v>
      </c>
    </row>
    <row r="635" ht="25.5">
      <c r="A635" s="19" t="s">
        <v>10460</v>
      </c>
      <c r="B635" s="19">
        <v>39186</v>
      </c>
      <c r="C635" s="20" t="s">
        <v>11091</v>
      </c>
      <c r="D635" s="19" t="s">
        <v>31</v>
      </c>
      <c r="E635" s="19" t="s">
        <v>10459</v>
      </c>
      <c r="F635" s="21">
        <f t="shared" si="500"/>
        <v>20.489999999999998</v>
      </c>
      <c r="G635" s="21">
        <f t="shared" si="500"/>
        <v>20.489999999999998</v>
      </c>
      <c r="H635" s="21">
        <f t="shared" si="500"/>
        <v>20.489999999999998</v>
      </c>
      <c r="I635" s="24" t="str">
        <f t="shared" si="501"/>
        <v xml:space="preserve">COM VALOR</v>
      </c>
      <c r="L635" s="36">
        <v>20.489999999999998</v>
      </c>
      <c r="M635" s="37">
        <v>20.489999999999998</v>
      </c>
      <c r="N635" s="36">
        <v>20.489999999999998</v>
      </c>
    </row>
    <row r="636" ht="25.5">
      <c r="A636" s="19" t="s">
        <v>10460</v>
      </c>
      <c r="B636" s="19">
        <v>39187</v>
      </c>
      <c r="C636" s="20" t="s">
        <v>11092</v>
      </c>
      <c r="D636" s="19" t="s">
        <v>31</v>
      </c>
      <c r="E636" s="19" t="s">
        <v>10459</v>
      </c>
      <c r="F636" s="21">
        <f t="shared" si="500"/>
        <v>17.670000000000002</v>
      </c>
      <c r="G636" s="21">
        <f t="shared" si="500"/>
        <v>17.670000000000002</v>
      </c>
      <c r="H636" s="21">
        <f t="shared" si="500"/>
        <v>17.670000000000002</v>
      </c>
      <c r="I636" s="24" t="str">
        <f t="shared" si="501"/>
        <v xml:space="preserve">COM VALOR</v>
      </c>
      <c r="L636" s="36">
        <v>17.670000000000002</v>
      </c>
      <c r="M636" s="37">
        <v>17.670000000000002</v>
      </c>
      <c r="N636" s="36">
        <v>17.670000000000002</v>
      </c>
    </row>
    <row r="637" ht="25.5">
      <c r="A637" s="19" t="s">
        <v>10460</v>
      </c>
      <c r="B637" s="19">
        <v>39184</v>
      </c>
      <c r="C637" s="20" t="s">
        <v>11093</v>
      </c>
      <c r="D637" s="19" t="s">
        <v>31</v>
      </c>
      <c r="E637" s="19" t="s">
        <v>10459</v>
      </c>
      <c r="F637" s="21">
        <f t="shared" si="500"/>
        <v>6.6500000000000004</v>
      </c>
      <c r="G637" s="21">
        <f t="shared" si="500"/>
        <v>6.6500000000000004</v>
      </c>
      <c r="H637" s="21">
        <f t="shared" si="500"/>
        <v>6.6500000000000004</v>
      </c>
      <c r="I637" s="24" t="str">
        <f t="shared" si="501"/>
        <v xml:space="preserve">COM VALOR</v>
      </c>
      <c r="L637" s="36">
        <v>6.6500000000000004</v>
      </c>
      <c r="M637" s="37">
        <v>6.6500000000000004</v>
      </c>
      <c r="N637" s="36">
        <v>6.6500000000000004</v>
      </c>
    </row>
    <row r="638" ht="25.5">
      <c r="A638" s="19" t="s">
        <v>10460</v>
      </c>
      <c r="B638" s="19">
        <v>39185</v>
      </c>
      <c r="C638" s="20" t="s">
        <v>11094</v>
      </c>
      <c r="D638" s="19" t="s">
        <v>31</v>
      </c>
      <c r="E638" s="19" t="s">
        <v>10459</v>
      </c>
      <c r="F638" s="21">
        <f t="shared" si="500"/>
        <v>6.0599999999999996</v>
      </c>
      <c r="G638" s="21">
        <f t="shared" si="500"/>
        <v>6.0599999999999996</v>
      </c>
      <c r="H638" s="21">
        <f t="shared" si="500"/>
        <v>6.0599999999999996</v>
      </c>
      <c r="I638" s="24" t="str">
        <f t="shared" si="501"/>
        <v xml:space="preserve">COM VALOR</v>
      </c>
      <c r="L638" s="36">
        <v>6.0599999999999996</v>
      </c>
      <c r="M638" s="37">
        <v>6.0599999999999996</v>
      </c>
      <c r="N638" s="36">
        <v>6.0599999999999996</v>
      </c>
    </row>
    <row r="639" ht="25.5">
      <c r="A639" s="19" t="s">
        <v>10460</v>
      </c>
      <c r="B639" s="19">
        <v>39198</v>
      </c>
      <c r="C639" s="20" t="s">
        <v>11095</v>
      </c>
      <c r="D639" s="19" t="s">
        <v>31</v>
      </c>
      <c r="E639" s="19" t="s">
        <v>10459</v>
      </c>
      <c r="F639" s="21">
        <f t="shared" si="500"/>
        <v>67.950000000000003</v>
      </c>
      <c r="G639" s="21">
        <f t="shared" si="500"/>
        <v>67.950000000000003</v>
      </c>
      <c r="H639" s="21">
        <f t="shared" si="500"/>
        <v>67.950000000000003</v>
      </c>
      <c r="I639" s="24" t="str">
        <f t="shared" si="501"/>
        <v xml:space="preserve">COM VALOR</v>
      </c>
      <c r="L639" s="36">
        <v>67.950000000000003</v>
      </c>
      <c r="M639" s="37">
        <v>67.950000000000003</v>
      </c>
      <c r="N639" s="36">
        <v>67.950000000000003</v>
      </c>
    </row>
    <row r="640" ht="25.5">
      <c r="A640" s="19" t="s">
        <v>10460</v>
      </c>
      <c r="B640" s="19">
        <v>39197</v>
      </c>
      <c r="C640" s="20" t="s">
        <v>11096</v>
      </c>
      <c r="D640" s="19" t="s">
        <v>31</v>
      </c>
      <c r="E640" s="19" t="s">
        <v>10459</v>
      </c>
      <c r="F640" s="21">
        <f t="shared" si="500"/>
        <v>70.980000000000004</v>
      </c>
      <c r="G640" s="21">
        <f t="shared" si="500"/>
        <v>70.980000000000004</v>
      </c>
      <c r="H640" s="21">
        <f t="shared" si="500"/>
        <v>70.980000000000004</v>
      </c>
      <c r="I640" s="24" t="str">
        <f t="shared" si="501"/>
        <v xml:space="preserve">COM VALOR</v>
      </c>
      <c r="L640" s="36">
        <v>70.980000000000004</v>
      </c>
      <c r="M640" s="37">
        <v>70.980000000000004</v>
      </c>
      <c r="N640" s="36">
        <v>70.980000000000004</v>
      </c>
    </row>
    <row r="641" ht="25.5">
      <c r="A641" s="19" t="s">
        <v>10460</v>
      </c>
      <c r="B641" s="19">
        <v>39196</v>
      </c>
      <c r="C641" s="20" t="s">
        <v>11097</v>
      </c>
      <c r="D641" s="19" t="s">
        <v>31</v>
      </c>
      <c r="E641" s="19" t="s">
        <v>10459</v>
      </c>
      <c r="F641" s="21">
        <f t="shared" si="500"/>
        <v>73.200000000000003</v>
      </c>
      <c r="G641" s="21">
        <f t="shared" si="500"/>
        <v>73.200000000000003</v>
      </c>
      <c r="H641" s="21">
        <f t="shared" si="500"/>
        <v>73.200000000000003</v>
      </c>
      <c r="I641" s="24" t="str">
        <f t="shared" si="501"/>
        <v xml:space="preserve">COM VALOR</v>
      </c>
      <c r="L641" s="36">
        <v>73.200000000000003</v>
      </c>
      <c r="M641" s="37">
        <v>73.200000000000003</v>
      </c>
      <c r="N641" s="36">
        <v>73.200000000000003</v>
      </c>
    </row>
    <row r="642" ht="25.5">
      <c r="A642" s="19" t="s">
        <v>10460</v>
      </c>
      <c r="B642" s="19">
        <v>39199</v>
      </c>
      <c r="C642" s="20" t="s">
        <v>11098</v>
      </c>
      <c r="D642" s="19" t="s">
        <v>31</v>
      </c>
      <c r="E642" s="19" t="s">
        <v>10459</v>
      </c>
      <c r="F642" s="21">
        <f t="shared" si="500"/>
        <v>65.390000000000001</v>
      </c>
      <c r="G642" s="21">
        <f t="shared" si="500"/>
        <v>65.390000000000001</v>
      </c>
      <c r="H642" s="21">
        <f t="shared" si="500"/>
        <v>65.390000000000001</v>
      </c>
      <c r="I642" s="24" t="str">
        <f t="shared" si="501"/>
        <v xml:space="preserve">COM VALOR</v>
      </c>
      <c r="L642" s="36">
        <v>65.390000000000001</v>
      </c>
      <c r="M642" s="37">
        <v>65.390000000000001</v>
      </c>
      <c r="N642" s="36">
        <v>65.390000000000001</v>
      </c>
    </row>
    <row r="643" ht="25.5">
      <c r="A643" s="19" t="s">
        <v>10460</v>
      </c>
      <c r="B643" s="19">
        <v>39195</v>
      </c>
      <c r="C643" s="20" t="s">
        <v>11099</v>
      </c>
      <c r="D643" s="19" t="s">
        <v>31</v>
      </c>
      <c r="E643" s="19" t="s">
        <v>10459</v>
      </c>
      <c r="F643" s="21">
        <f t="shared" si="500"/>
        <v>37.740000000000002</v>
      </c>
      <c r="G643" s="21">
        <f t="shared" si="500"/>
        <v>37.740000000000002</v>
      </c>
      <c r="H643" s="21">
        <f t="shared" si="500"/>
        <v>37.740000000000002</v>
      </c>
      <c r="I643" s="24" t="str">
        <f t="shared" si="501"/>
        <v xml:space="preserve">COM VALOR</v>
      </c>
      <c r="L643" s="36">
        <v>37.740000000000002</v>
      </c>
      <c r="M643" s="37">
        <v>37.740000000000002</v>
      </c>
      <c r="N643" s="36">
        <v>37.740000000000002</v>
      </c>
    </row>
    <row r="644" ht="25.5">
      <c r="A644" s="19" t="s">
        <v>10460</v>
      </c>
      <c r="B644" s="19">
        <v>39194</v>
      </c>
      <c r="C644" s="20" t="s">
        <v>11100</v>
      </c>
      <c r="D644" s="19" t="s">
        <v>31</v>
      </c>
      <c r="E644" s="19" t="s">
        <v>10459</v>
      </c>
      <c r="F644" s="21">
        <f t="shared" si="500"/>
        <v>40.390000000000001</v>
      </c>
      <c r="G644" s="21">
        <f t="shared" si="500"/>
        <v>40.390000000000001</v>
      </c>
      <c r="H644" s="21">
        <f t="shared" si="500"/>
        <v>40.390000000000001</v>
      </c>
      <c r="I644" s="24" t="str">
        <f t="shared" si="501"/>
        <v xml:space="preserve">COM VALOR</v>
      </c>
      <c r="L644" s="36">
        <v>40.390000000000001</v>
      </c>
      <c r="M644" s="37">
        <v>40.390000000000001</v>
      </c>
      <c r="N644" s="36">
        <v>40.390000000000001</v>
      </c>
    </row>
    <row r="645" ht="25.5">
      <c r="A645" s="19" t="s">
        <v>10460</v>
      </c>
      <c r="B645" s="19">
        <v>39193</v>
      </c>
      <c r="C645" s="20" t="s">
        <v>11101</v>
      </c>
      <c r="D645" s="19" t="s">
        <v>31</v>
      </c>
      <c r="E645" s="19" t="s">
        <v>10459</v>
      </c>
      <c r="F645" s="21">
        <f t="shared" si="500"/>
        <v>44.270000000000003</v>
      </c>
      <c r="G645" s="21">
        <f t="shared" si="500"/>
        <v>44.270000000000003</v>
      </c>
      <c r="H645" s="21">
        <f t="shared" si="500"/>
        <v>44.270000000000003</v>
      </c>
      <c r="I645" s="24" t="str">
        <f t="shared" si="501"/>
        <v xml:space="preserve">COM VALOR</v>
      </c>
      <c r="L645" s="36">
        <v>44.270000000000003</v>
      </c>
      <c r="M645" s="37">
        <v>44.270000000000003</v>
      </c>
      <c r="N645" s="36">
        <v>44.270000000000003</v>
      </c>
    </row>
    <row r="646" ht="25.5">
      <c r="A646" s="19" t="s">
        <v>10460</v>
      </c>
      <c r="B646" s="19">
        <v>39192</v>
      </c>
      <c r="C646" s="20" t="s">
        <v>11102</v>
      </c>
      <c r="D646" s="19" t="s">
        <v>31</v>
      </c>
      <c r="E646" s="19" t="s">
        <v>10459</v>
      </c>
      <c r="F646" s="21">
        <f t="shared" si="500"/>
        <v>46.049999999999997</v>
      </c>
      <c r="G646" s="21">
        <f t="shared" si="500"/>
        <v>46.049999999999997</v>
      </c>
      <c r="H646" s="21">
        <f t="shared" si="500"/>
        <v>46.049999999999997</v>
      </c>
      <c r="I646" s="24" t="str">
        <f t="shared" si="501"/>
        <v xml:space="preserve">COM VALOR</v>
      </c>
      <c r="L646" s="36">
        <v>46.049999999999997</v>
      </c>
      <c r="M646" s="37">
        <v>46.049999999999997</v>
      </c>
      <c r="N646" s="36">
        <v>46.049999999999997</v>
      </c>
    </row>
    <row r="647" ht="25.5">
      <c r="A647" s="19" t="s">
        <v>10460</v>
      </c>
      <c r="B647" s="19">
        <v>39201</v>
      </c>
      <c r="C647" s="20" t="s">
        <v>11103</v>
      </c>
      <c r="D647" s="19" t="s">
        <v>31</v>
      </c>
      <c r="E647" s="19" t="s">
        <v>10459</v>
      </c>
      <c r="F647" s="21">
        <f t="shared" si="500"/>
        <v>81.239999999999995</v>
      </c>
      <c r="G647" s="21">
        <f t="shared" si="500"/>
        <v>81.239999999999995</v>
      </c>
      <c r="H647" s="21">
        <f t="shared" si="500"/>
        <v>81.239999999999995</v>
      </c>
      <c r="I647" s="24" t="str">
        <f t="shared" si="501"/>
        <v xml:space="preserve">COM VALOR</v>
      </c>
      <c r="L647" s="36">
        <v>81.239999999999995</v>
      </c>
      <c r="M647" s="37">
        <v>81.239999999999995</v>
      </c>
      <c r="N647" s="36">
        <v>81.239999999999995</v>
      </c>
    </row>
    <row r="648" ht="25.5">
      <c r="A648" s="19" t="s">
        <v>10460</v>
      </c>
      <c r="B648" s="19">
        <v>39200</v>
      </c>
      <c r="C648" s="20" t="s">
        <v>11104</v>
      </c>
      <c r="D648" s="19" t="s">
        <v>31</v>
      </c>
      <c r="E648" s="19" t="s">
        <v>10459</v>
      </c>
      <c r="F648" s="21">
        <f t="shared" si="500"/>
        <v>81.900000000000006</v>
      </c>
      <c r="G648" s="21">
        <f t="shared" si="500"/>
        <v>81.900000000000006</v>
      </c>
      <c r="H648" s="21">
        <f t="shared" si="500"/>
        <v>81.900000000000006</v>
      </c>
      <c r="I648" s="24" t="str">
        <f t="shared" si="501"/>
        <v xml:space="preserve">COM VALOR</v>
      </c>
      <c r="L648" s="36">
        <v>81.900000000000006</v>
      </c>
      <c r="M648" s="37">
        <v>81.900000000000006</v>
      </c>
      <c r="N648" s="36">
        <v>81.900000000000006</v>
      </c>
    </row>
    <row r="649" ht="25.5">
      <c r="A649" s="19" t="s">
        <v>10460</v>
      </c>
      <c r="B649" s="19">
        <v>39203</v>
      </c>
      <c r="C649" s="20" t="s">
        <v>11105</v>
      </c>
      <c r="D649" s="19" t="s">
        <v>31</v>
      </c>
      <c r="E649" s="19" t="s">
        <v>10459</v>
      </c>
      <c r="F649" s="21">
        <f t="shared" si="500"/>
        <v>66.129999999999995</v>
      </c>
      <c r="G649" s="21">
        <f t="shared" si="500"/>
        <v>66.129999999999995</v>
      </c>
      <c r="H649" s="21">
        <f t="shared" si="500"/>
        <v>66.129999999999995</v>
      </c>
      <c r="I649" s="24" t="str">
        <f t="shared" si="501"/>
        <v xml:space="preserve">COM VALOR</v>
      </c>
      <c r="L649" s="36">
        <v>66.129999999999995</v>
      </c>
      <c r="M649" s="37">
        <v>66.129999999999995</v>
      </c>
      <c r="N649" s="36">
        <v>66.129999999999995</v>
      </c>
    </row>
    <row r="650" ht="25.5">
      <c r="A650" s="19" t="s">
        <v>10460</v>
      </c>
      <c r="B650" s="19">
        <v>39202</v>
      </c>
      <c r="C650" s="20" t="s">
        <v>11106</v>
      </c>
      <c r="D650" s="19" t="s">
        <v>31</v>
      </c>
      <c r="E650" s="19" t="s">
        <v>10459</v>
      </c>
      <c r="F650" s="21">
        <f t="shared" si="500"/>
        <v>77.680000000000007</v>
      </c>
      <c r="G650" s="21">
        <f t="shared" si="500"/>
        <v>77.680000000000007</v>
      </c>
      <c r="H650" s="21">
        <f t="shared" si="500"/>
        <v>77.680000000000007</v>
      </c>
      <c r="I650" s="24" t="str">
        <f t="shared" si="501"/>
        <v xml:space="preserve">COM VALOR</v>
      </c>
      <c r="L650" s="36">
        <v>77.680000000000007</v>
      </c>
      <c r="M650" s="37">
        <v>77.680000000000007</v>
      </c>
      <c r="N650" s="36">
        <v>77.680000000000007</v>
      </c>
    </row>
    <row r="651" ht="25.5">
      <c r="A651" s="19" t="s">
        <v>10460</v>
      </c>
      <c r="B651" s="19">
        <v>39920</v>
      </c>
      <c r="C651" s="20" t="s">
        <v>11107</v>
      </c>
      <c r="D651" s="19" t="s">
        <v>31</v>
      </c>
      <c r="E651" s="19" t="s">
        <v>10459</v>
      </c>
      <c r="F651" s="21">
        <f t="shared" ref="F651:H714" si="502">IF(L651=0,"VERIFICAR",L651)</f>
        <v>5.5700000000000003</v>
      </c>
      <c r="G651" s="21">
        <f t="shared" si="502"/>
        <v>5.5700000000000003</v>
      </c>
      <c r="H651" s="21">
        <f t="shared" si="502"/>
        <v>5.5700000000000003</v>
      </c>
      <c r="I651" s="24" t="str">
        <f t="shared" ref="I651:I714" si="503">IF(OR(L651=0,M651=0,N651=0),"SEM VALOR","COM VALOR")</f>
        <v xml:space="preserve">COM VALOR</v>
      </c>
      <c r="L651" s="36">
        <v>5.5700000000000003</v>
      </c>
      <c r="M651" s="37">
        <v>5.5700000000000003</v>
      </c>
      <c r="N651" s="36">
        <v>5.5700000000000003</v>
      </c>
    </row>
    <row r="652" ht="25.5">
      <c r="A652" s="19" t="s">
        <v>10460</v>
      </c>
      <c r="B652" s="19">
        <v>39205</v>
      </c>
      <c r="C652" s="20" t="s">
        <v>11108</v>
      </c>
      <c r="D652" s="19" t="s">
        <v>31</v>
      </c>
      <c r="E652" s="19" t="s">
        <v>10459</v>
      </c>
      <c r="F652" s="21">
        <f t="shared" si="502"/>
        <v>129.59999999999999</v>
      </c>
      <c r="G652" s="21">
        <f t="shared" si="502"/>
        <v>129.59999999999999</v>
      </c>
      <c r="H652" s="21">
        <f t="shared" si="502"/>
        <v>129.59999999999999</v>
      </c>
      <c r="I652" s="24" t="str">
        <f t="shared" si="503"/>
        <v xml:space="preserve">COM VALOR</v>
      </c>
      <c r="L652" s="36">
        <v>129.59999999999999</v>
      </c>
      <c r="M652" s="37">
        <v>129.59999999999999</v>
      </c>
      <c r="N652" s="36">
        <v>129.59999999999999</v>
      </c>
    </row>
    <row r="653" ht="25.5">
      <c r="A653" s="19" t="s">
        <v>10460</v>
      </c>
      <c r="B653" s="19">
        <v>39204</v>
      </c>
      <c r="C653" s="20" t="s">
        <v>11109</v>
      </c>
      <c r="D653" s="19" t="s">
        <v>31</v>
      </c>
      <c r="E653" s="19" t="s">
        <v>10459</v>
      </c>
      <c r="F653" s="21">
        <f t="shared" si="502"/>
        <v>132.72999999999999</v>
      </c>
      <c r="G653" s="21">
        <f t="shared" si="502"/>
        <v>132.72999999999999</v>
      </c>
      <c r="H653" s="21">
        <f t="shared" si="502"/>
        <v>132.72999999999999</v>
      </c>
      <c r="I653" s="24" t="str">
        <f t="shared" si="503"/>
        <v xml:space="preserve">COM VALOR</v>
      </c>
      <c r="L653" s="36">
        <v>132.72999999999999</v>
      </c>
      <c r="M653" s="37">
        <v>132.72999999999999</v>
      </c>
      <c r="N653" s="36">
        <v>132.72999999999999</v>
      </c>
    </row>
    <row r="654" ht="25.5">
      <c r="A654" s="19" t="s">
        <v>10460</v>
      </c>
      <c r="B654" s="19">
        <v>39206</v>
      </c>
      <c r="C654" s="20" t="s">
        <v>11110</v>
      </c>
      <c r="D654" s="19" t="s">
        <v>31</v>
      </c>
      <c r="E654" s="19" t="s">
        <v>10459</v>
      </c>
      <c r="F654" s="21">
        <f t="shared" si="502"/>
        <v>125.92</v>
      </c>
      <c r="G654" s="21">
        <f t="shared" si="502"/>
        <v>125.92</v>
      </c>
      <c r="H654" s="21">
        <f t="shared" si="502"/>
        <v>125.92</v>
      </c>
      <c r="I654" s="24" t="str">
        <f t="shared" si="503"/>
        <v xml:space="preserve">COM VALOR</v>
      </c>
      <c r="L654" s="36">
        <v>125.92</v>
      </c>
      <c r="M654" s="37">
        <v>125.92</v>
      </c>
      <c r="N654" s="36">
        <v>125.92</v>
      </c>
    </row>
    <row r="655" ht="12.75">
      <c r="A655" s="19" t="s">
        <v>10460</v>
      </c>
      <c r="B655" s="19">
        <v>798</v>
      </c>
      <c r="C655" s="20" t="s">
        <v>11111</v>
      </c>
      <c r="D655" s="19" t="s">
        <v>31</v>
      </c>
      <c r="E655" s="19" t="s">
        <v>10459</v>
      </c>
      <c r="F655" s="21">
        <f t="shared" si="502"/>
        <v>1.22</v>
      </c>
      <c r="G655" s="21">
        <f t="shared" si="502"/>
        <v>1.22</v>
      </c>
      <c r="H655" s="21">
        <f t="shared" si="502"/>
        <v>1.22</v>
      </c>
      <c r="I655" s="24" t="str">
        <f t="shared" si="503"/>
        <v xml:space="preserve">COM VALOR</v>
      </c>
      <c r="L655" s="36">
        <v>1.22</v>
      </c>
      <c r="M655" s="37">
        <v>1.22</v>
      </c>
      <c r="N655" s="36">
        <v>1.22</v>
      </c>
    </row>
    <row r="656" ht="12.75">
      <c r="A656" s="19" t="s">
        <v>10460</v>
      </c>
      <c r="B656" s="19">
        <v>797</v>
      </c>
      <c r="C656" s="20" t="s">
        <v>11112</v>
      </c>
      <c r="D656" s="19" t="s">
        <v>31</v>
      </c>
      <c r="E656" s="19" t="s">
        <v>10459</v>
      </c>
      <c r="F656" s="21">
        <f t="shared" si="502"/>
        <v>8.9100000000000001</v>
      </c>
      <c r="G656" s="21">
        <f t="shared" si="502"/>
        <v>8.9100000000000001</v>
      </c>
      <c r="H656" s="21">
        <f t="shared" si="502"/>
        <v>8.9100000000000001</v>
      </c>
      <c r="I656" s="24" t="str">
        <f t="shared" si="503"/>
        <v xml:space="preserve">COM VALOR</v>
      </c>
      <c r="L656" s="36">
        <v>8.9100000000000001</v>
      </c>
      <c r="M656" s="37">
        <v>8.9100000000000001</v>
      </c>
      <c r="N656" s="36">
        <v>8.9100000000000001</v>
      </c>
    </row>
    <row r="657" ht="12.75">
      <c r="A657" s="19" t="s">
        <v>10460</v>
      </c>
      <c r="B657" s="19">
        <v>796</v>
      </c>
      <c r="C657" s="20" t="s">
        <v>11113</v>
      </c>
      <c r="D657" s="19" t="s">
        <v>31</v>
      </c>
      <c r="E657" s="19" t="s">
        <v>10459</v>
      </c>
      <c r="F657" s="21">
        <f t="shared" si="502"/>
        <v>7.5700000000000003</v>
      </c>
      <c r="G657" s="21">
        <f t="shared" si="502"/>
        <v>7.5700000000000003</v>
      </c>
      <c r="H657" s="21">
        <f t="shared" si="502"/>
        <v>7.5700000000000003</v>
      </c>
      <c r="I657" s="24" t="str">
        <f t="shared" si="503"/>
        <v xml:space="preserve">COM VALOR</v>
      </c>
      <c r="L657" s="36">
        <v>7.5700000000000003</v>
      </c>
      <c r="M657" s="37">
        <v>7.5700000000000003</v>
      </c>
      <c r="N657" s="36">
        <v>7.5700000000000003</v>
      </c>
    </row>
    <row r="658" ht="12.75">
      <c r="A658" s="19" t="s">
        <v>10460</v>
      </c>
      <c r="B658" s="19">
        <v>799</v>
      </c>
      <c r="C658" s="20" t="s">
        <v>11114</v>
      </c>
      <c r="D658" s="19" t="s">
        <v>31</v>
      </c>
      <c r="E658" s="19" t="s">
        <v>10459</v>
      </c>
      <c r="F658" s="21">
        <f t="shared" si="502"/>
        <v>3.6600000000000001</v>
      </c>
      <c r="G658" s="21">
        <f t="shared" si="502"/>
        <v>3.6600000000000001</v>
      </c>
      <c r="H658" s="21">
        <f t="shared" si="502"/>
        <v>3.6600000000000001</v>
      </c>
      <c r="I658" s="24" t="str">
        <f t="shared" si="503"/>
        <v xml:space="preserve">COM VALOR</v>
      </c>
      <c r="L658" s="36">
        <v>3.6600000000000001</v>
      </c>
      <c r="M658" s="37">
        <v>3.6600000000000001</v>
      </c>
      <c r="N658" s="36">
        <v>3.6600000000000001</v>
      </c>
    </row>
    <row r="659" ht="12.75">
      <c r="A659" s="19" t="s">
        <v>10460</v>
      </c>
      <c r="B659" s="19">
        <v>792</v>
      </c>
      <c r="C659" s="20" t="s">
        <v>11115</v>
      </c>
      <c r="D659" s="19" t="s">
        <v>31</v>
      </c>
      <c r="E659" s="19" t="s">
        <v>10459</v>
      </c>
      <c r="F659" s="21">
        <f t="shared" si="502"/>
        <v>3.54</v>
      </c>
      <c r="G659" s="21">
        <f t="shared" si="502"/>
        <v>3.54</v>
      </c>
      <c r="H659" s="21">
        <f t="shared" si="502"/>
        <v>3.54</v>
      </c>
      <c r="I659" s="24" t="str">
        <f t="shared" si="503"/>
        <v xml:space="preserve">COM VALOR</v>
      </c>
      <c r="L659" s="36">
        <v>3.54</v>
      </c>
      <c r="M659" s="37">
        <v>3.54</v>
      </c>
      <c r="N659" s="36">
        <v>3.54</v>
      </c>
    </row>
    <row r="660" ht="25.5">
      <c r="A660" s="19" t="s">
        <v>10460</v>
      </c>
      <c r="B660" s="19">
        <v>38001</v>
      </c>
      <c r="C660" s="20" t="s">
        <v>11116</v>
      </c>
      <c r="D660" s="19" t="s">
        <v>31</v>
      </c>
      <c r="E660" s="19" t="s">
        <v>10459</v>
      </c>
      <c r="F660" s="21">
        <f t="shared" si="502"/>
        <v>1.3300000000000001</v>
      </c>
      <c r="G660" s="21">
        <f t="shared" si="502"/>
        <v>1.3300000000000001</v>
      </c>
      <c r="H660" s="21">
        <f t="shared" si="502"/>
        <v>1.3300000000000001</v>
      </c>
      <c r="I660" s="24" t="str">
        <f t="shared" si="503"/>
        <v xml:space="preserve">COM VALOR</v>
      </c>
      <c r="L660" s="36">
        <v>1.3300000000000001</v>
      </c>
      <c r="M660" s="37">
        <v>1.3300000000000001</v>
      </c>
      <c r="N660" s="36">
        <v>1.3300000000000001</v>
      </c>
    </row>
    <row r="661" ht="25.5">
      <c r="A661" s="19" t="s">
        <v>10460</v>
      </c>
      <c r="B661" s="19">
        <v>38002</v>
      </c>
      <c r="C661" s="20" t="s">
        <v>11117</v>
      </c>
      <c r="D661" s="19" t="s">
        <v>31</v>
      </c>
      <c r="E661" s="19" t="s">
        <v>10459</v>
      </c>
      <c r="F661" s="21">
        <f t="shared" si="502"/>
        <v>4.6399999999999997</v>
      </c>
      <c r="G661" s="21">
        <f t="shared" si="502"/>
        <v>4.6399999999999997</v>
      </c>
      <c r="H661" s="21">
        <f t="shared" si="502"/>
        <v>4.6399999999999997</v>
      </c>
      <c r="I661" s="24" t="str">
        <f t="shared" si="503"/>
        <v xml:space="preserve">COM VALOR</v>
      </c>
      <c r="L661" s="36">
        <v>4.6399999999999997</v>
      </c>
      <c r="M661" s="37">
        <v>4.6399999999999997</v>
      </c>
      <c r="N661" s="36">
        <v>4.6399999999999997</v>
      </c>
    </row>
    <row r="662" ht="25.5">
      <c r="A662" s="19" t="s">
        <v>10460</v>
      </c>
      <c r="B662" s="19">
        <v>38003</v>
      </c>
      <c r="C662" s="20" t="s">
        <v>11118</v>
      </c>
      <c r="D662" s="19" t="s">
        <v>31</v>
      </c>
      <c r="E662" s="19" t="s">
        <v>10459</v>
      </c>
      <c r="F662" s="21">
        <f t="shared" si="502"/>
        <v>31.670000000000002</v>
      </c>
      <c r="G662" s="21">
        <f t="shared" si="502"/>
        <v>31.670000000000002</v>
      </c>
      <c r="H662" s="21">
        <f t="shared" si="502"/>
        <v>31.670000000000002</v>
      </c>
      <c r="I662" s="24" t="str">
        <f t="shared" si="503"/>
        <v xml:space="preserve">COM VALOR</v>
      </c>
      <c r="L662" s="36">
        <v>31.670000000000002</v>
      </c>
      <c r="M662" s="37">
        <v>31.670000000000002</v>
      </c>
      <c r="N662" s="36">
        <v>31.670000000000002</v>
      </c>
    </row>
    <row r="663" ht="25.5">
      <c r="A663" s="19" t="s">
        <v>10460</v>
      </c>
      <c r="B663" s="19">
        <v>38004</v>
      </c>
      <c r="C663" s="20" t="s">
        <v>11119</v>
      </c>
      <c r="D663" s="19" t="s">
        <v>31</v>
      </c>
      <c r="E663" s="19" t="s">
        <v>10459</v>
      </c>
      <c r="F663" s="21">
        <f t="shared" si="502"/>
        <v>36.43</v>
      </c>
      <c r="G663" s="21">
        <f t="shared" si="502"/>
        <v>36.43</v>
      </c>
      <c r="H663" s="21">
        <f t="shared" si="502"/>
        <v>36.43</v>
      </c>
      <c r="I663" s="24" t="str">
        <f t="shared" si="503"/>
        <v xml:space="preserve">COM VALOR</v>
      </c>
      <c r="L663" s="36">
        <v>36.43</v>
      </c>
      <c r="M663" s="37">
        <v>36.43</v>
      </c>
      <c r="N663" s="36">
        <v>36.43</v>
      </c>
    </row>
    <row r="664" ht="25.5">
      <c r="A664" s="19" t="s">
        <v>10460</v>
      </c>
      <c r="B664" s="19">
        <v>44263</v>
      </c>
      <c r="C664" s="20" t="s">
        <v>11120</v>
      </c>
      <c r="D664" s="19" t="s">
        <v>31</v>
      </c>
      <c r="E664" s="19" t="s">
        <v>10459</v>
      </c>
      <c r="F664" s="21">
        <f t="shared" si="502"/>
        <v>65.390000000000001</v>
      </c>
      <c r="G664" s="21">
        <f t="shared" si="502"/>
        <v>65.390000000000001</v>
      </c>
      <c r="H664" s="21">
        <f t="shared" si="502"/>
        <v>65.390000000000001</v>
      </c>
      <c r="I664" s="24" t="str">
        <f t="shared" si="503"/>
        <v xml:space="preserve">COM VALOR</v>
      </c>
      <c r="L664" s="36">
        <v>65.390000000000001</v>
      </c>
      <c r="M664" s="37">
        <v>65.390000000000001</v>
      </c>
      <c r="N664" s="36">
        <v>65.390000000000001</v>
      </c>
    </row>
    <row r="665" ht="25.5">
      <c r="A665" s="19" t="s">
        <v>10460</v>
      </c>
      <c r="B665" s="19">
        <v>36327</v>
      </c>
      <c r="C665" s="20" t="s">
        <v>11121</v>
      </c>
      <c r="D665" s="19" t="s">
        <v>31</v>
      </c>
      <c r="E665" s="19" t="s">
        <v>10459</v>
      </c>
      <c r="F665" s="21" t="str">
        <f t="shared" si="502"/>
        <v>VERIFICAR</v>
      </c>
      <c r="G665" s="21" t="str">
        <f t="shared" si="502"/>
        <v>VERIFICAR</v>
      </c>
      <c r="H665" s="21" t="str">
        <f t="shared" si="502"/>
        <v>VERIFICAR</v>
      </c>
      <c r="I665" s="24" t="str">
        <f t="shared" si="503"/>
        <v xml:space="preserve">SEM VALOR</v>
      </c>
      <c r="L665" s="36"/>
      <c r="M665" s="37"/>
      <c r="N665" s="36"/>
    </row>
    <row r="666" ht="25.5">
      <c r="A666" s="19" t="s">
        <v>10460</v>
      </c>
      <c r="B666" s="19">
        <v>38992</v>
      </c>
      <c r="C666" s="20" t="s">
        <v>11122</v>
      </c>
      <c r="D666" s="19" t="s">
        <v>31</v>
      </c>
      <c r="E666" s="19" t="s">
        <v>10459</v>
      </c>
      <c r="F666" s="21" t="str">
        <f t="shared" si="502"/>
        <v>VERIFICAR</v>
      </c>
      <c r="G666" s="21" t="str">
        <f t="shared" si="502"/>
        <v>VERIFICAR</v>
      </c>
      <c r="H666" s="21" t="str">
        <f t="shared" si="502"/>
        <v>VERIFICAR</v>
      </c>
      <c r="I666" s="24" t="str">
        <f t="shared" si="503"/>
        <v xml:space="preserve">SEM VALOR</v>
      </c>
      <c r="L666" s="36"/>
      <c r="M666" s="37"/>
      <c r="N666" s="36"/>
    </row>
    <row r="667" ht="25.5">
      <c r="A667" s="19" t="s">
        <v>10460</v>
      </c>
      <c r="B667" s="19">
        <v>38993</v>
      </c>
      <c r="C667" s="20" t="s">
        <v>11123</v>
      </c>
      <c r="D667" s="19" t="s">
        <v>31</v>
      </c>
      <c r="E667" s="19" t="s">
        <v>10459</v>
      </c>
      <c r="F667" s="21" t="str">
        <f t="shared" si="502"/>
        <v>VERIFICAR</v>
      </c>
      <c r="G667" s="21" t="str">
        <f t="shared" si="502"/>
        <v>VERIFICAR</v>
      </c>
      <c r="H667" s="21" t="str">
        <f t="shared" si="502"/>
        <v>VERIFICAR</v>
      </c>
      <c r="I667" s="24" t="str">
        <f t="shared" si="503"/>
        <v xml:space="preserve">SEM VALOR</v>
      </c>
      <c r="L667" s="36"/>
      <c r="M667" s="37"/>
      <c r="N667" s="36"/>
    </row>
    <row r="668" ht="25.5">
      <c r="A668" s="19" t="s">
        <v>10460</v>
      </c>
      <c r="B668" s="19">
        <v>44175</v>
      </c>
      <c r="C668" s="20" t="s">
        <v>11124</v>
      </c>
      <c r="D668" s="19" t="s">
        <v>31</v>
      </c>
      <c r="E668" s="19" t="s">
        <v>10459</v>
      </c>
      <c r="F668" s="21" t="str">
        <f t="shared" si="502"/>
        <v>VERIFICAR</v>
      </c>
      <c r="G668" s="21" t="str">
        <f t="shared" si="502"/>
        <v>VERIFICAR</v>
      </c>
      <c r="H668" s="21" t="str">
        <f t="shared" si="502"/>
        <v>VERIFICAR</v>
      </c>
      <c r="I668" s="24" t="str">
        <f t="shared" si="503"/>
        <v xml:space="preserve">SEM VALOR</v>
      </c>
      <c r="L668" s="36"/>
      <c r="M668" s="37"/>
      <c r="N668" s="36"/>
    </row>
    <row r="669" ht="25.5">
      <c r="A669" s="19" t="s">
        <v>10460</v>
      </c>
      <c r="B669" s="19">
        <v>44177</v>
      </c>
      <c r="C669" s="20" t="s">
        <v>11125</v>
      </c>
      <c r="D669" s="19" t="s">
        <v>31</v>
      </c>
      <c r="E669" s="19" t="s">
        <v>10459</v>
      </c>
      <c r="F669" s="21" t="str">
        <f t="shared" si="502"/>
        <v>VERIFICAR</v>
      </c>
      <c r="G669" s="21" t="str">
        <f t="shared" si="502"/>
        <v>VERIFICAR</v>
      </c>
      <c r="H669" s="21" t="str">
        <f t="shared" si="502"/>
        <v>VERIFICAR</v>
      </c>
      <c r="I669" s="24" t="str">
        <f t="shared" si="503"/>
        <v xml:space="preserve">SEM VALOR</v>
      </c>
      <c r="L669" s="36"/>
      <c r="M669" s="37"/>
      <c r="N669" s="36"/>
    </row>
    <row r="670" ht="25.5">
      <c r="A670" s="19" t="s">
        <v>10460</v>
      </c>
      <c r="B670" s="19">
        <v>38418</v>
      </c>
      <c r="C670" s="20" t="s">
        <v>11126</v>
      </c>
      <c r="D670" s="19" t="s">
        <v>31</v>
      </c>
      <c r="E670" s="19" t="s">
        <v>10459</v>
      </c>
      <c r="F670" s="21">
        <f t="shared" si="502"/>
        <v>5.96</v>
      </c>
      <c r="G670" s="21">
        <f t="shared" si="502"/>
        <v>5.96</v>
      </c>
      <c r="H670" s="21">
        <f t="shared" si="502"/>
        <v>5.96</v>
      </c>
      <c r="I670" s="24" t="str">
        <f t="shared" si="503"/>
        <v xml:space="preserve">COM VALOR</v>
      </c>
      <c r="L670" s="36">
        <v>5.96</v>
      </c>
      <c r="M670" s="37">
        <v>5.96</v>
      </c>
      <c r="N670" s="36">
        <v>5.96</v>
      </c>
    </row>
    <row r="671" ht="25.5">
      <c r="A671" s="19" t="s">
        <v>10460</v>
      </c>
      <c r="B671" s="19">
        <v>39178</v>
      </c>
      <c r="C671" s="20" t="s">
        <v>11127</v>
      </c>
      <c r="D671" s="19" t="s">
        <v>31</v>
      </c>
      <c r="E671" s="19" t="s">
        <v>10459</v>
      </c>
      <c r="F671" s="21">
        <f t="shared" si="502"/>
        <v>2.2400000000000002</v>
      </c>
      <c r="G671" s="21">
        <f t="shared" si="502"/>
        <v>2.2400000000000002</v>
      </c>
      <c r="H671" s="21">
        <f t="shared" si="502"/>
        <v>2.2400000000000002</v>
      </c>
      <c r="I671" s="24" t="str">
        <f t="shared" si="503"/>
        <v xml:space="preserve">COM VALOR</v>
      </c>
      <c r="L671" s="36">
        <v>2.2400000000000002</v>
      </c>
      <c r="M671" s="37">
        <v>2.2400000000000002</v>
      </c>
      <c r="N671" s="36">
        <v>2.2400000000000002</v>
      </c>
    </row>
    <row r="672" ht="25.5">
      <c r="A672" s="19" t="s">
        <v>10460</v>
      </c>
      <c r="B672" s="19">
        <v>39177</v>
      </c>
      <c r="C672" s="20" t="s">
        <v>11128</v>
      </c>
      <c r="D672" s="19" t="s">
        <v>31</v>
      </c>
      <c r="E672" s="19" t="s">
        <v>10459</v>
      </c>
      <c r="F672" s="21">
        <f t="shared" si="502"/>
        <v>2.02</v>
      </c>
      <c r="G672" s="21">
        <f t="shared" si="502"/>
        <v>2.02</v>
      </c>
      <c r="H672" s="21">
        <f t="shared" si="502"/>
        <v>2.02</v>
      </c>
      <c r="I672" s="24" t="str">
        <f t="shared" si="503"/>
        <v xml:space="preserve">COM VALOR</v>
      </c>
      <c r="L672" s="36">
        <v>2.02</v>
      </c>
      <c r="M672" s="37">
        <v>2.02</v>
      </c>
      <c r="N672" s="36">
        <v>2.02</v>
      </c>
    </row>
    <row r="673" ht="12.75">
      <c r="A673" s="19" t="s">
        <v>10460</v>
      </c>
      <c r="B673" s="19">
        <v>39176</v>
      </c>
      <c r="C673" s="20" t="s">
        <v>11129</v>
      </c>
      <c r="D673" s="19" t="s">
        <v>31</v>
      </c>
      <c r="E673" s="19" t="s">
        <v>10459</v>
      </c>
      <c r="F673" s="21">
        <f t="shared" si="502"/>
        <v>1.3300000000000001</v>
      </c>
      <c r="G673" s="21">
        <f t="shared" si="502"/>
        <v>1.3300000000000001</v>
      </c>
      <c r="H673" s="21">
        <f t="shared" si="502"/>
        <v>1.3300000000000001</v>
      </c>
      <c r="I673" s="24" t="str">
        <f t="shared" si="503"/>
        <v xml:space="preserve">COM VALOR</v>
      </c>
      <c r="L673" s="36">
        <v>1.3300000000000001</v>
      </c>
      <c r="M673" s="37">
        <v>1.3300000000000001</v>
      </c>
      <c r="N673" s="36">
        <v>1.3300000000000001</v>
      </c>
    </row>
    <row r="674" ht="25.5">
      <c r="A674" s="19" t="s">
        <v>10460</v>
      </c>
      <c r="B674" s="19">
        <v>39174</v>
      </c>
      <c r="C674" s="20" t="s">
        <v>11130</v>
      </c>
      <c r="D674" s="19" t="s">
        <v>31</v>
      </c>
      <c r="E674" s="19" t="s">
        <v>10459</v>
      </c>
      <c r="F674" s="21">
        <f t="shared" si="502"/>
        <v>1.01</v>
      </c>
      <c r="G674" s="21">
        <f t="shared" si="502"/>
        <v>1.01</v>
      </c>
      <c r="H674" s="21">
        <f t="shared" si="502"/>
        <v>1.01</v>
      </c>
      <c r="I674" s="24" t="str">
        <f t="shared" si="503"/>
        <v xml:space="preserve">COM VALOR</v>
      </c>
      <c r="L674" s="36">
        <v>1.01</v>
      </c>
      <c r="M674" s="37">
        <v>1.01</v>
      </c>
      <c r="N674" s="36">
        <v>1.01</v>
      </c>
    </row>
    <row r="675" ht="25.5">
      <c r="A675" s="19" t="s">
        <v>10460</v>
      </c>
      <c r="B675" s="19">
        <v>39180</v>
      </c>
      <c r="C675" s="20" t="s">
        <v>11131</v>
      </c>
      <c r="D675" s="19" t="s">
        <v>31</v>
      </c>
      <c r="E675" s="19" t="s">
        <v>10459</v>
      </c>
      <c r="F675" s="21">
        <f t="shared" si="502"/>
        <v>6.0800000000000001</v>
      </c>
      <c r="G675" s="21">
        <f t="shared" si="502"/>
        <v>6.0800000000000001</v>
      </c>
      <c r="H675" s="21">
        <f t="shared" si="502"/>
        <v>6.0800000000000001</v>
      </c>
      <c r="I675" s="24" t="str">
        <f t="shared" si="503"/>
        <v xml:space="preserve">COM VALOR</v>
      </c>
      <c r="L675" s="36">
        <v>6.0800000000000001</v>
      </c>
      <c r="M675" s="37">
        <v>6.0800000000000001</v>
      </c>
      <c r="N675" s="36">
        <v>6.0800000000000001</v>
      </c>
    </row>
    <row r="676" ht="12.75">
      <c r="A676" s="19" t="s">
        <v>10460</v>
      </c>
      <c r="B676" s="19">
        <v>39179</v>
      </c>
      <c r="C676" s="20" t="s">
        <v>11132</v>
      </c>
      <c r="D676" s="19" t="s">
        <v>31</v>
      </c>
      <c r="E676" s="19" t="s">
        <v>10459</v>
      </c>
      <c r="F676" s="21">
        <f t="shared" si="502"/>
        <v>5.3799999999999999</v>
      </c>
      <c r="G676" s="21">
        <f t="shared" si="502"/>
        <v>5.3799999999999999</v>
      </c>
      <c r="H676" s="21">
        <f t="shared" si="502"/>
        <v>5.3799999999999999</v>
      </c>
      <c r="I676" s="24" t="str">
        <f t="shared" si="503"/>
        <v xml:space="preserve">COM VALOR</v>
      </c>
      <c r="L676" s="36">
        <v>5.3799999999999999</v>
      </c>
      <c r="M676" s="37">
        <v>5.3799999999999999</v>
      </c>
      <c r="N676" s="36">
        <v>5.3799999999999999</v>
      </c>
    </row>
    <row r="677" ht="12.75">
      <c r="A677" s="19" t="s">
        <v>10460</v>
      </c>
      <c r="B677" s="19">
        <v>39181</v>
      </c>
      <c r="C677" s="20" t="s">
        <v>11133</v>
      </c>
      <c r="D677" s="19" t="s">
        <v>31</v>
      </c>
      <c r="E677" s="19" t="s">
        <v>10459</v>
      </c>
      <c r="F677" s="21">
        <f t="shared" si="502"/>
        <v>8.1600000000000001</v>
      </c>
      <c r="G677" s="21">
        <f t="shared" si="502"/>
        <v>8.1600000000000001</v>
      </c>
      <c r="H677" s="21">
        <f t="shared" si="502"/>
        <v>8.1600000000000001</v>
      </c>
      <c r="I677" s="24" t="str">
        <f t="shared" si="503"/>
        <v xml:space="preserve">COM VALOR</v>
      </c>
      <c r="L677" s="36">
        <v>8.1600000000000001</v>
      </c>
      <c r="M677" s="37">
        <v>8.1600000000000001</v>
      </c>
      <c r="N677" s="36">
        <v>8.1600000000000001</v>
      </c>
    </row>
    <row r="678" ht="25.5">
      <c r="A678" s="19" t="s">
        <v>10460</v>
      </c>
      <c r="B678" s="19">
        <v>39175</v>
      </c>
      <c r="C678" s="20" t="s">
        <v>11134</v>
      </c>
      <c r="D678" s="19" t="s">
        <v>31</v>
      </c>
      <c r="E678" s="19" t="s">
        <v>10459</v>
      </c>
      <c r="F678" s="21">
        <f t="shared" si="502"/>
        <v>1.23</v>
      </c>
      <c r="G678" s="21">
        <f t="shared" si="502"/>
        <v>1.23</v>
      </c>
      <c r="H678" s="21">
        <f t="shared" si="502"/>
        <v>1.23</v>
      </c>
      <c r="I678" s="24" t="str">
        <f t="shared" si="503"/>
        <v xml:space="preserve">COM VALOR</v>
      </c>
      <c r="L678" s="36">
        <v>1.23</v>
      </c>
      <c r="M678" s="37">
        <v>1.23</v>
      </c>
      <c r="N678" s="36">
        <v>1.23</v>
      </c>
    </row>
    <row r="679" ht="25.5">
      <c r="A679" s="19" t="s">
        <v>10460</v>
      </c>
      <c r="B679" s="19">
        <v>39217</v>
      </c>
      <c r="C679" s="20" t="s">
        <v>11135</v>
      </c>
      <c r="D679" s="19" t="s">
        <v>31</v>
      </c>
      <c r="E679" s="19" t="s">
        <v>10459</v>
      </c>
      <c r="F679" s="21">
        <f t="shared" si="502"/>
        <v>0.94999999999999996</v>
      </c>
      <c r="G679" s="21">
        <f t="shared" si="502"/>
        <v>0.94999999999999996</v>
      </c>
      <c r="H679" s="21">
        <f t="shared" si="502"/>
        <v>0.94999999999999996</v>
      </c>
      <c r="I679" s="24" t="str">
        <f t="shared" si="503"/>
        <v xml:space="preserve">COM VALOR</v>
      </c>
      <c r="L679" s="36">
        <v>0.94999999999999996</v>
      </c>
      <c r="M679" s="37">
        <v>0.94999999999999996</v>
      </c>
      <c r="N679" s="36">
        <v>0.94999999999999996</v>
      </c>
    </row>
    <row r="680" ht="12.75">
      <c r="A680" s="19" t="s">
        <v>10460</v>
      </c>
      <c r="B680" s="19">
        <v>39182</v>
      </c>
      <c r="C680" s="20" t="s">
        <v>11136</v>
      </c>
      <c r="D680" s="19" t="s">
        <v>31</v>
      </c>
      <c r="E680" s="19" t="s">
        <v>10459</v>
      </c>
      <c r="F680" s="21">
        <f t="shared" si="502"/>
        <v>11.470000000000001</v>
      </c>
      <c r="G680" s="21">
        <f t="shared" si="502"/>
        <v>11.470000000000001</v>
      </c>
      <c r="H680" s="21">
        <f t="shared" si="502"/>
        <v>11.470000000000001</v>
      </c>
      <c r="I680" s="24" t="str">
        <f t="shared" si="503"/>
        <v xml:space="preserve">COM VALOR</v>
      </c>
      <c r="L680" s="36">
        <v>11.470000000000001</v>
      </c>
      <c r="M680" s="37">
        <v>11.470000000000001</v>
      </c>
      <c r="N680" s="36">
        <v>11.470000000000001</v>
      </c>
    </row>
    <row r="681" ht="38.25">
      <c r="A681" s="19" t="s">
        <v>10460</v>
      </c>
      <c r="B681" s="19">
        <v>12616</v>
      </c>
      <c r="C681" s="20" t="s">
        <v>11137</v>
      </c>
      <c r="D681" s="19" t="s">
        <v>31</v>
      </c>
      <c r="E681" s="19" t="s">
        <v>10459</v>
      </c>
      <c r="F681" s="21">
        <f t="shared" si="502"/>
        <v>18.390000000000001</v>
      </c>
      <c r="G681" s="21">
        <f t="shared" si="502"/>
        <v>18.390000000000001</v>
      </c>
      <c r="H681" s="21">
        <f t="shared" si="502"/>
        <v>18.390000000000001</v>
      </c>
      <c r="I681" s="24" t="str">
        <f t="shared" si="503"/>
        <v xml:space="preserve">COM VALOR</v>
      </c>
      <c r="L681" s="36">
        <v>18.390000000000001</v>
      </c>
      <c r="M681" s="37">
        <v>18.390000000000001</v>
      </c>
      <c r="N681" s="36">
        <v>18.390000000000001</v>
      </c>
    </row>
    <row r="682" ht="51">
      <c r="A682" s="19" t="s">
        <v>10460</v>
      </c>
      <c r="B682" s="19">
        <v>1049</v>
      </c>
      <c r="C682" s="20" t="s">
        <v>11138</v>
      </c>
      <c r="D682" s="19" t="s">
        <v>31</v>
      </c>
      <c r="E682" s="19" t="s">
        <v>10459</v>
      </c>
      <c r="F682" s="21">
        <f t="shared" si="502"/>
        <v>9.5999999999999996</v>
      </c>
      <c r="G682" s="21">
        <f t="shared" si="502"/>
        <v>9.5999999999999996</v>
      </c>
      <c r="H682" s="21">
        <f t="shared" si="502"/>
        <v>9.5999999999999996</v>
      </c>
      <c r="I682" s="24" t="str">
        <f t="shared" si="503"/>
        <v xml:space="preserve">COM VALOR</v>
      </c>
      <c r="L682" s="36">
        <v>9.5999999999999996</v>
      </c>
      <c r="M682" s="37">
        <v>9.5999999999999996</v>
      </c>
      <c r="N682" s="36">
        <v>9.5999999999999996</v>
      </c>
    </row>
    <row r="683" ht="51">
      <c r="A683" s="19" t="s">
        <v>10460</v>
      </c>
      <c r="B683" s="19">
        <v>1099</v>
      </c>
      <c r="C683" s="20" t="s">
        <v>11139</v>
      </c>
      <c r="D683" s="19" t="s">
        <v>31</v>
      </c>
      <c r="E683" s="19" t="s">
        <v>10459</v>
      </c>
      <c r="F683" s="21">
        <f t="shared" si="502"/>
        <v>7.3399999999999999</v>
      </c>
      <c r="G683" s="21">
        <f t="shared" si="502"/>
        <v>7.3399999999999999</v>
      </c>
      <c r="H683" s="21">
        <f t="shared" si="502"/>
        <v>7.3399999999999999</v>
      </c>
      <c r="I683" s="24" t="str">
        <f t="shared" si="503"/>
        <v xml:space="preserve">COM VALOR</v>
      </c>
      <c r="L683" s="36">
        <v>7.3399999999999999</v>
      </c>
      <c r="M683" s="37">
        <v>7.3399999999999999</v>
      </c>
      <c r="N683" s="36">
        <v>7.3399999999999999</v>
      </c>
    </row>
    <row r="684" ht="51">
      <c r="A684" s="19" t="s">
        <v>10460</v>
      </c>
      <c r="B684" s="19">
        <v>1050</v>
      </c>
      <c r="C684" s="20" t="s">
        <v>11140</v>
      </c>
      <c r="D684" s="19" t="s">
        <v>31</v>
      </c>
      <c r="E684" s="19" t="s">
        <v>10459</v>
      </c>
      <c r="F684" s="21">
        <f t="shared" si="502"/>
        <v>5.0199999999999996</v>
      </c>
      <c r="G684" s="21">
        <f t="shared" si="502"/>
        <v>5.0199999999999996</v>
      </c>
      <c r="H684" s="21">
        <f t="shared" si="502"/>
        <v>5.0199999999999996</v>
      </c>
      <c r="I684" s="24" t="str">
        <f t="shared" si="503"/>
        <v xml:space="preserve">COM VALOR</v>
      </c>
      <c r="L684" s="36">
        <v>5.0199999999999996</v>
      </c>
      <c r="M684" s="37">
        <v>5.0199999999999996</v>
      </c>
      <c r="N684" s="36">
        <v>5.0199999999999996</v>
      </c>
    </row>
    <row r="685" ht="51">
      <c r="A685" s="19" t="s">
        <v>10460</v>
      </c>
      <c r="B685" s="19">
        <v>39678</v>
      </c>
      <c r="C685" s="20" t="s">
        <v>11141</v>
      </c>
      <c r="D685" s="19" t="s">
        <v>31</v>
      </c>
      <c r="E685" s="19" t="s">
        <v>10459</v>
      </c>
      <c r="F685" s="21">
        <f t="shared" si="502"/>
        <v>2.96</v>
      </c>
      <c r="G685" s="21">
        <f t="shared" si="502"/>
        <v>2.96</v>
      </c>
      <c r="H685" s="21">
        <f t="shared" si="502"/>
        <v>2.96</v>
      </c>
      <c r="I685" s="24" t="str">
        <f t="shared" si="503"/>
        <v xml:space="preserve">COM VALOR</v>
      </c>
      <c r="L685" s="36">
        <v>2.96</v>
      </c>
      <c r="M685" s="37">
        <v>2.96</v>
      </c>
      <c r="N685" s="36">
        <v>2.96</v>
      </c>
    </row>
    <row r="686" ht="51">
      <c r="A686" s="19" t="s">
        <v>10460</v>
      </c>
      <c r="B686" s="19">
        <v>1101</v>
      </c>
      <c r="C686" s="20" t="s">
        <v>11142</v>
      </c>
      <c r="D686" s="19" t="s">
        <v>31</v>
      </c>
      <c r="E686" s="19" t="s">
        <v>10459</v>
      </c>
      <c r="F686" s="21">
        <f t="shared" si="502"/>
        <v>31.670000000000002</v>
      </c>
      <c r="G686" s="21">
        <f t="shared" si="502"/>
        <v>31.670000000000002</v>
      </c>
      <c r="H686" s="21">
        <f t="shared" si="502"/>
        <v>31.670000000000002</v>
      </c>
      <c r="I686" s="24" t="str">
        <f t="shared" si="503"/>
        <v xml:space="preserve">COM VALOR</v>
      </c>
      <c r="L686" s="36">
        <v>31.670000000000002</v>
      </c>
      <c r="M686" s="37">
        <v>31.670000000000002</v>
      </c>
      <c r="N686" s="36">
        <v>31.670000000000002</v>
      </c>
    </row>
    <row r="687" ht="51">
      <c r="A687" s="19" t="s">
        <v>10460</v>
      </c>
      <c r="B687" s="19">
        <v>1100</v>
      </c>
      <c r="C687" s="20" t="s">
        <v>11143</v>
      </c>
      <c r="D687" s="19" t="s">
        <v>31</v>
      </c>
      <c r="E687" s="19" t="s">
        <v>10459</v>
      </c>
      <c r="F687" s="21">
        <f t="shared" si="502"/>
        <v>16.34</v>
      </c>
      <c r="G687" s="21">
        <f t="shared" si="502"/>
        <v>16.34</v>
      </c>
      <c r="H687" s="21">
        <f t="shared" si="502"/>
        <v>16.34</v>
      </c>
      <c r="I687" s="24" t="str">
        <f t="shared" si="503"/>
        <v xml:space="preserve">COM VALOR</v>
      </c>
      <c r="L687" s="36">
        <v>16.34</v>
      </c>
      <c r="M687" s="37">
        <v>16.34</v>
      </c>
      <c r="N687" s="36">
        <v>16.34</v>
      </c>
    </row>
    <row r="688" ht="51">
      <c r="A688" s="19" t="s">
        <v>10460</v>
      </c>
      <c r="B688" s="19">
        <v>39679</v>
      </c>
      <c r="C688" s="20" t="s">
        <v>11144</v>
      </c>
      <c r="D688" s="19" t="s">
        <v>31</v>
      </c>
      <c r="E688" s="19" t="s">
        <v>10459</v>
      </c>
      <c r="F688" s="21">
        <f t="shared" si="502"/>
        <v>63.119999999999997</v>
      </c>
      <c r="G688" s="21">
        <f t="shared" si="502"/>
        <v>63.119999999999997</v>
      </c>
      <c r="H688" s="21">
        <f t="shared" si="502"/>
        <v>63.119999999999997</v>
      </c>
      <c r="I688" s="24" t="str">
        <f t="shared" si="503"/>
        <v xml:space="preserve">COM VALOR</v>
      </c>
      <c r="L688" s="36">
        <v>63.119999999999997</v>
      </c>
      <c r="M688" s="37">
        <v>63.119999999999997</v>
      </c>
      <c r="N688" s="36">
        <v>63.119999999999997</v>
      </c>
    </row>
    <row r="689" ht="51">
      <c r="A689" s="19" t="s">
        <v>10460</v>
      </c>
      <c r="B689" s="19">
        <v>1102</v>
      </c>
      <c r="C689" s="20" t="s">
        <v>11145</v>
      </c>
      <c r="D689" s="19" t="s">
        <v>31</v>
      </c>
      <c r="E689" s="19" t="s">
        <v>10459</v>
      </c>
      <c r="F689" s="21">
        <f t="shared" si="502"/>
        <v>47.219999999999999</v>
      </c>
      <c r="G689" s="21">
        <f t="shared" si="502"/>
        <v>47.219999999999999</v>
      </c>
      <c r="H689" s="21">
        <f t="shared" si="502"/>
        <v>47.219999999999999</v>
      </c>
      <c r="I689" s="24" t="str">
        <f t="shared" si="503"/>
        <v xml:space="preserve">COM VALOR</v>
      </c>
      <c r="L689" s="36">
        <v>47.219999999999999</v>
      </c>
      <c r="M689" s="37">
        <v>47.219999999999999</v>
      </c>
      <c r="N689" s="36">
        <v>47.219999999999999</v>
      </c>
    </row>
    <row r="690" ht="51">
      <c r="A690" s="19" t="s">
        <v>10460</v>
      </c>
      <c r="B690" s="19">
        <v>1098</v>
      </c>
      <c r="C690" s="20" t="s">
        <v>11146</v>
      </c>
      <c r="D690" s="19" t="s">
        <v>31</v>
      </c>
      <c r="E690" s="19" t="s">
        <v>10459</v>
      </c>
      <c r="F690" s="21">
        <f t="shared" si="502"/>
        <v>3.9199999999999999</v>
      </c>
      <c r="G690" s="21">
        <f t="shared" si="502"/>
        <v>3.9199999999999999</v>
      </c>
      <c r="H690" s="21">
        <f t="shared" si="502"/>
        <v>3.9199999999999999</v>
      </c>
      <c r="I690" s="24" t="str">
        <f t="shared" si="503"/>
        <v xml:space="preserve">COM VALOR</v>
      </c>
      <c r="L690" s="36">
        <v>3.9199999999999999</v>
      </c>
      <c r="M690" s="37">
        <v>3.9199999999999999</v>
      </c>
      <c r="N690" s="36">
        <v>3.9199999999999999</v>
      </c>
    </row>
    <row r="691" ht="51">
      <c r="A691" s="19" t="s">
        <v>10460</v>
      </c>
      <c r="B691" s="19">
        <v>1051</v>
      </c>
      <c r="C691" s="20" t="s">
        <v>11147</v>
      </c>
      <c r="D691" s="19" t="s">
        <v>31</v>
      </c>
      <c r="E691" s="19" t="s">
        <v>10459</v>
      </c>
      <c r="F691" s="21">
        <f t="shared" si="502"/>
        <v>68.640000000000001</v>
      </c>
      <c r="G691" s="21">
        <f t="shared" si="502"/>
        <v>68.640000000000001</v>
      </c>
      <c r="H691" s="21">
        <f t="shared" si="502"/>
        <v>68.640000000000001</v>
      </c>
      <c r="I691" s="24" t="str">
        <f t="shared" si="503"/>
        <v xml:space="preserve">COM VALOR</v>
      </c>
      <c r="L691" s="36">
        <v>68.640000000000001</v>
      </c>
      <c r="M691" s="37">
        <v>68.640000000000001</v>
      </c>
      <c r="N691" s="36">
        <v>68.640000000000001</v>
      </c>
    </row>
    <row r="692" ht="12.75">
      <c r="A692" s="19" t="s">
        <v>10460</v>
      </c>
      <c r="B692" s="19">
        <v>37399</v>
      </c>
      <c r="C692" s="20" t="s">
        <v>11148</v>
      </c>
      <c r="D692" s="19" t="s">
        <v>31</v>
      </c>
      <c r="E692" s="19" t="s">
        <v>10459</v>
      </c>
      <c r="F692" s="21">
        <f t="shared" si="502"/>
        <v>17.489999999999998</v>
      </c>
      <c r="G692" s="21">
        <f t="shared" si="502"/>
        <v>17.489999999999998</v>
      </c>
      <c r="H692" s="21">
        <f t="shared" si="502"/>
        <v>17.489999999999998</v>
      </c>
      <c r="I692" s="24" t="str">
        <f t="shared" si="503"/>
        <v xml:space="preserve">COM VALOR</v>
      </c>
      <c r="L692" s="36">
        <v>17.489999999999998</v>
      </c>
      <c r="M692" s="37">
        <v>17.489999999999998</v>
      </c>
      <c r="N692" s="36">
        <v>17.489999999999998</v>
      </c>
    </row>
    <row r="693" ht="12.75">
      <c r="A693" s="19" t="s">
        <v>10460</v>
      </c>
      <c r="B693" s="19">
        <v>43834</v>
      </c>
      <c r="C693" s="20" t="s">
        <v>11149</v>
      </c>
      <c r="D693" s="19" t="s">
        <v>38</v>
      </c>
      <c r="E693" s="19" t="s">
        <v>10459</v>
      </c>
      <c r="F693" s="21">
        <f t="shared" si="502"/>
        <v>25.510000000000002</v>
      </c>
      <c r="G693" s="21">
        <f t="shared" si="502"/>
        <v>25.510000000000002</v>
      </c>
      <c r="H693" s="21">
        <f t="shared" si="502"/>
        <v>25.510000000000002</v>
      </c>
      <c r="I693" s="24" t="str">
        <f t="shared" si="503"/>
        <v xml:space="preserve">COM VALOR</v>
      </c>
      <c r="L693" s="36">
        <v>25.510000000000002</v>
      </c>
      <c r="M693" s="37">
        <v>25.510000000000002</v>
      </c>
      <c r="N693" s="36">
        <v>25.510000000000002</v>
      </c>
    </row>
    <row r="694" ht="12.75">
      <c r="A694" s="19" t="s">
        <v>10460</v>
      </c>
      <c r="B694" s="19">
        <v>43835</v>
      </c>
      <c r="C694" s="20" t="s">
        <v>11150</v>
      </c>
      <c r="D694" s="19" t="s">
        <v>38</v>
      </c>
      <c r="E694" s="19" t="s">
        <v>10459</v>
      </c>
      <c r="F694" s="21">
        <f t="shared" si="502"/>
        <v>2.2799999999999998</v>
      </c>
      <c r="G694" s="21">
        <f t="shared" si="502"/>
        <v>2.2799999999999998</v>
      </c>
      <c r="H694" s="21">
        <f t="shared" si="502"/>
        <v>2.2799999999999998</v>
      </c>
      <c r="I694" s="24" t="str">
        <f t="shared" si="503"/>
        <v xml:space="preserve">COM VALOR</v>
      </c>
      <c r="L694" s="36">
        <v>2.2799999999999998</v>
      </c>
      <c r="M694" s="37">
        <v>2.2799999999999998</v>
      </c>
      <c r="N694" s="36">
        <v>2.2799999999999998</v>
      </c>
    </row>
    <row r="695" ht="12.75">
      <c r="A695" s="19" t="s">
        <v>10460</v>
      </c>
      <c r="B695" s="19">
        <v>43833</v>
      </c>
      <c r="C695" s="20" t="s">
        <v>11151</v>
      </c>
      <c r="D695" s="19" t="s">
        <v>38</v>
      </c>
      <c r="E695" s="19" t="s">
        <v>10459</v>
      </c>
      <c r="F695" s="21">
        <f t="shared" si="502"/>
        <v>2.3700000000000001</v>
      </c>
      <c r="G695" s="21">
        <f t="shared" si="502"/>
        <v>2.3700000000000001</v>
      </c>
      <c r="H695" s="21">
        <f t="shared" si="502"/>
        <v>2.3700000000000001</v>
      </c>
      <c r="I695" s="24" t="str">
        <f t="shared" si="503"/>
        <v xml:space="preserve">COM VALOR</v>
      </c>
      <c r="L695" s="36">
        <v>2.3700000000000001</v>
      </c>
      <c r="M695" s="37">
        <v>2.3700000000000001</v>
      </c>
      <c r="N695" s="36">
        <v>2.3700000000000001</v>
      </c>
    </row>
    <row r="696" ht="25.5">
      <c r="A696" s="19" t="s">
        <v>10460</v>
      </c>
      <c r="B696" s="19">
        <v>41955</v>
      </c>
      <c r="C696" s="20" t="s">
        <v>11152</v>
      </c>
      <c r="D696" s="19" t="s">
        <v>302</v>
      </c>
      <c r="E696" s="19" t="s">
        <v>10459</v>
      </c>
      <c r="F696" s="21">
        <f t="shared" si="502"/>
        <v>62.850000000000001</v>
      </c>
      <c r="G696" s="21">
        <f t="shared" si="502"/>
        <v>62.850000000000001</v>
      </c>
      <c r="H696" s="21">
        <f t="shared" si="502"/>
        <v>62.850000000000001</v>
      </c>
      <c r="I696" s="24" t="str">
        <f t="shared" si="503"/>
        <v xml:space="preserve">COM VALOR</v>
      </c>
      <c r="L696" s="36">
        <v>62.850000000000001</v>
      </c>
      <c r="M696" s="37">
        <v>62.850000000000001</v>
      </c>
      <c r="N696" s="36">
        <v>62.850000000000001</v>
      </c>
    </row>
    <row r="697" ht="25.5">
      <c r="A697" s="19" t="s">
        <v>10460</v>
      </c>
      <c r="B697" s="19">
        <v>41953</v>
      </c>
      <c r="C697" s="20" t="s">
        <v>11153</v>
      </c>
      <c r="D697" s="19" t="s">
        <v>302</v>
      </c>
      <c r="E697" s="19" t="s">
        <v>10459</v>
      </c>
      <c r="F697" s="21">
        <f t="shared" si="502"/>
        <v>59.979999999999997</v>
      </c>
      <c r="G697" s="21">
        <f t="shared" si="502"/>
        <v>59.979999999999997</v>
      </c>
      <c r="H697" s="21">
        <f t="shared" si="502"/>
        <v>59.979999999999997</v>
      </c>
      <c r="I697" s="24" t="str">
        <f t="shared" si="503"/>
        <v xml:space="preserve">COM VALOR</v>
      </c>
      <c r="L697" s="36">
        <v>59.979999999999997</v>
      </c>
      <c r="M697" s="37">
        <v>59.979999999999997</v>
      </c>
      <c r="N697" s="36">
        <v>59.979999999999997</v>
      </c>
    </row>
    <row r="698" ht="25.5">
      <c r="A698" s="19" t="s">
        <v>10460</v>
      </c>
      <c r="B698" s="19">
        <v>41954</v>
      </c>
      <c r="C698" s="20" t="s">
        <v>11154</v>
      </c>
      <c r="D698" s="19" t="s">
        <v>302</v>
      </c>
      <c r="E698" s="19" t="s">
        <v>10459</v>
      </c>
      <c r="F698" s="21">
        <f t="shared" si="502"/>
        <v>59.409999999999997</v>
      </c>
      <c r="G698" s="21">
        <f t="shared" si="502"/>
        <v>59.409999999999997</v>
      </c>
      <c r="H698" s="21">
        <f t="shared" si="502"/>
        <v>59.409999999999997</v>
      </c>
      <c r="I698" s="24" t="str">
        <f t="shared" si="503"/>
        <v xml:space="preserve">COM VALOR</v>
      </c>
      <c r="L698" s="36">
        <v>59.409999999999997</v>
      </c>
      <c r="M698" s="37">
        <v>59.409999999999997</v>
      </c>
      <c r="N698" s="36">
        <v>59.409999999999997</v>
      </c>
    </row>
    <row r="699" ht="12.75">
      <c r="A699" s="19" t="s">
        <v>10460</v>
      </c>
      <c r="B699" s="19">
        <v>25004</v>
      </c>
      <c r="C699" s="20" t="s">
        <v>11155</v>
      </c>
      <c r="D699" s="19" t="s">
        <v>302</v>
      </c>
      <c r="E699" s="19" t="s">
        <v>10459</v>
      </c>
      <c r="F699" s="21">
        <f t="shared" si="502"/>
        <v>61.049999999999997</v>
      </c>
      <c r="G699" s="21">
        <f t="shared" si="502"/>
        <v>61.049999999999997</v>
      </c>
      <c r="H699" s="21">
        <f t="shared" si="502"/>
        <v>61.049999999999997</v>
      </c>
      <c r="I699" s="24" t="str">
        <f t="shared" si="503"/>
        <v xml:space="preserve">COM VALOR</v>
      </c>
      <c r="L699" s="36">
        <v>61.049999999999997</v>
      </c>
      <c r="M699" s="37">
        <v>61.049999999999997</v>
      </c>
      <c r="N699" s="36">
        <v>61.049999999999997</v>
      </c>
    </row>
    <row r="700" ht="12.75">
      <c r="A700" s="19" t="s">
        <v>10460</v>
      </c>
      <c r="B700" s="19">
        <v>25002</v>
      </c>
      <c r="C700" s="20" t="s">
        <v>11156</v>
      </c>
      <c r="D700" s="19" t="s">
        <v>302</v>
      </c>
      <c r="E700" s="19" t="s">
        <v>10459</v>
      </c>
      <c r="F700" s="21">
        <f t="shared" si="502"/>
        <v>61.049999999999997</v>
      </c>
      <c r="G700" s="21">
        <f t="shared" si="502"/>
        <v>61.049999999999997</v>
      </c>
      <c r="H700" s="21">
        <f t="shared" si="502"/>
        <v>61.049999999999997</v>
      </c>
      <c r="I700" s="24" t="str">
        <f t="shared" si="503"/>
        <v xml:space="preserve">COM VALOR</v>
      </c>
      <c r="L700" s="36">
        <v>61.049999999999997</v>
      </c>
      <c r="M700" s="37">
        <v>61.049999999999997</v>
      </c>
      <c r="N700" s="36">
        <v>61.049999999999997</v>
      </c>
    </row>
    <row r="701" ht="12.75">
      <c r="A701" s="19" t="s">
        <v>10460</v>
      </c>
      <c r="B701" s="19">
        <v>37409</v>
      </c>
      <c r="C701" s="20" t="s">
        <v>11157</v>
      </c>
      <c r="D701" s="19" t="s">
        <v>302</v>
      </c>
      <c r="E701" s="19" t="s">
        <v>10459</v>
      </c>
      <c r="F701" s="21">
        <f t="shared" si="502"/>
        <v>61.049999999999997</v>
      </c>
      <c r="G701" s="21">
        <f t="shared" si="502"/>
        <v>61.049999999999997</v>
      </c>
      <c r="H701" s="21">
        <f t="shared" si="502"/>
        <v>61.049999999999997</v>
      </c>
      <c r="I701" s="24" t="str">
        <f t="shared" si="503"/>
        <v xml:space="preserve">COM VALOR</v>
      </c>
      <c r="L701" s="36">
        <v>61.049999999999997</v>
      </c>
      <c r="M701" s="37">
        <v>61.049999999999997</v>
      </c>
      <c r="N701" s="36">
        <v>61.049999999999997</v>
      </c>
    </row>
    <row r="702" ht="12.75">
      <c r="A702" s="19" t="s">
        <v>10460</v>
      </c>
      <c r="B702" s="19">
        <v>841</v>
      </c>
      <c r="C702" s="20" t="s">
        <v>11158</v>
      </c>
      <c r="D702" s="19" t="s">
        <v>302</v>
      </c>
      <c r="E702" s="19" t="s">
        <v>10459</v>
      </c>
      <c r="F702" s="21">
        <f t="shared" si="502"/>
        <v>61.799999999999997</v>
      </c>
      <c r="G702" s="21">
        <f t="shared" si="502"/>
        <v>61.799999999999997</v>
      </c>
      <c r="H702" s="21">
        <f t="shared" si="502"/>
        <v>61.799999999999997</v>
      </c>
      <c r="I702" s="24" t="str">
        <f t="shared" si="503"/>
        <v xml:space="preserve">COM VALOR</v>
      </c>
      <c r="L702" s="36">
        <v>61.799999999999997</v>
      </c>
      <c r="M702" s="37">
        <v>61.799999999999997</v>
      </c>
      <c r="N702" s="36">
        <v>61.799999999999997</v>
      </c>
    </row>
    <row r="703" ht="12.75">
      <c r="A703" s="19" t="s">
        <v>10460</v>
      </c>
      <c r="B703" s="19">
        <v>25005</v>
      </c>
      <c r="C703" s="20" t="s">
        <v>11159</v>
      </c>
      <c r="D703" s="19" t="s">
        <v>302</v>
      </c>
      <c r="E703" s="19" t="s">
        <v>10459</v>
      </c>
      <c r="F703" s="21">
        <f t="shared" si="502"/>
        <v>67</v>
      </c>
      <c r="G703" s="21">
        <f t="shared" si="502"/>
        <v>67</v>
      </c>
      <c r="H703" s="21">
        <f t="shared" si="502"/>
        <v>67</v>
      </c>
      <c r="I703" s="24" t="str">
        <f t="shared" si="503"/>
        <v xml:space="preserve">COM VALOR</v>
      </c>
      <c r="L703" s="36">
        <v>67</v>
      </c>
      <c r="M703" s="37">
        <v>67</v>
      </c>
      <c r="N703" s="36">
        <v>67</v>
      </c>
    </row>
    <row r="704" ht="12.75">
      <c r="A704" s="19" t="s">
        <v>10460</v>
      </c>
      <c r="B704" s="19">
        <v>25003</v>
      </c>
      <c r="C704" s="20" t="s">
        <v>11160</v>
      </c>
      <c r="D704" s="19" t="s">
        <v>302</v>
      </c>
      <c r="E704" s="19" t="s">
        <v>10459</v>
      </c>
      <c r="F704" s="21">
        <f t="shared" si="502"/>
        <v>68.010000000000005</v>
      </c>
      <c r="G704" s="21">
        <f t="shared" si="502"/>
        <v>68.010000000000005</v>
      </c>
      <c r="H704" s="21">
        <f t="shared" si="502"/>
        <v>68.010000000000005</v>
      </c>
      <c r="I704" s="24" t="str">
        <f t="shared" si="503"/>
        <v xml:space="preserve">COM VALOR</v>
      </c>
      <c r="L704" s="36">
        <v>68.010000000000005</v>
      </c>
      <c r="M704" s="37">
        <v>68.010000000000005</v>
      </c>
      <c r="N704" s="36">
        <v>68.010000000000005</v>
      </c>
    </row>
    <row r="705" ht="12.75">
      <c r="A705" s="19" t="s">
        <v>10460</v>
      </c>
      <c r="B705" s="19">
        <v>37410</v>
      </c>
      <c r="C705" s="20" t="s">
        <v>11161</v>
      </c>
      <c r="D705" s="19" t="s">
        <v>302</v>
      </c>
      <c r="E705" s="19" t="s">
        <v>10459</v>
      </c>
      <c r="F705" s="21">
        <f t="shared" si="502"/>
        <v>67</v>
      </c>
      <c r="G705" s="21">
        <f t="shared" si="502"/>
        <v>67</v>
      </c>
      <c r="H705" s="21">
        <f t="shared" si="502"/>
        <v>67</v>
      </c>
      <c r="I705" s="24" t="str">
        <f t="shared" si="503"/>
        <v xml:space="preserve">COM VALOR</v>
      </c>
      <c r="L705" s="36">
        <v>67</v>
      </c>
      <c r="M705" s="37">
        <v>67</v>
      </c>
      <c r="N705" s="36">
        <v>67</v>
      </c>
    </row>
    <row r="706" ht="12.75">
      <c r="A706" s="19" t="s">
        <v>10460</v>
      </c>
      <c r="B706" s="19">
        <v>842</v>
      </c>
      <c r="C706" s="20" t="s">
        <v>11162</v>
      </c>
      <c r="D706" s="19" t="s">
        <v>302</v>
      </c>
      <c r="E706" s="19" t="s">
        <v>10459</v>
      </c>
      <c r="F706" s="21">
        <f t="shared" si="502"/>
        <v>67.950000000000003</v>
      </c>
      <c r="G706" s="21">
        <f t="shared" si="502"/>
        <v>67.950000000000003</v>
      </c>
      <c r="H706" s="21">
        <f t="shared" si="502"/>
        <v>67.950000000000003</v>
      </c>
      <c r="I706" s="24" t="str">
        <f t="shared" si="503"/>
        <v xml:space="preserve">COM VALOR</v>
      </c>
      <c r="L706" s="36">
        <v>67.950000000000003</v>
      </c>
      <c r="M706" s="37">
        <v>67.950000000000003</v>
      </c>
      <c r="N706" s="36">
        <v>67.950000000000003</v>
      </c>
    </row>
    <row r="707" ht="25.5">
      <c r="A707" s="19" t="s">
        <v>10460</v>
      </c>
      <c r="B707" s="19">
        <v>44391</v>
      </c>
      <c r="C707" s="20" t="s">
        <v>11163</v>
      </c>
      <c r="D707" s="19" t="s">
        <v>38</v>
      </c>
      <c r="E707" s="19" t="s">
        <v>10459</v>
      </c>
      <c r="F707" s="21">
        <f t="shared" si="502"/>
        <v>144.78999999999999</v>
      </c>
      <c r="G707" s="21">
        <f t="shared" si="502"/>
        <v>144.78999999999999</v>
      </c>
      <c r="H707" s="21">
        <f t="shared" si="502"/>
        <v>144.78999999999999</v>
      </c>
      <c r="I707" s="24" t="str">
        <f t="shared" si="503"/>
        <v xml:space="preserve">COM VALOR</v>
      </c>
      <c r="L707" s="36">
        <v>144.78999999999999</v>
      </c>
      <c r="M707" s="37">
        <v>144.78999999999999</v>
      </c>
      <c r="N707" s="36">
        <v>144.78999999999999</v>
      </c>
    </row>
    <row r="708" ht="25.5">
      <c r="A708" s="19" t="s">
        <v>10460</v>
      </c>
      <c r="B708" s="19">
        <v>44388</v>
      </c>
      <c r="C708" s="20" t="s">
        <v>11164</v>
      </c>
      <c r="D708" s="19" t="s">
        <v>38</v>
      </c>
      <c r="E708" s="19" t="s">
        <v>10459</v>
      </c>
      <c r="F708" s="21">
        <f t="shared" si="502"/>
        <v>3.1299999999999999</v>
      </c>
      <c r="G708" s="21">
        <f t="shared" si="502"/>
        <v>3.1299999999999999</v>
      </c>
      <c r="H708" s="21">
        <f t="shared" si="502"/>
        <v>3.1299999999999999</v>
      </c>
      <c r="I708" s="24" t="str">
        <f t="shared" si="503"/>
        <v xml:space="preserve">COM VALOR</v>
      </c>
      <c r="L708" s="36">
        <v>3.1299999999999999</v>
      </c>
      <c r="M708" s="37">
        <v>3.1299999999999999</v>
      </c>
      <c r="N708" s="36">
        <v>3.1299999999999999</v>
      </c>
    </row>
    <row r="709" ht="25.5">
      <c r="A709" s="19" t="s">
        <v>10460</v>
      </c>
      <c r="B709" s="19">
        <v>44392</v>
      </c>
      <c r="C709" s="20" t="s">
        <v>11165</v>
      </c>
      <c r="D709" s="19" t="s">
        <v>38</v>
      </c>
      <c r="E709" s="19" t="s">
        <v>10459</v>
      </c>
      <c r="F709" s="21">
        <f t="shared" si="502"/>
        <v>288.29000000000002</v>
      </c>
      <c r="G709" s="21">
        <f t="shared" si="502"/>
        <v>288.29000000000002</v>
      </c>
      <c r="H709" s="21">
        <f t="shared" si="502"/>
        <v>288.29000000000002</v>
      </c>
      <c r="I709" s="24" t="str">
        <f t="shared" si="503"/>
        <v xml:space="preserve">COM VALOR</v>
      </c>
      <c r="L709" s="36">
        <v>288.29000000000002</v>
      </c>
      <c r="M709" s="37">
        <v>288.29000000000002</v>
      </c>
      <c r="N709" s="36">
        <v>288.29000000000002</v>
      </c>
    </row>
    <row r="710" ht="25.5">
      <c r="A710" s="19" t="s">
        <v>10460</v>
      </c>
      <c r="B710" s="19">
        <v>44390</v>
      </c>
      <c r="C710" s="20" t="s">
        <v>11166</v>
      </c>
      <c r="D710" s="19" t="s">
        <v>38</v>
      </c>
      <c r="E710" s="19" t="s">
        <v>10459</v>
      </c>
      <c r="F710" s="21">
        <f t="shared" si="502"/>
        <v>61.079999999999998</v>
      </c>
      <c r="G710" s="21">
        <f t="shared" si="502"/>
        <v>61.079999999999998</v>
      </c>
      <c r="H710" s="21">
        <f t="shared" si="502"/>
        <v>61.079999999999998</v>
      </c>
      <c r="I710" s="24" t="str">
        <f t="shared" si="503"/>
        <v xml:space="preserve">COM VALOR</v>
      </c>
      <c r="L710" s="36">
        <v>61.079999999999998</v>
      </c>
      <c r="M710" s="37">
        <v>61.079999999999998</v>
      </c>
      <c r="N710" s="36">
        <v>61.079999999999998</v>
      </c>
    </row>
    <row r="711" ht="25.5">
      <c r="A711" s="19" t="s">
        <v>10460</v>
      </c>
      <c r="B711" s="19">
        <v>44389</v>
      </c>
      <c r="C711" s="20" t="s">
        <v>11167</v>
      </c>
      <c r="D711" s="19" t="s">
        <v>38</v>
      </c>
      <c r="E711" s="19" t="s">
        <v>10459</v>
      </c>
      <c r="F711" s="21">
        <f t="shared" si="502"/>
        <v>7.21</v>
      </c>
      <c r="G711" s="21">
        <f t="shared" si="502"/>
        <v>7.21</v>
      </c>
      <c r="H711" s="21">
        <f t="shared" si="502"/>
        <v>7.21</v>
      </c>
      <c r="I711" s="24" t="str">
        <f t="shared" si="503"/>
        <v xml:space="preserve">COM VALOR</v>
      </c>
      <c r="L711" s="36">
        <v>7.21</v>
      </c>
      <c r="M711" s="37">
        <v>7.21</v>
      </c>
      <c r="N711" s="36">
        <v>7.21</v>
      </c>
    </row>
    <row r="712" ht="12.75">
      <c r="A712" s="19" t="s">
        <v>10460</v>
      </c>
      <c r="B712" s="19">
        <v>862</v>
      </c>
      <c r="C712" s="20" t="s">
        <v>11168</v>
      </c>
      <c r="D712" s="19" t="s">
        <v>38</v>
      </c>
      <c r="E712" s="19" t="s">
        <v>10459</v>
      </c>
      <c r="F712" s="21">
        <f t="shared" si="502"/>
        <v>13.210000000000001</v>
      </c>
      <c r="G712" s="21">
        <f t="shared" si="502"/>
        <v>13.210000000000001</v>
      </c>
      <c r="H712" s="21">
        <f t="shared" si="502"/>
        <v>13.210000000000001</v>
      </c>
      <c r="I712" s="24" t="str">
        <f t="shared" si="503"/>
        <v xml:space="preserve">COM VALOR</v>
      </c>
      <c r="L712" s="36">
        <v>13.210000000000001</v>
      </c>
      <c r="M712" s="37">
        <v>13.210000000000001</v>
      </c>
      <c r="N712" s="36">
        <v>13.210000000000001</v>
      </c>
    </row>
    <row r="713" ht="12.75">
      <c r="A713" s="19" t="s">
        <v>10460</v>
      </c>
      <c r="B713" s="19">
        <v>866</v>
      </c>
      <c r="C713" s="20" t="s">
        <v>11169</v>
      </c>
      <c r="D713" s="19" t="s">
        <v>38</v>
      </c>
      <c r="E713" s="19" t="s">
        <v>10459</v>
      </c>
      <c r="F713" s="21">
        <f t="shared" si="502"/>
        <v>167.87</v>
      </c>
      <c r="G713" s="21">
        <f t="shared" si="502"/>
        <v>167.87</v>
      </c>
      <c r="H713" s="21">
        <f t="shared" si="502"/>
        <v>167.87</v>
      </c>
      <c r="I713" s="24" t="str">
        <f t="shared" si="503"/>
        <v xml:space="preserve">COM VALOR</v>
      </c>
      <c r="L713" s="36">
        <v>167.87</v>
      </c>
      <c r="M713" s="37">
        <v>167.87</v>
      </c>
      <c r="N713" s="36">
        <v>167.87</v>
      </c>
    </row>
    <row r="714" ht="12.75">
      <c r="A714" s="19" t="s">
        <v>10460</v>
      </c>
      <c r="B714" s="19">
        <v>892</v>
      </c>
      <c r="C714" s="20" t="s">
        <v>11170</v>
      </c>
      <c r="D714" s="19" t="s">
        <v>38</v>
      </c>
      <c r="E714" s="19" t="s">
        <v>10459</v>
      </c>
      <c r="F714" s="21">
        <f t="shared" si="502"/>
        <v>203.21000000000001</v>
      </c>
      <c r="G714" s="21">
        <f t="shared" si="502"/>
        <v>203.21000000000001</v>
      </c>
      <c r="H714" s="21">
        <f t="shared" si="502"/>
        <v>203.21000000000001</v>
      </c>
      <c r="I714" s="24" t="str">
        <f t="shared" si="503"/>
        <v xml:space="preserve">COM VALOR</v>
      </c>
      <c r="L714" s="36">
        <v>203.21000000000001</v>
      </c>
      <c r="M714" s="37">
        <v>203.21000000000001</v>
      </c>
      <c r="N714" s="36">
        <v>203.21000000000001</v>
      </c>
    </row>
    <row r="715" ht="12.75">
      <c r="A715" s="19" t="s">
        <v>10460</v>
      </c>
      <c r="B715" s="19">
        <v>857</v>
      </c>
      <c r="C715" s="20" t="s">
        <v>11171</v>
      </c>
      <c r="D715" s="19" t="s">
        <v>38</v>
      </c>
      <c r="E715" s="19" t="s">
        <v>10459</v>
      </c>
      <c r="F715" s="21">
        <f t="shared" ref="F715:H778" si="504">IF(L715=0,"VERIFICAR",L715)</f>
        <v>22.100000000000001</v>
      </c>
      <c r="G715" s="21">
        <f t="shared" si="504"/>
        <v>22.100000000000001</v>
      </c>
      <c r="H715" s="21">
        <f t="shared" si="504"/>
        <v>22.100000000000001</v>
      </c>
      <c r="I715" s="24" t="str">
        <f t="shared" ref="I715:I778" si="505">IF(OR(L715=0,M715=0,N715=0),"SEM VALOR","COM VALOR")</f>
        <v xml:space="preserve">COM VALOR</v>
      </c>
      <c r="L715" s="36">
        <v>22.100000000000001</v>
      </c>
      <c r="M715" s="37">
        <v>22.100000000000001</v>
      </c>
      <c r="N715" s="36">
        <v>22.100000000000001</v>
      </c>
    </row>
    <row r="716" ht="12.75">
      <c r="A716" s="19" t="s">
        <v>10460</v>
      </c>
      <c r="B716" s="19">
        <v>37404</v>
      </c>
      <c r="C716" s="20" t="s">
        <v>11172</v>
      </c>
      <c r="D716" s="19" t="s">
        <v>38</v>
      </c>
      <c r="E716" s="19" t="s">
        <v>10459</v>
      </c>
      <c r="F716" s="21">
        <f t="shared" si="504"/>
        <v>235.11000000000001</v>
      </c>
      <c r="G716" s="21">
        <f t="shared" si="504"/>
        <v>235.11000000000001</v>
      </c>
      <c r="H716" s="21">
        <f t="shared" si="504"/>
        <v>235.11000000000001</v>
      </c>
      <c r="I716" s="24" t="str">
        <f t="shared" si="505"/>
        <v xml:space="preserve">COM VALOR</v>
      </c>
      <c r="L716" s="36">
        <v>235.11000000000001</v>
      </c>
      <c r="M716" s="37">
        <v>235.11000000000001</v>
      </c>
      <c r="N716" s="36">
        <v>235.11000000000001</v>
      </c>
    </row>
    <row r="717" ht="12.75">
      <c r="A717" s="19" t="s">
        <v>10460</v>
      </c>
      <c r="B717" s="19">
        <v>868</v>
      </c>
      <c r="C717" s="20" t="s">
        <v>11173</v>
      </c>
      <c r="D717" s="19" t="s">
        <v>38</v>
      </c>
      <c r="E717" s="19" t="s">
        <v>10459</v>
      </c>
      <c r="F717" s="21">
        <f t="shared" si="504"/>
        <v>31.5</v>
      </c>
      <c r="G717" s="21">
        <f t="shared" si="504"/>
        <v>31.5</v>
      </c>
      <c r="H717" s="21">
        <f t="shared" si="504"/>
        <v>31.5</v>
      </c>
      <c r="I717" s="24" t="str">
        <f t="shared" si="505"/>
        <v xml:space="preserve">COM VALOR</v>
      </c>
      <c r="L717" s="36">
        <v>31.5</v>
      </c>
      <c r="M717" s="37">
        <v>31.5</v>
      </c>
      <c r="N717" s="36">
        <v>31.5</v>
      </c>
    </row>
    <row r="718" ht="12.75">
      <c r="A718" s="19" t="s">
        <v>10460</v>
      </c>
      <c r="B718" s="19">
        <v>863</v>
      </c>
      <c r="C718" s="20" t="s">
        <v>11174</v>
      </c>
      <c r="D718" s="19" t="s">
        <v>38</v>
      </c>
      <c r="E718" s="19" t="s">
        <v>10459</v>
      </c>
      <c r="F718" s="21">
        <f t="shared" si="504"/>
        <v>46.390000000000001</v>
      </c>
      <c r="G718" s="21">
        <f t="shared" si="504"/>
        <v>46.390000000000001</v>
      </c>
      <c r="H718" s="21">
        <f t="shared" si="504"/>
        <v>46.390000000000001</v>
      </c>
      <c r="I718" s="24" t="str">
        <f t="shared" si="505"/>
        <v xml:space="preserve">COM VALOR</v>
      </c>
      <c r="L718" s="36">
        <v>46.390000000000001</v>
      </c>
      <c r="M718" s="37">
        <v>46.390000000000001</v>
      </c>
      <c r="N718" s="36">
        <v>46.390000000000001</v>
      </c>
    </row>
    <row r="719" ht="12.75">
      <c r="A719" s="19" t="s">
        <v>10460</v>
      </c>
      <c r="B719" s="19">
        <v>867</v>
      </c>
      <c r="C719" s="20" t="s">
        <v>11175</v>
      </c>
      <c r="D719" s="19" t="s">
        <v>38</v>
      </c>
      <c r="E719" s="19" t="s">
        <v>10459</v>
      </c>
      <c r="F719" s="21">
        <f t="shared" si="504"/>
        <v>66.079999999999998</v>
      </c>
      <c r="G719" s="21">
        <f t="shared" si="504"/>
        <v>66.079999999999998</v>
      </c>
      <c r="H719" s="21">
        <f t="shared" si="504"/>
        <v>66.079999999999998</v>
      </c>
      <c r="I719" s="24" t="str">
        <f t="shared" si="505"/>
        <v xml:space="preserve">COM VALOR</v>
      </c>
      <c r="L719" s="36">
        <v>66.079999999999998</v>
      </c>
      <c r="M719" s="37">
        <v>66.079999999999998</v>
      </c>
      <c r="N719" s="36">
        <v>66.079999999999998</v>
      </c>
    </row>
    <row r="720" ht="12.75">
      <c r="A720" s="19" t="s">
        <v>10460</v>
      </c>
      <c r="B720" s="19">
        <v>864</v>
      </c>
      <c r="C720" s="20" t="s">
        <v>11176</v>
      </c>
      <c r="D720" s="19" t="s">
        <v>38</v>
      </c>
      <c r="E720" s="19" t="s">
        <v>10459</v>
      </c>
      <c r="F720" s="21">
        <f t="shared" si="504"/>
        <v>87.290000000000006</v>
      </c>
      <c r="G720" s="21">
        <f t="shared" si="504"/>
        <v>87.290000000000006</v>
      </c>
      <c r="H720" s="21">
        <f t="shared" si="504"/>
        <v>87.290000000000006</v>
      </c>
      <c r="I720" s="24" t="str">
        <f t="shared" si="505"/>
        <v xml:space="preserve">COM VALOR</v>
      </c>
      <c r="L720" s="36">
        <v>87.290000000000006</v>
      </c>
      <c r="M720" s="37">
        <v>87.290000000000006</v>
      </c>
      <c r="N720" s="36">
        <v>87.290000000000006</v>
      </c>
    </row>
    <row r="721" ht="12.75">
      <c r="A721" s="19" t="s">
        <v>10460</v>
      </c>
      <c r="B721" s="19">
        <v>865</v>
      </c>
      <c r="C721" s="20" t="s">
        <v>11177</v>
      </c>
      <c r="D721" s="19" t="s">
        <v>38</v>
      </c>
      <c r="E721" s="19" t="s">
        <v>10459</v>
      </c>
      <c r="F721" s="21">
        <f t="shared" si="504"/>
        <v>125.55</v>
      </c>
      <c r="G721" s="21">
        <f t="shared" si="504"/>
        <v>125.55</v>
      </c>
      <c r="H721" s="21">
        <f t="shared" si="504"/>
        <v>125.55</v>
      </c>
      <c r="I721" s="24" t="str">
        <f t="shared" si="505"/>
        <v xml:space="preserve">COM VALOR</v>
      </c>
      <c r="L721" s="36">
        <v>125.55</v>
      </c>
      <c r="M721" s="37">
        <v>125.55</v>
      </c>
      <c r="N721" s="36">
        <v>125.55</v>
      </c>
    </row>
    <row r="722" ht="38.25">
      <c r="A722" s="19" t="s">
        <v>10460</v>
      </c>
      <c r="B722" s="19">
        <v>39251</v>
      </c>
      <c r="C722" s="20" t="s">
        <v>11178</v>
      </c>
      <c r="D722" s="19" t="s">
        <v>38</v>
      </c>
      <c r="E722" s="19" t="s">
        <v>10459</v>
      </c>
      <c r="F722" s="21">
        <f t="shared" si="504"/>
        <v>0.81999999999999995</v>
      </c>
      <c r="G722" s="21">
        <f t="shared" si="504"/>
        <v>0.81999999999999995</v>
      </c>
      <c r="H722" s="21">
        <f t="shared" si="504"/>
        <v>0.81999999999999995</v>
      </c>
      <c r="I722" s="24" t="str">
        <f t="shared" si="505"/>
        <v xml:space="preserve">COM VALOR</v>
      </c>
      <c r="L722" s="36">
        <v>0.81999999999999995</v>
      </c>
      <c r="M722" s="37">
        <v>0.81999999999999995</v>
      </c>
      <c r="N722" s="36">
        <v>0.81999999999999995</v>
      </c>
    </row>
    <row r="723" ht="38.25">
      <c r="A723" s="19" t="s">
        <v>10460</v>
      </c>
      <c r="B723" s="19">
        <v>1011</v>
      </c>
      <c r="C723" s="20" t="s">
        <v>11179</v>
      </c>
      <c r="D723" s="19" t="s">
        <v>38</v>
      </c>
      <c r="E723" s="19" t="s">
        <v>10459</v>
      </c>
      <c r="F723" s="21">
        <f t="shared" si="504"/>
        <v>1.1200000000000001</v>
      </c>
      <c r="G723" s="21">
        <f t="shared" si="504"/>
        <v>1.1200000000000001</v>
      </c>
      <c r="H723" s="21">
        <f t="shared" si="504"/>
        <v>1.1200000000000001</v>
      </c>
      <c r="I723" s="24" t="str">
        <f t="shared" si="505"/>
        <v xml:space="preserve">COM VALOR</v>
      </c>
      <c r="L723" s="36">
        <v>1.1200000000000001</v>
      </c>
      <c r="M723" s="37">
        <v>1.1200000000000001</v>
      </c>
      <c r="N723" s="36">
        <v>1.1200000000000001</v>
      </c>
    </row>
    <row r="724" ht="38.25">
      <c r="A724" s="19" t="s">
        <v>10460</v>
      </c>
      <c r="B724" s="19">
        <v>39252</v>
      </c>
      <c r="C724" s="20" t="s">
        <v>11180</v>
      </c>
      <c r="D724" s="19" t="s">
        <v>38</v>
      </c>
      <c r="E724" s="19" t="s">
        <v>10459</v>
      </c>
      <c r="F724" s="21">
        <f t="shared" si="504"/>
        <v>1.47</v>
      </c>
      <c r="G724" s="21">
        <f t="shared" si="504"/>
        <v>1.47</v>
      </c>
      <c r="H724" s="21">
        <f t="shared" si="504"/>
        <v>1.47</v>
      </c>
      <c r="I724" s="24" t="str">
        <f t="shared" si="505"/>
        <v xml:space="preserve">COM VALOR</v>
      </c>
      <c r="L724" s="36">
        <v>1.47</v>
      </c>
      <c r="M724" s="37">
        <v>1.47</v>
      </c>
      <c r="N724" s="36">
        <v>1.47</v>
      </c>
    </row>
    <row r="725" ht="38.25">
      <c r="A725" s="19" t="s">
        <v>10460</v>
      </c>
      <c r="B725" s="19">
        <v>1013</v>
      </c>
      <c r="C725" s="20" t="s">
        <v>11181</v>
      </c>
      <c r="D725" s="19" t="s">
        <v>38</v>
      </c>
      <c r="E725" s="19" t="s">
        <v>10459</v>
      </c>
      <c r="F725" s="21">
        <f t="shared" si="504"/>
        <v>1.77</v>
      </c>
      <c r="G725" s="21">
        <f t="shared" si="504"/>
        <v>1.77</v>
      </c>
      <c r="H725" s="21">
        <f t="shared" si="504"/>
        <v>1.77</v>
      </c>
      <c r="I725" s="24" t="str">
        <f t="shared" si="505"/>
        <v xml:space="preserve">COM VALOR</v>
      </c>
      <c r="L725" s="36">
        <v>1.77</v>
      </c>
      <c r="M725" s="37">
        <v>1.77</v>
      </c>
      <c r="N725" s="36">
        <v>1.77</v>
      </c>
    </row>
    <row r="726" ht="38.25">
      <c r="A726" s="19" t="s">
        <v>10460</v>
      </c>
      <c r="B726" s="19">
        <v>980</v>
      </c>
      <c r="C726" s="20" t="s">
        <v>11182</v>
      </c>
      <c r="D726" s="19" t="s">
        <v>38</v>
      </c>
      <c r="E726" s="19" t="s">
        <v>10459</v>
      </c>
      <c r="F726" s="21">
        <f t="shared" si="504"/>
        <v>12.77</v>
      </c>
      <c r="G726" s="21">
        <f t="shared" si="504"/>
        <v>12.77</v>
      </c>
      <c r="H726" s="21">
        <f t="shared" si="504"/>
        <v>12.77</v>
      </c>
      <c r="I726" s="24" t="str">
        <f t="shared" si="505"/>
        <v xml:space="preserve">COM VALOR</v>
      </c>
      <c r="L726" s="36">
        <v>12.77</v>
      </c>
      <c r="M726" s="37">
        <v>12.77</v>
      </c>
      <c r="N726" s="36">
        <v>12.77</v>
      </c>
    </row>
    <row r="727" ht="38.25">
      <c r="A727" s="19" t="s">
        <v>10460</v>
      </c>
      <c r="B727" s="19">
        <v>39237</v>
      </c>
      <c r="C727" s="20" t="s">
        <v>11183</v>
      </c>
      <c r="D727" s="19" t="s">
        <v>38</v>
      </c>
      <c r="E727" s="19" t="s">
        <v>10459</v>
      </c>
      <c r="F727" s="21">
        <f t="shared" si="504"/>
        <v>135.90000000000001</v>
      </c>
      <c r="G727" s="21">
        <f t="shared" si="504"/>
        <v>135.90000000000001</v>
      </c>
      <c r="H727" s="21">
        <f t="shared" si="504"/>
        <v>135.90000000000001</v>
      </c>
      <c r="I727" s="24" t="str">
        <f t="shared" si="505"/>
        <v xml:space="preserve">COM VALOR</v>
      </c>
      <c r="L727" s="36">
        <v>135.90000000000001</v>
      </c>
      <c r="M727" s="37">
        <v>135.90000000000001</v>
      </c>
      <c r="N727" s="36">
        <v>135.90000000000001</v>
      </c>
    </row>
    <row r="728" ht="38.25">
      <c r="A728" s="19" t="s">
        <v>10460</v>
      </c>
      <c r="B728" s="19">
        <v>39238</v>
      </c>
      <c r="C728" s="20" t="s">
        <v>11184</v>
      </c>
      <c r="D728" s="19" t="s">
        <v>38</v>
      </c>
      <c r="E728" s="19" t="s">
        <v>10459</v>
      </c>
      <c r="F728" s="21">
        <f t="shared" si="504"/>
        <v>171.40000000000001</v>
      </c>
      <c r="G728" s="21">
        <f t="shared" si="504"/>
        <v>171.40000000000001</v>
      </c>
      <c r="H728" s="21">
        <f t="shared" si="504"/>
        <v>171.40000000000001</v>
      </c>
      <c r="I728" s="24" t="str">
        <f t="shared" si="505"/>
        <v xml:space="preserve">COM VALOR</v>
      </c>
      <c r="L728" s="36">
        <v>171.40000000000001</v>
      </c>
      <c r="M728" s="37">
        <v>171.40000000000001</v>
      </c>
      <c r="N728" s="36">
        <v>171.40000000000001</v>
      </c>
    </row>
    <row r="729" ht="38.25">
      <c r="A729" s="19" t="s">
        <v>10460</v>
      </c>
      <c r="B729" s="19">
        <v>979</v>
      </c>
      <c r="C729" s="20" t="s">
        <v>11185</v>
      </c>
      <c r="D729" s="19" t="s">
        <v>38</v>
      </c>
      <c r="E729" s="19" t="s">
        <v>10459</v>
      </c>
      <c r="F729" s="21">
        <f t="shared" si="504"/>
        <v>18.25</v>
      </c>
      <c r="G729" s="21">
        <f t="shared" si="504"/>
        <v>18.25</v>
      </c>
      <c r="H729" s="21">
        <f t="shared" si="504"/>
        <v>18.25</v>
      </c>
      <c r="I729" s="24" t="str">
        <f t="shared" si="505"/>
        <v xml:space="preserve">COM VALOR</v>
      </c>
      <c r="L729" s="36">
        <v>18.25</v>
      </c>
      <c r="M729" s="37">
        <v>18.25</v>
      </c>
      <c r="N729" s="36">
        <v>18.25</v>
      </c>
    </row>
    <row r="730" ht="38.25">
      <c r="A730" s="19" t="s">
        <v>10460</v>
      </c>
      <c r="B730" s="19">
        <v>39239</v>
      </c>
      <c r="C730" s="20" t="s">
        <v>11186</v>
      </c>
      <c r="D730" s="19" t="s">
        <v>38</v>
      </c>
      <c r="E730" s="19" t="s">
        <v>10459</v>
      </c>
      <c r="F730" s="21">
        <f t="shared" si="504"/>
        <v>207.06999999999999</v>
      </c>
      <c r="G730" s="21">
        <f t="shared" si="504"/>
        <v>207.06999999999999</v>
      </c>
      <c r="H730" s="21">
        <f t="shared" si="504"/>
        <v>207.06999999999999</v>
      </c>
      <c r="I730" s="24" t="str">
        <f t="shared" si="505"/>
        <v xml:space="preserve">COM VALOR</v>
      </c>
      <c r="L730" s="36">
        <v>207.06999999999999</v>
      </c>
      <c r="M730" s="37">
        <v>207.06999999999999</v>
      </c>
      <c r="N730" s="36">
        <v>207.06999999999999</v>
      </c>
    </row>
    <row r="731" ht="38.25">
      <c r="A731" s="19" t="s">
        <v>10460</v>
      </c>
      <c r="B731" s="19">
        <v>1014</v>
      </c>
      <c r="C731" s="20" t="s">
        <v>11187</v>
      </c>
      <c r="D731" s="19" t="s">
        <v>38</v>
      </c>
      <c r="E731" s="19" t="s">
        <v>10459</v>
      </c>
      <c r="F731" s="21">
        <f t="shared" si="504"/>
        <v>2.7999999999999998</v>
      </c>
      <c r="G731" s="21">
        <f t="shared" si="504"/>
        <v>2.7999999999999998</v>
      </c>
      <c r="H731" s="21">
        <f t="shared" si="504"/>
        <v>2.7999999999999998</v>
      </c>
      <c r="I731" s="24" t="str">
        <f t="shared" si="505"/>
        <v xml:space="preserve">COM VALOR</v>
      </c>
      <c r="L731" s="36">
        <v>2.7999999999999998</v>
      </c>
      <c r="M731" s="37">
        <v>2.7999999999999998</v>
      </c>
      <c r="N731" s="36">
        <v>2.7999999999999998</v>
      </c>
    </row>
    <row r="732" ht="38.25">
      <c r="A732" s="19" t="s">
        <v>10460</v>
      </c>
      <c r="B732" s="19">
        <v>39240</v>
      </c>
      <c r="C732" s="20" t="s">
        <v>11188</v>
      </c>
      <c r="D732" s="19" t="s">
        <v>38</v>
      </c>
      <c r="E732" s="19" t="s">
        <v>10459</v>
      </c>
      <c r="F732" s="21">
        <f t="shared" si="504"/>
        <v>272.35000000000002</v>
      </c>
      <c r="G732" s="21">
        <f t="shared" si="504"/>
        <v>272.35000000000002</v>
      </c>
      <c r="H732" s="21">
        <f t="shared" si="504"/>
        <v>272.35000000000002</v>
      </c>
      <c r="I732" s="24" t="str">
        <f t="shared" si="505"/>
        <v xml:space="preserve">COM VALOR</v>
      </c>
      <c r="L732" s="36">
        <v>272.35000000000002</v>
      </c>
      <c r="M732" s="37">
        <v>272.35000000000002</v>
      </c>
      <c r="N732" s="36">
        <v>272.35000000000002</v>
      </c>
    </row>
    <row r="733" ht="38.25">
      <c r="A733" s="19" t="s">
        <v>10460</v>
      </c>
      <c r="B733" s="19">
        <v>39232</v>
      </c>
      <c r="C733" s="20" t="s">
        <v>11189</v>
      </c>
      <c r="D733" s="19" t="s">
        <v>38</v>
      </c>
      <c r="E733" s="19" t="s">
        <v>10459</v>
      </c>
      <c r="F733" s="21">
        <f t="shared" si="504"/>
        <v>28.579999999999998</v>
      </c>
      <c r="G733" s="21">
        <f t="shared" si="504"/>
        <v>28.579999999999998</v>
      </c>
      <c r="H733" s="21">
        <f t="shared" si="504"/>
        <v>28.579999999999998</v>
      </c>
      <c r="I733" s="24" t="str">
        <f t="shared" si="505"/>
        <v xml:space="preserve">COM VALOR</v>
      </c>
      <c r="L733" s="36">
        <v>28.579999999999998</v>
      </c>
      <c r="M733" s="37">
        <v>28.579999999999998</v>
      </c>
      <c r="N733" s="36">
        <v>28.579999999999998</v>
      </c>
    </row>
    <row r="734" ht="38.25">
      <c r="A734" s="19" t="s">
        <v>10460</v>
      </c>
      <c r="B734" s="19">
        <v>39233</v>
      </c>
      <c r="C734" s="20" t="s">
        <v>11190</v>
      </c>
      <c r="D734" s="19" t="s">
        <v>38</v>
      </c>
      <c r="E734" s="19" t="s">
        <v>10459</v>
      </c>
      <c r="F734" s="21">
        <f t="shared" si="504"/>
        <v>41.659999999999997</v>
      </c>
      <c r="G734" s="21">
        <f t="shared" si="504"/>
        <v>41.659999999999997</v>
      </c>
      <c r="H734" s="21">
        <f t="shared" si="504"/>
        <v>41.659999999999997</v>
      </c>
      <c r="I734" s="24" t="str">
        <f t="shared" si="505"/>
        <v xml:space="preserve">COM VALOR</v>
      </c>
      <c r="L734" s="36">
        <v>41.659999999999997</v>
      </c>
      <c r="M734" s="37">
        <v>41.659999999999997</v>
      </c>
      <c r="N734" s="36">
        <v>41.659999999999997</v>
      </c>
    </row>
    <row r="735" ht="38.25">
      <c r="A735" s="19" t="s">
        <v>10460</v>
      </c>
      <c r="B735" s="19">
        <v>981</v>
      </c>
      <c r="C735" s="20" t="s">
        <v>11191</v>
      </c>
      <c r="D735" s="19" t="s">
        <v>38</v>
      </c>
      <c r="E735" s="19" t="s">
        <v>10466</v>
      </c>
      <c r="F735" s="21">
        <f t="shared" si="504"/>
        <v>4.6500000000000004</v>
      </c>
      <c r="G735" s="21">
        <f t="shared" si="504"/>
        <v>4.6500000000000004</v>
      </c>
      <c r="H735" s="21">
        <f t="shared" si="504"/>
        <v>4.6500000000000004</v>
      </c>
      <c r="I735" s="24" t="str">
        <f t="shared" si="505"/>
        <v xml:space="preserve">COM VALOR</v>
      </c>
      <c r="L735" s="36">
        <v>4.6500000000000004</v>
      </c>
      <c r="M735" s="37">
        <v>4.6500000000000004</v>
      </c>
      <c r="N735" s="36">
        <v>4.6500000000000004</v>
      </c>
    </row>
    <row r="736" ht="38.25">
      <c r="A736" s="19" t="s">
        <v>10460</v>
      </c>
      <c r="B736" s="19">
        <v>39234</v>
      </c>
      <c r="C736" s="20" t="s">
        <v>11192</v>
      </c>
      <c r="D736" s="19" t="s">
        <v>38</v>
      </c>
      <c r="E736" s="19" t="s">
        <v>10459</v>
      </c>
      <c r="F736" s="21">
        <f t="shared" si="504"/>
        <v>57.990000000000002</v>
      </c>
      <c r="G736" s="21">
        <f t="shared" si="504"/>
        <v>57.990000000000002</v>
      </c>
      <c r="H736" s="21">
        <f t="shared" si="504"/>
        <v>57.990000000000002</v>
      </c>
      <c r="I736" s="24" t="str">
        <f t="shared" si="505"/>
        <v xml:space="preserve">COM VALOR</v>
      </c>
      <c r="L736" s="36">
        <v>57.990000000000002</v>
      </c>
      <c r="M736" s="37">
        <v>57.990000000000002</v>
      </c>
      <c r="N736" s="36">
        <v>57.990000000000002</v>
      </c>
    </row>
    <row r="737" ht="38.25">
      <c r="A737" s="19" t="s">
        <v>10460</v>
      </c>
      <c r="B737" s="19">
        <v>982</v>
      </c>
      <c r="C737" s="20" t="s">
        <v>11193</v>
      </c>
      <c r="D737" s="19" t="s">
        <v>38</v>
      </c>
      <c r="E737" s="19" t="s">
        <v>10459</v>
      </c>
      <c r="F737" s="21">
        <f t="shared" si="504"/>
        <v>6.6799999999999997</v>
      </c>
      <c r="G737" s="21">
        <f t="shared" si="504"/>
        <v>6.6799999999999997</v>
      </c>
      <c r="H737" s="21">
        <f t="shared" si="504"/>
        <v>6.6799999999999997</v>
      </c>
      <c r="I737" s="24" t="str">
        <f t="shared" si="505"/>
        <v xml:space="preserve">COM VALOR</v>
      </c>
      <c r="L737" s="36">
        <v>6.6799999999999997</v>
      </c>
      <c r="M737" s="37">
        <v>6.6799999999999997</v>
      </c>
      <c r="N737" s="36">
        <v>6.6799999999999997</v>
      </c>
    </row>
    <row r="738" ht="38.25">
      <c r="A738" s="19" t="s">
        <v>10460</v>
      </c>
      <c r="B738" s="19">
        <v>39235</v>
      </c>
      <c r="C738" s="20" t="s">
        <v>11194</v>
      </c>
      <c r="D738" s="19" t="s">
        <v>38</v>
      </c>
      <c r="E738" s="19" t="s">
        <v>10459</v>
      </c>
      <c r="F738" s="21">
        <f t="shared" si="504"/>
        <v>85.530000000000001</v>
      </c>
      <c r="G738" s="21">
        <f t="shared" si="504"/>
        <v>85.530000000000001</v>
      </c>
      <c r="H738" s="21">
        <f t="shared" si="504"/>
        <v>85.530000000000001</v>
      </c>
      <c r="I738" s="24" t="str">
        <f t="shared" si="505"/>
        <v xml:space="preserve">COM VALOR</v>
      </c>
      <c r="L738" s="36">
        <v>85.530000000000001</v>
      </c>
      <c r="M738" s="37">
        <v>85.530000000000001</v>
      </c>
      <c r="N738" s="36">
        <v>85.530000000000001</v>
      </c>
    </row>
    <row r="739" ht="38.25">
      <c r="A739" s="19" t="s">
        <v>10460</v>
      </c>
      <c r="B739" s="19">
        <v>39236</v>
      </c>
      <c r="C739" s="20" t="s">
        <v>11195</v>
      </c>
      <c r="D739" s="19" t="s">
        <v>38</v>
      </c>
      <c r="E739" s="19" t="s">
        <v>10459</v>
      </c>
      <c r="F739" s="21">
        <f t="shared" si="504"/>
        <v>113.34999999999999</v>
      </c>
      <c r="G739" s="21">
        <f t="shared" si="504"/>
        <v>113.34999999999999</v>
      </c>
      <c r="H739" s="21">
        <f t="shared" si="504"/>
        <v>113.34999999999999</v>
      </c>
      <c r="I739" s="24" t="str">
        <f t="shared" si="505"/>
        <v xml:space="preserve">COM VALOR</v>
      </c>
      <c r="L739" s="36">
        <v>113.34999999999999</v>
      </c>
      <c r="M739" s="37">
        <v>113.34999999999999</v>
      </c>
      <c r="N739" s="36">
        <v>113.34999999999999</v>
      </c>
    </row>
    <row r="740" ht="38.25">
      <c r="A740" s="19" t="s">
        <v>10460</v>
      </c>
      <c r="B740" s="19">
        <v>993</v>
      </c>
      <c r="C740" s="20" t="s">
        <v>11196</v>
      </c>
      <c r="D740" s="19" t="s">
        <v>38</v>
      </c>
      <c r="E740" s="19" t="s">
        <v>10459</v>
      </c>
      <c r="F740" s="21">
        <f t="shared" si="504"/>
        <v>2.3900000000000001</v>
      </c>
      <c r="G740" s="21">
        <f t="shared" si="504"/>
        <v>2.3900000000000001</v>
      </c>
      <c r="H740" s="21">
        <f t="shared" si="504"/>
        <v>2.3900000000000001</v>
      </c>
      <c r="I740" s="24" t="str">
        <f t="shared" si="505"/>
        <v xml:space="preserve">COM VALOR</v>
      </c>
      <c r="L740" s="36">
        <v>2.3900000000000001</v>
      </c>
      <c r="M740" s="37">
        <v>2.3900000000000001</v>
      </c>
      <c r="N740" s="36">
        <v>2.3900000000000001</v>
      </c>
    </row>
    <row r="741" ht="38.25">
      <c r="A741" s="19" t="s">
        <v>10460</v>
      </c>
      <c r="B741" s="19">
        <v>1020</v>
      </c>
      <c r="C741" s="20" t="s">
        <v>11197</v>
      </c>
      <c r="D741" s="19" t="s">
        <v>38</v>
      </c>
      <c r="E741" s="19" t="s">
        <v>10459</v>
      </c>
      <c r="F741" s="21">
        <f t="shared" si="504"/>
        <v>12.18</v>
      </c>
      <c r="G741" s="21">
        <f t="shared" si="504"/>
        <v>12.18</v>
      </c>
      <c r="H741" s="21">
        <f t="shared" si="504"/>
        <v>12.18</v>
      </c>
      <c r="I741" s="24" t="str">
        <f t="shared" si="505"/>
        <v xml:space="preserve">COM VALOR</v>
      </c>
      <c r="L741" s="36">
        <v>12.18</v>
      </c>
      <c r="M741" s="37">
        <v>12.18</v>
      </c>
      <c r="N741" s="36">
        <v>12.18</v>
      </c>
    </row>
    <row r="742" ht="38.25">
      <c r="A742" s="19" t="s">
        <v>10460</v>
      </c>
      <c r="B742" s="19">
        <v>1017</v>
      </c>
      <c r="C742" s="20" t="s">
        <v>11198</v>
      </c>
      <c r="D742" s="19" t="s">
        <v>38</v>
      </c>
      <c r="E742" s="19" t="s">
        <v>10459</v>
      </c>
      <c r="F742" s="21">
        <f t="shared" si="504"/>
        <v>149.28</v>
      </c>
      <c r="G742" s="21">
        <f t="shared" si="504"/>
        <v>149.28</v>
      </c>
      <c r="H742" s="21">
        <f t="shared" si="504"/>
        <v>149.28</v>
      </c>
      <c r="I742" s="24" t="str">
        <f t="shared" si="505"/>
        <v xml:space="preserve">COM VALOR</v>
      </c>
      <c r="L742" s="36">
        <v>149.28</v>
      </c>
      <c r="M742" s="37">
        <v>149.28</v>
      </c>
      <c r="N742" s="36">
        <v>149.28</v>
      </c>
    </row>
    <row r="743" ht="38.25">
      <c r="A743" s="19" t="s">
        <v>10460</v>
      </c>
      <c r="B743" s="19">
        <v>999</v>
      </c>
      <c r="C743" s="20" t="s">
        <v>11199</v>
      </c>
      <c r="D743" s="19" t="s">
        <v>38</v>
      </c>
      <c r="E743" s="19" t="s">
        <v>10459</v>
      </c>
      <c r="F743" s="21">
        <f t="shared" si="504"/>
        <v>180.86000000000001</v>
      </c>
      <c r="G743" s="21">
        <f t="shared" si="504"/>
        <v>180.86000000000001</v>
      </c>
      <c r="H743" s="21">
        <f t="shared" si="504"/>
        <v>180.86000000000001</v>
      </c>
      <c r="I743" s="24" t="str">
        <f t="shared" si="505"/>
        <v xml:space="preserve">COM VALOR</v>
      </c>
      <c r="L743" s="36">
        <v>180.86000000000001</v>
      </c>
      <c r="M743" s="37">
        <v>180.86000000000001</v>
      </c>
      <c r="N743" s="36">
        <v>180.86000000000001</v>
      </c>
    </row>
    <row r="744" ht="38.25">
      <c r="A744" s="19" t="s">
        <v>10460</v>
      </c>
      <c r="B744" s="19">
        <v>995</v>
      </c>
      <c r="C744" s="20" t="s">
        <v>11200</v>
      </c>
      <c r="D744" s="19" t="s">
        <v>38</v>
      </c>
      <c r="E744" s="19" t="s">
        <v>10459</v>
      </c>
      <c r="F744" s="21">
        <f t="shared" si="504"/>
        <v>19.399999999999999</v>
      </c>
      <c r="G744" s="21">
        <f t="shared" si="504"/>
        <v>19.399999999999999</v>
      </c>
      <c r="H744" s="21">
        <f t="shared" si="504"/>
        <v>19.399999999999999</v>
      </c>
      <c r="I744" s="24" t="str">
        <f t="shared" si="505"/>
        <v xml:space="preserve">COM VALOR</v>
      </c>
      <c r="L744" s="36">
        <v>19.399999999999999</v>
      </c>
      <c r="M744" s="37">
        <v>19.399999999999999</v>
      </c>
      <c r="N744" s="36">
        <v>19.399999999999999</v>
      </c>
    </row>
    <row r="745" ht="38.25">
      <c r="A745" s="19" t="s">
        <v>10460</v>
      </c>
      <c r="B745" s="19">
        <v>1000</v>
      </c>
      <c r="C745" s="20" t="s">
        <v>11201</v>
      </c>
      <c r="D745" s="19" t="s">
        <v>38</v>
      </c>
      <c r="E745" s="19" t="s">
        <v>10459</v>
      </c>
      <c r="F745" s="21">
        <f t="shared" si="504"/>
        <v>222.15000000000001</v>
      </c>
      <c r="G745" s="21">
        <f t="shared" si="504"/>
        <v>222.15000000000001</v>
      </c>
      <c r="H745" s="21">
        <f t="shared" si="504"/>
        <v>222.15000000000001</v>
      </c>
      <c r="I745" s="24" t="str">
        <f t="shared" si="505"/>
        <v xml:space="preserve">COM VALOR</v>
      </c>
      <c r="L745" s="36">
        <v>222.15000000000001</v>
      </c>
      <c r="M745" s="37">
        <v>222.15000000000001</v>
      </c>
      <c r="N745" s="36">
        <v>222.15000000000001</v>
      </c>
    </row>
    <row r="746" ht="38.25">
      <c r="A746" s="19" t="s">
        <v>10460</v>
      </c>
      <c r="B746" s="19">
        <v>1022</v>
      </c>
      <c r="C746" s="20" t="s">
        <v>11202</v>
      </c>
      <c r="D746" s="19" t="s">
        <v>38</v>
      </c>
      <c r="E746" s="19" t="s">
        <v>10459</v>
      </c>
      <c r="F746" s="21">
        <f t="shared" si="504"/>
        <v>3.3300000000000001</v>
      </c>
      <c r="G746" s="21">
        <f t="shared" si="504"/>
        <v>3.3300000000000001</v>
      </c>
      <c r="H746" s="21">
        <f t="shared" si="504"/>
        <v>3.3300000000000001</v>
      </c>
      <c r="I746" s="24" t="str">
        <f t="shared" si="505"/>
        <v xml:space="preserve">COM VALOR</v>
      </c>
      <c r="L746" s="36">
        <v>3.3300000000000001</v>
      </c>
      <c r="M746" s="37">
        <v>3.3300000000000001</v>
      </c>
      <c r="N746" s="36">
        <v>3.3300000000000001</v>
      </c>
    </row>
    <row r="747" ht="38.25">
      <c r="A747" s="19" t="s">
        <v>10460</v>
      </c>
      <c r="B747" s="19">
        <v>1015</v>
      </c>
      <c r="C747" s="20" t="s">
        <v>11203</v>
      </c>
      <c r="D747" s="19" t="s">
        <v>38</v>
      </c>
      <c r="E747" s="19" t="s">
        <v>10459</v>
      </c>
      <c r="F747" s="21">
        <f t="shared" si="504"/>
        <v>295.19999999999999</v>
      </c>
      <c r="G747" s="21">
        <f t="shared" si="504"/>
        <v>295.19999999999999</v>
      </c>
      <c r="H747" s="21">
        <f t="shared" si="504"/>
        <v>295.19999999999999</v>
      </c>
      <c r="I747" s="24" t="str">
        <f t="shared" si="505"/>
        <v xml:space="preserve">COM VALOR</v>
      </c>
      <c r="L747" s="36">
        <v>295.19999999999999</v>
      </c>
      <c r="M747" s="37">
        <v>295.19999999999999</v>
      </c>
      <c r="N747" s="36">
        <v>295.19999999999999</v>
      </c>
    </row>
    <row r="748" ht="38.25">
      <c r="A748" s="19" t="s">
        <v>10460</v>
      </c>
      <c r="B748" s="19">
        <v>996</v>
      </c>
      <c r="C748" s="20" t="s">
        <v>11204</v>
      </c>
      <c r="D748" s="19" t="s">
        <v>38</v>
      </c>
      <c r="E748" s="19" t="s">
        <v>10459</v>
      </c>
      <c r="F748" s="21">
        <f t="shared" si="504"/>
        <v>30.079999999999998</v>
      </c>
      <c r="G748" s="21">
        <f t="shared" si="504"/>
        <v>30.079999999999998</v>
      </c>
      <c r="H748" s="21">
        <f t="shared" si="504"/>
        <v>30.079999999999998</v>
      </c>
      <c r="I748" s="24" t="str">
        <f t="shared" si="505"/>
        <v xml:space="preserve">COM VALOR</v>
      </c>
      <c r="L748" s="36">
        <v>30.079999999999998</v>
      </c>
      <c r="M748" s="37">
        <v>30.079999999999998</v>
      </c>
      <c r="N748" s="36">
        <v>30.079999999999998</v>
      </c>
    </row>
    <row r="749" ht="38.25">
      <c r="A749" s="19" t="s">
        <v>10460</v>
      </c>
      <c r="B749" s="19">
        <v>1001</v>
      </c>
      <c r="C749" s="20" t="s">
        <v>11205</v>
      </c>
      <c r="D749" s="19" t="s">
        <v>38</v>
      </c>
      <c r="E749" s="19" t="s">
        <v>10459</v>
      </c>
      <c r="F749" s="21">
        <f t="shared" si="504"/>
        <v>383.01999999999998</v>
      </c>
      <c r="G749" s="21">
        <f t="shared" si="504"/>
        <v>383.01999999999998</v>
      </c>
      <c r="H749" s="21">
        <f t="shared" si="504"/>
        <v>383.01999999999998</v>
      </c>
      <c r="I749" s="24" t="str">
        <f t="shared" si="505"/>
        <v xml:space="preserve">COM VALOR</v>
      </c>
      <c r="L749" s="36">
        <v>383.01999999999998</v>
      </c>
      <c r="M749" s="37">
        <v>383.01999999999998</v>
      </c>
      <c r="N749" s="36">
        <v>383.01999999999998</v>
      </c>
    </row>
    <row r="750" ht="38.25">
      <c r="A750" s="19" t="s">
        <v>10460</v>
      </c>
      <c r="B750" s="19">
        <v>1019</v>
      </c>
      <c r="C750" s="20" t="s">
        <v>11206</v>
      </c>
      <c r="D750" s="19" t="s">
        <v>38</v>
      </c>
      <c r="E750" s="19" t="s">
        <v>10459</v>
      </c>
      <c r="F750" s="21">
        <f t="shared" si="504"/>
        <v>42.5</v>
      </c>
      <c r="G750" s="21">
        <f t="shared" si="504"/>
        <v>42.5</v>
      </c>
      <c r="H750" s="21">
        <f t="shared" si="504"/>
        <v>42.5</v>
      </c>
      <c r="I750" s="24" t="str">
        <f t="shared" si="505"/>
        <v xml:space="preserve">COM VALOR</v>
      </c>
      <c r="L750" s="36">
        <v>42.5</v>
      </c>
      <c r="M750" s="37">
        <v>42.5</v>
      </c>
      <c r="N750" s="36">
        <v>42.5</v>
      </c>
    </row>
    <row r="751" ht="38.25">
      <c r="A751" s="19" t="s">
        <v>10460</v>
      </c>
      <c r="B751" s="19">
        <v>1021</v>
      </c>
      <c r="C751" s="20" t="s">
        <v>11207</v>
      </c>
      <c r="D751" s="19" t="s">
        <v>38</v>
      </c>
      <c r="E751" s="19" t="s">
        <v>10459</v>
      </c>
      <c r="F751" s="21">
        <f t="shared" si="504"/>
        <v>5.1100000000000003</v>
      </c>
      <c r="G751" s="21">
        <f t="shared" si="504"/>
        <v>5.1100000000000003</v>
      </c>
      <c r="H751" s="21">
        <f t="shared" si="504"/>
        <v>5.1100000000000003</v>
      </c>
      <c r="I751" s="24" t="str">
        <f t="shared" si="505"/>
        <v xml:space="preserve">COM VALOR</v>
      </c>
      <c r="L751" s="36">
        <v>5.1100000000000003</v>
      </c>
      <c r="M751" s="37">
        <v>5.1100000000000003</v>
      </c>
      <c r="N751" s="36">
        <v>5.1100000000000003</v>
      </c>
    </row>
    <row r="752" ht="38.25">
      <c r="A752" s="19" t="s">
        <v>10460</v>
      </c>
      <c r="B752" s="19">
        <v>39249</v>
      </c>
      <c r="C752" s="20" t="s">
        <v>11208</v>
      </c>
      <c r="D752" s="19" t="s">
        <v>38</v>
      </c>
      <c r="E752" s="19" t="s">
        <v>10459</v>
      </c>
      <c r="F752" s="21">
        <f t="shared" si="504"/>
        <v>514.99000000000001</v>
      </c>
      <c r="G752" s="21">
        <f t="shared" si="504"/>
        <v>514.99000000000001</v>
      </c>
      <c r="H752" s="21">
        <f t="shared" si="504"/>
        <v>514.99000000000001</v>
      </c>
      <c r="I752" s="24" t="str">
        <f t="shared" si="505"/>
        <v xml:space="preserve">COM VALOR</v>
      </c>
      <c r="L752" s="36">
        <v>514.99000000000001</v>
      </c>
      <c r="M752" s="37">
        <v>514.99000000000001</v>
      </c>
      <c r="N752" s="36">
        <v>514.99000000000001</v>
      </c>
    </row>
    <row r="753" ht="38.25">
      <c r="A753" s="19" t="s">
        <v>10460</v>
      </c>
      <c r="B753" s="19">
        <v>1018</v>
      </c>
      <c r="C753" s="20" t="s">
        <v>11209</v>
      </c>
      <c r="D753" s="19" t="s">
        <v>38</v>
      </c>
      <c r="E753" s="19" t="s">
        <v>10459</v>
      </c>
      <c r="F753" s="21">
        <f t="shared" si="504"/>
        <v>62.850000000000001</v>
      </c>
      <c r="G753" s="21">
        <f t="shared" si="504"/>
        <v>62.850000000000001</v>
      </c>
      <c r="H753" s="21">
        <f t="shared" si="504"/>
        <v>62.850000000000001</v>
      </c>
      <c r="I753" s="24" t="str">
        <f t="shared" si="505"/>
        <v xml:space="preserve">COM VALOR</v>
      </c>
      <c r="L753" s="36">
        <v>62.850000000000001</v>
      </c>
      <c r="M753" s="37">
        <v>62.850000000000001</v>
      </c>
      <c r="N753" s="36">
        <v>62.850000000000001</v>
      </c>
    </row>
    <row r="754" ht="38.25">
      <c r="A754" s="19" t="s">
        <v>10460</v>
      </c>
      <c r="B754" s="19">
        <v>39250</v>
      </c>
      <c r="C754" s="20" t="s">
        <v>11210</v>
      </c>
      <c r="D754" s="19" t="s">
        <v>38</v>
      </c>
      <c r="E754" s="19" t="s">
        <v>10459</v>
      </c>
      <c r="F754" s="21">
        <f t="shared" si="504"/>
        <v>616.04999999999995</v>
      </c>
      <c r="G754" s="21">
        <f t="shared" si="504"/>
        <v>616.04999999999995</v>
      </c>
      <c r="H754" s="21">
        <f t="shared" si="504"/>
        <v>616.04999999999995</v>
      </c>
      <c r="I754" s="24" t="str">
        <f t="shared" si="505"/>
        <v xml:space="preserve">COM VALOR</v>
      </c>
      <c r="L754" s="36">
        <v>616.04999999999995</v>
      </c>
      <c r="M754" s="37">
        <v>616.04999999999995</v>
      </c>
      <c r="N754" s="36">
        <v>616.04999999999995</v>
      </c>
    </row>
    <row r="755" ht="38.25">
      <c r="A755" s="19" t="s">
        <v>10460</v>
      </c>
      <c r="B755" s="19">
        <v>994</v>
      </c>
      <c r="C755" s="20" t="s">
        <v>11211</v>
      </c>
      <c r="D755" s="19" t="s">
        <v>38</v>
      </c>
      <c r="E755" s="19" t="s">
        <v>10459</v>
      </c>
      <c r="F755" s="21">
        <f t="shared" si="504"/>
        <v>7.4299999999999997</v>
      </c>
      <c r="G755" s="21">
        <f t="shared" si="504"/>
        <v>7.4299999999999997</v>
      </c>
      <c r="H755" s="21">
        <f t="shared" si="504"/>
        <v>7.4299999999999997</v>
      </c>
      <c r="I755" s="24" t="str">
        <f t="shared" si="505"/>
        <v xml:space="preserve">COM VALOR</v>
      </c>
      <c r="L755" s="36">
        <v>7.4299999999999997</v>
      </c>
      <c r="M755" s="37">
        <v>7.4299999999999997</v>
      </c>
      <c r="N755" s="36">
        <v>7.4299999999999997</v>
      </c>
    </row>
    <row r="756" ht="38.25">
      <c r="A756" s="19" t="s">
        <v>10460</v>
      </c>
      <c r="B756" s="19">
        <v>977</v>
      </c>
      <c r="C756" s="20" t="s">
        <v>11212</v>
      </c>
      <c r="D756" s="19" t="s">
        <v>38</v>
      </c>
      <c r="E756" s="19" t="s">
        <v>10459</v>
      </c>
      <c r="F756" s="21">
        <f t="shared" si="504"/>
        <v>87.920000000000002</v>
      </c>
      <c r="G756" s="21">
        <f t="shared" si="504"/>
        <v>87.920000000000002</v>
      </c>
      <c r="H756" s="21">
        <f t="shared" si="504"/>
        <v>87.920000000000002</v>
      </c>
      <c r="I756" s="24" t="str">
        <f t="shared" si="505"/>
        <v xml:space="preserve">COM VALOR</v>
      </c>
      <c r="L756" s="36">
        <v>87.920000000000002</v>
      </c>
      <c r="M756" s="37">
        <v>87.920000000000002</v>
      </c>
      <c r="N756" s="36">
        <v>87.920000000000002</v>
      </c>
    </row>
    <row r="757" ht="38.25">
      <c r="A757" s="19" t="s">
        <v>10460</v>
      </c>
      <c r="B757" s="19">
        <v>998</v>
      </c>
      <c r="C757" s="20" t="s">
        <v>11213</v>
      </c>
      <c r="D757" s="19" t="s">
        <v>38</v>
      </c>
      <c r="E757" s="19" t="s">
        <v>10459</v>
      </c>
      <c r="F757" s="21">
        <f t="shared" si="504"/>
        <v>114.15000000000001</v>
      </c>
      <c r="G757" s="21">
        <f t="shared" si="504"/>
        <v>114.15000000000001</v>
      </c>
      <c r="H757" s="21">
        <f t="shared" si="504"/>
        <v>114.15000000000001</v>
      </c>
      <c r="I757" s="24" t="str">
        <f t="shared" si="505"/>
        <v xml:space="preserve">COM VALOR</v>
      </c>
      <c r="L757" s="36">
        <v>114.15000000000001</v>
      </c>
      <c r="M757" s="37">
        <v>114.15000000000001</v>
      </c>
      <c r="N757" s="36">
        <v>114.15000000000001</v>
      </c>
    </row>
    <row r="758" ht="25.5">
      <c r="A758" s="19" t="s">
        <v>10460</v>
      </c>
      <c r="B758" s="19">
        <v>1006</v>
      </c>
      <c r="C758" s="20" t="s">
        <v>11214</v>
      </c>
      <c r="D758" s="19" t="s">
        <v>38</v>
      </c>
      <c r="E758" s="19" t="s">
        <v>10459</v>
      </c>
      <c r="F758" s="21">
        <f t="shared" si="504"/>
        <v>151.25999999999999</v>
      </c>
      <c r="G758" s="21">
        <f t="shared" si="504"/>
        <v>151.25999999999999</v>
      </c>
      <c r="H758" s="21">
        <f t="shared" si="504"/>
        <v>151.25999999999999</v>
      </c>
      <c r="I758" s="24" t="str">
        <f t="shared" si="505"/>
        <v xml:space="preserve">COM VALOR</v>
      </c>
      <c r="L758" s="36">
        <v>151.25999999999999</v>
      </c>
      <c r="M758" s="37">
        <v>151.25999999999999</v>
      </c>
      <c r="N758" s="36">
        <v>151.25999999999999</v>
      </c>
    </row>
    <row r="759" ht="38.25">
      <c r="A759" s="19" t="s">
        <v>10460</v>
      </c>
      <c r="B759" s="19">
        <v>990</v>
      </c>
      <c r="C759" s="20" t="s">
        <v>11215</v>
      </c>
      <c r="D759" s="19" t="s">
        <v>38</v>
      </c>
      <c r="E759" s="19" t="s">
        <v>10459</v>
      </c>
      <c r="F759" s="21">
        <f t="shared" si="504"/>
        <v>201.13</v>
      </c>
      <c r="G759" s="21">
        <f t="shared" si="504"/>
        <v>201.13</v>
      </c>
      <c r="H759" s="21">
        <f t="shared" si="504"/>
        <v>201.13</v>
      </c>
      <c r="I759" s="24" t="str">
        <f t="shared" si="505"/>
        <v xml:space="preserve">COM VALOR</v>
      </c>
      <c r="L759" s="36">
        <v>201.13</v>
      </c>
      <c r="M759" s="37">
        <v>201.13</v>
      </c>
      <c r="N759" s="36">
        <v>201.13</v>
      </c>
    </row>
    <row r="760" ht="38.25">
      <c r="A760" s="19" t="s">
        <v>10460</v>
      </c>
      <c r="B760" s="19">
        <v>39241</v>
      </c>
      <c r="C760" s="20" t="s">
        <v>11216</v>
      </c>
      <c r="D760" s="19" t="s">
        <v>38</v>
      </c>
      <c r="E760" s="19" t="s">
        <v>10459</v>
      </c>
      <c r="F760" s="21">
        <f t="shared" si="504"/>
        <v>19.800000000000001</v>
      </c>
      <c r="G760" s="21">
        <f t="shared" si="504"/>
        <v>19.800000000000001</v>
      </c>
      <c r="H760" s="21">
        <f t="shared" si="504"/>
        <v>19.800000000000001</v>
      </c>
      <c r="I760" s="24" t="str">
        <f t="shared" si="505"/>
        <v xml:space="preserve">COM VALOR</v>
      </c>
      <c r="L760" s="36">
        <v>19.800000000000001</v>
      </c>
      <c r="M760" s="37">
        <v>19.800000000000001</v>
      </c>
      <c r="N760" s="36">
        <v>19.800000000000001</v>
      </c>
    </row>
    <row r="761" ht="38.25">
      <c r="A761" s="19" t="s">
        <v>10460</v>
      </c>
      <c r="B761" s="19">
        <v>1005</v>
      </c>
      <c r="C761" s="20" t="s">
        <v>11217</v>
      </c>
      <c r="D761" s="19" t="s">
        <v>38</v>
      </c>
      <c r="E761" s="19" t="s">
        <v>10459</v>
      </c>
      <c r="F761" s="21">
        <f t="shared" si="504"/>
        <v>250.41999999999999</v>
      </c>
      <c r="G761" s="21">
        <f t="shared" si="504"/>
        <v>250.41999999999999</v>
      </c>
      <c r="H761" s="21">
        <f t="shared" si="504"/>
        <v>250.41999999999999</v>
      </c>
      <c r="I761" s="24" t="str">
        <f t="shared" si="505"/>
        <v xml:space="preserve">COM VALOR</v>
      </c>
      <c r="L761" s="36">
        <v>250.41999999999999</v>
      </c>
      <c r="M761" s="37">
        <v>250.41999999999999</v>
      </c>
      <c r="N761" s="36">
        <v>250.41999999999999</v>
      </c>
    </row>
    <row r="762" ht="38.25">
      <c r="A762" s="19" t="s">
        <v>10460</v>
      </c>
      <c r="B762" s="19">
        <v>991</v>
      </c>
      <c r="C762" s="20" t="s">
        <v>11218</v>
      </c>
      <c r="D762" s="19" t="s">
        <v>38</v>
      </c>
      <c r="E762" s="19" t="s">
        <v>10459</v>
      </c>
      <c r="F762" s="21">
        <f t="shared" si="504"/>
        <v>327.99000000000001</v>
      </c>
      <c r="G762" s="21">
        <f t="shared" si="504"/>
        <v>327.99000000000001</v>
      </c>
      <c r="H762" s="21">
        <f t="shared" si="504"/>
        <v>327.99000000000001</v>
      </c>
      <c r="I762" s="24" t="str">
        <f t="shared" si="505"/>
        <v xml:space="preserve">COM VALOR</v>
      </c>
      <c r="L762" s="36">
        <v>327.99000000000001</v>
      </c>
      <c r="M762" s="37">
        <v>327.99000000000001</v>
      </c>
      <c r="N762" s="36">
        <v>327.99000000000001</v>
      </c>
    </row>
    <row r="763" ht="38.25">
      <c r="A763" s="19" t="s">
        <v>10460</v>
      </c>
      <c r="B763" s="19">
        <v>986</v>
      </c>
      <c r="C763" s="20" t="s">
        <v>11219</v>
      </c>
      <c r="D763" s="19" t="s">
        <v>38</v>
      </c>
      <c r="E763" s="19" t="s">
        <v>10459</v>
      </c>
      <c r="F763" s="21">
        <f t="shared" si="504"/>
        <v>31.280000000000001</v>
      </c>
      <c r="G763" s="21">
        <f t="shared" si="504"/>
        <v>31.280000000000001</v>
      </c>
      <c r="H763" s="21">
        <f t="shared" si="504"/>
        <v>31.280000000000001</v>
      </c>
      <c r="I763" s="24" t="str">
        <f t="shared" si="505"/>
        <v xml:space="preserve">COM VALOR</v>
      </c>
      <c r="L763" s="36">
        <v>31.280000000000001</v>
      </c>
      <c r="M763" s="37">
        <v>31.280000000000001</v>
      </c>
      <c r="N763" s="36">
        <v>31.280000000000001</v>
      </c>
    </row>
    <row r="764" ht="38.25">
      <c r="A764" s="19" t="s">
        <v>10460</v>
      </c>
      <c r="B764" s="19">
        <v>987</v>
      </c>
      <c r="C764" s="20" t="s">
        <v>11220</v>
      </c>
      <c r="D764" s="19" t="s">
        <v>38</v>
      </c>
      <c r="E764" s="19" t="s">
        <v>10459</v>
      </c>
      <c r="F764" s="21">
        <f t="shared" si="504"/>
        <v>42.829999999999998</v>
      </c>
      <c r="G764" s="21">
        <f t="shared" si="504"/>
        <v>42.829999999999998</v>
      </c>
      <c r="H764" s="21">
        <f t="shared" si="504"/>
        <v>42.829999999999998</v>
      </c>
      <c r="I764" s="24" t="str">
        <f t="shared" si="505"/>
        <v xml:space="preserve">COM VALOR</v>
      </c>
      <c r="L764" s="36">
        <v>42.829999999999998</v>
      </c>
      <c r="M764" s="37">
        <v>42.829999999999998</v>
      </c>
      <c r="N764" s="36">
        <v>42.829999999999998</v>
      </c>
    </row>
    <row r="765" ht="38.25">
      <c r="A765" s="19" t="s">
        <v>10460</v>
      </c>
      <c r="B765" s="19">
        <v>1007</v>
      </c>
      <c r="C765" s="20" t="s">
        <v>11221</v>
      </c>
      <c r="D765" s="19" t="s">
        <v>38</v>
      </c>
      <c r="E765" s="19" t="s">
        <v>10459</v>
      </c>
      <c r="F765" s="21">
        <f t="shared" si="504"/>
        <v>59.280000000000001</v>
      </c>
      <c r="G765" s="21">
        <f t="shared" si="504"/>
        <v>59.280000000000001</v>
      </c>
      <c r="H765" s="21">
        <f t="shared" si="504"/>
        <v>59.280000000000001</v>
      </c>
      <c r="I765" s="24" t="str">
        <f t="shared" si="505"/>
        <v xml:space="preserve">COM VALOR</v>
      </c>
      <c r="L765" s="36">
        <v>59.280000000000001</v>
      </c>
      <c r="M765" s="37">
        <v>59.280000000000001</v>
      </c>
      <c r="N765" s="36">
        <v>59.280000000000001</v>
      </c>
    </row>
    <row r="766" ht="38.25">
      <c r="A766" s="19" t="s">
        <v>10460</v>
      </c>
      <c r="B766" s="19">
        <v>1008</v>
      </c>
      <c r="C766" s="20" t="s">
        <v>11222</v>
      </c>
      <c r="D766" s="19" t="s">
        <v>38</v>
      </c>
      <c r="E766" s="19" t="s">
        <v>10459</v>
      </c>
      <c r="F766" s="21">
        <f t="shared" si="504"/>
        <v>7.5199999999999996</v>
      </c>
      <c r="G766" s="21">
        <f t="shared" si="504"/>
        <v>7.5199999999999996</v>
      </c>
      <c r="H766" s="21">
        <f t="shared" si="504"/>
        <v>7.5199999999999996</v>
      </c>
      <c r="I766" s="24" t="str">
        <f t="shared" si="505"/>
        <v xml:space="preserve">COM VALOR</v>
      </c>
      <c r="L766" s="36">
        <v>7.5199999999999996</v>
      </c>
      <c r="M766" s="37">
        <v>7.5199999999999996</v>
      </c>
      <c r="N766" s="36">
        <v>7.5199999999999996</v>
      </c>
    </row>
    <row r="767" ht="38.25">
      <c r="A767" s="19" t="s">
        <v>10460</v>
      </c>
      <c r="B767" s="19">
        <v>988</v>
      </c>
      <c r="C767" s="20" t="s">
        <v>11223</v>
      </c>
      <c r="D767" s="19" t="s">
        <v>38</v>
      </c>
      <c r="E767" s="19" t="s">
        <v>10459</v>
      </c>
      <c r="F767" s="21">
        <f t="shared" si="504"/>
        <v>81.739999999999995</v>
      </c>
      <c r="G767" s="21">
        <f t="shared" si="504"/>
        <v>81.739999999999995</v>
      </c>
      <c r="H767" s="21">
        <f t="shared" si="504"/>
        <v>81.739999999999995</v>
      </c>
      <c r="I767" s="24" t="str">
        <f t="shared" si="505"/>
        <v xml:space="preserve">COM VALOR</v>
      </c>
      <c r="L767" s="36">
        <v>81.739999999999995</v>
      </c>
      <c r="M767" s="37">
        <v>81.739999999999995</v>
      </c>
      <c r="N767" s="36">
        <v>81.739999999999995</v>
      </c>
    </row>
    <row r="768" ht="38.25">
      <c r="A768" s="19" t="s">
        <v>10460</v>
      </c>
      <c r="B768" s="19">
        <v>989</v>
      </c>
      <c r="C768" s="20" t="s">
        <v>11224</v>
      </c>
      <c r="D768" s="19" t="s">
        <v>38</v>
      </c>
      <c r="E768" s="19" t="s">
        <v>10459</v>
      </c>
      <c r="F768" s="21">
        <f t="shared" si="504"/>
        <v>112.83</v>
      </c>
      <c r="G768" s="21">
        <f t="shared" si="504"/>
        <v>112.83</v>
      </c>
      <c r="H768" s="21">
        <f t="shared" si="504"/>
        <v>112.83</v>
      </c>
      <c r="I768" s="24" t="str">
        <f t="shared" si="505"/>
        <v xml:space="preserve">COM VALOR</v>
      </c>
      <c r="L768" s="36">
        <v>112.83</v>
      </c>
      <c r="M768" s="37">
        <v>112.83</v>
      </c>
      <c r="N768" s="36">
        <v>112.83</v>
      </c>
    </row>
    <row r="769" ht="25.5">
      <c r="A769" s="19" t="s">
        <v>10460</v>
      </c>
      <c r="B769" s="19">
        <v>43972</v>
      </c>
      <c r="C769" s="20" t="s">
        <v>11225</v>
      </c>
      <c r="D769" s="19" t="s">
        <v>38</v>
      </c>
      <c r="E769" s="19" t="s">
        <v>10459</v>
      </c>
      <c r="F769" s="21">
        <f t="shared" si="504"/>
        <v>4.8700000000000001</v>
      </c>
      <c r="G769" s="21">
        <f t="shared" si="504"/>
        <v>4.8700000000000001</v>
      </c>
      <c r="H769" s="21">
        <f t="shared" si="504"/>
        <v>4.8700000000000001</v>
      </c>
      <c r="I769" s="24" t="str">
        <f t="shared" si="505"/>
        <v xml:space="preserve">COM VALOR</v>
      </c>
      <c r="L769" s="36">
        <v>4.8700000000000001</v>
      </c>
      <c r="M769" s="37">
        <v>4.8700000000000001</v>
      </c>
      <c r="N769" s="36">
        <v>4.8700000000000001</v>
      </c>
    </row>
    <row r="770" ht="25.5">
      <c r="A770" s="19" t="s">
        <v>10460</v>
      </c>
      <c r="B770" s="19">
        <v>43971</v>
      </c>
      <c r="C770" s="20" t="s">
        <v>11226</v>
      </c>
      <c r="D770" s="19" t="s">
        <v>38</v>
      </c>
      <c r="E770" s="19" t="s">
        <v>10466</v>
      </c>
      <c r="F770" s="21">
        <f t="shared" si="504"/>
        <v>3.7200000000000002</v>
      </c>
      <c r="G770" s="21">
        <f t="shared" si="504"/>
        <v>3.7200000000000002</v>
      </c>
      <c r="H770" s="21">
        <f t="shared" si="504"/>
        <v>3.7200000000000002</v>
      </c>
      <c r="I770" s="24" t="str">
        <f t="shared" si="505"/>
        <v xml:space="preserve">COM VALOR</v>
      </c>
      <c r="L770" s="36">
        <v>3.7200000000000002</v>
      </c>
      <c r="M770" s="37">
        <v>3.7200000000000002</v>
      </c>
      <c r="N770" s="36">
        <v>3.7200000000000002</v>
      </c>
    </row>
    <row r="771" ht="25.5">
      <c r="A771" s="19" t="s">
        <v>10460</v>
      </c>
      <c r="B771" s="19">
        <v>39598</v>
      </c>
      <c r="C771" s="20" t="s">
        <v>11227</v>
      </c>
      <c r="D771" s="19" t="s">
        <v>38</v>
      </c>
      <c r="E771" s="19" t="s">
        <v>10459</v>
      </c>
      <c r="F771" s="21">
        <f t="shared" si="504"/>
        <v>6.9000000000000004</v>
      </c>
      <c r="G771" s="21">
        <f t="shared" si="504"/>
        <v>6.9000000000000004</v>
      </c>
      <c r="H771" s="21">
        <f t="shared" si="504"/>
        <v>6.9000000000000004</v>
      </c>
      <c r="I771" s="24" t="str">
        <f t="shared" si="505"/>
        <v xml:space="preserve">COM VALOR</v>
      </c>
      <c r="L771" s="36">
        <v>6.9000000000000004</v>
      </c>
      <c r="M771" s="37">
        <v>6.9000000000000004</v>
      </c>
      <c r="N771" s="36">
        <v>6.9000000000000004</v>
      </c>
    </row>
    <row r="772" ht="25.5">
      <c r="A772" s="19" t="s">
        <v>10460</v>
      </c>
      <c r="B772" s="19">
        <v>43973</v>
      </c>
      <c r="C772" s="20" t="s">
        <v>11228</v>
      </c>
      <c r="D772" s="19" t="s">
        <v>38</v>
      </c>
      <c r="E772" s="19" t="s">
        <v>10459</v>
      </c>
      <c r="F772" s="21">
        <f t="shared" si="504"/>
        <v>5.0899999999999999</v>
      </c>
      <c r="G772" s="21">
        <f t="shared" si="504"/>
        <v>5.0899999999999999</v>
      </c>
      <c r="H772" s="21">
        <f t="shared" si="504"/>
        <v>5.0899999999999999</v>
      </c>
      <c r="I772" s="24" t="str">
        <f t="shared" si="505"/>
        <v xml:space="preserve">COM VALOR</v>
      </c>
      <c r="L772" s="36">
        <v>5.0899999999999999</v>
      </c>
      <c r="M772" s="37">
        <v>5.0899999999999999</v>
      </c>
      <c r="N772" s="36">
        <v>5.0899999999999999</v>
      </c>
    </row>
    <row r="773" ht="25.5">
      <c r="A773" s="19" t="s">
        <v>10460</v>
      </c>
      <c r="B773" s="19">
        <v>39599</v>
      </c>
      <c r="C773" s="20" t="s">
        <v>11229</v>
      </c>
      <c r="D773" s="19" t="s">
        <v>38</v>
      </c>
      <c r="E773" s="19" t="s">
        <v>10459</v>
      </c>
      <c r="F773" s="21">
        <f t="shared" si="504"/>
        <v>9.9199999999999999</v>
      </c>
      <c r="G773" s="21">
        <f t="shared" si="504"/>
        <v>9.9199999999999999</v>
      </c>
      <c r="H773" s="21">
        <f t="shared" si="504"/>
        <v>9.9199999999999999</v>
      </c>
      <c r="I773" s="24" t="str">
        <f t="shared" si="505"/>
        <v xml:space="preserve">COM VALOR</v>
      </c>
      <c r="L773" s="36">
        <v>9.9199999999999999</v>
      </c>
      <c r="M773" s="37">
        <v>9.9199999999999999</v>
      </c>
      <c r="N773" s="36">
        <v>9.9199999999999999</v>
      </c>
    </row>
    <row r="774" ht="12.75">
      <c r="A774" s="19" t="s">
        <v>10460</v>
      </c>
      <c r="B774" s="19">
        <v>43832</v>
      </c>
      <c r="C774" s="20" t="s">
        <v>11230</v>
      </c>
      <c r="D774" s="19" t="s">
        <v>38</v>
      </c>
      <c r="E774" s="19" t="s">
        <v>10459</v>
      </c>
      <c r="F774" s="21">
        <f t="shared" si="504"/>
        <v>26.140000000000001</v>
      </c>
      <c r="G774" s="21">
        <f t="shared" si="504"/>
        <v>26.140000000000001</v>
      </c>
      <c r="H774" s="21">
        <f t="shared" si="504"/>
        <v>26.140000000000001</v>
      </c>
      <c r="I774" s="24" t="str">
        <f t="shared" si="505"/>
        <v xml:space="preserve">COM VALOR</v>
      </c>
      <c r="L774" s="36">
        <v>26.140000000000001</v>
      </c>
      <c r="M774" s="37">
        <v>26.140000000000001</v>
      </c>
      <c r="N774" s="36">
        <v>26.140000000000001</v>
      </c>
    </row>
    <row r="775" ht="12.75">
      <c r="A775" s="19" t="s">
        <v>10460</v>
      </c>
      <c r="B775" s="19">
        <v>34602</v>
      </c>
      <c r="C775" s="20" t="s">
        <v>11231</v>
      </c>
      <c r="D775" s="19" t="s">
        <v>38</v>
      </c>
      <c r="E775" s="19" t="s">
        <v>10459</v>
      </c>
      <c r="F775" s="21">
        <f t="shared" si="504"/>
        <v>5.1699999999999999</v>
      </c>
      <c r="G775" s="21">
        <f t="shared" si="504"/>
        <v>5.1699999999999999</v>
      </c>
      <c r="H775" s="21">
        <f t="shared" si="504"/>
        <v>5.1699999999999999</v>
      </c>
      <c r="I775" s="24" t="str">
        <f t="shared" si="505"/>
        <v xml:space="preserve">COM VALOR</v>
      </c>
      <c r="L775" s="36">
        <v>5.1699999999999999</v>
      </c>
      <c r="M775" s="37">
        <v>5.1699999999999999</v>
      </c>
      <c r="N775" s="36">
        <v>5.1699999999999999</v>
      </c>
    </row>
    <row r="776" ht="12.75">
      <c r="A776" s="19" t="s">
        <v>10460</v>
      </c>
      <c r="B776" s="19">
        <v>34607</v>
      </c>
      <c r="C776" s="20" t="s">
        <v>11232</v>
      </c>
      <c r="D776" s="19" t="s">
        <v>38</v>
      </c>
      <c r="E776" s="19" t="s">
        <v>10459</v>
      </c>
      <c r="F776" s="21">
        <f t="shared" si="504"/>
        <v>12.68</v>
      </c>
      <c r="G776" s="21">
        <f t="shared" si="504"/>
        <v>12.68</v>
      </c>
      <c r="H776" s="21">
        <f t="shared" si="504"/>
        <v>12.68</v>
      </c>
      <c r="I776" s="24" t="str">
        <f t="shared" si="505"/>
        <v xml:space="preserve">COM VALOR</v>
      </c>
      <c r="L776" s="36">
        <v>12.68</v>
      </c>
      <c r="M776" s="37">
        <v>12.68</v>
      </c>
      <c r="N776" s="36">
        <v>12.68</v>
      </c>
    </row>
    <row r="777" ht="12.75">
      <c r="A777" s="19" t="s">
        <v>10460</v>
      </c>
      <c r="B777" s="19">
        <v>34609</v>
      </c>
      <c r="C777" s="20" t="s">
        <v>11233</v>
      </c>
      <c r="D777" s="19" t="s">
        <v>38</v>
      </c>
      <c r="E777" s="19" t="s">
        <v>10459</v>
      </c>
      <c r="F777" s="21">
        <f t="shared" si="504"/>
        <v>18.449999999999999</v>
      </c>
      <c r="G777" s="21">
        <f t="shared" si="504"/>
        <v>18.449999999999999</v>
      </c>
      <c r="H777" s="21">
        <f t="shared" si="504"/>
        <v>18.449999999999999</v>
      </c>
      <c r="I777" s="24" t="str">
        <f t="shared" si="505"/>
        <v xml:space="preserve">COM VALOR</v>
      </c>
      <c r="L777" s="36">
        <v>18.449999999999999</v>
      </c>
      <c r="M777" s="37">
        <v>18.449999999999999</v>
      </c>
      <c r="N777" s="36">
        <v>18.449999999999999</v>
      </c>
    </row>
    <row r="778" ht="12.75">
      <c r="A778" s="19" t="s">
        <v>10460</v>
      </c>
      <c r="B778" s="19">
        <v>34618</v>
      </c>
      <c r="C778" s="20" t="s">
        <v>11234</v>
      </c>
      <c r="D778" s="19" t="s">
        <v>38</v>
      </c>
      <c r="E778" s="19" t="s">
        <v>10459</v>
      </c>
      <c r="F778" s="21">
        <f t="shared" si="504"/>
        <v>7.0499999999999998</v>
      </c>
      <c r="G778" s="21">
        <f t="shared" si="504"/>
        <v>7.0499999999999998</v>
      </c>
      <c r="H778" s="21">
        <f t="shared" si="504"/>
        <v>7.0499999999999998</v>
      </c>
      <c r="I778" s="24" t="str">
        <f t="shared" si="505"/>
        <v xml:space="preserve">COM VALOR</v>
      </c>
      <c r="L778" s="36">
        <v>7.0499999999999998</v>
      </c>
      <c r="M778" s="37">
        <v>7.0499999999999998</v>
      </c>
      <c r="N778" s="36">
        <v>7.0499999999999998</v>
      </c>
    </row>
    <row r="779" ht="12.75">
      <c r="A779" s="19" t="s">
        <v>10460</v>
      </c>
      <c r="B779" s="19">
        <v>34621</v>
      </c>
      <c r="C779" s="20" t="s">
        <v>11235</v>
      </c>
      <c r="D779" s="19" t="s">
        <v>38</v>
      </c>
      <c r="E779" s="19" t="s">
        <v>10459</v>
      </c>
      <c r="F779" s="21">
        <f t="shared" ref="F779:H842" si="506">IF(L779=0,"VERIFICAR",L779)</f>
        <v>17.48</v>
      </c>
      <c r="G779" s="21">
        <f t="shared" si="506"/>
        <v>17.48</v>
      </c>
      <c r="H779" s="21">
        <f t="shared" si="506"/>
        <v>17.48</v>
      </c>
      <c r="I779" s="24" t="str">
        <f t="shared" ref="I779:I842" si="507">IF(OR(L779=0,M779=0,N779=0),"SEM VALOR","COM VALOR")</f>
        <v xml:space="preserve">COM VALOR</v>
      </c>
      <c r="L779" s="36">
        <v>17.48</v>
      </c>
      <c r="M779" s="37">
        <v>17.48</v>
      </c>
      <c r="N779" s="36">
        <v>17.48</v>
      </c>
    </row>
    <row r="780" ht="12.75">
      <c r="A780" s="19" t="s">
        <v>10460</v>
      </c>
      <c r="B780" s="19">
        <v>34622</v>
      </c>
      <c r="C780" s="20" t="s">
        <v>11236</v>
      </c>
      <c r="D780" s="19" t="s">
        <v>38</v>
      </c>
      <c r="E780" s="19" t="s">
        <v>10459</v>
      </c>
      <c r="F780" s="21">
        <f t="shared" si="506"/>
        <v>25.98</v>
      </c>
      <c r="G780" s="21">
        <f t="shared" si="506"/>
        <v>25.98</v>
      </c>
      <c r="H780" s="21">
        <f t="shared" si="506"/>
        <v>25.98</v>
      </c>
      <c r="I780" s="24" t="str">
        <f t="shared" si="507"/>
        <v xml:space="preserve">COM VALOR</v>
      </c>
      <c r="L780" s="36">
        <v>25.98</v>
      </c>
      <c r="M780" s="37">
        <v>25.98</v>
      </c>
      <c r="N780" s="36">
        <v>25.98</v>
      </c>
    </row>
    <row r="781" ht="12.75">
      <c r="A781" s="19" t="s">
        <v>10460</v>
      </c>
      <c r="B781" s="19">
        <v>34624</v>
      </c>
      <c r="C781" s="20" t="s">
        <v>11237</v>
      </c>
      <c r="D781" s="19" t="s">
        <v>38</v>
      </c>
      <c r="E781" s="19" t="s">
        <v>10459</v>
      </c>
      <c r="F781" s="21">
        <f t="shared" si="506"/>
        <v>9.4199999999999999</v>
      </c>
      <c r="G781" s="21">
        <f t="shared" si="506"/>
        <v>9.4199999999999999</v>
      </c>
      <c r="H781" s="21">
        <f t="shared" si="506"/>
        <v>9.4199999999999999</v>
      </c>
      <c r="I781" s="24" t="str">
        <f t="shared" si="507"/>
        <v xml:space="preserve">COM VALOR</v>
      </c>
      <c r="L781" s="36">
        <v>9.4199999999999999</v>
      </c>
      <c r="M781" s="37">
        <v>9.4199999999999999</v>
      </c>
      <c r="N781" s="36">
        <v>9.4199999999999999</v>
      </c>
    </row>
    <row r="782" ht="12.75">
      <c r="A782" s="19" t="s">
        <v>10460</v>
      </c>
      <c r="B782" s="19">
        <v>34627</v>
      </c>
      <c r="C782" s="20" t="s">
        <v>11238</v>
      </c>
      <c r="D782" s="19" t="s">
        <v>38</v>
      </c>
      <c r="E782" s="19" t="s">
        <v>10459</v>
      </c>
      <c r="F782" s="21">
        <f t="shared" si="506"/>
        <v>22.719999999999999</v>
      </c>
      <c r="G782" s="21">
        <f t="shared" si="506"/>
        <v>22.719999999999999</v>
      </c>
      <c r="H782" s="21">
        <f t="shared" si="506"/>
        <v>22.719999999999999</v>
      </c>
      <c r="I782" s="24" t="str">
        <f t="shared" si="507"/>
        <v xml:space="preserve">COM VALOR</v>
      </c>
      <c r="L782" s="36">
        <v>22.719999999999999</v>
      </c>
      <c r="M782" s="37">
        <v>22.719999999999999</v>
      </c>
      <c r="N782" s="36">
        <v>22.719999999999999</v>
      </c>
    </row>
    <row r="783" ht="12.75">
      <c r="A783" s="19" t="s">
        <v>10460</v>
      </c>
      <c r="B783" s="19">
        <v>34629</v>
      </c>
      <c r="C783" s="20" t="s">
        <v>11239</v>
      </c>
      <c r="D783" s="19" t="s">
        <v>38</v>
      </c>
      <c r="E783" s="19" t="s">
        <v>10459</v>
      </c>
      <c r="F783" s="21">
        <f t="shared" si="506"/>
        <v>34.710000000000001</v>
      </c>
      <c r="G783" s="21">
        <f t="shared" si="506"/>
        <v>34.710000000000001</v>
      </c>
      <c r="H783" s="21">
        <f t="shared" si="506"/>
        <v>34.710000000000001</v>
      </c>
      <c r="I783" s="24" t="str">
        <f t="shared" si="507"/>
        <v xml:space="preserve">COM VALOR</v>
      </c>
      <c r="L783" s="36">
        <v>34.710000000000001</v>
      </c>
      <c r="M783" s="37">
        <v>34.710000000000001</v>
      </c>
      <c r="N783" s="36">
        <v>34.710000000000001</v>
      </c>
    </row>
    <row r="784" ht="38.25">
      <c r="A784" s="19" t="s">
        <v>10460</v>
      </c>
      <c r="B784" s="19">
        <v>39257</v>
      </c>
      <c r="C784" s="20" t="s">
        <v>11240</v>
      </c>
      <c r="D784" s="19" t="s">
        <v>38</v>
      </c>
      <c r="E784" s="19" t="s">
        <v>10459</v>
      </c>
      <c r="F784" s="21">
        <f t="shared" si="506"/>
        <v>7.0599999999999996</v>
      </c>
      <c r="G784" s="21">
        <f t="shared" si="506"/>
        <v>7.0599999999999996</v>
      </c>
      <c r="H784" s="21">
        <f t="shared" si="506"/>
        <v>7.0599999999999996</v>
      </c>
      <c r="I784" s="24" t="str">
        <f t="shared" si="507"/>
        <v xml:space="preserve">COM VALOR</v>
      </c>
      <c r="L784" s="36">
        <v>7.0599999999999996</v>
      </c>
      <c r="M784" s="37">
        <v>7.0599999999999996</v>
      </c>
      <c r="N784" s="36">
        <v>7.0599999999999996</v>
      </c>
    </row>
    <row r="785" ht="38.25">
      <c r="A785" s="19" t="s">
        <v>10460</v>
      </c>
      <c r="B785" s="19">
        <v>39261</v>
      </c>
      <c r="C785" s="20" t="s">
        <v>11241</v>
      </c>
      <c r="D785" s="19" t="s">
        <v>38</v>
      </c>
      <c r="E785" s="19" t="s">
        <v>10459</v>
      </c>
      <c r="F785" s="21">
        <f t="shared" si="506"/>
        <v>40.439999999999998</v>
      </c>
      <c r="G785" s="21">
        <f t="shared" si="506"/>
        <v>40.439999999999998</v>
      </c>
      <c r="H785" s="21">
        <f t="shared" si="506"/>
        <v>40.439999999999998</v>
      </c>
      <c r="I785" s="24" t="str">
        <f t="shared" si="507"/>
        <v xml:space="preserve">COM VALOR</v>
      </c>
      <c r="L785" s="36">
        <v>40.439999999999998</v>
      </c>
      <c r="M785" s="37">
        <v>40.439999999999998</v>
      </c>
      <c r="N785" s="36">
        <v>40.439999999999998</v>
      </c>
    </row>
    <row r="786" ht="38.25">
      <c r="A786" s="19" t="s">
        <v>10460</v>
      </c>
      <c r="B786" s="19">
        <v>39268</v>
      </c>
      <c r="C786" s="20" t="s">
        <v>11242</v>
      </c>
      <c r="D786" s="19" t="s">
        <v>38</v>
      </c>
      <c r="E786" s="19" t="s">
        <v>10459</v>
      </c>
      <c r="F786" s="21">
        <f t="shared" si="506"/>
        <v>632.02999999999997</v>
      </c>
      <c r="G786" s="21">
        <f t="shared" si="506"/>
        <v>632.02999999999997</v>
      </c>
      <c r="H786" s="21">
        <f t="shared" si="506"/>
        <v>632.02999999999997</v>
      </c>
      <c r="I786" s="24" t="str">
        <f t="shared" si="507"/>
        <v xml:space="preserve">COM VALOR</v>
      </c>
      <c r="L786" s="36">
        <v>632.02999999999997</v>
      </c>
      <c r="M786" s="37">
        <v>632.02999999999997</v>
      </c>
      <c r="N786" s="36">
        <v>632.02999999999997</v>
      </c>
    </row>
    <row r="787" ht="38.25">
      <c r="A787" s="19" t="s">
        <v>10460</v>
      </c>
      <c r="B787" s="19">
        <v>39262</v>
      </c>
      <c r="C787" s="20" t="s">
        <v>11243</v>
      </c>
      <c r="D787" s="19" t="s">
        <v>38</v>
      </c>
      <c r="E787" s="19" t="s">
        <v>10459</v>
      </c>
      <c r="F787" s="21">
        <f t="shared" si="506"/>
        <v>64.390000000000001</v>
      </c>
      <c r="G787" s="21">
        <f t="shared" si="506"/>
        <v>64.390000000000001</v>
      </c>
      <c r="H787" s="21">
        <f t="shared" si="506"/>
        <v>64.390000000000001</v>
      </c>
      <c r="I787" s="24" t="str">
        <f t="shared" si="507"/>
        <v xml:space="preserve">COM VALOR</v>
      </c>
      <c r="L787" s="36">
        <v>64.390000000000001</v>
      </c>
      <c r="M787" s="37">
        <v>64.390000000000001</v>
      </c>
      <c r="N787" s="36">
        <v>64.390000000000001</v>
      </c>
    </row>
    <row r="788" ht="38.25">
      <c r="A788" s="19" t="s">
        <v>10460</v>
      </c>
      <c r="B788" s="19">
        <v>39258</v>
      </c>
      <c r="C788" s="20" t="s">
        <v>11244</v>
      </c>
      <c r="D788" s="19" t="s">
        <v>38</v>
      </c>
      <c r="E788" s="19" t="s">
        <v>10459</v>
      </c>
      <c r="F788" s="21">
        <f t="shared" si="506"/>
        <v>10.640000000000001</v>
      </c>
      <c r="G788" s="21">
        <f t="shared" si="506"/>
        <v>10.640000000000001</v>
      </c>
      <c r="H788" s="21">
        <f t="shared" si="506"/>
        <v>10.640000000000001</v>
      </c>
      <c r="I788" s="24" t="str">
        <f t="shared" si="507"/>
        <v xml:space="preserve">COM VALOR</v>
      </c>
      <c r="L788" s="36">
        <v>10.640000000000001</v>
      </c>
      <c r="M788" s="37">
        <v>10.640000000000001</v>
      </c>
      <c r="N788" s="36">
        <v>10.640000000000001</v>
      </c>
    </row>
    <row r="789" ht="38.25">
      <c r="A789" s="19" t="s">
        <v>10460</v>
      </c>
      <c r="B789" s="19">
        <v>39263</v>
      </c>
      <c r="C789" s="20" t="s">
        <v>11245</v>
      </c>
      <c r="D789" s="19" t="s">
        <v>38</v>
      </c>
      <c r="E789" s="19" t="s">
        <v>10459</v>
      </c>
      <c r="F789" s="21">
        <f t="shared" si="506"/>
        <v>111.34</v>
      </c>
      <c r="G789" s="21">
        <f t="shared" si="506"/>
        <v>111.34</v>
      </c>
      <c r="H789" s="21">
        <f t="shared" si="506"/>
        <v>111.34</v>
      </c>
      <c r="I789" s="24" t="str">
        <f t="shared" si="507"/>
        <v xml:space="preserve">COM VALOR</v>
      </c>
      <c r="L789" s="36">
        <v>111.34</v>
      </c>
      <c r="M789" s="37">
        <v>111.34</v>
      </c>
      <c r="N789" s="36">
        <v>111.34</v>
      </c>
    </row>
    <row r="790" ht="38.25">
      <c r="A790" s="19" t="s">
        <v>10460</v>
      </c>
      <c r="B790" s="19">
        <v>39264</v>
      </c>
      <c r="C790" s="20" t="s">
        <v>11246</v>
      </c>
      <c r="D790" s="19" t="s">
        <v>38</v>
      </c>
      <c r="E790" s="19" t="s">
        <v>10459</v>
      </c>
      <c r="F790" s="21">
        <f t="shared" si="506"/>
        <v>154.24000000000001</v>
      </c>
      <c r="G790" s="21">
        <f t="shared" si="506"/>
        <v>154.24000000000001</v>
      </c>
      <c r="H790" s="21">
        <f t="shared" si="506"/>
        <v>154.24000000000001</v>
      </c>
      <c r="I790" s="24" t="str">
        <f t="shared" si="507"/>
        <v xml:space="preserve">COM VALOR</v>
      </c>
      <c r="L790" s="36">
        <v>154.24000000000001</v>
      </c>
      <c r="M790" s="37">
        <v>154.24000000000001</v>
      </c>
      <c r="N790" s="36">
        <v>154.24000000000001</v>
      </c>
    </row>
    <row r="791" ht="38.25">
      <c r="A791" s="19" t="s">
        <v>10460</v>
      </c>
      <c r="B791" s="19">
        <v>39259</v>
      </c>
      <c r="C791" s="20" t="s">
        <v>11247</v>
      </c>
      <c r="D791" s="19" t="s">
        <v>38</v>
      </c>
      <c r="E791" s="19" t="s">
        <v>10459</v>
      </c>
      <c r="F791" s="21">
        <f t="shared" si="506"/>
        <v>16.390000000000001</v>
      </c>
      <c r="G791" s="21">
        <f t="shared" si="506"/>
        <v>16.390000000000001</v>
      </c>
      <c r="H791" s="21">
        <f t="shared" si="506"/>
        <v>16.390000000000001</v>
      </c>
      <c r="I791" s="24" t="str">
        <f t="shared" si="507"/>
        <v xml:space="preserve">COM VALOR</v>
      </c>
      <c r="L791" s="36">
        <v>16.390000000000001</v>
      </c>
      <c r="M791" s="37">
        <v>16.390000000000001</v>
      </c>
      <c r="N791" s="36">
        <v>16.390000000000001</v>
      </c>
    </row>
    <row r="792" ht="38.25">
      <c r="A792" s="19" t="s">
        <v>10460</v>
      </c>
      <c r="B792" s="19">
        <v>39265</v>
      </c>
      <c r="C792" s="20" t="s">
        <v>11248</v>
      </c>
      <c r="D792" s="19" t="s">
        <v>38</v>
      </c>
      <c r="E792" s="19" t="s">
        <v>10459</v>
      </c>
      <c r="F792" s="21">
        <f t="shared" si="506"/>
        <v>209.41</v>
      </c>
      <c r="G792" s="21">
        <f t="shared" si="506"/>
        <v>209.41</v>
      </c>
      <c r="H792" s="21">
        <f t="shared" si="506"/>
        <v>209.41</v>
      </c>
      <c r="I792" s="24" t="str">
        <f t="shared" si="507"/>
        <v xml:space="preserve">COM VALOR</v>
      </c>
      <c r="L792" s="36">
        <v>209.41</v>
      </c>
      <c r="M792" s="37">
        <v>209.41</v>
      </c>
      <c r="N792" s="36">
        <v>209.41</v>
      </c>
    </row>
    <row r="793" ht="38.25">
      <c r="A793" s="19" t="s">
        <v>10460</v>
      </c>
      <c r="B793" s="19">
        <v>39260</v>
      </c>
      <c r="C793" s="20" t="s">
        <v>11249</v>
      </c>
      <c r="D793" s="19" t="s">
        <v>38</v>
      </c>
      <c r="E793" s="19" t="s">
        <v>10459</v>
      </c>
      <c r="F793" s="21">
        <f t="shared" si="506"/>
        <v>25.100000000000001</v>
      </c>
      <c r="G793" s="21">
        <f t="shared" si="506"/>
        <v>25.100000000000001</v>
      </c>
      <c r="H793" s="21">
        <f t="shared" si="506"/>
        <v>25.100000000000001</v>
      </c>
      <c r="I793" s="24" t="str">
        <f t="shared" si="507"/>
        <v xml:space="preserve">COM VALOR</v>
      </c>
      <c r="L793" s="36">
        <v>25.100000000000001</v>
      </c>
      <c r="M793" s="37">
        <v>25.100000000000001</v>
      </c>
      <c r="N793" s="36">
        <v>25.100000000000001</v>
      </c>
    </row>
    <row r="794" ht="38.25">
      <c r="A794" s="19" t="s">
        <v>10460</v>
      </c>
      <c r="B794" s="19">
        <v>39266</v>
      </c>
      <c r="C794" s="20" t="s">
        <v>11250</v>
      </c>
      <c r="D794" s="19" t="s">
        <v>38</v>
      </c>
      <c r="E794" s="19" t="s">
        <v>10459</v>
      </c>
      <c r="F794" s="21">
        <f t="shared" si="506"/>
        <v>315.99000000000001</v>
      </c>
      <c r="G794" s="21">
        <f t="shared" si="506"/>
        <v>315.99000000000001</v>
      </c>
      <c r="H794" s="21">
        <f t="shared" si="506"/>
        <v>315.99000000000001</v>
      </c>
      <c r="I794" s="24" t="str">
        <f t="shared" si="507"/>
        <v xml:space="preserve">COM VALOR</v>
      </c>
      <c r="L794" s="36">
        <v>315.99000000000001</v>
      </c>
      <c r="M794" s="37">
        <v>315.99000000000001</v>
      </c>
      <c r="N794" s="36">
        <v>315.99000000000001</v>
      </c>
    </row>
    <row r="795" ht="38.25">
      <c r="A795" s="19" t="s">
        <v>10460</v>
      </c>
      <c r="B795" s="19">
        <v>39267</v>
      </c>
      <c r="C795" s="20" t="s">
        <v>11251</v>
      </c>
      <c r="D795" s="19" t="s">
        <v>38</v>
      </c>
      <c r="E795" s="19" t="s">
        <v>10459</v>
      </c>
      <c r="F795" s="21">
        <f t="shared" si="506"/>
        <v>395.06999999999999</v>
      </c>
      <c r="G795" s="21">
        <f t="shared" si="506"/>
        <v>395.06999999999999</v>
      </c>
      <c r="H795" s="21">
        <f t="shared" si="506"/>
        <v>395.06999999999999</v>
      </c>
      <c r="I795" s="24" t="str">
        <f t="shared" si="507"/>
        <v xml:space="preserve">COM VALOR</v>
      </c>
      <c r="L795" s="36">
        <v>395.06999999999999</v>
      </c>
      <c r="M795" s="37">
        <v>395.06999999999999</v>
      </c>
      <c r="N795" s="36">
        <v>395.06999999999999</v>
      </c>
    </row>
    <row r="796" ht="25.5">
      <c r="A796" s="19" t="s">
        <v>10460</v>
      </c>
      <c r="B796" s="19">
        <v>11901</v>
      </c>
      <c r="C796" s="20" t="s">
        <v>11252</v>
      </c>
      <c r="D796" s="19" t="s">
        <v>38</v>
      </c>
      <c r="E796" s="19" t="s">
        <v>10459</v>
      </c>
      <c r="F796" s="21">
        <f t="shared" si="506"/>
        <v>0.89000000000000001</v>
      </c>
      <c r="G796" s="21">
        <f t="shared" si="506"/>
        <v>0.89000000000000001</v>
      </c>
      <c r="H796" s="21">
        <f t="shared" si="506"/>
        <v>0.89000000000000001</v>
      </c>
      <c r="I796" s="24" t="str">
        <f t="shared" si="507"/>
        <v xml:space="preserve">COM VALOR</v>
      </c>
      <c r="L796" s="36">
        <v>0.89000000000000001</v>
      </c>
      <c r="M796" s="37">
        <v>0.89000000000000001</v>
      </c>
      <c r="N796" s="36">
        <v>0.89000000000000001</v>
      </c>
    </row>
    <row r="797" ht="25.5">
      <c r="A797" s="19" t="s">
        <v>10460</v>
      </c>
      <c r="B797" s="19">
        <v>11902</v>
      </c>
      <c r="C797" s="20" t="s">
        <v>11253</v>
      </c>
      <c r="D797" s="19" t="s">
        <v>38</v>
      </c>
      <c r="E797" s="19" t="s">
        <v>10459</v>
      </c>
      <c r="F797" s="21">
        <f t="shared" si="506"/>
        <v>1.71</v>
      </c>
      <c r="G797" s="21">
        <f t="shared" si="506"/>
        <v>1.71</v>
      </c>
      <c r="H797" s="21">
        <f t="shared" si="506"/>
        <v>1.71</v>
      </c>
      <c r="I797" s="24" t="str">
        <f t="shared" si="507"/>
        <v xml:space="preserve">COM VALOR</v>
      </c>
      <c r="L797" s="36">
        <v>1.71</v>
      </c>
      <c r="M797" s="37">
        <v>1.71</v>
      </c>
      <c r="N797" s="36">
        <v>1.71</v>
      </c>
    </row>
    <row r="798" ht="25.5">
      <c r="A798" s="19" t="s">
        <v>10460</v>
      </c>
      <c r="B798" s="19">
        <v>11903</v>
      </c>
      <c r="C798" s="20" t="s">
        <v>11254</v>
      </c>
      <c r="D798" s="19" t="s">
        <v>38</v>
      </c>
      <c r="E798" s="19" t="s">
        <v>10459</v>
      </c>
      <c r="F798" s="21">
        <f t="shared" si="506"/>
        <v>1.8100000000000001</v>
      </c>
      <c r="G798" s="21">
        <f t="shared" si="506"/>
        <v>1.8100000000000001</v>
      </c>
      <c r="H798" s="21">
        <f t="shared" si="506"/>
        <v>1.8100000000000001</v>
      </c>
      <c r="I798" s="24" t="str">
        <f t="shared" si="507"/>
        <v xml:space="preserve">COM VALOR</v>
      </c>
      <c r="L798" s="36">
        <v>1.8100000000000001</v>
      </c>
      <c r="M798" s="37">
        <v>1.8100000000000001</v>
      </c>
      <c r="N798" s="36">
        <v>1.8100000000000001</v>
      </c>
    </row>
    <row r="799" ht="25.5">
      <c r="A799" s="19" t="s">
        <v>10460</v>
      </c>
      <c r="B799" s="19">
        <v>11904</v>
      </c>
      <c r="C799" s="20" t="s">
        <v>11255</v>
      </c>
      <c r="D799" s="19" t="s">
        <v>38</v>
      </c>
      <c r="E799" s="19" t="s">
        <v>10459</v>
      </c>
      <c r="F799" s="21">
        <f t="shared" si="506"/>
        <v>2.75</v>
      </c>
      <c r="G799" s="21">
        <f t="shared" si="506"/>
        <v>2.75</v>
      </c>
      <c r="H799" s="21">
        <f t="shared" si="506"/>
        <v>2.75</v>
      </c>
      <c r="I799" s="24" t="str">
        <f t="shared" si="507"/>
        <v xml:space="preserve">COM VALOR</v>
      </c>
      <c r="L799" s="36">
        <v>2.75</v>
      </c>
      <c r="M799" s="37">
        <v>2.75</v>
      </c>
      <c r="N799" s="36">
        <v>2.75</v>
      </c>
    </row>
    <row r="800" ht="25.5">
      <c r="A800" s="19" t="s">
        <v>10460</v>
      </c>
      <c r="B800" s="19">
        <v>11905</v>
      </c>
      <c r="C800" s="20" t="s">
        <v>11256</v>
      </c>
      <c r="D800" s="19" t="s">
        <v>38</v>
      </c>
      <c r="E800" s="19" t="s">
        <v>10459</v>
      </c>
      <c r="F800" s="21">
        <f t="shared" si="506"/>
        <v>3.3500000000000001</v>
      </c>
      <c r="G800" s="21">
        <f t="shared" si="506"/>
        <v>3.3500000000000001</v>
      </c>
      <c r="H800" s="21">
        <f t="shared" si="506"/>
        <v>3.3500000000000001</v>
      </c>
      <c r="I800" s="24" t="str">
        <f t="shared" si="507"/>
        <v xml:space="preserve">COM VALOR</v>
      </c>
      <c r="L800" s="36">
        <v>3.3500000000000001</v>
      </c>
      <c r="M800" s="37">
        <v>3.3500000000000001</v>
      </c>
      <c r="N800" s="36">
        <v>3.3500000000000001</v>
      </c>
    </row>
    <row r="801" ht="25.5">
      <c r="A801" s="19" t="s">
        <v>10460</v>
      </c>
      <c r="B801" s="19">
        <v>11906</v>
      </c>
      <c r="C801" s="20" t="s">
        <v>11257</v>
      </c>
      <c r="D801" s="19" t="s">
        <v>38</v>
      </c>
      <c r="E801" s="19" t="s">
        <v>10459</v>
      </c>
      <c r="F801" s="21">
        <f t="shared" si="506"/>
        <v>4.2599999999999998</v>
      </c>
      <c r="G801" s="21">
        <f t="shared" si="506"/>
        <v>4.2599999999999998</v>
      </c>
      <c r="H801" s="21">
        <f t="shared" si="506"/>
        <v>4.2599999999999998</v>
      </c>
      <c r="I801" s="24" t="str">
        <f t="shared" si="507"/>
        <v xml:space="preserve">COM VALOR</v>
      </c>
      <c r="L801" s="36">
        <v>4.2599999999999998</v>
      </c>
      <c r="M801" s="37">
        <v>4.2599999999999998</v>
      </c>
      <c r="N801" s="36">
        <v>4.2599999999999998</v>
      </c>
    </row>
    <row r="802" ht="12.75">
      <c r="A802" s="19" t="s">
        <v>10460</v>
      </c>
      <c r="B802" s="19">
        <v>11919</v>
      </c>
      <c r="C802" s="20" t="s">
        <v>11258</v>
      </c>
      <c r="D802" s="19" t="s">
        <v>38</v>
      </c>
      <c r="E802" s="19" t="s">
        <v>10459</v>
      </c>
      <c r="F802" s="21">
        <f t="shared" si="506"/>
        <v>7.7999999999999998</v>
      </c>
      <c r="G802" s="21">
        <f t="shared" si="506"/>
        <v>7.7999999999999998</v>
      </c>
      <c r="H802" s="21">
        <f t="shared" si="506"/>
        <v>7.7999999999999998</v>
      </c>
      <c r="I802" s="24" t="str">
        <f t="shared" si="507"/>
        <v xml:space="preserve">COM VALOR</v>
      </c>
      <c r="L802" s="36">
        <v>7.7999999999999998</v>
      </c>
      <c r="M802" s="37">
        <v>7.7999999999999998</v>
      </c>
      <c r="N802" s="36">
        <v>7.7999999999999998</v>
      </c>
    </row>
    <row r="803" ht="12.75">
      <c r="A803" s="19" t="s">
        <v>10460</v>
      </c>
      <c r="B803" s="19">
        <v>11920</v>
      </c>
      <c r="C803" s="20" t="s">
        <v>11259</v>
      </c>
      <c r="D803" s="19" t="s">
        <v>38</v>
      </c>
      <c r="E803" s="19" t="s">
        <v>10459</v>
      </c>
      <c r="F803" s="21">
        <f t="shared" si="506"/>
        <v>14.82</v>
      </c>
      <c r="G803" s="21">
        <f t="shared" si="506"/>
        <v>14.82</v>
      </c>
      <c r="H803" s="21">
        <f t="shared" si="506"/>
        <v>14.82</v>
      </c>
      <c r="I803" s="24" t="str">
        <f t="shared" si="507"/>
        <v xml:space="preserve">COM VALOR</v>
      </c>
      <c r="L803" s="36">
        <v>14.82</v>
      </c>
      <c r="M803" s="37">
        <v>14.82</v>
      </c>
      <c r="N803" s="36">
        <v>14.82</v>
      </c>
    </row>
    <row r="804" ht="12.75">
      <c r="A804" s="19" t="s">
        <v>10460</v>
      </c>
      <c r="B804" s="19">
        <v>11924</v>
      </c>
      <c r="C804" s="20" t="s">
        <v>11260</v>
      </c>
      <c r="D804" s="19" t="s">
        <v>38</v>
      </c>
      <c r="E804" s="19" t="s">
        <v>10459</v>
      </c>
      <c r="F804" s="21">
        <f t="shared" si="506"/>
        <v>124.45</v>
      </c>
      <c r="G804" s="21">
        <f t="shared" si="506"/>
        <v>124.45</v>
      </c>
      <c r="H804" s="21">
        <f t="shared" si="506"/>
        <v>124.45</v>
      </c>
      <c r="I804" s="24" t="str">
        <f t="shared" si="507"/>
        <v xml:space="preserve">COM VALOR</v>
      </c>
      <c r="L804" s="36">
        <v>124.45</v>
      </c>
      <c r="M804" s="37">
        <v>124.45</v>
      </c>
      <c r="N804" s="36">
        <v>124.45</v>
      </c>
    </row>
    <row r="805" ht="12.75">
      <c r="A805" s="19" t="s">
        <v>10460</v>
      </c>
      <c r="B805" s="19">
        <v>11921</v>
      </c>
      <c r="C805" s="20" t="s">
        <v>11261</v>
      </c>
      <c r="D805" s="19" t="s">
        <v>38</v>
      </c>
      <c r="E805" s="19" t="s">
        <v>10459</v>
      </c>
      <c r="F805" s="21">
        <f t="shared" si="506"/>
        <v>21.690000000000001</v>
      </c>
      <c r="G805" s="21">
        <f t="shared" si="506"/>
        <v>21.690000000000001</v>
      </c>
      <c r="H805" s="21">
        <f t="shared" si="506"/>
        <v>21.690000000000001</v>
      </c>
      <c r="I805" s="24" t="str">
        <f t="shared" si="507"/>
        <v xml:space="preserve">COM VALOR</v>
      </c>
      <c r="L805" s="36">
        <v>21.690000000000001</v>
      </c>
      <c r="M805" s="37">
        <v>21.690000000000001</v>
      </c>
      <c r="N805" s="36">
        <v>21.690000000000001</v>
      </c>
    </row>
    <row r="806" ht="12.75">
      <c r="A806" s="19" t="s">
        <v>10460</v>
      </c>
      <c r="B806" s="19">
        <v>11922</v>
      </c>
      <c r="C806" s="20" t="s">
        <v>11262</v>
      </c>
      <c r="D806" s="19" t="s">
        <v>38</v>
      </c>
      <c r="E806" s="19" t="s">
        <v>10459</v>
      </c>
      <c r="F806" s="21">
        <f t="shared" si="506"/>
        <v>35.079999999999998</v>
      </c>
      <c r="G806" s="21">
        <f t="shared" si="506"/>
        <v>35.079999999999998</v>
      </c>
      <c r="H806" s="21">
        <f t="shared" si="506"/>
        <v>35.079999999999998</v>
      </c>
      <c r="I806" s="24" t="str">
        <f t="shared" si="507"/>
        <v xml:space="preserve">COM VALOR</v>
      </c>
      <c r="L806" s="36">
        <v>35.079999999999998</v>
      </c>
      <c r="M806" s="37">
        <v>35.079999999999998</v>
      </c>
      <c r="N806" s="36">
        <v>35.079999999999998</v>
      </c>
    </row>
    <row r="807" ht="12.75">
      <c r="A807" s="19" t="s">
        <v>10460</v>
      </c>
      <c r="B807" s="19">
        <v>11923</v>
      </c>
      <c r="C807" s="20" t="s">
        <v>11263</v>
      </c>
      <c r="D807" s="19" t="s">
        <v>38</v>
      </c>
      <c r="E807" s="19" t="s">
        <v>10459</v>
      </c>
      <c r="F807" s="21">
        <f t="shared" si="506"/>
        <v>51.350000000000001</v>
      </c>
      <c r="G807" s="21">
        <f t="shared" si="506"/>
        <v>51.350000000000001</v>
      </c>
      <c r="H807" s="21">
        <f t="shared" si="506"/>
        <v>51.350000000000001</v>
      </c>
      <c r="I807" s="24" t="str">
        <f t="shared" si="507"/>
        <v xml:space="preserve">COM VALOR</v>
      </c>
      <c r="L807" s="36">
        <v>51.350000000000001</v>
      </c>
      <c r="M807" s="37">
        <v>51.350000000000001</v>
      </c>
      <c r="N807" s="36">
        <v>51.350000000000001</v>
      </c>
    </row>
    <row r="808" ht="12.75">
      <c r="A808" s="19" t="s">
        <v>10460</v>
      </c>
      <c r="B808" s="19">
        <v>11916</v>
      </c>
      <c r="C808" s="20" t="s">
        <v>11264</v>
      </c>
      <c r="D808" s="19" t="s">
        <v>38</v>
      </c>
      <c r="E808" s="19" t="s">
        <v>10459</v>
      </c>
      <c r="F808" s="21">
        <f t="shared" si="506"/>
        <v>10.68</v>
      </c>
      <c r="G808" s="21">
        <f t="shared" si="506"/>
        <v>10.68</v>
      </c>
      <c r="H808" s="21">
        <f t="shared" si="506"/>
        <v>10.68</v>
      </c>
      <c r="I808" s="24" t="str">
        <f t="shared" si="507"/>
        <v xml:space="preserve">COM VALOR</v>
      </c>
      <c r="L808" s="36">
        <v>10.68</v>
      </c>
      <c r="M808" s="37">
        <v>10.68</v>
      </c>
      <c r="N808" s="36">
        <v>10.68</v>
      </c>
    </row>
    <row r="809" ht="12.75">
      <c r="A809" s="19" t="s">
        <v>10460</v>
      </c>
      <c r="B809" s="19">
        <v>11914</v>
      </c>
      <c r="C809" s="20" t="s">
        <v>11265</v>
      </c>
      <c r="D809" s="19" t="s">
        <v>38</v>
      </c>
      <c r="E809" s="19" t="s">
        <v>10459</v>
      </c>
      <c r="F809" s="21">
        <f t="shared" si="506"/>
        <v>76.930000000000007</v>
      </c>
      <c r="G809" s="21">
        <f t="shared" si="506"/>
        <v>76.930000000000007</v>
      </c>
      <c r="H809" s="21">
        <f t="shared" si="506"/>
        <v>76.930000000000007</v>
      </c>
      <c r="I809" s="24" t="str">
        <f t="shared" si="507"/>
        <v xml:space="preserve">COM VALOR</v>
      </c>
      <c r="L809" s="36">
        <v>76.930000000000007</v>
      </c>
      <c r="M809" s="37">
        <v>76.930000000000007</v>
      </c>
      <c r="N809" s="36">
        <v>76.930000000000007</v>
      </c>
    </row>
    <row r="810" ht="12.75">
      <c r="A810" s="19" t="s">
        <v>10460</v>
      </c>
      <c r="B810" s="19">
        <v>11917</v>
      </c>
      <c r="C810" s="20" t="s">
        <v>11266</v>
      </c>
      <c r="D810" s="19" t="s">
        <v>38</v>
      </c>
      <c r="E810" s="19" t="s">
        <v>10459</v>
      </c>
      <c r="F810" s="21">
        <f t="shared" si="506"/>
        <v>18.809999999999999</v>
      </c>
      <c r="G810" s="21">
        <f t="shared" si="506"/>
        <v>18.809999999999999</v>
      </c>
      <c r="H810" s="21">
        <f t="shared" si="506"/>
        <v>18.809999999999999</v>
      </c>
      <c r="I810" s="24" t="str">
        <f t="shared" si="507"/>
        <v xml:space="preserve">COM VALOR</v>
      </c>
      <c r="L810" s="36">
        <v>18.809999999999999</v>
      </c>
      <c r="M810" s="37">
        <v>18.809999999999999</v>
      </c>
      <c r="N810" s="36">
        <v>18.809999999999999</v>
      </c>
    </row>
    <row r="811" ht="12.75">
      <c r="A811" s="19" t="s">
        <v>10460</v>
      </c>
      <c r="B811" s="19">
        <v>11918</v>
      </c>
      <c r="C811" s="20" t="s">
        <v>11267</v>
      </c>
      <c r="D811" s="19" t="s">
        <v>38</v>
      </c>
      <c r="E811" s="19" t="s">
        <v>10459</v>
      </c>
      <c r="F811" s="21">
        <f t="shared" si="506"/>
        <v>22.309999999999999</v>
      </c>
      <c r="G811" s="21">
        <f t="shared" si="506"/>
        <v>22.309999999999999</v>
      </c>
      <c r="H811" s="21">
        <f t="shared" si="506"/>
        <v>22.309999999999999</v>
      </c>
      <c r="I811" s="24" t="str">
        <f t="shared" si="507"/>
        <v xml:space="preserve">COM VALOR</v>
      </c>
      <c r="L811" s="36">
        <v>22.309999999999999</v>
      </c>
      <c r="M811" s="37">
        <v>22.309999999999999</v>
      </c>
      <c r="N811" s="36">
        <v>22.309999999999999</v>
      </c>
    </row>
    <row r="812" ht="25.5">
      <c r="A812" s="19" t="s">
        <v>10638</v>
      </c>
      <c r="B812" s="19">
        <v>37734</v>
      </c>
      <c r="C812" s="20" t="s">
        <v>11268</v>
      </c>
      <c r="D812" s="19" t="s">
        <v>31</v>
      </c>
      <c r="E812" s="19" t="s">
        <v>10459</v>
      </c>
      <c r="F812" s="21" t="str">
        <f t="shared" si="506"/>
        <v>VERIFICAR</v>
      </c>
      <c r="G812" s="21" t="str">
        <f t="shared" si="506"/>
        <v>VERIFICAR</v>
      </c>
      <c r="H812" s="21" t="str">
        <f t="shared" si="506"/>
        <v>VERIFICAR</v>
      </c>
      <c r="I812" s="24" t="str">
        <f t="shared" si="507"/>
        <v xml:space="preserve">SEM VALOR</v>
      </c>
      <c r="L812" s="36"/>
      <c r="M812" s="37"/>
      <c r="N812" s="36"/>
    </row>
    <row r="813" ht="25.5">
      <c r="A813" s="19" t="s">
        <v>10638</v>
      </c>
      <c r="B813" s="19">
        <v>37733</v>
      </c>
      <c r="C813" s="20" t="s">
        <v>11269</v>
      </c>
      <c r="D813" s="19" t="s">
        <v>31</v>
      </c>
      <c r="E813" s="19" t="s">
        <v>10459</v>
      </c>
      <c r="F813" s="21" t="str">
        <f t="shared" si="506"/>
        <v>VERIFICAR</v>
      </c>
      <c r="G813" s="21" t="str">
        <f t="shared" si="506"/>
        <v>VERIFICAR</v>
      </c>
      <c r="H813" s="21" t="str">
        <f t="shared" si="506"/>
        <v>VERIFICAR</v>
      </c>
      <c r="I813" s="24" t="str">
        <f t="shared" si="507"/>
        <v xml:space="preserve">SEM VALOR</v>
      </c>
      <c r="L813" s="36"/>
      <c r="M813" s="37"/>
      <c r="N813" s="36"/>
    </row>
    <row r="814" ht="51">
      <c r="A814" s="19" t="s">
        <v>10460</v>
      </c>
      <c r="B814" s="19">
        <v>5090</v>
      </c>
      <c r="C814" s="20" t="s">
        <v>11270</v>
      </c>
      <c r="D814" s="19" t="s">
        <v>31</v>
      </c>
      <c r="E814" s="19" t="s">
        <v>10466</v>
      </c>
      <c r="F814" s="21">
        <f t="shared" si="506"/>
        <v>24.32</v>
      </c>
      <c r="G814" s="21">
        <f t="shared" si="506"/>
        <v>24.32</v>
      </c>
      <c r="H814" s="21">
        <f t="shared" si="506"/>
        <v>24.32</v>
      </c>
      <c r="I814" s="24" t="str">
        <f t="shared" si="507"/>
        <v xml:space="preserve">COM VALOR</v>
      </c>
      <c r="L814" s="36">
        <v>24.32</v>
      </c>
      <c r="M814" s="37">
        <v>24.32</v>
      </c>
      <c r="N814" s="36">
        <v>24.32</v>
      </c>
    </row>
    <row r="815" ht="51">
      <c r="A815" s="19" t="s">
        <v>10460</v>
      </c>
      <c r="B815" s="19">
        <v>5085</v>
      </c>
      <c r="C815" s="20" t="s">
        <v>11271</v>
      </c>
      <c r="D815" s="19" t="s">
        <v>31</v>
      </c>
      <c r="E815" s="19" t="s">
        <v>10459</v>
      </c>
      <c r="F815" s="21">
        <f t="shared" si="506"/>
        <v>36.200000000000003</v>
      </c>
      <c r="G815" s="21">
        <f t="shared" si="506"/>
        <v>36.200000000000003</v>
      </c>
      <c r="H815" s="21">
        <f t="shared" si="506"/>
        <v>36.200000000000003</v>
      </c>
      <c r="I815" s="24" t="str">
        <f t="shared" si="507"/>
        <v xml:space="preserve">COM VALOR</v>
      </c>
      <c r="L815" s="36">
        <v>36.200000000000003</v>
      </c>
      <c r="M815" s="37">
        <v>36.200000000000003</v>
      </c>
      <c r="N815" s="36">
        <v>36.200000000000003</v>
      </c>
    </row>
    <row r="816" ht="51">
      <c r="A816" s="19" t="s">
        <v>10460</v>
      </c>
      <c r="B816" s="19">
        <v>43603</v>
      </c>
      <c r="C816" s="20" t="s">
        <v>11272</v>
      </c>
      <c r="D816" s="19" t="s">
        <v>31</v>
      </c>
      <c r="E816" s="19" t="s">
        <v>10459</v>
      </c>
      <c r="F816" s="21">
        <f t="shared" si="506"/>
        <v>51.719999999999999</v>
      </c>
      <c r="G816" s="21">
        <f t="shared" si="506"/>
        <v>51.719999999999999</v>
      </c>
      <c r="H816" s="21">
        <f t="shared" si="506"/>
        <v>51.719999999999999</v>
      </c>
      <c r="I816" s="24" t="str">
        <f t="shared" si="507"/>
        <v xml:space="preserve">COM VALOR</v>
      </c>
      <c r="L816" s="36">
        <v>51.719999999999999</v>
      </c>
      <c r="M816" s="37">
        <v>51.719999999999999</v>
      </c>
      <c r="N816" s="36">
        <v>51.719999999999999</v>
      </c>
    </row>
    <row r="817" ht="25.5">
      <c r="A817" s="19" t="s">
        <v>10460</v>
      </c>
      <c r="B817" s="19">
        <v>38374</v>
      </c>
      <c r="C817" s="20" t="s">
        <v>11273</v>
      </c>
      <c r="D817" s="19" t="s">
        <v>31</v>
      </c>
      <c r="E817" s="19" t="s">
        <v>10459</v>
      </c>
      <c r="F817" s="21">
        <f t="shared" si="506"/>
        <v>843.73000000000002</v>
      </c>
      <c r="G817" s="21">
        <f t="shared" si="506"/>
        <v>843.73000000000002</v>
      </c>
      <c r="H817" s="21">
        <f t="shared" si="506"/>
        <v>843.73000000000002</v>
      </c>
      <c r="I817" s="24" t="str">
        <f t="shared" si="507"/>
        <v xml:space="preserve">COM VALOR</v>
      </c>
      <c r="L817" s="36">
        <v>843.73000000000002</v>
      </c>
      <c r="M817" s="37">
        <v>843.73000000000002</v>
      </c>
      <c r="N817" s="36">
        <v>843.73000000000002</v>
      </c>
    </row>
    <row r="818" ht="25.5">
      <c r="A818" s="19" t="s">
        <v>10460</v>
      </c>
      <c r="B818" s="19">
        <v>4513</v>
      </c>
      <c r="C818" s="20" t="s">
        <v>11274</v>
      </c>
      <c r="D818" s="19" t="s">
        <v>38</v>
      </c>
      <c r="E818" s="19" t="s">
        <v>10459</v>
      </c>
      <c r="F818" s="21">
        <f t="shared" si="506"/>
        <v>4.8099999999999996</v>
      </c>
      <c r="G818" s="21">
        <f t="shared" si="506"/>
        <v>4.8099999999999996</v>
      </c>
      <c r="H818" s="21">
        <f t="shared" si="506"/>
        <v>4.8099999999999996</v>
      </c>
      <c r="I818" s="24" t="str">
        <f t="shared" si="507"/>
        <v xml:space="preserve">COM VALOR</v>
      </c>
      <c r="L818" s="36">
        <v>4.8099999999999996</v>
      </c>
      <c r="M818" s="37">
        <v>4.8099999999999996</v>
      </c>
      <c r="N818" s="36">
        <v>4.8099999999999996</v>
      </c>
    </row>
    <row r="819" ht="38.25">
      <c r="A819" s="19" t="s">
        <v>10460</v>
      </c>
      <c r="B819" s="19">
        <v>20212</v>
      </c>
      <c r="C819" s="20" t="s">
        <v>11275</v>
      </c>
      <c r="D819" s="19" t="s">
        <v>38</v>
      </c>
      <c r="E819" s="19" t="s">
        <v>10459</v>
      </c>
      <c r="F819" s="21">
        <f t="shared" si="506"/>
        <v>25.289999999999999</v>
      </c>
      <c r="G819" s="21">
        <f t="shared" si="506"/>
        <v>25.289999999999999</v>
      </c>
      <c r="H819" s="21">
        <f t="shared" si="506"/>
        <v>25.289999999999999</v>
      </c>
      <c r="I819" s="24" t="str">
        <f t="shared" si="507"/>
        <v xml:space="preserve">COM VALOR</v>
      </c>
      <c r="L819" s="36">
        <v>25.289999999999999</v>
      </c>
      <c r="M819" s="37">
        <v>25.289999999999999</v>
      </c>
      <c r="N819" s="36">
        <v>25.289999999999999</v>
      </c>
    </row>
    <row r="820" ht="38.25">
      <c r="A820" s="19" t="s">
        <v>10460</v>
      </c>
      <c r="B820" s="19">
        <v>20209</v>
      </c>
      <c r="C820" s="20" t="s">
        <v>11276</v>
      </c>
      <c r="D820" s="19" t="s">
        <v>38</v>
      </c>
      <c r="E820" s="19" t="s">
        <v>10459</v>
      </c>
      <c r="F820" s="21">
        <f t="shared" si="506"/>
        <v>30.210000000000001</v>
      </c>
      <c r="G820" s="21">
        <f t="shared" si="506"/>
        <v>30.210000000000001</v>
      </c>
      <c r="H820" s="21">
        <f t="shared" si="506"/>
        <v>30.210000000000001</v>
      </c>
      <c r="I820" s="24" t="str">
        <f t="shared" si="507"/>
        <v xml:space="preserve">COM VALOR</v>
      </c>
      <c r="L820" s="36">
        <v>30.210000000000001</v>
      </c>
      <c r="M820" s="37">
        <v>30.210000000000001</v>
      </c>
      <c r="N820" s="36">
        <v>30.210000000000001</v>
      </c>
    </row>
    <row r="821" ht="38.25">
      <c r="A821" s="19" t="s">
        <v>10460</v>
      </c>
      <c r="B821" s="19">
        <v>4430</v>
      </c>
      <c r="C821" s="20" t="s">
        <v>11277</v>
      </c>
      <c r="D821" s="19" t="s">
        <v>38</v>
      </c>
      <c r="E821" s="19" t="s">
        <v>10466</v>
      </c>
      <c r="F821" s="21">
        <f t="shared" si="506"/>
        <v>14.800000000000001</v>
      </c>
      <c r="G821" s="21">
        <f t="shared" si="506"/>
        <v>14.800000000000001</v>
      </c>
      <c r="H821" s="21">
        <f t="shared" si="506"/>
        <v>14.800000000000001</v>
      </c>
      <c r="I821" s="24" t="str">
        <f t="shared" si="507"/>
        <v xml:space="preserve">COM VALOR</v>
      </c>
      <c r="L821" s="36">
        <v>14.800000000000001</v>
      </c>
      <c r="M821" s="37">
        <v>14.800000000000001</v>
      </c>
      <c r="N821" s="36">
        <v>14.800000000000001</v>
      </c>
    </row>
    <row r="822" ht="38.25">
      <c r="A822" s="19" t="s">
        <v>10460</v>
      </c>
      <c r="B822" s="19">
        <v>4433</v>
      </c>
      <c r="C822" s="20" t="s">
        <v>11278</v>
      </c>
      <c r="D822" s="19" t="s">
        <v>38</v>
      </c>
      <c r="E822" s="19" t="s">
        <v>10459</v>
      </c>
      <c r="F822" s="21">
        <f t="shared" si="506"/>
        <v>28.940000000000001</v>
      </c>
      <c r="G822" s="21">
        <f t="shared" si="506"/>
        <v>28.940000000000001</v>
      </c>
      <c r="H822" s="21">
        <f t="shared" si="506"/>
        <v>28.940000000000001</v>
      </c>
      <c r="I822" s="24" t="str">
        <f t="shared" si="507"/>
        <v xml:space="preserve">COM VALOR</v>
      </c>
      <c r="L822" s="36">
        <v>28.940000000000001</v>
      </c>
      <c r="M822" s="37">
        <v>28.940000000000001</v>
      </c>
      <c r="N822" s="36">
        <v>28.940000000000001</v>
      </c>
    </row>
    <row r="823" ht="38.25">
      <c r="A823" s="19" t="s">
        <v>10460</v>
      </c>
      <c r="B823" s="19">
        <v>4400</v>
      </c>
      <c r="C823" s="20" t="s">
        <v>11279</v>
      </c>
      <c r="D823" s="19" t="s">
        <v>38</v>
      </c>
      <c r="E823" s="19" t="s">
        <v>10459</v>
      </c>
      <c r="F823" s="21">
        <f t="shared" si="506"/>
        <v>23.550000000000001</v>
      </c>
      <c r="G823" s="21">
        <f t="shared" si="506"/>
        <v>23.550000000000001</v>
      </c>
      <c r="H823" s="21">
        <f t="shared" si="506"/>
        <v>23.550000000000001</v>
      </c>
      <c r="I823" s="24" t="str">
        <f t="shared" si="507"/>
        <v xml:space="preserve">COM VALOR</v>
      </c>
      <c r="L823" s="36">
        <v>23.550000000000001</v>
      </c>
      <c r="M823" s="37">
        <v>23.550000000000001</v>
      </c>
      <c r="N823" s="36">
        <v>23.550000000000001</v>
      </c>
    </row>
    <row r="824" ht="25.5">
      <c r="A824" s="19" t="s">
        <v>10460</v>
      </c>
      <c r="B824" s="19">
        <v>2729</v>
      </c>
      <c r="C824" s="20" t="s">
        <v>11280</v>
      </c>
      <c r="D824" s="19" t="s">
        <v>31</v>
      </c>
      <c r="E824" s="19" t="s">
        <v>10459</v>
      </c>
      <c r="F824" s="21">
        <f t="shared" si="506"/>
        <v>44.740000000000002</v>
      </c>
      <c r="G824" s="21">
        <f t="shared" si="506"/>
        <v>44.740000000000002</v>
      </c>
      <c r="H824" s="21">
        <f t="shared" si="506"/>
        <v>44.740000000000002</v>
      </c>
      <c r="I824" s="24" t="str">
        <f t="shared" si="507"/>
        <v xml:space="preserve">COM VALOR</v>
      </c>
      <c r="L824" s="36">
        <v>44.740000000000002</v>
      </c>
      <c r="M824" s="37">
        <v>44.740000000000002</v>
      </c>
      <c r="N824" s="36">
        <v>44.740000000000002</v>
      </c>
    </row>
    <row r="825" ht="25.5">
      <c r="A825" s="19" t="s">
        <v>10460</v>
      </c>
      <c r="B825" s="19">
        <v>37106</v>
      </c>
      <c r="C825" s="20" t="s">
        <v>11281</v>
      </c>
      <c r="D825" s="19" t="s">
        <v>31</v>
      </c>
      <c r="E825" s="19" t="s">
        <v>10459</v>
      </c>
      <c r="F825" s="21">
        <f t="shared" si="506"/>
        <v>5087.6000000000004</v>
      </c>
      <c r="G825" s="21">
        <f t="shared" si="506"/>
        <v>5087.6000000000004</v>
      </c>
      <c r="H825" s="21">
        <f t="shared" si="506"/>
        <v>5087.6000000000004</v>
      </c>
      <c r="I825" s="24" t="str">
        <f t="shared" si="507"/>
        <v xml:space="preserve">COM VALOR</v>
      </c>
      <c r="L825" s="36">
        <v>5087.6000000000004</v>
      </c>
      <c r="M825" s="37">
        <v>5087.6000000000004</v>
      </c>
      <c r="N825" s="36">
        <v>5087.6000000000004</v>
      </c>
    </row>
    <row r="826" ht="25.5">
      <c r="A826" s="19" t="s">
        <v>10460</v>
      </c>
      <c r="B826" s="19">
        <v>11869</v>
      </c>
      <c r="C826" s="20" t="s">
        <v>11282</v>
      </c>
      <c r="D826" s="19" t="s">
        <v>31</v>
      </c>
      <c r="E826" s="19" t="s">
        <v>10459</v>
      </c>
      <c r="F826" s="21">
        <f t="shared" si="506"/>
        <v>1017.52</v>
      </c>
      <c r="G826" s="21">
        <f t="shared" si="506"/>
        <v>1017.52</v>
      </c>
      <c r="H826" s="21">
        <f t="shared" si="506"/>
        <v>1017.52</v>
      </c>
      <c r="I826" s="24" t="str">
        <f t="shared" si="507"/>
        <v xml:space="preserve">COM VALOR</v>
      </c>
      <c r="L826" s="36">
        <v>1017.52</v>
      </c>
      <c r="M826" s="37">
        <v>1017.52</v>
      </c>
      <c r="N826" s="36">
        <v>1017.52</v>
      </c>
    </row>
    <row r="827" ht="25.5">
      <c r="A827" s="19" t="s">
        <v>10460</v>
      </c>
      <c r="B827" s="19">
        <v>43981</v>
      </c>
      <c r="C827" s="20" t="s">
        <v>11283</v>
      </c>
      <c r="D827" s="19" t="s">
        <v>31</v>
      </c>
      <c r="E827" s="19" t="s">
        <v>10459</v>
      </c>
      <c r="F827" s="21">
        <f t="shared" si="506"/>
        <v>7666.9700000000003</v>
      </c>
      <c r="G827" s="21">
        <f t="shared" si="506"/>
        <v>7666.9700000000003</v>
      </c>
      <c r="H827" s="21">
        <f t="shared" si="506"/>
        <v>7666.9700000000003</v>
      </c>
      <c r="I827" s="24" t="str">
        <f t="shared" si="507"/>
        <v xml:space="preserve">COM VALOR</v>
      </c>
      <c r="L827" s="36">
        <v>7666.9700000000003</v>
      </c>
      <c r="M827" s="37">
        <v>7666.9700000000003</v>
      </c>
      <c r="N827" s="36">
        <v>7666.9700000000003</v>
      </c>
    </row>
    <row r="828" ht="25.5">
      <c r="A828" s="19" t="s">
        <v>10460</v>
      </c>
      <c r="B828" s="19">
        <v>37104</v>
      </c>
      <c r="C828" s="20" t="s">
        <v>11284</v>
      </c>
      <c r="D828" s="19" t="s">
        <v>31</v>
      </c>
      <c r="E828" s="19" t="s">
        <v>10459</v>
      </c>
      <c r="F828" s="21">
        <f t="shared" si="506"/>
        <v>1277.01</v>
      </c>
      <c r="G828" s="21">
        <f t="shared" si="506"/>
        <v>1277.01</v>
      </c>
      <c r="H828" s="21">
        <f t="shared" si="506"/>
        <v>1277.01</v>
      </c>
      <c r="I828" s="24" t="str">
        <f t="shared" si="507"/>
        <v xml:space="preserve">COM VALOR</v>
      </c>
      <c r="L828" s="36">
        <v>1277.01</v>
      </c>
      <c r="M828" s="37">
        <v>1277.01</v>
      </c>
      <c r="N828" s="36">
        <v>1277.01</v>
      </c>
    </row>
    <row r="829" ht="25.5">
      <c r="A829" s="19" t="s">
        <v>10460</v>
      </c>
      <c r="B829" s="19">
        <v>43982</v>
      </c>
      <c r="C829" s="20" t="s">
        <v>11285</v>
      </c>
      <c r="D829" s="19" t="s">
        <v>31</v>
      </c>
      <c r="E829" s="19" t="s">
        <v>10459</v>
      </c>
      <c r="F829" s="21">
        <f t="shared" si="506"/>
        <v>12111.879999999999</v>
      </c>
      <c r="G829" s="21">
        <f t="shared" si="506"/>
        <v>12111.879999999999</v>
      </c>
      <c r="H829" s="21">
        <f t="shared" si="506"/>
        <v>12111.879999999999</v>
      </c>
      <c r="I829" s="24" t="str">
        <f t="shared" si="507"/>
        <v xml:space="preserve">COM VALOR</v>
      </c>
      <c r="L829" s="36">
        <v>12111.879999999999</v>
      </c>
      <c r="M829" s="37">
        <v>12111.879999999999</v>
      </c>
      <c r="N829" s="36">
        <v>12111.879999999999</v>
      </c>
    </row>
    <row r="830" ht="25.5">
      <c r="A830" s="19" t="s">
        <v>10460</v>
      </c>
      <c r="B830" s="19">
        <v>43978</v>
      </c>
      <c r="C830" s="20" t="s">
        <v>11286</v>
      </c>
      <c r="D830" s="19" t="s">
        <v>31</v>
      </c>
      <c r="E830" s="19" t="s">
        <v>10459</v>
      </c>
      <c r="F830" s="21">
        <f t="shared" si="506"/>
        <v>1892.5</v>
      </c>
      <c r="G830" s="21">
        <f t="shared" si="506"/>
        <v>1892.5</v>
      </c>
      <c r="H830" s="21">
        <f t="shared" si="506"/>
        <v>1892.5</v>
      </c>
      <c r="I830" s="24" t="str">
        <f t="shared" si="507"/>
        <v xml:space="preserve">COM VALOR</v>
      </c>
      <c r="L830" s="36">
        <v>1892.5</v>
      </c>
      <c r="M830" s="37">
        <v>1892.5</v>
      </c>
      <c r="N830" s="36">
        <v>1892.5</v>
      </c>
    </row>
    <row r="831" ht="25.5">
      <c r="A831" s="19" t="s">
        <v>10460</v>
      </c>
      <c r="B831" s="19">
        <v>11871</v>
      </c>
      <c r="C831" s="20" t="s">
        <v>11287</v>
      </c>
      <c r="D831" s="19" t="s">
        <v>31</v>
      </c>
      <c r="E831" s="19" t="s">
        <v>10459</v>
      </c>
      <c r="F831" s="21">
        <f t="shared" si="506"/>
        <v>474.31999999999999</v>
      </c>
      <c r="G831" s="21">
        <f t="shared" si="506"/>
        <v>474.31999999999999</v>
      </c>
      <c r="H831" s="21">
        <f t="shared" si="506"/>
        <v>474.31999999999999</v>
      </c>
      <c r="I831" s="24" t="str">
        <f t="shared" si="507"/>
        <v xml:space="preserve">COM VALOR</v>
      </c>
      <c r="L831" s="36">
        <v>474.31999999999999</v>
      </c>
      <c r="M831" s="37">
        <v>474.31999999999999</v>
      </c>
      <c r="N831" s="36">
        <v>474.31999999999999</v>
      </c>
    </row>
    <row r="832" ht="25.5">
      <c r="A832" s="19" t="s">
        <v>10460</v>
      </c>
      <c r="B832" s="19">
        <v>37105</v>
      </c>
      <c r="C832" s="20" t="s">
        <v>11288</v>
      </c>
      <c r="D832" s="19" t="s">
        <v>31</v>
      </c>
      <c r="E832" s="19" t="s">
        <v>10459</v>
      </c>
      <c r="F832" s="21">
        <f t="shared" si="506"/>
        <v>2918.4499999999998</v>
      </c>
      <c r="G832" s="21">
        <f t="shared" si="506"/>
        <v>2918.4499999999998</v>
      </c>
      <c r="H832" s="21">
        <f t="shared" si="506"/>
        <v>2918.4499999999998</v>
      </c>
      <c r="I832" s="24" t="str">
        <f t="shared" si="507"/>
        <v xml:space="preserve">COM VALOR</v>
      </c>
      <c r="L832" s="36">
        <v>2918.4499999999998</v>
      </c>
      <c r="M832" s="37">
        <v>2918.4499999999998</v>
      </c>
      <c r="N832" s="36">
        <v>2918.4499999999998</v>
      </c>
    </row>
    <row r="833" ht="25.5">
      <c r="A833" s="19" t="s">
        <v>10460</v>
      </c>
      <c r="B833" s="19">
        <v>43980</v>
      </c>
      <c r="C833" s="20" t="s">
        <v>11289</v>
      </c>
      <c r="D833" s="19" t="s">
        <v>31</v>
      </c>
      <c r="E833" s="19" t="s">
        <v>10459</v>
      </c>
      <c r="F833" s="21">
        <f t="shared" si="506"/>
        <v>3634.6199999999999</v>
      </c>
      <c r="G833" s="21">
        <f t="shared" si="506"/>
        <v>3634.6199999999999</v>
      </c>
      <c r="H833" s="21">
        <f t="shared" si="506"/>
        <v>3634.6199999999999</v>
      </c>
      <c r="I833" s="24" t="str">
        <f t="shared" si="507"/>
        <v xml:space="preserve">COM VALOR</v>
      </c>
      <c r="L833" s="36">
        <v>3634.6199999999999</v>
      </c>
      <c r="M833" s="37">
        <v>3634.6199999999999</v>
      </c>
      <c r="N833" s="36">
        <v>3634.6199999999999</v>
      </c>
    </row>
    <row r="834" ht="25.5">
      <c r="A834" s="19" t="s">
        <v>10460</v>
      </c>
      <c r="B834" s="19">
        <v>43979</v>
      </c>
      <c r="C834" s="20" t="s">
        <v>11290</v>
      </c>
      <c r="D834" s="19" t="s">
        <v>31</v>
      </c>
      <c r="E834" s="19" t="s">
        <v>10459</v>
      </c>
      <c r="F834" s="21">
        <f t="shared" si="506"/>
        <v>682.90999999999997</v>
      </c>
      <c r="G834" s="21">
        <f t="shared" si="506"/>
        <v>682.90999999999997</v>
      </c>
      <c r="H834" s="21">
        <f t="shared" si="506"/>
        <v>682.90999999999997</v>
      </c>
      <c r="I834" s="24" t="str">
        <f t="shared" si="507"/>
        <v xml:space="preserve">COM VALOR</v>
      </c>
      <c r="L834" s="36">
        <v>682.90999999999997</v>
      </c>
      <c r="M834" s="37">
        <v>682.90999999999997</v>
      </c>
      <c r="N834" s="36">
        <v>682.90999999999997</v>
      </c>
    </row>
    <row r="835" ht="25.5">
      <c r="A835" s="19" t="s">
        <v>10460</v>
      </c>
      <c r="B835" s="19">
        <v>11868</v>
      </c>
      <c r="C835" s="20" t="s">
        <v>11291</v>
      </c>
      <c r="D835" s="19" t="s">
        <v>31</v>
      </c>
      <c r="E835" s="19" t="s">
        <v>10459</v>
      </c>
      <c r="F835" s="21">
        <f t="shared" si="506"/>
        <v>660.44000000000005</v>
      </c>
      <c r="G835" s="21">
        <f t="shared" si="506"/>
        <v>660.44000000000005</v>
      </c>
      <c r="H835" s="21">
        <f t="shared" si="506"/>
        <v>660.44000000000005</v>
      </c>
      <c r="I835" s="24" t="str">
        <f t="shared" si="507"/>
        <v xml:space="preserve">COM VALOR</v>
      </c>
      <c r="L835" s="36">
        <v>660.44000000000005</v>
      </c>
      <c r="M835" s="37">
        <v>660.44000000000005</v>
      </c>
      <c r="N835" s="36">
        <v>660.44000000000005</v>
      </c>
    </row>
    <row r="836" ht="25.5">
      <c r="A836" s="19" t="s">
        <v>10460</v>
      </c>
      <c r="B836" s="19">
        <v>34636</v>
      </c>
      <c r="C836" s="20" t="s">
        <v>11292</v>
      </c>
      <c r="D836" s="19" t="s">
        <v>31</v>
      </c>
      <c r="E836" s="19" t="s">
        <v>10466</v>
      </c>
      <c r="F836" s="21">
        <f t="shared" si="506"/>
        <v>469</v>
      </c>
      <c r="G836" s="21">
        <f t="shared" si="506"/>
        <v>469</v>
      </c>
      <c r="H836" s="21">
        <f t="shared" si="506"/>
        <v>469</v>
      </c>
      <c r="I836" s="24" t="str">
        <f t="shared" si="507"/>
        <v xml:space="preserve">COM VALOR</v>
      </c>
      <c r="L836" s="36">
        <v>469</v>
      </c>
      <c r="M836" s="37">
        <v>469</v>
      </c>
      <c r="N836" s="36">
        <v>469</v>
      </c>
    </row>
    <row r="837" ht="25.5">
      <c r="A837" s="19" t="s">
        <v>10460</v>
      </c>
      <c r="B837" s="19">
        <v>34639</v>
      </c>
      <c r="C837" s="20" t="s">
        <v>11293</v>
      </c>
      <c r="D837" s="19" t="s">
        <v>31</v>
      </c>
      <c r="E837" s="19" t="s">
        <v>10459</v>
      </c>
      <c r="F837" s="21">
        <f t="shared" si="506"/>
        <v>1082.53</v>
      </c>
      <c r="G837" s="21">
        <f t="shared" si="506"/>
        <v>1082.53</v>
      </c>
      <c r="H837" s="21">
        <f t="shared" si="506"/>
        <v>1082.53</v>
      </c>
      <c r="I837" s="24" t="str">
        <f t="shared" si="507"/>
        <v xml:space="preserve">COM VALOR</v>
      </c>
      <c r="L837" s="36">
        <v>1082.53</v>
      </c>
      <c r="M837" s="37">
        <v>1082.53</v>
      </c>
      <c r="N837" s="36">
        <v>1082.53</v>
      </c>
    </row>
    <row r="838" ht="25.5">
      <c r="A838" s="19" t="s">
        <v>10460</v>
      </c>
      <c r="B838" s="19">
        <v>34640</v>
      </c>
      <c r="C838" s="20" t="s">
        <v>11294</v>
      </c>
      <c r="D838" s="19" t="s">
        <v>31</v>
      </c>
      <c r="E838" s="19" t="s">
        <v>10459</v>
      </c>
      <c r="F838" s="21">
        <f t="shared" si="506"/>
        <v>1227.97</v>
      </c>
      <c r="G838" s="21">
        <f t="shared" si="506"/>
        <v>1227.97</v>
      </c>
      <c r="H838" s="21">
        <f t="shared" si="506"/>
        <v>1227.97</v>
      </c>
      <c r="I838" s="24" t="str">
        <f t="shared" si="507"/>
        <v xml:space="preserve">COM VALOR</v>
      </c>
      <c r="L838" s="36">
        <v>1227.97</v>
      </c>
      <c r="M838" s="37">
        <v>1227.97</v>
      </c>
      <c r="N838" s="36">
        <v>1227.97</v>
      </c>
    </row>
    <row r="839" ht="25.5">
      <c r="A839" s="19" t="s">
        <v>10460</v>
      </c>
      <c r="B839" s="19">
        <v>43977</v>
      </c>
      <c r="C839" s="20" t="s">
        <v>11295</v>
      </c>
      <c r="D839" s="19" t="s">
        <v>31</v>
      </c>
      <c r="E839" s="19" t="s">
        <v>10459</v>
      </c>
      <c r="F839" s="21">
        <f t="shared" si="506"/>
        <v>2116.9400000000001</v>
      </c>
      <c r="G839" s="21">
        <f t="shared" si="506"/>
        <v>2116.9400000000001</v>
      </c>
      <c r="H839" s="21">
        <f t="shared" si="506"/>
        <v>2116.9400000000001</v>
      </c>
      <c r="I839" s="24" t="str">
        <f t="shared" si="507"/>
        <v xml:space="preserve">COM VALOR</v>
      </c>
      <c r="L839" s="36">
        <v>2116.9400000000001</v>
      </c>
      <c r="M839" s="37">
        <v>2116.9400000000001</v>
      </c>
      <c r="N839" s="36">
        <v>2116.9400000000001</v>
      </c>
    </row>
    <row r="840" ht="25.5">
      <c r="A840" s="19" t="s">
        <v>10460</v>
      </c>
      <c r="B840" s="19">
        <v>34637</v>
      </c>
      <c r="C840" s="20" t="s">
        <v>11296</v>
      </c>
      <c r="D840" s="19" t="s">
        <v>31</v>
      </c>
      <c r="E840" s="19" t="s">
        <v>10459</v>
      </c>
      <c r="F840" s="21">
        <f t="shared" si="506"/>
        <v>283.62</v>
      </c>
      <c r="G840" s="21">
        <f t="shared" si="506"/>
        <v>283.62</v>
      </c>
      <c r="H840" s="21">
        <f t="shared" si="506"/>
        <v>283.62</v>
      </c>
      <c r="I840" s="24" t="str">
        <f t="shared" si="507"/>
        <v xml:space="preserve">COM VALOR</v>
      </c>
      <c r="L840" s="36">
        <v>283.62</v>
      </c>
      <c r="M840" s="37">
        <v>283.62</v>
      </c>
      <c r="N840" s="36">
        <v>283.62</v>
      </c>
    </row>
    <row r="841" ht="25.5">
      <c r="A841" s="19" t="s">
        <v>10460</v>
      </c>
      <c r="B841" s="19">
        <v>34638</v>
      </c>
      <c r="C841" s="20" t="s">
        <v>11297</v>
      </c>
      <c r="D841" s="19" t="s">
        <v>31</v>
      </c>
      <c r="E841" s="19" t="s">
        <v>10459</v>
      </c>
      <c r="F841" s="21">
        <f t="shared" si="506"/>
        <v>438.70999999999998</v>
      </c>
      <c r="G841" s="21">
        <f t="shared" si="506"/>
        <v>438.70999999999998</v>
      </c>
      <c r="H841" s="21">
        <f t="shared" si="506"/>
        <v>438.70999999999998</v>
      </c>
      <c r="I841" s="24" t="str">
        <f t="shared" si="507"/>
        <v xml:space="preserve">COM VALOR</v>
      </c>
      <c r="L841" s="36">
        <v>438.70999999999998</v>
      </c>
      <c r="M841" s="37">
        <v>438.70999999999998</v>
      </c>
      <c r="N841" s="36">
        <v>438.70999999999998</v>
      </c>
    </row>
    <row r="842" ht="38.25">
      <c r="A842" s="19" t="s">
        <v>10460</v>
      </c>
      <c r="B842" s="19">
        <v>34641</v>
      </c>
      <c r="C842" s="20" t="s">
        <v>11298</v>
      </c>
      <c r="D842" s="19" t="s">
        <v>31</v>
      </c>
      <c r="E842" s="19" t="s">
        <v>10459</v>
      </c>
      <c r="F842" s="21">
        <f t="shared" si="506"/>
        <v>116.11</v>
      </c>
      <c r="G842" s="21">
        <f t="shared" si="506"/>
        <v>116.11</v>
      </c>
      <c r="H842" s="21">
        <f t="shared" si="506"/>
        <v>116.11</v>
      </c>
      <c r="I842" s="24" t="str">
        <f t="shared" si="507"/>
        <v xml:space="preserve">COM VALOR</v>
      </c>
      <c r="L842" s="36">
        <v>116.11</v>
      </c>
      <c r="M842" s="37">
        <v>116.11</v>
      </c>
      <c r="N842" s="36">
        <v>116.11</v>
      </c>
    </row>
    <row r="843" ht="25.5">
      <c r="A843" s="19" t="s">
        <v>10460</v>
      </c>
      <c r="B843" s="19">
        <v>43434</v>
      </c>
      <c r="C843" s="20" t="s">
        <v>11299</v>
      </c>
      <c r="D843" s="19" t="s">
        <v>31</v>
      </c>
      <c r="E843" s="19" t="s">
        <v>10459</v>
      </c>
      <c r="F843" s="21">
        <f t="shared" ref="F843:H906" si="508">IF(L843=0,"VERIFICAR",L843)</f>
        <v>125.54000000000001</v>
      </c>
      <c r="G843" s="21">
        <f t="shared" si="508"/>
        <v>125.54000000000001</v>
      </c>
      <c r="H843" s="21">
        <f t="shared" si="508"/>
        <v>125.54000000000001</v>
      </c>
      <c r="I843" s="24" t="str">
        <f t="shared" ref="I843:I906" si="509">IF(OR(L843=0,M843=0,N843=0),"SEM VALOR","COM VALOR")</f>
        <v xml:space="preserve">COM VALOR</v>
      </c>
      <c r="L843" s="36">
        <v>125.54000000000001</v>
      </c>
      <c r="M843" s="37">
        <v>125.54000000000001</v>
      </c>
      <c r="N843" s="36">
        <v>125.54000000000001</v>
      </c>
    </row>
    <row r="844" ht="25.5">
      <c r="A844" s="19" t="s">
        <v>10460</v>
      </c>
      <c r="B844" s="19">
        <v>43435</v>
      </c>
      <c r="C844" s="20" t="s">
        <v>11300</v>
      </c>
      <c r="D844" s="19" t="s">
        <v>31</v>
      </c>
      <c r="E844" s="19" t="s">
        <v>10459</v>
      </c>
      <c r="F844" s="21">
        <f t="shared" si="508"/>
        <v>230.16</v>
      </c>
      <c r="G844" s="21">
        <f t="shared" si="508"/>
        <v>230.16</v>
      </c>
      <c r="H844" s="21">
        <f t="shared" si="508"/>
        <v>230.16</v>
      </c>
      <c r="I844" s="24" t="str">
        <f t="shared" si="509"/>
        <v xml:space="preserve">COM VALOR</v>
      </c>
      <c r="L844" s="36">
        <v>230.16</v>
      </c>
      <c r="M844" s="37">
        <v>230.16</v>
      </c>
      <c r="N844" s="36">
        <v>230.16</v>
      </c>
    </row>
    <row r="845" ht="25.5">
      <c r="A845" s="19" t="s">
        <v>10460</v>
      </c>
      <c r="B845" s="19">
        <v>43436</v>
      </c>
      <c r="C845" s="20" t="s">
        <v>11301</v>
      </c>
      <c r="D845" s="19" t="s">
        <v>31</v>
      </c>
      <c r="E845" s="19" t="s">
        <v>10459</v>
      </c>
      <c r="F845" s="21">
        <f t="shared" si="508"/>
        <v>402.79000000000002</v>
      </c>
      <c r="G845" s="21">
        <f t="shared" si="508"/>
        <v>402.79000000000002</v>
      </c>
      <c r="H845" s="21">
        <f t="shared" si="508"/>
        <v>402.79000000000002</v>
      </c>
      <c r="I845" s="24" t="str">
        <f t="shared" si="509"/>
        <v xml:space="preserve">COM VALOR</v>
      </c>
      <c r="L845" s="36">
        <v>402.79000000000002</v>
      </c>
      <c r="M845" s="37">
        <v>402.79000000000002</v>
      </c>
      <c r="N845" s="36">
        <v>402.79000000000002</v>
      </c>
    </row>
    <row r="846" ht="25.5">
      <c r="A846" s="19" t="s">
        <v>10460</v>
      </c>
      <c r="B846" s="19">
        <v>43437</v>
      </c>
      <c r="C846" s="20" t="s">
        <v>11302</v>
      </c>
      <c r="D846" s="19" t="s">
        <v>31</v>
      </c>
      <c r="E846" s="19" t="s">
        <v>10459</v>
      </c>
      <c r="F846" s="21">
        <f t="shared" si="508"/>
        <v>730.25999999999999</v>
      </c>
      <c r="G846" s="21">
        <f t="shared" si="508"/>
        <v>730.25999999999999</v>
      </c>
      <c r="H846" s="21">
        <f t="shared" si="508"/>
        <v>730.25999999999999</v>
      </c>
      <c r="I846" s="24" t="str">
        <f t="shared" si="509"/>
        <v xml:space="preserve">COM VALOR</v>
      </c>
      <c r="L846" s="36">
        <v>730.25999999999999</v>
      </c>
      <c r="M846" s="37">
        <v>730.25999999999999</v>
      </c>
      <c r="N846" s="36">
        <v>730.25999999999999</v>
      </c>
    </row>
    <row r="847" ht="25.5">
      <c r="A847" s="19" t="s">
        <v>10460</v>
      </c>
      <c r="B847" s="19">
        <v>43438</v>
      </c>
      <c r="C847" s="20" t="s">
        <v>11303</v>
      </c>
      <c r="D847" s="19" t="s">
        <v>31</v>
      </c>
      <c r="E847" s="19" t="s">
        <v>10459</v>
      </c>
      <c r="F847" s="21">
        <f t="shared" si="508"/>
        <v>1307.77</v>
      </c>
      <c r="G847" s="21">
        <f t="shared" si="508"/>
        <v>1307.77</v>
      </c>
      <c r="H847" s="21">
        <f t="shared" si="508"/>
        <v>1307.77</v>
      </c>
      <c r="I847" s="24" t="str">
        <f t="shared" si="509"/>
        <v xml:space="preserve">COM VALOR</v>
      </c>
      <c r="L847" s="36">
        <v>1307.77</v>
      </c>
      <c r="M847" s="37">
        <v>1307.77</v>
      </c>
      <c r="N847" s="36">
        <v>1307.77</v>
      </c>
    </row>
    <row r="848" ht="25.5">
      <c r="A848" s="19" t="s">
        <v>10460</v>
      </c>
      <c r="B848" s="19">
        <v>41627</v>
      </c>
      <c r="C848" s="20" t="s">
        <v>11304</v>
      </c>
      <c r="D848" s="19" t="s">
        <v>31</v>
      </c>
      <c r="E848" s="19" t="s">
        <v>10459</v>
      </c>
      <c r="F848" s="21">
        <f t="shared" si="508"/>
        <v>193.55000000000001</v>
      </c>
      <c r="G848" s="21">
        <f t="shared" si="508"/>
        <v>193.55000000000001</v>
      </c>
      <c r="H848" s="21">
        <f t="shared" si="508"/>
        <v>193.55000000000001</v>
      </c>
      <c r="I848" s="24" t="str">
        <f t="shared" si="509"/>
        <v xml:space="preserve">COM VALOR</v>
      </c>
      <c r="L848" s="36">
        <v>193.55000000000001</v>
      </c>
      <c r="M848" s="37">
        <v>193.55000000000001</v>
      </c>
      <c r="N848" s="36">
        <v>193.55000000000001</v>
      </c>
    </row>
    <row r="849" ht="25.5">
      <c r="A849" s="19" t="s">
        <v>10460</v>
      </c>
      <c r="B849" s="19">
        <v>41628</v>
      </c>
      <c r="C849" s="20" t="s">
        <v>11305</v>
      </c>
      <c r="D849" s="19" t="s">
        <v>31</v>
      </c>
      <c r="E849" s="19" t="s">
        <v>10459</v>
      </c>
      <c r="F849" s="21">
        <f t="shared" si="508"/>
        <v>355.70999999999998</v>
      </c>
      <c r="G849" s="21">
        <f t="shared" si="508"/>
        <v>355.70999999999998</v>
      </c>
      <c r="H849" s="21">
        <f t="shared" si="508"/>
        <v>355.70999999999998</v>
      </c>
      <c r="I849" s="24" t="str">
        <f t="shared" si="509"/>
        <v xml:space="preserve">COM VALOR</v>
      </c>
      <c r="L849" s="36">
        <v>355.70999999999998</v>
      </c>
      <c r="M849" s="37">
        <v>355.70999999999998</v>
      </c>
      <c r="N849" s="36">
        <v>355.70999999999998</v>
      </c>
    </row>
    <row r="850" ht="25.5">
      <c r="A850" s="19" t="s">
        <v>10460</v>
      </c>
      <c r="B850" s="19">
        <v>41629</v>
      </c>
      <c r="C850" s="20" t="s">
        <v>11306</v>
      </c>
      <c r="D850" s="19" t="s">
        <v>31</v>
      </c>
      <c r="E850" s="19" t="s">
        <v>10459</v>
      </c>
      <c r="F850" s="21">
        <f t="shared" si="508"/>
        <v>451.95999999999998</v>
      </c>
      <c r="G850" s="21">
        <f t="shared" si="508"/>
        <v>451.95999999999998</v>
      </c>
      <c r="H850" s="21">
        <f t="shared" si="508"/>
        <v>451.95999999999998</v>
      </c>
      <c r="I850" s="24" t="str">
        <f t="shared" si="509"/>
        <v xml:space="preserve">COM VALOR</v>
      </c>
      <c r="L850" s="36">
        <v>451.95999999999998</v>
      </c>
      <c r="M850" s="37">
        <v>451.95999999999998</v>
      </c>
      <c r="N850" s="36">
        <v>451.95999999999998</v>
      </c>
    </row>
    <row r="851" ht="25.5">
      <c r="A851" s="19" t="s">
        <v>10460</v>
      </c>
      <c r="B851" s="19">
        <v>43429</v>
      </c>
      <c r="C851" s="20" t="s">
        <v>11307</v>
      </c>
      <c r="D851" s="19" t="s">
        <v>31</v>
      </c>
      <c r="E851" s="19" t="s">
        <v>10459</v>
      </c>
      <c r="F851" s="21">
        <f t="shared" si="508"/>
        <v>100.14</v>
      </c>
      <c r="G851" s="21">
        <f t="shared" si="508"/>
        <v>100.14</v>
      </c>
      <c r="H851" s="21">
        <f t="shared" si="508"/>
        <v>100.14</v>
      </c>
      <c r="I851" s="24" t="str">
        <f t="shared" si="509"/>
        <v xml:space="preserve">COM VALOR</v>
      </c>
      <c r="L851" s="36">
        <v>100.14</v>
      </c>
      <c r="M851" s="37">
        <v>100.14</v>
      </c>
      <c r="N851" s="36">
        <v>100.14</v>
      </c>
    </row>
    <row r="852" ht="25.5">
      <c r="A852" s="19" t="s">
        <v>10460</v>
      </c>
      <c r="B852" s="19">
        <v>43430</v>
      </c>
      <c r="C852" s="20" t="s">
        <v>11308</v>
      </c>
      <c r="D852" s="19" t="s">
        <v>31</v>
      </c>
      <c r="E852" s="19" t="s">
        <v>10459</v>
      </c>
      <c r="F852" s="21">
        <f t="shared" si="508"/>
        <v>166.34</v>
      </c>
      <c r="G852" s="21">
        <f t="shared" si="508"/>
        <v>166.34</v>
      </c>
      <c r="H852" s="21">
        <f t="shared" si="508"/>
        <v>166.34</v>
      </c>
      <c r="I852" s="24" t="str">
        <f t="shared" si="509"/>
        <v xml:space="preserve">COM VALOR</v>
      </c>
      <c r="L852" s="36">
        <v>166.34</v>
      </c>
      <c r="M852" s="37">
        <v>166.34</v>
      </c>
      <c r="N852" s="36">
        <v>166.34</v>
      </c>
    </row>
    <row r="853" ht="25.5">
      <c r="A853" s="19" t="s">
        <v>10460</v>
      </c>
      <c r="B853" s="19">
        <v>43431</v>
      </c>
      <c r="C853" s="20" t="s">
        <v>11309</v>
      </c>
      <c r="D853" s="19" t="s">
        <v>31</v>
      </c>
      <c r="E853" s="19" t="s">
        <v>10459</v>
      </c>
      <c r="F853" s="21">
        <f t="shared" si="508"/>
        <v>322.23000000000002</v>
      </c>
      <c r="G853" s="21">
        <f t="shared" si="508"/>
        <v>322.23000000000002</v>
      </c>
      <c r="H853" s="21">
        <f t="shared" si="508"/>
        <v>322.23000000000002</v>
      </c>
      <c r="I853" s="24" t="str">
        <f t="shared" si="509"/>
        <v xml:space="preserve">COM VALOR</v>
      </c>
      <c r="L853" s="36">
        <v>322.23000000000002</v>
      </c>
      <c r="M853" s="37">
        <v>322.23000000000002</v>
      </c>
      <c r="N853" s="36">
        <v>322.23000000000002</v>
      </c>
    </row>
    <row r="854" ht="25.5">
      <c r="A854" s="19" t="s">
        <v>10460</v>
      </c>
      <c r="B854" s="19">
        <v>43432</v>
      </c>
      <c r="C854" s="20" t="s">
        <v>11310</v>
      </c>
      <c r="D854" s="19" t="s">
        <v>31</v>
      </c>
      <c r="E854" s="19" t="s">
        <v>10459</v>
      </c>
      <c r="F854" s="21">
        <f t="shared" si="508"/>
        <v>669.57000000000005</v>
      </c>
      <c r="G854" s="21">
        <f t="shared" si="508"/>
        <v>669.57000000000005</v>
      </c>
      <c r="H854" s="21">
        <f t="shared" si="508"/>
        <v>669.57000000000005</v>
      </c>
      <c r="I854" s="24" t="str">
        <f t="shared" si="509"/>
        <v xml:space="preserve">COM VALOR</v>
      </c>
      <c r="L854" s="36">
        <v>669.57000000000005</v>
      </c>
      <c r="M854" s="37">
        <v>669.57000000000005</v>
      </c>
      <c r="N854" s="36">
        <v>669.57000000000005</v>
      </c>
    </row>
    <row r="855" ht="25.5">
      <c r="A855" s="19" t="s">
        <v>10460</v>
      </c>
      <c r="B855" s="19">
        <v>43433</v>
      </c>
      <c r="C855" s="20" t="s">
        <v>11311</v>
      </c>
      <c r="D855" s="19" t="s">
        <v>31</v>
      </c>
      <c r="E855" s="19" t="s">
        <v>10459</v>
      </c>
      <c r="F855" s="21">
        <f t="shared" si="508"/>
        <v>1055.6300000000001</v>
      </c>
      <c r="G855" s="21">
        <f t="shared" si="508"/>
        <v>1055.6300000000001</v>
      </c>
      <c r="H855" s="21">
        <f t="shared" si="508"/>
        <v>1055.6300000000001</v>
      </c>
      <c r="I855" s="24" t="str">
        <f t="shared" si="509"/>
        <v xml:space="preserve">COM VALOR</v>
      </c>
      <c r="L855" s="36">
        <v>1055.6300000000001</v>
      </c>
      <c r="M855" s="37">
        <v>1055.6300000000001</v>
      </c>
      <c r="N855" s="36">
        <v>1055.6300000000001</v>
      </c>
    </row>
    <row r="856" ht="51">
      <c r="A856" s="19" t="s">
        <v>10460</v>
      </c>
      <c r="B856" s="19">
        <v>43094</v>
      </c>
      <c r="C856" s="20" t="s">
        <v>11312</v>
      </c>
      <c r="D856" s="19" t="s">
        <v>31</v>
      </c>
      <c r="E856" s="19" t="s">
        <v>10459</v>
      </c>
      <c r="F856" s="21">
        <f t="shared" si="508"/>
        <v>261.37</v>
      </c>
      <c r="G856" s="21">
        <f t="shared" si="508"/>
        <v>261.37</v>
      </c>
      <c r="H856" s="21">
        <f t="shared" si="508"/>
        <v>261.37</v>
      </c>
      <c r="I856" s="24" t="str">
        <f t="shared" si="509"/>
        <v xml:space="preserve">COM VALOR</v>
      </c>
      <c r="L856" s="36">
        <v>261.37</v>
      </c>
      <c r="M856" s="37">
        <v>261.37</v>
      </c>
      <c r="N856" s="36">
        <v>261.37</v>
      </c>
    </row>
    <row r="857" ht="51">
      <c r="A857" s="19" t="s">
        <v>10460</v>
      </c>
      <c r="B857" s="19">
        <v>43093</v>
      </c>
      <c r="C857" s="20" t="s">
        <v>11313</v>
      </c>
      <c r="D857" s="19" t="s">
        <v>31</v>
      </c>
      <c r="E857" s="19" t="s">
        <v>10459</v>
      </c>
      <c r="F857" s="21">
        <f t="shared" si="508"/>
        <v>277.75</v>
      </c>
      <c r="G857" s="21">
        <f t="shared" si="508"/>
        <v>277.75</v>
      </c>
      <c r="H857" s="21">
        <f t="shared" si="508"/>
        <v>277.75</v>
      </c>
      <c r="I857" s="24" t="str">
        <f t="shared" si="509"/>
        <v xml:space="preserve">COM VALOR</v>
      </c>
      <c r="L857" s="36">
        <v>277.75</v>
      </c>
      <c r="M857" s="37">
        <v>277.75</v>
      </c>
      <c r="N857" s="36">
        <v>277.75</v>
      </c>
    </row>
    <row r="858" ht="51">
      <c r="A858" s="19" t="s">
        <v>10460</v>
      </c>
      <c r="B858" s="19">
        <v>11694</v>
      </c>
      <c r="C858" s="20" t="s">
        <v>11314</v>
      </c>
      <c r="D858" s="19" t="s">
        <v>31</v>
      </c>
      <c r="E858" s="19" t="s">
        <v>10459</v>
      </c>
      <c r="F858" s="21">
        <f t="shared" si="508"/>
        <v>1132.8900000000001</v>
      </c>
      <c r="G858" s="21">
        <f t="shared" si="508"/>
        <v>1132.8900000000001</v>
      </c>
      <c r="H858" s="21">
        <f t="shared" si="508"/>
        <v>1132.8900000000001</v>
      </c>
      <c r="I858" s="24" t="str">
        <f t="shared" si="509"/>
        <v xml:space="preserve">COM VALOR</v>
      </c>
      <c r="L858" s="36">
        <v>1132.8900000000001</v>
      </c>
      <c r="M858" s="37">
        <v>1132.8900000000001</v>
      </c>
      <c r="N858" s="36">
        <v>1132.8900000000001</v>
      </c>
    </row>
    <row r="859" ht="38.25">
      <c r="A859" s="19" t="s">
        <v>10460</v>
      </c>
      <c r="B859" s="19">
        <v>1030</v>
      </c>
      <c r="C859" s="20" t="s">
        <v>11315</v>
      </c>
      <c r="D859" s="19" t="s">
        <v>31</v>
      </c>
      <c r="E859" s="19" t="s">
        <v>10466</v>
      </c>
      <c r="F859" s="21">
        <f t="shared" si="508"/>
        <v>51.25</v>
      </c>
      <c r="G859" s="21">
        <f t="shared" si="508"/>
        <v>51.25</v>
      </c>
      <c r="H859" s="21">
        <f t="shared" si="508"/>
        <v>51.25</v>
      </c>
      <c r="I859" s="24" t="str">
        <f t="shared" si="509"/>
        <v xml:space="preserve">COM VALOR</v>
      </c>
      <c r="L859" s="36">
        <v>51.25</v>
      </c>
      <c r="M859" s="37">
        <v>51.25</v>
      </c>
      <c r="N859" s="36">
        <v>51.25</v>
      </c>
    </row>
    <row r="860" ht="38.25">
      <c r="A860" s="19" t="s">
        <v>10460</v>
      </c>
      <c r="B860" s="19">
        <v>11881</v>
      </c>
      <c r="C860" s="20" t="s">
        <v>11316</v>
      </c>
      <c r="D860" s="19" t="s">
        <v>31</v>
      </c>
      <c r="E860" s="19" t="s">
        <v>10459</v>
      </c>
      <c r="F860" s="21">
        <f t="shared" si="508"/>
        <v>177.84999999999999</v>
      </c>
      <c r="G860" s="21">
        <f t="shared" si="508"/>
        <v>177.84999999999999</v>
      </c>
      <c r="H860" s="21">
        <f t="shared" si="508"/>
        <v>177.84999999999999</v>
      </c>
      <c r="I860" s="24" t="str">
        <f t="shared" si="509"/>
        <v xml:space="preserve">COM VALOR</v>
      </c>
      <c r="L860" s="36">
        <v>177.84999999999999</v>
      </c>
      <c r="M860" s="37">
        <v>177.84999999999999</v>
      </c>
      <c r="N860" s="36">
        <v>177.84999999999999</v>
      </c>
    </row>
    <row r="861" ht="38.25">
      <c r="A861" s="19" t="s">
        <v>10460</v>
      </c>
      <c r="B861" s="19">
        <v>35277</v>
      </c>
      <c r="C861" s="20" t="s">
        <v>11317</v>
      </c>
      <c r="D861" s="19" t="s">
        <v>31</v>
      </c>
      <c r="E861" s="19" t="s">
        <v>10459</v>
      </c>
      <c r="F861" s="21">
        <f t="shared" si="508"/>
        <v>417.88999999999999</v>
      </c>
      <c r="G861" s="21">
        <f t="shared" si="508"/>
        <v>417.88999999999999</v>
      </c>
      <c r="H861" s="21">
        <f t="shared" si="508"/>
        <v>417.88999999999999</v>
      </c>
      <c r="I861" s="24" t="str">
        <f t="shared" si="509"/>
        <v xml:space="preserve">COM VALOR</v>
      </c>
      <c r="L861" s="36">
        <v>417.88999999999999</v>
      </c>
      <c r="M861" s="37">
        <v>417.88999999999999</v>
      </c>
      <c r="N861" s="36">
        <v>417.88999999999999</v>
      </c>
    </row>
    <row r="862" ht="63.75">
      <c r="A862" s="19" t="s">
        <v>10460</v>
      </c>
      <c r="B862" s="19">
        <v>10521</v>
      </c>
      <c r="C862" s="20" t="s">
        <v>11318</v>
      </c>
      <c r="D862" s="19" t="s">
        <v>31</v>
      </c>
      <c r="E862" s="19" t="s">
        <v>10459</v>
      </c>
      <c r="F862" s="21">
        <f t="shared" si="508"/>
        <v>380.43000000000001</v>
      </c>
      <c r="G862" s="21">
        <f t="shared" si="508"/>
        <v>380.43000000000001</v>
      </c>
      <c r="H862" s="21">
        <f t="shared" si="508"/>
        <v>380.43000000000001</v>
      </c>
      <c r="I862" s="24" t="str">
        <f t="shared" si="509"/>
        <v xml:space="preserve">COM VALOR</v>
      </c>
      <c r="L862" s="36">
        <v>380.43000000000001</v>
      </c>
      <c r="M862" s="37">
        <v>380.43000000000001</v>
      </c>
      <c r="N862" s="36">
        <v>380.43000000000001</v>
      </c>
    </row>
    <row r="863" ht="63.75">
      <c r="A863" s="19" t="s">
        <v>10460</v>
      </c>
      <c r="B863" s="19">
        <v>10885</v>
      </c>
      <c r="C863" s="20" t="s">
        <v>11319</v>
      </c>
      <c r="D863" s="19" t="s">
        <v>31</v>
      </c>
      <c r="E863" s="19" t="s">
        <v>10459</v>
      </c>
      <c r="F863" s="21">
        <f t="shared" si="508"/>
        <v>481.19999999999999</v>
      </c>
      <c r="G863" s="21">
        <f t="shared" si="508"/>
        <v>481.19999999999999</v>
      </c>
      <c r="H863" s="21">
        <f t="shared" si="508"/>
        <v>481.19999999999999</v>
      </c>
      <c r="I863" s="24" t="str">
        <f t="shared" si="509"/>
        <v xml:space="preserve">COM VALOR</v>
      </c>
      <c r="L863" s="36">
        <v>481.19999999999999</v>
      </c>
      <c r="M863" s="37">
        <v>481.19999999999999</v>
      </c>
      <c r="N863" s="36">
        <v>481.19999999999999</v>
      </c>
    </row>
    <row r="864" ht="63.75">
      <c r="A864" s="19" t="s">
        <v>10460</v>
      </c>
      <c r="B864" s="19">
        <v>20962</v>
      </c>
      <c r="C864" s="20" t="s">
        <v>11320</v>
      </c>
      <c r="D864" s="19" t="s">
        <v>31</v>
      </c>
      <c r="E864" s="19" t="s">
        <v>10466</v>
      </c>
      <c r="F864" s="21">
        <f t="shared" si="508"/>
        <v>398.55000000000001</v>
      </c>
      <c r="G864" s="21">
        <f t="shared" si="508"/>
        <v>398.55000000000001</v>
      </c>
      <c r="H864" s="21">
        <f t="shared" si="508"/>
        <v>398.55000000000001</v>
      </c>
      <c r="I864" s="24" t="str">
        <f t="shared" si="509"/>
        <v xml:space="preserve">COM VALOR</v>
      </c>
      <c r="L864" s="36">
        <v>398.55000000000001</v>
      </c>
      <c r="M864" s="37">
        <v>398.55000000000001</v>
      </c>
      <c r="N864" s="36">
        <v>398.55000000000001</v>
      </c>
    </row>
    <row r="865" ht="63.75">
      <c r="A865" s="19" t="s">
        <v>10460</v>
      </c>
      <c r="B865" s="19">
        <v>20963</v>
      </c>
      <c r="C865" s="20" t="s">
        <v>11321</v>
      </c>
      <c r="D865" s="19" t="s">
        <v>31</v>
      </c>
      <c r="E865" s="19" t="s">
        <v>10459</v>
      </c>
      <c r="F865" s="21">
        <f t="shared" si="508"/>
        <v>486.86000000000001</v>
      </c>
      <c r="G865" s="21">
        <f t="shared" si="508"/>
        <v>486.86000000000001</v>
      </c>
      <c r="H865" s="21">
        <f t="shared" si="508"/>
        <v>486.86000000000001</v>
      </c>
      <c r="I865" s="24" t="str">
        <f t="shared" si="509"/>
        <v xml:space="preserve">COM VALOR</v>
      </c>
      <c r="L865" s="36">
        <v>486.86000000000001</v>
      </c>
      <c r="M865" s="37">
        <v>486.86000000000001</v>
      </c>
      <c r="N865" s="36">
        <v>486.86000000000001</v>
      </c>
    </row>
    <row r="866" ht="38.25">
      <c r="A866" s="19" t="s">
        <v>10460</v>
      </c>
      <c r="B866" s="19">
        <v>34643</v>
      </c>
      <c r="C866" s="20" t="s">
        <v>11322</v>
      </c>
      <c r="D866" s="19" t="s">
        <v>31</v>
      </c>
      <c r="E866" s="19" t="s">
        <v>10459</v>
      </c>
      <c r="F866" s="21">
        <f t="shared" si="508"/>
        <v>48.130000000000003</v>
      </c>
      <c r="G866" s="21">
        <f t="shared" si="508"/>
        <v>48.130000000000003</v>
      </c>
      <c r="H866" s="21">
        <f t="shared" si="508"/>
        <v>48.130000000000003</v>
      </c>
      <c r="I866" s="24" t="str">
        <f t="shared" si="509"/>
        <v xml:space="preserve">COM VALOR</v>
      </c>
      <c r="L866" s="36">
        <v>48.130000000000003</v>
      </c>
      <c r="M866" s="37">
        <v>48.130000000000003</v>
      </c>
      <c r="N866" s="36">
        <v>48.130000000000003</v>
      </c>
    </row>
    <row r="867" ht="38.25">
      <c r="A867" s="19" t="s">
        <v>10460</v>
      </c>
      <c r="B867" s="19">
        <v>41480</v>
      </c>
      <c r="C867" s="20" t="s">
        <v>11323</v>
      </c>
      <c r="D867" s="19" t="s">
        <v>31</v>
      </c>
      <c r="E867" s="19" t="s">
        <v>10459</v>
      </c>
      <c r="F867" s="21">
        <f t="shared" si="508"/>
        <v>55.799999999999997</v>
      </c>
      <c r="G867" s="21">
        <f t="shared" si="508"/>
        <v>55.799999999999997</v>
      </c>
      <c r="H867" s="21">
        <f t="shared" si="508"/>
        <v>55.799999999999997</v>
      </c>
      <c r="I867" s="24" t="str">
        <f t="shared" si="509"/>
        <v xml:space="preserve">COM VALOR</v>
      </c>
      <c r="L867" s="36">
        <v>55.799999999999997</v>
      </c>
      <c r="M867" s="37">
        <v>55.799999999999997</v>
      </c>
      <c r="N867" s="36">
        <v>55.799999999999997</v>
      </c>
    </row>
    <row r="868" ht="38.25">
      <c r="A868" s="19" t="s">
        <v>10460</v>
      </c>
      <c r="B868" s="19">
        <v>41474</v>
      </c>
      <c r="C868" s="20" t="s">
        <v>11324</v>
      </c>
      <c r="D868" s="19" t="s">
        <v>31</v>
      </c>
      <c r="E868" s="19" t="s">
        <v>10459</v>
      </c>
      <c r="F868" s="21">
        <f t="shared" si="508"/>
        <v>89.140000000000001</v>
      </c>
      <c r="G868" s="21">
        <f t="shared" si="508"/>
        <v>89.140000000000001</v>
      </c>
      <c r="H868" s="21">
        <f t="shared" si="508"/>
        <v>89.140000000000001</v>
      </c>
      <c r="I868" s="24" t="str">
        <f t="shared" si="509"/>
        <v xml:space="preserve">COM VALOR</v>
      </c>
      <c r="L868" s="36">
        <v>89.140000000000001</v>
      </c>
      <c r="M868" s="37">
        <v>89.140000000000001</v>
      </c>
      <c r="N868" s="36">
        <v>89.140000000000001</v>
      </c>
    </row>
    <row r="869" ht="38.25">
      <c r="A869" s="19" t="s">
        <v>10460</v>
      </c>
      <c r="B869" s="19">
        <v>41475</v>
      </c>
      <c r="C869" s="20" t="s">
        <v>11325</v>
      </c>
      <c r="D869" s="19" t="s">
        <v>31</v>
      </c>
      <c r="E869" s="19" t="s">
        <v>10459</v>
      </c>
      <c r="F869" s="21">
        <f t="shared" si="508"/>
        <v>76.049999999999997</v>
      </c>
      <c r="G869" s="21">
        <f t="shared" si="508"/>
        <v>76.049999999999997</v>
      </c>
      <c r="H869" s="21">
        <f t="shared" si="508"/>
        <v>76.049999999999997</v>
      </c>
      <c r="I869" s="24" t="str">
        <f t="shared" si="509"/>
        <v xml:space="preserve">COM VALOR</v>
      </c>
      <c r="L869" s="36">
        <v>76.049999999999997</v>
      </c>
      <c r="M869" s="37">
        <v>76.049999999999997</v>
      </c>
      <c r="N869" s="36">
        <v>76.049999999999997</v>
      </c>
    </row>
    <row r="870" ht="38.25">
      <c r="A870" s="19" t="s">
        <v>10460</v>
      </c>
      <c r="B870" s="19">
        <v>41476</v>
      </c>
      <c r="C870" s="20" t="s">
        <v>11326</v>
      </c>
      <c r="D870" s="19" t="s">
        <v>31</v>
      </c>
      <c r="E870" s="19" t="s">
        <v>10459</v>
      </c>
      <c r="F870" s="21">
        <f t="shared" si="508"/>
        <v>166.53</v>
      </c>
      <c r="G870" s="21">
        <f t="shared" si="508"/>
        <v>166.53</v>
      </c>
      <c r="H870" s="21">
        <f t="shared" si="508"/>
        <v>166.53</v>
      </c>
      <c r="I870" s="24" t="str">
        <f t="shared" si="509"/>
        <v xml:space="preserve">COM VALOR</v>
      </c>
      <c r="L870" s="36">
        <v>166.53</v>
      </c>
      <c r="M870" s="37">
        <v>166.53</v>
      </c>
      <c r="N870" s="36">
        <v>166.53</v>
      </c>
    </row>
    <row r="871" ht="12.75">
      <c r="A871" s="19" t="s">
        <v>10460</v>
      </c>
      <c r="B871" s="19">
        <v>2555</v>
      </c>
      <c r="C871" s="20" t="s">
        <v>11327</v>
      </c>
      <c r="D871" s="19" t="s">
        <v>31</v>
      </c>
      <c r="E871" s="19" t="s">
        <v>10459</v>
      </c>
      <c r="F871" s="21" t="str">
        <f t="shared" si="508"/>
        <v>VERIFICAR</v>
      </c>
      <c r="G871" s="21" t="str">
        <f t="shared" si="508"/>
        <v>VERIFICAR</v>
      </c>
      <c r="H871" s="21" t="str">
        <f t="shared" si="508"/>
        <v>VERIFICAR</v>
      </c>
      <c r="I871" s="24" t="str">
        <f t="shared" si="509"/>
        <v xml:space="preserve">SEM VALOR</v>
      </c>
      <c r="L871" s="36"/>
      <c r="M871" s="37"/>
      <c r="N871" s="36"/>
    </row>
    <row r="872" ht="12.75">
      <c r="A872" s="19" t="s">
        <v>10460</v>
      </c>
      <c r="B872" s="19">
        <v>2556</v>
      </c>
      <c r="C872" s="20" t="s">
        <v>11328</v>
      </c>
      <c r="D872" s="19" t="s">
        <v>31</v>
      </c>
      <c r="E872" s="19" t="s">
        <v>10459</v>
      </c>
      <c r="F872" s="21" t="str">
        <f t="shared" si="508"/>
        <v>VERIFICAR</v>
      </c>
      <c r="G872" s="21" t="str">
        <f t="shared" si="508"/>
        <v>VERIFICAR</v>
      </c>
      <c r="H872" s="21" t="str">
        <f t="shared" si="508"/>
        <v>VERIFICAR</v>
      </c>
      <c r="I872" s="24" t="str">
        <f t="shared" si="509"/>
        <v xml:space="preserve">SEM VALOR</v>
      </c>
      <c r="L872" s="36"/>
      <c r="M872" s="37"/>
      <c r="N872" s="36"/>
    </row>
    <row r="873" ht="12.75">
      <c r="A873" s="19" t="s">
        <v>10460</v>
      </c>
      <c r="B873" s="19">
        <v>2557</v>
      </c>
      <c r="C873" s="20" t="s">
        <v>11329</v>
      </c>
      <c r="D873" s="19" t="s">
        <v>31</v>
      </c>
      <c r="E873" s="19" t="s">
        <v>10459</v>
      </c>
      <c r="F873" s="21" t="str">
        <f t="shared" si="508"/>
        <v>VERIFICAR</v>
      </c>
      <c r="G873" s="21" t="str">
        <f t="shared" si="508"/>
        <v>VERIFICAR</v>
      </c>
      <c r="H873" s="21" t="str">
        <f t="shared" si="508"/>
        <v>VERIFICAR</v>
      </c>
      <c r="I873" s="24" t="str">
        <f t="shared" si="509"/>
        <v xml:space="preserve">SEM VALOR</v>
      </c>
      <c r="L873" s="36"/>
      <c r="M873" s="37"/>
      <c r="N873" s="36"/>
    </row>
    <row r="874" ht="25.5">
      <c r="A874" s="19" t="s">
        <v>10460</v>
      </c>
      <c r="B874" s="19">
        <v>10569</v>
      </c>
      <c r="C874" s="20" t="s">
        <v>11330</v>
      </c>
      <c r="D874" s="19" t="s">
        <v>31</v>
      </c>
      <c r="E874" s="19" t="s">
        <v>10459</v>
      </c>
      <c r="F874" s="21" t="str">
        <f t="shared" si="508"/>
        <v>VERIFICAR</v>
      </c>
      <c r="G874" s="21" t="str">
        <f t="shared" si="508"/>
        <v>VERIFICAR</v>
      </c>
      <c r="H874" s="21" t="str">
        <f t="shared" si="508"/>
        <v>VERIFICAR</v>
      </c>
      <c r="I874" s="24" t="str">
        <f t="shared" si="509"/>
        <v xml:space="preserve">SEM VALOR</v>
      </c>
      <c r="L874" s="36"/>
      <c r="M874" s="37"/>
      <c r="N874" s="36"/>
    </row>
    <row r="875" ht="38.25">
      <c r="A875" s="19" t="s">
        <v>10460</v>
      </c>
      <c r="B875" s="19">
        <v>39810</v>
      </c>
      <c r="C875" s="20" t="s">
        <v>11331</v>
      </c>
      <c r="D875" s="19" t="s">
        <v>31</v>
      </c>
      <c r="E875" s="19" t="s">
        <v>10459</v>
      </c>
      <c r="F875" s="21">
        <f t="shared" si="508"/>
        <v>35.270000000000003</v>
      </c>
      <c r="G875" s="21">
        <f t="shared" si="508"/>
        <v>35.270000000000003</v>
      </c>
      <c r="H875" s="21">
        <f t="shared" si="508"/>
        <v>35.270000000000003</v>
      </c>
      <c r="I875" s="24" t="str">
        <f t="shared" si="509"/>
        <v xml:space="preserve">COM VALOR</v>
      </c>
      <c r="L875" s="36">
        <v>35.270000000000003</v>
      </c>
      <c r="M875" s="37">
        <v>35.270000000000003</v>
      </c>
      <c r="N875" s="36">
        <v>35.270000000000003</v>
      </c>
    </row>
    <row r="876" ht="38.25">
      <c r="A876" s="19" t="s">
        <v>10460</v>
      </c>
      <c r="B876" s="19">
        <v>39811</v>
      </c>
      <c r="C876" s="20" t="s">
        <v>11332</v>
      </c>
      <c r="D876" s="19" t="s">
        <v>31</v>
      </c>
      <c r="E876" s="19" t="s">
        <v>10459</v>
      </c>
      <c r="F876" s="21">
        <f t="shared" si="508"/>
        <v>43.140000000000001</v>
      </c>
      <c r="G876" s="21">
        <f t="shared" si="508"/>
        <v>43.140000000000001</v>
      </c>
      <c r="H876" s="21">
        <f t="shared" si="508"/>
        <v>43.140000000000001</v>
      </c>
      <c r="I876" s="24" t="str">
        <f t="shared" si="509"/>
        <v xml:space="preserve">COM VALOR</v>
      </c>
      <c r="L876" s="36">
        <v>43.140000000000001</v>
      </c>
      <c r="M876" s="37">
        <v>43.140000000000001</v>
      </c>
      <c r="N876" s="36">
        <v>43.140000000000001</v>
      </c>
    </row>
    <row r="877" ht="38.25">
      <c r="A877" s="19" t="s">
        <v>10460</v>
      </c>
      <c r="B877" s="19">
        <v>39812</v>
      </c>
      <c r="C877" s="20" t="s">
        <v>11333</v>
      </c>
      <c r="D877" s="19" t="s">
        <v>31</v>
      </c>
      <c r="E877" s="19" t="s">
        <v>10459</v>
      </c>
      <c r="F877" s="21">
        <f t="shared" si="508"/>
        <v>70.939999999999998</v>
      </c>
      <c r="G877" s="21">
        <f t="shared" si="508"/>
        <v>70.939999999999998</v>
      </c>
      <c r="H877" s="21">
        <f t="shared" si="508"/>
        <v>70.939999999999998</v>
      </c>
      <c r="I877" s="24" t="str">
        <f t="shared" si="509"/>
        <v xml:space="preserve">COM VALOR</v>
      </c>
      <c r="L877" s="36">
        <v>70.939999999999998</v>
      </c>
      <c r="M877" s="37">
        <v>70.939999999999998</v>
      </c>
      <c r="N877" s="36">
        <v>70.939999999999998</v>
      </c>
    </row>
    <row r="878" ht="38.25">
      <c r="A878" s="19" t="s">
        <v>10460</v>
      </c>
      <c r="B878" s="19">
        <v>43096</v>
      </c>
      <c r="C878" s="20" t="s">
        <v>11334</v>
      </c>
      <c r="D878" s="19" t="s">
        <v>31</v>
      </c>
      <c r="E878" s="19" t="s">
        <v>10459</v>
      </c>
      <c r="F878" s="21">
        <f t="shared" si="508"/>
        <v>235.15000000000001</v>
      </c>
      <c r="G878" s="21">
        <f t="shared" si="508"/>
        <v>235.15000000000001</v>
      </c>
      <c r="H878" s="21">
        <f t="shared" si="508"/>
        <v>235.15000000000001</v>
      </c>
      <c r="I878" s="24" t="str">
        <f t="shared" si="509"/>
        <v xml:space="preserve">COM VALOR</v>
      </c>
      <c r="L878" s="36">
        <v>235.15000000000001</v>
      </c>
      <c r="M878" s="37">
        <v>235.15000000000001</v>
      </c>
      <c r="N878" s="36">
        <v>235.15000000000001</v>
      </c>
    </row>
    <row r="879" ht="38.25">
      <c r="A879" s="19" t="s">
        <v>10460</v>
      </c>
      <c r="B879" s="19">
        <v>43102</v>
      </c>
      <c r="C879" s="20" t="s">
        <v>11335</v>
      </c>
      <c r="D879" s="19" t="s">
        <v>31</v>
      </c>
      <c r="E879" s="19" t="s">
        <v>10459</v>
      </c>
      <c r="F879" s="21">
        <f t="shared" si="508"/>
        <v>142.97999999999999</v>
      </c>
      <c r="G879" s="21">
        <f t="shared" si="508"/>
        <v>142.97999999999999</v>
      </c>
      <c r="H879" s="21">
        <f t="shared" si="508"/>
        <v>142.97999999999999</v>
      </c>
      <c r="I879" s="24" t="str">
        <f t="shared" si="509"/>
        <v xml:space="preserve">COM VALOR</v>
      </c>
      <c r="L879" s="36">
        <v>142.97999999999999</v>
      </c>
      <c r="M879" s="37">
        <v>142.97999999999999</v>
      </c>
      <c r="N879" s="36">
        <v>142.97999999999999</v>
      </c>
    </row>
    <row r="880" ht="38.25">
      <c r="A880" s="19" t="s">
        <v>10460</v>
      </c>
      <c r="B880" s="19">
        <v>43103</v>
      </c>
      <c r="C880" s="20" t="s">
        <v>11336</v>
      </c>
      <c r="D880" s="19" t="s">
        <v>31</v>
      </c>
      <c r="E880" s="19" t="s">
        <v>10459</v>
      </c>
      <c r="F880" s="21">
        <f t="shared" si="508"/>
        <v>210.53999999999999</v>
      </c>
      <c r="G880" s="21">
        <f t="shared" si="508"/>
        <v>210.53999999999999</v>
      </c>
      <c r="H880" s="21">
        <f t="shared" si="508"/>
        <v>210.53999999999999</v>
      </c>
      <c r="I880" s="24" t="str">
        <f t="shared" si="509"/>
        <v xml:space="preserve">COM VALOR</v>
      </c>
      <c r="L880" s="36">
        <v>210.53999999999999</v>
      </c>
      <c r="M880" s="37">
        <v>210.53999999999999</v>
      </c>
      <c r="N880" s="36">
        <v>210.53999999999999</v>
      </c>
    </row>
    <row r="881" ht="38.25">
      <c r="A881" s="19" t="s">
        <v>10460</v>
      </c>
      <c r="B881" s="19">
        <v>43098</v>
      </c>
      <c r="C881" s="20" t="s">
        <v>11337</v>
      </c>
      <c r="D881" s="19" t="s">
        <v>31</v>
      </c>
      <c r="E881" s="19" t="s">
        <v>10459</v>
      </c>
      <c r="F881" s="21">
        <f t="shared" si="508"/>
        <v>79.650000000000006</v>
      </c>
      <c r="G881" s="21">
        <f t="shared" si="508"/>
        <v>79.650000000000006</v>
      </c>
      <c r="H881" s="21">
        <f t="shared" si="508"/>
        <v>79.650000000000006</v>
      </c>
      <c r="I881" s="24" t="str">
        <f t="shared" si="509"/>
        <v xml:space="preserve">COM VALOR</v>
      </c>
      <c r="L881" s="36">
        <v>79.650000000000006</v>
      </c>
      <c r="M881" s="37">
        <v>79.650000000000006</v>
      </c>
      <c r="N881" s="36">
        <v>79.650000000000006</v>
      </c>
    </row>
    <row r="882" ht="38.25">
      <c r="A882" s="19" t="s">
        <v>10460</v>
      </c>
      <c r="B882" s="19">
        <v>43097</v>
      </c>
      <c r="C882" s="20" t="s">
        <v>11338</v>
      </c>
      <c r="D882" s="19" t="s">
        <v>31</v>
      </c>
      <c r="E882" s="19" t="s">
        <v>10459</v>
      </c>
      <c r="F882" s="21">
        <f t="shared" si="508"/>
        <v>47.189999999999998</v>
      </c>
      <c r="G882" s="21">
        <f t="shared" si="508"/>
        <v>47.189999999999998</v>
      </c>
      <c r="H882" s="21">
        <f t="shared" si="508"/>
        <v>47.189999999999998</v>
      </c>
      <c r="I882" s="24" t="str">
        <f t="shared" si="509"/>
        <v xml:space="preserve">COM VALOR</v>
      </c>
      <c r="L882" s="36">
        <v>47.189999999999998</v>
      </c>
      <c r="M882" s="37">
        <v>47.189999999999998</v>
      </c>
      <c r="N882" s="36">
        <v>47.189999999999998</v>
      </c>
    </row>
    <row r="883" ht="25.5">
      <c r="A883" s="19" t="s">
        <v>10460</v>
      </c>
      <c r="B883" s="19">
        <v>43104</v>
      </c>
      <c r="C883" s="20" t="s">
        <v>11339</v>
      </c>
      <c r="D883" s="19" t="s">
        <v>31</v>
      </c>
      <c r="E883" s="19" t="s">
        <v>10459</v>
      </c>
      <c r="F883" s="21">
        <f t="shared" si="508"/>
        <v>558.21000000000004</v>
      </c>
      <c r="G883" s="21">
        <f t="shared" si="508"/>
        <v>558.21000000000004</v>
      </c>
      <c r="H883" s="21">
        <f t="shared" si="508"/>
        <v>558.21000000000004</v>
      </c>
      <c r="I883" s="24" t="str">
        <f t="shared" si="509"/>
        <v xml:space="preserve">COM VALOR</v>
      </c>
      <c r="L883" s="36">
        <v>558.21000000000004</v>
      </c>
      <c r="M883" s="37">
        <v>558.21000000000004</v>
      </c>
      <c r="N883" s="36">
        <v>558.21000000000004</v>
      </c>
    </row>
    <row r="884" ht="25.5">
      <c r="A884" s="19" t="s">
        <v>10460</v>
      </c>
      <c r="B884" s="19">
        <v>39771</v>
      </c>
      <c r="C884" s="20" t="s">
        <v>11340</v>
      </c>
      <c r="D884" s="19" t="s">
        <v>31</v>
      </c>
      <c r="E884" s="19" t="s">
        <v>10459</v>
      </c>
      <c r="F884" s="21" t="str">
        <f t="shared" si="508"/>
        <v>VERIFICAR</v>
      </c>
      <c r="G884" s="21" t="str">
        <f t="shared" si="508"/>
        <v>VERIFICAR</v>
      </c>
      <c r="H884" s="21" t="str">
        <f t="shared" si="508"/>
        <v>VERIFICAR</v>
      </c>
      <c r="I884" s="24" t="str">
        <f t="shared" si="509"/>
        <v xml:space="preserve">SEM VALOR</v>
      </c>
      <c r="L884" s="36"/>
      <c r="M884" s="37"/>
      <c r="N884" s="36"/>
    </row>
    <row r="885" ht="25.5">
      <c r="A885" s="19" t="s">
        <v>10460</v>
      </c>
      <c r="B885" s="19">
        <v>39772</v>
      </c>
      <c r="C885" s="20" t="s">
        <v>11341</v>
      </c>
      <c r="D885" s="19" t="s">
        <v>31</v>
      </c>
      <c r="E885" s="19" t="s">
        <v>10459</v>
      </c>
      <c r="F885" s="21" t="str">
        <f t="shared" si="508"/>
        <v>VERIFICAR</v>
      </c>
      <c r="G885" s="21" t="str">
        <f t="shared" si="508"/>
        <v>VERIFICAR</v>
      </c>
      <c r="H885" s="21" t="str">
        <f t="shared" si="508"/>
        <v>VERIFICAR</v>
      </c>
      <c r="I885" s="24" t="str">
        <f t="shared" si="509"/>
        <v xml:space="preserve">SEM VALOR</v>
      </c>
      <c r="L885" s="36"/>
      <c r="M885" s="37"/>
      <c r="N885" s="36"/>
    </row>
    <row r="886" ht="25.5">
      <c r="A886" s="19" t="s">
        <v>10460</v>
      </c>
      <c r="B886" s="19">
        <v>39773</v>
      </c>
      <c r="C886" s="20" t="s">
        <v>11342</v>
      </c>
      <c r="D886" s="19" t="s">
        <v>31</v>
      </c>
      <c r="E886" s="19" t="s">
        <v>10459</v>
      </c>
      <c r="F886" s="21" t="str">
        <f t="shared" si="508"/>
        <v>VERIFICAR</v>
      </c>
      <c r="G886" s="21" t="str">
        <f t="shared" si="508"/>
        <v>VERIFICAR</v>
      </c>
      <c r="H886" s="21" t="str">
        <f t="shared" si="508"/>
        <v>VERIFICAR</v>
      </c>
      <c r="I886" s="24" t="str">
        <f t="shared" si="509"/>
        <v xml:space="preserve">SEM VALOR</v>
      </c>
      <c r="L886" s="36"/>
      <c r="M886" s="37"/>
      <c r="N886" s="36"/>
    </row>
    <row r="887" ht="25.5">
      <c r="A887" s="19" t="s">
        <v>10460</v>
      </c>
      <c r="B887" s="19">
        <v>39774</v>
      </c>
      <c r="C887" s="20" t="s">
        <v>11343</v>
      </c>
      <c r="D887" s="19" t="s">
        <v>31</v>
      </c>
      <c r="E887" s="19" t="s">
        <v>10459</v>
      </c>
      <c r="F887" s="21" t="str">
        <f t="shared" si="508"/>
        <v>VERIFICAR</v>
      </c>
      <c r="G887" s="21" t="str">
        <f t="shared" si="508"/>
        <v>VERIFICAR</v>
      </c>
      <c r="H887" s="21" t="str">
        <f t="shared" si="508"/>
        <v>VERIFICAR</v>
      </c>
      <c r="I887" s="24" t="str">
        <f t="shared" si="509"/>
        <v xml:space="preserve">SEM VALOR</v>
      </c>
      <c r="L887" s="36"/>
      <c r="M887" s="37"/>
      <c r="N887" s="36"/>
    </row>
    <row r="888" ht="25.5">
      <c r="A888" s="19" t="s">
        <v>10460</v>
      </c>
      <c r="B888" s="19">
        <v>39775</v>
      </c>
      <c r="C888" s="20" t="s">
        <v>11344</v>
      </c>
      <c r="D888" s="19" t="s">
        <v>31</v>
      </c>
      <c r="E888" s="19" t="s">
        <v>10459</v>
      </c>
      <c r="F888" s="21" t="str">
        <f t="shared" si="508"/>
        <v>VERIFICAR</v>
      </c>
      <c r="G888" s="21" t="str">
        <f t="shared" si="508"/>
        <v>VERIFICAR</v>
      </c>
      <c r="H888" s="21" t="str">
        <f t="shared" si="508"/>
        <v>VERIFICAR</v>
      </c>
      <c r="I888" s="24" t="str">
        <f t="shared" si="509"/>
        <v xml:space="preserve">SEM VALOR</v>
      </c>
      <c r="L888" s="36"/>
      <c r="M888" s="37"/>
      <c r="N888" s="36"/>
    </row>
    <row r="889" ht="25.5">
      <c r="A889" s="19" t="s">
        <v>10460</v>
      </c>
      <c r="B889" s="19">
        <v>39776</v>
      </c>
      <c r="C889" s="20" t="s">
        <v>11345</v>
      </c>
      <c r="D889" s="19" t="s">
        <v>31</v>
      </c>
      <c r="E889" s="19" t="s">
        <v>10459</v>
      </c>
      <c r="F889" s="21" t="str">
        <f t="shared" si="508"/>
        <v>VERIFICAR</v>
      </c>
      <c r="G889" s="21" t="str">
        <f t="shared" si="508"/>
        <v>VERIFICAR</v>
      </c>
      <c r="H889" s="21" t="str">
        <f t="shared" si="508"/>
        <v>VERIFICAR</v>
      </c>
      <c r="I889" s="24" t="str">
        <f t="shared" si="509"/>
        <v xml:space="preserve">SEM VALOR</v>
      </c>
      <c r="L889" s="36"/>
      <c r="M889" s="37"/>
      <c r="N889" s="36"/>
    </row>
    <row r="890" ht="25.5">
      <c r="A890" s="19" t="s">
        <v>10460</v>
      </c>
      <c r="B890" s="19">
        <v>39777</v>
      </c>
      <c r="C890" s="20" t="s">
        <v>11346</v>
      </c>
      <c r="D890" s="19" t="s">
        <v>31</v>
      </c>
      <c r="E890" s="19" t="s">
        <v>10459</v>
      </c>
      <c r="F890" s="21" t="str">
        <f t="shared" si="508"/>
        <v>VERIFICAR</v>
      </c>
      <c r="G890" s="21" t="str">
        <f t="shared" si="508"/>
        <v>VERIFICAR</v>
      </c>
      <c r="H890" s="21" t="str">
        <f t="shared" si="508"/>
        <v>VERIFICAR</v>
      </c>
      <c r="I890" s="24" t="str">
        <f t="shared" si="509"/>
        <v xml:space="preserve">SEM VALOR</v>
      </c>
      <c r="L890" s="36"/>
      <c r="M890" s="37"/>
      <c r="N890" s="36"/>
    </row>
    <row r="891" ht="25.5">
      <c r="A891" s="19" t="s">
        <v>10460</v>
      </c>
      <c r="B891" s="19">
        <v>20254</v>
      </c>
      <c r="C891" s="20" t="s">
        <v>11347</v>
      </c>
      <c r="D891" s="19" t="s">
        <v>31</v>
      </c>
      <c r="E891" s="19" t="s">
        <v>10459</v>
      </c>
      <c r="F891" s="21" t="str">
        <f t="shared" si="508"/>
        <v>VERIFICAR</v>
      </c>
      <c r="G891" s="21" t="str">
        <f t="shared" si="508"/>
        <v>VERIFICAR</v>
      </c>
      <c r="H891" s="21" t="str">
        <f t="shared" si="508"/>
        <v>VERIFICAR</v>
      </c>
      <c r="I891" s="24" t="str">
        <f t="shared" si="509"/>
        <v xml:space="preserve">SEM VALOR</v>
      </c>
      <c r="L891" s="36"/>
      <c r="M891" s="37"/>
      <c r="N891" s="36"/>
    </row>
    <row r="892" ht="25.5">
      <c r="A892" s="19" t="s">
        <v>10460</v>
      </c>
      <c r="B892" s="19">
        <v>20253</v>
      </c>
      <c r="C892" s="20" t="s">
        <v>11348</v>
      </c>
      <c r="D892" s="19" t="s">
        <v>31</v>
      </c>
      <c r="E892" s="19" t="s">
        <v>10459</v>
      </c>
      <c r="F892" s="21" t="str">
        <f t="shared" si="508"/>
        <v>VERIFICAR</v>
      </c>
      <c r="G892" s="21" t="str">
        <f t="shared" si="508"/>
        <v>VERIFICAR</v>
      </c>
      <c r="H892" s="21" t="str">
        <f t="shared" si="508"/>
        <v>VERIFICAR</v>
      </c>
      <c r="I892" s="24" t="str">
        <f t="shared" si="509"/>
        <v xml:space="preserve">SEM VALOR</v>
      </c>
      <c r="L892" s="36"/>
      <c r="M892" s="37"/>
      <c r="N892" s="36"/>
    </row>
    <row r="893" ht="25.5">
      <c r="A893" s="19" t="s">
        <v>10460</v>
      </c>
      <c r="B893" s="19">
        <v>1872</v>
      </c>
      <c r="C893" s="20" t="s">
        <v>11349</v>
      </c>
      <c r="D893" s="19" t="s">
        <v>31</v>
      </c>
      <c r="E893" s="19" t="s">
        <v>10459</v>
      </c>
      <c r="F893" s="21">
        <f t="shared" si="508"/>
        <v>1.7</v>
      </c>
      <c r="G893" s="21">
        <f t="shared" si="508"/>
        <v>1.7</v>
      </c>
      <c r="H893" s="21">
        <f t="shared" si="508"/>
        <v>1.7</v>
      </c>
      <c r="I893" s="24" t="str">
        <f t="shared" si="509"/>
        <v xml:space="preserve">COM VALOR</v>
      </c>
      <c r="L893" s="36">
        <v>1.7</v>
      </c>
      <c r="M893" s="37">
        <v>1.7</v>
      </c>
      <c r="N893" s="36">
        <v>1.7</v>
      </c>
    </row>
    <row r="894" ht="25.5">
      <c r="A894" s="19" t="s">
        <v>10460</v>
      </c>
      <c r="B894" s="19">
        <v>1873</v>
      </c>
      <c r="C894" s="20" t="s">
        <v>11350</v>
      </c>
      <c r="D894" s="19" t="s">
        <v>31</v>
      </c>
      <c r="E894" s="19" t="s">
        <v>10459</v>
      </c>
      <c r="F894" s="21">
        <f t="shared" si="508"/>
        <v>3.3900000000000001</v>
      </c>
      <c r="G894" s="21">
        <f t="shared" si="508"/>
        <v>3.3900000000000001</v>
      </c>
      <c r="H894" s="21">
        <f t="shared" si="508"/>
        <v>3.3900000000000001</v>
      </c>
      <c r="I894" s="24" t="str">
        <f t="shared" si="509"/>
        <v xml:space="preserve">COM VALOR</v>
      </c>
      <c r="L894" s="36">
        <v>3.3900000000000001</v>
      </c>
      <c r="M894" s="37">
        <v>3.3900000000000001</v>
      </c>
      <c r="N894" s="36">
        <v>3.3900000000000001</v>
      </c>
    </row>
    <row r="895" ht="38.25">
      <c r="A895" s="19" t="s">
        <v>10460</v>
      </c>
      <c r="B895" s="19">
        <v>14055</v>
      </c>
      <c r="C895" s="20" t="s">
        <v>11351</v>
      </c>
      <c r="D895" s="19" t="s">
        <v>31</v>
      </c>
      <c r="E895" s="19" t="s">
        <v>10459</v>
      </c>
      <c r="F895" s="21" t="str">
        <f t="shared" si="508"/>
        <v>VERIFICAR</v>
      </c>
      <c r="G895" s="21" t="str">
        <f t="shared" si="508"/>
        <v>VERIFICAR</v>
      </c>
      <c r="H895" s="21" t="str">
        <f t="shared" si="508"/>
        <v>VERIFICAR</v>
      </c>
      <c r="I895" s="24" t="str">
        <f t="shared" si="509"/>
        <v xml:space="preserve">SEM VALOR</v>
      </c>
      <c r="L895" s="36"/>
      <c r="M895" s="37"/>
      <c r="N895" s="36"/>
    </row>
    <row r="896" ht="38.25">
      <c r="A896" s="19" t="s">
        <v>10460</v>
      </c>
      <c r="B896" s="19">
        <v>11247</v>
      </c>
      <c r="C896" s="20" t="s">
        <v>11352</v>
      </c>
      <c r="D896" s="19" t="s">
        <v>31</v>
      </c>
      <c r="E896" s="19" t="s">
        <v>10459</v>
      </c>
      <c r="F896" s="21" t="str">
        <f t="shared" si="508"/>
        <v>VERIFICAR</v>
      </c>
      <c r="G896" s="21" t="str">
        <f t="shared" si="508"/>
        <v>VERIFICAR</v>
      </c>
      <c r="H896" s="21" t="str">
        <f t="shared" si="508"/>
        <v>VERIFICAR</v>
      </c>
      <c r="I896" s="24" t="str">
        <f t="shared" si="509"/>
        <v xml:space="preserve">SEM VALOR</v>
      </c>
      <c r="L896" s="36"/>
      <c r="M896" s="37"/>
      <c r="N896" s="36"/>
    </row>
    <row r="897" ht="38.25">
      <c r="A897" s="19" t="s">
        <v>10460</v>
      </c>
      <c r="B897" s="19">
        <v>11250</v>
      </c>
      <c r="C897" s="20" t="s">
        <v>11353</v>
      </c>
      <c r="D897" s="19" t="s">
        <v>31</v>
      </c>
      <c r="E897" s="19" t="s">
        <v>10459</v>
      </c>
      <c r="F897" s="21" t="str">
        <f t="shared" si="508"/>
        <v>VERIFICAR</v>
      </c>
      <c r="G897" s="21" t="str">
        <f t="shared" si="508"/>
        <v>VERIFICAR</v>
      </c>
      <c r="H897" s="21" t="str">
        <f t="shared" si="508"/>
        <v>VERIFICAR</v>
      </c>
      <c r="I897" s="24" t="str">
        <f t="shared" si="509"/>
        <v xml:space="preserve">SEM VALOR</v>
      </c>
      <c r="L897" s="36"/>
      <c r="M897" s="37"/>
      <c r="N897" s="36"/>
    </row>
    <row r="898" ht="38.25">
      <c r="A898" s="19" t="s">
        <v>10460</v>
      </c>
      <c r="B898" s="19">
        <v>11249</v>
      </c>
      <c r="C898" s="20" t="s">
        <v>11354</v>
      </c>
      <c r="D898" s="19" t="s">
        <v>31</v>
      </c>
      <c r="E898" s="19" t="s">
        <v>10459</v>
      </c>
      <c r="F898" s="21" t="str">
        <f t="shared" si="508"/>
        <v>VERIFICAR</v>
      </c>
      <c r="G898" s="21" t="str">
        <f t="shared" si="508"/>
        <v>VERIFICAR</v>
      </c>
      <c r="H898" s="21" t="str">
        <f t="shared" si="508"/>
        <v>VERIFICAR</v>
      </c>
      <c r="I898" s="24" t="str">
        <f t="shared" si="509"/>
        <v xml:space="preserve">SEM VALOR</v>
      </c>
      <c r="L898" s="36"/>
      <c r="M898" s="37"/>
      <c r="N898" s="36"/>
    </row>
    <row r="899" ht="38.25">
      <c r="A899" s="19" t="s">
        <v>10460</v>
      </c>
      <c r="B899" s="19">
        <v>11251</v>
      </c>
      <c r="C899" s="20" t="s">
        <v>11355</v>
      </c>
      <c r="D899" s="19" t="s">
        <v>31</v>
      </c>
      <c r="E899" s="19" t="s">
        <v>10459</v>
      </c>
      <c r="F899" s="21" t="str">
        <f t="shared" si="508"/>
        <v>VERIFICAR</v>
      </c>
      <c r="G899" s="21" t="str">
        <f t="shared" si="508"/>
        <v>VERIFICAR</v>
      </c>
      <c r="H899" s="21" t="str">
        <f t="shared" si="508"/>
        <v>VERIFICAR</v>
      </c>
      <c r="I899" s="24" t="str">
        <f t="shared" si="509"/>
        <v xml:space="preserve">SEM VALOR</v>
      </c>
      <c r="L899" s="36"/>
      <c r="M899" s="37"/>
      <c r="N899" s="36"/>
    </row>
    <row r="900" ht="38.25">
      <c r="A900" s="19" t="s">
        <v>10460</v>
      </c>
      <c r="B900" s="19">
        <v>11253</v>
      </c>
      <c r="C900" s="20" t="s">
        <v>11356</v>
      </c>
      <c r="D900" s="19" t="s">
        <v>31</v>
      </c>
      <c r="E900" s="19" t="s">
        <v>10459</v>
      </c>
      <c r="F900" s="21" t="str">
        <f t="shared" si="508"/>
        <v>VERIFICAR</v>
      </c>
      <c r="G900" s="21" t="str">
        <f t="shared" si="508"/>
        <v>VERIFICAR</v>
      </c>
      <c r="H900" s="21" t="str">
        <f t="shared" si="508"/>
        <v>VERIFICAR</v>
      </c>
      <c r="I900" s="24" t="str">
        <f t="shared" si="509"/>
        <v xml:space="preserve">SEM VALOR</v>
      </c>
      <c r="L900" s="36"/>
      <c r="M900" s="37"/>
      <c r="N900" s="36"/>
    </row>
    <row r="901" ht="38.25">
      <c r="A901" s="19" t="s">
        <v>10460</v>
      </c>
      <c r="B901" s="19">
        <v>11255</v>
      </c>
      <c r="C901" s="20" t="s">
        <v>11357</v>
      </c>
      <c r="D901" s="19" t="s">
        <v>31</v>
      </c>
      <c r="E901" s="19" t="s">
        <v>10459</v>
      </c>
      <c r="F901" s="21" t="str">
        <f t="shared" si="508"/>
        <v>VERIFICAR</v>
      </c>
      <c r="G901" s="21" t="str">
        <f t="shared" si="508"/>
        <v>VERIFICAR</v>
      </c>
      <c r="H901" s="21" t="str">
        <f t="shared" si="508"/>
        <v>VERIFICAR</v>
      </c>
      <c r="I901" s="24" t="str">
        <f t="shared" si="509"/>
        <v xml:space="preserve">SEM VALOR</v>
      </c>
      <c r="L901" s="36"/>
      <c r="M901" s="37"/>
      <c r="N901" s="36"/>
    </row>
    <row r="902" ht="38.25">
      <c r="A902" s="19" t="s">
        <v>10460</v>
      </c>
      <c r="B902" s="19">
        <v>11256</v>
      </c>
      <c r="C902" s="20" t="s">
        <v>11358</v>
      </c>
      <c r="D902" s="19" t="s">
        <v>31</v>
      </c>
      <c r="E902" s="19" t="s">
        <v>10459</v>
      </c>
      <c r="F902" s="21" t="str">
        <f t="shared" si="508"/>
        <v>VERIFICAR</v>
      </c>
      <c r="G902" s="21" t="str">
        <f t="shared" si="508"/>
        <v>VERIFICAR</v>
      </c>
      <c r="H902" s="21" t="str">
        <f t="shared" si="508"/>
        <v>VERIFICAR</v>
      </c>
      <c r="I902" s="24" t="str">
        <f t="shared" si="509"/>
        <v xml:space="preserve">SEM VALOR</v>
      </c>
      <c r="L902" s="36"/>
      <c r="M902" s="37"/>
      <c r="N902" s="36"/>
    </row>
    <row r="903" ht="38.25">
      <c r="A903" s="19" t="s">
        <v>10460</v>
      </c>
      <c r="B903" s="19">
        <v>39693</v>
      </c>
      <c r="C903" s="20" t="s">
        <v>11359</v>
      </c>
      <c r="D903" s="19" t="s">
        <v>31</v>
      </c>
      <c r="E903" s="19" t="s">
        <v>10459</v>
      </c>
      <c r="F903" s="21" t="str">
        <f t="shared" si="508"/>
        <v>VERIFICAR</v>
      </c>
      <c r="G903" s="21" t="str">
        <f t="shared" si="508"/>
        <v>VERIFICAR</v>
      </c>
      <c r="H903" s="21" t="str">
        <f t="shared" si="508"/>
        <v>VERIFICAR</v>
      </c>
      <c r="I903" s="24" t="str">
        <f t="shared" si="509"/>
        <v xml:space="preserve">SEM VALOR</v>
      </c>
      <c r="L903" s="36"/>
      <c r="M903" s="37"/>
      <c r="N903" s="36"/>
    </row>
    <row r="904" ht="25.5">
      <c r="A904" s="19" t="s">
        <v>10460</v>
      </c>
      <c r="B904" s="19">
        <v>39692</v>
      </c>
      <c r="C904" s="20" t="s">
        <v>11360</v>
      </c>
      <c r="D904" s="19" t="s">
        <v>31</v>
      </c>
      <c r="E904" s="19" t="s">
        <v>10459</v>
      </c>
      <c r="F904" s="21" t="str">
        <f t="shared" si="508"/>
        <v>VERIFICAR</v>
      </c>
      <c r="G904" s="21" t="str">
        <f t="shared" si="508"/>
        <v>VERIFICAR</v>
      </c>
      <c r="H904" s="21" t="str">
        <f t="shared" si="508"/>
        <v>VERIFICAR</v>
      </c>
      <c r="I904" s="24" t="str">
        <f t="shared" si="509"/>
        <v xml:space="preserve">SEM VALOR</v>
      </c>
      <c r="L904" s="36"/>
      <c r="M904" s="37"/>
      <c r="N904" s="36"/>
    </row>
    <row r="905" ht="38.25">
      <c r="A905" s="19" t="s">
        <v>10460</v>
      </c>
      <c r="B905" s="19">
        <v>1062</v>
      </c>
      <c r="C905" s="20" t="s">
        <v>11361</v>
      </c>
      <c r="D905" s="19" t="s">
        <v>31</v>
      </c>
      <c r="E905" s="19" t="s">
        <v>10459</v>
      </c>
      <c r="F905" s="21">
        <f t="shared" si="508"/>
        <v>226.09</v>
      </c>
      <c r="G905" s="21">
        <f t="shared" si="508"/>
        <v>226.09</v>
      </c>
      <c r="H905" s="21">
        <f t="shared" si="508"/>
        <v>226.09</v>
      </c>
      <c r="I905" s="24" t="str">
        <f t="shared" si="509"/>
        <v xml:space="preserve">COM VALOR</v>
      </c>
      <c r="J905" s="38" t="s">
        <v>10710</v>
      </c>
      <c r="L905" s="36">
        <v>226.09</v>
      </c>
      <c r="M905" s="37">
        <v>226.09</v>
      </c>
      <c r="N905" s="36">
        <v>226.09</v>
      </c>
    </row>
    <row r="906" ht="38.25">
      <c r="A906" s="19" t="s">
        <v>10460</v>
      </c>
      <c r="B906" s="19">
        <v>39686</v>
      </c>
      <c r="C906" s="20" t="s">
        <v>11362</v>
      </c>
      <c r="D906" s="19" t="s">
        <v>31</v>
      </c>
      <c r="E906" s="19" t="s">
        <v>10459</v>
      </c>
      <c r="F906" s="21" t="str">
        <f t="shared" si="508"/>
        <v>VERIFICAR</v>
      </c>
      <c r="G906" s="21" t="str">
        <f t="shared" si="508"/>
        <v>VERIFICAR</v>
      </c>
      <c r="H906" s="21" t="str">
        <f t="shared" si="508"/>
        <v>VERIFICAR</v>
      </c>
      <c r="I906" s="24" t="str">
        <f t="shared" si="509"/>
        <v xml:space="preserve">SEM VALOR</v>
      </c>
      <c r="L906" s="36"/>
      <c r="M906" s="37"/>
      <c r="N906" s="36"/>
    </row>
    <row r="907" ht="38.25">
      <c r="A907" s="19" t="s">
        <v>10460</v>
      </c>
      <c r="B907" s="19">
        <v>43095</v>
      </c>
      <c r="C907" s="20" t="s">
        <v>11363</v>
      </c>
      <c r="D907" s="19" t="s">
        <v>31</v>
      </c>
      <c r="E907" s="19" t="s">
        <v>10459</v>
      </c>
      <c r="F907" s="21">
        <f t="shared" ref="F907:H970" si="510">IF(L907=0,"VERIFICAR",L907)</f>
        <v>154.94999999999999</v>
      </c>
      <c r="G907" s="21">
        <f t="shared" si="510"/>
        <v>154.94999999999999</v>
      </c>
      <c r="H907" s="21">
        <f t="shared" si="510"/>
        <v>154.94999999999999</v>
      </c>
      <c r="I907" s="24" t="str">
        <f t="shared" ref="I907:I970" si="511">IF(OR(L907=0,M907=0,N907=0),"SEM VALOR","COM VALOR")</f>
        <v xml:space="preserve">COM VALOR</v>
      </c>
      <c r="L907" s="36">
        <v>154.94999999999999</v>
      </c>
      <c r="M907" s="37">
        <v>154.94999999999999</v>
      </c>
      <c r="N907" s="36">
        <v>154.94999999999999</v>
      </c>
    </row>
    <row r="908" ht="25.5">
      <c r="A908" s="19" t="s">
        <v>10460</v>
      </c>
      <c r="B908" s="19">
        <v>1871</v>
      </c>
      <c r="C908" s="20" t="s">
        <v>11364</v>
      </c>
      <c r="D908" s="19" t="s">
        <v>31</v>
      </c>
      <c r="E908" s="19" t="s">
        <v>10459</v>
      </c>
      <c r="F908" s="21">
        <f t="shared" si="510"/>
        <v>3.0499999999999998</v>
      </c>
      <c r="G908" s="21">
        <f t="shared" si="510"/>
        <v>3.0499999999999998</v>
      </c>
      <c r="H908" s="21">
        <f t="shared" si="510"/>
        <v>3.0499999999999998</v>
      </c>
      <c r="I908" s="24" t="str">
        <f t="shared" si="511"/>
        <v xml:space="preserve">COM VALOR</v>
      </c>
      <c r="L908" s="36">
        <v>3.0499999999999998</v>
      </c>
      <c r="M908" s="37">
        <v>3.0499999999999998</v>
      </c>
      <c r="N908" s="36">
        <v>3.0499999999999998</v>
      </c>
    </row>
    <row r="909" ht="25.5">
      <c r="A909" s="19" t="s">
        <v>10460</v>
      </c>
      <c r="B909" s="19">
        <v>12001</v>
      </c>
      <c r="C909" s="20" t="s">
        <v>11365</v>
      </c>
      <c r="D909" s="19" t="s">
        <v>31</v>
      </c>
      <c r="E909" s="19" t="s">
        <v>10459</v>
      </c>
      <c r="F909" s="21">
        <f t="shared" si="510"/>
        <v>4.4000000000000004</v>
      </c>
      <c r="G909" s="21">
        <f t="shared" si="510"/>
        <v>4.4000000000000004</v>
      </c>
      <c r="H909" s="21">
        <f t="shared" si="510"/>
        <v>4.4000000000000004</v>
      </c>
      <c r="I909" s="24" t="str">
        <f t="shared" si="511"/>
        <v xml:space="preserve">COM VALOR</v>
      </c>
      <c r="L909" s="36">
        <v>4.4000000000000004</v>
      </c>
      <c r="M909" s="37">
        <v>4.4000000000000004</v>
      </c>
      <c r="N909" s="36">
        <v>4.4000000000000004</v>
      </c>
    </row>
    <row r="910" ht="25.5">
      <c r="A910" s="19" t="s">
        <v>10460</v>
      </c>
      <c r="B910" s="19">
        <v>11882</v>
      </c>
      <c r="C910" s="20" t="s">
        <v>11366</v>
      </c>
      <c r="D910" s="19" t="s">
        <v>31</v>
      </c>
      <c r="E910" s="19" t="s">
        <v>10459</v>
      </c>
      <c r="F910" s="21">
        <f t="shared" si="510"/>
        <v>127.63</v>
      </c>
      <c r="G910" s="21">
        <f t="shared" si="510"/>
        <v>127.63</v>
      </c>
      <c r="H910" s="21">
        <f t="shared" si="510"/>
        <v>127.63</v>
      </c>
      <c r="I910" s="24" t="str">
        <f t="shared" si="511"/>
        <v xml:space="preserve">COM VALOR</v>
      </c>
      <c r="L910" s="36">
        <v>127.63</v>
      </c>
      <c r="M910" s="37">
        <v>127.63</v>
      </c>
      <c r="N910" s="36">
        <v>127.63</v>
      </c>
    </row>
    <row r="911" ht="38.25">
      <c r="A911" s="19" t="s">
        <v>10460</v>
      </c>
      <c r="B911" s="19">
        <v>1068</v>
      </c>
      <c r="C911" s="20" t="s">
        <v>11367</v>
      </c>
      <c r="D911" s="19" t="s">
        <v>31</v>
      </c>
      <c r="E911" s="19" t="s">
        <v>10459</v>
      </c>
      <c r="F911" s="21" t="str">
        <f t="shared" si="510"/>
        <v>VERIFICAR</v>
      </c>
      <c r="G911" s="21" t="str">
        <f t="shared" si="510"/>
        <v>VERIFICAR</v>
      </c>
      <c r="H911" s="21" t="str">
        <f t="shared" si="510"/>
        <v>VERIFICAR</v>
      </c>
      <c r="I911" s="24" t="str">
        <f t="shared" si="511"/>
        <v xml:space="preserve">SEM VALOR</v>
      </c>
      <c r="L911" s="36"/>
      <c r="M911" s="37"/>
      <c r="N911" s="36"/>
    </row>
    <row r="912" ht="38.25">
      <c r="A912" s="19" t="s">
        <v>10460</v>
      </c>
      <c r="B912" s="19">
        <v>39690</v>
      </c>
      <c r="C912" s="20" t="s">
        <v>11368</v>
      </c>
      <c r="D912" s="19" t="s">
        <v>31</v>
      </c>
      <c r="E912" s="19" t="s">
        <v>10459</v>
      </c>
      <c r="F912" s="21" t="str">
        <f t="shared" si="510"/>
        <v>VERIFICAR</v>
      </c>
      <c r="G912" s="21" t="str">
        <f t="shared" si="510"/>
        <v>VERIFICAR</v>
      </c>
      <c r="H912" s="21" t="str">
        <f t="shared" si="510"/>
        <v>VERIFICAR</v>
      </c>
      <c r="I912" s="24" t="str">
        <f t="shared" si="511"/>
        <v xml:space="preserve">SEM VALOR</v>
      </c>
      <c r="L912" s="36"/>
      <c r="M912" s="37"/>
      <c r="N912" s="36"/>
    </row>
    <row r="913" ht="38.25">
      <c r="A913" s="19" t="s">
        <v>10460</v>
      </c>
      <c r="B913" s="19">
        <v>39691</v>
      </c>
      <c r="C913" s="20" t="s">
        <v>11369</v>
      </c>
      <c r="D913" s="19" t="s">
        <v>31</v>
      </c>
      <c r="E913" s="19" t="s">
        <v>10459</v>
      </c>
      <c r="F913" s="21" t="str">
        <f t="shared" si="510"/>
        <v>VERIFICAR</v>
      </c>
      <c r="G913" s="21" t="str">
        <f t="shared" si="510"/>
        <v>VERIFICAR</v>
      </c>
      <c r="H913" s="21" t="str">
        <f t="shared" si="510"/>
        <v>VERIFICAR</v>
      </c>
      <c r="I913" s="24" t="str">
        <f t="shared" si="511"/>
        <v xml:space="preserve">SEM VALOR</v>
      </c>
      <c r="L913" s="36"/>
      <c r="M913" s="37"/>
      <c r="N913" s="36"/>
    </row>
    <row r="914" ht="38.25">
      <c r="A914" s="19" t="s">
        <v>10460</v>
      </c>
      <c r="B914" s="19">
        <v>39808</v>
      </c>
      <c r="C914" s="20" t="s">
        <v>11370</v>
      </c>
      <c r="D914" s="19" t="s">
        <v>31</v>
      </c>
      <c r="E914" s="19" t="s">
        <v>10459</v>
      </c>
      <c r="F914" s="21">
        <f t="shared" si="510"/>
        <v>80.900000000000006</v>
      </c>
      <c r="G914" s="21">
        <f t="shared" si="510"/>
        <v>80.900000000000006</v>
      </c>
      <c r="H914" s="21">
        <f t="shared" si="510"/>
        <v>80.900000000000006</v>
      </c>
      <c r="I914" s="24" t="str">
        <f t="shared" si="511"/>
        <v xml:space="preserve">COM VALOR</v>
      </c>
      <c r="L914" s="36">
        <v>80.900000000000006</v>
      </c>
      <c r="M914" s="37">
        <v>80.900000000000006</v>
      </c>
      <c r="N914" s="36">
        <v>80.900000000000006</v>
      </c>
    </row>
    <row r="915" ht="38.25">
      <c r="A915" s="19" t="s">
        <v>10460</v>
      </c>
      <c r="B915" s="19">
        <v>39809</v>
      </c>
      <c r="C915" s="20" t="s">
        <v>11371</v>
      </c>
      <c r="D915" s="19" t="s">
        <v>31</v>
      </c>
      <c r="E915" s="19" t="s">
        <v>10459</v>
      </c>
      <c r="F915" s="21">
        <f t="shared" si="510"/>
        <v>191.87</v>
      </c>
      <c r="G915" s="21">
        <f t="shared" si="510"/>
        <v>191.87</v>
      </c>
      <c r="H915" s="21">
        <f t="shared" si="510"/>
        <v>191.87</v>
      </c>
      <c r="I915" s="24" t="str">
        <f t="shared" si="511"/>
        <v xml:space="preserve">COM VALOR</v>
      </c>
      <c r="L915" s="36">
        <v>191.87</v>
      </c>
      <c r="M915" s="37">
        <v>191.87</v>
      </c>
      <c r="N915" s="36">
        <v>191.87</v>
      </c>
    </row>
    <row r="916" ht="38.25">
      <c r="A916" s="19" t="s">
        <v>10460</v>
      </c>
      <c r="B916" s="19">
        <v>43439</v>
      </c>
      <c r="C916" s="20" t="s">
        <v>11372</v>
      </c>
      <c r="D916" s="19" t="s">
        <v>31</v>
      </c>
      <c r="E916" s="19" t="s">
        <v>10459</v>
      </c>
      <c r="F916" s="21">
        <f t="shared" si="510"/>
        <v>585.88</v>
      </c>
      <c r="G916" s="21">
        <f t="shared" si="510"/>
        <v>585.88</v>
      </c>
      <c r="H916" s="21">
        <f t="shared" si="510"/>
        <v>585.88</v>
      </c>
      <c r="I916" s="24" t="str">
        <f t="shared" si="511"/>
        <v xml:space="preserve">COM VALOR</v>
      </c>
      <c r="L916" s="36">
        <v>585.88</v>
      </c>
      <c r="M916" s="37">
        <v>585.88</v>
      </c>
      <c r="N916" s="36">
        <v>585.88</v>
      </c>
    </row>
    <row r="917" ht="25.5">
      <c r="A917" s="19" t="s">
        <v>10460</v>
      </c>
      <c r="B917" s="19">
        <v>5103</v>
      </c>
      <c r="C917" s="20" t="s">
        <v>11373</v>
      </c>
      <c r="D917" s="19" t="s">
        <v>31</v>
      </c>
      <c r="E917" s="19" t="s">
        <v>10459</v>
      </c>
      <c r="F917" s="21">
        <f t="shared" si="510"/>
        <v>26.449999999999999</v>
      </c>
      <c r="G917" s="21">
        <f t="shared" si="510"/>
        <v>26.449999999999999</v>
      </c>
      <c r="H917" s="21">
        <f t="shared" si="510"/>
        <v>26.449999999999999</v>
      </c>
      <c r="I917" s="24" t="str">
        <f t="shared" si="511"/>
        <v xml:space="preserve">COM VALOR</v>
      </c>
      <c r="L917" s="36">
        <v>26.449999999999999</v>
      </c>
      <c r="M917" s="37">
        <v>26.449999999999999</v>
      </c>
      <c r="N917" s="36">
        <v>26.449999999999999</v>
      </c>
    </row>
    <row r="918" ht="25.5">
      <c r="A918" s="19" t="s">
        <v>10460</v>
      </c>
      <c r="B918" s="19">
        <v>11880</v>
      </c>
      <c r="C918" s="20" t="s">
        <v>11374</v>
      </c>
      <c r="D918" s="19" t="s">
        <v>31</v>
      </c>
      <c r="E918" s="19" t="s">
        <v>10459</v>
      </c>
      <c r="F918" s="21">
        <f t="shared" si="510"/>
        <v>111.27</v>
      </c>
      <c r="G918" s="21">
        <f t="shared" si="510"/>
        <v>111.27</v>
      </c>
      <c r="H918" s="21">
        <f t="shared" si="510"/>
        <v>111.27</v>
      </c>
      <c r="I918" s="24" t="str">
        <f t="shared" si="511"/>
        <v xml:space="preserve">COM VALOR</v>
      </c>
      <c r="L918" s="36">
        <v>111.27</v>
      </c>
      <c r="M918" s="37">
        <v>111.27</v>
      </c>
      <c r="N918" s="36">
        <v>111.27</v>
      </c>
    </row>
    <row r="919" ht="25.5">
      <c r="A919" s="19" t="s">
        <v>10460</v>
      </c>
      <c r="B919" s="19">
        <v>11714</v>
      </c>
      <c r="C919" s="20" t="s">
        <v>11375</v>
      </c>
      <c r="D919" s="19" t="s">
        <v>31</v>
      </c>
      <c r="E919" s="19" t="s">
        <v>10459</v>
      </c>
      <c r="F919" s="21">
        <f t="shared" si="510"/>
        <v>75.799999999999997</v>
      </c>
      <c r="G919" s="21">
        <f t="shared" si="510"/>
        <v>75.799999999999997</v>
      </c>
      <c r="H919" s="21">
        <f t="shared" si="510"/>
        <v>75.799999999999997</v>
      </c>
      <c r="I919" s="24" t="str">
        <f t="shared" si="511"/>
        <v xml:space="preserve">COM VALOR</v>
      </c>
      <c r="L919" s="36">
        <v>75.799999999999997</v>
      </c>
      <c r="M919" s="37">
        <v>75.799999999999997</v>
      </c>
      <c r="N919" s="36">
        <v>75.799999999999997</v>
      </c>
    </row>
    <row r="920" ht="25.5">
      <c r="A920" s="19" t="s">
        <v>10460</v>
      </c>
      <c r="B920" s="19">
        <v>11712</v>
      </c>
      <c r="C920" s="20" t="s">
        <v>11376</v>
      </c>
      <c r="D920" s="19" t="s">
        <v>31</v>
      </c>
      <c r="E920" s="19" t="s">
        <v>10466</v>
      </c>
      <c r="F920" s="21">
        <f t="shared" si="510"/>
        <v>49.5</v>
      </c>
      <c r="G920" s="21">
        <f t="shared" si="510"/>
        <v>49.5</v>
      </c>
      <c r="H920" s="21">
        <f t="shared" si="510"/>
        <v>49.5</v>
      </c>
      <c r="I920" s="24" t="str">
        <f t="shared" si="511"/>
        <v xml:space="preserve">COM VALOR</v>
      </c>
      <c r="L920" s="36">
        <v>49.5</v>
      </c>
      <c r="M920" s="37">
        <v>49.5</v>
      </c>
      <c r="N920" s="36">
        <v>49.5</v>
      </c>
    </row>
    <row r="921" ht="25.5">
      <c r="A921" s="19" t="s">
        <v>10460</v>
      </c>
      <c r="B921" s="19">
        <v>11717</v>
      </c>
      <c r="C921" s="20" t="s">
        <v>11377</v>
      </c>
      <c r="D921" s="19" t="s">
        <v>31</v>
      </c>
      <c r="E921" s="19" t="s">
        <v>10459</v>
      </c>
      <c r="F921" s="21">
        <f t="shared" si="510"/>
        <v>59.670000000000002</v>
      </c>
      <c r="G921" s="21">
        <f t="shared" si="510"/>
        <v>59.670000000000002</v>
      </c>
      <c r="H921" s="21">
        <f t="shared" si="510"/>
        <v>59.670000000000002</v>
      </c>
      <c r="I921" s="24" t="str">
        <f t="shared" si="511"/>
        <v xml:space="preserve">COM VALOR</v>
      </c>
      <c r="L921" s="36">
        <v>59.670000000000002</v>
      </c>
      <c r="M921" s="37">
        <v>59.670000000000002</v>
      </c>
      <c r="N921" s="36">
        <v>59.670000000000002</v>
      </c>
    </row>
    <row r="922" ht="12.75">
      <c r="A922" s="19" t="s">
        <v>10460</v>
      </c>
      <c r="B922" s="19">
        <v>1106</v>
      </c>
      <c r="C922" s="20" t="s">
        <v>11378</v>
      </c>
      <c r="D922" s="19" t="s">
        <v>302</v>
      </c>
      <c r="E922" s="19" t="s">
        <v>10466</v>
      </c>
      <c r="F922" s="21">
        <f t="shared" si="510"/>
        <v>1.3100000000000001</v>
      </c>
      <c r="G922" s="21">
        <f t="shared" si="510"/>
        <v>1.3100000000000001</v>
      </c>
      <c r="H922" s="21">
        <f t="shared" si="510"/>
        <v>1.3100000000000001</v>
      </c>
      <c r="I922" s="24" t="str">
        <f t="shared" si="511"/>
        <v xml:space="preserve">COM VALOR</v>
      </c>
      <c r="L922" s="36">
        <v>1.3100000000000001</v>
      </c>
      <c r="M922" s="37">
        <v>1.3100000000000001</v>
      </c>
      <c r="N922" s="36">
        <v>1.3100000000000001</v>
      </c>
    </row>
    <row r="923" ht="12.75">
      <c r="A923" s="19" t="s">
        <v>10460</v>
      </c>
      <c r="B923" s="19">
        <v>11161</v>
      </c>
      <c r="C923" s="20" t="s">
        <v>11379</v>
      </c>
      <c r="D923" s="19" t="s">
        <v>302</v>
      </c>
      <c r="E923" s="19" t="s">
        <v>10459</v>
      </c>
      <c r="F923" s="21">
        <f t="shared" si="510"/>
        <v>2.1899999999999999</v>
      </c>
      <c r="G923" s="21">
        <f t="shared" si="510"/>
        <v>2.1899999999999999</v>
      </c>
      <c r="H923" s="21">
        <f t="shared" si="510"/>
        <v>2.1899999999999999</v>
      </c>
      <c r="I923" s="24" t="str">
        <f t="shared" si="511"/>
        <v xml:space="preserve">COM VALOR</v>
      </c>
      <c r="L923" s="36">
        <v>2.1899999999999999</v>
      </c>
      <c r="M923" s="37">
        <v>2.1899999999999999</v>
      </c>
      <c r="N923" s="36">
        <v>2.1899999999999999</v>
      </c>
    </row>
    <row r="924" ht="12.75">
      <c r="A924" s="19" t="s">
        <v>10460</v>
      </c>
      <c r="B924" s="19">
        <v>1107</v>
      </c>
      <c r="C924" s="20" t="s">
        <v>11380</v>
      </c>
      <c r="D924" s="19" t="s">
        <v>302</v>
      </c>
      <c r="E924" s="19" t="s">
        <v>10459</v>
      </c>
      <c r="F924" s="21">
        <f t="shared" si="510"/>
        <v>1.1100000000000001</v>
      </c>
      <c r="G924" s="21">
        <f t="shared" si="510"/>
        <v>1.1100000000000001</v>
      </c>
      <c r="H924" s="21">
        <f t="shared" si="510"/>
        <v>1.1100000000000001</v>
      </c>
      <c r="I924" s="24" t="str">
        <f t="shared" si="511"/>
        <v xml:space="preserve">COM VALOR</v>
      </c>
      <c r="L924" s="36">
        <v>1.1100000000000001</v>
      </c>
      <c r="M924" s="37">
        <v>1.1100000000000001</v>
      </c>
      <c r="N924" s="36">
        <v>1.1100000000000001</v>
      </c>
    </row>
    <row r="925" ht="25.5">
      <c r="A925" s="19" t="s">
        <v>10460</v>
      </c>
      <c r="B925" s="19">
        <v>44479</v>
      </c>
      <c r="C925" s="20" t="s">
        <v>11381</v>
      </c>
      <c r="D925" s="19" t="s">
        <v>302</v>
      </c>
      <c r="E925" s="19" t="s">
        <v>10459</v>
      </c>
      <c r="F925" s="21">
        <f t="shared" si="510"/>
        <v>0.14999999999999999</v>
      </c>
      <c r="G925" s="21">
        <f t="shared" si="510"/>
        <v>0.14999999999999999</v>
      </c>
      <c r="H925" s="21">
        <f t="shared" si="510"/>
        <v>0.14999999999999999</v>
      </c>
      <c r="I925" s="24" t="str">
        <f t="shared" si="511"/>
        <v xml:space="preserve">COM VALOR</v>
      </c>
      <c r="L925" s="36">
        <v>0.14999999999999999</v>
      </c>
      <c r="M925" s="37">
        <v>0.14999999999999999</v>
      </c>
      <c r="N925" s="36">
        <v>0.14999999999999999</v>
      </c>
    </row>
    <row r="926" ht="12.75">
      <c r="A926" s="19" t="s">
        <v>10604</v>
      </c>
      <c r="B926" s="19">
        <v>4759</v>
      </c>
      <c r="C926" s="20" t="s">
        <v>11382</v>
      </c>
      <c r="D926" s="19" t="s">
        <v>2032</v>
      </c>
      <c r="E926" s="19" t="s">
        <v>10459</v>
      </c>
      <c r="F926" s="21">
        <f t="shared" si="510"/>
        <v>19.260000000000002</v>
      </c>
      <c r="G926" s="21">
        <f t="shared" si="510"/>
        <v>19.260000000000002</v>
      </c>
      <c r="H926" s="21">
        <f t="shared" si="510"/>
        <v>19.260000000000002</v>
      </c>
      <c r="I926" s="24" t="str">
        <f t="shared" si="511"/>
        <v xml:space="preserve">COM VALOR</v>
      </c>
      <c r="L926" s="36">
        <v>19.260000000000002</v>
      </c>
      <c r="M926" s="37">
        <v>19.260000000000002</v>
      </c>
      <c r="N926" s="36">
        <v>19.260000000000002</v>
      </c>
    </row>
    <row r="927" ht="12.75">
      <c r="A927" s="19" t="s">
        <v>10604</v>
      </c>
      <c r="B927" s="19">
        <v>41068</v>
      </c>
      <c r="C927" s="20" t="s">
        <v>11383</v>
      </c>
      <c r="D927" s="19" t="s">
        <v>7087</v>
      </c>
      <c r="E927" s="19" t="s">
        <v>10459</v>
      </c>
      <c r="F927" s="21">
        <f t="shared" si="510"/>
        <v>3370.8800000000001</v>
      </c>
      <c r="G927" s="21">
        <f t="shared" si="510"/>
        <v>3370.8800000000001</v>
      </c>
      <c r="H927" s="21">
        <f t="shared" si="510"/>
        <v>3370.8800000000001</v>
      </c>
      <c r="I927" s="24" t="str">
        <f t="shared" si="511"/>
        <v xml:space="preserve">COM VALOR</v>
      </c>
      <c r="L927" s="36">
        <v>3370.8800000000001</v>
      </c>
      <c r="M927" s="37">
        <v>3370.8800000000001</v>
      </c>
      <c r="N927" s="36">
        <v>3370.8800000000001</v>
      </c>
    </row>
    <row r="928" ht="38.25">
      <c r="A928" s="19" t="s">
        <v>10460</v>
      </c>
      <c r="B928" s="19">
        <v>12618</v>
      </c>
      <c r="C928" s="20" t="s">
        <v>11384</v>
      </c>
      <c r="D928" s="19" t="s">
        <v>31</v>
      </c>
      <c r="E928" s="19" t="s">
        <v>10459</v>
      </c>
      <c r="F928" s="21">
        <f t="shared" si="510"/>
        <v>187.66</v>
      </c>
      <c r="G928" s="21">
        <f t="shared" si="510"/>
        <v>187.66</v>
      </c>
      <c r="H928" s="21">
        <f t="shared" si="510"/>
        <v>187.66</v>
      </c>
      <c r="I928" s="24" t="str">
        <f t="shared" si="511"/>
        <v xml:space="preserve">COM VALOR</v>
      </c>
      <c r="L928" s="36">
        <v>187.66</v>
      </c>
      <c r="M928" s="37">
        <v>187.66</v>
      </c>
      <c r="N928" s="36">
        <v>187.66</v>
      </c>
    </row>
    <row r="929" ht="25.5">
      <c r="A929" s="19" t="s">
        <v>10460</v>
      </c>
      <c r="B929" s="19">
        <v>1108</v>
      </c>
      <c r="C929" s="20" t="s">
        <v>11385</v>
      </c>
      <c r="D929" s="19" t="s">
        <v>38</v>
      </c>
      <c r="E929" s="19" t="s">
        <v>10459</v>
      </c>
      <c r="F929" s="21" t="str">
        <f t="shared" si="510"/>
        <v>VERIFICAR</v>
      </c>
      <c r="G929" s="21" t="str">
        <f t="shared" si="510"/>
        <v>VERIFICAR</v>
      </c>
      <c r="H929" s="21" t="str">
        <f t="shared" si="510"/>
        <v>VERIFICAR</v>
      </c>
      <c r="I929" s="24" t="str">
        <f t="shared" si="511"/>
        <v xml:space="preserve">SEM VALOR</v>
      </c>
      <c r="L929" s="36"/>
      <c r="M929" s="37"/>
      <c r="N929" s="36"/>
    </row>
    <row r="930" ht="25.5">
      <c r="A930" s="19" t="s">
        <v>10460</v>
      </c>
      <c r="B930" s="19">
        <v>1117</v>
      </c>
      <c r="C930" s="20" t="s">
        <v>11386</v>
      </c>
      <c r="D930" s="19" t="s">
        <v>38</v>
      </c>
      <c r="E930" s="19" t="s">
        <v>10459</v>
      </c>
      <c r="F930" s="21" t="str">
        <f t="shared" si="510"/>
        <v>VERIFICAR</v>
      </c>
      <c r="G930" s="21" t="str">
        <f t="shared" si="510"/>
        <v>VERIFICAR</v>
      </c>
      <c r="H930" s="21" t="str">
        <f t="shared" si="510"/>
        <v>VERIFICAR</v>
      </c>
      <c r="I930" s="24" t="str">
        <f t="shared" si="511"/>
        <v xml:space="preserve">SEM VALOR</v>
      </c>
      <c r="L930" s="36"/>
      <c r="M930" s="37"/>
      <c r="N930" s="36"/>
    </row>
    <row r="931" ht="25.5">
      <c r="A931" s="19" t="s">
        <v>10460</v>
      </c>
      <c r="B931" s="19">
        <v>1118</v>
      </c>
      <c r="C931" s="20" t="s">
        <v>11387</v>
      </c>
      <c r="D931" s="19" t="s">
        <v>38</v>
      </c>
      <c r="E931" s="19" t="s">
        <v>10459</v>
      </c>
      <c r="F931" s="21" t="str">
        <f t="shared" si="510"/>
        <v>VERIFICAR</v>
      </c>
      <c r="G931" s="21" t="str">
        <f t="shared" si="510"/>
        <v>VERIFICAR</v>
      </c>
      <c r="H931" s="21" t="str">
        <f t="shared" si="510"/>
        <v>VERIFICAR</v>
      </c>
      <c r="I931" s="24" t="str">
        <f t="shared" si="511"/>
        <v xml:space="preserve">SEM VALOR</v>
      </c>
      <c r="L931" s="36"/>
      <c r="M931" s="37"/>
      <c r="N931" s="36"/>
    </row>
    <row r="932" ht="25.5">
      <c r="A932" s="19" t="s">
        <v>10460</v>
      </c>
      <c r="B932" s="19">
        <v>1110</v>
      </c>
      <c r="C932" s="20" t="s">
        <v>11388</v>
      </c>
      <c r="D932" s="19" t="s">
        <v>38</v>
      </c>
      <c r="E932" s="19" t="s">
        <v>10459</v>
      </c>
      <c r="F932" s="21" t="str">
        <f t="shared" si="510"/>
        <v>VERIFICAR</v>
      </c>
      <c r="G932" s="21" t="str">
        <f t="shared" si="510"/>
        <v>VERIFICAR</v>
      </c>
      <c r="H932" s="21" t="str">
        <f t="shared" si="510"/>
        <v>VERIFICAR</v>
      </c>
      <c r="I932" s="24" t="str">
        <f t="shared" si="511"/>
        <v xml:space="preserve">SEM VALOR</v>
      </c>
      <c r="L932" s="36"/>
      <c r="M932" s="37"/>
      <c r="N932" s="36"/>
    </row>
    <row r="933" ht="25.5">
      <c r="A933" s="19" t="s">
        <v>10460</v>
      </c>
      <c r="B933" s="19">
        <v>40784</v>
      </c>
      <c r="C933" s="20" t="s">
        <v>11389</v>
      </c>
      <c r="D933" s="19" t="s">
        <v>38</v>
      </c>
      <c r="E933" s="19" t="s">
        <v>10459</v>
      </c>
      <c r="F933" s="21" t="str">
        <f t="shared" si="510"/>
        <v>VERIFICAR</v>
      </c>
      <c r="G933" s="21" t="str">
        <f t="shared" si="510"/>
        <v>VERIFICAR</v>
      </c>
      <c r="H933" s="21" t="str">
        <f t="shared" si="510"/>
        <v>VERIFICAR</v>
      </c>
      <c r="I933" s="24" t="str">
        <f t="shared" si="511"/>
        <v xml:space="preserve">SEM VALOR</v>
      </c>
      <c r="L933" s="36"/>
      <c r="M933" s="37"/>
      <c r="N933" s="36"/>
    </row>
    <row r="934" ht="25.5">
      <c r="A934" s="19" t="s">
        <v>10460</v>
      </c>
      <c r="B934" s="19">
        <v>40782</v>
      </c>
      <c r="C934" s="20" t="s">
        <v>11390</v>
      </c>
      <c r="D934" s="19" t="s">
        <v>38</v>
      </c>
      <c r="E934" s="19" t="s">
        <v>10459</v>
      </c>
      <c r="F934" s="21" t="str">
        <f t="shared" si="510"/>
        <v>VERIFICAR</v>
      </c>
      <c r="G934" s="21" t="str">
        <f t="shared" si="510"/>
        <v>VERIFICAR</v>
      </c>
      <c r="H934" s="21" t="str">
        <f t="shared" si="510"/>
        <v>VERIFICAR</v>
      </c>
      <c r="I934" s="24" t="str">
        <f t="shared" si="511"/>
        <v xml:space="preserve">SEM VALOR</v>
      </c>
      <c r="J934" s="38"/>
      <c r="L934" s="36"/>
      <c r="M934" s="37"/>
      <c r="N934" s="36"/>
    </row>
    <row r="935" ht="25.5">
      <c r="A935" s="19" t="s">
        <v>10460</v>
      </c>
      <c r="B935" s="19">
        <v>40783</v>
      </c>
      <c r="C935" s="20" t="s">
        <v>11391</v>
      </c>
      <c r="D935" s="19" t="s">
        <v>38</v>
      </c>
      <c r="E935" s="19" t="s">
        <v>10459</v>
      </c>
      <c r="F935" s="21" t="str">
        <f t="shared" si="510"/>
        <v>VERIFICAR</v>
      </c>
      <c r="G935" s="21" t="str">
        <f t="shared" si="510"/>
        <v>VERIFICAR</v>
      </c>
      <c r="H935" s="21" t="str">
        <f t="shared" si="510"/>
        <v>VERIFICAR</v>
      </c>
      <c r="I935" s="24" t="str">
        <f t="shared" si="511"/>
        <v xml:space="preserve">SEM VALOR</v>
      </c>
      <c r="L935" s="36"/>
      <c r="M935" s="37"/>
      <c r="N935" s="36"/>
    </row>
    <row r="936" ht="25.5">
      <c r="A936" s="19" t="s">
        <v>10460</v>
      </c>
      <c r="B936" s="19">
        <v>1109</v>
      </c>
      <c r="C936" s="20" t="s">
        <v>11392</v>
      </c>
      <c r="D936" s="19" t="s">
        <v>38</v>
      </c>
      <c r="E936" s="19" t="s">
        <v>10459</v>
      </c>
      <c r="F936" s="21" t="str">
        <f t="shared" si="510"/>
        <v>VERIFICAR</v>
      </c>
      <c r="G936" s="21" t="str">
        <f t="shared" si="510"/>
        <v>VERIFICAR</v>
      </c>
      <c r="H936" s="21" t="str">
        <f t="shared" si="510"/>
        <v>VERIFICAR</v>
      </c>
      <c r="I936" s="24" t="str">
        <f t="shared" si="511"/>
        <v xml:space="preserve">SEM VALOR</v>
      </c>
      <c r="L936" s="36"/>
      <c r="M936" s="37"/>
      <c r="N936" s="36"/>
    </row>
    <row r="937" ht="25.5">
      <c r="A937" s="19" t="s">
        <v>10460</v>
      </c>
      <c r="B937" s="19">
        <v>1119</v>
      </c>
      <c r="C937" s="20" t="s">
        <v>11393</v>
      </c>
      <c r="D937" s="19" t="s">
        <v>38</v>
      </c>
      <c r="E937" s="19" t="s">
        <v>10459</v>
      </c>
      <c r="F937" s="21" t="str">
        <f t="shared" si="510"/>
        <v>VERIFICAR</v>
      </c>
      <c r="G937" s="21" t="str">
        <f t="shared" si="510"/>
        <v>VERIFICAR</v>
      </c>
      <c r="H937" s="21" t="str">
        <f t="shared" si="510"/>
        <v>VERIFICAR</v>
      </c>
      <c r="I937" s="24" t="str">
        <f t="shared" si="511"/>
        <v xml:space="preserve">SEM VALOR</v>
      </c>
      <c r="L937" s="36"/>
      <c r="M937" s="37"/>
      <c r="N937" s="36"/>
    </row>
    <row r="938" ht="25.5">
      <c r="A938" s="19" t="s">
        <v>10460</v>
      </c>
      <c r="B938" s="19">
        <v>13115</v>
      </c>
      <c r="C938" s="20" t="s">
        <v>11394</v>
      </c>
      <c r="D938" s="19" t="s">
        <v>38</v>
      </c>
      <c r="E938" s="19" t="s">
        <v>10459</v>
      </c>
      <c r="F938" s="21" t="str">
        <f t="shared" si="510"/>
        <v>VERIFICAR</v>
      </c>
      <c r="G938" s="21" t="str">
        <f t="shared" si="510"/>
        <v>VERIFICAR</v>
      </c>
      <c r="H938" s="21" t="str">
        <f t="shared" si="510"/>
        <v>VERIFICAR</v>
      </c>
      <c r="I938" s="24" t="str">
        <f t="shared" si="511"/>
        <v xml:space="preserve">SEM VALOR</v>
      </c>
      <c r="L938" s="36"/>
      <c r="M938" s="37"/>
      <c r="N938" s="36"/>
    </row>
    <row r="939" ht="25.5">
      <c r="A939" s="19" t="s">
        <v>10460</v>
      </c>
      <c r="B939" s="19">
        <v>10541</v>
      </c>
      <c r="C939" s="20" t="s">
        <v>11395</v>
      </c>
      <c r="D939" s="19" t="s">
        <v>38</v>
      </c>
      <c r="E939" s="19" t="s">
        <v>10459</v>
      </c>
      <c r="F939" s="21" t="str">
        <f t="shared" si="510"/>
        <v>VERIFICAR</v>
      </c>
      <c r="G939" s="21" t="str">
        <f t="shared" si="510"/>
        <v>VERIFICAR</v>
      </c>
      <c r="H939" s="21" t="str">
        <f t="shared" si="510"/>
        <v>VERIFICAR</v>
      </c>
      <c r="I939" s="24" t="str">
        <f t="shared" si="511"/>
        <v xml:space="preserve">SEM VALOR</v>
      </c>
      <c r="L939" s="36"/>
      <c r="M939" s="37"/>
      <c r="N939" s="36"/>
    </row>
    <row r="940" ht="25.5">
      <c r="A940" s="19" t="s">
        <v>10460</v>
      </c>
      <c r="B940" s="19">
        <v>10542</v>
      </c>
      <c r="C940" s="20" t="s">
        <v>11396</v>
      </c>
      <c r="D940" s="19" t="s">
        <v>38</v>
      </c>
      <c r="E940" s="19" t="s">
        <v>10459</v>
      </c>
      <c r="F940" s="21" t="str">
        <f t="shared" si="510"/>
        <v>VERIFICAR</v>
      </c>
      <c r="G940" s="21" t="str">
        <f t="shared" si="510"/>
        <v>VERIFICAR</v>
      </c>
      <c r="H940" s="21" t="str">
        <f t="shared" si="510"/>
        <v>VERIFICAR</v>
      </c>
      <c r="I940" s="24" t="str">
        <f t="shared" si="511"/>
        <v xml:space="preserve">SEM VALOR</v>
      </c>
      <c r="L940" s="36"/>
      <c r="M940" s="37"/>
      <c r="N940" s="36"/>
    </row>
    <row r="941" ht="25.5">
      <c r="A941" s="19" t="s">
        <v>10460</v>
      </c>
      <c r="B941" s="19">
        <v>10543</v>
      </c>
      <c r="C941" s="20" t="s">
        <v>11397</v>
      </c>
      <c r="D941" s="19" t="s">
        <v>38</v>
      </c>
      <c r="E941" s="19" t="s">
        <v>10459</v>
      </c>
      <c r="F941" s="21" t="str">
        <f t="shared" si="510"/>
        <v>VERIFICAR</v>
      </c>
      <c r="G941" s="21" t="str">
        <f t="shared" si="510"/>
        <v>VERIFICAR</v>
      </c>
      <c r="H941" s="21" t="str">
        <f t="shared" si="510"/>
        <v>VERIFICAR</v>
      </c>
      <c r="I941" s="24" t="str">
        <f t="shared" si="511"/>
        <v xml:space="preserve">SEM VALOR</v>
      </c>
      <c r="L941" s="36"/>
      <c r="M941" s="37"/>
      <c r="N941" s="36"/>
    </row>
    <row r="942" ht="25.5">
      <c r="A942" s="19" t="s">
        <v>10460</v>
      </c>
      <c r="B942" s="19">
        <v>10544</v>
      </c>
      <c r="C942" s="20" t="s">
        <v>11398</v>
      </c>
      <c r="D942" s="19" t="s">
        <v>38</v>
      </c>
      <c r="E942" s="19" t="s">
        <v>10459</v>
      </c>
      <c r="F942" s="21" t="str">
        <f t="shared" si="510"/>
        <v>VERIFICAR</v>
      </c>
      <c r="G942" s="21" t="str">
        <f t="shared" si="510"/>
        <v>VERIFICAR</v>
      </c>
      <c r="H942" s="21" t="str">
        <f t="shared" si="510"/>
        <v>VERIFICAR</v>
      </c>
      <c r="I942" s="24" t="str">
        <f t="shared" si="511"/>
        <v xml:space="preserve">SEM VALOR</v>
      </c>
      <c r="L942" s="36"/>
      <c r="M942" s="37"/>
      <c r="N942" s="36"/>
    </row>
    <row r="943" ht="25.5">
      <c r="A943" s="19" t="s">
        <v>10460</v>
      </c>
      <c r="B943" s="19">
        <v>10545</v>
      </c>
      <c r="C943" s="20" t="s">
        <v>11399</v>
      </c>
      <c r="D943" s="19" t="s">
        <v>38</v>
      </c>
      <c r="E943" s="19" t="s">
        <v>10459</v>
      </c>
      <c r="F943" s="21" t="str">
        <f t="shared" si="510"/>
        <v>VERIFICAR</v>
      </c>
      <c r="G943" s="21" t="str">
        <f t="shared" si="510"/>
        <v>VERIFICAR</v>
      </c>
      <c r="H943" s="21" t="str">
        <f t="shared" si="510"/>
        <v>VERIFICAR</v>
      </c>
      <c r="I943" s="24" t="str">
        <f t="shared" si="511"/>
        <v xml:space="preserve">SEM VALOR</v>
      </c>
      <c r="L943" s="36"/>
      <c r="M943" s="37"/>
      <c r="N943" s="36"/>
    </row>
    <row r="944" ht="25.5">
      <c r="A944" s="19" t="s">
        <v>10460</v>
      </c>
      <c r="B944" s="19">
        <v>38365</v>
      </c>
      <c r="C944" s="20" t="s">
        <v>11400</v>
      </c>
      <c r="D944" s="19" t="s">
        <v>29</v>
      </c>
      <c r="E944" s="19" t="s">
        <v>10459</v>
      </c>
      <c r="F944" s="21" t="str">
        <f t="shared" si="510"/>
        <v>VERIFICAR</v>
      </c>
      <c r="G944" s="21" t="str">
        <f t="shared" si="510"/>
        <v>VERIFICAR</v>
      </c>
      <c r="H944" s="21" t="str">
        <f t="shared" si="510"/>
        <v>VERIFICAR</v>
      </c>
      <c r="I944" s="24" t="str">
        <f t="shared" si="511"/>
        <v xml:space="preserve">SEM VALOR</v>
      </c>
      <c r="L944" s="36"/>
      <c r="M944" s="37"/>
      <c r="N944" s="36"/>
    </row>
    <row r="945" ht="38.25">
      <c r="A945" s="19" t="s">
        <v>10638</v>
      </c>
      <c r="B945" s="19">
        <v>44056</v>
      </c>
      <c r="C945" s="20" t="s">
        <v>11401</v>
      </c>
      <c r="D945" s="19" t="s">
        <v>31</v>
      </c>
      <c r="E945" s="19" t="s">
        <v>10459</v>
      </c>
      <c r="F945" s="21" t="str">
        <f t="shared" si="510"/>
        <v>VERIFICAR</v>
      </c>
      <c r="G945" s="21" t="str">
        <f t="shared" si="510"/>
        <v>VERIFICAR</v>
      </c>
      <c r="H945" s="21" t="str">
        <f t="shared" si="510"/>
        <v>VERIFICAR</v>
      </c>
      <c r="I945" s="24" t="str">
        <f t="shared" si="511"/>
        <v xml:space="preserve">SEM VALOR</v>
      </c>
      <c r="L945" s="36"/>
      <c r="M945" s="37"/>
      <c r="N945" s="36"/>
    </row>
    <row r="946" ht="38.25">
      <c r="A946" s="19" t="s">
        <v>10638</v>
      </c>
      <c r="B946" s="19">
        <v>44057</v>
      </c>
      <c r="C946" s="20" t="s">
        <v>11402</v>
      </c>
      <c r="D946" s="19" t="s">
        <v>31</v>
      </c>
      <c r="E946" s="19" t="s">
        <v>10466</v>
      </c>
      <c r="F946" s="21" t="str">
        <f t="shared" si="510"/>
        <v>VERIFICAR</v>
      </c>
      <c r="G946" s="21" t="str">
        <f t="shared" si="510"/>
        <v>VERIFICAR</v>
      </c>
      <c r="H946" s="21" t="str">
        <f t="shared" si="510"/>
        <v>VERIFICAR</v>
      </c>
      <c r="I946" s="24" t="str">
        <f t="shared" si="511"/>
        <v xml:space="preserve">SEM VALOR</v>
      </c>
      <c r="L946" s="36"/>
      <c r="M946" s="37"/>
      <c r="N946" s="36"/>
    </row>
    <row r="947" ht="38.25">
      <c r="A947" s="19" t="s">
        <v>10638</v>
      </c>
      <c r="B947" s="19">
        <v>37754</v>
      </c>
      <c r="C947" s="20" t="s">
        <v>11403</v>
      </c>
      <c r="D947" s="19" t="s">
        <v>31</v>
      </c>
      <c r="E947" s="19" t="s">
        <v>10459</v>
      </c>
      <c r="F947" s="21" t="str">
        <f t="shared" si="510"/>
        <v>VERIFICAR</v>
      </c>
      <c r="G947" s="21" t="str">
        <f t="shared" si="510"/>
        <v>VERIFICAR</v>
      </c>
      <c r="H947" s="21" t="str">
        <f t="shared" si="510"/>
        <v>VERIFICAR</v>
      </c>
      <c r="I947" s="24" t="str">
        <f t="shared" si="511"/>
        <v xml:space="preserve">SEM VALOR</v>
      </c>
      <c r="L947" s="36"/>
      <c r="M947" s="37"/>
      <c r="N947" s="36"/>
    </row>
    <row r="948" ht="38.25">
      <c r="A948" s="19" t="s">
        <v>10638</v>
      </c>
      <c r="B948" s="19">
        <v>44058</v>
      </c>
      <c r="C948" s="20" t="s">
        <v>11404</v>
      </c>
      <c r="D948" s="19" t="s">
        <v>31</v>
      </c>
      <c r="E948" s="19" t="s">
        <v>10459</v>
      </c>
      <c r="F948" s="21" t="str">
        <f t="shared" si="510"/>
        <v>VERIFICAR</v>
      </c>
      <c r="G948" s="21" t="str">
        <f t="shared" si="510"/>
        <v>VERIFICAR</v>
      </c>
      <c r="H948" s="21" t="str">
        <f t="shared" si="510"/>
        <v>VERIFICAR</v>
      </c>
      <c r="I948" s="24" t="str">
        <f t="shared" si="511"/>
        <v xml:space="preserve">SEM VALOR</v>
      </c>
      <c r="L948" s="36"/>
      <c r="M948" s="37"/>
      <c r="N948" s="36"/>
    </row>
    <row r="949" ht="38.25">
      <c r="A949" s="19" t="s">
        <v>10638</v>
      </c>
      <c r="B949" s="19">
        <v>37752</v>
      </c>
      <c r="C949" s="20" t="s">
        <v>11405</v>
      </c>
      <c r="D949" s="19" t="s">
        <v>31</v>
      </c>
      <c r="E949" s="19" t="s">
        <v>10459</v>
      </c>
      <c r="F949" s="21" t="str">
        <f t="shared" si="510"/>
        <v>VERIFICAR</v>
      </c>
      <c r="G949" s="21" t="str">
        <f t="shared" si="510"/>
        <v>VERIFICAR</v>
      </c>
      <c r="H949" s="21" t="str">
        <f t="shared" si="510"/>
        <v>VERIFICAR</v>
      </c>
      <c r="I949" s="24" t="str">
        <f t="shared" si="511"/>
        <v xml:space="preserve">SEM VALOR</v>
      </c>
      <c r="L949" s="36"/>
      <c r="M949" s="37"/>
      <c r="N949" s="36"/>
    </row>
    <row r="950" ht="51">
      <c r="A950" s="19" t="s">
        <v>10638</v>
      </c>
      <c r="B950" s="19">
        <v>37758</v>
      </c>
      <c r="C950" s="20" t="s">
        <v>11406</v>
      </c>
      <c r="D950" s="19" t="s">
        <v>31</v>
      </c>
      <c r="E950" s="19" t="s">
        <v>10459</v>
      </c>
      <c r="F950" s="21" t="str">
        <f t="shared" si="510"/>
        <v>VERIFICAR</v>
      </c>
      <c r="G950" s="21" t="str">
        <f t="shared" si="510"/>
        <v>VERIFICAR</v>
      </c>
      <c r="H950" s="21" t="str">
        <f t="shared" si="510"/>
        <v>VERIFICAR</v>
      </c>
      <c r="I950" s="24" t="str">
        <f t="shared" si="511"/>
        <v xml:space="preserve">SEM VALOR</v>
      </c>
      <c r="L950" s="36"/>
      <c r="M950" s="37"/>
      <c r="N950" s="36"/>
    </row>
    <row r="951" ht="51">
      <c r="A951" s="19" t="s">
        <v>10638</v>
      </c>
      <c r="B951" s="19">
        <v>44060</v>
      </c>
      <c r="C951" s="20" t="s">
        <v>11407</v>
      </c>
      <c r="D951" s="19" t="s">
        <v>31</v>
      </c>
      <c r="E951" s="19" t="s">
        <v>10459</v>
      </c>
      <c r="F951" s="21" t="str">
        <f t="shared" si="510"/>
        <v>VERIFICAR</v>
      </c>
      <c r="G951" s="21" t="str">
        <f t="shared" si="510"/>
        <v>VERIFICAR</v>
      </c>
      <c r="H951" s="21" t="str">
        <f t="shared" si="510"/>
        <v>VERIFICAR</v>
      </c>
      <c r="I951" s="24" t="str">
        <f t="shared" si="511"/>
        <v xml:space="preserve">SEM VALOR</v>
      </c>
      <c r="L951" s="36"/>
      <c r="M951" s="37"/>
      <c r="N951" s="36"/>
    </row>
    <row r="952" ht="51">
      <c r="A952" s="19" t="s">
        <v>10638</v>
      </c>
      <c r="B952" s="19">
        <v>44061</v>
      </c>
      <c r="C952" s="20" t="s">
        <v>11408</v>
      </c>
      <c r="D952" s="19" t="s">
        <v>31</v>
      </c>
      <c r="E952" s="19" t="s">
        <v>10459</v>
      </c>
      <c r="F952" s="21" t="str">
        <f t="shared" si="510"/>
        <v>VERIFICAR</v>
      </c>
      <c r="G952" s="21" t="str">
        <f t="shared" si="510"/>
        <v>VERIFICAR</v>
      </c>
      <c r="H952" s="21" t="str">
        <f t="shared" si="510"/>
        <v>VERIFICAR</v>
      </c>
      <c r="I952" s="24" t="str">
        <f t="shared" si="511"/>
        <v xml:space="preserve">SEM VALOR</v>
      </c>
      <c r="L952" s="36"/>
      <c r="M952" s="37"/>
      <c r="N952" s="36"/>
    </row>
    <row r="953" ht="25.5">
      <c r="A953" s="19" t="s">
        <v>10638</v>
      </c>
      <c r="B953" s="19">
        <v>1159</v>
      </c>
      <c r="C953" s="20" t="s">
        <v>11409</v>
      </c>
      <c r="D953" s="19" t="s">
        <v>31</v>
      </c>
      <c r="E953" s="19" t="s">
        <v>10466</v>
      </c>
      <c r="F953" s="21">
        <f t="shared" si="510"/>
        <v>277791.16999999998</v>
      </c>
      <c r="G953" s="21">
        <f t="shared" si="510"/>
        <v>277791.16999999998</v>
      </c>
      <c r="H953" s="21">
        <f t="shared" si="510"/>
        <v>277791.16999999998</v>
      </c>
      <c r="I953" s="24" t="str">
        <f t="shared" si="511"/>
        <v xml:space="preserve">COM VALOR</v>
      </c>
      <c r="L953" s="36">
        <v>277791.16999999998</v>
      </c>
      <c r="M953" s="37">
        <v>277791.16999999998</v>
      </c>
      <c r="N953" s="36">
        <v>277791.16999999998</v>
      </c>
    </row>
    <row r="954" ht="12.75">
      <c r="A954" s="19" t="s">
        <v>10460</v>
      </c>
      <c r="B954" s="19">
        <v>12114</v>
      </c>
      <c r="C954" s="20" t="s">
        <v>11410</v>
      </c>
      <c r="D954" s="19" t="s">
        <v>31</v>
      </c>
      <c r="E954" s="19" t="s">
        <v>10459</v>
      </c>
      <c r="F954" s="21">
        <f t="shared" si="510"/>
        <v>117.53</v>
      </c>
      <c r="G954" s="21">
        <f t="shared" si="510"/>
        <v>117.53</v>
      </c>
      <c r="H954" s="21">
        <f t="shared" si="510"/>
        <v>117.53</v>
      </c>
      <c r="I954" s="24" t="str">
        <f t="shared" si="511"/>
        <v xml:space="preserve">COM VALOR</v>
      </c>
      <c r="L954" s="36">
        <v>117.53</v>
      </c>
      <c r="M954" s="37">
        <v>117.53</v>
      </c>
      <c r="N954" s="36">
        <v>117.53</v>
      </c>
    </row>
    <row r="955" ht="12.75">
      <c r="A955" s="19" t="s">
        <v>10460</v>
      </c>
      <c r="B955" s="19">
        <v>38106</v>
      </c>
      <c r="C955" s="20" t="s">
        <v>11411</v>
      </c>
      <c r="D955" s="19" t="s">
        <v>31</v>
      </c>
      <c r="E955" s="19" t="s">
        <v>10459</v>
      </c>
      <c r="F955" s="21">
        <f t="shared" si="510"/>
        <v>15.970000000000001</v>
      </c>
      <c r="G955" s="21">
        <f t="shared" si="510"/>
        <v>15.970000000000001</v>
      </c>
      <c r="H955" s="21">
        <f t="shared" si="510"/>
        <v>15.970000000000001</v>
      </c>
      <c r="I955" s="24" t="str">
        <f t="shared" si="511"/>
        <v xml:space="preserve">COM VALOR</v>
      </c>
      <c r="L955" s="36">
        <v>15.970000000000001</v>
      </c>
      <c r="M955" s="37">
        <v>15.970000000000001</v>
      </c>
      <c r="N955" s="36">
        <v>15.970000000000001</v>
      </c>
    </row>
    <row r="956" ht="25.5">
      <c r="A956" s="19" t="s">
        <v>10460</v>
      </c>
      <c r="B956" s="19">
        <v>38085</v>
      </c>
      <c r="C956" s="20" t="s">
        <v>11412</v>
      </c>
      <c r="D956" s="19" t="s">
        <v>31</v>
      </c>
      <c r="E956" s="19" t="s">
        <v>10459</v>
      </c>
      <c r="F956" s="21">
        <f t="shared" si="510"/>
        <v>18.859999999999999</v>
      </c>
      <c r="G956" s="21">
        <f t="shared" si="510"/>
        <v>18.859999999999999</v>
      </c>
      <c r="H956" s="21">
        <f t="shared" si="510"/>
        <v>18.859999999999999</v>
      </c>
      <c r="I956" s="24" t="str">
        <f t="shared" si="511"/>
        <v xml:space="preserve">COM VALOR</v>
      </c>
      <c r="L956" s="36">
        <v>18.859999999999999</v>
      </c>
      <c r="M956" s="37">
        <v>18.859999999999999</v>
      </c>
      <c r="N956" s="36">
        <v>18.859999999999999</v>
      </c>
    </row>
    <row r="957" ht="25.5">
      <c r="A957" s="19" t="s">
        <v>10460</v>
      </c>
      <c r="B957" s="19">
        <v>659</v>
      </c>
      <c r="C957" s="20" t="s">
        <v>11413</v>
      </c>
      <c r="D957" s="19" t="s">
        <v>31</v>
      </c>
      <c r="E957" s="19" t="s">
        <v>10459</v>
      </c>
      <c r="F957" s="21">
        <f t="shared" si="510"/>
        <v>3.3300000000000001</v>
      </c>
      <c r="G957" s="21">
        <f t="shared" si="510"/>
        <v>3.3300000000000001</v>
      </c>
      <c r="H957" s="21">
        <f t="shared" si="510"/>
        <v>3.3300000000000001</v>
      </c>
      <c r="I957" s="24" t="str">
        <f t="shared" si="511"/>
        <v xml:space="preserve">COM VALOR</v>
      </c>
      <c r="L957" s="36">
        <v>3.3300000000000001</v>
      </c>
      <c r="M957" s="37">
        <v>3.3300000000000001</v>
      </c>
      <c r="N957" s="36">
        <v>3.3300000000000001</v>
      </c>
    </row>
    <row r="958" ht="25.5">
      <c r="A958" s="19" t="s">
        <v>10460</v>
      </c>
      <c r="B958" s="19">
        <v>660</v>
      </c>
      <c r="C958" s="20" t="s">
        <v>11414</v>
      </c>
      <c r="D958" s="19" t="s">
        <v>31</v>
      </c>
      <c r="E958" s="19" t="s">
        <v>10459</v>
      </c>
      <c r="F958" s="21">
        <f t="shared" si="510"/>
        <v>3.9900000000000002</v>
      </c>
      <c r="G958" s="21">
        <f t="shared" si="510"/>
        <v>3.9900000000000002</v>
      </c>
      <c r="H958" s="21">
        <f t="shared" si="510"/>
        <v>3.9900000000000002</v>
      </c>
      <c r="I958" s="24" t="str">
        <f t="shared" si="511"/>
        <v xml:space="preserve">COM VALOR</v>
      </c>
      <c r="L958" s="36">
        <v>3.9900000000000002</v>
      </c>
      <c r="M958" s="37">
        <v>3.9900000000000002</v>
      </c>
      <c r="N958" s="36">
        <v>3.9900000000000002</v>
      </c>
    </row>
    <row r="959" ht="25.5">
      <c r="A959" s="19" t="s">
        <v>10460</v>
      </c>
      <c r="B959" s="19">
        <v>658</v>
      </c>
      <c r="C959" s="20" t="s">
        <v>11415</v>
      </c>
      <c r="D959" s="19" t="s">
        <v>31</v>
      </c>
      <c r="E959" s="19" t="s">
        <v>10459</v>
      </c>
      <c r="F959" s="21">
        <f t="shared" si="510"/>
        <v>2.25</v>
      </c>
      <c r="G959" s="21">
        <f t="shared" si="510"/>
        <v>2.25</v>
      </c>
      <c r="H959" s="21">
        <f t="shared" si="510"/>
        <v>2.25</v>
      </c>
      <c r="I959" s="24" t="str">
        <f t="shared" si="511"/>
        <v xml:space="preserve">COM VALOR</v>
      </c>
      <c r="L959" s="36">
        <v>2.25</v>
      </c>
      <c r="M959" s="37">
        <v>2.25</v>
      </c>
      <c r="N959" s="36">
        <v>2.25</v>
      </c>
    </row>
    <row r="960" ht="25.5">
      <c r="A960" s="19" t="s">
        <v>10460</v>
      </c>
      <c r="B960" s="19">
        <v>38599</v>
      </c>
      <c r="C960" s="20" t="s">
        <v>11416</v>
      </c>
      <c r="D960" s="19" t="s">
        <v>31</v>
      </c>
      <c r="E960" s="19" t="s">
        <v>10459</v>
      </c>
      <c r="F960" s="21">
        <f t="shared" si="510"/>
        <v>6.9299999999999997</v>
      </c>
      <c r="G960" s="21">
        <f t="shared" si="510"/>
        <v>6.9299999999999997</v>
      </c>
      <c r="H960" s="21">
        <f t="shared" si="510"/>
        <v>6.9299999999999997</v>
      </c>
      <c r="I960" s="24" t="str">
        <f t="shared" si="511"/>
        <v xml:space="preserve">COM VALOR</v>
      </c>
      <c r="L960" s="36">
        <v>6.9299999999999997</v>
      </c>
      <c r="M960" s="37">
        <v>6.9299999999999997</v>
      </c>
      <c r="N960" s="36">
        <v>6.9299999999999997</v>
      </c>
    </row>
    <row r="961" ht="25.5">
      <c r="A961" s="19" t="s">
        <v>10460</v>
      </c>
      <c r="B961" s="19">
        <v>38596</v>
      </c>
      <c r="C961" s="20" t="s">
        <v>11417</v>
      </c>
      <c r="D961" s="19" t="s">
        <v>31</v>
      </c>
      <c r="E961" s="19" t="s">
        <v>10459</v>
      </c>
      <c r="F961" s="21">
        <f t="shared" si="510"/>
        <v>5.75</v>
      </c>
      <c r="G961" s="21">
        <f t="shared" si="510"/>
        <v>5.75</v>
      </c>
      <c r="H961" s="21">
        <f t="shared" si="510"/>
        <v>5.75</v>
      </c>
      <c r="I961" s="24" t="str">
        <f t="shared" si="511"/>
        <v xml:space="preserve">COM VALOR</v>
      </c>
      <c r="L961" s="36">
        <v>5.75</v>
      </c>
      <c r="M961" s="37">
        <v>5.75</v>
      </c>
      <c r="N961" s="36">
        <v>5.75</v>
      </c>
    </row>
    <row r="962" ht="25.5">
      <c r="A962" s="19" t="s">
        <v>10460</v>
      </c>
      <c r="B962" s="19">
        <v>38600</v>
      </c>
      <c r="C962" s="20" t="s">
        <v>11418</v>
      </c>
      <c r="D962" s="19" t="s">
        <v>31</v>
      </c>
      <c r="E962" s="19" t="s">
        <v>10459</v>
      </c>
      <c r="F962" s="21">
        <f t="shared" si="510"/>
        <v>7.3399999999999999</v>
      </c>
      <c r="G962" s="21">
        <f t="shared" si="510"/>
        <v>7.3399999999999999</v>
      </c>
      <c r="H962" s="21">
        <f t="shared" si="510"/>
        <v>7.3399999999999999</v>
      </c>
      <c r="I962" s="24" t="str">
        <f t="shared" si="511"/>
        <v xml:space="preserve">COM VALOR</v>
      </c>
      <c r="L962" s="36">
        <v>7.3399999999999999</v>
      </c>
      <c r="M962" s="37">
        <v>7.3399999999999999</v>
      </c>
      <c r="N962" s="36">
        <v>7.3399999999999999</v>
      </c>
    </row>
    <row r="963" ht="25.5">
      <c r="A963" s="19" t="s">
        <v>10460</v>
      </c>
      <c r="B963" s="19">
        <v>38597</v>
      </c>
      <c r="C963" s="20" t="s">
        <v>11419</v>
      </c>
      <c r="D963" s="19" t="s">
        <v>31</v>
      </c>
      <c r="E963" s="19" t="s">
        <v>10459</v>
      </c>
      <c r="F963" s="21">
        <f t="shared" si="510"/>
        <v>5.79</v>
      </c>
      <c r="G963" s="21">
        <f t="shared" si="510"/>
        <v>5.79</v>
      </c>
      <c r="H963" s="21">
        <f t="shared" si="510"/>
        <v>5.79</v>
      </c>
      <c r="I963" s="24" t="str">
        <f t="shared" si="511"/>
        <v xml:space="preserve">COM VALOR</v>
      </c>
      <c r="L963" s="36">
        <v>5.79</v>
      </c>
      <c r="M963" s="37">
        <v>5.79</v>
      </c>
      <c r="N963" s="36">
        <v>5.79</v>
      </c>
    </row>
    <row r="964" ht="25.5">
      <c r="A964" s="19" t="s">
        <v>10460</v>
      </c>
      <c r="B964" s="19">
        <v>38548</v>
      </c>
      <c r="C964" s="20" t="s">
        <v>11420</v>
      </c>
      <c r="D964" s="19" t="s">
        <v>31</v>
      </c>
      <c r="E964" s="19" t="s">
        <v>10459</v>
      </c>
      <c r="F964" s="21">
        <f t="shared" si="510"/>
        <v>2.1699999999999999</v>
      </c>
      <c r="G964" s="21">
        <f t="shared" si="510"/>
        <v>2.1699999999999999</v>
      </c>
      <c r="H964" s="21">
        <f t="shared" si="510"/>
        <v>2.1699999999999999</v>
      </c>
      <c r="I964" s="24" t="str">
        <f t="shared" si="511"/>
        <v xml:space="preserve">COM VALOR</v>
      </c>
      <c r="L964" s="36">
        <v>2.1699999999999999</v>
      </c>
      <c r="M964" s="37">
        <v>2.1699999999999999</v>
      </c>
      <c r="N964" s="36">
        <v>2.1699999999999999</v>
      </c>
    </row>
    <row r="965" ht="25.5">
      <c r="A965" s="19" t="s">
        <v>10460</v>
      </c>
      <c r="B965" s="19">
        <v>34649</v>
      </c>
      <c r="C965" s="20" t="s">
        <v>11421</v>
      </c>
      <c r="D965" s="19" t="s">
        <v>31</v>
      </c>
      <c r="E965" s="19" t="s">
        <v>10459</v>
      </c>
      <c r="F965" s="21">
        <f t="shared" si="510"/>
        <v>3.1899999999999999</v>
      </c>
      <c r="G965" s="21">
        <f t="shared" si="510"/>
        <v>3.1899999999999999</v>
      </c>
      <c r="H965" s="21">
        <f t="shared" si="510"/>
        <v>3.1899999999999999</v>
      </c>
      <c r="I965" s="24" t="str">
        <f t="shared" si="511"/>
        <v xml:space="preserve">COM VALOR</v>
      </c>
      <c r="L965" s="36">
        <v>3.1899999999999999</v>
      </c>
      <c r="M965" s="37">
        <v>3.1899999999999999</v>
      </c>
      <c r="N965" s="36">
        <v>3.1899999999999999</v>
      </c>
    </row>
    <row r="966" ht="25.5">
      <c r="A966" s="19" t="s">
        <v>10460</v>
      </c>
      <c r="B966" s="19">
        <v>34655</v>
      </c>
      <c r="C966" s="20" t="s">
        <v>11422</v>
      </c>
      <c r="D966" s="19" t="s">
        <v>31</v>
      </c>
      <c r="E966" s="19" t="s">
        <v>10459</v>
      </c>
      <c r="F966" s="21">
        <f t="shared" si="510"/>
        <v>4.6900000000000004</v>
      </c>
      <c r="G966" s="21">
        <f t="shared" si="510"/>
        <v>4.6900000000000004</v>
      </c>
      <c r="H966" s="21">
        <f t="shared" si="510"/>
        <v>4.6900000000000004</v>
      </c>
      <c r="I966" s="24" t="str">
        <f t="shared" si="511"/>
        <v xml:space="preserve">COM VALOR</v>
      </c>
      <c r="L966" s="36">
        <v>4.6900000000000004</v>
      </c>
      <c r="M966" s="37">
        <v>4.6900000000000004</v>
      </c>
      <c r="N966" s="36">
        <v>4.6900000000000004</v>
      </c>
    </row>
    <row r="967" ht="25.5">
      <c r="A967" s="19" t="s">
        <v>10460</v>
      </c>
      <c r="B967" s="19">
        <v>40607</v>
      </c>
      <c r="C967" s="20" t="s">
        <v>11423</v>
      </c>
      <c r="D967" s="19" t="s">
        <v>31</v>
      </c>
      <c r="E967" s="19" t="s">
        <v>10459</v>
      </c>
      <c r="F967" s="21">
        <f t="shared" si="510"/>
        <v>9.5500000000000007</v>
      </c>
      <c r="G967" s="21">
        <f t="shared" si="510"/>
        <v>9.5500000000000007</v>
      </c>
      <c r="H967" s="21">
        <f t="shared" si="510"/>
        <v>9.5500000000000007</v>
      </c>
      <c r="I967" s="24" t="str">
        <f t="shared" si="511"/>
        <v xml:space="preserve">COM VALOR</v>
      </c>
      <c r="L967" s="36">
        <v>9.5500000000000007</v>
      </c>
      <c r="M967" s="37">
        <v>9.5500000000000007</v>
      </c>
      <c r="N967" s="36">
        <v>9.5500000000000007</v>
      </c>
    </row>
    <row r="968" ht="25.5">
      <c r="A968" s="19" t="s">
        <v>10460</v>
      </c>
      <c r="B968" s="19">
        <v>567</v>
      </c>
      <c r="C968" s="20" t="s">
        <v>11424</v>
      </c>
      <c r="D968" s="19" t="s">
        <v>38</v>
      </c>
      <c r="E968" s="19" t="s">
        <v>10459</v>
      </c>
      <c r="F968" s="21">
        <f t="shared" si="510"/>
        <v>12.16</v>
      </c>
      <c r="G968" s="21">
        <f t="shared" si="510"/>
        <v>12.16</v>
      </c>
      <c r="H968" s="21">
        <f t="shared" si="510"/>
        <v>12.16</v>
      </c>
      <c r="I968" s="24" t="str">
        <f t="shared" si="511"/>
        <v xml:space="preserve">COM VALOR</v>
      </c>
      <c r="L968" s="36">
        <v>12.16</v>
      </c>
      <c r="M968" s="37">
        <v>12.16</v>
      </c>
      <c r="N968" s="36">
        <v>12.16</v>
      </c>
    </row>
    <row r="969" ht="25.5">
      <c r="A969" s="19" t="s">
        <v>10460</v>
      </c>
      <c r="B969" s="19">
        <v>574</v>
      </c>
      <c r="C969" s="20" t="s">
        <v>11425</v>
      </c>
      <c r="D969" s="19" t="s">
        <v>38</v>
      </c>
      <c r="E969" s="19" t="s">
        <v>10459</v>
      </c>
      <c r="F969" s="21">
        <f t="shared" si="510"/>
        <v>31.969999999999999</v>
      </c>
      <c r="G969" s="21">
        <f t="shared" si="510"/>
        <v>31.969999999999999</v>
      </c>
      <c r="H969" s="21">
        <f t="shared" si="510"/>
        <v>31.969999999999999</v>
      </c>
      <c r="I969" s="24" t="str">
        <f t="shared" si="511"/>
        <v xml:space="preserve">COM VALOR</v>
      </c>
      <c r="L969" s="36">
        <v>31.969999999999999</v>
      </c>
      <c r="M969" s="37">
        <v>31.969999999999999</v>
      </c>
      <c r="N969" s="36">
        <v>31.969999999999999</v>
      </c>
    </row>
    <row r="970" ht="25.5">
      <c r="A970" s="19" t="s">
        <v>10460</v>
      </c>
      <c r="B970" s="19">
        <v>568</v>
      </c>
      <c r="C970" s="20" t="s">
        <v>11426</v>
      </c>
      <c r="D970" s="19" t="s">
        <v>38</v>
      </c>
      <c r="E970" s="19" t="s">
        <v>10459</v>
      </c>
      <c r="F970" s="21">
        <f t="shared" si="510"/>
        <v>67.370000000000005</v>
      </c>
      <c r="G970" s="21">
        <f t="shared" si="510"/>
        <v>67.370000000000005</v>
      </c>
      <c r="H970" s="21">
        <f t="shared" si="510"/>
        <v>67.370000000000005</v>
      </c>
      <c r="I970" s="24" t="str">
        <f t="shared" si="511"/>
        <v xml:space="preserve">COM VALOR</v>
      </c>
      <c r="L970" s="36">
        <v>67.370000000000005</v>
      </c>
      <c r="M970" s="37">
        <v>67.370000000000005</v>
      </c>
      <c r="N970" s="36">
        <v>67.370000000000005</v>
      </c>
    </row>
    <row r="971" ht="25.5">
      <c r="A971" s="19" t="s">
        <v>10460</v>
      </c>
      <c r="B971" s="19">
        <v>4777</v>
      </c>
      <c r="C971" s="20" t="s">
        <v>11427</v>
      </c>
      <c r="D971" s="19" t="s">
        <v>302</v>
      </c>
      <c r="E971" s="19" t="s">
        <v>10459</v>
      </c>
      <c r="F971" s="21">
        <f t="shared" ref="F971:H1034" si="512">IF(L971=0,"VERIFICAR",L971)</f>
        <v>8.0199999999999996</v>
      </c>
      <c r="G971" s="21">
        <f t="shared" si="512"/>
        <v>8.0199999999999996</v>
      </c>
      <c r="H971" s="21">
        <f t="shared" si="512"/>
        <v>8.0199999999999996</v>
      </c>
      <c r="I971" s="24" t="str">
        <f t="shared" ref="I971:I1034" si="513">IF(OR(L971=0,M971=0,N971=0),"SEM VALOR","COM VALOR")</f>
        <v xml:space="preserve">COM VALOR</v>
      </c>
      <c r="J971" s="38" t="s">
        <v>10710</v>
      </c>
      <c r="L971" s="36">
        <v>8.0199999999999996</v>
      </c>
      <c r="M971" s="37">
        <v>8.0199999999999996</v>
      </c>
      <c r="N971" s="36">
        <v>8.0199999999999996</v>
      </c>
    </row>
    <row r="972" ht="38.25">
      <c r="A972" s="19" t="s">
        <v>10460</v>
      </c>
      <c r="B972" s="19">
        <v>592</v>
      </c>
      <c r="C972" s="20" t="s">
        <v>11428</v>
      </c>
      <c r="D972" s="19" t="s">
        <v>302</v>
      </c>
      <c r="E972" s="19" t="s">
        <v>10466</v>
      </c>
      <c r="F972" s="21">
        <f t="shared" si="512"/>
        <v>63.670000000000002</v>
      </c>
      <c r="G972" s="21">
        <f t="shared" si="512"/>
        <v>63.670000000000002</v>
      </c>
      <c r="H972" s="21">
        <f t="shared" si="512"/>
        <v>63.670000000000002</v>
      </c>
      <c r="I972" s="24" t="str">
        <f t="shared" si="513"/>
        <v xml:space="preserve">COM VALOR</v>
      </c>
      <c r="L972" s="36">
        <v>63.670000000000002</v>
      </c>
      <c r="M972" s="37">
        <v>63.670000000000002</v>
      </c>
      <c r="N972" s="36">
        <v>63.670000000000002</v>
      </c>
    </row>
    <row r="973" ht="38.25">
      <c r="A973" s="19" t="s">
        <v>10460</v>
      </c>
      <c r="B973" s="19">
        <v>586</v>
      </c>
      <c r="C973" s="20" t="s">
        <v>11429</v>
      </c>
      <c r="D973" s="19" t="s">
        <v>38</v>
      </c>
      <c r="E973" s="19" t="s">
        <v>10459</v>
      </c>
      <c r="F973" s="21">
        <f t="shared" si="512"/>
        <v>37.43</v>
      </c>
      <c r="G973" s="21">
        <f t="shared" si="512"/>
        <v>37.43</v>
      </c>
      <c r="H973" s="21">
        <f t="shared" si="512"/>
        <v>37.43</v>
      </c>
      <c r="I973" s="24" t="str">
        <f t="shared" si="513"/>
        <v xml:space="preserve">COM VALOR</v>
      </c>
      <c r="L973" s="36">
        <v>37.43</v>
      </c>
      <c r="M973" s="37">
        <v>37.43</v>
      </c>
      <c r="N973" s="36">
        <v>37.43</v>
      </c>
    </row>
    <row r="974" ht="38.25">
      <c r="A974" s="19" t="s">
        <v>10460</v>
      </c>
      <c r="B974" s="19">
        <v>588</v>
      </c>
      <c r="C974" s="20" t="s">
        <v>11430</v>
      </c>
      <c r="D974" s="19" t="s">
        <v>38</v>
      </c>
      <c r="E974" s="19" t="s">
        <v>10459</v>
      </c>
      <c r="F974" s="21">
        <f t="shared" si="512"/>
        <v>59.210000000000001</v>
      </c>
      <c r="G974" s="21">
        <f t="shared" si="512"/>
        <v>59.210000000000001</v>
      </c>
      <c r="H974" s="21">
        <f t="shared" si="512"/>
        <v>59.210000000000001</v>
      </c>
      <c r="I974" s="24" t="str">
        <f t="shared" si="513"/>
        <v xml:space="preserve">COM VALOR</v>
      </c>
      <c r="L974" s="36">
        <v>59.210000000000001</v>
      </c>
      <c r="M974" s="37">
        <v>59.210000000000001</v>
      </c>
      <c r="N974" s="36">
        <v>59.210000000000001</v>
      </c>
    </row>
    <row r="975" ht="38.25">
      <c r="A975" s="19" t="s">
        <v>10460</v>
      </c>
      <c r="B975" s="19">
        <v>591</v>
      </c>
      <c r="C975" s="20" t="s">
        <v>11431</v>
      </c>
      <c r="D975" s="19" t="s">
        <v>302</v>
      </c>
      <c r="E975" s="19" t="s">
        <v>10459</v>
      </c>
      <c r="F975" s="21">
        <f t="shared" si="512"/>
        <v>59.420000000000002</v>
      </c>
      <c r="G975" s="21">
        <f t="shared" si="512"/>
        <v>59.420000000000002</v>
      </c>
      <c r="H975" s="21">
        <f t="shared" si="512"/>
        <v>59.420000000000002</v>
      </c>
      <c r="I975" s="24" t="str">
        <f t="shared" si="513"/>
        <v xml:space="preserve">COM VALOR</v>
      </c>
      <c r="L975" s="36">
        <v>59.420000000000002</v>
      </c>
      <c r="M975" s="37">
        <v>59.420000000000002</v>
      </c>
      <c r="N975" s="36">
        <v>59.420000000000002</v>
      </c>
    </row>
    <row r="976" ht="38.25">
      <c r="A976" s="19" t="s">
        <v>10460</v>
      </c>
      <c r="B976" s="19">
        <v>584</v>
      </c>
      <c r="C976" s="20" t="s">
        <v>11432</v>
      </c>
      <c r="D976" s="19" t="s">
        <v>38</v>
      </c>
      <c r="E976" s="19" t="s">
        <v>10459</v>
      </c>
      <c r="F976" s="21">
        <f t="shared" si="512"/>
        <v>63.240000000000002</v>
      </c>
      <c r="G976" s="21">
        <f t="shared" si="512"/>
        <v>63.240000000000002</v>
      </c>
      <c r="H976" s="21">
        <f t="shared" si="512"/>
        <v>63.240000000000002</v>
      </c>
      <c r="I976" s="24" t="str">
        <f t="shared" si="513"/>
        <v xml:space="preserve">COM VALOR</v>
      </c>
      <c r="L976" s="36">
        <v>63.240000000000002</v>
      </c>
      <c r="M976" s="37">
        <v>63.240000000000002</v>
      </c>
      <c r="N976" s="36">
        <v>63.240000000000002</v>
      </c>
    </row>
    <row r="977" ht="38.25">
      <c r="A977" s="19" t="s">
        <v>10460</v>
      </c>
      <c r="B977" s="19">
        <v>589</v>
      </c>
      <c r="C977" s="20" t="s">
        <v>11433</v>
      </c>
      <c r="D977" s="19" t="s">
        <v>38</v>
      </c>
      <c r="E977" s="19" t="s">
        <v>10459</v>
      </c>
      <c r="F977" s="21">
        <f t="shared" si="512"/>
        <v>100.08</v>
      </c>
      <c r="G977" s="21">
        <f t="shared" si="512"/>
        <v>100.08</v>
      </c>
      <c r="H977" s="21">
        <f t="shared" si="512"/>
        <v>100.08</v>
      </c>
      <c r="I977" s="24" t="str">
        <f t="shared" si="513"/>
        <v xml:space="preserve">COM VALOR</v>
      </c>
      <c r="L977" s="36">
        <v>100.08</v>
      </c>
      <c r="M977" s="37">
        <v>100.08</v>
      </c>
      <c r="N977" s="36">
        <v>100.08</v>
      </c>
    </row>
    <row r="978" ht="25.5">
      <c r="A978" s="19" t="s">
        <v>10460</v>
      </c>
      <c r="B978" s="19">
        <v>1165</v>
      </c>
      <c r="C978" s="20" t="s">
        <v>11434</v>
      </c>
      <c r="D978" s="19" t="s">
        <v>31</v>
      </c>
      <c r="E978" s="19" t="s">
        <v>10459</v>
      </c>
      <c r="F978" s="21">
        <f t="shared" si="512"/>
        <v>21.550000000000001</v>
      </c>
      <c r="G978" s="21">
        <f t="shared" si="512"/>
        <v>21.550000000000001</v>
      </c>
      <c r="H978" s="21">
        <f t="shared" si="512"/>
        <v>21.550000000000001</v>
      </c>
      <c r="I978" s="24" t="str">
        <f t="shared" si="513"/>
        <v xml:space="preserve">COM VALOR</v>
      </c>
      <c r="L978" s="36">
        <v>21.550000000000001</v>
      </c>
      <c r="M978" s="37">
        <v>21.550000000000001</v>
      </c>
      <c r="N978" s="36">
        <v>21.550000000000001</v>
      </c>
    </row>
    <row r="979" ht="25.5">
      <c r="A979" s="19" t="s">
        <v>10460</v>
      </c>
      <c r="B979" s="19">
        <v>1164</v>
      </c>
      <c r="C979" s="20" t="s">
        <v>11435</v>
      </c>
      <c r="D979" s="19" t="s">
        <v>31</v>
      </c>
      <c r="E979" s="19" t="s">
        <v>10459</v>
      </c>
      <c r="F979" s="21">
        <f t="shared" si="512"/>
        <v>17.449999999999999</v>
      </c>
      <c r="G979" s="21">
        <f t="shared" si="512"/>
        <v>17.449999999999999</v>
      </c>
      <c r="H979" s="21">
        <f t="shared" si="512"/>
        <v>17.449999999999999</v>
      </c>
      <c r="I979" s="24" t="str">
        <f t="shared" si="513"/>
        <v xml:space="preserve">COM VALOR</v>
      </c>
      <c r="L979" s="36">
        <v>17.449999999999999</v>
      </c>
      <c r="M979" s="37">
        <v>17.449999999999999</v>
      </c>
      <c r="N979" s="36">
        <v>17.449999999999999</v>
      </c>
    </row>
    <row r="980" ht="25.5">
      <c r="A980" s="19" t="s">
        <v>10460</v>
      </c>
      <c r="B980" s="19">
        <v>1170</v>
      </c>
      <c r="C980" s="20" t="s">
        <v>11436</v>
      </c>
      <c r="D980" s="19" t="s">
        <v>31</v>
      </c>
      <c r="E980" s="19" t="s">
        <v>10459</v>
      </c>
      <c r="F980" s="21">
        <f t="shared" si="512"/>
        <v>11.44</v>
      </c>
      <c r="G980" s="21">
        <f t="shared" si="512"/>
        <v>11.44</v>
      </c>
      <c r="H980" s="21">
        <f t="shared" si="512"/>
        <v>11.44</v>
      </c>
      <c r="I980" s="24" t="str">
        <f t="shared" si="513"/>
        <v xml:space="preserve">COM VALOR</v>
      </c>
      <c r="L980" s="36">
        <v>11.44</v>
      </c>
      <c r="M980" s="37">
        <v>11.44</v>
      </c>
      <c r="N980" s="36">
        <v>11.44</v>
      </c>
    </row>
    <row r="981" ht="25.5">
      <c r="A981" s="19" t="s">
        <v>10460</v>
      </c>
      <c r="B981" s="19">
        <v>1162</v>
      </c>
      <c r="C981" s="20" t="s">
        <v>11437</v>
      </c>
      <c r="D981" s="19" t="s">
        <v>31</v>
      </c>
      <c r="E981" s="19" t="s">
        <v>10459</v>
      </c>
      <c r="F981" s="21">
        <f t="shared" si="512"/>
        <v>6.0700000000000003</v>
      </c>
      <c r="G981" s="21">
        <f t="shared" si="512"/>
        <v>6.0700000000000003</v>
      </c>
      <c r="H981" s="21">
        <f t="shared" si="512"/>
        <v>6.0700000000000003</v>
      </c>
      <c r="I981" s="24" t="str">
        <f t="shared" si="513"/>
        <v xml:space="preserve">COM VALOR</v>
      </c>
      <c r="L981" s="36">
        <v>6.0700000000000003</v>
      </c>
      <c r="M981" s="37">
        <v>6.0700000000000003</v>
      </c>
      <c r="N981" s="36">
        <v>6.0700000000000003</v>
      </c>
    </row>
    <row r="982" ht="25.5">
      <c r="A982" s="19" t="s">
        <v>10460</v>
      </c>
      <c r="B982" s="19">
        <v>12395</v>
      </c>
      <c r="C982" s="20" t="s">
        <v>11438</v>
      </c>
      <c r="D982" s="19" t="s">
        <v>31</v>
      </c>
      <c r="E982" s="19" t="s">
        <v>10459</v>
      </c>
      <c r="F982" s="21">
        <f t="shared" si="512"/>
        <v>5.9000000000000004</v>
      </c>
      <c r="G982" s="21">
        <f t="shared" si="512"/>
        <v>5.9000000000000004</v>
      </c>
      <c r="H982" s="21">
        <f t="shared" si="512"/>
        <v>5.9000000000000004</v>
      </c>
      <c r="I982" s="24" t="str">
        <f t="shared" si="513"/>
        <v xml:space="preserve">COM VALOR</v>
      </c>
      <c r="L982" s="36">
        <v>5.9000000000000004</v>
      </c>
      <c r="M982" s="37">
        <v>5.9000000000000004</v>
      </c>
      <c r="N982" s="36">
        <v>5.9000000000000004</v>
      </c>
    </row>
    <row r="983" ht="25.5">
      <c r="A983" s="19" t="s">
        <v>10460</v>
      </c>
      <c r="B983" s="19">
        <v>1169</v>
      </c>
      <c r="C983" s="20" t="s">
        <v>11439</v>
      </c>
      <c r="D983" s="19" t="s">
        <v>31</v>
      </c>
      <c r="E983" s="19" t="s">
        <v>10459</v>
      </c>
      <c r="F983" s="21">
        <f t="shared" si="512"/>
        <v>56.149999999999999</v>
      </c>
      <c r="G983" s="21">
        <f t="shared" si="512"/>
        <v>56.149999999999999</v>
      </c>
      <c r="H983" s="21">
        <f t="shared" si="512"/>
        <v>56.149999999999999</v>
      </c>
      <c r="I983" s="24" t="str">
        <f t="shared" si="513"/>
        <v xml:space="preserve">COM VALOR</v>
      </c>
      <c r="L983" s="36">
        <v>56.149999999999999</v>
      </c>
      <c r="M983" s="37">
        <v>56.149999999999999</v>
      </c>
      <c r="N983" s="36">
        <v>56.149999999999999</v>
      </c>
    </row>
    <row r="984" ht="25.5">
      <c r="A984" s="19" t="s">
        <v>10460</v>
      </c>
      <c r="B984" s="19">
        <v>1166</v>
      </c>
      <c r="C984" s="20" t="s">
        <v>11440</v>
      </c>
      <c r="D984" s="19" t="s">
        <v>31</v>
      </c>
      <c r="E984" s="19" t="s">
        <v>10459</v>
      </c>
      <c r="F984" s="21">
        <f t="shared" si="512"/>
        <v>31.129999999999999</v>
      </c>
      <c r="G984" s="21">
        <f t="shared" si="512"/>
        <v>31.129999999999999</v>
      </c>
      <c r="H984" s="21">
        <f t="shared" si="512"/>
        <v>31.129999999999999</v>
      </c>
      <c r="I984" s="24" t="str">
        <f t="shared" si="513"/>
        <v xml:space="preserve">COM VALOR</v>
      </c>
      <c r="L984" s="36">
        <v>31.129999999999999</v>
      </c>
      <c r="M984" s="37">
        <v>31.129999999999999</v>
      </c>
      <c r="N984" s="36">
        <v>31.129999999999999</v>
      </c>
    </row>
    <row r="985" ht="25.5">
      <c r="A985" s="19" t="s">
        <v>10460</v>
      </c>
      <c r="B985" s="19">
        <v>1168</v>
      </c>
      <c r="C985" s="20" t="s">
        <v>11441</v>
      </c>
      <c r="D985" s="19" t="s">
        <v>31</v>
      </c>
      <c r="E985" s="19" t="s">
        <v>10459</v>
      </c>
      <c r="F985" s="21">
        <f t="shared" si="512"/>
        <v>80.049999999999997</v>
      </c>
      <c r="G985" s="21">
        <f t="shared" si="512"/>
        <v>80.049999999999997</v>
      </c>
      <c r="H985" s="21">
        <f t="shared" si="512"/>
        <v>80.049999999999997</v>
      </c>
      <c r="I985" s="24" t="str">
        <f t="shared" si="513"/>
        <v xml:space="preserve">COM VALOR</v>
      </c>
      <c r="L985" s="36">
        <v>80.049999999999997</v>
      </c>
      <c r="M985" s="37">
        <v>80.049999999999997</v>
      </c>
      <c r="N985" s="36">
        <v>80.049999999999997</v>
      </c>
    </row>
    <row r="986" ht="25.5">
      <c r="A986" s="19" t="s">
        <v>10460</v>
      </c>
      <c r="B986" s="19">
        <v>1163</v>
      </c>
      <c r="C986" s="20" t="s">
        <v>11442</v>
      </c>
      <c r="D986" s="19" t="s">
        <v>31</v>
      </c>
      <c r="E986" s="19" t="s">
        <v>10459</v>
      </c>
      <c r="F986" s="21">
        <f t="shared" si="512"/>
        <v>7.8399999999999999</v>
      </c>
      <c r="G986" s="21">
        <f t="shared" si="512"/>
        <v>7.8399999999999999</v>
      </c>
      <c r="H986" s="21">
        <f t="shared" si="512"/>
        <v>7.8399999999999999</v>
      </c>
      <c r="I986" s="24" t="str">
        <f t="shared" si="513"/>
        <v xml:space="preserve">COM VALOR</v>
      </c>
      <c r="L986" s="36">
        <v>7.8399999999999999</v>
      </c>
      <c r="M986" s="37">
        <v>7.8399999999999999</v>
      </c>
      <c r="N986" s="36">
        <v>7.8399999999999999</v>
      </c>
    </row>
    <row r="987" ht="25.5">
      <c r="A987" s="19" t="s">
        <v>10460</v>
      </c>
      <c r="B987" s="19">
        <v>12396</v>
      </c>
      <c r="C987" s="20" t="s">
        <v>11443</v>
      </c>
      <c r="D987" s="19" t="s">
        <v>31</v>
      </c>
      <c r="E987" s="19" t="s">
        <v>10459</v>
      </c>
      <c r="F987" s="21">
        <f t="shared" si="512"/>
        <v>5.9000000000000004</v>
      </c>
      <c r="G987" s="21">
        <f t="shared" si="512"/>
        <v>5.9000000000000004</v>
      </c>
      <c r="H987" s="21">
        <f t="shared" si="512"/>
        <v>5.9000000000000004</v>
      </c>
      <c r="I987" s="24" t="str">
        <f t="shared" si="513"/>
        <v xml:space="preserve">COM VALOR</v>
      </c>
      <c r="L987" s="36">
        <v>5.9000000000000004</v>
      </c>
      <c r="M987" s="37">
        <v>5.9000000000000004</v>
      </c>
      <c r="N987" s="36">
        <v>5.9000000000000004</v>
      </c>
    </row>
    <row r="988" ht="25.5">
      <c r="A988" s="19" t="s">
        <v>10460</v>
      </c>
      <c r="B988" s="19">
        <v>1167</v>
      </c>
      <c r="C988" s="20" t="s">
        <v>11444</v>
      </c>
      <c r="D988" s="19" t="s">
        <v>31</v>
      </c>
      <c r="E988" s="19" t="s">
        <v>10459</v>
      </c>
      <c r="F988" s="21">
        <f t="shared" si="512"/>
        <v>133.88999999999999</v>
      </c>
      <c r="G988" s="21">
        <f t="shared" si="512"/>
        <v>133.88999999999999</v>
      </c>
      <c r="H988" s="21">
        <f t="shared" si="512"/>
        <v>133.88999999999999</v>
      </c>
      <c r="I988" s="24" t="str">
        <f t="shared" si="513"/>
        <v xml:space="preserve">COM VALOR</v>
      </c>
      <c r="L988" s="36">
        <v>133.88999999999999</v>
      </c>
      <c r="M988" s="37">
        <v>133.88999999999999</v>
      </c>
      <c r="N988" s="36">
        <v>133.88999999999999</v>
      </c>
    </row>
    <row r="989" ht="12.75">
      <c r="A989" s="19" t="s">
        <v>10460</v>
      </c>
      <c r="B989" s="19">
        <v>36331</v>
      </c>
      <c r="C989" s="20" t="s">
        <v>11445</v>
      </c>
      <c r="D989" s="19" t="s">
        <v>31</v>
      </c>
      <c r="E989" s="19" t="s">
        <v>10459</v>
      </c>
      <c r="F989" s="21" t="str">
        <f t="shared" si="512"/>
        <v>VERIFICAR</v>
      </c>
      <c r="G989" s="21" t="str">
        <f t="shared" si="512"/>
        <v>VERIFICAR</v>
      </c>
      <c r="H989" s="21" t="str">
        <f t="shared" si="512"/>
        <v>VERIFICAR</v>
      </c>
      <c r="I989" s="24" t="str">
        <f t="shared" si="513"/>
        <v xml:space="preserve">SEM VALOR</v>
      </c>
      <c r="L989" s="36"/>
      <c r="M989" s="37"/>
      <c r="N989" s="36"/>
    </row>
    <row r="990" ht="12.75">
      <c r="A990" s="19" t="s">
        <v>10460</v>
      </c>
      <c r="B990" s="19">
        <v>36346</v>
      </c>
      <c r="C990" s="20" t="s">
        <v>11446</v>
      </c>
      <c r="D990" s="19" t="s">
        <v>31</v>
      </c>
      <c r="E990" s="19" t="s">
        <v>10459</v>
      </c>
      <c r="F990" s="21" t="str">
        <f t="shared" si="512"/>
        <v>VERIFICAR</v>
      </c>
      <c r="G990" s="21" t="str">
        <f t="shared" si="512"/>
        <v>VERIFICAR</v>
      </c>
      <c r="H990" s="21" t="str">
        <f t="shared" si="512"/>
        <v>VERIFICAR</v>
      </c>
      <c r="I990" s="24" t="str">
        <f t="shared" si="513"/>
        <v xml:space="preserve">SEM VALOR</v>
      </c>
      <c r="L990" s="36"/>
      <c r="M990" s="37"/>
      <c r="N990" s="36"/>
    </row>
    <row r="991" ht="12.75">
      <c r="A991" s="19" t="s">
        <v>10460</v>
      </c>
      <c r="B991" s="19">
        <v>1202</v>
      </c>
      <c r="C991" s="20" t="s">
        <v>11447</v>
      </c>
      <c r="D991" s="19" t="s">
        <v>31</v>
      </c>
      <c r="E991" s="19" t="s">
        <v>10459</v>
      </c>
      <c r="F991" s="21">
        <f t="shared" si="512"/>
        <v>5.1799999999999997</v>
      </c>
      <c r="G991" s="21">
        <f t="shared" si="512"/>
        <v>5.1799999999999997</v>
      </c>
      <c r="H991" s="21">
        <f t="shared" si="512"/>
        <v>5.1799999999999997</v>
      </c>
      <c r="I991" s="24" t="str">
        <f t="shared" si="513"/>
        <v xml:space="preserve">COM VALOR</v>
      </c>
      <c r="L991" s="36">
        <v>5.1799999999999997</v>
      </c>
      <c r="M991" s="37">
        <v>5.1799999999999997</v>
      </c>
      <c r="N991" s="36">
        <v>5.1799999999999997</v>
      </c>
    </row>
    <row r="992" ht="12.75">
      <c r="A992" s="19" t="s">
        <v>10460</v>
      </c>
      <c r="B992" s="19">
        <v>1197</v>
      </c>
      <c r="C992" s="20" t="s">
        <v>11448</v>
      </c>
      <c r="D992" s="19" t="s">
        <v>31</v>
      </c>
      <c r="E992" s="19" t="s">
        <v>10459</v>
      </c>
      <c r="F992" s="21">
        <f t="shared" si="512"/>
        <v>1.8300000000000001</v>
      </c>
      <c r="G992" s="21">
        <f t="shared" si="512"/>
        <v>1.8300000000000001</v>
      </c>
      <c r="H992" s="21">
        <f t="shared" si="512"/>
        <v>1.8300000000000001</v>
      </c>
      <c r="I992" s="24" t="str">
        <f t="shared" si="513"/>
        <v xml:space="preserve">COM VALOR</v>
      </c>
      <c r="L992" s="36">
        <v>1.8300000000000001</v>
      </c>
      <c r="M992" s="37">
        <v>1.8300000000000001</v>
      </c>
      <c r="N992" s="36">
        <v>1.8300000000000001</v>
      </c>
    </row>
    <row r="993" ht="12.75">
      <c r="A993" s="19" t="s">
        <v>10460</v>
      </c>
      <c r="B993" s="19">
        <v>1198</v>
      </c>
      <c r="C993" s="20" t="s">
        <v>11449</v>
      </c>
      <c r="D993" s="19" t="s">
        <v>31</v>
      </c>
      <c r="E993" s="19" t="s">
        <v>10459</v>
      </c>
      <c r="F993" s="21">
        <f t="shared" si="512"/>
        <v>2.3900000000000001</v>
      </c>
      <c r="G993" s="21">
        <f t="shared" si="512"/>
        <v>2.3900000000000001</v>
      </c>
      <c r="H993" s="21">
        <f t="shared" si="512"/>
        <v>2.3900000000000001</v>
      </c>
      <c r="I993" s="24" t="str">
        <f t="shared" si="513"/>
        <v xml:space="preserve">COM VALOR</v>
      </c>
      <c r="L993" s="36">
        <v>2.3900000000000001</v>
      </c>
      <c r="M993" s="37">
        <v>2.3900000000000001</v>
      </c>
      <c r="N993" s="36">
        <v>2.3900000000000001</v>
      </c>
    </row>
    <row r="994" ht="12.75">
      <c r="A994" s="19" t="s">
        <v>10460</v>
      </c>
      <c r="B994" s="19">
        <v>20088</v>
      </c>
      <c r="C994" s="20" t="s">
        <v>11450</v>
      </c>
      <c r="D994" s="19" t="s">
        <v>31</v>
      </c>
      <c r="E994" s="19" t="s">
        <v>10459</v>
      </c>
      <c r="F994" s="21">
        <f t="shared" si="512"/>
        <v>14.44</v>
      </c>
      <c r="G994" s="21">
        <f t="shared" si="512"/>
        <v>14.44</v>
      </c>
      <c r="H994" s="21">
        <f t="shared" si="512"/>
        <v>14.44</v>
      </c>
      <c r="I994" s="24" t="str">
        <f t="shared" si="513"/>
        <v xml:space="preserve">COM VALOR</v>
      </c>
      <c r="L994" s="36">
        <v>14.44</v>
      </c>
      <c r="M994" s="37">
        <v>14.44</v>
      </c>
      <c r="N994" s="36">
        <v>14.44</v>
      </c>
    </row>
    <row r="995" ht="12.75">
      <c r="A995" s="19" t="s">
        <v>10460</v>
      </c>
      <c r="B995" s="19">
        <v>20089</v>
      </c>
      <c r="C995" s="20" t="s">
        <v>11451</v>
      </c>
      <c r="D995" s="19" t="s">
        <v>31</v>
      </c>
      <c r="E995" s="19" t="s">
        <v>10459</v>
      </c>
      <c r="F995" s="21">
        <f t="shared" si="512"/>
        <v>70.780000000000001</v>
      </c>
      <c r="G995" s="21">
        <f t="shared" si="512"/>
        <v>70.780000000000001</v>
      </c>
      <c r="H995" s="21">
        <f t="shared" si="512"/>
        <v>70.780000000000001</v>
      </c>
      <c r="I995" s="24" t="str">
        <f t="shared" si="513"/>
        <v xml:space="preserve">COM VALOR</v>
      </c>
      <c r="L995" s="36">
        <v>70.780000000000001</v>
      </c>
      <c r="M995" s="37">
        <v>70.780000000000001</v>
      </c>
      <c r="N995" s="36">
        <v>70.780000000000001</v>
      </c>
    </row>
    <row r="996" ht="12.75">
      <c r="A996" s="19" t="s">
        <v>10460</v>
      </c>
      <c r="B996" s="19">
        <v>20087</v>
      </c>
      <c r="C996" s="20" t="s">
        <v>11452</v>
      </c>
      <c r="D996" s="19" t="s">
        <v>31</v>
      </c>
      <c r="E996" s="19" t="s">
        <v>10459</v>
      </c>
      <c r="F996" s="21">
        <f t="shared" si="512"/>
        <v>11.94</v>
      </c>
      <c r="G996" s="21">
        <f t="shared" si="512"/>
        <v>11.94</v>
      </c>
      <c r="H996" s="21">
        <f t="shared" si="512"/>
        <v>11.94</v>
      </c>
      <c r="I996" s="24" t="str">
        <f t="shared" si="513"/>
        <v xml:space="preserve">COM VALOR</v>
      </c>
      <c r="L996" s="36">
        <v>11.94</v>
      </c>
      <c r="M996" s="37">
        <v>11.94</v>
      </c>
      <c r="N996" s="36">
        <v>11.94</v>
      </c>
    </row>
    <row r="997" ht="12.75">
      <c r="A997" s="19" t="s">
        <v>10460</v>
      </c>
      <c r="B997" s="19">
        <v>1191</v>
      </c>
      <c r="C997" s="20" t="s">
        <v>11453</v>
      </c>
      <c r="D997" s="19" t="s">
        <v>31</v>
      </c>
      <c r="E997" s="19" t="s">
        <v>10459</v>
      </c>
      <c r="F997" s="21">
        <f t="shared" si="512"/>
        <v>1.3</v>
      </c>
      <c r="G997" s="21">
        <f t="shared" si="512"/>
        <v>1.3</v>
      </c>
      <c r="H997" s="21">
        <f t="shared" si="512"/>
        <v>1.3</v>
      </c>
      <c r="I997" s="24" t="str">
        <f t="shared" si="513"/>
        <v xml:space="preserve">COM VALOR</v>
      </c>
      <c r="L997" s="36">
        <v>1.3</v>
      </c>
      <c r="M997" s="37">
        <v>1.3</v>
      </c>
      <c r="N997" s="36">
        <v>1.3</v>
      </c>
    </row>
    <row r="998" ht="12.75">
      <c r="A998" s="19" t="s">
        <v>10460</v>
      </c>
      <c r="B998" s="19">
        <v>1185</v>
      </c>
      <c r="C998" s="20" t="s">
        <v>11454</v>
      </c>
      <c r="D998" s="19" t="s">
        <v>31</v>
      </c>
      <c r="E998" s="19" t="s">
        <v>10459</v>
      </c>
      <c r="F998" s="21">
        <f t="shared" si="512"/>
        <v>1.3</v>
      </c>
      <c r="G998" s="21">
        <f t="shared" si="512"/>
        <v>1.3</v>
      </c>
      <c r="H998" s="21">
        <f t="shared" si="512"/>
        <v>1.3</v>
      </c>
      <c r="I998" s="24" t="str">
        <f t="shared" si="513"/>
        <v xml:space="preserve">COM VALOR</v>
      </c>
      <c r="L998" s="36">
        <v>1.3</v>
      </c>
      <c r="M998" s="37">
        <v>1.3</v>
      </c>
      <c r="N998" s="36">
        <v>1.3</v>
      </c>
    </row>
    <row r="999" ht="12.75">
      <c r="A999" s="19" t="s">
        <v>10460</v>
      </c>
      <c r="B999" s="19">
        <v>1189</v>
      </c>
      <c r="C999" s="20" t="s">
        <v>11455</v>
      </c>
      <c r="D999" s="19" t="s">
        <v>31</v>
      </c>
      <c r="E999" s="19" t="s">
        <v>10459</v>
      </c>
      <c r="F999" s="21">
        <f t="shared" si="512"/>
        <v>2.1299999999999999</v>
      </c>
      <c r="G999" s="21">
        <f t="shared" si="512"/>
        <v>2.1299999999999999</v>
      </c>
      <c r="H999" s="21">
        <f t="shared" si="512"/>
        <v>2.1299999999999999</v>
      </c>
      <c r="I999" s="24" t="str">
        <f t="shared" si="513"/>
        <v xml:space="preserve">COM VALOR</v>
      </c>
      <c r="L999" s="36">
        <v>2.1299999999999999</v>
      </c>
      <c r="M999" s="37">
        <v>2.1299999999999999</v>
      </c>
      <c r="N999" s="36">
        <v>2.1299999999999999</v>
      </c>
    </row>
    <row r="1000" ht="12.75">
      <c r="A1000" s="19" t="s">
        <v>10460</v>
      </c>
      <c r="B1000" s="19">
        <v>1193</v>
      </c>
      <c r="C1000" s="20" t="s">
        <v>11456</v>
      </c>
      <c r="D1000" s="19" t="s">
        <v>31</v>
      </c>
      <c r="E1000" s="19" t="s">
        <v>10459</v>
      </c>
      <c r="F1000" s="21">
        <f t="shared" si="512"/>
        <v>4.0999999999999996</v>
      </c>
      <c r="G1000" s="21">
        <f t="shared" si="512"/>
        <v>4.0999999999999996</v>
      </c>
      <c r="H1000" s="21">
        <f t="shared" si="512"/>
        <v>4.0999999999999996</v>
      </c>
      <c r="I1000" s="24" t="str">
        <f t="shared" si="513"/>
        <v xml:space="preserve">COM VALOR</v>
      </c>
      <c r="L1000" s="36">
        <v>4.0999999999999996</v>
      </c>
      <c r="M1000" s="37">
        <v>4.0999999999999996</v>
      </c>
      <c r="N1000" s="36">
        <v>4.0999999999999996</v>
      </c>
    </row>
    <row r="1001" ht="12.75">
      <c r="A1001" s="19" t="s">
        <v>10460</v>
      </c>
      <c r="B1001" s="19">
        <v>1194</v>
      </c>
      <c r="C1001" s="20" t="s">
        <v>11457</v>
      </c>
      <c r="D1001" s="19" t="s">
        <v>31</v>
      </c>
      <c r="E1001" s="19" t="s">
        <v>10459</v>
      </c>
      <c r="F1001" s="21">
        <f t="shared" si="512"/>
        <v>7.4000000000000004</v>
      </c>
      <c r="G1001" s="21">
        <f t="shared" si="512"/>
        <v>7.4000000000000004</v>
      </c>
      <c r="H1001" s="21">
        <f t="shared" si="512"/>
        <v>7.4000000000000004</v>
      </c>
      <c r="I1001" s="24" t="str">
        <f t="shared" si="513"/>
        <v xml:space="preserve">COM VALOR</v>
      </c>
      <c r="L1001" s="36">
        <v>7.4000000000000004</v>
      </c>
      <c r="M1001" s="37">
        <v>7.4000000000000004</v>
      </c>
      <c r="N1001" s="36">
        <v>7.4000000000000004</v>
      </c>
    </row>
    <row r="1002" ht="12.75">
      <c r="A1002" s="19" t="s">
        <v>10460</v>
      </c>
      <c r="B1002" s="19">
        <v>1195</v>
      </c>
      <c r="C1002" s="20" t="s">
        <v>11458</v>
      </c>
      <c r="D1002" s="19" t="s">
        <v>31</v>
      </c>
      <c r="E1002" s="19" t="s">
        <v>10459</v>
      </c>
      <c r="F1002" s="21">
        <f t="shared" si="512"/>
        <v>12.449999999999999</v>
      </c>
      <c r="G1002" s="21">
        <f t="shared" si="512"/>
        <v>12.449999999999999</v>
      </c>
      <c r="H1002" s="21">
        <f t="shared" si="512"/>
        <v>12.449999999999999</v>
      </c>
      <c r="I1002" s="24" t="str">
        <f t="shared" si="513"/>
        <v xml:space="preserve">COM VALOR</v>
      </c>
      <c r="L1002" s="36">
        <v>12.449999999999999</v>
      </c>
      <c r="M1002" s="37">
        <v>12.449999999999999</v>
      </c>
      <c r="N1002" s="36">
        <v>12.449999999999999</v>
      </c>
    </row>
    <row r="1003" ht="12.75">
      <c r="A1003" s="19" t="s">
        <v>10460</v>
      </c>
      <c r="B1003" s="19">
        <v>1204</v>
      </c>
      <c r="C1003" s="20" t="s">
        <v>11459</v>
      </c>
      <c r="D1003" s="19" t="s">
        <v>31</v>
      </c>
      <c r="E1003" s="19" t="s">
        <v>10459</v>
      </c>
      <c r="F1003" s="21">
        <f t="shared" si="512"/>
        <v>21.780000000000001</v>
      </c>
      <c r="G1003" s="21">
        <f t="shared" si="512"/>
        <v>21.780000000000001</v>
      </c>
      <c r="H1003" s="21">
        <f t="shared" si="512"/>
        <v>21.780000000000001</v>
      </c>
      <c r="I1003" s="24" t="str">
        <f t="shared" si="513"/>
        <v xml:space="preserve">COM VALOR</v>
      </c>
      <c r="L1003" s="36">
        <v>21.780000000000001</v>
      </c>
      <c r="M1003" s="37">
        <v>21.780000000000001</v>
      </c>
      <c r="N1003" s="36">
        <v>21.780000000000001</v>
      </c>
    </row>
    <row r="1004" ht="25.5">
      <c r="A1004" s="19" t="s">
        <v>10460</v>
      </c>
      <c r="B1004" s="19">
        <v>1200</v>
      </c>
      <c r="C1004" s="20" t="s">
        <v>11460</v>
      </c>
      <c r="D1004" s="19" t="s">
        <v>31</v>
      </c>
      <c r="E1004" s="19" t="s">
        <v>10459</v>
      </c>
      <c r="F1004" s="21">
        <f t="shared" si="512"/>
        <v>10.85</v>
      </c>
      <c r="G1004" s="21">
        <f t="shared" si="512"/>
        <v>10.85</v>
      </c>
      <c r="H1004" s="21">
        <f t="shared" si="512"/>
        <v>10.85</v>
      </c>
      <c r="I1004" s="24" t="str">
        <f t="shared" si="513"/>
        <v xml:space="preserve">COM VALOR</v>
      </c>
      <c r="J1004" s="38"/>
      <c r="L1004" s="36">
        <v>10.85</v>
      </c>
      <c r="M1004" s="37">
        <v>10.85</v>
      </c>
      <c r="N1004" s="36">
        <v>10.85</v>
      </c>
    </row>
    <row r="1005" ht="25.5">
      <c r="A1005" s="19" t="s">
        <v>10460</v>
      </c>
      <c r="B1005" s="19">
        <v>12909</v>
      </c>
      <c r="C1005" s="20" t="s">
        <v>11461</v>
      </c>
      <c r="D1005" s="19" t="s">
        <v>31</v>
      </c>
      <c r="E1005" s="19" t="s">
        <v>10459</v>
      </c>
      <c r="F1005" s="21">
        <f t="shared" si="512"/>
        <v>5.0300000000000002</v>
      </c>
      <c r="G1005" s="21">
        <f t="shared" si="512"/>
        <v>5.0300000000000002</v>
      </c>
      <c r="H1005" s="21">
        <f t="shared" si="512"/>
        <v>5.0300000000000002</v>
      </c>
      <c r="I1005" s="24" t="str">
        <f t="shared" si="513"/>
        <v xml:space="preserve">COM VALOR</v>
      </c>
      <c r="L1005" s="36">
        <v>5.0300000000000002</v>
      </c>
      <c r="M1005" s="37">
        <v>5.0300000000000002</v>
      </c>
      <c r="N1005" s="36">
        <v>5.0300000000000002</v>
      </c>
    </row>
    <row r="1006" ht="25.5">
      <c r="A1006" s="19" t="s">
        <v>10460</v>
      </c>
      <c r="B1006" s="19">
        <v>12910</v>
      </c>
      <c r="C1006" s="20" t="s">
        <v>11462</v>
      </c>
      <c r="D1006" s="19" t="s">
        <v>31</v>
      </c>
      <c r="E1006" s="19" t="s">
        <v>10459</v>
      </c>
      <c r="F1006" s="21">
        <f t="shared" si="512"/>
        <v>9.0399999999999991</v>
      </c>
      <c r="G1006" s="21">
        <f t="shared" si="512"/>
        <v>9.0399999999999991</v>
      </c>
      <c r="H1006" s="21">
        <f t="shared" si="512"/>
        <v>9.0399999999999991</v>
      </c>
      <c r="I1006" s="24" t="str">
        <f t="shared" si="513"/>
        <v xml:space="preserve">COM VALOR</v>
      </c>
      <c r="L1006" s="36">
        <v>9.0399999999999991</v>
      </c>
      <c r="M1006" s="37">
        <v>9.0399999999999991</v>
      </c>
      <c r="N1006" s="36">
        <v>9.0399999999999991</v>
      </c>
    </row>
    <row r="1007" ht="25.5">
      <c r="A1007" s="19" t="s">
        <v>10460</v>
      </c>
      <c r="B1007" s="19">
        <v>1207</v>
      </c>
      <c r="C1007" s="20" t="s">
        <v>11463</v>
      </c>
      <c r="D1007" s="19" t="s">
        <v>31</v>
      </c>
      <c r="E1007" s="19" t="s">
        <v>10459</v>
      </c>
      <c r="F1007" s="21">
        <f t="shared" si="512"/>
        <v>26.850000000000001</v>
      </c>
      <c r="G1007" s="21">
        <f t="shared" si="512"/>
        <v>26.850000000000001</v>
      </c>
      <c r="H1007" s="21">
        <f t="shared" si="512"/>
        <v>26.850000000000001</v>
      </c>
      <c r="I1007" s="24" t="str">
        <f t="shared" si="513"/>
        <v xml:space="preserve">COM VALOR</v>
      </c>
      <c r="L1007" s="36">
        <v>26.850000000000001</v>
      </c>
      <c r="M1007" s="37">
        <v>26.850000000000001</v>
      </c>
      <c r="N1007" s="36">
        <v>26.850000000000001</v>
      </c>
    </row>
    <row r="1008" ht="25.5">
      <c r="A1008" s="19" t="s">
        <v>10460</v>
      </c>
      <c r="B1008" s="19">
        <v>1206</v>
      </c>
      <c r="C1008" s="20" t="s">
        <v>11464</v>
      </c>
      <c r="D1008" s="19" t="s">
        <v>31</v>
      </c>
      <c r="E1008" s="19" t="s">
        <v>10459</v>
      </c>
      <c r="F1008" s="21">
        <f t="shared" si="512"/>
        <v>6.7300000000000004</v>
      </c>
      <c r="G1008" s="21">
        <f t="shared" si="512"/>
        <v>6.7300000000000004</v>
      </c>
      <c r="H1008" s="21">
        <f t="shared" si="512"/>
        <v>6.7300000000000004</v>
      </c>
      <c r="I1008" s="24" t="str">
        <f t="shared" si="513"/>
        <v xml:space="preserve">COM VALOR</v>
      </c>
      <c r="L1008" s="36">
        <v>6.7300000000000004</v>
      </c>
      <c r="M1008" s="37">
        <v>6.7300000000000004</v>
      </c>
      <c r="N1008" s="36">
        <v>6.7300000000000004</v>
      </c>
    </row>
    <row r="1009" ht="25.5">
      <c r="A1009" s="19" t="s">
        <v>10460</v>
      </c>
      <c r="B1009" s="19">
        <v>1183</v>
      </c>
      <c r="C1009" s="20" t="s">
        <v>11465</v>
      </c>
      <c r="D1009" s="19" t="s">
        <v>31</v>
      </c>
      <c r="E1009" s="19" t="s">
        <v>10459</v>
      </c>
      <c r="F1009" s="21">
        <f t="shared" si="512"/>
        <v>17.530000000000001</v>
      </c>
      <c r="G1009" s="21">
        <f t="shared" si="512"/>
        <v>17.530000000000001</v>
      </c>
      <c r="H1009" s="21">
        <f t="shared" si="512"/>
        <v>17.530000000000001</v>
      </c>
      <c r="I1009" s="24" t="str">
        <f t="shared" si="513"/>
        <v xml:space="preserve">COM VALOR</v>
      </c>
      <c r="L1009" s="36">
        <v>17.530000000000001</v>
      </c>
      <c r="M1009" s="37">
        <v>17.530000000000001</v>
      </c>
      <c r="N1009" s="36">
        <v>17.530000000000001</v>
      </c>
    </row>
    <row r="1010" ht="25.5">
      <c r="A1010" s="19" t="s">
        <v>10460</v>
      </c>
      <c r="B1010" s="19">
        <v>42685</v>
      </c>
      <c r="C1010" s="20" t="s">
        <v>11466</v>
      </c>
      <c r="D1010" s="19" t="s">
        <v>31</v>
      </c>
      <c r="E1010" s="19" t="s">
        <v>10459</v>
      </c>
      <c r="F1010" s="21">
        <f t="shared" si="512"/>
        <v>73.349999999999994</v>
      </c>
      <c r="G1010" s="21">
        <f t="shared" si="512"/>
        <v>73.349999999999994</v>
      </c>
      <c r="H1010" s="21">
        <f t="shared" si="512"/>
        <v>73.349999999999994</v>
      </c>
      <c r="I1010" s="24" t="str">
        <f t="shared" si="513"/>
        <v xml:space="preserve">COM VALOR</v>
      </c>
      <c r="L1010" s="36">
        <v>73.349999999999994</v>
      </c>
      <c r="M1010" s="37">
        <v>73.349999999999994</v>
      </c>
      <c r="N1010" s="36">
        <v>73.349999999999994</v>
      </c>
    </row>
    <row r="1011" ht="25.5">
      <c r="A1011" s="19" t="s">
        <v>10460</v>
      </c>
      <c r="B1011" s="19">
        <v>42686</v>
      </c>
      <c r="C1011" s="20" t="s">
        <v>11467</v>
      </c>
      <c r="D1011" s="19" t="s">
        <v>31</v>
      </c>
      <c r="E1011" s="19" t="s">
        <v>10459</v>
      </c>
      <c r="F1011" s="21">
        <f t="shared" si="512"/>
        <v>80.790000000000006</v>
      </c>
      <c r="G1011" s="21">
        <f t="shared" si="512"/>
        <v>80.790000000000006</v>
      </c>
      <c r="H1011" s="21">
        <f t="shared" si="512"/>
        <v>80.790000000000006</v>
      </c>
      <c r="I1011" s="24" t="str">
        <f t="shared" si="513"/>
        <v xml:space="preserve">COM VALOR</v>
      </c>
      <c r="L1011" s="36">
        <v>80.790000000000006</v>
      </c>
      <c r="M1011" s="37">
        <v>80.790000000000006</v>
      </c>
      <c r="N1011" s="36">
        <v>80.790000000000006</v>
      </c>
    </row>
    <row r="1012" ht="25.5">
      <c r="A1012" s="19" t="s">
        <v>10460</v>
      </c>
      <c r="B1012" s="19">
        <v>12894</v>
      </c>
      <c r="C1012" s="20" t="s">
        <v>11468</v>
      </c>
      <c r="D1012" s="19" t="s">
        <v>31</v>
      </c>
      <c r="E1012" s="19" t="s">
        <v>10459</v>
      </c>
      <c r="F1012" s="21">
        <f t="shared" si="512"/>
        <v>21.890000000000001</v>
      </c>
      <c r="G1012" s="21">
        <f t="shared" si="512"/>
        <v>21.890000000000001</v>
      </c>
      <c r="H1012" s="21">
        <f t="shared" si="512"/>
        <v>21.890000000000001</v>
      </c>
      <c r="I1012" s="24" t="str">
        <f t="shared" si="513"/>
        <v xml:space="preserve">COM VALOR</v>
      </c>
      <c r="L1012" s="36">
        <v>21.890000000000001</v>
      </c>
      <c r="M1012" s="37">
        <v>21.890000000000001</v>
      </c>
      <c r="N1012" s="36">
        <v>21.890000000000001</v>
      </c>
    </row>
    <row r="1013" ht="25.5">
      <c r="A1013" s="19" t="s">
        <v>10460</v>
      </c>
      <c r="B1013" s="19">
        <v>12895</v>
      </c>
      <c r="C1013" s="20" t="s">
        <v>11469</v>
      </c>
      <c r="D1013" s="19" t="s">
        <v>31</v>
      </c>
      <c r="E1013" s="19" t="s">
        <v>10466</v>
      </c>
      <c r="F1013" s="21">
        <f t="shared" si="512"/>
        <v>14.699999999999999</v>
      </c>
      <c r="G1013" s="21">
        <f t="shared" si="512"/>
        <v>14.699999999999999</v>
      </c>
      <c r="H1013" s="21">
        <f t="shared" si="512"/>
        <v>14.699999999999999</v>
      </c>
      <c r="I1013" s="24" t="str">
        <f t="shared" si="513"/>
        <v xml:space="preserve">COM VALOR</v>
      </c>
      <c r="L1013" s="36">
        <v>14.699999999999999</v>
      </c>
      <c r="M1013" s="37">
        <v>14.699999999999999</v>
      </c>
      <c r="N1013" s="36">
        <v>14.699999999999999</v>
      </c>
    </row>
    <row r="1014" ht="38.25">
      <c r="A1014" s="19" t="s">
        <v>10460</v>
      </c>
      <c r="B1014" s="19">
        <v>1631</v>
      </c>
      <c r="C1014" s="20" t="s">
        <v>11470</v>
      </c>
      <c r="D1014" s="19" t="s">
        <v>31</v>
      </c>
      <c r="E1014" s="19" t="s">
        <v>10459</v>
      </c>
      <c r="F1014" s="21">
        <f t="shared" si="512"/>
        <v>220.46000000000001</v>
      </c>
      <c r="G1014" s="21">
        <f t="shared" si="512"/>
        <v>220.46000000000001</v>
      </c>
      <c r="H1014" s="21">
        <f t="shared" si="512"/>
        <v>220.46000000000001</v>
      </c>
      <c r="I1014" s="24" t="str">
        <f t="shared" si="513"/>
        <v xml:space="preserve">COM VALOR</v>
      </c>
      <c r="L1014" s="36">
        <v>220.46000000000001</v>
      </c>
      <c r="M1014" s="37">
        <v>220.46000000000001</v>
      </c>
      <c r="N1014" s="36">
        <v>220.46000000000001</v>
      </c>
    </row>
    <row r="1015" ht="38.25">
      <c r="A1015" s="19" t="s">
        <v>10460</v>
      </c>
      <c r="B1015" s="19">
        <v>1633</v>
      </c>
      <c r="C1015" s="20" t="s">
        <v>11471</v>
      </c>
      <c r="D1015" s="19" t="s">
        <v>31</v>
      </c>
      <c r="E1015" s="19" t="s">
        <v>10459</v>
      </c>
      <c r="F1015" s="21">
        <f t="shared" si="512"/>
        <v>374.56999999999999</v>
      </c>
      <c r="G1015" s="21">
        <f t="shared" si="512"/>
        <v>374.56999999999999</v>
      </c>
      <c r="H1015" s="21">
        <f t="shared" si="512"/>
        <v>374.56999999999999</v>
      </c>
      <c r="I1015" s="24" t="str">
        <f t="shared" si="513"/>
        <v xml:space="preserve">COM VALOR</v>
      </c>
      <c r="L1015" s="36">
        <v>374.56999999999999</v>
      </c>
      <c r="M1015" s="37">
        <v>374.56999999999999</v>
      </c>
      <c r="N1015" s="36">
        <v>374.56999999999999</v>
      </c>
    </row>
    <row r="1016" ht="25.5">
      <c r="A1016" s="19" t="s">
        <v>10460</v>
      </c>
      <c r="B1016" s="19">
        <v>10818</v>
      </c>
      <c r="C1016" s="20" t="s">
        <v>11472</v>
      </c>
      <c r="D1016" s="19" t="s">
        <v>302</v>
      </c>
      <c r="E1016" s="19" t="s">
        <v>10459</v>
      </c>
      <c r="F1016" s="21">
        <f t="shared" si="512"/>
        <v>34.5</v>
      </c>
      <c r="G1016" s="21">
        <f t="shared" si="512"/>
        <v>34.5</v>
      </c>
      <c r="H1016" s="21">
        <f t="shared" si="512"/>
        <v>34.5</v>
      </c>
      <c r="I1016" s="24" t="str">
        <f t="shared" si="513"/>
        <v xml:space="preserve">COM VALOR</v>
      </c>
      <c r="L1016" s="36">
        <v>34.5</v>
      </c>
      <c r="M1016" s="37">
        <v>34.5</v>
      </c>
      <c r="N1016" s="36">
        <v>34.5</v>
      </c>
    </row>
    <row r="1017" ht="25.5">
      <c r="A1017" s="19" t="s">
        <v>10460</v>
      </c>
      <c r="B1017" s="19">
        <v>41410</v>
      </c>
      <c r="C1017" s="20" t="s">
        <v>11473</v>
      </c>
      <c r="D1017" s="19" t="s">
        <v>31</v>
      </c>
      <c r="E1017" s="19" t="s">
        <v>10459</v>
      </c>
      <c r="F1017" s="21">
        <f t="shared" si="512"/>
        <v>84.230000000000004</v>
      </c>
      <c r="G1017" s="21">
        <f t="shared" si="512"/>
        <v>84.230000000000004</v>
      </c>
      <c r="H1017" s="21">
        <f t="shared" si="512"/>
        <v>84.230000000000004</v>
      </c>
      <c r="I1017" s="24" t="str">
        <f t="shared" si="513"/>
        <v xml:space="preserve">COM VALOR</v>
      </c>
      <c r="L1017" s="36">
        <v>84.230000000000004</v>
      </c>
      <c r="M1017" s="37">
        <v>84.230000000000004</v>
      </c>
      <c r="N1017" s="36">
        <v>84.230000000000004</v>
      </c>
    </row>
    <row r="1018" ht="25.5">
      <c r="A1018" s="19" t="s">
        <v>10460</v>
      </c>
      <c r="B1018" s="19">
        <v>41411</v>
      </c>
      <c r="C1018" s="20" t="s">
        <v>11474</v>
      </c>
      <c r="D1018" s="19" t="s">
        <v>31</v>
      </c>
      <c r="E1018" s="19" t="s">
        <v>10459</v>
      </c>
      <c r="F1018" s="21">
        <f t="shared" si="512"/>
        <v>76.359999999999999</v>
      </c>
      <c r="G1018" s="21">
        <f t="shared" si="512"/>
        <v>76.359999999999999</v>
      </c>
      <c r="H1018" s="21">
        <f t="shared" si="512"/>
        <v>76.359999999999999</v>
      </c>
      <c r="I1018" s="24" t="str">
        <f t="shared" si="513"/>
        <v xml:space="preserve">COM VALOR</v>
      </c>
      <c r="L1018" s="36">
        <v>76.359999999999999</v>
      </c>
      <c r="M1018" s="37">
        <v>76.359999999999999</v>
      </c>
      <c r="N1018" s="36">
        <v>76.359999999999999</v>
      </c>
    </row>
    <row r="1019" ht="25.5">
      <c r="A1019" s="19" t="s">
        <v>10460</v>
      </c>
      <c r="B1019" s="19">
        <v>41412</v>
      </c>
      <c r="C1019" s="20" t="s">
        <v>11475</v>
      </c>
      <c r="D1019" s="19" t="s">
        <v>31</v>
      </c>
      <c r="E1019" s="19" t="s">
        <v>10459</v>
      </c>
      <c r="F1019" s="21">
        <f t="shared" si="512"/>
        <v>147.69999999999999</v>
      </c>
      <c r="G1019" s="21">
        <f t="shared" si="512"/>
        <v>147.69999999999999</v>
      </c>
      <c r="H1019" s="21">
        <f t="shared" si="512"/>
        <v>147.69999999999999</v>
      </c>
      <c r="I1019" s="24" t="str">
        <f t="shared" si="513"/>
        <v xml:space="preserve">COM VALOR</v>
      </c>
      <c r="L1019" s="36">
        <v>147.69999999999999</v>
      </c>
      <c r="M1019" s="37">
        <v>147.69999999999999</v>
      </c>
      <c r="N1019" s="36">
        <v>147.69999999999999</v>
      </c>
    </row>
    <row r="1020" ht="25.5">
      <c r="A1020" s="19" t="s">
        <v>10460</v>
      </c>
      <c r="B1020" s="19">
        <v>41413</v>
      </c>
      <c r="C1020" s="20" t="s">
        <v>11476</v>
      </c>
      <c r="D1020" s="19" t="s">
        <v>31</v>
      </c>
      <c r="E1020" s="19" t="s">
        <v>10459</v>
      </c>
      <c r="F1020" s="21">
        <f t="shared" si="512"/>
        <v>132.91</v>
      </c>
      <c r="G1020" s="21">
        <f t="shared" si="512"/>
        <v>132.91</v>
      </c>
      <c r="H1020" s="21">
        <f t="shared" si="512"/>
        <v>132.91</v>
      </c>
      <c r="I1020" s="24" t="str">
        <f t="shared" si="513"/>
        <v xml:space="preserve">COM VALOR</v>
      </c>
      <c r="L1020" s="36">
        <v>132.91</v>
      </c>
      <c r="M1020" s="37">
        <v>132.91</v>
      </c>
      <c r="N1020" s="36">
        <v>132.91</v>
      </c>
    </row>
    <row r="1021" ht="51">
      <c r="A1021" s="19" t="s">
        <v>10460</v>
      </c>
      <c r="B1021" s="19">
        <v>39359</v>
      </c>
      <c r="C1021" s="20" t="s">
        <v>11477</v>
      </c>
      <c r="D1021" s="19" t="s">
        <v>31</v>
      </c>
      <c r="E1021" s="19" t="s">
        <v>10459</v>
      </c>
      <c r="F1021" s="21" t="str">
        <f t="shared" si="512"/>
        <v>VERIFICAR</v>
      </c>
      <c r="G1021" s="21" t="str">
        <f t="shared" si="512"/>
        <v>VERIFICAR</v>
      </c>
      <c r="H1021" s="21" t="str">
        <f t="shared" si="512"/>
        <v>VERIFICAR</v>
      </c>
      <c r="I1021" s="24" t="str">
        <f t="shared" si="513"/>
        <v xml:space="preserve">SEM VALOR</v>
      </c>
      <c r="L1021" s="36"/>
      <c r="M1021" s="37"/>
      <c r="N1021" s="36"/>
    </row>
    <row r="1022" ht="51">
      <c r="A1022" s="19" t="s">
        <v>10460</v>
      </c>
      <c r="B1022" s="19">
        <v>39360</v>
      </c>
      <c r="C1022" s="20" t="s">
        <v>11478</v>
      </c>
      <c r="D1022" s="19" t="s">
        <v>31</v>
      </c>
      <c r="E1022" s="19" t="s">
        <v>10459</v>
      </c>
      <c r="F1022" s="21" t="str">
        <f t="shared" si="512"/>
        <v>VERIFICAR</v>
      </c>
      <c r="G1022" s="21" t="str">
        <f t="shared" si="512"/>
        <v>VERIFICAR</v>
      </c>
      <c r="H1022" s="21" t="str">
        <f t="shared" si="512"/>
        <v>VERIFICAR</v>
      </c>
      <c r="I1022" s="24" t="str">
        <f t="shared" si="513"/>
        <v xml:space="preserve">SEM VALOR</v>
      </c>
      <c r="L1022" s="36"/>
      <c r="M1022" s="37"/>
      <c r="N1022" s="36"/>
    </row>
    <row r="1023" ht="25.5">
      <c r="A1023" s="19" t="s">
        <v>10457</v>
      </c>
      <c r="B1023" s="19">
        <v>10710</v>
      </c>
      <c r="C1023" s="20" t="s">
        <v>11479</v>
      </c>
      <c r="D1023" s="19" t="s">
        <v>29</v>
      </c>
      <c r="E1023" s="19" t="s">
        <v>10466</v>
      </c>
      <c r="F1023" s="21" t="str">
        <f t="shared" si="512"/>
        <v>VERIFICAR</v>
      </c>
      <c r="G1023" s="21" t="str">
        <f t="shared" si="512"/>
        <v>VERIFICAR</v>
      </c>
      <c r="H1023" s="21" t="str">
        <f t="shared" si="512"/>
        <v>VERIFICAR</v>
      </c>
      <c r="I1023" s="24" t="str">
        <f t="shared" si="513"/>
        <v xml:space="preserve">SEM VALOR</v>
      </c>
      <c r="L1023" s="36"/>
      <c r="M1023" s="37"/>
      <c r="N1023" s="36"/>
    </row>
    <row r="1024" ht="25.5">
      <c r="A1024" s="19" t="s">
        <v>10457</v>
      </c>
      <c r="B1024" s="19">
        <v>10709</v>
      </c>
      <c r="C1024" s="20" t="s">
        <v>11480</v>
      </c>
      <c r="D1024" s="19" t="s">
        <v>29</v>
      </c>
      <c r="E1024" s="19" t="s">
        <v>10459</v>
      </c>
      <c r="F1024" s="21" t="str">
        <f t="shared" si="512"/>
        <v>VERIFICAR</v>
      </c>
      <c r="G1024" s="21" t="str">
        <f t="shared" si="512"/>
        <v>VERIFICAR</v>
      </c>
      <c r="H1024" s="21" t="str">
        <f t="shared" si="512"/>
        <v>VERIFICAR</v>
      </c>
      <c r="I1024" s="24" t="str">
        <f t="shared" si="513"/>
        <v xml:space="preserve">SEM VALOR</v>
      </c>
      <c r="L1024" s="36"/>
      <c r="M1024" s="37"/>
      <c r="N1024" s="36"/>
    </row>
    <row r="1025" ht="25.5">
      <c r="A1025" s="19" t="s">
        <v>10457</v>
      </c>
      <c r="B1025" s="19">
        <v>39636</v>
      </c>
      <c r="C1025" s="20" t="s">
        <v>11481</v>
      </c>
      <c r="D1025" s="19" t="s">
        <v>29</v>
      </c>
      <c r="E1025" s="19" t="s">
        <v>10459</v>
      </c>
      <c r="F1025" s="21" t="str">
        <f t="shared" si="512"/>
        <v>VERIFICAR</v>
      </c>
      <c r="G1025" s="21" t="str">
        <f t="shared" si="512"/>
        <v>VERIFICAR</v>
      </c>
      <c r="H1025" s="21" t="str">
        <f t="shared" si="512"/>
        <v>VERIFICAR</v>
      </c>
      <c r="I1025" s="24" t="str">
        <f t="shared" si="513"/>
        <v xml:space="preserve">SEM VALOR</v>
      </c>
      <c r="L1025" s="36"/>
      <c r="M1025" s="37"/>
      <c r="N1025" s="36"/>
    </row>
    <row r="1026" ht="25.5">
      <c r="A1026" s="19" t="s">
        <v>10457</v>
      </c>
      <c r="B1026" s="19">
        <v>10708</v>
      </c>
      <c r="C1026" s="20" t="s">
        <v>11482</v>
      </c>
      <c r="D1026" s="19" t="s">
        <v>29</v>
      </c>
      <c r="E1026" s="19" t="s">
        <v>10459</v>
      </c>
      <c r="F1026" s="21" t="str">
        <f t="shared" si="512"/>
        <v>VERIFICAR</v>
      </c>
      <c r="G1026" s="21" t="str">
        <f t="shared" si="512"/>
        <v>VERIFICAR</v>
      </c>
      <c r="H1026" s="21" t="str">
        <f t="shared" si="512"/>
        <v>VERIFICAR</v>
      </c>
      <c r="I1026" s="24" t="str">
        <f t="shared" si="513"/>
        <v xml:space="preserve">SEM VALOR</v>
      </c>
      <c r="L1026" s="36"/>
      <c r="M1026" s="37"/>
      <c r="N1026" s="36"/>
    </row>
    <row r="1027" ht="25.5">
      <c r="A1027" s="19" t="s">
        <v>10457</v>
      </c>
      <c r="B1027" s="19">
        <v>39635</v>
      </c>
      <c r="C1027" s="20" t="s">
        <v>11483</v>
      </c>
      <c r="D1027" s="19" t="s">
        <v>29</v>
      </c>
      <c r="E1027" s="19" t="s">
        <v>10459</v>
      </c>
      <c r="F1027" s="21" t="str">
        <f t="shared" si="512"/>
        <v>VERIFICAR</v>
      </c>
      <c r="G1027" s="21" t="str">
        <f t="shared" si="512"/>
        <v>VERIFICAR</v>
      </c>
      <c r="H1027" s="21" t="str">
        <f t="shared" si="512"/>
        <v>VERIFICAR</v>
      </c>
      <c r="I1027" s="24" t="str">
        <f t="shared" si="513"/>
        <v xml:space="preserve">SEM VALOR</v>
      </c>
      <c r="L1027" s="36"/>
      <c r="M1027" s="37"/>
      <c r="N1027" s="36"/>
    </row>
    <row r="1028" ht="12.75">
      <c r="A1028" s="19" t="s">
        <v>10604</v>
      </c>
      <c r="B1028" s="19">
        <v>6117</v>
      </c>
      <c r="C1028" s="20" t="s">
        <v>11484</v>
      </c>
      <c r="D1028" s="19" t="s">
        <v>2032</v>
      </c>
      <c r="E1028" s="19" t="s">
        <v>10459</v>
      </c>
      <c r="F1028" s="21">
        <f t="shared" si="512"/>
        <v>16.5</v>
      </c>
      <c r="G1028" s="21">
        <f t="shared" si="512"/>
        <v>16.5</v>
      </c>
      <c r="H1028" s="21">
        <f t="shared" si="512"/>
        <v>16.5</v>
      </c>
      <c r="I1028" s="24" t="str">
        <f t="shared" si="513"/>
        <v xml:space="preserve">COM VALOR</v>
      </c>
      <c r="L1028" s="36">
        <v>16.5</v>
      </c>
      <c r="M1028" s="37">
        <v>16.5</v>
      </c>
      <c r="N1028" s="36">
        <v>16.5</v>
      </c>
    </row>
    <row r="1029" ht="12.75">
      <c r="A1029" s="19" t="s">
        <v>10604</v>
      </c>
      <c r="B1029" s="19">
        <v>40913</v>
      </c>
      <c r="C1029" s="20" t="s">
        <v>11485</v>
      </c>
      <c r="D1029" s="19" t="s">
        <v>7087</v>
      </c>
      <c r="E1029" s="19" t="s">
        <v>10459</v>
      </c>
      <c r="F1029" s="21">
        <f t="shared" si="512"/>
        <v>2888.9200000000001</v>
      </c>
      <c r="G1029" s="21">
        <f t="shared" si="512"/>
        <v>2888.9200000000001</v>
      </c>
      <c r="H1029" s="21">
        <f t="shared" si="512"/>
        <v>2888.9200000000001</v>
      </c>
      <c r="I1029" s="24" t="str">
        <f t="shared" si="513"/>
        <v xml:space="preserve">COM VALOR</v>
      </c>
      <c r="L1029" s="36">
        <v>2888.9200000000001</v>
      </c>
      <c r="M1029" s="37">
        <v>2888.9200000000001</v>
      </c>
      <c r="N1029" s="36">
        <v>2888.9200000000001</v>
      </c>
    </row>
    <row r="1030" ht="12.75">
      <c r="A1030" s="19" t="s">
        <v>10604</v>
      </c>
      <c r="B1030" s="19">
        <v>1214</v>
      </c>
      <c r="C1030" s="20" t="s">
        <v>11486</v>
      </c>
      <c r="D1030" s="19" t="s">
        <v>2032</v>
      </c>
      <c r="E1030" s="19" t="s">
        <v>10459</v>
      </c>
      <c r="F1030" s="21">
        <f t="shared" si="512"/>
        <v>20.010000000000002</v>
      </c>
      <c r="G1030" s="21">
        <f t="shared" si="512"/>
        <v>20.010000000000002</v>
      </c>
      <c r="H1030" s="21">
        <f t="shared" si="512"/>
        <v>20.010000000000002</v>
      </c>
      <c r="I1030" s="24" t="str">
        <f t="shared" si="513"/>
        <v xml:space="preserve">COM VALOR</v>
      </c>
      <c r="L1030" s="36">
        <v>20.010000000000002</v>
      </c>
      <c r="M1030" s="37">
        <v>20.010000000000002</v>
      </c>
      <c r="N1030" s="36">
        <v>20.010000000000002</v>
      </c>
    </row>
    <row r="1031" ht="12.75">
      <c r="A1031" s="19" t="s">
        <v>10604</v>
      </c>
      <c r="B1031" s="19">
        <v>40915</v>
      </c>
      <c r="C1031" s="20" t="s">
        <v>11487</v>
      </c>
      <c r="D1031" s="19" t="s">
        <v>7087</v>
      </c>
      <c r="E1031" s="19" t="s">
        <v>10459</v>
      </c>
      <c r="F1031" s="21">
        <f t="shared" si="512"/>
        <v>3504.52</v>
      </c>
      <c r="G1031" s="21">
        <f t="shared" si="512"/>
        <v>3504.52</v>
      </c>
      <c r="H1031" s="21">
        <f t="shared" si="512"/>
        <v>3504.52</v>
      </c>
      <c r="I1031" s="24" t="str">
        <f t="shared" si="513"/>
        <v xml:space="preserve">COM VALOR</v>
      </c>
      <c r="L1031" s="36">
        <v>3504.52</v>
      </c>
      <c r="M1031" s="37">
        <v>3504.52</v>
      </c>
      <c r="N1031" s="36">
        <v>3504.52</v>
      </c>
    </row>
    <row r="1032" ht="12.75">
      <c r="A1032" s="19" t="s">
        <v>10604</v>
      </c>
      <c r="B1032" s="19">
        <v>40914</v>
      </c>
      <c r="C1032" s="20" t="s">
        <v>11488</v>
      </c>
      <c r="D1032" s="19" t="s">
        <v>7087</v>
      </c>
      <c r="E1032" s="19" t="s">
        <v>10459</v>
      </c>
      <c r="F1032" s="21">
        <f t="shared" si="512"/>
        <v>3721.6900000000001</v>
      </c>
      <c r="G1032" s="21">
        <f t="shared" si="512"/>
        <v>3721.6900000000001</v>
      </c>
      <c r="H1032" s="21">
        <f t="shared" si="512"/>
        <v>3721.6900000000001</v>
      </c>
      <c r="I1032" s="24" t="str">
        <f t="shared" si="513"/>
        <v xml:space="preserve">COM VALOR</v>
      </c>
      <c r="L1032" s="36">
        <v>3721.6900000000001</v>
      </c>
      <c r="M1032" s="37">
        <v>3721.6900000000001</v>
      </c>
      <c r="N1032" s="36">
        <v>3721.6900000000001</v>
      </c>
    </row>
    <row r="1033" ht="12.75">
      <c r="A1033" s="19" t="s">
        <v>10604</v>
      </c>
      <c r="B1033" s="19">
        <v>1213</v>
      </c>
      <c r="C1033" s="20" t="s">
        <v>11489</v>
      </c>
      <c r="D1033" s="19" t="s">
        <v>2032</v>
      </c>
      <c r="E1033" s="19" t="s">
        <v>10466</v>
      </c>
      <c r="F1033" s="21">
        <f t="shared" si="512"/>
        <v>21.260000000000002</v>
      </c>
      <c r="G1033" s="21">
        <f t="shared" si="512"/>
        <v>21.260000000000002</v>
      </c>
      <c r="H1033" s="21">
        <f t="shared" si="512"/>
        <v>21.260000000000002</v>
      </c>
      <c r="I1033" s="24" t="str">
        <f t="shared" si="513"/>
        <v xml:space="preserve">COM VALOR</v>
      </c>
      <c r="L1033" s="36">
        <v>21.260000000000002</v>
      </c>
      <c r="M1033" s="37">
        <v>21.260000000000002</v>
      </c>
      <c r="N1033" s="36">
        <v>21.260000000000002</v>
      </c>
    </row>
    <row r="1034" ht="25.5">
      <c r="A1034" s="19" t="s">
        <v>10460</v>
      </c>
      <c r="B1034" s="19">
        <v>5091</v>
      </c>
      <c r="C1034" s="20" t="s">
        <v>11490</v>
      </c>
      <c r="D1034" s="19" t="s">
        <v>31</v>
      </c>
      <c r="E1034" s="19" t="s">
        <v>10459</v>
      </c>
      <c r="F1034" s="21">
        <f t="shared" si="512"/>
        <v>23.739999999999998</v>
      </c>
      <c r="G1034" s="21">
        <f t="shared" si="512"/>
        <v>23.739999999999998</v>
      </c>
      <c r="H1034" s="21">
        <f t="shared" si="512"/>
        <v>23.739999999999998</v>
      </c>
      <c r="I1034" s="24" t="str">
        <f t="shared" si="513"/>
        <v xml:space="preserve">COM VALOR</v>
      </c>
      <c r="L1034" s="36">
        <v>23.739999999999998</v>
      </c>
      <c r="M1034" s="37">
        <v>23.739999999999998</v>
      </c>
      <c r="N1034" s="36">
        <v>23.739999999999998</v>
      </c>
    </row>
    <row r="1035" ht="25.5">
      <c r="A1035" s="19" t="s">
        <v>10460</v>
      </c>
      <c r="B1035" s="19">
        <v>2711</v>
      </c>
      <c r="C1035" s="20" t="s">
        <v>11491</v>
      </c>
      <c r="D1035" s="19" t="s">
        <v>31</v>
      </c>
      <c r="E1035" s="19" t="s">
        <v>10466</v>
      </c>
      <c r="F1035" s="21">
        <f t="shared" ref="F1035:H1098" si="514">IF(L1035=0,"VERIFICAR",L1035)</f>
        <v>180</v>
      </c>
      <c r="G1035" s="21">
        <f t="shared" si="514"/>
        <v>180</v>
      </c>
      <c r="H1035" s="21">
        <f t="shared" si="514"/>
        <v>180</v>
      </c>
      <c r="I1035" s="24" t="str">
        <f t="shared" ref="I1035:I1098" si="515">IF(OR(L1035=0,M1035=0,N1035=0),"SEM VALOR","COM VALOR")</f>
        <v xml:space="preserve">COM VALOR</v>
      </c>
      <c r="L1035" s="36">
        <v>180</v>
      </c>
      <c r="M1035" s="37">
        <v>180</v>
      </c>
      <c r="N1035" s="36">
        <v>180</v>
      </c>
    </row>
    <row r="1036" ht="38.25">
      <c r="A1036" s="19" t="s">
        <v>10460</v>
      </c>
      <c r="B1036" s="19">
        <v>45235</v>
      </c>
      <c r="C1036" s="20" t="s">
        <v>11492</v>
      </c>
      <c r="D1036" s="19" t="s">
        <v>31</v>
      </c>
      <c r="E1036" s="19" t="s">
        <v>10459</v>
      </c>
      <c r="F1036" s="21">
        <f t="shared" si="514"/>
        <v>1159.6900000000001</v>
      </c>
      <c r="G1036" s="21">
        <f t="shared" si="514"/>
        <v>1159.6900000000001</v>
      </c>
      <c r="H1036" s="21">
        <f t="shared" si="514"/>
        <v>1159.6900000000001</v>
      </c>
      <c r="I1036" s="24" t="str">
        <f t="shared" si="515"/>
        <v xml:space="preserve">COM VALOR</v>
      </c>
      <c r="L1036" s="36">
        <v>1159.6900000000001</v>
      </c>
      <c r="M1036" s="37">
        <v>1159.6900000000001</v>
      </c>
      <c r="N1036" s="36">
        <v>1159.6900000000001</v>
      </c>
    </row>
    <row r="1037" ht="38.25">
      <c r="A1037" s="19" t="s">
        <v>10638</v>
      </c>
      <c r="B1037" s="19">
        <v>37727</v>
      </c>
      <c r="C1037" s="20" t="s">
        <v>11493</v>
      </c>
      <c r="D1037" s="19" t="s">
        <v>31</v>
      </c>
      <c r="E1037" s="19" t="s">
        <v>10466</v>
      </c>
      <c r="F1037" s="21" t="str">
        <f t="shared" si="514"/>
        <v>VERIFICAR</v>
      </c>
      <c r="G1037" s="21" t="str">
        <f t="shared" si="514"/>
        <v>VERIFICAR</v>
      </c>
      <c r="H1037" s="21" t="str">
        <f t="shared" si="514"/>
        <v>VERIFICAR</v>
      </c>
      <c r="I1037" s="24" t="str">
        <f t="shared" si="515"/>
        <v xml:space="preserve">SEM VALOR</v>
      </c>
      <c r="L1037" s="36"/>
      <c r="M1037" s="37"/>
      <c r="N1037" s="36"/>
    </row>
    <row r="1038" ht="38.25">
      <c r="A1038" s="19" t="s">
        <v>10638</v>
      </c>
      <c r="B1038" s="19">
        <v>37730</v>
      </c>
      <c r="C1038" s="20" t="s">
        <v>11494</v>
      </c>
      <c r="D1038" s="19" t="s">
        <v>31</v>
      </c>
      <c r="E1038" s="19" t="s">
        <v>10459</v>
      </c>
      <c r="F1038" s="21" t="str">
        <f t="shared" si="514"/>
        <v>VERIFICAR</v>
      </c>
      <c r="G1038" s="21" t="str">
        <f t="shared" si="514"/>
        <v>VERIFICAR</v>
      </c>
      <c r="H1038" s="21" t="str">
        <f t="shared" si="514"/>
        <v>VERIFICAR</v>
      </c>
      <c r="I1038" s="24" t="str">
        <f t="shared" si="515"/>
        <v xml:space="preserve">SEM VALOR</v>
      </c>
      <c r="L1038" s="36"/>
      <c r="M1038" s="37"/>
      <c r="N1038" s="36"/>
    </row>
    <row r="1039" ht="38.25">
      <c r="A1039" s="19" t="s">
        <v>10638</v>
      </c>
      <c r="B1039" s="19">
        <v>37731</v>
      </c>
      <c r="C1039" s="20" t="s">
        <v>11495</v>
      </c>
      <c r="D1039" s="19" t="s">
        <v>31</v>
      </c>
      <c r="E1039" s="19" t="s">
        <v>10459</v>
      </c>
      <c r="F1039" s="21" t="str">
        <f t="shared" si="514"/>
        <v>VERIFICAR</v>
      </c>
      <c r="G1039" s="21" t="str">
        <f t="shared" si="514"/>
        <v>VERIFICAR</v>
      </c>
      <c r="H1039" s="21" t="str">
        <f t="shared" si="514"/>
        <v>VERIFICAR</v>
      </c>
      <c r="I1039" s="24" t="str">
        <f t="shared" si="515"/>
        <v xml:space="preserve">SEM VALOR</v>
      </c>
      <c r="L1039" s="36"/>
      <c r="M1039" s="37"/>
      <c r="N1039" s="36"/>
    </row>
    <row r="1040" ht="38.25">
      <c r="A1040" s="19" t="s">
        <v>10638</v>
      </c>
      <c r="B1040" s="19">
        <v>37732</v>
      </c>
      <c r="C1040" s="20" t="s">
        <v>11496</v>
      </c>
      <c r="D1040" s="19" t="s">
        <v>31</v>
      </c>
      <c r="E1040" s="19" t="s">
        <v>10459</v>
      </c>
      <c r="F1040" s="21" t="str">
        <f t="shared" si="514"/>
        <v>VERIFICAR</v>
      </c>
      <c r="G1040" s="21" t="str">
        <f t="shared" si="514"/>
        <v>VERIFICAR</v>
      </c>
      <c r="H1040" s="21" t="str">
        <f t="shared" si="514"/>
        <v>VERIFICAR</v>
      </c>
      <c r="I1040" s="24" t="str">
        <f t="shared" si="515"/>
        <v xml:space="preserve">SEM VALOR</v>
      </c>
      <c r="L1040" s="36"/>
      <c r="M1040" s="37"/>
      <c r="N1040" s="36"/>
    </row>
    <row r="1041" ht="12.75">
      <c r="A1041" s="19" t="s">
        <v>10460</v>
      </c>
      <c r="B1041" s="19">
        <v>45194</v>
      </c>
      <c r="C1041" s="20" t="s">
        <v>11497</v>
      </c>
      <c r="D1041" s="19" t="s">
        <v>31</v>
      </c>
      <c r="E1041" s="19" t="s">
        <v>10459</v>
      </c>
      <c r="F1041" s="21">
        <f t="shared" si="514"/>
        <v>168.84</v>
      </c>
      <c r="G1041" s="21">
        <f t="shared" si="514"/>
        <v>168.84</v>
      </c>
      <c r="H1041" s="21">
        <f t="shared" si="514"/>
        <v>168.84</v>
      </c>
      <c r="I1041" s="24" t="str">
        <f t="shared" si="515"/>
        <v xml:space="preserve">COM VALOR</v>
      </c>
      <c r="L1041" s="36">
        <v>168.84</v>
      </c>
      <c r="M1041" s="37">
        <v>168.84</v>
      </c>
      <c r="N1041" s="36">
        <v>168.84</v>
      </c>
    </row>
    <row r="1042" ht="51">
      <c r="A1042" s="19" t="s">
        <v>10638</v>
      </c>
      <c r="B1042" s="19">
        <v>37762</v>
      </c>
      <c r="C1042" s="20" t="s">
        <v>11498</v>
      </c>
      <c r="D1042" s="19" t="s">
        <v>31</v>
      </c>
      <c r="E1042" s="19" t="s">
        <v>10459</v>
      </c>
      <c r="F1042" s="21">
        <f t="shared" si="514"/>
        <v>737871.23999999999</v>
      </c>
      <c r="G1042" s="21">
        <f t="shared" si="514"/>
        <v>737871.23999999999</v>
      </c>
      <c r="H1042" s="21">
        <f t="shared" si="514"/>
        <v>737871.23999999999</v>
      </c>
      <c r="I1042" s="24" t="str">
        <f t="shared" si="515"/>
        <v xml:space="preserve">COM VALOR</v>
      </c>
      <c r="L1042" s="36">
        <v>737871.23999999999</v>
      </c>
      <c r="M1042" s="37">
        <v>737871.23999999999</v>
      </c>
      <c r="N1042" s="36">
        <v>737871.23999999999</v>
      </c>
    </row>
    <row r="1043" ht="51">
      <c r="A1043" s="19" t="s">
        <v>10638</v>
      </c>
      <c r="B1043" s="19">
        <v>37763</v>
      </c>
      <c r="C1043" s="20" t="s">
        <v>11499</v>
      </c>
      <c r="D1043" s="19" t="s">
        <v>31</v>
      </c>
      <c r="E1043" s="19" t="s">
        <v>10459</v>
      </c>
      <c r="F1043" s="21">
        <f t="shared" si="514"/>
        <v>746833.12</v>
      </c>
      <c r="G1043" s="21">
        <f t="shared" si="514"/>
        <v>746833.12</v>
      </c>
      <c r="H1043" s="21">
        <f t="shared" si="514"/>
        <v>746833.12</v>
      </c>
      <c r="I1043" s="24" t="str">
        <f t="shared" si="515"/>
        <v xml:space="preserve">COM VALOR</v>
      </c>
      <c r="L1043" s="36">
        <v>746833.12</v>
      </c>
      <c r="M1043" s="37">
        <v>746833.12</v>
      </c>
      <c r="N1043" s="36">
        <v>746833.12</v>
      </c>
    </row>
    <row r="1044" ht="51">
      <c r="A1044" s="19" t="s">
        <v>10638</v>
      </c>
      <c r="B1044" s="19">
        <v>41992</v>
      </c>
      <c r="C1044" s="20" t="s">
        <v>11500</v>
      </c>
      <c r="D1044" s="19" t="s">
        <v>31</v>
      </c>
      <c r="E1044" s="19" t="s">
        <v>10466</v>
      </c>
      <c r="F1044" s="21">
        <f t="shared" si="514"/>
        <v>849000</v>
      </c>
      <c r="G1044" s="21">
        <f t="shared" si="514"/>
        <v>849000</v>
      </c>
      <c r="H1044" s="21">
        <f t="shared" si="514"/>
        <v>849000</v>
      </c>
      <c r="I1044" s="24" t="str">
        <f t="shared" si="515"/>
        <v xml:space="preserve">COM VALOR</v>
      </c>
      <c r="L1044" s="36">
        <v>849000</v>
      </c>
      <c r="M1044" s="37">
        <v>849000</v>
      </c>
      <c r="N1044" s="36">
        <v>849000</v>
      </c>
    </row>
    <row r="1045" ht="51">
      <c r="A1045" s="19" t="s">
        <v>10638</v>
      </c>
      <c r="B1045" s="19">
        <v>13215</v>
      </c>
      <c r="C1045" s="20" t="s">
        <v>11501</v>
      </c>
      <c r="D1045" s="19" t="s">
        <v>31</v>
      </c>
      <c r="E1045" s="19" t="s">
        <v>10459</v>
      </c>
      <c r="F1045" s="21">
        <f t="shared" si="514"/>
        <v>1041085.4</v>
      </c>
      <c r="G1045" s="21">
        <f t="shared" si="514"/>
        <v>1041085.4</v>
      </c>
      <c r="H1045" s="21">
        <f t="shared" si="514"/>
        <v>1041085.4</v>
      </c>
      <c r="I1045" s="24" t="str">
        <f t="shared" si="515"/>
        <v xml:space="preserve">COM VALOR</v>
      </c>
      <c r="L1045" s="36">
        <v>1041085.4</v>
      </c>
      <c r="M1045" s="37">
        <v>1041085.4</v>
      </c>
      <c r="N1045" s="36">
        <v>1041085.4</v>
      </c>
    </row>
    <row r="1046" ht="25.5">
      <c r="A1046" s="19" t="s">
        <v>10604</v>
      </c>
      <c r="B1046" s="19">
        <v>4235</v>
      </c>
      <c r="C1046" s="20" t="s">
        <v>11502</v>
      </c>
      <c r="D1046" s="19" t="s">
        <v>2032</v>
      </c>
      <c r="E1046" s="19" t="s">
        <v>10459</v>
      </c>
      <c r="F1046" s="21">
        <f t="shared" si="514"/>
        <v>19.52</v>
      </c>
      <c r="G1046" s="21">
        <f t="shared" si="514"/>
        <v>19.52</v>
      </c>
      <c r="H1046" s="21">
        <f t="shared" si="514"/>
        <v>19.52</v>
      </c>
      <c r="I1046" s="24" t="str">
        <f t="shared" si="515"/>
        <v xml:space="preserve">COM VALOR</v>
      </c>
      <c r="L1046" s="36">
        <v>19.52</v>
      </c>
      <c r="M1046" s="37">
        <v>19.52</v>
      </c>
      <c r="N1046" s="36">
        <v>19.52</v>
      </c>
    </row>
    <row r="1047" ht="25.5">
      <c r="A1047" s="19" t="s">
        <v>10604</v>
      </c>
      <c r="B1047" s="19">
        <v>40976</v>
      </c>
      <c r="C1047" s="20" t="s">
        <v>11503</v>
      </c>
      <c r="D1047" s="19" t="s">
        <v>7087</v>
      </c>
      <c r="E1047" s="19" t="s">
        <v>10459</v>
      </c>
      <c r="F1047" s="21">
        <f t="shared" si="514"/>
        <v>3417.48</v>
      </c>
      <c r="G1047" s="21">
        <f t="shared" si="514"/>
        <v>3417.48</v>
      </c>
      <c r="H1047" s="21">
        <f t="shared" si="514"/>
        <v>3417.48</v>
      </c>
      <c r="I1047" s="24" t="str">
        <f t="shared" si="515"/>
        <v xml:space="preserve">COM VALOR</v>
      </c>
      <c r="L1047" s="36">
        <v>3417.48</v>
      </c>
      <c r="M1047" s="37">
        <v>3417.48</v>
      </c>
      <c r="N1047" s="36">
        <v>3417.48</v>
      </c>
    </row>
    <row r="1048" ht="51">
      <c r="A1048" s="19" t="s">
        <v>10460</v>
      </c>
      <c r="B1048" s="19">
        <v>43091</v>
      </c>
      <c r="C1048" s="20" t="s">
        <v>11504</v>
      </c>
      <c r="D1048" s="19" t="s">
        <v>31</v>
      </c>
      <c r="E1048" s="19" t="s">
        <v>10459</v>
      </c>
      <c r="F1048" s="21">
        <f t="shared" si="514"/>
        <v>6472.04</v>
      </c>
      <c r="G1048" s="21">
        <f t="shared" si="514"/>
        <v>6472.04</v>
      </c>
      <c r="H1048" s="21">
        <f t="shared" si="514"/>
        <v>6472.04</v>
      </c>
      <c r="I1048" s="24" t="str">
        <f t="shared" si="515"/>
        <v xml:space="preserve">COM VALOR</v>
      </c>
      <c r="L1048" s="36">
        <v>6472.04</v>
      </c>
      <c r="M1048" s="37">
        <v>6472.04</v>
      </c>
      <c r="N1048" s="36">
        <v>6472.04</v>
      </c>
    </row>
    <row r="1049" ht="51">
      <c r="A1049" s="19" t="s">
        <v>10460</v>
      </c>
      <c r="B1049" s="19">
        <v>43092</v>
      </c>
      <c r="C1049" s="20" t="s">
        <v>11505</v>
      </c>
      <c r="D1049" s="19" t="s">
        <v>31</v>
      </c>
      <c r="E1049" s="19" t="s">
        <v>10459</v>
      </c>
      <c r="F1049" s="21">
        <f t="shared" si="514"/>
        <v>8629.3899999999994</v>
      </c>
      <c r="G1049" s="21">
        <f t="shared" si="514"/>
        <v>8629.3899999999994</v>
      </c>
      <c r="H1049" s="21">
        <f t="shared" si="514"/>
        <v>8629.3899999999994</v>
      </c>
      <c r="I1049" s="24" t="str">
        <f t="shared" si="515"/>
        <v xml:space="preserve">COM VALOR</v>
      </c>
      <c r="L1049" s="36">
        <v>8629.3899999999994</v>
      </c>
      <c r="M1049" s="37">
        <v>8629.3899999999994</v>
      </c>
      <c r="N1049" s="36">
        <v>8629.3899999999994</v>
      </c>
    </row>
    <row r="1050" ht="51">
      <c r="A1050" s="19" t="s">
        <v>10460</v>
      </c>
      <c r="B1050" s="19">
        <v>43089</v>
      </c>
      <c r="C1050" s="20" t="s">
        <v>11506</v>
      </c>
      <c r="D1050" s="19" t="s">
        <v>31</v>
      </c>
      <c r="E1050" s="19" t="s">
        <v>10459</v>
      </c>
      <c r="F1050" s="21">
        <f t="shared" si="514"/>
        <v>1503.9200000000001</v>
      </c>
      <c r="G1050" s="21">
        <f t="shared" si="514"/>
        <v>1503.9200000000001</v>
      </c>
      <c r="H1050" s="21">
        <f t="shared" si="514"/>
        <v>1503.9200000000001</v>
      </c>
      <c r="I1050" s="24" t="str">
        <f t="shared" si="515"/>
        <v xml:space="preserve">COM VALOR</v>
      </c>
      <c r="L1050" s="36">
        <v>1503.9200000000001</v>
      </c>
      <c r="M1050" s="37">
        <v>1503.9200000000001</v>
      </c>
      <c r="N1050" s="36">
        <v>1503.9200000000001</v>
      </c>
    </row>
    <row r="1051" ht="51">
      <c r="A1051" s="19" t="s">
        <v>10460</v>
      </c>
      <c r="B1051" s="19">
        <v>43090</v>
      </c>
      <c r="C1051" s="20" t="s">
        <v>11507</v>
      </c>
      <c r="D1051" s="19" t="s">
        <v>31</v>
      </c>
      <c r="E1051" s="19" t="s">
        <v>10459</v>
      </c>
      <c r="F1051" s="21">
        <f t="shared" si="514"/>
        <v>3318.9899999999998</v>
      </c>
      <c r="G1051" s="21">
        <f t="shared" si="514"/>
        <v>3318.9899999999998</v>
      </c>
      <c r="H1051" s="21">
        <f t="shared" si="514"/>
        <v>3318.9899999999998</v>
      </c>
      <c r="I1051" s="24" t="str">
        <f t="shared" si="515"/>
        <v xml:space="preserve">COM VALOR</v>
      </c>
      <c r="L1051" s="36">
        <v>3318.9899999999998</v>
      </c>
      <c r="M1051" s="37">
        <v>3318.9899999999998</v>
      </c>
      <c r="N1051" s="36">
        <v>3318.9899999999998</v>
      </c>
    </row>
    <row r="1052" ht="12.75">
      <c r="A1052" s="19" t="s">
        <v>10460</v>
      </c>
      <c r="B1052" s="19">
        <v>41967</v>
      </c>
      <c r="C1052" s="20" t="s">
        <v>11508</v>
      </c>
      <c r="D1052" s="19" t="s">
        <v>9794</v>
      </c>
      <c r="E1052" s="19" t="s">
        <v>10459</v>
      </c>
      <c r="F1052" s="21">
        <f t="shared" si="514"/>
        <v>18.469999999999999</v>
      </c>
      <c r="G1052" s="21">
        <f t="shared" si="514"/>
        <v>18.469999999999999</v>
      </c>
      <c r="H1052" s="21">
        <f t="shared" si="514"/>
        <v>18.469999999999999</v>
      </c>
      <c r="I1052" s="24" t="str">
        <f t="shared" si="515"/>
        <v xml:space="preserve">COM VALOR</v>
      </c>
      <c r="L1052" s="36">
        <v>18.469999999999999</v>
      </c>
      <c r="M1052" s="37">
        <v>18.469999999999999</v>
      </c>
      <c r="N1052" s="36">
        <v>18.469999999999999</v>
      </c>
    </row>
    <row r="1053" ht="25.5">
      <c r="A1053" s="19" t="s">
        <v>10460</v>
      </c>
      <c r="B1053" s="19">
        <v>12760</v>
      </c>
      <c r="C1053" s="20" t="s">
        <v>11509</v>
      </c>
      <c r="D1053" s="19" t="s">
        <v>29</v>
      </c>
      <c r="E1053" s="19" t="s">
        <v>10459</v>
      </c>
      <c r="F1053" s="21">
        <f t="shared" si="514"/>
        <v>1537.77</v>
      </c>
      <c r="G1053" s="21">
        <f t="shared" si="514"/>
        <v>1537.77</v>
      </c>
      <c r="H1053" s="21">
        <f t="shared" si="514"/>
        <v>1537.77</v>
      </c>
      <c r="I1053" s="24" t="str">
        <f t="shared" si="515"/>
        <v xml:space="preserve">COM VALOR</v>
      </c>
      <c r="L1053" s="36">
        <v>1537.77</v>
      </c>
      <c r="M1053" s="37">
        <v>1537.77</v>
      </c>
      <c r="N1053" s="36">
        <v>1537.77</v>
      </c>
    </row>
    <row r="1054" ht="25.5">
      <c r="A1054" s="19" t="s">
        <v>10460</v>
      </c>
      <c r="B1054" s="19">
        <v>12759</v>
      </c>
      <c r="C1054" s="20" t="s">
        <v>11510</v>
      </c>
      <c r="D1054" s="19" t="s">
        <v>29</v>
      </c>
      <c r="E1054" s="19" t="s">
        <v>10459</v>
      </c>
      <c r="F1054" s="21">
        <f t="shared" si="514"/>
        <v>1025.1700000000001</v>
      </c>
      <c r="G1054" s="21">
        <f t="shared" si="514"/>
        <v>1025.1700000000001</v>
      </c>
      <c r="H1054" s="21">
        <f t="shared" si="514"/>
        <v>1025.1700000000001</v>
      </c>
      <c r="I1054" s="24" t="str">
        <f t="shared" si="515"/>
        <v xml:space="preserve">COM VALOR</v>
      </c>
      <c r="L1054" s="36">
        <v>1025.1700000000001</v>
      </c>
      <c r="M1054" s="37">
        <v>1025.1700000000001</v>
      </c>
      <c r="N1054" s="36">
        <v>1025.1700000000001</v>
      </c>
    </row>
    <row r="1055" ht="38.25">
      <c r="A1055" s="19" t="s">
        <v>10460</v>
      </c>
      <c r="B1055" s="19">
        <v>43105</v>
      </c>
      <c r="C1055" s="20" t="s">
        <v>11511</v>
      </c>
      <c r="D1055" s="19" t="s">
        <v>302</v>
      </c>
      <c r="E1055" s="19" t="s">
        <v>10459</v>
      </c>
      <c r="F1055" s="21" t="str">
        <f t="shared" si="514"/>
        <v>VERIFICAR</v>
      </c>
      <c r="G1055" s="21" t="str">
        <f t="shared" si="514"/>
        <v>VERIFICAR</v>
      </c>
      <c r="H1055" s="21" t="str">
        <f t="shared" si="514"/>
        <v>VERIFICAR</v>
      </c>
      <c r="I1055" s="24" t="str">
        <f t="shared" si="515"/>
        <v xml:space="preserve">SEM VALOR</v>
      </c>
      <c r="L1055" s="36"/>
      <c r="M1055" s="37"/>
      <c r="N1055" s="36"/>
    </row>
    <row r="1056" ht="25.5">
      <c r="A1056" s="19" t="s">
        <v>10460</v>
      </c>
      <c r="B1056" s="19">
        <v>40424</v>
      </c>
      <c r="C1056" s="20" t="s">
        <v>11512</v>
      </c>
      <c r="D1056" s="19" t="s">
        <v>302</v>
      </c>
      <c r="E1056" s="19" t="s">
        <v>10459</v>
      </c>
      <c r="F1056" s="21" t="str">
        <f t="shared" si="514"/>
        <v>VERIFICAR</v>
      </c>
      <c r="G1056" s="21" t="str">
        <f t="shared" si="514"/>
        <v>VERIFICAR</v>
      </c>
      <c r="H1056" s="21" t="str">
        <f t="shared" si="514"/>
        <v>VERIFICAR</v>
      </c>
      <c r="I1056" s="24" t="str">
        <f t="shared" si="515"/>
        <v xml:space="preserve">SEM VALOR</v>
      </c>
      <c r="L1056" s="36"/>
      <c r="M1056" s="37"/>
      <c r="N1056" s="36"/>
    </row>
    <row r="1057" ht="25.5">
      <c r="A1057" s="19" t="s">
        <v>10460</v>
      </c>
      <c r="B1057" s="19">
        <v>1325</v>
      </c>
      <c r="C1057" s="20" t="s">
        <v>11513</v>
      </c>
      <c r="D1057" s="19" t="s">
        <v>302</v>
      </c>
      <c r="E1057" s="19" t="s">
        <v>10459</v>
      </c>
      <c r="F1057" s="21" t="str">
        <f t="shared" si="514"/>
        <v>VERIFICAR</v>
      </c>
      <c r="G1057" s="21" t="str">
        <f t="shared" si="514"/>
        <v>VERIFICAR</v>
      </c>
      <c r="H1057" s="21" t="str">
        <f t="shared" si="514"/>
        <v>VERIFICAR</v>
      </c>
      <c r="I1057" s="24" t="str">
        <f t="shared" si="515"/>
        <v xml:space="preserve">SEM VALOR</v>
      </c>
      <c r="L1057" s="36"/>
      <c r="M1057" s="37"/>
      <c r="N1057" s="36"/>
    </row>
    <row r="1058" ht="25.5">
      <c r="A1058" s="19" t="s">
        <v>10460</v>
      </c>
      <c r="B1058" s="19">
        <v>1327</v>
      </c>
      <c r="C1058" s="20" t="s">
        <v>11514</v>
      </c>
      <c r="D1058" s="19" t="s">
        <v>302</v>
      </c>
      <c r="E1058" s="19" t="s">
        <v>10459</v>
      </c>
      <c r="F1058" s="21" t="str">
        <f t="shared" si="514"/>
        <v>VERIFICAR</v>
      </c>
      <c r="G1058" s="21" t="str">
        <f t="shared" si="514"/>
        <v>VERIFICAR</v>
      </c>
      <c r="H1058" s="21" t="str">
        <f t="shared" si="514"/>
        <v>VERIFICAR</v>
      </c>
      <c r="I1058" s="24" t="str">
        <f t="shared" si="515"/>
        <v xml:space="preserve">SEM VALOR</v>
      </c>
      <c r="L1058" s="36"/>
      <c r="M1058" s="37"/>
      <c r="N1058" s="36"/>
    </row>
    <row r="1059" ht="25.5">
      <c r="A1059" s="19" t="s">
        <v>10460</v>
      </c>
      <c r="B1059" s="19">
        <v>1328</v>
      </c>
      <c r="C1059" s="20" t="s">
        <v>11515</v>
      </c>
      <c r="D1059" s="19" t="s">
        <v>302</v>
      </c>
      <c r="E1059" s="19" t="s">
        <v>10459</v>
      </c>
      <c r="F1059" s="21" t="str">
        <f t="shared" si="514"/>
        <v>VERIFICAR</v>
      </c>
      <c r="G1059" s="21" t="str">
        <f t="shared" si="514"/>
        <v>VERIFICAR</v>
      </c>
      <c r="H1059" s="21" t="str">
        <f t="shared" si="514"/>
        <v>VERIFICAR</v>
      </c>
      <c r="I1059" s="24" t="str">
        <f t="shared" si="515"/>
        <v xml:space="preserve">SEM VALOR</v>
      </c>
      <c r="L1059" s="36"/>
      <c r="M1059" s="37"/>
      <c r="N1059" s="36"/>
    </row>
    <row r="1060" ht="25.5">
      <c r="A1060" s="19" t="s">
        <v>10460</v>
      </c>
      <c r="B1060" s="19">
        <v>1321</v>
      </c>
      <c r="C1060" s="20" t="s">
        <v>11516</v>
      </c>
      <c r="D1060" s="19" t="s">
        <v>302</v>
      </c>
      <c r="E1060" s="19" t="s">
        <v>10459</v>
      </c>
      <c r="F1060" s="21" t="str">
        <f t="shared" si="514"/>
        <v>VERIFICAR</v>
      </c>
      <c r="G1060" s="21" t="str">
        <f t="shared" si="514"/>
        <v>VERIFICAR</v>
      </c>
      <c r="H1060" s="21" t="str">
        <f t="shared" si="514"/>
        <v>VERIFICAR</v>
      </c>
      <c r="I1060" s="24" t="str">
        <f t="shared" si="515"/>
        <v xml:space="preserve">SEM VALOR</v>
      </c>
      <c r="L1060" s="36"/>
      <c r="M1060" s="37"/>
      <c r="N1060" s="36"/>
    </row>
    <row r="1061" ht="25.5">
      <c r="A1061" s="19" t="s">
        <v>10460</v>
      </c>
      <c r="B1061" s="19">
        <v>1318</v>
      </c>
      <c r="C1061" s="20" t="s">
        <v>11517</v>
      </c>
      <c r="D1061" s="19" t="s">
        <v>302</v>
      </c>
      <c r="E1061" s="19" t="s">
        <v>10459</v>
      </c>
      <c r="F1061" s="21">
        <f t="shared" si="514"/>
        <v>8.1699999999999999</v>
      </c>
      <c r="G1061" s="21">
        <f t="shared" si="514"/>
        <v>8.1699999999999999</v>
      </c>
      <c r="H1061" s="21">
        <f t="shared" si="514"/>
        <v>8.1699999999999999</v>
      </c>
      <c r="I1061" s="24" t="str">
        <f t="shared" si="515"/>
        <v xml:space="preserve">COM VALOR</v>
      </c>
      <c r="J1061" s="38" t="s">
        <v>10710</v>
      </c>
      <c r="L1061" s="36">
        <v>8.1699999999999999</v>
      </c>
      <c r="M1061" s="37">
        <v>8.1699999999999999</v>
      </c>
      <c r="N1061" s="36">
        <v>8.1699999999999999</v>
      </c>
    </row>
    <row r="1062" ht="25.5">
      <c r="A1062" s="19" t="s">
        <v>10460</v>
      </c>
      <c r="B1062" s="19">
        <v>1322</v>
      </c>
      <c r="C1062" s="20" t="s">
        <v>11518</v>
      </c>
      <c r="D1062" s="19" t="s">
        <v>302</v>
      </c>
      <c r="E1062" s="19" t="s">
        <v>10459</v>
      </c>
      <c r="F1062" s="21" t="str">
        <f t="shared" si="514"/>
        <v>VERIFICAR</v>
      </c>
      <c r="G1062" s="21" t="str">
        <f t="shared" si="514"/>
        <v>VERIFICAR</v>
      </c>
      <c r="H1062" s="21" t="str">
        <f t="shared" si="514"/>
        <v>VERIFICAR</v>
      </c>
      <c r="I1062" s="24" t="str">
        <f t="shared" si="515"/>
        <v xml:space="preserve">SEM VALOR</v>
      </c>
      <c r="L1062" s="36"/>
      <c r="M1062" s="37"/>
      <c r="N1062" s="36"/>
    </row>
    <row r="1063" ht="25.5">
      <c r="A1063" s="19" t="s">
        <v>10460</v>
      </c>
      <c r="B1063" s="19">
        <v>1323</v>
      </c>
      <c r="C1063" s="20" t="s">
        <v>11519</v>
      </c>
      <c r="D1063" s="19" t="s">
        <v>302</v>
      </c>
      <c r="E1063" s="19" t="s">
        <v>10459</v>
      </c>
      <c r="F1063" s="21" t="str">
        <f t="shared" si="514"/>
        <v>VERIFICAR</v>
      </c>
      <c r="G1063" s="21" t="str">
        <f t="shared" si="514"/>
        <v>VERIFICAR</v>
      </c>
      <c r="H1063" s="21" t="str">
        <f t="shared" si="514"/>
        <v>VERIFICAR</v>
      </c>
      <c r="I1063" s="24" t="str">
        <f t="shared" si="515"/>
        <v xml:space="preserve">SEM VALOR</v>
      </c>
      <c r="L1063" s="36"/>
      <c r="M1063" s="37"/>
      <c r="N1063" s="36"/>
    </row>
    <row r="1064" ht="25.5">
      <c r="A1064" s="19" t="s">
        <v>10460</v>
      </c>
      <c r="B1064" s="19">
        <v>1319</v>
      </c>
      <c r="C1064" s="20" t="s">
        <v>11520</v>
      </c>
      <c r="D1064" s="19" t="s">
        <v>302</v>
      </c>
      <c r="E1064" s="19" t="s">
        <v>10459</v>
      </c>
      <c r="F1064" s="21">
        <f t="shared" si="514"/>
        <v>7.2800000000000002</v>
      </c>
      <c r="G1064" s="21">
        <f t="shared" si="514"/>
        <v>7.2800000000000002</v>
      </c>
      <c r="H1064" s="21">
        <f t="shared" si="514"/>
        <v>7.2800000000000002</v>
      </c>
      <c r="I1064" s="24" t="str">
        <f t="shared" si="515"/>
        <v xml:space="preserve">COM VALOR</v>
      </c>
      <c r="J1064" s="38" t="s">
        <v>10710</v>
      </c>
      <c r="L1064" s="36">
        <v>7.2800000000000002</v>
      </c>
      <c r="M1064" s="37">
        <v>7.2800000000000002</v>
      </c>
      <c r="N1064" s="36">
        <v>7.2800000000000002</v>
      </c>
    </row>
    <row r="1065" ht="25.5">
      <c r="A1065" s="19" t="s">
        <v>10460</v>
      </c>
      <c r="B1065" s="19">
        <v>11026</v>
      </c>
      <c r="C1065" s="20" t="s">
        <v>11521</v>
      </c>
      <c r="D1065" s="19" t="s">
        <v>302</v>
      </c>
      <c r="E1065" s="19" t="s">
        <v>10459</v>
      </c>
      <c r="F1065" s="21" t="str">
        <f t="shared" si="514"/>
        <v>VERIFICAR</v>
      </c>
      <c r="G1065" s="21" t="str">
        <f t="shared" si="514"/>
        <v>VERIFICAR</v>
      </c>
      <c r="H1065" s="21" t="str">
        <f t="shared" si="514"/>
        <v>VERIFICAR</v>
      </c>
      <c r="I1065" s="24" t="str">
        <f t="shared" si="515"/>
        <v xml:space="preserve">SEM VALOR</v>
      </c>
      <c r="L1065" s="36"/>
      <c r="M1065" s="37"/>
      <c r="N1065" s="36"/>
    </row>
    <row r="1066" ht="25.5">
      <c r="A1066" s="19" t="s">
        <v>10460</v>
      </c>
      <c r="B1066" s="19">
        <v>11027</v>
      </c>
      <c r="C1066" s="20" t="s">
        <v>11522</v>
      </c>
      <c r="D1066" s="19" t="s">
        <v>302</v>
      </c>
      <c r="E1066" s="19" t="s">
        <v>10459</v>
      </c>
      <c r="F1066" s="21" t="str">
        <f t="shared" si="514"/>
        <v>VERIFICAR</v>
      </c>
      <c r="G1066" s="21" t="str">
        <f t="shared" si="514"/>
        <v>VERIFICAR</v>
      </c>
      <c r="H1066" s="21" t="str">
        <f t="shared" si="514"/>
        <v>VERIFICAR</v>
      </c>
      <c r="I1066" s="24" t="str">
        <f t="shared" si="515"/>
        <v xml:space="preserve">SEM VALOR</v>
      </c>
      <c r="L1066" s="36"/>
      <c r="M1066" s="37"/>
      <c r="N1066" s="36"/>
    </row>
    <row r="1067" ht="25.5">
      <c r="A1067" s="19" t="s">
        <v>10460</v>
      </c>
      <c r="B1067" s="19">
        <v>11046</v>
      </c>
      <c r="C1067" s="20" t="s">
        <v>11523</v>
      </c>
      <c r="D1067" s="19" t="s">
        <v>302</v>
      </c>
      <c r="E1067" s="19" t="s">
        <v>10459</v>
      </c>
      <c r="F1067" s="21" t="str">
        <f t="shared" si="514"/>
        <v>VERIFICAR</v>
      </c>
      <c r="G1067" s="21" t="str">
        <f t="shared" si="514"/>
        <v>VERIFICAR</v>
      </c>
      <c r="H1067" s="21" t="str">
        <f t="shared" si="514"/>
        <v>VERIFICAR</v>
      </c>
      <c r="I1067" s="24" t="str">
        <f t="shared" si="515"/>
        <v xml:space="preserve">SEM VALOR</v>
      </c>
      <c r="L1067" s="36"/>
      <c r="M1067" s="37"/>
      <c r="N1067" s="36"/>
    </row>
    <row r="1068" ht="25.5">
      <c r="A1068" s="19" t="s">
        <v>10460</v>
      </c>
      <c r="B1068" s="19">
        <v>11047</v>
      </c>
      <c r="C1068" s="20" t="s">
        <v>11524</v>
      </c>
      <c r="D1068" s="19" t="s">
        <v>302</v>
      </c>
      <c r="E1068" s="19" t="s">
        <v>10459</v>
      </c>
      <c r="F1068" s="21" t="str">
        <f t="shared" si="514"/>
        <v>VERIFICAR</v>
      </c>
      <c r="G1068" s="21" t="str">
        <f t="shared" si="514"/>
        <v>VERIFICAR</v>
      </c>
      <c r="H1068" s="21" t="str">
        <f t="shared" si="514"/>
        <v>VERIFICAR</v>
      </c>
      <c r="I1068" s="24" t="str">
        <f t="shared" si="515"/>
        <v xml:space="preserve">SEM VALOR</v>
      </c>
      <c r="L1068" s="36"/>
      <c r="M1068" s="37"/>
      <c r="N1068" s="36"/>
    </row>
    <row r="1069" ht="25.5">
      <c r="A1069" s="19" t="s">
        <v>10460</v>
      </c>
      <c r="B1069" s="19">
        <v>43668</v>
      </c>
      <c r="C1069" s="20" t="s">
        <v>11525</v>
      </c>
      <c r="D1069" s="19" t="s">
        <v>302</v>
      </c>
      <c r="E1069" s="19" t="s">
        <v>10459</v>
      </c>
      <c r="F1069" s="21" t="str">
        <f t="shared" si="514"/>
        <v>VERIFICAR</v>
      </c>
      <c r="G1069" s="21" t="str">
        <f t="shared" si="514"/>
        <v>VERIFICAR</v>
      </c>
      <c r="H1069" s="21" t="str">
        <f t="shared" si="514"/>
        <v>VERIFICAR</v>
      </c>
      <c r="I1069" s="24" t="str">
        <f t="shared" si="515"/>
        <v xml:space="preserve">SEM VALOR</v>
      </c>
      <c r="L1069" s="36"/>
      <c r="M1069" s="37"/>
      <c r="N1069" s="36"/>
    </row>
    <row r="1070" ht="25.5">
      <c r="A1070" s="19" t="s">
        <v>10460</v>
      </c>
      <c r="B1070" s="19">
        <v>11049</v>
      </c>
      <c r="C1070" s="20" t="s">
        <v>11526</v>
      </c>
      <c r="D1070" s="19" t="s">
        <v>302</v>
      </c>
      <c r="E1070" s="19" t="s">
        <v>10466</v>
      </c>
      <c r="F1070" s="21" t="str">
        <f t="shared" si="514"/>
        <v>VERIFICAR</v>
      </c>
      <c r="G1070" s="21" t="str">
        <f t="shared" si="514"/>
        <v>VERIFICAR</v>
      </c>
      <c r="H1070" s="21" t="str">
        <f t="shared" si="514"/>
        <v>VERIFICAR</v>
      </c>
      <c r="I1070" s="24" t="str">
        <f t="shared" si="515"/>
        <v xml:space="preserve">SEM VALOR</v>
      </c>
      <c r="L1070" s="36"/>
      <c r="M1070" s="37"/>
      <c r="N1070" s="36"/>
    </row>
    <row r="1071" ht="25.5">
      <c r="A1071" s="19" t="s">
        <v>10460</v>
      </c>
      <c r="B1071" s="19">
        <v>43106</v>
      </c>
      <c r="C1071" s="20" t="s">
        <v>11527</v>
      </c>
      <c r="D1071" s="19" t="s">
        <v>302</v>
      </c>
      <c r="E1071" s="19" t="s">
        <v>10459</v>
      </c>
      <c r="F1071" s="21" t="str">
        <f t="shared" si="514"/>
        <v>VERIFICAR</v>
      </c>
      <c r="G1071" s="21" t="str">
        <f t="shared" si="514"/>
        <v>VERIFICAR</v>
      </c>
      <c r="H1071" s="21" t="str">
        <f t="shared" si="514"/>
        <v>VERIFICAR</v>
      </c>
      <c r="I1071" s="24" t="str">
        <f t="shared" si="515"/>
        <v xml:space="preserve">SEM VALOR</v>
      </c>
      <c r="L1071" s="36"/>
      <c r="M1071" s="37"/>
      <c r="N1071" s="36"/>
    </row>
    <row r="1072" ht="25.5">
      <c r="A1072" s="19" t="s">
        <v>10460</v>
      </c>
      <c r="B1072" s="19">
        <v>11051</v>
      </c>
      <c r="C1072" s="20" t="s">
        <v>11528</v>
      </c>
      <c r="D1072" s="19" t="s">
        <v>302</v>
      </c>
      <c r="E1072" s="19" t="s">
        <v>10459</v>
      </c>
      <c r="F1072" s="21" t="str">
        <f t="shared" si="514"/>
        <v>VERIFICAR</v>
      </c>
      <c r="G1072" s="21" t="str">
        <f t="shared" si="514"/>
        <v>VERIFICAR</v>
      </c>
      <c r="H1072" s="21" t="str">
        <f t="shared" si="514"/>
        <v>VERIFICAR</v>
      </c>
      <c r="I1072" s="24" t="str">
        <f t="shared" si="515"/>
        <v xml:space="preserve">SEM VALOR</v>
      </c>
      <c r="L1072" s="36"/>
      <c r="M1072" s="37"/>
      <c r="N1072" s="36"/>
    </row>
    <row r="1073" ht="25.5">
      <c r="A1073" s="19" t="s">
        <v>10460</v>
      </c>
      <c r="B1073" s="19">
        <v>11061</v>
      </c>
      <c r="C1073" s="20" t="s">
        <v>11529</v>
      </c>
      <c r="D1073" s="19" t="s">
        <v>302</v>
      </c>
      <c r="E1073" s="19" t="s">
        <v>10459</v>
      </c>
      <c r="F1073" s="21" t="str">
        <f t="shared" si="514"/>
        <v>VERIFICAR</v>
      </c>
      <c r="G1073" s="21" t="str">
        <f t="shared" si="514"/>
        <v>VERIFICAR</v>
      </c>
      <c r="H1073" s="21" t="str">
        <f t="shared" si="514"/>
        <v>VERIFICAR</v>
      </c>
      <c r="I1073" s="24" t="str">
        <f t="shared" si="515"/>
        <v xml:space="preserve">SEM VALOR</v>
      </c>
      <c r="L1073" s="36"/>
      <c r="M1073" s="37"/>
      <c r="N1073" s="36"/>
    </row>
    <row r="1074" ht="25.5">
      <c r="A1074" s="19" t="s">
        <v>10460</v>
      </c>
      <c r="B1074" s="19">
        <v>43667</v>
      </c>
      <c r="C1074" s="20" t="s">
        <v>11530</v>
      </c>
      <c r="D1074" s="19" t="s">
        <v>302</v>
      </c>
      <c r="E1074" s="19" t="s">
        <v>10459</v>
      </c>
      <c r="F1074" s="21" t="str">
        <f t="shared" si="514"/>
        <v>VERIFICAR</v>
      </c>
      <c r="G1074" s="21" t="str">
        <f t="shared" si="514"/>
        <v>VERIFICAR</v>
      </c>
      <c r="H1074" s="21" t="str">
        <f t="shared" si="514"/>
        <v>VERIFICAR</v>
      </c>
      <c r="I1074" s="24" t="str">
        <f t="shared" si="515"/>
        <v xml:space="preserve">SEM VALOR</v>
      </c>
      <c r="L1074" s="36"/>
      <c r="M1074" s="37"/>
      <c r="N1074" s="36"/>
    </row>
    <row r="1075" ht="25.5">
      <c r="A1075" s="19" t="s">
        <v>10460</v>
      </c>
      <c r="B1075" s="19">
        <v>1333</v>
      </c>
      <c r="C1075" s="20" t="s">
        <v>11531</v>
      </c>
      <c r="D1075" s="19" t="s">
        <v>302</v>
      </c>
      <c r="E1075" s="19" t="s">
        <v>10459</v>
      </c>
      <c r="F1075" s="21" t="str">
        <f t="shared" si="514"/>
        <v>VERIFICAR</v>
      </c>
      <c r="G1075" s="21" t="str">
        <f t="shared" si="514"/>
        <v>VERIFICAR</v>
      </c>
      <c r="H1075" s="21" t="str">
        <f t="shared" si="514"/>
        <v>VERIFICAR</v>
      </c>
      <c r="I1075" s="24" t="str">
        <f t="shared" si="515"/>
        <v xml:space="preserve">SEM VALOR</v>
      </c>
      <c r="L1075" s="36"/>
      <c r="M1075" s="37"/>
      <c r="N1075" s="36"/>
    </row>
    <row r="1076" ht="25.5">
      <c r="A1076" s="19" t="s">
        <v>10460</v>
      </c>
      <c r="B1076" s="19">
        <v>1330</v>
      </c>
      <c r="C1076" s="20" t="s">
        <v>11532</v>
      </c>
      <c r="D1076" s="19" t="s">
        <v>302</v>
      </c>
      <c r="E1076" s="19" t="s">
        <v>10459</v>
      </c>
      <c r="F1076" s="21" t="str">
        <f t="shared" si="514"/>
        <v>VERIFICAR</v>
      </c>
      <c r="G1076" s="21" t="str">
        <f t="shared" si="514"/>
        <v>VERIFICAR</v>
      </c>
      <c r="H1076" s="21" t="str">
        <f t="shared" si="514"/>
        <v>VERIFICAR</v>
      </c>
      <c r="I1076" s="24" t="str">
        <f t="shared" si="515"/>
        <v xml:space="preserve">SEM VALOR</v>
      </c>
      <c r="L1076" s="36"/>
      <c r="M1076" s="37"/>
      <c r="N1076" s="36"/>
    </row>
    <row r="1077" ht="25.5">
      <c r="A1077" s="19" t="s">
        <v>10460</v>
      </c>
      <c r="B1077" s="19">
        <v>10957</v>
      </c>
      <c r="C1077" s="20" t="s">
        <v>11533</v>
      </c>
      <c r="D1077" s="19" t="s">
        <v>302</v>
      </c>
      <c r="E1077" s="19" t="s">
        <v>10459</v>
      </c>
      <c r="F1077" s="21" t="str">
        <f t="shared" si="514"/>
        <v>VERIFICAR</v>
      </c>
      <c r="G1077" s="21" t="str">
        <f t="shared" si="514"/>
        <v>VERIFICAR</v>
      </c>
      <c r="H1077" s="21" t="str">
        <f t="shared" si="514"/>
        <v>VERIFICAR</v>
      </c>
      <c r="I1077" s="24" t="str">
        <f t="shared" si="515"/>
        <v xml:space="preserve">SEM VALOR</v>
      </c>
      <c r="L1077" s="36"/>
      <c r="M1077" s="37"/>
      <c r="N1077" s="36"/>
    </row>
    <row r="1078" ht="25.5">
      <c r="A1078" s="19" t="s">
        <v>10460</v>
      </c>
      <c r="B1078" s="19">
        <v>1332</v>
      </c>
      <c r="C1078" s="20" t="s">
        <v>11534</v>
      </c>
      <c r="D1078" s="19" t="s">
        <v>302</v>
      </c>
      <c r="E1078" s="19" t="s">
        <v>10459</v>
      </c>
      <c r="F1078" s="21" t="str">
        <f t="shared" si="514"/>
        <v>VERIFICAR</v>
      </c>
      <c r="G1078" s="21" t="str">
        <f t="shared" si="514"/>
        <v>VERIFICAR</v>
      </c>
      <c r="H1078" s="21" t="str">
        <f t="shared" si="514"/>
        <v>VERIFICAR</v>
      </c>
      <c r="I1078" s="24" t="str">
        <f t="shared" si="515"/>
        <v xml:space="preserve">SEM VALOR</v>
      </c>
      <c r="L1078" s="36"/>
      <c r="M1078" s="37"/>
      <c r="N1078" s="36"/>
    </row>
    <row r="1079" ht="25.5">
      <c r="A1079" s="19" t="s">
        <v>10460</v>
      </c>
      <c r="B1079" s="19">
        <v>1334</v>
      </c>
      <c r="C1079" s="20" t="s">
        <v>11535</v>
      </c>
      <c r="D1079" s="19" t="s">
        <v>302</v>
      </c>
      <c r="E1079" s="19" t="s">
        <v>10459</v>
      </c>
      <c r="F1079" s="21" t="str">
        <f t="shared" si="514"/>
        <v>VERIFICAR</v>
      </c>
      <c r="G1079" s="21" t="str">
        <f t="shared" si="514"/>
        <v>VERIFICAR</v>
      </c>
      <c r="H1079" s="21" t="str">
        <f t="shared" si="514"/>
        <v>VERIFICAR</v>
      </c>
      <c r="I1079" s="24" t="str">
        <f t="shared" si="515"/>
        <v xml:space="preserve">SEM VALOR</v>
      </c>
      <c r="L1079" s="36"/>
      <c r="M1079" s="37"/>
      <c r="N1079" s="36"/>
    </row>
    <row r="1080" ht="25.5">
      <c r="A1080" s="19" t="s">
        <v>10460</v>
      </c>
      <c r="B1080" s="19">
        <v>1335</v>
      </c>
      <c r="C1080" s="20" t="s">
        <v>11536</v>
      </c>
      <c r="D1080" s="19" t="s">
        <v>302</v>
      </c>
      <c r="E1080" s="19" t="s">
        <v>10459</v>
      </c>
      <c r="F1080" s="21" t="str">
        <f t="shared" si="514"/>
        <v>VERIFICAR</v>
      </c>
      <c r="G1080" s="21" t="str">
        <f t="shared" si="514"/>
        <v>VERIFICAR</v>
      </c>
      <c r="H1080" s="21" t="str">
        <f t="shared" si="514"/>
        <v>VERIFICAR</v>
      </c>
      <c r="I1080" s="24" t="str">
        <f t="shared" si="515"/>
        <v xml:space="preserve">SEM VALOR</v>
      </c>
      <c r="L1080" s="36"/>
      <c r="M1080" s="37"/>
      <c r="N1080" s="36"/>
    </row>
    <row r="1081" ht="25.5">
      <c r="A1081" s="19" t="s">
        <v>10460</v>
      </c>
      <c r="B1081" s="19">
        <v>40425</v>
      </c>
      <c r="C1081" s="20" t="s">
        <v>11537</v>
      </c>
      <c r="D1081" s="19" t="s">
        <v>302</v>
      </c>
      <c r="E1081" s="19" t="s">
        <v>10459</v>
      </c>
      <c r="F1081" s="21" t="str">
        <f t="shared" si="514"/>
        <v>VERIFICAR</v>
      </c>
      <c r="G1081" s="21" t="str">
        <f t="shared" si="514"/>
        <v>VERIFICAR</v>
      </c>
      <c r="H1081" s="21" t="str">
        <f t="shared" si="514"/>
        <v>VERIFICAR</v>
      </c>
      <c r="I1081" s="24" t="str">
        <f t="shared" si="515"/>
        <v xml:space="preserve">SEM VALOR</v>
      </c>
      <c r="L1081" s="36"/>
      <c r="M1081" s="37"/>
      <c r="N1081" s="36"/>
    </row>
    <row r="1082" ht="25.5">
      <c r="A1082" s="19" t="s">
        <v>10460</v>
      </c>
      <c r="B1082" s="19">
        <v>1337</v>
      </c>
      <c r="C1082" s="20" t="s">
        <v>11538</v>
      </c>
      <c r="D1082" s="19" t="s">
        <v>302</v>
      </c>
      <c r="E1082" s="19" t="s">
        <v>10459</v>
      </c>
      <c r="F1082" s="21" t="str">
        <f t="shared" si="514"/>
        <v>VERIFICAR</v>
      </c>
      <c r="G1082" s="21" t="str">
        <f t="shared" si="514"/>
        <v>VERIFICAR</v>
      </c>
      <c r="H1082" s="21" t="str">
        <f t="shared" si="514"/>
        <v>VERIFICAR</v>
      </c>
      <c r="I1082" s="24" t="str">
        <f t="shared" si="515"/>
        <v xml:space="preserve">SEM VALOR</v>
      </c>
      <c r="L1082" s="36"/>
      <c r="M1082" s="37"/>
      <c r="N1082" s="36"/>
    </row>
    <row r="1083" ht="25.5">
      <c r="A1083" s="19" t="s">
        <v>10460</v>
      </c>
      <c r="B1083" s="19">
        <v>34659</v>
      </c>
      <c r="C1083" s="20" t="s">
        <v>11539</v>
      </c>
      <c r="D1083" s="19" t="s">
        <v>29</v>
      </c>
      <c r="E1083" s="19" t="s">
        <v>10459</v>
      </c>
      <c r="F1083" s="21">
        <f t="shared" si="514"/>
        <v>49.490000000000002</v>
      </c>
      <c r="G1083" s="21">
        <f t="shared" si="514"/>
        <v>49.490000000000002</v>
      </c>
      <c r="H1083" s="21">
        <f t="shared" si="514"/>
        <v>49.490000000000002</v>
      </c>
      <c r="I1083" s="24" t="str">
        <f t="shared" si="515"/>
        <v xml:space="preserve">COM VALOR</v>
      </c>
      <c r="L1083" s="36">
        <v>49.490000000000002</v>
      </c>
      <c r="M1083" s="37">
        <v>49.490000000000002</v>
      </c>
      <c r="N1083" s="36">
        <v>49.490000000000002</v>
      </c>
    </row>
    <row r="1084" ht="25.5">
      <c r="A1084" s="19" t="s">
        <v>10460</v>
      </c>
      <c r="B1084" s="19">
        <v>34514</v>
      </c>
      <c r="C1084" s="20" t="s">
        <v>11540</v>
      </c>
      <c r="D1084" s="19" t="s">
        <v>29</v>
      </c>
      <c r="E1084" s="19" t="s">
        <v>10466</v>
      </c>
      <c r="F1084" s="21">
        <f t="shared" si="514"/>
        <v>54.82</v>
      </c>
      <c r="G1084" s="21">
        <f t="shared" si="514"/>
        <v>54.82</v>
      </c>
      <c r="H1084" s="21">
        <f t="shared" si="514"/>
        <v>54.82</v>
      </c>
      <c r="I1084" s="24" t="str">
        <f t="shared" si="515"/>
        <v xml:space="preserve">COM VALOR</v>
      </c>
      <c r="L1084" s="36">
        <v>54.82</v>
      </c>
      <c r="M1084" s="37">
        <v>54.82</v>
      </c>
      <c r="N1084" s="36">
        <v>54.82</v>
      </c>
    </row>
    <row r="1085" ht="25.5">
      <c r="A1085" s="19" t="s">
        <v>10460</v>
      </c>
      <c r="B1085" s="19">
        <v>34660</v>
      </c>
      <c r="C1085" s="20" t="s">
        <v>11541</v>
      </c>
      <c r="D1085" s="19" t="s">
        <v>29</v>
      </c>
      <c r="E1085" s="19" t="s">
        <v>10459</v>
      </c>
      <c r="F1085" s="21">
        <f t="shared" si="514"/>
        <v>69.569999999999993</v>
      </c>
      <c r="G1085" s="21">
        <f t="shared" si="514"/>
        <v>69.569999999999993</v>
      </c>
      <c r="H1085" s="21">
        <f t="shared" si="514"/>
        <v>69.569999999999993</v>
      </c>
      <c r="I1085" s="24" t="str">
        <f t="shared" si="515"/>
        <v xml:space="preserve">COM VALOR</v>
      </c>
      <c r="L1085" s="36">
        <v>69.569999999999993</v>
      </c>
      <c r="M1085" s="37">
        <v>69.569999999999993</v>
      </c>
      <c r="N1085" s="36">
        <v>69.569999999999993</v>
      </c>
    </row>
    <row r="1086" ht="25.5">
      <c r="A1086" s="19" t="s">
        <v>10460</v>
      </c>
      <c r="B1086" s="19">
        <v>34661</v>
      </c>
      <c r="C1086" s="20" t="s">
        <v>11542</v>
      </c>
      <c r="D1086" s="19" t="s">
        <v>29</v>
      </c>
      <c r="E1086" s="19" t="s">
        <v>10459</v>
      </c>
      <c r="F1086" s="21">
        <f t="shared" si="514"/>
        <v>99.920000000000002</v>
      </c>
      <c r="G1086" s="21">
        <f t="shared" si="514"/>
        <v>99.920000000000002</v>
      </c>
      <c r="H1086" s="21">
        <f t="shared" si="514"/>
        <v>99.920000000000002</v>
      </c>
      <c r="I1086" s="24" t="str">
        <f t="shared" si="515"/>
        <v xml:space="preserve">COM VALOR</v>
      </c>
      <c r="L1086" s="36">
        <v>99.920000000000002</v>
      </c>
      <c r="M1086" s="37">
        <v>99.920000000000002</v>
      </c>
      <c r="N1086" s="36">
        <v>99.920000000000002</v>
      </c>
    </row>
    <row r="1087" ht="25.5">
      <c r="A1087" s="19" t="s">
        <v>10460</v>
      </c>
      <c r="B1087" s="19">
        <v>34667</v>
      </c>
      <c r="C1087" s="20" t="s">
        <v>11543</v>
      </c>
      <c r="D1087" s="19" t="s">
        <v>29</v>
      </c>
      <c r="E1087" s="19" t="s">
        <v>10459</v>
      </c>
      <c r="F1087" s="21">
        <f t="shared" si="514"/>
        <v>36.18</v>
      </c>
      <c r="G1087" s="21">
        <f t="shared" si="514"/>
        <v>36.18</v>
      </c>
      <c r="H1087" s="21">
        <f t="shared" si="514"/>
        <v>36.18</v>
      </c>
      <c r="I1087" s="24" t="str">
        <f t="shared" si="515"/>
        <v xml:space="preserve">COM VALOR</v>
      </c>
      <c r="L1087" s="36">
        <v>36.18</v>
      </c>
      <c r="M1087" s="37">
        <v>36.18</v>
      </c>
      <c r="N1087" s="36">
        <v>36.18</v>
      </c>
    </row>
    <row r="1088" ht="25.5">
      <c r="A1088" s="19" t="s">
        <v>10460</v>
      </c>
      <c r="B1088" s="19">
        <v>34668</v>
      </c>
      <c r="C1088" s="20" t="s">
        <v>11544</v>
      </c>
      <c r="D1088" s="19" t="s">
        <v>29</v>
      </c>
      <c r="E1088" s="19" t="s">
        <v>10459</v>
      </c>
      <c r="F1088" s="21">
        <f t="shared" si="514"/>
        <v>47.289999999999999</v>
      </c>
      <c r="G1088" s="21">
        <f t="shared" si="514"/>
        <v>47.289999999999999</v>
      </c>
      <c r="H1088" s="21">
        <f t="shared" si="514"/>
        <v>47.289999999999999</v>
      </c>
      <c r="I1088" s="24" t="str">
        <f t="shared" si="515"/>
        <v xml:space="preserve">COM VALOR</v>
      </c>
      <c r="L1088" s="36">
        <v>47.289999999999999</v>
      </c>
      <c r="M1088" s="37">
        <v>47.289999999999999</v>
      </c>
      <c r="N1088" s="36">
        <v>47.289999999999999</v>
      </c>
    </row>
    <row r="1089" ht="25.5">
      <c r="A1089" s="19" t="s">
        <v>10460</v>
      </c>
      <c r="B1089" s="19">
        <v>34741</v>
      </c>
      <c r="C1089" s="20" t="s">
        <v>11545</v>
      </c>
      <c r="D1089" s="19" t="s">
        <v>29</v>
      </c>
      <c r="E1089" s="19" t="s">
        <v>10459</v>
      </c>
      <c r="F1089" s="21">
        <f t="shared" si="514"/>
        <v>52.030000000000001</v>
      </c>
      <c r="G1089" s="21">
        <f t="shared" si="514"/>
        <v>52.030000000000001</v>
      </c>
      <c r="H1089" s="21">
        <f t="shared" si="514"/>
        <v>52.030000000000001</v>
      </c>
      <c r="I1089" s="24" t="str">
        <f t="shared" si="515"/>
        <v xml:space="preserve">COM VALOR</v>
      </c>
      <c r="L1089" s="36">
        <v>52.030000000000001</v>
      </c>
      <c r="M1089" s="37">
        <v>52.030000000000001</v>
      </c>
      <c r="N1089" s="36">
        <v>52.030000000000001</v>
      </c>
    </row>
    <row r="1090" ht="25.5">
      <c r="A1090" s="19" t="s">
        <v>10460</v>
      </c>
      <c r="B1090" s="19">
        <v>34664</v>
      </c>
      <c r="C1090" s="20" t="s">
        <v>11546</v>
      </c>
      <c r="D1090" s="19" t="s">
        <v>29</v>
      </c>
      <c r="E1090" s="19" t="s">
        <v>10459</v>
      </c>
      <c r="F1090" s="21">
        <f t="shared" si="514"/>
        <v>56.780000000000001</v>
      </c>
      <c r="G1090" s="21">
        <f t="shared" si="514"/>
        <v>56.780000000000001</v>
      </c>
      <c r="H1090" s="21">
        <f t="shared" si="514"/>
        <v>56.780000000000001</v>
      </c>
      <c r="I1090" s="24" t="str">
        <f t="shared" si="515"/>
        <v xml:space="preserve">COM VALOR</v>
      </c>
      <c r="L1090" s="36">
        <v>56.780000000000001</v>
      </c>
      <c r="M1090" s="37">
        <v>56.780000000000001</v>
      </c>
      <c r="N1090" s="36">
        <v>56.780000000000001</v>
      </c>
    </row>
    <row r="1091" ht="25.5">
      <c r="A1091" s="19" t="s">
        <v>10460</v>
      </c>
      <c r="B1091" s="19">
        <v>34665</v>
      </c>
      <c r="C1091" s="20" t="s">
        <v>11547</v>
      </c>
      <c r="D1091" s="19" t="s">
        <v>29</v>
      </c>
      <c r="E1091" s="19" t="s">
        <v>10459</v>
      </c>
      <c r="F1091" s="21">
        <f t="shared" si="514"/>
        <v>70.480000000000004</v>
      </c>
      <c r="G1091" s="21">
        <f t="shared" si="514"/>
        <v>70.480000000000004</v>
      </c>
      <c r="H1091" s="21">
        <f t="shared" si="514"/>
        <v>70.480000000000004</v>
      </c>
      <c r="I1091" s="24" t="str">
        <f t="shared" si="515"/>
        <v xml:space="preserve">COM VALOR</v>
      </c>
      <c r="L1091" s="36">
        <v>70.480000000000004</v>
      </c>
      <c r="M1091" s="37">
        <v>70.480000000000004</v>
      </c>
      <c r="N1091" s="36">
        <v>70.480000000000004</v>
      </c>
    </row>
    <row r="1092" ht="25.5">
      <c r="A1092" s="19" t="s">
        <v>10460</v>
      </c>
      <c r="B1092" s="19">
        <v>34666</v>
      </c>
      <c r="C1092" s="20" t="s">
        <v>11548</v>
      </c>
      <c r="D1092" s="19" t="s">
        <v>29</v>
      </c>
      <c r="E1092" s="19" t="s">
        <v>10459</v>
      </c>
      <c r="F1092" s="21">
        <f t="shared" si="514"/>
        <v>106.45999999999999</v>
      </c>
      <c r="G1092" s="21">
        <f t="shared" si="514"/>
        <v>106.45999999999999</v>
      </c>
      <c r="H1092" s="21">
        <f t="shared" si="514"/>
        <v>106.45999999999999</v>
      </c>
      <c r="I1092" s="24" t="str">
        <f t="shared" si="515"/>
        <v xml:space="preserve">COM VALOR</v>
      </c>
      <c r="L1092" s="36">
        <v>106.45999999999999</v>
      </c>
      <c r="M1092" s="37">
        <v>106.45999999999999</v>
      </c>
      <c r="N1092" s="36">
        <v>106.45999999999999</v>
      </c>
    </row>
    <row r="1093" ht="25.5">
      <c r="A1093" s="19" t="s">
        <v>10460</v>
      </c>
      <c r="B1093" s="19">
        <v>34669</v>
      </c>
      <c r="C1093" s="20" t="s">
        <v>11549</v>
      </c>
      <c r="D1093" s="19" t="s">
        <v>29</v>
      </c>
      <c r="E1093" s="19" t="s">
        <v>10459</v>
      </c>
      <c r="F1093" s="21">
        <f t="shared" si="514"/>
        <v>39.030000000000001</v>
      </c>
      <c r="G1093" s="21">
        <f t="shared" si="514"/>
        <v>39.030000000000001</v>
      </c>
      <c r="H1093" s="21">
        <f t="shared" si="514"/>
        <v>39.030000000000001</v>
      </c>
      <c r="I1093" s="24" t="str">
        <f t="shared" si="515"/>
        <v xml:space="preserve">COM VALOR</v>
      </c>
      <c r="L1093" s="36">
        <v>39.030000000000001</v>
      </c>
      <c r="M1093" s="37">
        <v>39.030000000000001</v>
      </c>
      <c r="N1093" s="36">
        <v>39.030000000000001</v>
      </c>
    </row>
    <row r="1094" ht="25.5">
      <c r="A1094" s="19" t="s">
        <v>10460</v>
      </c>
      <c r="B1094" s="19">
        <v>34670</v>
      </c>
      <c r="C1094" s="20" t="s">
        <v>11550</v>
      </c>
      <c r="D1094" s="19" t="s">
        <v>29</v>
      </c>
      <c r="E1094" s="19" t="s">
        <v>10459</v>
      </c>
      <c r="F1094" s="21">
        <f t="shared" si="514"/>
        <v>47.740000000000002</v>
      </c>
      <c r="G1094" s="21">
        <f t="shared" si="514"/>
        <v>47.740000000000002</v>
      </c>
      <c r="H1094" s="21">
        <f t="shared" si="514"/>
        <v>47.740000000000002</v>
      </c>
      <c r="I1094" s="24" t="str">
        <f t="shared" si="515"/>
        <v xml:space="preserve">COM VALOR</v>
      </c>
      <c r="L1094" s="36">
        <v>47.740000000000002</v>
      </c>
      <c r="M1094" s="37">
        <v>47.740000000000002</v>
      </c>
      <c r="N1094" s="36">
        <v>47.740000000000002</v>
      </c>
    </row>
    <row r="1095" ht="12.75">
      <c r="A1095" s="19" t="s">
        <v>10460</v>
      </c>
      <c r="B1095" s="19">
        <v>34671</v>
      </c>
      <c r="C1095" s="20" t="s">
        <v>11551</v>
      </c>
      <c r="D1095" s="19" t="s">
        <v>29</v>
      </c>
      <c r="E1095" s="19" t="s">
        <v>10459</v>
      </c>
      <c r="F1095" s="21">
        <f t="shared" si="514"/>
        <v>39.850000000000001</v>
      </c>
      <c r="G1095" s="21">
        <f t="shared" si="514"/>
        <v>39.850000000000001</v>
      </c>
      <c r="H1095" s="21">
        <f t="shared" si="514"/>
        <v>39.850000000000001</v>
      </c>
      <c r="I1095" s="24" t="str">
        <f t="shared" si="515"/>
        <v xml:space="preserve">COM VALOR</v>
      </c>
      <c r="L1095" s="36">
        <v>39.850000000000001</v>
      </c>
      <c r="M1095" s="37">
        <v>39.850000000000001</v>
      </c>
      <c r="N1095" s="36">
        <v>39.850000000000001</v>
      </c>
    </row>
    <row r="1096" ht="12.75">
      <c r="A1096" s="19" t="s">
        <v>10460</v>
      </c>
      <c r="B1096" s="19">
        <v>34672</v>
      </c>
      <c r="C1096" s="20" t="s">
        <v>11552</v>
      </c>
      <c r="D1096" s="19" t="s">
        <v>29</v>
      </c>
      <c r="E1096" s="19" t="s">
        <v>10459</v>
      </c>
      <c r="F1096" s="21">
        <f t="shared" si="514"/>
        <v>42.020000000000003</v>
      </c>
      <c r="G1096" s="21">
        <f t="shared" si="514"/>
        <v>42.020000000000003</v>
      </c>
      <c r="H1096" s="21">
        <f t="shared" si="514"/>
        <v>42.020000000000003</v>
      </c>
      <c r="I1096" s="24" t="str">
        <f t="shared" si="515"/>
        <v xml:space="preserve">COM VALOR</v>
      </c>
      <c r="L1096" s="36">
        <v>42.020000000000003</v>
      </c>
      <c r="M1096" s="37">
        <v>42.020000000000003</v>
      </c>
      <c r="N1096" s="36">
        <v>42.020000000000003</v>
      </c>
    </row>
    <row r="1097" ht="12.75">
      <c r="A1097" s="19" t="s">
        <v>10460</v>
      </c>
      <c r="B1097" s="19">
        <v>34673</v>
      </c>
      <c r="C1097" s="20" t="s">
        <v>11553</v>
      </c>
      <c r="D1097" s="19" t="s">
        <v>29</v>
      </c>
      <c r="E1097" s="19" t="s">
        <v>10459</v>
      </c>
      <c r="F1097" s="21">
        <f t="shared" si="514"/>
        <v>51.280000000000001</v>
      </c>
      <c r="G1097" s="21">
        <f t="shared" si="514"/>
        <v>51.280000000000001</v>
      </c>
      <c r="H1097" s="21">
        <f t="shared" si="514"/>
        <v>51.280000000000001</v>
      </c>
      <c r="I1097" s="24" t="str">
        <f t="shared" si="515"/>
        <v xml:space="preserve">COM VALOR</v>
      </c>
      <c r="L1097" s="36">
        <v>51.280000000000001</v>
      </c>
      <c r="M1097" s="37">
        <v>51.280000000000001</v>
      </c>
      <c r="N1097" s="36">
        <v>51.280000000000001</v>
      </c>
    </row>
    <row r="1098" ht="12.75">
      <c r="A1098" s="19" t="s">
        <v>10460</v>
      </c>
      <c r="B1098" s="19">
        <v>34674</v>
      </c>
      <c r="C1098" s="20" t="s">
        <v>11554</v>
      </c>
      <c r="D1098" s="19" t="s">
        <v>29</v>
      </c>
      <c r="E1098" s="19" t="s">
        <v>10459</v>
      </c>
      <c r="F1098" s="21">
        <f t="shared" si="514"/>
        <v>68.170000000000002</v>
      </c>
      <c r="G1098" s="21">
        <f t="shared" si="514"/>
        <v>68.170000000000002</v>
      </c>
      <c r="H1098" s="21">
        <f t="shared" si="514"/>
        <v>68.170000000000002</v>
      </c>
      <c r="I1098" s="24" t="str">
        <f t="shared" si="515"/>
        <v xml:space="preserve">COM VALOR</v>
      </c>
      <c r="L1098" s="36">
        <v>68.170000000000002</v>
      </c>
      <c r="M1098" s="37">
        <v>68.170000000000002</v>
      </c>
      <c r="N1098" s="36">
        <v>68.170000000000002</v>
      </c>
    </row>
    <row r="1099" ht="12.75">
      <c r="A1099" s="19" t="s">
        <v>10460</v>
      </c>
      <c r="B1099" s="19">
        <v>34675</v>
      </c>
      <c r="C1099" s="20" t="s">
        <v>11555</v>
      </c>
      <c r="D1099" s="19" t="s">
        <v>29</v>
      </c>
      <c r="E1099" s="19" t="s">
        <v>10459</v>
      </c>
      <c r="F1099" s="21">
        <f t="shared" ref="F1099:H1162" si="516">IF(L1099=0,"VERIFICAR",L1099)</f>
        <v>83.109999999999999</v>
      </c>
      <c r="G1099" s="21">
        <f t="shared" si="516"/>
        <v>83.109999999999999</v>
      </c>
      <c r="H1099" s="21">
        <f t="shared" si="516"/>
        <v>83.109999999999999</v>
      </c>
      <c r="I1099" s="24" t="str">
        <f t="shared" ref="I1099:I1162" si="517">IF(OR(L1099=0,M1099=0,N1099=0),"SEM VALOR","COM VALOR")</f>
        <v xml:space="preserve">COM VALOR</v>
      </c>
      <c r="L1099" s="36">
        <v>83.109999999999999</v>
      </c>
      <c r="M1099" s="37">
        <v>83.109999999999999</v>
      </c>
      <c r="N1099" s="36">
        <v>83.109999999999999</v>
      </c>
    </row>
    <row r="1100" ht="12.75">
      <c r="A1100" s="19" t="s">
        <v>10460</v>
      </c>
      <c r="B1100" s="19">
        <v>34676</v>
      </c>
      <c r="C1100" s="20" t="s">
        <v>11556</v>
      </c>
      <c r="D1100" s="19" t="s">
        <v>29</v>
      </c>
      <c r="E1100" s="19" t="s">
        <v>10459</v>
      </c>
      <c r="F1100" s="21">
        <f t="shared" si="516"/>
        <v>23.93</v>
      </c>
      <c r="G1100" s="21">
        <f t="shared" si="516"/>
        <v>23.93</v>
      </c>
      <c r="H1100" s="21">
        <f t="shared" si="516"/>
        <v>23.93</v>
      </c>
      <c r="I1100" s="24" t="str">
        <f t="shared" si="517"/>
        <v xml:space="preserve">COM VALOR</v>
      </c>
      <c r="L1100" s="36">
        <v>23.93</v>
      </c>
      <c r="M1100" s="37">
        <v>23.93</v>
      </c>
      <c r="N1100" s="36">
        <v>23.93</v>
      </c>
    </row>
    <row r="1101" ht="12.75">
      <c r="A1101" s="19" t="s">
        <v>10460</v>
      </c>
      <c r="B1101" s="19">
        <v>34677</v>
      </c>
      <c r="C1101" s="20" t="s">
        <v>11557</v>
      </c>
      <c r="D1101" s="19" t="s">
        <v>29</v>
      </c>
      <c r="E1101" s="19" t="s">
        <v>10459</v>
      </c>
      <c r="F1101" s="21">
        <f t="shared" si="516"/>
        <v>32.170000000000002</v>
      </c>
      <c r="G1101" s="21">
        <f t="shared" si="516"/>
        <v>32.170000000000002</v>
      </c>
      <c r="H1101" s="21">
        <f t="shared" si="516"/>
        <v>32.170000000000002</v>
      </c>
      <c r="I1101" s="24" t="str">
        <f t="shared" si="517"/>
        <v xml:space="preserve">COM VALOR</v>
      </c>
      <c r="L1101" s="36">
        <v>32.170000000000002</v>
      </c>
      <c r="M1101" s="37">
        <v>32.170000000000002</v>
      </c>
      <c r="N1101" s="36">
        <v>32.170000000000002</v>
      </c>
    </row>
    <row r="1102" ht="38.25">
      <c r="A1102" s="19" t="s">
        <v>10460</v>
      </c>
      <c r="B1102" s="19">
        <v>43126</v>
      </c>
      <c r="C1102" s="20" t="s">
        <v>11558</v>
      </c>
      <c r="D1102" s="19" t="s">
        <v>29</v>
      </c>
      <c r="E1102" s="19" t="s">
        <v>10459</v>
      </c>
      <c r="F1102" s="21" t="str">
        <f t="shared" si="516"/>
        <v>VERIFICAR</v>
      </c>
      <c r="G1102" s="21" t="str">
        <f t="shared" si="516"/>
        <v>VERIFICAR</v>
      </c>
      <c r="H1102" s="21" t="str">
        <f t="shared" si="516"/>
        <v>VERIFICAR</v>
      </c>
      <c r="I1102" s="24" t="str">
        <f t="shared" si="517"/>
        <v xml:space="preserve">SEM VALOR</v>
      </c>
      <c r="L1102" s="36"/>
      <c r="M1102" s="37"/>
      <c r="N1102" s="36"/>
    </row>
    <row r="1103" ht="38.25">
      <c r="A1103" s="19" t="s">
        <v>10460</v>
      </c>
      <c r="B1103" s="19">
        <v>43124</v>
      </c>
      <c r="C1103" s="20" t="s">
        <v>11559</v>
      </c>
      <c r="D1103" s="19" t="s">
        <v>29</v>
      </c>
      <c r="E1103" s="19" t="s">
        <v>10459</v>
      </c>
      <c r="F1103" s="21" t="str">
        <f t="shared" si="516"/>
        <v>VERIFICAR</v>
      </c>
      <c r="G1103" s="21" t="str">
        <f t="shared" si="516"/>
        <v>VERIFICAR</v>
      </c>
      <c r="H1103" s="21" t="str">
        <f t="shared" si="516"/>
        <v>VERIFICAR</v>
      </c>
      <c r="I1103" s="24" t="str">
        <f t="shared" si="517"/>
        <v xml:space="preserve">SEM VALOR</v>
      </c>
      <c r="L1103" s="36"/>
      <c r="M1103" s="37"/>
      <c r="N1103" s="36"/>
    </row>
    <row r="1104" ht="38.25">
      <c r="A1104" s="19" t="s">
        <v>10460</v>
      </c>
      <c r="B1104" s="19">
        <v>43125</v>
      </c>
      <c r="C1104" s="20" t="s">
        <v>11560</v>
      </c>
      <c r="D1104" s="19" t="s">
        <v>29</v>
      </c>
      <c r="E1104" s="19" t="s">
        <v>10459</v>
      </c>
      <c r="F1104" s="21" t="str">
        <f t="shared" si="516"/>
        <v>VERIFICAR</v>
      </c>
      <c r="G1104" s="21" t="str">
        <f t="shared" si="516"/>
        <v>VERIFICAR</v>
      </c>
      <c r="H1104" s="21" t="str">
        <f t="shared" si="516"/>
        <v>VERIFICAR</v>
      </c>
      <c r="I1104" s="24" t="str">
        <f t="shared" si="517"/>
        <v xml:space="preserve">SEM VALOR</v>
      </c>
      <c r="L1104" s="36"/>
      <c r="M1104" s="37"/>
      <c r="N1104" s="36"/>
    </row>
    <row r="1105" ht="38.25">
      <c r="A1105" s="19" t="s">
        <v>10460</v>
      </c>
      <c r="B1105" s="19">
        <v>40623</v>
      </c>
      <c r="C1105" s="20" t="s">
        <v>11561</v>
      </c>
      <c r="D1105" s="19" t="s">
        <v>10874</v>
      </c>
      <c r="E1105" s="19" t="s">
        <v>10459</v>
      </c>
      <c r="F1105" s="21" t="str">
        <f t="shared" si="516"/>
        <v>VERIFICAR</v>
      </c>
      <c r="G1105" s="21" t="str">
        <f t="shared" si="516"/>
        <v>VERIFICAR</v>
      </c>
      <c r="H1105" s="21" t="str">
        <f t="shared" si="516"/>
        <v>VERIFICAR</v>
      </c>
      <c r="I1105" s="24" t="str">
        <f t="shared" si="517"/>
        <v xml:space="preserve">SEM VALOR</v>
      </c>
      <c r="L1105" s="36"/>
      <c r="M1105" s="37"/>
      <c r="N1105" s="36"/>
    </row>
    <row r="1106" ht="38.25">
      <c r="A1106" s="19" t="s">
        <v>10460</v>
      </c>
      <c r="B1106" s="19">
        <v>1345</v>
      </c>
      <c r="C1106" s="20" t="s">
        <v>11562</v>
      </c>
      <c r="D1106" s="19" t="s">
        <v>29</v>
      </c>
      <c r="E1106" s="19" t="s">
        <v>10459</v>
      </c>
      <c r="F1106" s="21">
        <f t="shared" si="516"/>
        <v>79.209999999999994</v>
      </c>
      <c r="G1106" s="21">
        <f t="shared" si="516"/>
        <v>79.209999999999994</v>
      </c>
      <c r="H1106" s="21">
        <f t="shared" si="516"/>
        <v>79.209999999999994</v>
      </c>
      <c r="I1106" s="24" t="str">
        <f t="shared" si="517"/>
        <v xml:space="preserve">COM VALOR</v>
      </c>
      <c r="L1106" s="36">
        <v>79.209999999999994</v>
      </c>
      <c r="M1106" s="37">
        <v>79.209999999999994</v>
      </c>
      <c r="N1106" s="36">
        <v>79.209999999999994</v>
      </c>
    </row>
    <row r="1107" ht="38.25">
      <c r="A1107" s="19" t="s">
        <v>10460</v>
      </c>
      <c r="B1107" s="19">
        <v>1346</v>
      </c>
      <c r="C1107" s="20" t="s">
        <v>11563</v>
      </c>
      <c r="D1107" s="19" t="s">
        <v>29</v>
      </c>
      <c r="E1107" s="19" t="s">
        <v>10459</v>
      </c>
      <c r="F1107" s="21">
        <f t="shared" si="516"/>
        <v>46.07</v>
      </c>
      <c r="G1107" s="21">
        <f t="shared" si="516"/>
        <v>46.07</v>
      </c>
      <c r="H1107" s="21">
        <f t="shared" si="516"/>
        <v>46.07</v>
      </c>
      <c r="I1107" s="24" t="str">
        <f t="shared" si="517"/>
        <v xml:space="preserve">COM VALOR</v>
      </c>
      <c r="L1107" s="36">
        <v>46.07</v>
      </c>
      <c r="M1107" s="37">
        <v>46.07</v>
      </c>
      <c r="N1107" s="36">
        <v>46.07</v>
      </c>
    </row>
    <row r="1108" ht="38.25">
      <c r="A1108" s="19" t="s">
        <v>10460</v>
      </c>
      <c r="B1108" s="19">
        <v>1347</v>
      </c>
      <c r="C1108" s="20" t="s">
        <v>11564</v>
      </c>
      <c r="D1108" s="19" t="s">
        <v>29</v>
      </c>
      <c r="E1108" s="19" t="s">
        <v>10459</v>
      </c>
      <c r="F1108" s="21">
        <f t="shared" si="516"/>
        <v>57.090000000000003</v>
      </c>
      <c r="G1108" s="21">
        <f t="shared" si="516"/>
        <v>57.090000000000003</v>
      </c>
      <c r="H1108" s="21">
        <f t="shared" si="516"/>
        <v>57.090000000000003</v>
      </c>
      <c r="I1108" s="24" t="str">
        <f t="shared" si="517"/>
        <v xml:space="preserve">COM VALOR</v>
      </c>
      <c r="L1108" s="36">
        <v>57.090000000000003</v>
      </c>
      <c r="M1108" s="37">
        <v>57.090000000000003</v>
      </c>
      <c r="N1108" s="36">
        <v>57.090000000000003</v>
      </c>
    </row>
    <row r="1109" ht="38.25">
      <c r="A1109" s="19" t="s">
        <v>10460</v>
      </c>
      <c r="B1109" s="19">
        <v>43678</v>
      </c>
      <c r="C1109" s="20" t="s">
        <v>11565</v>
      </c>
      <c r="D1109" s="19" t="s">
        <v>29</v>
      </c>
      <c r="E1109" s="19" t="s">
        <v>10459</v>
      </c>
      <c r="F1109" s="21">
        <f t="shared" si="516"/>
        <v>66.219999999999999</v>
      </c>
      <c r="G1109" s="21">
        <f t="shared" si="516"/>
        <v>66.219999999999999</v>
      </c>
      <c r="H1109" s="21">
        <f t="shared" si="516"/>
        <v>66.219999999999999</v>
      </c>
      <c r="I1109" s="24" t="str">
        <f t="shared" si="517"/>
        <v xml:space="preserve">COM VALOR</v>
      </c>
      <c r="L1109" s="36">
        <v>66.219999999999999</v>
      </c>
      <c r="M1109" s="37">
        <v>66.219999999999999</v>
      </c>
      <c r="N1109" s="36">
        <v>66.219999999999999</v>
      </c>
    </row>
    <row r="1110" ht="38.25">
      <c r="A1110" s="19" t="s">
        <v>10460</v>
      </c>
      <c r="B1110" s="19">
        <v>43680</v>
      </c>
      <c r="C1110" s="20" t="s">
        <v>11566</v>
      </c>
      <c r="D1110" s="19" t="s">
        <v>29</v>
      </c>
      <c r="E1110" s="19" t="s">
        <v>10459</v>
      </c>
      <c r="F1110" s="21">
        <f t="shared" si="516"/>
        <v>95.400000000000006</v>
      </c>
      <c r="G1110" s="21">
        <f t="shared" si="516"/>
        <v>95.400000000000006</v>
      </c>
      <c r="H1110" s="21">
        <f t="shared" si="516"/>
        <v>95.400000000000006</v>
      </c>
      <c r="I1110" s="24" t="str">
        <f t="shared" si="517"/>
        <v xml:space="preserve">COM VALOR</v>
      </c>
      <c r="L1110" s="36">
        <v>95.400000000000006</v>
      </c>
      <c r="M1110" s="37">
        <v>95.400000000000006</v>
      </c>
      <c r="N1110" s="36">
        <v>95.400000000000006</v>
      </c>
    </row>
    <row r="1111" ht="38.25">
      <c r="A1111" s="19" t="s">
        <v>10460</v>
      </c>
      <c r="B1111" s="19">
        <v>43679</v>
      </c>
      <c r="C1111" s="20" t="s">
        <v>11567</v>
      </c>
      <c r="D1111" s="19" t="s">
        <v>29</v>
      </c>
      <c r="E1111" s="19" t="s">
        <v>10459</v>
      </c>
      <c r="F1111" s="21">
        <f t="shared" si="516"/>
        <v>33.479999999999997</v>
      </c>
      <c r="G1111" s="21">
        <f t="shared" si="516"/>
        <v>33.479999999999997</v>
      </c>
      <c r="H1111" s="21">
        <f t="shared" si="516"/>
        <v>33.479999999999997</v>
      </c>
      <c r="I1111" s="24" t="str">
        <f t="shared" si="517"/>
        <v xml:space="preserve">COM VALOR</v>
      </c>
      <c r="L1111" s="36">
        <v>33.479999999999997</v>
      </c>
      <c r="M1111" s="37">
        <v>33.479999999999997</v>
      </c>
      <c r="N1111" s="36">
        <v>33.479999999999997</v>
      </c>
    </row>
    <row r="1112" ht="38.25">
      <c r="A1112" s="19" t="s">
        <v>10460</v>
      </c>
      <c r="B1112" s="19">
        <v>1355</v>
      </c>
      <c r="C1112" s="20" t="s">
        <v>11568</v>
      </c>
      <c r="D1112" s="19" t="s">
        <v>29</v>
      </c>
      <c r="E1112" s="19" t="s">
        <v>10459</v>
      </c>
      <c r="F1112" s="21">
        <f t="shared" si="516"/>
        <v>38.100000000000001</v>
      </c>
      <c r="G1112" s="21">
        <f t="shared" si="516"/>
        <v>38.100000000000001</v>
      </c>
      <c r="H1112" s="21">
        <f t="shared" si="516"/>
        <v>38.100000000000001</v>
      </c>
      <c r="I1112" s="24" t="str">
        <f t="shared" si="517"/>
        <v xml:space="preserve">COM VALOR</v>
      </c>
      <c r="L1112" s="36">
        <v>38.100000000000001</v>
      </c>
      <c r="M1112" s="37">
        <v>38.100000000000001</v>
      </c>
      <c r="N1112" s="36">
        <v>38.100000000000001</v>
      </c>
    </row>
    <row r="1113" ht="38.25">
      <c r="A1113" s="19" t="s">
        <v>10460</v>
      </c>
      <c r="B1113" s="19">
        <v>1358</v>
      </c>
      <c r="C1113" s="20" t="s">
        <v>11569</v>
      </c>
      <c r="D1113" s="19" t="s">
        <v>29</v>
      </c>
      <c r="E1113" s="19" t="s">
        <v>10459</v>
      </c>
      <c r="F1113" s="21">
        <f t="shared" si="516"/>
        <v>46.770000000000003</v>
      </c>
      <c r="G1113" s="21">
        <f t="shared" si="516"/>
        <v>46.770000000000003</v>
      </c>
      <c r="H1113" s="21">
        <f t="shared" si="516"/>
        <v>46.770000000000003</v>
      </c>
      <c r="I1113" s="24" t="str">
        <f t="shared" si="517"/>
        <v xml:space="preserve">COM VALOR</v>
      </c>
      <c r="L1113" s="36">
        <v>46.770000000000003</v>
      </c>
      <c r="M1113" s="37">
        <v>46.770000000000003</v>
      </c>
      <c r="N1113" s="36">
        <v>46.770000000000003</v>
      </c>
    </row>
    <row r="1114" ht="38.25">
      <c r="A1114" s="19" t="s">
        <v>10460</v>
      </c>
      <c r="B1114" s="19">
        <v>43677</v>
      </c>
      <c r="C1114" s="20" t="s">
        <v>11570</v>
      </c>
      <c r="D1114" s="19" t="s">
        <v>29</v>
      </c>
      <c r="E1114" s="19" t="s">
        <v>10459</v>
      </c>
      <c r="F1114" s="21">
        <f t="shared" si="516"/>
        <v>58.030000000000001</v>
      </c>
      <c r="G1114" s="21">
        <f t="shared" si="516"/>
        <v>58.030000000000001</v>
      </c>
      <c r="H1114" s="21">
        <f t="shared" si="516"/>
        <v>58.030000000000001</v>
      </c>
      <c r="I1114" s="24" t="str">
        <f t="shared" si="517"/>
        <v xml:space="preserve">COM VALOR</v>
      </c>
      <c r="L1114" s="36">
        <v>58.030000000000001</v>
      </c>
      <c r="M1114" s="37">
        <v>58.030000000000001</v>
      </c>
      <c r="N1114" s="36">
        <v>58.030000000000001</v>
      </c>
    </row>
    <row r="1115" ht="38.25">
      <c r="A1115" s="19" t="s">
        <v>10460</v>
      </c>
      <c r="B1115" s="19">
        <v>43682</v>
      </c>
      <c r="C1115" s="20" t="s">
        <v>11571</v>
      </c>
      <c r="D1115" s="19" t="s">
        <v>29</v>
      </c>
      <c r="E1115" s="19" t="s">
        <v>10459</v>
      </c>
      <c r="F1115" s="21">
        <f t="shared" si="516"/>
        <v>17.789999999999999</v>
      </c>
      <c r="G1115" s="21">
        <f t="shared" si="516"/>
        <v>17.789999999999999</v>
      </c>
      <c r="H1115" s="21">
        <f t="shared" si="516"/>
        <v>17.789999999999999</v>
      </c>
      <c r="I1115" s="24" t="str">
        <f t="shared" si="517"/>
        <v xml:space="preserve">COM VALOR</v>
      </c>
      <c r="L1115" s="36">
        <v>17.789999999999999</v>
      </c>
      <c r="M1115" s="37">
        <v>17.789999999999999</v>
      </c>
      <c r="N1115" s="36">
        <v>17.789999999999999</v>
      </c>
    </row>
    <row r="1116" ht="38.25">
      <c r="A1116" s="19" t="s">
        <v>10460</v>
      </c>
      <c r="B1116" s="19">
        <v>43681</v>
      </c>
      <c r="C1116" s="20" t="s">
        <v>11572</v>
      </c>
      <c r="D1116" s="19" t="s">
        <v>29</v>
      </c>
      <c r="E1116" s="19" t="s">
        <v>10466</v>
      </c>
      <c r="F1116" s="21">
        <f t="shared" si="516"/>
        <v>29.469999999999999</v>
      </c>
      <c r="G1116" s="21">
        <f t="shared" si="516"/>
        <v>29.469999999999999</v>
      </c>
      <c r="H1116" s="21">
        <f t="shared" si="516"/>
        <v>29.469999999999999</v>
      </c>
      <c r="I1116" s="24" t="str">
        <f t="shared" si="517"/>
        <v xml:space="preserve">COM VALOR</v>
      </c>
      <c r="L1116" s="36">
        <v>29.469999999999999</v>
      </c>
      <c r="M1116" s="37">
        <v>29.469999999999999</v>
      </c>
      <c r="N1116" s="36">
        <v>29.469999999999999</v>
      </c>
    </row>
    <row r="1117" ht="12.75">
      <c r="A1117" s="19" t="s">
        <v>10460</v>
      </c>
      <c r="B1117" s="19">
        <v>45248</v>
      </c>
      <c r="C1117" s="20" t="s">
        <v>11573</v>
      </c>
      <c r="D1117" s="19" t="s">
        <v>31</v>
      </c>
      <c r="E1117" s="19" t="s">
        <v>10459</v>
      </c>
      <c r="F1117" s="21">
        <f t="shared" si="516"/>
        <v>56.810000000000002</v>
      </c>
      <c r="G1117" s="21">
        <f t="shared" si="516"/>
        <v>56.810000000000002</v>
      </c>
      <c r="H1117" s="21">
        <f t="shared" si="516"/>
        <v>56.810000000000002</v>
      </c>
      <c r="I1117" s="24" t="str">
        <f t="shared" si="517"/>
        <v xml:space="preserve">COM VALOR</v>
      </c>
      <c r="L1117" s="36">
        <v>56.810000000000002</v>
      </c>
      <c r="M1117" s="37">
        <v>56.810000000000002</v>
      </c>
      <c r="N1117" s="36">
        <v>56.810000000000002</v>
      </c>
    </row>
    <row r="1118" ht="12.75">
      <c r="A1118" s="19" t="s">
        <v>10460</v>
      </c>
      <c r="B1118" s="19">
        <v>45243</v>
      </c>
      <c r="C1118" s="20" t="s">
        <v>11574</v>
      </c>
      <c r="D1118" s="19" t="s">
        <v>31</v>
      </c>
      <c r="E1118" s="19" t="s">
        <v>10459</v>
      </c>
      <c r="F1118" s="21">
        <f t="shared" si="516"/>
        <v>183.69999999999999</v>
      </c>
      <c r="G1118" s="21">
        <f t="shared" si="516"/>
        <v>183.69999999999999</v>
      </c>
      <c r="H1118" s="21">
        <f t="shared" si="516"/>
        <v>183.69999999999999</v>
      </c>
      <c r="I1118" s="24" t="str">
        <f t="shared" si="517"/>
        <v xml:space="preserve">COM VALOR</v>
      </c>
      <c r="L1118" s="36">
        <v>183.69999999999999</v>
      </c>
      <c r="M1118" s="37">
        <v>183.69999999999999</v>
      </c>
      <c r="N1118" s="36">
        <v>183.69999999999999</v>
      </c>
    </row>
    <row r="1119" ht="12.75">
      <c r="A1119" s="19" t="s">
        <v>10460</v>
      </c>
      <c r="B1119" s="19">
        <v>45252</v>
      </c>
      <c r="C1119" s="20" t="s">
        <v>11575</v>
      </c>
      <c r="D1119" s="19" t="s">
        <v>31</v>
      </c>
      <c r="E1119" s="19" t="s">
        <v>10459</v>
      </c>
      <c r="F1119" s="21">
        <f t="shared" si="516"/>
        <v>32.219999999999999</v>
      </c>
      <c r="G1119" s="21">
        <f t="shared" si="516"/>
        <v>32.219999999999999</v>
      </c>
      <c r="H1119" s="21">
        <f t="shared" si="516"/>
        <v>32.219999999999999</v>
      </c>
      <c r="I1119" s="24" t="str">
        <f t="shared" si="517"/>
        <v xml:space="preserve">COM VALOR</v>
      </c>
      <c r="L1119" s="36">
        <v>32.219999999999999</v>
      </c>
      <c r="M1119" s="37">
        <v>32.219999999999999</v>
      </c>
      <c r="N1119" s="36">
        <v>32.219999999999999</v>
      </c>
    </row>
    <row r="1120" ht="12.75">
      <c r="A1120" s="19" t="s">
        <v>10460</v>
      </c>
      <c r="B1120" s="19">
        <v>45246</v>
      </c>
      <c r="C1120" s="20" t="s">
        <v>11576</v>
      </c>
      <c r="D1120" s="19" t="s">
        <v>31</v>
      </c>
      <c r="E1120" s="19" t="s">
        <v>10459</v>
      </c>
      <c r="F1120" s="21">
        <f t="shared" si="516"/>
        <v>149.31</v>
      </c>
      <c r="G1120" s="21">
        <f t="shared" si="516"/>
        <v>149.31</v>
      </c>
      <c r="H1120" s="21">
        <f t="shared" si="516"/>
        <v>149.31</v>
      </c>
      <c r="I1120" s="24" t="str">
        <f t="shared" si="517"/>
        <v xml:space="preserve">COM VALOR</v>
      </c>
      <c r="L1120" s="36">
        <v>149.31</v>
      </c>
      <c r="M1120" s="37">
        <v>149.31</v>
      </c>
      <c r="N1120" s="36">
        <v>149.31</v>
      </c>
    </row>
    <row r="1121" ht="38.25">
      <c r="A1121" s="19" t="s">
        <v>10460</v>
      </c>
      <c r="B1121" s="19">
        <v>20971</v>
      </c>
      <c r="C1121" s="20" t="s">
        <v>11577</v>
      </c>
      <c r="D1121" s="19" t="s">
        <v>31</v>
      </c>
      <c r="E1121" s="19" t="s">
        <v>10459</v>
      </c>
      <c r="F1121" s="21">
        <f t="shared" si="516"/>
        <v>17.140000000000001</v>
      </c>
      <c r="G1121" s="21">
        <f t="shared" si="516"/>
        <v>17.140000000000001</v>
      </c>
      <c r="H1121" s="21">
        <f t="shared" si="516"/>
        <v>17.140000000000001</v>
      </c>
      <c r="I1121" s="24" t="str">
        <f t="shared" si="517"/>
        <v xml:space="preserve">COM VALOR</v>
      </c>
      <c r="L1121" s="36">
        <v>17.140000000000001</v>
      </c>
      <c r="M1121" s="37">
        <v>17.140000000000001</v>
      </c>
      <c r="N1121" s="36">
        <v>17.140000000000001</v>
      </c>
    </row>
    <row r="1122" ht="12.75">
      <c r="A1122" s="19" t="s">
        <v>10460</v>
      </c>
      <c r="B1122" s="19">
        <v>45247</v>
      </c>
      <c r="C1122" s="20" t="s">
        <v>11578</v>
      </c>
      <c r="D1122" s="19" t="s">
        <v>31</v>
      </c>
      <c r="E1122" s="19" t="s">
        <v>10459</v>
      </c>
      <c r="F1122" s="21">
        <f t="shared" si="516"/>
        <v>21.649999999999999</v>
      </c>
      <c r="G1122" s="21">
        <f t="shared" si="516"/>
        <v>21.649999999999999</v>
      </c>
      <c r="H1122" s="21">
        <f t="shared" si="516"/>
        <v>21.649999999999999</v>
      </c>
      <c r="I1122" s="24" t="str">
        <f t="shared" si="517"/>
        <v xml:space="preserve">COM VALOR</v>
      </c>
      <c r="L1122" s="36">
        <v>21.649999999999999</v>
      </c>
      <c r="M1122" s="37">
        <v>21.649999999999999</v>
      </c>
      <c r="N1122" s="36">
        <v>21.649999999999999</v>
      </c>
    </row>
    <row r="1123" ht="25.5">
      <c r="A1123" s="19" t="s">
        <v>10460</v>
      </c>
      <c r="B1123" s="19">
        <v>39746</v>
      </c>
      <c r="C1123" s="20" t="s">
        <v>11579</v>
      </c>
      <c r="D1123" s="19" t="s">
        <v>31</v>
      </c>
      <c r="E1123" s="19" t="s">
        <v>10459</v>
      </c>
      <c r="F1123" s="21">
        <f t="shared" si="516"/>
        <v>94.439999999999998</v>
      </c>
      <c r="G1123" s="21">
        <f t="shared" si="516"/>
        <v>94.439999999999998</v>
      </c>
      <c r="H1123" s="21">
        <f t="shared" si="516"/>
        <v>94.439999999999998</v>
      </c>
      <c r="I1123" s="24" t="str">
        <f t="shared" si="517"/>
        <v xml:space="preserve">COM VALOR</v>
      </c>
      <c r="L1123" s="36">
        <v>94.439999999999998</v>
      </c>
      <c r="M1123" s="37">
        <v>94.439999999999998</v>
      </c>
      <c r="N1123" s="36">
        <v>94.439999999999998</v>
      </c>
    </row>
    <row r="1124" ht="25.5">
      <c r="A1124" s="19" t="s">
        <v>10460</v>
      </c>
      <c r="B1124" s="19">
        <v>13279</v>
      </c>
      <c r="C1124" s="20" t="s">
        <v>11580</v>
      </c>
      <c r="D1124" s="19" t="s">
        <v>302</v>
      </c>
      <c r="E1124" s="19" t="s">
        <v>10459</v>
      </c>
      <c r="F1124" s="21">
        <f t="shared" si="516"/>
        <v>23.91</v>
      </c>
      <c r="G1124" s="21">
        <f t="shared" si="516"/>
        <v>23.91</v>
      </c>
      <c r="H1124" s="21">
        <f t="shared" si="516"/>
        <v>23.91</v>
      </c>
      <c r="I1124" s="24" t="str">
        <f t="shared" si="517"/>
        <v xml:space="preserve">COM VALOR</v>
      </c>
      <c r="L1124" s="36">
        <v>23.91</v>
      </c>
      <c r="M1124" s="37">
        <v>23.91</v>
      </c>
      <c r="N1124" s="36">
        <v>23.91</v>
      </c>
    </row>
    <row r="1125" ht="25.5">
      <c r="A1125" s="19" t="s">
        <v>10460</v>
      </c>
      <c r="B1125" s="19">
        <v>11977</v>
      </c>
      <c r="C1125" s="20" t="s">
        <v>11581</v>
      </c>
      <c r="D1125" s="19" t="s">
        <v>31</v>
      </c>
      <c r="E1125" s="19" t="s">
        <v>10459</v>
      </c>
      <c r="F1125" s="21">
        <f t="shared" si="516"/>
        <v>12.390000000000001</v>
      </c>
      <c r="G1125" s="21">
        <f t="shared" si="516"/>
        <v>12.390000000000001</v>
      </c>
      <c r="H1125" s="21">
        <f t="shared" si="516"/>
        <v>12.390000000000001</v>
      </c>
      <c r="I1125" s="24" t="str">
        <f t="shared" si="517"/>
        <v xml:space="preserve">COM VALOR</v>
      </c>
      <c r="L1125" s="36">
        <v>12.390000000000001</v>
      </c>
      <c r="M1125" s="37">
        <v>12.390000000000001</v>
      </c>
      <c r="N1125" s="36">
        <v>12.390000000000001</v>
      </c>
    </row>
    <row r="1126" ht="25.5">
      <c r="A1126" s="19" t="s">
        <v>10460</v>
      </c>
      <c r="B1126" s="19">
        <v>11976</v>
      </c>
      <c r="C1126" s="20" t="s">
        <v>11582</v>
      </c>
      <c r="D1126" s="19" t="s">
        <v>31</v>
      </c>
      <c r="E1126" s="19" t="s">
        <v>10459</v>
      </c>
      <c r="F1126" s="21">
        <f t="shared" si="516"/>
        <v>1.3899999999999999</v>
      </c>
      <c r="G1126" s="21">
        <f t="shared" si="516"/>
        <v>1.3899999999999999</v>
      </c>
      <c r="H1126" s="21">
        <f t="shared" si="516"/>
        <v>1.3899999999999999</v>
      </c>
      <c r="I1126" s="24" t="str">
        <f t="shared" si="517"/>
        <v xml:space="preserve">COM VALOR</v>
      </c>
      <c r="L1126" s="36">
        <v>1.3899999999999999</v>
      </c>
      <c r="M1126" s="37">
        <v>1.3899999999999999</v>
      </c>
      <c r="N1126" s="36">
        <v>1.3899999999999999</v>
      </c>
    </row>
    <row r="1127" ht="25.5">
      <c r="A1127" s="19" t="s">
        <v>10460</v>
      </c>
      <c r="B1127" s="19">
        <v>11975</v>
      </c>
      <c r="C1127" s="20" t="s">
        <v>11583</v>
      </c>
      <c r="D1127" s="19" t="s">
        <v>31</v>
      </c>
      <c r="E1127" s="19" t="s">
        <v>10459</v>
      </c>
      <c r="F1127" s="21">
        <f t="shared" si="516"/>
        <v>27.149999999999999</v>
      </c>
      <c r="G1127" s="21">
        <f t="shared" si="516"/>
        <v>27.149999999999999</v>
      </c>
      <c r="H1127" s="21">
        <f t="shared" si="516"/>
        <v>27.149999999999999</v>
      </c>
      <c r="I1127" s="24" t="str">
        <f t="shared" si="517"/>
        <v xml:space="preserve">COM VALOR</v>
      </c>
      <c r="L1127" s="36">
        <v>27.149999999999999</v>
      </c>
      <c r="M1127" s="37">
        <v>27.149999999999999</v>
      </c>
      <c r="N1127" s="36">
        <v>27.149999999999999</v>
      </c>
    </row>
    <row r="1128" ht="25.5">
      <c r="A1128" s="19" t="s">
        <v>10460</v>
      </c>
      <c r="B1128" s="19">
        <v>1368</v>
      </c>
      <c r="C1128" s="20" t="s">
        <v>11584</v>
      </c>
      <c r="D1128" s="19" t="s">
        <v>31</v>
      </c>
      <c r="E1128" s="19" t="s">
        <v>10466</v>
      </c>
      <c r="F1128" s="21">
        <f t="shared" si="516"/>
        <v>103.28</v>
      </c>
      <c r="G1128" s="21">
        <f t="shared" si="516"/>
        <v>103.28</v>
      </c>
      <c r="H1128" s="21">
        <f t="shared" si="516"/>
        <v>103.28</v>
      </c>
      <c r="I1128" s="24" t="str">
        <f t="shared" si="517"/>
        <v xml:space="preserve">COM VALOR</v>
      </c>
      <c r="L1128" s="36">
        <v>103.28</v>
      </c>
      <c r="M1128" s="37">
        <v>103.28</v>
      </c>
      <c r="N1128" s="36">
        <v>103.28</v>
      </c>
    </row>
    <row r="1129" ht="25.5">
      <c r="A1129" s="19" t="s">
        <v>10460</v>
      </c>
      <c r="B1129" s="19">
        <v>1367</v>
      </c>
      <c r="C1129" s="20" t="s">
        <v>11585</v>
      </c>
      <c r="D1129" s="19" t="s">
        <v>31</v>
      </c>
      <c r="E1129" s="19" t="s">
        <v>10459</v>
      </c>
      <c r="F1129" s="21">
        <f t="shared" si="516"/>
        <v>334.07999999999998</v>
      </c>
      <c r="G1129" s="21">
        <f t="shared" si="516"/>
        <v>334.07999999999998</v>
      </c>
      <c r="H1129" s="21">
        <f t="shared" si="516"/>
        <v>334.07999999999998</v>
      </c>
      <c r="I1129" s="24" t="str">
        <f t="shared" si="517"/>
        <v xml:space="preserve">COM VALOR</v>
      </c>
      <c r="L1129" s="36">
        <v>334.07999999999998</v>
      </c>
      <c r="M1129" s="37">
        <v>334.07999999999998</v>
      </c>
      <c r="N1129" s="36">
        <v>334.07999999999998</v>
      </c>
    </row>
    <row r="1130" ht="12.75">
      <c r="A1130" s="19" t="s">
        <v>10460</v>
      </c>
      <c r="B1130" s="19">
        <v>1380</v>
      </c>
      <c r="C1130" s="20" t="s">
        <v>11586</v>
      </c>
      <c r="D1130" s="19" t="s">
        <v>302</v>
      </c>
      <c r="E1130" s="19" t="s">
        <v>10459</v>
      </c>
      <c r="F1130" s="21">
        <f t="shared" si="516"/>
        <v>5.5499999999999998</v>
      </c>
      <c r="G1130" s="21">
        <f t="shared" si="516"/>
        <v>5.5499999999999998</v>
      </c>
      <c r="H1130" s="21">
        <f t="shared" si="516"/>
        <v>5.5499999999999998</v>
      </c>
      <c r="I1130" s="24" t="str">
        <f t="shared" si="517"/>
        <v xml:space="preserve">COM VALOR</v>
      </c>
      <c r="L1130" s="36">
        <v>5.5499999999999998</v>
      </c>
      <c r="M1130" s="37">
        <v>5.5499999999999998</v>
      </c>
      <c r="N1130" s="36">
        <v>5.5499999999999998</v>
      </c>
    </row>
    <row r="1131" ht="25.5">
      <c r="A1131" s="19" t="s">
        <v>10460</v>
      </c>
      <c r="B1131" s="19">
        <v>1375</v>
      </c>
      <c r="C1131" s="20" t="s">
        <v>11587</v>
      </c>
      <c r="D1131" s="19" t="s">
        <v>302</v>
      </c>
      <c r="E1131" s="19" t="s">
        <v>10459</v>
      </c>
      <c r="F1131" s="21">
        <f t="shared" si="516"/>
        <v>16.199999999999999</v>
      </c>
      <c r="G1131" s="21">
        <f t="shared" si="516"/>
        <v>16.199999999999999</v>
      </c>
      <c r="H1131" s="21">
        <f t="shared" si="516"/>
        <v>16.199999999999999</v>
      </c>
      <c r="I1131" s="24" t="str">
        <f t="shared" si="517"/>
        <v xml:space="preserve">COM VALOR</v>
      </c>
      <c r="L1131" s="36">
        <v>16.199999999999999</v>
      </c>
      <c r="M1131" s="37">
        <v>16.199999999999999</v>
      </c>
      <c r="N1131" s="36">
        <v>16.199999999999999</v>
      </c>
    </row>
    <row r="1132" ht="12.75">
      <c r="A1132" s="19" t="s">
        <v>10460</v>
      </c>
      <c r="B1132" s="19">
        <v>1379</v>
      </c>
      <c r="C1132" s="20" t="s">
        <v>11588</v>
      </c>
      <c r="D1132" s="19" t="s">
        <v>302</v>
      </c>
      <c r="E1132" s="19" t="s">
        <v>10466</v>
      </c>
      <c r="F1132" s="21">
        <f t="shared" si="516"/>
        <v>0.82999999999999996</v>
      </c>
      <c r="G1132" s="21">
        <f t="shared" si="516"/>
        <v>0.82999999999999996</v>
      </c>
      <c r="H1132" s="21">
        <f t="shared" si="516"/>
        <v>0.82999999999999996</v>
      </c>
      <c r="I1132" s="24" t="str">
        <f t="shared" si="517"/>
        <v xml:space="preserve">COM VALOR</v>
      </c>
      <c r="L1132" s="36">
        <v>0.82999999999999996</v>
      </c>
      <c r="M1132" s="37">
        <v>0.82999999999999996</v>
      </c>
      <c r="N1132" s="36">
        <v>0.82999999999999996</v>
      </c>
    </row>
    <row r="1133" ht="12.75">
      <c r="A1133" s="19" t="s">
        <v>10460</v>
      </c>
      <c r="B1133" s="19">
        <v>13284</v>
      </c>
      <c r="C1133" s="20" t="s">
        <v>11589</v>
      </c>
      <c r="D1133" s="19" t="s">
        <v>302</v>
      </c>
      <c r="E1133" s="19" t="s">
        <v>10459</v>
      </c>
      <c r="F1133" s="21">
        <f t="shared" si="516"/>
        <v>0.75</v>
      </c>
      <c r="G1133" s="21">
        <f t="shared" si="516"/>
        <v>0.75</v>
      </c>
      <c r="H1133" s="21">
        <f t="shared" si="516"/>
        <v>0.75</v>
      </c>
      <c r="I1133" s="24" t="str">
        <f t="shared" si="517"/>
        <v xml:space="preserve">COM VALOR</v>
      </c>
      <c r="L1133" s="36">
        <v>0.75</v>
      </c>
      <c r="M1133" s="37">
        <v>0.75</v>
      </c>
      <c r="N1133" s="36">
        <v>0.75</v>
      </c>
    </row>
    <row r="1134" ht="25.5">
      <c r="A1134" s="19" t="s">
        <v>10460</v>
      </c>
      <c r="B1134" s="19">
        <v>44528</v>
      </c>
      <c r="C1134" s="20" t="s">
        <v>11590</v>
      </c>
      <c r="D1134" s="19" t="s">
        <v>302</v>
      </c>
      <c r="E1134" s="19" t="s">
        <v>10459</v>
      </c>
      <c r="F1134" s="21">
        <f t="shared" si="516"/>
        <v>4.4199999999999999</v>
      </c>
      <c r="G1134" s="21">
        <f t="shared" si="516"/>
        <v>4.4199999999999999</v>
      </c>
      <c r="H1134" s="21">
        <f t="shared" si="516"/>
        <v>4.4199999999999999</v>
      </c>
      <c r="I1134" s="24" t="str">
        <f t="shared" si="517"/>
        <v xml:space="preserve">COM VALOR</v>
      </c>
      <c r="L1134" s="36">
        <v>4.4199999999999999</v>
      </c>
      <c r="M1134" s="37">
        <v>4.4199999999999999</v>
      </c>
      <c r="N1134" s="36">
        <v>4.4199999999999999</v>
      </c>
    </row>
    <row r="1135" ht="12.75">
      <c r="A1135" s="19" t="s">
        <v>10460</v>
      </c>
      <c r="B1135" s="19">
        <v>34753</v>
      </c>
      <c r="C1135" s="20" t="s">
        <v>11591</v>
      </c>
      <c r="D1135" s="19" t="s">
        <v>302</v>
      </c>
      <c r="E1135" s="19" t="s">
        <v>10459</v>
      </c>
      <c r="F1135" s="21">
        <f t="shared" si="516"/>
        <v>0.80000000000000004</v>
      </c>
      <c r="G1135" s="21">
        <f t="shared" si="516"/>
        <v>0.80000000000000004</v>
      </c>
      <c r="H1135" s="21">
        <f t="shared" si="516"/>
        <v>0.80000000000000004</v>
      </c>
      <c r="I1135" s="24" t="str">
        <f t="shared" si="517"/>
        <v xml:space="preserve">COM VALOR</v>
      </c>
      <c r="L1135" s="36">
        <v>0.80000000000000004</v>
      </c>
      <c r="M1135" s="37">
        <v>0.80000000000000004</v>
      </c>
      <c r="N1135" s="36">
        <v>0.80000000000000004</v>
      </c>
    </row>
    <row r="1136" ht="38.25">
      <c r="A1136" s="19" t="s">
        <v>10460</v>
      </c>
      <c r="B1136" s="19">
        <v>420</v>
      </c>
      <c r="C1136" s="20" t="s">
        <v>11592</v>
      </c>
      <c r="D1136" s="19" t="s">
        <v>31</v>
      </c>
      <c r="E1136" s="19" t="s">
        <v>10459</v>
      </c>
      <c r="F1136" s="21">
        <f t="shared" si="516"/>
        <v>53.560000000000002</v>
      </c>
      <c r="G1136" s="21">
        <f t="shared" si="516"/>
        <v>53.560000000000002</v>
      </c>
      <c r="H1136" s="21">
        <f t="shared" si="516"/>
        <v>53.560000000000002</v>
      </c>
      <c r="I1136" s="24" t="str">
        <f t="shared" si="517"/>
        <v xml:space="preserve">COM VALOR</v>
      </c>
      <c r="L1136" s="36">
        <v>53.560000000000002</v>
      </c>
      <c r="M1136" s="37">
        <v>53.560000000000002</v>
      </c>
      <c r="N1136" s="36">
        <v>53.560000000000002</v>
      </c>
    </row>
    <row r="1137" ht="38.25">
      <c r="A1137" s="19" t="s">
        <v>10460</v>
      </c>
      <c r="B1137" s="19">
        <v>12327</v>
      </c>
      <c r="C1137" s="20" t="s">
        <v>11593</v>
      </c>
      <c r="D1137" s="19" t="s">
        <v>31</v>
      </c>
      <c r="E1137" s="19" t="s">
        <v>10459</v>
      </c>
      <c r="F1137" s="21">
        <f t="shared" si="516"/>
        <v>63.810000000000002</v>
      </c>
      <c r="G1137" s="21">
        <f t="shared" si="516"/>
        <v>63.810000000000002</v>
      </c>
      <c r="H1137" s="21">
        <f t="shared" si="516"/>
        <v>63.810000000000002</v>
      </c>
      <c r="I1137" s="24" t="str">
        <f t="shared" si="517"/>
        <v xml:space="preserve">COM VALOR</v>
      </c>
      <c r="L1137" s="36">
        <v>63.810000000000002</v>
      </c>
      <c r="M1137" s="37">
        <v>63.810000000000002</v>
      </c>
      <c r="N1137" s="36">
        <v>63.810000000000002</v>
      </c>
    </row>
    <row r="1138" ht="25.5">
      <c r="A1138" s="19" t="s">
        <v>10460</v>
      </c>
      <c r="B1138" s="19">
        <v>36148</v>
      </c>
      <c r="C1138" s="20" t="s">
        <v>11594</v>
      </c>
      <c r="D1138" s="19" t="s">
        <v>31</v>
      </c>
      <c r="E1138" s="19" t="s">
        <v>10459</v>
      </c>
      <c r="F1138" s="21">
        <f t="shared" si="516"/>
        <v>161.99000000000001</v>
      </c>
      <c r="G1138" s="21">
        <f t="shared" si="516"/>
        <v>161.99000000000001</v>
      </c>
      <c r="H1138" s="21">
        <f t="shared" si="516"/>
        <v>161.99000000000001</v>
      </c>
      <c r="I1138" s="24" t="str">
        <f t="shared" si="517"/>
        <v xml:space="preserve">COM VALOR</v>
      </c>
      <c r="L1138" s="36">
        <v>161.99000000000001</v>
      </c>
      <c r="M1138" s="37">
        <v>161.99000000000001</v>
      </c>
      <c r="N1138" s="36">
        <v>161.99000000000001</v>
      </c>
    </row>
    <row r="1139" ht="12.75">
      <c r="A1139" s="19" t="s">
        <v>10460</v>
      </c>
      <c r="B1139" s="19">
        <v>12329</v>
      </c>
      <c r="C1139" s="20" t="s">
        <v>11595</v>
      </c>
      <c r="D1139" s="19" t="s">
        <v>302</v>
      </c>
      <c r="E1139" s="19" t="s">
        <v>10459</v>
      </c>
      <c r="F1139" s="21">
        <f t="shared" si="516"/>
        <v>159.74000000000001</v>
      </c>
      <c r="G1139" s="21">
        <f t="shared" si="516"/>
        <v>159.74000000000001</v>
      </c>
      <c r="H1139" s="21">
        <f t="shared" si="516"/>
        <v>159.74000000000001</v>
      </c>
      <c r="I1139" s="24" t="str">
        <f t="shared" si="517"/>
        <v xml:space="preserve">COM VALOR</v>
      </c>
      <c r="L1139" s="36">
        <v>159.74000000000001</v>
      </c>
      <c r="M1139" s="37">
        <v>159.74000000000001</v>
      </c>
      <c r="N1139" s="36">
        <v>159.74000000000001</v>
      </c>
    </row>
    <row r="1140" ht="12.75">
      <c r="A1140" s="19" t="s">
        <v>10460</v>
      </c>
      <c r="B1140" s="19">
        <v>44396</v>
      </c>
      <c r="C1140" s="20" t="s">
        <v>11596</v>
      </c>
      <c r="D1140" s="19" t="s">
        <v>302</v>
      </c>
      <c r="E1140" s="19" t="s">
        <v>10459</v>
      </c>
      <c r="F1140" s="21">
        <f t="shared" si="516"/>
        <v>29.239999999999998</v>
      </c>
      <c r="G1140" s="21">
        <f t="shared" si="516"/>
        <v>29.239999999999998</v>
      </c>
      <c r="H1140" s="21">
        <f t="shared" si="516"/>
        <v>29.239999999999998</v>
      </c>
      <c r="I1140" s="24" t="str">
        <f t="shared" si="517"/>
        <v xml:space="preserve">COM VALOR</v>
      </c>
      <c r="L1140" s="36">
        <v>29.239999999999998</v>
      </c>
      <c r="M1140" s="37">
        <v>29.239999999999998</v>
      </c>
      <c r="N1140" s="36">
        <v>29.239999999999998</v>
      </c>
    </row>
    <row r="1141" ht="25.5">
      <c r="A1141" s="19" t="s">
        <v>10460</v>
      </c>
      <c r="B1141" s="19">
        <v>44327</v>
      </c>
      <c r="C1141" s="20" t="s">
        <v>11597</v>
      </c>
      <c r="D1141" s="19" t="s">
        <v>9794</v>
      </c>
      <c r="E1141" s="19" t="s">
        <v>10459</v>
      </c>
      <c r="F1141" s="21">
        <f t="shared" si="516"/>
        <v>99.459999999999994</v>
      </c>
      <c r="G1141" s="21">
        <f t="shared" si="516"/>
        <v>99.459999999999994</v>
      </c>
      <c r="H1141" s="21">
        <f t="shared" si="516"/>
        <v>99.459999999999994</v>
      </c>
      <c r="I1141" s="24" t="str">
        <f t="shared" si="517"/>
        <v xml:space="preserve">COM VALOR</v>
      </c>
      <c r="L1141" s="36">
        <v>99.459999999999994</v>
      </c>
      <c r="M1141" s="37">
        <v>99.459999999999994</v>
      </c>
      <c r="N1141" s="36">
        <v>99.459999999999994</v>
      </c>
    </row>
    <row r="1142" ht="38.25">
      <c r="A1142" s="19" t="s">
        <v>10460</v>
      </c>
      <c r="B1142" s="19">
        <v>37418</v>
      </c>
      <c r="C1142" s="20" t="s">
        <v>11598</v>
      </c>
      <c r="D1142" s="19" t="s">
        <v>31</v>
      </c>
      <c r="E1142" s="19" t="s">
        <v>10459</v>
      </c>
      <c r="F1142" s="21" t="str">
        <f t="shared" si="516"/>
        <v>VERIFICAR</v>
      </c>
      <c r="G1142" s="21" t="str">
        <f t="shared" si="516"/>
        <v>VERIFICAR</v>
      </c>
      <c r="H1142" s="21" t="str">
        <f t="shared" si="516"/>
        <v>VERIFICAR</v>
      </c>
      <c r="I1142" s="24" t="str">
        <f t="shared" si="517"/>
        <v xml:space="preserve">SEM VALOR</v>
      </c>
      <c r="L1142" s="36"/>
      <c r="M1142" s="37"/>
      <c r="N1142" s="36"/>
    </row>
    <row r="1143" ht="38.25">
      <c r="A1143" s="19" t="s">
        <v>10460</v>
      </c>
      <c r="B1143" s="19">
        <v>37419</v>
      </c>
      <c r="C1143" s="20" t="s">
        <v>11599</v>
      </c>
      <c r="D1143" s="19" t="s">
        <v>31</v>
      </c>
      <c r="E1143" s="19" t="s">
        <v>10459</v>
      </c>
      <c r="F1143" s="21" t="str">
        <f t="shared" si="516"/>
        <v>VERIFICAR</v>
      </c>
      <c r="G1143" s="21" t="str">
        <f t="shared" si="516"/>
        <v>VERIFICAR</v>
      </c>
      <c r="H1143" s="21" t="str">
        <f t="shared" si="516"/>
        <v>VERIFICAR</v>
      </c>
      <c r="I1143" s="24" t="str">
        <f t="shared" si="517"/>
        <v xml:space="preserve">SEM VALOR</v>
      </c>
      <c r="L1143" s="36"/>
      <c r="M1143" s="37"/>
      <c r="N1143" s="36"/>
    </row>
    <row r="1144" ht="38.25">
      <c r="A1144" s="19" t="s">
        <v>10460</v>
      </c>
      <c r="B1144" s="19">
        <v>1427</v>
      </c>
      <c r="C1144" s="20" t="s">
        <v>11600</v>
      </c>
      <c r="D1144" s="19" t="s">
        <v>31</v>
      </c>
      <c r="E1144" s="19" t="s">
        <v>10459</v>
      </c>
      <c r="F1144" s="21">
        <f t="shared" si="516"/>
        <v>15.789999999999999</v>
      </c>
      <c r="G1144" s="21">
        <f t="shared" si="516"/>
        <v>15.789999999999999</v>
      </c>
      <c r="H1144" s="21">
        <f t="shared" si="516"/>
        <v>15.789999999999999</v>
      </c>
      <c r="I1144" s="24" t="str">
        <f t="shared" si="517"/>
        <v xml:space="preserve">COM VALOR</v>
      </c>
      <c r="L1144" s="36">
        <v>15.789999999999999</v>
      </c>
      <c r="M1144" s="37">
        <v>15.789999999999999</v>
      </c>
      <c r="N1144" s="36">
        <v>15.789999999999999</v>
      </c>
    </row>
    <row r="1145" ht="25.5">
      <c r="A1145" s="19" t="s">
        <v>10460</v>
      </c>
      <c r="B1145" s="19">
        <v>1402</v>
      </c>
      <c r="C1145" s="20" t="s">
        <v>11601</v>
      </c>
      <c r="D1145" s="19" t="s">
        <v>31</v>
      </c>
      <c r="E1145" s="19" t="s">
        <v>10459</v>
      </c>
      <c r="F1145" s="21">
        <f t="shared" si="516"/>
        <v>5.46</v>
      </c>
      <c r="G1145" s="21">
        <f t="shared" si="516"/>
        <v>5.46</v>
      </c>
      <c r="H1145" s="21">
        <f t="shared" si="516"/>
        <v>5.46</v>
      </c>
      <c r="I1145" s="24" t="str">
        <f t="shared" si="517"/>
        <v xml:space="preserve">COM VALOR</v>
      </c>
      <c r="L1145" s="36">
        <v>5.46</v>
      </c>
      <c r="M1145" s="37">
        <v>5.46</v>
      </c>
      <c r="N1145" s="36">
        <v>5.46</v>
      </c>
    </row>
    <row r="1146" ht="25.5">
      <c r="A1146" s="19" t="s">
        <v>10460</v>
      </c>
      <c r="B1146" s="19">
        <v>1420</v>
      </c>
      <c r="C1146" s="20" t="s">
        <v>11602</v>
      </c>
      <c r="D1146" s="19" t="s">
        <v>31</v>
      </c>
      <c r="E1146" s="19" t="s">
        <v>10459</v>
      </c>
      <c r="F1146" s="21">
        <f t="shared" si="516"/>
        <v>7.0300000000000002</v>
      </c>
      <c r="G1146" s="21">
        <f t="shared" si="516"/>
        <v>7.0300000000000002</v>
      </c>
      <c r="H1146" s="21">
        <f t="shared" si="516"/>
        <v>7.0300000000000002</v>
      </c>
      <c r="I1146" s="24" t="str">
        <f t="shared" si="517"/>
        <v xml:space="preserve">COM VALOR</v>
      </c>
      <c r="L1146" s="36">
        <v>7.0300000000000002</v>
      </c>
      <c r="M1146" s="37">
        <v>7.0300000000000002</v>
      </c>
      <c r="N1146" s="36">
        <v>7.0300000000000002</v>
      </c>
    </row>
    <row r="1147" ht="25.5">
      <c r="A1147" s="19" t="s">
        <v>10460</v>
      </c>
      <c r="B1147" s="19">
        <v>1419</v>
      </c>
      <c r="C1147" s="20" t="s">
        <v>11603</v>
      </c>
      <c r="D1147" s="19" t="s">
        <v>31</v>
      </c>
      <c r="E1147" s="19" t="s">
        <v>10459</v>
      </c>
      <c r="F1147" s="21">
        <f t="shared" si="516"/>
        <v>8.4900000000000002</v>
      </c>
      <c r="G1147" s="21">
        <f t="shared" si="516"/>
        <v>8.4900000000000002</v>
      </c>
      <c r="H1147" s="21">
        <f t="shared" si="516"/>
        <v>8.4900000000000002</v>
      </c>
      <c r="I1147" s="24" t="str">
        <f t="shared" si="517"/>
        <v xml:space="preserve">COM VALOR</v>
      </c>
      <c r="L1147" s="36">
        <v>8.4900000000000002</v>
      </c>
      <c r="M1147" s="37">
        <v>8.4900000000000002</v>
      </c>
      <c r="N1147" s="36">
        <v>8.4900000000000002</v>
      </c>
    </row>
    <row r="1148" ht="25.5">
      <c r="A1148" s="19" t="s">
        <v>10460</v>
      </c>
      <c r="B1148" s="19">
        <v>1414</v>
      </c>
      <c r="C1148" s="20" t="s">
        <v>11604</v>
      </c>
      <c r="D1148" s="19" t="s">
        <v>31</v>
      </c>
      <c r="E1148" s="19" t="s">
        <v>10459</v>
      </c>
      <c r="F1148" s="21">
        <f t="shared" si="516"/>
        <v>8.3000000000000007</v>
      </c>
      <c r="G1148" s="21">
        <f t="shared" si="516"/>
        <v>8.3000000000000007</v>
      </c>
      <c r="H1148" s="21">
        <f t="shared" si="516"/>
        <v>8.3000000000000007</v>
      </c>
      <c r="I1148" s="24" t="str">
        <f t="shared" si="517"/>
        <v xml:space="preserve">COM VALOR</v>
      </c>
      <c r="L1148" s="36">
        <v>8.3000000000000007</v>
      </c>
      <c r="M1148" s="37">
        <v>8.3000000000000007</v>
      </c>
      <c r="N1148" s="36">
        <v>8.3000000000000007</v>
      </c>
    </row>
    <row r="1149" ht="25.5">
      <c r="A1149" s="19" t="s">
        <v>10460</v>
      </c>
      <c r="B1149" s="19">
        <v>1413</v>
      </c>
      <c r="C1149" s="20" t="s">
        <v>11605</v>
      </c>
      <c r="D1149" s="19" t="s">
        <v>31</v>
      </c>
      <c r="E1149" s="19" t="s">
        <v>10459</v>
      </c>
      <c r="F1149" s="21">
        <f t="shared" si="516"/>
        <v>12.26</v>
      </c>
      <c r="G1149" s="21">
        <f t="shared" si="516"/>
        <v>12.26</v>
      </c>
      <c r="H1149" s="21">
        <f t="shared" si="516"/>
        <v>12.26</v>
      </c>
      <c r="I1149" s="24" t="str">
        <f t="shared" si="517"/>
        <v xml:space="preserve">COM VALOR</v>
      </c>
      <c r="L1149" s="36">
        <v>12.26</v>
      </c>
      <c r="M1149" s="37">
        <v>12.26</v>
      </c>
      <c r="N1149" s="36">
        <v>12.26</v>
      </c>
    </row>
    <row r="1150" ht="25.5">
      <c r="A1150" s="19" t="s">
        <v>10460</v>
      </c>
      <c r="B1150" s="19">
        <v>1412</v>
      </c>
      <c r="C1150" s="20" t="s">
        <v>11606</v>
      </c>
      <c r="D1150" s="19" t="s">
        <v>31</v>
      </c>
      <c r="E1150" s="19" t="s">
        <v>10459</v>
      </c>
      <c r="F1150" s="21">
        <f t="shared" si="516"/>
        <v>10.390000000000001</v>
      </c>
      <c r="G1150" s="21">
        <f t="shared" si="516"/>
        <v>10.390000000000001</v>
      </c>
      <c r="H1150" s="21">
        <f t="shared" si="516"/>
        <v>10.390000000000001</v>
      </c>
      <c r="I1150" s="24" t="str">
        <f t="shared" si="517"/>
        <v xml:space="preserve">COM VALOR</v>
      </c>
      <c r="L1150" s="36">
        <v>10.390000000000001</v>
      </c>
      <c r="M1150" s="37">
        <v>10.390000000000001</v>
      </c>
      <c r="N1150" s="36">
        <v>10.390000000000001</v>
      </c>
    </row>
    <row r="1151" ht="38.25">
      <c r="A1151" s="19" t="s">
        <v>10460</v>
      </c>
      <c r="B1151" s="19">
        <v>1406</v>
      </c>
      <c r="C1151" s="20" t="s">
        <v>11607</v>
      </c>
      <c r="D1151" s="19" t="s">
        <v>31</v>
      </c>
      <c r="E1151" s="19" t="s">
        <v>10459</v>
      </c>
      <c r="F1151" s="21">
        <f t="shared" si="516"/>
        <v>12.539999999999999</v>
      </c>
      <c r="G1151" s="21">
        <f t="shared" si="516"/>
        <v>12.539999999999999</v>
      </c>
      <c r="H1151" s="21">
        <f t="shared" si="516"/>
        <v>12.539999999999999</v>
      </c>
      <c r="I1151" s="24" t="str">
        <f t="shared" si="517"/>
        <v xml:space="preserve">COM VALOR</v>
      </c>
      <c r="L1151" s="36">
        <v>12.539999999999999</v>
      </c>
      <c r="M1151" s="37">
        <v>12.539999999999999</v>
      </c>
      <c r="N1151" s="36">
        <v>12.539999999999999</v>
      </c>
    </row>
    <row r="1152" ht="25.5">
      <c r="A1152" s="19" t="s">
        <v>10460</v>
      </c>
      <c r="B1152" s="19">
        <v>45237</v>
      </c>
      <c r="C1152" s="20" t="s">
        <v>11608</v>
      </c>
      <c r="D1152" s="19" t="s">
        <v>31</v>
      </c>
      <c r="E1152" s="19" t="s">
        <v>10459</v>
      </c>
      <c r="F1152" s="21">
        <f t="shared" si="516"/>
        <v>17.280000000000001</v>
      </c>
      <c r="G1152" s="21">
        <f t="shared" si="516"/>
        <v>17.280000000000001</v>
      </c>
      <c r="H1152" s="21">
        <f t="shared" si="516"/>
        <v>17.280000000000001</v>
      </c>
      <c r="I1152" s="24" t="str">
        <f t="shared" si="517"/>
        <v xml:space="preserve">COM VALOR</v>
      </c>
      <c r="L1152" s="36">
        <v>17.280000000000001</v>
      </c>
      <c r="M1152" s="37">
        <v>17.280000000000001</v>
      </c>
      <c r="N1152" s="36">
        <v>17.280000000000001</v>
      </c>
    </row>
    <row r="1153" ht="63.75">
      <c r="A1153" s="19" t="s">
        <v>10638</v>
      </c>
      <c r="B1153" s="19">
        <v>11281</v>
      </c>
      <c r="C1153" s="20" t="s">
        <v>11609</v>
      </c>
      <c r="D1153" s="19" t="s">
        <v>31</v>
      </c>
      <c r="E1153" s="19" t="s">
        <v>10466</v>
      </c>
      <c r="F1153" s="21">
        <f t="shared" si="516"/>
        <v>12130.9</v>
      </c>
      <c r="G1153" s="21">
        <f t="shared" si="516"/>
        <v>12130.9</v>
      </c>
      <c r="H1153" s="21">
        <f t="shared" si="516"/>
        <v>12130.9</v>
      </c>
      <c r="I1153" s="24" t="str">
        <f t="shared" si="517"/>
        <v xml:space="preserve">COM VALOR</v>
      </c>
      <c r="L1153" s="36">
        <v>12130.9</v>
      </c>
      <c r="M1153" s="37">
        <v>12130.9</v>
      </c>
      <c r="N1153" s="36">
        <v>12130.9</v>
      </c>
    </row>
    <row r="1154" ht="63.75">
      <c r="A1154" s="19" t="s">
        <v>10638</v>
      </c>
      <c r="B1154" s="19">
        <v>1442</v>
      </c>
      <c r="C1154" s="20" t="s">
        <v>11610</v>
      </c>
      <c r="D1154" s="19" t="s">
        <v>31</v>
      </c>
      <c r="E1154" s="19" t="s">
        <v>10459</v>
      </c>
      <c r="F1154" s="21">
        <f t="shared" si="516"/>
        <v>10183.799999999999</v>
      </c>
      <c r="G1154" s="21">
        <f t="shared" si="516"/>
        <v>10183.799999999999</v>
      </c>
      <c r="H1154" s="21">
        <f t="shared" si="516"/>
        <v>10183.799999999999</v>
      </c>
      <c r="I1154" s="24" t="str">
        <f t="shared" si="517"/>
        <v xml:space="preserve">COM VALOR</v>
      </c>
      <c r="L1154" s="36">
        <v>10183.799999999999</v>
      </c>
      <c r="M1154" s="37">
        <v>10183.799999999999</v>
      </c>
      <c r="N1154" s="36">
        <v>10183.799999999999</v>
      </c>
    </row>
    <row r="1155" ht="25.5">
      <c r="A1155" s="19" t="s">
        <v>10638</v>
      </c>
      <c r="B1155" s="19">
        <v>13458</v>
      </c>
      <c r="C1155" s="20" t="s">
        <v>11611</v>
      </c>
      <c r="D1155" s="19" t="s">
        <v>31</v>
      </c>
      <c r="E1155" s="19" t="s">
        <v>10459</v>
      </c>
      <c r="F1155" s="21">
        <f t="shared" si="516"/>
        <v>15031.76</v>
      </c>
      <c r="G1155" s="21">
        <f t="shared" si="516"/>
        <v>15031.76</v>
      </c>
      <c r="H1155" s="21">
        <f t="shared" si="516"/>
        <v>15031.76</v>
      </c>
      <c r="I1155" s="24" t="str">
        <f t="shared" si="517"/>
        <v xml:space="preserve">COM VALOR</v>
      </c>
      <c r="L1155" s="36">
        <v>15031.76</v>
      </c>
      <c r="M1155" s="37">
        <v>15031.76</v>
      </c>
      <c r="N1155" s="36">
        <v>15031.76</v>
      </c>
    </row>
    <row r="1156" ht="25.5">
      <c r="A1156" s="19" t="s">
        <v>10460</v>
      </c>
      <c r="B1156" s="19">
        <v>11134</v>
      </c>
      <c r="C1156" s="20" t="s">
        <v>11612</v>
      </c>
      <c r="D1156" s="19" t="s">
        <v>29</v>
      </c>
      <c r="E1156" s="19" t="s">
        <v>10459</v>
      </c>
      <c r="F1156" s="21">
        <f t="shared" si="516"/>
        <v>65.640000000000001</v>
      </c>
      <c r="G1156" s="21">
        <f t="shared" si="516"/>
        <v>65.640000000000001</v>
      </c>
      <c r="H1156" s="21">
        <f t="shared" si="516"/>
        <v>65.640000000000001</v>
      </c>
      <c r="I1156" s="24" t="str">
        <f t="shared" si="517"/>
        <v xml:space="preserve">COM VALOR</v>
      </c>
      <c r="L1156" s="36">
        <v>65.640000000000001</v>
      </c>
      <c r="M1156" s="37">
        <v>65.640000000000001</v>
      </c>
      <c r="N1156" s="36">
        <v>65.640000000000001</v>
      </c>
    </row>
    <row r="1157" ht="25.5">
      <c r="A1157" s="19" t="s">
        <v>10460</v>
      </c>
      <c r="B1157" s="19">
        <v>11135</v>
      </c>
      <c r="C1157" s="20" t="s">
        <v>11613</v>
      </c>
      <c r="D1157" s="19" t="s">
        <v>29</v>
      </c>
      <c r="E1157" s="19" t="s">
        <v>10459</v>
      </c>
      <c r="F1157" s="21">
        <f t="shared" si="516"/>
        <v>70.870000000000005</v>
      </c>
      <c r="G1157" s="21">
        <f t="shared" si="516"/>
        <v>70.870000000000005</v>
      </c>
      <c r="H1157" s="21">
        <f t="shared" si="516"/>
        <v>70.870000000000005</v>
      </c>
      <c r="I1157" s="24" t="str">
        <f t="shared" si="517"/>
        <v xml:space="preserve">COM VALOR</v>
      </c>
      <c r="L1157" s="36">
        <v>70.870000000000005</v>
      </c>
      <c r="M1157" s="37">
        <v>70.870000000000005</v>
      </c>
      <c r="N1157" s="36">
        <v>70.870000000000005</v>
      </c>
    </row>
    <row r="1158" ht="25.5">
      <c r="A1158" s="19" t="s">
        <v>10460</v>
      </c>
      <c r="B1158" s="19">
        <v>11136</v>
      </c>
      <c r="C1158" s="20" t="s">
        <v>11614</v>
      </c>
      <c r="D1158" s="19" t="s">
        <v>29</v>
      </c>
      <c r="E1158" s="19" t="s">
        <v>10459</v>
      </c>
      <c r="F1158" s="21">
        <f t="shared" si="516"/>
        <v>81.150000000000006</v>
      </c>
      <c r="G1158" s="21">
        <f t="shared" si="516"/>
        <v>81.150000000000006</v>
      </c>
      <c r="H1158" s="21">
        <f t="shared" si="516"/>
        <v>81.150000000000006</v>
      </c>
      <c r="I1158" s="24" t="str">
        <f t="shared" si="517"/>
        <v xml:space="preserve">COM VALOR</v>
      </c>
      <c r="L1158" s="36">
        <v>81.150000000000006</v>
      </c>
      <c r="M1158" s="37">
        <v>81.150000000000006</v>
      </c>
      <c r="N1158" s="36">
        <v>81.150000000000006</v>
      </c>
    </row>
    <row r="1159" ht="25.5">
      <c r="A1159" s="19" t="s">
        <v>10460</v>
      </c>
      <c r="B1159" s="19">
        <v>34743</v>
      </c>
      <c r="C1159" s="20" t="s">
        <v>11615</v>
      </c>
      <c r="D1159" s="19" t="s">
        <v>29</v>
      </c>
      <c r="E1159" s="19" t="s">
        <v>10459</v>
      </c>
      <c r="F1159" s="21">
        <f t="shared" si="516"/>
        <v>97.909999999999997</v>
      </c>
      <c r="G1159" s="21">
        <f t="shared" si="516"/>
        <v>97.909999999999997</v>
      </c>
      <c r="H1159" s="21">
        <f t="shared" si="516"/>
        <v>97.909999999999997</v>
      </c>
      <c r="I1159" s="24" t="str">
        <f t="shared" si="517"/>
        <v xml:space="preserve">COM VALOR</v>
      </c>
      <c r="L1159" s="36">
        <v>97.909999999999997</v>
      </c>
      <c r="M1159" s="37">
        <v>97.909999999999997</v>
      </c>
      <c r="N1159" s="36">
        <v>97.909999999999997</v>
      </c>
    </row>
    <row r="1160" ht="25.5">
      <c r="A1160" s="19" t="s">
        <v>10460</v>
      </c>
      <c r="B1160" s="19">
        <v>11137</v>
      </c>
      <c r="C1160" s="20" t="s">
        <v>11616</v>
      </c>
      <c r="D1160" s="19" t="s">
        <v>29</v>
      </c>
      <c r="E1160" s="19" t="s">
        <v>10459</v>
      </c>
      <c r="F1160" s="21">
        <f t="shared" si="516"/>
        <v>111.2</v>
      </c>
      <c r="G1160" s="21">
        <f t="shared" si="516"/>
        <v>111.2</v>
      </c>
      <c r="H1160" s="21">
        <f t="shared" si="516"/>
        <v>111.2</v>
      </c>
      <c r="I1160" s="24" t="str">
        <f t="shared" si="517"/>
        <v xml:space="preserve">COM VALOR</v>
      </c>
      <c r="L1160" s="36">
        <v>111.2</v>
      </c>
      <c r="M1160" s="37">
        <v>111.2</v>
      </c>
      <c r="N1160" s="36">
        <v>111.2</v>
      </c>
    </row>
    <row r="1161" ht="25.5">
      <c r="A1161" s="19" t="s">
        <v>10460</v>
      </c>
      <c r="B1161" s="19">
        <v>34745</v>
      </c>
      <c r="C1161" s="20" t="s">
        <v>11617</v>
      </c>
      <c r="D1161" s="19" t="s">
        <v>29</v>
      </c>
      <c r="E1161" s="19" t="s">
        <v>10459</v>
      </c>
      <c r="F1161" s="21">
        <f t="shared" si="516"/>
        <v>132.24000000000001</v>
      </c>
      <c r="G1161" s="21">
        <f t="shared" si="516"/>
        <v>132.24000000000001</v>
      </c>
      <c r="H1161" s="21">
        <f t="shared" si="516"/>
        <v>132.24000000000001</v>
      </c>
      <c r="I1161" s="24" t="str">
        <f t="shared" si="517"/>
        <v xml:space="preserve">COM VALOR</v>
      </c>
      <c r="L1161" s="36">
        <v>132.24000000000001</v>
      </c>
      <c r="M1161" s="37">
        <v>132.24000000000001</v>
      </c>
      <c r="N1161" s="36">
        <v>132.24000000000001</v>
      </c>
    </row>
    <row r="1162" ht="25.5">
      <c r="A1162" s="19" t="s">
        <v>10460</v>
      </c>
      <c r="B1162" s="19">
        <v>34746</v>
      </c>
      <c r="C1162" s="20" t="s">
        <v>11618</v>
      </c>
      <c r="D1162" s="19" t="s">
        <v>29</v>
      </c>
      <c r="E1162" s="19" t="s">
        <v>10459</v>
      </c>
      <c r="F1162" s="21">
        <f t="shared" si="516"/>
        <v>36.060000000000002</v>
      </c>
      <c r="G1162" s="21">
        <f t="shared" si="516"/>
        <v>36.060000000000002</v>
      </c>
      <c r="H1162" s="21">
        <f t="shared" si="516"/>
        <v>36.060000000000002</v>
      </c>
      <c r="I1162" s="24" t="str">
        <f t="shared" si="517"/>
        <v xml:space="preserve">COM VALOR</v>
      </c>
      <c r="L1162" s="36">
        <v>36.060000000000002</v>
      </c>
      <c r="M1162" s="37">
        <v>36.060000000000002</v>
      </c>
      <c r="N1162" s="36">
        <v>36.060000000000002</v>
      </c>
    </row>
    <row r="1163" ht="25.5">
      <c r="A1163" s="19" t="s">
        <v>10460</v>
      </c>
      <c r="B1163" s="19">
        <v>1360</v>
      </c>
      <c r="C1163" s="20" t="s">
        <v>11619</v>
      </c>
      <c r="D1163" s="19" t="s">
        <v>29</v>
      </c>
      <c r="E1163" s="19" t="s">
        <v>10459</v>
      </c>
      <c r="F1163" s="21">
        <f t="shared" ref="F1163:H1226" si="518">IF(L1163=0,"VERIFICAR",L1163)</f>
        <v>42.07</v>
      </c>
      <c r="G1163" s="21">
        <f t="shared" si="518"/>
        <v>42.07</v>
      </c>
      <c r="H1163" s="21">
        <f t="shared" si="518"/>
        <v>42.07</v>
      </c>
      <c r="I1163" s="24" t="str">
        <f t="shared" ref="I1163:I1226" si="519">IF(OR(L1163=0,M1163=0,N1163=0),"SEM VALOR","COM VALOR")</f>
        <v xml:space="preserve">COM VALOR</v>
      </c>
      <c r="L1163" s="36">
        <v>42.07</v>
      </c>
      <c r="M1163" s="37">
        <v>42.07</v>
      </c>
      <c r="N1163" s="36">
        <v>42.07</v>
      </c>
    </row>
    <row r="1164" ht="25.5">
      <c r="A1164" s="19" t="s">
        <v>10638</v>
      </c>
      <c r="B1164" s="19">
        <v>45300</v>
      </c>
      <c r="C1164" s="20" t="s">
        <v>11620</v>
      </c>
      <c r="D1164" s="19" t="s">
        <v>31</v>
      </c>
      <c r="E1164" s="19" t="s">
        <v>10459</v>
      </c>
      <c r="F1164" s="21">
        <f t="shared" si="518"/>
        <v>3166.8499999999999</v>
      </c>
      <c r="G1164" s="21">
        <f t="shared" si="518"/>
        <v>3166.8499999999999</v>
      </c>
      <c r="H1164" s="21">
        <f t="shared" si="518"/>
        <v>3166.8499999999999</v>
      </c>
      <c r="I1164" s="24" t="str">
        <f t="shared" si="519"/>
        <v xml:space="preserve">COM VALOR</v>
      </c>
      <c r="L1164" s="36">
        <v>3166.8499999999999</v>
      </c>
      <c r="M1164" s="37">
        <v>3166.8499999999999</v>
      </c>
      <c r="N1164" s="36">
        <v>3166.8499999999999</v>
      </c>
    </row>
    <row r="1165" ht="38.25">
      <c r="A1165" s="19" t="s">
        <v>10638</v>
      </c>
      <c r="B1165" s="19">
        <v>36526</v>
      </c>
      <c r="C1165" s="20" t="s">
        <v>11621</v>
      </c>
      <c r="D1165" s="19" t="s">
        <v>31</v>
      </c>
      <c r="E1165" s="19" t="s">
        <v>10459</v>
      </c>
      <c r="F1165" s="21" t="str">
        <f t="shared" si="518"/>
        <v>VERIFICAR</v>
      </c>
      <c r="G1165" s="21" t="str">
        <f t="shared" si="518"/>
        <v>VERIFICAR</v>
      </c>
      <c r="H1165" s="21" t="str">
        <f t="shared" si="518"/>
        <v>VERIFICAR</v>
      </c>
      <c r="I1165" s="24" t="str">
        <f t="shared" si="519"/>
        <v xml:space="preserve">SEM VALOR</v>
      </c>
      <c r="L1165" s="36"/>
      <c r="M1165" s="37"/>
      <c r="N1165" s="36"/>
    </row>
    <row r="1166" ht="38.25">
      <c r="A1166" s="19" t="s">
        <v>10638</v>
      </c>
      <c r="B1166" s="19">
        <v>36523</v>
      </c>
      <c r="C1166" s="20" t="s">
        <v>11622</v>
      </c>
      <c r="D1166" s="19" t="s">
        <v>31</v>
      </c>
      <c r="E1166" s="19" t="s">
        <v>10459</v>
      </c>
      <c r="F1166" s="21" t="str">
        <f t="shared" si="518"/>
        <v>VERIFICAR</v>
      </c>
      <c r="G1166" s="21" t="str">
        <f t="shared" si="518"/>
        <v>VERIFICAR</v>
      </c>
      <c r="H1166" s="21" t="str">
        <f t="shared" si="518"/>
        <v>VERIFICAR</v>
      </c>
      <c r="I1166" s="24" t="str">
        <f t="shared" si="519"/>
        <v xml:space="preserve">SEM VALOR</v>
      </c>
      <c r="L1166" s="36"/>
      <c r="M1166" s="37"/>
      <c r="N1166" s="36"/>
    </row>
    <row r="1167" ht="38.25">
      <c r="A1167" s="19" t="s">
        <v>10638</v>
      </c>
      <c r="B1167" s="19">
        <v>36522</v>
      </c>
      <c r="C1167" s="20" t="s">
        <v>11623</v>
      </c>
      <c r="D1167" s="19" t="s">
        <v>31</v>
      </c>
      <c r="E1167" s="19" t="s">
        <v>10459</v>
      </c>
      <c r="F1167" s="21" t="str">
        <f t="shared" si="518"/>
        <v>VERIFICAR</v>
      </c>
      <c r="G1167" s="21" t="str">
        <f t="shared" si="518"/>
        <v>VERIFICAR</v>
      </c>
      <c r="H1167" s="21" t="str">
        <f t="shared" si="518"/>
        <v>VERIFICAR</v>
      </c>
      <c r="I1167" s="24" t="str">
        <f t="shared" si="519"/>
        <v xml:space="preserve">SEM VALOR</v>
      </c>
      <c r="L1167" s="36"/>
      <c r="M1167" s="37"/>
      <c r="N1167" s="36"/>
    </row>
    <row r="1168" ht="38.25">
      <c r="A1168" s="19" t="s">
        <v>10638</v>
      </c>
      <c r="B1168" s="19">
        <v>36525</v>
      </c>
      <c r="C1168" s="20" t="s">
        <v>11624</v>
      </c>
      <c r="D1168" s="19" t="s">
        <v>31</v>
      </c>
      <c r="E1168" s="19" t="s">
        <v>10459</v>
      </c>
      <c r="F1168" s="21" t="str">
        <f t="shared" si="518"/>
        <v>VERIFICAR</v>
      </c>
      <c r="G1168" s="21" t="str">
        <f t="shared" si="518"/>
        <v>VERIFICAR</v>
      </c>
      <c r="H1168" s="21" t="str">
        <f t="shared" si="518"/>
        <v>VERIFICAR</v>
      </c>
      <c r="I1168" s="24" t="str">
        <f t="shared" si="519"/>
        <v xml:space="preserve">SEM VALOR</v>
      </c>
      <c r="L1168" s="36"/>
      <c r="M1168" s="37"/>
      <c r="N1168" s="36"/>
    </row>
    <row r="1169" ht="38.25">
      <c r="A1169" s="19" t="s">
        <v>10638</v>
      </c>
      <c r="B1169" s="19">
        <v>13803</v>
      </c>
      <c r="C1169" s="20" t="s">
        <v>11625</v>
      </c>
      <c r="D1169" s="19" t="s">
        <v>31</v>
      </c>
      <c r="E1169" s="19" t="s">
        <v>10466</v>
      </c>
      <c r="F1169" s="21" t="str">
        <f t="shared" si="518"/>
        <v>VERIFICAR</v>
      </c>
      <c r="G1169" s="21" t="str">
        <f t="shared" si="518"/>
        <v>VERIFICAR</v>
      </c>
      <c r="H1169" s="21" t="str">
        <f t="shared" si="518"/>
        <v>VERIFICAR</v>
      </c>
      <c r="I1169" s="24" t="str">
        <f t="shared" si="519"/>
        <v xml:space="preserve">SEM VALOR</v>
      </c>
      <c r="L1169" s="36"/>
      <c r="M1169" s="37"/>
      <c r="N1169" s="36"/>
    </row>
    <row r="1170" ht="25.5">
      <c r="A1170" s="19" t="s">
        <v>10460</v>
      </c>
      <c r="B1170" s="19">
        <v>34348</v>
      </c>
      <c r="C1170" s="20" t="s">
        <v>11626</v>
      </c>
      <c r="D1170" s="19" t="s">
        <v>38</v>
      </c>
      <c r="E1170" s="19" t="s">
        <v>10459</v>
      </c>
      <c r="F1170" s="21">
        <f t="shared" si="518"/>
        <v>19.670000000000002</v>
      </c>
      <c r="G1170" s="21">
        <f t="shared" si="518"/>
        <v>19.670000000000002</v>
      </c>
      <c r="H1170" s="21">
        <f t="shared" si="518"/>
        <v>19.670000000000002</v>
      </c>
      <c r="I1170" s="24" t="str">
        <f t="shared" si="519"/>
        <v xml:space="preserve">COM VALOR</v>
      </c>
      <c r="L1170" s="36">
        <v>19.670000000000002</v>
      </c>
      <c r="M1170" s="37">
        <v>19.670000000000002</v>
      </c>
      <c r="N1170" s="36">
        <v>19.670000000000002</v>
      </c>
    </row>
    <row r="1171" ht="25.5">
      <c r="A1171" s="19" t="s">
        <v>10460</v>
      </c>
      <c r="B1171" s="19">
        <v>34347</v>
      </c>
      <c r="C1171" s="20" t="s">
        <v>11627</v>
      </c>
      <c r="D1171" s="19" t="s">
        <v>38</v>
      </c>
      <c r="E1171" s="19" t="s">
        <v>10459</v>
      </c>
      <c r="F1171" s="21">
        <f t="shared" si="518"/>
        <v>14.06</v>
      </c>
      <c r="G1171" s="21">
        <f t="shared" si="518"/>
        <v>14.06</v>
      </c>
      <c r="H1171" s="21">
        <f t="shared" si="518"/>
        <v>14.06</v>
      </c>
      <c r="I1171" s="24" t="str">
        <f t="shared" si="519"/>
        <v xml:space="preserve">COM VALOR</v>
      </c>
      <c r="L1171" s="36">
        <v>14.06</v>
      </c>
      <c r="M1171" s="37">
        <v>14.06</v>
      </c>
      <c r="N1171" s="36">
        <v>14.06</v>
      </c>
    </row>
    <row r="1172" ht="51">
      <c r="A1172" s="19" t="s">
        <v>10460</v>
      </c>
      <c r="B1172" s="19">
        <v>11146</v>
      </c>
      <c r="C1172" s="20" t="s">
        <v>11628</v>
      </c>
      <c r="D1172" s="19" t="s">
        <v>121</v>
      </c>
      <c r="E1172" s="19" t="s">
        <v>10459</v>
      </c>
      <c r="F1172" s="21">
        <f t="shared" si="518"/>
        <v>630.13999999999999</v>
      </c>
      <c r="G1172" s="21">
        <f t="shared" si="518"/>
        <v>630.13999999999999</v>
      </c>
      <c r="H1172" s="21">
        <f t="shared" si="518"/>
        <v>630.13999999999999</v>
      </c>
      <c r="I1172" s="24" t="str">
        <f t="shared" si="519"/>
        <v xml:space="preserve">COM VALOR</v>
      </c>
      <c r="L1172" s="36">
        <v>630.13999999999999</v>
      </c>
      <c r="M1172" s="37">
        <v>630.13999999999999</v>
      </c>
      <c r="N1172" s="36">
        <v>630.13999999999999</v>
      </c>
    </row>
    <row r="1173" ht="51">
      <c r="A1173" s="19" t="s">
        <v>10460</v>
      </c>
      <c r="B1173" s="19">
        <v>11147</v>
      </c>
      <c r="C1173" s="20" t="s">
        <v>11629</v>
      </c>
      <c r="D1173" s="19" t="s">
        <v>121</v>
      </c>
      <c r="E1173" s="19" t="s">
        <v>10459</v>
      </c>
      <c r="F1173" s="21">
        <f t="shared" si="518"/>
        <v>654.79999999999995</v>
      </c>
      <c r="G1173" s="21">
        <f t="shared" si="518"/>
        <v>654.79999999999995</v>
      </c>
      <c r="H1173" s="21">
        <f t="shared" si="518"/>
        <v>654.79999999999995</v>
      </c>
      <c r="I1173" s="24" t="str">
        <f t="shared" si="519"/>
        <v xml:space="preserve">COM VALOR</v>
      </c>
      <c r="L1173" s="36">
        <v>654.79999999999995</v>
      </c>
      <c r="M1173" s="37">
        <v>654.79999999999995</v>
      </c>
      <c r="N1173" s="36">
        <v>654.79999999999995</v>
      </c>
    </row>
    <row r="1174" ht="51">
      <c r="A1174" s="19" t="s">
        <v>10460</v>
      </c>
      <c r="B1174" s="19">
        <v>34872</v>
      </c>
      <c r="C1174" s="20" t="s">
        <v>11630</v>
      </c>
      <c r="D1174" s="19" t="s">
        <v>121</v>
      </c>
      <c r="E1174" s="19" t="s">
        <v>10459</v>
      </c>
      <c r="F1174" s="21">
        <f t="shared" si="518"/>
        <v>662.14999999999998</v>
      </c>
      <c r="G1174" s="21">
        <f t="shared" si="518"/>
        <v>662.14999999999998</v>
      </c>
      <c r="H1174" s="21">
        <f t="shared" si="518"/>
        <v>662.14999999999998</v>
      </c>
      <c r="I1174" s="24" t="str">
        <f t="shared" si="519"/>
        <v xml:space="preserve">COM VALOR</v>
      </c>
      <c r="L1174" s="36">
        <v>662.14999999999998</v>
      </c>
      <c r="M1174" s="37">
        <v>662.14999999999998</v>
      </c>
      <c r="N1174" s="36">
        <v>662.14999999999998</v>
      </c>
    </row>
    <row r="1175" ht="51">
      <c r="A1175" s="19" t="s">
        <v>10460</v>
      </c>
      <c r="B1175" s="19">
        <v>34491</v>
      </c>
      <c r="C1175" s="20" t="s">
        <v>11631</v>
      </c>
      <c r="D1175" s="19" t="s">
        <v>121</v>
      </c>
      <c r="E1175" s="19" t="s">
        <v>10459</v>
      </c>
      <c r="F1175" s="21">
        <f t="shared" si="518"/>
        <v>681.34000000000003</v>
      </c>
      <c r="G1175" s="21">
        <f t="shared" si="518"/>
        <v>681.34000000000003</v>
      </c>
      <c r="H1175" s="21">
        <f t="shared" si="518"/>
        <v>681.34000000000003</v>
      </c>
      <c r="I1175" s="24" t="str">
        <f t="shared" si="519"/>
        <v xml:space="preserve">COM VALOR</v>
      </c>
      <c r="L1175" s="36">
        <v>681.34000000000003</v>
      </c>
      <c r="M1175" s="37">
        <v>681.34000000000003</v>
      </c>
      <c r="N1175" s="36">
        <v>681.34000000000003</v>
      </c>
    </row>
    <row r="1176" ht="38.25">
      <c r="A1176" s="19" t="s">
        <v>10460</v>
      </c>
      <c r="B1176" s="19">
        <v>34770</v>
      </c>
      <c r="C1176" s="20" t="s">
        <v>11632</v>
      </c>
      <c r="D1176" s="19" t="s">
        <v>9591</v>
      </c>
      <c r="E1176" s="19" t="s">
        <v>10459</v>
      </c>
      <c r="F1176" s="21">
        <f t="shared" si="518"/>
        <v>631.20000000000005</v>
      </c>
      <c r="G1176" s="21">
        <f t="shared" si="518"/>
        <v>631.20000000000005</v>
      </c>
      <c r="H1176" s="21">
        <f t="shared" si="518"/>
        <v>631.20000000000005</v>
      </c>
      <c r="I1176" s="24" t="str">
        <f t="shared" si="519"/>
        <v xml:space="preserve">COM VALOR</v>
      </c>
      <c r="L1176" s="36">
        <v>631.20000000000005</v>
      </c>
      <c r="M1176" s="37">
        <v>631.20000000000005</v>
      </c>
      <c r="N1176" s="36">
        <v>631.20000000000005</v>
      </c>
    </row>
    <row r="1177" ht="38.25">
      <c r="A1177" s="19" t="s">
        <v>10460</v>
      </c>
      <c r="B1177" s="19">
        <v>1518</v>
      </c>
      <c r="C1177" s="20" t="s">
        <v>11633</v>
      </c>
      <c r="D1177" s="19" t="s">
        <v>9591</v>
      </c>
      <c r="E1177" s="19" t="s">
        <v>10466</v>
      </c>
      <c r="F1177" s="21">
        <f t="shared" si="518"/>
        <v>643.5</v>
      </c>
      <c r="G1177" s="21">
        <f t="shared" si="518"/>
        <v>643.5</v>
      </c>
      <c r="H1177" s="21">
        <f t="shared" si="518"/>
        <v>643.5</v>
      </c>
      <c r="I1177" s="24" t="str">
        <f t="shared" si="519"/>
        <v xml:space="preserve">COM VALOR</v>
      </c>
      <c r="L1177" s="36">
        <v>643.5</v>
      </c>
      <c r="M1177" s="37">
        <v>643.5</v>
      </c>
      <c r="N1177" s="36">
        <v>643.5</v>
      </c>
    </row>
    <row r="1178" ht="38.25">
      <c r="A1178" s="19" t="s">
        <v>10460</v>
      </c>
      <c r="B1178" s="19">
        <v>41965</v>
      </c>
      <c r="C1178" s="20" t="s">
        <v>11634</v>
      </c>
      <c r="D1178" s="19" t="s">
        <v>9591</v>
      </c>
      <c r="E1178" s="19" t="s">
        <v>10459</v>
      </c>
      <c r="F1178" s="21">
        <f t="shared" si="518"/>
        <v>564.24000000000001</v>
      </c>
      <c r="G1178" s="21">
        <f t="shared" si="518"/>
        <v>564.24000000000001</v>
      </c>
      <c r="H1178" s="21">
        <f t="shared" si="518"/>
        <v>564.24000000000001</v>
      </c>
      <c r="I1178" s="24" t="str">
        <f t="shared" si="519"/>
        <v xml:space="preserve">COM VALOR</v>
      </c>
      <c r="L1178" s="36">
        <v>564.24000000000001</v>
      </c>
      <c r="M1178" s="37">
        <v>564.24000000000001</v>
      </c>
      <c r="N1178" s="36">
        <v>564.24000000000001</v>
      </c>
    </row>
    <row r="1179" ht="51">
      <c r="A1179" s="19" t="s">
        <v>10460</v>
      </c>
      <c r="B1179" s="19">
        <v>1524</v>
      </c>
      <c r="C1179" s="20" t="s">
        <v>11635</v>
      </c>
      <c r="D1179" s="19" t="s">
        <v>121</v>
      </c>
      <c r="E1179" s="19" t="s">
        <v>10459</v>
      </c>
      <c r="F1179" s="21">
        <f t="shared" si="518"/>
        <v>604.57000000000005</v>
      </c>
      <c r="G1179" s="21">
        <f t="shared" si="518"/>
        <v>604.57000000000005</v>
      </c>
      <c r="H1179" s="21">
        <f t="shared" si="518"/>
        <v>604.57000000000005</v>
      </c>
      <c r="I1179" s="24" t="str">
        <f t="shared" si="519"/>
        <v xml:space="preserve">COM VALOR</v>
      </c>
      <c r="L1179" s="36">
        <v>604.57000000000005</v>
      </c>
      <c r="M1179" s="37">
        <v>604.57000000000005</v>
      </c>
      <c r="N1179" s="36">
        <v>604.57000000000005</v>
      </c>
    </row>
    <row r="1180" ht="38.25">
      <c r="A1180" s="19" t="s">
        <v>10460</v>
      </c>
      <c r="B1180" s="19">
        <v>34492</v>
      </c>
      <c r="C1180" s="20" t="s">
        <v>11636</v>
      </c>
      <c r="D1180" s="19" t="s">
        <v>121</v>
      </c>
      <c r="E1180" s="19" t="s">
        <v>10466</v>
      </c>
      <c r="F1180" s="21">
        <f t="shared" si="518"/>
        <v>560</v>
      </c>
      <c r="G1180" s="21">
        <f t="shared" si="518"/>
        <v>560</v>
      </c>
      <c r="H1180" s="21">
        <f t="shared" si="518"/>
        <v>560</v>
      </c>
      <c r="I1180" s="24" t="str">
        <f t="shared" si="519"/>
        <v xml:space="preserve">COM VALOR</v>
      </c>
      <c r="L1180" s="36">
        <v>560</v>
      </c>
      <c r="M1180" s="37">
        <v>560</v>
      </c>
      <c r="N1180" s="36">
        <v>560</v>
      </c>
    </row>
    <row r="1181" ht="38.25">
      <c r="A1181" s="19" t="s">
        <v>10460</v>
      </c>
      <c r="B1181" s="19">
        <v>38404</v>
      </c>
      <c r="C1181" s="20" t="s">
        <v>11637</v>
      </c>
      <c r="D1181" s="19" t="s">
        <v>121</v>
      </c>
      <c r="E1181" s="19" t="s">
        <v>10459</v>
      </c>
      <c r="F1181" s="21">
        <f t="shared" si="518"/>
        <v>580.04999999999995</v>
      </c>
      <c r="G1181" s="21">
        <f t="shared" si="518"/>
        <v>580.04999999999995</v>
      </c>
      <c r="H1181" s="21">
        <f t="shared" si="518"/>
        <v>580.04999999999995</v>
      </c>
      <c r="I1181" s="24" t="str">
        <f t="shared" si="519"/>
        <v xml:space="preserve">COM VALOR</v>
      </c>
      <c r="L1181" s="36">
        <v>580.04999999999995</v>
      </c>
      <c r="M1181" s="37">
        <v>580.04999999999995</v>
      </c>
      <c r="N1181" s="36">
        <v>580.04999999999995</v>
      </c>
    </row>
    <row r="1182" ht="51">
      <c r="A1182" s="19" t="s">
        <v>10460</v>
      </c>
      <c r="B1182" s="19">
        <v>39849</v>
      </c>
      <c r="C1182" s="20" t="s">
        <v>11638</v>
      </c>
      <c r="D1182" s="19" t="s">
        <v>121</v>
      </c>
      <c r="E1182" s="19" t="s">
        <v>10459</v>
      </c>
      <c r="F1182" s="21">
        <f t="shared" si="518"/>
        <v>664.74000000000001</v>
      </c>
      <c r="G1182" s="21">
        <f t="shared" si="518"/>
        <v>664.74000000000001</v>
      </c>
      <c r="H1182" s="21">
        <f t="shared" si="518"/>
        <v>664.74000000000001</v>
      </c>
      <c r="I1182" s="24" t="str">
        <f t="shared" si="519"/>
        <v xml:space="preserve">COM VALOR</v>
      </c>
      <c r="L1182" s="36">
        <v>664.74000000000001</v>
      </c>
      <c r="M1182" s="37">
        <v>664.74000000000001</v>
      </c>
      <c r="N1182" s="36">
        <v>664.74000000000001</v>
      </c>
    </row>
    <row r="1183" ht="51">
      <c r="A1183" s="19" t="s">
        <v>10460</v>
      </c>
      <c r="B1183" s="19">
        <v>38464</v>
      </c>
      <c r="C1183" s="20" t="s">
        <v>11639</v>
      </c>
      <c r="D1183" s="19" t="s">
        <v>121</v>
      </c>
      <c r="E1183" s="19" t="s">
        <v>10459</v>
      </c>
      <c r="F1183" s="21">
        <f t="shared" si="518"/>
        <v>674.38999999999999</v>
      </c>
      <c r="G1183" s="21">
        <f t="shared" si="518"/>
        <v>674.38999999999999</v>
      </c>
      <c r="H1183" s="21">
        <f t="shared" si="518"/>
        <v>674.38999999999999</v>
      </c>
      <c r="I1183" s="24" t="str">
        <f t="shared" si="519"/>
        <v xml:space="preserve">COM VALOR</v>
      </c>
      <c r="L1183" s="36">
        <v>674.38999999999999</v>
      </c>
      <c r="M1183" s="37">
        <v>674.38999999999999</v>
      </c>
      <c r="N1183" s="36">
        <v>674.38999999999999</v>
      </c>
    </row>
    <row r="1184" ht="51">
      <c r="A1184" s="19" t="s">
        <v>10460</v>
      </c>
      <c r="B1184" s="19">
        <v>1527</v>
      </c>
      <c r="C1184" s="20" t="s">
        <v>11640</v>
      </c>
      <c r="D1184" s="19" t="s">
        <v>121</v>
      </c>
      <c r="E1184" s="19" t="s">
        <v>10459</v>
      </c>
      <c r="F1184" s="21">
        <f t="shared" si="518"/>
        <v>623.76999999999998</v>
      </c>
      <c r="G1184" s="21">
        <f t="shared" si="518"/>
        <v>623.76999999999998</v>
      </c>
      <c r="H1184" s="21">
        <f t="shared" si="518"/>
        <v>623.76999999999998</v>
      </c>
      <c r="I1184" s="24" t="str">
        <f t="shared" si="519"/>
        <v xml:space="preserve">COM VALOR</v>
      </c>
      <c r="L1184" s="36">
        <v>623.76999999999998</v>
      </c>
      <c r="M1184" s="37">
        <v>623.76999999999998</v>
      </c>
      <c r="N1184" s="36">
        <v>623.76999999999998</v>
      </c>
    </row>
    <row r="1185" ht="38.25">
      <c r="A1185" s="19" t="s">
        <v>10460</v>
      </c>
      <c r="B1185" s="19">
        <v>34493</v>
      </c>
      <c r="C1185" s="20" t="s">
        <v>11641</v>
      </c>
      <c r="D1185" s="19" t="s">
        <v>121</v>
      </c>
      <c r="E1185" s="19" t="s">
        <v>10459</v>
      </c>
      <c r="F1185" s="21">
        <f t="shared" si="518"/>
        <v>575.77999999999997</v>
      </c>
      <c r="G1185" s="21">
        <f t="shared" si="518"/>
        <v>575.77999999999997</v>
      </c>
      <c r="H1185" s="21">
        <f t="shared" si="518"/>
        <v>575.77999999999997</v>
      </c>
      <c r="I1185" s="24" t="str">
        <f t="shared" si="519"/>
        <v xml:space="preserve">COM VALOR</v>
      </c>
      <c r="L1185" s="36">
        <v>575.77999999999997</v>
      </c>
      <c r="M1185" s="37">
        <v>575.77999999999997</v>
      </c>
      <c r="N1185" s="36">
        <v>575.77999999999997</v>
      </c>
    </row>
    <row r="1186" ht="38.25">
      <c r="A1186" s="19" t="s">
        <v>10460</v>
      </c>
      <c r="B1186" s="19">
        <v>38405</v>
      </c>
      <c r="C1186" s="20" t="s">
        <v>11642</v>
      </c>
      <c r="D1186" s="19" t="s">
        <v>121</v>
      </c>
      <c r="E1186" s="19" t="s">
        <v>10459</v>
      </c>
      <c r="F1186" s="21">
        <f t="shared" si="518"/>
        <v>597.94000000000005</v>
      </c>
      <c r="G1186" s="21">
        <f t="shared" si="518"/>
        <v>597.94000000000005</v>
      </c>
      <c r="H1186" s="21">
        <f t="shared" si="518"/>
        <v>597.94000000000005</v>
      </c>
      <c r="I1186" s="24" t="str">
        <f t="shared" si="519"/>
        <v xml:space="preserve">COM VALOR</v>
      </c>
      <c r="L1186" s="36">
        <v>597.94000000000005</v>
      </c>
      <c r="M1186" s="37">
        <v>597.94000000000005</v>
      </c>
      <c r="N1186" s="36">
        <v>597.94000000000005</v>
      </c>
    </row>
    <row r="1187" ht="38.25">
      <c r="A1187" s="19" t="s">
        <v>10460</v>
      </c>
      <c r="B1187" s="19">
        <v>38408</v>
      </c>
      <c r="C1187" s="20" t="s">
        <v>11643</v>
      </c>
      <c r="D1187" s="19" t="s">
        <v>121</v>
      </c>
      <c r="E1187" s="19" t="s">
        <v>10459</v>
      </c>
      <c r="F1187" s="21">
        <f t="shared" si="518"/>
        <v>661.86000000000001</v>
      </c>
      <c r="G1187" s="21">
        <f t="shared" si="518"/>
        <v>661.86000000000001</v>
      </c>
      <c r="H1187" s="21">
        <f t="shared" si="518"/>
        <v>661.86000000000001</v>
      </c>
      <c r="I1187" s="24" t="str">
        <f t="shared" si="519"/>
        <v xml:space="preserve">COM VALOR</v>
      </c>
      <c r="L1187" s="36">
        <v>661.86000000000001</v>
      </c>
      <c r="M1187" s="37">
        <v>661.86000000000001</v>
      </c>
      <c r="N1187" s="36">
        <v>661.86000000000001</v>
      </c>
    </row>
    <row r="1188" ht="51">
      <c r="A1188" s="19" t="s">
        <v>10460</v>
      </c>
      <c r="B1188" s="19">
        <v>1525</v>
      </c>
      <c r="C1188" s="20" t="s">
        <v>11644</v>
      </c>
      <c r="D1188" s="19" t="s">
        <v>121</v>
      </c>
      <c r="E1188" s="19" t="s">
        <v>10459</v>
      </c>
      <c r="F1188" s="21">
        <f t="shared" si="518"/>
        <v>642.95000000000005</v>
      </c>
      <c r="G1188" s="21">
        <f t="shared" si="518"/>
        <v>642.95000000000005</v>
      </c>
      <c r="H1188" s="21">
        <f t="shared" si="518"/>
        <v>642.95000000000005</v>
      </c>
      <c r="I1188" s="24" t="str">
        <f t="shared" si="519"/>
        <v xml:space="preserve">COM VALOR</v>
      </c>
      <c r="L1188" s="36">
        <v>642.95000000000005</v>
      </c>
      <c r="M1188" s="37">
        <v>642.95000000000005</v>
      </c>
      <c r="N1188" s="36">
        <v>642.95000000000005</v>
      </c>
    </row>
    <row r="1189" ht="38.25">
      <c r="A1189" s="19" t="s">
        <v>10460</v>
      </c>
      <c r="B1189" s="19">
        <v>34494</v>
      </c>
      <c r="C1189" s="20" t="s">
        <v>11645</v>
      </c>
      <c r="D1189" s="19" t="s">
        <v>121</v>
      </c>
      <c r="E1189" s="19" t="s">
        <v>10459</v>
      </c>
      <c r="F1189" s="21">
        <f t="shared" si="518"/>
        <v>594.98000000000002</v>
      </c>
      <c r="G1189" s="21">
        <f t="shared" si="518"/>
        <v>594.98000000000002</v>
      </c>
      <c r="H1189" s="21">
        <f t="shared" si="518"/>
        <v>594.98000000000002</v>
      </c>
      <c r="I1189" s="24" t="str">
        <f t="shared" si="519"/>
        <v xml:space="preserve">COM VALOR</v>
      </c>
      <c r="L1189" s="36">
        <v>594.98000000000002</v>
      </c>
      <c r="M1189" s="37">
        <v>594.98000000000002</v>
      </c>
      <c r="N1189" s="36">
        <v>594.98000000000002</v>
      </c>
    </row>
    <row r="1190" ht="38.25">
      <c r="A1190" s="19" t="s">
        <v>10460</v>
      </c>
      <c r="B1190" s="19">
        <v>38406</v>
      </c>
      <c r="C1190" s="20" t="s">
        <v>11646</v>
      </c>
      <c r="D1190" s="19" t="s">
        <v>121</v>
      </c>
      <c r="E1190" s="19" t="s">
        <v>10459</v>
      </c>
      <c r="F1190" s="21">
        <f t="shared" si="518"/>
        <v>631.38</v>
      </c>
      <c r="G1190" s="21">
        <f t="shared" si="518"/>
        <v>631.38</v>
      </c>
      <c r="H1190" s="21">
        <f t="shared" si="518"/>
        <v>631.38</v>
      </c>
      <c r="I1190" s="24" t="str">
        <f t="shared" si="519"/>
        <v xml:space="preserve">COM VALOR</v>
      </c>
      <c r="L1190" s="36">
        <v>631.38</v>
      </c>
      <c r="M1190" s="37">
        <v>631.38</v>
      </c>
      <c r="N1190" s="36">
        <v>631.38</v>
      </c>
    </row>
    <row r="1191" ht="38.25">
      <c r="A1191" s="19" t="s">
        <v>10460</v>
      </c>
      <c r="B1191" s="19">
        <v>38409</v>
      </c>
      <c r="C1191" s="20" t="s">
        <v>11647</v>
      </c>
      <c r="D1191" s="19" t="s">
        <v>121</v>
      </c>
      <c r="E1191" s="19" t="s">
        <v>10459</v>
      </c>
      <c r="F1191" s="21">
        <f t="shared" si="518"/>
        <v>666.37</v>
      </c>
      <c r="G1191" s="21">
        <f t="shared" si="518"/>
        <v>666.37</v>
      </c>
      <c r="H1191" s="21">
        <f t="shared" si="518"/>
        <v>666.37</v>
      </c>
      <c r="I1191" s="24" t="str">
        <f t="shared" si="519"/>
        <v xml:space="preserve">COM VALOR</v>
      </c>
      <c r="L1191" s="36">
        <v>666.37</v>
      </c>
      <c r="M1191" s="37">
        <v>666.37</v>
      </c>
      <c r="N1191" s="36">
        <v>666.37</v>
      </c>
    </row>
    <row r="1192" ht="38.25">
      <c r="A1192" s="19" t="s">
        <v>10460</v>
      </c>
      <c r="B1192" s="19">
        <v>43360</v>
      </c>
      <c r="C1192" s="20" t="s">
        <v>11648</v>
      </c>
      <c r="D1192" s="19" t="s">
        <v>121</v>
      </c>
      <c r="E1192" s="19" t="s">
        <v>10459</v>
      </c>
      <c r="F1192" s="21">
        <f t="shared" si="518"/>
        <v>694.83000000000004</v>
      </c>
      <c r="G1192" s="21">
        <f t="shared" si="518"/>
        <v>694.83000000000004</v>
      </c>
      <c r="H1192" s="21">
        <f t="shared" si="518"/>
        <v>694.83000000000004</v>
      </c>
      <c r="I1192" s="24" t="str">
        <f t="shared" si="519"/>
        <v xml:space="preserve">COM VALOR</v>
      </c>
      <c r="L1192" s="36">
        <v>694.83000000000004</v>
      </c>
      <c r="M1192" s="37">
        <v>694.83000000000004</v>
      </c>
      <c r="N1192" s="36">
        <v>694.83000000000004</v>
      </c>
    </row>
    <row r="1193" ht="51">
      <c r="A1193" s="19" t="s">
        <v>10460</v>
      </c>
      <c r="B1193" s="19">
        <v>11145</v>
      </c>
      <c r="C1193" s="20" t="s">
        <v>11649</v>
      </c>
      <c r="D1193" s="19" t="s">
        <v>121</v>
      </c>
      <c r="E1193" s="19" t="s">
        <v>10459</v>
      </c>
      <c r="F1193" s="21">
        <f t="shared" si="518"/>
        <v>662.14999999999998</v>
      </c>
      <c r="G1193" s="21">
        <f t="shared" si="518"/>
        <v>662.14999999999998</v>
      </c>
      <c r="H1193" s="21">
        <f t="shared" si="518"/>
        <v>662.14999999999998</v>
      </c>
      <c r="I1193" s="24" t="str">
        <f t="shared" si="519"/>
        <v xml:space="preserve">COM VALOR</v>
      </c>
      <c r="L1193" s="36">
        <v>662.14999999999998</v>
      </c>
      <c r="M1193" s="37">
        <v>662.14999999999998</v>
      </c>
      <c r="N1193" s="36">
        <v>662.14999999999998</v>
      </c>
    </row>
    <row r="1194" ht="38.25">
      <c r="A1194" s="19" t="s">
        <v>10460</v>
      </c>
      <c r="B1194" s="19">
        <v>34495</v>
      </c>
      <c r="C1194" s="20" t="s">
        <v>11650</v>
      </c>
      <c r="D1194" s="19" t="s">
        <v>121</v>
      </c>
      <c r="E1194" s="19" t="s">
        <v>10459</v>
      </c>
      <c r="F1194" s="21">
        <f t="shared" si="518"/>
        <v>614.15999999999997</v>
      </c>
      <c r="G1194" s="21">
        <f t="shared" si="518"/>
        <v>614.15999999999997</v>
      </c>
      <c r="H1194" s="21">
        <f t="shared" si="518"/>
        <v>614.15999999999997</v>
      </c>
      <c r="I1194" s="24" t="str">
        <f t="shared" si="519"/>
        <v xml:space="preserve">COM VALOR</v>
      </c>
      <c r="L1194" s="36">
        <v>614.15999999999997</v>
      </c>
      <c r="M1194" s="37">
        <v>614.15999999999997</v>
      </c>
      <c r="N1194" s="36">
        <v>614.15999999999997</v>
      </c>
    </row>
    <row r="1195" ht="51">
      <c r="A1195" s="19" t="s">
        <v>10460</v>
      </c>
      <c r="B1195" s="19">
        <v>34479</v>
      </c>
      <c r="C1195" s="20" t="s">
        <v>11651</v>
      </c>
      <c r="D1195" s="19" t="s">
        <v>121</v>
      </c>
      <c r="E1195" s="19" t="s">
        <v>10459</v>
      </c>
      <c r="F1195" s="21">
        <f t="shared" si="518"/>
        <v>681.34000000000003</v>
      </c>
      <c r="G1195" s="21">
        <f t="shared" si="518"/>
        <v>681.34000000000003</v>
      </c>
      <c r="H1195" s="21">
        <f t="shared" si="518"/>
        <v>681.34000000000003</v>
      </c>
      <c r="I1195" s="24" t="str">
        <f t="shared" si="519"/>
        <v xml:space="preserve">COM VALOR</v>
      </c>
      <c r="L1195" s="36">
        <v>681.34000000000003</v>
      </c>
      <c r="M1195" s="37">
        <v>681.34000000000003</v>
      </c>
      <c r="N1195" s="36">
        <v>681.34000000000003</v>
      </c>
    </row>
    <row r="1196" ht="38.25">
      <c r="A1196" s="19" t="s">
        <v>10460</v>
      </c>
      <c r="B1196" s="19">
        <v>34496</v>
      </c>
      <c r="C1196" s="20" t="s">
        <v>11652</v>
      </c>
      <c r="D1196" s="19" t="s">
        <v>121</v>
      </c>
      <c r="E1196" s="19" t="s">
        <v>10459</v>
      </c>
      <c r="F1196" s="21">
        <f t="shared" si="518"/>
        <v>640.67999999999995</v>
      </c>
      <c r="G1196" s="21">
        <f t="shared" si="518"/>
        <v>640.67999999999995</v>
      </c>
      <c r="H1196" s="21">
        <f t="shared" si="518"/>
        <v>640.67999999999995</v>
      </c>
      <c r="I1196" s="24" t="str">
        <f t="shared" si="519"/>
        <v xml:space="preserve">COM VALOR</v>
      </c>
      <c r="L1196" s="36">
        <v>640.67999999999995</v>
      </c>
      <c r="M1196" s="37">
        <v>640.67999999999995</v>
      </c>
      <c r="N1196" s="36">
        <v>640.67999999999995</v>
      </c>
    </row>
    <row r="1197" ht="51">
      <c r="A1197" s="19" t="s">
        <v>10460</v>
      </c>
      <c r="B1197" s="19">
        <v>34481</v>
      </c>
      <c r="C1197" s="20" t="s">
        <v>11653</v>
      </c>
      <c r="D1197" s="19" t="s">
        <v>121</v>
      </c>
      <c r="E1197" s="19" t="s">
        <v>10459</v>
      </c>
      <c r="F1197" s="21">
        <f t="shared" si="518"/>
        <v>711.91999999999996</v>
      </c>
      <c r="G1197" s="21">
        <f t="shared" si="518"/>
        <v>711.91999999999996</v>
      </c>
      <c r="H1197" s="21">
        <f t="shared" si="518"/>
        <v>711.91999999999996</v>
      </c>
      <c r="I1197" s="24" t="str">
        <f t="shared" si="519"/>
        <v xml:space="preserve">COM VALOR</v>
      </c>
      <c r="L1197" s="36">
        <v>711.91999999999996</v>
      </c>
      <c r="M1197" s="37">
        <v>711.91999999999996</v>
      </c>
      <c r="N1197" s="36">
        <v>711.91999999999996</v>
      </c>
    </row>
    <row r="1198" ht="51">
      <c r="A1198" s="19" t="s">
        <v>10460</v>
      </c>
      <c r="B1198" s="19">
        <v>34483</v>
      </c>
      <c r="C1198" s="20" t="s">
        <v>11654</v>
      </c>
      <c r="D1198" s="19" t="s">
        <v>121</v>
      </c>
      <c r="E1198" s="19" t="s">
        <v>10459</v>
      </c>
      <c r="F1198" s="21">
        <f t="shared" si="518"/>
        <v>760.63999999999999</v>
      </c>
      <c r="G1198" s="21">
        <f t="shared" si="518"/>
        <v>760.63999999999999</v>
      </c>
      <c r="H1198" s="21">
        <f t="shared" si="518"/>
        <v>760.63999999999999</v>
      </c>
      <c r="I1198" s="24" t="str">
        <f t="shared" si="519"/>
        <v xml:space="preserve">COM VALOR</v>
      </c>
      <c r="L1198" s="36">
        <v>760.63999999999999</v>
      </c>
      <c r="M1198" s="37">
        <v>760.63999999999999</v>
      </c>
      <c r="N1198" s="36">
        <v>760.63999999999999</v>
      </c>
    </row>
    <row r="1199" ht="51">
      <c r="A1199" s="19" t="s">
        <v>10460</v>
      </c>
      <c r="B1199" s="19">
        <v>34485</v>
      </c>
      <c r="C1199" s="20" t="s">
        <v>11655</v>
      </c>
      <c r="D1199" s="19" t="s">
        <v>121</v>
      </c>
      <c r="E1199" s="19" t="s">
        <v>10459</v>
      </c>
      <c r="F1199" s="21">
        <f t="shared" si="518"/>
        <v>813.40999999999997</v>
      </c>
      <c r="G1199" s="21">
        <f t="shared" si="518"/>
        <v>813.40999999999997</v>
      </c>
      <c r="H1199" s="21">
        <f t="shared" si="518"/>
        <v>813.40999999999997</v>
      </c>
      <c r="I1199" s="24" t="str">
        <f t="shared" si="519"/>
        <v xml:space="preserve">COM VALOR</v>
      </c>
      <c r="L1199" s="36">
        <v>813.40999999999997</v>
      </c>
      <c r="M1199" s="37">
        <v>813.40999999999997</v>
      </c>
      <c r="N1199" s="36">
        <v>813.40999999999997</v>
      </c>
    </row>
    <row r="1200" ht="38.25">
      <c r="A1200" s="19" t="s">
        <v>10460</v>
      </c>
      <c r="B1200" s="19">
        <v>14041</v>
      </c>
      <c r="C1200" s="20" t="s">
        <v>11656</v>
      </c>
      <c r="D1200" s="19" t="s">
        <v>121</v>
      </c>
      <c r="E1200" s="19" t="s">
        <v>10459</v>
      </c>
      <c r="F1200" s="21">
        <f t="shared" si="518"/>
        <v>528.75999999999999</v>
      </c>
      <c r="G1200" s="21">
        <f t="shared" si="518"/>
        <v>528.75999999999999</v>
      </c>
      <c r="H1200" s="21">
        <f t="shared" si="518"/>
        <v>528.75999999999999</v>
      </c>
      <c r="I1200" s="24" t="str">
        <f t="shared" si="519"/>
        <v xml:space="preserve">COM VALOR</v>
      </c>
      <c r="L1200" s="36">
        <v>528.75999999999999</v>
      </c>
      <c r="M1200" s="37">
        <v>528.75999999999999</v>
      </c>
      <c r="N1200" s="36">
        <v>528.75999999999999</v>
      </c>
    </row>
    <row r="1201" ht="38.25">
      <c r="A1201" s="19" t="s">
        <v>10460</v>
      </c>
      <c r="B1201" s="19">
        <v>1523</v>
      </c>
      <c r="C1201" s="20" t="s">
        <v>11657</v>
      </c>
      <c r="D1201" s="19" t="s">
        <v>121</v>
      </c>
      <c r="E1201" s="19" t="s">
        <v>10459</v>
      </c>
      <c r="F1201" s="21">
        <f t="shared" si="518"/>
        <v>537.39999999999998</v>
      </c>
      <c r="G1201" s="21">
        <f t="shared" si="518"/>
        <v>537.39999999999998</v>
      </c>
      <c r="H1201" s="21">
        <f t="shared" si="518"/>
        <v>537.39999999999998</v>
      </c>
      <c r="I1201" s="24" t="str">
        <f t="shared" si="519"/>
        <v xml:space="preserve">COM VALOR</v>
      </c>
      <c r="L1201" s="36">
        <v>537.39999999999998</v>
      </c>
      <c r="M1201" s="37">
        <v>537.39999999999998</v>
      </c>
      <c r="N1201" s="36">
        <v>537.39999999999998</v>
      </c>
    </row>
    <row r="1202" ht="25.5">
      <c r="A1202" s="19" t="s">
        <v>10460</v>
      </c>
      <c r="B1202" s="19">
        <v>14054</v>
      </c>
      <c r="C1202" s="20" t="s">
        <v>11658</v>
      </c>
      <c r="D1202" s="19" t="s">
        <v>31</v>
      </c>
      <c r="E1202" s="19" t="s">
        <v>10459</v>
      </c>
      <c r="F1202" s="21">
        <f t="shared" si="518"/>
        <v>17.239999999999998</v>
      </c>
      <c r="G1202" s="21">
        <f t="shared" si="518"/>
        <v>17.239999999999998</v>
      </c>
      <c r="H1202" s="21">
        <f t="shared" si="518"/>
        <v>17.239999999999998</v>
      </c>
      <c r="I1202" s="24" t="str">
        <f t="shared" si="519"/>
        <v xml:space="preserve">COM VALOR</v>
      </c>
      <c r="L1202" s="36">
        <v>17.239999999999998</v>
      </c>
      <c r="M1202" s="37">
        <v>17.239999999999998</v>
      </c>
      <c r="N1202" s="36">
        <v>17.239999999999998</v>
      </c>
    </row>
    <row r="1203" ht="25.5">
      <c r="A1203" s="19" t="s">
        <v>10460</v>
      </c>
      <c r="B1203" s="19">
        <v>14052</v>
      </c>
      <c r="C1203" s="20" t="s">
        <v>11659</v>
      </c>
      <c r="D1203" s="19" t="s">
        <v>31</v>
      </c>
      <c r="E1203" s="19" t="s">
        <v>10459</v>
      </c>
      <c r="F1203" s="21">
        <f t="shared" si="518"/>
        <v>13.26</v>
      </c>
      <c r="G1203" s="21">
        <f t="shared" si="518"/>
        <v>13.26</v>
      </c>
      <c r="H1203" s="21">
        <f t="shared" si="518"/>
        <v>13.26</v>
      </c>
      <c r="I1203" s="24" t="str">
        <f t="shared" si="519"/>
        <v xml:space="preserve">COM VALOR</v>
      </c>
      <c r="L1203" s="36">
        <v>13.26</v>
      </c>
      <c r="M1203" s="37">
        <v>13.26</v>
      </c>
      <c r="N1203" s="36">
        <v>13.26</v>
      </c>
    </row>
    <row r="1204" ht="25.5">
      <c r="A1204" s="19" t="s">
        <v>10460</v>
      </c>
      <c r="B1204" s="19">
        <v>14053</v>
      </c>
      <c r="C1204" s="20" t="s">
        <v>11660</v>
      </c>
      <c r="D1204" s="19" t="s">
        <v>31</v>
      </c>
      <c r="E1204" s="19" t="s">
        <v>10459</v>
      </c>
      <c r="F1204" s="21">
        <f t="shared" si="518"/>
        <v>13.460000000000001</v>
      </c>
      <c r="G1204" s="21">
        <f t="shared" si="518"/>
        <v>13.460000000000001</v>
      </c>
      <c r="H1204" s="21">
        <f t="shared" si="518"/>
        <v>13.460000000000001</v>
      </c>
      <c r="I1204" s="24" t="str">
        <f t="shared" si="519"/>
        <v xml:space="preserve">COM VALOR</v>
      </c>
      <c r="L1204" s="36">
        <v>13.460000000000001</v>
      </c>
      <c r="M1204" s="37">
        <v>13.460000000000001</v>
      </c>
      <c r="N1204" s="36">
        <v>13.460000000000001</v>
      </c>
    </row>
    <row r="1205" ht="25.5">
      <c r="A1205" s="19" t="s">
        <v>10460</v>
      </c>
      <c r="B1205" s="19">
        <v>2560</v>
      </c>
      <c r="C1205" s="20" t="s">
        <v>11661</v>
      </c>
      <c r="D1205" s="19" t="s">
        <v>31</v>
      </c>
      <c r="E1205" s="19" t="s">
        <v>10459</v>
      </c>
      <c r="F1205" s="21">
        <f t="shared" si="518"/>
        <v>17.84</v>
      </c>
      <c r="G1205" s="21">
        <f t="shared" si="518"/>
        <v>17.84</v>
      </c>
      <c r="H1205" s="21">
        <f t="shared" si="518"/>
        <v>17.84</v>
      </c>
      <c r="I1205" s="24" t="str">
        <f t="shared" si="519"/>
        <v xml:space="preserve">COM VALOR</v>
      </c>
      <c r="L1205" s="36">
        <v>17.84</v>
      </c>
      <c r="M1205" s="37">
        <v>17.84</v>
      </c>
      <c r="N1205" s="36">
        <v>17.84</v>
      </c>
    </row>
    <row r="1206" ht="25.5">
      <c r="A1206" s="19" t="s">
        <v>10460</v>
      </c>
      <c r="B1206" s="19">
        <v>2558</v>
      </c>
      <c r="C1206" s="20" t="s">
        <v>11662</v>
      </c>
      <c r="D1206" s="19" t="s">
        <v>31</v>
      </c>
      <c r="E1206" s="19" t="s">
        <v>10459</v>
      </c>
      <c r="F1206" s="21">
        <f t="shared" si="518"/>
        <v>10.140000000000001</v>
      </c>
      <c r="G1206" s="21">
        <f t="shared" si="518"/>
        <v>10.140000000000001</v>
      </c>
      <c r="H1206" s="21">
        <f t="shared" si="518"/>
        <v>10.140000000000001</v>
      </c>
      <c r="I1206" s="24" t="str">
        <f t="shared" si="519"/>
        <v xml:space="preserve">COM VALOR</v>
      </c>
      <c r="L1206" s="36">
        <v>10.140000000000001</v>
      </c>
      <c r="M1206" s="37">
        <v>10.140000000000001</v>
      </c>
      <c r="N1206" s="36">
        <v>10.140000000000001</v>
      </c>
    </row>
    <row r="1207" ht="25.5">
      <c r="A1207" s="19" t="s">
        <v>10460</v>
      </c>
      <c r="B1207" s="19">
        <v>2559</v>
      </c>
      <c r="C1207" s="20" t="s">
        <v>11663</v>
      </c>
      <c r="D1207" s="19" t="s">
        <v>31</v>
      </c>
      <c r="E1207" s="19" t="s">
        <v>10466</v>
      </c>
      <c r="F1207" s="21">
        <f t="shared" si="518"/>
        <v>14.27</v>
      </c>
      <c r="G1207" s="21">
        <f t="shared" si="518"/>
        <v>14.27</v>
      </c>
      <c r="H1207" s="21">
        <f t="shared" si="518"/>
        <v>14.27</v>
      </c>
      <c r="I1207" s="24" t="str">
        <f t="shared" si="519"/>
        <v xml:space="preserve">COM VALOR</v>
      </c>
      <c r="L1207" s="36">
        <v>14.27</v>
      </c>
      <c r="M1207" s="37">
        <v>14.27</v>
      </c>
      <c r="N1207" s="36">
        <v>14.27</v>
      </c>
    </row>
    <row r="1208" ht="25.5">
      <c r="A1208" s="19" t="s">
        <v>10460</v>
      </c>
      <c r="B1208" s="19">
        <v>2592</v>
      </c>
      <c r="C1208" s="20" t="s">
        <v>11664</v>
      </c>
      <c r="D1208" s="19" t="s">
        <v>31</v>
      </c>
      <c r="E1208" s="19" t="s">
        <v>10459</v>
      </c>
      <c r="F1208" s="21">
        <f t="shared" si="518"/>
        <v>236.56</v>
      </c>
      <c r="G1208" s="21">
        <f t="shared" si="518"/>
        <v>236.56</v>
      </c>
      <c r="H1208" s="21">
        <f t="shared" si="518"/>
        <v>236.56</v>
      </c>
      <c r="I1208" s="24" t="str">
        <f t="shared" si="519"/>
        <v xml:space="preserve">COM VALOR</v>
      </c>
      <c r="L1208" s="36">
        <v>236.56</v>
      </c>
      <c r="M1208" s="37">
        <v>236.56</v>
      </c>
      <c r="N1208" s="36">
        <v>236.56</v>
      </c>
    </row>
    <row r="1209" ht="25.5">
      <c r="A1209" s="19" t="s">
        <v>10460</v>
      </c>
      <c r="B1209" s="19">
        <v>2589</v>
      </c>
      <c r="C1209" s="20" t="s">
        <v>11665</v>
      </c>
      <c r="D1209" s="19" t="s">
        <v>31</v>
      </c>
      <c r="E1209" s="19" t="s">
        <v>10459</v>
      </c>
      <c r="F1209" s="21">
        <f t="shared" si="518"/>
        <v>31.640000000000001</v>
      </c>
      <c r="G1209" s="21">
        <f t="shared" si="518"/>
        <v>31.640000000000001</v>
      </c>
      <c r="H1209" s="21">
        <f t="shared" si="518"/>
        <v>31.640000000000001</v>
      </c>
      <c r="I1209" s="24" t="str">
        <f t="shared" si="519"/>
        <v xml:space="preserve">COM VALOR</v>
      </c>
      <c r="L1209" s="36">
        <v>31.640000000000001</v>
      </c>
      <c r="M1209" s="37">
        <v>31.640000000000001</v>
      </c>
      <c r="N1209" s="36">
        <v>31.640000000000001</v>
      </c>
    </row>
    <row r="1210" ht="25.5">
      <c r="A1210" s="19" t="s">
        <v>10460</v>
      </c>
      <c r="B1210" s="19">
        <v>2566</v>
      </c>
      <c r="C1210" s="20" t="s">
        <v>11666</v>
      </c>
      <c r="D1210" s="19" t="s">
        <v>31</v>
      </c>
      <c r="E1210" s="19" t="s">
        <v>10459</v>
      </c>
      <c r="F1210" s="21">
        <f t="shared" si="518"/>
        <v>23.809999999999999</v>
      </c>
      <c r="G1210" s="21">
        <f t="shared" si="518"/>
        <v>23.809999999999999</v>
      </c>
      <c r="H1210" s="21">
        <f t="shared" si="518"/>
        <v>23.809999999999999</v>
      </c>
      <c r="I1210" s="24" t="str">
        <f t="shared" si="519"/>
        <v xml:space="preserve">COM VALOR</v>
      </c>
      <c r="L1210" s="36">
        <v>23.809999999999999</v>
      </c>
      <c r="M1210" s="37">
        <v>23.809999999999999</v>
      </c>
      <c r="N1210" s="36">
        <v>23.809999999999999</v>
      </c>
    </row>
    <row r="1211" ht="25.5">
      <c r="A1211" s="19" t="s">
        <v>10460</v>
      </c>
      <c r="B1211" s="19">
        <v>2590</v>
      </c>
      <c r="C1211" s="20" t="s">
        <v>11667</v>
      </c>
      <c r="D1211" s="19" t="s">
        <v>31</v>
      </c>
      <c r="E1211" s="19" t="s">
        <v>10459</v>
      </c>
      <c r="F1211" s="21">
        <f t="shared" si="518"/>
        <v>19.420000000000002</v>
      </c>
      <c r="G1211" s="21">
        <f t="shared" si="518"/>
        <v>19.420000000000002</v>
      </c>
      <c r="H1211" s="21">
        <f t="shared" si="518"/>
        <v>19.420000000000002</v>
      </c>
      <c r="I1211" s="24" t="str">
        <f t="shared" si="519"/>
        <v xml:space="preserve">COM VALOR</v>
      </c>
      <c r="L1211" s="36">
        <v>19.420000000000002</v>
      </c>
      <c r="M1211" s="37">
        <v>19.420000000000002</v>
      </c>
      <c r="N1211" s="36">
        <v>19.420000000000002</v>
      </c>
    </row>
    <row r="1212" ht="25.5">
      <c r="A1212" s="19" t="s">
        <v>10460</v>
      </c>
      <c r="B1212" s="19">
        <v>2591</v>
      </c>
      <c r="C1212" s="20" t="s">
        <v>11668</v>
      </c>
      <c r="D1212" s="19" t="s">
        <v>31</v>
      </c>
      <c r="E1212" s="19" t="s">
        <v>10459</v>
      </c>
      <c r="F1212" s="21">
        <f t="shared" si="518"/>
        <v>11.539999999999999</v>
      </c>
      <c r="G1212" s="21">
        <f t="shared" si="518"/>
        <v>11.539999999999999</v>
      </c>
      <c r="H1212" s="21">
        <f t="shared" si="518"/>
        <v>11.539999999999999</v>
      </c>
      <c r="I1212" s="24" t="str">
        <f t="shared" si="519"/>
        <v xml:space="preserve">COM VALOR</v>
      </c>
      <c r="L1212" s="36">
        <v>11.539999999999999</v>
      </c>
      <c r="M1212" s="37">
        <v>11.539999999999999</v>
      </c>
      <c r="N1212" s="36">
        <v>11.539999999999999</v>
      </c>
    </row>
    <row r="1213" ht="25.5">
      <c r="A1213" s="19" t="s">
        <v>10460</v>
      </c>
      <c r="B1213" s="19">
        <v>2567</v>
      </c>
      <c r="C1213" s="20" t="s">
        <v>11669</v>
      </c>
      <c r="D1213" s="19" t="s">
        <v>31</v>
      </c>
      <c r="E1213" s="19" t="s">
        <v>10459</v>
      </c>
      <c r="F1213" s="21">
        <f t="shared" si="518"/>
        <v>46.409999999999997</v>
      </c>
      <c r="G1213" s="21">
        <f t="shared" si="518"/>
        <v>46.409999999999997</v>
      </c>
      <c r="H1213" s="21">
        <f t="shared" si="518"/>
        <v>46.409999999999997</v>
      </c>
      <c r="I1213" s="24" t="str">
        <f t="shared" si="519"/>
        <v xml:space="preserve">COM VALOR</v>
      </c>
      <c r="L1213" s="36">
        <v>46.409999999999997</v>
      </c>
      <c r="M1213" s="37">
        <v>46.409999999999997</v>
      </c>
      <c r="N1213" s="36">
        <v>46.409999999999997</v>
      </c>
    </row>
    <row r="1214" ht="25.5">
      <c r="A1214" s="19" t="s">
        <v>10460</v>
      </c>
      <c r="B1214" s="19">
        <v>2568</v>
      </c>
      <c r="C1214" s="20" t="s">
        <v>11670</v>
      </c>
      <c r="D1214" s="19" t="s">
        <v>31</v>
      </c>
      <c r="E1214" s="19" t="s">
        <v>10459</v>
      </c>
      <c r="F1214" s="21">
        <f t="shared" si="518"/>
        <v>128.88999999999999</v>
      </c>
      <c r="G1214" s="21">
        <f t="shared" si="518"/>
        <v>128.88999999999999</v>
      </c>
      <c r="H1214" s="21">
        <f t="shared" si="518"/>
        <v>128.88999999999999</v>
      </c>
      <c r="I1214" s="24" t="str">
        <f t="shared" si="519"/>
        <v xml:space="preserve">COM VALOR</v>
      </c>
      <c r="L1214" s="36">
        <v>128.88999999999999</v>
      </c>
      <c r="M1214" s="37">
        <v>128.88999999999999</v>
      </c>
      <c r="N1214" s="36">
        <v>128.88999999999999</v>
      </c>
    </row>
    <row r="1215" ht="25.5">
      <c r="A1215" s="19" t="s">
        <v>10460</v>
      </c>
      <c r="B1215" s="19">
        <v>2565</v>
      </c>
      <c r="C1215" s="20" t="s">
        <v>11671</v>
      </c>
      <c r="D1215" s="19" t="s">
        <v>31</v>
      </c>
      <c r="E1215" s="19" t="s">
        <v>10459</v>
      </c>
      <c r="F1215" s="21">
        <f t="shared" si="518"/>
        <v>11.56</v>
      </c>
      <c r="G1215" s="21">
        <f t="shared" si="518"/>
        <v>11.56</v>
      </c>
      <c r="H1215" s="21">
        <f t="shared" si="518"/>
        <v>11.56</v>
      </c>
      <c r="I1215" s="24" t="str">
        <f t="shared" si="519"/>
        <v xml:space="preserve">COM VALOR</v>
      </c>
      <c r="L1215" s="36">
        <v>11.56</v>
      </c>
      <c r="M1215" s="37">
        <v>11.56</v>
      </c>
      <c r="N1215" s="36">
        <v>11.56</v>
      </c>
    </row>
    <row r="1216" ht="25.5">
      <c r="A1216" s="19" t="s">
        <v>10460</v>
      </c>
      <c r="B1216" s="19">
        <v>2594</v>
      </c>
      <c r="C1216" s="20" t="s">
        <v>11672</v>
      </c>
      <c r="D1216" s="19" t="s">
        <v>31</v>
      </c>
      <c r="E1216" s="19" t="s">
        <v>10459</v>
      </c>
      <c r="F1216" s="21">
        <f t="shared" si="518"/>
        <v>214.72</v>
      </c>
      <c r="G1216" s="21">
        <f t="shared" si="518"/>
        <v>214.72</v>
      </c>
      <c r="H1216" s="21">
        <f t="shared" si="518"/>
        <v>214.72</v>
      </c>
      <c r="I1216" s="24" t="str">
        <f t="shared" si="519"/>
        <v xml:space="preserve">COM VALOR</v>
      </c>
      <c r="L1216" s="36">
        <v>214.72</v>
      </c>
      <c r="M1216" s="37">
        <v>214.72</v>
      </c>
      <c r="N1216" s="36">
        <v>214.72</v>
      </c>
    </row>
    <row r="1217" ht="25.5">
      <c r="A1217" s="19" t="s">
        <v>10460</v>
      </c>
      <c r="B1217" s="19">
        <v>2587</v>
      </c>
      <c r="C1217" s="20" t="s">
        <v>11673</v>
      </c>
      <c r="D1217" s="19" t="s">
        <v>31</v>
      </c>
      <c r="E1217" s="19" t="s">
        <v>10459</v>
      </c>
      <c r="F1217" s="21">
        <f t="shared" si="518"/>
        <v>36.590000000000003</v>
      </c>
      <c r="G1217" s="21">
        <f t="shared" si="518"/>
        <v>36.590000000000003</v>
      </c>
      <c r="H1217" s="21">
        <f t="shared" si="518"/>
        <v>36.590000000000003</v>
      </c>
      <c r="I1217" s="24" t="str">
        <f t="shared" si="519"/>
        <v xml:space="preserve">COM VALOR</v>
      </c>
      <c r="L1217" s="36">
        <v>36.590000000000003</v>
      </c>
      <c r="M1217" s="37">
        <v>36.590000000000003</v>
      </c>
      <c r="N1217" s="36">
        <v>36.590000000000003</v>
      </c>
    </row>
    <row r="1218" ht="25.5">
      <c r="A1218" s="19" t="s">
        <v>10460</v>
      </c>
      <c r="B1218" s="19">
        <v>2588</v>
      </c>
      <c r="C1218" s="20" t="s">
        <v>11674</v>
      </c>
      <c r="D1218" s="19" t="s">
        <v>31</v>
      </c>
      <c r="E1218" s="19" t="s">
        <v>10459</v>
      </c>
      <c r="F1218" s="21">
        <f t="shared" si="518"/>
        <v>29.07</v>
      </c>
      <c r="G1218" s="21">
        <f t="shared" si="518"/>
        <v>29.07</v>
      </c>
      <c r="H1218" s="21">
        <f t="shared" si="518"/>
        <v>29.07</v>
      </c>
      <c r="I1218" s="24" t="str">
        <f t="shared" si="519"/>
        <v xml:space="preserve">COM VALOR</v>
      </c>
      <c r="L1218" s="36">
        <v>29.07</v>
      </c>
      <c r="M1218" s="37">
        <v>29.07</v>
      </c>
      <c r="N1218" s="36">
        <v>29.07</v>
      </c>
    </row>
    <row r="1219" ht="25.5">
      <c r="A1219" s="19" t="s">
        <v>10460</v>
      </c>
      <c r="B1219" s="19">
        <v>2570</v>
      </c>
      <c r="C1219" s="20" t="s">
        <v>11675</v>
      </c>
      <c r="D1219" s="19" t="s">
        <v>31</v>
      </c>
      <c r="E1219" s="19" t="s">
        <v>10459</v>
      </c>
      <c r="F1219" s="21">
        <f t="shared" si="518"/>
        <v>18.77</v>
      </c>
      <c r="G1219" s="21">
        <f t="shared" si="518"/>
        <v>18.77</v>
      </c>
      <c r="H1219" s="21">
        <f t="shared" si="518"/>
        <v>18.77</v>
      </c>
      <c r="I1219" s="24" t="str">
        <f t="shared" si="519"/>
        <v xml:space="preserve">COM VALOR</v>
      </c>
      <c r="L1219" s="36">
        <v>18.77</v>
      </c>
      <c r="M1219" s="37">
        <v>18.77</v>
      </c>
      <c r="N1219" s="36">
        <v>18.77</v>
      </c>
    </row>
    <row r="1220" ht="25.5">
      <c r="A1220" s="19" t="s">
        <v>10460</v>
      </c>
      <c r="B1220" s="19">
        <v>2569</v>
      </c>
      <c r="C1220" s="20" t="s">
        <v>11676</v>
      </c>
      <c r="D1220" s="19" t="s">
        <v>31</v>
      </c>
      <c r="E1220" s="19" t="s">
        <v>10459</v>
      </c>
      <c r="F1220" s="21">
        <f t="shared" si="518"/>
        <v>11.199999999999999</v>
      </c>
      <c r="G1220" s="21">
        <f t="shared" si="518"/>
        <v>11.199999999999999</v>
      </c>
      <c r="H1220" s="21">
        <f t="shared" si="518"/>
        <v>11.199999999999999</v>
      </c>
      <c r="I1220" s="24" t="str">
        <f t="shared" si="519"/>
        <v xml:space="preserve">COM VALOR</v>
      </c>
      <c r="L1220" s="36">
        <v>11.199999999999999</v>
      </c>
      <c r="M1220" s="37">
        <v>11.199999999999999</v>
      </c>
      <c r="N1220" s="36">
        <v>11.199999999999999</v>
      </c>
    </row>
    <row r="1221" ht="25.5">
      <c r="A1221" s="19" t="s">
        <v>10460</v>
      </c>
      <c r="B1221" s="19">
        <v>2571</v>
      </c>
      <c r="C1221" s="20" t="s">
        <v>11677</v>
      </c>
      <c r="D1221" s="19" t="s">
        <v>31</v>
      </c>
      <c r="E1221" s="19" t="s">
        <v>10459</v>
      </c>
      <c r="F1221" s="21">
        <f t="shared" si="518"/>
        <v>55.729999999999997</v>
      </c>
      <c r="G1221" s="21">
        <f t="shared" si="518"/>
        <v>55.729999999999997</v>
      </c>
      <c r="H1221" s="21">
        <f t="shared" si="518"/>
        <v>55.729999999999997</v>
      </c>
      <c r="I1221" s="24" t="str">
        <f t="shared" si="519"/>
        <v xml:space="preserve">COM VALOR</v>
      </c>
      <c r="L1221" s="36">
        <v>55.729999999999997</v>
      </c>
      <c r="M1221" s="37">
        <v>55.729999999999997</v>
      </c>
      <c r="N1221" s="36">
        <v>55.729999999999997</v>
      </c>
    </row>
    <row r="1222" ht="25.5">
      <c r="A1222" s="19" t="s">
        <v>10460</v>
      </c>
      <c r="B1222" s="19">
        <v>2572</v>
      </c>
      <c r="C1222" s="20" t="s">
        <v>11678</v>
      </c>
      <c r="D1222" s="19" t="s">
        <v>31</v>
      </c>
      <c r="E1222" s="19" t="s">
        <v>10459</v>
      </c>
      <c r="F1222" s="21">
        <f t="shared" si="518"/>
        <v>164.81999999999999</v>
      </c>
      <c r="G1222" s="21">
        <f t="shared" si="518"/>
        <v>164.81999999999999</v>
      </c>
      <c r="H1222" s="21">
        <f t="shared" si="518"/>
        <v>164.81999999999999</v>
      </c>
      <c r="I1222" s="24" t="str">
        <f t="shared" si="519"/>
        <v xml:space="preserve">COM VALOR</v>
      </c>
      <c r="L1222" s="36">
        <v>164.81999999999999</v>
      </c>
      <c r="M1222" s="37">
        <v>164.81999999999999</v>
      </c>
      <c r="N1222" s="36">
        <v>164.81999999999999</v>
      </c>
    </row>
    <row r="1223" ht="25.5">
      <c r="A1223" s="19" t="s">
        <v>10460</v>
      </c>
      <c r="B1223" s="19">
        <v>2593</v>
      </c>
      <c r="C1223" s="20" t="s">
        <v>11679</v>
      </c>
      <c r="D1223" s="19" t="s">
        <v>31</v>
      </c>
      <c r="E1223" s="19" t="s">
        <v>10459</v>
      </c>
      <c r="F1223" s="21">
        <f t="shared" si="518"/>
        <v>11.94</v>
      </c>
      <c r="G1223" s="21">
        <f t="shared" si="518"/>
        <v>11.94</v>
      </c>
      <c r="H1223" s="21">
        <f t="shared" si="518"/>
        <v>11.94</v>
      </c>
      <c r="I1223" s="24" t="str">
        <f t="shared" si="519"/>
        <v xml:space="preserve">COM VALOR</v>
      </c>
      <c r="L1223" s="36">
        <v>11.94</v>
      </c>
      <c r="M1223" s="37">
        <v>11.94</v>
      </c>
      <c r="N1223" s="36">
        <v>11.94</v>
      </c>
    </row>
    <row r="1224" ht="25.5">
      <c r="A1224" s="19" t="s">
        <v>10460</v>
      </c>
      <c r="B1224" s="19">
        <v>2595</v>
      </c>
      <c r="C1224" s="20" t="s">
        <v>11680</v>
      </c>
      <c r="D1224" s="19" t="s">
        <v>31</v>
      </c>
      <c r="E1224" s="19" t="s">
        <v>10459</v>
      </c>
      <c r="F1224" s="21">
        <f t="shared" si="518"/>
        <v>257.16000000000003</v>
      </c>
      <c r="G1224" s="21">
        <f t="shared" si="518"/>
        <v>257.16000000000003</v>
      </c>
      <c r="H1224" s="21">
        <f t="shared" si="518"/>
        <v>257.16000000000003</v>
      </c>
      <c r="I1224" s="24" t="str">
        <f t="shared" si="519"/>
        <v xml:space="preserve">COM VALOR</v>
      </c>
      <c r="L1224" s="36">
        <v>257.16000000000003</v>
      </c>
      <c r="M1224" s="37">
        <v>257.16000000000003</v>
      </c>
      <c r="N1224" s="36">
        <v>257.16000000000003</v>
      </c>
    </row>
    <row r="1225" ht="25.5">
      <c r="A1225" s="19" t="s">
        <v>10460</v>
      </c>
      <c r="B1225" s="19">
        <v>2576</v>
      </c>
      <c r="C1225" s="20" t="s">
        <v>11681</v>
      </c>
      <c r="D1225" s="19" t="s">
        <v>31</v>
      </c>
      <c r="E1225" s="19" t="s">
        <v>10459</v>
      </c>
      <c r="F1225" s="21">
        <f t="shared" si="518"/>
        <v>43.840000000000003</v>
      </c>
      <c r="G1225" s="21">
        <f t="shared" si="518"/>
        <v>43.840000000000003</v>
      </c>
      <c r="H1225" s="21">
        <f t="shared" si="518"/>
        <v>43.840000000000003</v>
      </c>
      <c r="I1225" s="24" t="str">
        <f t="shared" si="519"/>
        <v xml:space="preserve">COM VALOR</v>
      </c>
      <c r="L1225" s="36">
        <v>43.840000000000003</v>
      </c>
      <c r="M1225" s="37">
        <v>43.840000000000003</v>
      </c>
      <c r="N1225" s="36">
        <v>43.840000000000003</v>
      </c>
    </row>
    <row r="1226" ht="25.5">
      <c r="A1226" s="19" t="s">
        <v>10460</v>
      </c>
      <c r="B1226" s="19">
        <v>2575</v>
      </c>
      <c r="C1226" s="20" t="s">
        <v>11682</v>
      </c>
      <c r="D1226" s="19" t="s">
        <v>31</v>
      </c>
      <c r="E1226" s="19" t="s">
        <v>10459</v>
      </c>
      <c r="F1226" s="21">
        <f t="shared" si="518"/>
        <v>32.950000000000003</v>
      </c>
      <c r="G1226" s="21">
        <f t="shared" si="518"/>
        <v>32.950000000000003</v>
      </c>
      <c r="H1226" s="21">
        <f t="shared" si="518"/>
        <v>32.950000000000003</v>
      </c>
      <c r="I1226" s="24" t="str">
        <f t="shared" si="519"/>
        <v xml:space="preserve">COM VALOR</v>
      </c>
      <c r="L1226" s="36">
        <v>32.950000000000003</v>
      </c>
      <c r="M1226" s="37">
        <v>32.950000000000003</v>
      </c>
      <c r="N1226" s="36">
        <v>32.950000000000003</v>
      </c>
    </row>
    <row r="1227" ht="25.5">
      <c r="A1227" s="19" t="s">
        <v>10460</v>
      </c>
      <c r="B1227" s="19">
        <v>2586</v>
      </c>
      <c r="C1227" s="20" t="s">
        <v>11683</v>
      </c>
      <c r="D1227" s="19" t="s">
        <v>31</v>
      </c>
      <c r="E1227" s="19" t="s">
        <v>10459</v>
      </c>
      <c r="F1227" s="21">
        <f t="shared" ref="F1227:H1290" si="520">IF(L1227=0,"VERIFICAR",L1227)</f>
        <v>22.18</v>
      </c>
      <c r="G1227" s="21">
        <f t="shared" si="520"/>
        <v>22.18</v>
      </c>
      <c r="H1227" s="21">
        <f t="shared" si="520"/>
        <v>22.18</v>
      </c>
      <c r="I1227" s="24" t="str">
        <f t="shared" ref="I1227:I1290" si="521">IF(OR(L1227=0,M1227=0,N1227=0),"SEM VALOR","COM VALOR")</f>
        <v xml:space="preserve">COM VALOR</v>
      </c>
      <c r="L1227" s="36">
        <v>22.18</v>
      </c>
      <c r="M1227" s="37">
        <v>22.18</v>
      </c>
      <c r="N1227" s="36">
        <v>22.18</v>
      </c>
    </row>
    <row r="1228" ht="25.5">
      <c r="A1228" s="19" t="s">
        <v>10460</v>
      </c>
      <c r="B1228" s="19">
        <v>2573</v>
      </c>
      <c r="C1228" s="20" t="s">
        <v>11684</v>
      </c>
      <c r="D1228" s="19" t="s">
        <v>31</v>
      </c>
      <c r="E1228" s="19" t="s">
        <v>10459</v>
      </c>
      <c r="F1228" s="21">
        <f t="shared" si="520"/>
        <v>13.68</v>
      </c>
      <c r="G1228" s="21">
        <f t="shared" si="520"/>
        <v>13.68</v>
      </c>
      <c r="H1228" s="21">
        <f t="shared" si="520"/>
        <v>13.68</v>
      </c>
      <c r="I1228" s="24" t="str">
        <f t="shared" si="521"/>
        <v xml:space="preserve">COM VALOR</v>
      </c>
      <c r="L1228" s="36">
        <v>13.68</v>
      </c>
      <c r="M1228" s="37">
        <v>13.68</v>
      </c>
      <c r="N1228" s="36">
        <v>13.68</v>
      </c>
    </row>
    <row r="1229" ht="25.5">
      <c r="A1229" s="19" t="s">
        <v>10460</v>
      </c>
      <c r="B1229" s="19">
        <v>2577</v>
      </c>
      <c r="C1229" s="20" t="s">
        <v>11685</v>
      </c>
      <c r="D1229" s="19" t="s">
        <v>31</v>
      </c>
      <c r="E1229" s="19" t="s">
        <v>10459</v>
      </c>
      <c r="F1229" s="21">
        <f t="shared" si="520"/>
        <v>59.399999999999999</v>
      </c>
      <c r="G1229" s="21">
        <f t="shared" si="520"/>
        <v>59.399999999999999</v>
      </c>
      <c r="H1229" s="21">
        <f t="shared" si="520"/>
        <v>59.399999999999999</v>
      </c>
      <c r="I1229" s="24" t="str">
        <f t="shared" si="521"/>
        <v xml:space="preserve">COM VALOR</v>
      </c>
      <c r="L1229" s="36">
        <v>59.399999999999999</v>
      </c>
      <c r="M1229" s="37">
        <v>59.399999999999999</v>
      </c>
      <c r="N1229" s="36">
        <v>59.399999999999999</v>
      </c>
    </row>
    <row r="1230" ht="25.5">
      <c r="A1230" s="19" t="s">
        <v>10460</v>
      </c>
      <c r="B1230" s="19">
        <v>2578</v>
      </c>
      <c r="C1230" s="20" t="s">
        <v>11686</v>
      </c>
      <c r="D1230" s="19" t="s">
        <v>31</v>
      </c>
      <c r="E1230" s="19" t="s">
        <v>10459</v>
      </c>
      <c r="F1230" s="21">
        <f t="shared" si="520"/>
        <v>185.44999999999999</v>
      </c>
      <c r="G1230" s="21">
        <f t="shared" si="520"/>
        <v>185.44999999999999</v>
      </c>
      <c r="H1230" s="21">
        <f t="shared" si="520"/>
        <v>185.44999999999999</v>
      </c>
      <c r="I1230" s="24" t="str">
        <f t="shared" si="521"/>
        <v xml:space="preserve">COM VALOR</v>
      </c>
      <c r="L1230" s="36">
        <v>185.44999999999999</v>
      </c>
      <c r="M1230" s="37">
        <v>185.44999999999999</v>
      </c>
      <c r="N1230" s="36">
        <v>185.44999999999999</v>
      </c>
    </row>
    <row r="1231" ht="25.5">
      <c r="A1231" s="19" t="s">
        <v>10460</v>
      </c>
      <c r="B1231" s="19">
        <v>2574</v>
      </c>
      <c r="C1231" s="20" t="s">
        <v>11687</v>
      </c>
      <c r="D1231" s="19" t="s">
        <v>31</v>
      </c>
      <c r="E1231" s="19" t="s">
        <v>10459</v>
      </c>
      <c r="F1231" s="21">
        <f t="shared" si="520"/>
        <v>13.77</v>
      </c>
      <c r="G1231" s="21">
        <f t="shared" si="520"/>
        <v>13.77</v>
      </c>
      <c r="H1231" s="21">
        <f t="shared" si="520"/>
        <v>13.77</v>
      </c>
      <c r="I1231" s="24" t="str">
        <f t="shared" si="521"/>
        <v xml:space="preserve">COM VALOR</v>
      </c>
      <c r="L1231" s="36">
        <v>13.77</v>
      </c>
      <c r="M1231" s="37">
        <v>13.77</v>
      </c>
      <c r="N1231" s="36">
        <v>13.77</v>
      </c>
    </row>
    <row r="1232" ht="25.5">
      <c r="A1232" s="19" t="s">
        <v>10460</v>
      </c>
      <c r="B1232" s="19">
        <v>2585</v>
      </c>
      <c r="C1232" s="20" t="s">
        <v>11688</v>
      </c>
      <c r="D1232" s="19" t="s">
        <v>31</v>
      </c>
      <c r="E1232" s="19" t="s">
        <v>10459</v>
      </c>
      <c r="F1232" s="21">
        <f t="shared" si="520"/>
        <v>254.49000000000001</v>
      </c>
      <c r="G1232" s="21">
        <f t="shared" si="520"/>
        <v>254.49000000000001</v>
      </c>
      <c r="H1232" s="21">
        <f t="shared" si="520"/>
        <v>254.49000000000001</v>
      </c>
      <c r="I1232" s="24" t="str">
        <f t="shared" si="521"/>
        <v xml:space="preserve">COM VALOR</v>
      </c>
      <c r="L1232" s="36">
        <v>254.49000000000001</v>
      </c>
      <c r="M1232" s="37">
        <v>254.49000000000001</v>
      </c>
      <c r="N1232" s="36">
        <v>254.49000000000001</v>
      </c>
    </row>
    <row r="1233" ht="25.5">
      <c r="A1233" s="19" t="s">
        <v>10460</v>
      </c>
      <c r="B1233" s="19">
        <v>12008</v>
      </c>
      <c r="C1233" s="20" t="s">
        <v>11689</v>
      </c>
      <c r="D1233" s="19" t="s">
        <v>31</v>
      </c>
      <c r="E1233" s="19" t="s">
        <v>10459</v>
      </c>
      <c r="F1233" s="21">
        <f t="shared" si="520"/>
        <v>136.53999999999999</v>
      </c>
      <c r="G1233" s="21">
        <f t="shared" si="520"/>
        <v>136.53999999999999</v>
      </c>
      <c r="H1233" s="21">
        <f t="shared" si="520"/>
        <v>136.53999999999999</v>
      </c>
      <c r="I1233" s="24" t="str">
        <f t="shared" si="521"/>
        <v xml:space="preserve">COM VALOR</v>
      </c>
      <c r="L1233" s="36">
        <v>136.53999999999999</v>
      </c>
      <c r="M1233" s="37">
        <v>136.53999999999999</v>
      </c>
      <c r="N1233" s="36">
        <v>136.53999999999999</v>
      </c>
    </row>
    <row r="1234" ht="25.5">
      <c r="A1234" s="19" t="s">
        <v>10460</v>
      </c>
      <c r="B1234" s="19">
        <v>2582</v>
      </c>
      <c r="C1234" s="20" t="s">
        <v>11690</v>
      </c>
      <c r="D1234" s="19" t="s">
        <v>31</v>
      </c>
      <c r="E1234" s="19" t="s">
        <v>10459</v>
      </c>
      <c r="F1234" s="21">
        <f t="shared" si="520"/>
        <v>40.659999999999997</v>
      </c>
      <c r="G1234" s="21">
        <f t="shared" si="520"/>
        <v>40.659999999999997</v>
      </c>
      <c r="H1234" s="21">
        <f t="shared" si="520"/>
        <v>40.659999999999997</v>
      </c>
      <c r="I1234" s="24" t="str">
        <f t="shared" si="521"/>
        <v xml:space="preserve">COM VALOR</v>
      </c>
      <c r="L1234" s="36">
        <v>40.659999999999997</v>
      </c>
      <c r="M1234" s="37">
        <v>40.659999999999997</v>
      </c>
      <c r="N1234" s="36">
        <v>40.659999999999997</v>
      </c>
    </row>
    <row r="1235" ht="25.5">
      <c r="A1235" s="19" t="s">
        <v>10460</v>
      </c>
      <c r="B1235" s="19">
        <v>2597</v>
      </c>
      <c r="C1235" s="20" t="s">
        <v>11691</v>
      </c>
      <c r="D1235" s="19" t="s">
        <v>31</v>
      </c>
      <c r="E1235" s="19" t="s">
        <v>10459</v>
      </c>
      <c r="F1235" s="21">
        <f t="shared" si="520"/>
        <v>34.850000000000001</v>
      </c>
      <c r="G1235" s="21">
        <f t="shared" si="520"/>
        <v>34.850000000000001</v>
      </c>
      <c r="H1235" s="21">
        <f t="shared" si="520"/>
        <v>34.850000000000001</v>
      </c>
      <c r="I1235" s="24" t="str">
        <f t="shared" si="521"/>
        <v xml:space="preserve">COM VALOR</v>
      </c>
      <c r="L1235" s="36">
        <v>34.850000000000001</v>
      </c>
      <c r="M1235" s="37">
        <v>34.850000000000001</v>
      </c>
      <c r="N1235" s="36">
        <v>34.850000000000001</v>
      </c>
    </row>
    <row r="1236" ht="25.5">
      <c r="A1236" s="19" t="s">
        <v>10460</v>
      </c>
      <c r="B1236" s="19">
        <v>2581</v>
      </c>
      <c r="C1236" s="20" t="s">
        <v>11692</v>
      </c>
      <c r="D1236" s="19" t="s">
        <v>31</v>
      </c>
      <c r="E1236" s="19" t="s">
        <v>10459</v>
      </c>
      <c r="F1236" s="21">
        <f t="shared" si="520"/>
        <v>21.23</v>
      </c>
      <c r="G1236" s="21">
        <f t="shared" si="520"/>
        <v>21.23</v>
      </c>
      <c r="H1236" s="21">
        <f t="shared" si="520"/>
        <v>21.23</v>
      </c>
      <c r="I1236" s="24" t="str">
        <f t="shared" si="521"/>
        <v xml:space="preserve">COM VALOR</v>
      </c>
      <c r="L1236" s="36">
        <v>21.23</v>
      </c>
      <c r="M1236" s="37">
        <v>21.23</v>
      </c>
      <c r="N1236" s="36">
        <v>21.23</v>
      </c>
    </row>
    <row r="1237" ht="25.5">
      <c r="A1237" s="19" t="s">
        <v>10460</v>
      </c>
      <c r="B1237" s="19">
        <v>2579</v>
      </c>
      <c r="C1237" s="20" t="s">
        <v>11693</v>
      </c>
      <c r="D1237" s="19" t="s">
        <v>31</v>
      </c>
      <c r="E1237" s="19" t="s">
        <v>10459</v>
      </c>
      <c r="F1237" s="21">
        <f t="shared" si="520"/>
        <v>16.59</v>
      </c>
      <c r="G1237" s="21">
        <f t="shared" si="520"/>
        <v>16.59</v>
      </c>
      <c r="H1237" s="21">
        <f t="shared" si="520"/>
        <v>16.59</v>
      </c>
      <c r="I1237" s="24" t="str">
        <f t="shared" si="521"/>
        <v xml:space="preserve">COM VALOR</v>
      </c>
      <c r="L1237" s="36">
        <v>16.59</v>
      </c>
      <c r="M1237" s="37">
        <v>16.59</v>
      </c>
      <c r="N1237" s="36">
        <v>16.59</v>
      </c>
    </row>
    <row r="1238" ht="25.5">
      <c r="A1238" s="19" t="s">
        <v>10460</v>
      </c>
      <c r="B1238" s="19">
        <v>2596</v>
      </c>
      <c r="C1238" s="20" t="s">
        <v>11694</v>
      </c>
      <c r="D1238" s="19" t="s">
        <v>31</v>
      </c>
      <c r="E1238" s="19" t="s">
        <v>10459</v>
      </c>
      <c r="F1238" s="21">
        <f t="shared" si="520"/>
        <v>62.789999999999999</v>
      </c>
      <c r="G1238" s="21">
        <f t="shared" si="520"/>
        <v>62.789999999999999</v>
      </c>
      <c r="H1238" s="21">
        <f t="shared" si="520"/>
        <v>62.789999999999999</v>
      </c>
      <c r="I1238" s="24" t="str">
        <f t="shared" si="521"/>
        <v xml:space="preserve">COM VALOR</v>
      </c>
      <c r="L1238" s="36">
        <v>62.789999999999999</v>
      </c>
      <c r="M1238" s="37">
        <v>62.789999999999999</v>
      </c>
      <c r="N1238" s="36">
        <v>62.789999999999999</v>
      </c>
    </row>
    <row r="1239" ht="25.5">
      <c r="A1239" s="19" t="s">
        <v>10460</v>
      </c>
      <c r="B1239" s="19">
        <v>2583</v>
      </c>
      <c r="C1239" s="20" t="s">
        <v>11695</v>
      </c>
      <c r="D1239" s="19" t="s">
        <v>31</v>
      </c>
      <c r="E1239" s="19" t="s">
        <v>10459</v>
      </c>
      <c r="F1239" s="21">
        <f t="shared" si="520"/>
        <v>152.72</v>
      </c>
      <c r="G1239" s="21">
        <f t="shared" si="520"/>
        <v>152.72</v>
      </c>
      <c r="H1239" s="21">
        <f t="shared" si="520"/>
        <v>152.72</v>
      </c>
      <c r="I1239" s="24" t="str">
        <f t="shared" si="521"/>
        <v xml:space="preserve">COM VALOR</v>
      </c>
      <c r="L1239" s="36">
        <v>152.72</v>
      </c>
      <c r="M1239" s="37">
        <v>152.72</v>
      </c>
      <c r="N1239" s="36">
        <v>152.72</v>
      </c>
    </row>
    <row r="1240" ht="25.5">
      <c r="A1240" s="19" t="s">
        <v>10460</v>
      </c>
      <c r="B1240" s="19">
        <v>2580</v>
      </c>
      <c r="C1240" s="20" t="s">
        <v>11696</v>
      </c>
      <c r="D1240" s="19" t="s">
        <v>31</v>
      </c>
      <c r="E1240" s="19" t="s">
        <v>10459</v>
      </c>
      <c r="F1240" s="21">
        <f t="shared" si="520"/>
        <v>18.18</v>
      </c>
      <c r="G1240" s="21">
        <f t="shared" si="520"/>
        <v>18.18</v>
      </c>
      <c r="H1240" s="21">
        <f t="shared" si="520"/>
        <v>18.18</v>
      </c>
      <c r="I1240" s="24" t="str">
        <f t="shared" si="521"/>
        <v xml:space="preserve">COM VALOR</v>
      </c>
      <c r="L1240" s="36">
        <v>18.18</v>
      </c>
      <c r="M1240" s="37">
        <v>18.18</v>
      </c>
      <c r="N1240" s="36">
        <v>18.18</v>
      </c>
    </row>
    <row r="1241" ht="25.5">
      <c r="A1241" s="19" t="s">
        <v>10460</v>
      </c>
      <c r="B1241" s="19">
        <v>2584</v>
      </c>
      <c r="C1241" s="20" t="s">
        <v>11697</v>
      </c>
      <c r="D1241" s="19" t="s">
        <v>31</v>
      </c>
      <c r="E1241" s="19" t="s">
        <v>10459</v>
      </c>
      <c r="F1241" s="21">
        <f t="shared" si="520"/>
        <v>254.22999999999999</v>
      </c>
      <c r="G1241" s="21">
        <f t="shared" si="520"/>
        <v>254.22999999999999</v>
      </c>
      <c r="H1241" s="21">
        <f t="shared" si="520"/>
        <v>254.22999999999999</v>
      </c>
      <c r="I1241" s="24" t="str">
        <f t="shared" si="521"/>
        <v xml:space="preserve">COM VALOR</v>
      </c>
      <c r="L1241" s="36">
        <v>254.22999999999999</v>
      </c>
      <c r="M1241" s="37">
        <v>254.22999999999999</v>
      </c>
      <c r="N1241" s="36">
        <v>254.22999999999999</v>
      </c>
    </row>
    <row r="1242" ht="12.75">
      <c r="A1242" s="19" t="s">
        <v>10460</v>
      </c>
      <c r="B1242" s="19">
        <v>39329</v>
      </c>
      <c r="C1242" s="20" t="s">
        <v>11698</v>
      </c>
      <c r="D1242" s="19" t="s">
        <v>31</v>
      </c>
      <c r="E1242" s="19" t="s">
        <v>10459</v>
      </c>
      <c r="F1242" s="21">
        <f t="shared" si="520"/>
        <v>7.4900000000000002</v>
      </c>
      <c r="G1242" s="21">
        <f t="shared" si="520"/>
        <v>7.4900000000000002</v>
      </c>
      <c r="H1242" s="21">
        <f t="shared" si="520"/>
        <v>7.4900000000000002</v>
      </c>
      <c r="I1242" s="24" t="str">
        <f t="shared" si="521"/>
        <v xml:space="preserve">COM VALOR</v>
      </c>
      <c r="L1242" s="36">
        <v>7.4900000000000002</v>
      </c>
      <c r="M1242" s="37">
        <v>7.4900000000000002</v>
      </c>
      <c r="N1242" s="36">
        <v>7.4900000000000002</v>
      </c>
    </row>
    <row r="1243" ht="12.75">
      <c r="A1243" s="19" t="s">
        <v>10460</v>
      </c>
      <c r="B1243" s="19">
        <v>12010</v>
      </c>
      <c r="C1243" s="20" t="s">
        <v>11699</v>
      </c>
      <c r="D1243" s="19" t="s">
        <v>31</v>
      </c>
      <c r="E1243" s="19" t="s">
        <v>10459</v>
      </c>
      <c r="F1243" s="21">
        <f t="shared" si="520"/>
        <v>7.1600000000000001</v>
      </c>
      <c r="G1243" s="21">
        <f t="shared" si="520"/>
        <v>7.1600000000000001</v>
      </c>
      <c r="H1243" s="21">
        <f t="shared" si="520"/>
        <v>7.1600000000000001</v>
      </c>
      <c r="I1243" s="24" t="str">
        <f t="shared" si="521"/>
        <v xml:space="preserve">COM VALOR</v>
      </c>
      <c r="L1243" s="36">
        <v>7.1600000000000001</v>
      </c>
      <c r="M1243" s="37">
        <v>7.1600000000000001</v>
      </c>
      <c r="N1243" s="36">
        <v>7.1600000000000001</v>
      </c>
    </row>
    <row r="1244" ht="12.75">
      <c r="A1244" s="19" t="s">
        <v>10460</v>
      </c>
      <c r="B1244" s="19">
        <v>39332</v>
      </c>
      <c r="C1244" s="20" t="s">
        <v>11700</v>
      </c>
      <c r="D1244" s="19" t="s">
        <v>31</v>
      </c>
      <c r="E1244" s="19" t="s">
        <v>10459</v>
      </c>
      <c r="F1244" s="21">
        <f t="shared" si="520"/>
        <v>8.8100000000000005</v>
      </c>
      <c r="G1244" s="21">
        <f t="shared" si="520"/>
        <v>8.8100000000000005</v>
      </c>
      <c r="H1244" s="21">
        <f t="shared" si="520"/>
        <v>8.8100000000000005</v>
      </c>
      <c r="I1244" s="24" t="str">
        <f t="shared" si="521"/>
        <v xml:space="preserve">COM VALOR</v>
      </c>
      <c r="L1244" s="36">
        <v>8.8100000000000005</v>
      </c>
      <c r="M1244" s="37">
        <v>8.8100000000000005</v>
      </c>
      <c r="N1244" s="36">
        <v>8.8100000000000005</v>
      </c>
    </row>
    <row r="1245" ht="12.75">
      <c r="A1245" s="19" t="s">
        <v>10460</v>
      </c>
      <c r="B1245" s="19">
        <v>39330</v>
      </c>
      <c r="C1245" s="20" t="s">
        <v>11701</v>
      </c>
      <c r="D1245" s="19" t="s">
        <v>31</v>
      </c>
      <c r="E1245" s="19" t="s">
        <v>10459</v>
      </c>
      <c r="F1245" s="21">
        <f t="shared" si="520"/>
        <v>7.8799999999999999</v>
      </c>
      <c r="G1245" s="21">
        <f t="shared" si="520"/>
        <v>7.8799999999999999</v>
      </c>
      <c r="H1245" s="21">
        <f t="shared" si="520"/>
        <v>7.8799999999999999</v>
      </c>
      <c r="I1245" s="24" t="str">
        <f t="shared" si="521"/>
        <v xml:space="preserve">COM VALOR</v>
      </c>
      <c r="L1245" s="36">
        <v>7.8799999999999999</v>
      </c>
      <c r="M1245" s="37">
        <v>7.8799999999999999</v>
      </c>
      <c r="N1245" s="36">
        <v>7.8799999999999999</v>
      </c>
    </row>
    <row r="1246" ht="12.75">
      <c r="A1246" s="19" t="s">
        <v>10460</v>
      </c>
      <c r="B1246" s="19">
        <v>39331</v>
      </c>
      <c r="C1246" s="20" t="s">
        <v>11702</v>
      </c>
      <c r="D1246" s="19" t="s">
        <v>31</v>
      </c>
      <c r="E1246" s="19" t="s">
        <v>10459</v>
      </c>
      <c r="F1246" s="21">
        <f t="shared" si="520"/>
        <v>7.0099999999999998</v>
      </c>
      <c r="G1246" s="21">
        <f t="shared" si="520"/>
        <v>7.0099999999999998</v>
      </c>
      <c r="H1246" s="21">
        <f t="shared" si="520"/>
        <v>7.0099999999999998</v>
      </c>
      <c r="I1246" s="24" t="str">
        <f t="shared" si="521"/>
        <v xml:space="preserve">COM VALOR</v>
      </c>
      <c r="L1246" s="36">
        <v>7.0099999999999998</v>
      </c>
      <c r="M1246" s="37">
        <v>7.0099999999999998</v>
      </c>
      <c r="N1246" s="36">
        <v>7.0099999999999998</v>
      </c>
    </row>
    <row r="1247" ht="12.75">
      <c r="A1247" s="19" t="s">
        <v>10460</v>
      </c>
      <c r="B1247" s="19">
        <v>39335</v>
      </c>
      <c r="C1247" s="20" t="s">
        <v>11703</v>
      </c>
      <c r="D1247" s="19" t="s">
        <v>31</v>
      </c>
      <c r="E1247" s="19" t="s">
        <v>10459</v>
      </c>
      <c r="F1247" s="21">
        <f t="shared" si="520"/>
        <v>7.9100000000000001</v>
      </c>
      <c r="G1247" s="21">
        <f t="shared" si="520"/>
        <v>7.9100000000000001</v>
      </c>
      <c r="H1247" s="21">
        <f t="shared" si="520"/>
        <v>7.9100000000000001</v>
      </c>
      <c r="I1247" s="24" t="str">
        <f t="shared" si="521"/>
        <v xml:space="preserve">COM VALOR</v>
      </c>
      <c r="L1247" s="36">
        <v>7.9100000000000001</v>
      </c>
      <c r="M1247" s="37">
        <v>7.9100000000000001</v>
      </c>
      <c r="N1247" s="36">
        <v>7.9100000000000001</v>
      </c>
    </row>
    <row r="1248" ht="12.75">
      <c r="A1248" s="19" t="s">
        <v>10460</v>
      </c>
      <c r="B1248" s="19">
        <v>39333</v>
      </c>
      <c r="C1248" s="20" t="s">
        <v>11704</v>
      </c>
      <c r="D1248" s="19" t="s">
        <v>31</v>
      </c>
      <c r="E1248" s="19" t="s">
        <v>10459</v>
      </c>
      <c r="F1248" s="21">
        <f t="shared" si="520"/>
        <v>6.8300000000000001</v>
      </c>
      <c r="G1248" s="21">
        <f t="shared" si="520"/>
        <v>6.8300000000000001</v>
      </c>
      <c r="H1248" s="21">
        <f t="shared" si="520"/>
        <v>6.8300000000000001</v>
      </c>
      <c r="I1248" s="24" t="str">
        <f t="shared" si="521"/>
        <v xml:space="preserve">COM VALOR</v>
      </c>
      <c r="L1248" s="36">
        <v>6.8300000000000001</v>
      </c>
      <c r="M1248" s="37">
        <v>6.8300000000000001</v>
      </c>
      <c r="N1248" s="36">
        <v>6.8300000000000001</v>
      </c>
    </row>
    <row r="1249" ht="12.75">
      <c r="A1249" s="19" t="s">
        <v>10460</v>
      </c>
      <c r="B1249" s="19">
        <v>39334</v>
      </c>
      <c r="C1249" s="20" t="s">
        <v>11705</v>
      </c>
      <c r="D1249" s="19" t="s">
        <v>31</v>
      </c>
      <c r="E1249" s="19" t="s">
        <v>10459</v>
      </c>
      <c r="F1249" s="21">
        <f t="shared" si="520"/>
        <v>6.29</v>
      </c>
      <c r="G1249" s="21">
        <f t="shared" si="520"/>
        <v>6.29</v>
      </c>
      <c r="H1249" s="21">
        <f t="shared" si="520"/>
        <v>6.29</v>
      </c>
      <c r="I1249" s="24" t="str">
        <f t="shared" si="521"/>
        <v xml:space="preserve">COM VALOR</v>
      </c>
      <c r="L1249" s="36">
        <v>6.29</v>
      </c>
      <c r="M1249" s="37">
        <v>6.29</v>
      </c>
      <c r="N1249" s="36">
        <v>6.29</v>
      </c>
    </row>
    <row r="1250" ht="12.75">
      <c r="A1250" s="19" t="s">
        <v>10460</v>
      </c>
      <c r="B1250" s="19">
        <v>12015</v>
      </c>
      <c r="C1250" s="20" t="s">
        <v>11706</v>
      </c>
      <c r="D1250" s="19" t="s">
        <v>31</v>
      </c>
      <c r="E1250" s="19" t="s">
        <v>10459</v>
      </c>
      <c r="F1250" s="21">
        <f t="shared" si="520"/>
        <v>9.1899999999999995</v>
      </c>
      <c r="G1250" s="21">
        <f t="shared" si="520"/>
        <v>9.1899999999999995</v>
      </c>
      <c r="H1250" s="21">
        <f t="shared" si="520"/>
        <v>9.1899999999999995</v>
      </c>
      <c r="I1250" s="24" t="str">
        <f t="shared" si="521"/>
        <v xml:space="preserve">COM VALOR</v>
      </c>
      <c r="L1250" s="36">
        <v>9.1899999999999995</v>
      </c>
      <c r="M1250" s="37">
        <v>9.1899999999999995</v>
      </c>
      <c r="N1250" s="36">
        <v>9.1899999999999995</v>
      </c>
    </row>
    <row r="1251" ht="12.75">
      <c r="A1251" s="19" t="s">
        <v>10460</v>
      </c>
      <c r="B1251" s="19">
        <v>12016</v>
      </c>
      <c r="C1251" s="20" t="s">
        <v>11707</v>
      </c>
      <c r="D1251" s="19" t="s">
        <v>31</v>
      </c>
      <c r="E1251" s="19" t="s">
        <v>10459</v>
      </c>
      <c r="F1251" s="21">
        <f t="shared" si="520"/>
        <v>7.8899999999999997</v>
      </c>
      <c r="G1251" s="21">
        <f t="shared" si="520"/>
        <v>7.8899999999999997</v>
      </c>
      <c r="H1251" s="21">
        <f t="shared" si="520"/>
        <v>7.8899999999999997</v>
      </c>
      <c r="I1251" s="24" t="str">
        <f t="shared" si="521"/>
        <v xml:space="preserve">COM VALOR</v>
      </c>
      <c r="L1251" s="36">
        <v>7.8899999999999997</v>
      </c>
      <c r="M1251" s="37">
        <v>7.8899999999999997</v>
      </c>
      <c r="N1251" s="36">
        <v>7.8899999999999997</v>
      </c>
    </row>
    <row r="1252" ht="12.75">
      <c r="A1252" s="19" t="s">
        <v>10460</v>
      </c>
      <c r="B1252" s="19">
        <v>12019</v>
      </c>
      <c r="C1252" s="20" t="s">
        <v>11708</v>
      </c>
      <c r="D1252" s="19" t="s">
        <v>31</v>
      </c>
      <c r="E1252" s="19" t="s">
        <v>10459</v>
      </c>
      <c r="F1252" s="21">
        <f t="shared" si="520"/>
        <v>9.1899999999999995</v>
      </c>
      <c r="G1252" s="21">
        <f t="shared" si="520"/>
        <v>9.1899999999999995</v>
      </c>
      <c r="H1252" s="21">
        <f t="shared" si="520"/>
        <v>9.1899999999999995</v>
      </c>
      <c r="I1252" s="24" t="str">
        <f t="shared" si="521"/>
        <v xml:space="preserve">COM VALOR</v>
      </c>
      <c r="L1252" s="36">
        <v>9.1899999999999995</v>
      </c>
      <c r="M1252" s="37">
        <v>9.1899999999999995</v>
      </c>
      <c r="N1252" s="36">
        <v>9.1899999999999995</v>
      </c>
    </row>
    <row r="1253" ht="12.75">
      <c r="A1253" s="19" t="s">
        <v>10460</v>
      </c>
      <c r="B1253" s="19">
        <v>12020</v>
      </c>
      <c r="C1253" s="20" t="s">
        <v>11709</v>
      </c>
      <c r="D1253" s="19" t="s">
        <v>31</v>
      </c>
      <c r="E1253" s="19" t="s">
        <v>10459</v>
      </c>
      <c r="F1253" s="21">
        <f t="shared" si="520"/>
        <v>7.8899999999999997</v>
      </c>
      <c r="G1253" s="21">
        <f t="shared" si="520"/>
        <v>7.8899999999999997</v>
      </c>
      <c r="H1253" s="21">
        <f t="shared" si="520"/>
        <v>7.8899999999999997</v>
      </c>
      <c r="I1253" s="24" t="str">
        <f t="shared" si="521"/>
        <v xml:space="preserve">COM VALOR</v>
      </c>
      <c r="L1253" s="36">
        <v>7.8899999999999997</v>
      </c>
      <c r="M1253" s="37">
        <v>7.8899999999999997</v>
      </c>
      <c r="N1253" s="36">
        <v>7.8899999999999997</v>
      </c>
    </row>
    <row r="1254" ht="12.75">
      <c r="A1254" s="19" t="s">
        <v>10460</v>
      </c>
      <c r="B1254" s="19">
        <v>39338</v>
      </c>
      <c r="C1254" s="20" t="s">
        <v>11710</v>
      </c>
      <c r="D1254" s="19" t="s">
        <v>31</v>
      </c>
      <c r="E1254" s="19" t="s">
        <v>10459</v>
      </c>
      <c r="F1254" s="21">
        <f t="shared" si="520"/>
        <v>8.8100000000000005</v>
      </c>
      <c r="G1254" s="21">
        <f t="shared" si="520"/>
        <v>8.8100000000000005</v>
      </c>
      <c r="H1254" s="21">
        <f t="shared" si="520"/>
        <v>8.8100000000000005</v>
      </c>
      <c r="I1254" s="24" t="str">
        <f t="shared" si="521"/>
        <v xml:space="preserve">COM VALOR</v>
      </c>
      <c r="L1254" s="36">
        <v>8.8100000000000005</v>
      </c>
      <c r="M1254" s="37">
        <v>8.8100000000000005</v>
      </c>
      <c r="N1254" s="36">
        <v>8.8100000000000005</v>
      </c>
    </row>
    <row r="1255" ht="12.75">
      <c r="A1255" s="19" t="s">
        <v>10460</v>
      </c>
      <c r="B1255" s="19">
        <v>39336</v>
      </c>
      <c r="C1255" s="20" t="s">
        <v>11711</v>
      </c>
      <c r="D1255" s="19" t="s">
        <v>31</v>
      </c>
      <c r="E1255" s="19" t="s">
        <v>10459</v>
      </c>
      <c r="F1255" s="21">
        <f t="shared" si="520"/>
        <v>7.8799999999999999</v>
      </c>
      <c r="G1255" s="21">
        <f t="shared" si="520"/>
        <v>7.8799999999999999</v>
      </c>
      <c r="H1255" s="21">
        <f t="shared" si="520"/>
        <v>7.8799999999999999</v>
      </c>
      <c r="I1255" s="24" t="str">
        <f t="shared" si="521"/>
        <v xml:space="preserve">COM VALOR</v>
      </c>
      <c r="L1255" s="36">
        <v>7.8799999999999999</v>
      </c>
      <c r="M1255" s="37">
        <v>7.8799999999999999</v>
      </c>
      <c r="N1255" s="36">
        <v>7.8799999999999999</v>
      </c>
    </row>
    <row r="1256" ht="12.75">
      <c r="A1256" s="19" t="s">
        <v>10460</v>
      </c>
      <c r="B1256" s="19">
        <v>39337</v>
      </c>
      <c r="C1256" s="20" t="s">
        <v>11712</v>
      </c>
      <c r="D1256" s="19" t="s">
        <v>31</v>
      </c>
      <c r="E1256" s="19" t="s">
        <v>10459</v>
      </c>
      <c r="F1256" s="21">
        <f t="shared" si="520"/>
        <v>7.0099999999999998</v>
      </c>
      <c r="G1256" s="21">
        <f t="shared" si="520"/>
        <v>7.0099999999999998</v>
      </c>
      <c r="H1256" s="21">
        <f t="shared" si="520"/>
        <v>7.0099999999999998</v>
      </c>
      <c r="I1256" s="24" t="str">
        <f t="shared" si="521"/>
        <v xml:space="preserve">COM VALOR</v>
      </c>
      <c r="L1256" s="36">
        <v>7.0099999999999998</v>
      </c>
      <c r="M1256" s="37">
        <v>7.0099999999999998</v>
      </c>
      <c r="N1256" s="36">
        <v>7.0099999999999998</v>
      </c>
    </row>
    <row r="1257" ht="12.75">
      <c r="A1257" s="19" t="s">
        <v>10460</v>
      </c>
      <c r="B1257" s="19">
        <v>39341</v>
      </c>
      <c r="C1257" s="20" t="s">
        <v>11713</v>
      </c>
      <c r="D1257" s="19" t="s">
        <v>31</v>
      </c>
      <c r="E1257" s="19" t="s">
        <v>10459</v>
      </c>
      <c r="F1257" s="21">
        <f t="shared" si="520"/>
        <v>11.48</v>
      </c>
      <c r="G1257" s="21">
        <f t="shared" si="520"/>
        <v>11.48</v>
      </c>
      <c r="H1257" s="21">
        <f t="shared" si="520"/>
        <v>11.48</v>
      </c>
      <c r="I1257" s="24" t="str">
        <f t="shared" si="521"/>
        <v xml:space="preserve">COM VALOR</v>
      </c>
      <c r="L1257" s="36">
        <v>11.48</v>
      </c>
      <c r="M1257" s="37">
        <v>11.48</v>
      </c>
      <c r="N1257" s="36">
        <v>11.48</v>
      </c>
    </row>
    <row r="1258" ht="12.75">
      <c r="A1258" s="19" t="s">
        <v>10460</v>
      </c>
      <c r="B1258" s="19">
        <v>39340</v>
      </c>
      <c r="C1258" s="20" t="s">
        <v>11714</v>
      </c>
      <c r="D1258" s="19" t="s">
        <v>31</v>
      </c>
      <c r="E1258" s="19" t="s">
        <v>10459</v>
      </c>
      <c r="F1258" s="21">
        <f t="shared" si="520"/>
        <v>8.4299999999999997</v>
      </c>
      <c r="G1258" s="21">
        <f t="shared" si="520"/>
        <v>8.4299999999999997</v>
      </c>
      <c r="H1258" s="21">
        <f t="shared" si="520"/>
        <v>8.4299999999999997</v>
      </c>
      <c r="I1258" s="24" t="str">
        <f t="shared" si="521"/>
        <v xml:space="preserve">COM VALOR</v>
      </c>
      <c r="L1258" s="36">
        <v>8.4299999999999997</v>
      </c>
      <c r="M1258" s="37">
        <v>8.4299999999999997</v>
      </c>
      <c r="N1258" s="36">
        <v>8.4299999999999997</v>
      </c>
    </row>
    <row r="1259" ht="12.75">
      <c r="A1259" s="19" t="s">
        <v>10460</v>
      </c>
      <c r="B1259" s="19">
        <v>39342</v>
      </c>
      <c r="C1259" s="20" t="s">
        <v>11715</v>
      </c>
      <c r="D1259" s="19" t="s">
        <v>31</v>
      </c>
      <c r="E1259" s="19" t="s">
        <v>10459</v>
      </c>
      <c r="F1259" s="21">
        <f t="shared" si="520"/>
        <v>11.48</v>
      </c>
      <c r="G1259" s="21">
        <f t="shared" si="520"/>
        <v>11.48</v>
      </c>
      <c r="H1259" s="21">
        <f t="shared" si="520"/>
        <v>11.48</v>
      </c>
      <c r="I1259" s="24" t="str">
        <f t="shared" si="521"/>
        <v xml:space="preserve">COM VALOR</v>
      </c>
      <c r="L1259" s="36">
        <v>11.48</v>
      </c>
      <c r="M1259" s="37">
        <v>11.48</v>
      </c>
      <c r="N1259" s="36">
        <v>11.48</v>
      </c>
    </row>
    <row r="1260" ht="12.75">
      <c r="A1260" s="19" t="s">
        <v>10460</v>
      </c>
      <c r="B1260" s="19">
        <v>12025</v>
      </c>
      <c r="C1260" s="20" t="s">
        <v>11716</v>
      </c>
      <c r="D1260" s="19" t="s">
        <v>31</v>
      </c>
      <c r="E1260" s="19" t="s">
        <v>10459</v>
      </c>
      <c r="F1260" s="21">
        <f t="shared" si="520"/>
        <v>8.7100000000000009</v>
      </c>
      <c r="G1260" s="21">
        <f t="shared" si="520"/>
        <v>8.7100000000000009</v>
      </c>
      <c r="H1260" s="21">
        <f t="shared" si="520"/>
        <v>8.7100000000000009</v>
      </c>
      <c r="I1260" s="24" t="str">
        <f t="shared" si="521"/>
        <v xml:space="preserve">COM VALOR</v>
      </c>
      <c r="L1260" s="36">
        <v>8.7100000000000009</v>
      </c>
      <c r="M1260" s="37">
        <v>8.7100000000000009</v>
      </c>
      <c r="N1260" s="36">
        <v>8.7100000000000009</v>
      </c>
    </row>
    <row r="1261" ht="12.75">
      <c r="A1261" s="19" t="s">
        <v>10460</v>
      </c>
      <c r="B1261" s="19">
        <v>39345</v>
      </c>
      <c r="C1261" s="20" t="s">
        <v>11717</v>
      </c>
      <c r="D1261" s="19" t="s">
        <v>31</v>
      </c>
      <c r="E1261" s="19" t="s">
        <v>10459</v>
      </c>
      <c r="F1261" s="21">
        <f t="shared" si="520"/>
        <v>13.119999999999999</v>
      </c>
      <c r="G1261" s="21">
        <f t="shared" si="520"/>
        <v>13.119999999999999</v>
      </c>
      <c r="H1261" s="21">
        <f t="shared" si="520"/>
        <v>13.119999999999999</v>
      </c>
      <c r="I1261" s="24" t="str">
        <f t="shared" si="521"/>
        <v xml:space="preserve">COM VALOR</v>
      </c>
      <c r="L1261" s="36">
        <v>13.119999999999999</v>
      </c>
      <c r="M1261" s="37">
        <v>13.119999999999999</v>
      </c>
      <c r="N1261" s="36">
        <v>13.119999999999999</v>
      </c>
    </row>
    <row r="1262" ht="12.75">
      <c r="A1262" s="19" t="s">
        <v>10460</v>
      </c>
      <c r="B1262" s="19">
        <v>39343</v>
      </c>
      <c r="C1262" s="20" t="s">
        <v>11718</v>
      </c>
      <c r="D1262" s="19" t="s">
        <v>31</v>
      </c>
      <c r="E1262" s="19" t="s">
        <v>10459</v>
      </c>
      <c r="F1262" s="21">
        <f t="shared" si="520"/>
        <v>9.6899999999999995</v>
      </c>
      <c r="G1262" s="21">
        <f t="shared" si="520"/>
        <v>9.6899999999999995</v>
      </c>
      <c r="H1262" s="21">
        <f t="shared" si="520"/>
        <v>9.6899999999999995</v>
      </c>
      <c r="I1262" s="24" t="str">
        <f t="shared" si="521"/>
        <v xml:space="preserve">COM VALOR</v>
      </c>
      <c r="L1262" s="36">
        <v>9.6899999999999995</v>
      </c>
      <c r="M1262" s="37">
        <v>9.6899999999999995</v>
      </c>
      <c r="N1262" s="36">
        <v>9.6899999999999995</v>
      </c>
    </row>
    <row r="1263" ht="12.75">
      <c r="A1263" s="19" t="s">
        <v>10460</v>
      </c>
      <c r="B1263" s="19">
        <v>39344</v>
      </c>
      <c r="C1263" s="20" t="s">
        <v>11719</v>
      </c>
      <c r="D1263" s="19" t="s">
        <v>31</v>
      </c>
      <c r="E1263" s="19" t="s">
        <v>10459</v>
      </c>
      <c r="F1263" s="21">
        <f t="shared" si="520"/>
        <v>9.3699999999999992</v>
      </c>
      <c r="G1263" s="21">
        <f t="shared" si="520"/>
        <v>9.3699999999999992</v>
      </c>
      <c r="H1263" s="21">
        <f t="shared" si="520"/>
        <v>9.3699999999999992</v>
      </c>
      <c r="I1263" s="24" t="str">
        <f t="shared" si="521"/>
        <v xml:space="preserve">COM VALOR</v>
      </c>
      <c r="L1263" s="36">
        <v>9.3699999999999992</v>
      </c>
      <c r="M1263" s="37">
        <v>9.3699999999999992</v>
      </c>
      <c r="N1263" s="36">
        <v>9.3699999999999992</v>
      </c>
    </row>
    <row r="1264" ht="25.5">
      <c r="A1264" s="19" t="s">
        <v>10460</v>
      </c>
      <c r="B1264" s="19">
        <v>12623</v>
      </c>
      <c r="C1264" s="20" t="s">
        <v>11720</v>
      </c>
      <c r="D1264" s="19" t="s">
        <v>38</v>
      </c>
      <c r="E1264" s="19" t="s">
        <v>10459</v>
      </c>
      <c r="F1264" s="21">
        <f t="shared" si="520"/>
        <v>49.469999999999999</v>
      </c>
      <c r="G1264" s="21">
        <f t="shared" si="520"/>
        <v>49.469999999999999</v>
      </c>
      <c r="H1264" s="21">
        <f t="shared" si="520"/>
        <v>49.469999999999999</v>
      </c>
      <c r="I1264" s="24" t="str">
        <f t="shared" si="521"/>
        <v xml:space="preserve">COM VALOR</v>
      </c>
      <c r="L1264" s="36">
        <v>49.469999999999999</v>
      </c>
      <c r="M1264" s="37">
        <v>49.469999999999999</v>
      </c>
      <c r="N1264" s="36">
        <v>49.469999999999999</v>
      </c>
    </row>
    <row r="1265" ht="25.5">
      <c r="A1265" s="19" t="s">
        <v>10460</v>
      </c>
      <c r="B1265" s="19">
        <v>34498</v>
      </c>
      <c r="C1265" s="20" t="s">
        <v>11721</v>
      </c>
      <c r="D1265" s="19" t="s">
        <v>31</v>
      </c>
      <c r="E1265" s="19" t="s">
        <v>10459</v>
      </c>
      <c r="F1265" s="21">
        <f t="shared" si="520"/>
        <v>110.48999999999999</v>
      </c>
      <c r="G1265" s="21">
        <f t="shared" si="520"/>
        <v>110.48999999999999</v>
      </c>
      <c r="H1265" s="21">
        <f t="shared" si="520"/>
        <v>110.48999999999999</v>
      </c>
      <c r="I1265" s="24" t="str">
        <f t="shared" si="521"/>
        <v xml:space="preserve">COM VALOR</v>
      </c>
      <c r="L1265" s="36">
        <v>110.48999999999999</v>
      </c>
      <c r="M1265" s="37">
        <v>110.48999999999999</v>
      </c>
      <c r="N1265" s="36">
        <v>110.48999999999999</v>
      </c>
    </row>
    <row r="1266" ht="25.5">
      <c r="A1266" s="19" t="s">
        <v>10460</v>
      </c>
      <c r="B1266" s="19">
        <v>13244</v>
      </c>
      <c r="C1266" s="20" t="s">
        <v>11722</v>
      </c>
      <c r="D1266" s="19" t="s">
        <v>31</v>
      </c>
      <c r="E1266" s="19" t="s">
        <v>10466</v>
      </c>
      <c r="F1266" s="21">
        <f t="shared" si="520"/>
        <v>46.509999999999998</v>
      </c>
      <c r="G1266" s="21">
        <f t="shared" si="520"/>
        <v>46.509999999999998</v>
      </c>
      <c r="H1266" s="21">
        <f t="shared" si="520"/>
        <v>46.509999999999998</v>
      </c>
      <c r="I1266" s="24" t="str">
        <f t="shared" si="521"/>
        <v xml:space="preserve">COM VALOR</v>
      </c>
      <c r="L1266" s="36">
        <v>46.509999999999998</v>
      </c>
      <c r="M1266" s="37">
        <v>46.509999999999998</v>
      </c>
      <c r="N1266" s="36">
        <v>46.509999999999998</v>
      </c>
    </row>
    <row r="1267" ht="25.5">
      <c r="A1267" s="19" t="s">
        <v>10460</v>
      </c>
      <c r="B1267" s="19">
        <v>38998</v>
      </c>
      <c r="C1267" s="20" t="s">
        <v>11723</v>
      </c>
      <c r="D1267" s="19" t="s">
        <v>31</v>
      </c>
      <c r="E1267" s="19" t="s">
        <v>10459</v>
      </c>
      <c r="F1267" s="21" t="str">
        <f t="shared" si="520"/>
        <v>VERIFICAR</v>
      </c>
      <c r="G1267" s="21" t="str">
        <f t="shared" si="520"/>
        <v>VERIFICAR</v>
      </c>
      <c r="H1267" s="21" t="str">
        <f t="shared" si="520"/>
        <v>VERIFICAR</v>
      </c>
      <c r="I1267" s="24" t="str">
        <f t="shared" si="521"/>
        <v xml:space="preserve">SEM VALOR</v>
      </c>
      <c r="L1267" s="36"/>
      <c r="M1267" s="37"/>
      <c r="N1267" s="36"/>
    </row>
    <row r="1268" ht="25.5">
      <c r="A1268" s="19" t="s">
        <v>10460</v>
      </c>
      <c r="B1268" s="19">
        <v>38999</v>
      </c>
      <c r="C1268" s="20" t="s">
        <v>11724</v>
      </c>
      <c r="D1268" s="19" t="s">
        <v>31</v>
      </c>
      <c r="E1268" s="19" t="s">
        <v>10459</v>
      </c>
      <c r="F1268" s="21" t="str">
        <f t="shared" si="520"/>
        <v>VERIFICAR</v>
      </c>
      <c r="G1268" s="21" t="str">
        <f t="shared" si="520"/>
        <v>VERIFICAR</v>
      </c>
      <c r="H1268" s="21" t="str">
        <f t="shared" si="520"/>
        <v>VERIFICAR</v>
      </c>
      <c r="I1268" s="24" t="str">
        <f t="shared" si="521"/>
        <v xml:space="preserve">SEM VALOR</v>
      </c>
      <c r="L1268" s="36"/>
      <c r="M1268" s="37"/>
      <c r="N1268" s="36"/>
    </row>
    <row r="1269" ht="25.5">
      <c r="A1269" s="19" t="s">
        <v>10460</v>
      </c>
      <c r="B1269" s="19">
        <v>38996</v>
      </c>
      <c r="C1269" s="20" t="s">
        <v>11725</v>
      </c>
      <c r="D1269" s="19" t="s">
        <v>31</v>
      </c>
      <c r="E1269" s="19" t="s">
        <v>10459</v>
      </c>
      <c r="F1269" s="21" t="str">
        <f t="shared" si="520"/>
        <v>VERIFICAR</v>
      </c>
      <c r="G1269" s="21" t="str">
        <f t="shared" si="520"/>
        <v>VERIFICAR</v>
      </c>
      <c r="H1269" s="21" t="str">
        <f t="shared" si="520"/>
        <v>VERIFICAR</v>
      </c>
      <c r="I1269" s="24" t="str">
        <f t="shared" si="521"/>
        <v xml:space="preserve">SEM VALOR</v>
      </c>
      <c r="L1269" s="36"/>
      <c r="M1269" s="37"/>
      <c r="N1269" s="36"/>
    </row>
    <row r="1270" ht="25.5">
      <c r="A1270" s="19" t="s">
        <v>10460</v>
      </c>
      <c r="B1270" s="19">
        <v>44173</v>
      </c>
      <c r="C1270" s="20" t="s">
        <v>11726</v>
      </c>
      <c r="D1270" s="19" t="s">
        <v>31</v>
      </c>
      <c r="E1270" s="19" t="s">
        <v>10459</v>
      </c>
      <c r="F1270" s="21" t="str">
        <f t="shared" si="520"/>
        <v>VERIFICAR</v>
      </c>
      <c r="G1270" s="21" t="str">
        <f t="shared" si="520"/>
        <v>VERIFICAR</v>
      </c>
      <c r="H1270" s="21" t="str">
        <f t="shared" si="520"/>
        <v>VERIFICAR</v>
      </c>
      <c r="I1270" s="24" t="str">
        <f t="shared" si="521"/>
        <v xml:space="preserve">SEM VALOR</v>
      </c>
      <c r="L1270" s="36"/>
      <c r="M1270" s="37"/>
      <c r="N1270" s="36"/>
    </row>
    <row r="1271" ht="25.5">
      <c r="A1271" s="19" t="s">
        <v>10460</v>
      </c>
      <c r="B1271" s="19">
        <v>44174</v>
      </c>
      <c r="C1271" s="20" t="s">
        <v>11727</v>
      </c>
      <c r="D1271" s="19" t="s">
        <v>31</v>
      </c>
      <c r="E1271" s="19" t="s">
        <v>10459</v>
      </c>
      <c r="F1271" s="21" t="str">
        <f t="shared" si="520"/>
        <v>VERIFICAR</v>
      </c>
      <c r="G1271" s="21" t="str">
        <f t="shared" si="520"/>
        <v>VERIFICAR</v>
      </c>
      <c r="H1271" s="21" t="str">
        <f t="shared" si="520"/>
        <v>VERIFICAR</v>
      </c>
      <c r="I1271" s="24" t="str">
        <f t="shared" si="521"/>
        <v xml:space="preserve">SEM VALOR</v>
      </c>
      <c r="L1271" s="36"/>
      <c r="M1271" s="37"/>
      <c r="N1271" s="36"/>
    </row>
    <row r="1272" ht="25.5">
      <c r="A1272" s="19" t="s">
        <v>10460</v>
      </c>
      <c r="B1272" s="19">
        <v>38997</v>
      </c>
      <c r="C1272" s="20" t="s">
        <v>11728</v>
      </c>
      <c r="D1272" s="19" t="s">
        <v>31</v>
      </c>
      <c r="E1272" s="19" t="s">
        <v>10459</v>
      </c>
      <c r="F1272" s="21" t="str">
        <f t="shared" si="520"/>
        <v>VERIFICAR</v>
      </c>
      <c r="G1272" s="21" t="str">
        <f t="shared" si="520"/>
        <v>VERIFICAR</v>
      </c>
      <c r="H1272" s="21" t="str">
        <f t="shared" si="520"/>
        <v>VERIFICAR</v>
      </c>
      <c r="I1272" s="24" t="str">
        <f t="shared" si="521"/>
        <v xml:space="preserve">SEM VALOR</v>
      </c>
      <c r="L1272" s="36"/>
      <c r="M1272" s="37"/>
      <c r="N1272" s="36"/>
    </row>
    <row r="1273" ht="25.5">
      <c r="A1273" s="19" t="s">
        <v>10460</v>
      </c>
      <c r="B1273" s="19">
        <v>39600</v>
      </c>
      <c r="C1273" s="20" t="s">
        <v>11729</v>
      </c>
      <c r="D1273" s="19" t="s">
        <v>31</v>
      </c>
      <c r="E1273" s="19" t="s">
        <v>10459</v>
      </c>
      <c r="F1273" s="21">
        <f t="shared" si="520"/>
        <v>19.5</v>
      </c>
      <c r="G1273" s="21">
        <f t="shared" si="520"/>
        <v>19.5</v>
      </c>
      <c r="H1273" s="21">
        <f t="shared" si="520"/>
        <v>19.5</v>
      </c>
      <c r="I1273" s="24" t="str">
        <f t="shared" si="521"/>
        <v xml:space="preserve">COM VALOR</v>
      </c>
      <c r="L1273" s="36">
        <v>19.5</v>
      </c>
      <c r="M1273" s="37">
        <v>19.5</v>
      </c>
      <c r="N1273" s="36">
        <v>19.5</v>
      </c>
    </row>
    <row r="1274" ht="25.5">
      <c r="A1274" s="19" t="s">
        <v>10460</v>
      </c>
      <c r="B1274" s="19">
        <v>39601</v>
      </c>
      <c r="C1274" s="20" t="s">
        <v>11730</v>
      </c>
      <c r="D1274" s="19" t="s">
        <v>31</v>
      </c>
      <c r="E1274" s="19" t="s">
        <v>10459</v>
      </c>
      <c r="F1274" s="21">
        <f t="shared" si="520"/>
        <v>41.369999999999997</v>
      </c>
      <c r="G1274" s="21">
        <f t="shared" si="520"/>
        <v>41.369999999999997</v>
      </c>
      <c r="H1274" s="21">
        <f t="shared" si="520"/>
        <v>41.369999999999997</v>
      </c>
      <c r="I1274" s="24" t="str">
        <f t="shared" si="521"/>
        <v xml:space="preserve">COM VALOR</v>
      </c>
      <c r="L1274" s="36">
        <v>41.369999999999997</v>
      </c>
      <c r="M1274" s="37">
        <v>41.369999999999997</v>
      </c>
      <c r="N1274" s="36">
        <v>41.369999999999997</v>
      </c>
    </row>
    <row r="1275" ht="25.5">
      <c r="A1275" s="19" t="s">
        <v>10460</v>
      </c>
      <c r="B1275" s="19">
        <v>39862</v>
      </c>
      <c r="C1275" s="20" t="s">
        <v>11731</v>
      </c>
      <c r="D1275" s="19" t="s">
        <v>31</v>
      </c>
      <c r="E1275" s="19" t="s">
        <v>10459</v>
      </c>
      <c r="F1275" s="21" t="str">
        <f t="shared" si="520"/>
        <v>VERIFICAR</v>
      </c>
      <c r="G1275" s="21" t="str">
        <f t="shared" si="520"/>
        <v>VERIFICAR</v>
      </c>
      <c r="H1275" s="21" t="str">
        <f t="shared" si="520"/>
        <v>VERIFICAR</v>
      </c>
      <c r="I1275" s="24" t="str">
        <f t="shared" si="521"/>
        <v xml:space="preserve">SEM VALOR</v>
      </c>
      <c r="L1275" s="36"/>
      <c r="M1275" s="37"/>
      <c r="N1275" s="36"/>
    </row>
    <row r="1276" ht="25.5">
      <c r="A1276" s="19" t="s">
        <v>10460</v>
      </c>
      <c r="B1276" s="19">
        <v>39863</v>
      </c>
      <c r="C1276" s="20" t="s">
        <v>11732</v>
      </c>
      <c r="D1276" s="19" t="s">
        <v>31</v>
      </c>
      <c r="E1276" s="19" t="s">
        <v>10459</v>
      </c>
      <c r="F1276" s="21" t="str">
        <f t="shared" si="520"/>
        <v>VERIFICAR</v>
      </c>
      <c r="G1276" s="21" t="str">
        <f t="shared" si="520"/>
        <v>VERIFICAR</v>
      </c>
      <c r="H1276" s="21" t="str">
        <f t="shared" si="520"/>
        <v>VERIFICAR</v>
      </c>
      <c r="I1276" s="24" t="str">
        <f t="shared" si="521"/>
        <v xml:space="preserve">SEM VALOR</v>
      </c>
      <c r="L1276" s="36"/>
      <c r="M1276" s="37"/>
      <c r="N1276" s="36"/>
    </row>
    <row r="1277" ht="25.5">
      <c r="A1277" s="19" t="s">
        <v>10460</v>
      </c>
      <c r="B1277" s="19">
        <v>39864</v>
      </c>
      <c r="C1277" s="20" t="s">
        <v>11733</v>
      </c>
      <c r="D1277" s="19" t="s">
        <v>31</v>
      </c>
      <c r="E1277" s="19" t="s">
        <v>10459</v>
      </c>
      <c r="F1277" s="21" t="str">
        <f t="shared" si="520"/>
        <v>VERIFICAR</v>
      </c>
      <c r="G1277" s="21" t="str">
        <f t="shared" si="520"/>
        <v>VERIFICAR</v>
      </c>
      <c r="H1277" s="21" t="str">
        <f t="shared" si="520"/>
        <v>VERIFICAR</v>
      </c>
      <c r="I1277" s="24" t="str">
        <f t="shared" si="521"/>
        <v xml:space="preserve">SEM VALOR</v>
      </c>
      <c r="L1277" s="36"/>
      <c r="M1277" s="37"/>
      <c r="N1277" s="36"/>
    </row>
    <row r="1278" ht="25.5">
      <c r="A1278" s="19" t="s">
        <v>10460</v>
      </c>
      <c r="B1278" s="19">
        <v>39865</v>
      </c>
      <c r="C1278" s="20" t="s">
        <v>11734</v>
      </c>
      <c r="D1278" s="19" t="s">
        <v>31</v>
      </c>
      <c r="E1278" s="19" t="s">
        <v>10459</v>
      </c>
      <c r="F1278" s="21" t="str">
        <f t="shared" si="520"/>
        <v>VERIFICAR</v>
      </c>
      <c r="G1278" s="21" t="str">
        <f t="shared" si="520"/>
        <v>VERIFICAR</v>
      </c>
      <c r="H1278" s="21" t="str">
        <f t="shared" si="520"/>
        <v>VERIFICAR</v>
      </c>
      <c r="I1278" s="24" t="str">
        <f t="shared" si="521"/>
        <v xml:space="preserve">SEM VALOR</v>
      </c>
      <c r="L1278" s="36"/>
      <c r="M1278" s="37"/>
      <c r="N1278" s="36"/>
    </row>
    <row r="1279" ht="38.25">
      <c r="A1279" s="19" t="s">
        <v>10460</v>
      </c>
      <c r="B1279" s="19">
        <v>2517</v>
      </c>
      <c r="C1279" s="20" t="s">
        <v>11735</v>
      </c>
      <c r="D1279" s="19" t="s">
        <v>31</v>
      </c>
      <c r="E1279" s="19" t="s">
        <v>10459</v>
      </c>
      <c r="F1279" s="21">
        <f t="shared" si="520"/>
        <v>25.329999999999998</v>
      </c>
      <c r="G1279" s="21">
        <f t="shared" si="520"/>
        <v>25.329999999999998</v>
      </c>
      <c r="H1279" s="21">
        <f t="shared" si="520"/>
        <v>25.329999999999998</v>
      </c>
      <c r="I1279" s="24" t="str">
        <f t="shared" si="521"/>
        <v xml:space="preserve">COM VALOR</v>
      </c>
      <c r="L1279" s="36">
        <v>25.329999999999998</v>
      </c>
      <c r="M1279" s="37">
        <v>25.329999999999998</v>
      </c>
      <c r="N1279" s="36">
        <v>25.329999999999998</v>
      </c>
    </row>
    <row r="1280" ht="38.25">
      <c r="A1280" s="19" t="s">
        <v>10460</v>
      </c>
      <c r="B1280" s="19">
        <v>2522</v>
      </c>
      <c r="C1280" s="20" t="s">
        <v>11736</v>
      </c>
      <c r="D1280" s="19" t="s">
        <v>31</v>
      </c>
      <c r="E1280" s="19" t="s">
        <v>10459</v>
      </c>
      <c r="F1280" s="21">
        <f t="shared" si="520"/>
        <v>16.370000000000001</v>
      </c>
      <c r="G1280" s="21">
        <f t="shared" si="520"/>
        <v>16.370000000000001</v>
      </c>
      <c r="H1280" s="21">
        <f t="shared" si="520"/>
        <v>16.370000000000001</v>
      </c>
      <c r="I1280" s="24" t="str">
        <f t="shared" si="521"/>
        <v xml:space="preserve">COM VALOR</v>
      </c>
      <c r="L1280" s="36">
        <v>16.370000000000001</v>
      </c>
      <c r="M1280" s="37">
        <v>16.370000000000001</v>
      </c>
      <c r="N1280" s="36">
        <v>16.370000000000001</v>
      </c>
    </row>
    <row r="1281" ht="38.25">
      <c r="A1281" s="19" t="s">
        <v>10460</v>
      </c>
      <c r="B1281" s="19">
        <v>2516</v>
      </c>
      <c r="C1281" s="20" t="s">
        <v>11737</v>
      </c>
      <c r="D1281" s="19" t="s">
        <v>31</v>
      </c>
      <c r="E1281" s="19" t="s">
        <v>10459</v>
      </c>
      <c r="F1281" s="21">
        <f t="shared" si="520"/>
        <v>13.140000000000001</v>
      </c>
      <c r="G1281" s="21">
        <f t="shared" si="520"/>
        <v>13.140000000000001</v>
      </c>
      <c r="H1281" s="21">
        <f t="shared" si="520"/>
        <v>13.140000000000001</v>
      </c>
      <c r="I1281" s="24" t="str">
        <f t="shared" si="521"/>
        <v xml:space="preserve">COM VALOR</v>
      </c>
      <c r="L1281" s="36">
        <v>13.140000000000001</v>
      </c>
      <c r="M1281" s="37">
        <v>13.140000000000001</v>
      </c>
      <c r="N1281" s="36">
        <v>13.140000000000001</v>
      </c>
    </row>
    <row r="1282" ht="38.25">
      <c r="A1282" s="19" t="s">
        <v>10460</v>
      </c>
      <c r="B1282" s="19">
        <v>2548</v>
      </c>
      <c r="C1282" s="20" t="s">
        <v>11738</v>
      </c>
      <c r="D1282" s="19" t="s">
        <v>31</v>
      </c>
      <c r="E1282" s="19" t="s">
        <v>10459</v>
      </c>
      <c r="F1282" s="21">
        <f t="shared" si="520"/>
        <v>10.07</v>
      </c>
      <c r="G1282" s="21">
        <f t="shared" si="520"/>
        <v>10.07</v>
      </c>
      <c r="H1282" s="21">
        <f t="shared" si="520"/>
        <v>10.07</v>
      </c>
      <c r="I1282" s="24" t="str">
        <f t="shared" si="521"/>
        <v xml:space="preserve">COM VALOR</v>
      </c>
      <c r="L1282" s="36">
        <v>10.07</v>
      </c>
      <c r="M1282" s="37">
        <v>10.07</v>
      </c>
      <c r="N1282" s="36">
        <v>10.07</v>
      </c>
    </row>
    <row r="1283" ht="38.25">
      <c r="A1283" s="19" t="s">
        <v>10460</v>
      </c>
      <c r="B1283" s="19">
        <v>2518</v>
      </c>
      <c r="C1283" s="20" t="s">
        <v>11739</v>
      </c>
      <c r="D1283" s="19" t="s">
        <v>31</v>
      </c>
      <c r="E1283" s="19" t="s">
        <v>10459</v>
      </c>
      <c r="F1283" s="21">
        <f t="shared" si="520"/>
        <v>120.56999999999999</v>
      </c>
      <c r="G1283" s="21">
        <f t="shared" si="520"/>
        <v>120.56999999999999</v>
      </c>
      <c r="H1283" s="21">
        <f t="shared" si="520"/>
        <v>120.56999999999999</v>
      </c>
      <c r="I1283" s="24" t="str">
        <f t="shared" si="521"/>
        <v xml:space="preserve">COM VALOR</v>
      </c>
      <c r="L1283" s="36">
        <v>120.56999999999999</v>
      </c>
      <c r="M1283" s="37">
        <v>120.56999999999999</v>
      </c>
      <c r="N1283" s="36">
        <v>120.56999999999999</v>
      </c>
    </row>
    <row r="1284" ht="38.25">
      <c r="A1284" s="19" t="s">
        <v>10460</v>
      </c>
      <c r="B1284" s="19">
        <v>2521</v>
      </c>
      <c r="C1284" s="20" t="s">
        <v>11740</v>
      </c>
      <c r="D1284" s="19" t="s">
        <v>31</v>
      </c>
      <c r="E1284" s="19" t="s">
        <v>10459</v>
      </c>
      <c r="F1284" s="21">
        <f t="shared" si="520"/>
        <v>51.32</v>
      </c>
      <c r="G1284" s="21">
        <f t="shared" si="520"/>
        <v>51.32</v>
      </c>
      <c r="H1284" s="21">
        <f t="shared" si="520"/>
        <v>51.32</v>
      </c>
      <c r="I1284" s="24" t="str">
        <f t="shared" si="521"/>
        <v xml:space="preserve">COM VALOR</v>
      </c>
      <c r="L1284" s="36">
        <v>51.32</v>
      </c>
      <c r="M1284" s="37">
        <v>51.32</v>
      </c>
      <c r="N1284" s="36">
        <v>51.32</v>
      </c>
    </row>
    <row r="1285" ht="38.25">
      <c r="A1285" s="19" t="s">
        <v>10460</v>
      </c>
      <c r="B1285" s="19">
        <v>2519</v>
      </c>
      <c r="C1285" s="20" t="s">
        <v>11741</v>
      </c>
      <c r="D1285" s="19" t="s">
        <v>31</v>
      </c>
      <c r="E1285" s="19" t="s">
        <v>10459</v>
      </c>
      <c r="F1285" s="21">
        <f t="shared" si="520"/>
        <v>145.38</v>
      </c>
      <c r="G1285" s="21">
        <f t="shared" si="520"/>
        <v>145.38</v>
      </c>
      <c r="H1285" s="21">
        <f t="shared" si="520"/>
        <v>145.38</v>
      </c>
      <c r="I1285" s="24" t="str">
        <f t="shared" si="521"/>
        <v xml:space="preserve">COM VALOR</v>
      </c>
      <c r="L1285" s="36">
        <v>145.38</v>
      </c>
      <c r="M1285" s="37">
        <v>145.38</v>
      </c>
      <c r="N1285" s="36">
        <v>145.38</v>
      </c>
    </row>
    <row r="1286" ht="38.25">
      <c r="A1286" s="19" t="s">
        <v>10460</v>
      </c>
      <c r="B1286" s="19">
        <v>2515</v>
      </c>
      <c r="C1286" s="20" t="s">
        <v>11742</v>
      </c>
      <c r="D1286" s="19" t="s">
        <v>31</v>
      </c>
      <c r="E1286" s="19" t="s">
        <v>10459</v>
      </c>
      <c r="F1286" s="21">
        <f t="shared" si="520"/>
        <v>10.94</v>
      </c>
      <c r="G1286" s="21">
        <f t="shared" si="520"/>
        <v>10.94</v>
      </c>
      <c r="H1286" s="21">
        <f t="shared" si="520"/>
        <v>10.94</v>
      </c>
      <c r="I1286" s="24" t="str">
        <f t="shared" si="521"/>
        <v xml:space="preserve">COM VALOR</v>
      </c>
      <c r="L1286" s="36">
        <v>10.94</v>
      </c>
      <c r="M1286" s="37">
        <v>10.94</v>
      </c>
      <c r="N1286" s="36">
        <v>10.94</v>
      </c>
    </row>
    <row r="1287" ht="38.25">
      <c r="A1287" s="19" t="s">
        <v>10460</v>
      </c>
      <c r="B1287" s="19">
        <v>2520</v>
      </c>
      <c r="C1287" s="20" t="s">
        <v>11743</v>
      </c>
      <c r="D1287" s="19" t="s">
        <v>31</v>
      </c>
      <c r="E1287" s="19" t="s">
        <v>10459</v>
      </c>
      <c r="F1287" s="21">
        <f t="shared" si="520"/>
        <v>267.57999999999998</v>
      </c>
      <c r="G1287" s="21">
        <f t="shared" si="520"/>
        <v>267.57999999999998</v>
      </c>
      <c r="H1287" s="21">
        <f t="shared" si="520"/>
        <v>267.57999999999998</v>
      </c>
      <c r="I1287" s="24" t="str">
        <f t="shared" si="521"/>
        <v xml:space="preserve">COM VALOR</v>
      </c>
      <c r="L1287" s="36">
        <v>267.57999999999998</v>
      </c>
      <c r="M1287" s="37">
        <v>267.57999999999998</v>
      </c>
      <c r="N1287" s="36">
        <v>267.57999999999998</v>
      </c>
    </row>
    <row r="1288" ht="25.5">
      <c r="A1288" s="19" t="s">
        <v>10460</v>
      </c>
      <c r="B1288" s="19">
        <v>1602</v>
      </c>
      <c r="C1288" s="20" t="s">
        <v>11744</v>
      </c>
      <c r="D1288" s="19" t="s">
        <v>31</v>
      </c>
      <c r="E1288" s="19" t="s">
        <v>10459</v>
      </c>
      <c r="F1288" s="21">
        <f t="shared" si="520"/>
        <v>51.710000000000001</v>
      </c>
      <c r="G1288" s="21">
        <f t="shared" si="520"/>
        <v>51.710000000000001</v>
      </c>
      <c r="H1288" s="21">
        <f t="shared" si="520"/>
        <v>51.710000000000001</v>
      </c>
      <c r="I1288" s="24" t="str">
        <f t="shared" si="521"/>
        <v xml:space="preserve">COM VALOR</v>
      </c>
      <c r="L1288" s="36">
        <v>51.710000000000001</v>
      </c>
      <c r="M1288" s="37">
        <v>51.710000000000001</v>
      </c>
      <c r="N1288" s="36">
        <v>51.710000000000001</v>
      </c>
    </row>
    <row r="1289" ht="25.5">
      <c r="A1289" s="19" t="s">
        <v>10460</v>
      </c>
      <c r="B1289" s="19">
        <v>1601</v>
      </c>
      <c r="C1289" s="20" t="s">
        <v>11745</v>
      </c>
      <c r="D1289" s="19" t="s">
        <v>31</v>
      </c>
      <c r="E1289" s="19" t="s">
        <v>10459</v>
      </c>
      <c r="F1289" s="21">
        <f t="shared" si="520"/>
        <v>46.079999999999998</v>
      </c>
      <c r="G1289" s="21">
        <f t="shared" si="520"/>
        <v>46.079999999999998</v>
      </c>
      <c r="H1289" s="21">
        <f t="shared" si="520"/>
        <v>46.079999999999998</v>
      </c>
      <c r="I1289" s="24" t="str">
        <f t="shared" si="521"/>
        <v xml:space="preserve">COM VALOR</v>
      </c>
      <c r="L1289" s="36">
        <v>46.079999999999998</v>
      </c>
      <c r="M1289" s="37">
        <v>46.079999999999998</v>
      </c>
      <c r="N1289" s="36">
        <v>46.079999999999998</v>
      </c>
    </row>
    <row r="1290" ht="25.5">
      <c r="A1290" s="19" t="s">
        <v>10460</v>
      </c>
      <c r="B1290" s="19">
        <v>1600</v>
      </c>
      <c r="C1290" s="20" t="s">
        <v>11746</v>
      </c>
      <c r="D1290" s="19" t="s">
        <v>31</v>
      </c>
      <c r="E1290" s="19" t="s">
        <v>10459</v>
      </c>
      <c r="F1290" s="21">
        <f t="shared" si="520"/>
        <v>20.129999999999999</v>
      </c>
      <c r="G1290" s="21">
        <f t="shared" si="520"/>
        <v>20.129999999999999</v>
      </c>
      <c r="H1290" s="21">
        <f t="shared" si="520"/>
        <v>20.129999999999999</v>
      </c>
      <c r="I1290" s="24" t="str">
        <f t="shared" si="521"/>
        <v xml:space="preserve">COM VALOR</v>
      </c>
      <c r="L1290" s="36">
        <v>20.129999999999999</v>
      </c>
      <c r="M1290" s="37">
        <v>20.129999999999999</v>
      </c>
      <c r="N1290" s="36">
        <v>20.129999999999999</v>
      </c>
    </row>
    <row r="1291" ht="25.5">
      <c r="A1291" s="19" t="s">
        <v>10460</v>
      </c>
      <c r="B1291" s="19">
        <v>1598</v>
      </c>
      <c r="C1291" s="20" t="s">
        <v>11747</v>
      </c>
      <c r="D1291" s="19" t="s">
        <v>31</v>
      </c>
      <c r="E1291" s="19" t="s">
        <v>10459</v>
      </c>
      <c r="F1291" s="21">
        <f t="shared" ref="F1291:H1354" si="522">IF(L1291=0,"VERIFICAR",L1291)</f>
        <v>13.640000000000001</v>
      </c>
      <c r="G1291" s="21">
        <f t="shared" si="522"/>
        <v>13.640000000000001</v>
      </c>
      <c r="H1291" s="21">
        <f t="shared" si="522"/>
        <v>13.640000000000001</v>
      </c>
      <c r="I1291" s="24" t="str">
        <f t="shared" ref="I1291:I1354" si="523">IF(OR(L1291=0,M1291=0,N1291=0),"SEM VALOR","COM VALOR")</f>
        <v xml:space="preserve">COM VALOR</v>
      </c>
      <c r="L1291" s="36">
        <v>13.640000000000001</v>
      </c>
      <c r="M1291" s="37">
        <v>13.640000000000001</v>
      </c>
      <c r="N1291" s="36">
        <v>13.640000000000001</v>
      </c>
    </row>
    <row r="1292" ht="25.5">
      <c r="A1292" s="19" t="s">
        <v>10460</v>
      </c>
      <c r="B1292" s="19">
        <v>1603</v>
      </c>
      <c r="C1292" s="20" t="s">
        <v>11748</v>
      </c>
      <c r="D1292" s="19" t="s">
        <v>31</v>
      </c>
      <c r="E1292" s="19" t="s">
        <v>10459</v>
      </c>
      <c r="F1292" s="21">
        <f t="shared" si="522"/>
        <v>78.069999999999993</v>
      </c>
      <c r="G1292" s="21">
        <f t="shared" si="522"/>
        <v>78.069999999999993</v>
      </c>
      <c r="H1292" s="21">
        <f t="shared" si="522"/>
        <v>78.069999999999993</v>
      </c>
      <c r="I1292" s="24" t="str">
        <f t="shared" si="523"/>
        <v xml:space="preserve">COM VALOR</v>
      </c>
      <c r="L1292" s="36">
        <v>78.069999999999993</v>
      </c>
      <c r="M1292" s="37">
        <v>78.069999999999993</v>
      </c>
      <c r="N1292" s="36">
        <v>78.069999999999993</v>
      </c>
    </row>
    <row r="1293" ht="25.5">
      <c r="A1293" s="19" t="s">
        <v>10460</v>
      </c>
      <c r="B1293" s="19">
        <v>1599</v>
      </c>
      <c r="C1293" s="20" t="s">
        <v>11749</v>
      </c>
      <c r="D1293" s="19" t="s">
        <v>31</v>
      </c>
      <c r="E1293" s="19" t="s">
        <v>10459</v>
      </c>
      <c r="F1293" s="21">
        <f t="shared" si="522"/>
        <v>15.82</v>
      </c>
      <c r="G1293" s="21">
        <f t="shared" si="522"/>
        <v>15.82</v>
      </c>
      <c r="H1293" s="21">
        <f t="shared" si="522"/>
        <v>15.82</v>
      </c>
      <c r="I1293" s="24" t="str">
        <f t="shared" si="523"/>
        <v xml:space="preserve">COM VALOR</v>
      </c>
      <c r="L1293" s="36">
        <v>15.82</v>
      </c>
      <c r="M1293" s="37">
        <v>15.82</v>
      </c>
      <c r="N1293" s="36">
        <v>15.82</v>
      </c>
    </row>
    <row r="1294" ht="25.5">
      <c r="A1294" s="19" t="s">
        <v>10460</v>
      </c>
      <c r="B1294" s="19">
        <v>1597</v>
      </c>
      <c r="C1294" s="20" t="s">
        <v>11750</v>
      </c>
      <c r="D1294" s="19" t="s">
        <v>31</v>
      </c>
      <c r="E1294" s="19" t="s">
        <v>10459</v>
      </c>
      <c r="F1294" s="21">
        <f t="shared" si="522"/>
        <v>12.82</v>
      </c>
      <c r="G1294" s="21">
        <f t="shared" si="522"/>
        <v>12.82</v>
      </c>
      <c r="H1294" s="21">
        <f t="shared" si="522"/>
        <v>12.82</v>
      </c>
      <c r="I1294" s="24" t="str">
        <f t="shared" si="523"/>
        <v xml:space="preserve">COM VALOR</v>
      </c>
      <c r="L1294" s="36">
        <v>12.82</v>
      </c>
      <c r="M1294" s="37">
        <v>12.82</v>
      </c>
      <c r="N1294" s="36">
        <v>12.82</v>
      </c>
    </row>
    <row r="1295" ht="25.5">
      <c r="A1295" s="19" t="s">
        <v>10460</v>
      </c>
      <c r="B1295" s="19">
        <v>39602</v>
      </c>
      <c r="C1295" s="20" t="s">
        <v>11751</v>
      </c>
      <c r="D1295" s="19" t="s">
        <v>31</v>
      </c>
      <c r="E1295" s="19" t="s">
        <v>10459</v>
      </c>
      <c r="F1295" s="21">
        <f t="shared" si="522"/>
        <v>2.0699999999999998</v>
      </c>
      <c r="G1295" s="21">
        <f t="shared" si="522"/>
        <v>2.0699999999999998</v>
      </c>
      <c r="H1295" s="21">
        <f t="shared" si="522"/>
        <v>2.0699999999999998</v>
      </c>
      <c r="I1295" s="24" t="str">
        <f t="shared" si="523"/>
        <v xml:space="preserve">COM VALOR</v>
      </c>
      <c r="L1295" s="36">
        <v>2.0699999999999998</v>
      </c>
      <c r="M1295" s="37">
        <v>2.0699999999999998</v>
      </c>
      <c r="N1295" s="36">
        <v>2.0699999999999998</v>
      </c>
    </row>
    <row r="1296" ht="12.75">
      <c r="A1296" s="19" t="s">
        <v>10460</v>
      </c>
      <c r="B1296" s="19">
        <v>39603</v>
      </c>
      <c r="C1296" s="20" t="s">
        <v>11752</v>
      </c>
      <c r="D1296" s="19" t="s">
        <v>31</v>
      </c>
      <c r="E1296" s="19" t="s">
        <v>10459</v>
      </c>
      <c r="F1296" s="21">
        <f t="shared" si="522"/>
        <v>4.4100000000000001</v>
      </c>
      <c r="G1296" s="21">
        <f t="shared" si="522"/>
        <v>4.4100000000000001</v>
      </c>
      <c r="H1296" s="21">
        <f t="shared" si="522"/>
        <v>4.4100000000000001</v>
      </c>
      <c r="I1296" s="24" t="str">
        <f t="shared" si="523"/>
        <v xml:space="preserve">COM VALOR</v>
      </c>
      <c r="L1296" s="36">
        <v>4.4100000000000001</v>
      </c>
      <c r="M1296" s="37">
        <v>4.4100000000000001</v>
      </c>
      <c r="N1296" s="36">
        <v>4.4100000000000001</v>
      </c>
    </row>
    <row r="1297" ht="38.25">
      <c r="A1297" s="19" t="s">
        <v>10460</v>
      </c>
      <c r="B1297" s="19">
        <v>11821</v>
      </c>
      <c r="C1297" s="20" t="s">
        <v>11753</v>
      </c>
      <c r="D1297" s="19" t="s">
        <v>31</v>
      </c>
      <c r="E1297" s="19" t="s">
        <v>10459</v>
      </c>
      <c r="F1297" s="21">
        <f t="shared" si="522"/>
        <v>10.529999999999999</v>
      </c>
      <c r="G1297" s="21">
        <f t="shared" si="522"/>
        <v>10.529999999999999</v>
      </c>
      <c r="H1297" s="21">
        <f t="shared" si="522"/>
        <v>10.529999999999999</v>
      </c>
      <c r="I1297" s="24" t="str">
        <f t="shared" si="523"/>
        <v xml:space="preserve">COM VALOR</v>
      </c>
      <c r="L1297" s="36">
        <v>10.529999999999999</v>
      </c>
      <c r="M1297" s="37">
        <v>10.529999999999999</v>
      </c>
      <c r="N1297" s="36">
        <v>10.529999999999999</v>
      </c>
    </row>
    <row r="1298" ht="38.25">
      <c r="A1298" s="19" t="s">
        <v>10460</v>
      </c>
      <c r="B1298" s="19">
        <v>1562</v>
      </c>
      <c r="C1298" s="20" t="s">
        <v>11754</v>
      </c>
      <c r="D1298" s="19" t="s">
        <v>31</v>
      </c>
      <c r="E1298" s="19" t="s">
        <v>10459</v>
      </c>
      <c r="F1298" s="21">
        <f t="shared" si="522"/>
        <v>17.25</v>
      </c>
      <c r="G1298" s="21">
        <f t="shared" si="522"/>
        <v>17.25</v>
      </c>
      <c r="H1298" s="21">
        <f t="shared" si="522"/>
        <v>17.25</v>
      </c>
      <c r="I1298" s="24" t="str">
        <f t="shared" si="523"/>
        <v xml:space="preserve">COM VALOR</v>
      </c>
      <c r="L1298" s="36">
        <v>17.25</v>
      </c>
      <c r="M1298" s="37">
        <v>17.25</v>
      </c>
      <c r="N1298" s="36">
        <v>17.25</v>
      </c>
    </row>
    <row r="1299" ht="38.25">
      <c r="A1299" s="19" t="s">
        <v>10460</v>
      </c>
      <c r="B1299" s="19">
        <v>1563</v>
      </c>
      <c r="C1299" s="20" t="s">
        <v>11755</v>
      </c>
      <c r="D1299" s="19" t="s">
        <v>31</v>
      </c>
      <c r="E1299" s="19" t="s">
        <v>10459</v>
      </c>
      <c r="F1299" s="21">
        <f t="shared" si="522"/>
        <v>23.140000000000001</v>
      </c>
      <c r="G1299" s="21">
        <f t="shared" si="522"/>
        <v>23.140000000000001</v>
      </c>
      <c r="H1299" s="21">
        <f t="shared" si="522"/>
        <v>23.140000000000001</v>
      </c>
      <c r="I1299" s="24" t="str">
        <f t="shared" si="523"/>
        <v xml:space="preserve">COM VALOR</v>
      </c>
      <c r="L1299" s="36">
        <v>23.140000000000001</v>
      </c>
      <c r="M1299" s="37">
        <v>23.140000000000001</v>
      </c>
      <c r="N1299" s="36">
        <v>23.140000000000001</v>
      </c>
    </row>
    <row r="1300" ht="25.5">
      <c r="A1300" s="19" t="s">
        <v>10460</v>
      </c>
      <c r="B1300" s="19">
        <v>11856</v>
      </c>
      <c r="C1300" s="20" t="s">
        <v>11756</v>
      </c>
      <c r="D1300" s="19" t="s">
        <v>31</v>
      </c>
      <c r="E1300" s="19" t="s">
        <v>10466</v>
      </c>
      <c r="F1300" s="21">
        <f t="shared" si="522"/>
        <v>6.9000000000000004</v>
      </c>
      <c r="G1300" s="21">
        <f t="shared" si="522"/>
        <v>6.9000000000000004</v>
      </c>
      <c r="H1300" s="21">
        <f t="shared" si="522"/>
        <v>6.9000000000000004</v>
      </c>
      <c r="I1300" s="24" t="str">
        <f t="shared" si="523"/>
        <v xml:space="preserve">COM VALOR</v>
      </c>
      <c r="L1300" s="36">
        <v>6.9000000000000004</v>
      </c>
      <c r="M1300" s="37">
        <v>6.9000000000000004</v>
      </c>
      <c r="N1300" s="36">
        <v>6.9000000000000004</v>
      </c>
    </row>
    <row r="1301" ht="25.5">
      <c r="A1301" s="19" t="s">
        <v>10460</v>
      </c>
      <c r="B1301" s="19">
        <v>11857</v>
      </c>
      <c r="C1301" s="20" t="s">
        <v>11757</v>
      </c>
      <c r="D1301" s="19" t="s">
        <v>31</v>
      </c>
      <c r="E1301" s="19" t="s">
        <v>10459</v>
      </c>
      <c r="F1301" s="21">
        <f t="shared" si="522"/>
        <v>36.310000000000002</v>
      </c>
      <c r="G1301" s="21">
        <f t="shared" si="522"/>
        <v>36.310000000000002</v>
      </c>
      <c r="H1301" s="21">
        <f t="shared" si="522"/>
        <v>36.310000000000002</v>
      </c>
      <c r="I1301" s="24" t="str">
        <f t="shared" si="523"/>
        <v xml:space="preserve">COM VALOR</v>
      </c>
      <c r="L1301" s="36">
        <v>36.310000000000002</v>
      </c>
      <c r="M1301" s="37">
        <v>36.310000000000002</v>
      </c>
      <c r="N1301" s="36">
        <v>36.310000000000002</v>
      </c>
    </row>
    <row r="1302" ht="25.5">
      <c r="A1302" s="19" t="s">
        <v>10460</v>
      </c>
      <c r="B1302" s="19">
        <v>11858</v>
      </c>
      <c r="C1302" s="20" t="s">
        <v>11758</v>
      </c>
      <c r="D1302" s="19" t="s">
        <v>31</v>
      </c>
      <c r="E1302" s="19" t="s">
        <v>10459</v>
      </c>
      <c r="F1302" s="21">
        <f t="shared" si="522"/>
        <v>45.07</v>
      </c>
      <c r="G1302" s="21">
        <f t="shared" si="522"/>
        <v>45.07</v>
      </c>
      <c r="H1302" s="21">
        <f t="shared" si="522"/>
        <v>45.07</v>
      </c>
      <c r="I1302" s="24" t="str">
        <f t="shared" si="523"/>
        <v xml:space="preserve">COM VALOR</v>
      </c>
      <c r="L1302" s="36">
        <v>45.07</v>
      </c>
      <c r="M1302" s="37">
        <v>45.07</v>
      </c>
      <c r="N1302" s="36">
        <v>45.07</v>
      </c>
    </row>
    <row r="1303" ht="25.5">
      <c r="A1303" s="19" t="s">
        <v>10460</v>
      </c>
      <c r="B1303" s="19">
        <v>1539</v>
      </c>
      <c r="C1303" s="20" t="s">
        <v>11759</v>
      </c>
      <c r="D1303" s="19" t="s">
        <v>31</v>
      </c>
      <c r="E1303" s="19" t="s">
        <v>10459</v>
      </c>
      <c r="F1303" s="21">
        <f t="shared" si="522"/>
        <v>8.1099999999999994</v>
      </c>
      <c r="G1303" s="21">
        <f t="shared" si="522"/>
        <v>8.1099999999999994</v>
      </c>
      <c r="H1303" s="21">
        <f t="shared" si="522"/>
        <v>8.1099999999999994</v>
      </c>
      <c r="I1303" s="24" t="str">
        <f t="shared" si="523"/>
        <v xml:space="preserve">COM VALOR</v>
      </c>
      <c r="L1303" s="36">
        <v>8.1099999999999994</v>
      </c>
      <c r="M1303" s="37">
        <v>8.1099999999999994</v>
      </c>
      <c r="N1303" s="36">
        <v>8.1099999999999994</v>
      </c>
    </row>
    <row r="1304" ht="25.5">
      <c r="A1304" s="19" t="s">
        <v>10460</v>
      </c>
      <c r="B1304" s="19">
        <v>11859</v>
      </c>
      <c r="C1304" s="20" t="s">
        <v>11760</v>
      </c>
      <c r="D1304" s="19" t="s">
        <v>31</v>
      </c>
      <c r="E1304" s="19" t="s">
        <v>10459</v>
      </c>
      <c r="F1304" s="21">
        <f t="shared" si="522"/>
        <v>61.32</v>
      </c>
      <c r="G1304" s="21">
        <f t="shared" si="522"/>
        <v>61.32</v>
      </c>
      <c r="H1304" s="21">
        <f t="shared" si="522"/>
        <v>61.32</v>
      </c>
      <c r="I1304" s="24" t="str">
        <f t="shared" si="523"/>
        <v xml:space="preserve">COM VALOR</v>
      </c>
      <c r="L1304" s="36">
        <v>61.32</v>
      </c>
      <c r="M1304" s="37">
        <v>61.32</v>
      </c>
      <c r="N1304" s="36">
        <v>61.32</v>
      </c>
    </row>
    <row r="1305" ht="25.5">
      <c r="A1305" s="19" t="s">
        <v>10460</v>
      </c>
      <c r="B1305" s="19">
        <v>1550</v>
      </c>
      <c r="C1305" s="20" t="s">
        <v>11761</v>
      </c>
      <c r="D1305" s="19" t="s">
        <v>31</v>
      </c>
      <c r="E1305" s="19" t="s">
        <v>10459</v>
      </c>
      <c r="F1305" s="21">
        <f t="shared" si="522"/>
        <v>8.5500000000000007</v>
      </c>
      <c r="G1305" s="21">
        <f t="shared" si="522"/>
        <v>8.5500000000000007</v>
      </c>
      <c r="H1305" s="21">
        <f t="shared" si="522"/>
        <v>8.5500000000000007</v>
      </c>
      <c r="I1305" s="24" t="str">
        <f t="shared" si="523"/>
        <v xml:space="preserve">COM VALOR</v>
      </c>
      <c r="L1305" s="36">
        <v>8.5500000000000007</v>
      </c>
      <c r="M1305" s="37">
        <v>8.5500000000000007</v>
      </c>
      <c r="N1305" s="36">
        <v>8.5500000000000007</v>
      </c>
    </row>
    <row r="1306" ht="25.5">
      <c r="A1306" s="19" t="s">
        <v>10460</v>
      </c>
      <c r="B1306" s="19">
        <v>11854</v>
      </c>
      <c r="C1306" s="20" t="s">
        <v>11762</v>
      </c>
      <c r="D1306" s="19" t="s">
        <v>31</v>
      </c>
      <c r="E1306" s="19" t="s">
        <v>10459</v>
      </c>
      <c r="F1306" s="21">
        <f t="shared" si="522"/>
        <v>10.69</v>
      </c>
      <c r="G1306" s="21">
        <f t="shared" si="522"/>
        <v>10.69</v>
      </c>
      <c r="H1306" s="21">
        <f t="shared" si="522"/>
        <v>10.69</v>
      </c>
      <c r="I1306" s="24" t="str">
        <f t="shared" si="523"/>
        <v xml:space="preserve">COM VALOR</v>
      </c>
      <c r="L1306" s="36">
        <v>10.69</v>
      </c>
      <c r="M1306" s="37">
        <v>10.69</v>
      </c>
      <c r="N1306" s="36">
        <v>10.69</v>
      </c>
    </row>
    <row r="1307" ht="25.5">
      <c r="A1307" s="19" t="s">
        <v>10460</v>
      </c>
      <c r="B1307" s="19">
        <v>11862</v>
      </c>
      <c r="C1307" s="20" t="s">
        <v>11763</v>
      </c>
      <c r="D1307" s="19" t="s">
        <v>31</v>
      </c>
      <c r="E1307" s="19" t="s">
        <v>10459</v>
      </c>
      <c r="F1307" s="21">
        <f t="shared" si="522"/>
        <v>14.99</v>
      </c>
      <c r="G1307" s="21">
        <f t="shared" si="522"/>
        <v>14.99</v>
      </c>
      <c r="H1307" s="21">
        <f t="shared" si="522"/>
        <v>14.99</v>
      </c>
      <c r="I1307" s="24" t="str">
        <f t="shared" si="523"/>
        <v xml:space="preserve">COM VALOR</v>
      </c>
      <c r="L1307" s="36">
        <v>14.99</v>
      </c>
      <c r="M1307" s="37">
        <v>14.99</v>
      </c>
      <c r="N1307" s="36">
        <v>14.99</v>
      </c>
    </row>
    <row r="1308" ht="25.5">
      <c r="A1308" s="19" t="s">
        <v>10460</v>
      </c>
      <c r="B1308" s="19">
        <v>11863</v>
      </c>
      <c r="C1308" s="20" t="s">
        <v>11764</v>
      </c>
      <c r="D1308" s="19" t="s">
        <v>31</v>
      </c>
      <c r="E1308" s="19" t="s">
        <v>10459</v>
      </c>
      <c r="F1308" s="21">
        <f t="shared" si="522"/>
        <v>6.0499999999999998</v>
      </c>
      <c r="G1308" s="21">
        <f t="shared" si="522"/>
        <v>6.0499999999999998</v>
      </c>
      <c r="H1308" s="21">
        <f t="shared" si="522"/>
        <v>6.0499999999999998</v>
      </c>
      <c r="I1308" s="24" t="str">
        <f t="shared" si="523"/>
        <v xml:space="preserve">COM VALOR</v>
      </c>
      <c r="L1308" s="36">
        <v>6.0499999999999998</v>
      </c>
      <c r="M1308" s="37">
        <v>6.0499999999999998</v>
      </c>
      <c r="N1308" s="36">
        <v>6.0499999999999998</v>
      </c>
    </row>
    <row r="1309" ht="25.5">
      <c r="A1309" s="19" t="s">
        <v>10460</v>
      </c>
      <c r="B1309" s="19">
        <v>11855</v>
      </c>
      <c r="C1309" s="20" t="s">
        <v>11765</v>
      </c>
      <c r="D1309" s="19" t="s">
        <v>31</v>
      </c>
      <c r="E1309" s="19" t="s">
        <v>10459</v>
      </c>
      <c r="F1309" s="21">
        <f t="shared" si="522"/>
        <v>22.379999999999999</v>
      </c>
      <c r="G1309" s="21">
        <f t="shared" si="522"/>
        <v>22.379999999999999</v>
      </c>
      <c r="H1309" s="21">
        <f t="shared" si="522"/>
        <v>22.379999999999999</v>
      </c>
      <c r="I1309" s="24" t="str">
        <f t="shared" si="523"/>
        <v xml:space="preserve">COM VALOR</v>
      </c>
      <c r="L1309" s="36">
        <v>22.379999999999999</v>
      </c>
      <c r="M1309" s="37">
        <v>22.379999999999999</v>
      </c>
      <c r="N1309" s="36">
        <v>22.379999999999999</v>
      </c>
    </row>
    <row r="1310" ht="25.5">
      <c r="A1310" s="19" t="s">
        <v>10460</v>
      </c>
      <c r="B1310" s="19">
        <v>11864</v>
      </c>
      <c r="C1310" s="20" t="s">
        <v>11766</v>
      </c>
      <c r="D1310" s="19" t="s">
        <v>31</v>
      </c>
      <c r="E1310" s="19" t="s">
        <v>10459</v>
      </c>
      <c r="F1310" s="21">
        <f t="shared" si="522"/>
        <v>33.840000000000003</v>
      </c>
      <c r="G1310" s="21">
        <f t="shared" si="522"/>
        <v>33.840000000000003</v>
      </c>
      <c r="H1310" s="21">
        <f t="shared" si="522"/>
        <v>33.840000000000003</v>
      </c>
      <c r="I1310" s="24" t="str">
        <f t="shared" si="523"/>
        <v xml:space="preserve">COM VALOR</v>
      </c>
      <c r="L1310" s="36">
        <v>33.840000000000003</v>
      </c>
      <c r="M1310" s="37">
        <v>33.840000000000003</v>
      </c>
      <c r="N1310" s="36">
        <v>33.840000000000003</v>
      </c>
    </row>
    <row r="1311" ht="38.25">
      <c r="A1311" s="19" t="s">
        <v>10460</v>
      </c>
      <c r="B1311" s="19">
        <v>2527</v>
      </c>
      <c r="C1311" s="20" t="s">
        <v>11767</v>
      </c>
      <c r="D1311" s="19" t="s">
        <v>31</v>
      </c>
      <c r="E1311" s="19" t="s">
        <v>10459</v>
      </c>
      <c r="F1311" s="21">
        <f t="shared" si="522"/>
        <v>9.0600000000000005</v>
      </c>
      <c r="G1311" s="21">
        <f t="shared" si="522"/>
        <v>9.0600000000000005</v>
      </c>
      <c r="H1311" s="21">
        <f t="shared" si="522"/>
        <v>9.0600000000000005</v>
      </c>
      <c r="I1311" s="24" t="str">
        <f t="shared" si="523"/>
        <v xml:space="preserve">COM VALOR</v>
      </c>
      <c r="L1311" s="36">
        <v>9.0600000000000005</v>
      </c>
      <c r="M1311" s="37">
        <v>9.0600000000000005</v>
      </c>
      <c r="N1311" s="36">
        <v>9.0600000000000005</v>
      </c>
    </row>
    <row r="1312" ht="38.25">
      <c r="A1312" s="19" t="s">
        <v>10460</v>
      </c>
      <c r="B1312" s="19">
        <v>2526</v>
      </c>
      <c r="C1312" s="20" t="s">
        <v>11768</v>
      </c>
      <c r="D1312" s="19" t="s">
        <v>31</v>
      </c>
      <c r="E1312" s="19" t="s">
        <v>10459</v>
      </c>
      <c r="F1312" s="21">
        <f t="shared" si="522"/>
        <v>5.8099999999999996</v>
      </c>
      <c r="G1312" s="21">
        <f t="shared" si="522"/>
        <v>5.8099999999999996</v>
      </c>
      <c r="H1312" s="21">
        <f t="shared" si="522"/>
        <v>5.8099999999999996</v>
      </c>
      <c r="I1312" s="24" t="str">
        <f t="shared" si="523"/>
        <v xml:space="preserve">COM VALOR</v>
      </c>
      <c r="L1312" s="36">
        <v>5.8099999999999996</v>
      </c>
      <c r="M1312" s="37">
        <v>5.8099999999999996</v>
      </c>
      <c r="N1312" s="36">
        <v>5.8099999999999996</v>
      </c>
    </row>
    <row r="1313" ht="38.25">
      <c r="A1313" s="19" t="s">
        <v>10460</v>
      </c>
      <c r="B1313" s="19">
        <v>2483</v>
      </c>
      <c r="C1313" s="20" t="s">
        <v>11769</v>
      </c>
      <c r="D1313" s="19" t="s">
        <v>31</v>
      </c>
      <c r="E1313" s="19" t="s">
        <v>10459</v>
      </c>
      <c r="F1313" s="21">
        <f t="shared" si="522"/>
        <v>4.1299999999999999</v>
      </c>
      <c r="G1313" s="21">
        <f t="shared" si="522"/>
        <v>4.1299999999999999</v>
      </c>
      <c r="H1313" s="21">
        <f t="shared" si="522"/>
        <v>4.1299999999999999</v>
      </c>
      <c r="I1313" s="24" t="str">
        <f t="shared" si="523"/>
        <v xml:space="preserve">COM VALOR</v>
      </c>
      <c r="L1313" s="36">
        <v>4.1299999999999999</v>
      </c>
      <c r="M1313" s="37">
        <v>4.1299999999999999</v>
      </c>
      <c r="N1313" s="36">
        <v>4.1299999999999999</v>
      </c>
    </row>
    <row r="1314" ht="38.25">
      <c r="A1314" s="19" t="s">
        <v>10460</v>
      </c>
      <c r="B1314" s="19">
        <v>2487</v>
      </c>
      <c r="C1314" s="20" t="s">
        <v>11770</v>
      </c>
      <c r="D1314" s="19" t="s">
        <v>31</v>
      </c>
      <c r="E1314" s="19" t="s">
        <v>10459</v>
      </c>
      <c r="F1314" s="21">
        <f t="shared" si="522"/>
        <v>1.98</v>
      </c>
      <c r="G1314" s="21">
        <f t="shared" si="522"/>
        <v>1.98</v>
      </c>
      <c r="H1314" s="21">
        <f t="shared" si="522"/>
        <v>1.98</v>
      </c>
      <c r="I1314" s="24" t="str">
        <f t="shared" si="523"/>
        <v xml:space="preserve">COM VALOR</v>
      </c>
      <c r="L1314" s="36">
        <v>1.98</v>
      </c>
      <c r="M1314" s="37">
        <v>1.98</v>
      </c>
      <c r="N1314" s="36">
        <v>1.98</v>
      </c>
    </row>
    <row r="1315" ht="38.25">
      <c r="A1315" s="19" t="s">
        <v>10460</v>
      </c>
      <c r="B1315" s="19">
        <v>2528</v>
      </c>
      <c r="C1315" s="20" t="s">
        <v>11771</v>
      </c>
      <c r="D1315" s="19" t="s">
        <v>31</v>
      </c>
      <c r="E1315" s="19" t="s">
        <v>10459</v>
      </c>
      <c r="F1315" s="21">
        <f t="shared" si="522"/>
        <v>22.809999999999999</v>
      </c>
      <c r="G1315" s="21">
        <f t="shared" si="522"/>
        <v>22.809999999999999</v>
      </c>
      <c r="H1315" s="21">
        <f t="shared" si="522"/>
        <v>22.809999999999999</v>
      </c>
      <c r="I1315" s="24" t="str">
        <f t="shared" si="523"/>
        <v xml:space="preserve">COM VALOR</v>
      </c>
      <c r="L1315" s="36">
        <v>22.809999999999999</v>
      </c>
      <c r="M1315" s="37">
        <v>22.809999999999999</v>
      </c>
      <c r="N1315" s="36">
        <v>22.809999999999999</v>
      </c>
    </row>
    <row r="1316" ht="38.25">
      <c r="A1316" s="19" t="s">
        <v>10460</v>
      </c>
      <c r="B1316" s="19">
        <v>2489</v>
      </c>
      <c r="C1316" s="20" t="s">
        <v>11772</v>
      </c>
      <c r="D1316" s="19" t="s">
        <v>31</v>
      </c>
      <c r="E1316" s="19" t="s">
        <v>10459</v>
      </c>
      <c r="F1316" s="21">
        <f t="shared" si="522"/>
        <v>10.050000000000001</v>
      </c>
      <c r="G1316" s="21">
        <f t="shared" si="522"/>
        <v>10.050000000000001</v>
      </c>
      <c r="H1316" s="21">
        <f t="shared" si="522"/>
        <v>10.050000000000001</v>
      </c>
      <c r="I1316" s="24" t="str">
        <f t="shared" si="523"/>
        <v xml:space="preserve">COM VALOR</v>
      </c>
      <c r="L1316" s="36">
        <v>10.050000000000001</v>
      </c>
      <c r="M1316" s="37">
        <v>10.050000000000001</v>
      </c>
      <c r="N1316" s="36">
        <v>10.050000000000001</v>
      </c>
    </row>
    <row r="1317" ht="38.25">
      <c r="A1317" s="19" t="s">
        <v>10460</v>
      </c>
      <c r="B1317" s="19">
        <v>2484</v>
      </c>
      <c r="C1317" s="20" t="s">
        <v>11773</v>
      </c>
      <c r="D1317" s="19" t="s">
        <v>31</v>
      </c>
      <c r="E1317" s="19" t="s">
        <v>10459</v>
      </c>
      <c r="F1317" s="21">
        <f t="shared" si="522"/>
        <v>33.130000000000003</v>
      </c>
      <c r="G1317" s="21">
        <f t="shared" si="522"/>
        <v>33.130000000000003</v>
      </c>
      <c r="H1317" s="21">
        <f t="shared" si="522"/>
        <v>33.130000000000003</v>
      </c>
      <c r="I1317" s="24" t="str">
        <f t="shared" si="523"/>
        <v xml:space="preserve">COM VALOR</v>
      </c>
      <c r="L1317" s="36">
        <v>33.130000000000003</v>
      </c>
      <c r="M1317" s="37">
        <v>33.130000000000003</v>
      </c>
      <c r="N1317" s="36">
        <v>33.130000000000003</v>
      </c>
    </row>
    <row r="1318" ht="38.25">
      <c r="A1318" s="19" t="s">
        <v>10460</v>
      </c>
      <c r="B1318" s="19">
        <v>2488</v>
      </c>
      <c r="C1318" s="20" t="s">
        <v>11774</v>
      </c>
      <c r="D1318" s="19" t="s">
        <v>31</v>
      </c>
      <c r="E1318" s="19" t="s">
        <v>10459</v>
      </c>
      <c r="F1318" s="21">
        <f t="shared" si="522"/>
        <v>2.3199999999999998</v>
      </c>
      <c r="G1318" s="21">
        <f t="shared" si="522"/>
        <v>2.3199999999999998</v>
      </c>
      <c r="H1318" s="21">
        <f t="shared" si="522"/>
        <v>2.3199999999999998</v>
      </c>
      <c r="I1318" s="24" t="str">
        <f t="shared" si="523"/>
        <v xml:space="preserve">COM VALOR</v>
      </c>
      <c r="L1318" s="36">
        <v>2.3199999999999998</v>
      </c>
      <c r="M1318" s="37">
        <v>2.3199999999999998</v>
      </c>
      <c r="N1318" s="36">
        <v>2.3199999999999998</v>
      </c>
    </row>
    <row r="1319" ht="38.25">
      <c r="A1319" s="19" t="s">
        <v>10460</v>
      </c>
      <c r="B1319" s="19">
        <v>2485</v>
      </c>
      <c r="C1319" s="20" t="s">
        <v>11775</v>
      </c>
      <c r="D1319" s="19" t="s">
        <v>31</v>
      </c>
      <c r="E1319" s="19" t="s">
        <v>10459</v>
      </c>
      <c r="F1319" s="21">
        <f t="shared" si="522"/>
        <v>51.93</v>
      </c>
      <c r="G1319" s="21">
        <f t="shared" si="522"/>
        <v>51.93</v>
      </c>
      <c r="H1319" s="21">
        <f t="shared" si="522"/>
        <v>51.93</v>
      </c>
      <c r="I1319" s="24" t="str">
        <f t="shared" si="523"/>
        <v xml:space="preserve">COM VALOR</v>
      </c>
      <c r="L1319" s="36">
        <v>51.93</v>
      </c>
      <c r="M1319" s="37">
        <v>51.93</v>
      </c>
      <c r="N1319" s="36">
        <v>51.93</v>
      </c>
    </row>
    <row r="1320" ht="25.5">
      <c r="A1320" s="19" t="s">
        <v>10460</v>
      </c>
      <c r="B1320" s="19">
        <v>44247</v>
      </c>
      <c r="C1320" s="20" t="s">
        <v>11776</v>
      </c>
      <c r="D1320" s="19" t="s">
        <v>31</v>
      </c>
      <c r="E1320" s="19" t="s">
        <v>10459</v>
      </c>
      <c r="F1320" s="21">
        <f t="shared" si="522"/>
        <v>1786.49</v>
      </c>
      <c r="G1320" s="21">
        <f t="shared" si="522"/>
        <v>1786.49</v>
      </c>
      <c r="H1320" s="21">
        <f t="shared" si="522"/>
        <v>1786.49</v>
      </c>
      <c r="I1320" s="24" t="str">
        <f t="shared" si="523"/>
        <v xml:space="preserve">COM VALOR</v>
      </c>
      <c r="L1320" s="36">
        <v>1786.49</v>
      </c>
      <c r="M1320" s="37">
        <v>1786.49</v>
      </c>
      <c r="N1320" s="36">
        <v>1786.49</v>
      </c>
    </row>
    <row r="1321" ht="25.5">
      <c r="A1321" s="19" t="s">
        <v>10460</v>
      </c>
      <c r="B1321" s="19">
        <v>38005</v>
      </c>
      <c r="C1321" s="20" t="s">
        <v>11777</v>
      </c>
      <c r="D1321" s="19" t="s">
        <v>31</v>
      </c>
      <c r="E1321" s="19" t="s">
        <v>10459</v>
      </c>
      <c r="F1321" s="21">
        <f t="shared" si="522"/>
        <v>21.239999999999998</v>
      </c>
      <c r="G1321" s="21">
        <f t="shared" si="522"/>
        <v>21.239999999999998</v>
      </c>
      <c r="H1321" s="21">
        <f t="shared" si="522"/>
        <v>21.239999999999998</v>
      </c>
      <c r="I1321" s="24" t="str">
        <f t="shared" si="523"/>
        <v xml:space="preserve">COM VALOR</v>
      </c>
      <c r="L1321" s="36">
        <v>21.239999999999998</v>
      </c>
      <c r="M1321" s="37">
        <v>21.239999999999998</v>
      </c>
      <c r="N1321" s="36">
        <v>21.239999999999998</v>
      </c>
    </row>
    <row r="1322" ht="25.5">
      <c r="A1322" s="19" t="s">
        <v>10460</v>
      </c>
      <c r="B1322" s="19">
        <v>38006</v>
      </c>
      <c r="C1322" s="20" t="s">
        <v>11778</v>
      </c>
      <c r="D1322" s="19" t="s">
        <v>31</v>
      </c>
      <c r="E1322" s="19" t="s">
        <v>10459</v>
      </c>
      <c r="F1322" s="21">
        <f t="shared" si="522"/>
        <v>28.23</v>
      </c>
      <c r="G1322" s="21">
        <f t="shared" si="522"/>
        <v>28.23</v>
      </c>
      <c r="H1322" s="21">
        <f t="shared" si="522"/>
        <v>28.23</v>
      </c>
      <c r="I1322" s="24" t="str">
        <f t="shared" si="523"/>
        <v xml:space="preserve">COM VALOR</v>
      </c>
      <c r="L1322" s="36">
        <v>28.23</v>
      </c>
      <c r="M1322" s="37">
        <v>28.23</v>
      </c>
      <c r="N1322" s="36">
        <v>28.23</v>
      </c>
    </row>
    <row r="1323" ht="25.5">
      <c r="A1323" s="19" t="s">
        <v>10460</v>
      </c>
      <c r="B1323" s="19">
        <v>38428</v>
      </c>
      <c r="C1323" s="20" t="s">
        <v>11779</v>
      </c>
      <c r="D1323" s="19" t="s">
        <v>31</v>
      </c>
      <c r="E1323" s="19" t="s">
        <v>10459</v>
      </c>
      <c r="F1323" s="21">
        <f t="shared" si="522"/>
        <v>25.280000000000001</v>
      </c>
      <c r="G1323" s="21">
        <f t="shared" si="522"/>
        <v>25.280000000000001</v>
      </c>
      <c r="H1323" s="21">
        <f t="shared" si="522"/>
        <v>25.280000000000001</v>
      </c>
      <c r="I1323" s="24" t="str">
        <f t="shared" si="523"/>
        <v xml:space="preserve">COM VALOR</v>
      </c>
      <c r="L1323" s="36">
        <v>25.280000000000001</v>
      </c>
      <c r="M1323" s="37">
        <v>25.280000000000001</v>
      </c>
      <c r="N1323" s="36">
        <v>25.280000000000001</v>
      </c>
    </row>
    <row r="1324" ht="25.5">
      <c r="A1324" s="19" t="s">
        <v>10460</v>
      </c>
      <c r="B1324" s="19">
        <v>38007</v>
      </c>
      <c r="C1324" s="20" t="s">
        <v>11780</v>
      </c>
      <c r="D1324" s="19" t="s">
        <v>31</v>
      </c>
      <c r="E1324" s="19" t="s">
        <v>10459</v>
      </c>
      <c r="F1324" s="21">
        <f t="shared" si="522"/>
        <v>32.57</v>
      </c>
      <c r="G1324" s="21">
        <f t="shared" si="522"/>
        <v>32.57</v>
      </c>
      <c r="H1324" s="21">
        <f t="shared" si="522"/>
        <v>32.57</v>
      </c>
      <c r="I1324" s="24" t="str">
        <f t="shared" si="523"/>
        <v xml:space="preserve">COM VALOR</v>
      </c>
      <c r="L1324" s="36">
        <v>32.57</v>
      </c>
      <c r="M1324" s="37">
        <v>32.57</v>
      </c>
      <c r="N1324" s="36">
        <v>32.57</v>
      </c>
    </row>
    <row r="1325" ht="25.5">
      <c r="A1325" s="19" t="s">
        <v>10460</v>
      </c>
      <c r="B1325" s="19">
        <v>38008</v>
      </c>
      <c r="C1325" s="20" t="s">
        <v>11781</v>
      </c>
      <c r="D1325" s="19" t="s">
        <v>31</v>
      </c>
      <c r="E1325" s="19" t="s">
        <v>10459</v>
      </c>
      <c r="F1325" s="21">
        <f t="shared" si="522"/>
        <v>52.109999999999999</v>
      </c>
      <c r="G1325" s="21">
        <f t="shared" si="522"/>
        <v>52.109999999999999</v>
      </c>
      <c r="H1325" s="21">
        <f t="shared" si="522"/>
        <v>52.109999999999999</v>
      </c>
      <c r="I1325" s="24" t="str">
        <f t="shared" si="523"/>
        <v xml:space="preserve">COM VALOR</v>
      </c>
      <c r="L1325" s="36">
        <v>52.109999999999999</v>
      </c>
      <c r="M1325" s="37">
        <v>52.109999999999999</v>
      </c>
      <c r="N1325" s="36">
        <v>52.109999999999999</v>
      </c>
    </row>
    <row r="1326" ht="25.5">
      <c r="A1326" s="19" t="s">
        <v>10460</v>
      </c>
      <c r="B1326" s="19">
        <v>38009</v>
      </c>
      <c r="C1326" s="20" t="s">
        <v>11782</v>
      </c>
      <c r="D1326" s="19" t="s">
        <v>31</v>
      </c>
      <c r="E1326" s="19" t="s">
        <v>10459</v>
      </c>
      <c r="F1326" s="21">
        <f t="shared" si="522"/>
        <v>63.799999999999997</v>
      </c>
      <c r="G1326" s="21">
        <f t="shared" si="522"/>
        <v>63.799999999999997</v>
      </c>
      <c r="H1326" s="21">
        <f t="shared" si="522"/>
        <v>63.799999999999997</v>
      </c>
      <c r="I1326" s="24" t="str">
        <f t="shared" si="523"/>
        <v xml:space="preserve">COM VALOR</v>
      </c>
      <c r="L1326" s="36">
        <v>63.799999999999997</v>
      </c>
      <c r="M1326" s="37">
        <v>63.799999999999997</v>
      </c>
      <c r="N1326" s="36">
        <v>63.799999999999997</v>
      </c>
    </row>
    <row r="1327" ht="25.5">
      <c r="A1327" s="19" t="s">
        <v>10460</v>
      </c>
      <c r="B1327" s="19">
        <v>44248</v>
      </c>
      <c r="C1327" s="20" t="s">
        <v>11783</v>
      </c>
      <c r="D1327" s="19" t="s">
        <v>31</v>
      </c>
      <c r="E1327" s="19" t="s">
        <v>10459</v>
      </c>
      <c r="F1327" s="21">
        <f t="shared" si="522"/>
        <v>103.98999999999999</v>
      </c>
      <c r="G1327" s="21">
        <f t="shared" si="522"/>
        <v>103.98999999999999</v>
      </c>
      <c r="H1327" s="21">
        <f t="shared" si="522"/>
        <v>103.98999999999999</v>
      </c>
      <c r="I1327" s="24" t="str">
        <f t="shared" si="523"/>
        <v xml:space="preserve">COM VALOR</v>
      </c>
      <c r="L1327" s="36">
        <v>103.98999999999999</v>
      </c>
      <c r="M1327" s="37">
        <v>103.98999999999999</v>
      </c>
      <c r="N1327" s="36">
        <v>103.98999999999999</v>
      </c>
    </row>
    <row r="1328" ht="25.5">
      <c r="A1328" s="19" t="s">
        <v>10460</v>
      </c>
      <c r="B1328" s="19">
        <v>44249</v>
      </c>
      <c r="C1328" s="20" t="s">
        <v>11784</v>
      </c>
      <c r="D1328" s="19" t="s">
        <v>31</v>
      </c>
      <c r="E1328" s="19" t="s">
        <v>10459</v>
      </c>
      <c r="F1328" s="21">
        <f t="shared" si="522"/>
        <v>401.22000000000003</v>
      </c>
      <c r="G1328" s="21">
        <f t="shared" si="522"/>
        <v>401.22000000000003</v>
      </c>
      <c r="H1328" s="21">
        <f t="shared" si="522"/>
        <v>401.22000000000003</v>
      </c>
      <c r="I1328" s="24" t="str">
        <f t="shared" si="523"/>
        <v xml:space="preserve">COM VALOR</v>
      </c>
      <c r="L1328" s="36">
        <v>401.22000000000003</v>
      </c>
      <c r="M1328" s="37">
        <v>401.22000000000003</v>
      </c>
      <c r="N1328" s="36">
        <v>401.22000000000003</v>
      </c>
    </row>
    <row r="1329" ht="25.5">
      <c r="A1329" s="19" t="s">
        <v>10460</v>
      </c>
      <c r="B1329" s="19">
        <v>44250</v>
      </c>
      <c r="C1329" s="20" t="s">
        <v>11785</v>
      </c>
      <c r="D1329" s="19" t="s">
        <v>31</v>
      </c>
      <c r="E1329" s="19" t="s">
        <v>10459</v>
      </c>
      <c r="F1329" s="21">
        <f t="shared" si="522"/>
        <v>582.65999999999997</v>
      </c>
      <c r="G1329" s="21">
        <f t="shared" si="522"/>
        <v>582.65999999999997</v>
      </c>
      <c r="H1329" s="21">
        <f t="shared" si="522"/>
        <v>582.65999999999997</v>
      </c>
      <c r="I1329" s="24" t="str">
        <f t="shared" si="523"/>
        <v xml:space="preserve">COM VALOR</v>
      </c>
      <c r="L1329" s="36">
        <v>582.65999999999997</v>
      </c>
      <c r="M1329" s="37">
        <v>582.65999999999997</v>
      </c>
      <c r="N1329" s="36">
        <v>582.65999999999997</v>
      </c>
    </row>
    <row r="1330" ht="38.25">
      <c r="A1330" s="19" t="s">
        <v>10460</v>
      </c>
      <c r="B1330" s="19">
        <v>39279</v>
      </c>
      <c r="C1330" s="20" t="s">
        <v>11786</v>
      </c>
      <c r="D1330" s="19" t="s">
        <v>31</v>
      </c>
      <c r="E1330" s="19" t="s">
        <v>10459</v>
      </c>
      <c r="F1330" s="21" t="str">
        <f t="shared" si="522"/>
        <v>VERIFICAR</v>
      </c>
      <c r="G1330" s="21" t="str">
        <f t="shared" si="522"/>
        <v>VERIFICAR</v>
      </c>
      <c r="H1330" s="21" t="str">
        <f t="shared" si="522"/>
        <v>VERIFICAR</v>
      </c>
      <c r="I1330" s="24" t="str">
        <f t="shared" si="523"/>
        <v xml:space="preserve">SEM VALOR</v>
      </c>
      <c r="L1330" s="36"/>
      <c r="M1330" s="37"/>
      <c r="N1330" s="36"/>
    </row>
    <row r="1331" ht="38.25">
      <c r="A1331" s="19" t="s">
        <v>10460</v>
      </c>
      <c r="B1331" s="19">
        <v>39280</v>
      </c>
      <c r="C1331" s="20" t="s">
        <v>11787</v>
      </c>
      <c r="D1331" s="19" t="s">
        <v>31</v>
      </c>
      <c r="E1331" s="19" t="s">
        <v>10459</v>
      </c>
      <c r="F1331" s="21" t="str">
        <f t="shared" si="522"/>
        <v>VERIFICAR</v>
      </c>
      <c r="G1331" s="21" t="str">
        <f t="shared" si="522"/>
        <v>VERIFICAR</v>
      </c>
      <c r="H1331" s="21" t="str">
        <f t="shared" si="522"/>
        <v>VERIFICAR</v>
      </c>
      <c r="I1331" s="24" t="str">
        <f t="shared" si="523"/>
        <v xml:space="preserve">SEM VALOR</v>
      </c>
      <c r="L1331" s="36"/>
      <c r="M1331" s="37"/>
      <c r="N1331" s="36"/>
    </row>
    <row r="1332" ht="38.25">
      <c r="A1332" s="19" t="s">
        <v>10460</v>
      </c>
      <c r="B1332" s="19">
        <v>39281</v>
      </c>
      <c r="C1332" s="20" t="s">
        <v>11788</v>
      </c>
      <c r="D1332" s="19" t="s">
        <v>31</v>
      </c>
      <c r="E1332" s="19" t="s">
        <v>10459</v>
      </c>
      <c r="F1332" s="21" t="str">
        <f t="shared" si="522"/>
        <v>VERIFICAR</v>
      </c>
      <c r="G1332" s="21" t="str">
        <f t="shared" si="522"/>
        <v>VERIFICAR</v>
      </c>
      <c r="H1332" s="21" t="str">
        <f t="shared" si="522"/>
        <v>VERIFICAR</v>
      </c>
      <c r="I1332" s="24" t="str">
        <f t="shared" si="523"/>
        <v xml:space="preserve">SEM VALOR</v>
      </c>
      <c r="L1332" s="36"/>
      <c r="M1332" s="37"/>
      <c r="N1332" s="36"/>
    </row>
    <row r="1333" ht="38.25">
      <c r="A1333" s="19" t="s">
        <v>10460</v>
      </c>
      <c r="B1333" s="19">
        <v>39282</v>
      </c>
      <c r="C1333" s="20" t="s">
        <v>11789</v>
      </c>
      <c r="D1333" s="19" t="s">
        <v>31</v>
      </c>
      <c r="E1333" s="19" t="s">
        <v>10459</v>
      </c>
      <c r="F1333" s="21" t="str">
        <f t="shared" si="522"/>
        <v>VERIFICAR</v>
      </c>
      <c r="G1333" s="21" t="str">
        <f t="shared" si="522"/>
        <v>VERIFICAR</v>
      </c>
      <c r="H1333" s="21" t="str">
        <f t="shared" si="522"/>
        <v>VERIFICAR</v>
      </c>
      <c r="I1333" s="24" t="str">
        <f t="shared" si="523"/>
        <v xml:space="preserve">SEM VALOR</v>
      </c>
      <c r="L1333" s="36"/>
      <c r="M1333" s="37"/>
      <c r="N1333" s="36"/>
    </row>
    <row r="1334" ht="38.25">
      <c r="A1334" s="19" t="s">
        <v>10460</v>
      </c>
      <c r="B1334" s="19">
        <v>38844</v>
      </c>
      <c r="C1334" s="20" t="s">
        <v>11790</v>
      </c>
      <c r="D1334" s="19" t="s">
        <v>31</v>
      </c>
      <c r="E1334" s="19" t="s">
        <v>10466</v>
      </c>
      <c r="F1334" s="21" t="str">
        <f t="shared" si="522"/>
        <v>VERIFICAR</v>
      </c>
      <c r="G1334" s="21" t="str">
        <f t="shared" si="522"/>
        <v>VERIFICAR</v>
      </c>
      <c r="H1334" s="21" t="str">
        <f t="shared" si="522"/>
        <v>VERIFICAR</v>
      </c>
      <c r="I1334" s="24" t="str">
        <f t="shared" si="523"/>
        <v xml:space="preserve">SEM VALOR</v>
      </c>
      <c r="L1334" s="36"/>
      <c r="M1334" s="37"/>
      <c r="N1334" s="36"/>
    </row>
    <row r="1335" ht="38.25">
      <c r="A1335" s="19" t="s">
        <v>10460</v>
      </c>
      <c r="B1335" s="19">
        <v>38846</v>
      </c>
      <c r="C1335" s="20" t="s">
        <v>11791</v>
      </c>
      <c r="D1335" s="19" t="s">
        <v>31</v>
      </c>
      <c r="E1335" s="19" t="s">
        <v>10459</v>
      </c>
      <c r="F1335" s="21" t="str">
        <f t="shared" si="522"/>
        <v>VERIFICAR</v>
      </c>
      <c r="G1335" s="21" t="str">
        <f t="shared" si="522"/>
        <v>VERIFICAR</v>
      </c>
      <c r="H1335" s="21" t="str">
        <f t="shared" si="522"/>
        <v>VERIFICAR</v>
      </c>
      <c r="I1335" s="24" t="str">
        <f t="shared" si="523"/>
        <v xml:space="preserve">SEM VALOR</v>
      </c>
      <c r="L1335" s="36"/>
      <c r="M1335" s="37"/>
      <c r="N1335" s="36"/>
    </row>
    <row r="1336" ht="38.25">
      <c r="A1336" s="19" t="s">
        <v>10460</v>
      </c>
      <c r="B1336" s="19">
        <v>38847</v>
      </c>
      <c r="C1336" s="20" t="s">
        <v>11792</v>
      </c>
      <c r="D1336" s="19" t="s">
        <v>31</v>
      </c>
      <c r="E1336" s="19" t="s">
        <v>10459</v>
      </c>
      <c r="F1336" s="21" t="str">
        <f t="shared" si="522"/>
        <v>VERIFICAR</v>
      </c>
      <c r="G1336" s="21" t="str">
        <f t="shared" si="522"/>
        <v>VERIFICAR</v>
      </c>
      <c r="H1336" s="21" t="str">
        <f t="shared" si="522"/>
        <v>VERIFICAR</v>
      </c>
      <c r="I1336" s="24" t="str">
        <f t="shared" si="523"/>
        <v xml:space="preserve">SEM VALOR</v>
      </c>
      <c r="L1336" s="36"/>
      <c r="M1336" s="37"/>
      <c r="N1336" s="36"/>
    </row>
    <row r="1337" ht="38.25">
      <c r="A1337" s="19" t="s">
        <v>10460</v>
      </c>
      <c r="B1337" s="19">
        <v>38850</v>
      </c>
      <c r="C1337" s="20" t="s">
        <v>11793</v>
      </c>
      <c r="D1337" s="19" t="s">
        <v>31</v>
      </c>
      <c r="E1337" s="19" t="s">
        <v>10459</v>
      </c>
      <c r="F1337" s="21" t="str">
        <f t="shared" si="522"/>
        <v>VERIFICAR</v>
      </c>
      <c r="G1337" s="21" t="str">
        <f t="shared" si="522"/>
        <v>VERIFICAR</v>
      </c>
      <c r="H1337" s="21" t="str">
        <f t="shared" si="522"/>
        <v>VERIFICAR</v>
      </c>
      <c r="I1337" s="24" t="str">
        <f t="shared" si="523"/>
        <v xml:space="preserve">SEM VALOR</v>
      </c>
      <c r="L1337" s="36"/>
      <c r="M1337" s="37"/>
      <c r="N1337" s="36"/>
    </row>
    <row r="1338" ht="38.25">
      <c r="A1338" s="19" t="s">
        <v>10460</v>
      </c>
      <c r="B1338" s="19">
        <v>38848</v>
      </c>
      <c r="C1338" s="20" t="s">
        <v>11794</v>
      </c>
      <c r="D1338" s="19" t="s">
        <v>31</v>
      </c>
      <c r="E1338" s="19" t="s">
        <v>10459</v>
      </c>
      <c r="F1338" s="21" t="str">
        <f t="shared" si="522"/>
        <v>VERIFICAR</v>
      </c>
      <c r="G1338" s="21" t="str">
        <f t="shared" si="522"/>
        <v>VERIFICAR</v>
      </c>
      <c r="H1338" s="21" t="str">
        <f t="shared" si="522"/>
        <v>VERIFICAR</v>
      </c>
      <c r="I1338" s="24" t="str">
        <f t="shared" si="523"/>
        <v xml:space="preserve">SEM VALOR</v>
      </c>
      <c r="L1338" s="36"/>
      <c r="M1338" s="37"/>
      <c r="N1338" s="36"/>
    </row>
    <row r="1339" ht="38.25">
      <c r="A1339" s="19" t="s">
        <v>10460</v>
      </c>
      <c r="B1339" s="19">
        <v>38851</v>
      </c>
      <c r="C1339" s="20" t="s">
        <v>11795</v>
      </c>
      <c r="D1339" s="19" t="s">
        <v>31</v>
      </c>
      <c r="E1339" s="19" t="s">
        <v>10459</v>
      </c>
      <c r="F1339" s="21" t="str">
        <f t="shared" si="522"/>
        <v>VERIFICAR</v>
      </c>
      <c r="G1339" s="21" t="str">
        <f t="shared" si="522"/>
        <v>VERIFICAR</v>
      </c>
      <c r="H1339" s="21" t="str">
        <f t="shared" si="522"/>
        <v>VERIFICAR</v>
      </c>
      <c r="I1339" s="24" t="str">
        <f t="shared" si="523"/>
        <v xml:space="preserve">SEM VALOR</v>
      </c>
      <c r="L1339" s="36"/>
      <c r="M1339" s="37"/>
      <c r="N1339" s="36"/>
    </row>
    <row r="1340" ht="38.25">
      <c r="A1340" s="19" t="s">
        <v>10460</v>
      </c>
      <c r="B1340" s="19">
        <v>38854</v>
      </c>
      <c r="C1340" s="20" t="s">
        <v>11796</v>
      </c>
      <c r="D1340" s="19" t="s">
        <v>31</v>
      </c>
      <c r="E1340" s="19" t="s">
        <v>10459</v>
      </c>
      <c r="F1340" s="21" t="str">
        <f t="shared" si="522"/>
        <v>VERIFICAR</v>
      </c>
      <c r="G1340" s="21" t="str">
        <f t="shared" si="522"/>
        <v>VERIFICAR</v>
      </c>
      <c r="H1340" s="21" t="str">
        <f t="shared" si="522"/>
        <v>VERIFICAR</v>
      </c>
      <c r="I1340" s="24" t="str">
        <f t="shared" si="523"/>
        <v xml:space="preserve">SEM VALOR</v>
      </c>
      <c r="L1340" s="36"/>
      <c r="M1340" s="37"/>
      <c r="N1340" s="36"/>
    </row>
    <row r="1341" ht="63.75">
      <c r="A1341" s="19" t="s">
        <v>10460</v>
      </c>
      <c r="B1341" s="19">
        <v>3104</v>
      </c>
      <c r="C1341" s="20" t="s">
        <v>11797</v>
      </c>
      <c r="D1341" s="19" t="s">
        <v>11798</v>
      </c>
      <c r="E1341" s="19" t="s">
        <v>10459</v>
      </c>
      <c r="F1341" s="21">
        <f t="shared" si="522"/>
        <v>169.28999999999999</v>
      </c>
      <c r="G1341" s="21">
        <f t="shared" si="522"/>
        <v>169.28999999999999</v>
      </c>
      <c r="H1341" s="21">
        <f t="shared" si="522"/>
        <v>169.28999999999999</v>
      </c>
      <c r="I1341" s="24" t="str">
        <f t="shared" si="523"/>
        <v xml:space="preserve">COM VALOR</v>
      </c>
      <c r="L1341" s="36">
        <v>169.28999999999999</v>
      </c>
      <c r="M1341" s="37">
        <v>169.28999999999999</v>
      </c>
      <c r="N1341" s="36">
        <v>169.28999999999999</v>
      </c>
    </row>
    <row r="1342" ht="38.25">
      <c r="A1342" s="19" t="s">
        <v>10460</v>
      </c>
      <c r="B1342" s="19">
        <v>1607</v>
      </c>
      <c r="C1342" s="20" t="s">
        <v>11799</v>
      </c>
      <c r="D1342" s="19" t="s">
        <v>11798</v>
      </c>
      <c r="E1342" s="19" t="s">
        <v>10459</v>
      </c>
      <c r="F1342" s="21">
        <f t="shared" si="522"/>
        <v>0.17000000000000001</v>
      </c>
      <c r="G1342" s="21">
        <f t="shared" si="522"/>
        <v>0.17000000000000001</v>
      </c>
      <c r="H1342" s="21">
        <f t="shared" si="522"/>
        <v>0.17000000000000001</v>
      </c>
      <c r="I1342" s="24" t="str">
        <f t="shared" si="523"/>
        <v xml:space="preserve">COM VALOR</v>
      </c>
      <c r="L1342" s="36">
        <v>0.17000000000000001</v>
      </c>
      <c r="M1342" s="37">
        <v>0.17000000000000001</v>
      </c>
      <c r="N1342" s="36">
        <v>0.17000000000000001</v>
      </c>
    </row>
    <row r="1343" ht="38.25">
      <c r="A1343" s="19" t="s">
        <v>10460</v>
      </c>
      <c r="B1343" s="19">
        <v>38169</v>
      </c>
      <c r="C1343" s="20" t="s">
        <v>11800</v>
      </c>
      <c r="D1343" s="19" t="s">
        <v>11798</v>
      </c>
      <c r="E1343" s="19" t="s">
        <v>10459</v>
      </c>
      <c r="F1343" s="21">
        <f t="shared" si="522"/>
        <v>96.120000000000005</v>
      </c>
      <c r="G1343" s="21">
        <f t="shared" si="522"/>
        <v>96.120000000000005</v>
      </c>
      <c r="H1343" s="21">
        <f t="shared" si="522"/>
        <v>96.120000000000005</v>
      </c>
      <c r="I1343" s="24" t="str">
        <f t="shared" si="523"/>
        <v xml:space="preserve">COM VALOR</v>
      </c>
      <c r="L1343" s="36">
        <v>96.120000000000005</v>
      </c>
      <c r="M1343" s="37">
        <v>96.120000000000005</v>
      </c>
      <c r="N1343" s="36">
        <v>96.120000000000005</v>
      </c>
    </row>
    <row r="1344" ht="38.25">
      <c r="A1344" s="19" t="s">
        <v>10460</v>
      </c>
      <c r="B1344" s="19">
        <v>6142</v>
      </c>
      <c r="C1344" s="20" t="s">
        <v>11801</v>
      </c>
      <c r="D1344" s="19" t="s">
        <v>31</v>
      </c>
      <c r="E1344" s="19" t="s">
        <v>10459</v>
      </c>
      <c r="F1344" s="21">
        <f t="shared" si="522"/>
        <v>9.6899999999999995</v>
      </c>
      <c r="G1344" s="21">
        <f t="shared" si="522"/>
        <v>9.6899999999999995</v>
      </c>
      <c r="H1344" s="21">
        <f t="shared" si="522"/>
        <v>9.6899999999999995</v>
      </c>
      <c r="I1344" s="24" t="str">
        <f t="shared" si="523"/>
        <v xml:space="preserve">COM VALOR</v>
      </c>
      <c r="L1344" s="36">
        <v>9.6899999999999995</v>
      </c>
      <c r="M1344" s="37">
        <v>9.6899999999999995</v>
      </c>
      <c r="N1344" s="36">
        <v>9.6899999999999995</v>
      </c>
    </row>
    <row r="1345" ht="38.25">
      <c r="A1345" s="19" t="s">
        <v>10460</v>
      </c>
      <c r="B1345" s="19">
        <v>11686</v>
      </c>
      <c r="C1345" s="20" t="s">
        <v>11802</v>
      </c>
      <c r="D1345" s="19" t="s">
        <v>31</v>
      </c>
      <c r="E1345" s="19" t="s">
        <v>10459</v>
      </c>
      <c r="F1345" s="21">
        <f t="shared" si="522"/>
        <v>13.449999999999999</v>
      </c>
      <c r="G1345" s="21">
        <f t="shared" si="522"/>
        <v>13.449999999999999</v>
      </c>
      <c r="H1345" s="21">
        <f t="shared" si="522"/>
        <v>13.449999999999999</v>
      </c>
      <c r="I1345" s="24" t="str">
        <f t="shared" si="523"/>
        <v xml:space="preserve">COM VALOR</v>
      </c>
      <c r="L1345" s="36">
        <v>13.449999999999999</v>
      </c>
      <c r="M1345" s="37">
        <v>13.449999999999999</v>
      </c>
      <c r="N1345" s="36">
        <v>13.449999999999999</v>
      </c>
    </row>
    <row r="1346" ht="25.5">
      <c r="A1346" s="19" t="s">
        <v>10460</v>
      </c>
      <c r="B1346" s="19">
        <v>37598</v>
      </c>
      <c r="C1346" s="20" t="s">
        <v>11803</v>
      </c>
      <c r="D1346" s="19" t="s">
        <v>31</v>
      </c>
      <c r="E1346" s="19" t="s">
        <v>10459</v>
      </c>
      <c r="F1346" s="21" t="str">
        <f t="shared" si="522"/>
        <v>VERIFICAR</v>
      </c>
      <c r="G1346" s="21" t="str">
        <f t="shared" si="522"/>
        <v>VERIFICAR</v>
      </c>
      <c r="H1346" s="21" t="str">
        <f t="shared" si="522"/>
        <v>VERIFICAR</v>
      </c>
      <c r="I1346" s="24" t="str">
        <f t="shared" si="523"/>
        <v xml:space="preserve">SEM VALOR</v>
      </c>
      <c r="L1346" s="36"/>
      <c r="M1346" s="37"/>
      <c r="N1346" s="36"/>
    </row>
    <row r="1347" ht="51">
      <c r="A1347" s="19" t="s">
        <v>10460</v>
      </c>
      <c r="B1347" s="19">
        <v>25398</v>
      </c>
      <c r="C1347" s="20" t="s">
        <v>11804</v>
      </c>
      <c r="D1347" s="19" t="s">
        <v>31</v>
      </c>
      <c r="E1347" s="19" t="s">
        <v>10459</v>
      </c>
      <c r="F1347" s="21" t="str">
        <f t="shared" si="522"/>
        <v>VERIFICAR</v>
      </c>
      <c r="G1347" s="21" t="str">
        <f t="shared" si="522"/>
        <v>VERIFICAR</v>
      </c>
      <c r="H1347" s="21" t="str">
        <f t="shared" si="522"/>
        <v>VERIFICAR</v>
      </c>
      <c r="I1347" s="24" t="str">
        <f t="shared" si="523"/>
        <v xml:space="preserve">SEM VALOR</v>
      </c>
      <c r="L1347" s="36"/>
      <c r="M1347" s="37"/>
      <c r="N1347" s="36"/>
    </row>
    <row r="1348" ht="51">
      <c r="A1348" s="19" t="s">
        <v>10460</v>
      </c>
      <c r="B1348" s="19">
        <v>25399</v>
      </c>
      <c r="C1348" s="20" t="s">
        <v>11805</v>
      </c>
      <c r="D1348" s="19" t="s">
        <v>31</v>
      </c>
      <c r="E1348" s="19" t="s">
        <v>10459</v>
      </c>
      <c r="F1348" s="21" t="str">
        <f t="shared" si="522"/>
        <v>VERIFICAR</v>
      </c>
      <c r="G1348" s="21" t="str">
        <f t="shared" si="522"/>
        <v>VERIFICAR</v>
      </c>
      <c r="H1348" s="21" t="str">
        <f t="shared" si="522"/>
        <v>VERIFICAR</v>
      </c>
      <c r="I1348" s="24" t="str">
        <f t="shared" si="523"/>
        <v xml:space="preserve">SEM VALOR</v>
      </c>
      <c r="L1348" s="36"/>
      <c r="M1348" s="37"/>
      <c r="N1348" s="36"/>
    </row>
    <row r="1349" ht="38.25">
      <c r="A1349" s="19" t="s">
        <v>10460</v>
      </c>
      <c r="B1349" s="19">
        <v>43440</v>
      </c>
      <c r="C1349" s="20" t="s">
        <v>11806</v>
      </c>
      <c r="D1349" s="19" t="s">
        <v>31</v>
      </c>
      <c r="E1349" s="19" t="s">
        <v>10459</v>
      </c>
      <c r="F1349" s="21">
        <f t="shared" si="522"/>
        <v>505.31999999999999</v>
      </c>
      <c r="G1349" s="21">
        <f t="shared" si="522"/>
        <v>505.31999999999999</v>
      </c>
      <c r="H1349" s="21">
        <f t="shared" si="522"/>
        <v>505.31999999999999</v>
      </c>
      <c r="I1349" s="24" t="str">
        <f t="shared" si="523"/>
        <v xml:space="preserve">COM VALOR</v>
      </c>
      <c r="L1349" s="36">
        <v>505.31999999999999</v>
      </c>
      <c r="M1349" s="37">
        <v>505.31999999999999</v>
      </c>
      <c r="N1349" s="36">
        <v>505.31999999999999</v>
      </c>
    </row>
    <row r="1350" ht="25.5">
      <c r="A1350" s="19" t="s">
        <v>10460</v>
      </c>
      <c r="B1350" s="19">
        <v>1613</v>
      </c>
      <c r="C1350" s="20" t="s">
        <v>11807</v>
      </c>
      <c r="D1350" s="19" t="s">
        <v>31</v>
      </c>
      <c r="E1350" s="19" t="s">
        <v>10459</v>
      </c>
      <c r="F1350" s="21">
        <f t="shared" si="522"/>
        <v>2212.6500000000001</v>
      </c>
      <c r="G1350" s="21">
        <f t="shared" si="522"/>
        <v>2212.6500000000001</v>
      </c>
      <c r="H1350" s="21">
        <f t="shared" si="522"/>
        <v>2212.6500000000001</v>
      </c>
      <c r="I1350" s="24" t="str">
        <f t="shared" si="523"/>
        <v xml:space="preserve">COM VALOR</v>
      </c>
      <c r="L1350" s="36">
        <v>2212.6500000000001</v>
      </c>
      <c r="M1350" s="37">
        <v>2212.6500000000001</v>
      </c>
      <c r="N1350" s="36">
        <v>2212.6500000000001</v>
      </c>
    </row>
    <row r="1351" ht="25.5">
      <c r="A1351" s="19" t="s">
        <v>10460</v>
      </c>
      <c r="B1351" s="19">
        <v>1626</v>
      </c>
      <c r="C1351" s="20" t="s">
        <v>11808</v>
      </c>
      <c r="D1351" s="19" t="s">
        <v>31</v>
      </c>
      <c r="E1351" s="19" t="s">
        <v>10459</v>
      </c>
      <c r="F1351" s="21">
        <f t="shared" si="522"/>
        <v>3309.3000000000002</v>
      </c>
      <c r="G1351" s="21">
        <f t="shared" si="522"/>
        <v>3309.3000000000002</v>
      </c>
      <c r="H1351" s="21">
        <f t="shared" si="522"/>
        <v>3309.3000000000002</v>
      </c>
      <c r="I1351" s="24" t="str">
        <f t="shared" si="523"/>
        <v xml:space="preserve">COM VALOR</v>
      </c>
      <c r="L1351" s="36">
        <v>3309.3000000000002</v>
      </c>
      <c r="M1351" s="37">
        <v>3309.3000000000002</v>
      </c>
      <c r="N1351" s="36">
        <v>3309.3000000000002</v>
      </c>
    </row>
    <row r="1352" ht="25.5">
      <c r="A1352" s="19" t="s">
        <v>10460</v>
      </c>
      <c r="B1352" s="19">
        <v>1625</v>
      </c>
      <c r="C1352" s="20" t="s">
        <v>11809</v>
      </c>
      <c r="D1352" s="19" t="s">
        <v>31</v>
      </c>
      <c r="E1352" s="19" t="s">
        <v>10459</v>
      </c>
      <c r="F1352" s="21">
        <f t="shared" si="522"/>
        <v>231.13999999999999</v>
      </c>
      <c r="G1352" s="21">
        <f t="shared" si="522"/>
        <v>231.13999999999999</v>
      </c>
      <c r="H1352" s="21">
        <f t="shared" si="522"/>
        <v>231.13999999999999</v>
      </c>
      <c r="I1352" s="24" t="str">
        <f t="shared" si="523"/>
        <v xml:space="preserve">COM VALOR</v>
      </c>
      <c r="L1352" s="36">
        <v>231.13999999999999</v>
      </c>
      <c r="M1352" s="37">
        <v>231.13999999999999</v>
      </c>
      <c r="N1352" s="36">
        <v>231.13999999999999</v>
      </c>
    </row>
    <row r="1353" ht="25.5">
      <c r="A1353" s="19" t="s">
        <v>10460</v>
      </c>
      <c r="B1353" s="19">
        <v>1622</v>
      </c>
      <c r="C1353" s="20" t="s">
        <v>11810</v>
      </c>
      <c r="D1353" s="19" t="s">
        <v>31</v>
      </c>
      <c r="E1353" s="19" t="s">
        <v>10459</v>
      </c>
      <c r="F1353" s="21">
        <f t="shared" si="522"/>
        <v>7467.7200000000003</v>
      </c>
      <c r="G1353" s="21">
        <f t="shared" si="522"/>
        <v>7467.7200000000003</v>
      </c>
      <c r="H1353" s="21">
        <f t="shared" si="522"/>
        <v>7467.7200000000003</v>
      </c>
      <c r="I1353" s="24" t="str">
        <f t="shared" si="523"/>
        <v xml:space="preserve">COM VALOR</v>
      </c>
      <c r="L1353" s="36">
        <v>7467.7200000000003</v>
      </c>
      <c r="M1353" s="37">
        <v>7467.7200000000003</v>
      </c>
      <c r="N1353" s="36">
        <v>7467.7200000000003</v>
      </c>
    </row>
    <row r="1354" ht="25.5">
      <c r="A1354" s="19" t="s">
        <v>10460</v>
      </c>
      <c r="B1354" s="19">
        <v>1620</v>
      </c>
      <c r="C1354" s="20" t="s">
        <v>11811</v>
      </c>
      <c r="D1354" s="19" t="s">
        <v>31</v>
      </c>
      <c r="E1354" s="19" t="s">
        <v>10459</v>
      </c>
      <c r="F1354" s="21">
        <f t="shared" si="522"/>
        <v>486.91000000000003</v>
      </c>
      <c r="G1354" s="21">
        <f t="shared" si="522"/>
        <v>486.91000000000003</v>
      </c>
      <c r="H1354" s="21">
        <f t="shared" si="522"/>
        <v>486.91000000000003</v>
      </c>
      <c r="I1354" s="24" t="str">
        <f t="shared" si="523"/>
        <v xml:space="preserve">COM VALOR</v>
      </c>
      <c r="L1354" s="36">
        <v>486.91000000000003</v>
      </c>
      <c r="M1354" s="37">
        <v>486.91000000000003</v>
      </c>
      <c r="N1354" s="36">
        <v>486.91000000000003</v>
      </c>
    </row>
    <row r="1355" ht="25.5">
      <c r="A1355" s="19" t="s">
        <v>10460</v>
      </c>
      <c r="B1355" s="19">
        <v>1629</v>
      </c>
      <c r="C1355" s="20" t="s">
        <v>11812</v>
      </c>
      <c r="D1355" s="19" t="s">
        <v>31</v>
      </c>
      <c r="E1355" s="19" t="s">
        <v>10459</v>
      </c>
      <c r="F1355" s="21">
        <f t="shared" ref="F1355:H1418" si="524">IF(L1355=0,"VERIFICAR",L1355)</f>
        <v>18174.66</v>
      </c>
      <c r="G1355" s="21">
        <f t="shared" si="524"/>
        <v>18174.66</v>
      </c>
      <c r="H1355" s="21">
        <f t="shared" si="524"/>
        <v>18174.66</v>
      </c>
      <c r="I1355" s="24" t="str">
        <f t="shared" ref="I1355:I1418" si="525">IF(OR(L1355=0,M1355=0,N1355=0),"SEM VALOR","COM VALOR")</f>
        <v xml:space="preserve">COM VALOR</v>
      </c>
      <c r="L1355" s="36">
        <v>18174.66</v>
      </c>
      <c r="M1355" s="37">
        <v>18174.66</v>
      </c>
      <c r="N1355" s="36">
        <v>18174.66</v>
      </c>
    </row>
    <row r="1356" ht="25.5">
      <c r="A1356" s="19" t="s">
        <v>10460</v>
      </c>
      <c r="B1356" s="19">
        <v>1627</v>
      </c>
      <c r="C1356" s="20" t="s">
        <v>11813</v>
      </c>
      <c r="D1356" s="19" t="s">
        <v>31</v>
      </c>
      <c r="E1356" s="19" t="s">
        <v>10459</v>
      </c>
      <c r="F1356" s="21">
        <f t="shared" si="524"/>
        <v>930.71000000000004</v>
      </c>
      <c r="G1356" s="21">
        <f t="shared" si="524"/>
        <v>930.71000000000004</v>
      </c>
      <c r="H1356" s="21">
        <f t="shared" si="524"/>
        <v>930.71000000000004</v>
      </c>
      <c r="I1356" s="24" t="str">
        <f t="shared" si="525"/>
        <v xml:space="preserve">COM VALOR</v>
      </c>
      <c r="L1356" s="36">
        <v>930.71000000000004</v>
      </c>
      <c r="M1356" s="37">
        <v>930.71000000000004</v>
      </c>
      <c r="N1356" s="36">
        <v>930.71000000000004</v>
      </c>
    </row>
    <row r="1357" ht="25.5">
      <c r="A1357" s="19" t="s">
        <v>10460</v>
      </c>
      <c r="B1357" s="19">
        <v>1623</v>
      </c>
      <c r="C1357" s="20" t="s">
        <v>11814</v>
      </c>
      <c r="D1357" s="19" t="s">
        <v>31</v>
      </c>
      <c r="E1357" s="19" t="s">
        <v>10459</v>
      </c>
      <c r="F1357" s="21">
        <f t="shared" si="524"/>
        <v>188.5</v>
      </c>
      <c r="G1357" s="21">
        <f t="shared" si="524"/>
        <v>188.5</v>
      </c>
      <c r="H1357" s="21">
        <f t="shared" si="524"/>
        <v>188.5</v>
      </c>
      <c r="I1357" s="24" t="str">
        <f t="shared" si="525"/>
        <v xml:space="preserve">COM VALOR</v>
      </c>
      <c r="L1357" s="36">
        <v>188.5</v>
      </c>
      <c r="M1357" s="37">
        <v>188.5</v>
      </c>
      <c r="N1357" s="36">
        <v>188.5</v>
      </c>
    </row>
    <row r="1358" ht="25.5">
      <c r="A1358" s="19" t="s">
        <v>10460</v>
      </c>
      <c r="B1358" s="19">
        <v>1619</v>
      </c>
      <c r="C1358" s="20" t="s">
        <v>11815</v>
      </c>
      <c r="D1358" s="19" t="s">
        <v>31</v>
      </c>
      <c r="E1358" s="19" t="s">
        <v>10459</v>
      </c>
      <c r="F1358" s="21">
        <f t="shared" si="524"/>
        <v>259.30000000000001</v>
      </c>
      <c r="G1358" s="21">
        <f t="shared" si="524"/>
        <v>259.30000000000001</v>
      </c>
      <c r="H1358" s="21">
        <f t="shared" si="524"/>
        <v>259.30000000000001</v>
      </c>
      <c r="I1358" s="24" t="str">
        <f t="shared" si="525"/>
        <v xml:space="preserve">COM VALOR</v>
      </c>
      <c r="L1358" s="36">
        <v>259.30000000000001</v>
      </c>
      <c r="M1358" s="37">
        <v>259.30000000000001</v>
      </c>
      <c r="N1358" s="36">
        <v>259.30000000000001</v>
      </c>
    </row>
    <row r="1359" ht="25.5">
      <c r="A1359" s="19" t="s">
        <v>10460</v>
      </c>
      <c r="B1359" s="19">
        <v>1630</v>
      </c>
      <c r="C1359" s="20" t="s">
        <v>11816</v>
      </c>
      <c r="D1359" s="19" t="s">
        <v>31</v>
      </c>
      <c r="E1359" s="19" t="s">
        <v>10459</v>
      </c>
      <c r="F1359" s="21">
        <f t="shared" si="524"/>
        <v>5709.2299999999996</v>
      </c>
      <c r="G1359" s="21">
        <f t="shared" si="524"/>
        <v>5709.2299999999996</v>
      </c>
      <c r="H1359" s="21">
        <f t="shared" si="524"/>
        <v>5709.2299999999996</v>
      </c>
      <c r="I1359" s="24" t="str">
        <f t="shared" si="525"/>
        <v xml:space="preserve">COM VALOR</v>
      </c>
      <c r="L1359" s="36">
        <v>5709.2299999999996</v>
      </c>
      <c r="M1359" s="37">
        <v>5709.2299999999996</v>
      </c>
      <c r="N1359" s="36">
        <v>5709.2299999999996</v>
      </c>
    </row>
    <row r="1360" ht="25.5">
      <c r="A1360" s="19" t="s">
        <v>10460</v>
      </c>
      <c r="B1360" s="19">
        <v>1616</v>
      </c>
      <c r="C1360" s="20" t="s">
        <v>11817</v>
      </c>
      <c r="D1360" s="19" t="s">
        <v>31</v>
      </c>
      <c r="E1360" s="19" t="s">
        <v>10459</v>
      </c>
      <c r="F1360" s="21">
        <f t="shared" si="524"/>
        <v>8780.8899999999994</v>
      </c>
      <c r="G1360" s="21">
        <f t="shared" si="524"/>
        <v>8780.8899999999994</v>
      </c>
      <c r="H1360" s="21">
        <f t="shared" si="524"/>
        <v>8780.8899999999994</v>
      </c>
      <c r="I1360" s="24" t="str">
        <f t="shared" si="525"/>
        <v xml:space="preserve">COM VALOR</v>
      </c>
      <c r="L1360" s="36">
        <v>8780.8899999999994</v>
      </c>
      <c r="M1360" s="37">
        <v>8780.8899999999994</v>
      </c>
      <c r="N1360" s="36">
        <v>8780.8899999999994</v>
      </c>
    </row>
    <row r="1361" ht="25.5">
      <c r="A1361" s="19" t="s">
        <v>10460</v>
      </c>
      <c r="B1361" s="19">
        <v>1614</v>
      </c>
      <c r="C1361" s="20" t="s">
        <v>11818</v>
      </c>
      <c r="D1361" s="19" t="s">
        <v>31</v>
      </c>
      <c r="E1361" s="19" t="s">
        <v>10459</v>
      </c>
      <c r="F1361" s="21">
        <f t="shared" si="524"/>
        <v>401.31999999999999</v>
      </c>
      <c r="G1361" s="21">
        <f t="shared" si="524"/>
        <v>401.31999999999999</v>
      </c>
      <c r="H1361" s="21">
        <f t="shared" si="524"/>
        <v>401.31999999999999</v>
      </c>
      <c r="I1361" s="24" t="str">
        <f t="shared" si="525"/>
        <v xml:space="preserve">COM VALOR</v>
      </c>
      <c r="L1361" s="36">
        <v>401.31999999999999</v>
      </c>
      <c r="M1361" s="37">
        <v>401.31999999999999</v>
      </c>
      <c r="N1361" s="36">
        <v>401.31999999999999</v>
      </c>
    </row>
    <row r="1362" ht="25.5">
      <c r="A1362" s="19" t="s">
        <v>10460</v>
      </c>
      <c r="B1362" s="19">
        <v>1617</v>
      </c>
      <c r="C1362" s="20" t="s">
        <v>11819</v>
      </c>
      <c r="D1362" s="19" t="s">
        <v>31</v>
      </c>
      <c r="E1362" s="19" t="s">
        <v>10459</v>
      </c>
      <c r="F1362" s="21">
        <f t="shared" si="524"/>
        <v>10482.49</v>
      </c>
      <c r="G1362" s="21">
        <f t="shared" si="524"/>
        <v>10482.49</v>
      </c>
      <c r="H1362" s="21">
        <f t="shared" si="524"/>
        <v>10482.49</v>
      </c>
      <c r="I1362" s="24" t="str">
        <f t="shared" si="525"/>
        <v xml:space="preserve">COM VALOR</v>
      </c>
      <c r="L1362" s="36">
        <v>10482.49</v>
      </c>
      <c r="M1362" s="37">
        <v>10482.49</v>
      </c>
      <c r="N1362" s="36">
        <v>10482.49</v>
      </c>
    </row>
    <row r="1363" ht="25.5">
      <c r="A1363" s="19" t="s">
        <v>10460</v>
      </c>
      <c r="B1363" s="19">
        <v>1621</v>
      </c>
      <c r="C1363" s="20" t="s">
        <v>11820</v>
      </c>
      <c r="D1363" s="19" t="s">
        <v>31</v>
      </c>
      <c r="E1363" s="19" t="s">
        <v>10459</v>
      </c>
      <c r="F1363" s="21">
        <f t="shared" si="524"/>
        <v>717.75</v>
      </c>
      <c r="G1363" s="21">
        <f t="shared" si="524"/>
        <v>717.75</v>
      </c>
      <c r="H1363" s="21">
        <f t="shared" si="524"/>
        <v>717.75</v>
      </c>
      <c r="I1363" s="24" t="str">
        <f t="shared" si="525"/>
        <v xml:space="preserve">COM VALOR</v>
      </c>
      <c r="L1363" s="36">
        <v>717.75</v>
      </c>
      <c r="M1363" s="37">
        <v>717.75</v>
      </c>
      <c r="N1363" s="36">
        <v>717.75</v>
      </c>
    </row>
    <row r="1364" ht="25.5">
      <c r="A1364" s="19" t="s">
        <v>10460</v>
      </c>
      <c r="B1364" s="19">
        <v>1624</v>
      </c>
      <c r="C1364" s="20" t="s">
        <v>11821</v>
      </c>
      <c r="D1364" s="19" t="s">
        <v>31</v>
      </c>
      <c r="E1364" s="19" t="s">
        <v>10459</v>
      </c>
      <c r="F1364" s="21">
        <f t="shared" si="524"/>
        <v>25766.459999999999</v>
      </c>
      <c r="G1364" s="21">
        <f t="shared" si="524"/>
        <v>25766.459999999999</v>
      </c>
      <c r="H1364" s="21">
        <f t="shared" si="524"/>
        <v>25766.459999999999</v>
      </c>
      <c r="I1364" s="24" t="str">
        <f t="shared" si="525"/>
        <v xml:space="preserve">COM VALOR</v>
      </c>
      <c r="L1364" s="36">
        <v>25766.459999999999</v>
      </c>
      <c r="M1364" s="37">
        <v>25766.459999999999</v>
      </c>
      <c r="N1364" s="36">
        <v>25766.459999999999</v>
      </c>
    </row>
    <row r="1365" ht="25.5">
      <c r="A1365" s="19" t="s">
        <v>10460</v>
      </c>
      <c r="B1365" s="19">
        <v>1615</v>
      </c>
      <c r="C1365" s="20" t="s">
        <v>11822</v>
      </c>
      <c r="D1365" s="19" t="s">
        <v>31</v>
      </c>
      <c r="E1365" s="19" t="s">
        <v>10459</v>
      </c>
      <c r="F1365" s="21">
        <f t="shared" si="524"/>
        <v>1347.8199999999999</v>
      </c>
      <c r="G1365" s="21">
        <f t="shared" si="524"/>
        <v>1347.8199999999999</v>
      </c>
      <c r="H1365" s="21">
        <f t="shared" si="524"/>
        <v>1347.8199999999999</v>
      </c>
      <c r="I1365" s="24" t="str">
        <f t="shared" si="525"/>
        <v xml:space="preserve">COM VALOR</v>
      </c>
      <c r="L1365" s="36">
        <v>1347.8199999999999</v>
      </c>
      <c r="M1365" s="37">
        <v>1347.8199999999999</v>
      </c>
      <c r="N1365" s="36">
        <v>1347.8199999999999</v>
      </c>
    </row>
    <row r="1366" ht="25.5">
      <c r="A1366" s="19" t="s">
        <v>10460</v>
      </c>
      <c r="B1366" s="19">
        <v>1612</v>
      </c>
      <c r="C1366" s="20" t="s">
        <v>11823</v>
      </c>
      <c r="D1366" s="19" t="s">
        <v>31</v>
      </c>
      <c r="E1366" s="19" t="s">
        <v>10466</v>
      </c>
      <c r="F1366" s="21">
        <f t="shared" si="524"/>
        <v>177.52000000000001</v>
      </c>
      <c r="G1366" s="21">
        <f t="shared" si="524"/>
        <v>177.52000000000001</v>
      </c>
      <c r="H1366" s="21">
        <f t="shared" si="524"/>
        <v>177.52000000000001</v>
      </c>
      <c r="I1366" s="24" t="str">
        <f t="shared" si="525"/>
        <v xml:space="preserve">COM VALOR</v>
      </c>
      <c r="L1366" s="36">
        <v>177.52000000000001</v>
      </c>
      <c r="M1366" s="37">
        <v>177.52000000000001</v>
      </c>
      <c r="N1366" s="36">
        <v>177.52000000000001</v>
      </c>
    </row>
    <row r="1367" ht="25.5">
      <c r="A1367" s="19" t="s">
        <v>10460</v>
      </c>
      <c r="B1367" s="19">
        <v>1618</v>
      </c>
      <c r="C1367" s="20" t="s">
        <v>11824</v>
      </c>
      <c r="D1367" s="19" t="s">
        <v>31</v>
      </c>
      <c r="E1367" s="19" t="s">
        <v>10459</v>
      </c>
      <c r="F1367" s="21">
        <f t="shared" si="524"/>
        <v>1852.0999999999999</v>
      </c>
      <c r="G1367" s="21">
        <f t="shared" si="524"/>
        <v>1852.0999999999999</v>
      </c>
      <c r="H1367" s="21">
        <f t="shared" si="524"/>
        <v>1852.0999999999999</v>
      </c>
      <c r="I1367" s="24" t="str">
        <f t="shared" si="525"/>
        <v xml:space="preserve">COM VALOR</v>
      </c>
      <c r="L1367" s="36">
        <v>1852.0999999999999</v>
      </c>
      <c r="M1367" s="37">
        <v>1852.0999999999999</v>
      </c>
      <c r="N1367" s="36">
        <v>1852.0999999999999</v>
      </c>
    </row>
    <row r="1368" ht="25.5">
      <c r="A1368" s="19" t="s">
        <v>10460</v>
      </c>
      <c r="B1368" s="19">
        <v>14211</v>
      </c>
      <c r="C1368" s="20" t="s">
        <v>11825</v>
      </c>
      <c r="D1368" s="19" t="s">
        <v>31</v>
      </c>
      <c r="E1368" s="19" t="s">
        <v>10459</v>
      </c>
      <c r="F1368" s="21">
        <f t="shared" si="524"/>
        <v>51.729999999999997</v>
      </c>
      <c r="G1368" s="21">
        <f t="shared" si="524"/>
        <v>51.729999999999997</v>
      </c>
      <c r="H1368" s="21">
        <f t="shared" si="524"/>
        <v>51.729999999999997</v>
      </c>
      <c r="I1368" s="24" t="str">
        <f t="shared" si="525"/>
        <v xml:space="preserve">COM VALOR</v>
      </c>
      <c r="L1368" s="36">
        <v>51.729999999999997</v>
      </c>
      <c r="M1368" s="37">
        <v>51.729999999999997</v>
      </c>
      <c r="N1368" s="36">
        <v>51.729999999999997</v>
      </c>
    </row>
    <row r="1369" ht="38.25">
      <c r="A1369" s="19" t="s">
        <v>10460</v>
      </c>
      <c r="B1369" s="19">
        <v>43657</v>
      </c>
      <c r="C1369" s="20" t="s">
        <v>11826</v>
      </c>
      <c r="D1369" s="19" t="s">
        <v>38</v>
      </c>
      <c r="E1369" s="19" t="s">
        <v>10459</v>
      </c>
      <c r="F1369" s="21">
        <f t="shared" si="524"/>
        <v>10.31</v>
      </c>
      <c r="G1369" s="21">
        <f t="shared" si="524"/>
        <v>10.31</v>
      </c>
      <c r="H1369" s="21">
        <f t="shared" si="524"/>
        <v>10.31</v>
      </c>
      <c r="I1369" s="24" t="str">
        <f t="shared" si="525"/>
        <v xml:space="preserve">COM VALOR</v>
      </c>
      <c r="L1369" s="36">
        <v>10.31</v>
      </c>
      <c r="M1369" s="37">
        <v>10.31</v>
      </c>
      <c r="N1369" s="36">
        <v>10.31</v>
      </c>
    </row>
    <row r="1370" ht="25.5">
      <c r="A1370" s="19" t="s">
        <v>10460</v>
      </c>
      <c r="B1370" s="19">
        <v>38200</v>
      </c>
      <c r="C1370" s="20" t="s">
        <v>11827</v>
      </c>
      <c r="D1370" s="19" t="s">
        <v>11828</v>
      </c>
      <c r="E1370" s="19" t="s">
        <v>10459</v>
      </c>
      <c r="F1370" s="21">
        <f t="shared" si="524"/>
        <v>418.17000000000002</v>
      </c>
      <c r="G1370" s="21">
        <f t="shared" si="524"/>
        <v>418.17000000000002</v>
      </c>
      <c r="H1370" s="21">
        <f t="shared" si="524"/>
        <v>418.17000000000002</v>
      </c>
      <c r="I1370" s="24" t="str">
        <f t="shared" si="525"/>
        <v xml:space="preserve">COM VALOR</v>
      </c>
      <c r="L1370" s="36">
        <v>418.17000000000002</v>
      </c>
      <c r="M1370" s="37">
        <v>418.17000000000002</v>
      </c>
      <c r="N1370" s="36">
        <v>418.17000000000002</v>
      </c>
    </row>
    <row r="1371" ht="25.5">
      <c r="A1371" s="19" t="s">
        <v>10460</v>
      </c>
      <c r="B1371" s="19">
        <v>39269</v>
      </c>
      <c r="C1371" s="20" t="s">
        <v>11829</v>
      </c>
      <c r="D1371" s="19" t="s">
        <v>38</v>
      </c>
      <c r="E1371" s="19" t="s">
        <v>10459</v>
      </c>
      <c r="F1371" s="21">
        <f t="shared" si="524"/>
        <v>1.6799999999999999</v>
      </c>
      <c r="G1371" s="21">
        <f t="shared" si="524"/>
        <v>1.6799999999999999</v>
      </c>
      <c r="H1371" s="21">
        <f t="shared" si="524"/>
        <v>1.6799999999999999</v>
      </c>
      <c r="I1371" s="24" t="str">
        <f t="shared" si="525"/>
        <v xml:space="preserve">COM VALOR</v>
      </c>
      <c r="L1371" s="36">
        <v>1.6799999999999999</v>
      </c>
      <c r="M1371" s="37">
        <v>1.6799999999999999</v>
      </c>
      <c r="N1371" s="36">
        <v>1.6799999999999999</v>
      </c>
    </row>
    <row r="1372" ht="25.5">
      <c r="A1372" s="19" t="s">
        <v>10460</v>
      </c>
      <c r="B1372" s="19">
        <v>11889</v>
      </c>
      <c r="C1372" s="20" t="s">
        <v>11830</v>
      </c>
      <c r="D1372" s="19" t="s">
        <v>38</v>
      </c>
      <c r="E1372" s="19" t="s">
        <v>10459</v>
      </c>
      <c r="F1372" s="21">
        <f t="shared" si="524"/>
        <v>2.3100000000000001</v>
      </c>
      <c r="G1372" s="21">
        <f t="shared" si="524"/>
        <v>2.3100000000000001</v>
      </c>
      <c r="H1372" s="21">
        <f t="shared" si="524"/>
        <v>2.3100000000000001</v>
      </c>
      <c r="I1372" s="24" t="str">
        <f t="shared" si="525"/>
        <v xml:space="preserve">COM VALOR</v>
      </c>
      <c r="L1372" s="36">
        <v>2.3100000000000001</v>
      </c>
      <c r="M1372" s="37">
        <v>2.3100000000000001</v>
      </c>
      <c r="N1372" s="36">
        <v>2.3100000000000001</v>
      </c>
    </row>
    <row r="1373" ht="25.5">
      <c r="A1373" s="19" t="s">
        <v>10460</v>
      </c>
      <c r="B1373" s="19">
        <v>39270</v>
      </c>
      <c r="C1373" s="20" t="s">
        <v>11831</v>
      </c>
      <c r="D1373" s="19" t="s">
        <v>38</v>
      </c>
      <c r="E1373" s="19" t="s">
        <v>10459</v>
      </c>
      <c r="F1373" s="21">
        <f t="shared" si="524"/>
        <v>3</v>
      </c>
      <c r="G1373" s="21">
        <f t="shared" si="524"/>
        <v>3</v>
      </c>
      <c r="H1373" s="21">
        <f t="shared" si="524"/>
        <v>3</v>
      </c>
      <c r="I1373" s="24" t="str">
        <f t="shared" si="525"/>
        <v xml:space="preserve">COM VALOR</v>
      </c>
      <c r="L1373" s="36">
        <v>3</v>
      </c>
      <c r="M1373" s="37">
        <v>3</v>
      </c>
      <c r="N1373" s="36">
        <v>3</v>
      </c>
    </row>
    <row r="1374" ht="25.5">
      <c r="A1374" s="19" t="s">
        <v>10460</v>
      </c>
      <c r="B1374" s="19">
        <v>11890</v>
      </c>
      <c r="C1374" s="20" t="s">
        <v>11832</v>
      </c>
      <c r="D1374" s="19" t="s">
        <v>38</v>
      </c>
      <c r="E1374" s="19" t="s">
        <v>10459</v>
      </c>
      <c r="F1374" s="21">
        <f t="shared" si="524"/>
        <v>4.0899999999999999</v>
      </c>
      <c r="G1374" s="21">
        <f t="shared" si="524"/>
        <v>4.0899999999999999</v>
      </c>
      <c r="H1374" s="21">
        <f t="shared" si="524"/>
        <v>4.0899999999999999</v>
      </c>
      <c r="I1374" s="24" t="str">
        <f t="shared" si="525"/>
        <v xml:space="preserve">COM VALOR</v>
      </c>
      <c r="L1374" s="36">
        <v>4.0899999999999999</v>
      </c>
      <c r="M1374" s="37">
        <v>4.0899999999999999</v>
      </c>
      <c r="N1374" s="36">
        <v>4.0899999999999999</v>
      </c>
    </row>
    <row r="1375" ht="25.5">
      <c r="A1375" s="19" t="s">
        <v>10460</v>
      </c>
      <c r="B1375" s="19">
        <v>11891</v>
      </c>
      <c r="C1375" s="20" t="s">
        <v>11833</v>
      </c>
      <c r="D1375" s="19" t="s">
        <v>38</v>
      </c>
      <c r="E1375" s="19" t="s">
        <v>10459</v>
      </c>
      <c r="F1375" s="21">
        <f t="shared" si="524"/>
        <v>6.6299999999999999</v>
      </c>
      <c r="G1375" s="21">
        <f t="shared" si="524"/>
        <v>6.6299999999999999</v>
      </c>
      <c r="H1375" s="21">
        <f t="shared" si="524"/>
        <v>6.6299999999999999</v>
      </c>
      <c r="I1375" s="24" t="str">
        <f t="shared" si="525"/>
        <v xml:space="preserve">COM VALOR</v>
      </c>
      <c r="L1375" s="36">
        <v>6.6299999999999999</v>
      </c>
      <c r="M1375" s="37">
        <v>6.6299999999999999</v>
      </c>
      <c r="N1375" s="36">
        <v>6.6299999999999999</v>
      </c>
    </row>
    <row r="1376" ht="25.5">
      <c r="A1376" s="19" t="s">
        <v>10460</v>
      </c>
      <c r="B1376" s="19">
        <v>11892</v>
      </c>
      <c r="C1376" s="20" t="s">
        <v>11834</v>
      </c>
      <c r="D1376" s="19" t="s">
        <v>38</v>
      </c>
      <c r="E1376" s="19" t="s">
        <v>10459</v>
      </c>
      <c r="F1376" s="21">
        <f t="shared" si="524"/>
        <v>10.84</v>
      </c>
      <c r="G1376" s="21">
        <f t="shared" si="524"/>
        <v>10.84</v>
      </c>
      <c r="H1376" s="21">
        <f t="shared" si="524"/>
        <v>10.84</v>
      </c>
      <c r="I1376" s="24" t="str">
        <f t="shared" si="525"/>
        <v xml:space="preserve">COM VALOR</v>
      </c>
      <c r="L1376" s="36">
        <v>10.84</v>
      </c>
      <c r="M1376" s="37">
        <v>10.84</v>
      </c>
      <c r="N1376" s="36">
        <v>10.84</v>
      </c>
    </row>
    <row r="1377" ht="12.75">
      <c r="A1377" s="19" t="s">
        <v>10460</v>
      </c>
      <c r="B1377" s="19">
        <v>37601</v>
      </c>
      <c r="C1377" s="20" t="s">
        <v>11835</v>
      </c>
      <c r="D1377" s="19" t="s">
        <v>38</v>
      </c>
      <c r="E1377" s="19" t="s">
        <v>10459</v>
      </c>
      <c r="F1377" s="21" t="str">
        <f t="shared" si="524"/>
        <v>VERIFICAR</v>
      </c>
      <c r="G1377" s="21" t="str">
        <f t="shared" si="524"/>
        <v>VERIFICAR</v>
      </c>
      <c r="H1377" s="21" t="str">
        <f t="shared" si="524"/>
        <v>VERIFICAR</v>
      </c>
      <c r="I1377" s="24" t="str">
        <f t="shared" si="525"/>
        <v xml:space="preserve">SEM VALOR</v>
      </c>
      <c r="L1377" s="36"/>
      <c r="M1377" s="37"/>
      <c r="N1377" s="36"/>
    </row>
    <row r="1378" ht="12.75">
      <c r="A1378" s="19" t="s">
        <v>10460</v>
      </c>
      <c r="B1378" s="19">
        <v>1634</v>
      </c>
      <c r="C1378" s="20" t="s">
        <v>11836</v>
      </c>
      <c r="D1378" s="19" t="s">
        <v>38</v>
      </c>
      <c r="E1378" s="19" t="s">
        <v>10459</v>
      </c>
      <c r="F1378" s="21" t="str">
        <f t="shared" si="524"/>
        <v>VERIFICAR</v>
      </c>
      <c r="G1378" s="21" t="str">
        <f t="shared" si="524"/>
        <v>VERIFICAR</v>
      </c>
      <c r="H1378" s="21" t="str">
        <f t="shared" si="524"/>
        <v>VERIFICAR</v>
      </c>
      <c r="I1378" s="24" t="str">
        <f t="shared" si="525"/>
        <v xml:space="preserve">SEM VALOR</v>
      </c>
      <c r="L1378" s="36"/>
      <c r="M1378" s="37"/>
      <c r="N1378" s="36"/>
    </row>
    <row r="1379" ht="25.5">
      <c r="A1379" s="19" t="s">
        <v>10638</v>
      </c>
      <c r="B1379" s="19">
        <v>44274</v>
      </c>
      <c r="C1379" s="20" t="s">
        <v>11837</v>
      </c>
      <c r="D1379" s="19" t="s">
        <v>31</v>
      </c>
      <c r="E1379" s="19" t="s">
        <v>10459</v>
      </c>
      <c r="F1379" s="21">
        <f t="shared" si="524"/>
        <v>665.00999999999999</v>
      </c>
      <c r="G1379" s="21">
        <f t="shared" si="524"/>
        <v>665.00999999999999</v>
      </c>
      <c r="H1379" s="21">
        <f t="shared" si="524"/>
        <v>665.00999999999999</v>
      </c>
      <c r="I1379" s="24" t="str">
        <f t="shared" si="525"/>
        <v xml:space="preserve">COM VALOR</v>
      </c>
      <c r="L1379" s="36">
        <v>665.00999999999999</v>
      </c>
      <c r="M1379" s="37">
        <v>665.00999999999999</v>
      </c>
      <c r="N1379" s="36">
        <v>665.00999999999999</v>
      </c>
    </row>
    <row r="1380" ht="25.5">
      <c r="A1380" s="19" t="s">
        <v>10460</v>
      </c>
      <c r="B1380" s="19">
        <v>5086</v>
      </c>
      <c r="C1380" s="20" t="s">
        <v>11838</v>
      </c>
      <c r="D1380" s="19" t="s">
        <v>302</v>
      </c>
      <c r="E1380" s="19" t="s">
        <v>10459</v>
      </c>
      <c r="F1380" s="21">
        <f t="shared" si="524"/>
        <v>39.789999999999999</v>
      </c>
      <c r="G1380" s="21">
        <f t="shared" si="524"/>
        <v>39.789999999999999</v>
      </c>
      <c r="H1380" s="21">
        <f t="shared" si="524"/>
        <v>39.789999999999999</v>
      </c>
      <c r="I1380" s="24" t="str">
        <f t="shared" si="525"/>
        <v xml:space="preserve">COM VALOR</v>
      </c>
      <c r="L1380" s="36">
        <v>39.789999999999999</v>
      </c>
      <c r="M1380" s="37">
        <v>39.789999999999999</v>
      </c>
      <c r="N1380" s="36">
        <v>39.789999999999999</v>
      </c>
    </row>
    <row r="1381" ht="12.75">
      <c r="A1381" s="19" t="s">
        <v>10460</v>
      </c>
      <c r="B1381" s="19">
        <v>45244</v>
      </c>
      <c r="C1381" s="20" t="s">
        <v>11839</v>
      </c>
      <c r="D1381" s="19" t="s">
        <v>31</v>
      </c>
      <c r="E1381" s="19" t="s">
        <v>10459</v>
      </c>
      <c r="F1381" s="21">
        <f t="shared" si="524"/>
        <v>85.299999999999997</v>
      </c>
      <c r="G1381" s="21">
        <f t="shared" si="524"/>
        <v>85.299999999999997</v>
      </c>
      <c r="H1381" s="21">
        <f t="shared" si="524"/>
        <v>85.299999999999997</v>
      </c>
      <c r="I1381" s="24" t="str">
        <f t="shared" si="525"/>
        <v xml:space="preserve">COM VALOR</v>
      </c>
      <c r="L1381" s="36">
        <v>85.299999999999997</v>
      </c>
      <c r="M1381" s="37">
        <v>85.299999999999997</v>
      </c>
      <c r="N1381" s="36">
        <v>85.299999999999997</v>
      </c>
    </row>
    <row r="1382" ht="38.25">
      <c r="A1382" s="19" t="s">
        <v>10638</v>
      </c>
      <c r="B1382" s="19">
        <v>11280</v>
      </c>
      <c r="C1382" s="20" t="s">
        <v>11840</v>
      </c>
      <c r="D1382" s="19" t="s">
        <v>31</v>
      </c>
      <c r="E1382" s="19" t="s">
        <v>10459</v>
      </c>
      <c r="F1382" s="21">
        <f t="shared" si="524"/>
        <v>7835.3100000000004</v>
      </c>
      <c r="G1382" s="21">
        <f t="shared" si="524"/>
        <v>7835.3100000000004</v>
      </c>
      <c r="H1382" s="21">
        <f t="shared" si="524"/>
        <v>7835.3100000000004</v>
      </c>
      <c r="I1382" s="24" t="str">
        <f t="shared" si="525"/>
        <v xml:space="preserve">COM VALOR</v>
      </c>
      <c r="L1382" s="36">
        <v>7835.3100000000004</v>
      </c>
      <c r="M1382" s="37">
        <v>7835.3100000000004</v>
      </c>
      <c r="N1382" s="36">
        <v>7835.3100000000004</v>
      </c>
    </row>
    <row r="1383" ht="38.25">
      <c r="A1383" s="19" t="s">
        <v>10638</v>
      </c>
      <c r="B1383" s="19">
        <v>45657</v>
      </c>
      <c r="C1383" s="20" t="s">
        <v>11841</v>
      </c>
      <c r="D1383" s="19" t="s">
        <v>31</v>
      </c>
      <c r="E1383" s="19" t="s">
        <v>10459</v>
      </c>
      <c r="F1383" s="21">
        <f t="shared" si="524"/>
        <v>178543.60000000001</v>
      </c>
      <c r="G1383" s="21">
        <f t="shared" si="524"/>
        <v>178543.60000000001</v>
      </c>
      <c r="H1383" s="21">
        <f t="shared" si="524"/>
        <v>178543.60000000001</v>
      </c>
      <c r="I1383" s="24" t="str">
        <f t="shared" si="525"/>
        <v xml:space="preserve">COM VALOR</v>
      </c>
      <c r="L1383" s="36">
        <v>178543.60000000001</v>
      </c>
      <c r="M1383" s="37">
        <v>178543.60000000001</v>
      </c>
      <c r="N1383" s="36">
        <v>178543.60000000001</v>
      </c>
    </row>
    <row r="1384" ht="25.5">
      <c r="A1384" s="19" t="s">
        <v>10460</v>
      </c>
      <c r="B1384" s="19">
        <v>3446</v>
      </c>
      <c r="C1384" s="20" t="s">
        <v>11842</v>
      </c>
      <c r="D1384" s="19" t="s">
        <v>31</v>
      </c>
      <c r="E1384" s="19" t="s">
        <v>10459</v>
      </c>
      <c r="F1384" s="21">
        <f t="shared" si="524"/>
        <v>40.310000000000002</v>
      </c>
      <c r="G1384" s="21">
        <f t="shared" si="524"/>
        <v>40.310000000000002</v>
      </c>
      <c r="H1384" s="21">
        <f t="shared" si="524"/>
        <v>40.310000000000002</v>
      </c>
      <c r="I1384" s="24" t="str">
        <f t="shared" si="525"/>
        <v xml:space="preserve">COM VALOR</v>
      </c>
      <c r="L1384" s="36">
        <v>40.310000000000002</v>
      </c>
      <c r="M1384" s="37">
        <v>40.310000000000002</v>
      </c>
      <c r="N1384" s="36">
        <v>40.310000000000002</v>
      </c>
    </row>
    <row r="1385" ht="25.5">
      <c r="A1385" s="19" t="s">
        <v>10460</v>
      </c>
      <c r="B1385" s="19">
        <v>3445</v>
      </c>
      <c r="C1385" s="20" t="s">
        <v>11843</v>
      </c>
      <c r="D1385" s="19" t="s">
        <v>31</v>
      </c>
      <c r="E1385" s="19" t="s">
        <v>10459</v>
      </c>
      <c r="F1385" s="21">
        <f t="shared" si="524"/>
        <v>32.909999999999997</v>
      </c>
      <c r="G1385" s="21">
        <f t="shared" si="524"/>
        <v>32.909999999999997</v>
      </c>
      <c r="H1385" s="21">
        <f t="shared" si="524"/>
        <v>32.909999999999997</v>
      </c>
      <c r="I1385" s="24" t="str">
        <f t="shared" si="525"/>
        <v xml:space="preserve">COM VALOR</v>
      </c>
      <c r="L1385" s="36">
        <v>32.909999999999997</v>
      </c>
      <c r="M1385" s="37">
        <v>32.909999999999997</v>
      </c>
      <c r="N1385" s="36">
        <v>32.909999999999997</v>
      </c>
    </row>
    <row r="1386" ht="25.5">
      <c r="A1386" s="19" t="s">
        <v>10460</v>
      </c>
      <c r="B1386" s="19">
        <v>3444</v>
      </c>
      <c r="C1386" s="20" t="s">
        <v>11844</v>
      </c>
      <c r="D1386" s="19" t="s">
        <v>31</v>
      </c>
      <c r="E1386" s="19" t="s">
        <v>10459</v>
      </c>
      <c r="F1386" s="21">
        <f t="shared" si="524"/>
        <v>20.25</v>
      </c>
      <c r="G1386" s="21">
        <f t="shared" si="524"/>
        <v>20.25</v>
      </c>
      <c r="H1386" s="21">
        <f t="shared" si="524"/>
        <v>20.25</v>
      </c>
      <c r="I1386" s="24" t="str">
        <f t="shared" si="525"/>
        <v xml:space="preserve">COM VALOR</v>
      </c>
      <c r="L1386" s="36">
        <v>20.25</v>
      </c>
      <c r="M1386" s="37">
        <v>20.25</v>
      </c>
      <c r="N1386" s="36">
        <v>20.25</v>
      </c>
    </row>
    <row r="1387" ht="25.5">
      <c r="A1387" s="19" t="s">
        <v>10460</v>
      </c>
      <c r="B1387" s="19">
        <v>3441</v>
      </c>
      <c r="C1387" s="20" t="s">
        <v>11845</v>
      </c>
      <c r="D1387" s="19" t="s">
        <v>31</v>
      </c>
      <c r="E1387" s="19" t="s">
        <v>10459</v>
      </c>
      <c r="F1387" s="21">
        <f t="shared" si="524"/>
        <v>9.2899999999999991</v>
      </c>
      <c r="G1387" s="21">
        <f t="shared" si="524"/>
        <v>9.2899999999999991</v>
      </c>
      <c r="H1387" s="21">
        <f t="shared" si="524"/>
        <v>9.2899999999999991</v>
      </c>
      <c r="I1387" s="24" t="str">
        <f t="shared" si="525"/>
        <v xml:space="preserve">COM VALOR</v>
      </c>
      <c r="L1387" s="36">
        <v>9.2899999999999991</v>
      </c>
      <c r="M1387" s="37">
        <v>9.2899999999999991</v>
      </c>
      <c r="N1387" s="36">
        <v>9.2899999999999991</v>
      </c>
    </row>
    <row r="1388" ht="25.5">
      <c r="A1388" s="19" t="s">
        <v>10460</v>
      </c>
      <c r="B1388" s="19">
        <v>12402</v>
      </c>
      <c r="C1388" s="20" t="s">
        <v>11846</v>
      </c>
      <c r="D1388" s="19" t="s">
        <v>31</v>
      </c>
      <c r="E1388" s="19" t="s">
        <v>10459</v>
      </c>
      <c r="F1388" s="21">
        <f t="shared" si="524"/>
        <v>113.3</v>
      </c>
      <c r="G1388" s="21">
        <f t="shared" si="524"/>
        <v>113.3</v>
      </c>
      <c r="H1388" s="21">
        <f t="shared" si="524"/>
        <v>113.3</v>
      </c>
      <c r="I1388" s="24" t="str">
        <f t="shared" si="525"/>
        <v xml:space="preserve">COM VALOR</v>
      </c>
      <c r="L1388" s="36">
        <v>113.3</v>
      </c>
      <c r="M1388" s="37">
        <v>113.3</v>
      </c>
      <c r="N1388" s="36">
        <v>113.3</v>
      </c>
    </row>
    <row r="1389" ht="25.5">
      <c r="A1389" s="19" t="s">
        <v>10460</v>
      </c>
      <c r="B1389" s="19">
        <v>3447</v>
      </c>
      <c r="C1389" s="20" t="s">
        <v>11847</v>
      </c>
      <c r="D1389" s="19" t="s">
        <v>31</v>
      </c>
      <c r="E1389" s="19" t="s">
        <v>10459</v>
      </c>
      <c r="F1389" s="21">
        <f t="shared" si="524"/>
        <v>58.619999999999997</v>
      </c>
      <c r="G1389" s="21">
        <f t="shared" si="524"/>
        <v>58.619999999999997</v>
      </c>
      <c r="H1389" s="21">
        <f t="shared" si="524"/>
        <v>58.619999999999997</v>
      </c>
      <c r="I1389" s="24" t="str">
        <f t="shared" si="525"/>
        <v xml:space="preserve">COM VALOR</v>
      </c>
      <c r="L1389" s="36">
        <v>58.619999999999997</v>
      </c>
      <c r="M1389" s="37">
        <v>58.619999999999997</v>
      </c>
      <c r="N1389" s="36">
        <v>58.619999999999997</v>
      </c>
    </row>
    <row r="1390" ht="25.5">
      <c r="A1390" s="19" t="s">
        <v>10460</v>
      </c>
      <c r="B1390" s="19">
        <v>3448</v>
      </c>
      <c r="C1390" s="20" t="s">
        <v>11848</v>
      </c>
      <c r="D1390" s="19" t="s">
        <v>31</v>
      </c>
      <c r="E1390" s="19" t="s">
        <v>10459</v>
      </c>
      <c r="F1390" s="21">
        <f t="shared" si="524"/>
        <v>165.65000000000001</v>
      </c>
      <c r="G1390" s="21">
        <f t="shared" si="524"/>
        <v>165.65000000000001</v>
      </c>
      <c r="H1390" s="21">
        <f t="shared" si="524"/>
        <v>165.65000000000001</v>
      </c>
      <c r="I1390" s="24" t="str">
        <f t="shared" si="525"/>
        <v xml:space="preserve">COM VALOR</v>
      </c>
      <c r="L1390" s="36">
        <v>165.65000000000001</v>
      </c>
      <c r="M1390" s="37">
        <v>165.65000000000001</v>
      </c>
      <c r="N1390" s="36">
        <v>165.65000000000001</v>
      </c>
    </row>
    <row r="1391" ht="25.5">
      <c r="A1391" s="19" t="s">
        <v>10460</v>
      </c>
      <c r="B1391" s="19">
        <v>3442</v>
      </c>
      <c r="C1391" s="20" t="s">
        <v>11849</v>
      </c>
      <c r="D1391" s="19" t="s">
        <v>31</v>
      </c>
      <c r="E1391" s="19" t="s">
        <v>10459</v>
      </c>
      <c r="F1391" s="21">
        <f t="shared" si="524"/>
        <v>13.890000000000001</v>
      </c>
      <c r="G1391" s="21">
        <f t="shared" si="524"/>
        <v>13.890000000000001</v>
      </c>
      <c r="H1391" s="21">
        <f t="shared" si="524"/>
        <v>13.890000000000001</v>
      </c>
      <c r="I1391" s="24" t="str">
        <f t="shared" si="525"/>
        <v xml:space="preserve">COM VALOR</v>
      </c>
      <c r="L1391" s="36">
        <v>13.890000000000001</v>
      </c>
      <c r="M1391" s="37">
        <v>13.890000000000001</v>
      </c>
      <c r="N1391" s="36">
        <v>13.890000000000001</v>
      </c>
    </row>
    <row r="1392" ht="25.5">
      <c r="A1392" s="19" t="s">
        <v>10460</v>
      </c>
      <c r="B1392" s="19">
        <v>3449</v>
      </c>
      <c r="C1392" s="20" t="s">
        <v>11850</v>
      </c>
      <c r="D1392" s="19" t="s">
        <v>31</v>
      </c>
      <c r="E1392" s="19" t="s">
        <v>10459</v>
      </c>
      <c r="F1392" s="21">
        <f t="shared" si="524"/>
        <v>290.25999999999999</v>
      </c>
      <c r="G1392" s="21">
        <f t="shared" si="524"/>
        <v>290.25999999999999</v>
      </c>
      <c r="H1392" s="21">
        <f t="shared" si="524"/>
        <v>290.25999999999999</v>
      </c>
      <c r="I1392" s="24" t="str">
        <f t="shared" si="525"/>
        <v xml:space="preserve">COM VALOR</v>
      </c>
      <c r="L1392" s="36">
        <v>290.25999999999999</v>
      </c>
      <c r="M1392" s="37">
        <v>290.25999999999999</v>
      </c>
      <c r="N1392" s="36">
        <v>290.25999999999999</v>
      </c>
    </row>
    <row r="1393" ht="25.5">
      <c r="A1393" s="19" t="s">
        <v>10460</v>
      </c>
      <c r="B1393" s="19">
        <v>37438</v>
      </c>
      <c r="C1393" s="20" t="s">
        <v>11851</v>
      </c>
      <c r="D1393" s="19" t="s">
        <v>31</v>
      </c>
      <c r="E1393" s="19" t="s">
        <v>10459</v>
      </c>
      <c r="F1393" s="21" t="str">
        <f t="shared" si="524"/>
        <v>VERIFICAR</v>
      </c>
      <c r="G1393" s="21" t="str">
        <f t="shared" si="524"/>
        <v>VERIFICAR</v>
      </c>
      <c r="H1393" s="21" t="str">
        <f t="shared" si="524"/>
        <v>VERIFICAR</v>
      </c>
      <c r="I1393" s="24" t="str">
        <f t="shared" si="525"/>
        <v xml:space="preserve">SEM VALOR</v>
      </c>
      <c r="L1393" s="36"/>
      <c r="M1393" s="37"/>
      <c r="N1393" s="36"/>
    </row>
    <row r="1394" ht="25.5">
      <c r="A1394" s="19" t="s">
        <v>10460</v>
      </c>
      <c r="B1394" s="19">
        <v>37439</v>
      </c>
      <c r="C1394" s="20" t="s">
        <v>11852</v>
      </c>
      <c r="D1394" s="19" t="s">
        <v>31</v>
      </c>
      <c r="E1394" s="19" t="s">
        <v>10459</v>
      </c>
      <c r="F1394" s="21" t="str">
        <f t="shared" si="524"/>
        <v>VERIFICAR</v>
      </c>
      <c r="G1394" s="21" t="str">
        <f t="shared" si="524"/>
        <v>VERIFICAR</v>
      </c>
      <c r="H1394" s="21" t="str">
        <f t="shared" si="524"/>
        <v>VERIFICAR</v>
      </c>
      <c r="I1394" s="24" t="str">
        <f t="shared" si="525"/>
        <v xml:space="preserve">SEM VALOR</v>
      </c>
      <c r="L1394" s="36"/>
      <c r="M1394" s="37"/>
      <c r="N1394" s="36"/>
    </row>
    <row r="1395" ht="25.5">
      <c r="A1395" s="19" t="s">
        <v>10460</v>
      </c>
      <c r="B1395" s="19">
        <v>37435</v>
      </c>
      <c r="C1395" s="20" t="s">
        <v>11853</v>
      </c>
      <c r="D1395" s="19" t="s">
        <v>31</v>
      </c>
      <c r="E1395" s="19" t="s">
        <v>10459</v>
      </c>
      <c r="F1395" s="21" t="str">
        <f t="shared" si="524"/>
        <v>VERIFICAR</v>
      </c>
      <c r="G1395" s="21" t="str">
        <f t="shared" si="524"/>
        <v>VERIFICAR</v>
      </c>
      <c r="H1395" s="21" t="str">
        <f t="shared" si="524"/>
        <v>VERIFICAR</v>
      </c>
      <c r="I1395" s="24" t="str">
        <f t="shared" si="525"/>
        <v xml:space="preserve">SEM VALOR</v>
      </c>
      <c r="L1395" s="36"/>
      <c r="M1395" s="37"/>
      <c r="N1395" s="36"/>
    </row>
    <row r="1396" ht="25.5">
      <c r="A1396" s="19" t="s">
        <v>10460</v>
      </c>
      <c r="B1396" s="19">
        <v>37436</v>
      </c>
      <c r="C1396" s="20" t="s">
        <v>11854</v>
      </c>
      <c r="D1396" s="19" t="s">
        <v>31</v>
      </c>
      <c r="E1396" s="19" t="s">
        <v>10459</v>
      </c>
      <c r="F1396" s="21" t="str">
        <f t="shared" si="524"/>
        <v>VERIFICAR</v>
      </c>
      <c r="G1396" s="21" t="str">
        <f t="shared" si="524"/>
        <v>VERIFICAR</v>
      </c>
      <c r="H1396" s="21" t="str">
        <f t="shared" si="524"/>
        <v>VERIFICAR</v>
      </c>
      <c r="I1396" s="24" t="str">
        <f t="shared" si="525"/>
        <v xml:space="preserve">SEM VALOR</v>
      </c>
      <c r="L1396" s="36"/>
      <c r="M1396" s="37"/>
      <c r="N1396" s="36"/>
    </row>
    <row r="1397" ht="25.5">
      <c r="A1397" s="19" t="s">
        <v>10460</v>
      </c>
      <c r="B1397" s="19">
        <v>37437</v>
      </c>
      <c r="C1397" s="20" t="s">
        <v>11855</v>
      </c>
      <c r="D1397" s="19" t="s">
        <v>31</v>
      </c>
      <c r="E1397" s="19" t="s">
        <v>10459</v>
      </c>
      <c r="F1397" s="21" t="str">
        <f t="shared" si="524"/>
        <v>VERIFICAR</v>
      </c>
      <c r="G1397" s="21" t="str">
        <f t="shared" si="524"/>
        <v>VERIFICAR</v>
      </c>
      <c r="H1397" s="21" t="str">
        <f t="shared" si="524"/>
        <v>VERIFICAR</v>
      </c>
      <c r="I1397" s="24" t="str">
        <f t="shared" si="525"/>
        <v xml:space="preserve">SEM VALOR</v>
      </c>
      <c r="L1397" s="36"/>
      <c r="M1397" s="37"/>
      <c r="N1397" s="36"/>
    </row>
    <row r="1398" ht="25.5">
      <c r="A1398" s="19" t="s">
        <v>10460</v>
      </c>
      <c r="B1398" s="19">
        <v>3473</v>
      </c>
      <c r="C1398" s="20" t="s">
        <v>11856</v>
      </c>
      <c r="D1398" s="19" t="s">
        <v>31</v>
      </c>
      <c r="E1398" s="19" t="s">
        <v>10459</v>
      </c>
      <c r="F1398" s="21">
        <f t="shared" si="524"/>
        <v>45.579999999999998</v>
      </c>
      <c r="G1398" s="21">
        <f t="shared" si="524"/>
        <v>45.579999999999998</v>
      </c>
      <c r="H1398" s="21">
        <f t="shared" si="524"/>
        <v>45.579999999999998</v>
      </c>
      <c r="I1398" s="24" t="str">
        <f t="shared" si="525"/>
        <v xml:space="preserve">COM VALOR</v>
      </c>
      <c r="L1398" s="36">
        <v>45.579999999999998</v>
      </c>
      <c r="M1398" s="37">
        <v>45.579999999999998</v>
      </c>
      <c r="N1398" s="36">
        <v>45.579999999999998</v>
      </c>
    </row>
    <row r="1399" ht="25.5">
      <c r="A1399" s="19" t="s">
        <v>10460</v>
      </c>
      <c r="B1399" s="19">
        <v>3474</v>
      </c>
      <c r="C1399" s="20" t="s">
        <v>11857</v>
      </c>
      <c r="D1399" s="19" t="s">
        <v>31</v>
      </c>
      <c r="E1399" s="19" t="s">
        <v>10459</v>
      </c>
      <c r="F1399" s="21">
        <f t="shared" si="524"/>
        <v>37.57</v>
      </c>
      <c r="G1399" s="21">
        <f t="shared" si="524"/>
        <v>37.57</v>
      </c>
      <c r="H1399" s="21">
        <f t="shared" si="524"/>
        <v>37.57</v>
      </c>
      <c r="I1399" s="24" t="str">
        <f t="shared" si="525"/>
        <v xml:space="preserve">COM VALOR</v>
      </c>
      <c r="L1399" s="36">
        <v>37.57</v>
      </c>
      <c r="M1399" s="37">
        <v>37.57</v>
      </c>
      <c r="N1399" s="36">
        <v>37.57</v>
      </c>
    </row>
    <row r="1400" ht="25.5">
      <c r="A1400" s="19" t="s">
        <v>10460</v>
      </c>
      <c r="B1400" s="19">
        <v>3443</v>
      </c>
      <c r="C1400" s="20" t="s">
        <v>11858</v>
      </c>
      <c r="D1400" s="19" t="s">
        <v>31</v>
      </c>
      <c r="E1400" s="19" t="s">
        <v>10459</v>
      </c>
      <c r="F1400" s="21">
        <f t="shared" si="524"/>
        <v>23.370000000000001</v>
      </c>
      <c r="G1400" s="21">
        <f t="shared" si="524"/>
        <v>23.370000000000001</v>
      </c>
      <c r="H1400" s="21">
        <f t="shared" si="524"/>
        <v>23.370000000000001</v>
      </c>
      <c r="I1400" s="24" t="str">
        <f t="shared" si="525"/>
        <v xml:space="preserve">COM VALOR</v>
      </c>
      <c r="L1400" s="36">
        <v>23.370000000000001</v>
      </c>
      <c r="M1400" s="37">
        <v>23.370000000000001</v>
      </c>
      <c r="N1400" s="36">
        <v>23.370000000000001</v>
      </c>
    </row>
    <row r="1401" ht="25.5">
      <c r="A1401" s="19" t="s">
        <v>10460</v>
      </c>
      <c r="B1401" s="19">
        <v>3450</v>
      </c>
      <c r="C1401" s="20" t="s">
        <v>11859</v>
      </c>
      <c r="D1401" s="19" t="s">
        <v>31</v>
      </c>
      <c r="E1401" s="19" t="s">
        <v>10459</v>
      </c>
      <c r="F1401" s="21">
        <f t="shared" si="524"/>
        <v>10.890000000000001</v>
      </c>
      <c r="G1401" s="21">
        <f t="shared" si="524"/>
        <v>10.890000000000001</v>
      </c>
      <c r="H1401" s="21">
        <f t="shared" si="524"/>
        <v>10.890000000000001</v>
      </c>
      <c r="I1401" s="24" t="str">
        <f t="shared" si="525"/>
        <v xml:space="preserve">COM VALOR</v>
      </c>
      <c r="L1401" s="36">
        <v>10.890000000000001</v>
      </c>
      <c r="M1401" s="37">
        <v>10.890000000000001</v>
      </c>
      <c r="N1401" s="36">
        <v>10.890000000000001</v>
      </c>
    </row>
    <row r="1402" ht="25.5">
      <c r="A1402" s="19" t="s">
        <v>10460</v>
      </c>
      <c r="B1402" s="19">
        <v>3453</v>
      </c>
      <c r="C1402" s="20" t="s">
        <v>11860</v>
      </c>
      <c r="D1402" s="19" t="s">
        <v>31</v>
      </c>
      <c r="E1402" s="19" t="s">
        <v>10459</v>
      </c>
      <c r="F1402" s="21">
        <f t="shared" si="524"/>
        <v>133.03</v>
      </c>
      <c r="G1402" s="21">
        <f t="shared" si="524"/>
        <v>133.03</v>
      </c>
      <c r="H1402" s="21">
        <f t="shared" si="524"/>
        <v>133.03</v>
      </c>
      <c r="I1402" s="24" t="str">
        <f t="shared" si="525"/>
        <v xml:space="preserve">COM VALOR</v>
      </c>
      <c r="L1402" s="36">
        <v>133.03</v>
      </c>
      <c r="M1402" s="37">
        <v>133.03</v>
      </c>
      <c r="N1402" s="36">
        <v>133.03</v>
      </c>
    </row>
    <row r="1403" ht="25.5">
      <c r="A1403" s="19" t="s">
        <v>10460</v>
      </c>
      <c r="B1403" s="19">
        <v>3452</v>
      </c>
      <c r="C1403" s="20" t="s">
        <v>11861</v>
      </c>
      <c r="D1403" s="19" t="s">
        <v>31</v>
      </c>
      <c r="E1403" s="19" t="s">
        <v>10459</v>
      </c>
      <c r="F1403" s="21">
        <f t="shared" si="524"/>
        <v>65.659999999999997</v>
      </c>
      <c r="G1403" s="21">
        <f t="shared" si="524"/>
        <v>65.659999999999997</v>
      </c>
      <c r="H1403" s="21">
        <f t="shared" si="524"/>
        <v>65.659999999999997</v>
      </c>
      <c r="I1403" s="24" t="str">
        <f t="shared" si="525"/>
        <v xml:space="preserve">COM VALOR</v>
      </c>
      <c r="L1403" s="36">
        <v>65.659999999999997</v>
      </c>
      <c r="M1403" s="37">
        <v>65.659999999999997</v>
      </c>
      <c r="N1403" s="36">
        <v>65.659999999999997</v>
      </c>
    </row>
    <row r="1404" ht="25.5">
      <c r="A1404" s="19" t="s">
        <v>10460</v>
      </c>
      <c r="B1404" s="19">
        <v>3454</v>
      </c>
      <c r="C1404" s="20" t="s">
        <v>11862</v>
      </c>
      <c r="D1404" s="19" t="s">
        <v>31</v>
      </c>
      <c r="E1404" s="19" t="s">
        <v>10459</v>
      </c>
      <c r="F1404" s="21">
        <f t="shared" si="524"/>
        <v>202.33000000000001</v>
      </c>
      <c r="G1404" s="21">
        <f t="shared" si="524"/>
        <v>202.33000000000001</v>
      </c>
      <c r="H1404" s="21">
        <f t="shared" si="524"/>
        <v>202.33000000000001</v>
      </c>
      <c r="I1404" s="24" t="str">
        <f t="shared" si="525"/>
        <v xml:space="preserve">COM VALOR</v>
      </c>
      <c r="L1404" s="36">
        <v>202.33000000000001</v>
      </c>
      <c r="M1404" s="37">
        <v>202.33000000000001</v>
      </c>
      <c r="N1404" s="36">
        <v>202.33000000000001</v>
      </c>
    </row>
    <row r="1405" ht="25.5">
      <c r="A1405" s="19" t="s">
        <v>10460</v>
      </c>
      <c r="B1405" s="19">
        <v>3451</v>
      </c>
      <c r="C1405" s="20" t="s">
        <v>11863</v>
      </c>
      <c r="D1405" s="19" t="s">
        <v>31</v>
      </c>
      <c r="E1405" s="19" t="s">
        <v>10459</v>
      </c>
      <c r="F1405" s="21">
        <f t="shared" si="524"/>
        <v>13.02</v>
      </c>
      <c r="G1405" s="21">
        <f t="shared" si="524"/>
        <v>13.02</v>
      </c>
      <c r="H1405" s="21">
        <f t="shared" si="524"/>
        <v>13.02</v>
      </c>
      <c r="I1405" s="24" t="str">
        <f t="shared" si="525"/>
        <v xml:space="preserve">COM VALOR</v>
      </c>
      <c r="L1405" s="36">
        <v>13.02</v>
      </c>
      <c r="M1405" s="37">
        <v>13.02</v>
      </c>
      <c r="N1405" s="36">
        <v>13.02</v>
      </c>
    </row>
    <row r="1406" ht="25.5">
      <c r="A1406" s="19" t="s">
        <v>10460</v>
      </c>
      <c r="B1406" s="19">
        <v>3458</v>
      </c>
      <c r="C1406" s="20" t="s">
        <v>11864</v>
      </c>
      <c r="D1406" s="19" t="s">
        <v>31</v>
      </c>
      <c r="E1406" s="19" t="s">
        <v>10459</v>
      </c>
      <c r="F1406" s="21">
        <f t="shared" si="524"/>
        <v>36.530000000000001</v>
      </c>
      <c r="G1406" s="21">
        <f t="shared" si="524"/>
        <v>36.530000000000001</v>
      </c>
      <c r="H1406" s="21">
        <f t="shared" si="524"/>
        <v>36.530000000000001</v>
      </c>
      <c r="I1406" s="24" t="str">
        <f t="shared" si="525"/>
        <v xml:space="preserve">COM VALOR</v>
      </c>
      <c r="L1406" s="36">
        <v>36.530000000000001</v>
      </c>
      <c r="M1406" s="37">
        <v>36.530000000000001</v>
      </c>
      <c r="N1406" s="36">
        <v>36.530000000000001</v>
      </c>
    </row>
    <row r="1407" ht="25.5">
      <c r="A1407" s="19" t="s">
        <v>10460</v>
      </c>
      <c r="B1407" s="19">
        <v>3457</v>
      </c>
      <c r="C1407" s="20" t="s">
        <v>11865</v>
      </c>
      <c r="D1407" s="19" t="s">
        <v>31</v>
      </c>
      <c r="E1407" s="19" t="s">
        <v>10459</v>
      </c>
      <c r="F1407" s="21">
        <f t="shared" si="524"/>
        <v>27.420000000000002</v>
      </c>
      <c r="G1407" s="21">
        <f t="shared" si="524"/>
        <v>27.420000000000002</v>
      </c>
      <c r="H1407" s="21">
        <f t="shared" si="524"/>
        <v>27.420000000000002</v>
      </c>
      <c r="I1407" s="24" t="str">
        <f t="shared" si="525"/>
        <v xml:space="preserve">COM VALOR</v>
      </c>
      <c r="L1407" s="36">
        <v>27.420000000000002</v>
      </c>
      <c r="M1407" s="37">
        <v>27.420000000000002</v>
      </c>
      <c r="N1407" s="36">
        <v>27.420000000000002</v>
      </c>
    </row>
    <row r="1408" ht="25.5">
      <c r="A1408" s="19" t="s">
        <v>10460</v>
      </c>
      <c r="B1408" s="19">
        <v>3472</v>
      </c>
      <c r="C1408" s="20" t="s">
        <v>11866</v>
      </c>
      <c r="D1408" s="19" t="s">
        <v>31</v>
      </c>
      <c r="E1408" s="19" t="s">
        <v>10459</v>
      </c>
      <c r="F1408" s="21">
        <f t="shared" si="524"/>
        <v>17.5</v>
      </c>
      <c r="G1408" s="21">
        <f t="shared" si="524"/>
        <v>17.5</v>
      </c>
      <c r="H1408" s="21">
        <f t="shared" si="524"/>
        <v>17.5</v>
      </c>
      <c r="I1408" s="24" t="str">
        <f t="shared" si="525"/>
        <v xml:space="preserve">COM VALOR</v>
      </c>
      <c r="L1408" s="36">
        <v>17.5</v>
      </c>
      <c r="M1408" s="37">
        <v>17.5</v>
      </c>
      <c r="N1408" s="36">
        <v>17.5</v>
      </c>
    </row>
    <row r="1409" ht="25.5">
      <c r="A1409" s="19" t="s">
        <v>10460</v>
      </c>
      <c r="B1409" s="19">
        <v>3455</v>
      </c>
      <c r="C1409" s="20" t="s">
        <v>11867</v>
      </c>
      <c r="D1409" s="19" t="s">
        <v>31</v>
      </c>
      <c r="E1409" s="19" t="s">
        <v>10459</v>
      </c>
      <c r="F1409" s="21">
        <f t="shared" si="524"/>
        <v>7.79</v>
      </c>
      <c r="G1409" s="21">
        <f t="shared" si="524"/>
        <v>7.79</v>
      </c>
      <c r="H1409" s="21">
        <f t="shared" si="524"/>
        <v>7.79</v>
      </c>
      <c r="I1409" s="24" t="str">
        <f t="shared" si="525"/>
        <v xml:space="preserve">COM VALOR</v>
      </c>
      <c r="L1409" s="36">
        <v>7.79</v>
      </c>
      <c r="M1409" s="37">
        <v>7.79</v>
      </c>
      <c r="N1409" s="36">
        <v>7.79</v>
      </c>
    </row>
    <row r="1410" ht="25.5">
      <c r="A1410" s="19" t="s">
        <v>10460</v>
      </c>
      <c r="B1410" s="19">
        <v>3470</v>
      </c>
      <c r="C1410" s="20" t="s">
        <v>11868</v>
      </c>
      <c r="D1410" s="19" t="s">
        <v>31</v>
      </c>
      <c r="E1410" s="19" t="s">
        <v>10459</v>
      </c>
      <c r="F1410" s="21">
        <f t="shared" si="524"/>
        <v>102.01000000000001</v>
      </c>
      <c r="G1410" s="21">
        <f t="shared" si="524"/>
        <v>102.01000000000001</v>
      </c>
      <c r="H1410" s="21">
        <f t="shared" si="524"/>
        <v>102.01000000000001</v>
      </c>
      <c r="I1410" s="24" t="str">
        <f t="shared" si="525"/>
        <v xml:space="preserve">COM VALOR</v>
      </c>
      <c r="L1410" s="36">
        <v>102.01000000000001</v>
      </c>
      <c r="M1410" s="37">
        <v>102.01000000000001</v>
      </c>
      <c r="N1410" s="36">
        <v>102.01000000000001</v>
      </c>
    </row>
    <row r="1411" ht="25.5">
      <c r="A1411" s="19" t="s">
        <v>10460</v>
      </c>
      <c r="B1411" s="19">
        <v>3471</v>
      </c>
      <c r="C1411" s="20" t="s">
        <v>11869</v>
      </c>
      <c r="D1411" s="19" t="s">
        <v>31</v>
      </c>
      <c r="E1411" s="19" t="s">
        <v>10459</v>
      </c>
      <c r="F1411" s="21">
        <f t="shared" si="524"/>
        <v>56.049999999999997</v>
      </c>
      <c r="G1411" s="21">
        <f t="shared" si="524"/>
        <v>56.049999999999997</v>
      </c>
      <c r="H1411" s="21">
        <f t="shared" si="524"/>
        <v>56.049999999999997</v>
      </c>
      <c r="I1411" s="24" t="str">
        <f t="shared" si="525"/>
        <v xml:space="preserve">COM VALOR</v>
      </c>
      <c r="L1411" s="36">
        <v>56.049999999999997</v>
      </c>
      <c r="M1411" s="37">
        <v>56.049999999999997</v>
      </c>
      <c r="N1411" s="36">
        <v>56.049999999999997</v>
      </c>
    </row>
    <row r="1412" ht="25.5">
      <c r="A1412" s="19" t="s">
        <v>10460</v>
      </c>
      <c r="B1412" s="19">
        <v>3459</v>
      </c>
      <c r="C1412" s="20" t="s">
        <v>11870</v>
      </c>
      <c r="D1412" s="19" t="s">
        <v>31</v>
      </c>
      <c r="E1412" s="19" t="s">
        <v>10459</v>
      </c>
      <c r="F1412" s="21">
        <f t="shared" si="524"/>
        <v>143.88</v>
      </c>
      <c r="G1412" s="21">
        <f t="shared" si="524"/>
        <v>143.88</v>
      </c>
      <c r="H1412" s="21">
        <f t="shared" si="524"/>
        <v>143.88</v>
      </c>
      <c r="I1412" s="24" t="str">
        <f t="shared" si="525"/>
        <v xml:space="preserve">COM VALOR</v>
      </c>
      <c r="L1412" s="36">
        <v>143.88</v>
      </c>
      <c r="M1412" s="37">
        <v>143.88</v>
      </c>
      <c r="N1412" s="36">
        <v>143.88</v>
      </c>
    </row>
    <row r="1413" ht="25.5">
      <c r="A1413" s="19" t="s">
        <v>10460</v>
      </c>
      <c r="B1413" s="19">
        <v>3456</v>
      </c>
      <c r="C1413" s="20" t="s">
        <v>11871</v>
      </c>
      <c r="D1413" s="19" t="s">
        <v>31</v>
      </c>
      <c r="E1413" s="19" t="s">
        <v>10459</v>
      </c>
      <c r="F1413" s="21">
        <f t="shared" si="524"/>
        <v>11.65</v>
      </c>
      <c r="G1413" s="21">
        <f t="shared" si="524"/>
        <v>11.65</v>
      </c>
      <c r="H1413" s="21">
        <f t="shared" si="524"/>
        <v>11.65</v>
      </c>
      <c r="I1413" s="24" t="str">
        <f t="shared" si="525"/>
        <v xml:space="preserve">COM VALOR</v>
      </c>
      <c r="L1413" s="36">
        <v>11.65</v>
      </c>
      <c r="M1413" s="37">
        <v>11.65</v>
      </c>
      <c r="N1413" s="36">
        <v>11.65</v>
      </c>
    </row>
    <row r="1414" ht="25.5">
      <c r="A1414" s="19" t="s">
        <v>10460</v>
      </c>
      <c r="B1414" s="19">
        <v>3469</v>
      </c>
      <c r="C1414" s="20" t="s">
        <v>11872</v>
      </c>
      <c r="D1414" s="19" t="s">
        <v>31</v>
      </c>
      <c r="E1414" s="19" t="s">
        <v>10459</v>
      </c>
      <c r="F1414" s="21">
        <f t="shared" si="524"/>
        <v>273.62</v>
      </c>
      <c r="G1414" s="21">
        <f t="shared" si="524"/>
        <v>273.62</v>
      </c>
      <c r="H1414" s="21">
        <f t="shared" si="524"/>
        <v>273.62</v>
      </c>
      <c r="I1414" s="24" t="str">
        <f t="shared" si="525"/>
        <v xml:space="preserve">COM VALOR</v>
      </c>
      <c r="L1414" s="36">
        <v>273.62</v>
      </c>
      <c r="M1414" s="37">
        <v>273.62</v>
      </c>
      <c r="N1414" s="36">
        <v>273.62</v>
      </c>
    </row>
    <row r="1415" ht="25.5">
      <c r="A1415" s="19" t="s">
        <v>10460</v>
      </c>
      <c r="B1415" s="19">
        <v>3460</v>
      </c>
      <c r="C1415" s="20" t="s">
        <v>11873</v>
      </c>
      <c r="D1415" s="19" t="s">
        <v>31</v>
      </c>
      <c r="E1415" s="19" t="s">
        <v>10459</v>
      </c>
      <c r="F1415" s="21">
        <f t="shared" si="524"/>
        <v>399.25</v>
      </c>
      <c r="G1415" s="21">
        <f t="shared" si="524"/>
        <v>399.25</v>
      </c>
      <c r="H1415" s="21">
        <f t="shared" si="524"/>
        <v>399.25</v>
      </c>
      <c r="I1415" s="24" t="str">
        <f t="shared" si="525"/>
        <v xml:space="preserve">COM VALOR</v>
      </c>
      <c r="L1415" s="36">
        <v>399.25</v>
      </c>
      <c r="M1415" s="37">
        <v>399.25</v>
      </c>
      <c r="N1415" s="36">
        <v>399.25</v>
      </c>
    </row>
    <row r="1416" ht="25.5">
      <c r="A1416" s="19" t="s">
        <v>10460</v>
      </c>
      <c r="B1416" s="19">
        <v>3461</v>
      </c>
      <c r="C1416" s="20" t="s">
        <v>11874</v>
      </c>
      <c r="D1416" s="19" t="s">
        <v>31</v>
      </c>
      <c r="E1416" s="19" t="s">
        <v>10459</v>
      </c>
      <c r="F1416" s="21">
        <f t="shared" si="524"/>
        <v>1020.47</v>
      </c>
      <c r="G1416" s="21">
        <f t="shared" si="524"/>
        <v>1020.47</v>
      </c>
      <c r="H1416" s="21">
        <f t="shared" si="524"/>
        <v>1020.47</v>
      </c>
      <c r="I1416" s="24" t="str">
        <f t="shared" si="525"/>
        <v xml:space="preserve">COM VALOR</v>
      </c>
      <c r="L1416" s="36">
        <v>1020.47</v>
      </c>
      <c r="M1416" s="37">
        <v>1020.47</v>
      </c>
      <c r="N1416" s="36">
        <v>1020.47</v>
      </c>
    </row>
    <row r="1417" ht="25.5">
      <c r="A1417" s="19" t="s">
        <v>10460</v>
      </c>
      <c r="B1417" s="19">
        <v>37433</v>
      </c>
      <c r="C1417" s="20" t="s">
        <v>11875</v>
      </c>
      <c r="D1417" s="19" t="s">
        <v>31</v>
      </c>
      <c r="E1417" s="19" t="s">
        <v>10459</v>
      </c>
      <c r="F1417" s="21" t="str">
        <f t="shared" si="524"/>
        <v>VERIFICAR</v>
      </c>
      <c r="G1417" s="21" t="str">
        <f t="shared" si="524"/>
        <v>VERIFICAR</v>
      </c>
      <c r="H1417" s="21" t="str">
        <f t="shared" si="524"/>
        <v>VERIFICAR</v>
      </c>
      <c r="I1417" s="24" t="str">
        <f t="shared" si="525"/>
        <v xml:space="preserve">SEM VALOR</v>
      </c>
      <c r="L1417" s="36"/>
      <c r="M1417" s="37"/>
      <c r="N1417" s="36"/>
    </row>
    <row r="1418" ht="25.5">
      <c r="A1418" s="19" t="s">
        <v>10460</v>
      </c>
      <c r="B1418" s="19">
        <v>37430</v>
      </c>
      <c r="C1418" s="20" t="s">
        <v>11876</v>
      </c>
      <c r="D1418" s="19" t="s">
        <v>31</v>
      </c>
      <c r="E1418" s="19" t="s">
        <v>10459</v>
      </c>
      <c r="F1418" s="21" t="str">
        <f t="shared" si="524"/>
        <v>VERIFICAR</v>
      </c>
      <c r="G1418" s="21" t="str">
        <f t="shared" si="524"/>
        <v>VERIFICAR</v>
      </c>
      <c r="H1418" s="21" t="str">
        <f t="shared" si="524"/>
        <v>VERIFICAR</v>
      </c>
      <c r="I1418" s="24" t="str">
        <f t="shared" si="525"/>
        <v xml:space="preserve">SEM VALOR</v>
      </c>
      <c r="L1418" s="36"/>
      <c r="M1418" s="37"/>
      <c r="N1418" s="36"/>
    </row>
    <row r="1419" ht="25.5">
      <c r="A1419" s="19" t="s">
        <v>10460</v>
      </c>
      <c r="B1419" s="19">
        <v>37434</v>
      </c>
      <c r="C1419" s="20" t="s">
        <v>11877</v>
      </c>
      <c r="D1419" s="19" t="s">
        <v>31</v>
      </c>
      <c r="E1419" s="19" t="s">
        <v>10459</v>
      </c>
      <c r="F1419" s="21" t="str">
        <f t="shared" ref="F1419:H1482" si="526">IF(L1419=0,"VERIFICAR",L1419)</f>
        <v>VERIFICAR</v>
      </c>
      <c r="G1419" s="21" t="str">
        <f t="shared" si="526"/>
        <v>VERIFICAR</v>
      </c>
      <c r="H1419" s="21" t="str">
        <f t="shared" si="526"/>
        <v>VERIFICAR</v>
      </c>
      <c r="I1419" s="24" t="str">
        <f t="shared" ref="I1419:I1482" si="527">IF(OR(L1419=0,M1419=0,N1419=0),"SEM VALOR","COM VALOR")</f>
        <v xml:space="preserve">SEM VALOR</v>
      </c>
      <c r="L1419" s="36"/>
      <c r="M1419" s="37"/>
      <c r="N1419" s="36"/>
    </row>
    <row r="1420" ht="25.5">
      <c r="A1420" s="19" t="s">
        <v>10460</v>
      </c>
      <c r="B1420" s="19">
        <v>37431</v>
      </c>
      <c r="C1420" s="20" t="s">
        <v>11878</v>
      </c>
      <c r="D1420" s="19" t="s">
        <v>31</v>
      </c>
      <c r="E1420" s="19" t="s">
        <v>10459</v>
      </c>
      <c r="F1420" s="21" t="str">
        <f t="shared" si="526"/>
        <v>VERIFICAR</v>
      </c>
      <c r="G1420" s="21" t="str">
        <f t="shared" si="526"/>
        <v>VERIFICAR</v>
      </c>
      <c r="H1420" s="21" t="str">
        <f t="shared" si="526"/>
        <v>VERIFICAR</v>
      </c>
      <c r="I1420" s="24" t="str">
        <f t="shared" si="527"/>
        <v xml:space="preserve">SEM VALOR</v>
      </c>
      <c r="L1420" s="36"/>
      <c r="M1420" s="37"/>
      <c r="N1420" s="36"/>
    </row>
    <row r="1421" ht="25.5">
      <c r="A1421" s="19" t="s">
        <v>10460</v>
      </c>
      <c r="B1421" s="19">
        <v>37432</v>
      </c>
      <c r="C1421" s="20" t="s">
        <v>11879</v>
      </c>
      <c r="D1421" s="19" t="s">
        <v>31</v>
      </c>
      <c r="E1421" s="19" t="s">
        <v>10459</v>
      </c>
      <c r="F1421" s="21" t="str">
        <f t="shared" si="526"/>
        <v>VERIFICAR</v>
      </c>
      <c r="G1421" s="21" t="str">
        <f t="shared" si="526"/>
        <v>VERIFICAR</v>
      </c>
      <c r="H1421" s="21" t="str">
        <f t="shared" si="526"/>
        <v>VERIFICAR</v>
      </c>
      <c r="I1421" s="24" t="str">
        <f t="shared" si="527"/>
        <v xml:space="preserve">SEM VALOR</v>
      </c>
      <c r="L1421" s="36"/>
      <c r="M1421" s="37"/>
      <c r="N1421" s="36"/>
    </row>
    <row r="1422" ht="25.5">
      <c r="A1422" s="19" t="s">
        <v>10460</v>
      </c>
      <c r="B1422" s="19">
        <v>39869</v>
      </c>
      <c r="C1422" s="20" t="s">
        <v>11880</v>
      </c>
      <c r="D1422" s="19" t="s">
        <v>31</v>
      </c>
      <c r="E1422" s="19" t="s">
        <v>10459</v>
      </c>
      <c r="F1422" s="21" t="str">
        <f t="shared" si="526"/>
        <v>VERIFICAR</v>
      </c>
      <c r="G1422" s="21" t="str">
        <f t="shared" si="526"/>
        <v>VERIFICAR</v>
      </c>
      <c r="H1422" s="21" t="str">
        <f t="shared" si="526"/>
        <v>VERIFICAR</v>
      </c>
      <c r="I1422" s="24" t="str">
        <f t="shared" si="527"/>
        <v xml:space="preserve">SEM VALOR</v>
      </c>
      <c r="L1422" s="36"/>
      <c r="M1422" s="37"/>
      <c r="N1422" s="36"/>
    </row>
    <row r="1423" ht="25.5">
      <c r="A1423" s="19" t="s">
        <v>10460</v>
      </c>
      <c r="B1423" s="19">
        <v>39870</v>
      </c>
      <c r="C1423" s="20" t="s">
        <v>11881</v>
      </c>
      <c r="D1423" s="19" t="s">
        <v>31</v>
      </c>
      <c r="E1423" s="19" t="s">
        <v>10459</v>
      </c>
      <c r="F1423" s="21" t="str">
        <f t="shared" si="526"/>
        <v>VERIFICAR</v>
      </c>
      <c r="G1423" s="21" t="str">
        <f t="shared" si="526"/>
        <v>VERIFICAR</v>
      </c>
      <c r="H1423" s="21" t="str">
        <f t="shared" si="526"/>
        <v>VERIFICAR</v>
      </c>
      <c r="I1423" s="24" t="str">
        <f t="shared" si="527"/>
        <v xml:space="preserve">SEM VALOR</v>
      </c>
      <c r="L1423" s="36"/>
      <c r="M1423" s="37"/>
      <c r="N1423" s="36"/>
    </row>
    <row r="1424" ht="25.5">
      <c r="A1424" s="19" t="s">
        <v>10460</v>
      </c>
      <c r="B1424" s="19">
        <v>39871</v>
      </c>
      <c r="C1424" s="20" t="s">
        <v>11882</v>
      </c>
      <c r="D1424" s="19" t="s">
        <v>31</v>
      </c>
      <c r="E1424" s="19" t="s">
        <v>10459</v>
      </c>
      <c r="F1424" s="21" t="str">
        <f t="shared" si="526"/>
        <v>VERIFICAR</v>
      </c>
      <c r="G1424" s="21" t="str">
        <f t="shared" si="526"/>
        <v>VERIFICAR</v>
      </c>
      <c r="H1424" s="21" t="str">
        <f t="shared" si="526"/>
        <v>VERIFICAR</v>
      </c>
      <c r="I1424" s="24" t="str">
        <f t="shared" si="527"/>
        <v xml:space="preserve">SEM VALOR</v>
      </c>
      <c r="L1424" s="36"/>
      <c r="M1424" s="37"/>
      <c r="N1424" s="36"/>
    </row>
    <row r="1425" ht="25.5">
      <c r="A1425" s="19" t="s">
        <v>10460</v>
      </c>
      <c r="B1425" s="19">
        <v>12722</v>
      </c>
      <c r="C1425" s="20" t="s">
        <v>11883</v>
      </c>
      <c r="D1425" s="19" t="s">
        <v>31</v>
      </c>
      <c r="E1425" s="19" t="s">
        <v>10459</v>
      </c>
      <c r="F1425" s="21" t="str">
        <f t="shared" si="526"/>
        <v>VERIFICAR</v>
      </c>
      <c r="G1425" s="21" t="str">
        <f t="shared" si="526"/>
        <v>VERIFICAR</v>
      </c>
      <c r="H1425" s="21" t="str">
        <f t="shared" si="526"/>
        <v>VERIFICAR</v>
      </c>
      <c r="I1425" s="24" t="str">
        <f t="shared" si="527"/>
        <v xml:space="preserve">SEM VALOR</v>
      </c>
      <c r="L1425" s="36"/>
      <c r="M1425" s="37"/>
      <c r="N1425" s="36"/>
    </row>
    <row r="1426" ht="25.5">
      <c r="A1426" s="19" t="s">
        <v>10460</v>
      </c>
      <c r="B1426" s="19">
        <v>12714</v>
      </c>
      <c r="C1426" s="20" t="s">
        <v>11884</v>
      </c>
      <c r="D1426" s="19" t="s">
        <v>31</v>
      </c>
      <c r="E1426" s="19" t="s">
        <v>10459</v>
      </c>
      <c r="F1426" s="21" t="str">
        <f t="shared" si="526"/>
        <v>VERIFICAR</v>
      </c>
      <c r="G1426" s="21" t="str">
        <f t="shared" si="526"/>
        <v>VERIFICAR</v>
      </c>
      <c r="H1426" s="21" t="str">
        <f t="shared" si="526"/>
        <v>VERIFICAR</v>
      </c>
      <c r="I1426" s="24" t="str">
        <f t="shared" si="527"/>
        <v xml:space="preserve">SEM VALOR</v>
      </c>
      <c r="L1426" s="36"/>
      <c r="M1426" s="37"/>
      <c r="N1426" s="36"/>
    </row>
    <row r="1427" ht="25.5">
      <c r="A1427" s="19" t="s">
        <v>10460</v>
      </c>
      <c r="B1427" s="19">
        <v>12715</v>
      </c>
      <c r="C1427" s="20" t="s">
        <v>11885</v>
      </c>
      <c r="D1427" s="19" t="s">
        <v>31</v>
      </c>
      <c r="E1427" s="19" t="s">
        <v>10459</v>
      </c>
      <c r="F1427" s="21" t="str">
        <f t="shared" si="526"/>
        <v>VERIFICAR</v>
      </c>
      <c r="G1427" s="21" t="str">
        <f t="shared" si="526"/>
        <v>VERIFICAR</v>
      </c>
      <c r="H1427" s="21" t="str">
        <f t="shared" si="526"/>
        <v>VERIFICAR</v>
      </c>
      <c r="I1427" s="24" t="str">
        <f t="shared" si="527"/>
        <v xml:space="preserve">SEM VALOR</v>
      </c>
      <c r="L1427" s="36"/>
      <c r="M1427" s="37"/>
      <c r="N1427" s="36"/>
    </row>
    <row r="1428" ht="25.5">
      <c r="A1428" s="19" t="s">
        <v>10460</v>
      </c>
      <c r="B1428" s="19">
        <v>12716</v>
      </c>
      <c r="C1428" s="20" t="s">
        <v>11886</v>
      </c>
      <c r="D1428" s="19" t="s">
        <v>31</v>
      </c>
      <c r="E1428" s="19" t="s">
        <v>10459</v>
      </c>
      <c r="F1428" s="21" t="str">
        <f t="shared" si="526"/>
        <v>VERIFICAR</v>
      </c>
      <c r="G1428" s="21" t="str">
        <f t="shared" si="526"/>
        <v>VERIFICAR</v>
      </c>
      <c r="H1428" s="21" t="str">
        <f t="shared" si="526"/>
        <v>VERIFICAR</v>
      </c>
      <c r="I1428" s="24" t="str">
        <f t="shared" si="527"/>
        <v xml:space="preserve">SEM VALOR</v>
      </c>
      <c r="L1428" s="36"/>
      <c r="M1428" s="37"/>
      <c r="N1428" s="36"/>
    </row>
    <row r="1429" ht="25.5">
      <c r="A1429" s="19" t="s">
        <v>10460</v>
      </c>
      <c r="B1429" s="19">
        <v>12717</v>
      </c>
      <c r="C1429" s="20" t="s">
        <v>11887</v>
      </c>
      <c r="D1429" s="19" t="s">
        <v>31</v>
      </c>
      <c r="E1429" s="19" t="s">
        <v>10459</v>
      </c>
      <c r="F1429" s="21" t="str">
        <f t="shared" si="526"/>
        <v>VERIFICAR</v>
      </c>
      <c r="G1429" s="21" t="str">
        <f t="shared" si="526"/>
        <v>VERIFICAR</v>
      </c>
      <c r="H1429" s="21" t="str">
        <f t="shared" si="526"/>
        <v>VERIFICAR</v>
      </c>
      <c r="I1429" s="24" t="str">
        <f t="shared" si="527"/>
        <v xml:space="preserve">SEM VALOR</v>
      </c>
      <c r="L1429" s="36"/>
      <c r="M1429" s="37"/>
      <c r="N1429" s="36"/>
    </row>
    <row r="1430" ht="25.5">
      <c r="A1430" s="19" t="s">
        <v>10460</v>
      </c>
      <c r="B1430" s="19">
        <v>12718</v>
      </c>
      <c r="C1430" s="20" t="s">
        <v>11888</v>
      </c>
      <c r="D1430" s="19" t="s">
        <v>31</v>
      </c>
      <c r="E1430" s="19" t="s">
        <v>10459</v>
      </c>
      <c r="F1430" s="21" t="str">
        <f t="shared" si="526"/>
        <v>VERIFICAR</v>
      </c>
      <c r="G1430" s="21" t="str">
        <f t="shared" si="526"/>
        <v>VERIFICAR</v>
      </c>
      <c r="H1430" s="21" t="str">
        <f t="shared" si="526"/>
        <v>VERIFICAR</v>
      </c>
      <c r="I1430" s="24" t="str">
        <f t="shared" si="527"/>
        <v xml:space="preserve">SEM VALOR</v>
      </c>
      <c r="L1430" s="36"/>
      <c r="M1430" s="37"/>
      <c r="N1430" s="36"/>
    </row>
    <row r="1431" ht="25.5">
      <c r="A1431" s="19" t="s">
        <v>10460</v>
      </c>
      <c r="B1431" s="19">
        <v>12719</v>
      </c>
      <c r="C1431" s="20" t="s">
        <v>11889</v>
      </c>
      <c r="D1431" s="19" t="s">
        <v>31</v>
      </c>
      <c r="E1431" s="19" t="s">
        <v>10459</v>
      </c>
      <c r="F1431" s="21" t="str">
        <f t="shared" si="526"/>
        <v>VERIFICAR</v>
      </c>
      <c r="G1431" s="21" t="str">
        <f t="shared" si="526"/>
        <v>VERIFICAR</v>
      </c>
      <c r="H1431" s="21" t="str">
        <f t="shared" si="526"/>
        <v>VERIFICAR</v>
      </c>
      <c r="I1431" s="24" t="str">
        <f t="shared" si="527"/>
        <v xml:space="preserve">SEM VALOR</v>
      </c>
      <c r="L1431" s="36"/>
      <c r="M1431" s="37"/>
      <c r="N1431" s="36"/>
    </row>
    <row r="1432" ht="25.5">
      <c r="A1432" s="19" t="s">
        <v>10460</v>
      </c>
      <c r="B1432" s="19">
        <v>12720</v>
      </c>
      <c r="C1432" s="20" t="s">
        <v>11890</v>
      </c>
      <c r="D1432" s="19" t="s">
        <v>31</v>
      </c>
      <c r="E1432" s="19" t="s">
        <v>10459</v>
      </c>
      <c r="F1432" s="21" t="str">
        <f t="shared" si="526"/>
        <v>VERIFICAR</v>
      </c>
      <c r="G1432" s="21" t="str">
        <f t="shared" si="526"/>
        <v>VERIFICAR</v>
      </c>
      <c r="H1432" s="21" t="str">
        <f t="shared" si="526"/>
        <v>VERIFICAR</v>
      </c>
      <c r="I1432" s="24" t="str">
        <f t="shared" si="527"/>
        <v xml:space="preserve">SEM VALOR</v>
      </c>
      <c r="L1432" s="36"/>
      <c r="M1432" s="37"/>
      <c r="N1432" s="36"/>
    </row>
    <row r="1433" ht="25.5">
      <c r="A1433" s="19" t="s">
        <v>10460</v>
      </c>
      <c r="B1433" s="19">
        <v>12721</v>
      </c>
      <c r="C1433" s="20" t="s">
        <v>11891</v>
      </c>
      <c r="D1433" s="19" t="s">
        <v>31</v>
      </c>
      <c r="E1433" s="19" t="s">
        <v>10459</v>
      </c>
      <c r="F1433" s="21" t="str">
        <f t="shared" si="526"/>
        <v>VERIFICAR</v>
      </c>
      <c r="G1433" s="21" t="str">
        <f t="shared" si="526"/>
        <v>VERIFICAR</v>
      </c>
      <c r="H1433" s="21" t="str">
        <f t="shared" si="526"/>
        <v>VERIFICAR</v>
      </c>
      <c r="I1433" s="24" t="str">
        <f t="shared" si="527"/>
        <v xml:space="preserve">SEM VALOR</v>
      </c>
      <c r="L1433" s="36"/>
      <c r="M1433" s="37"/>
      <c r="N1433" s="36"/>
    </row>
    <row r="1434" ht="25.5">
      <c r="A1434" s="19" t="s">
        <v>10460</v>
      </c>
      <c r="B1434" s="19">
        <v>3468</v>
      </c>
      <c r="C1434" s="20" t="s">
        <v>11892</v>
      </c>
      <c r="D1434" s="19" t="s">
        <v>31</v>
      </c>
      <c r="E1434" s="19" t="s">
        <v>10459</v>
      </c>
      <c r="F1434" s="21">
        <f t="shared" si="526"/>
        <v>47.68</v>
      </c>
      <c r="G1434" s="21">
        <f t="shared" si="526"/>
        <v>47.68</v>
      </c>
      <c r="H1434" s="21">
        <f t="shared" si="526"/>
        <v>47.68</v>
      </c>
      <c r="I1434" s="24" t="str">
        <f t="shared" si="527"/>
        <v xml:space="preserve">COM VALOR</v>
      </c>
      <c r="L1434" s="36">
        <v>47.68</v>
      </c>
      <c r="M1434" s="37">
        <v>47.68</v>
      </c>
      <c r="N1434" s="36">
        <v>47.68</v>
      </c>
    </row>
    <row r="1435" ht="25.5">
      <c r="A1435" s="19" t="s">
        <v>10460</v>
      </c>
      <c r="B1435" s="19">
        <v>3465</v>
      </c>
      <c r="C1435" s="20" t="s">
        <v>11893</v>
      </c>
      <c r="D1435" s="19" t="s">
        <v>31</v>
      </c>
      <c r="E1435" s="19" t="s">
        <v>10459</v>
      </c>
      <c r="F1435" s="21">
        <f t="shared" si="526"/>
        <v>47.670000000000002</v>
      </c>
      <c r="G1435" s="21">
        <f t="shared" si="526"/>
        <v>47.670000000000002</v>
      </c>
      <c r="H1435" s="21">
        <f t="shared" si="526"/>
        <v>47.670000000000002</v>
      </c>
      <c r="I1435" s="24" t="str">
        <f t="shared" si="527"/>
        <v xml:space="preserve">COM VALOR</v>
      </c>
      <c r="L1435" s="36">
        <v>47.670000000000002</v>
      </c>
      <c r="M1435" s="37">
        <v>47.670000000000002</v>
      </c>
      <c r="N1435" s="36">
        <v>47.670000000000002</v>
      </c>
    </row>
    <row r="1436" ht="25.5">
      <c r="A1436" s="19" t="s">
        <v>10460</v>
      </c>
      <c r="B1436" s="19">
        <v>12403</v>
      </c>
      <c r="C1436" s="20" t="s">
        <v>11894</v>
      </c>
      <c r="D1436" s="19" t="s">
        <v>31</v>
      </c>
      <c r="E1436" s="19" t="s">
        <v>10459</v>
      </c>
      <c r="F1436" s="21">
        <f t="shared" si="526"/>
        <v>33.969999999999999</v>
      </c>
      <c r="G1436" s="21">
        <f t="shared" si="526"/>
        <v>33.969999999999999</v>
      </c>
      <c r="H1436" s="21">
        <f t="shared" si="526"/>
        <v>33.969999999999999</v>
      </c>
      <c r="I1436" s="24" t="str">
        <f t="shared" si="527"/>
        <v xml:space="preserve">COM VALOR</v>
      </c>
      <c r="L1436" s="36">
        <v>33.969999999999999</v>
      </c>
      <c r="M1436" s="37">
        <v>33.969999999999999</v>
      </c>
      <c r="N1436" s="36">
        <v>33.969999999999999</v>
      </c>
    </row>
    <row r="1437" ht="25.5">
      <c r="A1437" s="19" t="s">
        <v>10460</v>
      </c>
      <c r="B1437" s="19">
        <v>3463</v>
      </c>
      <c r="C1437" s="20" t="s">
        <v>11895</v>
      </c>
      <c r="D1437" s="19" t="s">
        <v>31</v>
      </c>
      <c r="E1437" s="19" t="s">
        <v>10459</v>
      </c>
      <c r="F1437" s="21">
        <f t="shared" si="526"/>
        <v>19.850000000000001</v>
      </c>
      <c r="G1437" s="21">
        <f t="shared" si="526"/>
        <v>19.850000000000001</v>
      </c>
      <c r="H1437" s="21">
        <f t="shared" si="526"/>
        <v>19.850000000000001</v>
      </c>
      <c r="I1437" s="24" t="str">
        <f t="shared" si="527"/>
        <v xml:space="preserve">COM VALOR</v>
      </c>
      <c r="L1437" s="36">
        <v>19.850000000000001</v>
      </c>
      <c r="M1437" s="37">
        <v>19.850000000000001</v>
      </c>
      <c r="N1437" s="36">
        <v>19.850000000000001</v>
      </c>
    </row>
    <row r="1438" ht="25.5">
      <c r="A1438" s="19" t="s">
        <v>10460</v>
      </c>
      <c r="B1438" s="19">
        <v>3464</v>
      </c>
      <c r="C1438" s="20" t="s">
        <v>11896</v>
      </c>
      <c r="D1438" s="19" t="s">
        <v>31</v>
      </c>
      <c r="E1438" s="19" t="s">
        <v>10459</v>
      </c>
      <c r="F1438" s="21">
        <f t="shared" si="526"/>
        <v>19.850000000000001</v>
      </c>
      <c r="G1438" s="21">
        <f t="shared" si="526"/>
        <v>19.850000000000001</v>
      </c>
      <c r="H1438" s="21">
        <f t="shared" si="526"/>
        <v>19.850000000000001</v>
      </c>
      <c r="I1438" s="24" t="str">
        <f t="shared" si="527"/>
        <v xml:space="preserve">COM VALOR</v>
      </c>
      <c r="L1438" s="36">
        <v>19.850000000000001</v>
      </c>
      <c r="M1438" s="37">
        <v>19.850000000000001</v>
      </c>
      <c r="N1438" s="36">
        <v>19.850000000000001</v>
      </c>
    </row>
    <row r="1439" ht="25.5">
      <c r="A1439" s="19" t="s">
        <v>10460</v>
      </c>
      <c r="B1439" s="19">
        <v>3466</v>
      </c>
      <c r="C1439" s="20" t="s">
        <v>11897</v>
      </c>
      <c r="D1439" s="19" t="s">
        <v>31</v>
      </c>
      <c r="E1439" s="19" t="s">
        <v>10459</v>
      </c>
      <c r="F1439" s="21">
        <f t="shared" si="526"/>
        <v>121.06999999999999</v>
      </c>
      <c r="G1439" s="21">
        <f t="shared" si="526"/>
        <v>121.06999999999999</v>
      </c>
      <c r="H1439" s="21">
        <f t="shared" si="526"/>
        <v>121.06999999999999</v>
      </c>
      <c r="I1439" s="24" t="str">
        <f t="shared" si="527"/>
        <v xml:space="preserve">COM VALOR</v>
      </c>
      <c r="L1439" s="36">
        <v>121.06999999999999</v>
      </c>
      <c r="M1439" s="37">
        <v>121.06999999999999</v>
      </c>
      <c r="N1439" s="36">
        <v>121.06999999999999</v>
      </c>
    </row>
    <row r="1440" ht="25.5">
      <c r="A1440" s="19" t="s">
        <v>10460</v>
      </c>
      <c r="B1440" s="19">
        <v>3467</v>
      </c>
      <c r="C1440" s="20" t="s">
        <v>11898</v>
      </c>
      <c r="D1440" s="19" t="s">
        <v>31</v>
      </c>
      <c r="E1440" s="19" t="s">
        <v>10459</v>
      </c>
      <c r="F1440" s="21">
        <f t="shared" si="526"/>
        <v>68.370000000000005</v>
      </c>
      <c r="G1440" s="21">
        <f t="shared" si="526"/>
        <v>68.370000000000005</v>
      </c>
      <c r="H1440" s="21">
        <f t="shared" si="526"/>
        <v>68.370000000000005</v>
      </c>
      <c r="I1440" s="24" t="str">
        <f t="shared" si="527"/>
        <v xml:space="preserve">COM VALOR</v>
      </c>
      <c r="L1440" s="36">
        <v>68.370000000000005</v>
      </c>
      <c r="M1440" s="37">
        <v>68.370000000000005</v>
      </c>
      <c r="N1440" s="36">
        <v>68.370000000000005</v>
      </c>
    </row>
    <row r="1441" ht="25.5">
      <c r="A1441" s="19" t="s">
        <v>10460</v>
      </c>
      <c r="B1441" s="19">
        <v>3462</v>
      </c>
      <c r="C1441" s="20" t="s">
        <v>11899</v>
      </c>
      <c r="D1441" s="19" t="s">
        <v>31</v>
      </c>
      <c r="E1441" s="19" t="s">
        <v>10459</v>
      </c>
      <c r="F1441" s="21">
        <f t="shared" si="526"/>
        <v>13.1</v>
      </c>
      <c r="G1441" s="21">
        <f t="shared" si="526"/>
        <v>13.1</v>
      </c>
      <c r="H1441" s="21">
        <f t="shared" si="526"/>
        <v>13.1</v>
      </c>
      <c r="I1441" s="24" t="str">
        <f t="shared" si="527"/>
        <v xml:space="preserve">COM VALOR</v>
      </c>
      <c r="L1441" s="36">
        <v>13.1</v>
      </c>
      <c r="M1441" s="37">
        <v>13.1</v>
      </c>
      <c r="N1441" s="36">
        <v>13.1</v>
      </c>
    </row>
    <row r="1442" ht="38.25">
      <c r="A1442" s="19" t="s">
        <v>10460</v>
      </c>
      <c r="B1442" s="19">
        <v>43917</v>
      </c>
      <c r="C1442" s="20" t="s">
        <v>11900</v>
      </c>
      <c r="D1442" s="19" t="s">
        <v>31</v>
      </c>
      <c r="E1442" s="19" t="s">
        <v>10459</v>
      </c>
      <c r="F1442" s="21" t="str">
        <f t="shared" si="526"/>
        <v>VERIFICAR</v>
      </c>
      <c r="G1442" s="21" t="str">
        <f t="shared" si="526"/>
        <v>VERIFICAR</v>
      </c>
      <c r="H1442" s="21" t="str">
        <f t="shared" si="526"/>
        <v>VERIFICAR</v>
      </c>
      <c r="I1442" s="24" t="str">
        <f t="shared" si="527"/>
        <v xml:space="preserve">SEM VALOR</v>
      </c>
      <c r="L1442" s="36"/>
      <c r="M1442" s="37"/>
      <c r="N1442" s="36"/>
    </row>
    <row r="1443" ht="51">
      <c r="A1443" s="19" t="s">
        <v>10460</v>
      </c>
      <c r="B1443" s="19">
        <v>41808</v>
      </c>
      <c r="C1443" s="20" t="s">
        <v>11901</v>
      </c>
      <c r="D1443" s="19" t="s">
        <v>31</v>
      </c>
      <c r="E1443" s="19" t="s">
        <v>10459</v>
      </c>
      <c r="F1443" s="21" t="str">
        <f t="shared" si="526"/>
        <v>VERIFICAR</v>
      </c>
      <c r="G1443" s="21" t="str">
        <f t="shared" si="526"/>
        <v>VERIFICAR</v>
      </c>
      <c r="H1443" s="21" t="str">
        <f t="shared" si="526"/>
        <v>VERIFICAR</v>
      </c>
      <c r="I1443" s="24" t="str">
        <f t="shared" si="527"/>
        <v xml:space="preserve">SEM VALOR</v>
      </c>
      <c r="L1443" s="36"/>
      <c r="M1443" s="37"/>
      <c r="N1443" s="36"/>
    </row>
    <row r="1444" ht="51">
      <c r="A1444" s="19" t="s">
        <v>10460</v>
      </c>
      <c r="B1444" s="19">
        <v>41817</v>
      </c>
      <c r="C1444" s="20" t="s">
        <v>11902</v>
      </c>
      <c r="D1444" s="19" t="s">
        <v>31</v>
      </c>
      <c r="E1444" s="19" t="s">
        <v>10459</v>
      </c>
      <c r="F1444" s="21" t="str">
        <f t="shared" si="526"/>
        <v>VERIFICAR</v>
      </c>
      <c r="G1444" s="21" t="str">
        <f t="shared" si="526"/>
        <v>VERIFICAR</v>
      </c>
      <c r="H1444" s="21" t="str">
        <f t="shared" si="526"/>
        <v>VERIFICAR</v>
      </c>
      <c r="I1444" s="24" t="str">
        <f t="shared" si="527"/>
        <v xml:space="preserve">SEM VALOR</v>
      </c>
      <c r="L1444" s="36"/>
      <c r="M1444" s="37"/>
      <c r="N1444" s="36"/>
    </row>
    <row r="1445" ht="51">
      <c r="A1445" s="19" t="s">
        <v>10460</v>
      </c>
      <c r="B1445" s="19">
        <v>41819</v>
      </c>
      <c r="C1445" s="20" t="s">
        <v>11903</v>
      </c>
      <c r="D1445" s="19" t="s">
        <v>31</v>
      </c>
      <c r="E1445" s="19" t="s">
        <v>10459</v>
      </c>
      <c r="F1445" s="21" t="str">
        <f t="shared" si="526"/>
        <v>VERIFICAR</v>
      </c>
      <c r="G1445" s="21" t="str">
        <f t="shared" si="526"/>
        <v>VERIFICAR</v>
      </c>
      <c r="H1445" s="21" t="str">
        <f t="shared" si="526"/>
        <v>VERIFICAR</v>
      </c>
      <c r="I1445" s="24" t="str">
        <f t="shared" si="527"/>
        <v xml:space="preserve">SEM VALOR</v>
      </c>
      <c r="L1445" s="36"/>
      <c r="M1445" s="37"/>
      <c r="N1445" s="36"/>
    </row>
    <row r="1446" ht="51">
      <c r="A1446" s="19" t="s">
        <v>10460</v>
      </c>
      <c r="B1446" s="19">
        <v>41815</v>
      </c>
      <c r="C1446" s="20" t="s">
        <v>11904</v>
      </c>
      <c r="D1446" s="19" t="s">
        <v>31</v>
      </c>
      <c r="E1446" s="19" t="s">
        <v>10459</v>
      </c>
      <c r="F1446" s="21" t="str">
        <f t="shared" si="526"/>
        <v>VERIFICAR</v>
      </c>
      <c r="G1446" s="21" t="str">
        <f t="shared" si="526"/>
        <v>VERIFICAR</v>
      </c>
      <c r="H1446" s="21" t="str">
        <f t="shared" si="526"/>
        <v>VERIFICAR</v>
      </c>
      <c r="I1446" s="24" t="str">
        <f t="shared" si="527"/>
        <v xml:space="preserve">SEM VALOR</v>
      </c>
      <c r="L1446" s="36"/>
      <c r="M1446" s="37"/>
      <c r="N1446" s="36"/>
    </row>
    <row r="1447" ht="51">
      <c r="A1447" s="19" t="s">
        <v>10460</v>
      </c>
      <c r="B1447" s="19">
        <v>41816</v>
      </c>
      <c r="C1447" s="20" t="s">
        <v>11905</v>
      </c>
      <c r="D1447" s="19" t="s">
        <v>31</v>
      </c>
      <c r="E1447" s="19" t="s">
        <v>10459</v>
      </c>
      <c r="F1447" s="21" t="str">
        <f t="shared" si="526"/>
        <v>VERIFICAR</v>
      </c>
      <c r="G1447" s="21" t="str">
        <f t="shared" si="526"/>
        <v>VERIFICAR</v>
      </c>
      <c r="H1447" s="21" t="str">
        <f t="shared" si="526"/>
        <v>VERIFICAR</v>
      </c>
      <c r="I1447" s="24" t="str">
        <f t="shared" si="527"/>
        <v xml:space="preserve">SEM VALOR</v>
      </c>
      <c r="L1447" s="36"/>
      <c r="M1447" s="37"/>
      <c r="N1447" s="36"/>
    </row>
    <row r="1448" ht="51">
      <c r="A1448" s="19" t="s">
        <v>10460</v>
      </c>
      <c r="B1448" s="19">
        <v>41812</v>
      </c>
      <c r="C1448" s="20" t="s">
        <v>11906</v>
      </c>
      <c r="D1448" s="19" t="s">
        <v>31</v>
      </c>
      <c r="E1448" s="19" t="s">
        <v>10459</v>
      </c>
      <c r="F1448" s="21" t="str">
        <f t="shared" si="526"/>
        <v>VERIFICAR</v>
      </c>
      <c r="G1448" s="21" t="str">
        <f t="shared" si="526"/>
        <v>VERIFICAR</v>
      </c>
      <c r="H1448" s="21" t="str">
        <f t="shared" si="526"/>
        <v>VERIFICAR</v>
      </c>
      <c r="I1448" s="24" t="str">
        <f t="shared" si="527"/>
        <v xml:space="preserve">SEM VALOR</v>
      </c>
      <c r="L1448" s="36"/>
      <c r="M1448" s="37"/>
      <c r="N1448" s="36"/>
    </row>
    <row r="1449" ht="51">
      <c r="A1449" s="19" t="s">
        <v>10460</v>
      </c>
      <c r="B1449" s="19">
        <v>41813</v>
      </c>
      <c r="C1449" s="20" t="s">
        <v>11907</v>
      </c>
      <c r="D1449" s="19" t="s">
        <v>31</v>
      </c>
      <c r="E1449" s="19" t="s">
        <v>10459</v>
      </c>
      <c r="F1449" s="21" t="str">
        <f t="shared" si="526"/>
        <v>VERIFICAR</v>
      </c>
      <c r="G1449" s="21" t="str">
        <f t="shared" si="526"/>
        <v>VERIFICAR</v>
      </c>
      <c r="H1449" s="21" t="str">
        <f t="shared" si="526"/>
        <v>VERIFICAR</v>
      </c>
      <c r="I1449" s="24" t="str">
        <f t="shared" si="527"/>
        <v xml:space="preserve">SEM VALOR</v>
      </c>
      <c r="L1449" s="36"/>
      <c r="M1449" s="37"/>
      <c r="N1449" s="36"/>
    </row>
    <row r="1450" ht="51">
      <c r="A1450" s="19" t="s">
        <v>10460</v>
      </c>
      <c r="B1450" s="19">
        <v>41806</v>
      </c>
      <c r="C1450" s="20" t="s">
        <v>11908</v>
      </c>
      <c r="D1450" s="19" t="s">
        <v>31</v>
      </c>
      <c r="E1450" s="19" t="s">
        <v>10459</v>
      </c>
      <c r="F1450" s="21" t="str">
        <f t="shared" si="526"/>
        <v>VERIFICAR</v>
      </c>
      <c r="G1450" s="21" t="str">
        <f t="shared" si="526"/>
        <v>VERIFICAR</v>
      </c>
      <c r="H1450" s="21" t="str">
        <f t="shared" si="526"/>
        <v>VERIFICAR</v>
      </c>
      <c r="I1450" s="24" t="str">
        <f t="shared" si="527"/>
        <v xml:space="preserve">SEM VALOR</v>
      </c>
      <c r="L1450" s="36"/>
      <c r="M1450" s="37"/>
      <c r="N1450" s="36"/>
    </row>
    <row r="1451" ht="51">
      <c r="A1451" s="19" t="s">
        <v>10460</v>
      </c>
      <c r="B1451" s="19">
        <v>41807</v>
      </c>
      <c r="C1451" s="20" t="s">
        <v>11909</v>
      </c>
      <c r="D1451" s="19" t="s">
        <v>31</v>
      </c>
      <c r="E1451" s="19" t="s">
        <v>10459</v>
      </c>
      <c r="F1451" s="21" t="str">
        <f t="shared" si="526"/>
        <v>VERIFICAR</v>
      </c>
      <c r="G1451" s="21" t="str">
        <f t="shared" si="526"/>
        <v>VERIFICAR</v>
      </c>
      <c r="H1451" s="21" t="str">
        <f t="shared" si="526"/>
        <v>VERIFICAR</v>
      </c>
      <c r="I1451" s="24" t="str">
        <f t="shared" si="527"/>
        <v xml:space="preserve">SEM VALOR</v>
      </c>
      <c r="L1451" s="36"/>
      <c r="M1451" s="37"/>
      <c r="N1451" s="36"/>
    </row>
    <row r="1452" ht="51">
      <c r="A1452" s="19" t="s">
        <v>10460</v>
      </c>
      <c r="B1452" s="19">
        <v>41809</v>
      </c>
      <c r="C1452" s="20" t="s">
        <v>11910</v>
      </c>
      <c r="D1452" s="19" t="s">
        <v>31</v>
      </c>
      <c r="E1452" s="19" t="s">
        <v>10459</v>
      </c>
      <c r="F1452" s="21" t="str">
        <f t="shared" si="526"/>
        <v>VERIFICAR</v>
      </c>
      <c r="G1452" s="21" t="str">
        <f t="shared" si="526"/>
        <v>VERIFICAR</v>
      </c>
      <c r="H1452" s="21" t="str">
        <f t="shared" si="526"/>
        <v>VERIFICAR</v>
      </c>
      <c r="I1452" s="24" t="str">
        <f t="shared" si="527"/>
        <v xml:space="preserve">SEM VALOR</v>
      </c>
      <c r="L1452" s="36"/>
      <c r="M1452" s="37"/>
      <c r="N1452" s="36"/>
    </row>
    <row r="1453" ht="51">
      <c r="A1453" s="19" t="s">
        <v>10460</v>
      </c>
      <c r="B1453" s="19">
        <v>41811</v>
      </c>
      <c r="C1453" s="20" t="s">
        <v>11911</v>
      </c>
      <c r="D1453" s="19" t="s">
        <v>31</v>
      </c>
      <c r="E1453" s="19" t="s">
        <v>10459</v>
      </c>
      <c r="F1453" s="21" t="str">
        <f t="shared" si="526"/>
        <v>VERIFICAR</v>
      </c>
      <c r="G1453" s="21" t="str">
        <f t="shared" si="526"/>
        <v>VERIFICAR</v>
      </c>
      <c r="H1453" s="21" t="str">
        <f t="shared" si="526"/>
        <v>VERIFICAR</v>
      </c>
      <c r="I1453" s="24" t="str">
        <f t="shared" si="527"/>
        <v xml:space="preserve">SEM VALOR</v>
      </c>
      <c r="L1453" s="36"/>
      <c r="M1453" s="37"/>
      <c r="N1453" s="36"/>
    </row>
    <row r="1454" ht="38.25">
      <c r="A1454" s="19" t="s">
        <v>10460</v>
      </c>
      <c r="B1454" s="19">
        <v>41814</v>
      </c>
      <c r="C1454" s="20" t="s">
        <v>11912</v>
      </c>
      <c r="D1454" s="19" t="s">
        <v>31</v>
      </c>
      <c r="E1454" s="19" t="s">
        <v>10459</v>
      </c>
      <c r="F1454" s="21" t="str">
        <f t="shared" si="526"/>
        <v>VERIFICAR</v>
      </c>
      <c r="G1454" s="21" t="str">
        <f t="shared" si="526"/>
        <v>VERIFICAR</v>
      </c>
      <c r="H1454" s="21" t="str">
        <f t="shared" si="526"/>
        <v>VERIFICAR</v>
      </c>
      <c r="I1454" s="24" t="str">
        <f t="shared" si="527"/>
        <v xml:space="preserve">SEM VALOR</v>
      </c>
      <c r="L1454" s="36"/>
      <c r="M1454" s="37"/>
      <c r="N1454" s="36"/>
    </row>
    <row r="1455" ht="38.25">
      <c r="A1455" s="19" t="s">
        <v>10460</v>
      </c>
      <c r="B1455" s="19">
        <v>41818</v>
      </c>
      <c r="C1455" s="20" t="s">
        <v>11913</v>
      </c>
      <c r="D1455" s="19" t="s">
        <v>31</v>
      </c>
      <c r="E1455" s="19" t="s">
        <v>10459</v>
      </c>
      <c r="F1455" s="21" t="str">
        <f t="shared" si="526"/>
        <v>VERIFICAR</v>
      </c>
      <c r="G1455" s="21" t="str">
        <f t="shared" si="526"/>
        <v>VERIFICAR</v>
      </c>
      <c r="H1455" s="21" t="str">
        <f t="shared" si="526"/>
        <v>VERIFICAR</v>
      </c>
      <c r="I1455" s="24" t="str">
        <f t="shared" si="527"/>
        <v xml:space="preserve">SEM VALOR</v>
      </c>
      <c r="L1455" s="36"/>
      <c r="M1455" s="37"/>
      <c r="N1455" s="36"/>
    </row>
    <row r="1456" ht="51">
      <c r="A1456" s="19" t="s">
        <v>10460</v>
      </c>
      <c r="B1456" s="19">
        <v>43919</v>
      </c>
      <c r="C1456" s="20" t="s">
        <v>11914</v>
      </c>
      <c r="D1456" s="19" t="s">
        <v>31</v>
      </c>
      <c r="E1456" s="19" t="s">
        <v>10459</v>
      </c>
      <c r="F1456" s="21" t="str">
        <f t="shared" si="526"/>
        <v>VERIFICAR</v>
      </c>
      <c r="G1456" s="21" t="str">
        <f t="shared" si="526"/>
        <v>VERIFICAR</v>
      </c>
      <c r="H1456" s="21" t="str">
        <f t="shared" si="526"/>
        <v>VERIFICAR</v>
      </c>
      <c r="I1456" s="24" t="str">
        <f t="shared" si="527"/>
        <v xml:space="preserve">SEM VALOR</v>
      </c>
      <c r="L1456" s="36"/>
      <c r="M1456" s="37"/>
      <c r="N1456" s="36"/>
    </row>
    <row r="1457" ht="51">
      <c r="A1457" s="19" t="s">
        <v>10460</v>
      </c>
      <c r="B1457" s="19">
        <v>43914</v>
      </c>
      <c r="C1457" s="20" t="s">
        <v>11915</v>
      </c>
      <c r="D1457" s="19" t="s">
        <v>31</v>
      </c>
      <c r="E1457" s="19" t="s">
        <v>10459</v>
      </c>
      <c r="F1457" s="21" t="str">
        <f t="shared" si="526"/>
        <v>VERIFICAR</v>
      </c>
      <c r="G1457" s="21" t="str">
        <f t="shared" si="526"/>
        <v>VERIFICAR</v>
      </c>
      <c r="H1457" s="21" t="str">
        <f t="shared" si="526"/>
        <v>VERIFICAR</v>
      </c>
      <c r="I1457" s="24" t="str">
        <f t="shared" si="527"/>
        <v xml:space="preserve">SEM VALOR</v>
      </c>
      <c r="L1457" s="36"/>
      <c r="M1457" s="37"/>
      <c r="N1457" s="36"/>
    </row>
    <row r="1458" ht="51">
      <c r="A1458" s="19" t="s">
        <v>10460</v>
      </c>
      <c r="B1458" s="19">
        <v>43916</v>
      </c>
      <c r="C1458" s="20" t="s">
        <v>11916</v>
      </c>
      <c r="D1458" s="19" t="s">
        <v>31</v>
      </c>
      <c r="E1458" s="19" t="s">
        <v>10459</v>
      </c>
      <c r="F1458" s="21" t="str">
        <f t="shared" si="526"/>
        <v>VERIFICAR</v>
      </c>
      <c r="G1458" s="21" t="str">
        <f t="shared" si="526"/>
        <v>VERIFICAR</v>
      </c>
      <c r="H1458" s="21" t="str">
        <f t="shared" si="526"/>
        <v>VERIFICAR</v>
      </c>
      <c r="I1458" s="24" t="str">
        <f t="shared" si="527"/>
        <v xml:space="preserve">SEM VALOR</v>
      </c>
      <c r="L1458" s="36"/>
      <c r="M1458" s="37"/>
      <c r="N1458" s="36"/>
    </row>
    <row r="1459" ht="51">
      <c r="A1459" s="19" t="s">
        <v>10460</v>
      </c>
      <c r="B1459" s="19">
        <v>43912</v>
      </c>
      <c r="C1459" s="20" t="s">
        <v>11917</v>
      </c>
      <c r="D1459" s="19" t="s">
        <v>31</v>
      </c>
      <c r="E1459" s="19" t="s">
        <v>10459</v>
      </c>
      <c r="F1459" s="21" t="str">
        <f t="shared" si="526"/>
        <v>VERIFICAR</v>
      </c>
      <c r="G1459" s="21" t="str">
        <f t="shared" si="526"/>
        <v>VERIFICAR</v>
      </c>
      <c r="H1459" s="21" t="str">
        <f t="shared" si="526"/>
        <v>VERIFICAR</v>
      </c>
      <c r="I1459" s="24" t="str">
        <f t="shared" si="527"/>
        <v xml:space="preserve">SEM VALOR</v>
      </c>
      <c r="L1459" s="36"/>
      <c r="M1459" s="37"/>
      <c r="N1459" s="36"/>
    </row>
    <row r="1460" ht="51">
      <c r="A1460" s="19" t="s">
        <v>10460</v>
      </c>
      <c r="B1460" s="19">
        <v>43913</v>
      </c>
      <c r="C1460" s="20" t="s">
        <v>11918</v>
      </c>
      <c r="D1460" s="19" t="s">
        <v>31</v>
      </c>
      <c r="E1460" s="19" t="s">
        <v>10459</v>
      </c>
      <c r="F1460" s="21" t="str">
        <f t="shared" si="526"/>
        <v>VERIFICAR</v>
      </c>
      <c r="G1460" s="21" t="str">
        <f t="shared" si="526"/>
        <v>VERIFICAR</v>
      </c>
      <c r="H1460" s="21" t="str">
        <f t="shared" si="526"/>
        <v>VERIFICAR</v>
      </c>
      <c r="I1460" s="24" t="str">
        <f t="shared" si="527"/>
        <v xml:space="preserve">SEM VALOR</v>
      </c>
      <c r="L1460" s="36"/>
      <c r="M1460" s="37"/>
      <c r="N1460" s="36"/>
    </row>
    <row r="1461" ht="51">
      <c r="A1461" s="19" t="s">
        <v>10460</v>
      </c>
      <c r="B1461" s="19">
        <v>43908</v>
      </c>
      <c r="C1461" s="20" t="s">
        <v>11919</v>
      </c>
      <c r="D1461" s="19" t="s">
        <v>31</v>
      </c>
      <c r="E1461" s="19" t="s">
        <v>10459</v>
      </c>
      <c r="F1461" s="21" t="str">
        <f t="shared" si="526"/>
        <v>VERIFICAR</v>
      </c>
      <c r="G1461" s="21" t="str">
        <f t="shared" si="526"/>
        <v>VERIFICAR</v>
      </c>
      <c r="H1461" s="21" t="str">
        <f t="shared" si="526"/>
        <v>VERIFICAR</v>
      </c>
      <c r="I1461" s="24" t="str">
        <f t="shared" si="527"/>
        <v xml:space="preserve">SEM VALOR</v>
      </c>
      <c r="L1461" s="36"/>
      <c r="M1461" s="37"/>
      <c r="N1461" s="36"/>
    </row>
    <row r="1462" ht="51">
      <c r="A1462" s="19" t="s">
        <v>10460</v>
      </c>
      <c r="B1462" s="19">
        <v>43909</v>
      </c>
      <c r="C1462" s="20" t="s">
        <v>11920</v>
      </c>
      <c r="D1462" s="19" t="s">
        <v>31</v>
      </c>
      <c r="E1462" s="19" t="s">
        <v>10459</v>
      </c>
      <c r="F1462" s="21" t="str">
        <f t="shared" si="526"/>
        <v>VERIFICAR</v>
      </c>
      <c r="G1462" s="21" t="str">
        <f t="shared" si="526"/>
        <v>VERIFICAR</v>
      </c>
      <c r="H1462" s="21" t="str">
        <f t="shared" si="526"/>
        <v>VERIFICAR</v>
      </c>
      <c r="I1462" s="24" t="str">
        <f t="shared" si="527"/>
        <v xml:space="preserve">SEM VALOR</v>
      </c>
      <c r="L1462" s="36"/>
      <c r="M1462" s="37"/>
      <c r="N1462" s="36"/>
    </row>
    <row r="1463" ht="51">
      <c r="A1463" s="19" t="s">
        <v>10460</v>
      </c>
      <c r="B1463" s="19">
        <v>43910</v>
      </c>
      <c r="C1463" s="20" t="s">
        <v>11921</v>
      </c>
      <c r="D1463" s="19" t="s">
        <v>31</v>
      </c>
      <c r="E1463" s="19" t="s">
        <v>10459</v>
      </c>
      <c r="F1463" s="21" t="str">
        <f t="shared" si="526"/>
        <v>VERIFICAR</v>
      </c>
      <c r="G1463" s="21" t="str">
        <f t="shared" si="526"/>
        <v>VERIFICAR</v>
      </c>
      <c r="H1463" s="21" t="str">
        <f t="shared" si="526"/>
        <v>VERIFICAR</v>
      </c>
      <c r="I1463" s="24" t="str">
        <f t="shared" si="527"/>
        <v xml:space="preserve">SEM VALOR</v>
      </c>
      <c r="L1463" s="36"/>
      <c r="M1463" s="37"/>
      <c r="N1463" s="36"/>
    </row>
    <row r="1464" ht="51">
      <c r="A1464" s="19" t="s">
        <v>10460</v>
      </c>
      <c r="B1464" s="19">
        <v>43911</v>
      </c>
      <c r="C1464" s="20" t="s">
        <v>11922</v>
      </c>
      <c r="D1464" s="19" t="s">
        <v>31</v>
      </c>
      <c r="E1464" s="19" t="s">
        <v>10459</v>
      </c>
      <c r="F1464" s="21" t="str">
        <f t="shared" si="526"/>
        <v>VERIFICAR</v>
      </c>
      <c r="G1464" s="21" t="str">
        <f t="shared" si="526"/>
        <v>VERIFICAR</v>
      </c>
      <c r="H1464" s="21" t="str">
        <f t="shared" si="526"/>
        <v>VERIFICAR</v>
      </c>
      <c r="I1464" s="24" t="str">
        <f t="shared" si="527"/>
        <v xml:space="preserve">SEM VALOR</v>
      </c>
      <c r="L1464" s="36"/>
      <c r="M1464" s="37"/>
      <c r="N1464" s="36"/>
    </row>
    <row r="1465" ht="38.25">
      <c r="A1465" s="19" t="s">
        <v>10460</v>
      </c>
      <c r="B1465" s="19">
        <v>43915</v>
      </c>
      <c r="C1465" s="20" t="s">
        <v>11923</v>
      </c>
      <c r="D1465" s="19" t="s">
        <v>31</v>
      </c>
      <c r="E1465" s="19" t="s">
        <v>10459</v>
      </c>
      <c r="F1465" s="21" t="str">
        <f t="shared" si="526"/>
        <v>VERIFICAR</v>
      </c>
      <c r="G1465" s="21" t="str">
        <f t="shared" si="526"/>
        <v>VERIFICAR</v>
      </c>
      <c r="H1465" s="21" t="str">
        <f t="shared" si="526"/>
        <v>VERIFICAR</v>
      </c>
      <c r="I1465" s="24" t="str">
        <f t="shared" si="527"/>
        <v xml:space="preserve">SEM VALOR</v>
      </c>
      <c r="L1465" s="36"/>
      <c r="M1465" s="37"/>
      <c r="N1465" s="36"/>
    </row>
    <row r="1466" ht="38.25">
      <c r="A1466" s="19" t="s">
        <v>10460</v>
      </c>
      <c r="B1466" s="19">
        <v>43918</v>
      </c>
      <c r="C1466" s="20" t="s">
        <v>11924</v>
      </c>
      <c r="D1466" s="19" t="s">
        <v>31</v>
      </c>
      <c r="E1466" s="19" t="s">
        <v>10459</v>
      </c>
      <c r="F1466" s="21" t="str">
        <f t="shared" si="526"/>
        <v>VERIFICAR</v>
      </c>
      <c r="G1466" s="21" t="str">
        <f t="shared" si="526"/>
        <v>VERIFICAR</v>
      </c>
      <c r="H1466" s="21" t="str">
        <f t="shared" si="526"/>
        <v>VERIFICAR</v>
      </c>
      <c r="I1466" s="24" t="str">
        <f t="shared" si="527"/>
        <v xml:space="preserve">SEM VALOR</v>
      </c>
      <c r="L1466" s="36"/>
      <c r="M1466" s="37"/>
      <c r="N1466" s="36"/>
    </row>
    <row r="1467" ht="51">
      <c r="A1467" s="19" t="s">
        <v>10460</v>
      </c>
      <c r="B1467" s="19">
        <v>43907</v>
      </c>
      <c r="C1467" s="20" t="s">
        <v>11925</v>
      </c>
      <c r="D1467" s="19" t="s">
        <v>31</v>
      </c>
      <c r="E1467" s="19" t="s">
        <v>10459</v>
      </c>
      <c r="F1467" s="21" t="str">
        <f t="shared" si="526"/>
        <v>VERIFICAR</v>
      </c>
      <c r="G1467" s="21" t="str">
        <f t="shared" si="526"/>
        <v>VERIFICAR</v>
      </c>
      <c r="H1467" s="21" t="str">
        <f t="shared" si="526"/>
        <v>VERIFICAR</v>
      </c>
      <c r="I1467" s="24" t="str">
        <f t="shared" si="527"/>
        <v xml:space="preserve">SEM VALOR</v>
      </c>
      <c r="L1467" s="36"/>
      <c r="M1467" s="37"/>
      <c r="N1467" s="36"/>
    </row>
    <row r="1468" ht="25.5">
      <c r="A1468" s="19" t="s">
        <v>10460</v>
      </c>
      <c r="B1468" s="19">
        <v>37416</v>
      </c>
      <c r="C1468" s="20" t="s">
        <v>11926</v>
      </c>
      <c r="D1468" s="19" t="s">
        <v>31</v>
      </c>
      <c r="E1468" s="19" t="s">
        <v>10459</v>
      </c>
      <c r="F1468" s="21" t="str">
        <f t="shared" si="526"/>
        <v>VERIFICAR</v>
      </c>
      <c r="G1468" s="21" t="str">
        <f t="shared" si="526"/>
        <v>VERIFICAR</v>
      </c>
      <c r="H1468" s="21" t="str">
        <f t="shared" si="526"/>
        <v>VERIFICAR</v>
      </c>
      <c r="I1468" s="24" t="str">
        <f t="shared" si="527"/>
        <v xml:space="preserve">SEM VALOR</v>
      </c>
      <c r="L1468" s="36"/>
      <c r="M1468" s="37"/>
      <c r="N1468" s="36"/>
    </row>
    <row r="1469" ht="25.5">
      <c r="A1469" s="19" t="s">
        <v>10460</v>
      </c>
      <c r="B1469" s="19">
        <v>37417</v>
      </c>
      <c r="C1469" s="20" t="s">
        <v>11927</v>
      </c>
      <c r="D1469" s="19" t="s">
        <v>31</v>
      </c>
      <c r="E1469" s="19" t="s">
        <v>10459</v>
      </c>
      <c r="F1469" s="21" t="str">
        <f t="shared" si="526"/>
        <v>VERIFICAR</v>
      </c>
      <c r="G1469" s="21" t="str">
        <f t="shared" si="526"/>
        <v>VERIFICAR</v>
      </c>
      <c r="H1469" s="21" t="str">
        <f t="shared" si="526"/>
        <v>VERIFICAR</v>
      </c>
      <c r="I1469" s="24" t="str">
        <f t="shared" si="527"/>
        <v xml:space="preserve">SEM VALOR</v>
      </c>
      <c r="L1469" s="36"/>
      <c r="M1469" s="37"/>
      <c r="N1469" s="36"/>
    </row>
    <row r="1470" ht="38.25">
      <c r="A1470" s="19" t="s">
        <v>10460</v>
      </c>
      <c r="B1470" s="19">
        <v>37413</v>
      </c>
      <c r="C1470" s="20" t="s">
        <v>11928</v>
      </c>
      <c r="D1470" s="19" t="s">
        <v>31</v>
      </c>
      <c r="E1470" s="19" t="s">
        <v>10459</v>
      </c>
      <c r="F1470" s="21" t="str">
        <f t="shared" si="526"/>
        <v>VERIFICAR</v>
      </c>
      <c r="G1470" s="21" t="str">
        <f t="shared" si="526"/>
        <v>VERIFICAR</v>
      </c>
      <c r="H1470" s="21" t="str">
        <f t="shared" si="526"/>
        <v>VERIFICAR</v>
      </c>
      <c r="I1470" s="24" t="str">
        <f t="shared" si="527"/>
        <v xml:space="preserve">SEM VALOR</v>
      </c>
      <c r="L1470" s="36"/>
      <c r="M1470" s="37"/>
      <c r="N1470" s="36"/>
    </row>
    <row r="1471" ht="38.25">
      <c r="A1471" s="19" t="s">
        <v>10460</v>
      </c>
      <c r="B1471" s="19">
        <v>37414</v>
      </c>
      <c r="C1471" s="20" t="s">
        <v>11929</v>
      </c>
      <c r="D1471" s="19" t="s">
        <v>31</v>
      </c>
      <c r="E1471" s="19" t="s">
        <v>10459</v>
      </c>
      <c r="F1471" s="21" t="str">
        <f t="shared" si="526"/>
        <v>VERIFICAR</v>
      </c>
      <c r="G1471" s="21" t="str">
        <f t="shared" si="526"/>
        <v>VERIFICAR</v>
      </c>
      <c r="H1471" s="21" t="str">
        <f t="shared" si="526"/>
        <v>VERIFICAR</v>
      </c>
      <c r="I1471" s="24" t="str">
        <f t="shared" si="527"/>
        <v xml:space="preserve">SEM VALOR</v>
      </c>
      <c r="L1471" s="36"/>
      <c r="M1471" s="37"/>
      <c r="N1471" s="36"/>
    </row>
    <row r="1472" ht="38.25">
      <c r="A1472" s="19" t="s">
        <v>10460</v>
      </c>
      <c r="B1472" s="19">
        <v>37415</v>
      </c>
      <c r="C1472" s="20" t="s">
        <v>11930</v>
      </c>
      <c r="D1472" s="19" t="s">
        <v>31</v>
      </c>
      <c r="E1472" s="19" t="s">
        <v>10459</v>
      </c>
      <c r="F1472" s="21" t="str">
        <f t="shared" si="526"/>
        <v>VERIFICAR</v>
      </c>
      <c r="G1472" s="21" t="str">
        <f t="shared" si="526"/>
        <v>VERIFICAR</v>
      </c>
      <c r="H1472" s="21" t="str">
        <f t="shared" si="526"/>
        <v>VERIFICAR</v>
      </c>
      <c r="I1472" s="24" t="str">
        <f t="shared" si="527"/>
        <v xml:space="preserve">SEM VALOR</v>
      </c>
      <c r="L1472" s="36"/>
      <c r="M1472" s="37"/>
      <c r="N1472" s="36"/>
    </row>
    <row r="1473" ht="38.25">
      <c r="A1473" s="19" t="s">
        <v>10460</v>
      </c>
      <c r="B1473" s="19">
        <v>43590</v>
      </c>
      <c r="C1473" s="20" t="s">
        <v>11931</v>
      </c>
      <c r="D1473" s="19" t="s">
        <v>31</v>
      </c>
      <c r="E1473" s="19" t="s">
        <v>10459</v>
      </c>
      <c r="F1473" s="21">
        <f t="shared" si="526"/>
        <v>184.99000000000001</v>
      </c>
      <c r="G1473" s="21">
        <f t="shared" si="526"/>
        <v>184.99000000000001</v>
      </c>
      <c r="H1473" s="21">
        <f t="shared" si="526"/>
        <v>184.99000000000001</v>
      </c>
      <c r="I1473" s="24" t="str">
        <f t="shared" si="527"/>
        <v xml:space="preserve">COM VALOR</v>
      </c>
      <c r="L1473" s="36">
        <v>184.99000000000001</v>
      </c>
      <c r="M1473" s="37">
        <v>184.99000000000001</v>
      </c>
      <c r="N1473" s="36">
        <v>184.99000000000001</v>
      </c>
    </row>
    <row r="1474" ht="38.25">
      <c r="A1474" s="19" t="s">
        <v>10460</v>
      </c>
      <c r="B1474" s="19">
        <v>43589</v>
      </c>
      <c r="C1474" s="20" t="s">
        <v>11932</v>
      </c>
      <c r="D1474" s="19" t="s">
        <v>31</v>
      </c>
      <c r="E1474" s="19" t="s">
        <v>10459</v>
      </c>
      <c r="F1474" s="21">
        <f t="shared" si="526"/>
        <v>33.469999999999999</v>
      </c>
      <c r="G1474" s="21">
        <f t="shared" si="526"/>
        <v>33.469999999999999</v>
      </c>
      <c r="H1474" s="21">
        <f t="shared" si="526"/>
        <v>33.469999999999999</v>
      </c>
      <c r="I1474" s="24" t="str">
        <f t="shared" si="527"/>
        <v xml:space="preserve">COM VALOR</v>
      </c>
      <c r="L1474" s="36">
        <v>33.469999999999999</v>
      </c>
      <c r="M1474" s="37">
        <v>33.469999999999999</v>
      </c>
      <c r="N1474" s="36">
        <v>33.469999999999999</v>
      </c>
    </row>
    <row r="1475" ht="25.5">
      <c r="A1475" s="19" t="s">
        <v>10460</v>
      </c>
      <c r="B1475" s="19">
        <v>34519</v>
      </c>
      <c r="C1475" s="20" t="s">
        <v>11933</v>
      </c>
      <c r="D1475" s="19" t="s">
        <v>31</v>
      </c>
      <c r="E1475" s="19" t="s">
        <v>10459</v>
      </c>
      <c r="F1475" s="21">
        <f t="shared" si="526"/>
        <v>116.27</v>
      </c>
      <c r="G1475" s="21">
        <f t="shared" si="526"/>
        <v>116.27</v>
      </c>
      <c r="H1475" s="21">
        <f t="shared" si="526"/>
        <v>116.27</v>
      </c>
      <c r="I1475" s="24" t="str">
        <f t="shared" si="527"/>
        <v xml:space="preserve">COM VALOR</v>
      </c>
      <c r="L1475" s="36">
        <v>116.27</v>
      </c>
      <c r="M1475" s="37">
        <v>116.27</v>
      </c>
      <c r="N1475" s="36">
        <v>116.27</v>
      </c>
    </row>
    <row r="1476" ht="25.5">
      <c r="A1476" s="19" t="s">
        <v>10460</v>
      </c>
      <c r="B1476" s="19">
        <v>1649</v>
      </c>
      <c r="C1476" s="20" t="s">
        <v>11934</v>
      </c>
      <c r="D1476" s="19" t="s">
        <v>31</v>
      </c>
      <c r="E1476" s="19" t="s">
        <v>10459</v>
      </c>
      <c r="F1476" s="21">
        <f t="shared" si="526"/>
        <v>86.150000000000006</v>
      </c>
      <c r="G1476" s="21">
        <f t="shared" si="526"/>
        <v>86.150000000000006</v>
      </c>
      <c r="H1476" s="21">
        <f t="shared" si="526"/>
        <v>86.150000000000006</v>
      </c>
      <c r="I1476" s="24" t="str">
        <f t="shared" si="527"/>
        <v xml:space="preserve">COM VALOR</v>
      </c>
      <c r="L1476" s="36">
        <v>86.150000000000006</v>
      </c>
      <c r="M1476" s="37">
        <v>86.150000000000006</v>
      </c>
      <c r="N1476" s="36">
        <v>86.150000000000006</v>
      </c>
    </row>
    <row r="1477" ht="25.5">
      <c r="A1477" s="19" t="s">
        <v>10460</v>
      </c>
      <c r="B1477" s="19">
        <v>1653</v>
      </c>
      <c r="C1477" s="20" t="s">
        <v>11935</v>
      </c>
      <c r="D1477" s="19" t="s">
        <v>31</v>
      </c>
      <c r="E1477" s="19" t="s">
        <v>10459</v>
      </c>
      <c r="F1477" s="21">
        <f t="shared" si="526"/>
        <v>67.480000000000004</v>
      </c>
      <c r="G1477" s="21">
        <f t="shared" si="526"/>
        <v>67.480000000000004</v>
      </c>
      <c r="H1477" s="21">
        <f t="shared" si="526"/>
        <v>67.480000000000004</v>
      </c>
      <c r="I1477" s="24" t="str">
        <f t="shared" si="527"/>
        <v xml:space="preserve">COM VALOR</v>
      </c>
      <c r="L1477" s="36">
        <v>67.480000000000004</v>
      </c>
      <c r="M1477" s="37">
        <v>67.480000000000004</v>
      </c>
      <c r="N1477" s="36">
        <v>67.480000000000004</v>
      </c>
    </row>
    <row r="1478" ht="12.75">
      <c r="A1478" s="19" t="s">
        <v>10460</v>
      </c>
      <c r="B1478" s="19">
        <v>1648</v>
      </c>
      <c r="C1478" s="20" t="s">
        <v>11936</v>
      </c>
      <c r="D1478" s="19" t="s">
        <v>31</v>
      </c>
      <c r="E1478" s="19" t="s">
        <v>10459</v>
      </c>
      <c r="F1478" s="21">
        <f t="shared" si="526"/>
        <v>46.399999999999999</v>
      </c>
      <c r="G1478" s="21">
        <f t="shared" si="526"/>
        <v>46.399999999999999</v>
      </c>
      <c r="H1478" s="21">
        <f t="shared" si="526"/>
        <v>46.399999999999999</v>
      </c>
      <c r="I1478" s="24" t="str">
        <f t="shared" si="527"/>
        <v xml:space="preserve">COM VALOR</v>
      </c>
      <c r="L1478" s="36">
        <v>46.399999999999999</v>
      </c>
      <c r="M1478" s="37">
        <v>46.399999999999999</v>
      </c>
      <c r="N1478" s="36">
        <v>46.399999999999999</v>
      </c>
    </row>
    <row r="1479" ht="12.75">
      <c r="A1479" s="19" t="s">
        <v>10460</v>
      </c>
      <c r="B1479" s="19">
        <v>1647</v>
      </c>
      <c r="C1479" s="20" t="s">
        <v>11937</v>
      </c>
      <c r="D1479" s="19" t="s">
        <v>31</v>
      </c>
      <c r="E1479" s="19" t="s">
        <v>10459</v>
      </c>
      <c r="F1479" s="21">
        <f t="shared" si="526"/>
        <v>24.16</v>
      </c>
      <c r="G1479" s="21">
        <f t="shared" si="526"/>
        <v>24.16</v>
      </c>
      <c r="H1479" s="21">
        <f t="shared" si="526"/>
        <v>24.16</v>
      </c>
      <c r="I1479" s="24" t="str">
        <f t="shared" si="527"/>
        <v xml:space="preserve">COM VALOR</v>
      </c>
      <c r="L1479" s="36">
        <v>24.16</v>
      </c>
      <c r="M1479" s="37">
        <v>24.16</v>
      </c>
      <c r="N1479" s="36">
        <v>24.16</v>
      </c>
    </row>
    <row r="1480" ht="25.5">
      <c r="A1480" s="19" t="s">
        <v>10460</v>
      </c>
      <c r="B1480" s="19">
        <v>1651</v>
      </c>
      <c r="C1480" s="20" t="s">
        <v>11938</v>
      </c>
      <c r="D1480" s="19" t="s">
        <v>31</v>
      </c>
      <c r="E1480" s="19" t="s">
        <v>10459</v>
      </c>
      <c r="F1480" s="21">
        <f t="shared" si="526"/>
        <v>215.24000000000001</v>
      </c>
      <c r="G1480" s="21">
        <f t="shared" si="526"/>
        <v>215.24000000000001</v>
      </c>
      <c r="H1480" s="21">
        <f t="shared" si="526"/>
        <v>215.24000000000001</v>
      </c>
      <c r="I1480" s="24" t="str">
        <f t="shared" si="527"/>
        <v xml:space="preserve">COM VALOR</v>
      </c>
      <c r="L1480" s="36">
        <v>215.24000000000001</v>
      </c>
      <c r="M1480" s="37">
        <v>215.24000000000001</v>
      </c>
      <c r="N1480" s="36">
        <v>215.24000000000001</v>
      </c>
    </row>
    <row r="1481" ht="12.75">
      <c r="A1481" s="19" t="s">
        <v>10460</v>
      </c>
      <c r="B1481" s="19">
        <v>1650</v>
      </c>
      <c r="C1481" s="20" t="s">
        <v>11939</v>
      </c>
      <c r="D1481" s="19" t="s">
        <v>31</v>
      </c>
      <c r="E1481" s="19" t="s">
        <v>10459</v>
      </c>
      <c r="F1481" s="21">
        <f t="shared" si="526"/>
        <v>118.97</v>
      </c>
      <c r="G1481" s="21">
        <f t="shared" si="526"/>
        <v>118.97</v>
      </c>
      <c r="H1481" s="21">
        <f t="shared" si="526"/>
        <v>118.97</v>
      </c>
      <c r="I1481" s="24" t="str">
        <f t="shared" si="527"/>
        <v xml:space="preserve">COM VALOR</v>
      </c>
      <c r="L1481" s="36">
        <v>118.97</v>
      </c>
      <c r="M1481" s="37">
        <v>118.97</v>
      </c>
      <c r="N1481" s="36">
        <v>118.97</v>
      </c>
    </row>
    <row r="1482" ht="12.75">
      <c r="A1482" s="19" t="s">
        <v>10460</v>
      </c>
      <c r="B1482" s="19">
        <v>1652</v>
      </c>
      <c r="C1482" s="20" t="s">
        <v>11940</v>
      </c>
      <c r="D1482" s="19" t="s">
        <v>31</v>
      </c>
      <c r="E1482" s="19" t="s">
        <v>10459</v>
      </c>
      <c r="F1482" s="21">
        <f t="shared" si="526"/>
        <v>308.93000000000001</v>
      </c>
      <c r="G1482" s="21">
        <f t="shared" si="526"/>
        <v>308.93000000000001</v>
      </c>
      <c r="H1482" s="21">
        <f t="shared" si="526"/>
        <v>308.93000000000001</v>
      </c>
      <c r="I1482" s="24" t="str">
        <f t="shared" si="527"/>
        <v xml:space="preserve">COM VALOR</v>
      </c>
      <c r="L1482" s="36">
        <v>308.93000000000001</v>
      </c>
      <c r="M1482" s="37">
        <v>308.93000000000001</v>
      </c>
      <c r="N1482" s="36">
        <v>308.93000000000001</v>
      </c>
    </row>
    <row r="1483" ht="12.75">
      <c r="A1483" s="19" t="s">
        <v>10460</v>
      </c>
      <c r="B1483" s="19">
        <v>1654</v>
      </c>
      <c r="C1483" s="20" t="s">
        <v>11941</v>
      </c>
      <c r="D1483" s="19" t="s">
        <v>31</v>
      </c>
      <c r="E1483" s="19" t="s">
        <v>10459</v>
      </c>
      <c r="F1483" s="21">
        <f t="shared" ref="F1483:H1546" si="528">IF(L1483=0,"VERIFICAR",L1483)</f>
        <v>33.170000000000002</v>
      </c>
      <c r="G1483" s="21">
        <f t="shared" si="528"/>
        <v>33.170000000000002</v>
      </c>
      <c r="H1483" s="21">
        <f t="shared" si="528"/>
        <v>33.170000000000002</v>
      </c>
      <c r="I1483" s="24" t="str">
        <f t="shared" ref="I1483:I1546" si="529">IF(OR(L1483=0,M1483=0,N1483=0),"SEM VALOR","COM VALOR")</f>
        <v xml:space="preserve">COM VALOR</v>
      </c>
      <c r="L1483" s="36">
        <v>33.170000000000002</v>
      </c>
      <c r="M1483" s="37">
        <v>33.170000000000002</v>
      </c>
      <c r="N1483" s="36">
        <v>33.170000000000002</v>
      </c>
    </row>
    <row r="1484" ht="25.5">
      <c r="A1484" s="19" t="s">
        <v>10460</v>
      </c>
      <c r="B1484" s="19">
        <v>10510</v>
      </c>
      <c r="C1484" s="20" t="s">
        <v>11942</v>
      </c>
      <c r="D1484" s="19" t="s">
        <v>31</v>
      </c>
      <c r="E1484" s="19" t="s">
        <v>10459</v>
      </c>
      <c r="F1484" s="21">
        <f t="shared" si="528"/>
        <v>231.66999999999999</v>
      </c>
      <c r="G1484" s="21">
        <f t="shared" si="528"/>
        <v>231.66999999999999</v>
      </c>
      <c r="H1484" s="21">
        <f t="shared" si="528"/>
        <v>231.66999999999999</v>
      </c>
      <c r="I1484" s="24" t="str">
        <f t="shared" si="529"/>
        <v xml:space="preserve">COM VALOR</v>
      </c>
      <c r="L1484" s="36">
        <v>231.66999999999999</v>
      </c>
      <c r="M1484" s="37">
        <v>231.66999999999999</v>
      </c>
      <c r="N1484" s="36">
        <v>231.66999999999999</v>
      </c>
    </row>
    <row r="1485" ht="25.5">
      <c r="A1485" s="19" t="s">
        <v>10460</v>
      </c>
      <c r="B1485" s="19">
        <v>1744</v>
      </c>
      <c r="C1485" s="20" t="s">
        <v>11943</v>
      </c>
      <c r="D1485" s="19" t="s">
        <v>31</v>
      </c>
      <c r="E1485" s="19" t="s">
        <v>10459</v>
      </c>
      <c r="F1485" s="21">
        <f t="shared" si="528"/>
        <v>146.11000000000001</v>
      </c>
      <c r="G1485" s="21">
        <f t="shared" si="528"/>
        <v>146.11000000000001</v>
      </c>
      <c r="H1485" s="21">
        <f t="shared" si="528"/>
        <v>146.11000000000001</v>
      </c>
      <c r="I1485" s="24" t="str">
        <f t="shared" si="529"/>
        <v xml:space="preserve">COM VALOR</v>
      </c>
      <c r="L1485" s="36">
        <v>146.11000000000001</v>
      </c>
      <c r="M1485" s="37">
        <v>146.11000000000001</v>
      </c>
      <c r="N1485" s="36">
        <v>146.11000000000001</v>
      </c>
    </row>
    <row r="1486" ht="25.5">
      <c r="A1486" s="19" t="s">
        <v>10460</v>
      </c>
      <c r="B1486" s="19">
        <v>1743</v>
      </c>
      <c r="C1486" s="20" t="s">
        <v>11944</v>
      </c>
      <c r="D1486" s="19" t="s">
        <v>31</v>
      </c>
      <c r="E1486" s="19" t="s">
        <v>10459</v>
      </c>
      <c r="F1486" s="21">
        <f t="shared" si="528"/>
        <v>191.87</v>
      </c>
      <c r="G1486" s="21">
        <f t="shared" si="528"/>
        <v>191.87</v>
      </c>
      <c r="H1486" s="21">
        <f t="shared" si="528"/>
        <v>191.87</v>
      </c>
      <c r="I1486" s="24" t="str">
        <f t="shared" si="529"/>
        <v xml:space="preserve">COM VALOR</v>
      </c>
      <c r="L1486" s="36">
        <v>191.87</v>
      </c>
      <c r="M1486" s="37">
        <v>191.87</v>
      </c>
      <c r="N1486" s="36">
        <v>191.87</v>
      </c>
    </row>
    <row r="1487" ht="25.5">
      <c r="A1487" s="19" t="s">
        <v>10460</v>
      </c>
      <c r="B1487" s="19">
        <v>1747</v>
      </c>
      <c r="C1487" s="20" t="s">
        <v>11945</v>
      </c>
      <c r="D1487" s="19" t="s">
        <v>31</v>
      </c>
      <c r="E1487" s="19" t="s">
        <v>10459</v>
      </c>
      <c r="F1487" s="21">
        <f t="shared" si="528"/>
        <v>210.94</v>
      </c>
      <c r="G1487" s="21">
        <f t="shared" si="528"/>
        <v>210.94</v>
      </c>
      <c r="H1487" s="21">
        <f t="shared" si="528"/>
        <v>210.94</v>
      </c>
      <c r="I1487" s="24" t="str">
        <f t="shared" si="529"/>
        <v xml:space="preserve">COM VALOR</v>
      </c>
      <c r="L1487" s="36">
        <v>210.94</v>
      </c>
      <c r="M1487" s="37">
        <v>210.94</v>
      </c>
      <c r="N1487" s="36">
        <v>210.94</v>
      </c>
    </row>
    <row r="1488" ht="38.25">
      <c r="A1488" s="19" t="s">
        <v>10460</v>
      </c>
      <c r="B1488" s="19">
        <v>39640</v>
      </c>
      <c r="C1488" s="20" t="s">
        <v>11946</v>
      </c>
      <c r="D1488" s="19" t="s">
        <v>31</v>
      </c>
      <c r="E1488" s="19" t="s">
        <v>10459</v>
      </c>
      <c r="F1488" s="21">
        <f t="shared" si="528"/>
        <v>12.83</v>
      </c>
      <c r="G1488" s="21">
        <f t="shared" si="528"/>
        <v>12.83</v>
      </c>
      <c r="H1488" s="21">
        <f t="shared" si="528"/>
        <v>12.83</v>
      </c>
      <c r="I1488" s="24" t="str">
        <f t="shared" si="529"/>
        <v xml:space="preserve">COM VALOR</v>
      </c>
      <c r="L1488" s="36">
        <v>12.83</v>
      </c>
      <c r="M1488" s="37">
        <v>12.83</v>
      </c>
      <c r="N1488" s="36">
        <v>12.83</v>
      </c>
    </row>
    <row r="1489" ht="38.25">
      <c r="A1489" s="19" t="s">
        <v>10460</v>
      </c>
      <c r="B1489" s="19">
        <v>7216</v>
      </c>
      <c r="C1489" s="20" t="s">
        <v>11947</v>
      </c>
      <c r="D1489" s="19" t="s">
        <v>31</v>
      </c>
      <c r="E1489" s="19" t="s">
        <v>10459</v>
      </c>
      <c r="F1489" s="21">
        <f t="shared" si="528"/>
        <v>68.900000000000006</v>
      </c>
      <c r="G1489" s="21">
        <f t="shared" si="528"/>
        <v>68.900000000000006</v>
      </c>
      <c r="H1489" s="21">
        <f t="shared" si="528"/>
        <v>68.900000000000006</v>
      </c>
      <c r="I1489" s="24" t="str">
        <f t="shared" si="529"/>
        <v xml:space="preserve">COM VALOR</v>
      </c>
      <c r="L1489" s="36">
        <v>68.900000000000006</v>
      </c>
      <c r="M1489" s="37">
        <v>68.900000000000006</v>
      </c>
      <c r="N1489" s="36">
        <v>68.900000000000006</v>
      </c>
    </row>
    <row r="1490" ht="38.25">
      <c r="A1490" s="19" t="s">
        <v>10460</v>
      </c>
      <c r="B1490" s="19">
        <v>20235</v>
      </c>
      <c r="C1490" s="20" t="s">
        <v>11948</v>
      </c>
      <c r="D1490" s="19" t="s">
        <v>31</v>
      </c>
      <c r="E1490" s="19" t="s">
        <v>10459</v>
      </c>
      <c r="F1490" s="21">
        <f t="shared" si="528"/>
        <v>55.399999999999999</v>
      </c>
      <c r="G1490" s="21">
        <f t="shared" si="528"/>
        <v>55.399999999999999</v>
      </c>
      <c r="H1490" s="21">
        <f t="shared" si="528"/>
        <v>55.399999999999999</v>
      </c>
      <c r="I1490" s="24" t="str">
        <f t="shared" si="529"/>
        <v xml:space="preserve">COM VALOR</v>
      </c>
      <c r="L1490" s="36">
        <v>55.399999999999999</v>
      </c>
      <c r="M1490" s="37">
        <v>55.399999999999999</v>
      </c>
      <c r="N1490" s="36">
        <v>55.399999999999999</v>
      </c>
    </row>
    <row r="1491" ht="25.5">
      <c r="A1491" s="19" t="s">
        <v>10460</v>
      </c>
      <c r="B1491" s="19">
        <v>7181</v>
      </c>
      <c r="C1491" s="20" t="s">
        <v>11949</v>
      </c>
      <c r="D1491" s="19" t="s">
        <v>31</v>
      </c>
      <c r="E1491" s="19" t="s">
        <v>10459</v>
      </c>
      <c r="F1491" s="21">
        <f t="shared" si="528"/>
        <v>4.4299999999999997</v>
      </c>
      <c r="G1491" s="21">
        <f t="shared" si="528"/>
        <v>4.4299999999999997</v>
      </c>
      <c r="H1491" s="21">
        <f t="shared" si="528"/>
        <v>4.4299999999999997</v>
      </c>
      <c r="I1491" s="24" t="str">
        <f t="shared" si="529"/>
        <v xml:space="preserve">COM VALOR</v>
      </c>
      <c r="L1491" s="36">
        <v>4.4299999999999997</v>
      </c>
      <c r="M1491" s="37">
        <v>4.4299999999999997</v>
      </c>
      <c r="N1491" s="36">
        <v>4.4299999999999997</v>
      </c>
    </row>
    <row r="1492" ht="25.5">
      <c r="A1492" s="19" t="s">
        <v>10460</v>
      </c>
      <c r="B1492" s="19">
        <v>40742</v>
      </c>
      <c r="C1492" s="20" t="s">
        <v>11950</v>
      </c>
      <c r="D1492" s="19" t="s">
        <v>31</v>
      </c>
      <c r="E1492" s="19" t="s">
        <v>10459</v>
      </c>
      <c r="F1492" s="21">
        <f t="shared" si="528"/>
        <v>13.460000000000001</v>
      </c>
      <c r="G1492" s="21">
        <f t="shared" si="528"/>
        <v>13.460000000000001</v>
      </c>
      <c r="H1492" s="21">
        <f t="shared" si="528"/>
        <v>13.460000000000001</v>
      </c>
      <c r="I1492" s="24" t="str">
        <f t="shared" si="529"/>
        <v xml:space="preserve">COM VALOR</v>
      </c>
      <c r="L1492" s="36">
        <v>13.460000000000001</v>
      </c>
      <c r="M1492" s="37">
        <v>13.460000000000001</v>
      </c>
      <c r="N1492" s="36">
        <v>13.460000000000001</v>
      </c>
    </row>
    <row r="1493" ht="38.25">
      <c r="A1493" s="19" t="s">
        <v>10460</v>
      </c>
      <c r="B1493" s="19">
        <v>7214</v>
      </c>
      <c r="C1493" s="20" t="s">
        <v>11951</v>
      </c>
      <c r="D1493" s="19" t="s">
        <v>31</v>
      </c>
      <c r="E1493" s="19" t="s">
        <v>10459</v>
      </c>
      <c r="F1493" s="21">
        <f t="shared" si="528"/>
        <v>67.280000000000001</v>
      </c>
      <c r="G1493" s="21">
        <f t="shared" si="528"/>
        <v>67.280000000000001</v>
      </c>
      <c r="H1493" s="21">
        <f t="shared" si="528"/>
        <v>67.280000000000001</v>
      </c>
      <c r="I1493" s="24" t="str">
        <f t="shared" si="529"/>
        <v xml:space="preserve">COM VALOR</v>
      </c>
      <c r="L1493" s="36">
        <v>67.280000000000001</v>
      </c>
      <c r="M1493" s="37">
        <v>67.280000000000001</v>
      </c>
      <c r="N1493" s="36">
        <v>67.280000000000001</v>
      </c>
    </row>
    <row r="1494" ht="38.25">
      <c r="A1494" s="19" t="s">
        <v>10460</v>
      </c>
      <c r="B1494" s="19">
        <v>7219</v>
      </c>
      <c r="C1494" s="20" t="s">
        <v>11952</v>
      </c>
      <c r="D1494" s="19" t="s">
        <v>31</v>
      </c>
      <c r="E1494" s="19" t="s">
        <v>10459</v>
      </c>
      <c r="F1494" s="21">
        <f t="shared" si="528"/>
        <v>59.68</v>
      </c>
      <c r="G1494" s="21">
        <f t="shared" si="528"/>
        <v>59.68</v>
      </c>
      <c r="H1494" s="21">
        <f t="shared" si="528"/>
        <v>59.68</v>
      </c>
      <c r="I1494" s="24" t="str">
        <f t="shared" si="529"/>
        <v xml:space="preserve">COM VALOR</v>
      </c>
      <c r="L1494" s="36">
        <v>59.68</v>
      </c>
      <c r="M1494" s="37">
        <v>59.68</v>
      </c>
      <c r="N1494" s="36">
        <v>59.68</v>
      </c>
    </row>
    <row r="1495" ht="25.5">
      <c r="A1495" s="19" t="s">
        <v>10460</v>
      </c>
      <c r="B1495" s="19">
        <v>2628</v>
      </c>
      <c r="C1495" s="20" t="s">
        <v>11953</v>
      </c>
      <c r="D1495" s="19" t="s">
        <v>31</v>
      </c>
      <c r="E1495" s="19" t="s">
        <v>10459</v>
      </c>
      <c r="F1495" s="21">
        <f t="shared" si="528"/>
        <v>166.78</v>
      </c>
      <c r="G1495" s="21">
        <f t="shared" si="528"/>
        <v>166.78</v>
      </c>
      <c r="H1495" s="21">
        <f t="shared" si="528"/>
        <v>166.78</v>
      </c>
      <c r="I1495" s="24" t="str">
        <f t="shared" si="529"/>
        <v xml:space="preserve">COM VALOR</v>
      </c>
      <c r="L1495" s="36">
        <v>166.78</v>
      </c>
      <c r="M1495" s="37">
        <v>166.78</v>
      </c>
      <c r="N1495" s="36">
        <v>166.78</v>
      </c>
    </row>
    <row r="1496" ht="38.25">
      <c r="A1496" s="19" t="s">
        <v>10460</v>
      </c>
      <c r="B1496" s="19">
        <v>2622</v>
      </c>
      <c r="C1496" s="20" t="s">
        <v>11954</v>
      </c>
      <c r="D1496" s="19" t="s">
        <v>31</v>
      </c>
      <c r="E1496" s="19" t="s">
        <v>10459</v>
      </c>
      <c r="F1496" s="21">
        <f t="shared" si="528"/>
        <v>3.96</v>
      </c>
      <c r="G1496" s="21">
        <f t="shared" si="528"/>
        <v>3.96</v>
      </c>
      <c r="H1496" s="21">
        <f t="shared" si="528"/>
        <v>3.96</v>
      </c>
      <c r="I1496" s="24" t="str">
        <f t="shared" si="529"/>
        <v xml:space="preserve">COM VALOR</v>
      </c>
      <c r="L1496" s="36">
        <v>3.96</v>
      </c>
      <c r="M1496" s="37">
        <v>3.96</v>
      </c>
      <c r="N1496" s="36">
        <v>3.96</v>
      </c>
    </row>
    <row r="1497" ht="38.25">
      <c r="A1497" s="19" t="s">
        <v>10460</v>
      </c>
      <c r="B1497" s="19">
        <v>2623</v>
      </c>
      <c r="C1497" s="20" t="s">
        <v>11955</v>
      </c>
      <c r="D1497" s="19" t="s">
        <v>31</v>
      </c>
      <c r="E1497" s="19" t="s">
        <v>10459</v>
      </c>
      <c r="F1497" s="21">
        <f t="shared" si="528"/>
        <v>4.7599999999999998</v>
      </c>
      <c r="G1497" s="21">
        <f t="shared" si="528"/>
        <v>4.7599999999999998</v>
      </c>
      <c r="H1497" s="21">
        <f t="shared" si="528"/>
        <v>4.7599999999999998</v>
      </c>
      <c r="I1497" s="24" t="str">
        <f t="shared" si="529"/>
        <v xml:space="preserve">COM VALOR</v>
      </c>
      <c r="L1497" s="36">
        <v>4.7599999999999998</v>
      </c>
      <c r="M1497" s="37">
        <v>4.7599999999999998</v>
      </c>
      <c r="N1497" s="36">
        <v>4.7599999999999998</v>
      </c>
    </row>
    <row r="1498" ht="38.25">
      <c r="A1498" s="19" t="s">
        <v>10460</v>
      </c>
      <c r="B1498" s="19">
        <v>2624</v>
      </c>
      <c r="C1498" s="20" t="s">
        <v>11956</v>
      </c>
      <c r="D1498" s="19" t="s">
        <v>31</v>
      </c>
      <c r="E1498" s="19" t="s">
        <v>10459</v>
      </c>
      <c r="F1498" s="21">
        <f t="shared" si="528"/>
        <v>7.5800000000000001</v>
      </c>
      <c r="G1498" s="21">
        <f t="shared" si="528"/>
        <v>7.5800000000000001</v>
      </c>
      <c r="H1498" s="21">
        <f t="shared" si="528"/>
        <v>7.5800000000000001</v>
      </c>
      <c r="I1498" s="24" t="str">
        <f t="shared" si="529"/>
        <v xml:space="preserve">COM VALOR</v>
      </c>
      <c r="L1498" s="36">
        <v>7.5800000000000001</v>
      </c>
      <c r="M1498" s="37">
        <v>7.5800000000000001</v>
      </c>
      <c r="N1498" s="36">
        <v>7.5800000000000001</v>
      </c>
    </row>
    <row r="1499" ht="38.25">
      <c r="A1499" s="19" t="s">
        <v>10460</v>
      </c>
      <c r="B1499" s="19">
        <v>2625</v>
      </c>
      <c r="C1499" s="20" t="s">
        <v>11957</v>
      </c>
      <c r="D1499" s="19" t="s">
        <v>31</v>
      </c>
      <c r="E1499" s="19" t="s">
        <v>10459</v>
      </c>
      <c r="F1499" s="21">
        <f t="shared" si="528"/>
        <v>16</v>
      </c>
      <c r="G1499" s="21">
        <f t="shared" si="528"/>
        <v>16</v>
      </c>
      <c r="H1499" s="21">
        <f t="shared" si="528"/>
        <v>16</v>
      </c>
      <c r="I1499" s="24" t="str">
        <f t="shared" si="529"/>
        <v xml:space="preserve">COM VALOR</v>
      </c>
      <c r="L1499" s="36">
        <v>16</v>
      </c>
      <c r="M1499" s="37">
        <v>16</v>
      </c>
      <c r="N1499" s="36">
        <v>16</v>
      </c>
    </row>
    <row r="1500" ht="38.25">
      <c r="A1500" s="19" t="s">
        <v>10460</v>
      </c>
      <c r="B1500" s="19">
        <v>2626</v>
      </c>
      <c r="C1500" s="20" t="s">
        <v>11958</v>
      </c>
      <c r="D1500" s="19" t="s">
        <v>31</v>
      </c>
      <c r="E1500" s="19" t="s">
        <v>10459</v>
      </c>
      <c r="F1500" s="21">
        <f t="shared" si="528"/>
        <v>23.449999999999999</v>
      </c>
      <c r="G1500" s="21">
        <f t="shared" si="528"/>
        <v>23.449999999999999</v>
      </c>
      <c r="H1500" s="21">
        <f t="shared" si="528"/>
        <v>23.449999999999999</v>
      </c>
      <c r="I1500" s="24" t="str">
        <f t="shared" si="529"/>
        <v xml:space="preserve">COM VALOR</v>
      </c>
      <c r="L1500" s="36">
        <v>23.449999999999999</v>
      </c>
      <c r="M1500" s="37">
        <v>23.449999999999999</v>
      </c>
      <c r="N1500" s="36">
        <v>23.449999999999999</v>
      </c>
    </row>
    <row r="1501" ht="25.5">
      <c r="A1501" s="19" t="s">
        <v>10460</v>
      </c>
      <c r="B1501" s="19">
        <v>2630</v>
      </c>
      <c r="C1501" s="20" t="s">
        <v>11959</v>
      </c>
      <c r="D1501" s="19" t="s">
        <v>31</v>
      </c>
      <c r="E1501" s="19" t="s">
        <v>10459</v>
      </c>
      <c r="F1501" s="21">
        <f t="shared" si="528"/>
        <v>35.659999999999997</v>
      </c>
      <c r="G1501" s="21">
        <f t="shared" si="528"/>
        <v>35.659999999999997</v>
      </c>
      <c r="H1501" s="21">
        <f t="shared" si="528"/>
        <v>35.659999999999997</v>
      </c>
      <c r="I1501" s="24" t="str">
        <f t="shared" si="529"/>
        <v xml:space="preserve">COM VALOR</v>
      </c>
      <c r="L1501" s="36">
        <v>35.659999999999997</v>
      </c>
      <c r="M1501" s="37">
        <v>35.659999999999997</v>
      </c>
      <c r="N1501" s="36">
        <v>35.659999999999997</v>
      </c>
    </row>
    <row r="1502" ht="25.5">
      <c r="A1502" s="19" t="s">
        <v>10460</v>
      </c>
      <c r="B1502" s="19">
        <v>2627</v>
      </c>
      <c r="C1502" s="20" t="s">
        <v>11960</v>
      </c>
      <c r="D1502" s="19" t="s">
        <v>31</v>
      </c>
      <c r="E1502" s="19" t="s">
        <v>10459</v>
      </c>
      <c r="F1502" s="21">
        <f t="shared" si="528"/>
        <v>62.82</v>
      </c>
      <c r="G1502" s="21">
        <f t="shared" si="528"/>
        <v>62.82</v>
      </c>
      <c r="H1502" s="21">
        <f t="shared" si="528"/>
        <v>62.82</v>
      </c>
      <c r="I1502" s="24" t="str">
        <f t="shared" si="529"/>
        <v xml:space="preserve">COM VALOR</v>
      </c>
      <c r="L1502" s="36">
        <v>62.82</v>
      </c>
      <c r="M1502" s="37">
        <v>62.82</v>
      </c>
      <c r="N1502" s="36">
        <v>62.82</v>
      </c>
    </row>
    <row r="1503" ht="25.5">
      <c r="A1503" s="19" t="s">
        <v>10460</v>
      </c>
      <c r="B1503" s="19">
        <v>2629</v>
      </c>
      <c r="C1503" s="20" t="s">
        <v>11961</v>
      </c>
      <c r="D1503" s="19" t="s">
        <v>31</v>
      </c>
      <c r="E1503" s="19" t="s">
        <v>10459</v>
      </c>
      <c r="F1503" s="21">
        <f t="shared" si="528"/>
        <v>84.969999999999999</v>
      </c>
      <c r="G1503" s="21">
        <f t="shared" si="528"/>
        <v>84.969999999999999</v>
      </c>
      <c r="H1503" s="21">
        <f t="shared" si="528"/>
        <v>84.969999999999999</v>
      </c>
      <c r="I1503" s="24" t="str">
        <f t="shared" si="529"/>
        <v xml:space="preserve">COM VALOR</v>
      </c>
      <c r="L1503" s="36">
        <v>84.969999999999999</v>
      </c>
      <c r="M1503" s="37">
        <v>84.969999999999999</v>
      </c>
      <c r="N1503" s="36">
        <v>84.969999999999999</v>
      </c>
    </row>
    <row r="1504" ht="25.5">
      <c r="A1504" s="19" t="s">
        <v>10460</v>
      </c>
      <c r="B1504" s="19">
        <v>1880</v>
      </c>
      <c r="C1504" s="20" t="s">
        <v>11962</v>
      </c>
      <c r="D1504" s="19" t="s">
        <v>31</v>
      </c>
      <c r="E1504" s="19" t="s">
        <v>10459</v>
      </c>
      <c r="F1504" s="21">
        <f t="shared" si="528"/>
        <v>2.3399999999999999</v>
      </c>
      <c r="G1504" s="21">
        <f t="shared" si="528"/>
        <v>2.3399999999999999</v>
      </c>
      <c r="H1504" s="21">
        <f t="shared" si="528"/>
        <v>2.3399999999999999</v>
      </c>
      <c r="I1504" s="24" t="str">
        <f t="shared" si="529"/>
        <v xml:space="preserve">COM VALOR</v>
      </c>
      <c r="L1504" s="36">
        <v>2.3399999999999999</v>
      </c>
      <c r="M1504" s="37">
        <v>2.3399999999999999</v>
      </c>
      <c r="N1504" s="36">
        <v>2.3399999999999999</v>
      </c>
    </row>
    <row r="1505" ht="25.5">
      <c r="A1505" s="19" t="s">
        <v>10460</v>
      </c>
      <c r="B1505" s="19">
        <v>39274</v>
      </c>
      <c r="C1505" s="20" t="s">
        <v>11963</v>
      </c>
      <c r="D1505" s="19" t="s">
        <v>31</v>
      </c>
      <c r="E1505" s="19" t="s">
        <v>10459</v>
      </c>
      <c r="F1505" s="21">
        <f t="shared" si="528"/>
        <v>1.8100000000000001</v>
      </c>
      <c r="G1505" s="21">
        <f t="shared" si="528"/>
        <v>1.8100000000000001</v>
      </c>
      <c r="H1505" s="21">
        <f t="shared" si="528"/>
        <v>1.8100000000000001</v>
      </c>
      <c r="I1505" s="24" t="str">
        <f t="shared" si="529"/>
        <v xml:space="preserve">COM VALOR</v>
      </c>
      <c r="L1505" s="36">
        <v>1.8100000000000001</v>
      </c>
      <c r="M1505" s="37">
        <v>1.8100000000000001</v>
      </c>
      <c r="N1505" s="36">
        <v>1.8100000000000001</v>
      </c>
    </row>
    <row r="1506" ht="25.5">
      <c r="A1506" s="19" t="s">
        <v>10460</v>
      </c>
      <c r="B1506" s="19">
        <v>12033</v>
      </c>
      <c r="C1506" s="20" t="s">
        <v>11964</v>
      </c>
      <c r="D1506" s="19" t="s">
        <v>31</v>
      </c>
      <c r="E1506" s="19" t="s">
        <v>10459</v>
      </c>
      <c r="F1506" s="21">
        <f t="shared" si="528"/>
        <v>7.4800000000000004</v>
      </c>
      <c r="G1506" s="21">
        <f t="shared" si="528"/>
        <v>7.4800000000000004</v>
      </c>
      <c r="H1506" s="21">
        <f t="shared" si="528"/>
        <v>7.4800000000000004</v>
      </c>
      <c r="I1506" s="24" t="str">
        <f t="shared" si="529"/>
        <v xml:space="preserve">COM VALOR</v>
      </c>
      <c r="L1506" s="36">
        <v>7.4800000000000004</v>
      </c>
      <c r="M1506" s="37">
        <v>7.4800000000000004</v>
      </c>
      <c r="N1506" s="36">
        <v>7.4800000000000004</v>
      </c>
    </row>
    <row r="1507" ht="25.5">
      <c r="A1507" s="19" t="s">
        <v>10460</v>
      </c>
      <c r="B1507" s="19">
        <v>40408</v>
      </c>
      <c r="C1507" s="20" t="s">
        <v>11965</v>
      </c>
      <c r="D1507" s="19" t="s">
        <v>31</v>
      </c>
      <c r="E1507" s="19" t="s">
        <v>10459</v>
      </c>
      <c r="F1507" s="21">
        <f t="shared" si="528"/>
        <v>4.9100000000000001</v>
      </c>
      <c r="G1507" s="21">
        <f t="shared" si="528"/>
        <v>4.9100000000000001</v>
      </c>
      <c r="H1507" s="21">
        <f t="shared" si="528"/>
        <v>4.9100000000000001</v>
      </c>
      <c r="I1507" s="24" t="str">
        <f t="shared" si="529"/>
        <v xml:space="preserve">COM VALOR</v>
      </c>
      <c r="L1507" s="36">
        <v>4.9100000000000001</v>
      </c>
      <c r="M1507" s="37">
        <v>4.9100000000000001</v>
      </c>
      <c r="N1507" s="36">
        <v>4.9100000000000001</v>
      </c>
    </row>
    <row r="1508" ht="25.5">
      <c r="A1508" s="19" t="s">
        <v>10460</v>
      </c>
      <c r="B1508" s="19">
        <v>39276</v>
      </c>
      <c r="C1508" s="20" t="s">
        <v>11966</v>
      </c>
      <c r="D1508" s="19" t="s">
        <v>31</v>
      </c>
      <c r="E1508" s="19" t="s">
        <v>10459</v>
      </c>
      <c r="F1508" s="21">
        <f t="shared" si="528"/>
        <v>4.4299999999999997</v>
      </c>
      <c r="G1508" s="21">
        <f t="shared" si="528"/>
        <v>4.4299999999999997</v>
      </c>
      <c r="H1508" s="21">
        <f t="shared" si="528"/>
        <v>4.4299999999999997</v>
      </c>
      <c r="I1508" s="24" t="str">
        <f t="shared" si="529"/>
        <v xml:space="preserve">COM VALOR</v>
      </c>
      <c r="L1508" s="36">
        <v>4.4299999999999997</v>
      </c>
      <c r="M1508" s="37">
        <v>4.4299999999999997</v>
      </c>
      <c r="N1508" s="36">
        <v>4.4299999999999997</v>
      </c>
    </row>
    <row r="1509" ht="25.5">
      <c r="A1509" s="19" t="s">
        <v>10460</v>
      </c>
      <c r="B1509" s="19">
        <v>40409</v>
      </c>
      <c r="C1509" s="20" t="s">
        <v>11967</v>
      </c>
      <c r="D1509" s="19" t="s">
        <v>31</v>
      </c>
      <c r="E1509" s="19" t="s">
        <v>10459</v>
      </c>
      <c r="F1509" s="21">
        <f t="shared" si="528"/>
        <v>1.74</v>
      </c>
      <c r="G1509" s="21">
        <f t="shared" si="528"/>
        <v>1.74</v>
      </c>
      <c r="H1509" s="21">
        <f t="shared" si="528"/>
        <v>1.74</v>
      </c>
      <c r="I1509" s="24" t="str">
        <f t="shared" si="529"/>
        <v xml:space="preserve">COM VALOR</v>
      </c>
      <c r="L1509" s="36">
        <v>1.74</v>
      </c>
      <c r="M1509" s="37">
        <v>1.74</v>
      </c>
      <c r="N1509" s="36">
        <v>1.74</v>
      </c>
    </row>
    <row r="1510" ht="25.5">
      <c r="A1510" s="19" t="s">
        <v>10460</v>
      </c>
      <c r="B1510" s="19">
        <v>39277</v>
      </c>
      <c r="C1510" s="20" t="s">
        <v>11968</v>
      </c>
      <c r="D1510" s="19" t="s">
        <v>31</v>
      </c>
      <c r="E1510" s="19" t="s">
        <v>10459</v>
      </c>
      <c r="F1510" s="21">
        <f t="shared" si="528"/>
        <v>11.949999999999999</v>
      </c>
      <c r="G1510" s="21">
        <f t="shared" si="528"/>
        <v>11.949999999999999</v>
      </c>
      <c r="H1510" s="21">
        <f t="shared" si="528"/>
        <v>11.949999999999999</v>
      </c>
      <c r="I1510" s="24" t="str">
        <f t="shared" si="529"/>
        <v xml:space="preserve">COM VALOR</v>
      </c>
      <c r="L1510" s="36">
        <v>11.949999999999999</v>
      </c>
      <c r="M1510" s="37">
        <v>11.949999999999999</v>
      </c>
      <c r="N1510" s="36">
        <v>11.949999999999999</v>
      </c>
    </row>
    <row r="1511" ht="25.5">
      <c r="A1511" s="19" t="s">
        <v>10460</v>
      </c>
      <c r="B1511" s="19">
        <v>12034</v>
      </c>
      <c r="C1511" s="20" t="s">
        <v>11969</v>
      </c>
      <c r="D1511" s="19" t="s">
        <v>31</v>
      </c>
      <c r="E1511" s="19" t="s">
        <v>10459</v>
      </c>
      <c r="F1511" s="21">
        <f t="shared" si="528"/>
        <v>3.3900000000000001</v>
      </c>
      <c r="G1511" s="21">
        <f t="shared" si="528"/>
        <v>3.3900000000000001</v>
      </c>
      <c r="H1511" s="21">
        <f t="shared" si="528"/>
        <v>3.3900000000000001</v>
      </c>
      <c r="I1511" s="24" t="str">
        <f t="shared" si="529"/>
        <v xml:space="preserve">COM VALOR</v>
      </c>
      <c r="L1511" s="36">
        <v>3.3900000000000001</v>
      </c>
      <c r="M1511" s="37">
        <v>3.3900000000000001</v>
      </c>
      <c r="N1511" s="36">
        <v>3.3900000000000001</v>
      </c>
    </row>
    <row r="1512" ht="25.5">
      <c r="A1512" s="19" t="s">
        <v>10460</v>
      </c>
      <c r="B1512" s="19">
        <v>39879</v>
      </c>
      <c r="C1512" s="20" t="s">
        <v>11970</v>
      </c>
      <c r="D1512" s="19" t="s">
        <v>31</v>
      </c>
      <c r="E1512" s="19" t="s">
        <v>10459</v>
      </c>
      <c r="F1512" s="21" t="str">
        <f t="shared" si="528"/>
        <v>VERIFICAR</v>
      </c>
      <c r="G1512" s="21" t="str">
        <f t="shared" si="528"/>
        <v>VERIFICAR</v>
      </c>
      <c r="H1512" s="21" t="str">
        <f t="shared" si="528"/>
        <v>VERIFICAR</v>
      </c>
      <c r="I1512" s="24" t="str">
        <f t="shared" si="529"/>
        <v xml:space="preserve">SEM VALOR</v>
      </c>
      <c r="L1512" s="36"/>
      <c r="M1512" s="37"/>
      <c r="N1512" s="36"/>
    </row>
    <row r="1513" ht="25.5">
      <c r="A1513" s="19" t="s">
        <v>10460</v>
      </c>
      <c r="B1513" s="19">
        <v>39880</v>
      </c>
      <c r="C1513" s="20" t="s">
        <v>11971</v>
      </c>
      <c r="D1513" s="19" t="s">
        <v>31</v>
      </c>
      <c r="E1513" s="19" t="s">
        <v>10459</v>
      </c>
      <c r="F1513" s="21" t="str">
        <f t="shared" si="528"/>
        <v>VERIFICAR</v>
      </c>
      <c r="G1513" s="21" t="str">
        <f t="shared" si="528"/>
        <v>VERIFICAR</v>
      </c>
      <c r="H1513" s="21" t="str">
        <f t="shared" si="528"/>
        <v>VERIFICAR</v>
      </c>
      <c r="I1513" s="24" t="str">
        <f t="shared" si="529"/>
        <v xml:space="preserve">SEM VALOR</v>
      </c>
      <c r="L1513" s="36"/>
      <c r="M1513" s="37"/>
      <c r="N1513" s="36"/>
    </row>
    <row r="1514" ht="25.5">
      <c r="A1514" s="19" t="s">
        <v>10460</v>
      </c>
      <c r="B1514" s="19">
        <v>39881</v>
      </c>
      <c r="C1514" s="20" t="s">
        <v>11972</v>
      </c>
      <c r="D1514" s="19" t="s">
        <v>31</v>
      </c>
      <c r="E1514" s="19" t="s">
        <v>10459</v>
      </c>
      <c r="F1514" s="21" t="str">
        <f t="shared" si="528"/>
        <v>VERIFICAR</v>
      </c>
      <c r="G1514" s="21" t="str">
        <f t="shared" si="528"/>
        <v>VERIFICAR</v>
      </c>
      <c r="H1514" s="21" t="str">
        <f t="shared" si="528"/>
        <v>VERIFICAR</v>
      </c>
      <c r="I1514" s="24" t="str">
        <f t="shared" si="529"/>
        <v xml:space="preserve">SEM VALOR</v>
      </c>
      <c r="L1514" s="36"/>
      <c r="M1514" s="37"/>
      <c r="N1514" s="36"/>
    </row>
    <row r="1515" ht="25.5">
      <c r="A1515" s="19" t="s">
        <v>10460</v>
      </c>
      <c r="B1515" s="19">
        <v>39882</v>
      </c>
      <c r="C1515" s="20" t="s">
        <v>11973</v>
      </c>
      <c r="D1515" s="19" t="s">
        <v>31</v>
      </c>
      <c r="E1515" s="19" t="s">
        <v>10459</v>
      </c>
      <c r="F1515" s="21" t="str">
        <f t="shared" si="528"/>
        <v>VERIFICAR</v>
      </c>
      <c r="G1515" s="21" t="str">
        <f t="shared" si="528"/>
        <v>VERIFICAR</v>
      </c>
      <c r="H1515" s="21" t="str">
        <f t="shared" si="528"/>
        <v>VERIFICAR</v>
      </c>
      <c r="I1515" s="24" t="str">
        <f t="shared" si="529"/>
        <v xml:space="preserve">SEM VALOR</v>
      </c>
      <c r="L1515" s="36"/>
      <c r="M1515" s="37"/>
      <c r="N1515" s="36"/>
    </row>
    <row r="1516" ht="25.5">
      <c r="A1516" s="19" t="s">
        <v>10460</v>
      </c>
      <c r="B1516" s="19">
        <v>39883</v>
      </c>
      <c r="C1516" s="20" t="s">
        <v>11974</v>
      </c>
      <c r="D1516" s="19" t="s">
        <v>31</v>
      </c>
      <c r="E1516" s="19" t="s">
        <v>10459</v>
      </c>
      <c r="F1516" s="21" t="str">
        <f t="shared" si="528"/>
        <v>VERIFICAR</v>
      </c>
      <c r="G1516" s="21" t="str">
        <f t="shared" si="528"/>
        <v>VERIFICAR</v>
      </c>
      <c r="H1516" s="21" t="str">
        <f t="shared" si="528"/>
        <v>VERIFICAR</v>
      </c>
      <c r="I1516" s="24" t="str">
        <f t="shared" si="529"/>
        <v xml:space="preserve">SEM VALOR</v>
      </c>
      <c r="L1516" s="36"/>
      <c r="M1516" s="37"/>
      <c r="N1516" s="36"/>
    </row>
    <row r="1517" ht="25.5">
      <c r="A1517" s="19" t="s">
        <v>10460</v>
      </c>
      <c r="B1517" s="19">
        <v>39884</v>
      </c>
      <c r="C1517" s="20" t="s">
        <v>11975</v>
      </c>
      <c r="D1517" s="19" t="s">
        <v>31</v>
      </c>
      <c r="E1517" s="19" t="s">
        <v>10459</v>
      </c>
      <c r="F1517" s="21" t="str">
        <f t="shared" si="528"/>
        <v>VERIFICAR</v>
      </c>
      <c r="G1517" s="21" t="str">
        <f t="shared" si="528"/>
        <v>VERIFICAR</v>
      </c>
      <c r="H1517" s="21" t="str">
        <f t="shared" si="528"/>
        <v>VERIFICAR</v>
      </c>
      <c r="I1517" s="24" t="str">
        <f t="shared" si="529"/>
        <v xml:space="preserve">SEM VALOR</v>
      </c>
      <c r="L1517" s="36"/>
      <c r="M1517" s="37"/>
      <c r="N1517" s="36"/>
    </row>
    <row r="1518" ht="25.5">
      <c r="A1518" s="19" t="s">
        <v>10460</v>
      </c>
      <c r="B1518" s="19">
        <v>39885</v>
      </c>
      <c r="C1518" s="20" t="s">
        <v>11976</v>
      </c>
      <c r="D1518" s="19" t="s">
        <v>31</v>
      </c>
      <c r="E1518" s="19" t="s">
        <v>10459</v>
      </c>
      <c r="F1518" s="21" t="str">
        <f t="shared" si="528"/>
        <v>VERIFICAR</v>
      </c>
      <c r="G1518" s="21" t="str">
        <f t="shared" si="528"/>
        <v>VERIFICAR</v>
      </c>
      <c r="H1518" s="21" t="str">
        <f t="shared" si="528"/>
        <v>VERIFICAR</v>
      </c>
      <c r="I1518" s="24" t="str">
        <f t="shared" si="529"/>
        <v xml:space="preserve">SEM VALOR</v>
      </c>
      <c r="L1518" s="36"/>
      <c r="M1518" s="37"/>
      <c r="N1518" s="36"/>
    </row>
    <row r="1519" ht="25.5">
      <c r="A1519" s="19" t="s">
        <v>10460</v>
      </c>
      <c r="B1519" s="19">
        <v>1777</v>
      </c>
      <c r="C1519" s="20" t="s">
        <v>11977</v>
      </c>
      <c r="D1519" s="19" t="s">
        <v>31</v>
      </c>
      <c r="E1519" s="19" t="s">
        <v>10459</v>
      </c>
      <c r="F1519" s="21">
        <f t="shared" si="528"/>
        <v>92.890000000000001</v>
      </c>
      <c r="G1519" s="21">
        <f t="shared" si="528"/>
        <v>92.890000000000001</v>
      </c>
      <c r="H1519" s="21">
        <f t="shared" si="528"/>
        <v>92.890000000000001</v>
      </c>
      <c r="I1519" s="24" t="str">
        <f t="shared" si="529"/>
        <v xml:space="preserve">COM VALOR</v>
      </c>
      <c r="L1519" s="36">
        <v>92.890000000000001</v>
      </c>
      <c r="M1519" s="37">
        <v>92.890000000000001</v>
      </c>
      <c r="N1519" s="36">
        <v>92.890000000000001</v>
      </c>
    </row>
    <row r="1520" ht="25.5">
      <c r="A1520" s="19" t="s">
        <v>10460</v>
      </c>
      <c r="B1520" s="19">
        <v>1819</v>
      </c>
      <c r="C1520" s="20" t="s">
        <v>11978</v>
      </c>
      <c r="D1520" s="19" t="s">
        <v>31</v>
      </c>
      <c r="E1520" s="19" t="s">
        <v>10459</v>
      </c>
      <c r="F1520" s="21">
        <f t="shared" si="528"/>
        <v>67.579999999999998</v>
      </c>
      <c r="G1520" s="21">
        <f t="shared" si="528"/>
        <v>67.579999999999998</v>
      </c>
      <c r="H1520" s="21">
        <f t="shared" si="528"/>
        <v>67.579999999999998</v>
      </c>
      <c r="I1520" s="24" t="str">
        <f t="shared" si="529"/>
        <v xml:space="preserve">COM VALOR</v>
      </c>
      <c r="L1520" s="36">
        <v>67.579999999999998</v>
      </c>
      <c r="M1520" s="37">
        <v>67.579999999999998</v>
      </c>
      <c r="N1520" s="36">
        <v>67.579999999999998</v>
      </c>
    </row>
    <row r="1521" ht="25.5">
      <c r="A1521" s="19" t="s">
        <v>10460</v>
      </c>
      <c r="B1521" s="19">
        <v>1776</v>
      </c>
      <c r="C1521" s="20" t="s">
        <v>11979</v>
      </c>
      <c r="D1521" s="19" t="s">
        <v>31</v>
      </c>
      <c r="E1521" s="19" t="s">
        <v>10459</v>
      </c>
      <c r="F1521" s="21">
        <f t="shared" si="528"/>
        <v>54.979999999999997</v>
      </c>
      <c r="G1521" s="21">
        <f t="shared" si="528"/>
        <v>54.979999999999997</v>
      </c>
      <c r="H1521" s="21">
        <f t="shared" si="528"/>
        <v>54.979999999999997</v>
      </c>
      <c r="I1521" s="24" t="str">
        <f t="shared" si="529"/>
        <v xml:space="preserve">COM VALOR</v>
      </c>
      <c r="L1521" s="36">
        <v>54.979999999999997</v>
      </c>
      <c r="M1521" s="37">
        <v>54.979999999999997</v>
      </c>
      <c r="N1521" s="36">
        <v>54.979999999999997</v>
      </c>
    </row>
    <row r="1522" ht="25.5">
      <c r="A1522" s="19" t="s">
        <v>10460</v>
      </c>
      <c r="B1522" s="19">
        <v>1775</v>
      </c>
      <c r="C1522" s="20" t="s">
        <v>11980</v>
      </c>
      <c r="D1522" s="19" t="s">
        <v>31</v>
      </c>
      <c r="E1522" s="19" t="s">
        <v>10459</v>
      </c>
      <c r="F1522" s="21">
        <f t="shared" si="528"/>
        <v>20.210000000000001</v>
      </c>
      <c r="G1522" s="21">
        <f t="shared" si="528"/>
        <v>20.210000000000001</v>
      </c>
      <c r="H1522" s="21">
        <f t="shared" si="528"/>
        <v>20.210000000000001</v>
      </c>
      <c r="I1522" s="24" t="str">
        <f t="shared" si="529"/>
        <v xml:space="preserve">COM VALOR</v>
      </c>
      <c r="L1522" s="36">
        <v>20.210000000000001</v>
      </c>
      <c r="M1522" s="37">
        <v>20.210000000000001</v>
      </c>
      <c r="N1522" s="36">
        <v>20.210000000000001</v>
      </c>
    </row>
    <row r="1523" ht="25.5">
      <c r="A1523" s="19" t="s">
        <v>10460</v>
      </c>
      <c r="B1523" s="19">
        <v>1778</v>
      </c>
      <c r="C1523" s="20" t="s">
        <v>11981</v>
      </c>
      <c r="D1523" s="19" t="s">
        <v>31</v>
      </c>
      <c r="E1523" s="19" t="s">
        <v>10459</v>
      </c>
      <c r="F1523" s="21">
        <f t="shared" si="528"/>
        <v>224.84</v>
      </c>
      <c r="G1523" s="21">
        <f t="shared" si="528"/>
        <v>224.84</v>
      </c>
      <c r="H1523" s="21">
        <f t="shared" si="528"/>
        <v>224.84</v>
      </c>
      <c r="I1523" s="24" t="str">
        <f t="shared" si="529"/>
        <v xml:space="preserve">COM VALOR</v>
      </c>
      <c r="L1523" s="36">
        <v>224.84</v>
      </c>
      <c r="M1523" s="37">
        <v>224.84</v>
      </c>
      <c r="N1523" s="36">
        <v>224.84</v>
      </c>
    </row>
    <row r="1524" ht="25.5">
      <c r="A1524" s="19" t="s">
        <v>10460</v>
      </c>
      <c r="B1524" s="19">
        <v>1818</v>
      </c>
      <c r="C1524" s="20" t="s">
        <v>11982</v>
      </c>
      <c r="D1524" s="19" t="s">
        <v>31</v>
      </c>
      <c r="E1524" s="19" t="s">
        <v>10459</v>
      </c>
      <c r="F1524" s="21">
        <f t="shared" si="528"/>
        <v>149.25</v>
      </c>
      <c r="G1524" s="21">
        <f t="shared" si="528"/>
        <v>149.25</v>
      </c>
      <c r="H1524" s="21">
        <f t="shared" si="528"/>
        <v>149.25</v>
      </c>
      <c r="I1524" s="24" t="str">
        <f t="shared" si="529"/>
        <v xml:space="preserve">COM VALOR</v>
      </c>
      <c r="L1524" s="36">
        <v>149.25</v>
      </c>
      <c r="M1524" s="37">
        <v>149.25</v>
      </c>
      <c r="N1524" s="36">
        <v>149.25</v>
      </c>
    </row>
    <row r="1525" ht="25.5">
      <c r="A1525" s="19" t="s">
        <v>10460</v>
      </c>
      <c r="B1525" s="19">
        <v>1779</v>
      </c>
      <c r="C1525" s="20" t="s">
        <v>11983</v>
      </c>
      <c r="D1525" s="19" t="s">
        <v>31</v>
      </c>
      <c r="E1525" s="19" t="s">
        <v>10459</v>
      </c>
      <c r="F1525" s="21">
        <f t="shared" si="528"/>
        <v>326.99000000000001</v>
      </c>
      <c r="G1525" s="21">
        <f t="shared" si="528"/>
        <v>326.99000000000001</v>
      </c>
      <c r="H1525" s="21">
        <f t="shared" si="528"/>
        <v>326.99000000000001</v>
      </c>
      <c r="I1525" s="24" t="str">
        <f t="shared" si="529"/>
        <v xml:space="preserve">COM VALOR</v>
      </c>
      <c r="L1525" s="36">
        <v>326.99000000000001</v>
      </c>
      <c r="M1525" s="37">
        <v>326.99000000000001</v>
      </c>
      <c r="N1525" s="36">
        <v>326.99000000000001</v>
      </c>
    </row>
    <row r="1526" ht="25.5">
      <c r="A1526" s="19" t="s">
        <v>10460</v>
      </c>
      <c r="B1526" s="19">
        <v>1820</v>
      </c>
      <c r="C1526" s="20" t="s">
        <v>11984</v>
      </c>
      <c r="D1526" s="19" t="s">
        <v>31</v>
      </c>
      <c r="E1526" s="19" t="s">
        <v>10459</v>
      </c>
      <c r="F1526" s="21">
        <f t="shared" si="528"/>
        <v>29.18</v>
      </c>
      <c r="G1526" s="21">
        <f t="shared" si="528"/>
        <v>29.18</v>
      </c>
      <c r="H1526" s="21">
        <f t="shared" si="528"/>
        <v>29.18</v>
      </c>
      <c r="I1526" s="24" t="str">
        <f t="shared" si="529"/>
        <v xml:space="preserve">COM VALOR</v>
      </c>
      <c r="L1526" s="36">
        <v>29.18</v>
      </c>
      <c r="M1526" s="37">
        <v>29.18</v>
      </c>
      <c r="N1526" s="36">
        <v>29.18</v>
      </c>
    </row>
    <row r="1527" ht="25.5">
      <c r="A1527" s="19" t="s">
        <v>10460</v>
      </c>
      <c r="B1527" s="19">
        <v>1780</v>
      </c>
      <c r="C1527" s="20" t="s">
        <v>11985</v>
      </c>
      <c r="D1527" s="19" t="s">
        <v>31</v>
      </c>
      <c r="E1527" s="19" t="s">
        <v>10459</v>
      </c>
      <c r="F1527" s="21">
        <f t="shared" si="528"/>
        <v>674.11000000000001</v>
      </c>
      <c r="G1527" s="21">
        <f t="shared" si="528"/>
        <v>674.11000000000001</v>
      </c>
      <c r="H1527" s="21">
        <f t="shared" si="528"/>
        <v>674.11000000000001</v>
      </c>
      <c r="I1527" s="24" t="str">
        <f t="shared" si="529"/>
        <v xml:space="preserve">COM VALOR</v>
      </c>
      <c r="L1527" s="36">
        <v>674.11000000000001</v>
      </c>
      <c r="M1527" s="37">
        <v>674.11000000000001</v>
      </c>
      <c r="N1527" s="36">
        <v>674.11000000000001</v>
      </c>
    </row>
    <row r="1528" ht="25.5">
      <c r="A1528" s="19" t="s">
        <v>10460</v>
      </c>
      <c r="B1528" s="19">
        <v>1783</v>
      </c>
      <c r="C1528" s="20" t="s">
        <v>11986</v>
      </c>
      <c r="D1528" s="19" t="s">
        <v>31</v>
      </c>
      <c r="E1528" s="19" t="s">
        <v>10459</v>
      </c>
      <c r="F1528" s="21">
        <f t="shared" si="528"/>
        <v>71.269999999999996</v>
      </c>
      <c r="G1528" s="21">
        <f t="shared" si="528"/>
        <v>71.269999999999996</v>
      </c>
      <c r="H1528" s="21">
        <f t="shared" si="528"/>
        <v>71.269999999999996</v>
      </c>
      <c r="I1528" s="24" t="str">
        <f t="shared" si="529"/>
        <v xml:space="preserve">COM VALOR</v>
      </c>
      <c r="L1528" s="36">
        <v>71.269999999999996</v>
      </c>
      <c r="M1528" s="37">
        <v>71.269999999999996</v>
      </c>
      <c r="N1528" s="36">
        <v>71.269999999999996</v>
      </c>
    </row>
    <row r="1529" ht="25.5">
      <c r="A1529" s="19" t="s">
        <v>10460</v>
      </c>
      <c r="B1529" s="19">
        <v>1782</v>
      </c>
      <c r="C1529" s="20" t="s">
        <v>11987</v>
      </c>
      <c r="D1529" s="19" t="s">
        <v>31</v>
      </c>
      <c r="E1529" s="19" t="s">
        <v>10459</v>
      </c>
      <c r="F1529" s="21">
        <f t="shared" si="528"/>
        <v>56.350000000000001</v>
      </c>
      <c r="G1529" s="21">
        <f t="shared" si="528"/>
        <v>56.350000000000001</v>
      </c>
      <c r="H1529" s="21">
        <f t="shared" si="528"/>
        <v>56.350000000000001</v>
      </c>
      <c r="I1529" s="24" t="str">
        <f t="shared" si="529"/>
        <v xml:space="preserve">COM VALOR</v>
      </c>
      <c r="L1529" s="36">
        <v>56.350000000000001</v>
      </c>
      <c r="M1529" s="37">
        <v>56.350000000000001</v>
      </c>
      <c r="N1529" s="36">
        <v>56.350000000000001</v>
      </c>
    </row>
    <row r="1530" ht="25.5">
      <c r="A1530" s="19" t="s">
        <v>10460</v>
      </c>
      <c r="B1530" s="19">
        <v>1781</v>
      </c>
      <c r="C1530" s="20" t="s">
        <v>11988</v>
      </c>
      <c r="D1530" s="19" t="s">
        <v>31</v>
      </c>
      <c r="E1530" s="19" t="s">
        <v>10459</v>
      </c>
      <c r="F1530" s="21">
        <f t="shared" si="528"/>
        <v>36.719999999999999</v>
      </c>
      <c r="G1530" s="21">
        <f t="shared" si="528"/>
        <v>36.719999999999999</v>
      </c>
      <c r="H1530" s="21">
        <f t="shared" si="528"/>
        <v>36.719999999999999</v>
      </c>
      <c r="I1530" s="24" t="str">
        <f t="shared" si="529"/>
        <v xml:space="preserve">COM VALOR</v>
      </c>
      <c r="L1530" s="36">
        <v>36.719999999999999</v>
      </c>
      <c r="M1530" s="37">
        <v>36.719999999999999</v>
      </c>
      <c r="N1530" s="36">
        <v>36.719999999999999</v>
      </c>
    </row>
    <row r="1531" ht="25.5">
      <c r="A1531" s="19" t="s">
        <v>10460</v>
      </c>
      <c r="B1531" s="19">
        <v>1817</v>
      </c>
      <c r="C1531" s="20" t="s">
        <v>11989</v>
      </c>
      <c r="D1531" s="19" t="s">
        <v>31</v>
      </c>
      <c r="E1531" s="19" t="s">
        <v>10459</v>
      </c>
      <c r="F1531" s="21">
        <f t="shared" si="528"/>
        <v>16.789999999999999</v>
      </c>
      <c r="G1531" s="21">
        <f t="shared" si="528"/>
        <v>16.789999999999999</v>
      </c>
      <c r="H1531" s="21">
        <f t="shared" si="528"/>
        <v>16.789999999999999</v>
      </c>
      <c r="I1531" s="24" t="str">
        <f t="shared" si="529"/>
        <v xml:space="preserve">COM VALOR</v>
      </c>
      <c r="L1531" s="36">
        <v>16.789999999999999</v>
      </c>
      <c r="M1531" s="37">
        <v>16.789999999999999</v>
      </c>
      <c r="N1531" s="36">
        <v>16.789999999999999</v>
      </c>
    </row>
    <row r="1532" ht="25.5">
      <c r="A1532" s="19" t="s">
        <v>10460</v>
      </c>
      <c r="B1532" s="19">
        <v>1784</v>
      </c>
      <c r="C1532" s="20" t="s">
        <v>11990</v>
      </c>
      <c r="D1532" s="19" t="s">
        <v>31</v>
      </c>
      <c r="E1532" s="19" t="s">
        <v>10459</v>
      </c>
      <c r="F1532" s="21">
        <f t="shared" si="528"/>
        <v>201.25999999999999</v>
      </c>
      <c r="G1532" s="21">
        <f t="shared" si="528"/>
        <v>201.25999999999999</v>
      </c>
      <c r="H1532" s="21">
        <f t="shared" si="528"/>
        <v>201.25999999999999</v>
      </c>
      <c r="I1532" s="24" t="str">
        <f t="shared" si="529"/>
        <v xml:space="preserve">COM VALOR</v>
      </c>
      <c r="L1532" s="36">
        <v>201.25999999999999</v>
      </c>
      <c r="M1532" s="37">
        <v>201.25999999999999</v>
      </c>
      <c r="N1532" s="36">
        <v>201.25999999999999</v>
      </c>
    </row>
    <row r="1533" ht="25.5">
      <c r="A1533" s="19" t="s">
        <v>10460</v>
      </c>
      <c r="B1533" s="19">
        <v>1810</v>
      </c>
      <c r="C1533" s="20" t="s">
        <v>11991</v>
      </c>
      <c r="D1533" s="19" t="s">
        <v>31</v>
      </c>
      <c r="E1533" s="19" t="s">
        <v>10459</v>
      </c>
      <c r="F1533" s="21">
        <f t="shared" si="528"/>
        <v>111.63</v>
      </c>
      <c r="G1533" s="21">
        <f t="shared" si="528"/>
        <v>111.63</v>
      </c>
      <c r="H1533" s="21">
        <f t="shared" si="528"/>
        <v>111.63</v>
      </c>
      <c r="I1533" s="24" t="str">
        <f t="shared" si="529"/>
        <v xml:space="preserve">COM VALOR</v>
      </c>
      <c r="L1533" s="36">
        <v>111.63</v>
      </c>
      <c r="M1533" s="37">
        <v>111.63</v>
      </c>
      <c r="N1533" s="36">
        <v>111.63</v>
      </c>
    </row>
    <row r="1534" ht="25.5">
      <c r="A1534" s="19" t="s">
        <v>10460</v>
      </c>
      <c r="B1534" s="19">
        <v>1812</v>
      </c>
      <c r="C1534" s="20" t="s">
        <v>11992</v>
      </c>
      <c r="D1534" s="19" t="s">
        <v>31</v>
      </c>
      <c r="E1534" s="19" t="s">
        <v>10459</v>
      </c>
      <c r="F1534" s="21">
        <f t="shared" si="528"/>
        <v>281.80000000000001</v>
      </c>
      <c r="G1534" s="21">
        <f t="shared" si="528"/>
        <v>281.80000000000001</v>
      </c>
      <c r="H1534" s="21">
        <f t="shared" si="528"/>
        <v>281.80000000000001</v>
      </c>
      <c r="I1534" s="24" t="str">
        <f t="shared" si="529"/>
        <v xml:space="preserve">COM VALOR</v>
      </c>
      <c r="L1534" s="36">
        <v>281.80000000000001</v>
      </c>
      <c r="M1534" s="37">
        <v>281.80000000000001</v>
      </c>
      <c r="N1534" s="36">
        <v>281.80000000000001</v>
      </c>
    </row>
    <row r="1535" ht="25.5">
      <c r="A1535" s="19" t="s">
        <v>10460</v>
      </c>
      <c r="B1535" s="19">
        <v>1811</v>
      </c>
      <c r="C1535" s="20" t="s">
        <v>11993</v>
      </c>
      <c r="D1535" s="19" t="s">
        <v>31</v>
      </c>
      <c r="E1535" s="19" t="s">
        <v>10459</v>
      </c>
      <c r="F1535" s="21">
        <f t="shared" si="528"/>
        <v>24.149999999999999</v>
      </c>
      <c r="G1535" s="21">
        <f t="shared" si="528"/>
        <v>24.149999999999999</v>
      </c>
      <c r="H1535" s="21">
        <f t="shared" si="528"/>
        <v>24.149999999999999</v>
      </c>
      <c r="I1535" s="24" t="str">
        <f t="shared" si="529"/>
        <v xml:space="preserve">COM VALOR</v>
      </c>
      <c r="L1535" s="36">
        <v>24.149999999999999</v>
      </c>
      <c r="M1535" s="37">
        <v>24.149999999999999</v>
      </c>
      <c r="N1535" s="36">
        <v>24.149999999999999</v>
      </c>
    </row>
    <row r="1536" ht="25.5">
      <c r="A1536" s="19" t="s">
        <v>10460</v>
      </c>
      <c r="B1536" s="19">
        <v>40386</v>
      </c>
      <c r="C1536" s="20" t="s">
        <v>11994</v>
      </c>
      <c r="D1536" s="19" t="s">
        <v>31</v>
      </c>
      <c r="E1536" s="19" t="s">
        <v>10459</v>
      </c>
      <c r="F1536" s="21" t="str">
        <f t="shared" si="528"/>
        <v>VERIFICAR</v>
      </c>
      <c r="G1536" s="21" t="str">
        <f t="shared" si="528"/>
        <v>VERIFICAR</v>
      </c>
      <c r="H1536" s="21" t="str">
        <f t="shared" si="528"/>
        <v>VERIFICAR</v>
      </c>
      <c r="I1536" s="24" t="str">
        <f t="shared" si="529"/>
        <v xml:space="preserve">SEM VALOR</v>
      </c>
      <c r="L1536" s="36"/>
      <c r="M1536" s="37"/>
      <c r="N1536" s="36"/>
    </row>
    <row r="1537" ht="25.5">
      <c r="A1537" s="19" t="s">
        <v>10460</v>
      </c>
      <c r="B1537" s="19">
        <v>40384</v>
      </c>
      <c r="C1537" s="20" t="s">
        <v>11995</v>
      </c>
      <c r="D1537" s="19" t="s">
        <v>31</v>
      </c>
      <c r="E1537" s="19" t="s">
        <v>10459</v>
      </c>
      <c r="F1537" s="21" t="str">
        <f t="shared" si="528"/>
        <v>VERIFICAR</v>
      </c>
      <c r="G1537" s="21" t="str">
        <f t="shared" si="528"/>
        <v>VERIFICAR</v>
      </c>
      <c r="H1537" s="21" t="str">
        <f t="shared" si="528"/>
        <v>VERIFICAR</v>
      </c>
      <c r="I1537" s="24" t="str">
        <f t="shared" si="529"/>
        <v xml:space="preserve">SEM VALOR</v>
      </c>
      <c r="L1537" s="36"/>
      <c r="M1537" s="37"/>
      <c r="N1537" s="36"/>
    </row>
    <row r="1538" ht="25.5">
      <c r="A1538" s="19" t="s">
        <v>10460</v>
      </c>
      <c r="B1538" s="19">
        <v>40423</v>
      </c>
      <c r="C1538" s="20" t="s">
        <v>11996</v>
      </c>
      <c r="D1538" s="19" t="s">
        <v>31</v>
      </c>
      <c r="E1538" s="19" t="s">
        <v>10459</v>
      </c>
      <c r="F1538" s="21" t="str">
        <f t="shared" si="528"/>
        <v>VERIFICAR</v>
      </c>
      <c r="G1538" s="21" t="str">
        <f t="shared" si="528"/>
        <v>VERIFICAR</v>
      </c>
      <c r="H1538" s="21" t="str">
        <f t="shared" si="528"/>
        <v>VERIFICAR</v>
      </c>
      <c r="I1538" s="24" t="str">
        <f t="shared" si="529"/>
        <v xml:space="preserve">SEM VALOR</v>
      </c>
      <c r="L1538" s="36"/>
      <c r="M1538" s="37"/>
      <c r="N1538" s="36"/>
    </row>
    <row r="1539" ht="25.5">
      <c r="A1539" s="19" t="s">
        <v>10460</v>
      </c>
      <c r="B1539" s="19">
        <v>40379</v>
      </c>
      <c r="C1539" s="20" t="s">
        <v>11997</v>
      </c>
      <c r="D1539" s="19" t="s">
        <v>31</v>
      </c>
      <c r="E1539" s="19" t="s">
        <v>10459</v>
      </c>
      <c r="F1539" s="21" t="str">
        <f t="shared" si="528"/>
        <v>VERIFICAR</v>
      </c>
      <c r="G1539" s="21" t="str">
        <f t="shared" si="528"/>
        <v>VERIFICAR</v>
      </c>
      <c r="H1539" s="21" t="str">
        <f t="shared" si="528"/>
        <v>VERIFICAR</v>
      </c>
      <c r="I1539" s="24" t="str">
        <f t="shared" si="529"/>
        <v xml:space="preserve">SEM VALOR</v>
      </c>
      <c r="L1539" s="36"/>
      <c r="M1539" s="37"/>
      <c r="N1539" s="36"/>
    </row>
    <row r="1540" ht="25.5">
      <c r="A1540" s="19" t="s">
        <v>10460</v>
      </c>
      <c r="B1540" s="19">
        <v>40389</v>
      </c>
      <c r="C1540" s="20" t="s">
        <v>11998</v>
      </c>
      <c r="D1540" s="19" t="s">
        <v>31</v>
      </c>
      <c r="E1540" s="19" t="s">
        <v>10459</v>
      </c>
      <c r="F1540" s="21" t="str">
        <f t="shared" si="528"/>
        <v>VERIFICAR</v>
      </c>
      <c r="G1540" s="21" t="str">
        <f t="shared" si="528"/>
        <v>VERIFICAR</v>
      </c>
      <c r="H1540" s="21" t="str">
        <f t="shared" si="528"/>
        <v>VERIFICAR</v>
      </c>
      <c r="I1540" s="24" t="str">
        <f t="shared" si="529"/>
        <v xml:space="preserve">SEM VALOR</v>
      </c>
      <c r="L1540" s="36"/>
      <c r="M1540" s="37"/>
      <c r="N1540" s="36"/>
    </row>
    <row r="1541" ht="25.5">
      <c r="A1541" s="19" t="s">
        <v>10460</v>
      </c>
      <c r="B1541" s="19">
        <v>40388</v>
      </c>
      <c r="C1541" s="20" t="s">
        <v>11999</v>
      </c>
      <c r="D1541" s="19" t="s">
        <v>31</v>
      </c>
      <c r="E1541" s="19" t="s">
        <v>10459</v>
      </c>
      <c r="F1541" s="21" t="str">
        <f t="shared" si="528"/>
        <v>VERIFICAR</v>
      </c>
      <c r="G1541" s="21" t="str">
        <f t="shared" si="528"/>
        <v>VERIFICAR</v>
      </c>
      <c r="H1541" s="21" t="str">
        <f t="shared" si="528"/>
        <v>VERIFICAR</v>
      </c>
      <c r="I1541" s="24" t="str">
        <f t="shared" si="529"/>
        <v xml:space="preserve">SEM VALOR</v>
      </c>
      <c r="L1541" s="36"/>
      <c r="M1541" s="37"/>
      <c r="N1541" s="36"/>
    </row>
    <row r="1542" ht="25.5">
      <c r="A1542" s="19" t="s">
        <v>10460</v>
      </c>
      <c r="B1542" s="19">
        <v>40391</v>
      </c>
      <c r="C1542" s="20" t="s">
        <v>12000</v>
      </c>
      <c r="D1542" s="19" t="s">
        <v>31</v>
      </c>
      <c r="E1542" s="19" t="s">
        <v>10459</v>
      </c>
      <c r="F1542" s="21" t="str">
        <f t="shared" si="528"/>
        <v>VERIFICAR</v>
      </c>
      <c r="G1542" s="21" t="str">
        <f t="shared" si="528"/>
        <v>VERIFICAR</v>
      </c>
      <c r="H1542" s="21" t="str">
        <f t="shared" si="528"/>
        <v>VERIFICAR</v>
      </c>
      <c r="I1542" s="24" t="str">
        <f t="shared" si="529"/>
        <v xml:space="preserve">SEM VALOR</v>
      </c>
      <c r="L1542" s="36"/>
      <c r="M1542" s="37"/>
      <c r="N1542" s="36"/>
    </row>
    <row r="1543" ht="25.5">
      <c r="A1543" s="19" t="s">
        <v>10460</v>
      </c>
      <c r="B1543" s="19">
        <v>40381</v>
      </c>
      <c r="C1543" s="20" t="s">
        <v>12001</v>
      </c>
      <c r="D1543" s="19" t="s">
        <v>31</v>
      </c>
      <c r="E1543" s="19" t="s">
        <v>10459</v>
      </c>
      <c r="F1543" s="21" t="str">
        <f t="shared" si="528"/>
        <v>VERIFICAR</v>
      </c>
      <c r="G1543" s="21" t="str">
        <f t="shared" si="528"/>
        <v>VERIFICAR</v>
      </c>
      <c r="H1543" s="21" t="str">
        <f t="shared" si="528"/>
        <v>VERIFICAR</v>
      </c>
      <c r="I1543" s="24" t="str">
        <f t="shared" si="529"/>
        <v xml:space="preserve">SEM VALOR</v>
      </c>
      <c r="L1543" s="36"/>
      <c r="M1543" s="37"/>
      <c r="N1543" s="36"/>
    </row>
    <row r="1544" ht="38.25">
      <c r="A1544" s="19" t="s">
        <v>10460</v>
      </c>
      <c r="B1544" s="19">
        <v>2609</v>
      </c>
      <c r="C1544" s="20" t="s">
        <v>12002</v>
      </c>
      <c r="D1544" s="19" t="s">
        <v>31</v>
      </c>
      <c r="E1544" s="19" t="s">
        <v>10459</v>
      </c>
      <c r="F1544" s="21">
        <f t="shared" si="528"/>
        <v>3.7200000000000002</v>
      </c>
      <c r="G1544" s="21">
        <f t="shared" si="528"/>
        <v>3.7200000000000002</v>
      </c>
      <c r="H1544" s="21">
        <f t="shared" si="528"/>
        <v>3.7200000000000002</v>
      </c>
      <c r="I1544" s="24" t="str">
        <f t="shared" si="529"/>
        <v xml:space="preserve">COM VALOR</v>
      </c>
      <c r="L1544" s="36">
        <v>3.7200000000000002</v>
      </c>
      <c r="M1544" s="37">
        <v>3.7200000000000002</v>
      </c>
      <c r="N1544" s="36">
        <v>3.7200000000000002</v>
      </c>
    </row>
    <row r="1545" ht="38.25">
      <c r="A1545" s="19" t="s">
        <v>10460</v>
      </c>
      <c r="B1545" s="19">
        <v>2634</v>
      </c>
      <c r="C1545" s="20" t="s">
        <v>12003</v>
      </c>
      <c r="D1545" s="19" t="s">
        <v>31</v>
      </c>
      <c r="E1545" s="19" t="s">
        <v>10459</v>
      </c>
      <c r="F1545" s="21">
        <f t="shared" si="528"/>
        <v>4.8799999999999999</v>
      </c>
      <c r="G1545" s="21">
        <f t="shared" si="528"/>
        <v>4.8799999999999999</v>
      </c>
      <c r="H1545" s="21">
        <f t="shared" si="528"/>
        <v>4.8799999999999999</v>
      </c>
      <c r="I1545" s="24" t="str">
        <f t="shared" si="529"/>
        <v xml:space="preserve">COM VALOR</v>
      </c>
      <c r="L1545" s="36">
        <v>4.8799999999999999</v>
      </c>
      <c r="M1545" s="37">
        <v>4.8799999999999999</v>
      </c>
      <c r="N1545" s="36">
        <v>4.8799999999999999</v>
      </c>
    </row>
    <row r="1546" ht="38.25">
      <c r="A1546" s="19" t="s">
        <v>10460</v>
      </c>
      <c r="B1546" s="19">
        <v>2611</v>
      </c>
      <c r="C1546" s="20" t="s">
        <v>12004</v>
      </c>
      <c r="D1546" s="19" t="s">
        <v>31</v>
      </c>
      <c r="E1546" s="19" t="s">
        <v>10459</v>
      </c>
      <c r="F1546" s="21">
        <f t="shared" si="528"/>
        <v>13.77</v>
      </c>
      <c r="G1546" s="21">
        <f t="shared" si="528"/>
        <v>13.77</v>
      </c>
      <c r="H1546" s="21">
        <f t="shared" si="528"/>
        <v>13.77</v>
      </c>
      <c r="I1546" s="24" t="str">
        <f t="shared" si="529"/>
        <v xml:space="preserve">COM VALOR</v>
      </c>
      <c r="L1546" s="36">
        <v>13.77</v>
      </c>
      <c r="M1546" s="37">
        <v>13.77</v>
      </c>
      <c r="N1546" s="36">
        <v>13.77</v>
      </c>
    </row>
    <row r="1547" ht="25.5">
      <c r="A1547" s="19" t="s">
        <v>10460</v>
      </c>
      <c r="B1547" s="19">
        <v>40414</v>
      </c>
      <c r="C1547" s="20" t="s">
        <v>12005</v>
      </c>
      <c r="D1547" s="19" t="s">
        <v>31</v>
      </c>
      <c r="E1547" s="19" t="s">
        <v>10459</v>
      </c>
      <c r="F1547" s="21" t="str">
        <f t="shared" ref="F1547:H1610" si="530">IF(L1547=0,"VERIFICAR",L1547)</f>
        <v>VERIFICAR</v>
      </c>
      <c r="G1547" s="21" t="str">
        <f t="shared" si="530"/>
        <v>VERIFICAR</v>
      </c>
      <c r="H1547" s="21" t="str">
        <f t="shared" si="530"/>
        <v>VERIFICAR</v>
      </c>
      <c r="I1547" s="24" t="str">
        <f t="shared" ref="I1547:I1610" si="531">IF(OR(L1547=0,M1547=0,N1547=0),"SEM VALOR","COM VALOR")</f>
        <v xml:space="preserve">SEM VALOR</v>
      </c>
      <c r="L1547" s="36"/>
      <c r="M1547" s="37"/>
      <c r="N1547" s="36"/>
    </row>
    <row r="1548" ht="25.5">
      <c r="A1548" s="19" t="s">
        <v>10460</v>
      </c>
      <c r="B1548" s="19">
        <v>40416</v>
      </c>
      <c r="C1548" s="20" t="s">
        <v>12006</v>
      </c>
      <c r="D1548" s="19" t="s">
        <v>31</v>
      </c>
      <c r="E1548" s="19" t="s">
        <v>10459</v>
      </c>
      <c r="F1548" s="21" t="str">
        <f t="shared" si="530"/>
        <v>VERIFICAR</v>
      </c>
      <c r="G1548" s="21" t="str">
        <f t="shared" si="530"/>
        <v>VERIFICAR</v>
      </c>
      <c r="H1548" s="21" t="str">
        <f t="shared" si="530"/>
        <v>VERIFICAR</v>
      </c>
      <c r="I1548" s="24" t="str">
        <f t="shared" si="531"/>
        <v xml:space="preserve">SEM VALOR</v>
      </c>
      <c r="L1548" s="36"/>
      <c r="M1548" s="37"/>
      <c r="N1548" s="36"/>
    </row>
    <row r="1549" ht="25.5">
      <c r="A1549" s="19" t="s">
        <v>10460</v>
      </c>
      <c r="B1549" s="19">
        <v>40418</v>
      </c>
      <c r="C1549" s="20" t="s">
        <v>12007</v>
      </c>
      <c r="D1549" s="19" t="s">
        <v>31</v>
      </c>
      <c r="E1549" s="19" t="s">
        <v>10459</v>
      </c>
      <c r="F1549" s="21" t="str">
        <f t="shared" si="530"/>
        <v>VERIFICAR</v>
      </c>
      <c r="G1549" s="21" t="str">
        <f t="shared" si="530"/>
        <v>VERIFICAR</v>
      </c>
      <c r="H1549" s="21" t="str">
        <f t="shared" si="530"/>
        <v>VERIFICAR</v>
      </c>
      <c r="I1549" s="24" t="str">
        <f t="shared" si="531"/>
        <v xml:space="preserve">SEM VALOR</v>
      </c>
      <c r="L1549" s="36"/>
      <c r="M1549" s="37"/>
      <c r="N1549" s="36"/>
    </row>
    <row r="1550" ht="25.5">
      <c r="A1550" s="19" t="s">
        <v>10460</v>
      </c>
      <c r="B1550" s="19">
        <v>34359</v>
      </c>
      <c r="C1550" s="20" t="s">
        <v>12008</v>
      </c>
      <c r="D1550" s="19" t="s">
        <v>31</v>
      </c>
      <c r="E1550" s="19" t="s">
        <v>10459</v>
      </c>
      <c r="F1550" s="21">
        <f t="shared" si="530"/>
        <v>18.879999999999999</v>
      </c>
      <c r="G1550" s="21">
        <f t="shared" si="530"/>
        <v>18.879999999999999</v>
      </c>
      <c r="H1550" s="21">
        <f t="shared" si="530"/>
        <v>18.879999999999999</v>
      </c>
      <c r="I1550" s="24" t="str">
        <f t="shared" si="531"/>
        <v xml:space="preserve">COM VALOR</v>
      </c>
      <c r="L1550" s="36">
        <v>18.879999999999999</v>
      </c>
      <c r="M1550" s="37">
        <v>18.879999999999999</v>
      </c>
      <c r="N1550" s="36">
        <v>18.879999999999999</v>
      </c>
    </row>
    <row r="1551" ht="25.5">
      <c r="A1551" s="19" t="s">
        <v>10460</v>
      </c>
      <c r="B1551" s="19">
        <v>1789</v>
      </c>
      <c r="C1551" s="20" t="s">
        <v>12009</v>
      </c>
      <c r="D1551" s="19" t="s">
        <v>31</v>
      </c>
      <c r="E1551" s="19" t="s">
        <v>10459</v>
      </c>
      <c r="F1551" s="21">
        <f t="shared" si="530"/>
        <v>89.150000000000006</v>
      </c>
      <c r="G1551" s="21">
        <f t="shared" si="530"/>
        <v>89.150000000000006</v>
      </c>
      <c r="H1551" s="21">
        <f t="shared" si="530"/>
        <v>89.150000000000006</v>
      </c>
      <c r="I1551" s="24" t="str">
        <f t="shared" si="531"/>
        <v xml:space="preserve">COM VALOR</v>
      </c>
      <c r="L1551" s="36">
        <v>89.150000000000006</v>
      </c>
      <c r="M1551" s="37">
        <v>89.150000000000006</v>
      </c>
      <c r="N1551" s="36">
        <v>89.150000000000006</v>
      </c>
    </row>
    <row r="1552" ht="25.5">
      <c r="A1552" s="19" t="s">
        <v>10460</v>
      </c>
      <c r="B1552" s="19">
        <v>1788</v>
      </c>
      <c r="C1552" s="20" t="s">
        <v>12010</v>
      </c>
      <c r="D1552" s="19" t="s">
        <v>31</v>
      </c>
      <c r="E1552" s="19" t="s">
        <v>10459</v>
      </c>
      <c r="F1552" s="21">
        <f t="shared" si="530"/>
        <v>71.459999999999994</v>
      </c>
      <c r="G1552" s="21">
        <f t="shared" si="530"/>
        <v>71.459999999999994</v>
      </c>
      <c r="H1552" s="21">
        <f t="shared" si="530"/>
        <v>71.459999999999994</v>
      </c>
      <c r="I1552" s="24" t="str">
        <f t="shared" si="531"/>
        <v xml:space="preserve">COM VALOR</v>
      </c>
      <c r="L1552" s="36">
        <v>71.459999999999994</v>
      </c>
      <c r="M1552" s="37">
        <v>71.459999999999994</v>
      </c>
      <c r="N1552" s="36">
        <v>71.459999999999994</v>
      </c>
    </row>
    <row r="1553" ht="25.5">
      <c r="A1553" s="19" t="s">
        <v>10460</v>
      </c>
      <c r="B1553" s="19">
        <v>1787</v>
      </c>
      <c r="C1553" s="20" t="s">
        <v>12011</v>
      </c>
      <c r="D1553" s="19" t="s">
        <v>31</v>
      </c>
      <c r="E1553" s="19" t="s">
        <v>10459</v>
      </c>
      <c r="F1553" s="21">
        <f t="shared" si="530"/>
        <v>42.490000000000002</v>
      </c>
      <c r="G1553" s="21">
        <f t="shared" si="530"/>
        <v>42.490000000000002</v>
      </c>
      <c r="H1553" s="21">
        <f t="shared" si="530"/>
        <v>42.490000000000002</v>
      </c>
      <c r="I1553" s="24" t="str">
        <f t="shared" si="531"/>
        <v xml:space="preserve">COM VALOR</v>
      </c>
      <c r="L1553" s="36">
        <v>42.490000000000002</v>
      </c>
      <c r="M1553" s="37">
        <v>42.490000000000002</v>
      </c>
      <c r="N1553" s="36">
        <v>42.490000000000002</v>
      </c>
    </row>
    <row r="1554" ht="25.5">
      <c r="A1554" s="19" t="s">
        <v>10460</v>
      </c>
      <c r="B1554" s="19">
        <v>1786</v>
      </c>
      <c r="C1554" s="20" t="s">
        <v>12012</v>
      </c>
      <c r="D1554" s="19" t="s">
        <v>31</v>
      </c>
      <c r="E1554" s="19" t="s">
        <v>10459</v>
      </c>
      <c r="F1554" s="21">
        <f t="shared" si="530"/>
        <v>17.739999999999998</v>
      </c>
      <c r="G1554" s="21">
        <f t="shared" si="530"/>
        <v>17.739999999999998</v>
      </c>
      <c r="H1554" s="21">
        <f t="shared" si="530"/>
        <v>17.739999999999998</v>
      </c>
      <c r="I1554" s="24" t="str">
        <f t="shared" si="531"/>
        <v xml:space="preserve">COM VALOR</v>
      </c>
      <c r="L1554" s="36">
        <v>17.739999999999998</v>
      </c>
      <c r="M1554" s="37">
        <v>17.739999999999998</v>
      </c>
      <c r="N1554" s="36">
        <v>17.739999999999998</v>
      </c>
    </row>
    <row r="1555" ht="25.5">
      <c r="A1555" s="19" t="s">
        <v>10460</v>
      </c>
      <c r="B1555" s="19">
        <v>1791</v>
      </c>
      <c r="C1555" s="20" t="s">
        <v>12013</v>
      </c>
      <c r="D1555" s="19" t="s">
        <v>31</v>
      </c>
      <c r="E1555" s="19" t="s">
        <v>10459</v>
      </c>
      <c r="F1555" s="21">
        <f t="shared" si="530"/>
        <v>257.64999999999998</v>
      </c>
      <c r="G1555" s="21">
        <f t="shared" si="530"/>
        <v>257.64999999999998</v>
      </c>
      <c r="H1555" s="21">
        <f t="shared" si="530"/>
        <v>257.64999999999998</v>
      </c>
      <c r="I1555" s="24" t="str">
        <f t="shared" si="531"/>
        <v xml:space="preserve">COM VALOR</v>
      </c>
      <c r="L1555" s="36">
        <v>257.64999999999998</v>
      </c>
      <c r="M1555" s="37">
        <v>257.64999999999998</v>
      </c>
      <c r="N1555" s="36">
        <v>257.64999999999998</v>
      </c>
    </row>
    <row r="1556" ht="25.5">
      <c r="A1556" s="19" t="s">
        <v>10460</v>
      </c>
      <c r="B1556" s="19">
        <v>1790</v>
      </c>
      <c r="C1556" s="20" t="s">
        <v>12014</v>
      </c>
      <c r="D1556" s="19" t="s">
        <v>31</v>
      </c>
      <c r="E1556" s="19" t="s">
        <v>10459</v>
      </c>
      <c r="F1556" s="21">
        <f t="shared" si="530"/>
        <v>148.47</v>
      </c>
      <c r="G1556" s="21">
        <f t="shared" si="530"/>
        <v>148.47</v>
      </c>
      <c r="H1556" s="21">
        <f t="shared" si="530"/>
        <v>148.47</v>
      </c>
      <c r="I1556" s="24" t="str">
        <f t="shared" si="531"/>
        <v xml:space="preserve">COM VALOR</v>
      </c>
      <c r="L1556" s="36">
        <v>148.47</v>
      </c>
      <c r="M1556" s="37">
        <v>148.47</v>
      </c>
      <c r="N1556" s="36">
        <v>148.47</v>
      </c>
    </row>
    <row r="1557" ht="25.5">
      <c r="A1557" s="19" t="s">
        <v>10460</v>
      </c>
      <c r="B1557" s="19">
        <v>1792</v>
      </c>
      <c r="C1557" s="20" t="s">
        <v>12015</v>
      </c>
      <c r="D1557" s="19" t="s">
        <v>31</v>
      </c>
      <c r="E1557" s="19" t="s">
        <v>10459</v>
      </c>
      <c r="F1557" s="21">
        <f t="shared" si="530"/>
        <v>347.79000000000002</v>
      </c>
      <c r="G1557" s="21">
        <f t="shared" si="530"/>
        <v>347.79000000000002</v>
      </c>
      <c r="H1557" s="21">
        <f t="shared" si="530"/>
        <v>347.79000000000002</v>
      </c>
      <c r="I1557" s="24" t="str">
        <f t="shared" si="531"/>
        <v xml:space="preserve">COM VALOR</v>
      </c>
      <c r="L1557" s="36">
        <v>347.79000000000002</v>
      </c>
      <c r="M1557" s="37">
        <v>347.79000000000002</v>
      </c>
      <c r="N1557" s="36">
        <v>347.79000000000002</v>
      </c>
    </row>
    <row r="1558" ht="25.5">
      <c r="A1558" s="19" t="s">
        <v>10460</v>
      </c>
      <c r="B1558" s="19">
        <v>1813</v>
      </c>
      <c r="C1558" s="20" t="s">
        <v>12016</v>
      </c>
      <c r="D1558" s="19" t="s">
        <v>31</v>
      </c>
      <c r="E1558" s="19" t="s">
        <v>10459</v>
      </c>
      <c r="F1558" s="21">
        <f t="shared" si="530"/>
        <v>28.16</v>
      </c>
      <c r="G1558" s="21">
        <f t="shared" si="530"/>
        <v>28.16</v>
      </c>
      <c r="H1558" s="21">
        <f t="shared" si="530"/>
        <v>28.16</v>
      </c>
      <c r="I1558" s="24" t="str">
        <f t="shared" si="531"/>
        <v xml:space="preserve">COM VALOR</v>
      </c>
      <c r="L1558" s="36">
        <v>28.16</v>
      </c>
      <c r="M1558" s="37">
        <v>28.16</v>
      </c>
      <c r="N1558" s="36">
        <v>28.16</v>
      </c>
    </row>
    <row r="1559" ht="25.5">
      <c r="A1559" s="19" t="s">
        <v>10460</v>
      </c>
      <c r="B1559" s="19">
        <v>1793</v>
      </c>
      <c r="C1559" s="20" t="s">
        <v>12017</v>
      </c>
      <c r="D1559" s="19" t="s">
        <v>31</v>
      </c>
      <c r="E1559" s="19" t="s">
        <v>10459</v>
      </c>
      <c r="F1559" s="21">
        <f t="shared" si="530"/>
        <v>702.75999999999999</v>
      </c>
      <c r="G1559" s="21">
        <f t="shared" si="530"/>
        <v>702.75999999999999</v>
      </c>
      <c r="H1559" s="21">
        <f t="shared" si="530"/>
        <v>702.75999999999999</v>
      </c>
      <c r="I1559" s="24" t="str">
        <f t="shared" si="531"/>
        <v xml:space="preserve">COM VALOR</v>
      </c>
      <c r="L1559" s="36">
        <v>702.75999999999999</v>
      </c>
      <c r="M1559" s="37">
        <v>702.75999999999999</v>
      </c>
      <c r="N1559" s="36">
        <v>702.75999999999999</v>
      </c>
    </row>
    <row r="1560" ht="25.5">
      <c r="A1560" s="19" t="s">
        <v>10460</v>
      </c>
      <c r="B1560" s="19">
        <v>1797</v>
      </c>
      <c r="C1560" s="20" t="s">
        <v>12018</v>
      </c>
      <c r="D1560" s="19" t="s">
        <v>31</v>
      </c>
      <c r="E1560" s="19" t="s">
        <v>10459</v>
      </c>
      <c r="F1560" s="21">
        <f t="shared" si="530"/>
        <v>101.23</v>
      </c>
      <c r="G1560" s="21">
        <f t="shared" si="530"/>
        <v>101.23</v>
      </c>
      <c r="H1560" s="21">
        <f t="shared" si="530"/>
        <v>101.23</v>
      </c>
      <c r="I1560" s="24" t="str">
        <f t="shared" si="531"/>
        <v xml:space="preserve">COM VALOR</v>
      </c>
      <c r="L1560" s="36">
        <v>101.23</v>
      </c>
      <c r="M1560" s="37">
        <v>101.23</v>
      </c>
      <c r="N1560" s="36">
        <v>101.23</v>
      </c>
    </row>
    <row r="1561" ht="25.5">
      <c r="A1561" s="19" t="s">
        <v>10460</v>
      </c>
      <c r="B1561" s="19">
        <v>1796</v>
      </c>
      <c r="C1561" s="20" t="s">
        <v>12019</v>
      </c>
      <c r="D1561" s="19" t="s">
        <v>31</v>
      </c>
      <c r="E1561" s="19" t="s">
        <v>10459</v>
      </c>
      <c r="F1561" s="21">
        <f t="shared" si="530"/>
        <v>77.650000000000006</v>
      </c>
      <c r="G1561" s="21">
        <f t="shared" si="530"/>
        <v>77.650000000000006</v>
      </c>
      <c r="H1561" s="21">
        <f t="shared" si="530"/>
        <v>77.650000000000006</v>
      </c>
      <c r="I1561" s="24" t="str">
        <f t="shared" si="531"/>
        <v xml:space="preserve">COM VALOR</v>
      </c>
      <c r="L1561" s="36">
        <v>77.650000000000006</v>
      </c>
      <c r="M1561" s="37">
        <v>77.650000000000006</v>
      </c>
      <c r="N1561" s="36">
        <v>77.650000000000006</v>
      </c>
    </row>
    <row r="1562" ht="25.5">
      <c r="A1562" s="19" t="s">
        <v>10460</v>
      </c>
      <c r="B1562" s="19">
        <v>1816</v>
      </c>
      <c r="C1562" s="20" t="s">
        <v>12020</v>
      </c>
      <c r="D1562" s="19" t="s">
        <v>31</v>
      </c>
      <c r="E1562" s="19" t="s">
        <v>10459</v>
      </c>
      <c r="F1562" s="21">
        <f t="shared" si="530"/>
        <v>41.799999999999997</v>
      </c>
      <c r="G1562" s="21">
        <f t="shared" si="530"/>
        <v>41.799999999999997</v>
      </c>
      <c r="H1562" s="21">
        <f t="shared" si="530"/>
        <v>41.799999999999997</v>
      </c>
      <c r="I1562" s="24" t="str">
        <f t="shared" si="531"/>
        <v xml:space="preserve">COM VALOR</v>
      </c>
      <c r="L1562" s="36">
        <v>41.799999999999997</v>
      </c>
      <c r="M1562" s="37">
        <v>41.799999999999997</v>
      </c>
      <c r="N1562" s="36">
        <v>41.799999999999997</v>
      </c>
    </row>
    <row r="1563" ht="25.5">
      <c r="A1563" s="19" t="s">
        <v>10460</v>
      </c>
      <c r="B1563" s="19">
        <v>1794</v>
      </c>
      <c r="C1563" s="20" t="s">
        <v>12021</v>
      </c>
      <c r="D1563" s="19" t="s">
        <v>31</v>
      </c>
      <c r="E1563" s="19" t="s">
        <v>10459</v>
      </c>
      <c r="F1563" s="21">
        <f t="shared" si="530"/>
        <v>18.539999999999999</v>
      </c>
      <c r="G1563" s="21">
        <f t="shared" si="530"/>
        <v>18.539999999999999</v>
      </c>
      <c r="H1563" s="21">
        <f t="shared" si="530"/>
        <v>18.539999999999999</v>
      </c>
      <c r="I1563" s="24" t="str">
        <f t="shared" si="531"/>
        <v xml:space="preserve">COM VALOR</v>
      </c>
      <c r="L1563" s="36">
        <v>18.539999999999999</v>
      </c>
      <c r="M1563" s="37">
        <v>18.539999999999999</v>
      </c>
      <c r="N1563" s="36">
        <v>18.539999999999999</v>
      </c>
    </row>
    <row r="1564" ht="25.5">
      <c r="A1564" s="19" t="s">
        <v>10460</v>
      </c>
      <c r="B1564" s="19">
        <v>1815</v>
      </c>
      <c r="C1564" s="20" t="s">
        <v>12022</v>
      </c>
      <c r="D1564" s="19" t="s">
        <v>31</v>
      </c>
      <c r="E1564" s="19" t="s">
        <v>10459</v>
      </c>
      <c r="F1564" s="21">
        <f t="shared" si="530"/>
        <v>320.95999999999998</v>
      </c>
      <c r="G1564" s="21">
        <f t="shared" si="530"/>
        <v>320.95999999999998</v>
      </c>
      <c r="H1564" s="21">
        <f t="shared" si="530"/>
        <v>320.95999999999998</v>
      </c>
      <c r="I1564" s="24" t="str">
        <f t="shared" si="531"/>
        <v xml:space="preserve">COM VALOR</v>
      </c>
      <c r="L1564" s="36">
        <v>320.95999999999998</v>
      </c>
      <c r="M1564" s="37">
        <v>320.95999999999998</v>
      </c>
      <c r="N1564" s="36">
        <v>320.95999999999998</v>
      </c>
    </row>
    <row r="1565" ht="25.5">
      <c r="A1565" s="19" t="s">
        <v>10460</v>
      </c>
      <c r="B1565" s="19">
        <v>1798</v>
      </c>
      <c r="C1565" s="20" t="s">
        <v>12023</v>
      </c>
      <c r="D1565" s="19" t="s">
        <v>31</v>
      </c>
      <c r="E1565" s="19" t="s">
        <v>10459</v>
      </c>
      <c r="F1565" s="21">
        <f t="shared" si="530"/>
        <v>143.62</v>
      </c>
      <c r="G1565" s="21">
        <f t="shared" si="530"/>
        <v>143.62</v>
      </c>
      <c r="H1565" s="21">
        <f t="shared" si="530"/>
        <v>143.62</v>
      </c>
      <c r="I1565" s="24" t="str">
        <f t="shared" si="531"/>
        <v xml:space="preserve">COM VALOR</v>
      </c>
      <c r="L1565" s="36">
        <v>143.62</v>
      </c>
      <c r="M1565" s="37">
        <v>143.62</v>
      </c>
      <c r="N1565" s="36">
        <v>143.62</v>
      </c>
    </row>
    <row r="1566" ht="25.5">
      <c r="A1566" s="19" t="s">
        <v>10460</v>
      </c>
      <c r="B1566" s="19">
        <v>1799</v>
      </c>
      <c r="C1566" s="20" t="s">
        <v>12024</v>
      </c>
      <c r="D1566" s="19" t="s">
        <v>31</v>
      </c>
      <c r="E1566" s="19" t="s">
        <v>10459</v>
      </c>
      <c r="F1566" s="21">
        <f t="shared" si="530"/>
        <v>418.01999999999998</v>
      </c>
      <c r="G1566" s="21">
        <f t="shared" si="530"/>
        <v>418.01999999999998</v>
      </c>
      <c r="H1566" s="21">
        <f t="shared" si="530"/>
        <v>418.01999999999998</v>
      </c>
      <c r="I1566" s="24" t="str">
        <f t="shared" si="531"/>
        <v xml:space="preserve">COM VALOR</v>
      </c>
      <c r="L1566" s="36">
        <v>418.01999999999998</v>
      </c>
      <c r="M1566" s="37">
        <v>418.01999999999998</v>
      </c>
      <c r="N1566" s="36">
        <v>418.01999999999998</v>
      </c>
    </row>
    <row r="1567" ht="25.5">
      <c r="A1567" s="19" t="s">
        <v>10460</v>
      </c>
      <c r="B1567" s="19">
        <v>1795</v>
      </c>
      <c r="C1567" s="20" t="s">
        <v>12025</v>
      </c>
      <c r="D1567" s="19" t="s">
        <v>31</v>
      </c>
      <c r="E1567" s="19" t="s">
        <v>10459</v>
      </c>
      <c r="F1567" s="21">
        <f t="shared" si="530"/>
        <v>25.68</v>
      </c>
      <c r="G1567" s="21">
        <f t="shared" si="530"/>
        <v>25.68</v>
      </c>
      <c r="H1567" s="21">
        <f t="shared" si="530"/>
        <v>25.68</v>
      </c>
      <c r="I1567" s="24" t="str">
        <f t="shared" si="531"/>
        <v xml:space="preserve">COM VALOR</v>
      </c>
      <c r="L1567" s="36">
        <v>25.68</v>
      </c>
      <c r="M1567" s="37">
        <v>25.68</v>
      </c>
      <c r="N1567" s="36">
        <v>25.68</v>
      </c>
    </row>
    <row r="1568" ht="25.5">
      <c r="A1568" s="19" t="s">
        <v>10460</v>
      </c>
      <c r="B1568" s="19">
        <v>1800</v>
      </c>
      <c r="C1568" s="20" t="s">
        <v>12026</v>
      </c>
      <c r="D1568" s="19" t="s">
        <v>31</v>
      </c>
      <c r="E1568" s="19" t="s">
        <v>10459</v>
      </c>
      <c r="F1568" s="21">
        <f t="shared" si="530"/>
        <v>798.08000000000004</v>
      </c>
      <c r="G1568" s="21">
        <f t="shared" si="530"/>
        <v>798.08000000000004</v>
      </c>
      <c r="H1568" s="21">
        <f t="shared" si="530"/>
        <v>798.08000000000004</v>
      </c>
      <c r="I1568" s="24" t="str">
        <f t="shared" si="531"/>
        <v xml:space="preserve">COM VALOR</v>
      </c>
      <c r="L1568" s="36">
        <v>798.08000000000004</v>
      </c>
      <c r="M1568" s="37">
        <v>798.08000000000004</v>
      </c>
      <c r="N1568" s="36">
        <v>798.08000000000004</v>
      </c>
    </row>
    <row r="1569" ht="25.5">
      <c r="A1569" s="19" t="s">
        <v>10460</v>
      </c>
      <c r="B1569" s="19">
        <v>1802</v>
      </c>
      <c r="C1569" s="20" t="s">
        <v>12027</v>
      </c>
      <c r="D1569" s="19" t="s">
        <v>31</v>
      </c>
      <c r="E1569" s="19" t="s">
        <v>10459</v>
      </c>
      <c r="F1569" s="21">
        <f t="shared" si="530"/>
        <v>1996.3099999999999</v>
      </c>
      <c r="G1569" s="21">
        <f t="shared" si="530"/>
        <v>1996.3099999999999</v>
      </c>
      <c r="H1569" s="21">
        <f t="shared" si="530"/>
        <v>1996.3099999999999</v>
      </c>
      <c r="I1569" s="24" t="str">
        <f t="shared" si="531"/>
        <v xml:space="preserve">COM VALOR</v>
      </c>
      <c r="L1569" s="36">
        <v>1996.3099999999999</v>
      </c>
      <c r="M1569" s="37">
        <v>1996.3099999999999</v>
      </c>
      <c r="N1569" s="36">
        <v>1996.3099999999999</v>
      </c>
    </row>
    <row r="1570" ht="25.5">
      <c r="A1570" s="19" t="s">
        <v>10460</v>
      </c>
      <c r="B1570" s="19">
        <v>1809</v>
      </c>
      <c r="C1570" s="20" t="s">
        <v>12028</v>
      </c>
      <c r="D1570" s="19" t="s">
        <v>31</v>
      </c>
      <c r="E1570" s="19" t="s">
        <v>10459</v>
      </c>
      <c r="F1570" s="21">
        <f t="shared" si="530"/>
        <v>83.579999999999998</v>
      </c>
      <c r="G1570" s="21">
        <f t="shared" si="530"/>
        <v>83.579999999999998</v>
      </c>
      <c r="H1570" s="21">
        <f t="shared" si="530"/>
        <v>83.579999999999998</v>
      </c>
      <c r="I1570" s="24" t="str">
        <f t="shared" si="531"/>
        <v xml:space="preserve">COM VALOR</v>
      </c>
      <c r="L1570" s="36">
        <v>83.579999999999998</v>
      </c>
      <c r="M1570" s="37">
        <v>83.579999999999998</v>
      </c>
      <c r="N1570" s="36">
        <v>83.579999999999998</v>
      </c>
    </row>
    <row r="1571" ht="25.5">
      <c r="A1571" s="19" t="s">
        <v>10460</v>
      </c>
      <c r="B1571" s="19">
        <v>1814</v>
      </c>
      <c r="C1571" s="20" t="s">
        <v>12029</v>
      </c>
      <c r="D1571" s="19" t="s">
        <v>31</v>
      </c>
      <c r="E1571" s="19" t="s">
        <v>10459</v>
      </c>
      <c r="F1571" s="21">
        <f t="shared" si="530"/>
        <v>68.659999999999997</v>
      </c>
      <c r="G1571" s="21">
        <f t="shared" si="530"/>
        <v>68.659999999999997</v>
      </c>
      <c r="H1571" s="21">
        <f t="shared" si="530"/>
        <v>68.659999999999997</v>
      </c>
      <c r="I1571" s="24" t="str">
        <f t="shared" si="531"/>
        <v xml:space="preserve">COM VALOR</v>
      </c>
      <c r="L1571" s="36">
        <v>68.659999999999997</v>
      </c>
      <c r="M1571" s="37">
        <v>68.659999999999997</v>
      </c>
      <c r="N1571" s="36">
        <v>68.659999999999997</v>
      </c>
    </row>
    <row r="1572" ht="25.5">
      <c r="A1572" s="19" t="s">
        <v>10460</v>
      </c>
      <c r="B1572" s="19">
        <v>1805</v>
      </c>
      <c r="C1572" s="20" t="s">
        <v>12030</v>
      </c>
      <c r="D1572" s="19" t="s">
        <v>31</v>
      </c>
      <c r="E1572" s="19" t="s">
        <v>10459</v>
      </c>
      <c r="F1572" s="21">
        <f t="shared" si="530"/>
        <v>39.850000000000001</v>
      </c>
      <c r="G1572" s="21">
        <f t="shared" si="530"/>
        <v>39.850000000000001</v>
      </c>
      <c r="H1572" s="21">
        <f t="shared" si="530"/>
        <v>39.850000000000001</v>
      </c>
      <c r="I1572" s="24" t="str">
        <f t="shared" si="531"/>
        <v xml:space="preserve">COM VALOR</v>
      </c>
      <c r="L1572" s="36">
        <v>39.850000000000001</v>
      </c>
      <c r="M1572" s="37">
        <v>39.850000000000001</v>
      </c>
      <c r="N1572" s="36">
        <v>39.850000000000001</v>
      </c>
    </row>
    <row r="1573" ht="25.5">
      <c r="A1573" s="19" t="s">
        <v>10460</v>
      </c>
      <c r="B1573" s="19">
        <v>1803</v>
      </c>
      <c r="C1573" s="20" t="s">
        <v>12031</v>
      </c>
      <c r="D1573" s="19" t="s">
        <v>31</v>
      </c>
      <c r="E1573" s="19" t="s">
        <v>10459</v>
      </c>
      <c r="F1573" s="21">
        <f t="shared" si="530"/>
        <v>17.350000000000001</v>
      </c>
      <c r="G1573" s="21">
        <f t="shared" si="530"/>
        <v>17.350000000000001</v>
      </c>
      <c r="H1573" s="21">
        <f t="shared" si="530"/>
        <v>17.350000000000001</v>
      </c>
      <c r="I1573" s="24" t="str">
        <f t="shared" si="531"/>
        <v xml:space="preserve">COM VALOR</v>
      </c>
      <c r="L1573" s="36">
        <v>17.350000000000001</v>
      </c>
      <c r="M1573" s="37">
        <v>17.350000000000001</v>
      </c>
      <c r="N1573" s="36">
        <v>17.350000000000001</v>
      </c>
    </row>
    <row r="1574" ht="25.5">
      <c r="A1574" s="19" t="s">
        <v>10460</v>
      </c>
      <c r="B1574" s="19">
        <v>1821</v>
      </c>
      <c r="C1574" s="20" t="s">
        <v>12032</v>
      </c>
      <c r="D1574" s="19" t="s">
        <v>31</v>
      </c>
      <c r="E1574" s="19" t="s">
        <v>10459</v>
      </c>
      <c r="F1574" s="21">
        <f t="shared" si="530"/>
        <v>235.40000000000001</v>
      </c>
      <c r="G1574" s="21">
        <f t="shared" si="530"/>
        <v>235.40000000000001</v>
      </c>
      <c r="H1574" s="21">
        <f t="shared" si="530"/>
        <v>235.40000000000001</v>
      </c>
      <c r="I1574" s="24" t="str">
        <f t="shared" si="531"/>
        <v xml:space="preserve">COM VALOR</v>
      </c>
      <c r="L1574" s="36">
        <v>235.40000000000001</v>
      </c>
      <c r="M1574" s="37">
        <v>235.40000000000001</v>
      </c>
      <c r="N1574" s="36">
        <v>235.40000000000001</v>
      </c>
    </row>
    <row r="1575" ht="25.5">
      <c r="A1575" s="19" t="s">
        <v>10460</v>
      </c>
      <c r="B1575" s="19">
        <v>1806</v>
      </c>
      <c r="C1575" s="20" t="s">
        <v>12033</v>
      </c>
      <c r="D1575" s="19" t="s">
        <v>31</v>
      </c>
      <c r="E1575" s="19" t="s">
        <v>10459</v>
      </c>
      <c r="F1575" s="21">
        <f t="shared" si="530"/>
        <v>140.11000000000001</v>
      </c>
      <c r="G1575" s="21">
        <f t="shared" si="530"/>
        <v>140.11000000000001</v>
      </c>
      <c r="H1575" s="21">
        <f t="shared" si="530"/>
        <v>140.11000000000001</v>
      </c>
      <c r="I1575" s="24" t="str">
        <f t="shared" si="531"/>
        <v xml:space="preserve">COM VALOR</v>
      </c>
      <c r="L1575" s="36">
        <v>140.11000000000001</v>
      </c>
      <c r="M1575" s="37">
        <v>140.11000000000001</v>
      </c>
      <c r="N1575" s="36">
        <v>140.11000000000001</v>
      </c>
    </row>
    <row r="1576" ht="25.5">
      <c r="A1576" s="19" t="s">
        <v>10460</v>
      </c>
      <c r="B1576" s="19">
        <v>1807</v>
      </c>
      <c r="C1576" s="20" t="s">
        <v>12034</v>
      </c>
      <c r="D1576" s="19" t="s">
        <v>31</v>
      </c>
      <c r="E1576" s="19" t="s">
        <v>10459</v>
      </c>
      <c r="F1576" s="21">
        <f t="shared" si="530"/>
        <v>336.66000000000003</v>
      </c>
      <c r="G1576" s="21">
        <f t="shared" si="530"/>
        <v>336.66000000000003</v>
      </c>
      <c r="H1576" s="21">
        <f t="shared" si="530"/>
        <v>336.66000000000003</v>
      </c>
      <c r="I1576" s="24" t="str">
        <f t="shared" si="531"/>
        <v xml:space="preserve">COM VALOR</v>
      </c>
      <c r="L1576" s="36">
        <v>336.66000000000003</v>
      </c>
      <c r="M1576" s="37">
        <v>336.66000000000003</v>
      </c>
      <c r="N1576" s="36">
        <v>336.66000000000003</v>
      </c>
    </row>
    <row r="1577" ht="25.5">
      <c r="A1577" s="19" t="s">
        <v>10460</v>
      </c>
      <c r="B1577" s="19">
        <v>1804</v>
      </c>
      <c r="C1577" s="20" t="s">
        <v>12035</v>
      </c>
      <c r="D1577" s="19" t="s">
        <v>31</v>
      </c>
      <c r="E1577" s="19" t="s">
        <v>10459</v>
      </c>
      <c r="F1577" s="21">
        <f t="shared" si="530"/>
        <v>24.699999999999999</v>
      </c>
      <c r="G1577" s="21">
        <f t="shared" si="530"/>
        <v>24.699999999999999</v>
      </c>
      <c r="H1577" s="21">
        <f t="shared" si="530"/>
        <v>24.699999999999999</v>
      </c>
      <c r="I1577" s="24" t="str">
        <f t="shared" si="531"/>
        <v xml:space="preserve">COM VALOR</v>
      </c>
      <c r="L1577" s="36">
        <v>24.699999999999999</v>
      </c>
      <c r="M1577" s="37">
        <v>24.699999999999999</v>
      </c>
      <c r="N1577" s="36">
        <v>24.699999999999999</v>
      </c>
    </row>
    <row r="1578" ht="25.5">
      <c r="A1578" s="19" t="s">
        <v>10460</v>
      </c>
      <c r="B1578" s="19">
        <v>1808</v>
      </c>
      <c r="C1578" s="20" t="s">
        <v>12036</v>
      </c>
      <c r="D1578" s="19" t="s">
        <v>31</v>
      </c>
      <c r="E1578" s="19" t="s">
        <v>10459</v>
      </c>
      <c r="F1578" s="21">
        <f t="shared" si="530"/>
        <v>674.94000000000005</v>
      </c>
      <c r="G1578" s="21">
        <f t="shared" si="530"/>
        <v>674.94000000000005</v>
      </c>
      <c r="H1578" s="21">
        <f t="shared" si="530"/>
        <v>674.94000000000005</v>
      </c>
      <c r="I1578" s="24" t="str">
        <f t="shared" si="531"/>
        <v xml:space="preserve">COM VALOR</v>
      </c>
      <c r="L1578" s="36">
        <v>674.94000000000005</v>
      </c>
      <c r="M1578" s="37">
        <v>674.94000000000005</v>
      </c>
      <c r="N1578" s="36">
        <v>674.94000000000005</v>
      </c>
    </row>
    <row r="1579" ht="25.5">
      <c r="A1579" s="19" t="s">
        <v>10460</v>
      </c>
      <c r="B1579" s="19">
        <v>40385</v>
      </c>
      <c r="C1579" s="20" t="s">
        <v>12037</v>
      </c>
      <c r="D1579" s="19" t="s">
        <v>31</v>
      </c>
      <c r="E1579" s="19" t="s">
        <v>10459</v>
      </c>
      <c r="F1579" s="21" t="str">
        <f t="shared" si="530"/>
        <v>VERIFICAR</v>
      </c>
      <c r="G1579" s="21" t="str">
        <f t="shared" si="530"/>
        <v>VERIFICAR</v>
      </c>
      <c r="H1579" s="21" t="str">
        <f t="shared" si="530"/>
        <v>VERIFICAR</v>
      </c>
      <c r="I1579" s="24" t="str">
        <f t="shared" si="531"/>
        <v xml:space="preserve">SEM VALOR</v>
      </c>
      <c r="L1579" s="36"/>
      <c r="M1579" s="37"/>
      <c r="N1579" s="36"/>
    </row>
    <row r="1580" ht="25.5">
      <c r="A1580" s="19" t="s">
        <v>10460</v>
      </c>
      <c r="B1580" s="19">
        <v>40383</v>
      </c>
      <c r="C1580" s="20" t="s">
        <v>12038</v>
      </c>
      <c r="D1580" s="19" t="s">
        <v>31</v>
      </c>
      <c r="E1580" s="19" t="s">
        <v>10459</v>
      </c>
      <c r="F1580" s="21" t="str">
        <f t="shared" si="530"/>
        <v>VERIFICAR</v>
      </c>
      <c r="G1580" s="21" t="str">
        <f t="shared" si="530"/>
        <v>VERIFICAR</v>
      </c>
      <c r="H1580" s="21" t="str">
        <f t="shared" si="530"/>
        <v>VERIFICAR</v>
      </c>
      <c r="I1580" s="24" t="str">
        <f t="shared" si="531"/>
        <v xml:space="preserve">SEM VALOR</v>
      </c>
      <c r="L1580" s="36"/>
      <c r="M1580" s="37"/>
      <c r="N1580" s="36"/>
    </row>
    <row r="1581" ht="25.5">
      <c r="A1581" s="19" t="s">
        <v>10460</v>
      </c>
      <c r="B1581" s="19">
        <v>40382</v>
      </c>
      <c r="C1581" s="20" t="s">
        <v>12039</v>
      </c>
      <c r="D1581" s="19" t="s">
        <v>31</v>
      </c>
      <c r="E1581" s="19" t="s">
        <v>10459</v>
      </c>
      <c r="F1581" s="21" t="str">
        <f t="shared" si="530"/>
        <v>VERIFICAR</v>
      </c>
      <c r="G1581" s="21" t="str">
        <f t="shared" si="530"/>
        <v>VERIFICAR</v>
      </c>
      <c r="H1581" s="21" t="str">
        <f t="shared" si="530"/>
        <v>VERIFICAR</v>
      </c>
      <c r="I1581" s="24" t="str">
        <f t="shared" si="531"/>
        <v xml:space="preserve">SEM VALOR</v>
      </c>
      <c r="L1581" s="36"/>
      <c r="M1581" s="37"/>
      <c r="N1581" s="36"/>
    </row>
    <row r="1582" ht="25.5">
      <c r="A1582" s="19" t="s">
        <v>10460</v>
      </c>
      <c r="B1582" s="19">
        <v>40378</v>
      </c>
      <c r="C1582" s="20" t="s">
        <v>12040</v>
      </c>
      <c r="D1582" s="19" t="s">
        <v>31</v>
      </c>
      <c r="E1582" s="19" t="s">
        <v>10459</v>
      </c>
      <c r="F1582" s="21" t="str">
        <f t="shared" si="530"/>
        <v>VERIFICAR</v>
      </c>
      <c r="G1582" s="21" t="str">
        <f t="shared" si="530"/>
        <v>VERIFICAR</v>
      </c>
      <c r="H1582" s="21" t="str">
        <f t="shared" si="530"/>
        <v>VERIFICAR</v>
      </c>
      <c r="I1582" s="24" t="str">
        <f t="shared" si="531"/>
        <v xml:space="preserve">SEM VALOR</v>
      </c>
      <c r="L1582" s="36"/>
      <c r="M1582" s="37"/>
      <c r="N1582" s="36"/>
    </row>
    <row r="1583" ht="25.5">
      <c r="A1583" s="19" t="s">
        <v>10460</v>
      </c>
      <c r="B1583" s="19">
        <v>40422</v>
      </c>
      <c r="C1583" s="20" t="s">
        <v>12041</v>
      </c>
      <c r="D1583" s="19" t="s">
        <v>31</v>
      </c>
      <c r="E1583" s="19" t="s">
        <v>10459</v>
      </c>
      <c r="F1583" s="21" t="str">
        <f t="shared" si="530"/>
        <v>VERIFICAR</v>
      </c>
      <c r="G1583" s="21" t="str">
        <f t="shared" si="530"/>
        <v>VERIFICAR</v>
      </c>
      <c r="H1583" s="21" t="str">
        <f t="shared" si="530"/>
        <v>VERIFICAR</v>
      </c>
      <c r="I1583" s="24" t="str">
        <f t="shared" si="531"/>
        <v xml:space="preserve">SEM VALOR</v>
      </c>
      <c r="L1583" s="36"/>
      <c r="M1583" s="37"/>
      <c r="N1583" s="36"/>
    </row>
    <row r="1584" ht="25.5">
      <c r="A1584" s="19" t="s">
        <v>10460</v>
      </c>
      <c r="B1584" s="19">
        <v>40387</v>
      </c>
      <c r="C1584" s="20" t="s">
        <v>12042</v>
      </c>
      <c r="D1584" s="19" t="s">
        <v>31</v>
      </c>
      <c r="E1584" s="19" t="s">
        <v>10459</v>
      </c>
      <c r="F1584" s="21" t="str">
        <f t="shared" si="530"/>
        <v>VERIFICAR</v>
      </c>
      <c r="G1584" s="21" t="str">
        <f t="shared" si="530"/>
        <v>VERIFICAR</v>
      </c>
      <c r="H1584" s="21" t="str">
        <f t="shared" si="530"/>
        <v>VERIFICAR</v>
      </c>
      <c r="I1584" s="24" t="str">
        <f t="shared" si="531"/>
        <v xml:space="preserve">SEM VALOR</v>
      </c>
      <c r="L1584" s="36"/>
      <c r="M1584" s="37"/>
      <c r="N1584" s="36"/>
    </row>
    <row r="1585" ht="25.5">
      <c r="A1585" s="19" t="s">
        <v>10460</v>
      </c>
      <c r="B1585" s="19">
        <v>40390</v>
      </c>
      <c r="C1585" s="20" t="s">
        <v>12043</v>
      </c>
      <c r="D1585" s="19" t="s">
        <v>31</v>
      </c>
      <c r="E1585" s="19" t="s">
        <v>10459</v>
      </c>
      <c r="F1585" s="21" t="str">
        <f t="shared" si="530"/>
        <v>VERIFICAR</v>
      </c>
      <c r="G1585" s="21" t="str">
        <f t="shared" si="530"/>
        <v>VERIFICAR</v>
      </c>
      <c r="H1585" s="21" t="str">
        <f t="shared" si="530"/>
        <v>VERIFICAR</v>
      </c>
      <c r="I1585" s="24" t="str">
        <f t="shared" si="531"/>
        <v xml:space="preserve">SEM VALOR</v>
      </c>
      <c r="L1585" s="36"/>
      <c r="M1585" s="37"/>
      <c r="N1585" s="36"/>
    </row>
    <row r="1586" ht="25.5">
      <c r="A1586" s="19" t="s">
        <v>10460</v>
      </c>
      <c r="B1586" s="19">
        <v>40380</v>
      </c>
      <c r="C1586" s="20" t="s">
        <v>12044</v>
      </c>
      <c r="D1586" s="19" t="s">
        <v>31</v>
      </c>
      <c r="E1586" s="19" t="s">
        <v>10459</v>
      </c>
      <c r="F1586" s="21" t="str">
        <f t="shared" si="530"/>
        <v>VERIFICAR</v>
      </c>
      <c r="G1586" s="21" t="str">
        <f t="shared" si="530"/>
        <v>VERIFICAR</v>
      </c>
      <c r="H1586" s="21" t="str">
        <f t="shared" si="530"/>
        <v>VERIFICAR</v>
      </c>
      <c r="I1586" s="24" t="str">
        <f t="shared" si="531"/>
        <v xml:space="preserve">SEM VALOR</v>
      </c>
      <c r="L1586" s="36"/>
      <c r="M1586" s="37"/>
      <c r="N1586" s="36"/>
    </row>
    <row r="1587" ht="25.5">
      <c r="A1587" s="19" t="s">
        <v>10460</v>
      </c>
      <c r="B1587" s="19">
        <v>2621</v>
      </c>
      <c r="C1587" s="20" t="s">
        <v>12045</v>
      </c>
      <c r="D1587" s="19" t="s">
        <v>31</v>
      </c>
      <c r="E1587" s="19" t="s">
        <v>10459</v>
      </c>
      <c r="F1587" s="21">
        <f t="shared" si="530"/>
        <v>117.84</v>
      </c>
      <c r="G1587" s="21">
        <f t="shared" si="530"/>
        <v>117.84</v>
      </c>
      <c r="H1587" s="21">
        <f t="shared" si="530"/>
        <v>117.84</v>
      </c>
      <c r="I1587" s="24" t="str">
        <f t="shared" si="531"/>
        <v xml:space="preserve">COM VALOR</v>
      </c>
      <c r="L1587" s="36">
        <v>117.84</v>
      </c>
      <c r="M1587" s="37">
        <v>117.84</v>
      </c>
      <c r="N1587" s="36">
        <v>117.84</v>
      </c>
    </row>
    <row r="1588" ht="38.25">
      <c r="A1588" s="19" t="s">
        <v>10460</v>
      </c>
      <c r="B1588" s="19">
        <v>2616</v>
      </c>
      <c r="C1588" s="20" t="s">
        <v>12046</v>
      </c>
      <c r="D1588" s="19" t="s">
        <v>31</v>
      </c>
      <c r="E1588" s="19" t="s">
        <v>10459</v>
      </c>
      <c r="F1588" s="21">
        <f t="shared" si="530"/>
        <v>3.3300000000000001</v>
      </c>
      <c r="G1588" s="21">
        <f t="shared" si="530"/>
        <v>3.3300000000000001</v>
      </c>
      <c r="H1588" s="21">
        <f t="shared" si="530"/>
        <v>3.3300000000000001</v>
      </c>
      <c r="I1588" s="24" t="str">
        <f t="shared" si="531"/>
        <v xml:space="preserve">COM VALOR</v>
      </c>
      <c r="L1588" s="36">
        <v>3.3300000000000001</v>
      </c>
      <c r="M1588" s="37">
        <v>3.3300000000000001</v>
      </c>
      <c r="N1588" s="36">
        <v>3.3300000000000001</v>
      </c>
    </row>
    <row r="1589" ht="38.25">
      <c r="A1589" s="19" t="s">
        <v>10460</v>
      </c>
      <c r="B1589" s="19">
        <v>2633</v>
      </c>
      <c r="C1589" s="20" t="s">
        <v>12047</v>
      </c>
      <c r="D1589" s="19" t="s">
        <v>31</v>
      </c>
      <c r="E1589" s="19" t="s">
        <v>10459</v>
      </c>
      <c r="F1589" s="21">
        <f t="shared" si="530"/>
        <v>3.77</v>
      </c>
      <c r="G1589" s="21">
        <f t="shared" si="530"/>
        <v>3.77</v>
      </c>
      <c r="H1589" s="21">
        <f t="shared" si="530"/>
        <v>3.77</v>
      </c>
      <c r="I1589" s="24" t="str">
        <f t="shared" si="531"/>
        <v xml:space="preserve">COM VALOR</v>
      </c>
      <c r="L1589" s="36">
        <v>3.77</v>
      </c>
      <c r="M1589" s="37">
        <v>3.77</v>
      </c>
      <c r="N1589" s="36">
        <v>3.77</v>
      </c>
    </row>
    <row r="1590" ht="38.25">
      <c r="A1590" s="19" t="s">
        <v>10460</v>
      </c>
      <c r="B1590" s="19">
        <v>2617</v>
      </c>
      <c r="C1590" s="20" t="s">
        <v>12048</v>
      </c>
      <c r="D1590" s="19" t="s">
        <v>31</v>
      </c>
      <c r="E1590" s="19" t="s">
        <v>10459</v>
      </c>
      <c r="F1590" s="21">
        <f t="shared" si="530"/>
        <v>5.1200000000000001</v>
      </c>
      <c r="G1590" s="21">
        <f t="shared" si="530"/>
        <v>5.1200000000000001</v>
      </c>
      <c r="H1590" s="21">
        <f t="shared" si="530"/>
        <v>5.1200000000000001</v>
      </c>
      <c r="I1590" s="24" t="str">
        <f t="shared" si="531"/>
        <v xml:space="preserve">COM VALOR</v>
      </c>
      <c r="L1590" s="36">
        <v>5.1200000000000001</v>
      </c>
      <c r="M1590" s="37">
        <v>5.1200000000000001</v>
      </c>
      <c r="N1590" s="36">
        <v>5.1200000000000001</v>
      </c>
    </row>
    <row r="1591" ht="38.25">
      <c r="A1591" s="19" t="s">
        <v>10460</v>
      </c>
      <c r="B1591" s="19">
        <v>2618</v>
      </c>
      <c r="C1591" s="20" t="s">
        <v>12049</v>
      </c>
      <c r="D1591" s="19" t="s">
        <v>31</v>
      </c>
      <c r="E1591" s="19" t="s">
        <v>10459</v>
      </c>
      <c r="F1591" s="21">
        <f t="shared" si="530"/>
        <v>11.67</v>
      </c>
      <c r="G1591" s="21">
        <f t="shared" si="530"/>
        <v>11.67</v>
      </c>
      <c r="H1591" s="21">
        <f t="shared" si="530"/>
        <v>11.67</v>
      </c>
      <c r="I1591" s="24" t="str">
        <f t="shared" si="531"/>
        <v xml:space="preserve">COM VALOR</v>
      </c>
      <c r="L1591" s="36">
        <v>11.67</v>
      </c>
      <c r="M1591" s="37">
        <v>11.67</v>
      </c>
      <c r="N1591" s="36">
        <v>11.67</v>
      </c>
    </row>
    <row r="1592" ht="38.25">
      <c r="A1592" s="19" t="s">
        <v>10460</v>
      </c>
      <c r="B1592" s="19">
        <v>2632</v>
      </c>
      <c r="C1592" s="20" t="s">
        <v>12050</v>
      </c>
      <c r="D1592" s="19" t="s">
        <v>31</v>
      </c>
      <c r="E1592" s="19" t="s">
        <v>10459</v>
      </c>
      <c r="F1592" s="21">
        <f t="shared" si="530"/>
        <v>14.23</v>
      </c>
      <c r="G1592" s="21">
        <f t="shared" si="530"/>
        <v>14.23</v>
      </c>
      <c r="H1592" s="21">
        <f t="shared" si="530"/>
        <v>14.23</v>
      </c>
      <c r="I1592" s="24" t="str">
        <f t="shared" si="531"/>
        <v xml:space="preserve">COM VALOR</v>
      </c>
      <c r="L1592" s="36">
        <v>14.23</v>
      </c>
      <c r="M1592" s="37">
        <v>14.23</v>
      </c>
      <c r="N1592" s="36">
        <v>14.23</v>
      </c>
    </row>
    <row r="1593" ht="25.5">
      <c r="A1593" s="19" t="s">
        <v>10460</v>
      </c>
      <c r="B1593" s="19">
        <v>2631</v>
      </c>
      <c r="C1593" s="20" t="s">
        <v>12051</v>
      </c>
      <c r="D1593" s="19" t="s">
        <v>31</v>
      </c>
      <c r="E1593" s="19" t="s">
        <v>10459</v>
      </c>
      <c r="F1593" s="21">
        <f t="shared" si="530"/>
        <v>20.899999999999999</v>
      </c>
      <c r="G1593" s="21">
        <f t="shared" si="530"/>
        <v>20.899999999999999</v>
      </c>
      <c r="H1593" s="21">
        <f t="shared" si="530"/>
        <v>20.899999999999999</v>
      </c>
      <c r="I1593" s="24" t="str">
        <f t="shared" si="531"/>
        <v xml:space="preserve">COM VALOR</v>
      </c>
      <c r="L1593" s="36">
        <v>20.899999999999999</v>
      </c>
      <c r="M1593" s="37">
        <v>20.899999999999999</v>
      </c>
      <c r="N1593" s="36">
        <v>20.899999999999999</v>
      </c>
    </row>
    <row r="1594" ht="25.5">
      <c r="A1594" s="19" t="s">
        <v>10460</v>
      </c>
      <c r="B1594" s="19">
        <v>2619</v>
      </c>
      <c r="C1594" s="20" t="s">
        <v>12052</v>
      </c>
      <c r="D1594" s="19" t="s">
        <v>31</v>
      </c>
      <c r="E1594" s="19" t="s">
        <v>10459</v>
      </c>
      <c r="F1594" s="21">
        <f t="shared" si="530"/>
        <v>52.920000000000002</v>
      </c>
      <c r="G1594" s="21">
        <f t="shared" si="530"/>
        <v>52.920000000000002</v>
      </c>
      <c r="H1594" s="21">
        <f t="shared" si="530"/>
        <v>52.920000000000002</v>
      </c>
      <c r="I1594" s="24" t="str">
        <f t="shared" si="531"/>
        <v xml:space="preserve">COM VALOR</v>
      </c>
      <c r="L1594" s="36">
        <v>52.920000000000002</v>
      </c>
      <c r="M1594" s="37">
        <v>52.920000000000002</v>
      </c>
      <c r="N1594" s="36">
        <v>52.920000000000002</v>
      </c>
    </row>
    <row r="1595" ht="25.5">
      <c r="A1595" s="19" t="s">
        <v>10460</v>
      </c>
      <c r="B1595" s="19">
        <v>2620</v>
      </c>
      <c r="C1595" s="20" t="s">
        <v>12053</v>
      </c>
      <c r="D1595" s="19" t="s">
        <v>31</v>
      </c>
      <c r="E1595" s="19" t="s">
        <v>10459</v>
      </c>
      <c r="F1595" s="21">
        <f t="shared" si="530"/>
        <v>69.480000000000004</v>
      </c>
      <c r="G1595" s="21">
        <f t="shared" si="530"/>
        <v>69.480000000000004</v>
      </c>
      <c r="H1595" s="21">
        <f t="shared" si="530"/>
        <v>69.480000000000004</v>
      </c>
      <c r="I1595" s="24" t="str">
        <f t="shared" si="531"/>
        <v xml:space="preserve">COM VALOR</v>
      </c>
      <c r="L1595" s="36">
        <v>69.480000000000004</v>
      </c>
      <c r="M1595" s="37">
        <v>69.480000000000004</v>
      </c>
      <c r="N1595" s="36">
        <v>69.480000000000004</v>
      </c>
    </row>
    <row r="1596" ht="25.5">
      <c r="A1596" s="19" t="s">
        <v>10460</v>
      </c>
      <c r="B1596" s="19">
        <v>40413</v>
      </c>
      <c r="C1596" s="20" t="s">
        <v>12054</v>
      </c>
      <c r="D1596" s="19" t="s">
        <v>31</v>
      </c>
      <c r="E1596" s="19" t="s">
        <v>10459</v>
      </c>
      <c r="F1596" s="21" t="str">
        <f t="shared" si="530"/>
        <v>VERIFICAR</v>
      </c>
      <c r="G1596" s="21" t="str">
        <f t="shared" si="530"/>
        <v>VERIFICAR</v>
      </c>
      <c r="H1596" s="21" t="str">
        <f t="shared" si="530"/>
        <v>VERIFICAR</v>
      </c>
      <c r="I1596" s="24" t="str">
        <f t="shared" si="531"/>
        <v xml:space="preserve">SEM VALOR</v>
      </c>
      <c r="L1596" s="36"/>
      <c r="M1596" s="37"/>
      <c r="N1596" s="36"/>
    </row>
    <row r="1597" ht="25.5">
      <c r="A1597" s="19" t="s">
        <v>10460</v>
      </c>
      <c r="B1597" s="19">
        <v>40415</v>
      </c>
      <c r="C1597" s="20" t="s">
        <v>12055</v>
      </c>
      <c r="D1597" s="19" t="s">
        <v>31</v>
      </c>
      <c r="E1597" s="19" t="s">
        <v>10459</v>
      </c>
      <c r="F1597" s="21" t="str">
        <f t="shared" si="530"/>
        <v>VERIFICAR</v>
      </c>
      <c r="G1597" s="21" t="str">
        <f t="shared" si="530"/>
        <v>VERIFICAR</v>
      </c>
      <c r="H1597" s="21" t="str">
        <f t="shared" si="530"/>
        <v>VERIFICAR</v>
      </c>
      <c r="I1597" s="24" t="str">
        <f t="shared" si="531"/>
        <v xml:space="preserve">SEM VALOR</v>
      </c>
      <c r="L1597" s="36"/>
      <c r="M1597" s="37"/>
      <c r="N1597" s="36"/>
    </row>
    <row r="1598" ht="25.5">
      <c r="A1598" s="19" t="s">
        <v>10460</v>
      </c>
      <c r="B1598" s="19">
        <v>40417</v>
      </c>
      <c r="C1598" s="20" t="s">
        <v>12056</v>
      </c>
      <c r="D1598" s="19" t="s">
        <v>31</v>
      </c>
      <c r="E1598" s="19" t="s">
        <v>10459</v>
      </c>
      <c r="F1598" s="21" t="str">
        <f t="shared" si="530"/>
        <v>VERIFICAR</v>
      </c>
      <c r="G1598" s="21" t="str">
        <f t="shared" si="530"/>
        <v>VERIFICAR</v>
      </c>
      <c r="H1598" s="21" t="str">
        <f t="shared" si="530"/>
        <v>VERIFICAR</v>
      </c>
      <c r="I1598" s="24" t="str">
        <f t="shared" si="531"/>
        <v xml:space="preserve">SEM VALOR</v>
      </c>
      <c r="L1598" s="36"/>
      <c r="M1598" s="37"/>
      <c r="N1598" s="36"/>
    </row>
    <row r="1599" ht="25.5">
      <c r="A1599" s="19" t="s">
        <v>10460</v>
      </c>
      <c r="B1599" s="19">
        <v>39273</v>
      </c>
      <c r="C1599" s="20" t="s">
        <v>12057</v>
      </c>
      <c r="D1599" s="19" t="s">
        <v>31</v>
      </c>
      <c r="E1599" s="19" t="s">
        <v>10459</v>
      </c>
      <c r="F1599" s="21">
        <f t="shared" si="530"/>
        <v>2.5600000000000001</v>
      </c>
      <c r="G1599" s="21">
        <f t="shared" si="530"/>
        <v>2.5600000000000001</v>
      </c>
      <c r="H1599" s="21">
        <f t="shared" si="530"/>
        <v>2.5600000000000001</v>
      </c>
      <c r="I1599" s="24" t="str">
        <f t="shared" si="531"/>
        <v xml:space="preserve">COM VALOR</v>
      </c>
      <c r="L1599" s="36">
        <v>2.5600000000000001</v>
      </c>
      <c r="M1599" s="37">
        <v>2.5600000000000001</v>
      </c>
      <c r="N1599" s="36">
        <v>2.5600000000000001</v>
      </c>
    </row>
    <row r="1600" ht="25.5">
      <c r="A1600" s="19" t="s">
        <v>10460</v>
      </c>
      <c r="B1600" s="19">
        <v>39271</v>
      </c>
      <c r="C1600" s="20" t="s">
        <v>12058</v>
      </c>
      <c r="D1600" s="19" t="s">
        <v>31</v>
      </c>
      <c r="E1600" s="19" t="s">
        <v>10459</v>
      </c>
      <c r="F1600" s="21">
        <f t="shared" si="530"/>
        <v>1.5</v>
      </c>
      <c r="G1600" s="21">
        <f t="shared" si="530"/>
        <v>1.5</v>
      </c>
      <c r="H1600" s="21">
        <f t="shared" si="530"/>
        <v>1.5</v>
      </c>
      <c r="I1600" s="24" t="str">
        <f t="shared" si="531"/>
        <v xml:space="preserve">COM VALOR</v>
      </c>
      <c r="L1600" s="36">
        <v>1.5</v>
      </c>
      <c r="M1600" s="37">
        <v>1.5</v>
      </c>
      <c r="N1600" s="36">
        <v>1.5</v>
      </c>
    </row>
    <row r="1601" ht="25.5">
      <c r="A1601" s="19" t="s">
        <v>10460</v>
      </c>
      <c r="B1601" s="19">
        <v>39272</v>
      </c>
      <c r="C1601" s="20" t="s">
        <v>12059</v>
      </c>
      <c r="D1601" s="19" t="s">
        <v>31</v>
      </c>
      <c r="E1601" s="19" t="s">
        <v>10459</v>
      </c>
      <c r="F1601" s="21">
        <f t="shared" si="530"/>
        <v>1.8500000000000001</v>
      </c>
      <c r="G1601" s="21">
        <f t="shared" si="530"/>
        <v>1.8500000000000001</v>
      </c>
      <c r="H1601" s="21">
        <f t="shared" si="530"/>
        <v>1.8500000000000001</v>
      </c>
      <c r="I1601" s="24" t="str">
        <f t="shared" si="531"/>
        <v xml:space="preserve">COM VALOR</v>
      </c>
      <c r="L1601" s="36">
        <v>1.8500000000000001</v>
      </c>
      <c r="M1601" s="37">
        <v>1.8500000000000001</v>
      </c>
      <c r="N1601" s="36">
        <v>1.8500000000000001</v>
      </c>
    </row>
    <row r="1602" ht="25.5">
      <c r="A1602" s="19" t="s">
        <v>10460</v>
      </c>
      <c r="B1602" s="19">
        <v>1875</v>
      </c>
      <c r="C1602" s="20" t="s">
        <v>12060</v>
      </c>
      <c r="D1602" s="19" t="s">
        <v>31</v>
      </c>
      <c r="E1602" s="19" t="s">
        <v>10459</v>
      </c>
      <c r="F1602" s="21">
        <f t="shared" si="530"/>
        <v>4.0899999999999999</v>
      </c>
      <c r="G1602" s="21">
        <f t="shared" si="530"/>
        <v>4.0899999999999999</v>
      </c>
      <c r="H1602" s="21">
        <f t="shared" si="530"/>
        <v>4.0899999999999999</v>
      </c>
      <c r="I1602" s="24" t="str">
        <f t="shared" si="531"/>
        <v xml:space="preserve">COM VALOR</v>
      </c>
      <c r="L1602" s="36">
        <v>4.0899999999999999</v>
      </c>
      <c r="M1602" s="37">
        <v>4.0899999999999999</v>
      </c>
      <c r="N1602" s="36">
        <v>4.0899999999999999</v>
      </c>
    </row>
    <row r="1603" ht="25.5">
      <c r="A1603" s="19" t="s">
        <v>10460</v>
      </c>
      <c r="B1603" s="19">
        <v>1874</v>
      </c>
      <c r="C1603" s="20" t="s">
        <v>12061</v>
      </c>
      <c r="D1603" s="19" t="s">
        <v>31</v>
      </c>
      <c r="E1603" s="19" t="s">
        <v>10459</v>
      </c>
      <c r="F1603" s="21">
        <f t="shared" si="530"/>
        <v>3.3700000000000001</v>
      </c>
      <c r="G1603" s="21">
        <f t="shared" si="530"/>
        <v>3.3700000000000001</v>
      </c>
      <c r="H1603" s="21">
        <f t="shared" si="530"/>
        <v>3.3700000000000001</v>
      </c>
      <c r="I1603" s="24" t="str">
        <f t="shared" si="531"/>
        <v xml:space="preserve">COM VALOR</v>
      </c>
      <c r="L1603" s="36">
        <v>3.3700000000000001</v>
      </c>
      <c r="M1603" s="37">
        <v>3.3700000000000001</v>
      </c>
      <c r="N1603" s="36">
        <v>3.3700000000000001</v>
      </c>
    </row>
    <row r="1604" ht="25.5">
      <c r="A1604" s="19" t="s">
        <v>10460</v>
      </c>
      <c r="B1604" s="19">
        <v>1884</v>
      </c>
      <c r="C1604" s="20" t="s">
        <v>12062</v>
      </c>
      <c r="D1604" s="19" t="s">
        <v>31</v>
      </c>
      <c r="E1604" s="19" t="s">
        <v>10459</v>
      </c>
      <c r="F1604" s="21">
        <f t="shared" si="530"/>
        <v>2.9900000000000002</v>
      </c>
      <c r="G1604" s="21">
        <f t="shared" si="530"/>
        <v>2.9900000000000002</v>
      </c>
      <c r="H1604" s="21">
        <f t="shared" si="530"/>
        <v>2.9900000000000002</v>
      </c>
      <c r="I1604" s="24" t="str">
        <f t="shared" si="531"/>
        <v xml:space="preserve">COM VALOR</v>
      </c>
      <c r="L1604" s="36">
        <v>2.9900000000000002</v>
      </c>
      <c r="M1604" s="37">
        <v>2.9900000000000002</v>
      </c>
      <c r="N1604" s="36">
        <v>2.9900000000000002</v>
      </c>
    </row>
    <row r="1605" ht="25.5">
      <c r="A1605" s="19" t="s">
        <v>10460</v>
      </c>
      <c r="B1605" s="19">
        <v>1870</v>
      </c>
      <c r="C1605" s="20" t="s">
        <v>12063</v>
      </c>
      <c r="D1605" s="19" t="s">
        <v>31</v>
      </c>
      <c r="E1605" s="19" t="s">
        <v>10466</v>
      </c>
      <c r="F1605" s="21">
        <f t="shared" si="530"/>
        <v>1.95</v>
      </c>
      <c r="G1605" s="21">
        <f t="shared" si="530"/>
        <v>1.95</v>
      </c>
      <c r="H1605" s="21">
        <f t="shared" si="530"/>
        <v>1.95</v>
      </c>
      <c r="I1605" s="24" t="str">
        <f t="shared" si="531"/>
        <v xml:space="preserve">COM VALOR</v>
      </c>
      <c r="L1605" s="36">
        <v>1.95</v>
      </c>
      <c r="M1605" s="37">
        <v>1.95</v>
      </c>
      <c r="N1605" s="36">
        <v>1.95</v>
      </c>
    </row>
    <row r="1606" ht="25.5">
      <c r="A1606" s="19" t="s">
        <v>10460</v>
      </c>
      <c r="B1606" s="19">
        <v>1887</v>
      </c>
      <c r="C1606" s="20" t="s">
        <v>12064</v>
      </c>
      <c r="D1606" s="19" t="s">
        <v>31</v>
      </c>
      <c r="E1606" s="19" t="s">
        <v>10459</v>
      </c>
      <c r="F1606" s="21">
        <f t="shared" si="530"/>
        <v>16.949999999999999</v>
      </c>
      <c r="G1606" s="21">
        <f t="shared" si="530"/>
        <v>16.949999999999999</v>
      </c>
      <c r="H1606" s="21">
        <f t="shared" si="530"/>
        <v>16.949999999999999</v>
      </c>
      <c r="I1606" s="24" t="str">
        <f t="shared" si="531"/>
        <v xml:space="preserve">COM VALOR</v>
      </c>
      <c r="L1606" s="36">
        <v>16.949999999999999</v>
      </c>
      <c r="M1606" s="37">
        <v>16.949999999999999</v>
      </c>
      <c r="N1606" s="36">
        <v>16.949999999999999</v>
      </c>
    </row>
    <row r="1607" ht="25.5">
      <c r="A1607" s="19" t="s">
        <v>10460</v>
      </c>
      <c r="B1607" s="19">
        <v>1876</v>
      </c>
      <c r="C1607" s="20" t="s">
        <v>12065</v>
      </c>
      <c r="D1607" s="19" t="s">
        <v>31</v>
      </c>
      <c r="E1607" s="19" t="s">
        <v>10459</v>
      </c>
      <c r="F1607" s="21">
        <f t="shared" si="530"/>
        <v>6.6399999999999997</v>
      </c>
      <c r="G1607" s="21">
        <f t="shared" si="530"/>
        <v>6.6399999999999997</v>
      </c>
      <c r="H1607" s="21">
        <f t="shared" si="530"/>
        <v>6.6399999999999997</v>
      </c>
      <c r="I1607" s="24" t="str">
        <f t="shared" si="531"/>
        <v xml:space="preserve">COM VALOR</v>
      </c>
      <c r="L1607" s="36">
        <v>6.6399999999999997</v>
      </c>
      <c r="M1607" s="37">
        <v>6.6399999999999997</v>
      </c>
      <c r="N1607" s="36">
        <v>6.6399999999999997</v>
      </c>
    </row>
    <row r="1608" ht="25.5">
      <c r="A1608" s="19" t="s">
        <v>10460</v>
      </c>
      <c r="B1608" s="19">
        <v>1877</v>
      </c>
      <c r="C1608" s="20" t="s">
        <v>12066</v>
      </c>
      <c r="D1608" s="19" t="s">
        <v>31</v>
      </c>
      <c r="E1608" s="19" t="s">
        <v>10459</v>
      </c>
      <c r="F1608" s="21">
        <f t="shared" si="530"/>
        <v>16.969999999999999</v>
      </c>
      <c r="G1608" s="21">
        <f t="shared" si="530"/>
        <v>16.969999999999999</v>
      </c>
      <c r="H1608" s="21">
        <f t="shared" si="530"/>
        <v>16.969999999999999</v>
      </c>
      <c r="I1608" s="24" t="str">
        <f t="shared" si="531"/>
        <v xml:space="preserve">COM VALOR</v>
      </c>
      <c r="L1608" s="36">
        <v>16.969999999999999</v>
      </c>
      <c r="M1608" s="37">
        <v>16.969999999999999</v>
      </c>
      <c r="N1608" s="36">
        <v>16.969999999999999</v>
      </c>
    </row>
    <row r="1609" ht="25.5">
      <c r="A1609" s="19" t="s">
        <v>10460</v>
      </c>
      <c r="B1609" s="19">
        <v>1879</v>
      </c>
      <c r="C1609" s="20" t="s">
        <v>12067</v>
      </c>
      <c r="D1609" s="19" t="s">
        <v>31</v>
      </c>
      <c r="E1609" s="19" t="s">
        <v>10459</v>
      </c>
      <c r="F1609" s="21">
        <f t="shared" si="530"/>
        <v>1.97</v>
      </c>
      <c r="G1609" s="21">
        <f t="shared" si="530"/>
        <v>1.97</v>
      </c>
      <c r="H1609" s="21">
        <f t="shared" si="530"/>
        <v>1.97</v>
      </c>
      <c r="I1609" s="24" t="str">
        <f t="shared" si="531"/>
        <v xml:space="preserve">COM VALOR</v>
      </c>
      <c r="L1609" s="36">
        <v>1.97</v>
      </c>
      <c r="M1609" s="37">
        <v>1.97</v>
      </c>
      <c r="N1609" s="36">
        <v>1.97</v>
      </c>
    </row>
    <row r="1610" ht="25.5">
      <c r="A1610" s="19" t="s">
        <v>10460</v>
      </c>
      <c r="B1610" s="19">
        <v>1878</v>
      </c>
      <c r="C1610" s="20" t="s">
        <v>12068</v>
      </c>
      <c r="D1610" s="19" t="s">
        <v>31</v>
      </c>
      <c r="E1610" s="19" t="s">
        <v>10459</v>
      </c>
      <c r="F1610" s="21">
        <f t="shared" si="530"/>
        <v>34.109999999999999</v>
      </c>
      <c r="G1610" s="21">
        <f t="shared" si="530"/>
        <v>34.109999999999999</v>
      </c>
      <c r="H1610" s="21">
        <f t="shared" si="530"/>
        <v>34.109999999999999</v>
      </c>
      <c r="I1610" s="24" t="str">
        <f t="shared" si="531"/>
        <v xml:space="preserve">COM VALOR</v>
      </c>
      <c r="L1610" s="36">
        <v>34.109999999999999</v>
      </c>
      <c r="M1610" s="37">
        <v>34.109999999999999</v>
      </c>
      <c r="N1610" s="36">
        <v>34.109999999999999</v>
      </c>
    </row>
    <row r="1611" ht="25.5">
      <c r="A1611" s="19" t="s">
        <v>10460</v>
      </c>
      <c r="B1611" s="19">
        <v>37971</v>
      </c>
      <c r="C1611" s="20" t="s">
        <v>12069</v>
      </c>
      <c r="D1611" s="19" t="s">
        <v>31</v>
      </c>
      <c r="E1611" s="19" t="s">
        <v>10459</v>
      </c>
      <c r="F1611" s="21">
        <f t="shared" ref="F1611:H1674" si="532">IF(L1611=0,"VERIFICAR",L1611)</f>
        <v>5.7699999999999996</v>
      </c>
      <c r="G1611" s="21">
        <f t="shared" si="532"/>
        <v>5.7699999999999996</v>
      </c>
      <c r="H1611" s="21">
        <f t="shared" si="532"/>
        <v>5.7699999999999996</v>
      </c>
      <c r="I1611" s="24" t="str">
        <f t="shared" ref="I1611:I1674" si="533">IF(OR(L1611=0,M1611=0,N1611=0),"SEM VALOR","COM VALOR")</f>
        <v xml:space="preserve">COM VALOR</v>
      </c>
      <c r="L1611" s="36">
        <v>5.7699999999999996</v>
      </c>
      <c r="M1611" s="37">
        <v>5.7699999999999996</v>
      </c>
      <c r="N1611" s="36">
        <v>5.7699999999999996</v>
      </c>
    </row>
    <row r="1612" ht="25.5">
      <c r="A1612" s="19" t="s">
        <v>10460</v>
      </c>
      <c r="B1612" s="19">
        <v>37972</v>
      </c>
      <c r="C1612" s="20" t="s">
        <v>12070</v>
      </c>
      <c r="D1612" s="19" t="s">
        <v>31</v>
      </c>
      <c r="E1612" s="19" t="s">
        <v>10459</v>
      </c>
      <c r="F1612" s="21">
        <f t="shared" si="532"/>
        <v>8.1899999999999995</v>
      </c>
      <c r="G1612" s="21">
        <f t="shared" si="532"/>
        <v>8.1899999999999995</v>
      </c>
      <c r="H1612" s="21">
        <f t="shared" si="532"/>
        <v>8.1899999999999995</v>
      </c>
      <c r="I1612" s="24" t="str">
        <f t="shared" si="533"/>
        <v xml:space="preserve">COM VALOR</v>
      </c>
      <c r="L1612" s="36">
        <v>8.1899999999999995</v>
      </c>
      <c r="M1612" s="37">
        <v>8.1899999999999995</v>
      </c>
      <c r="N1612" s="36">
        <v>8.1899999999999995</v>
      </c>
    </row>
    <row r="1613" ht="25.5">
      <c r="A1613" s="19" t="s">
        <v>10460</v>
      </c>
      <c r="B1613" s="19">
        <v>37973</v>
      </c>
      <c r="C1613" s="20" t="s">
        <v>12071</v>
      </c>
      <c r="D1613" s="19" t="s">
        <v>31</v>
      </c>
      <c r="E1613" s="19" t="s">
        <v>10459</v>
      </c>
      <c r="F1613" s="21">
        <f t="shared" si="532"/>
        <v>15.380000000000001</v>
      </c>
      <c r="G1613" s="21">
        <f t="shared" si="532"/>
        <v>15.380000000000001</v>
      </c>
      <c r="H1613" s="21">
        <f t="shared" si="532"/>
        <v>15.380000000000001</v>
      </c>
      <c r="I1613" s="24" t="str">
        <f t="shared" si="533"/>
        <v xml:space="preserve">COM VALOR</v>
      </c>
      <c r="L1613" s="36">
        <v>15.380000000000001</v>
      </c>
      <c r="M1613" s="37">
        <v>15.380000000000001</v>
      </c>
      <c r="N1613" s="36">
        <v>15.380000000000001</v>
      </c>
    </row>
    <row r="1614" ht="25.5">
      <c r="A1614" s="19" t="s">
        <v>10460</v>
      </c>
      <c r="B1614" s="19">
        <v>1926</v>
      </c>
      <c r="C1614" s="20" t="s">
        <v>12072</v>
      </c>
      <c r="D1614" s="19" t="s">
        <v>31</v>
      </c>
      <c r="E1614" s="19" t="s">
        <v>10459</v>
      </c>
      <c r="F1614" s="21">
        <f t="shared" si="532"/>
        <v>2.2799999999999998</v>
      </c>
      <c r="G1614" s="21">
        <f t="shared" si="532"/>
        <v>2.2799999999999998</v>
      </c>
      <c r="H1614" s="21">
        <f t="shared" si="532"/>
        <v>2.2799999999999998</v>
      </c>
      <c r="I1614" s="24" t="str">
        <f t="shared" si="533"/>
        <v xml:space="preserve">COM VALOR</v>
      </c>
      <c r="L1614" s="36">
        <v>2.2799999999999998</v>
      </c>
      <c r="M1614" s="37">
        <v>2.2799999999999998</v>
      </c>
      <c r="N1614" s="36">
        <v>2.2799999999999998</v>
      </c>
    </row>
    <row r="1615" ht="25.5">
      <c r="A1615" s="19" t="s">
        <v>10460</v>
      </c>
      <c r="B1615" s="19">
        <v>1927</v>
      </c>
      <c r="C1615" s="20" t="s">
        <v>12073</v>
      </c>
      <c r="D1615" s="19" t="s">
        <v>31</v>
      </c>
      <c r="E1615" s="19" t="s">
        <v>10459</v>
      </c>
      <c r="F1615" s="21">
        <f t="shared" si="532"/>
        <v>2.5600000000000001</v>
      </c>
      <c r="G1615" s="21">
        <f t="shared" si="532"/>
        <v>2.5600000000000001</v>
      </c>
      <c r="H1615" s="21">
        <f t="shared" si="532"/>
        <v>2.5600000000000001</v>
      </c>
      <c r="I1615" s="24" t="str">
        <f t="shared" si="533"/>
        <v xml:space="preserve">COM VALOR</v>
      </c>
      <c r="L1615" s="36">
        <v>2.5600000000000001</v>
      </c>
      <c r="M1615" s="37">
        <v>2.5600000000000001</v>
      </c>
      <c r="N1615" s="36">
        <v>2.5600000000000001</v>
      </c>
    </row>
    <row r="1616" ht="25.5">
      <c r="A1616" s="19" t="s">
        <v>10460</v>
      </c>
      <c r="B1616" s="19">
        <v>1923</v>
      </c>
      <c r="C1616" s="20" t="s">
        <v>12074</v>
      </c>
      <c r="D1616" s="19" t="s">
        <v>31</v>
      </c>
      <c r="E1616" s="19" t="s">
        <v>10459</v>
      </c>
      <c r="F1616" s="21">
        <f t="shared" si="532"/>
        <v>4.6600000000000001</v>
      </c>
      <c r="G1616" s="21">
        <f t="shared" si="532"/>
        <v>4.6600000000000001</v>
      </c>
      <c r="H1616" s="21">
        <f t="shared" si="532"/>
        <v>4.6600000000000001</v>
      </c>
      <c r="I1616" s="24" t="str">
        <f t="shared" si="533"/>
        <v xml:space="preserve">COM VALOR</v>
      </c>
      <c r="L1616" s="36">
        <v>4.6600000000000001</v>
      </c>
      <c r="M1616" s="37">
        <v>4.6600000000000001</v>
      </c>
      <c r="N1616" s="36">
        <v>4.6600000000000001</v>
      </c>
    </row>
    <row r="1617" ht="25.5">
      <c r="A1617" s="19" t="s">
        <v>10460</v>
      </c>
      <c r="B1617" s="19">
        <v>1929</v>
      </c>
      <c r="C1617" s="20" t="s">
        <v>12075</v>
      </c>
      <c r="D1617" s="19" t="s">
        <v>31</v>
      </c>
      <c r="E1617" s="19" t="s">
        <v>10459</v>
      </c>
      <c r="F1617" s="21">
        <f t="shared" si="532"/>
        <v>5.6500000000000004</v>
      </c>
      <c r="G1617" s="21">
        <f t="shared" si="532"/>
        <v>5.6500000000000004</v>
      </c>
      <c r="H1617" s="21">
        <f t="shared" si="532"/>
        <v>5.6500000000000004</v>
      </c>
      <c r="I1617" s="24" t="str">
        <f t="shared" si="533"/>
        <v xml:space="preserve">COM VALOR</v>
      </c>
      <c r="L1617" s="36">
        <v>5.6500000000000004</v>
      </c>
      <c r="M1617" s="37">
        <v>5.6500000000000004</v>
      </c>
      <c r="N1617" s="36">
        <v>5.6500000000000004</v>
      </c>
    </row>
    <row r="1618" ht="25.5">
      <c r="A1618" s="19" t="s">
        <v>10460</v>
      </c>
      <c r="B1618" s="19">
        <v>1930</v>
      </c>
      <c r="C1618" s="20" t="s">
        <v>12076</v>
      </c>
      <c r="D1618" s="19" t="s">
        <v>31</v>
      </c>
      <c r="E1618" s="19" t="s">
        <v>10459</v>
      </c>
      <c r="F1618" s="21">
        <f t="shared" si="532"/>
        <v>9.6699999999999999</v>
      </c>
      <c r="G1618" s="21">
        <f t="shared" si="532"/>
        <v>9.6699999999999999</v>
      </c>
      <c r="H1618" s="21">
        <f t="shared" si="532"/>
        <v>9.6699999999999999</v>
      </c>
      <c r="I1618" s="24" t="str">
        <f t="shared" si="533"/>
        <v xml:space="preserve">COM VALOR</v>
      </c>
      <c r="L1618" s="36">
        <v>9.6699999999999999</v>
      </c>
      <c r="M1618" s="37">
        <v>9.6699999999999999</v>
      </c>
      <c r="N1618" s="36">
        <v>9.6699999999999999</v>
      </c>
    </row>
    <row r="1619" ht="25.5">
      <c r="A1619" s="19" t="s">
        <v>10460</v>
      </c>
      <c r="B1619" s="19">
        <v>1924</v>
      </c>
      <c r="C1619" s="20" t="s">
        <v>12077</v>
      </c>
      <c r="D1619" s="19" t="s">
        <v>31</v>
      </c>
      <c r="E1619" s="19" t="s">
        <v>10459</v>
      </c>
      <c r="F1619" s="21">
        <f t="shared" si="532"/>
        <v>15.609999999999999</v>
      </c>
      <c r="G1619" s="21">
        <f t="shared" si="532"/>
        <v>15.609999999999999</v>
      </c>
      <c r="H1619" s="21">
        <f t="shared" si="532"/>
        <v>15.609999999999999</v>
      </c>
      <c r="I1619" s="24" t="str">
        <f t="shared" si="533"/>
        <v xml:space="preserve">COM VALOR</v>
      </c>
      <c r="L1619" s="36">
        <v>15.609999999999999</v>
      </c>
      <c r="M1619" s="37">
        <v>15.609999999999999</v>
      </c>
      <c r="N1619" s="36">
        <v>15.609999999999999</v>
      </c>
    </row>
    <row r="1620" ht="25.5">
      <c r="A1620" s="19" t="s">
        <v>10460</v>
      </c>
      <c r="B1620" s="19">
        <v>1922</v>
      </c>
      <c r="C1620" s="20" t="s">
        <v>12078</v>
      </c>
      <c r="D1620" s="19" t="s">
        <v>31</v>
      </c>
      <c r="E1620" s="19" t="s">
        <v>10459</v>
      </c>
      <c r="F1620" s="21">
        <f t="shared" si="532"/>
        <v>32.270000000000003</v>
      </c>
      <c r="G1620" s="21">
        <f t="shared" si="532"/>
        <v>32.270000000000003</v>
      </c>
      <c r="H1620" s="21">
        <f t="shared" si="532"/>
        <v>32.270000000000003</v>
      </c>
      <c r="I1620" s="24" t="str">
        <f t="shared" si="533"/>
        <v xml:space="preserve">COM VALOR</v>
      </c>
      <c r="L1620" s="36">
        <v>32.270000000000003</v>
      </c>
      <c r="M1620" s="37">
        <v>32.270000000000003</v>
      </c>
      <c r="N1620" s="36">
        <v>32.270000000000003</v>
      </c>
    </row>
    <row r="1621" ht="25.5">
      <c r="A1621" s="19" t="s">
        <v>10460</v>
      </c>
      <c r="B1621" s="19">
        <v>1953</v>
      </c>
      <c r="C1621" s="20" t="s">
        <v>12079</v>
      </c>
      <c r="D1621" s="19" t="s">
        <v>31</v>
      </c>
      <c r="E1621" s="19" t="s">
        <v>10459</v>
      </c>
      <c r="F1621" s="21">
        <f t="shared" si="532"/>
        <v>39.399999999999999</v>
      </c>
      <c r="G1621" s="21">
        <f t="shared" si="532"/>
        <v>39.399999999999999</v>
      </c>
      <c r="H1621" s="21">
        <f t="shared" si="532"/>
        <v>39.399999999999999</v>
      </c>
      <c r="I1621" s="24" t="str">
        <f t="shared" si="533"/>
        <v xml:space="preserve">COM VALOR</v>
      </c>
      <c r="L1621" s="36">
        <v>39.399999999999999</v>
      </c>
      <c r="M1621" s="37">
        <v>39.399999999999999</v>
      </c>
      <c r="N1621" s="36">
        <v>39.399999999999999</v>
      </c>
    </row>
    <row r="1622" ht="25.5">
      <c r="A1622" s="19" t="s">
        <v>10460</v>
      </c>
      <c r="B1622" s="19">
        <v>1962</v>
      </c>
      <c r="C1622" s="20" t="s">
        <v>12080</v>
      </c>
      <c r="D1622" s="19" t="s">
        <v>31</v>
      </c>
      <c r="E1622" s="19" t="s">
        <v>10459</v>
      </c>
      <c r="F1622" s="21">
        <f t="shared" si="532"/>
        <v>191.41</v>
      </c>
      <c r="G1622" s="21">
        <f t="shared" si="532"/>
        <v>191.41</v>
      </c>
      <c r="H1622" s="21">
        <f t="shared" si="532"/>
        <v>191.41</v>
      </c>
      <c r="I1622" s="24" t="str">
        <f t="shared" si="533"/>
        <v xml:space="preserve">COM VALOR</v>
      </c>
      <c r="L1622" s="36">
        <v>191.41</v>
      </c>
      <c r="M1622" s="37">
        <v>191.41</v>
      </c>
      <c r="N1622" s="36">
        <v>191.41</v>
      </c>
    </row>
    <row r="1623" ht="25.5">
      <c r="A1623" s="19" t="s">
        <v>10460</v>
      </c>
      <c r="B1623" s="19">
        <v>1955</v>
      </c>
      <c r="C1623" s="20" t="s">
        <v>12081</v>
      </c>
      <c r="D1623" s="19" t="s">
        <v>31</v>
      </c>
      <c r="E1623" s="19" t="s">
        <v>10459</v>
      </c>
      <c r="F1623" s="21">
        <f t="shared" si="532"/>
        <v>2.2000000000000002</v>
      </c>
      <c r="G1623" s="21">
        <f t="shared" si="532"/>
        <v>2.2000000000000002</v>
      </c>
      <c r="H1623" s="21">
        <f t="shared" si="532"/>
        <v>2.2000000000000002</v>
      </c>
      <c r="I1623" s="24" t="str">
        <f t="shared" si="533"/>
        <v xml:space="preserve">COM VALOR</v>
      </c>
      <c r="L1623" s="36">
        <v>2.2000000000000002</v>
      </c>
      <c r="M1623" s="37">
        <v>2.2000000000000002</v>
      </c>
      <c r="N1623" s="36">
        <v>2.2000000000000002</v>
      </c>
    </row>
    <row r="1624" ht="25.5">
      <c r="A1624" s="19" t="s">
        <v>10460</v>
      </c>
      <c r="B1624" s="19">
        <v>1956</v>
      </c>
      <c r="C1624" s="20" t="s">
        <v>12082</v>
      </c>
      <c r="D1624" s="19" t="s">
        <v>31</v>
      </c>
      <c r="E1624" s="19" t="s">
        <v>10459</v>
      </c>
      <c r="F1624" s="21">
        <f t="shared" si="532"/>
        <v>3.1099999999999999</v>
      </c>
      <c r="G1624" s="21">
        <f t="shared" si="532"/>
        <v>3.1099999999999999</v>
      </c>
      <c r="H1624" s="21">
        <f t="shared" si="532"/>
        <v>3.1099999999999999</v>
      </c>
      <c r="I1624" s="24" t="str">
        <f t="shared" si="533"/>
        <v xml:space="preserve">COM VALOR</v>
      </c>
      <c r="L1624" s="36">
        <v>3.1099999999999999</v>
      </c>
      <c r="M1624" s="37">
        <v>3.1099999999999999</v>
      </c>
      <c r="N1624" s="36">
        <v>3.1099999999999999</v>
      </c>
    </row>
    <row r="1625" ht="25.5">
      <c r="A1625" s="19" t="s">
        <v>10460</v>
      </c>
      <c r="B1625" s="19">
        <v>1957</v>
      </c>
      <c r="C1625" s="20" t="s">
        <v>12083</v>
      </c>
      <c r="D1625" s="19" t="s">
        <v>31</v>
      </c>
      <c r="E1625" s="19" t="s">
        <v>10459</v>
      </c>
      <c r="F1625" s="21">
        <f t="shared" si="532"/>
        <v>6.7300000000000004</v>
      </c>
      <c r="G1625" s="21">
        <f t="shared" si="532"/>
        <v>6.7300000000000004</v>
      </c>
      <c r="H1625" s="21">
        <f t="shared" si="532"/>
        <v>6.7300000000000004</v>
      </c>
      <c r="I1625" s="24" t="str">
        <f t="shared" si="533"/>
        <v xml:space="preserve">COM VALOR</v>
      </c>
      <c r="L1625" s="36">
        <v>6.7300000000000004</v>
      </c>
      <c r="M1625" s="37">
        <v>6.7300000000000004</v>
      </c>
      <c r="N1625" s="36">
        <v>6.7300000000000004</v>
      </c>
    </row>
    <row r="1626" ht="25.5">
      <c r="A1626" s="19" t="s">
        <v>10460</v>
      </c>
      <c r="B1626" s="19">
        <v>1958</v>
      </c>
      <c r="C1626" s="20" t="s">
        <v>12084</v>
      </c>
      <c r="D1626" s="19" t="s">
        <v>31</v>
      </c>
      <c r="E1626" s="19" t="s">
        <v>10459</v>
      </c>
      <c r="F1626" s="21">
        <f t="shared" si="532"/>
        <v>12.529999999999999</v>
      </c>
      <c r="G1626" s="21">
        <f t="shared" si="532"/>
        <v>12.529999999999999</v>
      </c>
      <c r="H1626" s="21">
        <f t="shared" si="532"/>
        <v>12.529999999999999</v>
      </c>
      <c r="I1626" s="24" t="str">
        <f t="shared" si="533"/>
        <v xml:space="preserve">COM VALOR</v>
      </c>
      <c r="L1626" s="36">
        <v>12.529999999999999</v>
      </c>
      <c r="M1626" s="37">
        <v>12.529999999999999</v>
      </c>
      <c r="N1626" s="36">
        <v>12.529999999999999</v>
      </c>
    </row>
    <row r="1627" ht="25.5">
      <c r="A1627" s="19" t="s">
        <v>10460</v>
      </c>
      <c r="B1627" s="19">
        <v>1959</v>
      </c>
      <c r="C1627" s="20" t="s">
        <v>12085</v>
      </c>
      <c r="D1627" s="19" t="s">
        <v>31</v>
      </c>
      <c r="E1627" s="19" t="s">
        <v>10459</v>
      </c>
      <c r="F1627" s="21">
        <f t="shared" si="532"/>
        <v>13.6</v>
      </c>
      <c r="G1627" s="21">
        <f t="shared" si="532"/>
        <v>13.6</v>
      </c>
      <c r="H1627" s="21">
        <f t="shared" si="532"/>
        <v>13.6</v>
      </c>
      <c r="I1627" s="24" t="str">
        <f t="shared" si="533"/>
        <v xml:space="preserve">COM VALOR</v>
      </c>
      <c r="L1627" s="36">
        <v>13.6</v>
      </c>
      <c r="M1627" s="37">
        <v>13.6</v>
      </c>
      <c r="N1627" s="36">
        <v>13.6</v>
      </c>
    </row>
    <row r="1628" ht="25.5">
      <c r="A1628" s="19" t="s">
        <v>10460</v>
      </c>
      <c r="B1628" s="19">
        <v>1925</v>
      </c>
      <c r="C1628" s="20" t="s">
        <v>12086</v>
      </c>
      <c r="D1628" s="19" t="s">
        <v>31</v>
      </c>
      <c r="E1628" s="19" t="s">
        <v>10459</v>
      </c>
      <c r="F1628" s="21">
        <f t="shared" si="532"/>
        <v>35.549999999999997</v>
      </c>
      <c r="G1628" s="21">
        <f t="shared" si="532"/>
        <v>35.549999999999997</v>
      </c>
      <c r="H1628" s="21">
        <f t="shared" si="532"/>
        <v>35.549999999999997</v>
      </c>
      <c r="I1628" s="24" t="str">
        <f t="shared" si="533"/>
        <v xml:space="preserve">COM VALOR</v>
      </c>
      <c r="L1628" s="36">
        <v>35.549999999999997</v>
      </c>
      <c r="M1628" s="37">
        <v>35.549999999999997</v>
      </c>
      <c r="N1628" s="36">
        <v>35.549999999999997</v>
      </c>
    </row>
    <row r="1629" ht="25.5">
      <c r="A1629" s="19" t="s">
        <v>10460</v>
      </c>
      <c r="B1629" s="19">
        <v>1960</v>
      </c>
      <c r="C1629" s="20" t="s">
        <v>12087</v>
      </c>
      <c r="D1629" s="19" t="s">
        <v>31</v>
      </c>
      <c r="E1629" s="19" t="s">
        <v>10459</v>
      </c>
      <c r="F1629" s="21">
        <f t="shared" si="532"/>
        <v>54.579999999999998</v>
      </c>
      <c r="G1629" s="21">
        <f t="shared" si="532"/>
        <v>54.579999999999998</v>
      </c>
      <c r="H1629" s="21">
        <f t="shared" si="532"/>
        <v>54.579999999999998</v>
      </c>
      <c r="I1629" s="24" t="str">
        <f t="shared" si="533"/>
        <v xml:space="preserve">COM VALOR</v>
      </c>
      <c r="L1629" s="36">
        <v>54.579999999999998</v>
      </c>
      <c r="M1629" s="37">
        <v>54.579999999999998</v>
      </c>
      <c r="N1629" s="36">
        <v>54.579999999999998</v>
      </c>
    </row>
    <row r="1630" ht="25.5">
      <c r="A1630" s="19" t="s">
        <v>10460</v>
      </c>
      <c r="B1630" s="19">
        <v>1961</v>
      </c>
      <c r="C1630" s="20" t="s">
        <v>12088</v>
      </c>
      <c r="D1630" s="19" t="s">
        <v>31</v>
      </c>
      <c r="E1630" s="19" t="s">
        <v>10459</v>
      </c>
      <c r="F1630" s="21">
        <f t="shared" si="532"/>
        <v>69.930000000000007</v>
      </c>
      <c r="G1630" s="21">
        <f t="shared" si="532"/>
        <v>69.930000000000007</v>
      </c>
      <c r="H1630" s="21">
        <f t="shared" si="532"/>
        <v>69.930000000000007</v>
      </c>
      <c r="I1630" s="24" t="str">
        <f t="shared" si="533"/>
        <v xml:space="preserve">COM VALOR</v>
      </c>
      <c r="L1630" s="36">
        <v>69.930000000000007</v>
      </c>
      <c r="M1630" s="37">
        <v>69.930000000000007</v>
      </c>
      <c r="N1630" s="36">
        <v>69.930000000000007</v>
      </c>
    </row>
    <row r="1631" ht="25.5">
      <c r="A1631" s="19" t="s">
        <v>10460</v>
      </c>
      <c r="B1631" s="19">
        <v>38423</v>
      </c>
      <c r="C1631" s="20" t="s">
        <v>12089</v>
      </c>
      <c r="D1631" s="19" t="s">
        <v>31</v>
      </c>
      <c r="E1631" s="19" t="s">
        <v>10459</v>
      </c>
      <c r="F1631" s="21">
        <f t="shared" si="532"/>
        <v>39.859999999999999</v>
      </c>
      <c r="G1631" s="21">
        <f t="shared" si="532"/>
        <v>39.859999999999999</v>
      </c>
      <c r="H1631" s="21">
        <f t="shared" si="532"/>
        <v>39.859999999999999</v>
      </c>
      <c r="I1631" s="24" t="str">
        <f t="shared" si="533"/>
        <v xml:space="preserve">COM VALOR</v>
      </c>
      <c r="L1631" s="36">
        <v>39.859999999999999</v>
      </c>
      <c r="M1631" s="37">
        <v>39.859999999999999</v>
      </c>
      <c r="N1631" s="36">
        <v>39.859999999999999</v>
      </c>
    </row>
    <row r="1632" ht="25.5">
      <c r="A1632" s="19" t="s">
        <v>10460</v>
      </c>
      <c r="B1632" s="19">
        <v>39866</v>
      </c>
      <c r="C1632" s="20" t="s">
        <v>12090</v>
      </c>
      <c r="D1632" s="19" t="s">
        <v>31</v>
      </c>
      <c r="E1632" s="19" t="s">
        <v>10459</v>
      </c>
      <c r="F1632" s="21" t="str">
        <f t="shared" si="532"/>
        <v>VERIFICAR</v>
      </c>
      <c r="G1632" s="21" t="str">
        <f t="shared" si="532"/>
        <v>VERIFICAR</v>
      </c>
      <c r="H1632" s="21" t="str">
        <f t="shared" si="532"/>
        <v>VERIFICAR</v>
      </c>
      <c r="I1632" s="24" t="str">
        <f t="shared" si="533"/>
        <v xml:space="preserve">SEM VALOR</v>
      </c>
      <c r="L1632" s="36"/>
      <c r="M1632" s="37"/>
      <c r="N1632" s="36"/>
    </row>
    <row r="1633" ht="25.5">
      <c r="A1633" s="19" t="s">
        <v>10460</v>
      </c>
      <c r="B1633" s="19">
        <v>39867</v>
      </c>
      <c r="C1633" s="20" t="s">
        <v>12091</v>
      </c>
      <c r="D1633" s="19" t="s">
        <v>31</v>
      </c>
      <c r="E1633" s="19" t="s">
        <v>10459</v>
      </c>
      <c r="F1633" s="21" t="str">
        <f t="shared" si="532"/>
        <v>VERIFICAR</v>
      </c>
      <c r="G1633" s="21" t="str">
        <f t="shared" si="532"/>
        <v>VERIFICAR</v>
      </c>
      <c r="H1633" s="21" t="str">
        <f t="shared" si="532"/>
        <v>VERIFICAR</v>
      </c>
      <c r="I1633" s="24" t="str">
        <f t="shared" si="533"/>
        <v xml:space="preserve">SEM VALOR</v>
      </c>
      <c r="L1633" s="36"/>
      <c r="M1633" s="37"/>
      <c r="N1633" s="36"/>
    </row>
    <row r="1634" ht="25.5">
      <c r="A1634" s="19" t="s">
        <v>10460</v>
      </c>
      <c r="B1634" s="19">
        <v>39868</v>
      </c>
      <c r="C1634" s="20" t="s">
        <v>12092</v>
      </c>
      <c r="D1634" s="19" t="s">
        <v>31</v>
      </c>
      <c r="E1634" s="19" t="s">
        <v>10459</v>
      </c>
      <c r="F1634" s="21" t="str">
        <f t="shared" si="532"/>
        <v>VERIFICAR</v>
      </c>
      <c r="G1634" s="21" t="str">
        <f t="shared" si="532"/>
        <v>VERIFICAR</v>
      </c>
      <c r="H1634" s="21" t="str">
        <f t="shared" si="532"/>
        <v>VERIFICAR</v>
      </c>
      <c r="I1634" s="24" t="str">
        <f t="shared" si="533"/>
        <v xml:space="preserve">SEM VALOR</v>
      </c>
      <c r="L1634" s="36"/>
      <c r="M1634" s="37"/>
      <c r="N1634" s="36"/>
    </row>
    <row r="1635" ht="12.75">
      <c r="A1635" s="19" t="s">
        <v>10460</v>
      </c>
      <c r="B1635" s="19">
        <v>37999</v>
      </c>
      <c r="C1635" s="20" t="s">
        <v>12093</v>
      </c>
      <c r="D1635" s="19" t="s">
        <v>31</v>
      </c>
      <c r="E1635" s="19" t="s">
        <v>10459</v>
      </c>
      <c r="F1635" s="21">
        <f t="shared" si="532"/>
        <v>9.7300000000000004</v>
      </c>
      <c r="G1635" s="21">
        <f t="shared" si="532"/>
        <v>9.7300000000000004</v>
      </c>
      <c r="H1635" s="21">
        <f t="shared" si="532"/>
        <v>9.7300000000000004</v>
      </c>
      <c r="I1635" s="24" t="str">
        <f t="shared" si="533"/>
        <v xml:space="preserve">COM VALOR</v>
      </c>
      <c r="L1635" s="36">
        <v>9.7300000000000004</v>
      </c>
      <c r="M1635" s="37">
        <v>9.7300000000000004</v>
      </c>
      <c r="N1635" s="36">
        <v>9.7300000000000004</v>
      </c>
    </row>
    <row r="1636" ht="12.75">
      <c r="A1636" s="19" t="s">
        <v>10460</v>
      </c>
      <c r="B1636" s="19">
        <v>38000</v>
      </c>
      <c r="C1636" s="20" t="s">
        <v>12094</v>
      </c>
      <c r="D1636" s="19" t="s">
        <v>31</v>
      </c>
      <c r="E1636" s="19" t="s">
        <v>10459</v>
      </c>
      <c r="F1636" s="21">
        <f t="shared" si="532"/>
        <v>11.359999999999999</v>
      </c>
      <c r="G1636" s="21">
        <f t="shared" si="532"/>
        <v>11.359999999999999</v>
      </c>
      <c r="H1636" s="21">
        <f t="shared" si="532"/>
        <v>11.359999999999999</v>
      </c>
      <c r="I1636" s="24" t="str">
        <f t="shared" si="533"/>
        <v xml:space="preserve">COM VALOR</v>
      </c>
      <c r="L1636" s="36">
        <v>11.359999999999999</v>
      </c>
      <c r="M1636" s="37">
        <v>11.359999999999999</v>
      </c>
      <c r="N1636" s="36">
        <v>11.359999999999999</v>
      </c>
    </row>
    <row r="1637" ht="25.5">
      <c r="A1637" s="19" t="s">
        <v>10460</v>
      </c>
      <c r="B1637" s="19">
        <v>38129</v>
      </c>
      <c r="C1637" s="20" t="s">
        <v>12095</v>
      </c>
      <c r="D1637" s="19" t="s">
        <v>31</v>
      </c>
      <c r="E1637" s="19" t="s">
        <v>10459</v>
      </c>
      <c r="F1637" s="21">
        <f t="shared" si="532"/>
        <v>5.1299999999999999</v>
      </c>
      <c r="G1637" s="21">
        <f t="shared" si="532"/>
        <v>5.1299999999999999</v>
      </c>
      <c r="H1637" s="21">
        <f t="shared" si="532"/>
        <v>5.1299999999999999</v>
      </c>
      <c r="I1637" s="24" t="str">
        <f t="shared" si="533"/>
        <v xml:space="preserve">COM VALOR</v>
      </c>
      <c r="L1637" s="36">
        <v>5.1299999999999999</v>
      </c>
      <c r="M1637" s="37">
        <v>5.1299999999999999</v>
      </c>
      <c r="N1637" s="36">
        <v>5.1299999999999999</v>
      </c>
    </row>
    <row r="1638" ht="25.5">
      <c r="A1638" s="19" t="s">
        <v>10460</v>
      </c>
      <c r="B1638" s="19">
        <v>38025</v>
      </c>
      <c r="C1638" s="20" t="s">
        <v>12096</v>
      </c>
      <c r="D1638" s="19" t="s">
        <v>31</v>
      </c>
      <c r="E1638" s="19" t="s">
        <v>10459</v>
      </c>
      <c r="F1638" s="21">
        <f t="shared" si="532"/>
        <v>6.9699999999999998</v>
      </c>
      <c r="G1638" s="21">
        <f t="shared" si="532"/>
        <v>6.9699999999999998</v>
      </c>
      <c r="H1638" s="21">
        <f t="shared" si="532"/>
        <v>6.9699999999999998</v>
      </c>
      <c r="I1638" s="24" t="str">
        <f t="shared" si="533"/>
        <v xml:space="preserve">COM VALOR</v>
      </c>
      <c r="L1638" s="36">
        <v>6.9699999999999998</v>
      </c>
      <c r="M1638" s="37">
        <v>6.9699999999999998</v>
      </c>
      <c r="N1638" s="36">
        <v>6.9699999999999998</v>
      </c>
    </row>
    <row r="1639" ht="25.5">
      <c r="A1639" s="19" t="s">
        <v>10460</v>
      </c>
      <c r="B1639" s="19">
        <v>38026</v>
      </c>
      <c r="C1639" s="20" t="s">
        <v>12097</v>
      </c>
      <c r="D1639" s="19" t="s">
        <v>31</v>
      </c>
      <c r="E1639" s="19" t="s">
        <v>10459</v>
      </c>
      <c r="F1639" s="21">
        <f t="shared" si="532"/>
        <v>17.199999999999999</v>
      </c>
      <c r="G1639" s="21">
        <f t="shared" si="532"/>
        <v>17.199999999999999</v>
      </c>
      <c r="H1639" s="21">
        <f t="shared" si="532"/>
        <v>17.199999999999999</v>
      </c>
      <c r="I1639" s="24" t="str">
        <f t="shared" si="533"/>
        <v xml:space="preserve">COM VALOR</v>
      </c>
      <c r="L1639" s="36">
        <v>17.199999999999999</v>
      </c>
      <c r="M1639" s="37">
        <v>17.199999999999999</v>
      </c>
      <c r="N1639" s="36">
        <v>17.199999999999999</v>
      </c>
    </row>
    <row r="1640" ht="38.25">
      <c r="A1640" s="19" t="s">
        <v>10460</v>
      </c>
      <c r="B1640" s="19">
        <v>43955</v>
      </c>
      <c r="C1640" s="20" t="s">
        <v>12098</v>
      </c>
      <c r="D1640" s="19" t="s">
        <v>31</v>
      </c>
      <c r="E1640" s="19" t="s">
        <v>10459</v>
      </c>
      <c r="F1640" s="21" t="str">
        <f t="shared" si="532"/>
        <v>VERIFICAR</v>
      </c>
      <c r="G1640" s="21" t="str">
        <f t="shared" si="532"/>
        <v>VERIFICAR</v>
      </c>
      <c r="H1640" s="21" t="str">
        <f t="shared" si="532"/>
        <v>VERIFICAR</v>
      </c>
      <c r="I1640" s="24" t="str">
        <f t="shared" si="533"/>
        <v xml:space="preserve">SEM VALOR</v>
      </c>
      <c r="L1640" s="36"/>
      <c r="M1640" s="37"/>
      <c r="N1640" s="36"/>
    </row>
    <row r="1641" ht="38.25">
      <c r="A1641" s="19" t="s">
        <v>10460</v>
      </c>
      <c r="B1641" s="19">
        <v>43957</v>
      </c>
      <c r="C1641" s="20" t="s">
        <v>12099</v>
      </c>
      <c r="D1641" s="19" t="s">
        <v>31</v>
      </c>
      <c r="E1641" s="19" t="s">
        <v>10459</v>
      </c>
      <c r="F1641" s="21" t="str">
        <f t="shared" si="532"/>
        <v>VERIFICAR</v>
      </c>
      <c r="G1641" s="21" t="str">
        <f t="shared" si="532"/>
        <v>VERIFICAR</v>
      </c>
      <c r="H1641" s="21" t="str">
        <f t="shared" si="532"/>
        <v>VERIFICAR</v>
      </c>
      <c r="I1641" s="24" t="str">
        <f t="shared" si="533"/>
        <v xml:space="preserve">SEM VALOR</v>
      </c>
      <c r="L1641" s="36"/>
      <c r="M1641" s="37"/>
      <c r="N1641" s="36"/>
    </row>
    <row r="1642" ht="38.25">
      <c r="A1642" s="19" t="s">
        <v>10460</v>
      </c>
      <c r="B1642" s="19">
        <v>43950</v>
      </c>
      <c r="C1642" s="20" t="s">
        <v>12100</v>
      </c>
      <c r="D1642" s="19" t="s">
        <v>31</v>
      </c>
      <c r="E1642" s="19" t="s">
        <v>10459</v>
      </c>
      <c r="F1642" s="21" t="str">
        <f t="shared" si="532"/>
        <v>VERIFICAR</v>
      </c>
      <c r="G1642" s="21" t="str">
        <f t="shared" si="532"/>
        <v>VERIFICAR</v>
      </c>
      <c r="H1642" s="21" t="str">
        <f t="shared" si="532"/>
        <v>VERIFICAR</v>
      </c>
      <c r="I1642" s="24" t="str">
        <f t="shared" si="533"/>
        <v xml:space="preserve">SEM VALOR</v>
      </c>
      <c r="L1642" s="36"/>
      <c r="M1642" s="37"/>
      <c r="N1642" s="36"/>
    </row>
    <row r="1643" ht="38.25">
      <c r="A1643" s="19" t="s">
        <v>10460</v>
      </c>
      <c r="B1643" s="19">
        <v>43954</v>
      </c>
      <c r="C1643" s="20" t="s">
        <v>12101</v>
      </c>
      <c r="D1643" s="19" t="s">
        <v>31</v>
      </c>
      <c r="E1643" s="19" t="s">
        <v>10459</v>
      </c>
      <c r="F1643" s="21" t="str">
        <f t="shared" si="532"/>
        <v>VERIFICAR</v>
      </c>
      <c r="G1643" s="21" t="str">
        <f t="shared" si="532"/>
        <v>VERIFICAR</v>
      </c>
      <c r="H1643" s="21" t="str">
        <f t="shared" si="532"/>
        <v>VERIFICAR</v>
      </c>
      <c r="I1643" s="24" t="str">
        <f t="shared" si="533"/>
        <v xml:space="preserve">SEM VALOR</v>
      </c>
      <c r="L1643" s="36"/>
      <c r="M1643" s="37"/>
      <c r="N1643" s="36"/>
    </row>
    <row r="1644" ht="38.25">
      <c r="A1644" s="19" t="s">
        <v>10460</v>
      </c>
      <c r="B1644" s="19">
        <v>43945</v>
      </c>
      <c r="C1644" s="20" t="s">
        <v>12102</v>
      </c>
      <c r="D1644" s="19" t="s">
        <v>31</v>
      </c>
      <c r="E1644" s="19" t="s">
        <v>10459</v>
      </c>
      <c r="F1644" s="21" t="str">
        <f t="shared" si="532"/>
        <v>VERIFICAR</v>
      </c>
      <c r="G1644" s="21" t="str">
        <f t="shared" si="532"/>
        <v>VERIFICAR</v>
      </c>
      <c r="H1644" s="21" t="str">
        <f t="shared" si="532"/>
        <v>VERIFICAR</v>
      </c>
      <c r="I1644" s="24" t="str">
        <f t="shared" si="533"/>
        <v xml:space="preserve">SEM VALOR</v>
      </c>
      <c r="L1644" s="36"/>
      <c r="M1644" s="37"/>
      <c r="N1644" s="36"/>
    </row>
    <row r="1645" ht="38.25">
      <c r="A1645" s="19" t="s">
        <v>10460</v>
      </c>
      <c r="B1645" s="19">
        <v>43947</v>
      </c>
      <c r="C1645" s="20" t="s">
        <v>12103</v>
      </c>
      <c r="D1645" s="19" t="s">
        <v>31</v>
      </c>
      <c r="E1645" s="19" t="s">
        <v>10459</v>
      </c>
      <c r="F1645" s="21" t="str">
        <f t="shared" si="532"/>
        <v>VERIFICAR</v>
      </c>
      <c r="G1645" s="21" t="str">
        <f t="shared" si="532"/>
        <v>VERIFICAR</v>
      </c>
      <c r="H1645" s="21" t="str">
        <f t="shared" si="532"/>
        <v>VERIFICAR</v>
      </c>
      <c r="I1645" s="24" t="str">
        <f t="shared" si="533"/>
        <v xml:space="preserve">SEM VALOR</v>
      </c>
      <c r="L1645" s="36"/>
      <c r="M1645" s="37"/>
      <c r="N1645" s="36"/>
    </row>
    <row r="1646" ht="38.25">
      <c r="A1646" s="19" t="s">
        <v>10460</v>
      </c>
      <c r="B1646" s="19">
        <v>43920</v>
      </c>
      <c r="C1646" s="20" t="s">
        <v>12104</v>
      </c>
      <c r="D1646" s="19" t="s">
        <v>31</v>
      </c>
      <c r="E1646" s="19" t="s">
        <v>10459</v>
      </c>
      <c r="F1646" s="21" t="str">
        <f t="shared" si="532"/>
        <v>VERIFICAR</v>
      </c>
      <c r="G1646" s="21" t="str">
        <f t="shared" si="532"/>
        <v>VERIFICAR</v>
      </c>
      <c r="H1646" s="21" t="str">
        <f t="shared" si="532"/>
        <v>VERIFICAR</v>
      </c>
      <c r="I1646" s="24" t="str">
        <f t="shared" si="533"/>
        <v xml:space="preserve">SEM VALOR</v>
      </c>
      <c r="L1646" s="36"/>
      <c r="M1646" s="37"/>
      <c r="N1646" s="36"/>
    </row>
    <row r="1647" ht="38.25">
      <c r="A1647" s="19" t="s">
        <v>10460</v>
      </c>
      <c r="B1647" s="19">
        <v>43921</v>
      </c>
      <c r="C1647" s="20" t="s">
        <v>12105</v>
      </c>
      <c r="D1647" s="19" t="s">
        <v>31</v>
      </c>
      <c r="E1647" s="19" t="s">
        <v>10459</v>
      </c>
      <c r="F1647" s="21" t="str">
        <f t="shared" si="532"/>
        <v>VERIFICAR</v>
      </c>
      <c r="G1647" s="21" t="str">
        <f t="shared" si="532"/>
        <v>VERIFICAR</v>
      </c>
      <c r="H1647" s="21" t="str">
        <f t="shared" si="532"/>
        <v>VERIFICAR</v>
      </c>
      <c r="I1647" s="24" t="str">
        <f t="shared" si="533"/>
        <v xml:space="preserve">SEM VALOR</v>
      </c>
      <c r="L1647" s="36"/>
      <c r="M1647" s="37"/>
      <c r="N1647" s="36"/>
    </row>
    <row r="1648" ht="38.25">
      <c r="A1648" s="19" t="s">
        <v>10460</v>
      </c>
      <c r="B1648" s="19">
        <v>43922</v>
      </c>
      <c r="C1648" s="20" t="s">
        <v>12106</v>
      </c>
      <c r="D1648" s="19" t="s">
        <v>31</v>
      </c>
      <c r="E1648" s="19" t="s">
        <v>10459</v>
      </c>
      <c r="F1648" s="21" t="str">
        <f t="shared" si="532"/>
        <v>VERIFICAR</v>
      </c>
      <c r="G1648" s="21" t="str">
        <f t="shared" si="532"/>
        <v>VERIFICAR</v>
      </c>
      <c r="H1648" s="21" t="str">
        <f t="shared" si="532"/>
        <v>VERIFICAR</v>
      </c>
      <c r="I1648" s="24" t="str">
        <f t="shared" si="533"/>
        <v xml:space="preserve">SEM VALOR</v>
      </c>
      <c r="L1648" s="36"/>
      <c r="M1648" s="37"/>
      <c r="N1648" s="36"/>
    </row>
    <row r="1649" ht="38.25">
      <c r="A1649" s="19" t="s">
        <v>10460</v>
      </c>
      <c r="B1649" s="19">
        <v>43923</v>
      </c>
      <c r="C1649" s="20" t="s">
        <v>12107</v>
      </c>
      <c r="D1649" s="19" t="s">
        <v>31</v>
      </c>
      <c r="E1649" s="19" t="s">
        <v>10459</v>
      </c>
      <c r="F1649" s="21" t="str">
        <f t="shared" si="532"/>
        <v>VERIFICAR</v>
      </c>
      <c r="G1649" s="21" t="str">
        <f t="shared" si="532"/>
        <v>VERIFICAR</v>
      </c>
      <c r="H1649" s="21" t="str">
        <f t="shared" si="532"/>
        <v>VERIFICAR</v>
      </c>
      <c r="I1649" s="24" t="str">
        <f t="shared" si="533"/>
        <v xml:space="preserve">SEM VALOR</v>
      </c>
      <c r="L1649" s="36"/>
      <c r="M1649" s="37"/>
      <c r="N1649" s="36"/>
    </row>
    <row r="1650" ht="38.25">
      <c r="A1650" s="19" t="s">
        <v>10460</v>
      </c>
      <c r="B1650" s="19">
        <v>43924</v>
      </c>
      <c r="C1650" s="20" t="s">
        <v>12108</v>
      </c>
      <c r="D1650" s="19" t="s">
        <v>31</v>
      </c>
      <c r="E1650" s="19" t="s">
        <v>10459</v>
      </c>
      <c r="F1650" s="21" t="str">
        <f t="shared" si="532"/>
        <v>VERIFICAR</v>
      </c>
      <c r="G1650" s="21" t="str">
        <f t="shared" si="532"/>
        <v>VERIFICAR</v>
      </c>
      <c r="H1650" s="21" t="str">
        <f t="shared" si="532"/>
        <v>VERIFICAR</v>
      </c>
      <c r="I1650" s="24" t="str">
        <f t="shared" si="533"/>
        <v xml:space="preserve">SEM VALOR</v>
      </c>
      <c r="L1650" s="36"/>
      <c r="M1650" s="37"/>
      <c r="N1650" s="36"/>
    </row>
    <row r="1651" ht="38.25">
      <c r="A1651" s="19" t="s">
        <v>10460</v>
      </c>
      <c r="B1651" s="19">
        <v>43952</v>
      </c>
      <c r="C1651" s="20" t="s">
        <v>12109</v>
      </c>
      <c r="D1651" s="19" t="s">
        <v>31</v>
      </c>
      <c r="E1651" s="19" t="s">
        <v>10459</v>
      </c>
      <c r="F1651" s="21" t="str">
        <f t="shared" si="532"/>
        <v>VERIFICAR</v>
      </c>
      <c r="G1651" s="21" t="str">
        <f t="shared" si="532"/>
        <v>VERIFICAR</v>
      </c>
      <c r="H1651" s="21" t="str">
        <f t="shared" si="532"/>
        <v>VERIFICAR</v>
      </c>
      <c r="I1651" s="24" t="str">
        <f t="shared" si="533"/>
        <v xml:space="preserve">SEM VALOR</v>
      </c>
      <c r="L1651" s="36"/>
      <c r="M1651" s="37"/>
      <c r="N1651" s="36"/>
    </row>
    <row r="1652" ht="38.25">
      <c r="A1652" s="19" t="s">
        <v>10460</v>
      </c>
      <c r="B1652" s="19">
        <v>43956</v>
      </c>
      <c r="C1652" s="20" t="s">
        <v>12110</v>
      </c>
      <c r="D1652" s="19" t="s">
        <v>31</v>
      </c>
      <c r="E1652" s="19" t="s">
        <v>10459</v>
      </c>
      <c r="F1652" s="21" t="str">
        <f t="shared" si="532"/>
        <v>VERIFICAR</v>
      </c>
      <c r="G1652" s="21" t="str">
        <f t="shared" si="532"/>
        <v>VERIFICAR</v>
      </c>
      <c r="H1652" s="21" t="str">
        <f t="shared" si="532"/>
        <v>VERIFICAR</v>
      </c>
      <c r="I1652" s="24" t="str">
        <f t="shared" si="533"/>
        <v xml:space="preserve">SEM VALOR</v>
      </c>
      <c r="L1652" s="36"/>
      <c r="M1652" s="37"/>
      <c r="N1652" s="36"/>
    </row>
    <row r="1653" ht="25.5">
      <c r="A1653" s="19" t="s">
        <v>10460</v>
      </c>
      <c r="B1653" s="19">
        <v>1858</v>
      </c>
      <c r="C1653" s="20" t="s">
        <v>12111</v>
      </c>
      <c r="D1653" s="19" t="s">
        <v>31</v>
      </c>
      <c r="E1653" s="19" t="s">
        <v>10459</v>
      </c>
      <c r="F1653" s="21">
        <f t="shared" si="532"/>
        <v>61.759999999999998</v>
      </c>
      <c r="G1653" s="21">
        <f t="shared" si="532"/>
        <v>61.759999999999998</v>
      </c>
      <c r="H1653" s="21">
        <f t="shared" si="532"/>
        <v>61.759999999999998</v>
      </c>
      <c r="I1653" s="24" t="str">
        <f t="shared" si="533"/>
        <v xml:space="preserve">COM VALOR</v>
      </c>
      <c r="L1653" s="36">
        <v>61.759999999999998</v>
      </c>
      <c r="M1653" s="37">
        <v>61.759999999999998</v>
      </c>
      <c r="N1653" s="36">
        <v>61.759999999999998</v>
      </c>
    </row>
    <row r="1654" ht="25.5">
      <c r="A1654" s="19" t="s">
        <v>10460</v>
      </c>
      <c r="B1654" s="19">
        <v>1844</v>
      </c>
      <c r="C1654" s="20" t="s">
        <v>12112</v>
      </c>
      <c r="D1654" s="19" t="s">
        <v>31</v>
      </c>
      <c r="E1654" s="19" t="s">
        <v>10459</v>
      </c>
      <c r="F1654" s="21">
        <f t="shared" si="532"/>
        <v>141.43000000000001</v>
      </c>
      <c r="G1654" s="21">
        <f t="shared" si="532"/>
        <v>141.43000000000001</v>
      </c>
      <c r="H1654" s="21">
        <f t="shared" si="532"/>
        <v>141.43000000000001</v>
      </c>
      <c r="I1654" s="24" t="str">
        <f t="shared" si="533"/>
        <v xml:space="preserve">COM VALOR</v>
      </c>
      <c r="L1654" s="36">
        <v>141.43000000000001</v>
      </c>
      <c r="M1654" s="37">
        <v>141.43000000000001</v>
      </c>
      <c r="N1654" s="36">
        <v>141.43000000000001</v>
      </c>
    </row>
    <row r="1655" ht="25.5">
      <c r="A1655" s="19" t="s">
        <v>10460</v>
      </c>
      <c r="B1655" s="19">
        <v>1863</v>
      </c>
      <c r="C1655" s="20" t="s">
        <v>12113</v>
      </c>
      <c r="D1655" s="19" t="s">
        <v>31</v>
      </c>
      <c r="E1655" s="19" t="s">
        <v>10459</v>
      </c>
      <c r="F1655" s="21">
        <f t="shared" si="532"/>
        <v>65.719999999999999</v>
      </c>
      <c r="G1655" s="21">
        <f t="shared" si="532"/>
        <v>65.719999999999999</v>
      </c>
      <c r="H1655" s="21">
        <f t="shared" si="532"/>
        <v>65.719999999999999</v>
      </c>
      <c r="I1655" s="24" t="str">
        <f t="shared" si="533"/>
        <v xml:space="preserve">COM VALOR</v>
      </c>
      <c r="L1655" s="36">
        <v>65.719999999999999</v>
      </c>
      <c r="M1655" s="37">
        <v>65.719999999999999</v>
      </c>
      <c r="N1655" s="36">
        <v>65.719999999999999</v>
      </c>
    </row>
    <row r="1656" ht="25.5">
      <c r="A1656" s="19" t="s">
        <v>10460</v>
      </c>
      <c r="B1656" s="19">
        <v>1865</v>
      </c>
      <c r="C1656" s="20" t="s">
        <v>12114</v>
      </c>
      <c r="D1656" s="19" t="s">
        <v>31</v>
      </c>
      <c r="E1656" s="19" t="s">
        <v>10459</v>
      </c>
      <c r="F1656" s="21">
        <f t="shared" si="532"/>
        <v>171.22999999999999</v>
      </c>
      <c r="G1656" s="21">
        <f t="shared" si="532"/>
        <v>171.22999999999999</v>
      </c>
      <c r="H1656" s="21">
        <f t="shared" si="532"/>
        <v>171.22999999999999</v>
      </c>
      <c r="I1656" s="24" t="str">
        <f t="shared" si="533"/>
        <v xml:space="preserve">COM VALOR</v>
      </c>
      <c r="L1656" s="36">
        <v>171.22999999999999</v>
      </c>
      <c r="M1656" s="37">
        <v>171.22999999999999</v>
      </c>
      <c r="N1656" s="36">
        <v>171.22999999999999</v>
      </c>
    </row>
    <row r="1657" ht="25.5">
      <c r="A1657" s="19" t="s">
        <v>10460</v>
      </c>
      <c r="B1657" s="19">
        <v>36355</v>
      </c>
      <c r="C1657" s="20" t="s">
        <v>12115</v>
      </c>
      <c r="D1657" s="19" t="s">
        <v>31</v>
      </c>
      <c r="E1657" s="19" t="s">
        <v>10459</v>
      </c>
      <c r="F1657" s="21" t="str">
        <f t="shared" si="532"/>
        <v>VERIFICAR</v>
      </c>
      <c r="G1657" s="21" t="str">
        <f t="shared" si="532"/>
        <v>VERIFICAR</v>
      </c>
      <c r="H1657" s="21" t="str">
        <f t="shared" si="532"/>
        <v>VERIFICAR</v>
      </c>
      <c r="I1657" s="24" t="str">
        <f t="shared" si="533"/>
        <v xml:space="preserve">SEM VALOR</v>
      </c>
      <c r="L1657" s="36"/>
      <c r="M1657" s="37"/>
      <c r="N1657" s="36"/>
    </row>
    <row r="1658" ht="25.5">
      <c r="A1658" s="19" t="s">
        <v>10460</v>
      </c>
      <c r="B1658" s="19">
        <v>36356</v>
      </c>
      <c r="C1658" s="20" t="s">
        <v>12116</v>
      </c>
      <c r="D1658" s="19" t="s">
        <v>31</v>
      </c>
      <c r="E1658" s="19" t="s">
        <v>10459</v>
      </c>
      <c r="F1658" s="21" t="str">
        <f t="shared" si="532"/>
        <v>VERIFICAR</v>
      </c>
      <c r="G1658" s="21" t="str">
        <f t="shared" si="532"/>
        <v>VERIFICAR</v>
      </c>
      <c r="H1658" s="21" t="str">
        <f t="shared" si="532"/>
        <v>VERIFICAR</v>
      </c>
      <c r="I1658" s="24" t="str">
        <f t="shared" si="533"/>
        <v xml:space="preserve">SEM VALOR</v>
      </c>
      <c r="L1658" s="36"/>
      <c r="M1658" s="37"/>
      <c r="N1658" s="36"/>
    </row>
    <row r="1659" ht="25.5">
      <c r="A1659" s="19" t="s">
        <v>10460</v>
      </c>
      <c r="B1659" s="19">
        <v>1940</v>
      </c>
      <c r="C1659" s="20" t="s">
        <v>12117</v>
      </c>
      <c r="D1659" s="19" t="s">
        <v>31</v>
      </c>
      <c r="E1659" s="19" t="s">
        <v>10459</v>
      </c>
      <c r="F1659" s="21">
        <f t="shared" si="532"/>
        <v>34.729999999999997</v>
      </c>
      <c r="G1659" s="21">
        <f t="shared" si="532"/>
        <v>34.729999999999997</v>
      </c>
      <c r="H1659" s="21">
        <f t="shared" si="532"/>
        <v>34.729999999999997</v>
      </c>
      <c r="I1659" s="24" t="str">
        <f t="shared" si="533"/>
        <v xml:space="preserve">COM VALOR</v>
      </c>
      <c r="L1659" s="36">
        <v>34.729999999999997</v>
      </c>
      <c r="M1659" s="37">
        <v>34.729999999999997</v>
      </c>
      <c r="N1659" s="36">
        <v>34.729999999999997</v>
      </c>
    </row>
    <row r="1660" ht="25.5">
      <c r="A1660" s="19" t="s">
        <v>10460</v>
      </c>
      <c r="B1660" s="19">
        <v>1939</v>
      </c>
      <c r="C1660" s="20" t="s">
        <v>12118</v>
      </c>
      <c r="D1660" s="19" t="s">
        <v>31</v>
      </c>
      <c r="E1660" s="19" t="s">
        <v>10459</v>
      </c>
      <c r="F1660" s="21">
        <f t="shared" si="532"/>
        <v>9.5199999999999996</v>
      </c>
      <c r="G1660" s="21">
        <f t="shared" si="532"/>
        <v>9.5199999999999996</v>
      </c>
      <c r="H1660" s="21">
        <f t="shared" si="532"/>
        <v>9.5199999999999996</v>
      </c>
      <c r="I1660" s="24" t="str">
        <f t="shared" si="533"/>
        <v xml:space="preserve">COM VALOR</v>
      </c>
      <c r="L1660" s="36">
        <v>9.5199999999999996</v>
      </c>
      <c r="M1660" s="37">
        <v>9.5199999999999996</v>
      </c>
      <c r="N1660" s="36">
        <v>9.5199999999999996</v>
      </c>
    </row>
    <row r="1661" ht="25.5">
      <c r="A1661" s="19" t="s">
        <v>10460</v>
      </c>
      <c r="B1661" s="19">
        <v>1937</v>
      </c>
      <c r="C1661" s="20" t="s">
        <v>12119</v>
      </c>
      <c r="D1661" s="19" t="s">
        <v>31</v>
      </c>
      <c r="E1661" s="19" t="s">
        <v>10459</v>
      </c>
      <c r="F1661" s="21">
        <f t="shared" si="532"/>
        <v>5.8600000000000003</v>
      </c>
      <c r="G1661" s="21">
        <f t="shared" si="532"/>
        <v>5.8600000000000003</v>
      </c>
      <c r="H1661" s="21">
        <f t="shared" si="532"/>
        <v>5.8600000000000003</v>
      </c>
      <c r="I1661" s="24" t="str">
        <f t="shared" si="533"/>
        <v xml:space="preserve">COM VALOR</v>
      </c>
      <c r="L1661" s="36">
        <v>5.8600000000000003</v>
      </c>
      <c r="M1661" s="37">
        <v>5.8600000000000003</v>
      </c>
      <c r="N1661" s="36">
        <v>5.8600000000000003</v>
      </c>
    </row>
    <row r="1662" ht="25.5">
      <c r="A1662" s="19" t="s">
        <v>10460</v>
      </c>
      <c r="B1662" s="19">
        <v>1938</v>
      </c>
      <c r="C1662" s="20" t="s">
        <v>12120</v>
      </c>
      <c r="D1662" s="19" t="s">
        <v>31</v>
      </c>
      <c r="E1662" s="19" t="s">
        <v>10459</v>
      </c>
      <c r="F1662" s="21">
        <f t="shared" si="532"/>
        <v>6.6600000000000001</v>
      </c>
      <c r="G1662" s="21">
        <f t="shared" si="532"/>
        <v>6.6600000000000001</v>
      </c>
      <c r="H1662" s="21">
        <f t="shared" si="532"/>
        <v>6.6600000000000001</v>
      </c>
      <c r="I1662" s="24" t="str">
        <f t="shared" si="533"/>
        <v xml:space="preserve">COM VALOR</v>
      </c>
      <c r="L1662" s="36">
        <v>6.6600000000000001</v>
      </c>
      <c r="M1662" s="37">
        <v>6.6600000000000001</v>
      </c>
      <c r="N1662" s="36">
        <v>6.6600000000000001</v>
      </c>
    </row>
    <row r="1663" ht="25.5">
      <c r="A1663" s="19" t="s">
        <v>10460</v>
      </c>
      <c r="B1663" s="19">
        <v>1966</v>
      </c>
      <c r="C1663" s="20" t="s">
        <v>12121</v>
      </c>
      <c r="D1663" s="19" t="s">
        <v>31</v>
      </c>
      <c r="E1663" s="19" t="s">
        <v>10459</v>
      </c>
      <c r="F1663" s="21">
        <f t="shared" si="532"/>
        <v>26.210000000000001</v>
      </c>
      <c r="G1663" s="21">
        <f t="shared" si="532"/>
        <v>26.210000000000001</v>
      </c>
      <c r="H1663" s="21">
        <f t="shared" si="532"/>
        <v>26.210000000000001</v>
      </c>
      <c r="I1663" s="24" t="str">
        <f t="shared" si="533"/>
        <v xml:space="preserve">COM VALOR</v>
      </c>
      <c r="L1663" s="36">
        <v>26.210000000000001</v>
      </c>
      <c r="M1663" s="37">
        <v>26.210000000000001</v>
      </c>
      <c r="N1663" s="36">
        <v>26.210000000000001</v>
      </c>
    </row>
    <row r="1664" ht="25.5">
      <c r="A1664" s="19" t="s">
        <v>10460</v>
      </c>
      <c r="B1664" s="19">
        <v>1933</v>
      </c>
      <c r="C1664" s="20" t="s">
        <v>12122</v>
      </c>
      <c r="D1664" s="19" t="s">
        <v>31</v>
      </c>
      <c r="E1664" s="19" t="s">
        <v>10459</v>
      </c>
      <c r="F1664" s="21">
        <f t="shared" si="532"/>
        <v>5.6500000000000004</v>
      </c>
      <c r="G1664" s="21">
        <f t="shared" si="532"/>
        <v>5.6500000000000004</v>
      </c>
      <c r="H1664" s="21">
        <f t="shared" si="532"/>
        <v>5.6500000000000004</v>
      </c>
      <c r="I1664" s="24" t="str">
        <f t="shared" si="533"/>
        <v xml:space="preserve">COM VALOR</v>
      </c>
      <c r="L1664" s="36">
        <v>5.6500000000000004</v>
      </c>
      <c r="M1664" s="37">
        <v>5.6500000000000004</v>
      </c>
      <c r="N1664" s="36">
        <v>5.6500000000000004</v>
      </c>
    </row>
    <row r="1665" ht="25.5">
      <c r="A1665" s="19" t="s">
        <v>10460</v>
      </c>
      <c r="B1665" s="19">
        <v>1932</v>
      </c>
      <c r="C1665" s="20" t="s">
        <v>12123</v>
      </c>
      <c r="D1665" s="19" t="s">
        <v>31</v>
      </c>
      <c r="E1665" s="19" t="s">
        <v>10459</v>
      </c>
      <c r="F1665" s="21">
        <f t="shared" si="532"/>
        <v>12.92</v>
      </c>
      <c r="G1665" s="21">
        <f t="shared" si="532"/>
        <v>12.92</v>
      </c>
      <c r="H1665" s="21">
        <f t="shared" si="532"/>
        <v>12.92</v>
      </c>
      <c r="I1665" s="24" t="str">
        <f t="shared" si="533"/>
        <v xml:space="preserve">COM VALOR</v>
      </c>
      <c r="L1665" s="36">
        <v>12.92</v>
      </c>
      <c r="M1665" s="37">
        <v>12.92</v>
      </c>
      <c r="N1665" s="36">
        <v>12.92</v>
      </c>
    </row>
    <row r="1666" ht="25.5">
      <c r="A1666" s="19" t="s">
        <v>10460</v>
      </c>
      <c r="B1666" s="19">
        <v>1951</v>
      </c>
      <c r="C1666" s="20" t="s">
        <v>12124</v>
      </c>
      <c r="D1666" s="19" t="s">
        <v>31</v>
      </c>
      <c r="E1666" s="19" t="s">
        <v>10459</v>
      </c>
      <c r="F1666" s="21">
        <f t="shared" si="532"/>
        <v>26.960000000000001</v>
      </c>
      <c r="G1666" s="21">
        <f t="shared" si="532"/>
        <v>26.960000000000001</v>
      </c>
      <c r="H1666" s="21">
        <f t="shared" si="532"/>
        <v>26.960000000000001</v>
      </c>
      <c r="I1666" s="24" t="str">
        <f t="shared" si="533"/>
        <v xml:space="preserve">COM VALOR</v>
      </c>
      <c r="L1666" s="36">
        <v>26.960000000000001</v>
      </c>
      <c r="M1666" s="37">
        <v>26.960000000000001</v>
      </c>
      <c r="N1666" s="36">
        <v>26.960000000000001</v>
      </c>
    </row>
    <row r="1667" ht="25.5">
      <c r="A1667" s="19" t="s">
        <v>10460</v>
      </c>
      <c r="B1667" s="19">
        <v>1970</v>
      </c>
      <c r="C1667" s="20" t="s">
        <v>12125</v>
      </c>
      <c r="D1667" s="19" t="s">
        <v>31</v>
      </c>
      <c r="E1667" s="19" t="s">
        <v>10459</v>
      </c>
      <c r="F1667" s="21">
        <f t="shared" si="532"/>
        <v>65.510000000000005</v>
      </c>
      <c r="G1667" s="21">
        <f t="shared" si="532"/>
        <v>65.510000000000005</v>
      </c>
      <c r="H1667" s="21">
        <f t="shared" si="532"/>
        <v>65.510000000000005</v>
      </c>
      <c r="I1667" s="24" t="str">
        <f t="shared" si="533"/>
        <v xml:space="preserve">COM VALOR</v>
      </c>
      <c r="L1667" s="36">
        <v>65.510000000000005</v>
      </c>
      <c r="M1667" s="37">
        <v>65.510000000000005</v>
      </c>
      <c r="N1667" s="36">
        <v>65.510000000000005</v>
      </c>
    </row>
    <row r="1668" ht="25.5">
      <c r="A1668" s="19" t="s">
        <v>10460</v>
      </c>
      <c r="B1668" s="19">
        <v>1967</v>
      </c>
      <c r="C1668" s="20" t="s">
        <v>12126</v>
      </c>
      <c r="D1668" s="19" t="s">
        <v>31</v>
      </c>
      <c r="E1668" s="19" t="s">
        <v>10459</v>
      </c>
      <c r="F1668" s="21">
        <f t="shared" si="532"/>
        <v>7.7800000000000002</v>
      </c>
      <c r="G1668" s="21">
        <f t="shared" si="532"/>
        <v>7.7800000000000002</v>
      </c>
      <c r="H1668" s="21">
        <f t="shared" si="532"/>
        <v>7.7800000000000002</v>
      </c>
      <c r="I1668" s="24" t="str">
        <f t="shared" si="533"/>
        <v xml:space="preserve">COM VALOR</v>
      </c>
      <c r="L1668" s="36">
        <v>7.7800000000000002</v>
      </c>
      <c r="M1668" s="37">
        <v>7.7800000000000002</v>
      </c>
      <c r="N1668" s="36">
        <v>7.7800000000000002</v>
      </c>
    </row>
    <row r="1669" ht="25.5">
      <c r="A1669" s="19" t="s">
        <v>10460</v>
      </c>
      <c r="B1669" s="19">
        <v>1968</v>
      </c>
      <c r="C1669" s="20" t="s">
        <v>12127</v>
      </c>
      <c r="D1669" s="19" t="s">
        <v>31</v>
      </c>
      <c r="E1669" s="19" t="s">
        <v>10459</v>
      </c>
      <c r="F1669" s="21">
        <f t="shared" si="532"/>
        <v>15.369999999999999</v>
      </c>
      <c r="G1669" s="21">
        <f t="shared" si="532"/>
        <v>15.369999999999999</v>
      </c>
      <c r="H1669" s="21">
        <f t="shared" si="532"/>
        <v>15.369999999999999</v>
      </c>
      <c r="I1669" s="24" t="str">
        <f t="shared" si="533"/>
        <v xml:space="preserve">COM VALOR</v>
      </c>
      <c r="L1669" s="36">
        <v>15.369999999999999</v>
      </c>
      <c r="M1669" s="37">
        <v>15.369999999999999</v>
      </c>
      <c r="N1669" s="36">
        <v>15.369999999999999</v>
      </c>
    </row>
    <row r="1670" ht="25.5">
      <c r="A1670" s="19" t="s">
        <v>10460</v>
      </c>
      <c r="B1670" s="19">
        <v>1969</v>
      </c>
      <c r="C1670" s="20" t="s">
        <v>12128</v>
      </c>
      <c r="D1670" s="19" t="s">
        <v>31</v>
      </c>
      <c r="E1670" s="19" t="s">
        <v>10459</v>
      </c>
      <c r="F1670" s="21">
        <f t="shared" si="532"/>
        <v>50.049999999999997</v>
      </c>
      <c r="G1670" s="21">
        <f t="shared" si="532"/>
        <v>50.049999999999997</v>
      </c>
      <c r="H1670" s="21">
        <f t="shared" si="532"/>
        <v>50.049999999999997</v>
      </c>
      <c r="I1670" s="24" t="str">
        <f t="shared" si="533"/>
        <v xml:space="preserve">COM VALOR</v>
      </c>
      <c r="L1670" s="36">
        <v>50.049999999999997</v>
      </c>
      <c r="M1670" s="37">
        <v>50.049999999999997</v>
      </c>
      <c r="N1670" s="36">
        <v>50.049999999999997</v>
      </c>
    </row>
    <row r="1671" ht="25.5">
      <c r="A1671" s="19" t="s">
        <v>10460</v>
      </c>
      <c r="B1671" s="19">
        <v>1827</v>
      </c>
      <c r="C1671" s="20" t="s">
        <v>12129</v>
      </c>
      <c r="D1671" s="19" t="s">
        <v>31</v>
      </c>
      <c r="E1671" s="19" t="s">
        <v>10459</v>
      </c>
      <c r="F1671" s="21">
        <f t="shared" si="532"/>
        <v>112.06999999999999</v>
      </c>
      <c r="G1671" s="21">
        <f t="shared" si="532"/>
        <v>112.06999999999999</v>
      </c>
      <c r="H1671" s="21">
        <f t="shared" si="532"/>
        <v>112.06999999999999</v>
      </c>
      <c r="I1671" s="24" t="str">
        <f t="shared" si="533"/>
        <v xml:space="preserve">COM VALOR</v>
      </c>
      <c r="L1671" s="36">
        <v>112.06999999999999</v>
      </c>
      <c r="M1671" s="37">
        <v>112.06999999999999</v>
      </c>
      <c r="N1671" s="36">
        <v>112.06999999999999</v>
      </c>
    </row>
    <row r="1672" ht="25.5">
      <c r="A1672" s="19" t="s">
        <v>10460</v>
      </c>
      <c r="B1672" s="19">
        <v>1831</v>
      </c>
      <c r="C1672" s="20" t="s">
        <v>12130</v>
      </c>
      <c r="D1672" s="19" t="s">
        <v>31</v>
      </c>
      <c r="E1672" s="19" t="s">
        <v>10459</v>
      </c>
      <c r="F1672" s="21">
        <f t="shared" si="532"/>
        <v>24.460000000000001</v>
      </c>
      <c r="G1672" s="21">
        <f t="shared" si="532"/>
        <v>24.460000000000001</v>
      </c>
      <c r="H1672" s="21">
        <f t="shared" si="532"/>
        <v>24.460000000000001</v>
      </c>
      <c r="I1672" s="24" t="str">
        <f t="shared" si="533"/>
        <v xml:space="preserve">COM VALOR</v>
      </c>
      <c r="L1672" s="36">
        <v>24.460000000000001</v>
      </c>
      <c r="M1672" s="37">
        <v>24.460000000000001</v>
      </c>
      <c r="N1672" s="36">
        <v>24.460000000000001</v>
      </c>
    </row>
    <row r="1673" ht="25.5">
      <c r="A1673" s="19" t="s">
        <v>10460</v>
      </c>
      <c r="B1673" s="19">
        <v>1825</v>
      </c>
      <c r="C1673" s="20" t="s">
        <v>12131</v>
      </c>
      <c r="D1673" s="19" t="s">
        <v>31</v>
      </c>
      <c r="E1673" s="19" t="s">
        <v>10459</v>
      </c>
      <c r="F1673" s="21">
        <f t="shared" si="532"/>
        <v>60.380000000000003</v>
      </c>
      <c r="G1673" s="21">
        <f t="shared" si="532"/>
        <v>60.380000000000003</v>
      </c>
      <c r="H1673" s="21">
        <f t="shared" si="532"/>
        <v>60.380000000000003</v>
      </c>
      <c r="I1673" s="24" t="str">
        <f t="shared" si="533"/>
        <v xml:space="preserve">COM VALOR</v>
      </c>
      <c r="L1673" s="36">
        <v>60.380000000000003</v>
      </c>
      <c r="M1673" s="37">
        <v>60.380000000000003</v>
      </c>
      <c r="N1673" s="36">
        <v>60.380000000000003</v>
      </c>
    </row>
    <row r="1674" ht="25.5">
      <c r="A1674" s="19" t="s">
        <v>10460</v>
      </c>
      <c r="B1674" s="19">
        <v>1828</v>
      </c>
      <c r="C1674" s="20" t="s">
        <v>12132</v>
      </c>
      <c r="D1674" s="19" t="s">
        <v>31</v>
      </c>
      <c r="E1674" s="19" t="s">
        <v>10459</v>
      </c>
      <c r="F1674" s="21">
        <f t="shared" si="532"/>
        <v>136.75999999999999</v>
      </c>
      <c r="G1674" s="21">
        <f t="shared" si="532"/>
        <v>136.75999999999999</v>
      </c>
      <c r="H1674" s="21">
        <f t="shared" si="532"/>
        <v>136.75999999999999</v>
      </c>
      <c r="I1674" s="24" t="str">
        <f t="shared" si="533"/>
        <v xml:space="preserve">COM VALOR</v>
      </c>
      <c r="L1674" s="36">
        <v>136.75999999999999</v>
      </c>
      <c r="M1674" s="37">
        <v>136.75999999999999</v>
      </c>
      <c r="N1674" s="36">
        <v>136.75999999999999</v>
      </c>
    </row>
    <row r="1675" ht="25.5">
      <c r="A1675" s="19" t="s">
        <v>10460</v>
      </c>
      <c r="B1675" s="19">
        <v>1845</v>
      </c>
      <c r="C1675" s="20" t="s">
        <v>12133</v>
      </c>
      <c r="D1675" s="19" t="s">
        <v>31</v>
      </c>
      <c r="E1675" s="19" t="s">
        <v>10459</v>
      </c>
      <c r="F1675" s="21">
        <f t="shared" ref="F1675:H1738" si="534">IF(L1675=0,"VERIFICAR",L1675)</f>
        <v>30.66</v>
      </c>
      <c r="G1675" s="21">
        <f t="shared" si="534"/>
        <v>30.66</v>
      </c>
      <c r="H1675" s="21">
        <f t="shared" si="534"/>
        <v>30.66</v>
      </c>
      <c r="I1675" s="24" t="str">
        <f t="shared" ref="I1675:I1738" si="535">IF(OR(L1675=0,M1675=0,N1675=0),"SEM VALOR","COM VALOR")</f>
        <v xml:space="preserve">COM VALOR</v>
      </c>
      <c r="L1675" s="36">
        <v>30.66</v>
      </c>
      <c r="M1675" s="37">
        <v>30.66</v>
      </c>
      <c r="N1675" s="36">
        <v>30.66</v>
      </c>
    </row>
    <row r="1676" ht="25.5">
      <c r="A1676" s="19" t="s">
        <v>10460</v>
      </c>
      <c r="B1676" s="19">
        <v>1824</v>
      </c>
      <c r="C1676" s="20" t="s">
        <v>12134</v>
      </c>
      <c r="D1676" s="19" t="s">
        <v>31</v>
      </c>
      <c r="E1676" s="19" t="s">
        <v>10459</v>
      </c>
      <c r="F1676" s="21">
        <f t="shared" si="534"/>
        <v>72.379999999999995</v>
      </c>
      <c r="G1676" s="21">
        <f t="shared" si="534"/>
        <v>72.379999999999995</v>
      </c>
      <c r="H1676" s="21">
        <f t="shared" si="534"/>
        <v>72.379999999999995</v>
      </c>
      <c r="I1676" s="24" t="str">
        <f t="shared" si="535"/>
        <v xml:space="preserve">COM VALOR</v>
      </c>
      <c r="L1676" s="36">
        <v>72.379999999999995</v>
      </c>
      <c r="M1676" s="37">
        <v>72.379999999999995</v>
      </c>
      <c r="N1676" s="36">
        <v>72.379999999999995</v>
      </c>
    </row>
    <row r="1677" ht="25.5">
      <c r="A1677" s="19" t="s">
        <v>10460</v>
      </c>
      <c r="B1677" s="19">
        <v>42693</v>
      </c>
      <c r="C1677" s="20" t="s">
        <v>12135</v>
      </c>
      <c r="D1677" s="19" t="s">
        <v>31</v>
      </c>
      <c r="E1677" s="19" t="s">
        <v>10459</v>
      </c>
      <c r="F1677" s="21">
        <f t="shared" si="534"/>
        <v>481.02999999999997</v>
      </c>
      <c r="G1677" s="21">
        <f t="shared" si="534"/>
        <v>481.02999999999997</v>
      </c>
      <c r="H1677" s="21">
        <f t="shared" si="534"/>
        <v>481.02999999999997</v>
      </c>
      <c r="I1677" s="24" t="str">
        <f t="shared" si="535"/>
        <v xml:space="preserve">COM VALOR</v>
      </c>
      <c r="L1677" s="36">
        <v>481.02999999999997</v>
      </c>
      <c r="M1677" s="37">
        <v>481.02999999999997</v>
      </c>
      <c r="N1677" s="36">
        <v>481.02999999999997</v>
      </c>
    </row>
    <row r="1678" ht="25.5">
      <c r="A1678" s="19" t="s">
        <v>10460</v>
      </c>
      <c r="B1678" s="19">
        <v>42695</v>
      </c>
      <c r="C1678" s="20" t="s">
        <v>12136</v>
      </c>
      <c r="D1678" s="19" t="s">
        <v>31</v>
      </c>
      <c r="E1678" s="19" t="s">
        <v>10459</v>
      </c>
      <c r="F1678" s="21">
        <f t="shared" si="534"/>
        <v>336.06999999999999</v>
      </c>
      <c r="G1678" s="21">
        <f t="shared" si="534"/>
        <v>336.06999999999999</v>
      </c>
      <c r="H1678" s="21">
        <f t="shared" si="534"/>
        <v>336.06999999999999</v>
      </c>
      <c r="I1678" s="24" t="str">
        <f t="shared" si="535"/>
        <v xml:space="preserve">COM VALOR</v>
      </c>
      <c r="L1678" s="36">
        <v>336.06999999999999</v>
      </c>
      <c r="M1678" s="37">
        <v>336.06999999999999</v>
      </c>
      <c r="N1678" s="36">
        <v>336.06999999999999</v>
      </c>
    </row>
    <row r="1679" ht="25.5">
      <c r="A1679" s="19" t="s">
        <v>10460</v>
      </c>
      <c r="B1679" s="19">
        <v>42694</v>
      </c>
      <c r="C1679" s="20" t="s">
        <v>12137</v>
      </c>
      <c r="D1679" s="19" t="s">
        <v>31</v>
      </c>
      <c r="E1679" s="19" t="s">
        <v>10459</v>
      </c>
      <c r="F1679" s="21">
        <f t="shared" si="534"/>
        <v>643.71000000000004</v>
      </c>
      <c r="G1679" s="21">
        <f t="shared" si="534"/>
        <v>643.71000000000004</v>
      </c>
      <c r="H1679" s="21">
        <f t="shared" si="534"/>
        <v>643.71000000000004</v>
      </c>
      <c r="I1679" s="24" t="str">
        <f t="shared" si="535"/>
        <v xml:space="preserve">COM VALOR</v>
      </c>
      <c r="L1679" s="36">
        <v>643.71000000000004</v>
      </c>
      <c r="M1679" s="37">
        <v>643.71000000000004</v>
      </c>
      <c r="N1679" s="36">
        <v>643.71000000000004</v>
      </c>
    </row>
    <row r="1680" ht="25.5">
      <c r="A1680" s="19" t="s">
        <v>10460</v>
      </c>
      <c r="B1680" s="19">
        <v>20097</v>
      </c>
      <c r="C1680" s="20" t="s">
        <v>12138</v>
      </c>
      <c r="D1680" s="19" t="s">
        <v>31</v>
      </c>
      <c r="E1680" s="19" t="s">
        <v>10459</v>
      </c>
      <c r="F1680" s="21">
        <f t="shared" si="534"/>
        <v>27.91</v>
      </c>
      <c r="G1680" s="21">
        <f t="shared" si="534"/>
        <v>27.91</v>
      </c>
      <c r="H1680" s="21">
        <f t="shared" si="534"/>
        <v>27.91</v>
      </c>
      <c r="I1680" s="24" t="str">
        <f t="shared" si="535"/>
        <v xml:space="preserve">COM VALOR</v>
      </c>
      <c r="L1680" s="36">
        <v>27.91</v>
      </c>
      <c r="M1680" s="37">
        <v>27.91</v>
      </c>
      <c r="N1680" s="36">
        <v>27.91</v>
      </c>
    </row>
    <row r="1681" ht="25.5">
      <c r="A1681" s="19" t="s">
        <v>10460</v>
      </c>
      <c r="B1681" s="19">
        <v>20098</v>
      </c>
      <c r="C1681" s="20" t="s">
        <v>12139</v>
      </c>
      <c r="D1681" s="19" t="s">
        <v>31</v>
      </c>
      <c r="E1681" s="19" t="s">
        <v>10459</v>
      </c>
      <c r="F1681" s="21">
        <f t="shared" si="534"/>
        <v>114.06999999999999</v>
      </c>
      <c r="G1681" s="21">
        <f t="shared" si="534"/>
        <v>114.06999999999999</v>
      </c>
      <c r="H1681" s="21">
        <f t="shared" si="534"/>
        <v>114.06999999999999</v>
      </c>
      <c r="I1681" s="24" t="str">
        <f t="shared" si="535"/>
        <v xml:space="preserve">COM VALOR</v>
      </c>
      <c r="L1681" s="36">
        <v>114.06999999999999</v>
      </c>
      <c r="M1681" s="37">
        <v>114.06999999999999</v>
      </c>
      <c r="N1681" s="36">
        <v>114.06999999999999</v>
      </c>
    </row>
    <row r="1682" ht="25.5">
      <c r="A1682" s="19" t="s">
        <v>10460</v>
      </c>
      <c r="B1682" s="19">
        <v>20096</v>
      </c>
      <c r="C1682" s="20" t="s">
        <v>12140</v>
      </c>
      <c r="D1682" s="19" t="s">
        <v>31</v>
      </c>
      <c r="E1682" s="19" t="s">
        <v>10459</v>
      </c>
      <c r="F1682" s="21">
        <f t="shared" si="534"/>
        <v>28.890000000000001</v>
      </c>
      <c r="G1682" s="21">
        <f t="shared" si="534"/>
        <v>28.890000000000001</v>
      </c>
      <c r="H1682" s="21">
        <f t="shared" si="534"/>
        <v>28.890000000000001</v>
      </c>
      <c r="I1682" s="24" t="str">
        <f t="shared" si="535"/>
        <v xml:space="preserve">COM VALOR</v>
      </c>
      <c r="L1682" s="36">
        <v>28.890000000000001</v>
      </c>
      <c r="M1682" s="37">
        <v>28.890000000000001</v>
      </c>
      <c r="N1682" s="36">
        <v>28.890000000000001</v>
      </c>
    </row>
    <row r="1683" ht="12.75">
      <c r="A1683" s="19" t="s">
        <v>10638</v>
      </c>
      <c r="B1683" s="19">
        <v>44472</v>
      </c>
      <c r="C1683" s="20" t="s">
        <v>12141</v>
      </c>
      <c r="D1683" s="19" t="s">
        <v>31</v>
      </c>
      <c r="E1683" s="19" t="s">
        <v>10459</v>
      </c>
      <c r="F1683" s="21">
        <f t="shared" si="534"/>
        <v>56.189999999999998</v>
      </c>
      <c r="G1683" s="21">
        <f t="shared" si="534"/>
        <v>56.189999999999998</v>
      </c>
      <c r="H1683" s="21">
        <f t="shared" si="534"/>
        <v>56.189999999999998</v>
      </c>
      <c r="I1683" s="24" t="str">
        <f t="shared" si="535"/>
        <v xml:space="preserve">COM VALOR</v>
      </c>
      <c r="J1683" s="38" t="s">
        <v>10710</v>
      </c>
      <c r="L1683" s="36">
        <v>56.189999999999998</v>
      </c>
      <c r="M1683" s="37">
        <v>56.189999999999998</v>
      </c>
      <c r="N1683" s="36">
        <v>56.189999999999998</v>
      </c>
    </row>
    <row r="1684" ht="25.5">
      <c r="A1684" s="19" t="s">
        <v>10460</v>
      </c>
      <c r="B1684" s="19">
        <v>38369</v>
      </c>
      <c r="C1684" s="20" t="s">
        <v>12142</v>
      </c>
      <c r="D1684" s="19" t="s">
        <v>31</v>
      </c>
      <c r="E1684" s="19" t="s">
        <v>10459</v>
      </c>
      <c r="F1684" s="21">
        <f t="shared" si="534"/>
        <v>16.800000000000001</v>
      </c>
      <c r="G1684" s="21">
        <f t="shared" si="534"/>
        <v>16.800000000000001</v>
      </c>
      <c r="H1684" s="21">
        <f t="shared" si="534"/>
        <v>16.800000000000001</v>
      </c>
      <c r="I1684" s="24" t="str">
        <f t="shared" si="535"/>
        <v xml:space="preserve">COM VALOR</v>
      </c>
      <c r="L1684" s="36">
        <v>16.800000000000001</v>
      </c>
      <c r="M1684" s="37">
        <v>16.800000000000001</v>
      </c>
      <c r="N1684" s="36">
        <v>16.800000000000001</v>
      </c>
    </row>
    <row r="1685" ht="25.5">
      <c r="A1685" s="19" t="s">
        <v>10460</v>
      </c>
      <c r="B1685" s="19">
        <v>38370</v>
      </c>
      <c r="C1685" s="20" t="s">
        <v>12143</v>
      </c>
      <c r="D1685" s="19" t="s">
        <v>31</v>
      </c>
      <c r="E1685" s="19" t="s">
        <v>10459</v>
      </c>
      <c r="F1685" s="21">
        <f t="shared" si="534"/>
        <v>11.33</v>
      </c>
      <c r="G1685" s="21">
        <f t="shared" si="534"/>
        <v>11.33</v>
      </c>
      <c r="H1685" s="21">
        <f t="shared" si="534"/>
        <v>11.33</v>
      </c>
      <c r="I1685" s="24" t="str">
        <f t="shared" si="535"/>
        <v xml:space="preserve">COM VALOR</v>
      </c>
      <c r="L1685" s="36">
        <v>11.33</v>
      </c>
      <c r="M1685" s="37">
        <v>11.33</v>
      </c>
      <c r="N1685" s="36">
        <v>11.33</v>
      </c>
    </row>
    <row r="1686" ht="12.75">
      <c r="A1686" s="19" t="s">
        <v>10460</v>
      </c>
      <c r="B1686" s="19">
        <v>45199</v>
      </c>
      <c r="C1686" s="20" t="s">
        <v>12144</v>
      </c>
      <c r="D1686" s="19" t="s">
        <v>31</v>
      </c>
      <c r="E1686" s="19" t="s">
        <v>10459</v>
      </c>
      <c r="F1686" s="21">
        <f t="shared" si="534"/>
        <v>42.219999999999999</v>
      </c>
      <c r="G1686" s="21">
        <f t="shared" si="534"/>
        <v>42.219999999999999</v>
      </c>
      <c r="H1686" s="21">
        <f t="shared" si="534"/>
        <v>42.219999999999999</v>
      </c>
      <c r="I1686" s="24" t="str">
        <f t="shared" si="535"/>
        <v xml:space="preserve">COM VALOR</v>
      </c>
      <c r="L1686" s="36">
        <v>42.219999999999999</v>
      </c>
      <c r="M1686" s="37">
        <v>42.219999999999999</v>
      </c>
      <c r="N1686" s="36">
        <v>42.219999999999999</v>
      </c>
    </row>
    <row r="1687" ht="12.75">
      <c r="A1687" s="19" t="s">
        <v>10460</v>
      </c>
      <c r="B1687" s="19">
        <v>38372</v>
      </c>
      <c r="C1687" s="20" t="s">
        <v>12145</v>
      </c>
      <c r="D1687" s="19" t="s">
        <v>31</v>
      </c>
      <c r="E1687" s="19" t="s">
        <v>10459</v>
      </c>
      <c r="F1687" s="21" t="str">
        <f t="shared" si="534"/>
        <v>VERIFICAR</v>
      </c>
      <c r="G1687" s="21" t="str">
        <f t="shared" si="534"/>
        <v>VERIFICAR</v>
      </c>
      <c r="H1687" s="21" t="str">
        <f t="shared" si="534"/>
        <v>VERIFICAR</v>
      </c>
      <c r="I1687" s="24" t="str">
        <f t="shared" si="535"/>
        <v xml:space="preserve">SEM VALOR</v>
      </c>
      <c r="L1687" s="36"/>
      <c r="M1687" s="37"/>
      <c r="N1687" s="36"/>
    </row>
    <row r="1688" ht="12.75">
      <c r="A1688" s="19" t="s">
        <v>10604</v>
      </c>
      <c r="B1688" s="19">
        <v>2358</v>
      </c>
      <c r="C1688" s="20" t="s">
        <v>12146</v>
      </c>
      <c r="D1688" s="19" t="s">
        <v>2032</v>
      </c>
      <c r="E1688" s="19" t="s">
        <v>10459</v>
      </c>
      <c r="F1688" s="21">
        <f t="shared" si="534"/>
        <v>20.68</v>
      </c>
      <c r="G1688" s="21">
        <f t="shared" si="534"/>
        <v>20.68</v>
      </c>
      <c r="H1688" s="21">
        <f t="shared" si="534"/>
        <v>20.68</v>
      </c>
      <c r="I1688" s="24" t="str">
        <f t="shared" si="535"/>
        <v xml:space="preserve">COM VALOR</v>
      </c>
      <c r="L1688" s="36">
        <v>20.68</v>
      </c>
      <c r="M1688" s="37">
        <v>20.68</v>
      </c>
      <c r="N1688" s="36">
        <v>20.68</v>
      </c>
    </row>
    <row r="1689" ht="12.75">
      <c r="A1689" s="19" t="s">
        <v>10604</v>
      </c>
      <c r="B1689" s="19">
        <v>40807</v>
      </c>
      <c r="C1689" s="20" t="s">
        <v>12147</v>
      </c>
      <c r="D1689" s="19" t="s">
        <v>7087</v>
      </c>
      <c r="E1689" s="19" t="s">
        <v>10459</v>
      </c>
      <c r="F1689" s="21">
        <f t="shared" si="534"/>
        <v>3620.21</v>
      </c>
      <c r="G1689" s="21">
        <f t="shared" si="534"/>
        <v>3620.21</v>
      </c>
      <c r="H1689" s="21">
        <f t="shared" si="534"/>
        <v>3620.21</v>
      </c>
      <c r="I1689" s="24" t="str">
        <f t="shared" si="535"/>
        <v xml:space="preserve">COM VALOR</v>
      </c>
      <c r="L1689" s="36">
        <v>3620.21</v>
      </c>
      <c r="M1689" s="37">
        <v>3620.21</v>
      </c>
      <c r="N1689" s="36">
        <v>3620.21</v>
      </c>
    </row>
    <row r="1690" ht="12.75">
      <c r="A1690" s="19" t="s">
        <v>10460</v>
      </c>
      <c r="B1690" s="19">
        <v>44330</v>
      </c>
      <c r="C1690" s="20" t="s">
        <v>12148</v>
      </c>
      <c r="D1690" s="19" t="s">
        <v>9794</v>
      </c>
      <c r="E1690" s="19" t="s">
        <v>10459</v>
      </c>
      <c r="F1690" s="21">
        <f t="shared" si="534"/>
        <v>8.3499999999999996</v>
      </c>
      <c r="G1690" s="21">
        <f t="shared" si="534"/>
        <v>8.3499999999999996</v>
      </c>
      <c r="H1690" s="21">
        <f t="shared" si="534"/>
        <v>8.3499999999999996</v>
      </c>
      <c r="I1690" s="24" t="str">
        <f t="shared" si="535"/>
        <v xml:space="preserve">COM VALOR</v>
      </c>
      <c r="L1690" s="36">
        <v>8.3499999999999996</v>
      </c>
      <c r="M1690" s="37">
        <v>8.3499999999999996</v>
      </c>
      <c r="N1690" s="36">
        <v>8.3499999999999996</v>
      </c>
    </row>
    <row r="1691" ht="12.75">
      <c r="A1691" s="19" t="s">
        <v>10460</v>
      </c>
      <c r="B1691" s="19">
        <v>43144</v>
      </c>
      <c r="C1691" s="20" t="s">
        <v>12149</v>
      </c>
      <c r="D1691" s="19" t="s">
        <v>302</v>
      </c>
      <c r="E1691" s="19" t="s">
        <v>10459</v>
      </c>
      <c r="F1691" s="21">
        <f t="shared" si="534"/>
        <v>35.950000000000003</v>
      </c>
      <c r="G1691" s="21">
        <f t="shared" si="534"/>
        <v>35.950000000000003</v>
      </c>
      <c r="H1691" s="21">
        <f t="shared" si="534"/>
        <v>35.950000000000003</v>
      </c>
      <c r="I1691" s="24" t="str">
        <f t="shared" si="535"/>
        <v xml:space="preserve">COM VALOR</v>
      </c>
      <c r="L1691" s="36">
        <v>35.950000000000003</v>
      </c>
      <c r="M1691" s="37">
        <v>35.950000000000003</v>
      </c>
      <c r="N1691" s="36">
        <v>35.950000000000003</v>
      </c>
    </row>
    <row r="1692" ht="25.5">
      <c r="A1692" s="19" t="s">
        <v>10460</v>
      </c>
      <c r="B1692" s="19">
        <v>39397</v>
      </c>
      <c r="C1692" s="20" t="s">
        <v>12150</v>
      </c>
      <c r="D1692" s="19" t="s">
        <v>9794</v>
      </c>
      <c r="E1692" s="19" t="s">
        <v>10459</v>
      </c>
      <c r="F1692" s="21">
        <f t="shared" si="534"/>
        <v>16.390000000000001</v>
      </c>
      <c r="G1692" s="21">
        <f t="shared" si="534"/>
        <v>16.390000000000001</v>
      </c>
      <c r="H1692" s="21">
        <f t="shared" si="534"/>
        <v>16.390000000000001</v>
      </c>
      <c r="I1692" s="24" t="str">
        <f t="shared" si="535"/>
        <v xml:space="preserve">COM VALOR</v>
      </c>
      <c r="L1692" s="36">
        <v>16.390000000000001</v>
      </c>
      <c r="M1692" s="37">
        <v>16.390000000000001</v>
      </c>
      <c r="N1692" s="36">
        <v>16.390000000000001</v>
      </c>
    </row>
    <row r="1693" ht="25.5">
      <c r="A1693" s="19" t="s">
        <v>10460</v>
      </c>
      <c r="B1693" s="19">
        <v>2692</v>
      </c>
      <c r="C1693" s="20" t="s">
        <v>12151</v>
      </c>
      <c r="D1693" s="19" t="s">
        <v>9794</v>
      </c>
      <c r="E1693" s="19" t="s">
        <v>10459</v>
      </c>
      <c r="F1693" s="21">
        <f t="shared" si="534"/>
        <v>6.6100000000000003</v>
      </c>
      <c r="G1693" s="21">
        <f t="shared" si="534"/>
        <v>6.6100000000000003</v>
      </c>
      <c r="H1693" s="21">
        <f t="shared" si="534"/>
        <v>6.6100000000000003</v>
      </c>
      <c r="I1693" s="24" t="str">
        <f t="shared" si="535"/>
        <v xml:space="preserve">COM VALOR</v>
      </c>
      <c r="L1693" s="36">
        <v>6.6100000000000003</v>
      </c>
      <c r="M1693" s="37">
        <v>6.6100000000000003</v>
      </c>
      <c r="N1693" s="36">
        <v>6.6100000000000003</v>
      </c>
    </row>
    <row r="1694" ht="12.75">
      <c r="A1694" s="19" t="s">
        <v>10638</v>
      </c>
      <c r="B1694" s="19">
        <v>45299</v>
      </c>
      <c r="C1694" s="20" t="s">
        <v>12152</v>
      </c>
      <c r="D1694" s="19" t="s">
        <v>31</v>
      </c>
      <c r="E1694" s="19" t="s">
        <v>10459</v>
      </c>
      <c r="F1694" s="21">
        <f t="shared" si="534"/>
        <v>100.95999999999999</v>
      </c>
      <c r="G1694" s="21">
        <f t="shared" si="534"/>
        <v>100.95999999999999</v>
      </c>
      <c r="H1694" s="21">
        <f t="shared" si="534"/>
        <v>100.95999999999999</v>
      </c>
      <c r="I1694" s="24" t="str">
        <f t="shared" si="535"/>
        <v xml:space="preserve">COM VALOR</v>
      </c>
      <c r="L1694" s="36">
        <v>100.95999999999999</v>
      </c>
      <c r="M1694" s="37">
        <v>100.95999999999999</v>
      </c>
      <c r="N1694" s="36">
        <v>100.95999999999999</v>
      </c>
    </row>
    <row r="1695" ht="12.75">
      <c r="A1695" s="19" t="s">
        <v>10460</v>
      </c>
      <c r="B1695" s="19">
        <v>44329</v>
      </c>
      <c r="C1695" s="20" t="s">
        <v>12153</v>
      </c>
      <c r="D1695" s="19" t="s">
        <v>9794</v>
      </c>
      <c r="E1695" s="19" t="s">
        <v>10459</v>
      </c>
      <c r="F1695" s="21">
        <f t="shared" si="534"/>
        <v>10.949999999999999</v>
      </c>
      <c r="G1695" s="21">
        <f t="shared" si="534"/>
        <v>10.949999999999999</v>
      </c>
      <c r="H1695" s="21">
        <f t="shared" si="534"/>
        <v>10.949999999999999</v>
      </c>
      <c r="I1695" s="24" t="str">
        <f t="shared" si="535"/>
        <v xml:space="preserve">COM VALOR</v>
      </c>
      <c r="L1695" s="36">
        <v>10.949999999999999</v>
      </c>
      <c r="M1695" s="37">
        <v>10.949999999999999</v>
      </c>
      <c r="N1695" s="36">
        <v>10.949999999999999</v>
      </c>
    </row>
    <row r="1696" ht="12.75">
      <c r="A1696" s="19" t="s">
        <v>10460</v>
      </c>
      <c r="B1696" s="19">
        <v>5318</v>
      </c>
      <c r="C1696" s="20" t="s">
        <v>12154</v>
      </c>
      <c r="D1696" s="19" t="s">
        <v>9794</v>
      </c>
      <c r="E1696" s="19" t="s">
        <v>10466</v>
      </c>
      <c r="F1696" s="21">
        <f t="shared" si="534"/>
        <v>17.699999999999999</v>
      </c>
      <c r="G1696" s="21">
        <f t="shared" si="534"/>
        <v>17.699999999999999</v>
      </c>
      <c r="H1696" s="21">
        <f t="shared" si="534"/>
        <v>17.699999999999999</v>
      </c>
      <c r="I1696" s="24" t="str">
        <f t="shared" si="535"/>
        <v xml:space="preserve">COM VALOR</v>
      </c>
      <c r="L1696" s="36">
        <v>17.699999999999999</v>
      </c>
      <c r="M1696" s="37">
        <v>17.699999999999999</v>
      </c>
      <c r="N1696" s="36">
        <v>17.699999999999999</v>
      </c>
    </row>
    <row r="1697" ht="12.75">
      <c r="A1697" s="19" t="s">
        <v>10460</v>
      </c>
      <c r="B1697" s="19">
        <v>5330</v>
      </c>
      <c r="C1697" s="20" t="s">
        <v>12155</v>
      </c>
      <c r="D1697" s="19" t="s">
        <v>9794</v>
      </c>
      <c r="E1697" s="19" t="s">
        <v>10459</v>
      </c>
      <c r="F1697" s="21">
        <f t="shared" si="534"/>
        <v>40.340000000000003</v>
      </c>
      <c r="G1697" s="21">
        <f t="shared" si="534"/>
        <v>40.340000000000003</v>
      </c>
      <c r="H1697" s="21">
        <f t="shared" si="534"/>
        <v>40.340000000000003</v>
      </c>
      <c r="I1697" s="24" t="str">
        <f t="shared" si="535"/>
        <v xml:space="preserve">COM VALOR</v>
      </c>
      <c r="L1697" s="36">
        <v>40.340000000000003</v>
      </c>
      <c r="M1697" s="37">
        <v>40.340000000000003</v>
      </c>
      <c r="N1697" s="36">
        <v>40.340000000000003</v>
      </c>
    </row>
    <row r="1698" ht="25.5">
      <c r="A1698" s="19" t="s">
        <v>10460</v>
      </c>
      <c r="B1698" s="19">
        <v>44532</v>
      </c>
      <c r="C1698" s="20" t="s">
        <v>12156</v>
      </c>
      <c r="D1698" s="19" t="s">
        <v>31</v>
      </c>
      <c r="E1698" s="19" t="s">
        <v>10459</v>
      </c>
      <c r="F1698" s="21">
        <f t="shared" si="534"/>
        <v>17.23</v>
      </c>
      <c r="G1698" s="21">
        <f t="shared" si="534"/>
        <v>17.23</v>
      </c>
      <c r="H1698" s="21">
        <f t="shared" si="534"/>
        <v>17.23</v>
      </c>
      <c r="I1698" s="24" t="str">
        <f t="shared" si="535"/>
        <v xml:space="preserve">COM VALOR</v>
      </c>
      <c r="L1698" s="36">
        <v>17.23</v>
      </c>
      <c r="M1698" s="37">
        <v>17.23</v>
      </c>
      <c r="N1698" s="36">
        <v>17.23</v>
      </c>
    </row>
    <row r="1699" ht="25.5">
      <c r="A1699" s="19" t="s">
        <v>10460</v>
      </c>
      <c r="B1699" s="19">
        <v>44531</v>
      </c>
      <c r="C1699" s="20" t="s">
        <v>12157</v>
      </c>
      <c r="D1699" s="19" t="s">
        <v>31</v>
      </c>
      <c r="E1699" s="19" t="s">
        <v>10459</v>
      </c>
      <c r="F1699" s="21">
        <f t="shared" si="534"/>
        <v>59.07</v>
      </c>
      <c r="G1699" s="21">
        <f t="shared" si="534"/>
        <v>59.07</v>
      </c>
      <c r="H1699" s="21">
        <f t="shared" si="534"/>
        <v>59.07</v>
      </c>
      <c r="I1699" s="24" t="str">
        <f t="shared" si="535"/>
        <v xml:space="preserve">COM VALOR</v>
      </c>
      <c r="L1699" s="36">
        <v>59.07</v>
      </c>
      <c r="M1699" s="37">
        <v>59.07</v>
      </c>
      <c r="N1699" s="36">
        <v>59.07</v>
      </c>
    </row>
    <row r="1700" ht="38.25">
      <c r="A1700" s="19" t="s">
        <v>10460</v>
      </c>
      <c r="B1700" s="19">
        <v>13887</v>
      </c>
      <c r="C1700" s="20" t="s">
        <v>12158</v>
      </c>
      <c r="D1700" s="19" t="s">
        <v>31</v>
      </c>
      <c r="E1700" s="19" t="s">
        <v>10459</v>
      </c>
      <c r="F1700" s="21">
        <f t="shared" si="534"/>
        <v>257.33999999999997</v>
      </c>
      <c r="G1700" s="21">
        <f t="shared" si="534"/>
        <v>257.33999999999997</v>
      </c>
      <c r="H1700" s="21">
        <f t="shared" si="534"/>
        <v>257.33999999999997</v>
      </c>
      <c r="I1700" s="24" t="str">
        <f t="shared" si="535"/>
        <v xml:space="preserve">COM VALOR</v>
      </c>
      <c r="L1700" s="36">
        <v>257.33999999999997</v>
      </c>
      <c r="M1700" s="37">
        <v>257.33999999999997</v>
      </c>
      <c r="N1700" s="36">
        <v>257.33999999999997</v>
      </c>
    </row>
    <row r="1701" ht="25.5">
      <c r="A1701" s="19" t="s">
        <v>10460</v>
      </c>
      <c r="B1701" s="19">
        <v>38140</v>
      </c>
      <c r="C1701" s="20" t="s">
        <v>12159</v>
      </c>
      <c r="D1701" s="19" t="s">
        <v>31</v>
      </c>
      <c r="E1701" s="19" t="s">
        <v>10459</v>
      </c>
      <c r="F1701" s="21">
        <f t="shared" si="534"/>
        <v>21.079999999999998</v>
      </c>
      <c r="G1701" s="21">
        <f t="shared" si="534"/>
        <v>21.079999999999998</v>
      </c>
      <c r="H1701" s="21">
        <f t="shared" si="534"/>
        <v>21.079999999999998</v>
      </c>
      <c r="I1701" s="24" t="str">
        <f t="shared" si="535"/>
        <v xml:space="preserve">COM VALOR</v>
      </c>
      <c r="L1701" s="36">
        <v>21.079999999999998</v>
      </c>
      <c r="M1701" s="37">
        <v>21.079999999999998</v>
      </c>
      <c r="N1701" s="36">
        <v>21.079999999999998</v>
      </c>
    </row>
    <row r="1702" ht="25.5">
      <c r="A1702" s="19" t="s">
        <v>10460</v>
      </c>
      <c r="B1702" s="19">
        <v>44495</v>
      </c>
      <c r="C1702" s="20" t="s">
        <v>12160</v>
      </c>
      <c r="D1702" s="19" t="s">
        <v>31</v>
      </c>
      <c r="E1702" s="19" t="s">
        <v>10459</v>
      </c>
      <c r="F1702" s="21">
        <f t="shared" si="534"/>
        <v>22.280000000000001</v>
      </c>
      <c r="G1702" s="21">
        <f t="shared" si="534"/>
        <v>22.280000000000001</v>
      </c>
      <c r="H1702" s="21">
        <f t="shared" si="534"/>
        <v>22.280000000000001</v>
      </c>
      <c r="I1702" s="24" t="str">
        <f t="shared" si="535"/>
        <v xml:space="preserve">COM VALOR</v>
      </c>
      <c r="L1702" s="36">
        <v>22.280000000000001</v>
      </c>
      <c r="M1702" s="37">
        <v>22.280000000000001</v>
      </c>
      <c r="N1702" s="36">
        <v>22.280000000000001</v>
      </c>
    </row>
    <row r="1703" ht="25.5">
      <c r="A1703" s="19" t="s">
        <v>10460</v>
      </c>
      <c r="B1703" s="19">
        <v>44533</v>
      </c>
      <c r="C1703" s="20" t="s">
        <v>12161</v>
      </c>
      <c r="D1703" s="19" t="s">
        <v>31</v>
      </c>
      <c r="E1703" s="19" t="s">
        <v>10459</v>
      </c>
      <c r="F1703" s="21">
        <f t="shared" si="534"/>
        <v>22.609999999999999</v>
      </c>
      <c r="G1703" s="21">
        <f t="shared" si="534"/>
        <v>22.609999999999999</v>
      </c>
      <c r="H1703" s="21">
        <f t="shared" si="534"/>
        <v>22.609999999999999</v>
      </c>
      <c r="I1703" s="24" t="str">
        <f t="shared" si="535"/>
        <v xml:space="preserve">COM VALOR</v>
      </c>
      <c r="L1703" s="36">
        <v>22.609999999999999</v>
      </c>
      <c r="M1703" s="37">
        <v>22.609999999999999</v>
      </c>
      <c r="N1703" s="36">
        <v>22.609999999999999</v>
      </c>
    </row>
    <row r="1704" ht="12.75">
      <c r="A1704" s="19" t="s">
        <v>10460</v>
      </c>
      <c r="B1704" s="19">
        <v>44534</v>
      </c>
      <c r="C1704" s="20" t="s">
        <v>12162</v>
      </c>
      <c r="D1704" s="19" t="s">
        <v>31</v>
      </c>
      <c r="E1704" s="19" t="s">
        <v>10459</v>
      </c>
      <c r="F1704" s="21">
        <f t="shared" si="534"/>
        <v>4.4299999999999997</v>
      </c>
      <c r="G1704" s="21">
        <f t="shared" si="534"/>
        <v>4.4299999999999997</v>
      </c>
      <c r="H1704" s="21">
        <f t="shared" si="534"/>
        <v>4.4299999999999997</v>
      </c>
      <c r="I1704" s="24" t="str">
        <f t="shared" si="535"/>
        <v xml:space="preserve">COM VALOR</v>
      </c>
      <c r="L1704" s="36">
        <v>4.4299999999999997</v>
      </c>
      <c r="M1704" s="37">
        <v>4.4299999999999997</v>
      </c>
      <c r="N1704" s="36">
        <v>4.4299999999999997</v>
      </c>
    </row>
    <row r="1705" ht="25.5">
      <c r="A1705" s="19" t="s">
        <v>10460</v>
      </c>
      <c r="B1705" s="19">
        <v>34729</v>
      </c>
      <c r="C1705" s="20" t="s">
        <v>12163</v>
      </c>
      <c r="D1705" s="19" t="s">
        <v>31</v>
      </c>
      <c r="E1705" s="19" t="s">
        <v>10459</v>
      </c>
      <c r="F1705" s="21">
        <f t="shared" si="534"/>
        <v>1206.3900000000001</v>
      </c>
      <c r="G1705" s="21">
        <f t="shared" si="534"/>
        <v>1206.3900000000001</v>
      </c>
      <c r="H1705" s="21">
        <f t="shared" si="534"/>
        <v>1206.3900000000001</v>
      </c>
      <c r="I1705" s="24" t="str">
        <f t="shared" si="535"/>
        <v xml:space="preserve">COM VALOR</v>
      </c>
      <c r="L1705" s="36">
        <v>1206.3900000000001</v>
      </c>
      <c r="M1705" s="37">
        <v>1206.3900000000001</v>
      </c>
      <c r="N1705" s="36">
        <v>1206.3900000000001</v>
      </c>
    </row>
    <row r="1706" ht="25.5">
      <c r="A1706" s="19" t="s">
        <v>10460</v>
      </c>
      <c r="B1706" s="19">
        <v>34734</v>
      </c>
      <c r="C1706" s="20" t="s">
        <v>12164</v>
      </c>
      <c r="D1706" s="19" t="s">
        <v>31</v>
      </c>
      <c r="E1706" s="19" t="s">
        <v>10459</v>
      </c>
      <c r="F1706" s="21">
        <f t="shared" si="534"/>
        <v>1867.8699999999999</v>
      </c>
      <c r="G1706" s="21">
        <f t="shared" si="534"/>
        <v>1867.8699999999999</v>
      </c>
      <c r="H1706" s="21">
        <f t="shared" si="534"/>
        <v>1867.8699999999999</v>
      </c>
      <c r="I1706" s="24" t="str">
        <f t="shared" si="535"/>
        <v xml:space="preserve">COM VALOR</v>
      </c>
      <c r="L1706" s="36">
        <v>1867.8699999999999</v>
      </c>
      <c r="M1706" s="37">
        <v>1867.8699999999999</v>
      </c>
      <c r="N1706" s="36">
        <v>1867.8699999999999</v>
      </c>
    </row>
    <row r="1707" ht="25.5">
      <c r="A1707" s="19" t="s">
        <v>10460</v>
      </c>
      <c r="B1707" s="19">
        <v>34738</v>
      </c>
      <c r="C1707" s="20" t="s">
        <v>12165</v>
      </c>
      <c r="D1707" s="19" t="s">
        <v>31</v>
      </c>
      <c r="E1707" s="19" t="s">
        <v>10459</v>
      </c>
      <c r="F1707" s="21">
        <f t="shared" si="534"/>
        <v>4363.9399999999996</v>
      </c>
      <c r="G1707" s="21">
        <f t="shared" si="534"/>
        <v>4363.9399999999996</v>
      </c>
      <c r="H1707" s="21">
        <f t="shared" si="534"/>
        <v>4363.9399999999996</v>
      </c>
      <c r="I1707" s="24" t="str">
        <f t="shared" si="535"/>
        <v xml:space="preserve">COM VALOR</v>
      </c>
      <c r="L1707" s="36">
        <v>4363.9399999999996</v>
      </c>
      <c r="M1707" s="37">
        <v>4363.9399999999996</v>
      </c>
      <c r="N1707" s="36">
        <v>4363.9399999999996</v>
      </c>
    </row>
    <row r="1708" ht="25.5">
      <c r="A1708" s="19" t="s">
        <v>10460</v>
      </c>
      <c r="B1708" s="19">
        <v>34623</v>
      </c>
      <c r="C1708" s="20" t="s">
        <v>12166</v>
      </c>
      <c r="D1708" s="19" t="s">
        <v>31</v>
      </c>
      <c r="E1708" s="19" t="s">
        <v>10459</v>
      </c>
      <c r="F1708" s="21">
        <f t="shared" si="534"/>
        <v>52.289999999999999</v>
      </c>
      <c r="G1708" s="21">
        <f t="shared" si="534"/>
        <v>52.289999999999999</v>
      </c>
      <c r="H1708" s="21">
        <f t="shared" si="534"/>
        <v>52.289999999999999</v>
      </c>
      <c r="I1708" s="24" t="str">
        <f t="shared" si="535"/>
        <v xml:space="preserve">COM VALOR</v>
      </c>
      <c r="L1708" s="36">
        <v>52.289999999999999</v>
      </c>
      <c r="M1708" s="37">
        <v>52.289999999999999</v>
      </c>
      <c r="N1708" s="36">
        <v>52.289999999999999</v>
      </c>
    </row>
    <row r="1709" ht="25.5">
      <c r="A1709" s="19" t="s">
        <v>10460</v>
      </c>
      <c r="B1709" s="19">
        <v>34616</v>
      </c>
      <c r="C1709" s="20" t="s">
        <v>12167</v>
      </c>
      <c r="D1709" s="19" t="s">
        <v>31</v>
      </c>
      <c r="E1709" s="19" t="s">
        <v>10459</v>
      </c>
      <c r="F1709" s="21">
        <f t="shared" si="534"/>
        <v>53.109999999999999</v>
      </c>
      <c r="G1709" s="21">
        <f t="shared" si="534"/>
        <v>53.109999999999999</v>
      </c>
      <c r="H1709" s="21">
        <f t="shared" si="534"/>
        <v>53.109999999999999</v>
      </c>
      <c r="I1709" s="24" t="str">
        <f t="shared" si="535"/>
        <v xml:space="preserve">COM VALOR</v>
      </c>
      <c r="L1709" s="36">
        <v>53.109999999999999</v>
      </c>
      <c r="M1709" s="37">
        <v>53.109999999999999</v>
      </c>
      <c r="N1709" s="36">
        <v>53.109999999999999</v>
      </c>
    </row>
    <row r="1710" ht="25.5">
      <c r="A1710" s="19" t="s">
        <v>10460</v>
      </c>
      <c r="B1710" s="19">
        <v>34628</v>
      </c>
      <c r="C1710" s="20" t="s">
        <v>12168</v>
      </c>
      <c r="D1710" s="19" t="s">
        <v>31</v>
      </c>
      <c r="E1710" s="19" t="s">
        <v>10459</v>
      </c>
      <c r="F1710" s="21">
        <f t="shared" si="534"/>
        <v>74.900000000000006</v>
      </c>
      <c r="G1710" s="21">
        <f t="shared" si="534"/>
        <v>74.900000000000006</v>
      </c>
      <c r="H1710" s="21">
        <f t="shared" si="534"/>
        <v>74.900000000000006</v>
      </c>
      <c r="I1710" s="24" t="str">
        <f t="shared" si="535"/>
        <v xml:space="preserve">COM VALOR</v>
      </c>
      <c r="L1710" s="36">
        <v>74.900000000000006</v>
      </c>
      <c r="M1710" s="37">
        <v>74.900000000000006</v>
      </c>
      <c r="N1710" s="36">
        <v>74.900000000000006</v>
      </c>
    </row>
    <row r="1711" ht="25.5">
      <c r="A1711" s="19" t="s">
        <v>10460</v>
      </c>
      <c r="B1711" s="19">
        <v>34686</v>
      </c>
      <c r="C1711" s="20" t="s">
        <v>12169</v>
      </c>
      <c r="D1711" s="19" t="s">
        <v>31</v>
      </c>
      <c r="E1711" s="19" t="s">
        <v>10459</v>
      </c>
      <c r="F1711" s="21">
        <f t="shared" si="534"/>
        <v>13.74</v>
      </c>
      <c r="G1711" s="21">
        <f t="shared" si="534"/>
        <v>13.74</v>
      </c>
      <c r="H1711" s="21">
        <f t="shared" si="534"/>
        <v>13.74</v>
      </c>
      <c r="I1711" s="24" t="str">
        <f t="shared" si="535"/>
        <v xml:space="preserve">COM VALOR</v>
      </c>
      <c r="L1711" s="36">
        <v>13.74</v>
      </c>
      <c r="M1711" s="37">
        <v>13.74</v>
      </c>
      <c r="N1711" s="36">
        <v>13.74</v>
      </c>
    </row>
    <row r="1712" ht="25.5">
      <c r="A1712" s="19" t="s">
        <v>10460</v>
      </c>
      <c r="B1712" s="19">
        <v>34653</v>
      </c>
      <c r="C1712" s="20" t="s">
        <v>12170</v>
      </c>
      <c r="D1712" s="19" t="s">
        <v>31</v>
      </c>
      <c r="E1712" s="19" t="s">
        <v>10459</v>
      </c>
      <c r="F1712" s="21">
        <f t="shared" si="534"/>
        <v>9.2599999999999998</v>
      </c>
      <c r="G1712" s="21">
        <f t="shared" si="534"/>
        <v>9.2599999999999998</v>
      </c>
      <c r="H1712" s="21">
        <f t="shared" si="534"/>
        <v>9.2599999999999998</v>
      </c>
      <c r="I1712" s="24" t="str">
        <f t="shared" si="535"/>
        <v xml:space="preserve">COM VALOR</v>
      </c>
      <c r="L1712" s="36">
        <v>9.2599999999999998</v>
      </c>
      <c r="M1712" s="37">
        <v>9.2599999999999998</v>
      </c>
      <c r="N1712" s="36">
        <v>9.2599999999999998</v>
      </c>
    </row>
    <row r="1713" ht="25.5">
      <c r="A1713" s="19" t="s">
        <v>10460</v>
      </c>
      <c r="B1713" s="19">
        <v>34688</v>
      </c>
      <c r="C1713" s="20" t="s">
        <v>12171</v>
      </c>
      <c r="D1713" s="19" t="s">
        <v>31</v>
      </c>
      <c r="E1713" s="19" t="s">
        <v>10459</v>
      </c>
      <c r="F1713" s="21">
        <f t="shared" si="534"/>
        <v>16.789999999999999</v>
      </c>
      <c r="G1713" s="21">
        <f t="shared" si="534"/>
        <v>16.789999999999999</v>
      </c>
      <c r="H1713" s="21">
        <f t="shared" si="534"/>
        <v>16.789999999999999</v>
      </c>
      <c r="I1713" s="24" t="str">
        <f t="shared" si="535"/>
        <v xml:space="preserve">COM VALOR</v>
      </c>
      <c r="L1713" s="36">
        <v>16.789999999999999</v>
      </c>
      <c r="M1713" s="37">
        <v>16.789999999999999</v>
      </c>
      <c r="N1713" s="36">
        <v>16.789999999999999</v>
      </c>
    </row>
    <row r="1714" ht="25.5">
      <c r="A1714" s="19" t="s">
        <v>10460</v>
      </c>
      <c r="B1714" s="19">
        <v>34709</v>
      </c>
      <c r="C1714" s="20" t="s">
        <v>12172</v>
      </c>
      <c r="D1714" s="19" t="s">
        <v>31</v>
      </c>
      <c r="E1714" s="19" t="s">
        <v>10459</v>
      </c>
      <c r="F1714" s="21">
        <f t="shared" si="534"/>
        <v>65.069999999999993</v>
      </c>
      <c r="G1714" s="21">
        <f t="shared" si="534"/>
        <v>65.069999999999993</v>
      </c>
      <c r="H1714" s="21">
        <f t="shared" si="534"/>
        <v>65.069999999999993</v>
      </c>
      <c r="I1714" s="24" t="str">
        <f t="shared" si="535"/>
        <v xml:space="preserve">COM VALOR</v>
      </c>
      <c r="L1714" s="36">
        <v>65.069999999999993</v>
      </c>
      <c r="M1714" s="37">
        <v>65.069999999999993</v>
      </c>
      <c r="N1714" s="36">
        <v>65.069999999999993</v>
      </c>
    </row>
    <row r="1715" ht="25.5">
      <c r="A1715" s="19" t="s">
        <v>10460</v>
      </c>
      <c r="B1715" s="19">
        <v>34714</v>
      </c>
      <c r="C1715" s="20" t="s">
        <v>12173</v>
      </c>
      <c r="D1715" s="19" t="s">
        <v>31</v>
      </c>
      <c r="E1715" s="19" t="s">
        <v>10459</v>
      </c>
      <c r="F1715" s="21">
        <f t="shared" si="534"/>
        <v>77.719999999999999</v>
      </c>
      <c r="G1715" s="21">
        <f t="shared" si="534"/>
        <v>77.719999999999999</v>
      </c>
      <c r="H1715" s="21">
        <f t="shared" si="534"/>
        <v>77.719999999999999</v>
      </c>
      <c r="I1715" s="24" t="str">
        <f t="shared" si="535"/>
        <v xml:space="preserve">COM VALOR</v>
      </c>
      <c r="L1715" s="36">
        <v>77.719999999999999</v>
      </c>
      <c r="M1715" s="37">
        <v>77.719999999999999</v>
      </c>
      <c r="N1715" s="36">
        <v>77.719999999999999</v>
      </c>
    </row>
    <row r="1716" ht="25.5">
      <c r="A1716" s="19" t="s">
        <v>10460</v>
      </c>
      <c r="B1716" s="19">
        <v>2391</v>
      </c>
      <c r="C1716" s="20" t="s">
        <v>12174</v>
      </c>
      <c r="D1716" s="19" t="s">
        <v>31</v>
      </c>
      <c r="E1716" s="19" t="s">
        <v>10459</v>
      </c>
      <c r="F1716" s="21">
        <f t="shared" si="534"/>
        <v>354.93000000000001</v>
      </c>
      <c r="G1716" s="21">
        <f t="shared" si="534"/>
        <v>354.93000000000001</v>
      </c>
      <c r="H1716" s="21">
        <f t="shared" si="534"/>
        <v>354.93000000000001</v>
      </c>
      <c r="I1716" s="24" t="str">
        <f t="shared" si="535"/>
        <v xml:space="preserve">COM VALOR</v>
      </c>
      <c r="L1716" s="36">
        <v>354.93000000000001</v>
      </c>
      <c r="M1716" s="37">
        <v>354.93000000000001</v>
      </c>
      <c r="N1716" s="36">
        <v>354.93000000000001</v>
      </c>
    </row>
    <row r="1717" ht="25.5">
      <c r="A1717" s="19" t="s">
        <v>10460</v>
      </c>
      <c r="B1717" s="19">
        <v>2374</v>
      </c>
      <c r="C1717" s="20" t="s">
        <v>12175</v>
      </c>
      <c r="D1717" s="19" t="s">
        <v>31</v>
      </c>
      <c r="E1717" s="19" t="s">
        <v>10459</v>
      </c>
      <c r="F1717" s="21">
        <f t="shared" si="534"/>
        <v>402.66000000000003</v>
      </c>
      <c r="G1717" s="21">
        <f t="shared" si="534"/>
        <v>402.66000000000003</v>
      </c>
      <c r="H1717" s="21">
        <f t="shared" si="534"/>
        <v>402.66000000000003</v>
      </c>
      <c r="I1717" s="24" t="str">
        <f t="shared" si="535"/>
        <v xml:space="preserve">COM VALOR</v>
      </c>
      <c r="L1717" s="36">
        <v>402.66000000000003</v>
      </c>
      <c r="M1717" s="37">
        <v>402.66000000000003</v>
      </c>
      <c r="N1717" s="36">
        <v>402.66000000000003</v>
      </c>
    </row>
    <row r="1718" ht="25.5">
      <c r="A1718" s="19" t="s">
        <v>10460</v>
      </c>
      <c r="B1718" s="19">
        <v>2377</v>
      </c>
      <c r="C1718" s="20" t="s">
        <v>12176</v>
      </c>
      <c r="D1718" s="19" t="s">
        <v>31</v>
      </c>
      <c r="E1718" s="19" t="s">
        <v>10459</v>
      </c>
      <c r="F1718" s="21">
        <f t="shared" si="534"/>
        <v>565.09000000000003</v>
      </c>
      <c r="G1718" s="21">
        <f t="shared" si="534"/>
        <v>565.09000000000003</v>
      </c>
      <c r="H1718" s="21">
        <f t="shared" si="534"/>
        <v>565.09000000000003</v>
      </c>
      <c r="I1718" s="24" t="str">
        <f t="shared" si="535"/>
        <v xml:space="preserve">COM VALOR</v>
      </c>
      <c r="L1718" s="36">
        <v>565.09000000000003</v>
      </c>
      <c r="M1718" s="37">
        <v>565.09000000000003</v>
      </c>
      <c r="N1718" s="36">
        <v>565.09000000000003</v>
      </c>
    </row>
    <row r="1719" ht="25.5">
      <c r="A1719" s="19" t="s">
        <v>10460</v>
      </c>
      <c r="B1719" s="19">
        <v>2393</v>
      </c>
      <c r="C1719" s="20" t="s">
        <v>12177</v>
      </c>
      <c r="D1719" s="19" t="s">
        <v>31</v>
      </c>
      <c r="E1719" s="19" t="s">
        <v>10459</v>
      </c>
      <c r="F1719" s="21">
        <f t="shared" si="534"/>
        <v>946.32000000000005</v>
      </c>
      <c r="G1719" s="21">
        <f t="shared" si="534"/>
        <v>946.32000000000005</v>
      </c>
      <c r="H1719" s="21">
        <f t="shared" si="534"/>
        <v>946.32000000000005</v>
      </c>
      <c r="I1719" s="24" t="str">
        <f t="shared" si="535"/>
        <v xml:space="preserve">COM VALOR</v>
      </c>
      <c r="L1719" s="36">
        <v>946.32000000000005</v>
      </c>
      <c r="M1719" s="37">
        <v>946.32000000000005</v>
      </c>
      <c r="N1719" s="36">
        <v>946.32000000000005</v>
      </c>
    </row>
    <row r="1720" ht="12.75">
      <c r="A1720" s="19" t="s">
        <v>10460</v>
      </c>
      <c r="B1720" s="19">
        <v>34705</v>
      </c>
      <c r="C1720" s="20" t="s">
        <v>12178</v>
      </c>
      <c r="D1720" s="19" t="s">
        <v>31</v>
      </c>
      <c r="E1720" s="19" t="s">
        <v>10459</v>
      </c>
      <c r="F1720" s="21">
        <f t="shared" si="534"/>
        <v>827.69000000000005</v>
      </c>
      <c r="G1720" s="21">
        <f t="shared" si="534"/>
        <v>827.69000000000005</v>
      </c>
      <c r="H1720" s="21">
        <f t="shared" si="534"/>
        <v>827.69000000000005</v>
      </c>
      <c r="I1720" s="24" t="str">
        <f t="shared" si="535"/>
        <v xml:space="preserve">COM VALOR</v>
      </c>
      <c r="L1720" s="36">
        <v>827.69000000000005</v>
      </c>
      <c r="M1720" s="37">
        <v>827.69000000000005</v>
      </c>
      <c r="N1720" s="36">
        <v>827.69000000000005</v>
      </c>
    </row>
    <row r="1721" ht="12.75">
      <c r="A1721" s="19" t="s">
        <v>10460</v>
      </c>
      <c r="B1721" s="19">
        <v>34707</v>
      </c>
      <c r="C1721" s="20" t="s">
        <v>12179</v>
      </c>
      <c r="D1721" s="19" t="s">
        <v>31</v>
      </c>
      <c r="E1721" s="19" t="s">
        <v>10459</v>
      </c>
      <c r="F1721" s="21">
        <f t="shared" si="534"/>
        <v>1533.73</v>
      </c>
      <c r="G1721" s="21">
        <f t="shared" si="534"/>
        <v>1533.73</v>
      </c>
      <c r="H1721" s="21">
        <f t="shared" si="534"/>
        <v>1533.73</v>
      </c>
      <c r="I1721" s="24" t="str">
        <f t="shared" si="535"/>
        <v xml:space="preserve">COM VALOR</v>
      </c>
      <c r="L1721" s="36">
        <v>1533.73</v>
      </c>
      <c r="M1721" s="37">
        <v>1533.73</v>
      </c>
      <c r="N1721" s="36">
        <v>1533.73</v>
      </c>
    </row>
    <row r="1722" ht="12.75">
      <c r="A1722" s="19" t="s">
        <v>10460</v>
      </c>
      <c r="B1722" s="19">
        <v>34544</v>
      </c>
      <c r="C1722" s="20" t="s">
        <v>12180</v>
      </c>
      <c r="D1722" s="19" t="s">
        <v>31</v>
      </c>
      <c r="E1722" s="19" t="s">
        <v>10459</v>
      </c>
      <c r="F1722" s="21">
        <f t="shared" si="534"/>
        <v>1533.5699999999999</v>
      </c>
      <c r="G1722" s="21">
        <f t="shared" si="534"/>
        <v>1533.5699999999999</v>
      </c>
      <c r="H1722" s="21">
        <f t="shared" si="534"/>
        <v>1533.5699999999999</v>
      </c>
      <c r="I1722" s="24" t="str">
        <f t="shared" si="535"/>
        <v xml:space="preserve">COM VALOR</v>
      </c>
      <c r="L1722" s="36">
        <v>1533.5699999999999</v>
      </c>
      <c r="M1722" s="37">
        <v>1533.5699999999999</v>
      </c>
      <c r="N1722" s="36">
        <v>1533.5699999999999</v>
      </c>
    </row>
    <row r="1723" ht="25.5">
      <c r="A1723" s="19" t="s">
        <v>10460</v>
      </c>
      <c r="B1723" s="19">
        <v>2378</v>
      </c>
      <c r="C1723" s="20" t="s">
        <v>12181</v>
      </c>
      <c r="D1723" s="19" t="s">
        <v>31</v>
      </c>
      <c r="E1723" s="19" t="s">
        <v>10459</v>
      </c>
      <c r="F1723" s="21">
        <f t="shared" si="534"/>
        <v>1299.8900000000001</v>
      </c>
      <c r="G1723" s="21">
        <f t="shared" si="534"/>
        <v>1299.8900000000001</v>
      </c>
      <c r="H1723" s="21">
        <f t="shared" si="534"/>
        <v>1299.8900000000001</v>
      </c>
      <c r="I1723" s="24" t="str">
        <f t="shared" si="535"/>
        <v xml:space="preserve">COM VALOR</v>
      </c>
      <c r="L1723" s="36">
        <v>1299.8900000000001</v>
      </c>
      <c r="M1723" s="37">
        <v>1299.8900000000001</v>
      </c>
      <c r="N1723" s="36">
        <v>1299.8900000000001</v>
      </c>
    </row>
    <row r="1724" ht="25.5">
      <c r="A1724" s="19" t="s">
        <v>10460</v>
      </c>
      <c r="B1724" s="19">
        <v>2379</v>
      </c>
      <c r="C1724" s="20" t="s">
        <v>12182</v>
      </c>
      <c r="D1724" s="19" t="s">
        <v>31</v>
      </c>
      <c r="E1724" s="19" t="s">
        <v>10459</v>
      </c>
      <c r="F1724" s="21">
        <f t="shared" si="534"/>
        <v>1299.8900000000001</v>
      </c>
      <c r="G1724" s="21">
        <f t="shared" si="534"/>
        <v>1299.8900000000001</v>
      </c>
      <c r="H1724" s="21">
        <f t="shared" si="534"/>
        <v>1299.8900000000001</v>
      </c>
      <c r="I1724" s="24" t="str">
        <f t="shared" si="535"/>
        <v xml:space="preserve">COM VALOR</v>
      </c>
      <c r="L1724" s="36">
        <v>1299.8900000000001</v>
      </c>
      <c r="M1724" s="37">
        <v>1299.8900000000001</v>
      </c>
      <c r="N1724" s="36">
        <v>1299.8900000000001</v>
      </c>
    </row>
    <row r="1725" ht="25.5">
      <c r="A1725" s="19" t="s">
        <v>10460</v>
      </c>
      <c r="B1725" s="19">
        <v>2376</v>
      </c>
      <c r="C1725" s="20" t="s">
        <v>12183</v>
      </c>
      <c r="D1725" s="19" t="s">
        <v>31</v>
      </c>
      <c r="E1725" s="19" t="s">
        <v>10459</v>
      </c>
      <c r="F1725" s="21">
        <f t="shared" si="534"/>
        <v>2140.9200000000001</v>
      </c>
      <c r="G1725" s="21">
        <f t="shared" si="534"/>
        <v>2140.9200000000001</v>
      </c>
      <c r="H1725" s="21">
        <f t="shared" si="534"/>
        <v>2140.9200000000001</v>
      </c>
      <c r="I1725" s="24" t="str">
        <f t="shared" si="535"/>
        <v xml:space="preserve">COM VALOR</v>
      </c>
      <c r="L1725" s="36">
        <v>2140.9200000000001</v>
      </c>
      <c r="M1725" s="37">
        <v>2140.9200000000001</v>
      </c>
      <c r="N1725" s="36">
        <v>2140.9200000000001</v>
      </c>
    </row>
    <row r="1726" ht="25.5">
      <c r="A1726" s="19" t="s">
        <v>10460</v>
      </c>
      <c r="B1726" s="19">
        <v>2394</v>
      </c>
      <c r="C1726" s="20" t="s">
        <v>12184</v>
      </c>
      <c r="D1726" s="19" t="s">
        <v>31</v>
      </c>
      <c r="E1726" s="19" t="s">
        <v>10459</v>
      </c>
      <c r="F1726" s="21">
        <f t="shared" si="534"/>
        <v>4576.8900000000003</v>
      </c>
      <c r="G1726" s="21">
        <f t="shared" si="534"/>
        <v>4576.8900000000003</v>
      </c>
      <c r="H1726" s="21">
        <f t="shared" si="534"/>
        <v>4576.8900000000003</v>
      </c>
      <c r="I1726" s="24" t="str">
        <f t="shared" si="535"/>
        <v xml:space="preserve">COM VALOR</v>
      </c>
      <c r="L1726" s="36">
        <v>4576.8900000000003</v>
      </c>
      <c r="M1726" s="37">
        <v>4576.8900000000003</v>
      </c>
      <c r="N1726" s="36">
        <v>4576.8900000000003</v>
      </c>
    </row>
    <row r="1727" ht="25.5">
      <c r="A1727" s="19" t="s">
        <v>10460</v>
      </c>
      <c r="B1727" s="19">
        <v>2388</v>
      </c>
      <c r="C1727" s="20" t="s">
        <v>12185</v>
      </c>
      <c r="D1727" s="19" t="s">
        <v>31</v>
      </c>
      <c r="E1727" s="19" t="s">
        <v>10459</v>
      </c>
      <c r="F1727" s="21">
        <f t="shared" si="534"/>
        <v>64.579999999999998</v>
      </c>
      <c r="G1727" s="21">
        <f t="shared" si="534"/>
        <v>64.579999999999998</v>
      </c>
      <c r="H1727" s="21">
        <f t="shared" si="534"/>
        <v>64.579999999999998</v>
      </c>
      <c r="I1727" s="24" t="str">
        <f t="shared" si="535"/>
        <v xml:space="preserve">COM VALOR</v>
      </c>
      <c r="L1727" s="36">
        <v>64.579999999999998</v>
      </c>
      <c r="M1727" s="37">
        <v>64.579999999999998</v>
      </c>
      <c r="N1727" s="36">
        <v>64.579999999999998</v>
      </c>
    </row>
    <row r="1728" ht="25.5">
      <c r="A1728" s="19" t="s">
        <v>10460</v>
      </c>
      <c r="B1728" s="19">
        <v>34606</v>
      </c>
      <c r="C1728" s="20" t="s">
        <v>12186</v>
      </c>
      <c r="D1728" s="19" t="s">
        <v>31</v>
      </c>
      <c r="E1728" s="19" t="s">
        <v>10459</v>
      </c>
      <c r="F1728" s="21">
        <f t="shared" si="534"/>
        <v>99.060000000000002</v>
      </c>
      <c r="G1728" s="21">
        <f t="shared" si="534"/>
        <v>99.060000000000002</v>
      </c>
      <c r="H1728" s="21">
        <f t="shared" si="534"/>
        <v>99.060000000000002</v>
      </c>
      <c r="I1728" s="24" t="str">
        <f t="shared" si="535"/>
        <v xml:space="preserve">COM VALOR</v>
      </c>
      <c r="L1728" s="36">
        <v>99.060000000000002</v>
      </c>
      <c r="M1728" s="37">
        <v>99.060000000000002</v>
      </c>
      <c r="N1728" s="36">
        <v>99.060000000000002</v>
      </c>
    </row>
    <row r="1729" ht="25.5">
      <c r="A1729" s="19" t="s">
        <v>10460</v>
      </c>
      <c r="B1729" s="19">
        <v>2370</v>
      </c>
      <c r="C1729" s="20" t="s">
        <v>12187</v>
      </c>
      <c r="D1729" s="19" t="s">
        <v>31</v>
      </c>
      <c r="E1729" s="19" t="s">
        <v>10466</v>
      </c>
      <c r="F1729" s="21">
        <f t="shared" si="534"/>
        <v>12</v>
      </c>
      <c r="G1729" s="21">
        <f t="shared" si="534"/>
        <v>12</v>
      </c>
      <c r="H1729" s="21">
        <f t="shared" si="534"/>
        <v>12</v>
      </c>
      <c r="I1729" s="24" t="str">
        <f t="shared" si="535"/>
        <v xml:space="preserve">COM VALOR</v>
      </c>
      <c r="L1729" s="36">
        <v>12</v>
      </c>
      <c r="M1729" s="37">
        <v>12</v>
      </c>
      <c r="N1729" s="36">
        <v>12</v>
      </c>
    </row>
    <row r="1730" ht="25.5">
      <c r="A1730" s="19" t="s">
        <v>10460</v>
      </c>
      <c r="B1730" s="19">
        <v>2386</v>
      </c>
      <c r="C1730" s="20" t="s">
        <v>12188</v>
      </c>
      <c r="D1730" s="19" t="s">
        <v>31</v>
      </c>
      <c r="E1730" s="19" t="s">
        <v>10459</v>
      </c>
      <c r="F1730" s="21">
        <f t="shared" si="534"/>
        <v>20.129999999999999</v>
      </c>
      <c r="G1730" s="21">
        <f t="shared" si="534"/>
        <v>20.129999999999999</v>
      </c>
      <c r="H1730" s="21">
        <f t="shared" si="534"/>
        <v>20.129999999999999</v>
      </c>
      <c r="I1730" s="24" t="str">
        <f t="shared" si="535"/>
        <v xml:space="preserve">COM VALOR</v>
      </c>
      <c r="L1730" s="36">
        <v>20.129999999999999</v>
      </c>
      <c r="M1730" s="37">
        <v>20.129999999999999</v>
      </c>
      <c r="N1730" s="36">
        <v>20.129999999999999</v>
      </c>
    </row>
    <row r="1731" ht="25.5">
      <c r="A1731" s="19" t="s">
        <v>10460</v>
      </c>
      <c r="B1731" s="19">
        <v>34689</v>
      </c>
      <c r="C1731" s="20" t="s">
        <v>12189</v>
      </c>
      <c r="D1731" s="19" t="s">
        <v>31</v>
      </c>
      <c r="E1731" s="19" t="s">
        <v>10459</v>
      </c>
      <c r="F1731" s="21">
        <f t="shared" si="534"/>
        <v>31.539999999999999</v>
      </c>
      <c r="G1731" s="21">
        <f t="shared" si="534"/>
        <v>31.539999999999999</v>
      </c>
      <c r="H1731" s="21">
        <f t="shared" si="534"/>
        <v>31.539999999999999</v>
      </c>
      <c r="I1731" s="24" t="str">
        <f t="shared" si="535"/>
        <v xml:space="preserve">COM VALOR</v>
      </c>
      <c r="L1731" s="36">
        <v>31.539999999999999</v>
      </c>
      <c r="M1731" s="37">
        <v>31.539999999999999</v>
      </c>
      <c r="N1731" s="36">
        <v>31.539999999999999</v>
      </c>
    </row>
    <row r="1732" ht="25.5">
      <c r="A1732" s="19" t="s">
        <v>10460</v>
      </c>
      <c r="B1732" s="19">
        <v>2392</v>
      </c>
      <c r="C1732" s="20" t="s">
        <v>12190</v>
      </c>
      <c r="D1732" s="19" t="s">
        <v>31</v>
      </c>
      <c r="E1732" s="19" t="s">
        <v>10459</v>
      </c>
      <c r="F1732" s="21">
        <f t="shared" si="534"/>
        <v>80.549999999999997</v>
      </c>
      <c r="G1732" s="21">
        <f t="shared" si="534"/>
        <v>80.549999999999997</v>
      </c>
      <c r="H1732" s="21">
        <f t="shared" si="534"/>
        <v>80.549999999999997</v>
      </c>
      <c r="I1732" s="24" t="str">
        <f t="shared" si="535"/>
        <v xml:space="preserve">COM VALOR</v>
      </c>
      <c r="L1732" s="36">
        <v>80.549999999999997</v>
      </c>
      <c r="M1732" s="37">
        <v>80.549999999999997</v>
      </c>
      <c r="N1732" s="36">
        <v>80.549999999999997</v>
      </c>
    </row>
    <row r="1733" ht="25.5">
      <c r="A1733" s="19" t="s">
        <v>10460</v>
      </c>
      <c r="B1733" s="19">
        <v>2373</v>
      </c>
      <c r="C1733" s="20" t="s">
        <v>12191</v>
      </c>
      <c r="D1733" s="19" t="s">
        <v>31</v>
      </c>
      <c r="E1733" s="19" t="s">
        <v>10459</v>
      </c>
      <c r="F1733" s="21">
        <f t="shared" si="534"/>
        <v>113.48999999999999</v>
      </c>
      <c r="G1733" s="21">
        <f t="shared" si="534"/>
        <v>113.48999999999999</v>
      </c>
      <c r="H1733" s="21">
        <f t="shared" si="534"/>
        <v>113.48999999999999</v>
      </c>
      <c r="I1733" s="24" t="str">
        <f t="shared" si="535"/>
        <v xml:space="preserve">COM VALOR</v>
      </c>
      <c r="L1733" s="36">
        <v>113.48999999999999</v>
      </c>
      <c r="M1733" s="37">
        <v>113.48999999999999</v>
      </c>
      <c r="N1733" s="36">
        <v>113.48999999999999</v>
      </c>
    </row>
    <row r="1734" ht="25.5">
      <c r="A1734" s="19" t="s">
        <v>10460</v>
      </c>
      <c r="B1734" s="19">
        <v>39465</v>
      </c>
      <c r="C1734" s="20" t="s">
        <v>12192</v>
      </c>
      <c r="D1734" s="19" t="s">
        <v>31</v>
      </c>
      <c r="E1734" s="19" t="s">
        <v>10459</v>
      </c>
      <c r="F1734" s="21">
        <f t="shared" si="534"/>
        <v>69.329999999999998</v>
      </c>
      <c r="G1734" s="21">
        <f t="shared" si="534"/>
        <v>69.329999999999998</v>
      </c>
      <c r="H1734" s="21">
        <f t="shared" si="534"/>
        <v>69.329999999999998</v>
      </c>
      <c r="I1734" s="24" t="str">
        <f t="shared" si="535"/>
        <v xml:space="preserve">COM VALOR</v>
      </c>
      <c r="L1734" s="36">
        <v>69.329999999999998</v>
      </c>
      <c r="M1734" s="37">
        <v>69.329999999999998</v>
      </c>
      <c r="N1734" s="36">
        <v>69.329999999999998</v>
      </c>
    </row>
    <row r="1735" ht="25.5">
      <c r="A1735" s="19" t="s">
        <v>10460</v>
      </c>
      <c r="B1735" s="19">
        <v>39466</v>
      </c>
      <c r="C1735" s="20" t="s">
        <v>12193</v>
      </c>
      <c r="D1735" s="19" t="s">
        <v>31</v>
      </c>
      <c r="E1735" s="19" t="s">
        <v>10459</v>
      </c>
      <c r="F1735" s="21">
        <f t="shared" si="534"/>
        <v>78</v>
      </c>
      <c r="G1735" s="21">
        <f t="shared" si="534"/>
        <v>78</v>
      </c>
      <c r="H1735" s="21">
        <f t="shared" si="534"/>
        <v>78</v>
      </c>
      <c r="I1735" s="24" t="str">
        <f t="shared" si="535"/>
        <v xml:space="preserve">COM VALOR</v>
      </c>
      <c r="L1735" s="36">
        <v>78</v>
      </c>
      <c r="M1735" s="37">
        <v>78</v>
      </c>
      <c r="N1735" s="36">
        <v>78</v>
      </c>
    </row>
    <row r="1736" ht="25.5">
      <c r="A1736" s="19" t="s">
        <v>10460</v>
      </c>
      <c r="B1736" s="19">
        <v>39467</v>
      </c>
      <c r="C1736" s="20" t="s">
        <v>12194</v>
      </c>
      <c r="D1736" s="19" t="s">
        <v>31</v>
      </c>
      <c r="E1736" s="19" t="s">
        <v>10459</v>
      </c>
      <c r="F1736" s="21">
        <f t="shared" si="534"/>
        <v>99.769999999999996</v>
      </c>
      <c r="G1736" s="21">
        <f t="shared" si="534"/>
        <v>99.769999999999996</v>
      </c>
      <c r="H1736" s="21">
        <f t="shared" si="534"/>
        <v>99.769999999999996</v>
      </c>
      <c r="I1736" s="24" t="str">
        <f t="shared" si="535"/>
        <v xml:space="preserve">COM VALOR</v>
      </c>
      <c r="L1736" s="36">
        <v>99.769999999999996</v>
      </c>
      <c r="M1736" s="37">
        <v>99.769999999999996</v>
      </c>
      <c r="N1736" s="36">
        <v>99.769999999999996</v>
      </c>
    </row>
    <row r="1737" ht="25.5">
      <c r="A1737" s="19" t="s">
        <v>10460</v>
      </c>
      <c r="B1737" s="19">
        <v>39468</v>
      </c>
      <c r="C1737" s="20" t="s">
        <v>12195</v>
      </c>
      <c r="D1737" s="19" t="s">
        <v>31</v>
      </c>
      <c r="E1737" s="19" t="s">
        <v>10459</v>
      </c>
      <c r="F1737" s="21">
        <f t="shared" si="534"/>
        <v>177.33000000000001</v>
      </c>
      <c r="G1737" s="21">
        <f t="shared" si="534"/>
        <v>177.33000000000001</v>
      </c>
      <c r="H1737" s="21">
        <f t="shared" si="534"/>
        <v>177.33000000000001</v>
      </c>
      <c r="I1737" s="24" t="str">
        <f t="shared" si="535"/>
        <v xml:space="preserve">COM VALOR</v>
      </c>
      <c r="L1737" s="36">
        <v>177.33000000000001</v>
      </c>
      <c r="M1737" s="37">
        <v>177.33000000000001</v>
      </c>
      <c r="N1737" s="36">
        <v>177.33000000000001</v>
      </c>
    </row>
    <row r="1738" ht="25.5">
      <c r="A1738" s="19" t="s">
        <v>10460</v>
      </c>
      <c r="B1738" s="19">
        <v>39469</v>
      </c>
      <c r="C1738" s="20" t="s">
        <v>12196</v>
      </c>
      <c r="D1738" s="19" t="s">
        <v>31</v>
      </c>
      <c r="E1738" s="19" t="s">
        <v>10459</v>
      </c>
      <c r="F1738" s="21">
        <f t="shared" si="534"/>
        <v>72.239999999999995</v>
      </c>
      <c r="G1738" s="21">
        <f t="shared" si="534"/>
        <v>72.239999999999995</v>
      </c>
      <c r="H1738" s="21">
        <f t="shared" si="534"/>
        <v>72.239999999999995</v>
      </c>
      <c r="I1738" s="24" t="str">
        <f t="shared" si="535"/>
        <v xml:space="preserve">COM VALOR</v>
      </c>
      <c r="L1738" s="36">
        <v>72.239999999999995</v>
      </c>
      <c r="M1738" s="37">
        <v>72.239999999999995</v>
      </c>
      <c r="N1738" s="36">
        <v>72.239999999999995</v>
      </c>
    </row>
    <row r="1739" ht="25.5">
      <c r="A1739" s="19" t="s">
        <v>10460</v>
      </c>
      <c r="B1739" s="19">
        <v>39470</v>
      </c>
      <c r="C1739" s="20" t="s">
        <v>12197</v>
      </c>
      <c r="D1739" s="19" t="s">
        <v>31</v>
      </c>
      <c r="E1739" s="19" t="s">
        <v>10459</v>
      </c>
      <c r="F1739" s="21">
        <f t="shared" ref="F1739:H1802" si="536">IF(L1739=0,"VERIFICAR",L1739)</f>
        <v>88.760000000000005</v>
      </c>
      <c r="G1739" s="21">
        <f t="shared" si="536"/>
        <v>88.760000000000005</v>
      </c>
      <c r="H1739" s="21">
        <f t="shared" si="536"/>
        <v>88.760000000000005</v>
      </c>
      <c r="I1739" s="24" t="str">
        <f t="shared" ref="I1739:I1802" si="537">IF(OR(L1739=0,M1739=0,N1739=0),"SEM VALOR","COM VALOR")</f>
        <v xml:space="preserve">COM VALOR</v>
      </c>
      <c r="L1739" s="36">
        <v>88.760000000000005</v>
      </c>
      <c r="M1739" s="37">
        <v>88.760000000000005</v>
      </c>
      <c r="N1739" s="36">
        <v>88.760000000000005</v>
      </c>
    </row>
    <row r="1740" ht="25.5">
      <c r="A1740" s="19" t="s">
        <v>10460</v>
      </c>
      <c r="B1740" s="19">
        <v>39471</v>
      </c>
      <c r="C1740" s="20" t="s">
        <v>12198</v>
      </c>
      <c r="D1740" s="19" t="s">
        <v>31</v>
      </c>
      <c r="E1740" s="19" t="s">
        <v>10459</v>
      </c>
      <c r="F1740" s="21">
        <f t="shared" si="536"/>
        <v>106.66</v>
      </c>
      <c r="G1740" s="21">
        <f t="shared" si="536"/>
        <v>106.66</v>
      </c>
      <c r="H1740" s="21">
        <f t="shared" si="536"/>
        <v>106.66</v>
      </c>
      <c r="I1740" s="24" t="str">
        <f t="shared" si="537"/>
        <v xml:space="preserve">COM VALOR</v>
      </c>
      <c r="L1740" s="36">
        <v>106.66</v>
      </c>
      <c r="M1740" s="37">
        <v>106.66</v>
      </c>
      <c r="N1740" s="36">
        <v>106.66</v>
      </c>
    </row>
    <row r="1741" ht="25.5">
      <c r="A1741" s="19" t="s">
        <v>10460</v>
      </c>
      <c r="B1741" s="19">
        <v>39472</v>
      </c>
      <c r="C1741" s="20" t="s">
        <v>12199</v>
      </c>
      <c r="D1741" s="19" t="s">
        <v>31</v>
      </c>
      <c r="E1741" s="19" t="s">
        <v>10459</v>
      </c>
      <c r="F1741" s="21">
        <f t="shared" si="536"/>
        <v>185.33000000000001</v>
      </c>
      <c r="G1741" s="21">
        <f t="shared" si="536"/>
        <v>185.33000000000001</v>
      </c>
      <c r="H1741" s="21">
        <f t="shared" si="536"/>
        <v>185.33000000000001</v>
      </c>
      <c r="I1741" s="24" t="str">
        <f t="shared" si="537"/>
        <v xml:space="preserve">COM VALOR</v>
      </c>
      <c r="L1741" s="36">
        <v>185.33000000000001</v>
      </c>
      <c r="M1741" s="37">
        <v>185.33000000000001</v>
      </c>
      <c r="N1741" s="36">
        <v>185.33000000000001</v>
      </c>
    </row>
    <row r="1742" ht="25.5">
      <c r="A1742" s="19" t="s">
        <v>10460</v>
      </c>
      <c r="B1742" s="19">
        <v>39473</v>
      </c>
      <c r="C1742" s="20" t="s">
        <v>12200</v>
      </c>
      <c r="D1742" s="19" t="s">
        <v>31</v>
      </c>
      <c r="E1742" s="19" t="s">
        <v>10459</v>
      </c>
      <c r="F1742" s="21">
        <f t="shared" si="536"/>
        <v>119.72</v>
      </c>
      <c r="G1742" s="21">
        <f t="shared" si="536"/>
        <v>119.72</v>
      </c>
      <c r="H1742" s="21">
        <f t="shared" si="536"/>
        <v>119.72</v>
      </c>
      <c r="I1742" s="24" t="str">
        <f t="shared" si="537"/>
        <v xml:space="preserve">COM VALOR</v>
      </c>
      <c r="L1742" s="36">
        <v>119.72</v>
      </c>
      <c r="M1742" s="37">
        <v>119.72</v>
      </c>
      <c r="N1742" s="36">
        <v>119.72</v>
      </c>
    </row>
    <row r="1743" ht="25.5">
      <c r="A1743" s="19" t="s">
        <v>10460</v>
      </c>
      <c r="B1743" s="19">
        <v>39474</v>
      </c>
      <c r="C1743" s="20" t="s">
        <v>12201</v>
      </c>
      <c r="D1743" s="19" t="s">
        <v>31</v>
      </c>
      <c r="E1743" s="19" t="s">
        <v>10459</v>
      </c>
      <c r="F1743" s="21">
        <f t="shared" si="536"/>
        <v>127.63</v>
      </c>
      <c r="G1743" s="21">
        <f t="shared" si="536"/>
        <v>127.63</v>
      </c>
      <c r="H1743" s="21">
        <f t="shared" si="536"/>
        <v>127.63</v>
      </c>
      <c r="I1743" s="24" t="str">
        <f t="shared" si="537"/>
        <v xml:space="preserve">COM VALOR</v>
      </c>
      <c r="L1743" s="36">
        <v>127.63</v>
      </c>
      <c r="M1743" s="37">
        <v>127.63</v>
      </c>
      <c r="N1743" s="36">
        <v>127.63</v>
      </c>
    </row>
    <row r="1744" ht="25.5">
      <c r="A1744" s="19" t="s">
        <v>10460</v>
      </c>
      <c r="B1744" s="19">
        <v>39475</v>
      </c>
      <c r="C1744" s="20" t="s">
        <v>12202</v>
      </c>
      <c r="D1744" s="19" t="s">
        <v>31</v>
      </c>
      <c r="E1744" s="19" t="s">
        <v>10459</v>
      </c>
      <c r="F1744" s="21">
        <f t="shared" si="536"/>
        <v>144.81</v>
      </c>
      <c r="G1744" s="21">
        <f t="shared" si="536"/>
        <v>144.81</v>
      </c>
      <c r="H1744" s="21">
        <f t="shared" si="536"/>
        <v>144.81</v>
      </c>
      <c r="I1744" s="24" t="str">
        <f t="shared" si="537"/>
        <v xml:space="preserve">COM VALOR</v>
      </c>
      <c r="L1744" s="36">
        <v>144.81</v>
      </c>
      <c r="M1744" s="37">
        <v>144.81</v>
      </c>
      <c r="N1744" s="36">
        <v>144.81</v>
      </c>
    </row>
    <row r="1745" ht="25.5">
      <c r="A1745" s="19" t="s">
        <v>10460</v>
      </c>
      <c r="B1745" s="19">
        <v>39476</v>
      </c>
      <c r="C1745" s="20" t="s">
        <v>12203</v>
      </c>
      <c r="D1745" s="19" t="s">
        <v>31</v>
      </c>
      <c r="E1745" s="19" t="s">
        <v>10459</v>
      </c>
      <c r="F1745" s="21">
        <f t="shared" si="536"/>
        <v>272.60000000000002</v>
      </c>
      <c r="G1745" s="21">
        <f t="shared" si="536"/>
        <v>272.60000000000002</v>
      </c>
      <c r="H1745" s="21">
        <f t="shared" si="536"/>
        <v>272.60000000000002</v>
      </c>
      <c r="I1745" s="24" t="str">
        <f t="shared" si="537"/>
        <v xml:space="preserve">COM VALOR</v>
      </c>
      <c r="L1745" s="36">
        <v>272.60000000000002</v>
      </c>
      <c r="M1745" s="37">
        <v>272.60000000000002</v>
      </c>
      <c r="N1745" s="36">
        <v>272.60000000000002</v>
      </c>
    </row>
    <row r="1746" ht="25.5">
      <c r="A1746" s="19" t="s">
        <v>10460</v>
      </c>
      <c r="B1746" s="19">
        <v>39477</v>
      </c>
      <c r="C1746" s="20" t="s">
        <v>12204</v>
      </c>
      <c r="D1746" s="19" t="s">
        <v>31</v>
      </c>
      <c r="E1746" s="19" t="s">
        <v>10459</v>
      </c>
      <c r="F1746" s="21">
        <f t="shared" si="536"/>
        <v>133.56</v>
      </c>
      <c r="G1746" s="21">
        <f t="shared" si="536"/>
        <v>133.56</v>
      </c>
      <c r="H1746" s="21">
        <f t="shared" si="536"/>
        <v>133.56</v>
      </c>
      <c r="I1746" s="24" t="str">
        <f t="shared" si="537"/>
        <v xml:space="preserve">COM VALOR</v>
      </c>
      <c r="L1746" s="36">
        <v>133.56</v>
      </c>
      <c r="M1746" s="37">
        <v>133.56</v>
      </c>
      <c r="N1746" s="36">
        <v>133.56</v>
      </c>
    </row>
    <row r="1747" ht="25.5">
      <c r="A1747" s="19" t="s">
        <v>10460</v>
      </c>
      <c r="B1747" s="19">
        <v>39478</v>
      </c>
      <c r="C1747" s="20" t="s">
        <v>12205</v>
      </c>
      <c r="D1747" s="19" t="s">
        <v>31</v>
      </c>
      <c r="E1747" s="19" t="s">
        <v>10459</v>
      </c>
      <c r="F1747" s="21">
        <f t="shared" si="536"/>
        <v>137.69999999999999</v>
      </c>
      <c r="G1747" s="21">
        <f t="shared" si="536"/>
        <v>137.69999999999999</v>
      </c>
      <c r="H1747" s="21">
        <f t="shared" si="536"/>
        <v>137.69999999999999</v>
      </c>
      <c r="I1747" s="24" t="str">
        <f t="shared" si="537"/>
        <v xml:space="preserve">COM VALOR</v>
      </c>
      <c r="L1747" s="36">
        <v>137.69999999999999</v>
      </c>
      <c r="M1747" s="37">
        <v>137.69999999999999</v>
      </c>
      <c r="N1747" s="36">
        <v>137.69999999999999</v>
      </c>
    </row>
    <row r="1748" ht="25.5">
      <c r="A1748" s="19" t="s">
        <v>10460</v>
      </c>
      <c r="B1748" s="19">
        <v>39479</v>
      </c>
      <c r="C1748" s="20" t="s">
        <v>12206</v>
      </c>
      <c r="D1748" s="19" t="s">
        <v>31</v>
      </c>
      <c r="E1748" s="19" t="s">
        <v>10459</v>
      </c>
      <c r="F1748" s="21">
        <f t="shared" si="536"/>
        <v>162.24000000000001</v>
      </c>
      <c r="G1748" s="21">
        <f t="shared" si="536"/>
        <v>162.24000000000001</v>
      </c>
      <c r="H1748" s="21">
        <f t="shared" si="536"/>
        <v>162.24000000000001</v>
      </c>
      <c r="I1748" s="24" t="str">
        <f t="shared" si="537"/>
        <v xml:space="preserve">COM VALOR</v>
      </c>
      <c r="L1748" s="36">
        <v>162.24000000000001</v>
      </c>
      <c r="M1748" s="37">
        <v>162.24000000000001</v>
      </c>
      <c r="N1748" s="36">
        <v>162.24000000000001</v>
      </c>
    </row>
    <row r="1749" ht="25.5">
      <c r="A1749" s="19" t="s">
        <v>10460</v>
      </c>
      <c r="B1749" s="19">
        <v>39480</v>
      </c>
      <c r="C1749" s="20" t="s">
        <v>12207</v>
      </c>
      <c r="D1749" s="19" t="s">
        <v>31</v>
      </c>
      <c r="E1749" s="19" t="s">
        <v>10459</v>
      </c>
      <c r="F1749" s="21">
        <f t="shared" si="536"/>
        <v>334.76999999999998</v>
      </c>
      <c r="G1749" s="21">
        <f t="shared" si="536"/>
        <v>334.76999999999998</v>
      </c>
      <c r="H1749" s="21">
        <f t="shared" si="536"/>
        <v>334.76999999999998</v>
      </c>
      <c r="I1749" s="24" t="str">
        <f t="shared" si="537"/>
        <v xml:space="preserve">COM VALOR</v>
      </c>
      <c r="L1749" s="36">
        <v>334.76999999999998</v>
      </c>
      <c r="M1749" s="37">
        <v>334.76999999999998</v>
      </c>
      <c r="N1749" s="36">
        <v>334.76999999999998</v>
      </c>
    </row>
    <row r="1750" ht="25.5">
      <c r="A1750" s="19" t="s">
        <v>10460</v>
      </c>
      <c r="B1750" s="19">
        <v>39459</v>
      </c>
      <c r="C1750" s="20" t="s">
        <v>12208</v>
      </c>
      <c r="D1750" s="19" t="s">
        <v>31</v>
      </c>
      <c r="E1750" s="19" t="s">
        <v>10459</v>
      </c>
      <c r="F1750" s="21">
        <f t="shared" si="536"/>
        <v>284.13</v>
      </c>
      <c r="G1750" s="21">
        <f t="shared" si="536"/>
        <v>284.13</v>
      </c>
      <c r="H1750" s="21">
        <f t="shared" si="536"/>
        <v>284.13</v>
      </c>
      <c r="I1750" s="24" t="str">
        <f t="shared" si="537"/>
        <v xml:space="preserve">COM VALOR</v>
      </c>
      <c r="L1750" s="36">
        <v>284.13</v>
      </c>
      <c r="M1750" s="37">
        <v>284.13</v>
      </c>
      <c r="N1750" s="36">
        <v>284.13</v>
      </c>
    </row>
    <row r="1751" ht="25.5">
      <c r="A1751" s="19" t="s">
        <v>10460</v>
      </c>
      <c r="B1751" s="19">
        <v>39445</v>
      </c>
      <c r="C1751" s="20" t="s">
        <v>12209</v>
      </c>
      <c r="D1751" s="19" t="s">
        <v>31</v>
      </c>
      <c r="E1751" s="19" t="s">
        <v>10459</v>
      </c>
      <c r="F1751" s="21">
        <f t="shared" si="536"/>
        <v>142.66</v>
      </c>
      <c r="G1751" s="21">
        <f t="shared" si="536"/>
        <v>142.66</v>
      </c>
      <c r="H1751" s="21">
        <f t="shared" si="536"/>
        <v>142.66</v>
      </c>
      <c r="I1751" s="24" t="str">
        <f t="shared" si="537"/>
        <v xml:space="preserve">COM VALOR</v>
      </c>
      <c r="L1751" s="36">
        <v>142.66</v>
      </c>
      <c r="M1751" s="37">
        <v>142.66</v>
      </c>
      <c r="N1751" s="36">
        <v>142.66</v>
      </c>
    </row>
    <row r="1752" ht="25.5">
      <c r="A1752" s="19" t="s">
        <v>10460</v>
      </c>
      <c r="B1752" s="19">
        <v>39446</v>
      </c>
      <c r="C1752" s="20" t="s">
        <v>12210</v>
      </c>
      <c r="D1752" s="19" t="s">
        <v>31</v>
      </c>
      <c r="E1752" s="19" t="s">
        <v>10459</v>
      </c>
      <c r="F1752" s="21">
        <f t="shared" si="536"/>
        <v>145.19999999999999</v>
      </c>
      <c r="G1752" s="21">
        <f t="shared" si="536"/>
        <v>145.19999999999999</v>
      </c>
      <c r="H1752" s="21">
        <f t="shared" si="536"/>
        <v>145.19999999999999</v>
      </c>
      <c r="I1752" s="24" t="str">
        <f t="shared" si="537"/>
        <v xml:space="preserve">COM VALOR</v>
      </c>
      <c r="L1752" s="36">
        <v>145.19999999999999</v>
      </c>
      <c r="M1752" s="37">
        <v>145.19999999999999</v>
      </c>
      <c r="N1752" s="36">
        <v>145.19999999999999</v>
      </c>
    </row>
    <row r="1753" ht="25.5">
      <c r="A1753" s="19" t="s">
        <v>10460</v>
      </c>
      <c r="B1753" s="19">
        <v>39447</v>
      </c>
      <c r="C1753" s="20" t="s">
        <v>12211</v>
      </c>
      <c r="D1753" s="19" t="s">
        <v>31</v>
      </c>
      <c r="E1753" s="19" t="s">
        <v>10459</v>
      </c>
      <c r="F1753" s="21">
        <f t="shared" si="536"/>
        <v>155.28</v>
      </c>
      <c r="G1753" s="21">
        <f t="shared" si="536"/>
        <v>155.28</v>
      </c>
      <c r="H1753" s="21">
        <f t="shared" si="536"/>
        <v>155.28</v>
      </c>
      <c r="I1753" s="24" t="str">
        <f t="shared" si="537"/>
        <v xml:space="preserve">COM VALOR</v>
      </c>
      <c r="L1753" s="36">
        <v>155.28</v>
      </c>
      <c r="M1753" s="37">
        <v>155.28</v>
      </c>
      <c r="N1753" s="36">
        <v>155.28</v>
      </c>
    </row>
    <row r="1754" ht="25.5">
      <c r="A1754" s="19" t="s">
        <v>10460</v>
      </c>
      <c r="B1754" s="19">
        <v>39448</v>
      </c>
      <c r="C1754" s="20" t="s">
        <v>12212</v>
      </c>
      <c r="D1754" s="19" t="s">
        <v>31</v>
      </c>
      <c r="E1754" s="19" t="s">
        <v>10459</v>
      </c>
      <c r="F1754" s="21">
        <f t="shared" si="536"/>
        <v>264.77999999999997</v>
      </c>
      <c r="G1754" s="21">
        <f t="shared" si="536"/>
        <v>264.77999999999997</v>
      </c>
      <c r="H1754" s="21">
        <f t="shared" si="536"/>
        <v>264.77999999999997</v>
      </c>
      <c r="I1754" s="24" t="str">
        <f t="shared" si="537"/>
        <v xml:space="preserve">COM VALOR</v>
      </c>
      <c r="L1754" s="36">
        <v>264.77999999999997</v>
      </c>
      <c r="M1754" s="37">
        <v>264.77999999999997</v>
      </c>
      <c r="N1754" s="36">
        <v>264.77999999999997</v>
      </c>
    </row>
    <row r="1755" ht="25.5">
      <c r="A1755" s="19" t="s">
        <v>10460</v>
      </c>
      <c r="B1755" s="19">
        <v>39450</v>
      </c>
      <c r="C1755" s="20" t="s">
        <v>12213</v>
      </c>
      <c r="D1755" s="19" t="s">
        <v>31</v>
      </c>
      <c r="E1755" s="19" t="s">
        <v>10459</v>
      </c>
      <c r="F1755" s="21">
        <f t="shared" si="536"/>
        <v>161.53999999999999</v>
      </c>
      <c r="G1755" s="21">
        <f t="shared" si="536"/>
        <v>161.53999999999999</v>
      </c>
      <c r="H1755" s="21">
        <f t="shared" si="536"/>
        <v>161.53999999999999</v>
      </c>
      <c r="I1755" s="24" t="str">
        <f t="shared" si="537"/>
        <v xml:space="preserve">COM VALOR</v>
      </c>
      <c r="L1755" s="36">
        <v>161.53999999999999</v>
      </c>
      <c r="M1755" s="37">
        <v>161.53999999999999</v>
      </c>
      <c r="N1755" s="36">
        <v>161.53999999999999</v>
      </c>
    </row>
    <row r="1756" ht="25.5">
      <c r="A1756" s="19" t="s">
        <v>10460</v>
      </c>
      <c r="B1756" s="19">
        <v>39451</v>
      </c>
      <c r="C1756" s="20" t="s">
        <v>12214</v>
      </c>
      <c r="D1756" s="19" t="s">
        <v>31</v>
      </c>
      <c r="E1756" s="19" t="s">
        <v>10459</v>
      </c>
      <c r="F1756" s="21">
        <f t="shared" si="536"/>
        <v>176.19</v>
      </c>
      <c r="G1756" s="21">
        <f t="shared" si="536"/>
        <v>176.19</v>
      </c>
      <c r="H1756" s="21">
        <f t="shared" si="536"/>
        <v>176.19</v>
      </c>
      <c r="I1756" s="24" t="str">
        <f t="shared" si="537"/>
        <v xml:space="preserve">COM VALOR</v>
      </c>
      <c r="L1756" s="36">
        <v>176.19</v>
      </c>
      <c r="M1756" s="37">
        <v>176.19</v>
      </c>
      <c r="N1756" s="36">
        <v>176.19</v>
      </c>
    </row>
    <row r="1757" ht="25.5">
      <c r="A1757" s="19" t="s">
        <v>10460</v>
      </c>
      <c r="B1757" s="19">
        <v>39452</v>
      </c>
      <c r="C1757" s="20" t="s">
        <v>12215</v>
      </c>
      <c r="D1757" s="19" t="s">
        <v>31</v>
      </c>
      <c r="E1757" s="19" t="s">
        <v>10459</v>
      </c>
      <c r="F1757" s="21">
        <f t="shared" si="536"/>
        <v>177.25</v>
      </c>
      <c r="G1757" s="21">
        <f t="shared" si="536"/>
        <v>177.25</v>
      </c>
      <c r="H1757" s="21">
        <f t="shared" si="536"/>
        <v>177.25</v>
      </c>
      <c r="I1757" s="24" t="str">
        <f t="shared" si="537"/>
        <v xml:space="preserve">COM VALOR</v>
      </c>
      <c r="L1757" s="36">
        <v>177.25</v>
      </c>
      <c r="M1757" s="37">
        <v>177.25</v>
      </c>
      <c r="N1757" s="36">
        <v>177.25</v>
      </c>
    </row>
    <row r="1758" ht="25.5">
      <c r="A1758" s="19" t="s">
        <v>10460</v>
      </c>
      <c r="B1758" s="19">
        <v>39523</v>
      </c>
      <c r="C1758" s="20" t="s">
        <v>12216</v>
      </c>
      <c r="D1758" s="19" t="s">
        <v>31</v>
      </c>
      <c r="E1758" s="19" t="s">
        <v>10459</v>
      </c>
      <c r="F1758" s="21">
        <f t="shared" si="536"/>
        <v>296.62</v>
      </c>
      <c r="G1758" s="21">
        <f t="shared" si="536"/>
        <v>296.62</v>
      </c>
      <c r="H1758" s="21">
        <f t="shared" si="536"/>
        <v>296.62</v>
      </c>
      <c r="I1758" s="24" t="str">
        <f t="shared" si="537"/>
        <v xml:space="preserve">COM VALOR</v>
      </c>
      <c r="L1758" s="36">
        <v>296.62</v>
      </c>
      <c r="M1758" s="37">
        <v>296.62</v>
      </c>
      <c r="N1758" s="36">
        <v>296.62</v>
      </c>
    </row>
    <row r="1759" ht="25.5">
      <c r="A1759" s="19" t="s">
        <v>10460</v>
      </c>
      <c r="B1759" s="19">
        <v>39449</v>
      </c>
      <c r="C1759" s="20" t="s">
        <v>12217</v>
      </c>
      <c r="D1759" s="19" t="s">
        <v>31</v>
      </c>
      <c r="E1759" s="19" t="s">
        <v>10459</v>
      </c>
      <c r="F1759" s="21">
        <f t="shared" si="536"/>
        <v>328.49000000000001</v>
      </c>
      <c r="G1759" s="21">
        <f t="shared" si="536"/>
        <v>328.49000000000001</v>
      </c>
      <c r="H1759" s="21">
        <f t="shared" si="536"/>
        <v>328.49000000000001</v>
      </c>
      <c r="I1759" s="24" t="str">
        <f t="shared" si="537"/>
        <v xml:space="preserve">COM VALOR</v>
      </c>
      <c r="L1759" s="36">
        <v>328.49000000000001</v>
      </c>
      <c r="M1759" s="37">
        <v>328.49000000000001</v>
      </c>
      <c r="N1759" s="36">
        <v>328.49000000000001</v>
      </c>
    </row>
    <row r="1760" ht="25.5">
      <c r="A1760" s="19" t="s">
        <v>10460</v>
      </c>
      <c r="B1760" s="19">
        <v>39455</v>
      </c>
      <c r="C1760" s="20" t="s">
        <v>12218</v>
      </c>
      <c r="D1760" s="19" t="s">
        <v>31</v>
      </c>
      <c r="E1760" s="19" t="s">
        <v>10459</v>
      </c>
      <c r="F1760" s="21">
        <f t="shared" si="536"/>
        <v>162.53999999999999</v>
      </c>
      <c r="G1760" s="21">
        <f t="shared" si="536"/>
        <v>162.53999999999999</v>
      </c>
      <c r="H1760" s="21">
        <f t="shared" si="536"/>
        <v>162.53999999999999</v>
      </c>
      <c r="I1760" s="24" t="str">
        <f t="shared" si="537"/>
        <v xml:space="preserve">COM VALOR</v>
      </c>
      <c r="L1760" s="36">
        <v>162.53999999999999</v>
      </c>
      <c r="M1760" s="37">
        <v>162.53999999999999</v>
      </c>
      <c r="N1760" s="36">
        <v>162.53999999999999</v>
      </c>
    </row>
    <row r="1761" ht="25.5">
      <c r="A1761" s="19" t="s">
        <v>10460</v>
      </c>
      <c r="B1761" s="19">
        <v>39456</v>
      </c>
      <c r="C1761" s="20" t="s">
        <v>12219</v>
      </c>
      <c r="D1761" s="19" t="s">
        <v>31</v>
      </c>
      <c r="E1761" s="19" t="s">
        <v>10459</v>
      </c>
      <c r="F1761" s="21">
        <f t="shared" si="536"/>
        <v>162.66</v>
      </c>
      <c r="G1761" s="21">
        <f t="shared" si="536"/>
        <v>162.66</v>
      </c>
      <c r="H1761" s="21">
        <f t="shared" si="536"/>
        <v>162.66</v>
      </c>
      <c r="I1761" s="24" t="str">
        <f t="shared" si="537"/>
        <v xml:space="preserve">COM VALOR</v>
      </c>
      <c r="L1761" s="36">
        <v>162.66</v>
      </c>
      <c r="M1761" s="37">
        <v>162.66</v>
      </c>
      <c r="N1761" s="36">
        <v>162.66</v>
      </c>
    </row>
    <row r="1762" ht="25.5">
      <c r="A1762" s="19" t="s">
        <v>10460</v>
      </c>
      <c r="B1762" s="19">
        <v>39457</v>
      </c>
      <c r="C1762" s="20" t="s">
        <v>12220</v>
      </c>
      <c r="D1762" s="19" t="s">
        <v>31</v>
      </c>
      <c r="E1762" s="19" t="s">
        <v>10459</v>
      </c>
      <c r="F1762" s="21">
        <f t="shared" si="536"/>
        <v>177.33000000000001</v>
      </c>
      <c r="G1762" s="21">
        <f t="shared" si="536"/>
        <v>177.33000000000001</v>
      </c>
      <c r="H1762" s="21">
        <f t="shared" si="536"/>
        <v>177.33000000000001</v>
      </c>
      <c r="I1762" s="24" t="str">
        <f t="shared" si="537"/>
        <v xml:space="preserve">COM VALOR</v>
      </c>
      <c r="L1762" s="36">
        <v>177.33000000000001</v>
      </c>
      <c r="M1762" s="37">
        <v>177.33000000000001</v>
      </c>
      <c r="N1762" s="36">
        <v>177.33000000000001</v>
      </c>
    </row>
    <row r="1763" ht="25.5">
      <c r="A1763" s="19" t="s">
        <v>10460</v>
      </c>
      <c r="B1763" s="19">
        <v>39458</v>
      </c>
      <c r="C1763" s="20" t="s">
        <v>12221</v>
      </c>
      <c r="D1763" s="19" t="s">
        <v>31</v>
      </c>
      <c r="E1763" s="19" t="s">
        <v>10459</v>
      </c>
      <c r="F1763" s="21">
        <f t="shared" si="536"/>
        <v>330.91000000000003</v>
      </c>
      <c r="G1763" s="21">
        <f t="shared" si="536"/>
        <v>330.91000000000003</v>
      </c>
      <c r="H1763" s="21">
        <f t="shared" si="536"/>
        <v>330.91000000000003</v>
      </c>
      <c r="I1763" s="24" t="str">
        <f t="shared" si="537"/>
        <v xml:space="preserve">COM VALOR</v>
      </c>
      <c r="L1763" s="36">
        <v>330.91000000000003</v>
      </c>
      <c r="M1763" s="37">
        <v>330.91000000000003</v>
      </c>
      <c r="N1763" s="36">
        <v>330.91000000000003</v>
      </c>
    </row>
    <row r="1764" ht="25.5">
      <c r="A1764" s="19" t="s">
        <v>10460</v>
      </c>
      <c r="B1764" s="19">
        <v>39464</v>
      </c>
      <c r="C1764" s="20" t="s">
        <v>12222</v>
      </c>
      <c r="D1764" s="19" t="s">
        <v>31</v>
      </c>
      <c r="E1764" s="19" t="s">
        <v>10459</v>
      </c>
      <c r="F1764" s="21">
        <f t="shared" si="536"/>
        <v>532.13</v>
      </c>
      <c r="G1764" s="21">
        <f t="shared" si="536"/>
        <v>532.13</v>
      </c>
      <c r="H1764" s="21">
        <f t="shared" si="536"/>
        <v>532.13</v>
      </c>
      <c r="I1764" s="24" t="str">
        <f t="shared" si="537"/>
        <v xml:space="preserve">COM VALOR</v>
      </c>
      <c r="L1764" s="36">
        <v>532.13</v>
      </c>
      <c r="M1764" s="37">
        <v>532.13</v>
      </c>
      <c r="N1764" s="36">
        <v>532.13</v>
      </c>
    </row>
    <row r="1765" ht="25.5">
      <c r="A1765" s="19" t="s">
        <v>10460</v>
      </c>
      <c r="B1765" s="19">
        <v>39460</v>
      </c>
      <c r="C1765" s="20" t="s">
        <v>12223</v>
      </c>
      <c r="D1765" s="19" t="s">
        <v>31</v>
      </c>
      <c r="E1765" s="19" t="s">
        <v>10459</v>
      </c>
      <c r="F1765" s="21">
        <f t="shared" si="536"/>
        <v>201.81999999999999</v>
      </c>
      <c r="G1765" s="21">
        <f t="shared" si="536"/>
        <v>201.81999999999999</v>
      </c>
      <c r="H1765" s="21">
        <f t="shared" si="536"/>
        <v>201.81999999999999</v>
      </c>
      <c r="I1765" s="24" t="str">
        <f t="shared" si="537"/>
        <v xml:space="preserve">COM VALOR</v>
      </c>
      <c r="L1765" s="36">
        <v>201.81999999999999</v>
      </c>
      <c r="M1765" s="37">
        <v>201.81999999999999</v>
      </c>
      <c r="N1765" s="36">
        <v>201.81999999999999</v>
      </c>
    </row>
    <row r="1766" ht="25.5">
      <c r="A1766" s="19" t="s">
        <v>10460</v>
      </c>
      <c r="B1766" s="19">
        <v>39461</v>
      </c>
      <c r="C1766" s="20" t="s">
        <v>12224</v>
      </c>
      <c r="D1766" s="19" t="s">
        <v>31</v>
      </c>
      <c r="E1766" s="19" t="s">
        <v>10459</v>
      </c>
      <c r="F1766" s="21">
        <f t="shared" si="536"/>
        <v>236.49000000000001</v>
      </c>
      <c r="G1766" s="21">
        <f t="shared" si="536"/>
        <v>236.49000000000001</v>
      </c>
      <c r="H1766" s="21">
        <f t="shared" si="536"/>
        <v>236.49000000000001</v>
      </c>
      <c r="I1766" s="24" t="str">
        <f t="shared" si="537"/>
        <v xml:space="preserve">COM VALOR</v>
      </c>
      <c r="L1766" s="36">
        <v>236.49000000000001</v>
      </c>
      <c r="M1766" s="37">
        <v>236.49000000000001</v>
      </c>
      <c r="N1766" s="36">
        <v>236.49000000000001</v>
      </c>
    </row>
    <row r="1767" ht="25.5">
      <c r="A1767" s="19" t="s">
        <v>10460</v>
      </c>
      <c r="B1767" s="19">
        <v>39462</v>
      </c>
      <c r="C1767" s="20" t="s">
        <v>12225</v>
      </c>
      <c r="D1767" s="19" t="s">
        <v>31</v>
      </c>
      <c r="E1767" s="19" t="s">
        <v>10459</v>
      </c>
      <c r="F1767" s="21">
        <f t="shared" si="536"/>
        <v>227.91</v>
      </c>
      <c r="G1767" s="21">
        <f t="shared" si="536"/>
        <v>227.91</v>
      </c>
      <c r="H1767" s="21">
        <f t="shared" si="536"/>
        <v>227.91</v>
      </c>
      <c r="I1767" s="24" t="str">
        <f t="shared" si="537"/>
        <v xml:space="preserve">COM VALOR</v>
      </c>
      <c r="L1767" s="36">
        <v>227.91</v>
      </c>
      <c r="M1767" s="37">
        <v>227.91</v>
      </c>
      <c r="N1767" s="36">
        <v>227.91</v>
      </c>
    </row>
    <row r="1768" ht="25.5">
      <c r="A1768" s="19" t="s">
        <v>10460</v>
      </c>
      <c r="B1768" s="19">
        <v>39463</v>
      </c>
      <c r="C1768" s="20" t="s">
        <v>12226</v>
      </c>
      <c r="D1768" s="19" t="s">
        <v>31</v>
      </c>
      <c r="E1768" s="19" t="s">
        <v>10459</v>
      </c>
      <c r="F1768" s="21">
        <f t="shared" si="536"/>
        <v>528</v>
      </c>
      <c r="G1768" s="21">
        <f t="shared" si="536"/>
        <v>528</v>
      </c>
      <c r="H1768" s="21">
        <f t="shared" si="536"/>
        <v>528</v>
      </c>
      <c r="I1768" s="24" t="str">
        <f t="shared" si="537"/>
        <v xml:space="preserve">COM VALOR</v>
      </c>
      <c r="L1768" s="36">
        <v>528</v>
      </c>
      <c r="M1768" s="37">
        <v>528</v>
      </c>
      <c r="N1768" s="36">
        <v>528</v>
      </c>
    </row>
    <row r="1769" ht="25.5">
      <c r="A1769" s="19" t="s">
        <v>10638</v>
      </c>
      <c r="B1769" s="19">
        <v>26039</v>
      </c>
      <c r="C1769" s="20" t="s">
        <v>12227</v>
      </c>
      <c r="D1769" s="19" t="s">
        <v>31</v>
      </c>
      <c r="E1769" s="19" t="s">
        <v>10459</v>
      </c>
      <c r="F1769" s="21" t="str">
        <f t="shared" si="536"/>
        <v>VERIFICAR</v>
      </c>
      <c r="G1769" s="21" t="str">
        <f t="shared" si="536"/>
        <v>VERIFICAR</v>
      </c>
      <c r="H1769" s="21" t="str">
        <f t="shared" si="536"/>
        <v>VERIFICAR</v>
      </c>
      <c r="I1769" s="24" t="str">
        <f t="shared" si="537"/>
        <v xml:space="preserve">SEM VALOR</v>
      </c>
      <c r="L1769" s="36"/>
      <c r="M1769" s="37"/>
      <c r="N1769" s="36"/>
    </row>
    <row r="1770" ht="25.5">
      <c r="A1770" s="19" t="s">
        <v>10638</v>
      </c>
      <c r="B1770" s="19">
        <v>2401</v>
      </c>
      <c r="C1770" s="20" t="s">
        <v>12228</v>
      </c>
      <c r="D1770" s="19" t="s">
        <v>31</v>
      </c>
      <c r="E1770" s="19" t="s">
        <v>10459</v>
      </c>
      <c r="F1770" s="21" t="str">
        <f t="shared" si="536"/>
        <v>VERIFICAR</v>
      </c>
      <c r="G1770" s="21" t="str">
        <f t="shared" si="536"/>
        <v>VERIFICAR</v>
      </c>
      <c r="H1770" s="21" t="str">
        <f t="shared" si="536"/>
        <v>VERIFICAR</v>
      </c>
      <c r="I1770" s="24" t="str">
        <f t="shared" si="537"/>
        <v xml:space="preserve">SEM VALOR</v>
      </c>
      <c r="L1770" s="36"/>
      <c r="M1770" s="37"/>
      <c r="N1770" s="36"/>
    </row>
    <row r="1771" ht="38.25">
      <c r="A1771" s="19" t="s">
        <v>10460</v>
      </c>
      <c r="B1771" s="19">
        <v>38870</v>
      </c>
      <c r="C1771" s="20" t="s">
        <v>12229</v>
      </c>
      <c r="D1771" s="19" t="s">
        <v>31</v>
      </c>
      <c r="E1771" s="19" t="s">
        <v>10459</v>
      </c>
      <c r="F1771" s="21" t="str">
        <f t="shared" si="536"/>
        <v>VERIFICAR</v>
      </c>
      <c r="G1771" s="21" t="str">
        <f t="shared" si="536"/>
        <v>VERIFICAR</v>
      </c>
      <c r="H1771" s="21" t="str">
        <f t="shared" si="536"/>
        <v>VERIFICAR</v>
      </c>
      <c r="I1771" s="24" t="str">
        <f t="shared" si="537"/>
        <v xml:space="preserve">SEM VALOR</v>
      </c>
      <c r="L1771" s="36"/>
      <c r="M1771" s="37"/>
      <c r="N1771" s="36"/>
    </row>
    <row r="1772" ht="38.25">
      <c r="A1772" s="19" t="s">
        <v>10460</v>
      </c>
      <c r="B1772" s="19">
        <v>38869</v>
      </c>
      <c r="C1772" s="20" t="s">
        <v>12230</v>
      </c>
      <c r="D1772" s="19" t="s">
        <v>31</v>
      </c>
      <c r="E1772" s="19" t="s">
        <v>10459</v>
      </c>
      <c r="F1772" s="21" t="str">
        <f t="shared" si="536"/>
        <v>VERIFICAR</v>
      </c>
      <c r="G1772" s="21" t="str">
        <f t="shared" si="536"/>
        <v>VERIFICAR</v>
      </c>
      <c r="H1772" s="21" t="str">
        <f t="shared" si="536"/>
        <v>VERIFICAR</v>
      </c>
      <c r="I1772" s="24" t="str">
        <f t="shared" si="537"/>
        <v xml:space="preserve">SEM VALOR</v>
      </c>
      <c r="L1772" s="36"/>
      <c r="M1772" s="37"/>
      <c r="N1772" s="36"/>
    </row>
    <row r="1773" ht="38.25">
      <c r="A1773" s="19" t="s">
        <v>10460</v>
      </c>
      <c r="B1773" s="19">
        <v>38872</v>
      </c>
      <c r="C1773" s="20" t="s">
        <v>12231</v>
      </c>
      <c r="D1773" s="19" t="s">
        <v>31</v>
      </c>
      <c r="E1773" s="19" t="s">
        <v>10459</v>
      </c>
      <c r="F1773" s="21" t="str">
        <f t="shared" si="536"/>
        <v>VERIFICAR</v>
      </c>
      <c r="G1773" s="21" t="str">
        <f t="shared" si="536"/>
        <v>VERIFICAR</v>
      </c>
      <c r="H1773" s="21" t="str">
        <f t="shared" si="536"/>
        <v>VERIFICAR</v>
      </c>
      <c r="I1773" s="24" t="str">
        <f t="shared" si="537"/>
        <v xml:space="preserve">SEM VALOR</v>
      </c>
      <c r="L1773" s="36"/>
      <c r="M1773" s="37"/>
      <c r="N1773" s="36"/>
    </row>
    <row r="1774" ht="38.25">
      <c r="A1774" s="19" t="s">
        <v>10460</v>
      </c>
      <c r="B1774" s="19">
        <v>38871</v>
      </c>
      <c r="C1774" s="20" t="s">
        <v>12232</v>
      </c>
      <c r="D1774" s="19" t="s">
        <v>31</v>
      </c>
      <c r="E1774" s="19" t="s">
        <v>10459</v>
      </c>
      <c r="F1774" s="21" t="str">
        <f t="shared" si="536"/>
        <v>VERIFICAR</v>
      </c>
      <c r="G1774" s="21" t="str">
        <f t="shared" si="536"/>
        <v>VERIFICAR</v>
      </c>
      <c r="H1774" s="21" t="str">
        <f t="shared" si="536"/>
        <v>VERIFICAR</v>
      </c>
      <c r="I1774" s="24" t="str">
        <f t="shared" si="537"/>
        <v xml:space="preserve">SEM VALOR</v>
      </c>
      <c r="L1774" s="36"/>
      <c r="M1774" s="37"/>
      <c r="N1774" s="36"/>
    </row>
    <row r="1775" ht="38.25">
      <c r="A1775" s="19" t="s">
        <v>10460</v>
      </c>
      <c r="B1775" s="19">
        <v>39283</v>
      </c>
      <c r="C1775" s="20" t="s">
        <v>12233</v>
      </c>
      <c r="D1775" s="19" t="s">
        <v>31</v>
      </c>
      <c r="E1775" s="19" t="s">
        <v>10459</v>
      </c>
      <c r="F1775" s="21" t="str">
        <f t="shared" si="536"/>
        <v>VERIFICAR</v>
      </c>
      <c r="G1775" s="21" t="str">
        <f t="shared" si="536"/>
        <v>VERIFICAR</v>
      </c>
      <c r="H1775" s="21" t="str">
        <f t="shared" si="536"/>
        <v>VERIFICAR</v>
      </c>
      <c r="I1775" s="24" t="str">
        <f t="shared" si="537"/>
        <v xml:space="preserve">SEM VALOR</v>
      </c>
      <c r="L1775" s="36"/>
      <c r="M1775" s="37"/>
      <c r="N1775" s="36"/>
    </row>
    <row r="1776" ht="38.25">
      <c r="A1776" s="19" t="s">
        <v>10460</v>
      </c>
      <c r="B1776" s="19">
        <v>39285</v>
      </c>
      <c r="C1776" s="20" t="s">
        <v>12234</v>
      </c>
      <c r="D1776" s="19" t="s">
        <v>31</v>
      </c>
      <c r="E1776" s="19" t="s">
        <v>10459</v>
      </c>
      <c r="F1776" s="21" t="str">
        <f t="shared" si="536"/>
        <v>VERIFICAR</v>
      </c>
      <c r="G1776" s="21" t="str">
        <f t="shared" si="536"/>
        <v>VERIFICAR</v>
      </c>
      <c r="H1776" s="21" t="str">
        <f t="shared" si="536"/>
        <v>VERIFICAR</v>
      </c>
      <c r="I1776" s="24" t="str">
        <f t="shared" si="537"/>
        <v xml:space="preserve">SEM VALOR</v>
      </c>
      <c r="L1776" s="36"/>
      <c r="M1776" s="37"/>
      <c r="N1776" s="36"/>
    </row>
    <row r="1777" ht="38.25">
      <c r="A1777" s="19" t="s">
        <v>10460</v>
      </c>
      <c r="B1777" s="19">
        <v>39286</v>
      </c>
      <c r="C1777" s="20" t="s">
        <v>12235</v>
      </c>
      <c r="D1777" s="19" t="s">
        <v>31</v>
      </c>
      <c r="E1777" s="19" t="s">
        <v>10459</v>
      </c>
      <c r="F1777" s="21" t="str">
        <f t="shared" si="536"/>
        <v>VERIFICAR</v>
      </c>
      <c r="G1777" s="21" t="str">
        <f t="shared" si="536"/>
        <v>VERIFICAR</v>
      </c>
      <c r="H1777" s="21" t="str">
        <f t="shared" si="536"/>
        <v>VERIFICAR</v>
      </c>
      <c r="I1777" s="24" t="str">
        <f t="shared" si="537"/>
        <v xml:space="preserve">SEM VALOR</v>
      </c>
      <c r="L1777" s="36"/>
      <c r="M1777" s="37"/>
      <c r="N1777" s="36"/>
    </row>
    <row r="1778" ht="38.25">
      <c r="A1778" s="19" t="s">
        <v>10460</v>
      </c>
      <c r="B1778" s="19">
        <v>39288</v>
      </c>
      <c r="C1778" s="20" t="s">
        <v>12236</v>
      </c>
      <c r="D1778" s="19" t="s">
        <v>31</v>
      </c>
      <c r="E1778" s="19" t="s">
        <v>10459</v>
      </c>
      <c r="F1778" s="21" t="str">
        <f t="shared" si="536"/>
        <v>VERIFICAR</v>
      </c>
      <c r="G1778" s="21" t="str">
        <f t="shared" si="536"/>
        <v>VERIFICAR</v>
      </c>
      <c r="H1778" s="21" t="str">
        <f t="shared" si="536"/>
        <v>VERIFICAR</v>
      </c>
      <c r="I1778" s="24" t="str">
        <f t="shared" si="537"/>
        <v xml:space="preserve">SEM VALOR</v>
      </c>
      <c r="L1778" s="36"/>
      <c r="M1778" s="37"/>
      <c r="N1778" s="36"/>
    </row>
    <row r="1779" ht="38.25">
      <c r="A1779" s="19" t="s">
        <v>10460</v>
      </c>
      <c r="B1779" s="19">
        <v>44476</v>
      </c>
      <c r="C1779" s="20" t="s">
        <v>12237</v>
      </c>
      <c r="D1779" s="19" t="s">
        <v>29</v>
      </c>
      <c r="E1779" s="19" t="s">
        <v>10459</v>
      </c>
      <c r="F1779" s="21">
        <f t="shared" si="536"/>
        <v>752.83000000000004</v>
      </c>
      <c r="G1779" s="21">
        <f t="shared" si="536"/>
        <v>752.83000000000004</v>
      </c>
      <c r="H1779" s="21">
        <f t="shared" si="536"/>
        <v>752.83000000000004</v>
      </c>
      <c r="I1779" s="24" t="str">
        <f t="shared" si="537"/>
        <v xml:space="preserve">COM VALOR</v>
      </c>
      <c r="L1779" s="36">
        <v>752.83000000000004</v>
      </c>
      <c r="M1779" s="37">
        <v>752.83000000000004</v>
      </c>
      <c r="N1779" s="36">
        <v>752.83000000000004</v>
      </c>
    </row>
    <row r="1780" ht="25.5">
      <c r="A1780" s="19" t="s">
        <v>10460</v>
      </c>
      <c r="B1780" s="19">
        <v>10629</v>
      </c>
      <c r="C1780" s="20" t="s">
        <v>12238</v>
      </c>
      <c r="D1780" s="19" t="s">
        <v>29</v>
      </c>
      <c r="E1780" s="19" t="s">
        <v>10459</v>
      </c>
      <c r="F1780" s="21">
        <f t="shared" si="536"/>
        <v>815.5</v>
      </c>
      <c r="G1780" s="21">
        <f t="shared" si="536"/>
        <v>815.5</v>
      </c>
      <c r="H1780" s="21">
        <f t="shared" si="536"/>
        <v>815.5</v>
      </c>
      <c r="I1780" s="24" t="str">
        <f t="shared" si="537"/>
        <v xml:space="preserve">COM VALOR</v>
      </c>
      <c r="L1780" s="36">
        <v>815.5</v>
      </c>
      <c r="M1780" s="37">
        <v>815.5</v>
      </c>
      <c r="N1780" s="36">
        <v>815.5</v>
      </c>
    </row>
    <row r="1781" ht="25.5">
      <c r="A1781" s="19" t="s">
        <v>10460</v>
      </c>
      <c r="B1781" s="19">
        <v>10698</v>
      </c>
      <c r="C1781" s="20" t="s">
        <v>12239</v>
      </c>
      <c r="D1781" s="19" t="s">
        <v>29</v>
      </c>
      <c r="E1781" s="19" t="s">
        <v>10459</v>
      </c>
      <c r="F1781" s="21" t="str">
        <f t="shared" si="536"/>
        <v>VERIFICAR</v>
      </c>
      <c r="G1781" s="21" t="str">
        <f t="shared" si="536"/>
        <v>VERIFICAR</v>
      </c>
      <c r="H1781" s="21" t="str">
        <f t="shared" si="536"/>
        <v>VERIFICAR</v>
      </c>
      <c r="I1781" s="24" t="str">
        <f t="shared" si="537"/>
        <v xml:space="preserve">SEM VALOR</v>
      </c>
      <c r="L1781" s="36"/>
      <c r="M1781" s="37"/>
      <c r="N1781" s="36"/>
    </row>
    <row r="1782" ht="38.25">
      <c r="A1782" s="19" t="s">
        <v>10638</v>
      </c>
      <c r="B1782" s="19">
        <v>45658</v>
      </c>
      <c r="C1782" s="20" t="s">
        <v>12240</v>
      </c>
      <c r="D1782" s="19" t="s">
        <v>31</v>
      </c>
      <c r="E1782" s="19" t="s">
        <v>10459</v>
      </c>
      <c r="F1782" s="21">
        <f t="shared" si="536"/>
        <v>193646.98999999999</v>
      </c>
      <c r="G1782" s="21">
        <f t="shared" si="536"/>
        <v>193646.98999999999</v>
      </c>
      <c r="H1782" s="21">
        <f t="shared" si="536"/>
        <v>193646.98999999999</v>
      </c>
      <c r="I1782" s="24" t="str">
        <f t="shared" si="537"/>
        <v xml:space="preserve">COM VALOR</v>
      </c>
      <c r="L1782" s="36">
        <v>193646.98999999999</v>
      </c>
      <c r="M1782" s="37">
        <v>193646.98999999999</v>
      </c>
      <c r="N1782" s="36">
        <v>193646.98999999999</v>
      </c>
    </row>
    <row r="1783" ht="38.25">
      <c r="A1783" s="19" t="s">
        <v>10460</v>
      </c>
      <c r="B1783" s="19">
        <v>2432</v>
      </c>
      <c r="C1783" s="20" t="s">
        <v>12241</v>
      </c>
      <c r="D1783" s="19" t="s">
        <v>31</v>
      </c>
      <c r="E1783" s="19" t="s">
        <v>10459</v>
      </c>
      <c r="F1783" s="21">
        <f t="shared" si="536"/>
        <v>28.02</v>
      </c>
      <c r="G1783" s="21">
        <f t="shared" si="536"/>
        <v>28.02</v>
      </c>
      <c r="H1783" s="21">
        <f t="shared" si="536"/>
        <v>28.02</v>
      </c>
      <c r="I1783" s="24" t="str">
        <f t="shared" si="537"/>
        <v xml:space="preserve">COM VALOR</v>
      </c>
      <c r="L1783" s="36">
        <v>28.02</v>
      </c>
      <c r="M1783" s="37">
        <v>28.02</v>
      </c>
      <c r="N1783" s="36">
        <v>28.02</v>
      </c>
    </row>
    <row r="1784" ht="38.25">
      <c r="A1784" s="19" t="s">
        <v>10460</v>
      </c>
      <c r="B1784" s="19">
        <v>2418</v>
      </c>
      <c r="C1784" s="20" t="s">
        <v>12242</v>
      </c>
      <c r="D1784" s="19" t="s">
        <v>31</v>
      </c>
      <c r="E1784" s="19" t="s">
        <v>10466</v>
      </c>
      <c r="F1784" s="21">
        <f t="shared" si="536"/>
        <v>13</v>
      </c>
      <c r="G1784" s="21">
        <f t="shared" si="536"/>
        <v>13</v>
      </c>
      <c r="H1784" s="21">
        <f t="shared" si="536"/>
        <v>13</v>
      </c>
      <c r="I1784" s="24" t="str">
        <f t="shared" si="537"/>
        <v xml:space="preserve">COM VALOR</v>
      </c>
      <c r="L1784" s="36">
        <v>13</v>
      </c>
      <c r="M1784" s="37">
        <v>13</v>
      </c>
      <c r="N1784" s="36">
        <v>13</v>
      </c>
    </row>
    <row r="1785" ht="38.25">
      <c r="A1785" s="19" t="s">
        <v>10460</v>
      </c>
      <c r="B1785" s="19">
        <v>2433</v>
      </c>
      <c r="C1785" s="20" t="s">
        <v>12243</v>
      </c>
      <c r="D1785" s="19" t="s">
        <v>31</v>
      </c>
      <c r="E1785" s="19" t="s">
        <v>10459</v>
      </c>
      <c r="F1785" s="21">
        <f t="shared" si="536"/>
        <v>9.4900000000000002</v>
      </c>
      <c r="G1785" s="21">
        <f t="shared" si="536"/>
        <v>9.4900000000000002</v>
      </c>
      <c r="H1785" s="21">
        <f t="shared" si="536"/>
        <v>9.4900000000000002</v>
      </c>
      <c r="I1785" s="24" t="str">
        <f t="shared" si="537"/>
        <v xml:space="preserve">COM VALOR</v>
      </c>
      <c r="L1785" s="36">
        <v>9.4900000000000002</v>
      </c>
      <c r="M1785" s="37">
        <v>9.4900000000000002</v>
      </c>
      <c r="N1785" s="36">
        <v>9.4900000000000002</v>
      </c>
    </row>
    <row r="1786" ht="38.25">
      <c r="A1786" s="19" t="s">
        <v>10460</v>
      </c>
      <c r="B1786" s="19">
        <v>2420</v>
      </c>
      <c r="C1786" s="20" t="s">
        <v>12244</v>
      </c>
      <c r="D1786" s="19" t="s">
        <v>31</v>
      </c>
      <c r="E1786" s="19" t="s">
        <v>10459</v>
      </c>
      <c r="F1786" s="21">
        <f t="shared" si="536"/>
        <v>16.300000000000001</v>
      </c>
      <c r="G1786" s="21">
        <f t="shared" si="536"/>
        <v>16.300000000000001</v>
      </c>
      <c r="H1786" s="21">
        <f t="shared" si="536"/>
        <v>16.300000000000001</v>
      </c>
      <c r="I1786" s="24" t="str">
        <f t="shared" si="537"/>
        <v xml:space="preserve">COM VALOR</v>
      </c>
      <c r="L1786" s="36">
        <v>16.300000000000001</v>
      </c>
      <c r="M1786" s="37">
        <v>16.300000000000001</v>
      </c>
      <c r="N1786" s="36">
        <v>16.300000000000001</v>
      </c>
    </row>
    <row r="1787" ht="25.5">
      <c r="A1787" s="19" t="s">
        <v>10460</v>
      </c>
      <c r="B1787" s="19">
        <v>11447</v>
      </c>
      <c r="C1787" s="20" t="s">
        <v>12245</v>
      </c>
      <c r="D1787" s="19" t="s">
        <v>31</v>
      </c>
      <c r="E1787" s="19" t="s">
        <v>10459</v>
      </c>
      <c r="F1787" s="21">
        <f t="shared" si="536"/>
        <v>32.219999999999999</v>
      </c>
      <c r="G1787" s="21">
        <f t="shared" si="536"/>
        <v>32.219999999999999</v>
      </c>
      <c r="H1787" s="21">
        <f t="shared" si="536"/>
        <v>32.219999999999999</v>
      </c>
      <c r="I1787" s="24" t="str">
        <f t="shared" si="537"/>
        <v xml:space="preserve">COM VALOR</v>
      </c>
      <c r="L1787" s="36">
        <v>32.219999999999999</v>
      </c>
      <c r="M1787" s="37">
        <v>32.219999999999999</v>
      </c>
      <c r="N1787" s="36">
        <v>32.219999999999999</v>
      </c>
    </row>
    <row r="1788" ht="25.5">
      <c r="A1788" s="19" t="s">
        <v>10460</v>
      </c>
      <c r="B1788" s="19">
        <v>11451</v>
      </c>
      <c r="C1788" s="20" t="s">
        <v>12246</v>
      </c>
      <c r="D1788" s="19" t="s">
        <v>31</v>
      </c>
      <c r="E1788" s="19" t="s">
        <v>10459</v>
      </c>
      <c r="F1788" s="21">
        <f t="shared" si="536"/>
        <v>86.379999999999995</v>
      </c>
      <c r="G1788" s="21">
        <f t="shared" si="536"/>
        <v>86.379999999999995</v>
      </c>
      <c r="H1788" s="21">
        <f t="shared" si="536"/>
        <v>86.379999999999995</v>
      </c>
      <c r="I1788" s="24" t="str">
        <f t="shared" si="537"/>
        <v xml:space="preserve">COM VALOR</v>
      </c>
      <c r="L1788" s="36">
        <v>86.379999999999995</v>
      </c>
      <c r="M1788" s="37">
        <v>86.379999999999995</v>
      </c>
      <c r="N1788" s="36">
        <v>86.379999999999995</v>
      </c>
    </row>
    <row r="1789" ht="38.25">
      <c r="A1789" s="19" t="s">
        <v>10460</v>
      </c>
      <c r="B1789" s="19">
        <v>11116</v>
      </c>
      <c r="C1789" s="20" t="s">
        <v>12247</v>
      </c>
      <c r="D1789" s="19" t="s">
        <v>31</v>
      </c>
      <c r="E1789" s="19" t="s">
        <v>10459</v>
      </c>
      <c r="F1789" s="21" t="str">
        <f t="shared" si="536"/>
        <v>VERIFICAR</v>
      </c>
      <c r="G1789" s="21" t="str">
        <f t="shared" si="536"/>
        <v>VERIFICAR</v>
      </c>
      <c r="H1789" s="21" t="str">
        <f t="shared" si="536"/>
        <v>VERIFICAR</v>
      </c>
      <c r="I1789" s="24" t="str">
        <f t="shared" si="537"/>
        <v xml:space="preserve">SEM VALOR</v>
      </c>
      <c r="L1789" s="36"/>
      <c r="M1789" s="37"/>
      <c r="N1789" s="36"/>
    </row>
    <row r="1790" ht="12.75">
      <c r="A1790" s="19" t="s">
        <v>10638</v>
      </c>
      <c r="B1790" s="19">
        <v>38411</v>
      </c>
      <c r="C1790" s="20" t="s">
        <v>12248</v>
      </c>
      <c r="D1790" s="19" t="s">
        <v>31</v>
      </c>
      <c r="E1790" s="19" t="s">
        <v>10459</v>
      </c>
      <c r="F1790" s="21">
        <f t="shared" si="536"/>
        <v>1653.23</v>
      </c>
      <c r="G1790" s="21">
        <f t="shared" si="536"/>
        <v>1653.23</v>
      </c>
      <c r="H1790" s="21">
        <f t="shared" si="536"/>
        <v>1653.23</v>
      </c>
      <c r="I1790" s="24" t="str">
        <f t="shared" si="537"/>
        <v xml:space="preserve">COM VALOR</v>
      </c>
      <c r="L1790" s="36">
        <v>1653.23</v>
      </c>
      <c r="M1790" s="37">
        <v>1653.23</v>
      </c>
      <c r="N1790" s="36">
        <v>1653.23</v>
      </c>
    </row>
    <row r="1791" ht="25.5">
      <c r="A1791" s="19" t="s">
        <v>10460</v>
      </c>
      <c r="B1791" s="19">
        <v>38189</v>
      </c>
      <c r="C1791" s="20" t="s">
        <v>12249</v>
      </c>
      <c r="D1791" s="19" t="s">
        <v>31</v>
      </c>
      <c r="E1791" s="19" t="s">
        <v>10459</v>
      </c>
      <c r="F1791" s="21">
        <f t="shared" si="536"/>
        <v>205.5</v>
      </c>
      <c r="G1791" s="21">
        <f t="shared" si="536"/>
        <v>205.5</v>
      </c>
      <c r="H1791" s="21">
        <f t="shared" si="536"/>
        <v>205.5</v>
      </c>
      <c r="I1791" s="24" t="str">
        <f t="shared" si="537"/>
        <v xml:space="preserve">COM VALOR</v>
      </c>
      <c r="L1791" s="36">
        <v>205.5</v>
      </c>
      <c r="M1791" s="37">
        <v>205.5</v>
      </c>
      <c r="N1791" s="36">
        <v>205.5</v>
      </c>
    </row>
    <row r="1792" ht="25.5">
      <c r="A1792" s="19" t="s">
        <v>10460</v>
      </c>
      <c r="B1792" s="19">
        <v>38190</v>
      </c>
      <c r="C1792" s="20" t="s">
        <v>12250</v>
      </c>
      <c r="D1792" s="19" t="s">
        <v>31</v>
      </c>
      <c r="E1792" s="19" t="s">
        <v>10459</v>
      </c>
      <c r="F1792" s="21">
        <f t="shared" si="536"/>
        <v>432.93000000000001</v>
      </c>
      <c r="G1792" s="21">
        <f t="shared" si="536"/>
        <v>432.93000000000001</v>
      </c>
      <c r="H1792" s="21">
        <f t="shared" si="536"/>
        <v>432.93000000000001</v>
      </c>
      <c r="I1792" s="24" t="str">
        <f t="shared" si="537"/>
        <v xml:space="preserve">COM VALOR</v>
      </c>
      <c r="L1792" s="36">
        <v>432.93000000000001</v>
      </c>
      <c r="M1792" s="37">
        <v>432.93000000000001</v>
      </c>
      <c r="N1792" s="36">
        <v>432.93000000000001</v>
      </c>
    </row>
    <row r="1793" ht="25.5">
      <c r="A1793" s="19" t="s">
        <v>10460</v>
      </c>
      <c r="B1793" s="19">
        <v>7608</v>
      </c>
      <c r="C1793" s="20" t="s">
        <v>12251</v>
      </c>
      <c r="D1793" s="19" t="s">
        <v>31</v>
      </c>
      <c r="E1793" s="19" t="s">
        <v>10459</v>
      </c>
      <c r="F1793" s="21">
        <f t="shared" si="536"/>
        <v>13.539999999999999</v>
      </c>
      <c r="G1793" s="21">
        <f t="shared" si="536"/>
        <v>13.539999999999999</v>
      </c>
      <c r="H1793" s="21">
        <f t="shared" si="536"/>
        <v>13.539999999999999</v>
      </c>
      <c r="I1793" s="24" t="str">
        <f t="shared" si="537"/>
        <v xml:space="preserve">COM VALOR</v>
      </c>
      <c r="L1793" s="36">
        <v>13.539999999999999</v>
      </c>
      <c r="M1793" s="37">
        <v>13.539999999999999</v>
      </c>
      <c r="N1793" s="36">
        <v>13.539999999999999</v>
      </c>
    </row>
    <row r="1794" ht="12.75">
      <c r="A1794" s="19" t="s">
        <v>10460</v>
      </c>
      <c r="B1794" s="19">
        <v>1370</v>
      </c>
      <c r="C1794" s="20" t="s">
        <v>12252</v>
      </c>
      <c r="D1794" s="19" t="s">
        <v>31</v>
      </c>
      <c r="E1794" s="19" t="s">
        <v>10459</v>
      </c>
      <c r="F1794" s="21">
        <f t="shared" si="536"/>
        <v>140.63999999999999</v>
      </c>
      <c r="G1794" s="21">
        <f t="shared" si="536"/>
        <v>140.63999999999999</v>
      </c>
      <c r="H1794" s="21">
        <f t="shared" si="536"/>
        <v>140.63999999999999</v>
      </c>
      <c r="I1794" s="24" t="str">
        <f t="shared" si="537"/>
        <v xml:space="preserve">COM VALOR</v>
      </c>
      <c r="L1794" s="36">
        <v>140.63999999999999</v>
      </c>
      <c r="M1794" s="37">
        <v>140.63999999999999</v>
      </c>
      <c r="N1794" s="36">
        <v>140.63999999999999</v>
      </c>
    </row>
    <row r="1795" ht="38.25">
      <c r="A1795" s="19" t="s">
        <v>10460</v>
      </c>
      <c r="B1795" s="19">
        <v>11649</v>
      </c>
      <c r="C1795" s="20" t="s">
        <v>12253</v>
      </c>
      <c r="D1795" s="19" t="s">
        <v>31</v>
      </c>
      <c r="E1795" s="19" t="s">
        <v>10459</v>
      </c>
      <c r="F1795" s="21">
        <f t="shared" si="536"/>
        <v>384.19</v>
      </c>
      <c r="G1795" s="21">
        <f t="shared" si="536"/>
        <v>384.19</v>
      </c>
      <c r="H1795" s="21">
        <f t="shared" si="536"/>
        <v>384.19</v>
      </c>
      <c r="I1795" s="24" t="str">
        <f t="shared" si="537"/>
        <v xml:space="preserve">COM VALOR</v>
      </c>
      <c r="L1795" s="36">
        <v>384.19</v>
      </c>
      <c r="M1795" s="37">
        <v>384.19</v>
      </c>
      <c r="N1795" s="36">
        <v>384.19</v>
      </c>
    </row>
    <row r="1796" ht="38.25">
      <c r="A1796" s="19" t="s">
        <v>10460</v>
      </c>
      <c r="B1796" s="19">
        <v>11650</v>
      </c>
      <c r="C1796" s="20" t="s">
        <v>12254</v>
      </c>
      <c r="D1796" s="19" t="s">
        <v>31</v>
      </c>
      <c r="E1796" s="19" t="s">
        <v>10459</v>
      </c>
      <c r="F1796" s="21">
        <f t="shared" si="536"/>
        <v>520.95000000000005</v>
      </c>
      <c r="G1796" s="21">
        <f t="shared" si="536"/>
        <v>520.95000000000005</v>
      </c>
      <c r="H1796" s="21">
        <f t="shared" si="536"/>
        <v>520.95000000000005</v>
      </c>
      <c r="I1796" s="24" t="str">
        <f t="shared" si="537"/>
        <v xml:space="preserve">COM VALOR</v>
      </c>
      <c r="L1796" s="36">
        <v>520.95000000000005</v>
      </c>
      <c r="M1796" s="37">
        <v>520.95000000000005</v>
      </c>
      <c r="N1796" s="36">
        <v>520.95000000000005</v>
      </c>
    </row>
    <row r="1797" ht="25.5">
      <c r="A1797" s="19" t="s">
        <v>10460</v>
      </c>
      <c r="B1797" s="19">
        <v>34777</v>
      </c>
      <c r="C1797" s="20" t="s">
        <v>12255</v>
      </c>
      <c r="D1797" s="19" t="s">
        <v>31</v>
      </c>
      <c r="E1797" s="19" t="s">
        <v>10459</v>
      </c>
      <c r="F1797" s="21">
        <f t="shared" si="536"/>
        <v>3.5800000000000001</v>
      </c>
      <c r="G1797" s="21">
        <f t="shared" si="536"/>
        <v>3.5800000000000001</v>
      </c>
      <c r="H1797" s="21">
        <f t="shared" si="536"/>
        <v>3.5800000000000001</v>
      </c>
      <c r="I1797" s="24" t="str">
        <f t="shared" si="537"/>
        <v xml:space="preserve">COM VALOR</v>
      </c>
      <c r="L1797" s="36">
        <v>3.5800000000000001</v>
      </c>
      <c r="M1797" s="37">
        <v>3.5800000000000001</v>
      </c>
      <c r="N1797" s="36">
        <v>3.5800000000000001</v>
      </c>
    </row>
    <row r="1798" ht="25.5">
      <c r="A1798" s="19" t="s">
        <v>10460</v>
      </c>
      <c r="B1798" s="19">
        <v>7272</v>
      </c>
      <c r="C1798" s="20" t="s">
        <v>12256</v>
      </c>
      <c r="D1798" s="19" t="s">
        <v>31</v>
      </c>
      <c r="E1798" s="19" t="s">
        <v>10459</v>
      </c>
      <c r="F1798" s="21">
        <f t="shared" si="536"/>
        <v>2.6899999999999999</v>
      </c>
      <c r="G1798" s="21">
        <f t="shared" si="536"/>
        <v>2.6899999999999999</v>
      </c>
      <c r="H1798" s="21">
        <f t="shared" si="536"/>
        <v>2.6899999999999999</v>
      </c>
      <c r="I1798" s="24" t="str">
        <f t="shared" si="537"/>
        <v xml:space="preserve">COM VALOR</v>
      </c>
      <c r="L1798" s="36">
        <v>2.6899999999999999</v>
      </c>
      <c r="M1798" s="37">
        <v>2.6899999999999999</v>
      </c>
      <c r="N1798" s="36">
        <v>2.6899999999999999</v>
      </c>
    </row>
    <row r="1799" ht="25.5">
      <c r="A1799" s="19" t="s">
        <v>10460</v>
      </c>
      <c r="B1799" s="19">
        <v>10605</v>
      </c>
      <c r="C1799" s="20" t="s">
        <v>12257</v>
      </c>
      <c r="D1799" s="19" t="s">
        <v>31</v>
      </c>
      <c r="E1799" s="19" t="s">
        <v>10459</v>
      </c>
      <c r="F1799" s="21">
        <f t="shared" si="536"/>
        <v>6.2999999999999998</v>
      </c>
      <c r="G1799" s="21">
        <f t="shared" si="536"/>
        <v>6.2999999999999998</v>
      </c>
      <c r="H1799" s="21">
        <f t="shared" si="536"/>
        <v>6.2999999999999998</v>
      </c>
      <c r="I1799" s="24" t="str">
        <f t="shared" si="537"/>
        <v xml:space="preserve">COM VALOR</v>
      </c>
      <c r="L1799" s="36">
        <v>6.2999999999999998</v>
      </c>
      <c r="M1799" s="37">
        <v>6.2999999999999998</v>
      </c>
      <c r="N1799" s="36">
        <v>6.2999999999999998</v>
      </c>
    </row>
    <row r="1800" ht="25.5">
      <c r="A1800" s="19" t="s">
        <v>10460</v>
      </c>
      <c r="B1800" s="19">
        <v>10604</v>
      </c>
      <c r="C1800" s="20" t="s">
        <v>12258</v>
      </c>
      <c r="D1800" s="19" t="s">
        <v>31</v>
      </c>
      <c r="E1800" s="19" t="s">
        <v>10459</v>
      </c>
      <c r="F1800" s="21">
        <f t="shared" si="536"/>
        <v>14.69</v>
      </c>
      <c r="G1800" s="21">
        <f t="shared" si="536"/>
        <v>14.69</v>
      </c>
      <c r="H1800" s="21">
        <f t="shared" si="536"/>
        <v>14.69</v>
      </c>
      <c r="I1800" s="24" t="str">
        <f t="shared" si="537"/>
        <v xml:space="preserve">COM VALOR</v>
      </c>
      <c r="L1800" s="36">
        <v>14.69</v>
      </c>
      <c r="M1800" s="37">
        <v>14.69</v>
      </c>
      <c r="N1800" s="36">
        <v>14.69</v>
      </c>
    </row>
    <row r="1801" ht="25.5">
      <c r="A1801" s="19" t="s">
        <v>10460</v>
      </c>
      <c r="B1801" s="19">
        <v>672</v>
      </c>
      <c r="C1801" s="20" t="s">
        <v>12259</v>
      </c>
      <c r="D1801" s="19" t="s">
        <v>31</v>
      </c>
      <c r="E1801" s="19" t="s">
        <v>10459</v>
      </c>
      <c r="F1801" s="21">
        <f t="shared" si="536"/>
        <v>20.199999999999999</v>
      </c>
      <c r="G1801" s="21">
        <f t="shared" si="536"/>
        <v>20.199999999999999</v>
      </c>
      <c r="H1801" s="21">
        <f t="shared" si="536"/>
        <v>20.199999999999999</v>
      </c>
      <c r="I1801" s="24" t="str">
        <f t="shared" si="537"/>
        <v xml:space="preserve">COM VALOR</v>
      </c>
      <c r="L1801" s="36">
        <v>20.199999999999999</v>
      </c>
      <c r="M1801" s="37">
        <v>20.199999999999999</v>
      </c>
      <c r="N1801" s="36">
        <v>20.199999999999999</v>
      </c>
    </row>
    <row r="1802" ht="25.5">
      <c r="A1802" s="19" t="s">
        <v>10460</v>
      </c>
      <c r="B1802" s="19">
        <v>668</v>
      </c>
      <c r="C1802" s="20" t="s">
        <v>12260</v>
      </c>
      <c r="D1802" s="19" t="s">
        <v>31</v>
      </c>
      <c r="E1802" s="19" t="s">
        <v>10459</v>
      </c>
      <c r="F1802" s="21">
        <f t="shared" si="536"/>
        <v>24.390000000000001</v>
      </c>
      <c r="G1802" s="21">
        <f t="shared" si="536"/>
        <v>24.390000000000001</v>
      </c>
      <c r="H1802" s="21">
        <f t="shared" si="536"/>
        <v>24.390000000000001</v>
      </c>
      <c r="I1802" s="24" t="str">
        <f t="shared" si="537"/>
        <v xml:space="preserve">COM VALOR</v>
      </c>
      <c r="L1802" s="36">
        <v>24.390000000000001</v>
      </c>
      <c r="M1802" s="37">
        <v>24.390000000000001</v>
      </c>
      <c r="N1802" s="36">
        <v>24.390000000000001</v>
      </c>
    </row>
    <row r="1803" ht="25.5">
      <c r="A1803" s="19" t="s">
        <v>10460</v>
      </c>
      <c r="B1803" s="19">
        <v>10578</v>
      </c>
      <c r="C1803" s="20" t="s">
        <v>12261</v>
      </c>
      <c r="D1803" s="19" t="s">
        <v>31</v>
      </c>
      <c r="E1803" s="19" t="s">
        <v>10459</v>
      </c>
      <c r="F1803" s="21">
        <f t="shared" ref="F1803:H1866" si="538">IF(L1803=0,"VERIFICAR",L1803)</f>
        <v>28.399999999999999</v>
      </c>
      <c r="G1803" s="21">
        <f t="shared" si="538"/>
        <v>28.399999999999999</v>
      </c>
      <c r="H1803" s="21">
        <f t="shared" si="538"/>
        <v>28.399999999999999</v>
      </c>
      <c r="I1803" s="24" t="str">
        <f t="shared" ref="I1803:I1866" si="539">IF(OR(L1803=0,M1803=0,N1803=0),"SEM VALOR","COM VALOR")</f>
        <v xml:space="preserve">COM VALOR</v>
      </c>
      <c r="L1803" s="36">
        <v>28.399999999999999</v>
      </c>
      <c r="M1803" s="37">
        <v>28.399999999999999</v>
      </c>
      <c r="N1803" s="36">
        <v>28.399999999999999</v>
      </c>
    </row>
    <row r="1804" ht="25.5">
      <c r="A1804" s="19" t="s">
        <v>10460</v>
      </c>
      <c r="B1804" s="19">
        <v>666</v>
      </c>
      <c r="C1804" s="20" t="s">
        <v>12262</v>
      </c>
      <c r="D1804" s="19" t="s">
        <v>31</v>
      </c>
      <c r="E1804" s="19" t="s">
        <v>10459</v>
      </c>
      <c r="F1804" s="21">
        <f t="shared" si="538"/>
        <v>31.59</v>
      </c>
      <c r="G1804" s="21">
        <f t="shared" si="538"/>
        <v>31.59</v>
      </c>
      <c r="H1804" s="21">
        <f t="shared" si="538"/>
        <v>31.59</v>
      </c>
      <c r="I1804" s="24" t="str">
        <f t="shared" si="539"/>
        <v xml:space="preserve">COM VALOR</v>
      </c>
      <c r="L1804" s="36">
        <v>31.59</v>
      </c>
      <c r="M1804" s="37">
        <v>31.59</v>
      </c>
      <c r="N1804" s="36">
        <v>31.59</v>
      </c>
    </row>
    <row r="1805" ht="25.5">
      <c r="A1805" s="19" t="s">
        <v>10460</v>
      </c>
      <c r="B1805" s="19">
        <v>665</v>
      </c>
      <c r="C1805" s="20" t="s">
        <v>12263</v>
      </c>
      <c r="D1805" s="19" t="s">
        <v>31</v>
      </c>
      <c r="E1805" s="19" t="s">
        <v>10459</v>
      </c>
      <c r="F1805" s="21">
        <f t="shared" si="538"/>
        <v>42.240000000000002</v>
      </c>
      <c r="G1805" s="21">
        <f t="shared" si="538"/>
        <v>42.240000000000002</v>
      </c>
      <c r="H1805" s="21">
        <f t="shared" si="538"/>
        <v>42.240000000000002</v>
      </c>
      <c r="I1805" s="24" t="str">
        <f t="shared" si="539"/>
        <v xml:space="preserve">COM VALOR</v>
      </c>
      <c r="L1805" s="36">
        <v>42.240000000000002</v>
      </c>
      <c r="M1805" s="37">
        <v>42.240000000000002</v>
      </c>
      <c r="N1805" s="36">
        <v>42.240000000000002</v>
      </c>
    </row>
    <row r="1806" ht="25.5">
      <c r="A1806" s="19" t="s">
        <v>10460</v>
      </c>
      <c r="B1806" s="19">
        <v>10577</v>
      </c>
      <c r="C1806" s="20" t="s">
        <v>12264</v>
      </c>
      <c r="D1806" s="19" t="s">
        <v>31</v>
      </c>
      <c r="E1806" s="19" t="s">
        <v>10459</v>
      </c>
      <c r="F1806" s="21">
        <f t="shared" si="538"/>
        <v>37.460000000000001</v>
      </c>
      <c r="G1806" s="21">
        <f t="shared" si="538"/>
        <v>37.460000000000001</v>
      </c>
      <c r="H1806" s="21">
        <f t="shared" si="538"/>
        <v>37.460000000000001</v>
      </c>
      <c r="I1806" s="24" t="str">
        <f t="shared" si="539"/>
        <v xml:space="preserve">COM VALOR</v>
      </c>
      <c r="L1806" s="36">
        <v>37.460000000000001</v>
      </c>
      <c r="M1806" s="37">
        <v>37.460000000000001</v>
      </c>
      <c r="N1806" s="36">
        <v>37.460000000000001</v>
      </c>
    </row>
    <row r="1807" ht="25.5">
      <c r="A1807" s="19" t="s">
        <v>10460</v>
      </c>
      <c r="B1807" s="19">
        <v>10583</v>
      </c>
      <c r="C1807" s="20" t="s">
        <v>12265</v>
      </c>
      <c r="D1807" s="19" t="s">
        <v>31</v>
      </c>
      <c r="E1807" s="19" t="s">
        <v>10459</v>
      </c>
      <c r="F1807" s="21">
        <f t="shared" si="538"/>
        <v>19.460000000000001</v>
      </c>
      <c r="G1807" s="21">
        <f t="shared" si="538"/>
        <v>19.460000000000001</v>
      </c>
      <c r="H1807" s="21">
        <f t="shared" si="538"/>
        <v>19.460000000000001</v>
      </c>
      <c r="I1807" s="24" t="str">
        <f t="shared" si="539"/>
        <v xml:space="preserve">COM VALOR</v>
      </c>
      <c r="L1807" s="36">
        <v>19.460000000000001</v>
      </c>
      <c r="M1807" s="37">
        <v>19.460000000000001</v>
      </c>
      <c r="N1807" s="36">
        <v>19.460000000000001</v>
      </c>
    </row>
    <row r="1808" ht="25.5">
      <c r="A1808" s="19" t="s">
        <v>10460</v>
      </c>
      <c r="B1808" s="19">
        <v>10579</v>
      </c>
      <c r="C1808" s="20" t="s">
        <v>12266</v>
      </c>
      <c r="D1808" s="19" t="s">
        <v>31</v>
      </c>
      <c r="E1808" s="19" t="s">
        <v>10459</v>
      </c>
      <c r="F1808" s="21">
        <f t="shared" si="538"/>
        <v>33.93</v>
      </c>
      <c r="G1808" s="21">
        <f t="shared" si="538"/>
        <v>33.93</v>
      </c>
      <c r="H1808" s="21">
        <f t="shared" si="538"/>
        <v>33.93</v>
      </c>
      <c r="I1808" s="24" t="str">
        <f t="shared" si="539"/>
        <v xml:space="preserve">COM VALOR</v>
      </c>
      <c r="L1808" s="36">
        <v>33.93</v>
      </c>
      <c r="M1808" s="37">
        <v>33.93</v>
      </c>
      <c r="N1808" s="36">
        <v>33.93</v>
      </c>
    </row>
    <row r="1809" ht="25.5">
      <c r="A1809" s="19" t="s">
        <v>10460</v>
      </c>
      <c r="B1809" s="19">
        <v>10582</v>
      </c>
      <c r="C1809" s="20" t="s">
        <v>12267</v>
      </c>
      <c r="D1809" s="19" t="s">
        <v>31</v>
      </c>
      <c r="E1809" s="19" t="s">
        <v>10459</v>
      </c>
      <c r="F1809" s="21">
        <f t="shared" si="538"/>
        <v>17.140000000000001</v>
      </c>
      <c r="G1809" s="21">
        <f t="shared" si="538"/>
        <v>17.140000000000001</v>
      </c>
      <c r="H1809" s="21">
        <f t="shared" si="538"/>
        <v>17.140000000000001</v>
      </c>
      <c r="I1809" s="24" t="str">
        <f t="shared" si="539"/>
        <v xml:space="preserve">COM VALOR</v>
      </c>
      <c r="L1809" s="36">
        <v>17.140000000000001</v>
      </c>
      <c r="M1809" s="37">
        <v>17.140000000000001</v>
      </c>
      <c r="N1809" s="36">
        <v>17.140000000000001</v>
      </c>
    </row>
    <row r="1810" ht="12.75">
      <c r="A1810" s="19" t="s">
        <v>10604</v>
      </c>
      <c r="B1810" s="19">
        <v>2436</v>
      </c>
      <c r="C1810" s="20" t="s">
        <v>12268</v>
      </c>
      <c r="D1810" s="19" t="s">
        <v>2032</v>
      </c>
      <c r="E1810" s="19" t="s">
        <v>10466</v>
      </c>
      <c r="F1810" s="21">
        <f t="shared" si="538"/>
        <v>23.550000000000001</v>
      </c>
      <c r="G1810" s="21">
        <f t="shared" si="538"/>
        <v>23.550000000000001</v>
      </c>
      <c r="H1810" s="21">
        <f t="shared" si="538"/>
        <v>23.550000000000001</v>
      </c>
      <c r="I1810" s="24" t="str">
        <f t="shared" si="539"/>
        <v xml:space="preserve">COM VALOR</v>
      </c>
      <c r="L1810" s="36">
        <v>23.550000000000001</v>
      </c>
      <c r="M1810" s="37">
        <v>23.550000000000001</v>
      </c>
      <c r="N1810" s="36">
        <v>23.550000000000001</v>
      </c>
    </row>
    <row r="1811" ht="12.75">
      <c r="A1811" s="19" t="s">
        <v>10604</v>
      </c>
      <c r="B1811" s="19">
        <v>40918</v>
      </c>
      <c r="C1811" s="20" t="s">
        <v>12269</v>
      </c>
      <c r="D1811" s="19" t="s">
        <v>7087</v>
      </c>
      <c r="E1811" s="19" t="s">
        <v>10459</v>
      </c>
      <c r="F1811" s="21">
        <f t="shared" si="538"/>
        <v>4121.79</v>
      </c>
      <c r="G1811" s="21">
        <f t="shared" si="538"/>
        <v>4121.79</v>
      </c>
      <c r="H1811" s="21">
        <f t="shared" si="538"/>
        <v>4121.79</v>
      </c>
      <c r="I1811" s="24" t="str">
        <f t="shared" si="539"/>
        <v xml:space="preserve">COM VALOR</v>
      </c>
      <c r="L1811" s="36">
        <v>4121.79</v>
      </c>
      <c r="M1811" s="37">
        <v>4121.79</v>
      </c>
      <c r="N1811" s="36">
        <v>4121.79</v>
      </c>
    </row>
    <row r="1812" ht="38.25">
      <c r="A1812" s="19" t="s">
        <v>10460</v>
      </c>
      <c r="B1812" s="19">
        <v>44046</v>
      </c>
      <c r="C1812" s="20" t="s">
        <v>12270</v>
      </c>
      <c r="D1812" s="19" t="s">
        <v>38</v>
      </c>
      <c r="E1812" s="19" t="s">
        <v>10459</v>
      </c>
      <c r="F1812" s="21" t="str">
        <f t="shared" si="538"/>
        <v>VERIFICAR</v>
      </c>
      <c r="G1812" s="21" t="str">
        <f t="shared" si="538"/>
        <v>VERIFICAR</v>
      </c>
      <c r="H1812" s="21" t="str">
        <f t="shared" si="538"/>
        <v>VERIFICAR</v>
      </c>
      <c r="I1812" s="24" t="str">
        <f t="shared" si="539"/>
        <v xml:space="preserve">SEM VALOR</v>
      </c>
      <c r="L1812" s="36"/>
      <c r="M1812" s="37"/>
      <c r="N1812" s="36"/>
    </row>
    <row r="1813" ht="38.25">
      <c r="A1813" s="19" t="s">
        <v>10460</v>
      </c>
      <c r="B1813" s="19">
        <v>44047</v>
      </c>
      <c r="C1813" s="20" t="s">
        <v>12271</v>
      </c>
      <c r="D1813" s="19" t="s">
        <v>38</v>
      </c>
      <c r="E1813" s="19" t="s">
        <v>10459</v>
      </c>
      <c r="F1813" s="21" t="str">
        <f t="shared" si="538"/>
        <v>VERIFICAR</v>
      </c>
      <c r="G1813" s="21" t="str">
        <f t="shared" si="538"/>
        <v>VERIFICAR</v>
      </c>
      <c r="H1813" s="21" t="str">
        <f t="shared" si="538"/>
        <v>VERIFICAR</v>
      </c>
      <c r="I1813" s="24" t="str">
        <f t="shared" si="539"/>
        <v xml:space="preserve">SEM VALOR</v>
      </c>
      <c r="L1813" s="36"/>
      <c r="M1813" s="37"/>
      <c r="N1813" s="36"/>
    </row>
    <row r="1814" ht="38.25">
      <c r="A1814" s="19" t="s">
        <v>10460</v>
      </c>
      <c r="B1814" s="19">
        <v>44043</v>
      </c>
      <c r="C1814" s="20" t="s">
        <v>12272</v>
      </c>
      <c r="D1814" s="19" t="s">
        <v>38</v>
      </c>
      <c r="E1814" s="19" t="s">
        <v>10459</v>
      </c>
      <c r="F1814" s="21" t="str">
        <f t="shared" si="538"/>
        <v>VERIFICAR</v>
      </c>
      <c r="G1814" s="21" t="str">
        <f t="shared" si="538"/>
        <v>VERIFICAR</v>
      </c>
      <c r="H1814" s="21" t="str">
        <f t="shared" si="538"/>
        <v>VERIFICAR</v>
      </c>
      <c r="I1814" s="24" t="str">
        <f t="shared" si="539"/>
        <v xml:space="preserve">SEM VALOR</v>
      </c>
      <c r="L1814" s="36"/>
      <c r="M1814" s="37"/>
      <c r="N1814" s="36"/>
    </row>
    <row r="1815" ht="38.25">
      <c r="A1815" s="19" t="s">
        <v>10460</v>
      </c>
      <c r="B1815" s="19">
        <v>44044</v>
      </c>
      <c r="C1815" s="20" t="s">
        <v>12273</v>
      </c>
      <c r="D1815" s="19" t="s">
        <v>38</v>
      </c>
      <c r="E1815" s="19" t="s">
        <v>10459</v>
      </c>
      <c r="F1815" s="21" t="str">
        <f t="shared" si="538"/>
        <v>VERIFICAR</v>
      </c>
      <c r="G1815" s="21" t="str">
        <f t="shared" si="538"/>
        <v>VERIFICAR</v>
      </c>
      <c r="H1815" s="21" t="str">
        <f t="shared" si="538"/>
        <v>VERIFICAR</v>
      </c>
      <c r="I1815" s="24" t="str">
        <f t="shared" si="539"/>
        <v xml:space="preserve">SEM VALOR</v>
      </c>
      <c r="L1815" s="36"/>
      <c r="M1815" s="37"/>
      <c r="N1815" s="36"/>
    </row>
    <row r="1816" ht="38.25">
      <c r="A1816" s="19" t="s">
        <v>10460</v>
      </c>
      <c r="B1816" s="19">
        <v>44041</v>
      </c>
      <c r="C1816" s="20" t="s">
        <v>12274</v>
      </c>
      <c r="D1816" s="19" t="s">
        <v>38</v>
      </c>
      <c r="E1816" s="19" t="s">
        <v>10459</v>
      </c>
      <c r="F1816" s="21" t="str">
        <f t="shared" si="538"/>
        <v>VERIFICAR</v>
      </c>
      <c r="G1816" s="21" t="str">
        <f t="shared" si="538"/>
        <v>VERIFICAR</v>
      </c>
      <c r="H1816" s="21" t="str">
        <f t="shared" si="538"/>
        <v>VERIFICAR</v>
      </c>
      <c r="I1816" s="24" t="str">
        <f t="shared" si="539"/>
        <v xml:space="preserve">SEM VALOR</v>
      </c>
      <c r="L1816" s="36"/>
      <c r="M1816" s="37"/>
      <c r="N1816" s="36"/>
    </row>
    <row r="1817" ht="38.25">
      <c r="A1817" s="19" t="s">
        <v>10460</v>
      </c>
      <c r="B1817" s="19">
        <v>44042</v>
      </c>
      <c r="C1817" s="20" t="s">
        <v>12275</v>
      </c>
      <c r="D1817" s="19" t="s">
        <v>38</v>
      </c>
      <c r="E1817" s="19" t="s">
        <v>10459</v>
      </c>
      <c r="F1817" s="21" t="str">
        <f t="shared" si="538"/>
        <v>VERIFICAR</v>
      </c>
      <c r="G1817" s="21" t="str">
        <f t="shared" si="538"/>
        <v>VERIFICAR</v>
      </c>
      <c r="H1817" s="21" t="str">
        <f t="shared" si="538"/>
        <v>VERIFICAR</v>
      </c>
      <c r="I1817" s="24" t="str">
        <f t="shared" si="539"/>
        <v xml:space="preserve">SEM VALOR</v>
      </c>
      <c r="L1817" s="36"/>
      <c r="M1817" s="37"/>
      <c r="N1817" s="36"/>
    </row>
    <row r="1818" ht="38.25">
      <c r="A1818" s="19" t="s">
        <v>10460</v>
      </c>
      <c r="B1818" s="19">
        <v>43961</v>
      </c>
      <c r="C1818" s="20" t="s">
        <v>12276</v>
      </c>
      <c r="D1818" s="19" t="s">
        <v>38</v>
      </c>
      <c r="E1818" s="19" t="s">
        <v>10466</v>
      </c>
      <c r="F1818" s="21" t="str">
        <f t="shared" si="538"/>
        <v>VERIFICAR</v>
      </c>
      <c r="G1818" s="21" t="str">
        <f t="shared" si="538"/>
        <v>VERIFICAR</v>
      </c>
      <c r="H1818" s="21" t="str">
        <f t="shared" si="538"/>
        <v>VERIFICAR</v>
      </c>
      <c r="I1818" s="24" t="str">
        <f t="shared" si="539"/>
        <v xml:space="preserve">SEM VALOR</v>
      </c>
      <c r="L1818" s="36"/>
      <c r="M1818" s="37"/>
      <c r="N1818" s="36"/>
    </row>
    <row r="1819" ht="38.25">
      <c r="A1819" s="19" t="s">
        <v>10460</v>
      </c>
      <c r="B1819" s="19">
        <v>43959</v>
      </c>
      <c r="C1819" s="20" t="s">
        <v>12277</v>
      </c>
      <c r="D1819" s="19" t="s">
        <v>38</v>
      </c>
      <c r="E1819" s="19" t="s">
        <v>10459</v>
      </c>
      <c r="F1819" s="21" t="str">
        <f t="shared" si="538"/>
        <v>VERIFICAR</v>
      </c>
      <c r="G1819" s="21" t="str">
        <f t="shared" si="538"/>
        <v>VERIFICAR</v>
      </c>
      <c r="H1819" s="21" t="str">
        <f t="shared" si="538"/>
        <v>VERIFICAR</v>
      </c>
      <c r="I1819" s="24" t="str">
        <f t="shared" si="539"/>
        <v xml:space="preserve">SEM VALOR</v>
      </c>
      <c r="L1819" s="36"/>
      <c r="M1819" s="37"/>
      <c r="N1819" s="36"/>
    </row>
    <row r="1820" ht="38.25">
      <c r="A1820" s="19" t="s">
        <v>10460</v>
      </c>
      <c r="B1820" s="19">
        <v>43962</v>
      </c>
      <c r="C1820" s="20" t="s">
        <v>12278</v>
      </c>
      <c r="D1820" s="19" t="s">
        <v>38</v>
      </c>
      <c r="E1820" s="19" t="s">
        <v>10459</v>
      </c>
      <c r="F1820" s="21" t="str">
        <f t="shared" si="538"/>
        <v>VERIFICAR</v>
      </c>
      <c r="G1820" s="21" t="str">
        <f t="shared" si="538"/>
        <v>VERIFICAR</v>
      </c>
      <c r="H1820" s="21" t="str">
        <f t="shared" si="538"/>
        <v>VERIFICAR</v>
      </c>
      <c r="I1820" s="24" t="str">
        <f t="shared" si="539"/>
        <v xml:space="preserve">SEM VALOR</v>
      </c>
      <c r="L1820" s="36"/>
      <c r="M1820" s="37"/>
      <c r="N1820" s="36"/>
    </row>
    <row r="1821" ht="38.25">
      <c r="A1821" s="19" t="s">
        <v>10460</v>
      </c>
      <c r="B1821" s="19">
        <v>43960</v>
      </c>
      <c r="C1821" s="20" t="s">
        <v>12279</v>
      </c>
      <c r="D1821" s="19" t="s">
        <v>38</v>
      </c>
      <c r="E1821" s="19" t="s">
        <v>10459</v>
      </c>
      <c r="F1821" s="21" t="str">
        <f t="shared" si="538"/>
        <v>VERIFICAR</v>
      </c>
      <c r="G1821" s="21" t="str">
        <f t="shared" si="538"/>
        <v>VERIFICAR</v>
      </c>
      <c r="H1821" s="21" t="str">
        <f t="shared" si="538"/>
        <v>VERIFICAR</v>
      </c>
      <c r="I1821" s="24" t="str">
        <f t="shared" si="539"/>
        <v xml:space="preserve">SEM VALOR</v>
      </c>
      <c r="L1821" s="36"/>
      <c r="M1821" s="37"/>
      <c r="N1821" s="36"/>
    </row>
    <row r="1822" ht="38.25">
      <c r="A1822" s="19" t="s">
        <v>10460</v>
      </c>
      <c r="B1822" s="19">
        <v>43963</v>
      </c>
      <c r="C1822" s="20" t="s">
        <v>12280</v>
      </c>
      <c r="D1822" s="19" t="s">
        <v>38</v>
      </c>
      <c r="E1822" s="19" t="s">
        <v>10459</v>
      </c>
      <c r="F1822" s="21" t="str">
        <f t="shared" si="538"/>
        <v>VERIFICAR</v>
      </c>
      <c r="G1822" s="21" t="str">
        <f t="shared" si="538"/>
        <v>VERIFICAR</v>
      </c>
      <c r="H1822" s="21" t="str">
        <f t="shared" si="538"/>
        <v>VERIFICAR</v>
      </c>
      <c r="I1822" s="24" t="str">
        <f t="shared" si="539"/>
        <v xml:space="preserve">SEM VALOR</v>
      </c>
      <c r="L1822" s="36"/>
      <c r="M1822" s="37"/>
      <c r="N1822" s="36"/>
    </row>
    <row r="1823" ht="38.25">
      <c r="A1823" s="19" t="s">
        <v>10460</v>
      </c>
      <c r="B1823" s="19">
        <v>43958</v>
      </c>
      <c r="C1823" s="20" t="s">
        <v>12281</v>
      </c>
      <c r="D1823" s="19" t="s">
        <v>38</v>
      </c>
      <c r="E1823" s="19" t="s">
        <v>10459</v>
      </c>
      <c r="F1823" s="21" t="str">
        <f t="shared" si="538"/>
        <v>VERIFICAR</v>
      </c>
      <c r="G1823" s="21" t="str">
        <f t="shared" si="538"/>
        <v>VERIFICAR</v>
      </c>
      <c r="H1823" s="21" t="str">
        <f t="shared" si="538"/>
        <v>VERIFICAR</v>
      </c>
      <c r="I1823" s="24" t="str">
        <f t="shared" si="539"/>
        <v xml:space="preserve">SEM VALOR</v>
      </c>
      <c r="L1823" s="36"/>
      <c r="M1823" s="37"/>
      <c r="N1823" s="36"/>
    </row>
    <row r="1824" ht="38.25">
      <c r="A1824" s="19" t="s">
        <v>10460</v>
      </c>
      <c r="B1824" s="19">
        <v>41549</v>
      </c>
      <c r="C1824" s="20" t="s">
        <v>12282</v>
      </c>
      <c r="D1824" s="19" t="s">
        <v>38</v>
      </c>
      <c r="E1824" s="19" t="s">
        <v>10459</v>
      </c>
      <c r="F1824" s="21" t="str">
        <f t="shared" si="538"/>
        <v>VERIFICAR</v>
      </c>
      <c r="G1824" s="21" t="str">
        <f t="shared" si="538"/>
        <v>VERIFICAR</v>
      </c>
      <c r="H1824" s="21" t="str">
        <f t="shared" si="538"/>
        <v>VERIFICAR</v>
      </c>
      <c r="I1824" s="24" t="str">
        <f t="shared" si="539"/>
        <v xml:space="preserve">SEM VALOR</v>
      </c>
      <c r="L1824" s="36"/>
      <c r="M1824" s="37"/>
      <c r="N1824" s="36"/>
    </row>
    <row r="1825" ht="25.5">
      <c r="A1825" s="19" t="s">
        <v>10460</v>
      </c>
      <c r="B1825" s="19">
        <v>10998</v>
      </c>
      <c r="C1825" s="20" t="s">
        <v>12283</v>
      </c>
      <c r="D1825" s="19" t="s">
        <v>302</v>
      </c>
      <c r="E1825" s="19" t="s">
        <v>10459</v>
      </c>
      <c r="F1825" s="21">
        <f t="shared" si="538"/>
        <v>37.009999999999998</v>
      </c>
      <c r="G1825" s="21">
        <f t="shared" si="538"/>
        <v>37.009999999999998</v>
      </c>
      <c r="H1825" s="21">
        <f t="shared" si="538"/>
        <v>37.009999999999998</v>
      </c>
      <c r="I1825" s="24" t="str">
        <f t="shared" si="539"/>
        <v xml:space="preserve">COM VALOR</v>
      </c>
      <c r="L1825" s="36">
        <v>37.009999999999998</v>
      </c>
      <c r="M1825" s="37">
        <v>37.009999999999998</v>
      </c>
      <c r="N1825" s="36">
        <v>37.009999999999998</v>
      </c>
    </row>
    <row r="1826" ht="25.5">
      <c r="A1826" s="19" t="s">
        <v>10460</v>
      </c>
      <c r="B1826" s="19">
        <v>11002</v>
      </c>
      <c r="C1826" s="20" t="s">
        <v>12284</v>
      </c>
      <c r="D1826" s="19" t="s">
        <v>302</v>
      </c>
      <c r="E1826" s="19" t="s">
        <v>10459</v>
      </c>
      <c r="F1826" s="21">
        <f t="shared" si="538"/>
        <v>33.909999999999997</v>
      </c>
      <c r="G1826" s="21">
        <f t="shared" si="538"/>
        <v>33.909999999999997</v>
      </c>
      <c r="H1826" s="21">
        <f t="shared" si="538"/>
        <v>33.909999999999997</v>
      </c>
      <c r="I1826" s="24" t="str">
        <f t="shared" si="539"/>
        <v xml:space="preserve">COM VALOR</v>
      </c>
      <c r="L1826" s="36">
        <v>33.909999999999997</v>
      </c>
      <c r="M1826" s="37">
        <v>33.909999999999997</v>
      </c>
      <c r="N1826" s="36">
        <v>33.909999999999997</v>
      </c>
    </row>
    <row r="1827" ht="25.5">
      <c r="A1827" s="19" t="s">
        <v>10460</v>
      </c>
      <c r="B1827" s="19">
        <v>10999</v>
      </c>
      <c r="C1827" s="20" t="s">
        <v>12285</v>
      </c>
      <c r="D1827" s="19" t="s">
        <v>302</v>
      </c>
      <c r="E1827" s="19" t="s">
        <v>10459</v>
      </c>
      <c r="F1827" s="21">
        <f t="shared" si="538"/>
        <v>32.579999999999998</v>
      </c>
      <c r="G1827" s="21">
        <f t="shared" si="538"/>
        <v>32.579999999999998</v>
      </c>
      <c r="H1827" s="21">
        <f t="shared" si="538"/>
        <v>32.579999999999998</v>
      </c>
      <c r="I1827" s="24" t="str">
        <f t="shared" si="539"/>
        <v xml:space="preserve">COM VALOR</v>
      </c>
      <c r="L1827" s="36">
        <v>32.579999999999998</v>
      </c>
      <c r="M1827" s="37">
        <v>32.579999999999998</v>
      </c>
      <c r="N1827" s="36">
        <v>32.579999999999998</v>
      </c>
    </row>
    <row r="1828" ht="25.5">
      <c r="A1828" s="19" t="s">
        <v>10460</v>
      </c>
      <c r="B1828" s="19">
        <v>10997</v>
      </c>
      <c r="C1828" s="20" t="s">
        <v>12286</v>
      </c>
      <c r="D1828" s="19" t="s">
        <v>302</v>
      </c>
      <c r="E1828" s="19" t="s">
        <v>10466</v>
      </c>
      <c r="F1828" s="21">
        <f t="shared" si="538"/>
        <v>35.310000000000002</v>
      </c>
      <c r="G1828" s="21">
        <f t="shared" si="538"/>
        <v>35.310000000000002</v>
      </c>
      <c r="H1828" s="21">
        <f t="shared" si="538"/>
        <v>35.310000000000002</v>
      </c>
      <c r="I1828" s="24" t="str">
        <f t="shared" si="539"/>
        <v xml:space="preserve">COM VALOR</v>
      </c>
      <c r="L1828" s="36">
        <v>35.310000000000002</v>
      </c>
      <c r="M1828" s="37">
        <v>35.310000000000002</v>
      </c>
      <c r="N1828" s="36">
        <v>35.310000000000002</v>
      </c>
    </row>
    <row r="1829" ht="12.75">
      <c r="A1829" s="19" t="s">
        <v>10460</v>
      </c>
      <c r="B1829" s="19">
        <v>2680</v>
      </c>
      <c r="C1829" s="20" t="s">
        <v>12287</v>
      </c>
      <c r="D1829" s="19" t="s">
        <v>38</v>
      </c>
      <c r="E1829" s="19" t="s">
        <v>10459</v>
      </c>
      <c r="F1829" s="21">
        <f t="shared" si="538"/>
        <v>11.960000000000001</v>
      </c>
      <c r="G1829" s="21">
        <f t="shared" si="538"/>
        <v>11.960000000000001</v>
      </c>
      <c r="H1829" s="21">
        <f t="shared" si="538"/>
        <v>11.960000000000001</v>
      </c>
      <c r="I1829" s="24" t="str">
        <f t="shared" si="539"/>
        <v xml:space="preserve">COM VALOR</v>
      </c>
      <c r="L1829" s="36">
        <v>11.960000000000001</v>
      </c>
      <c r="M1829" s="37">
        <v>11.960000000000001</v>
      </c>
      <c r="N1829" s="36">
        <v>11.960000000000001</v>
      </c>
    </row>
    <row r="1830" ht="12.75">
      <c r="A1830" s="19" t="s">
        <v>10460</v>
      </c>
      <c r="B1830" s="19">
        <v>2684</v>
      </c>
      <c r="C1830" s="20" t="s">
        <v>12288</v>
      </c>
      <c r="D1830" s="19" t="s">
        <v>38</v>
      </c>
      <c r="E1830" s="19" t="s">
        <v>10459</v>
      </c>
      <c r="F1830" s="21">
        <f t="shared" si="538"/>
        <v>10.880000000000001</v>
      </c>
      <c r="G1830" s="21">
        <f t="shared" si="538"/>
        <v>10.880000000000001</v>
      </c>
      <c r="H1830" s="21">
        <f t="shared" si="538"/>
        <v>10.880000000000001</v>
      </c>
      <c r="I1830" s="24" t="str">
        <f t="shared" si="539"/>
        <v xml:space="preserve">COM VALOR</v>
      </c>
      <c r="L1830" s="36">
        <v>10.880000000000001</v>
      </c>
      <c r="M1830" s="37">
        <v>10.880000000000001</v>
      </c>
      <c r="N1830" s="36">
        <v>10.880000000000001</v>
      </c>
    </row>
    <row r="1831" ht="12.75">
      <c r="A1831" s="19" t="s">
        <v>10460</v>
      </c>
      <c r="B1831" s="19">
        <v>2685</v>
      </c>
      <c r="C1831" s="20" t="s">
        <v>12289</v>
      </c>
      <c r="D1831" s="19" t="s">
        <v>38</v>
      </c>
      <c r="E1831" s="19" t="s">
        <v>10459</v>
      </c>
      <c r="F1831" s="21">
        <f t="shared" si="538"/>
        <v>8.1699999999999999</v>
      </c>
      <c r="G1831" s="21">
        <f t="shared" si="538"/>
        <v>8.1699999999999999</v>
      </c>
      <c r="H1831" s="21">
        <f t="shared" si="538"/>
        <v>8.1699999999999999</v>
      </c>
      <c r="I1831" s="24" t="str">
        <f t="shared" si="539"/>
        <v xml:space="preserve">COM VALOR</v>
      </c>
      <c r="L1831" s="36">
        <v>8.1699999999999999</v>
      </c>
      <c r="M1831" s="37">
        <v>8.1699999999999999</v>
      </c>
      <c r="N1831" s="36">
        <v>8.1699999999999999</v>
      </c>
    </row>
    <row r="1832" ht="12.75">
      <c r="A1832" s="19" t="s">
        <v>10460</v>
      </c>
      <c r="B1832" s="19">
        <v>2673</v>
      </c>
      <c r="C1832" s="20" t="s">
        <v>12290</v>
      </c>
      <c r="D1832" s="19" t="s">
        <v>38</v>
      </c>
      <c r="E1832" s="19" t="s">
        <v>10466</v>
      </c>
      <c r="F1832" s="21">
        <f t="shared" si="538"/>
        <v>4.2000000000000002</v>
      </c>
      <c r="G1832" s="21">
        <f t="shared" si="538"/>
        <v>4.2000000000000002</v>
      </c>
      <c r="H1832" s="21">
        <f t="shared" si="538"/>
        <v>4.2000000000000002</v>
      </c>
      <c r="I1832" s="24" t="str">
        <f t="shared" si="539"/>
        <v xml:space="preserve">COM VALOR</v>
      </c>
      <c r="L1832" s="36">
        <v>4.2000000000000002</v>
      </c>
      <c r="M1832" s="37">
        <v>4.2000000000000002</v>
      </c>
      <c r="N1832" s="36">
        <v>4.2000000000000002</v>
      </c>
    </row>
    <row r="1833" ht="12.75">
      <c r="A1833" s="19" t="s">
        <v>10460</v>
      </c>
      <c r="B1833" s="19">
        <v>2682</v>
      </c>
      <c r="C1833" s="20" t="s">
        <v>12291</v>
      </c>
      <c r="D1833" s="19" t="s">
        <v>38</v>
      </c>
      <c r="E1833" s="19" t="s">
        <v>10459</v>
      </c>
      <c r="F1833" s="21">
        <f t="shared" si="538"/>
        <v>28.510000000000002</v>
      </c>
      <c r="G1833" s="21">
        <f t="shared" si="538"/>
        <v>28.510000000000002</v>
      </c>
      <c r="H1833" s="21">
        <f t="shared" si="538"/>
        <v>28.510000000000002</v>
      </c>
      <c r="I1833" s="24" t="str">
        <f t="shared" si="539"/>
        <v xml:space="preserve">COM VALOR</v>
      </c>
      <c r="L1833" s="36">
        <v>28.510000000000002</v>
      </c>
      <c r="M1833" s="37">
        <v>28.510000000000002</v>
      </c>
      <c r="N1833" s="36">
        <v>28.510000000000002</v>
      </c>
    </row>
    <row r="1834" ht="12.75">
      <c r="A1834" s="19" t="s">
        <v>10460</v>
      </c>
      <c r="B1834" s="19">
        <v>2681</v>
      </c>
      <c r="C1834" s="20" t="s">
        <v>12292</v>
      </c>
      <c r="D1834" s="19" t="s">
        <v>38</v>
      </c>
      <c r="E1834" s="19" t="s">
        <v>10459</v>
      </c>
      <c r="F1834" s="21">
        <f t="shared" si="538"/>
        <v>19.539999999999999</v>
      </c>
      <c r="G1834" s="21">
        <f t="shared" si="538"/>
        <v>19.539999999999999</v>
      </c>
      <c r="H1834" s="21">
        <f t="shared" si="538"/>
        <v>19.539999999999999</v>
      </c>
      <c r="I1834" s="24" t="str">
        <f t="shared" si="539"/>
        <v xml:space="preserve">COM VALOR</v>
      </c>
      <c r="L1834" s="36">
        <v>19.539999999999999</v>
      </c>
      <c r="M1834" s="37">
        <v>19.539999999999999</v>
      </c>
      <c r="N1834" s="36">
        <v>19.539999999999999</v>
      </c>
    </row>
    <row r="1835" ht="12.75">
      <c r="A1835" s="19" t="s">
        <v>10460</v>
      </c>
      <c r="B1835" s="19">
        <v>2686</v>
      </c>
      <c r="C1835" s="20" t="s">
        <v>12293</v>
      </c>
      <c r="D1835" s="19" t="s">
        <v>38</v>
      </c>
      <c r="E1835" s="19" t="s">
        <v>10459</v>
      </c>
      <c r="F1835" s="21">
        <f t="shared" si="538"/>
        <v>35.759999999999998</v>
      </c>
      <c r="G1835" s="21">
        <f t="shared" si="538"/>
        <v>35.759999999999998</v>
      </c>
      <c r="H1835" s="21">
        <f t="shared" si="538"/>
        <v>35.759999999999998</v>
      </c>
      <c r="I1835" s="24" t="str">
        <f t="shared" si="539"/>
        <v xml:space="preserve">COM VALOR</v>
      </c>
      <c r="L1835" s="36">
        <v>35.759999999999998</v>
      </c>
      <c r="M1835" s="37">
        <v>35.759999999999998</v>
      </c>
      <c r="N1835" s="36">
        <v>35.759999999999998</v>
      </c>
    </row>
    <row r="1836" ht="12.75">
      <c r="A1836" s="19" t="s">
        <v>10460</v>
      </c>
      <c r="B1836" s="19">
        <v>2674</v>
      </c>
      <c r="C1836" s="20" t="s">
        <v>12294</v>
      </c>
      <c r="D1836" s="19" t="s">
        <v>38</v>
      </c>
      <c r="E1836" s="19" t="s">
        <v>10459</v>
      </c>
      <c r="F1836" s="21">
        <f t="shared" si="538"/>
        <v>5.2300000000000004</v>
      </c>
      <c r="G1836" s="21">
        <f t="shared" si="538"/>
        <v>5.2300000000000004</v>
      </c>
      <c r="H1836" s="21">
        <f t="shared" si="538"/>
        <v>5.2300000000000004</v>
      </c>
      <c r="I1836" s="24" t="str">
        <f t="shared" si="539"/>
        <v xml:space="preserve">COM VALOR</v>
      </c>
      <c r="L1836" s="36">
        <v>5.2300000000000004</v>
      </c>
      <c r="M1836" s="37">
        <v>5.2300000000000004</v>
      </c>
      <c r="N1836" s="36">
        <v>5.2300000000000004</v>
      </c>
    </row>
    <row r="1837" ht="12.75">
      <c r="A1837" s="19" t="s">
        <v>10460</v>
      </c>
      <c r="B1837" s="19">
        <v>2683</v>
      </c>
      <c r="C1837" s="20" t="s">
        <v>12295</v>
      </c>
      <c r="D1837" s="19" t="s">
        <v>38</v>
      </c>
      <c r="E1837" s="19" t="s">
        <v>10459</v>
      </c>
      <c r="F1837" s="21">
        <f t="shared" si="538"/>
        <v>56.340000000000003</v>
      </c>
      <c r="G1837" s="21">
        <f t="shared" si="538"/>
        <v>56.340000000000003</v>
      </c>
      <c r="H1837" s="21">
        <f t="shared" si="538"/>
        <v>56.340000000000003</v>
      </c>
      <c r="I1837" s="24" t="str">
        <f t="shared" si="539"/>
        <v xml:space="preserve">COM VALOR</v>
      </c>
      <c r="L1837" s="36">
        <v>56.340000000000003</v>
      </c>
      <c r="M1837" s="37">
        <v>56.340000000000003</v>
      </c>
      <c r="N1837" s="36">
        <v>56.340000000000003</v>
      </c>
    </row>
    <row r="1838" ht="12.75">
      <c r="A1838" s="19" t="s">
        <v>10460</v>
      </c>
      <c r="B1838" s="19">
        <v>2676</v>
      </c>
      <c r="C1838" s="20" t="s">
        <v>12296</v>
      </c>
      <c r="D1838" s="19" t="s">
        <v>38</v>
      </c>
      <c r="E1838" s="19" t="s">
        <v>10459</v>
      </c>
      <c r="F1838" s="21">
        <f t="shared" si="538"/>
        <v>2.4399999999999999</v>
      </c>
      <c r="G1838" s="21">
        <f t="shared" si="538"/>
        <v>2.4399999999999999</v>
      </c>
      <c r="H1838" s="21">
        <f t="shared" si="538"/>
        <v>2.4399999999999999</v>
      </c>
      <c r="I1838" s="24" t="str">
        <f t="shared" si="539"/>
        <v xml:space="preserve">COM VALOR</v>
      </c>
      <c r="L1838" s="36">
        <v>2.4399999999999999</v>
      </c>
      <c r="M1838" s="37">
        <v>2.4399999999999999</v>
      </c>
      <c r="N1838" s="36">
        <v>2.4399999999999999</v>
      </c>
    </row>
    <row r="1839" ht="12.75">
      <c r="A1839" s="19" t="s">
        <v>10460</v>
      </c>
      <c r="B1839" s="19">
        <v>2678</v>
      </c>
      <c r="C1839" s="20" t="s">
        <v>12297</v>
      </c>
      <c r="D1839" s="19" t="s">
        <v>38</v>
      </c>
      <c r="E1839" s="19" t="s">
        <v>10459</v>
      </c>
      <c r="F1839" s="21">
        <f t="shared" si="538"/>
        <v>3.0600000000000001</v>
      </c>
      <c r="G1839" s="21">
        <f t="shared" si="538"/>
        <v>3.0600000000000001</v>
      </c>
      <c r="H1839" s="21">
        <f t="shared" si="538"/>
        <v>3.0600000000000001</v>
      </c>
      <c r="I1839" s="24" t="str">
        <f t="shared" si="539"/>
        <v xml:space="preserve">COM VALOR</v>
      </c>
      <c r="L1839" s="36">
        <v>3.0600000000000001</v>
      </c>
      <c r="M1839" s="37">
        <v>3.0600000000000001</v>
      </c>
      <c r="N1839" s="36">
        <v>3.0600000000000001</v>
      </c>
    </row>
    <row r="1840" ht="12.75">
      <c r="A1840" s="19" t="s">
        <v>10460</v>
      </c>
      <c r="B1840" s="19">
        <v>2679</v>
      </c>
      <c r="C1840" s="20" t="s">
        <v>12298</v>
      </c>
      <c r="D1840" s="19" t="s">
        <v>38</v>
      </c>
      <c r="E1840" s="19" t="s">
        <v>10459</v>
      </c>
      <c r="F1840" s="21">
        <f t="shared" si="538"/>
        <v>4.71</v>
      </c>
      <c r="G1840" s="21">
        <f t="shared" si="538"/>
        <v>4.71</v>
      </c>
      <c r="H1840" s="21">
        <f t="shared" si="538"/>
        <v>4.71</v>
      </c>
      <c r="I1840" s="24" t="str">
        <f t="shared" si="539"/>
        <v xml:space="preserve">COM VALOR</v>
      </c>
      <c r="L1840" s="36">
        <v>4.71</v>
      </c>
      <c r="M1840" s="37">
        <v>4.71</v>
      </c>
      <c r="N1840" s="36">
        <v>4.71</v>
      </c>
    </row>
    <row r="1841" ht="12.75">
      <c r="A1841" s="19" t="s">
        <v>10460</v>
      </c>
      <c r="B1841" s="19">
        <v>12070</v>
      </c>
      <c r="C1841" s="20" t="s">
        <v>12299</v>
      </c>
      <c r="D1841" s="19" t="s">
        <v>38</v>
      </c>
      <c r="E1841" s="19" t="s">
        <v>10459</v>
      </c>
      <c r="F1841" s="21">
        <f t="shared" si="538"/>
        <v>6.5599999999999996</v>
      </c>
      <c r="G1841" s="21">
        <f t="shared" si="538"/>
        <v>6.5599999999999996</v>
      </c>
      <c r="H1841" s="21">
        <f t="shared" si="538"/>
        <v>6.5599999999999996</v>
      </c>
      <c r="I1841" s="24" t="str">
        <f t="shared" si="539"/>
        <v xml:space="preserve">COM VALOR</v>
      </c>
      <c r="L1841" s="36">
        <v>6.5599999999999996</v>
      </c>
      <c r="M1841" s="37">
        <v>6.5599999999999996</v>
      </c>
      <c r="N1841" s="36">
        <v>6.5599999999999996</v>
      </c>
    </row>
    <row r="1842" ht="12.75">
      <c r="A1842" s="19" t="s">
        <v>10460</v>
      </c>
      <c r="B1842" s="19">
        <v>2675</v>
      </c>
      <c r="C1842" s="20" t="s">
        <v>12300</v>
      </c>
      <c r="D1842" s="19" t="s">
        <v>38</v>
      </c>
      <c r="E1842" s="19" t="s">
        <v>10459</v>
      </c>
      <c r="F1842" s="21">
        <f t="shared" si="538"/>
        <v>8.5299999999999994</v>
      </c>
      <c r="G1842" s="21">
        <f t="shared" si="538"/>
        <v>8.5299999999999994</v>
      </c>
      <c r="H1842" s="21">
        <f t="shared" si="538"/>
        <v>8.5299999999999994</v>
      </c>
      <c r="I1842" s="24" t="str">
        <f t="shared" si="539"/>
        <v xml:space="preserve">COM VALOR</v>
      </c>
      <c r="L1842" s="36">
        <v>8.5299999999999994</v>
      </c>
      <c r="M1842" s="37">
        <v>8.5299999999999994</v>
      </c>
      <c r="N1842" s="36">
        <v>8.5299999999999994</v>
      </c>
    </row>
    <row r="1843" ht="12.75">
      <c r="A1843" s="19" t="s">
        <v>10460</v>
      </c>
      <c r="B1843" s="19">
        <v>12067</v>
      </c>
      <c r="C1843" s="20" t="s">
        <v>12301</v>
      </c>
      <c r="D1843" s="19" t="s">
        <v>38</v>
      </c>
      <c r="E1843" s="19" t="s">
        <v>10459</v>
      </c>
      <c r="F1843" s="21">
        <f t="shared" si="538"/>
        <v>11.57</v>
      </c>
      <c r="G1843" s="21">
        <f t="shared" si="538"/>
        <v>11.57</v>
      </c>
      <c r="H1843" s="21">
        <f t="shared" si="538"/>
        <v>11.57</v>
      </c>
      <c r="I1843" s="24" t="str">
        <f t="shared" si="539"/>
        <v xml:space="preserve">COM VALOR</v>
      </c>
      <c r="L1843" s="36">
        <v>11.57</v>
      </c>
      <c r="M1843" s="37">
        <v>11.57</v>
      </c>
      <c r="N1843" s="36">
        <v>11.57</v>
      </c>
    </row>
    <row r="1844" ht="25.5">
      <c r="A1844" s="19" t="s">
        <v>10460</v>
      </c>
      <c r="B1844" s="19">
        <v>21128</v>
      </c>
      <c r="C1844" s="20" t="s">
        <v>12302</v>
      </c>
      <c r="D1844" s="19" t="s">
        <v>38</v>
      </c>
      <c r="E1844" s="19" t="s">
        <v>10466</v>
      </c>
      <c r="F1844" s="21">
        <f t="shared" si="538"/>
        <v>7.7199999999999998</v>
      </c>
      <c r="G1844" s="21">
        <f t="shared" si="538"/>
        <v>7.7199999999999998</v>
      </c>
      <c r="H1844" s="21">
        <f t="shared" si="538"/>
        <v>7.7199999999999998</v>
      </c>
      <c r="I1844" s="24" t="str">
        <f t="shared" si="539"/>
        <v xml:space="preserve">COM VALOR</v>
      </c>
      <c r="L1844" s="36">
        <v>7.7199999999999998</v>
      </c>
      <c r="M1844" s="37">
        <v>7.7199999999999998</v>
      </c>
      <c r="N1844" s="36">
        <v>7.7199999999999998</v>
      </c>
    </row>
    <row r="1845" ht="25.5">
      <c r="A1845" s="19" t="s">
        <v>10460</v>
      </c>
      <c r="B1845" s="19">
        <v>40400</v>
      </c>
      <c r="C1845" s="20" t="s">
        <v>12303</v>
      </c>
      <c r="D1845" s="19" t="s">
        <v>38</v>
      </c>
      <c r="E1845" s="19" t="s">
        <v>10459</v>
      </c>
      <c r="F1845" s="21">
        <f t="shared" si="538"/>
        <v>2.0499999999999998</v>
      </c>
      <c r="G1845" s="21">
        <f t="shared" si="538"/>
        <v>2.0499999999999998</v>
      </c>
      <c r="H1845" s="21">
        <f t="shared" si="538"/>
        <v>2.0499999999999998</v>
      </c>
      <c r="I1845" s="24" t="str">
        <f t="shared" si="539"/>
        <v xml:space="preserve">COM VALOR</v>
      </c>
      <c r="L1845" s="36">
        <v>2.0499999999999998</v>
      </c>
      <c r="M1845" s="37">
        <v>2.0499999999999998</v>
      </c>
      <c r="N1845" s="36">
        <v>2.0499999999999998</v>
      </c>
    </row>
    <row r="1846" ht="25.5">
      <c r="A1846" s="19" t="s">
        <v>10460</v>
      </c>
      <c r="B1846" s="19">
        <v>40401</v>
      </c>
      <c r="C1846" s="20" t="s">
        <v>12304</v>
      </c>
      <c r="D1846" s="19" t="s">
        <v>38</v>
      </c>
      <c r="E1846" s="19" t="s">
        <v>10459</v>
      </c>
      <c r="F1846" s="21">
        <f t="shared" si="538"/>
        <v>3.02</v>
      </c>
      <c r="G1846" s="21">
        <f t="shared" si="538"/>
        <v>3.02</v>
      </c>
      <c r="H1846" s="21">
        <f t="shared" si="538"/>
        <v>3.02</v>
      </c>
      <c r="I1846" s="24" t="str">
        <f t="shared" si="539"/>
        <v xml:space="preserve">COM VALOR</v>
      </c>
      <c r="L1846" s="36">
        <v>3.02</v>
      </c>
      <c r="M1846" s="37">
        <v>3.02</v>
      </c>
      <c r="N1846" s="36">
        <v>3.02</v>
      </c>
    </row>
    <row r="1847" ht="25.5">
      <c r="A1847" s="19" t="s">
        <v>10460</v>
      </c>
      <c r="B1847" s="19">
        <v>40402</v>
      </c>
      <c r="C1847" s="20" t="s">
        <v>12305</v>
      </c>
      <c r="D1847" s="19" t="s">
        <v>38</v>
      </c>
      <c r="E1847" s="19" t="s">
        <v>10459</v>
      </c>
      <c r="F1847" s="21">
        <f t="shared" si="538"/>
        <v>3.8700000000000001</v>
      </c>
      <c r="G1847" s="21">
        <f t="shared" si="538"/>
        <v>3.8700000000000001</v>
      </c>
      <c r="H1847" s="21">
        <f t="shared" si="538"/>
        <v>3.8700000000000001</v>
      </c>
      <c r="I1847" s="24" t="str">
        <f t="shared" si="539"/>
        <v xml:space="preserve">COM VALOR</v>
      </c>
      <c r="L1847" s="36">
        <v>3.8700000000000001</v>
      </c>
      <c r="M1847" s="37">
        <v>3.8700000000000001</v>
      </c>
      <c r="N1847" s="36">
        <v>3.8700000000000001</v>
      </c>
    </row>
    <row r="1848" ht="38.25">
      <c r="A1848" s="19" t="s">
        <v>10460</v>
      </c>
      <c r="B1848" s="19">
        <v>21137</v>
      </c>
      <c r="C1848" s="20" t="s">
        <v>12306</v>
      </c>
      <c r="D1848" s="19" t="s">
        <v>38</v>
      </c>
      <c r="E1848" s="19" t="s">
        <v>10459</v>
      </c>
      <c r="F1848" s="21">
        <f t="shared" si="538"/>
        <v>7.9000000000000004</v>
      </c>
      <c r="G1848" s="21">
        <f t="shared" si="538"/>
        <v>7.9000000000000004</v>
      </c>
      <c r="H1848" s="21">
        <f t="shared" si="538"/>
        <v>7.9000000000000004</v>
      </c>
      <c r="I1848" s="24" t="str">
        <f t="shared" si="539"/>
        <v xml:space="preserve">COM VALOR</v>
      </c>
      <c r="L1848" s="36">
        <v>7.9000000000000004</v>
      </c>
      <c r="M1848" s="37">
        <v>7.9000000000000004</v>
      </c>
      <c r="N1848" s="36">
        <v>7.9000000000000004</v>
      </c>
    </row>
    <row r="1849" ht="38.25">
      <c r="A1849" s="19" t="s">
        <v>10460</v>
      </c>
      <c r="B1849" s="19">
        <v>2504</v>
      </c>
      <c r="C1849" s="20" t="s">
        <v>12307</v>
      </c>
      <c r="D1849" s="19" t="s">
        <v>38</v>
      </c>
      <c r="E1849" s="19" t="s">
        <v>10459</v>
      </c>
      <c r="F1849" s="21">
        <f t="shared" si="538"/>
        <v>8.5600000000000005</v>
      </c>
      <c r="G1849" s="21">
        <f t="shared" si="538"/>
        <v>8.5600000000000005</v>
      </c>
      <c r="H1849" s="21">
        <f t="shared" si="538"/>
        <v>8.5600000000000005</v>
      </c>
      <c r="I1849" s="24" t="str">
        <f t="shared" si="539"/>
        <v xml:space="preserve">COM VALOR</v>
      </c>
      <c r="L1849" s="36">
        <v>8.5600000000000005</v>
      </c>
      <c r="M1849" s="37">
        <v>8.5600000000000005</v>
      </c>
      <c r="N1849" s="36">
        <v>8.5600000000000005</v>
      </c>
    </row>
    <row r="1850" ht="38.25">
      <c r="A1850" s="19" t="s">
        <v>10460</v>
      </c>
      <c r="B1850" s="19">
        <v>2501</v>
      </c>
      <c r="C1850" s="20" t="s">
        <v>12308</v>
      </c>
      <c r="D1850" s="19" t="s">
        <v>38</v>
      </c>
      <c r="E1850" s="19" t="s">
        <v>10459</v>
      </c>
      <c r="F1850" s="21">
        <f t="shared" si="538"/>
        <v>11.23</v>
      </c>
      <c r="G1850" s="21">
        <f t="shared" si="538"/>
        <v>11.23</v>
      </c>
      <c r="H1850" s="21">
        <f t="shared" si="538"/>
        <v>11.23</v>
      </c>
      <c r="I1850" s="24" t="str">
        <f t="shared" si="539"/>
        <v xml:space="preserve">COM VALOR</v>
      </c>
      <c r="L1850" s="36">
        <v>11.23</v>
      </c>
      <c r="M1850" s="37">
        <v>11.23</v>
      </c>
      <c r="N1850" s="36">
        <v>11.23</v>
      </c>
    </row>
    <row r="1851" ht="38.25">
      <c r="A1851" s="19" t="s">
        <v>10460</v>
      </c>
      <c r="B1851" s="19">
        <v>2502</v>
      </c>
      <c r="C1851" s="20" t="s">
        <v>12309</v>
      </c>
      <c r="D1851" s="19" t="s">
        <v>38</v>
      </c>
      <c r="E1851" s="19" t="s">
        <v>10459</v>
      </c>
      <c r="F1851" s="21">
        <f t="shared" si="538"/>
        <v>16.949999999999999</v>
      </c>
      <c r="G1851" s="21">
        <f t="shared" si="538"/>
        <v>16.949999999999999</v>
      </c>
      <c r="H1851" s="21">
        <f t="shared" si="538"/>
        <v>16.949999999999999</v>
      </c>
      <c r="I1851" s="24" t="str">
        <f t="shared" si="539"/>
        <v xml:space="preserve">COM VALOR</v>
      </c>
      <c r="L1851" s="36">
        <v>16.949999999999999</v>
      </c>
      <c r="M1851" s="37">
        <v>16.949999999999999</v>
      </c>
      <c r="N1851" s="36">
        <v>16.949999999999999</v>
      </c>
    </row>
    <row r="1852" ht="38.25">
      <c r="A1852" s="19" t="s">
        <v>10460</v>
      </c>
      <c r="B1852" s="19">
        <v>2503</v>
      </c>
      <c r="C1852" s="20" t="s">
        <v>12310</v>
      </c>
      <c r="D1852" s="19" t="s">
        <v>38</v>
      </c>
      <c r="E1852" s="19" t="s">
        <v>10459</v>
      </c>
      <c r="F1852" s="21">
        <f t="shared" si="538"/>
        <v>21.809999999999999</v>
      </c>
      <c r="G1852" s="21">
        <f t="shared" si="538"/>
        <v>21.809999999999999</v>
      </c>
      <c r="H1852" s="21">
        <f t="shared" si="538"/>
        <v>21.809999999999999</v>
      </c>
      <c r="I1852" s="24" t="str">
        <f t="shared" si="539"/>
        <v xml:space="preserve">COM VALOR</v>
      </c>
      <c r="L1852" s="36">
        <v>21.809999999999999</v>
      </c>
      <c r="M1852" s="37">
        <v>21.809999999999999</v>
      </c>
      <c r="N1852" s="36">
        <v>21.809999999999999</v>
      </c>
    </row>
    <row r="1853" ht="38.25">
      <c r="A1853" s="19" t="s">
        <v>10460</v>
      </c>
      <c r="B1853" s="19">
        <v>2500</v>
      </c>
      <c r="C1853" s="20" t="s">
        <v>12311</v>
      </c>
      <c r="D1853" s="19" t="s">
        <v>38</v>
      </c>
      <c r="E1853" s="19" t="s">
        <v>10459</v>
      </c>
      <c r="F1853" s="21">
        <f t="shared" si="538"/>
        <v>29.050000000000001</v>
      </c>
      <c r="G1853" s="21">
        <f t="shared" si="538"/>
        <v>29.050000000000001</v>
      </c>
      <c r="H1853" s="21">
        <f t="shared" si="538"/>
        <v>29.050000000000001</v>
      </c>
      <c r="I1853" s="24" t="str">
        <f t="shared" si="539"/>
        <v xml:space="preserve">COM VALOR</v>
      </c>
      <c r="L1853" s="36">
        <v>29.050000000000001</v>
      </c>
      <c r="M1853" s="37">
        <v>29.050000000000001</v>
      </c>
      <c r="N1853" s="36">
        <v>29.050000000000001</v>
      </c>
    </row>
    <row r="1854" ht="38.25">
      <c r="A1854" s="19" t="s">
        <v>10460</v>
      </c>
      <c r="B1854" s="19">
        <v>2505</v>
      </c>
      <c r="C1854" s="20" t="s">
        <v>12312</v>
      </c>
      <c r="D1854" s="19" t="s">
        <v>38</v>
      </c>
      <c r="E1854" s="19" t="s">
        <v>10459</v>
      </c>
      <c r="F1854" s="21">
        <f t="shared" si="538"/>
        <v>45.280000000000001</v>
      </c>
      <c r="G1854" s="21">
        <f t="shared" si="538"/>
        <v>45.280000000000001</v>
      </c>
      <c r="H1854" s="21">
        <f t="shared" si="538"/>
        <v>45.280000000000001</v>
      </c>
      <c r="I1854" s="24" t="str">
        <f t="shared" si="539"/>
        <v xml:space="preserve">COM VALOR</v>
      </c>
      <c r="L1854" s="36">
        <v>45.280000000000001</v>
      </c>
      <c r="M1854" s="37">
        <v>45.280000000000001</v>
      </c>
      <c r="N1854" s="36">
        <v>45.280000000000001</v>
      </c>
    </row>
    <row r="1855" ht="25.5">
      <c r="A1855" s="19" t="s">
        <v>10460</v>
      </c>
      <c r="B1855" s="19">
        <v>12056</v>
      </c>
      <c r="C1855" s="20" t="s">
        <v>12313</v>
      </c>
      <c r="D1855" s="19" t="s">
        <v>38</v>
      </c>
      <c r="E1855" s="19" t="s">
        <v>10459</v>
      </c>
      <c r="F1855" s="21">
        <f t="shared" si="538"/>
        <v>18.289999999999999</v>
      </c>
      <c r="G1855" s="21">
        <f t="shared" si="538"/>
        <v>18.289999999999999</v>
      </c>
      <c r="H1855" s="21">
        <f t="shared" si="538"/>
        <v>18.289999999999999</v>
      </c>
      <c r="I1855" s="24" t="str">
        <f t="shared" si="539"/>
        <v xml:space="preserve">COM VALOR</v>
      </c>
      <c r="L1855" s="36">
        <v>18.289999999999999</v>
      </c>
      <c r="M1855" s="37">
        <v>18.289999999999999</v>
      </c>
      <c r="N1855" s="36">
        <v>18.289999999999999</v>
      </c>
    </row>
    <row r="1856" ht="25.5">
      <c r="A1856" s="19" t="s">
        <v>10460</v>
      </c>
      <c r="B1856" s="19">
        <v>12057</v>
      </c>
      <c r="C1856" s="20" t="s">
        <v>12314</v>
      </c>
      <c r="D1856" s="19" t="s">
        <v>38</v>
      </c>
      <c r="E1856" s="19" t="s">
        <v>10459</v>
      </c>
      <c r="F1856" s="21">
        <f t="shared" si="538"/>
        <v>15.539999999999999</v>
      </c>
      <c r="G1856" s="21">
        <f t="shared" si="538"/>
        <v>15.539999999999999</v>
      </c>
      <c r="H1856" s="21">
        <f t="shared" si="538"/>
        <v>15.539999999999999</v>
      </c>
      <c r="I1856" s="24" t="str">
        <f t="shared" si="539"/>
        <v xml:space="preserve">COM VALOR</v>
      </c>
      <c r="L1856" s="36">
        <v>15.539999999999999</v>
      </c>
      <c r="M1856" s="37">
        <v>15.539999999999999</v>
      </c>
      <c r="N1856" s="36">
        <v>15.539999999999999</v>
      </c>
    </row>
    <row r="1857" ht="25.5">
      <c r="A1857" s="19" t="s">
        <v>10460</v>
      </c>
      <c r="B1857" s="19">
        <v>12058</v>
      </c>
      <c r="C1857" s="20" t="s">
        <v>12315</v>
      </c>
      <c r="D1857" s="19" t="s">
        <v>38</v>
      </c>
      <c r="E1857" s="19" t="s">
        <v>10459</v>
      </c>
      <c r="F1857" s="21">
        <f t="shared" si="538"/>
        <v>9.6899999999999995</v>
      </c>
      <c r="G1857" s="21">
        <f t="shared" si="538"/>
        <v>9.6899999999999995</v>
      </c>
      <c r="H1857" s="21">
        <f t="shared" si="538"/>
        <v>9.6899999999999995</v>
      </c>
      <c r="I1857" s="24" t="str">
        <f t="shared" si="539"/>
        <v xml:space="preserve">COM VALOR</v>
      </c>
      <c r="L1857" s="36">
        <v>9.6899999999999995</v>
      </c>
      <c r="M1857" s="37">
        <v>9.6899999999999995</v>
      </c>
      <c r="N1857" s="36">
        <v>9.6899999999999995</v>
      </c>
    </row>
    <row r="1858" ht="25.5">
      <c r="A1858" s="19" t="s">
        <v>10460</v>
      </c>
      <c r="B1858" s="19">
        <v>12059</v>
      </c>
      <c r="C1858" s="20" t="s">
        <v>12316</v>
      </c>
      <c r="D1858" s="19" t="s">
        <v>38</v>
      </c>
      <c r="E1858" s="19" t="s">
        <v>10459</v>
      </c>
      <c r="F1858" s="21">
        <f t="shared" si="538"/>
        <v>5.4500000000000002</v>
      </c>
      <c r="G1858" s="21">
        <f t="shared" si="538"/>
        <v>5.4500000000000002</v>
      </c>
      <c r="H1858" s="21">
        <f t="shared" si="538"/>
        <v>5.4500000000000002</v>
      </c>
      <c r="I1858" s="24" t="str">
        <f t="shared" si="539"/>
        <v xml:space="preserve">COM VALOR</v>
      </c>
      <c r="L1858" s="36">
        <v>5.4500000000000002</v>
      </c>
      <c r="M1858" s="37">
        <v>5.4500000000000002</v>
      </c>
      <c r="N1858" s="36">
        <v>5.4500000000000002</v>
      </c>
    </row>
    <row r="1859" ht="25.5">
      <c r="A1859" s="19" t="s">
        <v>10460</v>
      </c>
      <c r="B1859" s="19">
        <v>12060</v>
      </c>
      <c r="C1859" s="20" t="s">
        <v>12317</v>
      </c>
      <c r="D1859" s="19" t="s">
        <v>38</v>
      </c>
      <c r="E1859" s="19" t="s">
        <v>10459</v>
      </c>
      <c r="F1859" s="21">
        <f t="shared" si="538"/>
        <v>40.380000000000003</v>
      </c>
      <c r="G1859" s="21">
        <f t="shared" si="538"/>
        <v>40.380000000000003</v>
      </c>
      <c r="H1859" s="21">
        <f t="shared" si="538"/>
        <v>40.380000000000003</v>
      </c>
      <c r="I1859" s="24" t="str">
        <f t="shared" si="539"/>
        <v xml:space="preserve">COM VALOR</v>
      </c>
      <c r="L1859" s="36">
        <v>40.380000000000003</v>
      </c>
      <c r="M1859" s="37">
        <v>40.380000000000003</v>
      </c>
      <c r="N1859" s="36">
        <v>40.380000000000003</v>
      </c>
    </row>
    <row r="1860" ht="25.5">
      <c r="A1860" s="19" t="s">
        <v>10460</v>
      </c>
      <c r="B1860" s="19">
        <v>12061</v>
      </c>
      <c r="C1860" s="20" t="s">
        <v>12318</v>
      </c>
      <c r="D1860" s="19" t="s">
        <v>38</v>
      </c>
      <c r="E1860" s="19" t="s">
        <v>10459</v>
      </c>
      <c r="F1860" s="21">
        <f t="shared" si="538"/>
        <v>24.649999999999999</v>
      </c>
      <c r="G1860" s="21">
        <f t="shared" si="538"/>
        <v>24.649999999999999</v>
      </c>
      <c r="H1860" s="21">
        <f t="shared" si="538"/>
        <v>24.649999999999999</v>
      </c>
      <c r="I1860" s="24" t="str">
        <f t="shared" si="539"/>
        <v xml:space="preserve">COM VALOR</v>
      </c>
      <c r="L1860" s="36">
        <v>24.649999999999999</v>
      </c>
      <c r="M1860" s="37">
        <v>24.649999999999999</v>
      </c>
      <c r="N1860" s="36">
        <v>24.649999999999999</v>
      </c>
    </row>
    <row r="1861" ht="25.5">
      <c r="A1861" s="19" t="s">
        <v>10460</v>
      </c>
      <c r="B1861" s="19">
        <v>12062</v>
      </c>
      <c r="C1861" s="20" t="s">
        <v>12319</v>
      </c>
      <c r="D1861" s="19" t="s">
        <v>38</v>
      </c>
      <c r="E1861" s="19" t="s">
        <v>10459</v>
      </c>
      <c r="F1861" s="21">
        <f t="shared" si="538"/>
        <v>45.469999999999999</v>
      </c>
      <c r="G1861" s="21">
        <f t="shared" si="538"/>
        <v>45.469999999999999</v>
      </c>
      <c r="H1861" s="21">
        <f t="shared" si="538"/>
        <v>45.469999999999999</v>
      </c>
      <c r="I1861" s="24" t="str">
        <f t="shared" si="539"/>
        <v xml:space="preserve">COM VALOR</v>
      </c>
      <c r="L1861" s="36">
        <v>45.469999999999999</v>
      </c>
      <c r="M1861" s="37">
        <v>45.469999999999999</v>
      </c>
      <c r="N1861" s="36">
        <v>45.469999999999999</v>
      </c>
    </row>
    <row r="1862" ht="25.5">
      <c r="A1862" s="19" t="s">
        <v>10460</v>
      </c>
      <c r="B1862" s="19">
        <v>2687</v>
      </c>
      <c r="C1862" s="20" t="s">
        <v>12320</v>
      </c>
      <c r="D1862" s="19" t="s">
        <v>38</v>
      </c>
      <c r="E1862" s="19" t="s">
        <v>10459</v>
      </c>
      <c r="F1862" s="21">
        <f t="shared" si="538"/>
        <v>2.1299999999999999</v>
      </c>
      <c r="G1862" s="21">
        <f t="shared" si="538"/>
        <v>2.1299999999999999</v>
      </c>
      <c r="H1862" s="21">
        <f t="shared" si="538"/>
        <v>2.1299999999999999</v>
      </c>
      <c r="I1862" s="24" t="str">
        <f t="shared" si="539"/>
        <v xml:space="preserve">COM VALOR</v>
      </c>
      <c r="L1862" s="36">
        <v>2.1299999999999999</v>
      </c>
      <c r="M1862" s="37">
        <v>2.1299999999999999</v>
      </c>
      <c r="N1862" s="36">
        <v>2.1299999999999999</v>
      </c>
    </row>
    <row r="1863" ht="25.5">
      <c r="A1863" s="19" t="s">
        <v>10460</v>
      </c>
      <c r="B1863" s="19">
        <v>2689</v>
      </c>
      <c r="C1863" s="20" t="s">
        <v>12321</v>
      </c>
      <c r="D1863" s="19" t="s">
        <v>38</v>
      </c>
      <c r="E1863" s="19" t="s">
        <v>10459</v>
      </c>
      <c r="F1863" s="21">
        <f t="shared" si="538"/>
        <v>2.54</v>
      </c>
      <c r="G1863" s="21">
        <f t="shared" si="538"/>
        <v>2.54</v>
      </c>
      <c r="H1863" s="21">
        <f t="shared" si="538"/>
        <v>2.54</v>
      </c>
      <c r="I1863" s="24" t="str">
        <f t="shared" si="539"/>
        <v xml:space="preserve">COM VALOR</v>
      </c>
      <c r="L1863" s="36">
        <v>2.54</v>
      </c>
      <c r="M1863" s="37">
        <v>2.54</v>
      </c>
      <c r="N1863" s="36">
        <v>2.54</v>
      </c>
    </row>
    <row r="1864" ht="25.5">
      <c r="A1864" s="19" t="s">
        <v>10460</v>
      </c>
      <c r="B1864" s="19">
        <v>2688</v>
      </c>
      <c r="C1864" s="20" t="s">
        <v>12322</v>
      </c>
      <c r="D1864" s="19" t="s">
        <v>38</v>
      </c>
      <c r="E1864" s="19" t="s">
        <v>10459</v>
      </c>
      <c r="F1864" s="21">
        <f t="shared" si="538"/>
        <v>2.75</v>
      </c>
      <c r="G1864" s="21">
        <f t="shared" si="538"/>
        <v>2.75</v>
      </c>
      <c r="H1864" s="21">
        <f t="shared" si="538"/>
        <v>2.75</v>
      </c>
      <c r="I1864" s="24" t="str">
        <f t="shared" si="539"/>
        <v xml:space="preserve">COM VALOR</v>
      </c>
      <c r="L1864" s="36">
        <v>2.75</v>
      </c>
      <c r="M1864" s="37">
        <v>2.75</v>
      </c>
      <c r="N1864" s="36">
        <v>2.75</v>
      </c>
    </row>
    <row r="1865" ht="25.5">
      <c r="A1865" s="19" t="s">
        <v>10460</v>
      </c>
      <c r="B1865" s="19">
        <v>2690</v>
      </c>
      <c r="C1865" s="20" t="s">
        <v>12323</v>
      </c>
      <c r="D1865" s="19" t="s">
        <v>38</v>
      </c>
      <c r="E1865" s="19" t="s">
        <v>10459</v>
      </c>
      <c r="F1865" s="21">
        <f t="shared" si="538"/>
        <v>4.7000000000000002</v>
      </c>
      <c r="G1865" s="21">
        <f t="shared" si="538"/>
        <v>4.7000000000000002</v>
      </c>
      <c r="H1865" s="21">
        <f t="shared" si="538"/>
        <v>4.7000000000000002</v>
      </c>
      <c r="I1865" s="24" t="str">
        <f t="shared" si="539"/>
        <v xml:space="preserve">COM VALOR</v>
      </c>
      <c r="L1865" s="36">
        <v>4.7000000000000002</v>
      </c>
      <c r="M1865" s="37">
        <v>4.7000000000000002</v>
      </c>
      <c r="N1865" s="36">
        <v>4.7000000000000002</v>
      </c>
    </row>
    <row r="1866" ht="25.5">
      <c r="A1866" s="19" t="s">
        <v>10460</v>
      </c>
      <c r="B1866" s="19">
        <v>39243</v>
      </c>
      <c r="C1866" s="20" t="s">
        <v>12324</v>
      </c>
      <c r="D1866" s="19" t="s">
        <v>38</v>
      </c>
      <c r="E1866" s="19" t="s">
        <v>10459</v>
      </c>
      <c r="F1866" s="21">
        <f t="shared" si="538"/>
        <v>3.1000000000000001</v>
      </c>
      <c r="G1866" s="21">
        <f t="shared" si="538"/>
        <v>3.1000000000000001</v>
      </c>
      <c r="H1866" s="21">
        <f t="shared" si="538"/>
        <v>3.1000000000000001</v>
      </c>
      <c r="I1866" s="24" t="str">
        <f t="shared" si="539"/>
        <v xml:space="preserve">COM VALOR</v>
      </c>
      <c r="L1866" s="36">
        <v>3.1000000000000001</v>
      </c>
      <c r="M1866" s="37">
        <v>3.1000000000000001</v>
      </c>
      <c r="N1866" s="36">
        <v>3.1000000000000001</v>
      </c>
    </row>
    <row r="1867" ht="25.5">
      <c r="A1867" s="19" t="s">
        <v>10460</v>
      </c>
      <c r="B1867" s="19">
        <v>39244</v>
      </c>
      <c r="C1867" s="20" t="s">
        <v>12325</v>
      </c>
      <c r="D1867" s="19" t="s">
        <v>38</v>
      </c>
      <c r="E1867" s="19" t="s">
        <v>10459</v>
      </c>
      <c r="F1867" s="21">
        <f t="shared" ref="F1867:H1930" si="540">IF(L1867=0,"VERIFICAR",L1867)</f>
        <v>4.1900000000000004</v>
      </c>
      <c r="G1867" s="21">
        <f t="shared" si="540"/>
        <v>4.1900000000000004</v>
      </c>
      <c r="H1867" s="21">
        <f t="shared" si="540"/>
        <v>4.1900000000000004</v>
      </c>
      <c r="I1867" s="24" t="str">
        <f t="shared" ref="I1867:I1930" si="541">IF(OR(L1867=0,M1867=0,N1867=0),"SEM VALOR","COM VALOR")</f>
        <v xml:space="preserve">COM VALOR</v>
      </c>
      <c r="L1867" s="36">
        <v>4.1900000000000004</v>
      </c>
      <c r="M1867" s="37">
        <v>4.1900000000000004</v>
      </c>
      <c r="N1867" s="36">
        <v>4.1900000000000004</v>
      </c>
    </row>
    <row r="1868" ht="25.5">
      <c r="A1868" s="19" t="s">
        <v>10460</v>
      </c>
      <c r="B1868" s="19">
        <v>39245</v>
      </c>
      <c r="C1868" s="20" t="s">
        <v>12326</v>
      </c>
      <c r="D1868" s="19" t="s">
        <v>38</v>
      </c>
      <c r="E1868" s="19" t="s">
        <v>10459</v>
      </c>
      <c r="F1868" s="21">
        <f t="shared" si="540"/>
        <v>8.0600000000000005</v>
      </c>
      <c r="G1868" s="21">
        <f t="shared" si="540"/>
        <v>8.0600000000000005</v>
      </c>
      <c r="H1868" s="21">
        <f t="shared" si="540"/>
        <v>8.0600000000000005</v>
      </c>
      <c r="I1868" s="24" t="str">
        <f t="shared" si="541"/>
        <v xml:space="preserve">COM VALOR</v>
      </c>
      <c r="L1868" s="36">
        <v>8.0600000000000005</v>
      </c>
      <c r="M1868" s="37">
        <v>8.0600000000000005</v>
      </c>
      <c r="N1868" s="36">
        <v>8.0600000000000005</v>
      </c>
    </row>
    <row r="1869" ht="25.5">
      <c r="A1869" s="19" t="s">
        <v>10460</v>
      </c>
      <c r="B1869" s="19">
        <v>39255</v>
      </c>
      <c r="C1869" s="20" t="s">
        <v>12327</v>
      </c>
      <c r="D1869" s="19" t="s">
        <v>38</v>
      </c>
      <c r="E1869" s="19" t="s">
        <v>10459</v>
      </c>
      <c r="F1869" s="21">
        <f t="shared" si="540"/>
        <v>22.32</v>
      </c>
      <c r="G1869" s="21">
        <f t="shared" si="540"/>
        <v>22.32</v>
      </c>
      <c r="H1869" s="21">
        <f t="shared" si="540"/>
        <v>22.32</v>
      </c>
      <c r="I1869" s="24" t="str">
        <f t="shared" si="541"/>
        <v xml:space="preserve">COM VALOR</v>
      </c>
      <c r="L1869" s="36">
        <v>22.32</v>
      </c>
      <c r="M1869" s="37">
        <v>22.32</v>
      </c>
      <c r="N1869" s="36">
        <v>22.32</v>
      </c>
    </row>
    <row r="1870" ht="25.5">
      <c r="A1870" s="19" t="s">
        <v>10460</v>
      </c>
      <c r="B1870" s="19">
        <v>39254</v>
      </c>
      <c r="C1870" s="20" t="s">
        <v>12328</v>
      </c>
      <c r="D1870" s="19" t="s">
        <v>38</v>
      </c>
      <c r="E1870" s="19" t="s">
        <v>10459</v>
      </c>
      <c r="F1870" s="21">
        <f t="shared" si="540"/>
        <v>12.06</v>
      </c>
      <c r="G1870" s="21">
        <f t="shared" si="540"/>
        <v>12.06</v>
      </c>
      <c r="H1870" s="21">
        <f t="shared" si="540"/>
        <v>12.06</v>
      </c>
      <c r="I1870" s="24" t="str">
        <f t="shared" si="541"/>
        <v xml:space="preserve">COM VALOR</v>
      </c>
      <c r="L1870" s="36">
        <v>12.06</v>
      </c>
      <c r="M1870" s="37">
        <v>12.06</v>
      </c>
      <c r="N1870" s="36">
        <v>12.06</v>
      </c>
    </row>
    <row r="1871" ht="25.5">
      <c r="A1871" s="19" t="s">
        <v>10460</v>
      </c>
      <c r="B1871" s="19">
        <v>39253</v>
      </c>
      <c r="C1871" s="20" t="s">
        <v>12329</v>
      </c>
      <c r="D1871" s="19" t="s">
        <v>38</v>
      </c>
      <c r="E1871" s="19" t="s">
        <v>10459</v>
      </c>
      <c r="F1871" s="21">
        <f t="shared" si="540"/>
        <v>15.369999999999999</v>
      </c>
      <c r="G1871" s="21">
        <f t="shared" si="540"/>
        <v>15.369999999999999</v>
      </c>
      <c r="H1871" s="21">
        <f t="shared" si="540"/>
        <v>15.369999999999999</v>
      </c>
      <c r="I1871" s="24" t="str">
        <f t="shared" si="541"/>
        <v xml:space="preserve">COM VALOR</v>
      </c>
      <c r="L1871" s="36">
        <v>15.369999999999999</v>
      </c>
      <c r="M1871" s="37">
        <v>15.369999999999999</v>
      </c>
      <c r="N1871" s="36">
        <v>15.369999999999999</v>
      </c>
    </row>
    <row r="1872" ht="51">
      <c r="A1872" s="19" t="s">
        <v>10460</v>
      </c>
      <c r="B1872" s="19">
        <v>39246</v>
      </c>
      <c r="C1872" s="20" t="s">
        <v>12330</v>
      </c>
      <c r="D1872" s="19" t="s">
        <v>38</v>
      </c>
      <c r="E1872" s="19" t="s">
        <v>10459</v>
      </c>
      <c r="F1872" s="21">
        <f t="shared" si="540"/>
        <v>5.2400000000000002</v>
      </c>
      <c r="G1872" s="21">
        <f t="shared" si="540"/>
        <v>5.2400000000000002</v>
      </c>
      <c r="H1872" s="21">
        <f t="shared" si="540"/>
        <v>5.2400000000000002</v>
      </c>
      <c r="I1872" s="24" t="str">
        <f t="shared" si="541"/>
        <v xml:space="preserve">COM VALOR</v>
      </c>
      <c r="L1872" s="36">
        <v>5.2400000000000002</v>
      </c>
      <c r="M1872" s="37">
        <v>5.2400000000000002</v>
      </c>
      <c r="N1872" s="36">
        <v>5.2400000000000002</v>
      </c>
    </row>
    <row r="1873" ht="51">
      <c r="A1873" s="19" t="s">
        <v>10460</v>
      </c>
      <c r="B1873" s="19">
        <v>39247</v>
      </c>
      <c r="C1873" s="20" t="s">
        <v>12331</v>
      </c>
      <c r="D1873" s="19" t="s">
        <v>38</v>
      </c>
      <c r="E1873" s="19" t="s">
        <v>10459</v>
      </c>
      <c r="F1873" s="21">
        <f t="shared" si="540"/>
        <v>4.5700000000000003</v>
      </c>
      <c r="G1873" s="21">
        <f t="shared" si="540"/>
        <v>4.5700000000000003</v>
      </c>
      <c r="H1873" s="21">
        <f t="shared" si="540"/>
        <v>4.5700000000000003</v>
      </c>
      <c r="I1873" s="24" t="str">
        <f t="shared" si="541"/>
        <v xml:space="preserve">COM VALOR</v>
      </c>
      <c r="L1873" s="36">
        <v>4.5700000000000003</v>
      </c>
      <c r="M1873" s="37">
        <v>4.5700000000000003</v>
      </c>
      <c r="N1873" s="36">
        <v>4.5700000000000003</v>
      </c>
    </row>
    <row r="1874" ht="38.25">
      <c r="A1874" s="19" t="s">
        <v>10460</v>
      </c>
      <c r="B1874" s="19">
        <v>2446</v>
      </c>
      <c r="C1874" s="20" t="s">
        <v>12332</v>
      </c>
      <c r="D1874" s="19" t="s">
        <v>38</v>
      </c>
      <c r="E1874" s="19" t="s">
        <v>10466</v>
      </c>
      <c r="F1874" s="21">
        <f t="shared" si="540"/>
        <v>7.5300000000000002</v>
      </c>
      <c r="G1874" s="21">
        <f t="shared" si="540"/>
        <v>7.5300000000000002</v>
      </c>
      <c r="H1874" s="21">
        <f t="shared" si="540"/>
        <v>7.5300000000000002</v>
      </c>
      <c r="I1874" s="24" t="str">
        <f t="shared" si="541"/>
        <v xml:space="preserve">COM VALOR</v>
      </c>
      <c r="L1874" s="36">
        <v>7.5300000000000002</v>
      </c>
      <c r="M1874" s="37">
        <v>7.5300000000000002</v>
      </c>
      <c r="N1874" s="36">
        <v>7.5300000000000002</v>
      </c>
    </row>
    <row r="1875" ht="38.25">
      <c r="A1875" s="19" t="s">
        <v>10460</v>
      </c>
      <c r="B1875" s="19">
        <v>2442</v>
      </c>
      <c r="C1875" s="20" t="s">
        <v>12333</v>
      </c>
      <c r="D1875" s="19" t="s">
        <v>38</v>
      </c>
      <c r="E1875" s="19" t="s">
        <v>10459</v>
      </c>
      <c r="F1875" s="21">
        <f t="shared" si="540"/>
        <v>10.550000000000001</v>
      </c>
      <c r="G1875" s="21">
        <f t="shared" si="540"/>
        <v>10.550000000000001</v>
      </c>
      <c r="H1875" s="21">
        <f t="shared" si="540"/>
        <v>10.550000000000001</v>
      </c>
      <c r="I1875" s="24" t="str">
        <f t="shared" si="541"/>
        <v xml:space="preserve">COM VALOR</v>
      </c>
      <c r="L1875" s="36">
        <v>10.550000000000001</v>
      </c>
      <c r="M1875" s="37">
        <v>10.550000000000001</v>
      </c>
      <c r="N1875" s="36">
        <v>10.550000000000001</v>
      </c>
    </row>
    <row r="1876" ht="38.25">
      <c r="A1876" s="19" t="s">
        <v>10460</v>
      </c>
      <c r="B1876" s="19">
        <v>39248</v>
      </c>
      <c r="C1876" s="20" t="s">
        <v>12334</v>
      </c>
      <c r="D1876" s="19" t="s">
        <v>38</v>
      </c>
      <c r="E1876" s="19" t="s">
        <v>10459</v>
      </c>
      <c r="F1876" s="21">
        <f t="shared" si="540"/>
        <v>14.699999999999999</v>
      </c>
      <c r="G1876" s="21">
        <f t="shared" si="540"/>
        <v>14.699999999999999</v>
      </c>
      <c r="H1876" s="21">
        <f t="shared" si="540"/>
        <v>14.699999999999999</v>
      </c>
      <c r="I1876" s="24" t="str">
        <f t="shared" si="541"/>
        <v xml:space="preserve">COM VALOR</v>
      </c>
      <c r="L1876" s="36">
        <v>14.699999999999999</v>
      </c>
      <c r="M1876" s="37">
        <v>14.699999999999999</v>
      </c>
      <c r="N1876" s="36">
        <v>14.699999999999999</v>
      </c>
    </row>
    <row r="1877" ht="12.75">
      <c r="A1877" s="19" t="s">
        <v>10604</v>
      </c>
      <c r="B1877" s="19">
        <v>2438</v>
      </c>
      <c r="C1877" s="20" t="s">
        <v>12335</v>
      </c>
      <c r="D1877" s="19" t="s">
        <v>2032</v>
      </c>
      <c r="E1877" s="19" t="s">
        <v>10459</v>
      </c>
      <c r="F1877" s="21">
        <f t="shared" si="540"/>
        <v>26.420000000000002</v>
      </c>
      <c r="G1877" s="21">
        <f t="shared" si="540"/>
        <v>26.420000000000002</v>
      </c>
      <c r="H1877" s="21">
        <f t="shared" si="540"/>
        <v>26.420000000000002</v>
      </c>
      <c r="I1877" s="24" t="str">
        <f t="shared" si="541"/>
        <v xml:space="preserve">COM VALOR</v>
      </c>
      <c r="L1877" s="36">
        <v>26.420000000000002</v>
      </c>
      <c r="M1877" s="37">
        <v>26.420000000000002</v>
      </c>
      <c r="N1877" s="36">
        <v>26.420000000000002</v>
      </c>
    </row>
    <row r="1878" ht="12.75">
      <c r="A1878" s="19" t="s">
        <v>10604</v>
      </c>
      <c r="B1878" s="19">
        <v>40922</v>
      </c>
      <c r="C1878" s="20" t="s">
        <v>12336</v>
      </c>
      <c r="D1878" s="19" t="s">
        <v>7087</v>
      </c>
      <c r="E1878" s="19" t="s">
        <v>10459</v>
      </c>
      <c r="F1878" s="21">
        <f t="shared" si="540"/>
        <v>4627.3100000000004</v>
      </c>
      <c r="G1878" s="21">
        <f t="shared" si="540"/>
        <v>4627.3100000000004</v>
      </c>
      <c r="H1878" s="21">
        <f t="shared" si="540"/>
        <v>4627.3100000000004</v>
      </c>
      <c r="I1878" s="24" t="str">
        <f t="shared" si="541"/>
        <v xml:space="preserve">COM VALOR</v>
      </c>
      <c r="L1878" s="36">
        <v>4627.3100000000004</v>
      </c>
      <c r="M1878" s="37">
        <v>4627.3100000000004</v>
      </c>
      <c r="N1878" s="36">
        <v>4627.3100000000004</v>
      </c>
    </row>
    <row r="1879" ht="38.25">
      <c r="A1879" s="19" t="s">
        <v>10460</v>
      </c>
      <c r="B1879" s="19">
        <v>44342</v>
      </c>
      <c r="C1879" s="20" t="s">
        <v>12337</v>
      </c>
      <c r="D1879" s="19" t="s">
        <v>31</v>
      </c>
      <c r="E1879" s="19" t="s">
        <v>10459</v>
      </c>
      <c r="F1879" s="21" t="str">
        <f t="shared" si="540"/>
        <v>VERIFICAR</v>
      </c>
      <c r="G1879" s="21" t="str">
        <f t="shared" si="540"/>
        <v>VERIFICAR</v>
      </c>
      <c r="H1879" s="21" t="str">
        <f t="shared" si="540"/>
        <v>VERIFICAR</v>
      </c>
      <c r="I1879" s="24" t="str">
        <f t="shared" si="541"/>
        <v xml:space="preserve">SEM VALOR</v>
      </c>
      <c r="L1879" s="36"/>
      <c r="M1879" s="37"/>
      <c r="N1879" s="36"/>
    </row>
    <row r="1880" ht="38.25">
      <c r="A1880" s="19" t="s">
        <v>10460</v>
      </c>
      <c r="B1880" s="19">
        <v>44343</v>
      </c>
      <c r="C1880" s="20" t="s">
        <v>12338</v>
      </c>
      <c r="D1880" s="19" t="s">
        <v>31</v>
      </c>
      <c r="E1880" s="19" t="s">
        <v>10459</v>
      </c>
      <c r="F1880" s="21" t="str">
        <f t="shared" si="540"/>
        <v>VERIFICAR</v>
      </c>
      <c r="G1880" s="21" t="str">
        <f t="shared" si="540"/>
        <v>VERIFICAR</v>
      </c>
      <c r="H1880" s="21" t="str">
        <f t="shared" si="540"/>
        <v>VERIFICAR</v>
      </c>
      <c r="I1880" s="24" t="str">
        <f t="shared" si="541"/>
        <v xml:space="preserve">SEM VALOR</v>
      </c>
      <c r="L1880" s="36"/>
      <c r="M1880" s="37"/>
      <c r="N1880" s="36"/>
    </row>
    <row r="1881" ht="38.25">
      <c r="A1881" s="19" t="s">
        <v>10460</v>
      </c>
      <c r="B1881" s="19">
        <v>44340</v>
      </c>
      <c r="C1881" s="20" t="s">
        <v>12339</v>
      </c>
      <c r="D1881" s="19" t="s">
        <v>31</v>
      </c>
      <c r="E1881" s="19" t="s">
        <v>10459</v>
      </c>
      <c r="F1881" s="21" t="str">
        <f t="shared" si="540"/>
        <v>VERIFICAR</v>
      </c>
      <c r="G1881" s="21" t="str">
        <f t="shared" si="540"/>
        <v>VERIFICAR</v>
      </c>
      <c r="H1881" s="21" t="str">
        <f t="shared" si="540"/>
        <v>VERIFICAR</v>
      </c>
      <c r="I1881" s="24" t="str">
        <f t="shared" si="541"/>
        <v xml:space="preserve">SEM VALOR</v>
      </c>
      <c r="L1881" s="36"/>
      <c r="M1881" s="37"/>
      <c r="N1881" s="36"/>
    </row>
    <row r="1882" ht="38.25">
      <c r="A1882" s="19" t="s">
        <v>10460</v>
      </c>
      <c r="B1882" s="19">
        <v>44341</v>
      </c>
      <c r="C1882" s="20" t="s">
        <v>12340</v>
      </c>
      <c r="D1882" s="19" t="s">
        <v>31</v>
      </c>
      <c r="E1882" s="19" t="s">
        <v>10459</v>
      </c>
      <c r="F1882" s="21" t="str">
        <f t="shared" si="540"/>
        <v>VERIFICAR</v>
      </c>
      <c r="G1882" s="21" t="str">
        <f t="shared" si="540"/>
        <v>VERIFICAR</v>
      </c>
      <c r="H1882" s="21" t="str">
        <f t="shared" si="540"/>
        <v>VERIFICAR</v>
      </c>
      <c r="I1882" s="24" t="str">
        <f t="shared" si="541"/>
        <v xml:space="preserve">SEM VALOR</v>
      </c>
      <c r="L1882" s="36"/>
      <c r="M1882" s="37"/>
      <c r="N1882" s="36"/>
    </row>
    <row r="1883" ht="38.25">
      <c r="A1883" s="19" t="s">
        <v>10460</v>
      </c>
      <c r="B1883" s="19">
        <v>44338</v>
      </c>
      <c r="C1883" s="20" t="s">
        <v>12341</v>
      </c>
      <c r="D1883" s="19" t="s">
        <v>31</v>
      </c>
      <c r="E1883" s="19" t="s">
        <v>10459</v>
      </c>
      <c r="F1883" s="21" t="str">
        <f t="shared" si="540"/>
        <v>VERIFICAR</v>
      </c>
      <c r="G1883" s="21" t="str">
        <f t="shared" si="540"/>
        <v>VERIFICAR</v>
      </c>
      <c r="H1883" s="21" t="str">
        <f t="shared" si="540"/>
        <v>VERIFICAR</v>
      </c>
      <c r="I1883" s="24" t="str">
        <f t="shared" si="541"/>
        <v xml:space="preserve">SEM VALOR</v>
      </c>
      <c r="L1883" s="36"/>
      <c r="M1883" s="37"/>
      <c r="N1883" s="36"/>
    </row>
    <row r="1884" ht="38.25">
      <c r="A1884" s="19" t="s">
        <v>10460</v>
      </c>
      <c r="B1884" s="19">
        <v>44339</v>
      </c>
      <c r="C1884" s="20" t="s">
        <v>12342</v>
      </c>
      <c r="D1884" s="19" t="s">
        <v>31</v>
      </c>
      <c r="E1884" s="19" t="s">
        <v>10459</v>
      </c>
      <c r="F1884" s="21" t="str">
        <f t="shared" si="540"/>
        <v>VERIFICAR</v>
      </c>
      <c r="G1884" s="21" t="str">
        <f t="shared" si="540"/>
        <v>VERIFICAR</v>
      </c>
      <c r="H1884" s="21" t="str">
        <f t="shared" si="540"/>
        <v>VERIFICAR</v>
      </c>
      <c r="I1884" s="24" t="str">
        <f t="shared" si="541"/>
        <v xml:space="preserve">SEM VALOR</v>
      </c>
      <c r="L1884" s="36"/>
      <c r="M1884" s="37"/>
      <c r="N1884" s="36"/>
    </row>
    <row r="1885" ht="38.25">
      <c r="A1885" s="19" t="s">
        <v>10460</v>
      </c>
      <c r="B1885" s="19">
        <v>44336</v>
      </c>
      <c r="C1885" s="20" t="s">
        <v>12343</v>
      </c>
      <c r="D1885" s="19" t="s">
        <v>31</v>
      </c>
      <c r="E1885" s="19" t="s">
        <v>10459</v>
      </c>
      <c r="F1885" s="21" t="str">
        <f t="shared" si="540"/>
        <v>VERIFICAR</v>
      </c>
      <c r="G1885" s="21" t="str">
        <f t="shared" si="540"/>
        <v>VERIFICAR</v>
      </c>
      <c r="H1885" s="21" t="str">
        <f t="shared" si="540"/>
        <v>VERIFICAR</v>
      </c>
      <c r="I1885" s="24" t="str">
        <f t="shared" si="541"/>
        <v xml:space="preserve">SEM VALOR</v>
      </c>
      <c r="L1885" s="36"/>
      <c r="M1885" s="37"/>
      <c r="N1885" s="36"/>
    </row>
    <row r="1886" ht="38.25">
      <c r="A1886" s="19" t="s">
        <v>10460</v>
      </c>
      <c r="B1886" s="19">
        <v>41834</v>
      </c>
      <c r="C1886" s="20" t="s">
        <v>12344</v>
      </c>
      <c r="D1886" s="19" t="s">
        <v>31</v>
      </c>
      <c r="E1886" s="19" t="s">
        <v>10459</v>
      </c>
      <c r="F1886" s="21" t="str">
        <f t="shared" si="540"/>
        <v>VERIFICAR</v>
      </c>
      <c r="G1886" s="21" t="str">
        <f t="shared" si="540"/>
        <v>VERIFICAR</v>
      </c>
      <c r="H1886" s="21" t="str">
        <f t="shared" si="540"/>
        <v>VERIFICAR</v>
      </c>
      <c r="I1886" s="24" t="str">
        <f t="shared" si="541"/>
        <v xml:space="preserve">SEM VALOR</v>
      </c>
      <c r="L1886" s="36"/>
      <c r="M1886" s="37"/>
      <c r="N1886" s="36"/>
    </row>
    <row r="1887" ht="38.25">
      <c r="A1887" s="19" t="s">
        <v>10460</v>
      </c>
      <c r="B1887" s="19">
        <v>44337</v>
      </c>
      <c r="C1887" s="20" t="s">
        <v>12345</v>
      </c>
      <c r="D1887" s="19" t="s">
        <v>31</v>
      </c>
      <c r="E1887" s="19" t="s">
        <v>10459</v>
      </c>
      <c r="F1887" s="21" t="str">
        <f t="shared" si="540"/>
        <v>VERIFICAR</v>
      </c>
      <c r="G1887" s="21" t="str">
        <f t="shared" si="540"/>
        <v>VERIFICAR</v>
      </c>
      <c r="H1887" s="21" t="str">
        <f t="shared" si="540"/>
        <v>VERIFICAR</v>
      </c>
      <c r="I1887" s="24" t="str">
        <f t="shared" si="541"/>
        <v xml:space="preserve">SEM VALOR</v>
      </c>
      <c r="L1887" s="36"/>
      <c r="M1887" s="37"/>
      <c r="N1887" s="36"/>
    </row>
    <row r="1888" ht="38.25">
      <c r="A1888" s="19" t="s">
        <v>10460</v>
      </c>
      <c r="B1888" s="19">
        <v>43964</v>
      </c>
      <c r="C1888" s="20" t="s">
        <v>12346</v>
      </c>
      <c r="D1888" s="19" t="s">
        <v>31</v>
      </c>
      <c r="E1888" s="19" t="s">
        <v>10459</v>
      </c>
      <c r="F1888" s="21" t="str">
        <f t="shared" si="540"/>
        <v>VERIFICAR</v>
      </c>
      <c r="G1888" s="21" t="str">
        <f t="shared" si="540"/>
        <v>VERIFICAR</v>
      </c>
      <c r="H1888" s="21" t="str">
        <f t="shared" si="540"/>
        <v>VERIFICAR</v>
      </c>
      <c r="I1888" s="24" t="str">
        <f t="shared" si="541"/>
        <v xml:space="preserve">SEM VALOR</v>
      </c>
      <c r="L1888" s="36"/>
      <c r="M1888" s="37"/>
      <c r="N1888" s="36"/>
    </row>
    <row r="1889" ht="38.25">
      <c r="A1889" s="19" t="s">
        <v>10460</v>
      </c>
      <c r="B1889" s="19">
        <v>44334</v>
      </c>
      <c r="C1889" s="20" t="s">
        <v>12347</v>
      </c>
      <c r="D1889" s="19" t="s">
        <v>31</v>
      </c>
      <c r="E1889" s="19" t="s">
        <v>10459</v>
      </c>
      <c r="F1889" s="21" t="str">
        <f t="shared" si="540"/>
        <v>VERIFICAR</v>
      </c>
      <c r="G1889" s="21" t="str">
        <f t="shared" si="540"/>
        <v>VERIFICAR</v>
      </c>
      <c r="H1889" s="21" t="str">
        <f t="shared" si="540"/>
        <v>VERIFICAR</v>
      </c>
      <c r="I1889" s="24" t="str">
        <f t="shared" si="541"/>
        <v xml:space="preserve">SEM VALOR</v>
      </c>
      <c r="L1889" s="36"/>
      <c r="M1889" s="37"/>
      <c r="N1889" s="36"/>
    </row>
    <row r="1890" ht="38.25">
      <c r="A1890" s="19" t="s">
        <v>10460</v>
      </c>
      <c r="B1890" s="19">
        <v>44344</v>
      </c>
      <c r="C1890" s="20" t="s">
        <v>12348</v>
      </c>
      <c r="D1890" s="19" t="s">
        <v>31</v>
      </c>
      <c r="E1890" s="19" t="s">
        <v>10459</v>
      </c>
      <c r="F1890" s="21" t="str">
        <f t="shared" si="540"/>
        <v>VERIFICAR</v>
      </c>
      <c r="G1890" s="21" t="str">
        <f t="shared" si="540"/>
        <v>VERIFICAR</v>
      </c>
      <c r="H1890" s="21" t="str">
        <f t="shared" si="540"/>
        <v>VERIFICAR</v>
      </c>
      <c r="I1890" s="24" t="str">
        <f t="shared" si="541"/>
        <v xml:space="preserve">SEM VALOR</v>
      </c>
      <c r="L1890" s="36"/>
      <c r="M1890" s="37"/>
      <c r="N1890" s="36"/>
    </row>
    <row r="1891" ht="38.25">
      <c r="A1891" s="19" t="s">
        <v>10460</v>
      </c>
      <c r="B1891" s="19">
        <v>44335</v>
      </c>
      <c r="C1891" s="20" t="s">
        <v>12349</v>
      </c>
      <c r="D1891" s="19" t="s">
        <v>31</v>
      </c>
      <c r="E1891" s="19" t="s">
        <v>10459</v>
      </c>
      <c r="F1891" s="21" t="str">
        <f t="shared" si="540"/>
        <v>VERIFICAR</v>
      </c>
      <c r="G1891" s="21" t="str">
        <f t="shared" si="540"/>
        <v>VERIFICAR</v>
      </c>
      <c r="H1891" s="21" t="str">
        <f t="shared" si="540"/>
        <v>VERIFICAR</v>
      </c>
      <c r="I1891" s="24" t="str">
        <f t="shared" si="541"/>
        <v xml:space="preserve">SEM VALOR</v>
      </c>
      <c r="L1891" s="36"/>
      <c r="M1891" s="37"/>
      <c r="N1891" s="36"/>
    </row>
    <row r="1892" ht="25.5">
      <c r="A1892" s="19" t="s">
        <v>10460</v>
      </c>
      <c r="B1892" s="19">
        <v>12624</v>
      </c>
      <c r="C1892" s="20" t="s">
        <v>12350</v>
      </c>
      <c r="D1892" s="19" t="s">
        <v>31</v>
      </c>
      <c r="E1892" s="19" t="s">
        <v>10459</v>
      </c>
      <c r="F1892" s="21">
        <f t="shared" si="540"/>
        <v>36.030000000000001</v>
      </c>
      <c r="G1892" s="21">
        <f t="shared" si="540"/>
        <v>36.030000000000001</v>
      </c>
      <c r="H1892" s="21">
        <f t="shared" si="540"/>
        <v>36.030000000000001</v>
      </c>
      <c r="I1892" s="24" t="str">
        <f t="shared" si="541"/>
        <v xml:space="preserve">COM VALOR</v>
      </c>
      <c r="L1892" s="36">
        <v>36.030000000000001</v>
      </c>
      <c r="M1892" s="37">
        <v>36.030000000000001</v>
      </c>
      <c r="N1892" s="36">
        <v>36.030000000000001</v>
      </c>
    </row>
    <row r="1893" ht="12.75">
      <c r="A1893" s="19" t="s">
        <v>10460</v>
      </c>
      <c r="B1893" s="19">
        <v>517</v>
      </c>
      <c r="C1893" s="20" t="s">
        <v>12351</v>
      </c>
      <c r="D1893" s="19" t="s">
        <v>9794</v>
      </c>
      <c r="E1893" s="19" t="s">
        <v>10459</v>
      </c>
      <c r="F1893" s="21">
        <f t="shared" si="540"/>
        <v>11.08</v>
      </c>
      <c r="G1893" s="21">
        <f t="shared" si="540"/>
        <v>11.08</v>
      </c>
      <c r="H1893" s="21">
        <f t="shared" si="540"/>
        <v>11.08</v>
      </c>
      <c r="I1893" s="24" t="str">
        <f t="shared" si="541"/>
        <v xml:space="preserve">COM VALOR</v>
      </c>
      <c r="L1893" s="36">
        <v>11.08</v>
      </c>
      <c r="M1893" s="37">
        <v>11.08</v>
      </c>
      <c r="N1893" s="36">
        <v>11.08</v>
      </c>
    </row>
    <row r="1894" ht="25.5">
      <c r="A1894" s="19" t="s">
        <v>10460</v>
      </c>
      <c r="B1894" s="19">
        <v>37534</v>
      </c>
      <c r="C1894" s="20" t="s">
        <v>12352</v>
      </c>
      <c r="D1894" s="19" t="s">
        <v>302</v>
      </c>
      <c r="E1894" s="19" t="s">
        <v>10459</v>
      </c>
      <c r="F1894" s="21" t="str">
        <f t="shared" si="540"/>
        <v>VERIFICAR</v>
      </c>
      <c r="G1894" s="21" t="str">
        <f t="shared" si="540"/>
        <v>VERIFICAR</v>
      </c>
      <c r="H1894" s="21" t="str">
        <f t="shared" si="540"/>
        <v>VERIFICAR</v>
      </c>
      <c r="I1894" s="24" t="str">
        <f t="shared" si="541"/>
        <v xml:space="preserve">SEM VALOR</v>
      </c>
      <c r="L1894" s="36"/>
      <c r="M1894" s="37"/>
      <c r="N1894" s="36"/>
    </row>
    <row r="1895" ht="25.5">
      <c r="A1895" s="19" t="s">
        <v>10460</v>
      </c>
      <c r="B1895" s="19">
        <v>37535</v>
      </c>
      <c r="C1895" s="20" t="s">
        <v>12353</v>
      </c>
      <c r="D1895" s="19" t="s">
        <v>302</v>
      </c>
      <c r="E1895" s="19" t="s">
        <v>10459</v>
      </c>
      <c r="F1895" s="21" t="str">
        <f t="shared" si="540"/>
        <v>VERIFICAR</v>
      </c>
      <c r="G1895" s="21" t="str">
        <f t="shared" si="540"/>
        <v>VERIFICAR</v>
      </c>
      <c r="H1895" s="21" t="str">
        <f t="shared" si="540"/>
        <v>VERIFICAR</v>
      </c>
      <c r="I1895" s="24" t="str">
        <f t="shared" si="541"/>
        <v xml:space="preserve">SEM VALOR</v>
      </c>
      <c r="L1895" s="36"/>
      <c r="M1895" s="37"/>
      <c r="N1895" s="36"/>
    </row>
    <row r="1896" ht="25.5">
      <c r="A1896" s="19" t="s">
        <v>10460</v>
      </c>
      <c r="B1896" s="19">
        <v>37533</v>
      </c>
      <c r="C1896" s="20" t="s">
        <v>12354</v>
      </c>
      <c r="D1896" s="19" t="s">
        <v>302</v>
      </c>
      <c r="E1896" s="19" t="s">
        <v>10459</v>
      </c>
      <c r="F1896" s="21" t="str">
        <f t="shared" si="540"/>
        <v>VERIFICAR</v>
      </c>
      <c r="G1896" s="21" t="str">
        <f t="shared" si="540"/>
        <v>VERIFICAR</v>
      </c>
      <c r="H1896" s="21" t="str">
        <f t="shared" si="540"/>
        <v>VERIFICAR</v>
      </c>
      <c r="I1896" s="24" t="str">
        <f t="shared" si="541"/>
        <v xml:space="preserve">SEM VALOR</v>
      </c>
      <c r="L1896" s="36"/>
      <c r="M1896" s="37"/>
      <c r="N1896" s="36"/>
    </row>
    <row r="1897" ht="25.5">
      <c r="A1897" s="19" t="s">
        <v>10460</v>
      </c>
      <c r="B1897" s="19">
        <v>37537</v>
      </c>
      <c r="C1897" s="20" t="s">
        <v>12355</v>
      </c>
      <c r="D1897" s="19" t="s">
        <v>302</v>
      </c>
      <c r="E1897" s="19" t="s">
        <v>10459</v>
      </c>
      <c r="F1897" s="21" t="str">
        <f t="shared" si="540"/>
        <v>VERIFICAR</v>
      </c>
      <c r="G1897" s="21" t="str">
        <f t="shared" si="540"/>
        <v>VERIFICAR</v>
      </c>
      <c r="H1897" s="21" t="str">
        <f t="shared" si="540"/>
        <v>VERIFICAR</v>
      </c>
      <c r="I1897" s="24" t="str">
        <f t="shared" si="541"/>
        <v xml:space="preserve">SEM VALOR</v>
      </c>
      <c r="L1897" s="36"/>
      <c r="M1897" s="37"/>
      <c r="N1897" s="36"/>
    </row>
    <row r="1898" ht="25.5">
      <c r="A1898" s="19" t="s">
        <v>10460</v>
      </c>
      <c r="B1898" s="19">
        <v>37536</v>
      </c>
      <c r="C1898" s="20" t="s">
        <v>12356</v>
      </c>
      <c r="D1898" s="19" t="s">
        <v>302</v>
      </c>
      <c r="E1898" s="19" t="s">
        <v>10459</v>
      </c>
      <c r="F1898" s="21" t="str">
        <f t="shared" si="540"/>
        <v>VERIFICAR</v>
      </c>
      <c r="G1898" s="21" t="str">
        <f t="shared" si="540"/>
        <v>VERIFICAR</v>
      </c>
      <c r="H1898" s="21" t="str">
        <f t="shared" si="540"/>
        <v>VERIFICAR</v>
      </c>
      <c r="I1898" s="24" t="str">
        <f t="shared" si="541"/>
        <v xml:space="preserve">SEM VALOR</v>
      </c>
      <c r="L1898" s="36"/>
      <c r="M1898" s="37"/>
      <c r="N1898" s="36"/>
    </row>
    <row r="1899" ht="25.5">
      <c r="A1899" s="19" t="s">
        <v>10460</v>
      </c>
      <c r="B1899" s="19">
        <v>37532</v>
      </c>
      <c r="C1899" s="20" t="s">
        <v>12357</v>
      </c>
      <c r="D1899" s="19" t="s">
        <v>302</v>
      </c>
      <c r="E1899" s="19" t="s">
        <v>10466</v>
      </c>
      <c r="F1899" s="21" t="str">
        <f t="shared" si="540"/>
        <v>VERIFICAR</v>
      </c>
      <c r="G1899" s="21" t="str">
        <f t="shared" si="540"/>
        <v>VERIFICAR</v>
      </c>
      <c r="H1899" s="21" t="str">
        <f t="shared" si="540"/>
        <v>VERIFICAR</v>
      </c>
      <c r="I1899" s="24" t="str">
        <f t="shared" si="541"/>
        <v xml:space="preserve">SEM VALOR</v>
      </c>
      <c r="L1899" s="36"/>
      <c r="M1899" s="37"/>
      <c r="N1899" s="36"/>
    </row>
    <row r="1900" ht="12.75">
      <c r="A1900" s="19" t="s">
        <v>10604</v>
      </c>
      <c r="B1900" s="19">
        <v>2696</v>
      </c>
      <c r="C1900" s="20" t="s">
        <v>12358</v>
      </c>
      <c r="D1900" s="19" t="s">
        <v>2032</v>
      </c>
      <c r="E1900" s="19" t="s">
        <v>10466</v>
      </c>
      <c r="F1900" s="21">
        <f t="shared" si="540"/>
        <v>21.260000000000002</v>
      </c>
      <c r="G1900" s="21">
        <f t="shared" si="540"/>
        <v>21.260000000000002</v>
      </c>
      <c r="H1900" s="21">
        <f t="shared" si="540"/>
        <v>21.260000000000002</v>
      </c>
      <c r="I1900" s="24" t="str">
        <f t="shared" si="541"/>
        <v xml:space="preserve">COM VALOR</v>
      </c>
      <c r="L1900" s="36">
        <v>21.260000000000002</v>
      </c>
      <c r="M1900" s="37">
        <v>21.260000000000002</v>
      </c>
      <c r="N1900" s="36">
        <v>21.260000000000002</v>
      </c>
    </row>
    <row r="1901" ht="12.75">
      <c r="A1901" s="19" t="s">
        <v>10604</v>
      </c>
      <c r="B1901" s="19">
        <v>40928</v>
      </c>
      <c r="C1901" s="20" t="s">
        <v>12359</v>
      </c>
      <c r="D1901" s="19" t="s">
        <v>7087</v>
      </c>
      <c r="E1901" s="19" t="s">
        <v>10459</v>
      </c>
      <c r="F1901" s="21">
        <f t="shared" si="540"/>
        <v>3721.6900000000001</v>
      </c>
      <c r="G1901" s="21">
        <f t="shared" si="540"/>
        <v>3721.6900000000001</v>
      </c>
      <c r="H1901" s="21">
        <f t="shared" si="540"/>
        <v>3721.6900000000001</v>
      </c>
      <c r="I1901" s="24" t="str">
        <f t="shared" si="541"/>
        <v xml:space="preserve">COM VALOR</v>
      </c>
      <c r="L1901" s="36">
        <v>3721.6900000000001</v>
      </c>
      <c r="M1901" s="37">
        <v>3721.6900000000001</v>
      </c>
      <c r="N1901" s="36">
        <v>3721.6900000000001</v>
      </c>
    </row>
    <row r="1902" ht="12.75">
      <c r="A1902" s="19" t="s">
        <v>10604</v>
      </c>
      <c r="B1902" s="19">
        <v>4083</v>
      </c>
      <c r="C1902" s="20" t="s">
        <v>12360</v>
      </c>
      <c r="D1902" s="19" t="s">
        <v>2032</v>
      </c>
      <c r="E1902" s="19" t="s">
        <v>10466</v>
      </c>
      <c r="F1902" s="21">
        <f t="shared" si="540"/>
        <v>28.940000000000001</v>
      </c>
      <c r="G1902" s="21">
        <f t="shared" si="540"/>
        <v>28.940000000000001</v>
      </c>
      <c r="H1902" s="21">
        <f t="shared" si="540"/>
        <v>28.940000000000001</v>
      </c>
      <c r="I1902" s="24" t="str">
        <f t="shared" si="541"/>
        <v xml:space="preserve">COM VALOR</v>
      </c>
      <c r="L1902" s="36">
        <v>28.940000000000001</v>
      </c>
      <c r="M1902" s="37">
        <v>28.940000000000001</v>
      </c>
      <c r="N1902" s="36">
        <v>28.940000000000001</v>
      </c>
    </row>
    <row r="1903" ht="12.75">
      <c r="A1903" s="19" t="s">
        <v>10604</v>
      </c>
      <c r="B1903" s="19">
        <v>40818</v>
      </c>
      <c r="C1903" s="20" t="s">
        <v>12361</v>
      </c>
      <c r="D1903" s="19" t="s">
        <v>7087</v>
      </c>
      <c r="E1903" s="19" t="s">
        <v>10459</v>
      </c>
      <c r="F1903" s="21">
        <f t="shared" si="540"/>
        <v>5065.4300000000003</v>
      </c>
      <c r="G1903" s="21">
        <f t="shared" si="540"/>
        <v>5065.4300000000003</v>
      </c>
      <c r="H1903" s="21">
        <f t="shared" si="540"/>
        <v>5065.4300000000003</v>
      </c>
      <c r="I1903" s="24" t="str">
        <f t="shared" si="541"/>
        <v xml:space="preserve">COM VALOR</v>
      </c>
      <c r="L1903" s="36">
        <v>5065.4300000000003</v>
      </c>
      <c r="M1903" s="37">
        <v>5065.4300000000003</v>
      </c>
      <c r="N1903" s="36">
        <v>5065.4300000000003</v>
      </c>
    </row>
    <row r="1904" ht="25.5">
      <c r="A1904" s="19" t="s">
        <v>10460</v>
      </c>
      <c r="B1904" s="19">
        <v>43146</v>
      </c>
      <c r="C1904" s="20" t="s">
        <v>12362</v>
      </c>
      <c r="D1904" s="19" t="s">
        <v>302</v>
      </c>
      <c r="E1904" s="19" t="s">
        <v>10459</v>
      </c>
      <c r="F1904" s="21">
        <f t="shared" si="540"/>
        <v>8.4700000000000006</v>
      </c>
      <c r="G1904" s="21">
        <f t="shared" si="540"/>
        <v>8.4700000000000006</v>
      </c>
      <c r="H1904" s="21">
        <f t="shared" si="540"/>
        <v>8.4700000000000006</v>
      </c>
      <c r="I1904" s="24" t="str">
        <f t="shared" si="541"/>
        <v xml:space="preserve">COM VALOR</v>
      </c>
      <c r="L1904" s="36">
        <v>8.4700000000000006</v>
      </c>
      <c r="M1904" s="37">
        <v>8.4700000000000006</v>
      </c>
      <c r="N1904" s="36">
        <v>8.4700000000000006</v>
      </c>
    </row>
    <row r="1905" ht="12.75">
      <c r="A1905" s="19" t="s">
        <v>12363</v>
      </c>
      <c r="B1905" s="19">
        <v>2705</v>
      </c>
      <c r="C1905" s="20" t="s">
        <v>12364</v>
      </c>
      <c r="D1905" s="19" t="s">
        <v>12365</v>
      </c>
      <c r="E1905" s="19" t="s">
        <v>10459</v>
      </c>
      <c r="F1905" s="21">
        <f t="shared" si="540"/>
        <v>1.1299999999999999</v>
      </c>
      <c r="G1905" s="21">
        <f t="shared" si="540"/>
        <v>1.1299999999999999</v>
      </c>
      <c r="H1905" s="21">
        <f t="shared" si="540"/>
        <v>1.1299999999999999</v>
      </c>
      <c r="I1905" s="24" t="str">
        <f t="shared" si="541"/>
        <v xml:space="preserve">COM VALOR</v>
      </c>
      <c r="L1905" s="36">
        <v>1.1299999999999999</v>
      </c>
      <c r="M1905" s="37">
        <v>1.1299999999999999</v>
      </c>
      <c r="N1905" s="36">
        <v>1.1299999999999999</v>
      </c>
    </row>
    <row r="1906" ht="38.25">
      <c r="A1906" s="19" t="s">
        <v>12363</v>
      </c>
      <c r="B1906" s="19">
        <v>14250</v>
      </c>
      <c r="C1906" s="20" t="s">
        <v>12366</v>
      </c>
      <c r="D1906" s="19" t="s">
        <v>12365</v>
      </c>
      <c r="E1906" s="19" t="s">
        <v>10466</v>
      </c>
      <c r="F1906" s="21">
        <f t="shared" si="540"/>
        <v>1.1499999999999999</v>
      </c>
      <c r="G1906" s="21">
        <f t="shared" si="540"/>
        <v>1.1499999999999999</v>
      </c>
      <c r="H1906" s="21">
        <f t="shared" si="540"/>
        <v>1.1499999999999999</v>
      </c>
      <c r="I1906" s="24" t="str">
        <f t="shared" si="541"/>
        <v xml:space="preserve">COM VALOR</v>
      </c>
      <c r="L1906" s="36">
        <v>1.1499999999999999</v>
      </c>
      <c r="M1906" s="37">
        <v>1.1499999999999999</v>
      </c>
      <c r="N1906" s="36">
        <v>1.1499999999999999</v>
      </c>
    </row>
    <row r="1907" ht="12.75">
      <c r="A1907" s="19" t="s">
        <v>10460</v>
      </c>
      <c r="B1907" s="19">
        <v>11683</v>
      </c>
      <c r="C1907" s="20" t="s">
        <v>12367</v>
      </c>
      <c r="D1907" s="19" t="s">
        <v>31</v>
      </c>
      <c r="E1907" s="19" t="s">
        <v>10459</v>
      </c>
      <c r="F1907" s="21">
        <f t="shared" si="540"/>
        <v>84.359999999999999</v>
      </c>
      <c r="G1907" s="21">
        <f t="shared" si="540"/>
        <v>84.359999999999999</v>
      </c>
      <c r="H1907" s="21">
        <f t="shared" si="540"/>
        <v>84.359999999999999</v>
      </c>
      <c r="I1907" s="24" t="str">
        <f t="shared" si="541"/>
        <v xml:space="preserve">COM VALOR</v>
      </c>
      <c r="L1907" s="36">
        <v>84.359999999999999</v>
      </c>
      <c r="M1907" s="37">
        <v>84.359999999999999</v>
      </c>
      <c r="N1907" s="36">
        <v>84.359999999999999</v>
      </c>
    </row>
    <row r="1908" ht="12.75">
      <c r="A1908" s="19" t="s">
        <v>10460</v>
      </c>
      <c r="B1908" s="19">
        <v>11684</v>
      </c>
      <c r="C1908" s="20" t="s">
        <v>12368</v>
      </c>
      <c r="D1908" s="19" t="s">
        <v>31</v>
      </c>
      <c r="E1908" s="19" t="s">
        <v>10459</v>
      </c>
      <c r="F1908" s="21">
        <f t="shared" si="540"/>
        <v>92.340000000000003</v>
      </c>
      <c r="G1908" s="21">
        <f t="shared" si="540"/>
        <v>92.340000000000003</v>
      </c>
      <c r="H1908" s="21">
        <f t="shared" si="540"/>
        <v>92.340000000000003</v>
      </c>
      <c r="I1908" s="24" t="str">
        <f t="shared" si="541"/>
        <v xml:space="preserve">COM VALOR</v>
      </c>
      <c r="L1908" s="36">
        <v>92.340000000000003</v>
      </c>
      <c r="M1908" s="37">
        <v>92.340000000000003</v>
      </c>
      <c r="N1908" s="36">
        <v>92.340000000000003</v>
      </c>
    </row>
    <row r="1909" ht="25.5">
      <c r="A1909" s="19" t="s">
        <v>10460</v>
      </c>
      <c r="B1909" s="19">
        <v>6141</v>
      </c>
      <c r="C1909" s="20" t="s">
        <v>12369</v>
      </c>
      <c r="D1909" s="19" t="s">
        <v>31</v>
      </c>
      <c r="E1909" s="19" t="s">
        <v>10459</v>
      </c>
      <c r="F1909" s="21">
        <f t="shared" si="540"/>
        <v>6</v>
      </c>
      <c r="G1909" s="21">
        <f t="shared" si="540"/>
        <v>6</v>
      </c>
      <c r="H1909" s="21">
        <f t="shared" si="540"/>
        <v>6</v>
      </c>
      <c r="I1909" s="24" t="str">
        <f t="shared" si="541"/>
        <v xml:space="preserve">COM VALOR</v>
      </c>
      <c r="L1909" s="36">
        <v>6</v>
      </c>
      <c r="M1909" s="37">
        <v>6</v>
      </c>
      <c r="N1909" s="36">
        <v>6</v>
      </c>
    </row>
    <row r="1910" ht="25.5">
      <c r="A1910" s="19" t="s">
        <v>10460</v>
      </c>
      <c r="B1910" s="19">
        <v>11681</v>
      </c>
      <c r="C1910" s="20" t="s">
        <v>12370</v>
      </c>
      <c r="D1910" s="19" t="s">
        <v>31</v>
      </c>
      <c r="E1910" s="19" t="s">
        <v>10459</v>
      </c>
      <c r="F1910" s="21">
        <f t="shared" si="540"/>
        <v>7.5700000000000003</v>
      </c>
      <c r="G1910" s="21">
        <f t="shared" si="540"/>
        <v>7.5700000000000003</v>
      </c>
      <c r="H1910" s="21">
        <f t="shared" si="540"/>
        <v>7.5700000000000003</v>
      </c>
      <c r="I1910" s="24" t="str">
        <f t="shared" si="541"/>
        <v xml:space="preserve">COM VALOR</v>
      </c>
      <c r="L1910" s="36">
        <v>7.5700000000000003</v>
      </c>
      <c r="M1910" s="37">
        <v>7.5700000000000003</v>
      </c>
      <c r="N1910" s="36">
        <v>7.5700000000000003</v>
      </c>
    </row>
    <row r="1911" ht="12.75">
      <c r="A1911" s="19" t="s">
        <v>10604</v>
      </c>
      <c r="B1911" s="19">
        <v>2706</v>
      </c>
      <c r="C1911" s="20" t="s">
        <v>12371</v>
      </c>
      <c r="D1911" s="19" t="s">
        <v>2032</v>
      </c>
      <c r="E1911" s="19" t="s">
        <v>10466</v>
      </c>
      <c r="F1911" s="21">
        <f t="shared" si="540"/>
        <v>135.09</v>
      </c>
      <c r="G1911" s="21">
        <f t="shared" si="540"/>
        <v>135.09</v>
      </c>
      <c r="H1911" s="21">
        <f t="shared" si="540"/>
        <v>135.09</v>
      </c>
      <c r="I1911" s="24" t="str">
        <f t="shared" si="541"/>
        <v xml:space="preserve">COM VALOR</v>
      </c>
      <c r="L1911" s="36">
        <v>135.09</v>
      </c>
      <c r="M1911" s="37">
        <v>135.09</v>
      </c>
      <c r="N1911" s="36">
        <v>135.09</v>
      </c>
    </row>
    <row r="1912" ht="12.75">
      <c r="A1912" s="19" t="s">
        <v>10604</v>
      </c>
      <c r="B1912" s="19">
        <v>40811</v>
      </c>
      <c r="C1912" s="20" t="s">
        <v>12372</v>
      </c>
      <c r="D1912" s="19" t="s">
        <v>7087</v>
      </c>
      <c r="E1912" s="19" t="s">
        <v>10459</v>
      </c>
      <c r="F1912" s="21">
        <f t="shared" si="540"/>
        <v>23639.939999999999</v>
      </c>
      <c r="G1912" s="21">
        <f t="shared" si="540"/>
        <v>23639.939999999999</v>
      </c>
      <c r="H1912" s="21">
        <f t="shared" si="540"/>
        <v>23639.939999999999</v>
      </c>
      <c r="I1912" s="24" t="str">
        <f t="shared" si="541"/>
        <v xml:space="preserve">COM VALOR</v>
      </c>
      <c r="L1912" s="36">
        <v>23639.939999999999</v>
      </c>
      <c r="M1912" s="37">
        <v>23639.939999999999</v>
      </c>
      <c r="N1912" s="36">
        <v>23639.939999999999</v>
      </c>
    </row>
    <row r="1913" ht="12.75">
      <c r="A1913" s="19" t="s">
        <v>10604</v>
      </c>
      <c r="B1913" s="19">
        <v>2707</v>
      </c>
      <c r="C1913" s="20" t="s">
        <v>12373</v>
      </c>
      <c r="D1913" s="19" t="s">
        <v>2032</v>
      </c>
      <c r="E1913" s="19" t="s">
        <v>10459</v>
      </c>
      <c r="F1913" s="21">
        <f t="shared" si="540"/>
        <v>142.62</v>
      </c>
      <c r="G1913" s="21">
        <f t="shared" si="540"/>
        <v>142.62</v>
      </c>
      <c r="H1913" s="21">
        <f t="shared" si="540"/>
        <v>142.62</v>
      </c>
      <c r="I1913" s="24" t="str">
        <f t="shared" si="541"/>
        <v xml:space="preserve">COM VALOR</v>
      </c>
      <c r="L1913" s="36">
        <v>142.62</v>
      </c>
      <c r="M1913" s="37">
        <v>142.62</v>
      </c>
      <c r="N1913" s="36">
        <v>142.62</v>
      </c>
    </row>
    <row r="1914" ht="12.75">
      <c r="A1914" s="19" t="s">
        <v>10604</v>
      </c>
      <c r="B1914" s="19">
        <v>40813</v>
      </c>
      <c r="C1914" s="20" t="s">
        <v>12374</v>
      </c>
      <c r="D1914" s="19" t="s">
        <v>7087</v>
      </c>
      <c r="E1914" s="19" t="s">
        <v>10459</v>
      </c>
      <c r="F1914" s="21">
        <f t="shared" si="540"/>
        <v>24958.509999999998</v>
      </c>
      <c r="G1914" s="21">
        <f t="shared" si="540"/>
        <v>24958.509999999998</v>
      </c>
      <c r="H1914" s="21">
        <f t="shared" si="540"/>
        <v>24958.509999999998</v>
      </c>
      <c r="I1914" s="24" t="str">
        <f t="shared" si="541"/>
        <v xml:space="preserve">COM VALOR</v>
      </c>
      <c r="L1914" s="36">
        <v>24958.509999999998</v>
      </c>
      <c r="M1914" s="37">
        <v>24958.509999999998</v>
      </c>
      <c r="N1914" s="36">
        <v>24958.509999999998</v>
      </c>
    </row>
    <row r="1915" ht="12.75">
      <c r="A1915" s="19" t="s">
        <v>10604</v>
      </c>
      <c r="B1915" s="19">
        <v>2708</v>
      </c>
      <c r="C1915" s="20" t="s">
        <v>12375</v>
      </c>
      <c r="D1915" s="19" t="s">
        <v>2032</v>
      </c>
      <c r="E1915" s="19" t="s">
        <v>10459</v>
      </c>
      <c r="F1915" s="21">
        <f t="shared" si="540"/>
        <v>170.08000000000001</v>
      </c>
      <c r="G1915" s="21">
        <f t="shared" si="540"/>
        <v>170.08000000000001</v>
      </c>
      <c r="H1915" s="21">
        <f t="shared" si="540"/>
        <v>170.08000000000001</v>
      </c>
      <c r="I1915" s="24" t="str">
        <f t="shared" si="541"/>
        <v xml:space="preserve">COM VALOR</v>
      </c>
      <c r="L1915" s="36">
        <v>170.08000000000001</v>
      </c>
      <c r="M1915" s="37">
        <v>170.08000000000001</v>
      </c>
      <c r="N1915" s="36">
        <v>170.08000000000001</v>
      </c>
    </row>
    <row r="1916" ht="12.75">
      <c r="A1916" s="19" t="s">
        <v>10604</v>
      </c>
      <c r="B1916" s="19">
        <v>40814</v>
      </c>
      <c r="C1916" s="20" t="s">
        <v>12376</v>
      </c>
      <c r="D1916" s="19" t="s">
        <v>7087</v>
      </c>
      <c r="E1916" s="19" t="s">
        <v>10459</v>
      </c>
      <c r="F1916" s="21">
        <f t="shared" si="540"/>
        <v>29765.299999999999</v>
      </c>
      <c r="G1916" s="21">
        <f t="shared" si="540"/>
        <v>29765.299999999999</v>
      </c>
      <c r="H1916" s="21">
        <f t="shared" si="540"/>
        <v>29765.299999999999</v>
      </c>
      <c r="I1916" s="24" t="str">
        <f t="shared" si="541"/>
        <v xml:space="preserve">COM VALOR</v>
      </c>
      <c r="L1916" s="36">
        <v>29765.299999999999</v>
      </c>
      <c r="M1916" s="37">
        <v>29765.299999999999</v>
      </c>
      <c r="N1916" s="36">
        <v>29765.299999999999</v>
      </c>
    </row>
    <row r="1917" ht="25.5">
      <c r="A1917" s="19" t="s">
        <v>10460</v>
      </c>
      <c r="B1917" s="19">
        <v>38403</v>
      </c>
      <c r="C1917" s="20" t="s">
        <v>12377</v>
      </c>
      <c r="D1917" s="19" t="s">
        <v>31</v>
      </c>
      <c r="E1917" s="19" t="s">
        <v>10459</v>
      </c>
      <c r="F1917" s="21">
        <f t="shared" si="540"/>
        <v>57.789999999999999</v>
      </c>
      <c r="G1917" s="21">
        <f t="shared" si="540"/>
        <v>57.789999999999999</v>
      </c>
      <c r="H1917" s="21">
        <f t="shared" si="540"/>
        <v>57.789999999999999</v>
      </c>
      <c r="I1917" s="24" t="str">
        <f t="shared" si="541"/>
        <v xml:space="preserve">COM VALOR</v>
      </c>
      <c r="L1917" s="36">
        <v>57.789999999999999</v>
      </c>
      <c r="M1917" s="37">
        <v>57.789999999999999</v>
      </c>
      <c r="N1917" s="36">
        <v>57.789999999999999</v>
      </c>
    </row>
    <row r="1918" ht="25.5">
      <c r="A1918" s="19" t="s">
        <v>10635</v>
      </c>
      <c r="B1918" s="19">
        <v>43482</v>
      </c>
      <c r="C1918" s="20" t="s">
        <v>12378</v>
      </c>
      <c r="D1918" s="19" t="s">
        <v>2032</v>
      </c>
      <c r="E1918" s="19" t="s">
        <v>10466</v>
      </c>
      <c r="F1918" s="21">
        <f t="shared" si="540"/>
        <v>0.71999999999999997</v>
      </c>
      <c r="G1918" s="21">
        <f t="shared" si="540"/>
        <v>0.71999999999999997</v>
      </c>
      <c r="H1918" s="21">
        <f t="shared" si="540"/>
        <v>0.71999999999999997</v>
      </c>
      <c r="I1918" s="24" t="str">
        <f t="shared" si="541"/>
        <v xml:space="preserve">COM VALOR</v>
      </c>
      <c r="L1918" s="36">
        <v>0.71999999999999997</v>
      </c>
      <c r="M1918" s="37">
        <v>0.71999999999999997</v>
      </c>
      <c r="N1918" s="36">
        <v>0.71999999999999997</v>
      </c>
    </row>
    <row r="1919" ht="25.5">
      <c r="A1919" s="19" t="s">
        <v>10635</v>
      </c>
      <c r="B1919" s="19">
        <v>43494</v>
      </c>
      <c r="C1919" s="20" t="s">
        <v>12379</v>
      </c>
      <c r="D1919" s="19" t="s">
        <v>7087</v>
      </c>
      <c r="E1919" s="19" t="s">
        <v>10466</v>
      </c>
      <c r="F1919" s="21">
        <f t="shared" si="540"/>
        <v>120</v>
      </c>
      <c r="G1919" s="21">
        <f t="shared" si="540"/>
        <v>120</v>
      </c>
      <c r="H1919" s="21">
        <f t="shared" si="540"/>
        <v>120</v>
      </c>
      <c r="I1919" s="24" t="str">
        <f t="shared" si="541"/>
        <v xml:space="preserve">COM VALOR</v>
      </c>
      <c r="L1919" s="36">
        <v>120</v>
      </c>
      <c r="M1919" s="37">
        <v>120</v>
      </c>
      <c r="N1919" s="36">
        <v>120</v>
      </c>
    </row>
    <row r="1920" ht="25.5">
      <c r="A1920" s="19" t="s">
        <v>10635</v>
      </c>
      <c r="B1920" s="19">
        <v>43483</v>
      </c>
      <c r="C1920" s="20" t="s">
        <v>12380</v>
      </c>
      <c r="D1920" s="19" t="s">
        <v>2032</v>
      </c>
      <c r="E1920" s="19" t="s">
        <v>10466</v>
      </c>
      <c r="F1920" s="21">
        <f t="shared" si="540"/>
        <v>1.4099999999999999</v>
      </c>
      <c r="G1920" s="21">
        <f t="shared" si="540"/>
        <v>1.4099999999999999</v>
      </c>
      <c r="H1920" s="21">
        <f t="shared" si="540"/>
        <v>1.4099999999999999</v>
      </c>
      <c r="I1920" s="24" t="str">
        <f t="shared" si="541"/>
        <v xml:space="preserve">COM VALOR</v>
      </c>
      <c r="L1920" s="36">
        <v>1.4099999999999999</v>
      </c>
      <c r="M1920" s="37">
        <v>1.4099999999999999</v>
      </c>
      <c r="N1920" s="36">
        <v>1.4099999999999999</v>
      </c>
    </row>
    <row r="1921" ht="25.5">
      <c r="A1921" s="19" t="s">
        <v>10635</v>
      </c>
      <c r="B1921" s="19">
        <v>43495</v>
      </c>
      <c r="C1921" s="20" t="s">
        <v>12381</v>
      </c>
      <c r="D1921" s="19" t="s">
        <v>7087</v>
      </c>
      <c r="E1921" s="19" t="s">
        <v>10466</v>
      </c>
      <c r="F1921" s="21">
        <f t="shared" si="540"/>
        <v>232.31</v>
      </c>
      <c r="G1921" s="21">
        <f t="shared" si="540"/>
        <v>232.31</v>
      </c>
      <c r="H1921" s="21">
        <f t="shared" si="540"/>
        <v>232.31</v>
      </c>
      <c r="I1921" s="24" t="str">
        <f t="shared" si="541"/>
        <v xml:space="preserve">COM VALOR</v>
      </c>
      <c r="L1921" s="36">
        <v>232.31</v>
      </c>
      <c r="M1921" s="37">
        <v>232.31</v>
      </c>
      <c r="N1921" s="36">
        <v>232.31</v>
      </c>
    </row>
    <row r="1922" ht="25.5">
      <c r="A1922" s="19" t="s">
        <v>10635</v>
      </c>
      <c r="B1922" s="19">
        <v>43484</v>
      </c>
      <c r="C1922" s="20" t="s">
        <v>12382</v>
      </c>
      <c r="D1922" s="19" t="s">
        <v>2032</v>
      </c>
      <c r="E1922" s="19" t="s">
        <v>10466</v>
      </c>
      <c r="F1922" s="21">
        <f t="shared" si="540"/>
        <v>1.3400000000000001</v>
      </c>
      <c r="G1922" s="21">
        <f t="shared" si="540"/>
        <v>1.3400000000000001</v>
      </c>
      <c r="H1922" s="21">
        <f t="shared" si="540"/>
        <v>1.3400000000000001</v>
      </c>
      <c r="I1922" s="24" t="str">
        <f t="shared" si="541"/>
        <v xml:space="preserve">COM VALOR</v>
      </c>
      <c r="L1922" s="36">
        <v>1.3400000000000001</v>
      </c>
      <c r="M1922" s="37">
        <v>1.3400000000000001</v>
      </c>
      <c r="N1922" s="36">
        <v>1.3400000000000001</v>
      </c>
    </row>
    <row r="1923" ht="25.5">
      <c r="A1923" s="19" t="s">
        <v>10635</v>
      </c>
      <c r="B1923" s="19">
        <v>43496</v>
      </c>
      <c r="C1923" s="20" t="s">
        <v>12383</v>
      </c>
      <c r="D1923" s="19" t="s">
        <v>7087</v>
      </c>
      <c r="E1923" s="19" t="s">
        <v>10466</v>
      </c>
      <c r="F1923" s="21">
        <f t="shared" si="540"/>
        <v>221.49000000000001</v>
      </c>
      <c r="G1923" s="21">
        <f t="shared" si="540"/>
        <v>221.49000000000001</v>
      </c>
      <c r="H1923" s="21">
        <f t="shared" si="540"/>
        <v>221.49000000000001</v>
      </c>
      <c r="I1923" s="24" t="str">
        <f t="shared" si="541"/>
        <v xml:space="preserve">COM VALOR</v>
      </c>
      <c r="L1923" s="36">
        <v>221.49000000000001</v>
      </c>
      <c r="M1923" s="37">
        <v>221.49000000000001</v>
      </c>
      <c r="N1923" s="36">
        <v>221.49000000000001</v>
      </c>
    </row>
    <row r="1924" ht="25.5">
      <c r="A1924" s="19" t="s">
        <v>10635</v>
      </c>
      <c r="B1924" s="19">
        <v>43485</v>
      </c>
      <c r="C1924" s="20" t="s">
        <v>12384</v>
      </c>
      <c r="D1924" s="19" t="s">
        <v>2032</v>
      </c>
      <c r="E1924" s="19" t="s">
        <v>10466</v>
      </c>
      <c r="F1924" s="21">
        <f t="shared" si="540"/>
        <v>1.2</v>
      </c>
      <c r="G1924" s="21">
        <f t="shared" si="540"/>
        <v>1.2</v>
      </c>
      <c r="H1924" s="21">
        <f t="shared" si="540"/>
        <v>1.2</v>
      </c>
      <c r="I1924" s="24" t="str">
        <f t="shared" si="541"/>
        <v xml:space="preserve">COM VALOR</v>
      </c>
      <c r="L1924" s="36">
        <v>1.2</v>
      </c>
      <c r="M1924" s="37">
        <v>1.2</v>
      </c>
      <c r="N1924" s="36">
        <v>1.2</v>
      </c>
    </row>
    <row r="1925" ht="25.5">
      <c r="A1925" s="19" t="s">
        <v>10635</v>
      </c>
      <c r="B1925" s="19">
        <v>43497</v>
      </c>
      <c r="C1925" s="20" t="s">
        <v>12385</v>
      </c>
      <c r="D1925" s="19" t="s">
        <v>7087</v>
      </c>
      <c r="E1925" s="19" t="s">
        <v>10466</v>
      </c>
      <c r="F1925" s="21">
        <f t="shared" si="540"/>
        <v>198.18000000000001</v>
      </c>
      <c r="G1925" s="21">
        <f t="shared" si="540"/>
        <v>198.18000000000001</v>
      </c>
      <c r="H1925" s="21">
        <f t="shared" si="540"/>
        <v>198.18000000000001</v>
      </c>
      <c r="I1925" s="24" t="str">
        <f t="shared" si="541"/>
        <v xml:space="preserve">COM VALOR</v>
      </c>
      <c r="L1925" s="36">
        <v>198.18000000000001</v>
      </c>
      <c r="M1925" s="37">
        <v>198.18000000000001</v>
      </c>
      <c r="N1925" s="36">
        <v>198.18000000000001</v>
      </c>
    </row>
    <row r="1926" ht="25.5">
      <c r="A1926" s="19" t="s">
        <v>10635</v>
      </c>
      <c r="B1926" s="19">
        <v>43487</v>
      </c>
      <c r="C1926" s="20" t="s">
        <v>12386</v>
      </c>
      <c r="D1926" s="19" t="s">
        <v>2032</v>
      </c>
      <c r="E1926" s="19" t="s">
        <v>10466</v>
      </c>
      <c r="F1926" s="21">
        <f t="shared" si="540"/>
        <v>1.24</v>
      </c>
      <c r="G1926" s="21">
        <f t="shared" si="540"/>
        <v>1.24</v>
      </c>
      <c r="H1926" s="21">
        <f t="shared" si="540"/>
        <v>1.24</v>
      </c>
      <c r="I1926" s="24" t="str">
        <f t="shared" si="541"/>
        <v xml:space="preserve">COM VALOR</v>
      </c>
      <c r="L1926" s="36">
        <v>1.24</v>
      </c>
      <c r="M1926" s="37">
        <v>1.24</v>
      </c>
      <c r="N1926" s="36">
        <v>1.24</v>
      </c>
    </row>
    <row r="1927" ht="25.5">
      <c r="A1927" s="19" t="s">
        <v>10635</v>
      </c>
      <c r="B1927" s="19">
        <v>43499</v>
      </c>
      <c r="C1927" s="20" t="s">
        <v>12387</v>
      </c>
      <c r="D1927" s="19" t="s">
        <v>7087</v>
      </c>
      <c r="E1927" s="19" t="s">
        <v>10466</v>
      </c>
      <c r="F1927" s="21">
        <f t="shared" si="540"/>
        <v>204.75</v>
      </c>
      <c r="G1927" s="21">
        <f t="shared" si="540"/>
        <v>204.75</v>
      </c>
      <c r="H1927" s="21">
        <f t="shared" si="540"/>
        <v>204.75</v>
      </c>
      <c r="I1927" s="24" t="str">
        <f t="shared" si="541"/>
        <v xml:space="preserve">COM VALOR</v>
      </c>
      <c r="L1927" s="36">
        <v>204.75</v>
      </c>
      <c r="M1927" s="37">
        <v>204.75</v>
      </c>
      <c r="N1927" s="36">
        <v>204.75</v>
      </c>
    </row>
    <row r="1928" ht="25.5">
      <c r="A1928" s="19" t="s">
        <v>10635</v>
      </c>
      <c r="B1928" s="19">
        <v>43486</v>
      </c>
      <c r="C1928" s="20" t="s">
        <v>12388</v>
      </c>
      <c r="D1928" s="19" t="s">
        <v>2032</v>
      </c>
      <c r="E1928" s="19" t="s">
        <v>10466</v>
      </c>
      <c r="F1928" s="21">
        <f t="shared" si="540"/>
        <v>0.89000000000000001</v>
      </c>
      <c r="G1928" s="21">
        <f t="shared" si="540"/>
        <v>0.89000000000000001</v>
      </c>
      <c r="H1928" s="21">
        <f t="shared" si="540"/>
        <v>0.89000000000000001</v>
      </c>
      <c r="I1928" s="24" t="str">
        <f t="shared" si="541"/>
        <v xml:space="preserve">COM VALOR</v>
      </c>
      <c r="L1928" s="36">
        <v>0.89000000000000001</v>
      </c>
      <c r="M1928" s="37">
        <v>0.89000000000000001</v>
      </c>
      <c r="N1928" s="36">
        <v>0.89000000000000001</v>
      </c>
    </row>
    <row r="1929" ht="25.5">
      <c r="A1929" s="19" t="s">
        <v>10635</v>
      </c>
      <c r="B1929" s="19">
        <v>43498</v>
      </c>
      <c r="C1929" s="20" t="s">
        <v>12389</v>
      </c>
      <c r="D1929" s="19" t="s">
        <v>7087</v>
      </c>
      <c r="E1929" s="19" t="s">
        <v>10466</v>
      </c>
      <c r="F1929" s="21">
        <f t="shared" si="540"/>
        <v>147.41999999999999</v>
      </c>
      <c r="G1929" s="21">
        <f t="shared" si="540"/>
        <v>147.41999999999999</v>
      </c>
      <c r="H1929" s="21">
        <f t="shared" si="540"/>
        <v>147.41999999999999</v>
      </c>
      <c r="I1929" s="24" t="str">
        <f t="shared" si="541"/>
        <v xml:space="preserve">COM VALOR</v>
      </c>
      <c r="L1929" s="36">
        <v>147.41999999999999</v>
      </c>
      <c r="M1929" s="37">
        <v>147.41999999999999</v>
      </c>
      <c r="N1929" s="36">
        <v>147.41999999999999</v>
      </c>
    </row>
    <row r="1930" ht="25.5">
      <c r="A1930" s="19" t="s">
        <v>10635</v>
      </c>
      <c r="B1930" s="19">
        <v>43488</v>
      </c>
      <c r="C1930" s="20" t="s">
        <v>12390</v>
      </c>
      <c r="D1930" s="19" t="s">
        <v>2032</v>
      </c>
      <c r="E1930" s="19" t="s">
        <v>10466</v>
      </c>
      <c r="F1930" s="21">
        <f t="shared" si="540"/>
        <v>0.90000000000000002</v>
      </c>
      <c r="G1930" s="21">
        <f t="shared" si="540"/>
        <v>0.90000000000000002</v>
      </c>
      <c r="H1930" s="21">
        <f t="shared" si="540"/>
        <v>0.90000000000000002</v>
      </c>
      <c r="I1930" s="24" t="str">
        <f t="shared" si="541"/>
        <v xml:space="preserve">COM VALOR</v>
      </c>
      <c r="L1930" s="36">
        <v>0.90000000000000002</v>
      </c>
      <c r="M1930" s="37">
        <v>0.90000000000000002</v>
      </c>
      <c r="N1930" s="36">
        <v>0.90000000000000002</v>
      </c>
    </row>
    <row r="1931" ht="25.5">
      <c r="A1931" s="19" t="s">
        <v>10635</v>
      </c>
      <c r="B1931" s="19">
        <v>43500</v>
      </c>
      <c r="C1931" s="20" t="s">
        <v>12391</v>
      </c>
      <c r="D1931" s="19" t="s">
        <v>7087</v>
      </c>
      <c r="E1931" s="19" t="s">
        <v>10466</v>
      </c>
      <c r="F1931" s="21">
        <f t="shared" ref="F1931:H1994" si="542">IF(L1931=0,"VERIFICAR",L1931)</f>
        <v>148.30000000000001</v>
      </c>
      <c r="G1931" s="21">
        <f t="shared" si="542"/>
        <v>148.30000000000001</v>
      </c>
      <c r="H1931" s="21">
        <f t="shared" si="542"/>
        <v>148.30000000000001</v>
      </c>
      <c r="I1931" s="24" t="str">
        <f t="shared" ref="I1931:I1994" si="543">IF(OR(L1931=0,M1931=0,N1931=0),"SEM VALOR","COM VALOR")</f>
        <v xml:space="preserve">COM VALOR</v>
      </c>
      <c r="L1931" s="36">
        <v>148.30000000000001</v>
      </c>
      <c r="M1931" s="37">
        <v>148.30000000000001</v>
      </c>
      <c r="N1931" s="36">
        <v>148.30000000000001</v>
      </c>
    </row>
    <row r="1932" ht="25.5">
      <c r="A1932" s="19" t="s">
        <v>10635</v>
      </c>
      <c r="B1932" s="19">
        <v>43489</v>
      </c>
      <c r="C1932" s="20" t="s">
        <v>12392</v>
      </c>
      <c r="D1932" s="19" t="s">
        <v>2032</v>
      </c>
      <c r="E1932" s="19" t="s">
        <v>10466</v>
      </c>
      <c r="F1932" s="21">
        <f t="shared" si="542"/>
        <v>1.4299999999999999</v>
      </c>
      <c r="G1932" s="21">
        <f t="shared" si="542"/>
        <v>1.4299999999999999</v>
      </c>
      <c r="H1932" s="21">
        <f t="shared" si="542"/>
        <v>1.4299999999999999</v>
      </c>
      <c r="I1932" s="24" t="str">
        <f t="shared" si="543"/>
        <v xml:space="preserve">COM VALOR</v>
      </c>
      <c r="L1932" s="36">
        <v>1.4299999999999999</v>
      </c>
      <c r="M1932" s="37">
        <v>1.4299999999999999</v>
      </c>
      <c r="N1932" s="36">
        <v>1.4299999999999999</v>
      </c>
    </row>
    <row r="1933" ht="25.5">
      <c r="A1933" s="19" t="s">
        <v>10635</v>
      </c>
      <c r="B1933" s="19">
        <v>43501</v>
      </c>
      <c r="C1933" s="20" t="s">
        <v>12393</v>
      </c>
      <c r="D1933" s="19" t="s">
        <v>7087</v>
      </c>
      <c r="E1933" s="19" t="s">
        <v>10466</v>
      </c>
      <c r="F1933" s="21">
        <f t="shared" si="542"/>
        <v>236.05000000000001</v>
      </c>
      <c r="G1933" s="21">
        <f t="shared" si="542"/>
        <v>236.05000000000001</v>
      </c>
      <c r="H1933" s="21">
        <f t="shared" si="542"/>
        <v>236.05000000000001</v>
      </c>
      <c r="I1933" s="24" t="str">
        <f t="shared" si="543"/>
        <v xml:space="preserve">COM VALOR</v>
      </c>
      <c r="L1933" s="36">
        <v>236.05000000000001</v>
      </c>
      <c r="M1933" s="37">
        <v>236.05000000000001</v>
      </c>
      <c r="N1933" s="36">
        <v>236.05000000000001</v>
      </c>
    </row>
    <row r="1934" ht="25.5">
      <c r="A1934" s="19" t="s">
        <v>10635</v>
      </c>
      <c r="B1934" s="19">
        <v>43490</v>
      </c>
      <c r="C1934" s="20" t="s">
        <v>12394</v>
      </c>
      <c r="D1934" s="19" t="s">
        <v>2032</v>
      </c>
      <c r="E1934" s="19" t="s">
        <v>10466</v>
      </c>
      <c r="F1934" s="21">
        <f t="shared" si="542"/>
        <v>1.8200000000000001</v>
      </c>
      <c r="G1934" s="21">
        <f t="shared" si="542"/>
        <v>1.8200000000000001</v>
      </c>
      <c r="H1934" s="21">
        <f t="shared" si="542"/>
        <v>1.8200000000000001</v>
      </c>
      <c r="I1934" s="24" t="str">
        <f t="shared" si="543"/>
        <v xml:space="preserve">COM VALOR</v>
      </c>
      <c r="L1934" s="36">
        <v>1.8200000000000001</v>
      </c>
      <c r="M1934" s="37">
        <v>1.8200000000000001</v>
      </c>
      <c r="N1934" s="36">
        <v>1.8200000000000001</v>
      </c>
    </row>
    <row r="1935" ht="25.5">
      <c r="A1935" s="19" t="s">
        <v>10635</v>
      </c>
      <c r="B1935" s="19">
        <v>43502</v>
      </c>
      <c r="C1935" s="20" t="s">
        <v>12395</v>
      </c>
      <c r="D1935" s="19" t="s">
        <v>7087</v>
      </c>
      <c r="E1935" s="19" t="s">
        <v>10466</v>
      </c>
      <c r="F1935" s="21">
        <f t="shared" si="542"/>
        <v>300.02999999999997</v>
      </c>
      <c r="G1935" s="21">
        <f t="shared" si="542"/>
        <v>300.02999999999997</v>
      </c>
      <c r="H1935" s="21">
        <f t="shared" si="542"/>
        <v>300.02999999999997</v>
      </c>
      <c r="I1935" s="24" t="str">
        <f t="shared" si="543"/>
        <v xml:space="preserve">COM VALOR</v>
      </c>
      <c r="L1935" s="36">
        <v>300.02999999999997</v>
      </c>
      <c r="M1935" s="37">
        <v>300.02999999999997</v>
      </c>
      <c r="N1935" s="36">
        <v>300.02999999999997</v>
      </c>
    </row>
    <row r="1936" ht="25.5">
      <c r="A1936" s="19" t="s">
        <v>10635</v>
      </c>
      <c r="B1936" s="19">
        <v>43491</v>
      </c>
      <c r="C1936" s="20" t="s">
        <v>12396</v>
      </c>
      <c r="D1936" s="19" t="s">
        <v>2032</v>
      </c>
      <c r="E1936" s="19" t="s">
        <v>10466</v>
      </c>
      <c r="F1936" s="21">
        <f t="shared" si="542"/>
        <v>1.5</v>
      </c>
      <c r="G1936" s="21">
        <f t="shared" si="542"/>
        <v>1.5</v>
      </c>
      <c r="H1936" s="21">
        <f t="shared" si="542"/>
        <v>1.5</v>
      </c>
      <c r="I1936" s="24" t="str">
        <f t="shared" si="543"/>
        <v xml:space="preserve">COM VALOR</v>
      </c>
      <c r="L1936" s="36">
        <v>1.5</v>
      </c>
      <c r="M1936" s="37">
        <v>1.5</v>
      </c>
      <c r="N1936" s="36">
        <v>1.5</v>
      </c>
    </row>
    <row r="1937" ht="25.5">
      <c r="A1937" s="19" t="s">
        <v>10635</v>
      </c>
      <c r="B1937" s="19">
        <v>43503</v>
      </c>
      <c r="C1937" s="20" t="s">
        <v>12397</v>
      </c>
      <c r="D1937" s="19" t="s">
        <v>7087</v>
      </c>
      <c r="E1937" s="19" t="s">
        <v>10466</v>
      </c>
      <c r="F1937" s="21">
        <f t="shared" si="542"/>
        <v>247.15000000000001</v>
      </c>
      <c r="G1937" s="21">
        <f t="shared" si="542"/>
        <v>247.15000000000001</v>
      </c>
      <c r="H1937" s="21">
        <f t="shared" si="542"/>
        <v>247.15000000000001</v>
      </c>
      <c r="I1937" s="24" t="str">
        <f t="shared" si="543"/>
        <v xml:space="preserve">COM VALOR</v>
      </c>
      <c r="L1937" s="36">
        <v>247.15000000000001</v>
      </c>
      <c r="M1937" s="37">
        <v>247.15000000000001</v>
      </c>
      <c r="N1937" s="36">
        <v>247.15000000000001</v>
      </c>
    </row>
    <row r="1938" ht="25.5">
      <c r="A1938" s="19" t="s">
        <v>10635</v>
      </c>
      <c r="B1938" s="19">
        <v>43492</v>
      </c>
      <c r="C1938" s="20" t="s">
        <v>12398</v>
      </c>
      <c r="D1938" s="19" t="s">
        <v>2032</v>
      </c>
      <c r="E1938" s="19" t="s">
        <v>10466</v>
      </c>
      <c r="F1938" s="21">
        <f t="shared" si="542"/>
        <v>2.1800000000000002</v>
      </c>
      <c r="G1938" s="21">
        <f t="shared" si="542"/>
        <v>2.1800000000000002</v>
      </c>
      <c r="H1938" s="21">
        <f t="shared" si="542"/>
        <v>2.1800000000000002</v>
      </c>
      <c r="I1938" s="24" t="str">
        <f t="shared" si="543"/>
        <v xml:space="preserve">COM VALOR</v>
      </c>
      <c r="L1938" s="36">
        <v>2.1800000000000002</v>
      </c>
      <c r="M1938" s="37">
        <v>2.1800000000000002</v>
      </c>
      <c r="N1938" s="36">
        <v>2.1800000000000002</v>
      </c>
    </row>
    <row r="1939" ht="25.5">
      <c r="A1939" s="19" t="s">
        <v>10635</v>
      </c>
      <c r="B1939" s="19">
        <v>43504</v>
      </c>
      <c r="C1939" s="20" t="s">
        <v>12399</v>
      </c>
      <c r="D1939" s="19" t="s">
        <v>7087</v>
      </c>
      <c r="E1939" s="19" t="s">
        <v>10466</v>
      </c>
      <c r="F1939" s="21">
        <f t="shared" si="542"/>
        <v>359.66000000000003</v>
      </c>
      <c r="G1939" s="21">
        <f t="shared" si="542"/>
        <v>359.66000000000003</v>
      </c>
      <c r="H1939" s="21">
        <f t="shared" si="542"/>
        <v>359.66000000000003</v>
      </c>
      <c r="I1939" s="24" t="str">
        <f t="shared" si="543"/>
        <v xml:space="preserve">COM VALOR</v>
      </c>
      <c r="L1939" s="36">
        <v>359.66000000000003</v>
      </c>
      <c r="M1939" s="37">
        <v>359.66000000000003</v>
      </c>
      <c r="N1939" s="36">
        <v>359.66000000000003</v>
      </c>
    </row>
    <row r="1940" ht="25.5">
      <c r="A1940" s="19" t="s">
        <v>10635</v>
      </c>
      <c r="B1940" s="19">
        <v>43493</v>
      </c>
      <c r="C1940" s="20" t="s">
        <v>12400</v>
      </c>
      <c r="D1940" s="19" t="s">
        <v>2032</v>
      </c>
      <c r="E1940" s="19" t="s">
        <v>10466</v>
      </c>
      <c r="F1940" s="21">
        <f t="shared" si="542"/>
        <v>0.71999999999999997</v>
      </c>
      <c r="G1940" s="21">
        <f t="shared" si="542"/>
        <v>0.71999999999999997</v>
      </c>
      <c r="H1940" s="21">
        <f t="shared" si="542"/>
        <v>0.71999999999999997</v>
      </c>
      <c r="I1940" s="24" t="str">
        <f t="shared" si="543"/>
        <v xml:space="preserve">COM VALOR</v>
      </c>
      <c r="L1940" s="36">
        <v>0.71999999999999997</v>
      </c>
      <c r="M1940" s="37">
        <v>0.71999999999999997</v>
      </c>
      <c r="N1940" s="36">
        <v>0.71999999999999997</v>
      </c>
    </row>
    <row r="1941" ht="25.5">
      <c r="A1941" s="19" t="s">
        <v>10635</v>
      </c>
      <c r="B1941" s="19">
        <v>43505</v>
      </c>
      <c r="C1941" s="20" t="s">
        <v>12401</v>
      </c>
      <c r="D1941" s="19" t="s">
        <v>7087</v>
      </c>
      <c r="E1941" s="19" t="s">
        <v>10466</v>
      </c>
      <c r="F1941" s="21">
        <f t="shared" si="542"/>
        <v>120</v>
      </c>
      <c r="G1941" s="21">
        <f t="shared" si="542"/>
        <v>120</v>
      </c>
      <c r="H1941" s="21">
        <f t="shared" si="542"/>
        <v>120</v>
      </c>
      <c r="I1941" s="24" t="str">
        <f t="shared" si="543"/>
        <v xml:space="preserve">COM VALOR</v>
      </c>
      <c r="L1941" s="36">
        <v>120</v>
      </c>
      <c r="M1941" s="37">
        <v>120</v>
      </c>
      <c r="N1941" s="36">
        <v>120</v>
      </c>
    </row>
    <row r="1942" ht="38.25">
      <c r="A1942" s="19" t="s">
        <v>10460</v>
      </c>
      <c r="B1942" s="19">
        <v>38476</v>
      </c>
      <c r="C1942" s="20" t="s">
        <v>12402</v>
      </c>
      <c r="D1942" s="19" t="s">
        <v>31</v>
      </c>
      <c r="E1942" s="19" t="s">
        <v>10459</v>
      </c>
      <c r="F1942" s="21">
        <f t="shared" si="542"/>
        <v>221.16999999999999</v>
      </c>
      <c r="G1942" s="21">
        <f t="shared" si="542"/>
        <v>221.16999999999999</v>
      </c>
      <c r="H1942" s="21">
        <f t="shared" si="542"/>
        <v>221.16999999999999</v>
      </c>
      <c r="I1942" s="24" t="str">
        <f t="shared" si="543"/>
        <v xml:space="preserve">COM VALOR</v>
      </c>
      <c r="L1942" s="36">
        <v>221.16999999999999</v>
      </c>
      <c r="M1942" s="37">
        <v>221.16999999999999</v>
      </c>
      <c r="N1942" s="36">
        <v>221.16999999999999</v>
      </c>
    </row>
    <row r="1943" ht="38.25">
      <c r="A1943" s="19" t="s">
        <v>10460</v>
      </c>
      <c r="B1943" s="19">
        <v>38477</v>
      </c>
      <c r="C1943" s="20" t="s">
        <v>12403</v>
      </c>
      <c r="D1943" s="19" t="s">
        <v>31</v>
      </c>
      <c r="E1943" s="19" t="s">
        <v>10459</v>
      </c>
      <c r="F1943" s="21">
        <f t="shared" si="542"/>
        <v>586.44000000000005</v>
      </c>
      <c r="G1943" s="21">
        <f t="shared" si="542"/>
        <v>586.44000000000005</v>
      </c>
      <c r="H1943" s="21">
        <f t="shared" si="542"/>
        <v>586.44000000000005</v>
      </c>
      <c r="I1943" s="24" t="str">
        <f t="shared" si="543"/>
        <v xml:space="preserve">COM VALOR</v>
      </c>
      <c r="L1943" s="36">
        <v>586.44000000000005</v>
      </c>
      <c r="M1943" s="37">
        <v>586.44000000000005</v>
      </c>
      <c r="N1943" s="36">
        <v>586.44000000000005</v>
      </c>
    </row>
    <row r="1944" ht="38.25">
      <c r="A1944" s="19" t="s">
        <v>10638</v>
      </c>
      <c r="B1944" s="19">
        <v>45112</v>
      </c>
      <c r="C1944" s="20" t="s">
        <v>12404</v>
      </c>
      <c r="D1944" s="19" t="s">
        <v>31</v>
      </c>
      <c r="E1944" s="19" t="s">
        <v>10459</v>
      </c>
      <c r="F1944" s="21">
        <f t="shared" si="542"/>
        <v>1047708.7</v>
      </c>
      <c r="G1944" s="21">
        <f t="shared" si="542"/>
        <v>1047708.7</v>
      </c>
      <c r="H1944" s="21">
        <f t="shared" si="542"/>
        <v>1047708.7</v>
      </c>
      <c r="I1944" s="24" t="str">
        <f t="shared" si="543"/>
        <v xml:space="preserve">COM VALOR</v>
      </c>
      <c r="L1944" s="36">
        <v>1047708.7</v>
      </c>
      <c r="M1944" s="37">
        <v>1047708.7</v>
      </c>
      <c r="N1944" s="36">
        <v>1047708.7</v>
      </c>
    </row>
    <row r="1945" ht="38.25">
      <c r="A1945" s="19" t="s">
        <v>10638</v>
      </c>
      <c r="B1945" s="19">
        <v>14525</v>
      </c>
      <c r="C1945" s="20" t="s">
        <v>12405</v>
      </c>
      <c r="D1945" s="19" t="s">
        <v>31</v>
      </c>
      <c r="E1945" s="19" t="s">
        <v>10459</v>
      </c>
      <c r="F1945" s="21">
        <f t="shared" si="542"/>
        <v>910882.84999999998</v>
      </c>
      <c r="G1945" s="21">
        <f t="shared" si="542"/>
        <v>910882.84999999998</v>
      </c>
      <c r="H1945" s="21">
        <f t="shared" si="542"/>
        <v>910882.84999999998</v>
      </c>
      <c r="I1945" s="24" t="str">
        <f t="shared" si="543"/>
        <v xml:space="preserve">COM VALOR</v>
      </c>
      <c r="L1945" s="36">
        <v>910882.84999999998</v>
      </c>
      <c r="M1945" s="37">
        <v>910882.84999999998</v>
      </c>
      <c r="N1945" s="36">
        <v>910882.84999999998</v>
      </c>
    </row>
    <row r="1946" ht="25.5">
      <c r="A1946" s="19" t="s">
        <v>10638</v>
      </c>
      <c r="B1946" s="19">
        <v>10685</v>
      </c>
      <c r="C1946" s="20" t="s">
        <v>12406</v>
      </c>
      <c r="D1946" s="19" t="s">
        <v>31</v>
      </c>
      <c r="E1946" s="19" t="s">
        <v>10466</v>
      </c>
      <c r="F1946" s="21">
        <f t="shared" si="542"/>
        <v>805000</v>
      </c>
      <c r="G1946" s="21">
        <f t="shared" si="542"/>
        <v>805000</v>
      </c>
      <c r="H1946" s="21">
        <f t="shared" si="542"/>
        <v>805000</v>
      </c>
      <c r="I1946" s="24" t="str">
        <f t="shared" si="543"/>
        <v xml:space="preserve">COM VALOR</v>
      </c>
      <c r="L1946" s="36">
        <v>805000</v>
      </c>
      <c r="M1946" s="37">
        <v>805000</v>
      </c>
      <c r="N1946" s="36">
        <v>805000</v>
      </c>
    </row>
    <row r="1947" ht="51">
      <c r="A1947" s="19" t="s">
        <v>10638</v>
      </c>
      <c r="B1947" s="19">
        <v>40636</v>
      </c>
      <c r="C1947" s="20" t="s">
        <v>12407</v>
      </c>
      <c r="D1947" s="19" t="s">
        <v>31</v>
      </c>
      <c r="E1947" s="19" t="s">
        <v>10459</v>
      </c>
      <c r="F1947" s="21">
        <f t="shared" si="542"/>
        <v>1114722.7</v>
      </c>
      <c r="G1947" s="21">
        <f t="shared" si="542"/>
        <v>1114722.7</v>
      </c>
      <c r="H1947" s="21">
        <f t="shared" si="542"/>
        <v>1114722.7</v>
      </c>
      <c r="I1947" s="24" t="str">
        <f t="shared" si="543"/>
        <v xml:space="preserve">COM VALOR</v>
      </c>
      <c r="L1947" s="36">
        <v>1114722.7</v>
      </c>
      <c r="M1947" s="37">
        <v>1114722.7</v>
      </c>
      <c r="N1947" s="36">
        <v>1114722.7</v>
      </c>
    </row>
    <row r="1948" ht="25.5">
      <c r="A1948" s="19" t="s">
        <v>10460</v>
      </c>
      <c r="B1948" s="19">
        <v>4111</v>
      </c>
      <c r="C1948" s="20" t="s">
        <v>12408</v>
      </c>
      <c r="D1948" s="19" t="s">
        <v>31</v>
      </c>
      <c r="E1948" s="19" t="s">
        <v>10459</v>
      </c>
      <c r="F1948" s="21">
        <f t="shared" si="542"/>
        <v>49.490000000000002</v>
      </c>
      <c r="G1948" s="21">
        <f t="shared" si="542"/>
        <v>49.490000000000002</v>
      </c>
      <c r="H1948" s="21">
        <f t="shared" si="542"/>
        <v>49.490000000000002</v>
      </c>
      <c r="I1948" s="24" t="str">
        <f t="shared" si="543"/>
        <v xml:space="preserve">COM VALOR</v>
      </c>
      <c r="L1948" s="36">
        <v>49.490000000000002</v>
      </c>
      <c r="M1948" s="37">
        <v>49.490000000000002</v>
      </c>
      <c r="N1948" s="36">
        <v>49.490000000000002</v>
      </c>
    </row>
    <row r="1949" ht="25.5">
      <c r="A1949" s="19" t="s">
        <v>10460</v>
      </c>
      <c r="B1949" s="19">
        <v>44538</v>
      </c>
      <c r="C1949" s="20" t="s">
        <v>12409</v>
      </c>
      <c r="D1949" s="19" t="s">
        <v>31</v>
      </c>
      <c r="E1949" s="19" t="s">
        <v>10459</v>
      </c>
      <c r="F1949" s="21">
        <f t="shared" si="542"/>
        <v>48.659999999999997</v>
      </c>
      <c r="G1949" s="21">
        <f t="shared" si="542"/>
        <v>48.659999999999997</v>
      </c>
      <c r="H1949" s="21">
        <f t="shared" si="542"/>
        <v>48.659999999999997</v>
      </c>
      <c r="I1949" s="24" t="str">
        <f t="shared" si="543"/>
        <v xml:space="preserve">COM VALOR</v>
      </c>
      <c r="L1949" s="36">
        <v>48.659999999999997</v>
      </c>
      <c r="M1949" s="37">
        <v>48.659999999999997</v>
      </c>
      <c r="N1949" s="36">
        <v>48.659999999999997</v>
      </c>
    </row>
    <row r="1950" ht="12.75">
      <c r="A1950" s="19" t="s">
        <v>10460</v>
      </c>
      <c r="B1950" s="19">
        <v>12</v>
      </c>
      <c r="C1950" s="20" t="s">
        <v>12410</v>
      </c>
      <c r="D1950" s="19" t="s">
        <v>31</v>
      </c>
      <c r="E1950" s="19" t="s">
        <v>10459</v>
      </c>
      <c r="F1950" s="21">
        <f t="shared" si="542"/>
        <v>6.1299999999999999</v>
      </c>
      <c r="G1950" s="21">
        <f t="shared" si="542"/>
        <v>6.1299999999999999</v>
      </c>
      <c r="H1950" s="21">
        <f t="shared" si="542"/>
        <v>6.1299999999999999</v>
      </c>
      <c r="I1950" s="24" t="str">
        <f t="shared" si="543"/>
        <v xml:space="preserve">COM VALOR</v>
      </c>
      <c r="L1950" s="36">
        <v>6.1299999999999999</v>
      </c>
      <c r="M1950" s="37">
        <v>6.1299999999999999</v>
      </c>
      <c r="N1950" s="36">
        <v>6.1299999999999999</v>
      </c>
    </row>
    <row r="1951" ht="25.5">
      <c r="A1951" s="19" t="s">
        <v>10460</v>
      </c>
      <c r="B1951" s="19">
        <v>37554</v>
      </c>
      <c r="C1951" s="20" t="s">
        <v>12411</v>
      </c>
      <c r="D1951" s="19" t="s">
        <v>31</v>
      </c>
      <c r="E1951" s="19" t="s">
        <v>10459</v>
      </c>
      <c r="F1951" s="21">
        <f t="shared" si="542"/>
        <v>211.38</v>
      </c>
      <c r="G1951" s="21">
        <f t="shared" si="542"/>
        <v>211.38</v>
      </c>
      <c r="H1951" s="21">
        <f t="shared" si="542"/>
        <v>211.38</v>
      </c>
      <c r="I1951" s="24" t="str">
        <f t="shared" si="543"/>
        <v xml:space="preserve">COM VALOR</v>
      </c>
      <c r="L1951" s="36">
        <v>211.38</v>
      </c>
      <c r="M1951" s="37">
        <v>211.38</v>
      </c>
      <c r="N1951" s="36">
        <v>211.38</v>
      </c>
    </row>
    <row r="1952" ht="25.5">
      <c r="A1952" s="19" t="s">
        <v>10460</v>
      </c>
      <c r="B1952" s="19">
        <v>37555</v>
      </c>
      <c r="C1952" s="20" t="s">
        <v>12412</v>
      </c>
      <c r="D1952" s="19" t="s">
        <v>31</v>
      </c>
      <c r="E1952" s="19" t="s">
        <v>10459</v>
      </c>
      <c r="F1952" s="21">
        <f t="shared" si="542"/>
        <v>257.13999999999999</v>
      </c>
      <c r="G1952" s="21">
        <f t="shared" si="542"/>
        <v>257.13999999999999</v>
      </c>
      <c r="H1952" s="21">
        <f t="shared" si="542"/>
        <v>257.13999999999999</v>
      </c>
      <c r="I1952" s="24" t="str">
        <f t="shared" si="543"/>
        <v xml:space="preserve">COM VALOR</v>
      </c>
      <c r="L1952" s="36">
        <v>257.13999999999999</v>
      </c>
      <c r="M1952" s="37">
        <v>257.13999999999999</v>
      </c>
      <c r="N1952" s="36">
        <v>257.13999999999999</v>
      </c>
    </row>
    <row r="1953" ht="38.25">
      <c r="A1953" s="19" t="s">
        <v>10460</v>
      </c>
      <c r="B1953" s="19">
        <v>10902</v>
      </c>
      <c r="C1953" s="20" t="s">
        <v>12413</v>
      </c>
      <c r="D1953" s="19" t="s">
        <v>31</v>
      </c>
      <c r="E1953" s="19" t="s">
        <v>10459</v>
      </c>
      <c r="F1953" s="21">
        <f t="shared" si="542"/>
        <v>64.519999999999996</v>
      </c>
      <c r="G1953" s="21">
        <f t="shared" si="542"/>
        <v>64.519999999999996</v>
      </c>
      <c r="H1953" s="21">
        <f t="shared" si="542"/>
        <v>64.519999999999996</v>
      </c>
      <c r="I1953" s="24" t="str">
        <f t="shared" si="543"/>
        <v xml:space="preserve">COM VALOR</v>
      </c>
      <c r="L1953" s="36">
        <v>64.519999999999996</v>
      </c>
      <c r="M1953" s="37">
        <v>64.519999999999996</v>
      </c>
      <c r="N1953" s="36">
        <v>64.519999999999996</v>
      </c>
    </row>
    <row r="1954" ht="38.25">
      <c r="A1954" s="19" t="s">
        <v>10460</v>
      </c>
      <c r="B1954" s="19">
        <v>20965</v>
      </c>
      <c r="C1954" s="20" t="s">
        <v>12414</v>
      </c>
      <c r="D1954" s="19" t="s">
        <v>31</v>
      </c>
      <c r="E1954" s="19" t="s">
        <v>10459</v>
      </c>
      <c r="F1954" s="21">
        <f t="shared" si="542"/>
        <v>65.120000000000005</v>
      </c>
      <c r="G1954" s="21">
        <f t="shared" si="542"/>
        <v>65.120000000000005</v>
      </c>
      <c r="H1954" s="21">
        <f t="shared" si="542"/>
        <v>65.120000000000005</v>
      </c>
      <c r="I1954" s="24" t="str">
        <f t="shared" si="543"/>
        <v xml:space="preserve">COM VALOR</v>
      </c>
      <c r="J1954" s="38"/>
      <c r="L1954" s="36">
        <v>65.120000000000005</v>
      </c>
      <c r="M1954" s="37">
        <v>65.120000000000005</v>
      </c>
      <c r="N1954" s="36">
        <v>65.120000000000005</v>
      </c>
    </row>
    <row r="1955" ht="38.25">
      <c r="A1955" s="19" t="s">
        <v>10460</v>
      </c>
      <c r="B1955" s="19">
        <v>20966</v>
      </c>
      <c r="C1955" s="20" t="s">
        <v>12415</v>
      </c>
      <c r="D1955" s="19" t="s">
        <v>31</v>
      </c>
      <c r="E1955" s="19" t="s">
        <v>10459</v>
      </c>
      <c r="F1955" s="21">
        <f t="shared" si="542"/>
        <v>70.120000000000005</v>
      </c>
      <c r="G1955" s="21">
        <f t="shared" si="542"/>
        <v>70.120000000000005</v>
      </c>
      <c r="H1955" s="21">
        <f t="shared" si="542"/>
        <v>70.120000000000005</v>
      </c>
      <c r="I1955" s="24" t="str">
        <f t="shared" si="543"/>
        <v xml:space="preserve">COM VALOR</v>
      </c>
      <c r="L1955" s="36">
        <v>70.120000000000005</v>
      </c>
      <c r="M1955" s="37">
        <v>70.120000000000005</v>
      </c>
      <c r="N1955" s="36">
        <v>70.120000000000005</v>
      </c>
    </row>
    <row r="1956" ht="38.25">
      <c r="A1956" s="19" t="s">
        <v>10460</v>
      </c>
      <c r="B1956" s="19">
        <v>10903</v>
      </c>
      <c r="C1956" s="20" t="s">
        <v>12416</v>
      </c>
      <c r="D1956" s="19" t="s">
        <v>31</v>
      </c>
      <c r="E1956" s="19" t="s">
        <v>10459</v>
      </c>
      <c r="F1956" s="21">
        <f t="shared" si="542"/>
        <v>106.28</v>
      </c>
      <c r="G1956" s="21">
        <f t="shared" si="542"/>
        <v>106.28</v>
      </c>
      <c r="H1956" s="21">
        <f t="shared" si="542"/>
        <v>106.28</v>
      </c>
      <c r="I1956" s="24" t="str">
        <f t="shared" si="543"/>
        <v xml:space="preserve">COM VALOR</v>
      </c>
      <c r="L1956" s="36">
        <v>106.28</v>
      </c>
      <c r="M1956" s="37">
        <v>106.28</v>
      </c>
      <c r="N1956" s="36">
        <v>106.28</v>
      </c>
    </row>
    <row r="1957" ht="38.25">
      <c r="A1957" s="19" t="s">
        <v>10460</v>
      </c>
      <c r="B1957" s="19">
        <v>20967</v>
      </c>
      <c r="C1957" s="20" t="s">
        <v>12417</v>
      </c>
      <c r="D1957" s="19" t="s">
        <v>31</v>
      </c>
      <c r="E1957" s="19" t="s">
        <v>10459</v>
      </c>
      <c r="F1957" s="21">
        <f t="shared" si="542"/>
        <v>106.28</v>
      </c>
      <c r="G1957" s="21">
        <f t="shared" si="542"/>
        <v>106.28</v>
      </c>
      <c r="H1957" s="21">
        <f t="shared" si="542"/>
        <v>106.28</v>
      </c>
      <c r="I1957" s="24" t="str">
        <f t="shared" si="543"/>
        <v xml:space="preserve">COM VALOR</v>
      </c>
      <c r="J1957" s="38"/>
      <c r="L1957" s="36">
        <v>106.28</v>
      </c>
      <c r="M1957" s="37">
        <v>106.28</v>
      </c>
      <c r="N1957" s="36">
        <v>106.28</v>
      </c>
    </row>
    <row r="1958" ht="38.25">
      <c r="A1958" s="19" t="s">
        <v>10460</v>
      </c>
      <c r="B1958" s="19">
        <v>20968</v>
      </c>
      <c r="C1958" s="20" t="s">
        <v>12418</v>
      </c>
      <c r="D1958" s="19" t="s">
        <v>31</v>
      </c>
      <c r="E1958" s="19" t="s">
        <v>10459</v>
      </c>
      <c r="F1958" s="21">
        <f t="shared" si="542"/>
        <v>116.56999999999999</v>
      </c>
      <c r="G1958" s="21">
        <f t="shared" si="542"/>
        <v>116.56999999999999</v>
      </c>
      <c r="H1958" s="21">
        <f t="shared" si="542"/>
        <v>116.56999999999999</v>
      </c>
      <c r="I1958" s="24" t="str">
        <f t="shared" si="543"/>
        <v xml:space="preserve">COM VALOR</v>
      </c>
      <c r="L1958" s="36">
        <v>116.56999999999999</v>
      </c>
      <c r="M1958" s="37">
        <v>116.56999999999999</v>
      </c>
      <c r="N1958" s="36">
        <v>116.56999999999999</v>
      </c>
    </row>
    <row r="1959" ht="38.25">
      <c r="A1959" s="19" t="s">
        <v>10460</v>
      </c>
      <c r="B1959" s="19">
        <v>39017</v>
      </c>
      <c r="C1959" s="20" t="s">
        <v>12419</v>
      </c>
      <c r="D1959" s="19" t="s">
        <v>31</v>
      </c>
      <c r="E1959" s="19" t="s">
        <v>10459</v>
      </c>
      <c r="F1959" s="21">
        <f t="shared" si="542"/>
        <v>0.22</v>
      </c>
      <c r="G1959" s="21">
        <f t="shared" si="542"/>
        <v>0.22</v>
      </c>
      <c r="H1959" s="21">
        <f t="shared" si="542"/>
        <v>0.22</v>
      </c>
      <c r="I1959" s="24" t="str">
        <f t="shared" si="543"/>
        <v xml:space="preserve">COM VALOR</v>
      </c>
      <c r="J1959" s="38" t="s">
        <v>10710</v>
      </c>
      <c r="L1959" s="36">
        <v>0.22</v>
      </c>
      <c r="M1959" s="37">
        <v>0.22</v>
      </c>
      <c r="N1959" s="36">
        <v>0.22</v>
      </c>
    </row>
    <row r="1960" ht="38.25">
      <c r="A1960" s="19" t="s">
        <v>10460</v>
      </c>
      <c r="B1960" s="19">
        <v>39315</v>
      </c>
      <c r="C1960" s="20" t="s">
        <v>12420</v>
      </c>
      <c r="D1960" s="19" t="s">
        <v>31</v>
      </c>
      <c r="E1960" s="19" t="s">
        <v>10459</v>
      </c>
      <c r="F1960" s="21" t="str">
        <f t="shared" si="542"/>
        <v>VERIFICAR</v>
      </c>
      <c r="G1960" s="21" t="str">
        <f t="shared" si="542"/>
        <v>VERIFICAR</v>
      </c>
      <c r="H1960" s="21" t="str">
        <f t="shared" si="542"/>
        <v>VERIFICAR</v>
      </c>
      <c r="I1960" s="24" t="str">
        <f t="shared" si="543"/>
        <v xml:space="preserve">SEM VALOR</v>
      </c>
      <c r="L1960" s="36"/>
      <c r="M1960" s="37"/>
      <c r="N1960" s="36"/>
    </row>
    <row r="1961" ht="25.5">
      <c r="A1961" s="19" t="s">
        <v>10460</v>
      </c>
      <c r="B1961" s="19">
        <v>39016</v>
      </c>
      <c r="C1961" s="20" t="s">
        <v>12421</v>
      </c>
      <c r="D1961" s="19" t="s">
        <v>31</v>
      </c>
      <c r="E1961" s="19" t="s">
        <v>10459</v>
      </c>
      <c r="F1961" s="21" t="str">
        <f t="shared" si="542"/>
        <v>VERIFICAR</v>
      </c>
      <c r="G1961" s="21" t="str">
        <f t="shared" si="542"/>
        <v>VERIFICAR</v>
      </c>
      <c r="H1961" s="21" t="str">
        <f t="shared" si="542"/>
        <v>VERIFICAR</v>
      </c>
      <c r="I1961" s="24" t="str">
        <f t="shared" si="543"/>
        <v xml:space="preserve">SEM VALOR</v>
      </c>
      <c r="L1961" s="36"/>
      <c r="M1961" s="37"/>
      <c r="N1961" s="36"/>
    </row>
    <row r="1962" ht="38.25">
      <c r="A1962" s="19" t="s">
        <v>10460</v>
      </c>
      <c r="B1962" s="19">
        <v>39481</v>
      </c>
      <c r="C1962" s="20" t="s">
        <v>12422</v>
      </c>
      <c r="D1962" s="19" t="s">
        <v>31</v>
      </c>
      <c r="E1962" s="19" t="s">
        <v>10459</v>
      </c>
      <c r="F1962" s="21" t="str">
        <f t="shared" si="542"/>
        <v>VERIFICAR</v>
      </c>
      <c r="G1962" s="21" t="str">
        <f t="shared" si="542"/>
        <v>VERIFICAR</v>
      </c>
      <c r="H1962" s="21" t="str">
        <f t="shared" si="542"/>
        <v>VERIFICAR</v>
      </c>
      <c r="I1962" s="24" t="str">
        <f t="shared" si="543"/>
        <v xml:space="preserve">SEM VALOR</v>
      </c>
      <c r="L1962" s="36"/>
      <c r="M1962" s="37"/>
      <c r="N1962" s="36"/>
    </row>
    <row r="1963" ht="38.25">
      <c r="A1963" s="19" t="s">
        <v>10460</v>
      </c>
      <c r="B1963" s="19">
        <v>39013</v>
      </c>
      <c r="C1963" s="20" t="s">
        <v>12423</v>
      </c>
      <c r="D1963" s="19" t="s">
        <v>31</v>
      </c>
      <c r="E1963" s="19" t="s">
        <v>10459</v>
      </c>
      <c r="F1963" s="21" t="str">
        <f t="shared" si="542"/>
        <v>VERIFICAR</v>
      </c>
      <c r="G1963" s="21" t="str">
        <f t="shared" si="542"/>
        <v>VERIFICAR</v>
      </c>
      <c r="H1963" s="21" t="str">
        <f t="shared" si="542"/>
        <v>VERIFICAR</v>
      </c>
      <c r="I1963" s="24" t="str">
        <f t="shared" si="543"/>
        <v xml:space="preserve">SEM VALOR</v>
      </c>
      <c r="L1963" s="36"/>
      <c r="M1963" s="37"/>
      <c r="N1963" s="36"/>
    </row>
    <row r="1964" ht="38.25">
      <c r="A1964" s="19" t="s">
        <v>10460</v>
      </c>
      <c r="B1964" s="19">
        <v>44919</v>
      </c>
      <c r="C1964" s="20" t="s">
        <v>12424</v>
      </c>
      <c r="D1964" s="19" t="s">
        <v>31</v>
      </c>
      <c r="E1964" s="19" t="s">
        <v>10459</v>
      </c>
      <c r="F1964" s="21" t="str">
        <f t="shared" si="542"/>
        <v>VERIFICAR</v>
      </c>
      <c r="G1964" s="21" t="str">
        <f t="shared" si="542"/>
        <v>VERIFICAR</v>
      </c>
      <c r="H1964" s="21" t="str">
        <f t="shared" si="542"/>
        <v>VERIFICAR</v>
      </c>
      <c r="I1964" s="24" t="str">
        <f t="shared" si="543"/>
        <v xml:space="preserve">SEM VALOR</v>
      </c>
      <c r="L1964" s="36"/>
      <c r="M1964" s="37"/>
      <c r="N1964" s="36"/>
    </row>
    <row r="1965" ht="25.5">
      <c r="A1965" s="19" t="s">
        <v>10460</v>
      </c>
      <c r="B1965" s="19">
        <v>40433</v>
      </c>
      <c r="C1965" s="20" t="s">
        <v>12425</v>
      </c>
      <c r="D1965" s="19" t="s">
        <v>31</v>
      </c>
      <c r="E1965" s="19" t="s">
        <v>10459</v>
      </c>
      <c r="F1965" s="21" t="str">
        <f t="shared" si="542"/>
        <v>VERIFICAR</v>
      </c>
      <c r="G1965" s="21" t="str">
        <f t="shared" si="542"/>
        <v>VERIFICAR</v>
      </c>
      <c r="H1965" s="21" t="str">
        <f t="shared" si="542"/>
        <v>VERIFICAR</v>
      </c>
      <c r="I1965" s="24" t="str">
        <f t="shared" si="543"/>
        <v xml:space="preserve">SEM VALOR</v>
      </c>
      <c r="L1965" s="36"/>
      <c r="M1965" s="37"/>
      <c r="N1965" s="36"/>
    </row>
    <row r="1966" ht="38.25">
      <c r="A1966" s="19" t="s">
        <v>10638</v>
      </c>
      <c r="B1966" s="19">
        <v>20219</v>
      </c>
      <c r="C1966" s="20" t="s">
        <v>12426</v>
      </c>
      <c r="D1966" s="19" t="s">
        <v>31</v>
      </c>
      <c r="E1966" s="19" t="s">
        <v>10466</v>
      </c>
      <c r="F1966" s="21" t="str">
        <f t="shared" si="542"/>
        <v>VERIFICAR</v>
      </c>
      <c r="G1966" s="21" t="str">
        <f t="shared" si="542"/>
        <v>VERIFICAR</v>
      </c>
      <c r="H1966" s="21" t="str">
        <f t="shared" si="542"/>
        <v>VERIFICAR</v>
      </c>
      <c r="I1966" s="24" t="str">
        <f t="shared" si="543"/>
        <v xml:space="preserve">SEM VALOR</v>
      </c>
      <c r="L1966" s="36"/>
      <c r="M1966" s="37"/>
      <c r="N1966" s="36"/>
    </row>
    <row r="1967" ht="51">
      <c r="A1967" s="19" t="s">
        <v>10638</v>
      </c>
      <c r="B1967" s="19">
        <v>36484</v>
      </c>
      <c r="C1967" s="20" t="s">
        <v>12427</v>
      </c>
      <c r="D1967" s="19" t="s">
        <v>31</v>
      </c>
      <c r="E1967" s="19" t="s">
        <v>10459</v>
      </c>
      <c r="F1967" s="21" t="str">
        <f t="shared" si="542"/>
        <v>VERIFICAR</v>
      </c>
      <c r="G1967" s="21" t="str">
        <f t="shared" si="542"/>
        <v>VERIFICAR</v>
      </c>
      <c r="H1967" s="21" t="str">
        <f t="shared" si="542"/>
        <v>VERIFICAR</v>
      </c>
      <c r="I1967" s="24" t="str">
        <f t="shared" si="543"/>
        <v xml:space="preserve">SEM VALOR</v>
      </c>
      <c r="L1967" s="36"/>
      <c r="M1967" s="37"/>
      <c r="N1967" s="36"/>
    </row>
    <row r="1968" ht="12.75">
      <c r="A1968" s="19" t="s">
        <v>10460</v>
      </c>
      <c r="B1968" s="19">
        <v>38368</v>
      </c>
      <c r="C1968" s="20" t="s">
        <v>12428</v>
      </c>
      <c r="D1968" s="19" t="s">
        <v>31</v>
      </c>
      <c r="E1968" s="19" t="s">
        <v>10459</v>
      </c>
      <c r="F1968" s="21" t="str">
        <f t="shared" si="542"/>
        <v>VERIFICAR</v>
      </c>
      <c r="G1968" s="21" t="str">
        <f t="shared" si="542"/>
        <v>VERIFICAR</v>
      </c>
      <c r="H1968" s="21" t="str">
        <f t="shared" si="542"/>
        <v>VERIFICAR</v>
      </c>
      <c r="I1968" s="24" t="str">
        <f t="shared" si="543"/>
        <v xml:space="preserve">SEM VALOR</v>
      </c>
      <c r="L1968" s="36"/>
      <c r="M1968" s="37"/>
      <c r="N1968" s="36"/>
    </row>
    <row r="1969" ht="25.5">
      <c r="A1969" s="19" t="s">
        <v>10460</v>
      </c>
      <c r="B1969" s="19">
        <v>38367</v>
      </c>
      <c r="C1969" s="20" t="s">
        <v>12429</v>
      </c>
      <c r="D1969" s="19" t="s">
        <v>31</v>
      </c>
      <c r="E1969" s="19" t="s">
        <v>10459</v>
      </c>
      <c r="F1969" s="21">
        <f t="shared" si="542"/>
        <v>10.949999999999999</v>
      </c>
      <c r="G1969" s="21">
        <f t="shared" si="542"/>
        <v>10.949999999999999</v>
      </c>
      <c r="H1969" s="21">
        <f t="shared" si="542"/>
        <v>10.949999999999999</v>
      </c>
      <c r="I1969" s="24" t="str">
        <f t="shared" si="543"/>
        <v xml:space="preserve">COM VALOR</v>
      </c>
      <c r="L1969" s="36">
        <v>10.949999999999999</v>
      </c>
      <c r="M1969" s="37">
        <v>10.949999999999999</v>
      </c>
      <c r="N1969" s="36">
        <v>10.949999999999999</v>
      </c>
    </row>
    <row r="1970" ht="25.5">
      <c r="A1970" s="19" t="s">
        <v>10460</v>
      </c>
      <c r="B1970" s="19">
        <v>38091</v>
      </c>
      <c r="C1970" s="20" t="s">
        <v>12430</v>
      </c>
      <c r="D1970" s="19" t="s">
        <v>31</v>
      </c>
      <c r="E1970" s="19" t="s">
        <v>10459</v>
      </c>
      <c r="F1970" s="21">
        <f t="shared" si="542"/>
        <v>2.1000000000000001</v>
      </c>
      <c r="G1970" s="21">
        <f t="shared" si="542"/>
        <v>2.1000000000000001</v>
      </c>
      <c r="H1970" s="21">
        <f t="shared" si="542"/>
        <v>2.1000000000000001</v>
      </c>
      <c r="I1970" s="24" t="str">
        <f t="shared" si="543"/>
        <v xml:space="preserve">COM VALOR</v>
      </c>
      <c r="L1970" s="36">
        <v>2.1000000000000001</v>
      </c>
      <c r="M1970" s="37">
        <v>2.1000000000000001</v>
      </c>
      <c r="N1970" s="36">
        <v>2.1000000000000001</v>
      </c>
    </row>
    <row r="1971" ht="25.5">
      <c r="A1971" s="19" t="s">
        <v>10460</v>
      </c>
      <c r="B1971" s="19">
        <v>38095</v>
      </c>
      <c r="C1971" s="20" t="s">
        <v>12431</v>
      </c>
      <c r="D1971" s="19" t="s">
        <v>31</v>
      </c>
      <c r="E1971" s="19" t="s">
        <v>10459</v>
      </c>
      <c r="F1971" s="21">
        <f t="shared" si="542"/>
        <v>4.4500000000000002</v>
      </c>
      <c r="G1971" s="21">
        <f t="shared" si="542"/>
        <v>4.4500000000000002</v>
      </c>
      <c r="H1971" s="21">
        <f t="shared" si="542"/>
        <v>4.4500000000000002</v>
      </c>
      <c r="I1971" s="24" t="str">
        <f t="shared" si="543"/>
        <v xml:space="preserve">COM VALOR</v>
      </c>
      <c r="L1971" s="36">
        <v>4.4500000000000002</v>
      </c>
      <c r="M1971" s="37">
        <v>4.4500000000000002</v>
      </c>
      <c r="N1971" s="36">
        <v>4.4500000000000002</v>
      </c>
    </row>
    <row r="1972" ht="25.5">
      <c r="A1972" s="19" t="s">
        <v>10460</v>
      </c>
      <c r="B1972" s="19">
        <v>38092</v>
      </c>
      <c r="C1972" s="20" t="s">
        <v>12432</v>
      </c>
      <c r="D1972" s="19" t="s">
        <v>31</v>
      </c>
      <c r="E1972" s="19" t="s">
        <v>10459</v>
      </c>
      <c r="F1972" s="21">
        <f t="shared" si="542"/>
        <v>1.99</v>
      </c>
      <c r="G1972" s="21">
        <f t="shared" si="542"/>
        <v>1.99</v>
      </c>
      <c r="H1972" s="21">
        <f t="shared" si="542"/>
        <v>1.99</v>
      </c>
      <c r="I1972" s="24" t="str">
        <f t="shared" si="543"/>
        <v xml:space="preserve">COM VALOR</v>
      </c>
      <c r="L1972" s="36">
        <v>1.99</v>
      </c>
      <c r="M1972" s="37">
        <v>1.99</v>
      </c>
      <c r="N1972" s="36">
        <v>1.99</v>
      </c>
    </row>
    <row r="1973" ht="25.5">
      <c r="A1973" s="19" t="s">
        <v>10460</v>
      </c>
      <c r="B1973" s="19">
        <v>38093</v>
      </c>
      <c r="C1973" s="20" t="s">
        <v>12433</v>
      </c>
      <c r="D1973" s="19" t="s">
        <v>31</v>
      </c>
      <c r="E1973" s="19" t="s">
        <v>10459</v>
      </c>
      <c r="F1973" s="21">
        <f t="shared" si="542"/>
        <v>2.0600000000000001</v>
      </c>
      <c r="G1973" s="21">
        <f t="shared" si="542"/>
        <v>2.0600000000000001</v>
      </c>
      <c r="H1973" s="21">
        <f t="shared" si="542"/>
        <v>2.0600000000000001</v>
      </c>
      <c r="I1973" s="24" t="str">
        <f t="shared" si="543"/>
        <v xml:space="preserve">COM VALOR</v>
      </c>
      <c r="L1973" s="36">
        <v>2.0600000000000001</v>
      </c>
      <c r="M1973" s="37">
        <v>2.0600000000000001</v>
      </c>
      <c r="N1973" s="36">
        <v>2.0600000000000001</v>
      </c>
    </row>
    <row r="1974" ht="25.5">
      <c r="A1974" s="19" t="s">
        <v>10460</v>
      </c>
      <c r="B1974" s="19">
        <v>38096</v>
      </c>
      <c r="C1974" s="20" t="s">
        <v>12434</v>
      </c>
      <c r="D1974" s="19" t="s">
        <v>31</v>
      </c>
      <c r="E1974" s="19" t="s">
        <v>10459</v>
      </c>
      <c r="F1974" s="21">
        <f t="shared" si="542"/>
        <v>4.7800000000000002</v>
      </c>
      <c r="G1974" s="21">
        <f t="shared" si="542"/>
        <v>4.7800000000000002</v>
      </c>
      <c r="H1974" s="21">
        <f t="shared" si="542"/>
        <v>4.7800000000000002</v>
      </c>
      <c r="I1974" s="24" t="str">
        <f t="shared" si="543"/>
        <v xml:space="preserve">COM VALOR</v>
      </c>
      <c r="L1974" s="36">
        <v>4.7800000000000002</v>
      </c>
      <c r="M1974" s="37">
        <v>4.7800000000000002</v>
      </c>
      <c r="N1974" s="36">
        <v>4.7800000000000002</v>
      </c>
    </row>
    <row r="1975" ht="25.5">
      <c r="A1975" s="19" t="s">
        <v>10460</v>
      </c>
      <c r="B1975" s="19">
        <v>38094</v>
      </c>
      <c r="C1975" s="20" t="s">
        <v>12435</v>
      </c>
      <c r="D1975" s="19" t="s">
        <v>31</v>
      </c>
      <c r="E1975" s="19" t="s">
        <v>10459</v>
      </c>
      <c r="F1975" s="21">
        <f t="shared" si="542"/>
        <v>2.52</v>
      </c>
      <c r="G1975" s="21">
        <f t="shared" si="542"/>
        <v>2.52</v>
      </c>
      <c r="H1975" s="21">
        <f t="shared" si="542"/>
        <v>2.52</v>
      </c>
      <c r="I1975" s="24" t="str">
        <f t="shared" si="543"/>
        <v xml:space="preserve">COM VALOR</v>
      </c>
      <c r="L1975" s="36">
        <v>2.52</v>
      </c>
      <c r="M1975" s="37">
        <v>2.52</v>
      </c>
      <c r="N1975" s="36">
        <v>2.52</v>
      </c>
    </row>
    <row r="1976" ht="25.5">
      <c r="A1976" s="19" t="s">
        <v>10460</v>
      </c>
      <c r="B1976" s="19">
        <v>38097</v>
      </c>
      <c r="C1976" s="20" t="s">
        <v>12436</v>
      </c>
      <c r="D1976" s="19" t="s">
        <v>31</v>
      </c>
      <c r="E1976" s="19" t="s">
        <v>10459</v>
      </c>
      <c r="F1976" s="21">
        <f t="shared" si="542"/>
        <v>5.1299999999999999</v>
      </c>
      <c r="G1976" s="21">
        <f t="shared" si="542"/>
        <v>5.1299999999999999</v>
      </c>
      <c r="H1976" s="21">
        <f t="shared" si="542"/>
        <v>5.1299999999999999</v>
      </c>
      <c r="I1976" s="24" t="str">
        <f t="shared" si="543"/>
        <v xml:space="preserve">COM VALOR</v>
      </c>
      <c r="L1976" s="36">
        <v>5.1299999999999999</v>
      </c>
      <c r="M1976" s="37">
        <v>5.1299999999999999</v>
      </c>
      <c r="N1976" s="36">
        <v>5.1299999999999999</v>
      </c>
    </row>
    <row r="1977" ht="25.5">
      <c r="A1977" s="19" t="s">
        <v>10460</v>
      </c>
      <c r="B1977" s="19">
        <v>38098</v>
      </c>
      <c r="C1977" s="20" t="s">
        <v>12437</v>
      </c>
      <c r="D1977" s="19" t="s">
        <v>31</v>
      </c>
      <c r="E1977" s="19" t="s">
        <v>10459</v>
      </c>
      <c r="F1977" s="21">
        <f t="shared" si="542"/>
        <v>5.1299999999999999</v>
      </c>
      <c r="G1977" s="21">
        <f t="shared" si="542"/>
        <v>5.1299999999999999</v>
      </c>
      <c r="H1977" s="21">
        <f t="shared" si="542"/>
        <v>5.1299999999999999</v>
      </c>
      <c r="I1977" s="24" t="str">
        <f t="shared" si="543"/>
        <v xml:space="preserve">COM VALOR</v>
      </c>
      <c r="L1977" s="36">
        <v>5.1299999999999999</v>
      </c>
      <c r="M1977" s="37">
        <v>5.1299999999999999</v>
      </c>
      <c r="N1977" s="36">
        <v>5.1299999999999999</v>
      </c>
    </row>
    <row r="1978" ht="12.75">
      <c r="A1978" s="19" t="s">
        <v>10460</v>
      </c>
      <c r="B1978" s="19">
        <v>11186</v>
      </c>
      <c r="C1978" s="20" t="s">
        <v>12438</v>
      </c>
      <c r="D1978" s="19" t="s">
        <v>29</v>
      </c>
      <c r="E1978" s="19" t="s">
        <v>10459</v>
      </c>
      <c r="F1978" s="21">
        <f t="shared" si="542"/>
        <v>473</v>
      </c>
      <c r="G1978" s="21">
        <f t="shared" si="542"/>
        <v>473</v>
      </c>
      <c r="H1978" s="21">
        <f t="shared" si="542"/>
        <v>473</v>
      </c>
      <c r="I1978" s="24" t="str">
        <f t="shared" si="543"/>
        <v xml:space="preserve">COM VALOR</v>
      </c>
      <c r="L1978" s="36">
        <v>473</v>
      </c>
      <c r="M1978" s="37">
        <v>473</v>
      </c>
      <c r="N1978" s="36">
        <v>473</v>
      </c>
    </row>
    <row r="1979" ht="38.25">
      <c r="A1979" s="19" t="s">
        <v>10460</v>
      </c>
      <c r="B1979" s="19">
        <v>11558</v>
      </c>
      <c r="C1979" s="20" t="s">
        <v>12439</v>
      </c>
      <c r="D1979" s="19" t="s">
        <v>10874</v>
      </c>
      <c r="E1979" s="19" t="s">
        <v>10459</v>
      </c>
      <c r="F1979" s="21">
        <f t="shared" si="542"/>
        <v>17.43</v>
      </c>
      <c r="G1979" s="21">
        <f t="shared" si="542"/>
        <v>17.43</v>
      </c>
      <c r="H1979" s="21">
        <f t="shared" si="542"/>
        <v>17.43</v>
      </c>
      <c r="I1979" s="24" t="str">
        <f t="shared" si="543"/>
        <v xml:space="preserve">COM VALOR</v>
      </c>
      <c r="L1979" s="36">
        <v>17.43</v>
      </c>
      <c r="M1979" s="37">
        <v>17.43</v>
      </c>
      <c r="N1979" s="36">
        <v>17.43</v>
      </c>
    </row>
    <row r="1980" ht="38.25">
      <c r="A1980" s="19" t="s">
        <v>10460</v>
      </c>
      <c r="B1980" s="19">
        <v>11557</v>
      </c>
      <c r="C1980" s="20" t="s">
        <v>12440</v>
      </c>
      <c r="D1980" s="19" t="s">
        <v>10874</v>
      </c>
      <c r="E1980" s="19" t="s">
        <v>10459</v>
      </c>
      <c r="F1980" s="21">
        <f t="shared" si="542"/>
        <v>44.130000000000003</v>
      </c>
      <c r="G1980" s="21">
        <f t="shared" si="542"/>
        <v>44.130000000000003</v>
      </c>
      <c r="H1980" s="21">
        <f t="shared" si="542"/>
        <v>44.130000000000003</v>
      </c>
      <c r="I1980" s="24" t="str">
        <f t="shared" si="543"/>
        <v xml:space="preserve">COM VALOR</v>
      </c>
      <c r="L1980" s="36">
        <v>44.130000000000003</v>
      </c>
      <c r="M1980" s="37">
        <v>44.130000000000003</v>
      </c>
      <c r="N1980" s="36">
        <v>44.130000000000003</v>
      </c>
    </row>
    <row r="1981" ht="12.75">
      <c r="A1981" s="19" t="s">
        <v>10460</v>
      </c>
      <c r="B1981" s="19">
        <v>2759</v>
      </c>
      <c r="C1981" s="20" t="s">
        <v>12441</v>
      </c>
      <c r="D1981" s="19" t="s">
        <v>31</v>
      </c>
      <c r="E1981" s="19" t="s">
        <v>10466</v>
      </c>
      <c r="F1981" s="21" t="str">
        <f t="shared" si="542"/>
        <v>VERIFICAR</v>
      </c>
      <c r="G1981" s="21" t="str">
        <f t="shared" si="542"/>
        <v>VERIFICAR</v>
      </c>
      <c r="H1981" s="21" t="str">
        <f t="shared" si="542"/>
        <v>VERIFICAR</v>
      </c>
      <c r="I1981" s="24" t="str">
        <f t="shared" si="543"/>
        <v xml:space="preserve">SEM VALOR</v>
      </c>
      <c r="L1981" s="36"/>
      <c r="M1981" s="37"/>
      <c r="N1981" s="36"/>
    </row>
    <row r="1982" ht="25.5">
      <c r="A1982" s="19" t="s">
        <v>10460</v>
      </c>
      <c r="B1982" s="19">
        <v>38124</v>
      </c>
      <c r="C1982" s="20" t="s">
        <v>12442</v>
      </c>
      <c r="D1982" s="19" t="s">
        <v>31</v>
      </c>
      <c r="E1982" s="19" t="s">
        <v>10466</v>
      </c>
      <c r="F1982" s="21">
        <f t="shared" si="542"/>
        <v>29.899999999999999</v>
      </c>
      <c r="G1982" s="21">
        <f t="shared" si="542"/>
        <v>29.899999999999999</v>
      </c>
      <c r="H1982" s="21">
        <f t="shared" si="542"/>
        <v>29.899999999999999</v>
      </c>
      <c r="I1982" s="24" t="str">
        <f t="shared" si="543"/>
        <v xml:space="preserve">COM VALOR</v>
      </c>
      <c r="L1982" s="36">
        <v>29.899999999999999</v>
      </c>
      <c r="M1982" s="37">
        <v>29.899999999999999</v>
      </c>
      <c r="N1982" s="36">
        <v>29.899999999999999</v>
      </c>
    </row>
    <row r="1983" ht="12.75">
      <c r="A1983" s="19" t="s">
        <v>10460</v>
      </c>
      <c r="B1983" s="19">
        <v>38380</v>
      </c>
      <c r="C1983" s="20" t="s">
        <v>12443</v>
      </c>
      <c r="D1983" s="19" t="s">
        <v>31</v>
      </c>
      <c r="E1983" s="19" t="s">
        <v>10459</v>
      </c>
      <c r="F1983" s="21">
        <f t="shared" si="542"/>
        <v>18.219999999999999</v>
      </c>
      <c r="G1983" s="21">
        <f t="shared" si="542"/>
        <v>18.219999999999999</v>
      </c>
      <c r="H1983" s="21">
        <f t="shared" si="542"/>
        <v>18.219999999999999</v>
      </c>
      <c r="I1983" s="24" t="str">
        <f t="shared" si="543"/>
        <v xml:space="preserve">COM VALOR</v>
      </c>
      <c r="L1983" s="36">
        <v>18.219999999999999</v>
      </c>
      <c r="M1983" s="37">
        <v>18.219999999999999</v>
      </c>
      <c r="N1983" s="36">
        <v>18.219999999999999</v>
      </c>
    </row>
    <row r="1984" ht="25.5">
      <c r="A1984" s="19" t="s">
        <v>10460</v>
      </c>
      <c r="B1984" s="19">
        <v>45278</v>
      </c>
      <c r="C1984" s="20" t="s">
        <v>12444</v>
      </c>
      <c r="D1984" s="19" t="s">
        <v>31</v>
      </c>
      <c r="E1984" s="19" t="s">
        <v>10459</v>
      </c>
      <c r="F1984" s="21">
        <f t="shared" si="542"/>
        <v>147.53999999999999</v>
      </c>
      <c r="G1984" s="21">
        <f t="shared" si="542"/>
        <v>147.53999999999999</v>
      </c>
      <c r="H1984" s="21">
        <f t="shared" si="542"/>
        <v>147.53999999999999</v>
      </c>
      <c r="I1984" s="24" t="str">
        <f t="shared" si="543"/>
        <v xml:space="preserve">COM VALOR</v>
      </c>
      <c r="L1984" s="36">
        <v>147.53999999999999</v>
      </c>
      <c r="M1984" s="37">
        <v>147.53999999999999</v>
      </c>
      <c r="N1984" s="36">
        <v>147.53999999999999</v>
      </c>
    </row>
    <row r="1985" ht="51">
      <c r="A1985" s="19" t="s">
        <v>10460</v>
      </c>
      <c r="B1985" s="19">
        <v>42429</v>
      </c>
      <c r="C1985" s="20" t="s">
        <v>12445</v>
      </c>
      <c r="D1985" s="19" t="s">
        <v>31</v>
      </c>
      <c r="E1985" s="19" t="s">
        <v>10459</v>
      </c>
      <c r="F1985" s="21" t="str">
        <f t="shared" si="542"/>
        <v>VERIFICAR</v>
      </c>
      <c r="G1985" s="21" t="str">
        <f t="shared" si="542"/>
        <v>VERIFICAR</v>
      </c>
      <c r="H1985" s="21" t="str">
        <f t="shared" si="542"/>
        <v>VERIFICAR</v>
      </c>
      <c r="I1985" s="24" t="str">
        <f t="shared" si="543"/>
        <v xml:space="preserve">SEM VALOR</v>
      </c>
      <c r="L1985" s="36"/>
      <c r="M1985" s="37"/>
      <c r="N1985" s="36"/>
    </row>
    <row r="1986" ht="51">
      <c r="A1986" s="19" t="s">
        <v>10460</v>
      </c>
      <c r="B1986" s="19">
        <v>38538</v>
      </c>
      <c r="C1986" s="20" t="s">
        <v>12446</v>
      </c>
      <c r="D1986" s="19" t="s">
        <v>38</v>
      </c>
      <c r="E1986" s="19" t="s">
        <v>10466</v>
      </c>
      <c r="F1986" s="21" t="str">
        <f t="shared" si="542"/>
        <v>VERIFICAR</v>
      </c>
      <c r="G1986" s="21" t="str">
        <f t="shared" si="542"/>
        <v>VERIFICAR</v>
      </c>
      <c r="H1986" s="21" t="str">
        <f t="shared" si="542"/>
        <v>VERIFICAR</v>
      </c>
      <c r="I1986" s="24" t="str">
        <f t="shared" si="543"/>
        <v xml:space="preserve">SEM VALOR</v>
      </c>
      <c r="L1986" s="36"/>
      <c r="M1986" s="37"/>
      <c r="N1986" s="36"/>
    </row>
    <row r="1987" ht="51">
      <c r="A1987" s="19" t="s">
        <v>10460</v>
      </c>
      <c r="B1987" s="19">
        <v>38539</v>
      </c>
      <c r="C1987" s="20" t="s">
        <v>12447</v>
      </c>
      <c r="D1987" s="19" t="s">
        <v>38</v>
      </c>
      <c r="E1987" s="19" t="s">
        <v>10459</v>
      </c>
      <c r="F1987" s="21" t="str">
        <f t="shared" si="542"/>
        <v>VERIFICAR</v>
      </c>
      <c r="G1987" s="21" t="str">
        <f t="shared" si="542"/>
        <v>VERIFICAR</v>
      </c>
      <c r="H1987" s="21" t="str">
        <f t="shared" si="542"/>
        <v>VERIFICAR</v>
      </c>
      <c r="I1987" s="24" t="str">
        <f t="shared" si="543"/>
        <v xml:space="preserve">SEM VALOR</v>
      </c>
      <c r="L1987" s="36"/>
      <c r="M1987" s="37"/>
      <c r="N1987" s="36"/>
    </row>
    <row r="1988" ht="51">
      <c r="A1988" s="19" t="s">
        <v>10460</v>
      </c>
      <c r="B1988" s="19">
        <v>38540</v>
      </c>
      <c r="C1988" s="20" t="s">
        <v>12448</v>
      </c>
      <c r="D1988" s="19" t="s">
        <v>38</v>
      </c>
      <c r="E1988" s="19" t="s">
        <v>10459</v>
      </c>
      <c r="F1988" s="21" t="str">
        <f t="shared" si="542"/>
        <v>VERIFICAR</v>
      </c>
      <c r="G1988" s="21" t="str">
        <f t="shared" si="542"/>
        <v>VERIFICAR</v>
      </c>
      <c r="H1988" s="21" t="str">
        <f t="shared" si="542"/>
        <v>VERIFICAR</v>
      </c>
      <c r="I1988" s="24" t="str">
        <f t="shared" si="543"/>
        <v xml:space="preserve">SEM VALOR</v>
      </c>
      <c r="L1988" s="36"/>
      <c r="M1988" s="37"/>
      <c r="N1988" s="36"/>
    </row>
    <row r="1989" ht="12.75">
      <c r="A1989" s="19" t="s">
        <v>10460</v>
      </c>
      <c r="B1989" s="19">
        <v>38384</v>
      </c>
      <c r="C1989" s="20" t="s">
        <v>12449</v>
      </c>
      <c r="D1989" s="19" t="s">
        <v>31</v>
      </c>
      <c r="E1989" s="19" t="s">
        <v>10459</v>
      </c>
      <c r="F1989" s="21">
        <f t="shared" si="542"/>
        <v>13.119999999999999</v>
      </c>
      <c r="G1989" s="21">
        <f t="shared" si="542"/>
        <v>13.119999999999999</v>
      </c>
      <c r="H1989" s="21">
        <f t="shared" si="542"/>
        <v>13.119999999999999</v>
      </c>
      <c r="I1989" s="24" t="str">
        <f t="shared" si="543"/>
        <v xml:space="preserve">COM VALOR</v>
      </c>
      <c r="L1989" s="36">
        <v>13.119999999999999</v>
      </c>
      <c r="M1989" s="37">
        <v>13.119999999999999</v>
      </c>
      <c r="N1989" s="36">
        <v>13.119999999999999</v>
      </c>
    </row>
    <row r="1990" ht="12.75">
      <c r="A1990" s="19" t="s">
        <v>10460</v>
      </c>
      <c r="B1990" s="19">
        <v>13</v>
      </c>
      <c r="C1990" s="20" t="s">
        <v>12450</v>
      </c>
      <c r="D1990" s="19" t="s">
        <v>302</v>
      </c>
      <c r="E1990" s="19" t="s">
        <v>10459</v>
      </c>
      <c r="F1990" s="21">
        <f t="shared" si="542"/>
        <v>25.899999999999999</v>
      </c>
      <c r="G1990" s="21">
        <f t="shared" si="542"/>
        <v>25.899999999999999</v>
      </c>
      <c r="H1990" s="21">
        <f t="shared" si="542"/>
        <v>25.899999999999999</v>
      </c>
      <c r="I1990" s="24" t="str">
        <f t="shared" si="543"/>
        <v xml:space="preserve">COM VALOR</v>
      </c>
      <c r="L1990" s="36">
        <v>25.899999999999999</v>
      </c>
      <c r="M1990" s="37">
        <v>25.899999999999999</v>
      </c>
      <c r="N1990" s="36">
        <v>25.899999999999999</v>
      </c>
    </row>
    <row r="1991" ht="12.75">
      <c r="A1991" s="19" t="s">
        <v>10460</v>
      </c>
      <c r="B1991" s="19">
        <v>2762</v>
      </c>
      <c r="C1991" s="20" t="s">
        <v>12451</v>
      </c>
      <c r="D1991" s="19" t="s">
        <v>38</v>
      </c>
      <c r="E1991" s="19" t="s">
        <v>10459</v>
      </c>
      <c r="F1991" s="21" t="str">
        <f t="shared" si="542"/>
        <v>VERIFICAR</v>
      </c>
      <c r="G1991" s="21" t="str">
        <f t="shared" si="542"/>
        <v>VERIFICAR</v>
      </c>
      <c r="H1991" s="21" t="str">
        <f t="shared" si="542"/>
        <v>VERIFICAR</v>
      </c>
      <c r="I1991" s="24" t="str">
        <f t="shared" si="543"/>
        <v xml:space="preserve">SEM VALOR</v>
      </c>
      <c r="L1991" s="36"/>
      <c r="M1991" s="37"/>
      <c r="N1991" s="36"/>
    </row>
    <row r="1992" ht="38.25">
      <c r="A1992" s="19" t="s">
        <v>10460</v>
      </c>
      <c r="B1992" s="19">
        <v>21142</v>
      </c>
      <c r="C1992" s="20" t="s">
        <v>12452</v>
      </c>
      <c r="D1992" s="19" t="s">
        <v>31</v>
      </c>
      <c r="E1992" s="19" t="s">
        <v>10459</v>
      </c>
      <c r="F1992" s="21">
        <f t="shared" si="542"/>
        <v>22.149999999999999</v>
      </c>
      <c r="G1992" s="21">
        <f t="shared" si="542"/>
        <v>22.149999999999999</v>
      </c>
      <c r="H1992" s="21">
        <f t="shared" si="542"/>
        <v>22.149999999999999</v>
      </c>
      <c r="I1992" s="24" t="str">
        <f t="shared" si="543"/>
        <v xml:space="preserve">COM VALOR</v>
      </c>
      <c r="L1992" s="36">
        <v>22.149999999999999</v>
      </c>
      <c r="M1992" s="37">
        <v>22.149999999999999</v>
      </c>
      <c r="N1992" s="36">
        <v>22.149999999999999</v>
      </c>
    </row>
    <row r="1993" ht="25.5">
      <c r="A1993" s="19" t="s">
        <v>10635</v>
      </c>
      <c r="B1993" s="19">
        <v>37372</v>
      </c>
      <c r="C1993" s="20" t="s">
        <v>12453</v>
      </c>
      <c r="D1993" s="19" t="s">
        <v>2032</v>
      </c>
      <c r="E1993" s="19" t="s">
        <v>10466</v>
      </c>
      <c r="F1993" s="21">
        <f t="shared" si="542"/>
        <v>1.6699999999999999</v>
      </c>
      <c r="G1993" s="21">
        <f t="shared" si="542"/>
        <v>1.6699999999999999</v>
      </c>
      <c r="H1993" s="21">
        <f t="shared" si="542"/>
        <v>1.6699999999999999</v>
      </c>
      <c r="I1993" s="24" t="str">
        <f t="shared" si="543"/>
        <v xml:space="preserve">COM VALOR</v>
      </c>
      <c r="L1993" s="36">
        <v>1.6699999999999999</v>
      </c>
      <c r="M1993" s="37">
        <v>1.6699999999999999</v>
      </c>
      <c r="N1993" s="36">
        <v>1.6699999999999999</v>
      </c>
    </row>
    <row r="1994" ht="25.5">
      <c r="A1994" s="19" t="s">
        <v>10635</v>
      </c>
      <c r="B1994" s="19">
        <v>40863</v>
      </c>
      <c r="C1994" s="20" t="s">
        <v>12454</v>
      </c>
      <c r="D1994" s="19" t="s">
        <v>7087</v>
      </c>
      <c r="E1994" s="19" t="s">
        <v>10466</v>
      </c>
      <c r="F1994" s="21">
        <f t="shared" si="542"/>
        <v>275.26999999999998</v>
      </c>
      <c r="G1994" s="21">
        <f t="shared" si="542"/>
        <v>275.26999999999998</v>
      </c>
      <c r="H1994" s="21">
        <f t="shared" si="542"/>
        <v>275.26999999999998</v>
      </c>
      <c r="I1994" s="24" t="str">
        <f t="shared" si="543"/>
        <v xml:space="preserve">COM VALOR</v>
      </c>
      <c r="L1994" s="36">
        <v>275.26999999999998</v>
      </c>
      <c r="M1994" s="37">
        <v>275.26999999999998</v>
      </c>
      <c r="N1994" s="36">
        <v>275.26999999999998</v>
      </c>
    </row>
    <row r="1995" ht="12.75">
      <c r="A1995" s="19" t="s">
        <v>10460</v>
      </c>
      <c r="B1995" s="19">
        <v>38475</v>
      </c>
      <c r="C1995" s="20" t="s">
        <v>12455</v>
      </c>
      <c r="D1995" s="19" t="s">
        <v>31</v>
      </c>
      <c r="E1995" s="19" t="s">
        <v>10459</v>
      </c>
      <c r="F1995" s="21">
        <f t="shared" ref="F1995:H2058" si="544">IF(L1995=0,"VERIFICAR",L1995)</f>
        <v>77.920000000000002</v>
      </c>
      <c r="G1995" s="21">
        <f t="shared" si="544"/>
        <v>77.920000000000002</v>
      </c>
      <c r="H1995" s="21">
        <f t="shared" si="544"/>
        <v>77.920000000000002</v>
      </c>
      <c r="I1995" s="24" t="str">
        <f t="shared" ref="I1995:I2058" si="545">IF(OR(L1995=0,M1995=0,N1995=0),"SEM VALOR","COM VALOR")</f>
        <v xml:space="preserve">COM VALOR</v>
      </c>
      <c r="L1995" s="36">
        <v>77.920000000000002</v>
      </c>
      <c r="M1995" s="37">
        <v>77.920000000000002</v>
      </c>
      <c r="N1995" s="36">
        <v>77.920000000000002</v>
      </c>
    </row>
    <row r="1996" ht="12.75">
      <c r="A1996" s="19" t="s">
        <v>10460</v>
      </c>
      <c r="B1996" s="19">
        <v>38474</v>
      </c>
      <c r="C1996" s="20" t="s">
        <v>12456</v>
      </c>
      <c r="D1996" s="19" t="s">
        <v>31</v>
      </c>
      <c r="E1996" s="19" t="s">
        <v>10459</v>
      </c>
      <c r="F1996" s="21">
        <f t="shared" si="544"/>
        <v>79</v>
      </c>
      <c r="G1996" s="21">
        <f t="shared" si="544"/>
        <v>79</v>
      </c>
      <c r="H1996" s="21">
        <f t="shared" si="544"/>
        <v>79</v>
      </c>
      <c r="I1996" s="24" t="str">
        <f t="shared" si="545"/>
        <v xml:space="preserve">COM VALOR</v>
      </c>
      <c r="L1996" s="36">
        <v>79</v>
      </c>
      <c r="M1996" s="37">
        <v>79</v>
      </c>
      <c r="N1996" s="36">
        <v>79</v>
      </c>
    </row>
    <row r="1997" ht="25.5">
      <c r="A1997" s="19" t="s">
        <v>10460</v>
      </c>
      <c r="B1997" s="19">
        <v>10886</v>
      </c>
      <c r="C1997" s="20" t="s">
        <v>12457</v>
      </c>
      <c r="D1997" s="19" t="s">
        <v>31</v>
      </c>
      <c r="E1997" s="19" t="s">
        <v>10459</v>
      </c>
      <c r="F1997" s="21">
        <f t="shared" si="544"/>
        <v>227.13999999999999</v>
      </c>
      <c r="G1997" s="21">
        <f t="shared" si="544"/>
        <v>227.13999999999999</v>
      </c>
      <c r="H1997" s="21">
        <f t="shared" si="544"/>
        <v>227.13999999999999</v>
      </c>
      <c r="I1997" s="24" t="str">
        <f t="shared" si="545"/>
        <v xml:space="preserve">COM VALOR</v>
      </c>
      <c r="L1997" s="36">
        <v>227.13999999999999</v>
      </c>
      <c r="M1997" s="37">
        <v>227.13999999999999</v>
      </c>
      <c r="N1997" s="36">
        <v>227.13999999999999</v>
      </c>
    </row>
    <row r="1998" ht="25.5">
      <c r="A1998" s="19" t="s">
        <v>10460</v>
      </c>
      <c r="B1998" s="19">
        <v>10888</v>
      </c>
      <c r="C1998" s="20" t="s">
        <v>12458</v>
      </c>
      <c r="D1998" s="19" t="s">
        <v>31</v>
      </c>
      <c r="E1998" s="19" t="s">
        <v>10459</v>
      </c>
      <c r="F1998" s="21">
        <f t="shared" si="544"/>
        <v>718.86000000000001</v>
      </c>
      <c r="G1998" s="21">
        <f t="shared" si="544"/>
        <v>718.86000000000001</v>
      </c>
      <c r="H1998" s="21">
        <f t="shared" si="544"/>
        <v>718.86000000000001</v>
      </c>
      <c r="I1998" s="24" t="str">
        <f t="shared" si="545"/>
        <v xml:space="preserve">COM VALOR</v>
      </c>
      <c r="L1998" s="36">
        <v>718.86000000000001</v>
      </c>
      <c r="M1998" s="37">
        <v>718.86000000000001</v>
      </c>
      <c r="N1998" s="36">
        <v>718.86000000000001</v>
      </c>
    </row>
    <row r="1999" ht="25.5">
      <c r="A1999" s="19" t="s">
        <v>10460</v>
      </c>
      <c r="B1999" s="19">
        <v>10889</v>
      </c>
      <c r="C1999" s="20" t="s">
        <v>12459</v>
      </c>
      <c r="D1999" s="19" t="s">
        <v>31</v>
      </c>
      <c r="E1999" s="19" t="s">
        <v>10459</v>
      </c>
      <c r="F1999" s="21">
        <f t="shared" si="544"/>
        <v>778.76999999999998</v>
      </c>
      <c r="G1999" s="21">
        <f t="shared" si="544"/>
        <v>778.76999999999998</v>
      </c>
      <c r="H1999" s="21">
        <f t="shared" si="544"/>
        <v>778.76999999999998</v>
      </c>
      <c r="I1999" s="24" t="str">
        <f t="shared" si="545"/>
        <v xml:space="preserve">COM VALOR</v>
      </c>
      <c r="L1999" s="36">
        <v>778.76999999999998</v>
      </c>
      <c r="M1999" s="37">
        <v>778.76999999999998</v>
      </c>
      <c r="N1999" s="36">
        <v>778.76999999999998</v>
      </c>
    </row>
    <row r="2000" ht="25.5">
      <c r="A2000" s="19" t="s">
        <v>10460</v>
      </c>
      <c r="B2000" s="19">
        <v>10890</v>
      </c>
      <c r="C2000" s="20" t="s">
        <v>12460</v>
      </c>
      <c r="D2000" s="19" t="s">
        <v>31</v>
      </c>
      <c r="E2000" s="19" t="s">
        <v>10459</v>
      </c>
      <c r="F2000" s="21">
        <f t="shared" si="544"/>
        <v>359.43000000000001</v>
      </c>
      <c r="G2000" s="21">
        <f t="shared" si="544"/>
        <v>359.43000000000001</v>
      </c>
      <c r="H2000" s="21">
        <f t="shared" si="544"/>
        <v>359.43000000000001</v>
      </c>
      <c r="I2000" s="24" t="str">
        <f t="shared" si="545"/>
        <v xml:space="preserve">COM VALOR</v>
      </c>
      <c r="L2000" s="36">
        <v>359.43000000000001</v>
      </c>
      <c r="M2000" s="37">
        <v>359.43000000000001</v>
      </c>
      <c r="N2000" s="36">
        <v>359.43000000000001</v>
      </c>
    </row>
    <row r="2001" ht="25.5">
      <c r="A2001" s="19" t="s">
        <v>10460</v>
      </c>
      <c r="B2001" s="19">
        <v>10891</v>
      </c>
      <c r="C2001" s="20" t="s">
        <v>12461</v>
      </c>
      <c r="D2001" s="19" t="s">
        <v>31</v>
      </c>
      <c r="E2001" s="19" t="s">
        <v>10459</v>
      </c>
      <c r="F2001" s="21">
        <f t="shared" si="544"/>
        <v>219.65000000000001</v>
      </c>
      <c r="G2001" s="21">
        <f t="shared" si="544"/>
        <v>219.65000000000001</v>
      </c>
      <c r="H2001" s="21">
        <f t="shared" si="544"/>
        <v>219.65000000000001</v>
      </c>
      <c r="I2001" s="24" t="str">
        <f t="shared" si="545"/>
        <v xml:space="preserve">COM VALOR</v>
      </c>
      <c r="L2001" s="36">
        <v>219.65000000000001</v>
      </c>
      <c r="M2001" s="37">
        <v>219.65000000000001</v>
      </c>
      <c r="N2001" s="36">
        <v>219.65000000000001</v>
      </c>
    </row>
    <row r="2002" ht="25.5">
      <c r="A2002" s="19" t="s">
        <v>10460</v>
      </c>
      <c r="B2002" s="19">
        <v>10892</v>
      </c>
      <c r="C2002" s="20" t="s">
        <v>12462</v>
      </c>
      <c r="D2002" s="19" t="s">
        <v>31</v>
      </c>
      <c r="E2002" s="19" t="s">
        <v>10466</v>
      </c>
      <c r="F2002" s="21">
        <f t="shared" si="544"/>
        <v>259.58999999999997</v>
      </c>
      <c r="G2002" s="21">
        <f t="shared" si="544"/>
        <v>259.58999999999997</v>
      </c>
      <c r="H2002" s="21">
        <f t="shared" si="544"/>
        <v>259.58999999999997</v>
      </c>
      <c r="I2002" s="24" t="str">
        <f t="shared" si="545"/>
        <v xml:space="preserve">COM VALOR</v>
      </c>
      <c r="L2002" s="36">
        <v>259.58999999999997</v>
      </c>
      <c r="M2002" s="37">
        <v>259.58999999999997</v>
      </c>
      <c r="N2002" s="36">
        <v>259.58999999999997</v>
      </c>
    </row>
    <row r="2003" ht="25.5">
      <c r="A2003" s="19" t="s">
        <v>10460</v>
      </c>
      <c r="B2003" s="19">
        <v>20977</v>
      </c>
      <c r="C2003" s="20" t="s">
        <v>12463</v>
      </c>
      <c r="D2003" s="19" t="s">
        <v>31</v>
      </c>
      <c r="E2003" s="19" t="s">
        <v>10459</v>
      </c>
      <c r="F2003" s="21">
        <f t="shared" si="544"/>
        <v>309.50999999999999</v>
      </c>
      <c r="G2003" s="21">
        <f t="shared" si="544"/>
        <v>309.50999999999999</v>
      </c>
      <c r="H2003" s="21">
        <f t="shared" si="544"/>
        <v>309.50999999999999</v>
      </c>
      <c r="I2003" s="24" t="str">
        <f t="shared" si="545"/>
        <v xml:space="preserve">COM VALOR</v>
      </c>
      <c r="L2003" s="36">
        <v>309.50999999999999</v>
      </c>
      <c r="M2003" s="37">
        <v>309.50999999999999</v>
      </c>
      <c r="N2003" s="36">
        <v>309.50999999999999</v>
      </c>
    </row>
    <row r="2004" ht="12.75">
      <c r="A2004" s="19" t="s">
        <v>10460</v>
      </c>
      <c r="B2004" s="19">
        <v>3073</v>
      </c>
      <c r="C2004" s="20" t="s">
        <v>12464</v>
      </c>
      <c r="D2004" s="19" t="s">
        <v>31</v>
      </c>
      <c r="E2004" s="19" t="s">
        <v>10459</v>
      </c>
      <c r="F2004" s="21">
        <f t="shared" si="544"/>
        <v>164.83000000000001</v>
      </c>
      <c r="G2004" s="21">
        <f t="shared" si="544"/>
        <v>164.83000000000001</v>
      </c>
      <c r="H2004" s="21">
        <f t="shared" si="544"/>
        <v>164.83000000000001</v>
      </c>
      <c r="I2004" s="24" t="str">
        <f t="shared" si="545"/>
        <v xml:space="preserve">COM VALOR</v>
      </c>
      <c r="L2004" s="36">
        <v>164.83000000000001</v>
      </c>
      <c r="M2004" s="37">
        <v>164.83000000000001</v>
      </c>
      <c r="N2004" s="36">
        <v>164.83000000000001</v>
      </c>
    </row>
    <row r="2005" ht="12.75">
      <c r="A2005" s="19" t="s">
        <v>10460</v>
      </c>
      <c r="B2005" s="19">
        <v>3074</v>
      </c>
      <c r="C2005" s="20" t="s">
        <v>12465</v>
      </c>
      <c r="D2005" s="19" t="s">
        <v>31</v>
      </c>
      <c r="E2005" s="19" t="s">
        <v>10459</v>
      </c>
      <c r="F2005" s="21">
        <f t="shared" si="544"/>
        <v>104.06</v>
      </c>
      <c r="G2005" s="21">
        <f t="shared" si="544"/>
        <v>104.06</v>
      </c>
      <c r="H2005" s="21">
        <f t="shared" si="544"/>
        <v>104.06</v>
      </c>
      <c r="I2005" s="24" t="str">
        <f t="shared" si="545"/>
        <v xml:space="preserve">COM VALOR</v>
      </c>
      <c r="L2005" s="36">
        <v>104.06</v>
      </c>
      <c r="M2005" s="37">
        <v>104.06</v>
      </c>
      <c r="N2005" s="36">
        <v>104.06</v>
      </c>
    </row>
    <row r="2006" ht="12.75">
      <c r="A2006" s="19" t="s">
        <v>10460</v>
      </c>
      <c r="B2006" s="19">
        <v>3076</v>
      </c>
      <c r="C2006" s="20" t="s">
        <v>12466</v>
      </c>
      <c r="D2006" s="19" t="s">
        <v>31</v>
      </c>
      <c r="E2006" s="19" t="s">
        <v>10459</v>
      </c>
      <c r="F2006" s="21">
        <f t="shared" si="544"/>
        <v>135.5</v>
      </c>
      <c r="G2006" s="21">
        <f t="shared" si="544"/>
        <v>135.5</v>
      </c>
      <c r="H2006" s="21">
        <f t="shared" si="544"/>
        <v>135.5</v>
      </c>
      <c r="I2006" s="24" t="str">
        <f t="shared" si="545"/>
        <v xml:space="preserve">COM VALOR</v>
      </c>
      <c r="L2006" s="36">
        <v>135.5</v>
      </c>
      <c r="M2006" s="37">
        <v>135.5</v>
      </c>
      <c r="N2006" s="36">
        <v>135.5</v>
      </c>
    </row>
    <row r="2007" ht="12.75">
      <c r="A2007" s="19" t="s">
        <v>10460</v>
      </c>
      <c r="B2007" s="19">
        <v>3075</v>
      </c>
      <c r="C2007" s="20" t="s">
        <v>12467</v>
      </c>
      <c r="D2007" s="19" t="s">
        <v>31</v>
      </c>
      <c r="E2007" s="19" t="s">
        <v>10459</v>
      </c>
      <c r="F2007" s="21">
        <f t="shared" si="544"/>
        <v>85.629999999999995</v>
      </c>
      <c r="G2007" s="21">
        <f t="shared" si="544"/>
        <v>85.629999999999995</v>
      </c>
      <c r="H2007" s="21">
        <f t="shared" si="544"/>
        <v>85.629999999999995</v>
      </c>
      <c r="I2007" s="24" t="str">
        <f t="shared" si="545"/>
        <v xml:space="preserve">COM VALOR</v>
      </c>
      <c r="L2007" s="36">
        <v>85.629999999999995</v>
      </c>
      <c r="M2007" s="37">
        <v>85.629999999999995</v>
      </c>
      <c r="N2007" s="36">
        <v>85.629999999999995</v>
      </c>
    </row>
    <row r="2008" ht="25.5">
      <c r="A2008" s="19" t="s">
        <v>10460</v>
      </c>
      <c r="B2008" s="19">
        <v>10781</v>
      </c>
      <c r="C2008" s="20" t="s">
        <v>12468</v>
      </c>
      <c r="D2008" s="19" t="s">
        <v>31</v>
      </c>
      <c r="E2008" s="19" t="s">
        <v>10459</v>
      </c>
      <c r="F2008" s="21">
        <f t="shared" si="544"/>
        <v>11.609999999999999</v>
      </c>
      <c r="G2008" s="21">
        <f t="shared" si="544"/>
        <v>11.609999999999999</v>
      </c>
      <c r="H2008" s="21">
        <f t="shared" si="544"/>
        <v>11.609999999999999</v>
      </c>
      <c r="I2008" s="24" t="str">
        <f t="shared" si="545"/>
        <v xml:space="preserve">COM VALOR</v>
      </c>
      <c r="L2008" s="36">
        <v>11.609999999999999</v>
      </c>
      <c r="M2008" s="37">
        <v>11.609999999999999</v>
      </c>
      <c r="N2008" s="36">
        <v>11.609999999999999</v>
      </c>
    </row>
    <row r="2009" ht="38.25">
      <c r="A2009" s="19" t="s">
        <v>10460</v>
      </c>
      <c r="B2009" s="19">
        <v>11480</v>
      </c>
      <c r="C2009" s="20" t="s">
        <v>12469</v>
      </c>
      <c r="D2009" s="19" t="s">
        <v>11798</v>
      </c>
      <c r="E2009" s="19" t="s">
        <v>10459</v>
      </c>
      <c r="F2009" s="21">
        <f t="shared" si="544"/>
        <v>135.84999999999999</v>
      </c>
      <c r="G2009" s="21">
        <f t="shared" si="544"/>
        <v>135.84999999999999</v>
      </c>
      <c r="H2009" s="21">
        <f t="shared" si="544"/>
        <v>135.84999999999999</v>
      </c>
      <c r="I2009" s="24" t="str">
        <f t="shared" si="545"/>
        <v xml:space="preserve">COM VALOR</v>
      </c>
      <c r="L2009" s="36">
        <v>135.84999999999999</v>
      </c>
      <c r="M2009" s="37">
        <v>135.84999999999999</v>
      </c>
      <c r="N2009" s="36">
        <v>135.84999999999999</v>
      </c>
    </row>
    <row r="2010" ht="38.25">
      <c r="A2010" s="19" t="s">
        <v>10460</v>
      </c>
      <c r="B2010" s="19">
        <v>43612</v>
      </c>
      <c r="C2010" s="20" t="s">
        <v>12470</v>
      </c>
      <c r="D2010" s="19" t="s">
        <v>11798</v>
      </c>
      <c r="E2010" s="19" t="s">
        <v>10459</v>
      </c>
      <c r="F2010" s="21">
        <f t="shared" si="544"/>
        <v>106.93000000000001</v>
      </c>
      <c r="G2010" s="21">
        <f t="shared" si="544"/>
        <v>106.93000000000001</v>
      </c>
      <c r="H2010" s="21">
        <f t="shared" si="544"/>
        <v>106.93000000000001</v>
      </c>
      <c r="I2010" s="24" t="str">
        <f t="shared" si="545"/>
        <v xml:space="preserve">COM VALOR</v>
      </c>
      <c r="L2010" s="36">
        <v>106.93000000000001</v>
      </c>
      <c r="M2010" s="37">
        <v>106.93000000000001</v>
      </c>
      <c r="N2010" s="36">
        <v>106.93000000000001</v>
      </c>
    </row>
    <row r="2011" ht="38.25">
      <c r="A2011" s="19" t="s">
        <v>10460</v>
      </c>
      <c r="B2011" s="19">
        <v>43613</v>
      </c>
      <c r="C2011" s="20" t="s">
        <v>12471</v>
      </c>
      <c r="D2011" s="19" t="s">
        <v>11798</v>
      </c>
      <c r="E2011" s="19" t="s">
        <v>10459</v>
      </c>
      <c r="F2011" s="21">
        <f t="shared" si="544"/>
        <v>88.519999999999996</v>
      </c>
      <c r="G2011" s="21">
        <f t="shared" si="544"/>
        <v>88.519999999999996</v>
      </c>
      <c r="H2011" s="21">
        <f t="shared" si="544"/>
        <v>88.519999999999996</v>
      </c>
      <c r="I2011" s="24" t="str">
        <f t="shared" si="545"/>
        <v xml:space="preserve">COM VALOR</v>
      </c>
      <c r="L2011" s="36">
        <v>88.519999999999996</v>
      </c>
      <c r="M2011" s="37">
        <v>88.519999999999996</v>
      </c>
      <c r="N2011" s="36">
        <v>88.519999999999996</v>
      </c>
    </row>
    <row r="2012" ht="63.75">
      <c r="A2012" s="19" t="s">
        <v>10460</v>
      </c>
      <c r="B2012" s="19">
        <v>11469</v>
      </c>
      <c r="C2012" s="20" t="s">
        <v>12472</v>
      </c>
      <c r="D2012" s="19" t="s">
        <v>31</v>
      </c>
      <c r="E2012" s="19" t="s">
        <v>10459</v>
      </c>
      <c r="F2012" s="21">
        <f t="shared" si="544"/>
        <v>14.5</v>
      </c>
      <c r="G2012" s="21">
        <f t="shared" si="544"/>
        <v>14.5</v>
      </c>
      <c r="H2012" s="21">
        <f t="shared" si="544"/>
        <v>14.5</v>
      </c>
      <c r="I2012" s="24" t="str">
        <f t="shared" si="545"/>
        <v xml:space="preserve">COM VALOR</v>
      </c>
      <c r="L2012" s="36">
        <v>14.5</v>
      </c>
      <c r="M2012" s="37">
        <v>14.5</v>
      </c>
      <c r="N2012" s="36">
        <v>14.5</v>
      </c>
    </row>
    <row r="2013" ht="38.25">
      <c r="A2013" s="19" t="s">
        <v>10460</v>
      </c>
      <c r="B2013" s="19">
        <v>11468</v>
      </c>
      <c r="C2013" s="20" t="s">
        <v>12473</v>
      </c>
      <c r="D2013" s="19" t="s">
        <v>31</v>
      </c>
      <c r="E2013" s="19" t="s">
        <v>10459</v>
      </c>
      <c r="F2013" s="21">
        <f t="shared" si="544"/>
        <v>14.51</v>
      </c>
      <c r="G2013" s="21">
        <f t="shared" si="544"/>
        <v>14.51</v>
      </c>
      <c r="H2013" s="21">
        <f t="shared" si="544"/>
        <v>14.51</v>
      </c>
      <c r="I2013" s="24" t="str">
        <f t="shared" si="545"/>
        <v xml:space="preserve">COM VALOR</v>
      </c>
      <c r="L2013" s="36">
        <v>14.51</v>
      </c>
      <c r="M2013" s="37">
        <v>14.51</v>
      </c>
      <c r="N2013" s="36">
        <v>14.51</v>
      </c>
    </row>
    <row r="2014" ht="38.25">
      <c r="A2014" s="19" t="s">
        <v>10460</v>
      </c>
      <c r="B2014" s="19">
        <v>11484</v>
      </c>
      <c r="C2014" s="20" t="s">
        <v>12474</v>
      </c>
      <c r="D2014" s="19" t="s">
        <v>31</v>
      </c>
      <c r="E2014" s="19" t="s">
        <v>10459</v>
      </c>
      <c r="F2014" s="21">
        <f t="shared" si="544"/>
        <v>63.729999999999997</v>
      </c>
      <c r="G2014" s="21">
        <f t="shared" si="544"/>
        <v>63.729999999999997</v>
      </c>
      <c r="H2014" s="21">
        <f t="shared" si="544"/>
        <v>63.729999999999997</v>
      </c>
      <c r="I2014" s="24" t="str">
        <f t="shared" si="545"/>
        <v xml:space="preserve">COM VALOR</v>
      </c>
      <c r="L2014" s="36">
        <v>63.729999999999997</v>
      </c>
      <c r="M2014" s="37">
        <v>63.729999999999997</v>
      </c>
      <c r="N2014" s="36">
        <v>63.729999999999997</v>
      </c>
    </row>
    <row r="2015" ht="38.25">
      <c r="A2015" s="19" t="s">
        <v>10460</v>
      </c>
      <c r="B2015" s="19">
        <v>38155</v>
      </c>
      <c r="C2015" s="20" t="s">
        <v>12475</v>
      </c>
      <c r="D2015" s="19" t="s">
        <v>31</v>
      </c>
      <c r="E2015" s="19" t="s">
        <v>10459</v>
      </c>
      <c r="F2015" s="21">
        <f t="shared" si="544"/>
        <v>98.950000000000003</v>
      </c>
      <c r="G2015" s="21">
        <f t="shared" si="544"/>
        <v>98.950000000000003</v>
      </c>
      <c r="H2015" s="21">
        <f t="shared" si="544"/>
        <v>98.950000000000003</v>
      </c>
      <c r="I2015" s="24" t="str">
        <f t="shared" si="545"/>
        <v xml:space="preserve">COM VALOR</v>
      </c>
      <c r="L2015" s="36">
        <v>98.950000000000003</v>
      </c>
      <c r="M2015" s="37">
        <v>98.950000000000003</v>
      </c>
      <c r="N2015" s="36">
        <v>98.950000000000003</v>
      </c>
    </row>
    <row r="2016" ht="38.25">
      <c r="A2016" s="19" t="s">
        <v>10460</v>
      </c>
      <c r="B2016" s="19">
        <v>11467</v>
      </c>
      <c r="C2016" s="20" t="s">
        <v>12476</v>
      </c>
      <c r="D2016" s="19" t="s">
        <v>31</v>
      </c>
      <c r="E2016" s="19" t="s">
        <v>10459</v>
      </c>
      <c r="F2016" s="21">
        <f t="shared" si="544"/>
        <v>22.609999999999999</v>
      </c>
      <c r="G2016" s="21">
        <f t="shared" si="544"/>
        <v>22.609999999999999</v>
      </c>
      <c r="H2016" s="21">
        <f t="shared" si="544"/>
        <v>22.609999999999999</v>
      </c>
      <c r="I2016" s="24" t="str">
        <f t="shared" si="545"/>
        <v xml:space="preserve">COM VALOR</v>
      </c>
      <c r="L2016" s="36">
        <v>22.609999999999999</v>
      </c>
      <c r="M2016" s="37">
        <v>22.609999999999999</v>
      </c>
      <c r="N2016" s="36">
        <v>22.609999999999999</v>
      </c>
    </row>
    <row r="2017" ht="63.75">
      <c r="A2017" s="19" t="s">
        <v>10460</v>
      </c>
      <c r="B2017" s="19">
        <v>38153</v>
      </c>
      <c r="C2017" s="20" t="s">
        <v>12477</v>
      </c>
      <c r="D2017" s="19" t="s">
        <v>11798</v>
      </c>
      <c r="E2017" s="19" t="s">
        <v>10459</v>
      </c>
      <c r="F2017" s="21">
        <f t="shared" si="544"/>
        <v>57.759999999999998</v>
      </c>
      <c r="G2017" s="21">
        <f t="shared" si="544"/>
        <v>57.759999999999998</v>
      </c>
      <c r="H2017" s="21">
        <f t="shared" si="544"/>
        <v>57.759999999999998</v>
      </c>
      <c r="I2017" s="24" t="str">
        <f t="shared" si="545"/>
        <v xml:space="preserve">COM VALOR</v>
      </c>
      <c r="L2017" s="36">
        <v>57.759999999999998</v>
      </c>
      <c r="M2017" s="37">
        <v>57.759999999999998</v>
      </c>
      <c r="N2017" s="36">
        <v>57.759999999999998</v>
      </c>
    </row>
    <row r="2018" ht="63.75">
      <c r="A2018" s="19" t="s">
        <v>10460</v>
      </c>
      <c r="B2018" s="19">
        <v>43607</v>
      </c>
      <c r="C2018" s="20" t="s">
        <v>12478</v>
      </c>
      <c r="D2018" s="19" t="s">
        <v>11798</v>
      </c>
      <c r="E2018" s="19" t="s">
        <v>10459</v>
      </c>
      <c r="F2018" s="21">
        <f t="shared" si="544"/>
        <v>109.23999999999999</v>
      </c>
      <c r="G2018" s="21">
        <f t="shared" si="544"/>
        <v>109.23999999999999</v>
      </c>
      <c r="H2018" s="21">
        <f t="shared" si="544"/>
        <v>109.23999999999999</v>
      </c>
      <c r="I2018" s="24" t="str">
        <f t="shared" si="545"/>
        <v xml:space="preserve">COM VALOR</v>
      </c>
      <c r="L2018" s="36">
        <v>109.23999999999999</v>
      </c>
      <c r="M2018" s="37">
        <v>109.23999999999999</v>
      </c>
      <c r="N2018" s="36">
        <v>109.23999999999999</v>
      </c>
    </row>
    <row r="2019" ht="51">
      <c r="A2019" s="19" t="s">
        <v>10460</v>
      </c>
      <c r="B2019" s="19">
        <v>3080</v>
      </c>
      <c r="C2019" s="20" t="s">
        <v>12479</v>
      </c>
      <c r="D2019" s="19" t="s">
        <v>11798</v>
      </c>
      <c r="E2019" s="19" t="s">
        <v>10466</v>
      </c>
      <c r="F2019" s="21">
        <f t="shared" si="544"/>
        <v>73.450000000000003</v>
      </c>
      <c r="G2019" s="21">
        <f t="shared" si="544"/>
        <v>73.450000000000003</v>
      </c>
      <c r="H2019" s="21">
        <f t="shared" si="544"/>
        <v>73.450000000000003</v>
      </c>
      <c r="I2019" s="24" t="str">
        <f t="shared" si="545"/>
        <v xml:space="preserve">COM VALOR</v>
      </c>
      <c r="L2019" s="36">
        <v>73.450000000000003</v>
      </c>
      <c r="M2019" s="37">
        <v>73.450000000000003</v>
      </c>
      <c r="N2019" s="36">
        <v>73.450000000000003</v>
      </c>
    </row>
    <row r="2020" ht="51">
      <c r="A2020" s="19" t="s">
        <v>10460</v>
      </c>
      <c r="B2020" s="19">
        <v>3081</v>
      </c>
      <c r="C2020" s="20" t="s">
        <v>12480</v>
      </c>
      <c r="D2020" s="19" t="s">
        <v>11798</v>
      </c>
      <c r="E2020" s="19" t="s">
        <v>10459</v>
      </c>
      <c r="F2020" s="21">
        <f t="shared" si="544"/>
        <v>145.31999999999999</v>
      </c>
      <c r="G2020" s="21">
        <f t="shared" si="544"/>
        <v>145.31999999999999</v>
      </c>
      <c r="H2020" s="21">
        <f t="shared" si="544"/>
        <v>145.31999999999999</v>
      </c>
      <c r="I2020" s="24" t="str">
        <f t="shared" si="545"/>
        <v xml:space="preserve">COM VALOR</v>
      </c>
      <c r="L2020" s="36">
        <v>145.31999999999999</v>
      </c>
      <c r="M2020" s="37">
        <v>145.31999999999999</v>
      </c>
      <c r="N2020" s="36">
        <v>145.31999999999999</v>
      </c>
    </row>
    <row r="2021" ht="51">
      <c r="A2021" s="19" t="s">
        <v>10460</v>
      </c>
      <c r="B2021" s="19">
        <v>3090</v>
      </c>
      <c r="C2021" s="20" t="s">
        <v>12481</v>
      </c>
      <c r="D2021" s="19" t="s">
        <v>11798</v>
      </c>
      <c r="E2021" s="19" t="s">
        <v>10459</v>
      </c>
      <c r="F2021" s="21">
        <f t="shared" si="544"/>
        <v>65.560000000000002</v>
      </c>
      <c r="G2021" s="21">
        <f t="shared" si="544"/>
        <v>65.560000000000002</v>
      </c>
      <c r="H2021" s="21">
        <f t="shared" si="544"/>
        <v>65.560000000000002</v>
      </c>
      <c r="I2021" s="24" t="str">
        <f t="shared" si="545"/>
        <v xml:space="preserve">COM VALOR</v>
      </c>
      <c r="L2021" s="36">
        <v>65.560000000000002</v>
      </c>
      <c r="M2021" s="37">
        <v>65.560000000000002</v>
      </c>
      <c r="N2021" s="36">
        <v>65.560000000000002</v>
      </c>
    </row>
    <row r="2022" ht="51">
      <c r="A2022" s="19" t="s">
        <v>10460</v>
      </c>
      <c r="B2022" s="19">
        <v>43611</v>
      </c>
      <c r="C2022" s="20" t="s">
        <v>12482</v>
      </c>
      <c r="D2022" s="19" t="s">
        <v>11798</v>
      </c>
      <c r="E2022" s="19" t="s">
        <v>10459</v>
      </c>
      <c r="F2022" s="21">
        <f t="shared" si="544"/>
        <v>108.79000000000001</v>
      </c>
      <c r="G2022" s="21">
        <f t="shared" si="544"/>
        <v>108.79000000000001</v>
      </c>
      <c r="H2022" s="21">
        <f t="shared" si="544"/>
        <v>108.79000000000001</v>
      </c>
      <c r="I2022" s="24" t="str">
        <f t="shared" si="545"/>
        <v xml:space="preserve">COM VALOR</v>
      </c>
      <c r="L2022" s="36">
        <v>108.79000000000001</v>
      </c>
      <c r="M2022" s="37">
        <v>108.79000000000001</v>
      </c>
      <c r="N2022" s="36">
        <v>108.79000000000001</v>
      </c>
    </row>
    <row r="2023" ht="51">
      <c r="A2023" s="19" t="s">
        <v>10460</v>
      </c>
      <c r="B2023" s="19">
        <v>3103</v>
      </c>
      <c r="C2023" s="20" t="s">
        <v>12483</v>
      </c>
      <c r="D2023" s="19" t="s">
        <v>31</v>
      </c>
      <c r="E2023" s="19" t="s">
        <v>10459</v>
      </c>
      <c r="F2023" s="21">
        <f t="shared" si="544"/>
        <v>54.359999999999999</v>
      </c>
      <c r="G2023" s="21">
        <f t="shared" si="544"/>
        <v>54.359999999999999</v>
      </c>
      <c r="H2023" s="21">
        <f t="shared" si="544"/>
        <v>54.359999999999999</v>
      </c>
      <c r="I2023" s="24" t="str">
        <f t="shared" si="545"/>
        <v xml:space="preserve">COM VALOR</v>
      </c>
      <c r="L2023" s="36">
        <v>54.359999999999999</v>
      </c>
      <c r="M2023" s="37">
        <v>54.359999999999999</v>
      </c>
      <c r="N2023" s="36">
        <v>54.359999999999999</v>
      </c>
    </row>
    <row r="2024" ht="63.75">
      <c r="A2024" s="19" t="s">
        <v>10460</v>
      </c>
      <c r="B2024" s="19">
        <v>3097</v>
      </c>
      <c r="C2024" s="20" t="s">
        <v>12484</v>
      </c>
      <c r="D2024" s="19" t="s">
        <v>11798</v>
      </c>
      <c r="E2024" s="19" t="s">
        <v>10459</v>
      </c>
      <c r="F2024" s="21">
        <f t="shared" si="544"/>
        <v>82.239999999999995</v>
      </c>
      <c r="G2024" s="21">
        <f t="shared" si="544"/>
        <v>82.239999999999995</v>
      </c>
      <c r="H2024" s="21">
        <f t="shared" si="544"/>
        <v>82.239999999999995</v>
      </c>
      <c r="I2024" s="24" t="str">
        <f t="shared" si="545"/>
        <v xml:space="preserve">COM VALOR</v>
      </c>
      <c r="L2024" s="36">
        <v>82.239999999999995</v>
      </c>
      <c r="M2024" s="37">
        <v>82.239999999999995</v>
      </c>
      <c r="N2024" s="36">
        <v>82.239999999999995</v>
      </c>
    </row>
    <row r="2025" ht="63.75">
      <c r="A2025" s="19" t="s">
        <v>10460</v>
      </c>
      <c r="B2025" s="19">
        <v>3099</v>
      </c>
      <c r="C2025" s="20" t="s">
        <v>12485</v>
      </c>
      <c r="D2025" s="19" t="s">
        <v>11798</v>
      </c>
      <c r="E2025" s="19" t="s">
        <v>10459</v>
      </c>
      <c r="F2025" s="21">
        <f t="shared" si="544"/>
        <v>131.68000000000001</v>
      </c>
      <c r="G2025" s="21">
        <f t="shared" si="544"/>
        <v>131.68000000000001</v>
      </c>
      <c r="H2025" s="21">
        <f t="shared" si="544"/>
        <v>131.68000000000001</v>
      </c>
      <c r="I2025" s="24" t="str">
        <f t="shared" si="545"/>
        <v xml:space="preserve">COM VALOR</v>
      </c>
      <c r="L2025" s="36">
        <v>131.68000000000001</v>
      </c>
      <c r="M2025" s="37">
        <v>131.68000000000001</v>
      </c>
      <c r="N2025" s="36">
        <v>131.68000000000001</v>
      </c>
    </row>
    <row r="2026" ht="63.75">
      <c r="A2026" s="19" t="s">
        <v>10460</v>
      </c>
      <c r="B2026" s="19">
        <v>38151</v>
      </c>
      <c r="C2026" s="20" t="s">
        <v>12486</v>
      </c>
      <c r="D2026" s="19" t="s">
        <v>11798</v>
      </c>
      <c r="E2026" s="19" t="s">
        <v>10459</v>
      </c>
      <c r="F2026" s="21">
        <f t="shared" si="544"/>
        <v>95.459999999999994</v>
      </c>
      <c r="G2026" s="21">
        <f t="shared" si="544"/>
        <v>95.459999999999994</v>
      </c>
      <c r="H2026" s="21">
        <f t="shared" si="544"/>
        <v>95.459999999999994</v>
      </c>
      <c r="I2026" s="24" t="str">
        <f t="shared" si="545"/>
        <v xml:space="preserve">COM VALOR</v>
      </c>
      <c r="L2026" s="36">
        <v>95.459999999999994</v>
      </c>
      <c r="M2026" s="37">
        <v>95.459999999999994</v>
      </c>
      <c r="N2026" s="36">
        <v>95.459999999999994</v>
      </c>
    </row>
    <row r="2027" ht="63.75">
      <c r="A2027" s="19" t="s">
        <v>10460</v>
      </c>
      <c r="B2027" s="19">
        <v>38152</v>
      </c>
      <c r="C2027" s="20" t="s">
        <v>12487</v>
      </c>
      <c r="D2027" s="19" t="s">
        <v>11798</v>
      </c>
      <c r="E2027" s="19" t="s">
        <v>10459</v>
      </c>
      <c r="F2027" s="21">
        <f t="shared" si="544"/>
        <v>153.99000000000001</v>
      </c>
      <c r="G2027" s="21">
        <f t="shared" si="544"/>
        <v>153.99000000000001</v>
      </c>
      <c r="H2027" s="21">
        <f t="shared" si="544"/>
        <v>153.99000000000001</v>
      </c>
      <c r="I2027" s="24" t="str">
        <f t="shared" si="545"/>
        <v xml:space="preserve">COM VALOR</v>
      </c>
      <c r="L2027" s="36">
        <v>153.99000000000001</v>
      </c>
      <c r="M2027" s="37">
        <v>153.99000000000001</v>
      </c>
      <c r="N2027" s="36">
        <v>153.99000000000001</v>
      </c>
    </row>
    <row r="2028" ht="63.75">
      <c r="A2028" s="19" t="s">
        <v>10460</v>
      </c>
      <c r="B2028" s="19">
        <v>43610</v>
      </c>
      <c r="C2028" s="20" t="s">
        <v>12488</v>
      </c>
      <c r="D2028" s="19" t="s">
        <v>11798</v>
      </c>
      <c r="E2028" s="19" t="s">
        <v>10459</v>
      </c>
      <c r="F2028" s="21">
        <f t="shared" si="544"/>
        <v>81.599999999999994</v>
      </c>
      <c r="G2028" s="21">
        <f t="shared" si="544"/>
        <v>81.599999999999994</v>
      </c>
      <c r="H2028" s="21">
        <f t="shared" si="544"/>
        <v>81.599999999999994</v>
      </c>
      <c r="I2028" s="24" t="str">
        <f t="shared" si="545"/>
        <v xml:space="preserve">COM VALOR</v>
      </c>
      <c r="L2028" s="36">
        <v>81.599999999999994</v>
      </c>
      <c r="M2028" s="37">
        <v>81.599999999999994</v>
      </c>
      <c r="N2028" s="36">
        <v>81.599999999999994</v>
      </c>
    </row>
    <row r="2029" ht="63.75">
      <c r="A2029" s="19" t="s">
        <v>10460</v>
      </c>
      <c r="B2029" s="19">
        <v>3093</v>
      </c>
      <c r="C2029" s="20" t="s">
        <v>12489</v>
      </c>
      <c r="D2029" s="19" t="s">
        <v>11798</v>
      </c>
      <c r="E2029" s="19" t="s">
        <v>10459</v>
      </c>
      <c r="F2029" s="21">
        <f t="shared" si="544"/>
        <v>131.68000000000001</v>
      </c>
      <c r="G2029" s="21">
        <f t="shared" si="544"/>
        <v>131.68000000000001</v>
      </c>
      <c r="H2029" s="21">
        <f t="shared" si="544"/>
        <v>131.68000000000001</v>
      </c>
      <c r="I2029" s="24" t="str">
        <f t="shared" si="545"/>
        <v xml:space="preserve">COM VALOR</v>
      </c>
      <c r="L2029" s="36">
        <v>131.68000000000001</v>
      </c>
      <c r="M2029" s="37">
        <v>131.68000000000001</v>
      </c>
      <c r="N2029" s="36">
        <v>131.68000000000001</v>
      </c>
    </row>
    <row r="2030" ht="38.25">
      <c r="A2030" s="19" t="s">
        <v>10460</v>
      </c>
      <c r="B2030" s="19">
        <v>38165</v>
      </c>
      <c r="C2030" s="20" t="s">
        <v>12490</v>
      </c>
      <c r="D2030" s="19" t="s">
        <v>11798</v>
      </c>
      <c r="E2030" s="19" t="s">
        <v>10459</v>
      </c>
      <c r="F2030" s="21">
        <f t="shared" si="544"/>
        <v>83.870000000000005</v>
      </c>
      <c r="G2030" s="21">
        <f t="shared" si="544"/>
        <v>83.870000000000005</v>
      </c>
      <c r="H2030" s="21">
        <f t="shared" si="544"/>
        <v>83.870000000000005</v>
      </c>
      <c r="I2030" s="24" t="str">
        <f t="shared" si="545"/>
        <v xml:space="preserve">COM VALOR</v>
      </c>
      <c r="L2030" s="36">
        <v>83.870000000000005</v>
      </c>
      <c r="M2030" s="37">
        <v>83.870000000000005</v>
      </c>
      <c r="N2030" s="36">
        <v>83.870000000000005</v>
      </c>
    </row>
    <row r="2031" ht="25.5">
      <c r="A2031" s="19" t="s">
        <v>10460</v>
      </c>
      <c r="B2031" s="19">
        <v>38177</v>
      </c>
      <c r="C2031" s="20" t="s">
        <v>12491</v>
      </c>
      <c r="D2031" s="19" t="s">
        <v>31</v>
      </c>
      <c r="E2031" s="19" t="s">
        <v>10459</v>
      </c>
      <c r="F2031" s="21">
        <f t="shared" si="544"/>
        <v>24.920000000000002</v>
      </c>
      <c r="G2031" s="21">
        <f t="shared" si="544"/>
        <v>24.920000000000002</v>
      </c>
      <c r="H2031" s="21">
        <f t="shared" si="544"/>
        <v>24.920000000000002</v>
      </c>
      <c r="I2031" s="24" t="str">
        <f t="shared" si="545"/>
        <v xml:space="preserve">COM VALOR</v>
      </c>
      <c r="L2031" s="36">
        <v>24.920000000000002</v>
      </c>
      <c r="M2031" s="37">
        <v>24.920000000000002</v>
      </c>
      <c r="N2031" s="36">
        <v>24.920000000000002</v>
      </c>
    </row>
    <row r="2032" ht="25.5">
      <c r="A2032" s="19" t="s">
        <v>10460</v>
      </c>
      <c r="B2032" s="19">
        <v>11458</v>
      </c>
      <c r="C2032" s="20" t="s">
        <v>12492</v>
      </c>
      <c r="D2032" s="19" t="s">
        <v>31</v>
      </c>
      <c r="E2032" s="19" t="s">
        <v>10459</v>
      </c>
      <c r="F2032" s="21">
        <f t="shared" si="544"/>
        <v>29.75</v>
      </c>
      <c r="G2032" s="21">
        <f t="shared" si="544"/>
        <v>29.75</v>
      </c>
      <c r="H2032" s="21">
        <f t="shared" si="544"/>
        <v>29.75</v>
      </c>
      <c r="I2032" s="24" t="str">
        <f t="shared" si="545"/>
        <v xml:space="preserve">COM VALOR</v>
      </c>
      <c r="L2032" s="36">
        <v>29.75</v>
      </c>
      <c r="M2032" s="37">
        <v>29.75</v>
      </c>
      <c r="N2032" s="36">
        <v>29.75</v>
      </c>
    </row>
    <row r="2033" ht="63.75">
      <c r="A2033" s="19" t="s">
        <v>10460</v>
      </c>
      <c r="B2033" s="19">
        <v>3108</v>
      </c>
      <c r="C2033" s="20" t="s">
        <v>12493</v>
      </c>
      <c r="D2033" s="19" t="s">
        <v>31</v>
      </c>
      <c r="E2033" s="19" t="s">
        <v>10459</v>
      </c>
      <c r="F2033" s="21">
        <f t="shared" si="544"/>
        <v>126.48</v>
      </c>
      <c r="G2033" s="21">
        <f t="shared" si="544"/>
        <v>126.48</v>
      </c>
      <c r="H2033" s="21">
        <f t="shared" si="544"/>
        <v>126.48</v>
      </c>
      <c r="I2033" s="24" t="str">
        <f t="shared" si="545"/>
        <v xml:space="preserve">COM VALOR</v>
      </c>
      <c r="L2033" s="36">
        <v>126.48</v>
      </c>
      <c r="M2033" s="37">
        <v>126.48</v>
      </c>
      <c r="N2033" s="36">
        <v>126.48</v>
      </c>
    </row>
    <row r="2034" ht="63.75">
      <c r="A2034" s="19" t="s">
        <v>10460</v>
      </c>
      <c r="B2034" s="19">
        <v>3105</v>
      </c>
      <c r="C2034" s="20" t="s">
        <v>12494</v>
      </c>
      <c r="D2034" s="19" t="s">
        <v>31</v>
      </c>
      <c r="E2034" s="19" t="s">
        <v>10459</v>
      </c>
      <c r="F2034" s="21">
        <f t="shared" si="544"/>
        <v>165.43000000000001</v>
      </c>
      <c r="G2034" s="21">
        <f t="shared" si="544"/>
        <v>165.43000000000001</v>
      </c>
      <c r="H2034" s="21">
        <f t="shared" si="544"/>
        <v>165.43000000000001</v>
      </c>
      <c r="I2034" s="24" t="str">
        <f t="shared" si="545"/>
        <v xml:space="preserve">COM VALOR</v>
      </c>
      <c r="L2034" s="36">
        <v>165.43000000000001</v>
      </c>
      <c r="M2034" s="37">
        <v>165.43000000000001</v>
      </c>
      <c r="N2034" s="36">
        <v>165.43000000000001</v>
      </c>
    </row>
    <row r="2035" ht="51">
      <c r="A2035" s="19" t="s">
        <v>10460</v>
      </c>
      <c r="B2035" s="19">
        <v>38178</v>
      </c>
      <c r="C2035" s="20" t="s">
        <v>12495</v>
      </c>
      <c r="D2035" s="19" t="s">
        <v>31</v>
      </c>
      <c r="E2035" s="19" t="s">
        <v>10459</v>
      </c>
      <c r="F2035" s="21">
        <f t="shared" si="544"/>
        <v>27.420000000000002</v>
      </c>
      <c r="G2035" s="21">
        <f t="shared" si="544"/>
        <v>27.420000000000002</v>
      </c>
      <c r="H2035" s="21">
        <f t="shared" si="544"/>
        <v>27.420000000000002</v>
      </c>
      <c r="I2035" s="24" t="str">
        <f t="shared" si="545"/>
        <v xml:space="preserve">COM VALOR</v>
      </c>
      <c r="L2035" s="36">
        <v>27.420000000000002</v>
      </c>
      <c r="M2035" s="37">
        <v>27.420000000000002</v>
      </c>
      <c r="N2035" s="36">
        <v>27.420000000000002</v>
      </c>
    </row>
    <row r="2036" ht="51">
      <c r="A2036" s="19" t="s">
        <v>10460</v>
      </c>
      <c r="B2036" s="19">
        <v>43575</v>
      </c>
      <c r="C2036" s="20" t="s">
        <v>12496</v>
      </c>
      <c r="D2036" s="19" t="s">
        <v>31</v>
      </c>
      <c r="E2036" s="19" t="s">
        <v>10459</v>
      </c>
      <c r="F2036" s="21">
        <f t="shared" si="544"/>
        <v>59.409999999999997</v>
      </c>
      <c r="G2036" s="21">
        <f t="shared" si="544"/>
        <v>59.409999999999997</v>
      </c>
      <c r="H2036" s="21">
        <f t="shared" si="544"/>
        <v>59.409999999999997</v>
      </c>
      <c r="I2036" s="24" t="str">
        <f t="shared" si="545"/>
        <v xml:space="preserve">COM VALOR</v>
      </c>
      <c r="L2036" s="36">
        <v>59.409999999999997</v>
      </c>
      <c r="M2036" s="37">
        <v>59.409999999999997</v>
      </c>
      <c r="N2036" s="36">
        <v>59.409999999999997</v>
      </c>
    </row>
    <row r="2037" ht="51">
      <c r="A2037" s="19" t="s">
        <v>10460</v>
      </c>
      <c r="B2037" s="19">
        <v>43577</v>
      </c>
      <c r="C2037" s="20" t="s">
        <v>12497</v>
      </c>
      <c r="D2037" s="19" t="s">
        <v>31</v>
      </c>
      <c r="E2037" s="19" t="s">
        <v>10459</v>
      </c>
      <c r="F2037" s="21">
        <f t="shared" si="544"/>
        <v>103.29000000000001</v>
      </c>
      <c r="G2037" s="21">
        <f t="shared" si="544"/>
        <v>103.29000000000001</v>
      </c>
      <c r="H2037" s="21">
        <f t="shared" si="544"/>
        <v>103.29000000000001</v>
      </c>
      <c r="I2037" s="24" t="str">
        <f t="shared" si="545"/>
        <v xml:space="preserve">COM VALOR</v>
      </c>
      <c r="L2037" s="36">
        <v>103.29000000000001</v>
      </c>
      <c r="M2037" s="37">
        <v>103.29000000000001</v>
      </c>
      <c r="N2037" s="36">
        <v>103.29000000000001</v>
      </c>
    </row>
    <row r="2038" ht="25.5">
      <c r="A2038" s="19" t="s">
        <v>10635</v>
      </c>
      <c r="B2038" s="19">
        <v>43458</v>
      </c>
      <c r="C2038" s="20" t="s">
        <v>12498</v>
      </c>
      <c r="D2038" s="19" t="s">
        <v>2032</v>
      </c>
      <c r="E2038" s="19" t="s">
        <v>10466</v>
      </c>
      <c r="F2038" s="21">
        <f t="shared" si="544"/>
        <v>4.0000000000000001e-002</v>
      </c>
      <c r="G2038" s="21">
        <f t="shared" si="544"/>
        <v>4.0000000000000001e-002</v>
      </c>
      <c r="H2038" s="21">
        <f t="shared" si="544"/>
        <v>4.0000000000000001e-002</v>
      </c>
      <c r="I2038" s="24" t="str">
        <f t="shared" si="545"/>
        <v xml:space="preserve">COM VALOR</v>
      </c>
      <c r="L2038" s="36">
        <v>4.0000000000000001e-002</v>
      </c>
      <c r="M2038" s="37">
        <v>4.0000000000000001e-002</v>
      </c>
      <c r="N2038" s="36">
        <v>4.0000000000000001e-002</v>
      </c>
    </row>
    <row r="2039" ht="25.5">
      <c r="A2039" s="19" t="s">
        <v>10635</v>
      </c>
      <c r="B2039" s="19">
        <v>43470</v>
      </c>
      <c r="C2039" s="20" t="s">
        <v>12499</v>
      </c>
      <c r="D2039" s="19" t="s">
        <v>7087</v>
      </c>
      <c r="E2039" s="19" t="s">
        <v>10466</v>
      </c>
      <c r="F2039" s="21">
        <f t="shared" si="544"/>
        <v>8.0099999999999998</v>
      </c>
      <c r="G2039" s="21">
        <f t="shared" si="544"/>
        <v>8.0099999999999998</v>
      </c>
      <c r="H2039" s="21">
        <f t="shared" si="544"/>
        <v>8.0099999999999998</v>
      </c>
      <c r="I2039" s="24" t="str">
        <f t="shared" si="545"/>
        <v xml:space="preserve">COM VALOR</v>
      </c>
      <c r="L2039" s="36">
        <v>8.0099999999999998</v>
      </c>
      <c r="M2039" s="37">
        <v>8.0099999999999998</v>
      </c>
      <c r="N2039" s="36">
        <v>8.0099999999999998</v>
      </c>
    </row>
    <row r="2040" ht="25.5">
      <c r="A2040" s="19" t="s">
        <v>10635</v>
      </c>
      <c r="B2040" s="19">
        <v>43459</v>
      </c>
      <c r="C2040" s="20" t="s">
        <v>12500</v>
      </c>
      <c r="D2040" s="19" t="s">
        <v>2032</v>
      </c>
      <c r="E2040" s="19" t="s">
        <v>10466</v>
      </c>
      <c r="F2040" s="21">
        <f t="shared" si="544"/>
        <v>0.28000000000000003</v>
      </c>
      <c r="G2040" s="21">
        <f t="shared" si="544"/>
        <v>0.28000000000000003</v>
      </c>
      <c r="H2040" s="21">
        <f t="shared" si="544"/>
        <v>0.28000000000000003</v>
      </c>
      <c r="I2040" s="24" t="str">
        <f t="shared" si="545"/>
        <v xml:space="preserve">COM VALOR</v>
      </c>
      <c r="L2040" s="36">
        <v>0.28000000000000003</v>
      </c>
      <c r="M2040" s="37">
        <v>0.28000000000000003</v>
      </c>
      <c r="N2040" s="36">
        <v>0.28000000000000003</v>
      </c>
    </row>
    <row r="2041" ht="38.25">
      <c r="A2041" s="19" t="s">
        <v>10635</v>
      </c>
      <c r="B2041" s="19">
        <v>43471</v>
      </c>
      <c r="C2041" s="20" t="s">
        <v>12501</v>
      </c>
      <c r="D2041" s="19" t="s">
        <v>7087</v>
      </c>
      <c r="E2041" s="19" t="s">
        <v>10466</v>
      </c>
      <c r="F2041" s="21">
        <f t="shared" si="544"/>
        <v>47.450000000000003</v>
      </c>
      <c r="G2041" s="21">
        <f t="shared" si="544"/>
        <v>47.450000000000003</v>
      </c>
      <c r="H2041" s="21">
        <f t="shared" si="544"/>
        <v>47.450000000000003</v>
      </c>
      <c r="I2041" s="24" t="str">
        <f t="shared" si="545"/>
        <v xml:space="preserve">COM VALOR</v>
      </c>
      <c r="L2041" s="36">
        <v>47.450000000000003</v>
      </c>
      <c r="M2041" s="37">
        <v>47.450000000000003</v>
      </c>
      <c r="N2041" s="36">
        <v>47.450000000000003</v>
      </c>
    </row>
    <row r="2042" ht="25.5">
      <c r="A2042" s="19" t="s">
        <v>10635</v>
      </c>
      <c r="B2042" s="19">
        <v>43460</v>
      </c>
      <c r="C2042" s="20" t="s">
        <v>12502</v>
      </c>
      <c r="D2042" s="19" t="s">
        <v>2032</v>
      </c>
      <c r="E2042" s="19" t="s">
        <v>10466</v>
      </c>
      <c r="F2042" s="21">
        <f t="shared" si="544"/>
        <v>0.82999999999999996</v>
      </c>
      <c r="G2042" s="21">
        <f t="shared" si="544"/>
        <v>0.82999999999999996</v>
      </c>
      <c r="H2042" s="21">
        <f t="shared" si="544"/>
        <v>0.82999999999999996</v>
      </c>
      <c r="I2042" s="24" t="str">
        <f t="shared" si="545"/>
        <v xml:space="preserve">COM VALOR</v>
      </c>
      <c r="L2042" s="36">
        <v>0.82999999999999996</v>
      </c>
      <c r="M2042" s="37">
        <v>0.82999999999999996</v>
      </c>
      <c r="N2042" s="36">
        <v>0.82999999999999996</v>
      </c>
    </row>
    <row r="2043" ht="25.5">
      <c r="A2043" s="19" t="s">
        <v>10635</v>
      </c>
      <c r="B2043" s="19">
        <v>43472</v>
      </c>
      <c r="C2043" s="20" t="s">
        <v>12503</v>
      </c>
      <c r="D2043" s="19" t="s">
        <v>7087</v>
      </c>
      <c r="E2043" s="19" t="s">
        <v>10466</v>
      </c>
      <c r="F2043" s="21">
        <f t="shared" si="544"/>
        <v>137.06</v>
      </c>
      <c r="G2043" s="21">
        <f t="shared" si="544"/>
        <v>137.06</v>
      </c>
      <c r="H2043" s="21">
        <f t="shared" si="544"/>
        <v>137.06</v>
      </c>
      <c r="I2043" s="24" t="str">
        <f t="shared" si="545"/>
        <v xml:space="preserve">COM VALOR</v>
      </c>
      <c r="L2043" s="36">
        <v>137.06</v>
      </c>
      <c r="M2043" s="37">
        <v>137.06</v>
      </c>
      <c r="N2043" s="36">
        <v>137.06</v>
      </c>
    </row>
    <row r="2044" ht="25.5">
      <c r="A2044" s="19" t="s">
        <v>10635</v>
      </c>
      <c r="B2044" s="19">
        <v>43461</v>
      </c>
      <c r="C2044" s="20" t="s">
        <v>12504</v>
      </c>
      <c r="D2044" s="19" t="s">
        <v>2032</v>
      </c>
      <c r="E2044" s="19" t="s">
        <v>10466</v>
      </c>
      <c r="F2044" s="21">
        <f t="shared" si="544"/>
        <v>0.45000000000000001</v>
      </c>
      <c r="G2044" s="21">
        <f t="shared" si="544"/>
        <v>0.45000000000000001</v>
      </c>
      <c r="H2044" s="21">
        <f t="shared" si="544"/>
        <v>0.45000000000000001</v>
      </c>
      <c r="I2044" s="24" t="str">
        <f t="shared" si="545"/>
        <v xml:space="preserve">COM VALOR</v>
      </c>
      <c r="L2044" s="36">
        <v>0.45000000000000001</v>
      </c>
      <c r="M2044" s="37">
        <v>0.45000000000000001</v>
      </c>
      <c r="N2044" s="36">
        <v>0.45000000000000001</v>
      </c>
    </row>
    <row r="2045" ht="25.5">
      <c r="A2045" s="19" t="s">
        <v>10635</v>
      </c>
      <c r="B2045" s="19">
        <v>43473</v>
      </c>
      <c r="C2045" s="20" t="s">
        <v>12505</v>
      </c>
      <c r="D2045" s="19" t="s">
        <v>7087</v>
      </c>
      <c r="E2045" s="19" t="s">
        <v>10466</v>
      </c>
      <c r="F2045" s="21">
        <f t="shared" si="544"/>
        <v>75.120000000000005</v>
      </c>
      <c r="G2045" s="21">
        <f t="shared" si="544"/>
        <v>75.120000000000005</v>
      </c>
      <c r="H2045" s="21">
        <f t="shared" si="544"/>
        <v>75.120000000000005</v>
      </c>
      <c r="I2045" s="24" t="str">
        <f t="shared" si="545"/>
        <v xml:space="preserve">COM VALOR</v>
      </c>
      <c r="L2045" s="36">
        <v>75.120000000000005</v>
      </c>
      <c r="M2045" s="37">
        <v>75.120000000000005</v>
      </c>
      <c r="N2045" s="36">
        <v>75.120000000000005</v>
      </c>
    </row>
    <row r="2046" ht="25.5">
      <c r="A2046" s="19" t="s">
        <v>10635</v>
      </c>
      <c r="B2046" s="19">
        <v>43463</v>
      </c>
      <c r="C2046" s="20" t="s">
        <v>12506</v>
      </c>
      <c r="D2046" s="19" t="s">
        <v>2032</v>
      </c>
      <c r="E2046" s="19" t="s">
        <v>10466</v>
      </c>
      <c r="F2046" s="21">
        <f t="shared" si="544"/>
        <v>0.13</v>
      </c>
      <c r="G2046" s="21">
        <f t="shared" si="544"/>
        <v>0.13</v>
      </c>
      <c r="H2046" s="21">
        <f t="shared" si="544"/>
        <v>0.13</v>
      </c>
      <c r="I2046" s="24" t="str">
        <f t="shared" si="545"/>
        <v xml:space="preserve">COM VALOR</v>
      </c>
      <c r="L2046" s="36">
        <v>0.13</v>
      </c>
      <c r="M2046" s="37">
        <v>0.13</v>
      </c>
      <c r="N2046" s="36">
        <v>0.13</v>
      </c>
    </row>
    <row r="2047" ht="38.25">
      <c r="A2047" s="19" t="s">
        <v>10635</v>
      </c>
      <c r="B2047" s="19">
        <v>43475</v>
      </c>
      <c r="C2047" s="20" t="s">
        <v>12507</v>
      </c>
      <c r="D2047" s="19" t="s">
        <v>7087</v>
      </c>
      <c r="E2047" s="19" t="s">
        <v>10466</v>
      </c>
      <c r="F2047" s="21">
        <f t="shared" si="544"/>
        <v>22.440000000000001</v>
      </c>
      <c r="G2047" s="21">
        <f t="shared" si="544"/>
        <v>22.440000000000001</v>
      </c>
      <c r="H2047" s="21">
        <f t="shared" si="544"/>
        <v>22.440000000000001</v>
      </c>
      <c r="I2047" s="24" t="str">
        <f t="shared" si="545"/>
        <v xml:space="preserve">COM VALOR</v>
      </c>
      <c r="L2047" s="36">
        <v>22.440000000000001</v>
      </c>
      <c r="M2047" s="37">
        <v>22.440000000000001</v>
      </c>
      <c r="N2047" s="36">
        <v>22.440000000000001</v>
      </c>
    </row>
    <row r="2048" ht="25.5">
      <c r="A2048" s="19" t="s">
        <v>10635</v>
      </c>
      <c r="B2048" s="19">
        <v>43462</v>
      </c>
      <c r="C2048" s="20" t="s">
        <v>12508</v>
      </c>
      <c r="D2048" s="19" t="s">
        <v>2032</v>
      </c>
      <c r="E2048" s="19" t="s">
        <v>10466</v>
      </c>
      <c r="F2048" s="21">
        <f t="shared" si="544"/>
        <v>2.e-002</v>
      </c>
      <c r="G2048" s="21">
        <f t="shared" si="544"/>
        <v>2.e-002</v>
      </c>
      <c r="H2048" s="21">
        <f t="shared" si="544"/>
        <v>2.e-002</v>
      </c>
      <c r="I2048" s="24" t="str">
        <f t="shared" si="545"/>
        <v xml:space="preserve">COM VALOR</v>
      </c>
      <c r="L2048" s="36">
        <v>2.e-002</v>
      </c>
      <c r="M2048" s="37">
        <v>2.e-002</v>
      </c>
      <c r="N2048" s="36">
        <v>2.e-002</v>
      </c>
    </row>
    <row r="2049" ht="25.5">
      <c r="A2049" s="19" t="s">
        <v>10635</v>
      </c>
      <c r="B2049" s="19">
        <v>43474</v>
      </c>
      <c r="C2049" s="20" t="s">
        <v>12509</v>
      </c>
      <c r="D2049" s="19" t="s">
        <v>7087</v>
      </c>
      <c r="E2049" s="19" t="s">
        <v>10466</v>
      </c>
      <c r="F2049" s="21">
        <f t="shared" si="544"/>
        <v>3.6400000000000001</v>
      </c>
      <c r="G2049" s="21">
        <f t="shared" si="544"/>
        <v>3.6400000000000001</v>
      </c>
      <c r="H2049" s="21">
        <f t="shared" si="544"/>
        <v>3.6400000000000001</v>
      </c>
      <c r="I2049" s="24" t="str">
        <f t="shared" si="545"/>
        <v xml:space="preserve">COM VALOR</v>
      </c>
      <c r="L2049" s="36">
        <v>3.6400000000000001</v>
      </c>
      <c r="M2049" s="37">
        <v>3.6400000000000001</v>
      </c>
      <c r="N2049" s="36">
        <v>3.6400000000000001</v>
      </c>
    </row>
    <row r="2050" ht="25.5">
      <c r="A2050" s="19" t="s">
        <v>10635</v>
      </c>
      <c r="B2050" s="19">
        <v>43464</v>
      </c>
      <c r="C2050" s="20" t="s">
        <v>12510</v>
      </c>
      <c r="D2050" s="19" t="s">
        <v>2032</v>
      </c>
      <c r="E2050" s="19" t="s">
        <v>10466</v>
      </c>
      <c r="F2050" s="21">
        <f t="shared" si="544"/>
        <v>2.e-002</v>
      </c>
      <c r="G2050" s="21">
        <f t="shared" si="544"/>
        <v>2.e-002</v>
      </c>
      <c r="H2050" s="21">
        <f t="shared" si="544"/>
        <v>2.e-002</v>
      </c>
      <c r="I2050" s="24" t="str">
        <f t="shared" si="545"/>
        <v xml:space="preserve">COM VALOR</v>
      </c>
      <c r="L2050" s="36">
        <v>2.e-002</v>
      </c>
      <c r="M2050" s="37">
        <v>2.e-002</v>
      </c>
      <c r="N2050" s="36">
        <v>2.e-002</v>
      </c>
    </row>
    <row r="2051" ht="38.25">
      <c r="A2051" s="19" t="s">
        <v>10635</v>
      </c>
      <c r="B2051" s="19">
        <v>43476</v>
      </c>
      <c r="C2051" s="20" t="s">
        <v>12511</v>
      </c>
      <c r="D2051" s="19" t="s">
        <v>7087</v>
      </c>
      <c r="E2051" s="19" t="s">
        <v>10466</v>
      </c>
      <c r="F2051" s="21">
        <f t="shared" si="544"/>
        <v>4.1600000000000001</v>
      </c>
      <c r="G2051" s="21">
        <f t="shared" si="544"/>
        <v>4.1600000000000001</v>
      </c>
      <c r="H2051" s="21">
        <f t="shared" si="544"/>
        <v>4.1600000000000001</v>
      </c>
      <c r="I2051" s="24" t="str">
        <f t="shared" si="545"/>
        <v xml:space="preserve">COM VALOR</v>
      </c>
      <c r="L2051" s="36">
        <v>4.1600000000000001</v>
      </c>
      <c r="M2051" s="37">
        <v>4.1600000000000001</v>
      </c>
      <c r="N2051" s="36">
        <v>4.1600000000000001</v>
      </c>
    </row>
    <row r="2052" ht="25.5">
      <c r="A2052" s="19" t="s">
        <v>10635</v>
      </c>
      <c r="B2052" s="19">
        <v>43465</v>
      </c>
      <c r="C2052" s="20" t="s">
        <v>12512</v>
      </c>
      <c r="D2052" s="19" t="s">
        <v>2032</v>
      </c>
      <c r="E2052" s="19" t="s">
        <v>10466</v>
      </c>
      <c r="F2052" s="21">
        <f t="shared" si="544"/>
        <v>0.81000000000000005</v>
      </c>
      <c r="G2052" s="21">
        <f t="shared" si="544"/>
        <v>0.81000000000000005</v>
      </c>
      <c r="H2052" s="21">
        <f t="shared" si="544"/>
        <v>0.81000000000000005</v>
      </c>
      <c r="I2052" s="24" t="str">
        <f t="shared" si="545"/>
        <v xml:space="preserve">COM VALOR</v>
      </c>
      <c r="L2052" s="36">
        <v>0.81000000000000005</v>
      </c>
      <c r="M2052" s="37">
        <v>0.81000000000000005</v>
      </c>
      <c r="N2052" s="36">
        <v>0.81000000000000005</v>
      </c>
    </row>
    <row r="2053" ht="25.5">
      <c r="A2053" s="19" t="s">
        <v>10635</v>
      </c>
      <c r="B2053" s="19">
        <v>43477</v>
      </c>
      <c r="C2053" s="20" t="s">
        <v>12513</v>
      </c>
      <c r="D2053" s="19" t="s">
        <v>7087</v>
      </c>
      <c r="E2053" s="19" t="s">
        <v>10466</v>
      </c>
      <c r="F2053" s="21">
        <f t="shared" si="544"/>
        <v>133.37</v>
      </c>
      <c r="G2053" s="21">
        <f t="shared" si="544"/>
        <v>133.37</v>
      </c>
      <c r="H2053" s="21">
        <f t="shared" si="544"/>
        <v>133.37</v>
      </c>
      <c r="I2053" s="24" t="str">
        <f t="shared" si="545"/>
        <v xml:space="preserve">COM VALOR</v>
      </c>
      <c r="L2053" s="36">
        <v>133.37</v>
      </c>
      <c r="M2053" s="37">
        <v>133.37</v>
      </c>
      <c r="N2053" s="36">
        <v>133.37</v>
      </c>
    </row>
    <row r="2054" ht="25.5">
      <c r="A2054" s="19" t="s">
        <v>10635</v>
      </c>
      <c r="B2054" s="19">
        <v>43466</v>
      </c>
      <c r="C2054" s="20" t="s">
        <v>12514</v>
      </c>
      <c r="D2054" s="19" t="s">
        <v>2032</v>
      </c>
      <c r="E2054" s="19" t="s">
        <v>10466</v>
      </c>
      <c r="F2054" s="21">
        <f t="shared" si="544"/>
        <v>2.27</v>
      </c>
      <c r="G2054" s="21">
        <f t="shared" si="544"/>
        <v>2.27</v>
      </c>
      <c r="H2054" s="21">
        <f t="shared" si="544"/>
        <v>2.27</v>
      </c>
      <c r="I2054" s="24" t="str">
        <f t="shared" si="545"/>
        <v xml:space="preserve">COM VALOR</v>
      </c>
      <c r="L2054" s="36">
        <v>2.27</v>
      </c>
      <c r="M2054" s="37">
        <v>2.27</v>
      </c>
      <c r="N2054" s="36">
        <v>2.27</v>
      </c>
    </row>
    <row r="2055" ht="25.5">
      <c r="A2055" s="19" t="s">
        <v>10635</v>
      </c>
      <c r="B2055" s="19">
        <v>43478</v>
      </c>
      <c r="C2055" s="20" t="s">
        <v>12515</v>
      </c>
      <c r="D2055" s="19" t="s">
        <v>7087</v>
      </c>
      <c r="E2055" s="19" t="s">
        <v>10466</v>
      </c>
      <c r="F2055" s="21">
        <f t="shared" si="544"/>
        <v>374.73000000000002</v>
      </c>
      <c r="G2055" s="21">
        <f t="shared" si="544"/>
        <v>374.73000000000002</v>
      </c>
      <c r="H2055" s="21">
        <f t="shared" si="544"/>
        <v>374.73000000000002</v>
      </c>
      <c r="I2055" s="24" t="str">
        <f t="shared" si="545"/>
        <v xml:space="preserve">COM VALOR</v>
      </c>
      <c r="L2055" s="36">
        <v>374.73000000000002</v>
      </c>
      <c r="M2055" s="37">
        <v>374.73000000000002</v>
      </c>
      <c r="N2055" s="36">
        <v>374.73000000000002</v>
      </c>
    </row>
    <row r="2056" ht="25.5">
      <c r="A2056" s="19" t="s">
        <v>10635</v>
      </c>
      <c r="B2056" s="19">
        <v>43467</v>
      </c>
      <c r="C2056" s="20" t="s">
        <v>12516</v>
      </c>
      <c r="D2056" s="19" t="s">
        <v>2032</v>
      </c>
      <c r="E2056" s="19" t="s">
        <v>10466</v>
      </c>
      <c r="F2056" s="21">
        <f t="shared" si="544"/>
        <v>0.48999999999999999</v>
      </c>
      <c r="G2056" s="21">
        <f t="shared" si="544"/>
        <v>0.48999999999999999</v>
      </c>
      <c r="H2056" s="21">
        <f t="shared" si="544"/>
        <v>0.48999999999999999</v>
      </c>
      <c r="I2056" s="24" t="str">
        <f t="shared" si="545"/>
        <v xml:space="preserve">COM VALOR</v>
      </c>
      <c r="L2056" s="36">
        <v>0.48999999999999999</v>
      </c>
      <c r="M2056" s="37">
        <v>0.48999999999999999</v>
      </c>
      <c r="N2056" s="36">
        <v>0.48999999999999999</v>
      </c>
    </row>
    <row r="2057" ht="25.5">
      <c r="A2057" s="19" t="s">
        <v>10635</v>
      </c>
      <c r="B2057" s="19">
        <v>43479</v>
      </c>
      <c r="C2057" s="20" t="s">
        <v>12517</v>
      </c>
      <c r="D2057" s="19" t="s">
        <v>7087</v>
      </c>
      <c r="E2057" s="19" t="s">
        <v>10466</v>
      </c>
      <c r="F2057" s="21">
        <f t="shared" si="544"/>
        <v>81.849999999999994</v>
      </c>
      <c r="G2057" s="21">
        <f t="shared" si="544"/>
        <v>81.849999999999994</v>
      </c>
      <c r="H2057" s="21">
        <f t="shared" si="544"/>
        <v>81.849999999999994</v>
      </c>
      <c r="I2057" s="24" t="str">
        <f t="shared" si="545"/>
        <v xml:space="preserve">COM VALOR</v>
      </c>
      <c r="L2057" s="36">
        <v>81.849999999999994</v>
      </c>
      <c r="M2057" s="37">
        <v>81.849999999999994</v>
      </c>
      <c r="N2057" s="36">
        <v>81.849999999999994</v>
      </c>
    </row>
    <row r="2058" ht="25.5">
      <c r="A2058" s="19" t="s">
        <v>10635</v>
      </c>
      <c r="B2058" s="19">
        <v>43468</v>
      </c>
      <c r="C2058" s="20" t="s">
        <v>12518</v>
      </c>
      <c r="D2058" s="19" t="s">
        <v>2032</v>
      </c>
      <c r="E2058" s="19" t="s">
        <v>10466</v>
      </c>
      <c r="F2058" s="21">
        <f t="shared" si="544"/>
        <v>1.3300000000000001</v>
      </c>
      <c r="G2058" s="21">
        <f t="shared" si="544"/>
        <v>1.3300000000000001</v>
      </c>
      <c r="H2058" s="21">
        <f t="shared" si="544"/>
        <v>1.3300000000000001</v>
      </c>
      <c r="I2058" s="24" t="str">
        <f t="shared" si="545"/>
        <v xml:space="preserve">COM VALOR</v>
      </c>
      <c r="L2058" s="36">
        <v>1.3300000000000001</v>
      </c>
      <c r="M2058" s="37">
        <v>1.3300000000000001</v>
      </c>
      <c r="N2058" s="36">
        <v>1.3300000000000001</v>
      </c>
    </row>
    <row r="2059" ht="25.5">
      <c r="A2059" s="19" t="s">
        <v>10635</v>
      </c>
      <c r="B2059" s="19">
        <v>43480</v>
      </c>
      <c r="C2059" s="20" t="s">
        <v>12519</v>
      </c>
      <c r="D2059" s="19" t="s">
        <v>7087</v>
      </c>
      <c r="E2059" s="19" t="s">
        <v>10466</v>
      </c>
      <c r="F2059" s="21">
        <f t="shared" ref="F2059:H2122" si="546">IF(L2059=0,"VERIFICAR",L2059)</f>
        <v>219.91</v>
      </c>
      <c r="G2059" s="21">
        <f t="shared" si="546"/>
        <v>219.91</v>
      </c>
      <c r="H2059" s="21">
        <f t="shared" si="546"/>
        <v>219.91</v>
      </c>
      <c r="I2059" s="24" t="str">
        <f t="shared" ref="I2059:I2122" si="547">IF(OR(L2059=0,M2059=0,N2059=0),"SEM VALOR","COM VALOR")</f>
        <v xml:space="preserve">COM VALOR</v>
      </c>
      <c r="L2059" s="36">
        <v>219.91</v>
      </c>
      <c r="M2059" s="37">
        <v>219.91</v>
      </c>
      <c r="N2059" s="36">
        <v>219.91</v>
      </c>
    </row>
    <row r="2060" ht="25.5">
      <c r="A2060" s="19" t="s">
        <v>10635</v>
      </c>
      <c r="B2060" s="19">
        <v>43469</v>
      </c>
      <c r="C2060" s="20" t="s">
        <v>12520</v>
      </c>
      <c r="D2060" s="19" t="s">
        <v>2032</v>
      </c>
      <c r="E2060" s="19" t="s">
        <v>10466</v>
      </c>
      <c r="F2060" s="21">
        <f t="shared" si="546"/>
        <v>0.10000000000000001</v>
      </c>
      <c r="G2060" s="21">
        <f t="shared" si="546"/>
        <v>0.10000000000000001</v>
      </c>
      <c r="H2060" s="21">
        <f t="shared" si="546"/>
        <v>0.10000000000000001</v>
      </c>
      <c r="I2060" s="24" t="str">
        <f t="shared" si="547"/>
        <v xml:space="preserve">COM VALOR</v>
      </c>
      <c r="L2060" s="36">
        <v>0.10000000000000001</v>
      </c>
      <c r="M2060" s="37">
        <v>0.10000000000000001</v>
      </c>
      <c r="N2060" s="36">
        <v>0.10000000000000001</v>
      </c>
    </row>
    <row r="2061" ht="25.5">
      <c r="A2061" s="19" t="s">
        <v>10635</v>
      </c>
      <c r="B2061" s="19">
        <v>43481</v>
      </c>
      <c r="C2061" s="20" t="s">
        <v>12521</v>
      </c>
      <c r="D2061" s="19" t="s">
        <v>7087</v>
      </c>
      <c r="E2061" s="19" t="s">
        <v>10466</v>
      </c>
      <c r="F2061" s="21">
        <f t="shared" si="546"/>
        <v>16.559999999999999</v>
      </c>
      <c r="G2061" s="21">
        <f t="shared" si="546"/>
        <v>16.559999999999999</v>
      </c>
      <c r="H2061" s="21">
        <f t="shared" si="546"/>
        <v>16.559999999999999</v>
      </c>
      <c r="I2061" s="24" t="str">
        <f t="shared" si="547"/>
        <v xml:space="preserve">COM VALOR</v>
      </c>
      <c r="L2061" s="36">
        <v>16.559999999999999</v>
      </c>
      <c r="M2061" s="37">
        <v>16.559999999999999</v>
      </c>
      <c r="N2061" s="36">
        <v>16.559999999999999</v>
      </c>
    </row>
    <row r="2062" ht="12.75">
      <c r="A2062" s="19" t="s">
        <v>10460</v>
      </c>
      <c r="B2062" s="19">
        <v>45204</v>
      </c>
      <c r="C2062" s="20" t="s">
        <v>12522</v>
      </c>
      <c r="D2062" s="19" t="s">
        <v>31</v>
      </c>
      <c r="E2062" s="19" t="s">
        <v>10459</v>
      </c>
      <c r="F2062" s="21">
        <f t="shared" si="546"/>
        <v>57.649999999999999</v>
      </c>
      <c r="G2062" s="21">
        <f t="shared" si="546"/>
        <v>57.649999999999999</v>
      </c>
      <c r="H2062" s="21">
        <f t="shared" si="546"/>
        <v>57.649999999999999</v>
      </c>
      <c r="I2062" s="24" t="str">
        <f t="shared" si="547"/>
        <v xml:space="preserve">COM VALOR</v>
      </c>
      <c r="L2062" s="36">
        <v>57.649999999999999</v>
      </c>
      <c r="M2062" s="37">
        <v>57.649999999999999</v>
      </c>
      <c r="N2062" s="36">
        <v>57.649999999999999</v>
      </c>
    </row>
    <row r="2063" ht="51">
      <c r="A2063" s="19" t="s">
        <v>10460</v>
      </c>
      <c r="B2063" s="19">
        <v>3119</v>
      </c>
      <c r="C2063" s="20" t="s">
        <v>12523</v>
      </c>
      <c r="D2063" s="19" t="s">
        <v>31</v>
      </c>
      <c r="E2063" s="19" t="s">
        <v>10459</v>
      </c>
      <c r="F2063" s="21">
        <f t="shared" si="546"/>
        <v>3.2200000000000002</v>
      </c>
      <c r="G2063" s="21">
        <f t="shared" si="546"/>
        <v>3.2200000000000002</v>
      </c>
      <c r="H2063" s="21">
        <f t="shared" si="546"/>
        <v>3.2200000000000002</v>
      </c>
      <c r="I2063" s="24" t="str">
        <f t="shared" si="547"/>
        <v xml:space="preserve">COM VALOR</v>
      </c>
      <c r="L2063" s="36">
        <v>3.2200000000000002</v>
      </c>
      <c r="M2063" s="37">
        <v>3.2200000000000002</v>
      </c>
      <c r="N2063" s="36">
        <v>3.2200000000000002</v>
      </c>
    </row>
    <row r="2064" ht="38.25">
      <c r="A2064" s="19" t="s">
        <v>10460</v>
      </c>
      <c r="B2064" s="19">
        <v>3122</v>
      </c>
      <c r="C2064" s="20" t="s">
        <v>12524</v>
      </c>
      <c r="D2064" s="19" t="s">
        <v>31</v>
      </c>
      <c r="E2064" s="19" t="s">
        <v>10459</v>
      </c>
      <c r="F2064" s="21">
        <f t="shared" si="546"/>
        <v>6.5499999999999998</v>
      </c>
      <c r="G2064" s="21">
        <f t="shared" si="546"/>
        <v>6.5499999999999998</v>
      </c>
      <c r="H2064" s="21">
        <f t="shared" si="546"/>
        <v>6.5499999999999998</v>
      </c>
      <c r="I2064" s="24" t="str">
        <f t="shared" si="547"/>
        <v xml:space="preserve">COM VALOR</v>
      </c>
      <c r="L2064" s="36">
        <v>6.5499999999999998</v>
      </c>
      <c r="M2064" s="37">
        <v>6.5499999999999998</v>
      </c>
      <c r="N2064" s="36">
        <v>6.5499999999999998</v>
      </c>
    </row>
    <row r="2065" ht="38.25">
      <c r="A2065" s="19" t="s">
        <v>10460</v>
      </c>
      <c r="B2065" s="19">
        <v>3121</v>
      </c>
      <c r="C2065" s="20" t="s">
        <v>12525</v>
      </c>
      <c r="D2065" s="19" t="s">
        <v>31</v>
      </c>
      <c r="E2065" s="19" t="s">
        <v>10459</v>
      </c>
      <c r="F2065" s="21">
        <f t="shared" si="546"/>
        <v>7.4299999999999997</v>
      </c>
      <c r="G2065" s="21">
        <f t="shared" si="546"/>
        <v>7.4299999999999997</v>
      </c>
      <c r="H2065" s="21">
        <f t="shared" si="546"/>
        <v>7.4299999999999997</v>
      </c>
      <c r="I2065" s="24" t="str">
        <f t="shared" si="547"/>
        <v xml:space="preserve">COM VALOR</v>
      </c>
      <c r="L2065" s="36">
        <v>7.4299999999999997</v>
      </c>
      <c r="M2065" s="37">
        <v>7.4299999999999997</v>
      </c>
      <c r="N2065" s="36">
        <v>7.4299999999999997</v>
      </c>
    </row>
    <row r="2066" ht="38.25">
      <c r="A2066" s="19" t="s">
        <v>10460</v>
      </c>
      <c r="B2066" s="19">
        <v>3120</v>
      </c>
      <c r="C2066" s="20" t="s">
        <v>12526</v>
      </c>
      <c r="D2066" s="19" t="s">
        <v>31</v>
      </c>
      <c r="E2066" s="19" t="s">
        <v>10459</v>
      </c>
      <c r="F2066" s="21">
        <f t="shared" si="546"/>
        <v>14.08</v>
      </c>
      <c r="G2066" s="21">
        <f t="shared" si="546"/>
        <v>14.08</v>
      </c>
      <c r="H2066" s="21">
        <f t="shared" si="546"/>
        <v>14.08</v>
      </c>
      <c r="I2066" s="24" t="str">
        <f t="shared" si="547"/>
        <v xml:space="preserve">COM VALOR</v>
      </c>
      <c r="L2066" s="36">
        <v>14.08</v>
      </c>
      <c r="M2066" s="37">
        <v>14.08</v>
      </c>
      <c r="N2066" s="36">
        <v>14.08</v>
      </c>
    </row>
    <row r="2067" ht="38.25">
      <c r="A2067" s="19" t="s">
        <v>10460</v>
      </c>
      <c r="B2067" s="19">
        <v>11455</v>
      </c>
      <c r="C2067" s="20" t="s">
        <v>12527</v>
      </c>
      <c r="D2067" s="19" t="s">
        <v>31</v>
      </c>
      <c r="E2067" s="19" t="s">
        <v>10459</v>
      </c>
      <c r="F2067" s="21">
        <f t="shared" si="546"/>
        <v>20.370000000000001</v>
      </c>
      <c r="G2067" s="21">
        <f t="shared" si="546"/>
        <v>20.370000000000001</v>
      </c>
      <c r="H2067" s="21">
        <f t="shared" si="546"/>
        <v>20.370000000000001</v>
      </c>
      <c r="I2067" s="24" t="str">
        <f t="shared" si="547"/>
        <v xml:space="preserve">COM VALOR</v>
      </c>
      <c r="L2067" s="36">
        <v>20.370000000000001</v>
      </c>
      <c r="M2067" s="37">
        <v>20.370000000000001</v>
      </c>
      <c r="N2067" s="36">
        <v>20.370000000000001</v>
      </c>
    </row>
    <row r="2068" ht="38.25">
      <c r="A2068" s="19" t="s">
        <v>10460</v>
      </c>
      <c r="B2068" s="19">
        <v>11456</v>
      </c>
      <c r="C2068" s="20" t="s">
        <v>12528</v>
      </c>
      <c r="D2068" s="19" t="s">
        <v>31</v>
      </c>
      <c r="E2068" s="19" t="s">
        <v>10459</v>
      </c>
      <c r="F2068" s="21">
        <f t="shared" si="546"/>
        <v>24.350000000000001</v>
      </c>
      <c r="G2068" s="21">
        <f t="shared" si="546"/>
        <v>24.350000000000001</v>
      </c>
      <c r="H2068" s="21">
        <f t="shared" si="546"/>
        <v>24.350000000000001</v>
      </c>
      <c r="I2068" s="24" t="str">
        <f t="shared" si="547"/>
        <v xml:space="preserve">COM VALOR</v>
      </c>
      <c r="L2068" s="36">
        <v>24.350000000000001</v>
      </c>
      <c r="M2068" s="37">
        <v>24.350000000000001</v>
      </c>
      <c r="N2068" s="36">
        <v>24.350000000000001</v>
      </c>
    </row>
    <row r="2069" ht="63.75">
      <c r="A2069" s="19" t="s">
        <v>10460</v>
      </c>
      <c r="B2069" s="19">
        <v>3107</v>
      </c>
      <c r="C2069" s="20" t="s">
        <v>12529</v>
      </c>
      <c r="D2069" s="19" t="s">
        <v>31</v>
      </c>
      <c r="E2069" s="19" t="s">
        <v>10459</v>
      </c>
      <c r="F2069" s="21">
        <f t="shared" si="546"/>
        <v>10.27</v>
      </c>
      <c r="G2069" s="21">
        <f t="shared" si="546"/>
        <v>10.27</v>
      </c>
      <c r="H2069" s="21">
        <f t="shared" si="546"/>
        <v>10.27</v>
      </c>
      <c r="I2069" s="24" t="str">
        <f t="shared" si="547"/>
        <v xml:space="preserve">COM VALOR</v>
      </c>
      <c r="L2069" s="36">
        <v>10.27</v>
      </c>
      <c r="M2069" s="37">
        <v>10.27</v>
      </c>
      <c r="N2069" s="36">
        <v>10.27</v>
      </c>
    </row>
    <row r="2070" ht="51">
      <c r="A2070" s="19" t="s">
        <v>10460</v>
      </c>
      <c r="B2070" s="19">
        <v>43583</v>
      </c>
      <c r="C2070" s="20" t="s">
        <v>12530</v>
      </c>
      <c r="D2070" s="19" t="s">
        <v>31</v>
      </c>
      <c r="E2070" s="19" t="s">
        <v>10459</v>
      </c>
      <c r="F2070" s="21">
        <f t="shared" si="546"/>
        <v>11.58</v>
      </c>
      <c r="G2070" s="21">
        <f t="shared" si="546"/>
        <v>11.58</v>
      </c>
      <c r="H2070" s="21">
        <f t="shared" si="546"/>
        <v>11.58</v>
      </c>
      <c r="I2070" s="24" t="str">
        <f t="shared" si="547"/>
        <v xml:space="preserve">COM VALOR</v>
      </c>
      <c r="L2070" s="36">
        <v>11.58</v>
      </c>
      <c r="M2070" s="37">
        <v>11.58</v>
      </c>
      <c r="N2070" s="36">
        <v>11.58</v>
      </c>
    </row>
    <row r="2071" ht="51">
      <c r="A2071" s="19" t="s">
        <v>10460</v>
      </c>
      <c r="B2071" s="19">
        <v>43586</v>
      </c>
      <c r="C2071" s="20" t="s">
        <v>12531</v>
      </c>
      <c r="D2071" s="19" t="s">
        <v>31</v>
      </c>
      <c r="E2071" s="19" t="s">
        <v>10459</v>
      </c>
      <c r="F2071" s="21">
        <f t="shared" si="546"/>
        <v>11.869999999999999</v>
      </c>
      <c r="G2071" s="21">
        <f t="shared" si="546"/>
        <v>11.869999999999999</v>
      </c>
      <c r="H2071" s="21">
        <f t="shared" si="546"/>
        <v>11.869999999999999</v>
      </c>
      <c r="I2071" s="24" t="str">
        <f t="shared" si="547"/>
        <v xml:space="preserve">COM VALOR</v>
      </c>
      <c r="L2071" s="36">
        <v>11.869999999999999</v>
      </c>
      <c r="M2071" s="37">
        <v>11.869999999999999</v>
      </c>
      <c r="N2071" s="36">
        <v>11.869999999999999</v>
      </c>
    </row>
    <row r="2072" ht="51">
      <c r="A2072" s="19" t="s">
        <v>10460</v>
      </c>
      <c r="B2072" s="19">
        <v>11461</v>
      </c>
      <c r="C2072" s="20" t="s">
        <v>12532</v>
      </c>
      <c r="D2072" s="19" t="s">
        <v>31</v>
      </c>
      <c r="E2072" s="19" t="s">
        <v>10459</v>
      </c>
      <c r="F2072" s="21">
        <f t="shared" si="546"/>
        <v>12.93</v>
      </c>
      <c r="G2072" s="21">
        <f t="shared" si="546"/>
        <v>12.93</v>
      </c>
      <c r="H2072" s="21">
        <f t="shared" si="546"/>
        <v>12.93</v>
      </c>
      <c r="I2072" s="24" t="str">
        <f t="shared" si="547"/>
        <v xml:space="preserve">COM VALOR</v>
      </c>
      <c r="L2072" s="36">
        <v>12.93</v>
      </c>
      <c r="M2072" s="37">
        <v>12.93</v>
      </c>
      <c r="N2072" s="36">
        <v>12.93</v>
      </c>
    </row>
    <row r="2073" ht="51">
      <c r="A2073" s="19" t="s">
        <v>10460</v>
      </c>
      <c r="B2073" s="19">
        <v>43587</v>
      </c>
      <c r="C2073" s="20" t="s">
        <v>12533</v>
      </c>
      <c r="D2073" s="19" t="s">
        <v>31</v>
      </c>
      <c r="E2073" s="19" t="s">
        <v>10459</v>
      </c>
      <c r="F2073" s="21">
        <f t="shared" si="546"/>
        <v>14.92</v>
      </c>
      <c r="G2073" s="21">
        <f t="shared" si="546"/>
        <v>14.92</v>
      </c>
      <c r="H2073" s="21">
        <f t="shared" si="546"/>
        <v>14.92</v>
      </c>
      <c r="I2073" s="24" t="str">
        <f t="shared" si="547"/>
        <v xml:space="preserve">COM VALOR</v>
      </c>
      <c r="L2073" s="36">
        <v>14.92</v>
      </c>
      <c r="M2073" s="37">
        <v>14.92</v>
      </c>
      <c r="N2073" s="36">
        <v>14.92</v>
      </c>
    </row>
    <row r="2074" ht="63.75">
      <c r="A2074" s="19" t="s">
        <v>10460</v>
      </c>
      <c r="B2074" s="19">
        <v>3106</v>
      </c>
      <c r="C2074" s="20" t="s">
        <v>12534</v>
      </c>
      <c r="D2074" s="19" t="s">
        <v>31</v>
      </c>
      <c r="E2074" s="19" t="s">
        <v>10459</v>
      </c>
      <c r="F2074" s="21">
        <f t="shared" si="546"/>
        <v>18.940000000000001</v>
      </c>
      <c r="G2074" s="21">
        <f t="shared" si="546"/>
        <v>18.940000000000001</v>
      </c>
      <c r="H2074" s="21">
        <f t="shared" si="546"/>
        <v>18.940000000000001</v>
      </c>
      <c r="I2074" s="24" t="str">
        <f t="shared" si="547"/>
        <v xml:space="preserve">COM VALOR</v>
      </c>
      <c r="L2074" s="36">
        <v>18.940000000000001</v>
      </c>
      <c r="M2074" s="37">
        <v>18.940000000000001</v>
      </c>
      <c r="N2074" s="36">
        <v>18.940000000000001</v>
      </c>
    </row>
    <row r="2075" ht="12.75">
      <c r="A2075" s="19" t="s">
        <v>10460</v>
      </c>
      <c r="B2075" s="19">
        <v>44539</v>
      </c>
      <c r="C2075" s="20" t="s">
        <v>12535</v>
      </c>
      <c r="D2075" s="19" t="s">
        <v>302</v>
      </c>
      <c r="E2075" s="19" t="s">
        <v>10459</v>
      </c>
      <c r="F2075" s="21">
        <f t="shared" si="546"/>
        <v>3.6000000000000001</v>
      </c>
      <c r="G2075" s="21">
        <f t="shared" si="546"/>
        <v>3.6000000000000001</v>
      </c>
      <c r="H2075" s="21">
        <f t="shared" si="546"/>
        <v>3.6000000000000001</v>
      </c>
      <c r="I2075" s="24" t="str">
        <f t="shared" si="547"/>
        <v xml:space="preserve">COM VALOR</v>
      </c>
      <c r="L2075" s="36">
        <v>3.6000000000000001</v>
      </c>
      <c r="M2075" s="37">
        <v>3.6000000000000001</v>
      </c>
      <c r="N2075" s="36">
        <v>3.6000000000000001</v>
      </c>
    </row>
    <row r="2076" ht="12.75">
      <c r="A2076" s="19" t="s">
        <v>10460</v>
      </c>
      <c r="B2076" s="19">
        <v>3123</v>
      </c>
      <c r="C2076" s="20" t="s">
        <v>12536</v>
      </c>
      <c r="D2076" s="19" t="s">
        <v>302</v>
      </c>
      <c r="E2076" s="19" t="s">
        <v>10466</v>
      </c>
      <c r="F2076" s="21">
        <f t="shared" si="546"/>
        <v>3.3599999999999999</v>
      </c>
      <c r="G2076" s="21">
        <f t="shared" si="546"/>
        <v>3.3599999999999999</v>
      </c>
      <c r="H2076" s="21">
        <f t="shared" si="546"/>
        <v>3.3599999999999999</v>
      </c>
      <c r="I2076" s="24" t="str">
        <f t="shared" si="547"/>
        <v xml:space="preserve">COM VALOR</v>
      </c>
      <c r="L2076" s="36">
        <v>3.3599999999999999</v>
      </c>
      <c r="M2076" s="37">
        <v>3.3599999999999999</v>
      </c>
      <c r="N2076" s="36">
        <v>3.3599999999999999</v>
      </c>
    </row>
    <row r="2077" ht="12.75">
      <c r="A2077" s="19" t="s">
        <v>10460</v>
      </c>
      <c r="B2077" s="19">
        <v>38125</v>
      </c>
      <c r="C2077" s="20" t="s">
        <v>12537</v>
      </c>
      <c r="D2077" s="19" t="s">
        <v>302</v>
      </c>
      <c r="E2077" s="19" t="s">
        <v>10459</v>
      </c>
      <c r="F2077" s="21">
        <f t="shared" si="546"/>
        <v>2.3900000000000001</v>
      </c>
      <c r="G2077" s="21">
        <f t="shared" si="546"/>
        <v>2.3900000000000001</v>
      </c>
      <c r="H2077" s="21">
        <f t="shared" si="546"/>
        <v>2.3900000000000001</v>
      </c>
      <c r="I2077" s="24" t="str">
        <f t="shared" si="547"/>
        <v xml:space="preserve">COM VALOR</v>
      </c>
      <c r="L2077" s="36">
        <v>2.3900000000000001</v>
      </c>
      <c r="M2077" s="37">
        <v>2.3900000000000001</v>
      </c>
      <c r="N2077" s="36">
        <v>2.3900000000000001</v>
      </c>
    </row>
    <row r="2078" ht="38.25">
      <c r="A2078" s="19" t="s">
        <v>10460</v>
      </c>
      <c r="B2078" s="19">
        <v>39014</v>
      </c>
      <c r="C2078" s="20" t="s">
        <v>12538</v>
      </c>
      <c r="D2078" s="19" t="s">
        <v>302</v>
      </c>
      <c r="E2078" s="19" t="s">
        <v>10459</v>
      </c>
      <c r="F2078" s="21">
        <f t="shared" si="546"/>
        <v>8.2799999999999994</v>
      </c>
      <c r="G2078" s="21">
        <f t="shared" si="546"/>
        <v>8.2799999999999994</v>
      </c>
      <c r="H2078" s="21">
        <f t="shared" si="546"/>
        <v>8.2799999999999994</v>
      </c>
      <c r="I2078" s="24" t="str">
        <f t="shared" si="547"/>
        <v xml:space="preserve">COM VALOR</v>
      </c>
      <c r="L2078" s="36">
        <v>8.2799999999999994</v>
      </c>
      <c r="M2078" s="37">
        <v>8.2799999999999994</v>
      </c>
      <c r="N2078" s="36">
        <v>8.2799999999999994</v>
      </c>
    </row>
    <row r="2079" ht="25.5">
      <c r="A2079" s="19" t="s">
        <v>10460</v>
      </c>
      <c r="B2079" s="19">
        <v>39365</v>
      </c>
      <c r="C2079" s="20" t="s">
        <v>12539</v>
      </c>
      <c r="D2079" s="19" t="s">
        <v>31</v>
      </c>
      <c r="E2079" s="19" t="s">
        <v>10459</v>
      </c>
      <c r="F2079" s="21">
        <f t="shared" si="546"/>
        <v>2011.1900000000001</v>
      </c>
      <c r="G2079" s="21">
        <f t="shared" si="546"/>
        <v>2011.1900000000001</v>
      </c>
      <c r="H2079" s="21">
        <f t="shared" si="546"/>
        <v>2011.1900000000001</v>
      </c>
      <c r="I2079" s="24" t="str">
        <f t="shared" si="547"/>
        <v xml:space="preserve">COM VALOR</v>
      </c>
      <c r="L2079" s="36">
        <v>2011.1900000000001</v>
      </c>
      <c r="M2079" s="37">
        <v>2011.1900000000001</v>
      </c>
      <c r="N2079" s="36">
        <v>2011.1900000000001</v>
      </c>
    </row>
    <row r="2080" ht="25.5">
      <c r="A2080" s="19" t="s">
        <v>10460</v>
      </c>
      <c r="B2080" s="19">
        <v>39366</v>
      </c>
      <c r="C2080" s="20" t="s">
        <v>12540</v>
      </c>
      <c r="D2080" s="19" t="s">
        <v>31</v>
      </c>
      <c r="E2080" s="19" t="s">
        <v>10459</v>
      </c>
      <c r="F2080" s="21">
        <f t="shared" si="546"/>
        <v>3051.3000000000002</v>
      </c>
      <c r="G2080" s="21">
        <f t="shared" si="546"/>
        <v>3051.3000000000002</v>
      </c>
      <c r="H2080" s="21">
        <f t="shared" si="546"/>
        <v>3051.3000000000002</v>
      </c>
      <c r="I2080" s="24" t="str">
        <f t="shared" si="547"/>
        <v xml:space="preserve">COM VALOR</v>
      </c>
      <c r="L2080" s="36">
        <v>3051.3000000000002</v>
      </c>
      <c r="M2080" s="37">
        <v>3051.3000000000002</v>
      </c>
      <c r="N2080" s="36">
        <v>3051.3000000000002</v>
      </c>
    </row>
    <row r="2081" ht="25.5">
      <c r="A2081" s="19" t="s">
        <v>10460</v>
      </c>
      <c r="B2081" s="19">
        <v>39367</v>
      </c>
      <c r="C2081" s="20" t="s">
        <v>12541</v>
      </c>
      <c r="D2081" s="19" t="s">
        <v>31</v>
      </c>
      <c r="E2081" s="19" t="s">
        <v>10459</v>
      </c>
      <c r="F2081" s="21">
        <f t="shared" si="546"/>
        <v>5228.21</v>
      </c>
      <c r="G2081" s="21">
        <f t="shared" si="546"/>
        <v>5228.21</v>
      </c>
      <c r="H2081" s="21">
        <f t="shared" si="546"/>
        <v>5228.21</v>
      </c>
      <c r="I2081" s="24" t="str">
        <f t="shared" si="547"/>
        <v xml:space="preserve">COM VALOR</v>
      </c>
      <c r="L2081" s="36">
        <v>5228.21</v>
      </c>
      <c r="M2081" s="37">
        <v>5228.21</v>
      </c>
      <c r="N2081" s="36">
        <v>5228.21</v>
      </c>
    </row>
    <row r="2082" ht="25.5">
      <c r="A2082" s="19" t="s">
        <v>10460</v>
      </c>
      <c r="B2082" s="19">
        <v>45263</v>
      </c>
      <c r="C2082" s="20" t="s">
        <v>12542</v>
      </c>
      <c r="D2082" s="19" t="s">
        <v>31</v>
      </c>
      <c r="E2082" s="19" t="s">
        <v>10459</v>
      </c>
      <c r="F2082" s="21">
        <f t="shared" si="546"/>
        <v>18.289999999999999</v>
      </c>
      <c r="G2082" s="21">
        <f t="shared" si="546"/>
        <v>18.289999999999999</v>
      </c>
      <c r="H2082" s="21">
        <f t="shared" si="546"/>
        <v>18.289999999999999</v>
      </c>
      <c r="I2082" s="24" t="str">
        <f t="shared" si="547"/>
        <v xml:space="preserve">COM VALOR</v>
      </c>
      <c r="L2082" s="36">
        <v>18.289999999999999</v>
      </c>
      <c r="M2082" s="37">
        <v>18.289999999999999</v>
      </c>
      <c r="N2082" s="36">
        <v>18.289999999999999</v>
      </c>
    </row>
    <row r="2083" ht="25.5">
      <c r="A2083" s="19" t="s">
        <v>10460</v>
      </c>
      <c r="B2083" s="19">
        <v>37394</v>
      </c>
      <c r="C2083" s="20" t="s">
        <v>12543</v>
      </c>
      <c r="D2083" s="19" t="s">
        <v>12544</v>
      </c>
      <c r="E2083" s="19" t="s">
        <v>10459</v>
      </c>
      <c r="F2083" s="21" t="str">
        <f t="shared" si="546"/>
        <v>VERIFICAR</v>
      </c>
      <c r="G2083" s="21" t="str">
        <f t="shared" si="546"/>
        <v>VERIFICAR</v>
      </c>
      <c r="H2083" s="21" t="str">
        <f t="shared" si="546"/>
        <v>VERIFICAR</v>
      </c>
      <c r="I2083" s="24" t="str">
        <f t="shared" si="547"/>
        <v xml:space="preserve">SEM VALOR</v>
      </c>
      <c r="L2083" s="36"/>
      <c r="M2083" s="37"/>
      <c r="N2083" s="36"/>
    </row>
    <row r="2084" ht="25.5">
      <c r="A2084" s="19" t="s">
        <v>10460</v>
      </c>
      <c r="B2084" s="19">
        <v>14146</v>
      </c>
      <c r="C2084" s="20" t="s">
        <v>12545</v>
      </c>
      <c r="D2084" s="19" t="s">
        <v>12544</v>
      </c>
      <c r="E2084" s="19" t="s">
        <v>10466</v>
      </c>
      <c r="F2084" s="21" t="str">
        <f t="shared" si="546"/>
        <v>VERIFICAR</v>
      </c>
      <c r="G2084" s="21" t="str">
        <f t="shared" si="546"/>
        <v>VERIFICAR</v>
      </c>
      <c r="H2084" s="21" t="str">
        <f t="shared" si="546"/>
        <v>VERIFICAR</v>
      </c>
      <c r="I2084" s="24" t="str">
        <f t="shared" si="547"/>
        <v xml:space="preserve">SEM VALOR</v>
      </c>
      <c r="L2084" s="36"/>
      <c r="M2084" s="37"/>
      <c r="N2084" s="36"/>
    </row>
    <row r="2085" ht="25.5">
      <c r="A2085" s="19" t="s">
        <v>10460</v>
      </c>
      <c r="B2085" s="19">
        <v>938</v>
      </c>
      <c r="C2085" s="20" t="s">
        <v>12546</v>
      </c>
      <c r="D2085" s="19" t="s">
        <v>38</v>
      </c>
      <c r="E2085" s="19" t="s">
        <v>10459</v>
      </c>
      <c r="F2085" s="21">
        <f t="shared" si="546"/>
        <v>1.9299999999999999</v>
      </c>
      <c r="G2085" s="21">
        <f t="shared" si="546"/>
        <v>1.9299999999999999</v>
      </c>
      <c r="H2085" s="21">
        <f t="shared" si="546"/>
        <v>1.9299999999999999</v>
      </c>
      <c r="I2085" s="24" t="str">
        <f t="shared" si="547"/>
        <v xml:space="preserve">COM VALOR</v>
      </c>
      <c r="L2085" s="36">
        <v>1.9299999999999999</v>
      </c>
      <c r="M2085" s="37">
        <v>1.9299999999999999</v>
      </c>
      <c r="N2085" s="36">
        <v>1.9299999999999999</v>
      </c>
    </row>
    <row r="2086" ht="25.5">
      <c r="A2086" s="19" t="s">
        <v>10460</v>
      </c>
      <c r="B2086" s="19">
        <v>937</v>
      </c>
      <c r="C2086" s="20" t="s">
        <v>12547</v>
      </c>
      <c r="D2086" s="19" t="s">
        <v>38</v>
      </c>
      <c r="E2086" s="19" t="s">
        <v>10459</v>
      </c>
      <c r="F2086" s="21">
        <f t="shared" si="546"/>
        <v>11.289999999999999</v>
      </c>
      <c r="G2086" s="21">
        <f t="shared" si="546"/>
        <v>11.289999999999999</v>
      </c>
      <c r="H2086" s="21">
        <f t="shared" si="546"/>
        <v>11.289999999999999</v>
      </c>
      <c r="I2086" s="24" t="str">
        <f t="shared" si="547"/>
        <v xml:space="preserve">COM VALOR</v>
      </c>
      <c r="L2086" s="36">
        <v>11.289999999999999</v>
      </c>
      <c r="M2086" s="37">
        <v>11.289999999999999</v>
      </c>
      <c r="N2086" s="36">
        <v>11.289999999999999</v>
      </c>
    </row>
    <row r="2087" ht="25.5">
      <c r="A2087" s="19" t="s">
        <v>10460</v>
      </c>
      <c r="B2087" s="19">
        <v>939</v>
      </c>
      <c r="C2087" s="20" t="s">
        <v>12548</v>
      </c>
      <c r="D2087" s="19" t="s">
        <v>38</v>
      </c>
      <c r="E2087" s="19" t="s">
        <v>10459</v>
      </c>
      <c r="F2087" s="21">
        <f t="shared" si="546"/>
        <v>3.1299999999999999</v>
      </c>
      <c r="G2087" s="21">
        <f t="shared" si="546"/>
        <v>3.1299999999999999</v>
      </c>
      <c r="H2087" s="21">
        <f t="shared" si="546"/>
        <v>3.1299999999999999</v>
      </c>
      <c r="I2087" s="24" t="str">
        <f t="shared" si="547"/>
        <v xml:space="preserve">COM VALOR</v>
      </c>
      <c r="L2087" s="36">
        <v>3.1299999999999999</v>
      </c>
      <c r="M2087" s="37">
        <v>3.1299999999999999</v>
      </c>
      <c r="N2087" s="36">
        <v>3.1299999999999999</v>
      </c>
    </row>
    <row r="2088" ht="25.5">
      <c r="A2088" s="19" t="s">
        <v>10460</v>
      </c>
      <c r="B2088" s="19">
        <v>944</v>
      </c>
      <c r="C2088" s="20" t="s">
        <v>12549</v>
      </c>
      <c r="D2088" s="19" t="s">
        <v>38</v>
      </c>
      <c r="E2088" s="19" t="s">
        <v>10459</v>
      </c>
      <c r="F2088" s="21">
        <f t="shared" si="546"/>
        <v>4.9500000000000002</v>
      </c>
      <c r="G2088" s="21">
        <f t="shared" si="546"/>
        <v>4.9500000000000002</v>
      </c>
      <c r="H2088" s="21">
        <f t="shared" si="546"/>
        <v>4.9500000000000002</v>
      </c>
      <c r="I2088" s="24" t="str">
        <f t="shared" si="547"/>
        <v xml:space="preserve">COM VALOR</v>
      </c>
      <c r="L2088" s="36">
        <v>4.9500000000000002</v>
      </c>
      <c r="M2088" s="37">
        <v>4.9500000000000002</v>
      </c>
      <c r="N2088" s="36">
        <v>4.9500000000000002</v>
      </c>
    </row>
    <row r="2089" ht="25.5">
      <c r="A2089" s="19" t="s">
        <v>10460</v>
      </c>
      <c r="B2089" s="19">
        <v>940</v>
      </c>
      <c r="C2089" s="20" t="s">
        <v>12550</v>
      </c>
      <c r="D2089" s="19" t="s">
        <v>38</v>
      </c>
      <c r="E2089" s="19" t="s">
        <v>10459</v>
      </c>
      <c r="F2089" s="21">
        <f t="shared" si="546"/>
        <v>7.1399999999999997</v>
      </c>
      <c r="G2089" s="21">
        <f t="shared" si="546"/>
        <v>7.1399999999999997</v>
      </c>
      <c r="H2089" s="21">
        <f t="shared" si="546"/>
        <v>7.1399999999999997</v>
      </c>
      <c r="I2089" s="24" t="str">
        <f t="shared" si="547"/>
        <v xml:space="preserve">COM VALOR</v>
      </c>
      <c r="L2089" s="36">
        <v>7.1399999999999997</v>
      </c>
      <c r="M2089" s="37">
        <v>7.1399999999999997</v>
      </c>
      <c r="N2089" s="36">
        <v>7.1399999999999997</v>
      </c>
    </row>
    <row r="2090" ht="25.5">
      <c r="A2090" s="19" t="s">
        <v>10460</v>
      </c>
      <c r="B2090" s="19">
        <v>44397</v>
      </c>
      <c r="C2090" s="20" t="s">
        <v>12551</v>
      </c>
      <c r="D2090" s="19" t="s">
        <v>38</v>
      </c>
      <c r="E2090" s="19" t="s">
        <v>10459</v>
      </c>
      <c r="F2090" s="21">
        <f t="shared" si="546"/>
        <v>2.5699999999999998</v>
      </c>
      <c r="G2090" s="21">
        <f t="shared" si="546"/>
        <v>2.5699999999999998</v>
      </c>
      <c r="H2090" s="21">
        <f t="shared" si="546"/>
        <v>2.5699999999999998</v>
      </c>
      <c r="I2090" s="24" t="str">
        <f t="shared" si="547"/>
        <v xml:space="preserve">COM VALOR</v>
      </c>
      <c r="L2090" s="36">
        <v>2.5699999999999998</v>
      </c>
      <c r="M2090" s="37">
        <v>2.5699999999999998</v>
      </c>
      <c r="N2090" s="36">
        <v>2.5699999999999998</v>
      </c>
    </row>
    <row r="2091" ht="25.5">
      <c r="A2091" s="19" t="s">
        <v>10460</v>
      </c>
      <c r="B2091" s="19">
        <v>406</v>
      </c>
      <c r="C2091" s="20" t="s">
        <v>12552</v>
      </c>
      <c r="D2091" s="19" t="s">
        <v>31</v>
      </c>
      <c r="E2091" s="19" t="s">
        <v>10459</v>
      </c>
      <c r="F2091" s="21">
        <f t="shared" si="546"/>
        <v>91.150000000000006</v>
      </c>
      <c r="G2091" s="21">
        <f t="shared" si="546"/>
        <v>91.150000000000006</v>
      </c>
      <c r="H2091" s="21">
        <f t="shared" si="546"/>
        <v>91.150000000000006</v>
      </c>
      <c r="I2091" s="24" t="str">
        <f t="shared" si="547"/>
        <v xml:space="preserve">COM VALOR</v>
      </c>
      <c r="L2091" s="36">
        <v>91.150000000000006</v>
      </c>
      <c r="M2091" s="37">
        <v>91.150000000000006</v>
      </c>
      <c r="N2091" s="36">
        <v>91.150000000000006</v>
      </c>
    </row>
    <row r="2092" ht="12.75">
      <c r="A2092" s="19" t="s">
        <v>10460</v>
      </c>
      <c r="B2092" s="19">
        <v>43728</v>
      </c>
      <c r="C2092" s="20" t="s">
        <v>12553</v>
      </c>
      <c r="D2092" s="19" t="s">
        <v>38</v>
      </c>
      <c r="E2092" s="19" t="s">
        <v>10459</v>
      </c>
      <c r="F2092" s="21">
        <f t="shared" si="546"/>
        <v>0.20000000000000001</v>
      </c>
      <c r="G2092" s="21">
        <f t="shared" si="546"/>
        <v>0.20000000000000001</v>
      </c>
      <c r="H2092" s="21">
        <f t="shared" si="546"/>
        <v>0.20000000000000001</v>
      </c>
      <c r="I2092" s="24" t="str">
        <f t="shared" si="547"/>
        <v xml:space="preserve">COM VALOR</v>
      </c>
      <c r="L2092" s="36">
        <v>0.20000000000000001</v>
      </c>
      <c r="M2092" s="37">
        <v>0.20000000000000001</v>
      </c>
      <c r="N2092" s="36">
        <v>0.20000000000000001</v>
      </c>
    </row>
    <row r="2093" ht="25.5">
      <c r="A2093" s="19" t="s">
        <v>10460</v>
      </c>
      <c r="B2093" s="19">
        <v>42529</v>
      </c>
      <c r="C2093" s="20" t="s">
        <v>12554</v>
      </c>
      <c r="D2093" s="19" t="s">
        <v>38</v>
      </c>
      <c r="E2093" s="19" t="s">
        <v>10459</v>
      </c>
      <c r="F2093" s="21" t="str">
        <f t="shared" si="546"/>
        <v>VERIFICAR</v>
      </c>
      <c r="G2093" s="21" t="str">
        <f t="shared" si="546"/>
        <v>VERIFICAR</v>
      </c>
      <c r="H2093" s="21" t="str">
        <f t="shared" si="546"/>
        <v>VERIFICAR</v>
      </c>
      <c r="I2093" s="24" t="str">
        <f t="shared" si="547"/>
        <v xml:space="preserve">SEM VALOR</v>
      </c>
      <c r="L2093" s="36"/>
      <c r="M2093" s="37"/>
      <c r="N2093" s="36"/>
    </row>
    <row r="2094" ht="38.25">
      <c r="A2094" s="19" t="s">
        <v>10460</v>
      </c>
      <c r="B2094" s="19">
        <v>39634</v>
      </c>
      <c r="C2094" s="20" t="s">
        <v>12555</v>
      </c>
      <c r="D2094" s="19" t="s">
        <v>38</v>
      </c>
      <c r="E2094" s="19" t="s">
        <v>10459</v>
      </c>
      <c r="F2094" s="21">
        <f t="shared" si="546"/>
        <v>3.8599999999999999</v>
      </c>
      <c r="G2094" s="21">
        <f t="shared" si="546"/>
        <v>3.8599999999999999</v>
      </c>
      <c r="H2094" s="21">
        <f t="shared" si="546"/>
        <v>3.8599999999999999</v>
      </c>
      <c r="I2094" s="24" t="str">
        <f t="shared" si="547"/>
        <v xml:space="preserve">COM VALOR</v>
      </c>
      <c r="L2094" s="36">
        <v>3.8599999999999999</v>
      </c>
      <c r="M2094" s="37">
        <v>3.8599999999999999</v>
      </c>
      <c r="N2094" s="36">
        <v>3.8599999999999999</v>
      </c>
    </row>
    <row r="2095" ht="25.5">
      <c r="A2095" s="19" t="s">
        <v>10460</v>
      </c>
      <c r="B2095" s="19">
        <v>39701</v>
      </c>
      <c r="C2095" s="20" t="s">
        <v>12556</v>
      </c>
      <c r="D2095" s="19" t="s">
        <v>31</v>
      </c>
      <c r="E2095" s="19" t="s">
        <v>10459</v>
      </c>
      <c r="F2095" s="21" t="str">
        <f t="shared" si="546"/>
        <v>VERIFICAR</v>
      </c>
      <c r="G2095" s="21" t="str">
        <f t="shared" si="546"/>
        <v>VERIFICAR</v>
      </c>
      <c r="H2095" s="21" t="str">
        <f t="shared" si="546"/>
        <v>VERIFICAR</v>
      </c>
      <c r="I2095" s="24" t="str">
        <f t="shared" si="547"/>
        <v xml:space="preserve">SEM VALOR</v>
      </c>
      <c r="L2095" s="36"/>
      <c r="M2095" s="37"/>
      <c r="N2095" s="36"/>
    </row>
    <row r="2096" ht="12.75">
      <c r="A2096" s="19" t="s">
        <v>10460</v>
      </c>
      <c r="B2096" s="19">
        <v>12815</v>
      </c>
      <c r="C2096" s="20" t="s">
        <v>12557</v>
      </c>
      <c r="D2096" s="19" t="s">
        <v>31</v>
      </c>
      <c r="E2096" s="19" t="s">
        <v>10459</v>
      </c>
      <c r="F2096" s="21">
        <f t="shared" si="546"/>
        <v>18.210000000000001</v>
      </c>
      <c r="G2096" s="21">
        <f t="shared" si="546"/>
        <v>18.210000000000001</v>
      </c>
      <c r="H2096" s="21">
        <f t="shared" si="546"/>
        <v>18.210000000000001</v>
      </c>
      <c r="I2096" s="24" t="str">
        <f t="shared" si="547"/>
        <v xml:space="preserve">COM VALOR</v>
      </c>
      <c r="L2096" s="36">
        <v>18.210000000000001</v>
      </c>
      <c r="M2096" s="37">
        <v>18.210000000000001</v>
      </c>
      <c r="N2096" s="36">
        <v>18.210000000000001</v>
      </c>
    </row>
    <row r="2097" ht="38.25">
      <c r="A2097" s="19" t="s">
        <v>10460</v>
      </c>
      <c r="B2097" s="19">
        <v>39431</v>
      </c>
      <c r="C2097" s="20" t="s">
        <v>12558</v>
      </c>
      <c r="D2097" s="19" t="s">
        <v>38</v>
      </c>
      <c r="E2097" s="19" t="s">
        <v>10459</v>
      </c>
      <c r="F2097" s="21">
        <f t="shared" si="546"/>
        <v>0.32000000000000001</v>
      </c>
      <c r="G2097" s="21">
        <f t="shared" si="546"/>
        <v>0.32000000000000001</v>
      </c>
      <c r="H2097" s="21">
        <f t="shared" si="546"/>
        <v>0.32000000000000001</v>
      </c>
      <c r="I2097" s="24" t="str">
        <f t="shared" si="547"/>
        <v xml:space="preserve">COM VALOR</v>
      </c>
      <c r="L2097" s="36">
        <v>0.32000000000000001</v>
      </c>
      <c r="M2097" s="37">
        <v>0.32000000000000001</v>
      </c>
      <c r="N2097" s="36">
        <v>0.32000000000000001</v>
      </c>
    </row>
    <row r="2098" ht="25.5">
      <c r="A2098" s="19" t="s">
        <v>10460</v>
      </c>
      <c r="B2098" s="19">
        <v>39432</v>
      </c>
      <c r="C2098" s="20" t="s">
        <v>12559</v>
      </c>
      <c r="D2098" s="19" t="s">
        <v>38</v>
      </c>
      <c r="E2098" s="19" t="s">
        <v>10459</v>
      </c>
      <c r="F2098" s="21">
        <f t="shared" si="546"/>
        <v>2.8399999999999999</v>
      </c>
      <c r="G2098" s="21">
        <f t="shared" si="546"/>
        <v>2.8399999999999999</v>
      </c>
      <c r="H2098" s="21">
        <f t="shared" si="546"/>
        <v>2.8399999999999999</v>
      </c>
      <c r="I2098" s="24" t="str">
        <f t="shared" si="547"/>
        <v xml:space="preserve">COM VALOR</v>
      </c>
      <c r="L2098" s="36">
        <v>2.8399999999999999</v>
      </c>
      <c r="M2098" s="37">
        <v>2.8399999999999999</v>
      </c>
      <c r="N2098" s="36">
        <v>2.8399999999999999</v>
      </c>
    </row>
    <row r="2099" ht="25.5">
      <c r="A2099" s="19" t="s">
        <v>10460</v>
      </c>
      <c r="B2099" s="19">
        <v>43727</v>
      </c>
      <c r="C2099" s="20" t="s">
        <v>12560</v>
      </c>
      <c r="D2099" s="19" t="s">
        <v>38</v>
      </c>
      <c r="E2099" s="19" t="s">
        <v>10459</v>
      </c>
      <c r="F2099" s="21">
        <f t="shared" si="546"/>
        <v>1.54</v>
      </c>
      <c r="G2099" s="21">
        <f t="shared" si="546"/>
        <v>1.54</v>
      </c>
      <c r="H2099" s="21">
        <f t="shared" si="546"/>
        <v>1.54</v>
      </c>
      <c r="I2099" s="24" t="str">
        <f t="shared" si="547"/>
        <v xml:space="preserve">COM VALOR</v>
      </c>
      <c r="L2099" s="36">
        <v>1.54</v>
      </c>
      <c r="M2099" s="37">
        <v>1.54</v>
      </c>
      <c r="N2099" s="36">
        <v>1.54</v>
      </c>
    </row>
    <row r="2100" ht="25.5">
      <c r="A2100" s="19" t="s">
        <v>10460</v>
      </c>
      <c r="B2100" s="19">
        <v>20111</v>
      </c>
      <c r="C2100" s="20" t="s">
        <v>12561</v>
      </c>
      <c r="D2100" s="19" t="s">
        <v>31</v>
      </c>
      <c r="E2100" s="19" t="s">
        <v>10459</v>
      </c>
      <c r="F2100" s="21">
        <f t="shared" si="546"/>
        <v>22.82</v>
      </c>
      <c r="G2100" s="21">
        <f t="shared" si="546"/>
        <v>22.82</v>
      </c>
      <c r="H2100" s="21">
        <f t="shared" si="546"/>
        <v>22.82</v>
      </c>
      <c r="I2100" s="24" t="str">
        <f t="shared" si="547"/>
        <v xml:space="preserve">COM VALOR</v>
      </c>
      <c r="L2100" s="36">
        <v>22.82</v>
      </c>
      <c r="M2100" s="37">
        <v>22.82</v>
      </c>
      <c r="N2100" s="36">
        <v>22.82</v>
      </c>
    </row>
    <row r="2101" ht="25.5">
      <c r="A2101" s="19" t="s">
        <v>10460</v>
      </c>
      <c r="B2101" s="19">
        <v>21127</v>
      </c>
      <c r="C2101" s="20" t="s">
        <v>12562</v>
      </c>
      <c r="D2101" s="19" t="s">
        <v>31</v>
      </c>
      <c r="E2101" s="19" t="s">
        <v>10459</v>
      </c>
      <c r="F2101" s="21">
        <f t="shared" si="546"/>
        <v>6.6600000000000001</v>
      </c>
      <c r="G2101" s="21">
        <f t="shared" si="546"/>
        <v>6.6600000000000001</v>
      </c>
      <c r="H2101" s="21">
        <f t="shared" si="546"/>
        <v>6.6600000000000001</v>
      </c>
      <c r="I2101" s="24" t="str">
        <f t="shared" si="547"/>
        <v xml:space="preserve">COM VALOR</v>
      </c>
      <c r="L2101" s="36">
        <v>6.6600000000000001</v>
      </c>
      <c r="M2101" s="37">
        <v>6.6600000000000001</v>
      </c>
      <c r="N2101" s="36">
        <v>6.6600000000000001</v>
      </c>
    </row>
    <row r="2102" ht="25.5">
      <c r="A2102" s="19" t="s">
        <v>10460</v>
      </c>
      <c r="B2102" s="19">
        <v>404</v>
      </c>
      <c r="C2102" s="20" t="s">
        <v>12563</v>
      </c>
      <c r="D2102" s="19" t="s">
        <v>38</v>
      </c>
      <c r="E2102" s="19" t="s">
        <v>10466</v>
      </c>
      <c r="F2102" s="21">
        <f t="shared" si="546"/>
        <v>4.3600000000000003</v>
      </c>
      <c r="G2102" s="21">
        <f t="shared" si="546"/>
        <v>4.3600000000000003</v>
      </c>
      <c r="H2102" s="21">
        <f t="shared" si="546"/>
        <v>4.3600000000000003</v>
      </c>
      <c r="I2102" s="24" t="str">
        <f t="shared" si="547"/>
        <v xml:space="preserve">COM VALOR</v>
      </c>
      <c r="L2102" s="36">
        <v>4.3600000000000003</v>
      </c>
      <c r="M2102" s="37">
        <v>4.3600000000000003</v>
      </c>
      <c r="N2102" s="36">
        <v>4.3600000000000003</v>
      </c>
    </row>
    <row r="2103" ht="25.5">
      <c r="A2103" s="19" t="s">
        <v>10460</v>
      </c>
      <c r="B2103" s="19">
        <v>14151</v>
      </c>
      <c r="C2103" s="20" t="s">
        <v>12564</v>
      </c>
      <c r="D2103" s="19" t="s">
        <v>31</v>
      </c>
      <c r="E2103" s="19" t="s">
        <v>10459</v>
      </c>
      <c r="F2103" s="21" t="str">
        <f t="shared" si="546"/>
        <v>VERIFICAR</v>
      </c>
      <c r="G2103" s="21" t="str">
        <f t="shared" si="546"/>
        <v>VERIFICAR</v>
      </c>
      <c r="H2103" s="21" t="str">
        <f t="shared" si="546"/>
        <v>VERIFICAR</v>
      </c>
      <c r="I2103" s="24" t="str">
        <f t="shared" si="547"/>
        <v xml:space="preserve">SEM VALOR</v>
      </c>
      <c r="L2103" s="36"/>
      <c r="M2103" s="37"/>
      <c r="N2103" s="36"/>
    </row>
    <row r="2104" ht="25.5">
      <c r="A2104" s="19" t="s">
        <v>10460</v>
      </c>
      <c r="B2104" s="19">
        <v>14153</v>
      </c>
      <c r="C2104" s="20" t="s">
        <v>12565</v>
      </c>
      <c r="D2104" s="19" t="s">
        <v>31</v>
      </c>
      <c r="E2104" s="19" t="s">
        <v>10459</v>
      </c>
      <c r="F2104" s="21" t="str">
        <f t="shared" si="546"/>
        <v>VERIFICAR</v>
      </c>
      <c r="G2104" s="21" t="str">
        <f t="shared" si="546"/>
        <v>VERIFICAR</v>
      </c>
      <c r="H2104" s="21" t="str">
        <f t="shared" si="546"/>
        <v>VERIFICAR</v>
      </c>
      <c r="I2104" s="24" t="str">
        <f t="shared" si="547"/>
        <v xml:space="preserve">SEM VALOR</v>
      </c>
      <c r="L2104" s="36"/>
      <c r="M2104" s="37"/>
      <c r="N2104" s="36"/>
    </row>
    <row r="2105" ht="25.5">
      <c r="A2105" s="19" t="s">
        <v>10460</v>
      </c>
      <c r="B2105" s="19">
        <v>14152</v>
      </c>
      <c r="C2105" s="20" t="s">
        <v>12566</v>
      </c>
      <c r="D2105" s="19" t="s">
        <v>31</v>
      </c>
      <c r="E2105" s="19" t="s">
        <v>10459</v>
      </c>
      <c r="F2105" s="21" t="str">
        <f t="shared" si="546"/>
        <v>VERIFICAR</v>
      </c>
      <c r="G2105" s="21" t="str">
        <f t="shared" si="546"/>
        <v>VERIFICAR</v>
      </c>
      <c r="H2105" s="21" t="str">
        <f t="shared" si="546"/>
        <v>VERIFICAR</v>
      </c>
      <c r="I2105" s="24" t="str">
        <f t="shared" si="547"/>
        <v xml:space="preserve">SEM VALOR</v>
      </c>
      <c r="L2105" s="36"/>
      <c r="M2105" s="37"/>
      <c r="N2105" s="36"/>
    </row>
    <row r="2106" ht="25.5">
      <c r="A2106" s="19" t="s">
        <v>10460</v>
      </c>
      <c r="B2106" s="19">
        <v>14154</v>
      </c>
      <c r="C2106" s="20" t="s">
        <v>12567</v>
      </c>
      <c r="D2106" s="19" t="s">
        <v>31</v>
      </c>
      <c r="E2106" s="19" t="s">
        <v>10459</v>
      </c>
      <c r="F2106" s="21" t="str">
        <f t="shared" si="546"/>
        <v>VERIFICAR</v>
      </c>
      <c r="G2106" s="21" t="str">
        <f t="shared" si="546"/>
        <v>VERIFICAR</v>
      </c>
      <c r="H2106" s="21" t="str">
        <f t="shared" si="546"/>
        <v>VERIFICAR</v>
      </c>
      <c r="I2106" s="24" t="str">
        <f t="shared" si="547"/>
        <v xml:space="preserve">SEM VALOR</v>
      </c>
      <c r="L2106" s="36"/>
      <c r="M2106" s="37"/>
      <c r="N2106" s="36"/>
    </row>
    <row r="2107" ht="25.5">
      <c r="A2107" s="19" t="s">
        <v>10460</v>
      </c>
      <c r="B2107" s="19">
        <v>43729</v>
      </c>
      <c r="C2107" s="20" t="s">
        <v>12568</v>
      </c>
      <c r="D2107" s="19" t="s">
        <v>38</v>
      </c>
      <c r="E2107" s="19" t="s">
        <v>10459</v>
      </c>
      <c r="F2107" s="21">
        <f t="shared" si="546"/>
        <v>0.14999999999999999</v>
      </c>
      <c r="G2107" s="21">
        <f t="shared" si="546"/>
        <v>0.14999999999999999</v>
      </c>
      <c r="H2107" s="21">
        <f t="shared" si="546"/>
        <v>0.14999999999999999</v>
      </c>
      <c r="I2107" s="24" t="str">
        <f t="shared" si="547"/>
        <v xml:space="preserve">COM VALOR</v>
      </c>
      <c r="L2107" s="36">
        <v>0.14999999999999999</v>
      </c>
      <c r="M2107" s="37">
        <v>0.14999999999999999</v>
      </c>
      <c r="N2107" s="36">
        <v>0.14999999999999999</v>
      </c>
    </row>
    <row r="2108" ht="25.5">
      <c r="A2108" s="19" t="s">
        <v>10460</v>
      </c>
      <c r="B2108" s="19">
        <v>41956</v>
      </c>
      <c r="C2108" s="20" t="s">
        <v>12569</v>
      </c>
      <c r="D2108" s="19" t="s">
        <v>38</v>
      </c>
      <c r="E2108" s="19" t="s">
        <v>10459</v>
      </c>
      <c r="F2108" s="21">
        <f t="shared" si="546"/>
        <v>8.0000000000000002e-002</v>
      </c>
      <c r="G2108" s="21">
        <f t="shared" si="546"/>
        <v>8.0000000000000002e-002</v>
      </c>
      <c r="H2108" s="21">
        <f t="shared" si="546"/>
        <v>8.0000000000000002e-002</v>
      </c>
      <c r="I2108" s="24" t="str">
        <f t="shared" si="547"/>
        <v xml:space="preserve">COM VALOR</v>
      </c>
      <c r="L2108" s="36">
        <v>8.0000000000000002e-002</v>
      </c>
      <c r="M2108" s="37">
        <v>8.0000000000000002e-002</v>
      </c>
      <c r="N2108" s="36">
        <v>8.0000000000000002e-002</v>
      </c>
    </row>
    <row r="2109" ht="12.75">
      <c r="A2109" s="19" t="s">
        <v>10460</v>
      </c>
      <c r="B2109" s="19">
        <v>3146</v>
      </c>
      <c r="C2109" s="20" t="s">
        <v>12570</v>
      </c>
      <c r="D2109" s="19" t="s">
        <v>31</v>
      </c>
      <c r="E2109" s="19" t="s">
        <v>10459</v>
      </c>
      <c r="F2109" s="21">
        <f t="shared" si="546"/>
        <v>4.2400000000000002</v>
      </c>
      <c r="G2109" s="21">
        <f t="shared" si="546"/>
        <v>4.2400000000000002</v>
      </c>
      <c r="H2109" s="21">
        <f t="shared" si="546"/>
        <v>4.2400000000000002</v>
      </c>
      <c r="I2109" s="24" t="str">
        <f t="shared" si="547"/>
        <v xml:space="preserve">COM VALOR</v>
      </c>
      <c r="L2109" s="36">
        <v>4.2400000000000002</v>
      </c>
      <c r="M2109" s="37">
        <v>4.2400000000000002</v>
      </c>
      <c r="N2109" s="36">
        <v>4.2400000000000002</v>
      </c>
    </row>
    <row r="2110" ht="12.75">
      <c r="A2110" s="19" t="s">
        <v>10460</v>
      </c>
      <c r="B2110" s="19">
        <v>3143</v>
      </c>
      <c r="C2110" s="20" t="s">
        <v>12571</v>
      </c>
      <c r="D2110" s="19" t="s">
        <v>31</v>
      </c>
      <c r="E2110" s="19" t="s">
        <v>10459</v>
      </c>
      <c r="F2110" s="21">
        <f t="shared" si="546"/>
        <v>7.75</v>
      </c>
      <c r="G2110" s="21">
        <f t="shared" si="546"/>
        <v>7.75</v>
      </c>
      <c r="H2110" s="21">
        <f t="shared" si="546"/>
        <v>7.75</v>
      </c>
      <c r="I2110" s="24" t="str">
        <f t="shared" si="547"/>
        <v xml:space="preserve">COM VALOR</v>
      </c>
      <c r="L2110" s="36">
        <v>7.75</v>
      </c>
      <c r="M2110" s="37">
        <v>7.75</v>
      </c>
      <c r="N2110" s="36">
        <v>7.75</v>
      </c>
    </row>
    <row r="2111" ht="12.75">
      <c r="A2111" s="19" t="s">
        <v>10460</v>
      </c>
      <c r="B2111" s="19">
        <v>3148</v>
      </c>
      <c r="C2111" s="20" t="s">
        <v>12572</v>
      </c>
      <c r="D2111" s="19" t="s">
        <v>31</v>
      </c>
      <c r="E2111" s="19" t="s">
        <v>10459</v>
      </c>
      <c r="F2111" s="21">
        <f t="shared" si="546"/>
        <v>16.68</v>
      </c>
      <c r="G2111" s="21">
        <f t="shared" si="546"/>
        <v>16.68</v>
      </c>
      <c r="H2111" s="21">
        <f t="shared" si="546"/>
        <v>16.68</v>
      </c>
      <c r="I2111" s="24" t="str">
        <f t="shared" si="547"/>
        <v xml:space="preserve">COM VALOR</v>
      </c>
      <c r="L2111" s="36">
        <v>16.68</v>
      </c>
      <c r="M2111" s="37">
        <v>16.68</v>
      </c>
      <c r="N2111" s="36">
        <v>16.68</v>
      </c>
    </row>
    <row r="2112" ht="25.5">
      <c r="A2112" s="19" t="s">
        <v>10460</v>
      </c>
      <c r="B2112" s="19">
        <v>4310</v>
      </c>
      <c r="C2112" s="20" t="s">
        <v>12573</v>
      </c>
      <c r="D2112" s="19" t="s">
        <v>31</v>
      </c>
      <c r="E2112" s="19" t="s">
        <v>10459</v>
      </c>
      <c r="F2112" s="21">
        <f t="shared" si="546"/>
        <v>2.1099999999999999</v>
      </c>
      <c r="G2112" s="21">
        <f t="shared" si="546"/>
        <v>2.1099999999999999</v>
      </c>
      <c r="H2112" s="21">
        <f t="shared" si="546"/>
        <v>2.1099999999999999</v>
      </c>
      <c r="I2112" s="24" t="str">
        <f t="shared" si="547"/>
        <v xml:space="preserve">COM VALOR</v>
      </c>
      <c r="L2112" s="36">
        <v>2.1099999999999999</v>
      </c>
      <c r="M2112" s="37">
        <v>2.1099999999999999</v>
      </c>
      <c r="N2112" s="36">
        <v>2.1099999999999999</v>
      </c>
    </row>
    <row r="2113" ht="25.5">
      <c r="A2113" s="19" t="s">
        <v>10460</v>
      </c>
      <c r="B2113" s="19">
        <v>4311</v>
      </c>
      <c r="C2113" s="20" t="s">
        <v>12574</v>
      </c>
      <c r="D2113" s="19" t="s">
        <v>31</v>
      </c>
      <c r="E2113" s="19" t="s">
        <v>10459</v>
      </c>
      <c r="F2113" s="21">
        <f t="shared" si="546"/>
        <v>1.49</v>
      </c>
      <c r="G2113" s="21">
        <f t="shared" si="546"/>
        <v>1.49</v>
      </c>
      <c r="H2113" s="21">
        <f t="shared" si="546"/>
        <v>1.49</v>
      </c>
      <c r="I2113" s="24" t="str">
        <f t="shared" si="547"/>
        <v xml:space="preserve">COM VALOR</v>
      </c>
      <c r="L2113" s="36">
        <v>1.49</v>
      </c>
      <c r="M2113" s="37">
        <v>1.49</v>
      </c>
      <c r="N2113" s="36">
        <v>1.49</v>
      </c>
    </row>
    <row r="2114" ht="25.5">
      <c r="A2114" s="19" t="s">
        <v>10460</v>
      </c>
      <c r="B2114" s="19">
        <v>4312</v>
      </c>
      <c r="C2114" s="20" t="s">
        <v>12575</v>
      </c>
      <c r="D2114" s="19" t="s">
        <v>31</v>
      </c>
      <c r="E2114" s="19" t="s">
        <v>10459</v>
      </c>
      <c r="F2114" s="21">
        <f t="shared" si="546"/>
        <v>2.0800000000000001</v>
      </c>
      <c r="G2114" s="21">
        <f t="shared" si="546"/>
        <v>2.0800000000000001</v>
      </c>
      <c r="H2114" s="21">
        <f t="shared" si="546"/>
        <v>2.0800000000000001</v>
      </c>
      <c r="I2114" s="24" t="str">
        <f t="shared" si="547"/>
        <v xml:space="preserve">COM VALOR</v>
      </c>
      <c r="L2114" s="36">
        <v>2.0800000000000001</v>
      </c>
      <c r="M2114" s="37">
        <v>2.0800000000000001</v>
      </c>
      <c r="N2114" s="36">
        <v>2.0800000000000001</v>
      </c>
    </row>
    <row r="2115" ht="12.75">
      <c r="A2115" s="19" t="s">
        <v>10460</v>
      </c>
      <c r="B2115" s="19">
        <v>13261</v>
      </c>
      <c r="C2115" s="20" t="s">
        <v>12576</v>
      </c>
      <c r="D2115" s="19" t="s">
        <v>31</v>
      </c>
      <c r="E2115" s="19" t="s">
        <v>10459</v>
      </c>
      <c r="F2115" s="21">
        <f t="shared" si="546"/>
        <v>3.2999999999999998</v>
      </c>
      <c r="G2115" s="21">
        <f t="shared" si="546"/>
        <v>3.2999999999999998</v>
      </c>
      <c r="H2115" s="21">
        <f t="shared" si="546"/>
        <v>3.2999999999999998</v>
      </c>
      <c r="I2115" s="24" t="str">
        <f t="shared" si="547"/>
        <v xml:space="preserve">COM VALOR</v>
      </c>
      <c r="L2115" s="36">
        <v>3.2999999999999998</v>
      </c>
      <c r="M2115" s="37">
        <v>3.2999999999999998</v>
      </c>
      <c r="N2115" s="36">
        <v>3.2999999999999998</v>
      </c>
    </row>
    <row r="2116" ht="25.5">
      <c r="A2116" s="19" t="s">
        <v>10460</v>
      </c>
      <c r="B2116" s="19">
        <v>3272</v>
      </c>
      <c r="C2116" s="20" t="s">
        <v>12577</v>
      </c>
      <c r="D2116" s="19" t="s">
        <v>31</v>
      </c>
      <c r="E2116" s="19" t="s">
        <v>10459</v>
      </c>
      <c r="F2116" s="21">
        <f t="shared" si="546"/>
        <v>59.399999999999999</v>
      </c>
      <c r="G2116" s="21">
        <f t="shared" si="546"/>
        <v>59.399999999999999</v>
      </c>
      <c r="H2116" s="21">
        <f t="shared" si="546"/>
        <v>59.399999999999999</v>
      </c>
      <c r="I2116" s="24" t="str">
        <f t="shared" si="547"/>
        <v xml:space="preserve">COM VALOR</v>
      </c>
      <c r="L2116" s="36">
        <v>59.399999999999999</v>
      </c>
      <c r="M2116" s="37">
        <v>59.399999999999999</v>
      </c>
      <c r="N2116" s="36">
        <v>59.399999999999999</v>
      </c>
    </row>
    <row r="2117" ht="25.5">
      <c r="A2117" s="19" t="s">
        <v>10460</v>
      </c>
      <c r="B2117" s="19">
        <v>3265</v>
      </c>
      <c r="C2117" s="20" t="s">
        <v>12578</v>
      </c>
      <c r="D2117" s="19" t="s">
        <v>31</v>
      </c>
      <c r="E2117" s="19" t="s">
        <v>10459</v>
      </c>
      <c r="F2117" s="21">
        <f t="shared" si="546"/>
        <v>47.189999999999998</v>
      </c>
      <c r="G2117" s="21">
        <f t="shared" si="546"/>
        <v>47.189999999999998</v>
      </c>
      <c r="H2117" s="21">
        <f t="shared" si="546"/>
        <v>47.189999999999998</v>
      </c>
      <c r="I2117" s="24" t="str">
        <f t="shared" si="547"/>
        <v xml:space="preserve">COM VALOR</v>
      </c>
      <c r="L2117" s="36">
        <v>47.189999999999998</v>
      </c>
      <c r="M2117" s="37">
        <v>47.189999999999998</v>
      </c>
      <c r="N2117" s="36">
        <v>47.189999999999998</v>
      </c>
    </row>
    <row r="2118" ht="25.5">
      <c r="A2118" s="19" t="s">
        <v>10460</v>
      </c>
      <c r="B2118" s="19">
        <v>3264</v>
      </c>
      <c r="C2118" s="20" t="s">
        <v>12579</v>
      </c>
      <c r="D2118" s="19" t="s">
        <v>31</v>
      </c>
      <c r="E2118" s="19" t="s">
        <v>10459</v>
      </c>
      <c r="F2118" s="21">
        <f t="shared" si="546"/>
        <v>33.93</v>
      </c>
      <c r="G2118" s="21">
        <f t="shared" si="546"/>
        <v>33.93</v>
      </c>
      <c r="H2118" s="21">
        <f t="shared" si="546"/>
        <v>33.93</v>
      </c>
      <c r="I2118" s="24" t="str">
        <f t="shared" si="547"/>
        <v xml:space="preserve">COM VALOR</v>
      </c>
      <c r="L2118" s="36">
        <v>33.93</v>
      </c>
      <c r="M2118" s="37">
        <v>33.93</v>
      </c>
      <c r="N2118" s="36">
        <v>33.93</v>
      </c>
    </row>
    <row r="2119" ht="25.5">
      <c r="A2119" s="19" t="s">
        <v>10460</v>
      </c>
      <c r="B2119" s="19">
        <v>3262</v>
      </c>
      <c r="C2119" s="20" t="s">
        <v>12580</v>
      </c>
      <c r="D2119" s="19" t="s">
        <v>31</v>
      </c>
      <c r="E2119" s="19" t="s">
        <v>10459</v>
      </c>
      <c r="F2119" s="21">
        <f t="shared" si="546"/>
        <v>20.66</v>
      </c>
      <c r="G2119" s="21">
        <f t="shared" si="546"/>
        <v>20.66</v>
      </c>
      <c r="H2119" s="21">
        <f t="shared" si="546"/>
        <v>20.66</v>
      </c>
      <c r="I2119" s="24" t="str">
        <f t="shared" si="547"/>
        <v xml:space="preserve">COM VALOR</v>
      </c>
      <c r="L2119" s="36">
        <v>20.66</v>
      </c>
      <c r="M2119" s="37">
        <v>20.66</v>
      </c>
      <c r="N2119" s="36">
        <v>20.66</v>
      </c>
    </row>
    <row r="2120" ht="25.5">
      <c r="A2120" s="19" t="s">
        <v>10460</v>
      </c>
      <c r="B2120" s="19">
        <v>3267</v>
      </c>
      <c r="C2120" s="20" t="s">
        <v>12581</v>
      </c>
      <c r="D2120" s="19" t="s">
        <v>31</v>
      </c>
      <c r="E2120" s="19" t="s">
        <v>10459</v>
      </c>
      <c r="F2120" s="21">
        <f t="shared" si="546"/>
        <v>110.81999999999999</v>
      </c>
      <c r="G2120" s="21">
        <f t="shared" si="546"/>
        <v>110.81999999999999</v>
      </c>
      <c r="H2120" s="21">
        <f t="shared" si="546"/>
        <v>110.81999999999999</v>
      </c>
      <c r="I2120" s="24" t="str">
        <f t="shared" si="547"/>
        <v xml:space="preserve">COM VALOR</v>
      </c>
      <c r="L2120" s="36">
        <v>110.81999999999999</v>
      </c>
      <c r="M2120" s="37">
        <v>110.81999999999999</v>
      </c>
      <c r="N2120" s="36">
        <v>110.81999999999999</v>
      </c>
    </row>
    <row r="2121" ht="25.5">
      <c r="A2121" s="19" t="s">
        <v>10460</v>
      </c>
      <c r="B2121" s="19">
        <v>3266</v>
      </c>
      <c r="C2121" s="20" t="s">
        <v>12582</v>
      </c>
      <c r="D2121" s="19" t="s">
        <v>31</v>
      </c>
      <c r="E2121" s="19" t="s">
        <v>10459</v>
      </c>
      <c r="F2121" s="21">
        <f t="shared" si="546"/>
        <v>70.510000000000005</v>
      </c>
      <c r="G2121" s="21">
        <f t="shared" si="546"/>
        <v>70.510000000000005</v>
      </c>
      <c r="H2121" s="21">
        <f t="shared" si="546"/>
        <v>70.510000000000005</v>
      </c>
      <c r="I2121" s="24" t="str">
        <f t="shared" si="547"/>
        <v xml:space="preserve">COM VALOR</v>
      </c>
      <c r="L2121" s="36">
        <v>70.510000000000005</v>
      </c>
      <c r="M2121" s="37">
        <v>70.510000000000005</v>
      </c>
      <c r="N2121" s="36">
        <v>70.510000000000005</v>
      </c>
    </row>
    <row r="2122" ht="25.5">
      <c r="A2122" s="19" t="s">
        <v>10460</v>
      </c>
      <c r="B2122" s="19">
        <v>3268</v>
      </c>
      <c r="C2122" s="20" t="s">
        <v>12583</v>
      </c>
      <c r="D2122" s="19" t="s">
        <v>31</v>
      </c>
      <c r="E2122" s="19" t="s">
        <v>10459</v>
      </c>
      <c r="F2122" s="21">
        <f t="shared" si="546"/>
        <v>149.84</v>
      </c>
      <c r="G2122" s="21">
        <f t="shared" si="546"/>
        <v>149.84</v>
      </c>
      <c r="H2122" s="21">
        <f t="shared" si="546"/>
        <v>149.84</v>
      </c>
      <c r="I2122" s="24" t="str">
        <f t="shared" si="547"/>
        <v xml:space="preserve">COM VALOR</v>
      </c>
      <c r="L2122" s="36">
        <v>149.84</v>
      </c>
      <c r="M2122" s="37">
        <v>149.84</v>
      </c>
      <c r="N2122" s="36">
        <v>149.84</v>
      </c>
    </row>
    <row r="2123" ht="25.5">
      <c r="A2123" s="19" t="s">
        <v>10460</v>
      </c>
      <c r="B2123" s="19">
        <v>3263</v>
      </c>
      <c r="C2123" s="20" t="s">
        <v>12584</v>
      </c>
      <c r="D2123" s="19" t="s">
        <v>31</v>
      </c>
      <c r="E2123" s="19" t="s">
        <v>10459</v>
      </c>
      <c r="F2123" s="21">
        <f t="shared" ref="F2123:H2186" si="548">IF(L2123=0,"VERIFICAR",L2123)</f>
        <v>28.219999999999999</v>
      </c>
      <c r="G2123" s="21">
        <f t="shared" si="548"/>
        <v>28.219999999999999</v>
      </c>
      <c r="H2123" s="21">
        <f t="shared" si="548"/>
        <v>28.219999999999999</v>
      </c>
      <c r="I2123" s="24" t="str">
        <f t="shared" ref="I2123:I2186" si="549">IF(OR(L2123=0,M2123=0,N2123=0),"SEM VALOR","COM VALOR")</f>
        <v xml:space="preserve">COM VALOR</v>
      </c>
      <c r="L2123" s="36">
        <v>28.219999999999999</v>
      </c>
      <c r="M2123" s="37">
        <v>28.219999999999999</v>
      </c>
      <c r="N2123" s="36">
        <v>28.219999999999999</v>
      </c>
    </row>
    <row r="2124" ht="25.5">
      <c r="A2124" s="19" t="s">
        <v>10460</v>
      </c>
      <c r="B2124" s="19">
        <v>3271</v>
      </c>
      <c r="C2124" s="20" t="s">
        <v>12585</v>
      </c>
      <c r="D2124" s="19" t="s">
        <v>31</v>
      </c>
      <c r="E2124" s="19" t="s">
        <v>10459</v>
      </c>
      <c r="F2124" s="21">
        <f t="shared" si="548"/>
        <v>221.52000000000001</v>
      </c>
      <c r="G2124" s="21">
        <f t="shared" si="548"/>
        <v>221.52000000000001</v>
      </c>
      <c r="H2124" s="21">
        <f t="shared" si="548"/>
        <v>221.52000000000001</v>
      </c>
      <c r="I2124" s="24" t="str">
        <f t="shared" si="549"/>
        <v xml:space="preserve">COM VALOR</v>
      </c>
      <c r="L2124" s="36">
        <v>221.52000000000001</v>
      </c>
      <c r="M2124" s="37">
        <v>221.52000000000001</v>
      </c>
      <c r="N2124" s="36">
        <v>221.52000000000001</v>
      </c>
    </row>
    <row r="2125" ht="25.5">
      <c r="A2125" s="19" t="s">
        <v>10460</v>
      </c>
      <c r="B2125" s="19">
        <v>3270</v>
      </c>
      <c r="C2125" s="20" t="s">
        <v>12586</v>
      </c>
      <c r="D2125" s="19" t="s">
        <v>31</v>
      </c>
      <c r="E2125" s="19" t="s">
        <v>10459</v>
      </c>
      <c r="F2125" s="21">
        <f t="shared" si="548"/>
        <v>372.17000000000002</v>
      </c>
      <c r="G2125" s="21">
        <f t="shared" si="548"/>
        <v>372.17000000000002</v>
      </c>
      <c r="H2125" s="21">
        <f t="shared" si="548"/>
        <v>372.17000000000002</v>
      </c>
      <c r="I2125" s="24" t="str">
        <f t="shared" si="549"/>
        <v xml:space="preserve">COM VALOR</v>
      </c>
      <c r="L2125" s="36">
        <v>372.17000000000002</v>
      </c>
      <c r="M2125" s="37">
        <v>372.17000000000002</v>
      </c>
      <c r="N2125" s="36">
        <v>372.17000000000002</v>
      </c>
    </row>
    <row r="2126" ht="12.75">
      <c r="A2126" s="19" t="s">
        <v>10460</v>
      </c>
      <c r="B2126" s="19">
        <v>45256</v>
      </c>
      <c r="C2126" s="20" t="s">
        <v>12587</v>
      </c>
      <c r="D2126" s="19" t="s">
        <v>31</v>
      </c>
      <c r="E2126" s="19" t="s">
        <v>10459</v>
      </c>
      <c r="F2126" s="21">
        <f t="shared" si="548"/>
        <v>22.829999999999998</v>
      </c>
      <c r="G2126" s="21">
        <f t="shared" si="548"/>
        <v>22.829999999999998</v>
      </c>
      <c r="H2126" s="21">
        <f t="shared" si="548"/>
        <v>22.829999999999998</v>
      </c>
      <c r="I2126" s="24" t="str">
        <f t="shared" si="549"/>
        <v xml:space="preserve">COM VALOR</v>
      </c>
      <c r="L2126" s="36">
        <v>22.829999999999998</v>
      </c>
      <c r="M2126" s="37">
        <v>22.829999999999998</v>
      </c>
      <c r="N2126" s="36">
        <v>22.829999999999998</v>
      </c>
    </row>
    <row r="2127" ht="38.25">
      <c r="A2127" s="19" t="s">
        <v>10457</v>
      </c>
      <c r="B2127" s="19">
        <v>3275</v>
      </c>
      <c r="C2127" s="20" t="s">
        <v>12588</v>
      </c>
      <c r="D2127" s="19" t="s">
        <v>29</v>
      </c>
      <c r="E2127" s="19" t="s">
        <v>10459</v>
      </c>
      <c r="F2127" s="21">
        <f t="shared" si="548"/>
        <v>156.36000000000001</v>
      </c>
      <c r="G2127" s="21">
        <f t="shared" si="548"/>
        <v>156.36000000000001</v>
      </c>
      <c r="H2127" s="21">
        <f t="shared" si="548"/>
        <v>156.36000000000001</v>
      </c>
      <c r="I2127" s="24" t="str">
        <f t="shared" si="549"/>
        <v xml:space="preserve">COM VALOR</v>
      </c>
      <c r="L2127" s="36">
        <v>156.36000000000001</v>
      </c>
      <c r="M2127" s="37">
        <v>156.36000000000001</v>
      </c>
      <c r="N2127" s="36">
        <v>156.36000000000001</v>
      </c>
    </row>
    <row r="2128" ht="51">
      <c r="A2128" s="19" t="s">
        <v>10457</v>
      </c>
      <c r="B2128" s="19">
        <v>39512</v>
      </c>
      <c r="C2128" s="20" t="s">
        <v>12589</v>
      </c>
      <c r="D2128" s="19" t="s">
        <v>29</v>
      </c>
      <c r="E2128" s="19" t="s">
        <v>10459</v>
      </c>
      <c r="F2128" s="21" t="str">
        <f t="shared" si="548"/>
        <v>VERIFICAR</v>
      </c>
      <c r="G2128" s="21" t="str">
        <f t="shared" si="548"/>
        <v>VERIFICAR</v>
      </c>
      <c r="H2128" s="21" t="str">
        <f t="shared" si="548"/>
        <v>VERIFICAR</v>
      </c>
      <c r="I2128" s="24" t="str">
        <f t="shared" si="549"/>
        <v xml:space="preserve">SEM VALOR</v>
      </c>
      <c r="L2128" s="36"/>
      <c r="M2128" s="37"/>
      <c r="N2128" s="36"/>
    </row>
    <row r="2129" ht="51">
      <c r="A2129" s="19" t="s">
        <v>10457</v>
      </c>
      <c r="B2129" s="19">
        <v>39511</v>
      </c>
      <c r="C2129" s="20" t="s">
        <v>12590</v>
      </c>
      <c r="D2129" s="19" t="s">
        <v>29</v>
      </c>
      <c r="E2129" s="19" t="s">
        <v>10459</v>
      </c>
      <c r="F2129" s="21" t="str">
        <f t="shared" si="548"/>
        <v>VERIFICAR</v>
      </c>
      <c r="G2129" s="21" t="str">
        <f t="shared" si="548"/>
        <v>VERIFICAR</v>
      </c>
      <c r="H2129" s="21" t="str">
        <f t="shared" si="548"/>
        <v>VERIFICAR</v>
      </c>
      <c r="I2129" s="24" t="str">
        <f t="shared" si="549"/>
        <v xml:space="preserve">SEM VALOR</v>
      </c>
      <c r="L2129" s="36"/>
      <c r="M2129" s="37"/>
      <c r="N2129" s="36"/>
    </row>
    <row r="2130" ht="51">
      <c r="A2130" s="19" t="s">
        <v>10457</v>
      </c>
      <c r="B2130" s="19">
        <v>39513</v>
      </c>
      <c r="C2130" s="20" t="s">
        <v>12591</v>
      </c>
      <c r="D2130" s="19" t="s">
        <v>29</v>
      </c>
      <c r="E2130" s="19" t="s">
        <v>10459</v>
      </c>
      <c r="F2130" s="21" t="str">
        <f t="shared" si="548"/>
        <v>VERIFICAR</v>
      </c>
      <c r="G2130" s="21" t="str">
        <f t="shared" si="548"/>
        <v>VERIFICAR</v>
      </c>
      <c r="H2130" s="21" t="str">
        <f t="shared" si="548"/>
        <v>VERIFICAR</v>
      </c>
      <c r="I2130" s="24" t="str">
        <f t="shared" si="549"/>
        <v xml:space="preserve">SEM VALOR</v>
      </c>
      <c r="L2130" s="36"/>
      <c r="M2130" s="37"/>
      <c r="N2130" s="36"/>
    </row>
    <row r="2131" ht="38.25">
      <c r="A2131" s="19" t="s">
        <v>10460</v>
      </c>
      <c r="B2131" s="19">
        <v>3286</v>
      </c>
      <c r="C2131" s="20" t="s">
        <v>12592</v>
      </c>
      <c r="D2131" s="19" t="s">
        <v>29</v>
      </c>
      <c r="E2131" s="19" t="s">
        <v>10459</v>
      </c>
      <c r="F2131" s="21">
        <f t="shared" si="548"/>
        <v>99.260000000000005</v>
      </c>
      <c r="G2131" s="21">
        <f t="shared" si="548"/>
        <v>99.260000000000005</v>
      </c>
      <c r="H2131" s="21">
        <f t="shared" si="548"/>
        <v>99.260000000000005</v>
      </c>
      <c r="I2131" s="24" t="str">
        <f t="shared" si="549"/>
        <v xml:space="preserve">COM VALOR</v>
      </c>
      <c r="L2131" s="36">
        <v>99.260000000000005</v>
      </c>
      <c r="M2131" s="37">
        <v>99.260000000000005</v>
      </c>
      <c r="N2131" s="36">
        <v>99.260000000000005</v>
      </c>
    </row>
    <row r="2132" ht="38.25">
      <c r="A2132" s="19" t="s">
        <v>10460</v>
      </c>
      <c r="B2132" s="19">
        <v>3287</v>
      </c>
      <c r="C2132" s="20" t="s">
        <v>12593</v>
      </c>
      <c r="D2132" s="19" t="s">
        <v>29</v>
      </c>
      <c r="E2132" s="19" t="s">
        <v>10459</v>
      </c>
      <c r="F2132" s="21">
        <f t="shared" si="548"/>
        <v>150</v>
      </c>
      <c r="G2132" s="21">
        <f t="shared" si="548"/>
        <v>150</v>
      </c>
      <c r="H2132" s="21">
        <f t="shared" si="548"/>
        <v>150</v>
      </c>
      <c r="I2132" s="24" t="str">
        <f t="shared" si="549"/>
        <v xml:space="preserve">COM VALOR</v>
      </c>
      <c r="L2132" s="36">
        <v>150</v>
      </c>
      <c r="M2132" s="37">
        <v>150</v>
      </c>
      <c r="N2132" s="36">
        <v>150</v>
      </c>
    </row>
    <row r="2133" ht="38.25">
      <c r="A2133" s="19" t="s">
        <v>10460</v>
      </c>
      <c r="B2133" s="19">
        <v>3283</v>
      </c>
      <c r="C2133" s="20" t="s">
        <v>12594</v>
      </c>
      <c r="D2133" s="19" t="s">
        <v>29</v>
      </c>
      <c r="E2133" s="19" t="s">
        <v>10459</v>
      </c>
      <c r="F2133" s="21">
        <f t="shared" si="548"/>
        <v>31.510000000000002</v>
      </c>
      <c r="G2133" s="21">
        <f t="shared" si="548"/>
        <v>31.510000000000002</v>
      </c>
      <c r="H2133" s="21">
        <f t="shared" si="548"/>
        <v>31.510000000000002</v>
      </c>
      <c r="I2133" s="24" t="str">
        <f t="shared" si="549"/>
        <v xml:space="preserve">COM VALOR</v>
      </c>
      <c r="L2133" s="36">
        <v>31.510000000000002</v>
      </c>
      <c r="M2133" s="37">
        <v>31.510000000000002</v>
      </c>
      <c r="N2133" s="36">
        <v>31.510000000000002</v>
      </c>
    </row>
    <row r="2134" ht="38.25">
      <c r="A2134" s="19" t="s">
        <v>10460</v>
      </c>
      <c r="B2134" s="19">
        <v>11587</v>
      </c>
      <c r="C2134" s="20" t="s">
        <v>12595</v>
      </c>
      <c r="D2134" s="19" t="s">
        <v>29</v>
      </c>
      <c r="E2134" s="19" t="s">
        <v>10459</v>
      </c>
      <c r="F2134" s="21">
        <f t="shared" si="548"/>
        <v>107.22</v>
      </c>
      <c r="G2134" s="21">
        <f t="shared" si="548"/>
        <v>107.22</v>
      </c>
      <c r="H2134" s="21">
        <f t="shared" si="548"/>
        <v>107.22</v>
      </c>
      <c r="I2134" s="24" t="str">
        <f t="shared" si="549"/>
        <v xml:space="preserve">COM VALOR</v>
      </c>
      <c r="L2134" s="36">
        <v>107.22</v>
      </c>
      <c r="M2134" s="37">
        <v>107.22</v>
      </c>
      <c r="N2134" s="36">
        <v>107.22</v>
      </c>
    </row>
    <row r="2135" ht="25.5">
      <c r="A2135" s="19" t="s">
        <v>10460</v>
      </c>
      <c r="B2135" s="19">
        <v>36225</v>
      </c>
      <c r="C2135" s="20" t="s">
        <v>12596</v>
      </c>
      <c r="D2135" s="19" t="s">
        <v>29</v>
      </c>
      <c r="E2135" s="19" t="s">
        <v>10459</v>
      </c>
      <c r="F2135" s="21">
        <f t="shared" si="548"/>
        <v>43.560000000000002</v>
      </c>
      <c r="G2135" s="21">
        <f t="shared" si="548"/>
        <v>43.560000000000002</v>
      </c>
      <c r="H2135" s="21">
        <f t="shared" si="548"/>
        <v>43.560000000000002</v>
      </c>
      <c r="I2135" s="24" t="str">
        <f t="shared" si="549"/>
        <v xml:space="preserve">COM VALOR</v>
      </c>
      <c r="L2135" s="36">
        <v>43.560000000000002</v>
      </c>
      <c r="M2135" s="37">
        <v>43.560000000000002</v>
      </c>
      <c r="N2135" s="36">
        <v>43.560000000000002</v>
      </c>
    </row>
    <row r="2136" ht="38.25">
      <c r="A2136" s="19" t="s">
        <v>10460</v>
      </c>
      <c r="B2136" s="19">
        <v>36230</v>
      </c>
      <c r="C2136" s="20" t="s">
        <v>12597</v>
      </c>
      <c r="D2136" s="19" t="s">
        <v>29</v>
      </c>
      <c r="E2136" s="19" t="s">
        <v>10466</v>
      </c>
      <c r="F2136" s="21">
        <f t="shared" si="548"/>
        <v>32</v>
      </c>
      <c r="G2136" s="21">
        <f t="shared" si="548"/>
        <v>32</v>
      </c>
      <c r="H2136" s="21">
        <f t="shared" si="548"/>
        <v>32</v>
      </c>
      <c r="I2136" s="24" t="str">
        <f t="shared" si="549"/>
        <v xml:space="preserve">COM VALOR</v>
      </c>
      <c r="L2136" s="36">
        <v>32</v>
      </c>
      <c r="M2136" s="37">
        <v>32</v>
      </c>
      <c r="N2136" s="36">
        <v>32</v>
      </c>
    </row>
    <row r="2137" ht="38.25">
      <c r="A2137" s="19" t="s">
        <v>10460</v>
      </c>
      <c r="B2137" s="19">
        <v>36238</v>
      </c>
      <c r="C2137" s="20" t="s">
        <v>12598</v>
      </c>
      <c r="D2137" s="19" t="s">
        <v>29</v>
      </c>
      <c r="E2137" s="19" t="s">
        <v>10459</v>
      </c>
      <c r="F2137" s="21">
        <f t="shared" si="548"/>
        <v>31.27</v>
      </c>
      <c r="G2137" s="21">
        <f t="shared" si="548"/>
        <v>31.27</v>
      </c>
      <c r="H2137" s="21">
        <f t="shared" si="548"/>
        <v>31.27</v>
      </c>
      <c r="I2137" s="24" t="str">
        <f t="shared" si="549"/>
        <v xml:space="preserve">COM VALOR</v>
      </c>
      <c r="L2137" s="36">
        <v>31.27</v>
      </c>
      <c r="M2137" s="37">
        <v>31.27</v>
      </c>
      <c r="N2137" s="36">
        <v>31.27</v>
      </c>
    </row>
    <row r="2138" ht="51">
      <c r="A2138" s="19" t="s">
        <v>10460</v>
      </c>
      <c r="B2138" s="19">
        <v>39363</v>
      </c>
      <c r="C2138" s="20" t="s">
        <v>12599</v>
      </c>
      <c r="D2138" s="19" t="s">
        <v>31</v>
      </c>
      <c r="E2138" s="19" t="s">
        <v>10459</v>
      </c>
      <c r="F2138" s="21">
        <f t="shared" si="548"/>
        <v>5928.3000000000002</v>
      </c>
      <c r="G2138" s="21">
        <f t="shared" si="548"/>
        <v>5928.3000000000002</v>
      </c>
      <c r="H2138" s="21">
        <f t="shared" si="548"/>
        <v>5928.3000000000002</v>
      </c>
      <c r="I2138" s="24" t="str">
        <f t="shared" si="549"/>
        <v xml:space="preserve">COM VALOR</v>
      </c>
      <c r="L2138" s="36">
        <v>5928.3000000000002</v>
      </c>
      <c r="M2138" s="37">
        <v>5928.3000000000002</v>
      </c>
      <c r="N2138" s="36">
        <v>5928.3000000000002</v>
      </c>
    </row>
    <row r="2139" ht="51">
      <c r="A2139" s="19" t="s">
        <v>10460</v>
      </c>
      <c r="B2139" s="19">
        <v>39361</v>
      </c>
      <c r="C2139" s="20" t="s">
        <v>12600</v>
      </c>
      <c r="D2139" s="19" t="s">
        <v>31</v>
      </c>
      <c r="E2139" s="19" t="s">
        <v>10459</v>
      </c>
      <c r="F2139" s="21">
        <f t="shared" si="548"/>
        <v>1811.1300000000001</v>
      </c>
      <c r="G2139" s="21">
        <f t="shared" si="548"/>
        <v>1811.1300000000001</v>
      </c>
      <c r="H2139" s="21">
        <f t="shared" si="548"/>
        <v>1811.1300000000001</v>
      </c>
      <c r="I2139" s="24" t="str">
        <f t="shared" si="549"/>
        <v xml:space="preserve">COM VALOR</v>
      </c>
      <c r="L2139" s="36">
        <v>1811.1300000000001</v>
      </c>
      <c r="M2139" s="37">
        <v>1811.1300000000001</v>
      </c>
      <c r="N2139" s="36">
        <v>1811.1300000000001</v>
      </c>
    </row>
    <row r="2140" ht="51">
      <c r="A2140" s="19" t="s">
        <v>10460</v>
      </c>
      <c r="B2140" s="19">
        <v>39362</v>
      </c>
      <c r="C2140" s="20" t="s">
        <v>12601</v>
      </c>
      <c r="D2140" s="19" t="s">
        <v>31</v>
      </c>
      <c r="E2140" s="19" t="s">
        <v>10459</v>
      </c>
      <c r="F2140" s="21">
        <f t="shared" si="548"/>
        <v>3199.4699999999998</v>
      </c>
      <c r="G2140" s="21">
        <f t="shared" si="548"/>
        <v>3199.4699999999998</v>
      </c>
      <c r="H2140" s="21">
        <f t="shared" si="548"/>
        <v>3199.4699999999998</v>
      </c>
      <c r="I2140" s="24" t="str">
        <f t="shared" si="549"/>
        <v xml:space="preserve">COM VALOR</v>
      </c>
      <c r="L2140" s="36">
        <v>3199.4699999999998</v>
      </c>
      <c r="M2140" s="37">
        <v>3199.4699999999998</v>
      </c>
      <c r="N2140" s="36">
        <v>3199.4699999999998</v>
      </c>
    </row>
    <row r="2141" ht="51">
      <c r="A2141" s="19" t="s">
        <v>10460</v>
      </c>
      <c r="B2141" s="19">
        <v>39364</v>
      </c>
      <c r="C2141" s="20" t="s">
        <v>12602</v>
      </c>
      <c r="D2141" s="19" t="s">
        <v>31</v>
      </c>
      <c r="E2141" s="19" t="s">
        <v>10459</v>
      </c>
      <c r="F2141" s="21">
        <f t="shared" si="548"/>
        <v>12504.35</v>
      </c>
      <c r="G2141" s="21">
        <f t="shared" si="548"/>
        <v>12504.35</v>
      </c>
      <c r="H2141" s="21">
        <f t="shared" si="548"/>
        <v>12504.35</v>
      </c>
      <c r="I2141" s="24" t="str">
        <f t="shared" si="549"/>
        <v xml:space="preserve">COM VALOR</v>
      </c>
      <c r="L2141" s="36">
        <v>12504.35</v>
      </c>
      <c r="M2141" s="37">
        <v>12504.35</v>
      </c>
      <c r="N2141" s="36">
        <v>12504.35</v>
      </c>
    </row>
    <row r="2142" ht="25.5">
      <c r="A2142" s="19" t="s">
        <v>10638</v>
      </c>
      <c r="B2142" s="19">
        <v>14576</v>
      </c>
      <c r="C2142" s="20" t="s">
        <v>12603</v>
      </c>
      <c r="D2142" s="19" t="s">
        <v>31</v>
      </c>
      <c r="E2142" s="19" t="s">
        <v>10459</v>
      </c>
      <c r="F2142" s="21" t="str">
        <f t="shared" si="548"/>
        <v>VERIFICAR</v>
      </c>
      <c r="G2142" s="21" t="str">
        <f t="shared" si="548"/>
        <v>VERIFICAR</v>
      </c>
      <c r="H2142" s="21" t="str">
        <f t="shared" si="548"/>
        <v>VERIFICAR</v>
      </c>
      <c r="I2142" s="24" t="str">
        <f t="shared" si="549"/>
        <v xml:space="preserve">SEM VALOR</v>
      </c>
      <c r="L2142" s="36"/>
      <c r="M2142" s="37"/>
      <c r="N2142" s="36"/>
    </row>
    <row r="2143" ht="25.5">
      <c r="A2143" s="19" t="s">
        <v>10638</v>
      </c>
      <c r="B2143" s="19">
        <v>13877</v>
      </c>
      <c r="C2143" s="20" t="s">
        <v>12604</v>
      </c>
      <c r="D2143" s="19" t="s">
        <v>31</v>
      </c>
      <c r="E2143" s="19" t="s">
        <v>10459</v>
      </c>
      <c r="F2143" s="21" t="str">
        <f t="shared" si="548"/>
        <v>VERIFICAR</v>
      </c>
      <c r="G2143" s="21" t="str">
        <f t="shared" si="548"/>
        <v>VERIFICAR</v>
      </c>
      <c r="H2143" s="21" t="str">
        <f t="shared" si="548"/>
        <v>VERIFICAR</v>
      </c>
      <c r="I2143" s="24" t="str">
        <f t="shared" si="549"/>
        <v xml:space="preserve">SEM VALOR</v>
      </c>
      <c r="L2143" s="36"/>
      <c r="M2143" s="37"/>
      <c r="N2143" s="36"/>
    </row>
    <row r="2144" ht="12.75">
      <c r="A2144" s="19" t="s">
        <v>10460</v>
      </c>
      <c r="B2144" s="19">
        <v>7307</v>
      </c>
      <c r="C2144" s="20" t="s">
        <v>12605</v>
      </c>
      <c r="D2144" s="19" t="s">
        <v>9794</v>
      </c>
      <c r="E2144" s="19" t="s">
        <v>10459</v>
      </c>
      <c r="F2144" s="21">
        <f t="shared" si="548"/>
        <v>41.960000000000001</v>
      </c>
      <c r="G2144" s="21">
        <f t="shared" si="548"/>
        <v>41.960000000000001</v>
      </c>
      <c r="H2144" s="21">
        <f t="shared" si="548"/>
        <v>41.960000000000001</v>
      </c>
      <c r="I2144" s="24" t="str">
        <f t="shared" si="549"/>
        <v xml:space="preserve">COM VALOR</v>
      </c>
      <c r="L2144" s="36">
        <v>41.960000000000001</v>
      </c>
      <c r="M2144" s="37">
        <v>41.960000000000001</v>
      </c>
      <c r="N2144" s="36">
        <v>41.960000000000001</v>
      </c>
    </row>
    <row r="2145" ht="12.75">
      <c r="A2145" s="19" t="s">
        <v>10460</v>
      </c>
      <c r="B2145" s="19">
        <v>38122</v>
      </c>
      <c r="C2145" s="20" t="s">
        <v>12606</v>
      </c>
      <c r="D2145" s="19" t="s">
        <v>9794</v>
      </c>
      <c r="E2145" s="19" t="s">
        <v>10459</v>
      </c>
      <c r="F2145" s="21">
        <f t="shared" si="548"/>
        <v>13.44</v>
      </c>
      <c r="G2145" s="21">
        <f t="shared" si="548"/>
        <v>13.44</v>
      </c>
      <c r="H2145" s="21">
        <f t="shared" si="548"/>
        <v>13.44</v>
      </c>
      <c r="I2145" s="24" t="str">
        <f t="shared" si="549"/>
        <v xml:space="preserve">COM VALOR</v>
      </c>
      <c r="L2145" s="36">
        <v>13.44</v>
      </c>
      <c r="M2145" s="37">
        <v>13.44</v>
      </c>
      <c r="N2145" s="36">
        <v>13.44</v>
      </c>
    </row>
    <row r="2146" ht="12.75">
      <c r="A2146" s="19" t="s">
        <v>10460</v>
      </c>
      <c r="B2146" s="19">
        <v>43653</v>
      </c>
      <c r="C2146" s="20" t="s">
        <v>12607</v>
      </c>
      <c r="D2146" s="19" t="s">
        <v>9794</v>
      </c>
      <c r="E2146" s="19" t="s">
        <v>10459</v>
      </c>
      <c r="F2146" s="21">
        <f t="shared" si="548"/>
        <v>43.280000000000001</v>
      </c>
      <c r="G2146" s="21">
        <f t="shared" si="548"/>
        <v>43.280000000000001</v>
      </c>
      <c r="H2146" s="21">
        <f t="shared" si="548"/>
        <v>43.280000000000001</v>
      </c>
      <c r="I2146" s="24" t="str">
        <f t="shared" si="549"/>
        <v xml:space="preserve">COM VALOR</v>
      </c>
      <c r="L2146" s="36">
        <v>43.280000000000001</v>
      </c>
      <c r="M2146" s="37">
        <v>43.280000000000001</v>
      </c>
      <c r="N2146" s="36">
        <v>43.280000000000001</v>
      </c>
    </row>
    <row r="2147" ht="12.75">
      <c r="A2147" s="19" t="s">
        <v>10638</v>
      </c>
      <c r="B2147" s="19">
        <v>45301</v>
      </c>
      <c r="C2147" s="20" t="s">
        <v>12608</v>
      </c>
      <c r="D2147" s="19" t="s">
        <v>31</v>
      </c>
      <c r="E2147" s="19" t="s">
        <v>10459</v>
      </c>
      <c r="F2147" s="21">
        <f t="shared" si="548"/>
        <v>317.69999999999999</v>
      </c>
      <c r="G2147" s="21">
        <f t="shared" si="548"/>
        <v>317.69999999999999</v>
      </c>
      <c r="H2147" s="21">
        <f t="shared" si="548"/>
        <v>317.69999999999999</v>
      </c>
      <c r="I2147" s="24" t="str">
        <f t="shared" si="549"/>
        <v xml:space="preserve">COM VALOR</v>
      </c>
      <c r="L2147" s="36">
        <v>317.69999999999999</v>
      </c>
      <c r="M2147" s="37">
        <v>317.69999999999999</v>
      </c>
      <c r="N2147" s="36">
        <v>317.69999999999999</v>
      </c>
    </row>
    <row r="2148" ht="38.25">
      <c r="A2148" s="19" t="s">
        <v>10457</v>
      </c>
      <c r="B2148" s="19">
        <v>45334</v>
      </c>
      <c r="C2148" s="20" t="s">
        <v>12609</v>
      </c>
      <c r="D2148" s="19" t="s">
        <v>31</v>
      </c>
      <c r="E2148" s="19" t="s">
        <v>10459</v>
      </c>
      <c r="F2148" s="21">
        <f t="shared" si="548"/>
        <v>28.52</v>
      </c>
      <c r="G2148" s="21">
        <f t="shared" si="548"/>
        <v>28.52</v>
      </c>
      <c r="H2148" s="21">
        <f t="shared" si="548"/>
        <v>28.52</v>
      </c>
      <c r="I2148" s="24" t="str">
        <f t="shared" si="549"/>
        <v xml:space="preserve">COM VALOR</v>
      </c>
      <c r="L2148" s="36">
        <v>28.52</v>
      </c>
      <c r="M2148" s="37">
        <v>28.52</v>
      </c>
      <c r="N2148" s="36">
        <v>28.52</v>
      </c>
    </row>
    <row r="2149" ht="38.25">
      <c r="A2149" s="19" t="s">
        <v>10460</v>
      </c>
      <c r="B2149" s="19">
        <v>34802</v>
      </c>
      <c r="C2149" s="20" t="s">
        <v>12610</v>
      </c>
      <c r="D2149" s="19" t="s">
        <v>31</v>
      </c>
      <c r="E2149" s="19" t="s">
        <v>10459</v>
      </c>
      <c r="F2149" s="21">
        <f t="shared" si="548"/>
        <v>1094.96</v>
      </c>
      <c r="G2149" s="21">
        <f t="shared" si="548"/>
        <v>1094.96</v>
      </c>
      <c r="H2149" s="21">
        <f t="shared" si="548"/>
        <v>1094.96</v>
      </c>
      <c r="I2149" s="24" t="str">
        <f t="shared" si="549"/>
        <v xml:space="preserve">COM VALOR</v>
      </c>
      <c r="L2149" s="36">
        <v>1094.96</v>
      </c>
      <c r="M2149" s="37">
        <v>1094.96</v>
      </c>
      <c r="N2149" s="36">
        <v>1094.96</v>
      </c>
    </row>
    <row r="2150" ht="38.25">
      <c r="A2150" s="19" t="s">
        <v>10460</v>
      </c>
      <c r="B2150" s="19">
        <v>11588</v>
      </c>
      <c r="C2150" s="20" t="s">
        <v>12611</v>
      </c>
      <c r="D2150" s="19" t="s">
        <v>31</v>
      </c>
      <c r="E2150" s="19" t="s">
        <v>10459</v>
      </c>
      <c r="F2150" s="21">
        <f t="shared" si="548"/>
        <v>1181.28</v>
      </c>
      <c r="G2150" s="21">
        <f t="shared" si="548"/>
        <v>1181.28</v>
      </c>
      <c r="H2150" s="21">
        <f t="shared" si="548"/>
        <v>1181.28</v>
      </c>
      <c r="I2150" s="24" t="str">
        <f t="shared" si="549"/>
        <v xml:space="preserve">COM VALOR</v>
      </c>
      <c r="L2150" s="36">
        <v>1181.28</v>
      </c>
      <c r="M2150" s="37">
        <v>1181.28</v>
      </c>
      <c r="N2150" s="36">
        <v>1181.28</v>
      </c>
    </row>
    <row r="2151" ht="38.25">
      <c r="A2151" s="19" t="s">
        <v>10460</v>
      </c>
      <c r="B2151" s="19">
        <v>34383</v>
      </c>
      <c r="C2151" s="20" t="s">
        <v>12612</v>
      </c>
      <c r="D2151" s="19" t="s">
        <v>31</v>
      </c>
      <c r="E2151" s="19" t="s">
        <v>10459</v>
      </c>
      <c r="F2151" s="21">
        <f t="shared" si="548"/>
        <v>1299.49</v>
      </c>
      <c r="G2151" s="21">
        <f t="shared" si="548"/>
        <v>1299.49</v>
      </c>
      <c r="H2151" s="21">
        <f t="shared" si="548"/>
        <v>1299.49</v>
      </c>
      <c r="I2151" s="24" t="str">
        <f t="shared" si="549"/>
        <v xml:space="preserve">COM VALOR</v>
      </c>
      <c r="L2151" s="36">
        <v>1299.49</v>
      </c>
      <c r="M2151" s="37">
        <v>1299.49</v>
      </c>
      <c r="N2151" s="36">
        <v>1299.49</v>
      </c>
    </row>
    <row r="2152" ht="38.25">
      <c r="A2152" s="19" t="s">
        <v>10460</v>
      </c>
      <c r="B2152" s="19">
        <v>40451</v>
      </c>
      <c r="C2152" s="20" t="s">
        <v>12613</v>
      </c>
      <c r="D2152" s="19" t="s">
        <v>29</v>
      </c>
      <c r="E2152" s="19" t="s">
        <v>10459</v>
      </c>
      <c r="F2152" s="21">
        <f t="shared" si="548"/>
        <v>105.04000000000001</v>
      </c>
      <c r="G2152" s="21">
        <f t="shared" si="548"/>
        <v>105.04000000000001</v>
      </c>
      <c r="H2152" s="21">
        <f t="shared" si="548"/>
        <v>105.04000000000001</v>
      </c>
      <c r="I2152" s="24" t="str">
        <f t="shared" si="549"/>
        <v xml:space="preserve">COM VALOR</v>
      </c>
      <c r="L2152" s="36">
        <v>105.04000000000001</v>
      </c>
      <c r="M2152" s="37">
        <v>105.04000000000001</v>
      </c>
      <c r="N2152" s="36">
        <v>105.04000000000001</v>
      </c>
    </row>
    <row r="2153" ht="38.25">
      <c r="A2153" s="19" t="s">
        <v>10460</v>
      </c>
      <c r="B2153" s="19">
        <v>40453</v>
      </c>
      <c r="C2153" s="20" t="s">
        <v>12614</v>
      </c>
      <c r="D2153" s="19" t="s">
        <v>29</v>
      </c>
      <c r="E2153" s="19" t="s">
        <v>10459</v>
      </c>
      <c r="F2153" s="21">
        <f t="shared" si="548"/>
        <v>113.65000000000001</v>
      </c>
      <c r="G2153" s="21">
        <f t="shared" si="548"/>
        <v>113.65000000000001</v>
      </c>
      <c r="H2153" s="21">
        <f t="shared" si="548"/>
        <v>113.65000000000001</v>
      </c>
      <c r="I2153" s="24" t="str">
        <f t="shared" si="549"/>
        <v xml:space="preserve">COM VALOR</v>
      </c>
      <c r="L2153" s="36">
        <v>113.65000000000001</v>
      </c>
      <c r="M2153" s="37">
        <v>113.65000000000001</v>
      </c>
      <c r="N2153" s="36">
        <v>113.65000000000001</v>
      </c>
    </row>
    <row r="2154" ht="38.25">
      <c r="A2154" s="19" t="s">
        <v>10460</v>
      </c>
      <c r="B2154" s="19">
        <v>40452</v>
      </c>
      <c r="C2154" s="20" t="s">
        <v>12615</v>
      </c>
      <c r="D2154" s="19" t="s">
        <v>29</v>
      </c>
      <c r="E2154" s="19" t="s">
        <v>10459</v>
      </c>
      <c r="F2154" s="21">
        <f t="shared" si="548"/>
        <v>124.66</v>
      </c>
      <c r="G2154" s="21">
        <f t="shared" si="548"/>
        <v>124.66</v>
      </c>
      <c r="H2154" s="21">
        <f t="shared" si="548"/>
        <v>124.66</v>
      </c>
      <c r="I2154" s="24" t="str">
        <f t="shared" si="549"/>
        <v xml:space="preserve">COM VALOR</v>
      </c>
      <c r="L2154" s="36">
        <v>124.66</v>
      </c>
      <c r="M2154" s="37">
        <v>124.66</v>
      </c>
      <c r="N2154" s="36">
        <v>124.66</v>
      </c>
    </row>
    <row r="2155" ht="38.25">
      <c r="A2155" s="19" t="s">
        <v>10460</v>
      </c>
      <c r="B2155" s="19">
        <v>11594</v>
      </c>
      <c r="C2155" s="20" t="s">
        <v>12616</v>
      </c>
      <c r="D2155" s="19" t="s">
        <v>31</v>
      </c>
      <c r="E2155" s="19" t="s">
        <v>10459</v>
      </c>
      <c r="F2155" s="21">
        <f t="shared" si="548"/>
        <v>376.50999999999999</v>
      </c>
      <c r="G2155" s="21">
        <f t="shared" si="548"/>
        <v>376.50999999999999</v>
      </c>
      <c r="H2155" s="21">
        <f t="shared" si="548"/>
        <v>376.50999999999999</v>
      </c>
      <c r="I2155" s="24" t="str">
        <f t="shared" si="549"/>
        <v xml:space="preserve">COM VALOR</v>
      </c>
      <c r="L2155" s="36">
        <v>376.50999999999999</v>
      </c>
      <c r="M2155" s="37">
        <v>376.50999999999999</v>
      </c>
      <c r="N2155" s="36">
        <v>376.50999999999999</v>
      </c>
    </row>
    <row r="2156" ht="25.5">
      <c r="A2156" s="19" t="s">
        <v>10460</v>
      </c>
      <c r="B2156" s="19">
        <v>3311</v>
      </c>
      <c r="C2156" s="20" t="s">
        <v>12617</v>
      </c>
      <c r="D2156" s="19" t="s">
        <v>121</v>
      </c>
      <c r="E2156" s="19" t="s">
        <v>10459</v>
      </c>
      <c r="F2156" s="21">
        <f t="shared" si="548"/>
        <v>376.50999999999999</v>
      </c>
      <c r="G2156" s="21">
        <f t="shared" si="548"/>
        <v>376.50999999999999</v>
      </c>
      <c r="H2156" s="21">
        <f t="shared" si="548"/>
        <v>376.50999999999999</v>
      </c>
      <c r="I2156" s="24" t="str">
        <f t="shared" si="549"/>
        <v xml:space="preserve">COM VALOR</v>
      </c>
      <c r="L2156" s="36">
        <v>376.50999999999999</v>
      </c>
      <c r="M2156" s="37">
        <v>376.50999999999999</v>
      </c>
      <c r="N2156" s="36">
        <v>376.50999999999999</v>
      </c>
    </row>
    <row r="2157" ht="25.5">
      <c r="A2157" s="19" t="s">
        <v>10460</v>
      </c>
      <c r="B2157" s="19">
        <v>11599</v>
      </c>
      <c r="C2157" s="20" t="s">
        <v>12618</v>
      </c>
      <c r="D2157" s="19" t="s">
        <v>31</v>
      </c>
      <c r="E2157" s="19" t="s">
        <v>10459</v>
      </c>
      <c r="F2157" s="21">
        <f t="shared" si="548"/>
        <v>500.70999999999998</v>
      </c>
      <c r="G2157" s="21">
        <f t="shared" si="548"/>
        <v>500.70999999999998</v>
      </c>
      <c r="H2157" s="21">
        <f t="shared" si="548"/>
        <v>500.70999999999998</v>
      </c>
      <c r="I2157" s="24" t="str">
        <f t="shared" si="549"/>
        <v xml:space="preserve">COM VALOR</v>
      </c>
      <c r="L2157" s="36">
        <v>500.70999999999998</v>
      </c>
      <c r="M2157" s="37">
        <v>500.70999999999998</v>
      </c>
      <c r="N2157" s="36">
        <v>500.70999999999998</v>
      </c>
    </row>
    <row r="2158" ht="38.25">
      <c r="A2158" s="19" t="s">
        <v>10460</v>
      </c>
      <c r="B2158" s="19">
        <v>11593</v>
      </c>
      <c r="C2158" s="20" t="s">
        <v>12619</v>
      </c>
      <c r="D2158" s="19" t="s">
        <v>31</v>
      </c>
      <c r="E2158" s="19" t="s">
        <v>10459</v>
      </c>
      <c r="F2158" s="21">
        <f t="shared" si="548"/>
        <v>701.97000000000003</v>
      </c>
      <c r="G2158" s="21">
        <f t="shared" si="548"/>
        <v>701.97000000000003</v>
      </c>
      <c r="H2158" s="21">
        <f t="shared" si="548"/>
        <v>701.97000000000003</v>
      </c>
      <c r="I2158" s="24" t="str">
        <f t="shared" si="549"/>
        <v xml:space="preserve">COM VALOR</v>
      </c>
      <c r="L2158" s="36">
        <v>701.97000000000003</v>
      </c>
      <c r="M2158" s="37">
        <v>701.97000000000003</v>
      </c>
      <c r="N2158" s="36">
        <v>701.97000000000003</v>
      </c>
    </row>
    <row r="2159" ht="25.5">
      <c r="A2159" s="19" t="s">
        <v>10460</v>
      </c>
      <c r="B2159" s="19">
        <v>3314</v>
      </c>
      <c r="C2159" s="20" t="s">
        <v>12620</v>
      </c>
      <c r="D2159" s="19" t="s">
        <v>121</v>
      </c>
      <c r="E2159" s="19" t="s">
        <v>10459</v>
      </c>
      <c r="F2159" s="21">
        <f t="shared" si="548"/>
        <v>502.05000000000001</v>
      </c>
      <c r="G2159" s="21">
        <f t="shared" si="548"/>
        <v>502.05000000000001</v>
      </c>
      <c r="H2159" s="21">
        <f t="shared" si="548"/>
        <v>502.05000000000001</v>
      </c>
      <c r="I2159" s="24" t="str">
        <f t="shared" si="549"/>
        <v xml:space="preserve">COM VALOR</v>
      </c>
      <c r="L2159" s="36">
        <v>502.05000000000001</v>
      </c>
      <c r="M2159" s="37">
        <v>502.05000000000001</v>
      </c>
      <c r="N2159" s="36">
        <v>502.05000000000001</v>
      </c>
    </row>
    <row r="2160" ht="25.5">
      <c r="A2160" s="19" t="s">
        <v>10460</v>
      </c>
      <c r="B2160" s="19">
        <v>11597</v>
      </c>
      <c r="C2160" s="20" t="s">
        <v>12621</v>
      </c>
      <c r="D2160" s="19" t="s">
        <v>31</v>
      </c>
      <c r="E2160" s="19" t="s">
        <v>10459</v>
      </c>
      <c r="F2160" s="21">
        <f t="shared" si="548"/>
        <v>583.82000000000005</v>
      </c>
      <c r="G2160" s="21">
        <f t="shared" si="548"/>
        <v>583.82000000000005</v>
      </c>
      <c r="H2160" s="21">
        <f t="shared" si="548"/>
        <v>583.82000000000005</v>
      </c>
      <c r="I2160" s="24" t="str">
        <f t="shared" si="549"/>
        <v xml:space="preserve">COM VALOR</v>
      </c>
      <c r="L2160" s="36">
        <v>583.82000000000005</v>
      </c>
      <c r="M2160" s="37">
        <v>583.82000000000005</v>
      </c>
      <c r="N2160" s="36">
        <v>583.82000000000005</v>
      </c>
    </row>
    <row r="2161" ht="25.5">
      <c r="A2161" s="19" t="s">
        <v>10460</v>
      </c>
      <c r="B2161" s="19">
        <v>3309</v>
      </c>
      <c r="C2161" s="20" t="s">
        <v>12622</v>
      </c>
      <c r="D2161" s="19" t="s">
        <v>121</v>
      </c>
      <c r="E2161" s="19" t="s">
        <v>10459</v>
      </c>
      <c r="F2161" s="21">
        <f t="shared" si="548"/>
        <v>398.69</v>
      </c>
      <c r="G2161" s="21">
        <f t="shared" si="548"/>
        <v>398.69</v>
      </c>
      <c r="H2161" s="21">
        <f t="shared" si="548"/>
        <v>398.69</v>
      </c>
      <c r="I2161" s="24" t="str">
        <f t="shared" si="549"/>
        <v xml:space="preserve">COM VALOR</v>
      </c>
      <c r="L2161" s="36">
        <v>398.69</v>
      </c>
      <c r="M2161" s="37">
        <v>398.69</v>
      </c>
      <c r="N2161" s="36">
        <v>398.69</v>
      </c>
    </row>
    <row r="2162" ht="38.25">
      <c r="A2162" s="19" t="s">
        <v>10460</v>
      </c>
      <c r="B2162" s="19">
        <v>40440</v>
      </c>
      <c r="C2162" s="20" t="s">
        <v>12623</v>
      </c>
      <c r="D2162" s="19" t="s">
        <v>121</v>
      </c>
      <c r="E2162" s="19" t="s">
        <v>10459</v>
      </c>
      <c r="F2162" s="21">
        <f t="shared" si="548"/>
        <v>522.92999999999995</v>
      </c>
      <c r="G2162" s="21">
        <f t="shared" si="548"/>
        <v>522.92999999999995</v>
      </c>
      <c r="H2162" s="21">
        <f t="shared" si="548"/>
        <v>522.92999999999995</v>
      </c>
      <c r="I2162" s="24" t="str">
        <f t="shared" si="549"/>
        <v xml:space="preserve">COM VALOR</v>
      </c>
      <c r="L2162" s="36">
        <v>522.92999999999995</v>
      </c>
      <c r="M2162" s="37">
        <v>522.92999999999995</v>
      </c>
      <c r="N2162" s="36">
        <v>522.92999999999995</v>
      </c>
    </row>
    <row r="2163" ht="38.25">
      <c r="A2163" s="19" t="s">
        <v>10460</v>
      </c>
      <c r="B2163" s="19">
        <v>40441</v>
      </c>
      <c r="C2163" s="20" t="s">
        <v>12624</v>
      </c>
      <c r="D2163" s="19" t="s">
        <v>121</v>
      </c>
      <c r="E2163" s="19" t="s">
        <v>10459</v>
      </c>
      <c r="F2163" s="21">
        <f t="shared" si="548"/>
        <v>333.86000000000001</v>
      </c>
      <c r="G2163" s="21">
        <f t="shared" si="548"/>
        <v>333.86000000000001</v>
      </c>
      <c r="H2163" s="21">
        <f t="shared" si="548"/>
        <v>333.86000000000001</v>
      </c>
      <c r="I2163" s="24" t="str">
        <f t="shared" si="549"/>
        <v xml:space="preserve">COM VALOR</v>
      </c>
      <c r="L2163" s="36">
        <v>333.86000000000001</v>
      </c>
      <c r="M2163" s="37">
        <v>333.86000000000001</v>
      </c>
      <c r="N2163" s="36">
        <v>333.86000000000001</v>
      </c>
    </row>
    <row r="2164" ht="51">
      <c r="A2164" s="19" t="s">
        <v>10460</v>
      </c>
      <c r="B2164" s="19">
        <v>34612</v>
      </c>
      <c r="C2164" s="20" t="s">
        <v>12625</v>
      </c>
      <c r="D2164" s="19" t="s">
        <v>31</v>
      </c>
      <c r="E2164" s="19" t="s">
        <v>10459</v>
      </c>
      <c r="F2164" s="21">
        <f t="shared" si="548"/>
        <v>722.08000000000004</v>
      </c>
      <c r="G2164" s="21">
        <f t="shared" si="548"/>
        <v>722.08000000000004</v>
      </c>
      <c r="H2164" s="21">
        <f t="shared" si="548"/>
        <v>722.08000000000004</v>
      </c>
      <c r="I2164" s="24" t="str">
        <f t="shared" si="549"/>
        <v xml:space="preserve">COM VALOR</v>
      </c>
      <c r="L2164" s="36">
        <v>722.08000000000004</v>
      </c>
      <c r="M2164" s="37">
        <v>722.08000000000004</v>
      </c>
      <c r="N2164" s="36">
        <v>722.08000000000004</v>
      </c>
    </row>
    <row r="2165" ht="51">
      <c r="A2165" s="19" t="s">
        <v>10460</v>
      </c>
      <c r="B2165" s="19">
        <v>34635</v>
      </c>
      <c r="C2165" s="20" t="s">
        <v>12626</v>
      </c>
      <c r="D2165" s="19" t="s">
        <v>31</v>
      </c>
      <c r="E2165" s="19" t="s">
        <v>10459</v>
      </c>
      <c r="F2165" s="21">
        <f t="shared" si="548"/>
        <v>928.57000000000005</v>
      </c>
      <c r="G2165" s="21">
        <f t="shared" si="548"/>
        <v>928.57000000000005</v>
      </c>
      <c r="H2165" s="21">
        <f t="shared" si="548"/>
        <v>928.57000000000005</v>
      </c>
      <c r="I2165" s="24" t="str">
        <f t="shared" si="549"/>
        <v xml:space="preserve">COM VALOR</v>
      </c>
      <c r="L2165" s="36">
        <v>928.57000000000005</v>
      </c>
      <c r="M2165" s="37">
        <v>928.57000000000005</v>
      </c>
      <c r="N2165" s="36">
        <v>928.57000000000005</v>
      </c>
    </row>
    <row r="2166" ht="51">
      <c r="A2166" s="19" t="s">
        <v>10460</v>
      </c>
      <c r="B2166" s="19">
        <v>34633</v>
      </c>
      <c r="C2166" s="20" t="s">
        <v>12627</v>
      </c>
      <c r="D2166" s="19" t="s">
        <v>31</v>
      </c>
      <c r="E2166" s="19" t="s">
        <v>10459</v>
      </c>
      <c r="F2166" s="21">
        <f t="shared" si="548"/>
        <v>1023.52</v>
      </c>
      <c r="G2166" s="21">
        <f t="shared" si="548"/>
        <v>1023.52</v>
      </c>
      <c r="H2166" s="21">
        <f t="shared" si="548"/>
        <v>1023.52</v>
      </c>
      <c r="I2166" s="24" t="str">
        <f t="shared" si="549"/>
        <v xml:space="preserve">COM VALOR</v>
      </c>
      <c r="L2166" s="36">
        <v>1023.52</v>
      </c>
      <c r="M2166" s="37">
        <v>1023.52</v>
      </c>
      <c r="N2166" s="36">
        <v>1023.52</v>
      </c>
    </row>
    <row r="2167" ht="51">
      <c r="A2167" s="19" t="s">
        <v>10460</v>
      </c>
      <c r="B2167" s="19">
        <v>40449</v>
      </c>
      <c r="C2167" s="20" t="s">
        <v>12628</v>
      </c>
      <c r="D2167" s="19" t="s">
        <v>121</v>
      </c>
      <c r="E2167" s="19" t="s">
        <v>10459</v>
      </c>
      <c r="F2167" s="21">
        <f t="shared" si="548"/>
        <v>280.67000000000002</v>
      </c>
      <c r="G2167" s="21">
        <f t="shared" si="548"/>
        <v>280.67000000000002</v>
      </c>
      <c r="H2167" s="21">
        <f t="shared" si="548"/>
        <v>280.67000000000002</v>
      </c>
      <c r="I2167" s="24" t="str">
        <f t="shared" si="549"/>
        <v xml:space="preserve">COM VALOR</v>
      </c>
      <c r="L2167" s="36">
        <v>280.67000000000002</v>
      </c>
      <c r="M2167" s="37">
        <v>280.67000000000002</v>
      </c>
      <c r="N2167" s="36">
        <v>280.67000000000002</v>
      </c>
    </row>
    <row r="2168" ht="38.25">
      <c r="A2168" s="19" t="s">
        <v>10460</v>
      </c>
      <c r="B2168" s="19">
        <v>11592</v>
      </c>
      <c r="C2168" s="20" t="s">
        <v>12629</v>
      </c>
      <c r="D2168" s="19" t="s">
        <v>31</v>
      </c>
      <c r="E2168" s="19" t="s">
        <v>10459</v>
      </c>
      <c r="F2168" s="21">
        <f t="shared" si="548"/>
        <v>502.05000000000001</v>
      </c>
      <c r="G2168" s="21">
        <f t="shared" si="548"/>
        <v>502.05000000000001</v>
      </c>
      <c r="H2168" s="21">
        <f t="shared" si="548"/>
        <v>502.05000000000001</v>
      </c>
      <c r="I2168" s="24" t="str">
        <f t="shared" si="549"/>
        <v xml:space="preserve">COM VALOR</v>
      </c>
      <c r="L2168" s="36">
        <v>502.05000000000001</v>
      </c>
      <c r="M2168" s="37">
        <v>502.05000000000001</v>
      </c>
      <c r="N2168" s="36">
        <v>502.05000000000001</v>
      </c>
    </row>
    <row r="2169" ht="38.25">
      <c r="A2169" s="19" t="s">
        <v>10460</v>
      </c>
      <c r="B2169" s="19">
        <v>34800</v>
      </c>
      <c r="C2169" s="20" t="s">
        <v>12630</v>
      </c>
      <c r="D2169" s="19" t="s">
        <v>121</v>
      </c>
      <c r="E2169" s="19" t="s">
        <v>10459</v>
      </c>
      <c r="F2169" s="21">
        <f t="shared" si="548"/>
        <v>350.98000000000002</v>
      </c>
      <c r="G2169" s="21">
        <f t="shared" si="548"/>
        <v>350.98000000000002</v>
      </c>
      <c r="H2169" s="21">
        <f t="shared" si="548"/>
        <v>350.98000000000002</v>
      </c>
      <c r="I2169" s="24" t="str">
        <f t="shared" si="549"/>
        <v xml:space="preserve">COM VALOR</v>
      </c>
      <c r="L2169" s="36">
        <v>350.98000000000002</v>
      </c>
      <c r="M2169" s="37">
        <v>350.98000000000002</v>
      </c>
      <c r="N2169" s="36">
        <v>350.98000000000002</v>
      </c>
    </row>
    <row r="2170" ht="25.5">
      <c r="A2170" s="19" t="s">
        <v>10460</v>
      </c>
      <c r="B2170" s="19">
        <v>11596</v>
      </c>
      <c r="C2170" s="20" t="s">
        <v>12631</v>
      </c>
      <c r="D2170" s="19" t="s">
        <v>31</v>
      </c>
      <c r="E2170" s="19" t="s">
        <v>10459</v>
      </c>
      <c r="F2170" s="21">
        <f t="shared" si="548"/>
        <v>398.69</v>
      </c>
      <c r="G2170" s="21">
        <f t="shared" si="548"/>
        <v>398.69</v>
      </c>
      <c r="H2170" s="21">
        <f t="shared" si="548"/>
        <v>398.69</v>
      </c>
      <c r="I2170" s="24" t="str">
        <f t="shared" si="549"/>
        <v xml:space="preserve">COM VALOR</v>
      </c>
      <c r="L2170" s="36">
        <v>398.69</v>
      </c>
      <c r="M2170" s="37">
        <v>398.69</v>
      </c>
      <c r="N2170" s="36">
        <v>398.69</v>
      </c>
    </row>
    <row r="2171" ht="25.5">
      <c r="A2171" s="19" t="s">
        <v>10460</v>
      </c>
      <c r="B2171" s="19">
        <v>40438</v>
      </c>
      <c r="C2171" s="20" t="s">
        <v>12632</v>
      </c>
      <c r="D2171" s="19" t="s">
        <v>121</v>
      </c>
      <c r="E2171" s="19" t="s">
        <v>10459</v>
      </c>
      <c r="F2171" s="21">
        <f t="shared" si="548"/>
        <v>233.83000000000001</v>
      </c>
      <c r="G2171" s="21">
        <f t="shared" si="548"/>
        <v>233.83000000000001</v>
      </c>
      <c r="H2171" s="21">
        <f t="shared" si="548"/>
        <v>233.83000000000001</v>
      </c>
      <c r="I2171" s="24" t="str">
        <f t="shared" si="549"/>
        <v xml:space="preserve">COM VALOR</v>
      </c>
      <c r="L2171" s="36">
        <v>233.83000000000001</v>
      </c>
      <c r="M2171" s="37">
        <v>233.83000000000001</v>
      </c>
      <c r="N2171" s="36">
        <v>233.83000000000001</v>
      </c>
    </row>
    <row r="2172" ht="25.5">
      <c r="A2172" s="19" t="s">
        <v>10460</v>
      </c>
      <c r="B2172" s="19">
        <v>40436</v>
      </c>
      <c r="C2172" s="20" t="s">
        <v>12633</v>
      </c>
      <c r="D2172" s="19" t="s">
        <v>121</v>
      </c>
      <c r="E2172" s="19" t="s">
        <v>10459</v>
      </c>
      <c r="F2172" s="21">
        <f t="shared" si="548"/>
        <v>291.56</v>
      </c>
      <c r="G2172" s="21">
        <f t="shared" si="548"/>
        <v>291.56</v>
      </c>
      <c r="H2172" s="21">
        <f t="shared" si="548"/>
        <v>291.56</v>
      </c>
      <c r="I2172" s="24" t="str">
        <f t="shared" si="549"/>
        <v xml:space="preserve">COM VALOR</v>
      </c>
      <c r="J2172" s="38"/>
      <c r="L2172" s="36">
        <v>291.56</v>
      </c>
      <c r="M2172" s="37">
        <v>291.56</v>
      </c>
      <c r="N2172" s="36">
        <v>291.56</v>
      </c>
    </row>
    <row r="2173" ht="38.25">
      <c r="A2173" s="19" t="s">
        <v>10460</v>
      </c>
      <c r="B2173" s="19">
        <v>4315</v>
      </c>
      <c r="C2173" s="20" t="s">
        <v>12634</v>
      </c>
      <c r="D2173" s="19" t="s">
        <v>31</v>
      </c>
      <c r="E2173" s="19" t="s">
        <v>10459</v>
      </c>
      <c r="F2173" s="21">
        <f t="shared" si="548"/>
        <v>1.53</v>
      </c>
      <c r="G2173" s="21">
        <f t="shared" si="548"/>
        <v>1.53</v>
      </c>
      <c r="H2173" s="21">
        <f t="shared" si="548"/>
        <v>1.53</v>
      </c>
      <c r="I2173" s="24" t="str">
        <f t="shared" si="549"/>
        <v xml:space="preserve">COM VALOR</v>
      </c>
      <c r="J2173" s="38"/>
      <c r="L2173" s="36">
        <v>1.53</v>
      </c>
      <c r="M2173" s="37">
        <v>1.53</v>
      </c>
      <c r="N2173" s="36">
        <v>1.53</v>
      </c>
    </row>
    <row r="2174" ht="25.5">
      <c r="A2174" s="19" t="s">
        <v>10460</v>
      </c>
      <c r="B2174" s="19">
        <v>402</v>
      </c>
      <c r="C2174" s="20" t="s">
        <v>12635</v>
      </c>
      <c r="D2174" s="19" t="s">
        <v>31</v>
      </c>
      <c r="E2174" s="19" t="s">
        <v>10459</v>
      </c>
      <c r="F2174" s="21">
        <f t="shared" si="548"/>
        <v>23.859999999999999</v>
      </c>
      <c r="G2174" s="21">
        <f t="shared" si="548"/>
        <v>23.859999999999999</v>
      </c>
      <c r="H2174" s="21">
        <f t="shared" si="548"/>
        <v>23.859999999999999</v>
      </c>
      <c r="I2174" s="24" t="str">
        <f t="shared" si="549"/>
        <v xml:space="preserve">COM VALOR</v>
      </c>
      <c r="J2174" s="38"/>
      <c r="L2174" s="36">
        <v>23.859999999999999</v>
      </c>
      <c r="M2174" s="37">
        <v>23.859999999999999</v>
      </c>
      <c r="N2174" s="36">
        <v>23.859999999999999</v>
      </c>
    </row>
    <row r="2175" ht="12.75">
      <c r="A2175" s="19" t="s">
        <v>10460</v>
      </c>
      <c r="B2175" s="19">
        <v>4226</v>
      </c>
      <c r="C2175" s="20" t="s">
        <v>12636</v>
      </c>
      <c r="D2175" s="19" t="s">
        <v>302</v>
      </c>
      <c r="E2175" s="19" t="s">
        <v>10466</v>
      </c>
      <c r="F2175" s="21">
        <f t="shared" si="548"/>
        <v>8.7599999999999998</v>
      </c>
      <c r="G2175" s="21">
        <f t="shared" si="548"/>
        <v>8.7599999999999998</v>
      </c>
      <c r="H2175" s="21">
        <f t="shared" si="548"/>
        <v>8.7599999999999998</v>
      </c>
      <c r="I2175" s="24" t="str">
        <f t="shared" si="549"/>
        <v xml:space="preserve">COM VALOR</v>
      </c>
      <c r="J2175" s="38"/>
      <c r="L2175" s="36">
        <v>8.7599999999999998</v>
      </c>
      <c r="M2175" s="37">
        <v>8.7599999999999998</v>
      </c>
      <c r="N2175" s="36">
        <v>8.7599999999999998</v>
      </c>
    </row>
    <row r="2176" ht="12.75">
      <c r="A2176" s="19" t="s">
        <v>10460</v>
      </c>
      <c r="B2176" s="19">
        <v>4222</v>
      </c>
      <c r="C2176" s="20" t="s">
        <v>12637</v>
      </c>
      <c r="D2176" s="19" t="s">
        <v>9794</v>
      </c>
      <c r="E2176" s="19" t="s">
        <v>10466</v>
      </c>
      <c r="F2176" s="21">
        <f t="shared" si="548"/>
        <v>6.2999999999999998</v>
      </c>
      <c r="G2176" s="21">
        <f t="shared" si="548"/>
        <v>6.2999999999999998</v>
      </c>
      <c r="H2176" s="21">
        <f t="shared" si="548"/>
        <v>6.2999999999999998</v>
      </c>
      <c r="I2176" s="24" t="str">
        <f t="shared" si="549"/>
        <v xml:space="preserve">COM VALOR</v>
      </c>
      <c r="J2176" s="38"/>
      <c r="L2176" s="36">
        <v>6.2999999999999998</v>
      </c>
      <c r="M2176" s="37">
        <v>6.2999999999999998</v>
      </c>
      <c r="N2176" s="36">
        <v>6.2999999999999998</v>
      </c>
    </row>
    <row r="2177" ht="38.25">
      <c r="A2177" s="19" t="s">
        <v>10460</v>
      </c>
      <c r="B2177" s="19">
        <v>34804</v>
      </c>
      <c r="C2177" s="20" t="s">
        <v>12638</v>
      </c>
      <c r="D2177" s="19" t="s">
        <v>29</v>
      </c>
      <c r="E2177" s="19" t="s">
        <v>10459</v>
      </c>
      <c r="F2177" s="21">
        <f t="shared" si="548"/>
        <v>42.380000000000003</v>
      </c>
      <c r="G2177" s="21">
        <f t="shared" si="548"/>
        <v>42.380000000000003</v>
      </c>
      <c r="H2177" s="21">
        <f t="shared" si="548"/>
        <v>42.380000000000003</v>
      </c>
      <c r="I2177" s="24" t="str">
        <f t="shared" si="549"/>
        <v xml:space="preserve">COM VALOR</v>
      </c>
      <c r="L2177" s="36">
        <v>42.380000000000003</v>
      </c>
      <c r="M2177" s="37">
        <v>42.380000000000003</v>
      </c>
      <c r="N2177" s="36">
        <v>42.380000000000003</v>
      </c>
    </row>
    <row r="2178" ht="38.25">
      <c r="A2178" s="19" t="s">
        <v>10460</v>
      </c>
      <c r="B2178" s="19">
        <v>4013</v>
      </c>
      <c r="C2178" s="20" t="s">
        <v>12639</v>
      </c>
      <c r="D2178" s="19" t="s">
        <v>29</v>
      </c>
      <c r="E2178" s="19" t="s">
        <v>10459</v>
      </c>
      <c r="F2178" s="21">
        <f t="shared" si="548"/>
        <v>7.1200000000000001</v>
      </c>
      <c r="G2178" s="21">
        <f t="shared" si="548"/>
        <v>7.1200000000000001</v>
      </c>
      <c r="H2178" s="21">
        <f t="shared" si="548"/>
        <v>7.1200000000000001</v>
      </c>
      <c r="I2178" s="24" t="str">
        <f t="shared" si="549"/>
        <v xml:space="preserve">COM VALOR</v>
      </c>
      <c r="J2178" s="38" t="s">
        <v>10710</v>
      </c>
      <c r="L2178" s="36">
        <v>7.1200000000000001</v>
      </c>
      <c r="M2178" s="37">
        <v>7.1200000000000001</v>
      </c>
      <c r="N2178" s="36">
        <v>7.1200000000000001</v>
      </c>
    </row>
    <row r="2179" ht="38.25">
      <c r="A2179" s="19" t="s">
        <v>10460</v>
      </c>
      <c r="B2179" s="19">
        <v>4011</v>
      </c>
      <c r="C2179" s="20" t="s">
        <v>12640</v>
      </c>
      <c r="D2179" s="19" t="s">
        <v>29</v>
      </c>
      <c r="E2179" s="19" t="s">
        <v>10459</v>
      </c>
      <c r="F2179" s="21">
        <f t="shared" si="548"/>
        <v>7.96</v>
      </c>
      <c r="G2179" s="21">
        <f t="shared" si="548"/>
        <v>7.96</v>
      </c>
      <c r="H2179" s="21">
        <f t="shared" si="548"/>
        <v>7.96</v>
      </c>
      <c r="I2179" s="24" t="str">
        <f t="shared" si="549"/>
        <v xml:space="preserve">COM VALOR</v>
      </c>
      <c r="J2179" s="38" t="s">
        <v>10710</v>
      </c>
      <c r="L2179" s="36">
        <v>7.96</v>
      </c>
      <c r="M2179" s="37">
        <v>7.96</v>
      </c>
      <c r="N2179" s="36">
        <v>7.96</v>
      </c>
    </row>
    <row r="2180" ht="38.25">
      <c r="A2180" s="19" t="s">
        <v>10460</v>
      </c>
      <c r="B2180" s="19">
        <v>4021</v>
      </c>
      <c r="C2180" s="20" t="s">
        <v>12641</v>
      </c>
      <c r="D2180" s="19" t="s">
        <v>29</v>
      </c>
      <c r="E2180" s="19" t="s">
        <v>10459</v>
      </c>
      <c r="F2180" s="21">
        <f t="shared" si="548"/>
        <v>9.9199999999999999</v>
      </c>
      <c r="G2180" s="21">
        <f t="shared" si="548"/>
        <v>9.9199999999999999</v>
      </c>
      <c r="H2180" s="21">
        <f t="shared" si="548"/>
        <v>9.9199999999999999</v>
      </c>
      <c r="I2180" s="24" t="str">
        <f t="shared" si="549"/>
        <v xml:space="preserve">COM VALOR</v>
      </c>
      <c r="J2180" s="38" t="s">
        <v>10710</v>
      </c>
      <c r="L2180" s="36">
        <v>9.9199999999999999</v>
      </c>
      <c r="M2180" s="37">
        <v>9.9199999999999999</v>
      </c>
      <c r="N2180" s="36">
        <v>9.9199999999999999</v>
      </c>
    </row>
    <row r="2181" ht="38.25">
      <c r="A2181" s="19" t="s">
        <v>10460</v>
      </c>
      <c r="B2181" s="19">
        <v>4019</v>
      </c>
      <c r="C2181" s="20" t="s">
        <v>12642</v>
      </c>
      <c r="D2181" s="19" t="s">
        <v>29</v>
      </c>
      <c r="E2181" s="19" t="s">
        <v>10459</v>
      </c>
      <c r="F2181" s="21" t="str">
        <f t="shared" si="548"/>
        <v>VERIFICAR</v>
      </c>
      <c r="G2181" s="21" t="str">
        <f t="shared" si="548"/>
        <v>VERIFICAR</v>
      </c>
      <c r="H2181" s="21" t="str">
        <f t="shared" si="548"/>
        <v>VERIFICAR</v>
      </c>
      <c r="I2181" s="24" t="str">
        <f t="shared" si="549"/>
        <v xml:space="preserve">SEM VALOR</v>
      </c>
      <c r="L2181" s="36"/>
      <c r="M2181" s="37"/>
      <c r="N2181" s="36"/>
    </row>
    <row r="2182" ht="38.25">
      <c r="A2182" s="19" t="s">
        <v>10460</v>
      </c>
      <c r="B2182" s="19">
        <v>4012</v>
      </c>
      <c r="C2182" s="20" t="s">
        <v>12643</v>
      </c>
      <c r="D2182" s="19" t="s">
        <v>29</v>
      </c>
      <c r="E2182" s="19" t="s">
        <v>10459</v>
      </c>
      <c r="F2182" s="21" t="str">
        <f t="shared" si="548"/>
        <v>VERIFICAR</v>
      </c>
      <c r="G2182" s="21" t="str">
        <f t="shared" si="548"/>
        <v>VERIFICAR</v>
      </c>
      <c r="H2182" s="21" t="str">
        <f t="shared" si="548"/>
        <v>VERIFICAR</v>
      </c>
      <c r="I2182" s="24" t="str">
        <f t="shared" si="549"/>
        <v xml:space="preserve">SEM VALOR</v>
      </c>
      <c r="L2182" s="36"/>
      <c r="M2182" s="37"/>
      <c r="N2182" s="36"/>
    </row>
    <row r="2183" ht="38.25">
      <c r="A2183" s="19" t="s">
        <v>10460</v>
      </c>
      <c r="B2183" s="19">
        <v>4020</v>
      </c>
      <c r="C2183" s="20" t="s">
        <v>12644</v>
      </c>
      <c r="D2183" s="19" t="s">
        <v>29</v>
      </c>
      <c r="E2183" s="19" t="s">
        <v>10459</v>
      </c>
      <c r="F2183" s="21" t="str">
        <f t="shared" si="548"/>
        <v>VERIFICAR</v>
      </c>
      <c r="G2183" s="21" t="str">
        <f t="shared" si="548"/>
        <v>VERIFICAR</v>
      </c>
      <c r="H2183" s="21" t="str">
        <f t="shared" si="548"/>
        <v>VERIFICAR</v>
      </c>
      <c r="I2183" s="24" t="str">
        <f t="shared" si="549"/>
        <v xml:space="preserve">SEM VALOR</v>
      </c>
      <c r="L2183" s="36"/>
      <c r="M2183" s="37"/>
      <c r="N2183" s="36"/>
    </row>
    <row r="2184" ht="38.25">
      <c r="A2184" s="19" t="s">
        <v>10460</v>
      </c>
      <c r="B2184" s="19">
        <v>4018</v>
      </c>
      <c r="C2184" s="20" t="s">
        <v>12645</v>
      </c>
      <c r="D2184" s="19" t="s">
        <v>29</v>
      </c>
      <c r="E2184" s="19" t="s">
        <v>10459</v>
      </c>
      <c r="F2184" s="21">
        <f t="shared" si="548"/>
        <v>23.949999999999999</v>
      </c>
      <c r="G2184" s="21">
        <f t="shared" si="548"/>
        <v>23.949999999999999</v>
      </c>
      <c r="H2184" s="21">
        <f t="shared" si="548"/>
        <v>23.949999999999999</v>
      </c>
      <c r="I2184" s="24" t="str">
        <f t="shared" si="549"/>
        <v xml:space="preserve">COM VALOR</v>
      </c>
      <c r="J2184" s="38" t="s">
        <v>10710</v>
      </c>
      <c r="L2184" s="36">
        <v>23.949999999999999</v>
      </c>
      <c r="M2184" s="37">
        <v>23.949999999999999</v>
      </c>
      <c r="N2184" s="36">
        <v>23.949999999999999</v>
      </c>
    </row>
    <row r="2185" ht="25.5">
      <c r="A2185" s="19" t="s">
        <v>10638</v>
      </c>
      <c r="B2185" s="19">
        <v>36498</v>
      </c>
      <c r="C2185" s="20" t="s">
        <v>12646</v>
      </c>
      <c r="D2185" s="19" t="s">
        <v>31</v>
      </c>
      <c r="E2185" s="19" t="s">
        <v>10459</v>
      </c>
      <c r="F2185" s="21">
        <f t="shared" si="548"/>
        <v>9195.8299999999999</v>
      </c>
      <c r="G2185" s="21">
        <f t="shared" si="548"/>
        <v>9195.8299999999999</v>
      </c>
      <c r="H2185" s="21">
        <f t="shared" si="548"/>
        <v>9195.8299999999999</v>
      </c>
      <c r="I2185" s="24" t="str">
        <f t="shared" si="549"/>
        <v xml:space="preserve">COM VALOR</v>
      </c>
      <c r="J2185" s="38"/>
      <c r="L2185" s="36">
        <v>9195.8299999999999</v>
      </c>
      <c r="M2185" s="37">
        <v>9195.8299999999999</v>
      </c>
      <c r="N2185" s="36">
        <v>9195.8299999999999</v>
      </c>
    </row>
    <row r="2186" ht="12.75">
      <c r="A2186" s="19" t="s">
        <v>10604</v>
      </c>
      <c r="B2186" s="19">
        <v>12872</v>
      </c>
      <c r="C2186" s="20" t="s">
        <v>12647</v>
      </c>
      <c r="D2186" s="19" t="s">
        <v>2032</v>
      </c>
      <c r="E2186" s="19" t="s">
        <v>10459</v>
      </c>
      <c r="F2186" s="21">
        <f t="shared" si="548"/>
        <v>23.960000000000001</v>
      </c>
      <c r="G2186" s="21">
        <f t="shared" si="548"/>
        <v>23.960000000000001</v>
      </c>
      <c r="H2186" s="21">
        <f t="shared" si="548"/>
        <v>23.960000000000001</v>
      </c>
      <c r="I2186" s="24" t="str">
        <f t="shared" si="549"/>
        <v xml:space="preserve">COM VALOR</v>
      </c>
      <c r="L2186" s="36">
        <v>23.960000000000001</v>
      </c>
      <c r="M2186" s="37">
        <v>23.960000000000001</v>
      </c>
      <c r="N2186" s="36">
        <v>23.960000000000001</v>
      </c>
    </row>
    <row r="2187" ht="12.75">
      <c r="A2187" s="19" t="s">
        <v>10604</v>
      </c>
      <c r="B2187" s="19">
        <v>41075</v>
      </c>
      <c r="C2187" s="20" t="s">
        <v>12648</v>
      </c>
      <c r="D2187" s="19" t="s">
        <v>7087</v>
      </c>
      <c r="E2187" s="19" t="s">
        <v>10459</v>
      </c>
      <c r="F2187" s="21">
        <f t="shared" ref="F2187:H2250" si="550">IF(L2187=0,"VERIFICAR",L2187)</f>
        <v>4196.0500000000002</v>
      </c>
      <c r="G2187" s="21">
        <f t="shared" si="550"/>
        <v>4196.0500000000002</v>
      </c>
      <c r="H2187" s="21">
        <f t="shared" si="550"/>
        <v>4196.0500000000002</v>
      </c>
      <c r="I2187" s="24" t="str">
        <f t="shared" ref="I2187:I2250" si="551">IF(OR(L2187=0,M2187=0,N2187=0),"SEM VALOR","COM VALOR")</f>
        <v xml:space="preserve">COM VALOR</v>
      </c>
      <c r="L2187" s="36">
        <v>4196.0500000000002</v>
      </c>
      <c r="M2187" s="37">
        <v>4196.0500000000002</v>
      </c>
      <c r="N2187" s="36">
        <v>4196.0500000000002</v>
      </c>
    </row>
    <row r="2188" ht="25.5">
      <c r="A2188" s="19" t="s">
        <v>10460</v>
      </c>
      <c r="B2188" s="19">
        <v>44324</v>
      </c>
      <c r="C2188" s="20" t="s">
        <v>12649</v>
      </c>
      <c r="D2188" s="19" t="s">
        <v>302</v>
      </c>
      <c r="E2188" s="19" t="s">
        <v>10459</v>
      </c>
      <c r="F2188" s="21">
        <f t="shared" si="550"/>
        <v>2.8100000000000001</v>
      </c>
      <c r="G2188" s="21">
        <f t="shared" si="550"/>
        <v>2.8100000000000001</v>
      </c>
      <c r="H2188" s="21">
        <f t="shared" si="550"/>
        <v>2.8100000000000001</v>
      </c>
      <c r="I2188" s="24" t="str">
        <f t="shared" si="551"/>
        <v xml:space="preserve">COM VALOR</v>
      </c>
      <c r="L2188" s="36">
        <v>2.8100000000000001</v>
      </c>
      <c r="M2188" s="37">
        <v>2.8100000000000001</v>
      </c>
      <c r="N2188" s="36">
        <v>2.8100000000000001</v>
      </c>
    </row>
    <row r="2189" ht="25.5">
      <c r="A2189" s="19" t="s">
        <v>10460</v>
      </c>
      <c r="B2189" s="19">
        <v>3315</v>
      </c>
      <c r="C2189" s="20" t="s">
        <v>12650</v>
      </c>
      <c r="D2189" s="19" t="s">
        <v>302</v>
      </c>
      <c r="E2189" s="19" t="s">
        <v>10459</v>
      </c>
      <c r="F2189" s="21">
        <f t="shared" si="550"/>
        <v>0.81000000000000005</v>
      </c>
      <c r="G2189" s="21">
        <f t="shared" si="550"/>
        <v>0.81000000000000005</v>
      </c>
      <c r="H2189" s="21">
        <f t="shared" si="550"/>
        <v>0.81000000000000005</v>
      </c>
      <c r="I2189" s="24" t="str">
        <f t="shared" si="551"/>
        <v xml:space="preserve">COM VALOR</v>
      </c>
      <c r="L2189" s="36">
        <v>0.81000000000000005</v>
      </c>
      <c r="M2189" s="37">
        <v>0.81000000000000005</v>
      </c>
      <c r="N2189" s="36">
        <v>0.81000000000000005</v>
      </c>
    </row>
    <row r="2190" ht="12.75">
      <c r="A2190" s="19" t="s">
        <v>10460</v>
      </c>
      <c r="B2190" s="19">
        <v>36870</v>
      </c>
      <c r="C2190" s="20" t="s">
        <v>12651</v>
      </c>
      <c r="D2190" s="19" t="s">
        <v>302</v>
      </c>
      <c r="E2190" s="19" t="s">
        <v>10459</v>
      </c>
      <c r="F2190" s="21">
        <f t="shared" si="550"/>
        <v>0.63</v>
      </c>
      <c r="G2190" s="21">
        <f t="shared" si="550"/>
        <v>0.63</v>
      </c>
      <c r="H2190" s="21">
        <f t="shared" si="550"/>
        <v>0.63</v>
      </c>
      <c r="I2190" s="24" t="str">
        <f t="shared" si="551"/>
        <v xml:space="preserve">COM VALOR</v>
      </c>
      <c r="L2190" s="36">
        <v>0.63</v>
      </c>
      <c r="M2190" s="37">
        <v>0.63</v>
      </c>
      <c r="N2190" s="36">
        <v>0.63</v>
      </c>
    </row>
    <row r="2191" ht="38.25">
      <c r="A2191" s="19" t="s">
        <v>10460</v>
      </c>
      <c r="B2191" s="19">
        <v>5092</v>
      </c>
      <c r="C2191" s="20" t="s">
        <v>12652</v>
      </c>
      <c r="D2191" s="19" t="s">
        <v>10874</v>
      </c>
      <c r="E2191" s="19" t="s">
        <v>10459</v>
      </c>
      <c r="F2191" s="21">
        <f t="shared" si="550"/>
        <v>21.34</v>
      </c>
      <c r="G2191" s="21">
        <f t="shared" si="550"/>
        <v>21.34</v>
      </c>
      <c r="H2191" s="21">
        <f t="shared" si="550"/>
        <v>21.34</v>
      </c>
      <c r="I2191" s="24" t="str">
        <f t="shared" si="551"/>
        <v xml:space="preserve">COM VALOR</v>
      </c>
      <c r="L2191" s="36">
        <v>21.34</v>
      </c>
      <c r="M2191" s="37">
        <v>21.34</v>
      </c>
      <c r="N2191" s="36">
        <v>21.34</v>
      </c>
    </row>
    <row r="2192" ht="25.5">
      <c r="A2192" s="19" t="s">
        <v>10460</v>
      </c>
      <c r="B2192" s="19">
        <v>11462</v>
      </c>
      <c r="C2192" s="20" t="s">
        <v>12653</v>
      </c>
      <c r="D2192" s="19" t="s">
        <v>10874</v>
      </c>
      <c r="E2192" s="19" t="s">
        <v>10459</v>
      </c>
      <c r="F2192" s="21">
        <f t="shared" si="550"/>
        <v>21.82</v>
      </c>
      <c r="G2192" s="21">
        <f t="shared" si="550"/>
        <v>21.82</v>
      </c>
      <c r="H2192" s="21">
        <f t="shared" si="550"/>
        <v>21.82</v>
      </c>
      <c r="I2192" s="24" t="str">
        <f t="shared" si="551"/>
        <v xml:space="preserve">COM VALOR</v>
      </c>
      <c r="L2192" s="36">
        <v>21.82</v>
      </c>
      <c r="M2192" s="37">
        <v>21.82</v>
      </c>
      <c r="N2192" s="36">
        <v>21.82</v>
      </c>
    </row>
    <row r="2193" ht="25.5">
      <c r="A2193" s="19" t="s">
        <v>10638</v>
      </c>
      <c r="B2193" s="19">
        <v>36529</v>
      </c>
      <c r="C2193" s="20" t="s">
        <v>12654</v>
      </c>
      <c r="D2193" s="19" t="s">
        <v>31</v>
      </c>
      <c r="E2193" s="19" t="s">
        <v>10459</v>
      </c>
      <c r="F2193" s="21" t="str">
        <f t="shared" si="550"/>
        <v>VERIFICAR</v>
      </c>
      <c r="G2193" s="21" t="str">
        <f t="shared" si="550"/>
        <v>VERIFICAR</v>
      </c>
      <c r="H2193" s="21" t="str">
        <f t="shared" si="550"/>
        <v>VERIFICAR</v>
      </c>
      <c r="I2193" s="24" t="str">
        <f t="shared" si="551"/>
        <v xml:space="preserve">SEM VALOR</v>
      </c>
      <c r="L2193" s="36"/>
      <c r="M2193" s="37"/>
      <c r="N2193" s="36"/>
    </row>
    <row r="2194" ht="25.5">
      <c r="A2194" s="19" t="s">
        <v>10638</v>
      </c>
      <c r="B2194" s="19">
        <v>3318</v>
      </c>
      <c r="C2194" s="20" t="s">
        <v>12655</v>
      </c>
      <c r="D2194" s="19" t="s">
        <v>31</v>
      </c>
      <c r="E2194" s="19" t="s">
        <v>10466</v>
      </c>
      <c r="F2194" s="21" t="str">
        <f t="shared" si="550"/>
        <v>VERIFICAR</v>
      </c>
      <c r="G2194" s="21" t="str">
        <f t="shared" si="550"/>
        <v>VERIFICAR</v>
      </c>
      <c r="H2194" s="21" t="str">
        <f t="shared" si="550"/>
        <v>VERIFICAR</v>
      </c>
      <c r="I2194" s="24" t="str">
        <f t="shared" si="551"/>
        <v xml:space="preserve">SEM VALOR</v>
      </c>
      <c r="L2194" s="36"/>
      <c r="M2194" s="37"/>
      <c r="N2194" s="36"/>
    </row>
    <row r="2195" ht="12.75">
      <c r="A2195" s="19" t="s">
        <v>10460</v>
      </c>
      <c r="B2195" s="19">
        <v>3324</v>
      </c>
      <c r="C2195" s="20" t="s">
        <v>12656</v>
      </c>
      <c r="D2195" s="19" t="s">
        <v>29</v>
      </c>
      <c r="E2195" s="19" t="s">
        <v>10459</v>
      </c>
      <c r="F2195" s="21">
        <f t="shared" si="550"/>
        <v>7.4900000000000002</v>
      </c>
      <c r="G2195" s="21">
        <f t="shared" si="550"/>
        <v>7.4900000000000002</v>
      </c>
      <c r="H2195" s="21">
        <f t="shared" si="550"/>
        <v>7.4900000000000002</v>
      </c>
      <c r="I2195" s="24" t="str">
        <f t="shared" si="551"/>
        <v xml:space="preserve">COM VALOR</v>
      </c>
      <c r="L2195" s="36">
        <v>7.4900000000000002</v>
      </c>
      <c r="M2195" s="37">
        <v>7.4900000000000002</v>
      </c>
      <c r="N2195" s="36">
        <v>7.4900000000000002</v>
      </c>
    </row>
    <row r="2196" ht="25.5">
      <c r="A2196" s="19" t="s">
        <v>10460</v>
      </c>
      <c r="B2196" s="19">
        <v>3322</v>
      </c>
      <c r="C2196" s="20" t="s">
        <v>12657</v>
      </c>
      <c r="D2196" s="19" t="s">
        <v>29</v>
      </c>
      <c r="E2196" s="19" t="s">
        <v>10466</v>
      </c>
      <c r="F2196" s="21">
        <f t="shared" si="550"/>
        <v>10.5</v>
      </c>
      <c r="G2196" s="21">
        <f t="shared" si="550"/>
        <v>10.5</v>
      </c>
      <c r="H2196" s="21">
        <f t="shared" si="550"/>
        <v>10.5</v>
      </c>
      <c r="I2196" s="24" t="str">
        <f t="shared" si="551"/>
        <v xml:space="preserve">COM VALOR</v>
      </c>
      <c r="L2196" s="36">
        <v>10.5</v>
      </c>
      <c r="M2196" s="37">
        <v>10.5</v>
      </c>
      <c r="N2196" s="36">
        <v>10.5</v>
      </c>
    </row>
    <row r="2197" ht="12.75">
      <c r="A2197" s="19" t="s">
        <v>10460</v>
      </c>
      <c r="B2197" s="19">
        <v>5076</v>
      </c>
      <c r="C2197" s="20" t="s">
        <v>12658</v>
      </c>
      <c r="D2197" s="19" t="s">
        <v>302</v>
      </c>
      <c r="E2197" s="19" t="s">
        <v>10459</v>
      </c>
      <c r="F2197" s="21">
        <f t="shared" si="550"/>
        <v>20.5</v>
      </c>
      <c r="G2197" s="21">
        <f t="shared" si="550"/>
        <v>20.5</v>
      </c>
      <c r="H2197" s="21">
        <f t="shared" si="550"/>
        <v>20.5</v>
      </c>
      <c r="I2197" s="24" t="str">
        <f t="shared" si="551"/>
        <v xml:space="preserve">COM VALOR</v>
      </c>
      <c r="L2197" s="36">
        <v>20.5</v>
      </c>
      <c r="M2197" s="37">
        <v>20.5</v>
      </c>
      <c r="N2197" s="36">
        <v>20.5</v>
      </c>
    </row>
    <row r="2198" ht="12.75">
      <c r="A2198" s="19" t="s">
        <v>10460</v>
      </c>
      <c r="B2198" s="19">
        <v>5077</v>
      </c>
      <c r="C2198" s="20" t="s">
        <v>12659</v>
      </c>
      <c r="D2198" s="19" t="s">
        <v>302</v>
      </c>
      <c r="E2198" s="19" t="s">
        <v>10459</v>
      </c>
      <c r="F2198" s="21">
        <f t="shared" si="550"/>
        <v>22.649999999999999</v>
      </c>
      <c r="G2198" s="21">
        <f t="shared" si="550"/>
        <v>22.649999999999999</v>
      </c>
      <c r="H2198" s="21">
        <f t="shared" si="550"/>
        <v>22.649999999999999</v>
      </c>
      <c r="I2198" s="24" t="str">
        <f t="shared" si="551"/>
        <v xml:space="preserve">COM VALOR</v>
      </c>
      <c r="L2198" s="36">
        <v>22.649999999999999</v>
      </c>
      <c r="M2198" s="37">
        <v>22.649999999999999</v>
      </c>
      <c r="N2198" s="36">
        <v>22.649999999999999</v>
      </c>
    </row>
    <row r="2199" ht="12.75">
      <c r="A2199" s="19" t="s">
        <v>10460</v>
      </c>
      <c r="B2199" s="19">
        <v>45242</v>
      </c>
      <c r="C2199" s="20" t="s">
        <v>12660</v>
      </c>
      <c r="D2199" s="19" t="s">
        <v>31</v>
      </c>
      <c r="E2199" s="19" t="s">
        <v>10459</v>
      </c>
      <c r="F2199" s="21">
        <f t="shared" si="550"/>
        <v>53.25</v>
      </c>
      <c r="G2199" s="21">
        <f t="shared" si="550"/>
        <v>53.25</v>
      </c>
      <c r="H2199" s="21">
        <f t="shared" si="550"/>
        <v>53.25</v>
      </c>
      <c r="I2199" s="24" t="str">
        <f t="shared" si="551"/>
        <v xml:space="preserve">COM VALOR</v>
      </c>
      <c r="L2199" s="36">
        <v>53.25</v>
      </c>
      <c r="M2199" s="37">
        <v>53.25</v>
      </c>
      <c r="N2199" s="36">
        <v>53.25</v>
      </c>
    </row>
    <row r="2200" ht="38.25">
      <c r="A2200" s="19" t="s">
        <v>10460</v>
      </c>
      <c r="B2200" s="19">
        <v>11837</v>
      </c>
      <c r="C2200" s="20" t="s">
        <v>12661</v>
      </c>
      <c r="D2200" s="19" t="s">
        <v>31</v>
      </c>
      <c r="E2200" s="19" t="s">
        <v>10459</v>
      </c>
      <c r="F2200" s="21">
        <f t="shared" si="550"/>
        <v>55.009999999999998</v>
      </c>
      <c r="G2200" s="21">
        <f t="shared" si="550"/>
        <v>55.009999999999998</v>
      </c>
      <c r="H2200" s="21">
        <f t="shared" si="550"/>
        <v>55.009999999999998</v>
      </c>
      <c r="I2200" s="24" t="str">
        <f t="shared" si="551"/>
        <v xml:space="preserve">COM VALOR</v>
      </c>
      <c r="L2200" s="36">
        <v>55.009999999999998</v>
      </c>
      <c r="M2200" s="37">
        <v>55.009999999999998</v>
      </c>
      <c r="N2200" s="36">
        <v>55.009999999999998</v>
      </c>
    </row>
    <row r="2201" ht="25.5">
      <c r="A2201" s="19" t="s">
        <v>10460</v>
      </c>
      <c r="B2201" s="19">
        <v>415</v>
      </c>
      <c r="C2201" s="20" t="s">
        <v>12662</v>
      </c>
      <c r="D2201" s="19" t="s">
        <v>31</v>
      </c>
      <c r="E2201" s="19" t="s">
        <v>10459</v>
      </c>
      <c r="F2201" s="21">
        <f t="shared" si="550"/>
        <v>22.559999999999999</v>
      </c>
      <c r="G2201" s="21">
        <f t="shared" si="550"/>
        <v>22.559999999999999</v>
      </c>
      <c r="H2201" s="21">
        <f t="shared" si="550"/>
        <v>22.559999999999999</v>
      </c>
      <c r="I2201" s="24" t="str">
        <f t="shared" si="551"/>
        <v xml:space="preserve">COM VALOR</v>
      </c>
      <c r="L2201" s="36">
        <v>22.559999999999999</v>
      </c>
      <c r="M2201" s="37">
        <v>22.559999999999999</v>
      </c>
      <c r="N2201" s="36">
        <v>22.559999999999999</v>
      </c>
    </row>
    <row r="2202" ht="25.5">
      <c r="A2202" s="19" t="s">
        <v>10460</v>
      </c>
      <c r="B2202" s="19">
        <v>38055</v>
      </c>
      <c r="C2202" s="20" t="s">
        <v>12663</v>
      </c>
      <c r="D2202" s="19" t="s">
        <v>31</v>
      </c>
      <c r="E2202" s="19" t="s">
        <v>10459</v>
      </c>
      <c r="F2202" s="21">
        <f t="shared" si="550"/>
        <v>4.9900000000000002</v>
      </c>
      <c r="G2202" s="21">
        <f t="shared" si="550"/>
        <v>4.9900000000000002</v>
      </c>
      <c r="H2202" s="21">
        <f t="shared" si="550"/>
        <v>4.9900000000000002</v>
      </c>
      <c r="I2202" s="24" t="str">
        <f t="shared" si="551"/>
        <v xml:space="preserve">COM VALOR</v>
      </c>
      <c r="L2202" s="36">
        <v>4.9900000000000002</v>
      </c>
      <c r="M2202" s="37">
        <v>4.9900000000000002</v>
      </c>
      <c r="N2202" s="36">
        <v>4.9900000000000002</v>
      </c>
    </row>
    <row r="2203" ht="25.5">
      <c r="A2203" s="19" t="s">
        <v>10460</v>
      </c>
      <c r="B2203" s="19">
        <v>416</v>
      </c>
      <c r="C2203" s="20" t="s">
        <v>12664</v>
      </c>
      <c r="D2203" s="19" t="s">
        <v>31</v>
      </c>
      <c r="E2203" s="19" t="s">
        <v>10459</v>
      </c>
      <c r="F2203" s="21">
        <f t="shared" si="550"/>
        <v>8.2599999999999998</v>
      </c>
      <c r="G2203" s="21">
        <f t="shared" si="550"/>
        <v>8.2599999999999998</v>
      </c>
      <c r="H2203" s="21">
        <f t="shared" si="550"/>
        <v>8.2599999999999998</v>
      </c>
      <c r="I2203" s="24" t="str">
        <f t="shared" si="551"/>
        <v xml:space="preserve">COM VALOR</v>
      </c>
      <c r="L2203" s="36">
        <v>8.2599999999999998</v>
      </c>
      <c r="M2203" s="37">
        <v>8.2599999999999998</v>
      </c>
      <c r="N2203" s="36">
        <v>8.2599999999999998</v>
      </c>
    </row>
    <row r="2204" ht="25.5">
      <c r="A2204" s="19" t="s">
        <v>10460</v>
      </c>
      <c r="B2204" s="19">
        <v>425</v>
      </c>
      <c r="C2204" s="20" t="s">
        <v>12665</v>
      </c>
      <c r="D2204" s="19" t="s">
        <v>31</v>
      </c>
      <c r="E2204" s="19" t="s">
        <v>10459</v>
      </c>
      <c r="F2204" s="21">
        <f t="shared" si="550"/>
        <v>5.1200000000000001</v>
      </c>
      <c r="G2204" s="21">
        <f t="shared" si="550"/>
        <v>5.1200000000000001</v>
      </c>
      <c r="H2204" s="21">
        <f t="shared" si="550"/>
        <v>5.1200000000000001</v>
      </c>
      <c r="I2204" s="24" t="str">
        <f t="shared" si="551"/>
        <v xml:space="preserve">COM VALOR</v>
      </c>
      <c r="L2204" s="36">
        <v>5.1200000000000001</v>
      </c>
      <c r="M2204" s="37">
        <v>5.1200000000000001</v>
      </c>
      <c r="N2204" s="36">
        <v>5.1200000000000001</v>
      </c>
    </row>
    <row r="2205" ht="25.5">
      <c r="A2205" s="19" t="s">
        <v>10460</v>
      </c>
      <c r="B2205" s="19">
        <v>426</v>
      </c>
      <c r="C2205" s="20" t="s">
        <v>12666</v>
      </c>
      <c r="D2205" s="19" t="s">
        <v>31</v>
      </c>
      <c r="E2205" s="19" t="s">
        <v>10459</v>
      </c>
      <c r="F2205" s="21">
        <f t="shared" si="550"/>
        <v>28.190000000000001</v>
      </c>
      <c r="G2205" s="21">
        <f t="shared" si="550"/>
        <v>28.190000000000001</v>
      </c>
      <c r="H2205" s="21">
        <f t="shared" si="550"/>
        <v>28.190000000000001</v>
      </c>
      <c r="I2205" s="24" t="str">
        <f t="shared" si="551"/>
        <v xml:space="preserve">COM VALOR</v>
      </c>
      <c r="L2205" s="36">
        <v>28.190000000000001</v>
      </c>
      <c r="M2205" s="37">
        <v>28.190000000000001</v>
      </c>
      <c r="N2205" s="36">
        <v>28.190000000000001</v>
      </c>
    </row>
    <row r="2206" ht="25.5">
      <c r="A2206" s="19" t="s">
        <v>10460</v>
      </c>
      <c r="B2206" s="19">
        <v>38056</v>
      </c>
      <c r="C2206" s="20" t="s">
        <v>12667</v>
      </c>
      <c r="D2206" s="19" t="s">
        <v>31</v>
      </c>
      <c r="E2206" s="19" t="s">
        <v>10459</v>
      </c>
      <c r="F2206" s="21">
        <f t="shared" si="550"/>
        <v>27.530000000000001</v>
      </c>
      <c r="G2206" s="21">
        <f t="shared" si="550"/>
        <v>27.530000000000001</v>
      </c>
      <c r="H2206" s="21">
        <f t="shared" si="550"/>
        <v>27.530000000000001</v>
      </c>
      <c r="I2206" s="24" t="str">
        <f t="shared" si="551"/>
        <v xml:space="preserve">COM VALOR</v>
      </c>
      <c r="L2206" s="36">
        <v>27.530000000000001</v>
      </c>
      <c r="M2206" s="37">
        <v>27.530000000000001</v>
      </c>
      <c r="N2206" s="36">
        <v>27.530000000000001</v>
      </c>
    </row>
    <row r="2207" ht="25.5">
      <c r="A2207" s="19" t="s">
        <v>10460</v>
      </c>
      <c r="B2207" s="19">
        <v>1564</v>
      </c>
      <c r="C2207" s="20" t="s">
        <v>12668</v>
      </c>
      <c r="D2207" s="19" t="s">
        <v>31</v>
      </c>
      <c r="E2207" s="19" t="s">
        <v>10459</v>
      </c>
      <c r="F2207" s="21">
        <f t="shared" si="550"/>
        <v>10.5</v>
      </c>
      <c r="G2207" s="21">
        <f t="shared" si="550"/>
        <v>10.5</v>
      </c>
      <c r="H2207" s="21">
        <f t="shared" si="550"/>
        <v>10.5</v>
      </c>
      <c r="I2207" s="24" t="str">
        <f t="shared" si="551"/>
        <v xml:space="preserve">COM VALOR</v>
      </c>
      <c r="L2207" s="36">
        <v>10.5</v>
      </c>
      <c r="M2207" s="37">
        <v>10.5</v>
      </c>
      <c r="N2207" s="36">
        <v>10.5</v>
      </c>
    </row>
    <row r="2208" ht="12.75">
      <c r="A2208" s="19" t="s">
        <v>10460</v>
      </c>
      <c r="B2208" s="19">
        <v>11032</v>
      </c>
      <c r="C2208" s="20" t="s">
        <v>12669</v>
      </c>
      <c r="D2208" s="19" t="s">
        <v>31</v>
      </c>
      <c r="E2208" s="19" t="s">
        <v>10459</v>
      </c>
      <c r="F2208" s="21">
        <f t="shared" si="550"/>
        <v>8.6500000000000004</v>
      </c>
      <c r="G2208" s="21">
        <f t="shared" si="550"/>
        <v>8.6500000000000004</v>
      </c>
      <c r="H2208" s="21">
        <f t="shared" si="550"/>
        <v>8.6500000000000004</v>
      </c>
      <c r="I2208" s="24" t="str">
        <f t="shared" si="551"/>
        <v xml:space="preserve">COM VALOR</v>
      </c>
      <c r="L2208" s="36">
        <v>8.6500000000000004</v>
      </c>
      <c r="M2208" s="37">
        <v>8.6500000000000004</v>
      </c>
      <c r="N2208" s="36">
        <v>8.6500000000000004</v>
      </c>
    </row>
    <row r="2209" ht="25.5">
      <c r="A2209" s="19" t="s">
        <v>10460</v>
      </c>
      <c r="B2209" s="19">
        <v>36786</v>
      </c>
      <c r="C2209" s="20" t="s">
        <v>12670</v>
      </c>
      <c r="D2209" s="19" t="s">
        <v>12671</v>
      </c>
      <c r="E2209" s="19" t="s">
        <v>10459</v>
      </c>
      <c r="F2209" s="21" t="str">
        <f t="shared" si="550"/>
        <v>VERIFICAR</v>
      </c>
      <c r="G2209" s="21" t="str">
        <f t="shared" si="550"/>
        <v>VERIFICAR</v>
      </c>
      <c r="H2209" s="21" t="str">
        <f t="shared" si="550"/>
        <v>VERIFICAR</v>
      </c>
      <c r="I2209" s="24" t="str">
        <f t="shared" si="551"/>
        <v xml:space="preserve">SEM VALOR</v>
      </c>
      <c r="L2209" s="36"/>
      <c r="M2209" s="37"/>
      <c r="N2209" s="36"/>
    </row>
    <row r="2210" ht="25.5">
      <c r="A2210" s="19" t="s">
        <v>10460</v>
      </c>
      <c r="B2210" s="19">
        <v>36785</v>
      </c>
      <c r="C2210" s="20" t="s">
        <v>12672</v>
      </c>
      <c r="D2210" s="19" t="s">
        <v>12671</v>
      </c>
      <c r="E2210" s="19" t="s">
        <v>10459</v>
      </c>
      <c r="F2210" s="21" t="str">
        <f t="shared" si="550"/>
        <v>VERIFICAR</v>
      </c>
      <c r="G2210" s="21" t="str">
        <f t="shared" si="550"/>
        <v>VERIFICAR</v>
      </c>
      <c r="H2210" s="21" t="str">
        <f t="shared" si="550"/>
        <v>VERIFICAR</v>
      </c>
      <c r="I2210" s="24" t="str">
        <f t="shared" si="551"/>
        <v xml:space="preserve">SEM VALOR</v>
      </c>
      <c r="L2210" s="36"/>
      <c r="M2210" s="37"/>
      <c r="N2210" s="36"/>
    </row>
    <row r="2211" ht="25.5">
      <c r="A2211" s="19" t="s">
        <v>10460</v>
      </c>
      <c r="B2211" s="19">
        <v>36782</v>
      </c>
      <c r="C2211" s="20" t="s">
        <v>12673</v>
      </c>
      <c r="D2211" s="19" t="s">
        <v>12671</v>
      </c>
      <c r="E2211" s="19" t="s">
        <v>10459</v>
      </c>
      <c r="F2211" s="21" t="str">
        <f t="shared" si="550"/>
        <v>VERIFICAR</v>
      </c>
      <c r="G2211" s="21" t="str">
        <f t="shared" si="550"/>
        <v>VERIFICAR</v>
      </c>
      <c r="H2211" s="21" t="str">
        <f t="shared" si="550"/>
        <v>VERIFICAR</v>
      </c>
      <c r="I2211" s="24" t="str">
        <f t="shared" si="551"/>
        <v xml:space="preserve">SEM VALOR</v>
      </c>
      <c r="L2211" s="36"/>
      <c r="M2211" s="37"/>
      <c r="N2211" s="36"/>
    </row>
    <row r="2212" ht="25.5">
      <c r="A2212" s="19" t="s">
        <v>10460</v>
      </c>
      <c r="B2212" s="19">
        <v>44481</v>
      </c>
      <c r="C2212" s="20" t="s">
        <v>12674</v>
      </c>
      <c r="D2212" s="19" t="s">
        <v>12671</v>
      </c>
      <c r="E2212" s="19" t="s">
        <v>10466</v>
      </c>
      <c r="F2212" s="21" t="str">
        <f t="shared" si="550"/>
        <v>VERIFICAR</v>
      </c>
      <c r="G2212" s="21" t="str">
        <f t="shared" si="550"/>
        <v>VERIFICAR</v>
      </c>
      <c r="H2212" s="21" t="str">
        <f t="shared" si="550"/>
        <v>VERIFICAR</v>
      </c>
      <c r="I2212" s="24" t="str">
        <f t="shared" si="551"/>
        <v xml:space="preserve">SEM VALOR</v>
      </c>
      <c r="L2212" s="36"/>
      <c r="M2212" s="37"/>
      <c r="N2212" s="36"/>
    </row>
    <row r="2213" ht="38.25">
      <c r="A2213" s="19" t="s">
        <v>10460</v>
      </c>
      <c r="B2213" s="19">
        <v>4824</v>
      </c>
      <c r="C2213" s="20" t="s">
        <v>12675</v>
      </c>
      <c r="D2213" s="19" t="s">
        <v>302</v>
      </c>
      <c r="E2213" s="19" t="s">
        <v>10459</v>
      </c>
      <c r="F2213" s="21">
        <f t="shared" si="550"/>
        <v>0.76000000000000001</v>
      </c>
      <c r="G2213" s="21">
        <f t="shared" si="550"/>
        <v>0.76000000000000001</v>
      </c>
      <c r="H2213" s="21">
        <f t="shared" si="550"/>
        <v>0.76000000000000001</v>
      </c>
      <c r="I2213" s="24" t="str">
        <f t="shared" si="551"/>
        <v xml:space="preserve">COM VALOR</v>
      </c>
      <c r="L2213" s="36">
        <v>0.76000000000000001</v>
      </c>
      <c r="M2213" s="37">
        <v>0.76000000000000001</v>
      </c>
      <c r="N2213" s="36">
        <v>0.76000000000000001</v>
      </c>
    </row>
    <row r="2214" ht="38.25">
      <c r="A2214" s="19" t="s">
        <v>10460</v>
      </c>
      <c r="B2214" s="19">
        <v>11795</v>
      </c>
      <c r="C2214" s="20" t="s">
        <v>12676</v>
      </c>
      <c r="D2214" s="19" t="s">
        <v>29</v>
      </c>
      <c r="E2214" s="19" t="s">
        <v>10459</v>
      </c>
      <c r="F2214" s="21">
        <f t="shared" si="550"/>
        <v>679.24000000000001</v>
      </c>
      <c r="G2214" s="21">
        <f t="shared" si="550"/>
        <v>679.24000000000001</v>
      </c>
      <c r="H2214" s="21">
        <f t="shared" si="550"/>
        <v>679.24000000000001</v>
      </c>
      <c r="I2214" s="24" t="str">
        <f t="shared" si="551"/>
        <v xml:space="preserve">COM VALOR</v>
      </c>
      <c r="L2214" s="36">
        <v>679.24000000000001</v>
      </c>
      <c r="M2214" s="37">
        <v>679.24000000000001</v>
      </c>
      <c r="N2214" s="36">
        <v>679.24000000000001</v>
      </c>
    </row>
    <row r="2215" ht="12.75">
      <c r="A2215" s="19" t="s">
        <v>10460</v>
      </c>
      <c r="B2215" s="19">
        <v>134</v>
      </c>
      <c r="C2215" s="20" t="s">
        <v>12677</v>
      </c>
      <c r="D2215" s="19" t="s">
        <v>302</v>
      </c>
      <c r="E2215" s="19" t="s">
        <v>10459</v>
      </c>
      <c r="F2215" s="21">
        <f t="shared" si="550"/>
        <v>1.6200000000000001</v>
      </c>
      <c r="G2215" s="21">
        <f t="shared" si="550"/>
        <v>1.6200000000000001</v>
      </c>
      <c r="H2215" s="21">
        <f t="shared" si="550"/>
        <v>1.6200000000000001</v>
      </c>
      <c r="I2215" s="24" t="str">
        <f t="shared" si="551"/>
        <v xml:space="preserve">COM VALOR</v>
      </c>
      <c r="L2215" s="36">
        <v>1.6200000000000001</v>
      </c>
      <c r="M2215" s="37">
        <v>1.6200000000000001</v>
      </c>
      <c r="N2215" s="36">
        <v>1.6200000000000001</v>
      </c>
    </row>
    <row r="2216" ht="38.25">
      <c r="A2216" s="19" t="s">
        <v>10460</v>
      </c>
      <c r="B2216" s="19">
        <v>4229</v>
      </c>
      <c r="C2216" s="20" t="s">
        <v>12678</v>
      </c>
      <c r="D2216" s="19" t="s">
        <v>302</v>
      </c>
      <c r="E2216" s="19" t="s">
        <v>10459</v>
      </c>
      <c r="F2216" s="21">
        <f t="shared" si="550"/>
        <v>50.57</v>
      </c>
      <c r="G2216" s="21">
        <f t="shared" si="550"/>
        <v>50.57</v>
      </c>
      <c r="H2216" s="21">
        <f t="shared" si="550"/>
        <v>50.57</v>
      </c>
      <c r="I2216" s="24" t="str">
        <f t="shared" si="551"/>
        <v xml:space="preserve">COM VALOR</v>
      </c>
      <c r="L2216" s="36">
        <v>50.57</v>
      </c>
      <c r="M2216" s="37">
        <v>50.57</v>
      </c>
      <c r="N2216" s="36">
        <v>50.57</v>
      </c>
    </row>
    <row r="2217" ht="25.5">
      <c r="A2217" s="19" t="s">
        <v>10460</v>
      </c>
      <c r="B2217" s="19">
        <v>11731</v>
      </c>
      <c r="C2217" s="20" t="s">
        <v>12679</v>
      </c>
      <c r="D2217" s="19" t="s">
        <v>31</v>
      </c>
      <c r="E2217" s="19" t="s">
        <v>10459</v>
      </c>
      <c r="F2217" s="21">
        <f t="shared" si="550"/>
        <v>11.300000000000001</v>
      </c>
      <c r="G2217" s="21">
        <f t="shared" si="550"/>
        <v>11.300000000000001</v>
      </c>
      <c r="H2217" s="21">
        <f t="shared" si="550"/>
        <v>11.300000000000001</v>
      </c>
      <c r="I2217" s="24" t="str">
        <f t="shared" si="551"/>
        <v xml:space="preserve">COM VALOR</v>
      </c>
      <c r="L2217" s="36">
        <v>11.300000000000001</v>
      </c>
      <c r="M2217" s="37">
        <v>11.300000000000001</v>
      </c>
      <c r="N2217" s="36">
        <v>11.300000000000001</v>
      </c>
    </row>
    <row r="2218" ht="25.5">
      <c r="A2218" s="19" t="s">
        <v>10460</v>
      </c>
      <c r="B2218" s="19">
        <v>11732</v>
      </c>
      <c r="C2218" s="20" t="s">
        <v>12680</v>
      </c>
      <c r="D2218" s="19" t="s">
        <v>31</v>
      </c>
      <c r="E2218" s="19" t="s">
        <v>10459</v>
      </c>
      <c r="F2218" s="21">
        <f t="shared" si="550"/>
        <v>29.629999999999999</v>
      </c>
      <c r="G2218" s="21">
        <f t="shared" si="550"/>
        <v>29.629999999999999</v>
      </c>
      <c r="H2218" s="21">
        <f t="shared" si="550"/>
        <v>29.629999999999999</v>
      </c>
      <c r="I2218" s="24" t="str">
        <f t="shared" si="551"/>
        <v xml:space="preserve">COM VALOR</v>
      </c>
      <c r="L2218" s="36">
        <v>29.629999999999999</v>
      </c>
      <c r="M2218" s="37">
        <v>29.629999999999999</v>
      </c>
      <c r="N2218" s="36">
        <v>29.629999999999999</v>
      </c>
    </row>
    <row r="2219" ht="25.5">
      <c r="A2219" s="19" t="s">
        <v>10460</v>
      </c>
      <c r="B2219" s="19">
        <v>11244</v>
      </c>
      <c r="C2219" s="20" t="s">
        <v>12681</v>
      </c>
      <c r="D2219" s="19" t="s">
        <v>31</v>
      </c>
      <c r="E2219" s="19" t="s">
        <v>10459</v>
      </c>
      <c r="F2219" s="21" t="str">
        <f t="shared" si="550"/>
        <v>VERIFICAR</v>
      </c>
      <c r="G2219" s="21" t="str">
        <f t="shared" si="550"/>
        <v>VERIFICAR</v>
      </c>
      <c r="H2219" s="21" t="str">
        <f t="shared" si="550"/>
        <v>VERIFICAR</v>
      </c>
      <c r="I2219" s="24" t="str">
        <f t="shared" si="551"/>
        <v xml:space="preserve">SEM VALOR</v>
      </c>
      <c r="L2219" s="36"/>
      <c r="M2219" s="37"/>
      <c r="N2219" s="36"/>
    </row>
    <row r="2220" ht="25.5">
      <c r="A2220" s="19" t="s">
        <v>10460</v>
      </c>
      <c r="B2220" s="19">
        <v>11235</v>
      </c>
      <c r="C2220" s="20" t="s">
        <v>12682</v>
      </c>
      <c r="D2220" s="19" t="s">
        <v>31</v>
      </c>
      <c r="E2220" s="19" t="s">
        <v>10459</v>
      </c>
      <c r="F2220" s="21" t="str">
        <f t="shared" si="550"/>
        <v>VERIFICAR</v>
      </c>
      <c r="G2220" s="21" t="str">
        <f t="shared" si="550"/>
        <v>VERIFICAR</v>
      </c>
      <c r="H2220" s="21" t="str">
        <f t="shared" si="550"/>
        <v>VERIFICAR</v>
      </c>
      <c r="I2220" s="24" t="str">
        <f t="shared" si="551"/>
        <v xml:space="preserve">SEM VALOR</v>
      </c>
      <c r="L2220" s="36"/>
      <c r="M2220" s="37"/>
      <c r="N2220" s="36"/>
    </row>
    <row r="2221" ht="25.5">
      <c r="A2221" s="19" t="s">
        <v>10460</v>
      </c>
      <c r="B2221" s="19">
        <v>11236</v>
      </c>
      <c r="C2221" s="20" t="s">
        <v>12683</v>
      </c>
      <c r="D2221" s="19" t="s">
        <v>31</v>
      </c>
      <c r="E2221" s="19" t="s">
        <v>10459</v>
      </c>
      <c r="F2221" s="21" t="str">
        <f t="shared" si="550"/>
        <v>VERIFICAR</v>
      </c>
      <c r="G2221" s="21" t="str">
        <f t="shared" si="550"/>
        <v>VERIFICAR</v>
      </c>
      <c r="H2221" s="21" t="str">
        <f t="shared" si="550"/>
        <v>VERIFICAR</v>
      </c>
      <c r="I2221" s="24" t="str">
        <f t="shared" si="551"/>
        <v xml:space="preserve">SEM VALOR</v>
      </c>
      <c r="L2221" s="36"/>
      <c r="M2221" s="37"/>
      <c r="N2221" s="36"/>
    </row>
    <row r="2222" ht="38.25">
      <c r="A2222" s="19" t="s">
        <v>10460</v>
      </c>
      <c r="B2222" s="19">
        <v>11245</v>
      </c>
      <c r="C2222" s="20" t="s">
        <v>12684</v>
      </c>
      <c r="D2222" s="19" t="s">
        <v>31</v>
      </c>
      <c r="E2222" s="19" t="s">
        <v>10459</v>
      </c>
      <c r="F2222" s="21" t="str">
        <f t="shared" si="550"/>
        <v>VERIFICAR</v>
      </c>
      <c r="G2222" s="21" t="str">
        <f t="shared" si="550"/>
        <v>VERIFICAR</v>
      </c>
      <c r="H2222" s="21" t="str">
        <f t="shared" si="550"/>
        <v>VERIFICAR</v>
      </c>
      <c r="I2222" s="24" t="str">
        <f t="shared" si="551"/>
        <v xml:space="preserve">SEM VALOR</v>
      </c>
      <c r="L2222" s="36"/>
      <c r="M2222" s="37"/>
      <c r="N2222" s="36"/>
    </row>
    <row r="2223" ht="25.5">
      <c r="A2223" s="19" t="s">
        <v>10638</v>
      </c>
      <c r="B2223" s="19">
        <v>36494</v>
      </c>
      <c r="C2223" s="20" t="s">
        <v>12685</v>
      </c>
      <c r="D2223" s="19" t="s">
        <v>31</v>
      </c>
      <c r="E2223" s="19" t="s">
        <v>10459</v>
      </c>
      <c r="F2223" s="21" t="str">
        <f t="shared" si="550"/>
        <v>VERIFICAR</v>
      </c>
      <c r="G2223" s="21" t="str">
        <f t="shared" si="550"/>
        <v>VERIFICAR</v>
      </c>
      <c r="H2223" s="21" t="str">
        <f t="shared" si="550"/>
        <v>VERIFICAR</v>
      </c>
      <c r="I2223" s="24" t="str">
        <f t="shared" si="551"/>
        <v xml:space="preserve">SEM VALOR</v>
      </c>
      <c r="L2223" s="36"/>
      <c r="M2223" s="37"/>
      <c r="N2223" s="36"/>
    </row>
    <row r="2224" ht="25.5">
      <c r="A2224" s="19" t="s">
        <v>10638</v>
      </c>
      <c r="B2224" s="19">
        <v>36493</v>
      </c>
      <c r="C2224" s="20" t="s">
        <v>12686</v>
      </c>
      <c r="D2224" s="19" t="s">
        <v>31</v>
      </c>
      <c r="E2224" s="19" t="s">
        <v>10459</v>
      </c>
      <c r="F2224" s="21" t="str">
        <f t="shared" si="550"/>
        <v>VERIFICAR</v>
      </c>
      <c r="G2224" s="21" t="str">
        <f t="shared" si="550"/>
        <v>VERIFICAR</v>
      </c>
      <c r="H2224" s="21" t="str">
        <f t="shared" si="550"/>
        <v>VERIFICAR</v>
      </c>
      <c r="I2224" s="24" t="str">
        <f t="shared" si="551"/>
        <v xml:space="preserve">SEM VALOR</v>
      </c>
      <c r="L2224" s="36"/>
      <c r="M2224" s="37"/>
      <c r="N2224" s="36"/>
    </row>
    <row r="2225" ht="51">
      <c r="A2225" s="19" t="s">
        <v>10638</v>
      </c>
      <c r="B2225" s="19">
        <v>13333</v>
      </c>
      <c r="C2225" s="20" t="s">
        <v>12687</v>
      </c>
      <c r="D2225" s="19" t="s">
        <v>31</v>
      </c>
      <c r="E2225" s="19" t="s">
        <v>10459</v>
      </c>
      <c r="F2225" s="21">
        <f t="shared" si="550"/>
        <v>254653.79000000001</v>
      </c>
      <c r="G2225" s="21">
        <f t="shared" si="550"/>
        <v>254653.79000000001</v>
      </c>
      <c r="H2225" s="21">
        <f t="shared" si="550"/>
        <v>254653.79000000001</v>
      </c>
      <c r="I2225" s="24" t="str">
        <f t="shared" si="551"/>
        <v xml:space="preserve">COM VALOR</v>
      </c>
      <c r="L2225" s="36">
        <v>254653.79000000001</v>
      </c>
      <c r="M2225" s="37">
        <v>254653.79000000001</v>
      </c>
      <c r="N2225" s="36">
        <v>254653.79000000001</v>
      </c>
    </row>
    <row r="2226" ht="38.25">
      <c r="A2226" s="19" t="s">
        <v>10638</v>
      </c>
      <c r="B2226" s="19">
        <v>39588</v>
      </c>
      <c r="C2226" s="20" t="s">
        <v>12688</v>
      </c>
      <c r="D2226" s="19" t="s">
        <v>31</v>
      </c>
      <c r="E2226" s="19" t="s">
        <v>10459</v>
      </c>
      <c r="F2226" s="21">
        <f t="shared" si="550"/>
        <v>271989.37</v>
      </c>
      <c r="G2226" s="21">
        <f t="shared" si="550"/>
        <v>271989.37</v>
      </c>
      <c r="H2226" s="21">
        <f t="shared" si="550"/>
        <v>271989.37</v>
      </c>
      <c r="I2226" s="24" t="str">
        <f t="shared" si="551"/>
        <v xml:space="preserve">COM VALOR</v>
      </c>
      <c r="L2226" s="36">
        <v>271989.37</v>
      </c>
      <c r="M2226" s="37">
        <v>271989.37</v>
      </c>
      <c r="N2226" s="36">
        <v>271989.37</v>
      </c>
    </row>
    <row r="2227" ht="38.25">
      <c r="A2227" s="19" t="s">
        <v>10638</v>
      </c>
      <c r="B2227" s="19">
        <v>14254</v>
      </c>
      <c r="C2227" s="20" t="s">
        <v>12689</v>
      </c>
      <c r="D2227" s="19" t="s">
        <v>31</v>
      </c>
      <c r="E2227" s="19" t="s">
        <v>10466</v>
      </c>
      <c r="F2227" s="21">
        <f t="shared" si="550"/>
        <v>133522.06</v>
      </c>
      <c r="G2227" s="21">
        <f t="shared" si="550"/>
        <v>133522.06</v>
      </c>
      <c r="H2227" s="21">
        <f t="shared" si="550"/>
        <v>133522.06</v>
      </c>
      <c r="I2227" s="24" t="str">
        <f t="shared" si="551"/>
        <v xml:space="preserve">COM VALOR</v>
      </c>
      <c r="L2227" s="36">
        <v>133522.06</v>
      </c>
      <c r="M2227" s="37">
        <v>133522.06</v>
      </c>
      <c r="N2227" s="36">
        <v>133522.06</v>
      </c>
    </row>
    <row r="2228" ht="25.5">
      <c r="A2228" s="19" t="s">
        <v>10638</v>
      </c>
      <c r="B2228" s="19">
        <v>25019</v>
      </c>
      <c r="C2228" s="20" t="s">
        <v>12690</v>
      </c>
      <c r="D2228" s="19" t="s">
        <v>31</v>
      </c>
      <c r="E2228" s="19" t="s">
        <v>10459</v>
      </c>
      <c r="F2228" s="21">
        <f t="shared" si="550"/>
        <v>191126.16</v>
      </c>
      <c r="G2228" s="21">
        <f t="shared" si="550"/>
        <v>191126.16</v>
      </c>
      <c r="H2228" s="21">
        <f t="shared" si="550"/>
        <v>191126.16</v>
      </c>
      <c r="I2228" s="24" t="str">
        <f t="shared" si="551"/>
        <v xml:space="preserve">COM VALOR</v>
      </c>
      <c r="L2228" s="36">
        <v>191126.16</v>
      </c>
      <c r="M2228" s="37">
        <v>191126.16</v>
      </c>
      <c r="N2228" s="36">
        <v>191126.16</v>
      </c>
    </row>
    <row r="2229" ht="25.5">
      <c r="A2229" s="19" t="s">
        <v>10638</v>
      </c>
      <c r="B2229" s="19">
        <v>36501</v>
      </c>
      <c r="C2229" s="20" t="s">
        <v>12691</v>
      </c>
      <c r="D2229" s="19" t="s">
        <v>31</v>
      </c>
      <c r="E2229" s="19" t="s">
        <v>10459</v>
      </c>
      <c r="F2229" s="21">
        <f t="shared" si="550"/>
        <v>170168.14999999999</v>
      </c>
      <c r="G2229" s="21">
        <f t="shared" si="550"/>
        <v>170168.14999999999</v>
      </c>
      <c r="H2229" s="21">
        <f t="shared" si="550"/>
        <v>170168.14999999999</v>
      </c>
      <c r="I2229" s="24" t="str">
        <f t="shared" si="551"/>
        <v xml:space="preserve">COM VALOR</v>
      </c>
      <c r="L2229" s="36">
        <v>170168.14999999999</v>
      </c>
      <c r="M2229" s="37">
        <v>170168.14999999999</v>
      </c>
      <c r="N2229" s="36">
        <v>170168.14999999999</v>
      </c>
    </row>
    <row r="2230" ht="25.5">
      <c r="A2230" s="19" t="s">
        <v>10638</v>
      </c>
      <c r="B2230" s="19">
        <v>36500</v>
      </c>
      <c r="C2230" s="20" t="s">
        <v>12692</v>
      </c>
      <c r="D2230" s="19" t="s">
        <v>31</v>
      </c>
      <c r="E2230" s="19" t="s">
        <v>10459</v>
      </c>
      <c r="F2230" s="21">
        <f t="shared" si="550"/>
        <v>120253.17999999999</v>
      </c>
      <c r="G2230" s="21">
        <f t="shared" si="550"/>
        <v>120253.17999999999</v>
      </c>
      <c r="H2230" s="21">
        <f t="shared" si="550"/>
        <v>120253.17999999999</v>
      </c>
      <c r="I2230" s="24" t="str">
        <f t="shared" si="551"/>
        <v xml:space="preserve">COM VALOR</v>
      </c>
      <c r="L2230" s="36">
        <v>120253.17999999999</v>
      </c>
      <c r="M2230" s="37">
        <v>120253.17999999999</v>
      </c>
      <c r="N2230" s="36">
        <v>120253.17999999999</v>
      </c>
    </row>
    <row r="2231" ht="51">
      <c r="A2231" s="19" t="s">
        <v>10460</v>
      </c>
      <c r="B2231" s="19">
        <v>20017</v>
      </c>
      <c r="C2231" s="20" t="s">
        <v>12693</v>
      </c>
      <c r="D2231" s="19" t="s">
        <v>38</v>
      </c>
      <c r="E2231" s="19" t="s">
        <v>10459</v>
      </c>
      <c r="F2231" s="21">
        <f t="shared" si="550"/>
        <v>8.1600000000000001</v>
      </c>
      <c r="G2231" s="21">
        <f t="shared" si="550"/>
        <v>8.1600000000000001</v>
      </c>
      <c r="H2231" s="21">
        <f t="shared" si="550"/>
        <v>8.1600000000000001</v>
      </c>
      <c r="I2231" s="24" t="str">
        <f t="shared" si="551"/>
        <v xml:space="preserve">COM VALOR</v>
      </c>
      <c r="L2231" s="36">
        <v>8.1600000000000001</v>
      </c>
      <c r="M2231" s="37">
        <v>8.1600000000000001</v>
      </c>
      <c r="N2231" s="36">
        <v>8.1600000000000001</v>
      </c>
    </row>
    <row r="2232" ht="38.25">
      <c r="A2232" s="19" t="s">
        <v>10460</v>
      </c>
      <c r="B2232" s="19">
        <v>20007</v>
      </c>
      <c r="C2232" s="20" t="s">
        <v>12694</v>
      </c>
      <c r="D2232" s="19" t="s">
        <v>38</v>
      </c>
      <c r="E2232" s="19" t="s">
        <v>10459</v>
      </c>
      <c r="F2232" s="21">
        <f t="shared" si="550"/>
        <v>4.8700000000000001</v>
      </c>
      <c r="G2232" s="21">
        <f t="shared" si="550"/>
        <v>4.8700000000000001</v>
      </c>
      <c r="H2232" s="21">
        <f t="shared" si="550"/>
        <v>4.8700000000000001</v>
      </c>
      <c r="I2232" s="24" t="str">
        <f t="shared" si="551"/>
        <v xml:space="preserve">COM VALOR</v>
      </c>
      <c r="L2232" s="36">
        <v>4.8700000000000001</v>
      </c>
      <c r="M2232" s="37">
        <v>4.8700000000000001</v>
      </c>
      <c r="N2232" s="36">
        <v>4.8700000000000001</v>
      </c>
    </row>
    <row r="2233" ht="25.5">
      <c r="A2233" s="19" t="s">
        <v>10460</v>
      </c>
      <c r="B2233" s="19">
        <v>39831</v>
      </c>
      <c r="C2233" s="20" t="s">
        <v>12695</v>
      </c>
      <c r="D2233" s="19" t="s">
        <v>10909</v>
      </c>
      <c r="E2233" s="19" t="s">
        <v>10459</v>
      </c>
      <c r="F2233" s="21">
        <f t="shared" si="550"/>
        <v>283.72000000000003</v>
      </c>
      <c r="G2233" s="21">
        <f t="shared" si="550"/>
        <v>283.72000000000003</v>
      </c>
      <c r="H2233" s="21">
        <f t="shared" si="550"/>
        <v>283.72000000000003</v>
      </c>
      <c r="I2233" s="24" t="str">
        <f t="shared" si="551"/>
        <v xml:space="preserve">COM VALOR</v>
      </c>
      <c r="L2233" s="36">
        <v>283.72000000000003</v>
      </c>
      <c r="M2233" s="37">
        <v>283.72000000000003</v>
      </c>
      <c r="N2233" s="36">
        <v>283.72000000000003</v>
      </c>
    </row>
    <row r="2234" ht="38.25">
      <c r="A2234" s="19" t="s">
        <v>10460</v>
      </c>
      <c r="B2234" s="19">
        <v>36888</v>
      </c>
      <c r="C2234" s="20" t="s">
        <v>12696</v>
      </c>
      <c r="D2234" s="19" t="s">
        <v>38</v>
      </c>
      <c r="E2234" s="19" t="s">
        <v>10459</v>
      </c>
      <c r="F2234" s="21">
        <f t="shared" si="550"/>
        <v>39.32</v>
      </c>
      <c r="G2234" s="21">
        <f t="shared" si="550"/>
        <v>39.32</v>
      </c>
      <c r="H2234" s="21">
        <f t="shared" si="550"/>
        <v>39.32</v>
      </c>
      <c r="I2234" s="24" t="str">
        <f t="shared" si="551"/>
        <v xml:space="preserve">COM VALOR</v>
      </c>
      <c r="L2234" s="36">
        <v>39.32</v>
      </c>
      <c r="M2234" s="37">
        <v>39.32</v>
      </c>
      <c r="N2234" s="36">
        <v>39.32</v>
      </c>
    </row>
    <row r="2235" ht="38.25">
      <c r="A2235" s="19" t="s">
        <v>10460</v>
      </c>
      <c r="B2235" s="19">
        <v>39836</v>
      </c>
      <c r="C2235" s="20" t="s">
        <v>12697</v>
      </c>
      <c r="D2235" s="19" t="s">
        <v>10909</v>
      </c>
      <c r="E2235" s="19" t="s">
        <v>10459</v>
      </c>
      <c r="F2235" s="21">
        <f t="shared" si="550"/>
        <v>249.30000000000001</v>
      </c>
      <c r="G2235" s="21">
        <f t="shared" si="550"/>
        <v>249.30000000000001</v>
      </c>
      <c r="H2235" s="21">
        <f t="shared" si="550"/>
        <v>249.30000000000001</v>
      </c>
      <c r="I2235" s="24" t="str">
        <f t="shared" si="551"/>
        <v xml:space="preserve">COM VALOR</v>
      </c>
      <c r="L2235" s="36">
        <v>249.30000000000001</v>
      </c>
      <c r="M2235" s="37">
        <v>249.30000000000001</v>
      </c>
      <c r="N2235" s="36">
        <v>249.30000000000001</v>
      </c>
    </row>
    <row r="2236" ht="25.5">
      <c r="A2236" s="19" t="s">
        <v>10460</v>
      </c>
      <c r="B2236" s="19">
        <v>39830</v>
      </c>
      <c r="C2236" s="20" t="s">
        <v>12698</v>
      </c>
      <c r="D2236" s="19" t="s">
        <v>10909</v>
      </c>
      <c r="E2236" s="19" t="s">
        <v>10459</v>
      </c>
      <c r="F2236" s="21">
        <f t="shared" si="550"/>
        <v>284.32999999999998</v>
      </c>
      <c r="G2236" s="21">
        <f t="shared" si="550"/>
        <v>284.32999999999998</v>
      </c>
      <c r="H2236" s="21">
        <f t="shared" si="550"/>
        <v>284.32999999999998</v>
      </c>
      <c r="I2236" s="24" t="str">
        <f t="shared" si="551"/>
        <v xml:space="preserve">COM VALOR</v>
      </c>
      <c r="L2236" s="36">
        <v>284.32999999999998</v>
      </c>
      <c r="M2236" s="37">
        <v>284.32999999999998</v>
      </c>
      <c r="N2236" s="36">
        <v>284.32999999999998</v>
      </c>
    </row>
    <row r="2237" ht="25.5">
      <c r="A2237" s="19" t="s">
        <v>10638</v>
      </c>
      <c r="B2237" s="19">
        <v>36487</v>
      </c>
      <c r="C2237" s="20" t="s">
        <v>12699</v>
      </c>
      <c r="D2237" s="19" t="s">
        <v>31</v>
      </c>
      <c r="E2237" s="19" t="s">
        <v>10459</v>
      </c>
      <c r="F2237" s="21">
        <f t="shared" si="550"/>
        <v>3949.7800000000002</v>
      </c>
      <c r="G2237" s="21">
        <f t="shared" si="550"/>
        <v>3949.7800000000002</v>
      </c>
      <c r="H2237" s="21">
        <f t="shared" si="550"/>
        <v>3949.7800000000002</v>
      </c>
      <c r="I2237" s="24" t="str">
        <f t="shared" si="551"/>
        <v xml:space="preserve">COM VALOR</v>
      </c>
      <c r="L2237" s="36">
        <v>3949.7800000000002</v>
      </c>
      <c r="M2237" s="37">
        <v>3949.7800000000002</v>
      </c>
      <c r="N2237" s="36">
        <v>3949.7800000000002</v>
      </c>
    </row>
    <row r="2238" ht="38.25">
      <c r="A2238" s="19" t="s">
        <v>10638</v>
      </c>
      <c r="B2238" s="19">
        <v>44475</v>
      </c>
      <c r="C2238" s="20" t="s">
        <v>12700</v>
      </c>
      <c r="D2238" s="19" t="s">
        <v>31</v>
      </c>
      <c r="E2238" s="19" t="s">
        <v>10459</v>
      </c>
      <c r="F2238" s="21" t="str">
        <f t="shared" si="550"/>
        <v>VERIFICAR</v>
      </c>
      <c r="G2238" s="21" t="str">
        <f t="shared" si="550"/>
        <v>VERIFICAR</v>
      </c>
      <c r="H2238" s="21" t="str">
        <f t="shared" si="550"/>
        <v>VERIFICAR</v>
      </c>
      <c r="I2238" s="24" t="str">
        <f t="shared" si="551"/>
        <v xml:space="preserve">SEM VALOR</v>
      </c>
      <c r="L2238" s="36"/>
      <c r="M2238" s="37"/>
      <c r="N2238" s="36"/>
    </row>
    <row r="2239" ht="38.25">
      <c r="A2239" s="19" t="s">
        <v>10638</v>
      </c>
      <c r="B2239" s="19">
        <v>44474</v>
      </c>
      <c r="C2239" s="20" t="s">
        <v>12701</v>
      </c>
      <c r="D2239" s="19" t="s">
        <v>31</v>
      </c>
      <c r="E2239" s="19" t="s">
        <v>10459</v>
      </c>
      <c r="F2239" s="21" t="str">
        <f t="shared" si="550"/>
        <v>VERIFICAR</v>
      </c>
      <c r="G2239" s="21" t="str">
        <f t="shared" si="550"/>
        <v>VERIFICAR</v>
      </c>
      <c r="H2239" s="21" t="str">
        <f t="shared" si="550"/>
        <v>VERIFICAR</v>
      </c>
      <c r="I2239" s="24" t="str">
        <f t="shared" si="551"/>
        <v xml:space="preserve">SEM VALOR</v>
      </c>
      <c r="L2239" s="36"/>
      <c r="M2239" s="37"/>
      <c r="N2239" s="36"/>
    </row>
    <row r="2240" ht="63.75">
      <c r="A2240" s="19" t="s">
        <v>10638</v>
      </c>
      <c r="B2240" s="19">
        <v>37775</v>
      </c>
      <c r="C2240" s="20" t="s">
        <v>12702</v>
      </c>
      <c r="D2240" s="19" t="s">
        <v>31</v>
      </c>
      <c r="E2240" s="19" t="s">
        <v>10459</v>
      </c>
      <c r="F2240" s="21" t="str">
        <f t="shared" si="550"/>
        <v>VERIFICAR</v>
      </c>
      <c r="G2240" s="21" t="str">
        <f t="shared" si="550"/>
        <v>VERIFICAR</v>
      </c>
      <c r="H2240" s="21" t="str">
        <f t="shared" si="550"/>
        <v>VERIFICAR</v>
      </c>
      <c r="I2240" s="24" t="str">
        <f t="shared" si="551"/>
        <v xml:space="preserve">SEM VALOR</v>
      </c>
      <c r="L2240" s="36"/>
      <c r="M2240" s="37"/>
      <c r="N2240" s="36"/>
    </row>
    <row r="2241" ht="63.75">
      <c r="A2241" s="19" t="s">
        <v>10638</v>
      </c>
      <c r="B2241" s="19">
        <v>10712</v>
      </c>
      <c r="C2241" s="20" t="s">
        <v>12703</v>
      </c>
      <c r="D2241" s="19" t="s">
        <v>31</v>
      </c>
      <c r="E2241" s="19" t="s">
        <v>10459</v>
      </c>
      <c r="F2241" s="21" t="str">
        <f t="shared" si="550"/>
        <v>VERIFICAR</v>
      </c>
      <c r="G2241" s="21" t="str">
        <f t="shared" si="550"/>
        <v>VERIFICAR</v>
      </c>
      <c r="H2241" s="21" t="str">
        <f t="shared" si="550"/>
        <v>VERIFICAR</v>
      </c>
      <c r="I2241" s="24" t="str">
        <f t="shared" si="551"/>
        <v xml:space="preserve">SEM VALOR</v>
      </c>
      <c r="L2241" s="36"/>
      <c r="M2241" s="37"/>
      <c r="N2241" s="36"/>
    </row>
    <row r="2242" ht="63.75">
      <c r="A2242" s="19" t="s">
        <v>10638</v>
      </c>
      <c r="B2242" s="19">
        <v>3363</v>
      </c>
      <c r="C2242" s="20" t="s">
        <v>12704</v>
      </c>
      <c r="D2242" s="19" t="s">
        <v>31</v>
      </c>
      <c r="E2242" s="19" t="s">
        <v>10466</v>
      </c>
      <c r="F2242" s="21" t="str">
        <f t="shared" si="550"/>
        <v>VERIFICAR</v>
      </c>
      <c r="G2242" s="21" t="str">
        <f t="shared" si="550"/>
        <v>VERIFICAR</v>
      </c>
      <c r="H2242" s="21" t="str">
        <f t="shared" si="550"/>
        <v>VERIFICAR</v>
      </c>
      <c r="I2242" s="24" t="str">
        <f t="shared" si="551"/>
        <v xml:space="preserve">SEM VALOR</v>
      </c>
      <c r="L2242" s="36"/>
      <c r="M2242" s="37"/>
      <c r="N2242" s="36"/>
    </row>
    <row r="2243" ht="63.75">
      <c r="A2243" s="19" t="s">
        <v>10638</v>
      </c>
      <c r="B2243" s="19">
        <v>3365</v>
      </c>
      <c r="C2243" s="20" t="s">
        <v>12705</v>
      </c>
      <c r="D2243" s="19" t="s">
        <v>31</v>
      </c>
      <c r="E2243" s="19" t="s">
        <v>10459</v>
      </c>
      <c r="F2243" s="21" t="str">
        <f t="shared" si="550"/>
        <v>VERIFICAR</v>
      </c>
      <c r="G2243" s="21" t="str">
        <f t="shared" si="550"/>
        <v>VERIFICAR</v>
      </c>
      <c r="H2243" s="21" t="str">
        <f t="shared" si="550"/>
        <v>VERIFICAR</v>
      </c>
      <c r="I2243" s="24" t="str">
        <f t="shared" si="551"/>
        <v xml:space="preserve">SEM VALOR</v>
      </c>
      <c r="L2243" s="36"/>
      <c r="M2243" s="37"/>
      <c r="N2243" s="36"/>
    </row>
    <row r="2244" ht="25.5">
      <c r="A2244" s="19" t="s">
        <v>10460</v>
      </c>
      <c r="B2244" s="19">
        <v>7569</v>
      </c>
      <c r="C2244" s="20" t="s">
        <v>12706</v>
      </c>
      <c r="D2244" s="19" t="s">
        <v>31</v>
      </c>
      <c r="E2244" s="19" t="s">
        <v>10459</v>
      </c>
      <c r="F2244" s="21">
        <f t="shared" si="550"/>
        <v>111.41</v>
      </c>
      <c r="G2244" s="21">
        <f t="shared" si="550"/>
        <v>111.41</v>
      </c>
      <c r="H2244" s="21">
        <f t="shared" si="550"/>
        <v>111.41</v>
      </c>
      <c r="I2244" s="24" t="str">
        <f t="shared" si="551"/>
        <v xml:space="preserve">COM VALOR</v>
      </c>
      <c r="L2244" s="36">
        <v>111.41</v>
      </c>
      <c r="M2244" s="37">
        <v>111.41</v>
      </c>
      <c r="N2244" s="36">
        <v>111.41</v>
      </c>
    </row>
    <row r="2245" ht="38.25">
      <c r="A2245" s="19" t="s">
        <v>10460</v>
      </c>
      <c r="B2245" s="19">
        <v>3378</v>
      </c>
      <c r="C2245" s="20" t="s">
        <v>12707</v>
      </c>
      <c r="D2245" s="19" t="s">
        <v>31</v>
      </c>
      <c r="E2245" s="19" t="s">
        <v>10459</v>
      </c>
      <c r="F2245" s="21">
        <f t="shared" si="550"/>
        <v>79.849999999999994</v>
      </c>
      <c r="G2245" s="21">
        <f t="shared" si="550"/>
        <v>79.849999999999994</v>
      </c>
      <c r="H2245" s="21">
        <f t="shared" si="550"/>
        <v>79.849999999999994</v>
      </c>
      <c r="I2245" s="24" t="str">
        <f t="shared" si="551"/>
        <v xml:space="preserve">COM VALOR</v>
      </c>
      <c r="L2245" s="36">
        <v>79.849999999999994</v>
      </c>
      <c r="M2245" s="37">
        <v>79.849999999999994</v>
      </c>
      <c r="N2245" s="36">
        <v>79.849999999999994</v>
      </c>
    </row>
    <row r="2246" ht="38.25">
      <c r="A2246" s="19" t="s">
        <v>10460</v>
      </c>
      <c r="B2246" s="19">
        <v>3380</v>
      </c>
      <c r="C2246" s="20" t="s">
        <v>12708</v>
      </c>
      <c r="D2246" s="19" t="s">
        <v>31</v>
      </c>
      <c r="E2246" s="19" t="s">
        <v>10466</v>
      </c>
      <c r="F2246" s="21">
        <f t="shared" si="550"/>
        <v>55.899999999999999</v>
      </c>
      <c r="G2246" s="21">
        <f t="shared" si="550"/>
        <v>55.899999999999999</v>
      </c>
      <c r="H2246" s="21">
        <f t="shared" si="550"/>
        <v>55.899999999999999</v>
      </c>
      <c r="I2246" s="24" t="str">
        <f t="shared" si="551"/>
        <v xml:space="preserve">COM VALOR</v>
      </c>
      <c r="L2246" s="36">
        <v>55.899999999999999</v>
      </c>
      <c r="M2246" s="37">
        <v>55.899999999999999</v>
      </c>
      <c r="N2246" s="36">
        <v>55.899999999999999</v>
      </c>
    </row>
    <row r="2247" ht="38.25">
      <c r="A2247" s="19" t="s">
        <v>10460</v>
      </c>
      <c r="B2247" s="19">
        <v>3379</v>
      </c>
      <c r="C2247" s="20" t="s">
        <v>12709</v>
      </c>
      <c r="D2247" s="19" t="s">
        <v>31</v>
      </c>
      <c r="E2247" s="19" t="s">
        <v>10459</v>
      </c>
      <c r="F2247" s="21">
        <f t="shared" si="550"/>
        <v>53.969999999999999</v>
      </c>
      <c r="G2247" s="21">
        <f t="shared" si="550"/>
        <v>53.969999999999999</v>
      </c>
      <c r="H2247" s="21">
        <f t="shared" si="550"/>
        <v>53.969999999999999</v>
      </c>
      <c r="I2247" s="24" t="str">
        <f t="shared" si="551"/>
        <v xml:space="preserve">COM VALOR</v>
      </c>
      <c r="L2247" s="36">
        <v>53.969999999999999</v>
      </c>
      <c r="M2247" s="37">
        <v>53.969999999999999</v>
      </c>
      <c r="N2247" s="36">
        <v>53.969999999999999</v>
      </c>
    </row>
    <row r="2248" ht="38.25">
      <c r="A2248" s="19" t="s">
        <v>10460</v>
      </c>
      <c r="B2248" s="19">
        <v>11991</v>
      </c>
      <c r="C2248" s="20" t="s">
        <v>12710</v>
      </c>
      <c r="D2248" s="19" t="s">
        <v>31</v>
      </c>
      <c r="E2248" s="19" t="s">
        <v>10459</v>
      </c>
      <c r="F2248" s="21">
        <f t="shared" si="550"/>
        <v>62.659999999999997</v>
      </c>
      <c r="G2248" s="21">
        <f t="shared" si="550"/>
        <v>62.659999999999997</v>
      </c>
      <c r="H2248" s="21">
        <f t="shared" si="550"/>
        <v>62.659999999999997</v>
      </c>
      <c r="I2248" s="24" t="str">
        <f t="shared" si="551"/>
        <v xml:space="preserve">COM VALOR</v>
      </c>
      <c r="L2248" s="36">
        <v>62.659999999999997</v>
      </c>
      <c r="M2248" s="37">
        <v>62.659999999999997</v>
      </c>
      <c r="N2248" s="36">
        <v>62.659999999999997</v>
      </c>
    </row>
    <row r="2249" ht="25.5">
      <c r="A2249" s="19" t="s">
        <v>10638</v>
      </c>
      <c r="B2249" s="19">
        <v>44305</v>
      </c>
      <c r="C2249" s="20" t="s">
        <v>12711</v>
      </c>
      <c r="D2249" s="19" t="s">
        <v>31</v>
      </c>
      <c r="E2249" s="19" t="s">
        <v>10459</v>
      </c>
      <c r="F2249" s="21">
        <f t="shared" si="550"/>
        <v>1810.2</v>
      </c>
      <c r="G2249" s="21">
        <f t="shared" si="550"/>
        <v>1810.2</v>
      </c>
      <c r="H2249" s="21">
        <f t="shared" si="550"/>
        <v>1810.2</v>
      </c>
      <c r="I2249" s="24" t="str">
        <f t="shared" si="551"/>
        <v xml:space="preserve">COM VALOR</v>
      </c>
      <c r="J2249" s="38"/>
      <c r="L2249" s="36">
        <v>1810.2</v>
      </c>
      <c r="M2249" s="37">
        <v>1810.2</v>
      </c>
      <c r="N2249" s="36">
        <v>1810.2</v>
      </c>
    </row>
    <row r="2250" ht="38.25">
      <c r="A2250" s="19" t="s">
        <v>10460</v>
      </c>
      <c r="B2250" s="19">
        <v>34349</v>
      </c>
      <c r="C2250" s="20" t="s">
        <v>12712</v>
      </c>
      <c r="D2250" s="19" t="s">
        <v>31</v>
      </c>
      <c r="E2250" s="19" t="s">
        <v>10459</v>
      </c>
      <c r="F2250" s="21">
        <f t="shared" si="550"/>
        <v>24.079999999999998</v>
      </c>
      <c r="G2250" s="21">
        <f t="shared" si="550"/>
        <v>24.079999999999998</v>
      </c>
      <c r="H2250" s="21">
        <f t="shared" si="550"/>
        <v>24.079999999999998</v>
      </c>
      <c r="I2250" s="24" t="str">
        <f t="shared" si="551"/>
        <v xml:space="preserve">COM VALOR</v>
      </c>
      <c r="J2250" s="38"/>
      <c r="L2250" s="36">
        <v>24.079999999999998</v>
      </c>
      <c r="M2250" s="37">
        <v>24.079999999999998</v>
      </c>
      <c r="N2250" s="36">
        <v>24.079999999999998</v>
      </c>
    </row>
    <row r="2251" ht="38.25">
      <c r="A2251" s="19" t="s">
        <v>10460</v>
      </c>
      <c r="B2251" s="19">
        <v>11029</v>
      </c>
      <c r="C2251" s="20" t="s">
        <v>12713</v>
      </c>
      <c r="D2251" s="19" t="s">
        <v>11798</v>
      </c>
      <c r="E2251" s="19" t="s">
        <v>10459</v>
      </c>
      <c r="F2251" s="21">
        <f t="shared" ref="F2251:H2314" si="552">IF(L2251=0,"VERIFICAR",L2251)</f>
        <v>1.3200000000000001</v>
      </c>
      <c r="G2251" s="21">
        <f t="shared" si="552"/>
        <v>1.3200000000000001</v>
      </c>
      <c r="H2251" s="21">
        <f t="shared" si="552"/>
        <v>1.3200000000000001</v>
      </c>
      <c r="I2251" s="24" t="str">
        <f t="shared" ref="I2251:I2314" si="553">IF(OR(L2251=0,M2251=0,N2251=0),"SEM VALOR","COM VALOR")</f>
        <v xml:space="preserve">COM VALOR</v>
      </c>
      <c r="L2251" s="36">
        <v>1.3200000000000001</v>
      </c>
      <c r="M2251" s="37">
        <v>1.3200000000000001</v>
      </c>
      <c r="N2251" s="36">
        <v>1.3200000000000001</v>
      </c>
    </row>
    <row r="2252" ht="38.25">
      <c r="A2252" s="19" t="s">
        <v>10460</v>
      </c>
      <c r="B2252" s="19">
        <v>4316</v>
      </c>
      <c r="C2252" s="20" t="s">
        <v>12714</v>
      </c>
      <c r="D2252" s="19" t="s">
        <v>31</v>
      </c>
      <c r="E2252" s="19" t="s">
        <v>10459</v>
      </c>
      <c r="F2252" s="21">
        <f t="shared" si="552"/>
        <v>1.3400000000000001</v>
      </c>
      <c r="G2252" s="21">
        <f t="shared" si="552"/>
        <v>1.3400000000000001</v>
      </c>
      <c r="H2252" s="21">
        <f t="shared" si="552"/>
        <v>1.3400000000000001</v>
      </c>
      <c r="I2252" s="24" t="str">
        <f t="shared" si="553"/>
        <v xml:space="preserve">COM VALOR</v>
      </c>
      <c r="L2252" s="36">
        <v>1.3400000000000001</v>
      </c>
      <c r="M2252" s="37">
        <v>1.3400000000000001</v>
      </c>
      <c r="N2252" s="36">
        <v>1.3400000000000001</v>
      </c>
    </row>
    <row r="2253" ht="38.25">
      <c r="A2253" s="19" t="s">
        <v>10460</v>
      </c>
      <c r="B2253" s="19">
        <v>4313</v>
      </c>
      <c r="C2253" s="20" t="s">
        <v>12715</v>
      </c>
      <c r="D2253" s="19" t="s">
        <v>11798</v>
      </c>
      <c r="E2253" s="19" t="s">
        <v>10459</v>
      </c>
      <c r="F2253" s="21">
        <f t="shared" si="552"/>
        <v>1.9199999999999999</v>
      </c>
      <c r="G2253" s="21">
        <f t="shared" si="552"/>
        <v>1.9199999999999999</v>
      </c>
      <c r="H2253" s="21">
        <f t="shared" si="552"/>
        <v>1.9199999999999999</v>
      </c>
      <c r="I2253" s="24" t="str">
        <f t="shared" si="553"/>
        <v xml:space="preserve">COM VALOR</v>
      </c>
      <c r="L2253" s="36">
        <v>1.9199999999999999</v>
      </c>
      <c r="M2253" s="37">
        <v>1.9199999999999999</v>
      </c>
      <c r="N2253" s="36">
        <v>1.9199999999999999</v>
      </c>
    </row>
    <row r="2254" ht="38.25">
      <c r="A2254" s="19" t="s">
        <v>10460</v>
      </c>
      <c r="B2254" s="19">
        <v>4317</v>
      </c>
      <c r="C2254" s="20" t="s">
        <v>12716</v>
      </c>
      <c r="D2254" s="19" t="s">
        <v>31</v>
      </c>
      <c r="E2254" s="19" t="s">
        <v>10459</v>
      </c>
      <c r="F2254" s="21">
        <f t="shared" si="552"/>
        <v>2.1899999999999999</v>
      </c>
      <c r="G2254" s="21">
        <f t="shared" si="552"/>
        <v>2.1899999999999999</v>
      </c>
      <c r="H2254" s="21">
        <f t="shared" si="552"/>
        <v>2.1899999999999999</v>
      </c>
      <c r="I2254" s="24" t="str">
        <f t="shared" si="553"/>
        <v xml:space="preserve">COM VALOR</v>
      </c>
      <c r="L2254" s="36">
        <v>2.1899999999999999</v>
      </c>
      <c r="M2254" s="37">
        <v>2.1899999999999999</v>
      </c>
      <c r="N2254" s="36">
        <v>2.1899999999999999</v>
      </c>
    </row>
    <row r="2255" ht="38.25">
      <c r="A2255" s="19" t="s">
        <v>10460</v>
      </c>
      <c r="B2255" s="19">
        <v>4314</v>
      </c>
      <c r="C2255" s="20" t="s">
        <v>12717</v>
      </c>
      <c r="D2255" s="19" t="s">
        <v>11798</v>
      </c>
      <c r="E2255" s="19" t="s">
        <v>10459</v>
      </c>
      <c r="F2255" s="21">
        <f t="shared" si="552"/>
        <v>2.5600000000000001</v>
      </c>
      <c r="G2255" s="21">
        <f t="shared" si="552"/>
        <v>2.5600000000000001</v>
      </c>
      <c r="H2255" s="21">
        <f t="shared" si="552"/>
        <v>2.5600000000000001</v>
      </c>
      <c r="I2255" s="24" t="str">
        <f t="shared" si="553"/>
        <v xml:space="preserve">COM VALOR</v>
      </c>
      <c r="L2255" s="36">
        <v>2.5600000000000001</v>
      </c>
      <c r="M2255" s="37">
        <v>2.5600000000000001</v>
      </c>
      <c r="N2255" s="36">
        <v>2.5600000000000001</v>
      </c>
    </row>
    <row r="2256" ht="38.25">
      <c r="A2256" s="19" t="s">
        <v>10460</v>
      </c>
      <c r="B2256" s="19">
        <v>10921</v>
      </c>
      <c r="C2256" s="20" t="s">
        <v>12718</v>
      </c>
      <c r="D2256" s="19" t="s">
        <v>31</v>
      </c>
      <c r="E2256" s="19" t="s">
        <v>10466</v>
      </c>
      <c r="F2256" s="21" t="str">
        <f t="shared" si="552"/>
        <v>VERIFICAR</v>
      </c>
      <c r="G2256" s="21" t="str">
        <f t="shared" si="552"/>
        <v>VERIFICAR</v>
      </c>
      <c r="H2256" s="21" t="str">
        <f t="shared" si="552"/>
        <v>VERIFICAR</v>
      </c>
      <c r="I2256" s="24" t="str">
        <f t="shared" si="553"/>
        <v xml:space="preserve">SEM VALOR</v>
      </c>
      <c r="L2256" s="36"/>
      <c r="M2256" s="37"/>
      <c r="N2256" s="36"/>
    </row>
    <row r="2257" ht="38.25">
      <c r="A2257" s="19" t="s">
        <v>10460</v>
      </c>
      <c r="B2257" s="19">
        <v>10922</v>
      </c>
      <c r="C2257" s="20" t="s">
        <v>12719</v>
      </c>
      <c r="D2257" s="19" t="s">
        <v>31</v>
      </c>
      <c r="E2257" s="19" t="s">
        <v>10459</v>
      </c>
      <c r="F2257" s="21" t="str">
        <f t="shared" si="552"/>
        <v>VERIFICAR</v>
      </c>
      <c r="G2257" s="21" t="str">
        <f t="shared" si="552"/>
        <v>VERIFICAR</v>
      </c>
      <c r="H2257" s="21" t="str">
        <f t="shared" si="552"/>
        <v>VERIFICAR</v>
      </c>
      <c r="I2257" s="24" t="str">
        <f t="shared" si="553"/>
        <v xml:space="preserve">SEM VALOR</v>
      </c>
      <c r="L2257" s="36"/>
      <c r="M2257" s="37"/>
      <c r="N2257" s="36"/>
    </row>
    <row r="2258" ht="25.5">
      <c r="A2258" s="19" t="s">
        <v>10460</v>
      </c>
      <c r="B2258" s="19">
        <v>10923</v>
      </c>
      <c r="C2258" s="20" t="s">
        <v>12720</v>
      </c>
      <c r="D2258" s="19" t="s">
        <v>31</v>
      </c>
      <c r="E2258" s="19" t="s">
        <v>10459</v>
      </c>
      <c r="F2258" s="21" t="str">
        <f t="shared" si="552"/>
        <v>VERIFICAR</v>
      </c>
      <c r="G2258" s="21" t="str">
        <f t="shared" si="552"/>
        <v>VERIFICAR</v>
      </c>
      <c r="H2258" s="21" t="str">
        <f t="shared" si="552"/>
        <v>VERIFICAR</v>
      </c>
      <c r="I2258" s="24" t="str">
        <f t="shared" si="553"/>
        <v xml:space="preserve">SEM VALOR</v>
      </c>
      <c r="L2258" s="36"/>
      <c r="M2258" s="37"/>
      <c r="N2258" s="36"/>
    </row>
    <row r="2259" ht="25.5">
      <c r="A2259" s="19" t="s">
        <v>10460</v>
      </c>
      <c r="B2259" s="19">
        <v>10924</v>
      </c>
      <c r="C2259" s="20" t="s">
        <v>12721</v>
      </c>
      <c r="D2259" s="19" t="s">
        <v>31</v>
      </c>
      <c r="E2259" s="19" t="s">
        <v>10459</v>
      </c>
      <c r="F2259" s="21" t="str">
        <f t="shared" si="552"/>
        <v>VERIFICAR</v>
      </c>
      <c r="G2259" s="21" t="str">
        <f t="shared" si="552"/>
        <v>VERIFICAR</v>
      </c>
      <c r="H2259" s="21" t="str">
        <f t="shared" si="552"/>
        <v>VERIFICAR</v>
      </c>
      <c r="I2259" s="24" t="str">
        <f t="shared" si="553"/>
        <v xml:space="preserve">SEM VALOR</v>
      </c>
      <c r="L2259" s="36"/>
      <c r="M2259" s="37"/>
      <c r="N2259" s="36"/>
    </row>
    <row r="2260" ht="38.25">
      <c r="A2260" s="19" t="s">
        <v>10460</v>
      </c>
      <c r="B2260" s="19">
        <v>12772</v>
      </c>
      <c r="C2260" s="20" t="s">
        <v>12722</v>
      </c>
      <c r="D2260" s="19" t="s">
        <v>31</v>
      </c>
      <c r="E2260" s="19" t="s">
        <v>10459</v>
      </c>
      <c r="F2260" s="21" t="str">
        <f t="shared" si="552"/>
        <v>VERIFICAR</v>
      </c>
      <c r="G2260" s="21" t="str">
        <f t="shared" si="552"/>
        <v>VERIFICAR</v>
      </c>
      <c r="H2260" s="21" t="str">
        <f t="shared" si="552"/>
        <v>VERIFICAR</v>
      </c>
      <c r="I2260" s="24" t="str">
        <f t="shared" si="553"/>
        <v xml:space="preserve">SEM VALOR</v>
      </c>
      <c r="L2260" s="36"/>
      <c r="M2260" s="37"/>
      <c r="N2260" s="36"/>
    </row>
    <row r="2261" ht="38.25">
      <c r="A2261" s="19" t="s">
        <v>10460</v>
      </c>
      <c r="B2261" s="19">
        <v>12770</v>
      </c>
      <c r="C2261" s="20" t="s">
        <v>12723</v>
      </c>
      <c r="D2261" s="19" t="s">
        <v>31</v>
      </c>
      <c r="E2261" s="19" t="s">
        <v>10459</v>
      </c>
      <c r="F2261" s="21" t="str">
        <f t="shared" si="552"/>
        <v>VERIFICAR</v>
      </c>
      <c r="G2261" s="21" t="str">
        <f t="shared" si="552"/>
        <v>VERIFICAR</v>
      </c>
      <c r="H2261" s="21" t="str">
        <f t="shared" si="552"/>
        <v>VERIFICAR</v>
      </c>
      <c r="I2261" s="24" t="str">
        <f t="shared" si="553"/>
        <v xml:space="preserve">SEM VALOR</v>
      </c>
      <c r="L2261" s="36"/>
      <c r="M2261" s="37"/>
      <c r="N2261" s="36"/>
    </row>
    <row r="2262" ht="38.25">
      <c r="A2262" s="19" t="s">
        <v>10460</v>
      </c>
      <c r="B2262" s="19">
        <v>12775</v>
      </c>
      <c r="C2262" s="20" t="s">
        <v>12724</v>
      </c>
      <c r="D2262" s="19" t="s">
        <v>31</v>
      </c>
      <c r="E2262" s="19" t="s">
        <v>10459</v>
      </c>
      <c r="F2262" s="21" t="str">
        <f t="shared" si="552"/>
        <v>VERIFICAR</v>
      </c>
      <c r="G2262" s="21" t="str">
        <f t="shared" si="552"/>
        <v>VERIFICAR</v>
      </c>
      <c r="H2262" s="21" t="str">
        <f t="shared" si="552"/>
        <v>VERIFICAR</v>
      </c>
      <c r="I2262" s="24" t="str">
        <f t="shared" si="553"/>
        <v xml:space="preserve">SEM VALOR</v>
      </c>
      <c r="L2262" s="36"/>
      <c r="M2262" s="37"/>
      <c r="N2262" s="36"/>
    </row>
    <row r="2263" ht="38.25">
      <c r="A2263" s="19" t="s">
        <v>10460</v>
      </c>
      <c r="B2263" s="19">
        <v>12768</v>
      </c>
      <c r="C2263" s="20" t="s">
        <v>12725</v>
      </c>
      <c r="D2263" s="19" t="s">
        <v>31</v>
      </c>
      <c r="E2263" s="19" t="s">
        <v>10459</v>
      </c>
      <c r="F2263" s="21" t="str">
        <f t="shared" si="552"/>
        <v>VERIFICAR</v>
      </c>
      <c r="G2263" s="21" t="str">
        <f t="shared" si="552"/>
        <v>VERIFICAR</v>
      </c>
      <c r="H2263" s="21" t="str">
        <f t="shared" si="552"/>
        <v>VERIFICAR</v>
      </c>
      <c r="I2263" s="24" t="str">
        <f t="shared" si="553"/>
        <v xml:space="preserve">SEM VALOR</v>
      </c>
      <c r="L2263" s="36"/>
      <c r="M2263" s="37"/>
      <c r="N2263" s="36"/>
    </row>
    <row r="2264" ht="38.25">
      <c r="A2264" s="19" t="s">
        <v>10460</v>
      </c>
      <c r="B2264" s="19">
        <v>12769</v>
      </c>
      <c r="C2264" s="20" t="s">
        <v>12726</v>
      </c>
      <c r="D2264" s="19" t="s">
        <v>31</v>
      </c>
      <c r="E2264" s="19" t="s">
        <v>10466</v>
      </c>
      <c r="F2264" s="21" t="str">
        <f t="shared" si="552"/>
        <v>VERIFICAR</v>
      </c>
      <c r="G2264" s="21" t="str">
        <f t="shared" si="552"/>
        <v>VERIFICAR</v>
      </c>
      <c r="H2264" s="21" t="str">
        <f t="shared" si="552"/>
        <v>VERIFICAR</v>
      </c>
      <c r="I2264" s="24" t="str">
        <f t="shared" si="553"/>
        <v xml:space="preserve">SEM VALOR</v>
      </c>
      <c r="L2264" s="36"/>
      <c r="M2264" s="37"/>
      <c r="N2264" s="36"/>
    </row>
    <row r="2265" ht="38.25">
      <c r="A2265" s="19" t="s">
        <v>10460</v>
      </c>
      <c r="B2265" s="19">
        <v>12773</v>
      </c>
      <c r="C2265" s="20" t="s">
        <v>12727</v>
      </c>
      <c r="D2265" s="19" t="s">
        <v>31</v>
      </c>
      <c r="E2265" s="19" t="s">
        <v>10459</v>
      </c>
      <c r="F2265" s="21" t="str">
        <f t="shared" si="552"/>
        <v>VERIFICAR</v>
      </c>
      <c r="G2265" s="21" t="str">
        <f t="shared" si="552"/>
        <v>VERIFICAR</v>
      </c>
      <c r="H2265" s="21" t="str">
        <f t="shared" si="552"/>
        <v>VERIFICAR</v>
      </c>
      <c r="I2265" s="24" t="str">
        <f t="shared" si="553"/>
        <v xml:space="preserve">SEM VALOR</v>
      </c>
      <c r="L2265" s="36"/>
      <c r="M2265" s="37"/>
      <c r="N2265" s="36"/>
    </row>
    <row r="2266" ht="38.25">
      <c r="A2266" s="19" t="s">
        <v>10460</v>
      </c>
      <c r="B2266" s="19">
        <v>12774</v>
      </c>
      <c r="C2266" s="20" t="s">
        <v>12728</v>
      </c>
      <c r="D2266" s="19" t="s">
        <v>31</v>
      </c>
      <c r="E2266" s="19" t="s">
        <v>10459</v>
      </c>
      <c r="F2266" s="21" t="str">
        <f t="shared" si="552"/>
        <v>VERIFICAR</v>
      </c>
      <c r="G2266" s="21" t="str">
        <f t="shared" si="552"/>
        <v>VERIFICAR</v>
      </c>
      <c r="H2266" s="21" t="str">
        <f t="shared" si="552"/>
        <v>VERIFICAR</v>
      </c>
      <c r="I2266" s="24" t="str">
        <f t="shared" si="553"/>
        <v xml:space="preserve">SEM VALOR</v>
      </c>
      <c r="L2266" s="36"/>
      <c r="M2266" s="37"/>
      <c r="N2266" s="36"/>
    </row>
    <row r="2267" ht="38.25">
      <c r="A2267" s="19" t="s">
        <v>10460</v>
      </c>
      <c r="B2267" s="19">
        <v>12776</v>
      </c>
      <c r="C2267" s="20" t="s">
        <v>12729</v>
      </c>
      <c r="D2267" s="19" t="s">
        <v>31</v>
      </c>
      <c r="E2267" s="19" t="s">
        <v>10459</v>
      </c>
      <c r="F2267" s="21" t="str">
        <f t="shared" si="552"/>
        <v>VERIFICAR</v>
      </c>
      <c r="G2267" s="21" t="str">
        <f t="shared" si="552"/>
        <v>VERIFICAR</v>
      </c>
      <c r="H2267" s="21" t="str">
        <f t="shared" si="552"/>
        <v>VERIFICAR</v>
      </c>
      <c r="I2267" s="24" t="str">
        <f t="shared" si="553"/>
        <v xml:space="preserve">SEM VALOR</v>
      </c>
      <c r="L2267" s="36"/>
      <c r="M2267" s="37"/>
      <c r="N2267" s="36"/>
    </row>
    <row r="2268" ht="38.25">
      <c r="A2268" s="19" t="s">
        <v>10460</v>
      </c>
      <c r="B2268" s="19">
        <v>12777</v>
      </c>
      <c r="C2268" s="20" t="s">
        <v>12730</v>
      </c>
      <c r="D2268" s="19" t="s">
        <v>31</v>
      </c>
      <c r="E2268" s="19" t="s">
        <v>10459</v>
      </c>
      <c r="F2268" s="21" t="str">
        <f t="shared" si="552"/>
        <v>VERIFICAR</v>
      </c>
      <c r="G2268" s="21" t="str">
        <f t="shared" si="552"/>
        <v>VERIFICAR</v>
      </c>
      <c r="H2268" s="21" t="str">
        <f t="shared" si="552"/>
        <v>VERIFICAR</v>
      </c>
      <c r="I2268" s="24" t="str">
        <f t="shared" si="553"/>
        <v xml:space="preserve">SEM VALOR</v>
      </c>
      <c r="L2268" s="36"/>
      <c r="M2268" s="37"/>
      <c r="N2268" s="36"/>
    </row>
    <row r="2269" ht="12.75">
      <c r="A2269" s="19" t="s">
        <v>10604</v>
      </c>
      <c r="B2269" s="19">
        <v>12873</v>
      </c>
      <c r="C2269" s="20" t="s">
        <v>12731</v>
      </c>
      <c r="D2269" s="19" t="s">
        <v>2032</v>
      </c>
      <c r="E2269" s="19" t="s">
        <v>10459</v>
      </c>
      <c r="F2269" s="21">
        <f t="shared" si="552"/>
        <v>21.07</v>
      </c>
      <c r="G2269" s="21">
        <f t="shared" si="552"/>
        <v>21.07</v>
      </c>
      <c r="H2269" s="21">
        <f t="shared" si="552"/>
        <v>21.07</v>
      </c>
      <c r="I2269" s="24" t="str">
        <f t="shared" si="553"/>
        <v xml:space="preserve">COM VALOR</v>
      </c>
      <c r="L2269" s="36">
        <v>21.07</v>
      </c>
      <c r="M2269" s="37">
        <v>21.07</v>
      </c>
      <c r="N2269" s="36">
        <v>21.07</v>
      </c>
    </row>
    <row r="2270" ht="12.75">
      <c r="A2270" s="19" t="s">
        <v>10604</v>
      </c>
      <c r="B2270" s="19">
        <v>41076</v>
      </c>
      <c r="C2270" s="20" t="s">
        <v>12732</v>
      </c>
      <c r="D2270" s="19" t="s">
        <v>7087</v>
      </c>
      <c r="E2270" s="19" t="s">
        <v>10459</v>
      </c>
      <c r="F2270" s="21">
        <f t="shared" si="552"/>
        <v>3688.8899999999999</v>
      </c>
      <c r="G2270" s="21">
        <f t="shared" si="552"/>
        <v>3688.8899999999999</v>
      </c>
      <c r="H2270" s="21">
        <f t="shared" si="552"/>
        <v>3688.8899999999999</v>
      </c>
      <c r="I2270" s="24" t="str">
        <f t="shared" si="553"/>
        <v xml:space="preserve">COM VALOR</v>
      </c>
      <c r="L2270" s="36">
        <v>3688.8899999999999</v>
      </c>
      <c r="M2270" s="37">
        <v>3688.8899999999999</v>
      </c>
      <c r="N2270" s="36">
        <v>3688.8899999999999</v>
      </c>
    </row>
    <row r="2271" ht="25.5">
      <c r="A2271" s="19" t="s">
        <v>10460</v>
      </c>
      <c r="B2271" s="19">
        <v>140</v>
      </c>
      <c r="C2271" s="20" t="s">
        <v>12733</v>
      </c>
      <c r="D2271" s="19" t="s">
        <v>302</v>
      </c>
      <c r="E2271" s="19" t="s">
        <v>10459</v>
      </c>
      <c r="F2271" s="21">
        <f t="shared" si="552"/>
        <v>18.09</v>
      </c>
      <c r="G2271" s="21">
        <f t="shared" si="552"/>
        <v>18.09</v>
      </c>
      <c r="H2271" s="21">
        <f t="shared" si="552"/>
        <v>18.09</v>
      </c>
      <c r="I2271" s="24" t="str">
        <f t="shared" si="553"/>
        <v xml:space="preserve">COM VALOR</v>
      </c>
      <c r="L2271" s="36">
        <v>18.09</v>
      </c>
      <c r="M2271" s="37">
        <v>18.09</v>
      </c>
      <c r="N2271" s="36">
        <v>18.09</v>
      </c>
    </row>
    <row r="2272" ht="38.25">
      <c r="A2272" s="19" t="s">
        <v>10460</v>
      </c>
      <c r="B2272" s="19">
        <v>151</v>
      </c>
      <c r="C2272" s="20" t="s">
        <v>12734</v>
      </c>
      <c r="D2272" s="19" t="s">
        <v>9794</v>
      </c>
      <c r="E2272" s="19" t="s">
        <v>10459</v>
      </c>
      <c r="F2272" s="21">
        <f t="shared" si="552"/>
        <v>26.690000000000001</v>
      </c>
      <c r="G2272" s="21">
        <f t="shared" si="552"/>
        <v>26.690000000000001</v>
      </c>
      <c r="H2272" s="21">
        <f t="shared" si="552"/>
        <v>26.690000000000001</v>
      </c>
      <c r="I2272" s="24" t="str">
        <f t="shared" si="553"/>
        <v xml:space="preserve">COM VALOR</v>
      </c>
      <c r="L2272" s="36">
        <v>26.690000000000001</v>
      </c>
      <c r="M2272" s="37">
        <v>26.690000000000001</v>
      </c>
      <c r="N2272" s="36">
        <v>26.690000000000001</v>
      </c>
    </row>
    <row r="2273" ht="12.75">
      <c r="A2273" s="19" t="s">
        <v>10460</v>
      </c>
      <c r="B2273" s="19">
        <v>7340</v>
      </c>
      <c r="C2273" s="20" t="s">
        <v>12735</v>
      </c>
      <c r="D2273" s="19" t="s">
        <v>9794</v>
      </c>
      <c r="E2273" s="19" t="s">
        <v>10459</v>
      </c>
      <c r="F2273" s="21" t="str">
        <f t="shared" si="552"/>
        <v>VERIFICAR</v>
      </c>
      <c r="G2273" s="21" t="str">
        <f t="shared" si="552"/>
        <v>VERIFICAR</v>
      </c>
      <c r="H2273" s="21" t="str">
        <f t="shared" si="552"/>
        <v>VERIFICAR</v>
      </c>
      <c r="I2273" s="24" t="str">
        <f t="shared" si="553"/>
        <v xml:space="preserve">SEM VALOR</v>
      </c>
      <c r="L2273" s="36"/>
      <c r="M2273" s="37"/>
      <c r="N2273" s="36"/>
    </row>
    <row r="2274" ht="25.5">
      <c r="A2274" s="19" t="s">
        <v>10604</v>
      </c>
      <c r="B2274" s="19">
        <v>40929</v>
      </c>
      <c r="C2274" s="20" t="s">
        <v>12736</v>
      </c>
      <c r="D2274" s="19" t="s">
        <v>7087</v>
      </c>
      <c r="E2274" s="19" t="s">
        <v>10459</v>
      </c>
      <c r="F2274" s="21">
        <f t="shared" si="552"/>
        <v>3948.4400000000001</v>
      </c>
      <c r="G2274" s="21">
        <f t="shared" si="552"/>
        <v>3948.4400000000001</v>
      </c>
      <c r="H2274" s="21">
        <f t="shared" si="552"/>
        <v>3948.4400000000001</v>
      </c>
      <c r="I2274" s="24" t="str">
        <f t="shared" si="553"/>
        <v xml:space="preserve">COM VALOR</v>
      </c>
      <c r="L2274" s="36">
        <v>3948.4400000000001</v>
      </c>
      <c r="M2274" s="37">
        <v>3948.4400000000001</v>
      </c>
      <c r="N2274" s="36">
        <v>3948.4400000000001</v>
      </c>
    </row>
    <row r="2275" ht="25.5">
      <c r="A2275" s="19" t="s">
        <v>10604</v>
      </c>
      <c r="B2275" s="19">
        <v>2701</v>
      </c>
      <c r="C2275" s="20" t="s">
        <v>12737</v>
      </c>
      <c r="D2275" s="19" t="s">
        <v>2032</v>
      </c>
      <c r="E2275" s="19" t="s">
        <v>10459</v>
      </c>
      <c r="F2275" s="21">
        <f t="shared" si="552"/>
        <v>22.559999999999999</v>
      </c>
      <c r="G2275" s="21">
        <f t="shared" si="552"/>
        <v>22.559999999999999</v>
      </c>
      <c r="H2275" s="21">
        <f t="shared" si="552"/>
        <v>22.559999999999999</v>
      </c>
      <c r="I2275" s="24" t="str">
        <f t="shared" si="553"/>
        <v xml:space="preserve">COM VALOR</v>
      </c>
      <c r="L2275" s="36">
        <v>22.559999999999999</v>
      </c>
      <c r="M2275" s="37">
        <v>22.559999999999999</v>
      </c>
      <c r="N2275" s="36">
        <v>22.559999999999999</v>
      </c>
    </row>
    <row r="2276" ht="25.5">
      <c r="A2276" s="19" t="s">
        <v>10460</v>
      </c>
      <c r="B2276" s="19">
        <v>38064</v>
      </c>
      <c r="C2276" s="20" t="s">
        <v>12738</v>
      </c>
      <c r="D2276" s="19" t="s">
        <v>31</v>
      </c>
      <c r="E2276" s="19" t="s">
        <v>10459</v>
      </c>
      <c r="F2276" s="21">
        <f t="shared" si="552"/>
        <v>17.260000000000002</v>
      </c>
      <c r="G2276" s="21">
        <f t="shared" si="552"/>
        <v>17.260000000000002</v>
      </c>
      <c r="H2276" s="21">
        <f t="shared" si="552"/>
        <v>17.260000000000002</v>
      </c>
      <c r="I2276" s="24" t="str">
        <f t="shared" si="553"/>
        <v xml:space="preserve">COM VALOR</v>
      </c>
      <c r="L2276" s="36">
        <v>17.260000000000002</v>
      </c>
      <c r="M2276" s="37">
        <v>17.260000000000002</v>
      </c>
      <c r="N2276" s="36">
        <v>17.260000000000002</v>
      </c>
    </row>
    <row r="2277" ht="25.5">
      <c r="A2277" s="19" t="s">
        <v>10460</v>
      </c>
      <c r="B2277" s="19">
        <v>38114</v>
      </c>
      <c r="C2277" s="20" t="s">
        <v>12739</v>
      </c>
      <c r="D2277" s="19" t="s">
        <v>31</v>
      </c>
      <c r="E2277" s="19" t="s">
        <v>10459</v>
      </c>
      <c r="F2277" s="21">
        <f t="shared" si="552"/>
        <v>15.44</v>
      </c>
      <c r="G2277" s="21">
        <f t="shared" si="552"/>
        <v>15.44</v>
      </c>
      <c r="H2277" s="21">
        <f t="shared" si="552"/>
        <v>15.44</v>
      </c>
      <c r="I2277" s="24" t="str">
        <f t="shared" si="553"/>
        <v xml:space="preserve">COM VALOR</v>
      </c>
      <c r="L2277" s="36">
        <v>15.44</v>
      </c>
      <c r="M2277" s="37">
        <v>15.44</v>
      </c>
      <c r="N2277" s="36">
        <v>15.44</v>
      </c>
    </row>
    <row r="2278" ht="12.75">
      <c r="A2278" s="19" t="s">
        <v>10460</v>
      </c>
      <c r="B2278" s="19">
        <v>38115</v>
      </c>
      <c r="C2278" s="20" t="s">
        <v>12740</v>
      </c>
      <c r="D2278" s="19" t="s">
        <v>31</v>
      </c>
      <c r="E2278" s="19" t="s">
        <v>10459</v>
      </c>
      <c r="F2278" s="21">
        <f t="shared" si="552"/>
        <v>16.489999999999998</v>
      </c>
      <c r="G2278" s="21">
        <f t="shared" si="552"/>
        <v>16.489999999999998</v>
      </c>
      <c r="H2278" s="21">
        <f t="shared" si="552"/>
        <v>16.489999999999998</v>
      </c>
      <c r="I2278" s="24" t="str">
        <f t="shared" si="553"/>
        <v xml:space="preserve">COM VALOR</v>
      </c>
      <c r="L2278" s="36">
        <v>16.489999999999998</v>
      </c>
      <c r="M2278" s="37">
        <v>16.489999999999998</v>
      </c>
      <c r="N2278" s="36">
        <v>16.489999999999998</v>
      </c>
    </row>
    <row r="2279" ht="25.5">
      <c r="A2279" s="19" t="s">
        <v>10460</v>
      </c>
      <c r="B2279" s="19">
        <v>38065</v>
      </c>
      <c r="C2279" s="20" t="s">
        <v>12741</v>
      </c>
      <c r="D2279" s="19" t="s">
        <v>31</v>
      </c>
      <c r="E2279" s="19" t="s">
        <v>10459</v>
      </c>
      <c r="F2279" s="21">
        <f t="shared" si="552"/>
        <v>24.489999999999998</v>
      </c>
      <c r="G2279" s="21">
        <f t="shared" si="552"/>
        <v>24.489999999999998</v>
      </c>
      <c r="H2279" s="21">
        <f t="shared" si="552"/>
        <v>24.489999999999998</v>
      </c>
      <c r="I2279" s="24" t="str">
        <f t="shared" si="553"/>
        <v xml:space="preserve">COM VALOR</v>
      </c>
      <c r="L2279" s="36">
        <v>24.489999999999998</v>
      </c>
      <c r="M2279" s="37">
        <v>24.489999999999998</v>
      </c>
      <c r="N2279" s="36">
        <v>24.489999999999998</v>
      </c>
    </row>
    <row r="2280" ht="38.25">
      <c r="A2280" s="19" t="s">
        <v>10460</v>
      </c>
      <c r="B2280" s="19">
        <v>38078</v>
      </c>
      <c r="C2280" s="20" t="s">
        <v>12742</v>
      </c>
      <c r="D2280" s="19" t="s">
        <v>31</v>
      </c>
      <c r="E2280" s="19" t="s">
        <v>10459</v>
      </c>
      <c r="F2280" s="21">
        <f t="shared" si="552"/>
        <v>14.289999999999999</v>
      </c>
      <c r="G2280" s="21">
        <f t="shared" si="552"/>
        <v>14.289999999999999</v>
      </c>
      <c r="H2280" s="21">
        <f t="shared" si="552"/>
        <v>14.289999999999999</v>
      </c>
      <c r="I2280" s="24" t="str">
        <f t="shared" si="553"/>
        <v xml:space="preserve">COM VALOR</v>
      </c>
      <c r="L2280" s="36">
        <v>14.289999999999999</v>
      </c>
      <c r="M2280" s="37">
        <v>14.289999999999999</v>
      </c>
      <c r="N2280" s="36">
        <v>14.289999999999999</v>
      </c>
    </row>
    <row r="2281" ht="12.75">
      <c r="A2281" s="19" t="s">
        <v>10460</v>
      </c>
      <c r="B2281" s="19">
        <v>38113</v>
      </c>
      <c r="C2281" s="20" t="s">
        <v>12743</v>
      </c>
      <c r="D2281" s="19" t="s">
        <v>31</v>
      </c>
      <c r="E2281" s="19" t="s">
        <v>10459</v>
      </c>
      <c r="F2281" s="21">
        <f t="shared" si="552"/>
        <v>7.7599999999999998</v>
      </c>
      <c r="G2281" s="21">
        <f t="shared" si="552"/>
        <v>7.7599999999999998</v>
      </c>
      <c r="H2281" s="21">
        <f t="shared" si="552"/>
        <v>7.7599999999999998</v>
      </c>
      <c r="I2281" s="24" t="str">
        <f t="shared" si="553"/>
        <v xml:space="preserve">COM VALOR</v>
      </c>
      <c r="L2281" s="36">
        <v>7.7599999999999998</v>
      </c>
      <c r="M2281" s="37">
        <v>7.7599999999999998</v>
      </c>
      <c r="N2281" s="36">
        <v>7.7599999999999998</v>
      </c>
    </row>
    <row r="2282" ht="25.5">
      <c r="A2282" s="19" t="s">
        <v>10460</v>
      </c>
      <c r="B2282" s="19">
        <v>38063</v>
      </c>
      <c r="C2282" s="20" t="s">
        <v>12744</v>
      </c>
      <c r="D2282" s="19" t="s">
        <v>31</v>
      </c>
      <c r="E2282" s="19" t="s">
        <v>10459</v>
      </c>
      <c r="F2282" s="21">
        <f t="shared" si="552"/>
        <v>8.3300000000000001</v>
      </c>
      <c r="G2282" s="21">
        <f t="shared" si="552"/>
        <v>8.3300000000000001</v>
      </c>
      <c r="H2282" s="21">
        <f t="shared" si="552"/>
        <v>8.3300000000000001</v>
      </c>
      <c r="I2282" s="24" t="str">
        <f t="shared" si="553"/>
        <v xml:space="preserve">COM VALOR</v>
      </c>
      <c r="L2282" s="36">
        <v>8.3300000000000001</v>
      </c>
      <c r="M2282" s="37">
        <v>8.3300000000000001</v>
      </c>
      <c r="N2282" s="36">
        <v>8.3300000000000001</v>
      </c>
    </row>
    <row r="2283" ht="38.25">
      <c r="A2283" s="19" t="s">
        <v>10460</v>
      </c>
      <c r="B2283" s="19">
        <v>38073</v>
      </c>
      <c r="C2283" s="20" t="s">
        <v>12745</v>
      </c>
      <c r="D2283" s="19" t="s">
        <v>31</v>
      </c>
      <c r="E2283" s="19" t="s">
        <v>10459</v>
      </c>
      <c r="F2283" s="21">
        <f t="shared" si="552"/>
        <v>20.210000000000001</v>
      </c>
      <c r="G2283" s="21">
        <f t="shared" si="552"/>
        <v>20.210000000000001</v>
      </c>
      <c r="H2283" s="21">
        <f t="shared" si="552"/>
        <v>20.210000000000001</v>
      </c>
      <c r="I2283" s="24" t="str">
        <f t="shared" si="553"/>
        <v xml:space="preserve">COM VALOR</v>
      </c>
      <c r="L2283" s="36">
        <v>20.210000000000001</v>
      </c>
      <c r="M2283" s="37">
        <v>20.210000000000001</v>
      </c>
      <c r="N2283" s="36">
        <v>20.210000000000001</v>
      </c>
    </row>
    <row r="2284" ht="38.25">
      <c r="A2284" s="19" t="s">
        <v>10460</v>
      </c>
      <c r="B2284" s="19">
        <v>38080</v>
      </c>
      <c r="C2284" s="20" t="s">
        <v>12746</v>
      </c>
      <c r="D2284" s="19" t="s">
        <v>31</v>
      </c>
      <c r="E2284" s="19" t="s">
        <v>10459</v>
      </c>
      <c r="F2284" s="21">
        <f t="shared" si="552"/>
        <v>24.82</v>
      </c>
      <c r="G2284" s="21">
        <f t="shared" si="552"/>
        <v>24.82</v>
      </c>
      <c r="H2284" s="21">
        <f t="shared" si="552"/>
        <v>24.82</v>
      </c>
      <c r="I2284" s="24" t="str">
        <f t="shared" si="553"/>
        <v xml:space="preserve">COM VALOR</v>
      </c>
      <c r="L2284" s="36">
        <v>24.82</v>
      </c>
      <c r="M2284" s="37">
        <v>24.82</v>
      </c>
      <c r="N2284" s="36">
        <v>24.82</v>
      </c>
    </row>
    <row r="2285" ht="38.25">
      <c r="A2285" s="19" t="s">
        <v>10460</v>
      </c>
      <c r="B2285" s="19">
        <v>38069</v>
      </c>
      <c r="C2285" s="20" t="s">
        <v>12747</v>
      </c>
      <c r="D2285" s="19" t="s">
        <v>31</v>
      </c>
      <c r="E2285" s="19" t="s">
        <v>10459</v>
      </c>
      <c r="F2285" s="21">
        <f t="shared" si="552"/>
        <v>13.57</v>
      </c>
      <c r="G2285" s="21">
        <f t="shared" si="552"/>
        <v>13.57</v>
      </c>
      <c r="H2285" s="21">
        <f t="shared" si="552"/>
        <v>13.57</v>
      </c>
      <c r="I2285" s="24" t="str">
        <f t="shared" si="553"/>
        <v xml:space="preserve">COM VALOR</v>
      </c>
      <c r="L2285" s="36">
        <v>13.57</v>
      </c>
      <c r="M2285" s="37">
        <v>13.57</v>
      </c>
      <c r="N2285" s="36">
        <v>13.57</v>
      </c>
    </row>
    <row r="2286" ht="38.25">
      <c r="A2286" s="19" t="s">
        <v>10460</v>
      </c>
      <c r="B2286" s="19">
        <v>38077</v>
      </c>
      <c r="C2286" s="20" t="s">
        <v>12748</v>
      </c>
      <c r="D2286" s="19" t="s">
        <v>31</v>
      </c>
      <c r="E2286" s="19" t="s">
        <v>10459</v>
      </c>
      <c r="F2286" s="21">
        <f t="shared" si="552"/>
        <v>13.26</v>
      </c>
      <c r="G2286" s="21">
        <f t="shared" si="552"/>
        <v>13.26</v>
      </c>
      <c r="H2286" s="21">
        <f t="shared" si="552"/>
        <v>13.26</v>
      </c>
      <c r="I2286" s="24" t="str">
        <f t="shared" si="553"/>
        <v xml:space="preserve">COM VALOR</v>
      </c>
      <c r="L2286" s="36">
        <v>13.26</v>
      </c>
      <c r="M2286" s="37">
        <v>13.26</v>
      </c>
      <c r="N2286" s="36">
        <v>13.26</v>
      </c>
    </row>
    <row r="2287" ht="12.75">
      <c r="A2287" s="19" t="s">
        <v>10460</v>
      </c>
      <c r="B2287" s="19">
        <v>38112</v>
      </c>
      <c r="C2287" s="20" t="s">
        <v>12749</v>
      </c>
      <c r="D2287" s="19" t="s">
        <v>31</v>
      </c>
      <c r="E2287" s="19" t="s">
        <v>10459</v>
      </c>
      <c r="F2287" s="21">
        <f t="shared" si="552"/>
        <v>5.96</v>
      </c>
      <c r="G2287" s="21">
        <f t="shared" si="552"/>
        <v>5.96</v>
      </c>
      <c r="H2287" s="21">
        <f t="shared" si="552"/>
        <v>5.96</v>
      </c>
      <c r="I2287" s="24" t="str">
        <f t="shared" si="553"/>
        <v xml:space="preserve">COM VALOR</v>
      </c>
      <c r="L2287" s="36">
        <v>5.96</v>
      </c>
      <c r="M2287" s="37">
        <v>5.96</v>
      </c>
      <c r="N2287" s="36">
        <v>5.96</v>
      </c>
    </row>
    <row r="2288" ht="25.5">
      <c r="A2288" s="19" t="s">
        <v>10460</v>
      </c>
      <c r="B2288" s="19">
        <v>38062</v>
      </c>
      <c r="C2288" s="20" t="s">
        <v>12750</v>
      </c>
      <c r="D2288" s="19" t="s">
        <v>31</v>
      </c>
      <c r="E2288" s="19" t="s">
        <v>10459</v>
      </c>
      <c r="F2288" s="21">
        <f t="shared" si="552"/>
        <v>6.1200000000000001</v>
      </c>
      <c r="G2288" s="21">
        <f t="shared" si="552"/>
        <v>6.1200000000000001</v>
      </c>
      <c r="H2288" s="21">
        <f t="shared" si="552"/>
        <v>6.1200000000000001</v>
      </c>
      <c r="I2288" s="24" t="str">
        <f t="shared" si="553"/>
        <v xml:space="preserve">COM VALOR</v>
      </c>
      <c r="L2288" s="36">
        <v>6.1200000000000001</v>
      </c>
      <c r="M2288" s="37">
        <v>6.1200000000000001</v>
      </c>
      <c r="N2288" s="36">
        <v>6.1200000000000001</v>
      </c>
    </row>
    <row r="2289" ht="25.5">
      <c r="A2289" s="19" t="s">
        <v>10460</v>
      </c>
      <c r="B2289" s="19">
        <v>12129</v>
      </c>
      <c r="C2289" s="20" t="s">
        <v>12751</v>
      </c>
      <c r="D2289" s="19" t="s">
        <v>31</v>
      </c>
      <c r="E2289" s="19" t="s">
        <v>10459</v>
      </c>
      <c r="F2289" s="21">
        <f t="shared" si="552"/>
        <v>10.81</v>
      </c>
      <c r="G2289" s="21">
        <f t="shared" si="552"/>
        <v>10.81</v>
      </c>
      <c r="H2289" s="21">
        <f t="shared" si="552"/>
        <v>10.81</v>
      </c>
      <c r="I2289" s="24" t="str">
        <f t="shared" si="553"/>
        <v xml:space="preserve">COM VALOR</v>
      </c>
      <c r="L2289" s="36">
        <v>10.81</v>
      </c>
      <c r="M2289" s="37">
        <v>10.81</v>
      </c>
      <c r="N2289" s="36">
        <v>10.81</v>
      </c>
    </row>
    <row r="2290" ht="25.5">
      <c r="A2290" s="19" t="s">
        <v>10460</v>
      </c>
      <c r="B2290" s="19">
        <v>12128</v>
      </c>
      <c r="C2290" s="20" t="s">
        <v>12752</v>
      </c>
      <c r="D2290" s="19" t="s">
        <v>31</v>
      </c>
      <c r="E2290" s="19" t="s">
        <v>10459</v>
      </c>
      <c r="F2290" s="21">
        <f t="shared" si="552"/>
        <v>8.1799999999999997</v>
      </c>
      <c r="G2290" s="21">
        <f t="shared" si="552"/>
        <v>8.1799999999999997</v>
      </c>
      <c r="H2290" s="21">
        <f t="shared" si="552"/>
        <v>8.1799999999999997</v>
      </c>
      <c r="I2290" s="24" t="str">
        <f t="shared" si="553"/>
        <v xml:space="preserve">COM VALOR</v>
      </c>
      <c r="L2290" s="36">
        <v>8.1799999999999997</v>
      </c>
      <c r="M2290" s="37">
        <v>8.1799999999999997</v>
      </c>
      <c r="N2290" s="36">
        <v>8.1799999999999997</v>
      </c>
    </row>
    <row r="2291" ht="38.25">
      <c r="A2291" s="19" t="s">
        <v>10460</v>
      </c>
      <c r="B2291" s="19">
        <v>38081</v>
      </c>
      <c r="C2291" s="20" t="s">
        <v>12753</v>
      </c>
      <c r="D2291" s="19" t="s">
        <v>31</v>
      </c>
      <c r="E2291" s="19" t="s">
        <v>10459</v>
      </c>
      <c r="F2291" s="21">
        <f t="shared" si="552"/>
        <v>21.050000000000001</v>
      </c>
      <c r="G2291" s="21">
        <f t="shared" si="552"/>
        <v>21.050000000000001</v>
      </c>
      <c r="H2291" s="21">
        <f t="shared" si="552"/>
        <v>21.050000000000001</v>
      </c>
      <c r="I2291" s="24" t="str">
        <f t="shared" si="553"/>
        <v xml:space="preserve">COM VALOR</v>
      </c>
      <c r="L2291" s="36">
        <v>21.050000000000001</v>
      </c>
      <c r="M2291" s="37">
        <v>21.050000000000001</v>
      </c>
      <c r="N2291" s="36">
        <v>21.050000000000001</v>
      </c>
    </row>
    <row r="2292" ht="38.25">
      <c r="A2292" s="19" t="s">
        <v>10460</v>
      </c>
      <c r="B2292" s="19">
        <v>38070</v>
      </c>
      <c r="C2292" s="20" t="s">
        <v>12754</v>
      </c>
      <c r="D2292" s="19" t="s">
        <v>31</v>
      </c>
      <c r="E2292" s="19" t="s">
        <v>10459</v>
      </c>
      <c r="F2292" s="21">
        <f t="shared" si="552"/>
        <v>14.5</v>
      </c>
      <c r="G2292" s="21">
        <f t="shared" si="552"/>
        <v>14.5</v>
      </c>
      <c r="H2292" s="21">
        <f t="shared" si="552"/>
        <v>14.5</v>
      </c>
      <c r="I2292" s="24" t="str">
        <f t="shared" si="553"/>
        <v xml:space="preserve">COM VALOR</v>
      </c>
      <c r="L2292" s="36">
        <v>14.5</v>
      </c>
      <c r="M2292" s="37">
        <v>14.5</v>
      </c>
      <c r="N2292" s="36">
        <v>14.5</v>
      </c>
    </row>
    <row r="2293" ht="38.25">
      <c r="A2293" s="19" t="s">
        <v>10460</v>
      </c>
      <c r="B2293" s="19">
        <v>38074</v>
      </c>
      <c r="C2293" s="20" t="s">
        <v>12755</v>
      </c>
      <c r="D2293" s="19" t="s">
        <v>31</v>
      </c>
      <c r="E2293" s="19" t="s">
        <v>10459</v>
      </c>
      <c r="F2293" s="21">
        <f t="shared" si="552"/>
        <v>22.059999999999999</v>
      </c>
      <c r="G2293" s="21">
        <f t="shared" si="552"/>
        <v>22.059999999999999</v>
      </c>
      <c r="H2293" s="21">
        <f t="shared" si="552"/>
        <v>22.059999999999999</v>
      </c>
      <c r="I2293" s="24" t="str">
        <f t="shared" si="553"/>
        <v xml:space="preserve">COM VALOR</v>
      </c>
      <c r="L2293" s="36">
        <v>22.059999999999999</v>
      </c>
      <c r="M2293" s="37">
        <v>22.059999999999999</v>
      </c>
      <c r="N2293" s="36">
        <v>22.059999999999999</v>
      </c>
    </row>
    <row r="2294" ht="38.25">
      <c r="A2294" s="19" t="s">
        <v>10460</v>
      </c>
      <c r="B2294" s="19">
        <v>38072</v>
      </c>
      <c r="C2294" s="20" t="s">
        <v>12756</v>
      </c>
      <c r="D2294" s="19" t="s">
        <v>31</v>
      </c>
      <c r="E2294" s="19" t="s">
        <v>10459</v>
      </c>
      <c r="F2294" s="21">
        <f t="shared" si="552"/>
        <v>18.190000000000001</v>
      </c>
      <c r="G2294" s="21">
        <f t="shared" si="552"/>
        <v>18.190000000000001</v>
      </c>
      <c r="H2294" s="21">
        <f t="shared" si="552"/>
        <v>18.190000000000001</v>
      </c>
      <c r="I2294" s="24" t="str">
        <f t="shared" si="553"/>
        <v xml:space="preserve">COM VALOR</v>
      </c>
      <c r="L2294" s="36">
        <v>18.190000000000001</v>
      </c>
      <c r="M2294" s="37">
        <v>18.190000000000001</v>
      </c>
      <c r="N2294" s="36">
        <v>18.190000000000001</v>
      </c>
    </row>
    <row r="2295" ht="38.25">
      <c r="A2295" s="19" t="s">
        <v>10460</v>
      </c>
      <c r="B2295" s="19">
        <v>38079</v>
      </c>
      <c r="C2295" s="20" t="s">
        <v>12757</v>
      </c>
      <c r="D2295" s="19" t="s">
        <v>31</v>
      </c>
      <c r="E2295" s="19" t="s">
        <v>10459</v>
      </c>
      <c r="F2295" s="21">
        <f t="shared" si="552"/>
        <v>18.93</v>
      </c>
      <c r="G2295" s="21">
        <f t="shared" si="552"/>
        <v>18.93</v>
      </c>
      <c r="H2295" s="21">
        <f t="shared" si="552"/>
        <v>18.93</v>
      </c>
      <c r="I2295" s="24" t="str">
        <f t="shared" si="553"/>
        <v xml:space="preserve">COM VALOR</v>
      </c>
      <c r="L2295" s="36">
        <v>18.93</v>
      </c>
      <c r="M2295" s="37">
        <v>18.93</v>
      </c>
      <c r="N2295" s="36">
        <v>18.93</v>
      </c>
    </row>
    <row r="2296" ht="38.25">
      <c r="A2296" s="19" t="s">
        <v>10460</v>
      </c>
      <c r="B2296" s="19">
        <v>38068</v>
      </c>
      <c r="C2296" s="20" t="s">
        <v>12758</v>
      </c>
      <c r="D2296" s="19" t="s">
        <v>31</v>
      </c>
      <c r="E2296" s="19" t="s">
        <v>10459</v>
      </c>
      <c r="F2296" s="21">
        <f t="shared" si="552"/>
        <v>12.56</v>
      </c>
      <c r="G2296" s="21">
        <f t="shared" si="552"/>
        <v>12.56</v>
      </c>
      <c r="H2296" s="21">
        <f t="shared" si="552"/>
        <v>12.56</v>
      </c>
      <c r="I2296" s="24" t="str">
        <f t="shared" si="553"/>
        <v xml:space="preserve">COM VALOR</v>
      </c>
      <c r="L2296" s="36">
        <v>12.56</v>
      </c>
      <c r="M2296" s="37">
        <v>12.56</v>
      </c>
      <c r="N2296" s="36">
        <v>12.56</v>
      </c>
    </row>
    <row r="2297" ht="38.25">
      <c r="A2297" s="19" t="s">
        <v>10460</v>
      </c>
      <c r="B2297" s="19">
        <v>38071</v>
      </c>
      <c r="C2297" s="20" t="s">
        <v>12759</v>
      </c>
      <c r="D2297" s="19" t="s">
        <v>31</v>
      </c>
      <c r="E2297" s="19" t="s">
        <v>10459</v>
      </c>
      <c r="F2297" s="21">
        <f t="shared" si="552"/>
        <v>15.01</v>
      </c>
      <c r="G2297" s="21">
        <f t="shared" si="552"/>
        <v>15.01</v>
      </c>
      <c r="H2297" s="21">
        <f t="shared" si="552"/>
        <v>15.01</v>
      </c>
      <c r="I2297" s="24" t="str">
        <f t="shared" si="553"/>
        <v xml:space="preserve">COM VALOR</v>
      </c>
      <c r="L2297" s="36">
        <v>15.01</v>
      </c>
      <c r="M2297" s="37">
        <v>15.01</v>
      </c>
      <c r="N2297" s="36">
        <v>15.01</v>
      </c>
    </row>
    <row r="2298" ht="38.25">
      <c r="A2298" s="19" t="s">
        <v>10638</v>
      </c>
      <c r="B2298" s="19">
        <v>45279</v>
      </c>
      <c r="C2298" s="20" t="s">
        <v>12760</v>
      </c>
      <c r="D2298" s="19" t="s">
        <v>31</v>
      </c>
      <c r="E2298" s="19" t="s">
        <v>10466</v>
      </c>
      <c r="F2298" s="21">
        <f t="shared" si="552"/>
        <v>1276.48</v>
      </c>
      <c r="G2298" s="21">
        <f t="shared" si="552"/>
        <v>1276.48</v>
      </c>
      <c r="H2298" s="21">
        <f t="shared" si="552"/>
        <v>1276.48</v>
      </c>
      <c r="I2298" s="24" t="str">
        <f t="shared" si="553"/>
        <v xml:space="preserve">COM VALOR</v>
      </c>
      <c r="L2298" s="36">
        <v>1276.48</v>
      </c>
      <c r="M2298" s="37">
        <v>1276.48</v>
      </c>
      <c r="N2298" s="36">
        <v>1276.48</v>
      </c>
    </row>
    <row r="2299" ht="25.5">
      <c r="A2299" s="19" t="s">
        <v>10460</v>
      </c>
      <c r="B2299" s="19">
        <v>3405</v>
      </c>
      <c r="C2299" s="20" t="s">
        <v>12761</v>
      </c>
      <c r="D2299" s="19" t="s">
        <v>31</v>
      </c>
      <c r="E2299" s="19" t="s">
        <v>10459</v>
      </c>
      <c r="F2299" s="21">
        <f t="shared" si="552"/>
        <v>78.010000000000005</v>
      </c>
      <c r="G2299" s="21">
        <f t="shared" si="552"/>
        <v>78.010000000000005</v>
      </c>
      <c r="H2299" s="21">
        <f t="shared" si="552"/>
        <v>78.010000000000005</v>
      </c>
      <c r="I2299" s="24" t="str">
        <f t="shared" si="553"/>
        <v xml:space="preserve">COM VALOR</v>
      </c>
      <c r="L2299" s="36">
        <v>78.010000000000005</v>
      </c>
      <c r="M2299" s="37">
        <v>78.010000000000005</v>
      </c>
      <c r="N2299" s="36">
        <v>78.010000000000005</v>
      </c>
    </row>
    <row r="2300" ht="25.5">
      <c r="A2300" s="19" t="s">
        <v>10460</v>
      </c>
      <c r="B2300" s="19">
        <v>3394</v>
      </c>
      <c r="C2300" s="20" t="s">
        <v>12762</v>
      </c>
      <c r="D2300" s="19" t="s">
        <v>31</v>
      </c>
      <c r="E2300" s="19" t="s">
        <v>10459</v>
      </c>
      <c r="F2300" s="21">
        <f t="shared" si="552"/>
        <v>411.81999999999999</v>
      </c>
      <c r="G2300" s="21">
        <f t="shared" si="552"/>
        <v>411.81999999999999</v>
      </c>
      <c r="H2300" s="21">
        <f t="shared" si="552"/>
        <v>411.81999999999999</v>
      </c>
      <c r="I2300" s="24" t="str">
        <f t="shared" si="553"/>
        <v xml:space="preserve">COM VALOR</v>
      </c>
      <c r="L2300" s="36">
        <v>411.81999999999999</v>
      </c>
      <c r="M2300" s="37">
        <v>411.81999999999999</v>
      </c>
      <c r="N2300" s="36">
        <v>411.81999999999999</v>
      </c>
    </row>
    <row r="2301" ht="25.5">
      <c r="A2301" s="19" t="s">
        <v>10460</v>
      </c>
      <c r="B2301" s="19">
        <v>3393</v>
      </c>
      <c r="C2301" s="20" t="s">
        <v>12763</v>
      </c>
      <c r="D2301" s="19" t="s">
        <v>31</v>
      </c>
      <c r="E2301" s="19" t="s">
        <v>10459</v>
      </c>
      <c r="F2301" s="21">
        <f t="shared" si="552"/>
        <v>701.16999999999996</v>
      </c>
      <c r="G2301" s="21">
        <f t="shared" si="552"/>
        <v>701.16999999999996</v>
      </c>
      <c r="H2301" s="21">
        <f t="shared" si="552"/>
        <v>701.16999999999996</v>
      </c>
      <c r="I2301" s="24" t="str">
        <f t="shared" si="553"/>
        <v xml:space="preserve">COM VALOR</v>
      </c>
      <c r="L2301" s="36">
        <v>701.16999999999996</v>
      </c>
      <c r="M2301" s="37">
        <v>701.16999999999996</v>
      </c>
      <c r="N2301" s="36">
        <v>701.16999999999996</v>
      </c>
    </row>
    <row r="2302" ht="25.5">
      <c r="A2302" s="19" t="s">
        <v>10460</v>
      </c>
      <c r="B2302" s="19">
        <v>3406</v>
      </c>
      <c r="C2302" s="20" t="s">
        <v>12764</v>
      </c>
      <c r="D2302" s="19" t="s">
        <v>31</v>
      </c>
      <c r="E2302" s="19" t="s">
        <v>10466</v>
      </c>
      <c r="F2302" s="21">
        <f t="shared" si="552"/>
        <v>23.879999999999999</v>
      </c>
      <c r="G2302" s="21">
        <f t="shared" si="552"/>
        <v>23.879999999999999</v>
      </c>
      <c r="H2302" s="21">
        <f t="shared" si="552"/>
        <v>23.879999999999999</v>
      </c>
      <c r="I2302" s="24" t="str">
        <f t="shared" si="553"/>
        <v xml:space="preserve">COM VALOR</v>
      </c>
      <c r="L2302" s="36">
        <v>23.879999999999999</v>
      </c>
      <c r="M2302" s="37">
        <v>23.879999999999999</v>
      </c>
      <c r="N2302" s="36">
        <v>23.879999999999999</v>
      </c>
    </row>
    <row r="2303" ht="25.5">
      <c r="A2303" s="19" t="s">
        <v>10460</v>
      </c>
      <c r="B2303" s="19">
        <v>3395</v>
      </c>
      <c r="C2303" s="20" t="s">
        <v>12765</v>
      </c>
      <c r="D2303" s="19" t="s">
        <v>31</v>
      </c>
      <c r="E2303" s="19" t="s">
        <v>10459</v>
      </c>
      <c r="F2303" s="21">
        <f t="shared" si="552"/>
        <v>100.73</v>
      </c>
      <c r="G2303" s="21">
        <f t="shared" si="552"/>
        <v>100.73</v>
      </c>
      <c r="H2303" s="21">
        <f t="shared" si="552"/>
        <v>100.73</v>
      </c>
      <c r="I2303" s="24" t="str">
        <f t="shared" si="553"/>
        <v xml:space="preserve">COM VALOR</v>
      </c>
      <c r="L2303" s="36">
        <v>100.73</v>
      </c>
      <c r="M2303" s="37">
        <v>100.73</v>
      </c>
      <c r="N2303" s="36">
        <v>100.73</v>
      </c>
    </row>
    <row r="2304" ht="25.5">
      <c r="A2304" s="19" t="s">
        <v>10460</v>
      </c>
      <c r="B2304" s="19">
        <v>3398</v>
      </c>
      <c r="C2304" s="20" t="s">
        <v>12766</v>
      </c>
      <c r="D2304" s="19" t="s">
        <v>31</v>
      </c>
      <c r="E2304" s="19" t="s">
        <v>10459</v>
      </c>
      <c r="F2304" s="21">
        <f t="shared" si="552"/>
        <v>4.79</v>
      </c>
      <c r="G2304" s="21">
        <f t="shared" si="552"/>
        <v>4.79</v>
      </c>
      <c r="H2304" s="21">
        <f t="shared" si="552"/>
        <v>4.79</v>
      </c>
      <c r="I2304" s="24" t="str">
        <f t="shared" si="553"/>
        <v xml:space="preserve">COM VALOR</v>
      </c>
      <c r="L2304" s="36">
        <v>4.79</v>
      </c>
      <c r="M2304" s="37">
        <v>4.79</v>
      </c>
      <c r="N2304" s="36">
        <v>4.79</v>
      </c>
    </row>
    <row r="2305" ht="63.75">
      <c r="A2305" s="19" t="s">
        <v>10460</v>
      </c>
      <c r="B2305" s="19">
        <v>40662</v>
      </c>
      <c r="C2305" s="20" t="s">
        <v>12767</v>
      </c>
      <c r="D2305" s="19" t="s">
        <v>31</v>
      </c>
      <c r="E2305" s="19" t="s">
        <v>10459</v>
      </c>
      <c r="F2305" s="21" t="str">
        <f t="shared" si="552"/>
        <v>VERIFICAR</v>
      </c>
      <c r="G2305" s="21" t="str">
        <f t="shared" si="552"/>
        <v>VERIFICAR</v>
      </c>
      <c r="H2305" s="21" t="str">
        <f t="shared" si="552"/>
        <v>VERIFICAR</v>
      </c>
      <c r="I2305" s="24" t="str">
        <f t="shared" si="553"/>
        <v xml:space="preserve">SEM VALOR</v>
      </c>
      <c r="L2305" s="36"/>
      <c r="M2305" s="37"/>
      <c r="N2305" s="36"/>
    </row>
    <row r="2306" ht="63.75">
      <c r="A2306" s="19" t="s">
        <v>10460</v>
      </c>
      <c r="B2306" s="19">
        <v>3437</v>
      </c>
      <c r="C2306" s="20" t="s">
        <v>12768</v>
      </c>
      <c r="D2306" s="19" t="s">
        <v>29</v>
      </c>
      <c r="E2306" s="19" t="s">
        <v>10459</v>
      </c>
      <c r="F2306" s="21" t="str">
        <f t="shared" si="552"/>
        <v>VERIFICAR</v>
      </c>
      <c r="G2306" s="21" t="str">
        <f t="shared" si="552"/>
        <v>VERIFICAR</v>
      </c>
      <c r="H2306" s="21" t="str">
        <f t="shared" si="552"/>
        <v>VERIFICAR</v>
      </c>
      <c r="I2306" s="24" t="str">
        <f t="shared" si="553"/>
        <v xml:space="preserve">SEM VALOR</v>
      </c>
      <c r="L2306" s="36"/>
      <c r="M2306" s="37"/>
      <c r="N2306" s="36"/>
    </row>
    <row r="2307" ht="25.5">
      <c r="A2307" s="19" t="s">
        <v>10460</v>
      </c>
      <c r="B2307" s="19">
        <v>11190</v>
      </c>
      <c r="C2307" s="20" t="s">
        <v>12769</v>
      </c>
      <c r="D2307" s="19" t="s">
        <v>31</v>
      </c>
      <c r="E2307" s="19" t="s">
        <v>10466</v>
      </c>
      <c r="F2307" s="21" t="str">
        <f t="shared" si="552"/>
        <v>VERIFICAR</v>
      </c>
      <c r="G2307" s="21" t="str">
        <f t="shared" si="552"/>
        <v>VERIFICAR</v>
      </c>
      <c r="H2307" s="21" t="str">
        <f t="shared" si="552"/>
        <v>VERIFICAR</v>
      </c>
      <c r="I2307" s="24" t="str">
        <f t="shared" si="553"/>
        <v xml:space="preserve">SEM VALOR</v>
      </c>
      <c r="L2307" s="36"/>
      <c r="M2307" s="37"/>
      <c r="N2307" s="36"/>
    </row>
    <row r="2308" ht="51">
      <c r="A2308" s="19" t="s">
        <v>10460</v>
      </c>
      <c r="B2308" s="19">
        <v>34377</v>
      </c>
      <c r="C2308" s="20" t="s">
        <v>12770</v>
      </c>
      <c r="D2308" s="19" t="s">
        <v>31</v>
      </c>
      <c r="E2308" s="19" t="s">
        <v>10459</v>
      </c>
      <c r="F2308" s="21">
        <f t="shared" si="552"/>
        <v>276.85000000000002</v>
      </c>
      <c r="G2308" s="21">
        <f t="shared" si="552"/>
        <v>276.85000000000002</v>
      </c>
      <c r="H2308" s="21">
        <f t="shared" si="552"/>
        <v>276.85000000000002</v>
      </c>
      <c r="I2308" s="24" t="str">
        <f t="shared" si="553"/>
        <v xml:space="preserve">COM VALOR</v>
      </c>
      <c r="L2308" s="36">
        <v>276.85000000000002</v>
      </c>
      <c r="M2308" s="37">
        <v>276.85000000000002</v>
      </c>
      <c r="N2308" s="36">
        <v>276.85000000000002</v>
      </c>
    </row>
    <row r="2309" ht="76.5">
      <c r="A2309" s="19" t="s">
        <v>10460</v>
      </c>
      <c r="B2309" s="19">
        <v>40659</v>
      </c>
      <c r="C2309" s="20" t="s">
        <v>12771</v>
      </c>
      <c r="D2309" s="19" t="s">
        <v>29</v>
      </c>
      <c r="E2309" s="19" t="s">
        <v>10459</v>
      </c>
      <c r="F2309" s="21" t="str">
        <f t="shared" si="552"/>
        <v>VERIFICAR</v>
      </c>
      <c r="G2309" s="21" t="str">
        <f t="shared" si="552"/>
        <v>VERIFICAR</v>
      </c>
      <c r="H2309" s="21" t="str">
        <f t="shared" si="552"/>
        <v>VERIFICAR</v>
      </c>
      <c r="I2309" s="24" t="str">
        <f t="shared" si="553"/>
        <v xml:space="preserve">SEM VALOR</v>
      </c>
      <c r="L2309" s="36"/>
      <c r="M2309" s="37"/>
      <c r="N2309" s="36"/>
    </row>
    <row r="2310" ht="76.5">
      <c r="A2310" s="19" t="s">
        <v>10460</v>
      </c>
      <c r="B2310" s="19">
        <v>40660</v>
      </c>
      <c r="C2310" s="20" t="s">
        <v>12772</v>
      </c>
      <c r="D2310" s="19" t="s">
        <v>29</v>
      </c>
      <c r="E2310" s="19" t="s">
        <v>10459</v>
      </c>
      <c r="F2310" s="21" t="str">
        <f t="shared" si="552"/>
        <v>VERIFICAR</v>
      </c>
      <c r="G2310" s="21" t="str">
        <f t="shared" si="552"/>
        <v>VERIFICAR</v>
      </c>
      <c r="H2310" s="21" t="str">
        <f t="shared" si="552"/>
        <v>VERIFICAR</v>
      </c>
      <c r="I2310" s="24" t="str">
        <f t="shared" si="553"/>
        <v xml:space="preserve">SEM VALOR</v>
      </c>
      <c r="L2310" s="36"/>
      <c r="M2310" s="37"/>
      <c r="N2310" s="36"/>
    </row>
    <row r="2311" ht="76.5">
      <c r="A2311" s="19" t="s">
        <v>10460</v>
      </c>
      <c r="B2311" s="19">
        <v>40661</v>
      </c>
      <c r="C2311" s="20" t="s">
        <v>12773</v>
      </c>
      <c r="D2311" s="19" t="s">
        <v>29</v>
      </c>
      <c r="E2311" s="19" t="s">
        <v>10459</v>
      </c>
      <c r="F2311" s="21" t="str">
        <f t="shared" si="552"/>
        <v>VERIFICAR</v>
      </c>
      <c r="G2311" s="21" t="str">
        <f t="shared" si="552"/>
        <v>VERIFICAR</v>
      </c>
      <c r="H2311" s="21" t="str">
        <f t="shared" si="552"/>
        <v>VERIFICAR</v>
      </c>
      <c r="I2311" s="24" t="str">
        <f t="shared" si="553"/>
        <v xml:space="preserve">SEM VALOR</v>
      </c>
      <c r="L2311" s="36"/>
      <c r="M2311" s="37"/>
      <c r="N2311" s="36"/>
    </row>
    <row r="2312" ht="76.5">
      <c r="A2312" s="19" t="s">
        <v>10460</v>
      </c>
      <c r="B2312" s="19">
        <v>3428</v>
      </c>
      <c r="C2312" s="20" t="s">
        <v>12774</v>
      </c>
      <c r="D2312" s="19" t="s">
        <v>29</v>
      </c>
      <c r="E2312" s="19" t="s">
        <v>10466</v>
      </c>
      <c r="F2312" s="21" t="str">
        <f t="shared" si="552"/>
        <v>VERIFICAR</v>
      </c>
      <c r="G2312" s="21" t="str">
        <f t="shared" si="552"/>
        <v>VERIFICAR</v>
      </c>
      <c r="H2312" s="21" t="str">
        <f t="shared" si="552"/>
        <v>VERIFICAR</v>
      </c>
      <c r="I2312" s="24" t="str">
        <f t="shared" si="553"/>
        <v xml:space="preserve">SEM VALOR</v>
      </c>
      <c r="L2312" s="36"/>
      <c r="M2312" s="37"/>
      <c r="N2312" s="36"/>
    </row>
    <row r="2313" ht="76.5">
      <c r="A2313" s="19" t="s">
        <v>10460</v>
      </c>
      <c r="B2313" s="19">
        <v>3429</v>
      </c>
      <c r="C2313" s="20" t="s">
        <v>12775</v>
      </c>
      <c r="D2313" s="19" t="s">
        <v>29</v>
      </c>
      <c r="E2313" s="19" t="s">
        <v>10459</v>
      </c>
      <c r="F2313" s="21" t="str">
        <f t="shared" si="552"/>
        <v>VERIFICAR</v>
      </c>
      <c r="G2313" s="21" t="str">
        <f t="shared" si="552"/>
        <v>VERIFICAR</v>
      </c>
      <c r="H2313" s="21" t="str">
        <f t="shared" si="552"/>
        <v>VERIFICAR</v>
      </c>
      <c r="I2313" s="24" t="str">
        <f t="shared" si="553"/>
        <v xml:space="preserve">SEM VALOR</v>
      </c>
      <c r="L2313" s="36"/>
      <c r="M2313" s="37"/>
      <c r="N2313" s="36"/>
    </row>
    <row r="2314" ht="38.25">
      <c r="A2314" s="19" t="s">
        <v>10460</v>
      </c>
      <c r="B2314" s="19">
        <v>11199</v>
      </c>
      <c r="C2314" s="20" t="s">
        <v>12776</v>
      </c>
      <c r="D2314" s="19" t="s">
        <v>31</v>
      </c>
      <c r="E2314" s="19" t="s">
        <v>10459</v>
      </c>
      <c r="F2314" s="21" t="str">
        <f t="shared" si="552"/>
        <v>VERIFICAR</v>
      </c>
      <c r="G2314" s="21" t="str">
        <f t="shared" si="552"/>
        <v>VERIFICAR</v>
      </c>
      <c r="H2314" s="21" t="str">
        <f t="shared" si="552"/>
        <v>VERIFICAR</v>
      </c>
      <c r="I2314" s="24" t="str">
        <f t="shared" si="553"/>
        <v xml:space="preserve">SEM VALOR</v>
      </c>
      <c r="L2314" s="36"/>
      <c r="M2314" s="37"/>
      <c r="N2314" s="36"/>
    </row>
    <row r="2315" ht="51">
      <c r="A2315" s="19" t="s">
        <v>10460</v>
      </c>
      <c r="B2315" s="19">
        <v>36896</v>
      </c>
      <c r="C2315" s="20" t="s">
        <v>12777</v>
      </c>
      <c r="D2315" s="19" t="s">
        <v>31</v>
      </c>
      <c r="E2315" s="19" t="s">
        <v>10466</v>
      </c>
      <c r="F2315" s="21">
        <f t="shared" ref="F2315:H2378" si="554">IF(L2315=0,"VERIFICAR",L2315)</f>
        <v>536.20000000000005</v>
      </c>
      <c r="G2315" s="21">
        <f t="shared" si="554"/>
        <v>536.20000000000005</v>
      </c>
      <c r="H2315" s="21">
        <f t="shared" si="554"/>
        <v>536.20000000000005</v>
      </c>
      <c r="I2315" s="24" t="str">
        <f t="shared" ref="I2315:I2378" si="555">IF(OR(L2315=0,M2315=0,N2315=0),"SEM VALOR","COM VALOR")</f>
        <v xml:space="preserve">COM VALOR</v>
      </c>
      <c r="L2315" s="36">
        <v>536.20000000000005</v>
      </c>
      <c r="M2315" s="37">
        <v>536.20000000000005</v>
      </c>
      <c r="N2315" s="36">
        <v>536.20000000000005</v>
      </c>
    </row>
    <row r="2316" ht="51">
      <c r="A2316" s="19" t="s">
        <v>10460</v>
      </c>
      <c r="B2316" s="19">
        <v>34367</v>
      </c>
      <c r="C2316" s="20" t="s">
        <v>12778</v>
      </c>
      <c r="D2316" s="19" t="s">
        <v>31</v>
      </c>
      <c r="E2316" s="19" t="s">
        <v>10459</v>
      </c>
      <c r="F2316" s="21">
        <f t="shared" si="554"/>
        <v>691.08000000000004</v>
      </c>
      <c r="G2316" s="21">
        <f t="shared" si="554"/>
        <v>691.08000000000004</v>
      </c>
      <c r="H2316" s="21">
        <f t="shared" si="554"/>
        <v>691.08000000000004</v>
      </c>
      <c r="I2316" s="24" t="str">
        <f t="shared" si="555"/>
        <v xml:space="preserve">COM VALOR</v>
      </c>
      <c r="L2316" s="36">
        <v>691.08000000000004</v>
      </c>
      <c r="M2316" s="37">
        <v>691.08000000000004</v>
      </c>
      <c r="N2316" s="36">
        <v>691.08000000000004</v>
      </c>
    </row>
    <row r="2317" ht="51">
      <c r="A2317" s="19" t="s">
        <v>10460</v>
      </c>
      <c r="B2317" s="19">
        <v>36897</v>
      </c>
      <c r="C2317" s="20" t="s">
        <v>12779</v>
      </c>
      <c r="D2317" s="19" t="s">
        <v>31</v>
      </c>
      <c r="E2317" s="19" t="s">
        <v>10459</v>
      </c>
      <c r="F2317" s="21">
        <f t="shared" si="554"/>
        <v>836.73000000000002</v>
      </c>
      <c r="G2317" s="21">
        <f t="shared" si="554"/>
        <v>836.73000000000002</v>
      </c>
      <c r="H2317" s="21">
        <f t="shared" si="554"/>
        <v>836.73000000000002</v>
      </c>
      <c r="I2317" s="24" t="str">
        <f t="shared" si="555"/>
        <v xml:space="preserve">COM VALOR</v>
      </c>
      <c r="L2317" s="36">
        <v>836.73000000000002</v>
      </c>
      <c r="M2317" s="37">
        <v>836.73000000000002</v>
      </c>
      <c r="N2317" s="36">
        <v>836.73000000000002</v>
      </c>
    </row>
    <row r="2318" ht="51">
      <c r="A2318" s="19" t="s">
        <v>10460</v>
      </c>
      <c r="B2318" s="19">
        <v>34369</v>
      </c>
      <c r="C2318" s="20" t="s">
        <v>12780</v>
      </c>
      <c r="D2318" s="19" t="s">
        <v>31</v>
      </c>
      <c r="E2318" s="19" t="s">
        <v>10459</v>
      </c>
      <c r="F2318" s="21">
        <f t="shared" si="554"/>
        <v>962.91999999999996</v>
      </c>
      <c r="G2318" s="21">
        <f t="shared" si="554"/>
        <v>962.91999999999996</v>
      </c>
      <c r="H2318" s="21">
        <f t="shared" si="554"/>
        <v>962.91999999999996</v>
      </c>
      <c r="I2318" s="24" t="str">
        <f t="shared" si="555"/>
        <v xml:space="preserve">COM VALOR</v>
      </c>
      <c r="L2318" s="36">
        <v>962.91999999999996</v>
      </c>
      <c r="M2318" s="37">
        <v>962.91999999999996</v>
      </c>
      <c r="N2318" s="36">
        <v>962.91999999999996</v>
      </c>
    </row>
    <row r="2319" ht="51">
      <c r="A2319" s="19" t="s">
        <v>10460</v>
      </c>
      <c r="B2319" s="19">
        <v>34364</v>
      </c>
      <c r="C2319" s="20" t="s">
        <v>12781</v>
      </c>
      <c r="D2319" s="19" t="s">
        <v>31</v>
      </c>
      <c r="E2319" s="19" t="s">
        <v>10459</v>
      </c>
      <c r="F2319" s="21">
        <f t="shared" si="554"/>
        <v>908.39999999999998</v>
      </c>
      <c r="G2319" s="21">
        <f t="shared" si="554"/>
        <v>908.39999999999998</v>
      </c>
      <c r="H2319" s="21">
        <f t="shared" si="554"/>
        <v>908.39999999999998</v>
      </c>
      <c r="I2319" s="24" t="str">
        <f t="shared" si="555"/>
        <v xml:space="preserve">COM VALOR</v>
      </c>
      <c r="L2319" s="36">
        <v>908.39999999999998</v>
      </c>
      <c r="M2319" s="37">
        <v>908.39999999999998</v>
      </c>
      <c r="N2319" s="36">
        <v>908.39999999999998</v>
      </c>
    </row>
    <row r="2320" ht="76.5">
      <c r="A2320" s="19" t="s">
        <v>10460</v>
      </c>
      <c r="B2320" s="19">
        <v>3421</v>
      </c>
      <c r="C2320" s="20" t="s">
        <v>12782</v>
      </c>
      <c r="D2320" s="19" t="s">
        <v>29</v>
      </c>
      <c r="E2320" s="19" t="s">
        <v>10459</v>
      </c>
      <c r="F2320" s="21" t="str">
        <f t="shared" si="554"/>
        <v>VERIFICAR</v>
      </c>
      <c r="G2320" s="21" t="str">
        <f t="shared" si="554"/>
        <v>VERIFICAR</v>
      </c>
      <c r="H2320" s="21" t="str">
        <f t="shared" si="554"/>
        <v>VERIFICAR</v>
      </c>
      <c r="I2320" s="24" t="str">
        <f t="shared" si="555"/>
        <v xml:space="preserve">SEM VALOR</v>
      </c>
      <c r="L2320" s="36"/>
      <c r="M2320" s="37"/>
      <c r="N2320" s="36"/>
    </row>
    <row r="2321" ht="51">
      <c r="A2321" s="19" t="s">
        <v>10460</v>
      </c>
      <c r="B2321" s="19">
        <v>599</v>
      </c>
      <c r="C2321" s="20" t="s">
        <v>12783</v>
      </c>
      <c r="D2321" s="19" t="s">
        <v>29</v>
      </c>
      <c r="E2321" s="19" t="s">
        <v>10459</v>
      </c>
      <c r="F2321" s="21">
        <f t="shared" si="554"/>
        <v>977.90999999999997</v>
      </c>
      <c r="G2321" s="21">
        <f t="shared" si="554"/>
        <v>977.90999999999997</v>
      </c>
      <c r="H2321" s="21">
        <f t="shared" si="554"/>
        <v>977.90999999999997</v>
      </c>
      <c r="I2321" s="24" t="str">
        <f t="shared" si="555"/>
        <v xml:space="preserve">COM VALOR</v>
      </c>
      <c r="L2321" s="36">
        <v>977.90999999999997</v>
      </c>
      <c r="M2321" s="37">
        <v>977.90999999999997</v>
      </c>
      <c r="N2321" s="36">
        <v>977.90999999999997</v>
      </c>
    </row>
    <row r="2322" ht="63.75">
      <c r="A2322" s="19" t="s">
        <v>10460</v>
      </c>
      <c r="B2322" s="19">
        <v>44053</v>
      </c>
      <c r="C2322" s="20" t="s">
        <v>12784</v>
      </c>
      <c r="D2322" s="19" t="s">
        <v>31</v>
      </c>
      <c r="E2322" s="19" t="s">
        <v>10459</v>
      </c>
      <c r="F2322" s="21">
        <f t="shared" si="554"/>
        <v>2170.5100000000002</v>
      </c>
      <c r="G2322" s="21">
        <f t="shared" si="554"/>
        <v>2170.5100000000002</v>
      </c>
      <c r="H2322" s="21">
        <f t="shared" si="554"/>
        <v>2170.5100000000002</v>
      </c>
      <c r="I2322" s="24" t="str">
        <f t="shared" si="555"/>
        <v xml:space="preserve">COM VALOR</v>
      </c>
      <c r="L2322" s="36">
        <v>2170.5100000000002</v>
      </c>
      <c r="M2322" s="37">
        <v>2170.5100000000002</v>
      </c>
      <c r="N2322" s="36">
        <v>2170.5100000000002</v>
      </c>
    </row>
    <row r="2323" ht="63.75">
      <c r="A2323" s="19" t="s">
        <v>10460</v>
      </c>
      <c r="B2323" s="19">
        <v>3423</v>
      </c>
      <c r="C2323" s="20" t="s">
        <v>12785</v>
      </c>
      <c r="D2323" s="19" t="s">
        <v>29</v>
      </c>
      <c r="E2323" s="19" t="s">
        <v>10459</v>
      </c>
      <c r="F2323" s="21" t="str">
        <f t="shared" si="554"/>
        <v>VERIFICAR</v>
      </c>
      <c r="G2323" s="21" t="str">
        <f t="shared" si="554"/>
        <v>VERIFICAR</v>
      </c>
      <c r="H2323" s="21" t="str">
        <f t="shared" si="554"/>
        <v>VERIFICAR</v>
      </c>
      <c r="I2323" s="24" t="str">
        <f t="shared" si="555"/>
        <v xml:space="preserve">SEM VALOR</v>
      </c>
      <c r="L2323" s="36"/>
      <c r="M2323" s="37"/>
      <c r="N2323" s="36"/>
    </row>
    <row r="2324" ht="38.25">
      <c r="A2324" s="19" t="s">
        <v>10460</v>
      </c>
      <c r="B2324" s="19">
        <v>34797</v>
      </c>
      <c r="C2324" s="20" t="s">
        <v>12786</v>
      </c>
      <c r="D2324" s="19" t="s">
        <v>31</v>
      </c>
      <c r="E2324" s="19" t="s">
        <v>10459</v>
      </c>
      <c r="F2324" s="21" t="str">
        <f t="shared" si="554"/>
        <v>VERIFICAR</v>
      </c>
      <c r="G2324" s="21" t="str">
        <f t="shared" si="554"/>
        <v>VERIFICAR</v>
      </c>
      <c r="H2324" s="21" t="str">
        <f t="shared" si="554"/>
        <v>VERIFICAR</v>
      </c>
      <c r="I2324" s="24" t="str">
        <f t="shared" si="555"/>
        <v xml:space="preserve">SEM VALOR</v>
      </c>
      <c r="L2324" s="36"/>
      <c r="M2324" s="37"/>
      <c r="N2324" s="36"/>
    </row>
    <row r="2325" ht="38.25">
      <c r="A2325" s="19" t="s">
        <v>10460</v>
      </c>
      <c r="B2325" s="19">
        <v>34381</v>
      </c>
      <c r="C2325" s="20" t="s">
        <v>12787</v>
      </c>
      <c r="D2325" s="19" t="s">
        <v>31</v>
      </c>
      <c r="E2325" s="19" t="s">
        <v>10459</v>
      </c>
      <c r="F2325" s="21">
        <f t="shared" si="554"/>
        <v>394.86000000000001</v>
      </c>
      <c r="G2325" s="21">
        <f t="shared" si="554"/>
        <v>394.86000000000001</v>
      </c>
      <c r="H2325" s="21">
        <f t="shared" si="554"/>
        <v>394.86000000000001</v>
      </c>
      <c r="I2325" s="24" t="str">
        <f t="shared" si="555"/>
        <v xml:space="preserve">COM VALOR</v>
      </c>
      <c r="L2325" s="36">
        <v>394.86000000000001</v>
      </c>
      <c r="M2325" s="37">
        <v>394.86000000000001</v>
      </c>
      <c r="N2325" s="36">
        <v>394.86000000000001</v>
      </c>
    </row>
    <row r="2326" ht="51">
      <c r="A2326" s="19" t="s">
        <v>10460</v>
      </c>
      <c r="B2326" s="19">
        <v>44054</v>
      </c>
      <c r="C2326" s="20" t="s">
        <v>12788</v>
      </c>
      <c r="D2326" s="19" t="s">
        <v>31</v>
      </c>
      <c r="E2326" s="19" t="s">
        <v>10459</v>
      </c>
      <c r="F2326" s="21">
        <f t="shared" si="554"/>
        <v>778.64999999999998</v>
      </c>
      <c r="G2326" s="21">
        <f t="shared" si="554"/>
        <v>778.64999999999998</v>
      </c>
      <c r="H2326" s="21">
        <f t="shared" si="554"/>
        <v>778.64999999999998</v>
      </c>
      <c r="I2326" s="24" t="str">
        <f t="shared" si="555"/>
        <v xml:space="preserve">COM VALOR</v>
      </c>
      <c r="L2326" s="36">
        <v>778.64999999999998</v>
      </c>
      <c r="M2326" s="37">
        <v>778.64999999999998</v>
      </c>
      <c r="N2326" s="36">
        <v>778.64999999999998</v>
      </c>
    </row>
    <row r="2327" ht="51">
      <c r="A2327" s="19" t="s">
        <v>10460</v>
      </c>
      <c r="B2327" s="19">
        <v>44399</v>
      </c>
      <c r="C2327" s="20" t="s">
        <v>12789</v>
      </c>
      <c r="D2327" s="19" t="s">
        <v>31</v>
      </c>
      <c r="E2327" s="19" t="s">
        <v>10459</v>
      </c>
      <c r="F2327" s="21">
        <f t="shared" si="554"/>
        <v>1063.8800000000001</v>
      </c>
      <c r="G2327" s="21">
        <f t="shared" si="554"/>
        <v>1063.8800000000001</v>
      </c>
      <c r="H2327" s="21">
        <f t="shared" si="554"/>
        <v>1063.8800000000001</v>
      </c>
      <c r="I2327" s="24" t="str">
        <f t="shared" si="555"/>
        <v xml:space="preserve">COM VALOR</v>
      </c>
      <c r="L2327" s="36">
        <v>1063.8800000000001</v>
      </c>
      <c r="M2327" s="37">
        <v>1063.8800000000001</v>
      </c>
      <c r="N2327" s="36">
        <v>1063.8800000000001</v>
      </c>
    </row>
    <row r="2328" ht="12.75">
      <c r="A2328" s="19" t="s">
        <v>10604</v>
      </c>
      <c r="B2328" s="19">
        <v>44503</v>
      </c>
      <c r="C2328" s="20" t="s">
        <v>12790</v>
      </c>
      <c r="D2328" s="19" t="s">
        <v>2032</v>
      </c>
      <c r="E2328" s="19" t="s">
        <v>10459</v>
      </c>
      <c r="F2328" s="21">
        <f t="shared" si="554"/>
        <v>20.309999999999999</v>
      </c>
      <c r="G2328" s="21">
        <f t="shared" si="554"/>
        <v>20.309999999999999</v>
      </c>
      <c r="H2328" s="21">
        <f t="shared" si="554"/>
        <v>20.309999999999999</v>
      </c>
      <c r="I2328" s="24" t="str">
        <f t="shared" si="555"/>
        <v xml:space="preserve">COM VALOR</v>
      </c>
      <c r="L2328" s="36">
        <v>20.309999999999999</v>
      </c>
      <c r="M2328" s="37">
        <v>20.309999999999999</v>
      </c>
      <c r="N2328" s="36">
        <v>20.309999999999999</v>
      </c>
    </row>
    <row r="2329" ht="12.75">
      <c r="A2329" s="19" t="s">
        <v>10604</v>
      </c>
      <c r="B2329" s="19">
        <v>41077</v>
      </c>
      <c r="C2329" s="20" t="s">
        <v>12791</v>
      </c>
      <c r="D2329" s="19" t="s">
        <v>7087</v>
      </c>
      <c r="E2329" s="19" t="s">
        <v>10459</v>
      </c>
      <c r="F2329" s="21">
        <f t="shared" si="554"/>
        <v>3555.6999999999998</v>
      </c>
      <c r="G2329" s="21">
        <f t="shared" si="554"/>
        <v>3555.6999999999998</v>
      </c>
      <c r="H2329" s="21">
        <f t="shared" si="554"/>
        <v>3555.6999999999998</v>
      </c>
      <c r="I2329" s="24" t="str">
        <f t="shared" si="555"/>
        <v xml:space="preserve">COM VALOR</v>
      </c>
      <c r="L2329" s="36">
        <v>3555.6999999999998</v>
      </c>
      <c r="M2329" s="37">
        <v>3555.6999999999998</v>
      </c>
      <c r="N2329" s="36">
        <v>3555.6999999999998</v>
      </c>
    </row>
    <row r="2330" ht="25.5">
      <c r="A2330" s="19" t="s">
        <v>10460</v>
      </c>
      <c r="B2330" s="19">
        <v>37963</v>
      </c>
      <c r="C2330" s="20" t="s">
        <v>12792</v>
      </c>
      <c r="D2330" s="19" t="s">
        <v>31</v>
      </c>
      <c r="E2330" s="19" t="s">
        <v>10459</v>
      </c>
      <c r="F2330" s="21">
        <f t="shared" si="554"/>
        <v>5.04</v>
      </c>
      <c r="G2330" s="21">
        <f t="shared" si="554"/>
        <v>5.04</v>
      </c>
      <c r="H2330" s="21">
        <f t="shared" si="554"/>
        <v>5.04</v>
      </c>
      <c r="I2330" s="24" t="str">
        <f t="shared" si="555"/>
        <v xml:space="preserve">COM VALOR</v>
      </c>
      <c r="L2330" s="36">
        <v>5.04</v>
      </c>
      <c r="M2330" s="37">
        <v>5.04</v>
      </c>
      <c r="N2330" s="36">
        <v>5.04</v>
      </c>
    </row>
    <row r="2331" ht="25.5">
      <c r="A2331" s="19" t="s">
        <v>10460</v>
      </c>
      <c r="B2331" s="19">
        <v>37964</v>
      </c>
      <c r="C2331" s="20" t="s">
        <v>12793</v>
      </c>
      <c r="D2331" s="19" t="s">
        <v>31</v>
      </c>
      <c r="E2331" s="19" t="s">
        <v>10459</v>
      </c>
      <c r="F2331" s="21">
        <f t="shared" si="554"/>
        <v>6.7400000000000002</v>
      </c>
      <c r="G2331" s="21">
        <f t="shared" si="554"/>
        <v>6.7400000000000002</v>
      </c>
      <c r="H2331" s="21">
        <f t="shared" si="554"/>
        <v>6.7400000000000002</v>
      </c>
      <c r="I2331" s="24" t="str">
        <f t="shared" si="555"/>
        <v xml:space="preserve">COM VALOR</v>
      </c>
      <c r="L2331" s="36">
        <v>6.7400000000000002</v>
      </c>
      <c r="M2331" s="37">
        <v>6.7400000000000002</v>
      </c>
      <c r="N2331" s="36">
        <v>6.7400000000000002</v>
      </c>
    </row>
    <row r="2332" ht="25.5">
      <c r="A2332" s="19" t="s">
        <v>10460</v>
      </c>
      <c r="B2332" s="19">
        <v>37965</v>
      </c>
      <c r="C2332" s="20" t="s">
        <v>12794</v>
      </c>
      <c r="D2332" s="19" t="s">
        <v>31</v>
      </c>
      <c r="E2332" s="19" t="s">
        <v>10459</v>
      </c>
      <c r="F2332" s="21">
        <f t="shared" si="554"/>
        <v>9.7200000000000006</v>
      </c>
      <c r="G2332" s="21">
        <f t="shared" si="554"/>
        <v>9.7200000000000006</v>
      </c>
      <c r="H2332" s="21">
        <f t="shared" si="554"/>
        <v>9.7200000000000006</v>
      </c>
      <c r="I2332" s="24" t="str">
        <f t="shared" si="555"/>
        <v xml:space="preserve">COM VALOR</v>
      </c>
      <c r="L2332" s="36">
        <v>9.7200000000000006</v>
      </c>
      <c r="M2332" s="37">
        <v>9.7200000000000006</v>
      </c>
      <c r="N2332" s="36">
        <v>9.7200000000000006</v>
      </c>
    </row>
    <row r="2333" ht="25.5">
      <c r="A2333" s="19" t="s">
        <v>10460</v>
      </c>
      <c r="B2333" s="19">
        <v>37966</v>
      </c>
      <c r="C2333" s="20" t="s">
        <v>12795</v>
      </c>
      <c r="D2333" s="19" t="s">
        <v>31</v>
      </c>
      <c r="E2333" s="19" t="s">
        <v>10459</v>
      </c>
      <c r="F2333" s="21">
        <f t="shared" si="554"/>
        <v>17.07</v>
      </c>
      <c r="G2333" s="21">
        <f t="shared" si="554"/>
        <v>17.07</v>
      </c>
      <c r="H2333" s="21">
        <f t="shared" si="554"/>
        <v>17.07</v>
      </c>
      <c r="I2333" s="24" t="str">
        <f t="shared" si="555"/>
        <v xml:space="preserve">COM VALOR</v>
      </c>
      <c r="L2333" s="36">
        <v>17.07</v>
      </c>
      <c r="M2333" s="37">
        <v>17.07</v>
      </c>
      <c r="N2333" s="36">
        <v>17.07</v>
      </c>
    </row>
    <row r="2334" ht="25.5">
      <c r="A2334" s="19" t="s">
        <v>10460</v>
      </c>
      <c r="B2334" s="19">
        <v>37967</v>
      </c>
      <c r="C2334" s="20" t="s">
        <v>12796</v>
      </c>
      <c r="D2334" s="19" t="s">
        <v>31</v>
      </c>
      <c r="E2334" s="19" t="s">
        <v>10459</v>
      </c>
      <c r="F2334" s="21">
        <f t="shared" si="554"/>
        <v>28.68</v>
      </c>
      <c r="G2334" s="21">
        <f t="shared" si="554"/>
        <v>28.68</v>
      </c>
      <c r="H2334" s="21">
        <f t="shared" si="554"/>
        <v>28.68</v>
      </c>
      <c r="I2334" s="24" t="str">
        <f t="shared" si="555"/>
        <v xml:space="preserve">COM VALOR</v>
      </c>
      <c r="L2334" s="36">
        <v>28.68</v>
      </c>
      <c r="M2334" s="37">
        <v>28.68</v>
      </c>
      <c r="N2334" s="36">
        <v>28.68</v>
      </c>
    </row>
    <row r="2335" ht="25.5">
      <c r="A2335" s="19" t="s">
        <v>10460</v>
      </c>
      <c r="B2335" s="19">
        <v>37968</v>
      </c>
      <c r="C2335" s="20" t="s">
        <v>12797</v>
      </c>
      <c r="D2335" s="19" t="s">
        <v>31</v>
      </c>
      <c r="E2335" s="19" t="s">
        <v>10459</v>
      </c>
      <c r="F2335" s="21">
        <f t="shared" si="554"/>
        <v>60.899999999999999</v>
      </c>
      <c r="G2335" s="21">
        <f t="shared" si="554"/>
        <v>60.899999999999999</v>
      </c>
      <c r="H2335" s="21">
        <f t="shared" si="554"/>
        <v>60.899999999999999</v>
      </c>
      <c r="I2335" s="24" t="str">
        <f t="shared" si="555"/>
        <v xml:space="preserve">COM VALOR</v>
      </c>
      <c r="L2335" s="36">
        <v>60.899999999999999</v>
      </c>
      <c r="M2335" s="37">
        <v>60.899999999999999</v>
      </c>
      <c r="N2335" s="36">
        <v>60.899999999999999</v>
      </c>
    </row>
    <row r="2336" ht="25.5">
      <c r="A2336" s="19" t="s">
        <v>10460</v>
      </c>
      <c r="B2336" s="19">
        <v>37969</v>
      </c>
      <c r="C2336" s="20" t="s">
        <v>12798</v>
      </c>
      <c r="D2336" s="19" t="s">
        <v>31</v>
      </c>
      <c r="E2336" s="19" t="s">
        <v>10459</v>
      </c>
      <c r="F2336" s="21">
        <f t="shared" si="554"/>
        <v>153.88999999999999</v>
      </c>
      <c r="G2336" s="21">
        <f t="shared" si="554"/>
        <v>153.88999999999999</v>
      </c>
      <c r="H2336" s="21">
        <f t="shared" si="554"/>
        <v>153.88999999999999</v>
      </c>
      <c r="I2336" s="24" t="str">
        <f t="shared" si="555"/>
        <v xml:space="preserve">COM VALOR</v>
      </c>
      <c r="L2336" s="36">
        <v>153.88999999999999</v>
      </c>
      <c r="M2336" s="37">
        <v>153.88999999999999</v>
      </c>
      <c r="N2336" s="36">
        <v>153.88999999999999</v>
      </c>
    </row>
    <row r="2337" ht="25.5">
      <c r="A2337" s="19" t="s">
        <v>10460</v>
      </c>
      <c r="B2337" s="19">
        <v>37970</v>
      </c>
      <c r="C2337" s="20" t="s">
        <v>12799</v>
      </c>
      <c r="D2337" s="19" t="s">
        <v>31</v>
      </c>
      <c r="E2337" s="19" t="s">
        <v>10459</v>
      </c>
      <c r="F2337" s="21">
        <f t="shared" si="554"/>
        <v>222.65000000000001</v>
      </c>
      <c r="G2337" s="21">
        <f t="shared" si="554"/>
        <v>222.65000000000001</v>
      </c>
      <c r="H2337" s="21">
        <f t="shared" si="554"/>
        <v>222.65000000000001</v>
      </c>
      <c r="I2337" s="24" t="str">
        <f t="shared" si="555"/>
        <v xml:space="preserve">COM VALOR</v>
      </c>
      <c r="L2337" s="36">
        <v>222.65000000000001</v>
      </c>
      <c r="M2337" s="37">
        <v>222.65000000000001</v>
      </c>
      <c r="N2337" s="36">
        <v>222.65000000000001</v>
      </c>
    </row>
    <row r="2338" ht="25.5">
      <c r="A2338" s="19" t="s">
        <v>10460</v>
      </c>
      <c r="B2338" s="19">
        <v>44251</v>
      </c>
      <c r="C2338" s="20" t="s">
        <v>12800</v>
      </c>
      <c r="D2338" s="19" t="s">
        <v>31</v>
      </c>
      <c r="E2338" s="19" t="s">
        <v>10459</v>
      </c>
      <c r="F2338" s="21">
        <f t="shared" si="554"/>
        <v>257.18000000000001</v>
      </c>
      <c r="G2338" s="21">
        <f t="shared" si="554"/>
        <v>257.18000000000001</v>
      </c>
      <c r="H2338" s="21">
        <f t="shared" si="554"/>
        <v>257.18000000000001</v>
      </c>
      <c r="I2338" s="24" t="str">
        <f t="shared" si="555"/>
        <v xml:space="preserve">COM VALOR</v>
      </c>
      <c r="L2338" s="36">
        <v>257.18000000000001</v>
      </c>
      <c r="M2338" s="37">
        <v>257.18000000000001</v>
      </c>
      <c r="N2338" s="36">
        <v>257.18000000000001</v>
      </c>
    </row>
    <row r="2339" ht="25.5">
      <c r="A2339" s="19" t="s">
        <v>10460</v>
      </c>
      <c r="B2339" s="19">
        <v>21118</v>
      </c>
      <c r="C2339" s="20" t="s">
        <v>12801</v>
      </c>
      <c r="D2339" s="19" t="s">
        <v>31</v>
      </c>
      <c r="E2339" s="19" t="s">
        <v>10459</v>
      </c>
      <c r="F2339" s="21">
        <f t="shared" si="554"/>
        <v>4.0099999999999998</v>
      </c>
      <c r="G2339" s="21">
        <f t="shared" si="554"/>
        <v>4.0099999999999998</v>
      </c>
      <c r="H2339" s="21">
        <f t="shared" si="554"/>
        <v>4.0099999999999998</v>
      </c>
      <c r="I2339" s="24" t="str">
        <f t="shared" si="555"/>
        <v xml:space="preserve">COM VALOR</v>
      </c>
      <c r="L2339" s="36">
        <v>4.0099999999999998</v>
      </c>
      <c r="M2339" s="37">
        <v>4.0099999999999998</v>
      </c>
      <c r="N2339" s="36">
        <v>4.0099999999999998</v>
      </c>
    </row>
    <row r="2340" ht="25.5">
      <c r="A2340" s="19" t="s">
        <v>10460</v>
      </c>
      <c r="B2340" s="19">
        <v>37956</v>
      </c>
      <c r="C2340" s="20" t="s">
        <v>12802</v>
      </c>
      <c r="D2340" s="19" t="s">
        <v>31</v>
      </c>
      <c r="E2340" s="19" t="s">
        <v>10459</v>
      </c>
      <c r="F2340" s="21">
        <f t="shared" si="554"/>
        <v>4.9199999999999999</v>
      </c>
      <c r="G2340" s="21">
        <f t="shared" si="554"/>
        <v>4.9199999999999999</v>
      </c>
      <c r="H2340" s="21">
        <f t="shared" si="554"/>
        <v>4.9199999999999999</v>
      </c>
      <c r="I2340" s="24" t="str">
        <f t="shared" si="555"/>
        <v xml:space="preserve">COM VALOR</v>
      </c>
      <c r="L2340" s="36">
        <v>4.9199999999999999</v>
      </c>
      <c r="M2340" s="37">
        <v>4.9199999999999999</v>
      </c>
      <c r="N2340" s="36">
        <v>4.9199999999999999</v>
      </c>
    </row>
    <row r="2341" ht="25.5">
      <c r="A2341" s="19" t="s">
        <v>10460</v>
      </c>
      <c r="B2341" s="19">
        <v>37957</v>
      </c>
      <c r="C2341" s="20" t="s">
        <v>12803</v>
      </c>
      <c r="D2341" s="19" t="s">
        <v>31</v>
      </c>
      <c r="E2341" s="19" t="s">
        <v>10459</v>
      </c>
      <c r="F2341" s="21">
        <f t="shared" si="554"/>
        <v>10.470000000000001</v>
      </c>
      <c r="G2341" s="21">
        <f t="shared" si="554"/>
        <v>10.470000000000001</v>
      </c>
      <c r="H2341" s="21">
        <f t="shared" si="554"/>
        <v>10.470000000000001</v>
      </c>
      <c r="I2341" s="24" t="str">
        <f t="shared" si="555"/>
        <v xml:space="preserve">COM VALOR</v>
      </c>
      <c r="L2341" s="36">
        <v>10.470000000000001</v>
      </c>
      <c r="M2341" s="37">
        <v>10.470000000000001</v>
      </c>
      <c r="N2341" s="36">
        <v>10.470000000000001</v>
      </c>
    </row>
    <row r="2342" ht="25.5">
      <c r="A2342" s="19" t="s">
        <v>10460</v>
      </c>
      <c r="B2342" s="19">
        <v>37958</v>
      </c>
      <c r="C2342" s="20" t="s">
        <v>12804</v>
      </c>
      <c r="D2342" s="19" t="s">
        <v>31</v>
      </c>
      <c r="E2342" s="19" t="s">
        <v>10459</v>
      </c>
      <c r="F2342" s="21">
        <f t="shared" si="554"/>
        <v>18.93</v>
      </c>
      <c r="G2342" s="21">
        <f t="shared" si="554"/>
        <v>18.93</v>
      </c>
      <c r="H2342" s="21">
        <f t="shared" si="554"/>
        <v>18.93</v>
      </c>
      <c r="I2342" s="24" t="str">
        <f t="shared" si="555"/>
        <v xml:space="preserve">COM VALOR</v>
      </c>
      <c r="L2342" s="36">
        <v>18.93</v>
      </c>
      <c r="M2342" s="37">
        <v>18.93</v>
      </c>
      <c r="N2342" s="36">
        <v>18.93</v>
      </c>
    </row>
    <row r="2343" ht="25.5">
      <c r="A2343" s="19" t="s">
        <v>10460</v>
      </c>
      <c r="B2343" s="19">
        <v>37959</v>
      </c>
      <c r="C2343" s="20" t="s">
        <v>12805</v>
      </c>
      <c r="D2343" s="19" t="s">
        <v>31</v>
      </c>
      <c r="E2343" s="19" t="s">
        <v>10459</v>
      </c>
      <c r="F2343" s="21">
        <f t="shared" si="554"/>
        <v>29.140000000000001</v>
      </c>
      <c r="G2343" s="21">
        <f t="shared" si="554"/>
        <v>29.140000000000001</v>
      </c>
      <c r="H2343" s="21">
        <f t="shared" si="554"/>
        <v>29.140000000000001</v>
      </c>
      <c r="I2343" s="24" t="str">
        <f t="shared" si="555"/>
        <v xml:space="preserve">COM VALOR</v>
      </c>
      <c r="L2343" s="36">
        <v>29.140000000000001</v>
      </c>
      <c r="M2343" s="37">
        <v>29.140000000000001</v>
      </c>
      <c r="N2343" s="36">
        <v>29.140000000000001</v>
      </c>
    </row>
    <row r="2344" ht="25.5">
      <c r="A2344" s="19" t="s">
        <v>10460</v>
      </c>
      <c r="B2344" s="19">
        <v>37960</v>
      </c>
      <c r="C2344" s="20" t="s">
        <v>12806</v>
      </c>
      <c r="D2344" s="19" t="s">
        <v>31</v>
      </c>
      <c r="E2344" s="19" t="s">
        <v>10459</v>
      </c>
      <c r="F2344" s="21">
        <f t="shared" si="554"/>
        <v>74.459999999999994</v>
      </c>
      <c r="G2344" s="21">
        <f t="shared" si="554"/>
        <v>74.459999999999994</v>
      </c>
      <c r="H2344" s="21">
        <f t="shared" si="554"/>
        <v>74.459999999999994</v>
      </c>
      <c r="I2344" s="24" t="str">
        <f t="shared" si="555"/>
        <v xml:space="preserve">COM VALOR</v>
      </c>
      <c r="L2344" s="36">
        <v>74.459999999999994</v>
      </c>
      <c r="M2344" s="37">
        <v>74.459999999999994</v>
      </c>
      <c r="N2344" s="36">
        <v>74.459999999999994</v>
      </c>
    </row>
    <row r="2345" ht="25.5">
      <c r="A2345" s="19" t="s">
        <v>10460</v>
      </c>
      <c r="B2345" s="19">
        <v>37961</v>
      </c>
      <c r="C2345" s="20" t="s">
        <v>12807</v>
      </c>
      <c r="D2345" s="19" t="s">
        <v>31</v>
      </c>
      <c r="E2345" s="19" t="s">
        <v>10459</v>
      </c>
      <c r="F2345" s="21">
        <f t="shared" si="554"/>
        <v>160.03</v>
      </c>
      <c r="G2345" s="21">
        <f t="shared" si="554"/>
        <v>160.03</v>
      </c>
      <c r="H2345" s="21">
        <f t="shared" si="554"/>
        <v>160.03</v>
      </c>
      <c r="I2345" s="24" t="str">
        <f t="shared" si="555"/>
        <v xml:space="preserve">COM VALOR</v>
      </c>
      <c r="L2345" s="36">
        <v>160.03</v>
      </c>
      <c r="M2345" s="37">
        <v>160.03</v>
      </c>
      <c r="N2345" s="36">
        <v>160.03</v>
      </c>
    </row>
    <row r="2346" ht="25.5">
      <c r="A2346" s="19" t="s">
        <v>10460</v>
      </c>
      <c r="B2346" s="19">
        <v>37962</v>
      </c>
      <c r="C2346" s="20" t="s">
        <v>12808</v>
      </c>
      <c r="D2346" s="19" t="s">
        <v>31</v>
      </c>
      <c r="E2346" s="19" t="s">
        <v>10459</v>
      </c>
      <c r="F2346" s="21">
        <f t="shared" si="554"/>
        <v>184.49000000000001</v>
      </c>
      <c r="G2346" s="21">
        <f t="shared" si="554"/>
        <v>184.49000000000001</v>
      </c>
      <c r="H2346" s="21">
        <f t="shared" si="554"/>
        <v>184.49000000000001</v>
      </c>
      <c r="I2346" s="24" t="str">
        <f t="shared" si="555"/>
        <v xml:space="preserve">COM VALOR</v>
      </c>
      <c r="L2346" s="36">
        <v>184.49000000000001</v>
      </c>
      <c r="M2346" s="37">
        <v>184.49000000000001</v>
      </c>
      <c r="N2346" s="36">
        <v>184.49000000000001</v>
      </c>
    </row>
    <row r="2347" ht="25.5">
      <c r="A2347" s="19" t="s">
        <v>10460</v>
      </c>
      <c r="B2347" s="19">
        <v>3533</v>
      </c>
      <c r="C2347" s="20" t="s">
        <v>12809</v>
      </c>
      <c r="D2347" s="19" t="s">
        <v>31</v>
      </c>
      <c r="E2347" s="19" t="s">
        <v>10459</v>
      </c>
      <c r="F2347" s="21">
        <f t="shared" si="554"/>
        <v>2.8500000000000001</v>
      </c>
      <c r="G2347" s="21">
        <f t="shared" si="554"/>
        <v>2.8500000000000001</v>
      </c>
      <c r="H2347" s="21">
        <f t="shared" si="554"/>
        <v>2.8500000000000001</v>
      </c>
      <c r="I2347" s="24" t="str">
        <f t="shared" si="555"/>
        <v xml:space="preserve">COM VALOR</v>
      </c>
      <c r="L2347" s="36">
        <v>2.8500000000000001</v>
      </c>
      <c r="M2347" s="37">
        <v>2.8500000000000001</v>
      </c>
      <c r="N2347" s="36">
        <v>2.8500000000000001</v>
      </c>
    </row>
    <row r="2348" ht="25.5">
      <c r="A2348" s="19" t="s">
        <v>10460</v>
      </c>
      <c r="B2348" s="19">
        <v>3538</v>
      </c>
      <c r="C2348" s="20" t="s">
        <v>12810</v>
      </c>
      <c r="D2348" s="19" t="s">
        <v>31</v>
      </c>
      <c r="E2348" s="19" t="s">
        <v>10459</v>
      </c>
      <c r="F2348" s="21">
        <f t="shared" si="554"/>
        <v>5.4000000000000004</v>
      </c>
      <c r="G2348" s="21">
        <f t="shared" si="554"/>
        <v>5.4000000000000004</v>
      </c>
      <c r="H2348" s="21">
        <f t="shared" si="554"/>
        <v>5.4000000000000004</v>
      </c>
      <c r="I2348" s="24" t="str">
        <f t="shared" si="555"/>
        <v xml:space="preserve">COM VALOR</v>
      </c>
      <c r="L2348" s="36">
        <v>5.4000000000000004</v>
      </c>
      <c r="M2348" s="37">
        <v>5.4000000000000004</v>
      </c>
      <c r="N2348" s="36">
        <v>5.4000000000000004</v>
      </c>
    </row>
    <row r="2349" ht="25.5">
      <c r="A2349" s="19" t="s">
        <v>10460</v>
      </c>
      <c r="B2349" s="19">
        <v>3498</v>
      </c>
      <c r="C2349" s="20" t="s">
        <v>12811</v>
      </c>
      <c r="D2349" s="19" t="s">
        <v>31</v>
      </c>
      <c r="E2349" s="19" t="s">
        <v>10459</v>
      </c>
      <c r="F2349" s="21">
        <f t="shared" si="554"/>
        <v>5.2400000000000002</v>
      </c>
      <c r="G2349" s="21">
        <f t="shared" si="554"/>
        <v>5.2400000000000002</v>
      </c>
      <c r="H2349" s="21">
        <f t="shared" si="554"/>
        <v>5.2400000000000002</v>
      </c>
      <c r="I2349" s="24" t="str">
        <f t="shared" si="555"/>
        <v xml:space="preserve">COM VALOR</v>
      </c>
      <c r="L2349" s="36">
        <v>5.2400000000000002</v>
      </c>
      <c r="M2349" s="37">
        <v>5.2400000000000002</v>
      </c>
      <c r="N2349" s="36">
        <v>5.2400000000000002</v>
      </c>
    </row>
    <row r="2350" ht="25.5">
      <c r="A2350" s="19" t="s">
        <v>10460</v>
      </c>
      <c r="B2350" s="19">
        <v>3496</v>
      </c>
      <c r="C2350" s="20" t="s">
        <v>12812</v>
      </c>
      <c r="D2350" s="19" t="s">
        <v>31</v>
      </c>
      <c r="E2350" s="19" t="s">
        <v>10459</v>
      </c>
      <c r="F2350" s="21">
        <f t="shared" si="554"/>
        <v>3.5</v>
      </c>
      <c r="G2350" s="21">
        <f t="shared" si="554"/>
        <v>3.5</v>
      </c>
      <c r="H2350" s="21">
        <f t="shared" si="554"/>
        <v>3.5</v>
      </c>
      <c r="I2350" s="24" t="str">
        <f t="shared" si="555"/>
        <v xml:space="preserve">COM VALOR</v>
      </c>
      <c r="L2350" s="36">
        <v>3.5</v>
      </c>
      <c r="M2350" s="37">
        <v>3.5</v>
      </c>
      <c r="N2350" s="36">
        <v>3.5</v>
      </c>
    </row>
    <row r="2351" ht="25.5">
      <c r="A2351" s="19" t="s">
        <v>10460</v>
      </c>
      <c r="B2351" s="19">
        <v>38429</v>
      </c>
      <c r="C2351" s="20" t="s">
        <v>12813</v>
      </c>
      <c r="D2351" s="19" t="s">
        <v>31</v>
      </c>
      <c r="E2351" s="19" t="s">
        <v>10459</v>
      </c>
      <c r="F2351" s="21">
        <f t="shared" si="554"/>
        <v>13.630000000000001</v>
      </c>
      <c r="G2351" s="21">
        <f t="shared" si="554"/>
        <v>13.630000000000001</v>
      </c>
      <c r="H2351" s="21">
        <f t="shared" si="554"/>
        <v>13.630000000000001</v>
      </c>
      <c r="I2351" s="24" t="str">
        <f t="shared" si="555"/>
        <v xml:space="preserve">COM VALOR</v>
      </c>
      <c r="L2351" s="36">
        <v>13.630000000000001</v>
      </c>
      <c r="M2351" s="37">
        <v>13.630000000000001</v>
      </c>
      <c r="N2351" s="36">
        <v>13.630000000000001</v>
      </c>
    </row>
    <row r="2352" ht="25.5">
      <c r="A2352" s="19" t="s">
        <v>10460</v>
      </c>
      <c r="B2352" s="19">
        <v>38431</v>
      </c>
      <c r="C2352" s="20" t="s">
        <v>12814</v>
      </c>
      <c r="D2352" s="19" t="s">
        <v>31</v>
      </c>
      <c r="E2352" s="19" t="s">
        <v>10459</v>
      </c>
      <c r="F2352" s="21">
        <f t="shared" si="554"/>
        <v>17.09</v>
      </c>
      <c r="G2352" s="21">
        <f t="shared" si="554"/>
        <v>17.09</v>
      </c>
      <c r="H2352" s="21">
        <f t="shared" si="554"/>
        <v>17.09</v>
      </c>
      <c r="I2352" s="24" t="str">
        <f t="shared" si="555"/>
        <v xml:space="preserve">COM VALOR</v>
      </c>
      <c r="L2352" s="36">
        <v>17.09</v>
      </c>
      <c r="M2352" s="37">
        <v>17.09</v>
      </c>
      <c r="N2352" s="36">
        <v>17.09</v>
      </c>
    </row>
    <row r="2353" ht="25.5">
      <c r="A2353" s="19" t="s">
        <v>10460</v>
      </c>
      <c r="B2353" s="19">
        <v>38430</v>
      </c>
      <c r="C2353" s="20" t="s">
        <v>12815</v>
      </c>
      <c r="D2353" s="19" t="s">
        <v>31</v>
      </c>
      <c r="E2353" s="19" t="s">
        <v>10459</v>
      </c>
      <c r="F2353" s="21">
        <f t="shared" si="554"/>
        <v>26.5</v>
      </c>
      <c r="G2353" s="21">
        <f t="shared" si="554"/>
        <v>26.5</v>
      </c>
      <c r="H2353" s="21">
        <f t="shared" si="554"/>
        <v>26.5</v>
      </c>
      <c r="I2353" s="24" t="str">
        <f t="shared" si="555"/>
        <v xml:space="preserve">COM VALOR</v>
      </c>
      <c r="L2353" s="36">
        <v>26.5</v>
      </c>
      <c r="M2353" s="37">
        <v>26.5</v>
      </c>
      <c r="N2353" s="36">
        <v>26.5</v>
      </c>
    </row>
    <row r="2354" ht="25.5">
      <c r="A2354" s="19" t="s">
        <v>10460</v>
      </c>
      <c r="B2354" s="19">
        <v>36348</v>
      </c>
      <c r="C2354" s="20" t="s">
        <v>12816</v>
      </c>
      <c r="D2354" s="19" t="s">
        <v>31</v>
      </c>
      <c r="E2354" s="19" t="s">
        <v>10459</v>
      </c>
      <c r="F2354" s="21" t="str">
        <f t="shared" si="554"/>
        <v>VERIFICAR</v>
      </c>
      <c r="G2354" s="21" t="str">
        <f t="shared" si="554"/>
        <v>VERIFICAR</v>
      </c>
      <c r="H2354" s="21" t="str">
        <f t="shared" si="554"/>
        <v>VERIFICAR</v>
      </c>
      <c r="I2354" s="24" t="str">
        <f t="shared" si="555"/>
        <v xml:space="preserve">SEM VALOR</v>
      </c>
      <c r="L2354" s="36"/>
      <c r="M2354" s="37"/>
      <c r="N2354" s="36"/>
    </row>
    <row r="2355" ht="25.5">
      <c r="A2355" s="19" t="s">
        <v>10460</v>
      </c>
      <c r="B2355" s="19">
        <v>36349</v>
      </c>
      <c r="C2355" s="20" t="s">
        <v>12817</v>
      </c>
      <c r="D2355" s="19" t="s">
        <v>31</v>
      </c>
      <c r="E2355" s="19" t="s">
        <v>10459</v>
      </c>
      <c r="F2355" s="21" t="str">
        <f t="shared" si="554"/>
        <v>VERIFICAR</v>
      </c>
      <c r="G2355" s="21" t="str">
        <f t="shared" si="554"/>
        <v>VERIFICAR</v>
      </c>
      <c r="H2355" s="21" t="str">
        <f t="shared" si="554"/>
        <v>VERIFICAR</v>
      </c>
      <c r="I2355" s="24" t="str">
        <f t="shared" si="555"/>
        <v xml:space="preserve">SEM VALOR</v>
      </c>
      <c r="L2355" s="36"/>
      <c r="M2355" s="37"/>
      <c r="N2355" s="36"/>
    </row>
    <row r="2356" ht="25.5">
      <c r="A2356" s="19" t="s">
        <v>10460</v>
      </c>
      <c r="B2356" s="19">
        <v>38987</v>
      </c>
      <c r="C2356" s="20" t="s">
        <v>12818</v>
      </c>
      <c r="D2356" s="19" t="s">
        <v>31</v>
      </c>
      <c r="E2356" s="19" t="s">
        <v>10459</v>
      </c>
      <c r="F2356" s="21" t="str">
        <f t="shared" si="554"/>
        <v>VERIFICAR</v>
      </c>
      <c r="G2356" s="21" t="str">
        <f t="shared" si="554"/>
        <v>VERIFICAR</v>
      </c>
      <c r="H2356" s="21" t="str">
        <f t="shared" si="554"/>
        <v>VERIFICAR</v>
      </c>
      <c r="I2356" s="24" t="str">
        <f t="shared" si="555"/>
        <v xml:space="preserve">SEM VALOR</v>
      </c>
      <c r="L2356" s="36"/>
      <c r="M2356" s="37"/>
      <c r="N2356" s="36"/>
    </row>
    <row r="2357" ht="25.5">
      <c r="A2357" s="19" t="s">
        <v>10460</v>
      </c>
      <c r="B2357" s="19">
        <v>38988</v>
      </c>
      <c r="C2357" s="20" t="s">
        <v>12819</v>
      </c>
      <c r="D2357" s="19" t="s">
        <v>31</v>
      </c>
      <c r="E2357" s="19" t="s">
        <v>10459</v>
      </c>
      <c r="F2357" s="21" t="str">
        <f t="shared" si="554"/>
        <v>VERIFICAR</v>
      </c>
      <c r="G2357" s="21" t="str">
        <f t="shared" si="554"/>
        <v>VERIFICAR</v>
      </c>
      <c r="H2357" s="21" t="str">
        <f t="shared" si="554"/>
        <v>VERIFICAR</v>
      </c>
      <c r="I2357" s="24" t="str">
        <f t="shared" si="555"/>
        <v xml:space="preserve">SEM VALOR</v>
      </c>
      <c r="L2357" s="36"/>
      <c r="M2357" s="37"/>
      <c r="N2357" s="36"/>
    </row>
    <row r="2358" ht="25.5">
      <c r="A2358" s="19" t="s">
        <v>10460</v>
      </c>
      <c r="B2358" s="19">
        <v>38989</v>
      </c>
      <c r="C2358" s="20" t="s">
        <v>12820</v>
      </c>
      <c r="D2358" s="19" t="s">
        <v>31</v>
      </c>
      <c r="E2358" s="19" t="s">
        <v>10459</v>
      </c>
      <c r="F2358" s="21" t="str">
        <f t="shared" si="554"/>
        <v>VERIFICAR</v>
      </c>
      <c r="G2358" s="21" t="str">
        <f t="shared" si="554"/>
        <v>VERIFICAR</v>
      </c>
      <c r="H2358" s="21" t="str">
        <f t="shared" si="554"/>
        <v>VERIFICAR</v>
      </c>
      <c r="I2358" s="24" t="str">
        <f t="shared" si="555"/>
        <v xml:space="preserve">SEM VALOR</v>
      </c>
      <c r="L2358" s="36"/>
      <c r="M2358" s="37"/>
      <c r="N2358" s="36"/>
    </row>
    <row r="2359" ht="25.5">
      <c r="A2359" s="19" t="s">
        <v>10460</v>
      </c>
      <c r="B2359" s="19">
        <v>38990</v>
      </c>
      <c r="C2359" s="20" t="s">
        <v>12821</v>
      </c>
      <c r="D2359" s="19" t="s">
        <v>31</v>
      </c>
      <c r="E2359" s="19" t="s">
        <v>10459</v>
      </c>
      <c r="F2359" s="21" t="str">
        <f t="shared" si="554"/>
        <v>VERIFICAR</v>
      </c>
      <c r="G2359" s="21" t="str">
        <f t="shared" si="554"/>
        <v>VERIFICAR</v>
      </c>
      <c r="H2359" s="21" t="str">
        <f t="shared" si="554"/>
        <v>VERIFICAR</v>
      </c>
      <c r="I2359" s="24" t="str">
        <f t="shared" si="555"/>
        <v xml:space="preserve">SEM VALOR</v>
      </c>
      <c r="L2359" s="36"/>
      <c r="M2359" s="37"/>
      <c r="N2359" s="36"/>
    </row>
    <row r="2360" ht="25.5">
      <c r="A2360" s="19" t="s">
        <v>10460</v>
      </c>
      <c r="B2360" s="19">
        <v>38991</v>
      </c>
      <c r="C2360" s="20" t="s">
        <v>12822</v>
      </c>
      <c r="D2360" s="19" t="s">
        <v>31</v>
      </c>
      <c r="E2360" s="19" t="s">
        <v>10459</v>
      </c>
      <c r="F2360" s="21" t="str">
        <f t="shared" si="554"/>
        <v>VERIFICAR</v>
      </c>
      <c r="G2360" s="21" t="str">
        <f t="shared" si="554"/>
        <v>VERIFICAR</v>
      </c>
      <c r="H2360" s="21" t="str">
        <f t="shared" si="554"/>
        <v>VERIFICAR</v>
      </c>
      <c r="I2360" s="24" t="str">
        <f t="shared" si="555"/>
        <v xml:space="preserve">SEM VALOR</v>
      </c>
      <c r="L2360" s="36"/>
      <c r="M2360" s="37"/>
      <c r="N2360" s="36"/>
    </row>
    <row r="2361" ht="25.5">
      <c r="A2361" s="19" t="s">
        <v>10460</v>
      </c>
      <c r="B2361" s="19">
        <v>38433</v>
      </c>
      <c r="C2361" s="20" t="s">
        <v>12823</v>
      </c>
      <c r="D2361" s="19" t="s">
        <v>31</v>
      </c>
      <c r="E2361" s="19" t="s">
        <v>10459</v>
      </c>
      <c r="F2361" s="21" t="str">
        <f t="shared" si="554"/>
        <v>VERIFICAR</v>
      </c>
      <c r="G2361" s="21" t="str">
        <f t="shared" si="554"/>
        <v>VERIFICAR</v>
      </c>
      <c r="H2361" s="21" t="str">
        <f t="shared" si="554"/>
        <v>VERIFICAR</v>
      </c>
      <c r="I2361" s="24" t="str">
        <f t="shared" si="555"/>
        <v xml:space="preserve">SEM VALOR</v>
      </c>
      <c r="L2361" s="36"/>
      <c r="M2361" s="37"/>
      <c r="N2361" s="36"/>
    </row>
    <row r="2362" ht="25.5">
      <c r="A2362" s="19" t="s">
        <v>10460</v>
      </c>
      <c r="B2362" s="19">
        <v>38440</v>
      </c>
      <c r="C2362" s="20" t="s">
        <v>12824</v>
      </c>
      <c r="D2362" s="19" t="s">
        <v>31</v>
      </c>
      <c r="E2362" s="19" t="s">
        <v>10459</v>
      </c>
      <c r="F2362" s="21" t="str">
        <f t="shared" si="554"/>
        <v>VERIFICAR</v>
      </c>
      <c r="G2362" s="21" t="str">
        <f t="shared" si="554"/>
        <v>VERIFICAR</v>
      </c>
      <c r="H2362" s="21" t="str">
        <f t="shared" si="554"/>
        <v>VERIFICAR</v>
      </c>
      <c r="I2362" s="24" t="str">
        <f t="shared" si="555"/>
        <v xml:space="preserve">SEM VALOR</v>
      </c>
      <c r="L2362" s="36"/>
      <c r="M2362" s="37"/>
      <c r="N2362" s="36"/>
    </row>
    <row r="2363" ht="25.5">
      <c r="A2363" s="19" t="s">
        <v>10460</v>
      </c>
      <c r="B2363" s="19">
        <v>36359</v>
      </c>
      <c r="C2363" s="20" t="s">
        <v>12825</v>
      </c>
      <c r="D2363" s="19" t="s">
        <v>31</v>
      </c>
      <c r="E2363" s="19" t="s">
        <v>10459</v>
      </c>
      <c r="F2363" s="21" t="str">
        <f t="shared" si="554"/>
        <v>VERIFICAR</v>
      </c>
      <c r="G2363" s="21" t="str">
        <f t="shared" si="554"/>
        <v>VERIFICAR</v>
      </c>
      <c r="H2363" s="21" t="str">
        <f t="shared" si="554"/>
        <v>VERIFICAR</v>
      </c>
      <c r="I2363" s="24" t="str">
        <f t="shared" si="555"/>
        <v xml:space="preserve">SEM VALOR</v>
      </c>
      <c r="L2363" s="36"/>
      <c r="M2363" s="37"/>
      <c r="N2363" s="36"/>
    </row>
    <row r="2364" ht="25.5">
      <c r="A2364" s="19" t="s">
        <v>10460</v>
      </c>
      <c r="B2364" s="19">
        <v>36360</v>
      </c>
      <c r="C2364" s="20" t="s">
        <v>12826</v>
      </c>
      <c r="D2364" s="19" t="s">
        <v>31</v>
      </c>
      <c r="E2364" s="19" t="s">
        <v>10459</v>
      </c>
      <c r="F2364" s="21" t="str">
        <f t="shared" si="554"/>
        <v>VERIFICAR</v>
      </c>
      <c r="G2364" s="21" t="str">
        <f t="shared" si="554"/>
        <v>VERIFICAR</v>
      </c>
      <c r="H2364" s="21" t="str">
        <f t="shared" si="554"/>
        <v>VERIFICAR</v>
      </c>
      <c r="I2364" s="24" t="str">
        <f t="shared" si="555"/>
        <v xml:space="preserve">SEM VALOR</v>
      </c>
      <c r="L2364" s="36"/>
      <c r="M2364" s="37"/>
      <c r="N2364" s="36"/>
    </row>
    <row r="2365" ht="25.5">
      <c r="A2365" s="19" t="s">
        <v>10460</v>
      </c>
      <c r="B2365" s="19">
        <v>38434</v>
      </c>
      <c r="C2365" s="20" t="s">
        <v>12827</v>
      </c>
      <c r="D2365" s="19" t="s">
        <v>31</v>
      </c>
      <c r="E2365" s="19" t="s">
        <v>10459</v>
      </c>
      <c r="F2365" s="21" t="str">
        <f t="shared" si="554"/>
        <v>VERIFICAR</v>
      </c>
      <c r="G2365" s="21" t="str">
        <f t="shared" si="554"/>
        <v>VERIFICAR</v>
      </c>
      <c r="H2365" s="21" t="str">
        <f t="shared" si="554"/>
        <v>VERIFICAR</v>
      </c>
      <c r="I2365" s="24" t="str">
        <f t="shared" si="555"/>
        <v xml:space="preserve">SEM VALOR</v>
      </c>
      <c r="L2365" s="36"/>
      <c r="M2365" s="37"/>
      <c r="N2365" s="36"/>
    </row>
    <row r="2366" ht="25.5">
      <c r="A2366" s="19" t="s">
        <v>10460</v>
      </c>
      <c r="B2366" s="19">
        <v>38435</v>
      </c>
      <c r="C2366" s="20" t="s">
        <v>12828</v>
      </c>
      <c r="D2366" s="19" t="s">
        <v>31</v>
      </c>
      <c r="E2366" s="19" t="s">
        <v>10459</v>
      </c>
      <c r="F2366" s="21" t="str">
        <f t="shared" si="554"/>
        <v>VERIFICAR</v>
      </c>
      <c r="G2366" s="21" t="str">
        <f t="shared" si="554"/>
        <v>VERIFICAR</v>
      </c>
      <c r="H2366" s="21" t="str">
        <f t="shared" si="554"/>
        <v>VERIFICAR</v>
      </c>
      <c r="I2366" s="24" t="str">
        <f t="shared" si="555"/>
        <v xml:space="preserve">SEM VALOR</v>
      </c>
      <c r="L2366" s="36"/>
      <c r="M2366" s="37"/>
      <c r="N2366" s="36"/>
    </row>
    <row r="2367" ht="25.5">
      <c r="A2367" s="19" t="s">
        <v>10460</v>
      </c>
      <c r="B2367" s="19">
        <v>38436</v>
      </c>
      <c r="C2367" s="20" t="s">
        <v>12829</v>
      </c>
      <c r="D2367" s="19" t="s">
        <v>31</v>
      </c>
      <c r="E2367" s="19" t="s">
        <v>10459</v>
      </c>
      <c r="F2367" s="21" t="str">
        <f t="shared" si="554"/>
        <v>VERIFICAR</v>
      </c>
      <c r="G2367" s="21" t="str">
        <f t="shared" si="554"/>
        <v>VERIFICAR</v>
      </c>
      <c r="H2367" s="21" t="str">
        <f t="shared" si="554"/>
        <v>VERIFICAR</v>
      </c>
      <c r="I2367" s="24" t="str">
        <f t="shared" si="555"/>
        <v xml:space="preserve">SEM VALOR</v>
      </c>
      <c r="L2367" s="36"/>
      <c r="M2367" s="37"/>
      <c r="N2367" s="36"/>
    </row>
    <row r="2368" ht="25.5">
      <c r="A2368" s="19" t="s">
        <v>10460</v>
      </c>
      <c r="B2368" s="19">
        <v>38437</v>
      </c>
      <c r="C2368" s="20" t="s">
        <v>12830</v>
      </c>
      <c r="D2368" s="19" t="s">
        <v>31</v>
      </c>
      <c r="E2368" s="19" t="s">
        <v>10459</v>
      </c>
      <c r="F2368" s="21" t="str">
        <f t="shared" si="554"/>
        <v>VERIFICAR</v>
      </c>
      <c r="G2368" s="21" t="str">
        <f t="shared" si="554"/>
        <v>VERIFICAR</v>
      </c>
      <c r="H2368" s="21" t="str">
        <f t="shared" si="554"/>
        <v>VERIFICAR</v>
      </c>
      <c r="I2368" s="24" t="str">
        <f t="shared" si="555"/>
        <v xml:space="preserve">SEM VALOR</v>
      </c>
      <c r="L2368" s="36"/>
      <c r="M2368" s="37"/>
      <c r="N2368" s="36"/>
    </row>
    <row r="2369" ht="25.5">
      <c r="A2369" s="19" t="s">
        <v>10460</v>
      </c>
      <c r="B2369" s="19">
        <v>38438</v>
      </c>
      <c r="C2369" s="20" t="s">
        <v>12831</v>
      </c>
      <c r="D2369" s="19" t="s">
        <v>31</v>
      </c>
      <c r="E2369" s="19" t="s">
        <v>10459</v>
      </c>
      <c r="F2369" s="21" t="str">
        <f t="shared" si="554"/>
        <v>VERIFICAR</v>
      </c>
      <c r="G2369" s="21" t="str">
        <f t="shared" si="554"/>
        <v>VERIFICAR</v>
      </c>
      <c r="H2369" s="21" t="str">
        <f t="shared" si="554"/>
        <v>VERIFICAR</v>
      </c>
      <c r="I2369" s="24" t="str">
        <f t="shared" si="555"/>
        <v xml:space="preserve">SEM VALOR</v>
      </c>
      <c r="L2369" s="36"/>
      <c r="M2369" s="37"/>
      <c r="N2369" s="36"/>
    </row>
    <row r="2370" ht="25.5">
      <c r="A2370" s="19" t="s">
        <v>10460</v>
      </c>
      <c r="B2370" s="19">
        <v>38439</v>
      </c>
      <c r="C2370" s="20" t="s">
        <v>12832</v>
      </c>
      <c r="D2370" s="19" t="s">
        <v>31</v>
      </c>
      <c r="E2370" s="19" t="s">
        <v>10459</v>
      </c>
      <c r="F2370" s="21" t="str">
        <f t="shared" si="554"/>
        <v>VERIFICAR</v>
      </c>
      <c r="G2370" s="21" t="str">
        <f t="shared" si="554"/>
        <v>VERIFICAR</v>
      </c>
      <c r="H2370" s="21" t="str">
        <f t="shared" si="554"/>
        <v>VERIFICAR</v>
      </c>
      <c r="I2370" s="24" t="str">
        <f t="shared" si="555"/>
        <v xml:space="preserve">SEM VALOR</v>
      </c>
      <c r="L2370" s="36"/>
      <c r="M2370" s="37"/>
      <c r="N2370" s="36"/>
    </row>
    <row r="2371" ht="25.5">
      <c r="A2371" s="19" t="s">
        <v>10460</v>
      </c>
      <c r="B2371" s="19">
        <v>10836</v>
      </c>
      <c r="C2371" s="20" t="s">
        <v>12833</v>
      </c>
      <c r="D2371" s="19" t="s">
        <v>31</v>
      </c>
      <c r="E2371" s="19" t="s">
        <v>10459</v>
      </c>
      <c r="F2371" s="21">
        <f t="shared" si="554"/>
        <v>22.82</v>
      </c>
      <c r="G2371" s="21">
        <f t="shared" si="554"/>
        <v>22.82</v>
      </c>
      <c r="H2371" s="21">
        <f t="shared" si="554"/>
        <v>22.82</v>
      </c>
      <c r="I2371" s="24" t="str">
        <f t="shared" si="555"/>
        <v xml:space="preserve">COM VALOR</v>
      </c>
      <c r="L2371" s="36">
        <v>22.82</v>
      </c>
      <c r="M2371" s="37">
        <v>22.82</v>
      </c>
      <c r="N2371" s="36">
        <v>22.82</v>
      </c>
    </row>
    <row r="2372" ht="25.5">
      <c r="A2372" s="19" t="s">
        <v>10460</v>
      </c>
      <c r="B2372" s="19">
        <v>3510</v>
      </c>
      <c r="C2372" s="20" t="s">
        <v>12834</v>
      </c>
      <c r="D2372" s="19" t="s">
        <v>31</v>
      </c>
      <c r="E2372" s="19" t="s">
        <v>10459</v>
      </c>
      <c r="F2372" s="21">
        <f t="shared" si="554"/>
        <v>13.140000000000001</v>
      </c>
      <c r="G2372" s="21">
        <f t="shared" si="554"/>
        <v>13.140000000000001</v>
      </c>
      <c r="H2372" s="21">
        <f t="shared" si="554"/>
        <v>13.140000000000001</v>
      </c>
      <c r="I2372" s="24" t="str">
        <f t="shared" si="555"/>
        <v xml:space="preserve">COM VALOR</v>
      </c>
      <c r="L2372" s="36">
        <v>13.140000000000001</v>
      </c>
      <c r="M2372" s="37">
        <v>13.140000000000001</v>
      </c>
      <c r="N2372" s="36">
        <v>13.140000000000001</v>
      </c>
    </row>
    <row r="2373" ht="25.5">
      <c r="A2373" s="19" t="s">
        <v>10460</v>
      </c>
      <c r="B2373" s="19">
        <v>10835</v>
      </c>
      <c r="C2373" s="20" t="s">
        <v>12835</v>
      </c>
      <c r="D2373" s="19" t="s">
        <v>31</v>
      </c>
      <c r="E2373" s="19" t="s">
        <v>10459</v>
      </c>
      <c r="F2373" s="21">
        <f t="shared" si="554"/>
        <v>6.3700000000000001</v>
      </c>
      <c r="G2373" s="21">
        <f t="shared" si="554"/>
        <v>6.3700000000000001</v>
      </c>
      <c r="H2373" s="21">
        <f t="shared" si="554"/>
        <v>6.3700000000000001</v>
      </c>
      <c r="I2373" s="24" t="str">
        <f t="shared" si="555"/>
        <v xml:space="preserve">COM VALOR</v>
      </c>
      <c r="L2373" s="36">
        <v>6.3700000000000001</v>
      </c>
      <c r="M2373" s="37">
        <v>6.3700000000000001</v>
      </c>
      <c r="N2373" s="36">
        <v>6.3700000000000001</v>
      </c>
    </row>
    <row r="2374" ht="25.5">
      <c r="A2374" s="19" t="s">
        <v>10460</v>
      </c>
      <c r="B2374" s="19">
        <v>3485</v>
      </c>
      <c r="C2374" s="20" t="s">
        <v>12836</v>
      </c>
      <c r="D2374" s="19" t="s">
        <v>31</v>
      </c>
      <c r="E2374" s="19" t="s">
        <v>10459</v>
      </c>
      <c r="F2374" s="21">
        <f t="shared" si="554"/>
        <v>13.82</v>
      </c>
      <c r="G2374" s="21">
        <f t="shared" si="554"/>
        <v>13.82</v>
      </c>
      <c r="H2374" s="21">
        <f t="shared" si="554"/>
        <v>13.82</v>
      </c>
      <c r="I2374" s="24" t="str">
        <f t="shared" si="555"/>
        <v xml:space="preserve">COM VALOR</v>
      </c>
      <c r="L2374" s="36">
        <v>13.82</v>
      </c>
      <c r="M2374" s="37">
        <v>13.82</v>
      </c>
      <c r="N2374" s="36">
        <v>13.82</v>
      </c>
    </row>
    <row r="2375" ht="25.5">
      <c r="A2375" s="19" t="s">
        <v>10460</v>
      </c>
      <c r="B2375" s="19">
        <v>3475</v>
      </c>
      <c r="C2375" s="20" t="s">
        <v>12837</v>
      </c>
      <c r="D2375" s="19" t="s">
        <v>31</v>
      </c>
      <c r="E2375" s="19" t="s">
        <v>10459</v>
      </c>
      <c r="F2375" s="21">
        <f t="shared" si="554"/>
        <v>5</v>
      </c>
      <c r="G2375" s="21">
        <f t="shared" si="554"/>
        <v>5</v>
      </c>
      <c r="H2375" s="21">
        <f t="shared" si="554"/>
        <v>5</v>
      </c>
      <c r="I2375" s="24" t="str">
        <f t="shared" si="555"/>
        <v xml:space="preserve">COM VALOR</v>
      </c>
      <c r="L2375" s="36">
        <v>5</v>
      </c>
      <c r="M2375" s="37">
        <v>5</v>
      </c>
      <c r="N2375" s="36">
        <v>5</v>
      </c>
    </row>
    <row r="2376" ht="25.5">
      <c r="A2376" s="19" t="s">
        <v>10460</v>
      </c>
      <c r="B2376" s="19">
        <v>3534</v>
      </c>
      <c r="C2376" s="20" t="s">
        <v>12838</v>
      </c>
      <c r="D2376" s="19" t="s">
        <v>31</v>
      </c>
      <c r="E2376" s="19" t="s">
        <v>10459</v>
      </c>
      <c r="F2376" s="21">
        <f t="shared" si="554"/>
        <v>7.9199999999999999</v>
      </c>
      <c r="G2376" s="21">
        <f t="shared" si="554"/>
        <v>7.9199999999999999</v>
      </c>
      <c r="H2376" s="21">
        <f t="shared" si="554"/>
        <v>7.9199999999999999</v>
      </c>
      <c r="I2376" s="24" t="str">
        <f t="shared" si="555"/>
        <v xml:space="preserve">COM VALOR</v>
      </c>
      <c r="L2376" s="36">
        <v>7.9199999999999999</v>
      </c>
      <c r="M2376" s="37">
        <v>7.9199999999999999</v>
      </c>
      <c r="N2376" s="36">
        <v>7.9199999999999999</v>
      </c>
    </row>
    <row r="2377" ht="25.5">
      <c r="A2377" s="19" t="s">
        <v>10460</v>
      </c>
      <c r="B2377" s="19">
        <v>3482</v>
      </c>
      <c r="C2377" s="20" t="s">
        <v>12839</v>
      </c>
      <c r="D2377" s="19" t="s">
        <v>31</v>
      </c>
      <c r="E2377" s="19" t="s">
        <v>10459</v>
      </c>
      <c r="F2377" s="21">
        <f t="shared" si="554"/>
        <v>5.6600000000000001</v>
      </c>
      <c r="G2377" s="21">
        <f t="shared" si="554"/>
        <v>5.6600000000000001</v>
      </c>
      <c r="H2377" s="21">
        <f t="shared" si="554"/>
        <v>5.6600000000000001</v>
      </c>
      <c r="I2377" s="24" t="str">
        <f t="shared" si="555"/>
        <v xml:space="preserve">COM VALOR</v>
      </c>
      <c r="L2377" s="36">
        <v>5.6600000000000001</v>
      </c>
      <c r="M2377" s="37">
        <v>5.6600000000000001</v>
      </c>
      <c r="N2377" s="36">
        <v>5.6600000000000001</v>
      </c>
    </row>
    <row r="2378" ht="25.5">
      <c r="A2378" s="19" t="s">
        <v>10460</v>
      </c>
      <c r="B2378" s="19">
        <v>3543</v>
      </c>
      <c r="C2378" s="20" t="s">
        <v>12840</v>
      </c>
      <c r="D2378" s="19" t="s">
        <v>31</v>
      </c>
      <c r="E2378" s="19" t="s">
        <v>10459</v>
      </c>
      <c r="F2378" s="21">
        <f t="shared" si="554"/>
        <v>1.8400000000000001</v>
      </c>
      <c r="G2378" s="21">
        <f t="shared" si="554"/>
        <v>1.8400000000000001</v>
      </c>
      <c r="H2378" s="21">
        <f t="shared" si="554"/>
        <v>1.8400000000000001</v>
      </c>
      <c r="I2378" s="24" t="str">
        <f t="shared" si="555"/>
        <v xml:space="preserve">COM VALOR</v>
      </c>
      <c r="L2378" s="36">
        <v>1.8400000000000001</v>
      </c>
      <c r="M2378" s="37">
        <v>1.8400000000000001</v>
      </c>
      <c r="N2378" s="36">
        <v>1.8400000000000001</v>
      </c>
    </row>
    <row r="2379" ht="25.5">
      <c r="A2379" s="19" t="s">
        <v>10460</v>
      </c>
      <c r="B2379" s="19">
        <v>3505</v>
      </c>
      <c r="C2379" s="20" t="s">
        <v>12841</v>
      </c>
      <c r="D2379" s="19" t="s">
        <v>31</v>
      </c>
      <c r="E2379" s="19" t="s">
        <v>10459</v>
      </c>
      <c r="F2379" s="21">
        <f t="shared" ref="F2379:H2442" si="556">IF(L2379=0,"VERIFICAR",L2379)</f>
        <v>2.73</v>
      </c>
      <c r="G2379" s="21">
        <f t="shared" si="556"/>
        <v>2.73</v>
      </c>
      <c r="H2379" s="21">
        <f t="shared" si="556"/>
        <v>2.73</v>
      </c>
      <c r="I2379" s="24" t="str">
        <f t="shared" ref="I2379:I2442" si="557">IF(OR(L2379=0,M2379=0,N2379=0),"SEM VALOR","COM VALOR")</f>
        <v xml:space="preserve">COM VALOR</v>
      </c>
      <c r="L2379" s="36">
        <v>2.73</v>
      </c>
      <c r="M2379" s="37">
        <v>2.73</v>
      </c>
      <c r="N2379" s="36">
        <v>2.73</v>
      </c>
    </row>
    <row r="2380" ht="25.5">
      <c r="A2380" s="19" t="s">
        <v>10460</v>
      </c>
      <c r="B2380" s="19">
        <v>3521</v>
      </c>
      <c r="C2380" s="20" t="s">
        <v>12842</v>
      </c>
      <c r="D2380" s="19" t="s">
        <v>31</v>
      </c>
      <c r="E2380" s="19" t="s">
        <v>10459</v>
      </c>
      <c r="F2380" s="21">
        <f t="shared" si="556"/>
        <v>2.0600000000000001</v>
      </c>
      <c r="G2380" s="21">
        <f t="shared" si="556"/>
        <v>2.0600000000000001</v>
      </c>
      <c r="H2380" s="21">
        <f t="shared" si="556"/>
        <v>2.0600000000000001</v>
      </c>
      <c r="I2380" s="24" t="str">
        <f t="shared" si="557"/>
        <v xml:space="preserve">COM VALOR</v>
      </c>
      <c r="L2380" s="36">
        <v>2.0600000000000001</v>
      </c>
      <c r="M2380" s="37">
        <v>2.0600000000000001</v>
      </c>
      <c r="N2380" s="36">
        <v>2.0600000000000001</v>
      </c>
    </row>
    <row r="2381" ht="25.5">
      <c r="A2381" s="19" t="s">
        <v>10460</v>
      </c>
      <c r="B2381" s="19">
        <v>3531</v>
      </c>
      <c r="C2381" s="20" t="s">
        <v>12843</v>
      </c>
      <c r="D2381" s="19" t="s">
        <v>31</v>
      </c>
      <c r="E2381" s="19" t="s">
        <v>10459</v>
      </c>
      <c r="F2381" s="21">
        <f t="shared" si="556"/>
        <v>3.9300000000000002</v>
      </c>
      <c r="G2381" s="21">
        <f t="shared" si="556"/>
        <v>3.9300000000000002</v>
      </c>
      <c r="H2381" s="21">
        <f t="shared" si="556"/>
        <v>3.9300000000000002</v>
      </c>
      <c r="I2381" s="24" t="str">
        <f t="shared" si="557"/>
        <v xml:space="preserve">COM VALOR</v>
      </c>
      <c r="L2381" s="36">
        <v>3.9300000000000002</v>
      </c>
      <c r="M2381" s="37">
        <v>3.9300000000000002</v>
      </c>
      <c r="N2381" s="36">
        <v>3.9300000000000002</v>
      </c>
    </row>
    <row r="2382" ht="25.5">
      <c r="A2382" s="19" t="s">
        <v>10460</v>
      </c>
      <c r="B2382" s="19">
        <v>3522</v>
      </c>
      <c r="C2382" s="20" t="s">
        <v>12844</v>
      </c>
      <c r="D2382" s="19" t="s">
        <v>31</v>
      </c>
      <c r="E2382" s="19" t="s">
        <v>10459</v>
      </c>
      <c r="F2382" s="21">
        <f t="shared" si="556"/>
        <v>2.5299999999999998</v>
      </c>
      <c r="G2382" s="21">
        <f t="shared" si="556"/>
        <v>2.5299999999999998</v>
      </c>
      <c r="H2382" s="21">
        <f t="shared" si="556"/>
        <v>2.5299999999999998</v>
      </c>
      <c r="I2382" s="24" t="str">
        <f t="shared" si="557"/>
        <v xml:space="preserve">COM VALOR</v>
      </c>
      <c r="L2382" s="36">
        <v>2.5299999999999998</v>
      </c>
      <c r="M2382" s="37">
        <v>2.5299999999999998</v>
      </c>
      <c r="N2382" s="36">
        <v>2.5299999999999998</v>
      </c>
    </row>
    <row r="2383" ht="25.5">
      <c r="A2383" s="19" t="s">
        <v>10460</v>
      </c>
      <c r="B2383" s="19">
        <v>3527</v>
      </c>
      <c r="C2383" s="20" t="s">
        <v>12845</v>
      </c>
      <c r="D2383" s="19" t="s">
        <v>31</v>
      </c>
      <c r="E2383" s="19" t="s">
        <v>10459</v>
      </c>
      <c r="F2383" s="21">
        <f t="shared" si="556"/>
        <v>13.31</v>
      </c>
      <c r="G2383" s="21">
        <f t="shared" si="556"/>
        <v>13.31</v>
      </c>
      <c r="H2383" s="21">
        <f t="shared" si="556"/>
        <v>13.31</v>
      </c>
      <c r="I2383" s="24" t="str">
        <f t="shared" si="557"/>
        <v xml:space="preserve">COM VALOR</v>
      </c>
      <c r="L2383" s="36">
        <v>13.31</v>
      </c>
      <c r="M2383" s="37">
        <v>13.31</v>
      </c>
      <c r="N2383" s="36">
        <v>13.31</v>
      </c>
    </row>
    <row r="2384" ht="25.5">
      <c r="A2384" s="19" t="s">
        <v>10460</v>
      </c>
      <c r="B2384" s="19">
        <v>3530</v>
      </c>
      <c r="C2384" s="20" t="s">
        <v>12846</v>
      </c>
      <c r="D2384" s="19" t="s">
        <v>31</v>
      </c>
      <c r="E2384" s="19" t="s">
        <v>10459</v>
      </c>
      <c r="F2384" s="21">
        <f t="shared" si="556"/>
        <v>215.63</v>
      </c>
      <c r="G2384" s="21">
        <f t="shared" si="556"/>
        <v>215.63</v>
      </c>
      <c r="H2384" s="21">
        <f t="shared" si="556"/>
        <v>215.63</v>
      </c>
      <c r="I2384" s="24" t="str">
        <f t="shared" si="557"/>
        <v xml:space="preserve">COM VALOR</v>
      </c>
      <c r="L2384" s="36">
        <v>215.63</v>
      </c>
      <c r="M2384" s="37">
        <v>215.63</v>
      </c>
      <c r="N2384" s="36">
        <v>215.63</v>
      </c>
    </row>
    <row r="2385" ht="25.5">
      <c r="A2385" s="19" t="s">
        <v>10460</v>
      </c>
      <c r="B2385" s="19">
        <v>3542</v>
      </c>
      <c r="C2385" s="20" t="s">
        <v>12847</v>
      </c>
      <c r="D2385" s="19" t="s">
        <v>31</v>
      </c>
      <c r="E2385" s="19" t="s">
        <v>10459</v>
      </c>
      <c r="F2385" s="21">
        <f t="shared" si="556"/>
        <v>0.62</v>
      </c>
      <c r="G2385" s="21">
        <f t="shared" si="556"/>
        <v>0.62</v>
      </c>
      <c r="H2385" s="21">
        <f t="shared" si="556"/>
        <v>0.62</v>
      </c>
      <c r="I2385" s="24" t="str">
        <f t="shared" si="557"/>
        <v xml:space="preserve">COM VALOR</v>
      </c>
      <c r="L2385" s="36">
        <v>0.62</v>
      </c>
      <c r="M2385" s="37">
        <v>0.62</v>
      </c>
      <c r="N2385" s="36">
        <v>0.62</v>
      </c>
    </row>
    <row r="2386" ht="25.5">
      <c r="A2386" s="19" t="s">
        <v>10460</v>
      </c>
      <c r="B2386" s="19">
        <v>3529</v>
      </c>
      <c r="C2386" s="20" t="s">
        <v>12848</v>
      </c>
      <c r="D2386" s="19" t="s">
        <v>31</v>
      </c>
      <c r="E2386" s="19" t="s">
        <v>10459</v>
      </c>
      <c r="F2386" s="21">
        <f t="shared" si="556"/>
        <v>0.76000000000000001</v>
      </c>
      <c r="G2386" s="21">
        <f t="shared" si="556"/>
        <v>0.76000000000000001</v>
      </c>
      <c r="H2386" s="21">
        <f t="shared" si="556"/>
        <v>0.76000000000000001</v>
      </c>
      <c r="I2386" s="24" t="str">
        <f t="shared" si="557"/>
        <v xml:space="preserve">COM VALOR</v>
      </c>
      <c r="L2386" s="36">
        <v>0.76000000000000001</v>
      </c>
      <c r="M2386" s="37">
        <v>0.76000000000000001</v>
      </c>
      <c r="N2386" s="36">
        <v>0.76000000000000001</v>
      </c>
    </row>
    <row r="2387" ht="25.5">
      <c r="A2387" s="19" t="s">
        <v>10460</v>
      </c>
      <c r="B2387" s="19">
        <v>3536</v>
      </c>
      <c r="C2387" s="20" t="s">
        <v>12849</v>
      </c>
      <c r="D2387" s="19" t="s">
        <v>31</v>
      </c>
      <c r="E2387" s="19" t="s">
        <v>10459</v>
      </c>
      <c r="F2387" s="21">
        <f t="shared" si="556"/>
        <v>2.5299999999999998</v>
      </c>
      <c r="G2387" s="21">
        <f t="shared" si="556"/>
        <v>2.5299999999999998</v>
      </c>
      <c r="H2387" s="21">
        <f t="shared" si="556"/>
        <v>2.5299999999999998</v>
      </c>
      <c r="I2387" s="24" t="str">
        <f t="shared" si="557"/>
        <v xml:space="preserve">COM VALOR</v>
      </c>
      <c r="L2387" s="36">
        <v>2.5299999999999998</v>
      </c>
      <c r="M2387" s="37">
        <v>2.5299999999999998</v>
      </c>
      <c r="N2387" s="36">
        <v>2.5299999999999998</v>
      </c>
    </row>
    <row r="2388" ht="25.5">
      <c r="A2388" s="19" t="s">
        <v>10460</v>
      </c>
      <c r="B2388" s="19">
        <v>3535</v>
      </c>
      <c r="C2388" s="20" t="s">
        <v>12850</v>
      </c>
      <c r="D2388" s="19" t="s">
        <v>31</v>
      </c>
      <c r="E2388" s="19" t="s">
        <v>10459</v>
      </c>
      <c r="F2388" s="21">
        <f t="shared" si="556"/>
        <v>6.1500000000000004</v>
      </c>
      <c r="G2388" s="21">
        <f t="shared" si="556"/>
        <v>6.1500000000000004</v>
      </c>
      <c r="H2388" s="21">
        <f t="shared" si="556"/>
        <v>6.1500000000000004</v>
      </c>
      <c r="I2388" s="24" t="str">
        <f t="shared" si="557"/>
        <v xml:space="preserve">COM VALOR</v>
      </c>
      <c r="L2388" s="36">
        <v>6.1500000000000004</v>
      </c>
      <c r="M2388" s="37">
        <v>6.1500000000000004</v>
      </c>
      <c r="N2388" s="36">
        <v>6.1500000000000004</v>
      </c>
    </row>
    <row r="2389" ht="25.5">
      <c r="A2389" s="19" t="s">
        <v>10460</v>
      </c>
      <c r="B2389" s="19">
        <v>3540</v>
      </c>
      <c r="C2389" s="20" t="s">
        <v>12851</v>
      </c>
      <c r="D2389" s="19" t="s">
        <v>31</v>
      </c>
      <c r="E2389" s="19" t="s">
        <v>10459</v>
      </c>
      <c r="F2389" s="21">
        <f t="shared" si="556"/>
        <v>5.21</v>
      </c>
      <c r="G2389" s="21">
        <f t="shared" si="556"/>
        <v>5.21</v>
      </c>
      <c r="H2389" s="21">
        <f t="shared" si="556"/>
        <v>5.21</v>
      </c>
      <c r="I2389" s="24" t="str">
        <f t="shared" si="557"/>
        <v xml:space="preserve">COM VALOR</v>
      </c>
      <c r="L2389" s="36">
        <v>5.21</v>
      </c>
      <c r="M2389" s="37">
        <v>5.21</v>
      </c>
      <c r="N2389" s="36">
        <v>5.21</v>
      </c>
    </row>
    <row r="2390" ht="25.5">
      <c r="A2390" s="19" t="s">
        <v>10460</v>
      </c>
      <c r="B2390" s="19">
        <v>3539</v>
      </c>
      <c r="C2390" s="20" t="s">
        <v>12852</v>
      </c>
      <c r="D2390" s="19" t="s">
        <v>31</v>
      </c>
      <c r="E2390" s="19" t="s">
        <v>10459</v>
      </c>
      <c r="F2390" s="21">
        <f t="shared" si="556"/>
        <v>30.18</v>
      </c>
      <c r="G2390" s="21">
        <f t="shared" si="556"/>
        <v>30.18</v>
      </c>
      <c r="H2390" s="21">
        <f t="shared" si="556"/>
        <v>30.18</v>
      </c>
      <c r="I2390" s="24" t="str">
        <f t="shared" si="557"/>
        <v xml:space="preserve">COM VALOR</v>
      </c>
      <c r="L2390" s="36">
        <v>30.18</v>
      </c>
      <c r="M2390" s="37">
        <v>30.18</v>
      </c>
      <c r="N2390" s="36">
        <v>30.18</v>
      </c>
    </row>
    <row r="2391" ht="25.5">
      <c r="A2391" s="19" t="s">
        <v>10460</v>
      </c>
      <c r="B2391" s="19">
        <v>3513</v>
      </c>
      <c r="C2391" s="20" t="s">
        <v>12853</v>
      </c>
      <c r="D2391" s="19" t="s">
        <v>31</v>
      </c>
      <c r="E2391" s="19" t="s">
        <v>10459</v>
      </c>
      <c r="F2391" s="21">
        <f t="shared" si="556"/>
        <v>106.42</v>
      </c>
      <c r="G2391" s="21">
        <f t="shared" si="556"/>
        <v>106.42</v>
      </c>
      <c r="H2391" s="21">
        <f t="shared" si="556"/>
        <v>106.42</v>
      </c>
      <c r="I2391" s="24" t="str">
        <f t="shared" si="557"/>
        <v xml:space="preserve">COM VALOR</v>
      </c>
      <c r="L2391" s="36">
        <v>106.42</v>
      </c>
      <c r="M2391" s="37">
        <v>106.42</v>
      </c>
      <c r="N2391" s="36">
        <v>106.42</v>
      </c>
    </row>
    <row r="2392" ht="25.5">
      <c r="A2392" s="19" t="s">
        <v>10460</v>
      </c>
      <c r="B2392" s="19">
        <v>3516</v>
      </c>
      <c r="C2392" s="20" t="s">
        <v>12854</v>
      </c>
      <c r="D2392" s="19" t="s">
        <v>31</v>
      </c>
      <c r="E2392" s="19" t="s">
        <v>10459</v>
      </c>
      <c r="F2392" s="21">
        <f t="shared" si="556"/>
        <v>2.6299999999999999</v>
      </c>
      <c r="G2392" s="21">
        <f t="shared" si="556"/>
        <v>2.6299999999999999</v>
      </c>
      <c r="H2392" s="21">
        <f t="shared" si="556"/>
        <v>2.6299999999999999</v>
      </c>
      <c r="I2392" s="24" t="str">
        <f t="shared" si="557"/>
        <v xml:space="preserve">COM VALOR</v>
      </c>
      <c r="L2392" s="36">
        <v>2.6299999999999999</v>
      </c>
      <c r="M2392" s="37">
        <v>2.6299999999999999</v>
      </c>
      <c r="N2392" s="36">
        <v>2.6299999999999999</v>
      </c>
    </row>
    <row r="2393" ht="25.5">
      <c r="A2393" s="19" t="s">
        <v>10460</v>
      </c>
      <c r="B2393" s="19">
        <v>3517</v>
      </c>
      <c r="C2393" s="20" t="s">
        <v>12855</v>
      </c>
      <c r="D2393" s="19" t="s">
        <v>31</v>
      </c>
      <c r="E2393" s="19" t="s">
        <v>10459</v>
      </c>
      <c r="F2393" s="21">
        <f t="shared" si="556"/>
        <v>2.3700000000000001</v>
      </c>
      <c r="G2393" s="21">
        <f t="shared" si="556"/>
        <v>2.3700000000000001</v>
      </c>
      <c r="H2393" s="21">
        <f t="shared" si="556"/>
        <v>2.3700000000000001</v>
      </c>
      <c r="I2393" s="24" t="str">
        <f t="shared" si="557"/>
        <v xml:space="preserve">COM VALOR</v>
      </c>
      <c r="L2393" s="36">
        <v>2.3700000000000001</v>
      </c>
      <c r="M2393" s="37">
        <v>2.3700000000000001</v>
      </c>
      <c r="N2393" s="36">
        <v>2.3700000000000001</v>
      </c>
    </row>
    <row r="2394" ht="25.5">
      <c r="A2394" s="19" t="s">
        <v>10460</v>
      </c>
      <c r="B2394" s="19">
        <v>3515</v>
      </c>
      <c r="C2394" s="20" t="s">
        <v>12856</v>
      </c>
      <c r="D2394" s="19" t="s">
        <v>31</v>
      </c>
      <c r="E2394" s="19" t="s">
        <v>10459</v>
      </c>
      <c r="F2394" s="21">
        <f t="shared" si="556"/>
        <v>6.79</v>
      </c>
      <c r="G2394" s="21">
        <f t="shared" si="556"/>
        <v>6.79</v>
      </c>
      <c r="H2394" s="21">
        <f t="shared" si="556"/>
        <v>6.79</v>
      </c>
      <c r="I2394" s="24" t="str">
        <f t="shared" si="557"/>
        <v xml:space="preserve">COM VALOR</v>
      </c>
      <c r="L2394" s="36">
        <v>6.79</v>
      </c>
      <c r="M2394" s="37">
        <v>6.79</v>
      </c>
      <c r="N2394" s="36">
        <v>6.79</v>
      </c>
    </row>
    <row r="2395" ht="25.5">
      <c r="A2395" s="19" t="s">
        <v>10460</v>
      </c>
      <c r="B2395" s="19">
        <v>20147</v>
      </c>
      <c r="C2395" s="20" t="s">
        <v>12857</v>
      </c>
      <c r="D2395" s="19" t="s">
        <v>31</v>
      </c>
      <c r="E2395" s="19" t="s">
        <v>10459</v>
      </c>
      <c r="F2395" s="21">
        <f t="shared" si="556"/>
        <v>5.5800000000000001</v>
      </c>
      <c r="G2395" s="21">
        <f t="shared" si="556"/>
        <v>5.5800000000000001</v>
      </c>
      <c r="H2395" s="21">
        <f t="shared" si="556"/>
        <v>5.5800000000000001</v>
      </c>
      <c r="I2395" s="24" t="str">
        <f t="shared" si="557"/>
        <v xml:space="preserve">COM VALOR</v>
      </c>
      <c r="L2395" s="36">
        <v>5.5800000000000001</v>
      </c>
      <c r="M2395" s="37">
        <v>5.5800000000000001</v>
      </c>
      <c r="N2395" s="36">
        <v>5.5800000000000001</v>
      </c>
    </row>
    <row r="2396" ht="25.5">
      <c r="A2396" s="19" t="s">
        <v>10460</v>
      </c>
      <c r="B2396" s="19">
        <v>3524</v>
      </c>
      <c r="C2396" s="20" t="s">
        <v>12858</v>
      </c>
      <c r="D2396" s="19" t="s">
        <v>31</v>
      </c>
      <c r="E2396" s="19" t="s">
        <v>10459</v>
      </c>
      <c r="F2396" s="21">
        <f t="shared" si="556"/>
        <v>8.4000000000000004</v>
      </c>
      <c r="G2396" s="21">
        <f t="shared" si="556"/>
        <v>8.4000000000000004</v>
      </c>
      <c r="H2396" s="21">
        <f t="shared" si="556"/>
        <v>8.4000000000000004</v>
      </c>
      <c r="I2396" s="24" t="str">
        <f t="shared" si="557"/>
        <v xml:space="preserve">COM VALOR</v>
      </c>
      <c r="L2396" s="36">
        <v>8.4000000000000004</v>
      </c>
      <c r="M2396" s="37">
        <v>8.4000000000000004</v>
      </c>
      <c r="N2396" s="36">
        <v>8.4000000000000004</v>
      </c>
    </row>
    <row r="2397" ht="25.5">
      <c r="A2397" s="19" t="s">
        <v>10460</v>
      </c>
      <c r="B2397" s="19">
        <v>3532</v>
      </c>
      <c r="C2397" s="20" t="s">
        <v>12859</v>
      </c>
      <c r="D2397" s="19" t="s">
        <v>31</v>
      </c>
      <c r="E2397" s="19" t="s">
        <v>10459</v>
      </c>
      <c r="F2397" s="21">
        <f t="shared" si="556"/>
        <v>19.420000000000002</v>
      </c>
      <c r="G2397" s="21">
        <f t="shared" si="556"/>
        <v>19.420000000000002</v>
      </c>
      <c r="H2397" s="21">
        <f t="shared" si="556"/>
        <v>19.420000000000002</v>
      </c>
      <c r="I2397" s="24" t="str">
        <f t="shared" si="557"/>
        <v xml:space="preserve">COM VALOR</v>
      </c>
      <c r="L2397" s="36">
        <v>19.420000000000002</v>
      </c>
      <c r="M2397" s="37">
        <v>19.420000000000002</v>
      </c>
      <c r="N2397" s="36">
        <v>19.420000000000002</v>
      </c>
    </row>
    <row r="2398" ht="25.5">
      <c r="A2398" s="19" t="s">
        <v>10460</v>
      </c>
      <c r="B2398" s="19">
        <v>3528</v>
      </c>
      <c r="C2398" s="20" t="s">
        <v>12860</v>
      </c>
      <c r="D2398" s="19" t="s">
        <v>31</v>
      </c>
      <c r="E2398" s="19" t="s">
        <v>10459</v>
      </c>
      <c r="F2398" s="21">
        <f t="shared" si="556"/>
        <v>10.279999999999999</v>
      </c>
      <c r="G2398" s="21">
        <f t="shared" si="556"/>
        <v>10.279999999999999</v>
      </c>
      <c r="H2398" s="21">
        <f t="shared" si="556"/>
        <v>10.279999999999999</v>
      </c>
      <c r="I2398" s="24" t="str">
        <f t="shared" si="557"/>
        <v xml:space="preserve">COM VALOR</v>
      </c>
      <c r="L2398" s="36">
        <v>10.279999999999999</v>
      </c>
      <c r="M2398" s="37">
        <v>10.279999999999999</v>
      </c>
      <c r="N2398" s="36">
        <v>10.279999999999999</v>
      </c>
    </row>
    <row r="2399" ht="25.5">
      <c r="A2399" s="19" t="s">
        <v>10460</v>
      </c>
      <c r="B2399" s="19">
        <v>37952</v>
      </c>
      <c r="C2399" s="20" t="s">
        <v>12861</v>
      </c>
      <c r="D2399" s="19" t="s">
        <v>31</v>
      </c>
      <c r="E2399" s="19" t="s">
        <v>10459</v>
      </c>
      <c r="F2399" s="21">
        <f t="shared" si="556"/>
        <v>73.640000000000001</v>
      </c>
      <c r="G2399" s="21">
        <f t="shared" si="556"/>
        <v>73.640000000000001</v>
      </c>
      <c r="H2399" s="21">
        <f t="shared" si="556"/>
        <v>73.640000000000001</v>
      </c>
      <c r="I2399" s="24" t="str">
        <f t="shared" si="557"/>
        <v xml:space="preserve">COM VALOR</v>
      </c>
      <c r="L2399" s="36">
        <v>73.640000000000001</v>
      </c>
      <c r="M2399" s="37">
        <v>73.640000000000001</v>
      </c>
      <c r="N2399" s="36">
        <v>73.640000000000001</v>
      </c>
    </row>
    <row r="2400" ht="25.5">
      <c r="A2400" s="19" t="s">
        <v>10460</v>
      </c>
      <c r="B2400" s="19">
        <v>37951</v>
      </c>
      <c r="C2400" s="20" t="s">
        <v>12862</v>
      </c>
      <c r="D2400" s="19" t="s">
        <v>31</v>
      </c>
      <c r="E2400" s="19" t="s">
        <v>10459</v>
      </c>
      <c r="F2400" s="21">
        <f t="shared" si="556"/>
        <v>2.77</v>
      </c>
      <c r="G2400" s="21">
        <f t="shared" si="556"/>
        <v>2.77</v>
      </c>
      <c r="H2400" s="21">
        <f t="shared" si="556"/>
        <v>2.77</v>
      </c>
      <c r="I2400" s="24" t="str">
        <f t="shared" si="557"/>
        <v xml:space="preserve">COM VALOR</v>
      </c>
      <c r="L2400" s="36">
        <v>2.77</v>
      </c>
      <c r="M2400" s="37">
        <v>2.77</v>
      </c>
      <c r="N2400" s="36">
        <v>2.77</v>
      </c>
    </row>
    <row r="2401" ht="25.5">
      <c r="A2401" s="19" t="s">
        <v>10460</v>
      </c>
      <c r="B2401" s="19">
        <v>3518</v>
      </c>
      <c r="C2401" s="20" t="s">
        <v>12863</v>
      </c>
      <c r="D2401" s="19" t="s">
        <v>31</v>
      </c>
      <c r="E2401" s="19" t="s">
        <v>10459</v>
      </c>
      <c r="F2401" s="21">
        <f t="shared" si="556"/>
        <v>4.2599999999999998</v>
      </c>
      <c r="G2401" s="21">
        <f t="shared" si="556"/>
        <v>4.2599999999999998</v>
      </c>
      <c r="H2401" s="21">
        <f t="shared" si="556"/>
        <v>4.2599999999999998</v>
      </c>
      <c r="I2401" s="24" t="str">
        <f t="shared" si="557"/>
        <v xml:space="preserve">COM VALOR</v>
      </c>
      <c r="L2401" s="36">
        <v>4.2599999999999998</v>
      </c>
      <c r="M2401" s="37">
        <v>4.2599999999999998</v>
      </c>
      <c r="N2401" s="36">
        <v>4.2599999999999998</v>
      </c>
    </row>
    <row r="2402" ht="25.5">
      <c r="A2402" s="19" t="s">
        <v>10460</v>
      </c>
      <c r="B2402" s="19">
        <v>3519</v>
      </c>
      <c r="C2402" s="20" t="s">
        <v>12864</v>
      </c>
      <c r="D2402" s="19" t="s">
        <v>31</v>
      </c>
      <c r="E2402" s="19" t="s">
        <v>10459</v>
      </c>
      <c r="F2402" s="21">
        <f t="shared" si="556"/>
        <v>8.9100000000000001</v>
      </c>
      <c r="G2402" s="21">
        <f t="shared" si="556"/>
        <v>8.9100000000000001</v>
      </c>
      <c r="H2402" s="21">
        <f t="shared" si="556"/>
        <v>8.9100000000000001</v>
      </c>
      <c r="I2402" s="24" t="str">
        <f t="shared" si="557"/>
        <v xml:space="preserve">COM VALOR</v>
      </c>
      <c r="L2402" s="36">
        <v>8.9100000000000001</v>
      </c>
      <c r="M2402" s="37">
        <v>8.9100000000000001</v>
      </c>
      <c r="N2402" s="36">
        <v>8.9100000000000001</v>
      </c>
    </row>
    <row r="2403" ht="25.5">
      <c r="A2403" s="19" t="s">
        <v>10460</v>
      </c>
      <c r="B2403" s="19">
        <v>3520</v>
      </c>
      <c r="C2403" s="20" t="s">
        <v>12865</v>
      </c>
      <c r="D2403" s="19" t="s">
        <v>31</v>
      </c>
      <c r="E2403" s="19" t="s">
        <v>10459</v>
      </c>
      <c r="F2403" s="21">
        <f t="shared" si="556"/>
        <v>9.3399999999999999</v>
      </c>
      <c r="G2403" s="21">
        <f t="shared" si="556"/>
        <v>9.3399999999999999</v>
      </c>
      <c r="H2403" s="21">
        <f t="shared" si="556"/>
        <v>9.3399999999999999</v>
      </c>
      <c r="I2403" s="24" t="str">
        <f t="shared" si="557"/>
        <v xml:space="preserve">COM VALOR</v>
      </c>
      <c r="L2403" s="36">
        <v>9.3399999999999999</v>
      </c>
      <c r="M2403" s="37">
        <v>9.3399999999999999</v>
      </c>
      <c r="N2403" s="36">
        <v>9.3399999999999999</v>
      </c>
    </row>
    <row r="2404" ht="25.5">
      <c r="A2404" s="19" t="s">
        <v>10460</v>
      </c>
      <c r="B2404" s="19">
        <v>37950</v>
      </c>
      <c r="C2404" s="20" t="s">
        <v>12866</v>
      </c>
      <c r="D2404" s="19" t="s">
        <v>31</v>
      </c>
      <c r="E2404" s="19" t="s">
        <v>10459</v>
      </c>
      <c r="F2404" s="21">
        <f t="shared" si="556"/>
        <v>67.790000000000006</v>
      </c>
      <c r="G2404" s="21">
        <f t="shared" si="556"/>
        <v>67.790000000000006</v>
      </c>
      <c r="H2404" s="21">
        <f t="shared" si="556"/>
        <v>67.790000000000006</v>
      </c>
      <c r="I2404" s="24" t="str">
        <f t="shared" si="557"/>
        <v xml:space="preserve">COM VALOR</v>
      </c>
      <c r="L2404" s="36">
        <v>67.790000000000006</v>
      </c>
      <c r="M2404" s="37">
        <v>67.790000000000006</v>
      </c>
      <c r="N2404" s="36">
        <v>67.790000000000006</v>
      </c>
    </row>
    <row r="2405" ht="25.5">
      <c r="A2405" s="19" t="s">
        <v>10460</v>
      </c>
      <c r="B2405" s="19">
        <v>37949</v>
      </c>
      <c r="C2405" s="20" t="s">
        <v>12867</v>
      </c>
      <c r="D2405" s="19" t="s">
        <v>31</v>
      </c>
      <c r="E2405" s="19" t="s">
        <v>10459</v>
      </c>
      <c r="F2405" s="21">
        <f t="shared" si="556"/>
        <v>2.5</v>
      </c>
      <c r="G2405" s="21">
        <f t="shared" si="556"/>
        <v>2.5</v>
      </c>
      <c r="H2405" s="21">
        <f t="shared" si="556"/>
        <v>2.5</v>
      </c>
      <c r="I2405" s="24" t="str">
        <f t="shared" si="557"/>
        <v xml:space="preserve">COM VALOR</v>
      </c>
      <c r="L2405" s="36">
        <v>2.5</v>
      </c>
      <c r="M2405" s="37">
        <v>2.5</v>
      </c>
      <c r="N2405" s="36">
        <v>2.5</v>
      </c>
    </row>
    <row r="2406" ht="25.5">
      <c r="A2406" s="19" t="s">
        <v>10460</v>
      </c>
      <c r="B2406" s="19">
        <v>3526</v>
      </c>
      <c r="C2406" s="20" t="s">
        <v>12868</v>
      </c>
      <c r="D2406" s="19" t="s">
        <v>31</v>
      </c>
      <c r="E2406" s="19" t="s">
        <v>10459</v>
      </c>
      <c r="F2406" s="21">
        <f t="shared" si="556"/>
        <v>3.4399999999999999</v>
      </c>
      <c r="G2406" s="21">
        <f t="shared" si="556"/>
        <v>3.4399999999999999</v>
      </c>
      <c r="H2406" s="21">
        <f t="shared" si="556"/>
        <v>3.4399999999999999</v>
      </c>
      <c r="I2406" s="24" t="str">
        <f t="shared" si="557"/>
        <v xml:space="preserve">COM VALOR</v>
      </c>
      <c r="L2406" s="36">
        <v>3.4399999999999999</v>
      </c>
      <c r="M2406" s="37">
        <v>3.4399999999999999</v>
      </c>
      <c r="N2406" s="36">
        <v>3.4399999999999999</v>
      </c>
    </row>
    <row r="2407" ht="25.5">
      <c r="A2407" s="19" t="s">
        <v>10460</v>
      </c>
      <c r="B2407" s="19">
        <v>3509</v>
      </c>
      <c r="C2407" s="20" t="s">
        <v>12869</v>
      </c>
      <c r="D2407" s="19" t="s">
        <v>31</v>
      </c>
      <c r="E2407" s="19" t="s">
        <v>10459</v>
      </c>
      <c r="F2407" s="21">
        <f t="shared" si="556"/>
        <v>7.8200000000000003</v>
      </c>
      <c r="G2407" s="21">
        <f t="shared" si="556"/>
        <v>7.8200000000000003</v>
      </c>
      <c r="H2407" s="21">
        <f t="shared" si="556"/>
        <v>7.8200000000000003</v>
      </c>
      <c r="I2407" s="24" t="str">
        <f t="shared" si="557"/>
        <v xml:space="preserve">COM VALOR</v>
      </c>
      <c r="L2407" s="36">
        <v>7.8200000000000003</v>
      </c>
      <c r="M2407" s="37">
        <v>7.8200000000000003</v>
      </c>
      <c r="N2407" s="36">
        <v>7.8200000000000003</v>
      </c>
    </row>
    <row r="2408" ht="25.5">
      <c r="A2408" s="19" t="s">
        <v>10460</v>
      </c>
      <c r="B2408" s="19">
        <v>20151</v>
      </c>
      <c r="C2408" s="20" t="s">
        <v>12870</v>
      </c>
      <c r="D2408" s="19" t="s">
        <v>31</v>
      </c>
      <c r="E2408" s="19" t="s">
        <v>10459</v>
      </c>
      <c r="F2408" s="21">
        <f t="shared" si="556"/>
        <v>22.960000000000001</v>
      </c>
      <c r="G2408" s="21">
        <f t="shared" si="556"/>
        <v>22.960000000000001</v>
      </c>
      <c r="H2408" s="21">
        <f t="shared" si="556"/>
        <v>22.960000000000001</v>
      </c>
      <c r="I2408" s="24" t="str">
        <f t="shared" si="557"/>
        <v xml:space="preserve">COM VALOR</v>
      </c>
      <c r="L2408" s="36">
        <v>22.960000000000001</v>
      </c>
      <c r="M2408" s="37">
        <v>22.960000000000001</v>
      </c>
      <c r="N2408" s="36">
        <v>22.960000000000001</v>
      </c>
    </row>
    <row r="2409" ht="25.5">
      <c r="A2409" s="19" t="s">
        <v>10460</v>
      </c>
      <c r="B2409" s="19">
        <v>20152</v>
      </c>
      <c r="C2409" s="20" t="s">
        <v>12871</v>
      </c>
      <c r="D2409" s="19" t="s">
        <v>31</v>
      </c>
      <c r="E2409" s="19" t="s">
        <v>10459</v>
      </c>
      <c r="F2409" s="21">
        <f t="shared" si="556"/>
        <v>83.090000000000003</v>
      </c>
      <c r="G2409" s="21">
        <f t="shared" si="556"/>
        <v>83.090000000000003</v>
      </c>
      <c r="H2409" s="21">
        <f t="shared" si="556"/>
        <v>83.090000000000003</v>
      </c>
      <c r="I2409" s="24" t="str">
        <f t="shared" si="557"/>
        <v xml:space="preserve">COM VALOR</v>
      </c>
      <c r="L2409" s="36">
        <v>83.090000000000003</v>
      </c>
      <c r="M2409" s="37">
        <v>83.090000000000003</v>
      </c>
      <c r="N2409" s="36">
        <v>83.090000000000003</v>
      </c>
    </row>
    <row r="2410" ht="25.5">
      <c r="A2410" s="19" t="s">
        <v>10460</v>
      </c>
      <c r="B2410" s="19">
        <v>20148</v>
      </c>
      <c r="C2410" s="20" t="s">
        <v>12872</v>
      </c>
      <c r="D2410" s="19" t="s">
        <v>31</v>
      </c>
      <c r="E2410" s="19" t="s">
        <v>10459</v>
      </c>
      <c r="F2410" s="21">
        <f t="shared" si="556"/>
        <v>4.5099999999999998</v>
      </c>
      <c r="G2410" s="21">
        <f t="shared" si="556"/>
        <v>4.5099999999999998</v>
      </c>
      <c r="H2410" s="21">
        <f t="shared" si="556"/>
        <v>4.5099999999999998</v>
      </c>
      <c r="I2410" s="24" t="str">
        <f t="shared" si="557"/>
        <v xml:space="preserve">COM VALOR</v>
      </c>
      <c r="L2410" s="36">
        <v>4.5099999999999998</v>
      </c>
      <c r="M2410" s="37">
        <v>4.5099999999999998</v>
      </c>
      <c r="N2410" s="36">
        <v>4.5099999999999998</v>
      </c>
    </row>
    <row r="2411" ht="25.5">
      <c r="A2411" s="19" t="s">
        <v>10460</v>
      </c>
      <c r="B2411" s="19">
        <v>20149</v>
      </c>
      <c r="C2411" s="20" t="s">
        <v>12873</v>
      </c>
      <c r="D2411" s="19" t="s">
        <v>31</v>
      </c>
      <c r="E2411" s="19" t="s">
        <v>10459</v>
      </c>
      <c r="F2411" s="21">
        <f t="shared" si="556"/>
        <v>7.54</v>
      </c>
      <c r="G2411" s="21">
        <f t="shared" si="556"/>
        <v>7.54</v>
      </c>
      <c r="H2411" s="21">
        <f t="shared" si="556"/>
        <v>7.54</v>
      </c>
      <c r="I2411" s="24" t="str">
        <f t="shared" si="557"/>
        <v xml:space="preserve">COM VALOR</v>
      </c>
      <c r="L2411" s="36">
        <v>7.54</v>
      </c>
      <c r="M2411" s="37">
        <v>7.54</v>
      </c>
      <c r="N2411" s="36">
        <v>7.54</v>
      </c>
    </row>
    <row r="2412" ht="25.5">
      <c r="A2412" s="19" t="s">
        <v>10460</v>
      </c>
      <c r="B2412" s="19">
        <v>20150</v>
      </c>
      <c r="C2412" s="20" t="s">
        <v>12874</v>
      </c>
      <c r="D2412" s="19" t="s">
        <v>31</v>
      </c>
      <c r="E2412" s="19" t="s">
        <v>10459</v>
      </c>
      <c r="F2412" s="21">
        <f t="shared" si="556"/>
        <v>19.43</v>
      </c>
      <c r="G2412" s="21">
        <f t="shared" si="556"/>
        <v>19.43</v>
      </c>
      <c r="H2412" s="21">
        <f t="shared" si="556"/>
        <v>19.43</v>
      </c>
      <c r="I2412" s="24" t="str">
        <f t="shared" si="557"/>
        <v xml:space="preserve">COM VALOR</v>
      </c>
      <c r="L2412" s="36">
        <v>19.43</v>
      </c>
      <c r="M2412" s="37">
        <v>19.43</v>
      </c>
      <c r="N2412" s="36">
        <v>19.43</v>
      </c>
    </row>
    <row r="2413" ht="25.5">
      <c r="A2413" s="19" t="s">
        <v>10460</v>
      </c>
      <c r="B2413" s="19">
        <v>20157</v>
      </c>
      <c r="C2413" s="20" t="s">
        <v>12875</v>
      </c>
      <c r="D2413" s="19" t="s">
        <v>31</v>
      </c>
      <c r="E2413" s="19" t="s">
        <v>10459</v>
      </c>
      <c r="F2413" s="21">
        <f t="shared" si="556"/>
        <v>21.809999999999999</v>
      </c>
      <c r="G2413" s="21">
        <f t="shared" si="556"/>
        <v>21.809999999999999</v>
      </c>
      <c r="H2413" s="21">
        <f t="shared" si="556"/>
        <v>21.809999999999999</v>
      </c>
      <c r="I2413" s="24" t="str">
        <f t="shared" si="557"/>
        <v xml:space="preserve">COM VALOR</v>
      </c>
      <c r="L2413" s="36">
        <v>21.809999999999999</v>
      </c>
      <c r="M2413" s="37">
        <v>21.809999999999999</v>
      </c>
      <c r="N2413" s="36">
        <v>21.809999999999999</v>
      </c>
    </row>
    <row r="2414" ht="25.5">
      <c r="A2414" s="19" t="s">
        <v>10460</v>
      </c>
      <c r="B2414" s="19">
        <v>20158</v>
      </c>
      <c r="C2414" s="20" t="s">
        <v>12876</v>
      </c>
      <c r="D2414" s="19" t="s">
        <v>31</v>
      </c>
      <c r="E2414" s="19" t="s">
        <v>10459</v>
      </c>
      <c r="F2414" s="21">
        <f t="shared" si="556"/>
        <v>86.620000000000005</v>
      </c>
      <c r="G2414" s="21">
        <f t="shared" si="556"/>
        <v>86.620000000000005</v>
      </c>
      <c r="H2414" s="21">
        <f t="shared" si="556"/>
        <v>86.620000000000005</v>
      </c>
      <c r="I2414" s="24" t="str">
        <f t="shared" si="557"/>
        <v xml:space="preserve">COM VALOR</v>
      </c>
      <c r="L2414" s="36">
        <v>86.620000000000005</v>
      </c>
      <c r="M2414" s="37">
        <v>86.620000000000005</v>
      </c>
      <c r="N2414" s="36">
        <v>86.620000000000005</v>
      </c>
    </row>
    <row r="2415" ht="25.5">
      <c r="A2415" s="19" t="s">
        <v>10460</v>
      </c>
      <c r="B2415" s="19">
        <v>20154</v>
      </c>
      <c r="C2415" s="20" t="s">
        <v>12877</v>
      </c>
      <c r="D2415" s="19" t="s">
        <v>31</v>
      </c>
      <c r="E2415" s="19" t="s">
        <v>10459</v>
      </c>
      <c r="F2415" s="21">
        <f t="shared" si="556"/>
        <v>4.4199999999999999</v>
      </c>
      <c r="G2415" s="21">
        <f t="shared" si="556"/>
        <v>4.4199999999999999</v>
      </c>
      <c r="H2415" s="21">
        <f t="shared" si="556"/>
        <v>4.4199999999999999</v>
      </c>
      <c r="I2415" s="24" t="str">
        <f t="shared" si="557"/>
        <v xml:space="preserve">COM VALOR</v>
      </c>
      <c r="L2415" s="36">
        <v>4.4199999999999999</v>
      </c>
      <c r="M2415" s="37">
        <v>4.4199999999999999</v>
      </c>
      <c r="N2415" s="36">
        <v>4.4199999999999999</v>
      </c>
    </row>
    <row r="2416" ht="25.5">
      <c r="A2416" s="19" t="s">
        <v>10460</v>
      </c>
      <c r="B2416" s="19">
        <v>20155</v>
      </c>
      <c r="C2416" s="20" t="s">
        <v>12878</v>
      </c>
      <c r="D2416" s="19" t="s">
        <v>31</v>
      </c>
      <c r="E2416" s="19" t="s">
        <v>10459</v>
      </c>
      <c r="F2416" s="21">
        <f t="shared" si="556"/>
        <v>6.7300000000000004</v>
      </c>
      <c r="G2416" s="21">
        <f t="shared" si="556"/>
        <v>6.7300000000000004</v>
      </c>
      <c r="H2416" s="21">
        <f t="shared" si="556"/>
        <v>6.7300000000000004</v>
      </c>
      <c r="I2416" s="24" t="str">
        <f t="shared" si="557"/>
        <v xml:space="preserve">COM VALOR</v>
      </c>
      <c r="L2416" s="36">
        <v>6.7300000000000004</v>
      </c>
      <c r="M2416" s="37">
        <v>6.7300000000000004</v>
      </c>
      <c r="N2416" s="36">
        <v>6.7300000000000004</v>
      </c>
    </row>
    <row r="2417" ht="25.5">
      <c r="A2417" s="19" t="s">
        <v>10460</v>
      </c>
      <c r="B2417" s="19">
        <v>20156</v>
      </c>
      <c r="C2417" s="20" t="s">
        <v>12879</v>
      </c>
      <c r="D2417" s="19" t="s">
        <v>31</v>
      </c>
      <c r="E2417" s="19" t="s">
        <v>10459</v>
      </c>
      <c r="F2417" s="21">
        <f t="shared" si="556"/>
        <v>18.920000000000002</v>
      </c>
      <c r="G2417" s="21">
        <f t="shared" si="556"/>
        <v>18.920000000000002</v>
      </c>
      <c r="H2417" s="21">
        <f t="shared" si="556"/>
        <v>18.920000000000002</v>
      </c>
      <c r="I2417" s="24" t="str">
        <f t="shared" si="557"/>
        <v xml:space="preserve">COM VALOR</v>
      </c>
      <c r="L2417" s="36">
        <v>18.920000000000002</v>
      </c>
      <c r="M2417" s="37">
        <v>18.920000000000002</v>
      </c>
      <c r="N2417" s="36">
        <v>18.920000000000002</v>
      </c>
    </row>
    <row r="2418" ht="25.5">
      <c r="A2418" s="19" t="s">
        <v>10460</v>
      </c>
      <c r="B2418" s="19">
        <v>3499</v>
      </c>
      <c r="C2418" s="20" t="s">
        <v>12880</v>
      </c>
      <c r="D2418" s="19" t="s">
        <v>31</v>
      </c>
      <c r="E2418" s="19" t="s">
        <v>10459</v>
      </c>
      <c r="F2418" s="21">
        <f t="shared" si="556"/>
        <v>1.1799999999999999</v>
      </c>
      <c r="G2418" s="21">
        <f t="shared" si="556"/>
        <v>1.1799999999999999</v>
      </c>
      <c r="H2418" s="21">
        <f t="shared" si="556"/>
        <v>1.1799999999999999</v>
      </c>
      <c r="I2418" s="24" t="str">
        <f t="shared" si="557"/>
        <v xml:space="preserve">COM VALOR</v>
      </c>
      <c r="L2418" s="36">
        <v>1.1799999999999999</v>
      </c>
      <c r="M2418" s="37">
        <v>1.1799999999999999</v>
      </c>
      <c r="N2418" s="36">
        <v>1.1799999999999999</v>
      </c>
    </row>
    <row r="2419" ht="25.5">
      <c r="A2419" s="19" t="s">
        <v>10460</v>
      </c>
      <c r="B2419" s="19">
        <v>3500</v>
      </c>
      <c r="C2419" s="20" t="s">
        <v>12881</v>
      </c>
      <c r="D2419" s="19" t="s">
        <v>31</v>
      </c>
      <c r="E2419" s="19" t="s">
        <v>10459</v>
      </c>
      <c r="F2419" s="21">
        <f t="shared" si="556"/>
        <v>1.5600000000000001</v>
      </c>
      <c r="G2419" s="21">
        <f t="shared" si="556"/>
        <v>1.5600000000000001</v>
      </c>
      <c r="H2419" s="21">
        <f t="shared" si="556"/>
        <v>1.5600000000000001</v>
      </c>
      <c r="I2419" s="24" t="str">
        <f t="shared" si="557"/>
        <v xml:space="preserve">COM VALOR</v>
      </c>
      <c r="L2419" s="36">
        <v>1.5600000000000001</v>
      </c>
      <c r="M2419" s="37">
        <v>1.5600000000000001</v>
      </c>
      <c r="N2419" s="36">
        <v>1.5600000000000001</v>
      </c>
    </row>
    <row r="2420" ht="25.5">
      <c r="A2420" s="19" t="s">
        <v>10460</v>
      </c>
      <c r="B2420" s="19">
        <v>3501</v>
      </c>
      <c r="C2420" s="20" t="s">
        <v>12882</v>
      </c>
      <c r="D2420" s="19" t="s">
        <v>31</v>
      </c>
      <c r="E2420" s="19" t="s">
        <v>10459</v>
      </c>
      <c r="F2420" s="21">
        <f t="shared" si="556"/>
        <v>4.3200000000000003</v>
      </c>
      <c r="G2420" s="21">
        <f t="shared" si="556"/>
        <v>4.3200000000000003</v>
      </c>
      <c r="H2420" s="21">
        <f t="shared" si="556"/>
        <v>4.3200000000000003</v>
      </c>
      <c r="I2420" s="24" t="str">
        <f t="shared" si="557"/>
        <v xml:space="preserve">COM VALOR</v>
      </c>
      <c r="L2420" s="36">
        <v>4.3200000000000003</v>
      </c>
      <c r="M2420" s="37">
        <v>4.3200000000000003</v>
      </c>
      <c r="N2420" s="36">
        <v>4.3200000000000003</v>
      </c>
    </row>
    <row r="2421" ht="25.5">
      <c r="A2421" s="19" t="s">
        <v>10460</v>
      </c>
      <c r="B2421" s="19">
        <v>3502</v>
      </c>
      <c r="C2421" s="20" t="s">
        <v>12883</v>
      </c>
      <c r="D2421" s="19" t="s">
        <v>31</v>
      </c>
      <c r="E2421" s="19" t="s">
        <v>10459</v>
      </c>
      <c r="F2421" s="21">
        <f t="shared" si="556"/>
        <v>6.21</v>
      </c>
      <c r="G2421" s="21">
        <f t="shared" si="556"/>
        <v>6.21</v>
      </c>
      <c r="H2421" s="21">
        <f t="shared" si="556"/>
        <v>6.21</v>
      </c>
      <c r="I2421" s="24" t="str">
        <f t="shared" si="557"/>
        <v xml:space="preserve">COM VALOR</v>
      </c>
      <c r="L2421" s="36">
        <v>6.21</v>
      </c>
      <c r="M2421" s="37">
        <v>6.21</v>
      </c>
      <c r="N2421" s="36">
        <v>6.21</v>
      </c>
    </row>
    <row r="2422" ht="25.5">
      <c r="A2422" s="19" t="s">
        <v>10460</v>
      </c>
      <c r="B2422" s="19">
        <v>3503</v>
      </c>
      <c r="C2422" s="20" t="s">
        <v>12884</v>
      </c>
      <c r="D2422" s="19" t="s">
        <v>31</v>
      </c>
      <c r="E2422" s="19" t="s">
        <v>10459</v>
      </c>
      <c r="F2422" s="21">
        <f t="shared" si="556"/>
        <v>7.7999999999999998</v>
      </c>
      <c r="G2422" s="21">
        <f t="shared" si="556"/>
        <v>7.7999999999999998</v>
      </c>
      <c r="H2422" s="21">
        <f t="shared" si="556"/>
        <v>7.7999999999999998</v>
      </c>
      <c r="I2422" s="24" t="str">
        <f t="shared" si="557"/>
        <v xml:space="preserve">COM VALOR</v>
      </c>
      <c r="L2422" s="36">
        <v>7.7999999999999998</v>
      </c>
      <c r="M2422" s="37">
        <v>7.7999999999999998</v>
      </c>
      <c r="N2422" s="36">
        <v>7.7999999999999998</v>
      </c>
    </row>
    <row r="2423" ht="25.5">
      <c r="A2423" s="19" t="s">
        <v>10460</v>
      </c>
      <c r="B2423" s="19">
        <v>3477</v>
      </c>
      <c r="C2423" s="20" t="s">
        <v>12885</v>
      </c>
      <c r="D2423" s="19" t="s">
        <v>31</v>
      </c>
      <c r="E2423" s="19" t="s">
        <v>10459</v>
      </c>
      <c r="F2423" s="21">
        <f t="shared" si="556"/>
        <v>28.359999999999999</v>
      </c>
      <c r="G2423" s="21">
        <f t="shared" si="556"/>
        <v>28.359999999999999</v>
      </c>
      <c r="H2423" s="21">
        <f t="shared" si="556"/>
        <v>28.359999999999999</v>
      </c>
      <c r="I2423" s="24" t="str">
        <f t="shared" si="557"/>
        <v xml:space="preserve">COM VALOR</v>
      </c>
      <c r="L2423" s="36">
        <v>28.359999999999999</v>
      </c>
      <c r="M2423" s="37">
        <v>28.359999999999999</v>
      </c>
      <c r="N2423" s="36">
        <v>28.359999999999999</v>
      </c>
    </row>
    <row r="2424" ht="25.5">
      <c r="A2424" s="19" t="s">
        <v>10460</v>
      </c>
      <c r="B2424" s="19">
        <v>3478</v>
      </c>
      <c r="C2424" s="20" t="s">
        <v>12886</v>
      </c>
      <c r="D2424" s="19" t="s">
        <v>31</v>
      </c>
      <c r="E2424" s="19" t="s">
        <v>10459</v>
      </c>
      <c r="F2424" s="21">
        <f t="shared" si="556"/>
        <v>67.989999999999995</v>
      </c>
      <c r="G2424" s="21">
        <f t="shared" si="556"/>
        <v>67.989999999999995</v>
      </c>
      <c r="H2424" s="21">
        <f t="shared" si="556"/>
        <v>67.989999999999995</v>
      </c>
      <c r="I2424" s="24" t="str">
        <f t="shared" si="557"/>
        <v xml:space="preserve">COM VALOR</v>
      </c>
      <c r="L2424" s="36">
        <v>67.989999999999995</v>
      </c>
      <c r="M2424" s="37">
        <v>67.989999999999995</v>
      </c>
      <c r="N2424" s="36">
        <v>67.989999999999995</v>
      </c>
    </row>
    <row r="2425" ht="25.5">
      <c r="A2425" s="19" t="s">
        <v>10460</v>
      </c>
      <c r="B2425" s="19">
        <v>3525</v>
      </c>
      <c r="C2425" s="20" t="s">
        <v>12887</v>
      </c>
      <c r="D2425" s="19" t="s">
        <v>31</v>
      </c>
      <c r="E2425" s="19" t="s">
        <v>10459</v>
      </c>
      <c r="F2425" s="21">
        <f t="shared" si="556"/>
        <v>83.920000000000002</v>
      </c>
      <c r="G2425" s="21">
        <f t="shared" si="556"/>
        <v>83.920000000000002</v>
      </c>
      <c r="H2425" s="21">
        <f t="shared" si="556"/>
        <v>83.920000000000002</v>
      </c>
      <c r="I2425" s="24" t="str">
        <f t="shared" si="557"/>
        <v xml:space="preserve">COM VALOR</v>
      </c>
      <c r="L2425" s="36">
        <v>83.920000000000002</v>
      </c>
      <c r="M2425" s="37">
        <v>83.920000000000002</v>
      </c>
      <c r="N2425" s="36">
        <v>83.920000000000002</v>
      </c>
    </row>
    <row r="2426" ht="25.5">
      <c r="A2426" s="19" t="s">
        <v>10460</v>
      </c>
      <c r="B2426" s="19">
        <v>3511</v>
      </c>
      <c r="C2426" s="20" t="s">
        <v>12888</v>
      </c>
      <c r="D2426" s="19" t="s">
        <v>31</v>
      </c>
      <c r="E2426" s="19" t="s">
        <v>10459</v>
      </c>
      <c r="F2426" s="21">
        <f t="shared" si="556"/>
        <v>89.010000000000005</v>
      </c>
      <c r="G2426" s="21">
        <f t="shared" si="556"/>
        <v>89.010000000000005</v>
      </c>
      <c r="H2426" s="21">
        <f t="shared" si="556"/>
        <v>89.010000000000005</v>
      </c>
      <c r="I2426" s="24" t="str">
        <f t="shared" si="557"/>
        <v xml:space="preserve">COM VALOR</v>
      </c>
      <c r="L2426" s="36">
        <v>89.010000000000005</v>
      </c>
      <c r="M2426" s="37">
        <v>89.010000000000005</v>
      </c>
      <c r="N2426" s="36">
        <v>89.010000000000005</v>
      </c>
    </row>
    <row r="2427" ht="38.25">
      <c r="A2427" s="19" t="s">
        <v>10460</v>
      </c>
      <c r="B2427" s="19">
        <v>38913</v>
      </c>
      <c r="C2427" s="20" t="s">
        <v>12889</v>
      </c>
      <c r="D2427" s="19" t="s">
        <v>31</v>
      </c>
      <c r="E2427" s="19" t="s">
        <v>10459</v>
      </c>
      <c r="F2427" s="21" t="str">
        <f t="shared" si="556"/>
        <v>VERIFICAR</v>
      </c>
      <c r="G2427" s="21" t="str">
        <f t="shared" si="556"/>
        <v>VERIFICAR</v>
      </c>
      <c r="H2427" s="21" t="str">
        <f t="shared" si="556"/>
        <v>VERIFICAR</v>
      </c>
      <c r="I2427" s="24" t="str">
        <f t="shared" si="557"/>
        <v xml:space="preserve">SEM VALOR</v>
      </c>
      <c r="L2427" s="36"/>
      <c r="M2427" s="37"/>
      <c r="N2427" s="36"/>
    </row>
    <row r="2428" ht="38.25">
      <c r="A2428" s="19" t="s">
        <v>10460</v>
      </c>
      <c r="B2428" s="19">
        <v>38914</v>
      </c>
      <c r="C2428" s="20" t="s">
        <v>12890</v>
      </c>
      <c r="D2428" s="19" t="s">
        <v>31</v>
      </c>
      <c r="E2428" s="19" t="s">
        <v>10459</v>
      </c>
      <c r="F2428" s="21" t="str">
        <f t="shared" si="556"/>
        <v>VERIFICAR</v>
      </c>
      <c r="G2428" s="21" t="str">
        <f t="shared" si="556"/>
        <v>VERIFICAR</v>
      </c>
      <c r="H2428" s="21" t="str">
        <f t="shared" si="556"/>
        <v>VERIFICAR</v>
      </c>
      <c r="I2428" s="24" t="str">
        <f t="shared" si="557"/>
        <v xml:space="preserve">SEM VALOR</v>
      </c>
      <c r="L2428" s="36"/>
      <c r="M2428" s="37"/>
      <c r="N2428" s="36"/>
    </row>
    <row r="2429" ht="38.25">
      <c r="A2429" s="19" t="s">
        <v>10460</v>
      </c>
      <c r="B2429" s="19">
        <v>38915</v>
      </c>
      <c r="C2429" s="20" t="s">
        <v>12891</v>
      </c>
      <c r="D2429" s="19" t="s">
        <v>31</v>
      </c>
      <c r="E2429" s="19" t="s">
        <v>10459</v>
      </c>
      <c r="F2429" s="21" t="str">
        <f t="shared" si="556"/>
        <v>VERIFICAR</v>
      </c>
      <c r="G2429" s="21" t="str">
        <f t="shared" si="556"/>
        <v>VERIFICAR</v>
      </c>
      <c r="H2429" s="21" t="str">
        <f t="shared" si="556"/>
        <v>VERIFICAR</v>
      </c>
      <c r="I2429" s="24" t="str">
        <f t="shared" si="557"/>
        <v xml:space="preserve">SEM VALOR</v>
      </c>
      <c r="L2429" s="36"/>
      <c r="M2429" s="37"/>
      <c r="N2429" s="36"/>
    </row>
    <row r="2430" ht="38.25">
      <c r="A2430" s="19" t="s">
        <v>10460</v>
      </c>
      <c r="B2430" s="19">
        <v>38916</v>
      </c>
      <c r="C2430" s="20" t="s">
        <v>12892</v>
      </c>
      <c r="D2430" s="19" t="s">
        <v>31</v>
      </c>
      <c r="E2430" s="19" t="s">
        <v>10459</v>
      </c>
      <c r="F2430" s="21" t="str">
        <f t="shared" si="556"/>
        <v>VERIFICAR</v>
      </c>
      <c r="G2430" s="21" t="str">
        <f t="shared" si="556"/>
        <v>VERIFICAR</v>
      </c>
      <c r="H2430" s="21" t="str">
        <f t="shared" si="556"/>
        <v>VERIFICAR</v>
      </c>
      <c r="I2430" s="24" t="str">
        <f t="shared" si="557"/>
        <v xml:space="preserve">SEM VALOR</v>
      </c>
      <c r="L2430" s="36"/>
      <c r="M2430" s="37"/>
      <c r="N2430" s="36"/>
    </row>
    <row r="2431" ht="38.25">
      <c r="A2431" s="19" t="s">
        <v>10460</v>
      </c>
      <c r="B2431" s="19">
        <v>39300</v>
      </c>
      <c r="C2431" s="20" t="s">
        <v>12893</v>
      </c>
      <c r="D2431" s="19" t="s">
        <v>31</v>
      </c>
      <c r="E2431" s="19" t="s">
        <v>10459</v>
      </c>
      <c r="F2431" s="21" t="str">
        <f t="shared" si="556"/>
        <v>VERIFICAR</v>
      </c>
      <c r="G2431" s="21" t="str">
        <f t="shared" si="556"/>
        <v>VERIFICAR</v>
      </c>
      <c r="H2431" s="21" t="str">
        <f t="shared" si="556"/>
        <v>VERIFICAR</v>
      </c>
      <c r="I2431" s="24" t="str">
        <f t="shared" si="557"/>
        <v xml:space="preserve">SEM VALOR</v>
      </c>
      <c r="L2431" s="36"/>
      <c r="M2431" s="37"/>
      <c r="N2431" s="36"/>
    </row>
    <row r="2432" ht="38.25">
      <c r="A2432" s="19" t="s">
        <v>10460</v>
      </c>
      <c r="B2432" s="19">
        <v>39301</v>
      </c>
      <c r="C2432" s="20" t="s">
        <v>12894</v>
      </c>
      <c r="D2432" s="19" t="s">
        <v>31</v>
      </c>
      <c r="E2432" s="19" t="s">
        <v>10459</v>
      </c>
      <c r="F2432" s="21" t="str">
        <f t="shared" si="556"/>
        <v>VERIFICAR</v>
      </c>
      <c r="G2432" s="21" t="str">
        <f t="shared" si="556"/>
        <v>VERIFICAR</v>
      </c>
      <c r="H2432" s="21" t="str">
        <f t="shared" si="556"/>
        <v>VERIFICAR</v>
      </c>
      <c r="I2432" s="24" t="str">
        <f t="shared" si="557"/>
        <v xml:space="preserve">SEM VALOR</v>
      </c>
      <c r="L2432" s="36"/>
      <c r="M2432" s="37"/>
      <c r="N2432" s="36"/>
    </row>
    <row r="2433" ht="38.25">
      <c r="A2433" s="19" t="s">
        <v>10460</v>
      </c>
      <c r="B2433" s="19">
        <v>39302</v>
      </c>
      <c r="C2433" s="20" t="s">
        <v>12895</v>
      </c>
      <c r="D2433" s="19" t="s">
        <v>31</v>
      </c>
      <c r="E2433" s="19" t="s">
        <v>10459</v>
      </c>
      <c r="F2433" s="21" t="str">
        <f t="shared" si="556"/>
        <v>VERIFICAR</v>
      </c>
      <c r="G2433" s="21" t="str">
        <f t="shared" si="556"/>
        <v>VERIFICAR</v>
      </c>
      <c r="H2433" s="21" t="str">
        <f t="shared" si="556"/>
        <v>VERIFICAR</v>
      </c>
      <c r="I2433" s="24" t="str">
        <f t="shared" si="557"/>
        <v xml:space="preserve">SEM VALOR</v>
      </c>
      <c r="L2433" s="36"/>
      <c r="M2433" s="37"/>
      <c r="N2433" s="36"/>
    </row>
    <row r="2434" ht="38.25">
      <c r="A2434" s="19" t="s">
        <v>10460</v>
      </c>
      <c r="B2434" s="19">
        <v>38941</v>
      </c>
      <c r="C2434" s="20" t="s">
        <v>12896</v>
      </c>
      <c r="D2434" s="19" t="s">
        <v>31</v>
      </c>
      <c r="E2434" s="19" t="s">
        <v>10459</v>
      </c>
      <c r="F2434" s="21" t="str">
        <f t="shared" si="556"/>
        <v>VERIFICAR</v>
      </c>
      <c r="G2434" s="21" t="str">
        <f t="shared" si="556"/>
        <v>VERIFICAR</v>
      </c>
      <c r="H2434" s="21" t="str">
        <f t="shared" si="556"/>
        <v>VERIFICAR</v>
      </c>
      <c r="I2434" s="24" t="str">
        <f t="shared" si="557"/>
        <v xml:space="preserve">SEM VALOR</v>
      </c>
      <c r="L2434" s="36"/>
      <c r="M2434" s="37"/>
      <c r="N2434" s="36"/>
    </row>
    <row r="2435" ht="38.25">
      <c r="A2435" s="19" t="s">
        <v>10460</v>
      </c>
      <c r="B2435" s="19">
        <v>38923</v>
      </c>
      <c r="C2435" s="20" t="s">
        <v>12897</v>
      </c>
      <c r="D2435" s="19" t="s">
        <v>31</v>
      </c>
      <c r="E2435" s="19" t="s">
        <v>10459</v>
      </c>
      <c r="F2435" s="21" t="str">
        <f t="shared" si="556"/>
        <v>VERIFICAR</v>
      </c>
      <c r="G2435" s="21" t="str">
        <f t="shared" si="556"/>
        <v>VERIFICAR</v>
      </c>
      <c r="H2435" s="21" t="str">
        <f t="shared" si="556"/>
        <v>VERIFICAR</v>
      </c>
      <c r="I2435" s="24" t="str">
        <f t="shared" si="557"/>
        <v xml:space="preserve">SEM VALOR</v>
      </c>
      <c r="L2435" s="36"/>
      <c r="M2435" s="37"/>
      <c r="N2435" s="36"/>
    </row>
    <row r="2436" ht="38.25">
      <c r="A2436" s="19" t="s">
        <v>10460</v>
      </c>
      <c r="B2436" s="19">
        <v>38925</v>
      </c>
      <c r="C2436" s="20" t="s">
        <v>12898</v>
      </c>
      <c r="D2436" s="19" t="s">
        <v>31</v>
      </c>
      <c r="E2436" s="19" t="s">
        <v>10459</v>
      </c>
      <c r="F2436" s="21" t="str">
        <f t="shared" si="556"/>
        <v>VERIFICAR</v>
      </c>
      <c r="G2436" s="21" t="str">
        <f t="shared" si="556"/>
        <v>VERIFICAR</v>
      </c>
      <c r="H2436" s="21" t="str">
        <f t="shared" si="556"/>
        <v>VERIFICAR</v>
      </c>
      <c r="I2436" s="24" t="str">
        <f t="shared" si="557"/>
        <v xml:space="preserve">SEM VALOR</v>
      </c>
      <c r="L2436" s="36"/>
      <c r="M2436" s="37"/>
      <c r="N2436" s="36"/>
    </row>
    <row r="2437" ht="38.25">
      <c r="A2437" s="19" t="s">
        <v>10460</v>
      </c>
      <c r="B2437" s="19">
        <v>38926</v>
      </c>
      <c r="C2437" s="20" t="s">
        <v>12899</v>
      </c>
      <c r="D2437" s="19" t="s">
        <v>31</v>
      </c>
      <c r="E2437" s="19" t="s">
        <v>10459</v>
      </c>
      <c r="F2437" s="21" t="str">
        <f t="shared" si="556"/>
        <v>VERIFICAR</v>
      </c>
      <c r="G2437" s="21" t="str">
        <f t="shared" si="556"/>
        <v>VERIFICAR</v>
      </c>
      <c r="H2437" s="21" t="str">
        <f t="shared" si="556"/>
        <v>VERIFICAR</v>
      </c>
      <c r="I2437" s="24" t="str">
        <f t="shared" si="557"/>
        <v xml:space="preserve">SEM VALOR</v>
      </c>
      <c r="L2437" s="36"/>
      <c r="M2437" s="37"/>
      <c r="N2437" s="36"/>
    </row>
    <row r="2438" ht="38.25">
      <c r="A2438" s="19" t="s">
        <v>10460</v>
      </c>
      <c r="B2438" s="19">
        <v>38927</v>
      </c>
      <c r="C2438" s="20" t="s">
        <v>12900</v>
      </c>
      <c r="D2438" s="19" t="s">
        <v>31</v>
      </c>
      <c r="E2438" s="19" t="s">
        <v>10459</v>
      </c>
      <c r="F2438" s="21" t="str">
        <f t="shared" si="556"/>
        <v>VERIFICAR</v>
      </c>
      <c r="G2438" s="21" t="str">
        <f t="shared" si="556"/>
        <v>VERIFICAR</v>
      </c>
      <c r="H2438" s="21" t="str">
        <f t="shared" si="556"/>
        <v>VERIFICAR</v>
      </c>
      <c r="I2438" s="24" t="str">
        <f t="shared" si="557"/>
        <v xml:space="preserve">SEM VALOR</v>
      </c>
      <c r="L2438" s="36"/>
      <c r="M2438" s="37"/>
      <c r="N2438" s="36"/>
    </row>
    <row r="2439" ht="38.25">
      <c r="A2439" s="19" t="s">
        <v>10460</v>
      </c>
      <c r="B2439" s="19">
        <v>39304</v>
      </c>
      <c r="C2439" s="20" t="s">
        <v>12901</v>
      </c>
      <c r="D2439" s="19" t="s">
        <v>31</v>
      </c>
      <c r="E2439" s="19" t="s">
        <v>10459</v>
      </c>
      <c r="F2439" s="21" t="str">
        <f t="shared" si="556"/>
        <v>VERIFICAR</v>
      </c>
      <c r="G2439" s="21" t="str">
        <f t="shared" si="556"/>
        <v>VERIFICAR</v>
      </c>
      <c r="H2439" s="21" t="str">
        <f t="shared" si="556"/>
        <v>VERIFICAR</v>
      </c>
      <c r="I2439" s="24" t="str">
        <f t="shared" si="557"/>
        <v xml:space="preserve">SEM VALOR</v>
      </c>
      <c r="L2439" s="36"/>
      <c r="M2439" s="37"/>
      <c r="N2439" s="36"/>
    </row>
    <row r="2440" ht="38.25">
      <c r="A2440" s="19" t="s">
        <v>10460</v>
      </c>
      <c r="B2440" s="19">
        <v>39305</v>
      </c>
      <c r="C2440" s="20" t="s">
        <v>12902</v>
      </c>
      <c r="D2440" s="19" t="s">
        <v>31</v>
      </c>
      <c r="E2440" s="19" t="s">
        <v>10459</v>
      </c>
      <c r="F2440" s="21" t="str">
        <f t="shared" si="556"/>
        <v>VERIFICAR</v>
      </c>
      <c r="G2440" s="21" t="str">
        <f t="shared" si="556"/>
        <v>VERIFICAR</v>
      </c>
      <c r="H2440" s="21" t="str">
        <f t="shared" si="556"/>
        <v>VERIFICAR</v>
      </c>
      <c r="I2440" s="24" t="str">
        <f t="shared" si="557"/>
        <v xml:space="preserve">SEM VALOR</v>
      </c>
      <c r="L2440" s="36"/>
      <c r="M2440" s="37"/>
      <c r="N2440" s="36"/>
    </row>
    <row r="2441" ht="38.25">
      <c r="A2441" s="19" t="s">
        <v>10460</v>
      </c>
      <c r="B2441" s="19">
        <v>39306</v>
      </c>
      <c r="C2441" s="20" t="s">
        <v>12903</v>
      </c>
      <c r="D2441" s="19" t="s">
        <v>31</v>
      </c>
      <c r="E2441" s="19" t="s">
        <v>10459</v>
      </c>
      <c r="F2441" s="21" t="str">
        <f t="shared" si="556"/>
        <v>VERIFICAR</v>
      </c>
      <c r="G2441" s="21" t="str">
        <f t="shared" si="556"/>
        <v>VERIFICAR</v>
      </c>
      <c r="H2441" s="21" t="str">
        <f t="shared" si="556"/>
        <v>VERIFICAR</v>
      </c>
      <c r="I2441" s="24" t="str">
        <f t="shared" si="557"/>
        <v xml:space="preserve">SEM VALOR</v>
      </c>
      <c r="L2441" s="36"/>
      <c r="M2441" s="37"/>
      <c r="N2441" s="36"/>
    </row>
    <row r="2442" ht="38.25">
      <c r="A2442" s="19" t="s">
        <v>10460</v>
      </c>
      <c r="B2442" s="19">
        <v>38928</v>
      </c>
      <c r="C2442" s="20" t="s">
        <v>12904</v>
      </c>
      <c r="D2442" s="19" t="s">
        <v>31</v>
      </c>
      <c r="E2442" s="19" t="s">
        <v>10459</v>
      </c>
      <c r="F2442" s="21" t="str">
        <f t="shared" si="556"/>
        <v>VERIFICAR</v>
      </c>
      <c r="G2442" s="21" t="str">
        <f t="shared" si="556"/>
        <v>VERIFICAR</v>
      </c>
      <c r="H2442" s="21" t="str">
        <f t="shared" si="556"/>
        <v>VERIFICAR</v>
      </c>
      <c r="I2442" s="24" t="str">
        <f t="shared" si="557"/>
        <v xml:space="preserve">SEM VALOR</v>
      </c>
      <c r="L2442" s="36"/>
      <c r="M2442" s="37"/>
      <c r="N2442" s="36"/>
    </row>
    <row r="2443" ht="38.25">
      <c r="A2443" s="19" t="s">
        <v>10460</v>
      </c>
      <c r="B2443" s="19">
        <v>38917</v>
      </c>
      <c r="C2443" s="20" t="s">
        <v>12905</v>
      </c>
      <c r="D2443" s="19" t="s">
        <v>31</v>
      </c>
      <c r="E2443" s="19" t="s">
        <v>10459</v>
      </c>
      <c r="F2443" s="21" t="str">
        <f t="shared" ref="F2443:H2506" si="558">IF(L2443=0,"VERIFICAR",L2443)</f>
        <v>VERIFICAR</v>
      </c>
      <c r="G2443" s="21" t="str">
        <f t="shared" si="558"/>
        <v>VERIFICAR</v>
      </c>
      <c r="H2443" s="21" t="str">
        <f t="shared" si="558"/>
        <v>VERIFICAR</v>
      </c>
      <c r="I2443" s="24" t="str">
        <f t="shared" ref="I2443:I2506" si="559">IF(OR(L2443=0,M2443=0,N2443=0),"SEM VALOR","COM VALOR")</f>
        <v xml:space="preserve">SEM VALOR</v>
      </c>
      <c r="L2443" s="36"/>
      <c r="M2443" s="37"/>
      <c r="N2443" s="36"/>
    </row>
    <row r="2444" ht="38.25">
      <c r="A2444" s="19" t="s">
        <v>10460</v>
      </c>
      <c r="B2444" s="19">
        <v>38919</v>
      </c>
      <c r="C2444" s="20" t="s">
        <v>12906</v>
      </c>
      <c r="D2444" s="19" t="s">
        <v>31</v>
      </c>
      <c r="E2444" s="19" t="s">
        <v>10459</v>
      </c>
      <c r="F2444" s="21" t="str">
        <f t="shared" si="558"/>
        <v>VERIFICAR</v>
      </c>
      <c r="G2444" s="21" t="str">
        <f t="shared" si="558"/>
        <v>VERIFICAR</v>
      </c>
      <c r="H2444" s="21" t="str">
        <f t="shared" si="558"/>
        <v>VERIFICAR</v>
      </c>
      <c r="I2444" s="24" t="str">
        <f t="shared" si="559"/>
        <v xml:space="preserve">SEM VALOR</v>
      </c>
      <c r="L2444" s="36"/>
      <c r="M2444" s="37"/>
      <c r="N2444" s="36"/>
    </row>
    <row r="2445" ht="38.25">
      <c r="A2445" s="19" t="s">
        <v>10460</v>
      </c>
      <c r="B2445" s="19">
        <v>38922</v>
      </c>
      <c r="C2445" s="20" t="s">
        <v>12907</v>
      </c>
      <c r="D2445" s="19" t="s">
        <v>31</v>
      </c>
      <c r="E2445" s="19" t="s">
        <v>10459</v>
      </c>
      <c r="F2445" s="21" t="str">
        <f t="shared" si="558"/>
        <v>VERIFICAR</v>
      </c>
      <c r="G2445" s="21" t="str">
        <f t="shared" si="558"/>
        <v>VERIFICAR</v>
      </c>
      <c r="H2445" s="21" t="str">
        <f t="shared" si="558"/>
        <v>VERIFICAR</v>
      </c>
      <c r="I2445" s="24" t="str">
        <f t="shared" si="559"/>
        <v xml:space="preserve">SEM VALOR</v>
      </c>
      <c r="L2445" s="36"/>
      <c r="M2445" s="37"/>
      <c r="N2445" s="36"/>
    </row>
    <row r="2446" ht="25.5">
      <c r="A2446" s="19" t="s">
        <v>10460</v>
      </c>
      <c r="B2446" s="19">
        <v>45198</v>
      </c>
      <c r="C2446" s="20" t="s">
        <v>12908</v>
      </c>
      <c r="D2446" s="19" t="s">
        <v>31</v>
      </c>
      <c r="E2446" s="19" t="s">
        <v>10459</v>
      </c>
      <c r="F2446" s="21">
        <f t="shared" si="558"/>
        <v>43.530000000000001</v>
      </c>
      <c r="G2446" s="21">
        <f t="shared" si="558"/>
        <v>43.530000000000001</v>
      </c>
      <c r="H2446" s="21">
        <f t="shared" si="558"/>
        <v>43.530000000000001</v>
      </c>
      <c r="I2446" s="24" t="str">
        <f t="shared" si="559"/>
        <v xml:space="preserve">COM VALOR</v>
      </c>
      <c r="L2446" s="36">
        <v>43.530000000000001</v>
      </c>
      <c r="M2446" s="37">
        <v>43.530000000000001</v>
      </c>
      <c r="N2446" s="36">
        <v>43.530000000000001</v>
      </c>
    </row>
    <row r="2447" ht="25.5">
      <c r="A2447" s="19" t="s">
        <v>10460</v>
      </c>
      <c r="B2447" s="19">
        <v>45196</v>
      </c>
      <c r="C2447" s="20" t="s">
        <v>12909</v>
      </c>
      <c r="D2447" s="19" t="s">
        <v>31</v>
      </c>
      <c r="E2447" s="19" t="s">
        <v>10459</v>
      </c>
      <c r="F2447" s="21">
        <f t="shared" si="558"/>
        <v>89.75</v>
      </c>
      <c r="G2447" s="21">
        <f t="shared" si="558"/>
        <v>89.75</v>
      </c>
      <c r="H2447" s="21">
        <f t="shared" si="558"/>
        <v>89.75</v>
      </c>
      <c r="I2447" s="24" t="str">
        <f t="shared" si="559"/>
        <v xml:space="preserve">COM VALOR</v>
      </c>
      <c r="L2447" s="36">
        <v>89.75</v>
      </c>
      <c r="M2447" s="37">
        <v>89.75</v>
      </c>
      <c r="N2447" s="36">
        <v>89.75</v>
      </c>
    </row>
    <row r="2448" ht="38.25">
      <c r="A2448" s="19" t="s">
        <v>10460</v>
      </c>
      <c r="B2448" s="19">
        <v>12032</v>
      </c>
      <c r="C2448" s="20" t="s">
        <v>12910</v>
      </c>
      <c r="D2448" s="19" t="s">
        <v>10909</v>
      </c>
      <c r="E2448" s="19" t="s">
        <v>10459</v>
      </c>
      <c r="F2448" s="21">
        <f t="shared" si="558"/>
        <v>66.409999999999997</v>
      </c>
      <c r="G2448" s="21">
        <f t="shared" si="558"/>
        <v>66.409999999999997</v>
      </c>
      <c r="H2448" s="21">
        <f t="shared" si="558"/>
        <v>66.409999999999997</v>
      </c>
      <c r="I2448" s="24" t="str">
        <f t="shared" si="559"/>
        <v xml:space="preserve">COM VALOR</v>
      </c>
      <c r="L2448" s="36">
        <v>66.409999999999997</v>
      </c>
      <c r="M2448" s="37">
        <v>66.409999999999997</v>
      </c>
      <c r="N2448" s="36">
        <v>66.409999999999997</v>
      </c>
    </row>
    <row r="2449" ht="38.25">
      <c r="A2449" s="19" t="s">
        <v>10460</v>
      </c>
      <c r="B2449" s="19">
        <v>12030</v>
      </c>
      <c r="C2449" s="20" t="s">
        <v>12911</v>
      </c>
      <c r="D2449" s="19" t="s">
        <v>10909</v>
      </c>
      <c r="E2449" s="19" t="s">
        <v>10459</v>
      </c>
      <c r="F2449" s="21">
        <f t="shared" si="558"/>
        <v>62.399999999999999</v>
      </c>
      <c r="G2449" s="21">
        <f t="shared" si="558"/>
        <v>62.399999999999999</v>
      </c>
      <c r="H2449" s="21">
        <f t="shared" si="558"/>
        <v>62.399999999999999</v>
      </c>
      <c r="I2449" s="24" t="str">
        <f t="shared" si="559"/>
        <v xml:space="preserve">COM VALOR</v>
      </c>
      <c r="L2449" s="36">
        <v>62.399999999999999</v>
      </c>
      <c r="M2449" s="37">
        <v>62.399999999999999</v>
      </c>
      <c r="N2449" s="36">
        <v>62.399999999999999</v>
      </c>
    </row>
    <row r="2450" ht="25.5">
      <c r="A2450" s="19" t="s">
        <v>10460</v>
      </c>
      <c r="B2450" s="19">
        <v>45207</v>
      </c>
      <c r="C2450" s="20" t="s">
        <v>12912</v>
      </c>
      <c r="D2450" s="19" t="s">
        <v>31</v>
      </c>
      <c r="E2450" s="19" t="s">
        <v>10459</v>
      </c>
      <c r="F2450" s="21">
        <f t="shared" si="558"/>
        <v>286.68000000000001</v>
      </c>
      <c r="G2450" s="21">
        <f t="shared" si="558"/>
        <v>286.68000000000001</v>
      </c>
      <c r="H2450" s="21">
        <f t="shared" si="558"/>
        <v>286.68000000000001</v>
      </c>
      <c r="I2450" s="24" t="str">
        <f t="shared" si="559"/>
        <v xml:space="preserve">COM VALOR</v>
      </c>
      <c r="L2450" s="36">
        <v>286.68000000000001</v>
      </c>
      <c r="M2450" s="37">
        <v>286.68000000000001</v>
      </c>
      <c r="N2450" s="36">
        <v>286.68000000000001</v>
      </c>
    </row>
    <row r="2451" ht="12.75">
      <c r="A2451" s="19" t="s">
        <v>10460</v>
      </c>
      <c r="B2451" s="19">
        <v>14157</v>
      </c>
      <c r="C2451" s="20" t="s">
        <v>12913</v>
      </c>
      <c r="D2451" s="19" t="s">
        <v>31</v>
      </c>
      <c r="E2451" s="19" t="s">
        <v>10459</v>
      </c>
      <c r="F2451" s="21" t="str">
        <f t="shared" si="558"/>
        <v>VERIFICAR</v>
      </c>
      <c r="G2451" s="21" t="str">
        <f t="shared" si="558"/>
        <v>VERIFICAR</v>
      </c>
      <c r="H2451" s="21" t="str">
        <f t="shared" si="558"/>
        <v>VERIFICAR</v>
      </c>
      <c r="I2451" s="24" t="str">
        <f t="shared" si="559"/>
        <v xml:space="preserve">SEM VALOR</v>
      </c>
      <c r="L2451" s="36"/>
      <c r="M2451" s="37"/>
      <c r="N2451" s="36"/>
    </row>
    <row r="2452" ht="25.5">
      <c r="A2452" s="19" t="s">
        <v>10460</v>
      </c>
      <c r="B2452" s="19">
        <v>10908</v>
      </c>
      <c r="C2452" s="20" t="s">
        <v>12914</v>
      </c>
      <c r="D2452" s="19" t="s">
        <v>31</v>
      </c>
      <c r="E2452" s="19" t="s">
        <v>10459</v>
      </c>
      <c r="F2452" s="21">
        <f t="shared" si="558"/>
        <v>21.440000000000001</v>
      </c>
      <c r="G2452" s="21">
        <f t="shared" si="558"/>
        <v>21.440000000000001</v>
      </c>
      <c r="H2452" s="21">
        <f t="shared" si="558"/>
        <v>21.440000000000001</v>
      </c>
      <c r="I2452" s="24" t="str">
        <f t="shared" si="559"/>
        <v xml:space="preserve">COM VALOR</v>
      </c>
      <c r="L2452" s="36">
        <v>21.440000000000001</v>
      </c>
      <c r="M2452" s="37">
        <v>21.440000000000001</v>
      </c>
      <c r="N2452" s="36">
        <v>21.440000000000001</v>
      </c>
    </row>
    <row r="2453" ht="25.5">
      <c r="A2453" s="19" t="s">
        <v>10460</v>
      </c>
      <c r="B2453" s="19">
        <v>10909</v>
      </c>
      <c r="C2453" s="20" t="s">
        <v>12915</v>
      </c>
      <c r="D2453" s="19" t="s">
        <v>31</v>
      </c>
      <c r="E2453" s="19" t="s">
        <v>10459</v>
      </c>
      <c r="F2453" s="21">
        <f t="shared" si="558"/>
        <v>24.940000000000001</v>
      </c>
      <c r="G2453" s="21">
        <f t="shared" si="558"/>
        <v>24.940000000000001</v>
      </c>
      <c r="H2453" s="21">
        <f t="shared" si="558"/>
        <v>24.940000000000001</v>
      </c>
      <c r="I2453" s="24" t="str">
        <f t="shared" si="559"/>
        <v xml:space="preserve">COM VALOR</v>
      </c>
      <c r="L2453" s="36">
        <v>24.940000000000001</v>
      </c>
      <c r="M2453" s="37">
        <v>24.940000000000001</v>
      </c>
      <c r="N2453" s="36">
        <v>24.940000000000001</v>
      </c>
    </row>
    <row r="2454" ht="25.5">
      <c r="A2454" s="19" t="s">
        <v>10460</v>
      </c>
      <c r="B2454" s="19">
        <v>3669</v>
      </c>
      <c r="C2454" s="20" t="s">
        <v>12916</v>
      </c>
      <c r="D2454" s="19" t="s">
        <v>31</v>
      </c>
      <c r="E2454" s="19" t="s">
        <v>10459</v>
      </c>
      <c r="F2454" s="21">
        <f t="shared" si="558"/>
        <v>15.32</v>
      </c>
      <c r="G2454" s="21">
        <f t="shared" si="558"/>
        <v>15.32</v>
      </c>
      <c r="H2454" s="21">
        <f t="shared" si="558"/>
        <v>15.32</v>
      </c>
      <c r="I2454" s="24" t="str">
        <f t="shared" si="559"/>
        <v xml:space="preserve">COM VALOR</v>
      </c>
      <c r="L2454" s="36">
        <v>15.32</v>
      </c>
      <c r="M2454" s="37">
        <v>15.32</v>
      </c>
      <c r="N2454" s="36">
        <v>15.32</v>
      </c>
    </row>
    <row r="2455" ht="25.5">
      <c r="A2455" s="19" t="s">
        <v>10460</v>
      </c>
      <c r="B2455" s="19">
        <v>20139</v>
      </c>
      <c r="C2455" s="20" t="s">
        <v>12917</v>
      </c>
      <c r="D2455" s="19" t="s">
        <v>31</v>
      </c>
      <c r="E2455" s="19" t="s">
        <v>10459</v>
      </c>
      <c r="F2455" s="21">
        <f t="shared" si="558"/>
        <v>131.78</v>
      </c>
      <c r="G2455" s="21">
        <f t="shared" si="558"/>
        <v>131.78</v>
      </c>
      <c r="H2455" s="21">
        <f t="shared" si="558"/>
        <v>131.78</v>
      </c>
      <c r="I2455" s="24" t="str">
        <f t="shared" si="559"/>
        <v xml:space="preserve">COM VALOR</v>
      </c>
      <c r="L2455" s="36">
        <v>131.78</v>
      </c>
      <c r="M2455" s="37">
        <v>131.78</v>
      </c>
      <c r="N2455" s="36">
        <v>131.78</v>
      </c>
    </row>
    <row r="2456" ht="25.5">
      <c r="A2456" s="19" t="s">
        <v>10460</v>
      </c>
      <c r="B2456" s="19">
        <v>3668</v>
      </c>
      <c r="C2456" s="20" t="s">
        <v>12918</v>
      </c>
      <c r="D2456" s="19" t="s">
        <v>31</v>
      </c>
      <c r="E2456" s="19" t="s">
        <v>10459</v>
      </c>
      <c r="F2456" s="21">
        <f t="shared" si="558"/>
        <v>47.07</v>
      </c>
      <c r="G2456" s="21">
        <f t="shared" si="558"/>
        <v>47.07</v>
      </c>
      <c r="H2456" s="21">
        <f t="shared" si="558"/>
        <v>47.07</v>
      </c>
      <c r="I2456" s="24" t="str">
        <f t="shared" si="559"/>
        <v xml:space="preserve">COM VALOR</v>
      </c>
      <c r="L2456" s="36">
        <v>47.07</v>
      </c>
      <c r="M2456" s="37">
        <v>47.07</v>
      </c>
      <c r="N2456" s="36">
        <v>47.07</v>
      </c>
    </row>
    <row r="2457" ht="25.5">
      <c r="A2457" s="19" t="s">
        <v>10460</v>
      </c>
      <c r="B2457" s="19">
        <v>10911</v>
      </c>
      <c r="C2457" s="20" t="s">
        <v>12919</v>
      </c>
      <c r="D2457" s="19" t="s">
        <v>31</v>
      </c>
      <c r="E2457" s="19" t="s">
        <v>10459</v>
      </c>
      <c r="F2457" s="21">
        <f t="shared" si="558"/>
        <v>20.640000000000001</v>
      </c>
      <c r="G2457" s="21">
        <f t="shared" si="558"/>
        <v>20.640000000000001</v>
      </c>
      <c r="H2457" s="21">
        <f t="shared" si="558"/>
        <v>20.640000000000001</v>
      </c>
      <c r="I2457" s="24" t="str">
        <f t="shared" si="559"/>
        <v xml:space="preserve">COM VALOR</v>
      </c>
      <c r="L2457" s="36">
        <v>20.640000000000001</v>
      </c>
      <c r="M2457" s="37">
        <v>20.640000000000001</v>
      </c>
      <c r="N2457" s="36">
        <v>20.640000000000001</v>
      </c>
    </row>
    <row r="2458" ht="25.5">
      <c r="A2458" s="19" t="s">
        <v>10460</v>
      </c>
      <c r="B2458" s="19">
        <v>3659</v>
      </c>
      <c r="C2458" s="20" t="s">
        <v>12920</v>
      </c>
      <c r="D2458" s="19" t="s">
        <v>31</v>
      </c>
      <c r="E2458" s="19" t="s">
        <v>10459</v>
      </c>
      <c r="F2458" s="21">
        <f t="shared" si="558"/>
        <v>21.030000000000001</v>
      </c>
      <c r="G2458" s="21">
        <f t="shared" si="558"/>
        <v>21.030000000000001</v>
      </c>
      <c r="H2458" s="21">
        <f t="shared" si="558"/>
        <v>21.030000000000001</v>
      </c>
      <c r="I2458" s="24" t="str">
        <f t="shared" si="559"/>
        <v xml:space="preserve">COM VALOR</v>
      </c>
      <c r="L2458" s="36">
        <v>21.030000000000001</v>
      </c>
      <c r="M2458" s="37">
        <v>21.030000000000001</v>
      </c>
      <c r="N2458" s="36">
        <v>21.030000000000001</v>
      </c>
    </row>
    <row r="2459" ht="25.5">
      <c r="A2459" s="19" t="s">
        <v>10460</v>
      </c>
      <c r="B2459" s="19">
        <v>3660</v>
      </c>
      <c r="C2459" s="20" t="s">
        <v>12921</v>
      </c>
      <c r="D2459" s="19" t="s">
        <v>31</v>
      </c>
      <c r="E2459" s="19" t="s">
        <v>10459</v>
      </c>
      <c r="F2459" s="21">
        <f t="shared" si="558"/>
        <v>27.190000000000001</v>
      </c>
      <c r="G2459" s="21">
        <f t="shared" si="558"/>
        <v>27.190000000000001</v>
      </c>
      <c r="H2459" s="21">
        <f t="shared" si="558"/>
        <v>27.190000000000001</v>
      </c>
      <c r="I2459" s="24" t="str">
        <f t="shared" si="559"/>
        <v xml:space="preserve">COM VALOR</v>
      </c>
      <c r="L2459" s="36">
        <v>27.190000000000001</v>
      </c>
      <c r="M2459" s="37">
        <v>27.190000000000001</v>
      </c>
      <c r="N2459" s="36">
        <v>27.190000000000001</v>
      </c>
    </row>
    <row r="2460" ht="25.5">
      <c r="A2460" s="19" t="s">
        <v>10460</v>
      </c>
      <c r="B2460" s="19">
        <v>20144</v>
      </c>
      <c r="C2460" s="20" t="s">
        <v>12922</v>
      </c>
      <c r="D2460" s="19" t="s">
        <v>31</v>
      </c>
      <c r="E2460" s="19" t="s">
        <v>10459</v>
      </c>
      <c r="F2460" s="21">
        <f t="shared" si="558"/>
        <v>60.890000000000001</v>
      </c>
      <c r="G2460" s="21">
        <f t="shared" si="558"/>
        <v>60.890000000000001</v>
      </c>
      <c r="H2460" s="21">
        <f t="shared" si="558"/>
        <v>60.890000000000001</v>
      </c>
      <c r="I2460" s="24" t="str">
        <f t="shared" si="559"/>
        <v xml:space="preserve">COM VALOR</v>
      </c>
      <c r="L2460" s="36">
        <v>60.890000000000001</v>
      </c>
      <c r="M2460" s="37">
        <v>60.890000000000001</v>
      </c>
      <c r="N2460" s="36">
        <v>60.890000000000001</v>
      </c>
    </row>
    <row r="2461" ht="25.5">
      <c r="A2461" s="19" t="s">
        <v>10460</v>
      </c>
      <c r="B2461" s="19">
        <v>20143</v>
      </c>
      <c r="C2461" s="20" t="s">
        <v>12923</v>
      </c>
      <c r="D2461" s="19" t="s">
        <v>31</v>
      </c>
      <c r="E2461" s="19" t="s">
        <v>10459</v>
      </c>
      <c r="F2461" s="21">
        <f t="shared" si="558"/>
        <v>77.900000000000006</v>
      </c>
      <c r="G2461" s="21">
        <f t="shared" si="558"/>
        <v>77.900000000000006</v>
      </c>
      <c r="H2461" s="21">
        <f t="shared" si="558"/>
        <v>77.900000000000006</v>
      </c>
      <c r="I2461" s="24" t="str">
        <f t="shared" si="559"/>
        <v xml:space="preserve">COM VALOR</v>
      </c>
      <c r="L2461" s="36">
        <v>77.900000000000006</v>
      </c>
      <c r="M2461" s="37">
        <v>77.900000000000006</v>
      </c>
      <c r="N2461" s="36">
        <v>77.900000000000006</v>
      </c>
    </row>
    <row r="2462" ht="25.5">
      <c r="A2462" s="19" t="s">
        <v>10460</v>
      </c>
      <c r="B2462" s="19">
        <v>20145</v>
      </c>
      <c r="C2462" s="20" t="s">
        <v>12924</v>
      </c>
      <c r="D2462" s="19" t="s">
        <v>31</v>
      </c>
      <c r="E2462" s="19" t="s">
        <v>10459</v>
      </c>
      <c r="F2462" s="21">
        <f t="shared" si="558"/>
        <v>150.25999999999999</v>
      </c>
      <c r="G2462" s="21">
        <f t="shared" si="558"/>
        <v>150.25999999999999</v>
      </c>
      <c r="H2462" s="21">
        <f t="shared" si="558"/>
        <v>150.25999999999999</v>
      </c>
      <c r="I2462" s="24" t="str">
        <f t="shared" si="559"/>
        <v xml:space="preserve">COM VALOR</v>
      </c>
      <c r="L2462" s="36">
        <v>150.25999999999999</v>
      </c>
      <c r="M2462" s="37">
        <v>150.25999999999999</v>
      </c>
      <c r="N2462" s="36">
        <v>150.25999999999999</v>
      </c>
    </row>
    <row r="2463" ht="25.5">
      <c r="A2463" s="19" t="s">
        <v>10460</v>
      </c>
      <c r="B2463" s="19">
        <v>20146</v>
      </c>
      <c r="C2463" s="20" t="s">
        <v>12925</v>
      </c>
      <c r="D2463" s="19" t="s">
        <v>31</v>
      </c>
      <c r="E2463" s="19" t="s">
        <v>10459</v>
      </c>
      <c r="F2463" s="21">
        <f t="shared" si="558"/>
        <v>205.41</v>
      </c>
      <c r="G2463" s="21">
        <f t="shared" si="558"/>
        <v>205.41</v>
      </c>
      <c r="H2463" s="21">
        <f t="shared" si="558"/>
        <v>205.41</v>
      </c>
      <c r="I2463" s="24" t="str">
        <f t="shared" si="559"/>
        <v xml:space="preserve">COM VALOR</v>
      </c>
      <c r="L2463" s="36">
        <v>205.41</v>
      </c>
      <c r="M2463" s="37">
        <v>205.41</v>
      </c>
      <c r="N2463" s="36">
        <v>205.41</v>
      </c>
    </row>
    <row r="2464" ht="25.5">
      <c r="A2464" s="19" t="s">
        <v>10460</v>
      </c>
      <c r="B2464" s="19">
        <v>20140</v>
      </c>
      <c r="C2464" s="20" t="s">
        <v>12926</v>
      </c>
      <c r="D2464" s="19" t="s">
        <v>31</v>
      </c>
      <c r="E2464" s="19" t="s">
        <v>10459</v>
      </c>
      <c r="F2464" s="21">
        <f t="shared" si="558"/>
        <v>9.6300000000000008</v>
      </c>
      <c r="G2464" s="21">
        <f t="shared" si="558"/>
        <v>9.6300000000000008</v>
      </c>
      <c r="H2464" s="21">
        <f t="shared" si="558"/>
        <v>9.6300000000000008</v>
      </c>
      <c r="I2464" s="24" t="str">
        <f t="shared" si="559"/>
        <v xml:space="preserve">COM VALOR</v>
      </c>
      <c r="L2464" s="36">
        <v>9.6300000000000008</v>
      </c>
      <c r="M2464" s="37">
        <v>9.6300000000000008</v>
      </c>
      <c r="N2464" s="36">
        <v>9.6300000000000008</v>
      </c>
    </row>
    <row r="2465" ht="25.5">
      <c r="A2465" s="19" t="s">
        <v>10460</v>
      </c>
      <c r="B2465" s="19">
        <v>20141</v>
      </c>
      <c r="C2465" s="20" t="s">
        <v>12927</v>
      </c>
      <c r="D2465" s="19" t="s">
        <v>31</v>
      </c>
      <c r="E2465" s="19" t="s">
        <v>10459</v>
      </c>
      <c r="F2465" s="21">
        <f t="shared" si="558"/>
        <v>23.600000000000001</v>
      </c>
      <c r="G2465" s="21">
        <f t="shared" si="558"/>
        <v>23.600000000000001</v>
      </c>
      <c r="H2465" s="21">
        <f t="shared" si="558"/>
        <v>23.600000000000001</v>
      </c>
      <c r="I2465" s="24" t="str">
        <f t="shared" si="559"/>
        <v xml:space="preserve">COM VALOR</v>
      </c>
      <c r="L2465" s="36">
        <v>23.600000000000001</v>
      </c>
      <c r="M2465" s="37">
        <v>23.600000000000001</v>
      </c>
      <c r="N2465" s="36">
        <v>23.600000000000001</v>
      </c>
    </row>
    <row r="2466" ht="25.5">
      <c r="A2466" s="19" t="s">
        <v>10460</v>
      </c>
      <c r="B2466" s="19">
        <v>20142</v>
      </c>
      <c r="C2466" s="20" t="s">
        <v>12928</v>
      </c>
      <c r="D2466" s="19" t="s">
        <v>31</v>
      </c>
      <c r="E2466" s="19" t="s">
        <v>10459</v>
      </c>
      <c r="F2466" s="21">
        <f t="shared" si="558"/>
        <v>41.520000000000003</v>
      </c>
      <c r="G2466" s="21">
        <f t="shared" si="558"/>
        <v>41.520000000000003</v>
      </c>
      <c r="H2466" s="21">
        <f t="shared" si="558"/>
        <v>41.520000000000003</v>
      </c>
      <c r="I2466" s="24" t="str">
        <f t="shared" si="559"/>
        <v xml:space="preserve">COM VALOR</v>
      </c>
      <c r="L2466" s="36">
        <v>41.520000000000003</v>
      </c>
      <c r="M2466" s="37">
        <v>41.520000000000003</v>
      </c>
      <c r="N2466" s="36">
        <v>41.520000000000003</v>
      </c>
    </row>
    <row r="2467" ht="25.5">
      <c r="A2467" s="19" t="s">
        <v>10460</v>
      </c>
      <c r="B2467" s="19">
        <v>3670</v>
      </c>
      <c r="C2467" s="20" t="s">
        <v>12929</v>
      </c>
      <c r="D2467" s="19" t="s">
        <v>31</v>
      </c>
      <c r="E2467" s="19" t="s">
        <v>10459</v>
      </c>
      <c r="F2467" s="21">
        <f t="shared" si="558"/>
        <v>27</v>
      </c>
      <c r="G2467" s="21">
        <f t="shared" si="558"/>
        <v>27</v>
      </c>
      <c r="H2467" s="21">
        <f t="shared" si="558"/>
        <v>27</v>
      </c>
      <c r="I2467" s="24" t="str">
        <f t="shared" si="559"/>
        <v xml:space="preserve">COM VALOR</v>
      </c>
      <c r="L2467" s="36">
        <v>27</v>
      </c>
      <c r="M2467" s="37">
        <v>27</v>
      </c>
      <c r="N2467" s="36">
        <v>27</v>
      </c>
    </row>
    <row r="2468" ht="25.5">
      <c r="A2468" s="19" t="s">
        <v>10460</v>
      </c>
      <c r="B2468" s="19">
        <v>3666</v>
      </c>
      <c r="C2468" s="20" t="s">
        <v>12930</v>
      </c>
      <c r="D2468" s="19" t="s">
        <v>31</v>
      </c>
      <c r="E2468" s="19" t="s">
        <v>10459</v>
      </c>
      <c r="F2468" s="21">
        <f t="shared" si="558"/>
        <v>4.25</v>
      </c>
      <c r="G2468" s="21">
        <f t="shared" si="558"/>
        <v>4.25</v>
      </c>
      <c r="H2468" s="21">
        <f t="shared" si="558"/>
        <v>4.25</v>
      </c>
      <c r="I2468" s="24" t="str">
        <f t="shared" si="559"/>
        <v xml:space="preserve">COM VALOR</v>
      </c>
      <c r="L2468" s="36">
        <v>4.25</v>
      </c>
      <c r="M2468" s="37">
        <v>4.25</v>
      </c>
      <c r="N2468" s="36">
        <v>4.25</v>
      </c>
    </row>
    <row r="2469" ht="25.5">
      <c r="A2469" s="19" t="s">
        <v>10460</v>
      </c>
      <c r="B2469" s="19">
        <v>3662</v>
      </c>
      <c r="C2469" s="20" t="s">
        <v>12931</v>
      </c>
      <c r="D2469" s="19" t="s">
        <v>31</v>
      </c>
      <c r="E2469" s="19" t="s">
        <v>10459</v>
      </c>
      <c r="F2469" s="21">
        <f t="shared" si="558"/>
        <v>11.08</v>
      </c>
      <c r="G2469" s="21">
        <f t="shared" si="558"/>
        <v>11.08</v>
      </c>
      <c r="H2469" s="21">
        <f t="shared" si="558"/>
        <v>11.08</v>
      </c>
      <c r="I2469" s="24" t="str">
        <f t="shared" si="559"/>
        <v xml:space="preserve">COM VALOR</v>
      </c>
      <c r="L2469" s="36">
        <v>11.08</v>
      </c>
      <c r="M2469" s="37">
        <v>11.08</v>
      </c>
      <c r="N2469" s="36">
        <v>11.08</v>
      </c>
    </row>
    <row r="2470" ht="25.5">
      <c r="A2470" s="19" t="s">
        <v>10460</v>
      </c>
      <c r="B2470" s="19">
        <v>3658</v>
      </c>
      <c r="C2470" s="20" t="s">
        <v>12932</v>
      </c>
      <c r="D2470" s="19" t="s">
        <v>31</v>
      </c>
      <c r="E2470" s="19" t="s">
        <v>10459</v>
      </c>
      <c r="F2470" s="21">
        <f t="shared" si="558"/>
        <v>20.989999999999998</v>
      </c>
      <c r="G2470" s="21">
        <f t="shared" si="558"/>
        <v>20.989999999999998</v>
      </c>
      <c r="H2470" s="21">
        <f t="shared" si="558"/>
        <v>20.989999999999998</v>
      </c>
      <c r="I2470" s="24" t="str">
        <f t="shared" si="559"/>
        <v xml:space="preserve">COM VALOR</v>
      </c>
      <c r="L2470" s="36">
        <v>20.989999999999998</v>
      </c>
      <c r="M2470" s="37">
        <v>20.989999999999998</v>
      </c>
      <c r="N2470" s="36">
        <v>20.989999999999998</v>
      </c>
    </row>
    <row r="2471" ht="25.5">
      <c r="A2471" s="19" t="s">
        <v>10460</v>
      </c>
      <c r="B2471" s="19">
        <v>42696</v>
      </c>
      <c r="C2471" s="20" t="s">
        <v>12933</v>
      </c>
      <c r="D2471" s="19" t="s">
        <v>31</v>
      </c>
      <c r="E2471" s="19" t="s">
        <v>10459</v>
      </c>
      <c r="F2471" s="21">
        <f t="shared" si="558"/>
        <v>166.44999999999999</v>
      </c>
      <c r="G2471" s="21">
        <f t="shared" si="558"/>
        <v>166.44999999999999</v>
      </c>
      <c r="H2471" s="21">
        <f t="shared" si="558"/>
        <v>166.44999999999999</v>
      </c>
      <c r="I2471" s="24" t="str">
        <f t="shared" si="559"/>
        <v xml:space="preserve">COM VALOR</v>
      </c>
      <c r="L2471" s="36">
        <v>166.44999999999999</v>
      </c>
      <c r="M2471" s="37">
        <v>166.44999999999999</v>
      </c>
      <c r="N2471" s="36">
        <v>166.44999999999999</v>
      </c>
    </row>
    <row r="2472" ht="12.75">
      <c r="A2472" s="19" t="s">
        <v>10460</v>
      </c>
      <c r="B2472" s="19">
        <v>39875</v>
      </c>
      <c r="C2472" s="20" t="s">
        <v>12934</v>
      </c>
      <c r="D2472" s="19" t="s">
        <v>31</v>
      </c>
      <c r="E2472" s="19" t="s">
        <v>10459</v>
      </c>
      <c r="F2472" s="21" t="str">
        <f t="shared" si="558"/>
        <v>VERIFICAR</v>
      </c>
      <c r="G2472" s="21" t="str">
        <f t="shared" si="558"/>
        <v>VERIFICAR</v>
      </c>
      <c r="H2472" s="21" t="str">
        <f t="shared" si="558"/>
        <v>VERIFICAR</v>
      </c>
      <c r="I2472" s="24" t="str">
        <f t="shared" si="559"/>
        <v xml:space="preserve">SEM VALOR</v>
      </c>
      <c r="L2472" s="36"/>
      <c r="M2472" s="37"/>
      <c r="N2472" s="36"/>
    </row>
    <row r="2473" ht="12.75">
      <c r="A2473" s="19" t="s">
        <v>10460</v>
      </c>
      <c r="B2473" s="19">
        <v>39876</v>
      </c>
      <c r="C2473" s="20" t="s">
        <v>12935</v>
      </c>
      <c r="D2473" s="19" t="s">
        <v>31</v>
      </c>
      <c r="E2473" s="19" t="s">
        <v>10459</v>
      </c>
      <c r="F2473" s="21" t="str">
        <f t="shared" si="558"/>
        <v>VERIFICAR</v>
      </c>
      <c r="G2473" s="21" t="str">
        <f t="shared" si="558"/>
        <v>VERIFICAR</v>
      </c>
      <c r="H2473" s="21" t="str">
        <f t="shared" si="558"/>
        <v>VERIFICAR</v>
      </c>
      <c r="I2473" s="24" t="str">
        <f t="shared" si="559"/>
        <v xml:space="preserve">SEM VALOR</v>
      </c>
      <c r="L2473" s="36"/>
      <c r="M2473" s="37"/>
      <c r="N2473" s="36"/>
    </row>
    <row r="2474" ht="12.75">
      <c r="A2474" s="19" t="s">
        <v>10460</v>
      </c>
      <c r="B2474" s="19">
        <v>39877</v>
      </c>
      <c r="C2474" s="20" t="s">
        <v>12936</v>
      </c>
      <c r="D2474" s="19" t="s">
        <v>31</v>
      </c>
      <c r="E2474" s="19" t="s">
        <v>10459</v>
      </c>
      <c r="F2474" s="21" t="str">
        <f t="shared" si="558"/>
        <v>VERIFICAR</v>
      </c>
      <c r="G2474" s="21" t="str">
        <f t="shared" si="558"/>
        <v>VERIFICAR</v>
      </c>
      <c r="H2474" s="21" t="str">
        <f t="shared" si="558"/>
        <v>VERIFICAR</v>
      </c>
      <c r="I2474" s="24" t="str">
        <f t="shared" si="559"/>
        <v xml:space="preserve">SEM VALOR</v>
      </c>
      <c r="L2474" s="36"/>
      <c r="M2474" s="37"/>
      <c r="N2474" s="36"/>
    </row>
    <row r="2475" ht="12.75">
      <c r="A2475" s="19" t="s">
        <v>10460</v>
      </c>
      <c r="B2475" s="19">
        <v>39878</v>
      </c>
      <c r="C2475" s="20" t="s">
        <v>12937</v>
      </c>
      <c r="D2475" s="19" t="s">
        <v>31</v>
      </c>
      <c r="E2475" s="19" t="s">
        <v>10459</v>
      </c>
      <c r="F2475" s="21" t="str">
        <f t="shared" si="558"/>
        <v>VERIFICAR</v>
      </c>
      <c r="G2475" s="21" t="str">
        <f t="shared" si="558"/>
        <v>VERIFICAR</v>
      </c>
      <c r="H2475" s="21" t="str">
        <f t="shared" si="558"/>
        <v>VERIFICAR</v>
      </c>
      <c r="I2475" s="24" t="str">
        <f t="shared" si="559"/>
        <v xml:space="preserve">SEM VALOR</v>
      </c>
      <c r="L2475" s="36"/>
      <c r="M2475" s="37"/>
      <c r="N2475" s="36"/>
    </row>
    <row r="2476" ht="12.75">
      <c r="A2476" s="19" t="s">
        <v>10460</v>
      </c>
      <c r="B2476" s="19">
        <v>39872</v>
      </c>
      <c r="C2476" s="20" t="s">
        <v>12938</v>
      </c>
      <c r="D2476" s="19" t="s">
        <v>31</v>
      </c>
      <c r="E2476" s="19" t="s">
        <v>10459</v>
      </c>
      <c r="F2476" s="21" t="str">
        <f t="shared" si="558"/>
        <v>VERIFICAR</v>
      </c>
      <c r="G2476" s="21" t="str">
        <f t="shared" si="558"/>
        <v>VERIFICAR</v>
      </c>
      <c r="H2476" s="21" t="str">
        <f t="shared" si="558"/>
        <v>VERIFICAR</v>
      </c>
      <c r="I2476" s="24" t="str">
        <f t="shared" si="559"/>
        <v xml:space="preserve">SEM VALOR</v>
      </c>
      <c r="L2476" s="36"/>
      <c r="M2476" s="37"/>
      <c r="N2476" s="36"/>
    </row>
    <row r="2477" ht="12.75">
      <c r="A2477" s="19" t="s">
        <v>10460</v>
      </c>
      <c r="B2477" s="19">
        <v>39873</v>
      </c>
      <c r="C2477" s="20" t="s">
        <v>12939</v>
      </c>
      <c r="D2477" s="19" t="s">
        <v>31</v>
      </c>
      <c r="E2477" s="19" t="s">
        <v>10459</v>
      </c>
      <c r="F2477" s="21" t="str">
        <f t="shared" si="558"/>
        <v>VERIFICAR</v>
      </c>
      <c r="G2477" s="21" t="str">
        <f t="shared" si="558"/>
        <v>VERIFICAR</v>
      </c>
      <c r="H2477" s="21" t="str">
        <f t="shared" si="558"/>
        <v>VERIFICAR</v>
      </c>
      <c r="I2477" s="24" t="str">
        <f t="shared" si="559"/>
        <v xml:space="preserve">SEM VALOR</v>
      </c>
      <c r="L2477" s="36"/>
      <c r="M2477" s="37"/>
      <c r="N2477" s="36"/>
    </row>
    <row r="2478" ht="12.75">
      <c r="A2478" s="19" t="s">
        <v>10460</v>
      </c>
      <c r="B2478" s="19">
        <v>39874</v>
      </c>
      <c r="C2478" s="20" t="s">
        <v>12940</v>
      </c>
      <c r="D2478" s="19" t="s">
        <v>31</v>
      </c>
      <c r="E2478" s="19" t="s">
        <v>10459</v>
      </c>
      <c r="F2478" s="21" t="str">
        <f t="shared" si="558"/>
        <v>VERIFICAR</v>
      </c>
      <c r="G2478" s="21" t="str">
        <f t="shared" si="558"/>
        <v>VERIFICAR</v>
      </c>
      <c r="H2478" s="21" t="str">
        <f t="shared" si="558"/>
        <v>VERIFICAR</v>
      </c>
      <c r="I2478" s="24" t="str">
        <f t="shared" si="559"/>
        <v xml:space="preserve">SEM VALOR</v>
      </c>
      <c r="L2478" s="36"/>
      <c r="M2478" s="37"/>
      <c r="N2478" s="36"/>
    </row>
    <row r="2479" ht="25.5">
      <c r="A2479" s="19" t="s">
        <v>10460</v>
      </c>
      <c r="B2479" s="19">
        <v>3674</v>
      </c>
      <c r="C2479" s="20" t="s">
        <v>12941</v>
      </c>
      <c r="D2479" s="19" t="s">
        <v>38</v>
      </c>
      <c r="E2479" s="19" t="s">
        <v>10459</v>
      </c>
      <c r="F2479" s="21" t="str">
        <f t="shared" si="558"/>
        <v>VERIFICAR</v>
      </c>
      <c r="G2479" s="21" t="str">
        <f t="shared" si="558"/>
        <v>VERIFICAR</v>
      </c>
      <c r="H2479" s="21" t="str">
        <f t="shared" si="558"/>
        <v>VERIFICAR</v>
      </c>
      <c r="I2479" s="24" t="str">
        <f t="shared" si="559"/>
        <v xml:space="preserve">SEM VALOR</v>
      </c>
      <c r="L2479" s="36"/>
      <c r="M2479" s="37"/>
      <c r="N2479" s="36"/>
    </row>
    <row r="2480" ht="25.5">
      <c r="A2480" s="19" t="s">
        <v>10460</v>
      </c>
      <c r="B2480" s="19">
        <v>3681</v>
      </c>
      <c r="C2480" s="20" t="s">
        <v>12942</v>
      </c>
      <c r="D2480" s="19" t="s">
        <v>38</v>
      </c>
      <c r="E2480" s="19" t="s">
        <v>10459</v>
      </c>
      <c r="F2480" s="21" t="str">
        <f t="shared" si="558"/>
        <v>VERIFICAR</v>
      </c>
      <c r="G2480" s="21" t="str">
        <f t="shared" si="558"/>
        <v>VERIFICAR</v>
      </c>
      <c r="H2480" s="21" t="str">
        <f t="shared" si="558"/>
        <v>VERIFICAR</v>
      </c>
      <c r="I2480" s="24" t="str">
        <f t="shared" si="559"/>
        <v xml:space="preserve">SEM VALOR</v>
      </c>
      <c r="L2480" s="36"/>
      <c r="M2480" s="37"/>
      <c r="N2480" s="36"/>
    </row>
    <row r="2481" ht="25.5">
      <c r="A2481" s="19" t="s">
        <v>10460</v>
      </c>
      <c r="B2481" s="19">
        <v>3676</v>
      </c>
      <c r="C2481" s="20" t="s">
        <v>12943</v>
      </c>
      <c r="D2481" s="19" t="s">
        <v>38</v>
      </c>
      <c r="E2481" s="19" t="s">
        <v>10459</v>
      </c>
      <c r="F2481" s="21" t="str">
        <f t="shared" si="558"/>
        <v>VERIFICAR</v>
      </c>
      <c r="G2481" s="21" t="str">
        <f t="shared" si="558"/>
        <v>VERIFICAR</v>
      </c>
      <c r="H2481" s="21" t="str">
        <f t="shared" si="558"/>
        <v>VERIFICAR</v>
      </c>
      <c r="I2481" s="24" t="str">
        <f t="shared" si="559"/>
        <v xml:space="preserve">SEM VALOR</v>
      </c>
      <c r="L2481" s="36"/>
      <c r="M2481" s="37"/>
      <c r="N2481" s="36"/>
    </row>
    <row r="2482" ht="25.5">
      <c r="A2482" s="19" t="s">
        <v>10460</v>
      </c>
      <c r="B2482" s="19">
        <v>3679</v>
      </c>
      <c r="C2482" s="20" t="s">
        <v>12944</v>
      </c>
      <c r="D2482" s="19" t="s">
        <v>38</v>
      </c>
      <c r="E2482" s="19" t="s">
        <v>10459</v>
      </c>
      <c r="F2482" s="21" t="str">
        <f t="shared" si="558"/>
        <v>VERIFICAR</v>
      </c>
      <c r="G2482" s="21" t="str">
        <f t="shared" si="558"/>
        <v>VERIFICAR</v>
      </c>
      <c r="H2482" s="21" t="str">
        <f t="shared" si="558"/>
        <v>VERIFICAR</v>
      </c>
      <c r="I2482" s="24" t="str">
        <f t="shared" si="559"/>
        <v xml:space="preserve">SEM VALOR</v>
      </c>
      <c r="L2482" s="36"/>
      <c r="M2482" s="37"/>
      <c r="N2482" s="36"/>
    </row>
    <row r="2483" ht="25.5">
      <c r="A2483" s="19" t="s">
        <v>10460</v>
      </c>
      <c r="B2483" s="19">
        <v>3672</v>
      </c>
      <c r="C2483" s="20" t="s">
        <v>12945</v>
      </c>
      <c r="D2483" s="19" t="s">
        <v>38</v>
      </c>
      <c r="E2483" s="19" t="s">
        <v>10459</v>
      </c>
      <c r="F2483" s="21" t="str">
        <f t="shared" si="558"/>
        <v>VERIFICAR</v>
      </c>
      <c r="G2483" s="21" t="str">
        <f t="shared" si="558"/>
        <v>VERIFICAR</v>
      </c>
      <c r="H2483" s="21" t="str">
        <f t="shared" si="558"/>
        <v>VERIFICAR</v>
      </c>
      <c r="I2483" s="24" t="str">
        <f t="shared" si="559"/>
        <v xml:space="preserve">SEM VALOR</v>
      </c>
      <c r="L2483" s="36"/>
      <c r="M2483" s="37"/>
      <c r="N2483" s="36"/>
    </row>
    <row r="2484" ht="25.5">
      <c r="A2484" s="19" t="s">
        <v>10460</v>
      </c>
      <c r="B2484" s="19">
        <v>3671</v>
      </c>
      <c r="C2484" s="20" t="s">
        <v>12946</v>
      </c>
      <c r="D2484" s="19" t="s">
        <v>38</v>
      </c>
      <c r="E2484" s="19" t="s">
        <v>10466</v>
      </c>
      <c r="F2484" s="21" t="str">
        <f t="shared" si="558"/>
        <v>VERIFICAR</v>
      </c>
      <c r="G2484" s="21" t="str">
        <f t="shared" si="558"/>
        <v>VERIFICAR</v>
      </c>
      <c r="H2484" s="21" t="str">
        <f t="shared" si="558"/>
        <v>VERIFICAR</v>
      </c>
      <c r="I2484" s="24" t="str">
        <f t="shared" si="559"/>
        <v xml:space="preserve">SEM VALOR</v>
      </c>
      <c r="L2484" s="36"/>
      <c r="M2484" s="37"/>
      <c r="N2484" s="36"/>
    </row>
    <row r="2485" ht="25.5">
      <c r="A2485" s="19" t="s">
        <v>10460</v>
      </c>
      <c r="B2485" s="19">
        <v>3673</v>
      </c>
      <c r="C2485" s="20" t="s">
        <v>12947</v>
      </c>
      <c r="D2485" s="19" t="s">
        <v>38</v>
      </c>
      <c r="E2485" s="19" t="s">
        <v>10459</v>
      </c>
      <c r="F2485" s="21" t="str">
        <f t="shared" si="558"/>
        <v>VERIFICAR</v>
      </c>
      <c r="G2485" s="21" t="str">
        <f t="shared" si="558"/>
        <v>VERIFICAR</v>
      </c>
      <c r="H2485" s="21" t="str">
        <f t="shared" si="558"/>
        <v>VERIFICAR</v>
      </c>
      <c r="I2485" s="24" t="str">
        <f t="shared" si="559"/>
        <v xml:space="preserve">SEM VALOR</v>
      </c>
      <c r="L2485" s="36"/>
      <c r="M2485" s="37"/>
      <c r="N2485" s="36"/>
    </row>
    <row r="2486" ht="38.25">
      <c r="A2486" s="19" t="s">
        <v>10460</v>
      </c>
      <c r="B2486" s="19">
        <v>38394</v>
      </c>
      <c r="C2486" s="20" t="s">
        <v>12948</v>
      </c>
      <c r="D2486" s="19" t="s">
        <v>31</v>
      </c>
      <c r="E2486" s="19" t="s">
        <v>10459</v>
      </c>
      <c r="F2486" s="21">
        <f t="shared" si="558"/>
        <v>168.69999999999999</v>
      </c>
      <c r="G2486" s="21">
        <f t="shared" si="558"/>
        <v>168.69999999999999</v>
      </c>
      <c r="H2486" s="21">
        <f t="shared" si="558"/>
        <v>168.69999999999999</v>
      </c>
      <c r="I2486" s="24" t="str">
        <f t="shared" si="559"/>
        <v xml:space="preserve">COM VALOR</v>
      </c>
      <c r="L2486" s="36">
        <v>168.69999999999999</v>
      </c>
      <c r="M2486" s="37">
        <v>168.69999999999999</v>
      </c>
      <c r="N2486" s="36">
        <v>168.69999999999999</v>
      </c>
    </row>
    <row r="2487" ht="25.5">
      <c r="A2487" s="19" t="s">
        <v>10460</v>
      </c>
      <c r="B2487" s="19">
        <v>3729</v>
      </c>
      <c r="C2487" s="20" t="s">
        <v>12949</v>
      </c>
      <c r="D2487" s="19" t="s">
        <v>31</v>
      </c>
      <c r="E2487" s="19" t="s">
        <v>10459</v>
      </c>
      <c r="F2487" s="21">
        <f t="shared" si="558"/>
        <v>144.58000000000001</v>
      </c>
      <c r="G2487" s="21">
        <f t="shared" si="558"/>
        <v>144.58000000000001</v>
      </c>
      <c r="H2487" s="21">
        <f t="shared" si="558"/>
        <v>144.58000000000001</v>
      </c>
      <c r="I2487" s="24" t="str">
        <f t="shared" si="559"/>
        <v xml:space="preserve">COM VALOR</v>
      </c>
      <c r="L2487" s="36">
        <v>144.58000000000001</v>
      </c>
      <c r="M2487" s="37">
        <v>144.58000000000001</v>
      </c>
      <c r="N2487" s="36">
        <v>144.58000000000001</v>
      </c>
    </row>
    <row r="2488" ht="63.75">
      <c r="A2488" s="19" t="s">
        <v>10460</v>
      </c>
      <c r="B2488" s="19">
        <v>39357</v>
      </c>
      <c r="C2488" s="20" t="s">
        <v>12950</v>
      </c>
      <c r="D2488" s="19" t="s">
        <v>31</v>
      </c>
      <c r="E2488" s="19" t="s">
        <v>10459</v>
      </c>
      <c r="F2488" s="21" t="str">
        <f t="shared" si="558"/>
        <v>VERIFICAR</v>
      </c>
      <c r="G2488" s="21" t="str">
        <f t="shared" si="558"/>
        <v>VERIFICAR</v>
      </c>
      <c r="H2488" s="21" t="str">
        <f t="shared" si="558"/>
        <v>VERIFICAR</v>
      </c>
      <c r="I2488" s="24" t="str">
        <f t="shared" si="559"/>
        <v xml:space="preserve">SEM VALOR</v>
      </c>
      <c r="L2488" s="36"/>
      <c r="M2488" s="37"/>
      <c r="N2488" s="36"/>
    </row>
    <row r="2489" ht="63.75">
      <c r="A2489" s="19" t="s">
        <v>10460</v>
      </c>
      <c r="B2489" s="19">
        <v>39358</v>
      </c>
      <c r="C2489" s="20" t="s">
        <v>12951</v>
      </c>
      <c r="D2489" s="19" t="s">
        <v>31</v>
      </c>
      <c r="E2489" s="19" t="s">
        <v>10459</v>
      </c>
      <c r="F2489" s="21" t="str">
        <f t="shared" si="558"/>
        <v>VERIFICAR</v>
      </c>
      <c r="G2489" s="21" t="str">
        <f t="shared" si="558"/>
        <v>VERIFICAR</v>
      </c>
      <c r="H2489" s="21" t="str">
        <f t="shared" si="558"/>
        <v>VERIFICAR</v>
      </c>
      <c r="I2489" s="24" t="str">
        <f t="shared" si="559"/>
        <v xml:space="preserve">SEM VALOR</v>
      </c>
      <c r="L2489" s="36"/>
      <c r="M2489" s="37"/>
      <c r="N2489" s="36"/>
    </row>
    <row r="2490" ht="63.75">
      <c r="A2490" s="19" t="s">
        <v>10460</v>
      </c>
      <c r="B2490" s="19">
        <v>39355</v>
      </c>
      <c r="C2490" s="20" t="s">
        <v>12952</v>
      </c>
      <c r="D2490" s="19" t="s">
        <v>31</v>
      </c>
      <c r="E2490" s="19" t="s">
        <v>10459</v>
      </c>
      <c r="F2490" s="21" t="str">
        <f t="shared" si="558"/>
        <v>VERIFICAR</v>
      </c>
      <c r="G2490" s="21" t="str">
        <f t="shared" si="558"/>
        <v>VERIFICAR</v>
      </c>
      <c r="H2490" s="21" t="str">
        <f t="shared" si="558"/>
        <v>VERIFICAR</v>
      </c>
      <c r="I2490" s="24" t="str">
        <f t="shared" si="559"/>
        <v xml:space="preserve">SEM VALOR</v>
      </c>
      <c r="L2490" s="36"/>
      <c r="M2490" s="37"/>
      <c r="N2490" s="36"/>
    </row>
    <row r="2491" ht="63.75">
      <c r="A2491" s="19" t="s">
        <v>10460</v>
      </c>
      <c r="B2491" s="19">
        <v>39356</v>
      </c>
      <c r="C2491" s="20" t="s">
        <v>12953</v>
      </c>
      <c r="D2491" s="19" t="s">
        <v>31</v>
      </c>
      <c r="E2491" s="19" t="s">
        <v>10459</v>
      </c>
      <c r="F2491" s="21" t="str">
        <f t="shared" si="558"/>
        <v>VERIFICAR</v>
      </c>
      <c r="G2491" s="21" t="str">
        <f t="shared" si="558"/>
        <v>VERIFICAR</v>
      </c>
      <c r="H2491" s="21" t="str">
        <f t="shared" si="558"/>
        <v>VERIFICAR</v>
      </c>
      <c r="I2491" s="24" t="str">
        <f t="shared" si="559"/>
        <v xml:space="preserve">SEM VALOR</v>
      </c>
      <c r="L2491" s="36"/>
      <c r="M2491" s="37"/>
      <c r="N2491" s="36"/>
    </row>
    <row r="2492" ht="51">
      <c r="A2492" s="19" t="s">
        <v>10460</v>
      </c>
      <c r="B2492" s="19">
        <v>39353</v>
      </c>
      <c r="C2492" s="20" t="s">
        <v>12954</v>
      </c>
      <c r="D2492" s="19" t="s">
        <v>31</v>
      </c>
      <c r="E2492" s="19" t="s">
        <v>10459</v>
      </c>
      <c r="F2492" s="21" t="str">
        <f t="shared" si="558"/>
        <v>VERIFICAR</v>
      </c>
      <c r="G2492" s="21" t="str">
        <f t="shared" si="558"/>
        <v>VERIFICAR</v>
      </c>
      <c r="H2492" s="21" t="str">
        <f t="shared" si="558"/>
        <v>VERIFICAR</v>
      </c>
      <c r="I2492" s="24" t="str">
        <f t="shared" si="559"/>
        <v xml:space="preserve">SEM VALOR</v>
      </c>
      <c r="L2492" s="36"/>
      <c r="M2492" s="37"/>
      <c r="N2492" s="36"/>
    </row>
    <row r="2493" ht="51">
      <c r="A2493" s="19" t="s">
        <v>10460</v>
      </c>
      <c r="B2493" s="19">
        <v>39354</v>
      </c>
      <c r="C2493" s="20" t="s">
        <v>12955</v>
      </c>
      <c r="D2493" s="19" t="s">
        <v>31</v>
      </c>
      <c r="E2493" s="19" t="s">
        <v>10459</v>
      </c>
      <c r="F2493" s="21" t="str">
        <f t="shared" si="558"/>
        <v>VERIFICAR</v>
      </c>
      <c r="G2493" s="21" t="str">
        <f t="shared" si="558"/>
        <v>VERIFICAR</v>
      </c>
      <c r="H2493" s="21" t="str">
        <f t="shared" si="558"/>
        <v>VERIFICAR</v>
      </c>
      <c r="I2493" s="24" t="str">
        <f t="shared" si="559"/>
        <v xml:space="preserve">SEM VALOR</v>
      </c>
      <c r="L2493" s="36"/>
      <c r="M2493" s="37"/>
      <c r="N2493" s="36"/>
    </row>
    <row r="2494" ht="25.5">
      <c r="A2494" s="19" t="s">
        <v>10460</v>
      </c>
      <c r="B2494" s="19">
        <v>39398</v>
      </c>
      <c r="C2494" s="20" t="s">
        <v>12956</v>
      </c>
      <c r="D2494" s="19" t="s">
        <v>31</v>
      </c>
      <c r="E2494" s="19" t="s">
        <v>10459</v>
      </c>
      <c r="F2494" s="21">
        <f t="shared" si="558"/>
        <v>67.879999999999995</v>
      </c>
      <c r="G2494" s="21">
        <f t="shared" si="558"/>
        <v>67.879999999999995</v>
      </c>
      <c r="H2494" s="21">
        <f t="shared" si="558"/>
        <v>67.879999999999995</v>
      </c>
      <c r="I2494" s="24" t="str">
        <f t="shared" si="559"/>
        <v xml:space="preserve">COM VALOR</v>
      </c>
      <c r="L2494" s="36">
        <v>67.879999999999995</v>
      </c>
      <c r="M2494" s="37">
        <v>67.879999999999995</v>
      </c>
      <c r="N2494" s="36">
        <v>67.879999999999995</v>
      </c>
    </row>
    <row r="2495" ht="38.25">
      <c r="A2495" s="19" t="s">
        <v>10460</v>
      </c>
      <c r="B2495" s="19">
        <v>13343</v>
      </c>
      <c r="C2495" s="20" t="s">
        <v>12957</v>
      </c>
      <c r="D2495" s="19" t="s">
        <v>31</v>
      </c>
      <c r="E2495" s="19" t="s">
        <v>10459</v>
      </c>
      <c r="F2495" s="21">
        <f t="shared" si="558"/>
        <v>51.520000000000003</v>
      </c>
      <c r="G2495" s="21">
        <f t="shared" si="558"/>
        <v>51.520000000000003</v>
      </c>
      <c r="H2495" s="21">
        <f t="shared" si="558"/>
        <v>51.520000000000003</v>
      </c>
      <c r="I2495" s="24" t="str">
        <f t="shared" si="559"/>
        <v xml:space="preserve">COM VALOR</v>
      </c>
      <c r="L2495" s="36">
        <v>51.520000000000003</v>
      </c>
      <c r="M2495" s="37">
        <v>51.520000000000003</v>
      </c>
      <c r="N2495" s="36">
        <v>51.520000000000003</v>
      </c>
    </row>
    <row r="2496" ht="25.5">
      <c r="A2496" s="19" t="s">
        <v>10460</v>
      </c>
      <c r="B2496" s="19">
        <v>12118</v>
      </c>
      <c r="C2496" s="20" t="s">
        <v>12958</v>
      </c>
      <c r="D2496" s="19" t="s">
        <v>31</v>
      </c>
      <c r="E2496" s="19" t="s">
        <v>10459</v>
      </c>
      <c r="F2496" s="21">
        <f t="shared" si="558"/>
        <v>19.620000000000001</v>
      </c>
      <c r="G2496" s="21">
        <f t="shared" si="558"/>
        <v>19.620000000000001</v>
      </c>
      <c r="H2496" s="21">
        <f t="shared" si="558"/>
        <v>19.620000000000001</v>
      </c>
      <c r="I2496" s="24" t="str">
        <f t="shared" si="559"/>
        <v xml:space="preserve">COM VALOR</v>
      </c>
      <c r="L2496" s="36">
        <v>19.620000000000001</v>
      </c>
      <c r="M2496" s="37">
        <v>19.620000000000001</v>
      </c>
      <c r="N2496" s="36">
        <v>19.620000000000001</v>
      </c>
    </row>
    <row r="2497" ht="63.75">
      <c r="A2497" s="19" t="s">
        <v>10460</v>
      </c>
      <c r="B2497" s="19">
        <v>39482</v>
      </c>
      <c r="C2497" s="20" t="s">
        <v>12959</v>
      </c>
      <c r="D2497" s="19" t="s">
        <v>31</v>
      </c>
      <c r="E2497" s="19" t="s">
        <v>10459</v>
      </c>
      <c r="F2497" s="21">
        <f t="shared" si="558"/>
        <v>794.48000000000002</v>
      </c>
      <c r="G2497" s="21">
        <f t="shared" si="558"/>
        <v>794.48000000000002</v>
      </c>
      <c r="H2497" s="21">
        <f t="shared" si="558"/>
        <v>794.48000000000002</v>
      </c>
      <c r="I2497" s="24" t="str">
        <f t="shared" si="559"/>
        <v xml:space="preserve">COM VALOR</v>
      </c>
      <c r="L2497" s="36">
        <v>794.48000000000002</v>
      </c>
      <c r="M2497" s="37">
        <v>794.48000000000002</v>
      </c>
      <c r="N2497" s="36">
        <v>794.48000000000002</v>
      </c>
    </row>
    <row r="2498" ht="63.75">
      <c r="A2498" s="19" t="s">
        <v>10460</v>
      </c>
      <c r="B2498" s="19">
        <v>39486</v>
      </c>
      <c r="C2498" s="20" t="s">
        <v>12960</v>
      </c>
      <c r="D2498" s="19" t="s">
        <v>31</v>
      </c>
      <c r="E2498" s="19" t="s">
        <v>10459</v>
      </c>
      <c r="F2498" s="21">
        <f t="shared" si="558"/>
        <v>648.39999999999998</v>
      </c>
      <c r="G2498" s="21">
        <f t="shared" si="558"/>
        <v>648.39999999999998</v>
      </c>
      <c r="H2498" s="21">
        <f t="shared" si="558"/>
        <v>648.39999999999998</v>
      </c>
      <c r="I2498" s="24" t="str">
        <f t="shared" si="559"/>
        <v xml:space="preserve">COM VALOR</v>
      </c>
      <c r="L2498" s="36">
        <v>648.39999999999998</v>
      </c>
      <c r="M2498" s="37">
        <v>648.39999999999998</v>
      </c>
      <c r="N2498" s="36">
        <v>648.39999999999998</v>
      </c>
    </row>
    <row r="2499" ht="63.75">
      <c r="A2499" s="19" t="s">
        <v>10460</v>
      </c>
      <c r="B2499" s="19">
        <v>39484</v>
      </c>
      <c r="C2499" s="20" t="s">
        <v>12961</v>
      </c>
      <c r="D2499" s="19" t="s">
        <v>31</v>
      </c>
      <c r="E2499" s="19" t="s">
        <v>10459</v>
      </c>
      <c r="F2499" s="21">
        <f t="shared" si="558"/>
        <v>794.48000000000002</v>
      </c>
      <c r="G2499" s="21">
        <f t="shared" si="558"/>
        <v>794.48000000000002</v>
      </c>
      <c r="H2499" s="21">
        <f t="shared" si="558"/>
        <v>794.48000000000002</v>
      </c>
      <c r="I2499" s="24" t="str">
        <f t="shared" si="559"/>
        <v xml:space="preserve">COM VALOR</v>
      </c>
      <c r="L2499" s="36">
        <v>794.48000000000002</v>
      </c>
      <c r="M2499" s="37">
        <v>794.48000000000002</v>
      </c>
      <c r="N2499" s="36">
        <v>794.48000000000002</v>
      </c>
    </row>
    <row r="2500" ht="63.75">
      <c r="A2500" s="19" t="s">
        <v>10460</v>
      </c>
      <c r="B2500" s="19">
        <v>39488</v>
      </c>
      <c r="C2500" s="20" t="s">
        <v>12962</v>
      </c>
      <c r="D2500" s="19" t="s">
        <v>31</v>
      </c>
      <c r="E2500" s="19" t="s">
        <v>10459</v>
      </c>
      <c r="F2500" s="21">
        <f t="shared" si="558"/>
        <v>659.01999999999998</v>
      </c>
      <c r="G2500" s="21">
        <f t="shared" si="558"/>
        <v>659.01999999999998</v>
      </c>
      <c r="H2500" s="21">
        <f t="shared" si="558"/>
        <v>659.01999999999998</v>
      </c>
      <c r="I2500" s="24" t="str">
        <f t="shared" si="559"/>
        <v xml:space="preserve">COM VALOR</v>
      </c>
      <c r="L2500" s="36">
        <v>659.01999999999998</v>
      </c>
      <c r="M2500" s="37">
        <v>659.01999999999998</v>
      </c>
      <c r="N2500" s="36">
        <v>659.01999999999998</v>
      </c>
    </row>
    <row r="2501" ht="63.75">
      <c r="A2501" s="19" t="s">
        <v>10460</v>
      </c>
      <c r="B2501" s="19">
        <v>39485</v>
      </c>
      <c r="C2501" s="20" t="s">
        <v>12963</v>
      </c>
      <c r="D2501" s="19" t="s">
        <v>31</v>
      </c>
      <c r="E2501" s="19" t="s">
        <v>10459</v>
      </c>
      <c r="F2501" s="21">
        <f t="shared" si="558"/>
        <v>794.48000000000002</v>
      </c>
      <c r="G2501" s="21">
        <f t="shared" si="558"/>
        <v>794.48000000000002</v>
      </c>
      <c r="H2501" s="21">
        <f t="shared" si="558"/>
        <v>794.48000000000002</v>
      </c>
      <c r="I2501" s="24" t="str">
        <f t="shared" si="559"/>
        <v xml:space="preserve">COM VALOR</v>
      </c>
      <c r="L2501" s="36">
        <v>794.48000000000002</v>
      </c>
      <c r="M2501" s="37">
        <v>794.48000000000002</v>
      </c>
      <c r="N2501" s="36">
        <v>794.48000000000002</v>
      </c>
    </row>
    <row r="2502" ht="63.75">
      <c r="A2502" s="19" t="s">
        <v>10460</v>
      </c>
      <c r="B2502" s="19">
        <v>39489</v>
      </c>
      <c r="C2502" s="20" t="s">
        <v>12964</v>
      </c>
      <c r="D2502" s="19" t="s">
        <v>31</v>
      </c>
      <c r="E2502" s="19" t="s">
        <v>10459</v>
      </c>
      <c r="F2502" s="21">
        <f t="shared" si="558"/>
        <v>670.19000000000005</v>
      </c>
      <c r="G2502" s="21">
        <f t="shared" si="558"/>
        <v>670.19000000000005</v>
      </c>
      <c r="H2502" s="21">
        <f t="shared" si="558"/>
        <v>670.19000000000005</v>
      </c>
      <c r="I2502" s="24" t="str">
        <f t="shared" si="559"/>
        <v xml:space="preserve">COM VALOR</v>
      </c>
      <c r="L2502" s="36">
        <v>670.19000000000005</v>
      </c>
      <c r="M2502" s="37">
        <v>670.19000000000005</v>
      </c>
      <c r="N2502" s="36">
        <v>670.19000000000005</v>
      </c>
    </row>
    <row r="2503" ht="76.5">
      <c r="A2503" s="19" t="s">
        <v>10460</v>
      </c>
      <c r="B2503" s="19">
        <v>39490</v>
      </c>
      <c r="C2503" s="20" t="s">
        <v>12965</v>
      </c>
      <c r="D2503" s="19" t="s">
        <v>31</v>
      </c>
      <c r="E2503" s="19" t="s">
        <v>10459</v>
      </c>
      <c r="F2503" s="21">
        <f t="shared" si="558"/>
        <v>998.66999999999996</v>
      </c>
      <c r="G2503" s="21">
        <f t="shared" si="558"/>
        <v>998.66999999999996</v>
      </c>
      <c r="H2503" s="21">
        <f t="shared" si="558"/>
        <v>998.66999999999996</v>
      </c>
      <c r="I2503" s="24" t="str">
        <f t="shared" si="559"/>
        <v xml:space="preserve">COM VALOR</v>
      </c>
      <c r="L2503" s="36">
        <v>998.66999999999996</v>
      </c>
      <c r="M2503" s="37">
        <v>998.66999999999996</v>
      </c>
      <c r="N2503" s="36">
        <v>998.66999999999996</v>
      </c>
    </row>
    <row r="2504" ht="63.75">
      <c r="A2504" s="19" t="s">
        <v>10460</v>
      </c>
      <c r="B2504" s="19">
        <v>39494</v>
      </c>
      <c r="C2504" s="20" t="s">
        <v>12966</v>
      </c>
      <c r="D2504" s="19" t="s">
        <v>31</v>
      </c>
      <c r="E2504" s="19" t="s">
        <v>10459</v>
      </c>
      <c r="F2504" s="21">
        <f t="shared" si="558"/>
        <v>717.13</v>
      </c>
      <c r="G2504" s="21">
        <f t="shared" si="558"/>
        <v>717.13</v>
      </c>
      <c r="H2504" s="21">
        <f t="shared" si="558"/>
        <v>717.13</v>
      </c>
      <c r="I2504" s="24" t="str">
        <f t="shared" si="559"/>
        <v xml:space="preserve">COM VALOR</v>
      </c>
      <c r="L2504" s="36">
        <v>717.13</v>
      </c>
      <c r="M2504" s="37">
        <v>717.13</v>
      </c>
      <c r="N2504" s="36">
        <v>717.13</v>
      </c>
    </row>
    <row r="2505" ht="63.75">
      <c r="A2505" s="19" t="s">
        <v>10460</v>
      </c>
      <c r="B2505" s="19">
        <v>39495</v>
      </c>
      <c r="C2505" s="20" t="s">
        <v>12967</v>
      </c>
      <c r="D2505" s="19" t="s">
        <v>31</v>
      </c>
      <c r="E2505" s="19" t="s">
        <v>10459</v>
      </c>
      <c r="F2505" s="21">
        <f t="shared" si="558"/>
        <v>808.11000000000001</v>
      </c>
      <c r="G2505" s="21">
        <f t="shared" si="558"/>
        <v>808.11000000000001</v>
      </c>
      <c r="H2505" s="21">
        <f t="shared" si="558"/>
        <v>808.11000000000001</v>
      </c>
      <c r="I2505" s="24" t="str">
        <f t="shared" si="559"/>
        <v xml:space="preserve">COM VALOR</v>
      </c>
      <c r="L2505" s="36">
        <v>808.11000000000001</v>
      </c>
      <c r="M2505" s="37">
        <v>808.11000000000001</v>
      </c>
      <c r="N2505" s="36">
        <v>808.11000000000001</v>
      </c>
    </row>
    <row r="2506" ht="63.75">
      <c r="A2506" s="19" t="s">
        <v>10460</v>
      </c>
      <c r="B2506" s="19">
        <v>39496</v>
      </c>
      <c r="C2506" s="20" t="s">
        <v>12968</v>
      </c>
      <c r="D2506" s="19" t="s">
        <v>31</v>
      </c>
      <c r="E2506" s="19" t="s">
        <v>10459</v>
      </c>
      <c r="F2506" s="21">
        <f t="shared" si="558"/>
        <v>888.91999999999996</v>
      </c>
      <c r="G2506" s="21">
        <f t="shared" si="558"/>
        <v>888.91999999999996</v>
      </c>
      <c r="H2506" s="21">
        <f t="shared" si="558"/>
        <v>888.91999999999996</v>
      </c>
      <c r="I2506" s="24" t="str">
        <f t="shared" si="559"/>
        <v xml:space="preserve">COM VALOR</v>
      </c>
      <c r="L2506" s="36">
        <v>888.91999999999996</v>
      </c>
      <c r="M2506" s="37">
        <v>888.91999999999996</v>
      </c>
      <c r="N2506" s="36">
        <v>888.91999999999996</v>
      </c>
    </row>
    <row r="2507" ht="63.75">
      <c r="A2507" s="19" t="s">
        <v>10460</v>
      </c>
      <c r="B2507" s="19">
        <v>39492</v>
      </c>
      <c r="C2507" s="20" t="s">
        <v>12969</v>
      </c>
      <c r="D2507" s="19" t="s">
        <v>31</v>
      </c>
      <c r="E2507" s="19" t="s">
        <v>10459</v>
      </c>
      <c r="F2507" s="21">
        <f t="shared" ref="F2507:H2570" si="560">IF(L2507=0,"VERIFICAR",L2507)</f>
        <v>1029.1300000000001</v>
      </c>
      <c r="G2507" s="21">
        <f t="shared" si="560"/>
        <v>1029.1300000000001</v>
      </c>
      <c r="H2507" s="21">
        <f t="shared" si="560"/>
        <v>1029.1300000000001</v>
      </c>
      <c r="I2507" s="24" t="str">
        <f t="shared" ref="I2507:I2570" si="561">IF(OR(L2507=0,M2507=0,N2507=0),"SEM VALOR","COM VALOR")</f>
        <v xml:space="preserve">COM VALOR</v>
      </c>
      <c r="L2507" s="36">
        <v>1029.1300000000001</v>
      </c>
      <c r="M2507" s="37">
        <v>1029.1300000000001</v>
      </c>
      <c r="N2507" s="36">
        <v>1029.1300000000001</v>
      </c>
    </row>
    <row r="2508" ht="63.75">
      <c r="A2508" s="19" t="s">
        <v>10460</v>
      </c>
      <c r="B2508" s="19">
        <v>39497</v>
      </c>
      <c r="C2508" s="20" t="s">
        <v>12970</v>
      </c>
      <c r="D2508" s="19" t="s">
        <v>31</v>
      </c>
      <c r="E2508" s="19" t="s">
        <v>10459</v>
      </c>
      <c r="F2508" s="21">
        <f t="shared" si="560"/>
        <v>929.57000000000005</v>
      </c>
      <c r="G2508" s="21">
        <f t="shared" si="560"/>
        <v>929.57000000000005</v>
      </c>
      <c r="H2508" s="21">
        <f t="shared" si="560"/>
        <v>929.57000000000005</v>
      </c>
      <c r="I2508" s="24" t="str">
        <f t="shared" si="561"/>
        <v xml:space="preserve">COM VALOR</v>
      </c>
      <c r="L2508" s="36">
        <v>929.57000000000005</v>
      </c>
      <c r="M2508" s="37">
        <v>929.57000000000005</v>
      </c>
      <c r="N2508" s="36">
        <v>929.57000000000005</v>
      </c>
    </row>
    <row r="2509" ht="63.75">
      <c r="A2509" s="19" t="s">
        <v>10460</v>
      </c>
      <c r="B2509" s="19">
        <v>39493</v>
      </c>
      <c r="C2509" s="20" t="s">
        <v>12971</v>
      </c>
      <c r="D2509" s="19" t="s">
        <v>31</v>
      </c>
      <c r="E2509" s="19" t="s">
        <v>10459</v>
      </c>
      <c r="F2509" s="21">
        <f t="shared" si="560"/>
        <v>1103.8299999999999</v>
      </c>
      <c r="G2509" s="21">
        <f t="shared" si="560"/>
        <v>1103.8299999999999</v>
      </c>
      <c r="H2509" s="21">
        <f t="shared" si="560"/>
        <v>1103.8299999999999</v>
      </c>
      <c r="I2509" s="24" t="str">
        <f t="shared" si="561"/>
        <v xml:space="preserve">COM VALOR</v>
      </c>
      <c r="L2509" s="36">
        <v>1103.8299999999999</v>
      </c>
      <c r="M2509" s="37">
        <v>1103.8299999999999</v>
      </c>
      <c r="N2509" s="36">
        <v>1103.8299999999999</v>
      </c>
    </row>
    <row r="2510" ht="63.75">
      <c r="A2510" s="19" t="s">
        <v>10460</v>
      </c>
      <c r="B2510" s="19">
        <v>43628</v>
      </c>
      <c r="C2510" s="20" t="s">
        <v>12972</v>
      </c>
      <c r="D2510" s="19" t="s">
        <v>31</v>
      </c>
      <c r="E2510" s="19" t="s">
        <v>10459</v>
      </c>
      <c r="F2510" s="21">
        <f t="shared" si="560"/>
        <v>1170.8099999999999</v>
      </c>
      <c r="G2510" s="21">
        <f t="shared" si="560"/>
        <v>1170.8099999999999</v>
      </c>
      <c r="H2510" s="21">
        <f t="shared" si="560"/>
        <v>1170.8099999999999</v>
      </c>
      <c r="I2510" s="24" t="str">
        <f t="shared" si="561"/>
        <v xml:space="preserve">COM VALOR</v>
      </c>
      <c r="L2510" s="36">
        <v>1170.8099999999999</v>
      </c>
      <c r="M2510" s="37">
        <v>1170.8099999999999</v>
      </c>
      <c r="N2510" s="36">
        <v>1170.8099999999999</v>
      </c>
    </row>
    <row r="2511" ht="63.75">
      <c r="A2511" s="19" t="s">
        <v>10460</v>
      </c>
      <c r="B2511" s="19">
        <v>39500</v>
      </c>
      <c r="C2511" s="20" t="s">
        <v>12973</v>
      </c>
      <c r="D2511" s="19" t="s">
        <v>31</v>
      </c>
      <c r="E2511" s="19" t="s">
        <v>10459</v>
      </c>
      <c r="F2511" s="21">
        <f t="shared" si="560"/>
        <v>1204.3800000000001</v>
      </c>
      <c r="G2511" s="21">
        <f t="shared" si="560"/>
        <v>1204.3800000000001</v>
      </c>
      <c r="H2511" s="21">
        <f t="shared" si="560"/>
        <v>1204.3800000000001</v>
      </c>
      <c r="I2511" s="24" t="str">
        <f t="shared" si="561"/>
        <v xml:space="preserve">COM VALOR</v>
      </c>
      <c r="L2511" s="36">
        <v>1204.3800000000001</v>
      </c>
      <c r="M2511" s="37">
        <v>1204.3800000000001</v>
      </c>
      <c r="N2511" s="36">
        <v>1204.3800000000001</v>
      </c>
    </row>
    <row r="2512" ht="63.75">
      <c r="A2512" s="19" t="s">
        <v>10460</v>
      </c>
      <c r="B2512" s="19">
        <v>39498</v>
      </c>
      <c r="C2512" s="20" t="s">
        <v>12974</v>
      </c>
      <c r="D2512" s="19" t="s">
        <v>31</v>
      </c>
      <c r="E2512" s="19" t="s">
        <v>10459</v>
      </c>
      <c r="F2512" s="21">
        <f t="shared" si="560"/>
        <v>1485.3900000000001</v>
      </c>
      <c r="G2512" s="21">
        <f t="shared" si="560"/>
        <v>1485.3900000000001</v>
      </c>
      <c r="H2512" s="21">
        <f t="shared" si="560"/>
        <v>1485.3900000000001</v>
      </c>
      <c r="I2512" s="24" t="str">
        <f t="shared" si="561"/>
        <v xml:space="preserve">COM VALOR</v>
      </c>
      <c r="L2512" s="36">
        <v>1485.3900000000001</v>
      </c>
      <c r="M2512" s="37">
        <v>1485.3900000000001</v>
      </c>
      <c r="N2512" s="36">
        <v>1485.3900000000001</v>
      </c>
    </row>
    <row r="2513" ht="63.75">
      <c r="A2513" s="19" t="s">
        <v>10460</v>
      </c>
      <c r="B2513" s="19">
        <v>43621</v>
      </c>
      <c r="C2513" s="20" t="s">
        <v>12975</v>
      </c>
      <c r="D2513" s="19" t="s">
        <v>31</v>
      </c>
      <c r="E2513" s="19" t="s">
        <v>10459</v>
      </c>
      <c r="F2513" s="21">
        <f t="shared" si="560"/>
        <v>1243.98</v>
      </c>
      <c r="G2513" s="21">
        <f t="shared" si="560"/>
        <v>1243.98</v>
      </c>
      <c r="H2513" s="21">
        <f t="shared" si="560"/>
        <v>1243.98</v>
      </c>
      <c r="I2513" s="24" t="str">
        <f t="shared" si="561"/>
        <v xml:space="preserve">COM VALOR</v>
      </c>
      <c r="L2513" s="36">
        <v>1243.98</v>
      </c>
      <c r="M2513" s="37">
        <v>1243.98</v>
      </c>
      <c r="N2513" s="36">
        <v>1243.98</v>
      </c>
    </row>
    <row r="2514" ht="63.75">
      <c r="A2514" s="19" t="s">
        <v>10460</v>
      </c>
      <c r="B2514" s="19">
        <v>39501</v>
      </c>
      <c r="C2514" s="20" t="s">
        <v>12976</v>
      </c>
      <c r="D2514" s="19" t="s">
        <v>31</v>
      </c>
      <c r="E2514" s="19" t="s">
        <v>10459</v>
      </c>
      <c r="F2514" s="21">
        <f t="shared" si="560"/>
        <v>1236.99</v>
      </c>
      <c r="G2514" s="21">
        <f t="shared" si="560"/>
        <v>1236.99</v>
      </c>
      <c r="H2514" s="21">
        <f t="shared" si="560"/>
        <v>1236.99</v>
      </c>
      <c r="I2514" s="24" t="str">
        <f t="shared" si="561"/>
        <v xml:space="preserve">COM VALOR</v>
      </c>
      <c r="L2514" s="36">
        <v>1236.99</v>
      </c>
      <c r="M2514" s="37">
        <v>1236.99</v>
      </c>
      <c r="N2514" s="36">
        <v>1236.99</v>
      </c>
    </row>
    <row r="2515" ht="63.75">
      <c r="A2515" s="19" t="s">
        <v>10460</v>
      </c>
      <c r="B2515" s="19">
        <v>39499</v>
      </c>
      <c r="C2515" s="20" t="s">
        <v>12977</v>
      </c>
      <c r="D2515" s="19" t="s">
        <v>31</v>
      </c>
      <c r="E2515" s="19" t="s">
        <v>10459</v>
      </c>
      <c r="F2515" s="21">
        <f t="shared" si="560"/>
        <v>1506.49</v>
      </c>
      <c r="G2515" s="21">
        <f t="shared" si="560"/>
        <v>1506.49</v>
      </c>
      <c r="H2515" s="21">
        <f t="shared" si="560"/>
        <v>1506.49</v>
      </c>
      <c r="I2515" s="24" t="str">
        <f t="shared" si="561"/>
        <v xml:space="preserve">COM VALOR</v>
      </c>
      <c r="L2515" s="36">
        <v>1506.49</v>
      </c>
      <c r="M2515" s="37">
        <v>1506.49</v>
      </c>
      <c r="N2515" s="36">
        <v>1506.49</v>
      </c>
    </row>
    <row r="2516" ht="25.5">
      <c r="A2516" s="19" t="s">
        <v>10460</v>
      </c>
      <c r="B2516" s="19">
        <v>3733</v>
      </c>
      <c r="C2516" s="20" t="s">
        <v>12978</v>
      </c>
      <c r="D2516" s="19" t="s">
        <v>29</v>
      </c>
      <c r="E2516" s="19" t="s">
        <v>10459</v>
      </c>
      <c r="F2516" s="21">
        <f t="shared" si="560"/>
        <v>103.08</v>
      </c>
      <c r="G2516" s="21">
        <f t="shared" si="560"/>
        <v>103.08</v>
      </c>
      <c r="H2516" s="21">
        <f t="shared" si="560"/>
        <v>103.08</v>
      </c>
      <c r="I2516" s="24" t="str">
        <f t="shared" si="561"/>
        <v xml:space="preserve">COM VALOR</v>
      </c>
      <c r="L2516" s="36">
        <v>103.08</v>
      </c>
      <c r="M2516" s="37">
        <v>103.08</v>
      </c>
      <c r="N2516" s="36">
        <v>103.08</v>
      </c>
    </row>
    <row r="2517" ht="25.5">
      <c r="A2517" s="19" t="s">
        <v>10460</v>
      </c>
      <c r="B2517" s="19">
        <v>3731</v>
      </c>
      <c r="C2517" s="20" t="s">
        <v>12979</v>
      </c>
      <c r="D2517" s="19" t="s">
        <v>29</v>
      </c>
      <c r="E2517" s="19" t="s">
        <v>10459</v>
      </c>
      <c r="F2517" s="21">
        <f t="shared" si="560"/>
        <v>92.230000000000004</v>
      </c>
      <c r="G2517" s="21">
        <f t="shared" si="560"/>
        <v>92.230000000000004</v>
      </c>
      <c r="H2517" s="21">
        <f t="shared" si="560"/>
        <v>92.230000000000004</v>
      </c>
      <c r="I2517" s="24" t="str">
        <f t="shared" si="561"/>
        <v xml:space="preserve">COM VALOR</v>
      </c>
      <c r="L2517" s="36">
        <v>92.230000000000004</v>
      </c>
      <c r="M2517" s="37">
        <v>92.230000000000004</v>
      </c>
      <c r="N2517" s="36">
        <v>92.230000000000004</v>
      </c>
    </row>
    <row r="2518" ht="25.5">
      <c r="A2518" s="19" t="s">
        <v>10460</v>
      </c>
      <c r="B2518" s="19">
        <v>38137</v>
      </c>
      <c r="C2518" s="20" t="s">
        <v>12980</v>
      </c>
      <c r="D2518" s="19" t="s">
        <v>29</v>
      </c>
      <c r="E2518" s="19" t="s">
        <v>10459</v>
      </c>
      <c r="F2518" s="21">
        <f t="shared" si="560"/>
        <v>110.31999999999999</v>
      </c>
      <c r="G2518" s="21">
        <f t="shared" si="560"/>
        <v>110.31999999999999</v>
      </c>
      <c r="H2518" s="21">
        <f t="shared" si="560"/>
        <v>110.31999999999999</v>
      </c>
      <c r="I2518" s="24" t="str">
        <f t="shared" si="561"/>
        <v xml:space="preserve">COM VALOR</v>
      </c>
      <c r="L2518" s="36">
        <v>110.31999999999999</v>
      </c>
      <c r="M2518" s="37">
        <v>110.31999999999999</v>
      </c>
      <c r="N2518" s="36">
        <v>110.31999999999999</v>
      </c>
    </row>
    <row r="2519" ht="25.5">
      <c r="A2519" s="19" t="s">
        <v>10460</v>
      </c>
      <c r="B2519" s="19">
        <v>38138</v>
      </c>
      <c r="C2519" s="20" t="s">
        <v>12981</v>
      </c>
      <c r="D2519" s="19" t="s">
        <v>29</v>
      </c>
      <c r="E2519" s="19" t="s">
        <v>10459</v>
      </c>
      <c r="F2519" s="21">
        <f t="shared" si="560"/>
        <v>114.54000000000001</v>
      </c>
      <c r="G2519" s="21">
        <f t="shared" si="560"/>
        <v>114.54000000000001</v>
      </c>
      <c r="H2519" s="21">
        <f t="shared" si="560"/>
        <v>114.54000000000001</v>
      </c>
      <c r="I2519" s="24" t="str">
        <f t="shared" si="561"/>
        <v xml:space="preserve">COM VALOR</v>
      </c>
      <c r="L2519" s="36">
        <v>114.54000000000001</v>
      </c>
      <c r="M2519" s="37">
        <v>114.54000000000001</v>
      </c>
      <c r="N2519" s="36">
        <v>114.54000000000001</v>
      </c>
    </row>
    <row r="2520" ht="63.75">
      <c r="A2520" s="19" t="s">
        <v>10460</v>
      </c>
      <c r="B2520" s="19">
        <v>45318</v>
      </c>
      <c r="C2520" s="20" t="s">
        <v>12982</v>
      </c>
      <c r="D2520" s="19" t="s">
        <v>29</v>
      </c>
      <c r="E2520" s="19" t="s">
        <v>10459</v>
      </c>
      <c r="F2520" s="21">
        <f t="shared" si="560"/>
        <v>141.75999999999999</v>
      </c>
      <c r="G2520" s="21">
        <f t="shared" si="560"/>
        <v>141.75999999999999</v>
      </c>
      <c r="H2520" s="21">
        <f t="shared" si="560"/>
        <v>141.75999999999999</v>
      </c>
      <c r="I2520" s="24" t="str">
        <f t="shared" si="561"/>
        <v xml:space="preserve">COM VALOR</v>
      </c>
      <c r="L2520" s="36">
        <v>141.75999999999999</v>
      </c>
      <c r="M2520" s="37">
        <v>141.75999999999999</v>
      </c>
      <c r="N2520" s="36">
        <v>141.75999999999999</v>
      </c>
    </row>
    <row r="2521" ht="63.75">
      <c r="A2521" s="19" t="s">
        <v>10460</v>
      </c>
      <c r="B2521" s="19">
        <v>45319</v>
      </c>
      <c r="C2521" s="20" t="s">
        <v>12983</v>
      </c>
      <c r="D2521" s="19" t="s">
        <v>29</v>
      </c>
      <c r="E2521" s="19" t="s">
        <v>10459</v>
      </c>
      <c r="F2521" s="21">
        <f t="shared" si="560"/>
        <v>159.49000000000001</v>
      </c>
      <c r="G2521" s="21">
        <f t="shared" si="560"/>
        <v>159.49000000000001</v>
      </c>
      <c r="H2521" s="21">
        <f t="shared" si="560"/>
        <v>159.49000000000001</v>
      </c>
      <c r="I2521" s="24" t="str">
        <f t="shared" si="561"/>
        <v xml:space="preserve">COM VALOR</v>
      </c>
      <c r="L2521" s="36">
        <v>159.49000000000001</v>
      </c>
      <c r="M2521" s="37">
        <v>159.49000000000001</v>
      </c>
      <c r="N2521" s="36">
        <v>159.49000000000001</v>
      </c>
    </row>
    <row r="2522" ht="63.75">
      <c r="A2522" s="19" t="s">
        <v>10460</v>
      </c>
      <c r="B2522" s="19">
        <v>45320</v>
      </c>
      <c r="C2522" s="20" t="s">
        <v>12984</v>
      </c>
      <c r="D2522" s="19" t="s">
        <v>29</v>
      </c>
      <c r="E2522" s="19" t="s">
        <v>10459</v>
      </c>
      <c r="F2522" s="21">
        <f t="shared" si="560"/>
        <v>206.63999999999999</v>
      </c>
      <c r="G2522" s="21">
        <f t="shared" si="560"/>
        <v>206.63999999999999</v>
      </c>
      <c r="H2522" s="21">
        <f t="shared" si="560"/>
        <v>206.63999999999999</v>
      </c>
      <c r="I2522" s="24" t="str">
        <f t="shared" si="561"/>
        <v xml:space="preserve">COM VALOR</v>
      </c>
      <c r="L2522" s="36">
        <v>206.63999999999999</v>
      </c>
      <c r="M2522" s="37">
        <v>206.63999999999999</v>
      </c>
      <c r="N2522" s="36">
        <v>206.63999999999999</v>
      </c>
    </row>
    <row r="2523" ht="51">
      <c r="A2523" s="19" t="s">
        <v>10460</v>
      </c>
      <c r="B2523" s="19">
        <v>45315</v>
      </c>
      <c r="C2523" s="20" t="s">
        <v>12985</v>
      </c>
      <c r="D2523" s="19" t="s">
        <v>29</v>
      </c>
      <c r="E2523" s="19" t="s">
        <v>10459</v>
      </c>
      <c r="F2523" s="21">
        <f t="shared" si="560"/>
        <v>93.299999999999997</v>
      </c>
      <c r="G2523" s="21">
        <f t="shared" si="560"/>
        <v>93.299999999999997</v>
      </c>
      <c r="H2523" s="21">
        <f t="shared" si="560"/>
        <v>93.299999999999997</v>
      </c>
      <c r="I2523" s="24" t="str">
        <f t="shared" si="561"/>
        <v xml:space="preserve">COM VALOR</v>
      </c>
      <c r="L2523" s="36">
        <v>93.299999999999997</v>
      </c>
      <c r="M2523" s="37">
        <v>93.299999999999997</v>
      </c>
      <c r="N2523" s="36">
        <v>93.299999999999997</v>
      </c>
    </row>
    <row r="2524" ht="51">
      <c r="A2524" s="19" t="s">
        <v>10460</v>
      </c>
      <c r="B2524" s="19">
        <v>45316</v>
      </c>
      <c r="C2524" s="20" t="s">
        <v>12986</v>
      </c>
      <c r="D2524" s="19" t="s">
        <v>29</v>
      </c>
      <c r="E2524" s="19" t="s">
        <v>10459</v>
      </c>
      <c r="F2524" s="21">
        <f t="shared" si="560"/>
        <v>107.02</v>
      </c>
      <c r="G2524" s="21">
        <f t="shared" si="560"/>
        <v>107.02</v>
      </c>
      <c r="H2524" s="21">
        <f t="shared" si="560"/>
        <v>107.02</v>
      </c>
      <c r="I2524" s="24" t="str">
        <f t="shared" si="561"/>
        <v xml:space="preserve">COM VALOR</v>
      </c>
      <c r="L2524" s="36">
        <v>107.02</v>
      </c>
      <c r="M2524" s="37">
        <v>107.02</v>
      </c>
      <c r="N2524" s="36">
        <v>107.02</v>
      </c>
    </row>
    <row r="2525" ht="63.75">
      <c r="A2525" s="19" t="s">
        <v>10460</v>
      </c>
      <c r="B2525" s="19">
        <v>45317</v>
      </c>
      <c r="C2525" s="20" t="s">
        <v>12987</v>
      </c>
      <c r="D2525" s="19" t="s">
        <v>29</v>
      </c>
      <c r="E2525" s="19" t="s">
        <v>10459</v>
      </c>
      <c r="F2525" s="21">
        <f t="shared" si="560"/>
        <v>127</v>
      </c>
      <c r="G2525" s="21">
        <f t="shared" si="560"/>
        <v>127</v>
      </c>
      <c r="H2525" s="21">
        <f t="shared" si="560"/>
        <v>127</v>
      </c>
      <c r="I2525" s="24" t="str">
        <f t="shared" si="561"/>
        <v xml:space="preserve">COM VALOR</v>
      </c>
      <c r="L2525" s="36">
        <v>127</v>
      </c>
      <c r="M2525" s="37">
        <v>127</v>
      </c>
      <c r="N2525" s="36">
        <v>127</v>
      </c>
    </row>
    <row r="2526" ht="51">
      <c r="A2526" s="19" t="s">
        <v>10460</v>
      </c>
      <c r="B2526" s="19">
        <v>45313</v>
      </c>
      <c r="C2526" s="20" t="s">
        <v>12988</v>
      </c>
      <c r="D2526" s="19" t="s">
        <v>29</v>
      </c>
      <c r="E2526" s="19" t="s">
        <v>10459</v>
      </c>
      <c r="F2526" s="21">
        <f t="shared" si="560"/>
        <v>122.39</v>
      </c>
      <c r="G2526" s="21">
        <f t="shared" si="560"/>
        <v>122.39</v>
      </c>
      <c r="H2526" s="21">
        <f t="shared" si="560"/>
        <v>122.39</v>
      </c>
      <c r="I2526" s="24" t="str">
        <f t="shared" si="561"/>
        <v xml:space="preserve">COM VALOR</v>
      </c>
      <c r="L2526" s="36">
        <v>122.39</v>
      </c>
      <c r="M2526" s="37">
        <v>122.39</v>
      </c>
      <c r="N2526" s="36">
        <v>122.39</v>
      </c>
    </row>
    <row r="2527" ht="51">
      <c r="A2527" s="19" t="s">
        <v>10460</v>
      </c>
      <c r="B2527" s="19">
        <v>45314</v>
      </c>
      <c r="C2527" s="20" t="s">
        <v>12989</v>
      </c>
      <c r="D2527" s="19" t="s">
        <v>29</v>
      </c>
      <c r="E2527" s="19" t="s">
        <v>10459</v>
      </c>
      <c r="F2527" s="21">
        <f t="shared" si="560"/>
        <v>172.00999999999999</v>
      </c>
      <c r="G2527" s="21">
        <f t="shared" si="560"/>
        <v>172.00999999999999</v>
      </c>
      <c r="H2527" s="21">
        <f t="shared" si="560"/>
        <v>172.00999999999999</v>
      </c>
      <c r="I2527" s="24" t="str">
        <f t="shared" si="561"/>
        <v xml:space="preserve">COM VALOR</v>
      </c>
      <c r="L2527" s="36">
        <v>172.00999999999999</v>
      </c>
      <c r="M2527" s="37">
        <v>172.00999999999999</v>
      </c>
      <c r="N2527" s="36">
        <v>172.00999999999999</v>
      </c>
    </row>
    <row r="2528" ht="51">
      <c r="A2528" s="19" t="s">
        <v>10460</v>
      </c>
      <c r="B2528" s="19">
        <v>45309</v>
      </c>
      <c r="C2528" s="20" t="s">
        <v>12990</v>
      </c>
      <c r="D2528" s="19" t="s">
        <v>29</v>
      </c>
      <c r="E2528" s="19" t="s">
        <v>10459</v>
      </c>
      <c r="F2528" s="21">
        <f t="shared" si="560"/>
        <v>86.170000000000002</v>
      </c>
      <c r="G2528" s="21">
        <f t="shared" si="560"/>
        <v>86.170000000000002</v>
      </c>
      <c r="H2528" s="21">
        <f t="shared" si="560"/>
        <v>86.170000000000002</v>
      </c>
      <c r="I2528" s="24" t="str">
        <f t="shared" si="561"/>
        <v xml:space="preserve">COM VALOR</v>
      </c>
      <c r="L2528" s="36">
        <v>86.170000000000002</v>
      </c>
      <c r="M2528" s="37">
        <v>86.170000000000002</v>
      </c>
      <c r="N2528" s="36">
        <v>86.170000000000002</v>
      </c>
    </row>
    <row r="2529" ht="51">
      <c r="A2529" s="19" t="s">
        <v>10460</v>
      </c>
      <c r="B2529" s="19">
        <v>45310</v>
      </c>
      <c r="C2529" s="20" t="s">
        <v>12991</v>
      </c>
      <c r="D2529" s="19" t="s">
        <v>29</v>
      </c>
      <c r="E2529" s="19" t="s">
        <v>10459</v>
      </c>
      <c r="F2529" s="21">
        <f t="shared" si="560"/>
        <v>100.3</v>
      </c>
      <c r="G2529" s="21">
        <f t="shared" si="560"/>
        <v>100.3</v>
      </c>
      <c r="H2529" s="21">
        <f t="shared" si="560"/>
        <v>100.3</v>
      </c>
      <c r="I2529" s="24" t="str">
        <f t="shared" si="561"/>
        <v xml:space="preserve">COM VALOR</v>
      </c>
      <c r="L2529" s="36">
        <v>100.3</v>
      </c>
      <c r="M2529" s="37">
        <v>100.3</v>
      </c>
      <c r="N2529" s="36">
        <v>100.3</v>
      </c>
    </row>
    <row r="2530" ht="51">
      <c r="A2530" s="19" t="s">
        <v>10460</v>
      </c>
      <c r="B2530" s="19">
        <v>45311</v>
      </c>
      <c r="C2530" s="20" t="s">
        <v>12992</v>
      </c>
      <c r="D2530" s="19" t="s">
        <v>29</v>
      </c>
      <c r="E2530" s="19" t="s">
        <v>10459</v>
      </c>
      <c r="F2530" s="21">
        <f t="shared" si="560"/>
        <v>109.22</v>
      </c>
      <c r="G2530" s="21">
        <f t="shared" si="560"/>
        <v>109.22</v>
      </c>
      <c r="H2530" s="21">
        <f t="shared" si="560"/>
        <v>109.22</v>
      </c>
      <c r="I2530" s="24" t="str">
        <f t="shared" si="561"/>
        <v xml:space="preserve">COM VALOR</v>
      </c>
      <c r="L2530" s="36">
        <v>109.22</v>
      </c>
      <c r="M2530" s="37">
        <v>109.22</v>
      </c>
      <c r="N2530" s="36">
        <v>109.22</v>
      </c>
    </row>
    <row r="2531" ht="51">
      <c r="A2531" s="19" t="s">
        <v>10460</v>
      </c>
      <c r="B2531" s="19">
        <v>45312</v>
      </c>
      <c r="C2531" s="20" t="s">
        <v>12993</v>
      </c>
      <c r="D2531" s="19" t="s">
        <v>29</v>
      </c>
      <c r="E2531" s="19" t="s">
        <v>10459</v>
      </c>
      <c r="F2531" s="21">
        <f t="shared" si="560"/>
        <v>132.18000000000001</v>
      </c>
      <c r="G2531" s="21">
        <f t="shared" si="560"/>
        <v>132.18000000000001</v>
      </c>
      <c r="H2531" s="21">
        <f t="shared" si="560"/>
        <v>132.18000000000001</v>
      </c>
      <c r="I2531" s="24" t="str">
        <f t="shared" si="561"/>
        <v xml:space="preserve">COM VALOR</v>
      </c>
      <c r="L2531" s="36">
        <v>132.18000000000001</v>
      </c>
      <c r="M2531" s="37">
        <v>132.18000000000001</v>
      </c>
      <c r="N2531" s="36">
        <v>132.18000000000001</v>
      </c>
    </row>
    <row r="2532" ht="63.75">
      <c r="A2532" s="19" t="s">
        <v>10460</v>
      </c>
      <c r="B2532" s="19">
        <v>43342</v>
      </c>
      <c r="C2532" s="20" t="s">
        <v>12994</v>
      </c>
      <c r="D2532" s="19" t="s">
        <v>29</v>
      </c>
      <c r="E2532" s="19" t="s">
        <v>10459</v>
      </c>
      <c r="F2532" s="21">
        <f t="shared" si="560"/>
        <v>93.299999999999997</v>
      </c>
      <c r="G2532" s="21">
        <f t="shared" si="560"/>
        <v>93.299999999999997</v>
      </c>
      <c r="H2532" s="21">
        <f t="shared" si="560"/>
        <v>93.299999999999997</v>
      </c>
      <c r="I2532" s="24" t="str">
        <f t="shared" si="561"/>
        <v xml:space="preserve">COM VALOR</v>
      </c>
      <c r="L2532" s="36">
        <v>93.299999999999997</v>
      </c>
      <c r="M2532" s="37">
        <v>93.299999999999997</v>
      </c>
      <c r="N2532" s="36">
        <v>93.299999999999997</v>
      </c>
    </row>
    <row r="2533" ht="63.75">
      <c r="A2533" s="19" t="s">
        <v>10460</v>
      </c>
      <c r="B2533" s="19">
        <v>43343</v>
      </c>
      <c r="C2533" s="20" t="s">
        <v>12995</v>
      </c>
      <c r="D2533" s="19" t="s">
        <v>29</v>
      </c>
      <c r="E2533" s="19" t="s">
        <v>10459</v>
      </c>
      <c r="F2533" s="21">
        <f t="shared" si="560"/>
        <v>97.689999999999998</v>
      </c>
      <c r="G2533" s="21">
        <f t="shared" si="560"/>
        <v>97.689999999999998</v>
      </c>
      <c r="H2533" s="21">
        <f t="shared" si="560"/>
        <v>97.689999999999998</v>
      </c>
      <c r="I2533" s="24" t="str">
        <f t="shared" si="561"/>
        <v xml:space="preserve">COM VALOR</v>
      </c>
      <c r="L2533" s="36">
        <v>97.689999999999998</v>
      </c>
      <c r="M2533" s="37">
        <v>97.689999999999998</v>
      </c>
      <c r="N2533" s="36">
        <v>97.689999999999998</v>
      </c>
    </row>
    <row r="2534" ht="63.75">
      <c r="A2534" s="19" t="s">
        <v>10460</v>
      </c>
      <c r="B2534" s="19">
        <v>43344</v>
      </c>
      <c r="C2534" s="20" t="s">
        <v>12996</v>
      </c>
      <c r="D2534" s="19" t="s">
        <v>29</v>
      </c>
      <c r="E2534" s="19" t="s">
        <v>10459</v>
      </c>
      <c r="F2534" s="21">
        <f t="shared" si="560"/>
        <v>117.72</v>
      </c>
      <c r="G2534" s="21">
        <f t="shared" si="560"/>
        <v>117.72</v>
      </c>
      <c r="H2534" s="21">
        <f t="shared" si="560"/>
        <v>117.72</v>
      </c>
      <c r="I2534" s="24" t="str">
        <f t="shared" si="561"/>
        <v xml:space="preserve">COM VALOR</v>
      </c>
      <c r="L2534" s="36">
        <v>117.72</v>
      </c>
      <c r="M2534" s="37">
        <v>117.72</v>
      </c>
      <c r="N2534" s="36">
        <v>117.72</v>
      </c>
    </row>
    <row r="2535" ht="63.75">
      <c r="A2535" s="19" t="s">
        <v>10460</v>
      </c>
      <c r="B2535" s="19">
        <v>45307</v>
      </c>
      <c r="C2535" s="20" t="s">
        <v>12997</v>
      </c>
      <c r="D2535" s="19" t="s">
        <v>29</v>
      </c>
      <c r="E2535" s="19" t="s">
        <v>10459</v>
      </c>
      <c r="F2535" s="21">
        <f t="shared" si="560"/>
        <v>126.23</v>
      </c>
      <c r="G2535" s="21">
        <f t="shared" si="560"/>
        <v>126.23</v>
      </c>
      <c r="H2535" s="21">
        <f t="shared" si="560"/>
        <v>126.23</v>
      </c>
      <c r="I2535" s="24" t="str">
        <f t="shared" si="561"/>
        <v xml:space="preserve">COM VALOR</v>
      </c>
      <c r="L2535" s="36">
        <v>126.23</v>
      </c>
      <c r="M2535" s="37">
        <v>126.23</v>
      </c>
      <c r="N2535" s="36">
        <v>126.23</v>
      </c>
    </row>
    <row r="2536" ht="63.75">
      <c r="A2536" s="19" t="s">
        <v>10460</v>
      </c>
      <c r="B2536" s="19">
        <v>43345</v>
      </c>
      <c r="C2536" s="20" t="s">
        <v>12998</v>
      </c>
      <c r="D2536" s="19" t="s">
        <v>29</v>
      </c>
      <c r="E2536" s="19" t="s">
        <v>10459</v>
      </c>
      <c r="F2536" s="21">
        <f t="shared" si="560"/>
        <v>88.769999999999996</v>
      </c>
      <c r="G2536" s="21">
        <f t="shared" si="560"/>
        <v>88.769999999999996</v>
      </c>
      <c r="H2536" s="21">
        <f t="shared" si="560"/>
        <v>88.769999999999996</v>
      </c>
      <c r="I2536" s="24" t="str">
        <f t="shared" si="561"/>
        <v xml:space="preserve">COM VALOR</v>
      </c>
      <c r="L2536" s="36">
        <v>88.769999999999996</v>
      </c>
      <c r="M2536" s="37">
        <v>88.769999999999996</v>
      </c>
      <c r="N2536" s="36">
        <v>88.769999999999996</v>
      </c>
    </row>
    <row r="2537" ht="63.75">
      <c r="A2537" s="19" t="s">
        <v>10460</v>
      </c>
      <c r="B2537" s="19">
        <v>43346</v>
      </c>
      <c r="C2537" s="20" t="s">
        <v>12999</v>
      </c>
      <c r="D2537" s="19" t="s">
        <v>29</v>
      </c>
      <c r="E2537" s="19" t="s">
        <v>10459</v>
      </c>
      <c r="F2537" s="21">
        <f t="shared" si="560"/>
        <v>90.560000000000002</v>
      </c>
      <c r="G2537" s="21">
        <f t="shared" si="560"/>
        <v>90.560000000000002</v>
      </c>
      <c r="H2537" s="21">
        <f t="shared" si="560"/>
        <v>90.560000000000002</v>
      </c>
      <c r="I2537" s="24" t="str">
        <f t="shared" si="561"/>
        <v xml:space="preserve">COM VALOR</v>
      </c>
      <c r="L2537" s="36">
        <v>90.560000000000002</v>
      </c>
      <c r="M2537" s="37">
        <v>90.560000000000002</v>
      </c>
      <c r="N2537" s="36">
        <v>90.560000000000002</v>
      </c>
    </row>
    <row r="2538" ht="63.75">
      <c r="A2538" s="19" t="s">
        <v>10460</v>
      </c>
      <c r="B2538" s="19">
        <v>43347</v>
      </c>
      <c r="C2538" s="20" t="s">
        <v>13000</v>
      </c>
      <c r="D2538" s="19" t="s">
        <v>29</v>
      </c>
      <c r="E2538" s="19" t="s">
        <v>10459</v>
      </c>
      <c r="F2538" s="21">
        <f t="shared" si="560"/>
        <v>102.08</v>
      </c>
      <c r="G2538" s="21">
        <f t="shared" si="560"/>
        <v>102.08</v>
      </c>
      <c r="H2538" s="21">
        <f t="shared" si="560"/>
        <v>102.08</v>
      </c>
      <c r="I2538" s="24" t="str">
        <f t="shared" si="561"/>
        <v xml:space="preserve">COM VALOR</v>
      </c>
      <c r="L2538" s="36">
        <v>102.08</v>
      </c>
      <c r="M2538" s="37">
        <v>102.08</v>
      </c>
      <c r="N2538" s="36">
        <v>102.08</v>
      </c>
    </row>
    <row r="2539" ht="63.75">
      <c r="A2539" s="19" t="s">
        <v>10460</v>
      </c>
      <c r="B2539" s="19">
        <v>43348</v>
      </c>
      <c r="C2539" s="20" t="s">
        <v>13001</v>
      </c>
      <c r="D2539" s="19" t="s">
        <v>29</v>
      </c>
      <c r="E2539" s="19" t="s">
        <v>10459</v>
      </c>
      <c r="F2539" s="21">
        <f t="shared" si="560"/>
        <v>113.37</v>
      </c>
      <c r="G2539" s="21">
        <f t="shared" si="560"/>
        <v>113.37</v>
      </c>
      <c r="H2539" s="21">
        <f t="shared" si="560"/>
        <v>113.37</v>
      </c>
      <c r="I2539" s="24" t="str">
        <f t="shared" si="561"/>
        <v xml:space="preserve">COM VALOR</v>
      </c>
      <c r="L2539" s="36">
        <v>113.37</v>
      </c>
      <c r="M2539" s="37">
        <v>113.37</v>
      </c>
      <c r="N2539" s="36">
        <v>113.37</v>
      </c>
    </row>
    <row r="2540" ht="63.75">
      <c r="A2540" s="19" t="s">
        <v>10460</v>
      </c>
      <c r="B2540" s="19">
        <v>45308</v>
      </c>
      <c r="C2540" s="20" t="s">
        <v>13002</v>
      </c>
      <c r="D2540" s="19" t="s">
        <v>29</v>
      </c>
      <c r="E2540" s="19" t="s">
        <v>10459</v>
      </c>
      <c r="F2540" s="21">
        <f t="shared" si="560"/>
        <v>126.23</v>
      </c>
      <c r="G2540" s="21">
        <f t="shared" si="560"/>
        <v>126.23</v>
      </c>
      <c r="H2540" s="21">
        <f t="shared" si="560"/>
        <v>126.23</v>
      </c>
      <c r="I2540" s="24" t="str">
        <f t="shared" si="561"/>
        <v xml:space="preserve">COM VALOR</v>
      </c>
      <c r="L2540" s="36">
        <v>126.23</v>
      </c>
      <c r="M2540" s="37">
        <v>126.23</v>
      </c>
      <c r="N2540" s="36">
        <v>126.23</v>
      </c>
    </row>
    <row r="2541" ht="63.75">
      <c r="A2541" s="19" t="s">
        <v>10460</v>
      </c>
      <c r="B2541" s="19">
        <v>43349</v>
      </c>
      <c r="C2541" s="20" t="s">
        <v>13003</v>
      </c>
      <c r="D2541" s="19" t="s">
        <v>29</v>
      </c>
      <c r="E2541" s="19" t="s">
        <v>10459</v>
      </c>
      <c r="F2541" s="21">
        <f t="shared" si="560"/>
        <v>77.969999999999999</v>
      </c>
      <c r="G2541" s="21">
        <f t="shared" si="560"/>
        <v>77.969999999999999</v>
      </c>
      <c r="H2541" s="21">
        <f t="shared" si="560"/>
        <v>77.969999999999999</v>
      </c>
      <c r="I2541" s="24" t="str">
        <f t="shared" si="561"/>
        <v xml:space="preserve">COM VALOR</v>
      </c>
      <c r="L2541" s="36">
        <v>77.969999999999999</v>
      </c>
      <c r="M2541" s="37">
        <v>77.969999999999999</v>
      </c>
      <c r="N2541" s="36">
        <v>77.969999999999999</v>
      </c>
    </row>
    <row r="2542" ht="38.25">
      <c r="A2542" s="19" t="s">
        <v>10460</v>
      </c>
      <c r="B2542" s="19">
        <v>3736</v>
      </c>
      <c r="C2542" s="20" t="s">
        <v>13004</v>
      </c>
      <c r="D2542" s="19" t="s">
        <v>29</v>
      </c>
      <c r="E2542" s="19" t="s">
        <v>10459</v>
      </c>
      <c r="F2542" s="21">
        <f t="shared" si="560"/>
        <v>40.609999999999999</v>
      </c>
      <c r="G2542" s="21">
        <f t="shared" si="560"/>
        <v>40.609999999999999</v>
      </c>
      <c r="H2542" s="21">
        <f t="shared" si="560"/>
        <v>40.609999999999999</v>
      </c>
      <c r="I2542" s="24" t="str">
        <f t="shared" si="561"/>
        <v xml:space="preserve">COM VALOR</v>
      </c>
      <c r="L2542" s="36">
        <v>40.609999999999999</v>
      </c>
      <c r="M2542" s="37">
        <v>40.609999999999999</v>
      </c>
      <c r="N2542" s="36">
        <v>40.609999999999999</v>
      </c>
    </row>
    <row r="2543" ht="38.25">
      <c r="A2543" s="19" t="s">
        <v>10460</v>
      </c>
      <c r="B2543" s="19">
        <v>3741</v>
      </c>
      <c r="C2543" s="20" t="s">
        <v>13005</v>
      </c>
      <c r="D2543" s="19" t="s">
        <v>29</v>
      </c>
      <c r="E2543" s="19" t="s">
        <v>10459</v>
      </c>
      <c r="F2543" s="21">
        <f t="shared" si="560"/>
        <v>43.899999999999999</v>
      </c>
      <c r="G2543" s="21">
        <f t="shared" si="560"/>
        <v>43.899999999999999</v>
      </c>
      <c r="H2543" s="21">
        <f t="shared" si="560"/>
        <v>43.899999999999999</v>
      </c>
      <c r="I2543" s="24" t="str">
        <f t="shared" si="561"/>
        <v xml:space="preserve">COM VALOR</v>
      </c>
      <c r="L2543" s="36">
        <v>43.899999999999999</v>
      </c>
      <c r="M2543" s="37">
        <v>43.899999999999999</v>
      </c>
      <c r="N2543" s="36">
        <v>43.899999999999999</v>
      </c>
    </row>
    <row r="2544" ht="38.25">
      <c r="A2544" s="19" t="s">
        <v>10460</v>
      </c>
      <c r="B2544" s="19">
        <v>3737</v>
      </c>
      <c r="C2544" s="20" t="s">
        <v>13006</v>
      </c>
      <c r="D2544" s="19" t="s">
        <v>29</v>
      </c>
      <c r="E2544" s="19" t="s">
        <v>10459</v>
      </c>
      <c r="F2544" s="21">
        <f t="shared" si="560"/>
        <v>59.82</v>
      </c>
      <c r="G2544" s="21">
        <f t="shared" si="560"/>
        <v>59.82</v>
      </c>
      <c r="H2544" s="21">
        <f t="shared" si="560"/>
        <v>59.82</v>
      </c>
      <c r="I2544" s="24" t="str">
        <f t="shared" si="561"/>
        <v xml:space="preserve">COM VALOR</v>
      </c>
      <c r="L2544" s="36">
        <v>59.82</v>
      </c>
      <c r="M2544" s="37">
        <v>59.82</v>
      </c>
      <c r="N2544" s="36">
        <v>59.82</v>
      </c>
    </row>
    <row r="2545" ht="51">
      <c r="A2545" s="19" t="s">
        <v>10460</v>
      </c>
      <c r="B2545" s="19">
        <v>43353</v>
      </c>
      <c r="C2545" s="20" t="s">
        <v>13007</v>
      </c>
      <c r="D2545" s="19" t="s">
        <v>29</v>
      </c>
      <c r="E2545" s="19" t="s">
        <v>10459</v>
      </c>
      <c r="F2545" s="21">
        <f t="shared" si="560"/>
        <v>65.859999999999999</v>
      </c>
      <c r="G2545" s="21">
        <f t="shared" si="560"/>
        <v>65.859999999999999</v>
      </c>
      <c r="H2545" s="21">
        <f t="shared" si="560"/>
        <v>65.859999999999999</v>
      </c>
      <c r="I2545" s="24" t="str">
        <f t="shared" si="561"/>
        <v xml:space="preserve">COM VALOR</v>
      </c>
      <c r="L2545" s="36">
        <v>65.859999999999999</v>
      </c>
      <c r="M2545" s="37">
        <v>65.859999999999999</v>
      </c>
      <c r="N2545" s="36">
        <v>65.859999999999999</v>
      </c>
    </row>
    <row r="2546" ht="51">
      <c r="A2546" s="19" t="s">
        <v>10460</v>
      </c>
      <c r="B2546" s="19">
        <v>43350</v>
      </c>
      <c r="C2546" s="20" t="s">
        <v>13008</v>
      </c>
      <c r="D2546" s="19" t="s">
        <v>29</v>
      </c>
      <c r="E2546" s="19" t="s">
        <v>10459</v>
      </c>
      <c r="F2546" s="21">
        <f t="shared" si="560"/>
        <v>82.319999999999993</v>
      </c>
      <c r="G2546" s="21">
        <f t="shared" si="560"/>
        <v>82.319999999999993</v>
      </c>
      <c r="H2546" s="21">
        <f t="shared" si="560"/>
        <v>82.319999999999993</v>
      </c>
      <c r="I2546" s="24" t="str">
        <f t="shared" si="561"/>
        <v xml:space="preserve">COM VALOR</v>
      </c>
      <c r="L2546" s="36">
        <v>82.319999999999993</v>
      </c>
      <c r="M2546" s="37">
        <v>82.319999999999993</v>
      </c>
      <c r="N2546" s="36">
        <v>82.319999999999993</v>
      </c>
    </row>
    <row r="2547" ht="51">
      <c r="A2547" s="19" t="s">
        <v>10460</v>
      </c>
      <c r="B2547" s="19">
        <v>43351</v>
      </c>
      <c r="C2547" s="20" t="s">
        <v>13009</v>
      </c>
      <c r="D2547" s="19" t="s">
        <v>29</v>
      </c>
      <c r="E2547" s="19" t="s">
        <v>10459</v>
      </c>
      <c r="F2547" s="21">
        <f t="shared" si="560"/>
        <v>90.890000000000001</v>
      </c>
      <c r="G2547" s="21">
        <f t="shared" si="560"/>
        <v>90.890000000000001</v>
      </c>
      <c r="H2547" s="21">
        <f t="shared" si="560"/>
        <v>90.890000000000001</v>
      </c>
      <c r="I2547" s="24" t="str">
        <f t="shared" si="561"/>
        <v xml:space="preserve">COM VALOR</v>
      </c>
      <c r="L2547" s="36">
        <v>90.890000000000001</v>
      </c>
      <c r="M2547" s="37">
        <v>90.890000000000001</v>
      </c>
      <c r="N2547" s="36">
        <v>90.890000000000001</v>
      </c>
    </row>
    <row r="2548" ht="51">
      <c r="A2548" s="19" t="s">
        <v>10460</v>
      </c>
      <c r="B2548" s="19">
        <v>43352</v>
      </c>
      <c r="C2548" s="20" t="s">
        <v>13010</v>
      </c>
      <c r="D2548" s="19" t="s">
        <v>29</v>
      </c>
      <c r="E2548" s="19" t="s">
        <v>10459</v>
      </c>
      <c r="F2548" s="21">
        <f t="shared" si="560"/>
        <v>110.86</v>
      </c>
      <c r="G2548" s="21">
        <f t="shared" si="560"/>
        <v>110.86</v>
      </c>
      <c r="H2548" s="21">
        <f t="shared" si="560"/>
        <v>110.86</v>
      </c>
      <c r="I2548" s="24" t="str">
        <f t="shared" si="561"/>
        <v xml:space="preserve">COM VALOR</v>
      </c>
      <c r="L2548" s="36">
        <v>110.86</v>
      </c>
      <c r="M2548" s="37">
        <v>110.86</v>
      </c>
      <c r="N2548" s="36">
        <v>110.86</v>
      </c>
    </row>
    <row r="2549" ht="51">
      <c r="A2549" s="19" t="s">
        <v>10460</v>
      </c>
      <c r="B2549" s="19">
        <v>45306</v>
      </c>
      <c r="C2549" s="20" t="s">
        <v>13011</v>
      </c>
      <c r="D2549" s="19" t="s">
        <v>29</v>
      </c>
      <c r="E2549" s="19" t="s">
        <v>10459</v>
      </c>
      <c r="F2549" s="21">
        <f t="shared" si="560"/>
        <v>143.80000000000001</v>
      </c>
      <c r="G2549" s="21">
        <f t="shared" si="560"/>
        <v>143.80000000000001</v>
      </c>
      <c r="H2549" s="21">
        <f t="shared" si="560"/>
        <v>143.80000000000001</v>
      </c>
      <c r="I2549" s="24" t="str">
        <f t="shared" si="561"/>
        <v xml:space="preserve">COM VALOR</v>
      </c>
      <c r="L2549" s="36">
        <v>143.80000000000001</v>
      </c>
      <c r="M2549" s="37">
        <v>143.80000000000001</v>
      </c>
      <c r="N2549" s="36">
        <v>143.80000000000001</v>
      </c>
    </row>
    <row r="2550" ht="63.75">
      <c r="A2550" s="19" t="s">
        <v>10460</v>
      </c>
      <c r="B2550" s="19">
        <v>44379</v>
      </c>
      <c r="C2550" s="20" t="s">
        <v>13012</v>
      </c>
      <c r="D2550" s="19" t="s">
        <v>29</v>
      </c>
      <c r="E2550" s="19" t="s">
        <v>10459</v>
      </c>
      <c r="F2550" s="21">
        <f t="shared" si="560"/>
        <v>93.299999999999997</v>
      </c>
      <c r="G2550" s="21">
        <f t="shared" si="560"/>
        <v>93.299999999999997</v>
      </c>
      <c r="H2550" s="21">
        <f t="shared" si="560"/>
        <v>93.299999999999997</v>
      </c>
      <c r="I2550" s="24" t="str">
        <f t="shared" si="561"/>
        <v xml:space="preserve">COM VALOR</v>
      </c>
      <c r="L2550" s="36">
        <v>93.299999999999997</v>
      </c>
      <c r="M2550" s="37">
        <v>93.299999999999997</v>
      </c>
      <c r="N2550" s="36">
        <v>93.299999999999997</v>
      </c>
    </row>
    <row r="2551" ht="63.75">
      <c r="A2551" s="19" t="s">
        <v>10460</v>
      </c>
      <c r="B2551" s="19">
        <v>43355</v>
      </c>
      <c r="C2551" s="20" t="s">
        <v>13013</v>
      </c>
      <c r="D2551" s="19" t="s">
        <v>29</v>
      </c>
      <c r="E2551" s="19" t="s">
        <v>10459</v>
      </c>
      <c r="F2551" s="21">
        <f t="shared" si="560"/>
        <v>108.37</v>
      </c>
      <c r="G2551" s="21">
        <f t="shared" si="560"/>
        <v>108.37</v>
      </c>
      <c r="H2551" s="21">
        <f t="shared" si="560"/>
        <v>108.37</v>
      </c>
      <c r="I2551" s="24" t="str">
        <f t="shared" si="561"/>
        <v xml:space="preserve">COM VALOR</v>
      </c>
      <c r="L2551" s="36">
        <v>108.37</v>
      </c>
      <c r="M2551" s="37">
        <v>108.37</v>
      </c>
      <c r="N2551" s="36">
        <v>108.37</v>
      </c>
    </row>
    <row r="2552" ht="63.75">
      <c r="A2552" s="19" t="s">
        <v>10460</v>
      </c>
      <c r="B2552" s="19">
        <v>43356</v>
      </c>
      <c r="C2552" s="20" t="s">
        <v>13014</v>
      </c>
      <c r="D2552" s="19" t="s">
        <v>29</v>
      </c>
      <c r="E2552" s="19" t="s">
        <v>10459</v>
      </c>
      <c r="F2552" s="21">
        <f t="shared" si="560"/>
        <v>127.48999999999999</v>
      </c>
      <c r="G2552" s="21">
        <f t="shared" si="560"/>
        <v>127.48999999999999</v>
      </c>
      <c r="H2552" s="21">
        <f t="shared" si="560"/>
        <v>127.48999999999999</v>
      </c>
      <c r="I2552" s="24" t="str">
        <f t="shared" si="561"/>
        <v xml:space="preserve">COM VALOR</v>
      </c>
      <c r="L2552" s="36">
        <v>127.48999999999999</v>
      </c>
      <c r="M2552" s="37">
        <v>127.48999999999999</v>
      </c>
      <c r="N2552" s="36">
        <v>127.48999999999999</v>
      </c>
    </row>
    <row r="2553" ht="63.75">
      <c r="A2553" s="19" t="s">
        <v>10460</v>
      </c>
      <c r="B2553" s="19">
        <v>45305</v>
      </c>
      <c r="C2553" s="20" t="s">
        <v>13015</v>
      </c>
      <c r="D2553" s="19" t="s">
        <v>29</v>
      </c>
      <c r="E2553" s="19" t="s">
        <v>10459</v>
      </c>
      <c r="F2553" s="21">
        <f t="shared" si="560"/>
        <v>155.49000000000001</v>
      </c>
      <c r="G2553" s="21">
        <f t="shared" si="560"/>
        <v>155.49000000000001</v>
      </c>
      <c r="H2553" s="21">
        <f t="shared" si="560"/>
        <v>155.49000000000001</v>
      </c>
      <c r="I2553" s="24" t="str">
        <f t="shared" si="561"/>
        <v xml:space="preserve">COM VALOR</v>
      </c>
      <c r="L2553" s="36">
        <v>155.49000000000001</v>
      </c>
      <c r="M2553" s="37">
        <v>155.49000000000001</v>
      </c>
      <c r="N2553" s="36">
        <v>155.49000000000001</v>
      </c>
    </row>
    <row r="2554" ht="38.25">
      <c r="A2554" s="19" t="s">
        <v>10460</v>
      </c>
      <c r="B2554" s="19">
        <v>3742</v>
      </c>
      <c r="C2554" s="20" t="s">
        <v>13016</v>
      </c>
      <c r="D2554" s="19" t="s">
        <v>29</v>
      </c>
      <c r="E2554" s="19" t="s">
        <v>10459</v>
      </c>
      <c r="F2554" s="21">
        <f t="shared" si="560"/>
        <v>58.479999999999997</v>
      </c>
      <c r="G2554" s="21">
        <f t="shared" si="560"/>
        <v>58.479999999999997</v>
      </c>
      <c r="H2554" s="21">
        <f t="shared" si="560"/>
        <v>58.479999999999997</v>
      </c>
      <c r="I2554" s="24" t="str">
        <f t="shared" si="561"/>
        <v xml:space="preserve">COM VALOR</v>
      </c>
      <c r="L2554" s="36">
        <v>58.479999999999997</v>
      </c>
      <c r="M2554" s="37">
        <v>58.479999999999997</v>
      </c>
      <c r="N2554" s="36">
        <v>58.479999999999997</v>
      </c>
    </row>
    <row r="2555" ht="63.75">
      <c r="A2555" s="19" t="s">
        <v>10460</v>
      </c>
      <c r="B2555" s="19">
        <v>43357</v>
      </c>
      <c r="C2555" s="20" t="s">
        <v>13017</v>
      </c>
      <c r="D2555" s="19" t="s">
        <v>29</v>
      </c>
      <c r="E2555" s="19" t="s">
        <v>10466</v>
      </c>
      <c r="F2555" s="21">
        <f t="shared" si="560"/>
        <v>71.900000000000006</v>
      </c>
      <c r="G2555" s="21">
        <f t="shared" si="560"/>
        <v>71.900000000000006</v>
      </c>
      <c r="H2555" s="21">
        <f t="shared" si="560"/>
        <v>71.900000000000006</v>
      </c>
      <c r="I2555" s="24" t="str">
        <f t="shared" si="561"/>
        <v xml:space="preserve">COM VALOR</v>
      </c>
      <c r="J2555" s="38"/>
      <c r="L2555" s="36">
        <v>71.900000000000006</v>
      </c>
      <c r="M2555" s="37">
        <v>71.900000000000006</v>
      </c>
      <c r="N2555" s="36">
        <v>71.900000000000006</v>
      </c>
    </row>
    <row r="2556" ht="25.5">
      <c r="A2556" s="19" t="s">
        <v>10460</v>
      </c>
      <c r="B2556" s="19">
        <v>38194</v>
      </c>
      <c r="C2556" s="20" t="s">
        <v>13018</v>
      </c>
      <c r="D2556" s="19" t="s">
        <v>31</v>
      </c>
      <c r="E2556" s="19" t="s">
        <v>10466</v>
      </c>
      <c r="F2556" s="21">
        <f t="shared" si="560"/>
        <v>5</v>
      </c>
      <c r="G2556" s="21">
        <f t="shared" si="560"/>
        <v>5</v>
      </c>
      <c r="H2556" s="21">
        <f t="shared" si="560"/>
        <v>5</v>
      </c>
      <c r="I2556" s="24" t="str">
        <f t="shared" si="561"/>
        <v xml:space="preserve">COM VALOR</v>
      </c>
      <c r="L2556" s="36">
        <v>5</v>
      </c>
      <c r="M2556" s="37">
        <v>5</v>
      </c>
      <c r="N2556" s="36">
        <v>5</v>
      </c>
    </row>
    <row r="2557" ht="25.5">
      <c r="A2557" s="19" t="s">
        <v>10460</v>
      </c>
      <c r="B2557" s="19">
        <v>38193</v>
      </c>
      <c r="C2557" s="20" t="s">
        <v>13019</v>
      </c>
      <c r="D2557" s="19" t="s">
        <v>31</v>
      </c>
      <c r="E2557" s="19" t="s">
        <v>10459</v>
      </c>
      <c r="F2557" s="21">
        <f t="shared" si="560"/>
        <v>4.3399999999999999</v>
      </c>
      <c r="G2557" s="21">
        <f t="shared" si="560"/>
        <v>4.3399999999999999</v>
      </c>
      <c r="H2557" s="21">
        <f t="shared" si="560"/>
        <v>4.3399999999999999</v>
      </c>
      <c r="I2557" s="24" t="str">
        <f t="shared" si="561"/>
        <v xml:space="preserve">COM VALOR</v>
      </c>
      <c r="J2557" s="38"/>
      <c r="L2557" s="36">
        <v>4.3399999999999999</v>
      </c>
      <c r="M2557" s="37">
        <v>4.3399999999999999</v>
      </c>
      <c r="N2557" s="36">
        <v>4.3399999999999999</v>
      </c>
    </row>
    <row r="2558" ht="25.5">
      <c r="A2558" s="19" t="s">
        <v>10460</v>
      </c>
      <c r="B2558" s="19">
        <v>39388</v>
      </c>
      <c r="C2558" s="20" t="s">
        <v>13020</v>
      </c>
      <c r="D2558" s="19" t="s">
        <v>31</v>
      </c>
      <c r="E2558" s="19" t="s">
        <v>10459</v>
      </c>
      <c r="F2558" s="21">
        <f t="shared" si="560"/>
        <v>6.1500000000000004</v>
      </c>
      <c r="G2558" s="21">
        <f t="shared" si="560"/>
        <v>6.1500000000000004</v>
      </c>
      <c r="H2558" s="21">
        <f t="shared" si="560"/>
        <v>6.1500000000000004</v>
      </c>
      <c r="I2558" s="24" t="str">
        <f t="shared" si="561"/>
        <v xml:space="preserve">COM VALOR</v>
      </c>
      <c r="L2558" s="36">
        <v>6.1500000000000004</v>
      </c>
      <c r="M2558" s="37">
        <v>6.1500000000000004</v>
      </c>
      <c r="N2558" s="36">
        <v>6.1500000000000004</v>
      </c>
    </row>
    <row r="2559" ht="12.75">
      <c r="A2559" s="19" t="s">
        <v>10460</v>
      </c>
      <c r="B2559" s="19">
        <v>39387</v>
      </c>
      <c r="C2559" s="20" t="s">
        <v>13021</v>
      </c>
      <c r="D2559" s="19" t="s">
        <v>31</v>
      </c>
      <c r="E2559" s="19" t="s">
        <v>10459</v>
      </c>
      <c r="F2559" s="21">
        <f t="shared" si="560"/>
        <v>9.5800000000000001</v>
      </c>
      <c r="G2559" s="21">
        <f t="shared" si="560"/>
        <v>9.5800000000000001</v>
      </c>
      <c r="H2559" s="21">
        <f t="shared" si="560"/>
        <v>9.5800000000000001</v>
      </c>
      <c r="I2559" s="24" t="str">
        <f t="shared" si="561"/>
        <v xml:space="preserve">COM VALOR</v>
      </c>
      <c r="L2559" s="36">
        <v>9.5800000000000001</v>
      </c>
      <c r="M2559" s="37">
        <v>9.5800000000000001</v>
      </c>
      <c r="N2559" s="36">
        <v>9.5800000000000001</v>
      </c>
    </row>
    <row r="2560" ht="12.75">
      <c r="A2560" s="19" t="s">
        <v>10460</v>
      </c>
      <c r="B2560" s="19">
        <v>39386</v>
      </c>
      <c r="C2560" s="20" t="s">
        <v>13022</v>
      </c>
      <c r="D2560" s="19" t="s">
        <v>31</v>
      </c>
      <c r="E2560" s="19" t="s">
        <v>10459</v>
      </c>
      <c r="F2560" s="21">
        <f t="shared" si="560"/>
        <v>6.6799999999999997</v>
      </c>
      <c r="G2560" s="21">
        <f t="shared" si="560"/>
        <v>6.6799999999999997</v>
      </c>
      <c r="H2560" s="21">
        <f t="shared" si="560"/>
        <v>6.6799999999999997</v>
      </c>
      <c r="I2560" s="24" t="str">
        <f t="shared" si="561"/>
        <v xml:space="preserve">COM VALOR</v>
      </c>
      <c r="L2560" s="36">
        <v>6.6799999999999997</v>
      </c>
      <c r="M2560" s="37">
        <v>6.6799999999999997</v>
      </c>
      <c r="N2560" s="36">
        <v>6.6799999999999997</v>
      </c>
    </row>
    <row r="2561" ht="12.75">
      <c r="A2561" s="19" t="s">
        <v>10460</v>
      </c>
      <c r="B2561" s="19">
        <v>45229</v>
      </c>
      <c r="C2561" s="20" t="s">
        <v>13023</v>
      </c>
      <c r="D2561" s="19" t="s">
        <v>31</v>
      </c>
      <c r="E2561" s="19" t="s">
        <v>10459</v>
      </c>
      <c r="F2561" s="21">
        <f t="shared" si="560"/>
        <v>3.3100000000000001</v>
      </c>
      <c r="G2561" s="21">
        <f t="shared" si="560"/>
        <v>3.3100000000000001</v>
      </c>
      <c r="H2561" s="21">
        <f t="shared" si="560"/>
        <v>3.3100000000000001</v>
      </c>
      <c r="I2561" s="24" t="str">
        <f t="shared" si="561"/>
        <v xml:space="preserve">COM VALOR</v>
      </c>
      <c r="L2561" s="36">
        <v>3.3100000000000001</v>
      </c>
      <c r="M2561" s="37">
        <v>3.3100000000000001</v>
      </c>
      <c r="N2561" s="36">
        <v>3.3100000000000001</v>
      </c>
    </row>
    <row r="2562" ht="51">
      <c r="A2562" s="19" t="s">
        <v>10638</v>
      </c>
      <c r="B2562" s="19">
        <v>746</v>
      </c>
      <c r="C2562" s="20" t="s">
        <v>13024</v>
      </c>
      <c r="D2562" s="19" t="s">
        <v>31</v>
      </c>
      <c r="E2562" s="19" t="s">
        <v>10466</v>
      </c>
      <c r="F2562" s="21">
        <f t="shared" si="560"/>
        <v>2034.95</v>
      </c>
      <c r="G2562" s="21">
        <f t="shared" si="560"/>
        <v>2034.95</v>
      </c>
      <c r="H2562" s="21">
        <f t="shared" si="560"/>
        <v>2034.95</v>
      </c>
      <c r="I2562" s="24" t="str">
        <f t="shared" si="561"/>
        <v xml:space="preserve">COM VALOR</v>
      </c>
      <c r="L2562" s="36">
        <v>2034.95</v>
      </c>
      <c r="M2562" s="37">
        <v>2034.95</v>
      </c>
      <c r="N2562" s="36">
        <v>2034.95</v>
      </c>
    </row>
    <row r="2563" ht="25.5">
      <c r="A2563" s="19" t="s">
        <v>10460</v>
      </c>
      <c r="B2563" s="19">
        <v>20269</v>
      </c>
      <c r="C2563" s="20" t="s">
        <v>13025</v>
      </c>
      <c r="D2563" s="19" t="s">
        <v>31</v>
      </c>
      <c r="E2563" s="19" t="s">
        <v>10459</v>
      </c>
      <c r="F2563" s="21">
        <f t="shared" si="560"/>
        <v>125.56</v>
      </c>
      <c r="G2563" s="21">
        <f t="shared" si="560"/>
        <v>125.56</v>
      </c>
      <c r="H2563" s="21">
        <f t="shared" si="560"/>
        <v>125.56</v>
      </c>
      <c r="I2563" s="24" t="str">
        <f t="shared" si="561"/>
        <v xml:space="preserve">COM VALOR</v>
      </c>
      <c r="L2563" s="36">
        <v>125.56</v>
      </c>
      <c r="M2563" s="37">
        <v>125.56</v>
      </c>
      <c r="N2563" s="36">
        <v>125.56</v>
      </c>
    </row>
    <row r="2564" ht="25.5">
      <c r="A2564" s="19" t="s">
        <v>10460</v>
      </c>
      <c r="B2564" s="19">
        <v>20270</v>
      </c>
      <c r="C2564" s="20" t="s">
        <v>13026</v>
      </c>
      <c r="D2564" s="19" t="s">
        <v>31</v>
      </c>
      <c r="E2564" s="19" t="s">
        <v>10459</v>
      </c>
      <c r="F2564" s="21">
        <f t="shared" si="560"/>
        <v>138.74000000000001</v>
      </c>
      <c r="G2564" s="21">
        <f t="shared" si="560"/>
        <v>138.74000000000001</v>
      </c>
      <c r="H2564" s="21">
        <f t="shared" si="560"/>
        <v>138.74000000000001</v>
      </c>
      <c r="I2564" s="24" t="str">
        <f t="shared" si="561"/>
        <v xml:space="preserve">COM VALOR</v>
      </c>
      <c r="L2564" s="36">
        <v>138.74000000000001</v>
      </c>
      <c r="M2564" s="37">
        <v>138.74000000000001</v>
      </c>
      <c r="N2564" s="36">
        <v>138.74000000000001</v>
      </c>
    </row>
    <row r="2565" ht="25.5">
      <c r="A2565" s="19" t="s">
        <v>10460</v>
      </c>
      <c r="B2565" s="19">
        <v>11696</v>
      </c>
      <c r="C2565" s="20" t="s">
        <v>13027</v>
      </c>
      <c r="D2565" s="19" t="s">
        <v>31</v>
      </c>
      <c r="E2565" s="19" t="s">
        <v>10459</v>
      </c>
      <c r="F2565" s="21">
        <f t="shared" si="560"/>
        <v>222.09999999999999</v>
      </c>
      <c r="G2565" s="21">
        <f t="shared" si="560"/>
        <v>222.09999999999999</v>
      </c>
      <c r="H2565" s="21">
        <f t="shared" si="560"/>
        <v>222.09999999999999</v>
      </c>
      <c r="I2565" s="24" t="str">
        <f t="shared" si="561"/>
        <v xml:space="preserve">COM VALOR</v>
      </c>
      <c r="L2565" s="36">
        <v>222.09999999999999</v>
      </c>
      <c r="M2565" s="37">
        <v>222.09999999999999</v>
      </c>
      <c r="N2565" s="36">
        <v>222.09999999999999</v>
      </c>
    </row>
    <row r="2566" ht="25.5">
      <c r="A2566" s="19" t="s">
        <v>10460</v>
      </c>
      <c r="B2566" s="19">
        <v>10427</v>
      </c>
      <c r="C2566" s="20" t="s">
        <v>13028</v>
      </c>
      <c r="D2566" s="19" t="s">
        <v>31</v>
      </c>
      <c r="E2566" s="19" t="s">
        <v>10459</v>
      </c>
      <c r="F2566" s="21">
        <f t="shared" si="560"/>
        <v>621.51999999999998</v>
      </c>
      <c r="G2566" s="21">
        <f t="shared" si="560"/>
        <v>621.51999999999998</v>
      </c>
      <c r="H2566" s="21">
        <f t="shared" si="560"/>
        <v>621.51999999999998</v>
      </c>
      <c r="I2566" s="24" t="str">
        <f t="shared" si="561"/>
        <v xml:space="preserve">COM VALOR</v>
      </c>
      <c r="L2566" s="36">
        <v>621.51999999999998</v>
      </c>
      <c r="M2566" s="37">
        <v>621.51999999999998</v>
      </c>
      <c r="N2566" s="36">
        <v>621.51999999999998</v>
      </c>
    </row>
    <row r="2567" ht="25.5">
      <c r="A2567" s="19" t="s">
        <v>10460</v>
      </c>
      <c r="B2567" s="19">
        <v>10428</v>
      </c>
      <c r="C2567" s="20" t="s">
        <v>13029</v>
      </c>
      <c r="D2567" s="19" t="s">
        <v>31</v>
      </c>
      <c r="E2567" s="19" t="s">
        <v>10459</v>
      </c>
      <c r="F2567" s="21">
        <f t="shared" si="560"/>
        <v>640.37</v>
      </c>
      <c r="G2567" s="21">
        <f t="shared" si="560"/>
        <v>640.37</v>
      </c>
      <c r="H2567" s="21">
        <f t="shared" si="560"/>
        <v>640.37</v>
      </c>
      <c r="I2567" s="24" t="str">
        <f t="shared" si="561"/>
        <v xml:space="preserve">COM VALOR</v>
      </c>
      <c r="L2567" s="36">
        <v>640.37</v>
      </c>
      <c r="M2567" s="37">
        <v>640.37</v>
      </c>
      <c r="N2567" s="36">
        <v>640.37</v>
      </c>
    </row>
    <row r="2568" ht="25.5">
      <c r="A2568" s="19" t="s">
        <v>10460</v>
      </c>
      <c r="B2568" s="19">
        <v>36521</v>
      </c>
      <c r="C2568" s="20" t="s">
        <v>13030</v>
      </c>
      <c r="D2568" s="19" t="s">
        <v>31</v>
      </c>
      <c r="E2568" s="19" t="s">
        <v>10459</v>
      </c>
      <c r="F2568" s="21">
        <f t="shared" si="560"/>
        <v>199.80000000000001</v>
      </c>
      <c r="G2568" s="21">
        <f t="shared" si="560"/>
        <v>199.80000000000001</v>
      </c>
      <c r="H2568" s="21">
        <f t="shared" si="560"/>
        <v>199.80000000000001</v>
      </c>
      <c r="I2568" s="24" t="str">
        <f t="shared" si="561"/>
        <v xml:space="preserve">COM VALOR</v>
      </c>
      <c r="L2568" s="36">
        <v>199.80000000000001</v>
      </c>
      <c r="M2568" s="37">
        <v>199.80000000000001</v>
      </c>
      <c r="N2568" s="36">
        <v>199.80000000000001</v>
      </c>
    </row>
    <row r="2569" ht="25.5">
      <c r="A2569" s="19" t="s">
        <v>10460</v>
      </c>
      <c r="B2569" s="19">
        <v>36794</v>
      </c>
      <c r="C2569" s="20" t="s">
        <v>13031</v>
      </c>
      <c r="D2569" s="19" t="s">
        <v>31</v>
      </c>
      <c r="E2569" s="19" t="s">
        <v>10459</v>
      </c>
      <c r="F2569" s="21">
        <f t="shared" si="560"/>
        <v>212.71000000000001</v>
      </c>
      <c r="G2569" s="21">
        <f t="shared" si="560"/>
        <v>212.71000000000001</v>
      </c>
      <c r="H2569" s="21">
        <f t="shared" si="560"/>
        <v>212.71000000000001</v>
      </c>
      <c r="I2569" s="24" t="str">
        <f t="shared" si="561"/>
        <v xml:space="preserve">COM VALOR</v>
      </c>
      <c r="L2569" s="36">
        <v>212.71000000000001</v>
      </c>
      <c r="M2569" s="37">
        <v>212.71000000000001</v>
      </c>
      <c r="N2569" s="36">
        <v>212.71000000000001</v>
      </c>
    </row>
    <row r="2570" ht="25.5">
      <c r="A2570" s="19" t="s">
        <v>10460</v>
      </c>
      <c r="B2570" s="19">
        <v>10426</v>
      </c>
      <c r="C2570" s="20" t="s">
        <v>13032</v>
      </c>
      <c r="D2570" s="19" t="s">
        <v>31</v>
      </c>
      <c r="E2570" s="19" t="s">
        <v>10459</v>
      </c>
      <c r="F2570" s="21">
        <f t="shared" si="560"/>
        <v>238.19</v>
      </c>
      <c r="G2570" s="21">
        <f t="shared" si="560"/>
        <v>238.19</v>
      </c>
      <c r="H2570" s="21">
        <f t="shared" si="560"/>
        <v>238.19</v>
      </c>
      <c r="I2570" s="24" t="str">
        <f t="shared" si="561"/>
        <v xml:space="preserve">COM VALOR</v>
      </c>
      <c r="L2570" s="36">
        <v>238.19</v>
      </c>
      <c r="M2570" s="37">
        <v>238.19</v>
      </c>
      <c r="N2570" s="36">
        <v>238.19</v>
      </c>
    </row>
    <row r="2571" ht="25.5">
      <c r="A2571" s="19" t="s">
        <v>10460</v>
      </c>
      <c r="B2571" s="19">
        <v>10425</v>
      </c>
      <c r="C2571" s="20" t="s">
        <v>13033</v>
      </c>
      <c r="D2571" s="19" t="s">
        <v>31</v>
      </c>
      <c r="E2571" s="19" t="s">
        <v>10459</v>
      </c>
      <c r="F2571" s="21">
        <f t="shared" ref="F2571:H2634" si="562">IF(L2571=0,"VERIFICAR",L2571)</f>
        <v>120.83</v>
      </c>
      <c r="G2571" s="21">
        <f t="shared" si="562"/>
        <v>120.83</v>
      </c>
      <c r="H2571" s="21">
        <f t="shared" si="562"/>
        <v>120.83</v>
      </c>
      <c r="I2571" s="24" t="str">
        <f t="shared" ref="I2571:I2634" si="563">IF(OR(L2571=0,M2571=0,N2571=0),"SEM VALOR","COM VALOR")</f>
        <v xml:space="preserve">COM VALOR</v>
      </c>
      <c r="L2571" s="36">
        <v>120.83</v>
      </c>
      <c r="M2571" s="37">
        <v>120.83</v>
      </c>
      <c r="N2571" s="36">
        <v>120.83</v>
      </c>
    </row>
    <row r="2572" ht="25.5">
      <c r="A2572" s="19" t="s">
        <v>10460</v>
      </c>
      <c r="B2572" s="19">
        <v>10431</v>
      </c>
      <c r="C2572" s="20" t="s">
        <v>13034</v>
      </c>
      <c r="D2572" s="19" t="s">
        <v>31</v>
      </c>
      <c r="E2572" s="19" t="s">
        <v>10459</v>
      </c>
      <c r="F2572" s="21">
        <f t="shared" si="562"/>
        <v>413.69999999999999</v>
      </c>
      <c r="G2572" s="21">
        <f t="shared" si="562"/>
        <v>413.69999999999999</v>
      </c>
      <c r="H2572" s="21">
        <f t="shared" si="562"/>
        <v>413.69999999999999</v>
      </c>
      <c r="I2572" s="24" t="str">
        <f t="shared" si="563"/>
        <v xml:space="preserve">COM VALOR</v>
      </c>
      <c r="L2572" s="36">
        <v>413.69999999999999</v>
      </c>
      <c r="M2572" s="37">
        <v>413.69999999999999</v>
      </c>
      <c r="N2572" s="36">
        <v>413.69999999999999</v>
      </c>
    </row>
    <row r="2573" ht="25.5">
      <c r="A2573" s="19" t="s">
        <v>10460</v>
      </c>
      <c r="B2573" s="19">
        <v>10429</v>
      </c>
      <c r="C2573" s="20" t="s">
        <v>13035</v>
      </c>
      <c r="D2573" s="19" t="s">
        <v>31</v>
      </c>
      <c r="E2573" s="19" t="s">
        <v>10459</v>
      </c>
      <c r="F2573" s="21">
        <f t="shared" si="562"/>
        <v>204.08000000000001</v>
      </c>
      <c r="G2573" s="21">
        <f t="shared" si="562"/>
        <v>204.08000000000001</v>
      </c>
      <c r="H2573" s="21">
        <f t="shared" si="562"/>
        <v>204.08000000000001</v>
      </c>
      <c r="I2573" s="24" t="str">
        <f t="shared" si="563"/>
        <v xml:space="preserve">COM VALOR</v>
      </c>
      <c r="L2573" s="36">
        <v>204.08000000000001</v>
      </c>
      <c r="M2573" s="37">
        <v>204.08000000000001</v>
      </c>
      <c r="N2573" s="36">
        <v>204.08000000000001</v>
      </c>
    </row>
    <row r="2574" ht="25.5">
      <c r="A2574" s="19" t="s">
        <v>10460</v>
      </c>
      <c r="B2574" s="19">
        <v>10853</v>
      </c>
      <c r="C2574" s="20" t="s">
        <v>13036</v>
      </c>
      <c r="D2574" s="19" t="s">
        <v>31</v>
      </c>
      <c r="E2574" s="19" t="s">
        <v>10459</v>
      </c>
      <c r="F2574" s="21">
        <f t="shared" si="562"/>
        <v>107.70999999999999</v>
      </c>
      <c r="G2574" s="21">
        <f t="shared" si="562"/>
        <v>107.70999999999999</v>
      </c>
      <c r="H2574" s="21">
        <f t="shared" si="562"/>
        <v>107.70999999999999</v>
      </c>
      <c r="I2574" s="24" t="str">
        <f t="shared" si="563"/>
        <v xml:space="preserve">COM VALOR</v>
      </c>
      <c r="L2574" s="36">
        <v>107.70999999999999</v>
      </c>
      <c r="M2574" s="37">
        <v>107.70999999999999</v>
      </c>
      <c r="N2574" s="36">
        <v>107.70999999999999</v>
      </c>
    </row>
    <row r="2575" ht="12.75">
      <c r="A2575" s="19" t="s">
        <v>10460</v>
      </c>
      <c r="B2575" s="19">
        <v>5093</v>
      </c>
      <c r="C2575" s="20" t="s">
        <v>13037</v>
      </c>
      <c r="D2575" s="19" t="s">
        <v>10874</v>
      </c>
      <c r="E2575" s="19" t="s">
        <v>10459</v>
      </c>
      <c r="F2575" s="21">
        <f t="shared" si="562"/>
        <v>21.109999999999999</v>
      </c>
      <c r="G2575" s="21">
        <f t="shared" si="562"/>
        <v>21.109999999999999</v>
      </c>
      <c r="H2575" s="21">
        <f t="shared" si="562"/>
        <v>21.109999999999999</v>
      </c>
      <c r="I2575" s="24" t="str">
        <f t="shared" si="563"/>
        <v xml:space="preserve">COM VALOR</v>
      </c>
      <c r="L2575" s="36">
        <v>21.109999999999999</v>
      </c>
      <c r="M2575" s="37">
        <v>21.109999999999999</v>
      </c>
      <c r="N2575" s="36">
        <v>21.109999999999999</v>
      </c>
    </row>
    <row r="2576" ht="12.75">
      <c r="A2576" s="19" t="s">
        <v>10460</v>
      </c>
      <c r="B2576" s="19">
        <v>45254</v>
      </c>
      <c r="C2576" s="20" t="s">
        <v>13038</v>
      </c>
      <c r="D2576" s="19" t="s">
        <v>31</v>
      </c>
      <c r="E2576" s="19" t="s">
        <v>10459</v>
      </c>
      <c r="F2576" s="21">
        <f t="shared" si="562"/>
        <v>27.02</v>
      </c>
      <c r="G2576" s="21">
        <f t="shared" si="562"/>
        <v>27.02</v>
      </c>
      <c r="H2576" s="21">
        <f t="shared" si="562"/>
        <v>27.02</v>
      </c>
      <c r="I2576" s="24" t="str">
        <f t="shared" si="563"/>
        <v xml:space="preserve">COM VALOR</v>
      </c>
      <c r="L2576" s="36">
        <v>27.02</v>
      </c>
      <c r="M2576" s="37">
        <v>27.02</v>
      </c>
      <c r="N2576" s="36">
        <v>27.02</v>
      </c>
    </row>
    <row r="2577" ht="12.75">
      <c r="A2577" s="19" t="s">
        <v>10460</v>
      </c>
      <c r="B2577" s="19">
        <v>45253</v>
      </c>
      <c r="C2577" s="20" t="s">
        <v>13039</v>
      </c>
      <c r="D2577" s="19" t="s">
        <v>31</v>
      </c>
      <c r="E2577" s="19" t="s">
        <v>10459</v>
      </c>
      <c r="F2577" s="21">
        <f t="shared" si="562"/>
        <v>35.030000000000001</v>
      </c>
      <c r="G2577" s="21">
        <f t="shared" si="562"/>
        <v>35.030000000000001</v>
      </c>
      <c r="H2577" s="21">
        <f t="shared" si="562"/>
        <v>35.030000000000001</v>
      </c>
      <c r="I2577" s="24" t="str">
        <f t="shared" si="563"/>
        <v xml:space="preserve">COM VALOR</v>
      </c>
      <c r="L2577" s="36">
        <v>35.030000000000001</v>
      </c>
      <c r="M2577" s="37">
        <v>35.030000000000001</v>
      </c>
      <c r="N2577" s="36">
        <v>35.030000000000001</v>
      </c>
    </row>
    <row r="2578" ht="12.75">
      <c r="A2578" s="19" t="s">
        <v>10460</v>
      </c>
      <c r="B2578" s="19">
        <v>44331</v>
      </c>
      <c r="C2578" s="20" t="s">
        <v>13040</v>
      </c>
      <c r="D2578" s="19" t="s">
        <v>9794</v>
      </c>
      <c r="E2578" s="19" t="s">
        <v>10459</v>
      </c>
      <c r="F2578" s="21">
        <f t="shared" si="562"/>
        <v>43.600000000000001</v>
      </c>
      <c r="G2578" s="21">
        <f t="shared" si="562"/>
        <v>43.600000000000001</v>
      </c>
      <c r="H2578" s="21">
        <f t="shared" si="562"/>
        <v>43.600000000000001</v>
      </c>
      <c r="I2578" s="24" t="str">
        <f t="shared" si="563"/>
        <v xml:space="preserve">COM VALOR</v>
      </c>
      <c r="L2578" s="36">
        <v>43.600000000000001</v>
      </c>
      <c r="M2578" s="37">
        <v>43.600000000000001</v>
      </c>
      <c r="N2578" s="36">
        <v>43.600000000000001</v>
      </c>
    </row>
    <row r="2579" ht="38.25">
      <c r="A2579" s="19" t="s">
        <v>10638</v>
      </c>
      <c r="B2579" s="19">
        <v>37768</v>
      </c>
      <c r="C2579" s="20" t="s">
        <v>13041</v>
      </c>
      <c r="D2579" s="19" t="s">
        <v>31</v>
      </c>
      <c r="E2579" s="19" t="s">
        <v>10466</v>
      </c>
      <c r="F2579" s="21" t="str">
        <f t="shared" si="562"/>
        <v>VERIFICAR</v>
      </c>
      <c r="G2579" s="21" t="str">
        <f t="shared" si="562"/>
        <v>VERIFICAR</v>
      </c>
      <c r="H2579" s="21" t="str">
        <f t="shared" si="562"/>
        <v>VERIFICAR</v>
      </c>
      <c r="I2579" s="24" t="str">
        <f t="shared" si="563"/>
        <v xml:space="preserve">SEM VALOR</v>
      </c>
      <c r="L2579" s="36"/>
      <c r="M2579" s="37"/>
      <c r="N2579" s="36"/>
    </row>
    <row r="2580" ht="12.75">
      <c r="A2580" s="19" t="s">
        <v>10460</v>
      </c>
      <c r="B2580" s="19">
        <v>38382</v>
      </c>
      <c r="C2580" s="20" t="s">
        <v>13042</v>
      </c>
      <c r="D2580" s="19" t="s">
        <v>31</v>
      </c>
      <c r="E2580" s="19" t="s">
        <v>10459</v>
      </c>
      <c r="F2580" s="21">
        <f t="shared" si="562"/>
        <v>18.98</v>
      </c>
      <c r="G2580" s="21">
        <f t="shared" si="562"/>
        <v>18.98</v>
      </c>
      <c r="H2580" s="21">
        <f t="shared" si="562"/>
        <v>18.98</v>
      </c>
      <c r="I2580" s="24" t="str">
        <f t="shared" si="563"/>
        <v xml:space="preserve">COM VALOR</v>
      </c>
      <c r="L2580" s="36">
        <v>18.98</v>
      </c>
      <c r="M2580" s="37">
        <v>18.98</v>
      </c>
      <c r="N2580" s="36">
        <v>18.98</v>
      </c>
    </row>
    <row r="2581" ht="12.75">
      <c r="A2581" s="19" t="s">
        <v>10460</v>
      </c>
      <c r="B2581" s="19">
        <v>38383</v>
      </c>
      <c r="C2581" s="20" t="s">
        <v>13043</v>
      </c>
      <c r="D2581" s="19" t="s">
        <v>31</v>
      </c>
      <c r="E2581" s="19" t="s">
        <v>10459</v>
      </c>
      <c r="F2581" s="21">
        <f t="shared" si="562"/>
        <v>3.02</v>
      </c>
      <c r="G2581" s="21">
        <f t="shared" si="562"/>
        <v>3.02</v>
      </c>
      <c r="H2581" s="21">
        <f t="shared" si="562"/>
        <v>3.02</v>
      </c>
      <c r="I2581" s="24" t="str">
        <f t="shared" si="563"/>
        <v xml:space="preserve">COM VALOR</v>
      </c>
      <c r="L2581" s="36">
        <v>3.02</v>
      </c>
      <c r="M2581" s="37">
        <v>3.02</v>
      </c>
      <c r="N2581" s="36">
        <v>3.02</v>
      </c>
    </row>
    <row r="2582" ht="12.75">
      <c r="A2582" s="19" t="s">
        <v>10460</v>
      </c>
      <c r="B2582" s="19">
        <v>3768</v>
      </c>
      <c r="C2582" s="20" t="s">
        <v>13044</v>
      </c>
      <c r="D2582" s="19" t="s">
        <v>31</v>
      </c>
      <c r="E2582" s="19" t="s">
        <v>10459</v>
      </c>
      <c r="F2582" s="21">
        <f t="shared" si="562"/>
        <v>4.4400000000000004</v>
      </c>
      <c r="G2582" s="21">
        <f t="shared" si="562"/>
        <v>4.4400000000000004</v>
      </c>
      <c r="H2582" s="21">
        <f t="shared" si="562"/>
        <v>4.4400000000000004</v>
      </c>
      <c r="I2582" s="24" t="str">
        <f t="shared" si="563"/>
        <v xml:space="preserve">COM VALOR</v>
      </c>
      <c r="L2582" s="36">
        <v>4.4400000000000004</v>
      </c>
      <c r="M2582" s="37">
        <v>4.4400000000000004</v>
      </c>
      <c r="N2582" s="36">
        <v>4.4400000000000004</v>
      </c>
    </row>
    <row r="2583" ht="25.5">
      <c r="A2583" s="19" t="s">
        <v>10460</v>
      </c>
      <c r="B2583" s="19">
        <v>3767</v>
      </c>
      <c r="C2583" s="20" t="s">
        <v>13045</v>
      </c>
      <c r="D2583" s="19" t="s">
        <v>31</v>
      </c>
      <c r="E2583" s="19" t="s">
        <v>10459</v>
      </c>
      <c r="F2583" s="21">
        <f t="shared" si="562"/>
        <v>1.48</v>
      </c>
      <c r="G2583" s="21">
        <f t="shared" si="562"/>
        <v>1.48</v>
      </c>
      <c r="H2583" s="21">
        <f t="shared" si="562"/>
        <v>1.48</v>
      </c>
      <c r="I2583" s="24" t="str">
        <f t="shared" si="563"/>
        <v xml:space="preserve">COM VALOR</v>
      </c>
      <c r="L2583" s="36">
        <v>1.48</v>
      </c>
      <c r="M2583" s="37">
        <v>1.48</v>
      </c>
      <c r="N2583" s="36">
        <v>1.48</v>
      </c>
    </row>
    <row r="2584" ht="51">
      <c r="A2584" s="19" t="s">
        <v>10460</v>
      </c>
      <c r="B2584" s="19">
        <v>42440</v>
      </c>
      <c r="C2584" s="20" t="s">
        <v>13046</v>
      </c>
      <c r="D2584" s="19" t="s">
        <v>31</v>
      </c>
      <c r="E2584" s="19" t="s">
        <v>10459</v>
      </c>
      <c r="F2584" s="21" t="str">
        <f t="shared" si="562"/>
        <v>VERIFICAR</v>
      </c>
      <c r="G2584" s="21" t="str">
        <f t="shared" si="562"/>
        <v>VERIFICAR</v>
      </c>
      <c r="H2584" s="21" t="str">
        <f t="shared" si="562"/>
        <v>VERIFICAR</v>
      </c>
      <c r="I2584" s="24" t="str">
        <f t="shared" si="563"/>
        <v xml:space="preserve">SEM VALOR</v>
      </c>
      <c r="L2584" s="36"/>
      <c r="M2584" s="37"/>
      <c r="N2584" s="36"/>
    </row>
    <row r="2585" ht="63.75">
      <c r="A2585" s="19" t="s">
        <v>13047</v>
      </c>
      <c r="B2585" s="19">
        <v>20193</v>
      </c>
      <c r="C2585" s="20" t="s">
        <v>13048</v>
      </c>
      <c r="D2585" s="19" t="s">
        <v>13049</v>
      </c>
      <c r="E2585" s="19" t="s">
        <v>10459</v>
      </c>
      <c r="F2585" s="21">
        <f t="shared" si="562"/>
        <v>30</v>
      </c>
      <c r="G2585" s="21">
        <f t="shared" si="562"/>
        <v>30</v>
      </c>
      <c r="H2585" s="21">
        <f t="shared" si="562"/>
        <v>30</v>
      </c>
      <c r="I2585" s="24" t="str">
        <f t="shared" si="563"/>
        <v xml:space="preserve">COM VALOR</v>
      </c>
      <c r="L2585" s="36">
        <v>30</v>
      </c>
      <c r="M2585" s="37">
        <v>30</v>
      </c>
      <c r="N2585" s="36">
        <v>30</v>
      </c>
    </row>
    <row r="2586" ht="63.75">
      <c r="A2586" s="19" t="s">
        <v>13047</v>
      </c>
      <c r="B2586" s="19">
        <v>10527</v>
      </c>
      <c r="C2586" s="20" t="s">
        <v>13050</v>
      </c>
      <c r="D2586" s="19" t="s">
        <v>13051</v>
      </c>
      <c r="E2586" s="19" t="s">
        <v>10466</v>
      </c>
      <c r="F2586" s="21">
        <f t="shared" si="562"/>
        <v>40</v>
      </c>
      <c r="G2586" s="21">
        <f t="shared" si="562"/>
        <v>40</v>
      </c>
      <c r="H2586" s="21">
        <f t="shared" si="562"/>
        <v>40</v>
      </c>
      <c r="I2586" s="24" t="str">
        <f t="shared" si="563"/>
        <v xml:space="preserve">COM VALOR</v>
      </c>
      <c r="L2586" s="36">
        <v>40</v>
      </c>
      <c r="M2586" s="37">
        <v>40</v>
      </c>
      <c r="N2586" s="36">
        <v>40</v>
      </c>
    </row>
    <row r="2587" ht="38.25">
      <c r="A2587" s="19" t="s">
        <v>13047</v>
      </c>
      <c r="B2587" s="19">
        <v>41805</v>
      </c>
      <c r="C2587" s="20" t="s">
        <v>13052</v>
      </c>
      <c r="D2587" s="19" t="s">
        <v>7087</v>
      </c>
      <c r="E2587" s="19" t="s">
        <v>10459</v>
      </c>
      <c r="F2587" s="21">
        <f t="shared" si="562"/>
        <v>1150</v>
      </c>
      <c r="G2587" s="21">
        <f t="shared" si="562"/>
        <v>1150</v>
      </c>
      <c r="H2587" s="21">
        <f t="shared" si="562"/>
        <v>1150</v>
      </c>
      <c r="I2587" s="24" t="str">
        <f t="shared" si="563"/>
        <v xml:space="preserve">COM VALOR</v>
      </c>
      <c r="L2587" s="36">
        <v>1150</v>
      </c>
      <c r="M2587" s="37">
        <v>1150</v>
      </c>
      <c r="N2587" s="36">
        <v>1150</v>
      </c>
    </row>
    <row r="2588" ht="25.5">
      <c r="A2588" s="19" t="s">
        <v>13047</v>
      </c>
      <c r="B2588" s="19">
        <v>40271</v>
      </c>
      <c r="C2588" s="20" t="s">
        <v>13053</v>
      </c>
      <c r="D2588" s="19" t="s">
        <v>13054</v>
      </c>
      <c r="E2588" s="19" t="s">
        <v>10459</v>
      </c>
      <c r="F2588" s="21">
        <f t="shared" si="562"/>
        <v>30.620000000000001</v>
      </c>
      <c r="G2588" s="21">
        <f t="shared" si="562"/>
        <v>30.620000000000001</v>
      </c>
      <c r="H2588" s="21">
        <f t="shared" si="562"/>
        <v>30.620000000000001</v>
      </c>
      <c r="I2588" s="24" t="str">
        <f t="shared" si="563"/>
        <v xml:space="preserve">COM VALOR</v>
      </c>
      <c r="L2588" s="36">
        <v>30.620000000000001</v>
      </c>
      <c r="M2588" s="37">
        <v>30.620000000000001</v>
      </c>
      <c r="N2588" s="36">
        <v>30.620000000000001</v>
      </c>
    </row>
    <row r="2589" ht="25.5">
      <c r="A2589" s="19" t="s">
        <v>13047</v>
      </c>
      <c r="B2589" s="19">
        <v>40287</v>
      </c>
      <c r="C2589" s="20" t="s">
        <v>13055</v>
      </c>
      <c r="D2589" s="19" t="s">
        <v>7087</v>
      </c>
      <c r="E2589" s="19" t="s">
        <v>10459</v>
      </c>
      <c r="F2589" s="21">
        <f t="shared" si="562"/>
        <v>11.789999999999999</v>
      </c>
      <c r="G2589" s="21">
        <f t="shared" si="562"/>
        <v>11.789999999999999</v>
      </c>
      <c r="H2589" s="21">
        <f t="shared" si="562"/>
        <v>11.789999999999999</v>
      </c>
      <c r="I2589" s="24" t="str">
        <f t="shared" si="563"/>
        <v xml:space="preserve">COM VALOR</v>
      </c>
      <c r="L2589" s="36">
        <v>11.789999999999999</v>
      </c>
      <c r="M2589" s="37">
        <v>11.789999999999999</v>
      </c>
      <c r="N2589" s="36">
        <v>11.789999999999999</v>
      </c>
    </row>
    <row r="2590" ht="38.25">
      <c r="A2590" s="19" t="s">
        <v>13047</v>
      </c>
      <c r="B2590" s="19">
        <v>10779</v>
      </c>
      <c r="C2590" s="20" t="s">
        <v>13056</v>
      </c>
      <c r="D2590" s="19" t="s">
        <v>7087</v>
      </c>
      <c r="E2590" s="19" t="s">
        <v>10459</v>
      </c>
      <c r="F2590" s="21" t="str">
        <f t="shared" si="562"/>
        <v>VERIFICAR</v>
      </c>
      <c r="G2590" s="21" t="str">
        <f t="shared" si="562"/>
        <v>VERIFICAR</v>
      </c>
      <c r="H2590" s="21" t="str">
        <f t="shared" si="562"/>
        <v>VERIFICAR</v>
      </c>
      <c r="I2590" s="24" t="str">
        <f t="shared" si="563"/>
        <v xml:space="preserve">SEM VALOR</v>
      </c>
      <c r="L2590" s="36"/>
      <c r="M2590" s="37"/>
      <c r="N2590" s="36"/>
    </row>
    <row r="2591" ht="38.25">
      <c r="A2591" s="19" t="s">
        <v>13047</v>
      </c>
      <c r="B2591" s="19">
        <v>10777</v>
      </c>
      <c r="C2591" s="20" t="s">
        <v>13057</v>
      </c>
      <c r="D2591" s="19" t="s">
        <v>7087</v>
      </c>
      <c r="E2591" s="19" t="s">
        <v>10459</v>
      </c>
      <c r="F2591" s="21" t="str">
        <f t="shared" si="562"/>
        <v>VERIFICAR</v>
      </c>
      <c r="G2591" s="21" t="str">
        <f t="shared" si="562"/>
        <v>VERIFICAR</v>
      </c>
      <c r="H2591" s="21" t="str">
        <f t="shared" si="562"/>
        <v>VERIFICAR</v>
      </c>
      <c r="I2591" s="24" t="str">
        <f t="shared" si="563"/>
        <v xml:space="preserve">SEM VALOR</v>
      </c>
      <c r="L2591" s="36"/>
      <c r="M2591" s="37"/>
      <c r="N2591" s="36"/>
    </row>
    <row r="2592" ht="38.25">
      <c r="A2592" s="19" t="s">
        <v>13047</v>
      </c>
      <c r="B2592" s="19">
        <v>10775</v>
      </c>
      <c r="C2592" s="20" t="s">
        <v>13058</v>
      </c>
      <c r="D2592" s="19" t="s">
        <v>7087</v>
      </c>
      <c r="E2592" s="19" t="s">
        <v>10466</v>
      </c>
      <c r="F2592" s="21">
        <f t="shared" si="562"/>
        <v>928.75</v>
      </c>
      <c r="G2592" s="21">
        <f t="shared" si="562"/>
        <v>928.75</v>
      </c>
      <c r="H2592" s="21">
        <f t="shared" si="562"/>
        <v>928.75</v>
      </c>
      <c r="I2592" s="24" t="str">
        <f t="shared" si="563"/>
        <v xml:space="preserve">COM VALOR</v>
      </c>
      <c r="J2592" s="38" t="s">
        <v>10710</v>
      </c>
      <c r="L2592" s="36">
        <v>928.75</v>
      </c>
      <c r="M2592" s="37">
        <v>928.75</v>
      </c>
      <c r="N2592" s="36">
        <v>928.75</v>
      </c>
    </row>
    <row r="2593" ht="38.25">
      <c r="A2593" s="19" t="s">
        <v>13047</v>
      </c>
      <c r="B2593" s="19">
        <v>10776</v>
      </c>
      <c r="C2593" s="20" t="s">
        <v>13059</v>
      </c>
      <c r="D2593" s="19" t="s">
        <v>7087</v>
      </c>
      <c r="E2593" s="19" t="s">
        <v>10459</v>
      </c>
      <c r="F2593" s="21" t="str">
        <f t="shared" si="562"/>
        <v>VERIFICAR</v>
      </c>
      <c r="G2593" s="21" t="str">
        <f t="shared" si="562"/>
        <v>VERIFICAR</v>
      </c>
      <c r="H2593" s="21" t="str">
        <f t="shared" si="562"/>
        <v>VERIFICAR</v>
      </c>
      <c r="I2593" s="24" t="str">
        <f t="shared" si="563"/>
        <v xml:space="preserve">SEM VALOR</v>
      </c>
      <c r="L2593" s="36"/>
      <c r="M2593" s="37"/>
      <c r="N2593" s="36"/>
    </row>
    <row r="2594" ht="38.25">
      <c r="A2594" s="19" t="s">
        <v>13047</v>
      </c>
      <c r="B2594" s="19">
        <v>10778</v>
      </c>
      <c r="C2594" s="20" t="s">
        <v>13060</v>
      </c>
      <c r="D2594" s="19" t="s">
        <v>7087</v>
      </c>
      <c r="E2594" s="19" t="s">
        <v>10459</v>
      </c>
      <c r="F2594" s="21" t="str">
        <f t="shared" si="562"/>
        <v>VERIFICAR</v>
      </c>
      <c r="G2594" s="21" t="str">
        <f t="shared" si="562"/>
        <v>VERIFICAR</v>
      </c>
      <c r="H2594" s="21" t="str">
        <f t="shared" si="562"/>
        <v>VERIFICAR</v>
      </c>
      <c r="I2594" s="24" t="str">
        <f t="shared" si="563"/>
        <v xml:space="preserve">SEM VALOR</v>
      </c>
      <c r="L2594" s="36"/>
      <c r="M2594" s="37"/>
      <c r="N2594" s="36"/>
    </row>
    <row r="2595" ht="38.25">
      <c r="A2595" s="19" t="s">
        <v>13047</v>
      </c>
      <c r="B2595" s="19">
        <v>40339</v>
      </c>
      <c r="C2595" s="20" t="s">
        <v>13061</v>
      </c>
      <c r="D2595" s="19" t="s">
        <v>13054</v>
      </c>
      <c r="E2595" s="19" t="s">
        <v>10459</v>
      </c>
      <c r="F2595" s="21">
        <f t="shared" si="562"/>
        <v>10.74</v>
      </c>
      <c r="G2595" s="21">
        <f t="shared" si="562"/>
        <v>10.74</v>
      </c>
      <c r="H2595" s="21">
        <f t="shared" si="562"/>
        <v>10.74</v>
      </c>
      <c r="I2595" s="24" t="str">
        <f t="shared" si="563"/>
        <v xml:space="preserve">COM VALOR</v>
      </c>
      <c r="L2595" s="36">
        <v>10.74</v>
      </c>
      <c r="M2595" s="37">
        <v>10.74</v>
      </c>
      <c r="N2595" s="36">
        <v>10.74</v>
      </c>
    </row>
    <row r="2596" ht="38.25">
      <c r="A2596" s="19" t="s">
        <v>13047</v>
      </c>
      <c r="B2596" s="19">
        <v>10749</v>
      </c>
      <c r="C2596" s="20" t="s">
        <v>13062</v>
      </c>
      <c r="D2596" s="19" t="s">
        <v>13054</v>
      </c>
      <c r="E2596" s="19" t="s">
        <v>10459</v>
      </c>
      <c r="F2596" s="21">
        <f t="shared" si="562"/>
        <v>35.5</v>
      </c>
      <c r="G2596" s="21">
        <f t="shared" si="562"/>
        <v>35.5</v>
      </c>
      <c r="H2596" s="21">
        <f t="shared" si="562"/>
        <v>35.5</v>
      </c>
      <c r="I2596" s="24" t="str">
        <f t="shared" si="563"/>
        <v xml:space="preserve">COM VALOR</v>
      </c>
      <c r="L2596" s="36">
        <v>35.5</v>
      </c>
      <c r="M2596" s="37">
        <v>35.5</v>
      </c>
      <c r="N2596" s="36">
        <v>35.5</v>
      </c>
    </row>
    <row r="2597" ht="25.5">
      <c r="A2597" s="19" t="s">
        <v>13047</v>
      </c>
      <c r="B2597" s="19">
        <v>40290</v>
      </c>
      <c r="C2597" s="20" t="s">
        <v>13063</v>
      </c>
      <c r="D2597" s="19" t="s">
        <v>13054</v>
      </c>
      <c r="E2597" s="19" t="s">
        <v>10459</v>
      </c>
      <c r="F2597" s="21">
        <f t="shared" si="562"/>
        <v>19.199999999999999</v>
      </c>
      <c r="G2597" s="21">
        <f t="shared" si="562"/>
        <v>19.199999999999999</v>
      </c>
      <c r="H2597" s="21">
        <f t="shared" si="562"/>
        <v>19.199999999999999</v>
      </c>
      <c r="I2597" s="24" t="str">
        <f t="shared" si="563"/>
        <v xml:space="preserve">COM VALOR</v>
      </c>
      <c r="L2597" s="36">
        <v>19.199999999999999</v>
      </c>
      <c r="M2597" s="37">
        <v>19.199999999999999</v>
      </c>
      <c r="N2597" s="36">
        <v>19.199999999999999</v>
      </c>
    </row>
    <row r="2598" ht="25.5">
      <c r="A2598" s="19" t="s">
        <v>13047</v>
      </c>
      <c r="B2598" s="19">
        <v>3346</v>
      </c>
      <c r="C2598" s="20" t="s">
        <v>13064</v>
      </c>
      <c r="D2598" s="19" t="s">
        <v>2032</v>
      </c>
      <c r="E2598" s="19" t="s">
        <v>10466</v>
      </c>
      <c r="F2598" s="21">
        <f t="shared" si="562"/>
        <v>31.609999999999999</v>
      </c>
      <c r="G2598" s="21">
        <f t="shared" si="562"/>
        <v>31.609999999999999</v>
      </c>
      <c r="H2598" s="21">
        <f t="shared" si="562"/>
        <v>31.609999999999999</v>
      </c>
      <c r="I2598" s="24" t="str">
        <f t="shared" si="563"/>
        <v xml:space="preserve">COM VALOR</v>
      </c>
      <c r="J2598" s="39"/>
      <c r="L2598" s="36">
        <v>31.609999999999999</v>
      </c>
      <c r="M2598" s="37">
        <v>31.609999999999999</v>
      </c>
      <c r="N2598" s="36">
        <v>31.609999999999999</v>
      </c>
    </row>
    <row r="2599" ht="25.5">
      <c r="A2599" s="19" t="s">
        <v>13047</v>
      </c>
      <c r="B2599" s="19">
        <v>3348</v>
      </c>
      <c r="C2599" s="20" t="s">
        <v>13065</v>
      </c>
      <c r="D2599" s="19" t="s">
        <v>2032</v>
      </c>
      <c r="E2599" s="19" t="s">
        <v>10459</v>
      </c>
      <c r="F2599" s="21">
        <f t="shared" si="562"/>
        <v>37.810000000000002</v>
      </c>
      <c r="G2599" s="21">
        <f t="shared" si="562"/>
        <v>37.810000000000002</v>
      </c>
      <c r="H2599" s="21">
        <f t="shared" si="562"/>
        <v>37.810000000000002</v>
      </c>
      <c r="I2599" s="24" t="str">
        <f t="shared" si="563"/>
        <v xml:space="preserve">COM VALOR</v>
      </c>
      <c r="L2599" s="36">
        <v>37.810000000000002</v>
      </c>
      <c r="M2599" s="37">
        <v>37.810000000000002</v>
      </c>
      <c r="N2599" s="36">
        <v>37.810000000000002</v>
      </c>
    </row>
    <row r="2600" ht="25.5">
      <c r="A2600" s="19" t="s">
        <v>13047</v>
      </c>
      <c r="B2600" s="19">
        <v>39833</v>
      </c>
      <c r="C2600" s="20" t="s">
        <v>13066</v>
      </c>
      <c r="D2600" s="19" t="s">
        <v>2032</v>
      </c>
      <c r="E2600" s="19" t="s">
        <v>10459</v>
      </c>
      <c r="F2600" s="21">
        <f t="shared" si="562"/>
        <v>51.799999999999997</v>
      </c>
      <c r="G2600" s="21">
        <f t="shared" si="562"/>
        <v>51.799999999999997</v>
      </c>
      <c r="H2600" s="21">
        <f t="shared" si="562"/>
        <v>51.799999999999997</v>
      </c>
      <c r="I2600" s="24" t="str">
        <f t="shared" si="563"/>
        <v xml:space="preserve">COM VALOR</v>
      </c>
      <c r="L2600" s="36">
        <v>51.799999999999997</v>
      </c>
      <c r="M2600" s="37">
        <v>51.799999999999997</v>
      </c>
      <c r="N2600" s="36">
        <v>51.799999999999997</v>
      </c>
    </row>
    <row r="2601" ht="25.5">
      <c r="A2601" s="19" t="s">
        <v>13047</v>
      </c>
      <c r="B2601" s="19">
        <v>7252</v>
      </c>
      <c r="C2601" s="20" t="s">
        <v>13067</v>
      </c>
      <c r="D2601" s="19" t="s">
        <v>2032</v>
      </c>
      <c r="E2601" s="19" t="s">
        <v>10459</v>
      </c>
      <c r="F2601" s="21" t="str">
        <f t="shared" si="562"/>
        <v>VERIFICAR</v>
      </c>
      <c r="G2601" s="21" t="str">
        <f t="shared" si="562"/>
        <v>VERIFICAR</v>
      </c>
      <c r="H2601" s="21" t="str">
        <f t="shared" si="562"/>
        <v>VERIFICAR</v>
      </c>
      <c r="I2601" s="24" t="str">
        <f t="shared" si="563"/>
        <v xml:space="preserve">SEM VALOR</v>
      </c>
      <c r="L2601" s="36"/>
      <c r="M2601" s="37"/>
      <c r="N2601" s="36"/>
    </row>
    <row r="2602" ht="25.5">
      <c r="A2602" s="19" t="s">
        <v>13047</v>
      </c>
      <c r="B2602" s="19">
        <v>7247</v>
      </c>
      <c r="C2602" s="20" t="s">
        <v>13068</v>
      </c>
      <c r="D2602" s="19" t="s">
        <v>2032</v>
      </c>
      <c r="E2602" s="19" t="s">
        <v>10466</v>
      </c>
      <c r="F2602" s="21" t="str">
        <f t="shared" si="562"/>
        <v>VERIFICAR</v>
      </c>
      <c r="G2602" s="21" t="str">
        <f t="shared" si="562"/>
        <v>VERIFICAR</v>
      </c>
      <c r="H2602" s="21" t="str">
        <f t="shared" si="562"/>
        <v>VERIFICAR</v>
      </c>
      <c r="I2602" s="24" t="str">
        <f t="shared" si="563"/>
        <v xml:space="preserve">SEM VALOR</v>
      </c>
      <c r="L2602" s="36"/>
      <c r="M2602" s="37"/>
      <c r="N2602" s="36"/>
    </row>
    <row r="2603" ht="38.25">
      <c r="A2603" s="19" t="s">
        <v>13047</v>
      </c>
      <c r="B2603" s="19">
        <v>40291</v>
      </c>
      <c r="C2603" s="20" t="s">
        <v>13069</v>
      </c>
      <c r="D2603" s="19" t="s">
        <v>13054</v>
      </c>
      <c r="E2603" s="19" t="s">
        <v>10459</v>
      </c>
      <c r="F2603" s="21">
        <f t="shared" si="562"/>
        <v>1000</v>
      </c>
      <c r="G2603" s="21">
        <f t="shared" si="562"/>
        <v>1000</v>
      </c>
      <c r="H2603" s="21">
        <f t="shared" si="562"/>
        <v>1000</v>
      </c>
      <c r="I2603" s="24" t="str">
        <f t="shared" si="563"/>
        <v xml:space="preserve">COM VALOR</v>
      </c>
      <c r="L2603" s="36">
        <v>1000</v>
      </c>
      <c r="M2603" s="37">
        <v>1000</v>
      </c>
      <c r="N2603" s="36">
        <v>1000</v>
      </c>
    </row>
    <row r="2604" ht="38.25">
      <c r="A2604" s="19" t="s">
        <v>13047</v>
      </c>
      <c r="B2604" s="19">
        <v>40275</v>
      </c>
      <c r="C2604" s="20" t="s">
        <v>13070</v>
      </c>
      <c r="D2604" s="19" t="s">
        <v>13054</v>
      </c>
      <c r="E2604" s="19" t="s">
        <v>10459</v>
      </c>
      <c r="F2604" s="21">
        <f t="shared" si="562"/>
        <v>32</v>
      </c>
      <c r="G2604" s="21">
        <f t="shared" si="562"/>
        <v>32</v>
      </c>
      <c r="H2604" s="21">
        <f t="shared" si="562"/>
        <v>32</v>
      </c>
      <c r="I2604" s="24" t="str">
        <f t="shared" si="563"/>
        <v xml:space="preserve">COM VALOR</v>
      </c>
      <c r="L2604" s="36">
        <v>32</v>
      </c>
      <c r="M2604" s="37">
        <v>32</v>
      </c>
      <c r="N2604" s="36">
        <v>32</v>
      </c>
    </row>
    <row r="2605" ht="12.75">
      <c r="A2605" s="19" t="s">
        <v>10460</v>
      </c>
      <c r="B2605" s="19">
        <v>42408</v>
      </c>
      <c r="C2605" s="20" t="s">
        <v>13071</v>
      </c>
      <c r="D2605" s="19" t="s">
        <v>29</v>
      </c>
      <c r="E2605" s="19" t="s">
        <v>10459</v>
      </c>
      <c r="F2605" s="21">
        <f t="shared" si="562"/>
        <v>2.8900000000000001</v>
      </c>
      <c r="G2605" s="21">
        <f t="shared" si="562"/>
        <v>2.8900000000000001</v>
      </c>
      <c r="H2605" s="21">
        <f t="shared" si="562"/>
        <v>2.8900000000000001</v>
      </c>
      <c r="I2605" s="24" t="str">
        <f t="shared" si="563"/>
        <v xml:space="preserve">COM VALOR</v>
      </c>
      <c r="L2605" s="36">
        <v>2.8900000000000001</v>
      </c>
      <c r="M2605" s="37">
        <v>2.8900000000000001</v>
      </c>
      <c r="N2605" s="36">
        <v>2.8900000000000001</v>
      </c>
    </row>
    <row r="2606" ht="12.75">
      <c r="A2606" s="19" t="s">
        <v>10460</v>
      </c>
      <c r="B2606" s="19">
        <v>3777</v>
      </c>
      <c r="C2606" s="20" t="s">
        <v>13072</v>
      </c>
      <c r="D2606" s="19" t="s">
        <v>29</v>
      </c>
      <c r="E2606" s="19" t="s">
        <v>10459</v>
      </c>
      <c r="F2606" s="21">
        <f t="shared" si="562"/>
        <v>2.54</v>
      </c>
      <c r="G2606" s="21">
        <f t="shared" si="562"/>
        <v>2.54</v>
      </c>
      <c r="H2606" s="21">
        <f t="shared" si="562"/>
        <v>2.54</v>
      </c>
      <c r="I2606" s="24" t="str">
        <f t="shared" si="563"/>
        <v xml:space="preserve">COM VALOR</v>
      </c>
      <c r="L2606" s="36">
        <v>2.54</v>
      </c>
      <c r="M2606" s="37">
        <v>2.54</v>
      </c>
      <c r="N2606" s="36">
        <v>2.54</v>
      </c>
    </row>
    <row r="2607" ht="38.25">
      <c r="A2607" s="19" t="s">
        <v>10460</v>
      </c>
      <c r="B2607" s="19">
        <v>44699</v>
      </c>
      <c r="C2607" s="20" t="s">
        <v>13073</v>
      </c>
      <c r="D2607" s="19" t="s">
        <v>302</v>
      </c>
      <c r="E2607" s="19" t="s">
        <v>10459</v>
      </c>
      <c r="F2607" s="21">
        <f t="shared" si="562"/>
        <v>54.210000000000001</v>
      </c>
      <c r="G2607" s="21">
        <f t="shared" si="562"/>
        <v>54.210000000000001</v>
      </c>
      <c r="H2607" s="21">
        <f t="shared" si="562"/>
        <v>54.210000000000001</v>
      </c>
      <c r="I2607" s="24" t="str">
        <f t="shared" si="563"/>
        <v xml:space="preserve">COM VALOR</v>
      </c>
      <c r="L2607" s="36">
        <v>54.210000000000001</v>
      </c>
      <c r="M2607" s="37">
        <v>54.210000000000001</v>
      </c>
      <c r="N2607" s="36">
        <v>54.210000000000001</v>
      </c>
    </row>
    <row r="2608" ht="25.5">
      <c r="A2608" s="19" t="s">
        <v>10460</v>
      </c>
      <c r="B2608" s="19">
        <v>3798</v>
      </c>
      <c r="C2608" s="20" t="s">
        <v>13074</v>
      </c>
      <c r="D2608" s="19" t="s">
        <v>31</v>
      </c>
      <c r="E2608" s="19" t="s">
        <v>10459</v>
      </c>
      <c r="F2608" s="21" t="str">
        <f t="shared" si="562"/>
        <v>VERIFICAR</v>
      </c>
      <c r="G2608" s="21" t="str">
        <f t="shared" si="562"/>
        <v>VERIFICAR</v>
      </c>
      <c r="H2608" s="21" t="str">
        <f t="shared" si="562"/>
        <v>VERIFICAR</v>
      </c>
      <c r="I2608" s="24" t="str">
        <f t="shared" si="563"/>
        <v xml:space="preserve">SEM VALOR</v>
      </c>
      <c r="L2608" s="36"/>
      <c r="M2608" s="37"/>
      <c r="N2608" s="36"/>
    </row>
    <row r="2609" ht="38.25">
      <c r="A2609" s="19" t="s">
        <v>10460</v>
      </c>
      <c r="B2609" s="19">
        <v>38769</v>
      </c>
      <c r="C2609" s="20" t="s">
        <v>13075</v>
      </c>
      <c r="D2609" s="19" t="s">
        <v>31</v>
      </c>
      <c r="E2609" s="19" t="s">
        <v>10459</v>
      </c>
      <c r="F2609" s="21" t="str">
        <f t="shared" si="562"/>
        <v>VERIFICAR</v>
      </c>
      <c r="G2609" s="21" t="str">
        <f t="shared" si="562"/>
        <v>VERIFICAR</v>
      </c>
      <c r="H2609" s="21" t="str">
        <f t="shared" si="562"/>
        <v>VERIFICAR</v>
      </c>
      <c r="I2609" s="24" t="str">
        <f t="shared" si="563"/>
        <v xml:space="preserve">SEM VALOR</v>
      </c>
      <c r="L2609" s="36"/>
      <c r="M2609" s="37"/>
      <c r="N2609" s="36"/>
    </row>
    <row r="2610" ht="25.5">
      <c r="A2610" s="19" t="s">
        <v>10460</v>
      </c>
      <c r="B2610" s="19">
        <v>38774</v>
      </c>
      <c r="C2610" s="20" t="s">
        <v>13076</v>
      </c>
      <c r="D2610" s="19" t="s">
        <v>31</v>
      </c>
      <c r="E2610" s="19" t="s">
        <v>10459</v>
      </c>
      <c r="F2610" s="21">
        <f t="shared" si="562"/>
        <v>12.56</v>
      </c>
      <c r="G2610" s="21">
        <f t="shared" si="562"/>
        <v>12.56</v>
      </c>
      <c r="H2610" s="21">
        <f t="shared" si="562"/>
        <v>12.56</v>
      </c>
      <c r="I2610" s="24" t="str">
        <f t="shared" si="563"/>
        <v xml:space="preserve">COM VALOR</v>
      </c>
      <c r="L2610" s="36">
        <v>12.56</v>
      </c>
      <c r="M2610" s="37">
        <v>12.56</v>
      </c>
      <c r="N2610" s="36">
        <v>12.56</v>
      </c>
    </row>
    <row r="2611" ht="25.5">
      <c r="A2611" s="19" t="s">
        <v>10460</v>
      </c>
      <c r="B2611" s="19">
        <v>42247</v>
      </c>
      <c r="C2611" s="20" t="s">
        <v>13077</v>
      </c>
      <c r="D2611" s="19" t="s">
        <v>31</v>
      </c>
      <c r="E2611" s="19" t="s">
        <v>10459</v>
      </c>
      <c r="F2611" s="21">
        <f t="shared" si="562"/>
        <v>428.74000000000001</v>
      </c>
      <c r="G2611" s="21">
        <f t="shared" si="562"/>
        <v>428.74000000000001</v>
      </c>
      <c r="H2611" s="21">
        <f t="shared" si="562"/>
        <v>428.74000000000001</v>
      </c>
      <c r="I2611" s="24" t="str">
        <f t="shared" si="563"/>
        <v xml:space="preserve">COM VALOR</v>
      </c>
      <c r="L2611" s="36">
        <v>428.74000000000001</v>
      </c>
      <c r="M2611" s="37">
        <v>428.74000000000001</v>
      </c>
      <c r="N2611" s="36">
        <v>428.74000000000001</v>
      </c>
    </row>
    <row r="2612" ht="25.5">
      <c r="A2612" s="19" t="s">
        <v>10460</v>
      </c>
      <c r="B2612" s="19">
        <v>42248</v>
      </c>
      <c r="C2612" s="20" t="s">
        <v>13078</v>
      </c>
      <c r="D2612" s="19" t="s">
        <v>31</v>
      </c>
      <c r="E2612" s="19" t="s">
        <v>10459</v>
      </c>
      <c r="F2612" s="21">
        <f t="shared" si="562"/>
        <v>498.01999999999998</v>
      </c>
      <c r="G2612" s="21">
        <f t="shared" si="562"/>
        <v>498.01999999999998</v>
      </c>
      <c r="H2612" s="21">
        <f t="shared" si="562"/>
        <v>498.01999999999998</v>
      </c>
      <c r="I2612" s="24" t="str">
        <f t="shared" si="563"/>
        <v xml:space="preserve">COM VALOR</v>
      </c>
      <c r="L2612" s="36">
        <v>498.01999999999998</v>
      </c>
      <c r="M2612" s="37">
        <v>498.01999999999998</v>
      </c>
      <c r="N2612" s="36">
        <v>498.01999999999998</v>
      </c>
    </row>
    <row r="2613" ht="25.5">
      <c r="A2613" s="19" t="s">
        <v>10460</v>
      </c>
      <c r="B2613" s="19">
        <v>42249</v>
      </c>
      <c r="C2613" s="20" t="s">
        <v>13079</v>
      </c>
      <c r="D2613" s="19" t="s">
        <v>31</v>
      </c>
      <c r="E2613" s="19" t="s">
        <v>10459</v>
      </c>
      <c r="F2613" s="21">
        <f t="shared" si="562"/>
        <v>825.03999999999996</v>
      </c>
      <c r="G2613" s="21">
        <f t="shared" si="562"/>
        <v>825.03999999999996</v>
      </c>
      <c r="H2613" s="21">
        <f t="shared" si="562"/>
        <v>825.03999999999996</v>
      </c>
      <c r="I2613" s="24" t="str">
        <f t="shared" si="563"/>
        <v xml:space="preserve">COM VALOR</v>
      </c>
      <c r="L2613" s="36">
        <v>825.03999999999996</v>
      </c>
      <c r="M2613" s="37">
        <v>825.03999999999996</v>
      </c>
      <c r="N2613" s="36">
        <v>825.03999999999996</v>
      </c>
    </row>
    <row r="2614" ht="25.5">
      <c r="A2614" s="19" t="s">
        <v>10460</v>
      </c>
      <c r="B2614" s="19">
        <v>42244</v>
      </c>
      <c r="C2614" s="20" t="s">
        <v>13080</v>
      </c>
      <c r="D2614" s="19" t="s">
        <v>31</v>
      </c>
      <c r="E2614" s="19" t="s">
        <v>10459</v>
      </c>
      <c r="F2614" s="21">
        <f t="shared" si="562"/>
        <v>128.84</v>
      </c>
      <c r="G2614" s="21">
        <f t="shared" si="562"/>
        <v>128.84</v>
      </c>
      <c r="H2614" s="21">
        <f t="shared" si="562"/>
        <v>128.84</v>
      </c>
      <c r="I2614" s="24" t="str">
        <f t="shared" si="563"/>
        <v xml:space="preserve">COM VALOR</v>
      </c>
      <c r="L2614" s="36">
        <v>128.84</v>
      </c>
      <c r="M2614" s="37">
        <v>128.84</v>
      </c>
      <c r="N2614" s="36">
        <v>128.84</v>
      </c>
    </row>
    <row r="2615" ht="25.5">
      <c r="A2615" s="19" t="s">
        <v>10460</v>
      </c>
      <c r="B2615" s="19">
        <v>42245</v>
      </c>
      <c r="C2615" s="20" t="s">
        <v>13081</v>
      </c>
      <c r="D2615" s="19" t="s">
        <v>31</v>
      </c>
      <c r="E2615" s="19" t="s">
        <v>10459</v>
      </c>
      <c r="F2615" s="21">
        <f t="shared" si="562"/>
        <v>237.75999999999999</v>
      </c>
      <c r="G2615" s="21">
        <f t="shared" si="562"/>
        <v>237.75999999999999</v>
      </c>
      <c r="H2615" s="21">
        <f t="shared" si="562"/>
        <v>237.75999999999999</v>
      </c>
      <c r="I2615" s="24" t="str">
        <f t="shared" si="563"/>
        <v xml:space="preserve">COM VALOR</v>
      </c>
      <c r="L2615" s="36">
        <v>237.75999999999999</v>
      </c>
      <c r="M2615" s="37">
        <v>237.75999999999999</v>
      </c>
      <c r="N2615" s="36">
        <v>237.75999999999999</v>
      </c>
    </row>
    <row r="2616" ht="25.5">
      <c r="A2616" s="19" t="s">
        <v>10460</v>
      </c>
      <c r="B2616" s="19">
        <v>42246</v>
      </c>
      <c r="C2616" s="20" t="s">
        <v>13082</v>
      </c>
      <c r="D2616" s="19" t="s">
        <v>31</v>
      </c>
      <c r="E2616" s="19" t="s">
        <v>10459</v>
      </c>
      <c r="F2616" s="21">
        <f t="shared" si="562"/>
        <v>263.19</v>
      </c>
      <c r="G2616" s="21">
        <f t="shared" si="562"/>
        <v>263.19</v>
      </c>
      <c r="H2616" s="21">
        <f t="shared" si="562"/>
        <v>263.19</v>
      </c>
      <c r="I2616" s="24" t="str">
        <f t="shared" si="563"/>
        <v xml:space="preserve">COM VALOR</v>
      </c>
      <c r="L2616" s="36">
        <v>263.19</v>
      </c>
      <c r="M2616" s="37">
        <v>263.19</v>
      </c>
      <c r="N2616" s="36">
        <v>263.19</v>
      </c>
    </row>
    <row r="2617" ht="25.5">
      <c r="A2617" s="19" t="s">
        <v>10460</v>
      </c>
      <c r="B2617" s="19">
        <v>42243</v>
      </c>
      <c r="C2617" s="20" t="s">
        <v>13083</v>
      </c>
      <c r="D2617" s="19" t="s">
        <v>31</v>
      </c>
      <c r="E2617" s="19" t="s">
        <v>10459</v>
      </c>
      <c r="F2617" s="21">
        <f t="shared" si="562"/>
        <v>317.36000000000001</v>
      </c>
      <c r="G2617" s="21">
        <f t="shared" si="562"/>
        <v>317.36000000000001</v>
      </c>
      <c r="H2617" s="21">
        <f t="shared" si="562"/>
        <v>317.36000000000001</v>
      </c>
      <c r="I2617" s="24" t="str">
        <f t="shared" si="563"/>
        <v xml:space="preserve">COM VALOR</v>
      </c>
      <c r="L2617" s="36">
        <v>317.36000000000001</v>
      </c>
      <c r="M2617" s="37">
        <v>317.36000000000001</v>
      </c>
      <c r="N2617" s="36">
        <v>317.36000000000001</v>
      </c>
    </row>
    <row r="2618" ht="38.25">
      <c r="A2618" s="19" t="s">
        <v>10460</v>
      </c>
      <c r="B2618" s="19">
        <v>38889</v>
      </c>
      <c r="C2618" s="20" t="s">
        <v>13084</v>
      </c>
      <c r="D2618" s="19" t="s">
        <v>31</v>
      </c>
      <c r="E2618" s="19" t="s">
        <v>10459</v>
      </c>
      <c r="F2618" s="21" t="str">
        <f t="shared" si="562"/>
        <v>VERIFICAR</v>
      </c>
      <c r="G2618" s="21" t="str">
        <f t="shared" si="562"/>
        <v>VERIFICAR</v>
      </c>
      <c r="H2618" s="21" t="str">
        <f t="shared" si="562"/>
        <v>VERIFICAR</v>
      </c>
      <c r="I2618" s="24" t="str">
        <f t="shared" si="563"/>
        <v xml:space="preserve">SEM VALOR</v>
      </c>
      <c r="L2618" s="36"/>
      <c r="M2618" s="37"/>
      <c r="N2618" s="36"/>
    </row>
    <row r="2619" ht="38.25">
      <c r="A2619" s="19" t="s">
        <v>10460</v>
      </c>
      <c r="B2619" s="19">
        <v>38784</v>
      </c>
      <c r="C2619" s="20" t="s">
        <v>13085</v>
      </c>
      <c r="D2619" s="19" t="s">
        <v>31</v>
      </c>
      <c r="E2619" s="19" t="s">
        <v>10459</v>
      </c>
      <c r="F2619" s="21" t="str">
        <f t="shared" si="562"/>
        <v>VERIFICAR</v>
      </c>
      <c r="G2619" s="21" t="str">
        <f t="shared" si="562"/>
        <v>VERIFICAR</v>
      </c>
      <c r="H2619" s="21" t="str">
        <f t="shared" si="562"/>
        <v>VERIFICAR</v>
      </c>
      <c r="I2619" s="24" t="str">
        <f t="shared" si="563"/>
        <v xml:space="preserve">SEM VALOR</v>
      </c>
      <c r="L2619" s="36"/>
      <c r="M2619" s="37"/>
      <c r="N2619" s="36"/>
    </row>
    <row r="2620" ht="38.25">
      <c r="A2620" s="19" t="s">
        <v>10460</v>
      </c>
      <c r="B2620" s="19">
        <v>3780</v>
      </c>
      <c r="C2620" s="20" t="s">
        <v>13086</v>
      </c>
      <c r="D2620" s="19" t="s">
        <v>31</v>
      </c>
      <c r="E2620" s="19" t="s">
        <v>10466</v>
      </c>
      <c r="F2620" s="21" t="str">
        <f t="shared" si="562"/>
        <v>VERIFICAR</v>
      </c>
      <c r="G2620" s="21" t="str">
        <f t="shared" si="562"/>
        <v>VERIFICAR</v>
      </c>
      <c r="H2620" s="21" t="str">
        <f t="shared" si="562"/>
        <v>VERIFICAR</v>
      </c>
      <c r="I2620" s="24" t="str">
        <f t="shared" si="563"/>
        <v xml:space="preserve">SEM VALOR</v>
      </c>
      <c r="L2620" s="36"/>
      <c r="M2620" s="37"/>
      <c r="N2620" s="36"/>
    </row>
    <row r="2621" ht="25.5">
      <c r="A2621" s="19" t="s">
        <v>10460</v>
      </c>
      <c r="B2621" s="19">
        <v>38773</v>
      </c>
      <c r="C2621" s="20" t="s">
        <v>13087</v>
      </c>
      <c r="D2621" s="19" t="s">
        <v>31</v>
      </c>
      <c r="E2621" s="19" t="s">
        <v>10459</v>
      </c>
      <c r="F2621" s="21" t="str">
        <f t="shared" si="562"/>
        <v>VERIFICAR</v>
      </c>
      <c r="G2621" s="21" t="str">
        <f t="shared" si="562"/>
        <v>VERIFICAR</v>
      </c>
      <c r="H2621" s="21" t="str">
        <f t="shared" si="562"/>
        <v>VERIFICAR</v>
      </c>
      <c r="I2621" s="24" t="str">
        <f t="shared" si="563"/>
        <v xml:space="preserve">SEM VALOR</v>
      </c>
      <c r="L2621" s="36"/>
      <c r="M2621" s="37"/>
      <c r="N2621" s="36"/>
    </row>
    <row r="2622" ht="25.5">
      <c r="A2622" s="19" t="s">
        <v>10460</v>
      </c>
      <c r="B2622" s="19">
        <v>12271</v>
      </c>
      <c r="C2622" s="20" t="s">
        <v>13088</v>
      </c>
      <c r="D2622" s="19" t="s">
        <v>31</v>
      </c>
      <c r="E2622" s="19" t="s">
        <v>10459</v>
      </c>
      <c r="F2622" s="21" t="str">
        <f t="shared" si="562"/>
        <v>VERIFICAR</v>
      </c>
      <c r="G2622" s="21" t="str">
        <f t="shared" si="562"/>
        <v>VERIFICAR</v>
      </c>
      <c r="H2622" s="21" t="str">
        <f t="shared" si="562"/>
        <v>VERIFICAR</v>
      </c>
      <c r="I2622" s="24" t="str">
        <f t="shared" si="563"/>
        <v xml:space="preserve">SEM VALOR</v>
      </c>
      <c r="L2622" s="36"/>
      <c r="M2622" s="37"/>
      <c r="N2622" s="36"/>
    </row>
    <row r="2623" ht="25.5">
      <c r="A2623" s="19" t="s">
        <v>10460</v>
      </c>
      <c r="B2623" s="19">
        <v>39385</v>
      </c>
      <c r="C2623" s="20" t="s">
        <v>13089</v>
      </c>
      <c r="D2623" s="19" t="s">
        <v>31</v>
      </c>
      <c r="E2623" s="19" t="s">
        <v>10459</v>
      </c>
      <c r="F2623" s="21">
        <f t="shared" si="562"/>
        <v>11.48</v>
      </c>
      <c r="G2623" s="21">
        <f t="shared" si="562"/>
        <v>11.48</v>
      </c>
      <c r="H2623" s="21">
        <f t="shared" si="562"/>
        <v>11.48</v>
      </c>
      <c r="I2623" s="24" t="str">
        <f t="shared" si="563"/>
        <v xml:space="preserve">COM VALOR</v>
      </c>
      <c r="L2623" s="36">
        <v>11.48</v>
      </c>
      <c r="M2623" s="37">
        <v>11.48</v>
      </c>
      <c r="N2623" s="36">
        <v>11.48</v>
      </c>
    </row>
    <row r="2624" ht="25.5">
      <c r="A2624" s="19" t="s">
        <v>10460</v>
      </c>
      <c r="B2624" s="19">
        <v>39389</v>
      </c>
      <c r="C2624" s="20" t="s">
        <v>13090</v>
      </c>
      <c r="D2624" s="19" t="s">
        <v>31</v>
      </c>
      <c r="E2624" s="19" t="s">
        <v>10459</v>
      </c>
      <c r="F2624" s="21">
        <f t="shared" si="562"/>
        <v>12.460000000000001</v>
      </c>
      <c r="G2624" s="21">
        <f t="shared" si="562"/>
        <v>12.460000000000001</v>
      </c>
      <c r="H2624" s="21">
        <f t="shared" si="562"/>
        <v>12.460000000000001</v>
      </c>
      <c r="I2624" s="24" t="str">
        <f t="shared" si="563"/>
        <v xml:space="preserve">COM VALOR</v>
      </c>
      <c r="L2624" s="36">
        <v>12.460000000000001</v>
      </c>
      <c r="M2624" s="37">
        <v>12.460000000000001</v>
      </c>
      <c r="N2624" s="36">
        <v>12.460000000000001</v>
      </c>
    </row>
    <row r="2625" ht="25.5">
      <c r="A2625" s="19" t="s">
        <v>10460</v>
      </c>
      <c r="B2625" s="19">
        <v>39390</v>
      </c>
      <c r="C2625" s="20" t="s">
        <v>13091</v>
      </c>
      <c r="D2625" s="19" t="s">
        <v>31</v>
      </c>
      <c r="E2625" s="19" t="s">
        <v>10459</v>
      </c>
      <c r="F2625" s="21">
        <f t="shared" si="562"/>
        <v>26.129999999999999</v>
      </c>
      <c r="G2625" s="21">
        <f t="shared" si="562"/>
        <v>26.129999999999999</v>
      </c>
      <c r="H2625" s="21">
        <f t="shared" si="562"/>
        <v>26.129999999999999</v>
      </c>
      <c r="I2625" s="24" t="str">
        <f t="shared" si="563"/>
        <v xml:space="preserve">COM VALOR</v>
      </c>
      <c r="L2625" s="36">
        <v>26.129999999999999</v>
      </c>
      <c r="M2625" s="37">
        <v>26.129999999999999</v>
      </c>
      <c r="N2625" s="36">
        <v>26.129999999999999</v>
      </c>
    </row>
    <row r="2626" ht="25.5">
      <c r="A2626" s="19" t="s">
        <v>10460</v>
      </c>
      <c r="B2626" s="19">
        <v>39391</v>
      </c>
      <c r="C2626" s="20" t="s">
        <v>13092</v>
      </c>
      <c r="D2626" s="19" t="s">
        <v>31</v>
      </c>
      <c r="E2626" s="19" t="s">
        <v>10459</v>
      </c>
      <c r="F2626" s="21">
        <f t="shared" si="562"/>
        <v>29.329999999999998</v>
      </c>
      <c r="G2626" s="21">
        <f t="shared" si="562"/>
        <v>29.329999999999998</v>
      </c>
      <c r="H2626" s="21">
        <f t="shared" si="562"/>
        <v>29.329999999999998</v>
      </c>
      <c r="I2626" s="24" t="str">
        <f t="shared" si="563"/>
        <v xml:space="preserve">COM VALOR</v>
      </c>
      <c r="L2626" s="36">
        <v>29.329999999999998</v>
      </c>
      <c r="M2626" s="37">
        <v>29.329999999999998</v>
      </c>
      <c r="N2626" s="36">
        <v>29.329999999999998</v>
      </c>
    </row>
    <row r="2627" ht="38.25">
      <c r="A2627" s="19" t="s">
        <v>10460</v>
      </c>
      <c r="B2627" s="19">
        <v>3803</v>
      </c>
      <c r="C2627" s="20" t="s">
        <v>13093</v>
      </c>
      <c r="D2627" s="19" t="s">
        <v>31</v>
      </c>
      <c r="E2627" s="19" t="s">
        <v>10459</v>
      </c>
      <c r="F2627" s="21" t="str">
        <f t="shared" si="562"/>
        <v>VERIFICAR</v>
      </c>
      <c r="G2627" s="21" t="str">
        <f t="shared" si="562"/>
        <v>VERIFICAR</v>
      </c>
      <c r="H2627" s="21" t="str">
        <f t="shared" si="562"/>
        <v>VERIFICAR</v>
      </c>
      <c r="I2627" s="24" t="str">
        <f t="shared" si="563"/>
        <v xml:space="preserve">SEM VALOR</v>
      </c>
      <c r="L2627" s="36"/>
      <c r="M2627" s="37"/>
      <c r="N2627" s="36"/>
    </row>
    <row r="2628" ht="38.25">
      <c r="A2628" s="19" t="s">
        <v>10460</v>
      </c>
      <c r="B2628" s="19">
        <v>38770</v>
      </c>
      <c r="C2628" s="20" t="s">
        <v>13094</v>
      </c>
      <c r="D2628" s="19" t="s">
        <v>31</v>
      </c>
      <c r="E2628" s="19" t="s">
        <v>10459</v>
      </c>
      <c r="F2628" s="21" t="str">
        <f t="shared" si="562"/>
        <v>VERIFICAR</v>
      </c>
      <c r="G2628" s="21" t="str">
        <f t="shared" si="562"/>
        <v>VERIFICAR</v>
      </c>
      <c r="H2628" s="21" t="str">
        <f t="shared" si="562"/>
        <v>VERIFICAR</v>
      </c>
      <c r="I2628" s="24" t="str">
        <f t="shared" si="563"/>
        <v xml:space="preserve">SEM VALOR</v>
      </c>
      <c r="L2628" s="36"/>
      <c r="M2628" s="37"/>
      <c r="N2628" s="36"/>
    </row>
    <row r="2629" ht="12.75">
      <c r="A2629" s="19" t="s">
        <v>10460</v>
      </c>
      <c r="B2629" s="19">
        <v>12267</v>
      </c>
      <c r="C2629" s="20" t="s">
        <v>13095</v>
      </c>
      <c r="D2629" s="19" t="s">
        <v>31</v>
      </c>
      <c r="E2629" s="19" t="s">
        <v>10459</v>
      </c>
      <c r="F2629" s="21" t="str">
        <f t="shared" si="562"/>
        <v>VERIFICAR</v>
      </c>
      <c r="G2629" s="21" t="str">
        <f t="shared" si="562"/>
        <v>VERIFICAR</v>
      </c>
      <c r="H2629" s="21" t="str">
        <f t="shared" si="562"/>
        <v>VERIFICAR</v>
      </c>
      <c r="I2629" s="24" t="str">
        <f t="shared" si="563"/>
        <v xml:space="preserve">SEM VALOR</v>
      </c>
      <c r="L2629" s="36"/>
      <c r="M2629" s="37"/>
      <c r="N2629" s="36"/>
    </row>
    <row r="2630" ht="76.5">
      <c r="A2630" s="19" t="s">
        <v>10460</v>
      </c>
      <c r="B2630" s="19">
        <v>43265</v>
      </c>
      <c r="C2630" s="20" t="s">
        <v>13096</v>
      </c>
      <c r="D2630" s="19" t="s">
        <v>31</v>
      </c>
      <c r="E2630" s="19" t="s">
        <v>10459</v>
      </c>
      <c r="F2630" s="21">
        <f t="shared" si="562"/>
        <v>35.920000000000002</v>
      </c>
      <c r="G2630" s="21">
        <f t="shared" si="562"/>
        <v>35.920000000000002</v>
      </c>
      <c r="H2630" s="21">
        <f t="shared" si="562"/>
        <v>35.920000000000002</v>
      </c>
      <c r="I2630" s="24" t="str">
        <f t="shared" si="563"/>
        <v xml:space="preserve">COM VALOR</v>
      </c>
      <c r="L2630" s="36">
        <v>35.920000000000002</v>
      </c>
      <c r="M2630" s="37">
        <v>35.920000000000002</v>
      </c>
      <c r="N2630" s="36">
        <v>35.920000000000002</v>
      </c>
    </row>
    <row r="2631" ht="38.25">
      <c r="A2631" s="19" t="s">
        <v>10460</v>
      </c>
      <c r="B2631" s="19">
        <v>12266</v>
      </c>
      <c r="C2631" s="20" t="s">
        <v>13097</v>
      </c>
      <c r="D2631" s="19" t="s">
        <v>31</v>
      </c>
      <c r="E2631" s="19" t="s">
        <v>10459</v>
      </c>
      <c r="F2631" s="21" t="str">
        <f t="shared" si="562"/>
        <v>VERIFICAR</v>
      </c>
      <c r="G2631" s="21" t="str">
        <f t="shared" si="562"/>
        <v>VERIFICAR</v>
      </c>
      <c r="H2631" s="21" t="str">
        <f t="shared" si="562"/>
        <v>VERIFICAR</v>
      </c>
      <c r="I2631" s="24" t="str">
        <f t="shared" si="563"/>
        <v xml:space="preserve">SEM VALOR</v>
      </c>
      <c r="L2631" s="36"/>
      <c r="M2631" s="37"/>
      <c r="N2631" s="36"/>
    </row>
    <row r="2632" ht="38.25">
      <c r="A2632" s="19" t="s">
        <v>10460</v>
      </c>
      <c r="B2632" s="19">
        <v>39378</v>
      </c>
      <c r="C2632" s="20" t="s">
        <v>13098</v>
      </c>
      <c r="D2632" s="19" t="s">
        <v>31</v>
      </c>
      <c r="E2632" s="19" t="s">
        <v>10459</v>
      </c>
      <c r="F2632" s="21" t="str">
        <f t="shared" si="562"/>
        <v>VERIFICAR</v>
      </c>
      <c r="G2632" s="21" t="str">
        <f t="shared" si="562"/>
        <v>VERIFICAR</v>
      </c>
      <c r="H2632" s="21" t="str">
        <f t="shared" si="562"/>
        <v>VERIFICAR</v>
      </c>
      <c r="I2632" s="24" t="str">
        <f t="shared" si="563"/>
        <v xml:space="preserve">SEM VALOR</v>
      </c>
      <c r="L2632" s="36"/>
      <c r="M2632" s="37"/>
      <c r="N2632" s="36"/>
    </row>
    <row r="2633" ht="38.25">
      <c r="A2633" s="19" t="s">
        <v>10460</v>
      </c>
      <c r="B2633" s="19">
        <v>43543</v>
      </c>
      <c r="C2633" s="20" t="s">
        <v>13099</v>
      </c>
      <c r="D2633" s="19" t="s">
        <v>31</v>
      </c>
      <c r="E2633" s="19" t="s">
        <v>10459</v>
      </c>
      <c r="F2633" s="21" t="str">
        <f t="shared" si="562"/>
        <v>VERIFICAR</v>
      </c>
      <c r="G2633" s="21" t="str">
        <f t="shared" si="562"/>
        <v>VERIFICAR</v>
      </c>
      <c r="H2633" s="21" t="str">
        <f t="shared" si="562"/>
        <v>VERIFICAR</v>
      </c>
      <c r="I2633" s="24" t="str">
        <f t="shared" si="563"/>
        <v xml:space="preserve">SEM VALOR</v>
      </c>
      <c r="L2633" s="36"/>
      <c r="M2633" s="37"/>
      <c r="N2633" s="36"/>
    </row>
    <row r="2634" ht="38.25">
      <c r="A2634" s="19" t="s">
        <v>10460</v>
      </c>
      <c r="B2634" s="19">
        <v>38775</v>
      </c>
      <c r="C2634" s="20" t="s">
        <v>13100</v>
      </c>
      <c r="D2634" s="19" t="s">
        <v>31</v>
      </c>
      <c r="E2634" s="19" t="s">
        <v>10459</v>
      </c>
      <c r="F2634" s="21" t="str">
        <f t="shared" si="562"/>
        <v>VERIFICAR</v>
      </c>
      <c r="G2634" s="21" t="str">
        <f t="shared" si="562"/>
        <v>VERIFICAR</v>
      </c>
      <c r="H2634" s="21" t="str">
        <f t="shared" si="562"/>
        <v>VERIFICAR</v>
      </c>
      <c r="I2634" s="24" t="str">
        <f t="shared" si="563"/>
        <v xml:space="preserve">SEM VALOR</v>
      </c>
      <c r="L2634" s="36"/>
      <c r="M2634" s="37"/>
      <c r="N2634" s="36"/>
    </row>
    <row r="2635" ht="25.5">
      <c r="A2635" s="19" t="s">
        <v>10460</v>
      </c>
      <c r="B2635" s="19">
        <v>44252</v>
      </c>
      <c r="C2635" s="20" t="s">
        <v>13101</v>
      </c>
      <c r="D2635" s="19" t="s">
        <v>31</v>
      </c>
      <c r="E2635" s="19" t="s">
        <v>10459</v>
      </c>
      <c r="F2635" s="21">
        <f t="shared" ref="F2635:H2698" si="564">IF(L2635=0,"VERIFICAR",L2635)</f>
        <v>210.47999999999999</v>
      </c>
      <c r="G2635" s="21">
        <f t="shared" si="564"/>
        <v>210.47999999999999</v>
      </c>
      <c r="H2635" s="21">
        <f t="shared" si="564"/>
        <v>210.47999999999999</v>
      </c>
      <c r="I2635" s="24" t="str">
        <f t="shared" ref="I2635:I2698" si="565">IF(OR(L2635=0,M2635=0,N2635=0),"SEM VALOR","COM VALOR")</f>
        <v xml:space="preserve">COM VALOR</v>
      </c>
      <c r="L2635" s="36">
        <v>210.47999999999999</v>
      </c>
      <c r="M2635" s="37">
        <v>210.47999999999999</v>
      </c>
      <c r="N2635" s="36">
        <v>210.47999999999999</v>
      </c>
    </row>
    <row r="2636" ht="12.75">
      <c r="A2636" s="19" t="s">
        <v>10460</v>
      </c>
      <c r="B2636" s="19">
        <v>21119</v>
      </c>
      <c r="C2636" s="20" t="s">
        <v>13102</v>
      </c>
      <c r="D2636" s="19" t="s">
        <v>31</v>
      </c>
      <c r="E2636" s="19" t="s">
        <v>10459</v>
      </c>
      <c r="F2636" s="21">
        <f t="shared" si="564"/>
        <v>2.1099999999999999</v>
      </c>
      <c r="G2636" s="21">
        <f t="shared" si="564"/>
        <v>2.1099999999999999</v>
      </c>
      <c r="H2636" s="21">
        <f t="shared" si="564"/>
        <v>2.1099999999999999</v>
      </c>
      <c r="I2636" s="24" t="str">
        <f t="shared" si="565"/>
        <v xml:space="preserve">COM VALOR</v>
      </c>
      <c r="L2636" s="36">
        <v>2.1099999999999999</v>
      </c>
      <c r="M2636" s="37">
        <v>2.1099999999999999</v>
      </c>
      <c r="N2636" s="36">
        <v>2.1099999999999999</v>
      </c>
    </row>
    <row r="2637" ht="12.75">
      <c r="A2637" s="19" t="s">
        <v>10460</v>
      </c>
      <c r="B2637" s="19">
        <v>37974</v>
      </c>
      <c r="C2637" s="20" t="s">
        <v>13103</v>
      </c>
      <c r="D2637" s="19" t="s">
        <v>31</v>
      </c>
      <c r="E2637" s="19" t="s">
        <v>10459</v>
      </c>
      <c r="F2637" s="21">
        <f t="shared" si="564"/>
        <v>2.73</v>
      </c>
      <c r="G2637" s="21">
        <f t="shared" si="564"/>
        <v>2.73</v>
      </c>
      <c r="H2637" s="21">
        <f t="shared" si="564"/>
        <v>2.73</v>
      </c>
      <c r="I2637" s="24" t="str">
        <f t="shared" si="565"/>
        <v xml:space="preserve">COM VALOR</v>
      </c>
      <c r="L2637" s="36">
        <v>2.73</v>
      </c>
      <c r="M2637" s="37">
        <v>2.73</v>
      </c>
      <c r="N2637" s="36">
        <v>2.73</v>
      </c>
    </row>
    <row r="2638" ht="12.75">
      <c r="A2638" s="19" t="s">
        <v>10460</v>
      </c>
      <c r="B2638" s="19">
        <v>37975</v>
      </c>
      <c r="C2638" s="20" t="s">
        <v>13104</v>
      </c>
      <c r="D2638" s="19" t="s">
        <v>31</v>
      </c>
      <c r="E2638" s="19" t="s">
        <v>10459</v>
      </c>
      <c r="F2638" s="21">
        <f t="shared" si="564"/>
        <v>6.0800000000000001</v>
      </c>
      <c r="G2638" s="21">
        <f t="shared" si="564"/>
        <v>6.0800000000000001</v>
      </c>
      <c r="H2638" s="21">
        <f t="shared" si="564"/>
        <v>6.0800000000000001</v>
      </c>
      <c r="I2638" s="24" t="str">
        <f t="shared" si="565"/>
        <v xml:space="preserve">COM VALOR</v>
      </c>
      <c r="L2638" s="36">
        <v>6.0800000000000001</v>
      </c>
      <c r="M2638" s="37">
        <v>6.0800000000000001</v>
      </c>
      <c r="N2638" s="36">
        <v>6.0800000000000001</v>
      </c>
    </row>
    <row r="2639" ht="12.75">
      <c r="A2639" s="19" t="s">
        <v>10460</v>
      </c>
      <c r="B2639" s="19">
        <v>37976</v>
      </c>
      <c r="C2639" s="20" t="s">
        <v>13105</v>
      </c>
      <c r="D2639" s="19" t="s">
        <v>31</v>
      </c>
      <c r="E2639" s="19" t="s">
        <v>10459</v>
      </c>
      <c r="F2639" s="21">
        <f t="shared" si="564"/>
        <v>13.529999999999999</v>
      </c>
      <c r="G2639" s="21">
        <f t="shared" si="564"/>
        <v>13.529999999999999</v>
      </c>
      <c r="H2639" s="21">
        <f t="shared" si="564"/>
        <v>13.529999999999999</v>
      </c>
      <c r="I2639" s="24" t="str">
        <f t="shared" si="565"/>
        <v xml:space="preserve">COM VALOR</v>
      </c>
      <c r="L2639" s="36">
        <v>13.529999999999999</v>
      </c>
      <c r="M2639" s="37">
        <v>13.529999999999999</v>
      </c>
      <c r="N2639" s="36">
        <v>13.529999999999999</v>
      </c>
    </row>
    <row r="2640" ht="12.75">
      <c r="A2640" s="19" t="s">
        <v>10460</v>
      </c>
      <c r="B2640" s="19">
        <v>37977</v>
      </c>
      <c r="C2640" s="20" t="s">
        <v>13106</v>
      </c>
      <c r="D2640" s="19" t="s">
        <v>31</v>
      </c>
      <c r="E2640" s="19" t="s">
        <v>10459</v>
      </c>
      <c r="F2640" s="21">
        <f t="shared" si="564"/>
        <v>18.719999999999999</v>
      </c>
      <c r="G2640" s="21">
        <f t="shared" si="564"/>
        <v>18.719999999999999</v>
      </c>
      <c r="H2640" s="21">
        <f t="shared" si="564"/>
        <v>18.719999999999999</v>
      </c>
      <c r="I2640" s="24" t="str">
        <f t="shared" si="565"/>
        <v xml:space="preserve">COM VALOR</v>
      </c>
      <c r="L2640" s="36">
        <v>18.719999999999999</v>
      </c>
      <c r="M2640" s="37">
        <v>18.719999999999999</v>
      </c>
      <c r="N2640" s="36">
        <v>18.719999999999999</v>
      </c>
    </row>
    <row r="2641" ht="12.75">
      <c r="A2641" s="19" t="s">
        <v>10460</v>
      </c>
      <c r="B2641" s="19">
        <v>37978</v>
      </c>
      <c r="C2641" s="20" t="s">
        <v>13107</v>
      </c>
      <c r="D2641" s="19" t="s">
        <v>31</v>
      </c>
      <c r="E2641" s="19" t="s">
        <v>10459</v>
      </c>
      <c r="F2641" s="21">
        <f t="shared" si="564"/>
        <v>37.130000000000003</v>
      </c>
      <c r="G2641" s="21">
        <f t="shared" si="564"/>
        <v>37.130000000000003</v>
      </c>
      <c r="H2641" s="21">
        <f t="shared" si="564"/>
        <v>37.130000000000003</v>
      </c>
      <c r="I2641" s="24" t="str">
        <f t="shared" si="565"/>
        <v xml:space="preserve">COM VALOR</v>
      </c>
      <c r="L2641" s="36">
        <v>37.130000000000003</v>
      </c>
      <c r="M2641" s="37">
        <v>37.130000000000003</v>
      </c>
      <c r="N2641" s="36">
        <v>37.130000000000003</v>
      </c>
    </row>
    <row r="2642" ht="12.75">
      <c r="A2642" s="19" t="s">
        <v>10460</v>
      </c>
      <c r="B2642" s="19">
        <v>37979</v>
      </c>
      <c r="C2642" s="20" t="s">
        <v>13108</v>
      </c>
      <c r="D2642" s="19" t="s">
        <v>31</v>
      </c>
      <c r="E2642" s="19" t="s">
        <v>10459</v>
      </c>
      <c r="F2642" s="21">
        <f t="shared" si="564"/>
        <v>157.56999999999999</v>
      </c>
      <c r="G2642" s="21">
        <f t="shared" si="564"/>
        <v>157.56999999999999</v>
      </c>
      <c r="H2642" s="21">
        <f t="shared" si="564"/>
        <v>157.56999999999999</v>
      </c>
      <c r="I2642" s="24" t="str">
        <f t="shared" si="565"/>
        <v xml:space="preserve">COM VALOR</v>
      </c>
      <c r="L2642" s="36">
        <v>157.56999999999999</v>
      </c>
      <c r="M2642" s="37">
        <v>157.56999999999999</v>
      </c>
      <c r="N2642" s="36">
        <v>157.56999999999999</v>
      </c>
    </row>
    <row r="2643" ht="12.75">
      <c r="A2643" s="19" t="s">
        <v>10460</v>
      </c>
      <c r="B2643" s="19">
        <v>37980</v>
      </c>
      <c r="C2643" s="20" t="s">
        <v>13109</v>
      </c>
      <c r="D2643" s="19" t="s">
        <v>31</v>
      </c>
      <c r="E2643" s="19" t="s">
        <v>10459</v>
      </c>
      <c r="F2643" s="21">
        <f t="shared" si="564"/>
        <v>181</v>
      </c>
      <c r="G2643" s="21">
        <f t="shared" si="564"/>
        <v>181</v>
      </c>
      <c r="H2643" s="21">
        <f t="shared" si="564"/>
        <v>181</v>
      </c>
      <c r="I2643" s="24" t="str">
        <f t="shared" si="565"/>
        <v xml:space="preserve">COM VALOR</v>
      </c>
      <c r="L2643" s="36">
        <v>181</v>
      </c>
      <c r="M2643" s="37">
        <v>181</v>
      </c>
      <c r="N2643" s="36">
        <v>181</v>
      </c>
    </row>
    <row r="2644" ht="25.5">
      <c r="A2644" s="19" t="s">
        <v>10460</v>
      </c>
      <c r="B2644" s="19">
        <v>36147</v>
      </c>
      <c r="C2644" s="20" t="s">
        <v>13110</v>
      </c>
      <c r="D2644" s="19" t="s">
        <v>10874</v>
      </c>
      <c r="E2644" s="19" t="s">
        <v>10459</v>
      </c>
      <c r="F2644" s="21">
        <f t="shared" si="564"/>
        <v>280.13999999999999</v>
      </c>
      <c r="G2644" s="21">
        <f t="shared" si="564"/>
        <v>280.13999999999999</v>
      </c>
      <c r="H2644" s="21">
        <f t="shared" si="564"/>
        <v>280.13999999999999</v>
      </c>
      <c r="I2644" s="24" t="str">
        <f t="shared" si="565"/>
        <v xml:space="preserve">COM VALOR</v>
      </c>
      <c r="L2644" s="36">
        <v>280.13999999999999</v>
      </c>
      <c r="M2644" s="37">
        <v>280.13999999999999</v>
      </c>
      <c r="N2644" s="36">
        <v>280.13999999999999</v>
      </c>
    </row>
    <row r="2645" ht="25.5">
      <c r="A2645" s="19" t="s">
        <v>10460</v>
      </c>
      <c r="B2645" s="19">
        <v>12731</v>
      </c>
      <c r="C2645" s="20" t="s">
        <v>13111</v>
      </c>
      <c r="D2645" s="19" t="s">
        <v>31</v>
      </c>
      <c r="E2645" s="19" t="s">
        <v>10459</v>
      </c>
      <c r="F2645" s="21" t="str">
        <f t="shared" si="564"/>
        <v>VERIFICAR</v>
      </c>
      <c r="G2645" s="21" t="str">
        <f t="shared" si="564"/>
        <v>VERIFICAR</v>
      </c>
      <c r="H2645" s="21" t="str">
        <f t="shared" si="564"/>
        <v>VERIFICAR</v>
      </c>
      <c r="I2645" s="24" t="str">
        <f t="shared" si="565"/>
        <v xml:space="preserve">SEM VALOR</v>
      </c>
      <c r="L2645" s="36"/>
      <c r="M2645" s="37"/>
      <c r="N2645" s="36"/>
    </row>
    <row r="2646" ht="12.75">
      <c r="A2646" s="19" t="s">
        <v>10460</v>
      </c>
      <c r="B2646" s="19">
        <v>12723</v>
      </c>
      <c r="C2646" s="20" t="s">
        <v>13112</v>
      </c>
      <c r="D2646" s="19" t="s">
        <v>31</v>
      </c>
      <c r="E2646" s="19" t="s">
        <v>10459</v>
      </c>
      <c r="F2646" s="21" t="str">
        <f t="shared" si="564"/>
        <v>VERIFICAR</v>
      </c>
      <c r="G2646" s="21" t="str">
        <f t="shared" si="564"/>
        <v>VERIFICAR</v>
      </c>
      <c r="H2646" s="21" t="str">
        <f t="shared" si="564"/>
        <v>VERIFICAR</v>
      </c>
      <c r="I2646" s="24" t="str">
        <f t="shared" si="565"/>
        <v xml:space="preserve">SEM VALOR</v>
      </c>
      <c r="L2646" s="36"/>
      <c r="M2646" s="37"/>
      <c r="N2646" s="36"/>
    </row>
    <row r="2647" ht="12.75">
      <c r="A2647" s="19" t="s">
        <v>10460</v>
      </c>
      <c r="B2647" s="19">
        <v>12724</v>
      </c>
      <c r="C2647" s="20" t="s">
        <v>13113</v>
      </c>
      <c r="D2647" s="19" t="s">
        <v>31</v>
      </c>
      <c r="E2647" s="19" t="s">
        <v>10459</v>
      </c>
      <c r="F2647" s="21" t="str">
        <f t="shared" si="564"/>
        <v>VERIFICAR</v>
      </c>
      <c r="G2647" s="21" t="str">
        <f t="shared" si="564"/>
        <v>VERIFICAR</v>
      </c>
      <c r="H2647" s="21" t="str">
        <f t="shared" si="564"/>
        <v>VERIFICAR</v>
      </c>
      <c r="I2647" s="24" t="str">
        <f t="shared" si="565"/>
        <v xml:space="preserve">SEM VALOR</v>
      </c>
      <c r="L2647" s="36"/>
      <c r="M2647" s="37"/>
      <c r="N2647" s="36"/>
    </row>
    <row r="2648" ht="12.75">
      <c r="A2648" s="19" t="s">
        <v>10460</v>
      </c>
      <c r="B2648" s="19">
        <v>12725</v>
      </c>
      <c r="C2648" s="20" t="s">
        <v>13114</v>
      </c>
      <c r="D2648" s="19" t="s">
        <v>31</v>
      </c>
      <c r="E2648" s="19" t="s">
        <v>10459</v>
      </c>
      <c r="F2648" s="21" t="str">
        <f t="shared" si="564"/>
        <v>VERIFICAR</v>
      </c>
      <c r="G2648" s="21" t="str">
        <f t="shared" si="564"/>
        <v>VERIFICAR</v>
      </c>
      <c r="H2648" s="21" t="str">
        <f t="shared" si="564"/>
        <v>VERIFICAR</v>
      </c>
      <c r="I2648" s="24" t="str">
        <f t="shared" si="565"/>
        <v xml:space="preserve">SEM VALOR</v>
      </c>
      <c r="L2648" s="36"/>
      <c r="M2648" s="37"/>
      <c r="N2648" s="36"/>
    </row>
    <row r="2649" ht="12.75">
      <c r="A2649" s="19" t="s">
        <v>10460</v>
      </c>
      <c r="B2649" s="19">
        <v>12726</v>
      </c>
      <c r="C2649" s="20" t="s">
        <v>13115</v>
      </c>
      <c r="D2649" s="19" t="s">
        <v>31</v>
      </c>
      <c r="E2649" s="19" t="s">
        <v>10459</v>
      </c>
      <c r="F2649" s="21" t="str">
        <f t="shared" si="564"/>
        <v>VERIFICAR</v>
      </c>
      <c r="G2649" s="21" t="str">
        <f t="shared" si="564"/>
        <v>VERIFICAR</v>
      </c>
      <c r="H2649" s="21" t="str">
        <f t="shared" si="564"/>
        <v>VERIFICAR</v>
      </c>
      <c r="I2649" s="24" t="str">
        <f t="shared" si="565"/>
        <v xml:space="preserve">SEM VALOR</v>
      </c>
      <c r="L2649" s="36"/>
      <c r="M2649" s="37"/>
      <c r="N2649" s="36"/>
    </row>
    <row r="2650" ht="12.75">
      <c r="A2650" s="19" t="s">
        <v>10460</v>
      </c>
      <c r="B2650" s="19">
        <v>12727</v>
      </c>
      <c r="C2650" s="20" t="s">
        <v>13116</v>
      </c>
      <c r="D2650" s="19" t="s">
        <v>31</v>
      </c>
      <c r="E2650" s="19" t="s">
        <v>10459</v>
      </c>
      <c r="F2650" s="21" t="str">
        <f t="shared" si="564"/>
        <v>VERIFICAR</v>
      </c>
      <c r="G2650" s="21" t="str">
        <f t="shared" si="564"/>
        <v>VERIFICAR</v>
      </c>
      <c r="H2650" s="21" t="str">
        <f t="shared" si="564"/>
        <v>VERIFICAR</v>
      </c>
      <c r="I2650" s="24" t="str">
        <f t="shared" si="565"/>
        <v xml:space="preserve">SEM VALOR</v>
      </c>
      <c r="L2650" s="36"/>
      <c r="M2650" s="37"/>
      <c r="N2650" s="36"/>
    </row>
    <row r="2651" ht="12.75">
      <c r="A2651" s="19" t="s">
        <v>10460</v>
      </c>
      <c r="B2651" s="19">
        <v>12728</v>
      </c>
      <c r="C2651" s="20" t="s">
        <v>13117</v>
      </c>
      <c r="D2651" s="19" t="s">
        <v>31</v>
      </c>
      <c r="E2651" s="19" t="s">
        <v>10459</v>
      </c>
      <c r="F2651" s="21" t="str">
        <f t="shared" si="564"/>
        <v>VERIFICAR</v>
      </c>
      <c r="G2651" s="21" t="str">
        <f t="shared" si="564"/>
        <v>VERIFICAR</v>
      </c>
      <c r="H2651" s="21" t="str">
        <f t="shared" si="564"/>
        <v>VERIFICAR</v>
      </c>
      <c r="I2651" s="24" t="str">
        <f t="shared" si="565"/>
        <v xml:space="preserve">SEM VALOR</v>
      </c>
      <c r="L2651" s="36"/>
      <c r="M2651" s="37"/>
      <c r="N2651" s="36"/>
    </row>
    <row r="2652" ht="12.75">
      <c r="A2652" s="19" t="s">
        <v>10460</v>
      </c>
      <c r="B2652" s="19">
        <v>12729</v>
      </c>
      <c r="C2652" s="20" t="s">
        <v>13118</v>
      </c>
      <c r="D2652" s="19" t="s">
        <v>31</v>
      </c>
      <c r="E2652" s="19" t="s">
        <v>10459</v>
      </c>
      <c r="F2652" s="21" t="str">
        <f t="shared" si="564"/>
        <v>VERIFICAR</v>
      </c>
      <c r="G2652" s="21" t="str">
        <f t="shared" si="564"/>
        <v>VERIFICAR</v>
      </c>
      <c r="H2652" s="21" t="str">
        <f t="shared" si="564"/>
        <v>VERIFICAR</v>
      </c>
      <c r="I2652" s="24" t="str">
        <f t="shared" si="565"/>
        <v xml:space="preserve">SEM VALOR</v>
      </c>
      <c r="L2652" s="36"/>
      <c r="M2652" s="37"/>
      <c r="N2652" s="36"/>
    </row>
    <row r="2653" ht="12.75">
      <c r="A2653" s="19" t="s">
        <v>10460</v>
      </c>
      <c r="B2653" s="19">
        <v>12730</v>
      </c>
      <c r="C2653" s="20" t="s">
        <v>13119</v>
      </c>
      <c r="D2653" s="19" t="s">
        <v>31</v>
      </c>
      <c r="E2653" s="19" t="s">
        <v>10459</v>
      </c>
      <c r="F2653" s="21" t="str">
        <f t="shared" si="564"/>
        <v>VERIFICAR</v>
      </c>
      <c r="G2653" s="21" t="str">
        <f t="shared" si="564"/>
        <v>VERIFICAR</v>
      </c>
      <c r="H2653" s="21" t="str">
        <f t="shared" si="564"/>
        <v>VERIFICAR</v>
      </c>
      <c r="I2653" s="24" t="str">
        <f t="shared" si="565"/>
        <v xml:space="preserve">SEM VALOR</v>
      </c>
      <c r="L2653" s="36"/>
      <c r="M2653" s="37"/>
      <c r="N2653" s="36"/>
    </row>
    <row r="2654" ht="12.75">
      <c r="A2654" s="19" t="s">
        <v>10460</v>
      </c>
      <c r="B2654" s="19">
        <v>3840</v>
      </c>
      <c r="C2654" s="20" t="s">
        <v>13120</v>
      </c>
      <c r="D2654" s="19" t="s">
        <v>31</v>
      </c>
      <c r="E2654" s="19" t="s">
        <v>10459</v>
      </c>
      <c r="F2654" s="21">
        <f t="shared" si="564"/>
        <v>43.329999999999998</v>
      </c>
      <c r="G2654" s="21">
        <f t="shared" si="564"/>
        <v>43.329999999999998</v>
      </c>
      <c r="H2654" s="21">
        <f t="shared" si="564"/>
        <v>43.329999999999998</v>
      </c>
      <c r="I2654" s="24" t="str">
        <f t="shared" si="565"/>
        <v xml:space="preserve">COM VALOR</v>
      </c>
      <c r="L2654" s="36">
        <v>43.329999999999998</v>
      </c>
      <c r="M2654" s="37">
        <v>43.329999999999998</v>
      </c>
      <c r="N2654" s="36">
        <v>43.329999999999998</v>
      </c>
    </row>
    <row r="2655" ht="12.75">
      <c r="A2655" s="19" t="s">
        <v>10460</v>
      </c>
      <c r="B2655" s="19">
        <v>3838</v>
      </c>
      <c r="C2655" s="20" t="s">
        <v>13121</v>
      </c>
      <c r="D2655" s="19" t="s">
        <v>31</v>
      </c>
      <c r="E2655" s="19" t="s">
        <v>10459</v>
      </c>
      <c r="F2655" s="21">
        <f t="shared" si="564"/>
        <v>95.629999999999995</v>
      </c>
      <c r="G2655" s="21">
        <f t="shared" si="564"/>
        <v>95.629999999999995</v>
      </c>
      <c r="H2655" s="21">
        <f t="shared" si="564"/>
        <v>95.629999999999995</v>
      </c>
      <c r="I2655" s="24" t="str">
        <f t="shared" si="565"/>
        <v xml:space="preserve">COM VALOR</v>
      </c>
      <c r="L2655" s="36">
        <v>95.629999999999995</v>
      </c>
      <c r="M2655" s="37">
        <v>95.629999999999995</v>
      </c>
      <c r="N2655" s="36">
        <v>95.629999999999995</v>
      </c>
    </row>
    <row r="2656" ht="12.75">
      <c r="A2656" s="19" t="s">
        <v>10460</v>
      </c>
      <c r="B2656" s="19">
        <v>3844</v>
      </c>
      <c r="C2656" s="20" t="s">
        <v>13122</v>
      </c>
      <c r="D2656" s="19" t="s">
        <v>31</v>
      </c>
      <c r="E2656" s="19" t="s">
        <v>10459</v>
      </c>
      <c r="F2656" s="21">
        <f t="shared" si="564"/>
        <v>170.58000000000001</v>
      </c>
      <c r="G2656" s="21">
        <f t="shared" si="564"/>
        <v>170.58000000000001</v>
      </c>
      <c r="H2656" s="21">
        <f t="shared" si="564"/>
        <v>170.58000000000001</v>
      </c>
      <c r="I2656" s="24" t="str">
        <f t="shared" si="565"/>
        <v xml:space="preserve">COM VALOR</v>
      </c>
      <c r="L2656" s="36">
        <v>170.58000000000001</v>
      </c>
      <c r="M2656" s="37">
        <v>170.58000000000001</v>
      </c>
      <c r="N2656" s="36">
        <v>170.58000000000001</v>
      </c>
    </row>
    <row r="2657" ht="12.75">
      <c r="A2657" s="19" t="s">
        <v>10460</v>
      </c>
      <c r="B2657" s="19">
        <v>3839</v>
      </c>
      <c r="C2657" s="20" t="s">
        <v>13123</v>
      </c>
      <c r="D2657" s="19" t="s">
        <v>31</v>
      </c>
      <c r="E2657" s="19" t="s">
        <v>10459</v>
      </c>
      <c r="F2657" s="21">
        <f t="shared" si="564"/>
        <v>310.69999999999999</v>
      </c>
      <c r="G2657" s="21">
        <f t="shared" si="564"/>
        <v>310.69999999999999</v>
      </c>
      <c r="H2657" s="21">
        <f t="shared" si="564"/>
        <v>310.69999999999999</v>
      </c>
      <c r="I2657" s="24" t="str">
        <f t="shared" si="565"/>
        <v xml:space="preserve">COM VALOR</v>
      </c>
      <c r="L2657" s="36">
        <v>310.69999999999999</v>
      </c>
      <c r="M2657" s="37">
        <v>310.69999999999999</v>
      </c>
      <c r="N2657" s="36">
        <v>310.69999999999999</v>
      </c>
    </row>
    <row r="2658" ht="12.75">
      <c r="A2658" s="19" t="s">
        <v>10460</v>
      </c>
      <c r="B2658" s="19">
        <v>3843</v>
      </c>
      <c r="C2658" s="20" t="s">
        <v>13124</v>
      </c>
      <c r="D2658" s="19" t="s">
        <v>31</v>
      </c>
      <c r="E2658" s="19" t="s">
        <v>10459</v>
      </c>
      <c r="F2658" s="21">
        <f t="shared" si="564"/>
        <v>426.44999999999999</v>
      </c>
      <c r="G2658" s="21">
        <f t="shared" si="564"/>
        <v>426.44999999999999</v>
      </c>
      <c r="H2658" s="21">
        <f t="shared" si="564"/>
        <v>426.44999999999999</v>
      </c>
      <c r="I2658" s="24" t="str">
        <f t="shared" si="565"/>
        <v xml:space="preserve">COM VALOR</v>
      </c>
      <c r="L2658" s="36">
        <v>426.44999999999999</v>
      </c>
      <c r="M2658" s="37">
        <v>426.44999999999999</v>
      </c>
      <c r="N2658" s="36">
        <v>426.44999999999999</v>
      </c>
    </row>
    <row r="2659" ht="25.5">
      <c r="A2659" s="19" t="s">
        <v>10460</v>
      </c>
      <c r="B2659" s="19">
        <v>3900</v>
      </c>
      <c r="C2659" s="20" t="s">
        <v>13125</v>
      </c>
      <c r="D2659" s="19" t="s">
        <v>31</v>
      </c>
      <c r="E2659" s="19" t="s">
        <v>10459</v>
      </c>
      <c r="F2659" s="21">
        <f t="shared" si="564"/>
        <v>48.609999999999999</v>
      </c>
      <c r="G2659" s="21">
        <f t="shared" si="564"/>
        <v>48.609999999999999</v>
      </c>
      <c r="H2659" s="21">
        <f t="shared" si="564"/>
        <v>48.609999999999999</v>
      </c>
      <c r="I2659" s="24" t="str">
        <f t="shared" si="565"/>
        <v xml:space="preserve">COM VALOR</v>
      </c>
      <c r="L2659" s="36">
        <v>48.609999999999999</v>
      </c>
      <c r="M2659" s="37">
        <v>48.609999999999999</v>
      </c>
      <c r="N2659" s="36">
        <v>48.609999999999999</v>
      </c>
    </row>
    <row r="2660" ht="25.5">
      <c r="A2660" s="19" t="s">
        <v>10460</v>
      </c>
      <c r="B2660" s="19">
        <v>3846</v>
      </c>
      <c r="C2660" s="20" t="s">
        <v>13126</v>
      </c>
      <c r="D2660" s="19" t="s">
        <v>31</v>
      </c>
      <c r="E2660" s="19" t="s">
        <v>10459</v>
      </c>
      <c r="F2660" s="21">
        <f t="shared" si="564"/>
        <v>14.609999999999999</v>
      </c>
      <c r="G2660" s="21">
        <f t="shared" si="564"/>
        <v>14.609999999999999</v>
      </c>
      <c r="H2660" s="21">
        <f t="shared" si="564"/>
        <v>14.609999999999999</v>
      </c>
      <c r="I2660" s="24" t="str">
        <f t="shared" si="565"/>
        <v xml:space="preserve">COM VALOR</v>
      </c>
      <c r="L2660" s="36">
        <v>14.609999999999999</v>
      </c>
      <c r="M2660" s="37">
        <v>14.609999999999999</v>
      </c>
      <c r="N2660" s="36">
        <v>14.609999999999999</v>
      </c>
    </row>
    <row r="2661" ht="25.5">
      <c r="A2661" s="19" t="s">
        <v>10460</v>
      </c>
      <c r="B2661" s="19">
        <v>3886</v>
      </c>
      <c r="C2661" s="20" t="s">
        <v>13127</v>
      </c>
      <c r="D2661" s="19" t="s">
        <v>31</v>
      </c>
      <c r="E2661" s="19" t="s">
        <v>10459</v>
      </c>
      <c r="F2661" s="21">
        <f t="shared" si="564"/>
        <v>19.390000000000001</v>
      </c>
      <c r="G2661" s="21">
        <f t="shared" si="564"/>
        <v>19.390000000000001</v>
      </c>
      <c r="H2661" s="21">
        <f t="shared" si="564"/>
        <v>19.390000000000001</v>
      </c>
      <c r="I2661" s="24" t="str">
        <f t="shared" si="565"/>
        <v xml:space="preserve">COM VALOR</v>
      </c>
      <c r="L2661" s="36">
        <v>19.390000000000001</v>
      </c>
      <c r="M2661" s="37">
        <v>19.390000000000001</v>
      </c>
      <c r="N2661" s="36">
        <v>19.390000000000001</v>
      </c>
    </row>
    <row r="2662" ht="25.5">
      <c r="A2662" s="19" t="s">
        <v>10460</v>
      </c>
      <c r="B2662" s="19">
        <v>3854</v>
      </c>
      <c r="C2662" s="20" t="s">
        <v>13128</v>
      </c>
      <c r="D2662" s="19" t="s">
        <v>31</v>
      </c>
      <c r="E2662" s="19" t="s">
        <v>10459</v>
      </c>
      <c r="F2662" s="21">
        <f t="shared" si="564"/>
        <v>11.050000000000001</v>
      </c>
      <c r="G2662" s="21">
        <f t="shared" si="564"/>
        <v>11.050000000000001</v>
      </c>
      <c r="H2662" s="21">
        <f t="shared" si="564"/>
        <v>11.050000000000001</v>
      </c>
      <c r="I2662" s="24" t="str">
        <f t="shared" si="565"/>
        <v xml:space="preserve">COM VALOR</v>
      </c>
      <c r="L2662" s="36">
        <v>11.050000000000001</v>
      </c>
      <c r="M2662" s="37">
        <v>11.050000000000001</v>
      </c>
      <c r="N2662" s="36">
        <v>11.050000000000001</v>
      </c>
    </row>
    <row r="2663" ht="25.5">
      <c r="A2663" s="19" t="s">
        <v>10460</v>
      </c>
      <c r="B2663" s="19">
        <v>3873</v>
      </c>
      <c r="C2663" s="20" t="s">
        <v>13129</v>
      </c>
      <c r="D2663" s="19" t="s">
        <v>31</v>
      </c>
      <c r="E2663" s="19" t="s">
        <v>10459</v>
      </c>
      <c r="F2663" s="21">
        <f t="shared" si="564"/>
        <v>12.869999999999999</v>
      </c>
      <c r="G2663" s="21">
        <f t="shared" si="564"/>
        <v>12.869999999999999</v>
      </c>
      <c r="H2663" s="21">
        <f t="shared" si="564"/>
        <v>12.869999999999999</v>
      </c>
      <c r="I2663" s="24" t="str">
        <f t="shared" si="565"/>
        <v xml:space="preserve">COM VALOR</v>
      </c>
      <c r="J2663" s="38"/>
      <c r="L2663" s="36">
        <v>12.869999999999999</v>
      </c>
      <c r="M2663" s="37">
        <v>12.869999999999999</v>
      </c>
      <c r="N2663" s="36">
        <v>12.869999999999999</v>
      </c>
    </row>
    <row r="2664" ht="25.5">
      <c r="A2664" s="19" t="s">
        <v>10460</v>
      </c>
      <c r="B2664" s="19">
        <v>38021</v>
      </c>
      <c r="C2664" s="20" t="s">
        <v>13130</v>
      </c>
      <c r="D2664" s="19" t="s">
        <v>31</v>
      </c>
      <c r="E2664" s="19" t="s">
        <v>10459</v>
      </c>
      <c r="F2664" s="21">
        <f t="shared" si="564"/>
        <v>22.84</v>
      </c>
      <c r="G2664" s="21">
        <f t="shared" si="564"/>
        <v>22.84</v>
      </c>
      <c r="H2664" s="21">
        <f t="shared" si="564"/>
        <v>22.84</v>
      </c>
      <c r="I2664" s="24" t="str">
        <f t="shared" si="565"/>
        <v xml:space="preserve">COM VALOR</v>
      </c>
      <c r="L2664" s="36">
        <v>22.84</v>
      </c>
      <c r="M2664" s="37">
        <v>22.84</v>
      </c>
      <c r="N2664" s="36">
        <v>22.84</v>
      </c>
    </row>
    <row r="2665" ht="25.5">
      <c r="A2665" s="19" t="s">
        <v>10460</v>
      </c>
      <c r="B2665" s="19">
        <v>43838</v>
      </c>
      <c r="C2665" s="20" t="s">
        <v>13131</v>
      </c>
      <c r="D2665" s="19" t="s">
        <v>31</v>
      </c>
      <c r="E2665" s="19" t="s">
        <v>10459</v>
      </c>
      <c r="F2665" s="21">
        <f t="shared" si="564"/>
        <v>29.530000000000001</v>
      </c>
      <c r="G2665" s="21">
        <f t="shared" si="564"/>
        <v>29.530000000000001</v>
      </c>
      <c r="H2665" s="21">
        <f t="shared" si="564"/>
        <v>29.530000000000001</v>
      </c>
      <c r="I2665" s="24" t="str">
        <f t="shared" si="565"/>
        <v xml:space="preserve">COM VALOR</v>
      </c>
      <c r="L2665" s="36">
        <v>29.530000000000001</v>
      </c>
      <c r="M2665" s="37">
        <v>29.530000000000001</v>
      </c>
      <c r="N2665" s="36">
        <v>29.530000000000001</v>
      </c>
    </row>
    <row r="2666" ht="25.5">
      <c r="A2666" s="19" t="s">
        <v>10460</v>
      </c>
      <c r="B2666" s="19">
        <v>3847</v>
      </c>
      <c r="C2666" s="20" t="s">
        <v>13132</v>
      </c>
      <c r="D2666" s="19" t="s">
        <v>31</v>
      </c>
      <c r="E2666" s="19" t="s">
        <v>10459</v>
      </c>
      <c r="F2666" s="21">
        <f t="shared" si="564"/>
        <v>29.780000000000001</v>
      </c>
      <c r="G2666" s="21">
        <f t="shared" si="564"/>
        <v>29.780000000000001</v>
      </c>
      <c r="H2666" s="21">
        <f t="shared" si="564"/>
        <v>29.780000000000001</v>
      </c>
      <c r="I2666" s="24" t="str">
        <f t="shared" si="565"/>
        <v xml:space="preserve">COM VALOR</v>
      </c>
      <c r="L2666" s="36">
        <v>29.780000000000001</v>
      </c>
      <c r="M2666" s="37">
        <v>29.780000000000001</v>
      </c>
      <c r="N2666" s="36">
        <v>29.780000000000001</v>
      </c>
    </row>
    <row r="2667" ht="25.5">
      <c r="A2667" s="19" t="s">
        <v>10460</v>
      </c>
      <c r="B2667" s="19">
        <v>38022</v>
      </c>
      <c r="C2667" s="20" t="s">
        <v>13133</v>
      </c>
      <c r="D2667" s="19" t="s">
        <v>31</v>
      </c>
      <c r="E2667" s="19" t="s">
        <v>10459</v>
      </c>
      <c r="F2667" s="21">
        <f t="shared" si="564"/>
        <v>40.93</v>
      </c>
      <c r="G2667" s="21">
        <f t="shared" si="564"/>
        <v>40.93</v>
      </c>
      <c r="H2667" s="21">
        <f t="shared" si="564"/>
        <v>40.93</v>
      </c>
      <c r="I2667" s="24" t="str">
        <f t="shared" si="565"/>
        <v xml:space="preserve">COM VALOR</v>
      </c>
      <c r="L2667" s="36">
        <v>40.93</v>
      </c>
      <c r="M2667" s="37">
        <v>40.93</v>
      </c>
      <c r="N2667" s="36">
        <v>40.93</v>
      </c>
    </row>
    <row r="2668" ht="25.5">
      <c r="A2668" s="19" t="s">
        <v>10460</v>
      </c>
      <c r="B2668" s="19">
        <v>3826</v>
      </c>
      <c r="C2668" s="20" t="s">
        <v>13134</v>
      </c>
      <c r="D2668" s="19" t="s">
        <v>31</v>
      </c>
      <c r="E2668" s="19" t="s">
        <v>10459</v>
      </c>
      <c r="F2668" s="21">
        <f t="shared" si="564"/>
        <v>42.990000000000002</v>
      </c>
      <c r="G2668" s="21">
        <f t="shared" si="564"/>
        <v>42.990000000000002</v>
      </c>
      <c r="H2668" s="21">
        <f t="shared" si="564"/>
        <v>42.990000000000002</v>
      </c>
      <c r="I2668" s="24" t="str">
        <f t="shared" si="565"/>
        <v xml:space="preserve">COM VALOR</v>
      </c>
      <c r="L2668" s="36">
        <v>42.990000000000002</v>
      </c>
      <c r="M2668" s="37">
        <v>42.990000000000002</v>
      </c>
      <c r="N2668" s="36">
        <v>42.990000000000002</v>
      </c>
    </row>
    <row r="2669" ht="25.5">
      <c r="A2669" s="19" t="s">
        <v>10460</v>
      </c>
      <c r="B2669" s="19">
        <v>3825</v>
      </c>
      <c r="C2669" s="20" t="s">
        <v>13135</v>
      </c>
      <c r="D2669" s="19" t="s">
        <v>31</v>
      </c>
      <c r="E2669" s="19" t="s">
        <v>10459</v>
      </c>
      <c r="F2669" s="21">
        <f t="shared" si="564"/>
        <v>12.359999999999999</v>
      </c>
      <c r="G2669" s="21">
        <f t="shared" si="564"/>
        <v>12.359999999999999</v>
      </c>
      <c r="H2669" s="21">
        <f t="shared" si="564"/>
        <v>12.359999999999999</v>
      </c>
      <c r="I2669" s="24" t="str">
        <f t="shared" si="565"/>
        <v xml:space="preserve">COM VALOR</v>
      </c>
      <c r="L2669" s="36">
        <v>12.359999999999999</v>
      </c>
      <c r="M2669" s="37">
        <v>12.359999999999999</v>
      </c>
      <c r="N2669" s="36">
        <v>12.359999999999999</v>
      </c>
    </row>
    <row r="2670" ht="25.5">
      <c r="A2670" s="19" t="s">
        <v>10460</v>
      </c>
      <c r="B2670" s="19">
        <v>3827</v>
      </c>
      <c r="C2670" s="20" t="s">
        <v>13136</v>
      </c>
      <c r="D2670" s="19" t="s">
        <v>31</v>
      </c>
      <c r="E2670" s="19" t="s">
        <v>10459</v>
      </c>
      <c r="F2670" s="21">
        <f t="shared" si="564"/>
        <v>27.010000000000002</v>
      </c>
      <c r="G2670" s="21">
        <f t="shared" si="564"/>
        <v>27.010000000000002</v>
      </c>
      <c r="H2670" s="21">
        <f t="shared" si="564"/>
        <v>27.010000000000002</v>
      </c>
      <c r="I2670" s="24" t="str">
        <f t="shared" si="565"/>
        <v xml:space="preserve">COM VALOR</v>
      </c>
      <c r="L2670" s="36">
        <v>27.010000000000002</v>
      </c>
      <c r="M2670" s="37">
        <v>27.010000000000002</v>
      </c>
      <c r="N2670" s="36">
        <v>27.010000000000002</v>
      </c>
    </row>
    <row r="2671" ht="25.5">
      <c r="A2671" s="19" t="s">
        <v>10460</v>
      </c>
      <c r="B2671" s="19">
        <v>3830</v>
      </c>
      <c r="C2671" s="20" t="s">
        <v>13137</v>
      </c>
      <c r="D2671" s="19" t="s">
        <v>31</v>
      </c>
      <c r="E2671" s="19" t="s">
        <v>10459</v>
      </c>
      <c r="F2671" s="21">
        <f t="shared" si="564"/>
        <v>222.16</v>
      </c>
      <c r="G2671" s="21">
        <f t="shared" si="564"/>
        <v>222.16</v>
      </c>
      <c r="H2671" s="21">
        <f t="shared" si="564"/>
        <v>222.16</v>
      </c>
      <c r="I2671" s="24" t="str">
        <f t="shared" si="565"/>
        <v xml:space="preserve">COM VALOR</v>
      </c>
      <c r="L2671" s="36">
        <v>222.16</v>
      </c>
      <c r="M2671" s="37">
        <v>222.16</v>
      </c>
      <c r="N2671" s="36">
        <v>222.16</v>
      </c>
    </row>
    <row r="2672" ht="25.5">
      <c r="A2672" s="19" t="s">
        <v>10460</v>
      </c>
      <c r="B2672" s="19">
        <v>37981</v>
      </c>
      <c r="C2672" s="20" t="s">
        <v>13138</v>
      </c>
      <c r="D2672" s="19" t="s">
        <v>31</v>
      </c>
      <c r="E2672" s="19" t="s">
        <v>10459</v>
      </c>
      <c r="F2672" s="21">
        <f t="shared" si="564"/>
        <v>7.8799999999999999</v>
      </c>
      <c r="G2672" s="21">
        <f t="shared" si="564"/>
        <v>7.8799999999999999</v>
      </c>
      <c r="H2672" s="21">
        <f t="shared" si="564"/>
        <v>7.8799999999999999</v>
      </c>
      <c r="I2672" s="24" t="str">
        <f t="shared" si="565"/>
        <v xml:space="preserve">COM VALOR</v>
      </c>
      <c r="L2672" s="36">
        <v>7.8799999999999999</v>
      </c>
      <c r="M2672" s="37">
        <v>7.8799999999999999</v>
      </c>
      <c r="N2672" s="36">
        <v>7.8799999999999999</v>
      </c>
    </row>
    <row r="2673" ht="25.5">
      <c r="A2673" s="19" t="s">
        <v>10460</v>
      </c>
      <c r="B2673" s="19">
        <v>37982</v>
      </c>
      <c r="C2673" s="20" t="s">
        <v>13139</v>
      </c>
      <c r="D2673" s="19" t="s">
        <v>31</v>
      </c>
      <c r="E2673" s="19" t="s">
        <v>10459</v>
      </c>
      <c r="F2673" s="21">
        <f t="shared" si="564"/>
        <v>11.44</v>
      </c>
      <c r="G2673" s="21">
        <f t="shared" si="564"/>
        <v>11.44</v>
      </c>
      <c r="H2673" s="21">
        <f t="shared" si="564"/>
        <v>11.44</v>
      </c>
      <c r="I2673" s="24" t="str">
        <f t="shared" si="565"/>
        <v xml:space="preserve">COM VALOR</v>
      </c>
      <c r="L2673" s="36">
        <v>11.44</v>
      </c>
      <c r="M2673" s="37">
        <v>11.44</v>
      </c>
      <c r="N2673" s="36">
        <v>11.44</v>
      </c>
    </row>
    <row r="2674" ht="25.5">
      <c r="A2674" s="19" t="s">
        <v>10460</v>
      </c>
      <c r="B2674" s="19">
        <v>37983</v>
      </c>
      <c r="C2674" s="20" t="s">
        <v>13140</v>
      </c>
      <c r="D2674" s="19" t="s">
        <v>31</v>
      </c>
      <c r="E2674" s="19" t="s">
        <v>10459</v>
      </c>
      <c r="F2674" s="21">
        <f t="shared" si="564"/>
        <v>16.91</v>
      </c>
      <c r="G2674" s="21">
        <f t="shared" si="564"/>
        <v>16.91</v>
      </c>
      <c r="H2674" s="21">
        <f t="shared" si="564"/>
        <v>16.91</v>
      </c>
      <c r="I2674" s="24" t="str">
        <f t="shared" si="565"/>
        <v xml:space="preserve">COM VALOR</v>
      </c>
      <c r="L2674" s="36">
        <v>16.91</v>
      </c>
      <c r="M2674" s="37">
        <v>16.91</v>
      </c>
      <c r="N2674" s="36">
        <v>16.91</v>
      </c>
    </row>
    <row r="2675" ht="25.5">
      <c r="A2675" s="19" t="s">
        <v>10460</v>
      </c>
      <c r="B2675" s="19">
        <v>37984</v>
      </c>
      <c r="C2675" s="20" t="s">
        <v>13141</v>
      </c>
      <c r="D2675" s="19" t="s">
        <v>31</v>
      </c>
      <c r="E2675" s="19" t="s">
        <v>10459</v>
      </c>
      <c r="F2675" s="21">
        <f t="shared" si="564"/>
        <v>23.760000000000002</v>
      </c>
      <c r="G2675" s="21">
        <f t="shared" si="564"/>
        <v>23.760000000000002</v>
      </c>
      <c r="H2675" s="21">
        <f t="shared" si="564"/>
        <v>23.760000000000002</v>
      </c>
      <c r="I2675" s="24" t="str">
        <f t="shared" si="565"/>
        <v xml:space="preserve">COM VALOR</v>
      </c>
      <c r="L2675" s="36">
        <v>23.760000000000002</v>
      </c>
      <c r="M2675" s="37">
        <v>23.760000000000002</v>
      </c>
      <c r="N2675" s="36">
        <v>23.760000000000002</v>
      </c>
    </row>
    <row r="2676" ht="25.5">
      <c r="A2676" s="19" t="s">
        <v>10460</v>
      </c>
      <c r="B2676" s="19">
        <v>37985</v>
      </c>
      <c r="C2676" s="20" t="s">
        <v>13142</v>
      </c>
      <c r="D2676" s="19" t="s">
        <v>31</v>
      </c>
      <c r="E2676" s="19" t="s">
        <v>10459</v>
      </c>
      <c r="F2676" s="21">
        <f t="shared" si="564"/>
        <v>33.759999999999998</v>
      </c>
      <c r="G2676" s="21">
        <f t="shared" si="564"/>
        <v>33.759999999999998</v>
      </c>
      <c r="H2676" s="21">
        <f t="shared" si="564"/>
        <v>33.759999999999998</v>
      </c>
      <c r="I2676" s="24" t="str">
        <f t="shared" si="565"/>
        <v xml:space="preserve">COM VALOR</v>
      </c>
      <c r="L2676" s="36">
        <v>33.759999999999998</v>
      </c>
      <c r="M2676" s="37">
        <v>33.759999999999998</v>
      </c>
      <c r="N2676" s="36">
        <v>33.759999999999998</v>
      </c>
    </row>
    <row r="2677" ht="25.5">
      <c r="A2677" s="19" t="s">
        <v>10460</v>
      </c>
      <c r="B2677" s="19">
        <v>20165</v>
      </c>
      <c r="C2677" s="20" t="s">
        <v>13143</v>
      </c>
      <c r="D2677" s="19" t="s">
        <v>31</v>
      </c>
      <c r="E2677" s="19" t="s">
        <v>10459</v>
      </c>
      <c r="F2677" s="21">
        <f t="shared" si="564"/>
        <v>27.539999999999999</v>
      </c>
      <c r="G2677" s="21">
        <f t="shared" si="564"/>
        <v>27.539999999999999</v>
      </c>
      <c r="H2677" s="21">
        <f t="shared" si="564"/>
        <v>27.539999999999999</v>
      </c>
      <c r="I2677" s="24" t="str">
        <f t="shared" si="565"/>
        <v xml:space="preserve">COM VALOR</v>
      </c>
      <c r="L2677" s="36">
        <v>27.539999999999999</v>
      </c>
      <c r="M2677" s="37">
        <v>27.539999999999999</v>
      </c>
      <c r="N2677" s="36">
        <v>27.539999999999999</v>
      </c>
    </row>
    <row r="2678" ht="25.5">
      <c r="A2678" s="19" t="s">
        <v>10460</v>
      </c>
      <c r="B2678" s="19">
        <v>20166</v>
      </c>
      <c r="C2678" s="20" t="s">
        <v>13144</v>
      </c>
      <c r="D2678" s="19" t="s">
        <v>31</v>
      </c>
      <c r="E2678" s="19" t="s">
        <v>10459</v>
      </c>
      <c r="F2678" s="21">
        <f t="shared" si="564"/>
        <v>84.109999999999999</v>
      </c>
      <c r="G2678" s="21">
        <f t="shared" si="564"/>
        <v>84.109999999999999</v>
      </c>
      <c r="H2678" s="21">
        <f t="shared" si="564"/>
        <v>84.109999999999999</v>
      </c>
      <c r="I2678" s="24" t="str">
        <f t="shared" si="565"/>
        <v xml:space="preserve">COM VALOR</v>
      </c>
      <c r="L2678" s="36">
        <v>84.109999999999999</v>
      </c>
      <c r="M2678" s="37">
        <v>84.109999999999999</v>
      </c>
      <c r="N2678" s="36">
        <v>84.109999999999999</v>
      </c>
    </row>
    <row r="2679" ht="25.5">
      <c r="A2679" s="19" t="s">
        <v>10460</v>
      </c>
      <c r="B2679" s="19">
        <v>20164</v>
      </c>
      <c r="C2679" s="20" t="s">
        <v>13145</v>
      </c>
      <c r="D2679" s="19" t="s">
        <v>31</v>
      </c>
      <c r="E2679" s="19" t="s">
        <v>10459</v>
      </c>
      <c r="F2679" s="21">
        <f t="shared" si="564"/>
        <v>13.23</v>
      </c>
      <c r="G2679" s="21">
        <f t="shared" si="564"/>
        <v>13.23</v>
      </c>
      <c r="H2679" s="21">
        <f t="shared" si="564"/>
        <v>13.23</v>
      </c>
      <c r="I2679" s="24" t="str">
        <f t="shared" si="565"/>
        <v xml:space="preserve">COM VALOR</v>
      </c>
      <c r="L2679" s="36">
        <v>13.23</v>
      </c>
      <c r="M2679" s="37">
        <v>13.23</v>
      </c>
      <c r="N2679" s="36">
        <v>13.23</v>
      </c>
    </row>
    <row r="2680" ht="12.75">
      <c r="A2680" s="19" t="s">
        <v>10460</v>
      </c>
      <c r="B2680" s="19">
        <v>3893</v>
      </c>
      <c r="C2680" s="20" t="s">
        <v>13146</v>
      </c>
      <c r="D2680" s="19" t="s">
        <v>31</v>
      </c>
      <c r="E2680" s="19" t="s">
        <v>10459</v>
      </c>
      <c r="F2680" s="21">
        <f t="shared" si="564"/>
        <v>20.739999999999998</v>
      </c>
      <c r="G2680" s="21">
        <f t="shared" si="564"/>
        <v>20.739999999999998</v>
      </c>
      <c r="H2680" s="21">
        <f t="shared" si="564"/>
        <v>20.739999999999998</v>
      </c>
      <c r="I2680" s="24" t="str">
        <f t="shared" si="565"/>
        <v xml:space="preserve">COM VALOR</v>
      </c>
      <c r="L2680" s="36">
        <v>20.739999999999998</v>
      </c>
      <c r="M2680" s="37">
        <v>20.739999999999998</v>
      </c>
      <c r="N2680" s="36">
        <v>20.739999999999998</v>
      </c>
    </row>
    <row r="2681" ht="12.75">
      <c r="A2681" s="19" t="s">
        <v>10460</v>
      </c>
      <c r="B2681" s="19">
        <v>3848</v>
      </c>
      <c r="C2681" s="20" t="s">
        <v>13147</v>
      </c>
      <c r="D2681" s="19" t="s">
        <v>31</v>
      </c>
      <c r="E2681" s="19" t="s">
        <v>10459</v>
      </c>
      <c r="F2681" s="21">
        <f t="shared" si="564"/>
        <v>12.640000000000001</v>
      </c>
      <c r="G2681" s="21">
        <f t="shared" si="564"/>
        <v>12.640000000000001</v>
      </c>
      <c r="H2681" s="21">
        <f t="shared" si="564"/>
        <v>12.640000000000001</v>
      </c>
      <c r="I2681" s="24" t="str">
        <f t="shared" si="565"/>
        <v xml:space="preserve">COM VALOR</v>
      </c>
      <c r="L2681" s="36">
        <v>12.640000000000001</v>
      </c>
      <c r="M2681" s="37">
        <v>12.640000000000001</v>
      </c>
      <c r="N2681" s="36">
        <v>12.640000000000001</v>
      </c>
    </row>
    <row r="2682" ht="12.75">
      <c r="A2682" s="19" t="s">
        <v>10460</v>
      </c>
      <c r="B2682" s="19">
        <v>3895</v>
      </c>
      <c r="C2682" s="20" t="s">
        <v>13148</v>
      </c>
      <c r="D2682" s="19" t="s">
        <v>31</v>
      </c>
      <c r="E2682" s="19" t="s">
        <v>10459</v>
      </c>
      <c r="F2682" s="21">
        <f t="shared" si="564"/>
        <v>14.039999999999999</v>
      </c>
      <c r="G2682" s="21">
        <f t="shared" si="564"/>
        <v>14.039999999999999</v>
      </c>
      <c r="H2682" s="21">
        <f t="shared" si="564"/>
        <v>14.039999999999999</v>
      </c>
      <c r="I2682" s="24" t="str">
        <f t="shared" si="565"/>
        <v xml:space="preserve">COM VALOR</v>
      </c>
      <c r="L2682" s="36">
        <v>14.039999999999999</v>
      </c>
      <c r="M2682" s="37">
        <v>14.039999999999999</v>
      </c>
      <c r="N2682" s="36">
        <v>14.039999999999999</v>
      </c>
    </row>
    <row r="2683" ht="25.5">
      <c r="A2683" s="19" t="s">
        <v>10460</v>
      </c>
      <c r="B2683" s="19">
        <v>12404</v>
      </c>
      <c r="C2683" s="20" t="s">
        <v>13149</v>
      </c>
      <c r="D2683" s="19" t="s">
        <v>31</v>
      </c>
      <c r="E2683" s="19" t="s">
        <v>10459</v>
      </c>
      <c r="F2683" s="21">
        <f t="shared" si="564"/>
        <v>12.5</v>
      </c>
      <c r="G2683" s="21">
        <f t="shared" si="564"/>
        <v>12.5</v>
      </c>
      <c r="H2683" s="21">
        <f t="shared" si="564"/>
        <v>12.5</v>
      </c>
      <c r="I2683" s="24" t="str">
        <f t="shared" si="565"/>
        <v xml:space="preserve">COM VALOR</v>
      </c>
      <c r="L2683" s="36">
        <v>12.5</v>
      </c>
      <c r="M2683" s="37">
        <v>12.5</v>
      </c>
      <c r="N2683" s="36">
        <v>12.5</v>
      </c>
    </row>
    <row r="2684" ht="12.75">
      <c r="A2684" s="19" t="s">
        <v>10460</v>
      </c>
      <c r="B2684" s="19">
        <v>3939</v>
      </c>
      <c r="C2684" s="20" t="s">
        <v>13150</v>
      </c>
      <c r="D2684" s="19" t="s">
        <v>31</v>
      </c>
      <c r="E2684" s="19" t="s">
        <v>10459</v>
      </c>
      <c r="F2684" s="21">
        <f t="shared" si="564"/>
        <v>25.760000000000002</v>
      </c>
      <c r="G2684" s="21">
        <f t="shared" si="564"/>
        <v>25.760000000000002</v>
      </c>
      <c r="H2684" s="21">
        <f t="shared" si="564"/>
        <v>25.760000000000002</v>
      </c>
      <c r="I2684" s="24" t="str">
        <f t="shared" si="565"/>
        <v xml:space="preserve">COM VALOR</v>
      </c>
      <c r="L2684" s="36">
        <v>25.760000000000002</v>
      </c>
      <c r="M2684" s="37">
        <v>25.760000000000002</v>
      </c>
      <c r="N2684" s="36">
        <v>25.760000000000002</v>
      </c>
    </row>
    <row r="2685" ht="12.75">
      <c r="A2685" s="19" t="s">
        <v>10460</v>
      </c>
      <c r="B2685" s="19">
        <v>3911</v>
      </c>
      <c r="C2685" s="20" t="s">
        <v>13151</v>
      </c>
      <c r="D2685" s="19" t="s">
        <v>31</v>
      </c>
      <c r="E2685" s="19" t="s">
        <v>10459</v>
      </c>
      <c r="F2685" s="21">
        <f t="shared" si="564"/>
        <v>21.050000000000001</v>
      </c>
      <c r="G2685" s="21">
        <f t="shared" si="564"/>
        <v>21.050000000000001</v>
      </c>
      <c r="H2685" s="21">
        <f t="shared" si="564"/>
        <v>21.050000000000001</v>
      </c>
      <c r="I2685" s="24" t="str">
        <f t="shared" si="565"/>
        <v xml:space="preserve">COM VALOR</v>
      </c>
      <c r="L2685" s="36">
        <v>21.050000000000001</v>
      </c>
      <c r="M2685" s="37">
        <v>21.050000000000001</v>
      </c>
      <c r="N2685" s="36">
        <v>21.050000000000001</v>
      </c>
    </row>
    <row r="2686" ht="12.75">
      <c r="A2686" s="19" t="s">
        <v>10460</v>
      </c>
      <c r="B2686" s="19">
        <v>3910</v>
      </c>
      <c r="C2686" s="20" t="s">
        <v>13152</v>
      </c>
      <c r="D2686" s="19" t="s">
        <v>31</v>
      </c>
      <c r="E2686" s="19" t="s">
        <v>10459</v>
      </c>
      <c r="F2686" s="21">
        <f t="shared" si="564"/>
        <v>15.06</v>
      </c>
      <c r="G2686" s="21">
        <f t="shared" si="564"/>
        <v>15.06</v>
      </c>
      <c r="H2686" s="21">
        <f t="shared" si="564"/>
        <v>15.06</v>
      </c>
      <c r="I2686" s="24" t="str">
        <f t="shared" si="565"/>
        <v xml:space="preserve">COM VALOR</v>
      </c>
      <c r="L2686" s="36">
        <v>15.06</v>
      </c>
      <c r="M2686" s="37">
        <v>15.06</v>
      </c>
      <c r="N2686" s="36">
        <v>15.06</v>
      </c>
    </row>
    <row r="2687" ht="12.75">
      <c r="A2687" s="19" t="s">
        <v>10460</v>
      </c>
      <c r="B2687" s="19">
        <v>3908</v>
      </c>
      <c r="C2687" s="20" t="s">
        <v>13153</v>
      </c>
      <c r="D2687" s="19" t="s">
        <v>31</v>
      </c>
      <c r="E2687" s="19" t="s">
        <v>10459</v>
      </c>
      <c r="F2687" s="21">
        <f t="shared" si="564"/>
        <v>6.8099999999999996</v>
      </c>
      <c r="G2687" s="21">
        <f t="shared" si="564"/>
        <v>6.8099999999999996</v>
      </c>
      <c r="H2687" s="21">
        <f t="shared" si="564"/>
        <v>6.8099999999999996</v>
      </c>
      <c r="I2687" s="24" t="str">
        <f t="shared" si="565"/>
        <v xml:space="preserve">COM VALOR</v>
      </c>
      <c r="L2687" s="36">
        <v>6.8099999999999996</v>
      </c>
      <c r="M2687" s="37">
        <v>6.8099999999999996</v>
      </c>
      <c r="N2687" s="36">
        <v>6.8099999999999996</v>
      </c>
    </row>
    <row r="2688" ht="12.75">
      <c r="A2688" s="19" t="s">
        <v>10460</v>
      </c>
      <c r="B2688" s="19">
        <v>3913</v>
      </c>
      <c r="C2688" s="20" t="s">
        <v>13154</v>
      </c>
      <c r="D2688" s="19" t="s">
        <v>31</v>
      </c>
      <c r="E2688" s="19" t="s">
        <v>10459</v>
      </c>
      <c r="F2688" s="21">
        <f t="shared" si="564"/>
        <v>71.980000000000004</v>
      </c>
      <c r="G2688" s="21">
        <f t="shared" si="564"/>
        <v>71.980000000000004</v>
      </c>
      <c r="H2688" s="21">
        <f t="shared" si="564"/>
        <v>71.980000000000004</v>
      </c>
      <c r="I2688" s="24" t="str">
        <f t="shared" si="565"/>
        <v xml:space="preserve">COM VALOR</v>
      </c>
      <c r="L2688" s="36">
        <v>71.980000000000004</v>
      </c>
      <c r="M2688" s="37">
        <v>71.980000000000004</v>
      </c>
      <c r="N2688" s="36">
        <v>71.980000000000004</v>
      </c>
    </row>
    <row r="2689" ht="12.75">
      <c r="A2689" s="19" t="s">
        <v>10460</v>
      </c>
      <c r="B2689" s="19">
        <v>3912</v>
      </c>
      <c r="C2689" s="20" t="s">
        <v>13155</v>
      </c>
      <c r="D2689" s="19" t="s">
        <v>31</v>
      </c>
      <c r="E2689" s="19" t="s">
        <v>10459</v>
      </c>
      <c r="F2689" s="21">
        <f t="shared" si="564"/>
        <v>39.460000000000001</v>
      </c>
      <c r="G2689" s="21">
        <f t="shared" si="564"/>
        <v>39.460000000000001</v>
      </c>
      <c r="H2689" s="21">
        <f t="shared" si="564"/>
        <v>39.460000000000001</v>
      </c>
      <c r="I2689" s="24" t="str">
        <f t="shared" si="565"/>
        <v xml:space="preserve">COM VALOR</v>
      </c>
      <c r="L2689" s="36">
        <v>39.460000000000001</v>
      </c>
      <c r="M2689" s="37">
        <v>39.460000000000001</v>
      </c>
      <c r="N2689" s="36">
        <v>39.460000000000001</v>
      </c>
    </row>
    <row r="2690" ht="12.75">
      <c r="A2690" s="19" t="s">
        <v>10460</v>
      </c>
      <c r="B2690" s="19">
        <v>3914</v>
      </c>
      <c r="C2690" s="20" t="s">
        <v>13156</v>
      </c>
      <c r="D2690" s="19" t="s">
        <v>31</v>
      </c>
      <c r="E2690" s="19" t="s">
        <v>10459</v>
      </c>
      <c r="F2690" s="21">
        <f t="shared" si="564"/>
        <v>108.59</v>
      </c>
      <c r="G2690" s="21">
        <f t="shared" si="564"/>
        <v>108.59</v>
      </c>
      <c r="H2690" s="21">
        <f t="shared" si="564"/>
        <v>108.59</v>
      </c>
      <c r="I2690" s="24" t="str">
        <f t="shared" si="565"/>
        <v xml:space="preserve">COM VALOR</v>
      </c>
      <c r="L2690" s="36">
        <v>108.59</v>
      </c>
      <c r="M2690" s="37">
        <v>108.59</v>
      </c>
      <c r="N2690" s="36">
        <v>108.59</v>
      </c>
    </row>
    <row r="2691" ht="12.75">
      <c r="A2691" s="19" t="s">
        <v>10460</v>
      </c>
      <c r="B2691" s="19">
        <v>3909</v>
      </c>
      <c r="C2691" s="20" t="s">
        <v>13157</v>
      </c>
      <c r="D2691" s="19" t="s">
        <v>31</v>
      </c>
      <c r="E2691" s="19" t="s">
        <v>10459</v>
      </c>
      <c r="F2691" s="21">
        <f t="shared" si="564"/>
        <v>9.2599999999999998</v>
      </c>
      <c r="G2691" s="21">
        <f t="shared" si="564"/>
        <v>9.2599999999999998</v>
      </c>
      <c r="H2691" s="21">
        <f t="shared" si="564"/>
        <v>9.2599999999999998</v>
      </c>
      <c r="I2691" s="24" t="str">
        <f t="shared" si="565"/>
        <v xml:space="preserve">COM VALOR</v>
      </c>
      <c r="L2691" s="36">
        <v>9.2599999999999998</v>
      </c>
      <c r="M2691" s="37">
        <v>9.2599999999999998</v>
      </c>
      <c r="N2691" s="36">
        <v>9.2599999999999998</v>
      </c>
    </row>
    <row r="2692" ht="12.75">
      <c r="A2692" s="19" t="s">
        <v>10460</v>
      </c>
      <c r="B2692" s="19">
        <v>3915</v>
      </c>
      <c r="C2692" s="20" t="s">
        <v>13158</v>
      </c>
      <c r="D2692" s="19" t="s">
        <v>31</v>
      </c>
      <c r="E2692" s="19" t="s">
        <v>10459</v>
      </c>
      <c r="F2692" s="21">
        <f t="shared" si="564"/>
        <v>171.24000000000001</v>
      </c>
      <c r="G2692" s="21">
        <f t="shared" si="564"/>
        <v>171.24000000000001</v>
      </c>
      <c r="H2692" s="21">
        <f t="shared" si="564"/>
        <v>171.24000000000001</v>
      </c>
      <c r="I2692" s="24" t="str">
        <f t="shared" si="565"/>
        <v xml:space="preserve">COM VALOR</v>
      </c>
      <c r="L2692" s="36">
        <v>171.24000000000001</v>
      </c>
      <c r="M2692" s="37">
        <v>171.24000000000001</v>
      </c>
      <c r="N2692" s="36">
        <v>171.24000000000001</v>
      </c>
    </row>
    <row r="2693" ht="12.75">
      <c r="A2693" s="19" t="s">
        <v>10460</v>
      </c>
      <c r="B2693" s="19">
        <v>3916</v>
      </c>
      <c r="C2693" s="20" t="s">
        <v>13159</v>
      </c>
      <c r="D2693" s="19" t="s">
        <v>31</v>
      </c>
      <c r="E2693" s="19" t="s">
        <v>10459</v>
      </c>
      <c r="F2693" s="21">
        <f t="shared" si="564"/>
        <v>311.95999999999998</v>
      </c>
      <c r="G2693" s="21">
        <f t="shared" si="564"/>
        <v>311.95999999999998</v>
      </c>
      <c r="H2693" s="21">
        <f t="shared" si="564"/>
        <v>311.95999999999998</v>
      </c>
      <c r="I2693" s="24" t="str">
        <f t="shared" si="565"/>
        <v xml:space="preserve">COM VALOR</v>
      </c>
      <c r="L2693" s="36">
        <v>311.95999999999998</v>
      </c>
      <c r="M2693" s="37">
        <v>311.95999999999998</v>
      </c>
      <c r="N2693" s="36">
        <v>311.95999999999998</v>
      </c>
    </row>
    <row r="2694" ht="12.75">
      <c r="A2694" s="19" t="s">
        <v>10460</v>
      </c>
      <c r="B2694" s="19">
        <v>3917</v>
      </c>
      <c r="C2694" s="20" t="s">
        <v>13160</v>
      </c>
      <c r="D2694" s="19" t="s">
        <v>31</v>
      </c>
      <c r="E2694" s="19" t="s">
        <v>10459</v>
      </c>
      <c r="F2694" s="21">
        <f t="shared" si="564"/>
        <v>514.53999999999996</v>
      </c>
      <c r="G2694" s="21">
        <f t="shared" si="564"/>
        <v>514.53999999999996</v>
      </c>
      <c r="H2694" s="21">
        <f t="shared" si="564"/>
        <v>514.53999999999996</v>
      </c>
      <c r="I2694" s="24" t="str">
        <f t="shared" si="565"/>
        <v xml:space="preserve">COM VALOR</v>
      </c>
      <c r="L2694" s="36">
        <v>514.53999999999996</v>
      </c>
      <c r="M2694" s="37">
        <v>514.53999999999996</v>
      </c>
      <c r="N2694" s="36">
        <v>514.53999999999996</v>
      </c>
    </row>
    <row r="2695" ht="12.75">
      <c r="A2695" s="19" t="s">
        <v>10460</v>
      </c>
      <c r="B2695" s="19">
        <v>45266</v>
      </c>
      <c r="C2695" s="20" t="s">
        <v>13161</v>
      </c>
      <c r="D2695" s="19" t="s">
        <v>10874</v>
      </c>
      <c r="E2695" s="19" t="s">
        <v>10459</v>
      </c>
      <c r="F2695" s="21">
        <f t="shared" si="564"/>
        <v>3.1299999999999999</v>
      </c>
      <c r="G2695" s="21">
        <f t="shared" si="564"/>
        <v>3.1299999999999999</v>
      </c>
      <c r="H2695" s="21">
        <f t="shared" si="564"/>
        <v>3.1299999999999999</v>
      </c>
      <c r="I2695" s="24" t="str">
        <f t="shared" si="565"/>
        <v xml:space="preserve">COM VALOR</v>
      </c>
      <c r="L2695" s="36">
        <v>3.1299999999999999</v>
      </c>
      <c r="M2695" s="37">
        <v>3.1299999999999999</v>
      </c>
      <c r="N2695" s="36">
        <v>3.1299999999999999</v>
      </c>
    </row>
    <row r="2696" ht="25.5">
      <c r="A2696" s="19" t="s">
        <v>10460</v>
      </c>
      <c r="B2696" s="19">
        <v>1904</v>
      </c>
      <c r="C2696" s="20" t="s">
        <v>13162</v>
      </c>
      <c r="D2696" s="19" t="s">
        <v>31</v>
      </c>
      <c r="E2696" s="19" t="s">
        <v>10459</v>
      </c>
      <c r="F2696" s="21">
        <f t="shared" si="564"/>
        <v>0.67000000000000004</v>
      </c>
      <c r="G2696" s="21">
        <f t="shared" si="564"/>
        <v>0.67000000000000004</v>
      </c>
      <c r="H2696" s="21">
        <f t="shared" si="564"/>
        <v>0.67000000000000004</v>
      </c>
      <c r="I2696" s="24" t="str">
        <f t="shared" si="565"/>
        <v xml:space="preserve">COM VALOR</v>
      </c>
      <c r="L2696" s="36">
        <v>0.67000000000000004</v>
      </c>
      <c r="M2696" s="37">
        <v>0.67000000000000004</v>
      </c>
      <c r="N2696" s="36">
        <v>0.67000000000000004</v>
      </c>
    </row>
    <row r="2697" ht="25.5">
      <c r="A2697" s="19" t="s">
        <v>10460</v>
      </c>
      <c r="B2697" s="19">
        <v>1899</v>
      </c>
      <c r="C2697" s="20" t="s">
        <v>13163</v>
      </c>
      <c r="D2697" s="19" t="s">
        <v>31</v>
      </c>
      <c r="E2697" s="19" t="s">
        <v>10459</v>
      </c>
      <c r="F2697" s="21">
        <f t="shared" si="564"/>
        <v>0.76000000000000001</v>
      </c>
      <c r="G2697" s="21">
        <f t="shared" si="564"/>
        <v>0.76000000000000001</v>
      </c>
      <c r="H2697" s="21">
        <f t="shared" si="564"/>
        <v>0.76000000000000001</v>
      </c>
      <c r="I2697" s="24" t="str">
        <f t="shared" si="565"/>
        <v xml:space="preserve">COM VALOR</v>
      </c>
      <c r="L2697" s="36">
        <v>0.76000000000000001</v>
      </c>
      <c r="M2697" s="37">
        <v>0.76000000000000001</v>
      </c>
      <c r="N2697" s="36">
        <v>0.76000000000000001</v>
      </c>
    </row>
    <row r="2698" ht="25.5">
      <c r="A2698" s="19" t="s">
        <v>10460</v>
      </c>
      <c r="B2698" s="19">
        <v>1900</v>
      </c>
      <c r="C2698" s="20" t="s">
        <v>13164</v>
      </c>
      <c r="D2698" s="19" t="s">
        <v>31</v>
      </c>
      <c r="E2698" s="19" t="s">
        <v>10459</v>
      </c>
      <c r="F2698" s="21">
        <f t="shared" si="564"/>
        <v>1.24</v>
      </c>
      <c r="G2698" s="21">
        <f t="shared" si="564"/>
        <v>1.24</v>
      </c>
      <c r="H2698" s="21">
        <f t="shared" si="564"/>
        <v>1.24</v>
      </c>
      <c r="I2698" s="24" t="str">
        <f t="shared" si="565"/>
        <v xml:space="preserve">COM VALOR</v>
      </c>
      <c r="L2698" s="36">
        <v>1.24</v>
      </c>
      <c r="M2698" s="37">
        <v>1.24</v>
      </c>
      <c r="N2698" s="36">
        <v>1.24</v>
      </c>
    </row>
    <row r="2699" ht="25.5">
      <c r="A2699" s="19" t="s">
        <v>10460</v>
      </c>
      <c r="B2699" s="19">
        <v>12407</v>
      </c>
      <c r="C2699" s="20" t="s">
        <v>13165</v>
      </c>
      <c r="D2699" s="19" t="s">
        <v>31</v>
      </c>
      <c r="E2699" s="19" t="s">
        <v>10459</v>
      </c>
      <c r="F2699" s="21">
        <f t="shared" ref="F2699:H2762" si="566">IF(L2699=0,"VERIFICAR",L2699)</f>
        <v>38.950000000000003</v>
      </c>
      <c r="G2699" s="21">
        <f t="shared" si="566"/>
        <v>38.950000000000003</v>
      </c>
      <c r="H2699" s="21">
        <f t="shared" si="566"/>
        <v>38.950000000000003</v>
      </c>
      <c r="I2699" s="24" t="str">
        <f t="shared" ref="I2699:I2762" si="567">IF(OR(L2699=0,M2699=0,N2699=0),"SEM VALOR","COM VALOR")</f>
        <v xml:space="preserve">COM VALOR</v>
      </c>
      <c r="L2699" s="36">
        <v>38.950000000000003</v>
      </c>
      <c r="M2699" s="37">
        <v>38.950000000000003</v>
      </c>
      <c r="N2699" s="36">
        <v>38.950000000000003</v>
      </c>
    </row>
    <row r="2700" ht="25.5">
      <c r="A2700" s="19" t="s">
        <v>10460</v>
      </c>
      <c r="B2700" s="19">
        <v>12408</v>
      </c>
      <c r="C2700" s="20" t="s">
        <v>13166</v>
      </c>
      <c r="D2700" s="19" t="s">
        <v>31</v>
      </c>
      <c r="E2700" s="19" t="s">
        <v>10459</v>
      </c>
      <c r="F2700" s="21">
        <f t="shared" si="566"/>
        <v>21.98</v>
      </c>
      <c r="G2700" s="21">
        <f t="shared" si="566"/>
        <v>21.98</v>
      </c>
      <c r="H2700" s="21">
        <f t="shared" si="566"/>
        <v>21.98</v>
      </c>
      <c r="I2700" s="24" t="str">
        <f t="shared" si="567"/>
        <v xml:space="preserve">COM VALOR</v>
      </c>
      <c r="L2700" s="36">
        <v>21.98</v>
      </c>
      <c r="M2700" s="37">
        <v>21.98</v>
      </c>
      <c r="N2700" s="36">
        <v>21.98</v>
      </c>
    </row>
    <row r="2701" ht="25.5">
      <c r="A2701" s="19" t="s">
        <v>10460</v>
      </c>
      <c r="B2701" s="19">
        <v>12409</v>
      </c>
      <c r="C2701" s="20" t="s">
        <v>13167</v>
      </c>
      <c r="D2701" s="19" t="s">
        <v>31</v>
      </c>
      <c r="E2701" s="19" t="s">
        <v>10459</v>
      </c>
      <c r="F2701" s="21">
        <f t="shared" si="566"/>
        <v>21.98</v>
      </c>
      <c r="G2701" s="21">
        <f t="shared" si="566"/>
        <v>21.98</v>
      </c>
      <c r="H2701" s="21">
        <f t="shared" si="566"/>
        <v>21.98</v>
      </c>
      <c r="I2701" s="24" t="str">
        <f t="shared" si="567"/>
        <v xml:space="preserve">COM VALOR</v>
      </c>
      <c r="L2701" s="36">
        <v>21.98</v>
      </c>
      <c r="M2701" s="37">
        <v>21.98</v>
      </c>
      <c r="N2701" s="36">
        <v>21.98</v>
      </c>
    </row>
    <row r="2702" ht="25.5">
      <c r="A2702" s="19" t="s">
        <v>10460</v>
      </c>
      <c r="B2702" s="19">
        <v>12410</v>
      </c>
      <c r="C2702" s="20" t="s">
        <v>13168</v>
      </c>
      <c r="D2702" s="19" t="s">
        <v>31</v>
      </c>
      <c r="E2702" s="19" t="s">
        <v>10459</v>
      </c>
      <c r="F2702" s="21">
        <f t="shared" si="566"/>
        <v>15.15</v>
      </c>
      <c r="G2702" s="21">
        <f t="shared" si="566"/>
        <v>15.15</v>
      </c>
      <c r="H2702" s="21">
        <f t="shared" si="566"/>
        <v>15.15</v>
      </c>
      <c r="I2702" s="24" t="str">
        <f t="shared" si="567"/>
        <v xml:space="preserve">COM VALOR</v>
      </c>
      <c r="L2702" s="36">
        <v>15.15</v>
      </c>
      <c r="M2702" s="37">
        <v>15.15</v>
      </c>
      <c r="N2702" s="36">
        <v>15.15</v>
      </c>
    </row>
    <row r="2703" ht="25.5">
      <c r="A2703" s="19" t="s">
        <v>10460</v>
      </c>
      <c r="B2703" s="19">
        <v>3936</v>
      </c>
      <c r="C2703" s="20" t="s">
        <v>13169</v>
      </c>
      <c r="D2703" s="19" t="s">
        <v>31</v>
      </c>
      <c r="E2703" s="19" t="s">
        <v>10459</v>
      </c>
      <c r="F2703" s="21">
        <f t="shared" si="566"/>
        <v>27.370000000000001</v>
      </c>
      <c r="G2703" s="21">
        <f t="shared" si="566"/>
        <v>27.370000000000001</v>
      </c>
      <c r="H2703" s="21">
        <f t="shared" si="566"/>
        <v>27.370000000000001</v>
      </c>
      <c r="I2703" s="24" t="str">
        <f t="shared" si="567"/>
        <v xml:space="preserve">COM VALOR</v>
      </c>
      <c r="L2703" s="36">
        <v>27.370000000000001</v>
      </c>
      <c r="M2703" s="37">
        <v>27.370000000000001</v>
      </c>
      <c r="N2703" s="36">
        <v>27.370000000000001</v>
      </c>
    </row>
    <row r="2704" ht="25.5">
      <c r="A2704" s="19" t="s">
        <v>10460</v>
      </c>
      <c r="B2704" s="19">
        <v>3924</v>
      </c>
      <c r="C2704" s="20" t="s">
        <v>13170</v>
      </c>
      <c r="D2704" s="19" t="s">
        <v>31</v>
      </c>
      <c r="E2704" s="19" t="s">
        <v>10459</v>
      </c>
      <c r="F2704" s="21">
        <f t="shared" si="566"/>
        <v>27.370000000000001</v>
      </c>
      <c r="G2704" s="21">
        <f t="shared" si="566"/>
        <v>27.370000000000001</v>
      </c>
      <c r="H2704" s="21">
        <f t="shared" si="566"/>
        <v>27.370000000000001</v>
      </c>
      <c r="I2704" s="24" t="str">
        <f t="shared" si="567"/>
        <v xml:space="preserve">COM VALOR</v>
      </c>
      <c r="L2704" s="36">
        <v>27.370000000000001</v>
      </c>
      <c r="M2704" s="37">
        <v>27.370000000000001</v>
      </c>
      <c r="N2704" s="36">
        <v>27.370000000000001</v>
      </c>
    </row>
    <row r="2705" ht="25.5">
      <c r="A2705" s="19" t="s">
        <v>10460</v>
      </c>
      <c r="B2705" s="19">
        <v>3922</v>
      </c>
      <c r="C2705" s="20" t="s">
        <v>13171</v>
      </c>
      <c r="D2705" s="19" t="s">
        <v>31</v>
      </c>
      <c r="E2705" s="19" t="s">
        <v>10459</v>
      </c>
      <c r="F2705" s="21">
        <f t="shared" si="566"/>
        <v>25.170000000000002</v>
      </c>
      <c r="G2705" s="21">
        <f t="shared" si="566"/>
        <v>25.170000000000002</v>
      </c>
      <c r="H2705" s="21">
        <f t="shared" si="566"/>
        <v>25.170000000000002</v>
      </c>
      <c r="I2705" s="24" t="str">
        <f t="shared" si="567"/>
        <v xml:space="preserve">COM VALOR</v>
      </c>
      <c r="L2705" s="36">
        <v>25.170000000000002</v>
      </c>
      <c r="M2705" s="37">
        <v>25.170000000000002</v>
      </c>
      <c r="N2705" s="36">
        <v>25.170000000000002</v>
      </c>
    </row>
    <row r="2706" ht="25.5">
      <c r="A2706" s="19" t="s">
        <v>10460</v>
      </c>
      <c r="B2706" s="19">
        <v>3923</v>
      </c>
      <c r="C2706" s="20" t="s">
        <v>13172</v>
      </c>
      <c r="D2706" s="19" t="s">
        <v>31</v>
      </c>
      <c r="E2706" s="19" t="s">
        <v>10459</v>
      </c>
      <c r="F2706" s="21">
        <f t="shared" si="566"/>
        <v>27.370000000000001</v>
      </c>
      <c r="G2706" s="21">
        <f t="shared" si="566"/>
        <v>27.370000000000001</v>
      </c>
      <c r="H2706" s="21">
        <f t="shared" si="566"/>
        <v>27.370000000000001</v>
      </c>
      <c r="I2706" s="24" t="str">
        <f t="shared" si="567"/>
        <v xml:space="preserve">COM VALOR</v>
      </c>
      <c r="L2706" s="36">
        <v>27.370000000000001</v>
      </c>
      <c r="M2706" s="37">
        <v>27.370000000000001</v>
      </c>
      <c r="N2706" s="36">
        <v>27.370000000000001</v>
      </c>
    </row>
    <row r="2707" ht="25.5">
      <c r="A2707" s="19" t="s">
        <v>10460</v>
      </c>
      <c r="B2707" s="19">
        <v>3921</v>
      </c>
      <c r="C2707" s="20" t="s">
        <v>13173</v>
      </c>
      <c r="D2707" s="19" t="s">
        <v>31</v>
      </c>
      <c r="E2707" s="19" t="s">
        <v>10459</v>
      </c>
      <c r="F2707" s="21">
        <f t="shared" si="566"/>
        <v>22.59</v>
      </c>
      <c r="G2707" s="21">
        <f t="shared" si="566"/>
        <v>22.59</v>
      </c>
      <c r="H2707" s="21">
        <f t="shared" si="566"/>
        <v>22.59</v>
      </c>
      <c r="I2707" s="24" t="str">
        <f t="shared" si="567"/>
        <v xml:space="preserve">COM VALOR</v>
      </c>
      <c r="L2707" s="36">
        <v>22.59</v>
      </c>
      <c r="M2707" s="37">
        <v>22.59</v>
      </c>
      <c r="N2707" s="36">
        <v>22.59</v>
      </c>
    </row>
    <row r="2708" ht="25.5">
      <c r="A2708" s="19" t="s">
        <v>10460</v>
      </c>
      <c r="B2708" s="19">
        <v>3937</v>
      </c>
      <c r="C2708" s="20" t="s">
        <v>13174</v>
      </c>
      <c r="D2708" s="19" t="s">
        <v>31</v>
      </c>
      <c r="E2708" s="19" t="s">
        <v>10459</v>
      </c>
      <c r="F2708" s="21">
        <f t="shared" si="566"/>
        <v>22.579999999999998</v>
      </c>
      <c r="G2708" s="21">
        <f t="shared" si="566"/>
        <v>22.579999999999998</v>
      </c>
      <c r="H2708" s="21">
        <f t="shared" si="566"/>
        <v>22.579999999999998</v>
      </c>
      <c r="I2708" s="24" t="str">
        <f t="shared" si="567"/>
        <v xml:space="preserve">COM VALOR</v>
      </c>
      <c r="L2708" s="36">
        <v>22.579999999999998</v>
      </c>
      <c r="M2708" s="37">
        <v>22.579999999999998</v>
      </c>
      <c r="N2708" s="36">
        <v>22.579999999999998</v>
      </c>
    </row>
    <row r="2709" ht="25.5">
      <c r="A2709" s="19" t="s">
        <v>10460</v>
      </c>
      <c r="B2709" s="19">
        <v>3920</v>
      </c>
      <c r="C2709" s="20" t="s">
        <v>13175</v>
      </c>
      <c r="D2709" s="19" t="s">
        <v>31</v>
      </c>
      <c r="E2709" s="19" t="s">
        <v>10459</v>
      </c>
      <c r="F2709" s="21">
        <f t="shared" si="566"/>
        <v>22.579999999999998</v>
      </c>
      <c r="G2709" s="21">
        <f t="shared" si="566"/>
        <v>22.579999999999998</v>
      </c>
      <c r="H2709" s="21">
        <f t="shared" si="566"/>
        <v>22.579999999999998</v>
      </c>
      <c r="I2709" s="24" t="str">
        <f t="shared" si="567"/>
        <v xml:space="preserve">COM VALOR</v>
      </c>
      <c r="L2709" s="36">
        <v>22.579999999999998</v>
      </c>
      <c r="M2709" s="37">
        <v>22.579999999999998</v>
      </c>
      <c r="N2709" s="36">
        <v>22.579999999999998</v>
      </c>
    </row>
    <row r="2710" ht="25.5">
      <c r="A2710" s="19" t="s">
        <v>10460</v>
      </c>
      <c r="B2710" s="19">
        <v>3938</v>
      </c>
      <c r="C2710" s="20" t="s">
        <v>13176</v>
      </c>
      <c r="D2710" s="19" t="s">
        <v>31</v>
      </c>
      <c r="E2710" s="19" t="s">
        <v>10459</v>
      </c>
      <c r="F2710" s="21">
        <f t="shared" si="566"/>
        <v>14.890000000000001</v>
      </c>
      <c r="G2710" s="21">
        <f t="shared" si="566"/>
        <v>14.890000000000001</v>
      </c>
      <c r="H2710" s="21">
        <f t="shared" si="566"/>
        <v>14.890000000000001</v>
      </c>
      <c r="I2710" s="24" t="str">
        <f t="shared" si="567"/>
        <v xml:space="preserve">COM VALOR</v>
      </c>
      <c r="L2710" s="36">
        <v>14.890000000000001</v>
      </c>
      <c r="M2710" s="37">
        <v>14.890000000000001</v>
      </c>
      <c r="N2710" s="36">
        <v>14.890000000000001</v>
      </c>
    </row>
    <row r="2711" ht="25.5">
      <c r="A2711" s="19" t="s">
        <v>10460</v>
      </c>
      <c r="B2711" s="19">
        <v>3919</v>
      </c>
      <c r="C2711" s="20" t="s">
        <v>13177</v>
      </c>
      <c r="D2711" s="19" t="s">
        <v>31</v>
      </c>
      <c r="E2711" s="19" t="s">
        <v>10459</v>
      </c>
      <c r="F2711" s="21">
        <f t="shared" si="566"/>
        <v>15.17</v>
      </c>
      <c r="G2711" s="21">
        <f t="shared" si="566"/>
        <v>15.17</v>
      </c>
      <c r="H2711" s="21">
        <f t="shared" si="566"/>
        <v>15.17</v>
      </c>
      <c r="I2711" s="24" t="str">
        <f t="shared" si="567"/>
        <v xml:space="preserve">COM VALOR</v>
      </c>
      <c r="L2711" s="36">
        <v>15.17</v>
      </c>
      <c r="M2711" s="37">
        <v>15.17</v>
      </c>
      <c r="N2711" s="36">
        <v>15.17</v>
      </c>
    </row>
    <row r="2712" ht="25.5">
      <c r="A2712" s="19" t="s">
        <v>10460</v>
      </c>
      <c r="B2712" s="19">
        <v>3927</v>
      </c>
      <c r="C2712" s="20" t="s">
        <v>13178</v>
      </c>
      <c r="D2712" s="19" t="s">
        <v>31</v>
      </c>
      <c r="E2712" s="19" t="s">
        <v>10459</v>
      </c>
      <c r="F2712" s="21">
        <f t="shared" si="566"/>
        <v>76.859999999999999</v>
      </c>
      <c r="G2712" s="21">
        <f t="shared" si="566"/>
        <v>76.859999999999999</v>
      </c>
      <c r="H2712" s="21">
        <f t="shared" si="566"/>
        <v>76.859999999999999</v>
      </c>
      <c r="I2712" s="24" t="str">
        <f t="shared" si="567"/>
        <v xml:space="preserve">COM VALOR</v>
      </c>
      <c r="L2712" s="36">
        <v>76.859999999999999</v>
      </c>
      <c r="M2712" s="37">
        <v>76.859999999999999</v>
      </c>
      <c r="N2712" s="36">
        <v>76.859999999999999</v>
      </c>
    </row>
    <row r="2713" ht="25.5">
      <c r="A2713" s="19" t="s">
        <v>10460</v>
      </c>
      <c r="B2713" s="19">
        <v>3928</v>
      </c>
      <c r="C2713" s="20" t="s">
        <v>13179</v>
      </c>
      <c r="D2713" s="19" t="s">
        <v>31</v>
      </c>
      <c r="E2713" s="19" t="s">
        <v>10459</v>
      </c>
      <c r="F2713" s="21">
        <f t="shared" si="566"/>
        <v>76.859999999999999</v>
      </c>
      <c r="G2713" s="21">
        <f t="shared" si="566"/>
        <v>76.859999999999999</v>
      </c>
      <c r="H2713" s="21">
        <f t="shared" si="566"/>
        <v>76.859999999999999</v>
      </c>
      <c r="I2713" s="24" t="str">
        <f t="shared" si="567"/>
        <v xml:space="preserve">COM VALOR</v>
      </c>
      <c r="L2713" s="36">
        <v>76.859999999999999</v>
      </c>
      <c r="M2713" s="37">
        <v>76.859999999999999</v>
      </c>
      <c r="N2713" s="36">
        <v>76.859999999999999</v>
      </c>
    </row>
    <row r="2714" ht="25.5">
      <c r="A2714" s="19" t="s">
        <v>10460</v>
      </c>
      <c r="B2714" s="19">
        <v>3926</v>
      </c>
      <c r="C2714" s="20" t="s">
        <v>13180</v>
      </c>
      <c r="D2714" s="19" t="s">
        <v>31</v>
      </c>
      <c r="E2714" s="19" t="s">
        <v>10459</v>
      </c>
      <c r="F2714" s="21">
        <f t="shared" si="566"/>
        <v>43.82</v>
      </c>
      <c r="G2714" s="21">
        <f t="shared" si="566"/>
        <v>43.82</v>
      </c>
      <c r="H2714" s="21">
        <f t="shared" si="566"/>
        <v>43.82</v>
      </c>
      <c r="I2714" s="24" t="str">
        <f t="shared" si="567"/>
        <v xml:space="preserve">COM VALOR</v>
      </c>
      <c r="L2714" s="36">
        <v>43.82</v>
      </c>
      <c r="M2714" s="37">
        <v>43.82</v>
      </c>
      <c r="N2714" s="36">
        <v>43.82</v>
      </c>
    </row>
    <row r="2715" ht="25.5">
      <c r="A2715" s="19" t="s">
        <v>10460</v>
      </c>
      <c r="B2715" s="19">
        <v>3935</v>
      </c>
      <c r="C2715" s="20" t="s">
        <v>13181</v>
      </c>
      <c r="D2715" s="19" t="s">
        <v>31</v>
      </c>
      <c r="E2715" s="19" t="s">
        <v>10459</v>
      </c>
      <c r="F2715" s="21">
        <f t="shared" si="566"/>
        <v>43.82</v>
      </c>
      <c r="G2715" s="21">
        <f t="shared" si="566"/>
        <v>43.82</v>
      </c>
      <c r="H2715" s="21">
        <f t="shared" si="566"/>
        <v>43.82</v>
      </c>
      <c r="I2715" s="24" t="str">
        <f t="shared" si="567"/>
        <v xml:space="preserve">COM VALOR</v>
      </c>
      <c r="L2715" s="36">
        <v>43.82</v>
      </c>
      <c r="M2715" s="37">
        <v>43.82</v>
      </c>
      <c r="N2715" s="36">
        <v>43.82</v>
      </c>
    </row>
    <row r="2716" ht="25.5">
      <c r="A2716" s="19" t="s">
        <v>10460</v>
      </c>
      <c r="B2716" s="19">
        <v>3925</v>
      </c>
      <c r="C2716" s="20" t="s">
        <v>13182</v>
      </c>
      <c r="D2716" s="19" t="s">
        <v>31</v>
      </c>
      <c r="E2716" s="19" t="s">
        <v>10459</v>
      </c>
      <c r="F2716" s="21">
        <f t="shared" si="566"/>
        <v>43.82</v>
      </c>
      <c r="G2716" s="21">
        <f t="shared" si="566"/>
        <v>43.82</v>
      </c>
      <c r="H2716" s="21">
        <f t="shared" si="566"/>
        <v>43.82</v>
      </c>
      <c r="I2716" s="24" t="str">
        <f t="shared" si="567"/>
        <v xml:space="preserve">COM VALOR</v>
      </c>
      <c r="L2716" s="36">
        <v>43.82</v>
      </c>
      <c r="M2716" s="37">
        <v>43.82</v>
      </c>
      <c r="N2716" s="36">
        <v>43.82</v>
      </c>
    </row>
    <row r="2717" ht="25.5">
      <c r="A2717" s="19" t="s">
        <v>10460</v>
      </c>
      <c r="B2717" s="19">
        <v>3929</v>
      </c>
      <c r="C2717" s="20" t="s">
        <v>13183</v>
      </c>
      <c r="D2717" s="19" t="s">
        <v>31</v>
      </c>
      <c r="E2717" s="19" t="s">
        <v>10459</v>
      </c>
      <c r="F2717" s="21">
        <f t="shared" si="566"/>
        <v>117.09999999999999</v>
      </c>
      <c r="G2717" s="21">
        <f t="shared" si="566"/>
        <v>117.09999999999999</v>
      </c>
      <c r="H2717" s="21">
        <f t="shared" si="566"/>
        <v>117.09999999999999</v>
      </c>
      <c r="I2717" s="24" t="str">
        <f t="shared" si="567"/>
        <v xml:space="preserve">COM VALOR</v>
      </c>
      <c r="L2717" s="36">
        <v>117.09999999999999</v>
      </c>
      <c r="M2717" s="37">
        <v>117.09999999999999</v>
      </c>
      <c r="N2717" s="36">
        <v>117.09999999999999</v>
      </c>
    </row>
    <row r="2718" ht="25.5">
      <c r="A2718" s="19" t="s">
        <v>10460</v>
      </c>
      <c r="B2718" s="19">
        <v>3931</v>
      </c>
      <c r="C2718" s="20" t="s">
        <v>13184</v>
      </c>
      <c r="D2718" s="19" t="s">
        <v>31</v>
      </c>
      <c r="E2718" s="19" t="s">
        <v>10459</v>
      </c>
      <c r="F2718" s="21">
        <f t="shared" si="566"/>
        <v>117.09999999999999</v>
      </c>
      <c r="G2718" s="21">
        <f t="shared" si="566"/>
        <v>117.09999999999999</v>
      </c>
      <c r="H2718" s="21">
        <f t="shared" si="566"/>
        <v>117.09999999999999</v>
      </c>
      <c r="I2718" s="24" t="str">
        <f t="shared" si="567"/>
        <v xml:space="preserve">COM VALOR</v>
      </c>
      <c r="L2718" s="36">
        <v>117.09999999999999</v>
      </c>
      <c r="M2718" s="37">
        <v>117.09999999999999</v>
      </c>
      <c r="N2718" s="36">
        <v>117.09999999999999</v>
      </c>
    </row>
    <row r="2719" ht="25.5">
      <c r="A2719" s="19" t="s">
        <v>10460</v>
      </c>
      <c r="B2719" s="19">
        <v>3930</v>
      </c>
      <c r="C2719" s="20" t="s">
        <v>13185</v>
      </c>
      <c r="D2719" s="19" t="s">
        <v>31</v>
      </c>
      <c r="E2719" s="19" t="s">
        <v>10459</v>
      </c>
      <c r="F2719" s="21">
        <f t="shared" si="566"/>
        <v>117.09999999999999</v>
      </c>
      <c r="G2719" s="21">
        <f t="shared" si="566"/>
        <v>117.09999999999999</v>
      </c>
      <c r="H2719" s="21">
        <f t="shared" si="566"/>
        <v>117.09999999999999</v>
      </c>
      <c r="I2719" s="24" t="str">
        <f t="shared" si="567"/>
        <v xml:space="preserve">COM VALOR</v>
      </c>
      <c r="L2719" s="36">
        <v>117.09999999999999</v>
      </c>
      <c r="M2719" s="37">
        <v>117.09999999999999</v>
      </c>
      <c r="N2719" s="36">
        <v>117.09999999999999</v>
      </c>
    </row>
    <row r="2720" ht="25.5">
      <c r="A2720" s="19" t="s">
        <v>10460</v>
      </c>
      <c r="B2720" s="19">
        <v>12406</v>
      </c>
      <c r="C2720" s="20" t="s">
        <v>13186</v>
      </c>
      <c r="D2720" s="19" t="s">
        <v>31</v>
      </c>
      <c r="E2720" s="19" t="s">
        <v>10459</v>
      </c>
      <c r="F2720" s="21">
        <f t="shared" si="566"/>
        <v>10.76</v>
      </c>
      <c r="G2720" s="21">
        <f t="shared" si="566"/>
        <v>10.76</v>
      </c>
      <c r="H2720" s="21">
        <f t="shared" si="566"/>
        <v>10.76</v>
      </c>
      <c r="I2720" s="24" t="str">
        <f t="shared" si="567"/>
        <v xml:space="preserve">COM VALOR</v>
      </c>
      <c r="L2720" s="36">
        <v>10.76</v>
      </c>
      <c r="M2720" s="37">
        <v>10.76</v>
      </c>
      <c r="N2720" s="36">
        <v>10.76</v>
      </c>
    </row>
    <row r="2721" ht="25.5">
      <c r="A2721" s="19" t="s">
        <v>10460</v>
      </c>
      <c r="B2721" s="19">
        <v>3932</v>
      </c>
      <c r="C2721" s="20" t="s">
        <v>13187</v>
      </c>
      <c r="D2721" s="19" t="s">
        <v>31</v>
      </c>
      <c r="E2721" s="19" t="s">
        <v>10459</v>
      </c>
      <c r="F2721" s="21">
        <f t="shared" si="566"/>
        <v>202.19999999999999</v>
      </c>
      <c r="G2721" s="21">
        <f t="shared" si="566"/>
        <v>202.19999999999999</v>
      </c>
      <c r="H2721" s="21">
        <f t="shared" si="566"/>
        <v>202.19999999999999</v>
      </c>
      <c r="I2721" s="24" t="str">
        <f t="shared" si="567"/>
        <v xml:space="preserve">COM VALOR</v>
      </c>
      <c r="L2721" s="36">
        <v>202.19999999999999</v>
      </c>
      <c r="M2721" s="37">
        <v>202.19999999999999</v>
      </c>
      <c r="N2721" s="36">
        <v>202.19999999999999</v>
      </c>
    </row>
    <row r="2722" ht="25.5">
      <c r="A2722" s="19" t="s">
        <v>10460</v>
      </c>
      <c r="B2722" s="19">
        <v>3933</v>
      </c>
      <c r="C2722" s="20" t="s">
        <v>13188</v>
      </c>
      <c r="D2722" s="19" t="s">
        <v>31</v>
      </c>
      <c r="E2722" s="19" t="s">
        <v>10459</v>
      </c>
      <c r="F2722" s="21">
        <f t="shared" si="566"/>
        <v>202.19999999999999</v>
      </c>
      <c r="G2722" s="21">
        <f t="shared" si="566"/>
        <v>202.19999999999999</v>
      </c>
      <c r="H2722" s="21">
        <f t="shared" si="566"/>
        <v>202.19999999999999</v>
      </c>
      <c r="I2722" s="24" t="str">
        <f t="shared" si="567"/>
        <v xml:space="preserve">COM VALOR</v>
      </c>
      <c r="L2722" s="36">
        <v>202.19999999999999</v>
      </c>
      <c r="M2722" s="37">
        <v>202.19999999999999</v>
      </c>
      <c r="N2722" s="36">
        <v>202.19999999999999</v>
      </c>
    </row>
    <row r="2723" ht="25.5">
      <c r="A2723" s="19" t="s">
        <v>10460</v>
      </c>
      <c r="B2723" s="19">
        <v>3934</v>
      </c>
      <c r="C2723" s="20" t="s">
        <v>13189</v>
      </c>
      <c r="D2723" s="19" t="s">
        <v>31</v>
      </c>
      <c r="E2723" s="19" t="s">
        <v>10459</v>
      </c>
      <c r="F2723" s="21">
        <f t="shared" si="566"/>
        <v>202.19999999999999</v>
      </c>
      <c r="G2723" s="21">
        <f t="shared" si="566"/>
        <v>202.19999999999999</v>
      </c>
      <c r="H2723" s="21">
        <f t="shared" si="566"/>
        <v>202.19999999999999</v>
      </c>
      <c r="I2723" s="24" t="str">
        <f t="shared" si="567"/>
        <v xml:space="preserve">COM VALOR</v>
      </c>
      <c r="L2723" s="36">
        <v>202.19999999999999</v>
      </c>
      <c r="M2723" s="37">
        <v>202.19999999999999</v>
      </c>
      <c r="N2723" s="36">
        <v>202.19999999999999</v>
      </c>
    </row>
    <row r="2724" ht="25.5">
      <c r="A2724" s="19" t="s">
        <v>10460</v>
      </c>
      <c r="B2724" s="19">
        <v>40355</v>
      </c>
      <c r="C2724" s="20" t="s">
        <v>13190</v>
      </c>
      <c r="D2724" s="19" t="s">
        <v>31</v>
      </c>
      <c r="E2724" s="19" t="s">
        <v>10459</v>
      </c>
      <c r="F2724" s="21" t="str">
        <f t="shared" si="566"/>
        <v>VERIFICAR</v>
      </c>
      <c r="G2724" s="21" t="str">
        <f t="shared" si="566"/>
        <v>VERIFICAR</v>
      </c>
      <c r="H2724" s="21" t="str">
        <f t="shared" si="566"/>
        <v>VERIFICAR</v>
      </c>
      <c r="I2724" s="24" t="str">
        <f t="shared" si="567"/>
        <v xml:space="preserve">SEM VALOR</v>
      </c>
      <c r="L2724" s="36"/>
      <c r="M2724" s="37"/>
      <c r="N2724" s="36"/>
    </row>
    <row r="2725" ht="25.5">
      <c r="A2725" s="19" t="s">
        <v>10460</v>
      </c>
      <c r="B2725" s="19">
        <v>40364</v>
      </c>
      <c r="C2725" s="20" t="s">
        <v>13191</v>
      </c>
      <c r="D2725" s="19" t="s">
        <v>31</v>
      </c>
      <c r="E2725" s="19" t="s">
        <v>10459</v>
      </c>
      <c r="F2725" s="21" t="str">
        <f t="shared" si="566"/>
        <v>VERIFICAR</v>
      </c>
      <c r="G2725" s="21" t="str">
        <f t="shared" si="566"/>
        <v>VERIFICAR</v>
      </c>
      <c r="H2725" s="21" t="str">
        <f t="shared" si="566"/>
        <v>VERIFICAR</v>
      </c>
      <c r="I2725" s="24" t="str">
        <f t="shared" si="567"/>
        <v xml:space="preserve">SEM VALOR</v>
      </c>
      <c r="L2725" s="36"/>
      <c r="M2725" s="37"/>
      <c r="N2725" s="36"/>
    </row>
    <row r="2726" ht="25.5">
      <c r="A2726" s="19" t="s">
        <v>10460</v>
      </c>
      <c r="B2726" s="19">
        <v>40361</v>
      </c>
      <c r="C2726" s="20" t="s">
        <v>13192</v>
      </c>
      <c r="D2726" s="19" t="s">
        <v>31</v>
      </c>
      <c r="E2726" s="19" t="s">
        <v>10459</v>
      </c>
      <c r="F2726" s="21" t="str">
        <f t="shared" si="566"/>
        <v>VERIFICAR</v>
      </c>
      <c r="G2726" s="21" t="str">
        <f t="shared" si="566"/>
        <v>VERIFICAR</v>
      </c>
      <c r="H2726" s="21" t="str">
        <f t="shared" si="566"/>
        <v>VERIFICAR</v>
      </c>
      <c r="I2726" s="24" t="str">
        <f t="shared" si="567"/>
        <v xml:space="preserve">SEM VALOR</v>
      </c>
      <c r="L2726" s="36"/>
      <c r="M2726" s="37"/>
      <c r="N2726" s="36"/>
    </row>
    <row r="2727" ht="25.5">
      <c r="A2727" s="19" t="s">
        <v>10460</v>
      </c>
      <c r="B2727" s="19">
        <v>40358</v>
      </c>
      <c r="C2727" s="20" t="s">
        <v>13193</v>
      </c>
      <c r="D2727" s="19" t="s">
        <v>31</v>
      </c>
      <c r="E2727" s="19" t="s">
        <v>10459</v>
      </c>
      <c r="F2727" s="21" t="str">
        <f t="shared" si="566"/>
        <v>VERIFICAR</v>
      </c>
      <c r="G2727" s="21" t="str">
        <f t="shared" si="566"/>
        <v>VERIFICAR</v>
      </c>
      <c r="H2727" s="21" t="str">
        <f t="shared" si="566"/>
        <v>VERIFICAR</v>
      </c>
      <c r="I2727" s="24" t="str">
        <f t="shared" si="567"/>
        <v xml:space="preserve">SEM VALOR</v>
      </c>
      <c r="L2727" s="36"/>
      <c r="M2727" s="37"/>
      <c r="N2727" s="36"/>
    </row>
    <row r="2728" ht="25.5">
      <c r="A2728" s="19" t="s">
        <v>10460</v>
      </c>
      <c r="B2728" s="19">
        <v>40370</v>
      </c>
      <c r="C2728" s="20" t="s">
        <v>13194</v>
      </c>
      <c r="D2728" s="19" t="s">
        <v>31</v>
      </c>
      <c r="E2728" s="19" t="s">
        <v>10459</v>
      </c>
      <c r="F2728" s="21" t="str">
        <f t="shared" si="566"/>
        <v>VERIFICAR</v>
      </c>
      <c r="G2728" s="21" t="str">
        <f t="shared" si="566"/>
        <v>VERIFICAR</v>
      </c>
      <c r="H2728" s="21" t="str">
        <f t="shared" si="566"/>
        <v>VERIFICAR</v>
      </c>
      <c r="I2728" s="24" t="str">
        <f t="shared" si="567"/>
        <v xml:space="preserve">SEM VALOR</v>
      </c>
      <c r="L2728" s="36"/>
      <c r="M2728" s="37"/>
      <c r="N2728" s="36"/>
    </row>
    <row r="2729" ht="25.5">
      <c r="A2729" s="19" t="s">
        <v>10460</v>
      </c>
      <c r="B2729" s="19">
        <v>40367</v>
      </c>
      <c r="C2729" s="20" t="s">
        <v>13195</v>
      </c>
      <c r="D2729" s="19" t="s">
        <v>31</v>
      </c>
      <c r="E2729" s="19" t="s">
        <v>10459</v>
      </c>
      <c r="F2729" s="21" t="str">
        <f t="shared" si="566"/>
        <v>VERIFICAR</v>
      </c>
      <c r="G2729" s="21" t="str">
        <f t="shared" si="566"/>
        <v>VERIFICAR</v>
      </c>
      <c r="H2729" s="21" t="str">
        <f t="shared" si="566"/>
        <v>VERIFICAR</v>
      </c>
      <c r="I2729" s="24" t="str">
        <f t="shared" si="567"/>
        <v xml:space="preserve">SEM VALOR</v>
      </c>
      <c r="L2729" s="36"/>
      <c r="M2729" s="37"/>
      <c r="N2729" s="36"/>
    </row>
    <row r="2730" ht="25.5">
      <c r="A2730" s="19" t="s">
        <v>10460</v>
      </c>
      <c r="B2730" s="19">
        <v>40373</v>
      </c>
      <c r="C2730" s="20" t="s">
        <v>13196</v>
      </c>
      <c r="D2730" s="19" t="s">
        <v>31</v>
      </c>
      <c r="E2730" s="19" t="s">
        <v>10459</v>
      </c>
      <c r="F2730" s="21" t="str">
        <f t="shared" si="566"/>
        <v>VERIFICAR</v>
      </c>
      <c r="G2730" s="21" t="str">
        <f t="shared" si="566"/>
        <v>VERIFICAR</v>
      </c>
      <c r="H2730" s="21" t="str">
        <f t="shared" si="566"/>
        <v>VERIFICAR</v>
      </c>
      <c r="I2730" s="24" t="str">
        <f t="shared" si="567"/>
        <v xml:space="preserve">SEM VALOR</v>
      </c>
      <c r="L2730" s="36"/>
      <c r="M2730" s="37"/>
      <c r="N2730" s="36"/>
    </row>
    <row r="2731" ht="25.5">
      <c r="A2731" s="19" t="s">
        <v>10460</v>
      </c>
      <c r="B2731" s="19">
        <v>3907</v>
      </c>
      <c r="C2731" s="20" t="s">
        <v>13197</v>
      </c>
      <c r="D2731" s="19" t="s">
        <v>31</v>
      </c>
      <c r="E2731" s="19" t="s">
        <v>10459</v>
      </c>
      <c r="F2731" s="21">
        <f t="shared" si="566"/>
        <v>5.5999999999999996</v>
      </c>
      <c r="G2731" s="21">
        <f t="shared" si="566"/>
        <v>5.5999999999999996</v>
      </c>
      <c r="H2731" s="21">
        <f t="shared" si="566"/>
        <v>5.5999999999999996</v>
      </c>
      <c r="I2731" s="24" t="str">
        <f t="shared" si="567"/>
        <v xml:space="preserve">COM VALOR</v>
      </c>
      <c r="L2731" s="36">
        <v>5.5999999999999996</v>
      </c>
      <c r="M2731" s="37">
        <v>5.5999999999999996</v>
      </c>
      <c r="N2731" s="36">
        <v>5.5999999999999996</v>
      </c>
    </row>
    <row r="2732" ht="25.5">
      <c r="A2732" s="19" t="s">
        <v>10460</v>
      </c>
      <c r="B2732" s="19">
        <v>3889</v>
      </c>
      <c r="C2732" s="20" t="s">
        <v>13198</v>
      </c>
      <c r="D2732" s="19" t="s">
        <v>31</v>
      </c>
      <c r="E2732" s="19" t="s">
        <v>10459</v>
      </c>
      <c r="F2732" s="21">
        <f t="shared" si="566"/>
        <v>3.98</v>
      </c>
      <c r="G2732" s="21">
        <f t="shared" si="566"/>
        <v>3.98</v>
      </c>
      <c r="H2732" s="21">
        <f t="shared" si="566"/>
        <v>3.98</v>
      </c>
      <c r="I2732" s="24" t="str">
        <f t="shared" si="567"/>
        <v xml:space="preserve">COM VALOR</v>
      </c>
      <c r="L2732" s="36">
        <v>3.98</v>
      </c>
      <c r="M2732" s="37">
        <v>3.98</v>
      </c>
      <c r="N2732" s="36">
        <v>3.98</v>
      </c>
    </row>
    <row r="2733" ht="25.5">
      <c r="A2733" s="19" t="s">
        <v>10460</v>
      </c>
      <c r="B2733" s="19">
        <v>3868</v>
      </c>
      <c r="C2733" s="20" t="s">
        <v>13199</v>
      </c>
      <c r="D2733" s="19" t="s">
        <v>31</v>
      </c>
      <c r="E2733" s="19" t="s">
        <v>10459</v>
      </c>
      <c r="F2733" s="21">
        <f t="shared" si="566"/>
        <v>1.46</v>
      </c>
      <c r="G2733" s="21">
        <f t="shared" si="566"/>
        <v>1.46</v>
      </c>
      <c r="H2733" s="21">
        <f t="shared" si="566"/>
        <v>1.46</v>
      </c>
      <c r="I2733" s="24" t="str">
        <f t="shared" si="567"/>
        <v xml:space="preserve">COM VALOR</v>
      </c>
      <c r="L2733" s="36">
        <v>1.46</v>
      </c>
      <c r="M2733" s="37">
        <v>1.46</v>
      </c>
      <c r="N2733" s="36">
        <v>1.46</v>
      </c>
    </row>
    <row r="2734" ht="25.5">
      <c r="A2734" s="19" t="s">
        <v>10460</v>
      </c>
      <c r="B2734" s="19">
        <v>3869</v>
      </c>
      <c r="C2734" s="20" t="s">
        <v>13200</v>
      </c>
      <c r="D2734" s="19" t="s">
        <v>31</v>
      </c>
      <c r="E2734" s="19" t="s">
        <v>10459</v>
      </c>
      <c r="F2734" s="21">
        <f t="shared" si="566"/>
        <v>3.2400000000000002</v>
      </c>
      <c r="G2734" s="21">
        <f t="shared" si="566"/>
        <v>3.2400000000000002</v>
      </c>
      <c r="H2734" s="21">
        <f t="shared" si="566"/>
        <v>3.2400000000000002</v>
      </c>
      <c r="I2734" s="24" t="str">
        <f t="shared" si="567"/>
        <v xml:space="preserve">COM VALOR</v>
      </c>
      <c r="L2734" s="36">
        <v>3.2400000000000002</v>
      </c>
      <c r="M2734" s="37">
        <v>3.2400000000000002</v>
      </c>
      <c r="N2734" s="36">
        <v>3.2400000000000002</v>
      </c>
    </row>
    <row r="2735" ht="25.5">
      <c r="A2735" s="19" t="s">
        <v>10460</v>
      </c>
      <c r="B2735" s="19">
        <v>3872</v>
      </c>
      <c r="C2735" s="20" t="s">
        <v>13201</v>
      </c>
      <c r="D2735" s="19" t="s">
        <v>31</v>
      </c>
      <c r="E2735" s="19" t="s">
        <v>10459</v>
      </c>
      <c r="F2735" s="21">
        <f t="shared" si="566"/>
        <v>5.5199999999999996</v>
      </c>
      <c r="G2735" s="21">
        <f t="shared" si="566"/>
        <v>5.5199999999999996</v>
      </c>
      <c r="H2735" s="21">
        <f t="shared" si="566"/>
        <v>5.5199999999999996</v>
      </c>
      <c r="I2735" s="24" t="str">
        <f t="shared" si="567"/>
        <v xml:space="preserve">COM VALOR</v>
      </c>
      <c r="L2735" s="36">
        <v>5.5199999999999996</v>
      </c>
      <c r="M2735" s="37">
        <v>5.5199999999999996</v>
      </c>
      <c r="N2735" s="36">
        <v>5.5199999999999996</v>
      </c>
    </row>
    <row r="2736" ht="25.5">
      <c r="A2736" s="19" t="s">
        <v>10460</v>
      </c>
      <c r="B2736" s="19">
        <v>3850</v>
      </c>
      <c r="C2736" s="20" t="s">
        <v>13202</v>
      </c>
      <c r="D2736" s="19" t="s">
        <v>31</v>
      </c>
      <c r="E2736" s="19" t="s">
        <v>10459</v>
      </c>
      <c r="F2736" s="21">
        <f t="shared" si="566"/>
        <v>12.75</v>
      </c>
      <c r="G2736" s="21">
        <f t="shared" si="566"/>
        <v>12.75</v>
      </c>
      <c r="H2736" s="21">
        <f t="shared" si="566"/>
        <v>12.75</v>
      </c>
      <c r="I2736" s="24" t="str">
        <f t="shared" si="567"/>
        <v xml:space="preserve">COM VALOR</v>
      </c>
      <c r="L2736" s="36">
        <v>12.75</v>
      </c>
      <c r="M2736" s="37">
        <v>12.75</v>
      </c>
      <c r="N2736" s="36">
        <v>12.75</v>
      </c>
    </row>
    <row r="2737" ht="25.5">
      <c r="A2737" s="19" t="s">
        <v>10460</v>
      </c>
      <c r="B2737" s="19">
        <v>38023</v>
      </c>
      <c r="C2737" s="20" t="s">
        <v>13203</v>
      </c>
      <c r="D2737" s="19" t="s">
        <v>31</v>
      </c>
      <c r="E2737" s="19" t="s">
        <v>10459</v>
      </c>
      <c r="F2737" s="21">
        <f t="shared" si="566"/>
        <v>6.4900000000000002</v>
      </c>
      <c r="G2737" s="21">
        <f t="shared" si="566"/>
        <v>6.4900000000000002</v>
      </c>
      <c r="H2737" s="21">
        <f t="shared" si="566"/>
        <v>6.4900000000000002</v>
      </c>
      <c r="I2737" s="24" t="str">
        <f t="shared" si="567"/>
        <v xml:space="preserve">COM VALOR</v>
      </c>
      <c r="L2737" s="36">
        <v>6.4900000000000002</v>
      </c>
      <c r="M2737" s="37">
        <v>6.4900000000000002</v>
      </c>
      <c r="N2737" s="36">
        <v>6.4900000000000002</v>
      </c>
    </row>
    <row r="2738" ht="25.5">
      <c r="A2738" s="19" t="s">
        <v>10460</v>
      </c>
      <c r="B2738" s="19">
        <v>37986</v>
      </c>
      <c r="C2738" s="20" t="s">
        <v>13204</v>
      </c>
      <c r="D2738" s="19" t="s">
        <v>31</v>
      </c>
      <c r="E2738" s="19" t="s">
        <v>10459</v>
      </c>
      <c r="F2738" s="21">
        <f t="shared" si="566"/>
        <v>2.6899999999999999</v>
      </c>
      <c r="G2738" s="21">
        <f t="shared" si="566"/>
        <v>2.6899999999999999</v>
      </c>
      <c r="H2738" s="21">
        <f t="shared" si="566"/>
        <v>2.6899999999999999</v>
      </c>
      <c r="I2738" s="24" t="str">
        <f t="shared" si="567"/>
        <v xml:space="preserve">COM VALOR</v>
      </c>
      <c r="L2738" s="36">
        <v>2.6899999999999999</v>
      </c>
      <c r="M2738" s="37">
        <v>2.6899999999999999</v>
      </c>
      <c r="N2738" s="36">
        <v>2.6899999999999999</v>
      </c>
    </row>
    <row r="2739" ht="25.5">
      <c r="A2739" s="19" t="s">
        <v>10460</v>
      </c>
      <c r="B2739" s="19">
        <v>21120</v>
      </c>
      <c r="C2739" s="20" t="s">
        <v>13205</v>
      </c>
      <c r="D2739" s="19" t="s">
        <v>31</v>
      </c>
      <c r="E2739" s="19" t="s">
        <v>10459</v>
      </c>
      <c r="F2739" s="21">
        <f t="shared" si="566"/>
        <v>13.73</v>
      </c>
      <c r="G2739" s="21">
        <f t="shared" si="566"/>
        <v>13.73</v>
      </c>
      <c r="H2739" s="21">
        <f t="shared" si="566"/>
        <v>13.73</v>
      </c>
      <c r="I2739" s="24" t="str">
        <f t="shared" si="567"/>
        <v xml:space="preserve">COM VALOR</v>
      </c>
      <c r="L2739" s="36">
        <v>13.73</v>
      </c>
      <c r="M2739" s="37">
        <v>13.73</v>
      </c>
      <c r="N2739" s="36">
        <v>13.73</v>
      </c>
    </row>
    <row r="2740" ht="12.75">
      <c r="A2740" s="19" t="s">
        <v>10460</v>
      </c>
      <c r="B2740" s="19">
        <v>39318</v>
      </c>
      <c r="C2740" s="20" t="s">
        <v>13206</v>
      </c>
      <c r="D2740" s="19" t="s">
        <v>31</v>
      </c>
      <c r="E2740" s="19" t="s">
        <v>10459</v>
      </c>
      <c r="F2740" s="21">
        <f t="shared" si="566"/>
        <v>12.77</v>
      </c>
      <c r="G2740" s="21">
        <f t="shared" si="566"/>
        <v>12.77</v>
      </c>
      <c r="H2740" s="21">
        <f t="shared" si="566"/>
        <v>12.77</v>
      </c>
      <c r="I2740" s="24" t="str">
        <f t="shared" si="567"/>
        <v xml:space="preserve">COM VALOR</v>
      </c>
      <c r="L2740" s="36">
        <v>12.77</v>
      </c>
      <c r="M2740" s="37">
        <v>12.77</v>
      </c>
      <c r="N2740" s="36">
        <v>12.77</v>
      </c>
    </row>
    <row r="2741" ht="25.5">
      <c r="A2741" s="19" t="s">
        <v>10460</v>
      </c>
      <c r="B2741" s="19">
        <v>37987</v>
      </c>
      <c r="C2741" s="20" t="s">
        <v>13207</v>
      </c>
      <c r="D2741" s="19" t="s">
        <v>31</v>
      </c>
      <c r="E2741" s="19" t="s">
        <v>10459</v>
      </c>
      <c r="F2741" s="21">
        <f t="shared" si="566"/>
        <v>134.27000000000001</v>
      </c>
      <c r="G2741" s="21">
        <f t="shared" si="566"/>
        <v>134.27000000000001</v>
      </c>
      <c r="H2741" s="21">
        <f t="shared" si="566"/>
        <v>134.27000000000001</v>
      </c>
      <c r="I2741" s="24" t="str">
        <f t="shared" si="567"/>
        <v xml:space="preserve">COM VALOR</v>
      </c>
      <c r="L2741" s="36">
        <v>134.27000000000001</v>
      </c>
      <c r="M2741" s="37">
        <v>134.27000000000001</v>
      </c>
      <c r="N2741" s="36">
        <v>134.27000000000001</v>
      </c>
    </row>
    <row r="2742" ht="25.5">
      <c r="A2742" s="19" t="s">
        <v>10460</v>
      </c>
      <c r="B2742" s="19">
        <v>37988</v>
      </c>
      <c r="C2742" s="20" t="s">
        <v>13208</v>
      </c>
      <c r="D2742" s="19" t="s">
        <v>31</v>
      </c>
      <c r="E2742" s="19" t="s">
        <v>10459</v>
      </c>
      <c r="F2742" s="21">
        <f t="shared" si="566"/>
        <v>213.36000000000001</v>
      </c>
      <c r="G2742" s="21">
        <f t="shared" si="566"/>
        <v>213.36000000000001</v>
      </c>
      <c r="H2742" s="21">
        <f t="shared" si="566"/>
        <v>213.36000000000001</v>
      </c>
      <c r="I2742" s="24" t="str">
        <f t="shared" si="567"/>
        <v xml:space="preserve">COM VALOR</v>
      </c>
      <c r="L2742" s="36">
        <v>213.36000000000001</v>
      </c>
      <c r="M2742" s="37">
        <v>213.36000000000001</v>
      </c>
      <c r="N2742" s="36">
        <v>213.36000000000001</v>
      </c>
    </row>
    <row r="2743" ht="25.5">
      <c r="A2743" s="19" t="s">
        <v>10460</v>
      </c>
      <c r="B2743" s="19">
        <v>40366</v>
      </c>
      <c r="C2743" s="20" t="s">
        <v>13209</v>
      </c>
      <c r="D2743" s="19" t="s">
        <v>31</v>
      </c>
      <c r="E2743" s="19" t="s">
        <v>10459</v>
      </c>
      <c r="F2743" s="21" t="str">
        <f t="shared" si="566"/>
        <v>VERIFICAR</v>
      </c>
      <c r="G2743" s="21" t="str">
        <f t="shared" si="566"/>
        <v>VERIFICAR</v>
      </c>
      <c r="H2743" s="21" t="str">
        <f t="shared" si="566"/>
        <v>VERIFICAR</v>
      </c>
      <c r="I2743" s="24" t="str">
        <f t="shared" si="567"/>
        <v xml:space="preserve">SEM VALOR</v>
      </c>
      <c r="L2743" s="36"/>
      <c r="M2743" s="37"/>
      <c r="N2743" s="36"/>
    </row>
    <row r="2744" ht="25.5">
      <c r="A2744" s="19" t="s">
        <v>10460</v>
      </c>
      <c r="B2744" s="19">
        <v>40363</v>
      </c>
      <c r="C2744" s="20" t="s">
        <v>13210</v>
      </c>
      <c r="D2744" s="19" t="s">
        <v>31</v>
      </c>
      <c r="E2744" s="19" t="s">
        <v>10459</v>
      </c>
      <c r="F2744" s="21" t="str">
        <f t="shared" si="566"/>
        <v>VERIFICAR</v>
      </c>
      <c r="G2744" s="21" t="str">
        <f t="shared" si="566"/>
        <v>VERIFICAR</v>
      </c>
      <c r="H2744" s="21" t="str">
        <f t="shared" si="566"/>
        <v>VERIFICAR</v>
      </c>
      <c r="I2744" s="24" t="str">
        <f t="shared" si="567"/>
        <v xml:space="preserve">SEM VALOR</v>
      </c>
      <c r="L2744" s="36"/>
      <c r="M2744" s="37"/>
      <c r="N2744" s="36"/>
    </row>
    <row r="2745" ht="25.5">
      <c r="A2745" s="19" t="s">
        <v>10460</v>
      </c>
      <c r="B2745" s="19">
        <v>40360</v>
      </c>
      <c r="C2745" s="20" t="s">
        <v>13211</v>
      </c>
      <c r="D2745" s="19" t="s">
        <v>31</v>
      </c>
      <c r="E2745" s="19" t="s">
        <v>10459</v>
      </c>
      <c r="F2745" s="21" t="str">
        <f t="shared" si="566"/>
        <v>VERIFICAR</v>
      </c>
      <c r="G2745" s="21" t="str">
        <f t="shared" si="566"/>
        <v>VERIFICAR</v>
      </c>
      <c r="H2745" s="21" t="str">
        <f t="shared" si="566"/>
        <v>VERIFICAR</v>
      </c>
      <c r="I2745" s="24" t="str">
        <f t="shared" si="567"/>
        <v xml:space="preserve">SEM VALOR</v>
      </c>
      <c r="L2745" s="36"/>
      <c r="M2745" s="37"/>
      <c r="N2745" s="36"/>
    </row>
    <row r="2746" ht="25.5">
      <c r="A2746" s="19" t="s">
        <v>10460</v>
      </c>
      <c r="B2746" s="19">
        <v>40354</v>
      </c>
      <c r="C2746" s="20" t="s">
        <v>13212</v>
      </c>
      <c r="D2746" s="19" t="s">
        <v>31</v>
      </c>
      <c r="E2746" s="19" t="s">
        <v>10466</v>
      </c>
      <c r="F2746" s="21" t="str">
        <f t="shared" si="566"/>
        <v>VERIFICAR</v>
      </c>
      <c r="G2746" s="21" t="str">
        <f t="shared" si="566"/>
        <v>VERIFICAR</v>
      </c>
      <c r="H2746" s="21" t="str">
        <f t="shared" si="566"/>
        <v>VERIFICAR</v>
      </c>
      <c r="I2746" s="24" t="str">
        <f t="shared" si="567"/>
        <v xml:space="preserve">SEM VALOR</v>
      </c>
      <c r="L2746" s="36"/>
      <c r="M2746" s="37"/>
      <c r="N2746" s="36"/>
    </row>
    <row r="2747" ht="25.5">
      <c r="A2747" s="19" t="s">
        <v>10460</v>
      </c>
      <c r="B2747" s="19">
        <v>40372</v>
      </c>
      <c r="C2747" s="20" t="s">
        <v>13213</v>
      </c>
      <c r="D2747" s="19" t="s">
        <v>31</v>
      </c>
      <c r="E2747" s="19" t="s">
        <v>10459</v>
      </c>
      <c r="F2747" s="21" t="str">
        <f t="shared" si="566"/>
        <v>VERIFICAR</v>
      </c>
      <c r="G2747" s="21" t="str">
        <f t="shared" si="566"/>
        <v>VERIFICAR</v>
      </c>
      <c r="H2747" s="21" t="str">
        <f t="shared" si="566"/>
        <v>VERIFICAR</v>
      </c>
      <c r="I2747" s="24" t="str">
        <f t="shared" si="567"/>
        <v xml:space="preserve">SEM VALOR</v>
      </c>
      <c r="L2747" s="36"/>
      <c r="M2747" s="37"/>
      <c r="N2747" s="36"/>
    </row>
    <row r="2748" ht="25.5">
      <c r="A2748" s="19" t="s">
        <v>10460</v>
      </c>
      <c r="B2748" s="19">
        <v>40369</v>
      </c>
      <c r="C2748" s="20" t="s">
        <v>13214</v>
      </c>
      <c r="D2748" s="19" t="s">
        <v>31</v>
      </c>
      <c r="E2748" s="19" t="s">
        <v>10459</v>
      </c>
      <c r="F2748" s="21" t="str">
        <f t="shared" si="566"/>
        <v>VERIFICAR</v>
      </c>
      <c r="G2748" s="21" t="str">
        <f t="shared" si="566"/>
        <v>VERIFICAR</v>
      </c>
      <c r="H2748" s="21" t="str">
        <f t="shared" si="566"/>
        <v>VERIFICAR</v>
      </c>
      <c r="I2748" s="24" t="str">
        <f t="shared" si="567"/>
        <v xml:space="preserve">SEM VALOR</v>
      </c>
      <c r="L2748" s="36"/>
      <c r="M2748" s="37"/>
      <c r="N2748" s="36"/>
    </row>
    <row r="2749" ht="25.5">
      <c r="A2749" s="19" t="s">
        <v>10460</v>
      </c>
      <c r="B2749" s="19">
        <v>40375</v>
      </c>
      <c r="C2749" s="20" t="s">
        <v>13215</v>
      </c>
      <c r="D2749" s="19" t="s">
        <v>31</v>
      </c>
      <c r="E2749" s="19" t="s">
        <v>10459</v>
      </c>
      <c r="F2749" s="21" t="str">
        <f t="shared" si="566"/>
        <v>VERIFICAR</v>
      </c>
      <c r="G2749" s="21" t="str">
        <f t="shared" si="566"/>
        <v>VERIFICAR</v>
      </c>
      <c r="H2749" s="21" t="str">
        <f t="shared" si="566"/>
        <v>VERIFICAR</v>
      </c>
      <c r="I2749" s="24" t="str">
        <f t="shared" si="567"/>
        <v xml:space="preserve">SEM VALOR</v>
      </c>
      <c r="L2749" s="36"/>
      <c r="M2749" s="37"/>
      <c r="N2749" s="36"/>
    </row>
    <row r="2750" ht="25.5">
      <c r="A2750" s="19" t="s">
        <v>10460</v>
      </c>
      <c r="B2750" s="19">
        <v>40357</v>
      </c>
      <c r="C2750" s="20" t="s">
        <v>13216</v>
      </c>
      <c r="D2750" s="19" t="s">
        <v>31</v>
      </c>
      <c r="E2750" s="19" t="s">
        <v>10459</v>
      </c>
      <c r="F2750" s="21" t="str">
        <f t="shared" si="566"/>
        <v>VERIFICAR</v>
      </c>
      <c r="G2750" s="21" t="str">
        <f t="shared" si="566"/>
        <v>VERIFICAR</v>
      </c>
      <c r="H2750" s="21" t="str">
        <f t="shared" si="566"/>
        <v>VERIFICAR</v>
      </c>
      <c r="I2750" s="24" t="str">
        <f t="shared" si="567"/>
        <v xml:space="preserve">SEM VALOR</v>
      </c>
      <c r="L2750" s="36"/>
      <c r="M2750" s="37"/>
      <c r="N2750" s="36"/>
    </row>
    <row r="2751" ht="25.5">
      <c r="A2751" s="19" t="s">
        <v>10460</v>
      </c>
      <c r="B2751" s="19">
        <v>1893</v>
      </c>
      <c r="C2751" s="20" t="s">
        <v>13217</v>
      </c>
      <c r="D2751" s="19" t="s">
        <v>31</v>
      </c>
      <c r="E2751" s="19" t="s">
        <v>10459</v>
      </c>
      <c r="F2751" s="21">
        <f t="shared" si="566"/>
        <v>2.5499999999999998</v>
      </c>
      <c r="G2751" s="21">
        <f t="shared" si="566"/>
        <v>2.5499999999999998</v>
      </c>
      <c r="H2751" s="21">
        <f t="shared" si="566"/>
        <v>2.5499999999999998</v>
      </c>
      <c r="I2751" s="24" t="str">
        <f t="shared" si="567"/>
        <v xml:space="preserve">COM VALOR</v>
      </c>
      <c r="L2751" s="36">
        <v>2.5499999999999998</v>
      </c>
      <c r="M2751" s="37">
        <v>2.5499999999999998</v>
      </c>
      <c r="N2751" s="36">
        <v>2.5499999999999998</v>
      </c>
    </row>
    <row r="2752" ht="25.5">
      <c r="A2752" s="19" t="s">
        <v>10460</v>
      </c>
      <c r="B2752" s="19">
        <v>1902</v>
      </c>
      <c r="C2752" s="20" t="s">
        <v>13218</v>
      </c>
      <c r="D2752" s="19" t="s">
        <v>31</v>
      </c>
      <c r="E2752" s="19" t="s">
        <v>10459</v>
      </c>
      <c r="F2752" s="21">
        <f t="shared" si="566"/>
        <v>1.8500000000000001</v>
      </c>
      <c r="G2752" s="21">
        <f t="shared" si="566"/>
        <v>1.8500000000000001</v>
      </c>
      <c r="H2752" s="21">
        <f t="shared" si="566"/>
        <v>1.8500000000000001</v>
      </c>
      <c r="I2752" s="24" t="str">
        <f t="shared" si="567"/>
        <v xml:space="preserve">COM VALOR</v>
      </c>
      <c r="L2752" s="36">
        <v>1.8500000000000001</v>
      </c>
      <c r="M2752" s="37">
        <v>1.8500000000000001</v>
      </c>
      <c r="N2752" s="36">
        <v>1.8500000000000001</v>
      </c>
    </row>
    <row r="2753" ht="12.75">
      <c r="A2753" s="19" t="s">
        <v>10460</v>
      </c>
      <c r="B2753" s="19">
        <v>1892</v>
      </c>
      <c r="C2753" s="20" t="s">
        <v>13219</v>
      </c>
      <c r="D2753" s="19" t="s">
        <v>31</v>
      </c>
      <c r="E2753" s="19" t="s">
        <v>10459</v>
      </c>
      <c r="F2753" s="21">
        <f t="shared" si="566"/>
        <v>1.1899999999999999</v>
      </c>
      <c r="G2753" s="21">
        <f t="shared" si="566"/>
        <v>1.1899999999999999</v>
      </c>
      <c r="H2753" s="21">
        <f t="shared" si="566"/>
        <v>1.1899999999999999</v>
      </c>
      <c r="I2753" s="24" t="str">
        <f t="shared" si="567"/>
        <v xml:space="preserve">COM VALOR</v>
      </c>
      <c r="L2753" s="36">
        <v>1.1899999999999999</v>
      </c>
      <c r="M2753" s="37">
        <v>1.1899999999999999</v>
      </c>
      <c r="N2753" s="36">
        <v>1.1899999999999999</v>
      </c>
    </row>
    <row r="2754" ht="12.75">
      <c r="A2754" s="19" t="s">
        <v>10460</v>
      </c>
      <c r="B2754" s="19">
        <v>1901</v>
      </c>
      <c r="C2754" s="20" t="s">
        <v>13220</v>
      </c>
      <c r="D2754" s="19" t="s">
        <v>31</v>
      </c>
      <c r="E2754" s="19" t="s">
        <v>10459</v>
      </c>
      <c r="F2754" s="21">
        <f t="shared" si="566"/>
        <v>0.57999999999999996</v>
      </c>
      <c r="G2754" s="21">
        <f t="shared" si="566"/>
        <v>0.57999999999999996</v>
      </c>
      <c r="H2754" s="21">
        <f t="shared" si="566"/>
        <v>0.57999999999999996</v>
      </c>
      <c r="I2754" s="24" t="str">
        <f t="shared" si="567"/>
        <v xml:space="preserve">COM VALOR</v>
      </c>
      <c r="L2754" s="36">
        <v>0.57999999999999996</v>
      </c>
      <c r="M2754" s="37">
        <v>0.57999999999999996</v>
      </c>
      <c r="N2754" s="36">
        <v>0.57999999999999996</v>
      </c>
    </row>
    <row r="2755" ht="25.5">
      <c r="A2755" s="19" t="s">
        <v>10460</v>
      </c>
      <c r="B2755" s="19">
        <v>1907</v>
      </c>
      <c r="C2755" s="20" t="s">
        <v>13221</v>
      </c>
      <c r="D2755" s="19" t="s">
        <v>31</v>
      </c>
      <c r="E2755" s="19" t="s">
        <v>10459</v>
      </c>
      <c r="F2755" s="21">
        <f t="shared" si="566"/>
        <v>8.2100000000000009</v>
      </c>
      <c r="G2755" s="21">
        <f t="shared" si="566"/>
        <v>8.2100000000000009</v>
      </c>
      <c r="H2755" s="21">
        <f t="shared" si="566"/>
        <v>8.2100000000000009</v>
      </c>
      <c r="I2755" s="24" t="str">
        <f t="shared" si="567"/>
        <v xml:space="preserve">COM VALOR</v>
      </c>
      <c r="L2755" s="36">
        <v>8.2100000000000009</v>
      </c>
      <c r="M2755" s="37">
        <v>8.2100000000000009</v>
      </c>
      <c r="N2755" s="36">
        <v>8.2100000000000009</v>
      </c>
    </row>
    <row r="2756" ht="12.75">
      <c r="A2756" s="19" t="s">
        <v>10460</v>
      </c>
      <c r="B2756" s="19">
        <v>1894</v>
      </c>
      <c r="C2756" s="20" t="s">
        <v>13222</v>
      </c>
      <c r="D2756" s="19" t="s">
        <v>31</v>
      </c>
      <c r="E2756" s="19" t="s">
        <v>10459</v>
      </c>
      <c r="F2756" s="21">
        <f t="shared" si="566"/>
        <v>3.6899999999999999</v>
      </c>
      <c r="G2756" s="21">
        <f t="shared" si="566"/>
        <v>3.6899999999999999</v>
      </c>
      <c r="H2756" s="21">
        <f t="shared" si="566"/>
        <v>3.6899999999999999</v>
      </c>
      <c r="I2756" s="24" t="str">
        <f t="shared" si="567"/>
        <v xml:space="preserve">COM VALOR</v>
      </c>
      <c r="L2756" s="36">
        <v>3.6899999999999999</v>
      </c>
      <c r="M2756" s="37">
        <v>3.6899999999999999</v>
      </c>
      <c r="N2756" s="36">
        <v>3.6899999999999999</v>
      </c>
    </row>
    <row r="2757" ht="12.75">
      <c r="A2757" s="19" t="s">
        <v>10460</v>
      </c>
      <c r="B2757" s="19">
        <v>1896</v>
      </c>
      <c r="C2757" s="20" t="s">
        <v>13223</v>
      </c>
      <c r="D2757" s="19" t="s">
        <v>31</v>
      </c>
      <c r="E2757" s="19" t="s">
        <v>10459</v>
      </c>
      <c r="F2757" s="21">
        <f t="shared" si="566"/>
        <v>11.029999999999999</v>
      </c>
      <c r="G2757" s="21">
        <f t="shared" si="566"/>
        <v>11.029999999999999</v>
      </c>
      <c r="H2757" s="21">
        <f t="shared" si="566"/>
        <v>11.029999999999999</v>
      </c>
      <c r="I2757" s="24" t="str">
        <f t="shared" si="567"/>
        <v xml:space="preserve">COM VALOR</v>
      </c>
      <c r="L2757" s="36">
        <v>11.029999999999999</v>
      </c>
      <c r="M2757" s="37">
        <v>11.029999999999999</v>
      </c>
      <c r="N2757" s="36">
        <v>11.029999999999999</v>
      </c>
    </row>
    <row r="2758" ht="12.75">
      <c r="A2758" s="19" t="s">
        <v>10460</v>
      </c>
      <c r="B2758" s="19">
        <v>1891</v>
      </c>
      <c r="C2758" s="20" t="s">
        <v>13224</v>
      </c>
      <c r="D2758" s="19" t="s">
        <v>31</v>
      </c>
      <c r="E2758" s="19" t="s">
        <v>10459</v>
      </c>
      <c r="F2758" s="21">
        <f t="shared" si="566"/>
        <v>0.84999999999999998</v>
      </c>
      <c r="G2758" s="21">
        <f t="shared" si="566"/>
        <v>0.84999999999999998</v>
      </c>
      <c r="H2758" s="21">
        <f t="shared" si="566"/>
        <v>0.84999999999999998</v>
      </c>
      <c r="I2758" s="24" t="str">
        <f t="shared" si="567"/>
        <v xml:space="preserve">COM VALOR</v>
      </c>
      <c r="L2758" s="36">
        <v>0.84999999999999998</v>
      </c>
      <c r="M2758" s="37">
        <v>0.84999999999999998</v>
      </c>
      <c r="N2758" s="36">
        <v>0.84999999999999998</v>
      </c>
    </row>
    <row r="2759" ht="12.75">
      <c r="A2759" s="19" t="s">
        <v>10460</v>
      </c>
      <c r="B2759" s="19">
        <v>1895</v>
      </c>
      <c r="C2759" s="20" t="s">
        <v>13225</v>
      </c>
      <c r="D2759" s="19" t="s">
        <v>31</v>
      </c>
      <c r="E2759" s="19" t="s">
        <v>10459</v>
      </c>
      <c r="F2759" s="21">
        <f t="shared" si="566"/>
        <v>19.379999999999999</v>
      </c>
      <c r="G2759" s="21">
        <f t="shared" si="566"/>
        <v>19.379999999999999</v>
      </c>
      <c r="H2759" s="21">
        <f t="shared" si="566"/>
        <v>19.379999999999999</v>
      </c>
      <c r="I2759" s="24" t="str">
        <f t="shared" si="567"/>
        <v xml:space="preserve">COM VALOR</v>
      </c>
      <c r="L2759" s="36">
        <v>19.379999999999999</v>
      </c>
      <c r="M2759" s="37">
        <v>19.379999999999999</v>
      </c>
      <c r="N2759" s="36">
        <v>19.379999999999999</v>
      </c>
    </row>
    <row r="2760" ht="25.5">
      <c r="A2760" s="19" t="s">
        <v>10460</v>
      </c>
      <c r="B2760" s="19">
        <v>2641</v>
      </c>
      <c r="C2760" s="20" t="s">
        <v>13226</v>
      </c>
      <c r="D2760" s="19" t="s">
        <v>31</v>
      </c>
      <c r="E2760" s="19" t="s">
        <v>10459</v>
      </c>
      <c r="F2760" s="21">
        <f t="shared" si="566"/>
        <v>20.739999999999998</v>
      </c>
      <c r="G2760" s="21">
        <f t="shared" si="566"/>
        <v>20.739999999999998</v>
      </c>
      <c r="H2760" s="21">
        <f t="shared" si="566"/>
        <v>20.739999999999998</v>
      </c>
      <c r="I2760" s="24" t="str">
        <f t="shared" si="567"/>
        <v xml:space="preserve">COM VALOR</v>
      </c>
      <c r="L2760" s="36">
        <v>20.739999999999998</v>
      </c>
      <c r="M2760" s="37">
        <v>20.739999999999998</v>
      </c>
      <c r="N2760" s="36">
        <v>20.739999999999998</v>
      </c>
    </row>
    <row r="2761" ht="25.5">
      <c r="A2761" s="19" t="s">
        <v>10460</v>
      </c>
      <c r="B2761" s="19">
        <v>2636</v>
      </c>
      <c r="C2761" s="20" t="s">
        <v>13227</v>
      </c>
      <c r="D2761" s="19" t="s">
        <v>31</v>
      </c>
      <c r="E2761" s="19" t="s">
        <v>10459</v>
      </c>
      <c r="F2761" s="21">
        <f t="shared" si="566"/>
        <v>1.3300000000000001</v>
      </c>
      <c r="G2761" s="21">
        <f t="shared" si="566"/>
        <v>1.3300000000000001</v>
      </c>
      <c r="H2761" s="21">
        <f t="shared" si="566"/>
        <v>1.3300000000000001</v>
      </c>
      <c r="I2761" s="24" t="str">
        <f t="shared" si="567"/>
        <v xml:space="preserve">COM VALOR</v>
      </c>
      <c r="L2761" s="36">
        <v>1.3300000000000001</v>
      </c>
      <c r="M2761" s="37">
        <v>1.3300000000000001</v>
      </c>
      <c r="N2761" s="36">
        <v>1.3300000000000001</v>
      </c>
    </row>
    <row r="2762" ht="25.5">
      <c r="A2762" s="19" t="s">
        <v>10460</v>
      </c>
      <c r="B2762" s="19">
        <v>2637</v>
      </c>
      <c r="C2762" s="20" t="s">
        <v>13228</v>
      </c>
      <c r="D2762" s="19" t="s">
        <v>31</v>
      </c>
      <c r="E2762" s="19" t="s">
        <v>10459</v>
      </c>
      <c r="F2762" s="21">
        <f t="shared" si="566"/>
        <v>1.4199999999999999</v>
      </c>
      <c r="G2762" s="21">
        <f t="shared" si="566"/>
        <v>1.4199999999999999</v>
      </c>
      <c r="H2762" s="21">
        <f t="shared" si="566"/>
        <v>1.4199999999999999</v>
      </c>
      <c r="I2762" s="24" t="str">
        <f t="shared" si="567"/>
        <v xml:space="preserve">COM VALOR</v>
      </c>
      <c r="L2762" s="36">
        <v>1.4199999999999999</v>
      </c>
      <c r="M2762" s="37">
        <v>1.4199999999999999</v>
      </c>
      <c r="N2762" s="36">
        <v>1.4199999999999999</v>
      </c>
    </row>
    <row r="2763" ht="25.5">
      <c r="A2763" s="19" t="s">
        <v>10460</v>
      </c>
      <c r="B2763" s="19">
        <v>2638</v>
      </c>
      <c r="C2763" s="20" t="s">
        <v>13229</v>
      </c>
      <c r="D2763" s="19" t="s">
        <v>31</v>
      </c>
      <c r="E2763" s="19" t="s">
        <v>10459</v>
      </c>
      <c r="F2763" s="21">
        <f t="shared" ref="F2763:H2826" si="568">IF(L2763=0,"VERIFICAR",L2763)</f>
        <v>1.6499999999999999</v>
      </c>
      <c r="G2763" s="21">
        <f t="shared" si="568"/>
        <v>1.6499999999999999</v>
      </c>
      <c r="H2763" s="21">
        <f t="shared" si="568"/>
        <v>1.6499999999999999</v>
      </c>
      <c r="I2763" s="24" t="str">
        <f t="shared" ref="I2763:I2826" si="569">IF(OR(L2763=0,M2763=0,N2763=0),"SEM VALOR","COM VALOR")</f>
        <v xml:space="preserve">COM VALOR</v>
      </c>
      <c r="L2763" s="36">
        <v>1.6499999999999999</v>
      </c>
      <c r="M2763" s="37">
        <v>1.6499999999999999</v>
      </c>
      <c r="N2763" s="36">
        <v>1.6499999999999999</v>
      </c>
    </row>
    <row r="2764" ht="25.5">
      <c r="A2764" s="19" t="s">
        <v>10460</v>
      </c>
      <c r="B2764" s="19">
        <v>2639</v>
      </c>
      <c r="C2764" s="20" t="s">
        <v>13230</v>
      </c>
      <c r="D2764" s="19" t="s">
        <v>31</v>
      </c>
      <c r="E2764" s="19" t="s">
        <v>10459</v>
      </c>
      <c r="F2764" s="21">
        <f t="shared" si="568"/>
        <v>2.9300000000000002</v>
      </c>
      <c r="G2764" s="21">
        <f t="shared" si="568"/>
        <v>2.9300000000000002</v>
      </c>
      <c r="H2764" s="21">
        <f t="shared" si="568"/>
        <v>2.9300000000000002</v>
      </c>
      <c r="I2764" s="24" t="str">
        <f t="shared" si="569"/>
        <v xml:space="preserve">COM VALOR</v>
      </c>
      <c r="L2764" s="36">
        <v>2.9300000000000002</v>
      </c>
      <c r="M2764" s="37">
        <v>2.9300000000000002</v>
      </c>
      <c r="N2764" s="36">
        <v>2.9300000000000002</v>
      </c>
    </row>
    <row r="2765" ht="25.5">
      <c r="A2765" s="19" t="s">
        <v>10460</v>
      </c>
      <c r="B2765" s="19">
        <v>2644</v>
      </c>
      <c r="C2765" s="20" t="s">
        <v>13231</v>
      </c>
      <c r="D2765" s="19" t="s">
        <v>31</v>
      </c>
      <c r="E2765" s="19" t="s">
        <v>10459</v>
      </c>
      <c r="F2765" s="21">
        <f t="shared" si="568"/>
        <v>4.2400000000000002</v>
      </c>
      <c r="G2765" s="21">
        <f t="shared" si="568"/>
        <v>4.2400000000000002</v>
      </c>
      <c r="H2765" s="21">
        <f t="shared" si="568"/>
        <v>4.2400000000000002</v>
      </c>
      <c r="I2765" s="24" t="str">
        <f t="shared" si="569"/>
        <v xml:space="preserve">COM VALOR</v>
      </c>
      <c r="L2765" s="36">
        <v>4.2400000000000002</v>
      </c>
      <c r="M2765" s="37">
        <v>4.2400000000000002</v>
      </c>
      <c r="N2765" s="36">
        <v>4.2400000000000002</v>
      </c>
    </row>
    <row r="2766" ht="25.5">
      <c r="A2766" s="19" t="s">
        <v>10460</v>
      </c>
      <c r="B2766" s="19">
        <v>2640</v>
      </c>
      <c r="C2766" s="20" t="s">
        <v>13232</v>
      </c>
      <c r="D2766" s="19" t="s">
        <v>31</v>
      </c>
      <c r="E2766" s="19" t="s">
        <v>10459</v>
      </c>
      <c r="F2766" s="21">
        <f t="shared" si="568"/>
        <v>8.6300000000000008</v>
      </c>
      <c r="G2766" s="21">
        <f t="shared" si="568"/>
        <v>8.6300000000000008</v>
      </c>
      <c r="H2766" s="21">
        <f t="shared" si="568"/>
        <v>8.6300000000000008</v>
      </c>
      <c r="I2766" s="24" t="str">
        <f t="shared" si="569"/>
        <v xml:space="preserve">COM VALOR</v>
      </c>
      <c r="L2766" s="36">
        <v>8.6300000000000008</v>
      </c>
      <c r="M2766" s="37">
        <v>8.6300000000000008</v>
      </c>
      <c r="N2766" s="36">
        <v>8.6300000000000008</v>
      </c>
    </row>
    <row r="2767" ht="25.5">
      <c r="A2767" s="19" t="s">
        <v>10460</v>
      </c>
      <c r="B2767" s="19">
        <v>2642</v>
      </c>
      <c r="C2767" s="20" t="s">
        <v>13233</v>
      </c>
      <c r="D2767" s="19" t="s">
        <v>31</v>
      </c>
      <c r="E2767" s="19" t="s">
        <v>10459</v>
      </c>
      <c r="F2767" s="21">
        <f t="shared" si="568"/>
        <v>13.140000000000001</v>
      </c>
      <c r="G2767" s="21">
        <f t="shared" si="568"/>
        <v>13.140000000000001</v>
      </c>
      <c r="H2767" s="21">
        <f t="shared" si="568"/>
        <v>13.140000000000001</v>
      </c>
      <c r="I2767" s="24" t="str">
        <f t="shared" si="569"/>
        <v xml:space="preserve">COM VALOR</v>
      </c>
      <c r="L2767" s="36">
        <v>13.140000000000001</v>
      </c>
      <c r="M2767" s="37">
        <v>13.140000000000001</v>
      </c>
      <c r="N2767" s="36">
        <v>13.140000000000001</v>
      </c>
    </row>
    <row r="2768" ht="25.5">
      <c r="A2768" s="19" t="s">
        <v>10460</v>
      </c>
      <c r="B2768" s="19">
        <v>2643</v>
      </c>
      <c r="C2768" s="20" t="s">
        <v>13234</v>
      </c>
      <c r="D2768" s="19" t="s">
        <v>31</v>
      </c>
      <c r="E2768" s="19" t="s">
        <v>10459</v>
      </c>
      <c r="F2768" s="21">
        <f t="shared" si="568"/>
        <v>5.9100000000000001</v>
      </c>
      <c r="G2768" s="21">
        <f t="shared" si="568"/>
        <v>5.9100000000000001</v>
      </c>
      <c r="H2768" s="21">
        <f t="shared" si="568"/>
        <v>5.9100000000000001</v>
      </c>
      <c r="I2768" s="24" t="str">
        <f t="shared" si="569"/>
        <v xml:space="preserve">COM VALOR</v>
      </c>
      <c r="L2768" s="36">
        <v>5.9100000000000001</v>
      </c>
      <c r="M2768" s="37">
        <v>5.9100000000000001</v>
      </c>
      <c r="N2768" s="36">
        <v>5.9100000000000001</v>
      </c>
    </row>
    <row r="2769" ht="12.75">
      <c r="A2769" s="19" t="s">
        <v>10638</v>
      </c>
      <c r="B2769" s="19">
        <v>44281</v>
      </c>
      <c r="C2769" s="20" t="s">
        <v>13235</v>
      </c>
      <c r="D2769" s="19" t="s">
        <v>31</v>
      </c>
      <c r="E2769" s="19" t="s">
        <v>10459</v>
      </c>
      <c r="F2769" s="21">
        <f t="shared" si="568"/>
        <v>257.92000000000002</v>
      </c>
      <c r="G2769" s="21">
        <f t="shared" si="568"/>
        <v>257.92000000000002</v>
      </c>
      <c r="H2769" s="21">
        <f t="shared" si="568"/>
        <v>257.92000000000002</v>
      </c>
      <c r="I2769" s="24" t="str">
        <f t="shared" si="569"/>
        <v xml:space="preserve">COM VALOR</v>
      </c>
      <c r="L2769" s="36">
        <v>257.92000000000002</v>
      </c>
      <c r="M2769" s="37">
        <v>257.92000000000002</v>
      </c>
      <c r="N2769" s="36">
        <v>257.92000000000002</v>
      </c>
    </row>
    <row r="2770" ht="25.5">
      <c r="A2770" s="19" t="s">
        <v>10460</v>
      </c>
      <c r="B2770" s="19">
        <v>39855</v>
      </c>
      <c r="C2770" s="20" t="s">
        <v>13236</v>
      </c>
      <c r="D2770" s="19" t="s">
        <v>31</v>
      </c>
      <c r="E2770" s="19" t="s">
        <v>10459</v>
      </c>
      <c r="F2770" s="21" t="str">
        <f t="shared" si="568"/>
        <v>VERIFICAR</v>
      </c>
      <c r="G2770" s="21" t="str">
        <f t="shared" si="568"/>
        <v>VERIFICAR</v>
      </c>
      <c r="H2770" s="21" t="str">
        <f t="shared" si="568"/>
        <v>VERIFICAR</v>
      </c>
      <c r="I2770" s="24" t="str">
        <f t="shared" si="569"/>
        <v xml:space="preserve">SEM VALOR</v>
      </c>
      <c r="L2770" s="36"/>
      <c r="M2770" s="37"/>
      <c r="N2770" s="36"/>
    </row>
    <row r="2771" ht="25.5">
      <c r="A2771" s="19" t="s">
        <v>10460</v>
      </c>
      <c r="B2771" s="19">
        <v>39856</v>
      </c>
      <c r="C2771" s="20" t="s">
        <v>13237</v>
      </c>
      <c r="D2771" s="19" t="s">
        <v>31</v>
      </c>
      <c r="E2771" s="19" t="s">
        <v>10459</v>
      </c>
      <c r="F2771" s="21" t="str">
        <f t="shared" si="568"/>
        <v>VERIFICAR</v>
      </c>
      <c r="G2771" s="21" t="str">
        <f t="shared" si="568"/>
        <v>VERIFICAR</v>
      </c>
      <c r="H2771" s="21" t="str">
        <f t="shared" si="568"/>
        <v>VERIFICAR</v>
      </c>
      <c r="I2771" s="24" t="str">
        <f t="shared" si="569"/>
        <v xml:space="preserve">SEM VALOR</v>
      </c>
      <c r="L2771" s="36"/>
      <c r="M2771" s="37"/>
      <c r="N2771" s="36"/>
    </row>
    <row r="2772" ht="25.5">
      <c r="A2772" s="19" t="s">
        <v>10460</v>
      </c>
      <c r="B2772" s="19">
        <v>39857</v>
      </c>
      <c r="C2772" s="20" t="s">
        <v>13238</v>
      </c>
      <c r="D2772" s="19" t="s">
        <v>31</v>
      </c>
      <c r="E2772" s="19" t="s">
        <v>10459</v>
      </c>
      <c r="F2772" s="21" t="str">
        <f t="shared" si="568"/>
        <v>VERIFICAR</v>
      </c>
      <c r="G2772" s="21" t="str">
        <f t="shared" si="568"/>
        <v>VERIFICAR</v>
      </c>
      <c r="H2772" s="21" t="str">
        <f t="shared" si="568"/>
        <v>VERIFICAR</v>
      </c>
      <c r="I2772" s="24" t="str">
        <f t="shared" si="569"/>
        <v xml:space="preserve">SEM VALOR</v>
      </c>
      <c r="L2772" s="36"/>
      <c r="M2772" s="37"/>
      <c r="N2772" s="36"/>
    </row>
    <row r="2773" ht="25.5">
      <c r="A2773" s="19" t="s">
        <v>10460</v>
      </c>
      <c r="B2773" s="19">
        <v>39858</v>
      </c>
      <c r="C2773" s="20" t="s">
        <v>13239</v>
      </c>
      <c r="D2773" s="19" t="s">
        <v>31</v>
      </c>
      <c r="E2773" s="19" t="s">
        <v>10459</v>
      </c>
      <c r="F2773" s="21" t="str">
        <f t="shared" si="568"/>
        <v>VERIFICAR</v>
      </c>
      <c r="G2773" s="21" t="str">
        <f t="shared" si="568"/>
        <v>VERIFICAR</v>
      </c>
      <c r="H2773" s="21" t="str">
        <f t="shared" si="568"/>
        <v>VERIFICAR</v>
      </c>
      <c r="I2773" s="24" t="str">
        <f t="shared" si="569"/>
        <v xml:space="preserve">SEM VALOR</v>
      </c>
      <c r="L2773" s="36"/>
      <c r="M2773" s="37"/>
      <c r="N2773" s="36"/>
    </row>
    <row r="2774" ht="25.5">
      <c r="A2774" s="19" t="s">
        <v>10460</v>
      </c>
      <c r="B2774" s="19">
        <v>39859</v>
      </c>
      <c r="C2774" s="20" t="s">
        <v>13240</v>
      </c>
      <c r="D2774" s="19" t="s">
        <v>31</v>
      </c>
      <c r="E2774" s="19" t="s">
        <v>10459</v>
      </c>
      <c r="F2774" s="21" t="str">
        <f t="shared" si="568"/>
        <v>VERIFICAR</v>
      </c>
      <c r="G2774" s="21" t="str">
        <f t="shared" si="568"/>
        <v>VERIFICAR</v>
      </c>
      <c r="H2774" s="21" t="str">
        <f t="shared" si="568"/>
        <v>VERIFICAR</v>
      </c>
      <c r="I2774" s="24" t="str">
        <f t="shared" si="569"/>
        <v xml:space="preserve">SEM VALOR</v>
      </c>
      <c r="L2774" s="36"/>
      <c r="M2774" s="37"/>
      <c r="N2774" s="36"/>
    </row>
    <row r="2775" ht="25.5">
      <c r="A2775" s="19" t="s">
        <v>10460</v>
      </c>
      <c r="B2775" s="19">
        <v>39860</v>
      </c>
      <c r="C2775" s="20" t="s">
        <v>13241</v>
      </c>
      <c r="D2775" s="19" t="s">
        <v>31</v>
      </c>
      <c r="E2775" s="19" t="s">
        <v>10459</v>
      </c>
      <c r="F2775" s="21" t="str">
        <f t="shared" si="568"/>
        <v>VERIFICAR</v>
      </c>
      <c r="G2775" s="21" t="str">
        <f t="shared" si="568"/>
        <v>VERIFICAR</v>
      </c>
      <c r="H2775" s="21" t="str">
        <f t="shared" si="568"/>
        <v>VERIFICAR</v>
      </c>
      <c r="I2775" s="24" t="str">
        <f t="shared" si="569"/>
        <v xml:space="preserve">SEM VALOR</v>
      </c>
      <c r="L2775" s="36"/>
      <c r="M2775" s="37"/>
      <c r="N2775" s="36"/>
    </row>
    <row r="2776" ht="25.5">
      <c r="A2776" s="19" t="s">
        <v>10460</v>
      </c>
      <c r="B2776" s="19">
        <v>39861</v>
      </c>
      <c r="C2776" s="20" t="s">
        <v>13242</v>
      </c>
      <c r="D2776" s="19" t="s">
        <v>31</v>
      </c>
      <c r="E2776" s="19" t="s">
        <v>10459</v>
      </c>
      <c r="F2776" s="21" t="str">
        <f t="shared" si="568"/>
        <v>VERIFICAR</v>
      </c>
      <c r="G2776" s="21" t="str">
        <f t="shared" si="568"/>
        <v>VERIFICAR</v>
      </c>
      <c r="H2776" s="21" t="str">
        <f t="shared" si="568"/>
        <v>VERIFICAR</v>
      </c>
      <c r="I2776" s="24" t="str">
        <f t="shared" si="569"/>
        <v xml:space="preserve">SEM VALOR</v>
      </c>
      <c r="L2776" s="36"/>
      <c r="M2776" s="37"/>
      <c r="N2776" s="36"/>
    </row>
    <row r="2777" ht="12.75">
      <c r="A2777" s="19" t="s">
        <v>10460</v>
      </c>
      <c r="B2777" s="19">
        <v>3867</v>
      </c>
      <c r="C2777" s="20" t="s">
        <v>13243</v>
      </c>
      <c r="D2777" s="19" t="s">
        <v>31</v>
      </c>
      <c r="E2777" s="19" t="s">
        <v>10459</v>
      </c>
      <c r="F2777" s="21">
        <f t="shared" si="568"/>
        <v>77.640000000000001</v>
      </c>
      <c r="G2777" s="21">
        <f t="shared" si="568"/>
        <v>77.640000000000001</v>
      </c>
      <c r="H2777" s="21">
        <f t="shared" si="568"/>
        <v>77.640000000000001</v>
      </c>
      <c r="I2777" s="24" t="str">
        <f t="shared" si="569"/>
        <v xml:space="preserve">COM VALOR</v>
      </c>
      <c r="L2777" s="36">
        <v>77.640000000000001</v>
      </c>
      <c r="M2777" s="37">
        <v>77.640000000000001</v>
      </c>
      <c r="N2777" s="36">
        <v>77.640000000000001</v>
      </c>
    </row>
    <row r="2778" ht="12.75">
      <c r="A2778" s="19" t="s">
        <v>10460</v>
      </c>
      <c r="B2778" s="19">
        <v>3861</v>
      </c>
      <c r="C2778" s="20" t="s">
        <v>13244</v>
      </c>
      <c r="D2778" s="19" t="s">
        <v>31</v>
      </c>
      <c r="E2778" s="19" t="s">
        <v>10459</v>
      </c>
      <c r="F2778" s="21">
        <f t="shared" si="568"/>
        <v>0.80000000000000004</v>
      </c>
      <c r="G2778" s="21">
        <f t="shared" si="568"/>
        <v>0.80000000000000004</v>
      </c>
      <c r="H2778" s="21">
        <f t="shared" si="568"/>
        <v>0.80000000000000004</v>
      </c>
      <c r="I2778" s="24" t="str">
        <f t="shared" si="569"/>
        <v xml:space="preserve">COM VALOR</v>
      </c>
      <c r="L2778" s="36">
        <v>0.80000000000000004</v>
      </c>
      <c r="M2778" s="37">
        <v>0.80000000000000004</v>
      </c>
      <c r="N2778" s="36">
        <v>0.80000000000000004</v>
      </c>
    </row>
    <row r="2779" ht="12.75">
      <c r="A2779" s="19" t="s">
        <v>10460</v>
      </c>
      <c r="B2779" s="19">
        <v>3904</v>
      </c>
      <c r="C2779" s="20" t="s">
        <v>13245</v>
      </c>
      <c r="D2779" s="19" t="s">
        <v>31</v>
      </c>
      <c r="E2779" s="19" t="s">
        <v>10459</v>
      </c>
      <c r="F2779" s="21">
        <f t="shared" si="568"/>
        <v>0.84999999999999998</v>
      </c>
      <c r="G2779" s="21">
        <f t="shared" si="568"/>
        <v>0.84999999999999998</v>
      </c>
      <c r="H2779" s="21">
        <f t="shared" si="568"/>
        <v>0.84999999999999998</v>
      </c>
      <c r="I2779" s="24" t="str">
        <f t="shared" si="569"/>
        <v xml:space="preserve">COM VALOR</v>
      </c>
      <c r="L2779" s="36">
        <v>0.84999999999999998</v>
      </c>
      <c r="M2779" s="37">
        <v>0.84999999999999998</v>
      </c>
      <c r="N2779" s="36">
        <v>0.84999999999999998</v>
      </c>
    </row>
    <row r="2780" ht="12.75">
      <c r="A2780" s="19" t="s">
        <v>10460</v>
      </c>
      <c r="B2780" s="19">
        <v>3903</v>
      </c>
      <c r="C2780" s="20" t="s">
        <v>13246</v>
      </c>
      <c r="D2780" s="19" t="s">
        <v>31</v>
      </c>
      <c r="E2780" s="19" t="s">
        <v>10459</v>
      </c>
      <c r="F2780" s="21">
        <f t="shared" si="568"/>
        <v>2.0800000000000001</v>
      </c>
      <c r="G2780" s="21">
        <f t="shared" si="568"/>
        <v>2.0800000000000001</v>
      </c>
      <c r="H2780" s="21">
        <f t="shared" si="568"/>
        <v>2.0800000000000001</v>
      </c>
      <c r="I2780" s="24" t="str">
        <f t="shared" si="569"/>
        <v xml:space="preserve">COM VALOR</v>
      </c>
      <c r="L2780" s="36">
        <v>2.0800000000000001</v>
      </c>
      <c r="M2780" s="37">
        <v>2.0800000000000001</v>
      </c>
      <c r="N2780" s="36">
        <v>2.0800000000000001</v>
      </c>
    </row>
    <row r="2781" ht="12.75">
      <c r="A2781" s="19" t="s">
        <v>10460</v>
      </c>
      <c r="B2781" s="19">
        <v>3862</v>
      </c>
      <c r="C2781" s="20" t="s">
        <v>13247</v>
      </c>
      <c r="D2781" s="19" t="s">
        <v>31</v>
      </c>
      <c r="E2781" s="19" t="s">
        <v>10459</v>
      </c>
      <c r="F2781" s="21">
        <f t="shared" si="568"/>
        <v>4.4400000000000004</v>
      </c>
      <c r="G2781" s="21">
        <f t="shared" si="568"/>
        <v>4.4400000000000004</v>
      </c>
      <c r="H2781" s="21">
        <f t="shared" si="568"/>
        <v>4.4400000000000004</v>
      </c>
      <c r="I2781" s="24" t="str">
        <f t="shared" si="569"/>
        <v xml:space="preserve">COM VALOR</v>
      </c>
      <c r="L2781" s="36">
        <v>4.4400000000000004</v>
      </c>
      <c r="M2781" s="37">
        <v>4.4400000000000004</v>
      </c>
      <c r="N2781" s="36">
        <v>4.4400000000000004</v>
      </c>
    </row>
    <row r="2782" ht="12.75">
      <c r="A2782" s="19" t="s">
        <v>10460</v>
      </c>
      <c r="B2782" s="19">
        <v>3863</v>
      </c>
      <c r="C2782" s="20" t="s">
        <v>13248</v>
      </c>
      <c r="D2782" s="19" t="s">
        <v>31</v>
      </c>
      <c r="E2782" s="19" t="s">
        <v>10459</v>
      </c>
      <c r="F2782" s="21">
        <f t="shared" si="568"/>
        <v>4.5499999999999998</v>
      </c>
      <c r="G2782" s="21">
        <f t="shared" si="568"/>
        <v>4.5499999999999998</v>
      </c>
      <c r="H2782" s="21">
        <f t="shared" si="568"/>
        <v>4.5499999999999998</v>
      </c>
      <c r="I2782" s="24" t="str">
        <f t="shared" si="569"/>
        <v xml:space="preserve">COM VALOR</v>
      </c>
      <c r="L2782" s="36">
        <v>4.5499999999999998</v>
      </c>
      <c r="M2782" s="37">
        <v>4.5499999999999998</v>
      </c>
      <c r="N2782" s="36">
        <v>4.5499999999999998</v>
      </c>
    </row>
    <row r="2783" ht="12.75">
      <c r="A2783" s="19" t="s">
        <v>10460</v>
      </c>
      <c r="B2783" s="19">
        <v>3864</v>
      </c>
      <c r="C2783" s="20" t="s">
        <v>13249</v>
      </c>
      <c r="D2783" s="19" t="s">
        <v>31</v>
      </c>
      <c r="E2783" s="19" t="s">
        <v>10459</v>
      </c>
      <c r="F2783" s="21">
        <f t="shared" si="568"/>
        <v>13.93</v>
      </c>
      <c r="G2783" s="21">
        <f t="shared" si="568"/>
        <v>13.93</v>
      </c>
      <c r="H2783" s="21">
        <f t="shared" si="568"/>
        <v>13.93</v>
      </c>
      <c r="I2783" s="24" t="str">
        <f t="shared" si="569"/>
        <v xml:space="preserve">COM VALOR</v>
      </c>
      <c r="L2783" s="36">
        <v>13.93</v>
      </c>
      <c r="M2783" s="37">
        <v>13.93</v>
      </c>
      <c r="N2783" s="36">
        <v>13.93</v>
      </c>
    </row>
    <row r="2784" ht="12.75">
      <c r="A2784" s="19" t="s">
        <v>10460</v>
      </c>
      <c r="B2784" s="19">
        <v>3865</v>
      </c>
      <c r="C2784" s="20" t="s">
        <v>13250</v>
      </c>
      <c r="D2784" s="19" t="s">
        <v>31</v>
      </c>
      <c r="E2784" s="19" t="s">
        <v>10459</v>
      </c>
      <c r="F2784" s="21">
        <f t="shared" si="568"/>
        <v>20.359999999999999</v>
      </c>
      <c r="G2784" s="21">
        <f t="shared" si="568"/>
        <v>20.359999999999999</v>
      </c>
      <c r="H2784" s="21">
        <f t="shared" si="568"/>
        <v>20.359999999999999</v>
      </c>
      <c r="I2784" s="24" t="str">
        <f t="shared" si="569"/>
        <v xml:space="preserve">COM VALOR</v>
      </c>
      <c r="L2784" s="36">
        <v>20.359999999999999</v>
      </c>
      <c r="M2784" s="37">
        <v>20.359999999999999</v>
      </c>
      <c r="N2784" s="36">
        <v>20.359999999999999</v>
      </c>
    </row>
    <row r="2785" ht="12.75">
      <c r="A2785" s="19" t="s">
        <v>10460</v>
      </c>
      <c r="B2785" s="19">
        <v>3866</v>
      </c>
      <c r="C2785" s="20" t="s">
        <v>13251</v>
      </c>
      <c r="D2785" s="19" t="s">
        <v>31</v>
      </c>
      <c r="E2785" s="19" t="s">
        <v>10459</v>
      </c>
      <c r="F2785" s="21">
        <f t="shared" si="568"/>
        <v>45.719999999999999</v>
      </c>
      <c r="G2785" s="21">
        <f t="shared" si="568"/>
        <v>45.719999999999999</v>
      </c>
      <c r="H2785" s="21">
        <f t="shared" si="568"/>
        <v>45.719999999999999</v>
      </c>
      <c r="I2785" s="24" t="str">
        <f t="shared" si="569"/>
        <v xml:space="preserve">COM VALOR</v>
      </c>
      <c r="L2785" s="36">
        <v>45.719999999999999</v>
      </c>
      <c r="M2785" s="37">
        <v>45.719999999999999</v>
      </c>
      <c r="N2785" s="36">
        <v>45.719999999999999</v>
      </c>
    </row>
    <row r="2786" ht="12.75">
      <c r="A2786" s="19" t="s">
        <v>10460</v>
      </c>
      <c r="B2786" s="19">
        <v>3878</v>
      </c>
      <c r="C2786" s="20" t="s">
        <v>13252</v>
      </c>
      <c r="D2786" s="19" t="s">
        <v>31</v>
      </c>
      <c r="E2786" s="19" t="s">
        <v>10459</v>
      </c>
      <c r="F2786" s="21">
        <f t="shared" si="568"/>
        <v>12.470000000000001</v>
      </c>
      <c r="G2786" s="21">
        <f t="shared" si="568"/>
        <v>12.470000000000001</v>
      </c>
      <c r="H2786" s="21">
        <f t="shared" si="568"/>
        <v>12.470000000000001</v>
      </c>
      <c r="I2786" s="24" t="str">
        <f t="shared" si="569"/>
        <v xml:space="preserve">COM VALOR</v>
      </c>
      <c r="L2786" s="36">
        <v>12.470000000000001</v>
      </c>
      <c r="M2786" s="37">
        <v>12.470000000000001</v>
      </c>
      <c r="N2786" s="36">
        <v>12.470000000000001</v>
      </c>
    </row>
    <row r="2787" ht="12.75">
      <c r="A2787" s="19" t="s">
        <v>10460</v>
      </c>
      <c r="B2787" s="19">
        <v>3876</v>
      </c>
      <c r="C2787" s="20" t="s">
        <v>13253</v>
      </c>
      <c r="D2787" s="19" t="s">
        <v>31</v>
      </c>
      <c r="E2787" s="19" t="s">
        <v>10459</v>
      </c>
      <c r="F2787" s="21">
        <f t="shared" si="568"/>
        <v>4.96</v>
      </c>
      <c r="G2787" s="21">
        <f t="shared" si="568"/>
        <v>4.96</v>
      </c>
      <c r="H2787" s="21">
        <f t="shared" si="568"/>
        <v>4.96</v>
      </c>
      <c r="I2787" s="24" t="str">
        <f t="shared" si="569"/>
        <v xml:space="preserve">COM VALOR</v>
      </c>
      <c r="L2787" s="36">
        <v>4.96</v>
      </c>
      <c r="M2787" s="37">
        <v>4.96</v>
      </c>
      <c r="N2787" s="36">
        <v>4.96</v>
      </c>
    </row>
    <row r="2788" ht="12.75">
      <c r="A2788" s="19" t="s">
        <v>10460</v>
      </c>
      <c r="B2788" s="19">
        <v>3883</v>
      </c>
      <c r="C2788" s="20" t="s">
        <v>13254</v>
      </c>
      <c r="D2788" s="19" t="s">
        <v>31</v>
      </c>
      <c r="E2788" s="19" t="s">
        <v>10459</v>
      </c>
      <c r="F2788" s="21">
        <f t="shared" si="568"/>
        <v>1.5900000000000001</v>
      </c>
      <c r="G2788" s="21">
        <f t="shared" si="568"/>
        <v>1.5900000000000001</v>
      </c>
      <c r="H2788" s="21">
        <f t="shared" si="568"/>
        <v>1.5900000000000001</v>
      </c>
      <c r="I2788" s="24" t="str">
        <f t="shared" si="569"/>
        <v xml:space="preserve">COM VALOR</v>
      </c>
      <c r="L2788" s="36">
        <v>1.5900000000000001</v>
      </c>
      <c r="M2788" s="37">
        <v>1.5900000000000001</v>
      </c>
      <c r="N2788" s="36">
        <v>1.5900000000000001</v>
      </c>
    </row>
    <row r="2789" ht="12.75">
      <c r="A2789" s="19" t="s">
        <v>10460</v>
      </c>
      <c r="B2789" s="19">
        <v>3884</v>
      </c>
      <c r="C2789" s="20" t="s">
        <v>13255</v>
      </c>
      <c r="D2789" s="19" t="s">
        <v>31</v>
      </c>
      <c r="E2789" s="19" t="s">
        <v>10459</v>
      </c>
      <c r="F2789" s="21">
        <f t="shared" si="568"/>
        <v>2.52</v>
      </c>
      <c r="G2789" s="21">
        <f t="shared" si="568"/>
        <v>2.52</v>
      </c>
      <c r="H2789" s="21">
        <f t="shared" si="568"/>
        <v>2.52</v>
      </c>
      <c r="I2789" s="24" t="str">
        <f t="shared" si="569"/>
        <v xml:space="preserve">COM VALOR</v>
      </c>
      <c r="L2789" s="36">
        <v>2.52</v>
      </c>
      <c r="M2789" s="37">
        <v>2.52</v>
      </c>
      <c r="N2789" s="36">
        <v>2.52</v>
      </c>
    </row>
    <row r="2790" ht="12.75">
      <c r="A2790" s="19" t="s">
        <v>10460</v>
      </c>
      <c r="B2790" s="19">
        <v>12892</v>
      </c>
      <c r="C2790" s="20" t="s">
        <v>13256</v>
      </c>
      <c r="D2790" s="19" t="s">
        <v>10874</v>
      </c>
      <c r="E2790" s="19" t="s">
        <v>10459</v>
      </c>
      <c r="F2790" s="21">
        <f t="shared" si="568"/>
        <v>11.84</v>
      </c>
      <c r="G2790" s="21">
        <f t="shared" si="568"/>
        <v>11.84</v>
      </c>
      <c r="H2790" s="21">
        <f t="shared" si="568"/>
        <v>11.84</v>
      </c>
      <c r="I2790" s="24" t="str">
        <f t="shared" si="569"/>
        <v xml:space="preserve">COM VALOR</v>
      </c>
      <c r="L2790" s="36">
        <v>11.84</v>
      </c>
      <c r="M2790" s="37">
        <v>11.84</v>
      </c>
      <c r="N2790" s="36">
        <v>11.84</v>
      </c>
    </row>
    <row r="2791" ht="25.5">
      <c r="A2791" s="19" t="s">
        <v>10460</v>
      </c>
      <c r="B2791" s="19">
        <v>38447</v>
      </c>
      <c r="C2791" s="20" t="s">
        <v>13257</v>
      </c>
      <c r="D2791" s="19" t="s">
        <v>31</v>
      </c>
      <c r="E2791" s="19" t="s">
        <v>10459</v>
      </c>
      <c r="F2791" s="21" t="str">
        <f t="shared" si="568"/>
        <v>VERIFICAR</v>
      </c>
      <c r="G2791" s="21" t="str">
        <f t="shared" si="568"/>
        <v>VERIFICAR</v>
      </c>
      <c r="H2791" s="21" t="str">
        <f t="shared" si="568"/>
        <v>VERIFICAR</v>
      </c>
      <c r="I2791" s="24" t="str">
        <f t="shared" si="569"/>
        <v xml:space="preserve">SEM VALOR</v>
      </c>
      <c r="L2791" s="36"/>
      <c r="M2791" s="37"/>
      <c r="N2791" s="36"/>
    </row>
    <row r="2792" ht="25.5">
      <c r="A2792" s="19" t="s">
        <v>10460</v>
      </c>
      <c r="B2792" s="19">
        <v>36320</v>
      </c>
      <c r="C2792" s="20" t="s">
        <v>13258</v>
      </c>
      <c r="D2792" s="19" t="s">
        <v>31</v>
      </c>
      <c r="E2792" s="19" t="s">
        <v>10459</v>
      </c>
      <c r="F2792" s="21" t="str">
        <f t="shared" si="568"/>
        <v>VERIFICAR</v>
      </c>
      <c r="G2792" s="21" t="str">
        <f t="shared" si="568"/>
        <v>VERIFICAR</v>
      </c>
      <c r="H2792" s="21" t="str">
        <f t="shared" si="568"/>
        <v>VERIFICAR</v>
      </c>
      <c r="I2792" s="24" t="str">
        <f t="shared" si="569"/>
        <v xml:space="preserve">SEM VALOR</v>
      </c>
      <c r="L2792" s="36"/>
      <c r="M2792" s="37"/>
      <c r="N2792" s="36"/>
    </row>
    <row r="2793" ht="25.5">
      <c r="A2793" s="19" t="s">
        <v>10460</v>
      </c>
      <c r="B2793" s="19">
        <v>36324</v>
      </c>
      <c r="C2793" s="20" t="s">
        <v>13259</v>
      </c>
      <c r="D2793" s="19" t="s">
        <v>31</v>
      </c>
      <c r="E2793" s="19" t="s">
        <v>10459</v>
      </c>
      <c r="F2793" s="21" t="str">
        <f t="shared" si="568"/>
        <v>VERIFICAR</v>
      </c>
      <c r="G2793" s="21" t="str">
        <f t="shared" si="568"/>
        <v>VERIFICAR</v>
      </c>
      <c r="H2793" s="21" t="str">
        <f t="shared" si="568"/>
        <v>VERIFICAR</v>
      </c>
      <c r="I2793" s="24" t="str">
        <f t="shared" si="569"/>
        <v xml:space="preserve">SEM VALOR</v>
      </c>
      <c r="L2793" s="36"/>
      <c r="M2793" s="37"/>
      <c r="N2793" s="36"/>
    </row>
    <row r="2794" ht="25.5">
      <c r="A2794" s="19" t="s">
        <v>10460</v>
      </c>
      <c r="B2794" s="19">
        <v>38441</v>
      </c>
      <c r="C2794" s="20" t="s">
        <v>13260</v>
      </c>
      <c r="D2794" s="19" t="s">
        <v>31</v>
      </c>
      <c r="E2794" s="19" t="s">
        <v>10459</v>
      </c>
      <c r="F2794" s="21" t="str">
        <f t="shared" si="568"/>
        <v>VERIFICAR</v>
      </c>
      <c r="G2794" s="21" t="str">
        <f t="shared" si="568"/>
        <v>VERIFICAR</v>
      </c>
      <c r="H2794" s="21" t="str">
        <f t="shared" si="568"/>
        <v>VERIFICAR</v>
      </c>
      <c r="I2794" s="24" t="str">
        <f t="shared" si="569"/>
        <v xml:space="preserve">SEM VALOR</v>
      </c>
      <c r="L2794" s="36"/>
      <c r="M2794" s="37"/>
      <c r="N2794" s="36"/>
    </row>
    <row r="2795" ht="25.5">
      <c r="A2795" s="19" t="s">
        <v>10460</v>
      </c>
      <c r="B2795" s="19">
        <v>38442</v>
      </c>
      <c r="C2795" s="20" t="s">
        <v>13261</v>
      </c>
      <c r="D2795" s="19" t="s">
        <v>31</v>
      </c>
      <c r="E2795" s="19" t="s">
        <v>10459</v>
      </c>
      <c r="F2795" s="21" t="str">
        <f t="shared" si="568"/>
        <v>VERIFICAR</v>
      </c>
      <c r="G2795" s="21" t="str">
        <f t="shared" si="568"/>
        <v>VERIFICAR</v>
      </c>
      <c r="H2795" s="21" t="str">
        <f t="shared" si="568"/>
        <v>VERIFICAR</v>
      </c>
      <c r="I2795" s="24" t="str">
        <f t="shared" si="569"/>
        <v xml:space="preserve">SEM VALOR</v>
      </c>
      <c r="L2795" s="36"/>
      <c r="M2795" s="37"/>
      <c r="N2795" s="36"/>
    </row>
    <row r="2796" ht="25.5">
      <c r="A2796" s="19" t="s">
        <v>10460</v>
      </c>
      <c r="B2796" s="19">
        <v>38443</v>
      </c>
      <c r="C2796" s="20" t="s">
        <v>13262</v>
      </c>
      <c r="D2796" s="19" t="s">
        <v>31</v>
      </c>
      <c r="E2796" s="19" t="s">
        <v>10459</v>
      </c>
      <c r="F2796" s="21" t="str">
        <f t="shared" si="568"/>
        <v>VERIFICAR</v>
      </c>
      <c r="G2796" s="21" t="str">
        <f t="shared" si="568"/>
        <v>VERIFICAR</v>
      </c>
      <c r="H2796" s="21" t="str">
        <f t="shared" si="568"/>
        <v>VERIFICAR</v>
      </c>
      <c r="I2796" s="24" t="str">
        <f t="shared" si="569"/>
        <v xml:space="preserve">SEM VALOR</v>
      </c>
      <c r="L2796" s="36"/>
      <c r="M2796" s="37"/>
      <c r="N2796" s="36"/>
    </row>
    <row r="2797" ht="25.5">
      <c r="A2797" s="19" t="s">
        <v>10460</v>
      </c>
      <c r="B2797" s="19">
        <v>38444</v>
      </c>
      <c r="C2797" s="20" t="s">
        <v>13263</v>
      </c>
      <c r="D2797" s="19" t="s">
        <v>31</v>
      </c>
      <c r="E2797" s="19" t="s">
        <v>10459</v>
      </c>
      <c r="F2797" s="21" t="str">
        <f t="shared" si="568"/>
        <v>VERIFICAR</v>
      </c>
      <c r="G2797" s="21" t="str">
        <f t="shared" si="568"/>
        <v>VERIFICAR</v>
      </c>
      <c r="H2797" s="21" t="str">
        <f t="shared" si="568"/>
        <v>VERIFICAR</v>
      </c>
      <c r="I2797" s="24" t="str">
        <f t="shared" si="569"/>
        <v xml:space="preserve">SEM VALOR</v>
      </c>
      <c r="L2797" s="36"/>
      <c r="M2797" s="37"/>
      <c r="N2797" s="36"/>
    </row>
    <row r="2798" ht="25.5">
      <c r="A2798" s="19" t="s">
        <v>10460</v>
      </c>
      <c r="B2798" s="19">
        <v>38445</v>
      </c>
      <c r="C2798" s="20" t="s">
        <v>13264</v>
      </c>
      <c r="D2798" s="19" t="s">
        <v>31</v>
      </c>
      <c r="E2798" s="19" t="s">
        <v>10459</v>
      </c>
      <c r="F2798" s="21" t="str">
        <f t="shared" si="568"/>
        <v>VERIFICAR</v>
      </c>
      <c r="G2798" s="21" t="str">
        <f t="shared" si="568"/>
        <v>VERIFICAR</v>
      </c>
      <c r="H2798" s="21" t="str">
        <f t="shared" si="568"/>
        <v>VERIFICAR</v>
      </c>
      <c r="I2798" s="24" t="str">
        <f t="shared" si="569"/>
        <v xml:space="preserve">SEM VALOR</v>
      </c>
      <c r="L2798" s="36"/>
      <c r="M2798" s="37"/>
      <c r="N2798" s="36"/>
    </row>
    <row r="2799" ht="25.5">
      <c r="A2799" s="19" t="s">
        <v>10460</v>
      </c>
      <c r="B2799" s="19">
        <v>38446</v>
      </c>
      <c r="C2799" s="20" t="s">
        <v>13265</v>
      </c>
      <c r="D2799" s="19" t="s">
        <v>31</v>
      </c>
      <c r="E2799" s="19" t="s">
        <v>10459</v>
      </c>
      <c r="F2799" s="21" t="str">
        <f t="shared" si="568"/>
        <v>VERIFICAR</v>
      </c>
      <c r="G2799" s="21" t="str">
        <f t="shared" si="568"/>
        <v>VERIFICAR</v>
      </c>
      <c r="H2799" s="21" t="str">
        <f t="shared" si="568"/>
        <v>VERIFICAR</v>
      </c>
      <c r="I2799" s="24" t="str">
        <f t="shared" si="569"/>
        <v xml:space="preserve">SEM VALOR</v>
      </c>
      <c r="L2799" s="36"/>
      <c r="M2799" s="37"/>
      <c r="N2799" s="36"/>
    </row>
    <row r="2800" ht="25.5">
      <c r="A2800" s="19" t="s">
        <v>10460</v>
      </c>
      <c r="B2800" s="19">
        <v>3837</v>
      </c>
      <c r="C2800" s="20" t="s">
        <v>13266</v>
      </c>
      <c r="D2800" s="19" t="s">
        <v>31</v>
      </c>
      <c r="E2800" s="19" t="s">
        <v>10459</v>
      </c>
      <c r="F2800" s="21">
        <f t="shared" si="568"/>
        <v>37.32</v>
      </c>
      <c r="G2800" s="21">
        <f t="shared" si="568"/>
        <v>37.32</v>
      </c>
      <c r="H2800" s="21">
        <f t="shared" si="568"/>
        <v>37.32</v>
      </c>
      <c r="I2800" s="24" t="str">
        <f t="shared" si="569"/>
        <v xml:space="preserve">COM VALOR</v>
      </c>
      <c r="L2800" s="36">
        <v>37.32</v>
      </c>
      <c r="M2800" s="37">
        <v>37.32</v>
      </c>
      <c r="N2800" s="36">
        <v>37.32</v>
      </c>
    </row>
    <row r="2801" ht="25.5">
      <c r="A2801" s="19" t="s">
        <v>10460</v>
      </c>
      <c r="B2801" s="19">
        <v>3845</v>
      </c>
      <c r="C2801" s="20" t="s">
        <v>13267</v>
      </c>
      <c r="D2801" s="19" t="s">
        <v>31</v>
      </c>
      <c r="E2801" s="19" t="s">
        <v>10459</v>
      </c>
      <c r="F2801" s="21">
        <f t="shared" si="568"/>
        <v>13.630000000000001</v>
      </c>
      <c r="G2801" s="21">
        <f t="shared" si="568"/>
        <v>13.630000000000001</v>
      </c>
      <c r="H2801" s="21">
        <f t="shared" si="568"/>
        <v>13.630000000000001</v>
      </c>
      <c r="I2801" s="24" t="str">
        <f t="shared" si="569"/>
        <v xml:space="preserve">COM VALOR</v>
      </c>
      <c r="L2801" s="36">
        <v>13.630000000000001</v>
      </c>
      <c r="M2801" s="37">
        <v>13.630000000000001</v>
      </c>
      <c r="N2801" s="36">
        <v>13.630000000000001</v>
      </c>
    </row>
    <row r="2802" ht="25.5">
      <c r="A2802" s="19" t="s">
        <v>10460</v>
      </c>
      <c r="B2802" s="19">
        <v>11045</v>
      </c>
      <c r="C2802" s="20" t="s">
        <v>13268</v>
      </c>
      <c r="D2802" s="19" t="s">
        <v>31</v>
      </c>
      <c r="E2802" s="19" t="s">
        <v>10459</v>
      </c>
      <c r="F2802" s="21">
        <f t="shared" si="568"/>
        <v>26.300000000000001</v>
      </c>
      <c r="G2802" s="21">
        <f t="shared" si="568"/>
        <v>26.300000000000001</v>
      </c>
      <c r="H2802" s="21">
        <f t="shared" si="568"/>
        <v>26.300000000000001</v>
      </c>
      <c r="I2802" s="24" t="str">
        <f t="shared" si="569"/>
        <v xml:space="preserve">COM VALOR</v>
      </c>
      <c r="L2802" s="36">
        <v>26.300000000000001</v>
      </c>
      <c r="M2802" s="37">
        <v>26.300000000000001</v>
      </c>
      <c r="N2802" s="36">
        <v>26.300000000000001</v>
      </c>
    </row>
    <row r="2803" ht="12.75">
      <c r="A2803" s="19" t="s">
        <v>10460</v>
      </c>
      <c r="B2803" s="19">
        <v>20170</v>
      </c>
      <c r="C2803" s="20" t="s">
        <v>13269</v>
      </c>
      <c r="D2803" s="19" t="s">
        <v>31</v>
      </c>
      <c r="E2803" s="19" t="s">
        <v>10459</v>
      </c>
      <c r="F2803" s="21">
        <f t="shared" si="568"/>
        <v>15.26</v>
      </c>
      <c r="G2803" s="21">
        <f t="shared" si="568"/>
        <v>15.26</v>
      </c>
      <c r="H2803" s="21">
        <f t="shared" si="568"/>
        <v>15.26</v>
      </c>
      <c r="I2803" s="24" t="str">
        <f t="shared" si="569"/>
        <v xml:space="preserve">COM VALOR</v>
      </c>
      <c r="L2803" s="36">
        <v>15.26</v>
      </c>
      <c r="M2803" s="37">
        <v>15.26</v>
      </c>
      <c r="N2803" s="36">
        <v>15.26</v>
      </c>
    </row>
    <row r="2804" ht="12.75">
      <c r="A2804" s="19" t="s">
        <v>10460</v>
      </c>
      <c r="B2804" s="19">
        <v>20171</v>
      </c>
      <c r="C2804" s="20" t="s">
        <v>13270</v>
      </c>
      <c r="D2804" s="19" t="s">
        <v>31</v>
      </c>
      <c r="E2804" s="19" t="s">
        <v>10459</v>
      </c>
      <c r="F2804" s="21">
        <f t="shared" si="568"/>
        <v>43.990000000000002</v>
      </c>
      <c r="G2804" s="21">
        <f t="shared" si="568"/>
        <v>43.990000000000002</v>
      </c>
      <c r="H2804" s="21">
        <f t="shared" si="568"/>
        <v>43.990000000000002</v>
      </c>
      <c r="I2804" s="24" t="str">
        <f t="shared" si="569"/>
        <v xml:space="preserve">COM VALOR</v>
      </c>
      <c r="L2804" s="36">
        <v>43.990000000000002</v>
      </c>
      <c r="M2804" s="37">
        <v>43.990000000000002</v>
      </c>
      <c r="N2804" s="36">
        <v>43.990000000000002</v>
      </c>
    </row>
    <row r="2805" ht="12.75">
      <c r="A2805" s="19" t="s">
        <v>10460</v>
      </c>
      <c r="B2805" s="19">
        <v>20167</v>
      </c>
      <c r="C2805" s="20" t="s">
        <v>13271</v>
      </c>
      <c r="D2805" s="19" t="s">
        <v>31</v>
      </c>
      <c r="E2805" s="19" t="s">
        <v>10459</v>
      </c>
      <c r="F2805" s="21">
        <f t="shared" si="568"/>
        <v>5.5300000000000002</v>
      </c>
      <c r="G2805" s="21">
        <f t="shared" si="568"/>
        <v>5.5300000000000002</v>
      </c>
      <c r="H2805" s="21">
        <f t="shared" si="568"/>
        <v>5.5300000000000002</v>
      </c>
      <c r="I2805" s="24" t="str">
        <f t="shared" si="569"/>
        <v xml:space="preserve">COM VALOR</v>
      </c>
      <c r="L2805" s="36">
        <v>5.5300000000000002</v>
      </c>
      <c r="M2805" s="37">
        <v>5.5300000000000002</v>
      </c>
      <c r="N2805" s="36">
        <v>5.5300000000000002</v>
      </c>
    </row>
    <row r="2806" ht="12.75">
      <c r="A2806" s="19" t="s">
        <v>10460</v>
      </c>
      <c r="B2806" s="19">
        <v>20168</v>
      </c>
      <c r="C2806" s="20" t="s">
        <v>13272</v>
      </c>
      <c r="D2806" s="19" t="s">
        <v>31</v>
      </c>
      <c r="E2806" s="19" t="s">
        <v>10459</v>
      </c>
      <c r="F2806" s="21">
        <f t="shared" si="568"/>
        <v>11.380000000000001</v>
      </c>
      <c r="G2806" s="21">
        <f t="shared" si="568"/>
        <v>11.380000000000001</v>
      </c>
      <c r="H2806" s="21">
        <f t="shared" si="568"/>
        <v>11.380000000000001</v>
      </c>
      <c r="I2806" s="24" t="str">
        <f t="shared" si="569"/>
        <v xml:space="preserve">COM VALOR</v>
      </c>
      <c r="L2806" s="36">
        <v>11.380000000000001</v>
      </c>
      <c r="M2806" s="37">
        <v>11.380000000000001</v>
      </c>
      <c r="N2806" s="36">
        <v>11.380000000000001</v>
      </c>
    </row>
    <row r="2807" ht="12.75">
      <c r="A2807" s="19" t="s">
        <v>10460</v>
      </c>
      <c r="B2807" s="19">
        <v>20169</v>
      </c>
      <c r="C2807" s="20" t="s">
        <v>13273</v>
      </c>
      <c r="D2807" s="19" t="s">
        <v>31</v>
      </c>
      <c r="E2807" s="19" t="s">
        <v>10459</v>
      </c>
      <c r="F2807" s="21">
        <f t="shared" si="568"/>
        <v>13.289999999999999</v>
      </c>
      <c r="G2807" s="21">
        <f t="shared" si="568"/>
        <v>13.289999999999999</v>
      </c>
      <c r="H2807" s="21">
        <f t="shared" si="568"/>
        <v>13.289999999999999</v>
      </c>
      <c r="I2807" s="24" t="str">
        <f t="shared" si="569"/>
        <v xml:space="preserve">COM VALOR</v>
      </c>
      <c r="L2807" s="36">
        <v>13.289999999999999</v>
      </c>
      <c r="M2807" s="37">
        <v>13.289999999999999</v>
      </c>
      <c r="N2807" s="36">
        <v>13.289999999999999</v>
      </c>
    </row>
    <row r="2808" ht="25.5">
      <c r="A2808" s="19" t="s">
        <v>10460</v>
      </c>
      <c r="B2808" s="19">
        <v>3899</v>
      </c>
      <c r="C2808" s="20" t="s">
        <v>13274</v>
      </c>
      <c r="D2808" s="19" t="s">
        <v>31</v>
      </c>
      <c r="E2808" s="19" t="s">
        <v>10459</v>
      </c>
      <c r="F2808" s="21">
        <f t="shared" si="568"/>
        <v>7.3700000000000001</v>
      </c>
      <c r="G2808" s="21">
        <f t="shared" si="568"/>
        <v>7.3700000000000001</v>
      </c>
      <c r="H2808" s="21">
        <f t="shared" si="568"/>
        <v>7.3700000000000001</v>
      </c>
      <c r="I2808" s="24" t="str">
        <f t="shared" si="569"/>
        <v xml:space="preserve">COM VALOR</v>
      </c>
      <c r="L2808" s="36">
        <v>7.3700000000000001</v>
      </c>
      <c r="M2808" s="37">
        <v>7.3700000000000001</v>
      </c>
      <c r="N2808" s="36">
        <v>7.3700000000000001</v>
      </c>
    </row>
    <row r="2809" ht="25.5">
      <c r="A2809" s="19" t="s">
        <v>10460</v>
      </c>
      <c r="B2809" s="19">
        <v>38676</v>
      </c>
      <c r="C2809" s="20" t="s">
        <v>13275</v>
      </c>
      <c r="D2809" s="19" t="s">
        <v>31</v>
      </c>
      <c r="E2809" s="19" t="s">
        <v>10459</v>
      </c>
      <c r="F2809" s="21">
        <f t="shared" si="568"/>
        <v>36.859999999999999</v>
      </c>
      <c r="G2809" s="21">
        <f t="shared" si="568"/>
        <v>36.859999999999999</v>
      </c>
      <c r="H2809" s="21">
        <f t="shared" si="568"/>
        <v>36.859999999999999</v>
      </c>
      <c r="I2809" s="24" t="str">
        <f t="shared" si="569"/>
        <v xml:space="preserve">COM VALOR</v>
      </c>
      <c r="L2809" s="36">
        <v>36.859999999999999</v>
      </c>
      <c r="M2809" s="37">
        <v>36.859999999999999</v>
      </c>
      <c r="N2809" s="36">
        <v>36.859999999999999</v>
      </c>
    </row>
    <row r="2810" ht="25.5">
      <c r="A2810" s="19" t="s">
        <v>10460</v>
      </c>
      <c r="B2810" s="19">
        <v>3897</v>
      </c>
      <c r="C2810" s="20" t="s">
        <v>13276</v>
      </c>
      <c r="D2810" s="19" t="s">
        <v>31</v>
      </c>
      <c r="E2810" s="19" t="s">
        <v>10459</v>
      </c>
      <c r="F2810" s="21">
        <f t="shared" si="568"/>
        <v>1.8</v>
      </c>
      <c r="G2810" s="21">
        <f t="shared" si="568"/>
        <v>1.8</v>
      </c>
      <c r="H2810" s="21">
        <f t="shared" si="568"/>
        <v>1.8</v>
      </c>
      <c r="I2810" s="24" t="str">
        <f t="shared" si="569"/>
        <v xml:space="preserve">COM VALOR</v>
      </c>
      <c r="L2810" s="36">
        <v>1.8</v>
      </c>
      <c r="M2810" s="37">
        <v>1.8</v>
      </c>
      <c r="N2810" s="36">
        <v>1.8</v>
      </c>
    </row>
    <row r="2811" ht="25.5">
      <c r="A2811" s="19" t="s">
        <v>10460</v>
      </c>
      <c r="B2811" s="19">
        <v>3875</v>
      </c>
      <c r="C2811" s="20" t="s">
        <v>13277</v>
      </c>
      <c r="D2811" s="19" t="s">
        <v>31</v>
      </c>
      <c r="E2811" s="19" t="s">
        <v>10459</v>
      </c>
      <c r="F2811" s="21">
        <f t="shared" si="568"/>
        <v>3.7200000000000002</v>
      </c>
      <c r="G2811" s="21">
        <f t="shared" si="568"/>
        <v>3.7200000000000002</v>
      </c>
      <c r="H2811" s="21">
        <f t="shared" si="568"/>
        <v>3.7200000000000002</v>
      </c>
      <c r="I2811" s="24" t="str">
        <f t="shared" si="569"/>
        <v xml:space="preserve">COM VALOR</v>
      </c>
      <c r="L2811" s="36">
        <v>3.7200000000000002</v>
      </c>
      <c r="M2811" s="37">
        <v>3.7200000000000002</v>
      </c>
      <c r="N2811" s="36">
        <v>3.7200000000000002</v>
      </c>
    </row>
    <row r="2812" ht="25.5">
      <c r="A2812" s="19" t="s">
        <v>10460</v>
      </c>
      <c r="B2812" s="19">
        <v>3898</v>
      </c>
      <c r="C2812" s="20" t="s">
        <v>13278</v>
      </c>
      <c r="D2812" s="19" t="s">
        <v>31</v>
      </c>
      <c r="E2812" s="19" t="s">
        <v>10459</v>
      </c>
      <c r="F2812" s="21">
        <f t="shared" si="568"/>
        <v>7.54</v>
      </c>
      <c r="G2812" s="21">
        <f t="shared" si="568"/>
        <v>7.54</v>
      </c>
      <c r="H2812" s="21">
        <f t="shared" si="568"/>
        <v>7.54</v>
      </c>
      <c r="I2812" s="24" t="str">
        <f t="shared" si="569"/>
        <v xml:space="preserve">COM VALOR</v>
      </c>
      <c r="L2812" s="36">
        <v>7.54</v>
      </c>
      <c r="M2812" s="37">
        <v>7.54</v>
      </c>
      <c r="N2812" s="36">
        <v>7.54</v>
      </c>
    </row>
    <row r="2813" ht="12.75">
      <c r="A2813" s="19" t="s">
        <v>10460</v>
      </c>
      <c r="B2813" s="19">
        <v>3855</v>
      </c>
      <c r="C2813" s="20" t="s">
        <v>13279</v>
      </c>
      <c r="D2813" s="19" t="s">
        <v>31</v>
      </c>
      <c r="E2813" s="19" t="s">
        <v>10459</v>
      </c>
      <c r="F2813" s="21">
        <f t="shared" si="568"/>
        <v>5.3799999999999999</v>
      </c>
      <c r="G2813" s="21">
        <f t="shared" si="568"/>
        <v>5.3799999999999999</v>
      </c>
      <c r="H2813" s="21">
        <f t="shared" si="568"/>
        <v>5.3799999999999999</v>
      </c>
      <c r="I2813" s="24" t="str">
        <f t="shared" si="569"/>
        <v xml:space="preserve">COM VALOR</v>
      </c>
      <c r="L2813" s="36">
        <v>5.3799999999999999</v>
      </c>
      <c r="M2813" s="37">
        <v>5.3799999999999999</v>
      </c>
      <c r="N2813" s="36">
        <v>5.3799999999999999</v>
      </c>
    </row>
    <row r="2814" ht="12.75">
      <c r="A2814" s="19" t="s">
        <v>10460</v>
      </c>
      <c r="B2814" s="19">
        <v>3874</v>
      </c>
      <c r="C2814" s="20" t="s">
        <v>13280</v>
      </c>
      <c r="D2814" s="19" t="s">
        <v>31</v>
      </c>
      <c r="E2814" s="19" t="s">
        <v>10459</v>
      </c>
      <c r="F2814" s="21">
        <f t="shared" si="568"/>
        <v>6.2400000000000002</v>
      </c>
      <c r="G2814" s="21">
        <f t="shared" si="568"/>
        <v>6.2400000000000002</v>
      </c>
      <c r="H2814" s="21">
        <f t="shared" si="568"/>
        <v>6.2400000000000002</v>
      </c>
      <c r="I2814" s="24" t="str">
        <f t="shared" si="569"/>
        <v xml:space="preserve">COM VALOR</v>
      </c>
      <c r="L2814" s="36">
        <v>6.2400000000000002</v>
      </c>
      <c r="M2814" s="37">
        <v>6.2400000000000002</v>
      </c>
      <c r="N2814" s="36">
        <v>6.2400000000000002</v>
      </c>
    </row>
    <row r="2815" ht="12.75">
      <c r="A2815" s="19" t="s">
        <v>10460</v>
      </c>
      <c r="B2815" s="19">
        <v>3870</v>
      </c>
      <c r="C2815" s="20" t="s">
        <v>13281</v>
      </c>
      <c r="D2815" s="19" t="s">
        <v>31</v>
      </c>
      <c r="E2815" s="19" t="s">
        <v>10459</v>
      </c>
      <c r="F2815" s="21">
        <f t="shared" si="568"/>
        <v>6.8499999999999996</v>
      </c>
      <c r="G2815" s="21">
        <f t="shared" si="568"/>
        <v>6.8499999999999996</v>
      </c>
      <c r="H2815" s="21">
        <f t="shared" si="568"/>
        <v>6.8499999999999996</v>
      </c>
      <c r="I2815" s="24" t="str">
        <f t="shared" si="569"/>
        <v xml:space="preserve">COM VALOR</v>
      </c>
      <c r="L2815" s="36">
        <v>6.8499999999999996</v>
      </c>
      <c r="M2815" s="37">
        <v>6.8499999999999996</v>
      </c>
      <c r="N2815" s="36">
        <v>6.8499999999999996</v>
      </c>
    </row>
    <row r="2816" ht="12.75">
      <c r="A2816" s="19" t="s">
        <v>10460</v>
      </c>
      <c r="B2816" s="19">
        <v>38678</v>
      </c>
      <c r="C2816" s="20" t="s">
        <v>13282</v>
      </c>
      <c r="D2816" s="19" t="s">
        <v>31</v>
      </c>
      <c r="E2816" s="19" t="s">
        <v>10459</v>
      </c>
      <c r="F2816" s="21">
        <f t="shared" si="568"/>
        <v>18.109999999999999</v>
      </c>
      <c r="G2816" s="21">
        <f t="shared" si="568"/>
        <v>18.109999999999999</v>
      </c>
      <c r="H2816" s="21">
        <f t="shared" si="568"/>
        <v>18.109999999999999</v>
      </c>
      <c r="I2816" s="24" t="str">
        <f t="shared" si="569"/>
        <v xml:space="preserve">COM VALOR</v>
      </c>
      <c r="L2816" s="36">
        <v>18.109999999999999</v>
      </c>
      <c r="M2816" s="37">
        <v>18.109999999999999</v>
      </c>
      <c r="N2816" s="36">
        <v>18.109999999999999</v>
      </c>
    </row>
    <row r="2817" ht="25.5">
      <c r="A2817" s="19" t="s">
        <v>10460</v>
      </c>
      <c r="B2817" s="19">
        <v>3859</v>
      </c>
      <c r="C2817" s="20" t="s">
        <v>13283</v>
      </c>
      <c r="D2817" s="19" t="s">
        <v>31</v>
      </c>
      <c r="E2817" s="19" t="s">
        <v>10459</v>
      </c>
      <c r="F2817" s="21">
        <f t="shared" si="568"/>
        <v>1.3799999999999999</v>
      </c>
      <c r="G2817" s="21">
        <f t="shared" si="568"/>
        <v>1.3799999999999999</v>
      </c>
      <c r="H2817" s="21">
        <f t="shared" si="568"/>
        <v>1.3799999999999999</v>
      </c>
      <c r="I2817" s="24" t="str">
        <f t="shared" si="569"/>
        <v xml:space="preserve">COM VALOR</v>
      </c>
      <c r="L2817" s="36">
        <v>1.3799999999999999</v>
      </c>
      <c r="M2817" s="37">
        <v>1.3799999999999999</v>
      </c>
      <c r="N2817" s="36">
        <v>1.3799999999999999</v>
      </c>
    </row>
    <row r="2818" ht="25.5">
      <c r="A2818" s="19" t="s">
        <v>10460</v>
      </c>
      <c r="B2818" s="19">
        <v>3856</v>
      </c>
      <c r="C2818" s="20" t="s">
        <v>13284</v>
      </c>
      <c r="D2818" s="19" t="s">
        <v>31</v>
      </c>
      <c r="E2818" s="19" t="s">
        <v>10459</v>
      </c>
      <c r="F2818" s="21">
        <f t="shared" si="568"/>
        <v>1.9099999999999999</v>
      </c>
      <c r="G2818" s="21">
        <f t="shared" si="568"/>
        <v>1.9099999999999999</v>
      </c>
      <c r="H2818" s="21">
        <f t="shared" si="568"/>
        <v>1.9099999999999999</v>
      </c>
      <c r="I2818" s="24" t="str">
        <f t="shared" si="569"/>
        <v xml:space="preserve">COM VALOR</v>
      </c>
      <c r="L2818" s="36">
        <v>1.9099999999999999</v>
      </c>
      <c r="M2818" s="37">
        <v>1.9099999999999999</v>
      </c>
      <c r="N2818" s="36">
        <v>1.9099999999999999</v>
      </c>
    </row>
    <row r="2819" ht="25.5">
      <c r="A2819" s="19" t="s">
        <v>10460</v>
      </c>
      <c r="B2819" s="19">
        <v>3906</v>
      </c>
      <c r="C2819" s="20" t="s">
        <v>13285</v>
      </c>
      <c r="D2819" s="19" t="s">
        <v>31</v>
      </c>
      <c r="E2819" s="19" t="s">
        <v>10459</v>
      </c>
      <c r="F2819" s="21">
        <f t="shared" si="568"/>
        <v>1.5800000000000001</v>
      </c>
      <c r="G2819" s="21">
        <f t="shared" si="568"/>
        <v>1.5800000000000001</v>
      </c>
      <c r="H2819" s="21">
        <f t="shared" si="568"/>
        <v>1.5800000000000001</v>
      </c>
      <c r="I2819" s="24" t="str">
        <f t="shared" si="569"/>
        <v xml:space="preserve">COM VALOR</v>
      </c>
      <c r="L2819" s="36">
        <v>1.5800000000000001</v>
      </c>
      <c r="M2819" s="37">
        <v>1.5800000000000001</v>
      </c>
      <c r="N2819" s="36">
        <v>1.5800000000000001</v>
      </c>
    </row>
    <row r="2820" ht="25.5">
      <c r="A2820" s="19" t="s">
        <v>10460</v>
      </c>
      <c r="B2820" s="19">
        <v>3860</v>
      </c>
      <c r="C2820" s="20" t="s">
        <v>13286</v>
      </c>
      <c r="D2820" s="19" t="s">
        <v>31</v>
      </c>
      <c r="E2820" s="19" t="s">
        <v>10459</v>
      </c>
      <c r="F2820" s="21">
        <f t="shared" si="568"/>
        <v>4.7000000000000002</v>
      </c>
      <c r="G2820" s="21">
        <f t="shared" si="568"/>
        <v>4.7000000000000002</v>
      </c>
      <c r="H2820" s="21">
        <f t="shared" si="568"/>
        <v>4.7000000000000002</v>
      </c>
      <c r="I2820" s="24" t="str">
        <f t="shared" si="569"/>
        <v xml:space="preserve">COM VALOR</v>
      </c>
      <c r="L2820" s="36">
        <v>4.7000000000000002</v>
      </c>
      <c r="M2820" s="37">
        <v>4.7000000000000002</v>
      </c>
      <c r="N2820" s="36">
        <v>4.7000000000000002</v>
      </c>
    </row>
    <row r="2821" ht="25.5">
      <c r="A2821" s="19" t="s">
        <v>10460</v>
      </c>
      <c r="B2821" s="19">
        <v>3905</v>
      </c>
      <c r="C2821" s="20" t="s">
        <v>13287</v>
      </c>
      <c r="D2821" s="19" t="s">
        <v>31</v>
      </c>
      <c r="E2821" s="19" t="s">
        <v>10459</v>
      </c>
      <c r="F2821" s="21">
        <f t="shared" si="568"/>
        <v>10.76</v>
      </c>
      <c r="G2821" s="21">
        <f t="shared" si="568"/>
        <v>10.76</v>
      </c>
      <c r="H2821" s="21">
        <f t="shared" si="568"/>
        <v>10.76</v>
      </c>
      <c r="I2821" s="24" t="str">
        <f t="shared" si="569"/>
        <v xml:space="preserve">COM VALOR</v>
      </c>
      <c r="L2821" s="36">
        <v>10.76</v>
      </c>
      <c r="M2821" s="37">
        <v>10.76</v>
      </c>
      <c r="N2821" s="36">
        <v>10.76</v>
      </c>
    </row>
    <row r="2822" ht="25.5">
      <c r="A2822" s="19" t="s">
        <v>10460</v>
      </c>
      <c r="B2822" s="19">
        <v>3871</v>
      </c>
      <c r="C2822" s="20" t="s">
        <v>13288</v>
      </c>
      <c r="D2822" s="19" t="s">
        <v>31</v>
      </c>
      <c r="E2822" s="19" t="s">
        <v>10459</v>
      </c>
      <c r="F2822" s="21">
        <f t="shared" si="568"/>
        <v>19.050000000000001</v>
      </c>
      <c r="G2822" s="21">
        <f t="shared" si="568"/>
        <v>19.050000000000001</v>
      </c>
      <c r="H2822" s="21">
        <f t="shared" si="568"/>
        <v>19.050000000000001</v>
      </c>
      <c r="I2822" s="24" t="str">
        <f t="shared" si="569"/>
        <v xml:space="preserve">COM VALOR</v>
      </c>
      <c r="L2822" s="36">
        <v>19.050000000000001</v>
      </c>
      <c r="M2822" s="37">
        <v>19.050000000000001</v>
      </c>
      <c r="N2822" s="36">
        <v>19.050000000000001</v>
      </c>
    </row>
    <row r="2823" ht="12.75">
      <c r="A2823" s="19" t="s">
        <v>10460</v>
      </c>
      <c r="B2823" s="19">
        <v>37427</v>
      </c>
      <c r="C2823" s="20" t="s">
        <v>13289</v>
      </c>
      <c r="D2823" s="19" t="s">
        <v>31</v>
      </c>
      <c r="E2823" s="19" t="s">
        <v>10459</v>
      </c>
      <c r="F2823" s="21" t="str">
        <f t="shared" si="568"/>
        <v>VERIFICAR</v>
      </c>
      <c r="G2823" s="21" t="str">
        <f t="shared" si="568"/>
        <v>VERIFICAR</v>
      </c>
      <c r="H2823" s="21" t="str">
        <f t="shared" si="568"/>
        <v>VERIFICAR</v>
      </c>
      <c r="I2823" s="24" t="str">
        <f t="shared" si="569"/>
        <v xml:space="preserve">SEM VALOR</v>
      </c>
      <c r="L2823" s="36"/>
      <c r="M2823" s="37"/>
      <c r="N2823" s="36"/>
    </row>
    <row r="2824" ht="12.75">
      <c r="A2824" s="19" t="s">
        <v>10460</v>
      </c>
      <c r="B2824" s="19">
        <v>37424</v>
      </c>
      <c r="C2824" s="20" t="s">
        <v>13290</v>
      </c>
      <c r="D2824" s="19" t="s">
        <v>31</v>
      </c>
      <c r="E2824" s="19" t="s">
        <v>10459</v>
      </c>
      <c r="F2824" s="21" t="str">
        <f t="shared" si="568"/>
        <v>VERIFICAR</v>
      </c>
      <c r="G2824" s="21" t="str">
        <f t="shared" si="568"/>
        <v>VERIFICAR</v>
      </c>
      <c r="H2824" s="21" t="str">
        <f t="shared" si="568"/>
        <v>VERIFICAR</v>
      </c>
      <c r="I2824" s="24" t="str">
        <f t="shared" si="569"/>
        <v xml:space="preserve">SEM VALOR</v>
      </c>
      <c r="L2824" s="36"/>
      <c r="M2824" s="37"/>
      <c r="N2824" s="36"/>
    </row>
    <row r="2825" ht="12.75">
      <c r="A2825" s="19" t="s">
        <v>10460</v>
      </c>
      <c r="B2825" s="19">
        <v>37428</v>
      </c>
      <c r="C2825" s="20" t="s">
        <v>13291</v>
      </c>
      <c r="D2825" s="19" t="s">
        <v>31</v>
      </c>
      <c r="E2825" s="19" t="s">
        <v>10459</v>
      </c>
      <c r="F2825" s="21" t="str">
        <f t="shared" si="568"/>
        <v>VERIFICAR</v>
      </c>
      <c r="G2825" s="21" t="str">
        <f t="shared" si="568"/>
        <v>VERIFICAR</v>
      </c>
      <c r="H2825" s="21" t="str">
        <f t="shared" si="568"/>
        <v>VERIFICAR</v>
      </c>
      <c r="I2825" s="24" t="str">
        <f t="shared" si="569"/>
        <v xml:space="preserve">SEM VALOR</v>
      </c>
      <c r="L2825" s="36"/>
      <c r="M2825" s="37"/>
      <c r="N2825" s="36"/>
    </row>
    <row r="2826" ht="12.75">
      <c r="A2826" s="19" t="s">
        <v>10460</v>
      </c>
      <c r="B2826" s="19">
        <v>37425</v>
      </c>
      <c r="C2826" s="20" t="s">
        <v>13292</v>
      </c>
      <c r="D2826" s="19" t="s">
        <v>31</v>
      </c>
      <c r="E2826" s="19" t="s">
        <v>10459</v>
      </c>
      <c r="F2826" s="21" t="str">
        <f t="shared" si="568"/>
        <v>VERIFICAR</v>
      </c>
      <c r="G2826" s="21" t="str">
        <f t="shared" si="568"/>
        <v>VERIFICAR</v>
      </c>
      <c r="H2826" s="21" t="str">
        <f t="shared" si="568"/>
        <v>VERIFICAR</v>
      </c>
      <c r="I2826" s="24" t="str">
        <f t="shared" si="569"/>
        <v xml:space="preserve">SEM VALOR</v>
      </c>
      <c r="L2826" s="36"/>
      <c r="M2826" s="37"/>
      <c r="N2826" s="36"/>
    </row>
    <row r="2827" ht="12.75">
      <c r="A2827" s="19" t="s">
        <v>10460</v>
      </c>
      <c r="B2827" s="19">
        <v>37429</v>
      </c>
      <c r="C2827" s="20" t="s">
        <v>13293</v>
      </c>
      <c r="D2827" s="19" t="s">
        <v>31</v>
      </c>
      <c r="E2827" s="19" t="s">
        <v>10459</v>
      </c>
      <c r="F2827" s="21" t="str">
        <f t="shared" ref="F2827:H2890" si="570">IF(L2827=0,"VERIFICAR",L2827)</f>
        <v>VERIFICAR</v>
      </c>
      <c r="G2827" s="21" t="str">
        <f t="shared" si="570"/>
        <v>VERIFICAR</v>
      </c>
      <c r="H2827" s="21" t="str">
        <f t="shared" si="570"/>
        <v>VERIFICAR</v>
      </c>
      <c r="I2827" s="24" t="str">
        <f t="shared" ref="I2827:I2890" si="571">IF(OR(L2827=0,M2827=0,N2827=0),"SEM VALOR","COM VALOR")</f>
        <v xml:space="preserve">SEM VALOR</v>
      </c>
      <c r="L2827" s="36"/>
      <c r="M2827" s="37"/>
      <c r="N2827" s="36"/>
    </row>
    <row r="2828" ht="12.75">
      <c r="A2828" s="19" t="s">
        <v>10460</v>
      </c>
      <c r="B2828" s="19">
        <v>37426</v>
      </c>
      <c r="C2828" s="20" t="s">
        <v>13294</v>
      </c>
      <c r="D2828" s="19" t="s">
        <v>31</v>
      </c>
      <c r="E2828" s="19" t="s">
        <v>10459</v>
      </c>
      <c r="F2828" s="21" t="str">
        <f t="shared" si="570"/>
        <v>VERIFICAR</v>
      </c>
      <c r="G2828" s="21" t="str">
        <f t="shared" si="570"/>
        <v>VERIFICAR</v>
      </c>
      <c r="H2828" s="21" t="str">
        <f t="shared" si="570"/>
        <v>VERIFICAR</v>
      </c>
      <c r="I2828" s="24" t="str">
        <f t="shared" si="571"/>
        <v xml:space="preserve">SEM VALOR</v>
      </c>
      <c r="L2828" s="36"/>
      <c r="M2828" s="37"/>
      <c r="N2828" s="36"/>
    </row>
    <row r="2829" ht="38.25">
      <c r="A2829" s="19" t="s">
        <v>10460</v>
      </c>
      <c r="B2829" s="19">
        <v>39292</v>
      </c>
      <c r="C2829" s="20" t="s">
        <v>13295</v>
      </c>
      <c r="D2829" s="19" t="s">
        <v>31</v>
      </c>
      <c r="E2829" s="19" t="s">
        <v>10459</v>
      </c>
      <c r="F2829" s="21" t="str">
        <f t="shared" si="570"/>
        <v>VERIFICAR</v>
      </c>
      <c r="G2829" s="21" t="str">
        <f t="shared" si="570"/>
        <v>VERIFICAR</v>
      </c>
      <c r="H2829" s="21" t="str">
        <f t="shared" si="570"/>
        <v>VERIFICAR</v>
      </c>
      <c r="I2829" s="24" t="str">
        <f t="shared" si="571"/>
        <v xml:space="preserve">SEM VALOR</v>
      </c>
      <c r="L2829" s="36"/>
      <c r="M2829" s="37"/>
      <c r="N2829" s="36"/>
    </row>
    <row r="2830" ht="38.25">
      <c r="A2830" s="19" t="s">
        <v>10460</v>
      </c>
      <c r="B2830" s="19">
        <v>39293</v>
      </c>
      <c r="C2830" s="20" t="s">
        <v>13296</v>
      </c>
      <c r="D2830" s="19" t="s">
        <v>31</v>
      </c>
      <c r="E2830" s="19" t="s">
        <v>10459</v>
      </c>
      <c r="F2830" s="21" t="str">
        <f t="shared" si="570"/>
        <v>VERIFICAR</v>
      </c>
      <c r="G2830" s="21" t="str">
        <f t="shared" si="570"/>
        <v>VERIFICAR</v>
      </c>
      <c r="H2830" s="21" t="str">
        <f t="shared" si="570"/>
        <v>VERIFICAR</v>
      </c>
      <c r="I2830" s="24" t="str">
        <f t="shared" si="571"/>
        <v xml:space="preserve">SEM VALOR</v>
      </c>
      <c r="L2830" s="36"/>
      <c r="M2830" s="37"/>
      <c r="N2830" s="36"/>
    </row>
    <row r="2831" ht="38.25">
      <c r="A2831" s="19" t="s">
        <v>10460</v>
      </c>
      <c r="B2831" s="19">
        <v>39294</v>
      </c>
      <c r="C2831" s="20" t="s">
        <v>13297</v>
      </c>
      <c r="D2831" s="19" t="s">
        <v>31</v>
      </c>
      <c r="E2831" s="19" t="s">
        <v>10459</v>
      </c>
      <c r="F2831" s="21" t="str">
        <f t="shared" si="570"/>
        <v>VERIFICAR</v>
      </c>
      <c r="G2831" s="21" t="str">
        <f t="shared" si="570"/>
        <v>VERIFICAR</v>
      </c>
      <c r="H2831" s="21" t="str">
        <f t="shared" si="570"/>
        <v>VERIFICAR</v>
      </c>
      <c r="I2831" s="24" t="str">
        <f t="shared" si="571"/>
        <v xml:space="preserve">SEM VALOR</v>
      </c>
      <c r="L2831" s="36"/>
      <c r="M2831" s="37"/>
      <c r="N2831" s="36"/>
    </row>
    <row r="2832" ht="38.25">
      <c r="A2832" s="19" t="s">
        <v>10460</v>
      </c>
      <c r="B2832" s="19">
        <v>39295</v>
      </c>
      <c r="C2832" s="20" t="s">
        <v>13298</v>
      </c>
      <c r="D2832" s="19" t="s">
        <v>31</v>
      </c>
      <c r="E2832" s="19" t="s">
        <v>10459</v>
      </c>
      <c r="F2832" s="21" t="str">
        <f t="shared" si="570"/>
        <v>VERIFICAR</v>
      </c>
      <c r="G2832" s="21" t="str">
        <f t="shared" si="570"/>
        <v>VERIFICAR</v>
      </c>
      <c r="H2832" s="21" t="str">
        <f t="shared" si="570"/>
        <v>VERIFICAR</v>
      </c>
      <c r="I2832" s="24" t="str">
        <f t="shared" si="571"/>
        <v xml:space="preserve">SEM VALOR</v>
      </c>
      <c r="L2832" s="36"/>
      <c r="M2832" s="37"/>
      <c r="N2832" s="36"/>
    </row>
    <row r="2833" ht="38.25">
      <c r="A2833" s="19" t="s">
        <v>10460</v>
      </c>
      <c r="B2833" s="19">
        <v>39312</v>
      </c>
      <c r="C2833" s="20" t="s">
        <v>13299</v>
      </c>
      <c r="D2833" s="19" t="s">
        <v>31</v>
      </c>
      <c r="E2833" s="19" t="s">
        <v>10459</v>
      </c>
      <c r="F2833" s="21" t="str">
        <f t="shared" si="570"/>
        <v>VERIFICAR</v>
      </c>
      <c r="G2833" s="21" t="str">
        <f t="shared" si="570"/>
        <v>VERIFICAR</v>
      </c>
      <c r="H2833" s="21" t="str">
        <f t="shared" si="570"/>
        <v>VERIFICAR</v>
      </c>
      <c r="I2833" s="24" t="str">
        <f t="shared" si="571"/>
        <v xml:space="preserve">SEM VALOR</v>
      </c>
      <c r="L2833" s="36"/>
      <c r="M2833" s="37"/>
      <c r="N2833" s="36"/>
    </row>
    <row r="2834" ht="38.25">
      <c r="A2834" s="19" t="s">
        <v>10460</v>
      </c>
      <c r="B2834" s="19">
        <v>39313</v>
      </c>
      <c r="C2834" s="20" t="s">
        <v>13300</v>
      </c>
      <c r="D2834" s="19" t="s">
        <v>31</v>
      </c>
      <c r="E2834" s="19" t="s">
        <v>10459</v>
      </c>
      <c r="F2834" s="21" t="str">
        <f t="shared" si="570"/>
        <v>VERIFICAR</v>
      </c>
      <c r="G2834" s="21" t="str">
        <f t="shared" si="570"/>
        <v>VERIFICAR</v>
      </c>
      <c r="H2834" s="21" t="str">
        <f t="shared" si="570"/>
        <v>VERIFICAR</v>
      </c>
      <c r="I2834" s="24" t="str">
        <f t="shared" si="571"/>
        <v xml:space="preserve">SEM VALOR</v>
      </c>
      <c r="L2834" s="36"/>
      <c r="M2834" s="37"/>
      <c r="N2834" s="36"/>
    </row>
    <row r="2835" ht="38.25">
      <c r="A2835" s="19" t="s">
        <v>10460</v>
      </c>
      <c r="B2835" s="19">
        <v>39314</v>
      </c>
      <c r="C2835" s="20" t="s">
        <v>13301</v>
      </c>
      <c r="D2835" s="19" t="s">
        <v>31</v>
      </c>
      <c r="E2835" s="19" t="s">
        <v>10459</v>
      </c>
      <c r="F2835" s="21" t="str">
        <f t="shared" si="570"/>
        <v>VERIFICAR</v>
      </c>
      <c r="G2835" s="21" t="str">
        <f t="shared" si="570"/>
        <v>VERIFICAR</v>
      </c>
      <c r="H2835" s="21" t="str">
        <f t="shared" si="570"/>
        <v>VERIFICAR</v>
      </c>
      <c r="I2835" s="24" t="str">
        <f t="shared" si="571"/>
        <v xml:space="preserve">SEM VALOR</v>
      </c>
      <c r="L2835" s="36"/>
      <c r="M2835" s="37"/>
      <c r="N2835" s="36"/>
    </row>
    <row r="2836" ht="38.25">
      <c r="A2836" s="19" t="s">
        <v>10460</v>
      </c>
      <c r="B2836" s="19">
        <v>39296</v>
      </c>
      <c r="C2836" s="20" t="s">
        <v>13302</v>
      </c>
      <c r="D2836" s="19" t="s">
        <v>31</v>
      </c>
      <c r="E2836" s="19" t="s">
        <v>10459</v>
      </c>
      <c r="F2836" s="21" t="str">
        <f t="shared" si="570"/>
        <v>VERIFICAR</v>
      </c>
      <c r="G2836" s="21" t="str">
        <f t="shared" si="570"/>
        <v>VERIFICAR</v>
      </c>
      <c r="H2836" s="21" t="str">
        <f t="shared" si="570"/>
        <v>VERIFICAR</v>
      </c>
      <c r="I2836" s="24" t="str">
        <f t="shared" si="571"/>
        <v xml:space="preserve">SEM VALOR</v>
      </c>
      <c r="L2836" s="36"/>
      <c r="M2836" s="37"/>
      <c r="N2836" s="36"/>
    </row>
    <row r="2837" ht="38.25">
      <c r="A2837" s="19" t="s">
        <v>10460</v>
      </c>
      <c r="B2837" s="19">
        <v>39297</v>
      </c>
      <c r="C2837" s="20" t="s">
        <v>13303</v>
      </c>
      <c r="D2837" s="19" t="s">
        <v>31</v>
      </c>
      <c r="E2837" s="19" t="s">
        <v>10459</v>
      </c>
      <c r="F2837" s="21" t="str">
        <f t="shared" si="570"/>
        <v>VERIFICAR</v>
      </c>
      <c r="G2837" s="21" t="str">
        <f t="shared" si="570"/>
        <v>VERIFICAR</v>
      </c>
      <c r="H2837" s="21" t="str">
        <f t="shared" si="570"/>
        <v>VERIFICAR</v>
      </c>
      <c r="I2837" s="24" t="str">
        <f t="shared" si="571"/>
        <v xml:space="preserve">SEM VALOR</v>
      </c>
      <c r="L2837" s="36"/>
      <c r="M2837" s="37"/>
      <c r="N2837" s="36"/>
    </row>
    <row r="2838" ht="38.25">
      <c r="A2838" s="19" t="s">
        <v>10460</v>
      </c>
      <c r="B2838" s="19">
        <v>39298</v>
      </c>
      <c r="C2838" s="20" t="s">
        <v>13304</v>
      </c>
      <c r="D2838" s="19" t="s">
        <v>31</v>
      </c>
      <c r="E2838" s="19" t="s">
        <v>10459</v>
      </c>
      <c r="F2838" s="21" t="str">
        <f t="shared" si="570"/>
        <v>VERIFICAR</v>
      </c>
      <c r="G2838" s="21" t="str">
        <f t="shared" si="570"/>
        <v>VERIFICAR</v>
      </c>
      <c r="H2838" s="21" t="str">
        <f t="shared" si="570"/>
        <v>VERIFICAR</v>
      </c>
      <c r="I2838" s="24" t="str">
        <f t="shared" si="571"/>
        <v xml:space="preserve">SEM VALOR</v>
      </c>
      <c r="L2838" s="36"/>
      <c r="M2838" s="37"/>
      <c r="N2838" s="36"/>
    </row>
    <row r="2839" ht="38.25">
      <c r="A2839" s="19" t="s">
        <v>10460</v>
      </c>
      <c r="B2839" s="19">
        <v>39299</v>
      </c>
      <c r="C2839" s="20" t="s">
        <v>13305</v>
      </c>
      <c r="D2839" s="19" t="s">
        <v>31</v>
      </c>
      <c r="E2839" s="19" t="s">
        <v>10459</v>
      </c>
      <c r="F2839" s="21" t="str">
        <f t="shared" si="570"/>
        <v>VERIFICAR</v>
      </c>
      <c r="G2839" s="21" t="str">
        <f t="shared" si="570"/>
        <v>VERIFICAR</v>
      </c>
      <c r="H2839" s="21" t="str">
        <f t="shared" si="570"/>
        <v>VERIFICAR</v>
      </c>
      <c r="I2839" s="24" t="str">
        <f t="shared" si="571"/>
        <v xml:space="preserve">SEM VALOR</v>
      </c>
      <c r="L2839" s="36"/>
      <c r="M2839" s="37"/>
      <c r="N2839" s="36"/>
    </row>
    <row r="2840" ht="25.5">
      <c r="A2840" s="19" t="s">
        <v>10460</v>
      </c>
      <c r="B2840" s="19">
        <v>39308</v>
      </c>
      <c r="C2840" s="20" t="s">
        <v>13306</v>
      </c>
      <c r="D2840" s="19" t="s">
        <v>31</v>
      </c>
      <c r="E2840" s="19" t="s">
        <v>10459</v>
      </c>
      <c r="F2840" s="21" t="str">
        <f t="shared" si="570"/>
        <v>VERIFICAR</v>
      </c>
      <c r="G2840" s="21" t="str">
        <f t="shared" si="570"/>
        <v>VERIFICAR</v>
      </c>
      <c r="H2840" s="21" t="str">
        <f t="shared" si="570"/>
        <v>VERIFICAR</v>
      </c>
      <c r="I2840" s="24" t="str">
        <f t="shared" si="571"/>
        <v xml:space="preserve">SEM VALOR</v>
      </c>
      <c r="L2840" s="36"/>
      <c r="M2840" s="37"/>
      <c r="N2840" s="36"/>
    </row>
    <row r="2841" ht="25.5">
      <c r="A2841" s="19" t="s">
        <v>10460</v>
      </c>
      <c r="B2841" s="19">
        <v>39309</v>
      </c>
      <c r="C2841" s="20" t="s">
        <v>13307</v>
      </c>
      <c r="D2841" s="19" t="s">
        <v>31</v>
      </c>
      <c r="E2841" s="19" t="s">
        <v>10459</v>
      </c>
      <c r="F2841" s="21" t="str">
        <f t="shared" si="570"/>
        <v>VERIFICAR</v>
      </c>
      <c r="G2841" s="21" t="str">
        <f t="shared" si="570"/>
        <v>VERIFICAR</v>
      </c>
      <c r="H2841" s="21" t="str">
        <f t="shared" si="570"/>
        <v>VERIFICAR</v>
      </c>
      <c r="I2841" s="24" t="str">
        <f t="shared" si="571"/>
        <v xml:space="preserve">SEM VALOR</v>
      </c>
      <c r="L2841" s="36"/>
      <c r="M2841" s="37"/>
      <c r="N2841" s="36"/>
    </row>
    <row r="2842" ht="25.5">
      <c r="A2842" s="19" t="s">
        <v>10460</v>
      </c>
      <c r="B2842" s="19">
        <v>39310</v>
      </c>
      <c r="C2842" s="20" t="s">
        <v>13308</v>
      </c>
      <c r="D2842" s="19" t="s">
        <v>31</v>
      </c>
      <c r="E2842" s="19" t="s">
        <v>10459</v>
      </c>
      <c r="F2842" s="21" t="str">
        <f t="shared" si="570"/>
        <v>VERIFICAR</v>
      </c>
      <c r="G2842" s="21" t="str">
        <f t="shared" si="570"/>
        <v>VERIFICAR</v>
      </c>
      <c r="H2842" s="21" t="str">
        <f t="shared" si="570"/>
        <v>VERIFICAR</v>
      </c>
      <c r="I2842" s="24" t="str">
        <f t="shared" si="571"/>
        <v xml:space="preserve">SEM VALOR</v>
      </c>
      <c r="L2842" s="36"/>
      <c r="M2842" s="37"/>
      <c r="N2842" s="36"/>
    </row>
    <row r="2843" ht="25.5">
      <c r="A2843" s="19" t="s">
        <v>10460</v>
      </c>
      <c r="B2843" s="19">
        <v>39311</v>
      </c>
      <c r="C2843" s="20" t="s">
        <v>13309</v>
      </c>
      <c r="D2843" s="19" t="s">
        <v>31</v>
      </c>
      <c r="E2843" s="19" t="s">
        <v>10459</v>
      </c>
      <c r="F2843" s="21" t="str">
        <f t="shared" si="570"/>
        <v>VERIFICAR</v>
      </c>
      <c r="G2843" s="21" t="str">
        <f t="shared" si="570"/>
        <v>VERIFICAR</v>
      </c>
      <c r="H2843" s="21" t="str">
        <f t="shared" si="570"/>
        <v>VERIFICAR</v>
      </c>
      <c r="I2843" s="24" t="str">
        <f t="shared" si="571"/>
        <v xml:space="preserve">SEM VALOR</v>
      </c>
      <c r="L2843" s="36"/>
      <c r="M2843" s="37"/>
      <c r="N2843" s="36"/>
    </row>
    <row r="2844" ht="25.5">
      <c r="A2844" s="19" t="s">
        <v>10460</v>
      </c>
      <c r="B2844" s="19">
        <v>45261</v>
      </c>
      <c r="C2844" s="20" t="s">
        <v>13310</v>
      </c>
      <c r="D2844" s="19" t="s">
        <v>10874</v>
      </c>
      <c r="E2844" s="19" t="s">
        <v>10459</v>
      </c>
      <c r="F2844" s="21">
        <f t="shared" si="570"/>
        <v>20.670000000000002</v>
      </c>
      <c r="G2844" s="21">
        <f t="shared" si="570"/>
        <v>20.670000000000002</v>
      </c>
      <c r="H2844" s="21">
        <f t="shared" si="570"/>
        <v>20.670000000000002</v>
      </c>
      <c r="I2844" s="24" t="str">
        <f t="shared" si="571"/>
        <v xml:space="preserve">COM VALOR</v>
      </c>
      <c r="L2844" s="36">
        <v>20.670000000000002</v>
      </c>
      <c r="M2844" s="37">
        <v>20.670000000000002</v>
      </c>
      <c r="N2844" s="36">
        <v>20.670000000000002</v>
      </c>
    </row>
    <row r="2845" ht="25.5">
      <c r="A2845" s="19" t="s">
        <v>10460</v>
      </c>
      <c r="B2845" s="19">
        <v>11519</v>
      </c>
      <c r="C2845" s="20" t="s">
        <v>13311</v>
      </c>
      <c r="D2845" s="19" t="s">
        <v>10874</v>
      </c>
      <c r="E2845" s="19" t="s">
        <v>10459</v>
      </c>
      <c r="F2845" s="21">
        <f t="shared" si="570"/>
        <v>54.969999999999999</v>
      </c>
      <c r="G2845" s="21">
        <f t="shared" si="570"/>
        <v>54.969999999999999</v>
      </c>
      <c r="H2845" s="21">
        <f t="shared" si="570"/>
        <v>54.969999999999999</v>
      </c>
      <c r="I2845" s="24" t="str">
        <f t="shared" si="571"/>
        <v xml:space="preserve">COM VALOR</v>
      </c>
      <c r="L2845" s="36">
        <v>54.969999999999999</v>
      </c>
      <c r="M2845" s="37">
        <v>54.969999999999999</v>
      </c>
      <c r="N2845" s="36">
        <v>54.969999999999999</v>
      </c>
    </row>
    <row r="2846" ht="38.25">
      <c r="A2846" s="19" t="s">
        <v>10460</v>
      </c>
      <c r="B2846" s="19">
        <v>11520</v>
      </c>
      <c r="C2846" s="20" t="s">
        <v>13312</v>
      </c>
      <c r="D2846" s="19" t="s">
        <v>10874</v>
      </c>
      <c r="E2846" s="19" t="s">
        <v>10459</v>
      </c>
      <c r="F2846" s="21">
        <f t="shared" si="570"/>
        <v>25.41</v>
      </c>
      <c r="G2846" s="21">
        <f t="shared" si="570"/>
        <v>25.41</v>
      </c>
      <c r="H2846" s="21">
        <f t="shared" si="570"/>
        <v>25.41</v>
      </c>
      <c r="I2846" s="24" t="str">
        <f t="shared" si="571"/>
        <v xml:space="preserve">COM VALOR</v>
      </c>
      <c r="L2846" s="36">
        <v>25.41</v>
      </c>
      <c r="M2846" s="37">
        <v>25.41</v>
      </c>
      <c r="N2846" s="36">
        <v>25.41</v>
      </c>
    </row>
    <row r="2847" ht="25.5">
      <c r="A2847" s="19" t="s">
        <v>10460</v>
      </c>
      <c r="B2847" s="19">
        <v>11518</v>
      </c>
      <c r="C2847" s="20" t="s">
        <v>13313</v>
      </c>
      <c r="D2847" s="19" t="s">
        <v>10874</v>
      </c>
      <c r="E2847" s="19" t="s">
        <v>10459</v>
      </c>
      <c r="F2847" s="21">
        <f t="shared" si="570"/>
        <v>92.400000000000006</v>
      </c>
      <c r="G2847" s="21">
        <f t="shared" si="570"/>
        <v>92.400000000000006</v>
      </c>
      <c r="H2847" s="21">
        <f t="shared" si="570"/>
        <v>92.400000000000006</v>
      </c>
      <c r="I2847" s="24" t="str">
        <f t="shared" si="571"/>
        <v xml:space="preserve">COM VALOR</v>
      </c>
      <c r="L2847" s="36">
        <v>92.400000000000006</v>
      </c>
      <c r="M2847" s="37">
        <v>92.400000000000006</v>
      </c>
      <c r="N2847" s="36">
        <v>92.400000000000006</v>
      </c>
    </row>
    <row r="2848" ht="12.75">
      <c r="A2848" s="19" t="s">
        <v>10460</v>
      </c>
      <c r="B2848" s="19">
        <v>38473</v>
      </c>
      <c r="C2848" s="20" t="s">
        <v>13314</v>
      </c>
      <c r="D2848" s="19" t="s">
        <v>31</v>
      </c>
      <c r="E2848" s="19" t="s">
        <v>10459</v>
      </c>
      <c r="F2848" s="21">
        <f t="shared" si="570"/>
        <v>368.05000000000001</v>
      </c>
      <c r="G2848" s="21">
        <f t="shared" si="570"/>
        <v>368.05000000000001</v>
      </c>
      <c r="H2848" s="21">
        <f t="shared" si="570"/>
        <v>368.05000000000001</v>
      </c>
      <c r="I2848" s="24" t="str">
        <f t="shared" si="571"/>
        <v xml:space="preserve">COM VALOR</v>
      </c>
      <c r="L2848" s="36">
        <v>368.05000000000001</v>
      </c>
      <c r="M2848" s="37">
        <v>368.05000000000001</v>
      </c>
      <c r="N2848" s="36">
        <v>368.05000000000001</v>
      </c>
    </row>
    <row r="2849" ht="12.75">
      <c r="A2849" s="19" t="s">
        <v>10604</v>
      </c>
      <c r="B2849" s="19">
        <v>4244</v>
      </c>
      <c r="C2849" s="20" t="s">
        <v>13315</v>
      </c>
      <c r="D2849" s="19" t="s">
        <v>2032</v>
      </c>
      <c r="E2849" s="19" t="s">
        <v>10459</v>
      </c>
      <c r="F2849" s="21">
        <f t="shared" si="570"/>
        <v>20.719999999999999</v>
      </c>
      <c r="G2849" s="21">
        <f t="shared" si="570"/>
        <v>20.719999999999999</v>
      </c>
      <c r="H2849" s="21">
        <f t="shared" si="570"/>
        <v>20.719999999999999</v>
      </c>
      <c r="I2849" s="24" t="str">
        <f t="shared" si="571"/>
        <v xml:space="preserve">COM VALOR</v>
      </c>
      <c r="L2849" s="36">
        <v>20.719999999999999</v>
      </c>
      <c r="M2849" s="37">
        <v>20.719999999999999</v>
      </c>
      <c r="N2849" s="36">
        <v>20.719999999999999</v>
      </c>
    </row>
    <row r="2850" ht="12.75">
      <c r="A2850" s="19" t="s">
        <v>10604</v>
      </c>
      <c r="B2850" s="19">
        <v>40977</v>
      </c>
      <c r="C2850" s="20" t="s">
        <v>13316</v>
      </c>
      <c r="D2850" s="19" t="s">
        <v>7087</v>
      </c>
      <c r="E2850" s="19" t="s">
        <v>10459</v>
      </c>
      <c r="F2850" s="21">
        <f t="shared" si="570"/>
        <v>3628.0500000000002</v>
      </c>
      <c r="G2850" s="21">
        <f t="shared" si="570"/>
        <v>3628.0500000000002</v>
      </c>
      <c r="H2850" s="21">
        <f t="shared" si="570"/>
        <v>3628.0500000000002</v>
      </c>
      <c r="I2850" s="24" t="str">
        <f t="shared" si="571"/>
        <v xml:space="preserve">COM VALOR</v>
      </c>
      <c r="L2850" s="36">
        <v>3628.0500000000002</v>
      </c>
      <c r="M2850" s="37">
        <v>3628.0500000000002</v>
      </c>
      <c r="N2850" s="36">
        <v>3628.0500000000002</v>
      </c>
    </row>
    <row r="2851" ht="25.5">
      <c r="A2851" s="19" t="s">
        <v>10460</v>
      </c>
      <c r="B2851" s="19">
        <v>4115</v>
      </c>
      <c r="C2851" s="20" t="s">
        <v>13317</v>
      </c>
      <c r="D2851" s="19" t="s">
        <v>38</v>
      </c>
      <c r="E2851" s="19" t="s">
        <v>10459</v>
      </c>
      <c r="F2851" s="21">
        <f t="shared" si="570"/>
        <v>43.780000000000001</v>
      </c>
      <c r="G2851" s="21">
        <f t="shared" si="570"/>
        <v>43.780000000000001</v>
      </c>
      <c r="H2851" s="21">
        <f t="shared" si="570"/>
        <v>43.780000000000001</v>
      </c>
      <c r="I2851" s="24" t="str">
        <f t="shared" si="571"/>
        <v xml:space="preserve">COM VALOR</v>
      </c>
      <c r="L2851" s="36">
        <v>43.780000000000001</v>
      </c>
      <c r="M2851" s="37">
        <v>43.780000000000001</v>
      </c>
      <c r="N2851" s="36">
        <v>43.780000000000001</v>
      </c>
    </row>
    <row r="2852" ht="25.5">
      <c r="A2852" s="19" t="s">
        <v>10460</v>
      </c>
      <c r="B2852" s="19">
        <v>4119</v>
      </c>
      <c r="C2852" s="20" t="s">
        <v>13318</v>
      </c>
      <c r="D2852" s="19" t="s">
        <v>38</v>
      </c>
      <c r="E2852" s="19" t="s">
        <v>10459</v>
      </c>
      <c r="F2852" s="21">
        <f t="shared" si="570"/>
        <v>88.420000000000002</v>
      </c>
      <c r="G2852" s="21">
        <f t="shared" si="570"/>
        <v>88.420000000000002</v>
      </c>
      <c r="H2852" s="21">
        <f t="shared" si="570"/>
        <v>88.420000000000002</v>
      </c>
      <c r="I2852" s="24" t="str">
        <f t="shared" si="571"/>
        <v xml:space="preserve">COM VALOR</v>
      </c>
      <c r="L2852" s="36">
        <v>88.420000000000002</v>
      </c>
      <c r="M2852" s="37">
        <v>88.420000000000002</v>
      </c>
      <c r="N2852" s="36">
        <v>88.420000000000002</v>
      </c>
    </row>
    <row r="2853" ht="25.5">
      <c r="A2853" s="19" t="s">
        <v>10460</v>
      </c>
      <c r="B2853" s="19">
        <v>2794</v>
      </c>
      <c r="C2853" s="20" t="s">
        <v>13319</v>
      </c>
      <c r="D2853" s="19" t="s">
        <v>38</v>
      </c>
      <c r="E2853" s="19" t="s">
        <v>10459</v>
      </c>
      <c r="F2853" s="21">
        <f t="shared" si="570"/>
        <v>234.56999999999999</v>
      </c>
      <c r="G2853" s="21">
        <f t="shared" si="570"/>
        <v>234.56999999999999</v>
      </c>
      <c r="H2853" s="21">
        <f t="shared" si="570"/>
        <v>234.56999999999999</v>
      </c>
      <c r="I2853" s="24" t="str">
        <f t="shared" si="571"/>
        <v xml:space="preserve">COM VALOR</v>
      </c>
      <c r="L2853" s="36">
        <v>234.56999999999999</v>
      </c>
      <c r="M2853" s="37">
        <v>234.56999999999999</v>
      </c>
      <c r="N2853" s="36">
        <v>234.56999999999999</v>
      </c>
    </row>
    <row r="2854" ht="25.5">
      <c r="A2854" s="19" t="s">
        <v>10460</v>
      </c>
      <c r="B2854" s="19">
        <v>2788</v>
      </c>
      <c r="C2854" s="20" t="s">
        <v>13320</v>
      </c>
      <c r="D2854" s="19" t="s">
        <v>38</v>
      </c>
      <c r="E2854" s="19" t="s">
        <v>10459</v>
      </c>
      <c r="F2854" s="21">
        <f t="shared" si="570"/>
        <v>341.72000000000003</v>
      </c>
      <c r="G2854" s="21">
        <f t="shared" si="570"/>
        <v>341.72000000000003</v>
      </c>
      <c r="H2854" s="21">
        <f t="shared" si="570"/>
        <v>341.72000000000003</v>
      </c>
      <c r="I2854" s="24" t="str">
        <f t="shared" si="571"/>
        <v xml:space="preserve">COM VALOR</v>
      </c>
      <c r="L2854" s="36">
        <v>341.72000000000003</v>
      </c>
      <c r="M2854" s="37">
        <v>341.72000000000003</v>
      </c>
      <c r="N2854" s="36">
        <v>341.72000000000003</v>
      </c>
    </row>
    <row r="2855" ht="25.5">
      <c r="A2855" s="19" t="s">
        <v>10460</v>
      </c>
      <c r="B2855" s="19">
        <v>4006</v>
      </c>
      <c r="C2855" s="20" t="s">
        <v>13321</v>
      </c>
      <c r="D2855" s="19" t="s">
        <v>121</v>
      </c>
      <c r="E2855" s="19" t="s">
        <v>10459</v>
      </c>
      <c r="F2855" s="21">
        <f t="shared" si="570"/>
        <v>1539.3099999999999</v>
      </c>
      <c r="G2855" s="21">
        <f t="shared" si="570"/>
        <v>1539.3099999999999</v>
      </c>
      <c r="H2855" s="21">
        <f t="shared" si="570"/>
        <v>1539.3099999999999</v>
      </c>
      <c r="I2855" s="24" t="str">
        <f t="shared" si="571"/>
        <v xml:space="preserve">COM VALOR</v>
      </c>
      <c r="L2855" s="36">
        <v>1539.3099999999999</v>
      </c>
      <c r="M2855" s="37">
        <v>1539.3099999999999</v>
      </c>
      <c r="N2855" s="36">
        <v>1539.3099999999999</v>
      </c>
    </row>
    <row r="2856" ht="12.75">
      <c r="A2856" s="19" t="s">
        <v>10460</v>
      </c>
      <c r="B2856" s="19">
        <v>45395</v>
      </c>
      <c r="C2856" s="20" t="s">
        <v>13322</v>
      </c>
      <c r="D2856" s="19" t="s">
        <v>10874</v>
      </c>
      <c r="E2856" s="19" t="s">
        <v>10459</v>
      </c>
      <c r="F2856" s="21">
        <f t="shared" si="570"/>
        <v>31.359999999999999</v>
      </c>
      <c r="G2856" s="21">
        <f t="shared" si="570"/>
        <v>31.359999999999999</v>
      </c>
      <c r="H2856" s="21">
        <f t="shared" si="570"/>
        <v>31.359999999999999</v>
      </c>
      <c r="I2856" s="24" t="str">
        <f t="shared" si="571"/>
        <v xml:space="preserve">COM VALOR</v>
      </c>
      <c r="L2856" s="36">
        <v>31.359999999999999</v>
      </c>
      <c r="M2856" s="37">
        <v>31.359999999999999</v>
      </c>
      <c r="N2856" s="36">
        <v>31.359999999999999</v>
      </c>
    </row>
    <row r="2857" ht="25.5">
      <c r="A2857" s="19" t="s">
        <v>10460</v>
      </c>
      <c r="B2857" s="19">
        <v>37461</v>
      </c>
      <c r="C2857" s="20" t="s">
        <v>13323</v>
      </c>
      <c r="D2857" s="19" t="s">
        <v>38</v>
      </c>
      <c r="E2857" s="19" t="s">
        <v>10459</v>
      </c>
      <c r="F2857" s="21" t="str">
        <f t="shared" si="570"/>
        <v>VERIFICAR</v>
      </c>
      <c r="G2857" s="21" t="str">
        <f t="shared" si="570"/>
        <v>VERIFICAR</v>
      </c>
      <c r="H2857" s="21" t="str">
        <f t="shared" si="570"/>
        <v>VERIFICAR</v>
      </c>
      <c r="I2857" s="24" t="str">
        <f t="shared" si="571"/>
        <v xml:space="preserve">SEM VALOR</v>
      </c>
      <c r="L2857" s="36"/>
      <c r="M2857" s="37"/>
      <c r="N2857" s="36"/>
    </row>
    <row r="2858" ht="25.5">
      <c r="A2858" s="19" t="s">
        <v>10460</v>
      </c>
      <c r="B2858" s="19">
        <v>37460</v>
      </c>
      <c r="C2858" s="20" t="s">
        <v>13324</v>
      </c>
      <c r="D2858" s="19" t="s">
        <v>38</v>
      </c>
      <c r="E2858" s="19" t="s">
        <v>10459</v>
      </c>
      <c r="F2858" s="21" t="str">
        <f t="shared" si="570"/>
        <v>VERIFICAR</v>
      </c>
      <c r="G2858" s="21" t="str">
        <f t="shared" si="570"/>
        <v>VERIFICAR</v>
      </c>
      <c r="H2858" s="21" t="str">
        <f t="shared" si="570"/>
        <v>VERIFICAR</v>
      </c>
      <c r="I2858" s="24" t="str">
        <f t="shared" si="571"/>
        <v xml:space="preserve">SEM VALOR</v>
      </c>
      <c r="L2858" s="36"/>
      <c r="M2858" s="37"/>
      <c r="N2858" s="36"/>
    </row>
    <row r="2859" ht="12.75">
      <c r="A2859" s="19" t="s">
        <v>10460</v>
      </c>
      <c r="B2859" s="19">
        <v>37458</v>
      </c>
      <c r="C2859" s="20" t="s">
        <v>13325</v>
      </c>
      <c r="D2859" s="19" t="s">
        <v>38</v>
      </c>
      <c r="E2859" s="19" t="s">
        <v>10466</v>
      </c>
      <c r="F2859" s="21" t="str">
        <f t="shared" si="570"/>
        <v>VERIFICAR</v>
      </c>
      <c r="G2859" s="21" t="str">
        <f t="shared" si="570"/>
        <v>VERIFICAR</v>
      </c>
      <c r="H2859" s="21" t="str">
        <f t="shared" si="570"/>
        <v>VERIFICAR</v>
      </c>
      <c r="I2859" s="24" t="str">
        <f t="shared" si="571"/>
        <v xml:space="preserve">SEM VALOR</v>
      </c>
      <c r="L2859" s="36"/>
      <c r="M2859" s="37"/>
      <c r="N2859" s="36"/>
    </row>
    <row r="2860" ht="12.75">
      <c r="A2860" s="19" t="s">
        <v>10460</v>
      </c>
      <c r="B2860" s="19">
        <v>37454</v>
      </c>
      <c r="C2860" s="20" t="s">
        <v>13326</v>
      </c>
      <c r="D2860" s="19" t="s">
        <v>38</v>
      </c>
      <c r="E2860" s="19" t="s">
        <v>10459</v>
      </c>
      <c r="F2860" s="21" t="str">
        <f t="shared" si="570"/>
        <v>VERIFICAR</v>
      </c>
      <c r="G2860" s="21" t="str">
        <f t="shared" si="570"/>
        <v>VERIFICAR</v>
      </c>
      <c r="H2860" s="21" t="str">
        <f t="shared" si="570"/>
        <v>VERIFICAR</v>
      </c>
      <c r="I2860" s="24" t="str">
        <f t="shared" si="571"/>
        <v xml:space="preserve">SEM VALOR</v>
      </c>
      <c r="L2860" s="36"/>
      <c r="M2860" s="37"/>
      <c r="N2860" s="36"/>
    </row>
    <row r="2861" ht="12.75">
      <c r="A2861" s="19" t="s">
        <v>10460</v>
      </c>
      <c r="B2861" s="19">
        <v>37455</v>
      </c>
      <c r="C2861" s="20" t="s">
        <v>13327</v>
      </c>
      <c r="D2861" s="19" t="s">
        <v>38</v>
      </c>
      <c r="E2861" s="19" t="s">
        <v>10459</v>
      </c>
      <c r="F2861" s="21" t="str">
        <f t="shared" si="570"/>
        <v>VERIFICAR</v>
      </c>
      <c r="G2861" s="21" t="str">
        <f t="shared" si="570"/>
        <v>VERIFICAR</v>
      </c>
      <c r="H2861" s="21" t="str">
        <f t="shared" si="570"/>
        <v>VERIFICAR</v>
      </c>
      <c r="I2861" s="24" t="str">
        <f t="shared" si="571"/>
        <v xml:space="preserve">SEM VALOR</v>
      </c>
      <c r="L2861" s="36"/>
      <c r="M2861" s="37"/>
      <c r="N2861" s="36"/>
    </row>
    <row r="2862" ht="12.75">
      <c r="A2862" s="19" t="s">
        <v>10460</v>
      </c>
      <c r="B2862" s="19">
        <v>37459</v>
      </c>
      <c r="C2862" s="20" t="s">
        <v>13328</v>
      </c>
      <c r="D2862" s="19" t="s">
        <v>38</v>
      </c>
      <c r="E2862" s="19" t="s">
        <v>10459</v>
      </c>
      <c r="F2862" s="21" t="str">
        <f t="shared" si="570"/>
        <v>VERIFICAR</v>
      </c>
      <c r="G2862" s="21" t="str">
        <f t="shared" si="570"/>
        <v>VERIFICAR</v>
      </c>
      <c r="H2862" s="21" t="str">
        <f t="shared" si="570"/>
        <v>VERIFICAR</v>
      </c>
      <c r="I2862" s="24" t="str">
        <f t="shared" si="571"/>
        <v xml:space="preserve">SEM VALOR</v>
      </c>
      <c r="L2862" s="36"/>
      <c r="M2862" s="37"/>
      <c r="N2862" s="36"/>
    </row>
    <row r="2863" ht="12.75">
      <c r="A2863" s="19" t="s">
        <v>10460</v>
      </c>
      <c r="B2863" s="19">
        <v>37457</v>
      </c>
      <c r="C2863" s="20" t="s">
        <v>13329</v>
      </c>
      <c r="D2863" s="19" t="s">
        <v>38</v>
      </c>
      <c r="E2863" s="19" t="s">
        <v>10459</v>
      </c>
      <c r="F2863" s="21" t="str">
        <f t="shared" si="570"/>
        <v>VERIFICAR</v>
      </c>
      <c r="G2863" s="21" t="str">
        <f t="shared" si="570"/>
        <v>VERIFICAR</v>
      </c>
      <c r="H2863" s="21" t="str">
        <f t="shared" si="570"/>
        <v>VERIFICAR</v>
      </c>
      <c r="I2863" s="24" t="str">
        <f t="shared" si="571"/>
        <v xml:space="preserve">SEM VALOR</v>
      </c>
      <c r="L2863" s="36"/>
      <c r="M2863" s="37"/>
      <c r="N2863" s="36"/>
    </row>
    <row r="2864" ht="12.75">
      <c r="A2864" s="19" t="s">
        <v>10460</v>
      </c>
      <c r="B2864" s="19">
        <v>37456</v>
      </c>
      <c r="C2864" s="20" t="s">
        <v>13330</v>
      </c>
      <c r="D2864" s="19" t="s">
        <v>38</v>
      </c>
      <c r="E2864" s="19" t="s">
        <v>10459</v>
      </c>
      <c r="F2864" s="21" t="str">
        <f t="shared" si="570"/>
        <v>VERIFICAR</v>
      </c>
      <c r="G2864" s="21" t="str">
        <f t="shared" si="570"/>
        <v>VERIFICAR</v>
      </c>
      <c r="H2864" s="21" t="str">
        <f t="shared" si="570"/>
        <v>VERIFICAR</v>
      </c>
      <c r="I2864" s="24" t="str">
        <f t="shared" si="571"/>
        <v xml:space="preserve">SEM VALOR</v>
      </c>
      <c r="L2864" s="36"/>
      <c r="M2864" s="37"/>
      <c r="N2864" s="36"/>
    </row>
    <row r="2865" ht="38.25">
      <c r="A2865" s="19" t="s">
        <v>10460</v>
      </c>
      <c r="B2865" s="19">
        <v>21029</v>
      </c>
      <c r="C2865" s="20" t="s">
        <v>13331</v>
      </c>
      <c r="D2865" s="19" t="s">
        <v>31</v>
      </c>
      <c r="E2865" s="19" t="s">
        <v>10466</v>
      </c>
      <c r="F2865" s="21">
        <f t="shared" si="570"/>
        <v>480</v>
      </c>
      <c r="G2865" s="21">
        <f t="shared" si="570"/>
        <v>480</v>
      </c>
      <c r="H2865" s="21">
        <f t="shared" si="570"/>
        <v>480</v>
      </c>
      <c r="I2865" s="24" t="str">
        <f t="shared" si="571"/>
        <v xml:space="preserve">COM VALOR</v>
      </c>
      <c r="L2865" s="36">
        <v>480</v>
      </c>
      <c r="M2865" s="37">
        <v>480</v>
      </c>
      <c r="N2865" s="36">
        <v>480</v>
      </c>
    </row>
    <row r="2866" ht="38.25">
      <c r="A2866" s="19" t="s">
        <v>10460</v>
      </c>
      <c r="B2866" s="19">
        <v>21030</v>
      </c>
      <c r="C2866" s="20" t="s">
        <v>13332</v>
      </c>
      <c r="D2866" s="19" t="s">
        <v>31</v>
      </c>
      <c r="E2866" s="19" t="s">
        <v>10459</v>
      </c>
      <c r="F2866" s="21">
        <f t="shared" si="570"/>
        <v>591.67999999999995</v>
      </c>
      <c r="G2866" s="21">
        <f t="shared" si="570"/>
        <v>591.67999999999995</v>
      </c>
      <c r="H2866" s="21">
        <f t="shared" si="570"/>
        <v>591.67999999999995</v>
      </c>
      <c r="I2866" s="24" t="str">
        <f t="shared" si="571"/>
        <v xml:space="preserve">COM VALOR</v>
      </c>
      <c r="L2866" s="36">
        <v>591.67999999999995</v>
      </c>
      <c r="M2866" s="37">
        <v>591.67999999999995</v>
      </c>
      <c r="N2866" s="36">
        <v>591.67999999999995</v>
      </c>
    </row>
    <row r="2867" ht="38.25">
      <c r="A2867" s="19" t="s">
        <v>10460</v>
      </c>
      <c r="B2867" s="19">
        <v>21031</v>
      </c>
      <c r="C2867" s="20" t="s">
        <v>13333</v>
      </c>
      <c r="D2867" s="19" t="s">
        <v>31</v>
      </c>
      <c r="E2867" s="19" t="s">
        <v>10459</v>
      </c>
      <c r="F2867" s="21">
        <f t="shared" si="570"/>
        <v>736.63</v>
      </c>
      <c r="G2867" s="21">
        <f t="shared" si="570"/>
        <v>736.63</v>
      </c>
      <c r="H2867" s="21">
        <f t="shared" si="570"/>
        <v>736.63</v>
      </c>
      <c r="I2867" s="24" t="str">
        <f t="shared" si="571"/>
        <v xml:space="preserve">COM VALOR</v>
      </c>
      <c r="L2867" s="36">
        <v>736.63</v>
      </c>
      <c r="M2867" s="37">
        <v>736.63</v>
      </c>
      <c r="N2867" s="36">
        <v>736.63</v>
      </c>
    </row>
    <row r="2868" ht="38.25">
      <c r="A2868" s="19" t="s">
        <v>10460</v>
      </c>
      <c r="B2868" s="19">
        <v>21032</v>
      </c>
      <c r="C2868" s="20" t="s">
        <v>13334</v>
      </c>
      <c r="D2868" s="19" t="s">
        <v>31</v>
      </c>
      <c r="E2868" s="19" t="s">
        <v>10459</v>
      </c>
      <c r="F2868" s="21">
        <f t="shared" si="570"/>
        <v>786.52999999999997</v>
      </c>
      <c r="G2868" s="21">
        <f t="shared" si="570"/>
        <v>786.52999999999997</v>
      </c>
      <c r="H2868" s="21">
        <f t="shared" si="570"/>
        <v>786.52999999999997</v>
      </c>
      <c r="I2868" s="24" t="str">
        <f t="shared" si="571"/>
        <v xml:space="preserve">COM VALOR</v>
      </c>
      <c r="L2868" s="36">
        <v>786.52999999999997</v>
      </c>
      <c r="M2868" s="37">
        <v>786.52999999999997</v>
      </c>
      <c r="N2868" s="36">
        <v>786.52999999999997</v>
      </c>
    </row>
    <row r="2869" ht="38.25">
      <c r="A2869" s="19" t="s">
        <v>10460</v>
      </c>
      <c r="B2869" s="19">
        <v>37527</v>
      </c>
      <c r="C2869" s="20" t="s">
        <v>13335</v>
      </c>
      <c r="D2869" s="19" t="s">
        <v>31</v>
      </c>
      <c r="E2869" s="19" t="s">
        <v>10459</v>
      </c>
      <c r="F2869" s="21">
        <f t="shared" si="570"/>
        <v>710.49000000000001</v>
      </c>
      <c r="G2869" s="21">
        <f t="shared" si="570"/>
        <v>710.49000000000001</v>
      </c>
      <c r="H2869" s="21">
        <f t="shared" si="570"/>
        <v>710.49000000000001</v>
      </c>
      <c r="I2869" s="24" t="str">
        <f t="shared" si="571"/>
        <v xml:space="preserve">COM VALOR</v>
      </c>
      <c r="L2869" s="36">
        <v>710.49000000000001</v>
      </c>
      <c r="M2869" s="37">
        <v>710.49000000000001</v>
      </c>
      <c r="N2869" s="36">
        <v>710.49000000000001</v>
      </c>
    </row>
    <row r="2870" ht="38.25">
      <c r="A2870" s="19" t="s">
        <v>10460</v>
      </c>
      <c r="B2870" s="19">
        <v>37528</v>
      </c>
      <c r="C2870" s="20" t="s">
        <v>13336</v>
      </c>
      <c r="D2870" s="19" t="s">
        <v>31</v>
      </c>
      <c r="E2870" s="19" t="s">
        <v>10459</v>
      </c>
      <c r="F2870" s="21">
        <f t="shared" si="570"/>
        <v>847.12</v>
      </c>
      <c r="G2870" s="21">
        <f t="shared" si="570"/>
        <v>847.12</v>
      </c>
      <c r="H2870" s="21">
        <f t="shared" si="570"/>
        <v>847.12</v>
      </c>
      <c r="I2870" s="24" t="str">
        <f t="shared" si="571"/>
        <v xml:space="preserve">COM VALOR</v>
      </c>
      <c r="L2870" s="36">
        <v>847.12</v>
      </c>
      <c r="M2870" s="37">
        <v>847.12</v>
      </c>
      <c r="N2870" s="36">
        <v>847.12</v>
      </c>
    </row>
    <row r="2871" ht="38.25">
      <c r="A2871" s="19" t="s">
        <v>10460</v>
      </c>
      <c r="B2871" s="19">
        <v>37529</v>
      </c>
      <c r="C2871" s="20" t="s">
        <v>13337</v>
      </c>
      <c r="D2871" s="19" t="s">
        <v>31</v>
      </c>
      <c r="E2871" s="19" t="s">
        <v>10459</v>
      </c>
      <c r="F2871" s="21">
        <f t="shared" si="570"/>
        <v>855.44000000000005</v>
      </c>
      <c r="G2871" s="21">
        <f t="shared" si="570"/>
        <v>855.44000000000005</v>
      </c>
      <c r="H2871" s="21">
        <f t="shared" si="570"/>
        <v>855.44000000000005</v>
      </c>
      <c r="I2871" s="24" t="str">
        <f t="shared" si="571"/>
        <v xml:space="preserve">COM VALOR</v>
      </c>
      <c r="L2871" s="36">
        <v>855.44000000000005</v>
      </c>
      <c r="M2871" s="37">
        <v>855.44000000000005</v>
      </c>
      <c r="N2871" s="36">
        <v>855.44000000000005</v>
      </c>
    </row>
    <row r="2872" ht="38.25">
      <c r="A2872" s="19" t="s">
        <v>10460</v>
      </c>
      <c r="B2872" s="19">
        <v>37530</v>
      </c>
      <c r="C2872" s="20" t="s">
        <v>13338</v>
      </c>
      <c r="D2872" s="19" t="s">
        <v>31</v>
      </c>
      <c r="E2872" s="19" t="s">
        <v>10459</v>
      </c>
      <c r="F2872" s="21">
        <f t="shared" si="570"/>
        <v>1116.8299999999999</v>
      </c>
      <c r="G2872" s="21">
        <f t="shared" si="570"/>
        <v>1116.8299999999999</v>
      </c>
      <c r="H2872" s="21">
        <f t="shared" si="570"/>
        <v>1116.8299999999999</v>
      </c>
      <c r="I2872" s="24" t="str">
        <f t="shared" si="571"/>
        <v xml:space="preserve">COM VALOR</v>
      </c>
      <c r="L2872" s="36">
        <v>1116.8299999999999</v>
      </c>
      <c r="M2872" s="37">
        <v>1116.8299999999999</v>
      </c>
      <c r="N2872" s="36">
        <v>1116.8299999999999</v>
      </c>
    </row>
    <row r="2873" ht="38.25">
      <c r="A2873" s="19" t="s">
        <v>10460</v>
      </c>
      <c r="B2873" s="19">
        <v>21034</v>
      </c>
      <c r="C2873" s="20" t="s">
        <v>13339</v>
      </c>
      <c r="D2873" s="19" t="s">
        <v>31</v>
      </c>
      <c r="E2873" s="19" t="s">
        <v>10459</v>
      </c>
      <c r="F2873" s="21">
        <f t="shared" si="570"/>
        <v>952.87</v>
      </c>
      <c r="G2873" s="21">
        <f t="shared" si="570"/>
        <v>952.87</v>
      </c>
      <c r="H2873" s="21">
        <f t="shared" si="570"/>
        <v>952.87</v>
      </c>
      <c r="I2873" s="24" t="str">
        <f t="shared" si="571"/>
        <v xml:space="preserve">COM VALOR</v>
      </c>
      <c r="L2873" s="36">
        <v>952.87</v>
      </c>
      <c r="M2873" s="37">
        <v>952.87</v>
      </c>
      <c r="N2873" s="36">
        <v>952.87</v>
      </c>
    </row>
    <row r="2874" ht="38.25">
      <c r="A2874" s="19" t="s">
        <v>10460</v>
      </c>
      <c r="B2874" s="19">
        <v>37531</v>
      </c>
      <c r="C2874" s="20" t="s">
        <v>13340</v>
      </c>
      <c r="D2874" s="19" t="s">
        <v>31</v>
      </c>
      <c r="E2874" s="19" t="s">
        <v>10459</v>
      </c>
      <c r="F2874" s="21">
        <f t="shared" si="570"/>
        <v>1200</v>
      </c>
      <c r="G2874" s="21">
        <f t="shared" si="570"/>
        <v>1200</v>
      </c>
      <c r="H2874" s="21">
        <f t="shared" si="570"/>
        <v>1200</v>
      </c>
      <c r="I2874" s="24" t="str">
        <f t="shared" si="571"/>
        <v xml:space="preserve">COM VALOR</v>
      </c>
      <c r="L2874" s="36">
        <v>1200</v>
      </c>
      <c r="M2874" s="37">
        <v>1200</v>
      </c>
      <c r="N2874" s="36">
        <v>1200</v>
      </c>
    </row>
    <row r="2875" ht="38.25">
      <c r="A2875" s="19" t="s">
        <v>10460</v>
      </c>
      <c r="B2875" s="19">
        <v>21036</v>
      </c>
      <c r="C2875" s="20" t="s">
        <v>13341</v>
      </c>
      <c r="D2875" s="19" t="s">
        <v>31</v>
      </c>
      <c r="E2875" s="19" t="s">
        <v>10459</v>
      </c>
      <c r="F2875" s="21">
        <f t="shared" si="570"/>
        <v>1459</v>
      </c>
      <c r="G2875" s="21">
        <f t="shared" si="570"/>
        <v>1459</v>
      </c>
      <c r="H2875" s="21">
        <f t="shared" si="570"/>
        <v>1459</v>
      </c>
      <c r="I2875" s="24" t="str">
        <f t="shared" si="571"/>
        <v xml:space="preserve">COM VALOR</v>
      </c>
      <c r="L2875" s="36">
        <v>1459</v>
      </c>
      <c r="M2875" s="37">
        <v>1459</v>
      </c>
      <c r="N2875" s="36">
        <v>1459</v>
      </c>
    </row>
    <row r="2876" ht="38.25">
      <c r="A2876" s="19" t="s">
        <v>10460</v>
      </c>
      <c r="B2876" s="19">
        <v>21037</v>
      </c>
      <c r="C2876" s="20" t="s">
        <v>13342</v>
      </c>
      <c r="D2876" s="19" t="s">
        <v>31</v>
      </c>
      <c r="E2876" s="19" t="s">
        <v>10459</v>
      </c>
      <c r="F2876" s="21">
        <f t="shared" si="570"/>
        <v>1663.3599999999999</v>
      </c>
      <c r="G2876" s="21">
        <f t="shared" si="570"/>
        <v>1663.3599999999999</v>
      </c>
      <c r="H2876" s="21">
        <f t="shared" si="570"/>
        <v>1663.3599999999999</v>
      </c>
      <c r="I2876" s="24" t="str">
        <f t="shared" si="571"/>
        <v xml:space="preserve">COM VALOR</v>
      </c>
      <c r="L2876" s="36">
        <v>1663.3599999999999</v>
      </c>
      <c r="M2876" s="37">
        <v>1663.3599999999999</v>
      </c>
      <c r="N2876" s="36">
        <v>1663.3599999999999</v>
      </c>
    </row>
    <row r="2877" ht="38.25">
      <c r="A2877" s="19" t="s">
        <v>10460</v>
      </c>
      <c r="B2877" s="19">
        <v>20185</v>
      </c>
      <c r="C2877" s="20" t="s">
        <v>13343</v>
      </c>
      <c r="D2877" s="19" t="s">
        <v>38</v>
      </c>
      <c r="E2877" s="19" t="s">
        <v>10459</v>
      </c>
      <c r="F2877" s="21" t="str">
        <f t="shared" si="570"/>
        <v>VERIFICAR</v>
      </c>
      <c r="G2877" s="21" t="str">
        <f t="shared" si="570"/>
        <v>VERIFICAR</v>
      </c>
      <c r="H2877" s="21" t="str">
        <f t="shared" si="570"/>
        <v>VERIFICAR</v>
      </c>
      <c r="I2877" s="24" t="str">
        <f t="shared" si="571"/>
        <v xml:space="preserve">SEM VALOR</v>
      </c>
      <c r="L2877" s="36"/>
      <c r="M2877" s="37"/>
      <c r="N2877" s="36"/>
    </row>
    <row r="2878" ht="38.25">
      <c r="A2878" s="19" t="s">
        <v>10460</v>
      </c>
      <c r="B2878" s="19">
        <v>44909</v>
      </c>
      <c r="C2878" s="20" t="s">
        <v>13344</v>
      </c>
      <c r="D2878" s="19" t="s">
        <v>38</v>
      </c>
      <c r="E2878" s="19" t="s">
        <v>10459</v>
      </c>
      <c r="F2878" s="21" t="str">
        <f t="shared" si="570"/>
        <v>VERIFICAR</v>
      </c>
      <c r="G2878" s="21" t="str">
        <f t="shared" si="570"/>
        <v>VERIFICAR</v>
      </c>
      <c r="H2878" s="21" t="str">
        <f t="shared" si="570"/>
        <v>VERIFICAR</v>
      </c>
      <c r="I2878" s="24" t="str">
        <f t="shared" si="571"/>
        <v xml:space="preserve">SEM VALOR</v>
      </c>
      <c r="L2878" s="36"/>
      <c r="M2878" s="37"/>
      <c r="N2878" s="36"/>
    </row>
    <row r="2879" ht="38.25">
      <c r="A2879" s="19" t="s">
        <v>10460</v>
      </c>
      <c r="B2879" s="19">
        <v>44115</v>
      </c>
      <c r="C2879" s="20" t="s">
        <v>13345</v>
      </c>
      <c r="D2879" s="19" t="s">
        <v>38</v>
      </c>
      <c r="E2879" s="19" t="s">
        <v>10459</v>
      </c>
      <c r="F2879" s="21" t="str">
        <f t="shared" si="570"/>
        <v>VERIFICAR</v>
      </c>
      <c r="G2879" s="21" t="str">
        <f t="shared" si="570"/>
        <v>VERIFICAR</v>
      </c>
      <c r="H2879" s="21" t="str">
        <f t="shared" si="570"/>
        <v>VERIFICAR</v>
      </c>
      <c r="I2879" s="24" t="str">
        <f t="shared" si="571"/>
        <v xml:space="preserve">SEM VALOR</v>
      </c>
      <c r="L2879" s="36"/>
      <c r="M2879" s="37"/>
      <c r="N2879" s="36"/>
    </row>
    <row r="2880" ht="38.25">
      <c r="A2880" s="19" t="s">
        <v>10460</v>
      </c>
      <c r="B2880" s="19">
        <v>44333</v>
      </c>
      <c r="C2880" s="20" t="s">
        <v>13346</v>
      </c>
      <c r="D2880" s="19" t="s">
        <v>38</v>
      </c>
      <c r="E2880" s="19" t="s">
        <v>10459</v>
      </c>
      <c r="F2880" s="21" t="str">
        <f t="shared" si="570"/>
        <v>VERIFICAR</v>
      </c>
      <c r="G2880" s="21" t="str">
        <f t="shared" si="570"/>
        <v>VERIFICAR</v>
      </c>
      <c r="H2880" s="21" t="str">
        <f t="shared" si="570"/>
        <v>VERIFICAR</v>
      </c>
      <c r="I2880" s="24" t="str">
        <f t="shared" si="571"/>
        <v xml:space="preserve">SEM VALOR</v>
      </c>
      <c r="L2880" s="36"/>
      <c r="M2880" s="37"/>
      <c r="N2880" s="36"/>
    </row>
    <row r="2881" ht="25.5">
      <c r="A2881" s="19" t="s">
        <v>10460</v>
      </c>
      <c r="B2881" s="19">
        <v>44907</v>
      </c>
      <c r="C2881" s="20" t="s">
        <v>13347</v>
      </c>
      <c r="D2881" s="19" t="s">
        <v>38</v>
      </c>
      <c r="E2881" s="19" t="s">
        <v>10459</v>
      </c>
      <c r="F2881" s="21" t="str">
        <f t="shared" si="570"/>
        <v>VERIFICAR</v>
      </c>
      <c r="G2881" s="21" t="str">
        <f t="shared" si="570"/>
        <v>VERIFICAR</v>
      </c>
      <c r="H2881" s="21" t="str">
        <f t="shared" si="570"/>
        <v>VERIFICAR</v>
      </c>
      <c r="I2881" s="24" t="str">
        <f t="shared" si="571"/>
        <v xml:space="preserve">SEM VALOR</v>
      </c>
      <c r="L2881" s="36"/>
      <c r="M2881" s="37"/>
      <c r="N2881" s="36"/>
    </row>
    <row r="2882" ht="25.5">
      <c r="A2882" s="19" t="s">
        <v>10460</v>
      </c>
      <c r="B2882" s="19">
        <v>20260</v>
      </c>
      <c r="C2882" s="20" t="s">
        <v>13348</v>
      </c>
      <c r="D2882" s="19" t="s">
        <v>31</v>
      </c>
      <c r="E2882" s="19" t="s">
        <v>10459</v>
      </c>
      <c r="F2882" s="21" t="str">
        <f t="shared" si="570"/>
        <v>VERIFICAR</v>
      </c>
      <c r="G2882" s="21" t="str">
        <f t="shared" si="570"/>
        <v>VERIFICAR</v>
      </c>
      <c r="H2882" s="21" t="str">
        <f t="shared" si="570"/>
        <v>VERIFICAR</v>
      </c>
      <c r="I2882" s="24" t="str">
        <f t="shared" si="571"/>
        <v xml:space="preserve">SEM VALOR</v>
      </c>
      <c r="L2882" s="36"/>
      <c r="M2882" s="37"/>
      <c r="N2882" s="36"/>
    </row>
    <row r="2883" ht="38.25">
      <c r="A2883" s="19" t="s">
        <v>10638</v>
      </c>
      <c r="B2883" s="19">
        <v>37515</v>
      </c>
      <c r="C2883" s="20" t="s">
        <v>13349</v>
      </c>
      <c r="D2883" s="19" t="s">
        <v>31</v>
      </c>
      <c r="E2883" s="19" t="s">
        <v>10466</v>
      </c>
      <c r="F2883" s="21" t="str">
        <f t="shared" si="570"/>
        <v>VERIFICAR</v>
      </c>
      <c r="G2883" s="21" t="str">
        <f t="shared" si="570"/>
        <v>VERIFICAR</v>
      </c>
      <c r="H2883" s="21" t="str">
        <f t="shared" si="570"/>
        <v>VERIFICAR</v>
      </c>
      <c r="I2883" s="24" t="str">
        <f t="shared" si="571"/>
        <v xml:space="preserve">SEM VALOR</v>
      </c>
      <c r="L2883" s="36"/>
      <c r="M2883" s="37"/>
      <c r="N2883" s="36"/>
    </row>
    <row r="2884" ht="38.25">
      <c r="A2884" s="19" t="s">
        <v>10460</v>
      </c>
      <c r="B2884" s="19">
        <v>12899</v>
      </c>
      <c r="C2884" s="20" t="s">
        <v>13350</v>
      </c>
      <c r="D2884" s="19" t="s">
        <v>31</v>
      </c>
      <c r="E2884" s="19" t="s">
        <v>10459</v>
      </c>
      <c r="F2884" s="21" t="str">
        <f t="shared" si="570"/>
        <v>VERIFICAR</v>
      </c>
      <c r="G2884" s="21" t="str">
        <f t="shared" si="570"/>
        <v>VERIFICAR</v>
      </c>
      <c r="H2884" s="21" t="str">
        <f t="shared" si="570"/>
        <v>VERIFICAR</v>
      </c>
      <c r="I2884" s="24" t="str">
        <f t="shared" si="571"/>
        <v xml:space="preserve">SEM VALOR</v>
      </c>
      <c r="L2884" s="36"/>
      <c r="M2884" s="37"/>
      <c r="N2884" s="36"/>
    </row>
    <row r="2885" ht="38.25">
      <c r="A2885" s="19" t="s">
        <v>10460</v>
      </c>
      <c r="B2885" s="19">
        <v>12898</v>
      </c>
      <c r="C2885" s="20" t="s">
        <v>13351</v>
      </c>
      <c r="D2885" s="19" t="s">
        <v>31</v>
      </c>
      <c r="E2885" s="19" t="s">
        <v>10466</v>
      </c>
      <c r="F2885" s="21" t="str">
        <f t="shared" si="570"/>
        <v>VERIFICAR</v>
      </c>
      <c r="G2885" s="21" t="str">
        <f t="shared" si="570"/>
        <v>VERIFICAR</v>
      </c>
      <c r="H2885" s="21" t="str">
        <f t="shared" si="570"/>
        <v>VERIFICAR</v>
      </c>
      <c r="I2885" s="24" t="str">
        <f t="shared" si="571"/>
        <v xml:space="preserve">SEM VALOR</v>
      </c>
      <c r="L2885" s="36"/>
      <c r="M2885" s="37"/>
      <c r="N2885" s="36"/>
    </row>
    <row r="2886" ht="12.75">
      <c r="A2886" s="19" t="s">
        <v>10460</v>
      </c>
      <c r="B2886" s="19">
        <v>39699</v>
      </c>
      <c r="C2886" s="20" t="s">
        <v>13352</v>
      </c>
      <c r="D2886" s="19" t="s">
        <v>29</v>
      </c>
      <c r="E2886" s="19" t="s">
        <v>10459</v>
      </c>
      <c r="F2886" s="21">
        <f t="shared" si="570"/>
        <v>15.42</v>
      </c>
      <c r="G2886" s="21">
        <f t="shared" si="570"/>
        <v>15.42</v>
      </c>
      <c r="H2886" s="21">
        <f t="shared" si="570"/>
        <v>15.42</v>
      </c>
      <c r="I2886" s="24" t="str">
        <f t="shared" si="571"/>
        <v xml:space="preserve">COM VALOR</v>
      </c>
      <c r="L2886" s="36">
        <v>15.42</v>
      </c>
      <c r="M2886" s="37">
        <v>15.42</v>
      </c>
      <c r="N2886" s="36">
        <v>15.42</v>
      </c>
    </row>
    <row r="2887" ht="25.5">
      <c r="A2887" s="19" t="s">
        <v>10460</v>
      </c>
      <c r="B2887" s="19">
        <v>39696</v>
      </c>
      <c r="C2887" s="20" t="s">
        <v>13353</v>
      </c>
      <c r="D2887" s="19" t="s">
        <v>29</v>
      </c>
      <c r="E2887" s="19" t="s">
        <v>10466</v>
      </c>
      <c r="F2887" s="21" t="str">
        <f t="shared" si="570"/>
        <v>VERIFICAR</v>
      </c>
      <c r="G2887" s="21" t="str">
        <f t="shared" si="570"/>
        <v>VERIFICAR</v>
      </c>
      <c r="H2887" s="21" t="str">
        <f t="shared" si="570"/>
        <v>VERIFICAR</v>
      </c>
      <c r="I2887" s="24" t="str">
        <f t="shared" si="571"/>
        <v xml:space="preserve">SEM VALOR</v>
      </c>
      <c r="L2887" s="36"/>
      <c r="M2887" s="37"/>
      <c r="N2887" s="36"/>
    </row>
    <row r="2888" ht="25.5">
      <c r="A2888" s="19" t="s">
        <v>10460</v>
      </c>
      <c r="B2888" s="19">
        <v>42528</v>
      </c>
      <c r="C2888" s="20" t="s">
        <v>13354</v>
      </c>
      <c r="D2888" s="19" t="s">
        <v>29</v>
      </c>
      <c r="E2888" s="19" t="s">
        <v>10459</v>
      </c>
      <c r="F2888" s="21" t="str">
        <f t="shared" si="570"/>
        <v>VERIFICAR</v>
      </c>
      <c r="G2888" s="21" t="str">
        <f t="shared" si="570"/>
        <v>VERIFICAR</v>
      </c>
      <c r="H2888" s="21" t="str">
        <f t="shared" si="570"/>
        <v>VERIFICAR</v>
      </c>
      <c r="I2888" s="24" t="str">
        <f t="shared" si="571"/>
        <v xml:space="preserve">SEM VALOR</v>
      </c>
      <c r="L2888" s="36"/>
      <c r="M2888" s="37"/>
      <c r="N2888" s="36"/>
    </row>
    <row r="2889" ht="25.5">
      <c r="A2889" s="19" t="s">
        <v>10460</v>
      </c>
      <c r="B2889" s="19">
        <v>39700</v>
      </c>
      <c r="C2889" s="20" t="s">
        <v>13355</v>
      </c>
      <c r="D2889" s="19" t="s">
        <v>29</v>
      </c>
      <c r="E2889" s="19" t="s">
        <v>10459</v>
      </c>
      <c r="F2889" s="21" t="str">
        <f t="shared" si="570"/>
        <v>VERIFICAR</v>
      </c>
      <c r="G2889" s="21" t="str">
        <f t="shared" si="570"/>
        <v>VERIFICAR</v>
      </c>
      <c r="H2889" s="21" t="str">
        <f t="shared" si="570"/>
        <v>VERIFICAR</v>
      </c>
      <c r="I2889" s="24" t="str">
        <f t="shared" si="571"/>
        <v xml:space="preserve">SEM VALOR</v>
      </c>
      <c r="L2889" s="36"/>
      <c r="M2889" s="37"/>
      <c r="N2889" s="36"/>
    </row>
    <row r="2890" ht="25.5">
      <c r="A2890" s="19" t="s">
        <v>10460</v>
      </c>
      <c r="B2890" s="19">
        <v>4014</v>
      </c>
      <c r="C2890" s="20" t="s">
        <v>13356</v>
      </c>
      <c r="D2890" s="19" t="s">
        <v>29</v>
      </c>
      <c r="E2890" s="19" t="s">
        <v>10459</v>
      </c>
      <c r="F2890" s="21" t="str">
        <f t="shared" si="570"/>
        <v>VERIFICAR</v>
      </c>
      <c r="G2890" s="21" t="str">
        <f t="shared" si="570"/>
        <v>VERIFICAR</v>
      </c>
      <c r="H2890" s="21" t="str">
        <f t="shared" si="570"/>
        <v>VERIFICAR</v>
      </c>
      <c r="I2890" s="24" t="str">
        <f t="shared" si="571"/>
        <v xml:space="preserve">SEM VALOR</v>
      </c>
      <c r="L2890" s="36"/>
      <c r="M2890" s="37"/>
      <c r="N2890" s="36"/>
    </row>
    <row r="2891" ht="25.5">
      <c r="A2891" s="19" t="s">
        <v>10460</v>
      </c>
      <c r="B2891" s="19">
        <v>4015</v>
      </c>
      <c r="C2891" s="20" t="s">
        <v>13357</v>
      </c>
      <c r="D2891" s="19" t="s">
        <v>29</v>
      </c>
      <c r="E2891" s="19" t="s">
        <v>10459</v>
      </c>
      <c r="F2891" s="21" t="str">
        <f t="shared" ref="F2891:H2954" si="572">IF(L2891=0,"VERIFICAR",L2891)</f>
        <v>VERIFICAR</v>
      </c>
      <c r="G2891" s="21" t="str">
        <f t="shared" si="572"/>
        <v>VERIFICAR</v>
      </c>
      <c r="H2891" s="21" t="str">
        <f t="shared" si="572"/>
        <v>VERIFICAR</v>
      </c>
      <c r="I2891" s="24" t="str">
        <f t="shared" ref="I2891:I2954" si="573">IF(OR(L2891=0,M2891=0,N2891=0),"SEM VALOR","COM VALOR")</f>
        <v xml:space="preserve">SEM VALOR</v>
      </c>
      <c r="L2891" s="36"/>
      <c r="M2891" s="37"/>
      <c r="N2891" s="36"/>
    </row>
    <row r="2892" ht="25.5">
      <c r="A2892" s="19" t="s">
        <v>10460</v>
      </c>
      <c r="B2892" s="19">
        <v>4017</v>
      </c>
      <c r="C2892" s="20" t="s">
        <v>13358</v>
      </c>
      <c r="D2892" s="19" t="s">
        <v>29</v>
      </c>
      <c r="E2892" s="19" t="s">
        <v>10459</v>
      </c>
      <c r="F2892" s="21" t="str">
        <f t="shared" si="572"/>
        <v>VERIFICAR</v>
      </c>
      <c r="G2892" s="21" t="str">
        <f t="shared" si="572"/>
        <v>VERIFICAR</v>
      </c>
      <c r="H2892" s="21" t="str">
        <f t="shared" si="572"/>
        <v>VERIFICAR</v>
      </c>
      <c r="I2892" s="24" t="str">
        <f t="shared" si="573"/>
        <v xml:space="preserve">SEM VALOR</v>
      </c>
      <c r="L2892" s="36"/>
      <c r="M2892" s="37"/>
      <c r="N2892" s="36"/>
    </row>
    <row r="2893" ht="25.5">
      <c r="A2893" s="19" t="s">
        <v>10460</v>
      </c>
      <c r="B2893" s="19">
        <v>11621</v>
      </c>
      <c r="C2893" s="20" t="s">
        <v>13359</v>
      </c>
      <c r="D2893" s="19" t="s">
        <v>29</v>
      </c>
      <c r="E2893" s="19" t="s">
        <v>10459</v>
      </c>
      <c r="F2893" s="21" t="str">
        <f t="shared" si="572"/>
        <v>VERIFICAR</v>
      </c>
      <c r="G2893" s="21" t="str">
        <f t="shared" si="572"/>
        <v>VERIFICAR</v>
      </c>
      <c r="H2893" s="21" t="str">
        <f t="shared" si="572"/>
        <v>VERIFICAR</v>
      </c>
      <c r="I2893" s="24" t="str">
        <f t="shared" si="573"/>
        <v xml:space="preserve">SEM VALOR</v>
      </c>
      <c r="L2893" s="36"/>
      <c r="M2893" s="37"/>
      <c r="N2893" s="36"/>
    </row>
    <row r="2894" ht="25.5">
      <c r="A2894" s="19" t="s">
        <v>10460</v>
      </c>
      <c r="B2894" s="19">
        <v>4016</v>
      </c>
      <c r="C2894" s="20" t="s">
        <v>13360</v>
      </c>
      <c r="D2894" s="19" t="s">
        <v>29</v>
      </c>
      <c r="E2894" s="19" t="s">
        <v>10466</v>
      </c>
      <c r="F2894" s="21" t="str">
        <f t="shared" si="572"/>
        <v>VERIFICAR</v>
      </c>
      <c r="G2894" s="21" t="str">
        <f t="shared" si="572"/>
        <v>VERIFICAR</v>
      </c>
      <c r="H2894" s="21" t="str">
        <f t="shared" si="572"/>
        <v>VERIFICAR</v>
      </c>
      <c r="I2894" s="24" t="str">
        <f t="shared" si="573"/>
        <v xml:space="preserve">SEM VALOR</v>
      </c>
      <c r="L2894" s="36"/>
      <c r="M2894" s="37"/>
      <c r="N2894" s="36"/>
    </row>
    <row r="2895" ht="25.5">
      <c r="A2895" s="19" t="s">
        <v>10460</v>
      </c>
      <c r="B2895" s="19">
        <v>38544</v>
      </c>
      <c r="C2895" s="20" t="s">
        <v>13361</v>
      </c>
      <c r="D2895" s="19" t="s">
        <v>29</v>
      </c>
      <c r="E2895" s="19" t="s">
        <v>10459</v>
      </c>
      <c r="F2895" s="21" t="str">
        <f t="shared" si="572"/>
        <v>VERIFICAR</v>
      </c>
      <c r="G2895" s="21" t="str">
        <f t="shared" si="572"/>
        <v>VERIFICAR</v>
      </c>
      <c r="H2895" s="21" t="str">
        <f t="shared" si="572"/>
        <v>VERIFICAR</v>
      </c>
      <c r="I2895" s="24" t="str">
        <f t="shared" si="573"/>
        <v xml:space="preserve">SEM VALOR</v>
      </c>
      <c r="L2895" s="36"/>
      <c r="M2895" s="37"/>
      <c r="N2895" s="36"/>
    </row>
    <row r="2896" ht="12.75">
      <c r="A2896" s="19" t="s">
        <v>10460</v>
      </c>
      <c r="B2896" s="19">
        <v>38545</v>
      </c>
      <c r="C2896" s="20" t="s">
        <v>13362</v>
      </c>
      <c r="D2896" s="19" t="s">
        <v>29</v>
      </c>
      <c r="E2896" s="19" t="s">
        <v>10459</v>
      </c>
      <c r="F2896" s="21" t="str">
        <f t="shared" si="572"/>
        <v>VERIFICAR</v>
      </c>
      <c r="G2896" s="21" t="str">
        <f t="shared" si="572"/>
        <v>VERIFICAR</v>
      </c>
      <c r="H2896" s="21" t="str">
        <f t="shared" si="572"/>
        <v>VERIFICAR</v>
      </c>
      <c r="I2896" s="24" t="str">
        <f t="shared" si="573"/>
        <v xml:space="preserve">SEM VALOR</v>
      </c>
      <c r="L2896" s="36"/>
      <c r="M2896" s="37"/>
      <c r="N2896" s="36"/>
    </row>
    <row r="2897" ht="25.5">
      <c r="A2897" s="19" t="s">
        <v>10460</v>
      </c>
      <c r="B2897" s="19">
        <v>42527</v>
      </c>
      <c r="C2897" s="20" t="s">
        <v>13363</v>
      </c>
      <c r="D2897" s="19" t="s">
        <v>29</v>
      </c>
      <c r="E2897" s="19" t="s">
        <v>10459</v>
      </c>
      <c r="F2897" s="21" t="str">
        <f t="shared" si="572"/>
        <v>VERIFICAR</v>
      </c>
      <c r="G2897" s="21" t="str">
        <f t="shared" si="572"/>
        <v>VERIFICAR</v>
      </c>
      <c r="H2897" s="21" t="str">
        <f t="shared" si="572"/>
        <v>VERIFICAR</v>
      </c>
      <c r="I2897" s="24" t="str">
        <f t="shared" si="573"/>
        <v xml:space="preserve">SEM VALOR</v>
      </c>
      <c r="L2897" s="36"/>
      <c r="M2897" s="37"/>
      <c r="N2897" s="36"/>
    </row>
    <row r="2898" ht="25.5">
      <c r="A2898" s="19" t="s">
        <v>10460</v>
      </c>
      <c r="B2898" s="19">
        <v>39323</v>
      </c>
      <c r="C2898" s="20" t="s">
        <v>13364</v>
      </c>
      <c r="D2898" s="19" t="s">
        <v>29</v>
      </c>
      <c r="E2898" s="19" t="s">
        <v>10459</v>
      </c>
      <c r="F2898" s="21" t="str">
        <f t="shared" si="572"/>
        <v>VERIFICAR</v>
      </c>
      <c r="G2898" s="21" t="str">
        <f t="shared" si="572"/>
        <v>VERIFICAR</v>
      </c>
      <c r="H2898" s="21" t="str">
        <f t="shared" si="572"/>
        <v>VERIFICAR</v>
      </c>
      <c r="I2898" s="24" t="str">
        <f t="shared" si="573"/>
        <v xml:space="preserve">SEM VALOR</v>
      </c>
      <c r="L2898" s="36"/>
      <c r="M2898" s="37"/>
      <c r="N2898" s="36"/>
    </row>
    <row r="2899" ht="51">
      <c r="A2899" s="19" t="s">
        <v>10460</v>
      </c>
      <c r="B2899" s="19">
        <v>626</v>
      </c>
      <c r="C2899" s="20" t="s">
        <v>13365</v>
      </c>
      <c r="D2899" s="19" t="s">
        <v>302</v>
      </c>
      <c r="E2899" s="19" t="s">
        <v>10466</v>
      </c>
      <c r="F2899" s="21" t="str">
        <f t="shared" si="572"/>
        <v>VERIFICAR</v>
      </c>
      <c r="G2899" s="21" t="str">
        <f t="shared" si="572"/>
        <v>VERIFICAR</v>
      </c>
      <c r="H2899" s="21" t="str">
        <f t="shared" si="572"/>
        <v>VERIFICAR</v>
      </c>
      <c r="I2899" s="24" t="str">
        <f t="shared" si="573"/>
        <v xml:space="preserve">SEM VALOR</v>
      </c>
      <c r="L2899" s="36"/>
      <c r="M2899" s="37"/>
      <c r="N2899" s="36"/>
    </row>
    <row r="2900" ht="25.5">
      <c r="A2900" s="19" t="s">
        <v>10460</v>
      </c>
      <c r="B2900" s="19">
        <v>44504</v>
      </c>
      <c r="C2900" s="20" t="s">
        <v>13366</v>
      </c>
      <c r="D2900" s="19" t="s">
        <v>29</v>
      </c>
      <c r="E2900" s="19" t="s">
        <v>10459</v>
      </c>
      <c r="F2900" s="21" t="str">
        <f t="shared" si="572"/>
        <v>VERIFICAR</v>
      </c>
      <c r="G2900" s="21" t="str">
        <f t="shared" si="572"/>
        <v>VERIFICAR</v>
      </c>
      <c r="H2900" s="21" t="str">
        <f t="shared" si="572"/>
        <v>VERIFICAR</v>
      </c>
      <c r="I2900" s="24" t="str">
        <f t="shared" si="573"/>
        <v xml:space="preserve">SEM VALOR</v>
      </c>
      <c r="L2900" s="36"/>
      <c r="M2900" s="37"/>
      <c r="N2900" s="36"/>
    </row>
    <row r="2901" ht="25.5">
      <c r="A2901" s="19" t="s">
        <v>10460</v>
      </c>
      <c r="B2901" s="19">
        <v>44505</v>
      </c>
      <c r="C2901" s="20" t="s">
        <v>13367</v>
      </c>
      <c r="D2901" s="19" t="s">
        <v>29</v>
      </c>
      <c r="E2901" s="19" t="s">
        <v>10459</v>
      </c>
      <c r="F2901" s="21" t="str">
        <f t="shared" si="572"/>
        <v>VERIFICAR</v>
      </c>
      <c r="G2901" s="21" t="str">
        <f t="shared" si="572"/>
        <v>VERIFICAR</v>
      </c>
      <c r="H2901" s="21" t="str">
        <f t="shared" si="572"/>
        <v>VERIFICAR</v>
      </c>
      <c r="I2901" s="24" t="str">
        <f t="shared" si="573"/>
        <v xml:space="preserve">SEM VALOR</v>
      </c>
      <c r="L2901" s="36"/>
      <c r="M2901" s="37"/>
      <c r="N2901" s="36"/>
    </row>
    <row r="2902" ht="25.5">
      <c r="A2902" s="19" t="s">
        <v>10460</v>
      </c>
      <c r="B2902" s="19">
        <v>44506</v>
      </c>
      <c r="C2902" s="20" t="s">
        <v>13368</v>
      </c>
      <c r="D2902" s="19" t="s">
        <v>29</v>
      </c>
      <c r="E2902" s="19" t="s">
        <v>10459</v>
      </c>
      <c r="F2902" s="21" t="str">
        <f t="shared" si="572"/>
        <v>VERIFICAR</v>
      </c>
      <c r="G2902" s="21" t="str">
        <f t="shared" si="572"/>
        <v>VERIFICAR</v>
      </c>
      <c r="H2902" s="21" t="str">
        <f t="shared" si="572"/>
        <v>VERIFICAR</v>
      </c>
      <c r="I2902" s="24" t="str">
        <f t="shared" si="573"/>
        <v xml:space="preserve">SEM VALOR</v>
      </c>
      <c r="L2902" s="36"/>
      <c r="M2902" s="37"/>
      <c r="N2902" s="36"/>
    </row>
    <row r="2903" ht="25.5">
      <c r="A2903" s="19" t="s">
        <v>10460</v>
      </c>
      <c r="B2903" s="19">
        <v>44507</v>
      </c>
      <c r="C2903" s="20" t="s">
        <v>13369</v>
      </c>
      <c r="D2903" s="19" t="s">
        <v>29</v>
      </c>
      <c r="E2903" s="19" t="s">
        <v>10459</v>
      </c>
      <c r="F2903" s="21" t="str">
        <f t="shared" si="572"/>
        <v>VERIFICAR</v>
      </c>
      <c r="G2903" s="21" t="str">
        <f t="shared" si="572"/>
        <v>VERIFICAR</v>
      </c>
      <c r="H2903" s="21" t="str">
        <f t="shared" si="572"/>
        <v>VERIFICAR</v>
      </c>
      <c r="I2903" s="24" t="str">
        <f t="shared" si="573"/>
        <v xml:space="preserve">SEM VALOR</v>
      </c>
      <c r="L2903" s="36"/>
      <c r="M2903" s="37"/>
      <c r="N2903" s="36"/>
    </row>
    <row r="2904" ht="25.5">
      <c r="A2904" s="19" t="s">
        <v>10460</v>
      </c>
      <c r="B2904" s="19">
        <v>44508</v>
      </c>
      <c r="C2904" s="20" t="s">
        <v>13370</v>
      </c>
      <c r="D2904" s="19" t="s">
        <v>29</v>
      </c>
      <c r="E2904" s="19" t="s">
        <v>10459</v>
      </c>
      <c r="F2904" s="21" t="str">
        <f t="shared" si="572"/>
        <v>VERIFICAR</v>
      </c>
      <c r="G2904" s="21" t="str">
        <f t="shared" si="572"/>
        <v>VERIFICAR</v>
      </c>
      <c r="H2904" s="21" t="str">
        <f t="shared" si="572"/>
        <v>VERIFICAR</v>
      </c>
      <c r="I2904" s="24" t="str">
        <f t="shared" si="573"/>
        <v xml:space="preserve">SEM VALOR</v>
      </c>
      <c r="L2904" s="36"/>
      <c r="M2904" s="37"/>
      <c r="N2904" s="36"/>
    </row>
    <row r="2905" ht="25.5">
      <c r="A2905" s="19" t="s">
        <v>10460</v>
      </c>
      <c r="B2905" s="19">
        <v>44509</v>
      </c>
      <c r="C2905" s="20" t="s">
        <v>13371</v>
      </c>
      <c r="D2905" s="19" t="s">
        <v>29</v>
      </c>
      <c r="E2905" s="19" t="s">
        <v>10459</v>
      </c>
      <c r="F2905" s="21" t="str">
        <f t="shared" si="572"/>
        <v>VERIFICAR</v>
      </c>
      <c r="G2905" s="21" t="str">
        <f t="shared" si="572"/>
        <v>VERIFICAR</v>
      </c>
      <c r="H2905" s="21" t="str">
        <f t="shared" si="572"/>
        <v>VERIFICAR</v>
      </c>
      <c r="I2905" s="24" t="str">
        <f t="shared" si="573"/>
        <v xml:space="preserve">SEM VALOR</v>
      </c>
      <c r="L2905" s="36"/>
      <c r="M2905" s="37"/>
      <c r="N2905" s="36"/>
    </row>
    <row r="2906" ht="25.5">
      <c r="A2906" s="19" t="s">
        <v>10460</v>
      </c>
      <c r="B2906" s="19">
        <v>44510</v>
      </c>
      <c r="C2906" s="20" t="s">
        <v>13372</v>
      </c>
      <c r="D2906" s="19" t="s">
        <v>29</v>
      </c>
      <c r="E2906" s="19" t="s">
        <v>10459</v>
      </c>
      <c r="F2906" s="21" t="str">
        <f t="shared" si="572"/>
        <v>VERIFICAR</v>
      </c>
      <c r="G2906" s="21" t="str">
        <f t="shared" si="572"/>
        <v>VERIFICAR</v>
      </c>
      <c r="H2906" s="21" t="str">
        <f t="shared" si="572"/>
        <v>VERIFICAR</v>
      </c>
      <c r="I2906" s="24" t="str">
        <f t="shared" si="573"/>
        <v xml:space="preserve">SEM VALOR</v>
      </c>
      <c r="L2906" s="36"/>
      <c r="M2906" s="37"/>
      <c r="N2906" s="36"/>
    </row>
    <row r="2907" ht="25.5">
      <c r="A2907" s="19" t="s">
        <v>10460</v>
      </c>
      <c r="B2907" s="19">
        <v>44512</v>
      </c>
      <c r="C2907" s="20" t="s">
        <v>13373</v>
      </c>
      <c r="D2907" s="19" t="s">
        <v>29</v>
      </c>
      <c r="E2907" s="19" t="s">
        <v>10459</v>
      </c>
      <c r="F2907" s="21" t="str">
        <f t="shared" si="572"/>
        <v>VERIFICAR</v>
      </c>
      <c r="G2907" s="21" t="str">
        <f t="shared" si="572"/>
        <v>VERIFICAR</v>
      </c>
      <c r="H2907" s="21" t="str">
        <f t="shared" si="572"/>
        <v>VERIFICAR</v>
      </c>
      <c r="I2907" s="24" t="str">
        <f t="shared" si="573"/>
        <v xml:space="preserve">SEM VALOR</v>
      </c>
      <c r="L2907" s="36"/>
      <c r="M2907" s="37"/>
      <c r="N2907" s="36"/>
    </row>
    <row r="2908" ht="25.5">
      <c r="A2908" s="19" t="s">
        <v>10460</v>
      </c>
      <c r="B2908" s="19">
        <v>44513</v>
      </c>
      <c r="C2908" s="20" t="s">
        <v>13374</v>
      </c>
      <c r="D2908" s="19" t="s">
        <v>29</v>
      </c>
      <c r="E2908" s="19" t="s">
        <v>10459</v>
      </c>
      <c r="F2908" s="21" t="str">
        <f t="shared" si="572"/>
        <v>VERIFICAR</v>
      </c>
      <c r="G2908" s="21" t="str">
        <f t="shared" si="572"/>
        <v>VERIFICAR</v>
      </c>
      <c r="H2908" s="21" t="str">
        <f t="shared" si="572"/>
        <v>VERIFICAR</v>
      </c>
      <c r="I2908" s="24" t="str">
        <f t="shared" si="573"/>
        <v xml:space="preserve">SEM VALOR</v>
      </c>
      <c r="L2908" s="36"/>
      <c r="M2908" s="37"/>
      <c r="N2908" s="36"/>
    </row>
    <row r="2909" ht="25.5">
      <c r="A2909" s="19" t="s">
        <v>10460</v>
      </c>
      <c r="B2909" s="19">
        <v>44514</v>
      </c>
      <c r="C2909" s="20" t="s">
        <v>13375</v>
      </c>
      <c r="D2909" s="19" t="s">
        <v>29</v>
      </c>
      <c r="E2909" s="19" t="s">
        <v>10459</v>
      </c>
      <c r="F2909" s="21" t="str">
        <f t="shared" si="572"/>
        <v>VERIFICAR</v>
      </c>
      <c r="G2909" s="21" t="str">
        <f t="shared" si="572"/>
        <v>VERIFICAR</v>
      </c>
      <c r="H2909" s="21" t="str">
        <f t="shared" si="572"/>
        <v>VERIFICAR</v>
      </c>
      <c r="I2909" s="24" t="str">
        <f t="shared" si="573"/>
        <v xml:space="preserve">SEM VALOR</v>
      </c>
      <c r="L2909" s="36"/>
      <c r="M2909" s="37"/>
      <c r="N2909" s="36"/>
    </row>
    <row r="2910" ht="25.5">
      <c r="A2910" s="19" t="s">
        <v>10460</v>
      </c>
      <c r="B2910" s="19">
        <v>44515</v>
      </c>
      <c r="C2910" s="20" t="s">
        <v>13376</v>
      </c>
      <c r="D2910" s="19" t="s">
        <v>29</v>
      </c>
      <c r="E2910" s="19" t="s">
        <v>10459</v>
      </c>
      <c r="F2910" s="21" t="str">
        <f t="shared" si="572"/>
        <v>VERIFICAR</v>
      </c>
      <c r="G2910" s="21" t="str">
        <f t="shared" si="572"/>
        <v>VERIFICAR</v>
      </c>
      <c r="H2910" s="21" t="str">
        <f t="shared" si="572"/>
        <v>VERIFICAR</v>
      </c>
      <c r="I2910" s="24" t="str">
        <f t="shared" si="573"/>
        <v xml:space="preserve">SEM VALOR</v>
      </c>
      <c r="L2910" s="36"/>
      <c r="M2910" s="37"/>
      <c r="N2910" s="36"/>
    </row>
    <row r="2911" ht="25.5">
      <c r="A2911" s="19" t="s">
        <v>10460</v>
      </c>
      <c r="B2911" s="19">
        <v>44511</v>
      </c>
      <c r="C2911" s="20" t="s">
        <v>13377</v>
      </c>
      <c r="D2911" s="19" t="s">
        <v>29</v>
      </c>
      <c r="E2911" s="19" t="s">
        <v>10459</v>
      </c>
      <c r="F2911" s="21" t="str">
        <f t="shared" si="572"/>
        <v>VERIFICAR</v>
      </c>
      <c r="G2911" s="21" t="str">
        <f t="shared" si="572"/>
        <v>VERIFICAR</v>
      </c>
      <c r="H2911" s="21" t="str">
        <f t="shared" si="572"/>
        <v>VERIFICAR</v>
      </c>
      <c r="I2911" s="24" t="str">
        <f t="shared" si="573"/>
        <v xml:space="preserve">SEM VALOR</v>
      </c>
      <c r="L2911" s="36"/>
      <c r="M2911" s="37"/>
      <c r="N2911" s="36"/>
    </row>
    <row r="2912" ht="25.5">
      <c r="A2912" s="19" t="s">
        <v>10460</v>
      </c>
      <c r="B2912" s="19">
        <v>44516</v>
      </c>
      <c r="C2912" s="20" t="s">
        <v>13378</v>
      </c>
      <c r="D2912" s="19" t="s">
        <v>29</v>
      </c>
      <c r="E2912" s="19" t="s">
        <v>10459</v>
      </c>
      <c r="F2912" s="21" t="str">
        <f t="shared" si="572"/>
        <v>VERIFICAR</v>
      </c>
      <c r="G2912" s="21" t="str">
        <f t="shared" si="572"/>
        <v>VERIFICAR</v>
      </c>
      <c r="H2912" s="21" t="str">
        <f t="shared" si="572"/>
        <v>VERIFICAR</v>
      </c>
      <c r="I2912" s="24" t="str">
        <f t="shared" si="573"/>
        <v xml:space="preserve">SEM VALOR</v>
      </c>
      <c r="L2912" s="36"/>
      <c r="M2912" s="37"/>
      <c r="N2912" s="36"/>
    </row>
    <row r="2913" ht="25.5">
      <c r="A2913" s="19" t="s">
        <v>10460</v>
      </c>
      <c r="B2913" s="19">
        <v>44517</v>
      </c>
      <c r="C2913" s="20" t="s">
        <v>13379</v>
      </c>
      <c r="D2913" s="19" t="s">
        <v>29</v>
      </c>
      <c r="E2913" s="19" t="s">
        <v>10459</v>
      </c>
      <c r="F2913" s="21" t="str">
        <f t="shared" si="572"/>
        <v>VERIFICAR</v>
      </c>
      <c r="G2913" s="21" t="str">
        <f t="shared" si="572"/>
        <v>VERIFICAR</v>
      </c>
      <c r="H2913" s="21" t="str">
        <f t="shared" si="572"/>
        <v>VERIFICAR</v>
      </c>
      <c r="I2913" s="24" t="str">
        <f t="shared" si="573"/>
        <v xml:space="preserve">SEM VALOR</v>
      </c>
      <c r="L2913" s="36"/>
      <c r="M2913" s="37"/>
      <c r="N2913" s="36"/>
    </row>
    <row r="2914" ht="25.5">
      <c r="A2914" s="19" t="s">
        <v>10460</v>
      </c>
      <c r="B2914" s="19">
        <v>11479</v>
      </c>
      <c r="C2914" s="20" t="s">
        <v>13380</v>
      </c>
      <c r="D2914" s="19" t="s">
        <v>31</v>
      </c>
      <c r="E2914" s="19" t="s">
        <v>10459</v>
      </c>
      <c r="F2914" s="21">
        <f t="shared" si="572"/>
        <v>38.600000000000001</v>
      </c>
      <c r="G2914" s="21">
        <f t="shared" si="572"/>
        <v>38.600000000000001</v>
      </c>
      <c r="H2914" s="21">
        <f t="shared" si="572"/>
        <v>38.600000000000001</v>
      </c>
      <c r="I2914" s="24" t="str">
        <f t="shared" si="573"/>
        <v xml:space="preserve">COM VALOR</v>
      </c>
      <c r="L2914" s="36">
        <v>38.600000000000001</v>
      </c>
      <c r="M2914" s="37">
        <v>38.600000000000001</v>
      </c>
      <c r="N2914" s="36">
        <v>38.600000000000001</v>
      </c>
    </row>
    <row r="2915" ht="25.5">
      <c r="A2915" s="19" t="s">
        <v>10460</v>
      </c>
      <c r="B2915" s="19">
        <v>11481</v>
      </c>
      <c r="C2915" s="20" t="s">
        <v>13381</v>
      </c>
      <c r="D2915" s="19" t="s">
        <v>31</v>
      </c>
      <c r="E2915" s="19" t="s">
        <v>10459</v>
      </c>
      <c r="F2915" s="21">
        <f t="shared" si="572"/>
        <v>34.909999999999997</v>
      </c>
      <c r="G2915" s="21">
        <f t="shared" si="572"/>
        <v>34.909999999999997</v>
      </c>
      <c r="H2915" s="21">
        <f t="shared" si="572"/>
        <v>34.909999999999997</v>
      </c>
      <c r="I2915" s="24" t="str">
        <f t="shared" si="573"/>
        <v xml:space="preserve">COM VALOR</v>
      </c>
      <c r="L2915" s="36">
        <v>34.909999999999997</v>
      </c>
      <c r="M2915" s="37">
        <v>34.909999999999997</v>
      </c>
      <c r="N2915" s="36">
        <v>34.909999999999997</v>
      </c>
    </row>
    <row r="2916" ht="25.5">
      <c r="A2916" s="19" t="s">
        <v>10460</v>
      </c>
      <c r="B2916" s="19">
        <v>43609</v>
      </c>
      <c r="C2916" s="20" t="s">
        <v>13382</v>
      </c>
      <c r="D2916" s="19" t="s">
        <v>31</v>
      </c>
      <c r="E2916" s="19" t="s">
        <v>10459</v>
      </c>
      <c r="F2916" s="21">
        <f t="shared" si="572"/>
        <v>34.909999999999997</v>
      </c>
      <c r="G2916" s="21">
        <f t="shared" si="572"/>
        <v>34.909999999999997</v>
      </c>
      <c r="H2916" s="21">
        <f t="shared" si="572"/>
        <v>34.909999999999997</v>
      </c>
      <c r="I2916" s="24" t="str">
        <f t="shared" si="573"/>
        <v xml:space="preserve">COM VALOR</v>
      </c>
      <c r="L2916" s="36">
        <v>34.909999999999997</v>
      </c>
      <c r="M2916" s="37">
        <v>34.909999999999997</v>
      </c>
      <c r="N2916" s="36">
        <v>34.909999999999997</v>
      </c>
    </row>
    <row r="2917" ht="25.5">
      <c r="A2917" s="19" t="s">
        <v>10460</v>
      </c>
      <c r="B2917" s="19">
        <v>11478</v>
      </c>
      <c r="C2917" s="20" t="s">
        <v>13383</v>
      </c>
      <c r="D2917" s="19" t="s">
        <v>31</v>
      </c>
      <c r="E2917" s="19" t="s">
        <v>10459</v>
      </c>
      <c r="F2917" s="21">
        <f t="shared" si="572"/>
        <v>66.219999999999999</v>
      </c>
      <c r="G2917" s="21">
        <f t="shared" si="572"/>
        <v>66.219999999999999</v>
      </c>
      <c r="H2917" s="21">
        <f t="shared" si="572"/>
        <v>66.219999999999999</v>
      </c>
      <c r="I2917" s="24" t="str">
        <f t="shared" si="573"/>
        <v xml:space="preserve">COM VALOR</v>
      </c>
      <c r="L2917" s="36">
        <v>66.219999999999999</v>
      </c>
      <c r="M2917" s="37">
        <v>66.219999999999999</v>
      </c>
      <c r="N2917" s="36">
        <v>66.219999999999999</v>
      </c>
    </row>
    <row r="2918" ht="25.5">
      <c r="A2918" s="19" t="s">
        <v>10460</v>
      </c>
      <c r="B2918" s="19">
        <v>43608</v>
      </c>
      <c r="C2918" s="20" t="s">
        <v>13384</v>
      </c>
      <c r="D2918" s="19" t="s">
        <v>31</v>
      </c>
      <c r="E2918" s="19" t="s">
        <v>10459</v>
      </c>
      <c r="F2918" s="21">
        <f t="shared" si="572"/>
        <v>50.530000000000001</v>
      </c>
      <c r="G2918" s="21">
        <f t="shared" si="572"/>
        <v>50.530000000000001</v>
      </c>
      <c r="H2918" s="21">
        <f t="shared" si="572"/>
        <v>50.530000000000001</v>
      </c>
      <c r="I2918" s="24" t="str">
        <f t="shared" si="573"/>
        <v xml:space="preserve">COM VALOR</v>
      </c>
      <c r="L2918" s="36">
        <v>50.530000000000001</v>
      </c>
      <c r="M2918" s="37">
        <v>50.530000000000001</v>
      </c>
      <c r="N2918" s="36">
        <v>50.530000000000001</v>
      </c>
    </row>
    <row r="2919" ht="25.5">
      <c r="A2919" s="19" t="s">
        <v>10460</v>
      </c>
      <c r="B2919" s="19">
        <v>11476</v>
      </c>
      <c r="C2919" s="20" t="s">
        <v>13385</v>
      </c>
      <c r="D2919" s="19" t="s">
        <v>31</v>
      </c>
      <c r="E2919" s="19" t="s">
        <v>10459</v>
      </c>
      <c r="F2919" s="21">
        <f t="shared" si="572"/>
        <v>50.530000000000001</v>
      </c>
      <c r="G2919" s="21">
        <f t="shared" si="572"/>
        <v>50.530000000000001</v>
      </c>
      <c r="H2919" s="21">
        <f t="shared" si="572"/>
        <v>50.530000000000001</v>
      </c>
      <c r="I2919" s="24" t="str">
        <f t="shared" si="573"/>
        <v xml:space="preserve">COM VALOR</v>
      </c>
      <c r="L2919" s="36">
        <v>50.530000000000001</v>
      </c>
      <c r="M2919" s="37">
        <v>50.530000000000001</v>
      </c>
      <c r="N2919" s="36">
        <v>50.530000000000001</v>
      </c>
    </row>
    <row r="2920" ht="25.5">
      <c r="A2920" s="19" t="s">
        <v>10638</v>
      </c>
      <c r="B2920" s="19">
        <v>40637</v>
      </c>
      <c r="C2920" s="20" t="s">
        <v>13386</v>
      </c>
      <c r="D2920" s="19" t="s">
        <v>31</v>
      </c>
      <c r="E2920" s="19" t="s">
        <v>10459</v>
      </c>
      <c r="F2920" s="21" t="str">
        <f t="shared" si="572"/>
        <v>VERIFICAR</v>
      </c>
      <c r="G2920" s="21" t="str">
        <f t="shared" si="572"/>
        <v>VERIFICAR</v>
      </c>
      <c r="H2920" s="21" t="str">
        <f t="shared" si="572"/>
        <v>VERIFICAR</v>
      </c>
      <c r="I2920" s="24" t="str">
        <f t="shared" si="573"/>
        <v xml:space="preserve">SEM VALOR</v>
      </c>
      <c r="L2920" s="36"/>
      <c r="M2920" s="37"/>
      <c r="N2920" s="36"/>
    </row>
    <row r="2921" ht="25.5">
      <c r="A2921" s="19" t="s">
        <v>10638</v>
      </c>
      <c r="B2921" s="19">
        <v>13836</v>
      </c>
      <c r="C2921" s="20" t="s">
        <v>13387</v>
      </c>
      <c r="D2921" s="19" t="s">
        <v>31</v>
      </c>
      <c r="E2921" s="19" t="s">
        <v>10459</v>
      </c>
      <c r="F2921" s="21" t="str">
        <f t="shared" si="572"/>
        <v>VERIFICAR</v>
      </c>
      <c r="G2921" s="21" t="str">
        <f t="shared" si="572"/>
        <v>VERIFICAR</v>
      </c>
      <c r="H2921" s="21" t="str">
        <f t="shared" si="572"/>
        <v>VERIFICAR</v>
      </c>
      <c r="I2921" s="24" t="str">
        <f t="shared" si="573"/>
        <v xml:space="preserve">SEM VALOR</v>
      </c>
      <c r="L2921" s="36"/>
      <c r="M2921" s="37"/>
      <c r="N2921" s="36"/>
    </row>
    <row r="2922" ht="63.75">
      <c r="A2922" s="19" t="s">
        <v>10638</v>
      </c>
      <c r="B2922" s="19">
        <v>39813</v>
      </c>
      <c r="C2922" s="20" t="s">
        <v>13388</v>
      </c>
      <c r="D2922" s="19" t="s">
        <v>31</v>
      </c>
      <c r="E2922" s="19" t="s">
        <v>10459</v>
      </c>
      <c r="F2922" s="21" t="str">
        <f t="shared" si="572"/>
        <v>VERIFICAR</v>
      </c>
      <c r="G2922" s="21" t="str">
        <f t="shared" si="572"/>
        <v>VERIFICAR</v>
      </c>
      <c r="H2922" s="21" t="str">
        <f t="shared" si="572"/>
        <v>VERIFICAR</v>
      </c>
      <c r="I2922" s="24" t="str">
        <f t="shared" si="573"/>
        <v xml:space="preserve">SEM VALOR</v>
      </c>
      <c r="L2922" s="36"/>
      <c r="M2922" s="37"/>
      <c r="N2922" s="36"/>
    </row>
    <row r="2923" ht="12.75">
      <c r="A2923" s="19" t="s">
        <v>10604</v>
      </c>
      <c r="B2923" s="19">
        <v>12868</v>
      </c>
      <c r="C2923" s="20" t="s">
        <v>13389</v>
      </c>
      <c r="D2923" s="19" t="s">
        <v>2032</v>
      </c>
      <c r="E2923" s="19" t="s">
        <v>10459</v>
      </c>
      <c r="F2923" s="21">
        <f t="shared" si="572"/>
        <v>19.690000000000001</v>
      </c>
      <c r="G2923" s="21">
        <f t="shared" si="572"/>
        <v>19.690000000000001</v>
      </c>
      <c r="H2923" s="21">
        <f t="shared" si="572"/>
        <v>19.690000000000001</v>
      </c>
      <c r="I2923" s="24" t="str">
        <f t="shared" si="573"/>
        <v xml:space="preserve">COM VALOR</v>
      </c>
      <c r="L2923" s="36">
        <v>19.690000000000001</v>
      </c>
      <c r="M2923" s="37">
        <v>19.690000000000001</v>
      </c>
      <c r="N2923" s="36">
        <v>19.690000000000001</v>
      </c>
    </row>
    <row r="2924" ht="12.75">
      <c r="A2924" s="19" t="s">
        <v>10604</v>
      </c>
      <c r="B2924" s="19">
        <v>40916</v>
      </c>
      <c r="C2924" s="20" t="s">
        <v>13390</v>
      </c>
      <c r="D2924" s="19" t="s">
        <v>7087</v>
      </c>
      <c r="E2924" s="19" t="s">
        <v>10459</v>
      </c>
      <c r="F2924" s="21">
        <f t="shared" si="572"/>
        <v>3449.2199999999998</v>
      </c>
      <c r="G2924" s="21">
        <f t="shared" si="572"/>
        <v>3449.2199999999998</v>
      </c>
      <c r="H2924" s="21">
        <f t="shared" si="572"/>
        <v>3449.2199999999998</v>
      </c>
      <c r="I2924" s="24" t="str">
        <f t="shared" si="573"/>
        <v xml:space="preserve">COM VALOR</v>
      </c>
      <c r="L2924" s="36">
        <v>3449.2199999999998</v>
      </c>
      <c r="M2924" s="37">
        <v>3449.2199999999998</v>
      </c>
      <c r="N2924" s="36">
        <v>3449.2199999999998</v>
      </c>
    </row>
    <row r="2925" ht="12.75">
      <c r="A2925" s="19" t="s">
        <v>10604</v>
      </c>
      <c r="B2925" s="19">
        <v>4755</v>
      </c>
      <c r="C2925" s="20" t="s">
        <v>13391</v>
      </c>
      <c r="D2925" s="19" t="s">
        <v>2032</v>
      </c>
      <c r="E2925" s="19" t="s">
        <v>10459</v>
      </c>
      <c r="F2925" s="21">
        <f t="shared" si="572"/>
        <v>21.260000000000002</v>
      </c>
      <c r="G2925" s="21">
        <f t="shared" si="572"/>
        <v>21.260000000000002</v>
      </c>
      <c r="H2925" s="21">
        <f t="shared" si="572"/>
        <v>21.260000000000002</v>
      </c>
      <c r="I2925" s="24" t="str">
        <f t="shared" si="573"/>
        <v xml:space="preserve">COM VALOR</v>
      </c>
      <c r="L2925" s="36">
        <v>21.260000000000002</v>
      </c>
      <c r="M2925" s="37">
        <v>21.260000000000002</v>
      </c>
      <c r="N2925" s="36">
        <v>21.260000000000002</v>
      </c>
    </row>
    <row r="2926" ht="12.75">
      <c r="A2926" s="19" t="s">
        <v>10604</v>
      </c>
      <c r="B2926" s="19">
        <v>41067</v>
      </c>
      <c r="C2926" s="20" t="s">
        <v>13392</v>
      </c>
      <c r="D2926" s="19" t="s">
        <v>7087</v>
      </c>
      <c r="E2926" s="19" t="s">
        <v>10459</v>
      </c>
      <c r="F2926" s="21">
        <f t="shared" si="572"/>
        <v>3721.6900000000001</v>
      </c>
      <c r="G2926" s="21">
        <f t="shared" si="572"/>
        <v>3721.6900000000001</v>
      </c>
      <c r="H2926" s="21">
        <f t="shared" si="572"/>
        <v>3721.6900000000001</v>
      </c>
      <c r="I2926" s="24" t="str">
        <f t="shared" si="573"/>
        <v xml:space="preserve">COM VALOR</v>
      </c>
      <c r="L2926" s="36">
        <v>3721.6900000000001</v>
      </c>
      <c r="M2926" s="37">
        <v>3721.6900000000001</v>
      </c>
      <c r="N2926" s="36">
        <v>3721.6900000000001</v>
      </c>
    </row>
    <row r="2927" ht="12.75">
      <c r="A2927" s="19" t="s">
        <v>10460</v>
      </c>
      <c r="B2927" s="19">
        <v>45240</v>
      </c>
      <c r="C2927" s="20" t="s">
        <v>13393</v>
      </c>
      <c r="D2927" s="19" t="s">
        <v>31</v>
      </c>
      <c r="E2927" s="19" t="s">
        <v>10459</v>
      </c>
      <c r="F2927" s="21">
        <f t="shared" si="572"/>
        <v>26.940000000000001</v>
      </c>
      <c r="G2927" s="21">
        <f t="shared" si="572"/>
        <v>26.940000000000001</v>
      </c>
      <c r="H2927" s="21">
        <f t="shared" si="572"/>
        <v>26.940000000000001</v>
      </c>
      <c r="I2927" s="24" t="str">
        <f t="shared" si="573"/>
        <v xml:space="preserve">COM VALOR</v>
      </c>
      <c r="L2927" s="36">
        <v>26.940000000000001</v>
      </c>
      <c r="M2927" s="37">
        <v>26.940000000000001</v>
      </c>
      <c r="N2927" s="36">
        <v>26.940000000000001</v>
      </c>
    </row>
    <row r="2928" ht="25.5">
      <c r="A2928" s="19" t="s">
        <v>10460</v>
      </c>
      <c r="B2928" s="19">
        <v>45228</v>
      </c>
      <c r="C2928" s="20" t="s">
        <v>13394</v>
      </c>
      <c r="D2928" s="19" t="s">
        <v>31</v>
      </c>
      <c r="E2928" s="19" t="s">
        <v>10459</v>
      </c>
      <c r="F2928" s="21">
        <f t="shared" si="572"/>
        <v>23.02</v>
      </c>
      <c r="G2928" s="21">
        <f t="shared" si="572"/>
        <v>23.02</v>
      </c>
      <c r="H2928" s="21">
        <f t="shared" si="572"/>
        <v>23.02</v>
      </c>
      <c r="I2928" s="24" t="str">
        <f t="shared" si="573"/>
        <v xml:space="preserve">COM VALOR</v>
      </c>
      <c r="L2928" s="36">
        <v>23.02</v>
      </c>
      <c r="M2928" s="37">
        <v>23.02</v>
      </c>
      <c r="N2928" s="36">
        <v>23.02</v>
      </c>
    </row>
    <row r="2929" ht="25.5">
      <c r="A2929" s="19" t="s">
        <v>10460</v>
      </c>
      <c r="B2929" s="19">
        <v>45241</v>
      </c>
      <c r="C2929" s="20" t="s">
        <v>13395</v>
      </c>
      <c r="D2929" s="19" t="s">
        <v>31</v>
      </c>
      <c r="E2929" s="19" t="s">
        <v>10459</v>
      </c>
      <c r="F2929" s="21">
        <f t="shared" si="572"/>
        <v>33.130000000000003</v>
      </c>
      <c r="G2929" s="21">
        <f t="shared" si="572"/>
        <v>33.130000000000003</v>
      </c>
      <c r="H2929" s="21">
        <f t="shared" si="572"/>
        <v>33.130000000000003</v>
      </c>
      <c r="I2929" s="24" t="str">
        <f t="shared" si="573"/>
        <v xml:space="preserve">COM VALOR</v>
      </c>
      <c r="L2929" s="36">
        <v>33.130000000000003</v>
      </c>
      <c r="M2929" s="37">
        <v>33.130000000000003</v>
      </c>
      <c r="N2929" s="36">
        <v>33.130000000000003</v>
      </c>
    </row>
    <row r="2930" ht="12.75">
      <c r="A2930" s="19" t="s">
        <v>10460</v>
      </c>
      <c r="B2930" s="19">
        <v>38463</v>
      </c>
      <c r="C2930" s="20" t="s">
        <v>13396</v>
      </c>
      <c r="D2930" s="19" t="s">
        <v>31</v>
      </c>
      <c r="E2930" s="19" t="s">
        <v>10459</v>
      </c>
      <c r="F2930" s="21">
        <f t="shared" si="572"/>
        <v>60.43</v>
      </c>
      <c r="G2930" s="21">
        <f t="shared" si="572"/>
        <v>60.43</v>
      </c>
      <c r="H2930" s="21">
        <f t="shared" si="572"/>
        <v>60.43</v>
      </c>
      <c r="I2930" s="24" t="str">
        <f t="shared" si="573"/>
        <v xml:space="preserve">COM VALOR</v>
      </c>
      <c r="L2930" s="36">
        <v>60.43</v>
      </c>
      <c r="M2930" s="37">
        <v>60.43</v>
      </c>
      <c r="N2930" s="36">
        <v>60.43</v>
      </c>
    </row>
    <row r="2931" ht="38.25">
      <c r="A2931" s="19" t="s">
        <v>10638</v>
      </c>
      <c r="B2931" s="19">
        <v>40703</v>
      </c>
      <c r="C2931" s="20" t="s">
        <v>13397</v>
      </c>
      <c r="D2931" s="19" t="s">
        <v>31</v>
      </c>
      <c r="E2931" s="19" t="s">
        <v>10466</v>
      </c>
      <c r="F2931" s="21">
        <f t="shared" si="572"/>
        <v>13592.940000000001</v>
      </c>
      <c r="G2931" s="21">
        <f t="shared" si="572"/>
        <v>13592.940000000001</v>
      </c>
      <c r="H2931" s="21">
        <f t="shared" si="572"/>
        <v>13592.940000000001</v>
      </c>
      <c r="I2931" s="24" t="str">
        <f t="shared" si="573"/>
        <v xml:space="preserve">COM VALOR</v>
      </c>
      <c r="L2931" s="36">
        <v>13592.940000000001</v>
      </c>
      <c r="M2931" s="37">
        <v>13592.940000000001</v>
      </c>
      <c r="N2931" s="36">
        <v>13592.940000000001</v>
      </c>
    </row>
    <row r="2932" ht="25.5">
      <c r="A2932" s="19" t="s">
        <v>10638</v>
      </c>
      <c r="B2932" s="19">
        <v>11616</v>
      </c>
      <c r="C2932" s="20" t="s">
        <v>13398</v>
      </c>
      <c r="D2932" s="19" t="s">
        <v>31</v>
      </c>
      <c r="E2932" s="19" t="s">
        <v>10459</v>
      </c>
      <c r="F2932" s="21">
        <f t="shared" si="572"/>
        <v>16236.139999999999</v>
      </c>
      <c r="G2932" s="21">
        <f t="shared" si="572"/>
        <v>16236.139999999999</v>
      </c>
      <c r="H2932" s="21">
        <f t="shared" si="572"/>
        <v>16236.139999999999</v>
      </c>
      <c r="I2932" s="24" t="str">
        <f t="shared" si="573"/>
        <v xml:space="preserve">COM VALOR</v>
      </c>
      <c r="L2932" s="36">
        <v>16236.139999999999</v>
      </c>
      <c r="M2932" s="37">
        <v>16236.139999999999</v>
      </c>
      <c r="N2932" s="36">
        <v>16236.139999999999</v>
      </c>
    </row>
    <row r="2933" ht="25.5">
      <c r="A2933" s="19" t="s">
        <v>10638</v>
      </c>
      <c r="B2933" s="19">
        <v>41898</v>
      </c>
      <c r="C2933" s="20" t="s">
        <v>13399</v>
      </c>
      <c r="D2933" s="19" t="s">
        <v>31</v>
      </c>
      <c r="E2933" s="19" t="s">
        <v>10459</v>
      </c>
      <c r="F2933" s="21">
        <f t="shared" si="572"/>
        <v>8018.8299999999999</v>
      </c>
      <c r="G2933" s="21">
        <f t="shared" si="572"/>
        <v>8018.8299999999999</v>
      </c>
      <c r="H2933" s="21">
        <f t="shared" si="572"/>
        <v>8018.8299999999999</v>
      </c>
      <c r="I2933" s="24" t="str">
        <f t="shared" si="573"/>
        <v xml:space="preserve">COM VALOR</v>
      </c>
      <c r="L2933" s="36">
        <v>8018.8299999999999</v>
      </c>
      <c r="M2933" s="37">
        <v>8018.8299999999999</v>
      </c>
      <c r="N2933" s="36">
        <v>8018.8299999999999</v>
      </c>
    </row>
    <row r="2934" ht="25.5">
      <c r="A2934" s="19" t="s">
        <v>10638</v>
      </c>
      <c r="B2934" s="19">
        <v>45304</v>
      </c>
      <c r="C2934" s="20" t="s">
        <v>13400</v>
      </c>
      <c r="D2934" s="19" t="s">
        <v>31</v>
      </c>
      <c r="E2934" s="19" t="s">
        <v>10459</v>
      </c>
      <c r="F2934" s="21">
        <f t="shared" si="572"/>
        <v>13794.780000000001</v>
      </c>
      <c r="G2934" s="21">
        <f t="shared" si="572"/>
        <v>13794.780000000001</v>
      </c>
      <c r="H2934" s="21">
        <f t="shared" si="572"/>
        <v>13794.780000000001</v>
      </c>
      <c r="I2934" s="24" t="str">
        <f t="shared" si="573"/>
        <v xml:space="preserve">COM VALOR</v>
      </c>
      <c r="L2934" s="36">
        <v>13794.780000000001</v>
      </c>
      <c r="M2934" s="37">
        <v>13794.780000000001</v>
      </c>
      <c r="N2934" s="36">
        <v>13794.780000000001</v>
      </c>
    </row>
    <row r="2935" ht="25.5">
      <c r="A2935" s="19" t="s">
        <v>10460</v>
      </c>
      <c r="B2935" s="19">
        <v>36141</v>
      </c>
      <c r="C2935" s="20" t="s">
        <v>13401</v>
      </c>
      <c r="D2935" s="19" t="s">
        <v>31</v>
      </c>
      <c r="E2935" s="19" t="s">
        <v>10459</v>
      </c>
      <c r="F2935" s="21">
        <f t="shared" si="572"/>
        <v>98.519999999999996</v>
      </c>
      <c r="G2935" s="21">
        <f t="shared" si="572"/>
        <v>98.519999999999996</v>
      </c>
      <c r="H2935" s="21">
        <f t="shared" si="572"/>
        <v>98.519999999999996</v>
      </c>
      <c r="I2935" s="24" t="str">
        <f t="shared" si="573"/>
        <v xml:space="preserve">COM VALOR</v>
      </c>
      <c r="L2935" s="36">
        <v>98.519999999999996</v>
      </c>
      <c r="M2935" s="37">
        <v>98.519999999999996</v>
      </c>
      <c r="N2935" s="36">
        <v>98.519999999999996</v>
      </c>
    </row>
    <row r="2936" ht="25.5">
      <c r="A2936" s="19" t="s">
        <v>10460</v>
      </c>
      <c r="B2936" s="19">
        <v>45211</v>
      </c>
      <c r="C2936" s="20" t="s">
        <v>13402</v>
      </c>
      <c r="D2936" s="19" t="s">
        <v>31</v>
      </c>
      <c r="E2936" s="19" t="s">
        <v>10459</v>
      </c>
      <c r="F2936" s="21">
        <f t="shared" si="572"/>
        <v>89.540000000000006</v>
      </c>
      <c r="G2936" s="21">
        <f t="shared" si="572"/>
        <v>89.540000000000006</v>
      </c>
      <c r="H2936" s="21">
        <f t="shared" si="572"/>
        <v>89.540000000000006</v>
      </c>
      <c r="I2936" s="24" t="str">
        <f t="shared" si="573"/>
        <v xml:space="preserve">COM VALOR</v>
      </c>
      <c r="L2936" s="36">
        <v>89.540000000000006</v>
      </c>
      <c r="M2936" s="37">
        <v>89.540000000000006</v>
      </c>
      <c r="N2936" s="36">
        <v>89.540000000000006</v>
      </c>
    </row>
    <row r="2937" ht="12.75">
      <c r="A2937" s="19" t="s">
        <v>10460</v>
      </c>
      <c r="B2937" s="19">
        <v>43651</v>
      </c>
      <c r="C2937" s="20" t="s">
        <v>13403</v>
      </c>
      <c r="D2937" s="19" t="s">
        <v>302</v>
      </c>
      <c r="E2937" s="19" t="s">
        <v>10459</v>
      </c>
      <c r="F2937" s="21">
        <f t="shared" si="572"/>
        <v>7.9100000000000001</v>
      </c>
      <c r="G2937" s="21">
        <f t="shared" si="572"/>
        <v>7.9100000000000001</v>
      </c>
      <c r="H2937" s="21">
        <f t="shared" si="572"/>
        <v>7.9100000000000001</v>
      </c>
      <c r="I2937" s="24" t="str">
        <f t="shared" si="573"/>
        <v xml:space="preserve">COM VALOR</v>
      </c>
      <c r="L2937" s="36">
        <v>7.9100000000000001</v>
      </c>
      <c r="M2937" s="37">
        <v>7.9100000000000001</v>
      </c>
      <c r="N2937" s="36">
        <v>7.9100000000000001</v>
      </c>
    </row>
    <row r="2938" ht="25.5">
      <c r="A2938" s="19" t="s">
        <v>10460</v>
      </c>
      <c r="B2938" s="19">
        <v>43626</v>
      </c>
      <c r="C2938" s="20" t="s">
        <v>13404</v>
      </c>
      <c r="D2938" s="19" t="s">
        <v>302</v>
      </c>
      <c r="E2938" s="19" t="s">
        <v>10466</v>
      </c>
      <c r="F2938" s="21">
        <f t="shared" si="572"/>
        <v>4.4000000000000004</v>
      </c>
      <c r="G2938" s="21">
        <f t="shared" si="572"/>
        <v>4.4000000000000004</v>
      </c>
      <c r="H2938" s="21">
        <f t="shared" si="572"/>
        <v>4.4000000000000004</v>
      </c>
      <c r="I2938" s="24" t="str">
        <f t="shared" si="573"/>
        <v xml:space="preserve">COM VALOR</v>
      </c>
      <c r="L2938" s="36">
        <v>4.4000000000000004</v>
      </c>
      <c r="M2938" s="37">
        <v>4.4000000000000004</v>
      </c>
      <c r="N2938" s="36">
        <v>4.4000000000000004</v>
      </c>
    </row>
    <row r="2939" ht="38.25">
      <c r="A2939" s="19" t="s">
        <v>10460</v>
      </c>
      <c r="B2939" s="19">
        <v>39434</v>
      </c>
      <c r="C2939" s="20" t="s">
        <v>13405</v>
      </c>
      <c r="D2939" s="19" t="s">
        <v>302</v>
      </c>
      <c r="E2939" s="19" t="s">
        <v>10459</v>
      </c>
      <c r="F2939" s="21">
        <f t="shared" si="572"/>
        <v>3.5499999999999998</v>
      </c>
      <c r="G2939" s="21">
        <f t="shared" si="572"/>
        <v>3.5499999999999998</v>
      </c>
      <c r="H2939" s="21">
        <f t="shared" si="572"/>
        <v>3.5499999999999998</v>
      </c>
      <c r="I2939" s="24" t="str">
        <f t="shared" si="573"/>
        <v xml:space="preserve">COM VALOR</v>
      </c>
      <c r="L2939" s="36">
        <v>3.5499999999999998</v>
      </c>
      <c r="M2939" s="37">
        <v>3.5499999999999998</v>
      </c>
      <c r="N2939" s="36">
        <v>3.5499999999999998</v>
      </c>
    </row>
    <row r="2940" ht="25.5">
      <c r="A2940" s="19" t="s">
        <v>10460</v>
      </c>
      <c r="B2940" s="19">
        <v>39433</v>
      </c>
      <c r="C2940" s="20" t="s">
        <v>13406</v>
      </c>
      <c r="D2940" s="19" t="s">
        <v>302</v>
      </c>
      <c r="E2940" s="19" t="s">
        <v>10459</v>
      </c>
      <c r="F2940" s="21">
        <f t="shared" si="572"/>
        <v>2.8199999999999998</v>
      </c>
      <c r="G2940" s="21">
        <f t="shared" si="572"/>
        <v>2.8199999999999998</v>
      </c>
      <c r="H2940" s="21">
        <f t="shared" si="572"/>
        <v>2.8199999999999998</v>
      </c>
      <c r="I2940" s="24" t="str">
        <f t="shared" si="573"/>
        <v xml:space="preserve">COM VALOR</v>
      </c>
      <c r="L2940" s="36">
        <v>2.8199999999999998</v>
      </c>
      <c r="M2940" s="37">
        <v>2.8199999999999998</v>
      </c>
      <c r="N2940" s="36">
        <v>2.8199999999999998</v>
      </c>
    </row>
    <row r="2941" ht="12.75">
      <c r="A2941" s="19" t="s">
        <v>10460</v>
      </c>
      <c r="B2941" s="19">
        <v>4049</v>
      </c>
      <c r="C2941" s="20" t="s">
        <v>13407</v>
      </c>
      <c r="D2941" s="19" t="s">
        <v>9794</v>
      </c>
      <c r="E2941" s="19" t="s">
        <v>10459</v>
      </c>
      <c r="F2941" s="21">
        <f t="shared" si="572"/>
        <v>88.310000000000002</v>
      </c>
      <c r="G2941" s="21">
        <f t="shared" si="572"/>
        <v>88.310000000000002</v>
      </c>
      <c r="H2941" s="21">
        <f t="shared" si="572"/>
        <v>88.310000000000002</v>
      </c>
      <c r="I2941" s="24" t="str">
        <f t="shared" si="573"/>
        <v xml:space="preserve">COM VALOR</v>
      </c>
      <c r="L2941" s="36">
        <v>88.310000000000002</v>
      </c>
      <c r="M2941" s="37">
        <v>88.310000000000002</v>
      </c>
      <c r="N2941" s="36">
        <v>88.310000000000002</v>
      </c>
    </row>
    <row r="2942" ht="12.75">
      <c r="A2942" s="19" t="s">
        <v>10460</v>
      </c>
      <c r="B2942" s="19">
        <v>38120</v>
      </c>
      <c r="C2942" s="20" t="s">
        <v>13408</v>
      </c>
      <c r="D2942" s="19" t="s">
        <v>302</v>
      </c>
      <c r="E2942" s="19" t="s">
        <v>10459</v>
      </c>
      <c r="F2942" s="21" t="str">
        <f t="shared" si="572"/>
        <v>VERIFICAR</v>
      </c>
      <c r="G2942" s="21" t="str">
        <f t="shared" si="572"/>
        <v>VERIFICAR</v>
      </c>
      <c r="H2942" s="21" t="str">
        <f t="shared" si="572"/>
        <v>VERIFICAR</v>
      </c>
      <c r="I2942" s="24" t="str">
        <f t="shared" si="573"/>
        <v xml:space="preserve">SEM VALOR</v>
      </c>
      <c r="L2942" s="36"/>
      <c r="M2942" s="37"/>
      <c r="N2942" s="36"/>
    </row>
    <row r="2943" ht="12.75">
      <c r="A2943" s="19" t="s">
        <v>10460</v>
      </c>
      <c r="B2943" s="19">
        <v>43652</v>
      </c>
      <c r="C2943" s="20" t="s">
        <v>13409</v>
      </c>
      <c r="D2943" s="19" t="s">
        <v>302</v>
      </c>
      <c r="E2943" s="19" t="s">
        <v>10459</v>
      </c>
      <c r="F2943" s="21">
        <f t="shared" si="572"/>
        <v>17.73</v>
      </c>
      <c r="G2943" s="21">
        <f t="shared" si="572"/>
        <v>17.73</v>
      </c>
      <c r="H2943" s="21">
        <f t="shared" si="572"/>
        <v>17.73</v>
      </c>
      <c r="I2943" s="24" t="str">
        <f t="shared" si="573"/>
        <v xml:space="preserve">COM VALOR</v>
      </c>
      <c r="L2943" s="36">
        <v>17.73</v>
      </c>
      <c r="M2943" s="37">
        <v>17.73</v>
      </c>
      <c r="N2943" s="36">
        <v>17.73</v>
      </c>
    </row>
    <row r="2944" ht="12.75">
      <c r="A2944" s="19" t="s">
        <v>10460</v>
      </c>
      <c r="B2944" s="19">
        <v>10498</v>
      </c>
      <c r="C2944" s="20" t="s">
        <v>13410</v>
      </c>
      <c r="D2944" s="19" t="s">
        <v>302</v>
      </c>
      <c r="E2944" s="19" t="s">
        <v>10459</v>
      </c>
      <c r="F2944" s="21">
        <f t="shared" si="572"/>
        <v>10.5</v>
      </c>
      <c r="G2944" s="21">
        <f t="shared" si="572"/>
        <v>10.5</v>
      </c>
      <c r="H2944" s="21">
        <f t="shared" si="572"/>
        <v>10.5</v>
      </c>
      <c r="I2944" s="24" t="str">
        <f t="shared" si="573"/>
        <v xml:space="preserve">COM VALOR</v>
      </c>
      <c r="L2944" s="36">
        <v>10.5</v>
      </c>
      <c r="M2944" s="37">
        <v>10.5</v>
      </c>
      <c r="N2944" s="36">
        <v>10.5</v>
      </c>
    </row>
    <row r="2945" ht="12.75">
      <c r="A2945" s="19" t="s">
        <v>10460</v>
      </c>
      <c r="B2945" s="19">
        <v>4823</v>
      </c>
      <c r="C2945" s="20" t="s">
        <v>13411</v>
      </c>
      <c r="D2945" s="19" t="s">
        <v>302</v>
      </c>
      <c r="E2945" s="19" t="s">
        <v>10459</v>
      </c>
      <c r="F2945" s="21">
        <f t="shared" si="572"/>
        <v>38.18</v>
      </c>
      <c r="G2945" s="21">
        <f t="shared" si="572"/>
        <v>38.18</v>
      </c>
      <c r="H2945" s="21">
        <f t="shared" si="572"/>
        <v>38.18</v>
      </c>
      <c r="I2945" s="24" t="str">
        <f t="shared" si="573"/>
        <v xml:space="preserve">COM VALOR</v>
      </c>
      <c r="L2945" s="36">
        <v>38.18</v>
      </c>
      <c r="M2945" s="37">
        <v>38.18</v>
      </c>
      <c r="N2945" s="36">
        <v>38.18</v>
      </c>
    </row>
    <row r="2946" ht="25.5">
      <c r="A2946" s="19" t="s">
        <v>10460</v>
      </c>
      <c r="B2946" s="19">
        <v>38877</v>
      </c>
      <c r="C2946" s="20" t="s">
        <v>13412</v>
      </c>
      <c r="D2946" s="19" t="s">
        <v>302</v>
      </c>
      <c r="E2946" s="19" t="s">
        <v>10459</v>
      </c>
      <c r="F2946" s="21">
        <f t="shared" si="572"/>
        <v>7.4000000000000004</v>
      </c>
      <c r="G2946" s="21">
        <f t="shared" si="572"/>
        <v>7.4000000000000004</v>
      </c>
      <c r="H2946" s="21">
        <f t="shared" si="572"/>
        <v>7.4000000000000004</v>
      </c>
      <c r="I2946" s="24" t="str">
        <f t="shared" si="573"/>
        <v xml:space="preserve">COM VALOR</v>
      </c>
      <c r="L2946" s="36">
        <v>7.4000000000000004</v>
      </c>
      <c r="M2946" s="37">
        <v>7.4000000000000004</v>
      </c>
      <c r="N2946" s="36">
        <v>7.4000000000000004</v>
      </c>
    </row>
    <row r="2947" ht="25.5">
      <c r="A2947" s="19" t="s">
        <v>10460</v>
      </c>
      <c r="B2947" s="19">
        <v>34546</v>
      </c>
      <c r="C2947" s="20" t="s">
        <v>13413</v>
      </c>
      <c r="D2947" s="19" t="s">
        <v>302</v>
      </c>
      <c r="E2947" s="19" t="s">
        <v>10459</v>
      </c>
      <c r="F2947" s="21">
        <f t="shared" si="572"/>
        <v>7.6100000000000003</v>
      </c>
      <c r="G2947" s="21">
        <f t="shared" si="572"/>
        <v>7.6100000000000003</v>
      </c>
      <c r="H2947" s="21">
        <f t="shared" si="572"/>
        <v>7.6100000000000003</v>
      </c>
      <c r="I2947" s="24" t="str">
        <f t="shared" si="573"/>
        <v xml:space="preserve">COM VALOR</v>
      </c>
      <c r="L2947" s="36">
        <v>7.6100000000000003</v>
      </c>
      <c r="M2947" s="37">
        <v>7.6100000000000003</v>
      </c>
      <c r="N2947" s="36">
        <v>7.6100000000000003</v>
      </c>
    </row>
    <row r="2948" ht="12.75">
      <c r="A2948" s="19" t="s">
        <v>10460</v>
      </c>
      <c r="B2948" s="19">
        <v>41387</v>
      </c>
      <c r="C2948" s="20" t="s">
        <v>13414</v>
      </c>
      <c r="D2948" s="19" t="s">
        <v>38</v>
      </c>
      <c r="E2948" s="19" t="s">
        <v>10459</v>
      </c>
      <c r="F2948" s="21">
        <f t="shared" si="572"/>
        <v>58.700000000000003</v>
      </c>
      <c r="G2948" s="21">
        <f t="shared" si="572"/>
        <v>58.700000000000003</v>
      </c>
      <c r="H2948" s="21">
        <f t="shared" si="572"/>
        <v>58.700000000000003</v>
      </c>
      <c r="I2948" s="24" t="str">
        <f t="shared" si="573"/>
        <v xml:space="preserve">COM VALOR</v>
      </c>
      <c r="L2948" s="36">
        <v>58.700000000000003</v>
      </c>
      <c r="M2948" s="37">
        <v>58.700000000000003</v>
      </c>
      <c r="N2948" s="36">
        <v>58.700000000000003</v>
      </c>
    </row>
    <row r="2949" ht="12.75">
      <c r="A2949" s="19" t="s">
        <v>10460</v>
      </c>
      <c r="B2949" s="19">
        <v>41388</v>
      </c>
      <c r="C2949" s="20" t="s">
        <v>13415</v>
      </c>
      <c r="D2949" s="19" t="s">
        <v>38</v>
      </c>
      <c r="E2949" s="19" t="s">
        <v>10459</v>
      </c>
      <c r="F2949" s="21">
        <f t="shared" si="572"/>
        <v>70.430000000000007</v>
      </c>
      <c r="G2949" s="21">
        <f t="shared" si="572"/>
        <v>70.430000000000007</v>
      </c>
      <c r="H2949" s="21">
        <f t="shared" si="572"/>
        <v>70.430000000000007</v>
      </c>
      <c r="I2949" s="24" t="str">
        <f t="shared" si="573"/>
        <v xml:space="preserve">COM VALOR</v>
      </c>
      <c r="L2949" s="36">
        <v>70.430000000000007</v>
      </c>
      <c r="M2949" s="37">
        <v>70.430000000000007</v>
      </c>
      <c r="N2949" s="36">
        <v>70.430000000000007</v>
      </c>
    </row>
    <row r="2950" ht="25.5">
      <c r="A2950" s="19" t="s">
        <v>10460</v>
      </c>
      <c r="B2950" s="19">
        <v>41380</v>
      </c>
      <c r="C2950" s="20" t="s">
        <v>13416</v>
      </c>
      <c r="D2950" s="19" t="s">
        <v>31</v>
      </c>
      <c r="E2950" s="19" t="s">
        <v>10459</v>
      </c>
      <c r="F2950" s="21">
        <f t="shared" si="572"/>
        <v>468.58999999999997</v>
      </c>
      <c r="G2950" s="21">
        <f t="shared" si="572"/>
        <v>468.58999999999997</v>
      </c>
      <c r="H2950" s="21">
        <f t="shared" si="572"/>
        <v>468.58999999999997</v>
      </c>
      <c r="I2950" s="24" t="str">
        <f t="shared" si="573"/>
        <v xml:space="preserve">COM VALOR</v>
      </c>
      <c r="L2950" s="36">
        <v>468.58999999999997</v>
      </c>
      <c r="M2950" s="37">
        <v>468.58999999999997</v>
      </c>
      <c r="N2950" s="36">
        <v>468.58999999999997</v>
      </c>
    </row>
    <row r="2951" ht="25.5">
      <c r="A2951" s="19" t="s">
        <v>10460</v>
      </c>
      <c r="B2951" s="19">
        <v>41381</v>
      </c>
      <c r="C2951" s="20" t="s">
        <v>13417</v>
      </c>
      <c r="D2951" s="19" t="s">
        <v>31</v>
      </c>
      <c r="E2951" s="19" t="s">
        <v>10459</v>
      </c>
      <c r="F2951" s="21">
        <f t="shared" si="572"/>
        <v>490.91000000000003</v>
      </c>
      <c r="G2951" s="21">
        <f t="shared" si="572"/>
        <v>490.91000000000003</v>
      </c>
      <c r="H2951" s="21">
        <f t="shared" si="572"/>
        <v>490.91000000000003</v>
      </c>
      <c r="I2951" s="24" t="str">
        <f t="shared" si="573"/>
        <v xml:space="preserve">COM VALOR</v>
      </c>
      <c r="L2951" s="36">
        <v>490.91000000000003</v>
      </c>
      <c r="M2951" s="37">
        <v>490.91000000000003</v>
      </c>
      <c r="N2951" s="36">
        <v>490.91000000000003</v>
      </c>
    </row>
    <row r="2952" ht="25.5">
      <c r="A2952" s="19" t="s">
        <v>10460</v>
      </c>
      <c r="B2952" s="19">
        <v>41382</v>
      </c>
      <c r="C2952" s="20" t="s">
        <v>13418</v>
      </c>
      <c r="D2952" s="19" t="s">
        <v>31</v>
      </c>
      <c r="E2952" s="19" t="s">
        <v>10459</v>
      </c>
      <c r="F2952" s="21">
        <f t="shared" si="572"/>
        <v>475.17000000000002</v>
      </c>
      <c r="G2952" s="21">
        <f t="shared" si="572"/>
        <v>475.17000000000002</v>
      </c>
      <c r="H2952" s="21">
        <f t="shared" si="572"/>
        <v>475.17000000000002</v>
      </c>
      <c r="I2952" s="24" t="str">
        <f t="shared" si="573"/>
        <v xml:space="preserve">COM VALOR</v>
      </c>
      <c r="L2952" s="36">
        <v>475.17000000000002</v>
      </c>
      <c r="M2952" s="37">
        <v>475.17000000000002</v>
      </c>
      <c r="N2952" s="36">
        <v>475.17000000000002</v>
      </c>
    </row>
    <row r="2953" ht="25.5">
      <c r="A2953" s="19" t="s">
        <v>10460</v>
      </c>
      <c r="B2953" s="19">
        <v>41383</v>
      </c>
      <c r="C2953" s="20" t="s">
        <v>13419</v>
      </c>
      <c r="D2953" s="19" t="s">
        <v>31</v>
      </c>
      <c r="E2953" s="19" t="s">
        <v>10459</v>
      </c>
      <c r="F2953" s="21">
        <f t="shared" si="572"/>
        <v>644.95000000000005</v>
      </c>
      <c r="G2953" s="21">
        <f t="shared" si="572"/>
        <v>644.95000000000005</v>
      </c>
      <c r="H2953" s="21">
        <f t="shared" si="572"/>
        <v>644.95000000000005</v>
      </c>
      <c r="I2953" s="24" t="str">
        <f t="shared" si="573"/>
        <v xml:space="preserve">COM VALOR</v>
      </c>
      <c r="L2953" s="36">
        <v>644.95000000000005</v>
      </c>
      <c r="M2953" s="37">
        <v>644.95000000000005</v>
      </c>
      <c r="N2953" s="36">
        <v>644.95000000000005</v>
      </c>
    </row>
    <row r="2954" ht="25.5">
      <c r="A2954" s="19" t="s">
        <v>10460</v>
      </c>
      <c r="B2954" s="19">
        <v>41385</v>
      </c>
      <c r="C2954" s="20" t="s">
        <v>13420</v>
      </c>
      <c r="D2954" s="19" t="s">
        <v>31</v>
      </c>
      <c r="E2954" s="19" t="s">
        <v>10459</v>
      </c>
      <c r="F2954" s="21">
        <f t="shared" si="572"/>
        <v>802.54999999999995</v>
      </c>
      <c r="G2954" s="21">
        <f t="shared" si="572"/>
        <v>802.54999999999995</v>
      </c>
      <c r="H2954" s="21">
        <f t="shared" si="572"/>
        <v>802.54999999999995</v>
      </c>
      <c r="I2954" s="24" t="str">
        <f t="shared" si="573"/>
        <v xml:space="preserve">COM VALOR</v>
      </c>
      <c r="L2954" s="36">
        <v>802.54999999999995</v>
      </c>
      <c r="M2954" s="37">
        <v>802.54999999999995</v>
      </c>
      <c r="N2954" s="36">
        <v>802.54999999999995</v>
      </c>
    </row>
    <row r="2955" ht="12.75">
      <c r="A2955" s="19" t="s">
        <v>10604</v>
      </c>
      <c r="B2955" s="19">
        <v>4058</v>
      </c>
      <c r="C2955" s="20" t="s">
        <v>13421</v>
      </c>
      <c r="D2955" s="19" t="s">
        <v>2032</v>
      </c>
      <c r="E2955" s="19" t="s">
        <v>10459</v>
      </c>
      <c r="F2955" s="21">
        <f t="shared" ref="F2955:H3018" si="574">IF(L2955=0,"VERIFICAR",L2955)</f>
        <v>33.729999999999997</v>
      </c>
      <c r="G2955" s="21">
        <f t="shared" si="574"/>
        <v>33.729999999999997</v>
      </c>
      <c r="H2955" s="21">
        <f t="shared" si="574"/>
        <v>33.729999999999997</v>
      </c>
      <c r="I2955" s="24" t="str">
        <f t="shared" ref="I2955:I3018" si="575">IF(OR(L2955=0,M2955=0,N2955=0),"SEM VALOR","COM VALOR")</f>
        <v xml:space="preserve">COM VALOR</v>
      </c>
      <c r="L2955" s="36">
        <v>33.729999999999997</v>
      </c>
      <c r="M2955" s="37">
        <v>33.729999999999997</v>
      </c>
      <c r="N2955" s="36">
        <v>33.729999999999997</v>
      </c>
    </row>
    <row r="2956" ht="12.75">
      <c r="A2956" s="19" t="s">
        <v>10604</v>
      </c>
      <c r="B2956" s="19">
        <v>40974</v>
      </c>
      <c r="C2956" s="20" t="s">
        <v>13422</v>
      </c>
      <c r="D2956" s="19" t="s">
        <v>7087</v>
      </c>
      <c r="E2956" s="19" t="s">
        <v>10459</v>
      </c>
      <c r="F2956" s="21">
        <f t="shared" si="574"/>
        <v>5906.4099999999999</v>
      </c>
      <c r="G2956" s="21">
        <f t="shared" si="574"/>
        <v>5906.4099999999999</v>
      </c>
      <c r="H2956" s="21">
        <f t="shared" si="574"/>
        <v>5906.4099999999999</v>
      </c>
      <c r="I2956" s="24" t="str">
        <f t="shared" si="575"/>
        <v xml:space="preserve">COM VALOR</v>
      </c>
      <c r="L2956" s="36">
        <v>5906.4099999999999</v>
      </c>
      <c r="M2956" s="37">
        <v>5906.4099999999999</v>
      </c>
      <c r="N2956" s="36">
        <v>5906.4099999999999</v>
      </c>
    </row>
    <row r="2957" ht="12.75">
      <c r="A2957" s="19" t="s">
        <v>10604</v>
      </c>
      <c r="B2957" s="19">
        <v>34794</v>
      </c>
      <c r="C2957" s="20" t="s">
        <v>13423</v>
      </c>
      <c r="D2957" s="19" t="s">
        <v>2032</v>
      </c>
      <c r="E2957" s="19" t="s">
        <v>10459</v>
      </c>
      <c r="F2957" s="21">
        <f t="shared" si="574"/>
        <v>23.940000000000001</v>
      </c>
      <c r="G2957" s="21">
        <f t="shared" si="574"/>
        <v>23.940000000000001</v>
      </c>
      <c r="H2957" s="21">
        <f t="shared" si="574"/>
        <v>23.940000000000001</v>
      </c>
      <c r="I2957" s="24" t="str">
        <f t="shared" si="575"/>
        <v xml:space="preserve">COM VALOR</v>
      </c>
      <c r="L2957" s="36">
        <v>23.940000000000001</v>
      </c>
      <c r="M2957" s="37">
        <v>23.940000000000001</v>
      </c>
      <c r="N2957" s="36">
        <v>23.940000000000001</v>
      </c>
    </row>
    <row r="2958" ht="12.75">
      <c r="A2958" s="19" t="s">
        <v>10604</v>
      </c>
      <c r="B2958" s="19">
        <v>40925</v>
      </c>
      <c r="C2958" s="20" t="s">
        <v>13424</v>
      </c>
      <c r="D2958" s="19" t="s">
        <v>7087</v>
      </c>
      <c r="E2958" s="19" t="s">
        <v>10459</v>
      </c>
      <c r="F2958" s="21">
        <f t="shared" si="574"/>
        <v>4191.6400000000003</v>
      </c>
      <c r="G2958" s="21">
        <f t="shared" si="574"/>
        <v>4191.6400000000003</v>
      </c>
      <c r="H2958" s="21">
        <f t="shared" si="574"/>
        <v>4191.6400000000003</v>
      </c>
      <c r="I2958" s="24" t="str">
        <f t="shared" si="575"/>
        <v xml:space="preserve">COM VALOR</v>
      </c>
      <c r="L2958" s="36">
        <v>4191.6400000000003</v>
      </c>
      <c r="M2958" s="37">
        <v>4191.6400000000003</v>
      </c>
      <c r="N2958" s="36">
        <v>4191.6400000000003</v>
      </c>
    </row>
    <row r="2959" ht="25.5">
      <c r="A2959" s="19" t="s">
        <v>10460</v>
      </c>
      <c r="B2959" s="19">
        <v>13741</v>
      </c>
      <c r="C2959" s="20" t="s">
        <v>13425</v>
      </c>
      <c r="D2959" s="19" t="s">
        <v>31</v>
      </c>
      <c r="E2959" s="19" t="s">
        <v>10459</v>
      </c>
      <c r="F2959" s="21">
        <f t="shared" si="574"/>
        <v>3251</v>
      </c>
      <c r="G2959" s="21">
        <f t="shared" si="574"/>
        <v>3251</v>
      </c>
      <c r="H2959" s="21">
        <f t="shared" si="574"/>
        <v>3251</v>
      </c>
      <c r="I2959" s="24" t="str">
        <f t="shared" si="575"/>
        <v xml:space="preserve">COM VALOR</v>
      </c>
      <c r="L2959" s="36">
        <v>3251</v>
      </c>
      <c r="M2959" s="37">
        <v>3251</v>
      </c>
      <c r="N2959" s="36">
        <v>3251</v>
      </c>
    </row>
    <row r="2960" ht="25.5">
      <c r="A2960" s="19" t="s">
        <v>10460</v>
      </c>
      <c r="B2960" s="19">
        <v>3288</v>
      </c>
      <c r="C2960" s="20" t="s">
        <v>13426</v>
      </c>
      <c r="D2960" s="19" t="s">
        <v>38</v>
      </c>
      <c r="E2960" s="19" t="s">
        <v>10466</v>
      </c>
      <c r="F2960" s="21">
        <f t="shared" si="574"/>
        <v>7.5</v>
      </c>
      <c r="G2960" s="21">
        <f t="shared" si="574"/>
        <v>7.5</v>
      </c>
      <c r="H2960" s="21">
        <f t="shared" si="574"/>
        <v>7.5</v>
      </c>
      <c r="I2960" s="24" t="str">
        <f t="shared" si="575"/>
        <v xml:space="preserve">COM VALOR</v>
      </c>
      <c r="L2960" s="36">
        <v>7.5</v>
      </c>
      <c r="M2960" s="37">
        <v>7.5</v>
      </c>
      <c r="N2960" s="36">
        <v>7.5</v>
      </c>
    </row>
    <row r="2961" ht="25.5">
      <c r="A2961" s="19" t="s">
        <v>10460</v>
      </c>
      <c r="B2961" s="19">
        <v>13587</v>
      </c>
      <c r="C2961" s="20" t="s">
        <v>13427</v>
      </c>
      <c r="D2961" s="19" t="s">
        <v>38</v>
      </c>
      <c r="E2961" s="19" t="s">
        <v>10459</v>
      </c>
      <c r="F2961" s="21">
        <f t="shared" si="574"/>
        <v>4.5300000000000002</v>
      </c>
      <c r="G2961" s="21">
        <f t="shared" si="574"/>
        <v>4.5300000000000002</v>
      </c>
      <c r="H2961" s="21">
        <f t="shared" si="574"/>
        <v>4.5300000000000002</v>
      </c>
      <c r="I2961" s="24" t="str">
        <f t="shared" si="575"/>
        <v xml:space="preserve">COM VALOR</v>
      </c>
      <c r="L2961" s="36">
        <v>4.5300000000000002</v>
      </c>
      <c r="M2961" s="37">
        <v>4.5300000000000002</v>
      </c>
      <c r="N2961" s="36">
        <v>4.5300000000000002</v>
      </c>
    </row>
    <row r="2962" ht="25.5">
      <c r="A2962" s="19" t="s">
        <v>10460</v>
      </c>
      <c r="B2962" s="19">
        <v>38598</v>
      </c>
      <c r="C2962" s="20" t="s">
        <v>13428</v>
      </c>
      <c r="D2962" s="19" t="s">
        <v>31</v>
      </c>
      <c r="E2962" s="19" t="s">
        <v>10459</v>
      </c>
      <c r="F2962" s="21">
        <f t="shared" si="574"/>
        <v>4.0800000000000001</v>
      </c>
      <c r="G2962" s="21">
        <f t="shared" si="574"/>
        <v>4.0800000000000001</v>
      </c>
      <c r="H2962" s="21">
        <f t="shared" si="574"/>
        <v>4.0800000000000001</v>
      </c>
      <c r="I2962" s="24" t="str">
        <f t="shared" si="575"/>
        <v xml:space="preserve">COM VALOR</v>
      </c>
      <c r="L2962" s="36">
        <v>4.0800000000000001</v>
      </c>
      <c r="M2962" s="37">
        <v>4.0800000000000001</v>
      </c>
      <c r="N2962" s="36">
        <v>4.0800000000000001</v>
      </c>
    </row>
    <row r="2963" ht="25.5">
      <c r="A2963" s="19" t="s">
        <v>10460</v>
      </c>
      <c r="B2963" s="19">
        <v>38595</v>
      </c>
      <c r="C2963" s="20" t="s">
        <v>13429</v>
      </c>
      <c r="D2963" s="19" t="s">
        <v>31</v>
      </c>
      <c r="E2963" s="19" t="s">
        <v>10459</v>
      </c>
      <c r="F2963" s="21">
        <f t="shared" si="574"/>
        <v>3.46</v>
      </c>
      <c r="G2963" s="21">
        <f t="shared" si="574"/>
        <v>3.46</v>
      </c>
      <c r="H2963" s="21">
        <f t="shared" si="574"/>
        <v>3.46</v>
      </c>
      <c r="I2963" s="24" t="str">
        <f t="shared" si="575"/>
        <v xml:space="preserve">COM VALOR</v>
      </c>
      <c r="L2963" s="36">
        <v>3.46</v>
      </c>
      <c r="M2963" s="37">
        <v>3.46</v>
      </c>
      <c r="N2963" s="36">
        <v>3.46</v>
      </c>
    </row>
    <row r="2964" ht="25.5">
      <c r="A2964" s="19" t="s">
        <v>10460</v>
      </c>
      <c r="B2964" s="19">
        <v>38592</v>
      </c>
      <c r="C2964" s="20" t="s">
        <v>13430</v>
      </c>
      <c r="D2964" s="19" t="s">
        <v>31</v>
      </c>
      <c r="E2964" s="19" t="s">
        <v>10459</v>
      </c>
      <c r="F2964" s="21">
        <f t="shared" si="574"/>
        <v>3.5</v>
      </c>
      <c r="G2964" s="21">
        <f t="shared" si="574"/>
        <v>3.5</v>
      </c>
      <c r="H2964" s="21">
        <f t="shared" si="574"/>
        <v>3.5</v>
      </c>
      <c r="I2964" s="24" t="str">
        <f t="shared" si="575"/>
        <v xml:space="preserve">COM VALOR</v>
      </c>
      <c r="L2964" s="36">
        <v>3.5</v>
      </c>
      <c r="M2964" s="37">
        <v>3.5</v>
      </c>
      <c r="N2964" s="36">
        <v>3.5</v>
      </c>
    </row>
    <row r="2965" ht="25.5">
      <c r="A2965" s="19" t="s">
        <v>10460</v>
      </c>
      <c r="B2965" s="19">
        <v>38588</v>
      </c>
      <c r="C2965" s="20" t="s">
        <v>13431</v>
      </c>
      <c r="D2965" s="19" t="s">
        <v>31</v>
      </c>
      <c r="E2965" s="19" t="s">
        <v>10459</v>
      </c>
      <c r="F2965" s="21">
        <f t="shared" si="574"/>
        <v>2.7999999999999998</v>
      </c>
      <c r="G2965" s="21">
        <f t="shared" si="574"/>
        <v>2.7999999999999998</v>
      </c>
      <c r="H2965" s="21">
        <f t="shared" si="574"/>
        <v>2.7999999999999998</v>
      </c>
      <c r="I2965" s="24" t="str">
        <f t="shared" si="575"/>
        <v xml:space="preserve">COM VALOR</v>
      </c>
      <c r="L2965" s="36">
        <v>2.7999999999999998</v>
      </c>
      <c r="M2965" s="37">
        <v>2.7999999999999998</v>
      </c>
      <c r="N2965" s="36">
        <v>2.7999999999999998</v>
      </c>
    </row>
    <row r="2966" ht="25.5">
      <c r="A2966" s="19" t="s">
        <v>10460</v>
      </c>
      <c r="B2966" s="19">
        <v>38593</v>
      </c>
      <c r="C2966" s="20" t="s">
        <v>13432</v>
      </c>
      <c r="D2966" s="19" t="s">
        <v>31</v>
      </c>
      <c r="E2966" s="19" t="s">
        <v>10459</v>
      </c>
      <c r="F2966" s="21">
        <f t="shared" si="574"/>
        <v>3.8599999999999999</v>
      </c>
      <c r="G2966" s="21">
        <f t="shared" si="574"/>
        <v>3.8599999999999999</v>
      </c>
      <c r="H2966" s="21">
        <f t="shared" si="574"/>
        <v>3.8599999999999999</v>
      </c>
      <c r="I2966" s="24" t="str">
        <f t="shared" si="575"/>
        <v xml:space="preserve">COM VALOR</v>
      </c>
      <c r="L2966" s="36">
        <v>3.8599999999999999</v>
      </c>
      <c r="M2966" s="37">
        <v>3.8599999999999999</v>
      </c>
      <c r="N2966" s="36">
        <v>3.8599999999999999</v>
      </c>
    </row>
    <row r="2967" ht="25.5">
      <c r="A2967" s="19" t="s">
        <v>10460</v>
      </c>
      <c r="B2967" s="19">
        <v>38589</v>
      </c>
      <c r="C2967" s="20" t="s">
        <v>13433</v>
      </c>
      <c r="D2967" s="19" t="s">
        <v>31</v>
      </c>
      <c r="E2967" s="19" t="s">
        <v>10459</v>
      </c>
      <c r="F2967" s="21">
        <f t="shared" si="574"/>
        <v>2.9300000000000002</v>
      </c>
      <c r="G2967" s="21">
        <f t="shared" si="574"/>
        <v>2.9300000000000002</v>
      </c>
      <c r="H2967" s="21">
        <f t="shared" si="574"/>
        <v>2.9300000000000002</v>
      </c>
      <c r="I2967" s="24" t="str">
        <f t="shared" si="575"/>
        <v xml:space="preserve">COM VALOR</v>
      </c>
      <c r="L2967" s="36">
        <v>2.9300000000000002</v>
      </c>
      <c r="M2967" s="37">
        <v>2.9300000000000002</v>
      </c>
      <c r="N2967" s="36">
        <v>2.9300000000000002</v>
      </c>
    </row>
    <row r="2968" ht="25.5">
      <c r="A2968" s="19" t="s">
        <v>10460</v>
      </c>
      <c r="B2968" s="19">
        <v>38594</v>
      </c>
      <c r="C2968" s="20" t="s">
        <v>13434</v>
      </c>
      <c r="D2968" s="19" t="s">
        <v>31</v>
      </c>
      <c r="E2968" s="19" t="s">
        <v>10459</v>
      </c>
      <c r="F2968" s="21">
        <f t="shared" si="574"/>
        <v>6.0899999999999999</v>
      </c>
      <c r="G2968" s="21">
        <f t="shared" si="574"/>
        <v>6.0899999999999999</v>
      </c>
      <c r="H2968" s="21">
        <f t="shared" si="574"/>
        <v>6.0899999999999999</v>
      </c>
      <c r="I2968" s="24" t="str">
        <f t="shared" si="575"/>
        <v xml:space="preserve">COM VALOR</v>
      </c>
      <c r="L2968" s="36">
        <v>6.0899999999999999</v>
      </c>
      <c r="M2968" s="37">
        <v>6.0899999999999999</v>
      </c>
      <c r="N2968" s="36">
        <v>6.0899999999999999</v>
      </c>
    </row>
    <row r="2969" ht="25.5">
      <c r="A2969" s="19" t="s">
        <v>10460</v>
      </c>
      <c r="B2969" s="19">
        <v>34774</v>
      </c>
      <c r="C2969" s="20" t="s">
        <v>13435</v>
      </c>
      <c r="D2969" s="19" t="s">
        <v>31</v>
      </c>
      <c r="E2969" s="19" t="s">
        <v>10459</v>
      </c>
      <c r="F2969" s="21">
        <f t="shared" si="574"/>
        <v>2.7400000000000002</v>
      </c>
      <c r="G2969" s="21">
        <f t="shared" si="574"/>
        <v>2.7400000000000002</v>
      </c>
      <c r="H2969" s="21">
        <f t="shared" si="574"/>
        <v>2.7400000000000002</v>
      </c>
      <c r="I2969" s="24" t="str">
        <f t="shared" si="575"/>
        <v xml:space="preserve">COM VALOR</v>
      </c>
      <c r="L2969" s="36">
        <v>2.7400000000000002</v>
      </c>
      <c r="M2969" s="37">
        <v>2.7400000000000002</v>
      </c>
      <c r="N2969" s="36">
        <v>2.7400000000000002</v>
      </c>
    </row>
    <row r="2970" ht="25.5">
      <c r="A2970" s="19" t="s">
        <v>10460</v>
      </c>
      <c r="B2970" s="19">
        <v>34771</v>
      </c>
      <c r="C2970" s="20" t="s">
        <v>13436</v>
      </c>
      <c r="D2970" s="19" t="s">
        <v>31</v>
      </c>
      <c r="E2970" s="19" t="s">
        <v>10459</v>
      </c>
      <c r="F2970" s="21">
        <f t="shared" si="574"/>
        <v>3.2999999999999998</v>
      </c>
      <c r="G2970" s="21">
        <f t="shared" si="574"/>
        <v>3.2999999999999998</v>
      </c>
      <c r="H2970" s="21">
        <f t="shared" si="574"/>
        <v>3.2999999999999998</v>
      </c>
      <c r="I2970" s="24" t="str">
        <f t="shared" si="575"/>
        <v xml:space="preserve">COM VALOR</v>
      </c>
      <c r="L2970" s="36">
        <v>3.2999999999999998</v>
      </c>
      <c r="M2970" s="37">
        <v>3.2999999999999998</v>
      </c>
      <c r="N2970" s="36">
        <v>3.2999999999999998</v>
      </c>
    </row>
    <row r="2971" ht="25.5">
      <c r="A2971" s="19" t="s">
        <v>10460</v>
      </c>
      <c r="B2971" s="19">
        <v>34764</v>
      </c>
      <c r="C2971" s="20" t="s">
        <v>13437</v>
      </c>
      <c r="D2971" s="19" t="s">
        <v>31</v>
      </c>
      <c r="E2971" s="19" t="s">
        <v>10459</v>
      </c>
      <c r="F2971" s="21">
        <f t="shared" si="574"/>
        <v>2.1600000000000001</v>
      </c>
      <c r="G2971" s="21">
        <f t="shared" si="574"/>
        <v>2.1600000000000001</v>
      </c>
      <c r="H2971" s="21">
        <f t="shared" si="574"/>
        <v>2.1600000000000001</v>
      </c>
      <c r="I2971" s="24" t="str">
        <f t="shared" si="575"/>
        <v xml:space="preserve">COM VALOR</v>
      </c>
      <c r="L2971" s="36">
        <v>2.1600000000000001</v>
      </c>
      <c r="M2971" s="37">
        <v>2.1600000000000001</v>
      </c>
      <c r="N2971" s="36">
        <v>2.1600000000000001</v>
      </c>
    </row>
    <row r="2972" ht="25.5">
      <c r="A2972" s="19" t="s">
        <v>10460</v>
      </c>
      <c r="B2972" s="19">
        <v>34773</v>
      </c>
      <c r="C2972" s="20" t="s">
        <v>13438</v>
      </c>
      <c r="D2972" s="19" t="s">
        <v>31</v>
      </c>
      <c r="E2972" s="19" t="s">
        <v>10459</v>
      </c>
      <c r="F2972" s="21">
        <f t="shared" si="574"/>
        <v>2.8799999999999999</v>
      </c>
      <c r="G2972" s="21">
        <f t="shared" si="574"/>
        <v>2.8799999999999999</v>
      </c>
      <c r="H2972" s="21">
        <f t="shared" si="574"/>
        <v>2.8799999999999999</v>
      </c>
      <c r="I2972" s="24" t="str">
        <f t="shared" si="575"/>
        <v xml:space="preserve">COM VALOR</v>
      </c>
      <c r="L2972" s="36">
        <v>2.8799999999999999</v>
      </c>
      <c r="M2972" s="37">
        <v>2.8799999999999999</v>
      </c>
      <c r="N2972" s="36">
        <v>2.8799999999999999</v>
      </c>
    </row>
    <row r="2973" ht="25.5">
      <c r="A2973" s="19" t="s">
        <v>10460</v>
      </c>
      <c r="B2973" s="19">
        <v>34769</v>
      </c>
      <c r="C2973" s="20" t="s">
        <v>13439</v>
      </c>
      <c r="D2973" s="19" t="s">
        <v>31</v>
      </c>
      <c r="E2973" s="19" t="s">
        <v>10459</v>
      </c>
      <c r="F2973" s="21">
        <f t="shared" si="574"/>
        <v>3.5699999999999998</v>
      </c>
      <c r="G2973" s="21">
        <f t="shared" si="574"/>
        <v>3.5699999999999998</v>
      </c>
      <c r="H2973" s="21">
        <f t="shared" si="574"/>
        <v>3.5699999999999998</v>
      </c>
      <c r="I2973" s="24" t="str">
        <f t="shared" si="575"/>
        <v xml:space="preserve">COM VALOR</v>
      </c>
      <c r="L2973" s="36">
        <v>3.5699999999999998</v>
      </c>
      <c r="M2973" s="37">
        <v>3.5699999999999998</v>
      </c>
      <c r="N2973" s="36">
        <v>3.5699999999999998</v>
      </c>
    </row>
    <row r="2974" ht="25.5">
      <c r="A2974" s="19" t="s">
        <v>10460</v>
      </c>
      <c r="B2974" s="19">
        <v>34763</v>
      </c>
      <c r="C2974" s="20" t="s">
        <v>13440</v>
      </c>
      <c r="D2974" s="19" t="s">
        <v>31</v>
      </c>
      <c r="E2974" s="19" t="s">
        <v>10459</v>
      </c>
      <c r="F2974" s="21">
        <f t="shared" si="574"/>
        <v>2.2000000000000002</v>
      </c>
      <c r="G2974" s="21">
        <f t="shared" si="574"/>
        <v>2.2000000000000002</v>
      </c>
      <c r="H2974" s="21">
        <f t="shared" si="574"/>
        <v>2.2000000000000002</v>
      </c>
      <c r="I2974" s="24" t="str">
        <f t="shared" si="575"/>
        <v xml:space="preserve">COM VALOR</v>
      </c>
      <c r="L2974" s="36">
        <v>2.2000000000000002</v>
      </c>
      <c r="M2974" s="37">
        <v>2.2000000000000002</v>
      </c>
      <c r="N2974" s="36">
        <v>2.2000000000000002</v>
      </c>
    </row>
    <row r="2975" ht="25.5">
      <c r="A2975" s="19" t="s">
        <v>10460</v>
      </c>
      <c r="B2975" s="19">
        <v>34788</v>
      </c>
      <c r="C2975" s="20" t="s">
        <v>13441</v>
      </c>
      <c r="D2975" s="19" t="s">
        <v>31</v>
      </c>
      <c r="E2975" s="19" t="s">
        <v>10459</v>
      </c>
      <c r="F2975" s="21">
        <f t="shared" si="574"/>
        <v>1.47</v>
      </c>
      <c r="G2975" s="21">
        <f t="shared" si="574"/>
        <v>1.47</v>
      </c>
      <c r="H2975" s="21">
        <f t="shared" si="574"/>
        <v>1.47</v>
      </c>
      <c r="I2975" s="24" t="str">
        <f t="shared" si="575"/>
        <v xml:space="preserve">COM VALOR</v>
      </c>
      <c r="L2975" s="36">
        <v>1.47</v>
      </c>
      <c r="M2975" s="37">
        <v>1.47</v>
      </c>
      <c r="N2975" s="36">
        <v>1.47</v>
      </c>
    </row>
    <row r="2976" ht="25.5">
      <c r="A2976" s="19" t="s">
        <v>10460</v>
      </c>
      <c r="B2976" s="19">
        <v>34781</v>
      </c>
      <c r="C2976" s="20" t="s">
        <v>13442</v>
      </c>
      <c r="D2976" s="19" t="s">
        <v>31</v>
      </c>
      <c r="E2976" s="19" t="s">
        <v>10459</v>
      </c>
      <c r="F2976" s="21">
        <f t="shared" si="574"/>
        <v>2.02</v>
      </c>
      <c r="G2976" s="21">
        <f t="shared" si="574"/>
        <v>2.02</v>
      </c>
      <c r="H2976" s="21">
        <f t="shared" si="574"/>
        <v>2.02</v>
      </c>
      <c r="I2976" s="24" t="str">
        <f t="shared" si="575"/>
        <v xml:space="preserve">COM VALOR</v>
      </c>
      <c r="L2976" s="36">
        <v>2.02</v>
      </c>
      <c r="M2976" s="37">
        <v>2.02</v>
      </c>
      <c r="N2976" s="36">
        <v>2.02</v>
      </c>
    </row>
    <row r="2977" ht="25.5">
      <c r="A2977" s="19" t="s">
        <v>10460</v>
      </c>
      <c r="B2977" s="19">
        <v>41682</v>
      </c>
      <c r="C2977" s="20" t="s">
        <v>13443</v>
      </c>
      <c r="D2977" s="19" t="s">
        <v>31</v>
      </c>
      <c r="E2977" s="19" t="s">
        <v>10459</v>
      </c>
      <c r="F2977" s="21">
        <f t="shared" si="574"/>
        <v>30.649999999999999</v>
      </c>
      <c r="G2977" s="21">
        <f t="shared" si="574"/>
        <v>30.649999999999999</v>
      </c>
      <c r="H2977" s="21">
        <f t="shared" si="574"/>
        <v>30.649999999999999</v>
      </c>
      <c r="I2977" s="24" t="str">
        <f t="shared" si="575"/>
        <v xml:space="preserve">COM VALOR</v>
      </c>
      <c r="L2977" s="36">
        <v>30.649999999999999</v>
      </c>
      <c r="M2977" s="37">
        <v>30.649999999999999</v>
      </c>
      <c r="N2977" s="36">
        <v>30.649999999999999</v>
      </c>
    </row>
    <row r="2978" ht="25.5">
      <c r="A2978" s="19" t="s">
        <v>10460</v>
      </c>
      <c r="B2978" s="19">
        <v>41683</v>
      </c>
      <c r="C2978" s="20" t="s">
        <v>13444</v>
      </c>
      <c r="D2978" s="19" t="s">
        <v>31</v>
      </c>
      <c r="E2978" s="19" t="s">
        <v>10459</v>
      </c>
      <c r="F2978" s="21">
        <f t="shared" si="574"/>
        <v>22.550000000000001</v>
      </c>
      <c r="G2978" s="21">
        <f t="shared" si="574"/>
        <v>22.550000000000001</v>
      </c>
      <c r="H2978" s="21">
        <f t="shared" si="574"/>
        <v>22.550000000000001</v>
      </c>
      <c r="I2978" s="24" t="str">
        <f t="shared" si="575"/>
        <v xml:space="preserve">COM VALOR</v>
      </c>
      <c r="L2978" s="36">
        <v>22.550000000000001</v>
      </c>
      <c r="M2978" s="37">
        <v>22.550000000000001</v>
      </c>
      <c r="N2978" s="36">
        <v>22.550000000000001</v>
      </c>
    </row>
    <row r="2979" ht="25.5">
      <c r="A2979" s="19" t="s">
        <v>10460</v>
      </c>
      <c r="B2979" s="19">
        <v>41680</v>
      </c>
      <c r="C2979" s="20" t="s">
        <v>13445</v>
      </c>
      <c r="D2979" s="19" t="s">
        <v>31</v>
      </c>
      <c r="E2979" s="19" t="s">
        <v>10459</v>
      </c>
      <c r="F2979" s="21">
        <f t="shared" si="574"/>
        <v>12.140000000000001</v>
      </c>
      <c r="G2979" s="21">
        <f t="shared" si="574"/>
        <v>12.140000000000001</v>
      </c>
      <c r="H2979" s="21">
        <f t="shared" si="574"/>
        <v>12.140000000000001</v>
      </c>
      <c r="I2979" s="24" t="str">
        <f t="shared" si="575"/>
        <v xml:space="preserve">COM VALOR</v>
      </c>
      <c r="L2979" s="36">
        <v>12.140000000000001</v>
      </c>
      <c r="M2979" s="37">
        <v>12.140000000000001</v>
      </c>
      <c r="N2979" s="36">
        <v>12.140000000000001</v>
      </c>
    </row>
    <row r="2980" ht="25.5">
      <c r="A2980" s="19" t="s">
        <v>10460</v>
      </c>
      <c r="B2980" s="19">
        <v>41679</v>
      </c>
      <c r="C2980" s="20" t="s">
        <v>13446</v>
      </c>
      <c r="D2980" s="19" t="s">
        <v>31</v>
      </c>
      <c r="E2980" s="19" t="s">
        <v>10459</v>
      </c>
      <c r="F2980" s="21">
        <f t="shared" si="574"/>
        <v>27.75</v>
      </c>
      <c r="G2980" s="21">
        <f t="shared" si="574"/>
        <v>27.75</v>
      </c>
      <c r="H2980" s="21">
        <f t="shared" si="574"/>
        <v>27.75</v>
      </c>
      <c r="I2980" s="24" t="str">
        <f t="shared" si="575"/>
        <v xml:space="preserve">COM VALOR</v>
      </c>
      <c r="L2980" s="36">
        <v>27.75</v>
      </c>
      <c r="M2980" s="37">
        <v>27.75</v>
      </c>
      <c r="N2980" s="36">
        <v>27.75</v>
      </c>
    </row>
    <row r="2981" ht="25.5">
      <c r="A2981" s="19" t="s">
        <v>10460</v>
      </c>
      <c r="B2981" s="19">
        <v>41681</v>
      </c>
      <c r="C2981" s="20" t="s">
        <v>13447</v>
      </c>
      <c r="D2981" s="19" t="s">
        <v>31</v>
      </c>
      <c r="E2981" s="19" t="s">
        <v>10459</v>
      </c>
      <c r="F2981" s="21">
        <f t="shared" si="574"/>
        <v>18.989999999999998</v>
      </c>
      <c r="G2981" s="21">
        <f t="shared" si="574"/>
        <v>18.989999999999998</v>
      </c>
      <c r="H2981" s="21">
        <f t="shared" si="574"/>
        <v>18.989999999999998</v>
      </c>
      <c r="I2981" s="24" t="str">
        <f t="shared" si="575"/>
        <v xml:space="preserve">COM VALOR</v>
      </c>
      <c r="L2981" s="36">
        <v>18.989999999999998</v>
      </c>
      <c r="M2981" s="37">
        <v>18.989999999999998</v>
      </c>
      <c r="N2981" s="36">
        <v>18.989999999999998</v>
      </c>
    </row>
    <row r="2982" ht="38.25">
      <c r="A2982" s="19" t="s">
        <v>10460</v>
      </c>
      <c r="B2982" s="19">
        <v>43386</v>
      </c>
      <c r="C2982" s="20" t="s">
        <v>13448</v>
      </c>
      <c r="D2982" s="19" t="s">
        <v>31</v>
      </c>
      <c r="E2982" s="19" t="s">
        <v>10459</v>
      </c>
      <c r="F2982" s="21">
        <f t="shared" si="574"/>
        <v>43.369999999999997</v>
      </c>
      <c r="G2982" s="21">
        <f t="shared" si="574"/>
        <v>43.369999999999997</v>
      </c>
      <c r="H2982" s="21">
        <f t="shared" si="574"/>
        <v>43.369999999999997</v>
      </c>
      <c r="I2982" s="24" t="str">
        <f t="shared" si="575"/>
        <v xml:space="preserve">COM VALOR</v>
      </c>
      <c r="L2982" s="36">
        <v>43.369999999999997</v>
      </c>
      <c r="M2982" s="37">
        <v>43.369999999999997</v>
      </c>
      <c r="N2982" s="36">
        <v>43.369999999999997</v>
      </c>
    </row>
    <row r="2983" ht="25.5">
      <c r="A2983" s="19" t="s">
        <v>10460</v>
      </c>
      <c r="B2983" s="19">
        <v>4059</v>
      </c>
      <c r="C2983" s="20" t="s">
        <v>13449</v>
      </c>
      <c r="D2983" s="19" t="s">
        <v>38</v>
      </c>
      <c r="E2983" s="19" t="s">
        <v>10459</v>
      </c>
      <c r="F2983" s="21">
        <f t="shared" si="574"/>
        <v>30.649999999999999</v>
      </c>
      <c r="G2983" s="21">
        <f t="shared" si="574"/>
        <v>30.649999999999999</v>
      </c>
      <c r="H2983" s="21">
        <f t="shared" si="574"/>
        <v>30.649999999999999</v>
      </c>
      <c r="I2983" s="24" t="str">
        <f t="shared" si="575"/>
        <v xml:space="preserve">COM VALOR</v>
      </c>
      <c r="L2983" s="36">
        <v>30.649999999999999</v>
      </c>
      <c r="M2983" s="37">
        <v>30.649999999999999</v>
      </c>
      <c r="N2983" s="36">
        <v>30.649999999999999</v>
      </c>
    </row>
    <row r="2984" ht="25.5">
      <c r="A2984" s="19" t="s">
        <v>10460</v>
      </c>
      <c r="B2984" s="19">
        <v>4062</v>
      </c>
      <c r="C2984" s="20" t="s">
        <v>13450</v>
      </c>
      <c r="D2984" s="19" t="s">
        <v>31</v>
      </c>
      <c r="E2984" s="19" t="s">
        <v>10459</v>
      </c>
      <c r="F2984" s="21">
        <f t="shared" si="574"/>
        <v>30.649999999999999</v>
      </c>
      <c r="G2984" s="21">
        <f t="shared" si="574"/>
        <v>30.649999999999999</v>
      </c>
      <c r="H2984" s="21">
        <f t="shared" si="574"/>
        <v>30.649999999999999</v>
      </c>
      <c r="I2984" s="24" t="str">
        <f t="shared" si="575"/>
        <v xml:space="preserve">COM VALOR</v>
      </c>
      <c r="L2984" s="36">
        <v>30.649999999999999</v>
      </c>
      <c r="M2984" s="37">
        <v>30.649999999999999</v>
      </c>
      <c r="N2984" s="36">
        <v>30.649999999999999</v>
      </c>
    </row>
    <row r="2985" ht="25.5">
      <c r="A2985" s="19" t="s">
        <v>10460</v>
      </c>
      <c r="B2985" s="19">
        <v>4061</v>
      </c>
      <c r="C2985" s="20" t="s">
        <v>13451</v>
      </c>
      <c r="D2985" s="19" t="s">
        <v>31</v>
      </c>
      <c r="E2985" s="19" t="s">
        <v>10459</v>
      </c>
      <c r="F2985" s="21">
        <f t="shared" si="574"/>
        <v>38.159999999999997</v>
      </c>
      <c r="G2985" s="21">
        <f t="shared" si="574"/>
        <v>38.159999999999997</v>
      </c>
      <c r="H2985" s="21">
        <f t="shared" si="574"/>
        <v>38.159999999999997</v>
      </c>
      <c r="I2985" s="24" t="str">
        <f t="shared" si="575"/>
        <v xml:space="preserve">COM VALOR</v>
      </c>
      <c r="L2985" s="36">
        <v>38.159999999999997</v>
      </c>
      <c r="M2985" s="37">
        <v>38.159999999999997</v>
      </c>
      <c r="N2985" s="36">
        <v>38.159999999999997</v>
      </c>
    </row>
    <row r="2986" ht="25.5">
      <c r="A2986" s="19" t="s">
        <v>10460</v>
      </c>
      <c r="B2986" s="19">
        <v>41315</v>
      </c>
      <c r="C2986" s="20" t="s">
        <v>13452</v>
      </c>
      <c r="D2986" s="19" t="s">
        <v>302</v>
      </c>
      <c r="E2986" s="19" t="s">
        <v>10459</v>
      </c>
      <c r="F2986" s="21">
        <f t="shared" si="574"/>
        <v>84.310000000000002</v>
      </c>
      <c r="G2986" s="21">
        <f t="shared" si="574"/>
        <v>84.310000000000002</v>
      </c>
      <c r="H2986" s="21">
        <f t="shared" si="574"/>
        <v>84.310000000000002</v>
      </c>
      <c r="I2986" s="24" t="str">
        <f t="shared" si="575"/>
        <v xml:space="preserve">COM VALOR</v>
      </c>
      <c r="L2986" s="36">
        <v>84.310000000000002</v>
      </c>
      <c r="M2986" s="37">
        <v>84.310000000000002</v>
      </c>
      <c r="N2986" s="36">
        <v>84.310000000000002</v>
      </c>
    </row>
    <row r="2987" ht="12.75">
      <c r="A2987" s="19" t="s">
        <v>10460</v>
      </c>
      <c r="B2987" s="19">
        <v>43148</v>
      </c>
      <c r="C2987" s="20" t="s">
        <v>13453</v>
      </c>
      <c r="D2987" s="19" t="s">
        <v>302</v>
      </c>
      <c r="E2987" s="19" t="s">
        <v>10459</v>
      </c>
      <c r="F2987" s="21">
        <f t="shared" si="574"/>
        <v>57.229999999999997</v>
      </c>
      <c r="G2987" s="21">
        <f t="shared" si="574"/>
        <v>57.229999999999997</v>
      </c>
      <c r="H2987" s="21">
        <f t="shared" si="574"/>
        <v>57.229999999999997</v>
      </c>
      <c r="I2987" s="24" t="str">
        <f t="shared" si="575"/>
        <v xml:space="preserve">COM VALOR</v>
      </c>
      <c r="L2987" s="36">
        <v>57.229999999999997</v>
      </c>
      <c r="M2987" s="37">
        <v>57.229999999999997</v>
      </c>
      <c r="N2987" s="36">
        <v>57.229999999999997</v>
      </c>
    </row>
    <row r="2988" ht="25.5">
      <c r="A2988" s="19" t="s">
        <v>10460</v>
      </c>
      <c r="B2988" s="19">
        <v>43147</v>
      </c>
      <c r="C2988" s="20" t="s">
        <v>13454</v>
      </c>
      <c r="D2988" s="19" t="s">
        <v>302</v>
      </c>
      <c r="E2988" s="19" t="s">
        <v>10459</v>
      </c>
      <c r="F2988" s="21">
        <f t="shared" si="574"/>
        <v>22.16</v>
      </c>
      <c r="G2988" s="21">
        <f t="shared" si="574"/>
        <v>22.16</v>
      </c>
      <c r="H2988" s="21">
        <f t="shared" si="574"/>
        <v>22.16</v>
      </c>
      <c r="I2988" s="24" t="str">
        <f t="shared" si="575"/>
        <v xml:space="preserve">COM VALOR</v>
      </c>
      <c r="L2988" s="36">
        <v>22.16</v>
      </c>
      <c r="M2988" s="37">
        <v>22.16</v>
      </c>
      <c r="N2988" s="36">
        <v>22.16</v>
      </c>
    </row>
    <row r="2989" ht="25.5">
      <c r="A2989" s="19" t="s">
        <v>10638</v>
      </c>
      <c r="B2989" s="19">
        <v>10608</v>
      </c>
      <c r="C2989" s="20" t="s">
        <v>13455</v>
      </c>
      <c r="D2989" s="19" t="s">
        <v>31</v>
      </c>
      <c r="E2989" s="19" t="s">
        <v>10466</v>
      </c>
      <c r="F2989" s="21" t="str">
        <f t="shared" si="574"/>
        <v>VERIFICAR</v>
      </c>
      <c r="G2989" s="21" t="str">
        <f t="shared" si="574"/>
        <v>VERIFICAR</v>
      </c>
      <c r="H2989" s="21" t="str">
        <f t="shared" si="574"/>
        <v>VERIFICAR</v>
      </c>
      <c r="I2989" s="24" t="str">
        <f t="shared" si="575"/>
        <v xml:space="preserve">SEM VALOR</v>
      </c>
      <c r="L2989" s="36"/>
      <c r="M2989" s="37"/>
      <c r="N2989" s="36"/>
    </row>
    <row r="2990" ht="12.75">
      <c r="A2990" s="19" t="s">
        <v>10604</v>
      </c>
      <c r="B2990" s="19">
        <v>4069</v>
      </c>
      <c r="C2990" s="20" t="s">
        <v>13456</v>
      </c>
      <c r="D2990" s="19" t="s">
        <v>2032</v>
      </c>
      <c r="E2990" s="19" t="s">
        <v>10459</v>
      </c>
      <c r="F2990" s="21">
        <f t="shared" si="574"/>
        <v>37.57</v>
      </c>
      <c r="G2990" s="21">
        <f t="shared" si="574"/>
        <v>37.57</v>
      </c>
      <c r="H2990" s="21">
        <f t="shared" si="574"/>
        <v>37.57</v>
      </c>
      <c r="I2990" s="24" t="str">
        <f t="shared" si="575"/>
        <v xml:space="preserve">COM VALOR</v>
      </c>
      <c r="L2990" s="36">
        <v>37.57</v>
      </c>
      <c r="M2990" s="37">
        <v>37.57</v>
      </c>
      <c r="N2990" s="36">
        <v>37.57</v>
      </c>
    </row>
    <row r="2991" ht="12.75">
      <c r="A2991" s="19" t="s">
        <v>10604</v>
      </c>
      <c r="B2991" s="19">
        <v>40819</v>
      </c>
      <c r="C2991" s="20" t="s">
        <v>13457</v>
      </c>
      <c r="D2991" s="19" t="s">
        <v>7087</v>
      </c>
      <c r="E2991" s="19" t="s">
        <v>10459</v>
      </c>
      <c r="F2991" s="21">
        <f t="shared" si="574"/>
        <v>6578.1800000000003</v>
      </c>
      <c r="G2991" s="21">
        <f t="shared" si="574"/>
        <v>6578.1800000000003</v>
      </c>
      <c r="H2991" s="21">
        <f t="shared" si="574"/>
        <v>6578.1800000000003</v>
      </c>
      <c r="I2991" s="24" t="str">
        <f t="shared" si="575"/>
        <v xml:space="preserve">COM VALOR</v>
      </c>
      <c r="L2991" s="36">
        <v>6578.1800000000003</v>
      </c>
      <c r="M2991" s="37">
        <v>6578.1800000000003</v>
      </c>
      <c r="N2991" s="36">
        <v>6578.1800000000003</v>
      </c>
    </row>
    <row r="2992" ht="12.75">
      <c r="A2992" s="19" t="s">
        <v>10460</v>
      </c>
      <c r="B2992" s="19">
        <v>34361</v>
      </c>
      <c r="C2992" s="20" t="s">
        <v>13458</v>
      </c>
      <c r="D2992" s="19" t="s">
        <v>302</v>
      </c>
      <c r="E2992" s="19" t="s">
        <v>10459</v>
      </c>
      <c r="F2992" s="21">
        <f t="shared" si="574"/>
        <v>16.129999999999999</v>
      </c>
      <c r="G2992" s="21">
        <f t="shared" si="574"/>
        <v>16.129999999999999</v>
      </c>
      <c r="H2992" s="21">
        <f t="shared" si="574"/>
        <v>16.129999999999999</v>
      </c>
      <c r="I2992" s="24" t="str">
        <f t="shared" si="575"/>
        <v xml:space="preserve">COM VALOR</v>
      </c>
      <c r="L2992" s="36">
        <v>16.129999999999999</v>
      </c>
      <c r="M2992" s="37">
        <v>16.129999999999999</v>
      </c>
      <c r="N2992" s="36">
        <v>16.129999999999999</v>
      </c>
    </row>
    <row r="2993" ht="25.5">
      <c r="A2993" s="19" t="s">
        <v>10460</v>
      </c>
      <c r="B2993" s="19">
        <v>44478</v>
      </c>
      <c r="C2993" s="20" t="s">
        <v>13459</v>
      </c>
      <c r="D2993" s="19" t="s">
        <v>302</v>
      </c>
      <c r="E2993" s="19" t="s">
        <v>10459</v>
      </c>
      <c r="F2993" s="21">
        <f t="shared" si="574"/>
        <v>13.74</v>
      </c>
      <c r="G2993" s="21">
        <f t="shared" si="574"/>
        <v>13.74</v>
      </c>
      <c r="H2993" s="21">
        <f t="shared" si="574"/>
        <v>13.74</v>
      </c>
      <c r="I2993" s="24" t="str">
        <f t="shared" si="575"/>
        <v xml:space="preserve">COM VALOR</v>
      </c>
      <c r="L2993" s="36">
        <v>13.74</v>
      </c>
      <c r="M2993" s="37">
        <v>13.74</v>
      </c>
      <c r="N2993" s="36">
        <v>13.74</v>
      </c>
    </row>
    <row r="2994" ht="25.5">
      <c r="A2994" s="19" t="s">
        <v>10460</v>
      </c>
      <c r="B2994" s="19">
        <v>44477</v>
      </c>
      <c r="C2994" s="20" t="s">
        <v>13460</v>
      </c>
      <c r="D2994" s="19" t="s">
        <v>302</v>
      </c>
      <c r="E2994" s="19" t="s">
        <v>10459</v>
      </c>
      <c r="F2994" s="21">
        <f t="shared" si="574"/>
        <v>13.74</v>
      </c>
      <c r="G2994" s="21">
        <f t="shared" si="574"/>
        <v>13.74</v>
      </c>
      <c r="H2994" s="21">
        <f t="shared" si="574"/>
        <v>13.74</v>
      </c>
      <c r="I2994" s="24" t="str">
        <f t="shared" si="575"/>
        <v xml:space="preserve">COM VALOR</v>
      </c>
      <c r="L2994" s="36">
        <v>13.74</v>
      </c>
      <c r="M2994" s="37">
        <v>13.74</v>
      </c>
      <c r="N2994" s="36">
        <v>13.74</v>
      </c>
    </row>
    <row r="2995" ht="25.5">
      <c r="A2995" s="19" t="s">
        <v>10460</v>
      </c>
      <c r="B2995" s="19">
        <v>11697</v>
      </c>
      <c r="C2995" s="20" t="s">
        <v>13461</v>
      </c>
      <c r="D2995" s="19" t="s">
        <v>31</v>
      </c>
      <c r="E2995" s="19" t="s">
        <v>10459</v>
      </c>
      <c r="F2995" s="21">
        <f t="shared" si="574"/>
        <v>736.99000000000001</v>
      </c>
      <c r="G2995" s="21">
        <f t="shared" si="574"/>
        <v>736.99000000000001</v>
      </c>
      <c r="H2995" s="21">
        <f t="shared" si="574"/>
        <v>736.99000000000001</v>
      </c>
      <c r="I2995" s="24" t="str">
        <f t="shared" si="575"/>
        <v xml:space="preserve">COM VALOR</v>
      </c>
      <c r="L2995" s="36">
        <v>736.99000000000001</v>
      </c>
      <c r="M2995" s="37">
        <v>736.99000000000001</v>
      </c>
      <c r="N2995" s="36">
        <v>736.99000000000001</v>
      </c>
    </row>
    <row r="2996" ht="25.5">
      <c r="A2996" s="19" t="s">
        <v>10460</v>
      </c>
      <c r="B2996" s="19">
        <v>11698</v>
      </c>
      <c r="C2996" s="20" t="s">
        <v>13462</v>
      </c>
      <c r="D2996" s="19" t="s">
        <v>31</v>
      </c>
      <c r="E2996" s="19" t="s">
        <v>10459</v>
      </c>
      <c r="F2996" s="21">
        <f t="shared" si="574"/>
        <v>879.19000000000005</v>
      </c>
      <c r="G2996" s="21">
        <f t="shared" si="574"/>
        <v>879.19000000000005</v>
      </c>
      <c r="H2996" s="21">
        <f t="shared" si="574"/>
        <v>879.19000000000005</v>
      </c>
      <c r="I2996" s="24" t="str">
        <f t="shared" si="575"/>
        <v xml:space="preserve">COM VALOR</v>
      </c>
      <c r="L2996" s="36">
        <v>879.19000000000005</v>
      </c>
      <c r="M2996" s="37">
        <v>879.19000000000005</v>
      </c>
      <c r="N2996" s="36">
        <v>879.19000000000005</v>
      </c>
    </row>
    <row r="2997" ht="25.5">
      <c r="A2997" s="19" t="s">
        <v>10460</v>
      </c>
      <c r="B2997" s="19">
        <v>11699</v>
      </c>
      <c r="C2997" s="20" t="s">
        <v>13463</v>
      </c>
      <c r="D2997" s="19" t="s">
        <v>31</v>
      </c>
      <c r="E2997" s="19" t="s">
        <v>10459</v>
      </c>
      <c r="F2997" s="21">
        <f t="shared" si="574"/>
        <v>971.71000000000004</v>
      </c>
      <c r="G2997" s="21">
        <f t="shared" si="574"/>
        <v>971.71000000000004</v>
      </c>
      <c r="H2997" s="21">
        <f t="shared" si="574"/>
        <v>971.71000000000004</v>
      </c>
      <c r="I2997" s="24" t="str">
        <f t="shared" si="575"/>
        <v xml:space="preserve">COM VALOR</v>
      </c>
      <c r="L2997" s="36">
        <v>971.71000000000004</v>
      </c>
      <c r="M2997" s="37">
        <v>971.71000000000004</v>
      </c>
      <c r="N2997" s="36">
        <v>971.71000000000004</v>
      </c>
    </row>
    <row r="2998" ht="25.5">
      <c r="A2998" s="19" t="s">
        <v>10460</v>
      </c>
      <c r="B2998" s="19">
        <v>10432</v>
      </c>
      <c r="C2998" s="20" t="s">
        <v>13464</v>
      </c>
      <c r="D2998" s="19" t="s">
        <v>31</v>
      </c>
      <c r="E2998" s="19" t="s">
        <v>10459</v>
      </c>
      <c r="F2998" s="21">
        <f t="shared" si="574"/>
        <v>464.69</v>
      </c>
      <c r="G2998" s="21">
        <f t="shared" si="574"/>
        <v>464.69</v>
      </c>
      <c r="H2998" s="21">
        <f t="shared" si="574"/>
        <v>464.69</v>
      </c>
      <c r="I2998" s="24" t="str">
        <f t="shared" si="575"/>
        <v xml:space="preserve">COM VALOR</v>
      </c>
      <c r="L2998" s="36">
        <v>464.69</v>
      </c>
      <c r="M2998" s="37">
        <v>464.69</v>
      </c>
      <c r="N2998" s="36">
        <v>464.69</v>
      </c>
    </row>
    <row r="2999" ht="25.5">
      <c r="A2999" s="19" t="s">
        <v>10460</v>
      </c>
      <c r="B2999" s="19">
        <v>44020</v>
      </c>
      <c r="C2999" s="20" t="s">
        <v>13465</v>
      </c>
      <c r="D2999" s="19" t="s">
        <v>31</v>
      </c>
      <c r="E2999" s="19" t="s">
        <v>10459</v>
      </c>
      <c r="F2999" s="21">
        <f t="shared" si="574"/>
        <v>1146.45</v>
      </c>
      <c r="G2999" s="21">
        <f t="shared" si="574"/>
        <v>1146.45</v>
      </c>
      <c r="H2999" s="21">
        <f t="shared" si="574"/>
        <v>1146.45</v>
      </c>
      <c r="I2999" s="24" t="str">
        <f t="shared" si="575"/>
        <v xml:space="preserve">COM VALOR</v>
      </c>
      <c r="L2999" s="36">
        <v>1146.45</v>
      </c>
      <c r="M2999" s="37">
        <v>1146.45</v>
      </c>
      <c r="N2999" s="36">
        <v>1146.45</v>
      </c>
    </row>
    <row r="3000" ht="25.5">
      <c r="A3000" s="19" t="s">
        <v>10460</v>
      </c>
      <c r="B3000" s="19">
        <v>41419</v>
      </c>
      <c r="C3000" s="20" t="s">
        <v>13466</v>
      </c>
      <c r="D3000" s="19" t="s">
        <v>31</v>
      </c>
      <c r="E3000" s="19" t="s">
        <v>10459</v>
      </c>
      <c r="F3000" s="21">
        <f t="shared" si="574"/>
        <v>8.7799999999999994</v>
      </c>
      <c r="G3000" s="21">
        <f t="shared" si="574"/>
        <v>8.7799999999999994</v>
      </c>
      <c r="H3000" s="21">
        <f t="shared" si="574"/>
        <v>8.7799999999999994</v>
      </c>
      <c r="I3000" s="24" t="str">
        <f t="shared" si="575"/>
        <v xml:space="preserve">COM VALOR</v>
      </c>
      <c r="L3000" s="36">
        <v>8.7799999999999994</v>
      </c>
      <c r="M3000" s="37">
        <v>8.7799999999999994</v>
      </c>
      <c r="N3000" s="36">
        <v>8.7799999999999994</v>
      </c>
    </row>
    <row r="3001" ht="25.5">
      <c r="A3001" s="19" t="s">
        <v>10460</v>
      </c>
      <c r="B3001" s="19">
        <v>41420</v>
      </c>
      <c r="C3001" s="20" t="s">
        <v>13467</v>
      </c>
      <c r="D3001" s="19" t="s">
        <v>31</v>
      </c>
      <c r="E3001" s="19" t="s">
        <v>10459</v>
      </c>
      <c r="F3001" s="21">
        <f t="shared" si="574"/>
        <v>11.949999999999999</v>
      </c>
      <c r="G3001" s="21">
        <f t="shared" si="574"/>
        <v>11.949999999999999</v>
      </c>
      <c r="H3001" s="21">
        <f t="shared" si="574"/>
        <v>11.949999999999999</v>
      </c>
      <c r="I3001" s="24" t="str">
        <f t="shared" si="575"/>
        <v xml:space="preserve">COM VALOR</v>
      </c>
      <c r="L3001" s="36">
        <v>11.949999999999999</v>
      </c>
      <c r="M3001" s="37">
        <v>11.949999999999999</v>
      </c>
      <c r="N3001" s="36">
        <v>11.949999999999999</v>
      </c>
    </row>
    <row r="3002" ht="25.5">
      <c r="A3002" s="19" t="s">
        <v>10460</v>
      </c>
      <c r="B3002" s="19">
        <v>41421</v>
      </c>
      <c r="C3002" s="20" t="s">
        <v>13468</v>
      </c>
      <c r="D3002" s="19" t="s">
        <v>31</v>
      </c>
      <c r="E3002" s="19" t="s">
        <v>10459</v>
      </c>
      <c r="F3002" s="21">
        <f t="shared" si="574"/>
        <v>11.92</v>
      </c>
      <c r="G3002" s="21">
        <f t="shared" si="574"/>
        <v>11.92</v>
      </c>
      <c r="H3002" s="21">
        <f t="shared" si="574"/>
        <v>11.92</v>
      </c>
      <c r="I3002" s="24" t="str">
        <f t="shared" si="575"/>
        <v xml:space="preserve">COM VALOR</v>
      </c>
      <c r="L3002" s="36">
        <v>11.92</v>
      </c>
      <c r="M3002" s="37">
        <v>11.92</v>
      </c>
      <c r="N3002" s="36">
        <v>11.92</v>
      </c>
    </row>
    <row r="3003" ht="25.5">
      <c r="A3003" s="19" t="s">
        <v>10460</v>
      </c>
      <c r="B3003" s="19">
        <v>41422</v>
      </c>
      <c r="C3003" s="20" t="s">
        <v>13469</v>
      </c>
      <c r="D3003" s="19" t="s">
        <v>31</v>
      </c>
      <c r="E3003" s="19" t="s">
        <v>10459</v>
      </c>
      <c r="F3003" s="21">
        <f t="shared" si="574"/>
        <v>16.309999999999999</v>
      </c>
      <c r="G3003" s="21">
        <f t="shared" si="574"/>
        <v>16.309999999999999</v>
      </c>
      <c r="H3003" s="21">
        <f t="shared" si="574"/>
        <v>16.309999999999999</v>
      </c>
      <c r="I3003" s="24" t="str">
        <f t="shared" si="575"/>
        <v xml:space="preserve">COM VALOR</v>
      </c>
      <c r="L3003" s="36">
        <v>16.309999999999999</v>
      </c>
      <c r="M3003" s="37">
        <v>16.309999999999999</v>
      </c>
      <c r="N3003" s="36">
        <v>16.309999999999999</v>
      </c>
    </row>
    <row r="3004" ht="38.25">
      <c r="A3004" s="19" t="s">
        <v>10460</v>
      </c>
      <c r="B3004" s="19">
        <v>41425</v>
      </c>
      <c r="C3004" s="20" t="s">
        <v>13470</v>
      </c>
      <c r="D3004" s="19" t="s">
        <v>31</v>
      </c>
      <c r="E3004" s="19" t="s">
        <v>10459</v>
      </c>
      <c r="F3004" s="21">
        <f t="shared" si="574"/>
        <v>8.3499999999999996</v>
      </c>
      <c r="G3004" s="21">
        <f t="shared" si="574"/>
        <v>8.3499999999999996</v>
      </c>
      <c r="H3004" s="21">
        <f t="shared" si="574"/>
        <v>8.3499999999999996</v>
      </c>
      <c r="I3004" s="24" t="str">
        <f t="shared" si="575"/>
        <v xml:space="preserve">COM VALOR</v>
      </c>
      <c r="L3004" s="36">
        <v>8.3499999999999996</v>
      </c>
      <c r="M3004" s="37">
        <v>8.3499999999999996</v>
      </c>
      <c r="N3004" s="36">
        <v>8.3499999999999996</v>
      </c>
    </row>
    <row r="3005" ht="38.25">
      <c r="A3005" s="19" t="s">
        <v>10460</v>
      </c>
      <c r="B3005" s="19">
        <v>41426</v>
      </c>
      <c r="C3005" s="20" t="s">
        <v>13471</v>
      </c>
      <c r="D3005" s="19" t="s">
        <v>31</v>
      </c>
      <c r="E3005" s="19" t="s">
        <v>10459</v>
      </c>
      <c r="F3005" s="21">
        <f t="shared" si="574"/>
        <v>15.050000000000001</v>
      </c>
      <c r="G3005" s="21">
        <f t="shared" si="574"/>
        <v>15.050000000000001</v>
      </c>
      <c r="H3005" s="21">
        <f t="shared" si="574"/>
        <v>15.050000000000001</v>
      </c>
      <c r="I3005" s="24" t="str">
        <f t="shared" si="575"/>
        <v xml:space="preserve">COM VALOR</v>
      </c>
      <c r="L3005" s="36">
        <v>15.050000000000001</v>
      </c>
      <c r="M3005" s="37">
        <v>15.050000000000001</v>
      </c>
      <c r="N3005" s="36">
        <v>15.050000000000001</v>
      </c>
    </row>
    <row r="3006" ht="25.5">
      <c r="A3006" s="19" t="s">
        <v>10460</v>
      </c>
      <c r="B3006" s="19">
        <v>41414</v>
      </c>
      <c r="C3006" s="20" t="s">
        <v>13472</v>
      </c>
      <c r="D3006" s="19" t="s">
        <v>31</v>
      </c>
      <c r="E3006" s="19" t="s">
        <v>10459</v>
      </c>
      <c r="F3006" s="21">
        <f t="shared" si="574"/>
        <v>27.629999999999999</v>
      </c>
      <c r="G3006" s="21">
        <f t="shared" si="574"/>
        <v>27.629999999999999</v>
      </c>
      <c r="H3006" s="21">
        <f t="shared" si="574"/>
        <v>27.629999999999999</v>
      </c>
      <c r="I3006" s="24" t="str">
        <f t="shared" si="575"/>
        <v xml:space="preserve">COM VALOR</v>
      </c>
      <c r="L3006" s="36">
        <v>27.629999999999999</v>
      </c>
      <c r="M3006" s="37">
        <v>27.629999999999999</v>
      </c>
      <c r="N3006" s="36">
        <v>27.629999999999999</v>
      </c>
    </row>
    <row r="3007" ht="25.5">
      <c r="A3007" s="19" t="s">
        <v>10460</v>
      </c>
      <c r="B3007" s="19">
        <v>41415</v>
      </c>
      <c r="C3007" s="20" t="s">
        <v>13473</v>
      </c>
      <c r="D3007" s="19" t="s">
        <v>31</v>
      </c>
      <c r="E3007" s="19" t="s">
        <v>10459</v>
      </c>
      <c r="F3007" s="21">
        <f t="shared" si="574"/>
        <v>32.18</v>
      </c>
      <c r="G3007" s="21">
        <f t="shared" si="574"/>
        <v>32.18</v>
      </c>
      <c r="H3007" s="21">
        <f t="shared" si="574"/>
        <v>32.18</v>
      </c>
      <c r="I3007" s="24" t="str">
        <f t="shared" si="575"/>
        <v xml:space="preserve">COM VALOR</v>
      </c>
      <c r="L3007" s="36">
        <v>32.18</v>
      </c>
      <c r="M3007" s="37">
        <v>32.18</v>
      </c>
      <c r="N3007" s="36">
        <v>32.18</v>
      </c>
    </row>
    <row r="3008" ht="25.5">
      <c r="A3008" s="19" t="s">
        <v>10638</v>
      </c>
      <c r="B3008" s="19">
        <v>37514</v>
      </c>
      <c r="C3008" s="20" t="s">
        <v>13474</v>
      </c>
      <c r="D3008" s="19" t="s">
        <v>31</v>
      </c>
      <c r="E3008" s="19" t="s">
        <v>10466</v>
      </c>
      <c r="F3008" s="21">
        <f t="shared" si="574"/>
        <v>365000</v>
      </c>
      <c r="G3008" s="21">
        <f t="shared" si="574"/>
        <v>365000</v>
      </c>
      <c r="H3008" s="21">
        <f t="shared" si="574"/>
        <v>365000</v>
      </c>
      <c r="I3008" s="24" t="str">
        <f t="shared" si="575"/>
        <v xml:space="preserve">COM VALOR</v>
      </c>
      <c r="L3008" s="36">
        <v>365000</v>
      </c>
      <c r="M3008" s="37">
        <v>365000</v>
      </c>
      <c r="N3008" s="36">
        <v>365000</v>
      </c>
    </row>
    <row r="3009" ht="25.5">
      <c r="A3009" s="19" t="s">
        <v>10638</v>
      </c>
      <c r="B3009" s="19">
        <v>37520</v>
      </c>
      <c r="C3009" s="20" t="s">
        <v>13475</v>
      </c>
      <c r="D3009" s="19" t="s">
        <v>31</v>
      </c>
      <c r="E3009" s="19" t="s">
        <v>10459</v>
      </c>
      <c r="F3009" s="21">
        <f t="shared" si="574"/>
        <v>554067.62</v>
      </c>
      <c r="G3009" s="21">
        <f t="shared" si="574"/>
        <v>554067.62</v>
      </c>
      <c r="H3009" s="21">
        <f t="shared" si="574"/>
        <v>554067.62</v>
      </c>
      <c r="I3009" s="24" t="str">
        <f t="shared" si="575"/>
        <v xml:space="preserve">COM VALOR</v>
      </c>
      <c r="L3009" s="36">
        <v>554067.62</v>
      </c>
      <c r="M3009" s="37">
        <v>554067.62</v>
      </c>
      <c r="N3009" s="36">
        <v>554067.62</v>
      </c>
    </row>
    <row r="3010" ht="38.25">
      <c r="A3010" s="19" t="s">
        <v>10638</v>
      </c>
      <c r="B3010" s="19">
        <v>37546</v>
      </c>
      <c r="C3010" s="20" t="s">
        <v>13476</v>
      </c>
      <c r="D3010" s="19" t="s">
        <v>31</v>
      </c>
      <c r="E3010" s="19" t="s">
        <v>10459</v>
      </c>
      <c r="F3010" s="21">
        <f t="shared" si="574"/>
        <v>12504.76</v>
      </c>
      <c r="G3010" s="21">
        <f t="shared" si="574"/>
        <v>12504.76</v>
      </c>
      <c r="H3010" s="21">
        <f t="shared" si="574"/>
        <v>12504.76</v>
      </c>
      <c r="I3010" s="24" t="str">
        <f t="shared" si="575"/>
        <v xml:space="preserve">COM VALOR</v>
      </c>
      <c r="L3010" s="36">
        <v>12504.76</v>
      </c>
      <c r="M3010" s="37">
        <v>12504.76</v>
      </c>
      <c r="N3010" s="36">
        <v>12504.76</v>
      </c>
    </row>
    <row r="3011" ht="38.25">
      <c r="A3011" s="19" t="s">
        <v>10638</v>
      </c>
      <c r="B3011" s="19">
        <v>37544</v>
      </c>
      <c r="C3011" s="20" t="s">
        <v>13477</v>
      </c>
      <c r="D3011" s="19" t="s">
        <v>31</v>
      </c>
      <c r="E3011" s="19" t="s">
        <v>10459</v>
      </c>
      <c r="F3011" s="21">
        <f t="shared" si="574"/>
        <v>13225.889999999999</v>
      </c>
      <c r="G3011" s="21">
        <f t="shared" si="574"/>
        <v>13225.889999999999</v>
      </c>
      <c r="H3011" s="21">
        <f t="shared" si="574"/>
        <v>13225.889999999999</v>
      </c>
      <c r="I3011" s="24" t="str">
        <f t="shared" si="575"/>
        <v xml:space="preserve">COM VALOR</v>
      </c>
      <c r="L3011" s="36">
        <v>13225.889999999999</v>
      </c>
      <c r="M3011" s="37">
        <v>13225.889999999999</v>
      </c>
      <c r="N3011" s="36">
        <v>13225.889999999999</v>
      </c>
    </row>
    <row r="3012" ht="38.25">
      <c r="A3012" s="19" t="s">
        <v>10638</v>
      </c>
      <c r="B3012" s="19">
        <v>37545</v>
      </c>
      <c r="C3012" s="20" t="s">
        <v>13478</v>
      </c>
      <c r="D3012" s="19" t="s">
        <v>31</v>
      </c>
      <c r="E3012" s="19" t="s">
        <v>10459</v>
      </c>
      <c r="F3012" s="21">
        <f t="shared" si="574"/>
        <v>15737.030000000001</v>
      </c>
      <c r="G3012" s="21">
        <f t="shared" si="574"/>
        <v>15737.030000000001</v>
      </c>
      <c r="H3012" s="21">
        <f t="shared" si="574"/>
        <v>15737.030000000001</v>
      </c>
      <c r="I3012" s="24" t="str">
        <f t="shared" si="575"/>
        <v xml:space="preserve">COM VALOR</v>
      </c>
      <c r="L3012" s="36">
        <v>15737.030000000001</v>
      </c>
      <c r="M3012" s="37">
        <v>15737.030000000001</v>
      </c>
      <c r="N3012" s="36">
        <v>15737.030000000001</v>
      </c>
    </row>
    <row r="3013" ht="25.5">
      <c r="A3013" s="19" t="s">
        <v>10460</v>
      </c>
      <c r="B3013" s="19">
        <v>36793</v>
      </c>
      <c r="C3013" s="20" t="s">
        <v>13479</v>
      </c>
      <c r="D3013" s="19" t="s">
        <v>31</v>
      </c>
      <c r="E3013" s="19" t="s">
        <v>10459</v>
      </c>
      <c r="F3013" s="21">
        <f t="shared" si="574"/>
        <v>1046.3599999999999</v>
      </c>
      <c r="G3013" s="21">
        <f t="shared" si="574"/>
        <v>1046.3599999999999</v>
      </c>
      <c r="H3013" s="21">
        <f t="shared" si="574"/>
        <v>1046.3599999999999</v>
      </c>
      <c r="I3013" s="24" t="str">
        <f t="shared" si="575"/>
        <v xml:space="preserve">COM VALOR</v>
      </c>
      <c r="L3013" s="36">
        <v>1046.3599999999999</v>
      </c>
      <c r="M3013" s="37">
        <v>1046.3599999999999</v>
      </c>
      <c r="N3013" s="36">
        <v>1046.3599999999999</v>
      </c>
    </row>
    <row r="3014" ht="25.5">
      <c r="A3014" s="19" t="s">
        <v>10460</v>
      </c>
      <c r="B3014" s="19">
        <v>11769</v>
      </c>
      <c r="C3014" s="20" t="s">
        <v>13480</v>
      </c>
      <c r="D3014" s="19" t="s">
        <v>31</v>
      </c>
      <c r="E3014" s="19" t="s">
        <v>10459</v>
      </c>
      <c r="F3014" s="21">
        <f t="shared" si="574"/>
        <v>462.41000000000003</v>
      </c>
      <c r="G3014" s="21">
        <f t="shared" si="574"/>
        <v>462.41000000000003</v>
      </c>
      <c r="H3014" s="21">
        <f t="shared" si="574"/>
        <v>462.41000000000003</v>
      </c>
      <c r="I3014" s="24" t="str">
        <f t="shared" si="575"/>
        <v xml:space="preserve">COM VALOR</v>
      </c>
      <c r="L3014" s="36">
        <v>462.41000000000003</v>
      </c>
      <c r="M3014" s="37">
        <v>462.41000000000003</v>
      </c>
      <c r="N3014" s="36">
        <v>462.41000000000003</v>
      </c>
    </row>
    <row r="3015" ht="25.5">
      <c r="A3015" s="19" t="s">
        <v>10460</v>
      </c>
      <c r="B3015" s="19">
        <v>11771</v>
      </c>
      <c r="C3015" s="20" t="s">
        <v>13481</v>
      </c>
      <c r="D3015" s="19" t="s">
        <v>31</v>
      </c>
      <c r="E3015" s="19" t="s">
        <v>10459</v>
      </c>
      <c r="F3015" s="21">
        <f t="shared" si="574"/>
        <v>566.38999999999999</v>
      </c>
      <c r="G3015" s="21">
        <f t="shared" si="574"/>
        <v>566.38999999999999</v>
      </c>
      <c r="H3015" s="21">
        <f t="shared" si="574"/>
        <v>566.38999999999999</v>
      </c>
      <c r="I3015" s="24" t="str">
        <f t="shared" si="575"/>
        <v xml:space="preserve">COM VALOR</v>
      </c>
      <c r="L3015" s="36">
        <v>566.38999999999999</v>
      </c>
      <c r="M3015" s="37">
        <v>566.38999999999999</v>
      </c>
      <c r="N3015" s="36">
        <v>566.38999999999999</v>
      </c>
    </row>
    <row r="3016" ht="51">
      <c r="A3016" s="19" t="s">
        <v>10638</v>
      </c>
      <c r="B3016" s="19">
        <v>39919</v>
      </c>
      <c r="C3016" s="20" t="s">
        <v>13482</v>
      </c>
      <c r="D3016" s="19" t="s">
        <v>31</v>
      </c>
      <c r="E3016" s="19" t="s">
        <v>10459</v>
      </c>
      <c r="F3016" s="21">
        <f t="shared" si="574"/>
        <v>62593.269999999997</v>
      </c>
      <c r="G3016" s="21">
        <f t="shared" si="574"/>
        <v>62593.269999999997</v>
      </c>
      <c r="H3016" s="21">
        <f t="shared" si="574"/>
        <v>62593.269999999997</v>
      </c>
      <c r="I3016" s="24" t="str">
        <f t="shared" si="575"/>
        <v xml:space="preserve">COM VALOR</v>
      </c>
      <c r="L3016" s="36">
        <v>62593.269999999997</v>
      </c>
      <c r="M3016" s="37">
        <v>62593.269999999997</v>
      </c>
      <c r="N3016" s="36">
        <v>62593.269999999997</v>
      </c>
    </row>
    <row r="3017" ht="25.5">
      <c r="A3017" s="19" t="s">
        <v>10460</v>
      </c>
      <c r="B3017" s="19">
        <v>38385</v>
      </c>
      <c r="C3017" s="20" t="s">
        <v>13483</v>
      </c>
      <c r="D3017" s="19" t="s">
        <v>31</v>
      </c>
      <c r="E3017" s="19" t="s">
        <v>10459</v>
      </c>
      <c r="F3017" s="21">
        <f t="shared" si="574"/>
        <v>31.399999999999999</v>
      </c>
      <c r="G3017" s="21">
        <f t="shared" si="574"/>
        <v>31.399999999999999</v>
      </c>
      <c r="H3017" s="21">
        <f t="shared" si="574"/>
        <v>31.399999999999999</v>
      </c>
      <c r="I3017" s="24" t="str">
        <f t="shared" si="575"/>
        <v xml:space="preserve">COM VALOR</v>
      </c>
      <c r="L3017" s="36">
        <v>31.399999999999999</v>
      </c>
      <c r="M3017" s="37">
        <v>31.399999999999999</v>
      </c>
      <c r="N3017" s="36">
        <v>31.399999999999999</v>
      </c>
    </row>
    <row r="3018" ht="38.25">
      <c r="A3018" s="19" t="s">
        <v>10460</v>
      </c>
      <c r="B3018" s="19">
        <v>36800</v>
      </c>
      <c r="C3018" s="20" t="s">
        <v>13484</v>
      </c>
      <c r="D3018" s="19" t="s">
        <v>31</v>
      </c>
      <c r="E3018" s="19" t="s">
        <v>10459</v>
      </c>
      <c r="F3018" s="21">
        <f t="shared" si="574"/>
        <v>277.85000000000002</v>
      </c>
      <c r="G3018" s="21">
        <f t="shared" si="574"/>
        <v>277.85000000000002</v>
      </c>
      <c r="H3018" s="21">
        <f t="shared" si="574"/>
        <v>277.85000000000002</v>
      </c>
      <c r="I3018" s="24" t="str">
        <f t="shared" si="575"/>
        <v xml:space="preserve">COM VALOR</v>
      </c>
      <c r="L3018" s="36">
        <v>277.85000000000002</v>
      </c>
      <c r="M3018" s="37">
        <v>277.85000000000002</v>
      </c>
      <c r="N3018" s="36">
        <v>277.85000000000002</v>
      </c>
    </row>
    <row r="3019" ht="25.5">
      <c r="A3019" s="19" t="s">
        <v>10460</v>
      </c>
      <c r="B3019" s="19">
        <v>37587</v>
      </c>
      <c r="C3019" s="20" t="s">
        <v>13485</v>
      </c>
      <c r="D3019" s="19" t="s">
        <v>31</v>
      </c>
      <c r="E3019" s="19" t="s">
        <v>10459</v>
      </c>
      <c r="F3019" s="21">
        <f t="shared" ref="F3019:H3082" si="576">IF(L3019=0,"VERIFICAR",L3019)</f>
        <v>610.44000000000005</v>
      </c>
      <c r="G3019" s="21">
        <f t="shared" si="576"/>
        <v>610.44000000000005</v>
      </c>
      <c r="H3019" s="21">
        <f t="shared" si="576"/>
        <v>610.44000000000005</v>
      </c>
      <c r="I3019" s="24" t="str">
        <f t="shared" ref="I3019:I3082" si="577">IF(OR(L3019=0,M3019=0,N3019=0),"SEM VALOR","COM VALOR")</f>
        <v xml:space="preserve">COM VALOR</v>
      </c>
      <c r="L3019" s="36">
        <v>610.44000000000005</v>
      </c>
      <c r="M3019" s="37">
        <v>610.44000000000005</v>
      </c>
      <c r="N3019" s="36">
        <v>610.44000000000005</v>
      </c>
    </row>
    <row r="3020" ht="38.25">
      <c r="A3020" s="19" t="s">
        <v>10460</v>
      </c>
      <c r="B3020" s="19">
        <v>11561</v>
      </c>
      <c r="C3020" s="20" t="s">
        <v>13486</v>
      </c>
      <c r="D3020" s="19" t="s">
        <v>31</v>
      </c>
      <c r="E3020" s="19" t="s">
        <v>10459</v>
      </c>
      <c r="F3020" s="21">
        <f t="shared" si="576"/>
        <v>281.62</v>
      </c>
      <c r="G3020" s="21">
        <f t="shared" si="576"/>
        <v>281.62</v>
      </c>
      <c r="H3020" s="21">
        <f t="shared" si="576"/>
        <v>281.62</v>
      </c>
      <c r="I3020" s="24" t="str">
        <f t="shared" si="577"/>
        <v xml:space="preserve">COM VALOR</v>
      </c>
      <c r="L3020" s="36">
        <v>281.62</v>
      </c>
      <c r="M3020" s="37">
        <v>281.62</v>
      </c>
      <c r="N3020" s="36">
        <v>281.62</v>
      </c>
    </row>
    <row r="3021" ht="38.25">
      <c r="A3021" s="19" t="s">
        <v>10460</v>
      </c>
      <c r="B3021" s="19">
        <v>43604</v>
      </c>
      <c r="C3021" s="20" t="s">
        <v>13487</v>
      </c>
      <c r="D3021" s="19" t="s">
        <v>31</v>
      </c>
      <c r="E3021" s="19" t="s">
        <v>10459</v>
      </c>
      <c r="F3021" s="21">
        <f t="shared" si="576"/>
        <v>150.13</v>
      </c>
      <c r="G3021" s="21">
        <f t="shared" si="576"/>
        <v>150.13</v>
      </c>
      <c r="H3021" s="21">
        <f t="shared" si="576"/>
        <v>150.13</v>
      </c>
      <c r="I3021" s="24" t="str">
        <f t="shared" si="577"/>
        <v xml:space="preserve">COM VALOR</v>
      </c>
      <c r="L3021" s="36">
        <v>150.13</v>
      </c>
      <c r="M3021" s="37">
        <v>150.13</v>
      </c>
      <c r="N3021" s="36">
        <v>150.13</v>
      </c>
    </row>
    <row r="3022" ht="38.25">
      <c r="A3022" s="19" t="s">
        <v>10460</v>
      </c>
      <c r="B3022" s="19">
        <v>11560</v>
      </c>
      <c r="C3022" s="20" t="s">
        <v>13488</v>
      </c>
      <c r="D3022" s="19" t="s">
        <v>31</v>
      </c>
      <c r="E3022" s="19" t="s">
        <v>10459</v>
      </c>
      <c r="F3022" s="21">
        <f t="shared" si="576"/>
        <v>217.36000000000001</v>
      </c>
      <c r="G3022" s="21">
        <f t="shared" si="576"/>
        <v>217.36000000000001</v>
      </c>
      <c r="H3022" s="21">
        <f t="shared" si="576"/>
        <v>217.36000000000001</v>
      </c>
      <c r="I3022" s="24" t="str">
        <f t="shared" si="577"/>
        <v xml:space="preserve">COM VALOR</v>
      </c>
      <c r="L3022" s="36">
        <v>217.36000000000001</v>
      </c>
      <c r="M3022" s="37">
        <v>217.36000000000001</v>
      </c>
      <c r="N3022" s="36">
        <v>217.36000000000001</v>
      </c>
    </row>
    <row r="3023" ht="25.5">
      <c r="A3023" s="19" t="s">
        <v>10460</v>
      </c>
      <c r="B3023" s="19">
        <v>11499</v>
      </c>
      <c r="C3023" s="20" t="s">
        <v>13489</v>
      </c>
      <c r="D3023" s="19" t="s">
        <v>31</v>
      </c>
      <c r="E3023" s="19" t="s">
        <v>10459</v>
      </c>
      <c r="F3023" s="21">
        <f t="shared" si="576"/>
        <v>912.33000000000004</v>
      </c>
      <c r="G3023" s="21">
        <f t="shared" si="576"/>
        <v>912.33000000000004</v>
      </c>
      <c r="H3023" s="21">
        <f t="shared" si="576"/>
        <v>912.33000000000004</v>
      </c>
      <c r="I3023" s="24" t="str">
        <f t="shared" si="577"/>
        <v xml:space="preserve">COM VALOR</v>
      </c>
      <c r="L3023" s="36">
        <v>912.33000000000004</v>
      </c>
      <c r="M3023" s="37">
        <v>912.33000000000004</v>
      </c>
      <c r="N3023" s="36">
        <v>912.33000000000004</v>
      </c>
    </row>
    <row r="3024" ht="12.75">
      <c r="A3024" s="19" t="s">
        <v>10604</v>
      </c>
      <c r="B3024" s="19">
        <v>34761</v>
      </c>
      <c r="C3024" s="20" t="s">
        <v>13490</v>
      </c>
      <c r="D3024" s="19" t="s">
        <v>2032</v>
      </c>
      <c r="E3024" s="19" t="s">
        <v>10459</v>
      </c>
      <c r="F3024" s="21">
        <f t="shared" si="576"/>
        <v>19.93</v>
      </c>
      <c r="G3024" s="21">
        <f t="shared" si="576"/>
        <v>19.93</v>
      </c>
      <c r="H3024" s="21">
        <f t="shared" si="576"/>
        <v>19.93</v>
      </c>
      <c r="I3024" s="24" t="str">
        <f t="shared" si="577"/>
        <v xml:space="preserve">COM VALOR</v>
      </c>
      <c r="L3024" s="36">
        <v>19.93</v>
      </c>
      <c r="M3024" s="37">
        <v>19.93</v>
      </c>
      <c r="N3024" s="36">
        <v>19.93</v>
      </c>
    </row>
    <row r="3025" ht="12.75">
      <c r="A3025" s="19" t="s">
        <v>10604</v>
      </c>
      <c r="B3025" s="19">
        <v>40924</v>
      </c>
      <c r="C3025" s="20" t="s">
        <v>13491</v>
      </c>
      <c r="D3025" s="19" t="s">
        <v>7087</v>
      </c>
      <c r="E3025" s="19" t="s">
        <v>10459</v>
      </c>
      <c r="F3025" s="21">
        <f t="shared" si="576"/>
        <v>3490.7600000000002</v>
      </c>
      <c r="G3025" s="21">
        <f t="shared" si="576"/>
        <v>3490.7600000000002</v>
      </c>
      <c r="H3025" s="21">
        <f t="shared" si="576"/>
        <v>3490.7600000000002</v>
      </c>
      <c r="I3025" s="24" t="str">
        <f t="shared" si="577"/>
        <v xml:space="preserve">COM VALOR</v>
      </c>
      <c r="L3025" s="36">
        <v>3490.7600000000002</v>
      </c>
      <c r="M3025" s="37">
        <v>3490.7600000000002</v>
      </c>
      <c r="N3025" s="36">
        <v>3490.7600000000002</v>
      </c>
    </row>
    <row r="3026" ht="12.75">
      <c r="A3026" s="19" t="s">
        <v>10604</v>
      </c>
      <c r="B3026" s="19">
        <v>40983</v>
      </c>
      <c r="C3026" s="20" t="s">
        <v>13492</v>
      </c>
      <c r="D3026" s="19" t="s">
        <v>7087</v>
      </c>
      <c r="E3026" s="19" t="s">
        <v>10459</v>
      </c>
      <c r="F3026" s="21">
        <f t="shared" si="576"/>
        <v>4323.4899999999998</v>
      </c>
      <c r="G3026" s="21">
        <f t="shared" si="576"/>
        <v>4323.4899999999998</v>
      </c>
      <c r="H3026" s="21">
        <f t="shared" si="576"/>
        <v>4323.4899999999998</v>
      </c>
      <c r="I3026" s="24" t="str">
        <f t="shared" si="577"/>
        <v xml:space="preserve">COM VALOR</v>
      </c>
      <c r="L3026" s="36">
        <v>4323.4899999999998</v>
      </c>
      <c r="M3026" s="37">
        <v>4323.4899999999998</v>
      </c>
      <c r="N3026" s="36">
        <v>4323.4899999999998</v>
      </c>
    </row>
    <row r="3027" ht="12.75">
      <c r="A3027" s="19" t="s">
        <v>10604</v>
      </c>
      <c r="B3027" s="19">
        <v>44497</v>
      </c>
      <c r="C3027" s="20" t="s">
        <v>13493</v>
      </c>
      <c r="D3027" s="19" t="s">
        <v>2032</v>
      </c>
      <c r="E3027" s="19" t="s">
        <v>10459</v>
      </c>
      <c r="F3027" s="21">
        <f t="shared" si="576"/>
        <v>24.690000000000001</v>
      </c>
      <c r="G3027" s="21">
        <f t="shared" si="576"/>
        <v>24.690000000000001</v>
      </c>
      <c r="H3027" s="21">
        <f t="shared" si="576"/>
        <v>24.690000000000001</v>
      </c>
      <c r="I3027" s="24" t="str">
        <f t="shared" si="577"/>
        <v xml:space="preserve">COM VALOR</v>
      </c>
      <c r="L3027" s="36">
        <v>24.690000000000001</v>
      </c>
      <c r="M3027" s="37">
        <v>24.690000000000001</v>
      </c>
      <c r="N3027" s="36">
        <v>24.690000000000001</v>
      </c>
    </row>
    <row r="3028" ht="12.75">
      <c r="A3028" s="19" t="s">
        <v>10604</v>
      </c>
      <c r="B3028" s="19">
        <v>2437</v>
      </c>
      <c r="C3028" s="20" t="s">
        <v>13494</v>
      </c>
      <c r="D3028" s="19" t="s">
        <v>2032</v>
      </c>
      <c r="E3028" s="19" t="s">
        <v>10459</v>
      </c>
      <c r="F3028" s="21">
        <f t="shared" si="576"/>
        <v>26.98</v>
      </c>
      <c r="G3028" s="21">
        <f t="shared" si="576"/>
        <v>26.98</v>
      </c>
      <c r="H3028" s="21">
        <f t="shared" si="576"/>
        <v>26.98</v>
      </c>
      <c r="I3028" s="24" t="str">
        <f t="shared" si="577"/>
        <v xml:space="preserve">COM VALOR</v>
      </c>
      <c r="L3028" s="36">
        <v>26.98</v>
      </c>
      <c r="M3028" s="37">
        <v>26.98</v>
      </c>
      <c r="N3028" s="36">
        <v>26.98</v>
      </c>
    </row>
    <row r="3029" ht="12.75">
      <c r="A3029" s="19" t="s">
        <v>10604</v>
      </c>
      <c r="B3029" s="19">
        <v>40921</v>
      </c>
      <c r="C3029" s="20" t="s">
        <v>13495</v>
      </c>
      <c r="D3029" s="19" t="s">
        <v>7087</v>
      </c>
      <c r="E3029" s="19" t="s">
        <v>10459</v>
      </c>
      <c r="F3029" s="21">
        <f t="shared" si="576"/>
        <v>4725.1400000000003</v>
      </c>
      <c r="G3029" s="21">
        <f t="shared" si="576"/>
        <v>4725.1400000000003</v>
      </c>
      <c r="H3029" s="21">
        <f t="shared" si="576"/>
        <v>4725.1400000000003</v>
      </c>
      <c r="I3029" s="24" t="str">
        <f t="shared" si="577"/>
        <v xml:space="preserve">COM VALOR</v>
      </c>
      <c r="L3029" s="36">
        <v>4725.1400000000003</v>
      </c>
      <c r="M3029" s="37">
        <v>4725.1400000000003</v>
      </c>
      <c r="N3029" s="36">
        <v>4725.1400000000003</v>
      </c>
    </row>
    <row r="3030" ht="38.25">
      <c r="A3030" s="19" t="s">
        <v>10638</v>
      </c>
      <c r="B3030" s="19">
        <v>36502</v>
      </c>
      <c r="C3030" s="20" t="s">
        <v>13496</v>
      </c>
      <c r="D3030" s="19" t="s">
        <v>31</v>
      </c>
      <c r="E3030" s="19" t="s">
        <v>10459</v>
      </c>
      <c r="F3030" s="21">
        <f t="shared" si="576"/>
        <v>3421.5100000000002</v>
      </c>
      <c r="G3030" s="21">
        <f t="shared" si="576"/>
        <v>3421.5100000000002</v>
      </c>
      <c r="H3030" s="21">
        <f t="shared" si="576"/>
        <v>3421.5100000000002</v>
      </c>
      <c r="I3030" s="24" t="str">
        <f t="shared" si="577"/>
        <v xml:space="preserve">COM VALOR</v>
      </c>
      <c r="L3030" s="36">
        <v>3421.5100000000002</v>
      </c>
      <c r="M3030" s="37">
        <v>3421.5100000000002</v>
      </c>
      <c r="N3030" s="36">
        <v>3421.5100000000002</v>
      </c>
    </row>
    <row r="3031" ht="38.25">
      <c r="A3031" s="19" t="s">
        <v>10638</v>
      </c>
      <c r="B3031" s="19">
        <v>36503</v>
      </c>
      <c r="C3031" s="20" t="s">
        <v>13497</v>
      </c>
      <c r="D3031" s="19" t="s">
        <v>31</v>
      </c>
      <c r="E3031" s="19" t="s">
        <v>10459</v>
      </c>
      <c r="F3031" s="21">
        <f t="shared" si="576"/>
        <v>4219.1199999999999</v>
      </c>
      <c r="G3031" s="21">
        <f t="shared" si="576"/>
        <v>4219.1199999999999</v>
      </c>
      <c r="H3031" s="21">
        <f t="shared" si="576"/>
        <v>4219.1199999999999</v>
      </c>
      <c r="I3031" s="24" t="str">
        <f t="shared" si="577"/>
        <v xml:space="preserve">COM VALOR</v>
      </c>
      <c r="L3031" s="36">
        <v>4219.1199999999999</v>
      </c>
      <c r="M3031" s="37">
        <v>4219.1199999999999</v>
      </c>
      <c r="N3031" s="36">
        <v>4219.1199999999999</v>
      </c>
    </row>
    <row r="3032" ht="38.25">
      <c r="A3032" s="19" t="s">
        <v>10638</v>
      </c>
      <c r="B3032" s="19">
        <v>4090</v>
      </c>
      <c r="C3032" s="20" t="s">
        <v>13498</v>
      </c>
      <c r="D3032" s="19" t="s">
        <v>31</v>
      </c>
      <c r="E3032" s="19" t="s">
        <v>10466</v>
      </c>
      <c r="F3032" s="21">
        <f t="shared" si="576"/>
        <v>1325000</v>
      </c>
      <c r="G3032" s="21">
        <f t="shared" si="576"/>
        <v>1325000</v>
      </c>
      <c r="H3032" s="21">
        <f t="shared" si="576"/>
        <v>1325000</v>
      </c>
      <c r="I3032" s="24" t="str">
        <f t="shared" si="577"/>
        <v xml:space="preserve">COM VALOR</v>
      </c>
      <c r="L3032" s="36">
        <v>1325000</v>
      </c>
      <c r="M3032" s="37">
        <v>1325000</v>
      </c>
      <c r="N3032" s="36">
        <v>1325000</v>
      </c>
    </row>
    <row r="3033" ht="12.75">
      <c r="A3033" s="19" t="s">
        <v>10604</v>
      </c>
      <c r="B3033" s="19">
        <v>4093</v>
      </c>
      <c r="C3033" s="20" t="s">
        <v>13499</v>
      </c>
      <c r="D3033" s="19" t="s">
        <v>2032</v>
      </c>
      <c r="E3033" s="19" t="s">
        <v>10466</v>
      </c>
      <c r="F3033" s="21">
        <f t="shared" si="576"/>
        <v>21.289999999999999</v>
      </c>
      <c r="G3033" s="21">
        <f t="shared" si="576"/>
        <v>21.289999999999999</v>
      </c>
      <c r="H3033" s="21">
        <f t="shared" si="576"/>
        <v>21.289999999999999</v>
      </c>
      <c r="I3033" s="24" t="str">
        <f t="shared" si="577"/>
        <v xml:space="preserve">COM VALOR</v>
      </c>
      <c r="L3033" s="36">
        <v>21.289999999999999</v>
      </c>
      <c r="M3033" s="37">
        <v>21.289999999999999</v>
      </c>
      <c r="N3033" s="36">
        <v>21.289999999999999</v>
      </c>
    </row>
    <row r="3034" ht="12.75">
      <c r="A3034" s="19" t="s">
        <v>10604</v>
      </c>
      <c r="B3034" s="19">
        <v>10512</v>
      </c>
      <c r="C3034" s="20" t="s">
        <v>13500</v>
      </c>
      <c r="D3034" s="19" t="s">
        <v>7087</v>
      </c>
      <c r="E3034" s="19" t="s">
        <v>10459</v>
      </c>
      <c r="F3034" s="21">
        <f t="shared" si="576"/>
        <v>3725.4699999999998</v>
      </c>
      <c r="G3034" s="21">
        <f t="shared" si="576"/>
        <v>3725.4699999999998</v>
      </c>
      <c r="H3034" s="21">
        <f t="shared" si="576"/>
        <v>3725.4699999999998</v>
      </c>
      <c r="I3034" s="24" t="str">
        <f t="shared" si="577"/>
        <v xml:space="preserve">COM VALOR</v>
      </c>
      <c r="L3034" s="36">
        <v>3725.4699999999998</v>
      </c>
      <c r="M3034" s="37">
        <v>3725.4699999999998</v>
      </c>
      <c r="N3034" s="36">
        <v>3725.4699999999998</v>
      </c>
    </row>
    <row r="3035" ht="12.75">
      <c r="A3035" s="19" t="s">
        <v>10604</v>
      </c>
      <c r="B3035" s="19">
        <v>4243</v>
      </c>
      <c r="C3035" s="20" t="s">
        <v>13501</v>
      </c>
      <c r="D3035" s="19" t="s">
        <v>2032</v>
      </c>
      <c r="E3035" s="19" t="s">
        <v>10459</v>
      </c>
      <c r="F3035" s="21">
        <f t="shared" si="576"/>
        <v>25.039999999999999</v>
      </c>
      <c r="G3035" s="21">
        <f t="shared" si="576"/>
        <v>25.039999999999999</v>
      </c>
      <c r="H3035" s="21">
        <f t="shared" si="576"/>
        <v>25.039999999999999</v>
      </c>
      <c r="I3035" s="24" t="str">
        <f t="shared" si="577"/>
        <v xml:space="preserve">COM VALOR</v>
      </c>
      <c r="L3035" s="36">
        <v>25.039999999999999</v>
      </c>
      <c r="M3035" s="37">
        <v>25.039999999999999</v>
      </c>
      <c r="N3035" s="36">
        <v>25.039999999999999</v>
      </c>
    </row>
    <row r="3036" ht="12.75">
      <c r="A3036" s="19" t="s">
        <v>10604</v>
      </c>
      <c r="B3036" s="19">
        <v>20020</v>
      </c>
      <c r="C3036" s="20" t="s">
        <v>13502</v>
      </c>
      <c r="D3036" s="19" t="s">
        <v>2032</v>
      </c>
      <c r="E3036" s="19" t="s">
        <v>10459</v>
      </c>
      <c r="F3036" s="21">
        <f t="shared" si="576"/>
        <v>22.109999999999999</v>
      </c>
      <c r="G3036" s="21">
        <f t="shared" si="576"/>
        <v>22.109999999999999</v>
      </c>
      <c r="H3036" s="21">
        <f t="shared" si="576"/>
        <v>22.109999999999999</v>
      </c>
      <c r="I3036" s="24" t="str">
        <f t="shared" si="577"/>
        <v xml:space="preserve">COM VALOR</v>
      </c>
      <c r="L3036" s="36">
        <v>22.109999999999999</v>
      </c>
      <c r="M3036" s="37">
        <v>22.109999999999999</v>
      </c>
      <c r="N3036" s="36">
        <v>22.109999999999999</v>
      </c>
    </row>
    <row r="3037" ht="12.75">
      <c r="A3037" s="19" t="s">
        <v>10604</v>
      </c>
      <c r="B3037" s="19">
        <v>41038</v>
      </c>
      <c r="C3037" s="20" t="s">
        <v>13503</v>
      </c>
      <c r="D3037" s="19" t="s">
        <v>7087</v>
      </c>
      <c r="E3037" s="19" t="s">
        <v>10459</v>
      </c>
      <c r="F3037" s="21">
        <f t="shared" si="576"/>
        <v>3871.52</v>
      </c>
      <c r="G3037" s="21">
        <f t="shared" si="576"/>
        <v>3871.52</v>
      </c>
      <c r="H3037" s="21">
        <f t="shared" si="576"/>
        <v>3871.52</v>
      </c>
      <c r="I3037" s="24" t="str">
        <f t="shared" si="577"/>
        <v xml:space="preserve">COM VALOR</v>
      </c>
      <c r="L3037" s="36">
        <v>3871.52</v>
      </c>
      <c r="M3037" s="37">
        <v>3871.52</v>
      </c>
      <c r="N3037" s="36">
        <v>3871.52</v>
      </c>
    </row>
    <row r="3038" ht="12.75">
      <c r="A3038" s="19" t="s">
        <v>10604</v>
      </c>
      <c r="B3038" s="19">
        <v>4094</v>
      </c>
      <c r="C3038" s="20" t="s">
        <v>13504</v>
      </c>
      <c r="D3038" s="19" t="s">
        <v>2032</v>
      </c>
      <c r="E3038" s="19" t="s">
        <v>10459</v>
      </c>
      <c r="F3038" s="21">
        <f t="shared" si="576"/>
        <v>26.460000000000001</v>
      </c>
      <c r="G3038" s="21">
        <f t="shared" si="576"/>
        <v>26.460000000000001</v>
      </c>
      <c r="H3038" s="21">
        <f t="shared" si="576"/>
        <v>26.460000000000001</v>
      </c>
      <c r="I3038" s="24" t="str">
        <f t="shared" si="577"/>
        <v xml:space="preserve">COM VALOR</v>
      </c>
      <c r="L3038" s="36">
        <v>26.460000000000001</v>
      </c>
      <c r="M3038" s="37">
        <v>26.460000000000001</v>
      </c>
      <c r="N3038" s="36">
        <v>26.460000000000001</v>
      </c>
    </row>
    <row r="3039" ht="12.75">
      <c r="A3039" s="19" t="s">
        <v>10604</v>
      </c>
      <c r="B3039" s="19">
        <v>40988</v>
      </c>
      <c r="C3039" s="20" t="s">
        <v>13505</v>
      </c>
      <c r="D3039" s="19" t="s">
        <v>7087</v>
      </c>
      <c r="E3039" s="19" t="s">
        <v>10459</v>
      </c>
      <c r="F3039" s="21">
        <f t="shared" si="576"/>
        <v>4633.8100000000004</v>
      </c>
      <c r="G3039" s="21">
        <f t="shared" si="576"/>
        <v>4633.8100000000004</v>
      </c>
      <c r="H3039" s="21">
        <f t="shared" si="576"/>
        <v>4633.8100000000004</v>
      </c>
      <c r="I3039" s="24" t="str">
        <f t="shared" si="577"/>
        <v xml:space="preserve">COM VALOR</v>
      </c>
      <c r="L3039" s="36">
        <v>4633.8100000000004</v>
      </c>
      <c r="M3039" s="37">
        <v>4633.8100000000004</v>
      </c>
      <c r="N3039" s="36">
        <v>4633.8100000000004</v>
      </c>
    </row>
    <row r="3040" ht="12.75">
      <c r="A3040" s="19" t="s">
        <v>10604</v>
      </c>
      <c r="B3040" s="19">
        <v>4095</v>
      </c>
      <c r="C3040" s="20" t="s">
        <v>13506</v>
      </c>
      <c r="D3040" s="19" t="s">
        <v>2032</v>
      </c>
      <c r="E3040" s="19" t="s">
        <v>10459</v>
      </c>
      <c r="F3040" s="21">
        <f t="shared" si="576"/>
        <v>20.27</v>
      </c>
      <c r="G3040" s="21">
        <f t="shared" si="576"/>
        <v>20.27</v>
      </c>
      <c r="H3040" s="21">
        <f t="shared" si="576"/>
        <v>20.27</v>
      </c>
      <c r="I3040" s="24" t="str">
        <f t="shared" si="577"/>
        <v xml:space="preserve">COM VALOR</v>
      </c>
      <c r="L3040" s="36">
        <v>20.27</v>
      </c>
      <c r="M3040" s="37">
        <v>20.27</v>
      </c>
      <c r="N3040" s="36">
        <v>20.27</v>
      </c>
    </row>
    <row r="3041" ht="12.75">
      <c r="A3041" s="19" t="s">
        <v>10604</v>
      </c>
      <c r="B3041" s="19">
        <v>40990</v>
      </c>
      <c r="C3041" s="20" t="s">
        <v>13507</v>
      </c>
      <c r="D3041" s="19" t="s">
        <v>7087</v>
      </c>
      <c r="E3041" s="19" t="s">
        <v>10459</v>
      </c>
      <c r="F3041" s="21">
        <f t="shared" si="576"/>
        <v>3548.1700000000001</v>
      </c>
      <c r="G3041" s="21">
        <f t="shared" si="576"/>
        <v>3548.1700000000001</v>
      </c>
      <c r="H3041" s="21">
        <f t="shared" si="576"/>
        <v>3548.1700000000001</v>
      </c>
      <c r="I3041" s="24" t="str">
        <f t="shared" si="577"/>
        <v xml:space="preserve">COM VALOR</v>
      </c>
      <c r="L3041" s="36">
        <v>3548.1700000000001</v>
      </c>
      <c r="M3041" s="37">
        <v>3548.1700000000001</v>
      </c>
      <c r="N3041" s="36">
        <v>3548.1700000000001</v>
      </c>
    </row>
    <row r="3042" ht="12.75">
      <c r="A3042" s="19" t="s">
        <v>10604</v>
      </c>
      <c r="B3042" s="19">
        <v>4096</v>
      </c>
      <c r="C3042" s="20" t="s">
        <v>13508</v>
      </c>
      <c r="D3042" s="19" t="s">
        <v>2032</v>
      </c>
      <c r="E3042" s="19" t="s">
        <v>10459</v>
      </c>
      <c r="F3042" s="21">
        <f t="shared" si="576"/>
        <v>22.670000000000002</v>
      </c>
      <c r="G3042" s="21">
        <f t="shared" si="576"/>
        <v>22.670000000000002</v>
      </c>
      <c r="H3042" s="21">
        <f t="shared" si="576"/>
        <v>22.670000000000002</v>
      </c>
      <c r="I3042" s="24" t="str">
        <f t="shared" si="577"/>
        <v xml:space="preserve">COM VALOR</v>
      </c>
      <c r="L3042" s="36">
        <v>22.670000000000002</v>
      </c>
      <c r="M3042" s="37">
        <v>22.670000000000002</v>
      </c>
      <c r="N3042" s="36">
        <v>22.670000000000002</v>
      </c>
    </row>
    <row r="3043" ht="25.5">
      <c r="A3043" s="19" t="s">
        <v>10604</v>
      </c>
      <c r="B3043" s="19">
        <v>40992</v>
      </c>
      <c r="C3043" s="20" t="s">
        <v>13509</v>
      </c>
      <c r="D3043" s="19" t="s">
        <v>7087</v>
      </c>
      <c r="E3043" s="19" t="s">
        <v>10459</v>
      </c>
      <c r="F3043" s="21">
        <f t="shared" si="576"/>
        <v>3970.4899999999998</v>
      </c>
      <c r="G3043" s="21">
        <f t="shared" si="576"/>
        <v>3970.4899999999998</v>
      </c>
      <c r="H3043" s="21">
        <f t="shared" si="576"/>
        <v>3970.4899999999998</v>
      </c>
      <c r="I3043" s="24" t="str">
        <f t="shared" si="577"/>
        <v xml:space="preserve">COM VALOR</v>
      </c>
      <c r="L3043" s="36">
        <v>3970.4899999999998</v>
      </c>
      <c r="M3043" s="37">
        <v>3970.4899999999998</v>
      </c>
      <c r="N3043" s="36">
        <v>3970.4899999999998</v>
      </c>
    </row>
    <row r="3044" ht="25.5">
      <c r="A3044" s="19" t="s">
        <v>10460</v>
      </c>
      <c r="B3044" s="19">
        <v>4114</v>
      </c>
      <c r="C3044" s="20" t="s">
        <v>13510</v>
      </c>
      <c r="D3044" s="19" t="s">
        <v>31</v>
      </c>
      <c r="E3044" s="19" t="s">
        <v>10459</v>
      </c>
      <c r="F3044" s="21">
        <f t="shared" si="576"/>
        <v>70.260000000000005</v>
      </c>
      <c r="G3044" s="21">
        <f t="shared" si="576"/>
        <v>70.260000000000005</v>
      </c>
      <c r="H3044" s="21">
        <f t="shared" si="576"/>
        <v>70.260000000000005</v>
      </c>
      <c r="I3044" s="24" t="str">
        <f t="shared" si="577"/>
        <v xml:space="preserve">COM VALOR</v>
      </c>
      <c r="L3044" s="36">
        <v>70.260000000000005</v>
      </c>
      <c r="M3044" s="37">
        <v>70.260000000000005</v>
      </c>
      <c r="N3044" s="36">
        <v>70.260000000000005</v>
      </c>
    </row>
    <row r="3045" ht="25.5">
      <c r="A3045" s="19" t="s">
        <v>10460</v>
      </c>
      <c r="B3045" s="19">
        <v>36797</v>
      </c>
      <c r="C3045" s="20" t="s">
        <v>13511</v>
      </c>
      <c r="D3045" s="19" t="s">
        <v>31</v>
      </c>
      <c r="E3045" s="19" t="s">
        <v>10459</v>
      </c>
      <c r="F3045" s="21">
        <f t="shared" si="576"/>
        <v>62.560000000000002</v>
      </c>
      <c r="G3045" s="21">
        <f t="shared" si="576"/>
        <v>62.560000000000002</v>
      </c>
      <c r="H3045" s="21">
        <f t="shared" si="576"/>
        <v>62.560000000000002</v>
      </c>
      <c r="I3045" s="24" t="str">
        <f t="shared" si="577"/>
        <v xml:space="preserve">COM VALOR</v>
      </c>
      <c r="L3045" s="36">
        <v>62.560000000000002</v>
      </c>
      <c r="M3045" s="37">
        <v>62.560000000000002</v>
      </c>
      <c r="N3045" s="36">
        <v>62.560000000000002</v>
      </c>
    </row>
    <row r="3046" ht="25.5">
      <c r="A3046" s="19" t="s">
        <v>10460</v>
      </c>
      <c r="B3046" s="19">
        <v>4107</v>
      </c>
      <c r="C3046" s="20" t="s">
        <v>13512</v>
      </c>
      <c r="D3046" s="19" t="s">
        <v>31</v>
      </c>
      <c r="E3046" s="19" t="s">
        <v>10459</v>
      </c>
      <c r="F3046" s="21">
        <f t="shared" si="576"/>
        <v>58.979999999999997</v>
      </c>
      <c r="G3046" s="21">
        <f t="shared" si="576"/>
        <v>58.979999999999997</v>
      </c>
      <c r="H3046" s="21">
        <f t="shared" si="576"/>
        <v>58.979999999999997</v>
      </c>
      <c r="I3046" s="24" t="str">
        <f t="shared" si="577"/>
        <v xml:space="preserve">COM VALOR</v>
      </c>
      <c r="L3046" s="36">
        <v>58.979999999999997</v>
      </c>
      <c r="M3046" s="37">
        <v>58.979999999999997</v>
      </c>
      <c r="N3046" s="36">
        <v>58.979999999999997</v>
      </c>
    </row>
    <row r="3047" ht="25.5">
      <c r="A3047" s="19" t="s">
        <v>10460</v>
      </c>
      <c r="B3047" s="19">
        <v>4102</v>
      </c>
      <c r="C3047" s="20" t="s">
        <v>13513</v>
      </c>
      <c r="D3047" s="19" t="s">
        <v>31</v>
      </c>
      <c r="E3047" s="19" t="s">
        <v>10466</v>
      </c>
      <c r="F3047" s="21">
        <f t="shared" si="576"/>
        <v>72</v>
      </c>
      <c r="G3047" s="21">
        <f t="shared" si="576"/>
        <v>72</v>
      </c>
      <c r="H3047" s="21">
        <f t="shared" si="576"/>
        <v>72</v>
      </c>
      <c r="I3047" s="24" t="str">
        <f t="shared" si="577"/>
        <v xml:space="preserve">COM VALOR</v>
      </c>
      <c r="L3047" s="36">
        <v>72</v>
      </c>
      <c r="M3047" s="37">
        <v>72</v>
      </c>
      <c r="N3047" s="36">
        <v>72</v>
      </c>
    </row>
    <row r="3048" ht="25.5">
      <c r="A3048" s="19" t="s">
        <v>10460</v>
      </c>
      <c r="B3048" s="19">
        <v>36799</v>
      </c>
      <c r="C3048" s="20" t="s">
        <v>13514</v>
      </c>
      <c r="D3048" s="19" t="s">
        <v>31</v>
      </c>
      <c r="E3048" s="19" t="s">
        <v>10459</v>
      </c>
      <c r="F3048" s="21">
        <f t="shared" si="576"/>
        <v>60.719999999999999</v>
      </c>
      <c r="G3048" s="21">
        <f t="shared" si="576"/>
        <v>60.719999999999999</v>
      </c>
      <c r="H3048" s="21">
        <f t="shared" si="576"/>
        <v>60.719999999999999</v>
      </c>
      <c r="I3048" s="24" t="str">
        <f t="shared" si="577"/>
        <v xml:space="preserve">COM VALOR</v>
      </c>
      <c r="L3048" s="36">
        <v>60.719999999999999</v>
      </c>
      <c r="M3048" s="37">
        <v>60.719999999999999</v>
      </c>
      <c r="N3048" s="36">
        <v>60.719999999999999</v>
      </c>
    </row>
    <row r="3049" ht="38.25">
      <c r="A3049" s="19" t="s">
        <v>10460</v>
      </c>
      <c r="B3049" s="19">
        <v>2747</v>
      </c>
      <c r="C3049" s="20" t="s">
        <v>13515</v>
      </c>
      <c r="D3049" s="19" t="s">
        <v>38</v>
      </c>
      <c r="E3049" s="19" t="s">
        <v>10459</v>
      </c>
      <c r="F3049" s="21">
        <f t="shared" si="576"/>
        <v>49.619999999999997</v>
      </c>
      <c r="G3049" s="21">
        <f t="shared" si="576"/>
        <v>49.619999999999997</v>
      </c>
      <c r="H3049" s="21">
        <f t="shared" si="576"/>
        <v>49.619999999999997</v>
      </c>
      <c r="I3049" s="24" t="str">
        <f t="shared" si="577"/>
        <v xml:space="preserve">COM VALOR</v>
      </c>
      <c r="L3049" s="36">
        <v>49.619999999999997</v>
      </c>
      <c r="M3049" s="37">
        <v>49.619999999999997</v>
      </c>
      <c r="N3049" s="36">
        <v>49.619999999999997</v>
      </c>
    </row>
    <row r="3050" ht="38.25">
      <c r="A3050" s="19" t="s">
        <v>10460</v>
      </c>
      <c r="B3050" s="19">
        <v>21138</v>
      </c>
      <c r="C3050" s="20" t="s">
        <v>13516</v>
      </c>
      <c r="D3050" s="19" t="s">
        <v>38</v>
      </c>
      <c r="E3050" s="19" t="s">
        <v>10466</v>
      </c>
      <c r="F3050" s="21">
        <f t="shared" si="576"/>
        <v>15.73</v>
      </c>
      <c r="G3050" s="21">
        <f t="shared" si="576"/>
        <v>15.73</v>
      </c>
      <c r="H3050" s="21">
        <f t="shared" si="576"/>
        <v>15.73</v>
      </c>
      <c r="I3050" s="24" t="str">
        <f t="shared" si="577"/>
        <v xml:space="preserve">COM VALOR</v>
      </c>
      <c r="L3050" s="36">
        <v>15.73</v>
      </c>
      <c r="M3050" s="37">
        <v>15.73</v>
      </c>
      <c r="N3050" s="36">
        <v>15.73</v>
      </c>
    </row>
    <row r="3051" ht="38.25">
      <c r="A3051" s="19" t="s">
        <v>10460</v>
      </c>
      <c r="B3051" s="19">
        <v>10826</v>
      </c>
      <c r="C3051" s="20" t="s">
        <v>13517</v>
      </c>
      <c r="D3051" s="19" t="s">
        <v>31</v>
      </c>
      <c r="E3051" s="19" t="s">
        <v>10459</v>
      </c>
      <c r="F3051" s="21" t="str">
        <f t="shared" si="576"/>
        <v>VERIFICAR</v>
      </c>
      <c r="G3051" s="21" t="str">
        <f t="shared" si="576"/>
        <v>VERIFICAR</v>
      </c>
      <c r="H3051" s="21" t="str">
        <f t="shared" si="576"/>
        <v>VERIFICAR</v>
      </c>
      <c r="I3051" s="24" t="str">
        <f t="shared" si="577"/>
        <v xml:space="preserve">SEM VALOR</v>
      </c>
      <c r="L3051" s="36"/>
      <c r="M3051" s="37"/>
      <c r="N3051" s="36"/>
    </row>
    <row r="3052" ht="25.5">
      <c r="A3052" s="19" t="s">
        <v>10460</v>
      </c>
      <c r="B3052" s="19">
        <v>365</v>
      </c>
      <c r="C3052" s="20" t="s">
        <v>13518</v>
      </c>
      <c r="D3052" s="19" t="s">
        <v>31</v>
      </c>
      <c r="E3052" s="19" t="s">
        <v>10459</v>
      </c>
      <c r="F3052" s="21" t="str">
        <f t="shared" si="576"/>
        <v>VERIFICAR</v>
      </c>
      <c r="G3052" s="21" t="str">
        <f t="shared" si="576"/>
        <v>VERIFICAR</v>
      </c>
      <c r="H3052" s="21" t="str">
        <f t="shared" si="576"/>
        <v>VERIFICAR</v>
      </c>
      <c r="I3052" s="24" t="str">
        <f t="shared" si="577"/>
        <v xml:space="preserve">SEM VALOR</v>
      </c>
      <c r="L3052" s="36"/>
      <c r="M3052" s="37"/>
      <c r="N3052" s="36"/>
    </row>
    <row r="3053" ht="12.75">
      <c r="A3053" s="19" t="s">
        <v>10460</v>
      </c>
      <c r="B3053" s="19">
        <v>38639</v>
      </c>
      <c r="C3053" s="20" t="s">
        <v>13519</v>
      </c>
      <c r="D3053" s="19" t="s">
        <v>31</v>
      </c>
      <c r="E3053" s="19" t="s">
        <v>10459</v>
      </c>
      <c r="F3053" s="21" t="str">
        <f t="shared" si="576"/>
        <v>VERIFICAR</v>
      </c>
      <c r="G3053" s="21" t="str">
        <f t="shared" si="576"/>
        <v>VERIFICAR</v>
      </c>
      <c r="H3053" s="21" t="str">
        <f t="shared" si="576"/>
        <v>VERIFICAR</v>
      </c>
      <c r="I3053" s="24" t="str">
        <f t="shared" si="577"/>
        <v xml:space="preserve">SEM VALOR</v>
      </c>
      <c r="L3053" s="36"/>
      <c r="M3053" s="37"/>
      <c r="N3053" s="36"/>
    </row>
    <row r="3054" ht="25.5">
      <c r="A3054" s="19" t="s">
        <v>10460</v>
      </c>
      <c r="B3054" s="19">
        <v>38640</v>
      </c>
      <c r="C3054" s="20" t="s">
        <v>13520</v>
      </c>
      <c r="D3054" s="19" t="s">
        <v>31</v>
      </c>
      <c r="E3054" s="19" t="s">
        <v>10459</v>
      </c>
      <c r="F3054" s="21" t="str">
        <f t="shared" si="576"/>
        <v>VERIFICAR</v>
      </c>
      <c r="G3054" s="21" t="str">
        <f t="shared" si="576"/>
        <v>VERIFICAR</v>
      </c>
      <c r="H3054" s="21" t="str">
        <f t="shared" si="576"/>
        <v>VERIFICAR</v>
      </c>
      <c r="I3054" s="24" t="str">
        <f t="shared" si="577"/>
        <v xml:space="preserve">SEM VALOR</v>
      </c>
      <c r="L3054" s="36"/>
      <c r="M3054" s="37"/>
      <c r="N3054" s="36"/>
    </row>
    <row r="3055" ht="38.25">
      <c r="A3055" s="19" t="s">
        <v>10460</v>
      </c>
      <c r="B3055" s="19">
        <v>358</v>
      </c>
      <c r="C3055" s="20" t="s">
        <v>13521</v>
      </c>
      <c r="D3055" s="19" t="s">
        <v>31</v>
      </c>
      <c r="E3055" s="19" t="s">
        <v>10459</v>
      </c>
      <c r="F3055" s="21" t="str">
        <f t="shared" si="576"/>
        <v>VERIFICAR</v>
      </c>
      <c r="G3055" s="21" t="str">
        <f t="shared" si="576"/>
        <v>VERIFICAR</v>
      </c>
      <c r="H3055" s="21" t="str">
        <f t="shared" si="576"/>
        <v>VERIFICAR</v>
      </c>
      <c r="I3055" s="24" t="str">
        <f t="shared" si="577"/>
        <v xml:space="preserve">SEM VALOR</v>
      </c>
      <c r="L3055" s="36"/>
      <c r="M3055" s="37"/>
      <c r="N3055" s="36"/>
    </row>
    <row r="3056" ht="38.25">
      <c r="A3056" s="19" t="s">
        <v>10460</v>
      </c>
      <c r="B3056" s="19">
        <v>359</v>
      </c>
      <c r="C3056" s="20" t="s">
        <v>13522</v>
      </c>
      <c r="D3056" s="19" t="s">
        <v>31</v>
      </c>
      <c r="E3056" s="19" t="s">
        <v>10459</v>
      </c>
      <c r="F3056" s="21" t="str">
        <f t="shared" si="576"/>
        <v>VERIFICAR</v>
      </c>
      <c r="G3056" s="21" t="str">
        <f t="shared" si="576"/>
        <v>VERIFICAR</v>
      </c>
      <c r="H3056" s="21" t="str">
        <f t="shared" si="576"/>
        <v>VERIFICAR</v>
      </c>
      <c r="I3056" s="24" t="str">
        <f t="shared" si="577"/>
        <v xml:space="preserve">SEM VALOR</v>
      </c>
      <c r="L3056" s="36"/>
      <c r="M3056" s="37"/>
      <c r="N3056" s="36"/>
    </row>
    <row r="3057" ht="12.75">
      <c r="A3057" s="19" t="s">
        <v>10460</v>
      </c>
      <c r="B3057" s="19">
        <v>38641</v>
      </c>
      <c r="C3057" s="20" t="s">
        <v>13523</v>
      </c>
      <c r="D3057" s="19" t="s">
        <v>31</v>
      </c>
      <c r="E3057" s="19" t="s">
        <v>10459</v>
      </c>
      <c r="F3057" s="21" t="str">
        <f t="shared" si="576"/>
        <v>VERIFICAR</v>
      </c>
      <c r="G3057" s="21" t="str">
        <f t="shared" si="576"/>
        <v>VERIFICAR</v>
      </c>
      <c r="H3057" s="21" t="str">
        <f t="shared" si="576"/>
        <v>VERIFICAR</v>
      </c>
      <c r="I3057" s="24" t="str">
        <f t="shared" si="577"/>
        <v xml:space="preserve">SEM VALOR</v>
      </c>
      <c r="L3057" s="36"/>
      <c r="M3057" s="37"/>
      <c r="N3057" s="36"/>
    </row>
    <row r="3058" ht="25.5">
      <c r="A3058" s="19" t="s">
        <v>10460</v>
      </c>
      <c r="B3058" s="19">
        <v>360</v>
      </c>
      <c r="C3058" s="20" t="s">
        <v>13524</v>
      </c>
      <c r="D3058" s="19" t="s">
        <v>31</v>
      </c>
      <c r="E3058" s="19" t="s">
        <v>10466</v>
      </c>
      <c r="F3058" s="21" t="str">
        <f t="shared" si="576"/>
        <v>VERIFICAR</v>
      </c>
      <c r="G3058" s="21" t="str">
        <f t="shared" si="576"/>
        <v>VERIFICAR</v>
      </c>
      <c r="H3058" s="21" t="str">
        <f t="shared" si="576"/>
        <v>VERIFICAR</v>
      </c>
      <c r="I3058" s="24" t="str">
        <f t="shared" si="577"/>
        <v xml:space="preserve">SEM VALOR</v>
      </c>
      <c r="L3058" s="36"/>
      <c r="M3058" s="37"/>
      <c r="N3058" s="36"/>
    </row>
    <row r="3059" ht="51">
      <c r="A3059" s="19" t="s">
        <v>10460</v>
      </c>
      <c r="B3059" s="19">
        <v>42430</v>
      </c>
      <c r="C3059" s="20" t="s">
        <v>13525</v>
      </c>
      <c r="D3059" s="19" t="s">
        <v>31</v>
      </c>
      <c r="E3059" s="19" t="s">
        <v>10459</v>
      </c>
      <c r="F3059" s="21" t="str">
        <f t="shared" si="576"/>
        <v>VERIFICAR</v>
      </c>
      <c r="G3059" s="21" t="str">
        <f t="shared" si="576"/>
        <v>VERIFICAR</v>
      </c>
      <c r="H3059" s="21" t="str">
        <f t="shared" si="576"/>
        <v>VERIFICAR</v>
      </c>
      <c r="I3059" s="24" t="str">
        <f t="shared" si="577"/>
        <v xml:space="preserve">SEM VALOR</v>
      </c>
      <c r="L3059" s="36"/>
      <c r="M3059" s="37"/>
      <c r="N3059" s="36"/>
    </row>
    <row r="3060" ht="12.75">
      <c r="A3060" s="19" t="s">
        <v>10460</v>
      </c>
      <c r="B3060" s="19">
        <v>4209</v>
      </c>
      <c r="C3060" s="20" t="s">
        <v>13526</v>
      </c>
      <c r="D3060" s="19" t="s">
        <v>31</v>
      </c>
      <c r="E3060" s="19" t="s">
        <v>10459</v>
      </c>
      <c r="F3060" s="21">
        <f t="shared" si="576"/>
        <v>25.390000000000001</v>
      </c>
      <c r="G3060" s="21">
        <f t="shared" si="576"/>
        <v>25.390000000000001</v>
      </c>
      <c r="H3060" s="21">
        <f t="shared" si="576"/>
        <v>25.390000000000001</v>
      </c>
      <c r="I3060" s="24" t="str">
        <f t="shared" si="577"/>
        <v xml:space="preserve">COM VALOR</v>
      </c>
      <c r="L3060" s="36">
        <v>25.390000000000001</v>
      </c>
      <c r="M3060" s="37">
        <v>25.390000000000001</v>
      </c>
      <c r="N3060" s="36">
        <v>25.390000000000001</v>
      </c>
    </row>
    <row r="3061" ht="12.75">
      <c r="A3061" s="19" t="s">
        <v>10460</v>
      </c>
      <c r="B3061" s="19">
        <v>4180</v>
      </c>
      <c r="C3061" s="20" t="s">
        <v>13527</v>
      </c>
      <c r="D3061" s="19" t="s">
        <v>31</v>
      </c>
      <c r="E3061" s="19" t="s">
        <v>10459</v>
      </c>
      <c r="F3061" s="21">
        <f t="shared" si="576"/>
        <v>19.109999999999999</v>
      </c>
      <c r="G3061" s="21">
        <f t="shared" si="576"/>
        <v>19.109999999999999</v>
      </c>
      <c r="H3061" s="21">
        <f t="shared" si="576"/>
        <v>19.109999999999999</v>
      </c>
      <c r="I3061" s="24" t="str">
        <f t="shared" si="577"/>
        <v xml:space="preserve">COM VALOR</v>
      </c>
      <c r="L3061" s="36">
        <v>19.109999999999999</v>
      </c>
      <c r="M3061" s="37">
        <v>19.109999999999999</v>
      </c>
      <c r="N3061" s="36">
        <v>19.109999999999999</v>
      </c>
    </row>
    <row r="3062" ht="12.75">
      <c r="A3062" s="19" t="s">
        <v>10460</v>
      </c>
      <c r="B3062" s="19">
        <v>4179</v>
      </c>
      <c r="C3062" s="20" t="s">
        <v>13528</v>
      </c>
      <c r="D3062" s="19" t="s">
        <v>31</v>
      </c>
      <c r="E3062" s="19" t="s">
        <v>10459</v>
      </c>
      <c r="F3062" s="21">
        <f t="shared" si="576"/>
        <v>12.98</v>
      </c>
      <c r="G3062" s="21">
        <f t="shared" si="576"/>
        <v>12.98</v>
      </c>
      <c r="H3062" s="21">
        <f t="shared" si="576"/>
        <v>12.98</v>
      </c>
      <c r="I3062" s="24" t="str">
        <f t="shared" si="577"/>
        <v xml:space="preserve">COM VALOR</v>
      </c>
      <c r="L3062" s="36">
        <v>12.98</v>
      </c>
      <c r="M3062" s="37">
        <v>12.98</v>
      </c>
      <c r="N3062" s="36">
        <v>12.98</v>
      </c>
    </row>
    <row r="3063" ht="12.75">
      <c r="A3063" s="19" t="s">
        <v>10460</v>
      </c>
      <c r="B3063" s="19">
        <v>4177</v>
      </c>
      <c r="C3063" s="20" t="s">
        <v>13529</v>
      </c>
      <c r="D3063" s="19" t="s">
        <v>31</v>
      </c>
      <c r="E3063" s="19" t="s">
        <v>10459</v>
      </c>
      <c r="F3063" s="21">
        <f t="shared" si="576"/>
        <v>6.3399999999999999</v>
      </c>
      <c r="G3063" s="21">
        <f t="shared" si="576"/>
        <v>6.3399999999999999</v>
      </c>
      <c r="H3063" s="21">
        <f t="shared" si="576"/>
        <v>6.3399999999999999</v>
      </c>
      <c r="I3063" s="24" t="str">
        <f t="shared" si="577"/>
        <v xml:space="preserve">COM VALOR</v>
      </c>
      <c r="L3063" s="36">
        <v>6.3399999999999999</v>
      </c>
      <c r="M3063" s="37">
        <v>6.3399999999999999</v>
      </c>
      <c r="N3063" s="36">
        <v>6.3399999999999999</v>
      </c>
    </row>
    <row r="3064" ht="12.75">
      <c r="A3064" s="19" t="s">
        <v>10460</v>
      </c>
      <c r="B3064" s="19">
        <v>4208</v>
      </c>
      <c r="C3064" s="20" t="s">
        <v>13530</v>
      </c>
      <c r="D3064" s="19" t="s">
        <v>31</v>
      </c>
      <c r="E3064" s="19" t="s">
        <v>10459</v>
      </c>
      <c r="F3064" s="21">
        <f t="shared" si="576"/>
        <v>60.439999999999998</v>
      </c>
      <c r="G3064" s="21">
        <f t="shared" si="576"/>
        <v>60.439999999999998</v>
      </c>
      <c r="H3064" s="21">
        <f t="shared" si="576"/>
        <v>60.439999999999998</v>
      </c>
      <c r="I3064" s="24" t="str">
        <f t="shared" si="577"/>
        <v xml:space="preserve">COM VALOR</v>
      </c>
      <c r="L3064" s="36">
        <v>60.439999999999998</v>
      </c>
      <c r="M3064" s="37">
        <v>60.439999999999998</v>
      </c>
      <c r="N3064" s="36">
        <v>60.439999999999998</v>
      </c>
    </row>
    <row r="3065" ht="12.75">
      <c r="A3065" s="19" t="s">
        <v>10460</v>
      </c>
      <c r="B3065" s="19">
        <v>4181</v>
      </c>
      <c r="C3065" s="20" t="s">
        <v>13531</v>
      </c>
      <c r="D3065" s="19" t="s">
        <v>31</v>
      </c>
      <c r="E3065" s="19" t="s">
        <v>10459</v>
      </c>
      <c r="F3065" s="21">
        <f t="shared" si="576"/>
        <v>39.490000000000002</v>
      </c>
      <c r="G3065" s="21">
        <f t="shared" si="576"/>
        <v>39.490000000000002</v>
      </c>
      <c r="H3065" s="21">
        <f t="shared" si="576"/>
        <v>39.490000000000002</v>
      </c>
      <c r="I3065" s="24" t="str">
        <f t="shared" si="577"/>
        <v xml:space="preserve">COM VALOR</v>
      </c>
      <c r="L3065" s="36">
        <v>39.490000000000002</v>
      </c>
      <c r="M3065" s="37">
        <v>39.490000000000002</v>
      </c>
      <c r="N3065" s="36">
        <v>39.490000000000002</v>
      </c>
    </row>
    <row r="3066" ht="12.75">
      <c r="A3066" s="19" t="s">
        <v>10460</v>
      </c>
      <c r="B3066" s="19">
        <v>4182</v>
      </c>
      <c r="C3066" s="20" t="s">
        <v>13532</v>
      </c>
      <c r="D3066" s="19" t="s">
        <v>31</v>
      </c>
      <c r="E3066" s="19" t="s">
        <v>10459</v>
      </c>
      <c r="F3066" s="21">
        <f t="shared" si="576"/>
        <v>98.310000000000002</v>
      </c>
      <c r="G3066" s="21">
        <f t="shared" si="576"/>
        <v>98.310000000000002</v>
      </c>
      <c r="H3066" s="21">
        <f t="shared" si="576"/>
        <v>98.310000000000002</v>
      </c>
      <c r="I3066" s="24" t="str">
        <f t="shared" si="577"/>
        <v xml:space="preserve">COM VALOR</v>
      </c>
      <c r="L3066" s="36">
        <v>98.310000000000002</v>
      </c>
      <c r="M3066" s="37">
        <v>98.310000000000002</v>
      </c>
      <c r="N3066" s="36">
        <v>98.310000000000002</v>
      </c>
    </row>
    <row r="3067" ht="12.75">
      <c r="A3067" s="19" t="s">
        <v>10460</v>
      </c>
      <c r="B3067" s="19">
        <v>4178</v>
      </c>
      <c r="C3067" s="20" t="s">
        <v>13533</v>
      </c>
      <c r="D3067" s="19" t="s">
        <v>31</v>
      </c>
      <c r="E3067" s="19" t="s">
        <v>10459</v>
      </c>
      <c r="F3067" s="21">
        <f t="shared" si="576"/>
        <v>8.8000000000000007</v>
      </c>
      <c r="G3067" s="21">
        <f t="shared" si="576"/>
        <v>8.8000000000000007</v>
      </c>
      <c r="H3067" s="21">
        <f t="shared" si="576"/>
        <v>8.8000000000000007</v>
      </c>
      <c r="I3067" s="24" t="str">
        <f t="shared" si="577"/>
        <v xml:space="preserve">COM VALOR</v>
      </c>
      <c r="L3067" s="36">
        <v>8.8000000000000007</v>
      </c>
      <c r="M3067" s="37">
        <v>8.8000000000000007</v>
      </c>
      <c r="N3067" s="36">
        <v>8.8000000000000007</v>
      </c>
    </row>
    <row r="3068" ht="12.75">
      <c r="A3068" s="19" t="s">
        <v>10460</v>
      </c>
      <c r="B3068" s="19">
        <v>4183</v>
      </c>
      <c r="C3068" s="20" t="s">
        <v>13534</v>
      </c>
      <c r="D3068" s="19" t="s">
        <v>31</v>
      </c>
      <c r="E3068" s="19" t="s">
        <v>10459</v>
      </c>
      <c r="F3068" s="21">
        <f t="shared" si="576"/>
        <v>158.28</v>
      </c>
      <c r="G3068" s="21">
        <f t="shared" si="576"/>
        <v>158.28</v>
      </c>
      <c r="H3068" s="21">
        <f t="shared" si="576"/>
        <v>158.28</v>
      </c>
      <c r="I3068" s="24" t="str">
        <f t="shared" si="577"/>
        <v xml:space="preserve">COM VALOR</v>
      </c>
      <c r="L3068" s="36">
        <v>158.28</v>
      </c>
      <c r="M3068" s="37">
        <v>158.28</v>
      </c>
      <c r="N3068" s="36">
        <v>158.28</v>
      </c>
    </row>
    <row r="3069" ht="12.75">
      <c r="A3069" s="19" t="s">
        <v>10460</v>
      </c>
      <c r="B3069" s="19">
        <v>4184</v>
      </c>
      <c r="C3069" s="20" t="s">
        <v>13535</v>
      </c>
      <c r="D3069" s="19" t="s">
        <v>31</v>
      </c>
      <c r="E3069" s="19" t="s">
        <v>10459</v>
      </c>
      <c r="F3069" s="21">
        <f t="shared" si="576"/>
        <v>349.38999999999999</v>
      </c>
      <c r="G3069" s="21">
        <f t="shared" si="576"/>
        <v>349.38999999999999</v>
      </c>
      <c r="H3069" s="21">
        <f t="shared" si="576"/>
        <v>349.38999999999999</v>
      </c>
      <c r="I3069" s="24" t="str">
        <f t="shared" si="577"/>
        <v xml:space="preserve">COM VALOR</v>
      </c>
      <c r="L3069" s="36">
        <v>349.38999999999999</v>
      </c>
      <c r="M3069" s="37">
        <v>349.38999999999999</v>
      </c>
      <c r="N3069" s="36">
        <v>349.38999999999999</v>
      </c>
    </row>
    <row r="3070" ht="12.75">
      <c r="A3070" s="19" t="s">
        <v>10460</v>
      </c>
      <c r="B3070" s="19">
        <v>4185</v>
      </c>
      <c r="C3070" s="20" t="s">
        <v>13536</v>
      </c>
      <c r="D3070" s="19" t="s">
        <v>31</v>
      </c>
      <c r="E3070" s="19" t="s">
        <v>10459</v>
      </c>
      <c r="F3070" s="21">
        <f t="shared" si="576"/>
        <v>580.51999999999998</v>
      </c>
      <c r="G3070" s="21">
        <f t="shared" si="576"/>
        <v>580.51999999999998</v>
      </c>
      <c r="H3070" s="21">
        <f t="shared" si="576"/>
        <v>580.51999999999998</v>
      </c>
      <c r="I3070" s="24" t="str">
        <f t="shared" si="577"/>
        <v xml:space="preserve">COM VALOR</v>
      </c>
      <c r="L3070" s="36">
        <v>580.51999999999998</v>
      </c>
      <c r="M3070" s="37">
        <v>580.51999999999998</v>
      </c>
      <c r="N3070" s="36">
        <v>580.51999999999998</v>
      </c>
    </row>
    <row r="3071" ht="25.5">
      <c r="A3071" s="19" t="s">
        <v>10460</v>
      </c>
      <c r="B3071" s="19">
        <v>4205</v>
      </c>
      <c r="C3071" s="20" t="s">
        <v>13537</v>
      </c>
      <c r="D3071" s="19" t="s">
        <v>31</v>
      </c>
      <c r="E3071" s="19" t="s">
        <v>10459</v>
      </c>
      <c r="F3071" s="21">
        <f t="shared" si="576"/>
        <v>33.530000000000001</v>
      </c>
      <c r="G3071" s="21">
        <f t="shared" si="576"/>
        <v>33.530000000000001</v>
      </c>
      <c r="H3071" s="21">
        <f t="shared" si="576"/>
        <v>33.530000000000001</v>
      </c>
      <c r="I3071" s="24" t="str">
        <f t="shared" si="577"/>
        <v xml:space="preserve">COM VALOR</v>
      </c>
      <c r="L3071" s="36">
        <v>33.530000000000001</v>
      </c>
      <c r="M3071" s="37">
        <v>33.530000000000001</v>
      </c>
      <c r="N3071" s="36">
        <v>33.530000000000001</v>
      </c>
    </row>
    <row r="3072" ht="25.5">
      <c r="A3072" s="19" t="s">
        <v>10460</v>
      </c>
      <c r="B3072" s="19">
        <v>4192</v>
      </c>
      <c r="C3072" s="20" t="s">
        <v>13538</v>
      </c>
      <c r="D3072" s="19" t="s">
        <v>31</v>
      </c>
      <c r="E3072" s="19" t="s">
        <v>10459</v>
      </c>
      <c r="F3072" s="21">
        <f t="shared" si="576"/>
        <v>33.530000000000001</v>
      </c>
      <c r="G3072" s="21">
        <f t="shared" si="576"/>
        <v>33.530000000000001</v>
      </c>
      <c r="H3072" s="21">
        <f t="shared" si="576"/>
        <v>33.530000000000001</v>
      </c>
      <c r="I3072" s="24" t="str">
        <f t="shared" si="577"/>
        <v xml:space="preserve">COM VALOR</v>
      </c>
      <c r="L3072" s="36">
        <v>33.530000000000001</v>
      </c>
      <c r="M3072" s="37">
        <v>33.530000000000001</v>
      </c>
      <c r="N3072" s="36">
        <v>33.530000000000001</v>
      </c>
    </row>
    <row r="3073" ht="25.5">
      <c r="A3073" s="19" t="s">
        <v>10460</v>
      </c>
      <c r="B3073" s="19">
        <v>4191</v>
      </c>
      <c r="C3073" s="20" t="s">
        <v>13539</v>
      </c>
      <c r="D3073" s="19" t="s">
        <v>31</v>
      </c>
      <c r="E3073" s="19" t="s">
        <v>10459</v>
      </c>
      <c r="F3073" s="21">
        <f t="shared" si="576"/>
        <v>33.530000000000001</v>
      </c>
      <c r="G3073" s="21">
        <f t="shared" si="576"/>
        <v>33.530000000000001</v>
      </c>
      <c r="H3073" s="21">
        <f t="shared" si="576"/>
        <v>33.530000000000001</v>
      </c>
      <c r="I3073" s="24" t="str">
        <f t="shared" si="577"/>
        <v xml:space="preserve">COM VALOR</v>
      </c>
      <c r="L3073" s="36">
        <v>33.530000000000001</v>
      </c>
      <c r="M3073" s="37">
        <v>33.530000000000001</v>
      </c>
      <c r="N3073" s="36">
        <v>33.530000000000001</v>
      </c>
    </row>
    <row r="3074" ht="25.5">
      <c r="A3074" s="19" t="s">
        <v>10460</v>
      </c>
      <c r="B3074" s="19">
        <v>4206</v>
      </c>
      <c r="C3074" s="20" t="s">
        <v>13540</v>
      </c>
      <c r="D3074" s="19" t="s">
        <v>31</v>
      </c>
      <c r="E3074" s="19" t="s">
        <v>10459</v>
      </c>
      <c r="F3074" s="21">
        <f t="shared" si="576"/>
        <v>26.199999999999999</v>
      </c>
      <c r="G3074" s="21">
        <f t="shared" si="576"/>
        <v>26.199999999999999</v>
      </c>
      <c r="H3074" s="21">
        <f t="shared" si="576"/>
        <v>26.199999999999999</v>
      </c>
      <c r="I3074" s="24" t="str">
        <f t="shared" si="577"/>
        <v xml:space="preserve">COM VALOR</v>
      </c>
      <c r="L3074" s="36">
        <v>26.199999999999999</v>
      </c>
      <c r="M3074" s="37">
        <v>26.199999999999999</v>
      </c>
      <c r="N3074" s="36">
        <v>26.199999999999999</v>
      </c>
    </row>
    <row r="3075" ht="25.5">
      <c r="A3075" s="19" t="s">
        <v>10460</v>
      </c>
      <c r="B3075" s="19">
        <v>4207</v>
      </c>
      <c r="C3075" s="20" t="s">
        <v>13541</v>
      </c>
      <c r="D3075" s="19" t="s">
        <v>31</v>
      </c>
      <c r="E3075" s="19" t="s">
        <v>10459</v>
      </c>
      <c r="F3075" s="21">
        <f t="shared" si="576"/>
        <v>26.98</v>
      </c>
      <c r="G3075" s="21">
        <f t="shared" si="576"/>
        <v>26.98</v>
      </c>
      <c r="H3075" s="21">
        <f t="shared" si="576"/>
        <v>26.98</v>
      </c>
      <c r="I3075" s="24" t="str">
        <f t="shared" si="577"/>
        <v xml:space="preserve">COM VALOR</v>
      </c>
      <c r="L3075" s="36">
        <v>26.98</v>
      </c>
      <c r="M3075" s="37">
        <v>26.98</v>
      </c>
      <c r="N3075" s="36">
        <v>26.98</v>
      </c>
    </row>
    <row r="3076" ht="25.5">
      <c r="A3076" s="19" t="s">
        <v>10460</v>
      </c>
      <c r="B3076" s="19">
        <v>4190</v>
      </c>
      <c r="C3076" s="20" t="s">
        <v>13542</v>
      </c>
      <c r="D3076" s="19" t="s">
        <v>31</v>
      </c>
      <c r="E3076" s="19" t="s">
        <v>10459</v>
      </c>
      <c r="F3076" s="21">
        <f t="shared" si="576"/>
        <v>26.199999999999999</v>
      </c>
      <c r="G3076" s="21">
        <f t="shared" si="576"/>
        <v>26.199999999999999</v>
      </c>
      <c r="H3076" s="21">
        <f t="shared" si="576"/>
        <v>26.199999999999999</v>
      </c>
      <c r="I3076" s="24" t="str">
        <f t="shared" si="577"/>
        <v xml:space="preserve">COM VALOR</v>
      </c>
      <c r="L3076" s="36">
        <v>26.199999999999999</v>
      </c>
      <c r="M3076" s="37">
        <v>26.199999999999999</v>
      </c>
      <c r="N3076" s="36">
        <v>26.199999999999999</v>
      </c>
    </row>
    <row r="3077" ht="25.5">
      <c r="A3077" s="19" t="s">
        <v>10460</v>
      </c>
      <c r="B3077" s="19">
        <v>4188</v>
      </c>
      <c r="C3077" s="20" t="s">
        <v>13543</v>
      </c>
      <c r="D3077" s="19" t="s">
        <v>31</v>
      </c>
      <c r="E3077" s="19" t="s">
        <v>10459</v>
      </c>
      <c r="F3077" s="21">
        <f t="shared" si="576"/>
        <v>15.81</v>
      </c>
      <c r="G3077" s="21">
        <f t="shared" si="576"/>
        <v>15.81</v>
      </c>
      <c r="H3077" s="21">
        <f t="shared" si="576"/>
        <v>15.81</v>
      </c>
      <c r="I3077" s="24" t="str">
        <f t="shared" si="577"/>
        <v xml:space="preserve">COM VALOR</v>
      </c>
      <c r="L3077" s="36">
        <v>15.81</v>
      </c>
      <c r="M3077" s="37">
        <v>15.81</v>
      </c>
      <c r="N3077" s="36">
        <v>15.81</v>
      </c>
    </row>
    <row r="3078" ht="25.5">
      <c r="A3078" s="19" t="s">
        <v>10460</v>
      </c>
      <c r="B3078" s="19">
        <v>4189</v>
      </c>
      <c r="C3078" s="20" t="s">
        <v>13544</v>
      </c>
      <c r="D3078" s="19" t="s">
        <v>31</v>
      </c>
      <c r="E3078" s="19" t="s">
        <v>10459</v>
      </c>
      <c r="F3078" s="21">
        <f t="shared" si="576"/>
        <v>15.81</v>
      </c>
      <c r="G3078" s="21">
        <f t="shared" si="576"/>
        <v>15.81</v>
      </c>
      <c r="H3078" s="21">
        <f t="shared" si="576"/>
        <v>15.81</v>
      </c>
      <c r="I3078" s="24" t="str">
        <f t="shared" si="577"/>
        <v xml:space="preserve">COM VALOR</v>
      </c>
      <c r="L3078" s="36">
        <v>15.81</v>
      </c>
      <c r="M3078" s="37">
        <v>15.81</v>
      </c>
      <c r="N3078" s="36">
        <v>15.81</v>
      </c>
    </row>
    <row r="3079" ht="25.5">
      <c r="A3079" s="19" t="s">
        <v>10460</v>
      </c>
      <c r="B3079" s="19">
        <v>4186</v>
      </c>
      <c r="C3079" s="20" t="s">
        <v>13545</v>
      </c>
      <c r="D3079" s="19" t="s">
        <v>31</v>
      </c>
      <c r="E3079" s="19" t="s">
        <v>10459</v>
      </c>
      <c r="F3079" s="21">
        <f t="shared" si="576"/>
        <v>7.7400000000000002</v>
      </c>
      <c r="G3079" s="21">
        <f t="shared" si="576"/>
        <v>7.7400000000000002</v>
      </c>
      <c r="H3079" s="21">
        <f t="shared" si="576"/>
        <v>7.7400000000000002</v>
      </c>
      <c r="I3079" s="24" t="str">
        <f t="shared" si="577"/>
        <v xml:space="preserve">COM VALOR</v>
      </c>
      <c r="L3079" s="36">
        <v>7.7400000000000002</v>
      </c>
      <c r="M3079" s="37">
        <v>7.7400000000000002</v>
      </c>
      <c r="N3079" s="36">
        <v>7.7400000000000002</v>
      </c>
    </row>
    <row r="3080" ht="25.5">
      <c r="A3080" s="19" t="s">
        <v>10460</v>
      </c>
      <c r="B3080" s="19">
        <v>4197</v>
      </c>
      <c r="C3080" s="20" t="s">
        <v>13546</v>
      </c>
      <c r="D3080" s="19" t="s">
        <v>31</v>
      </c>
      <c r="E3080" s="19" t="s">
        <v>10459</v>
      </c>
      <c r="F3080" s="21">
        <f t="shared" si="576"/>
        <v>83.709999999999994</v>
      </c>
      <c r="G3080" s="21">
        <f t="shared" si="576"/>
        <v>83.709999999999994</v>
      </c>
      <c r="H3080" s="21">
        <f t="shared" si="576"/>
        <v>83.709999999999994</v>
      </c>
      <c r="I3080" s="24" t="str">
        <f t="shared" si="577"/>
        <v xml:space="preserve">COM VALOR</v>
      </c>
      <c r="L3080" s="36">
        <v>83.709999999999994</v>
      </c>
      <c r="M3080" s="37">
        <v>83.709999999999994</v>
      </c>
      <c r="N3080" s="36">
        <v>83.709999999999994</v>
      </c>
    </row>
    <row r="3081" ht="25.5">
      <c r="A3081" s="19" t="s">
        <v>10460</v>
      </c>
      <c r="B3081" s="19">
        <v>4194</v>
      </c>
      <c r="C3081" s="20" t="s">
        <v>13547</v>
      </c>
      <c r="D3081" s="19" t="s">
        <v>31</v>
      </c>
      <c r="E3081" s="19" t="s">
        <v>10459</v>
      </c>
      <c r="F3081" s="21">
        <f t="shared" si="576"/>
        <v>50.579999999999998</v>
      </c>
      <c r="G3081" s="21">
        <f t="shared" si="576"/>
        <v>50.579999999999998</v>
      </c>
      <c r="H3081" s="21">
        <f t="shared" si="576"/>
        <v>50.579999999999998</v>
      </c>
      <c r="I3081" s="24" t="str">
        <f t="shared" si="577"/>
        <v xml:space="preserve">COM VALOR</v>
      </c>
      <c r="L3081" s="36">
        <v>50.579999999999998</v>
      </c>
      <c r="M3081" s="37">
        <v>50.579999999999998</v>
      </c>
      <c r="N3081" s="36">
        <v>50.579999999999998</v>
      </c>
    </row>
    <row r="3082" ht="25.5">
      <c r="A3082" s="19" t="s">
        <v>10460</v>
      </c>
      <c r="B3082" s="19">
        <v>4193</v>
      </c>
      <c r="C3082" s="20" t="s">
        <v>13548</v>
      </c>
      <c r="D3082" s="19" t="s">
        <v>31</v>
      </c>
      <c r="E3082" s="19" t="s">
        <v>10459</v>
      </c>
      <c r="F3082" s="21">
        <f t="shared" si="576"/>
        <v>50.579999999999998</v>
      </c>
      <c r="G3082" s="21">
        <f t="shared" si="576"/>
        <v>50.579999999999998</v>
      </c>
      <c r="H3082" s="21">
        <f t="shared" si="576"/>
        <v>50.579999999999998</v>
      </c>
      <c r="I3082" s="24" t="str">
        <f t="shared" si="577"/>
        <v xml:space="preserve">COM VALOR</v>
      </c>
      <c r="L3082" s="36">
        <v>50.579999999999998</v>
      </c>
      <c r="M3082" s="37">
        <v>50.579999999999998</v>
      </c>
      <c r="N3082" s="36">
        <v>50.579999999999998</v>
      </c>
    </row>
    <row r="3083" ht="25.5">
      <c r="A3083" s="19" t="s">
        <v>10460</v>
      </c>
      <c r="B3083" s="19">
        <v>4204</v>
      </c>
      <c r="C3083" s="20" t="s">
        <v>13549</v>
      </c>
      <c r="D3083" s="19" t="s">
        <v>31</v>
      </c>
      <c r="E3083" s="19" t="s">
        <v>10459</v>
      </c>
      <c r="F3083" s="21">
        <f t="shared" ref="F3083:H3146" si="578">IF(L3083=0,"VERIFICAR",L3083)</f>
        <v>50.579999999999998</v>
      </c>
      <c r="G3083" s="21">
        <f t="shared" si="578"/>
        <v>50.579999999999998</v>
      </c>
      <c r="H3083" s="21">
        <f t="shared" si="578"/>
        <v>50.579999999999998</v>
      </c>
      <c r="I3083" s="24" t="str">
        <f t="shared" ref="I3083:I3146" si="579">IF(OR(L3083=0,M3083=0,N3083=0),"SEM VALOR","COM VALOR")</f>
        <v xml:space="preserve">COM VALOR</v>
      </c>
      <c r="L3083" s="36">
        <v>50.579999999999998</v>
      </c>
      <c r="M3083" s="37">
        <v>50.579999999999998</v>
      </c>
      <c r="N3083" s="36">
        <v>50.579999999999998</v>
      </c>
    </row>
    <row r="3084" ht="25.5">
      <c r="A3084" s="19" t="s">
        <v>10460</v>
      </c>
      <c r="B3084" s="19">
        <v>4202</v>
      </c>
      <c r="C3084" s="20" t="s">
        <v>13550</v>
      </c>
      <c r="D3084" s="19" t="s">
        <v>31</v>
      </c>
      <c r="E3084" s="19" t="s">
        <v>10459</v>
      </c>
      <c r="F3084" s="21">
        <f t="shared" si="578"/>
        <v>152.88</v>
      </c>
      <c r="G3084" s="21">
        <f t="shared" si="578"/>
        <v>152.88</v>
      </c>
      <c r="H3084" s="21">
        <f t="shared" si="578"/>
        <v>152.88</v>
      </c>
      <c r="I3084" s="24" t="str">
        <f t="shared" si="579"/>
        <v xml:space="preserve">COM VALOR</v>
      </c>
      <c r="L3084" s="36">
        <v>152.88</v>
      </c>
      <c r="M3084" s="37">
        <v>152.88</v>
      </c>
      <c r="N3084" s="36">
        <v>152.88</v>
      </c>
    </row>
    <row r="3085" ht="25.5">
      <c r="A3085" s="19" t="s">
        <v>10460</v>
      </c>
      <c r="B3085" s="19">
        <v>4203</v>
      </c>
      <c r="C3085" s="20" t="s">
        <v>13551</v>
      </c>
      <c r="D3085" s="19" t="s">
        <v>31</v>
      </c>
      <c r="E3085" s="19" t="s">
        <v>10459</v>
      </c>
      <c r="F3085" s="21">
        <f t="shared" si="578"/>
        <v>135.02000000000001</v>
      </c>
      <c r="G3085" s="21">
        <f t="shared" si="578"/>
        <v>135.02000000000001</v>
      </c>
      <c r="H3085" s="21">
        <f t="shared" si="578"/>
        <v>135.02000000000001</v>
      </c>
      <c r="I3085" s="24" t="str">
        <f t="shared" si="579"/>
        <v xml:space="preserve">COM VALOR</v>
      </c>
      <c r="L3085" s="36">
        <v>135.02000000000001</v>
      </c>
      <c r="M3085" s="37">
        <v>135.02000000000001</v>
      </c>
      <c r="N3085" s="36">
        <v>135.02000000000001</v>
      </c>
    </row>
    <row r="3086" ht="25.5">
      <c r="A3086" s="19" t="s">
        <v>10460</v>
      </c>
      <c r="B3086" s="19">
        <v>4187</v>
      </c>
      <c r="C3086" s="20" t="s">
        <v>13552</v>
      </c>
      <c r="D3086" s="19" t="s">
        <v>31</v>
      </c>
      <c r="E3086" s="19" t="s">
        <v>10459</v>
      </c>
      <c r="F3086" s="21">
        <f t="shared" si="578"/>
        <v>10.08</v>
      </c>
      <c r="G3086" s="21">
        <f t="shared" si="578"/>
        <v>10.08</v>
      </c>
      <c r="H3086" s="21">
        <f t="shared" si="578"/>
        <v>10.08</v>
      </c>
      <c r="I3086" s="24" t="str">
        <f t="shared" si="579"/>
        <v xml:space="preserve">COM VALOR</v>
      </c>
      <c r="L3086" s="36">
        <v>10.08</v>
      </c>
      <c r="M3086" s="37">
        <v>10.08</v>
      </c>
      <c r="N3086" s="36">
        <v>10.08</v>
      </c>
    </row>
    <row r="3087" ht="25.5">
      <c r="A3087" s="19" t="s">
        <v>10460</v>
      </c>
      <c r="B3087" s="19">
        <v>40368</v>
      </c>
      <c r="C3087" s="20" t="s">
        <v>13553</v>
      </c>
      <c r="D3087" s="19" t="s">
        <v>31</v>
      </c>
      <c r="E3087" s="19" t="s">
        <v>10459</v>
      </c>
      <c r="F3087" s="21" t="str">
        <f t="shared" si="578"/>
        <v>VERIFICAR</v>
      </c>
      <c r="G3087" s="21" t="str">
        <f t="shared" si="578"/>
        <v>VERIFICAR</v>
      </c>
      <c r="H3087" s="21" t="str">
        <f t="shared" si="578"/>
        <v>VERIFICAR</v>
      </c>
      <c r="I3087" s="24" t="str">
        <f t="shared" si="579"/>
        <v xml:space="preserve">SEM VALOR</v>
      </c>
      <c r="L3087" s="36"/>
      <c r="M3087" s="37"/>
      <c r="N3087" s="36"/>
    </row>
    <row r="3088" ht="25.5">
      <c r="A3088" s="19" t="s">
        <v>10460</v>
      </c>
      <c r="B3088" s="19">
        <v>40365</v>
      </c>
      <c r="C3088" s="20" t="s">
        <v>13554</v>
      </c>
      <c r="D3088" s="19" t="s">
        <v>31</v>
      </c>
      <c r="E3088" s="19" t="s">
        <v>10459</v>
      </c>
      <c r="F3088" s="21" t="str">
        <f t="shared" si="578"/>
        <v>VERIFICAR</v>
      </c>
      <c r="G3088" s="21" t="str">
        <f t="shared" si="578"/>
        <v>VERIFICAR</v>
      </c>
      <c r="H3088" s="21" t="str">
        <f t="shared" si="578"/>
        <v>VERIFICAR</v>
      </c>
      <c r="I3088" s="24" t="str">
        <f t="shared" si="579"/>
        <v xml:space="preserve">SEM VALOR</v>
      </c>
      <c r="L3088" s="36"/>
      <c r="M3088" s="37"/>
      <c r="N3088" s="36"/>
    </row>
    <row r="3089" ht="25.5">
      <c r="A3089" s="19" t="s">
        <v>10460</v>
      </c>
      <c r="B3089" s="19">
        <v>40362</v>
      </c>
      <c r="C3089" s="20" t="s">
        <v>13555</v>
      </c>
      <c r="D3089" s="19" t="s">
        <v>31</v>
      </c>
      <c r="E3089" s="19" t="s">
        <v>10459</v>
      </c>
      <c r="F3089" s="21" t="str">
        <f t="shared" si="578"/>
        <v>VERIFICAR</v>
      </c>
      <c r="G3089" s="21" t="str">
        <f t="shared" si="578"/>
        <v>VERIFICAR</v>
      </c>
      <c r="H3089" s="21" t="str">
        <f t="shared" si="578"/>
        <v>VERIFICAR</v>
      </c>
      <c r="I3089" s="24" t="str">
        <f t="shared" si="579"/>
        <v xml:space="preserve">SEM VALOR</v>
      </c>
      <c r="L3089" s="36"/>
      <c r="M3089" s="37"/>
      <c r="N3089" s="36"/>
    </row>
    <row r="3090" ht="25.5">
      <c r="A3090" s="19" t="s">
        <v>10460</v>
      </c>
      <c r="B3090" s="19">
        <v>40356</v>
      </c>
      <c r="C3090" s="20" t="s">
        <v>13556</v>
      </c>
      <c r="D3090" s="19" t="s">
        <v>31</v>
      </c>
      <c r="E3090" s="19" t="s">
        <v>10459</v>
      </c>
      <c r="F3090" s="21" t="str">
        <f t="shared" si="578"/>
        <v>VERIFICAR</v>
      </c>
      <c r="G3090" s="21" t="str">
        <f t="shared" si="578"/>
        <v>VERIFICAR</v>
      </c>
      <c r="H3090" s="21" t="str">
        <f t="shared" si="578"/>
        <v>VERIFICAR</v>
      </c>
      <c r="I3090" s="24" t="str">
        <f t="shared" si="579"/>
        <v xml:space="preserve">SEM VALOR</v>
      </c>
      <c r="L3090" s="36"/>
      <c r="M3090" s="37"/>
      <c r="N3090" s="36"/>
    </row>
    <row r="3091" ht="25.5">
      <c r="A3091" s="19" t="s">
        <v>10460</v>
      </c>
      <c r="B3091" s="19">
        <v>40374</v>
      </c>
      <c r="C3091" s="20" t="s">
        <v>13557</v>
      </c>
      <c r="D3091" s="19" t="s">
        <v>31</v>
      </c>
      <c r="E3091" s="19" t="s">
        <v>10459</v>
      </c>
      <c r="F3091" s="21" t="str">
        <f t="shared" si="578"/>
        <v>VERIFICAR</v>
      </c>
      <c r="G3091" s="21" t="str">
        <f t="shared" si="578"/>
        <v>VERIFICAR</v>
      </c>
      <c r="H3091" s="21" t="str">
        <f t="shared" si="578"/>
        <v>VERIFICAR</v>
      </c>
      <c r="I3091" s="24" t="str">
        <f t="shared" si="579"/>
        <v xml:space="preserve">SEM VALOR</v>
      </c>
      <c r="L3091" s="36"/>
      <c r="M3091" s="37"/>
      <c r="N3091" s="36"/>
    </row>
    <row r="3092" ht="25.5">
      <c r="A3092" s="19" t="s">
        <v>10460</v>
      </c>
      <c r="B3092" s="19">
        <v>40371</v>
      </c>
      <c r="C3092" s="20" t="s">
        <v>13558</v>
      </c>
      <c r="D3092" s="19" t="s">
        <v>31</v>
      </c>
      <c r="E3092" s="19" t="s">
        <v>10459</v>
      </c>
      <c r="F3092" s="21" t="str">
        <f t="shared" si="578"/>
        <v>VERIFICAR</v>
      </c>
      <c r="G3092" s="21" t="str">
        <f t="shared" si="578"/>
        <v>VERIFICAR</v>
      </c>
      <c r="H3092" s="21" t="str">
        <f t="shared" si="578"/>
        <v>VERIFICAR</v>
      </c>
      <c r="I3092" s="24" t="str">
        <f t="shared" si="579"/>
        <v xml:space="preserve">SEM VALOR</v>
      </c>
      <c r="L3092" s="36"/>
      <c r="M3092" s="37"/>
      <c r="N3092" s="36"/>
    </row>
    <row r="3093" ht="25.5">
      <c r="A3093" s="19" t="s">
        <v>10460</v>
      </c>
      <c r="B3093" s="19">
        <v>40359</v>
      </c>
      <c r="C3093" s="20" t="s">
        <v>13559</v>
      </c>
      <c r="D3093" s="19" t="s">
        <v>31</v>
      </c>
      <c r="E3093" s="19" t="s">
        <v>10459</v>
      </c>
      <c r="F3093" s="21" t="str">
        <f t="shared" si="578"/>
        <v>VERIFICAR</v>
      </c>
      <c r="G3093" s="21" t="str">
        <f t="shared" si="578"/>
        <v>VERIFICAR</v>
      </c>
      <c r="H3093" s="21" t="str">
        <f t="shared" si="578"/>
        <v>VERIFICAR</v>
      </c>
      <c r="I3093" s="24" t="str">
        <f t="shared" si="579"/>
        <v xml:space="preserve">SEM VALOR</v>
      </c>
      <c r="L3093" s="36"/>
      <c r="M3093" s="37"/>
      <c r="N3093" s="36"/>
    </row>
    <row r="3094" ht="12.75">
      <c r="A3094" s="19" t="s">
        <v>10460</v>
      </c>
      <c r="B3094" s="19">
        <v>45201</v>
      </c>
      <c r="C3094" s="20" t="s">
        <v>13560</v>
      </c>
      <c r="D3094" s="19" t="s">
        <v>31</v>
      </c>
      <c r="E3094" s="19" t="s">
        <v>10459</v>
      </c>
      <c r="F3094" s="21">
        <f t="shared" si="578"/>
        <v>50.960000000000001</v>
      </c>
      <c r="G3094" s="21">
        <f t="shared" si="578"/>
        <v>50.960000000000001</v>
      </c>
      <c r="H3094" s="21">
        <f t="shared" si="578"/>
        <v>50.960000000000001</v>
      </c>
      <c r="I3094" s="24" t="str">
        <f t="shared" si="579"/>
        <v xml:space="preserve">COM VALOR</v>
      </c>
      <c r="L3094" s="36">
        <v>50.960000000000001</v>
      </c>
      <c r="M3094" s="37">
        <v>50.960000000000001</v>
      </c>
      <c r="N3094" s="36">
        <v>50.960000000000001</v>
      </c>
    </row>
    <row r="3095" ht="12.75">
      <c r="A3095" s="19" t="s">
        <v>10604</v>
      </c>
      <c r="B3095" s="19">
        <v>7595</v>
      </c>
      <c r="C3095" s="20" t="s">
        <v>13561</v>
      </c>
      <c r="D3095" s="19" t="s">
        <v>2032</v>
      </c>
      <c r="E3095" s="19" t="s">
        <v>10459</v>
      </c>
      <c r="F3095" s="21">
        <f t="shared" si="578"/>
        <v>16.5</v>
      </c>
      <c r="G3095" s="21">
        <f t="shared" si="578"/>
        <v>16.5</v>
      </c>
      <c r="H3095" s="21">
        <f t="shared" si="578"/>
        <v>16.5</v>
      </c>
      <c r="I3095" s="24" t="str">
        <f t="shared" si="579"/>
        <v xml:space="preserve">COM VALOR</v>
      </c>
      <c r="L3095" s="36">
        <v>16.5</v>
      </c>
      <c r="M3095" s="37">
        <v>16.5</v>
      </c>
      <c r="N3095" s="36">
        <v>16.5</v>
      </c>
    </row>
    <row r="3096" ht="12.75">
      <c r="A3096" s="19" t="s">
        <v>10604</v>
      </c>
      <c r="B3096" s="19">
        <v>41094</v>
      </c>
      <c r="C3096" s="20" t="s">
        <v>13562</v>
      </c>
      <c r="D3096" s="19" t="s">
        <v>7087</v>
      </c>
      <c r="E3096" s="19" t="s">
        <v>10459</v>
      </c>
      <c r="F3096" s="21">
        <f t="shared" si="578"/>
        <v>2888.9200000000001</v>
      </c>
      <c r="G3096" s="21">
        <f t="shared" si="578"/>
        <v>2888.9200000000001</v>
      </c>
      <c r="H3096" s="21">
        <f t="shared" si="578"/>
        <v>2888.9200000000001</v>
      </c>
      <c r="I3096" s="24" t="str">
        <f t="shared" si="579"/>
        <v xml:space="preserve">COM VALOR</v>
      </c>
      <c r="L3096" s="36">
        <v>2888.9200000000001</v>
      </c>
      <c r="M3096" s="37">
        <v>2888.9200000000001</v>
      </c>
      <c r="N3096" s="36">
        <v>2888.9200000000001</v>
      </c>
    </row>
    <row r="3097" ht="38.25">
      <c r="A3097" s="19" t="s">
        <v>10460</v>
      </c>
      <c r="B3097" s="19">
        <v>38175</v>
      </c>
      <c r="C3097" s="20" t="s">
        <v>13563</v>
      </c>
      <c r="D3097" s="19" t="s">
        <v>31</v>
      </c>
      <c r="E3097" s="19" t="s">
        <v>10459</v>
      </c>
      <c r="F3097" s="21">
        <f t="shared" si="578"/>
        <v>5.6500000000000004</v>
      </c>
      <c r="G3097" s="21">
        <f t="shared" si="578"/>
        <v>5.6500000000000004</v>
      </c>
      <c r="H3097" s="21">
        <f t="shared" si="578"/>
        <v>5.6500000000000004</v>
      </c>
      <c r="I3097" s="24" t="str">
        <f t="shared" si="579"/>
        <v xml:space="preserve">COM VALOR</v>
      </c>
      <c r="L3097" s="36">
        <v>5.6500000000000004</v>
      </c>
      <c r="M3097" s="37">
        <v>5.6500000000000004</v>
      </c>
      <c r="N3097" s="36">
        <v>5.6500000000000004</v>
      </c>
    </row>
    <row r="3098" ht="38.25">
      <c r="A3098" s="19" t="s">
        <v>10460</v>
      </c>
      <c r="B3098" s="19">
        <v>38176</v>
      </c>
      <c r="C3098" s="20" t="s">
        <v>13564</v>
      </c>
      <c r="D3098" s="19" t="s">
        <v>31</v>
      </c>
      <c r="E3098" s="19" t="s">
        <v>10459</v>
      </c>
      <c r="F3098" s="21">
        <f t="shared" si="578"/>
        <v>16.609999999999999</v>
      </c>
      <c r="G3098" s="21">
        <f t="shared" si="578"/>
        <v>16.609999999999999</v>
      </c>
      <c r="H3098" s="21">
        <f t="shared" si="578"/>
        <v>16.609999999999999</v>
      </c>
      <c r="I3098" s="24" t="str">
        <f t="shared" si="579"/>
        <v xml:space="preserve">COM VALOR</v>
      </c>
      <c r="L3098" s="36">
        <v>16.609999999999999</v>
      </c>
      <c r="M3098" s="37">
        <v>16.609999999999999</v>
      </c>
      <c r="N3098" s="36">
        <v>16.609999999999999</v>
      </c>
    </row>
    <row r="3099" ht="25.5">
      <c r="A3099" s="19" t="s">
        <v>10460</v>
      </c>
      <c r="B3099" s="19">
        <v>36152</v>
      </c>
      <c r="C3099" s="20" t="s">
        <v>13565</v>
      </c>
      <c r="D3099" s="19" t="s">
        <v>31</v>
      </c>
      <c r="E3099" s="19" t="s">
        <v>10459</v>
      </c>
      <c r="F3099" s="21">
        <f t="shared" si="578"/>
        <v>5.6399999999999997</v>
      </c>
      <c r="G3099" s="21">
        <f t="shared" si="578"/>
        <v>5.6399999999999997</v>
      </c>
      <c r="H3099" s="21">
        <f t="shared" si="578"/>
        <v>5.6399999999999997</v>
      </c>
      <c r="I3099" s="24" t="str">
        <f t="shared" si="579"/>
        <v xml:space="preserve">COM VALOR</v>
      </c>
      <c r="L3099" s="36">
        <v>5.6399999999999997</v>
      </c>
      <c r="M3099" s="37">
        <v>5.6399999999999997</v>
      </c>
      <c r="N3099" s="36">
        <v>5.6399999999999997</v>
      </c>
    </row>
    <row r="3100" ht="12.75">
      <c r="A3100" s="19" t="s">
        <v>10460</v>
      </c>
      <c r="B3100" s="19">
        <v>45212</v>
      </c>
      <c r="C3100" s="20" t="s">
        <v>13566</v>
      </c>
      <c r="D3100" s="19" t="s">
        <v>31</v>
      </c>
      <c r="E3100" s="19" t="s">
        <v>10459</v>
      </c>
      <c r="F3100" s="21">
        <f t="shared" si="578"/>
        <v>56.479999999999997</v>
      </c>
      <c r="G3100" s="21">
        <f t="shared" si="578"/>
        <v>56.479999999999997</v>
      </c>
      <c r="H3100" s="21">
        <f t="shared" si="578"/>
        <v>56.479999999999997</v>
      </c>
      <c r="I3100" s="24" t="str">
        <f t="shared" si="579"/>
        <v xml:space="preserve">COM VALOR</v>
      </c>
      <c r="L3100" s="36">
        <v>56.479999999999997</v>
      </c>
      <c r="M3100" s="37">
        <v>56.479999999999997</v>
      </c>
      <c r="N3100" s="36">
        <v>56.479999999999997</v>
      </c>
    </row>
    <row r="3101" ht="25.5">
      <c r="A3101" s="19" t="s">
        <v>10460</v>
      </c>
      <c r="B3101" s="19">
        <v>4221</v>
      </c>
      <c r="C3101" s="20" t="s">
        <v>13567</v>
      </c>
      <c r="D3101" s="19" t="s">
        <v>9794</v>
      </c>
      <c r="E3101" s="19" t="s">
        <v>10466</v>
      </c>
      <c r="F3101" s="21">
        <f t="shared" si="578"/>
        <v>6.79</v>
      </c>
      <c r="G3101" s="21">
        <f t="shared" si="578"/>
        <v>6.79</v>
      </c>
      <c r="H3101" s="21">
        <f t="shared" si="578"/>
        <v>6.79</v>
      </c>
      <c r="I3101" s="24" t="str">
        <f t="shared" si="579"/>
        <v xml:space="preserve">COM VALOR</v>
      </c>
      <c r="L3101" s="36">
        <v>6.79</v>
      </c>
      <c r="M3101" s="37">
        <v>6.79</v>
      </c>
      <c r="N3101" s="36">
        <v>6.79</v>
      </c>
    </row>
    <row r="3102" ht="38.25">
      <c r="A3102" s="19" t="s">
        <v>10460</v>
      </c>
      <c r="B3102" s="19">
        <v>4227</v>
      </c>
      <c r="C3102" s="20" t="s">
        <v>13568</v>
      </c>
      <c r="D3102" s="19" t="s">
        <v>9794</v>
      </c>
      <c r="E3102" s="19" t="s">
        <v>10459</v>
      </c>
      <c r="F3102" s="21">
        <f t="shared" si="578"/>
        <v>31.66</v>
      </c>
      <c r="G3102" s="21">
        <f t="shared" si="578"/>
        <v>31.66</v>
      </c>
      <c r="H3102" s="21">
        <f t="shared" si="578"/>
        <v>31.66</v>
      </c>
      <c r="I3102" s="24" t="str">
        <f t="shared" si="579"/>
        <v xml:space="preserve">COM VALOR</v>
      </c>
      <c r="L3102" s="36">
        <v>31.66</v>
      </c>
      <c r="M3102" s="37">
        <v>31.66</v>
      </c>
      <c r="N3102" s="36">
        <v>31.66</v>
      </c>
    </row>
    <row r="3103" ht="38.25">
      <c r="A3103" s="19" t="s">
        <v>10460</v>
      </c>
      <c r="B3103" s="19">
        <v>38170</v>
      </c>
      <c r="C3103" s="20" t="s">
        <v>13569</v>
      </c>
      <c r="D3103" s="19" t="s">
        <v>31</v>
      </c>
      <c r="E3103" s="19" t="s">
        <v>10459</v>
      </c>
      <c r="F3103" s="21">
        <f t="shared" si="578"/>
        <v>24.68</v>
      </c>
      <c r="G3103" s="21">
        <f t="shared" si="578"/>
        <v>24.68</v>
      </c>
      <c r="H3103" s="21">
        <f t="shared" si="578"/>
        <v>24.68</v>
      </c>
      <c r="I3103" s="24" t="str">
        <f t="shared" si="579"/>
        <v xml:space="preserve">COM VALOR</v>
      </c>
      <c r="L3103" s="36">
        <v>24.68</v>
      </c>
      <c r="M3103" s="37">
        <v>24.68</v>
      </c>
      <c r="N3103" s="36">
        <v>24.68</v>
      </c>
    </row>
    <row r="3104" ht="12.75">
      <c r="A3104" s="19" t="s">
        <v>10604</v>
      </c>
      <c r="B3104" s="19">
        <v>4252</v>
      </c>
      <c r="C3104" s="20" t="s">
        <v>13570</v>
      </c>
      <c r="D3104" s="19" t="s">
        <v>2032</v>
      </c>
      <c r="E3104" s="19" t="s">
        <v>10459</v>
      </c>
      <c r="F3104" s="21">
        <f t="shared" si="578"/>
        <v>22.899999999999999</v>
      </c>
      <c r="G3104" s="21">
        <f t="shared" si="578"/>
        <v>22.899999999999999</v>
      </c>
      <c r="H3104" s="21">
        <f t="shared" si="578"/>
        <v>22.899999999999999</v>
      </c>
      <c r="I3104" s="24" t="str">
        <f t="shared" si="579"/>
        <v xml:space="preserve">COM VALOR</v>
      </c>
      <c r="L3104" s="36">
        <v>22.899999999999999</v>
      </c>
      <c r="M3104" s="37">
        <v>22.899999999999999</v>
      </c>
      <c r="N3104" s="36">
        <v>22.899999999999999</v>
      </c>
    </row>
    <row r="3105" ht="12.75">
      <c r="A3105" s="19" t="s">
        <v>10604</v>
      </c>
      <c r="B3105" s="19">
        <v>40980</v>
      </c>
      <c r="C3105" s="20" t="s">
        <v>13571</v>
      </c>
      <c r="D3105" s="19" t="s">
        <v>7087</v>
      </c>
      <c r="E3105" s="19" t="s">
        <v>10459</v>
      </c>
      <c r="F3105" s="21">
        <f t="shared" si="578"/>
        <v>4009.2800000000002</v>
      </c>
      <c r="G3105" s="21">
        <f t="shared" si="578"/>
        <v>4009.2800000000002</v>
      </c>
      <c r="H3105" s="21">
        <f t="shared" si="578"/>
        <v>4009.2800000000002</v>
      </c>
      <c r="I3105" s="24" t="str">
        <f t="shared" si="579"/>
        <v xml:space="preserve">COM VALOR</v>
      </c>
      <c r="L3105" s="36">
        <v>4009.2800000000002</v>
      </c>
      <c r="M3105" s="37">
        <v>4009.2800000000002</v>
      </c>
      <c r="N3105" s="36">
        <v>4009.2800000000002</v>
      </c>
    </row>
    <row r="3106" ht="12.75">
      <c r="A3106" s="19" t="s">
        <v>10604</v>
      </c>
      <c r="B3106" s="19">
        <v>41031</v>
      </c>
      <c r="C3106" s="20" t="s">
        <v>13572</v>
      </c>
      <c r="D3106" s="19" t="s">
        <v>7087</v>
      </c>
      <c r="E3106" s="19" t="s">
        <v>10459</v>
      </c>
      <c r="F3106" s="21">
        <f t="shared" si="578"/>
        <v>4382.5600000000004</v>
      </c>
      <c r="G3106" s="21">
        <f t="shared" si="578"/>
        <v>4382.5600000000004</v>
      </c>
      <c r="H3106" s="21">
        <f t="shared" si="578"/>
        <v>4382.5600000000004</v>
      </c>
      <c r="I3106" s="24" t="str">
        <f t="shared" si="579"/>
        <v xml:space="preserve">COM VALOR</v>
      </c>
      <c r="L3106" s="36">
        <v>4382.5600000000004</v>
      </c>
      <c r="M3106" s="37">
        <v>4382.5600000000004</v>
      </c>
      <c r="N3106" s="36">
        <v>4382.5600000000004</v>
      </c>
    </row>
    <row r="3107" ht="25.5">
      <c r="A3107" s="19" t="s">
        <v>10604</v>
      </c>
      <c r="B3107" s="19">
        <v>37666</v>
      </c>
      <c r="C3107" s="20" t="s">
        <v>13573</v>
      </c>
      <c r="D3107" s="19" t="s">
        <v>2032</v>
      </c>
      <c r="E3107" s="19" t="s">
        <v>10459</v>
      </c>
      <c r="F3107" s="21">
        <f t="shared" si="578"/>
        <v>21.98</v>
      </c>
      <c r="G3107" s="21">
        <f t="shared" si="578"/>
        <v>21.98</v>
      </c>
      <c r="H3107" s="21">
        <f t="shared" si="578"/>
        <v>21.98</v>
      </c>
      <c r="I3107" s="24" t="str">
        <f t="shared" si="579"/>
        <v xml:space="preserve">COM VALOR</v>
      </c>
      <c r="L3107" s="36">
        <v>21.98</v>
      </c>
      <c r="M3107" s="37">
        <v>21.98</v>
      </c>
      <c r="N3107" s="36">
        <v>21.98</v>
      </c>
    </row>
    <row r="3108" ht="25.5">
      <c r="A3108" s="19" t="s">
        <v>10604</v>
      </c>
      <c r="B3108" s="19">
        <v>40986</v>
      </c>
      <c r="C3108" s="20" t="s">
        <v>13574</v>
      </c>
      <c r="D3108" s="19" t="s">
        <v>7087</v>
      </c>
      <c r="E3108" s="19" t="s">
        <v>10459</v>
      </c>
      <c r="F3108" s="21">
        <f t="shared" si="578"/>
        <v>3848.6199999999999</v>
      </c>
      <c r="G3108" s="21">
        <f t="shared" si="578"/>
        <v>3848.6199999999999</v>
      </c>
      <c r="H3108" s="21">
        <f t="shared" si="578"/>
        <v>3848.6199999999999</v>
      </c>
      <c r="I3108" s="24" t="str">
        <f t="shared" si="579"/>
        <v xml:space="preserve">COM VALOR</v>
      </c>
      <c r="L3108" s="36">
        <v>3848.6199999999999</v>
      </c>
      <c r="M3108" s="37">
        <v>3848.6199999999999</v>
      </c>
      <c r="N3108" s="36">
        <v>3848.6199999999999</v>
      </c>
    </row>
    <row r="3109" ht="25.5">
      <c r="A3109" s="19" t="s">
        <v>10604</v>
      </c>
      <c r="B3109" s="19">
        <v>4250</v>
      </c>
      <c r="C3109" s="20" t="s">
        <v>13575</v>
      </c>
      <c r="D3109" s="19" t="s">
        <v>2032</v>
      </c>
      <c r="E3109" s="19" t="s">
        <v>10459</v>
      </c>
      <c r="F3109" s="21">
        <f t="shared" si="578"/>
        <v>19.390000000000001</v>
      </c>
      <c r="G3109" s="21">
        <f t="shared" si="578"/>
        <v>19.390000000000001</v>
      </c>
      <c r="H3109" s="21">
        <f t="shared" si="578"/>
        <v>19.390000000000001</v>
      </c>
      <c r="I3109" s="24" t="str">
        <f t="shared" si="579"/>
        <v xml:space="preserve">COM VALOR</v>
      </c>
      <c r="L3109" s="36">
        <v>19.390000000000001</v>
      </c>
      <c r="M3109" s="37">
        <v>19.390000000000001</v>
      </c>
      <c r="N3109" s="36">
        <v>19.390000000000001</v>
      </c>
    </row>
    <row r="3110" ht="25.5">
      <c r="A3110" s="19" t="s">
        <v>10604</v>
      </c>
      <c r="B3110" s="19">
        <v>40978</v>
      </c>
      <c r="C3110" s="20" t="s">
        <v>13576</v>
      </c>
      <c r="D3110" s="19" t="s">
        <v>7087</v>
      </c>
      <c r="E3110" s="19" t="s">
        <v>10459</v>
      </c>
      <c r="F3110" s="21">
        <f t="shared" si="578"/>
        <v>3393.8200000000002</v>
      </c>
      <c r="G3110" s="21">
        <f t="shared" si="578"/>
        <v>3393.8200000000002</v>
      </c>
      <c r="H3110" s="21">
        <f t="shared" si="578"/>
        <v>3393.8200000000002</v>
      </c>
      <c r="I3110" s="24" t="str">
        <f t="shared" si="579"/>
        <v xml:space="preserve">COM VALOR</v>
      </c>
      <c r="L3110" s="36">
        <v>3393.8200000000002</v>
      </c>
      <c r="M3110" s="37">
        <v>3393.8200000000002</v>
      </c>
      <c r="N3110" s="36">
        <v>3393.8200000000002</v>
      </c>
    </row>
    <row r="3111" ht="25.5">
      <c r="A3111" s="19" t="s">
        <v>10604</v>
      </c>
      <c r="B3111" s="19">
        <v>44501</v>
      </c>
      <c r="C3111" s="20" t="s">
        <v>13577</v>
      </c>
      <c r="D3111" s="19" t="s">
        <v>2032</v>
      </c>
      <c r="E3111" s="19" t="s">
        <v>10459</v>
      </c>
      <c r="F3111" s="21">
        <f t="shared" si="578"/>
        <v>25.039999999999999</v>
      </c>
      <c r="G3111" s="21">
        <f t="shared" si="578"/>
        <v>25.039999999999999</v>
      </c>
      <c r="H3111" s="21">
        <f t="shared" si="578"/>
        <v>25.039999999999999</v>
      </c>
      <c r="I3111" s="24" t="str">
        <f t="shared" si="579"/>
        <v xml:space="preserve">COM VALOR</v>
      </c>
      <c r="L3111" s="36">
        <v>25.039999999999999</v>
      </c>
      <c r="M3111" s="37">
        <v>25.039999999999999</v>
      </c>
      <c r="N3111" s="36">
        <v>25.039999999999999</v>
      </c>
    </row>
    <row r="3112" ht="25.5">
      <c r="A3112" s="19" t="s">
        <v>10604</v>
      </c>
      <c r="B3112" s="19">
        <v>41043</v>
      </c>
      <c r="C3112" s="20" t="s">
        <v>13578</v>
      </c>
      <c r="D3112" s="19" t="s">
        <v>7087</v>
      </c>
      <c r="E3112" s="19" t="s">
        <v>10459</v>
      </c>
      <c r="F3112" s="21">
        <f t="shared" si="578"/>
        <v>4382.5600000000004</v>
      </c>
      <c r="G3112" s="21">
        <f t="shared" si="578"/>
        <v>4382.5600000000004</v>
      </c>
      <c r="H3112" s="21">
        <f t="shared" si="578"/>
        <v>4382.5600000000004</v>
      </c>
      <c r="I3112" s="24" t="str">
        <f t="shared" si="579"/>
        <v xml:space="preserve">COM VALOR</v>
      </c>
      <c r="L3112" s="36">
        <v>4382.5600000000004</v>
      </c>
      <c r="M3112" s="37">
        <v>4382.5600000000004</v>
      </c>
      <c r="N3112" s="36">
        <v>4382.5600000000004</v>
      </c>
    </row>
    <row r="3113" ht="12.75">
      <c r="A3113" s="19" t="s">
        <v>10604</v>
      </c>
      <c r="B3113" s="19">
        <v>4234</v>
      </c>
      <c r="C3113" s="20" t="s">
        <v>13579</v>
      </c>
      <c r="D3113" s="19" t="s">
        <v>2032</v>
      </c>
      <c r="E3113" s="19" t="s">
        <v>10466</v>
      </c>
      <c r="F3113" s="21">
        <f t="shared" si="578"/>
        <v>28.25</v>
      </c>
      <c r="G3113" s="21">
        <f t="shared" si="578"/>
        <v>28.25</v>
      </c>
      <c r="H3113" s="21">
        <f t="shared" si="578"/>
        <v>28.25</v>
      </c>
      <c r="I3113" s="24" t="str">
        <f t="shared" si="579"/>
        <v xml:space="preserve">COM VALOR</v>
      </c>
      <c r="L3113" s="36">
        <v>28.25</v>
      </c>
      <c r="M3113" s="37">
        <v>28.25</v>
      </c>
      <c r="N3113" s="36">
        <v>28.25</v>
      </c>
    </row>
    <row r="3114" ht="12.75">
      <c r="A3114" s="19" t="s">
        <v>10604</v>
      </c>
      <c r="B3114" s="19">
        <v>40987</v>
      </c>
      <c r="C3114" s="20" t="s">
        <v>13580</v>
      </c>
      <c r="D3114" s="19" t="s">
        <v>7087</v>
      </c>
      <c r="E3114" s="19" t="s">
        <v>10459</v>
      </c>
      <c r="F3114" s="21">
        <f t="shared" si="578"/>
        <v>4944.6400000000003</v>
      </c>
      <c r="G3114" s="21">
        <f t="shared" si="578"/>
        <v>4944.6400000000003</v>
      </c>
      <c r="H3114" s="21">
        <f t="shared" si="578"/>
        <v>4944.6400000000003</v>
      </c>
      <c r="I3114" s="24" t="str">
        <f t="shared" si="579"/>
        <v xml:space="preserve">COM VALOR</v>
      </c>
      <c r="L3114" s="36">
        <v>4944.6400000000003</v>
      </c>
      <c r="M3114" s="37">
        <v>4944.6400000000003</v>
      </c>
      <c r="N3114" s="36">
        <v>4944.6400000000003</v>
      </c>
    </row>
    <row r="3115" ht="12.75">
      <c r="A3115" s="19" t="s">
        <v>10604</v>
      </c>
      <c r="B3115" s="19">
        <v>4253</v>
      </c>
      <c r="C3115" s="20" t="s">
        <v>13581</v>
      </c>
      <c r="D3115" s="19" t="s">
        <v>2032</v>
      </c>
      <c r="E3115" s="19" t="s">
        <v>10459</v>
      </c>
      <c r="F3115" s="21">
        <f t="shared" si="578"/>
        <v>23.59</v>
      </c>
      <c r="G3115" s="21">
        <f t="shared" si="578"/>
        <v>23.59</v>
      </c>
      <c r="H3115" s="21">
        <f t="shared" si="578"/>
        <v>23.59</v>
      </c>
      <c r="I3115" s="24" t="str">
        <f t="shared" si="579"/>
        <v xml:space="preserve">COM VALOR</v>
      </c>
      <c r="L3115" s="36">
        <v>23.59</v>
      </c>
      <c r="M3115" s="37">
        <v>23.59</v>
      </c>
      <c r="N3115" s="36">
        <v>23.59</v>
      </c>
    </row>
    <row r="3116" ht="12.75">
      <c r="A3116" s="19" t="s">
        <v>10604</v>
      </c>
      <c r="B3116" s="19">
        <v>40981</v>
      </c>
      <c r="C3116" s="20" t="s">
        <v>13582</v>
      </c>
      <c r="D3116" s="19" t="s">
        <v>7087</v>
      </c>
      <c r="E3116" s="19" t="s">
        <v>10459</v>
      </c>
      <c r="F3116" s="21">
        <f t="shared" si="578"/>
        <v>4131.0699999999997</v>
      </c>
      <c r="G3116" s="21">
        <f t="shared" si="578"/>
        <v>4131.0699999999997</v>
      </c>
      <c r="H3116" s="21">
        <f t="shared" si="578"/>
        <v>4131.0699999999997</v>
      </c>
      <c r="I3116" s="24" t="str">
        <f t="shared" si="579"/>
        <v xml:space="preserve">COM VALOR</v>
      </c>
      <c r="L3116" s="36">
        <v>4131.0699999999997</v>
      </c>
      <c r="M3116" s="37">
        <v>4131.0699999999997</v>
      </c>
      <c r="N3116" s="36">
        <v>4131.0699999999997</v>
      </c>
    </row>
    <row r="3117" ht="12.75">
      <c r="A3117" s="19" t="s">
        <v>10604</v>
      </c>
      <c r="B3117" s="19">
        <v>4254</v>
      </c>
      <c r="C3117" s="20" t="s">
        <v>13583</v>
      </c>
      <c r="D3117" s="19" t="s">
        <v>2032</v>
      </c>
      <c r="E3117" s="19" t="s">
        <v>10459</v>
      </c>
      <c r="F3117" s="21">
        <f t="shared" si="578"/>
        <v>29.370000000000001</v>
      </c>
      <c r="G3117" s="21">
        <f t="shared" si="578"/>
        <v>29.370000000000001</v>
      </c>
      <c r="H3117" s="21">
        <f t="shared" si="578"/>
        <v>29.370000000000001</v>
      </c>
      <c r="I3117" s="24" t="str">
        <f t="shared" si="579"/>
        <v xml:space="preserve">COM VALOR</v>
      </c>
      <c r="L3117" s="36">
        <v>29.370000000000001</v>
      </c>
      <c r="M3117" s="37">
        <v>29.370000000000001</v>
      </c>
      <c r="N3117" s="36">
        <v>29.370000000000001</v>
      </c>
    </row>
    <row r="3118" ht="12.75">
      <c r="A3118" s="19" t="s">
        <v>10604</v>
      </c>
      <c r="B3118" s="19">
        <v>41036</v>
      </c>
      <c r="C3118" s="20" t="s">
        <v>13584</v>
      </c>
      <c r="D3118" s="19" t="s">
        <v>7087</v>
      </c>
      <c r="E3118" s="19" t="s">
        <v>10459</v>
      </c>
      <c r="F3118" s="21">
        <f t="shared" si="578"/>
        <v>5142.0200000000004</v>
      </c>
      <c r="G3118" s="21">
        <f t="shared" si="578"/>
        <v>5142.0200000000004</v>
      </c>
      <c r="H3118" s="21">
        <f t="shared" si="578"/>
        <v>5142.0200000000004</v>
      </c>
      <c r="I3118" s="24" t="str">
        <f t="shared" si="579"/>
        <v xml:space="preserve">COM VALOR</v>
      </c>
      <c r="L3118" s="36">
        <v>5142.0200000000004</v>
      </c>
      <c r="M3118" s="37">
        <v>5142.0200000000004</v>
      </c>
      <c r="N3118" s="36">
        <v>5142.0200000000004</v>
      </c>
    </row>
    <row r="3119" ht="12.75">
      <c r="A3119" s="19" t="s">
        <v>10604</v>
      </c>
      <c r="B3119" s="19">
        <v>4251</v>
      </c>
      <c r="C3119" s="20" t="s">
        <v>13585</v>
      </c>
      <c r="D3119" s="19" t="s">
        <v>2032</v>
      </c>
      <c r="E3119" s="19" t="s">
        <v>10459</v>
      </c>
      <c r="F3119" s="21">
        <f t="shared" si="578"/>
        <v>20.600000000000001</v>
      </c>
      <c r="G3119" s="21">
        <f t="shared" si="578"/>
        <v>20.600000000000001</v>
      </c>
      <c r="H3119" s="21">
        <f t="shared" si="578"/>
        <v>20.600000000000001</v>
      </c>
      <c r="I3119" s="24" t="str">
        <f t="shared" si="579"/>
        <v xml:space="preserve">COM VALOR</v>
      </c>
      <c r="L3119" s="36">
        <v>20.600000000000001</v>
      </c>
      <c r="M3119" s="37">
        <v>20.600000000000001</v>
      </c>
      <c r="N3119" s="36">
        <v>20.600000000000001</v>
      </c>
    </row>
    <row r="3120" ht="12.75">
      <c r="A3120" s="19" t="s">
        <v>10604</v>
      </c>
      <c r="B3120" s="19">
        <v>40979</v>
      </c>
      <c r="C3120" s="20" t="s">
        <v>13586</v>
      </c>
      <c r="D3120" s="19" t="s">
        <v>7087</v>
      </c>
      <c r="E3120" s="19" t="s">
        <v>10459</v>
      </c>
      <c r="F3120" s="21">
        <f t="shared" si="578"/>
        <v>3606.8600000000001</v>
      </c>
      <c r="G3120" s="21">
        <f t="shared" si="578"/>
        <v>3606.8600000000001</v>
      </c>
      <c r="H3120" s="21">
        <f t="shared" si="578"/>
        <v>3606.8600000000001</v>
      </c>
      <c r="I3120" s="24" t="str">
        <f t="shared" si="579"/>
        <v xml:space="preserve">COM VALOR</v>
      </c>
      <c r="L3120" s="36">
        <v>3606.8600000000001</v>
      </c>
      <c r="M3120" s="37">
        <v>3606.8600000000001</v>
      </c>
      <c r="N3120" s="36">
        <v>3606.8600000000001</v>
      </c>
    </row>
    <row r="3121" ht="25.5">
      <c r="A3121" s="19" t="s">
        <v>10604</v>
      </c>
      <c r="B3121" s="19">
        <v>4230</v>
      </c>
      <c r="C3121" s="20" t="s">
        <v>13587</v>
      </c>
      <c r="D3121" s="19" t="s">
        <v>2032</v>
      </c>
      <c r="E3121" s="19" t="s">
        <v>10459</v>
      </c>
      <c r="F3121" s="21">
        <f t="shared" si="578"/>
        <v>25.100000000000001</v>
      </c>
      <c r="G3121" s="21">
        <f t="shared" si="578"/>
        <v>25.100000000000001</v>
      </c>
      <c r="H3121" s="21">
        <f t="shared" si="578"/>
        <v>25.100000000000001</v>
      </c>
      <c r="I3121" s="24" t="str">
        <f t="shared" si="579"/>
        <v xml:space="preserve">COM VALOR</v>
      </c>
      <c r="L3121" s="36">
        <v>25.100000000000001</v>
      </c>
      <c r="M3121" s="37">
        <v>25.100000000000001</v>
      </c>
      <c r="N3121" s="36">
        <v>25.100000000000001</v>
      </c>
    </row>
    <row r="3122" ht="25.5">
      <c r="A3122" s="19" t="s">
        <v>10604</v>
      </c>
      <c r="B3122" s="19">
        <v>40998</v>
      </c>
      <c r="C3122" s="20" t="s">
        <v>13588</v>
      </c>
      <c r="D3122" s="19" t="s">
        <v>7087</v>
      </c>
      <c r="E3122" s="19" t="s">
        <v>10459</v>
      </c>
      <c r="F3122" s="21">
        <f t="shared" si="578"/>
        <v>4394.3699999999999</v>
      </c>
      <c r="G3122" s="21">
        <f t="shared" si="578"/>
        <v>4394.3699999999999</v>
      </c>
      <c r="H3122" s="21">
        <f t="shared" si="578"/>
        <v>4394.3699999999999</v>
      </c>
      <c r="I3122" s="24" t="str">
        <f t="shared" si="579"/>
        <v xml:space="preserve">COM VALOR</v>
      </c>
      <c r="L3122" s="36">
        <v>4394.3699999999999</v>
      </c>
      <c r="M3122" s="37">
        <v>4394.3699999999999</v>
      </c>
      <c r="N3122" s="36">
        <v>4394.3699999999999</v>
      </c>
    </row>
    <row r="3123" ht="12.75">
      <c r="A3123" s="19" t="s">
        <v>10604</v>
      </c>
      <c r="B3123" s="19">
        <v>4257</v>
      </c>
      <c r="C3123" s="20" t="s">
        <v>13589</v>
      </c>
      <c r="D3123" s="19" t="s">
        <v>2032</v>
      </c>
      <c r="E3123" s="19" t="s">
        <v>10459</v>
      </c>
      <c r="F3123" s="21">
        <f t="shared" si="578"/>
        <v>21.129999999999999</v>
      </c>
      <c r="G3123" s="21">
        <f t="shared" si="578"/>
        <v>21.129999999999999</v>
      </c>
      <c r="H3123" s="21">
        <f t="shared" si="578"/>
        <v>21.129999999999999</v>
      </c>
      <c r="I3123" s="24" t="str">
        <f t="shared" si="579"/>
        <v xml:space="preserve">COM VALOR</v>
      </c>
      <c r="L3123" s="36">
        <v>21.129999999999999</v>
      </c>
      <c r="M3123" s="37">
        <v>21.129999999999999</v>
      </c>
      <c r="N3123" s="36">
        <v>21.129999999999999</v>
      </c>
    </row>
    <row r="3124" ht="12.75">
      <c r="A3124" s="19" t="s">
        <v>10604</v>
      </c>
      <c r="B3124" s="19">
        <v>40982</v>
      </c>
      <c r="C3124" s="20" t="s">
        <v>13590</v>
      </c>
      <c r="D3124" s="19" t="s">
        <v>7087</v>
      </c>
      <c r="E3124" s="19" t="s">
        <v>10459</v>
      </c>
      <c r="F3124" s="21">
        <f t="shared" si="578"/>
        <v>3700.3000000000002</v>
      </c>
      <c r="G3124" s="21">
        <f t="shared" si="578"/>
        <v>3700.3000000000002</v>
      </c>
      <c r="H3124" s="21">
        <f t="shared" si="578"/>
        <v>3700.3000000000002</v>
      </c>
      <c r="I3124" s="24" t="str">
        <f t="shared" si="579"/>
        <v xml:space="preserve">COM VALOR</v>
      </c>
      <c r="L3124" s="36">
        <v>3700.3000000000002</v>
      </c>
      <c r="M3124" s="37">
        <v>3700.3000000000002</v>
      </c>
      <c r="N3124" s="36">
        <v>3700.3000000000002</v>
      </c>
    </row>
    <row r="3125" ht="12.75">
      <c r="A3125" s="19" t="s">
        <v>10604</v>
      </c>
      <c r="B3125" s="19">
        <v>4240</v>
      </c>
      <c r="C3125" s="20" t="s">
        <v>13591</v>
      </c>
      <c r="D3125" s="19" t="s">
        <v>2032</v>
      </c>
      <c r="E3125" s="19" t="s">
        <v>10459</v>
      </c>
      <c r="F3125" s="21">
        <f t="shared" si="578"/>
        <v>36.859999999999999</v>
      </c>
      <c r="G3125" s="21">
        <f t="shared" si="578"/>
        <v>36.859999999999999</v>
      </c>
      <c r="H3125" s="21">
        <f t="shared" si="578"/>
        <v>36.859999999999999</v>
      </c>
      <c r="I3125" s="24" t="str">
        <f t="shared" si="579"/>
        <v xml:space="preserve">COM VALOR</v>
      </c>
      <c r="L3125" s="36">
        <v>36.859999999999999</v>
      </c>
      <c r="M3125" s="37">
        <v>36.859999999999999</v>
      </c>
      <c r="N3125" s="36">
        <v>36.859999999999999</v>
      </c>
    </row>
    <row r="3126" ht="12.75">
      <c r="A3126" s="19" t="s">
        <v>10604</v>
      </c>
      <c r="B3126" s="19">
        <v>41026</v>
      </c>
      <c r="C3126" s="20" t="s">
        <v>13592</v>
      </c>
      <c r="D3126" s="19" t="s">
        <v>7087</v>
      </c>
      <c r="E3126" s="19" t="s">
        <v>10459</v>
      </c>
      <c r="F3126" s="21">
        <f t="shared" si="578"/>
        <v>6452.1599999999999</v>
      </c>
      <c r="G3126" s="21">
        <f t="shared" si="578"/>
        <v>6452.1599999999999</v>
      </c>
      <c r="H3126" s="21">
        <f t="shared" si="578"/>
        <v>6452.1599999999999</v>
      </c>
      <c r="I3126" s="24" t="str">
        <f t="shared" si="579"/>
        <v xml:space="preserve">COM VALOR</v>
      </c>
      <c r="L3126" s="36">
        <v>6452.1599999999999</v>
      </c>
      <c r="M3126" s="37">
        <v>6452.1599999999999</v>
      </c>
      <c r="N3126" s="36">
        <v>6452.1599999999999</v>
      </c>
    </row>
    <row r="3127" ht="12.75">
      <c r="A3127" s="19" t="s">
        <v>10604</v>
      </c>
      <c r="B3127" s="19">
        <v>4239</v>
      </c>
      <c r="C3127" s="20" t="s">
        <v>13593</v>
      </c>
      <c r="D3127" s="19" t="s">
        <v>2032</v>
      </c>
      <c r="E3127" s="19" t="s">
        <v>10459</v>
      </c>
      <c r="F3127" s="21">
        <f t="shared" si="578"/>
        <v>36.859999999999999</v>
      </c>
      <c r="G3127" s="21">
        <f t="shared" si="578"/>
        <v>36.859999999999999</v>
      </c>
      <c r="H3127" s="21">
        <f t="shared" si="578"/>
        <v>36.859999999999999</v>
      </c>
      <c r="I3127" s="24" t="str">
        <f t="shared" si="579"/>
        <v xml:space="preserve">COM VALOR</v>
      </c>
      <c r="L3127" s="36">
        <v>36.859999999999999</v>
      </c>
      <c r="M3127" s="37">
        <v>36.859999999999999</v>
      </c>
      <c r="N3127" s="36">
        <v>36.859999999999999</v>
      </c>
    </row>
    <row r="3128" ht="12.75">
      <c r="A3128" s="19" t="s">
        <v>10604</v>
      </c>
      <c r="B3128" s="19">
        <v>41024</v>
      </c>
      <c r="C3128" s="20" t="s">
        <v>13594</v>
      </c>
      <c r="D3128" s="19" t="s">
        <v>7087</v>
      </c>
      <c r="E3128" s="19" t="s">
        <v>10459</v>
      </c>
      <c r="F3128" s="21">
        <f t="shared" si="578"/>
        <v>6452.1599999999999</v>
      </c>
      <c r="G3128" s="21">
        <f t="shared" si="578"/>
        <v>6452.1599999999999</v>
      </c>
      <c r="H3128" s="21">
        <f t="shared" si="578"/>
        <v>6452.1599999999999</v>
      </c>
      <c r="I3128" s="24" t="str">
        <f t="shared" si="579"/>
        <v xml:space="preserve">COM VALOR</v>
      </c>
      <c r="L3128" s="36">
        <v>6452.1599999999999</v>
      </c>
      <c r="M3128" s="37">
        <v>6452.1599999999999</v>
      </c>
      <c r="N3128" s="36">
        <v>6452.1599999999999</v>
      </c>
    </row>
    <row r="3129" ht="12.75">
      <c r="A3129" s="19" t="s">
        <v>10604</v>
      </c>
      <c r="B3129" s="19">
        <v>4248</v>
      </c>
      <c r="C3129" s="20" t="s">
        <v>13595</v>
      </c>
      <c r="D3129" s="19" t="s">
        <v>2032</v>
      </c>
      <c r="E3129" s="19" t="s">
        <v>10459</v>
      </c>
      <c r="F3129" s="21">
        <f t="shared" si="578"/>
        <v>25.039999999999999</v>
      </c>
      <c r="G3129" s="21">
        <f t="shared" si="578"/>
        <v>25.039999999999999</v>
      </c>
      <c r="H3129" s="21">
        <f t="shared" si="578"/>
        <v>25.039999999999999</v>
      </c>
      <c r="I3129" s="24" t="str">
        <f t="shared" si="579"/>
        <v xml:space="preserve">COM VALOR</v>
      </c>
      <c r="L3129" s="36">
        <v>25.039999999999999</v>
      </c>
      <c r="M3129" s="37">
        <v>25.039999999999999</v>
      </c>
      <c r="N3129" s="36">
        <v>25.039999999999999</v>
      </c>
    </row>
    <row r="3130" ht="12.75">
      <c r="A3130" s="19" t="s">
        <v>10604</v>
      </c>
      <c r="B3130" s="19">
        <v>41033</v>
      </c>
      <c r="C3130" s="20" t="s">
        <v>13596</v>
      </c>
      <c r="D3130" s="19" t="s">
        <v>7087</v>
      </c>
      <c r="E3130" s="19" t="s">
        <v>10459</v>
      </c>
      <c r="F3130" s="21">
        <f t="shared" si="578"/>
        <v>4382.5600000000004</v>
      </c>
      <c r="G3130" s="21">
        <f t="shared" si="578"/>
        <v>4382.5600000000004</v>
      </c>
      <c r="H3130" s="21">
        <f t="shared" si="578"/>
        <v>4382.5600000000004</v>
      </c>
      <c r="I3130" s="24" t="str">
        <f t="shared" si="579"/>
        <v xml:space="preserve">COM VALOR</v>
      </c>
      <c r="L3130" s="36">
        <v>4382.5600000000004</v>
      </c>
      <c r="M3130" s="37">
        <v>4382.5600000000004</v>
      </c>
      <c r="N3130" s="36">
        <v>4382.5600000000004</v>
      </c>
    </row>
    <row r="3131" ht="25.5">
      <c r="A3131" s="19" t="s">
        <v>10604</v>
      </c>
      <c r="B3131" s="19">
        <v>44500</v>
      </c>
      <c r="C3131" s="20" t="s">
        <v>13597</v>
      </c>
      <c r="D3131" s="19" t="s">
        <v>2032</v>
      </c>
      <c r="E3131" s="19" t="s">
        <v>10459</v>
      </c>
      <c r="F3131" s="21">
        <f t="shared" si="578"/>
        <v>25.039999999999999</v>
      </c>
      <c r="G3131" s="21">
        <f t="shared" si="578"/>
        <v>25.039999999999999</v>
      </c>
      <c r="H3131" s="21">
        <f t="shared" si="578"/>
        <v>25.039999999999999</v>
      </c>
      <c r="I3131" s="24" t="str">
        <f t="shared" si="579"/>
        <v xml:space="preserve">COM VALOR</v>
      </c>
      <c r="L3131" s="36">
        <v>25.039999999999999</v>
      </c>
      <c r="M3131" s="37">
        <v>25.039999999999999</v>
      </c>
      <c r="N3131" s="36">
        <v>25.039999999999999</v>
      </c>
    </row>
    <row r="3132" ht="25.5">
      <c r="A3132" s="19" t="s">
        <v>10604</v>
      </c>
      <c r="B3132" s="19">
        <v>41040</v>
      </c>
      <c r="C3132" s="20" t="s">
        <v>13598</v>
      </c>
      <c r="D3132" s="19" t="s">
        <v>7087</v>
      </c>
      <c r="E3132" s="19" t="s">
        <v>10459</v>
      </c>
      <c r="F3132" s="21">
        <f t="shared" si="578"/>
        <v>4382.5600000000004</v>
      </c>
      <c r="G3132" s="21">
        <f t="shared" si="578"/>
        <v>4382.5600000000004</v>
      </c>
      <c r="H3132" s="21">
        <f t="shared" si="578"/>
        <v>4382.5600000000004</v>
      </c>
      <c r="I3132" s="24" t="str">
        <f t="shared" si="579"/>
        <v xml:space="preserve">COM VALOR</v>
      </c>
      <c r="L3132" s="36">
        <v>4382.5600000000004</v>
      </c>
      <c r="M3132" s="37">
        <v>4382.5600000000004</v>
      </c>
      <c r="N3132" s="36">
        <v>4382.5600000000004</v>
      </c>
    </row>
    <row r="3133" ht="12.75">
      <c r="A3133" s="19" t="s">
        <v>10604</v>
      </c>
      <c r="B3133" s="19">
        <v>4238</v>
      </c>
      <c r="C3133" s="20" t="s">
        <v>13599</v>
      </c>
      <c r="D3133" s="19" t="s">
        <v>2032</v>
      </c>
      <c r="E3133" s="19" t="s">
        <v>10459</v>
      </c>
      <c r="F3133" s="21">
        <f t="shared" si="578"/>
        <v>22.600000000000001</v>
      </c>
      <c r="G3133" s="21">
        <f t="shared" si="578"/>
        <v>22.600000000000001</v>
      </c>
      <c r="H3133" s="21">
        <f t="shared" si="578"/>
        <v>22.600000000000001</v>
      </c>
      <c r="I3133" s="24" t="str">
        <f t="shared" si="579"/>
        <v xml:space="preserve">COM VALOR</v>
      </c>
      <c r="L3133" s="36">
        <v>22.600000000000001</v>
      </c>
      <c r="M3133" s="37">
        <v>22.600000000000001</v>
      </c>
      <c r="N3133" s="36">
        <v>22.600000000000001</v>
      </c>
    </row>
    <row r="3134" ht="12.75">
      <c r="A3134" s="19" t="s">
        <v>10604</v>
      </c>
      <c r="B3134" s="19">
        <v>41012</v>
      </c>
      <c r="C3134" s="20" t="s">
        <v>13600</v>
      </c>
      <c r="D3134" s="19" t="s">
        <v>7087</v>
      </c>
      <c r="E3134" s="19" t="s">
        <v>10459</v>
      </c>
      <c r="F3134" s="21">
        <f t="shared" si="578"/>
        <v>3957.29</v>
      </c>
      <c r="G3134" s="21">
        <f t="shared" si="578"/>
        <v>3957.29</v>
      </c>
      <c r="H3134" s="21">
        <f t="shared" si="578"/>
        <v>3957.29</v>
      </c>
      <c r="I3134" s="24" t="str">
        <f t="shared" si="579"/>
        <v xml:space="preserve">COM VALOR</v>
      </c>
      <c r="L3134" s="36">
        <v>3957.29</v>
      </c>
      <c r="M3134" s="37">
        <v>3957.29</v>
      </c>
      <c r="N3134" s="36">
        <v>3957.29</v>
      </c>
    </row>
    <row r="3135" ht="25.5">
      <c r="A3135" s="19" t="s">
        <v>10604</v>
      </c>
      <c r="B3135" s="19">
        <v>4233</v>
      </c>
      <c r="C3135" s="20" t="s">
        <v>13601</v>
      </c>
      <c r="D3135" s="19" t="s">
        <v>2032</v>
      </c>
      <c r="E3135" s="19" t="s">
        <v>10459</v>
      </c>
      <c r="F3135" s="21">
        <f t="shared" si="578"/>
        <v>36.859999999999999</v>
      </c>
      <c r="G3135" s="21">
        <f t="shared" si="578"/>
        <v>36.859999999999999</v>
      </c>
      <c r="H3135" s="21">
        <f t="shared" si="578"/>
        <v>36.859999999999999</v>
      </c>
      <c r="I3135" s="24" t="str">
        <f t="shared" si="579"/>
        <v xml:space="preserve">COM VALOR</v>
      </c>
      <c r="L3135" s="36">
        <v>36.859999999999999</v>
      </c>
      <c r="M3135" s="37">
        <v>36.859999999999999</v>
      </c>
      <c r="N3135" s="36">
        <v>36.859999999999999</v>
      </c>
    </row>
    <row r="3136" ht="25.5">
      <c r="A3136" s="19" t="s">
        <v>10604</v>
      </c>
      <c r="B3136" s="19">
        <v>41001</v>
      </c>
      <c r="C3136" s="20" t="s">
        <v>13602</v>
      </c>
      <c r="D3136" s="19" t="s">
        <v>7087</v>
      </c>
      <c r="E3136" s="19" t="s">
        <v>10459</v>
      </c>
      <c r="F3136" s="21">
        <f t="shared" si="578"/>
        <v>6452.1599999999999</v>
      </c>
      <c r="G3136" s="21">
        <f t="shared" si="578"/>
        <v>6452.1599999999999</v>
      </c>
      <c r="H3136" s="21">
        <f t="shared" si="578"/>
        <v>6452.1599999999999</v>
      </c>
      <c r="I3136" s="24" t="str">
        <f t="shared" si="579"/>
        <v xml:space="preserve">COM VALOR</v>
      </c>
      <c r="L3136" s="36">
        <v>6452.1599999999999</v>
      </c>
      <c r="M3136" s="37">
        <v>6452.1599999999999</v>
      </c>
      <c r="N3136" s="36">
        <v>6452.1599999999999</v>
      </c>
    </row>
    <row r="3137" ht="25.5">
      <c r="A3137" s="19" t="s">
        <v>10460</v>
      </c>
      <c r="B3137" s="19">
        <v>2</v>
      </c>
      <c r="C3137" s="20" t="s">
        <v>13603</v>
      </c>
      <c r="D3137" s="19" t="s">
        <v>121</v>
      </c>
      <c r="E3137" s="19" t="s">
        <v>10459</v>
      </c>
      <c r="F3137" s="21">
        <f t="shared" si="578"/>
        <v>24.100000000000001</v>
      </c>
      <c r="G3137" s="21">
        <f t="shared" si="578"/>
        <v>24.100000000000001</v>
      </c>
      <c r="H3137" s="21">
        <f t="shared" si="578"/>
        <v>24.100000000000001</v>
      </c>
      <c r="I3137" s="24" t="str">
        <f t="shared" si="579"/>
        <v xml:space="preserve">COM VALOR</v>
      </c>
      <c r="L3137" s="36">
        <v>24.100000000000001</v>
      </c>
      <c r="M3137" s="37">
        <v>24.100000000000001</v>
      </c>
      <c r="N3137" s="36">
        <v>24.100000000000001</v>
      </c>
    </row>
    <row r="3138" ht="38.25">
      <c r="A3138" s="19" t="s">
        <v>10638</v>
      </c>
      <c r="B3138" s="19">
        <v>4262</v>
      </c>
      <c r="C3138" s="20" t="s">
        <v>13604</v>
      </c>
      <c r="D3138" s="19" t="s">
        <v>31</v>
      </c>
      <c r="E3138" s="19" t="s">
        <v>10466</v>
      </c>
      <c r="F3138" s="21">
        <f t="shared" si="578"/>
        <v>635000</v>
      </c>
      <c r="G3138" s="21">
        <f t="shared" si="578"/>
        <v>635000</v>
      </c>
      <c r="H3138" s="21">
        <f t="shared" si="578"/>
        <v>635000</v>
      </c>
      <c r="I3138" s="24" t="str">
        <f t="shared" si="579"/>
        <v xml:space="preserve">COM VALOR</v>
      </c>
      <c r="L3138" s="36">
        <v>635000</v>
      </c>
      <c r="M3138" s="37">
        <v>635000</v>
      </c>
      <c r="N3138" s="36">
        <v>635000</v>
      </c>
    </row>
    <row r="3139" ht="38.25">
      <c r="A3139" s="19" t="s">
        <v>10638</v>
      </c>
      <c r="B3139" s="19">
        <v>4263</v>
      </c>
      <c r="C3139" s="20" t="s">
        <v>13605</v>
      </c>
      <c r="D3139" s="19" t="s">
        <v>31</v>
      </c>
      <c r="E3139" s="19" t="s">
        <v>10459</v>
      </c>
      <c r="F3139" s="21">
        <f t="shared" si="578"/>
        <v>880533.29000000004</v>
      </c>
      <c r="G3139" s="21">
        <f t="shared" si="578"/>
        <v>880533.29000000004</v>
      </c>
      <c r="H3139" s="21">
        <f t="shared" si="578"/>
        <v>880533.29000000004</v>
      </c>
      <c r="I3139" s="24" t="str">
        <f t="shared" si="579"/>
        <v xml:space="preserve">COM VALOR</v>
      </c>
      <c r="L3139" s="36">
        <v>880533.29000000004</v>
      </c>
      <c r="M3139" s="37">
        <v>880533.29000000004</v>
      </c>
      <c r="N3139" s="36">
        <v>880533.29000000004</v>
      </c>
    </row>
    <row r="3140" ht="12.75">
      <c r="A3140" s="19" t="s">
        <v>10460</v>
      </c>
      <c r="B3140" s="19">
        <v>38402</v>
      </c>
      <c r="C3140" s="20" t="s">
        <v>13606</v>
      </c>
      <c r="D3140" s="19" t="s">
        <v>31</v>
      </c>
      <c r="E3140" s="19" t="s">
        <v>10459</v>
      </c>
      <c r="F3140" s="21" t="str">
        <f t="shared" si="578"/>
        <v>VERIFICAR</v>
      </c>
      <c r="G3140" s="21" t="str">
        <f t="shared" si="578"/>
        <v>VERIFICAR</v>
      </c>
      <c r="H3140" s="21" t="str">
        <f t="shared" si="578"/>
        <v>VERIFICAR</v>
      </c>
      <c r="I3140" s="24" t="str">
        <f t="shared" si="579"/>
        <v xml:space="preserve">SEM VALOR</v>
      </c>
      <c r="L3140" s="36"/>
      <c r="M3140" s="37"/>
      <c r="N3140" s="36"/>
    </row>
    <row r="3141" ht="12.75">
      <c r="A3141" s="19" t="s">
        <v>10460</v>
      </c>
      <c r="B3141" s="19">
        <v>45234</v>
      </c>
      <c r="C3141" s="20" t="s">
        <v>13607</v>
      </c>
      <c r="D3141" s="19" t="s">
        <v>31</v>
      </c>
      <c r="E3141" s="19" t="s">
        <v>10459</v>
      </c>
      <c r="F3141" s="21">
        <f t="shared" si="578"/>
        <v>34.659999999999997</v>
      </c>
      <c r="G3141" s="21">
        <f t="shared" si="578"/>
        <v>34.659999999999997</v>
      </c>
      <c r="H3141" s="21">
        <f t="shared" si="578"/>
        <v>34.659999999999997</v>
      </c>
      <c r="I3141" s="24" t="str">
        <f t="shared" si="579"/>
        <v xml:space="preserve">COM VALOR</v>
      </c>
      <c r="L3141" s="36">
        <v>34.659999999999997</v>
      </c>
      <c r="M3141" s="37">
        <v>34.659999999999997</v>
      </c>
      <c r="N3141" s="36">
        <v>34.659999999999997</v>
      </c>
    </row>
    <row r="3142" ht="25.5">
      <c r="A3142" s="19" t="s">
        <v>10460</v>
      </c>
      <c r="B3142" s="19">
        <v>3412</v>
      </c>
      <c r="C3142" s="20" t="s">
        <v>13608</v>
      </c>
      <c r="D3142" s="19" t="s">
        <v>29</v>
      </c>
      <c r="E3142" s="19" t="s">
        <v>10459</v>
      </c>
      <c r="F3142" s="21" t="str">
        <f t="shared" si="578"/>
        <v>VERIFICAR</v>
      </c>
      <c r="G3142" s="21" t="str">
        <f t="shared" si="578"/>
        <v>VERIFICAR</v>
      </c>
      <c r="H3142" s="21" t="str">
        <f t="shared" si="578"/>
        <v>VERIFICAR</v>
      </c>
      <c r="I3142" s="24" t="str">
        <f t="shared" si="579"/>
        <v xml:space="preserve">SEM VALOR</v>
      </c>
      <c r="L3142" s="36"/>
      <c r="M3142" s="37"/>
      <c r="N3142" s="36"/>
    </row>
    <row r="3143" ht="25.5">
      <c r="A3143" s="19" t="s">
        <v>10460</v>
      </c>
      <c r="B3143" s="19">
        <v>3413</v>
      </c>
      <c r="C3143" s="20" t="s">
        <v>13609</v>
      </c>
      <c r="D3143" s="19" t="s">
        <v>29</v>
      </c>
      <c r="E3143" s="19" t="s">
        <v>10459</v>
      </c>
      <c r="F3143" s="21" t="str">
        <f t="shared" si="578"/>
        <v>VERIFICAR</v>
      </c>
      <c r="G3143" s="21" t="str">
        <f t="shared" si="578"/>
        <v>VERIFICAR</v>
      </c>
      <c r="H3143" s="21" t="str">
        <f t="shared" si="578"/>
        <v>VERIFICAR</v>
      </c>
      <c r="I3143" s="24" t="str">
        <f t="shared" si="579"/>
        <v xml:space="preserve">SEM VALOR</v>
      </c>
      <c r="L3143" s="36"/>
      <c r="M3143" s="37"/>
      <c r="N3143" s="36"/>
    </row>
    <row r="3144" ht="25.5">
      <c r="A3144" s="19" t="s">
        <v>10460</v>
      </c>
      <c r="B3144" s="19">
        <v>39744</v>
      </c>
      <c r="C3144" s="20" t="s">
        <v>13610</v>
      </c>
      <c r="D3144" s="19" t="s">
        <v>29</v>
      </c>
      <c r="E3144" s="19" t="s">
        <v>10459</v>
      </c>
      <c r="F3144" s="21" t="str">
        <f t="shared" si="578"/>
        <v>VERIFICAR</v>
      </c>
      <c r="G3144" s="21" t="str">
        <f t="shared" si="578"/>
        <v>VERIFICAR</v>
      </c>
      <c r="H3144" s="21" t="str">
        <f t="shared" si="578"/>
        <v>VERIFICAR</v>
      </c>
      <c r="I3144" s="24" t="str">
        <f t="shared" si="579"/>
        <v xml:space="preserve">SEM VALOR</v>
      </c>
      <c r="L3144" s="36"/>
      <c r="M3144" s="37"/>
      <c r="N3144" s="36"/>
    </row>
    <row r="3145" ht="25.5">
      <c r="A3145" s="19" t="s">
        <v>10460</v>
      </c>
      <c r="B3145" s="19">
        <v>39745</v>
      </c>
      <c r="C3145" s="20" t="s">
        <v>13611</v>
      </c>
      <c r="D3145" s="19" t="s">
        <v>29</v>
      </c>
      <c r="E3145" s="19" t="s">
        <v>10459</v>
      </c>
      <c r="F3145" s="21" t="str">
        <f t="shared" si="578"/>
        <v>VERIFICAR</v>
      </c>
      <c r="G3145" s="21" t="str">
        <f t="shared" si="578"/>
        <v>VERIFICAR</v>
      </c>
      <c r="H3145" s="21" t="str">
        <f t="shared" si="578"/>
        <v>VERIFICAR</v>
      </c>
      <c r="I3145" s="24" t="str">
        <f t="shared" si="579"/>
        <v xml:space="preserve">SEM VALOR</v>
      </c>
      <c r="L3145" s="36"/>
      <c r="M3145" s="37"/>
      <c r="N3145" s="36"/>
    </row>
    <row r="3146" ht="25.5">
      <c r="A3146" s="19" t="s">
        <v>10460</v>
      </c>
      <c r="B3146" s="19">
        <v>39639</v>
      </c>
      <c r="C3146" s="20" t="s">
        <v>13612</v>
      </c>
      <c r="D3146" s="19" t="s">
        <v>29</v>
      </c>
      <c r="E3146" s="19" t="s">
        <v>10459</v>
      </c>
      <c r="F3146" s="21">
        <f t="shared" si="578"/>
        <v>193.59</v>
      </c>
      <c r="G3146" s="21">
        <f t="shared" si="578"/>
        <v>193.59</v>
      </c>
      <c r="H3146" s="21">
        <f t="shared" si="578"/>
        <v>193.59</v>
      </c>
      <c r="I3146" s="24" t="str">
        <f t="shared" si="579"/>
        <v xml:space="preserve">COM VALOR</v>
      </c>
      <c r="L3146" s="36">
        <v>193.59</v>
      </c>
      <c r="M3146" s="37">
        <v>193.59</v>
      </c>
      <c r="N3146" s="36">
        <v>193.59</v>
      </c>
    </row>
    <row r="3147" ht="25.5">
      <c r="A3147" s="19" t="s">
        <v>10460</v>
      </c>
      <c r="B3147" s="19">
        <v>39637</v>
      </c>
      <c r="C3147" s="20" t="s">
        <v>13613</v>
      </c>
      <c r="D3147" s="19" t="s">
        <v>29</v>
      </c>
      <c r="E3147" s="19" t="s">
        <v>10459</v>
      </c>
      <c r="F3147" s="21">
        <f t="shared" ref="F3147:H3210" si="580">IF(L3147=0,"VERIFICAR",L3147)</f>
        <v>124.09</v>
      </c>
      <c r="G3147" s="21">
        <f t="shared" si="580"/>
        <v>124.09</v>
      </c>
      <c r="H3147" s="21">
        <f t="shared" si="580"/>
        <v>124.09</v>
      </c>
      <c r="I3147" s="24" t="str">
        <f t="shared" ref="I3147:I3210" si="581">IF(OR(L3147=0,M3147=0,N3147=0),"SEM VALOR","COM VALOR")</f>
        <v xml:space="preserve">COM VALOR</v>
      </c>
      <c r="L3147" s="36">
        <v>124.09</v>
      </c>
      <c r="M3147" s="37">
        <v>124.09</v>
      </c>
      <c r="N3147" s="36">
        <v>124.09</v>
      </c>
    </row>
    <row r="3148" ht="25.5">
      <c r="A3148" s="19" t="s">
        <v>10460</v>
      </c>
      <c r="B3148" s="19">
        <v>39638</v>
      </c>
      <c r="C3148" s="20" t="s">
        <v>13614</v>
      </c>
      <c r="D3148" s="19" t="s">
        <v>29</v>
      </c>
      <c r="E3148" s="19" t="s">
        <v>10459</v>
      </c>
      <c r="F3148" s="21">
        <f t="shared" si="580"/>
        <v>149.47</v>
      </c>
      <c r="G3148" s="21">
        <f t="shared" si="580"/>
        <v>149.47</v>
      </c>
      <c r="H3148" s="21">
        <f t="shared" si="580"/>
        <v>149.47</v>
      </c>
      <c r="I3148" s="24" t="str">
        <f t="shared" si="581"/>
        <v xml:space="preserve">COM VALOR</v>
      </c>
      <c r="L3148" s="36">
        <v>149.47</v>
      </c>
      <c r="M3148" s="37">
        <v>149.47</v>
      </c>
      <c r="N3148" s="36">
        <v>149.47</v>
      </c>
    </row>
    <row r="3149" ht="76.5">
      <c r="A3149" s="19" t="s">
        <v>10460</v>
      </c>
      <c r="B3149" s="19">
        <v>39517</v>
      </c>
      <c r="C3149" s="20" t="s">
        <v>13615</v>
      </c>
      <c r="D3149" s="19" t="s">
        <v>29</v>
      </c>
      <c r="E3149" s="19" t="s">
        <v>10459</v>
      </c>
      <c r="F3149" s="21" t="str">
        <f t="shared" si="580"/>
        <v>VERIFICAR</v>
      </c>
      <c r="G3149" s="21" t="str">
        <f t="shared" si="580"/>
        <v>VERIFICAR</v>
      </c>
      <c r="H3149" s="21" t="str">
        <f t="shared" si="580"/>
        <v>VERIFICAR</v>
      </c>
      <c r="I3149" s="24" t="str">
        <f t="shared" si="581"/>
        <v xml:space="preserve">SEM VALOR</v>
      </c>
      <c r="L3149" s="36"/>
      <c r="M3149" s="37"/>
      <c r="N3149" s="36"/>
    </row>
    <row r="3150" ht="76.5">
      <c r="A3150" s="19" t="s">
        <v>10460</v>
      </c>
      <c r="B3150" s="19">
        <v>39518</v>
      </c>
      <c r="C3150" s="20" t="s">
        <v>13616</v>
      </c>
      <c r="D3150" s="19" t="s">
        <v>29</v>
      </c>
      <c r="E3150" s="19" t="s">
        <v>10459</v>
      </c>
      <c r="F3150" s="21" t="str">
        <f t="shared" si="580"/>
        <v>VERIFICAR</v>
      </c>
      <c r="G3150" s="21" t="str">
        <f t="shared" si="580"/>
        <v>VERIFICAR</v>
      </c>
      <c r="H3150" s="21" t="str">
        <f t="shared" si="580"/>
        <v>VERIFICAR</v>
      </c>
      <c r="I3150" s="24" t="str">
        <f t="shared" si="581"/>
        <v xml:space="preserve">SEM VALOR</v>
      </c>
      <c r="L3150" s="36"/>
      <c r="M3150" s="37"/>
      <c r="N3150" s="36"/>
    </row>
    <row r="3151" ht="12.75">
      <c r="A3151" s="19" t="s">
        <v>10460</v>
      </c>
      <c r="B3151" s="19">
        <v>38366</v>
      </c>
      <c r="C3151" s="20" t="s">
        <v>13617</v>
      </c>
      <c r="D3151" s="19" t="s">
        <v>29</v>
      </c>
      <c r="E3151" s="19" t="s">
        <v>10459</v>
      </c>
      <c r="F3151" s="21" t="str">
        <f t="shared" si="580"/>
        <v>VERIFICAR</v>
      </c>
      <c r="G3151" s="21" t="str">
        <f t="shared" si="580"/>
        <v>VERIFICAR</v>
      </c>
      <c r="H3151" s="21" t="str">
        <f t="shared" si="580"/>
        <v>VERIFICAR</v>
      </c>
      <c r="I3151" s="24" t="str">
        <f t="shared" si="581"/>
        <v xml:space="preserve">SEM VALOR</v>
      </c>
      <c r="L3151" s="36"/>
      <c r="M3151" s="37"/>
      <c r="N3151" s="36"/>
    </row>
    <row r="3152" ht="12.75">
      <c r="A3152" s="19" t="s">
        <v>10460</v>
      </c>
      <c r="B3152" s="19">
        <v>11703</v>
      </c>
      <c r="C3152" s="20" t="s">
        <v>13618</v>
      </c>
      <c r="D3152" s="19" t="s">
        <v>31</v>
      </c>
      <c r="E3152" s="19" t="s">
        <v>10459</v>
      </c>
      <c r="F3152" s="21">
        <f t="shared" si="580"/>
        <v>26.41</v>
      </c>
      <c r="G3152" s="21">
        <f t="shared" si="580"/>
        <v>26.41</v>
      </c>
      <c r="H3152" s="21">
        <f t="shared" si="580"/>
        <v>26.41</v>
      </c>
      <c r="I3152" s="24" t="str">
        <f t="shared" si="581"/>
        <v xml:space="preserve">COM VALOR</v>
      </c>
      <c r="L3152" s="36">
        <v>26.41</v>
      </c>
      <c r="M3152" s="37">
        <v>26.41</v>
      </c>
      <c r="N3152" s="36">
        <v>26.41</v>
      </c>
    </row>
    <row r="3153" ht="25.5">
      <c r="A3153" s="19" t="s">
        <v>10460</v>
      </c>
      <c r="B3153" s="19">
        <v>37400</v>
      </c>
      <c r="C3153" s="20" t="s">
        <v>13619</v>
      </c>
      <c r="D3153" s="19" t="s">
        <v>31</v>
      </c>
      <c r="E3153" s="19" t="s">
        <v>10459</v>
      </c>
      <c r="F3153" s="21">
        <f t="shared" si="580"/>
        <v>52.990000000000002</v>
      </c>
      <c r="G3153" s="21">
        <f t="shared" si="580"/>
        <v>52.990000000000002</v>
      </c>
      <c r="H3153" s="21">
        <f t="shared" si="580"/>
        <v>52.990000000000002</v>
      </c>
      <c r="I3153" s="24" t="str">
        <f t="shared" si="581"/>
        <v xml:space="preserve">COM VALOR</v>
      </c>
      <c r="L3153" s="36">
        <v>52.990000000000002</v>
      </c>
      <c r="M3153" s="37">
        <v>52.990000000000002</v>
      </c>
      <c r="N3153" s="36">
        <v>52.990000000000002</v>
      </c>
    </row>
    <row r="3154" ht="38.25">
      <c r="A3154" s="19" t="s">
        <v>10460</v>
      </c>
      <c r="B3154" s="19">
        <v>25400</v>
      </c>
      <c r="C3154" s="20" t="s">
        <v>13620</v>
      </c>
      <c r="D3154" s="19" t="s">
        <v>31</v>
      </c>
      <c r="E3154" s="19" t="s">
        <v>10459</v>
      </c>
      <c r="F3154" s="21">
        <f t="shared" si="580"/>
        <v>2877.6799999999998</v>
      </c>
      <c r="G3154" s="21">
        <f t="shared" si="580"/>
        <v>2877.6799999999998</v>
      </c>
      <c r="H3154" s="21">
        <f t="shared" si="580"/>
        <v>2877.6799999999998</v>
      </c>
      <c r="I3154" s="24" t="str">
        <f t="shared" si="581"/>
        <v xml:space="preserve">COM VALOR</v>
      </c>
      <c r="L3154" s="36">
        <v>2877.6799999999998</v>
      </c>
      <c r="M3154" s="37">
        <v>2877.6799999999998</v>
      </c>
      <c r="N3154" s="36">
        <v>2877.6799999999998</v>
      </c>
    </row>
    <row r="3155" ht="25.5">
      <c r="A3155" s="19" t="s">
        <v>10460</v>
      </c>
      <c r="B3155" s="19">
        <v>4276</v>
      </c>
      <c r="C3155" s="20" t="s">
        <v>13621</v>
      </c>
      <c r="D3155" s="19" t="s">
        <v>31</v>
      </c>
      <c r="E3155" s="19" t="s">
        <v>10459</v>
      </c>
      <c r="F3155" s="21">
        <f t="shared" si="580"/>
        <v>222.37</v>
      </c>
      <c r="G3155" s="21">
        <f t="shared" si="580"/>
        <v>222.37</v>
      </c>
      <c r="H3155" s="21">
        <f t="shared" si="580"/>
        <v>222.37</v>
      </c>
      <c r="I3155" s="24" t="str">
        <f t="shared" si="581"/>
        <v xml:space="preserve">COM VALOR</v>
      </c>
      <c r="L3155" s="36">
        <v>222.37</v>
      </c>
      <c r="M3155" s="37">
        <v>222.37</v>
      </c>
      <c r="N3155" s="36">
        <v>222.37</v>
      </c>
    </row>
    <row r="3156" ht="25.5">
      <c r="A3156" s="19" t="s">
        <v>10460</v>
      </c>
      <c r="B3156" s="19">
        <v>4273</v>
      </c>
      <c r="C3156" s="20" t="s">
        <v>13622</v>
      </c>
      <c r="D3156" s="19" t="s">
        <v>31</v>
      </c>
      <c r="E3156" s="19" t="s">
        <v>10459</v>
      </c>
      <c r="F3156" s="21">
        <f t="shared" si="580"/>
        <v>403.73000000000002</v>
      </c>
      <c r="G3156" s="21">
        <f t="shared" si="580"/>
        <v>403.73000000000002</v>
      </c>
      <c r="H3156" s="21">
        <f t="shared" si="580"/>
        <v>403.73000000000002</v>
      </c>
      <c r="I3156" s="24" t="str">
        <f t="shared" si="581"/>
        <v xml:space="preserve">COM VALOR</v>
      </c>
      <c r="L3156" s="36">
        <v>403.73000000000002</v>
      </c>
      <c r="M3156" s="37">
        <v>403.73000000000002</v>
      </c>
      <c r="N3156" s="36">
        <v>403.73000000000002</v>
      </c>
    </row>
    <row r="3157" ht="38.25">
      <c r="A3157" s="19" t="s">
        <v>10460</v>
      </c>
      <c r="B3157" s="19">
        <v>4274</v>
      </c>
      <c r="C3157" s="20" t="s">
        <v>13623</v>
      </c>
      <c r="D3157" s="19" t="s">
        <v>31</v>
      </c>
      <c r="E3157" s="19" t="s">
        <v>10466</v>
      </c>
      <c r="F3157" s="21">
        <f t="shared" si="580"/>
        <v>147.69999999999999</v>
      </c>
      <c r="G3157" s="21">
        <f t="shared" si="580"/>
        <v>147.69999999999999</v>
      </c>
      <c r="H3157" s="21">
        <f t="shared" si="580"/>
        <v>147.69999999999999</v>
      </c>
      <c r="I3157" s="24" t="str">
        <f t="shared" si="581"/>
        <v xml:space="preserve">COM VALOR</v>
      </c>
      <c r="L3157" s="36">
        <v>147.69999999999999</v>
      </c>
      <c r="M3157" s="37">
        <v>147.69999999999999</v>
      </c>
      <c r="N3157" s="36">
        <v>147.69999999999999</v>
      </c>
    </row>
    <row r="3158" ht="51">
      <c r="A3158" s="19" t="s">
        <v>10460</v>
      </c>
      <c r="B3158" s="19">
        <v>39438</v>
      </c>
      <c r="C3158" s="20" t="s">
        <v>13624</v>
      </c>
      <c r="D3158" s="19" t="s">
        <v>31</v>
      </c>
      <c r="E3158" s="19" t="s">
        <v>10459</v>
      </c>
      <c r="F3158" s="21">
        <f t="shared" si="580"/>
        <v>0.29999999999999999</v>
      </c>
      <c r="G3158" s="21">
        <f t="shared" si="580"/>
        <v>0.29999999999999999</v>
      </c>
      <c r="H3158" s="21">
        <f t="shared" si="580"/>
        <v>0.29999999999999999</v>
      </c>
      <c r="I3158" s="24" t="str">
        <f t="shared" si="581"/>
        <v xml:space="preserve">COM VALOR</v>
      </c>
      <c r="L3158" s="36">
        <v>0.29999999999999999</v>
      </c>
      <c r="M3158" s="37">
        <v>0.29999999999999999</v>
      </c>
      <c r="N3158" s="36">
        <v>0.29999999999999999</v>
      </c>
    </row>
    <row r="3159" ht="38.25">
      <c r="A3159" s="19" t="s">
        <v>10460</v>
      </c>
      <c r="B3159" s="19">
        <v>4379</v>
      </c>
      <c r="C3159" s="20" t="s">
        <v>13625</v>
      </c>
      <c r="D3159" s="19" t="s">
        <v>31</v>
      </c>
      <c r="E3159" s="19" t="s">
        <v>10459</v>
      </c>
      <c r="F3159" s="21">
        <f t="shared" si="580"/>
        <v>5.9999999999999998e-002</v>
      </c>
      <c r="G3159" s="21">
        <f t="shared" si="580"/>
        <v>5.9999999999999998e-002</v>
      </c>
      <c r="H3159" s="21">
        <f t="shared" si="580"/>
        <v>5.9999999999999998e-002</v>
      </c>
      <c r="I3159" s="24" t="str">
        <f t="shared" si="581"/>
        <v xml:space="preserve">COM VALOR</v>
      </c>
      <c r="L3159" s="36">
        <v>5.9999999999999998e-002</v>
      </c>
      <c r="M3159" s="37">
        <v>5.9999999999999998e-002</v>
      </c>
      <c r="N3159" s="36">
        <v>5.9999999999999998e-002</v>
      </c>
    </row>
    <row r="3160" ht="38.25">
      <c r="A3160" s="19" t="s">
        <v>10460</v>
      </c>
      <c r="B3160" s="19">
        <v>4377</v>
      </c>
      <c r="C3160" s="20" t="s">
        <v>13626</v>
      </c>
      <c r="D3160" s="19" t="s">
        <v>31</v>
      </c>
      <c r="E3160" s="19" t="s">
        <v>10459</v>
      </c>
      <c r="F3160" s="21">
        <f t="shared" si="580"/>
        <v>0.20999999999999999</v>
      </c>
      <c r="G3160" s="21">
        <f t="shared" si="580"/>
        <v>0.20999999999999999</v>
      </c>
      <c r="H3160" s="21">
        <f t="shared" si="580"/>
        <v>0.20999999999999999</v>
      </c>
      <c r="I3160" s="24" t="str">
        <f t="shared" si="581"/>
        <v xml:space="preserve">COM VALOR</v>
      </c>
      <c r="L3160" s="36">
        <v>0.20999999999999999</v>
      </c>
      <c r="M3160" s="37">
        <v>0.20999999999999999</v>
      </c>
      <c r="N3160" s="36">
        <v>0.20999999999999999</v>
      </c>
    </row>
    <row r="3161" ht="38.25">
      <c r="A3161" s="19" t="s">
        <v>10460</v>
      </c>
      <c r="B3161" s="19">
        <v>4356</v>
      </c>
      <c r="C3161" s="20" t="s">
        <v>13627</v>
      </c>
      <c r="D3161" s="19" t="s">
        <v>31</v>
      </c>
      <c r="E3161" s="19" t="s">
        <v>10459</v>
      </c>
      <c r="F3161" s="21">
        <f t="shared" si="580"/>
        <v>0.29999999999999999</v>
      </c>
      <c r="G3161" s="21">
        <f t="shared" si="580"/>
        <v>0.29999999999999999</v>
      </c>
      <c r="H3161" s="21">
        <f t="shared" si="580"/>
        <v>0.29999999999999999</v>
      </c>
      <c r="I3161" s="24" t="str">
        <f t="shared" si="581"/>
        <v xml:space="preserve">COM VALOR</v>
      </c>
      <c r="L3161" s="36">
        <v>0.29999999999999999</v>
      </c>
      <c r="M3161" s="37">
        <v>0.29999999999999999</v>
      </c>
      <c r="N3161" s="36">
        <v>0.29999999999999999</v>
      </c>
    </row>
    <row r="3162" ht="38.25">
      <c r="A3162" s="19" t="s">
        <v>10460</v>
      </c>
      <c r="B3162" s="19">
        <v>13246</v>
      </c>
      <c r="C3162" s="20" t="s">
        <v>13628</v>
      </c>
      <c r="D3162" s="19" t="s">
        <v>31</v>
      </c>
      <c r="E3162" s="19" t="s">
        <v>10459</v>
      </c>
      <c r="F3162" s="21">
        <f t="shared" si="580"/>
        <v>0.52000000000000002</v>
      </c>
      <c r="G3162" s="21">
        <f t="shared" si="580"/>
        <v>0.52000000000000002</v>
      </c>
      <c r="H3162" s="21">
        <f t="shared" si="580"/>
        <v>0.52000000000000002</v>
      </c>
      <c r="I3162" s="24" t="str">
        <f t="shared" si="581"/>
        <v xml:space="preserve">COM VALOR</v>
      </c>
      <c r="L3162" s="36">
        <v>0.52000000000000002</v>
      </c>
      <c r="M3162" s="37">
        <v>0.52000000000000002</v>
      </c>
      <c r="N3162" s="36">
        <v>0.52000000000000002</v>
      </c>
    </row>
    <row r="3163" ht="25.5">
      <c r="A3163" s="19" t="s">
        <v>10460</v>
      </c>
      <c r="B3163" s="19">
        <v>13294</v>
      </c>
      <c r="C3163" s="20" t="s">
        <v>13629</v>
      </c>
      <c r="D3163" s="19" t="s">
        <v>31</v>
      </c>
      <c r="E3163" s="19" t="s">
        <v>10459</v>
      </c>
      <c r="F3163" s="21">
        <f t="shared" si="580"/>
        <v>1.73</v>
      </c>
      <c r="G3163" s="21">
        <f t="shared" si="580"/>
        <v>1.73</v>
      </c>
      <c r="H3163" s="21">
        <f t="shared" si="580"/>
        <v>1.73</v>
      </c>
      <c r="I3163" s="24" t="str">
        <f t="shared" si="581"/>
        <v xml:space="preserve">COM VALOR</v>
      </c>
      <c r="L3163" s="36">
        <v>1.73</v>
      </c>
      <c r="M3163" s="37">
        <v>1.73</v>
      </c>
      <c r="N3163" s="36">
        <v>1.73</v>
      </c>
    </row>
    <row r="3164" ht="25.5">
      <c r="A3164" s="19" t="s">
        <v>10460</v>
      </c>
      <c r="B3164" s="19">
        <v>11963</v>
      </c>
      <c r="C3164" s="20" t="s">
        <v>13630</v>
      </c>
      <c r="D3164" s="19" t="s">
        <v>31</v>
      </c>
      <c r="E3164" s="19" t="s">
        <v>10459</v>
      </c>
      <c r="F3164" s="21">
        <f t="shared" si="580"/>
        <v>10.93</v>
      </c>
      <c r="G3164" s="21">
        <f t="shared" si="580"/>
        <v>10.93</v>
      </c>
      <c r="H3164" s="21">
        <f t="shared" si="580"/>
        <v>10.93</v>
      </c>
      <c r="I3164" s="24" t="str">
        <f t="shared" si="581"/>
        <v xml:space="preserve">COM VALOR</v>
      </c>
      <c r="L3164" s="36">
        <v>10.93</v>
      </c>
      <c r="M3164" s="37">
        <v>10.93</v>
      </c>
      <c r="N3164" s="36">
        <v>10.93</v>
      </c>
    </row>
    <row r="3165" ht="25.5">
      <c r="A3165" s="19" t="s">
        <v>10460</v>
      </c>
      <c r="B3165" s="19">
        <v>11964</v>
      </c>
      <c r="C3165" s="20" t="s">
        <v>13631</v>
      </c>
      <c r="D3165" s="19" t="s">
        <v>31</v>
      </c>
      <c r="E3165" s="19" t="s">
        <v>10459</v>
      </c>
      <c r="F3165" s="21">
        <f t="shared" si="580"/>
        <v>2.7599999999999998</v>
      </c>
      <c r="G3165" s="21">
        <f t="shared" si="580"/>
        <v>2.7599999999999998</v>
      </c>
      <c r="H3165" s="21">
        <f t="shared" si="580"/>
        <v>2.7599999999999998</v>
      </c>
      <c r="I3165" s="24" t="str">
        <f t="shared" si="581"/>
        <v xml:space="preserve">COM VALOR</v>
      </c>
      <c r="L3165" s="36">
        <v>2.7599999999999998</v>
      </c>
      <c r="M3165" s="37">
        <v>2.7599999999999998</v>
      </c>
      <c r="N3165" s="36">
        <v>2.7599999999999998</v>
      </c>
    </row>
    <row r="3166" ht="38.25">
      <c r="A3166" s="19" t="s">
        <v>10460</v>
      </c>
      <c r="B3166" s="19">
        <v>4346</v>
      </c>
      <c r="C3166" s="20" t="s">
        <v>13632</v>
      </c>
      <c r="D3166" s="19" t="s">
        <v>31</v>
      </c>
      <c r="E3166" s="19" t="s">
        <v>10459</v>
      </c>
      <c r="F3166" s="21">
        <f t="shared" si="580"/>
        <v>11.710000000000001</v>
      </c>
      <c r="G3166" s="21">
        <f t="shared" si="580"/>
        <v>11.710000000000001</v>
      </c>
      <c r="H3166" s="21">
        <f t="shared" si="580"/>
        <v>11.710000000000001</v>
      </c>
      <c r="I3166" s="24" t="str">
        <f t="shared" si="581"/>
        <v xml:space="preserve">COM VALOR</v>
      </c>
      <c r="L3166" s="36">
        <v>11.710000000000001</v>
      </c>
      <c r="M3166" s="37">
        <v>11.710000000000001</v>
      </c>
      <c r="N3166" s="36">
        <v>11.710000000000001</v>
      </c>
    </row>
    <row r="3167" ht="38.25">
      <c r="A3167" s="19" t="s">
        <v>10460</v>
      </c>
      <c r="B3167" s="19">
        <v>11955</v>
      </c>
      <c r="C3167" s="20" t="s">
        <v>13633</v>
      </c>
      <c r="D3167" s="19" t="s">
        <v>31</v>
      </c>
      <c r="E3167" s="19" t="s">
        <v>10459</v>
      </c>
      <c r="F3167" s="21">
        <f t="shared" si="580"/>
        <v>5.1299999999999999</v>
      </c>
      <c r="G3167" s="21">
        <f t="shared" si="580"/>
        <v>5.1299999999999999</v>
      </c>
      <c r="H3167" s="21">
        <f t="shared" si="580"/>
        <v>5.1299999999999999</v>
      </c>
      <c r="I3167" s="24" t="str">
        <f t="shared" si="581"/>
        <v xml:space="preserve">COM VALOR</v>
      </c>
      <c r="L3167" s="36">
        <v>5.1299999999999999</v>
      </c>
      <c r="M3167" s="37">
        <v>5.1299999999999999</v>
      </c>
      <c r="N3167" s="36">
        <v>5.1299999999999999</v>
      </c>
    </row>
    <row r="3168" ht="25.5">
      <c r="A3168" s="19" t="s">
        <v>10460</v>
      </c>
      <c r="B3168" s="19">
        <v>11960</v>
      </c>
      <c r="C3168" s="20" t="s">
        <v>13634</v>
      </c>
      <c r="D3168" s="19" t="s">
        <v>31</v>
      </c>
      <c r="E3168" s="19" t="s">
        <v>10459</v>
      </c>
      <c r="F3168" s="21">
        <f t="shared" si="580"/>
        <v>0.17000000000000001</v>
      </c>
      <c r="G3168" s="21">
        <f t="shared" si="580"/>
        <v>0.17000000000000001</v>
      </c>
      <c r="H3168" s="21">
        <f t="shared" si="580"/>
        <v>0.17000000000000001</v>
      </c>
      <c r="I3168" s="24" t="str">
        <f t="shared" si="581"/>
        <v xml:space="preserve">COM VALOR</v>
      </c>
      <c r="L3168" s="36">
        <v>0.17000000000000001</v>
      </c>
      <c r="M3168" s="37">
        <v>0.17000000000000001</v>
      </c>
      <c r="N3168" s="36">
        <v>0.17000000000000001</v>
      </c>
    </row>
    <row r="3169" ht="25.5">
      <c r="A3169" s="19" t="s">
        <v>10460</v>
      </c>
      <c r="B3169" s="19">
        <v>4333</v>
      </c>
      <c r="C3169" s="20" t="s">
        <v>13635</v>
      </c>
      <c r="D3169" s="19" t="s">
        <v>31</v>
      </c>
      <c r="E3169" s="19" t="s">
        <v>10459</v>
      </c>
      <c r="F3169" s="21">
        <f t="shared" si="580"/>
        <v>0.29999999999999999</v>
      </c>
      <c r="G3169" s="21">
        <f t="shared" si="580"/>
        <v>0.29999999999999999</v>
      </c>
      <c r="H3169" s="21">
        <f t="shared" si="580"/>
        <v>0.29999999999999999</v>
      </c>
      <c r="I3169" s="24" t="str">
        <f t="shared" si="581"/>
        <v xml:space="preserve">COM VALOR</v>
      </c>
      <c r="L3169" s="36">
        <v>0.29999999999999999</v>
      </c>
      <c r="M3169" s="37">
        <v>0.29999999999999999</v>
      </c>
      <c r="N3169" s="36">
        <v>0.29999999999999999</v>
      </c>
    </row>
    <row r="3170" ht="25.5">
      <c r="A3170" s="19" t="s">
        <v>10460</v>
      </c>
      <c r="B3170" s="19">
        <v>4358</v>
      </c>
      <c r="C3170" s="20" t="s">
        <v>13636</v>
      </c>
      <c r="D3170" s="19" t="s">
        <v>31</v>
      </c>
      <c r="E3170" s="19" t="s">
        <v>10459</v>
      </c>
      <c r="F3170" s="21">
        <f t="shared" si="580"/>
        <v>2.3399999999999999</v>
      </c>
      <c r="G3170" s="21">
        <f t="shared" si="580"/>
        <v>2.3399999999999999</v>
      </c>
      <c r="H3170" s="21">
        <f t="shared" si="580"/>
        <v>2.3399999999999999</v>
      </c>
      <c r="I3170" s="24" t="str">
        <f t="shared" si="581"/>
        <v xml:space="preserve">COM VALOR</v>
      </c>
      <c r="L3170" s="36">
        <v>2.3399999999999999</v>
      </c>
      <c r="M3170" s="37">
        <v>2.3399999999999999</v>
      </c>
      <c r="N3170" s="36">
        <v>2.3399999999999999</v>
      </c>
    </row>
    <row r="3171" ht="25.5">
      <c r="A3171" s="19" t="s">
        <v>10460</v>
      </c>
      <c r="B3171" s="19">
        <v>39435</v>
      </c>
      <c r="C3171" s="20" t="s">
        <v>13637</v>
      </c>
      <c r="D3171" s="19" t="s">
        <v>31</v>
      </c>
      <c r="E3171" s="19" t="s">
        <v>10459</v>
      </c>
      <c r="F3171" s="21">
        <f t="shared" si="580"/>
        <v>0.12</v>
      </c>
      <c r="G3171" s="21">
        <f t="shared" si="580"/>
        <v>0.12</v>
      </c>
      <c r="H3171" s="21">
        <f t="shared" si="580"/>
        <v>0.12</v>
      </c>
      <c r="I3171" s="24" t="str">
        <f t="shared" si="581"/>
        <v xml:space="preserve">COM VALOR</v>
      </c>
      <c r="L3171" s="36">
        <v>0.12</v>
      </c>
      <c r="M3171" s="37">
        <v>0.12</v>
      </c>
      <c r="N3171" s="36">
        <v>0.12</v>
      </c>
    </row>
    <row r="3172" ht="25.5">
      <c r="A3172" s="19" t="s">
        <v>10460</v>
      </c>
      <c r="B3172" s="19">
        <v>39436</v>
      </c>
      <c r="C3172" s="20" t="s">
        <v>13638</v>
      </c>
      <c r="D3172" s="19" t="s">
        <v>31</v>
      </c>
      <c r="E3172" s="19" t="s">
        <v>10459</v>
      </c>
      <c r="F3172" s="21">
        <f t="shared" si="580"/>
        <v>0.20000000000000001</v>
      </c>
      <c r="G3172" s="21">
        <f t="shared" si="580"/>
        <v>0.20000000000000001</v>
      </c>
      <c r="H3172" s="21">
        <f t="shared" si="580"/>
        <v>0.20000000000000001</v>
      </c>
      <c r="I3172" s="24" t="str">
        <f t="shared" si="581"/>
        <v xml:space="preserve">COM VALOR</v>
      </c>
      <c r="L3172" s="36">
        <v>0.20000000000000001</v>
      </c>
      <c r="M3172" s="37">
        <v>0.20000000000000001</v>
      </c>
      <c r="N3172" s="36">
        <v>0.20000000000000001</v>
      </c>
    </row>
    <row r="3173" ht="25.5">
      <c r="A3173" s="19" t="s">
        <v>10460</v>
      </c>
      <c r="B3173" s="19">
        <v>39437</v>
      </c>
      <c r="C3173" s="20" t="s">
        <v>13639</v>
      </c>
      <c r="D3173" s="19" t="s">
        <v>31</v>
      </c>
      <c r="E3173" s="19" t="s">
        <v>10459</v>
      </c>
      <c r="F3173" s="21">
        <f t="shared" si="580"/>
        <v>0.26000000000000001</v>
      </c>
      <c r="G3173" s="21">
        <f t="shared" si="580"/>
        <v>0.26000000000000001</v>
      </c>
      <c r="H3173" s="21">
        <f t="shared" si="580"/>
        <v>0.26000000000000001</v>
      </c>
      <c r="I3173" s="24" t="str">
        <f t="shared" si="581"/>
        <v xml:space="preserve">COM VALOR</v>
      </c>
      <c r="L3173" s="36">
        <v>0.26000000000000001</v>
      </c>
      <c r="M3173" s="37">
        <v>0.26000000000000001</v>
      </c>
      <c r="N3173" s="36">
        <v>0.26000000000000001</v>
      </c>
    </row>
    <row r="3174" ht="25.5">
      <c r="A3174" s="19" t="s">
        <v>10460</v>
      </c>
      <c r="B3174" s="19">
        <v>39439</v>
      </c>
      <c r="C3174" s="20" t="s">
        <v>13640</v>
      </c>
      <c r="D3174" s="19" t="s">
        <v>31</v>
      </c>
      <c r="E3174" s="19" t="s">
        <v>10459</v>
      </c>
      <c r="F3174" s="21">
        <f t="shared" si="580"/>
        <v>0.17999999999999999</v>
      </c>
      <c r="G3174" s="21">
        <f t="shared" si="580"/>
        <v>0.17999999999999999</v>
      </c>
      <c r="H3174" s="21">
        <f t="shared" si="580"/>
        <v>0.17999999999999999</v>
      </c>
      <c r="I3174" s="24" t="str">
        <f t="shared" si="581"/>
        <v xml:space="preserve">COM VALOR</v>
      </c>
      <c r="L3174" s="36">
        <v>0.17999999999999999</v>
      </c>
      <c r="M3174" s="37">
        <v>0.17999999999999999</v>
      </c>
      <c r="N3174" s="36">
        <v>0.17999999999999999</v>
      </c>
    </row>
    <row r="3175" ht="25.5">
      <c r="A3175" s="19" t="s">
        <v>10460</v>
      </c>
      <c r="B3175" s="19">
        <v>39440</v>
      </c>
      <c r="C3175" s="20" t="s">
        <v>13641</v>
      </c>
      <c r="D3175" s="19" t="s">
        <v>31</v>
      </c>
      <c r="E3175" s="19" t="s">
        <v>10459</v>
      </c>
      <c r="F3175" s="21">
        <f t="shared" si="580"/>
        <v>0.23000000000000001</v>
      </c>
      <c r="G3175" s="21">
        <f t="shared" si="580"/>
        <v>0.23000000000000001</v>
      </c>
      <c r="H3175" s="21">
        <f t="shared" si="580"/>
        <v>0.23000000000000001</v>
      </c>
      <c r="I3175" s="24" t="str">
        <f t="shared" si="581"/>
        <v xml:space="preserve">COM VALOR</v>
      </c>
      <c r="L3175" s="36">
        <v>0.23000000000000001</v>
      </c>
      <c r="M3175" s="37">
        <v>0.23000000000000001</v>
      </c>
      <c r="N3175" s="36">
        <v>0.23000000000000001</v>
      </c>
    </row>
    <row r="3176" ht="25.5">
      <c r="A3176" s="19" t="s">
        <v>10460</v>
      </c>
      <c r="B3176" s="19">
        <v>39441</v>
      </c>
      <c r="C3176" s="20" t="s">
        <v>13642</v>
      </c>
      <c r="D3176" s="19" t="s">
        <v>31</v>
      </c>
      <c r="E3176" s="19" t="s">
        <v>10459</v>
      </c>
      <c r="F3176" s="21">
        <f t="shared" si="580"/>
        <v>0.28999999999999998</v>
      </c>
      <c r="G3176" s="21">
        <f t="shared" si="580"/>
        <v>0.28999999999999998</v>
      </c>
      <c r="H3176" s="21">
        <f t="shared" si="580"/>
        <v>0.28999999999999998</v>
      </c>
      <c r="I3176" s="24" t="str">
        <f t="shared" si="581"/>
        <v xml:space="preserve">COM VALOR</v>
      </c>
      <c r="L3176" s="36">
        <v>0.28999999999999998</v>
      </c>
      <c r="M3176" s="37">
        <v>0.28999999999999998</v>
      </c>
      <c r="N3176" s="36">
        <v>0.28999999999999998</v>
      </c>
    </row>
    <row r="3177" ht="25.5">
      <c r="A3177" s="19" t="s">
        <v>10460</v>
      </c>
      <c r="B3177" s="19">
        <v>39442</v>
      </c>
      <c r="C3177" s="20" t="s">
        <v>13643</v>
      </c>
      <c r="D3177" s="19" t="s">
        <v>31</v>
      </c>
      <c r="E3177" s="19" t="s">
        <v>10459</v>
      </c>
      <c r="F3177" s="21">
        <f t="shared" si="580"/>
        <v>0.20999999999999999</v>
      </c>
      <c r="G3177" s="21">
        <f t="shared" si="580"/>
        <v>0.20999999999999999</v>
      </c>
      <c r="H3177" s="21">
        <f t="shared" si="580"/>
        <v>0.20999999999999999</v>
      </c>
      <c r="I3177" s="24" t="str">
        <f t="shared" si="581"/>
        <v xml:space="preserve">COM VALOR</v>
      </c>
      <c r="L3177" s="36">
        <v>0.20999999999999999</v>
      </c>
      <c r="M3177" s="37">
        <v>0.20999999999999999</v>
      </c>
      <c r="N3177" s="36">
        <v>0.20999999999999999</v>
      </c>
    </row>
    <row r="3178" ht="25.5">
      <c r="A3178" s="19" t="s">
        <v>10460</v>
      </c>
      <c r="B3178" s="19">
        <v>39443</v>
      </c>
      <c r="C3178" s="20" t="s">
        <v>13644</v>
      </c>
      <c r="D3178" s="19" t="s">
        <v>31</v>
      </c>
      <c r="E3178" s="19" t="s">
        <v>10459</v>
      </c>
      <c r="F3178" s="21">
        <f t="shared" si="580"/>
        <v>0.28000000000000003</v>
      </c>
      <c r="G3178" s="21">
        <f t="shared" si="580"/>
        <v>0.28000000000000003</v>
      </c>
      <c r="H3178" s="21">
        <f t="shared" si="580"/>
        <v>0.28000000000000003</v>
      </c>
      <c r="I3178" s="24" t="str">
        <f t="shared" si="581"/>
        <v xml:space="preserve">COM VALOR</v>
      </c>
      <c r="L3178" s="36">
        <v>0.28000000000000003</v>
      </c>
      <c r="M3178" s="37">
        <v>0.28000000000000003</v>
      </c>
      <c r="N3178" s="36">
        <v>0.28000000000000003</v>
      </c>
    </row>
    <row r="3179" ht="25.5">
      <c r="A3179" s="19" t="s">
        <v>10460</v>
      </c>
      <c r="B3179" s="19">
        <v>4329</v>
      </c>
      <c r="C3179" s="20" t="s">
        <v>13645</v>
      </c>
      <c r="D3179" s="19" t="s">
        <v>31</v>
      </c>
      <c r="E3179" s="19" t="s">
        <v>10466</v>
      </c>
      <c r="F3179" s="21">
        <f t="shared" si="580"/>
        <v>2.5</v>
      </c>
      <c r="G3179" s="21">
        <f t="shared" si="580"/>
        <v>2.5</v>
      </c>
      <c r="H3179" s="21">
        <f t="shared" si="580"/>
        <v>2.5</v>
      </c>
      <c r="I3179" s="24" t="str">
        <f t="shared" si="581"/>
        <v xml:space="preserve">COM VALOR</v>
      </c>
      <c r="L3179" s="36">
        <v>2.5</v>
      </c>
      <c r="M3179" s="37">
        <v>2.5</v>
      </c>
      <c r="N3179" s="36">
        <v>2.5</v>
      </c>
    </row>
    <row r="3180" ht="38.25">
      <c r="A3180" s="19" t="s">
        <v>10460</v>
      </c>
      <c r="B3180" s="19">
        <v>436</v>
      </c>
      <c r="C3180" s="20" t="s">
        <v>13646</v>
      </c>
      <c r="D3180" s="19" t="s">
        <v>31</v>
      </c>
      <c r="E3180" s="19" t="s">
        <v>10459</v>
      </c>
      <c r="F3180" s="21" t="str">
        <f t="shared" si="580"/>
        <v>VERIFICAR</v>
      </c>
      <c r="G3180" s="21" t="str">
        <f t="shared" si="580"/>
        <v>VERIFICAR</v>
      </c>
      <c r="H3180" s="21" t="str">
        <f t="shared" si="580"/>
        <v>VERIFICAR</v>
      </c>
      <c r="I3180" s="24" t="str">
        <f t="shared" si="581"/>
        <v xml:space="preserve">SEM VALOR</v>
      </c>
      <c r="L3180" s="36"/>
      <c r="M3180" s="37"/>
      <c r="N3180" s="36"/>
    </row>
    <row r="3181" ht="38.25">
      <c r="A3181" s="19" t="s">
        <v>10460</v>
      </c>
      <c r="B3181" s="19">
        <v>442</v>
      </c>
      <c r="C3181" s="20" t="s">
        <v>13647</v>
      </c>
      <c r="D3181" s="19" t="s">
        <v>31</v>
      </c>
      <c r="E3181" s="19" t="s">
        <v>10459</v>
      </c>
      <c r="F3181" s="21" t="str">
        <f t="shared" si="580"/>
        <v>VERIFICAR</v>
      </c>
      <c r="G3181" s="21" t="str">
        <f t="shared" si="580"/>
        <v>VERIFICAR</v>
      </c>
      <c r="H3181" s="21" t="str">
        <f t="shared" si="580"/>
        <v>VERIFICAR</v>
      </c>
      <c r="I3181" s="24" t="str">
        <f t="shared" si="581"/>
        <v xml:space="preserve">SEM VALOR</v>
      </c>
      <c r="L3181" s="36"/>
      <c r="M3181" s="37"/>
      <c r="N3181" s="36"/>
    </row>
    <row r="3182" ht="38.25">
      <c r="A3182" s="19" t="s">
        <v>10460</v>
      </c>
      <c r="B3182" s="19">
        <v>4383</v>
      </c>
      <c r="C3182" s="20" t="s">
        <v>13648</v>
      </c>
      <c r="D3182" s="19" t="s">
        <v>31</v>
      </c>
      <c r="E3182" s="19" t="s">
        <v>10459</v>
      </c>
      <c r="F3182" s="21">
        <f t="shared" si="580"/>
        <v>22.600000000000001</v>
      </c>
      <c r="G3182" s="21">
        <f t="shared" si="580"/>
        <v>22.600000000000001</v>
      </c>
      <c r="H3182" s="21">
        <f t="shared" si="580"/>
        <v>22.600000000000001</v>
      </c>
      <c r="I3182" s="24" t="str">
        <f t="shared" si="581"/>
        <v xml:space="preserve">COM VALOR</v>
      </c>
      <c r="L3182" s="36">
        <v>22.600000000000001</v>
      </c>
      <c r="M3182" s="37">
        <v>22.600000000000001</v>
      </c>
      <c r="N3182" s="36">
        <v>22.600000000000001</v>
      </c>
    </row>
    <row r="3183" ht="38.25">
      <c r="A3183" s="19" t="s">
        <v>10460</v>
      </c>
      <c r="B3183" s="19">
        <v>4344</v>
      </c>
      <c r="C3183" s="20" t="s">
        <v>13649</v>
      </c>
      <c r="D3183" s="19" t="s">
        <v>31</v>
      </c>
      <c r="E3183" s="19" t="s">
        <v>10459</v>
      </c>
      <c r="F3183" s="21">
        <f t="shared" si="580"/>
        <v>23.690000000000001</v>
      </c>
      <c r="G3183" s="21">
        <f t="shared" si="580"/>
        <v>23.690000000000001</v>
      </c>
      <c r="H3183" s="21">
        <f t="shared" si="580"/>
        <v>23.690000000000001</v>
      </c>
      <c r="I3183" s="24" t="str">
        <f t="shared" si="581"/>
        <v xml:space="preserve">COM VALOR</v>
      </c>
      <c r="L3183" s="36">
        <v>23.690000000000001</v>
      </c>
      <c r="M3183" s="37">
        <v>23.690000000000001</v>
      </c>
      <c r="N3183" s="36">
        <v>23.690000000000001</v>
      </c>
    </row>
    <row r="3184" ht="25.5">
      <c r="A3184" s="19" t="s">
        <v>10460</v>
      </c>
      <c r="B3184" s="19">
        <v>4335</v>
      </c>
      <c r="C3184" s="20" t="s">
        <v>13650</v>
      </c>
      <c r="D3184" s="19" t="s">
        <v>31</v>
      </c>
      <c r="E3184" s="19" t="s">
        <v>10459</v>
      </c>
      <c r="F3184" s="21">
        <f t="shared" si="580"/>
        <v>15.91</v>
      </c>
      <c r="G3184" s="21">
        <f t="shared" si="580"/>
        <v>15.91</v>
      </c>
      <c r="H3184" s="21">
        <f t="shared" si="580"/>
        <v>15.91</v>
      </c>
      <c r="I3184" s="24" t="str">
        <f t="shared" si="581"/>
        <v xml:space="preserve">COM VALOR</v>
      </c>
      <c r="L3184" s="36">
        <v>15.91</v>
      </c>
      <c r="M3184" s="37">
        <v>15.91</v>
      </c>
      <c r="N3184" s="36">
        <v>15.91</v>
      </c>
    </row>
    <row r="3185" ht="25.5">
      <c r="A3185" s="19" t="s">
        <v>10460</v>
      </c>
      <c r="B3185" s="19">
        <v>4334</v>
      </c>
      <c r="C3185" s="20" t="s">
        <v>13651</v>
      </c>
      <c r="D3185" s="19" t="s">
        <v>31</v>
      </c>
      <c r="E3185" s="19" t="s">
        <v>10459</v>
      </c>
      <c r="F3185" s="21">
        <f t="shared" si="580"/>
        <v>21.82</v>
      </c>
      <c r="G3185" s="21">
        <f t="shared" si="580"/>
        <v>21.82</v>
      </c>
      <c r="H3185" s="21">
        <f t="shared" si="580"/>
        <v>21.82</v>
      </c>
      <c r="I3185" s="24" t="str">
        <f t="shared" si="581"/>
        <v xml:space="preserve">COM VALOR</v>
      </c>
      <c r="L3185" s="36">
        <v>21.82</v>
      </c>
      <c r="M3185" s="37">
        <v>21.82</v>
      </c>
      <c r="N3185" s="36">
        <v>21.82</v>
      </c>
    </row>
    <row r="3186" ht="25.5">
      <c r="A3186" s="19" t="s">
        <v>10460</v>
      </c>
      <c r="B3186" s="19">
        <v>11953</v>
      </c>
      <c r="C3186" s="20" t="s">
        <v>13652</v>
      </c>
      <c r="D3186" s="19" t="s">
        <v>31</v>
      </c>
      <c r="E3186" s="19" t="s">
        <v>10459</v>
      </c>
      <c r="F3186" s="21">
        <f t="shared" si="580"/>
        <v>3.7599999999999998</v>
      </c>
      <c r="G3186" s="21">
        <f t="shared" si="580"/>
        <v>3.7599999999999998</v>
      </c>
      <c r="H3186" s="21">
        <f t="shared" si="580"/>
        <v>3.7599999999999998</v>
      </c>
      <c r="I3186" s="24" t="str">
        <f t="shared" si="581"/>
        <v xml:space="preserve">COM VALOR</v>
      </c>
      <c r="L3186" s="36">
        <v>3.7599999999999998</v>
      </c>
      <c r="M3186" s="37">
        <v>3.7599999999999998</v>
      </c>
      <c r="N3186" s="36">
        <v>3.7599999999999998</v>
      </c>
    </row>
    <row r="3187" ht="25.5">
      <c r="A3187" s="19" t="s">
        <v>10460</v>
      </c>
      <c r="B3187" s="19">
        <v>4343</v>
      </c>
      <c r="C3187" s="20" t="s">
        <v>13653</v>
      </c>
      <c r="D3187" s="19" t="s">
        <v>31</v>
      </c>
      <c r="E3187" s="19" t="s">
        <v>10459</v>
      </c>
      <c r="F3187" s="21">
        <f t="shared" si="580"/>
        <v>5.3600000000000003</v>
      </c>
      <c r="G3187" s="21">
        <f t="shared" si="580"/>
        <v>5.3600000000000003</v>
      </c>
      <c r="H3187" s="21">
        <f t="shared" si="580"/>
        <v>5.3600000000000003</v>
      </c>
      <c r="I3187" s="24" t="str">
        <f t="shared" si="581"/>
        <v xml:space="preserve">COM VALOR</v>
      </c>
      <c r="L3187" s="36">
        <v>5.3600000000000003</v>
      </c>
      <c r="M3187" s="37">
        <v>5.3600000000000003</v>
      </c>
      <c r="N3187" s="36">
        <v>5.3600000000000003</v>
      </c>
    </row>
    <row r="3188" ht="38.25">
      <c r="A3188" s="19" t="s">
        <v>10460</v>
      </c>
      <c r="B3188" s="19">
        <v>430</v>
      </c>
      <c r="C3188" s="20" t="s">
        <v>13654</v>
      </c>
      <c r="D3188" s="19" t="s">
        <v>31</v>
      </c>
      <c r="E3188" s="19" t="s">
        <v>10459</v>
      </c>
      <c r="F3188" s="21" t="str">
        <f t="shared" si="580"/>
        <v>VERIFICAR</v>
      </c>
      <c r="G3188" s="21" t="str">
        <f t="shared" si="580"/>
        <v>VERIFICAR</v>
      </c>
      <c r="H3188" s="21" t="str">
        <f t="shared" si="580"/>
        <v>VERIFICAR</v>
      </c>
      <c r="I3188" s="24" t="str">
        <f t="shared" si="581"/>
        <v xml:space="preserve">SEM VALOR</v>
      </c>
      <c r="L3188" s="36"/>
      <c r="M3188" s="37"/>
      <c r="N3188" s="36"/>
    </row>
    <row r="3189" ht="38.25">
      <c r="A3189" s="19" t="s">
        <v>10460</v>
      </c>
      <c r="B3189" s="19">
        <v>441</v>
      </c>
      <c r="C3189" s="20" t="s">
        <v>13655</v>
      </c>
      <c r="D3189" s="19" t="s">
        <v>31</v>
      </c>
      <c r="E3189" s="19" t="s">
        <v>10459</v>
      </c>
      <c r="F3189" s="21" t="str">
        <f t="shared" si="580"/>
        <v>VERIFICAR</v>
      </c>
      <c r="G3189" s="21" t="str">
        <f t="shared" si="580"/>
        <v>VERIFICAR</v>
      </c>
      <c r="H3189" s="21" t="str">
        <f t="shared" si="580"/>
        <v>VERIFICAR</v>
      </c>
      <c r="I3189" s="24" t="str">
        <f t="shared" si="581"/>
        <v xml:space="preserve">SEM VALOR</v>
      </c>
      <c r="L3189" s="36"/>
      <c r="M3189" s="37"/>
      <c r="N3189" s="36"/>
    </row>
    <row r="3190" ht="38.25">
      <c r="A3190" s="19" t="s">
        <v>10460</v>
      </c>
      <c r="B3190" s="19">
        <v>431</v>
      </c>
      <c r="C3190" s="20" t="s">
        <v>13656</v>
      </c>
      <c r="D3190" s="19" t="s">
        <v>31</v>
      </c>
      <c r="E3190" s="19" t="s">
        <v>10459</v>
      </c>
      <c r="F3190" s="21" t="str">
        <f t="shared" si="580"/>
        <v>VERIFICAR</v>
      </c>
      <c r="G3190" s="21" t="str">
        <f t="shared" si="580"/>
        <v>VERIFICAR</v>
      </c>
      <c r="H3190" s="21" t="str">
        <f t="shared" si="580"/>
        <v>VERIFICAR</v>
      </c>
      <c r="I3190" s="24" t="str">
        <f t="shared" si="581"/>
        <v xml:space="preserve">SEM VALOR</v>
      </c>
      <c r="L3190" s="36"/>
      <c r="M3190" s="37"/>
      <c r="N3190" s="36"/>
    </row>
    <row r="3191" ht="38.25">
      <c r="A3191" s="19" t="s">
        <v>10460</v>
      </c>
      <c r="B3191" s="19">
        <v>432</v>
      </c>
      <c r="C3191" s="20" t="s">
        <v>13657</v>
      </c>
      <c r="D3191" s="19" t="s">
        <v>31</v>
      </c>
      <c r="E3191" s="19" t="s">
        <v>10459</v>
      </c>
      <c r="F3191" s="21" t="str">
        <f t="shared" si="580"/>
        <v>VERIFICAR</v>
      </c>
      <c r="G3191" s="21" t="str">
        <f t="shared" si="580"/>
        <v>VERIFICAR</v>
      </c>
      <c r="H3191" s="21" t="str">
        <f t="shared" si="580"/>
        <v>VERIFICAR</v>
      </c>
      <c r="I3191" s="24" t="str">
        <f t="shared" si="581"/>
        <v xml:space="preserve">SEM VALOR</v>
      </c>
      <c r="L3191" s="36"/>
      <c r="M3191" s="37"/>
      <c r="N3191" s="36"/>
    </row>
    <row r="3192" ht="25.5">
      <c r="A3192" s="19" t="s">
        <v>10460</v>
      </c>
      <c r="B3192" s="19">
        <v>429</v>
      </c>
      <c r="C3192" s="20" t="s">
        <v>13658</v>
      </c>
      <c r="D3192" s="19" t="s">
        <v>31</v>
      </c>
      <c r="E3192" s="19" t="s">
        <v>10459</v>
      </c>
      <c r="F3192" s="21" t="str">
        <f t="shared" si="580"/>
        <v>VERIFICAR</v>
      </c>
      <c r="G3192" s="21" t="str">
        <f t="shared" si="580"/>
        <v>VERIFICAR</v>
      </c>
      <c r="H3192" s="21" t="str">
        <f t="shared" si="580"/>
        <v>VERIFICAR</v>
      </c>
      <c r="I3192" s="24" t="str">
        <f t="shared" si="581"/>
        <v xml:space="preserve">SEM VALOR</v>
      </c>
      <c r="L3192" s="36"/>
      <c r="M3192" s="37"/>
      <c r="N3192" s="36"/>
    </row>
    <row r="3193" ht="38.25">
      <c r="A3193" s="19" t="s">
        <v>10460</v>
      </c>
      <c r="B3193" s="19">
        <v>439</v>
      </c>
      <c r="C3193" s="20" t="s">
        <v>13659</v>
      </c>
      <c r="D3193" s="19" t="s">
        <v>31</v>
      </c>
      <c r="E3193" s="19" t="s">
        <v>10459</v>
      </c>
      <c r="F3193" s="21" t="str">
        <f t="shared" si="580"/>
        <v>VERIFICAR</v>
      </c>
      <c r="G3193" s="21" t="str">
        <f t="shared" si="580"/>
        <v>VERIFICAR</v>
      </c>
      <c r="H3193" s="21" t="str">
        <f t="shared" si="580"/>
        <v>VERIFICAR</v>
      </c>
      <c r="I3193" s="24" t="str">
        <f t="shared" si="581"/>
        <v xml:space="preserve">SEM VALOR</v>
      </c>
      <c r="L3193" s="36"/>
      <c r="M3193" s="37"/>
      <c r="N3193" s="36"/>
    </row>
    <row r="3194" ht="38.25">
      <c r="A3194" s="19" t="s">
        <v>10460</v>
      </c>
      <c r="B3194" s="19">
        <v>433</v>
      </c>
      <c r="C3194" s="20" t="s">
        <v>13660</v>
      </c>
      <c r="D3194" s="19" t="s">
        <v>31</v>
      </c>
      <c r="E3194" s="19" t="s">
        <v>10459</v>
      </c>
      <c r="F3194" s="21" t="str">
        <f t="shared" si="580"/>
        <v>VERIFICAR</v>
      </c>
      <c r="G3194" s="21" t="str">
        <f t="shared" si="580"/>
        <v>VERIFICAR</v>
      </c>
      <c r="H3194" s="21" t="str">
        <f t="shared" si="580"/>
        <v>VERIFICAR</v>
      </c>
      <c r="I3194" s="24" t="str">
        <f t="shared" si="581"/>
        <v xml:space="preserve">SEM VALOR</v>
      </c>
      <c r="L3194" s="36"/>
      <c r="M3194" s="37"/>
      <c r="N3194" s="36"/>
    </row>
    <row r="3195" ht="25.5">
      <c r="A3195" s="19" t="s">
        <v>10460</v>
      </c>
      <c r="B3195" s="19">
        <v>437</v>
      </c>
      <c r="C3195" s="20" t="s">
        <v>13661</v>
      </c>
      <c r="D3195" s="19" t="s">
        <v>31</v>
      </c>
      <c r="E3195" s="19" t="s">
        <v>10459</v>
      </c>
      <c r="F3195" s="21" t="str">
        <f t="shared" si="580"/>
        <v>VERIFICAR</v>
      </c>
      <c r="G3195" s="21" t="str">
        <f t="shared" si="580"/>
        <v>VERIFICAR</v>
      </c>
      <c r="H3195" s="21" t="str">
        <f t="shared" si="580"/>
        <v>VERIFICAR</v>
      </c>
      <c r="I3195" s="24" t="str">
        <f t="shared" si="581"/>
        <v xml:space="preserve">SEM VALOR</v>
      </c>
      <c r="L3195" s="36"/>
      <c r="M3195" s="37"/>
      <c r="N3195" s="36"/>
    </row>
    <row r="3196" ht="38.25">
      <c r="A3196" s="19" t="s">
        <v>10460</v>
      </c>
      <c r="B3196" s="19">
        <v>11790</v>
      </c>
      <c r="C3196" s="20" t="s">
        <v>13662</v>
      </c>
      <c r="D3196" s="19" t="s">
        <v>31</v>
      </c>
      <c r="E3196" s="19" t="s">
        <v>10459</v>
      </c>
      <c r="F3196" s="21" t="str">
        <f t="shared" si="580"/>
        <v>VERIFICAR</v>
      </c>
      <c r="G3196" s="21" t="str">
        <f t="shared" si="580"/>
        <v>VERIFICAR</v>
      </c>
      <c r="H3196" s="21" t="str">
        <f t="shared" si="580"/>
        <v>VERIFICAR</v>
      </c>
      <c r="I3196" s="24" t="str">
        <f t="shared" si="581"/>
        <v xml:space="preserve">SEM VALOR</v>
      </c>
      <c r="L3196" s="36"/>
      <c r="M3196" s="37"/>
      <c r="N3196" s="36"/>
    </row>
    <row r="3197" ht="38.25">
      <c r="A3197" s="19" t="s">
        <v>10460</v>
      </c>
      <c r="B3197" s="19">
        <v>428</v>
      </c>
      <c r="C3197" s="20" t="s">
        <v>13663</v>
      </c>
      <c r="D3197" s="19" t="s">
        <v>31</v>
      </c>
      <c r="E3197" s="19" t="s">
        <v>10466</v>
      </c>
      <c r="F3197" s="21" t="str">
        <f t="shared" si="580"/>
        <v>VERIFICAR</v>
      </c>
      <c r="G3197" s="21" t="str">
        <f t="shared" si="580"/>
        <v>VERIFICAR</v>
      </c>
      <c r="H3197" s="21" t="str">
        <f t="shared" si="580"/>
        <v>VERIFICAR</v>
      </c>
      <c r="I3197" s="24" t="str">
        <f t="shared" si="581"/>
        <v xml:space="preserve">SEM VALOR</v>
      </c>
      <c r="L3197" s="36"/>
      <c r="M3197" s="37"/>
      <c r="N3197" s="36"/>
    </row>
    <row r="3198" ht="38.25">
      <c r="A3198" s="19" t="s">
        <v>10460</v>
      </c>
      <c r="B3198" s="19">
        <v>4351</v>
      </c>
      <c r="C3198" s="20" t="s">
        <v>13664</v>
      </c>
      <c r="D3198" s="19" t="s">
        <v>31</v>
      </c>
      <c r="E3198" s="19" t="s">
        <v>10459</v>
      </c>
      <c r="F3198" s="21">
        <f t="shared" si="580"/>
        <v>19.260000000000002</v>
      </c>
      <c r="G3198" s="21">
        <f t="shared" si="580"/>
        <v>19.260000000000002</v>
      </c>
      <c r="H3198" s="21">
        <f t="shared" si="580"/>
        <v>19.260000000000002</v>
      </c>
      <c r="I3198" s="24" t="str">
        <f t="shared" si="581"/>
        <v xml:space="preserve">COM VALOR</v>
      </c>
      <c r="L3198" s="36">
        <v>19.260000000000002</v>
      </c>
      <c r="M3198" s="37">
        <v>19.260000000000002</v>
      </c>
      <c r="N3198" s="36">
        <v>19.260000000000002</v>
      </c>
    </row>
    <row r="3199" ht="38.25">
      <c r="A3199" s="19" t="s">
        <v>10460</v>
      </c>
      <c r="B3199" s="19">
        <v>4384</v>
      </c>
      <c r="C3199" s="20" t="s">
        <v>13665</v>
      </c>
      <c r="D3199" s="19" t="s">
        <v>31</v>
      </c>
      <c r="E3199" s="19" t="s">
        <v>10459</v>
      </c>
      <c r="F3199" s="21">
        <f t="shared" si="580"/>
        <v>25.969999999999999</v>
      </c>
      <c r="G3199" s="21">
        <f t="shared" si="580"/>
        <v>25.969999999999999</v>
      </c>
      <c r="H3199" s="21">
        <f t="shared" si="580"/>
        <v>25.969999999999999</v>
      </c>
      <c r="I3199" s="24" t="str">
        <f t="shared" si="581"/>
        <v xml:space="preserve">COM VALOR</v>
      </c>
      <c r="L3199" s="36">
        <v>25.969999999999999</v>
      </c>
      <c r="M3199" s="37">
        <v>25.969999999999999</v>
      </c>
      <c r="N3199" s="36">
        <v>25.969999999999999</v>
      </c>
    </row>
    <row r="3200" ht="25.5">
      <c r="A3200" s="19" t="s">
        <v>10460</v>
      </c>
      <c r="B3200" s="19">
        <v>11054</v>
      </c>
      <c r="C3200" s="20" t="s">
        <v>13666</v>
      </c>
      <c r="D3200" s="19" t="s">
        <v>31</v>
      </c>
      <c r="E3200" s="19" t="s">
        <v>10459</v>
      </c>
      <c r="F3200" s="21">
        <f t="shared" si="580"/>
        <v>2.9999999999999999e-002</v>
      </c>
      <c r="G3200" s="21">
        <f t="shared" si="580"/>
        <v>2.9999999999999999e-002</v>
      </c>
      <c r="H3200" s="21">
        <f t="shared" si="580"/>
        <v>2.9999999999999999e-002</v>
      </c>
      <c r="I3200" s="24" t="str">
        <f t="shared" si="581"/>
        <v xml:space="preserve">COM VALOR</v>
      </c>
      <c r="L3200" s="36">
        <v>2.9999999999999999e-002</v>
      </c>
      <c r="M3200" s="37">
        <v>2.9999999999999999e-002</v>
      </c>
      <c r="N3200" s="36">
        <v>2.9999999999999999e-002</v>
      </c>
    </row>
    <row r="3201" ht="25.5">
      <c r="A3201" s="19" t="s">
        <v>10460</v>
      </c>
      <c r="B3201" s="19">
        <v>11055</v>
      </c>
      <c r="C3201" s="20" t="s">
        <v>13667</v>
      </c>
      <c r="D3201" s="19" t="s">
        <v>31</v>
      </c>
      <c r="E3201" s="19" t="s">
        <v>10459</v>
      </c>
      <c r="F3201" s="21">
        <f t="shared" si="580"/>
        <v>5.0000000000000003e-002</v>
      </c>
      <c r="G3201" s="21">
        <f t="shared" si="580"/>
        <v>5.0000000000000003e-002</v>
      </c>
      <c r="H3201" s="21">
        <f t="shared" si="580"/>
        <v>5.0000000000000003e-002</v>
      </c>
      <c r="I3201" s="24" t="str">
        <f t="shared" si="581"/>
        <v xml:space="preserve">COM VALOR</v>
      </c>
      <c r="L3201" s="36">
        <v>5.0000000000000003e-002</v>
      </c>
      <c r="M3201" s="37">
        <v>5.0000000000000003e-002</v>
      </c>
      <c r="N3201" s="36">
        <v>5.0000000000000003e-002</v>
      </c>
    </row>
    <row r="3202" ht="25.5">
      <c r="A3202" s="19" t="s">
        <v>10460</v>
      </c>
      <c r="B3202" s="19">
        <v>11056</v>
      </c>
      <c r="C3202" s="20" t="s">
        <v>13668</v>
      </c>
      <c r="D3202" s="19" t="s">
        <v>31</v>
      </c>
      <c r="E3202" s="19" t="s">
        <v>10459</v>
      </c>
      <c r="F3202" s="21">
        <f t="shared" si="580"/>
        <v>5.0000000000000003e-002</v>
      </c>
      <c r="G3202" s="21">
        <f t="shared" si="580"/>
        <v>5.0000000000000003e-002</v>
      </c>
      <c r="H3202" s="21">
        <f t="shared" si="580"/>
        <v>5.0000000000000003e-002</v>
      </c>
      <c r="I3202" s="24" t="str">
        <f t="shared" si="581"/>
        <v xml:space="preserve">COM VALOR</v>
      </c>
      <c r="L3202" s="36">
        <v>5.0000000000000003e-002</v>
      </c>
      <c r="M3202" s="37">
        <v>5.0000000000000003e-002</v>
      </c>
      <c r="N3202" s="36">
        <v>5.0000000000000003e-002</v>
      </c>
    </row>
    <row r="3203" ht="25.5">
      <c r="A3203" s="19" t="s">
        <v>10460</v>
      </c>
      <c r="B3203" s="19">
        <v>11057</v>
      </c>
      <c r="C3203" s="20" t="s">
        <v>13669</v>
      </c>
      <c r="D3203" s="19" t="s">
        <v>31</v>
      </c>
      <c r="E3203" s="19" t="s">
        <v>10459</v>
      </c>
      <c r="F3203" s="21">
        <f t="shared" si="580"/>
        <v>0.11</v>
      </c>
      <c r="G3203" s="21">
        <f t="shared" si="580"/>
        <v>0.11</v>
      </c>
      <c r="H3203" s="21">
        <f t="shared" si="580"/>
        <v>0.11</v>
      </c>
      <c r="I3203" s="24" t="str">
        <f t="shared" si="581"/>
        <v xml:space="preserve">COM VALOR</v>
      </c>
      <c r="L3203" s="36">
        <v>0.11</v>
      </c>
      <c r="M3203" s="37">
        <v>0.11</v>
      </c>
      <c r="N3203" s="36">
        <v>0.11</v>
      </c>
    </row>
    <row r="3204" ht="25.5">
      <c r="A3204" s="19" t="s">
        <v>10460</v>
      </c>
      <c r="B3204" s="19">
        <v>11059</v>
      </c>
      <c r="C3204" s="20" t="s">
        <v>13670</v>
      </c>
      <c r="D3204" s="19" t="s">
        <v>31</v>
      </c>
      <c r="E3204" s="19" t="s">
        <v>10459</v>
      </c>
      <c r="F3204" s="21">
        <f t="shared" si="580"/>
        <v>0.23000000000000001</v>
      </c>
      <c r="G3204" s="21">
        <f t="shared" si="580"/>
        <v>0.23000000000000001</v>
      </c>
      <c r="H3204" s="21">
        <f t="shared" si="580"/>
        <v>0.23000000000000001</v>
      </c>
      <c r="I3204" s="24" t="str">
        <f t="shared" si="581"/>
        <v xml:space="preserve">COM VALOR</v>
      </c>
      <c r="L3204" s="36">
        <v>0.23000000000000001</v>
      </c>
      <c r="M3204" s="37">
        <v>0.23000000000000001</v>
      </c>
      <c r="N3204" s="36">
        <v>0.23000000000000001</v>
      </c>
    </row>
    <row r="3205" ht="25.5">
      <c r="A3205" s="19" t="s">
        <v>10460</v>
      </c>
      <c r="B3205" s="19">
        <v>11058</v>
      </c>
      <c r="C3205" s="20" t="s">
        <v>13671</v>
      </c>
      <c r="D3205" s="19" t="s">
        <v>31</v>
      </c>
      <c r="E3205" s="19" t="s">
        <v>10459</v>
      </c>
      <c r="F3205" s="21">
        <f t="shared" si="580"/>
        <v>0.28999999999999998</v>
      </c>
      <c r="G3205" s="21">
        <f t="shared" si="580"/>
        <v>0.28999999999999998</v>
      </c>
      <c r="H3205" s="21">
        <f t="shared" si="580"/>
        <v>0.28999999999999998</v>
      </c>
      <c r="I3205" s="24" t="str">
        <f t="shared" si="581"/>
        <v xml:space="preserve">COM VALOR</v>
      </c>
      <c r="L3205" s="36">
        <v>0.28999999999999998</v>
      </c>
      <c r="M3205" s="37">
        <v>0.28999999999999998</v>
      </c>
      <c r="N3205" s="36">
        <v>0.28999999999999998</v>
      </c>
    </row>
    <row r="3206" ht="25.5">
      <c r="A3206" s="19" t="s">
        <v>10460</v>
      </c>
      <c r="B3206" s="19">
        <v>4320</v>
      </c>
      <c r="C3206" s="20" t="s">
        <v>13672</v>
      </c>
      <c r="D3206" s="19" t="s">
        <v>31</v>
      </c>
      <c r="E3206" s="19" t="s">
        <v>10459</v>
      </c>
      <c r="F3206" s="21">
        <f t="shared" si="580"/>
        <v>2.3700000000000001</v>
      </c>
      <c r="G3206" s="21">
        <f t="shared" si="580"/>
        <v>2.3700000000000001</v>
      </c>
      <c r="H3206" s="21">
        <f t="shared" si="580"/>
        <v>2.3700000000000001</v>
      </c>
      <c r="I3206" s="24" t="str">
        <f t="shared" si="581"/>
        <v xml:space="preserve">COM VALOR</v>
      </c>
      <c r="L3206" s="36">
        <v>2.3700000000000001</v>
      </c>
      <c r="M3206" s="37">
        <v>2.3700000000000001</v>
      </c>
      <c r="N3206" s="36">
        <v>2.3700000000000001</v>
      </c>
    </row>
    <row r="3207" ht="25.5">
      <c r="A3207" s="19" t="s">
        <v>10460</v>
      </c>
      <c r="B3207" s="19">
        <v>4318</v>
      </c>
      <c r="C3207" s="20" t="s">
        <v>13673</v>
      </c>
      <c r="D3207" s="19" t="s">
        <v>31</v>
      </c>
      <c r="E3207" s="19" t="s">
        <v>10459</v>
      </c>
      <c r="F3207" s="21">
        <f t="shared" si="580"/>
        <v>1.1499999999999999</v>
      </c>
      <c r="G3207" s="21">
        <f t="shared" si="580"/>
        <v>1.1499999999999999</v>
      </c>
      <c r="H3207" s="21">
        <f t="shared" si="580"/>
        <v>1.1499999999999999</v>
      </c>
      <c r="I3207" s="24" t="str">
        <f t="shared" si="581"/>
        <v xml:space="preserve">COM VALOR</v>
      </c>
      <c r="L3207" s="36">
        <v>1.1499999999999999</v>
      </c>
      <c r="M3207" s="37">
        <v>1.1499999999999999</v>
      </c>
      <c r="N3207" s="36">
        <v>1.1499999999999999</v>
      </c>
    </row>
    <row r="3208" ht="25.5">
      <c r="A3208" s="19" t="s">
        <v>10460</v>
      </c>
      <c r="B3208" s="19">
        <v>4380</v>
      </c>
      <c r="C3208" s="20" t="s">
        <v>13674</v>
      </c>
      <c r="D3208" s="19" t="s">
        <v>31</v>
      </c>
      <c r="E3208" s="19" t="s">
        <v>10459</v>
      </c>
      <c r="F3208" s="21">
        <f t="shared" si="580"/>
        <v>0.98999999999999999</v>
      </c>
      <c r="G3208" s="21">
        <f t="shared" si="580"/>
        <v>0.98999999999999999</v>
      </c>
      <c r="H3208" s="21">
        <f t="shared" si="580"/>
        <v>0.98999999999999999</v>
      </c>
      <c r="I3208" s="24" t="str">
        <f t="shared" si="581"/>
        <v xml:space="preserve">COM VALOR</v>
      </c>
      <c r="L3208" s="36">
        <v>0.98999999999999999</v>
      </c>
      <c r="M3208" s="37">
        <v>0.98999999999999999</v>
      </c>
      <c r="N3208" s="36">
        <v>0.98999999999999999</v>
      </c>
    </row>
    <row r="3209" ht="25.5">
      <c r="A3209" s="19" t="s">
        <v>10460</v>
      </c>
      <c r="B3209" s="19">
        <v>4299</v>
      </c>
      <c r="C3209" s="20" t="s">
        <v>13675</v>
      </c>
      <c r="D3209" s="19" t="s">
        <v>31</v>
      </c>
      <c r="E3209" s="19" t="s">
        <v>10466</v>
      </c>
      <c r="F3209" s="21">
        <f t="shared" si="580"/>
        <v>0.93999999999999995</v>
      </c>
      <c r="G3209" s="21">
        <f t="shared" si="580"/>
        <v>0.93999999999999995</v>
      </c>
      <c r="H3209" s="21">
        <f t="shared" si="580"/>
        <v>0.93999999999999995</v>
      </c>
      <c r="I3209" s="24" t="str">
        <f t="shared" si="581"/>
        <v xml:space="preserve">COM VALOR</v>
      </c>
      <c r="L3209" s="36">
        <v>0.93999999999999995</v>
      </c>
      <c r="M3209" s="37">
        <v>0.93999999999999995</v>
      </c>
      <c r="N3209" s="36">
        <v>0.93999999999999995</v>
      </c>
    </row>
    <row r="3210" ht="25.5">
      <c r="A3210" s="19" t="s">
        <v>10460</v>
      </c>
      <c r="B3210" s="19">
        <v>4304</v>
      </c>
      <c r="C3210" s="20" t="s">
        <v>13676</v>
      </c>
      <c r="D3210" s="19" t="s">
        <v>31</v>
      </c>
      <c r="E3210" s="19" t="s">
        <v>10459</v>
      </c>
      <c r="F3210" s="21">
        <f t="shared" si="580"/>
        <v>1.28</v>
      </c>
      <c r="G3210" s="21">
        <f t="shared" si="580"/>
        <v>1.28</v>
      </c>
      <c r="H3210" s="21">
        <f t="shared" si="580"/>
        <v>1.28</v>
      </c>
      <c r="I3210" s="24" t="str">
        <f t="shared" si="581"/>
        <v xml:space="preserve">COM VALOR</v>
      </c>
      <c r="L3210" s="36">
        <v>1.28</v>
      </c>
      <c r="M3210" s="37">
        <v>1.28</v>
      </c>
      <c r="N3210" s="36">
        <v>1.28</v>
      </c>
    </row>
    <row r="3211" ht="25.5">
      <c r="A3211" s="19" t="s">
        <v>10460</v>
      </c>
      <c r="B3211" s="19">
        <v>4305</v>
      </c>
      <c r="C3211" s="20" t="s">
        <v>13677</v>
      </c>
      <c r="D3211" s="19" t="s">
        <v>31</v>
      </c>
      <c r="E3211" s="19" t="s">
        <v>10459</v>
      </c>
      <c r="F3211" s="21">
        <f t="shared" ref="F3211:H3274" si="582">IF(L3211=0,"VERIFICAR",L3211)</f>
        <v>1.49</v>
      </c>
      <c r="G3211" s="21">
        <f t="shared" si="582"/>
        <v>1.49</v>
      </c>
      <c r="H3211" s="21">
        <f t="shared" si="582"/>
        <v>1.49</v>
      </c>
      <c r="I3211" s="24" t="str">
        <f t="shared" ref="I3211:I3274" si="583">IF(OR(L3211=0,M3211=0,N3211=0),"SEM VALOR","COM VALOR")</f>
        <v xml:space="preserve">COM VALOR</v>
      </c>
      <c r="L3211" s="36">
        <v>1.49</v>
      </c>
      <c r="M3211" s="37">
        <v>1.49</v>
      </c>
      <c r="N3211" s="36">
        <v>1.49</v>
      </c>
    </row>
    <row r="3212" ht="25.5">
      <c r="A3212" s="19" t="s">
        <v>10460</v>
      </c>
      <c r="B3212" s="19">
        <v>4306</v>
      </c>
      <c r="C3212" s="20" t="s">
        <v>13678</v>
      </c>
      <c r="D3212" s="19" t="s">
        <v>31</v>
      </c>
      <c r="E3212" s="19" t="s">
        <v>10459</v>
      </c>
      <c r="F3212" s="21">
        <f t="shared" si="582"/>
        <v>1.73</v>
      </c>
      <c r="G3212" s="21">
        <f t="shared" si="582"/>
        <v>1.73</v>
      </c>
      <c r="H3212" s="21">
        <f t="shared" si="582"/>
        <v>1.73</v>
      </c>
      <c r="I3212" s="24" t="str">
        <f t="shared" si="583"/>
        <v xml:space="preserve">COM VALOR</v>
      </c>
      <c r="L3212" s="36">
        <v>1.73</v>
      </c>
      <c r="M3212" s="37">
        <v>1.73</v>
      </c>
      <c r="N3212" s="36">
        <v>1.73</v>
      </c>
    </row>
    <row r="3213" ht="25.5">
      <c r="A3213" s="19" t="s">
        <v>10460</v>
      </c>
      <c r="B3213" s="19">
        <v>4308</v>
      </c>
      <c r="C3213" s="20" t="s">
        <v>13679</v>
      </c>
      <c r="D3213" s="19" t="s">
        <v>31</v>
      </c>
      <c r="E3213" s="19" t="s">
        <v>10459</v>
      </c>
      <c r="F3213" s="21">
        <f t="shared" si="582"/>
        <v>3.5800000000000001</v>
      </c>
      <c r="G3213" s="21">
        <f t="shared" si="582"/>
        <v>3.5800000000000001</v>
      </c>
      <c r="H3213" s="21">
        <f t="shared" si="582"/>
        <v>3.5800000000000001</v>
      </c>
      <c r="I3213" s="24" t="str">
        <f t="shared" si="583"/>
        <v xml:space="preserve">COM VALOR</v>
      </c>
      <c r="L3213" s="36">
        <v>3.5800000000000001</v>
      </c>
      <c r="M3213" s="37">
        <v>3.5800000000000001</v>
      </c>
      <c r="N3213" s="36">
        <v>3.5800000000000001</v>
      </c>
    </row>
    <row r="3214" ht="25.5">
      <c r="A3214" s="19" t="s">
        <v>10460</v>
      </c>
      <c r="B3214" s="19">
        <v>4302</v>
      </c>
      <c r="C3214" s="20" t="s">
        <v>13680</v>
      </c>
      <c r="D3214" s="19" t="s">
        <v>31</v>
      </c>
      <c r="E3214" s="19" t="s">
        <v>10459</v>
      </c>
      <c r="F3214" s="21">
        <f t="shared" si="582"/>
        <v>2.6800000000000002</v>
      </c>
      <c r="G3214" s="21">
        <f t="shared" si="582"/>
        <v>2.6800000000000002</v>
      </c>
      <c r="H3214" s="21">
        <f t="shared" si="582"/>
        <v>2.6800000000000002</v>
      </c>
      <c r="I3214" s="24" t="str">
        <f t="shared" si="583"/>
        <v xml:space="preserve">COM VALOR</v>
      </c>
      <c r="L3214" s="36">
        <v>2.6800000000000002</v>
      </c>
      <c r="M3214" s="37">
        <v>2.6800000000000002</v>
      </c>
      <c r="N3214" s="36">
        <v>2.6800000000000002</v>
      </c>
    </row>
    <row r="3215" ht="25.5">
      <c r="A3215" s="19" t="s">
        <v>10460</v>
      </c>
      <c r="B3215" s="19">
        <v>4300</v>
      </c>
      <c r="C3215" s="20" t="s">
        <v>13681</v>
      </c>
      <c r="D3215" s="19" t="s">
        <v>31</v>
      </c>
      <c r="E3215" s="19" t="s">
        <v>10459</v>
      </c>
      <c r="F3215" s="21">
        <f t="shared" si="582"/>
        <v>0.64000000000000001</v>
      </c>
      <c r="G3215" s="21">
        <f t="shared" si="582"/>
        <v>0.64000000000000001</v>
      </c>
      <c r="H3215" s="21">
        <f t="shared" si="582"/>
        <v>0.64000000000000001</v>
      </c>
      <c r="I3215" s="24" t="str">
        <f t="shared" si="583"/>
        <v xml:space="preserve">COM VALOR</v>
      </c>
      <c r="L3215" s="36">
        <v>0.64000000000000001</v>
      </c>
      <c r="M3215" s="37">
        <v>0.64000000000000001</v>
      </c>
      <c r="N3215" s="36">
        <v>0.64000000000000001</v>
      </c>
    </row>
    <row r="3216" ht="25.5">
      <c r="A3216" s="19" t="s">
        <v>10460</v>
      </c>
      <c r="B3216" s="19">
        <v>4301</v>
      </c>
      <c r="C3216" s="20" t="s">
        <v>13682</v>
      </c>
      <c r="D3216" s="19" t="s">
        <v>31</v>
      </c>
      <c r="E3216" s="19" t="s">
        <v>10459</v>
      </c>
      <c r="F3216" s="21">
        <f t="shared" si="582"/>
        <v>0.78000000000000003</v>
      </c>
      <c r="G3216" s="21">
        <f t="shared" si="582"/>
        <v>0.78000000000000003</v>
      </c>
      <c r="H3216" s="21">
        <f t="shared" si="582"/>
        <v>0.78000000000000003</v>
      </c>
      <c r="I3216" s="24" t="str">
        <f t="shared" si="583"/>
        <v xml:space="preserve">COM VALOR</v>
      </c>
      <c r="L3216" s="36">
        <v>0.78000000000000003</v>
      </c>
      <c r="M3216" s="37">
        <v>0.78000000000000003</v>
      </c>
      <c r="N3216" s="36">
        <v>0.78000000000000003</v>
      </c>
    </row>
    <row r="3217" ht="25.5">
      <c r="A3217" s="19" t="s">
        <v>10460</v>
      </c>
      <c r="B3217" s="19">
        <v>40547</v>
      </c>
      <c r="C3217" s="20" t="s">
        <v>13683</v>
      </c>
      <c r="D3217" s="19" t="s">
        <v>12544</v>
      </c>
      <c r="E3217" s="19" t="s">
        <v>10459</v>
      </c>
      <c r="F3217" s="21">
        <f t="shared" si="582"/>
        <v>31.559999999999999</v>
      </c>
      <c r="G3217" s="21">
        <f t="shared" si="582"/>
        <v>31.559999999999999</v>
      </c>
      <c r="H3217" s="21">
        <f t="shared" si="582"/>
        <v>31.559999999999999</v>
      </c>
      <c r="I3217" s="24" t="str">
        <f t="shared" si="583"/>
        <v xml:space="preserve">COM VALOR</v>
      </c>
      <c r="L3217" s="36">
        <v>31.559999999999999</v>
      </c>
      <c r="M3217" s="37">
        <v>31.559999999999999</v>
      </c>
      <c r="N3217" s="36">
        <v>31.559999999999999</v>
      </c>
    </row>
    <row r="3218" ht="25.5">
      <c r="A3218" s="19" t="s">
        <v>10460</v>
      </c>
      <c r="B3218" s="19">
        <v>11962</v>
      </c>
      <c r="C3218" s="20" t="s">
        <v>13684</v>
      </c>
      <c r="D3218" s="19" t="s">
        <v>31</v>
      </c>
      <c r="E3218" s="19" t="s">
        <v>10459</v>
      </c>
      <c r="F3218" s="21">
        <f t="shared" si="582"/>
        <v>0.26000000000000001</v>
      </c>
      <c r="G3218" s="21">
        <f t="shared" si="582"/>
        <v>0.26000000000000001</v>
      </c>
      <c r="H3218" s="21">
        <f t="shared" si="582"/>
        <v>0.26000000000000001</v>
      </c>
      <c r="I3218" s="24" t="str">
        <f t="shared" si="583"/>
        <v xml:space="preserve">COM VALOR</v>
      </c>
      <c r="L3218" s="36">
        <v>0.26000000000000001</v>
      </c>
      <c r="M3218" s="37">
        <v>0.26000000000000001</v>
      </c>
      <c r="N3218" s="36">
        <v>0.26000000000000001</v>
      </c>
    </row>
    <row r="3219" ht="25.5">
      <c r="A3219" s="19" t="s">
        <v>10460</v>
      </c>
      <c r="B3219" s="19">
        <v>4332</v>
      </c>
      <c r="C3219" s="20" t="s">
        <v>13685</v>
      </c>
      <c r="D3219" s="19" t="s">
        <v>31</v>
      </c>
      <c r="E3219" s="19" t="s">
        <v>10459</v>
      </c>
      <c r="F3219" s="21">
        <f t="shared" si="582"/>
        <v>1.26</v>
      </c>
      <c r="G3219" s="21">
        <f t="shared" si="582"/>
        <v>1.26</v>
      </c>
      <c r="H3219" s="21">
        <f t="shared" si="582"/>
        <v>1.26</v>
      </c>
      <c r="I3219" s="24" t="str">
        <f t="shared" si="583"/>
        <v xml:space="preserve">COM VALOR</v>
      </c>
      <c r="L3219" s="36">
        <v>1.26</v>
      </c>
      <c r="M3219" s="37">
        <v>1.26</v>
      </c>
      <c r="N3219" s="36">
        <v>1.26</v>
      </c>
    </row>
    <row r="3220" ht="25.5">
      <c r="A3220" s="19" t="s">
        <v>10460</v>
      </c>
      <c r="B3220" s="19">
        <v>4331</v>
      </c>
      <c r="C3220" s="20" t="s">
        <v>13686</v>
      </c>
      <c r="D3220" s="19" t="s">
        <v>31</v>
      </c>
      <c r="E3220" s="19" t="s">
        <v>10459</v>
      </c>
      <c r="F3220" s="21">
        <f t="shared" si="582"/>
        <v>4.7300000000000004</v>
      </c>
      <c r="G3220" s="21">
        <f t="shared" si="582"/>
        <v>4.7300000000000004</v>
      </c>
      <c r="H3220" s="21">
        <f t="shared" si="582"/>
        <v>4.7300000000000004</v>
      </c>
      <c r="I3220" s="24" t="str">
        <f t="shared" si="583"/>
        <v xml:space="preserve">COM VALOR</v>
      </c>
      <c r="L3220" s="36">
        <v>4.7300000000000004</v>
      </c>
      <c r="M3220" s="37">
        <v>4.7300000000000004</v>
      </c>
      <c r="N3220" s="36">
        <v>4.7300000000000004</v>
      </c>
    </row>
    <row r="3221" ht="38.25">
      <c r="A3221" s="19" t="s">
        <v>10460</v>
      </c>
      <c r="B3221" s="19">
        <v>4336</v>
      </c>
      <c r="C3221" s="20" t="s">
        <v>13687</v>
      </c>
      <c r="D3221" s="19" t="s">
        <v>31</v>
      </c>
      <c r="E3221" s="19" t="s">
        <v>10459</v>
      </c>
      <c r="F3221" s="21">
        <f t="shared" si="582"/>
        <v>6.0599999999999996</v>
      </c>
      <c r="G3221" s="21">
        <f t="shared" si="582"/>
        <v>6.0599999999999996</v>
      </c>
      <c r="H3221" s="21">
        <f t="shared" si="582"/>
        <v>6.0599999999999996</v>
      </c>
      <c r="I3221" s="24" t="str">
        <f t="shared" si="583"/>
        <v xml:space="preserve">COM VALOR</v>
      </c>
      <c r="L3221" s="36">
        <v>6.0599999999999996</v>
      </c>
      <c r="M3221" s="37">
        <v>6.0599999999999996</v>
      </c>
      <c r="N3221" s="36">
        <v>6.0599999999999996</v>
      </c>
    </row>
    <row r="3222" ht="25.5">
      <c r="A3222" s="19" t="s">
        <v>10460</v>
      </c>
      <c r="B3222" s="19">
        <v>11948</v>
      </c>
      <c r="C3222" s="20" t="s">
        <v>13688</v>
      </c>
      <c r="D3222" s="19" t="s">
        <v>31</v>
      </c>
      <c r="E3222" s="19" t="s">
        <v>10459</v>
      </c>
      <c r="F3222" s="21">
        <f t="shared" si="582"/>
        <v>0.78000000000000003</v>
      </c>
      <c r="G3222" s="21">
        <f t="shared" si="582"/>
        <v>0.78000000000000003</v>
      </c>
      <c r="H3222" s="21">
        <f t="shared" si="582"/>
        <v>0.78000000000000003</v>
      </c>
      <c r="I3222" s="24" t="str">
        <f t="shared" si="583"/>
        <v xml:space="preserve">COM VALOR</v>
      </c>
      <c r="L3222" s="36">
        <v>0.78000000000000003</v>
      </c>
      <c r="M3222" s="37">
        <v>0.78000000000000003</v>
      </c>
      <c r="N3222" s="36">
        <v>0.78000000000000003</v>
      </c>
    </row>
    <row r="3223" ht="25.5">
      <c r="A3223" s="19" t="s">
        <v>10460</v>
      </c>
      <c r="B3223" s="19">
        <v>4382</v>
      </c>
      <c r="C3223" s="20" t="s">
        <v>13689</v>
      </c>
      <c r="D3223" s="19" t="s">
        <v>31</v>
      </c>
      <c r="E3223" s="19" t="s">
        <v>10459</v>
      </c>
      <c r="F3223" s="21">
        <f t="shared" si="582"/>
        <v>1.3</v>
      </c>
      <c r="G3223" s="21">
        <f t="shared" si="582"/>
        <v>1.3</v>
      </c>
      <c r="H3223" s="21">
        <f t="shared" si="582"/>
        <v>1.3</v>
      </c>
      <c r="I3223" s="24" t="str">
        <f t="shared" si="583"/>
        <v xml:space="preserve">COM VALOR</v>
      </c>
      <c r="L3223" s="36">
        <v>1.3</v>
      </c>
      <c r="M3223" s="37">
        <v>1.3</v>
      </c>
      <c r="N3223" s="36">
        <v>1.3</v>
      </c>
    </row>
    <row r="3224" ht="25.5">
      <c r="A3224" s="19" t="s">
        <v>10460</v>
      </c>
      <c r="B3224" s="19">
        <v>4354</v>
      </c>
      <c r="C3224" s="20" t="s">
        <v>13690</v>
      </c>
      <c r="D3224" s="19" t="s">
        <v>31</v>
      </c>
      <c r="E3224" s="19" t="s">
        <v>10459</v>
      </c>
      <c r="F3224" s="21">
        <f t="shared" si="582"/>
        <v>54.340000000000003</v>
      </c>
      <c r="G3224" s="21">
        <f t="shared" si="582"/>
        <v>54.340000000000003</v>
      </c>
      <c r="H3224" s="21">
        <f t="shared" si="582"/>
        <v>54.340000000000003</v>
      </c>
      <c r="I3224" s="24" t="str">
        <f t="shared" si="583"/>
        <v xml:space="preserve">COM VALOR</v>
      </c>
      <c r="L3224" s="36">
        <v>54.340000000000003</v>
      </c>
      <c r="M3224" s="37">
        <v>54.340000000000003</v>
      </c>
      <c r="N3224" s="36">
        <v>54.340000000000003</v>
      </c>
    </row>
    <row r="3225" ht="25.5">
      <c r="A3225" s="19" t="s">
        <v>10460</v>
      </c>
      <c r="B3225" s="19">
        <v>40839</v>
      </c>
      <c r="C3225" s="20" t="s">
        <v>13691</v>
      </c>
      <c r="D3225" s="19" t="s">
        <v>12544</v>
      </c>
      <c r="E3225" s="19" t="s">
        <v>10459</v>
      </c>
      <c r="F3225" s="21">
        <f t="shared" si="582"/>
        <v>130.77000000000001</v>
      </c>
      <c r="G3225" s="21">
        <f t="shared" si="582"/>
        <v>130.77000000000001</v>
      </c>
      <c r="H3225" s="21">
        <f t="shared" si="582"/>
        <v>130.77000000000001</v>
      </c>
      <c r="I3225" s="24" t="str">
        <f t="shared" si="583"/>
        <v xml:space="preserve">COM VALOR</v>
      </c>
      <c r="L3225" s="36">
        <v>130.77000000000001</v>
      </c>
      <c r="M3225" s="37">
        <v>130.77000000000001</v>
      </c>
      <c r="N3225" s="36">
        <v>130.77000000000001</v>
      </c>
    </row>
    <row r="3226" ht="25.5">
      <c r="A3226" s="19" t="s">
        <v>10460</v>
      </c>
      <c r="B3226" s="19">
        <v>40552</v>
      </c>
      <c r="C3226" s="20" t="s">
        <v>13692</v>
      </c>
      <c r="D3226" s="19" t="s">
        <v>12544</v>
      </c>
      <c r="E3226" s="19" t="s">
        <v>10459</v>
      </c>
      <c r="F3226" s="21">
        <f t="shared" si="582"/>
        <v>54.109999999999999</v>
      </c>
      <c r="G3226" s="21">
        <f t="shared" si="582"/>
        <v>54.109999999999999</v>
      </c>
      <c r="H3226" s="21">
        <f t="shared" si="582"/>
        <v>54.109999999999999</v>
      </c>
      <c r="I3226" s="24" t="str">
        <f t="shared" si="583"/>
        <v xml:space="preserve">COM VALOR</v>
      </c>
      <c r="L3226" s="36">
        <v>54.109999999999999</v>
      </c>
      <c r="M3226" s="37">
        <v>54.109999999999999</v>
      </c>
      <c r="N3226" s="36">
        <v>54.109999999999999</v>
      </c>
    </row>
    <row r="3227" ht="25.5">
      <c r="A3227" s="19" t="s">
        <v>10460</v>
      </c>
      <c r="B3227" s="19">
        <v>40549</v>
      </c>
      <c r="C3227" s="20" t="s">
        <v>13693</v>
      </c>
      <c r="D3227" s="19" t="s">
        <v>12544</v>
      </c>
      <c r="E3227" s="19" t="s">
        <v>10459</v>
      </c>
      <c r="F3227" s="21">
        <f t="shared" si="582"/>
        <v>214.19</v>
      </c>
      <c r="G3227" s="21">
        <f t="shared" si="582"/>
        <v>214.19</v>
      </c>
      <c r="H3227" s="21">
        <f t="shared" si="582"/>
        <v>214.19</v>
      </c>
      <c r="I3227" s="24" t="str">
        <f t="shared" si="583"/>
        <v xml:space="preserve">COM VALOR</v>
      </c>
      <c r="L3227" s="36">
        <v>214.19</v>
      </c>
      <c r="M3227" s="37">
        <v>214.19</v>
      </c>
      <c r="N3227" s="36">
        <v>214.19</v>
      </c>
    </row>
    <row r="3228" ht="25.5">
      <c r="A3228" s="19" t="s">
        <v>10460</v>
      </c>
      <c r="B3228" s="19">
        <v>43965</v>
      </c>
      <c r="C3228" s="20" t="s">
        <v>13694</v>
      </c>
      <c r="D3228" s="19" t="s">
        <v>31</v>
      </c>
      <c r="E3228" s="19" t="s">
        <v>10459</v>
      </c>
      <c r="F3228" s="21">
        <f t="shared" si="582"/>
        <v>0.53000000000000003</v>
      </c>
      <c r="G3228" s="21">
        <f t="shared" si="582"/>
        <v>0.53000000000000003</v>
      </c>
      <c r="H3228" s="21">
        <f t="shared" si="582"/>
        <v>0.53000000000000003</v>
      </c>
      <c r="I3228" s="24" t="str">
        <f t="shared" si="583"/>
        <v xml:space="preserve">COM VALOR</v>
      </c>
      <c r="L3228" s="36">
        <v>0.53000000000000003</v>
      </c>
      <c r="M3228" s="37">
        <v>0.53000000000000003</v>
      </c>
      <c r="N3228" s="36">
        <v>0.53000000000000003</v>
      </c>
    </row>
    <row r="3229" ht="38.25">
      <c r="A3229" s="19" t="s">
        <v>10460</v>
      </c>
      <c r="B3229" s="19">
        <v>4385</v>
      </c>
      <c r="C3229" s="20" t="s">
        <v>13695</v>
      </c>
      <c r="D3229" s="19" t="s">
        <v>13696</v>
      </c>
      <c r="E3229" s="19" t="s">
        <v>10459</v>
      </c>
      <c r="F3229" s="21">
        <f t="shared" si="582"/>
        <v>4924.7200000000003</v>
      </c>
      <c r="G3229" s="21">
        <f t="shared" si="582"/>
        <v>4924.7200000000003</v>
      </c>
      <c r="H3229" s="21">
        <f t="shared" si="582"/>
        <v>4924.7200000000003</v>
      </c>
      <c r="I3229" s="24" t="str">
        <f t="shared" si="583"/>
        <v xml:space="preserve">COM VALOR</v>
      </c>
      <c r="L3229" s="36">
        <v>4924.7200000000003</v>
      </c>
      <c r="M3229" s="37">
        <v>4924.7200000000003</v>
      </c>
      <c r="N3229" s="36">
        <v>4924.7200000000003</v>
      </c>
    </row>
    <row r="3230" ht="12.75">
      <c r="A3230" s="19" t="s">
        <v>10460</v>
      </c>
      <c r="B3230" s="19">
        <v>45236</v>
      </c>
      <c r="C3230" s="20" t="s">
        <v>13697</v>
      </c>
      <c r="D3230" s="19" t="s">
        <v>302</v>
      </c>
      <c r="E3230" s="19" t="s">
        <v>10459</v>
      </c>
      <c r="F3230" s="21">
        <f t="shared" si="582"/>
        <v>27.050000000000001</v>
      </c>
      <c r="G3230" s="21">
        <f t="shared" si="582"/>
        <v>27.050000000000001</v>
      </c>
      <c r="H3230" s="21">
        <f t="shared" si="582"/>
        <v>27.050000000000001</v>
      </c>
      <c r="I3230" s="24" t="str">
        <f t="shared" si="583"/>
        <v xml:space="preserve">COM VALOR</v>
      </c>
      <c r="L3230" s="36">
        <v>27.050000000000001</v>
      </c>
      <c r="M3230" s="37">
        <v>27.050000000000001</v>
      </c>
      <c r="N3230" s="36">
        <v>27.050000000000001</v>
      </c>
    </row>
    <row r="3231" ht="38.25">
      <c r="A3231" s="19" t="s">
        <v>10460</v>
      </c>
      <c r="B3231" s="19">
        <v>20078</v>
      </c>
      <c r="C3231" s="20" t="s">
        <v>13698</v>
      </c>
      <c r="D3231" s="19" t="s">
        <v>31</v>
      </c>
      <c r="E3231" s="19" t="s">
        <v>10459</v>
      </c>
      <c r="F3231" s="21">
        <f t="shared" si="582"/>
        <v>31.75</v>
      </c>
      <c r="G3231" s="21">
        <f t="shared" si="582"/>
        <v>31.75</v>
      </c>
      <c r="H3231" s="21">
        <f t="shared" si="582"/>
        <v>31.75</v>
      </c>
      <c r="I3231" s="24" t="str">
        <f t="shared" si="583"/>
        <v xml:space="preserve">COM VALOR</v>
      </c>
      <c r="L3231" s="36">
        <v>31.75</v>
      </c>
      <c r="M3231" s="37">
        <v>31.75</v>
      </c>
      <c r="N3231" s="36">
        <v>31.75</v>
      </c>
    </row>
    <row r="3232" ht="25.5">
      <c r="A3232" s="19" t="s">
        <v>10460</v>
      </c>
      <c r="B3232" s="19">
        <v>39897</v>
      </c>
      <c r="C3232" s="20" t="s">
        <v>13699</v>
      </c>
      <c r="D3232" s="19" t="s">
        <v>31</v>
      </c>
      <c r="E3232" s="19" t="s">
        <v>10459</v>
      </c>
      <c r="F3232" s="21" t="str">
        <f t="shared" si="582"/>
        <v>VERIFICAR</v>
      </c>
      <c r="G3232" s="21" t="str">
        <f t="shared" si="582"/>
        <v>VERIFICAR</v>
      </c>
      <c r="H3232" s="21" t="str">
        <f t="shared" si="582"/>
        <v>VERIFICAR</v>
      </c>
      <c r="I3232" s="24" t="str">
        <f t="shared" si="583"/>
        <v xml:space="preserve">SEM VALOR</v>
      </c>
      <c r="L3232" s="36"/>
      <c r="M3232" s="37"/>
      <c r="N3232" s="36"/>
    </row>
    <row r="3233" ht="25.5">
      <c r="A3233" s="19" t="s">
        <v>10460</v>
      </c>
      <c r="B3233" s="19">
        <v>118</v>
      </c>
      <c r="C3233" s="20" t="s">
        <v>13700</v>
      </c>
      <c r="D3233" s="19" t="s">
        <v>31</v>
      </c>
      <c r="E3233" s="19" t="s">
        <v>10459</v>
      </c>
      <c r="F3233" s="21">
        <f t="shared" si="582"/>
        <v>67.140000000000001</v>
      </c>
      <c r="G3233" s="21">
        <f t="shared" si="582"/>
        <v>67.140000000000001</v>
      </c>
      <c r="H3233" s="21">
        <f t="shared" si="582"/>
        <v>67.140000000000001</v>
      </c>
      <c r="I3233" s="24" t="str">
        <f t="shared" si="583"/>
        <v xml:space="preserve">COM VALOR</v>
      </c>
      <c r="L3233" s="36">
        <v>67.140000000000001</v>
      </c>
      <c r="M3233" s="37">
        <v>67.140000000000001</v>
      </c>
      <c r="N3233" s="36">
        <v>67.140000000000001</v>
      </c>
    </row>
    <row r="3234" ht="38.25">
      <c r="A3234" s="19" t="s">
        <v>10460</v>
      </c>
      <c r="B3234" s="19">
        <v>4396</v>
      </c>
      <c r="C3234" s="20" t="s">
        <v>13701</v>
      </c>
      <c r="D3234" s="19" t="s">
        <v>29</v>
      </c>
      <c r="E3234" s="19" t="s">
        <v>10459</v>
      </c>
      <c r="F3234" s="21">
        <f t="shared" si="582"/>
        <v>327.93000000000001</v>
      </c>
      <c r="G3234" s="21">
        <f t="shared" si="582"/>
        <v>327.93000000000001</v>
      </c>
      <c r="H3234" s="21">
        <f t="shared" si="582"/>
        <v>327.93000000000001</v>
      </c>
      <c r="I3234" s="24" t="str">
        <f t="shared" si="583"/>
        <v xml:space="preserve">COM VALOR</v>
      </c>
      <c r="J3234" s="38"/>
      <c r="L3234" s="36">
        <v>327.93000000000001</v>
      </c>
      <c r="M3234" s="37">
        <v>327.93000000000001</v>
      </c>
      <c r="N3234" s="36">
        <v>327.93000000000001</v>
      </c>
    </row>
    <row r="3235" ht="38.25">
      <c r="A3235" s="19" t="s">
        <v>10460</v>
      </c>
      <c r="B3235" s="19">
        <v>36881</v>
      </c>
      <c r="C3235" s="20" t="s">
        <v>13702</v>
      </c>
      <c r="D3235" s="19" t="s">
        <v>29</v>
      </c>
      <c r="E3235" s="19" t="s">
        <v>10459</v>
      </c>
      <c r="F3235" s="21">
        <f t="shared" si="582"/>
        <v>239.40000000000001</v>
      </c>
      <c r="G3235" s="21">
        <f t="shared" si="582"/>
        <v>239.40000000000001</v>
      </c>
      <c r="H3235" s="21">
        <f t="shared" si="582"/>
        <v>239.40000000000001</v>
      </c>
      <c r="I3235" s="24" t="str">
        <f t="shared" si="583"/>
        <v xml:space="preserve">COM VALOR</v>
      </c>
      <c r="L3235" s="36">
        <v>239.40000000000001</v>
      </c>
      <c r="M3235" s="37">
        <v>239.40000000000001</v>
      </c>
      <c r="N3235" s="36">
        <v>239.40000000000001</v>
      </c>
    </row>
    <row r="3236" ht="38.25">
      <c r="A3236" s="19" t="s">
        <v>10460</v>
      </c>
      <c r="B3236" s="19">
        <v>4397</v>
      </c>
      <c r="C3236" s="20" t="s">
        <v>13703</v>
      </c>
      <c r="D3236" s="19" t="s">
        <v>29</v>
      </c>
      <c r="E3236" s="19" t="s">
        <v>10459</v>
      </c>
      <c r="F3236" s="21">
        <f t="shared" si="582"/>
        <v>333.38999999999999</v>
      </c>
      <c r="G3236" s="21">
        <f t="shared" si="582"/>
        <v>333.38999999999999</v>
      </c>
      <c r="H3236" s="21">
        <f t="shared" si="582"/>
        <v>333.38999999999999</v>
      </c>
      <c r="I3236" s="24" t="str">
        <f t="shared" si="583"/>
        <v xml:space="preserve">COM VALOR</v>
      </c>
      <c r="L3236" s="36">
        <v>333.38999999999999</v>
      </c>
      <c r="M3236" s="37">
        <v>333.38999999999999</v>
      </c>
      <c r="N3236" s="36">
        <v>333.38999999999999</v>
      </c>
    </row>
    <row r="3237" ht="38.25">
      <c r="A3237" s="19" t="s">
        <v>10460</v>
      </c>
      <c r="B3237" s="19">
        <v>36882</v>
      </c>
      <c r="C3237" s="20" t="s">
        <v>13704</v>
      </c>
      <c r="D3237" s="19" t="s">
        <v>29</v>
      </c>
      <c r="E3237" s="19" t="s">
        <v>10459</v>
      </c>
      <c r="F3237" s="21">
        <f t="shared" si="582"/>
        <v>244.11000000000001</v>
      </c>
      <c r="G3237" s="21">
        <f t="shared" si="582"/>
        <v>244.11000000000001</v>
      </c>
      <c r="H3237" s="21">
        <f t="shared" si="582"/>
        <v>244.11000000000001</v>
      </c>
      <c r="I3237" s="24" t="str">
        <f t="shared" si="583"/>
        <v xml:space="preserve">COM VALOR</v>
      </c>
      <c r="L3237" s="36">
        <v>244.11000000000001</v>
      </c>
      <c r="M3237" s="37">
        <v>244.11000000000001</v>
      </c>
      <c r="N3237" s="36">
        <v>244.11000000000001</v>
      </c>
    </row>
    <row r="3238" ht="12.75">
      <c r="A3238" s="19" t="s">
        <v>10604</v>
      </c>
      <c r="B3238" s="19">
        <v>4751</v>
      </c>
      <c r="C3238" s="20" t="s">
        <v>13705</v>
      </c>
      <c r="D3238" s="19" t="s">
        <v>2032</v>
      </c>
      <c r="E3238" s="19" t="s">
        <v>10459</v>
      </c>
      <c r="F3238" s="21">
        <f t="shared" si="582"/>
        <v>21.260000000000002</v>
      </c>
      <c r="G3238" s="21">
        <f t="shared" si="582"/>
        <v>21.260000000000002</v>
      </c>
      <c r="H3238" s="21">
        <f t="shared" si="582"/>
        <v>21.260000000000002</v>
      </c>
      <c r="I3238" s="24" t="str">
        <f t="shared" si="583"/>
        <v xml:space="preserve">COM VALOR</v>
      </c>
      <c r="L3238" s="36">
        <v>21.260000000000002</v>
      </c>
      <c r="M3238" s="37">
        <v>21.260000000000002</v>
      </c>
      <c r="N3238" s="36">
        <v>21.260000000000002</v>
      </c>
    </row>
    <row r="3239" ht="12.75">
      <c r="A3239" s="19" t="s">
        <v>10604</v>
      </c>
      <c r="B3239" s="19">
        <v>41066</v>
      </c>
      <c r="C3239" s="20" t="s">
        <v>13706</v>
      </c>
      <c r="D3239" s="19" t="s">
        <v>7087</v>
      </c>
      <c r="E3239" s="19" t="s">
        <v>10459</v>
      </c>
      <c r="F3239" s="21">
        <f t="shared" si="582"/>
        <v>3721.6900000000001</v>
      </c>
      <c r="G3239" s="21">
        <f t="shared" si="582"/>
        <v>3721.6900000000001</v>
      </c>
      <c r="H3239" s="21">
        <f t="shared" si="582"/>
        <v>3721.6900000000001</v>
      </c>
      <c r="I3239" s="24" t="str">
        <f t="shared" si="583"/>
        <v xml:space="preserve">COM VALOR</v>
      </c>
      <c r="L3239" s="36">
        <v>3721.6900000000001</v>
      </c>
      <c r="M3239" s="37">
        <v>3721.6900000000001</v>
      </c>
      <c r="N3239" s="36">
        <v>3721.6900000000001</v>
      </c>
    </row>
    <row r="3240" ht="25.5">
      <c r="A3240" s="19" t="s">
        <v>10460</v>
      </c>
      <c r="B3240" s="19">
        <v>39604</v>
      </c>
      <c r="C3240" s="20" t="s">
        <v>13707</v>
      </c>
      <c r="D3240" s="19" t="s">
        <v>31</v>
      </c>
      <c r="E3240" s="19" t="s">
        <v>10459</v>
      </c>
      <c r="F3240" s="21">
        <f t="shared" si="582"/>
        <v>16.48</v>
      </c>
      <c r="G3240" s="21">
        <f t="shared" si="582"/>
        <v>16.48</v>
      </c>
      <c r="H3240" s="21">
        <f t="shared" si="582"/>
        <v>16.48</v>
      </c>
      <c r="I3240" s="24" t="str">
        <f t="shared" si="583"/>
        <v xml:space="preserve">COM VALOR</v>
      </c>
      <c r="L3240" s="36">
        <v>16.48</v>
      </c>
      <c r="M3240" s="37">
        <v>16.48</v>
      </c>
      <c r="N3240" s="36">
        <v>16.48</v>
      </c>
    </row>
    <row r="3241" ht="25.5">
      <c r="A3241" s="19" t="s">
        <v>10460</v>
      </c>
      <c r="B3241" s="19">
        <v>39605</v>
      </c>
      <c r="C3241" s="20" t="s">
        <v>13708</v>
      </c>
      <c r="D3241" s="19" t="s">
        <v>31</v>
      </c>
      <c r="E3241" s="19" t="s">
        <v>10459</v>
      </c>
      <c r="F3241" s="21">
        <f t="shared" si="582"/>
        <v>17.91</v>
      </c>
      <c r="G3241" s="21">
        <f t="shared" si="582"/>
        <v>17.91</v>
      </c>
      <c r="H3241" s="21">
        <f t="shared" si="582"/>
        <v>17.91</v>
      </c>
      <c r="I3241" s="24" t="str">
        <f t="shared" si="583"/>
        <v xml:space="preserve">COM VALOR</v>
      </c>
      <c r="L3241" s="36">
        <v>17.91</v>
      </c>
      <c r="M3241" s="37">
        <v>17.91</v>
      </c>
      <c r="N3241" s="36">
        <v>17.91</v>
      </c>
    </row>
    <row r="3242" ht="25.5">
      <c r="A3242" s="19" t="s">
        <v>10460</v>
      </c>
      <c r="B3242" s="19">
        <v>39606</v>
      </c>
      <c r="C3242" s="20" t="s">
        <v>13709</v>
      </c>
      <c r="D3242" s="19" t="s">
        <v>31</v>
      </c>
      <c r="E3242" s="19" t="s">
        <v>10459</v>
      </c>
      <c r="F3242" s="21">
        <f t="shared" si="582"/>
        <v>31.359999999999999</v>
      </c>
      <c r="G3242" s="21">
        <f t="shared" si="582"/>
        <v>31.359999999999999</v>
      </c>
      <c r="H3242" s="21">
        <f t="shared" si="582"/>
        <v>31.359999999999999</v>
      </c>
      <c r="I3242" s="24" t="str">
        <f t="shared" si="583"/>
        <v xml:space="preserve">COM VALOR</v>
      </c>
      <c r="L3242" s="36">
        <v>31.359999999999999</v>
      </c>
      <c r="M3242" s="37">
        <v>31.359999999999999</v>
      </c>
      <c r="N3242" s="36">
        <v>31.359999999999999</v>
      </c>
    </row>
    <row r="3243" ht="25.5">
      <c r="A3243" s="19" t="s">
        <v>10460</v>
      </c>
      <c r="B3243" s="19">
        <v>39607</v>
      </c>
      <c r="C3243" s="20" t="s">
        <v>13710</v>
      </c>
      <c r="D3243" s="19" t="s">
        <v>31</v>
      </c>
      <c r="E3243" s="19" t="s">
        <v>10459</v>
      </c>
      <c r="F3243" s="21">
        <f t="shared" si="582"/>
        <v>42.420000000000002</v>
      </c>
      <c r="G3243" s="21">
        <f t="shared" si="582"/>
        <v>42.420000000000002</v>
      </c>
      <c r="H3243" s="21">
        <f t="shared" si="582"/>
        <v>42.420000000000002</v>
      </c>
      <c r="I3243" s="24" t="str">
        <f t="shared" si="583"/>
        <v xml:space="preserve">COM VALOR</v>
      </c>
      <c r="L3243" s="36">
        <v>42.420000000000002</v>
      </c>
      <c r="M3243" s="37">
        <v>42.420000000000002</v>
      </c>
      <c r="N3243" s="36">
        <v>42.420000000000002</v>
      </c>
    </row>
    <row r="3244" ht="25.5">
      <c r="A3244" s="19" t="s">
        <v>10460</v>
      </c>
      <c r="B3244" s="19">
        <v>39594</v>
      </c>
      <c r="C3244" s="20" t="s">
        <v>13711</v>
      </c>
      <c r="D3244" s="19" t="s">
        <v>31</v>
      </c>
      <c r="E3244" s="19" t="s">
        <v>10466</v>
      </c>
      <c r="F3244" s="21">
        <f t="shared" si="582"/>
        <v>370</v>
      </c>
      <c r="G3244" s="21">
        <f t="shared" si="582"/>
        <v>370</v>
      </c>
      <c r="H3244" s="21">
        <f t="shared" si="582"/>
        <v>370</v>
      </c>
      <c r="I3244" s="24" t="str">
        <f t="shared" si="583"/>
        <v xml:space="preserve">COM VALOR</v>
      </c>
      <c r="L3244" s="36">
        <v>370</v>
      </c>
      <c r="M3244" s="37">
        <v>370</v>
      </c>
      <c r="N3244" s="36">
        <v>370</v>
      </c>
    </row>
    <row r="3245" ht="25.5">
      <c r="A3245" s="19" t="s">
        <v>10460</v>
      </c>
      <c r="B3245" s="19">
        <v>39596</v>
      </c>
      <c r="C3245" s="20" t="s">
        <v>13712</v>
      </c>
      <c r="D3245" s="19" t="s">
        <v>31</v>
      </c>
      <c r="E3245" s="19" t="s">
        <v>10459</v>
      </c>
      <c r="F3245" s="21">
        <f t="shared" si="582"/>
        <v>990.88999999999999</v>
      </c>
      <c r="G3245" s="21">
        <f t="shared" si="582"/>
        <v>990.88999999999999</v>
      </c>
      <c r="H3245" s="21">
        <f t="shared" si="582"/>
        <v>990.88999999999999</v>
      </c>
      <c r="I3245" s="24" t="str">
        <f t="shared" si="583"/>
        <v xml:space="preserve">COM VALOR</v>
      </c>
      <c r="L3245" s="36">
        <v>990.88999999999999</v>
      </c>
      <c r="M3245" s="37">
        <v>990.88999999999999</v>
      </c>
      <c r="N3245" s="36">
        <v>990.88999999999999</v>
      </c>
    </row>
    <row r="3246" ht="25.5">
      <c r="A3246" s="19" t="s">
        <v>10460</v>
      </c>
      <c r="B3246" s="19">
        <v>39595</v>
      </c>
      <c r="C3246" s="20" t="s">
        <v>13713</v>
      </c>
      <c r="D3246" s="19" t="s">
        <v>31</v>
      </c>
      <c r="E3246" s="19" t="s">
        <v>10459</v>
      </c>
      <c r="F3246" s="21">
        <f t="shared" si="582"/>
        <v>2226.3899999999999</v>
      </c>
      <c r="G3246" s="21">
        <f t="shared" si="582"/>
        <v>2226.3899999999999</v>
      </c>
      <c r="H3246" s="21">
        <f t="shared" si="582"/>
        <v>2226.3899999999999</v>
      </c>
      <c r="I3246" s="24" t="str">
        <f t="shared" si="583"/>
        <v xml:space="preserve">COM VALOR</v>
      </c>
      <c r="L3246" s="36">
        <v>2226.3899999999999</v>
      </c>
      <c r="M3246" s="37">
        <v>2226.3899999999999</v>
      </c>
      <c r="N3246" s="36">
        <v>2226.3899999999999</v>
      </c>
    </row>
    <row r="3247" ht="25.5">
      <c r="A3247" s="19" t="s">
        <v>10460</v>
      </c>
      <c r="B3247" s="19">
        <v>39597</v>
      </c>
      <c r="C3247" s="20" t="s">
        <v>13714</v>
      </c>
      <c r="D3247" s="19" t="s">
        <v>31</v>
      </c>
      <c r="E3247" s="19" t="s">
        <v>10459</v>
      </c>
      <c r="F3247" s="21">
        <f t="shared" si="582"/>
        <v>3492.4000000000001</v>
      </c>
      <c r="G3247" s="21">
        <f t="shared" si="582"/>
        <v>3492.4000000000001</v>
      </c>
      <c r="H3247" s="21">
        <f t="shared" si="582"/>
        <v>3492.4000000000001</v>
      </c>
      <c r="I3247" s="24" t="str">
        <f t="shared" si="583"/>
        <v xml:space="preserve">COM VALOR</v>
      </c>
      <c r="L3247" s="36">
        <v>3492.4000000000001</v>
      </c>
      <c r="M3247" s="37">
        <v>3492.4000000000001</v>
      </c>
      <c r="N3247" s="36">
        <v>3492.4000000000001</v>
      </c>
    </row>
    <row r="3248" ht="12.75">
      <c r="A3248" s="19" t="s">
        <v>10460</v>
      </c>
      <c r="B3248" s="19">
        <v>10731</v>
      </c>
      <c r="C3248" s="20" t="s">
        <v>13715</v>
      </c>
      <c r="D3248" s="19" t="s">
        <v>29</v>
      </c>
      <c r="E3248" s="19" t="s">
        <v>10466</v>
      </c>
      <c r="F3248" s="21" t="str">
        <f t="shared" si="582"/>
        <v>VERIFICAR</v>
      </c>
      <c r="G3248" s="21" t="str">
        <f t="shared" si="582"/>
        <v>VERIFICAR</v>
      </c>
      <c r="H3248" s="21" t="str">
        <f t="shared" si="582"/>
        <v>VERIFICAR</v>
      </c>
      <c r="I3248" s="24" t="str">
        <f t="shared" si="583"/>
        <v xml:space="preserve">SEM VALOR</v>
      </c>
      <c r="L3248" s="36"/>
      <c r="M3248" s="37"/>
      <c r="N3248" s="36"/>
    </row>
    <row r="3249" ht="12.75">
      <c r="A3249" s="19" t="s">
        <v>10460</v>
      </c>
      <c r="B3249" s="19">
        <v>4704</v>
      </c>
      <c r="C3249" s="20" t="s">
        <v>13716</v>
      </c>
      <c r="D3249" s="19" t="s">
        <v>29</v>
      </c>
      <c r="E3249" s="19" t="s">
        <v>10459</v>
      </c>
      <c r="F3249" s="21" t="str">
        <f t="shared" si="582"/>
        <v>VERIFICAR</v>
      </c>
      <c r="G3249" s="21" t="str">
        <f t="shared" si="582"/>
        <v>VERIFICAR</v>
      </c>
      <c r="H3249" s="21" t="str">
        <f t="shared" si="582"/>
        <v>VERIFICAR</v>
      </c>
      <c r="I3249" s="24" t="str">
        <f t="shared" si="583"/>
        <v xml:space="preserve">SEM VALOR</v>
      </c>
      <c r="L3249" s="36"/>
      <c r="M3249" s="37"/>
      <c r="N3249" s="36"/>
    </row>
    <row r="3250" ht="12.75">
      <c r="A3250" s="19" t="s">
        <v>10460</v>
      </c>
      <c r="B3250" s="19">
        <v>10730</v>
      </c>
      <c r="C3250" s="20" t="s">
        <v>13717</v>
      </c>
      <c r="D3250" s="19" t="s">
        <v>29</v>
      </c>
      <c r="E3250" s="19" t="s">
        <v>10459</v>
      </c>
      <c r="F3250" s="21" t="str">
        <f t="shared" si="582"/>
        <v>VERIFICAR</v>
      </c>
      <c r="G3250" s="21" t="str">
        <f t="shared" si="582"/>
        <v>VERIFICAR</v>
      </c>
      <c r="H3250" s="21" t="str">
        <f t="shared" si="582"/>
        <v>VERIFICAR</v>
      </c>
      <c r="I3250" s="24" t="str">
        <f t="shared" si="583"/>
        <v xml:space="preserve">SEM VALOR</v>
      </c>
      <c r="L3250" s="36"/>
      <c r="M3250" s="37"/>
      <c r="N3250" s="36"/>
    </row>
    <row r="3251" ht="25.5">
      <c r="A3251" s="19" t="s">
        <v>10460</v>
      </c>
      <c r="B3251" s="19">
        <v>4720</v>
      </c>
      <c r="C3251" s="20" t="s">
        <v>13718</v>
      </c>
      <c r="D3251" s="19" t="s">
        <v>121</v>
      </c>
      <c r="E3251" s="19" t="s">
        <v>10459</v>
      </c>
      <c r="F3251" s="21">
        <f t="shared" si="582"/>
        <v>116.02</v>
      </c>
      <c r="G3251" s="21">
        <f t="shared" si="582"/>
        <v>116.02</v>
      </c>
      <c r="H3251" s="21">
        <f t="shared" si="582"/>
        <v>116.02</v>
      </c>
      <c r="I3251" s="24" t="str">
        <f t="shared" si="583"/>
        <v xml:space="preserve">COM VALOR</v>
      </c>
      <c r="L3251" s="36">
        <v>116.02</v>
      </c>
      <c r="M3251" s="37">
        <v>116.02</v>
      </c>
      <c r="N3251" s="36">
        <v>116.02</v>
      </c>
    </row>
    <row r="3252" ht="25.5">
      <c r="A3252" s="19" t="s">
        <v>10460</v>
      </c>
      <c r="B3252" s="19">
        <v>4721</v>
      </c>
      <c r="C3252" s="20" t="s">
        <v>13719</v>
      </c>
      <c r="D3252" s="19" t="s">
        <v>121</v>
      </c>
      <c r="E3252" s="19" t="s">
        <v>10459</v>
      </c>
      <c r="F3252" s="21">
        <f t="shared" si="582"/>
        <v>100.48999999999999</v>
      </c>
      <c r="G3252" s="21">
        <f t="shared" si="582"/>
        <v>100.48999999999999</v>
      </c>
      <c r="H3252" s="21">
        <f t="shared" si="582"/>
        <v>100.48999999999999</v>
      </c>
      <c r="I3252" s="24" t="str">
        <f t="shared" si="583"/>
        <v xml:space="preserve">COM VALOR</v>
      </c>
      <c r="L3252" s="36">
        <v>100.48999999999999</v>
      </c>
      <c r="M3252" s="37">
        <v>100.48999999999999</v>
      </c>
      <c r="N3252" s="36">
        <v>100.48999999999999</v>
      </c>
    </row>
    <row r="3253" ht="25.5">
      <c r="A3253" s="19" t="s">
        <v>10460</v>
      </c>
      <c r="B3253" s="19">
        <v>4718</v>
      </c>
      <c r="C3253" s="20" t="s">
        <v>13720</v>
      </c>
      <c r="D3253" s="19" t="s">
        <v>121</v>
      </c>
      <c r="E3253" s="19" t="s">
        <v>10466</v>
      </c>
      <c r="F3253" s="21">
        <f t="shared" si="582"/>
        <v>101.02</v>
      </c>
      <c r="G3253" s="21">
        <f t="shared" si="582"/>
        <v>101.02</v>
      </c>
      <c r="H3253" s="21">
        <f t="shared" si="582"/>
        <v>101.02</v>
      </c>
      <c r="I3253" s="24" t="str">
        <f t="shared" si="583"/>
        <v xml:space="preserve">COM VALOR</v>
      </c>
      <c r="L3253" s="36">
        <v>101.02</v>
      </c>
      <c r="M3253" s="37">
        <v>101.02</v>
      </c>
      <c r="N3253" s="36">
        <v>101.02</v>
      </c>
    </row>
    <row r="3254" ht="25.5">
      <c r="A3254" s="19" t="s">
        <v>10460</v>
      </c>
      <c r="B3254" s="19">
        <v>4722</v>
      </c>
      <c r="C3254" s="20" t="s">
        <v>13721</v>
      </c>
      <c r="D3254" s="19" t="s">
        <v>121</v>
      </c>
      <c r="E3254" s="19" t="s">
        <v>10459</v>
      </c>
      <c r="F3254" s="21">
        <f t="shared" si="582"/>
        <v>94.920000000000002</v>
      </c>
      <c r="G3254" s="21">
        <f t="shared" si="582"/>
        <v>94.920000000000002</v>
      </c>
      <c r="H3254" s="21">
        <f t="shared" si="582"/>
        <v>94.920000000000002</v>
      </c>
      <c r="I3254" s="24" t="str">
        <f t="shared" si="583"/>
        <v xml:space="preserve">COM VALOR</v>
      </c>
      <c r="L3254" s="36">
        <v>94.920000000000002</v>
      </c>
      <c r="M3254" s="37">
        <v>94.920000000000002</v>
      </c>
      <c r="N3254" s="36">
        <v>94.920000000000002</v>
      </c>
    </row>
    <row r="3255" ht="25.5">
      <c r="A3255" s="19" t="s">
        <v>10460</v>
      </c>
      <c r="B3255" s="19">
        <v>4730</v>
      </c>
      <c r="C3255" s="20" t="s">
        <v>13722</v>
      </c>
      <c r="D3255" s="19" t="s">
        <v>121</v>
      </c>
      <c r="E3255" s="19" t="s">
        <v>10459</v>
      </c>
      <c r="F3255" s="21">
        <f t="shared" si="582"/>
        <v>94.450000000000003</v>
      </c>
      <c r="G3255" s="21">
        <f t="shared" si="582"/>
        <v>94.450000000000003</v>
      </c>
      <c r="H3255" s="21">
        <f t="shared" si="582"/>
        <v>94.450000000000003</v>
      </c>
      <c r="I3255" s="24" t="str">
        <f t="shared" si="583"/>
        <v xml:space="preserve">COM VALOR</v>
      </c>
      <c r="L3255" s="36">
        <v>94.450000000000003</v>
      </c>
      <c r="M3255" s="37">
        <v>94.450000000000003</v>
      </c>
      <c r="N3255" s="36">
        <v>94.450000000000003</v>
      </c>
    </row>
    <row r="3256" ht="51">
      <c r="A3256" s="19" t="s">
        <v>10460</v>
      </c>
      <c r="B3256" s="19">
        <v>13186</v>
      </c>
      <c r="C3256" s="20" t="s">
        <v>13723</v>
      </c>
      <c r="D3256" s="19" t="s">
        <v>121</v>
      </c>
      <c r="E3256" s="19" t="s">
        <v>10459</v>
      </c>
      <c r="F3256" s="21">
        <f t="shared" si="582"/>
        <v>108.98</v>
      </c>
      <c r="G3256" s="21">
        <f t="shared" si="582"/>
        <v>108.98</v>
      </c>
      <c r="H3256" s="21">
        <f t="shared" si="582"/>
        <v>108.98</v>
      </c>
      <c r="I3256" s="24" t="str">
        <f t="shared" si="583"/>
        <v xml:space="preserve">COM VALOR</v>
      </c>
      <c r="L3256" s="36">
        <v>108.98</v>
      </c>
      <c r="M3256" s="37">
        <v>108.98</v>
      </c>
      <c r="N3256" s="36">
        <v>108.98</v>
      </c>
    </row>
    <row r="3257" ht="38.25">
      <c r="A3257" s="19" t="s">
        <v>10460</v>
      </c>
      <c r="B3257" s="19">
        <v>10737</v>
      </c>
      <c r="C3257" s="20" t="s">
        <v>13724</v>
      </c>
      <c r="D3257" s="19" t="s">
        <v>29</v>
      </c>
      <c r="E3257" s="19" t="s">
        <v>10459</v>
      </c>
      <c r="F3257" s="21" t="str">
        <f t="shared" si="582"/>
        <v>VERIFICAR</v>
      </c>
      <c r="G3257" s="21" t="str">
        <f t="shared" si="582"/>
        <v>VERIFICAR</v>
      </c>
      <c r="H3257" s="21" t="str">
        <f t="shared" si="582"/>
        <v>VERIFICAR</v>
      </c>
      <c r="I3257" s="24" t="str">
        <f t="shared" si="583"/>
        <v xml:space="preserve">SEM VALOR</v>
      </c>
      <c r="L3257" s="36"/>
      <c r="M3257" s="37"/>
      <c r="N3257" s="36"/>
    </row>
    <row r="3258" ht="38.25">
      <c r="A3258" s="19" t="s">
        <v>10460</v>
      </c>
      <c r="B3258" s="19">
        <v>10734</v>
      </c>
      <c r="C3258" s="20" t="s">
        <v>13725</v>
      </c>
      <c r="D3258" s="19" t="s">
        <v>29</v>
      </c>
      <c r="E3258" s="19" t="s">
        <v>10459</v>
      </c>
      <c r="F3258" s="21" t="str">
        <f t="shared" si="582"/>
        <v>VERIFICAR</v>
      </c>
      <c r="G3258" s="21" t="str">
        <f t="shared" si="582"/>
        <v>VERIFICAR</v>
      </c>
      <c r="H3258" s="21" t="str">
        <f t="shared" si="582"/>
        <v>VERIFICAR</v>
      </c>
      <c r="I3258" s="24" t="str">
        <f t="shared" si="583"/>
        <v xml:space="preserve">SEM VALOR</v>
      </c>
      <c r="L3258" s="36"/>
      <c r="M3258" s="37"/>
      <c r="N3258" s="36"/>
    </row>
    <row r="3259" ht="12.75">
      <c r="A3259" s="19" t="s">
        <v>10460</v>
      </c>
      <c r="B3259" s="19">
        <v>4708</v>
      </c>
      <c r="C3259" s="20" t="s">
        <v>13726</v>
      </c>
      <c r="D3259" s="19" t="s">
        <v>29</v>
      </c>
      <c r="E3259" s="19" t="s">
        <v>10459</v>
      </c>
      <c r="F3259" s="21" t="str">
        <f t="shared" si="582"/>
        <v>VERIFICAR</v>
      </c>
      <c r="G3259" s="21" t="str">
        <f t="shared" si="582"/>
        <v>VERIFICAR</v>
      </c>
      <c r="H3259" s="21" t="str">
        <f t="shared" si="582"/>
        <v>VERIFICAR</v>
      </c>
      <c r="I3259" s="24" t="str">
        <f t="shared" si="583"/>
        <v xml:space="preserve">SEM VALOR</v>
      </c>
      <c r="L3259" s="36"/>
      <c r="M3259" s="37"/>
      <c r="N3259" s="36"/>
    </row>
    <row r="3260" ht="51">
      <c r="A3260" s="19" t="s">
        <v>10460</v>
      </c>
      <c r="B3260" s="19">
        <v>4712</v>
      </c>
      <c r="C3260" s="20" t="s">
        <v>13727</v>
      </c>
      <c r="D3260" s="19" t="s">
        <v>29</v>
      </c>
      <c r="E3260" s="19" t="s">
        <v>10459</v>
      </c>
      <c r="F3260" s="21" t="str">
        <f t="shared" si="582"/>
        <v>VERIFICAR</v>
      </c>
      <c r="G3260" s="21" t="str">
        <f t="shared" si="582"/>
        <v>VERIFICAR</v>
      </c>
      <c r="H3260" s="21" t="str">
        <f t="shared" si="582"/>
        <v>VERIFICAR</v>
      </c>
      <c r="I3260" s="24" t="str">
        <f t="shared" si="583"/>
        <v xml:space="preserve">SEM VALOR</v>
      </c>
      <c r="L3260" s="36"/>
      <c r="M3260" s="37"/>
      <c r="N3260" s="36"/>
    </row>
    <row r="3261" ht="51">
      <c r="A3261" s="19" t="s">
        <v>10460</v>
      </c>
      <c r="B3261" s="19">
        <v>4710</v>
      </c>
      <c r="C3261" s="20" t="s">
        <v>13728</v>
      </c>
      <c r="D3261" s="19" t="s">
        <v>29</v>
      </c>
      <c r="E3261" s="19" t="s">
        <v>10459</v>
      </c>
      <c r="F3261" s="21" t="str">
        <f t="shared" si="582"/>
        <v>VERIFICAR</v>
      </c>
      <c r="G3261" s="21" t="str">
        <f t="shared" si="582"/>
        <v>VERIFICAR</v>
      </c>
      <c r="H3261" s="21" t="str">
        <f t="shared" si="582"/>
        <v>VERIFICAR</v>
      </c>
      <c r="I3261" s="24" t="str">
        <f t="shared" si="583"/>
        <v xml:space="preserve">SEM VALOR</v>
      </c>
      <c r="L3261" s="36"/>
      <c r="M3261" s="37"/>
      <c r="N3261" s="36"/>
    </row>
    <row r="3262" ht="12.75">
      <c r="A3262" s="19" t="s">
        <v>10604</v>
      </c>
      <c r="B3262" s="19">
        <v>4750</v>
      </c>
      <c r="C3262" s="20" t="s">
        <v>13729</v>
      </c>
      <c r="D3262" s="19" t="s">
        <v>2032</v>
      </c>
      <c r="E3262" s="19" t="s">
        <v>10466</v>
      </c>
      <c r="F3262" s="21">
        <f t="shared" si="582"/>
        <v>21.260000000000002</v>
      </c>
      <c r="G3262" s="21">
        <f t="shared" si="582"/>
        <v>21.260000000000002</v>
      </c>
      <c r="H3262" s="21">
        <f t="shared" si="582"/>
        <v>21.260000000000002</v>
      </c>
      <c r="I3262" s="24" t="str">
        <f t="shared" si="583"/>
        <v xml:space="preserve">COM VALOR</v>
      </c>
      <c r="L3262" s="36">
        <v>21.260000000000002</v>
      </c>
      <c r="M3262" s="37">
        <v>21.260000000000002</v>
      </c>
      <c r="N3262" s="36">
        <v>21.260000000000002</v>
      </c>
    </row>
    <row r="3263" ht="12.75">
      <c r="A3263" s="19" t="s">
        <v>10604</v>
      </c>
      <c r="B3263" s="19">
        <v>41065</v>
      </c>
      <c r="C3263" s="20" t="s">
        <v>13730</v>
      </c>
      <c r="D3263" s="19" t="s">
        <v>7087</v>
      </c>
      <c r="E3263" s="19" t="s">
        <v>10459</v>
      </c>
      <c r="F3263" s="21">
        <f t="shared" si="582"/>
        <v>3721.6900000000001</v>
      </c>
      <c r="G3263" s="21">
        <f t="shared" si="582"/>
        <v>3721.6900000000001</v>
      </c>
      <c r="H3263" s="21">
        <f t="shared" si="582"/>
        <v>3721.6900000000001</v>
      </c>
      <c r="I3263" s="24" t="str">
        <f t="shared" si="583"/>
        <v xml:space="preserve">COM VALOR</v>
      </c>
      <c r="L3263" s="36">
        <v>3721.6900000000001</v>
      </c>
      <c r="M3263" s="37">
        <v>3721.6900000000001</v>
      </c>
      <c r="N3263" s="36">
        <v>3721.6900000000001</v>
      </c>
    </row>
    <row r="3264" ht="25.5">
      <c r="A3264" s="19" t="s">
        <v>10460</v>
      </c>
      <c r="B3264" s="19">
        <v>34747</v>
      </c>
      <c r="C3264" s="20" t="s">
        <v>13731</v>
      </c>
      <c r="D3264" s="19" t="s">
        <v>38</v>
      </c>
      <c r="E3264" s="19" t="s">
        <v>10459</v>
      </c>
      <c r="F3264" s="21">
        <f t="shared" si="582"/>
        <v>126.34</v>
      </c>
      <c r="G3264" s="21">
        <f t="shared" si="582"/>
        <v>126.34</v>
      </c>
      <c r="H3264" s="21">
        <f t="shared" si="582"/>
        <v>126.34</v>
      </c>
      <c r="I3264" s="24" t="str">
        <f t="shared" si="583"/>
        <v xml:space="preserve">COM VALOR</v>
      </c>
      <c r="L3264" s="36">
        <v>126.34</v>
      </c>
      <c r="M3264" s="37">
        <v>126.34</v>
      </c>
      <c r="N3264" s="36">
        <v>126.34</v>
      </c>
    </row>
    <row r="3265" ht="25.5">
      <c r="A3265" s="19" t="s">
        <v>10460</v>
      </c>
      <c r="B3265" s="19">
        <v>4826</v>
      </c>
      <c r="C3265" s="20" t="s">
        <v>13732</v>
      </c>
      <c r="D3265" s="19" t="s">
        <v>38</v>
      </c>
      <c r="E3265" s="19" t="s">
        <v>10459</v>
      </c>
      <c r="F3265" s="21">
        <f t="shared" si="582"/>
        <v>135.84999999999999</v>
      </c>
      <c r="G3265" s="21">
        <f t="shared" si="582"/>
        <v>135.84999999999999</v>
      </c>
      <c r="H3265" s="21">
        <f t="shared" si="582"/>
        <v>135.84999999999999</v>
      </c>
      <c r="I3265" s="24" t="str">
        <f t="shared" si="583"/>
        <v xml:space="preserve">COM VALOR</v>
      </c>
      <c r="L3265" s="36">
        <v>135.84999999999999</v>
      </c>
      <c r="M3265" s="37">
        <v>135.84999999999999</v>
      </c>
      <c r="N3265" s="36">
        <v>135.84999999999999</v>
      </c>
    </row>
    <row r="3266" ht="25.5">
      <c r="A3266" s="19" t="s">
        <v>10460</v>
      </c>
      <c r="B3266" s="19">
        <v>41975</v>
      </c>
      <c r="C3266" s="20" t="s">
        <v>13733</v>
      </c>
      <c r="D3266" s="19" t="s">
        <v>29</v>
      </c>
      <c r="E3266" s="19" t="s">
        <v>10459</v>
      </c>
      <c r="F3266" s="21" t="str">
        <f t="shared" si="582"/>
        <v>VERIFICAR</v>
      </c>
      <c r="G3266" s="21" t="str">
        <f t="shared" si="582"/>
        <v>VERIFICAR</v>
      </c>
      <c r="H3266" s="21" t="str">
        <f t="shared" si="582"/>
        <v>VERIFICAR</v>
      </c>
      <c r="I3266" s="24" t="str">
        <f t="shared" si="583"/>
        <v xml:space="preserve">SEM VALOR</v>
      </c>
      <c r="L3266" s="36"/>
      <c r="M3266" s="37"/>
      <c r="N3266" s="36"/>
    </row>
    <row r="3267" ht="25.5">
      <c r="A3267" s="19" t="s">
        <v>10460</v>
      </c>
      <c r="B3267" s="19">
        <v>4825</v>
      </c>
      <c r="C3267" s="20" t="s">
        <v>13734</v>
      </c>
      <c r="D3267" s="19" t="s">
        <v>38</v>
      </c>
      <c r="E3267" s="19" t="s">
        <v>10459</v>
      </c>
      <c r="F3267" s="21">
        <f t="shared" si="582"/>
        <v>188.03999999999999</v>
      </c>
      <c r="G3267" s="21">
        <f t="shared" si="582"/>
        <v>188.03999999999999</v>
      </c>
      <c r="H3267" s="21">
        <f t="shared" si="582"/>
        <v>188.03999999999999</v>
      </c>
      <c r="I3267" s="24" t="str">
        <f t="shared" si="583"/>
        <v xml:space="preserve">COM VALOR</v>
      </c>
      <c r="L3267" s="36">
        <v>188.03999999999999</v>
      </c>
      <c r="M3267" s="37">
        <v>188.03999999999999</v>
      </c>
      <c r="N3267" s="36">
        <v>188.03999999999999</v>
      </c>
    </row>
    <row r="3268" ht="25.5">
      <c r="A3268" s="19" t="s">
        <v>10460</v>
      </c>
      <c r="B3268" s="19">
        <v>34744</v>
      </c>
      <c r="C3268" s="20" t="s">
        <v>13735</v>
      </c>
      <c r="D3268" s="19" t="s">
        <v>29</v>
      </c>
      <c r="E3268" s="19" t="s">
        <v>10459</v>
      </c>
      <c r="F3268" s="21" t="str">
        <f t="shared" si="582"/>
        <v>VERIFICAR</v>
      </c>
      <c r="G3268" s="21" t="str">
        <f t="shared" si="582"/>
        <v>VERIFICAR</v>
      </c>
      <c r="H3268" s="21" t="str">
        <f t="shared" si="582"/>
        <v>VERIFICAR</v>
      </c>
      <c r="I3268" s="24" t="str">
        <f t="shared" si="583"/>
        <v xml:space="preserve">SEM VALOR</v>
      </c>
      <c r="L3268" s="36"/>
      <c r="M3268" s="37"/>
      <c r="N3268" s="36"/>
    </row>
    <row r="3269" ht="38.25">
      <c r="A3269" s="19" t="s">
        <v>10460</v>
      </c>
      <c r="B3269" s="19">
        <v>39430</v>
      </c>
      <c r="C3269" s="20" t="s">
        <v>13736</v>
      </c>
      <c r="D3269" s="19" t="s">
        <v>31</v>
      </c>
      <c r="E3269" s="19" t="s">
        <v>10459</v>
      </c>
      <c r="F3269" s="21">
        <f t="shared" si="582"/>
        <v>1.7</v>
      </c>
      <c r="G3269" s="21">
        <f t="shared" si="582"/>
        <v>1.7</v>
      </c>
      <c r="H3269" s="21">
        <f t="shared" si="582"/>
        <v>1.7</v>
      </c>
      <c r="I3269" s="24" t="str">
        <f t="shared" si="583"/>
        <v xml:space="preserve">COM VALOR</v>
      </c>
      <c r="L3269" s="36">
        <v>1.7</v>
      </c>
      <c r="M3269" s="37">
        <v>1.7</v>
      </c>
      <c r="N3269" s="36">
        <v>1.7</v>
      </c>
    </row>
    <row r="3270" ht="38.25">
      <c r="A3270" s="19" t="s">
        <v>10460</v>
      </c>
      <c r="B3270" s="19">
        <v>39573</v>
      </c>
      <c r="C3270" s="20" t="s">
        <v>13737</v>
      </c>
      <c r="D3270" s="19" t="s">
        <v>31</v>
      </c>
      <c r="E3270" s="19" t="s">
        <v>10459</v>
      </c>
      <c r="F3270" s="21">
        <f t="shared" si="582"/>
        <v>1.6799999999999999</v>
      </c>
      <c r="G3270" s="21">
        <f t="shared" si="582"/>
        <v>1.6799999999999999</v>
      </c>
      <c r="H3270" s="21">
        <f t="shared" si="582"/>
        <v>1.6799999999999999</v>
      </c>
      <c r="I3270" s="24" t="str">
        <f t="shared" si="583"/>
        <v xml:space="preserve">COM VALOR</v>
      </c>
      <c r="L3270" s="36">
        <v>1.6799999999999999</v>
      </c>
      <c r="M3270" s="37">
        <v>1.6799999999999999</v>
      </c>
      <c r="N3270" s="36">
        <v>1.6799999999999999</v>
      </c>
    </row>
    <row r="3271" ht="25.5">
      <c r="A3271" s="19" t="s">
        <v>10638</v>
      </c>
      <c r="B3271" s="19">
        <v>38410</v>
      </c>
      <c r="C3271" s="20" t="s">
        <v>13738</v>
      </c>
      <c r="D3271" s="19" t="s">
        <v>31</v>
      </c>
      <c r="E3271" s="19" t="s">
        <v>10459</v>
      </c>
      <c r="F3271" s="21">
        <f t="shared" si="582"/>
        <v>14642.9</v>
      </c>
      <c r="G3271" s="21">
        <f t="shared" si="582"/>
        <v>14642.9</v>
      </c>
      <c r="H3271" s="21">
        <f t="shared" si="582"/>
        <v>14642.9</v>
      </c>
      <c r="I3271" s="24" t="str">
        <f t="shared" si="583"/>
        <v xml:space="preserve">COM VALOR</v>
      </c>
      <c r="L3271" s="36">
        <v>14642.9</v>
      </c>
      <c r="M3271" s="37">
        <v>14642.9</v>
      </c>
      <c r="N3271" s="36">
        <v>14642.9</v>
      </c>
    </row>
    <row r="3272" ht="12.75">
      <c r="A3272" s="19" t="s">
        <v>10460</v>
      </c>
      <c r="B3272" s="19">
        <v>43082</v>
      </c>
      <c r="C3272" s="20" t="s">
        <v>13739</v>
      </c>
      <c r="D3272" s="19" t="s">
        <v>302</v>
      </c>
      <c r="E3272" s="19" t="s">
        <v>10466</v>
      </c>
      <c r="F3272" s="21">
        <f t="shared" si="582"/>
        <v>10</v>
      </c>
      <c r="G3272" s="21">
        <f t="shared" si="582"/>
        <v>10</v>
      </c>
      <c r="H3272" s="21">
        <f t="shared" si="582"/>
        <v>10</v>
      </c>
      <c r="I3272" s="24" t="str">
        <f t="shared" si="583"/>
        <v xml:space="preserve">COM VALOR</v>
      </c>
      <c r="J3272" s="38" t="s">
        <v>10710</v>
      </c>
      <c r="L3272" s="36">
        <v>10</v>
      </c>
      <c r="M3272" s="37">
        <v>10</v>
      </c>
      <c r="N3272" s="36">
        <v>10</v>
      </c>
    </row>
    <row r="3273" ht="25.5">
      <c r="A3273" s="19" t="s">
        <v>10460</v>
      </c>
      <c r="B3273" s="19">
        <v>43083</v>
      </c>
      <c r="C3273" s="20" t="s">
        <v>13740</v>
      </c>
      <c r="D3273" s="19" t="s">
        <v>302</v>
      </c>
      <c r="E3273" s="19" t="s">
        <v>10459</v>
      </c>
      <c r="F3273" s="21" t="str">
        <f t="shared" si="582"/>
        <v>VERIFICAR</v>
      </c>
      <c r="G3273" s="21" t="str">
        <f t="shared" si="582"/>
        <v>VERIFICAR</v>
      </c>
      <c r="H3273" s="21" t="str">
        <f t="shared" si="582"/>
        <v>VERIFICAR</v>
      </c>
      <c r="I3273" s="24" t="str">
        <f t="shared" si="583"/>
        <v xml:space="preserve">SEM VALOR</v>
      </c>
      <c r="L3273" s="36"/>
      <c r="M3273" s="37"/>
      <c r="N3273" s="36"/>
    </row>
    <row r="3274" ht="25.5">
      <c r="A3274" s="19" t="s">
        <v>10460</v>
      </c>
      <c r="B3274" s="19">
        <v>40535</v>
      </c>
      <c r="C3274" s="20" t="s">
        <v>13741</v>
      </c>
      <c r="D3274" s="19" t="s">
        <v>302</v>
      </c>
      <c r="E3274" s="19" t="s">
        <v>10459</v>
      </c>
      <c r="F3274" s="21">
        <f t="shared" si="582"/>
        <v>8.6600000000000001</v>
      </c>
      <c r="G3274" s="21">
        <f t="shared" si="582"/>
        <v>8.6600000000000001</v>
      </c>
      <c r="H3274" s="21" t="str">
        <f t="shared" si="582"/>
        <v>VERIFICAR</v>
      </c>
      <c r="I3274" s="24" t="str">
        <f t="shared" si="583"/>
        <v xml:space="preserve">SEM VALOR</v>
      </c>
      <c r="J3274" s="38" t="s">
        <v>10710</v>
      </c>
      <c r="L3274" s="36">
        <v>8.6600000000000001</v>
      </c>
      <c r="M3274" s="37">
        <v>8.6600000000000001</v>
      </c>
      <c r="N3274" s="36"/>
    </row>
    <row r="3275" ht="25.5">
      <c r="A3275" s="19" t="s">
        <v>10460</v>
      </c>
      <c r="B3275" s="19">
        <v>40598</v>
      </c>
      <c r="C3275" s="20" t="s">
        <v>13742</v>
      </c>
      <c r="D3275" s="19" t="s">
        <v>302</v>
      </c>
      <c r="E3275" s="19" t="s">
        <v>10459</v>
      </c>
      <c r="F3275" s="21" t="str">
        <f t="shared" ref="F3275:H3338" si="584">IF(L3275=0,"VERIFICAR",L3275)</f>
        <v>VERIFICAR</v>
      </c>
      <c r="G3275" s="21" t="str">
        <f t="shared" si="584"/>
        <v>VERIFICAR</v>
      </c>
      <c r="H3275" s="21" t="str">
        <f t="shared" si="584"/>
        <v>VERIFICAR</v>
      </c>
      <c r="I3275" s="24" t="str">
        <f t="shared" ref="I3275:I3338" si="585">IF(OR(L3275=0,M3275=0,N3275=0),"SEM VALOR","COM VALOR")</f>
        <v xml:space="preserve">SEM VALOR</v>
      </c>
      <c r="L3275" s="36"/>
      <c r="M3275" s="37"/>
      <c r="N3275" s="36"/>
    </row>
    <row r="3276" ht="25.5">
      <c r="A3276" s="19" t="s">
        <v>10460</v>
      </c>
      <c r="B3276" s="19">
        <v>43692</v>
      </c>
      <c r="C3276" s="20" t="s">
        <v>13743</v>
      </c>
      <c r="D3276" s="19" t="s">
        <v>302</v>
      </c>
      <c r="E3276" s="19" t="s">
        <v>10459</v>
      </c>
      <c r="F3276" s="21" t="str">
        <f t="shared" si="584"/>
        <v>VERIFICAR</v>
      </c>
      <c r="G3276" s="21" t="str">
        <f t="shared" si="584"/>
        <v>VERIFICAR</v>
      </c>
      <c r="H3276" s="21" t="str">
        <f t="shared" si="584"/>
        <v>VERIFICAR</v>
      </c>
      <c r="I3276" s="24" t="str">
        <f t="shared" si="585"/>
        <v xml:space="preserve">SEM VALOR</v>
      </c>
      <c r="L3276" s="36"/>
      <c r="M3276" s="37"/>
      <c r="N3276" s="36"/>
    </row>
    <row r="3277" ht="25.5">
      <c r="A3277" s="19" t="s">
        <v>10460</v>
      </c>
      <c r="B3277" s="19">
        <v>43665</v>
      </c>
      <c r="C3277" s="20" t="s">
        <v>13744</v>
      </c>
      <c r="D3277" s="19" t="s">
        <v>302</v>
      </c>
      <c r="E3277" s="19" t="s">
        <v>10459</v>
      </c>
      <c r="F3277" s="21" t="str">
        <f t="shared" si="584"/>
        <v>VERIFICAR</v>
      </c>
      <c r="G3277" s="21" t="str">
        <f t="shared" si="584"/>
        <v>VERIFICAR</v>
      </c>
      <c r="H3277" s="21" t="str">
        <f t="shared" si="584"/>
        <v>VERIFICAR</v>
      </c>
      <c r="I3277" s="24" t="str">
        <f t="shared" si="585"/>
        <v xml:space="preserve">SEM VALOR</v>
      </c>
      <c r="L3277" s="36"/>
      <c r="M3277" s="37"/>
      <c r="N3277" s="36"/>
    </row>
    <row r="3278" ht="25.5">
      <c r="A3278" s="19" t="s">
        <v>10460</v>
      </c>
      <c r="B3278" s="19">
        <v>10966</v>
      </c>
      <c r="C3278" s="20" t="s">
        <v>13745</v>
      </c>
      <c r="D3278" s="19" t="s">
        <v>302</v>
      </c>
      <c r="E3278" s="19" t="s">
        <v>10459</v>
      </c>
      <c r="F3278" s="21" t="str">
        <f t="shared" si="584"/>
        <v>VERIFICAR</v>
      </c>
      <c r="G3278" s="21" t="str">
        <f t="shared" si="584"/>
        <v>VERIFICAR</v>
      </c>
      <c r="H3278" s="21" t="str">
        <f t="shared" si="584"/>
        <v>VERIFICAR</v>
      </c>
      <c r="I3278" s="24" t="str">
        <f t="shared" si="585"/>
        <v xml:space="preserve">SEM VALOR</v>
      </c>
      <c r="L3278" s="36"/>
      <c r="M3278" s="37"/>
      <c r="N3278" s="36"/>
    </row>
    <row r="3279" ht="38.25">
      <c r="A3279" s="19" t="s">
        <v>10460</v>
      </c>
      <c r="B3279" s="19">
        <v>39427</v>
      </c>
      <c r="C3279" s="20" t="s">
        <v>13746</v>
      </c>
      <c r="D3279" s="19" t="s">
        <v>38</v>
      </c>
      <c r="E3279" s="19" t="s">
        <v>10459</v>
      </c>
      <c r="F3279" s="21">
        <f t="shared" si="584"/>
        <v>4.5300000000000002</v>
      </c>
      <c r="G3279" s="21">
        <f t="shared" si="584"/>
        <v>4.5300000000000002</v>
      </c>
      <c r="H3279" s="21">
        <f t="shared" si="584"/>
        <v>4.5300000000000002</v>
      </c>
      <c r="I3279" s="24" t="str">
        <f t="shared" si="585"/>
        <v xml:space="preserve">COM VALOR</v>
      </c>
      <c r="L3279" s="36">
        <v>4.5300000000000002</v>
      </c>
      <c r="M3279" s="37">
        <v>4.5300000000000002</v>
      </c>
      <c r="N3279" s="36">
        <v>4.5300000000000002</v>
      </c>
    </row>
    <row r="3280" ht="25.5">
      <c r="A3280" s="19" t="s">
        <v>10460</v>
      </c>
      <c r="B3280" s="19">
        <v>39424</v>
      </c>
      <c r="C3280" s="20" t="s">
        <v>13747</v>
      </c>
      <c r="D3280" s="19" t="s">
        <v>38</v>
      </c>
      <c r="E3280" s="19" t="s">
        <v>10459</v>
      </c>
      <c r="F3280" s="21">
        <f t="shared" si="584"/>
        <v>2.6899999999999999</v>
      </c>
      <c r="G3280" s="21">
        <f t="shared" si="584"/>
        <v>2.6899999999999999</v>
      </c>
      <c r="H3280" s="21">
        <f t="shared" si="584"/>
        <v>2.6899999999999999</v>
      </c>
      <c r="I3280" s="24" t="str">
        <f t="shared" si="585"/>
        <v xml:space="preserve">COM VALOR</v>
      </c>
      <c r="L3280" s="36">
        <v>2.6899999999999999</v>
      </c>
      <c r="M3280" s="37">
        <v>2.6899999999999999</v>
      </c>
      <c r="N3280" s="36">
        <v>2.6899999999999999</v>
      </c>
    </row>
    <row r="3281" ht="25.5">
      <c r="A3281" s="19" t="s">
        <v>10460</v>
      </c>
      <c r="B3281" s="19">
        <v>39425</v>
      </c>
      <c r="C3281" s="20" t="s">
        <v>13748</v>
      </c>
      <c r="D3281" s="19" t="s">
        <v>38</v>
      </c>
      <c r="E3281" s="19" t="s">
        <v>10459</v>
      </c>
      <c r="F3281" s="21">
        <f t="shared" si="584"/>
        <v>2.6600000000000001</v>
      </c>
      <c r="G3281" s="21">
        <f t="shared" si="584"/>
        <v>2.6600000000000001</v>
      </c>
      <c r="H3281" s="21">
        <f t="shared" si="584"/>
        <v>2.6600000000000001</v>
      </c>
      <c r="I3281" s="24" t="str">
        <f t="shared" si="585"/>
        <v xml:space="preserve">COM VALOR</v>
      </c>
      <c r="L3281" s="36">
        <v>2.6600000000000001</v>
      </c>
      <c r="M3281" s="37">
        <v>2.6600000000000001</v>
      </c>
      <c r="N3281" s="36">
        <v>2.6600000000000001</v>
      </c>
    </row>
    <row r="3282" ht="25.5">
      <c r="A3282" s="19" t="s">
        <v>10460</v>
      </c>
      <c r="B3282" s="19">
        <v>40664</v>
      </c>
      <c r="C3282" s="20" t="s">
        <v>13749</v>
      </c>
      <c r="D3282" s="19" t="s">
        <v>302</v>
      </c>
      <c r="E3282" s="19" t="s">
        <v>10459</v>
      </c>
      <c r="F3282" s="21" t="str">
        <f t="shared" si="584"/>
        <v>VERIFICAR</v>
      </c>
      <c r="G3282" s="21" t="str">
        <f t="shared" si="584"/>
        <v>VERIFICAR</v>
      </c>
      <c r="H3282" s="21" t="str">
        <f t="shared" si="584"/>
        <v>VERIFICAR</v>
      </c>
      <c r="I3282" s="24" t="str">
        <f t="shared" si="585"/>
        <v xml:space="preserve">SEM VALOR</v>
      </c>
      <c r="L3282" s="36"/>
      <c r="M3282" s="37"/>
      <c r="N3282" s="36"/>
    </row>
    <row r="3283" ht="12.75">
      <c r="A3283" s="19" t="s">
        <v>10460</v>
      </c>
      <c r="B3283" s="19">
        <v>34360</v>
      </c>
      <c r="C3283" s="20" t="s">
        <v>13750</v>
      </c>
      <c r="D3283" s="19" t="s">
        <v>302</v>
      </c>
      <c r="E3283" s="19" t="s">
        <v>10459</v>
      </c>
      <c r="F3283" s="21">
        <f t="shared" si="584"/>
        <v>74.280000000000001</v>
      </c>
      <c r="G3283" s="21">
        <f t="shared" si="584"/>
        <v>74.280000000000001</v>
      </c>
      <c r="H3283" s="21">
        <f t="shared" si="584"/>
        <v>74.280000000000001</v>
      </c>
      <c r="I3283" s="24" t="str">
        <f t="shared" si="585"/>
        <v xml:space="preserve">COM VALOR</v>
      </c>
      <c r="L3283" s="36">
        <v>74.280000000000001</v>
      </c>
      <c r="M3283" s="37">
        <v>74.280000000000001</v>
      </c>
      <c r="N3283" s="36">
        <v>74.280000000000001</v>
      </c>
    </row>
    <row r="3284" ht="25.5">
      <c r="A3284" s="19" t="s">
        <v>10460</v>
      </c>
      <c r="B3284" s="19">
        <v>20259</v>
      </c>
      <c r="C3284" s="20" t="s">
        <v>13751</v>
      </c>
      <c r="D3284" s="19" t="s">
        <v>38</v>
      </c>
      <c r="E3284" s="19" t="s">
        <v>10459</v>
      </c>
      <c r="F3284" s="21" t="str">
        <f t="shared" si="584"/>
        <v>VERIFICAR</v>
      </c>
      <c r="G3284" s="21" t="str">
        <f t="shared" si="584"/>
        <v>VERIFICAR</v>
      </c>
      <c r="H3284" s="21" t="str">
        <f t="shared" si="584"/>
        <v>VERIFICAR</v>
      </c>
      <c r="I3284" s="24" t="str">
        <f t="shared" si="585"/>
        <v xml:space="preserve">SEM VALOR</v>
      </c>
      <c r="L3284" s="36"/>
      <c r="M3284" s="37"/>
      <c r="N3284" s="36"/>
    </row>
    <row r="3285" ht="38.25">
      <c r="A3285" s="19" t="s">
        <v>10460</v>
      </c>
      <c r="B3285" s="19">
        <v>14077</v>
      </c>
      <c r="C3285" s="20" t="s">
        <v>13752</v>
      </c>
      <c r="D3285" s="19" t="s">
        <v>38</v>
      </c>
      <c r="E3285" s="19" t="s">
        <v>10459</v>
      </c>
      <c r="F3285" s="21" t="str">
        <f t="shared" si="584"/>
        <v>VERIFICAR</v>
      </c>
      <c r="G3285" s="21" t="str">
        <f t="shared" si="584"/>
        <v>VERIFICAR</v>
      </c>
      <c r="H3285" s="21" t="str">
        <f t="shared" si="584"/>
        <v>VERIFICAR</v>
      </c>
      <c r="I3285" s="24" t="str">
        <f t="shared" si="585"/>
        <v xml:space="preserve">SEM VALOR</v>
      </c>
      <c r="L3285" s="36"/>
      <c r="M3285" s="37"/>
      <c r="N3285" s="36"/>
    </row>
    <row r="3286" ht="38.25">
      <c r="A3286" s="19" t="s">
        <v>10460</v>
      </c>
      <c r="B3286" s="19">
        <v>3678</v>
      </c>
      <c r="C3286" s="20" t="s">
        <v>13753</v>
      </c>
      <c r="D3286" s="19" t="s">
        <v>38</v>
      </c>
      <c r="E3286" s="19" t="s">
        <v>10459</v>
      </c>
      <c r="F3286" s="21" t="str">
        <f t="shared" si="584"/>
        <v>VERIFICAR</v>
      </c>
      <c r="G3286" s="21" t="str">
        <f t="shared" si="584"/>
        <v>VERIFICAR</v>
      </c>
      <c r="H3286" s="21" t="str">
        <f t="shared" si="584"/>
        <v>VERIFICAR</v>
      </c>
      <c r="I3286" s="24" t="str">
        <f t="shared" si="585"/>
        <v xml:space="preserve">SEM VALOR</v>
      </c>
      <c r="L3286" s="36"/>
      <c r="M3286" s="37"/>
      <c r="N3286" s="36"/>
    </row>
    <row r="3287" ht="38.25">
      <c r="A3287" s="19" t="s">
        <v>10460</v>
      </c>
      <c r="B3287" s="19">
        <v>11552</v>
      </c>
      <c r="C3287" s="20" t="s">
        <v>13754</v>
      </c>
      <c r="D3287" s="19" t="s">
        <v>38</v>
      </c>
      <c r="E3287" s="19" t="s">
        <v>10459</v>
      </c>
      <c r="F3287" s="21">
        <f t="shared" si="584"/>
        <v>8.7100000000000009</v>
      </c>
      <c r="G3287" s="21">
        <f t="shared" si="584"/>
        <v>8.7100000000000009</v>
      </c>
      <c r="H3287" s="21">
        <f t="shared" si="584"/>
        <v>8.7100000000000009</v>
      </c>
      <c r="I3287" s="24" t="str">
        <f t="shared" si="585"/>
        <v xml:space="preserve">COM VALOR</v>
      </c>
      <c r="L3287" s="36">
        <v>8.7100000000000009</v>
      </c>
      <c r="M3287" s="37">
        <v>8.7100000000000009</v>
      </c>
      <c r="N3287" s="36">
        <v>8.7100000000000009</v>
      </c>
    </row>
    <row r="3288" ht="38.25">
      <c r="A3288" s="19" t="s">
        <v>10460</v>
      </c>
      <c r="B3288" s="19">
        <v>585</v>
      </c>
      <c r="C3288" s="20" t="s">
        <v>13755</v>
      </c>
      <c r="D3288" s="19" t="s">
        <v>302</v>
      </c>
      <c r="E3288" s="19" t="s">
        <v>10459</v>
      </c>
      <c r="F3288" s="21">
        <f t="shared" si="584"/>
        <v>59.420000000000002</v>
      </c>
      <c r="G3288" s="21">
        <f t="shared" si="584"/>
        <v>59.420000000000002</v>
      </c>
      <c r="H3288" s="21">
        <f t="shared" si="584"/>
        <v>59.420000000000002</v>
      </c>
      <c r="I3288" s="24" t="str">
        <f t="shared" si="585"/>
        <v xml:space="preserve">COM VALOR</v>
      </c>
      <c r="L3288" s="36">
        <v>59.420000000000002</v>
      </c>
      <c r="M3288" s="37">
        <v>59.420000000000002</v>
      </c>
      <c r="N3288" s="36">
        <v>59.420000000000002</v>
      </c>
    </row>
    <row r="3289" ht="38.25">
      <c r="A3289" s="19" t="s">
        <v>10460</v>
      </c>
      <c r="B3289" s="19">
        <v>39418</v>
      </c>
      <c r="C3289" s="20" t="s">
        <v>13756</v>
      </c>
      <c r="D3289" s="19" t="s">
        <v>38</v>
      </c>
      <c r="E3289" s="19" t="s">
        <v>10459</v>
      </c>
      <c r="F3289" s="21">
        <f t="shared" si="584"/>
        <v>5.0499999999999998</v>
      </c>
      <c r="G3289" s="21">
        <f t="shared" si="584"/>
        <v>5.0499999999999998</v>
      </c>
      <c r="H3289" s="21">
        <f t="shared" si="584"/>
        <v>5.0499999999999998</v>
      </c>
      <c r="I3289" s="24" t="str">
        <f t="shared" si="585"/>
        <v xml:space="preserve">COM VALOR</v>
      </c>
      <c r="L3289" s="36">
        <v>5.0499999999999998</v>
      </c>
      <c r="M3289" s="37">
        <v>5.0499999999999998</v>
      </c>
      <c r="N3289" s="36">
        <v>5.0499999999999998</v>
      </c>
    </row>
    <row r="3290" ht="38.25">
      <c r="A3290" s="19" t="s">
        <v>10460</v>
      </c>
      <c r="B3290" s="19">
        <v>39419</v>
      </c>
      <c r="C3290" s="20" t="s">
        <v>13757</v>
      </c>
      <c r="D3290" s="19" t="s">
        <v>38</v>
      </c>
      <c r="E3290" s="19" t="s">
        <v>10459</v>
      </c>
      <c r="F3290" s="21">
        <f t="shared" si="584"/>
        <v>6.1600000000000001</v>
      </c>
      <c r="G3290" s="21">
        <f t="shared" si="584"/>
        <v>6.1600000000000001</v>
      </c>
      <c r="H3290" s="21">
        <f t="shared" si="584"/>
        <v>6.1600000000000001</v>
      </c>
      <c r="I3290" s="24" t="str">
        <f t="shared" si="585"/>
        <v xml:space="preserve">COM VALOR</v>
      </c>
      <c r="L3290" s="36">
        <v>6.1600000000000001</v>
      </c>
      <c r="M3290" s="37">
        <v>6.1600000000000001</v>
      </c>
      <c r="N3290" s="36">
        <v>6.1600000000000001</v>
      </c>
    </row>
    <row r="3291" ht="38.25">
      <c r="A3291" s="19" t="s">
        <v>10460</v>
      </c>
      <c r="B3291" s="19">
        <v>39420</v>
      </c>
      <c r="C3291" s="20" t="s">
        <v>13758</v>
      </c>
      <c r="D3291" s="19" t="s">
        <v>38</v>
      </c>
      <c r="E3291" s="19" t="s">
        <v>10459</v>
      </c>
      <c r="F3291" s="21">
        <f t="shared" si="584"/>
        <v>6.7999999999999998</v>
      </c>
      <c r="G3291" s="21">
        <f t="shared" si="584"/>
        <v>6.7999999999999998</v>
      </c>
      <c r="H3291" s="21">
        <f t="shared" si="584"/>
        <v>6.7999999999999998</v>
      </c>
      <c r="I3291" s="24" t="str">
        <f t="shared" si="585"/>
        <v xml:space="preserve">COM VALOR</v>
      </c>
      <c r="L3291" s="36">
        <v>6.7999999999999998</v>
      </c>
      <c r="M3291" s="37">
        <v>6.7999999999999998</v>
      </c>
      <c r="N3291" s="36">
        <v>6.7999999999999998</v>
      </c>
    </row>
    <row r="3292" ht="38.25">
      <c r="A3292" s="19" t="s">
        <v>10460</v>
      </c>
      <c r="B3292" s="19">
        <v>39571</v>
      </c>
      <c r="C3292" s="20" t="s">
        <v>13759</v>
      </c>
      <c r="D3292" s="19" t="s">
        <v>38</v>
      </c>
      <c r="E3292" s="19" t="s">
        <v>10459</v>
      </c>
      <c r="F3292" s="21">
        <f t="shared" si="584"/>
        <v>4.1100000000000003</v>
      </c>
      <c r="G3292" s="21">
        <f t="shared" si="584"/>
        <v>4.1100000000000003</v>
      </c>
      <c r="H3292" s="21">
        <f t="shared" si="584"/>
        <v>4.1100000000000003</v>
      </c>
      <c r="I3292" s="24" t="str">
        <f t="shared" si="585"/>
        <v xml:space="preserve">COM VALOR</v>
      </c>
      <c r="L3292" s="36">
        <v>4.1100000000000003</v>
      </c>
      <c r="M3292" s="37">
        <v>4.1100000000000003</v>
      </c>
      <c r="N3292" s="36">
        <v>4.1100000000000003</v>
      </c>
    </row>
    <row r="3293" ht="38.25">
      <c r="A3293" s="19" t="s">
        <v>10460</v>
      </c>
      <c r="B3293" s="19">
        <v>39421</v>
      </c>
      <c r="C3293" s="20" t="s">
        <v>13760</v>
      </c>
      <c r="D3293" s="19" t="s">
        <v>38</v>
      </c>
      <c r="E3293" s="19" t="s">
        <v>10459</v>
      </c>
      <c r="F3293" s="21">
        <f t="shared" si="584"/>
        <v>5.9800000000000004</v>
      </c>
      <c r="G3293" s="21">
        <f t="shared" si="584"/>
        <v>5.9800000000000004</v>
      </c>
      <c r="H3293" s="21">
        <f t="shared" si="584"/>
        <v>5.9800000000000004</v>
      </c>
      <c r="I3293" s="24" t="str">
        <f t="shared" si="585"/>
        <v xml:space="preserve">COM VALOR</v>
      </c>
      <c r="L3293" s="36">
        <v>5.9800000000000004</v>
      </c>
      <c r="M3293" s="37">
        <v>5.9800000000000004</v>
      </c>
      <c r="N3293" s="36">
        <v>5.9800000000000004</v>
      </c>
    </row>
    <row r="3294" ht="38.25">
      <c r="A3294" s="19" t="s">
        <v>10460</v>
      </c>
      <c r="B3294" s="19">
        <v>39422</v>
      </c>
      <c r="C3294" s="20" t="s">
        <v>13761</v>
      </c>
      <c r="D3294" s="19" t="s">
        <v>38</v>
      </c>
      <c r="E3294" s="19" t="s">
        <v>10466</v>
      </c>
      <c r="F3294" s="21">
        <f t="shared" si="584"/>
        <v>6.9900000000000002</v>
      </c>
      <c r="G3294" s="21">
        <f t="shared" si="584"/>
        <v>6.9900000000000002</v>
      </c>
      <c r="H3294" s="21">
        <f t="shared" si="584"/>
        <v>6.9900000000000002</v>
      </c>
      <c r="I3294" s="24" t="str">
        <f t="shared" si="585"/>
        <v xml:space="preserve">COM VALOR</v>
      </c>
      <c r="L3294" s="36">
        <v>6.9900000000000002</v>
      </c>
      <c r="M3294" s="37">
        <v>6.9900000000000002</v>
      </c>
      <c r="N3294" s="36">
        <v>6.9900000000000002</v>
      </c>
    </row>
    <row r="3295" ht="38.25">
      <c r="A3295" s="19" t="s">
        <v>10460</v>
      </c>
      <c r="B3295" s="19">
        <v>39423</v>
      </c>
      <c r="C3295" s="20" t="s">
        <v>13762</v>
      </c>
      <c r="D3295" s="19" t="s">
        <v>38</v>
      </c>
      <c r="E3295" s="19" t="s">
        <v>10459</v>
      </c>
      <c r="F3295" s="21">
        <f t="shared" si="584"/>
        <v>8.1099999999999994</v>
      </c>
      <c r="G3295" s="21">
        <f t="shared" si="584"/>
        <v>8.1099999999999994</v>
      </c>
      <c r="H3295" s="21">
        <f t="shared" si="584"/>
        <v>8.1099999999999994</v>
      </c>
      <c r="I3295" s="24" t="str">
        <f t="shared" si="585"/>
        <v xml:space="preserve">COM VALOR</v>
      </c>
      <c r="L3295" s="36">
        <v>8.1099999999999994</v>
      </c>
      <c r="M3295" s="37">
        <v>8.1099999999999994</v>
      </c>
      <c r="N3295" s="36">
        <v>8.1099999999999994</v>
      </c>
    </row>
    <row r="3296" ht="38.25">
      <c r="A3296" s="19" t="s">
        <v>10460</v>
      </c>
      <c r="B3296" s="19">
        <v>39426</v>
      </c>
      <c r="C3296" s="20" t="s">
        <v>13763</v>
      </c>
      <c r="D3296" s="19" t="s">
        <v>38</v>
      </c>
      <c r="E3296" s="19" t="s">
        <v>10459</v>
      </c>
      <c r="F3296" s="21">
        <f t="shared" si="584"/>
        <v>18.239999999999998</v>
      </c>
      <c r="G3296" s="21">
        <f t="shared" si="584"/>
        <v>18.239999999999998</v>
      </c>
      <c r="H3296" s="21">
        <f t="shared" si="584"/>
        <v>18.239999999999998</v>
      </c>
      <c r="I3296" s="24" t="str">
        <f t="shared" si="585"/>
        <v xml:space="preserve">COM VALOR</v>
      </c>
      <c r="L3296" s="36">
        <v>18.239999999999998</v>
      </c>
      <c r="M3296" s="37">
        <v>18.239999999999998</v>
      </c>
      <c r="N3296" s="36">
        <v>18.239999999999998</v>
      </c>
    </row>
    <row r="3297" ht="38.25">
      <c r="A3297" s="19" t="s">
        <v>10460</v>
      </c>
      <c r="B3297" s="19">
        <v>39429</v>
      </c>
      <c r="C3297" s="20" t="s">
        <v>13764</v>
      </c>
      <c r="D3297" s="19" t="s">
        <v>38</v>
      </c>
      <c r="E3297" s="19" t="s">
        <v>10459</v>
      </c>
      <c r="F3297" s="21">
        <f t="shared" si="584"/>
        <v>5.75</v>
      </c>
      <c r="G3297" s="21">
        <f t="shared" si="584"/>
        <v>5.75</v>
      </c>
      <c r="H3297" s="21">
        <f t="shared" si="584"/>
        <v>5.75</v>
      </c>
      <c r="I3297" s="24" t="str">
        <f t="shared" si="585"/>
        <v xml:space="preserve">COM VALOR</v>
      </c>
      <c r="L3297" s="36">
        <v>5.75</v>
      </c>
      <c r="M3297" s="37">
        <v>5.75</v>
      </c>
      <c r="N3297" s="36">
        <v>5.75</v>
      </c>
    </row>
    <row r="3298" ht="38.25">
      <c r="A3298" s="19" t="s">
        <v>10460</v>
      </c>
      <c r="B3298" s="19">
        <v>39428</v>
      </c>
      <c r="C3298" s="20" t="s">
        <v>13765</v>
      </c>
      <c r="D3298" s="19" t="s">
        <v>38</v>
      </c>
      <c r="E3298" s="19" t="s">
        <v>10459</v>
      </c>
      <c r="F3298" s="21">
        <f t="shared" si="584"/>
        <v>4.3899999999999997</v>
      </c>
      <c r="G3298" s="21">
        <f t="shared" si="584"/>
        <v>4.3899999999999997</v>
      </c>
      <c r="H3298" s="21">
        <f t="shared" si="584"/>
        <v>4.3899999999999997</v>
      </c>
      <c r="I3298" s="24" t="str">
        <f t="shared" si="585"/>
        <v xml:space="preserve">COM VALOR</v>
      </c>
      <c r="L3298" s="36">
        <v>4.3899999999999997</v>
      </c>
      <c r="M3298" s="37">
        <v>4.3899999999999997</v>
      </c>
      <c r="N3298" s="36">
        <v>4.3899999999999997</v>
      </c>
    </row>
    <row r="3299" ht="25.5">
      <c r="A3299" s="19" t="s">
        <v>10460</v>
      </c>
      <c r="B3299" s="19">
        <v>39572</v>
      </c>
      <c r="C3299" s="20" t="s">
        <v>13766</v>
      </c>
      <c r="D3299" s="19" t="s">
        <v>38</v>
      </c>
      <c r="E3299" s="19" t="s">
        <v>10459</v>
      </c>
      <c r="F3299" s="21">
        <f t="shared" si="584"/>
        <v>3.7999999999999998</v>
      </c>
      <c r="G3299" s="21">
        <f t="shared" si="584"/>
        <v>3.7999999999999998</v>
      </c>
      <c r="H3299" s="21">
        <f t="shared" si="584"/>
        <v>3.7999999999999998</v>
      </c>
      <c r="I3299" s="24" t="str">
        <f t="shared" si="585"/>
        <v xml:space="preserve">COM VALOR</v>
      </c>
      <c r="L3299" s="36">
        <v>3.7999999999999998</v>
      </c>
      <c r="M3299" s="37">
        <v>3.7999999999999998</v>
      </c>
      <c r="N3299" s="36">
        <v>3.7999999999999998</v>
      </c>
    </row>
    <row r="3300" ht="38.25">
      <c r="A3300" s="19" t="s">
        <v>10460</v>
      </c>
      <c r="B3300" s="19">
        <v>39570</v>
      </c>
      <c r="C3300" s="20" t="s">
        <v>13767</v>
      </c>
      <c r="D3300" s="19" t="s">
        <v>38</v>
      </c>
      <c r="E3300" s="19" t="s">
        <v>10459</v>
      </c>
      <c r="F3300" s="21">
        <f t="shared" si="584"/>
        <v>4.04</v>
      </c>
      <c r="G3300" s="21">
        <f t="shared" si="584"/>
        <v>4.04</v>
      </c>
      <c r="H3300" s="21">
        <f t="shared" si="584"/>
        <v>4.04</v>
      </c>
      <c r="I3300" s="24" t="str">
        <f t="shared" si="585"/>
        <v xml:space="preserve">COM VALOR</v>
      </c>
      <c r="L3300" s="36">
        <v>4.04</v>
      </c>
      <c r="M3300" s="37">
        <v>4.04</v>
      </c>
      <c r="N3300" s="36">
        <v>4.04</v>
      </c>
    </row>
    <row r="3301" ht="38.25">
      <c r="A3301" s="19" t="s">
        <v>10460</v>
      </c>
      <c r="B3301" s="19">
        <v>39569</v>
      </c>
      <c r="C3301" s="20" t="s">
        <v>13768</v>
      </c>
      <c r="D3301" s="19" t="s">
        <v>38</v>
      </c>
      <c r="E3301" s="19" t="s">
        <v>10459</v>
      </c>
      <c r="F3301" s="21">
        <f t="shared" si="584"/>
        <v>3.9900000000000002</v>
      </c>
      <c r="G3301" s="21">
        <f t="shared" si="584"/>
        <v>3.9900000000000002</v>
      </c>
      <c r="H3301" s="21">
        <f t="shared" si="584"/>
        <v>3.9900000000000002</v>
      </c>
      <c r="I3301" s="24" t="str">
        <f t="shared" si="585"/>
        <v xml:space="preserve">COM VALOR</v>
      </c>
      <c r="L3301" s="36">
        <v>3.9900000000000002</v>
      </c>
      <c r="M3301" s="37">
        <v>3.9900000000000002</v>
      </c>
      <c r="N3301" s="36">
        <v>3.9900000000000002</v>
      </c>
    </row>
    <row r="3302" ht="12.75">
      <c r="A3302" s="19" t="s">
        <v>10460</v>
      </c>
      <c r="B3302" s="19">
        <v>39328</v>
      </c>
      <c r="C3302" s="20" t="s">
        <v>13769</v>
      </c>
      <c r="D3302" s="19" t="s">
        <v>38</v>
      </c>
      <c r="E3302" s="19" t="s">
        <v>10459</v>
      </c>
      <c r="F3302" s="21">
        <f t="shared" si="584"/>
        <v>4.1200000000000001</v>
      </c>
      <c r="G3302" s="21">
        <f t="shared" si="584"/>
        <v>4.1200000000000001</v>
      </c>
      <c r="H3302" s="21">
        <f t="shared" si="584"/>
        <v>4.1200000000000001</v>
      </c>
      <c r="I3302" s="24" t="str">
        <f t="shared" si="585"/>
        <v xml:space="preserve">COM VALOR</v>
      </c>
      <c r="L3302" s="36">
        <v>4.1200000000000001</v>
      </c>
      <c r="M3302" s="37">
        <v>4.1200000000000001</v>
      </c>
      <c r="N3302" s="36">
        <v>4.1200000000000001</v>
      </c>
    </row>
    <row r="3303" ht="12.75">
      <c r="A3303" s="19" t="s">
        <v>10460</v>
      </c>
      <c r="B3303" s="19">
        <v>39029</v>
      </c>
      <c r="C3303" s="20" t="s">
        <v>13770</v>
      </c>
      <c r="D3303" s="19" t="s">
        <v>38</v>
      </c>
      <c r="E3303" s="19" t="s">
        <v>10459</v>
      </c>
      <c r="F3303" s="21">
        <f t="shared" si="584"/>
        <v>12.880000000000001</v>
      </c>
      <c r="G3303" s="21">
        <f t="shared" si="584"/>
        <v>12.880000000000001</v>
      </c>
      <c r="H3303" s="21">
        <f t="shared" si="584"/>
        <v>12.880000000000001</v>
      </c>
      <c r="I3303" s="24" t="str">
        <f t="shared" si="585"/>
        <v xml:space="preserve">COM VALOR</v>
      </c>
      <c r="L3303" s="36">
        <v>12.880000000000001</v>
      </c>
      <c r="M3303" s="37">
        <v>12.880000000000001</v>
      </c>
      <c r="N3303" s="36">
        <v>12.880000000000001</v>
      </c>
    </row>
    <row r="3304" ht="12.75">
      <c r="A3304" s="19" t="s">
        <v>10460</v>
      </c>
      <c r="B3304" s="19">
        <v>39028</v>
      </c>
      <c r="C3304" s="20" t="s">
        <v>13771</v>
      </c>
      <c r="D3304" s="19" t="s">
        <v>38</v>
      </c>
      <c r="E3304" s="19" t="s">
        <v>10459</v>
      </c>
      <c r="F3304" s="21">
        <f t="shared" si="584"/>
        <v>7.5</v>
      </c>
      <c r="G3304" s="21">
        <f t="shared" si="584"/>
        <v>7.5</v>
      </c>
      <c r="H3304" s="21">
        <f t="shared" si="584"/>
        <v>7.5</v>
      </c>
      <c r="I3304" s="24" t="str">
        <f t="shared" si="585"/>
        <v xml:space="preserve">COM VALOR</v>
      </c>
      <c r="L3304" s="36">
        <v>7.5</v>
      </c>
      <c r="M3304" s="37">
        <v>7.5</v>
      </c>
      <c r="N3304" s="36">
        <v>7.5</v>
      </c>
    </row>
    <row r="3305" ht="51">
      <c r="A3305" s="19" t="s">
        <v>10638</v>
      </c>
      <c r="B3305" s="19">
        <v>38541</v>
      </c>
      <c r="C3305" s="20" t="s">
        <v>13772</v>
      </c>
      <c r="D3305" s="19" t="s">
        <v>31</v>
      </c>
      <c r="E3305" s="19" t="s">
        <v>10459</v>
      </c>
      <c r="F3305" s="21">
        <f t="shared" si="584"/>
        <v>4351351.3399999999</v>
      </c>
      <c r="G3305" s="21">
        <f t="shared" si="584"/>
        <v>4351351.3399999999</v>
      </c>
      <c r="H3305" s="21">
        <f t="shared" si="584"/>
        <v>4351351.3399999999</v>
      </c>
      <c r="I3305" s="24" t="str">
        <f t="shared" si="585"/>
        <v xml:space="preserve">COM VALOR</v>
      </c>
      <c r="L3305" s="36">
        <v>4351351.3399999999</v>
      </c>
      <c r="M3305" s="37">
        <v>4351351.3399999999</v>
      </c>
      <c r="N3305" s="36">
        <v>4351351.3399999999</v>
      </c>
    </row>
    <row r="3306" ht="51">
      <c r="A3306" s="19" t="s">
        <v>10638</v>
      </c>
      <c r="B3306" s="19">
        <v>38542</v>
      </c>
      <c r="C3306" s="20" t="s">
        <v>13773</v>
      </c>
      <c r="D3306" s="19" t="s">
        <v>31</v>
      </c>
      <c r="E3306" s="19" t="s">
        <v>10459</v>
      </c>
      <c r="F3306" s="21">
        <f t="shared" si="584"/>
        <v>6672072.0800000001</v>
      </c>
      <c r="G3306" s="21">
        <f t="shared" si="584"/>
        <v>6672072.0800000001</v>
      </c>
      <c r="H3306" s="21">
        <f t="shared" si="584"/>
        <v>6672072.0800000001</v>
      </c>
      <c r="I3306" s="24" t="str">
        <f t="shared" si="585"/>
        <v xml:space="preserve">COM VALOR</v>
      </c>
      <c r="L3306" s="36">
        <v>6672072.0800000001</v>
      </c>
      <c r="M3306" s="37">
        <v>6672072.0800000001</v>
      </c>
      <c r="N3306" s="36">
        <v>6672072.0800000001</v>
      </c>
    </row>
    <row r="3307" ht="38.25">
      <c r="A3307" s="19" t="s">
        <v>10638</v>
      </c>
      <c r="B3307" s="19">
        <v>45080</v>
      </c>
      <c r="C3307" s="20" t="s">
        <v>13774</v>
      </c>
      <c r="D3307" s="19" t="s">
        <v>31</v>
      </c>
      <c r="E3307" s="19" t="s">
        <v>10459</v>
      </c>
      <c r="F3307" s="21">
        <f t="shared" si="584"/>
        <v>14449.58</v>
      </c>
      <c r="G3307" s="21">
        <f t="shared" si="584"/>
        <v>14449.58</v>
      </c>
      <c r="H3307" s="21">
        <f t="shared" si="584"/>
        <v>14449.58</v>
      </c>
      <c r="I3307" s="24" t="str">
        <f t="shared" si="585"/>
        <v xml:space="preserve">COM VALOR</v>
      </c>
      <c r="L3307" s="36">
        <v>14449.58</v>
      </c>
      <c r="M3307" s="37">
        <v>14449.58</v>
      </c>
      <c r="N3307" s="36">
        <v>14449.58</v>
      </c>
    </row>
    <row r="3308" ht="63.75">
      <c r="A3308" s="19" t="s">
        <v>10638</v>
      </c>
      <c r="B3308" s="19">
        <v>38543</v>
      </c>
      <c r="C3308" s="20" t="s">
        <v>13775</v>
      </c>
      <c r="D3308" s="19" t="s">
        <v>31</v>
      </c>
      <c r="E3308" s="19" t="s">
        <v>10459</v>
      </c>
      <c r="F3308" s="21">
        <f t="shared" si="584"/>
        <v>1358594.1499999999</v>
      </c>
      <c r="G3308" s="21">
        <f t="shared" si="584"/>
        <v>1358594.1499999999</v>
      </c>
      <c r="H3308" s="21">
        <f t="shared" si="584"/>
        <v>1358594.1499999999</v>
      </c>
      <c r="I3308" s="24" t="str">
        <f t="shared" si="585"/>
        <v xml:space="preserve">COM VALOR</v>
      </c>
      <c r="L3308" s="36">
        <v>1358594.1499999999</v>
      </c>
      <c r="M3308" s="37">
        <v>1358594.1499999999</v>
      </c>
      <c r="N3308" s="36">
        <v>1358594.1499999999</v>
      </c>
    </row>
    <row r="3309" ht="38.25">
      <c r="A3309" s="19" t="s">
        <v>10638</v>
      </c>
      <c r="B3309" s="19">
        <v>44002</v>
      </c>
      <c r="C3309" s="20" t="s">
        <v>13776</v>
      </c>
      <c r="D3309" s="19" t="s">
        <v>31</v>
      </c>
      <c r="E3309" s="19" t="s">
        <v>10459</v>
      </c>
      <c r="F3309" s="21">
        <f t="shared" si="584"/>
        <v>6345914.0899999999</v>
      </c>
      <c r="G3309" s="21">
        <f t="shared" si="584"/>
        <v>6345914.0899999999</v>
      </c>
      <c r="H3309" s="21">
        <f t="shared" si="584"/>
        <v>6345914.0899999999</v>
      </c>
      <c r="I3309" s="24" t="str">
        <f t="shared" si="585"/>
        <v xml:space="preserve">COM VALOR</v>
      </c>
      <c r="L3309" s="36">
        <v>6345914.0899999999</v>
      </c>
      <c r="M3309" s="37">
        <v>6345914.0899999999</v>
      </c>
      <c r="N3309" s="36">
        <v>6345914.0899999999</v>
      </c>
    </row>
    <row r="3310" ht="38.25">
      <c r="A3310" s="19" t="s">
        <v>10638</v>
      </c>
      <c r="B3310" s="19">
        <v>43886</v>
      </c>
      <c r="C3310" s="20" t="s">
        <v>13777</v>
      </c>
      <c r="D3310" s="19" t="s">
        <v>31</v>
      </c>
      <c r="E3310" s="19" t="s">
        <v>10459</v>
      </c>
      <c r="F3310" s="21">
        <f t="shared" si="584"/>
        <v>3079792.6600000001</v>
      </c>
      <c r="G3310" s="21">
        <f t="shared" si="584"/>
        <v>3079792.6600000001</v>
      </c>
      <c r="H3310" s="21">
        <f t="shared" si="584"/>
        <v>3079792.6600000001</v>
      </c>
      <c r="I3310" s="24" t="str">
        <f t="shared" si="585"/>
        <v xml:space="preserve">COM VALOR</v>
      </c>
      <c r="L3310" s="36">
        <v>3079792.6600000001</v>
      </c>
      <c r="M3310" s="37">
        <v>3079792.6600000001</v>
      </c>
      <c r="N3310" s="36">
        <v>3079792.6600000001</v>
      </c>
    </row>
    <row r="3311" ht="38.25">
      <c r="A3311" s="19" t="s">
        <v>10638</v>
      </c>
      <c r="B3311" s="19">
        <v>40791</v>
      </c>
      <c r="C3311" s="20" t="s">
        <v>13778</v>
      </c>
      <c r="D3311" s="19" t="s">
        <v>31</v>
      </c>
      <c r="E3311" s="19" t="s">
        <v>10459</v>
      </c>
      <c r="F3311" s="21">
        <f t="shared" si="584"/>
        <v>50596.339999999997</v>
      </c>
      <c r="G3311" s="21">
        <f t="shared" si="584"/>
        <v>50596.339999999997</v>
      </c>
      <c r="H3311" s="21">
        <f t="shared" si="584"/>
        <v>50596.339999999997</v>
      </c>
      <c r="I3311" s="24" t="str">
        <f t="shared" si="585"/>
        <v xml:space="preserve">COM VALOR</v>
      </c>
      <c r="L3311" s="36">
        <v>50596.339999999997</v>
      </c>
      <c r="M3311" s="37">
        <v>50596.339999999997</v>
      </c>
      <c r="N3311" s="36">
        <v>50596.339999999997</v>
      </c>
    </row>
    <row r="3312" ht="38.25">
      <c r="A3312" s="19" t="s">
        <v>10638</v>
      </c>
      <c r="B3312" s="19">
        <v>44003</v>
      </c>
      <c r="C3312" s="20" t="s">
        <v>13779</v>
      </c>
      <c r="D3312" s="19" t="s">
        <v>31</v>
      </c>
      <c r="E3312" s="19" t="s">
        <v>10459</v>
      </c>
      <c r="F3312" s="21">
        <f t="shared" si="584"/>
        <v>8818738.7699999996</v>
      </c>
      <c r="G3312" s="21">
        <f t="shared" si="584"/>
        <v>8818738.7699999996</v>
      </c>
      <c r="H3312" s="21">
        <f t="shared" si="584"/>
        <v>8818738.7699999996</v>
      </c>
      <c r="I3312" s="24" t="str">
        <f t="shared" si="585"/>
        <v xml:space="preserve">COM VALOR</v>
      </c>
      <c r="L3312" s="36">
        <v>8818738.7699999996</v>
      </c>
      <c r="M3312" s="37">
        <v>8818738.7699999996</v>
      </c>
      <c r="N3312" s="36">
        <v>8818738.7699999996</v>
      </c>
    </row>
    <row r="3313" ht="38.25">
      <c r="A3313" s="19" t="s">
        <v>10638</v>
      </c>
      <c r="B3313" s="19">
        <v>44548</v>
      </c>
      <c r="C3313" s="20" t="s">
        <v>13780</v>
      </c>
      <c r="D3313" s="19" t="s">
        <v>31</v>
      </c>
      <c r="E3313" s="19" t="s">
        <v>10459</v>
      </c>
      <c r="F3313" s="21">
        <f t="shared" si="584"/>
        <v>2696977.25</v>
      </c>
      <c r="G3313" s="21">
        <f t="shared" si="584"/>
        <v>2696977.25</v>
      </c>
      <c r="H3313" s="21">
        <f t="shared" si="584"/>
        <v>2696977.25</v>
      </c>
      <c r="I3313" s="24" t="str">
        <f t="shared" si="585"/>
        <v xml:space="preserve">COM VALOR</v>
      </c>
      <c r="L3313" s="36">
        <v>2696977.25</v>
      </c>
      <c r="M3313" s="37">
        <v>2696977.25</v>
      </c>
      <c r="N3313" s="36">
        <v>2696977.25</v>
      </c>
    </row>
    <row r="3314" ht="51">
      <c r="A3314" s="19" t="s">
        <v>10638</v>
      </c>
      <c r="B3314" s="19">
        <v>44550</v>
      </c>
      <c r="C3314" s="20" t="s">
        <v>13781</v>
      </c>
      <c r="D3314" s="19" t="s">
        <v>31</v>
      </c>
      <c r="E3314" s="19" t="s">
        <v>10459</v>
      </c>
      <c r="F3314" s="21">
        <f t="shared" si="584"/>
        <v>8461347.75</v>
      </c>
      <c r="G3314" s="21">
        <f t="shared" si="584"/>
        <v>8461347.75</v>
      </c>
      <c r="H3314" s="21">
        <f t="shared" si="584"/>
        <v>8461347.75</v>
      </c>
      <c r="I3314" s="24" t="str">
        <f t="shared" si="585"/>
        <v xml:space="preserve">COM VALOR</v>
      </c>
      <c r="L3314" s="36">
        <v>8461347.75</v>
      </c>
      <c r="M3314" s="37">
        <v>8461347.75</v>
      </c>
      <c r="N3314" s="36">
        <v>8461347.75</v>
      </c>
    </row>
    <row r="3315" ht="51">
      <c r="A3315" s="19" t="s">
        <v>10638</v>
      </c>
      <c r="B3315" s="19">
        <v>44549</v>
      </c>
      <c r="C3315" s="20" t="s">
        <v>13782</v>
      </c>
      <c r="D3315" s="19" t="s">
        <v>31</v>
      </c>
      <c r="E3315" s="19" t="s">
        <v>10459</v>
      </c>
      <c r="F3315" s="21">
        <f t="shared" si="584"/>
        <v>6187360.5700000003</v>
      </c>
      <c r="G3315" s="21">
        <f t="shared" si="584"/>
        <v>6187360.5700000003</v>
      </c>
      <c r="H3315" s="21">
        <f t="shared" si="584"/>
        <v>6187360.5700000003</v>
      </c>
      <c r="I3315" s="24" t="str">
        <f t="shared" si="585"/>
        <v xml:space="preserve">COM VALOR</v>
      </c>
      <c r="L3315" s="36">
        <v>6187360.5700000003</v>
      </c>
      <c r="M3315" s="37">
        <v>6187360.5700000003</v>
      </c>
      <c r="N3315" s="36">
        <v>6187360.5700000003</v>
      </c>
    </row>
    <row r="3316" ht="25.5">
      <c r="A3316" s="19" t="s">
        <v>10638</v>
      </c>
      <c r="B3316" s="19">
        <v>41982</v>
      </c>
      <c r="C3316" s="20" t="s">
        <v>13783</v>
      </c>
      <c r="D3316" s="19" t="s">
        <v>31</v>
      </c>
      <c r="E3316" s="19" t="s">
        <v>10459</v>
      </c>
      <c r="F3316" s="21">
        <f t="shared" si="584"/>
        <v>1643843.8100000001</v>
      </c>
      <c r="G3316" s="21">
        <f t="shared" si="584"/>
        <v>1643843.8100000001</v>
      </c>
      <c r="H3316" s="21">
        <f t="shared" si="584"/>
        <v>1643843.8100000001</v>
      </c>
      <c r="I3316" s="24" t="str">
        <f t="shared" si="585"/>
        <v xml:space="preserve">COM VALOR</v>
      </c>
      <c r="L3316" s="36">
        <v>1643843.8100000001</v>
      </c>
      <c r="M3316" s="37">
        <v>1643843.8100000001</v>
      </c>
      <c r="N3316" s="36">
        <v>1643843.8100000001</v>
      </c>
    </row>
    <row r="3317" ht="25.5">
      <c r="A3317" s="19" t="s">
        <v>10638</v>
      </c>
      <c r="B3317" s="19">
        <v>39012</v>
      </c>
      <c r="C3317" s="20" t="s">
        <v>13784</v>
      </c>
      <c r="D3317" s="19" t="s">
        <v>31</v>
      </c>
      <c r="E3317" s="19" t="s">
        <v>10459</v>
      </c>
      <c r="F3317" s="21">
        <f t="shared" si="584"/>
        <v>964549.55000000005</v>
      </c>
      <c r="G3317" s="21">
        <f t="shared" si="584"/>
        <v>964549.55000000005</v>
      </c>
      <c r="H3317" s="21">
        <f t="shared" si="584"/>
        <v>964549.55000000005</v>
      </c>
      <c r="I3317" s="24" t="str">
        <f t="shared" si="585"/>
        <v xml:space="preserve">COM VALOR</v>
      </c>
      <c r="L3317" s="36">
        <v>964549.55000000005</v>
      </c>
      <c r="M3317" s="37">
        <v>964549.55000000005</v>
      </c>
      <c r="N3317" s="36">
        <v>964549.55000000005</v>
      </c>
    </row>
    <row r="3318" ht="25.5">
      <c r="A3318" s="19" t="s">
        <v>10638</v>
      </c>
      <c r="B3318" s="19">
        <v>40435</v>
      </c>
      <c r="C3318" s="20" t="s">
        <v>13785</v>
      </c>
      <c r="D3318" s="19" t="s">
        <v>31</v>
      </c>
      <c r="E3318" s="19" t="s">
        <v>10459</v>
      </c>
      <c r="F3318" s="21">
        <f t="shared" si="584"/>
        <v>973983.26000000001</v>
      </c>
      <c r="G3318" s="21">
        <f t="shared" si="584"/>
        <v>973983.26000000001</v>
      </c>
      <c r="H3318" s="21">
        <f t="shared" si="584"/>
        <v>973983.26000000001</v>
      </c>
      <c r="I3318" s="24" t="str">
        <f t="shared" si="585"/>
        <v xml:space="preserve">COM VALOR</v>
      </c>
      <c r="L3318" s="36">
        <v>973983.26000000001</v>
      </c>
      <c r="M3318" s="37">
        <v>973983.26000000001</v>
      </c>
      <c r="N3318" s="36">
        <v>973983.26000000001</v>
      </c>
    </row>
    <row r="3319" ht="12.75">
      <c r="A3319" s="19" t="s">
        <v>10460</v>
      </c>
      <c r="B3319" s="19">
        <v>45265</v>
      </c>
      <c r="C3319" s="20" t="s">
        <v>13786</v>
      </c>
      <c r="D3319" s="19" t="s">
        <v>10874</v>
      </c>
      <c r="E3319" s="19" t="s">
        <v>10459</v>
      </c>
      <c r="F3319" s="21">
        <f t="shared" si="584"/>
        <v>34.439999999999998</v>
      </c>
      <c r="G3319" s="21">
        <f t="shared" si="584"/>
        <v>34.439999999999998</v>
      </c>
      <c r="H3319" s="21">
        <f t="shared" si="584"/>
        <v>34.439999999999998</v>
      </c>
      <c r="I3319" s="24" t="str">
        <f t="shared" si="585"/>
        <v xml:space="preserve">COM VALOR</v>
      </c>
      <c r="L3319" s="36">
        <v>34.439999999999998</v>
      </c>
      <c r="M3319" s="37">
        <v>34.439999999999998</v>
      </c>
      <c r="N3319" s="36">
        <v>34.439999999999998</v>
      </c>
    </row>
    <row r="3320" ht="25.5">
      <c r="A3320" s="19" t="s">
        <v>10638</v>
      </c>
      <c r="B3320" s="19">
        <v>13617</v>
      </c>
      <c r="C3320" s="20" t="s">
        <v>13787</v>
      </c>
      <c r="D3320" s="19" t="s">
        <v>31</v>
      </c>
      <c r="E3320" s="19" t="s">
        <v>10459</v>
      </c>
      <c r="F3320" s="21">
        <f t="shared" si="584"/>
        <v>101786.85000000001</v>
      </c>
      <c r="G3320" s="21">
        <f t="shared" si="584"/>
        <v>101786.85000000001</v>
      </c>
      <c r="H3320" s="21">
        <f t="shared" si="584"/>
        <v>101786.85000000001</v>
      </c>
      <c r="I3320" s="24" t="str">
        <f t="shared" si="585"/>
        <v xml:space="preserve">COM VALOR</v>
      </c>
      <c r="L3320" s="36">
        <v>101786.85000000001</v>
      </c>
      <c r="M3320" s="37">
        <v>101786.85000000001</v>
      </c>
      <c r="N3320" s="36">
        <v>101786.85000000001</v>
      </c>
    </row>
    <row r="3321" ht="38.25">
      <c r="A3321" s="19" t="s">
        <v>10460</v>
      </c>
      <c r="B3321" s="19">
        <v>35274</v>
      </c>
      <c r="C3321" s="20" t="s">
        <v>13788</v>
      </c>
      <c r="D3321" s="19" t="s">
        <v>38</v>
      </c>
      <c r="E3321" s="19" t="s">
        <v>10459</v>
      </c>
      <c r="F3321" s="21">
        <f t="shared" si="584"/>
        <v>56.329999999999998</v>
      </c>
      <c r="G3321" s="21">
        <f t="shared" si="584"/>
        <v>56.329999999999998</v>
      </c>
      <c r="H3321" s="21">
        <f t="shared" si="584"/>
        <v>56.329999999999998</v>
      </c>
      <c r="I3321" s="24" t="str">
        <f t="shared" si="585"/>
        <v xml:space="preserve">COM VALOR</v>
      </c>
      <c r="L3321" s="36">
        <v>56.329999999999998</v>
      </c>
      <c r="M3321" s="37">
        <v>56.329999999999998</v>
      </c>
      <c r="N3321" s="36">
        <v>56.329999999999998</v>
      </c>
    </row>
    <row r="3322" ht="38.25">
      <c r="A3322" s="19" t="s">
        <v>10460</v>
      </c>
      <c r="B3322" s="19">
        <v>35275</v>
      </c>
      <c r="C3322" s="20" t="s">
        <v>13789</v>
      </c>
      <c r="D3322" s="19" t="s">
        <v>38</v>
      </c>
      <c r="E3322" s="19" t="s">
        <v>10459</v>
      </c>
      <c r="F3322" s="21">
        <f t="shared" si="584"/>
        <v>119.56</v>
      </c>
      <c r="G3322" s="21">
        <f t="shared" si="584"/>
        <v>119.56</v>
      </c>
      <c r="H3322" s="21">
        <f t="shared" si="584"/>
        <v>119.56</v>
      </c>
      <c r="I3322" s="24" t="str">
        <f t="shared" si="585"/>
        <v xml:space="preserve">COM VALOR</v>
      </c>
      <c r="L3322" s="36">
        <v>119.56</v>
      </c>
      <c r="M3322" s="37">
        <v>119.56</v>
      </c>
      <c r="N3322" s="36">
        <v>119.56</v>
      </c>
    </row>
    <row r="3323" ht="38.25">
      <c r="A3323" s="19" t="s">
        <v>10460</v>
      </c>
      <c r="B3323" s="19">
        <v>35276</v>
      </c>
      <c r="C3323" s="20" t="s">
        <v>13790</v>
      </c>
      <c r="D3323" s="19" t="s">
        <v>38</v>
      </c>
      <c r="E3323" s="19" t="s">
        <v>10459</v>
      </c>
      <c r="F3323" s="21">
        <f t="shared" si="584"/>
        <v>208.03</v>
      </c>
      <c r="G3323" s="21">
        <f t="shared" si="584"/>
        <v>208.03</v>
      </c>
      <c r="H3323" s="21">
        <f t="shared" si="584"/>
        <v>208.03</v>
      </c>
      <c r="I3323" s="24" t="str">
        <f t="shared" si="585"/>
        <v xml:space="preserve">COM VALOR</v>
      </c>
      <c r="L3323" s="36">
        <v>208.03</v>
      </c>
      <c r="M3323" s="37">
        <v>208.03</v>
      </c>
      <c r="N3323" s="36">
        <v>208.03</v>
      </c>
    </row>
    <row r="3324" ht="25.5">
      <c r="A3324" s="19" t="s">
        <v>10460</v>
      </c>
      <c r="B3324" s="19">
        <v>11091</v>
      </c>
      <c r="C3324" s="20" t="s">
        <v>13791</v>
      </c>
      <c r="D3324" s="19" t="s">
        <v>31</v>
      </c>
      <c r="E3324" s="19" t="s">
        <v>10459</v>
      </c>
      <c r="F3324" s="21">
        <f t="shared" si="584"/>
        <v>1.1399999999999999</v>
      </c>
      <c r="G3324" s="21">
        <f t="shared" si="584"/>
        <v>1.1399999999999999</v>
      </c>
      <c r="H3324" s="21">
        <f t="shared" si="584"/>
        <v>1.1399999999999999</v>
      </c>
      <c r="I3324" s="24" t="str">
        <f t="shared" si="585"/>
        <v xml:space="preserve">COM VALOR</v>
      </c>
      <c r="L3324" s="36">
        <v>1.1399999999999999</v>
      </c>
      <c r="M3324" s="37">
        <v>1.1399999999999999</v>
      </c>
      <c r="N3324" s="36">
        <v>1.1399999999999999</v>
      </c>
    </row>
    <row r="3325" ht="25.5">
      <c r="A3325" s="19" t="s">
        <v>10460</v>
      </c>
      <c r="B3325" s="19">
        <v>37586</v>
      </c>
      <c r="C3325" s="20" t="s">
        <v>13792</v>
      </c>
      <c r="D3325" s="19" t="s">
        <v>12544</v>
      </c>
      <c r="E3325" s="19" t="s">
        <v>10459</v>
      </c>
      <c r="F3325" s="21" t="str">
        <f t="shared" si="584"/>
        <v>VERIFICAR</v>
      </c>
      <c r="G3325" s="21" t="str">
        <f t="shared" si="584"/>
        <v>VERIFICAR</v>
      </c>
      <c r="H3325" s="21" t="str">
        <f t="shared" si="584"/>
        <v>VERIFICAR</v>
      </c>
      <c r="I3325" s="24" t="str">
        <f t="shared" si="585"/>
        <v xml:space="preserve">SEM VALOR</v>
      </c>
      <c r="L3325" s="36"/>
      <c r="M3325" s="37"/>
      <c r="N3325" s="36"/>
    </row>
    <row r="3326" ht="12.75">
      <c r="A3326" s="19" t="s">
        <v>10460</v>
      </c>
      <c r="B3326" s="19">
        <v>37395</v>
      </c>
      <c r="C3326" s="20" t="s">
        <v>13793</v>
      </c>
      <c r="D3326" s="19" t="s">
        <v>12544</v>
      </c>
      <c r="E3326" s="19" t="s">
        <v>10459</v>
      </c>
      <c r="F3326" s="21" t="str">
        <f t="shared" si="584"/>
        <v>VERIFICAR</v>
      </c>
      <c r="G3326" s="21" t="str">
        <f t="shared" si="584"/>
        <v>VERIFICAR</v>
      </c>
      <c r="H3326" s="21" t="str">
        <f t="shared" si="584"/>
        <v>VERIFICAR</v>
      </c>
      <c r="I3326" s="24" t="str">
        <f t="shared" si="585"/>
        <v xml:space="preserve">SEM VALOR</v>
      </c>
      <c r="L3326" s="36"/>
      <c r="M3326" s="37"/>
      <c r="N3326" s="36"/>
    </row>
    <row r="3327" ht="25.5">
      <c r="A3327" s="19" t="s">
        <v>10460</v>
      </c>
      <c r="B3327" s="19">
        <v>14147</v>
      </c>
      <c r="C3327" s="20" t="s">
        <v>13794</v>
      </c>
      <c r="D3327" s="19" t="s">
        <v>12544</v>
      </c>
      <c r="E3327" s="19" t="s">
        <v>10459</v>
      </c>
      <c r="F3327" s="21" t="str">
        <f t="shared" si="584"/>
        <v>VERIFICAR</v>
      </c>
      <c r="G3327" s="21" t="str">
        <f t="shared" si="584"/>
        <v>VERIFICAR</v>
      </c>
      <c r="H3327" s="21" t="str">
        <f t="shared" si="584"/>
        <v>VERIFICAR</v>
      </c>
      <c r="I3327" s="24" t="str">
        <f t="shared" si="585"/>
        <v xml:space="preserve">SEM VALOR</v>
      </c>
      <c r="L3327" s="36"/>
      <c r="M3327" s="37"/>
      <c r="N3327" s="36"/>
    </row>
    <row r="3328" ht="12.75">
      <c r="A3328" s="19" t="s">
        <v>10460</v>
      </c>
      <c r="B3328" s="19">
        <v>37396</v>
      </c>
      <c r="C3328" s="20" t="s">
        <v>13795</v>
      </c>
      <c r="D3328" s="19" t="s">
        <v>12544</v>
      </c>
      <c r="E3328" s="19" t="s">
        <v>10459</v>
      </c>
      <c r="F3328" s="21" t="str">
        <f t="shared" si="584"/>
        <v>VERIFICAR</v>
      </c>
      <c r="G3328" s="21" t="str">
        <f t="shared" si="584"/>
        <v>VERIFICAR</v>
      </c>
      <c r="H3328" s="21" t="str">
        <f t="shared" si="584"/>
        <v>VERIFICAR</v>
      </c>
      <c r="I3328" s="24" t="str">
        <f t="shared" si="585"/>
        <v xml:space="preserve">SEM VALOR</v>
      </c>
      <c r="L3328" s="36"/>
      <c r="M3328" s="37"/>
      <c r="N3328" s="36"/>
    </row>
    <row r="3329" ht="12.75">
      <c r="A3329" s="19" t="s">
        <v>10460</v>
      </c>
      <c r="B3329" s="19">
        <v>37397</v>
      </c>
      <c r="C3329" s="20" t="s">
        <v>13796</v>
      </c>
      <c r="D3329" s="19" t="s">
        <v>12544</v>
      </c>
      <c r="E3329" s="19" t="s">
        <v>10459</v>
      </c>
      <c r="F3329" s="21" t="str">
        <f t="shared" si="584"/>
        <v>VERIFICAR</v>
      </c>
      <c r="G3329" s="21" t="str">
        <f t="shared" si="584"/>
        <v>VERIFICAR</v>
      </c>
      <c r="H3329" s="21" t="str">
        <f t="shared" si="584"/>
        <v>VERIFICAR</v>
      </c>
      <c r="I3329" s="24" t="str">
        <f t="shared" si="585"/>
        <v xml:space="preserve">SEM VALOR</v>
      </c>
      <c r="L3329" s="36"/>
      <c r="M3329" s="37"/>
      <c r="N3329" s="36"/>
    </row>
    <row r="3330" ht="25.5">
      <c r="A3330" s="19" t="s">
        <v>10460</v>
      </c>
      <c r="B3330" s="19">
        <v>43606</v>
      </c>
      <c r="C3330" s="20" t="s">
        <v>13797</v>
      </c>
      <c r="D3330" s="19" t="s">
        <v>31</v>
      </c>
      <c r="E3330" s="19" t="s">
        <v>10459</v>
      </c>
      <c r="F3330" s="21">
        <f t="shared" si="584"/>
        <v>10.44</v>
      </c>
      <c r="G3330" s="21">
        <f t="shared" si="584"/>
        <v>10.44</v>
      </c>
      <c r="H3330" s="21">
        <f t="shared" si="584"/>
        <v>10.44</v>
      </c>
      <c r="I3330" s="24" t="str">
        <f t="shared" si="585"/>
        <v xml:space="preserve">COM VALOR</v>
      </c>
      <c r="L3330" s="36">
        <v>10.44</v>
      </c>
      <c r="M3330" s="37">
        <v>10.44</v>
      </c>
      <c r="N3330" s="36">
        <v>10.44</v>
      </c>
    </row>
    <row r="3331" ht="38.25">
      <c r="A3331" s="19" t="s">
        <v>10460</v>
      </c>
      <c r="B3331" s="19">
        <v>444</v>
      </c>
      <c r="C3331" s="20" t="s">
        <v>13798</v>
      </c>
      <c r="D3331" s="19" t="s">
        <v>31</v>
      </c>
      <c r="E3331" s="19" t="s">
        <v>10459</v>
      </c>
      <c r="F3331" s="21">
        <f t="shared" si="584"/>
        <v>47.25</v>
      </c>
      <c r="G3331" s="21">
        <f t="shared" si="584"/>
        <v>47.25</v>
      </c>
      <c r="H3331" s="21">
        <f t="shared" si="584"/>
        <v>47.25</v>
      </c>
      <c r="I3331" s="24" t="str">
        <f t="shared" si="585"/>
        <v xml:space="preserve">COM VALOR</v>
      </c>
      <c r="L3331" s="36">
        <v>47.25</v>
      </c>
      <c r="M3331" s="37">
        <v>47.25</v>
      </c>
      <c r="N3331" s="36">
        <v>47.25</v>
      </c>
    </row>
    <row r="3332" ht="25.5">
      <c r="A3332" s="19" t="s">
        <v>10460</v>
      </c>
      <c r="B3332" s="19">
        <v>445</v>
      </c>
      <c r="C3332" s="20" t="s">
        <v>13799</v>
      </c>
      <c r="D3332" s="19" t="s">
        <v>31</v>
      </c>
      <c r="E3332" s="19" t="s">
        <v>10459</v>
      </c>
      <c r="F3332" s="21">
        <f t="shared" si="584"/>
        <v>64.680000000000007</v>
      </c>
      <c r="G3332" s="21">
        <f t="shared" si="584"/>
        <v>64.680000000000007</v>
      </c>
      <c r="H3332" s="21">
        <f t="shared" si="584"/>
        <v>64.680000000000007</v>
      </c>
      <c r="I3332" s="24" t="str">
        <f t="shared" si="585"/>
        <v xml:space="preserve">COM VALOR</v>
      </c>
      <c r="L3332" s="36">
        <v>64.680000000000007</v>
      </c>
      <c r="M3332" s="37">
        <v>64.680000000000007</v>
      </c>
      <c r="N3332" s="36">
        <v>64.680000000000007</v>
      </c>
    </row>
    <row r="3333" ht="12.75">
      <c r="A3333" s="19" t="s">
        <v>10604</v>
      </c>
      <c r="B3333" s="19">
        <v>4783</v>
      </c>
      <c r="C3333" s="20" t="s">
        <v>13800</v>
      </c>
      <c r="D3333" s="19" t="s">
        <v>2032</v>
      </c>
      <c r="E3333" s="19" t="s">
        <v>10466</v>
      </c>
      <c r="F3333" s="21">
        <f t="shared" si="584"/>
        <v>21.260000000000002</v>
      </c>
      <c r="G3333" s="21">
        <f t="shared" si="584"/>
        <v>21.260000000000002</v>
      </c>
      <c r="H3333" s="21">
        <f t="shared" si="584"/>
        <v>21.260000000000002</v>
      </c>
      <c r="I3333" s="24" t="str">
        <f t="shared" si="585"/>
        <v xml:space="preserve">COM VALOR</v>
      </c>
      <c r="L3333" s="36">
        <v>21.260000000000002</v>
      </c>
      <c r="M3333" s="37">
        <v>21.260000000000002</v>
      </c>
      <c r="N3333" s="36">
        <v>21.260000000000002</v>
      </c>
    </row>
    <row r="3334" ht="12.75">
      <c r="A3334" s="19" t="s">
        <v>10604</v>
      </c>
      <c r="B3334" s="19">
        <v>41079</v>
      </c>
      <c r="C3334" s="20" t="s">
        <v>13801</v>
      </c>
      <c r="D3334" s="19" t="s">
        <v>7087</v>
      </c>
      <c r="E3334" s="19" t="s">
        <v>10459</v>
      </c>
      <c r="F3334" s="21">
        <f t="shared" si="584"/>
        <v>3721.6900000000001</v>
      </c>
      <c r="G3334" s="21">
        <f t="shared" si="584"/>
        <v>3721.6900000000001</v>
      </c>
      <c r="H3334" s="21">
        <f t="shared" si="584"/>
        <v>3721.6900000000001</v>
      </c>
      <c r="I3334" s="24" t="str">
        <f t="shared" si="585"/>
        <v xml:space="preserve">COM VALOR</v>
      </c>
      <c r="L3334" s="36">
        <v>3721.6900000000001</v>
      </c>
      <c r="M3334" s="37">
        <v>3721.6900000000001</v>
      </c>
      <c r="N3334" s="36">
        <v>3721.6900000000001</v>
      </c>
    </row>
    <row r="3335" ht="12.75">
      <c r="A3335" s="19" t="s">
        <v>10604</v>
      </c>
      <c r="B3335" s="19">
        <v>12874</v>
      </c>
      <c r="C3335" s="20" t="s">
        <v>13802</v>
      </c>
      <c r="D3335" s="19" t="s">
        <v>2032</v>
      </c>
      <c r="E3335" s="19" t="s">
        <v>10459</v>
      </c>
      <c r="F3335" s="21">
        <f t="shared" si="584"/>
        <v>20.640000000000001</v>
      </c>
      <c r="G3335" s="21">
        <f t="shared" si="584"/>
        <v>20.640000000000001</v>
      </c>
      <c r="H3335" s="21">
        <f t="shared" si="584"/>
        <v>20.640000000000001</v>
      </c>
      <c r="I3335" s="24" t="str">
        <f t="shared" si="585"/>
        <v xml:space="preserve">COM VALOR</v>
      </c>
      <c r="L3335" s="36">
        <v>20.640000000000001</v>
      </c>
      <c r="M3335" s="37">
        <v>20.640000000000001</v>
      </c>
      <c r="N3335" s="36">
        <v>20.640000000000001</v>
      </c>
    </row>
    <row r="3336" ht="12.75">
      <c r="A3336" s="19" t="s">
        <v>10604</v>
      </c>
      <c r="B3336" s="19">
        <v>41082</v>
      </c>
      <c r="C3336" s="20" t="s">
        <v>13803</v>
      </c>
      <c r="D3336" s="19" t="s">
        <v>7087</v>
      </c>
      <c r="E3336" s="19" t="s">
        <v>10459</v>
      </c>
      <c r="F3336" s="21">
        <f t="shared" si="584"/>
        <v>3614.0100000000002</v>
      </c>
      <c r="G3336" s="21">
        <f t="shared" si="584"/>
        <v>3614.0100000000002</v>
      </c>
      <c r="H3336" s="21">
        <f t="shared" si="584"/>
        <v>3614.0100000000002</v>
      </c>
      <c r="I3336" s="24" t="str">
        <f t="shared" si="585"/>
        <v xml:space="preserve">COM VALOR</v>
      </c>
      <c r="L3336" s="36">
        <v>3614.0100000000002</v>
      </c>
      <c r="M3336" s="37">
        <v>3614.0100000000002</v>
      </c>
      <c r="N3336" s="36">
        <v>3614.0100000000002</v>
      </c>
    </row>
    <row r="3337" ht="12.75">
      <c r="A3337" s="19" t="s">
        <v>10604</v>
      </c>
      <c r="B3337" s="19">
        <v>4785</v>
      </c>
      <c r="C3337" s="20" t="s">
        <v>13804</v>
      </c>
      <c r="D3337" s="19" t="s">
        <v>2032</v>
      </c>
      <c r="E3337" s="19" t="s">
        <v>10459</v>
      </c>
      <c r="F3337" s="21">
        <f t="shared" si="584"/>
        <v>21.260000000000002</v>
      </c>
      <c r="G3337" s="21">
        <f t="shared" si="584"/>
        <v>21.260000000000002</v>
      </c>
      <c r="H3337" s="21">
        <f t="shared" si="584"/>
        <v>21.260000000000002</v>
      </c>
      <c r="I3337" s="24" t="str">
        <f t="shared" si="585"/>
        <v xml:space="preserve">COM VALOR</v>
      </c>
      <c r="L3337" s="36">
        <v>21.260000000000002</v>
      </c>
      <c r="M3337" s="37">
        <v>21.260000000000002</v>
      </c>
      <c r="N3337" s="36">
        <v>21.260000000000002</v>
      </c>
    </row>
    <row r="3338" ht="12.75">
      <c r="A3338" s="19" t="s">
        <v>10604</v>
      </c>
      <c r="B3338" s="19">
        <v>41081</v>
      </c>
      <c r="C3338" s="20" t="s">
        <v>13805</v>
      </c>
      <c r="D3338" s="19" t="s">
        <v>7087</v>
      </c>
      <c r="E3338" s="19" t="s">
        <v>10459</v>
      </c>
      <c r="F3338" s="21">
        <f t="shared" si="584"/>
        <v>3721.6900000000001</v>
      </c>
      <c r="G3338" s="21">
        <f t="shared" si="584"/>
        <v>3721.6900000000001</v>
      </c>
      <c r="H3338" s="21">
        <f t="shared" si="584"/>
        <v>3721.6900000000001</v>
      </c>
      <c r="I3338" s="24" t="str">
        <f t="shared" si="585"/>
        <v xml:space="preserve">COM VALOR</v>
      </c>
      <c r="L3338" s="36">
        <v>3721.6900000000001</v>
      </c>
      <c r="M3338" s="37">
        <v>3721.6900000000001</v>
      </c>
      <c r="N3338" s="36">
        <v>3721.6900000000001</v>
      </c>
    </row>
    <row r="3339" ht="25.5">
      <c r="A3339" s="19" t="s">
        <v>10460</v>
      </c>
      <c r="B3339" s="19">
        <v>4801</v>
      </c>
      <c r="C3339" s="20" t="s">
        <v>13806</v>
      </c>
      <c r="D3339" s="19" t="s">
        <v>29</v>
      </c>
      <c r="E3339" s="19" t="s">
        <v>10459</v>
      </c>
      <c r="F3339" s="21">
        <f t="shared" ref="F3339:H3402" si="586">IF(L3339=0,"VERIFICAR",L3339)</f>
        <v>73.469999999999999</v>
      </c>
      <c r="G3339" s="21">
        <f t="shared" si="586"/>
        <v>73.469999999999999</v>
      </c>
      <c r="H3339" s="21">
        <f t="shared" si="586"/>
        <v>73.469999999999999</v>
      </c>
      <c r="I3339" s="24" t="str">
        <f t="shared" ref="I3339:I3402" si="587">IF(OR(L3339=0,M3339=0,N3339=0),"SEM VALOR","COM VALOR")</f>
        <v xml:space="preserve">COM VALOR</v>
      </c>
      <c r="L3339" s="36">
        <v>73.469999999999999</v>
      </c>
      <c r="M3339" s="37">
        <v>73.469999999999999</v>
      </c>
      <c r="N3339" s="36">
        <v>73.469999999999999</v>
      </c>
    </row>
    <row r="3340" ht="25.5">
      <c r="A3340" s="19" t="s">
        <v>10460</v>
      </c>
      <c r="B3340" s="19">
        <v>4794</v>
      </c>
      <c r="C3340" s="20" t="s">
        <v>13807</v>
      </c>
      <c r="D3340" s="19" t="s">
        <v>29</v>
      </c>
      <c r="E3340" s="19" t="s">
        <v>10459</v>
      </c>
      <c r="F3340" s="21">
        <f t="shared" si="586"/>
        <v>334.63999999999999</v>
      </c>
      <c r="G3340" s="21">
        <f t="shared" si="586"/>
        <v>334.63999999999999</v>
      </c>
      <c r="H3340" s="21">
        <f t="shared" si="586"/>
        <v>334.63999999999999</v>
      </c>
      <c r="I3340" s="24" t="str">
        <f t="shared" si="587"/>
        <v xml:space="preserve">COM VALOR</v>
      </c>
      <c r="L3340" s="36">
        <v>334.63999999999999</v>
      </c>
      <c r="M3340" s="37">
        <v>334.63999999999999</v>
      </c>
      <c r="N3340" s="36">
        <v>334.63999999999999</v>
      </c>
    </row>
    <row r="3341" ht="25.5">
      <c r="A3341" s="19" t="s">
        <v>10460</v>
      </c>
      <c r="B3341" s="19">
        <v>4796</v>
      </c>
      <c r="C3341" s="20" t="s">
        <v>13808</v>
      </c>
      <c r="D3341" s="19" t="s">
        <v>29</v>
      </c>
      <c r="E3341" s="19" t="s">
        <v>10459</v>
      </c>
      <c r="F3341" s="21">
        <f t="shared" si="586"/>
        <v>203.25999999999999</v>
      </c>
      <c r="G3341" s="21">
        <f t="shared" si="586"/>
        <v>203.25999999999999</v>
      </c>
      <c r="H3341" s="21">
        <f t="shared" si="586"/>
        <v>203.25999999999999</v>
      </c>
      <c r="I3341" s="24" t="str">
        <f t="shared" si="587"/>
        <v xml:space="preserve">COM VALOR</v>
      </c>
      <c r="L3341" s="36">
        <v>203.25999999999999</v>
      </c>
      <c r="M3341" s="37">
        <v>203.25999999999999</v>
      </c>
      <c r="N3341" s="36">
        <v>203.25999999999999</v>
      </c>
    </row>
    <row r="3342" ht="25.5">
      <c r="A3342" s="19" t="s">
        <v>10460</v>
      </c>
      <c r="B3342" s="19">
        <v>4800</v>
      </c>
      <c r="C3342" s="20" t="s">
        <v>13809</v>
      </c>
      <c r="D3342" s="19" t="s">
        <v>29</v>
      </c>
      <c r="E3342" s="19" t="s">
        <v>10459</v>
      </c>
      <c r="F3342" s="21">
        <f t="shared" si="586"/>
        <v>55.890000000000001</v>
      </c>
      <c r="G3342" s="21">
        <f t="shared" si="586"/>
        <v>55.890000000000001</v>
      </c>
      <c r="H3342" s="21">
        <f t="shared" si="586"/>
        <v>55.890000000000001</v>
      </c>
      <c r="I3342" s="24" t="str">
        <f t="shared" si="587"/>
        <v xml:space="preserve">COM VALOR</v>
      </c>
      <c r="L3342" s="36">
        <v>55.890000000000001</v>
      </c>
      <c r="M3342" s="37">
        <v>55.890000000000001</v>
      </c>
      <c r="N3342" s="36">
        <v>55.890000000000001</v>
      </c>
    </row>
    <row r="3343" ht="25.5">
      <c r="A3343" s="19" t="s">
        <v>10460</v>
      </c>
      <c r="B3343" s="19">
        <v>4795</v>
      </c>
      <c r="C3343" s="20" t="s">
        <v>13810</v>
      </c>
      <c r="D3343" s="19" t="s">
        <v>29</v>
      </c>
      <c r="E3343" s="19" t="s">
        <v>10459</v>
      </c>
      <c r="F3343" s="21">
        <f t="shared" si="586"/>
        <v>325.75</v>
      </c>
      <c r="G3343" s="21">
        <f t="shared" si="586"/>
        <v>325.75</v>
      </c>
      <c r="H3343" s="21">
        <f t="shared" si="586"/>
        <v>325.75</v>
      </c>
      <c r="I3343" s="24" t="str">
        <f t="shared" si="587"/>
        <v xml:space="preserve">COM VALOR</v>
      </c>
      <c r="L3343" s="36">
        <v>325.75</v>
      </c>
      <c r="M3343" s="37">
        <v>325.75</v>
      </c>
      <c r="N3343" s="36">
        <v>325.75</v>
      </c>
    </row>
    <row r="3344" ht="25.5">
      <c r="A3344" s="19" t="s">
        <v>10460</v>
      </c>
      <c r="B3344" s="19">
        <v>1292</v>
      </c>
      <c r="C3344" s="20" t="s">
        <v>13811</v>
      </c>
      <c r="D3344" s="19" t="s">
        <v>29</v>
      </c>
      <c r="E3344" s="19" t="s">
        <v>10459</v>
      </c>
      <c r="F3344" s="21">
        <f t="shared" si="586"/>
        <v>48.390000000000001</v>
      </c>
      <c r="G3344" s="21">
        <f t="shared" si="586"/>
        <v>48.390000000000001</v>
      </c>
      <c r="H3344" s="21">
        <f t="shared" si="586"/>
        <v>48.390000000000001</v>
      </c>
      <c r="I3344" s="24" t="str">
        <f t="shared" si="587"/>
        <v xml:space="preserve">COM VALOR</v>
      </c>
      <c r="L3344" s="36">
        <v>48.390000000000001</v>
      </c>
      <c r="M3344" s="37">
        <v>48.390000000000001</v>
      </c>
      <c r="N3344" s="36">
        <v>48.390000000000001</v>
      </c>
    </row>
    <row r="3345" ht="25.5">
      <c r="A3345" s="19" t="s">
        <v>10460</v>
      </c>
      <c r="B3345" s="19">
        <v>1287</v>
      </c>
      <c r="C3345" s="20" t="s">
        <v>13812</v>
      </c>
      <c r="D3345" s="19" t="s">
        <v>29</v>
      </c>
      <c r="E3345" s="19" t="s">
        <v>10459</v>
      </c>
      <c r="F3345" s="21">
        <f t="shared" si="586"/>
        <v>38.740000000000002</v>
      </c>
      <c r="G3345" s="21">
        <f t="shared" si="586"/>
        <v>38.740000000000002</v>
      </c>
      <c r="H3345" s="21">
        <f t="shared" si="586"/>
        <v>38.740000000000002</v>
      </c>
      <c r="I3345" s="24" t="str">
        <f t="shared" si="587"/>
        <v xml:space="preserve">COM VALOR</v>
      </c>
      <c r="L3345" s="36">
        <v>38.740000000000002</v>
      </c>
      <c r="M3345" s="37">
        <v>38.740000000000002</v>
      </c>
      <c r="N3345" s="36">
        <v>38.740000000000002</v>
      </c>
    </row>
    <row r="3346" ht="38.25">
      <c r="A3346" s="19" t="s">
        <v>10460</v>
      </c>
      <c r="B3346" s="19">
        <v>4786</v>
      </c>
      <c r="C3346" s="20" t="s">
        <v>13813</v>
      </c>
      <c r="D3346" s="19" t="s">
        <v>29</v>
      </c>
      <c r="E3346" s="19" t="s">
        <v>10466</v>
      </c>
      <c r="F3346" s="21" t="str">
        <f t="shared" si="586"/>
        <v>VERIFICAR</v>
      </c>
      <c r="G3346" s="21" t="str">
        <f t="shared" si="586"/>
        <v>VERIFICAR</v>
      </c>
      <c r="H3346" s="21" t="str">
        <f t="shared" si="586"/>
        <v>VERIFICAR</v>
      </c>
      <c r="I3346" s="24" t="str">
        <f t="shared" si="587"/>
        <v xml:space="preserve">SEM VALOR</v>
      </c>
      <c r="L3346" s="36"/>
      <c r="M3346" s="37"/>
      <c r="N3346" s="36"/>
    </row>
    <row r="3347" ht="38.25">
      <c r="A3347" s="19" t="s">
        <v>10460</v>
      </c>
      <c r="B3347" s="19">
        <v>10840</v>
      </c>
      <c r="C3347" s="20" t="s">
        <v>13814</v>
      </c>
      <c r="D3347" s="19" t="s">
        <v>29</v>
      </c>
      <c r="E3347" s="19" t="s">
        <v>10466</v>
      </c>
      <c r="F3347" s="21">
        <f t="shared" si="586"/>
        <v>450</v>
      </c>
      <c r="G3347" s="21">
        <f t="shared" si="586"/>
        <v>450</v>
      </c>
      <c r="H3347" s="21">
        <f t="shared" si="586"/>
        <v>450</v>
      </c>
      <c r="I3347" s="24" t="str">
        <f t="shared" si="587"/>
        <v xml:space="preserve">COM VALOR</v>
      </c>
      <c r="J3347" s="38"/>
      <c r="L3347" s="36">
        <v>450</v>
      </c>
      <c r="M3347" s="37">
        <v>450</v>
      </c>
      <c r="N3347" s="36">
        <v>450</v>
      </c>
    </row>
    <row r="3348" ht="38.25">
      <c r="A3348" s="19" t="s">
        <v>10460</v>
      </c>
      <c r="B3348" s="19">
        <v>10841</v>
      </c>
      <c r="C3348" s="20" t="s">
        <v>13815</v>
      </c>
      <c r="D3348" s="19" t="s">
        <v>29</v>
      </c>
      <c r="E3348" s="19" t="s">
        <v>10459</v>
      </c>
      <c r="F3348" s="21">
        <f t="shared" si="586"/>
        <v>339.62</v>
      </c>
      <c r="G3348" s="21">
        <f t="shared" si="586"/>
        <v>339.62</v>
      </c>
      <c r="H3348" s="21">
        <f t="shared" si="586"/>
        <v>339.62</v>
      </c>
      <c r="I3348" s="24" t="str">
        <f t="shared" si="587"/>
        <v xml:space="preserve">COM VALOR</v>
      </c>
      <c r="L3348" s="36">
        <v>339.62</v>
      </c>
      <c r="M3348" s="37">
        <v>339.62</v>
      </c>
      <c r="N3348" s="36">
        <v>339.62</v>
      </c>
    </row>
    <row r="3349" ht="38.25">
      <c r="A3349" s="19" t="s">
        <v>10460</v>
      </c>
      <c r="B3349" s="19">
        <v>44540</v>
      </c>
      <c r="C3349" s="20" t="s">
        <v>13816</v>
      </c>
      <c r="D3349" s="19" t="s">
        <v>29</v>
      </c>
      <c r="E3349" s="19" t="s">
        <v>10459</v>
      </c>
      <c r="F3349" s="21">
        <f t="shared" si="586"/>
        <v>433.95999999999998</v>
      </c>
      <c r="G3349" s="21">
        <f t="shared" si="586"/>
        <v>433.95999999999998</v>
      </c>
      <c r="H3349" s="21">
        <f t="shared" si="586"/>
        <v>433.95999999999998</v>
      </c>
      <c r="I3349" s="24" t="str">
        <f t="shared" si="587"/>
        <v xml:space="preserve">COM VALOR</v>
      </c>
      <c r="L3349" s="36">
        <v>433.95999999999998</v>
      </c>
      <c r="M3349" s="37">
        <v>433.95999999999998</v>
      </c>
      <c r="N3349" s="36">
        <v>433.95999999999998</v>
      </c>
    </row>
    <row r="3350" ht="38.25">
      <c r="A3350" s="19" t="s">
        <v>10460</v>
      </c>
      <c r="B3350" s="19">
        <v>10842</v>
      </c>
      <c r="C3350" s="20" t="s">
        <v>13817</v>
      </c>
      <c r="D3350" s="19" t="s">
        <v>29</v>
      </c>
      <c r="E3350" s="19" t="s">
        <v>10459</v>
      </c>
      <c r="F3350" s="21">
        <f t="shared" si="586"/>
        <v>490.56</v>
      </c>
      <c r="G3350" s="21">
        <f t="shared" si="586"/>
        <v>490.56</v>
      </c>
      <c r="H3350" s="21">
        <f t="shared" si="586"/>
        <v>490.56</v>
      </c>
      <c r="I3350" s="24" t="str">
        <f t="shared" si="587"/>
        <v xml:space="preserve">COM VALOR</v>
      </c>
      <c r="L3350" s="36">
        <v>490.56</v>
      </c>
      <c r="M3350" s="37">
        <v>490.56</v>
      </c>
      <c r="N3350" s="36">
        <v>490.56</v>
      </c>
    </row>
    <row r="3351" ht="38.25">
      <c r="A3351" s="19" t="s">
        <v>10460</v>
      </c>
      <c r="B3351" s="19">
        <v>45190</v>
      </c>
      <c r="C3351" s="20" t="s">
        <v>13818</v>
      </c>
      <c r="D3351" s="19" t="s">
        <v>29</v>
      </c>
      <c r="E3351" s="19" t="s">
        <v>10466</v>
      </c>
      <c r="F3351" s="21">
        <f t="shared" si="586"/>
        <v>79.900000000000006</v>
      </c>
      <c r="G3351" s="21">
        <f t="shared" si="586"/>
        <v>79.900000000000006</v>
      </c>
      <c r="H3351" s="21">
        <f t="shared" si="586"/>
        <v>79.900000000000006</v>
      </c>
      <c r="I3351" s="24" t="str">
        <f t="shared" si="587"/>
        <v xml:space="preserve">COM VALOR</v>
      </c>
      <c r="L3351" s="36">
        <v>79.900000000000006</v>
      </c>
      <c r="M3351" s="37">
        <v>79.900000000000006</v>
      </c>
      <c r="N3351" s="36">
        <v>79.900000000000006</v>
      </c>
    </row>
    <row r="3352" ht="25.5">
      <c r="A3352" s="19" t="s">
        <v>10460</v>
      </c>
      <c r="B3352" s="19">
        <v>45191</v>
      </c>
      <c r="C3352" s="20" t="s">
        <v>13819</v>
      </c>
      <c r="D3352" s="19" t="s">
        <v>29</v>
      </c>
      <c r="E3352" s="19" t="s">
        <v>10459</v>
      </c>
      <c r="F3352" s="21">
        <f t="shared" si="586"/>
        <v>135.55000000000001</v>
      </c>
      <c r="G3352" s="21">
        <f t="shared" si="586"/>
        <v>135.55000000000001</v>
      </c>
      <c r="H3352" s="21">
        <f t="shared" si="586"/>
        <v>135.55000000000001</v>
      </c>
      <c r="I3352" s="24" t="str">
        <f t="shared" si="587"/>
        <v xml:space="preserve">COM VALOR</v>
      </c>
      <c r="L3352" s="36">
        <v>135.55000000000001</v>
      </c>
      <c r="M3352" s="37">
        <v>135.55000000000001</v>
      </c>
      <c r="N3352" s="36">
        <v>135.55000000000001</v>
      </c>
    </row>
    <row r="3353" ht="25.5">
      <c r="A3353" s="19" t="s">
        <v>10460</v>
      </c>
      <c r="B3353" s="19">
        <v>38180</v>
      </c>
      <c r="C3353" s="20" t="s">
        <v>13820</v>
      </c>
      <c r="D3353" s="19" t="s">
        <v>29</v>
      </c>
      <c r="E3353" s="19" t="s">
        <v>10459</v>
      </c>
      <c r="F3353" s="21">
        <f t="shared" si="586"/>
        <v>163.63999999999999</v>
      </c>
      <c r="G3353" s="21">
        <f t="shared" si="586"/>
        <v>163.63999999999999</v>
      </c>
      <c r="H3353" s="21">
        <f t="shared" si="586"/>
        <v>163.63999999999999</v>
      </c>
      <c r="I3353" s="24" t="str">
        <f t="shared" si="587"/>
        <v xml:space="preserve">COM VALOR</v>
      </c>
      <c r="L3353" s="36">
        <v>163.63999999999999</v>
      </c>
      <c r="M3353" s="37">
        <v>163.63999999999999</v>
      </c>
      <c r="N3353" s="36">
        <v>163.63999999999999</v>
      </c>
    </row>
    <row r="3354" ht="25.5">
      <c r="A3354" s="19" t="s">
        <v>10457</v>
      </c>
      <c r="B3354" s="19">
        <v>40648</v>
      </c>
      <c r="C3354" s="20" t="s">
        <v>13821</v>
      </c>
      <c r="D3354" s="19" t="s">
        <v>29</v>
      </c>
      <c r="E3354" s="19" t="s">
        <v>10459</v>
      </c>
      <c r="F3354" s="21" t="str">
        <f t="shared" si="586"/>
        <v>VERIFICAR</v>
      </c>
      <c r="G3354" s="21" t="str">
        <f t="shared" si="586"/>
        <v>VERIFICAR</v>
      </c>
      <c r="H3354" s="21" t="str">
        <f t="shared" si="586"/>
        <v>VERIFICAR</v>
      </c>
      <c r="I3354" s="24" t="str">
        <f t="shared" si="587"/>
        <v xml:space="preserve">SEM VALOR</v>
      </c>
      <c r="L3354" s="36"/>
      <c r="M3354" s="37"/>
      <c r="N3354" s="36"/>
    </row>
    <row r="3355" ht="25.5">
      <c r="A3355" s="19" t="s">
        <v>10457</v>
      </c>
      <c r="B3355" s="19">
        <v>40649</v>
      </c>
      <c r="C3355" s="20" t="s">
        <v>13822</v>
      </c>
      <c r="D3355" s="19" t="s">
        <v>29</v>
      </c>
      <c r="E3355" s="19" t="s">
        <v>10459</v>
      </c>
      <c r="F3355" s="21" t="str">
        <f t="shared" si="586"/>
        <v>VERIFICAR</v>
      </c>
      <c r="G3355" s="21" t="str">
        <f t="shared" si="586"/>
        <v>VERIFICAR</v>
      </c>
      <c r="H3355" s="21" t="str">
        <f t="shared" si="586"/>
        <v>VERIFICAR</v>
      </c>
      <c r="I3355" s="24" t="str">
        <f t="shared" si="587"/>
        <v xml:space="preserve">SEM VALOR</v>
      </c>
      <c r="J3355" s="38"/>
      <c r="L3355" s="36"/>
      <c r="M3355" s="37"/>
      <c r="N3355" s="36"/>
    </row>
    <row r="3356" ht="25.5">
      <c r="A3356" s="19" t="s">
        <v>10460</v>
      </c>
      <c r="B3356" s="19">
        <v>40650</v>
      </c>
      <c r="C3356" s="20" t="s">
        <v>13823</v>
      </c>
      <c r="D3356" s="19" t="s">
        <v>29</v>
      </c>
      <c r="E3356" s="19" t="s">
        <v>10459</v>
      </c>
      <c r="F3356" s="21" t="str">
        <f t="shared" si="586"/>
        <v>VERIFICAR</v>
      </c>
      <c r="G3356" s="21" t="str">
        <f t="shared" si="586"/>
        <v>VERIFICAR</v>
      </c>
      <c r="H3356" s="21" t="str">
        <f t="shared" si="586"/>
        <v>VERIFICAR</v>
      </c>
      <c r="I3356" s="24" t="str">
        <f t="shared" si="587"/>
        <v xml:space="preserve">SEM VALOR</v>
      </c>
      <c r="L3356" s="36"/>
      <c r="M3356" s="37"/>
      <c r="N3356" s="36"/>
    </row>
    <row r="3357" ht="25.5">
      <c r="A3357" s="19" t="s">
        <v>10460</v>
      </c>
      <c r="B3357" s="19">
        <v>40651</v>
      </c>
      <c r="C3357" s="20" t="s">
        <v>13824</v>
      </c>
      <c r="D3357" s="19" t="s">
        <v>29</v>
      </c>
      <c r="E3357" s="19" t="s">
        <v>10459</v>
      </c>
      <c r="F3357" s="21" t="str">
        <f t="shared" si="586"/>
        <v>VERIFICAR</v>
      </c>
      <c r="G3357" s="21" t="str">
        <f t="shared" si="586"/>
        <v>VERIFICAR</v>
      </c>
      <c r="H3357" s="21" t="str">
        <f t="shared" si="586"/>
        <v>VERIFICAR</v>
      </c>
      <c r="I3357" s="24" t="str">
        <f t="shared" si="587"/>
        <v xml:space="preserve">SEM VALOR</v>
      </c>
      <c r="J3357" s="38"/>
      <c r="L3357" s="36"/>
      <c r="M3357" s="37"/>
      <c r="N3357" s="36"/>
    </row>
    <row r="3358" ht="25.5">
      <c r="A3358" s="19" t="s">
        <v>10457</v>
      </c>
      <c r="B3358" s="19">
        <v>40652</v>
      </c>
      <c r="C3358" s="20" t="s">
        <v>13825</v>
      </c>
      <c r="D3358" s="19" t="s">
        <v>29</v>
      </c>
      <c r="E3358" s="19" t="s">
        <v>10459</v>
      </c>
      <c r="F3358" s="21" t="str">
        <f t="shared" si="586"/>
        <v>VERIFICAR</v>
      </c>
      <c r="G3358" s="21" t="str">
        <f t="shared" si="586"/>
        <v>VERIFICAR</v>
      </c>
      <c r="H3358" s="21" t="str">
        <f t="shared" si="586"/>
        <v>VERIFICAR</v>
      </c>
      <c r="I3358" s="24" t="str">
        <f t="shared" si="587"/>
        <v xml:space="preserve">SEM VALOR</v>
      </c>
      <c r="L3358" s="36"/>
      <c r="M3358" s="37"/>
      <c r="N3358" s="36"/>
    </row>
    <row r="3359" ht="38.25">
      <c r="A3359" s="19" t="s">
        <v>10457</v>
      </c>
      <c r="B3359" s="19">
        <v>40647</v>
      </c>
      <c r="C3359" s="20" t="s">
        <v>13826</v>
      </c>
      <c r="D3359" s="19" t="s">
        <v>29</v>
      </c>
      <c r="E3359" s="19" t="s">
        <v>10459</v>
      </c>
      <c r="F3359" s="21" t="str">
        <f t="shared" si="586"/>
        <v>VERIFICAR</v>
      </c>
      <c r="G3359" s="21" t="str">
        <f t="shared" si="586"/>
        <v>VERIFICAR</v>
      </c>
      <c r="H3359" s="21" t="str">
        <f t="shared" si="586"/>
        <v>VERIFICAR</v>
      </c>
      <c r="I3359" s="24" t="str">
        <f t="shared" si="587"/>
        <v xml:space="preserve">SEM VALOR</v>
      </c>
      <c r="L3359" s="36"/>
      <c r="M3359" s="37"/>
      <c r="N3359" s="36"/>
    </row>
    <row r="3360" ht="12.75">
      <c r="A3360" s="19" t="s">
        <v>10457</v>
      </c>
      <c r="B3360" s="19">
        <v>40653</v>
      </c>
      <c r="C3360" s="20" t="s">
        <v>13827</v>
      </c>
      <c r="D3360" s="19" t="s">
        <v>29</v>
      </c>
      <c r="E3360" s="19" t="s">
        <v>10459</v>
      </c>
      <c r="F3360" s="21" t="str">
        <f t="shared" si="586"/>
        <v>VERIFICAR</v>
      </c>
      <c r="G3360" s="21" t="str">
        <f t="shared" si="586"/>
        <v>VERIFICAR</v>
      </c>
      <c r="H3360" s="21" t="str">
        <f t="shared" si="586"/>
        <v>VERIFICAR</v>
      </c>
      <c r="I3360" s="24" t="str">
        <f t="shared" si="587"/>
        <v xml:space="preserve">SEM VALOR</v>
      </c>
      <c r="L3360" s="36"/>
      <c r="M3360" s="37"/>
      <c r="N3360" s="36"/>
    </row>
    <row r="3361" ht="38.25">
      <c r="A3361" s="19" t="s">
        <v>10460</v>
      </c>
      <c r="B3361" s="19">
        <v>38135</v>
      </c>
      <c r="C3361" s="20" t="s">
        <v>13828</v>
      </c>
      <c r="D3361" s="19" t="s">
        <v>29</v>
      </c>
      <c r="E3361" s="19" t="s">
        <v>10459</v>
      </c>
      <c r="F3361" s="21">
        <f t="shared" si="586"/>
        <v>103.40000000000001</v>
      </c>
      <c r="G3361" s="21">
        <f t="shared" si="586"/>
        <v>103.40000000000001</v>
      </c>
      <c r="H3361" s="21">
        <f t="shared" si="586"/>
        <v>103.40000000000001</v>
      </c>
      <c r="I3361" s="24" t="str">
        <f t="shared" si="587"/>
        <v xml:space="preserve">COM VALOR</v>
      </c>
      <c r="L3361" s="36">
        <v>103.40000000000001</v>
      </c>
      <c r="M3361" s="37">
        <v>103.40000000000001</v>
      </c>
      <c r="N3361" s="36">
        <v>103.40000000000001</v>
      </c>
    </row>
    <row r="3362" ht="38.25">
      <c r="A3362" s="19" t="s">
        <v>10460</v>
      </c>
      <c r="B3362" s="19">
        <v>36178</v>
      </c>
      <c r="C3362" s="20" t="s">
        <v>13829</v>
      </c>
      <c r="D3362" s="19" t="s">
        <v>31</v>
      </c>
      <c r="E3362" s="19" t="s">
        <v>10459</v>
      </c>
      <c r="F3362" s="21">
        <f t="shared" si="586"/>
        <v>17.289999999999999</v>
      </c>
      <c r="G3362" s="21">
        <f t="shared" si="586"/>
        <v>17.289999999999999</v>
      </c>
      <c r="H3362" s="21">
        <f t="shared" si="586"/>
        <v>17.289999999999999</v>
      </c>
      <c r="I3362" s="24" t="str">
        <f t="shared" si="587"/>
        <v xml:space="preserve">COM VALOR</v>
      </c>
      <c r="L3362" s="36">
        <v>17.289999999999999</v>
      </c>
      <c r="M3362" s="37">
        <v>17.289999999999999</v>
      </c>
      <c r="N3362" s="36">
        <v>17.289999999999999</v>
      </c>
    </row>
    <row r="3363" ht="25.5">
      <c r="A3363" s="19" t="s">
        <v>10460</v>
      </c>
      <c r="B3363" s="19">
        <v>38181</v>
      </c>
      <c r="C3363" s="20" t="s">
        <v>13830</v>
      </c>
      <c r="D3363" s="19" t="s">
        <v>29</v>
      </c>
      <c r="E3363" s="19" t="s">
        <v>10459</v>
      </c>
      <c r="F3363" s="21">
        <f t="shared" si="586"/>
        <v>223.40000000000001</v>
      </c>
      <c r="G3363" s="21">
        <f t="shared" si="586"/>
        <v>223.40000000000001</v>
      </c>
      <c r="H3363" s="21">
        <f t="shared" si="586"/>
        <v>223.40000000000001</v>
      </c>
      <c r="I3363" s="24" t="str">
        <f t="shared" si="587"/>
        <v xml:space="preserve">COM VALOR</v>
      </c>
      <c r="L3363" s="36">
        <v>223.40000000000001</v>
      </c>
      <c r="M3363" s="37">
        <v>223.40000000000001</v>
      </c>
      <c r="N3363" s="36">
        <v>223.40000000000001</v>
      </c>
    </row>
    <row r="3364" ht="25.5">
      <c r="A3364" s="19" t="s">
        <v>10460</v>
      </c>
      <c r="B3364" s="19">
        <v>38182</v>
      </c>
      <c r="C3364" s="20" t="s">
        <v>13831</v>
      </c>
      <c r="D3364" s="19" t="s">
        <v>29</v>
      </c>
      <c r="E3364" s="19" t="s">
        <v>10459</v>
      </c>
      <c r="F3364" s="21">
        <f t="shared" si="586"/>
        <v>212.80000000000001</v>
      </c>
      <c r="G3364" s="21">
        <f t="shared" si="586"/>
        <v>212.80000000000001</v>
      </c>
      <c r="H3364" s="21">
        <f t="shared" si="586"/>
        <v>212.80000000000001</v>
      </c>
      <c r="I3364" s="24" t="str">
        <f t="shared" si="587"/>
        <v xml:space="preserve">COM VALOR</v>
      </c>
      <c r="J3364" s="38"/>
      <c r="L3364" s="36">
        <v>212.80000000000001</v>
      </c>
      <c r="M3364" s="37">
        <v>212.80000000000001</v>
      </c>
      <c r="N3364" s="36">
        <v>212.80000000000001</v>
      </c>
    </row>
    <row r="3365" ht="25.5">
      <c r="A3365" s="19" t="s">
        <v>10460</v>
      </c>
      <c r="B3365" s="19">
        <v>38186</v>
      </c>
      <c r="C3365" s="20" t="s">
        <v>13832</v>
      </c>
      <c r="D3365" s="19" t="s">
        <v>29</v>
      </c>
      <c r="E3365" s="19" t="s">
        <v>10459</v>
      </c>
      <c r="F3365" s="21">
        <f t="shared" si="586"/>
        <v>553.13</v>
      </c>
      <c r="G3365" s="21">
        <f t="shared" si="586"/>
        <v>553.13</v>
      </c>
      <c r="H3365" s="21">
        <f t="shared" si="586"/>
        <v>553.13</v>
      </c>
      <c r="I3365" s="24" t="str">
        <f t="shared" si="587"/>
        <v xml:space="preserve">COM VALOR</v>
      </c>
      <c r="L3365" s="36">
        <v>553.13</v>
      </c>
      <c r="M3365" s="37">
        <v>553.13</v>
      </c>
      <c r="N3365" s="36">
        <v>553.13</v>
      </c>
    </row>
    <row r="3366" ht="25.5">
      <c r="A3366" s="19" t="s">
        <v>10460</v>
      </c>
      <c r="B3366" s="19">
        <v>38185</v>
      </c>
      <c r="C3366" s="20" t="s">
        <v>13833</v>
      </c>
      <c r="D3366" s="19" t="s">
        <v>29</v>
      </c>
      <c r="E3366" s="19" t="s">
        <v>10459</v>
      </c>
      <c r="F3366" s="21">
        <f t="shared" si="586"/>
        <v>492.48000000000002</v>
      </c>
      <c r="G3366" s="21">
        <f t="shared" si="586"/>
        <v>492.48000000000002</v>
      </c>
      <c r="H3366" s="21">
        <f t="shared" si="586"/>
        <v>492.48000000000002</v>
      </c>
      <c r="I3366" s="24" t="str">
        <f t="shared" si="587"/>
        <v xml:space="preserve">COM VALOR</v>
      </c>
      <c r="L3366" s="36">
        <v>492.48000000000002</v>
      </c>
      <c r="M3366" s="37">
        <v>492.48000000000002</v>
      </c>
      <c r="N3366" s="36">
        <v>492.48000000000002</v>
      </c>
    </row>
    <row r="3367" ht="25.5">
      <c r="A3367" s="19" t="s">
        <v>10457</v>
      </c>
      <c r="B3367" s="19">
        <v>40654</v>
      </c>
      <c r="C3367" s="20" t="s">
        <v>13834</v>
      </c>
      <c r="D3367" s="19" t="s">
        <v>29</v>
      </c>
      <c r="E3367" s="19" t="s">
        <v>10459</v>
      </c>
      <c r="F3367" s="21" t="str">
        <f t="shared" si="586"/>
        <v>VERIFICAR</v>
      </c>
      <c r="G3367" s="21" t="str">
        <f t="shared" si="586"/>
        <v>VERIFICAR</v>
      </c>
      <c r="H3367" s="21" t="str">
        <f t="shared" si="586"/>
        <v>VERIFICAR</v>
      </c>
      <c r="I3367" s="24" t="str">
        <f t="shared" si="587"/>
        <v xml:space="preserve">SEM VALOR</v>
      </c>
      <c r="L3367" s="36"/>
      <c r="M3367" s="37"/>
      <c r="N3367" s="36"/>
    </row>
    <row r="3368" ht="38.25">
      <c r="A3368" s="19" t="s">
        <v>10460</v>
      </c>
      <c r="B3368" s="19">
        <v>44541</v>
      </c>
      <c r="C3368" s="20" t="s">
        <v>13835</v>
      </c>
      <c r="D3368" s="19" t="s">
        <v>29</v>
      </c>
      <c r="E3368" s="19" t="s">
        <v>10459</v>
      </c>
      <c r="F3368" s="21">
        <f t="shared" si="586"/>
        <v>358.49000000000001</v>
      </c>
      <c r="G3368" s="21">
        <f t="shared" si="586"/>
        <v>358.49000000000001</v>
      </c>
      <c r="H3368" s="21">
        <f t="shared" si="586"/>
        <v>358.49000000000001</v>
      </c>
      <c r="I3368" s="24" t="str">
        <f t="shared" si="587"/>
        <v xml:space="preserve">COM VALOR</v>
      </c>
      <c r="L3368" s="36">
        <v>358.49000000000001</v>
      </c>
      <c r="M3368" s="37">
        <v>358.49000000000001</v>
      </c>
      <c r="N3368" s="36">
        <v>358.49000000000001</v>
      </c>
    </row>
    <row r="3369" ht="25.5">
      <c r="A3369" s="19" t="s">
        <v>10460</v>
      </c>
      <c r="B3369" s="19">
        <v>4822</v>
      </c>
      <c r="C3369" s="20" t="s">
        <v>13836</v>
      </c>
      <c r="D3369" s="19" t="s">
        <v>29</v>
      </c>
      <c r="E3369" s="19" t="s">
        <v>10459</v>
      </c>
      <c r="F3369" s="21">
        <f t="shared" si="586"/>
        <v>520.5</v>
      </c>
      <c r="G3369" s="21">
        <f t="shared" si="586"/>
        <v>520.5</v>
      </c>
      <c r="H3369" s="21">
        <f t="shared" si="586"/>
        <v>520.5</v>
      </c>
      <c r="I3369" s="24" t="str">
        <f t="shared" si="587"/>
        <v xml:space="preserve">COM VALOR</v>
      </c>
      <c r="L3369" s="36">
        <v>520.5</v>
      </c>
      <c r="M3369" s="37">
        <v>520.5</v>
      </c>
      <c r="N3369" s="36">
        <v>520.5</v>
      </c>
    </row>
    <row r="3370" ht="25.5">
      <c r="A3370" s="19" t="s">
        <v>10460</v>
      </c>
      <c r="B3370" s="19">
        <v>4818</v>
      </c>
      <c r="C3370" s="20" t="s">
        <v>13837</v>
      </c>
      <c r="D3370" s="19" t="s">
        <v>29</v>
      </c>
      <c r="E3370" s="19" t="s">
        <v>10466</v>
      </c>
      <c r="F3370" s="21">
        <f t="shared" si="586"/>
        <v>535</v>
      </c>
      <c r="G3370" s="21">
        <f t="shared" si="586"/>
        <v>535</v>
      </c>
      <c r="H3370" s="21">
        <f t="shared" si="586"/>
        <v>535</v>
      </c>
      <c r="I3370" s="24" t="str">
        <f t="shared" si="587"/>
        <v xml:space="preserve">COM VALOR</v>
      </c>
      <c r="L3370" s="36">
        <v>535</v>
      </c>
      <c r="M3370" s="37">
        <v>535</v>
      </c>
      <c r="N3370" s="36">
        <v>535</v>
      </c>
    </row>
    <row r="3371" ht="51">
      <c r="A3371" s="19" t="s">
        <v>10460</v>
      </c>
      <c r="B3371" s="19">
        <v>39567</v>
      </c>
      <c r="C3371" s="20" t="s">
        <v>13838</v>
      </c>
      <c r="D3371" s="19" t="s">
        <v>29</v>
      </c>
      <c r="E3371" s="19" t="s">
        <v>10459</v>
      </c>
      <c r="F3371" s="21">
        <f t="shared" si="586"/>
        <v>43.030000000000001</v>
      </c>
      <c r="G3371" s="21">
        <f t="shared" si="586"/>
        <v>43.030000000000001</v>
      </c>
      <c r="H3371" s="21">
        <f t="shared" si="586"/>
        <v>43.030000000000001</v>
      </c>
      <c r="I3371" s="24" t="str">
        <f t="shared" si="587"/>
        <v xml:space="preserve">COM VALOR</v>
      </c>
      <c r="J3371" s="38"/>
      <c r="L3371" s="36">
        <v>43.030000000000001</v>
      </c>
      <c r="M3371" s="37">
        <v>43.030000000000001</v>
      </c>
      <c r="N3371" s="36">
        <v>43.030000000000001</v>
      </c>
    </row>
    <row r="3372" ht="51">
      <c r="A3372" s="19" t="s">
        <v>10460</v>
      </c>
      <c r="B3372" s="19">
        <v>39566</v>
      </c>
      <c r="C3372" s="20" t="s">
        <v>13839</v>
      </c>
      <c r="D3372" s="19" t="s">
        <v>29</v>
      </c>
      <c r="E3372" s="19" t="s">
        <v>10459</v>
      </c>
      <c r="F3372" s="21">
        <f t="shared" si="586"/>
        <v>45.549999999999997</v>
      </c>
      <c r="G3372" s="21">
        <f t="shared" si="586"/>
        <v>45.549999999999997</v>
      </c>
      <c r="H3372" s="21">
        <f t="shared" si="586"/>
        <v>45.549999999999997</v>
      </c>
      <c r="I3372" s="24" t="str">
        <f t="shared" si="587"/>
        <v xml:space="preserve">COM VALOR</v>
      </c>
      <c r="L3372" s="36">
        <v>45.549999999999997</v>
      </c>
      <c r="M3372" s="37">
        <v>45.549999999999997</v>
      </c>
      <c r="N3372" s="36">
        <v>45.549999999999997</v>
      </c>
    </row>
    <row r="3373" ht="25.5">
      <c r="A3373" s="19" t="s">
        <v>10460</v>
      </c>
      <c r="B3373" s="19">
        <v>39416</v>
      </c>
      <c r="C3373" s="20" t="s">
        <v>13840</v>
      </c>
      <c r="D3373" s="19" t="s">
        <v>29</v>
      </c>
      <c r="E3373" s="19" t="s">
        <v>10459</v>
      </c>
      <c r="F3373" s="21">
        <f t="shared" si="586"/>
        <v>27.760000000000002</v>
      </c>
      <c r="G3373" s="21">
        <f t="shared" si="586"/>
        <v>27.760000000000002</v>
      </c>
      <c r="H3373" s="21">
        <f t="shared" si="586"/>
        <v>27.760000000000002</v>
      </c>
      <c r="I3373" s="24" t="str">
        <f t="shared" si="587"/>
        <v xml:space="preserve">COM VALOR</v>
      </c>
      <c r="L3373" s="36">
        <v>27.760000000000002</v>
      </c>
      <c r="M3373" s="37">
        <v>27.760000000000002</v>
      </c>
      <c r="N3373" s="36">
        <v>27.760000000000002</v>
      </c>
    </row>
    <row r="3374" ht="25.5">
      <c r="A3374" s="19" t="s">
        <v>10460</v>
      </c>
      <c r="B3374" s="19">
        <v>39417</v>
      </c>
      <c r="C3374" s="20" t="s">
        <v>13841</v>
      </c>
      <c r="D3374" s="19" t="s">
        <v>29</v>
      </c>
      <c r="E3374" s="19" t="s">
        <v>10459</v>
      </c>
      <c r="F3374" s="21">
        <f t="shared" si="586"/>
        <v>27.079999999999998</v>
      </c>
      <c r="G3374" s="21">
        <f t="shared" si="586"/>
        <v>27.079999999999998</v>
      </c>
      <c r="H3374" s="21">
        <f t="shared" si="586"/>
        <v>27.079999999999998</v>
      </c>
      <c r="I3374" s="24" t="str">
        <f t="shared" si="587"/>
        <v xml:space="preserve">COM VALOR</v>
      </c>
      <c r="L3374" s="36">
        <v>27.079999999999998</v>
      </c>
      <c r="M3374" s="37">
        <v>27.079999999999998</v>
      </c>
      <c r="N3374" s="36">
        <v>27.079999999999998</v>
      </c>
    </row>
    <row r="3375" ht="25.5">
      <c r="A3375" s="19" t="s">
        <v>10460</v>
      </c>
      <c r="B3375" s="19">
        <v>43742</v>
      </c>
      <c r="C3375" s="20" t="s">
        <v>13842</v>
      </c>
      <c r="D3375" s="19" t="s">
        <v>29</v>
      </c>
      <c r="E3375" s="19" t="s">
        <v>10459</v>
      </c>
      <c r="F3375" s="21">
        <f t="shared" si="586"/>
        <v>29.199999999999999</v>
      </c>
      <c r="G3375" s="21">
        <f t="shared" si="586"/>
        <v>29.199999999999999</v>
      </c>
      <c r="H3375" s="21">
        <f t="shared" si="586"/>
        <v>29.199999999999999</v>
      </c>
      <c r="I3375" s="24" t="str">
        <f t="shared" si="587"/>
        <v xml:space="preserve">COM VALOR</v>
      </c>
      <c r="L3375" s="36">
        <v>29.199999999999999</v>
      </c>
      <c r="M3375" s="37">
        <v>29.199999999999999</v>
      </c>
      <c r="N3375" s="36">
        <v>29.199999999999999</v>
      </c>
    </row>
    <row r="3376" ht="25.5">
      <c r="A3376" s="19" t="s">
        <v>10460</v>
      </c>
      <c r="B3376" s="19">
        <v>39414</v>
      </c>
      <c r="C3376" s="20" t="s">
        <v>13843</v>
      </c>
      <c r="D3376" s="19" t="s">
        <v>29</v>
      </c>
      <c r="E3376" s="19" t="s">
        <v>10459</v>
      </c>
      <c r="F3376" s="21">
        <f t="shared" si="586"/>
        <v>26.289999999999999</v>
      </c>
      <c r="G3376" s="21">
        <f t="shared" si="586"/>
        <v>26.289999999999999</v>
      </c>
      <c r="H3376" s="21">
        <f t="shared" si="586"/>
        <v>26.289999999999999</v>
      </c>
      <c r="I3376" s="24" t="str">
        <f t="shared" si="587"/>
        <v xml:space="preserve">COM VALOR</v>
      </c>
      <c r="L3376" s="36">
        <v>26.289999999999999</v>
      </c>
      <c r="M3376" s="37">
        <v>26.289999999999999</v>
      </c>
      <c r="N3376" s="36">
        <v>26.289999999999999</v>
      </c>
    </row>
    <row r="3377" ht="25.5">
      <c r="A3377" s="19" t="s">
        <v>10460</v>
      </c>
      <c r="B3377" s="19">
        <v>39415</v>
      </c>
      <c r="C3377" s="20" t="s">
        <v>13844</v>
      </c>
      <c r="D3377" s="19" t="s">
        <v>29</v>
      </c>
      <c r="E3377" s="19" t="s">
        <v>10459</v>
      </c>
      <c r="F3377" s="21">
        <f t="shared" si="586"/>
        <v>22.66</v>
      </c>
      <c r="G3377" s="21">
        <f t="shared" si="586"/>
        <v>22.66</v>
      </c>
      <c r="H3377" s="21">
        <f t="shared" si="586"/>
        <v>22.66</v>
      </c>
      <c r="I3377" s="24" t="str">
        <f t="shared" si="587"/>
        <v xml:space="preserve">COM VALOR</v>
      </c>
      <c r="L3377" s="36">
        <v>22.66</v>
      </c>
      <c r="M3377" s="37">
        <v>22.66</v>
      </c>
      <c r="N3377" s="36">
        <v>22.66</v>
      </c>
    </row>
    <row r="3378" ht="25.5">
      <c r="A3378" s="19" t="s">
        <v>10460</v>
      </c>
      <c r="B3378" s="19">
        <v>43740</v>
      </c>
      <c r="C3378" s="20" t="s">
        <v>13845</v>
      </c>
      <c r="D3378" s="19" t="s">
        <v>29</v>
      </c>
      <c r="E3378" s="19" t="s">
        <v>10459</v>
      </c>
      <c r="F3378" s="21">
        <f t="shared" si="586"/>
        <v>27.670000000000002</v>
      </c>
      <c r="G3378" s="21">
        <f t="shared" si="586"/>
        <v>27.670000000000002</v>
      </c>
      <c r="H3378" s="21">
        <f t="shared" si="586"/>
        <v>27.670000000000002</v>
      </c>
      <c r="I3378" s="24" t="str">
        <f t="shared" si="587"/>
        <v xml:space="preserve">COM VALOR</v>
      </c>
      <c r="L3378" s="36">
        <v>27.670000000000002</v>
      </c>
      <c r="M3378" s="37">
        <v>27.670000000000002</v>
      </c>
      <c r="N3378" s="36">
        <v>27.670000000000002</v>
      </c>
    </row>
    <row r="3379" ht="25.5">
      <c r="A3379" s="19" t="s">
        <v>10460</v>
      </c>
      <c r="B3379" s="19">
        <v>39412</v>
      </c>
      <c r="C3379" s="20" t="s">
        <v>13846</v>
      </c>
      <c r="D3379" s="19" t="s">
        <v>29</v>
      </c>
      <c r="E3379" s="19" t="s">
        <v>10466</v>
      </c>
      <c r="F3379" s="21">
        <f t="shared" si="586"/>
        <v>18.98</v>
      </c>
      <c r="G3379" s="21">
        <f t="shared" si="586"/>
        <v>18.98</v>
      </c>
      <c r="H3379" s="21">
        <f t="shared" si="586"/>
        <v>18.98</v>
      </c>
      <c r="I3379" s="24" t="str">
        <f t="shared" si="587"/>
        <v xml:space="preserve">COM VALOR</v>
      </c>
      <c r="L3379" s="36">
        <v>18.98</v>
      </c>
      <c r="M3379" s="37">
        <v>18.98</v>
      </c>
      <c r="N3379" s="36">
        <v>18.98</v>
      </c>
    </row>
    <row r="3380" ht="25.5">
      <c r="A3380" s="19" t="s">
        <v>10460</v>
      </c>
      <c r="B3380" s="19">
        <v>39413</v>
      </c>
      <c r="C3380" s="20" t="s">
        <v>13847</v>
      </c>
      <c r="D3380" s="19" t="s">
        <v>29</v>
      </c>
      <c r="E3380" s="19" t="s">
        <v>10459</v>
      </c>
      <c r="F3380" s="21">
        <f t="shared" si="586"/>
        <v>20.52</v>
      </c>
      <c r="G3380" s="21">
        <f t="shared" si="586"/>
        <v>20.52</v>
      </c>
      <c r="H3380" s="21">
        <f t="shared" si="586"/>
        <v>20.52</v>
      </c>
      <c r="I3380" s="24" t="str">
        <f t="shared" si="587"/>
        <v xml:space="preserve">COM VALOR</v>
      </c>
      <c r="L3380" s="36">
        <v>20.52</v>
      </c>
      <c r="M3380" s="37">
        <v>20.52</v>
      </c>
      <c r="N3380" s="36">
        <v>20.52</v>
      </c>
    </row>
    <row r="3381" ht="25.5">
      <c r="A3381" s="19" t="s">
        <v>10460</v>
      </c>
      <c r="B3381" s="19">
        <v>43741</v>
      </c>
      <c r="C3381" s="20" t="s">
        <v>13848</v>
      </c>
      <c r="D3381" s="19" t="s">
        <v>29</v>
      </c>
      <c r="E3381" s="19" t="s">
        <v>10459</v>
      </c>
      <c r="F3381" s="21">
        <f t="shared" si="586"/>
        <v>21.879999999999999</v>
      </c>
      <c r="G3381" s="21">
        <f t="shared" si="586"/>
        <v>21.879999999999999</v>
      </c>
      <c r="H3381" s="21">
        <f t="shared" si="586"/>
        <v>21.879999999999999</v>
      </c>
      <c r="I3381" s="24" t="str">
        <f t="shared" si="587"/>
        <v xml:space="preserve">COM VALOR</v>
      </c>
      <c r="L3381" s="36">
        <v>21.879999999999999</v>
      </c>
      <c r="M3381" s="37">
        <v>21.879999999999999</v>
      </c>
      <c r="N3381" s="36">
        <v>21.879999999999999</v>
      </c>
    </row>
    <row r="3382" ht="25.5">
      <c r="A3382" s="19" t="s">
        <v>10460</v>
      </c>
      <c r="B3382" s="19">
        <v>11062</v>
      </c>
      <c r="C3382" s="20" t="s">
        <v>13849</v>
      </c>
      <c r="D3382" s="19" t="s">
        <v>29</v>
      </c>
      <c r="E3382" s="19" t="s">
        <v>10459</v>
      </c>
      <c r="F3382" s="21">
        <f t="shared" si="586"/>
        <v>51.18</v>
      </c>
      <c r="G3382" s="21">
        <f t="shared" si="586"/>
        <v>51.18</v>
      </c>
      <c r="H3382" s="21">
        <f t="shared" si="586"/>
        <v>51.18</v>
      </c>
      <c r="I3382" s="24" t="str">
        <f t="shared" si="587"/>
        <v xml:space="preserve">COM VALOR</v>
      </c>
      <c r="L3382" s="36">
        <v>51.18</v>
      </c>
      <c r="M3382" s="37">
        <v>51.18</v>
      </c>
      <c r="N3382" s="36">
        <v>51.18</v>
      </c>
    </row>
    <row r="3383" ht="25.5">
      <c r="A3383" s="19" t="s">
        <v>10460</v>
      </c>
      <c r="B3383" s="19">
        <v>11063</v>
      </c>
      <c r="C3383" s="20" t="s">
        <v>13850</v>
      </c>
      <c r="D3383" s="19" t="s">
        <v>29</v>
      </c>
      <c r="E3383" s="19" t="s">
        <v>10459</v>
      </c>
      <c r="F3383" s="21">
        <f t="shared" si="586"/>
        <v>31.32</v>
      </c>
      <c r="G3383" s="21">
        <f t="shared" si="586"/>
        <v>31.32</v>
      </c>
      <c r="H3383" s="21">
        <f t="shared" si="586"/>
        <v>31.32</v>
      </c>
      <c r="I3383" s="24" t="str">
        <f t="shared" si="587"/>
        <v xml:space="preserve">COM VALOR</v>
      </c>
      <c r="L3383" s="36">
        <v>31.32</v>
      </c>
      <c r="M3383" s="37">
        <v>31.32</v>
      </c>
      <c r="N3383" s="36">
        <v>31.32</v>
      </c>
    </row>
    <row r="3384" ht="25.5">
      <c r="A3384" s="19" t="s">
        <v>10460</v>
      </c>
      <c r="B3384" s="19">
        <v>13521</v>
      </c>
      <c r="C3384" s="20" t="s">
        <v>13851</v>
      </c>
      <c r="D3384" s="19" t="s">
        <v>31</v>
      </c>
      <c r="E3384" s="19" t="s">
        <v>10459</v>
      </c>
      <c r="F3384" s="21" t="str">
        <f t="shared" si="586"/>
        <v>VERIFICAR</v>
      </c>
      <c r="G3384" s="21" t="str">
        <f t="shared" si="586"/>
        <v>VERIFICAR</v>
      </c>
      <c r="H3384" s="21" t="str">
        <f t="shared" si="586"/>
        <v>VERIFICAR</v>
      </c>
      <c r="I3384" s="24" t="str">
        <f t="shared" si="587"/>
        <v xml:space="preserve">SEM VALOR</v>
      </c>
      <c r="J3384" s="38"/>
      <c r="L3384" s="36"/>
      <c r="M3384" s="37"/>
      <c r="N3384" s="36"/>
    </row>
    <row r="3385" ht="38.25">
      <c r="A3385" s="19" t="s">
        <v>10460</v>
      </c>
      <c r="B3385" s="19">
        <v>10851</v>
      </c>
      <c r="C3385" s="20" t="s">
        <v>13852</v>
      </c>
      <c r="D3385" s="19" t="s">
        <v>31</v>
      </c>
      <c r="E3385" s="19" t="s">
        <v>10459</v>
      </c>
      <c r="F3385" s="21" t="str">
        <f t="shared" si="586"/>
        <v>VERIFICAR</v>
      </c>
      <c r="G3385" s="21" t="str">
        <f t="shared" si="586"/>
        <v>VERIFICAR</v>
      </c>
      <c r="H3385" s="21" t="str">
        <f t="shared" si="586"/>
        <v>VERIFICAR</v>
      </c>
      <c r="I3385" s="24" t="str">
        <f t="shared" si="587"/>
        <v xml:space="preserve">SEM VALOR</v>
      </c>
      <c r="L3385" s="36"/>
      <c r="M3385" s="37"/>
      <c r="N3385" s="36"/>
    </row>
    <row r="3386" ht="38.25">
      <c r="A3386" s="19" t="s">
        <v>10460</v>
      </c>
      <c r="B3386" s="19">
        <v>39515</v>
      </c>
      <c r="C3386" s="20" t="s">
        <v>13853</v>
      </c>
      <c r="D3386" s="19" t="s">
        <v>31</v>
      </c>
      <c r="E3386" s="19" t="s">
        <v>10459</v>
      </c>
      <c r="F3386" s="21" t="str">
        <f t="shared" si="586"/>
        <v>VERIFICAR</v>
      </c>
      <c r="G3386" s="21" t="str">
        <f t="shared" si="586"/>
        <v>VERIFICAR</v>
      </c>
      <c r="H3386" s="21" t="str">
        <f t="shared" si="586"/>
        <v>VERIFICAR</v>
      </c>
      <c r="I3386" s="24" t="str">
        <f t="shared" si="587"/>
        <v xml:space="preserve">SEM VALOR</v>
      </c>
      <c r="L3386" s="36"/>
      <c r="M3386" s="37"/>
      <c r="N3386" s="36"/>
    </row>
    <row r="3387" ht="38.25">
      <c r="A3387" s="19" t="s">
        <v>10460</v>
      </c>
      <c r="B3387" s="19">
        <v>39516</v>
      </c>
      <c r="C3387" s="20" t="s">
        <v>13854</v>
      </c>
      <c r="D3387" s="19" t="s">
        <v>31</v>
      </c>
      <c r="E3387" s="19" t="s">
        <v>10459</v>
      </c>
      <c r="F3387" s="21" t="str">
        <f t="shared" si="586"/>
        <v>VERIFICAR</v>
      </c>
      <c r="G3387" s="21" t="str">
        <f t="shared" si="586"/>
        <v>VERIFICAR</v>
      </c>
      <c r="H3387" s="21" t="str">
        <f t="shared" si="586"/>
        <v>VERIFICAR</v>
      </c>
      <c r="I3387" s="24" t="str">
        <f t="shared" si="587"/>
        <v xml:space="preserve">SEM VALOR</v>
      </c>
      <c r="L3387" s="36"/>
      <c r="M3387" s="37"/>
      <c r="N3387" s="36"/>
    </row>
    <row r="3388" ht="38.25">
      <c r="A3388" s="19" t="s">
        <v>10460</v>
      </c>
      <c r="B3388" s="19">
        <v>39514</v>
      </c>
      <c r="C3388" s="20" t="s">
        <v>13855</v>
      </c>
      <c r="D3388" s="19" t="s">
        <v>31</v>
      </c>
      <c r="E3388" s="19" t="s">
        <v>10466</v>
      </c>
      <c r="F3388" s="21" t="str">
        <f t="shared" si="586"/>
        <v>VERIFICAR</v>
      </c>
      <c r="G3388" s="21" t="str">
        <f t="shared" si="586"/>
        <v>VERIFICAR</v>
      </c>
      <c r="H3388" s="21" t="str">
        <f t="shared" si="586"/>
        <v>VERIFICAR</v>
      </c>
      <c r="I3388" s="24" t="str">
        <f t="shared" si="587"/>
        <v xml:space="preserve">SEM VALOR</v>
      </c>
      <c r="J3388" s="38"/>
      <c r="L3388" s="36"/>
      <c r="M3388" s="37"/>
      <c r="N3388" s="36"/>
    </row>
    <row r="3389" ht="25.5">
      <c r="A3389" s="19" t="s">
        <v>10460</v>
      </c>
      <c r="B3389" s="19">
        <v>4812</v>
      </c>
      <c r="C3389" s="20" t="s">
        <v>13856</v>
      </c>
      <c r="D3389" s="19" t="s">
        <v>29</v>
      </c>
      <c r="E3389" s="19" t="s">
        <v>10459</v>
      </c>
      <c r="F3389" s="21">
        <f t="shared" si="586"/>
        <v>11.380000000000001</v>
      </c>
      <c r="G3389" s="21">
        <f t="shared" si="586"/>
        <v>11.380000000000001</v>
      </c>
      <c r="H3389" s="21">
        <f t="shared" si="586"/>
        <v>11.380000000000001</v>
      </c>
      <c r="I3389" s="24" t="str">
        <f t="shared" si="587"/>
        <v xml:space="preserve">COM VALOR</v>
      </c>
      <c r="L3389" s="36">
        <v>11.380000000000001</v>
      </c>
      <c r="M3389" s="37">
        <v>11.380000000000001</v>
      </c>
      <c r="N3389" s="36">
        <v>11.380000000000001</v>
      </c>
    </row>
    <row r="3390" ht="12.75">
      <c r="A3390" s="19" t="s">
        <v>10460</v>
      </c>
      <c r="B3390" s="19">
        <v>10849</v>
      </c>
      <c r="C3390" s="20" t="s">
        <v>13857</v>
      </c>
      <c r="D3390" s="19" t="s">
        <v>31</v>
      </c>
      <c r="E3390" s="19" t="s">
        <v>10459</v>
      </c>
      <c r="F3390" s="21" t="str">
        <f t="shared" si="586"/>
        <v>VERIFICAR</v>
      </c>
      <c r="G3390" s="21" t="str">
        <f t="shared" si="586"/>
        <v>VERIFICAR</v>
      </c>
      <c r="H3390" s="21" t="str">
        <f t="shared" si="586"/>
        <v>VERIFICAR</v>
      </c>
      <c r="I3390" s="24" t="str">
        <f t="shared" si="587"/>
        <v xml:space="preserve">SEM VALOR</v>
      </c>
      <c r="L3390" s="36"/>
      <c r="M3390" s="37"/>
      <c r="N3390" s="36"/>
    </row>
    <row r="3391" ht="12.75">
      <c r="A3391" s="19" t="s">
        <v>10460</v>
      </c>
      <c r="B3391" s="19">
        <v>10848</v>
      </c>
      <c r="C3391" s="20" t="s">
        <v>13858</v>
      </c>
      <c r="D3391" s="19" t="s">
        <v>31</v>
      </c>
      <c r="E3391" s="19" t="s">
        <v>10459</v>
      </c>
      <c r="F3391" s="21" t="str">
        <f t="shared" si="586"/>
        <v>VERIFICAR</v>
      </c>
      <c r="G3391" s="21" t="str">
        <f t="shared" si="586"/>
        <v>VERIFICAR</v>
      </c>
      <c r="H3391" s="21" t="str">
        <f t="shared" si="586"/>
        <v>VERIFICAR</v>
      </c>
      <c r="I3391" s="24" t="str">
        <f t="shared" si="587"/>
        <v xml:space="preserve">SEM VALOR</v>
      </c>
      <c r="L3391" s="36"/>
      <c r="M3391" s="37"/>
      <c r="N3391" s="36"/>
    </row>
    <row r="3392" ht="38.25">
      <c r="A3392" s="19" t="s">
        <v>10460</v>
      </c>
      <c r="B3392" s="19">
        <v>4813</v>
      </c>
      <c r="C3392" s="20" t="s">
        <v>13859</v>
      </c>
      <c r="D3392" s="19" t="s">
        <v>29</v>
      </c>
      <c r="E3392" s="19" t="s">
        <v>10466</v>
      </c>
      <c r="F3392" s="21">
        <f t="shared" si="586"/>
        <v>432</v>
      </c>
      <c r="G3392" s="21">
        <f t="shared" si="586"/>
        <v>432</v>
      </c>
      <c r="H3392" s="21">
        <f t="shared" si="586"/>
        <v>432</v>
      </c>
      <c r="I3392" s="24" t="str">
        <f t="shared" si="587"/>
        <v xml:space="preserve">COM VALOR</v>
      </c>
      <c r="J3392" s="38" t="s">
        <v>10710</v>
      </c>
      <c r="L3392" s="36">
        <v>432</v>
      </c>
      <c r="M3392" s="37">
        <v>432</v>
      </c>
      <c r="N3392" s="36">
        <v>432</v>
      </c>
    </row>
    <row r="3393" ht="51">
      <c r="A3393" s="19" t="s">
        <v>10460</v>
      </c>
      <c r="B3393" s="19">
        <v>37560</v>
      </c>
      <c r="C3393" s="20" t="s">
        <v>13860</v>
      </c>
      <c r="D3393" s="19" t="s">
        <v>31</v>
      </c>
      <c r="E3393" s="19" t="s">
        <v>10459</v>
      </c>
      <c r="F3393" s="21" t="str">
        <f t="shared" si="586"/>
        <v>VERIFICAR</v>
      </c>
      <c r="G3393" s="21" t="str">
        <f t="shared" si="586"/>
        <v>VERIFICAR</v>
      </c>
      <c r="H3393" s="21" t="str">
        <f t="shared" si="586"/>
        <v>VERIFICAR</v>
      </c>
      <c r="I3393" s="24" t="str">
        <f t="shared" si="587"/>
        <v xml:space="preserve">SEM VALOR</v>
      </c>
      <c r="L3393" s="36"/>
      <c r="M3393" s="37"/>
      <c r="N3393" s="36"/>
    </row>
    <row r="3394" ht="51">
      <c r="A3394" s="19" t="s">
        <v>10460</v>
      </c>
      <c r="B3394" s="19">
        <v>37557</v>
      </c>
      <c r="C3394" s="20" t="s">
        <v>13861</v>
      </c>
      <c r="D3394" s="19" t="s">
        <v>31</v>
      </c>
      <c r="E3394" s="19" t="s">
        <v>10459</v>
      </c>
      <c r="F3394" s="21" t="str">
        <f t="shared" si="586"/>
        <v>VERIFICAR</v>
      </c>
      <c r="G3394" s="21" t="str">
        <f t="shared" si="586"/>
        <v>VERIFICAR</v>
      </c>
      <c r="H3394" s="21" t="str">
        <f t="shared" si="586"/>
        <v>VERIFICAR</v>
      </c>
      <c r="I3394" s="24" t="str">
        <f t="shared" si="587"/>
        <v xml:space="preserve">SEM VALOR</v>
      </c>
      <c r="L3394" s="36"/>
      <c r="M3394" s="37"/>
      <c r="N3394" s="36"/>
    </row>
    <row r="3395" ht="51">
      <c r="A3395" s="19" t="s">
        <v>10460</v>
      </c>
      <c r="B3395" s="19">
        <v>37556</v>
      </c>
      <c r="C3395" s="20" t="s">
        <v>13862</v>
      </c>
      <c r="D3395" s="19" t="s">
        <v>31</v>
      </c>
      <c r="E3395" s="19" t="s">
        <v>10459</v>
      </c>
      <c r="F3395" s="21" t="str">
        <f t="shared" si="586"/>
        <v>VERIFICAR</v>
      </c>
      <c r="G3395" s="21" t="str">
        <f t="shared" si="586"/>
        <v>VERIFICAR</v>
      </c>
      <c r="H3395" s="21" t="str">
        <f t="shared" si="586"/>
        <v>VERIFICAR</v>
      </c>
      <c r="I3395" s="24" t="str">
        <f t="shared" si="587"/>
        <v xml:space="preserve">SEM VALOR</v>
      </c>
      <c r="J3395" s="38"/>
      <c r="L3395" s="36"/>
      <c r="M3395" s="37"/>
      <c r="N3395" s="36"/>
    </row>
    <row r="3396" ht="51">
      <c r="A3396" s="19" t="s">
        <v>10460</v>
      </c>
      <c r="B3396" s="19">
        <v>37559</v>
      </c>
      <c r="C3396" s="20" t="s">
        <v>13863</v>
      </c>
      <c r="D3396" s="19" t="s">
        <v>31</v>
      </c>
      <c r="E3396" s="19" t="s">
        <v>10459</v>
      </c>
      <c r="F3396" s="21" t="str">
        <f t="shared" si="586"/>
        <v>VERIFICAR</v>
      </c>
      <c r="G3396" s="21" t="str">
        <f t="shared" si="586"/>
        <v>VERIFICAR</v>
      </c>
      <c r="H3396" s="21" t="str">
        <f t="shared" si="586"/>
        <v>VERIFICAR</v>
      </c>
      <c r="I3396" s="24" t="str">
        <f t="shared" si="587"/>
        <v xml:space="preserve">SEM VALOR</v>
      </c>
      <c r="L3396" s="36"/>
      <c r="M3396" s="37"/>
      <c r="N3396" s="36"/>
    </row>
    <row r="3397" ht="51">
      <c r="A3397" s="19" t="s">
        <v>10460</v>
      </c>
      <c r="B3397" s="19">
        <v>37539</v>
      </c>
      <c r="C3397" s="20" t="s">
        <v>13864</v>
      </c>
      <c r="D3397" s="19" t="s">
        <v>31</v>
      </c>
      <c r="E3397" s="19" t="s">
        <v>10466</v>
      </c>
      <c r="F3397" s="21" t="str">
        <f t="shared" si="586"/>
        <v>VERIFICAR</v>
      </c>
      <c r="G3397" s="21" t="str">
        <f t="shared" si="586"/>
        <v>VERIFICAR</v>
      </c>
      <c r="H3397" s="21" t="str">
        <f t="shared" si="586"/>
        <v>VERIFICAR</v>
      </c>
      <c r="I3397" s="24" t="str">
        <f t="shared" si="587"/>
        <v xml:space="preserve">SEM VALOR</v>
      </c>
      <c r="L3397" s="36"/>
      <c r="M3397" s="37"/>
      <c r="N3397" s="36"/>
    </row>
    <row r="3398" ht="51">
      <c r="A3398" s="19" t="s">
        <v>10460</v>
      </c>
      <c r="B3398" s="19">
        <v>37558</v>
      </c>
      <c r="C3398" s="20" t="s">
        <v>13865</v>
      </c>
      <c r="D3398" s="19" t="s">
        <v>31</v>
      </c>
      <c r="E3398" s="19" t="s">
        <v>10459</v>
      </c>
      <c r="F3398" s="21" t="str">
        <f t="shared" si="586"/>
        <v>VERIFICAR</v>
      </c>
      <c r="G3398" s="21" t="str">
        <f t="shared" si="586"/>
        <v>VERIFICAR</v>
      </c>
      <c r="H3398" s="21" t="str">
        <f t="shared" si="586"/>
        <v>VERIFICAR</v>
      </c>
      <c r="I3398" s="24" t="str">
        <f t="shared" si="587"/>
        <v xml:space="preserve">SEM VALOR</v>
      </c>
      <c r="L3398" s="36"/>
      <c r="M3398" s="37"/>
      <c r="N3398" s="36"/>
    </row>
    <row r="3399" ht="25.5">
      <c r="A3399" s="19" t="s">
        <v>10460</v>
      </c>
      <c r="B3399" s="19">
        <v>34723</v>
      </c>
      <c r="C3399" s="20" t="s">
        <v>13866</v>
      </c>
      <c r="D3399" s="19" t="s">
        <v>29</v>
      </c>
      <c r="E3399" s="19" t="s">
        <v>10459</v>
      </c>
      <c r="F3399" s="21">
        <f t="shared" si="586"/>
        <v>997.91999999999996</v>
      </c>
      <c r="G3399" s="21">
        <f t="shared" si="586"/>
        <v>997.91999999999996</v>
      </c>
      <c r="H3399" s="21">
        <f t="shared" si="586"/>
        <v>997.91999999999996</v>
      </c>
      <c r="I3399" s="24" t="str">
        <f t="shared" si="587"/>
        <v xml:space="preserve">COM VALOR</v>
      </c>
      <c r="J3399" s="38" t="s">
        <v>10710</v>
      </c>
      <c r="L3399" s="36">
        <v>997.91999999999996</v>
      </c>
      <c r="M3399" s="37">
        <v>997.91999999999996</v>
      </c>
      <c r="N3399" s="36">
        <v>997.91999999999996</v>
      </c>
    </row>
    <row r="3400" ht="25.5">
      <c r="A3400" s="19" t="s">
        <v>10460</v>
      </c>
      <c r="B3400" s="19">
        <v>34721</v>
      </c>
      <c r="C3400" s="20" t="s">
        <v>13867</v>
      </c>
      <c r="D3400" s="19" t="s">
        <v>29</v>
      </c>
      <c r="E3400" s="19" t="s">
        <v>10459</v>
      </c>
      <c r="F3400" s="21" t="str">
        <f t="shared" si="586"/>
        <v>VERIFICAR</v>
      </c>
      <c r="G3400" s="21" t="str">
        <f t="shared" si="586"/>
        <v>VERIFICAR</v>
      </c>
      <c r="H3400" s="21" t="str">
        <f t="shared" si="586"/>
        <v>VERIFICAR</v>
      </c>
      <c r="I3400" s="24" t="str">
        <f t="shared" si="587"/>
        <v xml:space="preserve">SEM VALOR</v>
      </c>
      <c r="L3400" s="36"/>
      <c r="M3400" s="37"/>
      <c r="N3400" s="36"/>
    </row>
    <row r="3401" ht="25.5">
      <c r="A3401" s="19" t="s">
        <v>10460</v>
      </c>
      <c r="B3401" s="19">
        <v>4309</v>
      </c>
      <c r="C3401" s="20" t="s">
        <v>13868</v>
      </c>
      <c r="D3401" s="19" t="s">
        <v>31</v>
      </c>
      <c r="E3401" s="19" t="s">
        <v>10459</v>
      </c>
      <c r="F3401" s="21">
        <f t="shared" si="586"/>
        <v>5.1399999999999997</v>
      </c>
      <c r="G3401" s="21">
        <f t="shared" si="586"/>
        <v>5.1399999999999997</v>
      </c>
      <c r="H3401" s="21">
        <f t="shared" si="586"/>
        <v>5.1399999999999997</v>
      </c>
      <c r="I3401" s="24" t="str">
        <f t="shared" si="587"/>
        <v xml:space="preserve">COM VALOR</v>
      </c>
      <c r="L3401" s="36">
        <v>5.1399999999999997</v>
      </c>
      <c r="M3401" s="37">
        <v>5.1399999999999997</v>
      </c>
      <c r="N3401" s="36">
        <v>5.1399999999999997</v>
      </c>
    </row>
    <row r="3402" ht="25.5">
      <c r="A3402" s="19" t="s">
        <v>10460</v>
      </c>
      <c r="B3402" s="19">
        <v>4307</v>
      </c>
      <c r="C3402" s="20" t="s">
        <v>13869</v>
      </c>
      <c r="D3402" s="19" t="s">
        <v>31</v>
      </c>
      <c r="E3402" s="19" t="s">
        <v>10459</v>
      </c>
      <c r="F3402" s="21">
        <f t="shared" si="586"/>
        <v>8.8000000000000007</v>
      </c>
      <c r="G3402" s="21">
        <f t="shared" si="586"/>
        <v>8.8000000000000007</v>
      </c>
      <c r="H3402" s="21">
        <f t="shared" si="586"/>
        <v>8.8000000000000007</v>
      </c>
      <c r="I3402" s="24" t="str">
        <f t="shared" si="587"/>
        <v xml:space="preserve">COM VALOR</v>
      </c>
      <c r="L3402" s="36">
        <v>8.8000000000000007</v>
      </c>
      <c r="M3402" s="37">
        <v>8.8000000000000007</v>
      </c>
      <c r="N3402" s="36">
        <v>8.8000000000000007</v>
      </c>
    </row>
    <row r="3403" ht="25.5">
      <c r="A3403" s="19" t="s">
        <v>10460</v>
      </c>
      <c r="B3403" s="19">
        <v>10850</v>
      </c>
      <c r="C3403" s="20" t="s">
        <v>13870</v>
      </c>
      <c r="D3403" s="19" t="s">
        <v>31</v>
      </c>
      <c r="E3403" s="19" t="s">
        <v>10459</v>
      </c>
      <c r="F3403" s="21" t="str">
        <f t="shared" ref="F3403:H3466" si="588">IF(L3403=0,"VERIFICAR",L3403)</f>
        <v>VERIFICAR</v>
      </c>
      <c r="G3403" s="21" t="str">
        <f t="shared" si="588"/>
        <v>VERIFICAR</v>
      </c>
      <c r="H3403" s="21" t="str">
        <f t="shared" si="588"/>
        <v>VERIFICAR</v>
      </c>
      <c r="I3403" s="24" t="str">
        <f t="shared" ref="I3403:I3466" si="589">IF(OR(L3403=0,M3403=0,N3403=0),"SEM VALOR","COM VALOR")</f>
        <v xml:space="preserve">SEM VALOR</v>
      </c>
      <c r="L3403" s="36"/>
      <c r="M3403" s="37"/>
      <c r="N3403" s="36"/>
    </row>
    <row r="3404" ht="63.75">
      <c r="A3404" s="19" t="s">
        <v>10460</v>
      </c>
      <c r="B3404" s="19">
        <v>42438</v>
      </c>
      <c r="C3404" s="20" t="s">
        <v>13871</v>
      </c>
      <c r="D3404" s="19" t="s">
        <v>31</v>
      </c>
      <c r="E3404" s="19" t="s">
        <v>10459</v>
      </c>
      <c r="F3404" s="21" t="str">
        <f t="shared" si="588"/>
        <v>VERIFICAR</v>
      </c>
      <c r="G3404" s="21" t="str">
        <f t="shared" si="588"/>
        <v>VERIFICAR</v>
      </c>
      <c r="H3404" s="21" t="str">
        <f t="shared" si="588"/>
        <v>VERIFICAR</v>
      </c>
      <c r="I3404" s="24" t="str">
        <f t="shared" si="589"/>
        <v xml:space="preserve">SEM VALOR</v>
      </c>
      <c r="L3404" s="36"/>
      <c r="M3404" s="37"/>
      <c r="N3404" s="36"/>
    </row>
    <row r="3405" ht="25.5">
      <c r="A3405" s="19" t="s">
        <v>10460</v>
      </c>
      <c r="B3405" s="19">
        <v>4792</v>
      </c>
      <c r="C3405" s="20" t="s">
        <v>13872</v>
      </c>
      <c r="D3405" s="19" t="s">
        <v>29</v>
      </c>
      <c r="E3405" s="19" t="s">
        <v>10459</v>
      </c>
      <c r="F3405" s="21">
        <f t="shared" si="588"/>
        <v>157.09</v>
      </c>
      <c r="G3405" s="21">
        <f t="shared" si="588"/>
        <v>157.09</v>
      </c>
      <c r="H3405" s="21">
        <f t="shared" si="588"/>
        <v>157.09</v>
      </c>
      <c r="I3405" s="24" t="str">
        <f t="shared" si="589"/>
        <v xml:space="preserve">COM VALOR</v>
      </c>
      <c r="L3405" s="36">
        <v>157.09</v>
      </c>
      <c r="M3405" s="37">
        <v>157.09</v>
      </c>
      <c r="N3405" s="36">
        <v>157.09</v>
      </c>
    </row>
    <row r="3406" ht="25.5">
      <c r="A3406" s="19" t="s">
        <v>10460</v>
      </c>
      <c r="B3406" s="19">
        <v>4790</v>
      </c>
      <c r="C3406" s="20" t="s">
        <v>13873</v>
      </c>
      <c r="D3406" s="19" t="s">
        <v>29</v>
      </c>
      <c r="E3406" s="19" t="s">
        <v>10466</v>
      </c>
      <c r="F3406" s="21">
        <f t="shared" si="588"/>
        <v>94.450000000000003</v>
      </c>
      <c r="G3406" s="21">
        <f t="shared" si="588"/>
        <v>94.450000000000003</v>
      </c>
      <c r="H3406" s="21">
        <f t="shared" si="588"/>
        <v>94.450000000000003</v>
      </c>
      <c r="I3406" s="24" t="str">
        <f t="shared" si="589"/>
        <v xml:space="preserve">COM VALOR</v>
      </c>
      <c r="L3406" s="36">
        <v>94.450000000000003</v>
      </c>
      <c r="M3406" s="37">
        <v>94.450000000000003</v>
      </c>
      <c r="N3406" s="36">
        <v>94.450000000000003</v>
      </c>
    </row>
    <row r="3407" ht="38.25">
      <c r="A3407" s="19" t="s">
        <v>10460</v>
      </c>
      <c r="B3407" s="19">
        <v>40671</v>
      </c>
      <c r="C3407" s="20" t="s">
        <v>13874</v>
      </c>
      <c r="D3407" s="19" t="s">
        <v>29</v>
      </c>
      <c r="E3407" s="19" t="s">
        <v>10459</v>
      </c>
      <c r="F3407" s="21">
        <f t="shared" si="588"/>
        <v>107.78</v>
      </c>
      <c r="G3407" s="21">
        <f t="shared" si="588"/>
        <v>107.78</v>
      </c>
      <c r="H3407" s="21">
        <f t="shared" si="588"/>
        <v>107.78</v>
      </c>
      <c r="I3407" s="24" t="str">
        <f t="shared" si="589"/>
        <v xml:space="preserve">COM VALOR</v>
      </c>
      <c r="L3407" s="36">
        <v>107.78</v>
      </c>
      <c r="M3407" s="37">
        <v>107.78</v>
      </c>
      <c r="N3407" s="36">
        <v>107.78</v>
      </c>
    </row>
    <row r="3408" ht="25.5">
      <c r="A3408" s="19" t="s">
        <v>10460</v>
      </c>
      <c r="B3408" s="19">
        <v>7552</v>
      </c>
      <c r="C3408" s="20" t="s">
        <v>13875</v>
      </c>
      <c r="D3408" s="19" t="s">
        <v>31</v>
      </c>
      <c r="E3408" s="19" t="s">
        <v>10459</v>
      </c>
      <c r="F3408" s="21">
        <f t="shared" si="588"/>
        <v>19.300000000000001</v>
      </c>
      <c r="G3408" s="21">
        <f t="shared" si="588"/>
        <v>19.300000000000001</v>
      </c>
      <c r="H3408" s="21">
        <f t="shared" si="588"/>
        <v>19.300000000000001</v>
      </c>
      <c r="I3408" s="24" t="str">
        <f t="shared" si="589"/>
        <v xml:space="preserve">COM VALOR</v>
      </c>
      <c r="L3408" s="36">
        <v>19.300000000000001</v>
      </c>
      <c r="M3408" s="37">
        <v>19.300000000000001</v>
      </c>
      <c r="N3408" s="36">
        <v>19.300000000000001</v>
      </c>
    </row>
    <row r="3409" ht="12.75">
      <c r="A3409" s="19" t="s">
        <v>10460</v>
      </c>
      <c r="B3409" s="19">
        <v>4893</v>
      </c>
      <c r="C3409" s="20" t="s">
        <v>13876</v>
      </c>
      <c r="D3409" s="19" t="s">
        <v>31</v>
      </c>
      <c r="E3409" s="19" t="s">
        <v>10459</v>
      </c>
      <c r="F3409" s="21">
        <f t="shared" si="588"/>
        <v>15.84</v>
      </c>
      <c r="G3409" s="21">
        <f t="shared" si="588"/>
        <v>15.84</v>
      </c>
      <c r="H3409" s="21">
        <f t="shared" si="588"/>
        <v>15.84</v>
      </c>
      <c r="I3409" s="24" t="str">
        <f t="shared" si="589"/>
        <v xml:space="preserve">COM VALOR</v>
      </c>
      <c r="L3409" s="36">
        <v>15.84</v>
      </c>
      <c r="M3409" s="37">
        <v>15.84</v>
      </c>
      <c r="N3409" s="36">
        <v>15.84</v>
      </c>
    </row>
    <row r="3410" ht="12.75">
      <c r="A3410" s="19" t="s">
        <v>10460</v>
      </c>
      <c r="B3410" s="19">
        <v>4894</v>
      </c>
      <c r="C3410" s="20" t="s">
        <v>13877</v>
      </c>
      <c r="D3410" s="19" t="s">
        <v>31</v>
      </c>
      <c r="E3410" s="19" t="s">
        <v>10459</v>
      </c>
      <c r="F3410" s="21">
        <f t="shared" si="588"/>
        <v>13.59</v>
      </c>
      <c r="G3410" s="21">
        <f t="shared" si="588"/>
        <v>13.59</v>
      </c>
      <c r="H3410" s="21">
        <f t="shared" si="588"/>
        <v>13.59</v>
      </c>
      <c r="I3410" s="24" t="str">
        <f t="shared" si="589"/>
        <v xml:space="preserve">COM VALOR</v>
      </c>
      <c r="L3410" s="36">
        <v>13.59</v>
      </c>
      <c r="M3410" s="37">
        <v>13.59</v>
      </c>
      <c r="N3410" s="36">
        <v>13.59</v>
      </c>
    </row>
    <row r="3411" ht="12.75">
      <c r="A3411" s="19" t="s">
        <v>10460</v>
      </c>
      <c r="B3411" s="19">
        <v>4890</v>
      </c>
      <c r="C3411" s="20" t="s">
        <v>13878</v>
      </c>
      <c r="D3411" s="19" t="s">
        <v>31</v>
      </c>
      <c r="E3411" s="19" t="s">
        <v>10459</v>
      </c>
      <c r="F3411" s="21">
        <f t="shared" si="588"/>
        <v>8.6999999999999993</v>
      </c>
      <c r="G3411" s="21">
        <f t="shared" si="588"/>
        <v>8.6999999999999993</v>
      </c>
      <c r="H3411" s="21">
        <f t="shared" si="588"/>
        <v>8.6999999999999993</v>
      </c>
      <c r="I3411" s="24" t="str">
        <f t="shared" si="589"/>
        <v xml:space="preserve">COM VALOR</v>
      </c>
      <c r="L3411" s="36">
        <v>8.6999999999999993</v>
      </c>
      <c r="M3411" s="37">
        <v>8.6999999999999993</v>
      </c>
      <c r="N3411" s="36">
        <v>8.6999999999999993</v>
      </c>
    </row>
    <row r="3412" ht="12.75">
      <c r="A3412" s="19" t="s">
        <v>10460</v>
      </c>
      <c r="B3412" s="19">
        <v>4888</v>
      </c>
      <c r="C3412" s="20" t="s">
        <v>13879</v>
      </c>
      <c r="D3412" s="19" t="s">
        <v>31</v>
      </c>
      <c r="E3412" s="19" t="s">
        <v>10459</v>
      </c>
      <c r="F3412" s="21">
        <f t="shared" si="588"/>
        <v>4.6299999999999999</v>
      </c>
      <c r="G3412" s="21">
        <f t="shared" si="588"/>
        <v>4.6299999999999999</v>
      </c>
      <c r="H3412" s="21">
        <f t="shared" si="588"/>
        <v>4.6299999999999999</v>
      </c>
      <c r="I3412" s="24" t="str">
        <f t="shared" si="589"/>
        <v xml:space="preserve">COM VALOR</v>
      </c>
      <c r="L3412" s="36">
        <v>4.6299999999999999</v>
      </c>
      <c r="M3412" s="37">
        <v>4.6299999999999999</v>
      </c>
      <c r="N3412" s="36">
        <v>4.6299999999999999</v>
      </c>
    </row>
    <row r="3413" ht="12.75">
      <c r="A3413" s="19" t="s">
        <v>10460</v>
      </c>
      <c r="B3413" s="19">
        <v>12411</v>
      </c>
      <c r="C3413" s="20" t="s">
        <v>13880</v>
      </c>
      <c r="D3413" s="19" t="s">
        <v>31</v>
      </c>
      <c r="E3413" s="19" t="s">
        <v>10459</v>
      </c>
      <c r="F3413" s="21">
        <f t="shared" si="588"/>
        <v>46.829999999999998</v>
      </c>
      <c r="G3413" s="21">
        <f t="shared" si="588"/>
        <v>46.829999999999998</v>
      </c>
      <c r="H3413" s="21">
        <f t="shared" si="588"/>
        <v>46.829999999999998</v>
      </c>
      <c r="I3413" s="24" t="str">
        <f t="shared" si="589"/>
        <v xml:space="preserve">COM VALOR</v>
      </c>
      <c r="L3413" s="36">
        <v>46.829999999999998</v>
      </c>
      <c r="M3413" s="37">
        <v>46.829999999999998</v>
      </c>
      <c r="N3413" s="36">
        <v>46.829999999999998</v>
      </c>
    </row>
    <row r="3414" ht="12.75">
      <c r="A3414" s="19" t="s">
        <v>10460</v>
      </c>
      <c r="B3414" s="19">
        <v>4891</v>
      </c>
      <c r="C3414" s="20" t="s">
        <v>13881</v>
      </c>
      <c r="D3414" s="19" t="s">
        <v>31</v>
      </c>
      <c r="E3414" s="19" t="s">
        <v>10459</v>
      </c>
      <c r="F3414" s="21">
        <f t="shared" si="588"/>
        <v>23.41</v>
      </c>
      <c r="G3414" s="21">
        <f t="shared" si="588"/>
        <v>23.41</v>
      </c>
      <c r="H3414" s="21">
        <f t="shared" si="588"/>
        <v>23.41</v>
      </c>
      <c r="I3414" s="24" t="str">
        <f t="shared" si="589"/>
        <v xml:space="preserve">COM VALOR</v>
      </c>
      <c r="L3414" s="36">
        <v>23.41</v>
      </c>
      <c r="M3414" s="37">
        <v>23.41</v>
      </c>
      <c r="N3414" s="36">
        <v>23.41</v>
      </c>
    </row>
    <row r="3415" ht="12.75">
      <c r="A3415" s="19" t="s">
        <v>10460</v>
      </c>
      <c r="B3415" s="19">
        <v>4892</v>
      </c>
      <c r="C3415" s="20" t="s">
        <v>13882</v>
      </c>
      <c r="D3415" s="19" t="s">
        <v>31</v>
      </c>
      <c r="E3415" s="19" t="s">
        <v>10459</v>
      </c>
      <c r="F3415" s="21">
        <f t="shared" si="588"/>
        <v>65.569999999999993</v>
      </c>
      <c r="G3415" s="21">
        <f t="shared" si="588"/>
        <v>65.569999999999993</v>
      </c>
      <c r="H3415" s="21">
        <f t="shared" si="588"/>
        <v>65.569999999999993</v>
      </c>
      <c r="I3415" s="24" t="str">
        <f t="shared" si="589"/>
        <v xml:space="preserve">COM VALOR</v>
      </c>
      <c r="L3415" s="36">
        <v>65.569999999999993</v>
      </c>
      <c r="M3415" s="37">
        <v>65.569999999999993</v>
      </c>
      <c r="N3415" s="36">
        <v>65.569999999999993</v>
      </c>
    </row>
    <row r="3416" ht="12.75">
      <c r="A3416" s="19" t="s">
        <v>10460</v>
      </c>
      <c r="B3416" s="19">
        <v>4889</v>
      </c>
      <c r="C3416" s="20" t="s">
        <v>13883</v>
      </c>
      <c r="D3416" s="19" t="s">
        <v>31</v>
      </c>
      <c r="E3416" s="19" t="s">
        <v>10459</v>
      </c>
      <c r="F3416" s="21">
        <f t="shared" si="588"/>
        <v>6.2599999999999998</v>
      </c>
      <c r="G3416" s="21">
        <f t="shared" si="588"/>
        <v>6.2599999999999998</v>
      </c>
      <c r="H3416" s="21">
        <f t="shared" si="588"/>
        <v>6.2599999999999998</v>
      </c>
      <c r="I3416" s="24" t="str">
        <f t="shared" si="589"/>
        <v xml:space="preserve">COM VALOR</v>
      </c>
      <c r="L3416" s="36">
        <v>6.2599999999999998</v>
      </c>
      <c r="M3416" s="37">
        <v>6.2599999999999998</v>
      </c>
      <c r="N3416" s="36">
        <v>6.2599999999999998</v>
      </c>
    </row>
    <row r="3417" ht="12.75">
      <c r="A3417" s="19" t="s">
        <v>10460</v>
      </c>
      <c r="B3417" s="19">
        <v>12412</v>
      </c>
      <c r="C3417" s="20" t="s">
        <v>13884</v>
      </c>
      <c r="D3417" s="19" t="s">
        <v>31</v>
      </c>
      <c r="E3417" s="19" t="s">
        <v>10459</v>
      </c>
      <c r="F3417" s="21">
        <f t="shared" si="588"/>
        <v>121.87</v>
      </c>
      <c r="G3417" s="21">
        <f t="shared" si="588"/>
        <v>121.87</v>
      </c>
      <c r="H3417" s="21">
        <f t="shared" si="588"/>
        <v>121.87</v>
      </c>
      <c r="I3417" s="24" t="str">
        <f t="shared" si="589"/>
        <v xml:space="preserve">COM VALOR</v>
      </c>
      <c r="L3417" s="36">
        <v>121.87</v>
      </c>
      <c r="M3417" s="37">
        <v>121.87</v>
      </c>
      <c r="N3417" s="36">
        <v>121.87</v>
      </c>
    </row>
    <row r="3418" ht="12.75">
      <c r="A3418" s="19" t="s">
        <v>10460</v>
      </c>
      <c r="B3418" s="19">
        <v>4907</v>
      </c>
      <c r="C3418" s="20" t="s">
        <v>13885</v>
      </c>
      <c r="D3418" s="19" t="s">
        <v>31</v>
      </c>
      <c r="E3418" s="19" t="s">
        <v>10459</v>
      </c>
      <c r="F3418" s="21">
        <f t="shared" si="588"/>
        <v>23.949999999999999</v>
      </c>
      <c r="G3418" s="21">
        <f t="shared" si="588"/>
        <v>23.949999999999999</v>
      </c>
      <c r="H3418" s="21">
        <f t="shared" si="588"/>
        <v>23.949999999999999</v>
      </c>
      <c r="I3418" s="24" t="str">
        <f t="shared" si="589"/>
        <v xml:space="preserve">COM VALOR</v>
      </c>
      <c r="L3418" s="36">
        <v>23.949999999999999</v>
      </c>
      <c r="M3418" s="37">
        <v>23.949999999999999</v>
      </c>
      <c r="N3418" s="36">
        <v>23.949999999999999</v>
      </c>
    </row>
    <row r="3419" ht="12.75">
      <c r="A3419" s="19" t="s">
        <v>10460</v>
      </c>
      <c r="B3419" s="19">
        <v>4902</v>
      </c>
      <c r="C3419" s="20" t="s">
        <v>13886</v>
      </c>
      <c r="D3419" s="19" t="s">
        <v>31</v>
      </c>
      <c r="E3419" s="19" t="s">
        <v>10459</v>
      </c>
      <c r="F3419" s="21">
        <f t="shared" si="588"/>
        <v>62.119999999999997</v>
      </c>
      <c r="G3419" s="21">
        <f t="shared" si="588"/>
        <v>62.119999999999997</v>
      </c>
      <c r="H3419" s="21">
        <f t="shared" si="588"/>
        <v>62.119999999999997</v>
      </c>
      <c r="I3419" s="24" t="str">
        <f t="shared" si="589"/>
        <v xml:space="preserve">COM VALOR</v>
      </c>
      <c r="L3419" s="36">
        <v>62.119999999999997</v>
      </c>
      <c r="M3419" s="37">
        <v>62.119999999999997</v>
      </c>
      <c r="N3419" s="36">
        <v>62.119999999999997</v>
      </c>
    </row>
    <row r="3420" ht="12.75">
      <c r="A3420" s="19" t="s">
        <v>10460</v>
      </c>
      <c r="B3420" s="19">
        <v>4741</v>
      </c>
      <c r="C3420" s="20" t="s">
        <v>13887</v>
      </c>
      <c r="D3420" s="19" t="s">
        <v>121</v>
      </c>
      <c r="E3420" s="19" t="s">
        <v>10459</v>
      </c>
      <c r="F3420" s="21">
        <f t="shared" si="588"/>
        <v>94.920000000000002</v>
      </c>
      <c r="G3420" s="21">
        <f t="shared" si="588"/>
        <v>94.920000000000002</v>
      </c>
      <c r="H3420" s="21">
        <f t="shared" si="588"/>
        <v>94.920000000000002</v>
      </c>
      <c r="I3420" s="24" t="str">
        <f t="shared" si="589"/>
        <v xml:space="preserve">COM VALOR</v>
      </c>
      <c r="L3420" s="36">
        <v>94.920000000000002</v>
      </c>
      <c r="M3420" s="37">
        <v>94.920000000000002</v>
      </c>
      <c r="N3420" s="36">
        <v>94.920000000000002</v>
      </c>
    </row>
    <row r="3421" ht="12.75">
      <c r="A3421" s="19" t="s">
        <v>10604</v>
      </c>
      <c r="B3421" s="19">
        <v>4752</v>
      </c>
      <c r="C3421" s="20" t="s">
        <v>13888</v>
      </c>
      <c r="D3421" s="19" t="s">
        <v>2032</v>
      </c>
      <c r="E3421" s="19" t="s">
        <v>10459</v>
      </c>
      <c r="F3421" s="21">
        <f t="shared" si="588"/>
        <v>23.329999999999998</v>
      </c>
      <c r="G3421" s="21">
        <f t="shared" si="588"/>
        <v>23.329999999999998</v>
      </c>
      <c r="H3421" s="21">
        <f t="shared" si="588"/>
        <v>23.329999999999998</v>
      </c>
      <c r="I3421" s="24" t="str">
        <f t="shared" si="589"/>
        <v xml:space="preserve">COM VALOR</v>
      </c>
      <c r="L3421" s="36">
        <v>23.329999999999998</v>
      </c>
      <c r="M3421" s="37">
        <v>23.329999999999998</v>
      </c>
      <c r="N3421" s="36">
        <v>23.329999999999998</v>
      </c>
    </row>
    <row r="3422" ht="12.75">
      <c r="A3422" s="19" t="s">
        <v>10604</v>
      </c>
      <c r="B3422" s="19">
        <v>41091</v>
      </c>
      <c r="C3422" s="20" t="s">
        <v>13889</v>
      </c>
      <c r="D3422" s="19" t="s">
        <v>7087</v>
      </c>
      <c r="E3422" s="19" t="s">
        <v>10459</v>
      </c>
      <c r="F3422" s="21">
        <f t="shared" si="588"/>
        <v>4086.9000000000001</v>
      </c>
      <c r="G3422" s="21">
        <f t="shared" si="588"/>
        <v>4086.9000000000001</v>
      </c>
      <c r="H3422" s="21">
        <f t="shared" si="588"/>
        <v>4086.9000000000001</v>
      </c>
      <c r="I3422" s="24" t="str">
        <f t="shared" si="589"/>
        <v xml:space="preserve">COM VALOR</v>
      </c>
      <c r="L3422" s="36">
        <v>4086.9000000000001</v>
      </c>
      <c r="M3422" s="37">
        <v>4086.9000000000001</v>
      </c>
      <c r="N3422" s="36">
        <v>4086.9000000000001</v>
      </c>
    </row>
    <row r="3423" ht="38.25">
      <c r="A3423" s="19" t="s">
        <v>10638</v>
      </c>
      <c r="B3423" s="19">
        <v>13954</v>
      </c>
      <c r="C3423" s="20" t="s">
        <v>13890</v>
      </c>
      <c r="D3423" s="19" t="s">
        <v>31</v>
      </c>
      <c r="E3423" s="19" t="s">
        <v>10459</v>
      </c>
      <c r="F3423" s="21" t="str">
        <f t="shared" si="588"/>
        <v>VERIFICAR</v>
      </c>
      <c r="G3423" s="21" t="str">
        <f t="shared" si="588"/>
        <v>VERIFICAR</v>
      </c>
      <c r="H3423" s="21" t="str">
        <f t="shared" si="588"/>
        <v>VERIFICAR</v>
      </c>
      <c r="I3423" s="24" t="str">
        <f t="shared" si="589"/>
        <v xml:space="preserve">SEM VALOR</v>
      </c>
      <c r="L3423" s="36"/>
      <c r="M3423" s="37"/>
      <c r="N3423" s="36"/>
    </row>
    <row r="3424" ht="25.5">
      <c r="A3424" s="19" t="s">
        <v>10460</v>
      </c>
      <c r="B3424" s="19">
        <v>3411</v>
      </c>
      <c r="C3424" s="20" t="s">
        <v>13891</v>
      </c>
      <c r="D3424" s="19" t="s">
        <v>302</v>
      </c>
      <c r="E3424" s="19" t="s">
        <v>10459</v>
      </c>
      <c r="F3424" s="21" t="str">
        <f t="shared" si="588"/>
        <v>VERIFICAR</v>
      </c>
      <c r="G3424" s="21" t="str">
        <f t="shared" si="588"/>
        <v>VERIFICAR</v>
      </c>
      <c r="H3424" s="21" t="str">
        <f t="shared" si="588"/>
        <v>VERIFICAR</v>
      </c>
      <c r="I3424" s="24" t="str">
        <f t="shared" si="589"/>
        <v xml:space="preserve">SEM VALOR</v>
      </c>
      <c r="L3424" s="36"/>
      <c r="M3424" s="37"/>
      <c r="N3424" s="36"/>
    </row>
    <row r="3425" ht="12.75">
      <c r="A3425" s="19" t="s">
        <v>10460</v>
      </c>
      <c r="B3425" s="19">
        <v>39995</v>
      </c>
      <c r="C3425" s="20" t="s">
        <v>13892</v>
      </c>
      <c r="D3425" s="19" t="s">
        <v>121</v>
      </c>
      <c r="E3425" s="19" t="s">
        <v>10459</v>
      </c>
      <c r="F3425" s="21" t="str">
        <f t="shared" si="588"/>
        <v>VERIFICAR</v>
      </c>
      <c r="G3425" s="21" t="str">
        <f t="shared" si="588"/>
        <v>VERIFICAR</v>
      </c>
      <c r="H3425" s="21" t="str">
        <f t="shared" si="588"/>
        <v>VERIFICAR</v>
      </c>
      <c r="I3425" s="24" t="str">
        <f t="shared" si="589"/>
        <v xml:space="preserve">SEM VALOR</v>
      </c>
      <c r="L3425" s="36"/>
      <c r="M3425" s="37"/>
      <c r="N3425" s="36"/>
    </row>
    <row r="3426" ht="25.5">
      <c r="A3426" s="19" t="s">
        <v>10460</v>
      </c>
      <c r="B3426" s="19">
        <v>11615</v>
      </c>
      <c r="C3426" s="20" t="s">
        <v>13893</v>
      </c>
      <c r="D3426" s="19" t="s">
        <v>29</v>
      </c>
      <c r="E3426" s="19" t="s">
        <v>10459</v>
      </c>
      <c r="F3426" s="21" t="str">
        <f t="shared" si="588"/>
        <v>VERIFICAR</v>
      </c>
      <c r="G3426" s="21" t="str">
        <f t="shared" si="588"/>
        <v>VERIFICAR</v>
      </c>
      <c r="H3426" s="21" t="str">
        <f t="shared" si="588"/>
        <v>VERIFICAR</v>
      </c>
      <c r="I3426" s="24" t="str">
        <f t="shared" si="589"/>
        <v xml:space="preserve">SEM VALOR</v>
      </c>
      <c r="L3426" s="36"/>
      <c r="M3426" s="37"/>
      <c r="N3426" s="36"/>
    </row>
    <row r="3427" ht="25.5">
      <c r="A3427" s="19" t="s">
        <v>10460</v>
      </c>
      <c r="B3427" s="19">
        <v>3408</v>
      </c>
      <c r="C3427" s="20" t="s">
        <v>13894</v>
      </c>
      <c r="D3427" s="19" t="s">
        <v>29</v>
      </c>
      <c r="E3427" s="19" t="s">
        <v>10466</v>
      </c>
      <c r="F3427" s="21" t="str">
        <f t="shared" si="588"/>
        <v>VERIFICAR</v>
      </c>
      <c r="G3427" s="21" t="str">
        <f t="shared" si="588"/>
        <v>VERIFICAR</v>
      </c>
      <c r="H3427" s="21" t="str">
        <f t="shared" si="588"/>
        <v>VERIFICAR</v>
      </c>
      <c r="I3427" s="24" t="str">
        <f t="shared" si="589"/>
        <v xml:space="preserve">SEM VALOR</v>
      </c>
      <c r="L3427" s="36"/>
      <c r="M3427" s="37"/>
      <c r="N3427" s="36"/>
    </row>
    <row r="3428" ht="25.5">
      <c r="A3428" s="19" t="s">
        <v>10460</v>
      </c>
      <c r="B3428" s="19">
        <v>3409</v>
      </c>
      <c r="C3428" s="20" t="s">
        <v>13895</v>
      </c>
      <c r="D3428" s="19" t="s">
        <v>29</v>
      </c>
      <c r="E3428" s="19" t="s">
        <v>10459</v>
      </c>
      <c r="F3428" s="40">
        <v>400</v>
      </c>
      <c r="G3428" s="40">
        <v>400</v>
      </c>
      <c r="H3428" s="40">
        <v>400</v>
      </c>
      <c r="I3428" s="24" t="str">
        <f t="shared" si="589"/>
        <v xml:space="preserve">SEM VALOR</v>
      </c>
      <c r="J3428" s="39"/>
      <c r="L3428" s="36"/>
      <c r="M3428" s="37"/>
      <c r="N3428" s="36"/>
    </row>
    <row r="3429" ht="12.75">
      <c r="A3429" s="19" t="s">
        <v>10460</v>
      </c>
      <c r="B3429" s="19">
        <v>11427</v>
      </c>
      <c r="C3429" s="20" t="s">
        <v>13896</v>
      </c>
      <c r="D3429" s="19" t="s">
        <v>302</v>
      </c>
      <c r="E3429" s="19" t="s">
        <v>10459</v>
      </c>
      <c r="F3429" s="21" t="str">
        <f t="shared" si="588"/>
        <v>VERIFICAR</v>
      </c>
      <c r="G3429" s="21" t="str">
        <f t="shared" si="588"/>
        <v>VERIFICAR</v>
      </c>
      <c r="H3429" s="21" t="str">
        <f t="shared" si="588"/>
        <v>VERIFICAR</v>
      </c>
      <c r="I3429" s="24" t="str">
        <f t="shared" si="589"/>
        <v xml:space="preserve">SEM VALOR</v>
      </c>
      <c r="L3429" s="36"/>
      <c r="M3429" s="37"/>
      <c r="N3429" s="36"/>
    </row>
    <row r="3430" ht="25.5">
      <c r="A3430" s="19" t="s">
        <v>10460</v>
      </c>
      <c r="B3430" s="19">
        <v>4491</v>
      </c>
      <c r="C3430" s="20" t="s">
        <v>13897</v>
      </c>
      <c r="D3430" s="19" t="s">
        <v>38</v>
      </c>
      <c r="E3430" s="19" t="s">
        <v>10459</v>
      </c>
      <c r="F3430" s="21">
        <f t="shared" si="588"/>
        <v>6.8399999999999999</v>
      </c>
      <c r="G3430" s="21">
        <f t="shared" si="588"/>
        <v>6.8399999999999999</v>
      </c>
      <c r="H3430" s="21">
        <f t="shared" si="588"/>
        <v>6.8399999999999999</v>
      </c>
      <c r="I3430" s="24" t="str">
        <f t="shared" si="589"/>
        <v xml:space="preserve">COM VALOR</v>
      </c>
      <c r="L3430" s="36">
        <v>6.8399999999999999</v>
      </c>
      <c r="M3430" s="37">
        <v>6.8399999999999999</v>
      </c>
      <c r="N3430" s="36">
        <v>6.8399999999999999</v>
      </c>
    </row>
    <row r="3431" ht="38.25">
      <c r="A3431" s="19" t="s">
        <v>10460</v>
      </c>
      <c r="B3431" s="19">
        <v>2745</v>
      </c>
      <c r="C3431" s="20" t="s">
        <v>13898</v>
      </c>
      <c r="D3431" s="19" t="s">
        <v>38</v>
      </c>
      <c r="E3431" s="19" t="s">
        <v>10459</v>
      </c>
      <c r="F3431" s="21">
        <f t="shared" si="588"/>
        <v>5.79</v>
      </c>
      <c r="G3431" s="21">
        <f t="shared" si="588"/>
        <v>5.79</v>
      </c>
      <c r="H3431" s="21">
        <f t="shared" si="588"/>
        <v>5.79</v>
      </c>
      <c r="I3431" s="24" t="str">
        <f t="shared" si="589"/>
        <v xml:space="preserve">COM VALOR</v>
      </c>
      <c r="L3431" s="36">
        <v>5.79</v>
      </c>
      <c r="M3431" s="37">
        <v>5.79</v>
      </c>
      <c r="N3431" s="36">
        <v>5.79</v>
      </c>
    </row>
    <row r="3432" ht="38.25">
      <c r="A3432" s="19" t="s">
        <v>10460</v>
      </c>
      <c r="B3432" s="19">
        <v>14439</v>
      </c>
      <c r="C3432" s="20" t="s">
        <v>13899</v>
      </c>
      <c r="D3432" s="19" t="s">
        <v>38</v>
      </c>
      <c r="E3432" s="19" t="s">
        <v>10459</v>
      </c>
      <c r="F3432" s="21">
        <f t="shared" si="588"/>
        <v>7.1799999999999997</v>
      </c>
      <c r="G3432" s="21">
        <f t="shared" si="588"/>
        <v>7.1799999999999997</v>
      </c>
      <c r="H3432" s="21">
        <f t="shared" si="588"/>
        <v>7.1799999999999997</v>
      </c>
      <c r="I3432" s="24" t="str">
        <f t="shared" si="589"/>
        <v xml:space="preserve">COM VALOR</v>
      </c>
      <c r="L3432" s="36">
        <v>7.1799999999999997</v>
      </c>
      <c r="M3432" s="37">
        <v>7.1799999999999997</v>
      </c>
      <c r="N3432" s="36">
        <v>7.1799999999999997</v>
      </c>
    </row>
    <row r="3433" ht="12.75">
      <c r="A3433" s="19" t="s">
        <v>10460</v>
      </c>
      <c r="B3433" s="19">
        <v>45238</v>
      </c>
      <c r="C3433" s="20" t="s">
        <v>13900</v>
      </c>
      <c r="D3433" s="19" t="s">
        <v>31</v>
      </c>
      <c r="E3433" s="19" t="s">
        <v>10459</v>
      </c>
      <c r="F3433" s="21">
        <f t="shared" si="588"/>
        <v>20.579999999999998</v>
      </c>
      <c r="G3433" s="21">
        <f t="shared" si="588"/>
        <v>20.579999999999998</v>
      </c>
      <c r="H3433" s="21">
        <f t="shared" si="588"/>
        <v>20.579999999999998</v>
      </c>
      <c r="I3433" s="24" t="str">
        <f t="shared" si="589"/>
        <v xml:space="preserve">COM VALOR</v>
      </c>
      <c r="L3433" s="36">
        <v>20.579999999999998</v>
      </c>
      <c r="M3433" s="37">
        <v>20.579999999999998</v>
      </c>
      <c r="N3433" s="36">
        <v>20.579999999999998</v>
      </c>
    </row>
    <row r="3434" ht="25.5">
      <c r="A3434" s="19" t="s">
        <v>10460</v>
      </c>
      <c r="B3434" s="19">
        <v>44496</v>
      </c>
      <c r="C3434" s="20" t="s">
        <v>13901</v>
      </c>
      <c r="D3434" s="19" t="s">
        <v>31</v>
      </c>
      <c r="E3434" s="19" t="s">
        <v>10459</v>
      </c>
      <c r="F3434" s="21">
        <f t="shared" si="588"/>
        <v>140.72</v>
      </c>
      <c r="G3434" s="21">
        <f t="shared" si="588"/>
        <v>140.72</v>
      </c>
      <c r="H3434" s="21">
        <f t="shared" si="588"/>
        <v>140.72</v>
      </c>
      <c r="I3434" s="24" t="str">
        <f t="shared" si="589"/>
        <v xml:space="preserve">COM VALOR</v>
      </c>
      <c r="L3434" s="36">
        <v>140.72</v>
      </c>
      <c r="M3434" s="37">
        <v>140.72</v>
      </c>
      <c r="N3434" s="36">
        <v>140.72</v>
      </c>
    </row>
    <row r="3435" ht="25.5">
      <c r="A3435" s="19" t="s">
        <v>10460</v>
      </c>
      <c r="B3435" s="19">
        <v>12362</v>
      </c>
      <c r="C3435" s="20" t="s">
        <v>13902</v>
      </c>
      <c r="D3435" s="19" t="s">
        <v>31</v>
      </c>
      <c r="E3435" s="19" t="s">
        <v>10459</v>
      </c>
      <c r="F3435" s="40">
        <v>924</v>
      </c>
      <c r="G3435" s="40">
        <v>924</v>
      </c>
      <c r="H3435" s="40">
        <v>924</v>
      </c>
      <c r="I3435" s="24" t="str">
        <f t="shared" si="589"/>
        <v xml:space="preserve">COM VALOR</v>
      </c>
      <c r="J3435" s="39"/>
      <c r="L3435" s="36">
        <v>25.68</v>
      </c>
      <c r="M3435" s="37">
        <v>25.68</v>
      </c>
      <c r="N3435" s="36">
        <v>25.68</v>
      </c>
    </row>
    <row r="3436" ht="25.5">
      <c r="A3436" s="19" t="s">
        <v>10460</v>
      </c>
      <c r="B3436" s="19">
        <v>421</v>
      </c>
      <c r="C3436" s="20" t="s">
        <v>13903</v>
      </c>
      <c r="D3436" s="19" t="s">
        <v>31</v>
      </c>
      <c r="E3436" s="19" t="s">
        <v>10459</v>
      </c>
      <c r="F3436" s="21" t="str">
        <f t="shared" si="588"/>
        <v>VERIFICAR</v>
      </c>
      <c r="G3436" s="21" t="str">
        <f t="shared" si="588"/>
        <v>VERIFICAR</v>
      </c>
      <c r="H3436" s="21" t="str">
        <f t="shared" si="588"/>
        <v>VERIFICAR</v>
      </c>
      <c r="I3436" s="24" t="str">
        <f t="shared" si="589"/>
        <v xml:space="preserve">SEM VALOR</v>
      </c>
      <c r="L3436" s="36"/>
      <c r="M3436" s="37"/>
      <c r="N3436" s="36"/>
    </row>
    <row r="3437" ht="25.5">
      <c r="A3437" s="19" t="s">
        <v>10460</v>
      </c>
      <c r="B3437" s="19">
        <v>14148</v>
      </c>
      <c r="C3437" s="20" t="s">
        <v>13904</v>
      </c>
      <c r="D3437" s="19" t="s">
        <v>31</v>
      </c>
      <c r="E3437" s="19" t="s">
        <v>10459</v>
      </c>
      <c r="F3437" s="21" t="str">
        <f t="shared" si="588"/>
        <v>VERIFICAR</v>
      </c>
      <c r="G3437" s="21" t="str">
        <f t="shared" si="588"/>
        <v>VERIFICAR</v>
      </c>
      <c r="H3437" s="21" t="str">
        <f t="shared" si="588"/>
        <v>VERIFICAR</v>
      </c>
      <c r="I3437" s="24" t="str">
        <f t="shared" si="589"/>
        <v xml:space="preserve">SEM VALOR</v>
      </c>
      <c r="L3437" s="36"/>
      <c r="M3437" s="37"/>
      <c r="N3437" s="36"/>
    </row>
    <row r="3438" ht="12.75">
      <c r="A3438" s="19" t="s">
        <v>10460</v>
      </c>
      <c r="B3438" s="19">
        <v>4341</v>
      </c>
      <c r="C3438" s="20" t="s">
        <v>13905</v>
      </c>
      <c r="D3438" s="19" t="s">
        <v>31</v>
      </c>
      <c r="E3438" s="19" t="s">
        <v>10459</v>
      </c>
      <c r="F3438" s="21">
        <f t="shared" si="588"/>
        <v>1.1699999999999999</v>
      </c>
      <c r="G3438" s="21">
        <f t="shared" si="588"/>
        <v>1.1699999999999999</v>
      </c>
      <c r="H3438" s="21">
        <f t="shared" si="588"/>
        <v>1.1699999999999999</v>
      </c>
      <c r="I3438" s="24" t="str">
        <f t="shared" si="589"/>
        <v xml:space="preserve">COM VALOR</v>
      </c>
      <c r="L3438" s="36">
        <v>1.1699999999999999</v>
      </c>
      <c r="M3438" s="37">
        <v>1.1699999999999999</v>
      </c>
      <c r="N3438" s="36">
        <v>1.1699999999999999</v>
      </c>
    </row>
    <row r="3439" ht="12.75">
      <c r="A3439" s="19" t="s">
        <v>10460</v>
      </c>
      <c r="B3439" s="19">
        <v>4337</v>
      </c>
      <c r="C3439" s="20" t="s">
        <v>13906</v>
      </c>
      <c r="D3439" s="19" t="s">
        <v>31</v>
      </c>
      <c r="E3439" s="19" t="s">
        <v>10459</v>
      </c>
      <c r="F3439" s="21">
        <f t="shared" si="588"/>
        <v>2.9500000000000002</v>
      </c>
      <c r="G3439" s="21">
        <f t="shared" si="588"/>
        <v>2.9500000000000002</v>
      </c>
      <c r="H3439" s="21">
        <f t="shared" si="588"/>
        <v>2.9500000000000002</v>
      </c>
      <c r="I3439" s="24" t="str">
        <f t="shared" si="589"/>
        <v xml:space="preserve">COM VALOR</v>
      </c>
      <c r="L3439" s="36">
        <v>2.9500000000000002</v>
      </c>
      <c r="M3439" s="37">
        <v>2.9500000000000002</v>
      </c>
      <c r="N3439" s="36">
        <v>2.9500000000000002</v>
      </c>
    </row>
    <row r="3440" ht="12.75">
      <c r="A3440" s="19" t="s">
        <v>10460</v>
      </c>
      <c r="B3440" s="19">
        <v>11971</v>
      </c>
      <c r="C3440" s="20" t="s">
        <v>13907</v>
      </c>
      <c r="D3440" s="19" t="s">
        <v>31</v>
      </c>
      <c r="E3440" s="19" t="s">
        <v>10459</v>
      </c>
      <c r="F3440" s="21">
        <f t="shared" si="588"/>
        <v>4.8899999999999997</v>
      </c>
      <c r="G3440" s="21">
        <f t="shared" si="588"/>
        <v>4.8899999999999997</v>
      </c>
      <c r="H3440" s="21">
        <f t="shared" si="588"/>
        <v>4.8899999999999997</v>
      </c>
      <c r="I3440" s="24" t="str">
        <f t="shared" si="589"/>
        <v xml:space="preserve">COM VALOR</v>
      </c>
      <c r="L3440" s="36">
        <v>4.8899999999999997</v>
      </c>
      <c r="M3440" s="37">
        <v>4.8899999999999997</v>
      </c>
      <c r="N3440" s="36">
        <v>4.8899999999999997</v>
      </c>
    </row>
    <row r="3441" ht="12.75">
      <c r="A3441" s="19" t="s">
        <v>10460</v>
      </c>
      <c r="B3441" s="19">
        <v>4339</v>
      </c>
      <c r="C3441" s="20" t="s">
        <v>13908</v>
      </c>
      <c r="D3441" s="19" t="s">
        <v>31</v>
      </c>
      <c r="E3441" s="19" t="s">
        <v>10459</v>
      </c>
      <c r="F3441" s="21">
        <f t="shared" si="588"/>
        <v>0.63</v>
      </c>
      <c r="G3441" s="21">
        <f t="shared" si="588"/>
        <v>0.63</v>
      </c>
      <c r="H3441" s="21">
        <f t="shared" si="588"/>
        <v>0.63</v>
      </c>
      <c r="I3441" s="24" t="str">
        <f t="shared" si="589"/>
        <v xml:space="preserve">COM VALOR</v>
      </c>
      <c r="L3441" s="36">
        <v>0.63</v>
      </c>
      <c r="M3441" s="37">
        <v>0.63</v>
      </c>
      <c r="N3441" s="36">
        <v>0.63</v>
      </c>
    </row>
    <row r="3442" ht="12.75">
      <c r="A3442" s="19" t="s">
        <v>10460</v>
      </c>
      <c r="B3442" s="19">
        <v>39997</v>
      </c>
      <c r="C3442" s="20" t="s">
        <v>13909</v>
      </c>
      <c r="D3442" s="19" t="s">
        <v>31</v>
      </c>
      <c r="E3442" s="19" t="s">
        <v>10459</v>
      </c>
      <c r="F3442" s="21">
        <f t="shared" si="588"/>
        <v>0.34999999999999998</v>
      </c>
      <c r="G3442" s="21">
        <f t="shared" si="588"/>
        <v>0.34999999999999998</v>
      </c>
      <c r="H3442" s="21">
        <f t="shared" si="588"/>
        <v>0.34999999999999998</v>
      </c>
      <c r="I3442" s="24" t="str">
        <f t="shared" si="589"/>
        <v xml:space="preserve">COM VALOR</v>
      </c>
      <c r="L3442" s="36">
        <v>0.34999999999999998</v>
      </c>
      <c r="M3442" s="37">
        <v>0.34999999999999998</v>
      </c>
      <c r="N3442" s="36">
        <v>0.34999999999999998</v>
      </c>
    </row>
    <row r="3443" ht="12.75">
      <c r="A3443" s="19" t="s">
        <v>10460</v>
      </c>
      <c r="B3443" s="19">
        <v>4342</v>
      </c>
      <c r="C3443" s="20" t="s">
        <v>13910</v>
      </c>
      <c r="D3443" s="19" t="s">
        <v>31</v>
      </c>
      <c r="E3443" s="19" t="s">
        <v>10459</v>
      </c>
      <c r="F3443" s="21">
        <f t="shared" si="588"/>
        <v>0.26000000000000001</v>
      </c>
      <c r="G3443" s="21">
        <f t="shared" si="588"/>
        <v>0.26000000000000001</v>
      </c>
      <c r="H3443" s="21">
        <f t="shared" si="588"/>
        <v>0.26000000000000001</v>
      </c>
      <c r="I3443" s="24" t="str">
        <f t="shared" si="589"/>
        <v xml:space="preserve">COM VALOR</v>
      </c>
      <c r="L3443" s="36">
        <v>0.26000000000000001</v>
      </c>
      <c r="M3443" s="37">
        <v>0.26000000000000001</v>
      </c>
      <c r="N3443" s="36">
        <v>0.26000000000000001</v>
      </c>
    </row>
    <row r="3444" ht="12.75">
      <c r="A3444" s="19" t="s">
        <v>10460</v>
      </c>
      <c r="B3444" s="19">
        <v>4330</v>
      </c>
      <c r="C3444" s="20" t="s">
        <v>13911</v>
      </c>
      <c r="D3444" s="19" t="s">
        <v>31</v>
      </c>
      <c r="E3444" s="19" t="s">
        <v>10459</v>
      </c>
      <c r="F3444" s="21">
        <f t="shared" si="588"/>
        <v>0.17000000000000001</v>
      </c>
      <c r="G3444" s="21">
        <f t="shared" si="588"/>
        <v>0.17000000000000001</v>
      </c>
      <c r="H3444" s="21">
        <f t="shared" si="588"/>
        <v>0.17000000000000001</v>
      </c>
      <c r="I3444" s="24" t="str">
        <f t="shared" si="589"/>
        <v xml:space="preserve">COM VALOR</v>
      </c>
      <c r="L3444" s="36">
        <v>0.17000000000000001</v>
      </c>
      <c r="M3444" s="37">
        <v>0.17000000000000001</v>
      </c>
      <c r="N3444" s="36">
        <v>0.17000000000000001</v>
      </c>
    </row>
    <row r="3445" ht="12.75">
      <c r="A3445" s="19" t="s">
        <v>10460</v>
      </c>
      <c r="B3445" s="19">
        <v>4340</v>
      </c>
      <c r="C3445" s="20" t="s">
        <v>13912</v>
      </c>
      <c r="D3445" s="19" t="s">
        <v>31</v>
      </c>
      <c r="E3445" s="19" t="s">
        <v>10459</v>
      </c>
      <c r="F3445" s="21">
        <f t="shared" si="588"/>
        <v>1.3600000000000001</v>
      </c>
      <c r="G3445" s="21">
        <f t="shared" si="588"/>
        <v>1.3600000000000001</v>
      </c>
      <c r="H3445" s="21">
        <f t="shared" si="588"/>
        <v>1.3600000000000001</v>
      </c>
      <c r="I3445" s="24" t="str">
        <f t="shared" si="589"/>
        <v xml:space="preserve">COM VALOR</v>
      </c>
      <c r="L3445" s="36">
        <v>1.3600000000000001</v>
      </c>
      <c r="M3445" s="37">
        <v>1.3600000000000001</v>
      </c>
      <c r="N3445" s="36">
        <v>1.3600000000000001</v>
      </c>
    </row>
    <row r="3446" ht="25.5">
      <c r="A3446" s="19" t="s">
        <v>10460</v>
      </c>
      <c r="B3446" s="19">
        <v>5088</v>
      </c>
      <c r="C3446" s="20" t="s">
        <v>13913</v>
      </c>
      <c r="D3446" s="19" t="s">
        <v>31</v>
      </c>
      <c r="E3446" s="19" t="s">
        <v>10459</v>
      </c>
      <c r="F3446" s="21">
        <f t="shared" si="588"/>
        <v>8.1400000000000006</v>
      </c>
      <c r="G3446" s="21">
        <f t="shared" si="588"/>
        <v>8.1400000000000006</v>
      </c>
      <c r="H3446" s="21">
        <f t="shared" si="588"/>
        <v>8.1400000000000006</v>
      </c>
      <c r="I3446" s="24" t="str">
        <f t="shared" si="589"/>
        <v xml:space="preserve">COM VALOR</v>
      </c>
      <c r="L3446" s="36">
        <v>8.1400000000000006</v>
      </c>
      <c r="M3446" s="37">
        <v>8.1400000000000006</v>
      </c>
      <c r="N3446" s="36">
        <v>8.1400000000000006</v>
      </c>
    </row>
    <row r="3447" ht="51">
      <c r="A3447" s="19" t="s">
        <v>10460</v>
      </c>
      <c r="B3447" s="19">
        <v>11154</v>
      </c>
      <c r="C3447" s="20" t="s">
        <v>13914</v>
      </c>
      <c r="D3447" s="19" t="s">
        <v>31</v>
      </c>
      <c r="E3447" s="19" t="s">
        <v>10459</v>
      </c>
      <c r="F3447" s="21">
        <f t="shared" si="588"/>
        <v>1435.0599999999999</v>
      </c>
      <c r="G3447" s="21">
        <f t="shared" si="588"/>
        <v>1435.0599999999999</v>
      </c>
      <c r="H3447" s="21">
        <f t="shared" si="588"/>
        <v>1435.0599999999999</v>
      </c>
      <c r="I3447" s="24" t="str">
        <f t="shared" si="589"/>
        <v xml:space="preserve">COM VALOR</v>
      </c>
      <c r="L3447" s="36">
        <v>1435.0599999999999</v>
      </c>
      <c r="M3447" s="37">
        <v>1435.0599999999999</v>
      </c>
      <c r="N3447" s="36">
        <v>1435.0599999999999</v>
      </c>
    </row>
    <row r="3448" ht="51">
      <c r="A3448" s="19" t="s">
        <v>10460</v>
      </c>
      <c r="B3448" s="19">
        <v>4989</v>
      </c>
      <c r="C3448" s="20" t="s">
        <v>13915</v>
      </c>
      <c r="D3448" s="19" t="s">
        <v>31</v>
      </c>
      <c r="E3448" s="19" t="s">
        <v>10459</v>
      </c>
      <c r="F3448" s="21">
        <f t="shared" si="588"/>
        <v>419.88</v>
      </c>
      <c r="G3448" s="21">
        <f t="shared" si="588"/>
        <v>419.88</v>
      </c>
      <c r="H3448" s="21">
        <f t="shared" si="588"/>
        <v>419.88</v>
      </c>
      <c r="I3448" s="24" t="str">
        <f t="shared" si="589"/>
        <v xml:space="preserve">COM VALOR</v>
      </c>
      <c r="L3448" s="36">
        <v>419.88</v>
      </c>
      <c r="M3448" s="37">
        <v>419.88</v>
      </c>
      <c r="N3448" s="36">
        <v>419.88</v>
      </c>
    </row>
    <row r="3449" ht="51">
      <c r="A3449" s="19" t="s">
        <v>10460</v>
      </c>
      <c r="B3449" s="19">
        <v>4982</v>
      </c>
      <c r="C3449" s="20" t="s">
        <v>13916</v>
      </c>
      <c r="D3449" s="19" t="s">
        <v>31</v>
      </c>
      <c r="E3449" s="19" t="s">
        <v>10459</v>
      </c>
      <c r="F3449" s="21">
        <f t="shared" si="588"/>
        <v>393.82999999999998</v>
      </c>
      <c r="G3449" s="21">
        <f t="shared" si="588"/>
        <v>393.82999999999998</v>
      </c>
      <c r="H3449" s="21">
        <f t="shared" si="588"/>
        <v>393.82999999999998</v>
      </c>
      <c r="I3449" s="24" t="str">
        <f t="shared" si="589"/>
        <v xml:space="preserve">COM VALOR</v>
      </c>
      <c r="J3449" s="38"/>
      <c r="L3449" s="36">
        <v>393.82999999999998</v>
      </c>
      <c r="M3449" s="37">
        <v>393.82999999999998</v>
      </c>
      <c r="N3449" s="36">
        <v>393.82999999999998</v>
      </c>
    </row>
    <row r="3450" ht="51">
      <c r="A3450" s="19" t="s">
        <v>10460</v>
      </c>
      <c r="B3450" s="19">
        <v>4962</v>
      </c>
      <c r="C3450" s="20" t="s">
        <v>13917</v>
      </c>
      <c r="D3450" s="19" t="s">
        <v>31</v>
      </c>
      <c r="E3450" s="19" t="s">
        <v>10459</v>
      </c>
      <c r="F3450" s="21">
        <f t="shared" si="588"/>
        <v>310.58999999999997</v>
      </c>
      <c r="G3450" s="21">
        <f t="shared" si="588"/>
        <v>310.58999999999997</v>
      </c>
      <c r="H3450" s="21">
        <f t="shared" si="588"/>
        <v>310.58999999999997</v>
      </c>
      <c r="I3450" s="24" t="str">
        <f t="shared" si="589"/>
        <v xml:space="preserve">COM VALOR</v>
      </c>
      <c r="L3450" s="36">
        <v>310.58999999999997</v>
      </c>
      <c r="M3450" s="37">
        <v>310.58999999999997</v>
      </c>
      <c r="N3450" s="36">
        <v>310.58999999999997</v>
      </c>
    </row>
    <row r="3451" ht="51">
      <c r="A3451" s="19" t="s">
        <v>10460</v>
      </c>
      <c r="B3451" s="19">
        <v>4981</v>
      </c>
      <c r="C3451" s="20" t="s">
        <v>13918</v>
      </c>
      <c r="D3451" s="19" t="s">
        <v>31</v>
      </c>
      <c r="E3451" s="19" t="s">
        <v>10466</v>
      </c>
      <c r="F3451" s="21">
        <f t="shared" si="588"/>
        <v>276.5</v>
      </c>
      <c r="G3451" s="21">
        <f t="shared" si="588"/>
        <v>276.5</v>
      </c>
      <c r="H3451" s="21">
        <f t="shared" si="588"/>
        <v>276.5</v>
      </c>
      <c r="I3451" s="24" t="str">
        <f t="shared" si="589"/>
        <v xml:space="preserve">COM VALOR</v>
      </c>
      <c r="L3451" s="36">
        <v>276.5</v>
      </c>
      <c r="M3451" s="37">
        <v>276.5</v>
      </c>
      <c r="N3451" s="36">
        <v>276.5</v>
      </c>
    </row>
    <row r="3452" ht="51">
      <c r="A3452" s="19" t="s">
        <v>10460</v>
      </c>
      <c r="B3452" s="19">
        <v>4964</v>
      </c>
      <c r="C3452" s="20" t="s">
        <v>13919</v>
      </c>
      <c r="D3452" s="19" t="s">
        <v>31</v>
      </c>
      <c r="E3452" s="19" t="s">
        <v>10459</v>
      </c>
      <c r="F3452" s="21">
        <f t="shared" si="588"/>
        <v>350.76999999999998</v>
      </c>
      <c r="G3452" s="21">
        <f t="shared" si="588"/>
        <v>350.76999999999998</v>
      </c>
      <c r="H3452" s="21">
        <f t="shared" si="588"/>
        <v>350.76999999999998</v>
      </c>
      <c r="I3452" s="24" t="str">
        <f t="shared" si="589"/>
        <v xml:space="preserve">COM VALOR</v>
      </c>
      <c r="L3452" s="36">
        <v>350.76999999999998</v>
      </c>
      <c r="M3452" s="37">
        <v>350.76999999999998</v>
      </c>
      <c r="N3452" s="36">
        <v>350.76999999999998</v>
      </c>
    </row>
    <row r="3453" ht="51">
      <c r="A3453" s="19" t="s">
        <v>10460</v>
      </c>
      <c r="B3453" s="19">
        <v>4992</v>
      </c>
      <c r="C3453" s="20" t="s">
        <v>13920</v>
      </c>
      <c r="D3453" s="19" t="s">
        <v>31</v>
      </c>
      <c r="E3453" s="19" t="s">
        <v>10459</v>
      </c>
      <c r="F3453" s="21">
        <f t="shared" si="588"/>
        <v>342.63999999999999</v>
      </c>
      <c r="G3453" s="21">
        <f t="shared" si="588"/>
        <v>342.63999999999999</v>
      </c>
      <c r="H3453" s="21">
        <f t="shared" si="588"/>
        <v>342.63999999999999</v>
      </c>
      <c r="I3453" s="24" t="str">
        <f t="shared" si="589"/>
        <v xml:space="preserve">COM VALOR</v>
      </c>
      <c r="L3453" s="36">
        <v>342.63999999999999</v>
      </c>
      <c r="M3453" s="37">
        <v>342.63999999999999</v>
      </c>
      <c r="N3453" s="36">
        <v>342.63999999999999</v>
      </c>
    </row>
    <row r="3454" ht="51">
      <c r="A3454" s="19" t="s">
        <v>10460</v>
      </c>
      <c r="B3454" s="19">
        <v>4987</v>
      </c>
      <c r="C3454" s="20" t="s">
        <v>13921</v>
      </c>
      <c r="D3454" s="19" t="s">
        <v>31</v>
      </c>
      <c r="E3454" s="19" t="s">
        <v>10459</v>
      </c>
      <c r="F3454" s="21">
        <f t="shared" si="588"/>
        <v>392.00999999999999</v>
      </c>
      <c r="G3454" s="21">
        <f t="shared" si="588"/>
        <v>392.00999999999999</v>
      </c>
      <c r="H3454" s="21">
        <f t="shared" si="588"/>
        <v>392.00999999999999</v>
      </c>
      <c r="I3454" s="24" t="str">
        <f t="shared" si="589"/>
        <v xml:space="preserve">COM VALOR</v>
      </c>
      <c r="L3454" s="36">
        <v>392.00999999999999</v>
      </c>
      <c r="M3454" s="37">
        <v>392.00999999999999</v>
      </c>
      <c r="N3454" s="36">
        <v>392.00999999999999</v>
      </c>
    </row>
    <row r="3455" ht="38.25">
      <c r="A3455" s="19" t="s">
        <v>10460</v>
      </c>
      <c r="B3455" s="19">
        <v>4930</v>
      </c>
      <c r="C3455" s="20" t="s">
        <v>13922</v>
      </c>
      <c r="D3455" s="19" t="s">
        <v>29</v>
      </c>
      <c r="E3455" s="19" t="s">
        <v>10459</v>
      </c>
      <c r="F3455" s="21">
        <f t="shared" si="588"/>
        <v>607.84000000000003</v>
      </c>
      <c r="G3455" s="21">
        <f t="shared" si="588"/>
        <v>607.84000000000003</v>
      </c>
      <c r="H3455" s="21">
        <f t="shared" si="588"/>
        <v>607.84000000000003</v>
      </c>
      <c r="I3455" s="24" t="str">
        <f t="shared" si="589"/>
        <v xml:space="preserve">COM VALOR</v>
      </c>
      <c r="L3455" s="36">
        <v>607.84000000000003</v>
      </c>
      <c r="M3455" s="37">
        <v>607.84000000000003</v>
      </c>
      <c r="N3455" s="36">
        <v>607.84000000000003</v>
      </c>
    </row>
    <row r="3456" ht="51">
      <c r="A3456" s="19" t="s">
        <v>10460</v>
      </c>
      <c r="B3456" s="19">
        <v>4998</v>
      </c>
      <c r="C3456" s="20" t="s">
        <v>13923</v>
      </c>
      <c r="D3456" s="19" t="s">
        <v>29</v>
      </c>
      <c r="E3456" s="19" t="s">
        <v>10459</v>
      </c>
      <c r="F3456" s="21" t="str">
        <f t="shared" si="588"/>
        <v>VERIFICAR</v>
      </c>
      <c r="G3456" s="21" t="str">
        <f t="shared" si="588"/>
        <v>VERIFICAR</v>
      </c>
      <c r="H3456" s="21" t="str">
        <f t="shared" si="588"/>
        <v>VERIFICAR</v>
      </c>
      <c r="I3456" s="24" t="str">
        <f t="shared" si="589"/>
        <v xml:space="preserve">SEM VALOR</v>
      </c>
      <c r="L3456" s="36"/>
      <c r="M3456" s="37"/>
      <c r="N3456" s="36"/>
    </row>
    <row r="3457" ht="51">
      <c r="A3457" s="19" t="s">
        <v>10460</v>
      </c>
      <c r="B3457" s="19">
        <v>39021</v>
      </c>
      <c r="C3457" s="20" t="s">
        <v>13924</v>
      </c>
      <c r="D3457" s="19" t="s">
        <v>31</v>
      </c>
      <c r="E3457" s="19" t="s">
        <v>10459</v>
      </c>
      <c r="F3457" s="21">
        <f t="shared" si="588"/>
        <v>646.28999999999996</v>
      </c>
      <c r="G3457" s="21">
        <f t="shared" si="588"/>
        <v>646.28999999999996</v>
      </c>
      <c r="H3457" s="21">
        <f t="shared" si="588"/>
        <v>646.28999999999996</v>
      </c>
      <c r="I3457" s="24" t="str">
        <f t="shared" si="589"/>
        <v xml:space="preserve">COM VALOR</v>
      </c>
      <c r="L3457" s="36">
        <v>646.28999999999996</v>
      </c>
      <c r="M3457" s="37">
        <v>646.28999999999996</v>
      </c>
      <c r="N3457" s="36">
        <v>646.28999999999996</v>
      </c>
    </row>
    <row r="3458" ht="51">
      <c r="A3458" s="19" t="s">
        <v>10460</v>
      </c>
      <c r="B3458" s="19">
        <v>39022</v>
      </c>
      <c r="C3458" s="20" t="s">
        <v>13925</v>
      </c>
      <c r="D3458" s="19" t="s">
        <v>31</v>
      </c>
      <c r="E3458" s="19" t="s">
        <v>10466</v>
      </c>
      <c r="F3458" s="21">
        <f t="shared" si="588"/>
        <v>578.89999999999998</v>
      </c>
      <c r="G3458" s="21">
        <f t="shared" si="588"/>
        <v>578.89999999999998</v>
      </c>
      <c r="H3458" s="21">
        <f t="shared" si="588"/>
        <v>578.89999999999998</v>
      </c>
      <c r="I3458" s="24" t="str">
        <f t="shared" si="589"/>
        <v xml:space="preserve">COM VALOR</v>
      </c>
      <c r="L3458" s="36">
        <v>578.89999999999998</v>
      </c>
      <c r="M3458" s="37">
        <v>578.89999999999998</v>
      </c>
      <c r="N3458" s="36">
        <v>578.89999999999998</v>
      </c>
    </row>
    <row r="3459" ht="38.25">
      <c r="A3459" s="19" t="s">
        <v>10460</v>
      </c>
      <c r="B3459" s="19">
        <v>39024</v>
      </c>
      <c r="C3459" s="20" t="s">
        <v>13926</v>
      </c>
      <c r="D3459" s="19" t="s">
        <v>31</v>
      </c>
      <c r="E3459" s="19" t="s">
        <v>10459</v>
      </c>
      <c r="F3459" s="21">
        <f t="shared" si="588"/>
        <v>816.23000000000002</v>
      </c>
      <c r="G3459" s="21">
        <f t="shared" si="588"/>
        <v>816.23000000000002</v>
      </c>
      <c r="H3459" s="21">
        <f t="shared" si="588"/>
        <v>816.23000000000002</v>
      </c>
      <c r="I3459" s="24" t="str">
        <f t="shared" si="589"/>
        <v xml:space="preserve">COM VALOR</v>
      </c>
      <c r="L3459" s="36">
        <v>816.23000000000002</v>
      </c>
      <c r="M3459" s="37">
        <v>816.23000000000002</v>
      </c>
      <c r="N3459" s="36">
        <v>816.23000000000002</v>
      </c>
    </row>
    <row r="3460" ht="38.25">
      <c r="A3460" s="19" t="s">
        <v>10460</v>
      </c>
      <c r="B3460" s="19">
        <v>4914</v>
      </c>
      <c r="C3460" s="20" t="s">
        <v>13927</v>
      </c>
      <c r="D3460" s="19" t="s">
        <v>29</v>
      </c>
      <c r="E3460" s="19" t="s">
        <v>10459</v>
      </c>
      <c r="F3460" s="21">
        <f t="shared" si="588"/>
        <v>661.82000000000005</v>
      </c>
      <c r="G3460" s="21">
        <f t="shared" si="588"/>
        <v>661.82000000000005</v>
      </c>
      <c r="H3460" s="21">
        <f t="shared" si="588"/>
        <v>661.82000000000005</v>
      </c>
      <c r="I3460" s="24" t="str">
        <f t="shared" si="589"/>
        <v xml:space="preserve">COM VALOR</v>
      </c>
      <c r="L3460" s="36">
        <v>661.82000000000005</v>
      </c>
      <c r="M3460" s="37">
        <v>661.82000000000005</v>
      </c>
      <c r="N3460" s="36">
        <v>661.82000000000005</v>
      </c>
    </row>
    <row r="3461" ht="38.25">
      <c r="A3461" s="19" t="s">
        <v>10460</v>
      </c>
      <c r="B3461" s="19">
        <v>4917</v>
      </c>
      <c r="C3461" s="20" t="s">
        <v>13928</v>
      </c>
      <c r="D3461" s="19" t="s">
        <v>29</v>
      </c>
      <c r="E3461" s="19" t="s">
        <v>10466</v>
      </c>
      <c r="F3461" s="21">
        <f t="shared" si="588"/>
        <v>457.06</v>
      </c>
      <c r="G3461" s="21">
        <f t="shared" si="588"/>
        <v>457.06</v>
      </c>
      <c r="H3461" s="21">
        <f t="shared" si="588"/>
        <v>457.06</v>
      </c>
      <c r="I3461" s="24" t="str">
        <f t="shared" si="589"/>
        <v xml:space="preserve">COM VALOR</v>
      </c>
      <c r="L3461" s="36">
        <v>457.06</v>
      </c>
      <c r="M3461" s="37">
        <v>457.06</v>
      </c>
      <c r="N3461" s="36">
        <v>457.06</v>
      </c>
    </row>
    <row r="3462" ht="38.25">
      <c r="A3462" s="19" t="s">
        <v>10460</v>
      </c>
      <c r="B3462" s="19">
        <v>39025</v>
      </c>
      <c r="C3462" s="20" t="s">
        <v>13929</v>
      </c>
      <c r="D3462" s="19" t="s">
        <v>31</v>
      </c>
      <c r="E3462" s="19" t="s">
        <v>10459</v>
      </c>
      <c r="F3462" s="21">
        <f t="shared" si="588"/>
        <v>836.96000000000004</v>
      </c>
      <c r="G3462" s="21">
        <f t="shared" si="588"/>
        <v>836.96000000000004</v>
      </c>
      <c r="H3462" s="21">
        <f t="shared" si="588"/>
        <v>836.96000000000004</v>
      </c>
      <c r="I3462" s="24" t="str">
        <f t="shared" si="589"/>
        <v xml:space="preserve">COM VALOR</v>
      </c>
      <c r="L3462" s="36">
        <v>836.96000000000004</v>
      </c>
      <c r="M3462" s="37">
        <v>836.96000000000004</v>
      </c>
      <c r="N3462" s="36">
        <v>836.96000000000004</v>
      </c>
    </row>
    <row r="3463" ht="38.25">
      <c r="A3463" s="19" t="s">
        <v>10460</v>
      </c>
      <c r="B3463" s="19">
        <v>4922</v>
      </c>
      <c r="C3463" s="20" t="s">
        <v>13930</v>
      </c>
      <c r="D3463" s="19" t="s">
        <v>29</v>
      </c>
      <c r="E3463" s="19" t="s">
        <v>10459</v>
      </c>
      <c r="F3463" s="21">
        <f t="shared" si="588"/>
        <v>423.95999999999998</v>
      </c>
      <c r="G3463" s="21">
        <f t="shared" si="588"/>
        <v>423.95999999999998</v>
      </c>
      <c r="H3463" s="21">
        <f t="shared" si="588"/>
        <v>423.95999999999998</v>
      </c>
      <c r="I3463" s="24" t="str">
        <f t="shared" si="589"/>
        <v xml:space="preserve">COM VALOR</v>
      </c>
      <c r="L3463" s="36">
        <v>423.95999999999998</v>
      </c>
      <c r="M3463" s="37">
        <v>423.95999999999998</v>
      </c>
      <c r="N3463" s="36">
        <v>423.95999999999998</v>
      </c>
    </row>
    <row r="3464" ht="38.25">
      <c r="A3464" s="19" t="s">
        <v>10460</v>
      </c>
      <c r="B3464" s="19">
        <v>4911</v>
      </c>
      <c r="C3464" s="20" t="s">
        <v>13931</v>
      </c>
      <c r="D3464" s="19" t="s">
        <v>29</v>
      </c>
      <c r="E3464" s="19" t="s">
        <v>10459</v>
      </c>
      <c r="F3464" s="21" t="str">
        <f t="shared" si="588"/>
        <v>VERIFICAR</v>
      </c>
      <c r="G3464" s="21" t="str">
        <f t="shared" si="588"/>
        <v>VERIFICAR</v>
      </c>
      <c r="H3464" s="21" t="str">
        <f t="shared" si="588"/>
        <v>VERIFICAR</v>
      </c>
      <c r="I3464" s="24" t="str">
        <f t="shared" si="589"/>
        <v xml:space="preserve">SEM VALOR</v>
      </c>
      <c r="L3464" s="36"/>
      <c r="M3464" s="37"/>
      <c r="N3464" s="36"/>
    </row>
    <row r="3465" ht="38.25">
      <c r="A3465" s="19" t="s">
        <v>10460</v>
      </c>
      <c r="B3465" s="19">
        <v>37518</v>
      </c>
      <c r="C3465" s="20" t="s">
        <v>13932</v>
      </c>
      <c r="D3465" s="19" t="s">
        <v>29</v>
      </c>
      <c r="E3465" s="19" t="s">
        <v>10459</v>
      </c>
      <c r="F3465" s="21" t="str">
        <f t="shared" si="588"/>
        <v>VERIFICAR</v>
      </c>
      <c r="G3465" s="21" t="str">
        <f t="shared" si="588"/>
        <v>VERIFICAR</v>
      </c>
      <c r="H3465" s="21" t="str">
        <f t="shared" si="588"/>
        <v>VERIFICAR</v>
      </c>
      <c r="I3465" s="24" t="str">
        <f t="shared" si="589"/>
        <v xml:space="preserve">SEM VALOR</v>
      </c>
      <c r="L3465" s="36"/>
      <c r="M3465" s="37"/>
      <c r="N3465" s="36"/>
    </row>
    <row r="3466" ht="38.25">
      <c r="A3466" s="19" t="s">
        <v>10460</v>
      </c>
      <c r="B3466" s="19">
        <v>4910</v>
      </c>
      <c r="C3466" s="20" t="s">
        <v>13933</v>
      </c>
      <c r="D3466" s="19" t="s">
        <v>29</v>
      </c>
      <c r="E3466" s="19" t="s">
        <v>10459</v>
      </c>
      <c r="F3466" s="21" t="str">
        <f t="shared" si="588"/>
        <v>VERIFICAR</v>
      </c>
      <c r="G3466" s="21" t="str">
        <f t="shared" si="588"/>
        <v>VERIFICAR</v>
      </c>
      <c r="H3466" s="21" t="str">
        <f t="shared" si="588"/>
        <v>VERIFICAR</v>
      </c>
      <c r="I3466" s="24" t="str">
        <f t="shared" si="589"/>
        <v xml:space="preserve">SEM VALOR</v>
      </c>
      <c r="L3466" s="36"/>
      <c r="M3466" s="37"/>
      <c r="N3466" s="36"/>
    </row>
    <row r="3467" ht="38.25">
      <c r="A3467" s="19" t="s">
        <v>10460</v>
      </c>
      <c r="B3467" s="19">
        <v>4943</v>
      </c>
      <c r="C3467" s="20" t="s">
        <v>13934</v>
      </c>
      <c r="D3467" s="19" t="s">
        <v>29</v>
      </c>
      <c r="E3467" s="19" t="s">
        <v>10459</v>
      </c>
      <c r="F3467" s="21" t="str">
        <f t="shared" ref="F3467:H3530" si="590">IF(L3467=0,"VERIFICAR",L3467)</f>
        <v>VERIFICAR</v>
      </c>
      <c r="G3467" s="21" t="str">
        <f t="shared" si="590"/>
        <v>VERIFICAR</v>
      </c>
      <c r="H3467" s="21" t="str">
        <f t="shared" si="590"/>
        <v>VERIFICAR</v>
      </c>
      <c r="I3467" s="24" t="str">
        <f t="shared" ref="I3467:I3530" si="591">IF(OR(L3467=0,M3467=0,N3467=0),"SEM VALOR","COM VALOR")</f>
        <v xml:space="preserve">SEM VALOR</v>
      </c>
      <c r="L3467" s="36"/>
      <c r="M3467" s="37"/>
      <c r="N3467" s="36"/>
    </row>
    <row r="3468" ht="25.5">
      <c r="A3468" s="19" t="s">
        <v>10460</v>
      </c>
      <c r="B3468" s="19">
        <v>5002</v>
      </c>
      <c r="C3468" s="20" t="s">
        <v>13935</v>
      </c>
      <c r="D3468" s="19" t="s">
        <v>29</v>
      </c>
      <c r="E3468" s="19" t="s">
        <v>10459</v>
      </c>
      <c r="F3468" s="21" t="str">
        <f t="shared" si="590"/>
        <v>VERIFICAR</v>
      </c>
      <c r="G3468" s="21" t="str">
        <f t="shared" si="590"/>
        <v>VERIFICAR</v>
      </c>
      <c r="H3468" s="21" t="str">
        <f t="shared" si="590"/>
        <v>VERIFICAR</v>
      </c>
      <c r="I3468" s="24" t="str">
        <f t="shared" si="591"/>
        <v xml:space="preserve">SEM VALOR</v>
      </c>
      <c r="L3468" s="36"/>
      <c r="M3468" s="37"/>
      <c r="N3468" s="36"/>
    </row>
    <row r="3469" ht="25.5">
      <c r="A3469" s="19" t="s">
        <v>10460</v>
      </c>
      <c r="B3469" s="19">
        <v>4977</v>
      </c>
      <c r="C3469" s="20" t="s">
        <v>13936</v>
      </c>
      <c r="D3469" s="19" t="s">
        <v>29</v>
      </c>
      <c r="E3469" s="19" t="s">
        <v>10459</v>
      </c>
      <c r="F3469" s="21" t="str">
        <f t="shared" si="590"/>
        <v>VERIFICAR</v>
      </c>
      <c r="G3469" s="21" t="str">
        <f t="shared" si="590"/>
        <v>VERIFICAR</v>
      </c>
      <c r="H3469" s="21" t="str">
        <f t="shared" si="590"/>
        <v>VERIFICAR</v>
      </c>
      <c r="I3469" s="24" t="str">
        <f t="shared" si="591"/>
        <v xml:space="preserve">SEM VALOR</v>
      </c>
      <c r="L3469" s="36"/>
      <c r="M3469" s="37"/>
      <c r="N3469" s="36"/>
    </row>
    <row r="3470" ht="38.25">
      <c r="A3470" s="19" t="s">
        <v>10460</v>
      </c>
      <c r="B3470" s="19">
        <v>11364</v>
      </c>
      <c r="C3470" s="20" t="s">
        <v>13937</v>
      </c>
      <c r="D3470" s="19" t="s">
        <v>31</v>
      </c>
      <c r="E3470" s="19" t="s">
        <v>10459</v>
      </c>
      <c r="F3470" s="21">
        <f t="shared" si="590"/>
        <v>237.53999999999999</v>
      </c>
      <c r="G3470" s="21">
        <f t="shared" si="590"/>
        <v>237.53999999999999</v>
      </c>
      <c r="H3470" s="21">
        <f t="shared" si="590"/>
        <v>237.53999999999999</v>
      </c>
      <c r="I3470" s="24" t="str">
        <f t="shared" si="591"/>
        <v xml:space="preserve">COM VALOR</v>
      </c>
      <c r="L3470" s="36">
        <v>237.53999999999999</v>
      </c>
      <c r="M3470" s="37">
        <v>237.53999999999999</v>
      </c>
      <c r="N3470" s="36">
        <v>237.53999999999999</v>
      </c>
    </row>
    <row r="3471" ht="38.25">
      <c r="A3471" s="19" t="s">
        <v>10460</v>
      </c>
      <c r="B3471" s="19">
        <v>11365</v>
      </c>
      <c r="C3471" s="20" t="s">
        <v>13938</v>
      </c>
      <c r="D3471" s="19" t="s">
        <v>31</v>
      </c>
      <c r="E3471" s="19" t="s">
        <v>10459</v>
      </c>
      <c r="F3471" s="21">
        <f t="shared" si="590"/>
        <v>246.5</v>
      </c>
      <c r="G3471" s="21">
        <f t="shared" si="590"/>
        <v>246.5</v>
      </c>
      <c r="H3471" s="21">
        <f t="shared" si="590"/>
        <v>246.5</v>
      </c>
      <c r="I3471" s="24" t="str">
        <f t="shared" si="591"/>
        <v xml:space="preserve">COM VALOR</v>
      </c>
      <c r="L3471" s="36">
        <v>246.5</v>
      </c>
      <c r="M3471" s="37">
        <v>246.5</v>
      </c>
      <c r="N3471" s="36">
        <v>246.5</v>
      </c>
    </row>
    <row r="3472" ht="38.25">
      <c r="A3472" s="19" t="s">
        <v>10460</v>
      </c>
      <c r="B3472" s="19">
        <v>11366</v>
      </c>
      <c r="C3472" s="20" t="s">
        <v>13939</v>
      </c>
      <c r="D3472" s="19" t="s">
        <v>31</v>
      </c>
      <c r="E3472" s="19" t="s">
        <v>10459</v>
      </c>
      <c r="F3472" s="21">
        <f t="shared" si="590"/>
        <v>262.02999999999997</v>
      </c>
      <c r="G3472" s="21">
        <f t="shared" si="590"/>
        <v>262.02999999999997</v>
      </c>
      <c r="H3472" s="21">
        <f t="shared" si="590"/>
        <v>262.02999999999997</v>
      </c>
      <c r="I3472" s="24" t="str">
        <f t="shared" si="591"/>
        <v xml:space="preserve">COM VALOR</v>
      </c>
      <c r="L3472" s="36">
        <v>262.02999999999997</v>
      </c>
      <c r="M3472" s="37">
        <v>262.02999999999997</v>
      </c>
      <c r="N3472" s="36">
        <v>262.02999999999997</v>
      </c>
    </row>
    <row r="3473" ht="38.25">
      <c r="A3473" s="19" t="s">
        <v>10460</v>
      </c>
      <c r="B3473" s="19">
        <v>43777</v>
      </c>
      <c r="C3473" s="20" t="s">
        <v>13940</v>
      </c>
      <c r="D3473" s="19" t="s">
        <v>31</v>
      </c>
      <c r="E3473" s="19" t="s">
        <v>10459</v>
      </c>
      <c r="F3473" s="21">
        <f t="shared" si="590"/>
        <v>307.80000000000001</v>
      </c>
      <c r="G3473" s="21">
        <f t="shared" si="590"/>
        <v>307.80000000000001</v>
      </c>
      <c r="H3473" s="21">
        <f t="shared" si="590"/>
        <v>307.80000000000001</v>
      </c>
      <c r="I3473" s="24" t="str">
        <f t="shared" si="591"/>
        <v xml:space="preserve">COM VALOR</v>
      </c>
      <c r="L3473" s="36">
        <v>307.80000000000001</v>
      </c>
      <c r="M3473" s="37">
        <v>307.80000000000001</v>
      </c>
      <c r="N3473" s="36">
        <v>307.80000000000001</v>
      </c>
    </row>
    <row r="3474" ht="51">
      <c r="A3474" s="19" t="s">
        <v>10460</v>
      </c>
      <c r="B3474" s="19">
        <v>20322</v>
      </c>
      <c r="C3474" s="20" t="s">
        <v>13941</v>
      </c>
      <c r="D3474" s="19" t="s">
        <v>31</v>
      </c>
      <c r="E3474" s="19" t="s">
        <v>10459</v>
      </c>
      <c r="F3474" s="21">
        <f t="shared" si="590"/>
        <v>285.73000000000002</v>
      </c>
      <c r="G3474" s="21">
        <f t="shared" si="590"/>
        <v>285.73000000000002</v>
      </c>
      <c r="H3474" s="21">
        <f t="shared" si="590"/>
        <v>285.73000000000002</v>
      </c>
      <c r="I3474" s="24" t="str">
        <f t="shared" si="591"/>
        <v xml:space="preserve">COM VALOR</v>
      </c>
      <c r="L3474" s="36">
        <v>285.73000000000002</v>
      </c>
      <c r="M3474" s="37">
        <v>285.73000000000002</v>
      </c>
      <c r="N3474" s="36">
        <v>285.73000000000002</v>
      </c>
    </row>
    <row r="3475" ht="51">
      <c r="A3475" s="19" t="s">
        <v>10460</v>
      </c>
      <c r="B3475" s="19">
        <v>10553</v>
      </c>
      <c r="C3475" s="20" t="s">
        <v>13942</v>
      </c>
      <c r="D3475" s="19" t="s">
        <v>31</v>
      </c>
      <c r="E3475" s="19" t="s">
        <v>10459</v>
      </c>
      <c r="F3475" s="21">
        <f t="shared" si="590"/>
        <v>259.44</v>
      </c>
      <c r="G3475" s="21">
        <f t="shared" si="590"/>
        <v>259.44</v>
      </c>
      <c r="H3475" s="21">
        <f t="shared" si="590"/>
        <v>259.44</v>
      </c>
      <c r="I3475" s="24" t="str">
        <f t="shared" si="591"/>
        <v xml:space="preserve">COM VALOR</v>
      </c>
      <c r="L3475" s="36">
        <v>259.44</v>
      </c>
      <c r="M3475" s="37">
        <v>259.44</v>
      </c>
      <c r="N3475" s="36">
        <v>259.44</v>
      </c>
    </row>
    <row r="3476" ht="51">
      <c r="A3476" s="19" t="s">
        <v>10460</v>
      </c>
      <c r="B3476" s="19">
        <v>5020</v>
      </c>
      <c r="C3476" s="20" t="s">
        <v>13943</v>
      </c>
      <c r="D3476" s="19" t="s">
        <v>31</v>
      </c>
      <c r="E3476" s="19" t="s">
        <v>10459</v>
      </c>
      <c r="F3476" s="21">
        <f t="shared" si="590"/>
        <v>273.52999999999997</v>
      </c>
      <c r="G3476" s="21">
        <f t="shared" si="590"/>
        <v>273.52999999999997</v>
      </c>
      <c r="H3476" s="21">
        <f t="shared" si="590"/>
        <v>273.52999999999997</v>
      </c>
      <c r="I3476" s="24" t="str">
        <f t="shared" si="591"/>
        <v xml:space="preserve">COM VALOR</v>
      </c>
      <c r="L3476" s="36">
        <v>273.52999999999997</v>
      </c>
      <c r="M3476" s="37">
        <v>273.52999999999997</v>
      </c>
      <c r="N3476" s="36">
        <v>273.52999999999997</v>
      </c>
    </row>
    <row r="3477" ht="51">
      <c r="A3477" s="19" t="s">
        <v>10460</v>
      </c>
      <c r="B3477" s="19">
        <v>10554</v>
      </c>
      <c r="C3477" s="20" t="s">
        <v>13944</v>
      </c>
      <c r="D3477" s="19" t="s">
        <v>31</v>
      </c>
      <c r="E3477" s="19" t="s">
        <v>10459</v>
      </c>
      <c r="F3477" s="21">
        <f t="shared" si="590"/>
        <v>261.74000000000001</v>
      </c>
      <c r="G3477" s="21">
        <f t="shared" si="590"/>
        <v>261.74000000000001</v>
      </c>
      <c r="H3477" s="21">
        <f t="shared" si="590"/>
        <v>261.74000000000001</v>
      </c>
      <c r="I3477" s="24" t="str">
        <f t="shared" si="591"/>
        <v xml:space="preserve">COM VALOR</v>
      </c>
      <c r="L3477" s="36">
        <v>261.74000000000001</v>
      </c>
      <c r="M3477" s="37">
        <v>261.74000000000001</v>
      </c>
      <c r="N3477" s="36">
        <v>261.74000000000001</v>
      </c>
    </row>
    <row r="3478" ht="51">
      <c r="A3478" s="19" t="s">
        <v>10460</v>
      </c>
      <c r="B3478" s="19">
        <v>10555</v>
      </c>
      <c r="C3478" s="20" t="s">
        <v>13945</v>
      </c>
      <c r="D3478" s="19" t="s">
        <v>31</v>
      </c>
      <c r="E3478" s="19" t="s">
        <v>10459</v>
      </c>
      <c r="F3478" s="21">
        <f t="shared" si="590"/>
        <v>285.44</v>
      </c>
      <c r="G3478" s="21">
        <f t="shared" si="590"/>
        <v>285.44</v>
      </c>
      <c r="H3478" s="21">
        <f t="shared" si="590"/>
        <v>285.44</v>
      </c>
      <c r="I3478" s="24" t="str">
        <f t="shared" si="591"/>
        <v xml:space="preserve">COM VALOR</v>
      </c>
      <c r="L3478" s="36">
        <v>285.44</v>
      </c>
      <c r="M3478" s="37">
        <v>285.44</v>
      </c>
      <c r="N3478" s="36">
        <v>285.44</v>
      </c>
    </row>
    <row r="3479" ht="51">
      <c r="A3479" s="19" t="s">
        <v>10460</v>
      </c>
      <c r="B3479" s="19">
        <v>10556</v>
      </c>
      <c r="C3479" s="20" t="s">
        <v>13946</v>
      </c>
      <c r="D3479" s="19" t="s">
        <v>31</v>
      </c>
      <c r="E3479" s="19" t="s">
        <v>10459</v>
      </c>
      <c r="F3479" s="21">
        <f t="shared" si="590"/>
        <v>379.51999999999998</v>
      </c>
      <c r="G3479" s="21">
        <f t="shared" si="590"/>
        <v>379.51999999999998</v>
      </c>
      <c r="H3479" s="21">
        <f t="shared" si="590"/>
        <v>379.51999999999998</v>
      </c>
      <c r="I3479" s="24" t="str">
        <f t="shared" si="591"/>
        <v xml:space="preserve">COM VALOR</v>
      </c>
      <c r="L3479" s="36">
        <v>379.51999999999998</v>
      </c>
      <c r="M3479" s="37">
        <v>379.51999999999998</v>
      </c>
      <c r="N3479" s="36">
        <v>379.51999999999998</v>
      </c>
    </row>
    <row r="3480" ht="51">
      <c r="A3480" s="19" t="s">
        <v>10460</v>
      </c>
      <c r="B3480" s="19">
        <v>39502</v>
      </c>
      <c r="C3480" s="20" t="s">
        <v>13947</v>
      </c>
      <c r="D3480" s="19" t="s">
        <v>31</v>
      </c>
      <c r="E3480" s="19" t="s">
        <v>10459</v>
      </c>
      <c r="F3480" s="21">
        <f t="shared" si="590"/>
        <v>532.94000000000005</v>
      </c>
      <c r="G3480" s="21">
        <f t="shared" si="590"/>
        <v>532.94000000000005</v>
      </c>
      <c r="H3480" s="21">
        <f t="shared" si="590"/>
        <v>532.94000000000005</v>
      </c>
      <c r="I3480" s="24" t="str">
        <f t="shared" si="591"/>
        <v xml:space="preserve">COM VALOR</v>
      </c>
      <c r="L3480" s="36">
        <v>532.94000000000005</v>
      </c>
      <c r="M3480" s="37">
        <v>532.94000000000005</v>
      </c>
      <c r="N3480" s="36">
        <v>532.94000000000005</v>
      </c>
    </row>
    <row r="3481" ht="38.25">
      <c r="A3481" s="19" t="s">
        <v>10460</v>
      </c>
      <c r="B3481" s="19">
        <v>39504</v>
      </c>
      <c r="C3481" s="20" t="s">
        <v>13948</v>
      </c>
      <c r="D3481" s="19" t="s">
        <v>31</v>
      </c>
      <c r="E3481" s="19" t="s">
        <v>10459</v>
      </c>
      <c r="F3481" s="21">
        <f t="shared" si="590"/>
        <v>589.33000000000004</v>
      </c>
      <c r="G3481" s="21">
        <f t="shared" si="590"/>
        <v>589.33000000000004</v>
      </c>
      <c r="H3481" s="21">
        <f t="shared" si="590"/>
        <v>589.33000000000004</v>
      </c>
      <c r="I3481" s="24" t="str">
        <f t="shared" si="591"/>
        <v xml:space="preserve">COM VALOR</v>
      </c>
      <c r="L3481" s="36">
        <v>589.33000000000004</v>
      </c>
      <c r="M3481" s="37">
        <v>589.33000000000004</v>
      </c>
      <c r="N3481" s="36">
        <v>589.33000000000004</v>
      </c>
    </row>
    <row r="3482" ht="51">
      <c r="A3482" s="19" t="s">
        <v>10460</v>
      </c>
      <c r="B3482" s="19">
        <v>39503</v>
      </c>
      <c r="C3482" s="20" t="s">
        <v>13949</v>
      </c>
      <c r="D3482" s="19" t="s">
        <v>31</v>
      </c>
      <c r="E3482" s="19" t="s">
        <v>10459</v>
      </c>
      <c r="F3482" s="21">
        <f t="shared" si="590"/>
        <v>620.25</v>
      </c>
      <c r="G3482" s="21">
        <f t="shared" si="590"/>
        <v>620.25</v>
      </c>
      <c r="H3482" s="21">
        <f t="shared" si="590"/>
        <v>620.25</v>
      </c>
      <c r="I3482" s="24" t="str">
        <f t="shared" si="591"/>
        <v xml:space="preserve">COM VALOR</v>
      </c>
      <c r="L3482" s="36">
        <v>620.25</v>
      </c>
      <c r="M3482" s="37">
        <v>620.25</v>
      </c>
      <c r="N3482" s="36">
        <v>620.25</v>
      </c>
    </row>
    <row r="3483" ht="38.25">
      <c r="A3483" s="19" t="s">
        <v>10460</v>
      </c>
      <c r="B3483" s="19">
        <v>39505</v>
      </c>
      <c r="C3483" s="20" t="s">
        <v>13950</v>
      </c>
      <c r="D3483" s="19" t="s">
        <v>31</v>
      </c>
      <c r="E3483" s="19" t="s">
        <v>10459</v>
      </c>
      <c r="F3483" s="21">
        <f t="shared" si="590"/>
        <v>668.39999999999998</v>
      </c>
      <c r="G3483" s="21">
        <f t="shared" si="590"/>
        <v>668.39999999999998</v>
      </c>
      <c r="H3483" s="21">
        <f t="shared" si="590"/>
        <v>668.39999999999998</v>
      </c>
      <c r="I3483" s="24" t="str">
        <f t="shared" si="591"/>
        <v xml:space="preserve">COM VALOR</v>
      </c>
      <c r="L3483" s="36">
        <v>668.39999999999998</v>
      </c>
      <c r="M3483" s="37">
        <v>668.39999999999998</v>
      </c>
      <c r="N3483" s="36">
        <v>668.39999999999998</v>
      </c>
    </row>
    <row r="3484" ht="25.5">
      <c r="A3484" s="19" t="s">
        <v>10460</v>
      </c>
      <c r="B3484" s="19">
        <v>5028</v>
      </c>
      <c r="C3484" s="20" t="s">
        <v>13951</v>
      </c>
      <c r="D3484" s="19" t="s">
        <v>29</v>
      </c>
      <c r="E3484" s="19" t="s">
        <v>10459</v>
      </c>
      <c r="F3484" s="21" t="str">
        <f t="shared" si="590"/>
        <v>VERIFICAR</v>
      </c>
      <c r="G3484" s="21" t="str">
        <f t="shared" si="590"/>
        <v>VERIFICAR</v>
      </c>
      <c r="H3484" s="21" t="str">
        <f t="shared" si="590"/>
        <v>VERIFICAR</v>
      </c>
      <c r="I3484" s="24" t="str">
        <f t="shared" si="591"/>
        <v xml:space="preserve">SEM VALOR</v>
      </c>
      <c r="L3484" s="36"/>
      <c r="M3484" s="37"/>
      <c r="N3484" s="36"/>
    </row>
    <row r="3485" ht="25.5">
      <c r="A3485" s="19" t="s">
        <v>10460</v>
      </c>
      <c r="B3485" s="19">
        <v>4969</v>
      </c>
      <c r="C3485" s="20" t="s">
        <v>13952</v>
      </c>
      <c r="D3485" s="19" t="s">
        <v>29</v>
      </c>
      <c r="E3485" s="19" t="s">
        <v>10466</v>
      </c>
      <c r="F3485" s="21" t="str">
        <f t="shared" si="590"/>
        <v>VERIFICAR</v>
      </c>
      <c r="G3485" s="21" t="str">
        <f t="shared" si="590"/>
        <v>VERIFICAR</v>
      </c>
      <c r="H3485" s="21" t="str">
        <f t="shared" si="590"/>
        <v>VERIFICAR</v>
      </c>
      <c r="I3485" s="24" t="str">
        <f t="shared" si="591"/>
        <v xml:space="preserve">SEM VALOR</v>
      </c>
      <c r="L3485" s="36"/>
      <c r="M3485" s="37"/>
      <c r="N3485" s="36"/>
    </row>
    <row r="3486" ht="12.75">
      <c r="A3486" s="19" t="s">
        <v>10638</v>
      </c>
      <c r="B3486" s="19">
        <v>44471</v>
      </c>
      <c r="C3486" s="20" t="s">
        <v>13953</v>
      </c>
      <c r="D3486" s="19" t="s">
        <v>31</v>
      </c>
      <c r="E3486" s="19" t="s">
        <v>10459</v>
      </c>
      <c r="F3486" s="21">
        <f t="shared" si="590"/>
        <v>529.10000000000002</v>
      </c>
      <c r="G3486" s="21">
        <f t="shared" si="590"/>
        <v>529.10000000000002</v>
      </c>
      <c r="H3486" s="21">
        <f t="shared" si="590"/>
        <v>529.10000000000002</v>
      </c>
      <c r="I3486" s="24" t="str">
        <f t="shared" si="591"/>
        <v xml:space="preserve">COM VALOR</v>
      </c>
      <c r="J3486" s="38" t="s">
        <v>10710</v>
      </c>
      <c r="L3486" s="36">
        <v>529.10000000000002</v>
      </c>
      <c r="M3486" s="37">
        <v>529.10000000000002</v>
      </c>
      <c r="N3486" s="36">
        <v>529.10000000000002</v>
      </c>
    </row>
    <row r="3487" ht="38.25">
      <c r="A3487" s="19" t="s">
        <v>10460</v>
      </c>
      <c r="B3487" s="19">
        <v>4944</v>
      </c>
      <c r="C3487" s="20" t="s">
        <v>13954</v>
      </c>
      <c r="D3487" s="19" t="s">
        <v>29</v>
      </c>
      <c r="E3487" s="19" t="s">
        <v>10459</v>
      </c>
      <c r="F3487" s="21" t="str">
        <f t="shared" si="590"/>
        <v>VERIFICAR</v>
      </c>
      <c r="G3487" s="21" t="str">
        <f t="shared" si="590"/>
        <v>VERIFICAR</v>
      </c>
      <c r="H3487" s="21" t="str">
        <f t="shared" si="590"/>
        <v>VERIFICAR</v>
      </c>
      <c r="I3487" s="24" t="str">
        <f t="shared" si="591"/>
        <v xml:space="preserve">SEM VALOR</v>
      </c>
      <c r="L3487" s="36"/>
      <c r="M3487" s="37"/>
      <c r="N3487" s="36"/>
    </row>
    <row r="3488" ht="12.75">
      <c r="A3488" s="19" t="s">
        <v>10460</v>
      </c>
      <c r="B3488" s="19">
        <v>21102</v>
      </c>
      <c r="C3488" s="20" t="s">
        <v>13955</v>
      </c>
      <c r="D3488" s="19" t="s">
        <v>31</v>
      </c>
      <c r="E3488" s="19" t="s">
        <v>10459</v>
      </c>
      <c r="F3488" s="21">
        <f t="shared" si="590"/>
        <v>31.420000000000002</v>
      </c>
      <c r="G3488" s="21">
        <f t="shared" si="590"/>
        <v>31.420000000000002</v>
      </c>
      <c r="H3488" s="21">
        <f t="shared" si="590"/>
        <v>31.420000000000002</v>
      </c>
      <c r="I3488" s="24" t="str">
        <f t="shared" si="591"/>
        <v xml:space="preserve">COM VALOR</v>
      </c>
      <c r="L3488" s="36">
        <v>31.420000000000002</v>
      </c>
      <c r="M3488" s="37">
        <v>31.420000000000002</v>
      </c>
      <c r="N3488" s="36">
        <v>31.420000000000002</v>
      </c>
    </row>
    <row r="3489" ht="12.75">
      <c r="A3489" s="19" t="s">
        <v>10460</v>
      </c>
      <c r="B3489" s="19">
        <v>21101</v>
      </c>
      <c r="C3489" s="20" t="s">
        <v>13956</v>
      </c>
      <c r="D3489" s="19" t="s">
        <v>31</v>
      </c>
      <c r="E3489" s="19" t="s">
        <v>10459</v>
      </c>
      <c r="F3489" s="21">
        <f t="shared" si="590"/>
        <v>20.18</v>
      </c>
      <c r="G3489" s="21">
        <f t="shared" si="590"/>
        <v>20.18</v>
      </c>
      <c r="H3489" s="21">
        <f t="shared" si="590"/>
        <v>20.18</v>
      </c>
      <c r="I3489" s="24" t="str">
        <f t="shared" si="591"/>
        <v xml:space="preserve">COM VALOR</v>
      </c>
      <c r="L3489" s="36">
        <v>20.18</v>
      </c>
      <c r="M3489" s="37">
        <v>20.18</v>
      </c>
      <c r="N3489" s="36">
        <v>20.18</v>
      </c>
    </row>
    <row r="3490" ht="25.5">
      <c r="A3490" s="19" t="s">
        <v>10460</v>
      </c>
      <c r="B3490" s="19">
        <v>34713</v>
      </c>
      <c r="C3490" s="20" t="s">
        <v>13957</v>
      </c>
      <c r="D3490" s="19" t="s">
        <v>29</v>
      </c>
      <c r="E3490" s="19" t="s">
        <v>10459</v>
      </c>
      <c r="F3490" s="21">
        <f t="shared" si="590"/>
        <v>436.06999999999999</v>
      </c>
      <c r="G3490" s="21">
        <f t="shared" si="590"/>
        <v>436.06999999999999</v>
      </c>
      <c r="H3490" s="21">
        <f t="shared" si="590"/>
        <v>436.06999999999999</v>
      </c>
      <c r="I3490" s="24" t="str">
        <f t="shared" si="591"/>
        <v xml:space="preserve">COM VALOR</v>
      </c>
      <c r="L3490" s="36">
        <v>436.06999999999999</v>
      </c>
      <c r="M3490" s="37">
        <v>436.06999999999999</v>
      </c>
      <c r="N3490" s="36">
        <v>436.06999999999999</v>
      </c>
    </row>
    <row r="3491" ht="38.25">
      <c r="A3491" s="19" t="s">
        <v>10460</v>
      </c>
      <c r="B3491" s="19">
        <v>37563</v>
      </c>
      <c r="C3491" s="20" t="s">
        <v>13958</v>
      </c>
      <c r="D3491" s="19" t="s">
        <v>29</v>
      </c>
      <c r="E3491" s="19" t="s">
        <v>10459</v>
      </c>
      <c r="F3491" s="21">
        <f t="shared" si="590"/>
        <v>668.85000000000002</v>
      </c>
      <c r="G3491" s="21">
        <f t="shared" si="590"/>
        <v>668.85000000000002</v>
      </c>
      <c r="H3491" s="21">
        <f t="shared" si="590"/>
        <v>668.85000000000002</v>
      </c>
      <c r="I3491" s="24" t="str">
        <f t="shared" si="591"/>
        <v xml:space="preserve">COM VALOR</v>
      </c>
      <c r="L3491" s="36">
        <v>668.85000000000002</v>
      </c>
      <c r="M3491" s="37">
        <v>668.85000000000002</v>
      </c>
      <c r="N3491" s="36">
        <v>668.85000000000002</v>
      </c>
    </row>
    <row r="3492" ht="38.25">
      <c r="A3492" s="19" t="s">
        <v>10460</v>
      </c>
      <c r="B3492" s="19">
        <v>4948</v>
      </c>
      <c r="C3492" s="20" t="s">
        <v>13959</v>
      </c>
      <c r="D3492" s="19" t="s">
        <v>29</v>
      </c>
      <c r="E3492" s="19" t="s">
        <v>10459</v>
      </c>
      <c r="F3492" s="21">
        <f t="shared" si="590"/>
        <v>581.90999999999997</v>
      </c>
      <c r="G3492" s="21">
        <f t="shared" si="590"/>
        <v>581.90999999999997</v>
      </c>
      <c r="H3492" s="21">
        <f t="shared" si="590"/>
        <v>581.90999999999997</v>
      </c>
      <c r="I3492" s="24" t="str">
        <f t="shared" si="591"/>
        <v xml:space="preserve">COM VALOR</v>
      </c>
      <c r="L3492" s="36">
        <v>581.90999999999997</v>
      </c>
      <c r="M3492" s="37">
        <v>581.90999999999997</v>
      </c>
      <c r="N3492" s="36">
        <v>581.90999999999997</v>
      </c>
    </row>
    <row r="3493" ht="51">
      <c r="A3493" s="19" t="s">
        <v>10460</v>
      </c>
      <c r="B3493" s="19">
        <v>37561</v>
      </c>
      <c r="C3493" s="20" t="s">
        <v>13960</v>
      </c>
      <c r="D3493" s="19" t="s">
        <v>29</v>
      </c>
      <c r="E3493" s="19" t="s">
        <v>10459</v>
      </c>
      <c r="F3493" s="21">
        <f t="shared" si="590"/>
        <v>542.71000000000004</v>
      </c>
      <c r="G3493" s="21">
        <f t="shared" si="590"/>
        <v>542.71000000000004</v>
      </c>
      <c r="H3493" s="21">
        <f t="shared" si="590"/>
        <v>542.71000000000004</v>
      </c>
      <c r="I3493" s="24" t="str">
        <f t="shared" si="591"/>
        <v xml:space="preserve">COM VALOR</v>
      </c>
      <c r="L3493" s="36">
        <v>542.71000000000004</v>
      </c>
      <c r="M3493" s="37">
        <v>542.71000000000004</v>
      </c>
      <c r="N3493" s="36">
        <v>542.71000000000004</v>
      </c>
    </row>
    <row r="3494" ht="38.25">
      <c r="A3494" s="19" t="s">
        <v>10460</v>
      </c>
      <c r="B3494" s="19">
        <v>37562</v>
      </c>
      <c r="C3494" s="20" t="s">
        <v>13961</v>
      </c>
      <c r="D3494" s="19" t="s">
        <v>29</v>
      </c>
      <c r="E3494" s="19" t="s">
        <v>10459</v>
      </c>
      <c r="F3494" s="21">
        <f t="shared" si="590"/>
        <v>711.55999999999995</v>
      </c>
      <c r="G3494" s="21">
        <f t="shared" si="590"/>
        <v>711.55999999999995</v>
      </c>
      <c r="H3494" s="21">
        <f t="shared" si="590"/>
        <v>711.55999999999995</v>
      </c>
      <c r="I3494" s="24" t="str">
        <f t="shared" si="591"/>
        <v xml:space="preserve">COM VALOR</v>
      </c>
      <c r="L3494" s="36">
        <v>711.55999999999995</v>
      </c>
      <c r="M3494" s="37">
        <v>711.55999999999995</v>
      </c>
      <c r="N3494" s="36">
        <v>711.55999999999995</v>
      </c>
    </row>
    <row r="3495" ht="38.25">
      <c r="A3495" s="19" t="s">
        <v>10460</v>
      </c>
      <c r="B3495" s="19">
        <v>14164</v>
      </c>
      <c r="C3495" s="20" t="s">
        <v>13962</v>
      </c>
      <c r="D3495" s="19" t="s">
        <v>31</v>
      </c>
      <c r="E3495" s="19" t="s">
        <v>10459</v>
      </c>
      <c r="F3495" s="21" t="str">
        <f t="shared" si="590"/>
        <v>VERIFICAR</v>
      </c>
      <c r="G3495" s="21" t="str">
        <f t="shared" si="590"/>
        <v>VERIFICAR</v>
      </c>
      <c r="H3495" s="21" t="str">
        <f t="shared" si="590"/>
        <v>VERIFICAR</v>
      </c>
      <c r="I3495" s="24" t="str">
        <f t="shared" si="591"/>
        <v xml:space="preserve">SEM VALOR</v>
      </c>
      <c r="L3495" s="36"/>
      <c r="M3495" s="37"/>
      <c r="N3495" s="36"/>
    </row>
    <row r="3496" ht="38.25">
      <c r="A3496" s="19" t="s">
        <v>10460</v>
      </c>
      <c r="B3496" s="19">
        <v>14163</v>
      </c>
      <c r="C3496" s="20" t="s">
        <v>13963</v>
      </c>
      <c r="D3496" s="19" t="s">
        <v>31</v>
      </c>
      <c r="E3496" s="19" t="s">
        <v>10459</v>
      </c>
      <c r="F3496" s="21" t="str">
        <f t="shared" si="590"/>
        <v>VERIFICAR</v>
      </c>
      <c r="G3496" s="21" t="str">
        <f t="shared" si="590"/>
        <v>VERIFICAR</v>
      </c>
      <c r="H3496" s="21" t="str">
        <f t="shared" si="590"/>
        <v>VERIFICAR</v>
      </c>
      <c r="I3496" s="24" t="str">
        <f t="shared" si="591"/>
        <v xml:space="preserve">SEM VALOR</v>
      </c>
      <c r="L3496" s="36"/>
      <c r="M3496" s="37"/>
      <c r="N3496" s="36"/>
    </row>
    <row r="3497" ht="38.25">
      <c r="A3497" s="19" t="s">
        <v>10460</v>
      </c>
      <c r="B3497" s="19">
        <v>5051</v>
      </c>
      <c r="C3497" s="20" t="s">
        <v>13964</v>
      </c>
      <c r="D3497" s="19" t="s">
        <v>31</v>
      </c>
      <c r="E3497" s="19" t="s">
        <v>10459</v>
      </c>
      <c r="F3497" s="21" t="str">
        <f t="shared" si="590"/>
        <v>VERIFICAR</v>
      </c>
      <c r="G3497" s="21" t="str">
        <f t="shared" si="590"/>
        <v>VERIFICAR</v>
      </c>
      <c r="H3497" s="21" t="str">
        <f t="shared" si="590"/>
        <v>VERIFICAR</v>
      </c>
      <c r="I3497" s="24" t="str">
        <f t="shared" si="591"/>
        <v xml:space="preserve">SEM VALOR</v>
      </c>
      <c r="L3497" s="36"/>
      <c r="M3497" s="37"/>
      <c r="N3497" s="36"/>
    </row>
    <row r="3498" ht="38.25">
      <c r="A3498" s="19" t="s">
        <v>10460</v>
      </c>
      <c r="B3498" s="19">
        <v>5052</v>
      </c>
      <c r="C3498" s="20" t="s">
        <v>13965</v>
      </c>
      <c r="D3498" s="19" t="s">
        <v>31</v>
      </c>
      <c r="E3498" s="19" t="s">
        <v>10466</v>
      </c>
      <c r="F3498" s="21" t="str">
        <f t="shared" si="590"/>
        <v>VERIFICAR</v>
      </c>
      <c r="G3498" s="21" t="str">
        <f t="shared" si="590"/>
        <v>VERIFICAR</v>
      </c>
      <c r="H3498" s="21" t="str">
        <f t="shared" si="590"/>
        <v>VERIFICAR</v>
      </c>
      <c r="I3498" s="24" t="str">
        <f t="shared" si="591"/>
        <v xml:space="preserve">SEM VALOR</v>
      </c>
      <c r="L3498" s="36"/>
      <c r="M3498" s="37"/>
      <c r="N3498" s="36"/>
    </row>
    <row r="3499" ht="38.25">
      <c r="A3499" s="19" t="s">
        <v>10460</v>
      </c>
      <c r="B3499" s="19">
        <v>14162</v>
      </c>
      <c r="C3499" s="20" t="s">
        <v>13966</v>
      </c>
      <c r="D3499" s="19" t="s">
        <v>31</v>
      </c>
      <c r="E3499" s="19" t="s">
        <v>10459</v>
      </c>
      <c r="F3499" s="21" t="str">
        <f t="shared" si="590"/>
        <v>VERIFICAR</v>
      </c>
      <c r="G3499" s="21" t="str">
        <f t="shared" si="590"/>
        <v>VERIFICAR</v>
      </c>
      <c r="H3499" s="21" t="str">
        <f t="shared" si="590"/>
        <v>VERIFICAR</v>
      </c>
      <c r="I3499" s="24" t="str">
        <f t="shared" si="591"/>
        <v xml:space="preserve">SEM VALOR</v>
      </c>
      <c r="L3499" s="36"/>
      <c r="M3499" s="37"/>
      <c r="N3499" s="36"/>
    </row>
    <row r="3500" ht="25.5">
      <c r="A3500" s="19" t="s">
        <v>10460</v>
      </c>
      <c r="B3500" s="19">
        <v>14166</v>
      </c>
      <c r="C3500" s="20" t="s">
        <v>13967</v>
      </c>
      <c r="D3500" s="19" t="s">
        <v>31</v>
      </c>
      <c r="E3500" s="19" t="s">
        <v>10459</v>
      </c>
      <c r="F3500" s="21" t="str">
        <f t="shared" si="590"/>
        <v>VERIFICAR</v>
      </c>
      <c r="G3500" s="21" t="str">
        <f t="shared" si="590"/>
        <v>VERIFICAR</v>
      </c>
      <c r="H3500" s="21" t="str">
        <f t="shared" si="590"/>
        <v>VERIFICAR</v>
      </c>
      <c r="I3500" s="24" t="str">
        <f t="shared" si="591"/>
        <v xml:space="preserve">SEM VALOR</v>
      </c>
      <c r="J3500" s="38"/>
      <c r="L3500" s="36"/>
      <c r="M3500" s="37"/>
      <c r="N3500" s="36"/>
    </row>
    <row r="3501" ht="25.5">
      <c r="A3501" s="19" t="s">
        <v>10460</v>
      </c>
      <c r="B3501" s="19">
        <v>14165</v>
      </c>
      <c r="C3501" s="20" t="s">
        <v>13968</v>
      </c>
      <c r="D3501" s="19" t="s">
        <v>31</v>
      </c>
      <c r="E3501" s="19" t="s">
        <v>10459</v>
      </c>
      <c r="F3501" s="21" t="str">
        <f t="shared" si="590"/>
        <v>VERIFICAR</v>
      </c>
      <c r="G3501" s="21" t="str">
        <f t="shared" si="590"/>
        <v>VERIFICAR</v>
      </c>
      <c r="H3501" s="21" t="str">
        <f t="shared" si="590"/>
        <v>VERIFICAR</v>
      </c>
      <c r="I3501" s="24" t="str">
        <f t="shared" si="591"/>
        <v xml:space="preserve">SEM VALOR</v>
      </c>
      <c r="L3501" s="36"/>
      <c r="M3501" s="37"/>
      <c r="N3501" s="36"/>
    </row>
    <row r="3502" ht="25.5">
      <c r="A3502" s="19" t="s">
        <v>10460</v>
      </c>
      <c r="B3502" s="19">
        <v>5050</v>
      </c>
      <c r="C3502" s="20" t="s">
        <v>13969</v>
      </c>
      <c r="D3502" s="19" t="s">
        <v>31</v>
      </c>
      <c r="E3502" s="19" t="s">
        <v>10459</v>
      </c>
      <c r="F3502" s="21" t="str">
        <f t="shared" si="590"/>
        <v>VERIFICAR</v>
      </c>
      <c r="G3502" s="21" t="str">
        <f t="shared" si="590"/>
        <v>VERIFICAR</v>
      </c>
      <c r="H3502" s="21" t="str">
        <f t="shared" si="590"/>
        <v>VERIFICAR</v>
      </c>
      <c r="I3502" s="24" t="str">
        <f t="shared" si="591"/>
        <v xml:space="preserve">SEM VALOR</v>
      </c>
      <c r="L3502" s="36"/>
      <c r="M3502" s="37"/>
      <c r="N3502" s="36"/>
    </row>
    <row r="3503" ht="38.25">
      <c r="A3503" s="19" t="s">
        <v>10460</v>
      </c>
      <c r="B3503" s="19">
        <v>12366</v>
      </c>
      <c r="C3503" s="20" t="s">
        <v>13970</v>
      </c>
      <c r="D3503" s="19" t="s">
        <v>31</v>
      </c>
      <c r="E3503" s="19" t="s">
        <v>10459</v>
      </c>
      <c r="F3503" s="21">
        <f t="shared" si="590"/>
        <v>1483.6400000000001</v>
      </c>
      <c r="G3503" s="21">
        <f t="shared" si="590"/>
        <v>1483.6400000000001</v>
      </c>
      <c r="H3503" s="21">
        <f t="shared" si="590"/>
        <v>1483.6400000000001</v>
      </c>
      <c r="I3503" s="24" t="str">
        <f t="shared" si="591"/>
        <v xml:space="preserve">COM VALOR</v>
      </c>
      <c r="L3503" s="36">
        <v>1483.6400000000001</v>
      </c>
      <c r="M3503" s="37">
        <v>1483.6400000000001</v>
      </c>
      <c r="N3503" s="36">
        <v>1483.6400000000001</v>
      </c>
    </row>
    <row r="3504" ht="38.25">
      <c r="A3504" s="19" t="s">
        <v>10460</v>
      </c>
      <c r="B3504" s="19">
        <v>5045</v>
      </c>
      <c r="C3504" s="20" t="s">
        <v>13971</v>
      </c>
      <c r="D3504" s="19" t="s">
        <v>31</v>
      </c>
      <c r="E3504" s="19" t="s">
        <v>10459</v>
      </c>
      <c r="F3504" s="21">
        <f t="shared" si="590"/>
        <v>2049.5599999999999</v>
      </c>
      <c r="G3504" s="21">
        <f t="shared" si="590"/>
        <v>2049.5599999999999</v>
      </c>
      <c r="H3504" s="21">
        <f t="shared" si="590"/>
        <v>2049.5599999999999</v>
      </c>
      <c r="I3504" s="24" t="str">
        <f t="shared" si="591"/>
        <v xml:space="preserve">COM VALOR</v>
      </c>
      <c r="L3504" s="36">
        <v>2049.5599999999999</v>
      </c>
      <c r="M3504" s="37">
        <v>2049.5599999999999</v>
      </c>
      <c r="N3504" s="36">
        <v>2049.5599999999999</v>
      </c>
    </row>
    <row r="3505" ht="38.25">
      <c r="A3505" s="19" t="s">
        <v>10460</v>
      </c>
      <c r="B3505" s="19">
        <v>5035</v>
      </c>
      <c r="C3505" s="20" t="s">
        <v>13972</v>
      </c>
      <c r="D3505" s="19" t="s">
        <v>31</v>
      </c>
      <c r="E3505" s="19" t="s">
        <v>10459</v>
      </c>
      <c r="F3505" s="21">
        <f t="shared" si="590"/>
        <v>2356.5</v>
      </c>
      <c r="G3505" s="21">
        <f t="shared" si="590"/>
        <v>2356.5</v>
      </c>
      <c r="H3505" s="21">
        <f t="shared" si="590"/>
        <v>2356.5</v>
      </c>
      <c r="I3505" s="24" t="str">
        <f t="shared" si="591"/>
        <v xml:space="preserve">COM VALOR</v>
      </c>
      <c r="L3505" s="36">
        <v>2356.5</v>
      </c>
      <c r="M3505" s="37">
        <v>2356.5</v>
      </c>
      <c r="N3505" s="36">
        <v>2356.5</v>
      </c>
    </row>
    <row r="3506" ht="25.5">
      <c r="A3506" s="19" t="s">
        <v>10460</v>
      </c>
      <c r="B3506" s="19">
        <v>41180</v>
      </c>
      <c r="C3506" s="20" t="s">
        <v>13973</v>
      </c>
      <c r="D3506" s="19" t="s">
        <v>31</v>
      </c>
      <c r="E3506" s="19" t="s">
        <v>10459</v>
      </c>
      <c r="F3506" s="21">
        <f t="shared" si="590"/>
        <v>5297.3800000000001</v>
      </c>
      <c r="G3506" s="21">
        <f t="shared" si="590"/>
        <v>5297.3800000000001</v>
      </c>
      <c r="H3506" s="21">
        <f t="shared" si="590"/>
        <v>5297.3800000000001</v>
      </c>
      <c r="I3506" s="24" t="str">
        <f t="shared" si="591"/>
        <v xml:space="preserve">COM VALOR</v>
      </c>
      <c r="L3506" s="36">
        <v>5297.3800000000001</v>
      </c>
      <c r="M3506" s="37">
        <v>5297.3800000000001</v>
      </c>
      <c r="N3506" s="36">
        <v>5297.3800000000001</v>
      </c>
    </row>
    <row r="3507" ht="25.5">
      <c r="A3507" s="19" t="s">
        <v>10460</v>
      </c>
      <c r="B3507" s="19">
        <v>41181</v>
      </c>
      <c r="C3507" s="20" t="s">
        <v>13974</v>
      </c>
      <c r="D3507" s="19" t="s">
        <v>31</v>
      </c>
      <c r="E3507" s="19" t="s">
        <v>10459</v>
      </c>
      <c r="F3507" s="21">
        <f t="shared" si="590"/>
        <v>7013.5699999999997</v>
      </c>
      <c r="G3507" s="21">
        <f t="shared" si="590"/>
        <v>7013.5699999999997</v>
      </c>
      <c r="H3507" s="21">
        <f t="shared" si="590"/>
        <v>7013.5699999999997</v>
      </c>
      <c r="I3507" s="24" t="str">
        <f t="shared" si="591"/>
        <v xml:space="preserve">COM VALOR</v>
      </c>
      <c r="L3507" s="36">
        <v>7013.5699999999997</v>
      </c>
      <c r="M3507" s="37">
        <v>7013.5699999999997</v>
      </c>
      <c r="N3507" s="36">
        <v>7013.5699999999997</v>
      </c>
    </row>
    <row r="3508" ht="25.5">
      <c r="A3508" s="19" t="s">
        <v>10460</v>
      </c>
      <c r="B3508" s="19">
        <v>41182</v>
      </c>
      <c r="C3508" s="20" t="s">
        <v>13975</v>
      </c>
      <c r="D3508" s="19" t="s">
        <v>31</v>
      </c>
      <c r="E3508" s="19" t="s">
        <v>10459</v>
      </c>
      <c r="F3508" s="21">
        <f t="shared" si="590"/>
        <v>10061.540000000001</v>
      </c>
      <c r="G3508" s="21">
        <f t="shared" si="590"/>
        <v>10061.540000000001</v>
      </c>
      <c r="H3508" s="21">
        <f t="shared" si="590"/>
        <v>10061.540000000001</v>
      </c>
      <c r="I3508" s="24" t="str">
        <f t="shared" si="591"/>
        <v xml:space="preserve">COM VALOR</v>
      </c>
      <c r="L3508" s="36">
        <v>10061.540000000001</v>
      </c>
      <c r="M3508" s="37">
        <v>10061.540000000001</v>
      </c>
      <c r="N3508" s="36">
        <v>10061.540000000001</v>
      </c>
    </row>
    <row r="3509" ht="25.5">
      <c r="A3509" s="19" t="s">
        <v>10460</v>
      </c>
      <c r="B3509" s="19">
        <v>41183</v>
      </c>
      <c r="C3509" s="20" t="s">
        <v>13976</v>
      </c>
      <c r="D3509" s="19" t="s">
        <v>31</v>
      </c>
      <c r="E3509" s="19" t="s">
        <v>10459</v>
      </c>
      <c r="F3509" s="21">
        <f t="shared" si="590"/>
        <v>12562.049999999999</v>
      </c>
      <c r="G3509" s="21">
        <f t="shared" si="590"/>
        <v>12562.049999999999</v>
      </c>
      <c r="H3509" s="21">
        <f t="shared" si="590"/>
        <v>12562.049999999999</v>
      </c>
      <c r="I3509" s="24" t="str">
        <f t="shared" si="591"/>
        <v xml:space="preserve">COM VALOR</v>
      </c>
      <c r="L3509" s="36">
        <v>12562.049999999999</v>
      </c>
      <c r="M3509" s="37">
        <v>12562.049999999999</v>
      </c>
      <c r="N3509" s="36">
        <v>12562.049999999999</v>
      </c>
    </row>
    <row r="3510" ht="25.5">
      <c r="A3510" s="19" t="s">
        <v>10460</v>
      </c>
      <c r="B3510" s="19">
        <v>41184</v>
      </c>
      <c r="C3510" s="20" t="s">
        <v>13977</v>
      </c>
      <c r="D3510" s="19" t="s">
        <v>31</v>
      </c>
      <c r="E3510" s="19" t="s">
        <v>10459</v>
      </c>
      <c r="F3510" s="21">
        <f t="shared" si="590"/>
        <v>19126.48</v>
      </c>
      <c r="G3510" s="21">
        <f t="shared" si="590"/>
        <v>19126.48</v>
      </c>
      <c r="H3510" s="21">
        <f t="shared" si="590"/>
        <v>19126.48</v>
      </c>
      <c r="I3510" s="24" t="str">
        <f t="shared" si="591"/>
        <v xml:space="preserve">COM VALOR</v>
      </c>
      <c r="L3510" s="36">
        <v>19126.48</v>
      </c>
      <c r="M3510" s="37">
        <v>19126.48</v>
      </c>
      <c r="N3510" s="36">
        <v>19126.48</v>
      </c>
    </row>
    <row r="3511" ht="25.5">
      <c r="A3511" s="19" t="s">
        <v>10460</v>
      </c>
      <c r="B3511" s="19">
        <v>41185</v>
      </c>
      <c r="C3511" s="20" t="s">
        <v>13978</v>
      </c>
      <c r="D3511" s="19" t="s">
        <v>31</v>
      </c>
      <c r="E3511" s="19" t="s">
        <v>10459</v>
      </c>
      <c r="F3511" s="21">
        <f t="shared" si="590"/>
        <v>7092.96</v>
      </c>
      <c r="G3511" s="21">
        <f t="shared" si="590"/>
        <v>7092.96</v>
      </c>
      <c r="H3511" s="21">
        <f t="shared" si="590"/>
        <v>7092.96</v>
      </c>
      <c r="I3511" s="24" t="str">
        <f t="shared" si="591"/>
        <v xml:space="preserve">COM VALOR</v>
      </c>
      <c r="L3511" s="36">
        <v>7092.96</v>
      </c>
      <c r="M3511" s="37">
        <v>7092.96</v>
      </c>
      <c r="N3511" s="36">
        <v>7092.96</v>
      </c>
    </row>
    <row r="3512" ht="25.5">
      <c r="A3512" s="19" t="s">
        <v>10460</v>
      </c>
      <c r="B3512" s="19">
        <v>41186</v>
      </c>
      <c r="C3512" s="20" t="s">
        <v>13979</v>
      </c>
      <c r="D3512" s="19" t="s">
        <v>31</v>
      </c>
      <c r="E3512" s="19" t="s">
        <v>10459</v>
      </c>
      <c r="F3512" s="21">
        <f t="shared" si="590"/>
        <v>9939.9599999999991</v>
      </c>
      <c r="G3512" s="21">
        <f t="shared" si="590"/>
        <v>9939.9599999999991</v>
      </c>
      <c r="H3512" s="21">
        <f t="shared" si="590"/>
        <v>9939.9599999999991</v>
      </c>
      <c r="I3512" s="24" t="str">
        <f t="shared" si="591"/>
        <v xml:space="preserve">COM VALOR</v>
      </c>
      <c r="L3512" s="36">
        <v>9939.9599999999991</v>
      </c>
      <c r="M3512" s="37">
        <v>9939.9599999999991</v>
      </c>
      <c r="N3512" s="36">
        <v>9939.9599999999991</v>
      </c>
    </row>
    <row r="3513" ht="25.5">
      <c r="A3513" s="19" t="s">
        <v>10460</v>
      </c>
      <c r="B3513" s="19">
        <v>41187</v>
      </c>
      <c r="C3513" s="20" t="s">
        <v>13980</v>
      </c>
      <c r="D3513" s="19" t="s">
        <v>31</v>
      </c>
      <c r="E3513" s="19" t="s">
        <v>10459</v>
      </c>
      <c r="F3513" s="21">
        <f t="shared" si="590"/>
        <v>13330.309999999999</v>
      </c>
      <c r="G3513" s="21">
        <f t="shared" si="590"/>
        <v>13330.309999999999</v>
      </c>
      <c r="H3513" s="21">
        <f t="shared" si="590"/>
        <v>13330.309999999999</v>
      </c>
      <c r="I3513" s="24" t="str">
        <f t="shared" si="591"/>
        <v xml:space="preserve">COM VALOR</v>
      </c>
      <c r="L3513" s="36">
        <v>13330.309999999999</v>
      </c>
      <c r="M3513" s="37">
        <v>13330.309999999999</v>
      </c>
      <c r="N3513" s="36">
        <v>13330.309999999999</v>
      </c>
    </row>
    <row r="3514" ht="25.5">
      <c r="A3514" s="19" t="s">
        <v>10460</v>
      </c>
      <c r="B3514" s="19">
        <v>41188</v>
      </c>
      <c r="C3514" s="20" t="s">
        <v>13981</v>
      </c>
      <c r="D3514" s="19" t="s">
        <v>31</v>
      </c>
      <c r="E3514" s="19" t="s">
        <v>10459</v>
      </c>
      <c r="F3514" s="21">
        <f t="shared" si="590"/>
        <v>17046.5</v>
      </c>
      <c r="G3514" s="21">
        <f t="shared" si="590"/>
        <v>17046.5</v>
      </c>
      <c r="H3514" s="21">
        <f t="shared" si="590"/>
        <v>17046.5</v>
      </c>
      <c r="I3514" s="24" t="str">
        <f t="shared" si="591"/>
        <v xml:space="preserve">COM VALOR</v>
      </c>
      <c r="L3514" s="36">
        <v>17046.5</v>
      </c>
      <c r="M3514" s="37">
        <v>17046.5</v>
      </c>
      <c r="N3514" s="36">
        <v>17046.5</v>
      </c>
    </row>
    <row r="3515" ht="38.25">
      <c r="A3515" s="19" t="s">
        <v>10460</v>
      </c>
      <c r="B3515" s="19">
        <v>5036</v>
      </c>
      <c r="C3515" s="20" t="s">
        <v>13982</v>
      </c>
      <c r="D3515" s="19" t="s">
        <v>31</v>
      </c>
      <c r="E3515" s="19" t="s">
        <v>10459</v>
      </c>
      <c r="F3515" s="21">
        <f t="shared" si="590"/>
        <v>3615.3000000000002</v>
      </c>
      <c r="G3515" s="21">
        <f t="shared" si="590"/>
        <v>3615.3000000000002</v>
      </c>
      <c r="H3515" s="21">
        <f t="shared" si="590"/>
        <v>3615.3000000000002</v>
      </c>
      <c r="I3515" s="24" t="str">
        <f t="shared" si="591"/>
        <v xml:space="preserve">COM VALOR</v>
      </c>
      <c r="L3515" s="36">
        <v>3615.3000000000002</v>
      </c>
      <c r="M3515" s="37">
        <v>3615.3000000000002</v>
      </c>
      <c r="N3515" s="36">
        <v>3615.3000000000002</v>
      </c>
    </row>
    <row r="3516" ht="25.5">
      <c r="A3516" s="19" t="s">
        <v>10460</v>
      </c>
      <c r="B3516" s="19">
        <v>41189</v>
      </c>
      <c r="C3516" s="20" t="s">
        <v>13983</v>
      </c>
      <c r="D3516" s="19" t="s">
        <v>31</v>
      </c>
      <c r="E3516" s="19" t="s">
        <v>10459</v>
      </c>
      <c r="F3516" s="21">
        <f t="shared" si="590"/>
        <v>21915.060000000001</v>
      </c>
      <c r="G3516" s="21">
        <f t="shared" si="590"/>
        <v>21915.060000000001</v>
      </c>
      <c r="H3516" s="21">
        <f t="shared" si="590"/>
        <v>21915.060000000001</v>
      </c>
      <c r="I3516" s="24" t="str">
        <f t="shared" si="591"/>
        <v xml:space="preserve">COM VALOR</v>
      </c>
      <c r="L3516" s="36">
        <v>21915.060000000001</v>
      </c>
      <c r="M3516" s="37">
        <v>21915.060000000001</v>
      </c>
      <c r="N3516" s="36">
        <v>21915.060000000001</v>
      </c>
    </row>
    <row r="3517" ht="25.5">
      <c r="A3517" s="19" t="s">
        <v>10460</v>
      </c>
      <c r="B3517" s="19">
        <v>41190</v>
      </c>
      <c r="C3517" s="20" t="s">
        <v>13984</v>
      </c>
      <c r="D3517" s="19" t="s">
        <v>31</v>
      </c>
      <c r="E3517" s="19" t="s">
        <v>10459</v>
      </c>
      <c r="F3517" s="21">
        <f t="shared" si="590"/>
        <v>7621.29</v>
      </c>
      <c r="G3517" s="21">
        <f t="shared" si="590"/>
        <v>7621.29</v>
      </c>
      <c r="H3517" s="21">
        <f t="shared" si="590"/>
        <v>7621.29</v>
      </c>
      <c r="I3517" s="24" t="str">
        <f t="shared" si="591"/>
        <v xml:space="preserve">COM VALOR</v>
      </c>
      <c r="L3517" s="36">
        <v>7621.29</v>
      </c>
      <c r="M3517" s="37">
        <v>7621.29</v>
      </c>
      <c r="N3517" s="36">
        <v>7621.29</v>
      </c>
    </row>
    <row r="3518" ht="25.5">
      <c r="A3518" s="19" t="s">
        <v>10460</v>
      </c>
      <c r="B3518" s="19">
        <v>41191</v>
      </c>
      <c r="C3518" s="20" t="s">
        <v>13985</v>
      </c>
      <c r="D3518" s="19" t="s">
        <v>31</v>
      </c>
      <c r="E3518" s="19" t="s">
        <v>10459</v>
      </c>
      <c r="F3518" s="21">
        <f t="shared" si="590"/>
        <v>11686.959999999999</v>
      </c>
      <c r="G3518" s="21">
        <f t="shared" si="590"/>
        <v>11686.959999999999</v>
      </c>
      <c r="H3518" s="21">
        <f t="shared" si="590"/>
        <v>11686.959999999999</v>
      </c>
      <c r="I3518" s="24" t="str">
        <f t="shared" si="591"/>
        <v xml:space="preserve">COM VALOR</v>
      </c>
      <c r="L3518" s="36">
        <v>11686.959999999999</v>
      </c>
      <c r="M3518" s="37">
        <v>11686.959999999999</v>
      </c>
      <c r="N3518" s="36">
        <v>11686.959999999999</v>
      </c>
    </row>
    <row r="3519" ht="25.5">
      <c r="A3519" s="19" t="s">
        <v>10460</v>
      </c>
      <c r="B3519" s="19">
        <v>41192</v>
      </c>
      <c r="C3519" s="20" t="s">
        <v>13986</v>
      </c>
      <c r="D3519" s="19" t="s">
        <v>31</v>
      </c>
      <c r="E3519" s="19" t="s">
        <v>10459</v>
      </c>
      <c r="F3519" s="21">
        <f t="shared" si="590"/>
        <v>12183.57</v>
      </c>
      <c r="G3519" s="21">
        <f t="shared" si="590"/>
        <v>12183.57</v>
      </c>
      <c r="H3519" s="21">
        <f t="shared" si="590"/>
        <v>12183.57</v>
      </c>
      <c r="I3519" s="24" t="str">
        <f t="shared" si="591"/>
        <v xml:space="preserve">COM VALOR</v>
      </c>
      <c r="L3519" s="36">
        <v>12183.57</v>
      </c>
      <c r="M3519" s="37">
        <v>12183.57</v>
      </c>
      <c r="N3519" s="36">
        <v>12183.57</v>
      </c>
    </row>
    <row r="3520" ht="25.5">
      <c r="A3520" s="19" t="s">
        <v>10460</v>
      </c>
      <c r="B3520" s="19">
        <v>41193</v>
      </c>
      <c r="C3520" s="20" t="s">
        <v>13987</v>
      </c>
      <c r="D3520" s="19" t="s">
        <v>31</v>
      </c>
      <c r="E3520" s="19" t="s">
        <v>10459</v>
      </c>
      <c r="F3520" s="21">
        <f t="shared" si="590"/>
        <v>19907.549999999999</v>
      </c>
      <c r="G3520" s="21">
        <f t="shared" si="590"/>
        <v>19907.549999999999</v>
      </c>
      <c r="H3520" s="21">
        <f t="shared" si="590"/>
        <v>19907.549999999999</v>
      </c>
      <c r="I3520" s="24" t="str">
        <f t="shared" si="591"/>
        <v xml:space="preserve">COM VALOR</v>
      </c>
      <c r="L3520" s="36">
        <v>19907.549999999999</v>
      </c>
      <c r="M3520" s="37">
        <v>19907.549999999999</v>
      </c>
      <c r="N3520" s="36">
        <v>19907.549999999999</v>
      </c>
    </row>
    <row r="3521" ht="25.5">
      <c r="A3521" s="19" t="s">
        <v>10460</v>
      </c>
      <c r="B3521" s="19">
        <v>41194</v>
      </c>
      <c r="C3521" s="20" t="s">
        <v>13988</v>
      </c>
      <c r="D3521" s="19" t="s">
        <v>31</v>
      </c>
      <c r="E3521" s="19" t="s">
        <v>10459</v>
      </c>
      <c r="F3521" s="21">
        <f t="shared" si="590"/>
        <v>23754.220000000001</v>
      </c>
      <c r="G3521" s="21">
        <f t="shared" si="590"/>
        <v>23754.220000000001</v>
      </c>
      <c r="H3521" s="21">
        <f t="shared" si="590"/>
        <v>23754.220000000001</v>
      </c>
      <c r="I3521" s="24" t="str">
        <f t="shared" si="591"/>
        <v xml:space="preserve">COM VALOR</v>
      </c>
      <c r="L3521" s="36">
        <v>23754.220000000001</v>
      </c>
      <c r="M3521" s="37">
        <v>23754.220000000001</v>
      </c>
      <c r="N3521" s="36">
        <v>23754.220000000001</v>
      </c>
    </row>
    <row r="3522" ht="38.25">
      <c r="A3522" s="19" t="s">
        <v>10460</v>
      </c>
      <c r="B3522" s="19">
        <v>5044</v>
      </c>
      <c r="C3522" s="20" t="s">
        <v>13989</v>
      </c>
      <c r="D3522" s="19" t="s">
        <v>31</v>
      </c>
      <c r="E3522" s="19" t="s">
        <v>10459</v>
      </c>
      <c r="F3522" s="21">
        <f t="shared" si="590"/>
        <v>1278.22</v>
      </c>
      <c r="G3522" s="21">
        <f t="shared" si="590"/>
        <v>1278.22</v>
      </c>
      <c r="H3522" s="21">
        <f t="shared" si="590"/>
        <v>1278.22</v>
      </c>
      <c r="I3522" s="24" t="str">
        <f t="shared" si="591"/>
        <v xml:space="preserve">COM VALOR</v>
      </c>
      <c r="L3522" s="36">
        <v>1278.22</v>
      </c>
      <c r="M3522" s="37">
        <v>1278.22</v>
      </c>
      <c r="N3522" s="36">
        <v>1278.22</v>
      </c>
    </row>
    <row r="3523" ht="38.25">
      <c r="A3523" s="19" t="s">
        <v>10460</v>
      </c>
      <c r="B3523" s="19">
        <v>5059</v>
      </c>
      <c r="C3523" s="20" t="s">
        <v>13990</v>
      </c>
      <c r="D3523" s="19" t="s">
        <v>31</v>
      </c>
      <c r="E3523" s="19" t="s">
        <v>10459</v>
      </c>
      <c r="F3523" s="21">
        <f t="shared" si="590"/>
        <v>1528.5899999999999</v>
      </c>
      <c r="G3523" s="21">
        <f t="shared" si="590"/>
        <v>1528.5899999999999</v>
      </c>
      <c r="H3523" s="21">
        <f t="shared" si="590"/>
        <v>1528.5899999999999</v>
      </c>
      <c r="I3523" s="24" t="str">
        <f t="shared" si="591"/>
        <v xml:space="preserve">COM VALOR</v>
      </c>
      <c r="L3523" s="36">
        <v>1528.5899999999999</v>
      </c>
      <c r="M3523" s="37">
        <v>1528.5899999999999</v>
      </c>
      <c r="N3523" s="36">
        <v>1528.5899999999999</v>
      </c>
    </row>
    <row r="3524" ht="25.5">
      <c r="A3524" s="19" t="s">
        <v>10460</v>
      </c>
      <c r="B3524" s="19">
        <v>41201</v>
      </c>
      <c r="C3524" s="20" t="s">
        <v>13991</v>
      </c>
      <c r="D3524" s="19" t="s">
        <v>31</v>
      </c>
      <c r="E3524" s="19" t="s">
        <v>10459</v>
      </c>
      <c r="F3524" s="21">
        <f t="shared" si="590"/>
        <v>3102.1500000000001</v>
      </c>
      <c r="G3524" s="21">
        <f t="shared" si="590"/>
        <v>3102.1500000000001</v>
      </c>
      <c r="H3524" s="21">
        <f t="shared" si="590"/>
        <v>3102.1500000000001</v>
      </c>
      <c r="I3524" s="24" t="str">
        <f t="shared" si="591"/>
        <v xml:space="preserve">COM VALOR</v>
      </c>
      <c r="L3524" s="36">
        <v>3102.1500000000001</v>
      </c>
      <c r="M3524" s="37">
        <v>3102.1500000000001</v>
      </c>
      <c r="N3524" s="36">
        <v>3102.1500000000001</v>
      </c>
    </row>
    <row r="3525" ht="25.5">
      <c r="A3525" s="19" t="s">
        <v>10460</v>
      </c>
      <c r="B3525" s="19">
        <v>41199</v>
      </c>
      <c r="C3525" s="20" t="s">
        <v>13992</v>
      </c>
      <c r="D3525" s="19" t="s">
        <v>31</v>
      </c>
      <c r="E3525" s="19" t="s">
        <v>10459</v>
      </c>
      <c r="F3525" s="21">
        <f t="shared" si="590"/>
        <v>996.84000000000003</v>
      </c>
      <c r="G3525" s="21">
        <f t="shared" si="590"/>
        <v>996.84000000000003</v>
      </c>
      <c r="H3525" s="21">
        <f t="shared" si="590"/>
        <v>996.84000000000003</v>
      </c>
      <c r="I3525" s="24" t="str">
        <f t="shared" si="591"/>
        <v xml:space="preserve">COM VALOR</v>
      </c>
      <c r="L3525" s="36">
        <v>996.84000000000003</v>
      </c>
      <c r="M3525" s="37">
        <v>996.84000000000003</v>
      </c>
      <c r="N3525" s="36">
        <v>996.84000000000003</v>
      </c>
    </row>
    <row r="3526" ht="38.25">
      <c r="A3526" s="19" t="s">
        <v>10460</v>
      </c>
      <c r="B3526" s="19">
        <v>5057</v>
      </c>
      <c r="C3526" s="20" t="s">
        <v>13993</v>
      </c>
      <c r="D3526" s="19" t="s">
        <v>31</v>
      </c>
      <c r="E3526" s="19" t="s">
        <v>10459</v>
      </c>
      <c r="F3526" s="21">
        <f t="shared" si="590"/>
        <v>1349.53</v>
      </c>
      <c r="G3526" s="21">
        <f t="shared" si="590"/>
        <v>1349.53</v>
      </c>
      <c r="H3526" s="21">
        <f t="shared" si="590"/>
        <v>1349.53</v>
      </c>
      <c r="I3526" s="24" t="str">
        <f t="shared" si="591"/>
        <v xml:space="preserve">COM VALOR</v>
      </c>
      <c r="L3526" s="36">
        <v>1349.53</v>
      </c>
      <c r="M3526" s="37">
        <v>1349.53</v>
      </c>
      <c r="N3526" s="36">
        <v>1349.53</v>
      </c>
    </row>
    <row r="3527" ht="25.5">
      <c r="A3527" s="19" t="s">
        <v>10460</v>
      </c>
      <c r="B3527" s="19">
        <v>41200</v>
      </c>
      <c r="C3527" s="20" t="s">
        <v>13994</v>
      </c>
      <c r="D3527" s="19" t="s">
        <v>31</v>
      </c>
      <c r="E3527" s="19" t="s">
        <v>10459</v>
      </c>
      <c r="F3527" s="21">
        <f t="shared" si="590"/>
        <v>1940.2</v>
      </c>
      <c r="G3527" s="21">
        <f t="shared" si="590"/>
        <v>1940.2</v>
      </c>
      <c r="H3527" s="21">
        <f t="shared" si="590"/>
        <v>1940.2</v>
      </c>
      <c r="I3527" s="24" t="str">
        <f t="shared" si="591"/>
        <v xml:space="preserve">COM VALOR</v>
      </c>
      <c r="L3527" s="36">
        <v>1940.2</v>
      </c>
      <c r="M3527" s="37">
        <v>1940.2</v>
      </c>
      <c r="N3527" s="36">
        <v>1940.2</v>
      </c>
    </row>
    <row r="3528" ht="25.5">
      <c r="A3528" s="19" t="s">
        <v>10460</v>
      </c>
      <c r="B3528" s="19">
        <v>41205</v>
      </c>
      <c r="C3528" s="20" t="s">
        <v>13995</v>
      </c>
      <c r="D3528" s="19" t="s">
        <v>31</v>
      </c>
      <c r="E3528" s="19" t="s">
        <v>10459</v>
      </c>
      <c r="F3528" s="21">
        <f t="shared" si="590"/>
        <v>3595.1500000000001</v>
      </c>
      <c r="G3528" s="21">
        <f t="shared" si="590"/>
        <v>3595.1500000000001</v>
      </c>
      <c r="H3528" s="21">
        <f t="shared" si="590"/>
        <v>3595.1500000000001</v>
      </c>
      <c r="I3528" s="24" t="str">
        <f t="shared" si="591"/>
        <v xml:space="preserve">COM VALOR</v>
      </c>
      <c r="L3528" s="36">
        <v>3595.1500000000001</v>
      </c>
      <c r="M3528" s="37">
        <v>3595.1500000000001</v>
      </c>
      <c r="N3528" s="36">
        <v>3595.1500000000001</v>
      </c>
    </row>
    <row r="3529" ht="25.5">
      <c r="A3529" s="19" t="s">
        <v>10460</v>
      </c>
      <c r="B3529" s="19">
        <v>41202</v>
      </c>
      <c r="C3529" s="20" t="s">
        <v>13996</v>
      </c>
      <c r="D3529" s="19" t="s">
        <v>31</v>
      </c>
      <c r="E3529" s="19" t="s">
        <v>10459</v>
      </c>
      <c r="F3529" s="21">
        <f t="shared" si="590"/>
        <v>1049.0899999999999</v>
      </c>
      <c r="G3529" s="21">
        <f t="shared" si="590"/>
        <v>1049.0899999999999</v>
      </c>
      <c r="H3529" s="21">
        <f t="shared" si="590"/>
        <v>1049.0899999999999</v>
      </c>
      <c r="I3529" s="24" t="str">
        <f t="shared" si="591"/>
        <v xml:space="preserve">COM VALOR</v>
      </c>
      <c r="L3529" s="36">
        <v>1049.0899999999999</v>
      </c>
      <c r="M3529" s="37">
        <v>1049.0899999999999</v>
      </c>
      <c r="N3529" s="36">
        <v>1049.0899999999999</v>
      </c>
    </row>
    <row r="3530" ht="25.5">
      <c r="A3530" s="19" t="s">
        <v>10460</v>
      </c>
      <c r="B3530" s="19">
        <v>41206</v>
      </c>
      <c r="C3530" s="20" t="s">
        <v>13997</v>
      </c>
      <c r="D3530" s="19" t="s">
        <v>31</v>
      </c>
      <c r="E3530" s="19" t="s">
        <v>10459</v>
      </c>
      <c r="F3530" s="21">
        <f t="shared" si="590"/>
        <v>4740.0500000000002</v>
      </c>
      <c r="G3530" s="21">
        <f t="shared" si="590"/>
        <v>4740.0500000000002</v>
      </c>
      <c r="H3530" s="21">
        <f t="shared" si="590"/>
        <v>4740.0500000000002</v>
      </c>
      <c r="I3530" s="24" t="str">
        <f t="shared" si="591"/>
        <v xml:space="preserve">COM VALOR</v>
      </c>
      <c r="L3530" s="36">
        <v>4740.0500000000002</v>
      </c>
      <c r="M3530" s="37">
        <v>4740.0500000000002</v>
      </c>
      <c r="N3530" s="36">
        <v>4740.0500000000002</v>
      </c>
    </row>
    <row r="3531" ht="25.5">
      <c r="A3531" s="19" t="s">
        <v>10460</v>
      </c>
      <c r="B3531" s="19">
        <v>12372</v>
      </c>
      <c r="C3531" s="20" t="s">
        <v>13998</v>
      </c>
      <c r="D3531" s="19" t="s">
        <v>31</v>
      </c>
      <c r="E3531" s="19" t="s">
        <v>10459</v>
      </c>
      <c r="F3531" s="21">
        <f t="shared" ref="F3531:H3594" si="592">IF(L3531=0,"VERIFICAR",L3531)</f>
        <v>1101.55</v>
      </c>
      <c r="G3531" s="21">
        <f t="shared" si="592"/>
        <v>1101.55</v>
      </c>
      <c r="H3531" s="21">
        <f t="shared" si="592"/>
        <v>1101.55</v>
      </c>
      <c r="I3531" s="24" t="str">
        <f t="shared" ref="I3531:I3594" si="593">IF(OR(L3531=0,M3531=0,N3531=0),"SEM VALOR","COM VALOR")</f>
        <v xml:space="preserve">COM VALOR</v>
      </c>
      <c r="L3531" s="36">
        <v>1101.55</v>
      </c>
      <c r="M3531" s="37">
        <v>1101.55</v>
      </c>
      <c r="N3531" s="36">
        <v>1101.55</v>
      </c>
    </row>
    <row r="3532" ht="25.5">
      <c r="A3532" s="19" t="s">
        <v>10460</v>
      </c>
      <c r="B3532" s="19">
        <v>41207</v>
      </c>
      <c r="C3532" s="20" t="s">
        <v>13999</v>
      </c>
      <c r="D3532" s="19" t="s">
        <v>31</v>
      </c>
      <c r="E3532" s="19" t="s">
        <v>10459</v>
      </c>
      <c r="F3532" s="21">
        <f t="shared" si="592"/>
        <v>6381.0500000000002</v>
      </c>
      <c r="G3532" s="21">
        <f t="shared" si="592"/>
        <v>6381.0500000000002</v>
      </c>
      <c r="H3532" s="21">
        <f t="shared" si="592"/>
        <v>6381.0500000000002</v>
      </c>
      <c r="I3532" s="24" t="str">
        <f t="shared" si="593"/>
        <v xml:space="preserve">COM VALOR</v>
      </c>
      <c r="L3532" s="36">
        <v>6381.0500000000002</v>
      </c>
      <c r="M3532" s="37">
        <v>6381.0500000000002</v>
      </c>
      <c r="N3532" s="36">
        <v>6381.0500000000002</v>
      </c>
    </row>
    <row r="3533" ht="25.5">
      <c r="A3533" s="19" t="s">
        <v>10460</v>
      </c>
      <c r="B3533" s="19">
        <v>41203</v>
      </c>
      <c r="C3533" s="20" t="s">
        <v>14000</v>
      </c>
      <c r="D3533" s="19" t="s">
        <v>31</v>
      </c>
      <c r="E3533" s="19" t="s">
        <v>10459</v>
      </c>
      <c r="F3533" s="21">
        <f t="shared" si="592"/>
        <v>1680.52</v>
      </c>
      <c r="G3533" s="21">
        <f t="shared" si="592"/>
        <v>1680.52</v>
      </c>
      <c r="H3533" s="21">
        <f t="shared" si="592"/>
        <v>1680.52</v>
      </c>
      <c r="I3533" s="24" t="str">
        <f t="shared" si="593"/>
        <v xml:space="preserve">COM VALOR</v>
      </c>
      <c r="L3533" s="36">
        <v>1680.52</v>
      </c>
      <c r="M3533" s="37">
        <v>1680.52</v>
      </c>
      <c r="N3533" s="36">
        <v>1680.52</v>
      </c>
    </row>
    <row r="3534" ht="25.5">
      <c r="A3534" s="19" t="s">
        <v>10460</v>
      </c>
      <c r="B3534" s="19">
        <v>41204</v>
      </c>
      <c r="C3534" s="20" t="s">
        <v>14001</v>
      </c>
      <c r="D3534" s="19" t="s">
        <v>31</v>
      </c>
      <c r="E3534" s="19" t="s">
        <v>10459</v>
      </c>
      <c r="F3534" s="21">
        <f t="shared" si="592"/>
        <v>2375.8400000000001</v>
      </c>
      <c r="G3534" s="21">
        <f t="shared" si="592"/>
        <v>2375.8400000000001</v>
      </c>
      <c r="H3534" s="21">
        <f t="shared" si="592"/>
        <v>2375.8400000000001</v>
      </c>
      <c r="I3534" s="24" t="str">
        <f t="shared" si="593"/>
        <v xml:space="preserve">COM VALOR</v>
      </c>
      <c r="L3534" s="36">
        <v>2375.8400000000001</v>
      </c>
      <c r="M3534" s="37">
        <v>2375.8400000000001</v>
      </c>
      <c r="N3534" s="36">
        <v>2375.8400000000001</v>
      </c>
    </row>
    <row r="3535" ht="25.5">
      <c r="A3535" s="19" t="s">
        <v>10460</v>
      </c>
      <c r="B3535" s="19">
        <v>41210</v>
      </c>
      <c r="C3535" s="20" t="s">
        <v>14002</v>
      </c>
      <c r="D3535" s="19" t="s">
        <v>31</v>
      </c>
      <c r="E3535" s="19" t="s">
        <v>10459</v>
      </c>
      <c r="F3535" s="21">
        <f t="shared" si="592"/>
        <v>3968.77</v>
      </c>
      <c r="G3535" s="21">
        <f t="shared" si="592"/>
        <v>3968.77</v>
      </c>
      <c r="H3535" s="21">
        <f t="shared" si="592"/>
        <v>3968.77</v>
      </c>
      <c r="I3535" s="24" t="str">
        <f t="shared" si="593"/>
        <v xml:space="preserve">COM VALOR</v>
      </c>
      <c r="L3535" s="36">
        <v>3968.77</v>
      </c>
      <c r="M3535" s="37">
        <v>3968.77</v>
      </c>
      <c r="N3535" s="36">
        <v>3968.77</v>
      </c>
    </row>
    <row r="3536" ht="25.5">
      <c r="A3536" s="19" t="s">
        <v>10460</v>
      </c>
      <c r="B3536" s="19">
        <v>41208</v>
      </c>
      <c r="C3536" s="20" t="s">
        <v>14003</v>
      </c>
      <c r="D3536" s="19" t="s">
        <v>31</v>
      </c>
      <c r="E3536" s="19" t="s">
        <v>10459</v>
      </c>
      <c r="F3536" s="21">
        <f t="shared" si="592"/>
        <v>1389.3</v>
      </c>
      <c r="G3536" s="21">
        <f t="shared" si="592"/>
        <v>1389.3</v>
      </c>
      <c r="H3536" s="21">
        <f t="shared" si="592"/>
        <v>1389.3</v>
      </c>
      <c r="I3536" s="24" t="str">
        <f t="shared" si="593"/>
        <v xml:space="preserve">COM VALOR</v>
      </c>
      <c r="L3536" s="36">
        <v>1389.3</v>
      </c>
      <c r="M3536" s="37">
        <v>1389.3</v>
      </c>
      <c r="N3536" s="36">
        <v>1389.3</v>
      </c>
    </row>
    <row r="3537" ht="25.5">
      <c r="A3537" s="19" t="s">
        <v>10460</v>
      </c>
      <c r="B3537" s="19">
        <v>41211</v>
      </c>
      <c r="C3537" s="20" t="s">
        <v>14004</v>
      </c>
      <c r="D3537" s="19" t="s">
        <v>31</v>
      </c>
      <c r="E3537" s="19" t="s">
        <v>10459</v>
      </c>
      <c r="F3537" s="21">
        <f t="shared" si="592"/>
        <v>5591.9399999999996</v>
      </c>
      <c r="G3537" s="21">
        <f t="shared" si="592"/>
        <v>5591.9399999999996</v>
      </c>
      <c r="H3537" s="21">
        <f t="shared" si="592"/>
        <v>5591.9399999999996</v>
      </c>
      <c r="I3537" s="24" t="str">
        <f t="shared" si="593"/>
        <v xml:space="preserve">COM VALOR</v>
      </c>
      <c r="L3537" s="36">
        <v>5591.9399999999996</v>
      </c>
      <c r="M3537" s="37">
        <v>5591.9399999999996</v>
      </c>
      <c r="N3537" s="36">
        <v>5591.9399999999996</v>
      </c>
    </row>
    <row r="3538" ht="38.25">
      <c r="A3538" s="19" t="s">
        <v>10460</v>
      </c>
      <c r="B3538" s="19">
        <v>13339</v>
      </c>
      <c r="C3538" s="20" t="s">
        <v>14005</v>
      </c>
      <c r="D3538" s="19" t="s">
        <v>31</v>
      </c>
      <c r="E3538" s="19" t="s">
        <v>10459</v>
      </c>
      <c r="F3538" s="21">
        <f t="shared" si="592"/>
        <v>1882.8399999999999</v>
      </c>
      <c r="G3538" s="21">
        <f t="shared" si="592"/>
        <v>1882.8399999999999</v>
      </c>
      <c r="H3538" s="21">
        <f t="shared" si="592"/>
        <v>1882.8399999999999</v>
      </c>
      <c r="I3538" s="24" t="str">
        <f t="shared" si="593"/>
        <v xml:space="preserve">COM VALOR</v>
      </c>
      <c r="L3538" s="36">
        <v>1882.8399999999999</v>
      </c>
      <c r="M3538" s="37">
        <v>1882.8399999999999</v>
      </c>
      <c r="N3538" s="36">
        <v>1882.8399999999999</v>
      </c>
    </row>
    <row r="3539" ht="25.5">
      <c r="A3539" s="19" t="s">
        <v>10460</v>
      </c>
      <c r="B3539" s="19">
        <v>41213</v>
      </c>
      <c r="C3539" s="20" t="s">
        <v>14006</v>
      </c>
      <c r="D3539" s="19" t="s">
        <v>31</v>
      </c>
      <c r="E3539" s="19" t="s">
        <v>10459</v>
      </c>
      <c r="F3539" s="21">
        <f t="shared" si="592"/>
        <v>11590.73</v>
      </c>
      <c r="G3539" s="21">
        <f t="shared" si="592"/>
        <v>11590.73</v>
      </c>
      <c r="H3539" s="21">
        <f t="shared" si="592"/>
        <v>11590.73</v>
      </c>
      <c r="I3539" s="24" t="str">
        <f t="shared" si="593"/>
        <v xml:space="preserve">COM VALOR</v>
      </c>
      <c r="L3539" s="36">
        <v>11590.73</v>
      </c>
      <c r="M3539" s="37">
        <v>11590.73</v>
      </c>
      <c r="N3539" s="36">
        <v>11590.73</v>
      </c>
    </row>
    <row r="3540" ht="25.5">
      <c r="A3540" s="19" t="s">
        <v>10460</v>
      </c>
      <c r="B3540" s="19">
        <v>41209</v>
      </c>
      <c r="C3540" s="20" t="s">
        <v>14007</v>
      </c>
      <c r="D3540" s="19" t="s">
        <v>31</v>
      </c>
      <c r="E3540" s="19" t="s">
        <v>10459</v>
      </c>
      <c r="F3540" s="21">
        <f t="shared" si="592"/>
        <v>2590.5500000000002</v>
      </c>
      <c r="G3540" s="21">
        <f t="shared" si="592"/>
        <v>2590.5500000000002</v>
      </c>
      <c r="H3540" s="21">
        <f t="shared" si="592"/>
        <v>2590.5500000000002</v>
      </c>
      <c r="I3540" s="24" t="str">
        <f t="shared" si="593"/>
        <v xml:space="preserve">COM VALOR</v>
      </c>
      <c r="L3540" s="36">
        <v>2590.5500000000002</v>
      </c>
      <c r="M3540" s="37">
        <v>2590.5500000000002</v>
      </c>
      <c r="N3540" s="36">
        <v>2590.5500000000002</v>
      </c>
    </row>
    <row r="3541" ht="25.5">
      <c r="A3541" s="19" t="s">
        <v>10460</v>
      </c>
      <c r="B3541" s="19">
        <v>41216</v>
      </c>
      <c r="C3541" s="20" t="s">
        <v>14008</v>
      </c>
      <c r="D3541" s="19" t="s">
        <v>31</v>
      </c>
      <c r="E3541" s="19" t="s">
        <v>10459</v>
      </c>
      <c r="F3541" s="21">
        <f t="shared" si="592"/>
        <v>4852.4499999999998</v>
      </c>
      <c r="G3541" s="21">
        <f t="shared" si="592"/>
        <v>4852.4499999999998</v>
      </c>
      <c r="H3541" s="21">
        <f t="shared" si="592"/>
        <v>4852.4499999999998</v>
      </c>
      <c r="I3541" s="24" t="str">
        <f t="shared" si="593"/>
        <v xml:space="preserve">COM VALOR</v>
      </c>
      <c r="L3541" s="36">
        <v>4852.4499999999998</v>
      </c>
      <c r="M3541" s="37">
        <v>4852.4499999999998</v>
      </c>
      <c r="N3541" s="36">
        <v>4852.4499999999998</v>
      </c>
    </row>
    <row r="3542" ht="25.5">
      <c r="A3542" s="19" t="s">
        <v>10460</v>
      </c>
      <c r="B3542" s="19">
        <v>41217</v>
      </c>
      <c r="C3542" s="20" t="s">
        <v>14009</v>
      </c>
      <c r="D3542" s="19" t="s">
        <v>31</v>
      </c>
      <c r="E3542" s="19" t="s">
        <v>10459</v>
      </c>
      <c r="F3542" s="21">
        <f t="shared" si="592"/>
        <v>7780.1899999999996</v>
      </c>
      <c r="G3542" s="21">
        <f t="shared" si="592"/>
        <v>7780.1899999999996</v>
      </c>
      <c r="H3542" s="21">
        <f t="shared" si="592"/>
        <v>7780.1899999999996</v>
      </c>
      <c r="I3542" s="24" t="str">
        <f t="shared" si="593"/>
        <v xml:space="preserve">COM VALOR</v>
      </c>
      <c r="L3542" s="36">
        <v>7780.1899999999996</v>
      </c>
      <c r="M3542" s="37">
        <v>7780.1899999999996</v>
      </c>
      <c r="N3542" s="36">
        <v>7780.1899999999996</v>
      </c>
    </row>
    <row r="3543" ht="25.5">
      <c r="A3543" s="19" t="s">
        <v>10460</v>
      </c>
      <c r="B3543" s="19">
        <v>41218</v>
      </c>
      <c r="C3543" s="20" t="s">
        <v>14010</v>
      </c>
      <c r="D3543" s="19" t="s">
        <v>31</v>
      </c>
      <c r="E3543" s="19" t="s">
        <v>10459</v>
      </c>
      <c r="F3543" s="21">
        <f t="shared" si="592"/>
        <v>10433.48</v>
      </c>
      <c r="G3543" s="21">
        <f t="shared" si="592"/>
        <v>10433.48</v>
      </c>
      <c r="H3543" s="21">
        <f t="shared" si="592"/>
        <v>10433.48</v>
      </c>
      <c r="I3543" s="24" t="str">
        <f t="shared" si="593"/>
        <v xml:space="preserve">COM VALOR</v>
      </c>
      <c r="L3543" s="36">
        <v>10433.48</v>
      </c>
      <c r="M3543" s="37">
        <v>10433.48</v>
      </c>
      <c r="N3543" s="36">
        <v>10433.48</v>
      </c>
    </row>
    <row r="3544" ht="25.5">
      <c r="A3544" s="19" t="s">
        <v>10460</v>
      </c>
      <c r="B3544" s="19">
        <v>41214</v>
      </c>
      <c r="C3544" s="20" t="s">
        <v>14011</v>
      </c>
      <c r="D3544" s="19" t="s">
        <v>31</v>
      </c>
      <c r="E3544" s="19" t="s">
        <v>10459</v>
      </c>
      <c r="F3544" s="21">
        <f t="shared" si="592"/>
        <v>2199.8800000000001</v>
      </c>
      <c r="G3544" s="21">
        <f t="shared" si="592"/>
        <v>2199.8800000000001</v>
      </c>
      <c r="H3544" s="21">
        <f t="shared" si="592"/>
        <v>2199.8800000000001</v>
      </c>
      <c r="I3544" s="24" t="str">
        <f t="shared" si="593"/>
        <v xml:space="preserve">COM VALOR</v>
      </c>
      <c r="L3544" s="36">
        <v>2199.8800000000001</v>
      </c>
      <c r="M3544" s="37">
        <v>2199.8800000000001</v>
      </c>
      <c r="N3544" s="36">
        <v>2199.8800000000001</v>
      </c>
    </row>
    <row r="3545" ht="25.5">
      <c r="A3545" s="19" t="s">
        <v>10460</v>
      </c>
      <c r="B3545" s="19">
        <v>41215</v>
      </c>
      <c r="C3545" s="20" t="s">
        <v>14012</v>
      </c>
      <c r="D3545" s="19" t="s">
        <v>31</v>
      </c>
      <c r="E3545" s="19" t="s">
        <v>10459</v>
      </c>
      <c r="F3545" s="21">
        <f t="shared" si="592"/>
        <v>3312.2199999999998</v>
      </c>
      <c r="G3545" s="21">
        <f t="shared" si="592"/>
        <v>3312.2199999999998</v>
      </c>
      <c r="H3545" s="21">
        <f t="shared" si="592"/>
        <v>3312.2199999999998</v>
      </c>
      <c r="I3545" s="24" t="str">
        <f t="shared" si="593"/>
        <v xml:space="preserve">COM VALOR</v>
      </c>
      <c r="L3545" s="36">
        <v>3312.2199999999998</v>
      </c>
      <c r="M3545" s="37">
        <v>3312.2199999999998</v>
      </c>
      <c r="N3545" s="36">
        <v>3312.2199999999998</v>
      </c>
    </row>
    <row r="3546" ht="25.5">
      <c r="A3546" s="19" t="s">
        <v>10460</v>
      </c>
      <c r="B3546" s="19">
        <v>41221</v>
      </c>
      <c r="C3546" s="20" t="s">
        <v>14013</v>
      </c>
      <c r="D3546" s="19" t="s">
        <v>31</v>
      </c>
      <c r="E3546" s="19" t="s">
        <v>10459</v>
      </c>
      <c r="F3546" s="21">
        <f t="shared" si="592"/>
        <v>9590.5799999999999</v>
      </c>
      <c r="G3546" s="21">
        <f t="shared" si="592"/>
        <v>9590.5799999999999</v>
      </c>
      <c r="H3546" s="21">
        <f t="shared" si="592"/>
        <v>9590.5799999999999</v>
      </c>
      <c r="I3546" s="24" t="str">
        <f t="shared" si="593"/>
        <v xml:space="preserve">COM VALOR</v>
      </c>
      <c r="L3546" s="36">
        <v>9590.5799999999999</v>
      </c>
      <c r="M3546" s="37">
        <v>9590.5799999999999</v>
      </c>
      <c r="N3546" s="36">
        <v>9590.5799999999999</v>
      </c>
    </row>
    <row r="3547" ht="25.5">
      <c r="A3547" s="19" t="s">
        <v>10460</v>
      </c>
      <c r="B3547" s="19">
        <v>41222</v>
      </c>
      <c r="C3547" s="20" t="s">
        <v>14014</v>
      </c>
      <c r="D3547" s="19" t="s">
        <v>31</v>
      </c>
      <c r="E3547" s="19" t="s">
        <v>10459</v>
      </c>
      <c r="F3547" s="21">
        <f t="shared" si="592"/>
        <v>13724.23</v>
      </c>
      <c r="G3547" s="21">
        <f t="shared" si="592"/>
        <v>13724.23</v>
      </c>
      <c r="H3547" s="21">
        <f t="shared" si="592"/>
        <v>13724.23</v>
      </c>
      <c r="I3547" s="24" t="str">
        <f t="shared" si="593"/>
        <v xml:space="preserve">COM VALOR</v>
      </c>
      <c r="L3547" s="36">
        <v>13724.23</v>
      </c>
      <c r="M3547" s="37">
        <v>13724.23</v>
      </c>
      <c r="N3547" s="36">
        <v>13724.23</v>
      </c>
    </row>
    <row r="3548" ht="25.5">
      <c r="A3548" s="19" t="s">
        <v>10460</v>
      </c>
      <c r="B3548" s="19">
        <v>41195</v>
      </c>
      <c r="C3548" s="20" t="s">
        <v>14015</v>
      </c>
      <c r="D3548" s="19" t="s">
        <v>31</v>
      </c>
      <c r="E3548" s="19" t="s">
        <v>10459</v>
      </c>
      <c r="F3548" s="21">
        <f t="shared" si="592"/>
        <v>705.38</v>
      </c>
      <c r="G3548" s="21">
        <f t="shared" si="592"/>
        <v>705.38</v>
      </c>
      <c r="H3548" s="21">
        <f t="shared" si="592"/>
        <v>705.38</v>
      </c>
      <c r="I3548" s="24" t="str">
        <f t="shared" si="593"/>
        <v xml:space="preserve">COM VALOR</v>
      </c>
      <c r="L3548" s="36">
        <v>705.38</v>
      </c>
      <c r="M3548" s="37">
        <v>705.38</v>
      </c>
      <c r="N3548" s="36">
        <v>705.38</v>
      </c>
    </row>
    <row r="3549" ht="25.5">
      <c r="A3549" s="19" t="s">
        <v>10460</v>
      </c>
      <c r="B3549" s="19">
        <v>41198</v>
      </c>
      <c r="C3549" s="20" t="s">
        <v>14016</v>
      </c>
      <c r="D3549" s="19" t="s">
        <v>31</v>
      </c>
      <c r="E3549" s="19" t="s">
        <v>10459</v>
      </c>
      <c r="F3549" s="21">
        <f t="shared" si="592"/>
        <v>2756.48</v>
      </c>
      <c r="G3549" s="21">
        <f t="shared" si="592"/>
        <v>2756.48</v>
      </c>
      <c r="H3549" s="21">
        <f t="shared" si="592"/>
        <v>2756.48</v>
      </c>
      <c r="I3549" s="24" t="str">
        <f t="shared" si="593"/>
        <v xml:space="preserve">COM VALOR</v>
      </c>
      <c r="L3549" s="36">
        <v>2756.48</v>
      </c>
      <c r="M3549" s="37">
        <v>2756.48</v>
      </c>
      <c r="N3549" s="36">
        <v>2756.48</v>
      </c>
    </row>
    <row r="3550" ht="25.5">
      <c r="A3550" s="19" t="s">
        <v>10460</v>
      </c>
      <c r="B3550" s="19">
        <v>41196</v>
      </c>
      <c r="C3550" s="20" t="s">
        <v>14017</v>
      </c>
      <c r="D3550" s="19" t="s">
        <v>31</v>
      </c>
      <c r="E3550" s="19" t="s">
        <v>10459</v>
      </c>
      <c r="F3550" s="21">
        <f t="shared" si="592"/>
        <v>874.37</v>
      </c>
      <c r="G3550" s="21">
        <f t="shared" si="592"/>
        <v>874.37</v>
      </c>
      <c r="H3550" s="21">
        <f t="shared" si="592"/>
        <v>874.37</v>
      </c>
      <c r="I3550" s="24" t="str">
        <f t="shared" si="593"/>
        <v xml:space="preserve">COM VALOR</v>
      </c>
      <c r="L3550" s="36">
        <v>874.37</v>
      </c>
      <c r="M3550" s="37">
        <v>874.37</v>
      </c>
      <c r="N3550" s="36">
        <v>874.37</v>
      </c>
    </row>
    <row r="3551" ht="38.25">
      <c r="A3551" s="19" t="s">
        <v>10460</v>
      </c>
      <c r="B3551" s="19">
        <v>5033</v>
      </c>
      <c r="C3551" s="20" t="s">
        <v>14018</v>
      </c>
      <c r="D3551" s="19" t="s">
        <v>31</v>
      </c>
      <c r="E3551" s="19" t="s">
        <v>10466</v>
      </c>
      <c r="F3551" s="21">
        <f t="shared" si="592"/>
        <v>1148</v>
      </c>
      <c r="G3551" s="21">
        <f t="shared" si="592"/>
        <v>1148</v>
      </c>
      <c r="H3551" s="21">
        <f t="shared" si="592"/>
        <v>1148</v>
      </c>
      <c r="I3551" s="24" t="str">
        <f t="shared" si="593"/>
        <v xml:space="preserve">COM VALOR</v>
      </c>
      <c r="L3551" s="36">
        <v>1148</v>
      </c>
      <c r="M3551" s="37">
        <v>1148</v>
      </c>
      <c r="N3551" s="36">
        <v>1148</v>
      </c>
    </row>
    <row r="3552" ht="25.5">
      <c r="A3552" s="19" t="s">
        <v>10460</v>
      </c>
      <c r="B3552" s="19">
        <v>41197</v>
      </c>
      <c r="C3552" s="20" t="s">
        <v>14019</v>
      </c>
      <c r="D3552" s="19" t="s">
        <v>31</v>
      </c>
      <c r="E3552" s="19" t="s">
        <v>10459</v>
      </c>
      <c r="F3552" s="21">
        <f t="shared" si="592"/>
        <v>1705.21</v>
      </c>
      <c r="G3552" s="21">
        <f t="shared" si="592"/>
        <v>1705.21</v>
      </c>
      <c r="H3552" s="21">
        <f t="shared" si="592"/>
        <v>1705.21</v>
      </c>
      <c r="I3552" s="24" t="str">
        <f t="shared" si="593"/>
        <v xml:space="preserve">COM VALOR</v>
      </c>
      <c r="L3552" s="36">
        <v>1705.21</v>
      </c>
      <c r="M3552" s="37">
        <v>1705.21</v>
      </c>
      <c r="N3552" s="36">
        <v>1705.21</v>
      </c>
    </row>
    <row r="3553" ht="25.5">
      <c r="A3553" s="19" t="s">
        <v>10460</v>
      </c>
      <c r="B3553" s="19">
        <v>12388</v>
      </c>
      <c r="C3553" s="20" t="s">
        <v>14020</v>
      </c>
      <c r="D3553" s="19" t="s">
        <v>31</v>
      </c>
      <c r="E3553" s="19" t="s">
        <v>10459</v>
      </c>
      <c r="F3553" s="21" t="str">
        <f t="shared" si="592"/>
        <v>VERIFICAR</v>
      </c>
      <c r="G3553" s="21" t="str">
        <f t="shared" si="592"/>
        <v>VERIFICAR</v>
      </c>
      <c r="H3553" s="21" t="str">
        <f t="shared" si="592"/>
        <v>VERIFICAR</v>
      </c>
      <c r="I3553" s="24" t="str">
        <f t="shared" si="593"/>
        <v xml:space="preserve">SEM VALOR</v>
      </c>
      <c r="L3553" s="36"/>
      <c r="M3553" s="37"/>
      <c r="N3553" s="36"/>
    </row>
    <row r="3554" ht="25.5">
      <c r="A3554" s="19" t="s">
        <v>10460</v>
      </c>
      <c r="B3554" s="19">
        <v>2731</v>
      </c>
      <c r="C3554" s="20" t="s">
        <v>14021</v>
      </c>
      <c r="D3554" s="19" t="s">
        <v>38</v>
      </c>
      <c r="E3554" s="19" t="s">
        <v>10459</v>
      </c>
      <c r="F3554" s="21">
        <f t="shared" si="592"/>
        <v>165.28999999999999</v>
      </c>
      <c r="G3554" s="21">
        <f t="shared" si="592"/>
        <v>165.28999999999999</v>
      </c>
      <c r="H3554" s="21">
        <f t="shared" si="592"/>
        <v>165.28999999999999</v>
      </c>
      <c r="I3554" s="24" t="str">
        <f t="shared" si="593"/>
        <v xml:space="preserve">COM VALOR</v>
      </c>
      <c r="L3554" s="36">
        <v>165.28999999999999</v>
      </c>
      <c r="M3554" s="37">
        <v>165.28999999999999</v>
      </c>
      <c r="N3554" s="36">
        <v>165.28999999999999</v>
      </c>
    </row>
    <row r="3555" ht="25.5">
      <c r="A3555" s="19" t="s">
        <v>10460</v>
      </c>
      <c r="B3555" s="19">
        <v>41457</v>
      </c>
      <c r="C3555" s="20" t="s">
        <v>14022</v>
      </c>
      <c r="D3555" s="19" t="s">
        <v>31</v>
      </c>
      <c r="E3555" s="19" t="s">
        <v>10459</v>
      </c>
      <c r="F3555" s="21">
        <f t="shared" si="592"/>
        <v>1741.55</v>
      </c>
      <c r="G3555" s="21">
        <f t="shared" si="592"/>
        <v>1741.55</v>
      </c>
      <c r="H3555" s="21">
        <f t="shared" si="592"/>
        <v>1741.55</v>
      </c>
      <c r="I3555" s="24" t="str">
        <f t="shared" si="593"/>
        <v xml:space="preserve">COM VALOR</v>
      </c>
      <c r="L3555" s="36">
        <v>1741.55</v>
      </c>
      <c r="M3555" s="37">
        <v>1741.55</v>
      </c>
      <c r="N3555" s="36">
        <v>1741.55</v>
      </c>
    </row>
    <row r="3556" ht="25.5">
      <c r="A3556" s="19" t="s">
        <v>10460</v>
      </c>
      <c r="B3556" s="19">
        <v>41458</v>
      </c>
      <c r="C3556" s="20" t="s">
        <v>14023</v>
      </c>
      <c r="D3556" s="19" t="s">
        <v>31</v>
      </c>
      <c r="E3556" s="19" t="s">
        <v>10459</v>
      </c>
      <c r="F3556" s="21">
        <f t="shared" si="592"/>
        <v>2431.29</v>
      </c>
      <c r="G3556" s="21">
        <f t="shared" si="592"/>
        <v>2431.29</v>
      </c>
      <c r="H3556" s="21">
        <f t="shared" si="592"/>
        <v>2431.29</v>
      </c>
      <c r="I3556" s="24" t="str">
        <f t="shared" si="593"/>
        <v xml:space="preserve">COM VALOR</v>
      </c>
      <c r="L3556" s="36">
        <v>2431.29</v>
      </c>
      <c r="M3556" s="37">
        <v>2431.29</v>
      </c>
      <c r="N3556" s="36">
        <v>2431.29</v>
      </c>
    </row>
    <row r="3557" ht="25.5">
      <c r="A3557" s="19" t="s">
        <v>10460</v>
      </c>
      <c r="B3557" s="19">
        <v>41459</v>
      </c>
      <c r="C3557" s="20" t="s">
        <v>14024</v>
      </c>
      <c r="D3557" s="19" t="s">
        <v>31</v>
      </c>
      <c r="E3557" s="19" t="s">
        <v>10459</v>
      </c>
      <c r="F3557" s="21">
        <f t="shared" si="592"/>
        <v>3391.46</v>
      </c>
      <c r="G3557" s="21">
        <f t="shared" si="592"/>
        <v>3391.46</v>
      </c>
      <c r="H3557" s="21">
        <f t="shared" si="592"/>
        <v>3391.46</v>
      </c>
      <c r="I3557" s="24" t="str">
        <f t="shared" si="593"/>
        <v xml:space="preserve">COM VALOR</v>
      </c>
      <c r="L3557" s="36">
        <v>3391.46</v>
      </c>
      <c r="M3557" s="37">
        <v>3391.46</v>
      </c>
      <c r="N3557" s="36">
        <v>3391.46</v>
      </c>
    </row>
    <row r="3558" ht="25.5">
      <c r="A3558" s="19" t="s">
        <v>10460</v>
      </c>
      <c r="B3558" s="19">
        <v>41461</v>
      </c>
      <c r="C3558" s="20" t="s">
        <v>14025</v>
      </c>
      <c r="D3558" s="19" t="s">
        <v>31</v>
      </c>
      <c r="E3558" s="19" t="s">
        <v>10459</v>
      </c>
      <c r="F3558" s="21">
        <f t="shared" si="592"/>
        <v>4624.0799999999999</v>
      </c>
      <c r="G3558" s="21">
        <f t="shared" si="592"/>
        <v>4624.0799999999999</v>
      </c>
      <c r="H3558" s="21">
        <f t="shared" si="592"/>
        <v>4624.0799999999999</v>
      </c>
      <c r="I3558" s="24" t="str">
        <f t="shared" si="593"/>
        <v xml:space="preserve">COM VALOR</v>
      </c>
      <c r="L3558" s="36">
        <v>4624.0799999999999</v>
      </c>
      <c r="M3558" s="37">
        <v>4624.0799999999999</v>
      </c>
      <c r="N3558" s="36">
        <v>4624.0799999999999</v>
      </c>
    </row>
    <row r="3559" ht="12.75">
      <c r="A3559" s="19" t="s">
        <v>10460</v>
      </c>
      <c r="B3559" s="19">
        <v>44537</v>
      </c>
      <c r="C3559" s="20" t="s">
        <v>14026</v>
      </c>
      <c r="D3559" s="19" t="s">
        <v>9591</v>
      </c>
      <c r="E3559" s="19" t="s">
        <v>10459</v>
      </c>
      <c r="F3559" s="21">
        <f t="shared" si="592"/>
        <v>335.06</v>
      </c>
      <c r="G3559" s="21">
        <f t="shared" si="592"/>
        <v>335.06</v>
      </c>
      <c r="H3559" s="21">
        <f t="shared" si="592"/>
        <v>335.06</v>
      </c>
      <c r="I3559" s="24" t="str">
        <f t="shared" si="593"/>
        <v xml:space="preserve">COM VALOR</v>
      </c>
      <c r="L3559" s="36">
        <v>335.06</v>
      </c>
      <c r="M3559" s="37">
        <v>335.06</v>
      </c>
      <c r="N3559" s="36">
        <v>335.06</v>
      </c>
    </row>
    <row r="3560" ht="38.25">
      <c r="A3560" s="19" t="s">
        <v>10460</v>
      </c>
      <c r="B3560" s="19">
        <v>11844</v>
      </c>
      <c r="C3560" s="20" t="s">
        <v>14027</v>
      </c>
      <c r="D3560" s="19" t="s">
        <v>38</v>
      </c>
      <c r="E3560" s="19" t="s">
        <v>10459</v>
      </c>
      <c r="F3560" s="21">
        <f t="shared" si="592"/>
        <v>58.990000000000002</v>
      </c>
      <c r="G3560" s="21">
        <f t="shared" si="592"/>
        <v>58.990000000000002</v>
      </c>
      <c r="H3560" s="21">
        <f t="shared" si="592"/>
        <v>58.990000000000002</v>
      </c>
      <c r="I3560" s="24" t="str">
        <f t="shared" si="593"/>
        <v xml:space="preserve">COM VALOR</v>
      </c>
      <c r="L3560" s="36">
        <v>58.990000000000002</v>
      </c>
      <c r="M3560" s="37">
        <v>58.990000000000002</v>
      </c>
      <c r="N3560" s="36">
        <v>58.990000000000002</v>
      </c>
    </row>
    <row r="3561" ht="38.25">
      <c r="A3561" s="19" t="s">
        <v>10460</v>
      </c>
      <c r="B3561" s="19">
        <v>4465</v>
      </c>
      <c r="C3561" s="20" t="s">
        <v>14028</v>
      </c>
      <c r="D3561" s="19" t="s">
        <v>38</v>
      </c>
      <c r="E3561" s="19" t="s">
        <v>10459</v>
      </c>
      <c r="F3561" s="21">
        <f t="shared" si="592"/>
        <v>49.020000000000003</v>
      </c>
      <c r="G3561" s="21">
        <f t="shared" si="592"/>
        <v>49.020000000000003</v>
      </c>
      <c r="H3561" s="21">
        <f t="shared" si="592"/>
        <v>49.020000000000003</v>
      </c>
      <c r="I3561" s="24" t="str">
        <f t="shared" si="593"/>
        <v xml:space="preserve">COM VALOR</v>
      </c>
      <c r="L3561" s="36">
        <v>49.020000000000003</v>
      </c>
      <c r="M3561" s="37">
        <v>49.020000000000003</v>
      </c>
      <c r="N3561" s="36">
        <v>49.020000000000003</v>
      </c>
    </row>
    <row r="3562" ht="38.25">
      <c r="A3562" s="19" t="s">
        <v>10460</v>
      </c>
      <c r="B3562" s="19">
        <v>35273</v>
      </c>
      <c r="C3562" s="20" t="s">
        <v>14029</v>
      </c>
      <c r="D3562" s="19" t="s">
        <v>38</v>
      </c>
      <c r="E3562" s="19" t="s">
        <v>10459</v>
      </c>
      <c r="F3562" s="21">
        <f t="shared" si="592"/>
        <v>58.789999999999999</v>
      </c>
      <c r="G3562" s="21">
        <f t="shared" si="592"/>
        <v>58.789999999999999</v>
      </c>
      <c r="H3562" s="21">
        <f t="shared" si="592"/>
        <v>58.789999999999999</v>
      </c>
      <c r="I3562" s="24" t="str">
        <f t="shared" si="593"/>
        <v xml:space="preserve">COM VALOR</v>
      </c>
      <c r="L3562" s="36">
        <v>58.789999999999999</v>
      </c>
      <c r="M3562" s="37">
        <v>58.789999999999999</v>
      </c>
      <c r="N3562" s="36">
        <v>58.789999999999999</v>
      </c>
    </row>
    <row r="3563" ht="38.25">
      <c r="A3563" s="19" t="s">
        <v>10460</v>
      </c>
      <c r="B3563" s="19">
        <v>4470</v>
      </c>
      <c r="C3563" s="20" t="s">
        <v>14030</v>
      </c>
      <c r="D3563" s="19" t="s">
        <v>38</v>
      </c>
      <c r="E3563" s="19" t="s">
        <v>10459</v>
      </c>
      <c r="F3563" s="21">
        <f t="shared" si="592"/>
        <v>135.66999999999999</v>
      </c>
      <c r="G3563" s="21">
        <f t="shared" si="592"/>
        <v>135.66999999999999</v>
      </c>
      <c r="H3563" s="21">
        <f t="shared" si="592"/>
        <v>135.66999999999999</v>
      </c>
      <c r="I3563" s="24" t="str">
        <f t="shared" si="593"/>
        <v xml:space="preserve">COM VALOR</v>
      </c>
      <c r="L3563" s="36">
        <v>135.66999999999999</v>
      </c>
      <c r="M3563" s="37">
        <v>135.66999999999999</v>
      </c>
      <c r="N3563" s="36">
        <v>135.66999999999999</v>
      </c>
    </row>
    <row r="3564" ht="38.25">
      <c r="A3564" s="19" t="s">
        <v>10460</v>
      </c>
      <c r="B3564" s="19">
        <v>20204</v>
      </c>
      <c r="C3564" s="20" t="s">
        <v>14031</v>
      </c>
      <c r="D3564" s="19" t="s">
        <v>38</v>
      </c>
      <c r="E3564" s="19" t="s">
        <v>10459</v>
      </c>
      <c r="F3564" s="21">
        <f t="shared" si="592"/>
        <v>90.450000000000003</v>
      </c>
      <c r="G3564" s="21">
        <f t="shared" si="592"/>
        <v>90.450000000000003</v>
      </c>
      <c r="H3564" s="21">
        <f t="shared" si="592"/>
        <v>90.450000000000003</v>
      </c>
      <c r="I3564" s="24" t="str">
        <f t="shared" si="593"/>
        <v xml:space="preserve">COM VALOR</v>
      </c>
      <c r="L3564" s="36">
        <v>90.450000000000003</v>
      </c>
      <c r="M3564" s="37">
        <v>90.450000000000003</v>
      </c>
      <c r="N3564" s="36">
        <v>90.450000000000003</v>
      </c>
    </row>
    <row r="3565" ht="38.25">
      <c r="A3565" s="19" t="s">
        <v>10460</v>
      </c>
      <c r="B3565" s="19">
        <v>20208</v>
      </c>
      <c r="C3565" s="20" t="s">
        <v>14032</v>
      </c>
      <c r="D3565" s="19" t="s">
        <v>38</v>
      </c>
      <c r="E3565" s="19" t="s">
        <v>10459</v>
      </c>
      <c r="F3565" s="21">
        <f t="shared" si="592"/>
        <v>122.09999999999999</v>
      </c>
      <c r="G3565" s="21">
        <f t="shared" si="592"/>
        <v>122.09999999999999</v>
      </c>
      <c r="H3565" s="21">
        <f t="shared" si="592"/>
        <v>122.09999999999999</v>
      </c>
      <c r="I3565" s="24" t="str">
        <f t="shared" si="593"/>
        <v xml:space="preserve">COM VALOR</v>
      </c>
      <c r="L3565" s="36">
        <v>122.09999999999999</v>
      </c>
      <c r="M3565" s="37">
        <v>122.09999999999999</v>
      </c>
      <c r="N3565" s="36">
        <v>122.09999999999999</v>
      </c>
    </row>
    <row r="3566" ht="38.25">
      <c r="A3566" s="19" t="s">
        <v>10460</v>
      </c>
      <c r="B3566" s="19">
        <v>4437</v>
      </c>
      <c r="C3566" s="20" t="s">
        <v>14033</v>
      </c>
      <c r="D3566" s="19" t="s">
        <v>38</v>
      </c>
      <c r="E3566" s="19" t="s">
        <v>10459</v>
      </c>
      <c r="F3566" s="21">
        <f t="shared" si="592"/>
        <v>101.75</v>
      </c>
      <c r="G3566" s="21">
        <f t="shared" si="592"/>
        <v>101.75</v>
      </c>
      <c r="H3566" s="21">
        <f t="shared" si="592"/>
        <v>101.75</v>
      </c>
      <c r="I3566" s="24" t="str">
        <f t="shared" si="593"/>
        <v xml:space="preserve">COM VALOR</v>
      </c>
      <c r="L3566" s="36">
        <v>101.75</v>
      </c>
      <c r="M3566" s="37">
        <v>101.75</v>
      </c>
      <c r="N3566" s="36">
        <v>101.75</v>
      </c>
    </row>
    <row r="3567" ht="38.25">
      <c r="A3567" s="19" t="s">
        <v>10460</v>
      </c>
      <c r="B3567" s="19">
        <v>14580</v>
      </c>
      <c r="C3567" s="20" t="s">
        <v>14034</v>
      </c>
      <c r="D3567" s="19" t="s">
        <v>38</v>
      </c>
      <c r="E3567" s="19" t="s">
        <v>10459</v>
      </c>
      <c r="F3567" s="21">
        <f t="shared" si="592"/>
        <v>101.75</v>
      </c>
      <c r="G3567" s="21">
        <f t="shared" si="592"/>
        <v>101.75</v>
      </c>
      <c r="H3567" s="21">
        <f t="shared" si="592"/>
        <v>101.75</v>
      </c>
      <c r="I3567" s="24" t="str">
        <f t="shared" si="593"/>
        <v xml:space="preserve">COM VALOR</v>
      </c>
      <c r="L3567" s="36">
        <v>101.75</v>
      </c>
      <c r="M3567" s="37">
        <v>101.75</v>
      </c>
      <c r="N3567" s="36">
        <v>101.75</v>
      </c>
    </row>
    <row r="3568" ht="12.75">
      <c r="A3568" s="19" t="s">
        <v>10460</v>
      </c>
      <c r="B3568" s="19">
        <v>5065</v>
      </c>
      <c r="C3568" s="20" t="s">
        <v>14035</v>
      </c>
      <c r="D3568" s="19" t="s">
        <v>302</v>
      </c>
      <c r="E3568" s="19" t="s">
        <v>10459</v>
      </c>
      <c r="F3568" s="21">
        <f t="shared" si="592"/>
        <v>38.600000000000001</v>
      </c>
      <c r="G3568" s="21">
        <f t="shared" si="592"/>
        <v>38.600000000000001</v>
      </c>
      <c r="H3568" s="21">
        <f t="shared" si="592"/>
        <v>38.600000000000001</v>
      </c>
      <c r="I3568" s="24" t="str">
        <f t="shared" si="593"/>
        <v xml:space="preserve">COM VALOR</v>
      </c>
      <c r="L3568" s="36">
        <v>38.600000000000001</v>
      </c>
      <c r="M3568" s="37">
        <v>38.600000000000001</v>
      </c>
      <c r="N3568" s="36">
        <v>38.600000000000001</v>
      </c>
    </row>
    <row r="3569" ht="12.75">
      <c r="A3569" s="19" t="s">
        <v>10460</v>
      </c>
      <c r="B3569" s="19">
        <v>5072</v>
      </c>
      <c r="C3569" s="20" t="s">
        <v>14036</v>
      </c>
      <c r="D3569" s="19" t="s">
        <v>302</v>
      </c>
      <c r="E3569" s="19" t="s">
        <v>10459</v>
      </c>
      <c r="F3569" s="21">
        <f t="shared" si="592"/>
        <v>35.710000000000001</v>
      </c>
      <c r="G3569" s="21">
        <f t="shared" si="592"/>
        <v>35.710000000000001</v>
      </c>
      <c r="H3569" s="21">
        <f t="shared" si="592"/>
        <v>35.710000000000001</v>
      </c>
      <c r="I3569" s="24" t="str">
        <f t="shared" si="593"/>
        <v xml:space="preserve">COM VALOR</v>
      </c>
      <c r="L3569" s="36">
        <v>35.710000000000001</v>
      </c>
      <c r="M3569" s="37">
        <v>35.710000000000001</v>
      </c>
      <c r="N3569" s="36">
        <v>35.710000000000001</v>
      </c>
    </row>
    <row r="3570" ht="12.75">
      <c r="A3570" s="19" t="s">
        <v>10460</v>
      </c>
      <c r="B3570" s="19">
        <v>5066</v>
      </c>
      <c r="C3570" s="20" t="s">
        <v>14037</v>
      </c>
      <c r="D3570" s="19" t="s">
        <v>302</v>
      </c>
      <c r="E3570" s="19" t="s">
        <v>10459</v>
      </c>
      <c r="F3570" s="21">
        <f t="shared" si="592"/>
        <v>26.739999999999998</v>
      </c>
      <c r="G3570" s="21">
        <f t="shared" si="592"/>
        <v>26.739999999999998</v>
      </c>
      <c r="H3570" s="21">
        <f t="shared" si="592"/>
        <v>26.739999999999998</v>
      </c>
      <c r="I3570" s="24" t="str">
        <f t="shared" si="593"/>
        <v xml:space="preserve">COM VALOR</v>
      </c>
      <c r="L3570" s="36">
        <v>26.739999999999998</v>
      </c>
      <c r="M3570" s="37">
        <v>26.739999999999998</v>
      </c>
      <c r="N3570" s="36">
        <v>26.739999999999998</v>
      </c>
    </row>
    <row r="3571" ht="12.75">
      <c r="A3571" s="19" t="s">
        <v>10460</v>
      </c>
      <c r="B3571" s="19">
        <v>5063</v>
      </c>
      <c r="C3571" s="20" t="s">
        <v>14038</v>
      </c>
      <c r="D3571" s="19" t="s">
        <v>302</v>
      </c>
      <c r="E3571" s="19" t="s">
        <v>10459</v>
      </c>
      <c r="F3571" s="21">
        <f t="shared" si="592"/>
        <v>24.210000000000001</v>
      </c>
      <c r="G3571" s="21">
        <f t="shared" si="592"/>
        <v>24.210000000000001</v>
      </c>
      <c r="H3571" s="21">
        <f t="shared" si="592"/>
        <v>24.210000000000001</v>
      </c>
      <c r="I3571" s="24" t="str">
        <f t="shared" si="593"/>
        <v xml:space="preserve">COM VALOR</v>
      </c>
      <c r="L3571" s="36">
        <v>24.210000000000001</v>
      </c>
      <c r="M3571" s="37">
        <v>24.210000000000001</v>
      </c>
      <c r="N3571" s="36">
        <v>24.210000000000001</v>
      </c>
    </row>
    <row r="3572" ht="12.75">
      <c r="A3572" s="19" t="s">
        <v>10460</v>
      </c>
      <c r="B3572" s="19">
        <v>20247</v>
      </c>
      <c r="C3572" s="20" t="s">
        <v>14039</v>
      </c>
      <c r="D3572" s="19" t="s">
        <v>302</v>
      </c>
      <c r="E3572" s="19" t="s">
        <v>10459</v>
      </c>
      <c r="F3572" s="21">
        <f t="shared" si="592"/>
        <v>22.469999999999999</v>
      </c>
      <c r="G3572" s="21">
        <f t="shared" si="592"/>
        <v>22.469999999999999</v>
      </c>
      <c r="H3572" s="21">
        <f t="shared" si="592"/>
        <v>22.469999999999999</v>
      </c>
      <c r="I3572" s="24" t="str">
        <f t="shared" si="593"/>
        <v xml:space="preserve">COM VALOR</v>
      </c>
      <c r="L3572" s="36">
        <v>22.469999999999999</v>
      </c>
      <c r="M3572" s="37">
        <v>22.469999999999999</v>
      </c>
      <c r="N3572" s="36">
        <v>22.469999999999999</v>
      </c>
    </row>
    <row r="3573" ht="12.75">
      <c r="A3573" s="19" t="s">
        <v>10460</v>
      </c>
      <c r="B3573" s="19">
        <v>5074</v>
      </c>
      <c r="C3573" s="20" t="s">
        <v>14040</v>
      </c>
      <c r="D3573" s="19" t="s">
        <v>302</v>
      </c>
      <c r="E3573" s="19" t="s">
        <v>10459</v>
      </c>
      <c r="F3573" s="21">
        <f t="shared" si="592"/>
        <v>22.739999999999998</v>
      </c>
      <c r="G3573" s="21">
        <f t="shared" si="592"/>
        <v>22.739999999999998</v>
      </c>
      <c r="H3573" s="21">
        <f t="shared" si="592"/>
        <v>22.739999999999998</v>
      </c>
      <c r="I3573" s="24" t="str">
        <f t="shared" si="593"/>
        <v xml:space="preserve">COM VALOR</v>
      </c>
      <c r="L3573" s="36">
        <v>22.739999999999998</v>
      </c>
      <c r="M3573" s="37">
        <v>22.739999999999998</v>
      </c>
      <c r="N3573" s="36">
        <v>22.739999999999998</v>
      </c>
    </row>
    <row r="3574" ht="12.75">
      <c r="A3574" s="19" t="s">
        <v>10460</v>
      </c>
      <c r="B3574" s="19">
        <v>5067</v>
      </c>
      <c r="C3574" s="20" t="s">
        <v>14041</v>
      </c>
      <c r="D3574" s="19" t="s">
        <v>302</v>
      </c>
      <c r="E3574" s="19" t="s">
        <v>10459</v>
      </c>
      <c r="F3574" s="21">
        <f t="shared" si="592"/>
        <v>21.629999999999999</v>
      </c>
      <c r="G3574" s="21">
        <f t="shared" si="592"/>
        <v>21.629999999999999</v>
      </c>
      <c r="H3574" s="21">
        <f t="shared" si="592"/>
        <v>21.629999999999999</v>
      </c>
      <c r="I3574" s="24" t="str">
        <f t="shared" si="593"/>
        <v xml:space="preserve">COM VALOR</v>
      </c>
      <c r="L3574" s="36">
        <v>21.629999999999999</v>
      </c>
      <c r="M3574" s="37">
        <v>21.629999999999999</v>
      </c>
      <c r="N3574" s="36">
        <v>21.629999999999999</v>
      </c>
    </row>
    <row r="3575" ht="12.75">
      <c r="A3575" s="19" t="s">
        <v>10460</v>
      </c>
      <c r="B3575" s="19">
        <v>5078</v>
      </c>
      <c r="C3575" s="20" t="s">
        <v>14042</v>
      </c>
      <c r="D3575" s="19" t="s">
        <v>302</v>
      </c>
      <c r="E3575" s="19" t="s">
        <v>10459</v>
      </c>
      <c r="F3575" s="21">
        <f t="shared" si="592"/>
        <v>21.379999999999999</v>
      </c>
      <c r="G3575" s="21">
        <f t="shared" si="592"/>
        <v>21.379999999999999</v>
      </c>
      <c r="H3575" s="21">
        <f t="shared" si="592"/>
        <v>21.379999999999999</v>
      </c>
      <c r="I3575" s="24" t="str">
        <f t="shared" si="593"/>
        <v xml:space="preserve">COM VALOR</v>
      </c>
      <c r="L3575" s="36">
        <v>21.379999999999999</v>
      </c>
      <c r="M3575" s="37">
        <v>21.379999999999999</v>
      </c>
      <c r="N3575" s="36">
        <v>21.379999999999999</v>
      </c>
    </row>
    <row r="3576" ht="12.75">
      <c r="A3576" s="19" t="s">
        <v>10460</v>
      </c>
      <c r="B3576" s="19">
        <v>5068</v>
      </c>
      <c r="C3576" s="20" t="s">
        <v>14043</v>
      </c>
      <c r="D3576" s="19" t="s">
        <v>302</v>
      </c>
      <c r="E3576" s="19" t="s">
        <v>10459</v>
      </c>
      <c r="F3576" s="21">
        <f t="shared" si="592"/>
        <v>20.289999999999999</v>
      </c>
      <c r="G3576" s="21">
        <f t="shared" si="592"/>
        <v>20.289999999999999</v>
      </c>
      <c r="H3576" s="21">
        <f t="shared" si="592"/>
        <v>20.289999999999999</v>
      </c>
      <c r="I3576" s="24" t="str">
        <f t="shared" si="593"/>
        <v xml:space="preserve">COM VALOR</v>
      </c>
      <c r="L3576" s="36">
        <v>20.289999999999999</v>
      </c>
      <c r="M3576" s="37">
        <v>20.289999999999999</v>
      </c>
      <c r="N3576" s="36">
        <v>20.289999999999999</v>
      </c>
    </row>
    <row r="3577" ht="12.75">
      <c r="A3577" s="19" t="s">
        <v>10460</v>
      </c>
      <c r="B3577" s="19">
        <v>5073</v>
      </c>
      <c r="C3577" s="20" t="s">
        <v>14044</v>
      </c>
      <c r="D3577" s="19" t="s">
        <v>302</v>
      </c>
      <c r="E3577" s="19" t="s">
        <v>10459</v>
      </c>
      <c r="F3577" s="21">
        <f t="shared" si="592"/>
        <v>20.68</v>
      </c>
      <c r="G3577" s="21">
        <f t="shared" si="592"/>
        <v>20.68</v>
      </c>
      <c r="H3577" s="21">
        <f t="shared" si="592"/>
        <v>20.68</v>
      </c>
      <c r="I3577" s="24" t="str">
        <f t="shared" si="593"/>
        <v xml:space="preserve">COM VALOR</v>
      </c>
      <c r="L3577" s="36">
        <v>20.68</v>
      </c>
      <c r="M3577" s="37">
        <v>20.68</v>
      </c>
      <c r="N3577" s="36">
        <v>20.68</v>
      </c>
    </row>
    <row r="3578" ht="12.75">
      <c r="A3578" s="19" t="s">
        <v>10460</v>
      </c>
      <c r="B3578" s="19">
        <v>5069</v>
      </c>
      <c r="C3578" s="20" t="s">
        <v>14045</v>
      </c>
      <c r="D3578" s="19" t="s">
        <v>302</v>
      </c>
      <c r="E3578" s="19" t="s">
        <v>10459</v>
      </c>
      <c r="F3578" s="21">
        <f t="shared" si="592"/>
        <v>20.68</v>
      </c>
      <c r="G3578" s="21">
        <f t="shared" si="592"/>
        <v>20.68</v>
      </c>
      <c r="H3578" s="21">
        <f t="shared" si="592"/>
        <v>20.68</v>
      </c>
      <c r="I3578" s="24" t="str">
        <f t="shared" si="593"/>
        <v xml:space="preserve">COM VALOR</v>
      </c>
      <c r="L3578" s="36">
        <v>20.68</v>
      </c>
      <c r="M3578" s="37">
        <v>20.68</v>
      </c>
      <c r="N3578" s="36">
        <v>20.68</v>
      </c>
    </row>
    <row r="3579" ht="12.75">
      <c r="A3579" s="19" t="s">
        <v>10460</v>
      </c>
      <c r="B3579" s="19">
        <v>5070</v>
      </c>
      <c r="C3579" s="20" t="s">
        <v>14046</v>
      </c>
      <c r="D3579" s="19" t="s">
        <v>302</v>
      </c>
      <c r="E3579" s="19" t="s">
        <v>10459</v>
      </c>
      <c r="F3579" s="21">
        <f t="shared" si="592"/>
        <v>20.91</v>
      </c>
      <c r="G3579" s="21">
        <f t="shared" si="592"/>
        <v>20.91</v>
      </c>
      <c r="H3579" s="21">
        <f t="shared" si="592"/>
        <v>20.91</v>
      </c>
      <c r="I3579" s="24" t="str">
        <f t="shared" si="593"/>
        <v xml:space="preserve">COM VALOR</v>
      </c>
      <c r="L3579" s="36">
        <v>20.91</v>
      </c>
      <c r="M3579" s="37">
        <v>20.91</v>
      </c>
      <c r="N3579" s="36">
        <v>20.91</v>
      </c>
    </row>
    <row r="3580" ht="12.75">
      <c r="A3580" s="19" t="s">
        <v>10460</v>
      </c>
      <c r="B3580" s="19">
        <v>5071</v>
      </c>
      <c r="C3580" s="20" t="s">
        <v>14047</v>
      </c>
      <c r="D3580" s="19" t="s">
        <v>302</v>
      </c>
      <c r="E3580" s="19" t="s">
        <v>10459</v>
      </c>
      <c r="F3580" s="21">
        <f t="shared" si="592"/>
        <v>20.289999999999999</v>
      </c>
      <c r="G3580" s="21">
        <f t="shared" si="592"/>
        <v>20.289999999999999</v>
      </c>
      <c r="H3580" s="21">
        <f t="shared" si="592"/>
        <v>20.289999999999999</v>
      </c>
      <c r="I3580" s="24" t="str">
        <f t="shared" si="593"/>
        <v xml:space="preserve">COM VALOR</v>
      </c>
      <c r="L3580" s="36">
        <v>20.289999999999999</v>
      </c>
      <c r="M3580" s="37">
        <v>20.289999999999999</v>
      </c>
      <c r="N3580" s="36">
        <v>20.289999999999999</v>
      </c>
    </row>
    <row r="3581" ht="12.75">
      <c r="A3581" s="19" t="s">
        <v>10460</v>
      </c>
      <c r="B3581" s="19">
        <v>5061</v>
      </c>
      <c r="C3581" s="20" t="s">
        <v>14048</v>
      </c>
      <c r="D3581" s="19" t="s">
        <v>302</v>
      </c>
      <c r="E3581" s="19" t="s">
        <v>10466</v>
      </c>
      <c r="F3581" s="21">
        <f t="shared" si="592"/>
        <v>19.949999999999999</v>
      </c>
      <c r="G3581" s="21">
        <f t="shared" si="592"/>
        <v>19.949999999999999</v>
      </c>
      <c r="H3581" s="21">
        <f t="shared" si="592"/>
        <v>19.949999999999999</v>
      </c>
      <c r="I3581" s="24" t="str">
        <f t="shared" si="593"/>
        <v xml:space="preserve">COM VALOR</v>
      </c>
      <c r="L3581" s="36">
        <v>19.949999999999999</v>
      </c>
      <c r="M3581" s="37">
        <v>19.949999999999999</v>
      </c>
      <c r="N3581" s="36">
        <v>19.949999999999999</v>
      </c>
    </row>
    <row r="3582" ht="12.75">
      <c r="A3582" s="19" t="s">
        <v>10460</v>
      </c>
      <c r="B3582" s="19">
        <v>5075</v>
      </c>
      <c r="C3582" s="20" t="s">
        <v>14049</v>
      </c>
      <c r="D3582" s="19" t="s">
        <v>302</v>
      </c>
      <c r="E3582" s="19" t="s">
        <v>10459</v>
      </c>
      <c r="F3582" s="21">
        <f t="shared" si="592"/>
        <v>20.289999999999999</v>
      </c>
      <c r="G3582" s="21">
        <f t="shared" si="592"/>
        <v>20.289999999999999</v>
      </c>
      <c r="H3582" s="21">
        <f t="shared" si="592"/>
        <v>20.289999999999999</v>
      </c>
      <c r="I3582" s="24" t="str">
        <f t="shared" si="593"/>
        <v xml:space="preserve">COM VALOR</v>
      </c>
      <c r="L3582" s="36">
        <v>20.289999999999999</v>
      </c>
      <c r="M3582" s="37">
        <v>20.289999999999999</v>
      </c>
      <c r="N3582" s="36">
        <v>20.289999999999999</v>
      </c>
    </row>
    <row r="3583" ht="12.75">
      <c r="A3583" s="19" t="s">
        <v>10460</v>
      </c>
      <c r="B3583" s="19">
        <v>5062</v>
      </c>
      <c r="C3583" s="20" t="s">
        <v>14050</v>
      </c>
      <c r="D3583" s="19" t="s">
        <v>302</v>
      </c>
      <c r="E3583" s="19" t="s">
        <v>10459</v>
      </c>
      <c r="F3583" s="21">
        <f t="shared" si="592"/>
        <v>20.559999999999999</v>
      </c>
      <c r="G3583" s="21">
        <f t="shared" si="592"/>
        <v>20.559999999999999</v>
      </c>
      <c r="H3583" s="21">
        <f t="shared" si="592"/>
        <v>20.559999999999999</v>
      </c>
      <c r="I3583" s="24" t="str">
        <f t="shared" si="593"/>
        <v xml:space="preserve">COM VALOR</v>
      </c>
      <c r="L3583" s="36">
        <v>20.559999999999999</v>
      </c>
      <c r="M3583" s="37">
        <v>20.559999999999999</v>
      </c>
      <c r="N3583" s="36">
        <v>20.559999999999999</v>
      </c>
    </row>
    <row r="3584" ht="12.75">
      <c r="A3584" s="19" t="s">
        <v>10460</v>
      </c>
      <c r="B3584" s="19">
        <v>39027</v>
      </c>
      <c r="C3584" s="20" t="s">
        <v>14051</v>
      </c>
      <c r="D3584" s="19" t="s">
        <v>302</v>
      </c>
      <c r="E3584" s="19" t="s">
        <v>10459</v>
      </c>
      <c r="F3584" s="21">
        <f t="shared" si="592"/>
        <v>20.27</v>
      </c>
      <c r="G3584" s="21">
        <f t="shared" si="592"/>
        <v>20.27</v>
      </c>
      <c r="H3584" s="21">
        <f t="shared" si="592"/>
        <v>20.27</v>
      </c>
      <c r="I3584" s="24" t="str">
        <f t="shared" si="593"/>
        <v xml:space="preserve">COM VALOR</v>
      </c>
      <c r="L3584" s="36">
        <v>20.27</v>
      </c>
      <c r="M3584" s="37">
        <v>20.27</v>
      </c>
      <c r="N3584" s="36">
        <v>20.27</v>
      </c>
    </row>
    <row r="3585" ht="12.75">
      <c r="A3585" s="19" t="s">
        <v>10460</v>
      </c>
      <c r="B3585" s="19">
        <v>40568</v>
      </c>
      <c r="C3585" s="20" t="s">
        <v>14052</v>
      </c>
      <c r="D3585" s="19" t="s">
        <v>302</v>
      </c>
      <c r="E3585" s="19" t="s">
        <v>10459</v>
      </c>
      <c r="F3585" s="21">
        <f t="shared" si="592"/>
        <v>20.440000000000001</v>
      </c>
      <c r="G3585" s="21">
        <f t="shared" si="592"/>
        <v>20.440000000000001</v>
      </c>
      <c r="H3585" s="21">
        <f t="shared" si="592"/>
        <v>20.440000000000001</v>
      </c>
      <c r="I3585" s="24" t="str">
        <f t="shared" si="593"/>
        <v xml:space="preserve">COM VALOR</v>
      </c>
      <c r="L3585" s="36">
        <v>20.440000000000001</v>
      </c>
      <c r="M3585" s="37">
        <v>20.440000000000001</v>
      </c>
      <c r="N3585" s="36">
        <v>20.440000000000001</v>
      </c>
    </row>
    <row r="3586" ht="25.5">
      <c r="A3586" s="19" t="s">
        <v>10460</v>
      </c>
      <c r="B3586" s="19">
        <v>40304</v>
      </c>
      <c r="C3586" s="20" t="s">
        <v>14053</v>
      </c>
      <c r="D3586" s="19" t="s">
        <v>302</v>
      </c>
      <c r="E3586" s="19" t="s">
        <v>10459</v>
      </c>
      <c r="F3586" s="21">
        <f t="shared" si="592"/>
        <v>25.050000000000001</v>
      </c>
      <c r="G3586" s="21">
        <f t="shared" si="592"/>
        <v>25.050000000000001</v>
      </c>
      <c r="H3586" s="21">
        <f t="shared" si="592"/>
        <v>25.050000000000001</v>
      </c>
      <c r="I3586" s="24" t="str">
        <f t="shared" si="593"/>
        <v xml:space="preserve">COM VALOR</v>
      </c>
      <c r="L3586" s="36">
        <v>25.050000000000001</v>
      </c>
      <c r="M3586" s="37">
        <v>25.050000000000001</v>
      </c>
      <c r="N3586" s="36">
        <v>25.050000000000001</v>
      </c>
    </row>
    <row r="3587" ht="12.75">
      <c r="A3587" s="19" t="s">
        <v>10460</v>
      </c>
      <c r="B3587" s="19">
        <v>39026</v>
      </c>
      <c r="C3587" s="20" t="s">
        <v>14054</v>
      </c>
      <c r="D3587" s="19" t="s">
        <v>302</v>
      </c>
      <c r="E3587" s="19" t="s">
        <v>10459</v>
      </c>
      <c r="F3587" s="21">
        <f t="shared" si="592"/>
        <v>22.82</v>
      </c>
      <c r="G3587" s="21">
        <f t="shared" si="592"/>
        <v>22.82</v>
      </c>
      <c r="H3587" s="21">
        <f t="shared" si="592"/>
        <v>22.82</v>
      </c>
      <c r="I3587" s="24" t="str">
        <f t="shared" si="593"/>
        <v xml:space="preserve">COM VALOR</v>
      </c>
      <c r="L3587" s="36">
        <v>22.82</v>
      </c>
      <c r="M3587" s="37">
        <v>22.82</v>
      </c>
      <c r="N3587" s="36">
        <v>22.82</v>
      </c>
    </row>
    <row r="3588" ht="51">
      <c r="A3588" s="19" t="s">
        <v>10460</v>
      </c>
      <c r="B3588" s="19">
        <v>42431</v>
      </c>
      <c r="C3588" s="20" t="s">
        <v>14055</v>
      </c>
      <c r="D3588" s="19" t="s">
        <v>31</v>
      </c>
      <c r="E3588" s="19" t="s">
        <v>10459</v>
      </c>
      <c r="F3588" s="21" t="str">
        <f t="shared" si="592"/>
        <v>VERIFICAR</v>
      </c>
      <c r="G3588" s="21" t="str">
        <f t="shared" si="592"/>
        <v>VERIFICAR</v>
      </c>
      <c r="H3588" s="21" t="str">
        <f t="shared" si="592"/>
        <v>VERIFICAR</v>
      </c>
      <c r="I3588" s="24" t="str">
        <f t="shared" si="593"/>
        <v xml:space="preserve">SEM VALOR</v>
      </c>
      <c r="L3588" s="36"/>
      <c r="M3588" s="37"/>
      <c r="N3588" s="36"/>
    </row>
    <row r="3589" ht="12.75">
      <c r="A3589" s="19" t="s">
        <v>10460</v>
      </c>
      <c r="B3589" s="19">
        <v>44074</v>
      </c>
      <c r="C3589" s="20" t="s">
        <v>14056</v>
      </c>
      <c r="D3589" s="19" t="s">
        <v>9794</v>
      </c>
      <c r="E3589" s="19" t="s">
        <v>10459</v>
      </c>
      <c r="F3589" s="21">
        <f t="shared" si="592"/>
        <v>535.19000000000005</v>
      </c>
      <c r="G3589" s="21">
        <f t="shared" si="592"/>
        <v>535.19000000000005</v>
      </c>
      <c r="H3589" s="21">
        <f t="shared" si="592"/>
        <v>535.19000000000005</v>
      </c>
      <c r="I3589" s="24" t="str">
        <f t="shared" si="593"/>
        <v xml:space="preserve">COM VALOR</v>
      </c>
      <c r="L3589" s="36">
        <v>535.19000000000005</v>
      </c>
      <c r="M3589" s="37">
        <v>535.19000000000005</v>
      </c>
      <c r="N3589" s="36">
        <v>535.19000000000005</v>
      </c>
    </row>
    <row r="3590" ht="12.75">
      <c r="A3590" s="19" t="s">
        <v>10460</v>
      </c>
      <c r="B3590" s="19">
        <v>44072</v>
      </c>
      <c r="C3590" s="20" t="s">
        <v>14057</v>
      </c>
      <c r="D3590" s="19" t="s">
        <v>9794</v>
      </c>
      <c r="E3590" s="19" t="s">
        <v>10459</v>
      </c>
      <c r="F3590" s="21">
        <f t="shared" si="592"/>
        <v>120.84</v>
      </c>
      <c r="G3590" s="21">
        <f t="shared" si="592"/>
        <v>120.84</v>
      </c>
      <c r="H3590" s="21">
        <f t="shared" si="592"/>
        <v>120.84</v>
      </c>
      <c r="I3590" s="24" t="str">
        <f t="shared" si="593"/>
        <v xml:space="preserve">COM VALOR</v>
      </c>
      <c r="L3590" s="36">
        <v>120.84</v>
      </c>
      <c r="M3590" s="37">
        <v>120.84</v>
      </c>
      <c r="N3590" s="36">
        <v>120.84</v>
      </c>
    </row>
    <row r="3591" ht="25.5">
      <c r="A3591" s="19" t="s">
        <v>10460</v>
      </c>
      <c r="B3591" s="19">
        <v>511</v>
      </c>
      <c r="C3591" s="20" t="s">
        <v>14058</v>
      </c>
      <c r="D3591" s="19" t="s">
        <v>9794</v>
      </c>
      <c r="E3591" s="19" t="s">
        <v>10466</v>
      </c>
      <c r="F3591" s="21">
        <f t="shared" si="592"/>
        <v>23.5</v>
      </c>
      <c r="G3591" s="21">
        <f t="shared" si="592"/>
        <v>23.5</v>
      </c>
      <c r="H3591" s="21">
        <f t="shared" si="592"/>
        <v>23.5</v>
      </c>
      <c r="I3591" s="24" t="str">
        <f t="shared" si="593"/>
        <v xml:space="preserve">COM VALOR</v>
      </c>
      <c r="L3591" s="36">
        <v>23.5</v>
      </c>
      <c r="M3591" s="37">
        <v>23.5</v>
      </c>
      <c r="N3591" s="36">
        <v>23.5</v>
      </c>
    </row>
    <row r="3592" ht="38.25">
      <c r="A3592" s="19" t="s">
        <v>10638</v>
      </c>
      <c r="B3592" s="19">
        <v>37540</v>
      </c>
      <c r="C3592" s="20" t="s">
        <v>14059</v>
      </c>
      <c r="D3592" s="19" t="s">
        <v>31</v>
      </c>
      <c r="E3592" s="19" t="s">
        <v>10459</v>
      </c>
      <c r="F3592" s="21">
        <f t="shared" si="592"/>
        <v>81363.479999999996</v>
      </c>
      <c r="G3592" s="21">
        <f t="shared" si="592"/>
        <v>81363.479999999996</v>
      </c>
      <c r="H3592" s="21">
        <f t="shared" si="592"/>
        <v>81363.479999999996</v>
      </c>
      <c r="I3592" s="24" t="str">
        <f t="shared" si="593"/>
        <v xml:space="preserve">COM VALOR</v>
      </c>
      <c r="L3592" s="36">
        <v>81363.479999999996</v>
      </c>
      <c r="M3592" s="37">
        <v>81363.479999999996</v>
      </c>
      <c r="N3592" s="36">
        <v>81363.479999999996</v>
      </c>
    </row>
    <row r="3593" ht="38.25">
      <c r="A3593" s="19" t="s">
        <v>10638</v>
      </c>
      <c r="B3593" s="19">
        <v>37548</v>
      </c>
      <c r="C3593" s="20" t="s">
        <v>14060</v>
      </c>
      <c r="D3593" s="19" t="s">
        <v>31</v>
      </c>
      <c r="E3593" s="19" t="s">
        <v>10459</v>
      </c>
      <c r="F3593" s="21">
        <f t="shared" si="592"/>
        <v>107846.88</v>
      </c>
      <c r="G3593" s="21">
        <f t="shared" si="592"/>
        <v>107846.88</v>
      </c>
      <c r="H3593" s="21">
        <f t="shared" si="592"/>
        <v>107846.88</v>
      </c>
      <c r="I3593" s="24" t="str">
        <f t="shared" si="593"/>
        <v xml:space="preserve">COM VALOR</v>
      </c>
      <c r="L3593" s="36">
        <v>107846.88</v>
      </c>
      <c r="M3593" s="37">
        <v>107846.88</v>
      </c>
      <c r="N3593" s="36">
        <v>107846.88</v>
      </c>
    </row>
    <row r="3594" ht="38.25">
      <c r="A3594" s="19" t="s">
        <v>10638</v>
      </c>
      <c r="B3594" s="19">
        <v>39828</v>
      </c>
      <c r="C3594" s="20" t="s">
        <v>14061</v>
      </c>
      <c r="D3594" s="19" t="s">
        <v>31</v>
      </c>
      <c r="E3594" s="19" t="s">
        <v>10459</v>
      </c>
      <c r="F3594" s="21">
        <f t="shared" si="592"/>
        <v>646.97000000000003</v>
      </c>
      <c r="G3594" s="21">
        <f t="shared" si="592"/>
        <v>646.97000000000003</v>
      </c>
      <c r="H3594" s="21">
        <f t="shared" si="592"/>
        <v>646.97000000000003</v>
      </c>
      <c r="I3594" s="24" t="str">
        <f t="shared" si="593"/>
        <v xml:space="preserve">COM VALOR</v>
      </c>
      <c r="L3594" s="36">
        <v>646.97000000000003</v>
      </c>
      <c r="M3594" s="37">
        <v>646.97000000000003</v>
      </c>
      <c r="N3594" s="36">
        <v>646.97000000000003</v>
      </c>
    </row>
    <row r="3595" ht="25.5">
      <c r="A3595" s="19" t="s">
        <v>10460</v>
      </c>
      <c r="B3595" s="19">
        <v>38392</v>
      </c>
      <c r="C3595" s="20" t="s">
        <v>14062</v>
      </c>
      <c r="D3595" s="19" t="s">
        <v>31</v>
      </c>
      <c r="E3595" s="19" t="s">
        <v>10459</v>
      </c>
      <c r="F3595" s="21">
        <f t="shared" ref="F3595:H3658" si="594">IF(L3595=0,"VERIFICAR",L3595)</f>
        <v>81.200000000000003</v>
      </c>
      <c r="G3595" s="21">
        <f t="shared" si="594"/>
        <v>81.200000000000003</v>
      </c>
      <c r="H3595" s="21">
        <f t="shared" si="594"/>
        <v>81.200000000000003</v>
      </c>
      <c r="I3595" s="24" t="str">
        <f t="shared" ref="I3595:I3658" si="595">IF(OR(L3595=0,M3595=0,N3595=0),"SEM VALOR","COM VALOR")</f>
        <v xml:space="preserve">COM VALOR</v>
      </c>
      <c r="L3595" s="36">
        <v>81.200000000000003</v>
      </c>
      <c r="M3595" s="37">
        <v>81.200000000000003</v>
      </c>
      <c r="N3595" s="36">
        <v>81.200000000000003</v>
      </c>
    </row>
    <row r="3596" ht="25.5">
      <c r="A3596" s="19" t="s">
        <v>10460</v>
      </c>
      <c r="B3596" s="19">
        <v>11735</v>
      </c>
      <c r="C3596" s="20" t="s">
        <v>14063</v>
      </c>
      <c r="D3596" s="19" t="s">
        <v>31</v>
      </c>
      <c r="E3596" s="19" t="s">
        <v>10459</v>
      </c>
      <c r="F3596" s="21">
        <f t="shared" si="594"/>
        <v>10.41</v>
      </c>
      <c r="G3596" s="21">
        <f t="shared" si="594"/>
        <v>10.41</v>
      </c>
      <c r="H3596" s="21">
        <f t="shared" si="594"/>
        <v>10.41</v>
      </c>
      <c r="I3596" s="24" t="str">
        <f t="shared" si="595"/>
        <v xml:space="preserve">COM VALOR</v>
      </c>
      <c r="L3596" s="36">
        <v>10.41</v>
      </c>
      <c r="M3596" s="37">
        <v>10.41</v>
      </c>
      <c r="N3596" s="36">
        <v>10.41</v>
      </c>
    </row>
    <row r="3597" ht="25.5">
      <c r="A3597" s="19" t="s">
        <v>10460</v>
      </c>
      <c r="B3597" s="19">
        <v>11737</v>
      </c>
      <c r="C3597" s="20" t="s">
        <v>14064</v>
      </c>
      <c r="D3597" s="19" t="s">
        <v>31</v>
      </c>
      <c r="E3597" s="19" t="s">
        <v>10459</v>
      </c>
      <c r="F3597" s="21">
        <f t="shared" si="594"/>
        <v>14.76</v>
      </c>
      <c r="G3597" s="21">
        <f t="shared" si="594"/>
        <v>14.76</v>
      </c>
      <c r="H3597" s="21">
        <f t="shared" si="594"/>
        <v>14.76</v>
      </c>
      <c r="I3597" s="24" t="str">
        <f t="shared" si="595"/>
        <v xml:space="preserve">COM VALOR</v>
      </c>
      <c r="L3597" s="36">
        <v>14.76</v>
      </c>
      <c r="M3597" s="37">
        <v>14.76</v>
      </c>
      <c r="N3597" s="36">
        <v>14.76</v>
      </c>
    </row>
    <row r="3598" ht="25.5">
      <c r="A3598" s="19" t="s">
        <v>10460</v>
      </c>
      <c r="B3598" s="19">
        <v>11738</v>
      </c>
      <c r="C3598" s="20" t="s">
        <v>14065</v>
      </c>
      <c r="D3598" s="19" t="s">
        <v>31</v>
      </c>
      <c r="E3598" s="19" t="s">
        <v>10459</v>
      </c>
      <c r="F3598" s="21">
        <f t="shared" si="594"/>
        <v>18.609999999999999</v>
      </c>
      <c r="G3598" s="21">
        <f t="shared" si="594"/>
        <v>18.609999999999999</v>
      </c>
      <c r="H3598" s="21">
        <f t="shared" si="594"/>
        <v>18.609999999999999</v>
      </c>
      <c r="I3598" s="24" t="str">
        <f t="shared" si="595"/>
        <v xml:space="preserve">COM VALOR</v>
      </c>
      <c r="L3598" s="36">
        <v>18.609999999999999</v>
      </c>
      <c r="M3598" s="37">
        <v>18.609999999999999</v>
      </c>
      <c r="N3598" s="36">
        <v>18.609999999999999</v>
      </c>
    </row>
    <row r="3599" ht="25.5">
      <c r="A3599" s="19" t="s">
        <v>10460</v>
      </c>
      <c r="B3599" s="19">
        <v>36143</v>
      </c>
      <c r="C3599" s="20" t="s">
        <v>14066</v>
      </c>
      <c r="D3599" s="19" t="s">
        <v>31</v>
      </c>
      <c r="E3599" s="19" t="s">
        <v>10459</v>
      </c>
      <c r="F3599" s="21">
        <f t="shared" si="594"/>
        <v>88.790000000000006</v>
      </c>
      <c r="G3599" s="21">
        <f t="shared" si="594"/>
        <v>88.790000000000006</v>
      </c>
      <c r="H3599" s="21">
        <f t="shared" si="594"/>
        <v>88.790000000000006</v>
      </c>
      <c r="I3599" s="24" t="str">
        <f t="shared" si="595"/>
        <v xml:space="preserve">COM VALOR</v>
      </c>
      <c r="L3599" s="36">
        <v>88.790000000000006</v>
      </c>
      <c r="M3599" s="37">
        <v>88.790000000000006</v>
      </c>
      <c r="N3599" s="36">
        <v>88.790000000000006</v>
      </c>
    </row>
    <row r="3600" ht="25.5">
      <c r="A3600" s="19" t="s">
        <v>10460</v>
      </c>
      <c r="B3600" s="19">
        <v>36142</v>
      </c>
      <c r="C3600" s="20" t="s">
        <v>14067</v>
      </c>
      <c r="D3600" s="19" t="s">
        <v>31</v>
      </c>
      <c r="E3600" s="19" t="s">
        <v>10459</v>
      </c>
      <c r="F3600" s="21">
        <f t="shared" si="594"/>
        <v>2.1899999999999999</v>
      </c>
      <c r="G3600" s="21">
        <f t="shared" si="594"/>
        <v>2.1899999999999999</v>
      </c>
      <c r="H3600" s="21">
        <f t="shared" si="594"/>
        <v>2.1899999999999999</v>
      </c>
      <c r="I3600" s="24" t="str">
        <f t="shared" si="595"/>
        <v xml:space="preserve">COM VALOR</v>
      </c>
      <c r="L3600" s="36">
        <v>2.1899999999999999</v>
      </c>
      <c r="M3600" s="37">
        <v>2.1899999999999999</v>
      </c>
      <c r="N3600" s="36">
        <v>2.1899999999999999</v>
      </c>
    </row>
    <row r="3601" ht="25.5">
      <c r="A3601" s="19" t="s">
        <v>10460</v>
      </c>
      <c r="B3601" s="19">
        <v>45227</v>
      </c>
      <c r="C3601" s="20" t="s">
        <v>14068</v>
      </c>
      <c r="D3601" s="19" t="s">
        <v>31</v>
      </c>
      <c r="E3601" s="19" t="s">
        <v>10459</v>
      </c>
      <c r="F3601" s="21">
        <f t="shared" si="594"/>
        <v>846.08000000000004</v>
      </c>
      <c r="G3601" s="21">
        <f t="shared" si="594"/>
        <v>846.08000000000004</v>
      </c>
      <c r="H3601" s="21">
        <f t="shared" si="594"/>
        <v>846.08000000000004</v>
      </c>
      <c r="I3601" s="24" t="str">
        <f t="shared" si="595"/>
        <v xml:space="preserve">COM VALOR</v>
      </c>
      <c r="L3601" s="36">
        <v>846.08000000000004</v>
      </c>
      <c r="M3601" s="37">
        <v>846.08000000000004</v>
      </c>
      <c r="N3601" s="36">
        <v>846.08000000000004</v>
      </c>
    </row>
    <row r="3602" ht="25.5">
      <c r="A3602" s="19" t="s">
        <v>10460</v>
      </c>
      <c r="B3602" s="19">
        <v>45209</v>
      </c>
      <c r="C3602" s="20" t="s">
        <v>14069</v>
      </c>
      <c r="D3602" s="19" t="s">
        <v>31</v>
      </c>
      <c r="E3602" s="19" t="s">
        <v>10459</v>
      </c>
      <c r="F3602" s="21">
        <f t="shared" si="594"/>
        <v>37.060000000000002</v>
      </c>
      <c r="G3602" s="21">
        <f t="shared" si="594"/>
        <v>37.060000000000002</v>
      </c>
      <c r="H3602" s="21">
        <f t="shared" si="594"/>
        <v>37.060000000000002</v>
      </c>
      <c r="I3602" s="24" t="str">
        <f t="shared" si="595"/>
        <v xml:space="preserve">COM VALOR</v>
      </c>
      <c r="L3602" s="36">
        <v>37.060000000000002</v>
      </c>
      <c r="M3602" s="37">
        <v>37.060000000000002</v>
      </c>
      <c r="N3602" s="36">
        <v>37.060000000000002</v>
      </c>
    </row>
    <row r="3603" ht="12.75">
      <c r="A3603" s="19" t="s">
        <v>10460</v>
      </c>
      <c r="B3603" s="19">
        <v>36146</v>
      </c>
      <c r="C3603" s="20" t="s">
        <v>14070</v>
      </c>
      <c r="D3603" s="19" t="s">
        <v>31</v>
      </c>
      <c r="E3603" s="19" t="s">
        <v>10459</v>
      </c>
      <c r="F3603" s="21">
        <f t="shared" si="594"/>
        <v>234.94999999999999</v>
      </c>
      <c r="G3603" s="21">
        <f t="shared" si="594"/>
        <v>234.94999999999999</v>
      </c>
      <c r="H3603" s="21">
        <f t="shared" si="594"/>
        <v>234.94999999999999</v>
      </c>
      <c r="I3603" s="24" t="str">
        <f t="shared" si="595"/>
        <v xml:space="preserve">COM VALOR</v>
      </c>
      <c r="L3603" s="36">
        <v>234.94999999999999</v>
      </c>
      <c r="M3603" s="37">
        <v>234.94999999999999</v>
      </c>
      <c r="N3603" s="36">
        <v>234.94999999999999</v>
      </c>
    </row>
    <row r="3604" ht="25.5">
      <c r="A3604" s="19" t="s">
        <v>10460</v>
      </c>
      <c r="B3604" s="19">
        <v>39015</v>
      </c>
      <c r="C3604" s="20" t="s">
        <v>14071</v>
      </c>
      <c r="D3604" s="19" t="s">
        <v>31</v>
      </c>
      <c r="E3604" s="19" t="s">
        <v>10466</v>
      </c>
      <c r="F3604" s="21" t="str">
        <f t="shared" si="594"/>
        <v>VERIFICAR</v>
      </c>
      <c r="G3604" s="21" t="str">
        <f t="shared" si="594"/>
        <v>VERIFICAR</v>
      </c>
      <c r="H3604" s="21" t="str">
        <f t="shared" si="594"/>
        <v>VERIFICAR</v>
      </c>
      <c r="I3604" s="24" t="str">
        <f t="shared" si="595"/>
        <v xml:space="preserve">SEM VALOR</v>
      </c>
      <c r="L3604" s="36"/>
      <c r="M3604" s="37"/>
      <c r="N3604" s="36"/>
    </row>
    <row r="3605" ht="25.5">
      <c r="A3605" s="19" t="s">
        <v>10460</v>
      </c>
      <c r="B3605" s="19">
        <v>38377</v>
      </c>
      <c r="C3605" s="20" t="s">
        <v>14072</v>
      </c>
      <c r="D3605" s="19" t="s">
        <v>31</v>
      </c>
      <c r="E3605" s="19" t="s">
        <v>10459</v>
      </c>
      <c r="F3605" s="21">
        <f t="shared" si="594"/>
        <v>25.07</v>
      </c>
      <c r="G3605" s="21">
        <f t="shared" si="594"/>
        <v>25.07</v>
      </c>
      <c r="H3605" s="21">
        <f t="shared" si="594"/>
        <v>25.07</v>
      </c>
      <c r="I3605" s="24" t="str">
        <f t="shared" si="595"/>
        <v xml:space="preserve">COM VALOR</v>
      </c>
      <c r="L3605" s="36">
        <v>25.07</v>
      </c>
      <c r="M3605" s="37">
        <v>25.07</v>
      </c>
      <c r="N3605" s="36">
        <v>25.07</v>
      </c>
    </row>
    <row r="3606" ht="25.5">
      <c r="A3606" s="19" t="s">
        <v>10460</v>
      </c>
      <c r="B3606" s="19">
        <v>38376</v>
      </c>
      <c r="C3606" s="20" t="s">
        <v>14073</v>
      </c>
      <c r="D3606" s="19" t="s">
        <v>31</v>
      </c>
      <c r="E3606" s="19" t="s">
        <v>10459</v>
      </c>
      <c r="F3606" s="21">
        <f t="shared" si="594"/>
        <v>28.989999999999998</v>
      </c>
      <c r="G3606" s="21">
        <f t="shared" si="594"/>
        <v>28.989999999999998</v>
      </c>
      <c r="H3606" s="21">
        <f t="shared" si="594"/>
        <v>28.989999999999998</v>
      </c>
      <c r="I3606" s="24" t="str">
        <f t="shared" si="595"/>
        <v xml:space="preserve">COM VALOR</v>
      </c>
      <c r="L3606" s="36">
        <v>28.989999999999998</v>
      </c>
      <c r="M3606" s="37">
        <v>28.989999999999998</v>
      </c>
      <c r="N3606" s="36">
        <v>28.989999999999998</v>
      </c>
    </row>
    <row r="3607" ht="12.75">
      <c r="A3607" s="19" t="s">
        <v>10460</v>
      </c>
      <c r="B3607" s="19">
        <v>38116</v>
      </c>
      <c r="C3607" s="20" t="s">
        <v>14074</v>
      </c>
      <c r="D3607" s="19" t="s">
        <v>31</v>
      </c>
      <c r="E3607" s="19" t="s">
        <v>10459</v>
      </c>
      <c r="F3607" s="21">
        <f t="shared" si="594"/>
        <v>4.9900000000000002</v>
      </c>
      <c r="G3607" s="21">
        <f t="shared" si="594"/>
        <v>4.9900000000000002</v>
      </c>
      <c r="H3607" s="21">
        <f t="shared" si="594"/>
        <v>4.9900000000000002</v>
      </c>
      <c r="I3607" s="24" t="str">
        <f t="shared" si="595"/>
        <v xml:space="preserve">COM VALOR</v>
      </c>
      <c r="L3607" s="36">
        <v>4.9900000000000002</v>
      </c>
      <c r="M3607" s="37">
        <v>4.9900000000000002</v>
      </c>
      <c r="N3607" s="36">
        <v>4.9900000000000002</v>
      </c>
    </row>
    <row r="3608" ht="25.5">
      <c r="A3608" s="19" t="s">
        <v>10460</v>
      </c>
      <c r="B3608" s="19">
        <v>38066</v>
      </c>
      <c r="C3608" s="20" t="s">
        <v>14075</v>
      </c>
      <c r="D3608" s="19" t="s">
        <v>31</v>
      </c>
      <c r="E3608" s="19" t="s">
        <v>10459</v>
      </c>
      <c r="F3608" s="21">
        <f t="shared" si="594"/>
        <v>8.2400000000000002</v>
      </c>
      <c r="G3608" s="21">
        <f t="shared" si="594"/>
        <v>8.2400000000000002</v>
      </c>
      <c r="H3608" s="21">
        <f t="shared" si="594"/>
        <v>8.2400000000000002</v>
      </c>
      <c r="I3608" s="24" t="str">
        <f t="shared" si="595"/>
        <v xml:space="preserve">COM VALOR</v>
      </c>
      <c r="L3608" s="36">
        <v>8.2400000000000002</v>
      </c>
      <c r="M3608" s="37">
        <v>8.2400000000000002</v>
      </c>
      <c r="N3608" s="36">
        <v>8.2400000000000002</v>
      </c>
    </row>
    <row r="3609" ht="12.75">
      <c r="A3609" s="19" t="s">
        <v>10460</v>
      </c>
      <c r="B3609" s="19">
        <v>38117</v>
      </c>
      <c r="C3609" s="20" t="s">
        <v>14076</v>
      </c>
      <c r="D3609" s="19" t="s">
        <v>31</v>
      </c>
      <c r="E3609" s="19" t="s">
        <v>10459</v>
      </c>
      <c r="F3609" s="21">
        <f t="shared" si="594"/>
        <v>8.5</v>
      </c>
      <c r="G3609" s="21">
        <f t="shared" si="594"/>
        <v>8.5</v>
      </c>
      <c r="H3609" s="21">
        <f t="shared" si="594"/>
        <v>8.5</v>
      </c>
      <c r="I3609" s="24" t="str">
        <f t="shared" si="595"/>
        <v xml:space="preserve">COM VALOR</v>
      </c>
      <c r="L3609" s="36">
        <v>8.5</v>
      </c>
      <c r="M3609" s="37">
        <v>8.5</v>
      </c>
      <c r="N3609" s="36">
        <v>8.5</v>
      </c>
    </row>
    <row r="3610" ht="25.5">
      <c r="A3610" s="19" t="s">
        <v>10460</v>
      </c>
      <c r="B3610" s="19">
        <v>38067</v>
      </c>
      <c r="C3610" s="20" t="s">
        <v>14077</v>
      </c>
      <c r="D3610" s="19" t="s">
        <v>31</v>
      </c>
      <c r="E3610" s="19" t="s">
        <v>10459</v>
      </c>
      <c r="F3610" s="21">
        <f t="shared" si="594"/>
        <v>11.6</v>
      </c>
      <c r="G3610" s="21">
        <f t="shared" si="594"/>
        <v>11.6</v>
      </c>
      <c r="H3610" s="21">
        <f t="shared" si="594"/>
        <v>11.6</v>
      </c>
      <c r="I3610" s="24" t="str">
        <f t="shared" si="595"/>
        <v xml:space="preserve">COM VALOR</v>
      </c>
      <c r="L3610" s="36">
        <v>11.6</v>
      </c>
      <c r="M3610" s="37">
        <v>11.6</v>
      </c>
      <c r="N3610" s="36">
        <v>11.6</v>
      </c>
    </row>
    <row r="3611" ht="25.5">
      <c r="A3611" s="19" t="s">
        <v>10638</v>
      </c>
      <c r="B3611" s="19">
        <v>44313</v>
      </c>
      <c r="C3611" s="20" t="s">
        <v>14078</v>
      </c>
      <c r="D3611" s="19" t="s">
        <v>31</v>
      </c>
      <c r="E3611" s="19" t="s">
        <v>10459</v>
      </c>
      <c r="F3611" s="21">
        <f t="shared" si="594"/>
        <v>924.70000000000005</v>
      </c>
      <c r="G3611" s="21">
        <f t="shared" si="594"/>
        <v>924.70000000000005</v>
      </c>
      <c r="H3611" s="21">
        <f t="shared" si="594"/>
        <v>924.70000000000005</v>
      </c>
      <c r="I3611" s="24" t="str">
        <f t="shared" si="595"/>
        <v xml:space="preserve">COM VALOR</v>
      </c>
      <c r="L3611" s="36">
        <v>924.70000000000005</v>
      </c>
      <c r="M3611" s="37">
        <v>924.70000000000005</v>
      </c>
      <c r="N3611" s="36">
        <v>924.70000000000005</v>
      </c>
    </row>
    <row r="3612" ht="38.25">
      <c r="A3612" s="19" t="s">
        <v>10460</v>
      </c>
      <c r="B3612" s="19">
        <v>11522</v>
      </c>
      <c r="C3612" s="20" t="s">
        <v>14079</v>
      </c>
      <c r="D3612" s="19" t="s">
        <v>31</v>
      </c>
      <c r="E3612" s="19" t="s">
        <v>10459</v>
      </c>
      <c r="F3612" s="21">
        <f t="shared" si="594"/>
        <v>15.779999999999999</v>
      </c>
      <c r="G3612" s="21">
        <f t="shared" si="594"/>
        <v>15.779999999999999</v>
      </c>
      <c r="H3612" s="21">
        <f t="shared" si="594"/>
        <v>15.779999999999999</v>
      </c>
      <c r="I3612" s="24" t="str">
        <f t="shared" si="595"/>
        <v xml:space="preserve">COM VALOR</v>
      </c>
      <c r="L3612" s="36">
        <v>15.779999999999999</v>
      </c>
      <c r="M3612" s="37">
        <v>15.779999999999999</v>
      </c>
      <c r="N3612" s="36">
        <v>15.779999999999999</v>
      </c>
    </row>
    <row r="3613" ht="38.25">
      <c r="A3613" s="19" t="s">
        <v>10460</v>
      </c>
      <c r="B3613" s="19">
        <v>43600</v>
      </c>
      <c r="C3613" s="20" t="s">
        <v>14080</v>
      </c>
      <c r="D3613" s="19" t="s">
        <v>31</v>
      </c>
      <c r="E3613" s="19" t="s">
        <v>10459</v>
      </c>
      <c r="F3613" s="21">
        <f t="shared" si="594"/>
        <v>63.25</v>
      </c>
      <c r="G3613" s="21">
        <f t="shared" si="594"/>
        <v>63.25</v>
      </c>
      <c r="H3613" s="21">
        <f t="shared" si="594"/>
        <v>63.25</v>
      </c>
      <c r="I3613" s="24" t="str">
        <f t="shared" si="595"/>
        <v xml:space="preserve">COM VALOR</v>
      </c>
      <c r="L3613" s="36">
        <v>63.25</v>
      </c>
      <c r="M3613" s="37">
        <v>63.25</v>
      </c>
      <c r="N3613" s="36">
        <v>63.25</v>
      </c>
    </row>
    <row r="3614" ht="38.25">
      <c r="A3614" s="19" t="s">
        <v>10460</v>
      </c>
      <c r="B3614" s="19">
        <v>5080</v>
      </c>
      <c r="C3614" s="20" t="s">
        <v>14081</v>
      </c>
      <c r="D3614" s="19" t="s">
        <v>31</v>
      </c>
      <c r="E3614" s="19" t="s">
        <v>10459</v>
      </c>
      <c r="F3614" s="21">
        <f t="shared" si="594"/>
        <v>24.670000000000002</v>
      </c>
      <c r="G3614" s="21">
        <f t="shared" si="594"/>
        <v>24.670000000000002</v>
      </c>
      <c r="H3614" s="21">
        <f t="shared" si="594"/>
        <v>24.670000000000002</v>
      </c>
      <c r="I3614" s="24" t="str">
        <f t="shared" si="595"/>
        <v xml:space="preserve">COM VALOR</v>
      </c>
      <c r="L3614" s="36">
        <v>24.670000000000002</v>
      </c>
      <c r="M3614" s="37">
        <v>24.670000000000002</v>
      </c>
      <c r="N3614" s="36">
        <v>24.670000000000002</v>
      </c>
    </row>
    <row r="3615" ht="25.5">
      <c r="A3615" s="19" t="s">
        <v>10460</v>
      </c>
      <c r="B3615" s="19">
        <v>38168</v>
      </c>
      <c r="C3615" s="20" t="s">
        <v>14082</v>
      </c>
      <c r="D3615" s="19" t="s">
        <v>31</v>
      </c>
      <c r="E3615" s="19" t="s">
        <v>10459</v>
      </c>
      <c r="F3615" s="21">
        <f t="shared" si="594"/>
        <v>172.21000000000001</v>
      </c>
      <c r="G3615" s="21">
        <f t="shared" si="594"/>
        <v>172.21000000000001</v>
      </c>
      <c r="H3615" s="21">
        <f t="shared" si="594"/>
        <v>172.21000000000001</v>
      </c>
      <c r="I3615" s="24" t="str">
        <f t="shared" si="595"/>
        <v xml:space="preserve">COM VALOR</v>
      </c>
      <c r="L3615" s="36">
        <v>172.21000000000001</v>
      </c>
      <c r="M3615" s="37">
        <v>172.21000000000001</v>
      </c>
      <c r="N3615" s="36">
        <v>172.21000000000001</v>
      </c>
    </row>
    <row r="3616" ht="25.5">
      <c r="A3616" s="19" t="s">
        <v>10460</v>
      </c>
      <c r="B3616" s="19">
        <v>43601</v>
      </c>
      <c r="C3616" s="20" t="s">
        <v>14083</v>
      </c>
      <c r="D3616" s="19" t="s">
        <v>31</v>
      </c>
      <c r="E3616" s="19" t="s">
        <v>10459</v>
      </c>
      <c r="F3616" s="21">
        <f t="shared" si="594"/>
        <v>86.099999999999994</v>
      </c>
      <c r="G3616" s="21">
        <f t="shared" si="594"/>
        <v>86.099999999999994</v>
      </c>
      <c r="H3616" s="21">
        <f t="shared" si="594"/>
        <v>86.099999999999994</v>
      </c>
      <c r="I3616" s="24" t="str">
        <f t="shared" si="595"/>
        <v xml:space="preserve">COM VALOR</v>
      </c>
      <c r="L3616" s="36">
        <v>86.099999999999994</v>
      </c>
      <c r="M3616" s="37">
        <v>86.099999999999994</v>
      </c>
      <c r="N3616" s="36">
        <v>86.099999999999994</v>
      </c>
    </row>
    <row r="3617" ht="38.25">
      <c r="A3617" s="19" t="s">
        <v>10460</v>
      </c>
      <c r="B3617" s="19">
        <v>13393</v>
      </c>
      <c r="C3617" s="20" t="s">
        <v>14084</v>
      </c>
      <c r="D3617" s="19" t="s">
        <v>31</v>
      </c>
      <c r="E3617" s="19" t="s">
        <v>10459</v>
      </c>
      <c r="F3617" s="21" t="str">
        <f t="shared" si="594"/>
        <v>VERIFICAR</v>
      </c>
      <c r="G3617" s="21" t="str">
        <f t="shared" si="594"/>
        <v>VERIFICAR</v>
      </c>
      <c r="H3617" s="21" t="str">
        <f t="shared" si="594"/>
        <v>VERIFICAR</v>
      </c>
      <c r="I3617" s="24" t="str">
        <f t="shared" si="595"/>
        <v xml:space="preserve">SEM VALOR</v>
      </c>
      <c r="L3617" s="36"/>
      <c r="M3617" s="37"/>
      <c r="N3617" s="36"/>
    </row>
    <row r="3618" ht="38.25">
      <c r="A3618" s="19" t="s">
        <v>10460</v>
      </c>
      <c r="B3618" s="19">
        <v>13395</v>
      </c>
      <c r="C3618" s="20" t="s">
        <v>14085</v>
      </c>
      <c r="D3618" s="19" t="s">
        <v>31</v>
      </c>
      <c r="E3618" s="19" t="s">
        <v>10459</v>
      </c>
      <c r="F3618" s="21" t="str">
        <f t="shared" si="594"/>
        <v>VERIFICAR</v>
      </c>
      <c r="G3618" s="21" t="str">
        <f t="shared" si="594"/>
        <v>VERIFICAR</v>
      </c>
      <c r="H3618" s="21" t="str">
        <f t="shared" si="594"/>
        <v>VERIFICAR</v>
      </c>
      <c r="I3618" s="24" t="str">
        <f t="shared" si="595"/>
        <v xml:space="preserve">SEM VALOR</v>
      </c>
      <c r="L3618" s="36"/>
      <c r="M3618" s="37"/>
      <c r="N3618" s="36"/>
    </row>
    <row r="3619" ht="38.25">
      <c r="A3619" s="19" t="s">
        <v>10460</v>
      </c>
      <c r="B3619" s="19">
        <v>12039</v>
      </c>
      <c r="C3619" s="20" t="s">
        <v>14086</v>
      </c>
      <c r="D3619" s="19" t="s">
        <v>31</v>
      </c>
      <c r="E3619" s="19" t="s">
        <v>10459</v>
      </c>
      <c r="F3619" s="21" t="str">
        <f t="shared" si="594"/>
        <v>VERIFICAR</v>
      </c>
      <c r="G3619" s="21" t="str">
        <f t="shared" si="594"/>
        <v>VERIFICAR</v>
      </c>
      <c r="H3619" s="21" t="str">
        <f t="shared" si="594"/>
        <v>VERIFICAR</v>
      </c>
      <c r="I3619" s="24" t="str">
        <f t="shared" si="595"/>
        <v xml:space="preserve">SEM VALOR</v>
      </c>
      <c r="L3619" s="36"/>
      <c r="M3619" s="37"/>
      <c r="N3619" s="36"/>
    </row>
    <row r="3620" ht="38.25">
      <c r="A3620" s="19" t="s">
        <v>10460</v>
      </c>
      <c r="B3620" s="19">
        <v>13396</v>
      </c>
      <c r="C3620" s="20" t="s">
        <v>14087</v>
      </c>
      <c r="D3620" s="19" t="s">
        <v>31</v>
      </c>
      <c r="E3620" s="19" t="s">
        <v>10459</v>
      </c>
      <c r="F3620" s="21" t="str">
        <f t="shared" si="594"/>
        <v>VERIFICAR</v>
      </c>
      <c r="G3620" s="21" t="str">
        <f t="shared" si="594"/>
        <v>VERIFICAR</v>
      </c>
      <c r="H3620" s="21" t="str">
        <f t="shared" si="594"/>
        <v>VERIFICAR</v>
      </c>
      <c r="I3620" s="24" t="str">
        <f t="shared" si="595"/>
        <v xml:space="preserve">SEM VALOR</v>
      </c>
      <c r="L3620" s="36"/>
      <c r="M3620" s="37"/>
      <c r="N3620" s="36"/>
    </row>
    <row r="3621" ht="38.25">
      <c r="A3621" s="19" t="s">
        <v>10460</v>
      </c>
      <c r="B3621" s="19">
        <v>12041</v>
      </c>
      <c r="C3621" s="20" t="s">
        <v>14088</v>
      </c>
      <c r="D3621" s="19" t="s">
        <v>31</v>
      </c>
      <c r="E3621" s="19" t="s">
        <v>10459</v>
      </c>
      <c r="F3621" s="21" t="str">
        <f t="shared" si="594"/>
        <v>VERIFICAR</v>
      </c>
      <c r="G3621" s="21" t="str">
        <f t="shared" si="594"/>
        <v>VERIFICAR</v>
      </c>
      <c r="H3621" s="21" t="str">
        <f t="shared" si="594"/>
        <v>VERIFICAR</v>
      </c>
      <c r="I3621" s="24" t="str">
        <f t="shared" si="595"/>
        <v xml:space="preserve">SEM VALOR</v>
      </c>
      <c r="L3621" s="36"/>
      <c r="M3621" s="37"/>
      <c r="N3621" s="36"/>
    </row>
    <row r="3622" ht="38.25">
      <c r="A3622" s="19" t="s">
        <v>10460</v>
      </c>
      <c r="B3622" s="19">
        <v>12043</v>
      </c>
      <c r="C3622" s="20" t="s">
        <v>14089</v>
      </c>
      <c r="D3622" s="19" t="s">
        <v>31</v>
      </c>
      <c r="E3622" s="19" t="s">
        <v>10459</v>
      </c>
      <c r="F3622" s="21" t="str">
        <f t="shared" si="594"/>
        <v>VERIFICAR</v>
      </c>
      <c r="G3622" s="21" t="str">
        <f t="shared" si="594"/>
        <v>VERIFICAR</v>
      </c>
      <c r="H3622" s="21" t="str">
        <f t="shared" si="594"/>
        <v>VERIFICAR</v>
      </c>
      <c r="I3622" s="24" t="str">
        <f t="shared" si="595"/>
        <v xml:space="preserve">SEM VALOR</v>
      </c>
      <c r="L3622" s="36"/>
      <c r="M3622" s="37"/>
      <c r="N3622" s="36"/>
    </row>
    <row r="3623" ht="38.25">
      <c r="A3623" s="19" t="s">
        <v>10460</v>
      </c>
      <c r="B3623" s="19">
        <v>39762</v>
      </c>
      <c r="C3623" s="20" t="s">
        <v>14090</v>
      </c>
      <c r="D3623" s="19" t="s">
        <v>31</v>
      </c>
      <c r="E3623" s="19" t="s">
        <v>10459</v>
      </c>
      <c r="F3623" s="21" t="str">
        <f t="shared" si="594"/>
        <v>VERIFICAR</v>
      </c>
      <c r="G3623" s="21" t="str">
        <f t="shared" si="594"/>
        <v>VERIFICAR</v>
      </c>
      <c r="H3623" s="21" t="str">
        <f t="shared" si="594"/>
        <v>VERIFICAR</v>
      </c>
      <c r="I3623" s="24" t="str">
        <f t="shared" si="595"/>
        <v xml:space="preserve">SEM VALOR</v>
      </c>
      <c r="L3623" s="36"/>
      <c r="M3623" s="37"/>
      <c r="N3623" s="36"/>
    </row>
    <row r="3624" ht="38.25">
      <c r="A3624" s="19" t="s">
        <v>10460</v>
      </c>
      <c r="B3624" s="19">
        <v>12042</v>
      </c>
      <c r="C3624" s="20" t="s">
        <v>14091</v>
      </c>
      <c r="D3624" s="19" t="s">
        <v>31</v>
      </c>
      <c r="E3624" s="19" t="s">
        <v>10459</v>
      </c>
      <c r="F3624" s="21" t="str">
        <f t="shared" si="594"/>
        <v>VERIFICAR</v>
      </c>
      <c r="G3624" s="21" t="str">
        <f t="shared" si="594"/>
        <v>VERIFICAR</v>
      </c>
      <c r="H3624" s="21" t="str">
        <f t="shared" si="594"/>
        <v>VERIFICAR</v>
      </c>
      <c r="I3624" s="24" t="str">
        <f t="shared" si="595"/>
        <v xml:space="preserve">SEM VALOR</v>
      </c>
      <c r="L3624" s="36"/>
      <c r="M3624" s="37"/>
      <c r="N3624" s="36"/>
    </row>
    <row r="3625" ht="38.25">
      <c r="A3625" s="19" t="s">
        <v>10460</v>
      </c>
      <c r="B3625" s="19">
        <v>39763</v>
      </c>
      <c r="C3625" s="20" t="s">
        <v>14092</v>
      </c>
      <c r="D3625" s="19" t="s">
        <v>31</v>
      </c>
      <c r="E3625" s="19" t="s">
        <v>10459</v>
      </c>
      <c r="F3625" s="21" t="str">
        <f t="shared" si="594"/>
        <v>VERIFICAR</v>
      </c>
      <c r="G3625" s="21" t="str">
        <f t="shared" si="594"/>
        <v>VERIFICAR</v>
      </c>
      <c r="H3625" s="21" t="str">
        <f t="shared" si="594"/>
        <v>VERIFICAR</v>
      </c>
      <c r="I3625" s="24" t="str">
        <f t="shared" si="595"/>
        <v xml:space="preserve">SEM VALOR</v>
      </c>
      <c r="L3625" s="36"/>
      <c r="M3625" s="37"/>
      <c r="N3625" s="36"/>
    </row>
    <row r="3626" ht="38.25">
      <c r="A3626" s="19" t="s">
        <v>10460</v>
      </c>
      <c r="B3626" s="19">
        <v>39760</v>
      </c>
      <c r="C3626" s="20" t="s">
        <v>14093</v>
      </c>
      <c r="D3626" s="19" t="s">
        <v>31</v>
      </c>
      <c r="E3626" s="19" t="s">
        <v>10459</v>
      </c>
      <c r="F3626" s="21" t="str">
        <f t="shared" si="594"/>
        <v>VERIFICAR</v>
      </c>
      <c r="G3626" s="21" t="str">
        <f t="shared" si="594"/>
        <v>VERIFICAR</v>
      </c>
      <c r="H3626" s="21" t="str">
        <f t="shared" si="594"/>
        <v>VERIFICAR</v>
      </c>
      <c r="I3626" s="24" t="str">
        <f t="shared" si="595"/>
        <v xml:space="preserve">SEM VALOR</v>
      </c>
      <c r="L3626" s="36"/>
      <c r="M3626" s="37"/>
      <c r="N3626" s="36"/>
    </row>
    <row r="3627" ht="38.25">
      <c r="A3627" s="19" t="s">
        <v>10460</v>
      </c>
      <c r="B3627" s="19">
        <v>39756</v>
      </c>
      <c r="C3627" s="20" t="s">
        <v>14094</v>
      </c>
      <c r="D3627" s="19" t="s">
        <v>31</v>
      </c>
      <c r="E3627" s="19" t="s">
        <v>10459</v>
      </c>
      <c r="F3627" s="21" t="str">
        <f t="shared" si="594"/>
        <v>VERIFICAR</v>
      </c>
      <c r="G3627" s="21" t="str">
        <f t="shared" si="594"/>
        <v>VERIFICAR</v>
      </c>
      <c r="H3627" s="21" t="str">
        <f t="shared" si="594"/>
        <v>VERIFICAR</v>
      </c>
      <c r="I3627" s="24" t="str">
        <f t="shared" si="595"/>
        <v xml:space="preserve">SEM VALOR</v>
      </c>
      <c r="L3627" s="36"/>
      <c r="M3627" s="37"/>
      <c r="N3627" s="36"/>
    </row>
    <row r="3628" ht="38.25">
      <c r="A3628" s="19" t="s">
        <v>10460</v>
      </c>
      <c r="B3628" s="19">
        <v>12038</v>
      </c>
      <c r="C3628" s="20" t="s">
        <v>14095</v>
      </c>
      <c r="D3628" s="19" t="s">
        <v>31</v>
      </c>
      <c r="E3628" s="19" t="s">
        <v>10459</v>
      </c>
      <c r="F3628" s="21" t="str">
        <f t="shared" si="594"/>
        <v>VERIFICAR</v>
      </c>
      <c r="G3628" s="21" t="str">
        <f t="shared" si="594"/>
        <v>VERIFICAR</v>
      </c>
      <c r="H3628" s="21" t="str">
        <f t="shared" si="594"/>
        <v>VERIFICAR</v>
      </c>
      <c r="I3628" s="24" t="str">
        <f t="shared" si="595"/>
        <v xml:space="preserve">SEM VALOR</v>
      </c>
      <c r="L3628" s="36"/>
      <c r="M3628" s="37"/>
      <c r="N3628" s="36"/>
    </row>
    <row r="3629" ht="38.25">
      <c r="A3629" s="19" t="s">
        <v>10460</v>
      </c>
      <c r="B3629" s="19">
        <v>39757</v>
      </c>
      <c r="C3629" s="20" t="s">
        <v>14096</v>
      </c>
      <c r="D3629" s="19" t="s">
        <v>31</v>
      </c>
      <c r="E3629" s="19" t="s">
        <v>10459</v>
      </c>
      <c r="F3629" s="21" t="str">
        <f t="shared" si="594"/>
        <v>VERIFICAR</v>
      </c>
      <c r="G3629" s="21" t="str">
        <f t="shared" si="594"/>
        <v>VERIFICAR</v>
      </c>
      <c r="H3629" s="21" t="str">
        <f t="shared" si="594"/>
        <v>VERIFICAR</v>
      </c>
      <c r="I3629" s="24" t="str">
        <f t="shared" si="595"/>
        <v xml:space="preserve">SEM VALOR</v>
      </c>
      <c r="L3629" s="36"/>
      <c r="M3629" s="37"/>
      <c r="N3629" s="36"/>
    </row>
    <row r="3630" ht="38.25">
      <c r="A3630" s="19" t="s">
        <v>10460</v>
      </c>
      <c r="B3630" s="19">
        <v>39758</v>
      </c>
      <c r="C3630" s="20" t="s">
        <v>14097</v>
      </c>
      <c r="D3630" s="19" t="s">
        <v>31</v>
      </c>
      <c r="E3630" s="19" t="s">
        <v>10459</v>
      </c>
      <c r="F3630" s="21" t="str">
        <f t="shared" si="594"/>
        <v>VERIFICAR</v>
      </c>
      <c r="G3630" s="21" t="str">
        <f t="shared" si="594"/>
        <v>VERIFICAR</v>
      </c>
      <c r="H3630" s="21" t="str">
        <f t="shared" si="594"/>
        <v>VERIFICAR</v>
      </c>
      <c r="I3630" s="24" t="str">
        <f t="shared" si="595"/>
        <v xml:space="preserve">SEM VALOR</v>
      </c>
      <c r="L3630" s="36"/>
      <c r="M3630" s="37"/>
      <c r="N3630" s="36"/>
    </row>
    <row r="3631" ht="38.25">
      <c r="A3631" s="19" t="s">
        <v>10460</v>
      </c>
      <c r="B3631" s="19">
        <v>39759</v>
      </c>
      <c r="C3631" s="20" t="s">
        <v>14098</v>
      </c>
      <c r="D3631" s="19" t="s">
        <v>31</v>
      </c>
      <c r="E3631" s="19" t="s">
        <v>10459</v>
      </c>
      <c r="F3631" s="21" t="str">
        <f t="shared" si="594"/>
        <v>VERIFICAR</v>
      </c>
      <c r="G3631" s="21" t="str">
        <f t="shared" si="594"/>
        <v>VERIFICAR</v>
      </c>
      <c r="H3631" s="21" t="str">
        <f t="shared" si="594"/>
        <v>VERIFICAR</v>
      </c>
      <c r="I3631" s="24" t="str">
        <f t="shared" si="595"/>
        <v xml:space="preserve">SEM VALOR</v>
      </c>
      <c r="L3631" s="36"/>
      <c r="M3631" s="37"/>
      <c r="N3631" s="36"/>
    </row>
    <row r="3632" ht="38.25">
      <c r="A3632" s="19" t="s">
        <v>10460</v>
      </c>
      <c r="B3632" s="19">
        <v>39761</v>
      </c>
      <c r="C3632" s="20" t="s">
        <v>14099</v>
      </c>
      <c r="D3632" s="19" t="s">
        <v>31</v>
      </c>
      <c r="E3632" s="19" t="s">
        <v>10459</v>
      </c>
      <c r="F3632" s="21" t="str">
        <f t="shared" si="594"/>
        <v>VERIFICAR</v>
      </c>
      <c r="G3632" s="21" t="str">
        <f t="shared" si="594"/>
        <v>VERIFICAR</v>
      </c>
      <c r="H3632" s="21" t="str">
        <f t="shared" si="594"/>
        <v>VERIFICAR</v>
      </c>
      <c r="I3632" s="24" t="str">
        <f t="shared" si="595"/>
        <v xml:space="preserve">SEM VALOR</v>
      </c>
      <c r="L3632" s="36"/>
      <c r="M3632" s="37"/>
      <c r="N3632" s="36"/>
    </row>
    <row r="3633" ht="38.25">
      <c r="A3633" s="19" t="s">
        <v>10460</v>
      </c>
      <c r="B3633" s="19">
        <v>39805</v>
      </c>
      <c r="C3633" s="20" t="s">
        <v>14100</v>
      </c>
      <c r="D3633" s="19" t="s">
        <v>31</v>
      </c>
      <c r="E3633" s="19" t="s">
        <v>10459</v>
      </c>
      <c r="F3633" s="21">
        <f t="shared" si="594"/>
        <v>147.22999999999999</v>
      </c>
      <c r="G3633" s="21">
        <f t="shared" si="594"/>
        <v>147.22999999999999</v>
      </c>
      <c r="H3633" s="21">
        <f t="shared" si="594"/>
        <v>147.22999999999999</v>
      </c>
      <c r="I3633" s="24" t="str">
        <f t="shared" si="595"/>
        <v xml:space="preserve">COM VALOR</v>
      </c>
      <c r="L3633" s="36">
        <v>147.22999999999999</v>
      </c>
      <c r="M3633" s="37">
        <v>147.22999999999999</v>
      </c>
      <c r="N3633" s="36">
        <v>147.22999999999999</v>
      </c>
    </row>
    <row r="3634" ht="38.25">
      <c r="A3634" s="19" t="s">
        <v>10460</v>
      </c>
      <c r="B3634" s="19">
        <v>39806</v>
      </c>
      <c r="C3634" s="20" t="s">
        <v>14101</v>
      </c>
      <c r="D3634" s="19" t="s">
        <v>31</v>
      </c>
      <c r="E3634" s="19" t="s">
        <v>10459</v>
      </c>
      <c r="F3634" s="21">
        <f t="shared" si="594"/>
        <v>272.79000000000002</v>
      </c>
      <c r="G3634" s="21">
        <f t="shared" si="594"/>
        <v>272.79000000000002</v>
      </c>
      <c r="H3634" s="21">
        <f t="shared" si="594"/>
        <v>272.79000000000002</v>
      </c>
      <c r="I3634" s="24" t="str">
        <f t="shared" si="595"/>
        <v xml:space="preserve">COM VALOR</v>
      </c>
      <c r="L3634" s="36">
        <v>272.79000000000002</v>
      </c>
      <c r="M3634" s="37">
        <v>272.79000000000002</v>
      </c>
      <c r="N3634" s="36">
        <v>272.79000000000002</v>
      </c>
    </row>
    <row r="3635" ht="38.25">
      <c r="A3635" s="19" t="s">
        <v>10460</v>
      </c>
      <c r="B3635" s="19">
        <v>39807</v>
      </c>
      <c r="C3635" s="20" t="s">
        <v>14102</v>
      </c>
      <c r="D3635" s="19" t="s">
        <v>31</v>
      </c>
      <c r="E3635" s="19" t="s">
        <v>10459</v>
      </c>
      <c r="F3635" s="21">
        <f t="shared" si="594"/>
        <v>591.19000000000005</v>
      </c>
      <c r="G3635" s="21">
        <f t="shared" si="594"/>
        <v>591.19000000000005</v>
      </c>
      <c r="H3635" s="21">
        <f t="shared" si="594"/>
        <v>591.19000000000005</v>
      </c>
      <c r="I3635" s="24" t="str">
        <f t="shared" si="595"/>
        <v xml:space="preserve">COM VALOR</v>
      </c>
      <c r="L3635" s="36">
        <v>591.19000000000005</v>
      </c>
      <c r="M3635" s="37">
        <v>591.19000000000005</v>
      </c>
      <c r="N3635" s="36">
        <v>591.19000000000005</v>
      </c>
    </row>
    <row r="3636" ht="25.5">
      <c r="A3636" s="19" t="s">
        <v>10460</v>
      </c>
      <c r="B3636" s="19">
        <v>43100</v>
      </c>
      <c r="C3636" s="20" t="s">
        <v>14103</v>
      </c>
      <c r="D3636" s="19" t="s">
        <v>31</v>
      </c>
      <c r="E3636" s="19" t="s">
        <v>10459</v>
      </c>
      <c r="F3636" s="21">
        <f t="shared" si="594"/>
        <v>462.19</v>
      </c>
      <c r="G3636" s="21">
        <f t="shared" si="594"/>
        <v>462.19</v>
      </c>
      <c r="H3636" s="21">
        <f t="shared" si="594"/>
        <v>462.19</v>
      </c>
      <c r="I3636" s="24" t="str">
        <f t="shared" si="595"/>
        <v xml:space="preserve">COM VALOR</v>
      </c>
      <c r="L3636" s="36">
        <v>462.19</v>
      </c>
      <c r="M3636" s="37">
        <v>462.19</v>
      </c>
      <c r="N3636" s="36">
        <v>462.19</v>
      </c>
    </row>
    <row r="3637" ht="38.25">
      <c r="A3637" s="19" t="s">
        <v>10460</v>
      </c>
      <c r="B3637" s="19">
        <v>39804</v>
      </c>
      <c r="C3637" s="20" t="s">
        <v>14104</v>
      </c>
      <c r="D3637" s="19" t="s">
        <v>31</v>
      </c>
      <c r="E3637" s="19" t="s">
        <v>10459</v>
      </c>
      <c r="F3637" s="21">
        <f t="shared" si="594"/>
        <v>86.450000000000003</v>
      </c>
      <c r="G3637" s="21">
        <f t="shared" si="594"/>
        <v>86.450000000000003</v>
      </c>
      <c r="H3637" s="21">
        <f t="shared" si="594"/>
        <v>86.450000000000003</v>
      </c>
      <c r="I3637" s="24" t="str">
        <f t="shared" si="595"/>
        <v xml:space="preserve">COM VALOR</v>
      </c>
      <c r="L3637" s="36">
        <v>86.450000000000003</v>
      </c>
      <c r="M3637" s="37">
        <v>86.450000000000003</v>
      </c>
      <c r="N3637" s="36">
        <v>86.450000000000003</v>
      </c>
    </row>
    <row r="3638" ht="38.25">
      <c r="A3638" s="19" t="s">
        <v>10460</v>
      </c>
      <c r="B3638" s="19">
        <v>39796</v>
      </c>
      <c r="C3638" s="20" t="s">
        <v>14105</v>
      </c>
      <c r="D3638" s="19" t="s">
        <v>31</v>
      </c>
      <c r="E3638" s="19" t="s">
        <v>10459</v>
      </c>
      <c r="F3638" s="21">
        <f t="shared" si="594"/>
        <v>89.549999999999997</v>
      </c>
      <c r="G3638" s="21">
        <f t="shared" si="594"/>
        <v>89.549999999999997</v>
      </c>
      <c r="H3638" s="21">
        <f t="shared" si="594"/>
        <v>89.549999999999997</v>
      </c>
      <c r="I3638" s="24" t="str">
        <f t="shared" si="595"/>
        <v xml:space="preserve">COM VALOR</v>
      </c>
      <c r="L3638" s="36">
        <v>89.549999999999997</v>
      </c>
      <c r="M3638" s="37">
        <v>89.549999999999997</v>
      </c>
      <c r="N3638" s="36">
        <v>89.549999999999997</v>
      </c>
    </row>
    <row r="3639" ht="38.25">
      <c r="A3639" s="19" t="s">
        <v>10460</v>
      </c>
      <c r="B3639" s="19">
        <v>39797</v>
      </c>
      <c r="C3639" s="20" t="s">
        <v>14106</v>
      </c>
      <c r="D3639" s="19" t="s">
        <v>31</v>
      </c>
      <c r="E3639" s="19" t="s">
        <v>10466</v>
      </c>
      <c r="F3639" s="21">
        <f t="shared" si="594"/>
        <v>140.56999999999999</v>
      </c>
      <c r="G3639" s="21">
        <f t="shared" si="594"/>
        <v>140.56999999999999</v>
      </c>
      <c r="H3639" s="21">
        <f t="shared" si="594"/>
        <v>140.56999999999999</v>
      </c>
      <c r="I3639" s="24" t="str">
        <f t="shared" si="595"/>
        <v xml:space="preserve">COM VALOR</v>
      </c>
      <c r="L3639" s="36">
        <v>140.56999999999999</v>
      </c>
      <c r="M3639" s="37">
        <v>140.56999999999999</v>
      </c>
      <c r="N3639" s="36">
        <v>140.56999999999999</v>
      </c>
    </row>
    <row r="3640" ht="38.25">
      <c r="A3640" s="19" t="s">
        <v>10460</v>
      </c>
      <c r="B3640" s="19">
        <v>39798</v>
      </c>
      <c r="C3640" s="20" t="s">
        <v>14107</v>
      </c>
      <c r="D3640" s="19" t="s">
        <v>31</v>
      </c>
      <c r="E3640" s="19" t="s">
        <v>10459</v>
      </c>
      <c r="F3640" s="21">
        <f t="shared" si="594"/>
        <v>241.12</v>
      </c>
      <c r="G3640" s="21">
        <f t="shared" si="594"/>
        <v>241.12</v>
      </c>
      <c r="H3640" s="21">
        <f t="shared" si="594"/>
        <v>241.12</v>
      </c>
      <c r="I3640" s="24" t="str">
        <f t="shared" si="595"/>
        <v xml:space="preserve">COM VALOR</v>
      </c>
      <c r="L3640" s="36">
        <v>241.12</v>
      </c>
      <c r="M3640" s="37">
        <v>241.12</v>
      </c>
      <c r="N3640" s="36">
        <v>241.12</v>
      </c>
    </row>
    <row r="3641" ht="25.5">
      <c r="A3641" s="19" t="s">
        <v>10460</v>
      </c>
      <c r="B3641" s="19">
        <v>39794</v>
      </c>
      <c r="C3641" s="20" t="s">
        <v>14108</v>
      </c>
      <c r="D3641" s="19" t="s">
        <v>31</v>
      </c>
      <c r="E3641" s="19" t="s">
        <v>10459</v>
      </c>
      <c r="F3641" s="21">
        <f t="shared" si="594"/>
        <v>38.009999999999998</v>
      </c>
      <c r="G3641" s="21">
        <f t="shared" si="594"/>
        <v>38.009999999999998</v>
      </c>
      <c r="H3641" s="21">
        <f t="shared" si="594"/>
        <v>38.009999999999998</v>
      </c>
      <c r="I3641" s="24" t="str">
        <f t="shared" si="595"/>
        <v xml:space="preserve">COM VALOR</v>
      </c>
      <c r="L3641" s="36">
        <v>38.009999999999998</v>
      </c>
      <c r="M3641" s="37">
        <v>38.009999999999998</v>
      </c>
      <c r="N3641" s="36">
        <v>38.009999999999998</v>
      </c>
    </row>
    <row r="3642" ht="25.5">
      <c r="A3642" s="19" t="s">
        <v>10460</v>
      </c>
      <c r="B3642" s="19">
        <v>39795</v>
      </c>
      <c r="C3642" s="20" t="s">
        <v>14109</v>
      </c>
      <c r="D3642" s="19" t="s">
        <v>31</v>
      </c>
      <c r="E3642" s="19" t="s">
        <v>10459</v>
      </c>
      <c r="F3642" s="21">
        <f t="shared" si="594"/>
        <v>60.049999999999997</v>
      </c>
      <c r="G3642" s="21">
        <f t="shared" si="594"/>
        <v>60.049999999999997</v>
      </c>
      <c r="H3642" s="21">
        <f t="shared" si="594"/>
        <v>60.049999999999997</v>
      </c>
      <c r="I3642" s="24" t="str">
        <f t="shared" si="595"/>
        <v xml:space="preserve">COM VALOR</v>
      </c>
      <c r="L3642" s="36">
        <v>60.049999999999997</v>
      </c>
      <c r="M3642" s="37">
        <v>60.049999999999997</v>
      </c>
      <c r="N3642" s="36">
        <v>60.049999999999997</v>
      </c>
    </row>
    <row r="3643" ht="38.25">
      <c r="A3643" s="19" t="s">
        <v>10460</v>
      </c>
      <c r="B3643" s="19">
        <v>39801</v>
      </c>
      <c r="C3643" s="20" t="s">
        <v>14110</v>
      </c>
      <c r="D3643" s="19" t="s">
        <v>31</v>
      </c>
      <c r="E3643" s="19" t="s">
        <v>10459</v>
      </c>
      <c r="F3643" s="21">
        <f t="shared" si="594"/>
        <v>126.8</v>
      </c>
      <c r="G3643" s="21">
        <f t="shared" si="594"/>
        <v>126.8</v>
      </c>
      <c r="H3643" s="21">
        <f t="shared" si="594"/>
        <v>126.8</v>
      </c>
      <c r="I3643" s="24" t="str">
        <f t="shared" si="595"/>
        <v xml:space="preserve">COM VALOR</v>
      </c>
      <c r="L3643" s="36">
        <v>126.8</v>
      </c>
      <c r="M3643" s="37">
        <v>126.8</v>
      </c>
      <c r="N3643" s="36">
        <v>126.8</v>
      </c>
    </row>
    <row r="3644" ht="38.25">
      <c r="A3644" s="19" t="s">
        <v>10460</v>
      </c>
      <c r="B3644" s="19">
        <v>39802</v>
      </c>
      <c r="C3644" s="20" t="s">
        <v>14111</v>
      </c>
      <c r="D3644" s="19" t="s">
        <v>31</v>
      </c>
      <c r="E3644" s="19" t="s">
        <v>10459</v>
      </c>
      <c r="F3644" s="21">
        <f t="shared" si="594"/>
        <v>185.87</v>
      </c>
      <c r="G3644" s="21">
        <f t="shared" si="594"/>
        <v>185.87</v>
      </c>
      <c r="H3644" s="21">
        <f t="shared" si="594"/>
        <v>185.87</v>
      </c>
      <c r="I3644" s="24" t="str">
        <f t="shared" si="595"/>
        <v xml:space="preserve">COM VALOR</v>
      </c>
      <c r="L3644" s="36">
        <v>185.87</v>
      </c>
      <c r="M3644" s="37">
        <v>185.87</v>
      </c>
      <c r="N3644" s="36">
        <v>185.87</v>
      </c>
    </row>
    <row r="3645" ht="38.25">
      <c r="A3645" s="19" t="s">
        <v>10460</v>
      </c>
      <c r="B3645" s="19">
        <v>39803</v>
      </c>
      <c r="C3645" s="20" t="s">
        <v>14112</v>
      </c>
      <c r="D3645" s="19" t="s">
        <v>31</v>
      </c>
      <c r="E3645" s="19" t="s">
        <v>10459</v>
      </c>
      <c r="F3645" s="21">
        <f t="shared" si="594"/>
        <v>259.29000000000002</v>
      </c>
      <c r="G3645" s="21">
        <f t="shared" si="594"/>
        <v>259.29000000000002</v>
      </c>
      <c r="H3645" s="21">
        <f t="shared" si="594"/>
        <v>259.29000000000002</v>
      </c>
      <c r="I3645" s="24" t="str">
        <f t="shared" si="595"/>
        <v xml:space="preserve">COM VALOR</v>
      </c>
      <c r="L3645" s="36">
        <v>259.29000000000002</v>
      </c>
      <c r="M3645" s="37">
        <v>259.29000000000002</v>
      </c>
      <c r="N3645" s="36">
        <v>259.29000000000002</v>
      </c>
    </row>
    <row r="3646" ht="38.25">
      <c r="A3646" s="19" t="s">
        <v>10460</v>
      </c>
      <c r="B3646" s="19">
        <v>39799</v>
      </c>
      <c r="C3646" s="20" t="s">
        <v>14113</v>
      </c>
      <c r="D3646" s="19" t="s">
        <v>31</v>
      </c>
      <c r="E3646" s="19" t="s">
        <v>10459</v>
      </c>
      <c r="F3646" s="21">
        <f t="shared" si="594"/>
        <v>44.299999999999997</v>
      </c>
      <c r="G3646" s="21">
        <f t="shared" si="594"/>
        <v>44.299999999999997</v>
      </c>
      <c r="H3646" s="21">
        <f t="shared" si="594"/>
        <v>44.299999999999997</v>
      </c>
      <c r="I3646" s="24" t="str">
        <f t="shared" si="595"/>
        <v xml:space="preserve">COM VALOR</v>
      </c>
      <c r="L3646" s="36">
        <v>44.299999999999997</v>
      </c>
      <c r="M3646" s="37">
        <v>44.299999999999997</v>
      </c>
      <c r="N3646" s="36">
        <v>44.299999999999997</v>
      </c>
    </row>
    <row r="3647" ht="38.25">
      <c r="A3647" s="19" t="s">
        <v>10460</v>
      </c>
      <c r="B3647" s="19">
        <v>39800</v>
      </c>
      <c r="C3647" s="20" t="s">
        <v>14114</v>
      </c>
      <c r="D3647" s="19" t="s">
        <v>31</v>
      </c>
      <c r="E3647" s="19" t="s">
        <v>10459</v>
      </c>
      <c r="F3647" s="21">
        <f t="shared" si="594"/>
        <v>75.469999999999999</v>
      </c>
      <c r="G3647" s="21">
        <f t="shared" si="594"/>
        <v>75.469999999999999</v>
      </c>
      <c r="H3647" s="21">
        <f t="shared" si="594"/>
        <v>75.469999999999999</v>
      </c>
      <c r="I3647" s="24" t="str">
        <f t="shared" si="595"/>
        <v xml:space="preserve">COM VALOR</v>
      </c>
      <c r="L3647" s="36">
        <v>75.469999999999999</v>
      </c>
      <c r="M3647" s="37">
        <v>75.469999999999999</v>
      </c>
      <c r="N3647" s="36">
        <v>75.469999999999999</v>
      </c>
    </row>
    <row r="3648" ht="25.5">
      <c r="A3648" s="19" t="s">
        <v>10460</v>
      </c>
      <c r="B3648" s="19">
        <v>43837</v>
      </c>
      <c r="C3648" s="20" t="s">
        <v>14115</v>
      </c>
      <c r="D3648" s="19" t="s">
        <v>31</v>
      </c>
      <c r="E3648" s="19" t="s">
        <v>10459</v>
      </c>
      <c r="F3648" s="21">
        <f t="shared" si="594"/>
        <v>1479.73</v>
      </c>
      <c r="G3648" s="21">
        <f t="shared" si="594"/>
        <v>1479.73</v>
      </c>
      <c r="H3648" s="21">
        <f t="shared" si="594"/>
        <v>1479.73</v>
      </c>
      <c r="I3648" s="24" t="str">
        <f t="shared" si="595"/>
        <v xml:space="preserve">COM VALOR</v>
      </c>
      <c r="L3648" s="36">
        <v>1479.73</v>
      </c>
      <c r="M3648" s="37">
        <v>1479.73</v>
      </c>
      <c r="N3648" s="36">
        <v>1479.73</v>
      </c>
    </row>
    <row r="3649" ht="25.5">
      <c r="A3649" s="19" t="s">
        <v>10460</v>
      </c>
      <c r="B3649" s="19">
        <v>43836</v>
      </c>
      <c r="C3649" s="20" t="s">
        <v>14116</v>
      </c>
      <c r="D3649" s="19" t="s">
        <v>31</v>
      </c>
      <c r="E3649" s="19" t="s">
        <v>10459</v>
      </c>
      <c r="F3649" s="21">
        <f t="shared" si="594"/>
        <v>3010.9899999999998</v>
      </c>
      <c r="G3649" s="21">
        <f t="shared" si="594"/>
        <v>3010.9899999999998</v>
      </c>
      <c r="H3649" s="21">
        <f t="shared" si="594"/>
        <v>3010.9899999999998</v>
      </c>
      <c r="I3649" s="24" t="str">
        <f t="shared" si="595"/>
        <v xml:space="preserve">COM VALOR</v>
      </c>
      <c r="L3649" s="36">
        <v>3010.9899999999998</v>
      </c>
      <c r="M3649" s="37">
        <v>3010.9899999999998</v>
      </c>
      <c r="N3649" s="36">
        <v>3010.9899999999998</v>
      </c>
    </row>
    <row r="3650" ht="12.75">
      <c r="A3650" s="19" t="s">
        <v>10460</v>
      </c>
      <c r="B3650" s="19">
        <v>21059</v>
      </c>
      <c r="C3650" s="20" t="s">
        <v>14117</v>
      </c>
      <c r="D3650" s="19" t="s">
        <v>31</v>
      </c>
      <c r="E3650" s="19" t="s">
        <v>10459</v>
      </c>
      <c r="F3650" s="21" t="str">
        <f t="shared" si="594"/>
        <v>VERIFICAR</v>
      </c>
      <c r="G3650" s="21" t="str">
        <f t="shared" si="594"/>
        <v>VERIFICAR</v>
      </c>
      <c r="H3650" s="21" t="str">
        <f t="shared" si="594"/>
        <v>VERIFICAR</v>
      </c>
      <c r="I3650" s="24" t="str">
        <f t="shared" si="595"/>
        <v xml:space="preserve">SEM VALOR</v>
      </c>
      <c r="L3650" s="36"/>
      <c r="M3650" s="37"/>
      <c r="N3650" s="36"/>
    </row>
    <row r="3651" ht="12.75">
      <c r="A3651" s="19" t="s">
        <v>10460</v>
      </c>
      <c r="B3651" s="19">
        <v>11234</v>
      </c>
      <c r="C3651" s="20" t="s">
        <v>14118</v>
      </c>
      <c r="D3651" s="19" t="s">
        <v>31</v>
      </c>
      <c r="E3651" s="19" t="s">
        <v>10459</v>
      </c>
      <c r="F3651" s="21" t="str">
        <f t="shared" si="594"/>
        <v>VERIFICAR</v>
      </c>
      <c r="G3651" s="21" t="str">
        <f t="shared" si="594"/>
        <v>VERIFICAR</v>
      </c>
      <c r="H3651" s="21" t="str">
        <f t="shared" si="594"/>
        <v>VERIFICAR</v>
      </c>
      <c r="I3651" s="24" t="str">
        <f t="shared" si="595"/>
        <v xml:space="preserve">SEM VALOR</v>
      </c>
      <c r="L3651" s="36"/>
      <c r="M3651" s="37"/>
      <c r="N3651" s="36"/>
    </row>
    <row r="3652" ht="12.75">
      <c r="A3652" s="19" t="s">
        <v>10460</v>
      </c>
      <c r="B3652" s="19">
        <v>21060</v>
      </c>
      <c r="C3652" s="20" t="s">
        <v>14119</v>
      </c>
      <c r="D3652" s="19" t="s">
        <v>31</v>
      </c>
      <c r="E3652" s="19" t="s">
        <v>10459</v>
      </c>
      <c r="F3652" s="21" t="str">
        <f t="shared" si="594"/>
        <v>VERIFICAR</v>
      </c>
      <c r="G3652" s="21" t="str">
        <f t="shared" si="594"/>
        <v>VERIFICAR</v>
      </c>
      <c r="H3652" s="21" t="str">
        <f t="shared" si="594"/>
        <v>VERIFICAR</v>
      </c>
      <c r="I3652" s="24" t="str">
        <f t="shared" si="595"/>
        <v xml:space="preserve">SEM VALOR</v>
      </c>
      <c r="L3652" s="36"/>
      <c r="M3652" s="37"/>
      <c r="N3652" s="36"/>
    </row>
    <row r="3653" ht="12.75">
      <c r="A3653" s="19" t="s">
        <v>10460</v>
      </c>
      <c r="B3653" s="19">
        <v>21061</v>
      </c>
      <c r="C3653" s="20" t="s">
        <v>14120</v>
      </c>
      <c r="D3653" s="19" t="s">
        <v>31</v>
      </c>
      <c r="E3653" s="19" t="s">
        <v>10459</v>
      </c>
      <c r="F3653" s="21" t="str">
        <f t="shared" si="594"/>
        <v>VERIFICAR</v>
      </c>
      <c r="G3653" s="21" t="str">
        <f t="shared" si="594"/>
        <v>VERIFICAR</v>
      </c>
      <c r="H3653" s="21" t="str">
        <f t="shared" si="594"/>
        <v>VERIFICAR</v>
      </c>
      <c r="I3653" s="24" t="str">
        <f t="shared" si="595"/>
        <v xml:space="preserve">SEM VALOR</v>
      </c>
      <c r="L3653" s="36"/>
      <c r="M3653" s="37"/>
      <c r="N3653" s="36"/>
    </row>
    <row r="3654" ht="12.75">
      <c r="A3654" s="19" t="s">
        <v>10460</v>
      </c>
      <c r="B3654" s="19">
        <v>21062</v>
      </c>
      <c r="C3654" s="20" t="s">
        <v>14121</v>
      </c>
      <c r="D3654" s="19" t="s">
        <v>31</v>
      </c>
      <c r="E3654" s="19" t="s">
        <v>10459</v>
      </c>
      <c r="F3654" s="21" t="str">
        <f t="shared" si="594"/>
        <v>VERIFICAR</v>
      </c>
      <c r="G3654" s="21" t="str">
        <f t="shared" si="594"/>
        <v>VERIFICAR</v>
      </c>
      <c r="H3654" s="21" t="str">
        <f t="shared" si="594"/>
        <v>VERIFICAR</v>
      </c>
      <c r="I3654" s="24" t="str">
        <f t="shared" si="595"/>
        <v xml:space="preserve">SEM VALOR</v>
      </c>
      <c r="L3654" s="36"/>
      <c r="M3654" s="37"/>
      <c r="N3654" s="36"/>
    </row>
    <row r="3655" ht="12.75">
      <c r="A3655" s="19" t="s">
        <v>10460</v>
      </c>
      <c r="B3655" s="19">
        <v>11708</v>
      </c>
      <c r="C3655" s="20" t="s">
        <v>14122</v>
      </c>
      <c r="D3655" s="19" t="s">
        <v>31</v>
      </c>
      <c r="E3655" s="19" t="s">
        <v>10459</v>
      </c>
      <c r="F3655" s="21" t="str">
        <f t="shared" si="594"/>
        <v>VERIFICAR</v>
      </c>
      <c r="G3655" s="21" t="str">
        <f t="shared" si="594"/>
        <v>VERIFICAR</v>
      </c>
      <c r="H3655" s="21" t="str">
        <f t="shared" si="594"/>
        <v>VERIFICAR</v>
      </c>
      <c r="I3655" s="24" t="str">
        <f t="shared" si="595"/>
        <v xml:space="preserve">SEM VALOR</v>
      </c>
      <c r="L3655" s="36"/>
      <c r="M3655" s="37"/>
      <c r="N3655" s="36"/>
    </row>
    <row r="3656" ht="12.75">
      <c r="A3656" s="19" t="s">
        <v>10460</v>
      </c>
      <c r="B3656" s="19">
        <v>11709</v>
      </c>
      <c r="C3656" s="20" t="s">
        <v>14123</v>
      </c>
      <c r="D3656" s="19" t="s">
        <v>31</v>
      </c>
      <c r="E3656" s="19" t="s">
        <v>10459</v>
      </c>
      <c r="F3656" s="21" t="str">
        <f t="shared" si="594"/>
        <v>VERIFICAR</v>
      </c>
      <c r="G3656" s="21" t="str">
        <f t="shared" si="594"/>
        <v>VERIFICAR</v>
      </c>
      <c r="H3656" s="21" t="str">
        <f t="shared" si="594"/>
        <v>VERIFICAR</v>
      </c>
      <c r="I3656" s="24" t="str">
        <f t="shared" si="595"/>
        <v xml:space="preserve">SEM VALOR</v>
      </c>
      <c r="L3656" s="36"/>
      <c r="M3656" s="37"/>
      <c r="N3656" s="36"/>
    </row>
    <row r="3657" ht="12.75">
      <c r="A3657" s="19" t="s">
        <v>10460</v>
      </c>
      <c r="B3657" s="19">
        <v>11710</v>
      </c>
      <c r="C3657" s="20" t="s">
        <v>14124</v>
      </c>
      <c r="D3657" s="19" t="s">
        <v>31</v>
      </c>
      <c r="E3657" s="19" t="s">
        <v>10459</v>
      </c>
      <c r="F3657" s="21" t="str">
        <f t="shared" si="594"/>
        <v>VERIFICAR</v>
      </c>
      <c r="G3657" s="21" t="str">
        <f t="shared" si="594"/>
        <v>VERIFICAR</v>
      </c>
      <c r="H3657" s="21" t="str">
        <f t="shared" si="594"/>
        <v>VERIFICAR</v>
      </c>
      <c r="I3657" s="24" t="str">
        <f t="shared" si="595"/>
        <v xml:space="preserve">SEM VALOR</v>
      </c>
      <c r="L3657" s="36"/>
      <c r="M3657" s="37"/>
      <c r="N3657" s="36"/>
    </row>
    <row r="3658" ht="12.75">
      <c r="A3658" s="19" t="s">
        <v>10460</v>
      </c>
      <c r="B3658" s="19">
        <v>11707</v>
      </c>
      <c r="C3658" s="20" t="s">
        <v>14125</v>
      </c>
      <c r="D3658" s="19" t="s">
        <v>31</v>
      </c>
      <c r="E3658" s="19" t="s">
        <v>10459</v>
      </c>
      <c r="F3658" s="21" t="str">
        <f t="shared" si="594"/>
        <v>VERIFICAR</v>
      </c>
      <c r="G3658" s="21" t="str">
        <f t="shared" si="594"/>
        <v>VERIFICAR</v>
      </c>
      <c r="H3658" s="21" t="str">
        <f t="shared" si="594"/>
        <v>VERIFICAR</v>
      </c>
      <c r="I3658" s="24" t="str">
        <f t="shared" si="595"/>
        <v xml:space="preserve">SEM VALOR</v>
      </c>
      <c r="L3658" s="36"/>
      <c r="M3658" s="37"/>
      <c r="N3658" s="36"/>
    </row>
    <row r="3659" ht="25.5">
      <c r="A3659" s="19" t="s">
        <v>10460</v>
      </c>
      <c r="B3659" s="19">
        <v>5102</v>
      </c>
      <c r="C3659" s="20" t="s">
        <v>14126</v>
      </c>
      <c r="D3659" s="19" t="s">
        <v>31</v>
      </c>
      <c r="E3659" s="19" t="s">
        <v>10459</v>
      </c>
      <c r="F3659" s="21">
        <f t="shared" ref="F3659:H3722" si="596">IF(L3659=0,"VERIFICAR",L3659)</f>
        <v>14.619999999999999</v>
      </c>
      <c r="G3659" s="21">
        <f t="shared" si="596"/>
        <v>14.619999999999999</v>
      </c>
      <c r="H3659" s="21">
        <f t="shared" si="596"/>
        <v>14.619999999999999</v>
      </c>
      <c r="I3659" s="24" t="str">
        <f t="shared" ref="I3659:I3722" si="597">IF(OR(L3659=0,M3659=0,N3659=0),"SEM VALOR","COM VALOR")</f>
        <v xml:space="preserve">COM VALOR</v>
      </c>
      <c r="L3659" s="36">
        <v>14.619999999999999</v>
      </c>
      <c r="M3659" s="37">
        <v>14.619999999999999</v>
      </c>
      <c r="N3659" s="36">
        <v>14.619999999999999</v>
      </c>
    </row>
    <row r="3660" ht="25.5">
      <c r="A3660" s="19" t="s">
        <v>10460</v>
      </c>
      <c r="B3660" s="19">
        <v>11711</v>
      </c>
      <c r="C3660" s="20" t="s">
        <v>14127</v>
      </c>
      <c r="D3660" s="19" t="s">
        <v>31</v>
      </c>
      <c r="E3660" s="19" t="s">
        <v>10459</v>
      </c>
      <c r="F3660" s="21">
        <f t="shared" si="596"/>
        <v>12.18</v>
      </c>
      <c r="G3660" s="21">
        <f t="shared" si="596"/>
        <v>12.18</v>
      </c>
      <c r="H3660" s="21">
        <f t="shared" si="596"/>
        <v>12.18</v>
      </c>
      <c r="I3660" s="24" t="str">
        <f t="shared" si="597"/>
        <v xml:space="preserve">COM VALOR</v>
      </c>
      <c r="L3660" s="36">
        <v>12.18</v>
      </c>
      <c r="M3660" s="37">
        <v>12.18</v>
      </c>
      <c r="N3660" s="36">
        <v>12.18</v>
      </c>
    </row>
    <row r="3661" ht="25.5">
      <c r="A3661" s="19" t="s">
        <v>10460</v>
      </c>
      <c r="B3661" s="19">
        <v>11739</v>
      </c>
      <c r="C3661" s="20" t="s">
        <v>14128</v>
      </c>
      <c r="D3661" s="19" t="s">
        <v>31</v>
      </c>
      <c r="E3661" s="19" t="s">
        <v>10459</v>
      </c>
      <c r="F3661" s="21">
        <f t="shared" si="596"/>
        <v>10.42</v>
      </c>
      <c r="G3661" s="21">
        <f t="shared" si="596"/>
        <v>10.42</v>
      </c>
      <c r="H3661" s="21">
        <f t="shared" si="596"/>
        <v>10.42</v>
      </c>
      <c r="I3661" s="24" t="str">
        <f t="shared" si="597"/>
        <v xml:space="preserve">COM VALOR</v>
      </c>
      <c r="L3661" s="36">
        <v>10.42</v>
      </c>
      <c r="M3661" s="37">
        <v>10.42</v>
      </c>
      <c r="N3661" s="36">
        <v>10.42</v>
      </c>
    </row>
    <row r="3662" ht="25.5">
      <c r="A3662" s="19" t="s">
        <v>10460</v>
      </c>
      <c r="B3662" s="19">
        <v>11741</v>
      </c>
      <c r="C3662" s="20" t="s">
        <v>14129</v>
      </c>
      <c r="D3662" s="19" t="s">
        <v>31</v>
      </c>
      <c r="E3662" s="19" t="s">
        <v>10459</v>
      </c>
      <c r="F3662" s="21">
        <f t="shared" si="596"/>
        <v>13.27</v>
      </c>
      <c r="G3662" s="21">
        <f t="shared" si="596"/>
        <v>13.27</v>
      </c>
      <c r="H3662" s="21">
        <f t="shared" si="596"/>
        <v>13.27</v>
      </c>
      <c r="I3662" s="24" t="str">
        <f t="shared" si="597"/>
        <v xml:space="preserve">COM VALOR</v>
      </c>
      <c r="L3662" s="36">
        <v>13.27</v>
      </c>
      <c r="M3662" s="37">
        <v>13.27</v>
      </c>
      <c r="N3662" s="36">
        <v>13.27</v>
      </c>
    </row>
    <row r="3663" ht="25.5">
      <c r="A3663" s="19" t="s">
        <v>10460</v>
      </c>
      <c r="B3663" s="19">
        <v>11745</v>
      </c>
      <c r="C3663" s="20" t="s">
        <v>14130</v>
      </c>
      <c r="D3663" s="19" t="s">
        <v>31</v>
      </c>
      <c r="E3663" s="19" t="s">
        <v>10459</v>
      </c>
      <c r="F3663" s="21">
        <f t="shared" si="596"/>
        <v>17.48</v>
      </c>
      <c r="G3663" s="21">
        <f t="shared" si="596"/>
        <v>17.48</v>
      </c>
      <c r="H3663" s="21">
        <f t="shared" si="596"/>
        <v>17.48</v>
      </c>
      <c r="I3663" s="24" t="str">
        <f t="shared" si="597"/>
        <v xml:space="preserve">COM VALOR</v>
      </c>
      <c r="L3663" s="36">
        <v>17.48</v>
      </c>
      <c r="M3663" s="37">
        <v>17.48</v>
      </c>
      <c r="N3663" s="36">
        <v>17.48</v>
      </c>
    </row>
    <row r="3664" ht="25.5">
      <c r="A3664" s="19" t="s">
        <v>10460</v>
      </c>
      <c r="B3664" s="19">
        <v>11743</v>
      </c>
      <c r="C3664" s="20" t="s">
        <v>14131</v>
      </c>
      <c r="D3664" s="19" t="s">
        <v>31</v>
      </c>
      <c r="E3664" s="19" t="s">
        <v>10459</v>
      </c>
      <c r="F3664" s="21">
        <f t="shared" si="596"/>
        <v>11.140000000000001</v>
      </c>
      <c r="G3664" s="21">
        <f t="shared" si="596"/>
        <v>11.140000000000001</v>
      </c>
      <c r="H3664" s="21">
        <f t="shared" si="596"/>
        <v>11.140000000000001</v>
      </c>
      <c r="I3664" s="24" t="str">
        <f t="shared" si="597"/>
        <v xml:space="preserve">COM VALOR</v>
      </c>
      <c r="L3664" s="36">
        <v>11.140000000000001</v>
      </c>
      <c r="M3664" s="37">
        <v>11.140000000000001</v>
      </c>
      <c r="N3664" s="36">
        <v>11.140000000000001</v>
      </c>
    </row>
    <row r="3665" ht="25.5">
      <c r="A3665" s="19" t="s">
        <v>10460</v>
      </c>
      <c r="B3665" s="19">
        <v>5104</v>
      </c>
      <c r="C3665" s="20" t="s">
        <v>14132</v>
      </c>
      <c r="D3665" s="19" t="s">
        <v>302</v>
      </c>
      <c r="E3665" s="19" t="s">
        <v>10459</v>
      </c>
      <c r="F3665" s="21">
        <f t="shared" si="596"/>
        <v>121.09999999999999</v>
      </c>
      <c r="G3665" s="21">
        <f t="shared" si="596"/>
        <v>121.09999999999999</v>
      </c>
      <c r="H3665" s="21">
        <f t="shared" si="596"/>
        <v>121.09999999999999</v>
      </c>
      <c r="I3665" s="24" t="str">
        <f t="shared" si="597"/>
        <v xml:space="preserve">COM VALOR</v>
      </c>
      <c r="L3665" s="36">
        <v>121.09999999999999</v>
      </c>
      <c r="M3665" s="37">
        <v>121.09999999999999</v>
      </c>
      <c r="N3665" s="36">
        <v>121.09999999999999</v>
      </c>
    </row>
    <row r="3666" ht="25.5">
      <c r="A3666" s="19" t="s">
        <v>10460</v>
      </c>
      <c r="B3666" s="19">
        <v>44530</v>
      </c>
      <c r="C3666" s="20" t="s">
        <v>14133</v>
      </c>
      <c r="D3666" s="19" t="s">
        <v>31</v>
      </c>
      <c r="E3666" s="19" t="s">
        <v>10459</v>
      </c>
      <c r="F3666" s="21">
        <f t="shared" si="596"/>
        <v>54.390000000000001</v>
      </c>
      <c r="G3666" s="21">
        <f t="shared" si="596"/>
        <v>54.390000000000001</v>
      </c>
      <c r="H3666" s="21">
        <f t="shared" si="596"/>
        <v>54.390000000000001</v>
      </c>
      <c r="I3666" s="24" t="str">
        <f t="shared" si="597"/>
        <v xml:space="preserve">COM VALOR</v>
      </c>
      <c r="L3666" s="36">
        <v>54.390000000000001</v>
      </c>
      <c r="M3666" s="37">
        <v>54.390000000000001</v>
      </c>
      <c r="N3666" s="36">
        <v>54.390000000000001</v>
      </c>
    </row>
    <row r="3667" ht="25.5">
      <c r="A3667" s="19" t="s">
        <v>10460</v>
      </c>
      <c r="B3667" s="19">
        <v>2710</v>
      </c>
      <c r="C3667" s="20" t="s">
        <v>14134</v>
      </c>
      <c r="D3667" s="19" t="s">
        <v>31</v>
      </c>
      <c r="E3667" s="19" t="s">
        <v>10459</v>
      </c>
      <c r="F3667" s="21">
        <f t="shared" si="596"/>
        <v>46.939999999999998</v>
      </c>
      <c r="G3667" s="21">
        <f t="shared" si="596"/>
        <v>46.939999999999998</v>
      </c>
      <c r="H3667" s="21">
        <f t="shared" si="596"/>
        <v>46.939999999999998</v>
      </c>
      <c r="I3667" s="24" t="str">
        <f t="shared" si="597"/>
        <v xml:space="preserve">COM VALOR</v>
      </c>
      <c r="L3667" s="36">
        <v>46.939999999999998</v>
      </c>
      <c r="M3667" s="37">
        <v>46.939999999999998</v>
      </c>
      <c r="N3667" s="36">
        <v>46.939999999999998</v>
      </c>
    </row>
    <row r="3668" ht="25.5">
      <c r="A3668" s="19" t="s">
        <v>10638</v>
      </c>
      <c r="B3668" s="19">
        <v>14575</v>
      </c>
      <c r="C3668" s="20" t="s">
        <v>14135</v>
      </c>
      <c r="D3668" s="19" t="s">
        <v>31</v>
      </c>
      <c r="E3668" s="19" t="s">
        <v>10459</v>
      </c>
      <c r="F3668" s="21" t="str">
        <f t="shared" si="596"/>
        <v>VERIFICAR</v>
      </c>
      <c r="G3668" s="21" t="str">
        <f t="shared" si="596"/>
        <v>VERIFICAR</v>
      </c>
      <c r="H3668" s="21" t="str">
        <f t="shared" si="596"/>
        <v>VERIFICAR</v>
      </c>
      <c r="I3668" s="24" t="str">
        <f t="shared" si="597"/>
        <v xml:space="preserve">SEM VALOR</v>
      </c>
      <c r="L3668" s="36"/>
      <c r="M3668" s="37"/>
      <c r="N3668" s="36"/>
    </row>
    <row r="3669" ht="38.25">
      <c r="A3669" s="19" t="s">
        <v>10460</v>
      </c>
      <c r="B3669" s="19">
        <v>44048</v>
      </c>
      <c r="C3669" s="20" t="s">
        <v>14136</v>
      </c>
      <c r="D3669" s="19" t="s">
        <v>31</v>
      </c>
      <c r="E3669" s="19" t="s">
        <v>10459</v>
      </c>
      <c r="F3669" s="21" t="str">
        <f t="shared" si="596"/>
        <v>VERIFICAR</v>
      </c>
      <c r="G3669" s="21" t="str">
        <f t="shared" si="596"/>
        <v>VERIFICAR</v>
      </c>
      <c r="H3669" s="21" t="str">
        <f t="shared" si="596"/>
        <v>VERIFICAR</v>
      </c>
      <c r="I3669" s="24" t="str">
        <f t="shared" si="597"/>
        <v xml:space="preserve">SEM VALOR</v>
      </c>
      <c r="L3669" s="36"/>
      <c r="M3669" s="37"/>
      <c r="N3669" s="36"/>
    </row>
    <row r="3670" ht="38.25">
      <c r="A3670" s="19" t="s">
        <v>10460</v>
      </c>
      <c r="B3670" s="19">
        <v>44026</v>
      </c>
      <c r="C3670" s="20" t="s">
        <v>14137</v>
      </c>
      <c r="D3670" s="19" t="s">
        <v>31</v>
      </c>
      <c r="E3670" s="19" t="s">
        <v>10459</v>
      </c>
      <c r="F3670" s="21" t="str">
        <f t="shared" si="596"/>
        <v>VERIFICAR</v>
      </c>
      <c r="G3670" s="21" t="str">
        <f t="shared" si="596"/>
        <v>VERIFICAR</v>
      </c>
      <c r="H3670" s="21" t="str">
        <f t="shared" si="596"/>
        <v>VERIFICAR</v>
      </c>
      <c r="I3670" s="24" t="str">
        <f t="shared" si="597"/>
        <v xml:space="preserve">SEM VALOR</v>
      </c>
      <c r="L3670" s="36"/>
      <c r="M3670" s="37"/>
      <c r="N3670" s="36"/>
    </row>
    <row r="3671" ht="38.25">
      <c r="A3671" s="19" t="s">
        <v>10460</v>
      </c>
      <c r="B3671" s="19">
        <v>44024</v>
      </c>
      <c r="C3671" s="20" t="s">
        <v>14138</v>
      </c>
      <c r="D3671" s="19" t="s">
        <v>31</v>
      </c>
      <c r="E3671" s="19" t="s">
        <v>10459</v>
      </c>
      <c r="F3671" s="21" t="str">
        <f t="shared" si="596"/>
        <v>VERIFICAR</v>
      </c>
      <c r="G3671" s="21" t="str">
        <f t="shared" si="596"/>
        <v>VERIFICAR</v>
      </c>
      <c r="H3671" s="21" t="str">
        <f t="shared" si="596"/>
        <v>VERIFICAR</v>
      </c>
      <c r="I3671" s="24" t="str">
        <f t="shared" si="597"/>
        <v xml:space="preserve">SEM VALOR</v>
      </c>
      <c r="L3671" s="36"/>
      <c r="M3671" s="37"/>
      <c r="N3671" s="36"/>
    </row>
    <row r="3672" ht="38.25">
      <c r="A3672" s="19" t="s">
        <v>10460</v>
      </c>
      <c r="B3672" s="19">
        <v>44025</v>
      </c>
      <c r="C3672" s="20" t="s">
        <v>14139</v>
      </c>
      <c r="D3672" s="19" t="s">
        <v>31</v>
      </c>
      <c r="E3672" s="19" t="s">
        <v>10459</v>
      </c>
      <c r="F3672" s="21" t="str">
        <f t="shared" si="596"/>
        <v>VERIFICAR</v>
      </c>
      <c r="G3672" s="21" t="str">
        <f t="shared" si="596"/>
        <v>VERIFICAR</v>
      </c>
      <c r="H3672" s="21" t="str">
        <f t="shared" si="596"/>
        <v>VERIFICAR</v>
      </c>
      <c r="I3672" s="24" t="str">
        <f t="shared" si="597"/>
        <v xml:space="preserve">SEM VALOR</v>
      </c>
      <c r="L3672" s="36"/>
      <c r="M3672" s="37"/>
      <c r="N3672" s="36"/>
    </row>
    <row r="3673" ht="38.25">
      <c r="A3673" s="19" t="s">
        <v>10460</v>
      </c>
      <c r="B3673" s="19">
        <v>44022</v>
      </c>
      <c r="C3673" s="20" t="s">
        <v>14140</v>
      </c>
      <c r="D3673" s="19" t="s">
        <v>31</v>
      </c>
      <c r="E3673" s="19" t="s">
        <v>10459</v>
      </c>
      <c r="F3673" s="21" t="str">
        <f t="shared" si="596"/>
        <v>VERIFICAR</v>
      </c>
      <c r="G3673" s="21" t="str">
        <f t="shared" si="596"/>
        <v>VERIFICAR</v>
      </c>
      <c r="H3673" s="21" t="str">
        <f t="shared" si="596"/>
        <v>VERIFICAR</v>
      </c>
      <c r="I3673" s="24" t="str">
        <f t="shared" si="597"/>
        <v xml:space="preserve">SEM VALOR</v>
      </c>
      <c r="L3673" s="36"/>
      <c r="M3673" s="37"/>
      <c r="N3673" s="36"/>
    </row>
    <row r="3674" ht="38.25">
      <c r="A3674" s="19" t="s">
        <v>10460</v>
      </c>
      <c r="B3674" s="19">
        <v>44023</v>
      </c>
      <c r="C3674" s="20" t="s">
        <v>14141</v>
      </c>
      <c r="D3674" s="19" t="s">
        <v>31</v>
      </c>
      <c r="E3674" s="19" t="s">
        <v>10459</v>
      </c>
      <c r="F3674" s="21" t="str">
        <f t="shared" si="596"/>
        <v>VERIFICAR</v>
      </c>
      <c r="G3674" s="21" t="str">
        <f t="shared" si="596"/>
        <v>VERIFICAR</v>
      </c>
      <c r="H3674" s="21" t="str">
        <f t="shared" si="596"/>
        <v>VERIFICAR</v>
      </c>
      <c r="I3674" s="24" t="str">
        <f t="shared" si="597"/>
        <v xml:space="preserve">SEM VALOR</v>
      </c>
      <c r="L3674" s="36"/>
      <c r="M3674" s="37"/>
      <c r="N3674" s="36"/>
    </row>
    <row r="3675" ht="38.25">
      <c r="A3675" s="19" t="s">
        <v>10460</v>
      </c>
      <c r="B3675" s="19">
        <v>43966</v>
      </c>
      <c r="C3675" s="20" t="s">
        <v>14142</v>
      </c>
      <c r="D3675" s="19" t="s">
        <v>31</v>
      </c>
      <c r="E3675" s="19" t="s">
        <v>10459</v>
      </c>
      <c r="F3675" s="21" t="str">
        <f t="shared" si="596"/>
        <v>VERIFICAR</v>
      </c>
      <c r="G3675" s="21" t="str">
        <f t="shared" si="596"/>
        <v>VERIFICAR</v>
      </c>
      <c r="H3675" s="21" t="str">
        <f t="shared" si="596"/>
        <v>VERIFICAR</v>
      </c>
      <c r="I3675" s="24" t="str">
        <f t="shared" si="597"/>
        <v xml:space="preserve">SEM VALOR</v>
      </c>
      <c r="L3675" s="36"/>
      <c r="M3675" s="37"/>
      <c r="N3675" s="36"/>
    </row>
    <row r="3676" ht="38.25">
      <c r="A3676" s="19" t="s">
        <v>10460</v>
      </c>
      <c r="B3676" s="19">
        <v>43967</v>
      </c>
      <c r="C3676" s="20" t="s">
        <v>14143</v>
      </c>
      <c r="D3676" s="19" t="s">
        <v>31</v>
      </c>
      <c r="E3676" s="19" t="s">
        <v>10459</v>
      </c>
      <c r="F3676" s="21" t="str">
        <f t="shared" si="596"/>
        <v>VERIFICAR</v>
      </c>
      <c r="G3676" s="21" t="str">
        <f t="shared" si="596"/>
        <v>VERIFICAR</v>
      </c>
      <c r="H3676" s="21" t="str">
        <f t="shared" si="596"/>
        <v>VERIFICAR</v>
      </c>
      <c r="I3676" s="24" t="str">
        <f t="shared" si="597"/>
        <v xml:space="preserve">SEM VALOR</v>
      </c>
      <c r="L3676" s="36"/>
      <c r="M3676" s="37"/>
      <c r="N3676" s="36"/>
    </row>
    <row r="3677" ht="38.25">
      <c r="A3677" s="19" t="s">
        <v>10460</v>
      </c>
      <c r="B3677" s="19">
        <v>43968</v>
      </c>
      <c r="C3677" s="20" t="s">
        <v>14144</v>
      </c>
      <c r="D3677" s="19" t="s">
        <v>31</v>
      </c>
      <c r="E3677" s="19" t="s">
        <v>10459</v>
      </c>
      <c r="F3677" s="21" t="str">
        <f t="shared" si="596"/>
        <v>VERIFICAR</v>
      </c>
      <c r="G3677" s="21" t="str">
        <f t="shared" si="596"/>
        <v>VERIFICAR</v>
      </c>
      <c r="H3677" s="21" t="str">
        <f t="shared" si="596"/>
        <v>VERIFICAR</v>
      </c>
      <c r="I3677" s="24" t="str">
        <f t="shared" si="597"/>
        <v xml:space="preserve">SEM VALOR</v>
      </c>
      <c r="L3677" s="36"/>
      <c r="M3677" s="37"/>
      <c r="N3677" s="36"/>
    </row>
    <row r="3678" ht="38.25">
      <c r="A3678" s="19" t="s">
        <v>10460</v>
      </c>
      <c r="B3678" s="19">
        <v>43969</v>
      </c>
      <c r="C3678" s="20" t="s">
        <v>14145</v>
      </c>
      <c r="D3678" s="19" t="s">
        <v>31</v>
      </c>
      <c r="E3678" s="19" t="s">
        <v>10459</v>
      </c>
      <c r="F3678" s="21" t="str">
        <f t="shared" si="596"/>
        <v>VERIFICAR</v>
      </c>
      <c r="G3678" s="21" t="str">
        <f t="shared" si="596"/>
        <v>VERIFICAR</v>
      </c>
      <c r="H3678" s="21" t="str">
        <f t="shared" si="596"/>
        <v>VERIFICAR</v>
      </c>
      <c r="I3678" s="24" t="str">
        <f t="shared" si="597"/>
        <v xml:space="preserve">SEM VALOR</v>
      </c>
      <c r="L3678" s="36"/>
      <c r="M3678" s="37"/>
      <c r="N3678" s="36"/>
    </row>
    <row r="3679" ht="38.25">
      <c r="A3679" s="19" t="s">
        <v>10460</v>
      </c>
      <c r="B3679" s="19">
        <v>44021</v>
      </c>
      <c r="C3679" s="20" t="s">
        <v>14146</v>
      </c>
      <c r="D3679" s="19" t="s">
        <v>31</v>
      </c>
      <c r="E3679" s="19" t="s">
        <v>10459</v>
      </c>
      <c r="F3679" s="21" t="str">
        <f t="shared" si="596"/>
        <v>VERIFICAR</v>
      </c>
      <c r="G3679" s="21" t="str">
        <f t="shared" si="596"/>
        <v>VERIFICAR</v>
      </c>
      <c r="H3679" s="21" t="str">
        <f t="shared" si="596"/>
        <v>VERIFICAR</v>
      </c>
      <c r="I3679" s="24" t="str">
        <f t="shared" si="597"/>
        <v xml:space="preserve">SEM VALOR</v>
      </c>
      <c r="L3679" s="36"/>
      <c r="M3679" s="37"/>
      <c r="N3679" s="36"/>
    </row>
    <row r="3680" ht="38.25">
      <c r="A3680" s="19" t="s">
        <v>10460</v>
      </c>
      <c r="B3680" s="19">
        <v>43970</v>
      </c>
      <c r="C3680" s="20" t="s">
        <v>14147</v>
      </c>
      <c r="D3680" s="19" t="s">
        <v>31</v>
      </c>
      <c r="E3680" s="19" t="s">
        <v>10459</v>
      </c>
      <c r="F3680" s="21" t="str">
        <f t="shared" si="596"/>
        <v>VERIFICAR</v>
      </c>
      <c r="G3680" s="21" t="str">
        <f t="shared" si="596"/>
        <v>VERIFICAR</v>
      </c>
      <c r="H3680" s="21" t="str">
        <f t="shared" si="596"/>
        <v>VERIFICAR</v>
      </c>
      <c r="I3680" s="24" t="str">
        <f t="shared" si="597"/>
        <v xml:space="preserve">SEM VALOR</v>
      </c>
      <c r="L3680" s="36"/>
      <c r="M3680" s="37"/>
      <c r="N3680" s="36"/>
    </row>
    <row r="3681" ht="25.5">
      <c r="A3681" s="19" t="s">
        <v>10460</v>
      </c>
      <c r="B3681" s="19">
        <v>20043</v>
      </c>
      <c r="C3681" s="20" t="s">
        <v>14148</v>
      </c>
      <c r="D3681" s="19" t="s">
        <v>31</v>
      </c>
      <c r="E3681" s="19" t="s">
        <v>10459</v>
      </c>
      <c r="F3681" s="21">
        <f t="shared" si="596"/>
        <v>10.08</v>
      </c>
      <c r="G3681" s="21">
        <f t="shared" si="596"/>
        <v>10.08</v>
      </c>
      <c r="H3681" s="21">
        <f t="shared" si="596"/>
        <v>10.08</v>
      </c>
      <c r="I3681" s="24" t="str">
        <f t="shared" si="597"/>
        <v xml:space="preserve">COM VALOR</v>
      </c>
      <c r="L3681" s="36">
        <v>10.08</v>
      </c>
      <c r="M3681" s="37">
        <v>10.08</v>
      </c>
      <c r="N3681" s="36">
        <v>10.08</v>
      </c>
    </row>
    <row r="3682" ht="25.5">
      <c r="A3682" s="19" t="s">
        <v>10460</v>
      </c>
      <c r="B3682" s="19">
        <v>20044</v>
      </c>
      <c r="C3682" s="20" t="s">
        <v>14149</v>
      </c>
      <c r="D3682" s="19" t="s">
        <v>31</v>
      </c>
      <c r="E3682" s="19" t="s">
        <v>10459</v>
      </c>
      <c r="F3682" s="21">
        <f t="shared" si="596"/>
        <v>11.69</v>
      </c>
      <c r="G3682" s="21">
        <f t="shared" si="596"/>
        <v>11.69</v>
      </c>
      <c r="H3682" s="21">
        <f t="shared" si="596"/>
        <v>11.69</v>
      </c>
      <c r="I3682" s="24" t="str">
        <f t="shared" si="597"/>
        <v xml:space="preserve">COM VALOR</v>
      </c>
      <c r="L3682" s="36">
        <v>11.69</v>
      </c>
      <c r="M3682" s="37">
        <v>11.69</v>
      </c>
      <c r="N3682" s="36">
        <v>11.69</v>
      </c>
    </row>
    <row r="3683" ht="25.5">
      <c r="A3683" s="19" t="s">
        <v>10460</v>
      </c>
      <c r="B3683" s="19">
        <v>20042</v>
      </c>
      <c r="C3683" s="20" t="s">
        <v>14150</v>
      </c>
      <c r="D3683" s="19" t="s">
        <v>31</v>
      </c>
      <c r="E3683" s="19" t="s">
        <v>10459</v>
      </c>
      <c r="F3683" s="21">
        <f t="shared" si="596"/>
        <v>8.75</v>
      </c>
      <c r="G3683" s="21">
        <f t="shared" si="596"/>
        <v>8.75</v>
      </c>
      <c r="H3683" s="21">
        <f t="shared" si="596"/>
        <v>8.75</v>
      </c>
      <c r="I3683" s="24" t="str">
        <f t="shared" si="597"/>
        <v xml:space="preserve">COM VALOR</v>
      </c>
      <c r="L3683" s="36">
        <v>8.75</v>
      </c>
      <c r="M3683" s="37">
        <v>8.75</v>
      </c>
      <c r="N3683" s="36">
        <v>8.75</v>
      </c>
    </row>
    <row r="3684" ht="25.5">
      <c r="A3684" s="19" t="s">
        <v>10460</v>
      </c>
      <c r="B3684" s="19">
        <v>20046</v>
      </c>
      <c r="C3684" s="20" t="s">
        <v>14151</v>
      </c>
      <c r="D3684" s="19" t="s">
        <v>31</v>
      </c>
      <c r="E3684" s="19" t="s">
        <v>10459</v>
      </c>
      <c r="F3684" s="21">
        <f t="shared" si="596"/>
        <v>20.710000000000001</v>
      </c>
      <c r="G3684" s="21">
        <f t="shared" si="596"/>
        <v>20.710000000000001</v>
      </c>
      <c r="H3684" s="21">
        <f t="shared" si="596"/>
        <v>20.710000000000001</v>
      </c>
      <c r="I3684" s="24" t="str">
        <f t="shared" si="597"/>
        <v xml:space="preserve">COM VALOR</v>
      </c>
      <c r="L3684" s="36">
        <v>20.710000000000001</v>
      </c>
      <c r="M3684" s="37">
        <v>20.710000000000001</v>
      </c>
      <c r="N3684" s="36">
        <v>20.710000000000001</v>
      </c>
    </row>
    <row r="3685" ht="25.5">
      <c r="A3685" s="19" t="s">
        <v>10460</v>
      </c>
      <c r="B3685" s="19">
        <v>20047</v>
      </c>
      <c r="C3685" s="20" t="s">
        <v>14152</v>
      </c>
      <c r="D3685" s="19" t="s">
        <v>31</v>
      </c>
      <c r="E3685" s="19" t="s">
        <v>10459</v>
      </c>
      <c r="F3685" s="21">
        <f t="shared" si="596"/>
        <v>62.090000000000003</v>
      </c>
      <c r="G3685" s="21">
        <f t="shared" si="596"/>
        <v>62.090000000000003</v>
      </c>
      <c r="H3685" s="21">
        <f t="shared" si="596"/>
        <v>62.090000000000003</v>
      </c>
      <c r="I3685" s="24" t="str">
        <f t="shared" si="597"/>
        <v xml:space="preserve">COM VALOR</v>
      </c>
      <c r="L3685" s="36">
        <v>62.090000000000003</v>
      </c>
      <c r="M3685" s="37">
        <v>62.090000000000003</v>
      </c>
      <c r="N3685" s="36">
        <v>62.090000000000003</v>
      </c>
    </row>
    <row r="3686" ht="25.5">
      <c r="A3686" s="19" t="s">
        <v>10460</v>
      </c>
      <c r="B3686" s="19">
        <v>20045</v>
      </c>
      <c r="C3686" s="20" t="s">
        <v>14153</v>
      </c>
      <c r="D3686" s="19" t="s">
        <v>31</v>
      </c>
      <c r="E3686" s="19" t="s">
        <v>10459</v>
      </c>
      <c r="F3686" s="21">
        <f t="shared" si="596"/>
        <v>10.48</v>
      </c>
      <c r="G3686" s="21">
        <f t="shared" si="596"/>
        <v>10.48</v>
      </c>
      <c r="H3686" s="21">
        <f t="shared" si="596"/>
        <v>10.48</v>
      </c>
      <c r="I3686" s="24" t="str">
        <f t="shared" si="597"/>
        <v xml:space="preserve">COM VALOR</v>
      </c>
      <c r="L3686" s="36">
        <v>10.48</v>
      </c>
      <c r="M3686" s="37">
        <v>10.48</v>
      </c>
      <c r="N3686" s="36">
        <v>10.48</v>
      </c>
    </row>
    <row r="3687" ht="38.25">
      <c r="A3687" s="19" t="s">
        <v>10460</v>
      </c>
      <c r="B3687" s="19">
        <v>20972</v>
      </c>
      <c r="C3687" s="20" t="s">
        <v>14154</v>
      </c>
      <c r="D3687" s="19" t="s">
        <v>31</v>
      </c>
      <c r="E3687" s="19" t="s">
        <v>10459</v>
      </c>
      <c r="F3687" s="21">
        <f t="shared" si="596"/>
        <v>128.56999999999999</v>
      </c>
      <c r="G3687" s="21">
        <f t="shared" si="596"/>
        <v>128.56999999999999</v>
      </c>
      <c r="H3687" s="21">
        <f t="shared" si="596"/>
        <v>128.56999999999999</v>
      </c>
      <c r="I3687" s="24" t="str">
        <f t="shared" si="597"/>
        <v xml:space="preserve">COM VALOR</v>
      </c>
      <c r="L3687" s="36">
        <v>128.56999999999999</v>
      </c>
      <c r="M3687" s="37">
        <v>128.56999999999999</v>
      </c>
      <c r="N3687" s="36">
        <v>128.56999999999999</v>
      </c>
    </row>
    <row r="3688" ht="25.5">
      <c r="A3688" s="19" t="s">
        <v>10460</v>
      </c>
      <c r="B3688" s="19">
        <v>11321</v>
      </c>
      <c r="C3688" s="20" t="s">
        <v>14155</v>
      </c>
      <c r="D3688" s="19" t="s">
        <v>31</v>
      </c>
      <c r="E3688" s="19" t="s">
        <v>10459</v>
      </c>
      <c r="F3688" s="21">
        <f t="shared" si="596"/>
        <v>24.260000000000002</v>
      </c>
      <c r="G3688" s="21">
        <f t="shared" si="596"/>
        <v>24.260000000000002</v>
      </c>
      <c r="H3688" s="21">
        <f t="shared" si="596"/>
        <v>24.260000000000002</v>
      </c>
      <c r="I3688" s="24" t="str">
        <f t="shared" si="597"/>
        <v xml:space="preserve">COM VALOR</v>
      </c>
      <c r="L3688" s="36">
        <v>24.260000000000002</v>
      </c>
      <c r="M3688" s="37">
        <v>24.260000000000002</v>
      </c>
      <c r="N3688" s="36">
        <v>24.260000000000002</v>
      </c>
    </row>
    <row r="3689" ht="25.5">
      <c r="A3689" s="19" t="s">
        <v>10460</v>
      </c>
      <c r="B3689" s="19">
        <v>11323</v>
      </c>
      <c r="C3689" s="20" t="s">
        <v>14156</v>
      </c>
      <c r="D3689" s="19" t="s">
        <v>31</v>
      </c>
      <c r="E3689" s="19" t="s">
        <v>10459</v>
      </c>
      <c r="F3689" s="21">
        <f t="shared" si="596"/>
        <v>27.899999999999999</v>
      </c>
      <c r="G3689" s="21">
        <f t="shared" si="596"/>
        <v>27.899999999999999</v>
      </c>
      <c r="H3689" s="21">
        <f t="shared" si="596"/>
        <v>27.899999999999999</v>
      </c>
      <c r="I3689" s="24" t="str">
        <f t="shared" si="597"/>
        <v xml:space="preserve">COM VALOR</v>
      </c>
      <c r="L3689" s="36">
        <v>27.899999999999999</v>
      </c>
      <c r="M3689" s="37">
        <v>27.899999999999999</v>
      </c>
      <c r="N3689" s="36">
        <v>27.899999999999999</v>
      </c>
    </row>
    <row r="3690" ht="25.5">
      <c r="A3690" s="19" t="s">
        <v>10460</v>
      </c>
      <c r="B3690" s="19">
        <v>20327</v>
      </c>
      <c r="C3690" s="20" t="s">
        <v>14157</v>
      </c>
      <c r="D3690" s="19" t="s">
        <v>31</v>
      </c>
      <c r="E3690" s="19" t="s">
        <v>10459</v>
      </c>
      <c r="F3690" s="21">
        <f t="shared" si="596"/>
        <v>15.83</v>
      </c>
      <c r="G3690" s="21">
        <f t="shared" si="596"/>
        <v>15.83</v>
      </c>
      <c r="H3690" s="21">
        <f t="shared" si="596"/>
        <v>15.83</v>
      </c>
      <c r="I3690" s="24" t="str">
        <f t="shared" si="597"/>
        <v xml:space="preserve">COM VALOR</v>
      </c>
      <c r="L3690" s="36">
        <v>15.83</v>
      </c>
      <c r="M3690" s="37">
        <v>15.83</v>
      </c>
      <c r="N3690" s="36">
        <v>15.83</v>
      </c>
    </row>
    <row r="3691" ht="25.5">
      <c r="A3691" s="19" t="s">
        <v>10460</v>
      </c>
      <c r="B3691" s="19">
        <v>6034</v>
      </c>
      <c r="C3691" s="20" t="s">
        <v>14158</v>
      </c>
      <c r="D3691" s="19" t="s">
        <v>31</v>
      </c>
      <c r="E3691" s="19" t="s">
        <v>10459</v>
      </c>
      <c r="F3691" s="21">
        <f t="shared" si="596"/>
        <v>10.85</v>
      </c>
      <c r="G3691" s="21">
        <f t="shared" si="596"/>
        <v>10.85</v>
      </c>
      <c r="H3691" s="21">
        <f t="shared" si="596"/>
        <v>10.85</v>
      </c>
      <c r="I3691" s="24" t="str">
        <f t="shared" si="597"/>
        <v xml:space="preserve">COM VALOR</v>
      </c>
      <c r="L3691" s="36">
        <v>10.85</v>
      </c>
      <c r="M3691" s="37">
        <v>10.85</v>
      </c>
      <c r="N3691" s="36">
        <v>10.85</v>
      </c>
    </row>
    <row r="3692" ht="25.5">
      <c r="A3692" s="19" t="s">
        <v>10460</v>
      </c>
      <c r="B3692" s="19">
        <v>6036</v>
      </c>
      <c r="C3692" s="20" t="s">
        <v>14159</v>
      </c>
      <c r="D3692" s="19" t="s">
        <v>31</v>
      </c>
      <c r="E3692" s="19" t="s">
        <v>10459</v>
      </c>
      <c r="F3692" s="21">
        <f t="shared" si="596"/>
        <v>14.77</v>
      </c>
      <c r="G3692" s="21">
        <f t="shared" si="596"/>
        <v>14.77</v>
      </c>
      <c r="H3692" s="21">
        <f t="shared" si="596"/>
        <v>14.77</v>
      </c>
      <c r="I3692" s="24" t="str">
        <f t="shared" si="597"/>
        <v xml:space="preserve">COM VALOR</v>
      </c>
      <c r="L3692" s="36">
        <v>14.77</v>
      </c>
      <c r="M3692" s="37">
        <v>14.77</v>
      </c>
      <c r="N3692" s="36">
        <v>14.77</v>
      </c>
    </row>
    <row r="3693" ht="25.5">
      <c r="A3693" s="19" t="s">
        <v>10460</v>
      </c>
      <c r="B3693" s="19">
        <v>6031</v>
      </c>
      <c r="C3693" s="20" t="s">
        <v>14160</v>
      </c>
      <c r="D3693" s="19" t="s">
        <v>31</v>
      </c>
      <c r="E3693" s="19" t="s">
        <v>10466</v>
      </c>
      <c r="F3693" s="21">
        <f t="shared" si="596"/>
        <v>17.359999999999999</v>
      </c>
      <c r="G3693" s="21">
        <f t="shared" si="596"/>
        <v>17.359999999999999</v>
      </c>
      <c r="H3693" s="21">
        <f t="shared" si="596"/>
        <v>17.359999999999999</v>
      </c>
      <c r="I3693" s="24" t="str">
        <f t="shared" si="597"/>
        <v xml:space="preserve">COM VALOR</v>
      </c>
      <c r="L3693" s="36">
        <v>17.359999999999999</v>
      </c>
      <c r="M3693" s="37">
        <v>17.359999999999999</v>
      </c>
      <c r="N3693" s="36">
        <v>17.359999999999999</v>
      </c>
    </row>
    <row r="3694" ht="25.5">
      <c r="A3694" s="19" t="s">
        <v>10460</v>
      </c>
      <c r="B3694" s="19">
        <v>6029</v>
      </c>
      <c r="C3694" s="20" t="s">
        <v>14161</v>
      </c>
      <c r="D3694" s="19" t="s">
        <v>31</v>
      </c>
      <c r="E3694" s="19" t="s">
        <v>10459</v>
      </c>
      <c r="F3694" s="21">
        <f t="shared" si="596"/>
        <v>17.539999999999999</v>
      </c>
      <c r="G3694" s="21">
        <f t="shared" si="596"/>
        <v>17.539999999999999</v>
      </c>
      <c r="H3694" s="21">
        <f t="shared" si="596"/>
        <v>17.539999999999999</v>
      </c>
      <c r="I3694" s="24" t="str">
        <f t="shared" si="597"/>
        <v xml:space="preserve">COM VALOR</v>
      </c>
      <c r="L3694" s="36">
        <v>17.539999999999999</v>
      </c>
      <c r="M3694" s="37">
        <v>17.539999999999999</v>
      </c>
      <c r="N3694" s="36">
        <v>17.539999999999999</v>
      </c>
    </row>
    <row r="3695" ht="25.5">
      <c r="A3695" s="19" t="s">
        <v>10460</v>
      </c>
      <c r="B3695" s="19">
        <v>6033</v>
      </c>
      <c r="C3695" s="20" t="s">
        <v>14162</v>
      </c>
      <c r="D3695" s="19" t="s">
        <v>31</v>
      </c>
      <c r="E3695" s="19" t="s">
        <v>10459</v>
      </c>
      <c r="F3695" s="21">
        <f t="shared" si="596"/>
        <v>23.120000000000001</v>
      </c>
      <c r="G3695" s="21">
        <f t="shared" si="596"/>
        <v>23.120000000000001</v>
      </c>
      <c r="H3695" s="21">
        <f t="shared" si="596"/>
        <v>23.120000000000001</v>
      </c>
      <c r="I3695" s="24" t="str">
        <f t="shared" si="597"/>
        <v xml:space="preserve">COM VALOR</v>
      </c>
      <c r="L3695" s="36">
        <v>23.120000000000001</v>
      </c>
      <c r="M3695" s="37">
        <v>23.120000000000001</v>
      </c>
      <c r="N3695" s="36">
        <v>23.120000000000001</v>
      </c>
    </row>
    <row r="3696" ht="25.5">
      <c r="A3696" s="19" t="s">
        <v>10460</v>
      </c>
      <c r="B3696" s="19">
        <v>11672</v>
      </c>
      <c r="C3696" s="20" t="s">
        <v>14163</v>
      </c>
      <c r="D3696" s="19" t="s">
        <v>31</v>
      </c>
      <c r="E3696" s="19" t="s">
        <v>10459</v>
      </c>
      <c r="F3696" s="21">
        <f t="shared" si="596"/>
        <v>50.299999999999997</v>
      </c>
      <c r="G3696" s="21">
        <f t="shared" si="596"/>
        <v>50.299999999999997</v>
      </c>
      <c r="H3696" s="21">
        <f t="shared" si="596"/>
        <v>50.299999999999997</v>
      </c>
      <c r="I3696" s="24" t="str">
        <f t="shared" si="597"/>
        <v xml:space="preserve">COM VALOR</v>
      </c>
      <c r="L3696" s="36">
        <v>50.299999999999997</v>
      </c>
      <c r="M3696" s="37">
        <v>50.299999999999997</v>
      </c>
      <c r="N3696" s="36">
        <v>50.299999999999997</v>
      </c>
    </row>
    <row r="3697" ht="25.5">
      <c r="A3697" s="19" t="s">
        <v>10460</v>
      </c>
      <c r="B3697" s="19">
        <v>11669</v>
      </c>
      <c r="C3697" s="20" t="s">
        <v>14164</v>
      </c>
      <c r="D3697" s="19" t="s">
        <v>31</v>
      </c>
      <c r="E3697" s="19" t="s">
        <v>10459</v>
      </c>
      <c r="F3697" s="21">
        <f t="shared" si="596"/>
        <v>47.899999999999999</v>
      </c>
      <c r="G3697" s="21">
        <f t="shared" si="596"/>
        <v>47.899999999999999</v>
      </c>
      <c r="H3697" s="21">
        <f t="shared" si="596"/>
        <v>47.899999999999999</v>
      </c>
      <c r="I3697" s="24" t="str">
        <f t="shared" si="597"/>
        <v xml:space="preserve">COM VALOR</v>
      </c>
      <c r="L3697" s="36">
        <v>47.899999999999999</v>
      </c>
      <c r="M3697" s="37">
        <v>47.899999999999999</v>
      </c>
      <c r="N3697" s="36">
        <v>47.899999999999999</v>
      </c>
    </row>
    <row r="3698" ht="25.5">
      <c r="A3698" s="19" t="s">
        <v>10460</v>
      </c>
      <c r="B3698" s="19">
        <v>20055</v>
      </c>
      <c r="C3698" s="20" t="s">
        <v>14165</v>
      </c>
      <c r="D3698" s="19" t="s">
        <v>31</v>
      </c>
      <c r="E3698" s="19" t="s">
        <v>10459</v>
      </c>
      <c r="F3698" s="21">
        <f t="shared" si="596"/>
        <v>35.869999999999997</v>
      </c>
      <c r="G3698" s="21">
        <f t="shared" si="596"/>
        <v>35.869999999999997</v>
      </c>
      <c r="H3698" s="21">
        <f t="shared" si="596"/>
        <v>35.869999999999997</v>
      </c>
      <c r="I3698" s="24" t="str">
        <f t="shared" si="597"/>
        <v xml:space="preserve">COM VALOR</v>
      </c>
      <c r="L3698" s="36">
        <v>35.869999999999997</v>
      </c>
      <c r="M3698" s="37">
        <v>35.869999999999997</v>
      </c>
      <c r="N3698" s="36">
        <v>35.869999999999997</v>
      </c>
    </row>
    <row r="3699" ht="25.5">
      <c r="A3699" s="19" t="s">
        <v>10460</v>
      </c>
      <c r="B3699" s="19">
        <v>11670</v>
      </c>
      <c r="C3699" s="20" t="s">
        <v>14166</v>
      </c>
      <c r="D3699" s="19" t="s">
        <v>31</v>
      </c>
      <c r="E3699" s="19" t="s">
        <v>10459</v>
      </c>
      <c r="F3699" s="21">
        <f t="shared" si="596"/>
        <v>18.350000000000001</v>
      </c>
      <c r="G3699" s="21">
        <f t="shared" si="596"/>
        <v>18.350000000000001</v>
      </c>
      <c r="H3699" s="21">
        <f t="shared" si="596"/>
        <v>18.350000000000001</v>
      </c>
      <c r="I3699" s="24" t="str">
        <f t="shared" si="597"/>
        <v xml:space="preserve">COM VALOR</v>
      </c>
      <c r="L3699" s="36">
        <v>18.350000000000001</v>
      </c>
      <c r="M3699" s="37">
        <v>18.350000000000001</v>
      </c>
      <c r="N3699" s="36">
        <v>18.350000000000001</v>
      </c>
    </row>
    <row r="3700" ht="25.5">
      <c r="A3700" s="19" t="s">
        <v>10460</v>
      </c>
      <c r="B3700" s="19">
        <v>11671</v>
      </c>
      <c r="C3700" s="20" t="s">
        <v>14167</v>
      </c>
      <c r="D3700" s="19" t="s">
        <v>31</v>
      </c>
      <c r="E3700" s="19" t="s">
        <v>10459</v>
      </c>
      <c r="F3700" s="21">
        <f t="shared" si="596"/>
        <v>76.980000000000004</v>
      </c>
      <c r="G3700" s="21">
        <f t="shared" si="596"/>
        <v>76.980000000000004</v>
      </c>
      <c r="H3700" s="21">
        <f t="shared" si="596"/>
        <v>76.980000000000004</v>
      </c>
      <c r="I3700" s="24" t="str">
        <f t="shared" si="597"/>
        <v xml:space="preserve">COM VALOR</v>
      </c>
      <c r="L3700" s="36">
        <v>76.980000000000004</v>
      </c>
      <c r="M3700" s="37">
        <v>76.980000000000004</v>
      </c>
      <c r="N3700" s="36">
        <v>76.980000000000004</v>
      </c>
    </row>
    <row r="3701" ht="25.5">
      <c r="A3701" s="19" t="s">
        <v>10460</v>
      </c>
      <c r="B3701" s="19">
        <v>6032</v>
      </c>
      <c r="C3701" s="20" t="s">
        <v>14168</v>
      </c>
      <c r="D3701" s="19" t="s">
        <v>31</v>
      </c>
      <c r="E3701" s="19" t="s">
        <v>10459</v>
      </c>
      <c r="F3701" s="21">
        <f t="shared" si="596"/>
        <v>21.98</v>
      </c>
      <c r="G3701" s="21">
        <f t="shared" si="596"/>
        <v>21.98</v>
      </c>
      <c r="H3701" s="21">
        <f t="shared" si="596"/>
        <v>21.98</v>
      </c>
      <c r="I3701" s="24" t="str">
        <f t="shared" si="597"/>
        <v xml:space="preserve">COM VALOR</v>
      </c>
      <c r="L3701" s="36">
        <v>21.98</v>
      </c>
      <c r="M3701" s="37">
        <v>21.98</v>
      </c>
      <c r="N3701" s="36">
        <v>21.98</v>
      </c>
    </row>
    <row r="3702" ht="25.5">
      <c r="A3702" s="19" t="s">
        <v>10460</v>
      </c>
      <c r="B3702" s="19">
        <v>11673</v>
      </c>
      <c r="C3702" s="20" t="s">
        <v>14169</v>
      </c>
      <c r="D3702" s="19" t="s">
        <v>31</v>
      </c>
      <c r="E3702" s="19" t="s">
        <v>10459</v>
      </c>
      <c r="F3702" s="21">
        <f t="shared" si="596"/>
        <v>17.309999999999999</v>
      </c>
      <c r="G3702" s="21">
        <f t="shared" si="596"/>
        <v>17.309999999999999</v>
      </c>
      <c r="H3702" s="21">
        <f t="shared" si="596"/>
        <v>17.309999999999999</v>
      </c>
      <c r="I3702" s="24" t="str">
        <f t="shared" si="597"/>
        <v xml:space="preserve">COM VALOR</v>
      </c>
      <c r="L3702" s="36">
        <v>17.309999999999999</v>
      </c>
      <c r="M3702" s="37">
        <v>17.309999999999999</v>
      </c>
      <c r="N3702" s="36">
        <v>17.309999999999999</v>
      </c>
    </row>
    <row r="3703" ht="25.5">
      <c r="A3703" s="19" t="s">
        <v>10460</v>
      </c>
      <c r="B3703" s="19">
        <v>11674</v>
      </c>
      <c r="C3703" s="20" t="s">
        <v>14170</v>
      </c>
      <c r="D3703" s="19" t="s">
        <v>31</v>
      </c>
      <c r="E3703" s="19" t="s">
        <v>10459</v>
      </c>
      <c r="F3703" s="21">
        <f t="shared" si="596"/>
        <v>22.289999999999999</v>
      </c>
      <c r="G3703" s="21">
        <f t="shared" si="596"/>
        <v>22.289999999999999</v>
      </c>
      <c r="H3703" s="21">
        <f t="shared" si="596"/>
        <v>22.289999999999999</v>
      </c>
      <c r="I3703" s="24" t="str">
        <f t="shared" si="597"/>
        <v xml:space="preserve">COM VALOR</v>
      </c>
      <c r="L3703" s="36">
        <v>22.289999999999999</v>
      </c>
      <c r="M3703" s="37">
        <v>22.289999999999999</v>
      </c>
      <c r="N3703" s="36">
        <v>22.289999999999999</v>
      </c>
    </row>
    <row r="3704" ht="25.5">
      <c r="A3704" s="19" t="s">
        <v>10460</v>
      </c>
      <c r="B3704" s="19">
        <v>11675</v>
      </c>
      <c r="C3704" s="20" t="s">
        <v>14171</v>
      </c>
      <c r="D3704" s="19" t="s">
        <v>31</v>
      </c>
      <c r="E3704" s="19" t="s">
        <v>10459</v>
      </c>
      <c r="F3704" s="21">
        <f t="shared" si="596"/>
        <v>35.399999999999999</v>
      </c>
      <c r="G3704" s="21">
        <f t="shared" si="596"/>
        <v>35.399999999999999</v>
      </c>
      <c r="H3704" s="21">
        <f t="shared" si="596"/>
        <v>35.399999999999999</v>
      </c>
      <c r="I3704" s="24" t="str">
        <f t="shared" si="597"/>
        <v xml:space="preserve">COM VALOR</v>
      </c>
      <c r="L3704" s="36">
        <v>35.399999999999999</v>
      </c>
      <c r="M3704" s="37">
        <v>35.399999999999999</v>
      </c>
      <c r="N3704" s="36">
        <v>35.399999999999999</v>
      </c>
    </row>
    <row r="3705" ht="25.5">
      <c r="A3705" s="19" t="s">
        <v>10460</v>
      </c>
      <c r="B3705" s="19">
        <v>11676</v>
      </c>
      <c r="C3705" s="20" t="s">
        <v>14172</v>
      </c>
      <c r="D3705" s="19" t="s">
        <v>31</v>
      </c>
      <c r="E3705" s="19" t="s">
        <v>10459</v>
      </c>
      <c r="F3705" s="21">
        <f t="shared" si="596"/>
        <v>47.340000000000003</v>
      </c>
      <c r="G3705" s="21">
        <f t="shared" si="596"/>
        <v>47.340000000000003</v>
      </c>
      <c r="H3705" s="21">
        <f t="shared" si="596"/>
        <v>47.340000000000003</v>
      </c>
      <c r="I3705" s="24" t="str">
        <f t="shared" si="597"/>
        <v xml:space="preserve">COM VALOR</v>
      </c>
      <c r="L3705" s="36">
        <v>47.340000000000003</v>
      </c>
      <c r="M3705" s="37">
        <v>47.340000000000003</v>
      </c>
      <c r="N3705" s="36">
        <v>47.340000000000003</v>
      </c>
    </row>
    <row r="3706" ht="25.5">
      <c r="A3706" s="19" t="s">
        <v>10460</v>
      </c>
      <c r="B3706" s="19">
        <v>11677</v>
      </c>
      <c r="C3706" s="20" t="s">
        <v>14173</v>
      </c>
      <c r="D3706" s="19" t="s">
        <v>31</v>
      </c>
      <c r="E3706" s="19" t="s">
        <v>10459</v>
      </c>
      <c r="F3706" s="21">
        <f t="shared" si="596"/>
        <v>48.890000000000001</v>
      </c>
      <c r="G3706" s="21">
        <f t="shared" si="596"/>
        <v>48.890000000000001</v>
      </c>
      <c r="H3706" s="21">
        <f t="shared" si="596"/>
        <v>48.890000000000001</v>
      </c>
      <c r="I3706" s="24" t="str">
        <f t="shared" si="597"/>
        <v xml:space="preserve">COM VALOR</v>
      </c>
      <c r="L3706" s="36">
        <v>48.890000000000001</v>
      </c>
      <c r="M3706" s="37">
        <v>48.890000000000001</v>
      </c>
      <c r="N3706" s="36">
        <v>48.890000000000001</v>
      </c>
    </row>
    <row r="3707" ht="25.5">
      <c r="A3707" s="19" t="s">
        <v>10460</v>
      </c>
      <c r="B3707" s="19">
        <v>11678</v>
      </c>
      <c r="C3707" s="20" t="s">
        <v>14174</v>
      </c>
      <c r="D3707" s="19" t="s">
        <v>31</v>
      </c>
      <c r="E3707" s="19" t="s">
        <v>10459</v>
      </c>
      <c r="F3707" s="21">
        <f t="shared" si="596"/>
        <v>89.540000000000006</v>
      </c>
      <c r="G3707" s="21">
        <f t="shared" si="596"/>
        <v>89.540000000000006</v>
      </c>
      <c r="H3707" s="21">
        <f t="shared" si="596"/>
        <v>89.540000000000006</v>
      </c>
      <c r="I3707" s="24" t="str">
        <f t="shared" si="597"/>
        <v xml:space="preserve">COM VALOR</v>
      </c>
      <c r="L3707" s="36">
        <v>89.540000000000006</v>
      </c>
      <c r="M3707" s="37">
        <v>89.540000000000006</v>
      </c>
      <c r="N3707" s="36">
        <v>89.540000000000006</v>
      </c>
    </row>
    <row r="3708" ht="25.5">
      <c r="A3708" s="19" t="s">
        <v>10460</v>
      </c>
      <c r="B3708" s="19">
        <v>6038</v>
      </c>
      <c r="C3708" s="20" t="s">
        <v>14175</v>
      </c>
      <c r="D3708" s="19" t="s">
        <v>31</v>
      </c>
      <c r="E3708" s="19" t="s">
        <v>10459</v>
      </c>
      <c r="F3708" s="21">
        <f t="shared" si="596"/>
        <v>5.6799999999999997</v>
      </c>
      <c r="G3708" s="21">
        <f t="shared" si="596"/>
        <v>5.6799999999999997</v>
      </c>
      <c r="H3708" s="21">
        <f t="shared" si="596"/>
        <v>5.6799999999999997</v>
      </c>
      <c r="I3708" s="24" t="str">
        <f t="shared" si="597"/>
        <v xml:space="preserve">COM VALOR</v>
      </c>
      <c r="L3708" s="36">
        <v>5.6799999999999997</v>
      </c>
      <c r="M3708" s="37">
        <v>5.6799999999999997</v>
      </c>
      <c r="N3708" s="36">
        <v>5.6799999999999997</v>
      </c>
    </row>
    <row r="3709" ht="25.5">
      <c r="A3709" s="19" t="s">
        <v>10460</v>
      </c>
      <c r="B3709" s="19">
        <v>11718</v>
      </c>
      <c r="C3709" s="20" t="s">
        <v>14176</v>
      </c>
      <c r="D3709" s="19" t="s">
        <v>31</v>
      </c>
      <c r="E3709" s="19" t="s">
        <v>10459</v>
      </c>
      <c r="F3709" s="21">
        <f t="shared" si="596"/>
        <v>16.199999999999999</v>
      </c>
      <c r="G3709" s="21">
        <f t="shared" si="596"/>
        <v>16.199999999999999</v>
      </c>
      <c r="H3709" s="21">
        <f t="shared" si="596"/>
        <v>16.199999999999999</v>
      </c>
      <c r="I3709" s="24" t="str">
        <f t="shared" si="597"/>
        <v xml:space="preserve">COM VALOR</v>
      </c>
      <c r="L3709" s="36">
        <v>16.199999999999999</v>
      </c>
      <c r="M3709" s="37">
        <v>16.199999999999999</v>
      </c>
      <c r="N3709" s="36">
        <v>16.199999999999999</v>
      </c>
    </row>
    <row r="3710" ht="25.5">
      <c r="A3710" s="19" t="s">
        <v>10460</v>
      </c>
      <c r="B3710" s="19">
        <v>6037</v>
      </c>
      <c r="C3710" s="20" t="s">
        <v>14177</v>
      </c>
      <c r="D3710" s="19" t="s">
        <v>31</v>
      </c>
      <c r="E3710" s="19" t="s">
        <v>10459</v>
      </c>
      <c r="F3710" s="21">
        <f t="shared" si="596"/>
        <v>11.82</v>
      </c>
      <c r="G3710" s="21">
        <f t="shared" si="596"/>
        <v>11.82</v>
      </c>
      <c r="H3710" s="21">
        <f t="shared" si="596"/>
        <v>11.82</v>
      </c>
      <c r="I3710" s="24" t="str">
        <f t="shared" si="597"/>
        <v xml:space="preserve">COM VALOR</v>
      </c>
      <c r="L3710" s="36">
        <v>11.82</v>
      </c>
      <c r="M3710" s="37">
        <v>11.82</v>
      </c>
      <c r="N3710" s="36">
        <v>11.82</v>
      </c>
    </row>
    <row r="3711" ht="25.5">
      <c r="A3711" s="19" t="s">
        <v>10460</v>
      </c>
      <c r="B3711" s="19">
        <v>11719</v>
      </c>
      <c r="C3711" s="20" t="s">
        <v>14178</v>
      </c>
      <c r="D3711" s="19" t="s">
        <v>31</v>
      </c>
      <c r="E3711" s="19" t="s">
        <v>10459</v>
      </c>
      <c r="F3711" s="21">
        <f t="shared" si="596"/>
        <v>13.140000000000001</v>
      </c>
      <c r="G3711" s="21">
        <f t="shared" si="596"/>
        <v>13.140000000000001</v>
      </c>
      <c r="H3711" s="21">
        <f t="shared" si="596"/>
        <v>13.140000000000001</v>
      </c>
      <c r="I3711" s="24" t="str">
        <f t="shared" si="597"/>
        <v xml:space="preserve">COM VALOR</v>
      </c>
      <c r="L3711" s="36">
        <v>13.140000000000001</v>
      </c>
      <c r="M3711" s="37">
        <v>13.140000000000001</v>
      </c>
      <c r="N3711" s="36">
        <v>13.140000000000001</v>
      </c>
    </row>
    <row r="3712" ht="12.75">
      <c r="A3712" s="19" t="s">
        <v>10460</v>
      </c>
      <c r="B3712" s="19">
        <v>6010</v>
      </c>
      <c r="C3712" s="20" t="s">
        <v>14179</v>
      </c>
      <c r="D3712" s="19" t="s">
        <v>31</v>
      </c>
      <c r="E3712" s="19" t="s">
        <v>10459</v>
      </c>
      <c r="F3712" s="21">
        <f t="shared" si="596"/>
        <v>77.920000000000002</v>
      </c>
      <c r="G3712" s="21">
        <f t="shared" si="596"/>
        <v>77.920000000000002</v>
      </c>
      <c r="H3712" s="21">
        <f t="shared" si="596"/>
        <v>77.920000000000002</v>
      </c>
      <c r="I3712" s="24" t="str">
        <f t="shared" si="597"/>
        <v xml:space="preserve">COM VALOR</v>
      </c>
      <c r="L3712" s="36">
        <v>77.920000000000002</v>
      </c>
      <c r="M3712" s="37">
        <v>77.920000000000002</v>
      </c>
      <c r="N3712" s="36">
        <v>77.920000000000002</v>
      </c>
    </row>
    <row r="3713" ht="12.75">
      <c r="A3713" s="19" t="s">
        <v>10460</v>
      </c>
      <c r="B3713" s="19">
        <v>6017</v>
      </c>
      <c r="C3713" s="20" t="s">
        <v>14180</v>
      </c>
      <c r="D3713" s="19" t="s">
        <v>31</v>
      </c>
      <c r="E3713" s="19" t="s">
        <v>10459</v>
      </c>
      <c r="F3713" s="21">
        <f t="shared" si="596"/>
        <v>61.710000000000001</v>
      </c>
      <c r="G3713" s="21">
        <f t="shared" si="596"/>
        <v>61.710000000000001</v>
      </c>
      <c r="H3713" s="21">
        <f t="shared" si="596"/>
        <v>61.710000000000001</v>
      </c>
      <c r="I3713" s="24" t="str">
        <f t="shared" si="597"/>
        <v xml:space="preserve">COM VALOR</v>
      </c>
      <c r="L3713" s="36">
        <v>61.710000000000001</v>
      </c>
      <c r="M3713" s="37">
        <v>61.710000000000001</v>
      </c>
      <c r="N3713" s="36">
        <v>61.710000000000001</v>
      </c>
    </row>
    <row r="3714" ht="12.75">
      <c r="A3714" s="19" t="s">
        <v>10460</v>
      </c>
      <c r="B3714" s="19">
        <v>6019</v>
      </c>
      <c r="C3714" s="20" t="s">
        <v>14181</v>
      </c>
      <c r="D3714" s="19" t="s">
        <v>31</v>
      </c>
      <c r="E3714" s="19" t="s">
        <v>10459</v>
      </c>
      <c r="F3714" s="21">
        <f t="shared" si="596"/>
        <v>45.280000000000001</v>
      </c>
      <c r="G3714" s="21">
        <f t="shared" si="596"/>
        <v>45.280000000000001</v>
      </c>
      <c r="H3714" s="21">
        <f t="shared" si="596"/>
        <v>45.280000000000001</v>
      </c>
      <c r="I3714" s="24" t="str">
        <f t="shared" si="597"/>
        <v xml:space="preserve">COM VALOR</v>
      </c>
      <c r="L3714" s="36">
        <v>45.280000000000001</v>
      </c>
      <c r="M3714" s="37">
        <v>45.280000000000001</v>
      </c>
      <c r="N3714" s="36">
        <v>45.280000000000001</v>
      </c>
    </row>
    <row r="3715" ht="12.75">
      <c r="A3715" s="19" t="s">
        <v>10460</v>
      </c>
      <c r="B3715" s="19">
        <v>6020</v>
      </c>
      <c r="C3715" s="20" t="s">
        <v>14182</v>
      </c>
      <c r="D3715" s="19" t="s">
        <v>31</v>
      </c>
      <c r="E3715" s="19" t="s">
        <v>10459</v>
      </c>
      <c r="F3715" s="21">
        <f t="shared" si="596"/>
        <v>27.199999999999999</v>
      </c>
      <c r="G3715" s="21">
        <f t="shared" si="596"/>
        <v>27.199999999999999</v>
      </c>
      <c r="H3715" s="21">
        <f t="shared" si="596"/>
        <v>27.199999999999999</v>
      </c>
      <c r="I3715" s="24" t="str">
        <f t="shared" si="597"/>
        <v xml:space="preserve">COM VALOR</v>
      </c>
      <c r="L3715" s="36">
        <v>27.199999999999999</v>
      </c>
      <c r="M3715" s="37">
        <v>27.199999999999999</v>
      </c>
      <c r="N3715" s="36">
        <v>27.199999999999999</v>
      </c>
    </row>
    <row r="3716" ht="12.75">
      <c r="A3716" s="19" t="s">
        <v>10460</v>
      </c>
      <c r="B3716" s="19">
        <v>6011</v>
      </c>
      <c r="C3716" s="20" t="s">
        <v>14183</v>
      </c>
      <c r="D3716" s="19" t="s">
        <v>31</v>
      </c>
      <c r="E3716" s="19" t="s">
        <v>10459</v>
      </c>
      <c r="F3716" s="21">
        <f t="shared" si="596"/>
        <v>225.08000000000001</v>
      </c>
      <c r="G3716" s="21">
        <f t="shared" si="596"/>
        <v>225.08000000000001</v>
      </c>
      <c r="H3716" s="21">
        <f t="shared" si="596"/>
        <v>225.08000000000001</v>
      </c>
      <c r="I3716" s="24" t="str">
        <f t="shared" si="597"/>
        <v xml:space="preserve">COM VALOR</v>
      </c>
      <c r="L3716" s="36">
        <v>225.08000000000001</v>
      </c>
      <c r="M3716" s="37">
        <v>225.08000000000001</v>
      </c>
      <c r="N3716" s="36">
        <v>225.08000000000001</v>
      </c>
    </row>
    <row r="3717" ht="12.75">
      <c r="A3717" s="19" t="s">
        <v>10460</v>
      </c>
      <c r="B3717" s="19">
        <v>6028</v>
      </c>
      <c r="C3717" s="20" t="s">
        <v>14184</v>
      </c>
      <c r="D3717" s="19" t="s">
        <v>31</v>
      </c>
      <c r="E3717" s="19" t="s">
        <v>10459</v>
      </c>
      <c r="F3717" s="21">
        <f t="shared" si="596"/>
        <v>108.53</v>
      </c>
      <c r="G3717" s="21">
        <f t="shared" si="596"/>
        <v>108.53</v>
      </c>
      <c r="H3717" s="21">
        <f t="shared" si="596"/>
        <v>108.53</v>
      </c>
      <c r="I3717" s="24" t="str">
        <f t="shared" si="597"/>
        <v xml:space="preserve">COM VALOR</v>
      </c>
      <c r="L3717" s="36">
        <v>108.53</v>
      </c>
      <c r="M3717" s="37">
        <v>108.53</v>
      </c>
      <c r="N3717" s="36">
        <v>108.53</v>
      </c>
    </row>
    <row r="3718" ht="12.75">
      <c r="A3718" s="19" t="s">
        <v>10460</v>
      </c>
      <c r="B3718" s="19">
        <v>6012</v>
      </c>
      <c r="C3718" s="20" t="s">
        <v>14185</v>
      </c>
      <c r="D3718" s="19" t="s">
        <v>31</v>
      </c>
      <c r="E3718" s="19" t="s">
        <v>10459</v>
      </c>
      <c r="F3718" s="21">
        <f t="shared" si="596"/>
        <v>272.49000000000001</v>
      </c>
      <c r="G3718" s="21">
        <f t="shared" si="596"/>
        <v>272.49000000000001</v>
      </c>
      <c r="H3718" s="21">
        <f t="shared" si="596"/>
        <v>272.49000000000001</v>
      </c>
      <c r="I3718" s="24" t="str">
        <f t="shared" si="597"/>
        <v xml:space="preserve">COM VALOR</v>
      </c>
      <c r="L3718" s="36">
        <v>272.49000000000001</v>
      </c>
      <c r="M3718" s="37">
        <v>272.49000000000001</v>
      </c>
      <c r="N3718" s="36">
        <v>272.49000000000001</v>
      </c>
    </row>
    <row r="3719" ht="12.75">
      <c r="A3719" s="19" t="s">
        <v>10460</v>
      </c>
      <c r="B3719" s="19">
        <v>6016</v>
      </c>
      <c r="C3719" s="20" t="s">
        <v>14186</v>
      </c>
      <c r="D3719" s="19" t="s">
        <v>31</v>
      </c>
      <c r="E3719" s="19" t="s">
        <v>10459</v>
      </c>
      <c r="F3719" s="21">
        <f t="shared" si="596"/>
        <v>28.690000000000001</v>
      </c>
      <c r="G3719" s="21">
        <f t="shared" si="596"/>
        <v>28.690000000000001</v>
      </c>
      <c r="H3719" s="21">
        <f t="shared" si="596"/>
        <v>28.690000000000001</v>
      </c>
      <c r="I3719" s="24" t="str">
        <f t="shared" si="597"/>
        <v xml:space="preserve">COM VALOR</v>
      </c>
      <c r="L3719" s="36">
        <v>28.690000000000001</v>
      </c>
      <c r="M3719" s="37">
        <v>28.690000000000001</v>
      </c>
      <c r="N3719" s="36">
        <v>28.690000000000001</v>
      </c>
    </row>
    <row r="3720" ht="12.75">
      <c r="A3720" s="19" t="s">
        <v>10460</v>
      </c>
      <c r="B3720" s="19">
        <v>6027</v>
      </c>
      <c r="C3720" s="20" t="s">
        <v>14187</v>
      </c>
      <c r="D3720" s="19" t="s">
        <v>31</v>
      </c>
      <c r="E3720" s="19" t="s">
        <v>10459</v>
      </c>
      <c r="F3720" s="21">
        <f t="shared" si="596"/>
        <v>567.77999999999997</v>
      </c>
      <c r="G3720" s="21">
        <f t="shared" si="596"/>
        <v>567.77999999999997</v>
      </c>
      <c r="H3720" s="21">
        <f t="shared" si="596"/>
        <v>567.77999999999997</v>
      </c>
      <c r="I3720" s="24" t="str">
        <f t="shared" si="597"/>
        <v xml:space="preserve">COM VALOR</v>
      </c>
      <c r="L3720" s="36">
        <v>567.77999999999997</v>
      </c>
      <c r="M3720" s="37">
        <v>567.77999999999997</v>
      </c>
      <c r="N3720" s="36">
        <v>567.77999999999997</v>
      </c>
    </row>
    <row r="3721" ht="25.5">
      <c r="A3721" s="19" t="s">
        <v>10460</v>
      </c>
      <c r="B3721" s="19">
        <v>6015</v>
      </c>
      <c r="C3721" s="20" t="s">
        <v>14188</v>
      </c>
      <c r="D3721" s="19" t="s">
        <v>31</v>
      </c>
      <c r="E3721" s="19" t="s">
        <v>10459</v>
      </c>
      <c r="F3721" s="21">
        <f t="shared" si="596"/>
        <v>124.59</v>
      </c>
      <c r="G3721" s="21">
        <f t="shared" si="596"/>
        <v>124.59</v>
      </c>
      <c r="H3721" s="21">
        <f t="shared" si="596"/>
        <v>124.59</v>
      </c>
      <c r="I3721" s="24" t="str">
        <f t="shared" si="597"/>
        <v xml:space="preserve">COM VALOR</v>
      </c>
      <c r="L3721" s="36">
        <v>124.59</v>
      </c>
      <c r="M3721" s="37">
        <v>124.59</v>
      </c>
      <c r="N3721" s="36">
        <v>124.59</v>
      </c>
    </row>
    <row r="3722" ht="25.5">
      <c r="A3722" s="19" t="s">
        <v>10460</v>
      </c>
      <c r="B3722" s="19">
        <v>6014</v>
      </c>
      <c r="C3722" s="20" t="s">
        <v>14189</v>
      </c>
      <c r="D3722" s="19" t="s">
        <v>31</v>
      </c>
      <c r="E3722" s="19" t="s">
        <v>10459</v>
      </c>
      <c r="F3722" s="21">
        <f t="shared" si="596"/>
        <v>119.12</v>
      </c>
      <c r="G3722" s="21">
        <f t="shared" si="596"/>
        <v>119.12</v>
      </c>
      <c r="H3722" s="21">
        <f t="shared" si="596"/>
        <v>119.12</v>
      </c>
      <c r="I3722" s="24" t="str">
        <f t="shared" si="597"/>
        <v xml:space="preserve">COM VALOR</v>
      </c>
      <c r="L3722" s="36">
        <v>119.12</v>
      </c>
      <c r="M3722" s="37">
        <v>119.12</v>
      </c>
      <c r="N3722" s="36">
        <v>119.12</v>
      </c>
    </row>
    <row r="3723" ht="25.5">
      <c r="A3723" s="19" t="s">
        <v>10460</v>
      </c>
      <c r="B3723" s="19">
        <v>6013</v>
      </c>
      <c r="C3723" s="20" t="s">
        <v>14190</v>
      </c>
      <c r="D3723" s="19" t="s">
        <v>31</v>
      </c>
      <c r="E3723" s="19" t="s">
        <v>10459</v>
      </c>
      <c r="F3723" s="21">
        <f t="shared" ref="F3723:H3786" si="598">IF(L3723=0,"VERIFICAR",L3723)</f>
        <v>85.680000000000007</v>
      </c>
      <c r="G3723" s="21">
        <f t="shared" si="598"/>
        <v>85.680000000000007</v>
      </c>
      <c r="H3723" s="21">
        <f t="shared" si="598"/>
        <v>85.680000000000007</v>
      </c>
      <c r="I3723" s="24" t="str">
        <f t="shared" ref="I3723:I3786" si="599">IF(OR(L3723=0,M3723=0,N3723=0),"SEM VALOR","COM VALOR")</f>
        <v xml:space="preserve">COM VALOR</v>
      </c>
      <c r="L3723" s="36">
        <v>85.680000000000007</v>
      </c>
      <c r="M3723" s="37">
        <v>85.680000000000007</v>
      </c>
      <c r="N3723" s="36">
        <v>85.680000000000007</v>
      </c>
    </row>
    <row r="3724" ht="25.5">
      <c r="A3724" s="19" t="s">
        <v>10460</v>
      </c>
      <c r="B3724" s="19">
        <v>6006</v>
      </c>
      <c r="C3724" s="20" t="s">
        <v>14191</v>
      </c>
      <c r="D3724" s="19" t="s">
        <v>31</v>
      </c>
      <c r="E3724" s="19" t="s">
        <v>10459</v>
      </c>
      <c r="F3724" s="21">
        <f t="shared" si="598"/>
        <v>62.039999999999999</v>
      </c>
      <c r="G3724" s="21">
        <f t="shared" si="598"/>
        <v>62.039999999999999</v>
      </c>
      <c r="H3724" s="21">
        <f t="shared" si="598"/>
        <v>62.039999999999999</v>
      </c>
      <c r="I3724" s="24" t="str">
        <f t="shared" si="599"/>
        <v xml:space="preserve">COM VALOR</v>
      </c>
      <c r="L3724" s="36">
        <v>62.039999999999999</v>
      </c>
      <c r="M3724" s="37">
        <v>62.039999999999999</v>
      </c>
      <c r="N3724" s="36">
        <v>62.039999999999999</v>
      </c>
    </row>
    <row r="3725" ht="25.5">
      <c r="A3725" s="19" t="s">
        <v>10460</v>
      </c>
      <c r="B3725" s="19">
        <v>6005</v>
      </c>
      <c r="C3725" s="20" t="s">
        <v>14192</v>
      </c>
      <c r="D3725" s="19" t="s">
        <v>31</v>
      </c>
      <c r="E3725" s="19" t="s">
        <v>10466</v>
      </c>
      <c r="F3725" s="21">
        <f t="shared" si="598"/>
        <v>69.989999999999995</v>
      </c>
      <c r="G3725" s="21">
        <f t="shared" si="598"/>
        <v>69.989999999999995</v>
      </c>
      <c r="H3725" s="21">
        <f t="shared" si="598"/>
        <v>69.989999999999995</v>
      </c>
      <c r="I3725" s="24" t="str">
        <f t="shared" si="599"/>
        <v xml:space="preserve">COM VALOR</v>
      </c>
      <c r="L3725" s="36">
        <v>69.989999999999995</v>
      </c>
      <c r="M3725" s="37">
        <v>69.989999999999995</v>
      </c>
      <c r="N3725" s="36">
        <v>69.989999999999995</v>
      </c>
    </row>
    <row r="3726" ht="25.5">
      <c r="A3726" s="19" t="s">
        <v>10460</v>
      </c>
      <c r="B3726" s="19">
        <v>11756</v>
      </c>
      <c r="C3726" s="20" t="s">
        <v>14193</v>
      </c>
      <c r="D3726" s="19" t="s">
        <v>31</v>
      </c>
      <c r="E3726" s="19" t="s">
        <v>10459</v>
      </c>
      <c r="F3726" s="21">
        <f t="shared" si="598"/>
        <v>33.420000000000002</v>
      </c>
      <c r="G3726" s="21">
        <f t="shared" si="598"/>
        <v>33.420000000000002</v>
      </c>
      <c r="H3726" s="21">
        <f t="shared" si="598"/>
        <v>33.420000000000002</v>
      </c>
      <c r="I3726" s="24" t="str">
        <f t="shared" si="599"/>
        <v xml:space="preserve">COM VALOR</v>
      </c>
      <c r="L3726" s="36">
        <v>33.420000000000002</v>
      </c>
      <c r="M3726" s="37">
        <v>33.420000000000002</v>
      </c>
      <c r="N3726" s="36">
        <v>33.420000000000002</v>
      </c>
    </row>
    <row r="3727" ht="51">
      <c r="A3727" s="19" t="s">
        <v>10460</v>
      </c>
      <c r="B3727" s="19">
        <v>10904</v>
      </c>
      <c r="C3727" s="20" t="s">
        <v>14194</v>
      </c>
      <c r="D3727" s="19" t="s">
        <v>31</v>
      </c>
      <c r="E3727" s="19" t="s">
        <v>10466</v>
      </c>
      <c r="F3727" s="21">
        <f t="shared" si="598"/>
        <v>180</v>
      </c>
      <c r="G3727" s="21">
        <f t="shared" si="598"/>
        <v>180</v>
      </c>
      <c r="H3727" s="21">
        <f t="shared" si="598"/>
        <v>180</v>
      </c>
      <c r="I3727" s="24" t="str">
        <f t="shared" si="599"/>
        <v xml:space="preserve">COM VALOR</v>
      </c>
      <c r="L3727" s="36">
        <v>180</v>
      </c>
      <c r="M3727" s="37">
        <v>180</v>
      </c>
      <c r="N3727" s="36">
        <v>180</v>
      </c>
    </row>
    <row r="3728" ht="12.75">
      <c r="A3728" s="19" t="s">
        <v>10460</v>
      </c>
      <c r="B3728" s="19">
        <v>11752</v>
      </c>
      <c r="C3728" s="20" t="s">
        <v>14195</v>
      </c>
      <c r="D3728" s="19" t="s">
        <v>31</v>
      </c>
      <c r="E3728" s="19" t="s">
        <v>10459</v>
      </c>
      <c r="F3728" s="21">
        <f t="shared" si="598"/>
        <v>19.27</v>
      </c>
      <c r="G3728" s="21">
        <f t="shared" si="598"/>
        <v>19.27</v>
      </c>
      <c r="H3728" s="21">
        <f t="shared" si="598"/>
        <v>19.27</v>
      </c>
      <c r="I3728" s="24" t="str">
        <f t="shared" si="599"/>
        <v xml:space="preserve">COM VALOR</v>
      </c>
      <c r="L3728" s="36">
        <v>19.27</v>
      </c>
      <c r="M3728" s="37">
        <v>19.27</v>
      </c>
      <c r="N3728" s="36">
        <v>19.27</v>
      </c>
    </row>
    <row r="3729" ht="12.75">
      <c r="A3729" s="19" t="s">
        <v>10460</v>
      </c>
      <c r="B3729" s="19">
        <v>11753</v>
      </c>
      <c r="C3729" s="20" t="s">
        <v>14196</v>
      </c>
      <c r="D3729" s="19" t="s">
        <v>31</v>
      </c>
      <c r="E3729" s="19" t="s">
        <v>10459</v>
      </c>
      <c r="F3729" s="21">
        <f t="shared" si="598"/>
        <v>23.010000000000002</v>
      </c>
      <c r="G3729" s="21">
        <f t="shared" si="598"/>
        <v>23.010000000000002</v>
      </c>
      <c r="H3729" s="21">
        <f t="shared" si="598"/>
        <v>23.010000000000002</v>
      </c>
      <c r="I3729" s="24" t="str">
        <f t="shared" si="599"/>
        <v xml:space="preserve">COM VALOR</v>
      </c>
      <c r="L3729" s="36">
        <v>23.010000000000002</v>
      </c>
      <c r="M3729" s="37">
        <v>23.010000000000002</v>
      </c>
      <c r="N3729" s="36">
        <v>23.010000000000002</v>
      </c>
    </row>
    <row r="3730" ht="25.5">
      <c r="A3730" s="19" t="s">
        <v>10460</v>
      </c>
      <c r="B3730" s="19">
        <v>6021</v>
      </c>
      <c r="C3730" s="20" t="s">
        <v>14197</v>
      </c>
      <c r="D3730" s="19" t="s">
        <v>31</v>
      </c>
      <c r="E3730" s="19" t="s">
        <v>10459</v>
      </c>
      <c r="F3730" s="21">
        <f t="shared" si="598"/>
        <v>63.859999999999999</v>
      </c>
      <c r="G3730" s="21">
        <f t="shared" si="598"/>
        <v>63.859999999999999</v>
      </c>
      <c r="H3730" s="21">
        <f t="shared" si="598"/>
        <v>63.859999999999999</v>
      </c>
      <c r="I3730" s="24" t="str">
        <f t="shared" si="599"/>
        <v xml:space="preserve">COM VALOR</v>
      </c>
      <c r="L3730" s="36">
        <v>63.859999999999999</v>
      </c>
      <c r="M3730" s="37">
        <v>63.859999999999999</v>
      </c>
      <c r="N3730" s="36">
        <v>63.859999999999999</v>
      </c>
    </row>
    <row r="3731" ht="25.5">
      <c r="A3731" s="19" t="s">
        <v>10460</v>
      </c>
      <c r="B3731" s="19">
        <v>6024</v>
      </c>
      <c r="C3731" s="20" t="s">
        <v>14198</v>
      </c>
      <c r="D3731" s="19" t="s">
        <v>31</v>
      </c>
      <c r="E3731" s="19" t="s">
        <v>10459</v>
      </c>
      <c r="F3731" s="21">
        <f t="shared" si="598"/>
        <v>66.010000000000005</v>
      </c>
      <c r="G3731" s="21">
        <f t="shared" si="598"/>
        <v>66.010000000000005</v>
      </c>
      <c r="H3731" s="21">
        <f t="shared" si="598"/>
        <v>66.010000000000005</v>
      </c>
      <c r="I3731" s="24" t="str">
        <f t="shared" si="599"/>
        <v xml:space="preserve">COM VALOR</v>
      </c>
      <c r="L3731" s="36">
        <v>66.010000000000005</v>
      </c>
      <c r="M3731" s="37">
        <v>66.010000000000005</v>
      </c>
      <c r="N3731" s="36">
        <v>66.010000000000005</v>
      </c>
    </row>
    <row r="3732" ht="12.75">
      <c r="A3732" s="19" t="s">
        <v>10460</v>
      </c>
      <c r="B3732" s="19">
        <v>45394</v>
      </c>
      <c r="C3732" s="20" t="s">
        <v>14199</v>
      </c>
      <c r="D3732" s="19" t="s">
        <v>31</v>
      </c>
      <c r="E3732" s="19" t="s">
        <v>10459</v>
      </c>
      <c r="F3732" s="21">
        <f t="shared" si="598"/>
        <v>31.91</v>
      </c>
      <c r="G3732" s="21">
        <f t="shared" si="598"/>
        <v>31.91</v>
      </c>
      <c r="H3732" s="21">
        <f t="shared" si="598"/>
        <v>31.91</v>
      </c>
      <c r="I3732" s="24" t="str">
        <f t="shared" si="599"/>
        <v xml:space="preserve">COM VALOR</v>
      </c>
      <c r="L3732" s="36">
        <v>31.91</v>
      </c>
      <c r="M3732" s="37">
        <v>31.91</v>
      </c>
      <c r="N3732" s="36">
        <v>31.91</v>
      </c>
    </row>
    <row r="3733" ht="25.5">
      <c r="A3733" s="19" t="s">
        <v>10638</v>
      </c>
      <c r="B3733" s="19">
        <v>13897</v>
      </c>
      <c r="C3733" s="20" t="s">
        <v>14200</v>
      </c>
      <c r="D3733" s="19" t="s">
        <v>31</v>
      </c>
      <c r="E3733" s="19" t="s">
        <v>10459</v>
      </c>
      <c r="F3733" s="21" t="str">
        <f t="shared" si="598"/>
        <v>VERIFICAR</v>
      </c>
      <c r="G3733" s="21" t="str">
        <f t="shared" si="598"/>
        <v>VERIFICAR</v>
      </c>
      <c r="H3733" s="21" t="str">
        <f t="shared" si="598"/>
        <v>VERIFICAR</v>
      </c>
      <c r="I3733" s="24" t="str">
        <f t="shared" si="599"/>
        <v xml:space="preserve">SEM VALOR</v>
      </c>
      <c r="L3733" s="36"/>
      <c r="M3733" s="37"/>
      <c r="N3733" s="36"/>
    </row>
    <row r="3734" ht="12.75">
      <c r="A3734" s="19" t="s">
        <v>10460</v>
      </c>
      <c r="B3734" s="19">
        <v>34357</v>
      </c>
      <c r="C3734" s="20" t="s">
        <v>14201</v>
      </c>
      <c r="D3734" s="19" t="s">
        <v>302</v>
      </c>
      <c r="E3734" s="19" t="s">
        <v>10459</v>
      </c>
      <c r="F3734" s="21">
        <f t="shared" si="598"/>
        <v>5.8700000000000001</v>
      </c>
      <c r="G3734" s="21">
        <f t="shared" si="598"/>
        <v>5.8700000000000001</v>
      </c>
      <c r="H3734" s="21">
        <f t="shared" si="598"/>
        <v>5.8700000000000001</v>
      </c>
      <c r="I3734" s="24" t="str">
        <f t="shared" si="599"/>
        <v xml:space="preserve">COM VALOR</v>
      </c>
      <c r="L3734" s="36">
        <v>5.8700000000000001</v>
      </c>
      <c r="M3734" s="37">
        <v>5.8700000000000001</v>
      </c>
      <c r="N3734" s="36">
        <v>5.8700000000000001</v>
      </c>
    </row>
    <row r="3735" ht="12.75">
      <c r="A3735" s="19" t="s">
        <v>10460</v>
      </c>
      <c r="B3735" s="19">
        <v>37329</v>
      </c>
      <c r="C3735" s="20" t="s">
        <v>14202</v>
      </c>
      <c r="D3735" s="19" t="s">
        <v>302</v>
      </c>
      <c r="E3735" s="19" t="s">
        <v>10459</v>
      </c>
      <c r="F3735" s="21">
        <f t="shared" si="598"/>
        <v>123.67</v>
      </c>
      <c r="G3735" s="21">
        <f t="shared" si="598"/>
        <v>123.67</v>
      </c>
      <c r="H3735" s="21">
        <f t="shared" si="598"/>
        <v>123.67</v>
      </c>
      <c r="I3735" s="24" t="str">
        <f t="shared" si="599"/>
        <v xml:space="preserve">COM VALOR</v>
      </c>
      <c r="L3735" s="36">
        <v>123.67</v>
      </c>
      <c r="M3735" s="37">
        <v>123.67</v>
      </c>
      <c r="N3735" s="36">
        <v>123.67</v>
      </c>
    </row>
    <row r="3736" ht="25.5">
      <c r="A3736" s="19" t="s">
        <v>10460</v>
      </c>
      <c r="B3736" s="19">
        <v>2510</v>
      </c>
      <c r="C3736" s="20" t="s">
        <v>14203</v>
      </c>
      <c r="D3736" s="19" t="s">
        <v>31</v>
      </c>
      <c r="E3736" s="19" t="s">
        <v>10459</v>
      </c>
      <c r="F3736" s="21" t="str">
        <f t="shared" si="598"/>
        <v>VERIFICAR</v>
      </c>
      <c r="G3736" s="21" t="str">
        <f t="shared" si="598"/>
        <v>VERIFICAR</v>
      </c>
      <c r="H3736" s="21" t="str">
        <f t="shared" si="598"/>
        <v>VERIFICAR</v>
      </c>
      <c r="I3736" s="24" t="str">
        <f t="shared" si="599"/>
        <v xml:space="preserve">SEM VALOR</v>
      </c>
      <c r="L3736" s="36"/>
      <c r="M3736" s="37"/>
      <c r="N3736" s="36"/>
    </row>
    <row r="3737" ht="38.25">
      <c r="A3737" s="19" t="s">
        <v>10460</v>
      </c>
      <c r="B3737" s="19">
        <v>12359</v>
      </c>
      <c r="C3737" s="20" t="s">
        <v>14204</v>
      </c>
      <c r="D3737" s="19" t="s">
        <v>31</v>
      </c>
      <c r="E3737" s="19" t="s">
        <v>10459</v>
      </c>
      <c r="F3737" s="21">
        <f t="shared" si="598"/>
        <v>191.88999999999999</v>
      </c>
      <c r="G3737" s="21">
        <f t="shared" si="598"/>
        <v>191.88999999999999</v>
      </c>
      <c r="H3737" s="21">
        <f t="shared" si="598"/>
        <v>191.88999999999999</v>
      </c>
      <c r="I3737" s="24" t="str">
        <f t="shared" si="599"/>
        <v xml:space="preserve">COM VALOR</v>
      </c>
      <c r="L3737" s="36">
        <v>191.88999999999999</v>
      </c>
      <c r="M3737" s="37">
        <v>191.88999999999999</v>
      </c>
      <c r="N3737" s="36">
        <v>191.88999999999999</v>
      </c>
    </row>
    <row r="3738" ht="12.75">
      <c r="A3738" s="19" t="s">
        <v>10460</v>
      </c>
      <c r="B3738" s="19">
        <v>7353</v>
      </c>
      <c r="C3738" s="20" t="s">
        <v>14205</v>
      </c>
      <c r="D3738" s="19" t="s">
        <v>9794</v>
      </c>
      <c r="E3738" s="19" t="s">
        <v>10459</v>
      </c>
      <c r="F3738" s="21">
        <f t="shared" si="598"/>
        <v>34.369999999999997</v>
      </c>
      <c r="G3738" s="21">
        <f t="shared" si="598"/>
        <v>34.369999999999997</v>
      </c>
      <c r="H3738" s="21">
        <f t="shared" si="598"/>
        <v>34.369999999999997</v>
      </c>
      <c r="I3738" s="24" t="str">
        <f t="shared" si="599"/>
        <v xml:space="preserve">COM VALOR</v>
      </c>
      <c r="L3738" s="36">
        <v>34.369999999999997</v>
      </c>
      <c r="M3738" s="37">
        <v>34.369999999999997</v>
      </c>
      <c r="N3738" s="36">
        <v>34.369999999999997</v>
      </c>
    </row>
    <row r="3739" ht="38.25">
      <c r="A3739" s="19" t="s">
        <v>10460</v>
      </c>
      <c r="B3739" s="19">
        <v>45264</v>
      </c>
      <c r="C3739" s="20" t="s">
        <v>14206</v>
      </c>
      <c r="D3739" s="19" t="s">
        <v>31</v>
      </c>
      <c r="E3739" s="19" t="s">
        <v>10459</v>
      </c>
      <c r="F3739" s="21">
        <f t="shared" si="598"/>
        <v>27.649999999999999</v>
      </c>
      <c r="G3739" s="21">
        <f t="shared" si="598"/>
        <v>27.649999999999999</v>
      </c>
      <c r="H3739" s="21">
        <f t="shared" si="598"/>
        <v>27.649999999999999</v>
      </c>
      <c r="I3739" s="24" t="str">
        <f t="shared" si="599"/>
        <v xml:space="preserve">COM VALOR</v>
      </c>
      <c r="L3739" s="36">
        <v>27.649999999999999</v>
      </c>
      <c r="M3739" s="37">
        <v>27.649999999999999</v>
      </c>
      <c r="N3739" s="36">
        <v>27.649999999999999</v>
      </c>
    </row>
    <row r="3740" ht="25.5">
      <c r="A3740" s="19" t="s">
        <v>10460</v>
      </c>
      <c r="B3740" s="19">
        <v>36144</v>
      </c>
      <c r="C3740" s="20" t="s">
        <v>14207</v>
      </c>
      <c r="D3740" s="19" t="s">
        <v>31</v>
      </c>
      <c r="E3740" s="19" t="s">
        <v>10459</v>
      </c>
      <c r="F3740" s="21">
        <f t="shared" si="598"/>
        <v>1.72</v>
      </c>
      <c r="G3740" s="21">
        <f t="shared" si="598"/>
        <v>1.72</v>
      </c>
      <c r="H3740" s="21">
        <f t="shared" si="598"/>
        <v>1.72</v>
      </c>
      <c r="I3740" s="24" t="str">
        <f t="shared" si="599"/>
        <v xml:space="preserve">COM VALOR</v>
      </c>
      <c r="L3740" s="36">
        <v>1.72</v>
      </c>
      <c r="M3740" s="37">
        <v>1.72</v>
      </c>
      <c r="N3740" s="36">
        <v>1.72</v>
      </c>
    </row>
    <row r="3741" ht="12.75">
      <c r="A3741" s="19" t="s">
        <v>10460</v>
      </c>
      <c r="B3741" s="19">
        <v>10518</v>
      </c>
      <c r="C3741" s="20" t="s">
        <v>14208</v>
      </c>
      <c r="D3741" s="19" t="s">
        <v>31</v>
      </c>
      <c r="E3741" s="19" t="s">
        <v>10459</v>
      </c>
      <c r="F3741" s="21" t="str">
        <f t="shared" si="598"/>
        <v>VERIFICAR</v>
      </c>
      <c r="G3741" s="21" t="str">
        <f t="shared" si="598"/>
        <v>VERIFICAR</v>
      </c>
      <c r="H3741" s="21" t="str">
        <f t="shared" si="598"/>
        <v>VERIFICAR</v>
      </c>
      <c r="I3741" s="24" t="str">
        <f t="shared" si="599"/>
        <v xml:space="preserve">SEM VALOR</v>
      </c>
      <c r="L3741" s="36"/>
      <c r="M3741" s="37"/>
      <c r="N3741" s="36"/>
    </row>
    <row r="3742" ht="63.75">
      <c r="A3742" s="19" t="s">
        <v>10638</v>
      </c>
      <c r="B3742" s="19">
        <v>36530</v>
      </c>
      <c r="C3742" s="20" t="s">
        <v>14209</v>
      </c>
      <c r="D3742" s="19" t="s">
        <v>31</v>
      </c>
      <c r="E3742" s="19" t="s">
        <v>10459</v>
      </c>
      <c r="F3742" s="21">
        <f t="shared" si="598"/>
        <v>414878.03999999998</v>
      </c>
      <c r="G3742" s="21">
        <f t="shared" si="598"/>
        <v>414878.03999999998</v>
      </c>
      <c r="H3742" s="21">
        <f t="shared" si="598"/>
        <v>414878.03999999998</v>
      </c>
      <c r="I3742" s="24" t="str">
        <f t="shared" si="599"/>
        <v xml:space="preserve">COM VALOR</v>
      </c>
      <c r="L3742" s="36">
        <v>414878.03999999998</v>
      </c>
      <c r="M3742" s="37">
        <v>414878.03999999998</v>
      </c>
      <c r="N3742" s="36">
        <v>414878.03999999998</v>
      </c>
    </row>
    <row r="3743" ht="63.75">
      <c r="A3743" s="19" t="s">
        <v>10638</v>
      </c>
      <c r="B3743" s="19">
        <v>6046</v>
      </c>
      <c r="C3743" s="20" t="s">
        <v>14210</v>
      </c>
      <c r="D3743" s="19" t="s">
        <v>31</v>
      </c>
      <c r="E3743" s="19" t="s">
        <v>10466</v>
      </c>
      <c r="F3743" s="21">
        <f t="shared" si="598"/>
        <v>450000</v>
      </c>
      <c r="G3743" s="21">
        <f t="shared" si="598"/>
        <v>450000</v>
      </c>
      <c r="H3743" s="21">
        <f t="shared" si="598"/>
        <v>450000</v>
      </c>
      <c r="I3743" s="24" t="str">
        <f t="shared" si="599"/>
        <v xml:space="preserve">COM VALOR</v>
      </c>
      <c r="L3743" s="36">
        <v>450000</v>
      </c>
      <c r="M3743" s="37">
        <v>450000</v>
      </c>
      <c r="N3743" s="36">
        <v>450000</v>
      </c>
    </row>
    <row r="3744" ht="63.75">
      <c r="A3744" s="19" t="s">
        <v>10638</v>
      </c>
      <c r="B3744" s="19">
        <v>36531</v>
      </c>
      <c r="C3744" s="20" t="s">
        <v>14211</v>
      </c>
      <c r="D3744" s="19" t="s">
        <v>31</v>
      </c>
      <c r="E3744" s="19" t="s">
        <v>10459</v>
      </c>
      <c r="F3744" s="21">
        <f t="shared" si="598"/>
        <v>466463.38</v>
      </c>
      <c r="G3744" s="21">
        <f t="shared" si="598"/>
        <v>466463.38</v>
      </c>
      <c r="H3744" s="21">
        <f t="shared" si="598"/>
        <v>466463.38</v>
      </c>
      <c r="I3744" s="24" t="str">
        <f t="shared" si="599"/>
        <v xml:space="preserve">COM VALOR</v>
      </c>
      <c r="L3744" s="36">
        <v>466463.38</v>
      </c>
      <c r="M3744" s="37">
        <v>466463.38</v>
      </c>
      <c r="N3744" s="36">
        <v>466463.38</v>
      </c>
    </row>
    <row r="3745" ht="25.5">
      <c r="A3745" s="19" t="s">
        <v>10457</v>
      </c>
      <c r="B3745" s="19">
        <v>34684</v>
      </c>
      <c r="C3745" s="20" t="s">
        <v>14212</v>
      </c>
      <c r="D3745" s="19" t="s">
        <v>29</v>
      </c>
      <c r="E3745" s="19" t="s">
        <v>10459</v>
      </c>
      <c r="F3745" s="21" t="str">
        <f t="shared" si="598"/>
        <v>VERIFICAR</v>
      </c>
      <c r="G3745" s="21" t="str">
        <f t="shared" si="598"/>
        <v>VERIFICAR</v>
      </c>
      <c r="H3745" s="21" t="str">
        <f t="shared" si="598"/>
        <v>VERIFICAR</v>
      </c>
      <c r="I3745" s="24" t="str">
        <f t="shared" si="599"/>
        <v xml:space="preserve">SEM VALOR</v>
      </c>
      <c r="L3745" s="36"/>
      <c r="M3745" s="37"/>
      <c r="N3745" s="36"/>
    </row>
    <row r="3746" ht="25.5">
      <c r="A3746" s="19" t="s">
        <v>10457</v>
      </c>
      <c r="B3746" s="19">
        <v>34683</v>
      </c>
      <c r="C3746" s="20" t="s">
        <v>14213</v>
      </c>
      <c r="D3746" s="19" t="s">
        <v>29</v>
      </c>
      <c r="E3746" s="19" t="s">
        <v>10459</v>
      </c>
      <c r="F3746" s="21" t="str">
        <f t="shared" si="598"/>
        <v>VERIFICAR</v>
      </c>
      <c r="G3746" s="21" t="str">
        <f t="shared" si="598"/>
        <v>VERIFICAR</v>
      </c>
      <c r="H3746" s="21" t="str">
        <f t="shared" si="598"/>
        <v>VERIFICAR</v>
      </c>
      <c r="I3746" s="24" t="str">
        <f t="shared" si="599"/>
        <v xml:space="preserve">SEM VALOR</v>
      </c>
      <c r="L3746" s="36"/>
      <c r="M3746" s="37"/>
      <c r="N3746" s="36"/>
    </row>
    <row r="3747" ht="38.25">
      <c r="A3747" s="19" t="s">
        <v>10460</v>
      </c>
      <c r="B3747" s="19">
        <v>44954</v>
      </c>
      <c r="C3747" s="20" t="s">
        <v>14214</v>
      </c>
      <c r="D3747" s="19" t="s">
        <v>29</v>
      </c>
      <c r="E3747" s="19" t="s">
        <v>10459</v>
      </c>
      <c r="F3747" s="21">
        <f t="shared" si="598"/>
        <v>128.87</v>
      </c>
      <c r="G3747" s="21">
        <f t="shared" si="598"/>
        <v>128.87</v>
      </c>
      <c r="H3747" s="21">
        <f t="shared" si="598"/>
        <v>128.87</v>
      </c>
      <c r="I3747" s="24" t="str">
        <f t="shared" si="599"/>
        <v xml:space="preserve">COM VALOR</v>
      </c>
      <c r="L3747" s="36">
        <v>128.87</v>
      </c>
      <c r="M3747" s="37">
        <v>128.87</v>
      </c>
      <c r="N3747" s="36">
        <v>128.87</v>
      </c>
    </row>
    <row r="3748" ht="38.25">
      <c r="A3748" s="19" t="s">
        <v>10460</v>
      </c>
      <c r="B3748" s="19">
        <v>44955</v>
      </c>
      <c r="C3748" s="20" t="s">
        <v>14215</v>
      </c>
      <c r="D3748" s="19" t="s">
        <v>29</v>
      </c>
      <c r="E3748" s="19" t="s">
        <v>10459</v>
      </c>
      <c r="F3748" s="21">
        <f t="shared" si="598"/>
        <v>188.31999999999999</v>
      </c>
      <c r="G3748" s="21">
        <f t="shared" si="598"/>
        <v>188.31999999999999</v>
      </c>
      <c r="H3748" s="21">
        <f t="shared" si="598"/>
        <v>188.31999999999999</v>
      </c>
      <c r="I3748" s="24" t="str">
        <f t="shared" si="599"/>
        <v xml:space="preserve">COM VALOR</v>
      </c>
      <c r="L3748" s="36">
        <v>188.31999999999999</v>
      </c>
      <c r="M3748" s="37">
        <v>188.31999999999999</v>
      </c>
      <c r="N3748" s="36">
        <v>188.31999999999999</v>
      </c>
    </row>
    <row r="3749" ht="25.5">
      <c r="A3749" s="19" t="s">
        <v>10460</v>
      </c>
      <c r="B3749" s="19">
        <v>10515</v>
      </c>
      <c r="C3749" s="20" t="s">
        <v>14216</v>
      </c>
      <c r="D3749" s="19" t="s">
        <v>29</v>
      </c>
      <c r="E3749" s="19" t="s">
        <v>10459</v>
      </c>
      <c r="F3749" s="21">
        <f t="shared" si="598"/>
        <v>63.969999999999999</v>
      </c>
      <c r="G3749" s="21">
        <f t="shared" si="598"/>
        <v>63.969999999999999</v>
      </c>
      <c r="H3749" s="21">
        <f t="shared" si="598"/>
        <v>63.969999999999999</v>
      </c>
      <c r="I3749" s="24" t="str">
        <f t="shared" si="599"/>
        <v xml:space="preserve">COM VALOR</v>
      </c>
      <c r="L3749" s="36">
        <v>63.969999999999999</v>
      </c>
      <c r="M3749" s="37">
        <v>63.969999999999999</v>
      </c>
      <c r="N3749" s="36">
        <v>63.969999999999999</v>
      </c>
    </row>
    <row r="3750" ht="25.5">
      <c r="A3750" s="19" t="s">
        <v>10460</v>
      </c>
      <c r="B3750" s="19">
        <v>153</v>
      </c>
      <c r="C3750" s="20" t="s">
        <v>14217</v>
      </c>
      <c r="D3750" s="19" t="s">
        <v>9794</v>
      </c>
      <c r="E3750" s="19" t="s">
        <v>10459</v>
      </c>
      <c r="F3750" s="21">
        <f t="shared" si="598"/>
        <v>92.799999999999997</v>
      </c>
      <c r="G3750" s="21">
        <f t="shared" si="598"/>
        <v>92.799999999999997</v>
      </c>
      <c r="H3750" s="21">
        <f t="shared" si="598"/>
        <v>92.799999999999997</v>
      </c>
      <c r="I3750" s="24" t="str">
        <f t="shared" si="599"/>
        <v xml:space="preserve">COM VALOR</v>
      </c>
      <c r="L3750" s="36">
        <v>92.799999999999997</v>
      </c>
      <c r="M3750" s="37">
        <v>92.799999999999997</v>
      </c>
      <c r="N3750" s="36">
        <v>92.799999999999997</v>
      </c>
    </row>
    <row r="3751" ht="25.5">
      <c r="A3751" s="19" t="s">
        <v>10457</v>
      </c>
      <c r="B3751" s="19">
        <v>34682</v>
      </c>
      <c r="C3751" s="20" t="s">
        <v>14218</v>
      </c>
      <c r="D3751" s="19" t="s">
        <v>29</v>
      </c>
      <c r="E3751" s="19" t="s">
        <v>10459</v>
      </c>
      <c r="F3751" s="21" t="str">
        <f t="shared" si="598"/>
        <v>VERIFICAR</v>
      </c>
      <c r="G3751" s="21" t="str">
        <f t="shared" si="598"/>
        <v>VERIFICAR</v>
      </c>
      <c r="H3751" s="21" t="str">
        <f t="shared" si="598"/>
        <v>VERIFICAR</v>
      </c>
      <c r="I3751" s="24" t="str">
        <f t="shared" si="599"/>
        <v xml:space="preserve">SEM VALOR</v>
      </c>
      <c r="L3751" s="36"/>
      <c r="M3751" s="37"/>
      <c r="N3751" s="36"/>
    </row>
    <row r="3752" ht="25.5">
      <c r="A3752" s="19" t="s">
        <v>10460</v>
      </c>
      <c r="B3752" s="19">
        <v>536</v>
      </c>
      <c r="C3752" s="20" t="s">
        <v>14219</v>
      </c>
      <c r="D3752" s="19" t="s">
        <v>29</v>
      </c>
      <c r="E3752" s="19" t="s">
        <v>10459</v>
      </c>
      <c r="F3752" s="21">
        <f t="shared" si="598"/>
        <v>36.030000000000001</v>
      </c>
      <c r="G3752" s="21">
        <f t="shared" si="598"/>
        <v>36.030000000000001</v>
      </c>
      <c r="H3752" s="21">
        <f t="shared" si="598"/>
        <v>36.030000000000001</v>
      </c>
      <c r="I3752" s="24" t="str">
        <f t="shared" si="599"/>
        <v xml:space="preserve">COM VALOR</v>
      </c>
      <c r="L3752" s="36">
        <v>36.030000000000001</v>
      </c>
      <c r="M3752" s="37">
        <v>36.030000000000001</v>
      </c>
      <c r="N3752" s="36">
        <v>36.030000000000001</v>
      </c>
    </row>
    <row r="3753" ht="38.25">
      <c r="A3753" s="19" t="s">
        <v>10460</v>
      </c>
      <c r="B3753" s="19">
        <v>20205</v>
      </c>
      <c r="C3753" s="20" t="s">
        <v>14220</v>
      </c>
      <c r="D3753" s="19" t="s">
        <v>38</v>
      </c>
      <c r="E3753" s="19" t="s">
        <v>10459</v>
      </c>
      <c r="F3753" s="21">
        <f t="shared" si="598"/>
        <v>3.77</v>
      </c>
      <c r="G3753" s="21">
        <f t="shared" si="598"/>
        <v>3.77</v>
      </c>
      <c r="H3753" s="21">
        <f t="shared" si="598"/>
        <v>3.77</v>
      </c>
      <c r="I3753" s="24" t="str">
        <f t="shared" si="599"/>
        <v xml:space="preserve">COM VALOR</v>
      </c>
      <c r="L3753" s="36">
        <v>3.77</v>
      </c>
      <c r="M3753" s="37">
        <v>3.77</v>
      </c>
      <c r="N3753" s="36">
        <v>3.77</v>
      </c>
    </row>
    <row r="3754" ht="38.25">
      <c r="A3754" s="19" t="s">
        <v>10460</v>
      </c>
      <c r="B3754" s="19">
        <v>4412</v>
      </c>
      <c r="C3754" s="20" t="s">
        <v>14221</v>
      </c>
      <c r="D3754" s="19" t="s">
        <v>38</v>
      </c>
      <c r="E3754" s="19" t="s">
        <v>10459</v>
      </c>
      <c r="F3754" s="21">
        <f t="shared" si="598"/>
        <v>2.2599999999999998</v>
      </c>
      <c r="G3754" s="21">
        <f t="shared" si="598"/>
        <v>2.2599999999999998</v>
      </c>
      <c r="H3754" s="21">
        <f t="shared" si="598"/>
        <v>2.2599999999999998</v>
      </c>
      <c r="I3754" s="24" t="str">
        <f t="shared" si="599"/>
        <v xml:space="preserve">COM VALOR</v>
      </c>
      <c r="L3754" s="36">
        <v>2.2599999999999998</v>
      </c>
      <c r="M3754" s="37">
        <v>2.2599999999999998</v>
      </c>
      <c r="N3754" s="36">
        <v>2.2599999999999998</v>
      </c>
    </row>
    <row r="3755" ht="38.25">
      <c r="A3755" s="19" t="s">
        <v>10460</v>
      </c>
      <c r="B3755" s="19">
        <v>4408</v>
      </c>
      <c r="C3755" s="20" t="s">
        <v>14222</v>
      </c>
      <c r="D3755" s="19" t="s">
        <v>38</v>
      </c>
      <c r="E3755" s="19" t="s">
        <v>10459</v>
      </c>
      <c r="F3755" s="21">
        <f t="shared" si="598"/>
        <v>2.8199999999999998</v>
      </c>
      <c r="G3755" s="21">
        <f t="shared" si="598"/>
        <v>2.8199999999999998</v>
      </c>
      <c r="H3755" s="21">
        <f t="shared" si="598"/>
        <v>2.8199999999999998</v>
      </c>
      <c r="I3755" s="24" t="str">
        <f t="shared" si="599"/>
        <v xml:space="preserve">COM VALOR</v>
      </c>
      <c r="L3755" s="36">
        <v>2.8199999999999998</v>
      </c>
      <c r="M3755" s="37">
        <v>2.8199999999999998</v>
      </c>
      <c r="N3755" s="36">
        <v>2.8199999999999998</v>
      </c>
    </row>
    <row r="3756" ht="25.5">
      <c r="A3756" s="19" t="s">
        <v>10460</v>
      </c>
      <c r="B3756" s="19">
        <v>45213</v>
      </c>
      <c r="C3756" s="20" t="s">
        <v>14223</v>
      </c>
      <c r="D3756" s="19" t="s">
        <v>31</v>
      </c>
      <c r="E3756" s="19" t="s">
        <v>10459</v>
      </c>
      <c r="F3756" s="21">
        <f t="shared" si="598"/>
        <v>29.379999999999999</v>
      </c>
      <c r="G3756" s="21">
        <f t="shared" si="598"/>
        <v>29.379999999999999</v>
      </c>
      <c r="H3756" s="21">
        <f t="shared" si="598"/>
        <v>29.379999999999999</v>
      </c>
      <c r="I3756" s="24" t="str">
        <f t="shared" si="599"/>
        <v xml:space="preserve">COM VALOR</v>
      </c>
      <c r="L3756" s="36">
        <v>29.379999999999999</v>
      </c>
      <c r="M3756" s="37">
        <v>29.379999999999999</v>
      </c>
      <c r="N3756" s="36">
        <v>29.379999999999999</v>
      </c>
    </row>
    <row r="3757" ht="25.5">
      <c r="A3757" s="19" t="s">
        <v>10460</v>
      </c>
      <c r="B3757" s="19">
        <v>36250</v>
      </c>
      <c r="C3757" s="20" t="s">
        <v>14224</v>
      </c>
      <c r="D3757" s="19" t="s">
        <v>38</v>
      </c>
      <c r="E3757" s="19" t="s">
        <v>10459</v>
      </c>
      <c r="F3757" s="21">
        <f t="shared" si="598"/>
        <v>5.9500000000000002</v>
      </c>
      <c r="G3757" s="21">
        <f t="shared" si="598"/>
        <v>5.9500000000000002</v>
      </c>
      <c r="H3757" s="21">
        <f t="shared" si="598"/>
        <v>5.9500000000000002</v>
      </c>
      <c r="I3757" s="24" t="str">
        <f t="shared" si="599"/>
        <v xml:space="preserve">COM VALOR</v>
      </c>
      <c r="L3757" s="36">
        <v>5.9500000000000002</v>
      </c>
      <c r="M3757" s="37">
        <v>5.9500000000000002</v>
      </c>
      <c r="N3757" s="36">
        <v>5.9500000000000002</v>
      </c>
    </row>
    <row r="3758" ht="12.75">
      <c r="A3758" s="19" t="s">
        <v>10460</v>
      </c>
      <c r="B3758" s="19">
        <v>10857</v>
      </c>
      <c r="C3758" s="20" t="s">
        <v>14225</v>
      </c>
      <c r="D3758" s="19" t="s">
        <v>38</v>
      </c>
      <c r="E3758" s="19" t="s">
        <v>10459</v>
      </c>
      <c r="F3758" s="21" t="str">
        <f t="shared" si="598"/>
        <v>VERIFICAR</v>
      </c>
      <c r="G3758" s="21" t="str">
        <f t="shared" si="598"/>
        <v>VERIFICAR</v>
      </c>
      <c r="H3758" s="21" t="str">
        <f t="shared" si="598"/>
        <v>VERIFICAR</v>
      </c>
      <c r="I3758" s="24" t="str">
        <f t="shared" si="599"/>
        <v xml:space="preserve">SEM VALOR</v>
      </c>
      <c r="L3758" s="36"/>
      <c r="M3758" s="37"/>
      <c r="N3758" s="36"/>
    </row>
    <row r="3759" ht="25.5">
      <c r="A3759" s="19" t="s">
        <v>10460</v>
      </c>
      <c r="B3759" s="19">
        <v>4803</v>
      </c>
      <c r="C3759" s="20" t="s">
        <v>14226</v>
      </c>
      <c r="D3759" s="19" t="s">
        <v>38</v>
      </c>
      <c r="E3759" s="19" t="s">
        <v>10459</v>
      </c>
      <c r="F3759" s="21">
        <f t="shared" si="598"/>
        <v>29.870000000000001</v>
      </c>
      <c r="G3759" s="21">
        <f t="shared" si="598"/>
        <v>29.870000000000001</v>
      </c>
      <c r="H3759" s="21">
        <f t="shared" si="598"/>
        <v>29.870000000000001</v>
      </c>
      <c r="I3759" s="24" t="str">
        <f t="shared" si="599"/>
        <v xml:space="preserve">COM VALOR</v>
      </c>
      <c r="L3759" s="36">
        <v>29.870000000000001</v>
      </c>
      <c r="M3759" s="37">
        <v>29.870000000000001</v>
      </c>
      <c r="N3759" s="36">
        <v>29.870000000000001</v>
      </c>
    </row>
    <row r="3760" ht="25.5">
      <c r="A3760" s="19" t="s">
        <v>10460</v>
      </c>
      <c r="B3760" s="19">
        <v>6186</v>
      </c>
      <c r="C3760" s="20" t="s">
        <v>14227</v>
      </c>
      <c r="D3760" s="19" t="s">
        <v>38</v>
      </c>
      <c r="E3760" s="19" t="s">
        <v>10459</v>
      </c>
      <c r="F3760" s="21" t="str">
        <f t="shared" si="598"/>
        <v>VERIFICAR</v>
      </c>
      <c r="G3760" s="21" t="str">
        <f t="shared" si="598"/>
        <v>VERIFICAR</v>
      </c>
      <c r="H3760" s="21" t="str">
        <f t="shared" si="598"/>
        <v>VERIFICAR</v>
      </c>
      <c r="I3760" s="24" t="str">
        <f t="shared" si="599"/>
        <v xml:space="preserve">SEM VALOR</v>
      </c>
      <c r="L3760" s="36"/>
      <c r="M3760" s="37"/>
      <c r="N3760" s="36"/>
    </row>
    <row r="3761" ht="25.5">
      <c r="A3761" s="19" t="s">
        <v>10460</v>
      </c>
      <c r="B3761" s="19">
        <v>4829</v>
      </c>
      <c r="C3761" s="20" t="s">
        <v>14228</v>
      </c>
      <c r="D3761" s="19" t="s">
        <v>38</v>
      </c>
      <c r="E3761" s="19" t="s">
        <v>10459</v>
      </c>
      <c r="F3761" s="21">
        <f t="shared" si="598"/>
        <v>63.689999999999998</v>
      </c>
      <c r="G3761" s="21">
        <f t="shared" si="598"/>
        <v>63.689999999999998</v>
      </c>
      <c r="H3761" s="21">
        <f t="shared" si="598"/>
        <v>63.689999999999998</v>
      </c>
      <c r="I3761" s="24" t="str">
        <f t="shared" si="599"/>
        <v xml:space="preserve">COM VALOR</v>
      </c>
      <c r="L3761" s="36">
        <v>63.689999999999998</v>
      </c>
      <c r="M3761" s="37">
        <v>63.689999999999998</v>
      </c>
      <c r="N3761" s="36">
        <v>63.689999999999998</v>
      </c>
    </row>
    <row r="3762" ht="12.75">
      <c r="A3762" s="19" t="s">
        <v>10460</v>
      </c>
      <c r="B3762" s="19">
        <v>39829</v>
      </c>
      <c r="C3762" s="20" t="s">
        <v>14229</v>
      </c>
      <c r="D3762" s="19" t="s">
        <v>38</v>
      </c>
      <c r="E3762" s="19" t="s">
        <v>10466</v>
      </c>
      <c r="F3762" s="21">
        <f t="shared" si="598"/>
        <v>34.880000000000003</v>
      </c>
      <c r="G3762" s="21">
        <f t="shared" si="598"/>
        <v>34.880000000000003</v>
      </c>
      <c r="H3762" s="21">
        <f t="shared" si="598"/>
        <v>34.880000000000003</v>
      </c>
      <c r="I3762" s="24" t="str">
        <f t="shared" si="599"/>
        <v xml:space="preserve">COM VALOR</v>
      </c>
      <c r="L3762" s="36">
        <v>34.880000000000003</v>
      </c>
      <c r="M3762" s="37">
        <v>34.880000000000003</v>
      </c>
      <c r="N3762" s="36">
        <v>34.880000000000003</v>
      </c>
    </row>
    <row r="3763" ht="38.25">
      <c r="A3763" s="19" t="s">
        <v>10460</v>
      </c>
      <c r="B3763" s="19">
        <v>20231</v>
      </c>
      <c r="C3763" s="20" t="s">
        <v>14230</v>
      </c>
      <c r="D3763" s="19" t="s">
        <v>38</v>
      </c>
      <c r="E3763" s="19" t="s">
        <v>10459</v>
      </c>
      <c r="F3763" s="21">
        <f t="shared" si="598"/>
        <v>66.980000000000004</v>
      </c>
      <c r="G3763" s="21">
        <f t="shared" si="598"/>
        <v>66.980000000000004</v>
      </c>
      <c r="H3763" s="21">
        <f t="shared" si="598"/>
        <v>66.980000000000004</v>
      </c>
      <c r="I3763" s="24" t="str">
        <f t="shared" si="599"/>
        <v xml:space="preserve">COM VALOR</v>
      </c>
      <c r="L3763" s="36">
        <v>66.980000000000004</v>
      </c>
      <c r="M3763" s="37">
        <v>66.980000000000004</v>
      </c>
      <c r="N3763" s="36">
        <v>66.980000000000004</v>
      </c>
    </row>
    <row r="3764" ht="12.75">
      <c r="A3764" s="19" t="s">
        <v>10460</v>
      </c>
      <c r="B3764" s="19">
        <v>4804</v>
      </c>
      <c r="C3764" s="20" t="s">
        <v>14231</v>
      </c>
      <c r="D3764" s="19" t="s">
        <v>38</v>
      </c>
      <c r="E3764" s="19" t="s">
        <v>10459</v>
      </c>
      <c r="F3764" s="21">
        <f t="shared" si="598"/>
        <v>22.93</v>
      </c>
      <c r="G3764" s="21">
        <f t="shared" si="598"/>
        <v>22.93</v>
      </c>
      <c r="H3764" s="21">
        <f t="shared" si="598"/>
        <v>22.93</v>
      </c>
      <c r="I3764" s="24" t="str">
        <f t="shared" si="599"/>
        <v xml:space="preserve">COM VALOR</v>
      </c>
      <c r="L3764" s="36">
        <v>22.93</v>
      </c>
      <c r="M3764" s="37">
        <v>22.93</v>
      </c>
      <c r="N3764" s="36">
        <v>22.93</v>
      </c>
    </row>
    <row r="3765" ht="25.5">
      <c r="A3765" s="19" t="s">
        <v>10460</v>
      </c>
      <c r="B3765" s="19">
        <v>34680</v>
      </c>
      <c r="C3765" s="20" t="s">
        <v>14232</v>
      </c>
      <c r="D3765" s="19" t="s">
        <v>38</v>
      </c>
      <c r="E3765" s="19" t="s">
        <v>10459</v>
      </c>
      <c r="F3765" s="21" t="str">
        <f t="shared" si="598"/>
        <v>VERIFICAR</v>
      </c>
      <c r="G3765" s="21" t="str">
        <f t="shared" si="598"/>
        <v>VERIFICAR</v>
      </c>
      <c r="H3765" s="21" t="str">
        <f t="shared" si="598"/>
        <v>VERIFICAR</v>
      </c>
      <c r="I3765" s="24" t="str">
        <f t="shared" si="599"/>
        <v xml:space="preserve">SEM VALOR</v>
      </c>
      <c r="L3765" s="36"/>
      <c r="M3765" s="37"/>
      <c r="N3765" s="36"/>
    </row>
    <row r="3766" ht="38.25">
      <c r="A3766" s="19" t="s">
        <v>10460</v>
      </c>
      <c r="B3766" s="19">
        <v>11573</v>
      </c>
      <c r="C3766" s="20" t="s">
        <v>14233</v>
      </c>
      <c r="D3766" s="19" t="s">
        <v>31</v>
      </c>
      <c r="E3766" s="19" t="s">
        <v>10459</v>
      </c>
      <c r="F3766" s="21">
        <f t="shared" si="598"/>
        <v>7.0599999999999996</v>
      </c>
      <c r="G3766" s="21">
        <f t="shared" si="598"/>
        <v>7.0599999999999996</v>
      </c>
      <c r="H3766" s="21">
        <f t="shared" si="598"/>
        <v>7.0599999999999996</v>
      </c>
      <c r="I3766" s="24" t="str">
        <f t="shared" si="599"/>
        <v xml:space="preserve">COM VALOR</v>
      </c>
      <c r="L3766" s="36">
        <v>7.0599999999999996</v>
      </c>
      <c r="M3766" s="37">
        <v>7.0599999999999996</v>
      </c>
      <c r="N3766" s="36">
        <v>7.0599999999999996</v>
      </c>
    </row>
    <row r="3767" ht="12.75">
      <c r="A3767" s="19" t="s">
        <v>10460</v>
      </c>
      <c r="B3767" s="19">
        <v>38401</v>
      </c>
      <c r="C3767" s="20" t="s">
        <v>14234</v>
      </c>
      <c r="D3767" s="19" t="s">
        <v>31</v>
      </c>
      <c r="E3767" s="19" t="s">
        <v>10459</v>
      </c>
      <c r="F3767" s="21">
        <f t="shared" si="598"/>
        <v>73.989999999999995</v>
      </c>
      <c r="G3767" s="21">
        <f t="shared" si="598"/>
        <v>73.989999999999995</v>
      </c>
      <c r="H3767" s="21">
        <f t="shared" si="598"/>
        <v>73.989999999999995</v>
      </c>
      <c r="I3767" s="24" t="str">
        <f t="shared" si="599"/>
        <v xml:space="preserve">COM VALOR</v>
      </c>
      <c r="L3767" s="36">
        <v>73.989999999999995</v>
      </c>
      <c r="M3767" s="37">
        <v>73.989999999999995</v>
      </c>
      <c r="N3767" s="36">
        <v>73.989999999999995</v>
      </c>
    </row>
    <row r="3768" ht="38.25">
      <c r="A3768" s="19" t="s">
        <v>10460</v>
      </c>
      <c r="B3768" s="19">
        <v>11575</v>
      </c>
      <c r="C3768" s="20" t="s">
        <v>14235</v>
      </c>
      <c r="D3768" s="19" t="s">
        <v>31</v>
      </c>
      <c r="E3768" s="19" t="s">
        <v>10459</v>
      </c>
      <c r="F3768" s="21">
        <f t="shared" si="598"/>
        <v>68.120000000000005</v>
      </c>
      <c r="G3768" s="21">
        <f t="shared" si="598"/>
        <v>68.120000000000005</v>
      </c>
      <c r="H3768" s="21">
        <f t="shared" si="598"/>
        <v>68.120000000000005</v>
      </c>
      <c r="I3768" s="24" t="str">
        <f t="shared" si="599"/>
        <v xml:space="preserve">COM VALOR</v>
      </c>
      <c r="L3768" s="36">
        <v>68.120000000000005</v>
      </c>
      <c r="M3768" s="37">
        <v>68.120000000000005</v>
      </c>
      <c r="N3768" s="36">
        <v>68.120000000000005</v>
      </c>
    </row>
    <row r="3769" ht="38.25">
      <c r="A3769" s="19" t="s">
        <v>10460</v>
      </c>
      <c r="B3769" s="19">
        <v>38179</v>
      </c>
      <c r="C3769" s="20" t="s">
        <v>14236</v>
      </c>
      <c r="D3769" s="19" t="s">
        <v>31</v>
      </c>
      <c r="E3769" s="19" t="s">
        <v>10459</v>
      </c>
      <c r="F3769" s="21">
        <f t="shared" si="598"/>
        <v>56.32</v>
      </c>
      <c r="G3769" s="21">
        <f t="shared" si="598"/>
        <v>56.32</v>
      </c>
      <c r="H3769" s="21">
        <f t="shared" si="598"/>
        <v>56.32</v>
      </c>
      <c r="I3769" s="24" t="str">
        <f t="shared" si="599"/>
        <v xml:space="preserve">COM VALOR</v>
      </c>
      <c r="L3769" s="36">
        <v>56.32</v>
      </c>
      <c r="M3769" s="37">
        <v>56.32</v>
      </c>
      <c r="N3769" s="36">
        <v>56.32</v>
      </c>
    </row>
    <row r="3770" ht="25.5">
      <c r="A3770" s="19" t="s">
        <v>10460</v>
      </c>
      <c r="B3770" s="19">
        <v>20256</v>
      </c>
      <c r="C3770" s="20" t="s">
        <v>14237</v>
      </c>
      <c r="D3770" s="19" t="s">
        <v>31</v>
      </c>
      <c r="E3770" s="19" t="s">
        <v>10459</v>
      </c>
      <c r="F3770" s="21">
        <f t="shared" si="598"/>
        <v>0.34999999999999998</v>
      </c>
      <c r="G3770" s="21">
        <f t="shared" si="598"/>
        <v>0.34999999999999998</v>
      </c>
      <c r="H3770" s="21">
        <f t="shared" si="598"/>
        <v>0.34999999999999998</v>
      </c>
      <c r="I3770" s="24" t="str">
        <f t="shared" si="599"/>
        <v xml:space="preserve">COM VALOR</v>
      </c>
      <c r="L3770" s="36">
        <v>0.34999999999999998</v>
      </c>
      <c r="M3770" s="37">
        <v>0.34999999999999998</v>
      </c>
      <c r="N3770" s="36">
        <v>0.34999999999999998</v>
      </c>
    </row>
    <row r="3771" ht="38.25">
      <c r="A3771" s="19" t="s">
        <v>10638</v>
      </c>
      <c r="B3771" s="19">
        <v>14511</v>
      </c>
      <c r="C3771" s="20" t="s">
        <v>14238</v>
      </c>
      <c r="D3771" s="19" t="s">
        <v>31</v>
      </c>
      <c r="E3771" s="19" t="s">
        <v>10459</v>
      </c>
      <c r="F3771" s="21" t="str">
        <f t="shared" si="598"/>
        <v>VERIFICAR</v>
      </c>
      <c r="G3771" s="21" t="str">
        <f t="shared" si="598"/>
        <v>VERIFICAR</v>
      </c>
      <c r="H3771" s="21" t="str">
        <f t="shared" si="598"/>
        <v>VERIFICAR</v>
      </c>
      <c r="I3771" s="24" t="str">
        <f t="shared" si="599"/>
        <v xml:space="preserve">SEM VALOR</v>
      </c>
      <c r="L3771" s="36"/>
      <c r="M3771" s="37"/>
      <c r="N3771" s="36"/>
    </row>
    <row r="3772" ht="38.25">
      <c r="A3772" s="19" t="s">
        <v>10638</v>
      </c>
      <c r="B3772" s="19">
        <v>10642</v>
      </c>
      <c r="C3772" s="20" t="s">
        <v>14239</v>
      </c>
      <c r="D3772" s="19" t="s">
        <v>31</v>
      </c>
      <c r="E3772" s="19" t="s">
        <v>10466</v>
      </c>
      <c r="F3772" s="21" t="str">
        <f t="shared" si="598"/>
        <v>VERIFICAR</v>
      </c>
      <c r="G3772" s="21" t="str">
        <f t="shared" si="598"/>
        <v>VERIFICAR</v>
      </c>
      <c r="H3772" s="21" t="str">
        <f t="shared" si="598"/>
        <v>VERIFICAR</v>
      </c>
      <c r="I3772" s="24" t="str">
        <f t="shared" si="599"/>
        <v xml:space="preserve">SEM VALOR</v>
      </c>
      <c r="L3772" s="36"/>
      <c r="M3772" s="37"/>
      <c r="N3772" s="36"/>
    </row>
    <row r="3773" ht="51">
      <c r="A3773" s="19" t="s">
        <v>10638</v>
      </c>
      <c r="B3773" s="19">
        <v>14489</v>
      </c>
      <c r="C3773" s="20" t="s">
        <v>14240</v>
      </c>
      <c r="D3773" s="19" t="s">
        <v>31</v>
      </c>
      <c r="E3773" s="19" t="s">
        <v>10459</v>
      </c>
      <c r="F3773" s="21" t="str">
        <f t="shared" si="598"/>
        <v>VERIFICAR</v>
      </c>
      <c r="G3773" s="21" t="str">
        <f t="shared" si="598"/>
        <v>VERIFICAR</v>
      </c>
      <c r="H3773" s="21" t="str">
        <f t="shared" si="598"/>
        <v>VERIFICAR</v>
      </c>
      <c r="I3773" s="24" t="str">
        <f t="shared" si="599"/>
        <v xml:space="preserve">SEM VALOR</v>
      </c>
      <c r="L3773" s="36"/>
      <c r="M3773" s="37"/>
      <c r="N3773" s="36"/>
    </row>
    <row r="3774" ht="38.25">
      <c r="A3774" s="19" t="s">
        <v>10638</v>
      </c>
      <c r="B3774" s="19">
        <v>14513</v>
      </c>
      <c r="C3774" s="20" t="s">
        <v>14241</v>
      </c>
      <c r="D3774" s="19" t="s">
        <v>31</v>
      </c>
      <c r="E3774" s="19" t="s">
        <v>10459</v>
      </c>
      <c r="F3774" s="21" t="str">
        <f t="shared" si="598"/>
        <v>VERIFICAR</v>
      </c>
      <c r="G3774" s="21" t="str">
        <f t="shared" si="598"/>
        <v>VERIFICAR</v>
      </c>
      <c r="H3774" s="21" t="str">
        <f t="shared" si="598"/>
        <v>VERIFICAR</v>
      </c>
      <c r="I3774" s="24" t="str">
        <f t="shared" si="599"/>
        <v xml:space="preserve">SEM VALOR</v>
      </c>
      <c r="L3774" s="36"/>
      <c r="M3774" s="37"/>
      <c r="N3774" s="36"/>
    </row>
    <row r="3775" ht="38.25">
      <c r="A3775" s="19" t="s">
        <v>10638</v>
      </c>
      <c r="B3775" s="19">
        <v>10646</v>
      </c>
      <c r="C3775" s="20" t="s">
        <v>14242</v>
      </c>
      <c r="D3775" s="19" t="s">
        <v>31</v>
      </c>
      <c r="E3775" s="19" t="s">
        <v>10459</v>
      </c>
      <c r="F3775" s="21" t="str">
        <f t="shared" si="598"/>
        <v>VERIFICAR</v>
      </c>
      <c r="G3775" s="21" t="str">
        <f t="shared" si="598"/>
        <v>VERIFICAR</v>
      </c>
      <c r="H3775" s="21" t="str">
        <f t="shared" si="598"/>
        <v>VERIFICAR</v>
      </c>
      <c r="I3775" s="24" t="str">
        <f t="shared" si="599"/>
        <v xml:space="preserve">SEM VALOR</v>
      </c>
      <c r="L3775" s="36"/>
      <c r="M3775" s="37"/>
      <c r="N3775" s="36"/>
    </row>
    <row r="3776" ht="38.25">
      <c r="A3776" s="19" t="s">
        <v>10638</v>
      </c>
      <c r="B3776" s="19">
        <v>6070</v>
      </c>
      <c r="C3776" s="20" t="s">
        <v>14243</v>
      </c>
      <c r="D3776" s="19" t="s">
        <v>31</v>
      </c>
      <c r="E3776" s="19" t="s">
        <v>10459</v>
      </c>
      <c r="F3776" s="21" t="str">
        <f t="shared" si="598"/>
        <v>VERIFICAR</v>
      </c>
      <c r="G3776" s="21" t="str">
        <f t="shared" si="598"/>
        <v>VERIFICAR</v>
      </c>
      <c r="H3776" s="21" t="str">
        <f t="shared" si="598"/>
        <v>VERIFICAR</v>
      </c>
      <c r="I3776" s="24" t="str">
        <f t="shared" si="599"/>
        <v xml:space="preserve">SEM VALOR</v>
      </c>
      <c r="L3776" s="36"/>
      <c r="M3776" s="37"/>
      <c r="N3776" s="36"/>
    </row>
    <row r="3777" ht="51">
      <c r="A3777" s="19" t="s">
        <v>10638</v>
      </c>
      <c r="B3777" s="19">
        <v>6069</v>
      </c>
      <c r="C3777" s="20" t="s">
        <v>14244</v>
      </c>
      <c r="D3777" s="19" t="s">
        <v>31</v>
      </c>
      <c r="E3777" s="19" t="s">
        <v>10459</v>
      </c>
      <c r="F3777" s="21" t="str">
        <f t="shared" si="598"/>
        <v>VERIFICAR</v>
      </c>
      <c r="G3777" s="21" t="str">
        <f t="shared" si="598"/>
        <v>VERIFICAR</v>
      </c>
      <c r="H3777" s="21" t="str">
        <f t="shared" si="598"/>
        <v>VERIFICAR</v>
      </c>
      <c r="I3777" s="24" t="str">
        <f t="shared" si="599"/>
        <v xml:space="preserve">SEM VALOR</v>
      </c>
      <c r="L3777" s="36"/>
      <c r="M3777" s="37"/>
      <c r="N3777" s="36"/>
    </row>
    <row r="3778" ht="38.25">
      <c r="A3778" s="19" t="s">
        <v>10638</v>
      </c>
      <c r="B3778" s="19">
        <v>14626</v>
      </c>
      <c r="C3778" s="20" t="s">
        <v>14245</v>
      </c>
      <c r="D3778" s="19" t="s">
        <v>31</v>
      </c>
      <c r="E3778" s="19" t="s">
        <v>10459</v>
      </c>
      <c r="F3778" s="21" t="str">
        <f t="shared" si="598"/>
        <v>VERIFICAR</v>
      </c>
      <c r="G3778" s="21" t="str">
        <f t="shared" si="598"/>
        <v>VERIFICAR</v>
      </c>
      <c r="H3778" s="21" t="str">
        <f t="shared" si="598"/>
        <v>VERIFICAR</v>
      </c>
      <c r="I3778" s="24" t="str">
        <f t="shared" si="599"/>
        <v xml:space="preserve">SEM VALOR</v>
      </c>
      <c r="L3778" s="36"/>
      <c r="M3778" s="37"/>
      <c r="N3778" s="36"/>
    </row>
    <row r="3779" ht="38.25">
      <c r="A3779" s="19" t="s">
        <v>10638</v>
      </c>
      <c r="B3779" s="19">
        <v>6067</v>
      </c>
      <c r="C3779" s="20" t="s">
        <v>14246</v>
      </c>
      <c r="D3779" s="19" t="s">
        <v>31</v>
      </c>
      <c r="E3779" s="19" t="s">
        <v>10459</v>
      </c>
      <c r="F3779" s="21" t="str">
        <f t="shared" si="598"/>
        <v>VERIFICAR</v>
      </c>
      <c r="G3779" s="21" t="str">
        <f t="shared" si="598"/>
        <v>VERIFICAR</v>
      </c>
      <c r="H3779" s="21" t="str">
        <f t="shared" si="598"/>
        <v>VERIFICAR</v>
      </c>
      <c r="I3779" s="24" t="str">
        <f t="shared" si="599"/>
        <v xml:space="preserve">SEM VALOR</v>
      </c>
      <c r="L3779" s="36"/>
      <c r="M3779" s="37"/>
      <c r="N3779" s="36"/>
    </row>
    <row r="3780" ht="25.5">
      <c r="A3780" s="19" t="s">
        <v>10460</v>
      </c>
      <c r="B3780" s="19">
        <v>38393</v>
      </c>
      <c r="C3780" s="20" t="s">
        <v>14247</v>
      </c>
      <c r="D3780" s="19" t="s">
        <v>31</v>
      </c>
      <c r="E3780" s="19" t="s">
        <v>10466</v>
      </c>
      <c r="F3780" s="21">
        <f t="shared" si="598"/>
        <v>25.989999999999998</v>
      </c>
      <c r="G3780" s="21">
        <f t="shared" si="598"/>
        <v>25.989999999999998</v>
      </c>
      <c r="H3780" s="21">
        <f t="shared" si="598"/>
        <v>25.989999999999998</v>
      </c>
      <c r="I3780" s="24" t="str">
        <f t="shared" si="599"/>
        <v xml:space="preserve">COM VALOR</v>
      </c>
      <c r="L3780" s="36">
        <v>25.989999999999998</v>
      </c>
      <c r="M3780" s="37">
        <v>25.989999999999998</v>
      </c>
      <c r="N3780" s="36">
        <v>25.989999999999998</v>
      </c>
    </row>
    <row r="3781" ht="12.75">
      <c r="A3781" s="19" t="s">
        <v>10460</v>
      </c>
      <c r="B3781" s="19">
        <v>45233</v>
      </c>
      <c r="C3781" s="20" t="s">
        <v>14248</v>
      </c>
      <c r="D3781" s="19" t="s">
        <v>31</v>
      </c>
      <c r="E3781" s="19" t="s">
        <v>10459</v>
      </c>
      <c r="F3781" s="21">
        <f t="shared" si="598"/>
        <v>11.15</v>
      </c>
      <c r="G3781" s="21">
        <f t="shared" si="598"/>
        <v>11.15</v>
      </c>
      <c r="H3781" s="21">
        <f t="shared" si="598"/>
        <v>11.15</v>
      </c>
      <c r="I3781" s="24" t="str">
        <f t="shared" si="599"/>
        <v xml:space="preserve">COM VALOR</v>
      </c>
      <c r="L3781" s="36">
        <v>11.15</v>
      </c>
      <c r="M3781" s="37">
        <v>11.15</v>
      </c>
      <c r="N3781" s="36">
        <v>11.15</v>
      </c>
    </row>
    <row r="3782" ht="25.5">
      <c r="A3782" s="19" t="s">
        <v>10460</v>
      </c>
      <c r="B3782" s="19">
        <v>38390</v>
      </c>
      <c r="C3782" s="20" t="s">
        <v>14249</v>
      </c>
      <c r="D3782" s="19" t="s">
        <v>31</v>
      </c>
      <c r="E3782" s="19" t="s">
        <v>10459</v>
      </c>
      <c r="F3782" s="21">
        <f t="shared" si="598"/>
        <v>63.850000000000001</v>
      </c>
      <c r="G3782" s="21">
        <f t="shared" si="598"/>
        <v>63.850000000000001</v>
      </c>
      <c r="H3782" s="21">
        <f t="shared" si="598"/>
        <v>63.850000000000001</v>
      </c>
      <c r="I3782" s="24" t="str">
        <f t="shared" si="599"/>
        <v xml:space="preserve">COM VALOR</v>
      </c>
      <c r="L3782" s="36">
        <v>63.850000000000001</v>
      </c>
      <c r="M3782" s="37">
        <v>63.850000000000001</v>
      </c>
      <c r="N3782" s="36">
        <v>63.850000000000001</v>
      </c>
    </row>
    <row r="3783" ht="38.25">
      <c r="A3783" s="19" t="s">
        <v>10460</v>
      </c>
      <c r="B3783" s="19">
        <v>11578</v>
      </c>
      <c r="C3783" s="20" t="s">
        <v>14250</v>
      </c>
      <c r="D3783" s="19" t="s">
        <v>31</v>
      </c>
      <c r="E3783" s="19" t="s">
        <v>10459</v>
      </c>
      <c r="F3783" s="21">
        <f t="shared" si="598"/>
        <v>14.699999999999999</v>
      </c>
      <c r="G3783" s="21">
        <f t="shared" si="598"/>
        <v>14.699999999999999</v>
      </c>
      <c r="H3783" s="21">
        <f t="shared" si="598"/>
        <v>14.699999999999999</v>
      </c>
      <c r="I3783" s="24" t="str">
        <f t="shared" si="599"/>
        <v xml:space="preserve">COM VALOR</v>
      </c>
      <c r="L3783" s="36">
        <v>14.699999999999999</v>
      </c>
      <c r="M3783" s="37">
        <v>14.699999999999999</v>
      </c>
      <c r="N3783" s="36">
        <v>14.699999999999999</v>
      </c>
    </row>
    <row r="3784" ht="38.25">
      <c r="A3784" s="19" t="s">
        <v>10460</v>
      </c>
      <c r="B3784" s="19">
        <v>11577</v>
      </c>
      <c r="C3784" s="20" t="s">
        <v>14251</v>
      </c>
      <c r="D3784" s="19" t="s">
        <v>31</v>
      </c>
      <c r="E3784" s="19" t="s">
        <v>10459</v>
      </c>
      <c r="F3784" s="21">
        <f t="shared" si="598"/>
        <v>14.039999999999999</v>
      </c>
      <c r="G3784" s="21">
        <f t="shared" si="598"/>
        <v>14.039999999999999</v>
      </c>
      <c r="H3784" s="21">
        <f t="shared" si="598"/>
        <v>14.039999999999999</v>
      </c>
      <c r="I3784" s="24" t="str">
        <f t="shared" si="599"/>
        <v xml:space="preserve">COM VALOR</v>
      </c>
      <c r="L3784" s="36">
        <v>14.039999999999999</v>
      </c>
      <c r="M3784" s="37">
        <v>14.039999999999999</v>
      </c>
      <c r="N3784" s="36">
        <v>14.039999999999999</v>
      </c>
    </row>
    <row r="3785" ht="51">
      <c r="A3785" s="19" t="s">
        <v>10460</v>
      </c>
      <c r="B3785" s="19">
        <v>42432</v>
      </c>
      <c r="C3785" s="20" t="s">
        <v>14252</v>
      </c>
      <c r="D3785" s="19" t="s">
        <v>31</v>
      </c>
      <c r="E3785" s="19" t="s">
        <v>10459</v>
      </c>
      <c r="F3785" s="21" t="str">
        <f t="shared" si="598"/>
        <v>VERIFICAR</v>
      </c>
      <c r="G3785" s="21" t="str">
        <f t="shared" si="598"/>
        <v>VERIFICAR</v>
      </c>
      <c r="H3785" s="21" t="str">
        <f t="shared" si="598"/>
        <v>VERIFICAR</v>
      </c>
      <c r="I3785" s="24" t="str">
        <f t="shared" si="599"/>
        <v xml:space="preserve">SEM VALOR</v>
      </c>
      <c r="L3785" s="36"/>
      <c r="M3785" s="37"/>
      <c r="N3785" s="36"/>
    </row>
    <row r="3786" ht="51">
      <c r="A3786" s="19" t="s">
        <v>10460</v>
      </c>
      <c r="B3786" s="19">
        <v>42437</v>
      </c>
      <c r="C3786" s="20" t="s">
        <v>14253</v>
      </c>
      <c r="D3786" s="19" t="s">
        <v>31</v>
      </c>
      <c r="E3786" s="19" t="s">
        <v>10459</v>
      </c>
      <c r="F3786" s="21" t="str">
        <f t="shared" si="598"/>
        <v>VERIFICAR</v>
      </c>
      <c r="G3786" s="21" t="str">
        <f t="shared" si="598"/>
        <v>VERIFICAR</v>
      </c>
      <c r="H3786" s="21" t="str">
        <f t="shared" si="598"/>
        <v>VERIFICAR</v>
      </c>
      <c r="I3786" s="24" t="str">
        <f t="shared" si="599"/>
        <v xml:space="preserve">SEM VALOR</v>
      </c>
      <c r="L3786" s="36"/>
      <c r="M3786" s="37"/>
      <c r="N3786" s="36"/>
    </row>
    <row r="3787" ht="25.5">
      <c r="A3787" s="19" t="s">
        <v>10460</v>
      </c>
      <c r="B3787" s="19">
        <v>1116</v>
      </c>
      <c r="C3787" s="20" t="s">
        <v>14254</v>
      </c>
      <c r="D3787" s="19" t="s">
        <v>38</v>
      </c>
      <c r="E3787" s="19" t="s">
        <v>10459</v>
      </c>
      <c r="F3787" s="21" t="str">
        <f t="shared" ref="F3787:H3850" si="600">IF(L3787=0,"VERIFICAR",L3787)</f>
        <v>VERIFICAR</v>
      </c>
      <c r="G3787" s="21" t="str">
        <f t="shared" si="600"/>
        <v>VERIFICAR</v>
      </c>
      <c r="H3787" s="21" t="str">
        <f t="shared" si="600"/>
        <v>VERIFICAR</v>
      </c>
      <c r="I3787" s="24" t="str">
        <f t="shared" ref="I3787:I3850" si="601">IF(OR(L3787=0,M3787=0,N3787=0),"SEM VALOR","COM VALOR")</f>
        <v xml:space="preserve">SEM VALOR</v>
      </c>
      <c r="L3787" s="36"/>
      <c r="M3787" s="37"/>
      <c r="N3787" s="36"/>
    </row>
    <row r="3788" ht="25.5">
      <c r="A3788" s="19" t="s">
        <v>10460</v>
      </c>
      <c r="B3788" s="19">
        <v>1115</v>
      </c>
      <c r="C3788" s="20" t="s">
        <v>14255</v>
      </c>
      <c r="D3788" s="19" t="s">
        <v>38</v>
      </c>
      <c r="E3788" s="19" t="s">
        <v>10459</v>
      </c>
      <c r="F3788" s="21" t="str">
        <f t="shared" si="600"/>
        <v>VERIFICAR</v>
      </c>
      <c r="G3788" s="21" t="str">
        <f t="shared" si="600"/>
        <v>VERIFICAR</v>
      </c>
      <c r="H3788" s="21" t="str">
        <f t="shared" si="600"/>
        <v>VERIFICAR</v>
      </c>
      <c r="I3788" s="24" t="str">
        <f t="shared" si="601"/>
        <v xml:space="preserve">SEM VALOR</v>
      </c>
      <c r="L3788" s="36"/>
      <c r="M3788" s="37"/>
      <c r="N3788" s="36"/>
    </row>
    <row r="3789" ht="25.5">
      <c r="A3789" s="19" t="s">
        <v>10460</v>
      </c>
      <c r="B3789" s="19">
        <v>1113</v>
      </c>
      <c r="C3789" s="20" t="s">
        <v>14256</v>
      </c>
      <c r="D3789" s="19" t="s">
        <v>38</v>
      </c>
      <c r="E3789" s="19" t="s">
        <v>10459</v>
      </c>
      <c r="F3789" s="21" t="str">
        <f t="shared" si="600"/>
        <v>VERIFICAR</v>
      </c>
      <c r="G3789" s="21" t="str">
        <f t="shared" si="600"/>
        <v>VERIFICAR</v>
      </c>
      <c r="H3789" s="21" t="str">
        <f t="shared" si="600"/>
        <v>VERIFICAR</v>
      </c>
      <c r="I3789" s="24" t="str">
        <f t="shared" si="601"/>
        <v xml:space="preserve">SEM VALOR</v>
      </c>
      <c r="L3789" s="36"/>
      <c r="M3789" s="37"/>
      <c r="N3789" s="36"/>
    </row>
    <row r="3790" ht="25.5">
      <c r="A3790" s="19" t="s">
        <v>10460</v>
      </c>
      <c r="B3790" s="19">
        <v>1114</v>
      </c>
      <c r="C3790" s="20" t="s">
        <v>14257</v>
      </c>
      <c r="D3790" s="19" t="s">
        <v>38</v>
      </c>
      <c r="E3790" s="19" t="s">
        <v>10459</v>
      </c>
      <c r="F3790" s="21" t="str">
        <f t="shared" si="600"/>
        <v>VERIFICAR</v>
      </c>
      <c r="G3790" s="21" t="str">
        <f t="shared" si="600"/>
        <v>VERIFICAR</v>
      </c>
      <c r="H3790" s="21" t="str">
        <f t="shared" si="600"/>
        <v>VERIFICAR</v>
      </c>
      <c r="I3790" s="24" t="str">
        <f t="shared" si="601"/>
        <v xml:space="preserve">SEM VALOR</v>
      </c>
      <c r="L3790" s="36"/>
      <c r="M3790" s="37"/>
      <c r="N3790" s="36"/>
    </row>
    <row r="3791" ht="25.5">
      <c r="A3791" s="19" t="s">
        <v>10460</v>
      </c>
      <c r="B3791" s="19">
        <v>40873</v>
      </c>
      <c r="C3791" s="20" t="s">
        <v>14258</v>
      </c>
      <c r="D3791" s="19" t="s">
        <v>38</v>
      </c>
      <c r="E3791" s="19" t="s">
        <v>10459</v>
      </c>
      <c r="F3791" s="21" t="str">
        <f t="shared" si="600"/>
        <v>VERIFICAR</v>
      </c>
      <c r="G3791" s="21" t="str">
        <f t="shared" si="600"/>
        <v>VERIFICAR</v>
      </c>
      <c r="H3791" s="21" t="str">
        <f t="shared" si="600"/>
        <v>VERIFICAR</v>
      </c>
      <c r="I3791" s="24" t="str">
        <f t="shared" si="601"/>
        <v xml:space="preserve">SEM VALOR</v>
      </c>
      <c r="L3791" s="36"/>
      <c r="M3791" s="37"/>
      <c r="N3791" s="36"/>
    </row>
    <row r="3792" ht="25.5">
      <c r="A3792" s="19" t="s">
        <v>10460</v>
      </c>
      <c r="B3792" s="19">
        <v>20214</v>
      </c>
      <c r="C3792" s="20" t="s">
        <v>14259</v>
      </c>
      <c r="D3792" s="19" t="s">
        <v>31</v>
      </c>
      <c r="E3792" s="19" t="s">
        <v>10459</v>
      </c>
      <c r="F3792" s="21">
        <f t="shared" si="600"/>
        <v>57.409999999999997</v>
      </c>
      <c r="G3792" s="21">
        <f t="shared" si="600"/>
        <v>57.409999999999997</v>
      </c>
      <c r="H3792" s="21">
        <f t="shared" si="600"/>
        <v>57.409999999999997</v>
      </c>
      <c r="I3792" s="24" t="str">
        <f t="shared" si="601"/>
        <v xml:space="preserve">COM VALOR</v>
      </c>
      <c r="L3792" s="36">
        <v>57.409999999999997</v>
      </c>
      <c r="M3792" s="37">
        <v>57.409999999999997</v>
      </c>
      <c r="N3792" s="36">
        <v>57.409999999999997</v>
      </c>
    </row>
    <row r="3793" ht="25.5">
      <c r="A3793" s="19" t="s">
        <v>10460</v>
      </c>
      <c r="B3793" s="19">
        <v>7237</v>
      </c>
      <c r="C3793" s="20" t="s">
        <v>14260</v>
      </c>
      <c r="D3793" s="19" t="s">
        <v>31</v>
      </c>
      <c r="E3793" s="19" t="s">
        <v>10459</v>
      </c>
      <c r="F3793" s="21">
        <f t="shared" si="600"/>
        <v>56.200000000000003</v>
      </c>
      <c r="G3793" s="21">
        <f t="shared" si="600"/>
        <v>56.200000000000003</v>
      </c>
      <c r="H3793" s="21">
        <f t="shared" si="600"/>
        <v>56.200000000000003</v>
      </c>
      <c r="I3793" s="24" t="str">
        <f t="shared" si="601"/>
        <v xml:space="preserve">COM VALOR</v>
      </c>
      <c r="L3793" s="36">
        <v>56.200000000000003</v>
      </c>
      <c r="M3793" s="37">
        <v>56.200000000000003</v>
      </c>
      <c r="N3793" s="36">
        <v>56.200000000000003</v>
      </c>
    </row>
    <row r="3794" ht="12.75">
      <c r="A3794" s="19" t="s">
        <v>10460</v>
      </c>
      <c r="B3794" s="19">
        <v>11757</v>
      </c>
      <c r="C3794" s="20" t="s">
        <v>14261</v>
      </c>
      <c r="D3794" s="19" t="s">
        <v>31</v>
      </c>
      <c r="E3794" s="19" t="s">
        <v>10466</v>
      </c>
      <c r="F3794" s="21">
        <f t="shared" si="600"/>
        <v>25.75</v>
      </c>
      <c r="G3794" s="21">
        <f t="shared" si="600"/>
        <v>25.75</v>
      </c>
      <c r="H3794" s="21">
        <f t="shared" si="600"/>
        <v>25.75</v>
      </c>
      <c r="I3794" s="24" t="str">
        <f t="shared" si="601"/>
        <v xml:space="preserve">COM VALOR</v>
      </c>
      <c r="L3794" s="36">
        <v>25.75</v>
      </c>
      <c r="M3794" s="37">
        <v>25.75</v>
      </c>
      <c r="N3794" s="36">
        <v>25.75</v>
      </c>
    </row>
    <row r="3795" ht="25.5">
      <c r="A3795" s="19" t="s">
        <v>10460</v>
      </c>
      <c r="B3795" s="19">
        <v>11758</v>
      </c>
      <c r="C3795" s="20" t="s">
        <v>14262</v>
      </c>
      <c r="D3795" s="19" t="s">
        <v>31</v>
      </c>
      <c r="E3795" s="19" t="s">
        <v>10466</v>
      </c>
      <c r="F3795" s="21">
        <f t="shared" si="600"/>
        <v>50.899999999999999</v>
      </c>
      <c r="G3795" s="21">
        <f t="shared" si="600"/>
        <v>50.899999999999999</v>
      </c>
      <c r="H3795" s="21">
        <f t="shared" si="600"/>
        <v>50.899999999999999</v>
      </c>
      <c r="I3795" s="24" t="str">
        <f t="shared" si="601"/>
        <v xml:space="preserve">COM VALOR</v>
      </c>
      <c r="L3795" s="36">
        <v>50.899999999999999</v>
      </c>
      <c r="M3795" s="37">
        <v>50.899999999999999</v>
      </c>
      <c r="N3795" s="36">
        <v>50.899999999999999</v>
      </c>
    </row>
    <row r="3796" ht="25.5">
      <c r="A3796" s="19" t="s">
        <v>10460</v>
      </c>
      <c r="B3796" s="19">
        <v>37526</v>
      </c>
      <c r="C3796" s="20" t="s">
        <v>14263</v>
      </c>
      <c r="D3796" s="19" t="s">
        <v>31</v>
      </c>
      <c r="E3796" s="19" t="s">
        <v>10459</v>
      </c>
      <c r="F3796" s="21">
        <f t="shared" si="600"/>
        <v>3.77</v>
      </c>
      <c r="G3796" s="21">
        <f t="shared" si="600"/>
        <v>3.77</v>
      </c>
      <c r="H3796" s="21">
        <f t="shared" si="600"/>
        <v>3.77</v>
      </c>
      <c r="I3796" s="24" t="str">
        <f t="shared" si="601"/>
        <v xml:space="preserve">COM VALOR</v>
      </c>
      <c r="L3796" s="36">
        <v>3.77</v>
      </c>
      <c r="M3796" s="37">
        <v>3.77</v>
      </c>
      <c r="N3796" s="36">
        <v>3.77</v>
      </c>
    </row>
    <row r="3797" ht="12.75">
      <c r="A3797" s="19" t="s">
        <v>10460</v>
      </c>
      <c r="B3797" s="19">
        <v>6076</v>
      </c>
      <c r="C3797" s="20" t="s">
        <v>14264</v>
      </c>
      <c r="D3797" s="19" t="s">
        <v>121</v>
      </c>
      <c r="E3797" s="19" t="s">
        <v>10466</v>
      </c>
      <c r="F3797" s="21" t="str">
        <f t="shared" si="600"/>
        <v>VERIFICAR</v>
      </c>
      <c r="G3797" s="21" t="str">
        <f t="shared" si="600"/>
        <v>VERIFICAR</v>
      </c>
      <c r="H3797" s="21" t="str">
        <f t="shared" si="600"/>
        <v>VERIFICAR</v>
      </c>
      <c r="I3797" s="24" t="str">
        <f t="shared" si="601"/>
        <v xml:space="preserve">SEM VALOR</v>
      </c>
      <c r="L3797" s="36"/>
      <c r="M3797" s="37"/>
      <c r="N3797" s="36"/>
    </row>
    <row r="3798" ht="12.75">
      <c r="A3798" s="19" t="s">
        <v>10460</v>
      </c>
      <c r="B3798" s="19">
        <v>13109</v>
      </c>
      <c r="C3798" s="20" t="s">
        <v>14265</v>
      </c>
      <c r="D3798" s="19" t="s">
        <v>31</v>
      </c>
      <c r="E3798" s="19" t="s">
        <v>10459</v>
      </c>
      <c r="F3798" s="21" t="str">
        <f t="shared" si="600"/>
        <v>VERIFICAR</v>
      </c>
      <c r="G3798" s="21" t="str">
        <f t="shared" si="600"/>
        <v>VERIFICAR</v>
      </c>
      <c r="H3798" s="21" t="str">
        <f t="shared" si="600"/>
        <v>VERIFICAR</v>
      </c>
      <c r="I3798" s="24" t="str">
        <f t="shared" si="601"/>
        <v xml:space="preserve">SEM VALOR</v>
      </c>
      <c r="L3798" s="36"/>
      <c r="M3798" s="37"/>
      <c r="N3798" s="36"/>
    </row>
    <row r="3799" ht="12.75">
      <c r="A3799" s="19" t="s">
        <v>10460</v>
      </c>
      <c r="B3799" s="19">
        <v>13110</v>
      </c>
      <c r="C3799" s="20" t="s">
        <v>14266</v>
      </c>
      <c r="D3799" s="19" t="s">
        <v>31</v>
      </c>
      <c r="E3799" s="19" t="s">
        <v>10459</v>
      </c>
      <c r="F3799" s="21" t="str">
        <f t="shared" si="600"/>
        <v>VERIFICAR</v>
      </c>
      <c r="G3799" s="21" t="str">
        <f t="shared" si="600"/>
        <v>VERIFICAR</v>
      </c>
      <c r="H3799" s="21" t="str">
        <f t="shared" si="600"/>
        <v>VERIFICAR</v>
      </c>
      <c r="I3799" s="24" t="str">
        <f t="shared" si="601"/>
        <v xml:space="preserve">SEM VALOR</v>
      </c>
      <c r="L3799" s="36"/>
      <c r="M3799" s="37"/>
      <c r="N3799" s="36"/>
    </row>
    <row r="3800" ht="25.5">
      <c r="A3800" s="19" t="s">
        <v>10460</v>
      </c>
      <c r="B3800" s="19">
        <v>7581</v>
      </c>
      <c r="C3800" s="20" t="s">
        <v>14267</v>
      </c>
      <c r="D3800" s="19" t="s">
        <v>31</v>
      </c>
      <c r="E3800" s="19" t="s">
        <v>10459</v>
      </c>
      <c r="F3800" s="21">
        <f t="shared" si="600"/>
        <v>6.7699999999999996</v>
      </c>
      <c r="G3800" s="21">
        <f t="shared" si="600"/>
        <v>6.7699999999999996</v>
      </c>
      <c r="H3800" s="21">
        <f t="shared" si="600"/>
        <v>6.7699999999999996</v>
      </c>
      <c r="I3800" s="24" t="str">
        <f t="shared" si="601"/>
        <v xml:space="preserve">COM VALOR</v>
      </c>
      <c r="L3800" s="36">
        <v>6.7699999999999996</v>
      </c>
      <c r="M3800" s="37">
        <v>6.7699999999999996</v>
      </c>
      <c r="N3800" s="36">
        <v>6.7699999999999996</v>
      </c>
    </row>
    <row r="3801" ht="25.5">
      <c r="A3801" s="19" t="s">
        <v>10460</v>
      </c>
      <c r="B3801" s="19">
        <v>4509</v>
      </c>
      <c r="C3801" s="20" t="s">
        <v>14268</v>
      </c>
      <c r="D3801" s="19" t="s">
        <v>38</v>
      </c>
      <c r="E3801" s="19" t="s">
        <v>10459</v>
      </c>
      <c r="F3801" s="21">
        <f t="shared" si="600"/>
        <v>3.4700000000000002</v>
      </c>
      <c r="G3801" s="21">
        <f t="shared" si="600"/>
        <v>3.4700000000000002</v>
      </c>
      <c r="H3801" s="21">
        <f t="shared" si="600"/>
        <v>3.4700000000000002</v>
      </c>
      <c r="I3801" s="24" t="str">
        <f t="shared" si="601"/>
        <v xml:space="preserve">COM VALOR</v>
      </c>
      <c r="L3801" s="36">
        <v>3.4700000000000002</v>
      </c>
      <c r="M3801" s="37">
        <v>3.4700000000000002</v>
      </c>
      <c r="N3801" s="36">
        <v>3.4700000000000002</v>
      </c>
    </row>
    <row r="3802" ht="25.5">
      <c r="A3802" s="19" t="s">
        <v>10460</v>
      </c>
      <c r="B3802" s="19">
        <v>4512</v>
      </c>
      <c r="C3802" s="20" t="s">
        <v>14269</v>
      </c>
      <c r="D3802" s="19" t="s">
        <v>38</v>
      </c>
      <c r="E3802" s="19" t="s">
        <v>10459</v>
      </c>
      <c r="F3802" s="21">
        <f t="shared" si="600"/>
        <v>1.6499999999999999</v>
      </c>
      <c r="G3802" s="21">
        <f t="shared" si="600"/>
        <v>1.6499999999999999</v>
      </c>
      <c r="H3802" s="21">
        <f t="shared" si="600"/>
        <v>1.6499999999999999</v>
      </c>
      <c r="I3802" s="24" t="str">
        <f t="shared" si="601"/>
        <v xml:space="preserve">COM VALOR</v>
      </c>
      <c r="L3802" s="36">
        <v>1.6499999999999999</v>
      </c>
      <c r="M3802" s="37">
        <v>1.6499999999999999</v>
      </c>
      <c r="N3802" s="36">
        <v>1.6499999999999999</v>
      </c>
    </row>
    <row r="3803" ht="25.5">
      <c r="A3803" s="19" t="s">
        <v>10460</v>
      </c>
      <c r="B3803" s="19">
        <v>4517</v>
      </c>
      <c r="C3803" s="20" t="s">
        <v>14270</v>
      </c>
      <c r="D3803" s="19" t="s">
        <v>38</v>
      </c>
      <c r="E3803" s="19" t="s">
        <v>10459</v>
      </c>
      <c r="F3803" s="21">
        <f t="shared" si="600"/>
        <v>2.3900000000000001</v>
      </c>
      <c r="G3803" s="21">
        <f t="shared" si="600"/>
        <v>2.3900000000000001</v>
      </c>
      <c r="H3803" s="21">
        <f t="shared" si="600"/>
        <v>2.3900000000000001</v>
      </c>
      <c r="I3803" s="24" t="str">
        <f t="shared" si="601"/>
        <v xml:space="preserve">COM VALOR</v>
      </c>
      <c r="L3803" s="36">
        <v>2.3900000000000001</v>
      </c>
      <c r="M3803" s="37">
        <v>2.3900000000000001</v>
      </c>
      <c r="N3803" s="36">
        <v>2.3900000000000001</v>
      </c>
    </row>
    <row r="3804" ht="38.25">
      <c r="A3804" s="19" t="s">
        <v>10460</v>
      </c>
      <c r="B3804" s="19">
        <v>20206</v>
      </c>
      <c r="C3804" s="20" t="s">
        <v>14271</v>
      </c>
      <c r="D3804" s="19" t="s">
        <v>38</v>
      </c>
      <c r="E3804" s="19" t="s">
        <v>10459</v>
      </c>
      <c r="F3804" s="21">
        <f t="shared" si="600"/>
        <v>10.17</v>
      </c>
      <c r="G3804" s="21">
        <f t="shared" si="600"/>
        <v>10.17</v>
      </c>
      <c r="H3804" s="21">
        <f t="shared" si="600"/>
        <v>10.17</v>
      </c>
      <c r="I3804" s="24" t="str">
        <f t="shared" si="601"/>
        <v xml:space="preserve">COM VALOR</v>
      </c>
      <c r="L3804" s="36">
        <v>10.17</v>
      </c>
      <c r="M3804" s="37">
        <v>10.17</v>
      </c>
      <c r="N3804" s="36">
        <v>10.17</v>
      </c>
    </row>
    <row r="3805" ht="38.25">
      <c r="A3805" s="19" t="s">
        <v>10460</v>
      </c>
      <c r="B3805" s="19">
        <v>4460</v>
      </c>
      <c r="C3805" s="20" t="s">
        <v>14272</v>
      </c>
      <c r="D3805" s="19" t="s">
        <v>38</v>
      </c>
      <c r="E3805" s="19" t="s">
        <v>10459</v>
      </c>
      <c r="F3805" s="21">
        <f t="shared" si="600"/>
        <v>10.44</v>
      </c>
      <c r="G3805" s="21">
        <f t="shared" si="600"/>
        <v>10.44</v>
      </c>
      <c r="H3805" s="21">
        <f t="shared" si="600"/>
        <v>10.44</v>
      </c>
      <c r="I3805" s="24" t="str">
        <f t="shared" si="601"/>
        <v xml:space="preserve">COM VALOR</v>
      </c>
      <c r="L3805" s="36">
        <v>10.44</v>
      </c>
      <c r="M3805" s="37">
        <v>10.44</v>
      </c>
      <c r="N3805" s="36">
        <v>10.44</v>
      </c>
    </row>
    <row r="3806" ht="38.25">
      <c r="A3806" s="19" t="s">
        <v>10460</v>
      </c>
      <c r="B3806" s="19">
        <v>4415</v>
      </c>
      <c r="C3806" s="20" t="s">
        <v>14273</v>
      </c>
      <c r="D3806" s="19" t="s">
        <v>38</v>
      </c>
      <c r="E3806" s="19" t="s">
        <v>10459</v>
      </c>
      <c r="F3806" s="21">
        <f t="shared" si="600"/>
        <v>5.5899999999999999</v>
      </c>
      <c r="G3806" s="21">
        <f t="shared" si="600"/>
        <v>5.5899999999999999</v>
      </c>
      <c r="H3806" s="21">
        <f t="shared" si="600"/>
        <v>5.5899999999999999</v>
      </c>
      <c r="I3806" s="24" t="str">
        <f t="shared" si="601"/>
        <v xml:space="preserve">COM VALOR</v>
      </c>
      <c r="L3806" s="36">
        <v>5.5899999999999999</v>
      </c>
      <c r="M3806" s="37">
        <v>5.5899999999999999</v>
      </c>
      <c r="N3806" s="36">
        <v>5.5899999999999999</v>
      </c>
    </row>
    <row r="3807" ht="38.25">
      <c r="A3807" s="19" t="s">
        <v>10460</v>
      </c>
      <c r="B3807" s="19">
        <v>4417</v>
      </c>
      <c r="C3807" s="20" t="s">
        <v>14274</v>
      </c>
      <c r="D3807" s="19" t="s">
        <v>38</v>
      </c>
      <c r="E3807" s="19" t="s">
        <v>10459</v>
      </c>
      <c r="F3807" s="21">
        <f t="shared" si="600"/>
        <v>8.0500000000000007</v>
      </c>
      <c r="G3807" s="21">
        <f t="shared" si="600"/>
        <v>8.0500000000000007</v>
      </c>
      <c r="H3807" s="21">
        <f t="shared" si="600"/>
        <v>8.0500000000000007</v>
      </c>
      <c r="I3807" s="24" t="str">
        <f t="shared" si="601"/>
        <v xml:space="preserve">COM VALOR</v>
      </c>
      <c r="L3807" s="36">
        <v>8.0500000000000007</v>
      </c>
      <c r="M3807" s="37">
        <v>8.0500000000000007</v>
      </c>
      <c r="N3807" s="36">
        <v>8.0500000000000007</v>
      </c>
    </row>
    <row r="3808" ht="25.5">
      <c r="A3808" s="19" t="s">
        <v>10635</v>
      </c>
      <c r="B3808" s="19">
        <v>37373</v>
      </c>
      <c r="C3808" s="20" t="s">
        <v>14275</v>
      </c>
      <c r="D3808" s="19" t="s">
        <v>2032</v>
      </c>
      <c r="E3808" s="19" t="s">
        <v>10466</v>
      </c>
      <c r="F3808" s="21">
        <f t="shared" si="600"/>
        <v>0.11</v>
      </c>
      <c r="G3808" s="21">
        <f t="shared" si="600"/>
        <v>0.11</v>
      </c>
      <c r="H3808" s="21">
        <f t="shared" si="600"/>
        <v>0.11</v>
      </c>
      <c r="I3808" s="24" t="str">
        <f t="shared" si="601"/>
        <v xml:space="preserve">COM VALOR</v>
      </c>
      <c r="L3808" s="36">
        <v>0.11</v>
      </c>
      <c r="M3808" s="37">
        <v>0.11</v>
      </c>
      <c r="N3808" s="36">
        <v>0.11</v>
      </c>
    </row>
    <row r="3809" ht="25.5">
      <c r="A3809" s="19" t="s">
        <v>10635</v>
      </c>
      <c r="B3809" s="19">
        <v>40864</v>
      </c>
      <c r="C3809" s="20" t="s">
        <v>14276</v>
      </c>
      <c r="D3809" s="19" t="s">
        <v>7087</v>
      </c>
      <c r="E3809" s="19" t="s">
        <v>10466</v>
      </c>
      <c r="F3809" s="21">
        <f t="shared" si="600"/>
        <v>18.280000000000001</v>
      </c>
      <c r="G3809" s="21">
        <f t="shared" si="600"/>
        <v>18.280000000000001</v>
      </c>
      <c r="H3809" s="21">
        <f t="shared" si="600"/>
        <v>18.280000000000001</v>
      </c>
      <c r="I3809" s="24" t="str">
        <f t="shared" si="601"/>
        <v xml:space="preserve">COM VALOR</v>
      </c>
      <c r="L3809" s="36">
        <v>18.280000000000001</v>
      </c>
      <c r="M3809" s="37">
        <v>18.280000000000001</v>
      </c>
      <c r="N3809" s="36">
        <v>18.280000000000001</v>
      </c>
    </row>
    <row r="3810" ht="25.5">
      <c r="A3810" s="19" t="s">
        <v>10460</v>
      </c>
      <c r="B3810" s="19">
        <v>4734</v>
      </c>
      <c r="C3810" s="20" t="s">
        <v>14277</v>
      </c>
      <c r="D3810" s="19" t="s">
        <v>121</v>
      </c>
      <c r="E3810" s="19" t="s">
        <v>10459</v>
      </c>
      <c r="F3810" s="21">
        <f t="shared" si="600"/>
        <v>330.33999999999997</v>
      </c>
      <c r="G3810" s="21">
        <f t="shared" si="600"/>
        <v>330.33999999999997</v>
      </c>
      <c r="H3810" s="21">
        <f t="shared" si="600"/>
        <v>330.33999999999997</v>
      </c>
      <c r="I3810" s="24" t="str">
        <f t="shared" si="601"/>
        <v xml:space="preserve">COM VALOR</v>
      </c>
      <c r="L3810" s="36">
        <v>330.33999999999997</v>
      </c>
      <c r="M3810" s="37">
        <v>330.33999999999997</v>
      </c>
      <c r="N3810" s="36">
        <v>330.33999999999997</v>
      </c>
    </row>
    <row r="3811" ht="12.75">
      <c r="A3811" s="19" t="s">
        <v>10460</v>
      </c>
      <c r="B3811" s="19">
        <v>6085</v>
      </c>
      <c r="C3811" s="20" t="s">
        <v>14278</v>
      </c>
      <c r="D3811" s="19" t="s">
        <v>9794</v>
      </c>
      <c r="E3811" s="19" t="s">
        <v>10466</v>
      </c>
      <c r="F3811" s="21">
        <f t="shared" si="600"/>
        <v>7.5099999999999998</v>
      </c>
      <c r="G3811" s="21">
        <f t="shared" si="600"/>
        <v>7.5099999999999998</v>
      </c>
      <c r="H3811" s="21">
        <f t="shared" si="600"/>
        <v>7.5099999999999998</v>
      </c>
      <c r="I3811" s="24" t="str">
        <f t="shared" si="601"/>
        <v xml:space="preserve">COM VALOR</v>
      </c>
      <c r="L3811" s="36">
        <v>7.5099999999999998</v>
      </c>
      <c r="M3811" s="37">
        <v>7.5099999999999998</v>
      </c>
      <c r="N3811" s="36">
        <v>7.5099999999999998</v>
      </c>
    </row>
    <row r="3812" ht="12.75">
      <c r="A3812" s="19" t="s">
        <v>10460</v>
      </c>
      <c r="B3812" s="19">
        <v>38396</v>
      </c>
      <c r="C3812" s="20" t="s">
        <v>14279</v>
      </c>
      <c r="D3812" s="19" t="s">
        <v>31</v>
      </c>
      <c r="E3812" s="19" t="s">
        <v>10459</v>
      </c>
      <c r="F3812" s="21">
        <f t="shared" si="600"/>
        <v>720.15999999999997</v>
      </c>
      <c r="G3812" s="21">
        <f t="shared" si="600"/>
        <v>720.15999999999997</v>
      </c>
      <c r="H3812" s="21">
        <f t="shared" si="600"/>
        <v>720.15999999999997</v>
      </c>
      <c r="I3812" s="24" t="str">
        <f t="shared" si="601"/>
        <v xml:space="preserve">COM VALOR</v>
      </c>
      <c r="L3812" s="36">
        <v>720.15999999999997</v>
      </c>
      <c r="M3812" s="37">
        <v>720.15999999999997</v>
      </c>
      <c r="N3812" s="36">
        <v>720.15999999999997</v>
      </c>
    </row>
    <row r="3813" ht="25.5">
      <c r="A3813" s="19" t="s">
        <v>10460</v>
      </c>
      <c r="B3813" s="19">
        <v>11622</v>
      </c>
      <c r="C3813" s="20" t="s">
        <v>14280</v>
      </c>
      <c r="D3813" s="19" t="s">
        <v>302</v>
      </c>
      <c r="E3813" s="19" t="s">
        <v>10459</v>
      </c>
      <c r="F3813" s="21">
        <f t="shared" si="600"/>
        <v>69.920000000000002</v>
      </c>
      <c r="G3813" s="21">
        <f t="shared" si="600"/>
        <v>69.920000000000002</v>
      </c>
      <c r="H3813" s="21">
        <f t="shared" si="600"/>
        <v>69.920000000000002</v>
      </c>
      <c r="I3813" s="24" t="str">
        <f t="shared" si="601"/>
        <v xml:space="preserve">COM VALOR</v>
      </c>
      <c r="L3813" s="36">
        <v>69.920000000000002</v>
      </c>
      <c r="M3813" s="37">
        <v>69.920000000000002</v>
      </c>
      <c r="N3813" s="36">
        <v>69.920000000000002</v>
      </c>
    </row>
    <row r="3814" ht="38.25">
      <c r="A3814" s="19" t="s">
        <v>10460</v>
      </c>
      <c r="B3814" s="19">
        <v>43143</v>
      </c>
      <c r="C3814" s="20" t="s">
        <v>14281</v>
      </c>
      <c r="D3814" s="19" t="s">
        <v>9794</v>
      </c>
      <c r="E3814" s="19" t="s">
        <v>10459</v>
      </c>
      <c r="F3814" s="21">
        <f t="shared" si="600"/>
        <v>26.41</v>
      </c>
      <c r="G3814" s="21">
        <f t="shared" si="600"/>
        <v>26.41</v>
      </c>
      <c r="H3814" s="21">
        <f t="shared" si="600"/>
        <v>26.41</v>
      </c>
      <c r="I3814" s="24" t="str">
        <f t="shared" si="601"/>
        <v xml:space="preserve">COM VALOR</v>
      </c>
      <c r="L3814" s="36">
        <v>26.41</v>
      </c>
      <c r="M3814" s="37">
        <v>26.41</v>
      </c>
      <c r="N3814" s="36">
        <v>26.41</v>
      </c>
    </row>
    <row r="3815" ht="12.75">
      <c r="A3815" s="19" t="s">
        <v>10460</v>
      </c>
      <c r="B3815" s="19">
        <v>7317</v>
      </c>
      <c r="C3815" s="20" t="s">
        <v>14282</v>
      </c>
      <c r="D3815" s="19" t="s">
        <v>302</v>
      </c>
      <c r="E3815" s="19" t="s">
        <v>10459</v>
      </c>
      <c r="F3815" s="21" t="str">
        <f t="shared" si="600"/>
        <v>VERIFICAR</v>
      </c>
      <c r="G3815" s="21" t="str">
        <f t="shared" si="600"/>
        <v>VERIFICAR</v>
      </c>
      <c r="H3815" s="21" t="str">
        <f t="shared" si="600"/>
        <v>VERIFICAR</v>
      </c>
      <c r="I3815" s="24" t="str">
        <f t="shared" si="601"/>
        <v xml:space="preserve">SEM VALOR</v>
      </c>
      <c r="L3815" s="36"/>
      <c r="M3815" s="37"/>
      <c r="N3815" s="36"/>
    </row>
    <row r="3816" ht="25.5">
      <c r="A3816" s="19" t="s">
        <v>10460</v>
      </c>
      <c r="B3816" s="19">
        <v>142</v>
      </c>
      <c r="C3816" s="20" t="s">
        <v>14283</v>
      </c>
      <c r="D3816" s="19" t="s">
        <v>14284</v>
      </c>
      <c r="E3816" s="19" t="s">
        <v>10459</v>
      </c>
      <c r="F3816" s="21">
        <f t="shared" si="600"/>
        <v>32.990000000000002</v>
      </c>
      <c r="G3816" s="21">
        <f t="shared" si="600"/>
        <v>32.990000000000002</v>
      </c>
      <c r="H3816" s="21">
        <f t="shared" si="600"/>
        <v>32.990000000000002</v>
      </c>
      <c r="I3816" s="24" t="str">
        <f t="shared" si="601"/>
        <v xml:space="preserve">COM VALOR</v>
      </c>
      <c r="L3816" s="36">
        <v>32.990000000000002</v>
      </c>
      <c r="M3816" s="37">
        <v>32.990000000000002</v>
      </c>
      <c r="N3816" s="36">
        <v>32.990000000000002</v>
      </c>
    </row>
    <row r="3817" ht="25.5">
      <c r="A3817" s="19" t="s">
        <v>10460</v>
      </c>
      <c r="B3817" s="19">
        <v>43142</v>
      </c>
      <c r="C3817" s="20" t="s">
        <v>14285</v>
      </c>
      <c r="D3817" s="19" t="s">
        <v>9794</v>
      </c>
      <c r="E3817" s="19" t="s">
        <v>10459</v>
      </c>
      <c r="F3817" s="21">
        <f t="shared" si="600"/>
        <v>149.87</v>
      </c>
      <c r="G3817" s="21">
        <f t="shared" si="600"/>
        <v>149.87</v>
      </c>
      <c r="H3817" s="21">
        <f t="shared" si="600"/>
        <v>149.87</v>
      </c>
      <c r="I3817" s="24" t="str">
        <f t="shared" si="601"/>
        <v xml:space="preserve">COM VALOR</v>
      </c>
      <c r="L3817" s="36">
        <v>149.87</v>
      </c>
      <c r="M3817" s="37">
        <v>149.87</v>
      </c>
      <c r="N3817" s="36">
        <v>149.87</v>
      </c>
    </row>
    <row r="3818" ht="12.75">
      <c r="A3818" s="19" t="s">
        <v>10460</v>
      </c>
      <c r="B3818" s="19">
        <v>38123</v>
      </c>
      <c r="C3818" s="20" t="s">
        <v>14286</v>
      </c>
      <c r="D3818" s="19" t="s">
        <v>302</v>
      </c>
      <c r="E3818" s="19" t="s">
        <v>10459</v>
      </c>
      <c r="F3818" s="21">
        <f t="shared" si="600"/>
        <v>47.479999999999997</v>
      </c>
      <c r="G3818" s="21">
        <f t="shared" si="600"/>
        <v>47.479999999999997</v>
      </c>
      <c r="H3818" s="21">
        <f t="shared" si="600"/>
        <v>47.479999999999997</v>
      </c>
      <c r="I3818" s="24" t="str">
        <f t="shared" si="601"/>
        <v xml:space="preserve">COM VALOR</v>
      </c>
      <c r="L3818" s="36">
        <v>47.479999999999997</v>
      </c>
      <c r="M3818" s="37">
        <v>47.479999999999997</v>
      </c>
      <c r="N3818" s="36">
        <v>47.479999999999997</v>
      </c>
    </row>
    <row r="3819" ht="25.5">
      <c r="A3819" s="19" t="s">
        <v>10460</v>
      </c>
      <c r="B3819" s="19">
        <v>42699</v>
      </c>
      <c r="C3819" s="20" t="s">
        <v>14287</v>
      </c>
      <c r="D3819" s="19" t="s">
        <v>31</v>
      </c>
      <c r="E3819" s="19" t="s">
        <v>10459</v>
      </c>
      <c r="F3819" s="21">
        <f t="shared" si="600"/>
        <v>36.280000000000001</v>
      </c>
      <c r="G3819" s="21">
        <f t="shared" si="600"/>
        <v>36.280000000000001</v>
      </c>
      <c r="H3819" s="21">
        <f t="shared" si="600"/>
        <v>36.280000000000001</v>
      </c>
      <c r="I3819" s="24" t="str">
        <f t="shared" si="601"/>
        <v xml:space="preserve">COM VALOR</v>
      </c>
      <c r="L3819" s="36">
        <v>36.280000000000001</v>
      </c>
      <c r="M3819" s="37">
        <v>36.280000000000001</v>
      </c>
      <c r="N3819" s="36">
        <v>36.280000000000001</v>
      </c>
    </row>
    <row r="3820" ht="38.25">
      <c r="A3820" s="19" t="s">
        <v>10638</v>
      </c>
      <c r="B3820" s="19">
        <v>37743</v>
      </c>
      <c r="C3820" s="20" t="s">
        <v>14288</v>
      </c>
      <c r="D3820" s="19" t="s">
        <v>31</v>
      </c>
      <c r="E3820" s="19" t="s">
        <v>10459</v>
      </c>
      <c r="F3820" s="21" t="str">
        <f t="shared" si="600"/>
        <v>VERIFICAR</v>
      </c>
      <c r="G3820" s="21" t="str">
        <f t="shared" si="600"/>
        <v>VERIFICAR</v>
      </c>
      <c r="H3820" s="21" t="str">
        <f t="shared" si="600"/>
        <v>VERIFICAR</v>
      </c>
      <c r="I3820" s="24" t="str">
        <f t="shared" si="601"/>
        <v xml:space="preserve">SEM VALOR</v>
      </c>
      <c r="L3820" s="36"/>
      <c r="M3820" s="37"/>
      <c r="N3820" s="36"/>
    </row>
    <row r="3821" ht="38.25">
      <c r="A3821" s="19" t="s">
        <v>10638</v>
      </c>
      <c r="B3821" s="19">
        <v>37744</v>
      </c>
      <c r="C3821" s="20" t="s">
        <v>14289</v>
      </c>
      <c r="D3821" s="19" t="s">
        <v>31</v>
      </c>
      <c r="E3821" s="19" t="s">
        <v>10459</v>
      </c>
      <c r="F3821" s="21" t="str">
        <f t="shared" si="600"/>
        <v>VERIFICAR</v>
      </c>
      <c r="G3821" s="21" t="str">
        <f t="shared" si="600"/>
        <v>VERIFICAR</v>
      </c>
      <c r="H3821" s="21" t="str">
        <f t="shared" si="600"/>
        <v>VERIFICAR</v>
      </c>
      <c r="I3821" s="24" t="str">
        <f t="shared" si="601"/>
        <v xml:space="preserve">SEM VALOR</v>
      </c>
      <c r="L3821" s="36"/>
      <c r="M3821" s="37"/>
      <c r="N3821" s="36"/>
    </row>
    <row r="3822" ht="38.25">
      <c r="A3822" s="19" t="s">
        <v>10638</v>
      </c>
      <c r="B3822" s="19">
        <v>37741</v>
      </c>
      <c r="C3822" s="20" t="s">
        <v>14290</v>
      </c>
      <c r="D3822" s="19" t="s">
        <v>31</v>
      </c>
      <c r="E3822" s="19" t="s">
        <v>10459</v>
      </c>
      <c r="F3822" s="21" t="str">
        <f t="shared" si="600"/>
        <v>VERIFICAR</v>
      </c>
      <c r="G3822" s="21" t="str">
        <f t="shared" si="600"/>
        <v>VERIFICAR</v>
      </c>
      <c r="H3822" s="21" t="str">
        <f t="shared" si="600"/>
        <v>VERIFICAR</v>
      </c>
      <c r="I3822" s="24" t="str">
        <f t="shared" si="601"/>
        <v xml:space="preserve">SEM VALOR</v>
      </c>
      <c r="L3822" s="36"/>
      <c r="M3822" s="37"/>
      <c r="N3822" s="36"/>
    </row>
    <row r="3823" ht="38.25">
      <c r="A3823" s="19" t="s">
        <v>10460</v>
      </c>
      <c r="B3823" s="19">
        <v>39396</v>
      </c>
      <c r="C3823" s="20" t="s">
        <v>14291</v>
      </c>
      <c r="D3823" s="19" t="s">
        <v>31</v>
      </c>
      <c r="E3823" s="19" t="s">
        <v>10459</v>
      </c>
      <c r="F3823" s="21" t="str">
        <f t="shared" si="600"/>
        <v>VERIFICAR</v>
      </c>
      <c r="G3823" s="21" t="str">
        <f t="shared" si="600"/>
        <v>VERIFICAR</v>
      </c>
      <c r="H3823" s="21" t="str">
        <f t="shared" si="600"/>
        <v>VERIFICAR</v>
      </c>
      <c r="I3823" s="24" t="str">
        <f t="shared" si="601"/>
        <v xml:space="preserve">SEM VALOR</v>
      </c>
      <c r="L3823" s="36"/>
      <c r="M3823" s="37"/>
      <c r="N3823" s="36"/>
    </row>
    <row r="3824" ht="38.25">
      <c r="A3824" s="19" t="s">
        <v>10460</v>
      </c>
      <c r="B3824" s="19">
        <v>39392</v>
      </c>
      <c r="C3824" s="20" t="s">
        <v>14292</v>
      </c>
      <c r="D3824" s="19" t="s">
        <v>31</v>
      </c>
      <c r="E3824" s="19" t="s">
        <v>10459</v>
      </c>
      <c r="F3824" s="21" t="str">
        <f t="shared" si="600"/>
        <v>VERIFICAR</v>
      </c>
      <c r="G3824" s="21" t="str">
        <f t="shared" si="600"/>
        <v>VERIFICAR</v>
      </c>
      <c r="H3824" s="21" t="str">
        <f t="shared" si="600"/>
        <v>VERIFICAR</v>
      </c>
      <c r="I3824" s="24" t="str">
        <f t="shared" si="601"/>
        <v xml:space="preserve">SEM VALOR</v>
      </c>
      <c r="L3824" s="36"/>
      <c r="M3824" s="37"/>
      <c r="N3824" s="36"/>
    </row>
    <row r="3825" ht="38.25">
      <c r="A3825" s="19" t="s">
        <v>10460</v>
      </c>
      <c r="B3825" s="19">
        <v>39393</v>
      </c>
      <c r="C3825" s="20" t="s">
        <v>14293</v>
      </c>
      <c r="D3825" s="19" t="s">
        <v>31</v>
      </c>
      <c r="E3825" s="19" t="s">
        <v>10459</v>
      </c>
      <c r="F3825" s="21" t="str">
        <f t="shared" si="600"/>
        <v>VERIFICAR</v>
      </c>
      <c r="G3825" s="21" t="str">
        <f t="shared" si="600"/>
        <v>VERIFICAR</v>
      </c>
      <c r="H3825" s="21" t="str">
        <f t="shared" si="600"/>
        <v>VERIFICAR</v>
      </c>
      <c r="I3825" s="24" t="str">
        <f t="shared" si="601"/>
        <v xml:space="preserve">SEM VALOR</v>
      </c>
      <c r="L3825" s="36"/>
      <c r="M3825" s="37"/>
      <c r="N3825" s="36"/>
    </row>
    <row r="3826" ht="38.25">
      <c r="A3826" s="19" t="s">
        <v>10460</v>
      </c>
      <c r="B3826" s="19">
        <v>39394</v>
      </c>
      <c r="C3826" s="20" t="s">
        <v>14294</v>
      </c>
      <c r="D3826" s="19" t="s">
        <v>31</v>
      </c>
      <c r="E3826" s="19" t="s">
        <v>10459</v>
      </c>
      <c r="F3826" s="21" t="str">
        <f t="shared" si="600"/>
        <v>VERIFICAR</v>
      </c>
      <c r="G3826" s="21" t="str">
        <f t="shared" si="600"/>
        <v>VERIFICAR</v>
      </c>
      <c r="H3826" s="21" t="str">
        <f t="shared" si="600"/>
        <v>VERIFICAR</v>
      </c>
      <c r="I3826" s="24" t="str">
        <f t="shared" si="601"/>
        <v xml:space="preserve">SEM VALOR</v>
      </c>
      <c r="L3826" s="36"/>
      <c r="M3826" s="37"/>
      <c r="N3826" s="36"/>
    </row>
    <row r="3827" ht="38.25">
      <c r="A3827" s="19" t="s">
        <v>10460</v>
      </c>
      <c r="B3827" s="19">
        <v>39395</v>
      </c>
      <c r="C3827" s="20" t="s">
        <v>14295</v>
      </c>
      <c r="D3827" s="19" t="s">
        <v>31</v>
      </c>
      <c r="E3827" s="19" t="s">
        <v>10459</v>
      </c>
      <c r="F3827" s="21" t="str">
        <f t="shared" si="600"/>
        <v>VERIFICAR</v>
      </c>
      <c r="G3827" s="21" t="str">
        <f t="shared" si="600"/>
        <v>VERIFICAR</v>
      </c>
      <c r="H3827" s="21" t="str">
        <f t="shared" si="600"/>
        <v>VERIFICAR</v>
      </c>
      <c r="I3827" s="24" t="str">
        <f t="shared" si="601"/>
        <v xml:space="preserve">SEM VALOR</v>
      </c>
      <c r="L3827" s="36"/>
      <c r="M3827" s="37"/>
      <c r="N3827" s="36"/>
    </row>
    <row r="3828" ht="38.25">
      <c r="A3828" s="19" t="s">
        <v>10638</v>
      </c>
      <c r="B3828" s="19">
        <v>14618</v>
      </c>
      <c r="C3828" s="20" t="s">
        <v>14296</v>
      </c>
      <c r="D3828" s="19" t="s">
        <v>31</v>
      </c>
      <c r="E3828" s="19" t="s">
        <v>10459</v>
      </c>
      <c r="F3828" s="21">
        <f t="shared" si="600"/>
        <v>1629.3699999999999</v>
      </c>
      <c r="G3828" s="21">
        <f t="shared" si="600"/>
        <v>1629.3699999999999</v>
      </c>
      <c r="H3828" s="21">
        <f t="shared" si="600"/>
        <v>1629.3699999999999</v>
      </c>
      <c r="I3828" s="24" t="str">
        <f t="shared" si="601"/>
        <v xml:space="preserve">COM VALOR</v>
      </c>
      <c r="L3828" s="36">
        <v>1629.3699999999999</v>
      </c>
      <c r="M3828" s="37">
        <v>1629.3699999999999</v>
      </c>
      <c r="N3828" s="36">
        <v>1629.3699999999999</v>
      </c>
    </row>
    <row r="3829" ht="12.75">
      <c r="A3829" s="19" t="s">
        <v>10604</v>
      </c>
      <c r="B3829" s="19">
        <v>6110</v>
      </c>
      <c r="C3829" s="20" t="s">
        <v>14297</v>
      </c>
      <c r="D3829" s="19" t="s">
        <v>2032</v>
      </c>
      <c r="E3829" s="19" t="s">
        <v>10459</v>
      </c>
      <c r="F3829" s="21">
        <f t="shared" si="600"/>
        <v>21.760000000000002</v>
      </c>
      <c r="G3829" s="21">
        <f t="shared" si="600"/>
        <v>21.760000000000002</v>
      </c>
      <c r="H3829" s="21">
        <f t="shared" si="600"/>
        <v>21.760000000000002</v>
      </c>
      <c r="I3829" s="24" t="str">
        <f t="shared" si="601"/>
        <v xml:space="preserve">COM VALOR</v>
      </c>
      <c r="L3829" s="36">
        <v>21.760000000000002</v>
      </c>
      <c r="M3829" s="37">
        <v>21.760000000000002</v>
      </c>
      <c r="N3829" s="36">
        <v>21.760000000000002</v>
      </c>
    </row>
    <row r="3830" ht="12.75">
      <c r="A3830" s="19" t="s">
        <v>10604</v>
      </c>
      <c r="B3830" s="19">
        <v>40910</v>
      </c>
      <c r="C3830" s="20" t="s">
        <v>14298</v>
      </c>
      <c r="D3830" s="19" t="s">
        <v>7087</v>
      </c>
      <c r="E3830" s="19" t="s">
        <v>10459</v>
      </c>
      <c r="F3830" s="21">
        <f t="shared" si="600"/>
        <v>3810.77</v>
      </c>
      <c r="G3830" s="21">
        <f t="shared" si="600"/>
        <v>3810.77</v>
      </c>
      <c r="H3830" s="21">
        <f t="shared" si="600"/>
        <v>3810.77</v>
      </c>
      <c r="I3830" s="24" t="str">
        <f t="shared" si="601"/>
        <v xml:space="preserve">COM VALOR</v>
      </c>
      <c r="L3830" s="36">
        <v>3810.77</v>
      </c>
      <c r="M3830" s="37">
        <v>3810.77</v>
      </c>
      <c r="N3830" s="36">
        <v>3810.77</v>
      </c>
    </row>
    <row r="3831" ht="25.5">
      <c r="A3831" s="19" t="s">
        <v>10460</v>
      </c>
      <c r="B3831" s="19">
        <v>45255</v>
      </c>
      <c r="C3831" s="20" t="s">
        <v>14299</v>
      </c>
      <c r="D3831" s="19" t="s">
        <v>31</v>
      </c>
      <c r="E3831" s="19" t="s">
        <v>10459</v>
      </c>
      <c r="F3831" s="21">
        <f t="shared" si="600"/>
        <v>33.460000000000001</v>
      </c>
      <c r="G3831" s="21">
        <f t="shared" si="600"/>
        <v>33.460000000000001</v>
      </c>
      <c r="H3831" s="21">
        <f t="shared" si="600"/>
        <v>33.460000000000001</v>
      </c>
      <c r="I3831" s="24" t="str">
        <f t="shared" si="601"/>
        <v xml:space="preserve">COM VALOR</v>
      </c>
      <c r="L3831" s="36">
        <v>33.460000000000001</v>
      </c>
      <c r="M3831" s="37">
        <v>33.460000000000001</v>
      </c>
      <c r="N3831" s="36">
        <v>33.460000000000001</v>
      </c>
    </row>
    <row r="3832" ht="12.75">
      <c r="A3832" s="19" t="s">
        <v>10604</v>
      </c>
      <c r="B3832" s="19">
        <v>6111</v>
      </c>
      <c r="C3832" s="20" t="s">
        <v>14300</v>
      </c>
      <c r="D3832" s="19" t="s">
        <v>2032</v>
      </c>
      <c r="E3832" s="19" t="s">
        <v>10466</v>
      </c>
      <c r="F3832" s="21">
        <f t="shared" si="600"/>
        <v>15.890000000000001</v>
      </c>
      <c r="G3832" s="21">
        <f t="shared" si="600"/>
        <v>15.890000000000001</v>
      </c>
      <c r="H3832" s="21">
        <f t="shared" si="600"/>
        <v>15.890000000000001</v>
      </c>
      <c r="I3832" s="24" t="str">
        <f t="shared" si="601"/>
        <v xml:space="preserve">COM VALOR</v>
      </c>
      <c r="L3832" s="36">
        <v>15.890000000000001</v>
      </c>
      <c r="M3832" s="37">
        <v>15.890000000000001</v>
      </c>
      <c r="N3832" s="36">
        <v>15.890000000000001</v>
      </c>
    </row>
    <row r="3833" ht="12.75">
      <c r="A3833" s="19" t="s">
        <v>10604</v>
      </c>
      <c r="B3833" s="19">
        <v>41084</v>
      </c>
      <c r="C3833" s="20" t="s">
        <v>14301</v>
      </c>
      <c r="D3833" s="19" t="s">
        <v>7087</v>
      </c>
      <c r="E3833" s="19" t="s">
        <v>10459</v>
      </c>
      <c r="F3833" s="21">
        <f t="shared" si="600"/>
        <v>2781.8299999999999</v>
      </c>
      <c r="G3833" s="21">
        <f t="shared" si="600"/>
        <v>2781.8299999999999</v>
      </c>
      <c r="H3833" s="21">
        <f t="shared" si="600"/>
        <v>2781.8299999999999</v>
      </c>
      <c r="I3833" s="24" t="str">
        <f t="shared" si="601"/>
        <v xml:space="preserve">COM VALOR</v>
      </c>
      <c r="L3833" s="36">
        <v>2781.8299999999999</v>
      </c>
      <c r="M3833" s="37">
        <v>2781.8299999999999</v>
      </c>
      <c r="N3833" s="36">
        <v>2781.8299999999999</v>
      </c>
    </row>
    <row r="3834" ht="38.25">
      <c r="A3834" s="19" t="s">
        <v>10457</v>
      </c>
      <c r="B3834" s="19">
        <v>44535</v>
      </c>
      <c r="C3834" s="20" t="s">
        <v>14302</v>
      </c>
      <c r="D3834" s="19" t="s">
        <v>121</v>
      </c>
      <c r="E3834" s="19" t="s">
        <v>10459</v>
      </c>
      <c r="F3834" s="21">
        <f t="shared" si="600"/>
        <v>57.57</v>
      </c>
      <c r="G3834" s="21">
        <f t="shared" si="600"/>
        <v>57.57</v>
      </c>
      <c r="H3834" s="21">
        <f t="shared" si="600"/>
        <v>57.57</v>
      </c>
      <c r="I3834" s="24" t="str">
        <f t="shared" si="601"/>
        <v xml:space="preserve">COM VALOR</v>
      </c>
      <c r="L3834" s="36">
        <v>57.57</v>
      </c>
      <c r="M3834" s="37">
        <v>57.57</v>
      </c>
      <c r="N3834" s="36">
        <v>57.57</v>
      </c>
    </row>
    <row r="3835" ht="38.25">
      <c r="A3835" s="19" t="s">
        <v>10460</v>
      </c>
      <c r="B3835" s="19">
        <v>44945</v>
      </c>
      <c r="C3835" s="20" t="s">
        <v>14303</v>
      </c>
      <c r="D3835" s="19" t="s">
        <v>31</v>
      </c>
      <c r="E3835" s="19" t="s">
        <v>10466</v>
      </c>
      <c r="F3835" s="21">
        <f t="shared" si="600"/>
        <v>9.9199999999999999</v>
      </c>
      <c r="G3835" s="21">
        <f t="shared" si="600"/>
        <v>9.9199999999999999</v>
      </c>
      <c r="H3835" s="21">
        <f t="shared" si="600"/>
        <v>9.9199999999999999</v>
      </c>
      <c r="I3835" s="24" t="str">
        <f t="shared" si="601"/>
        <v xml:space="preserve">COM VALOR</v>
      </c>
      <c r="L3835" s="36">
        <v>9.9199999999999999</v>
      </c>
      <c r="M3835" s="37">
        <v>9.9199999999999999</v>
      </c>
      <c r="N3835" s="36">
        <v>9.9199999999999999</v>
      </c>
    </row>
    <row r="3836" ht="25.5">
      <c r="A3836" s="19" t="s">
        <v>10460</v>
      </c>
      <c r="B3836" s="19">
        <v>38637</v>
      </c>
      <c r="C3836" s="20" t="s">
        <v>14304</v>
      </c>
      <c r="D3836" s="19" t="s">
        <v>31</v>
      </c>
      <c r="E3836" s="19" t="s">
        <v>10459</v>
      </c>
      <c r="F3836" s="21">
        <f t="shared" si="600"/>
        <v>462.32999999999998</v>
      </c>
      <c r="G3836" s="21">
        <f t="shared" si="600"/>
        <v>462.32999999999998</v>
      </c>
      <c r="H3836" s="21">
        <f t="shared" si="600"/>
        <v>462.32999999999998</v>
      </c>
      <c r="I3836" s="24" t="str">
        <f t="shared" si="601"/>
        <v xml:space="preserve">COM VALOR</v>
      </c>
      <c r="L3836" s="36">
        <v>462.32999999999998</v>
      </c>
      <c r="M3836" s="37">
        <v>462.32999999999998</v>
      </c>
      <c r="N3836" s="36">
        <v>462.32999999999998</v>
      </c>
    </row>
    <row r="3837" ht="12.75">
      <c r="A3837" s="19" t="s">
        <v>10460</v>
      </c>
      <c r="B3837" s="19">
        <v>6150</v>
      </c>
      <c r="C3837" s="20" t="s">
        <v>14305</v>
      </c>
      <c r="D3837" s="19" t="s">
        <v>31</v>
      </c>
      <c r="E3837" s="19" t="s">
        <v>10459</v>
      </c>
      <c r="F3837" s="21">
        <f t="shared" si="600"/>
        <v>467.99000000000001</v>
      </c>
      <c r="G3837" s="21">
        <f t="shared" si="600"/>
        <v>467.99000000000001</v>
      </c>
      <c r="H3837" s="21">
        <f t="shared" si="600"/>
        <v>467.99000000000001</v>
      </c>
      <c r="I3837" s="24" t="str">
        <f t="shared" si="601"/>
        <v xml:space="preserve">COM VALOR</v>
      </c>
      <c r="L3837" s="36">
        <v>467.99000000000001</v>
      </c>
      <c r="M3837" s="37">
        <v>467.99000000000001</v>
      </c>
      <c r="N3837" s="36">
        <v>467.99000000000001</v>
      </c>
    </row>
    <row r="3838" ht="25.5">
      <c r="A3838" s="19" t="s">
        <v>10460</v>
      </c>
      <c r="B3838" s="19">
        <v>6136</v>
      </c>
      <c r="C3838" s="20" t="s">
        <v>14306</v>
      </c>
      <c r="D3838" s="19" t="s">
        <v>31</v>
      </c>
      <c r="E3838" s="19" t="s">
        <v>10466</v>
      </c>
      <c r="F3838" s="21">
        <f t="shared" si="600"/>
        <v>367.86000000000001</v>
      </c>
      <c r="G3838" s="21">
        <f t="shared" si="600"/>
        <v>367.86000000000001</v>
      </c>
      <c r="H3838" s="21">
        <f t="shared" si="600"/>
        <v>367.86000000000001</v>
      </c>
      <c r="I3838" s="24" t="str">
        <f t="shared" si="601"/>
        <v xml:space="preserve">COM VALOR</v>
      </c>
      <c r="L3838" s="36">
        <v>367.86000000000001</v>
      </c>
      <c r="M3838" s="37">
        <v>367.86000000000001</v>
      </c>
      <c r="N3838" s="36">
        <v>367.86000000000001</v>
      </c>
    </row>
    <row r="3839" ht="12.75">
      <c r="A3839" s="19" t="s">
        <v>10460</v>
      </c>
      <c r="B3839" s="19">
        <v>38638</v>
      </c>
      <c r="C3839" s="20" t="s">
        <v>14307</v>
      </c>
      <c r="D3839" s="19" t="s">
        <v>31</v>
      </c>
      <c r="E3839" s="19" t="s">
        <v>10459</v>
      </c>
      <c r="F3839" s="21">
        <f t="shared" si="600"/>
        <v>389.58999999999997</v>
      </c>
      <c r="G3839" s="21">
        <f t="shared" si="600"/>
        <v>389.58999999999997</v>
      </c>
      <c r="H3839" s="21">
        <f t="shared" si="600"/>
        <v>389.58999999999997</v>
      </c>
      <c r="I3839" s="24" t="str">
        <f t="shared" si="601"/>
        <v xml:space="preserve">COM VALOR</v>
      </c>
      <c r="L3839" s="36">
        <v>389.58999999999997</v>
      </c>
      <c r="M3839" s="37">
        <v>389.58999999999997</v>
      </c>
      <c r="N3839" s="36">
        <v>389.58999999999997</v>
      </c>
    </row>
    <row r="3840" ht="12.75">
      <c r="A3840" s="19" t="s">
        <v>10460</v>
      </c>
      <c r="B3840" s="19">
        <v>20262</v>
      </c>
      <c r="C3840" s="20" t="s">
        <v>14308</v>
      </c>
      <c r="D3840" s="19" t="s">
        <v>31</v>
      </c>
      <c r="E3840" s="19" t="s">
        <v>10459</v>
      </c>
      <c r="F3840" s="21">
        <f t="shared" si="600"/>
        <v>18.170000000000002</v>
      </c>
      <c r="G3840" s="21">
        <f t="shared" si="600"/>
        <v>18.170000000000002</v>
      </c>
      <c r="H3840" s="21">
        <f t="shared" si="600"/>
        <v>18.170000000000002</v>
      </c>
      <c r="I3840" s="24" t="str">
        <f t="shared" si="601"/>
        <v xml:space="preserve">COM VALOR</v>
      </c>
      <c r="L3840" s="36">
        <v>18.170000000000002</v>
      </c>
      <c r="M3840" s="37">
        <v>18.170000000000002</v>
      </c>
      <c r="N3840" s="36">
        <v>18.170000000000002</v>
      </c>
    </row>
    <row r="3841" ht="25.5">
      <c r="A3841" s="19" t="s">
        <v>10460</v>
      </c>
      <c r="B3841" s="19">
        <v>6145</v>
      </c>
      <c r="C3841" s="20" t="s">
        <v>14309</v>
      </c>
      <c r="D3841" s="19" t="s">
        <v>31</v>
      </c>
      <c r="E3841" s="19" t="s">
        <v>10459</v>
      </c>
      <c r="F3841" s="21">
        <f t="shared" si="600"/>
        <v>20.07</v>
      </c>
      <c r="G3841" s="21">
        <f t="shared" si="600"/>
        <v>20.07</v>
      </c>
      <c r="H3841" s="21">
        <f t="shared" si="600"/>
        <v>20.07</v>
      </c>
      <c r="I3841" s="24" t="str">
        <f t="shared" si="601"/>
        <v xml:space="preserve">COM VALOR</v>
      </c>
      <c r="L3841" s="36">
        <v>20.07</v>
      </c>
      <c r="M3841" s="37">
        <v>20.07</v>
      </c>
      <c r="N3841" s="36">
        <v>20.07</v>
      </c>
    </row>
    <row r="3842" ht="25.5">
      <c r="A3842" s="19" t="s">
        <v>10460</v>
      </c>
      <c r="B3842" s="19">
        <v>6149</v>
      </c>
      <c r="C3842" s="20" t="s">
        <v>14310</v>
      </c>
      <c r="D3842" s="19" t="s">
        <v>31</v>
      </c>
      <c r="E3842" s="19" t="s">
        <v>10459</v>
      </c>
      <c r="F3842" s="21">
        <f t="shared" si="600"/>
        <v>13.26</v>
      </c>
      <c r="G3842" s="21">
        <f t="shared" si="600"/>
        <v>13.26</v>
      </c>
      <c r="H3842" s="21">
        <f t="shared" si="600"/>
        <v>13.26</v>
      </c>
      <c r="I3842" s="24" t="str">
        <f t="shared" si="601"/>
        <v xml:space="preserve">COM VALOR</v>
      </c>
      <c r="L3842" s="36">
        <v>13.26</v>
      </c>
      <c r="M3842" s="37">
        <v>13.26</v>
      </c>
      <c r="N3842" s="36">
        <v>13.26</v>
      </c>
    </row>
    <row r="3843" ht="12.75">
      <c r="A3843" s="19" t="s">
        <v>10460</v>
      </c>
      <c r="B3843" s="19">
        <v>6146</v>
      </c>
      <c r="C3843" s="20" t="s">
        <v>14311</v>
      </c>
      <c r="D3843" s="19" t="s">
        <v>31</v>
      </c>
      <c r="E3843" s="19" t="s">
        <v>10459</v>
      </c>
      <c r="F3843" s="21">
        <f t="shared" si="600"/>
        <v>19.07</v>
      </c>
      <c r="G3843" s="21">
        <f t="shared" si="600"/>
        <v>19.07</v>
      </c>
      <c r="H3843" s="21">
        <f t="shared" si="600"/>
        <v>19.07</v>
      </c>
      <c r="I3843" s="24" t="str">
        <f t="shared" si="601"/>
        <v xml:space="preserve">COM VALOR</v>
      </c>
      <c r="L3843" s="36">
        <v>19.07</v>
      </c>
      <c r="M3843" s="37">
        <v>19.07</v>
      </c>
      <c r="N3843" s="36">
        <v>19.07</v>
      </c>
    </row>
    <row r="3844" ht="12.75">
      <c r="A3844" s="19" t="s">
        <v>10460</v>
      </c>
      <c r="B3844" s="19">
        <v>44536</v>
      </c>
      <c r="C3844" s="20" t="s">
        <v>14312</v>
      </c>
      <c r="D3844" s="19" t="s">
        <v>302</v>
      </c>
      <c r="E3844" s="19" t="s">
        <v>10459</v>
      </c>
      <c r="F3844" s="21">
        <f t="shared" si="600"/>
        <v>2.77</v>
      </c>
      <c r="G3844" s="21">
        <f t="shared" si="600"/>
        <v>2.77</v>
      </c>
      <c r="H3844" s="21">
        <f t="shared" si="600"/>
        <v>2.77</v>
      </c>
      <c r="I3844" s="24" t="str">
        <f t="shared" si="601"/>
        <v xml:space="preserve">COM VALOR</v>
      </c>
      <c r="L3844" s="36">
        <v>2.77</v>
      </c>
      <c r="M3844" s="37">
        <v>2.77</v>
      </c>
      <c r="N3844" s="36">
        <v>2.77</v>
      </c>
    </row>
    <row r="3845" ht="12.75">
      <c r="A3845" s="19" t="s">
        <v>10460</v>
      </c>
      <c r="B3845" s="19">
        <v>39961</v>
      </c>
      <c r="C3845" s="20" t="s">
        <v>14313</v>
      </c>
      <c r="D3845" s="19" t="s">
        <v>31</v>
      </c>
      <c r="E3845" s="19" t="s">
        <v>10459</v>
      </c>
      <c r="F3845" s="21">
        <f t="shared" si="600"/>
        <v>21.800000000000001</v>
      </c>
      <c r="G3845" s="21">
        <f t="shared" si="600"/>
        <v>21.800000000000001</v>
      </c>
      <c r="H3845" s="21">
        <f t="shared" si="600"/>
        <v>21.800000000000001</v>
      </c>
      <c r="I3845" s="24" t="str">
        <f t="shared" si="601"/>
        <v xml:space="preserve">COM VALOR</v>
      </c>
      <c r="L3845" s="36">
        <v>21.800000000000001</v>
      </c>
      <c r="M3845" s="37">
        <v>21.800000000000001</v>
      </c>
      <c r="N3845" s="36">
        <v>21.800000000000001</v>
      </c>
    </row>
    <row r="3846" ht="51">
      <c r="A3846" s="19" t="s">
        <v>10460</v>
      </c>
      <c r="B3846" s="19">
        <v>42433</v>
      </c>
      <c r="C3846" s="20" t="s">
        <v>14314</v>
      </c>
      <c r="D3846" s="19" t="s">
        <v>31</v>
      </c>
      <c r="E3846" s="19" t="s">
        <v>10459</v>
      </c>
      <c r="F3846" s="21" t="str">
        <f t="shared" si="600"/>
        <v>VERIFICAR</v>
      </c>
      <c r="G3846" s="21" t="str">
        <f t="shared" si="600"/>
        <v>VERIFICAR</v>
      </c>
      <c r="H3846" s="21" t="str">
        <f t="shared" si="600"/>
        <v>VERIFICAR</v>
      </c>
      <c r="I3846" s="24" t="str">
        <f t="shared" si="601"/>
        <v xml:space="preserve">SEM VALOR</v>
      </c>
      <c r="L3846" s="36"/>
      <c r="M3846" s="37"/>
      <c r="N3846" s="36"/>
    </row>
    <row r="3847" ht="51">
      <c r="A3847" s="19" t="s">
        <v>10460</v>
      </c>
      <c r="B3847" s="19">
        <v>42434</v>
      </c>
      <c r="C3847" s="20" t="s">
        <v>14315</v>
      </c>
      <c r="D3847" s="19" t="s">
        <v>31</v>
      </c>
      <c r="E3847" s="19" t="s">
        <v>10459</v>
      </c>
      <c r="F3847" s="21" t="str">
        <f t="shared" si="600"/>
        <v>VERIFICAR</v>
      </c>
      <c r="G3847" s="21" t="str">
        <f t="shared" si="600"/>
        <v>VERIFICAR</v>
      </c>
      <c r="H3847" s="21" t="str">
        <f t="shared" si="600"/>
        <v>VERIFICAR</v>
      </c>
      <c r="I3847" s="24" t="str">
        <f t="shared" si="601"/>
        <v xml:space="preserve">SEM VALOR</v>
      </c>
      <c r="L3847" s="36"/>
      <c r="M3847" s="37"/>
      <c r="N3847" s="36"/>
    </row>
    <row r="3848" ht="51">
      <c r="A3848" s="19" t="s">
        <v>10460</v>
      </c>
      <c r="B3848" s="19">
        <v>42435</v>
      </c>
      <c r="C3848" s="20" t="s">
        <v>14316</v>
      </c>
      <c r="D3848" s="19" t="s">
        <v>31</v>
      </c>
      <c r="E3848" s="19" t="s">
        <v>10459</v>
      </c>
      <c r="F3848" s="21" t="str">
        <f t="shared" si="600"/>
        <v>VERIFICAR</v>
      </c>
      <c r="G3848" s="21" t="str">
        <f t="shared" si="600"/>
        <v>VERIFICAR</v>
      </c>
      <c r="H3848" s="21" t="str">
        <f t="shared" si="600"/>
        <v>VERIFICAR</v>
      </c>
      <c r="I3848" s="24" t="str">
        <f t="shared" si="601"/>
        <v xml:space="preserve">SEM VALOR</v>
      </c>
      <c r="L3848" s="36"/>
      <c r="M3848" s="37"/>
      <c r="N3848" s="36"/>
    </row>
    <row r="3849" ht="25.5">
      <c r="A3849" s="19" t="s">
        <v>10460</v>
      </c>
      <c r="B3849" s="19">
        <v>38061</v>
      </c>
      <c r="C3849" s="20" t="s">
        <v>14317</v>
      </c>
      <c r="D3849" s="19" t="s">
        <v>31</v>
      </c>
      <c r="E3849" s="19" t="s">
        <v>10459</v>
      </c>
      <c r="F3849" s="21">
        <f t="shared" si="600"/>
        <v>52.659999999999997</v>
      </c>
      <c r="G3849" s="21">
        <f t="shared" si="600"/>
        <v>52.659999999999997</v>
      </c>
      <c r="H3849" s="21">
        <f t="shared" si="600"/>
        <v>52.659999999999997</v>
      </c>
      <c r="I3849" s="24" t="str">
        <f t="shared" si="601"/>
        <v xml:space="preserve">COM VALOR</v>
      </c>
      <c r="L3849" s="36">
        <v>52.659999999999997</v>
      </c>
      <c r="M3849" s="37">
        <v>52.659999999999997</v>
      </c>
      <c r="N3849" s="36">
        <v>52.659999999999997</v>
      </c>
    </row>
    <row r="3850" ht="12.75">
      <c r="A3850" s="19" t="s">
        <v>10460</v>
      </c>
      <c r="B3850" s="19">
        <v>20250</v>
      </c>
      <c r="C3850" s="20" t="s">
        <v>14318</v>
      </c>
      <c r="D3850" s="19" t="s">
        <v>302</v>
      </c>
      <c r="E3850" s="19" t="s">
        <v>10466</v>
      </c>
      <c r="F3850" s="21">
        <f t="shared" si="600"/>
        <v>17</v>
      </c>
      <c r="G3850" s="21">
        <f t="shared" si="600"/>
        <v>17</v>
      </c>
      <c r="H3850" s="21">
        <f t="shared" si="600"/>
        <v>17</v>
      </c>
      <c r="I3850" s="24" t="str">
        <f t="shared" si="601"/>
        <v xml:space="preserve">COM VALOR</v>
      </c>
      <c r="L3850" s="36">
        <v>17</v>
      </c>
      <c r="M3850" s="37">
        <v>17</v>
      </c>
      <c r="N3850" s="36">
        <v>17</v>
      </c>
    </row>
    <row r="3851" ht="12.75">
      <c r="A3851" s="19" t="s">
        <v>10460</v>
      </c>
      <c r="B3851" s="19">
        <v>13388</v>
      </c>
      <c r="C3851" s="20" t="s">
        <v>14319</v>
      </c>
      <c r="D3851" s="19" t="s">
        <v>302</v>
      </c>
      <c r="E3851" s="19" t="s">
        <v>10459</v>
      </c>
      <c r="F3851" s="21">
        <f t="shared" ref="F3851:H3914" si="602">IF(L3851=0,"VERIFICAR",L3851)</f>
        <v>171.83000000000001</v>
      </c>
      <c r="G3851" s="21">
        <f t="shared" si="602"/>
        <v>171.83000000000001</v>
      </c>
      <c r="H3851" s="21">
        <f t="shared" si="602"/>
        <v>171.83000000000001</v>
      </c>
      <c r="I3851" s="24" t="str">
        <f t="shared" ref="I3851:I3914" si="603">IF(OR(L3851=0,M3851=0,N3851=0),"SEM VALOR","COM VALOR")</f>
        <v xml:space="preserve">COM VALOR</v>
      </c>
      <c r="L3851" s="36">
        <v>171.83000000000001</v>
      </c>
      <c r="M3851" s="37">
        <v>171.83000000000001</v>
      </c>
      <c r="N3851" s="36">
        <v>171.83000000000001</v>
      </c>
    </row>
    <row r="3852" ht="25.5">
      <c r="A3852" s="19" t="s">
        <v>10460</v>
      </c>
      <c r="B3852" s="19">
        <v>39914</v>
      </c>
      <c r="C3852" s="20" t="s">
        <v>14320</v>
      </c>
      <c r="D3852" s="19" t="s">
        <v>302</v>
      </c>
      <c r="E3852" s="19" t="s">
        <v>10459</v>
      </c>
      <c r="F3852" s="21" t="str">
        <f t="shared" si="602"/>
        <v>VERIFICAR</v>
      </c>
      <c r="G3852" s="21" t="str">
        <f t="shared" si="602"/>
        <v>VERIFICAR</v>
      </c>
      <c r="H3852" s="21" t="str">
        <f t="shared" si="602"/>
        <v>VERIFICAR</v>
      </c>
      <c r="I3852" s="24" t="str">
        <f t="shared" si="603"/>
        <v xml:space="preserve">SEM VALOR</v>
      </c>
      <c r="L3852" s="36"/>
      <c r="M3852" s="37"/>
      <c r="N3852" s="36"/>
    </row>
    <row r="3853" ht="25.5">
      <c r="A3853" s="19" t="s">
        <v>10460</v>
      </c>
      <c r="B3853" s="19">
        <v>12732</v>
      </c>
      <c r="C3853" s="20" t="s">
        <v>14321</v>
      </c>
      <c r="D3853" s="19" t="s">
        <v>31</v>
      </c>
      <c r="E3853" s="19" t="s">
        <v>10459</v>
      </c>
      <c r="F3853" s="21" t="str">
        <f t="shared" si="602"/>
        <v>VERIFICAR</v>
      </c>
      <c r="G3853" s="21" t="str">
        <f t="shared" si="602"/>
        <v>VERIFICAR</v>
      </c>
      <c r="H3853" s="21" t="str">
        <f t="shared" si="602"/>
        <v>VERIFICAR</v>
      </c>
      <c r="I3853" s="24" t="str">
        <f t="shared" si="603"/>
        <v xml:space="preserve">SEM VALOR</v>
      </c>
      <c r="L3853" s="36"/>
      <c r="M3853" s="37"/>
      <c r="N3853" s="36"/>
    </row>
    <row r="3854" ht="12.75">
      <c r="A3854" s="19" t="s">
        <v>10604</v>
      </c>
      <c r="B3854" s="19">
        <v>6160</v>
      </c>
      <c r="C3854" s="20" t="s">
        <v>14322</v>
      </c>
      <c r="D3854" s="19" t="s">
        <v>2032</v>
      </c>
      <c r="E3854" s="19" t="s">
        <v>10466</v>
      </c>
      <c r="F3854" s="21">
        <f t="shared" si="602"/>
        <v>21.260000000000002</v>
      </c>
      <c r="G3854" s="21">
        <f t="shared" si="602"/>
        <v>21.260000000000002</v>
      </c>
      <c r="H3854" s="21">
        <f t="shared" si="602"/>
        <v>21.260000000000002</v>
      </c>
      <c r="I3854" s="24" t="str">
        <f t="shared" si="603"/>
        <v xml:space="preserve">COM VALOR</v>
      </c>
      <c r="L3854" s="36">
        <v>21.260000000000002</v>
      </c>
      <c r="M3854" s="37">
        <v>21.260000000000002</v>
      </c>
      <c r="N3854" s="36">
        <v>21.260000000000002</v>
      </c>
    </row>
    <row r="3855" ht="12.75">
      <c r="A3855" s="19" t="s">
        <v>10604</v>
      </c>
      <c r="B3855" s="19">
        <v>41087</v>
      </c>
      <c r="C3855" s="20" t="s">
        <v>14323</v>
      </c>
      <c r="D3855" s="19" t="s">
        <v>7087</v>
      </c>
      <c r="E3855" s="19" t="s">
        <v>10459</v>
      </c>
      <c r="F3855" s="21">
        <f t="shared" si="602"/>
        <v>3721.6900000000001</v>
      </c>
      <c r="G3855" s="21">
        <f t="shared" si="602"/>
        <v>3721.6900000000001</v>
      </c>
      <c r="H3855" s="21">
        <f t="shared" si="602"/>
        <v>3721.6900000000001</v>
      </c>
      <c r="I3855" s="24" t="str">
        <f t="shared" si="603"/>
        <v xml:space="preserve">COM VALOR</v>
      </c>
      <c r="L3855" s="36">
        <v>3721.6900000000001</v>
      </c>
      <c r="M3855" s="37">
        <v>3721.6900000000001</v>
      </c>
      <c r="N3855" s="36">
        <v>3721.6900000000001</v>
      </c>
    </row>
    <row r="3856" ht="25.5">
      <c r="A3856" s="19" t="s">
        <v>10604</v>
      </c>
      <c r="B3856" s="19">
        <v>6166</v>
      </c>
      <c r="C3856" s="20" t="s">
        <v>14324</v>
      </c>
      <c r="D3856" s="19" t="s">
        <v>2032</v>
      </c>
      <c r="E3856" s="19" t="s">
        <v>10459</v>
      </c>
      <c r="F3856" s="21">
        <f t="shared" si="602"/>
        <v>24.969999999999999</v>
      </c>
      <c r="G3856" s="21">
        <f t="shared" si="602"/>
        <v>24.969999999999999</v>
      </c>
      <c r="H3856" s="21">
        <f t="shared" si="602"/>
        <v>24.969999999999999</v>
      </c>
      <c r="I3856" s="24" t="str">
        <f t="shared" si="603"/>
        <v xml:space="preserve">COM VALOR</v>
      </c>
      <c r="L3856" s="36">
        <v>24.969999999999999</v>
      </c>
      <c r="M3856" s="37">
        <v>24.969999999999999</v>
      </c>
      <c r="N3856" s="36">
        <v>24.969999999999999</v>
      </c>
    </row>
    <row r="3857" ht="25.5">
      <c r="A3857" s="19" t="s">
        <v>10604</v>
      </c>
      <c r="B3857" s="19">
        <v>41088</v>
      </c>
      <c r="C3857" s="20" t="s">
        <v>14325</v>
      </c>
      <c r="D3857" s="19" t="s">
        <v>7087</v>
      </c>
      <c r="E3857" s="19" t="s">
        <v>10459</v>
      </c>
      <c r="F3857" s="21">
        <f t="shared" si="602"/>
        <v>4373.4499999999998</v>
      </c>
      <c r="G3857" s="21">
        <f t="shared" si="602"/>
        <v>4373.4499999999998</v>
      </c>
      <c r="H3857" s="21">
        <f t="shared" si="602"/>
        <v>4373.4499999999998</v>
      </c>
      <c r="I3857" s="24" t="str">
        <f t="shared" si="603"/>
        <v xml:space="preserve">COM VALOR</v>
      </c>
      <c r="L3857" s="36">
        <v>4373.4499999999998</v>
      </c>
      <c r="M3857" s="37">
        <v>4373.4499999999998</v>
      </c>
      <c r="N3857" s="36">
        <v>4373.4499999999998</v>
      </c>
    </row>
    <row r="3858" ht="38.25">
      <c r="A3858" s="19" t="s">
        <v>10460</v>
      </c>
      <c r="B3858" s="19">
        <v>20232</v>
      </c>
      <c r="C3858" s="20" t="s">
        <v>14326</v>
      </c>
      <c r="D3858" s="19" t="s">
        <v>38</v>
      </c>
      <c r="E3858" s="19" t="s">
        <v>10459</v>
      </c>
      <c r="F3858" s="21">
        <f t="shared" si="602"/>
        <v>94.810000000000002</v>
      </c>
      <c r="G3858" s="21">
        <f t="shared" si="602"/>
        <v>94.810000000000002</v>
      </c>
      <c r="H3858" s="21">
        <f t="shared" si="602"/>
        <v>94.810000000000002</v>
      </c>
      <c r="I3858" s="24" t="str">
        <f t="shared" si="603"/>
        <v xml:space="preserve">COM VALOR</v>
      </c>
      <c r="L3858" s="36">
        <v>94.810000000000002</v>
      </c>
      <c r="M3858" s="37">
        <v>94.810000000000002</v>
      </c>
      <c r="N3858" s="36">
        <v>94.810000000000002</v>
      </c>
    </row>
    <row r="3859" ht="25.5">
      <c r="A3859" s="19" t="s">
        <v>10460</v>
      </c>
      <c r="B3859" s="19">
        <v>10856</v>
      </c>
      <c r="C3859" s="20" t="s">
        <v>14327</v>
      </c>
      <c r="D3859" s="19" t="s">
        <v>38</v>
      </c>
      <c r="E3859" s="19" t="s">
        <v>10459</v>
      </c>
      <c r="F3859" s="21" t="str">
        <f t="shared" si="602"/>
        <v>VERIFICAR</v>
      </c>
      <c r="G3859" s="21" t="str">
        <f t="shared" si="602"/>
        <v>VERIFICAR</v>
      </c>
      <c r="H3859" s="21" t="str">
        <f t="shared" si="602"/>
        <v>VERIFICAR</v>
      </c>
      <c r="I3859" s="24" t="str">
        <f t="shared" si="603"/>
        <v xml:space="preserve">SEM VALOR</v>
      </c>
      <c r="L3859" s="36"/>
      <c r="M3859" s="37"/>
      <c r="N3859" s="36"/>
    </row>
    <row r="3860" ht="25.5">
      <c r="A3860" s="19" t="s">
        <v>10460</v>
      </c>
      <c r="B3860" s="19">
        <v>4828</v>
      </c>
      <c r="C3860" s="20" t="s">
        <v>14328</v>
      </c>
      <c r="D3860" s="19" t="s">
        <v>38</v>
      </c>
      <c r="E3860" s="19" t="s">
        <v>10459</v>
      </c>
      <c r="F3860" s="21">
        <f t="shared" si="602"/>
        <v>95.060000000000002</v>
      </c>
      <c r="G3860" s="21">
        <f t="shared" si="602"/>
        <v>95.060000000000002</v>
      </c>
      <c r="H3860" s="21">
        <f t="shared" si="602"/>
        <v>95.060000000000002</v>
      </c>
      <c r="I3860" s="24" t="str">
        <f t="shared" si="603"/>
        <v xml:space="preserve">COM VALOR</v>
      </c>
      <c r="L3860" s="36">
        <v>95.060000000000002</v>
      </c>
      <c r="M3860" s="37">
        <v>95.060000000000002</v>
      </c>
      <c r="N3860" s="36">
        <v>95.060000000000002</v>
      </c>
    </row>
    <row r="3861" ht="25.5">
      <c r="A3861" s="19" t="s">
        <v>10460</v>
      </c>
      <c r="B3861" s="19">
        <v>20249</v>
      </c>
      <c r="C3861" s="20" t="s">
        <v>14329</v>
      </c>
      <c r="D3861" s="19" t="s">
        <v>38</v>
      </c>
      <c r="E3861" s="19" t="s">
        <v>10459</v>
      </c>
      <c r="F3861" s="21">
        <f t="shared" si="602"/>
        <v>52.049999999999997</v>
      </c>
      <c r="G3861" s="21">
        <f t="shared" si="602"/>
        <v>52.049999999999997</v>
      </c>
      <c r="H3861" s="21">
        <f t="shared" si="602"/>
        <v>52.049999999999997</v>
      </c>
      <c r="I3861" s="24" t="str">
        <f t="shared" si="603"/>
        <v xml:space="preserve">COM VALOR</v>
      </c>
      <c r="L3861" s="36">
        <v>52.049999999999997</v>
      </c>
      <c r="M3861" s="37">
        <v>52.049999999999997</v>
      </c>
      <c r="N3861" s="36">
        <v>52.049999999999997</v>
      </c>
    </row>
    <row r="3862" ht="25.5">
      <c r="A3862" s="19" t="s">
        <v>10460</v>
      </c>
      <c r="B3862" s="19">
        <v>11609</v>
      </c>
      <c r="C3862" s="20" t="s">
        <v>14330</v>
      </c>
      <c r="D3862" s="19" t="s">
        <v>9794</v>
      </c>
      <c r="E3862" s="19" t="s">
        <v>10459</v>
      </c>
      <c r="F3862" s="21">
        <f t="shared" si="602"/>
        <v>11.619999999999999</v>
      </c>
      <c r="G3862" s="21">
        <f t="shared" si="602"/>
        <v>11.619999999999999</v>
      </c>
      <c r="H3862" s="21">
        <f t="shared" si="602"/>
        <v>11.619999999999999</v>
      </c>
      <c r="I3862" s="24" t="str">
        <f t="shared" si="603"/>
        <v xml:space="preserve">COM VALOR</v>
      </c>
      <c r="L3862" s="36">
        <v>11.619999999999999</v>
      </c>
      <c r="M3862" s="37">
        <v>11.619999999999999</v>
      </c>
      <c r="N3862" s="36">
        <v>11.619999999999999</v>
      </c>
    </row>
    <row r="3863" ht="25.5">
      <c r="A3863" s="19" t="s">
        <v>10460</v>
      </c>
      <c r="B3863" s="19">
        <v>20083</v>
      </c>
      <c r="C3863" s="20" t="s">
        <v>14331</v>
      </c>
      <c r="D3863" s="19" t="s">
        <v>31</v>
      </c>
      <c r="E3863" s="19" t="s">
        <v>10459</v>
      </c>
      <c r="F3863" s="21">
        <f t="shared" si="602"/>
        <v>87.170000000000002</v>
      </c>
      <c r="G3863" s="21">
        <f t="shared" si="602"/>
        <v>87.170000000000002</v>
      </c>
      <c r="H3863" s="21">
        <f t="shared" si="602"/>
        <v>87.170000000000002</v>
      </c>
      <c r="I3863" s="24" t="str">
        <f t="shared" si="603"/>
        <v xml:space="preserve">COM VALOR</v>
      </c>
      <c r="L3863" s="36">
        <v>87.170000000000002</v>
      </c>
      <c r="M3863" s="37">
        <v>87.170000000000002</v>
      </c>
      <c r="N3863" s="36">
        <v>87.170000000000002</v>
      </c>
    </row>
    <row r="3864" ht="12.75">
      <c r="A3864" s="19" t="s">
        <v>10460</v>
      </c>
      <c r="B3864" s="19">
        <v>12295</v>
      </c>
      <c r="C3864" s="20" t="s">
        <v>14332</v>
      </c>
      <c r="D3864" s="19" t="s">
        <v>31</v>
      </c>
      <c r="E3864" s="19" t="s">
        <v>10459</v>
      </c>
      <c r="F3864" s="21">
        <f t="shared" si="602"/>
        <v>2.9500000000000002</v>
      </c>
      <c r="G3864" s="21">
        <f t="shared" si="602"/>
        <v>2.9500000000000002</v>
      </c>
      <c r="H3864" s="21">
        <f t="shared" si="602"/>
        <v>2.9500000000000002</v>
      </c>
      <c r="I3864" s="24" t="str">
        <f t="shared" si="603"/>
        <v xml:space="preserve">COM VALOR</v>
      </c>
      <c r="L3864" s="36">
        <v>2.9500000000000002</v>
      </c>
      <c r="M3864" s="37">
        <v>2.9500000000000002</v>
      </c>
      <c r="N3864" s="36">
        <v>2.9500000000000002</v>
      </c>
    </row>
    <row r="3865" ht="25.5">
      <c r="A3865" s="19" t="s">
        <v>10460</v>
      </c>
      <c r="B3865" s="19">
        <v>12296</v>
      </c>
      <c r="C3865" s="20" t="s">
        <v>14333</v>
      </c>
      <c r="D3865" s="19" t="s">
        <v>31</v>
      </c>
      <c r="E3865" s="19" t="s">
        <v>10459</v>
      </c>
      <c r="F3865" s="21">
        <f t="shared" si="602"/>
        <v>3.8199999999999998</v>
      </c>
      <c r="G3865" s="21">
        <f t="shared" si="602"/>
        <v>3.8199999999999998</v>
      </c>
      <c r="H3865" s="21">
        <f t="shared" si="602"/>
        <v>3.8199999999999998</v>
      </c>
      <c r="I3865" s="24" t="str">
        <f t="shared" si="603"/>
        <v xml:space="preserve">COM VALOR</v>
      </c>
      <c r="L3865" s="36">
        <v>3.8199999999999998</v>
      </c>
      <c r="M3865" s="37">
        <v>3.8199999999999998</v>
      </c>
      <c r="N3865" s="36">
        <v>3.8199999999999998</v>
      </c>
    </row>
    <row r="3866" ht="25.5">
      <c r="A3866" s="19" t="s">
        <v>10460</v>
      </c>
      <c r="B3866" s="19">
        <v>12294</v>
      </c>
      <c r="C3866" s="20" t="s">
        <v>14334</v>
      </c>
      <c r="D3866" s="19" t="s">
        <v>31</v>
      </c>
      <c r="E3866" s="19" t="s">
        <v>10459</v>
      </c>
      <c r="F3866" s="21">
        <f t="shared" si="602"/>
        <v>9.1899999999999995</v>
      </c>
      <c r="G3866" s="21">
        <f t="shared" si="602"/>
        <v>9.1899999999999995</v>
      </c>
      <c r="H3866" s="21">
        <f t="shared" si="602"/>
        <v>9.1899999999999995</v>
      </c>
      <c r="I3866" s="24" t="str">
        <f t="shared" si="603"/>
        <v xml:space="preserve">COM VALOR</v>
      </c>
      <c r="L3866" s="36">
        <v>9.1899999999999995</v>
      </c>
      <c r="M3866" s="37">
        <v>9.1899999999999995</v>
      </c>
      <c r="N3866" s="36">
        <v>9.1899999999999995</v>
      </c>
    </row>
    <row r="3867" ht="25.5">
      <c r="A3867" s="19" t="s">
        <v>10460</v>
      </c>
      <c r="B3867" s="19">
        <v>14543</v>
      </c>
      <c r="C3867" s="20" t="s">
        <v>14335</v>
      </c>
      <c r="D3867" s="19" t="s">
        <v>31</v>
      </c>
      <c r="E3867" s="19" t="s">
        <v>10459</v>
      </c>
      <c r="F3867" s="21">
        <f t="shared" si="602"/>
        <v>6.5599999999999996</v>
      </c>
      <c r="G3867" s="21">
        <f t="shared" si="602"/>
        <v>6.5599999999999996</v>
      </c>
      <c r="H3867" s="21">
        <f t="shared" si="602"/>
        <v>6.5599999999999996</v>
      </c>
      <c r="I3867" s="24" t="str">
        <f t="shared" si="603"/>
        <v xml:space="preserve">COM VALOR</v>
      </c>
      <c r="L3867" s="36">
        <v>6.5599999999999996</v>
      </c>
      <c r="M3867" s="37">
        <v>6.5599999999999996</v>
      </c>
      <c r="N3867" s="36">
        <v>6.5599999999999996</v>
      </c>
    </row>
    <row r="3868" ht="25.5">
      <c r="A3868" s="19" t="s">
        <v>10460</v>
      </c>
      <c r="B3868" s="19">
        <v>13329</v>
      </c>
      <c r="C3868" s="20" t="s">
        <v>14336</v>
      </c>
      <c r="D3868" s="19" t="s">
        <v>31</v>
      </c>
      <c r="E3868" s="19" t="s">
        <v>10466</v>
      </c>
      <c r="F3868" s="21">
        <f t="shared" si="602"/>
        <v>3.8500000000000001</v>
      </c>
      <c r="G3868" s="21">
        <f t="shared" si="602"/>
        <v>3.8500000000000001</v>
      </c>
      <c r="H3868" s="21">
        <f t="shared" si="602"/>
        <v>3.8500000000000001</v>
      </c>
      <c r="I3868" s="24" t="str">
        <f t="shared" si="603"/>
        <v xml:space="preserve">COM VALOR</v>
      </c>
      <c r="L3868" s="36">
        <v>3.8500000000000001</v>
      </c>
      <c r="M3868" s="37">
        <v>3.8500000000000001</v>
      </c>
      <c r="N3868" s="36">
        <v>3.8500000000000001</v>
      </c>
    </row>
    <row r="3869" ht="38.25">
      <c r="A3869" s="19" t="s">
        <v>10460</v>
      </c>
      <c r="B3869" s="19">
        <v>21047</v>
      </c>
      <c r="C3869" s="20" t="s">
        <v>14337</v>
      </c>
      <c r="D3869" s="19" t="s">
        <v>31</v>
      </c>
      <c r="E3869" s="19" t="s">
        <v>10459</v>
      </c>
      <c r="F3869" s="21">
        <f t="shared" si="602"/>
        <v>88.060000000000002</v>
      </c>
      <c r="G3869" s="21">
        <f t="shared" si="602"/>
        <v>88.060000000000002</v>
      </c>
      <c r="H3869" s="21">
        <f t="shared" si="602"/>
        <v>88.060000000000002</v>
      </c>
      <c r="I3869" s="24" t="str">
        <f t="shared" si="603"/>
        <v xml:space="preserve">COM VALOR</v>
      </c>
      <c r="L3869" s="36">
        <v>88.060000000000002</v>
      </c>
      <c r="M3869" s="37">
        <v>88.060000000000002</v>
      </c>
      <c r="N3869" s="36">
        <v>88.060000000000002</v>
      </c>
    </row>
    <row r="3870" ht="38.25">
      <c r="A3870" s="19" t="s">
        <v>10460</v>
      </c>
      <c r="B3870" s="19">
        <v>21042</v>
      </c>
      <c r="C3870" s="20" t="s">
        <v>14338</v>
      </c>
      <c r="D3870" s="19" t="s">
        <v>31</v>
      </c>
      <c r="E3870" s="19" t="s">
        <v>10459</v>
      </c>
      <c r="F3870" s="21">
        <f t="shared" si="602"/>
        <v>67.879999999999995</v>
      </c>
      <c r="G3870" s="21">
        <f t="shared" si="602"/>
        <v>67.879999999999995</v>
      </c>
      <c r="H3870" s="21">
        <f t="shared" si="602"/>
        <v>67.879999999999995</v>
      </c>
      <c r="I3870" s="24" t="str">
        <f t="shared" si="603"/>
        <v xml:space="preserve">COM VALOR</v>
      </c>
      <c r="L3870" s="36">
        <v>67.879999999999995</v>
      </c>
      <c r="M3870" s="37">
        <v>67.879999999999995</v>
      </c>
      <c r="N3870" s="36">
        <v>67.879999999999995</v>
      </c>
    </row>
    <row r="3871" ht="38.25">
      <c r="A3871" s="19" t="s">
        <v>10460</v>
      </c>
      <c r="B3871" s="19">
        <v>21043</v>
      </c>
      <c r="C3871" s="20" t="s">
        <v>14339</v>
      </c>
      <c r="D3871" s="19" t="s">
        <v>31</v>
      </c>
      <c r="E3871" s="19" t="s">
        <v>10459</v>
      </c>
      <c r="F3871" s="21">
        <f t="shared" si="602"/>
        <v>85.739999999999995</v>
      </c>
      <c r="G3871" s="21">
        <f t="shared" si="602"/>
        <v>85.739999999999995</v>
      </c>
      <c r="H3871" s="21">
        <f t="shared" si="602"/>
        <v>85.739999999999995</v>
      </c>
      <c r="I3871" s="24" t="str">
        <f t="shared" si="603"/>
        <v xml:space="preserve">COM VALOR</v>
      </c>
      <c r="L3871" s="36">
        <v>85.739999999999995</v>
      </c>
      <c r="M3871" s="37">
        <v>85.739999999999995</v>
      </c>
      <c r="N3871" s="36">
        <v>85.739999999999995</v>
      </c>
    </row>
    <row r="3872" ht="38.25">
      <c r="A3872" s="19" t="s">
        <v>10460</v>
      </c>
      <c r="B3872" s="19">
        <v>21044</v>
      </c>
      <c r="C3872" s="20" t="s">
        <v>14340</v>
      </c>
      <c r="D3872" s="19" t="s">
        <v>31</v>
      </c>
      <c r="E3872" s="19" t="s">
        <v>10459</v>
      </c>
      <c r="F3872" s="21">
        <f t="shared" si="602"/>
        <v>59.729999999999997</v>
      </c>
      <c r="G3872" s="21">
        <f t="shared" si="602"/>
        <v>59.729999999999997</v>
      </c>
      <c r="H3872" s="21">
        <f t="shared" si="602"/>
        <v>59.729999999999997</v>
      </c>
      <c r="I3872" s="24" t="str">
        <f t="shared" si="603"/>
        <v xml:space="preserve">COM VALOR</v>
      </c>
      <c r="L3872" s="36">
        <v>59.729999999999997</v>
      </c>
      <c r="M3872" s="37">
        <v>59.729999999999997</v>
      </c>
      <c r="N3872" s="36">
        <v>59.729999999999997</v>
      </c>
    </row>
    <row r="3873" ht="38.25">
      <c r="A3873" s="19" t="s">
        <v>10460</v>
      </c>
      <c r="B3873" s="19">
        <v>21045</v>
      </c>
      <c r="C3873" s="20" t="s">
        <v>14341</v>
      </c>
      <c r="D3873" s="19" t="s">
        <v>31</v>
      </c>
      <c r="E3873" s="19" t="s">
        <v>10459</v>
      </c>
      <c r="F3873" s="21">
        <f t="shared" si="602"/>
        <v>81.810000000000002</v>
      </c>
      <c r="G3873" s="21">
        <f t="shared" si="602"/>
        <v>81.810000000000002</v>
      </c>
      <c r="H3873" s="21">
        <f t="shared" si="602"/>
        <v>81.810000000000002</v>
      </c>
      <c r="I3873" s="24" t="str">
        <f t="shared" si="603"/>
        <v xml:space="preserve">COM VALOR</v>
      </c>
      <c r="L3873" s="36">
        <v>81.810000000000002</v>
      </c>
      <c r="M3873" s="37">
        <v>81.810000000000002</v>
      </c>
      <c r="N3873" s="36">
        <v>81.810000000000002</v>
      </c>
    </row>
    <row r="3874" ht="38.25">
      <c r="A3874" s="19" t="s">
        <v>10460</v>
      </c>
      <c r="B3874" s="19">
        <v>21041</v>
      </c>
      <c r="C3874" s="20" t="s">
        <v>14342</v>
      </c>
      <c r="D3874" s="19" t="s">
        <v>31</v>
      </c>
      <c r="E3874" s="19" t="s">
        <v>10459</v>
      </c>
      <c r="F3874" s="21">
        <f t="shared" si="602"/>
        <v>70.560000000000002</v>
      </c>
      <c r="G3874" s="21">
        <f t="shared" si="602"/>
        <v>70.560000000000002</v>
      </c>
      <c r="H3874" s="21">
        <f t="shared" si="602"/>
        <v>70.560000000000002</v>
      </c>
      <c r="I3874" s="24" t="str">
        <f t="shared" si="603"/>
        <v xml:space="preserve">COM VALOR</v>
      </c>
      <c r="L3874" s="36">
        <v>70.560000000000002</v>
      </c>
      <c r="M3874" s="37">
        <v>70.560000000000002</v>
      </c>
      <c r="N3874" s="36">
        <v>70.560000000000002</v>
      </c>
    </row>
    <row r="3875" ht="38.25">
      <c r="A3875" s="19" t="s">
        <v>10460</v>
      </c>
      <c r="B3875" s="19">
        <v>21040</v>
      </c>
      <c r="C3875" s="20" t="s">
        <v>14343</v>
      </c>
      <c r="D3875" s="19" t="s">
        <v>31</v>
      </c>
      <c r="E3875" s="19" t="s">
        <v>10466</v>
      </c>
      <c r="F3875" s="21">
        <f t="shared" si="602"/>
        <v>58.450000000000003</v>
      </c>
      <c r="G3875" s="21">
        <f t="shared" si="602"/>
        <v>58.450000000000003</v>
      </c>
      <c r="H3875" s="21">
        <f t="shared" si="602"/>
        <v>58.450000000000003</v>
      </c>
      <c r="I3875" s="24" t="str">
        <f t="shared" si="603"/>
        <v xml:space="preserve">COM VALOR</v>
      </c>
      <c r="L3875" s="36">
        <v>58.450000000000003</v>
      </c>
      <c r="M3875" s="37">
        <v>58.450000000000003</v>
      </c>
      <c r="N3875" s="36">
        <v>58.450000000000003</v>
      </c>
    </row>
    <row r="3876" ht="12.75">
      <c r="A3876" s="19" t="s">
        <v>10460</v>
      </c>
      <c r="B3876" s="19">
        <v>14149</v>
      </c>
      <c r="C3876" s="20" t="s">
        <v>14344</v>
      </c>
      <c r="D3876" s="19" t="s">
        <v>12544</v>
      </c>
      <c r="E3876" s="19" t="s">
        <v>10459</v>
      </c>
      <c r="F3876" s="21" t="str">
        <f t="shared" si="602"/>
        <v>VERIFICAR</v>
      </c>
      <c r="G3876" s="21" t="str">
        <f t="shared" si="602"/>
        <v>VERIFICAR</v>
      </c>
      <c r="H3876" s="21" t="str">
        <f t="shared" si="602"/>
        <v>VERIFICAR</v>
      </c>
      <c r="I3876" s="24" t="str">
        <f t="shared" si="603"/>
        <v xml:space="preserve">SEM VALOR</v>
      </c>
      <c r="L3876" s="36"/>
      <c r="M3876" s="37"/>
      <c r="N3876" s="36"/>
    </row>
    <row r="3877" ht="38.25">
      <c r="A3877" s="19" t="s">
        <v>10460</v>
      </c>
      <c r="B3877" s="19">
        <v>38099</v>
      </c>
      <c r="C3877" s="20" t="s">
        <v>14345</v>
      </c>
      <c r="D3877" s="19" t="s">
        <v>31</v>
      </c>
      <c r="E3877" s="19" t="s">
        <v>10459</v>
      </c>
      <c r="F3877" s="21">
        <f t="shared" si="602"/>
        <v>1.3100000000000001</v>
      </c>
      <c r="G3877" s="21">
        <f t="shared" si="602"/>
        <v>1.3100000000000001</v>
      </c>
      <c r="H3877" s="21">
        <f t="shared" si="602"/>
        <v>1.3100000000000001</v>
      </c>
      <c r="I3877" s="24" t="str">
        <f t="shared" si="603"/>
        <v xml:space="preserve">COM VALOR</v>
      </c>
      <c r="L3877" s="36">
        <v>1.3100000000000001</v>
      </c>
      <c r="M3877" s="37">
        <v>1.3100000000000001</v>
      </c>
      <c r="N3877" s="36">
        <v>1.3100000000000001</v>
      </c>
    </row>
    <row r="3878" ht="38.25">
      <c r="A3878" s="19" t="s">
        <v>10460</v>
      </c>
      <c r="B3878" s="19">
        <v>38100</v>
      </c>
      <c r="C3878" s="20" t="s">
        <v>14346</v>
      </c>
      <c r="D3878" s="19" t="s">
        <v>31</v>
      </c>
      <c r="E3878" s="19" t="s">
        <v>10459</v>
      </c>
      <c r="F3878" s="21">
        <f t="shared" si="602"/>
        <v>2.1400000000000001</v>
      </c>
      <c r="G3878" s="21">
        <f t="shared" si="602"/>
        <v>2.1400000000000001</v>
      </c>
      <c r="H3878" s="21">
        <f t="shared" si="602"/>
        <v>2.1400000000000001</v>
      </c>
      <c r="I3878" s="24" t="str">
        <f t="shared" si="603"/>
        <v xml:space="preserve">COM VALOR</v>
      </c>
      <c r="L3878" s="36">
        <v>2.1400000000000001</v>
      </c>
      <c r="M3878" s="37">
        <v>2.1400000000000001</v>
      </c>
      <c r="N3878" s="36">
        <v>2.1400000000000001</v>
      </c>
    </row>
    <row r="3879" ht="25.5">
      <c r="A3879" s="19" t="s">
        <v>10460</v>
      </c>
      <c r="B3879" s="19">
        <v>7576</v>
      </c>
      <c r="C3879" s="20" t="s">
        <v>14347</v>
      </c>
      <c r="D3879" s="19" t="s">
        <v>31</v>
      </c>
      <c r="E3879" s="19" t="s">
        <v>10459</v>
      </c>
      <c r="F3879" s="21">
        <f t="shared" si="602"/>
        <v>278.22000000000003</v>
      </c>
      <c r="G3879" s="21">
        <f t="shared" si="602"/>
        <v>278.22000000000003</v>
      </c>
      <c r="H3879" s="21">
        <f t="shared" si="602"/>
        <v>278.22000000000003</v>
      </c>
      <c r="I3879" s="24" t="str">
        <f t="shared" si="603"/>
        <v xml:space="preserve">COM VALOR</v>
      </c>
      <c r="L3879" s="36">
        <v>278.22000000000003</v>
      </c>
      <c r="M3879" s="37">
        <v>278.22000000000003</v>
      </c>
      <c r="N3879" s="36">
        <v>278.22000000000003</v>
      </c>
    </row>
    <row r="3880" ht="25.5">
      <c r="A3880" s="19" t="s">
        <v>10460</v>
      </c>
      <c r="B3880" s="19">
        <v>3384</v>
      </c>
      <c r="C3880" s="20" t="s">
        <v>14348</v>
      </c>
      <c r="D3880" s="19" t="s">
        <v>31</v>
      </c>
      <c r="E3880" s="19" t="s">
        <v>10459</v>
      </c>
      <c r="F3880" s="21">
        <f t="shared" si="602"/>
        <v>6.4000000000000004</v>
      </c>
      <c r="G3880" s="21">
        <f t="shared" si="602"/>
        <v>6.4000000000000004</v>
      </c>
      <c r="H3880" s="21">
        <f t="shared" si="602"/>
        <v>6.4000000000000004</v>
      </c>
      <c r="I3880" s="24" t="str">
        <f t="shared" si="603"/>
        <v xml:space="preserve">COM VALOR</v>
      </c>
      <c r="L3880" s="36">
        <v>6.4000000000000004</v>
      </c>
      <c r="M3880" s="37">
        <v>6.4000000000000004</v>
      </c>
      <c r="N3880" s="36">
        <v>6.4000000000000004</v>
      </c>
    </row>
    <row r="3881" ht="25.5">
      <c r="A3881" s="19" t="s">
        <v>10460</v>
      </c>
      <c r="B3881" s="19">
        <v>7572</v>
      </c>
      <c r="C3881" s="20" t="s">
        <v>14349</v>
      </c>
      <c r="D3881" s="19" t="s">
        <v>31</v>
      </c>
      <c r="E3881" s="19" t="s">
        <v>10459</v>
      </c>
      <c r="F3881" s="21">
        <f t="shared" si="602"/>
        <v>8.6099999999999994</v>
      </c>
      <c r="G3881" s="21">
        <f t="shared" si="602"/>
        <v>8.6099999999999994</v>
      </c>
      <c r="H3881" s="21">
        <f t="shared" si="602"/>
        <v>8.6099999999999994</v>
      </c>
      <c r="I3881" s="24" t="str">
        <f t="shared" si="603"/>
        <v xml:space="preserve">COM VALOR</v>
      </c>
      <c r="L3881" s="36">
        <v>8.6099999999999994</v>
      </c>
      <c r="M3881" s="37">
        <v>8.6099999999999994</v>
      </c>
      <c r="N3881" s="36">
        <v>8.6099999999999994</v>
      </c>
    </row>
    <row r="3882" ht="25.5">
      <c r="A3882" s="19" t="s">
        <v>10460</v>
      </c>
      <c r="B3882" s="19">
        <v>3396</v>
      </c>
      <c r="C3882" s="20" t="s">
        <v>14350</v>
      </c>
      <c r="D3882" s="19" t="s">
        <v>31</v>
      </c>
      <c r="E3882" s="19" t="s">
        <v>10459</v>
      </c>
      <c r="F3882" s="21">
        <f t="shared" si="602"/>
        <v>5.8200000000000003</v>
      </c>
      <c r="G3882" s="21">
        <f t="shared" si="602"/>
        <v>5.8200000000000003</v>
      </c>
      <c r="H3882" s="21">
        <f t="shared" si="602"/>
        <v>5.8200000000000003</v>
      </c>
      <c r="I3882" s="24" t="str">
        <f t="shared" si="603"/>
        <v xml:space="preserve">COM VALOR</v>
      </c>
      <c r="L3882" s="36">
        <v>5.8200000000000003</v>
      </c>
      <c r="M3882" s="37">
        <v>5.8200000000000003</v>
      </c>
      <c r="N3882" s="36">
        <v>5.8200000000000003</v>
      </c>
    </row>
    <row r="3883" ht="25.5">
      <c r="A3883" s="19" t="s">
        <v>10460</v>
      </c>
      <c r="B3883" s="19">
        <v>45230</v>
      </c>
      <c r="C3883" s="20" t="s">
        <v>14351</v>
      </c>
      <c r="D3883" s="19" t="s">
        <v>31</v>
      </c>
      <c r="E3883" s="19" t="s">
        <v>10459</v>
      </c>
      <c r="F3883" s="21">
        <f t="shared" si="602"/>
        <v>52.68</v>
      </c>
      <c r="G3883" s="21">
        <f t="shared" si="602"/>
        <v>52.68</v>
      </c>
      <c r="H3883" s="21">
        <f t="shared" si="602"/>
        <v>52.68</v>
      </c>
      <c r="I3883" s="24" t="str">
        <f t="shared" si="603"/>
        <v xml:space="preserve">COM VALOR</v>
      </c>
      <c r="L3883" s="36">
        <v>52.68</v>
      </c>
      <c r="M3883" s="37">
        <v>52.68</v>
      </c>
      <c r="N3883" s="36">
        <v>52.68</v>
      </c>
    </row>
    <row r="3884" ht="25.5">
      <c r="A3884" s="19" t="s">
        <v>10460</v>
      </c>
      <c r="B3884" s="19">
        <v>37590</v>
      </c>
      <c r="C3884" s="20" t="s">
        <v>14352</v>
      </c>
      <c r="D3884" s="19" t="s">
        <v>31</v>
      </c>
      <c r="E3884" s="19" t="s">
        <v>10459</v>
      </c>
      <c r="F3884" s="21" t="str">
        <f t="shared" si="602"/>
        <v>VERIFICAR</v>
      </c>
      <c r="G3884" s="21" t="str">
        <f t="shared" si="602"/>
        <v>VERIFICAR</v>
      </c>
      <c r="H3884" s="21" t="str">
        <f t="shared" si="602"/>
        <v>VERIFICAR</v>
      </c>
      <c r="I3884" s="24" t="str">
        <f t="shared" si="603"/>
        <v xml:space="preserve">SEM VALOR</v>
      </c>
      <c r="L3884" s="36"/>
      <c r="M3884" s="37"/>
      <c r="N3884" s="36"/>
    </row>
    <row r="3885" ht="25.5">
      <c r="A3885" s="19" t="s">
        <v>10460</v>
      </c>
      <c r="B3885" s="19">
        <v>37591</v>
      </c>
      <c r="C3885" s="20" t="s">
        <v>14353</v>
      </c>
      <c r="D3885" s="19" t="s">
        <v>31</v>
      </c>
      <c r="E3885" s="19" t="s">
        <v>10459</v>
      </c>
      <c r="F3885" s="21" t="str">
        <f t="shared" si="602"/>
        <v>VERIFICAR</v>
      </c>
      <c r="G3885" s="21" t="str">
        <f t="shared" si="602"/>
        <v>VERIFICAR</v>
      </c>
      <c r="H3885" s="21" t="str">
        <f t="shared" si="602"/>
        <v>VERIFICAR</v>
      </c>
      <c r="I3885" s="24" t="str">
        <f t="shared" si="603"/>
        <v xml:space="preserve">SEM VALOR</v>
      </c>
      <c r="L3885" s="36"/>
      <c r="M3885" s="37"/>
      <c r="N3885" s="36"/>
    </row>
    <row r="3886" ht="38.25">
      <c r="A3886" s="19" t="s">
        <v>10460</v>
      </c>
      <c r="B3886" s="19">
        <v>12626</v>
      </c>
      <c r="C3886" s="20" t="s">
        <v>14354</v>
      </c>
      <c r="D3886" s="19" t="s">
        <v>31</v>
      </c>
      <c r="E3886" s="19" t="s">
        <v>10459</v>
      </c>
      <c r="F3886" s="21">
        <f t="shared" si="602"/>
        <v>45.899999999999999</v>
      </c>
      <c r="G3886" s="21">
        <f t="shared" si="602"/>
        <v>45.899999999999999</v>
      </c>
      <c r="H3886" s="21">
        <f t="shared" si="602"/>
        <v>45.899999999999999</v>
      </c>
      <c r="I3886" s="24" t="str">
        <f t="shared" si="603"/>
        <v xml:space="preserve">COM VALOR</v>
      </c>
      <c r="L3886" s="36">
        <v>45.899999999999999</v>
      </c>
      <c r="M3886" s="37">
        <v>45.899999999999999</v>
      </c>
      <c r="N3886" s="36">
        <v>45.899999999999999</v>
      </c>
    </row>
    <row r="3887" ht="12.75">
      <c r="A3887" s="19" t="s">
        <v>10460</v>
      </c>
      <c r="B3887" s="19">
        <v>11033</v>
      </c>
      <c r="C3887" s="20" t="s">
        <v>14355</v>
      </c>
      <c r="D3887" s="19" t="s">
        <v>31</v>
      </c>
      <c r="E3887" s="19" t="s">
        <v>10459</v>
      </c>
      <c r="F3887" s="21">
        <f t="shared" si="602"/>
        <v>4.9199999999999999</v>
      </c>
      <c r="G3887" s="21">
        <f t="shared" si="602"/>
        <v>4.9199999999999999</v>
      </c>
      <c r="H3887" s="21">
        <f t="shared" si="602"/>
        <v>4.9199999999999999</v>
      </c>
      <c r="I3887" s="24" t="str">
        <f t="shared" si="603"/>
        <v xml:space="preserve">COM VALOR</v>
      </c>
      <c r="L3887" s="36">
        <v>4.9199999999999999</v>
      </c>
      <c r="M3887" s="37">
        <v>4.9199999999999999</v>
      </c>
      <c r="N3887" s="36">
        <v>4.9199999999999999</v>
      </c>
    </row>
    <row r="3888" ht="25.5">
      <c r="A3888" s="19" t="s">
        <v>10460</v>
      </c>
      <c r="B3888" s="19">
        <v>390</v>
      </c>
      <c r="C3888" s="20" t="s">
        <v>14356</v>
      </c>
      <c r="D3888" s="19" t="s">
        <v>31</v>
      </c>
      <c r="E3888" s="19" t="s">
        <v>10459</v>
      </c>
      <c r="F3888" s="21">
        <f t="shared" si="602"/>
        <v>10.529999999999999</v>
      </c>
      <c r="G3888" s="21">
        <f t="shared" si="602"/>
        <v>10.529999999999999</v>
      </c>
      <c r="H3888" s="21">
        <f t="shared" si="602"/>
        <v>10.529999999999999</v>
      </c>
      <c r="I3888" s="24" t="str">
        <f t="shared" si="603"/>
        <v xml:space="preserve">COM VALOR</v>
      </c>
      <c r="L3888" s="36">
        <v>10.529999999999999</v>
      </c>
      <c r="M3888" s="37">
        <v>10.529999999999999</v>
      </c>
      <c r="N3888" s="36">
        <v>10.529999999999999</v>
      </c>
    </row>
    <row r="3889" ht="51">
      <c r="A3889" s="19" t="s">
        <v>10460</v>
      </c>
      <c r="B3889" s="19">
        <v>42436</v>
      </c>
      <c r="C3889" s="20" t="s">
        <v>14357</v>
      </c>
      <c r="D3889" s="19" t="s">
        <v>31</v>
      </c>
      <c r="E3889" s="19" t="s">
        <v>10459</v>
      </c>
      <c r="F3889" s="21" t="str">
        <f t="shared" si="602"/>
        <v>VERIFICAR</v>
      </c>
      <c r="G3889" s="21" t="str">
        <f t="shared" si="602"/>
        <v>VERIFICAR</v>
      </c>
      <c r="H3889" s="21" t="str">
        <f t="shared" si="602"/>
        <v>VERIFICAR</v>
      </c>
      <c r="I3889" s="24" t="str">
        <f t="shared" si="603"/>
        <v xml:space="preserve">SEM VALOR</v>
      </c>
      <c r="L3889" s="36"/>
      <c r="M3889" s="37"/>
      <c r="N3889" s="36"/>
    </row>
    <row r="3890" ht="25.5">
      <c r="A3890" s="19" t="s">
        <v>10460</v>
      </c>
      <c r="B3890" s="19">
        <v>6194</v>
      </c>
      <c r="C3890" s="20" t="s">
        <v>14358</v>
      </c>
      <c r="D3890" s="19" t="s">
        <v>38</v>
      </c>
      <c r="E3890" s="19" t="s">
        <v>10459</v>
      </c>
      <c r="F3890" s="21">
        <f t="shared" si="602"/>
        <v>4.8799999999999999</v>
      </c>
      <c r="G3890" s="21">
        <f t="shared" si="602"/>
        <v>4.8799999999999999</v>
      </c>
      <c r="H3890" s="21">
        <f t="shared" si="602"/>
        <v>4.8799999999999999</v>
      </c>
      <c r="I3890" s="24" t="str">
        <f t="shared" si="603"/>
        <v xml:space="preserve">COM VALOR</v>
      </c>
      <c r="L3890" s="36">
        <v>4.8799999999999999</v>
      </c>
      <c r="M3890" s="37">
        <v>4.8799999999999999</v>
      </c>
      <c r="N3890" s="36">
        <v>4.8799999999999999</v>
      </c>
    </row>
    <row r="3891" ht="25.5">
      <c r="A3891" s="19" t="s">
        <v>10460</v>
      </c>
      <c r="B3891" s="19">
        <v>10567</v>
      </c>
      <c r="C3891" s="20" t="s">
        <v>14359</v>
      </c>
      <c r="D3891" s="19" t="s">
        <v>38</v>
      </c>
      <c r="E3891" s="19" t="s">
        <v>10459</v>
      </c>
      <c r="F3891" s="21">
        <f t="shared" si="602"/>
        <v>7.7300000000000004</v>
      </c>
      <c r="G3891" s="21">
        <f t="shared" si="602"/>
        <v>7.7300000000000004</v>
      </c>
      <c r="H3891" s="21">
        <f t="shared" si="602"/>
        <v>7.7300000000000004</v>
      </c>
      <c r="I3891" s="24" t="str">
        <f t="shared" si="603"/>
        <v xml:space="preserve">COM VALOR</v>
      </c>
      <c r="L3891" s="36">
        <v>7.7300000000000004</v>
      </c>
      <c r="M3891" s="37">
        <v>7.7300000000000004</v>
      </c>
      <c r="N3891" s="36">
        <v>7.7300000000000004</v>
      </c>
    </row>
    <row r="3892" ht="25.5">
      <c r="A3892" s="19" t="s">
        <v>10460</v>
      </c>
      <c r="B3892" s="19">
        <v>6212</v>
      </c>
      <c r="C3892" s="20" t="s">
        <v>14360</v>
      </c>
      <c r="D3892" s="19" t="s">
        <v>38</v>
      </c>
      <c r="E3892" s="19" t="s">
        <v>10466</v>
      </c>
      <c r="F3892" s="21">
        <f t="shared" si="602"/>
        <v>11.34</v>
      </c>
      <c r="G3892" s="21">
        <f t="shared" si="602"/>
        <v>11.34</v>
      </c>
      <c r="H3892" s="21">
        <f t="shared" si="602"/>
        <v>11.34</v>
      </c>
      <c r="I3892" s="24" t="str">
        <f t="shared" si="603"/>
        <v xml:space="preserve">COM VALOR</v>
      </c>
      <c r="L3892" s="36">
        <v>11.34</v>
      </c>
      <c r="M3892" s="37">
        <v>11.34</v>
      </c>
      <c r="N3892" s="36">
        <v>11.34</v>
      </c>
    </row>
    <row r="3893" ht="38.25">
      <c r="A3893" s="19" t="s">
        <v>10460</v>
      </c>
      <c r="B3893" s="19">
        <v>3993</v>
      </c>
      <c r="C3893" s="20" t="s">
        <v>14361</v>
      </c>
      <c r="D3893" s="19" t="s">
        <v>29</v>
      </c>
      <c r="E3893" s="19" t="s">
        <v>10459</v>
      </c>
      <c r="F3893" s="21">
        <f t="shared" si="602"/>
        <v>135.18000000000001</v>
      </c>
      <c r="G3893" s="21">
        <f t="shared" si="602"/>
        <v>135.18000000000001</v>
      </c>
      <c r="H3893" s="21">
        <f t="shared" si="602"/>
        <v>135.18000000000001</v>
      </c>
      <c r="I3893" s="24" t="str">
        <f t="shared" si="603"/>
        <v xml:space="preserve">COM VALOR</v>
      </c>
      <c r="L3893" s="36">
        <v>135.18000000000001</v>
      </c>
      <c r="M3893" s="37">
        <v>135.18000000000001</v>
      </c>
      <c r="N3893" s="36">
        <v>135.18000000000001</v>
      </c>
    </row>
    <row r="3894" ht="38.25">
      <c r="A3894" s="19" t="s">
        <v>10460</v>
      </c>
      <c r="B3894" s="19">
        <v>3990</v>
      </c>
      <c r="C3894" s="20" t="s">
        <v>14362</v>
      </c>
      <c r="D3894" s="19" t="s">
        <v>38</v>
      </c>
      <c r="E3894" s="19" t="s">
        <v>10459</v>
      </c>
      <c r="F3894" s="21">
        <f t="shared" si="602"/>
        <v>25.43</v>
      </c>
      <c r="G3894" s="21">
        <f t="shared" si="602"/>
        <v>25.43</v>
      </c>
      <c r="H3894" s="21">
        <f t="shared" si="602"/>
        <v>25.43</v>
      </c>
      <c r="I3894" s="24" t="str">
        <f t="shared" si="603"/>
        <v xml:space="preserve">COM VALOR</v>
      </c>
      <c r="L3894" s="36">
        <v>25.43</v>
      </c>
      <c r="M3894" s="37">
        <v>25.43</v>
      </c>
      <c r="N3894" s="36">
        <v>25.43</v>
      </c>
    </row>
    <row r="3895" ht="38.25">
      <c r="A3895" s="19" t="s">
        <v>10460</v>
      </c>
      <c r="B3895" s="19">
        <v>3992</v>
      </c>
      <c r="C3895" s="20" t="s">
        <v>14363</v>
      </c>
      <c r="D3895" s="19" t="s">
        <v>38</v>
      </c>
      <c r="E3895" s="19" t="s">
        <v>10459</v>
      </c>
      <c r="F3895" s="21">
        <f t="shared" si="602"/>
        <v>34.340000000000003</v>
      </c>
      <c r="G3895" s="21">
        <f t="shared" si="602"/>
        <v>34.340000000000003</v>
      </c>
      <c r="H3895" s="21">
        <f t="shared" si="602"/>
        <v>34.340000000000003</v>
      </c>
      <c r="I3895" s="24" t="str">
        <f t="shared" si="603"/>
        <v xml:space="preserve">COM VALOR</v>
      </c>
      <c r="L3895" s="36">
        <v>34.340000000000003</v>
      </c>
      <c r="M3895" s="37">
        <v>34.340000000000003</v>
      </c>
      <c r="N3895" s="36">
        <v>34.340000000000003</v>
      </c>
    </row>
    <row r="3896" ht="38.25">
      <c r="A3896" s="19" t="s">
        <v>10460</v>
      </c>
      <c r="B3896" s="19">
        <v>6178</v>
      </c>
      <c r="C3896" s="20" t="s">
        <v>14364</v>
      </c>
      <c r="D3896" s="19" t="s">
        <v>29</v>
      </c>
      <c r="E3896" s="19" t="s">
        <v>10459</v>
      </c>
      <c r="F3896" s="21" t="str">
        <f t="shared" si="602"/>
        <v>VERIFICAR</v>
      </c>
      <c r="G3896" s="21" t="str">
        <f t="shared" si="602"/>
        <v>VERIFICAR</v>
      </c>
      <c r="H3896" s="21" t="str">
        <f t="shared" si="602"/>
        <v>VERIFICAR</v>
      </c>
      <c r="I3896" s="24" t="str">
        <f t="shared" si="603"/>
        <v xml:space="preserve">SEM VALOR</v>
      </c>
      <c r="L3896" s="36"/>
      <c r="M3896" s="37"/>
      <c r="N3896" s="36"/>
    </row>
    <row r="3897" ht="38.25">
      <c r="A3897" s="19" t="s">
        <v>10460</v>
      </c>
      <c r="B3897" s="19">
        <v>6180</v>
      </c>
      <c r="C3897" s="20" t="s">
        <v>14365</v>
      </c>
      <c r="D3897" s="19" t="s">
        <v>29</v>
      </c>
      <c r="E3897" s="19" t="s">
        <v>10466</v>
      </c>
      <c r="F3897" s="21" t="str">
        <f t="shared" si="602"/>
        <v>VERIFICAR</v>
      </c>
      <c r="G3897" s="21" t="str">
        <f t="shared" si="602"/>
        <v>VERIFICAR</v>
      </c>
      <c r="H3897" s="21" t="str">
        <f t="shared" si="602"/>
        <v>VERIFICAR</v>
      </c>
      <c r="I3897" s="24" t="str">
        <f t="shared" si="603"/>
        <v xml:space="preserve">SEM VALOR</v>
      </c>
      <c r="L3897" s="36"/>
      <c r="M3897" s="37"/>
      <c r="N3897" s="36"/>
    </row>
    <row r="3898" ht="25.5">
      <c r="A3898" s="19" t="s">
        <v>10460</v>
      </c>
      <c r="B3898" s="19">
        <v>6182</v>
      </c>
      <c r="C3898" s="20" t="s">
        <v>14366</v>
      </c>
      <c r="D3898" s="19" t="s">
        <v>29</v>
      </c>
      <c r="E3898" s="19" t="s">
        <v>10459</v>
      </c>
      <c r="F3898" s="21" t="str">
        <f t="shared" si="602"/>
        <v>VERIFICAR</v>
      </c>
      <c r="G3898" s="21" t="str">
        <f t="shared" si="602"/>
        <v>VERIFICAR</v>
      </c>
      <c r="H3898" s="21" t="str">
        <f t="shared" si="602"/>
        <v>VERIFICAR</v>
      </c>
      <c r="I3898" s="24" t="str">
        <f t="shared" si="603"/>
        <v xml:space="preserve">SEM VALOR</v>
      </c>
      <c r="L3898" s="36"/>
      <c r="M3898" s="37"/>
      <c r="N3898" s="36"/>
    </row>
    <row r="3899" ht="38.25">
      <c r="A3899" s="19" t="s">
        <v>10460</v>
      </c>
      <c r="B3899" s="19">
        <v>43614</v>
      </c>
      <c r="C3899" s="20" t="s">
        <v>14367</v>
      </c>
      <c r="D3899" s="19" t="s">
        <v>38</v>
      </c>
      <c r="E3899" s="19" t="s">
        <v>10459</v>
      </c>
      <c r="F3899" s="21">
        <f t="shared" si="602"/>
        <v>17.18</v>
      </c>
      <c r="G3899" s="21">
        <f t="shared" si="602"/>
        <v>17.18</v>
      </c>
      <c r="H3899" s="21">
        <f t="shared" si="602"/>
        <v>17.18</v>
      </c>
      <c r="I3899" s="24" t="str">
        <f t="shared" si="603"/>
        <v xml:space="preserve">COM VALOR</v>
      </c>
      <c r="J3899" s="38"/>
      <c r="L3899" s="36">
        <v>17.18</v>
      </c>
      <c r="M3899" s="37">
        <v>17.18</v>
      </c>
      <c r="N3899" s="36">
        <v>17.18</v>
      </c>
    </row>
    <row r="3900" ht="38.25">
      <c r="A3900" s="19" t="s">
        <v>10460</v>
      </c>
      <c r="B3900" s="19">
        <v>6193</v>
      </c>
      <c r="C3900" s="20" t="s">
        <v>14368</v>
      </c>
      <c r="D3900" s="19" t="s">
        <v>38</v>
      </c>
      <c r="E3900" s="19" t="s">
        <v>10459</v>
      </c>
      <c r="F3900" s="21">
        <f t="shared" si="602"/>
        <v>20.91</v>
      </c>
      <c r="G3900" s="21">
        <f t="shared" si="602"/>
        <v>20.91</v>
      </c>
      <c r="H3900" s="21">
        <f t="shared" si="602"/>
        <v>20.91</v>
      </c>
      <c r="I3900" s="24" t="str">
        <f t="shared" si="603"/>
        <v xml:space="preserve">COM VALOR</v>
      </c>
      <c r="L3900" s="36">
        <v>20.91</v>
      </c>
      <c r="M3900" s="37">
        <v>20.91</v>
      </c>
      <c r="N3900" s="36">
        <v>20.91</v>
      </c>
    </row>
    <row r="3901" ht="38.25">
      <c r="A3901" s="19" t="s">
        <v>10460</v>
      </c>
      <c r="B3901" s="19">
        <v>6189</v>
      </c>
      <c r="C3901" s="20" t="s">
        <v>14369</v>
      </c>
      <c r="D3901" s="19" t="s">
        <v>38</v>
      </c>
      <c r="E3901" s="19" t="s">
        <v>10459</v>
      </c>
      <c r="F3901" s="21">
        <f t="shared" si="602"/>
        <v>30.52</v>
      </c>
      <c r="G3901" s="21">
        <f t="shared" si="602"/>
        <v>30.52</v>
      </c>
      <c r="H3901" s="21">
        <f t="shared" si="602"/>
        <v>30.52</v>
      </c>
      <c r="I3901" s="24" t="str">
        <f t="shared" si="603"/>
        <v xml:space="preserve">COM VALOR</v>
      </c>
      <c r="J3901" s="38"/>
      <c r="L3901" s="36">
        <v>30.52</v>
      </c>
      <c r="M3901" s="37">
        <v>30.52</v>
      </c>
      <c r="N3901" s="36">
        <v>30.52</v>
      </c>
    </row>
    <row r="3902" ht="25.5">
      <c r="A3902" s="19" t="s">
        <v>10460</v>
      </c>
      <c r="B3902" s="19">
        <v>6214</v>
      </c>
      <c r="C3902" s="20" t="s">
        <v>14370</v>
      </c>
      <c r="D3902" s="19" t="s">
        <v>29</v>
      </c>
      <c r="E3902" s="19" t="s">
        <v>10459</v>
      </c>
      <c r="F3902" s="21" t="str">
        <f t="shared" si="602"/>
        <v>VERIFICAR</v>
      </c>
      <c r="G3902" s="21" t="str">
        <f t="shared" si="602"/>
        <v>VERIFICAR</v>
      </c>
      <c r="H3902" s="21" t="str">
        <f t="shared" si="602"/>
        <v>VERIFICAR</v>
      </c>
      <c r="I3902" s="24" t="str">
        <f t="shared" si="603"/>
        <v xml:space="preserve">SEM VALOR</v>
      </c>
      <c r="L3902" s="36"/>
      <c r="M3902" s="37"/>
      <c r="N3902" s="36"/>
    </row>
    <row r="3903" ht="38.25">
      <c r="A3903" s="19" t="s">
        <v>10460</v>
      </c>
      <c r="B3903" s="19">
        <v>44027</v>
      </c>
      <c r="C3903" s="20" t="s">
        <v>14371</v>
      </c>
      <c r="D3903" s="19" t="s">
        <v>31</v>
      </c>
      <c r="E3903" s="19" t="s">
        <v>10459</v>
      </c>
      <c r="F3903" s="21" t="str">
        <f t="shared" si="602"/>
        <v>VERIFICAR</v>
      </c>
      <c r="G3903" s="21" t="str">
        <f t="shared" si="602"/>
        <v>VERIFICAR</v>
      </c>
      <c r="H3903" s="21" t="str">
        <f t="shared" si="602"/>
        <v>VERIFICAR</v>
      </c>
      <c r="I3903" s="24" t="str">
        <f t="shared" si="603"/>
        <v xml:space="preserve">SEM VALOR</v>
      </c>
      <c r="J3903" s="38"/>
      <c r="L3903" s="36"/>
      <c r="M3903" s="37"/>
      <c r="N3903" s="36"/>
    </row>
    <row r="3904" ht="25.5">
      <c r="A3904" s="19" t="s">
        <v>10460</v>
      </c>
      <c r="B3904" s="19">
        <v>36153</v>
      </c>
      <c r="C3904" s="20" t="s">
        <v>14372</v>
      </c>
      <c r="D3904" s="19" t="s">
        <v>31</v>
      </c>
      <c r="E3904" s="19" t="s">
        <v>10459</v>
      </c>
      <c r="F3904" s="21">
        <f t="shared" si="602"/>
        <v>207.84</v>
      </c>
      <c r="G3904" s="21">
        <f t="shared" si="602"/>
        <v>207.84</v>
      </c>
      <c r="H3904" s="21">
        <f t="shared" si="602"/>
        <v>207.84</v>
      </c>
      <c r="I3904" s="24" t="str">
        <f t="shared" si="603"/>
        <v xml:space="preserve">COM VALOR</v>
      </c>
      <c r="L3904" s="36">
        <v>207.84</v>
      </c>
      <c r="M3904" s="37">
        <v>207.84</v>
      </c>
      <c r="N3904" s="36">
        <v>207.84</v>
      </c>
    </row>
    <row r="3905" ht="25.5">
      <c r="A3905" s="19" t="s">
        <v>10638</v>
      </c>
      <c r="B3905" s="19">
        <v>10742</v>
      </c>
      <c r="C3905" s="20" t="s">
        <v>14373</v>
      </c>
      <c r="D3905" s="19" t="s">
        <v>31</v>
      </c>
      <c r="E3905" s="19" t="s">
        <v>10466</v>
      </c>
      <c r="F3905" s="21">
        <f t="shared" si="602"/>
        <v>929.39999999999998</v>
      </c>
      <c r="G3905" s="21">
        <f t="shared" si="602"/>
        <v>929.39999999999998</v>
      </c>
      <c r="H3905" s="21">
        <f t="shared" si="602"/>
        <v>929.39999999999998</v>
      </c>
      <c r="I3905" s="24" t="str">
        <f t="shared" si="603"/>
        <v xml:space="preserve">COM VALOR</v>
      </c>
      <c r="L3905" s="36">
        <v>929.39999999999998</v>
      </c>
      <c r="M3905" s="37">
        <v>929.39999999999998</v>
      </c>
      <c r="N3905" s="36">
        <v>929.39999999999998</v>
      </c>
    </row>
    <row r="3906" ht="12.75">
      <c r="A3906" s="19" t="s">
        <v>10460</v>
      </c>
      <c r="B3906" s="19">
        <v>45239</v>
      </c>
      <c r="C3906" s="20" t="s">
        <v>14374</v>
      </c>
      <c r="D3906" s="19" t="s">
        <v>31</v>
      </c>
      <c r="E3906" s="19" t="s">
        <v>10459</v>
      </c>
      <c r="F3906" s="21">
        <f t="shared" si="602"/>
        <v>21.879999999999999</v>
      </c>
      <c r="G3906" s="21">
        <f t="shared" si="602"/>
        <v>21.879999999999999</v>
      </c>
      <c r="H3906" s="21">
        <f t="shared" si="602"/>
        <v>21.879999999999999</v>
      </c>
      <c r="I3906" s="24" t="str">
        <f t="shared" si="603"/>
        <v xml:space="preserve">COM VALOR</v>
      </c>
      <c r="J3906" s="38"/>
      <c r="L3906" s="36">
        <v>21.879999999999999</v>
      </c>
      <c r="M3906" s="37">
        <v>21.879999999999999</v>
      </c>
      <c r="N3906" s="36">
        <v>21.879999999999999</v>
      </c>
    </row>
    <row r="3907" ht="12.75">
      <c r="A3907" s="19" t="s">
        <v>10460</v>
      </c>
      <c r="B3907" s="19">
        <v>38465</v>
      </c>
      <c r="C3907" s="20" t="s">
        <v>14375</v>
      </c>
      <c r="D3907" s="19" t="s">
        <v>31</v>
      </c>
      <c r="E3907" s="19" t="s">
        <v>10459</v>
      </c>
      <c r="F3907" s="21">
        <f t="shared" si="602"/>
        <v>60.450000000000003</v>
      </c>
      <c r="G3907" s="21">
        <f t="shared" si="602"/>
        <v>60.450000000000003</v>
      </c>
      <c r="H3907" s="21">
        <f t="shared" si="602"/>
        <v>60.450000000000003</v>
      </c>
      <c r="I3907" s="24" t="str">
        <f t="shared" si="603"/>
        <v xml:space="preserve">COM VALOR</v>
      </c>
      <c r="L3907" s="36">
        <v>60.450000000000003</v>
      </c>
      <c r="M3907" s="37">
        <v>60.450000000000003</v>
      </c>
      <c r="N3907" s="36">
        <v>60.450000000000003</v>
      </c>
    </row>
    <row r="3908" ht="12.75">
      <c r="A3908" s="19" t="s">
        <v>10460</v>
      </c>
      <c r="B3908" s="19">
        <v>7543</v>
      </c>
      <c r="C3908" s="20" t="s">
        <v>14376</v>
      </c>
      <c r="D3908" s="19" t="s">
        <v>31</v>
      </c>
      <c r="E3908" s="19" t="s">
        <v>10459</v>
      </c>
      <c r="F3908" s="21">
        <f t="shared" si="602"/>
        <v>3.8399999999999999</v>
      </c>
      <c r="G3908" s="21">
        <f t="shared" si="602"/>
        <v>3.8399999999999999</v>
      </c>
      <c r="H3908" s="21">
        <f t="shared" si="602"/>
        <v>3.8399999999999999</v>
      </c>
      <c r="I3908" s="24" t="str">
        <f t="shared" si="603"/>
        <v xml:space="preserve">COM VALOR</v>
      </c>
      <c r="L3908" s="36">
        <v>3.8399999999999999</v>
      </c>
      <c r="M3908" s="37">
        <v>3.8399999999999999</v>
      </c>
      <c r="N3908" s="36">
        <v>3.8399999999999999</v>
      </c>
    </row>
    <row r="3909" ht="38.25">
      <c r="A3909" s="19" t="s">
        <v>10460</v>
      </c>
      <c r="B3909" s="19">
        <v>43427</v>
      </c>
      <c r="C3909" s="20" t="s">
        <v>14377</v>
      </c>
      <c r="D3909" s="19" t="s">
        <v>31</v>
      </c>
      <c r="E3909" s="19" t="s">
        <v>10459</v>
      </c>
      <c r="F3909" s="21">
        <f t="shared" si="602"/>
        <v>2018.1500000000001</v>
      </c>
      <c r="G3909" s="21">
        <f t="shared" si="602"/>
        <v>2018.1500000000001</v>
      </c>
      <c r="H3909" s="21">
        <f t="shared" si="602"/>
        <v>2018.1500000000001</v>
      </c>
      <c r="I3909" s="24" t="str">
        <f t="shared" si="603"/>
        <v xml:space="preserve">COM VALOR</v>
      </c>
      <c r="L3909" s="36">
        <v>2018.1500000000001</v>
      </c>
      <c r="M3909" s="37">
        <v>2018.1500000000001</v>
      </c>
      <c r="N3909" s="36">
        <v>2018.1500000000001</v>
      </c>
    </row>
    <row r="3910" ht="25.5">
      <c r="A3910" s="19" t="s">
        <v>10460</v>
      </c>
      <c r="B3910" s="19">
        <v>41613</v>
      </c>
      <c r="C3910" s="20" t="s">
        <v>14378</v>
      </c>
      <c r="D3910" s="19" t="s">
        <v>31</v>
      </c>
      <c r="E3910" s="19" t="s">
        <v>10459</v>
      </c>
      <c r="F3910" s="21">
        <f t="shared" si="602"/>
        <v>129.72999999999999</v>
      </c>
      <c r="G3910" s="21">
        <f t="shared" si="602"/>
        <v>129.72999999999999</v>
      </c>
      <c r="H3910" s="21">
        <f t="shared" si="602"/>
        <v>129.72999999999999</v>
      </c>
      <c r="I3910" s="24" t="str">
        <f t="shared" si="603"/>
        <v xml:space="preserve">COM VALOR</v>
      </c>
      <c r="L3910" s="36">
        <v>129.72999999999999</v>
      </c>
      <c r="M3910" s="37">
        <v>129.72999999999999</v>
      </c>
      <c r="N3910" s="36">
        <v>129.72999999999999</v>
      </c>
    </row>
    <row r="3911" ht="25.5">
      <c r="A3911" s="19" t="s">
        <v>10460</v>
      </c>
      <c r="B3911" s="19">
        <v>41614</v>
      </c>
      <c r="C3911" s="20" t="s">
        <v>14379</v>
      </c>
      <c r="D3911" s="19" t="s">
        <v>31</v>
      </c>
      <c r="E3911" s="19" t="s">
        <v>10459</v>
      </c>
      <c r="F3911" s="21">
        <f t="shared" si="602"/>
        <v>165.30000000000001</v>
      </c>
      <c r="G3911" s="21">
        <f t="shared" si="602"/>
        <v>165.30000000000001</v>
      </c>
      <c r="H3911" s="21">
        <f t="shared" si="602"/>
        <v>165.30000000000001</v>
      </c>
      <c r="I3911" s="24" t="str">
        <f t="shared" si="603"/>
        <v xml:space="preserve">COM VALOR</v>
      </c>
      <c r="L3911" s="36">
        <v>165.30000000000001</v>
      </c>
      <c r="M3911" s="37">
        <v>165.30000000000001</v>
      </c>
      <c r="N3911" s="36">
        <v>165.30000000000001</v>
      </c>
    </row>
    <row r="3912" ht="25.5">
      <c r="A3912" s="19" t="s">
        <v>10460</v>
      </c>
      <c r="B3912" s="19">
        <v>41615</v>
      </c>
      <c r="C3912" s="20" t="s">
        <v>14380</v>
      </c>
      <c r="D3912" s="19" t="s">
        <v>31</v>
      </c>
      <c r="E3912" s="19" t="s">
        <v>10459</v>
      </c>
      <c r="F3912" s="21">
        <f t="shared" si="602"/>
        <v>255.47999999999999</v>
      </c>
      <c r="G3912" s="21">
        <f t="shared" si="602"/>
        <v>255.47999999999999</v>
      </c>
      <c r="H3912" s="21">
        <f t="shared" si="602"/>
        <v>255.47999999999999</v>
      </c>
      <c r="I3912" s="24" t="str">
        <f t="shared" si="603"/>
        <v xml:space="preserve">COM VALOR</v>
      </c>
      <c r="L3912" s="36">
        <v>255.47999999999999</v>
      </c>
      <c r="M3912" s="37">
        <v>255.47999999999999</v>
      </c>
      <c r="N3912" s="36">
        <v>255.47999999999999</v>
      </c>
    </row>
    <row r="3913" ht="25.5">
      <c r="A3913" s="19" t="s">
        <v>10460</v>
      </c>
      <c r="B3913" s="19">
        <v>41616</v>
      </c>
      <c r="C3913" s="20" t="s">
        <v>14381</v>
      </c>
      <c r="D3913" s="19" t="s">
        <v>31</v>
      </c>
      <c r="E3913" s="19" t="s">
        <v>10459</v>
      </c>
      <c r="F3913" s="21">
        <f t="shared" si="602"/>
        <v>381.73000000000002</v>
      </c>
      <c r="G3913" s="21">
        <f t="shared" si="602"/>
        <v>381.73000000000002</v>
      </c>
      <c r="H3913" s="21">
        <f t="shared" si="602"/>
        <v>381.73000000000002</v>
      </c>
      <c r="I3913" s="24" t="str">
        <f t="shared" si="603"/>
        <v xml:space="preserve">COM VALOR</v>
      </c>
      <c r="L3913" s="36">
        <v>381.73000000000002</v>
      </c>
      <c r="M3913" s="37">
        <v>381.73000000000002</v>
      </c>
      <c r="N3913" s="36">
        <v>381.73000000000002</v>
      </c>
    </row>
    <row r="3914" ht="25.5">
      <c r="A3914" s="19" t="s">
        <v>10460</v>
      </c>
      <c r="B3914" s="19">
        <v>41617</v>
      </c>
      <c r="C3914" s="20" t="s">
        <v>14382</v>
      </c>
      <c r="D3914" s="19" t="s">
        <v>31</v>
      </c>
      <c r="E3914" s="19" t="s">
        <v>10459</v>
      </c>
      <c r="F3914" s="21">
        <f t="shared" si="602"/>
        <v>759.02999999999997</v>
      </c>
      <c r="G3914" s="21">
        <f t="shared" si="602"/>
        <v>759.02999999999997</v>
      </c>
      <c r="H3914" s="21">
        <f t="shared" si="602"/>
        <v>759.02999999999997</v>
      </c>
      <c r="I3914" s="24" t="str">
        <f t="shared" si="603"/>
        <v xml:space="preserve">COM VALOR</v>
      </c>
      <c r="L3914" s="36">
        <v>759.02999999999997</v>
      </c>
      <c r="M3914" s="37">
        <v>759.02999999999997</v>
      </c>
      <c r="N3914" s="36">
        <v>759.02999999999997</v>
      </c>
    </row>
    <row r="3915" ht="25.5">
      <c r="A3915" s="19" t="s">
        <v>10460</v>
      </c>
      <c r="B3915" s="19">
        <v>41618</v>
      </c>
      <c r="C3915" s="20" t="s">
        <v>14383</v>
      </c>
      <c r="D3915" s="19" t="s">
        <v>31</v>
      </c>
      <c r="E3915" s="19" t="s">
        <v>10459</v>
      </c>
      <c r="F3915" s="21">
        <f t="shared" ref="F3915:H3978" si="604">IF(L3915=0,"VERIFICAR",L3915)</f>
        <v>1397.3199999999999</v>
      </c>
      <c r="G3915" s="21">
        <f t="shared" si="604"/>
        <v>1397.3199999999999</v>
      </c>
      <c r="H3915" s="21">
        <f t="shared" si="604"/>
        <v>1397.3199999999999</v>
      </c>
      <c r="I3915" s="24" t="str">
        <f t="shared" ref="I3915:I3978" si="605">IF(OR(L3915=0,M3915=0,N3915=0),"SEM VALOR","COM VALOR")</f>
        <v xml:space="preserve">COM VALOR</v>
      </c>
      <c r="L3915" s="36">
        <v>1397.3199999999999</v>
      </c>
      <c r="M3915" s="37">
        <v>1397.3199999999999</v>
      </c>
      <c r="N3915" s="36">
        <v>1397.3199999999999</v>
      </c>
    </row>
    <row r="3916" ht="38.25">
      <c r="A3916" s="19" t="s">
        <v>10460</v>
      </c>
      <c r="B3916" s="19">
        <v>43428</v>
      </c>
      <c r="C3916" s="20" t="s">
        <v>14384</v>
      </c>
      <c r="D3916" s="19" t="s">
        <v>31</v>
      </c>
      <c r="E3916" s="19" t="s">
        <v>10459</v>
      </c>
      <c r="F3916" s="21">
        <f t="shared" si="604"/>
        <v>2454.4200000000001</v>
      </c>
      <c r="G3916" s="21">
        <f t="shared" si="604"/>
        <v>2454.4200000000001</v>
      </c>
      <c r="H3916" s="21">
        <f t="shared" si="604"/>
        <v>2454.4200000000001</v>
      </c>
      <c r="I3916" s="24" t="str">
        <f t="shared" si="605"/>
        <v xml:space="preserve">COM VALOR</v>
      </c>
      <c r="L3916" s="36">
        <v>2454.4200000000001</v>
      </c>
      <c r="M3916" s="37">
        <v>2454.4200000000001</v>
      </c>
      <c r="N3916" s="36">
        <v>2454.4200000000001</v>
      </c>
    </row>
    <row r="3917" ht="25.5">
      <c r="A3917" s="19" t="s">
        <v>10460</v>
      </c>
      <c r="B3917" s="19">
        <v>41619</v>
      </c>
      <c r="C3917" s="20" t="s">
        <v>14385</v>
      </c>
      <c r="D3917" s="19" t="s">
        <v>31</v>
      </c>
      <c r="E3917" s="19" t="s">
        <v>10459</v>
      </c>
      <c r="F3917" s="21">
        <f t="shared" si="604"/>
        <v>159.02000000000001</v>
      </c>
      <c r="G3917" s="21">
        <f t="shared" si="604"/>
        <v>159.02000000000001</v>
      </c>
      <c r="H3917" s="21">
        <f t="shared" si="604"/>
        <v>159.02000000000001</v>
      </c>
      <c r="I3917" s="24" t="str">
        <f t="shared" si="605"/>
        <v xml:space="preserve">COM VALOR</v>
      </c>
      <c r="L3917" s="36">
        <v>159.02000000000001</v>
      </c>
      <c r="M3917" s="37">
        <v>159.02000000000001</v>
      </c>
      <c r="N3917" s="36">
        <v>159.02000000000001</v>
      </c>
    </row>
    <row r="3918" ht="25.5">
      <c r="A3918" s="19" t="s">
        <v>10460</v>
      </c>
      <c r="B3918" s="19">
        <v>41620</v>
      </c>
      <c r="C3918" s="20" t="s">
        <v>14386</v>
      </c>
      <c r="D3918" s="19" t="s">
        <v>31</v>
      </c>
      <c r="E3918" s="19" t="s">
        <v>10459</v>
      </c>
      <c r="F3918" s="21">
        <f t="shared" si="604"/>
        <v>200.87</v>
      </c>
      <c r="G3918" s="21">
        <f t="shared" si="604"/>
        <v>200.87</v>
      </c>
      <c r="H3918" s="21">
        <f t="shared" si="604"/>
        <v>200.87</v>
      </c>
      <c r="I3918" s="24" t="str">
        <f t="shared" si="605"/>
        <v xml:space="preserve">COM VALOR</v>
      </c>
      <c r="L3918" s="36">
        <v>200.87</v>
      </c>
      <c r="M3918" s="37">
        <v>200.87</v>
      </c>
      <c r="N3918" s="36">
        <v>200.87</v>
      </c>
    </row>
    <row r="3919" ht="25.5">
      <c r="A3919" s="19" t="s">
        <v>10460</v>
      </c>
      <c r="B3919" s="19">
        <v>41622</v>
      </c>
      <c r="C3919" s="20" t="s">
        <v>14387</v>
      </c>
      <c r="D3919" s="19" t="s">
        <v>31</v>
      </c>
      <c r="E3919" s="19" t="s">
        <v>10459</v>
      </c>
      <c r="F3919" s="21">
        <f t="shared" si="604"/>
        <v>348.38999999999999</v>
      </c>
      <c r="G3919" s="21">
        <f t="shared" si="604"/>
        <v>348.38999999999999</v>
      </c>
      <c r="H3919" s="21">
        <f t="shared" si="604"/>
        <v>348.38999999999999</v>
      </c>
      <c r="I3919" s="24" t="str">
        <f t="shared" si="605"/>
        <v xml:space="preserve">COM VALOR</v>
      </c>
      <c r="L3919" s="36">
        <v>348.38999999999999</v>
      </c>
      <c r="M3919" s="37">
        <v>348.38999999999999</v>
      </c>
      <c r="N3919" s="36">
        <v>348.38999999999999</v>
      </c>
    </row>
    <row r="3920" ht="25.5">
      <c r="A3920" s="19" t="s">
        <v>10460</v>
      </c>
      <c r="B3920" s="19">
        <v>41623</v>
      </c>
      <c r="C3920" s="20" t="s">
        <v>14388</v>
      </c>
      <c r="D3920" s="19" t="s">
        <v>31</v>
      </c>
      <c r="E3920" s="19" t="s">
        <v>10459</v>
      </c>
      <c r="F3920" s="21">
        <f t="shared" si="604"/>
        <v>535.65999999999997</v>
      </c>
      <c r="G3920" s="21">
        <f t="shared" si="604"/>
        <v>535.65999999999997</v>
      </c>
      <c r="H3920" s="21">
        <f t="shared" si="604"/>
        <v>535.65999999999997</v>
      </c>
      <c r="I3920" s="24" t="str">
        <f t="shared" si="605"/>
        <v xml:space="preserve">COM VALOR</v>
      </c>
      <c r="L3920" s="36">
        <v>535.65999999999997</v>
      </c>
      <c r="M3920" s="37">
        <v>535.65999999999997</v>
      </c>
      <c r="N3920" s="36">
        <v>535.65999999999997</v>
      </c>
    </row>
    <row r="3921" ht="25.5">
      <c r="A3921" s="19" t="s">
        <v>10460</v>
      </c>
      <c r="B3921" s="19">
        <v>41624</v>
      </c>
      <c r="C3921" s="20" t="s">
        <v>14389</v>
      </c>
      <c r="D3921" s="19" t="s">
        <v>31</v>
      </c>
      <c r="E3921" s="19" t="s">
        <v>10459</v>
      </c>
      <c r="F3921" s="21">
        <f t="shared" si="604"/>
        <v>1004.36</v>
      </c>
      <c r="G3921" s="21">
        <f t="shared" si="604"/>
        <v>1004.36</v>
      </c>
      <c r="H3921" s="21">
        <f t="shared" si="604"/>
        <v>1004.36</v>
      </c>
      <c r="I3921" s="24" t="str">
        <f t="shared" si="605"/>
        <v xml:space="preserve">COM VALOR</v>
      </c>
      <c r="L3921" s="36">
        <v>1004.36</v>
      </c>
      <c r="M3921" s="37">
        <v>1004.36</v>
      </c>
      <c r="N3921" s="36">
        <v>1004.36</v>
      </c>
    </row>
    <row r="3922" ht="25.5">
      <c r="A3922" s="19" t="s">
        <v>10460</v>
      </c>
      <c r="B3922" s="19">
        <v>41625</v>
      </c>
      <c r="C3922" s="20" t="s">
        <v>14390</v>
      </c>
      <c r="D3922" s="19" t="s">
        <v>31</v>
      </c>
      <c r="E3922" s="19" t="s">
        <v>10459</v>
      </c>
      <c r="F3922" s="21">
        <f t="shared" si="604"/>
        <v>1545.26</v>
      </c>
      <c r="G3922" s="21">
        <f t="shared" si="604"/>
        <v>1545.26</v>
      </c>
      <c r="H3922" s="21">
        <f t="shared" si="604"/>
        <v>1545.26</v>
      </c>
      <c r="I3922" s="24" t="str">
        <f t="shared" si="605"/>
        <v xml:space="preserve">COM VALOR</v>
      </c>
      <c r="L3922" s="36">
        <v>1545.26</v>
      </c>
      <c r="M3922" s="37">
        <v>1545.26</v>
      </c>
      <c r="N3922" s="36">
        <v>1545.26</v>
      </c>
    </row>
    <row r="3923" ht="12.75">
      <c r="A3923" s="19" t="s">
        <v>10460</v>
      </c>
      <c r="B3923" s="19">
        <v>39346</v>
      </c>
      <c r="C3923" s="20" t="s">
        <v>14391</v>
      </c>
      <c r="D3923" s="19" t="s">
        <v>31</v>
      </c>
      <c r="E3923" s="19" t="s">
        <v>10459</v>
      </c>
      <c r="F3923" s="21">
        <f t="shared" si="604"/>
        <v>2.3700000000000001</v>
      </c>
      <c r="G3923" s="21">
        <f t="shared" si="604"/>
        <v>2.3700000000000001</v>
      </c>
      <c r="H3923" s="21">
        <f t="shared" si="604"/>
        <v>2.3700000000000001</v>
      </c>
      <c r="I3923" s="24" t="str">
        <f t="shared" si="605"/>
        <v xml:space="preserve">COM VALOR</v>
      </c>
      <c r="L3923" s="36">
        <v>2.3700000000000001</v>
      </c>
      <c r="M3923" s="37">
        <v>2.3700000000000001</v>
      </c>
      <c r="N3923" s="36">
        <v>2.3700000000000001</v>
      </c>
    </row>
    <row r="3924" ht="12.75">
      <c r="A3924" s="19" t="s">
        <v>10460</v>
      </c>
      <c r="B3924" s="19">
        <v>39350</v>
      </c>
      <c r="C3924" s="20" t="s">
        <v>14392</v>
      </c>
      <c r="D3924" s="19" t="s">
        <v>31</v>
      </c>
      <c r="E3924" s="19" t="s">
        <v>10459</v>
      </c>
      <c r="F3924" s="21">
        <f t="shared" si="604"/>
        <v>2.5499999999999998</v>
      </c>
      <c r="G3924" s="21">
        <f t="shared" si="604"/>
        <v>2.5499999999999998</v>
      </c>
      <c r="H3924" s="21">
        <f t="shared" si="604"/>
        <v>2.5499999999999998</v>
      </c>
      <c r="I3924" s="24" t="str">
        <f t="shared" si="605"/>
        <v xml:space="preserve">COM VALOR</v>
      </c>
      <c r="L3924" s="36">
        <v>2.5499999999999998</v>
      </c>
      <c r="M3924" s="37">
        <v>2.5499999999999998</v>
      </c>
      <c r="N3924" s="36">
        <v>2.5499999999999998</v>
      </c>
    </row>
    <row r="3925" ht="12.75">
      <c r="A3925" s="19" t="s">
        <v>10460</v>
      </c>
      <c r="B3925" s="19">
        <v>39351</v>
      </c>
      <c r="C3925" s="20" t="s">
        <v>14393</v>
      </c>
      <c r="D3925" s="19" t="s">
        <v>31</v>
      </c>
      <c r="E3925" s="19" t="s">
        <v>10459</v>
      </c>
      <c r="F3925" s="21">
        <f t="shared" si="604"/>
        <v>2.9500000000000002</v>
      </c>
      <c r="G3925" s="21">
        <f t="shared" si="604"/>
        <v>2.9500000000000002</v>
      </c>
      <c r="H3925" s="21">
        <f t="shared" si="604"/>
        <v>2.9500000000000002</v>
      </c>
      <c r="I3925" s="24" t="str">
        <f t="shared" si="605"/>
        <v xml:space="preserve">COM VALOR</v>
      </c>
      <c r="L3925" s="36">
        <v>2.9500000000000002</v>
      </c>
      <c r="M3925" s="37">
        <v>2.9500000000000002</v>
      </c>
      <c r="N3925" s="36">
        <v>2.9500000000000002</v>
      </c>
    </row>
    <row r="3926" ht="25.5">
      <c r="A3926" s="19" t="s">
        <v>10460</v>
      </c>
      <c r="B3926" s="19">
        <v>39352</v>
      </c>
      <c r="C3926" s="20" t="s">
        <v>14394</v>
      </c>
      <c r="D3926" s="19" t="s">
        <v>31</v>
      </c>
      <c r="E3926" s="19" t="s">
        <v>10459</v>
      </c>
      <c r="F3926" s="21">
        <f t="shared" si="604"/>
        <v>2.3700000000000001</v>
      </c>
      <c r="G3926" s="21">
        <f t="shared" si="604"/>
        <v>2.3700000000000001</v>
      </c>
      <c r="H3926" s="21">
        <f t="shared" si="604"/>
        <v>2.3700000000000001</v>
      </c>
      <c r="I3926" s="24" t="str">
        <f t="shared" si="605"/>
        <v xml:space="preserve">COM VALOR</v>
      </c>
      <c r="L3926" s="36">
        <v>2.3700000000000001</v>
      </c>
      <c r="M3926" s="37">
        <v>2.3700000000000001</v>
      </c>
      <c r="N3926" s="36">
        <v>2.3700000000000001</v>
      </c>
    </row>
    <row r="3927" ht="25.5">
      <c r="A3927" s="19" t="s">
        <v>10460</v>
      </c>
      <c r="B3927" s="19">
        <v>38837</v>
      </c>
      <c r="C3927" s="20" t="s">
        <v>14395</v>
      </c>
      <c r="D3927" s="19" t="s">
        <v>31</v>
      </c>
      <c r="E3927" s="19" t="s">
        <v>10459</v>
      </c>
      <c r="F3927" s="21" t="str">
        <f t="shared" si="604"/>
        <v>VERIFICAR</v>
      </c>
      <c r="G3927" s="21" t="str">
        <f t="shared" si="604"/>
        <v>VERIFICAR</v>
      </c>
      <c r="H3927" s="21" t="str">
        <f t="shared" si="604"/>
        <v>VERIFICAR</v>
      </c>
      <c r="I3927" s="24" t="str">
        <f t="shared" si="605"/>
        <v xml:space="preserve">SEM VALOR</v>
      </c>
      <c r="L3927" s="36"/>
      <c r="M3927" s="37"/>
      <c r="N3927" s="36"/>
    </row>
    <row r="3928" ht="25.5">
      <c r="A3928" s="19" t="s">
        <v>10460</v>
      </c>
      <c r="B3928" s="19">
        <v>38836</v>
      </c>
      <c r="C3928" s="20" t="s">
        <v>14396</v>
      </c>
      <c r="D3928" s="19" t="s">
        <v>31</v>
      </c>
      <c r="E3928" s="19" t="s">
        <v>10459</v>
      </c>
      <c r="F3928" s="21" t="str">
        <f t="shared" si="604"/>
        <v>VERIFICAR</v>
      </c>
      <c r="G3928" s="21" t="str">
        <f t="shared" si="604"/>
        <v>VERIFICAR</v>
      </c>
      <c r="H3928" s="21" t="str">
        <f t="shared" si="604"/>
        <v>VERIFICAR</v>
      </c>
      <c r="I3928" s="24" t="str">
        <f t="shared" si="605"/>
        <v xml:space="preserve">SEM VALOR</v>
      </c>
      <c r="L3928" s="36"/>
      <c r="M3928" s="37"/>
      <c r="N3928" s="36"/>
    </row>
    <row r="3929" ht="25.5">
      <c r="A3929" s="19" t="s">
        <v>10460</v>
      </c>
      <c r="B3929" s="19">
        <v>2666</v>
      </c>
      <c r="C3929" s="20" t="s">
        <v>14397</v>
      </c>
      <c r="D3929" s="19" t="s">
        <v>31</v>
      </c>
      <c r="E3929" s="19" t="s">
        <v>10459</v>
      </c>
      <c r="F3929" s="21">
        <f t="shared" si="604"/>
        <v>7.5999999999999996</v>
      </c>
      <c r="G3929" s="21">
        <f t="shared" si="604"/>
        <v>7.5999999999999996</v>
      </c>
      <c r="H3929" s="21">
        <f t="shared" si="604"/>
        <v>7.5999999999999996</v>
      </c>
      <c r="I3929" s="24" t="str">
        <f t="shared" si="605"/>
        <v xml:space="preserve">COM VALOR</v>
      </c>
      <c r="L3929" s="36">
        <v>7.5999999999999996</v>
      </c>
      <c r="M3929" s="37">
        <v>7.5999999999999996</v>
      </c>
      <c r="N3929" s="36">
        <v>7.5999999999999996</v>
      </c>
    </row>
    <row r="3930" ht="25.5">
      <c r="A3930" s="19" t="s">
        <v>10460</v>
      </c>
      <c r="B3930" s="19">
        <v>2668</v>
      </c>
      <c r="C3930" s="20" t="s">
        <v>14398</v>
      </c>
      <c r="D3930" s="19" t="s">
        <v>31</v>
      </c>
      <c r="E3930" s="19" t="s">
        <v>10459</v>
      </c>
      <c r="F3930" s="21">
        <f t="shared" si="604"/>
        <v>8.6799999999999997</v>
      </c>
      <c r="G3930" s="21">
        <f t="shared" si="604"/>
        <v>8.6799999999999997</v>
      </c>
      <c r="H3930" s="21">
        <f t="shared" si="604"/>
        <v>8.6799999999999997</v>
      </c>
      <c r="I3930" s="24" t="str">
        <f t="shared" si="605"/>
        <v xml:space="preserve">COM VALOR</v>
      </c>
      <c r="L3930" s="36">
        <v>8.6799999999999997</v>
      </c>
      <c r="M3930" s="37">
        <v>8.6799999999999997</v>
      </c>
      <c r="N3930" s="36">
        <v>8.6799999999999997</v>
      </c>
    </row>
    <row r="3931" ht="25.5">
      <c r="A3931" s="19" t="s">
        <v>10460</v>
      </c>
      <c r="B3931" s="19">
        <v>2664</v>
      </c>
      <c r="C3931" s="20" t="s">
        <v>14399</v>
      </c>
      <c r="D3931" s="19" t="s">
        <v>31</v>
      </c>
      <c r="E3931" s="19" t="s">
        <v>10459</v>
      </c>
      <c r="F3931" s="21">
        <f t="shared" si="604"/>
        <v>12.800000000000001</v>
      </c>
      <c r="G3931" s="21">
        <f t="shared" si="604"/>
        <v>12.800000000000001</v>
      </c>
      <c r="H3931" s="21">
        <f t="shared" si="604"/>
        <v>12.800000000000001</v>
      </c>
      <c r="I3931" s="24" t="str">
        <f t="shared" si="605"/>
        <v xml:space="preserve">COM VALOR</v>
      </c>
      <c r="L3931" s="36">
        <v>12.800000000000001</v>
      </c>
      <c r="M3931" s="37">
        <v>12.800000000000001</v>
      </c>
      <c r="N3931" s="36">
        <v>12.800000000000001</v>
      </c>
    </row>
    <row r="3932" ht="25.5">
      <c r="A3932" s="19" t="s">
        <v>10460</v>
      </c>
      <c r="B3932" s="19">
        <v>2662</v>
      </c>
      <c r="C3932" s="20" t="s">
        <v>14400</v>
      </c>
      <c r="D3932" s="19" t="s">
        <v>31</v>
      </c>
      <c r="E3932" s="19" t="s">
        <v>10459</v>
      </c>
      <c r="F3932" s="21">
        <f t="shared" si="604"/>
        <v>15.699999999999999</v>
      </c>
      <c r="G3932" s="21">
        <f t="shared" si="604"/>
        <v>15.699999999999999</v>
      </c>
      <c r="H3932" s="21">
        <f t="shared" si="604"/>
        <v>15.699999999999999</v>
      </c>
      <c r="I3932" s="24" t="str">
        <f t="shared" si="605"/>
        <v xml:space="preserve">COM VALOR</v>
      </c>
      <c r="L3932" s="36">
        <v>15.699999999999999</v>
      </c>
      <c r="M3932" s="37">
        <v>15.699999999999999</v>
      </c>
      <c r="N3932" s="36">
        <v>15.699999999999999</v>
      </c>
    </row>
    <row r="3933" ht="25.5">
      <c r="A3933" s="19" t="s">
        <v>10460</v>
      </c>
      <c r="B3933" s="19">
        <v>20964</v>
      </c>
      <c r="C3933" s="20" t="s">
        <v>14401</v>
      </c>
      <c r="D3933" s="19" t="s">
        <v>31</v>
      </c>
      <c r="E3933" s="19" t="s">
        <v>10459</v>
      </c>
      <c r="F3933" s="21">
        <f t="shared" si="604"/>
        <v>70.280000000000001</v>
      </c>
      <c r="G3933" s="21">
        <f t="shared" si="604"/>
        <v>70.280000000000001</v>
      </c>
      <c r="H3933" s="21">
        <f t="shared" si="604"/>
        <v>70.280000000000001</v>
      </c>
      <c r="I3933" s="24" t="str">
        <f t="shared" si="605"/>
        <v xml:space="preserve">COM VALOR</v>
      </c>
      <c r="L3933" s="36">
        <v>70.280000000000001</v>
      </c>
      <c r="M3933" s="37">
        <v>70.280000000000001</v>
      </c>
      <c r="N3933" s="36">
        <v>70.280000000000001</v>
      </c>
    </row>
    <row r="3934" ht="25.5">
      <c r="A3934" s="19" t="s">
        <v>10460</v>
      </c>
      <c r="B3934" s="19">
        <v>10905</v>
      </c>
      <c r="C3934" s="20" t="s">
        <v>14402</v>
      </c>
      <c r="D3934" s="19" t="s">
        <v>31</v>
      </c>
      <c r="E3934" s="19" t="s">
        <v>10459</v>
      </c>
      <c r="F3934" s="21">
        <f t="shared" si="604"/>
        <v>94.280000000000001</v>
      </c>
      <c r="G3934" s="21">
        <f t="shared" si="604"/>
        <v>94.280000000000001</v>
      </c>
      <c r="H3934" s="21">
        <f t="shared" si="604"/>
        <v>94.280000000000001</v>
      </c>
      <c r="I3934" s="24" t="str">
        <f t="shared" si="605"/>
        <v xml:space="preserve">COM VALOR</v>
      </c>
      <c r="J3934" s="38"/>
      <c r="L3934" s="36">
        <v>94.280000000000001</v>
      </c>
      <c r="M3934" s="37">
        <v>94.280000000000001</v>
      </c>
      <c r="N3934" s="36">
        <v>94.280000000000001</v>
      </c>
    </row>
    <row r="3935" ht="38.25">
      <c r="A3935" s="19" t="s">
        <v>10460</v>
      </c>
      <c r="B3935" s="19">
        <v>11289</v>
      </c>
      <c r="C3935" s="20" t="s">
        <v>14403</v>
      </c>
      <c r="D3935" s="19" t="s">
        <v>31</v>
      </c>
      <c r="E3935" s="19" t="s">
        <v>10459</v>
      </c>
      <c r="F3935" s="21" t="str">
        <f t="shared" si="604"/>
        <v>VERIFICAR</v>
      </c>
      <c r="G3935" s="21" t="str">
        <f t="shared" si="604"/>
        <v>VERIFICAR</v>
      </c>
      <c r="H3935" s="21" t="str">
        <f t="shared" si="604"/>
        <v>VERIFICAR</v>
      </c>
      <c r="I3935" s="24" t="str">
        <f t="shared" si="605"/>
        <v xml:space="preserve">SEM VALOR</v>
      </c>
      <c r="L3935" s="36"/>
      <c r="M3935" s="37"/>
      <c r="N3935" s="36"/>
    </row>
    <row r="3936" ht="38.25">
      <c r="A3936" s="19" t="s">
        <v>10460</v>
      </c>
      <c r="B3936" s="19">
        <v>11241</v>
      </c>
      <c r="C3936" s="20" t="s">
        <v>14404</v>
      </c>
      <c r="D3936" s="19" t="s">
        <v>31</v>
      </c>
      <c r="E3936" s="19" t="s">
        <v>10459</v>
      </c>
      <c r="F3936" s="21">
        <f t="shared" si="604"/>
        <v>211.62</v>
      </c>
      <c r="G3936" s="21">
        <f t="shared" si="604"/>
        <v>211.62</v>
      </c>
      <c r="H3936" s="21">
        <f t="shared" si="604"/>
        <v>211.62</v>
      </c>
      <c r="I3936" s="24" t="str">
        <f t="shared" si="605"/>
        <v xml:space="preserve">COM VALOR</v>
      </c>
      <c r="J3936" s="38" t="s">
        <v>10710</v>
      </c>
      <c r="L3936" s="36">
        <v>211.62</v>
      </c>
      <c r="M3936" s="37">
        <v>211.62</v>
      </c>
      <c r="N3936" s="36">
        <v>211.62</v>
      </c>
    </row>
    <row r="3937" ht="38.25">
      <c r="A3937" s="19" t="s">
        <v>10460</v>
      </c>
      <c r="B3937" s="19">
        <v>11301</v>
      </c>
      <c r="C3937" s="20" t="s">
        <v>14405</v>
      </c>
      <c r="D3937" s="19" t="s">
        <v>31</v>
      </c>
      <c r="E3937" s="19" t="s">
        <v>10459</v>
      </c>
      <c r="F3937" s="21" t="str">
        <f t="shared" si="604"/>
        <v>VERIFICAR</v>
      </c>
      <c r="G3937" s="21" t="str">
        <f t="shared" si="604"/>
        <v>VERIFICAR</v>
      </c>
      <c r="H3937" s="21" t="str">
        <f t="shared" si="604"/>
        <v>VERIFICAR</v>
      </c>
      <c r="I3937" s="24" t="str">
        <f t="shared" si="605"/>
        <v xml:space="preserve">SEM VALOR</v>
      </c>
      <c r="L3937" s="36"/>
      <c r="M3937" s="37"/>
      <c r="N3937" s="36"/>
    </row>
    <row r="3938" ht="38.25">
      <c r="A3938" s="19" t="s">
        <v>10460</v>
      </c>
      <c r="B3938" s="19">
        <v>21090</v>
      </c>
      <c r="C3938" s="20" t="s">
        <v>14406</v>
      </c>
      <c r="D3938" s="19" t="s">
        <v>31</v>
      </c>
      <c r="E3938" s="19" t="s">
        <v>10459</v>
      </c>
      <c r="F3938" s="21">
        <f t="shared" si="604"/>
        <v>657.54999999999995</v>
      </c>
      <c r="G3938" s="21">
        <f t="shared" si="604"/>
        <v>657.54999999999995</v>
      </c>
      <c r="H3938" s="21">
        <f t="shared" si="604"/>
        <v>657.54999999999995</v>
      </c>
      <c r="I3938" s="24" t="str">
        <f t="shared" si="605"/>
        <v xml:space="preserve">COM VALOR</v>
      </c>
      <c r="J3938" s="38" t="s">
        <v>10710</v>
      </c>
      <c r="L3938" s="36">
        <v>657.54999999999995</v>
      </c>
      <c r="M3938" s="37">
        <v>657.54999999999995</v>
      </c>
      <c r="N3938" s="36">
        <v>657.54999999999995</v>
      </c>
    </row>
    <row r="3939" ht="38.25">
      <c r="A3939" s="19" t="s">
        <v>10460</v>
      </c>
      <c r="B3939" s="19">
        <v>11315</v>
      </c>
      <c r="C3939" s="20" t="s">
        <v>14407</v>
      </c>
      <c r="D3939" s="19" t="s">
        <v>31</v>
      </c>
      <c r="E3939" s="19" t="s">
        <v>10459</v>
      </c>
      <c r="F3939" s="21" t="str">
        <f t="shared" si="604"/>
        <v>VERIFICAR</v>
      </c>
      <c r="G3939" s="21" t="str">
        <f t="shared" si="604"/>
        <v>VERIFICAR</v>
      </c>
      <c r="H3939" s="21" t="str">
        <f t="shared" si="604"/>
        <v>VERIFICAR</v>
      </c>
      <c r="I3939" s="24" t="str">
        <f t="shared" si="605"/>
        <v xml:space="preserve">SEM VALOR</v>
      </c>
      <c r="L3939" s="36"/>
      <c r="M3939" s="37"/>
      <c r="N3939" s="36"/>
    </row>
    <row r="3940" ht="38.25">
      <c r="A3940" s="19" t="s">
        <v>10460</v>
      </c>
      <c r="B3940" s="19">
        <v>21071</v>
      </c>
      <c r="C3940" s="20" t="s">
        <v>14408</v>
      </c>
      <c r="D3940" s="19" t="s">
        <v>31</v>
      </c>
      <c r="E3940" s="19" t="s">
        <v>10459</v>
      </c>
      <c r="F3940" s="21" t="str">
        <f t="shared" si="604"/>
        <v>VERIFICAR</v>
      </c>
      <c r="G3940" s="21" t="str">
        <f t="shared" si="604"/>
        <v>VERIFICAR</v>
      </c>
      <c r="H3940" s="21" t="str">
        <f t="shared" si="604"/>
        <v>VERIFICAR</v>
      </c>
      <c r="I3940" s="24" t="str">
        <f t="shared" si="605"/>
        <v xml:space="preserve">SEM VALOR</v>
      </c>
      <c r="L3940" s="36"/>
      <c r="M3940" s="37"/>
      <c r="N3940" s="36"/>
    </row>
    <row r="3941" ht="38.25">
      <c r="A3941" s="19" t="s">
        <v>10460</v>
      </c>
      <c r="B3941" s="19">
        <v>14112</v>
      </c>
      <c r="C3941" s="20" t="s">
        <v>14409</v>
      </c>
      <c r="D3941" s="19" t="s">
        <v>31</v>
      </c>
      <c r="E3941" s="19" t="s">
        <v>10459</v>
      </c>
      <c r="F3941" s="21" t="str">
        <f t="shared" si="604"/>
        <v>VERIFICAR</v>
      </c>
      <c r="G3941" s="21" t="str">
        <f t="shared" si="604"/>
        <v>VERIFICAR</v>
      </c>
      <c r="H3941" s="21" t="str">
        <f t="shared" si="604"/>
        <v>VERIFICAR</v>
      </c>
      <c r="I3941" s="24" t="str">
        <f t="shared" si="605"/>
        <v xml:space="preserve">SEM VALOR</v>
      </c>
      <c r="L3941" s="36"/>
      <c r="M3941" s="37"/>
      <c r="N3941" s="36"/>
    </row>
    <row r="3942" ht="38.25">
      <c r="A3942" s="19" t="s">
        <v>10460</v>
      </c>
      <c r="B3942" s="19">
        <v>11316</v>
      </c>
      <c r="C3942" s="20" t="s">
        <v>14410</v>
      </c>
      <c r="D3942" s="19" t="s">
        <v>31</v>
      </c>
      <c r="E3942" s="19" t="s">
        <v>10459</v>
      </c>
      <c r="F3942" s="21" t="str">
        <f t="shared" si="604"/>
        <v>VERIFICAR</v>
      </c>
      <c r="G3942" s="21" t="str">
        <f t="shared" si="604"/>
        <v>VERIFICAR</v>
      </c>
      <c r="H3942" s="21" t="str">
        <f t="shared" si="604"/>
        <v>VERIFICAR</v>
      </c>
      <c r="I3942" s="24" t="str">
        <f t="shared" si="605"/>
        <v xml:space="preserve">SEM VALOR</v>
      </c>
      <c r="L3942" s="36"/>
      <c r="M3942" s="37"/>
      <c r="N3942" s="36"/>
    </row>
    <row r="3943" ht="38.25">
      <c r="A3943" s="19" t="s">
        <v>10460</v>
      </c>
      <c r="B3943" s="19">
        <v>6243</v>
      </c>
      <c r="C3943" s="20" t="s">
        <v>14411</v>
      </c>
      <c r="D3943" s="19" t="s">
        <v>31</v>
      </c>
      <c r="E3943" s="19" t="s">
        <v>10466</v>
      </c>
      <c r="F3943" s="21" t="str">
        <f t="shared" si="604"/>
        <v>VERIFICAR</v>
      </c>
      <c r="G3943" s="21" t="str">
        <f t="shared" si="604"/>
        <v>VERIFICAR</v>
      </c>
      <c r="H3943" s="21" t="str">
        <f t="shared" si="604"/>
        <v>VERIFICAR</v>
      </c>
      <c r="I3943" s="24" t="str">
        <f t="shared" si="605"/>
        <v xml:space="preserve">SEM VALOR</v>
      </c>
      <c r="J3943" s="38"/>
      <c r="L3943" s="36"/>
      <c r="M3943" s="37"/>
      <c r="N3943" s="36"/>
    </row>
    <row r="3944" ht="38.25">
      <c r="A3944" s="19" t="s">
        <v>10460</v>
      </c>
      <c r="B3944" s="19">
        <v>6240</v>
      </c>
      <c r="C3944" s="20" t="s">
        <v>14412</v>
      </c>
      <c r="D3944" s="19" t="s">
        <v>31</v>
      </c>
      <c r="E3944" s="19" t="s">
        <v>10459</v>
      </c>
      <c r="F3944" s="21" t="str">
        <f t="shared" si="604"/>
        <v>VERIFICAR</v>
      </c>
      <c r="G3944" s="21" t="str">
        <f t="shared" si="604"/>
        <v>VERIFICAR</v>
      </c>
      <c r="H3944" s="21" t="str">
        <f t="shared" si="604"/>
        <v>VERIFICAR</v>
      </c>
      <c r="I3944" s="24" t="str">
        <f t="shared" si="605"/>
        <v xml:space="preserve">SEM VALOR</v>
      </c>
      <c r="L3944" s="36"/>
      <c r="M3944" s="37"/>
      <c r="N3944" s="36"/>
    </row>
    <row r="3945" ht="38.25">
      <c r="A3945" s="19" t="s">
        <v>10460</v>
      </c>
      <c r="B3945" s="19">
        <v>11296</v>
      </c>
      <c r="C3945" s="20" t="s">
        <v>14413</v>
      </c>
      <c r="D3945" s="19" t="s">
        <v>31</v>
      </c>
      <c r="E3945" s="19" t="s">
        <v>10459</v>
      </c>
      <c r="F3945" s="21" t="str">
        <f t="shared" si="604"/>
        <v>VERIFICAR</v>
      </c>
      <c r="G3945" s="21" t="str">
        <f t="shared" si="604"/>
        <v>VERIFICAR</v>
      </c>
      <c r="H3945" s="21" t="str">
        <f t="shared" si="604"/>
        <v>VERIFICAR</v>
      </c>
      <c r="I3945" s="24" t="str">
        <f t="shared" si="605"/>
        <v xml:space="preserve">SEM VALOR</v>
      </c>
      <c r="L3945" s="36"/>
      <c r="M3945" s="37"/>
      <c r="N3945" s="36"/>
    </row>
    <row r="3946" ht="38.25">
      <c r="A3946" s="19" t="s">
        <v>10460</v>
      </c>
      <c r="B3946" s="19">
        <v>11299</v>
      </c>
      <c r="C3946" s="20" t="s">
        <v>14414</v>
      </c>
      <c r="D3946" s="19" t="s">
        <v>31</v>
      </c>
      <c r="E3946" s="19" t="s">
        <v>10459</v>
      </c>
      <c r="F3946" s="21" t="str">
        <f t="shared" si="604"/>
        <v>VERIFICAR</v>
      </c>
      <c r="G3946" s="21" t="str">
        <f t="shared" si="604"/>
        <v>VERIFICAR</v>
      </c>
      <c r="H3946" s="21" t="str">
        <f t="shared" si="604"/>
        <v>VERIFICAR</v>
      </c>
      <c r="I3946" s="24" t="str">
        <f t="shared" si="605"/>
        <v xml:space="preserve">SEM VALOR</v>
      </c>
      <c r="L3946" s="36"/>
      <c r="M3946" s="37"/>
      <c r="N3946" s="36"/>
    </row>
    <row r="3947" ht="25.5">
      <c r="A3947" s="19" t="s">
        <v>10460</v>
      </c>
      <c r="B3947" s="19">
        <v>11688</v>
      </c>
      <c r="C3947" s="20" t="s">
        <v>14415</v>
      </c>
      <c r="D3947" s="19" t="s">
        <v>31</v>
      </c>
      <c r="E3947" s="19" t="s">
        <v>10459</v>
      </c>
      <c r="F3947" s="21">
        <f t="shared" si="604"/>
        <v>527.67999999999995</v>
      </c>
      <c r="G3947" s="21">
        <f t="shared" si="604"/>
        <v>527.67999999999995</v>
      </c>
      <c r="H3947" s="21">
        <f t="shared" si="604"/>
        <v>527.67999999999995</v>
      </c>
      <c r="I3947" s="24" t="str">
        <f t="shared" si="605"/>
        <v xml:space="preserve">COM VALOR</v>
      </c>
      <c r="L3947" s="36">
        <v>527.67999999999995</v>
      </c>
      <c r="M3947" s="37">
        <v>527.67999999999995</v>
      </c>
      <c r="N3947" s="36">
        <v>527.67999999999995</v>
      </c>
    </row>
    <row r="3948" ht="51">
      <c r="A3948" s="19" t="s">
        <v>10638</v>
      </c>
      <c r="B3948" s="19">
        <v>37736</v>
      </c>
      <c r="C3948" s="20" t="s">
        <v>14416</v>
      </c>
      <c r="D3948" s="19" t="s">
        <v>31</v>
      </c>
      <c r="E3948" s="19" t="s">
        <v>10466</v>
      </c>
      <c r="F3948" s="21" t="str">
        <f t="shared" si="604"/>
        <v>VERIFICAR</v>
      </c>
      <c r="G3948" s="21" t="str">
        <f t="shared" si="604"/>
        <v>VERIFICAR</v>
      </c>
      <c r="H3948" s="21" t="str">
        <f t="shared" si="604"/>
        <v>VERIFICAR</v>
      </c>
      <c r="I3948" s="24" t="str">
        <f t="shared" si="605"/>
        <v xml:space="preserve">SEM VALOR</v>
      </c>
      <c r="L3948" s="36"/>
      <c r="M3948" s="37"/>
      <c r="N3948" s="36"/>
    </row>
    <row r="3949" ht="38.25">
      <c r="A3949" s="19" t="s">
        <v>10638</v>
      </c>
      <c r="B3949" s="19">
        <v>37739</v>
      </c>
      <c r="C3949" s="20" t="s">
        <v>14417</v>
      </c>
      <c r="D3949" s="19" t="s">
        <v>31</v>
      </c>
      <c r="E3949" s="19" t="s">
        <v>10459</v>
      </c>
      <c r="F3949" s="21" t="str">
        <f t="shared" si="604"/>
        <v>VERIFICAR</v>
      </c>
      <c r="G3949" s="21" t="str">
        <f t="shared" si="604"/>
        <v>VERIFICAR</v>
      </c>
      <c r="H3949" s="21" t="str">
        <f t="shared" si="604"/>
        <v>VERIFICAR</v>
      </c>
      <c r="I3949" s="24" t="str">
        <f t="shared" si="605"/>
        <v xml:space="preserve">SEM VALOR</v>
      </c>
      <c r="L3949" s="36"/>
      <c r="M3949" s="37"/>
      <c r="N3949" s="36"/>
    </row>
    <row r="3950" ht="38.25">
      <c r="A3950" s="19" t="s">
        <v>10638</v>
      </c>
      <c r="B3950" s="19">
        <v>37738</v>
      </c>
      <c r="C3950" s="20" t="s">
        <v>14418</v>
      </c>
      <c r="D3950" s="19" t="s">
        <v>31</v>
      </c>
      <c r="E3950" s="19" t="s">
        <v>10459</v>
      </c>
      <c r="F3950" s="21" t="str">
        <f t="shared" si="604"/>
        <v>VERIFICAR</v>
      </c>
      <c r="G3950" s="21" t="str">
        <f t="shared" si="604"/>
        <v>VERIFICAR</v>
      </c>
      <c r="H3950" s="21" t="str">
        <f t="shared" si="604"/>
        <v>VERIFICAR</v>
      </c>
      <c r="I3950" s="24" t="str">
        <f t="shared" si="605"/>
        <v xml:space="preserve">SEM VALOR</v>
      </c>
      <c r="L3950" s="36"/>
      <c r="M3950" s="37"/>
      <c r="N3950" s="36"/>
    </row>
    <row r="3951" ht="25.5">
      <c r="A3951" s="19" t="s">
        <v>10638</v>
      </c>
      <c r="B3951" s="19">
        <v>25014</v>
      </c>
      <c r="C3951" s="20" t="s">
        <v>14419</v>
      </c>
      <c r="D3951" s="19" t="s">
        <v>31</v>
      </c>
      <c r="E3951" s="19" t="s">
        <v>10459</v>
      </c>
      <c r="F3951" s="21" t="str">
        <f t="shared" si="604"/>
        <v>VERIFICAR</v>
      </c>
      <c r="G3951" s="21" t="str">
        <f t="shared" si="604"/>
        <v>VERIFICAR</v>
      </c>
      <c r="H3951" s="21" t="str">
        <f t="shared" si="604"/>
        <v>VERIFICAR</v>
      </c>
      <c r="I3951" s="24" t="str">
        <f t="shared" si="605"/>
        <v xml:space="preserve">SEM VALOR</v>
      </c>
      <c r="L3951" s="36"/>
      <c r="M3951" s="37"/>
      <c r="N3951" s="36"/>
    </row>
    <row r="3952" ht="25.5">
      <c r="A3952" s="19" t="s">
        <v>10638</v>
      </c>
      <c r="B3952" s="19">
        <v>14405</v>
      </c>
      <c r="C3952" s="20" t="s">
        <v>14420</v>
      </c>
      <c r="D3952" s="19" t="s">
        <v>31</v>
      </c>
      <c r="E3952" s="19" t="s">
        <v>10459</v>
      </c>
      <c r="F3952" s="21" t="str">
        <f t="shared" si="604"/>
        <v>VERIFICAR</v>
      </c>
      <c r="G3952" s="21" t="str">
        <f t="shared" si="604"/>
        <v>VERIFICAR</v>
      </c>
      <c r="H3952" s="21" t="str">
        <f t="shared" si="604"/>
        <v>VERIFICAR</v>
      </c>
      <c r="I3952" s="24" t="str">
        <f t="shared" si="605"/>
        <v xml:space="preserve">SEM VALOR</v>
      </c>
      <c r="L3952" s="36"/>
      <c r="M3952" s="37"/>
      <c r="N3952" s="36"/>
    </row>
    <row r="3953" ht="12.75">
      <c r="A3953" s="19" t="s">
        <v>10460</v>
      </c>
      <c r="B3953" s="19">
        <v>20271</v>
      </c>
      <c r="C3953" s="20" t="s">
        <v>14421</v>
      </c>
      <c r="D3953" s="19" t="s">
        <v>31</v>
      </c>
      <c r="E3953" s="19" t="s">
        <v>10459</v>
      </c>
      <c r="F3953" s="21">
        <f t="shared" si="604"/>
        <v>696.24000000000001</v>
      </c>
      <c r="G3953" s="21">
        <f t="shared" si="604"/>
        <v>696.24000000000001</v>
      </c>
      <c r="H3953" s="21">
        <f t="shared" si="604"/>
        <v>696.24000000000001</v>
      </c>
      <c r="I3953" s="24" t="str">
        <f t="shared" si="605"/>
        <v xml:space="preserve">COM VALOR</v>
      </c>
      <c r="L3953" s="36">
        <v>696.24000000000001</v>
      </c>
      <c r="M3953" s="37">
        <v>696.24000000000001</v>
      </c>
      <c r="N3953" s="36">
        <v>696.24000000000001</v>
      </c>
    </row>
    <row r="3954" ht="12.75">
      <c r="A3954" s="19" t="s">
        <v>10460</v>
      </c>
      <c r="B3954" s="19">
        <v>10423</v>
      </c>
      <c r="C3954" s="20" t="s">
        <v>14422</v>
      </c>
      <c r="D3954" s="19" t="s">
        <v>31</v>
      </c>
      <c r="E3954" s="19" t="s">
        <v>10459</v>
      </c>
      <c r="F3954" s="21">
        <f t="shared" si="604"/>
        <v>511.19999999999999</v>
      </c>
      <c r="G3954" s="21">
        <f t="shared" si="604"/>
        <v>511.19999999999999</v>
      </c>
      <c r="H3954" s="21">
        <f t="shared" si="604"/>
        <v>511.19999999999999</v>
      </c>
      <c r="I3954" s="24" t="str">
        <f t="shared" si="605"/>
        <v xml:space="preserve">COM VALOR</v>
      </c>
      <c r="L3954" s="36">
        <v>511.19999999999999</v>
      </c>
      <c r="M3954" s="37">
        <v>511.19999999999999</v>
      </c>
      <c r="N3954" s="36">
        <v>511.19999999999999</v>
      </c>
    </row>
    <row r="3955" ht="25.5">
      <c r="A3955" s="19" t="s">
        <v>10460</v>
      </c>
      <c r="B3955" s="19">
        <v>36790</v>
      </c>
      <c r="C3955" s="20" t="s">
        <v>14423</v>
      </c>
      <c r="D3955" s="19" t="s">
        <v>31</v>
      </c>
      <c r="E3955" s="19" t="s">
        <v>10459</v>
      </c>
      <c r="F3955" s="21">
        <f t="shared" si="604"/>
        <v>564.98000000000002</v>
      </c>
      <c r="G3955" s="21">
        <f t="shared" si="604"/>
        <v>564.98000000000002</v>
      </c>
      <c r="H3955" s="21">
        <f t="shared" si="604"/>
        <v>564.98000000000002</v>
      </c>
      <c r="I3955" s="24" t="str">
        <f t="shared" si="605"/>
        <v xml:space="preserve">COM VALOR</v>
      </c>
      <c r="L3955" s="36">
        <v>564.98000000000002</v>
      </c>
      <c r="M3955" s="37">
        <v>564.98000000000002</v>
      </c>
      <c r="N3955" s="36">
        <v>564.98000000000002</v>
      </c>
    </row>
    <row r="3956" ht="25.5">
      <c r="A3956" s="19" t="s">
        <v>10460</v>
      </c>
      <c r="B3956" s="19">
        <v>37589</v>
      </c>
      <c r="C3956" s="20" t="s">
        <v>14424</v>
      </c>
      <c r="D3956" s="19" t="s">
        <v>31</v>
      </c>
      <c r="E3956" s="19" t="s">
        <v>10459</v>
      </c>
      <c r="F3956" s="21">
        <f t="shared" si="604"/>
        <v>692.25</v>
      </c>
      <c r="G3956" s="21">
        <f t="shared" si="604"/>
        <v>692.25</v>
      </c>
      <c r="H3956" s="21">
        <f t="shared" si="604"/>
        <v>692.25</v>
      </c>
      <c r="I3956" s="24" t="str">
        <f t="shared" si="605"/>
        <v xml:space="preserve">COM VALOR</v>
      </c>
      <c r="L3956" s="36">
        <v>692.25</v>
      </c>
      <c r="M3956" s="37">
        <v>692.25</v>
      </c>
      <c r="N3956" s="36">
        <v>692.25</v>
      </c>
    </row>
    <row r="3957" ht="25.5">
      <c r="A3957" s="19" t="s">
        <v>10460</v>
      </c>
      <c r="B3957" s="19">
        <v>11690</v>
      </c>
      <c r="C3957" s="20" t="s">
        <v>14425</v>
      </c>
      <c r="D3957" s="19" t="s">
        <v>31</v>
      </c>
      <c r="E3957" s="19" t="s">
        <v>10459</v>
      </c>
      <c r="F3957" s="21">
        <f t="shared" si="604"/>
        <v>367.74000000000001</v>
      </c>
      <c r="G3957" s="21">
        <f t="shared" si="604"/>
        <v>367.74000000000001</v>
      </c>
      <c r="H3957" s="21">
        <f t="shared" si="604"/>
        <v>367.74000000000001</v>
      </c>
      <c r="I3957" s="24" t="str">
        <f t="shared" si="605"/>
        <v xml:space="preserve">COM VALOR</v>
      </c>
      <c r="L3957" s="36">
        <v>367.74000000000001</v>
      </c>
      <c r="M3957" s="37">
        <v>367.74000000000001</v>
      </c>
      <c r="N3957" s="36">
        <v>367.74000000000001</v>
      </c>
    </row>
    <row r="3958" ht="25.5">
      <c r="A3958" s="19" t="s">
        <v>10460</v>
      </c>
      <c r="B3958" s="19">
        <v>20234</v>
      </c>
      <c r="C3958" s="20" t="s">
        <v>14426</v>
      </c>
      <c r="D3958" s="19" t="s">
        <v>31</v>
      </c>
      <c r="E3958" s="19" t="s">
        <v>10459</v>
      </c>
      <c r="F3958" s="21">
        <f t="shared" si="604"/>
        <v>465.38</v>
      </c>
      <c r="G3958" s="21">
        <f t="shared" si="604"/>
        <v>465.38</v>
      </c>
      <c r="H3958" s="21">
        <f t="shared" si="604"/>
        <v>465.38</v>
      </c>
      <c r="I3958" s="24" t="str">
        <f t="shared" si="605"/>
        <v xml:space="preserve">COM VALOR</v>
      </c>
      <c r="L3958" s="36">
        <v>465.38</v>
      </c>
      <c r="M3958" s="37">
        <v>465.38</v>
      </c>
      <c r="N3958" s="36">
        <v>465.38</v>
      </c>
    </row>
    <row r="3959" ht="12.75">
      <c r="A3959" s="19" t="s">
        <v>12363</v>
      </c>
      <c r="B3959" s="19">
        <v>44480</v>
      </c>
      <c r="C3959" s="20" t="s">
        <v>14427</v>
      </c>
      <c r="D3959" s="19" t="s">
        <v>121</v>
      </c>
      <c r="E3959" s="19" t="s">
        <v>10459</v>
      </c>
      <c r="F3959" s="21">
        <f t="shared" si="604"/>
        <v>21.760000000000002</v>
      </c>
      <c r="G3959" s="21">
        <f t="shared" si="604"/>
        <v>21.760000000000002</v>
      </c>
      <c r="H3959" s="21">
        <f t="shared" si="604"/>
        <v>21.760000000000002</v>
      </c>
      <c r="I3959" s="24" t="str">
        <f t="shared" si="605"/>
        <v xml:space="preserve">COM VALOR</v>
      </c>
      <c r="L3959" s="36">
        <v>21.760000000000002</v>
      </c>
      <c r="M3959" s="37">
        <v>21.760000000000002</v>
      </c>
      <c r="N3959" s="36">
        <v>21.760000000000002</v>
      </c>
    </row>
    <row r="3960" ht="25.5">
      <c r="A3960" s="19" t="s">
        <v>10460</v>
      </c>
      <c r="B3960" s="19">
        <v>11457</v>
      </c>
      <c r="C3960" s="20" t="s">
        <v>14428</v>
      </c>
      <c r="D3960" s="19" t="s">
        <v>31</v>
      </c>
      <c r="E3960" s="19" t="s">
        <v>10459</v>
      </c>
      <c r="F3960" s="21">
        <f t="shared" si="604"/>
        <v>55.689999999999998</v>
      </c>
      <c r="G3960" s="21">
        <f t="shared" si="604"/>
        <v>55.689999999999998</v>
      </c>
      <c r="H3960" s="21">
        <f t="shared" si="604"/>
        <v>55.689999999999998</v>
      </c>
      <c r="I3960" s="24" t="str">
        <f t="shared" si="605"/>
        <v xml:space="preserve">COM VALOR</v>
      </c>
      <c r="L3960" s="36">
        <v>55.689999999999998</v>
      </c>
      <c r="M3960" s="37">
        <v>55.689999999999998</v>
      </c>
      <c r="N3960" s="36">
        <v>55.689999999999998</v>
      </c>
    </row>
    <row r="3961" ht="25.5">
      <c r="A3961" s="19" t="s">
        <v>10460</v>
      </c>
      <c r="B3961" s="19">
        <v>44073</v>
      </c>
      <c r="C3961" s="20" t="s">
        <v>14429</v>
      </c>
      <c r="D3961" s="19" t="s">
        <v>38</v>
      </c>
      <c r="E3961" s="19" t="s">
        <v>10459</v>
      </c>
      <c r="F3961" s="21">
        <f t="shared" si="604"/>
        <v>0.62</v>
      </c>
      <c r="G3961" s="21">
        <f t="shared" si="604"/>
        <v>0.62</v>
      </c>
      <c r="H3961" s="21">
        <f t="shared" si="604"/>
        <v>0.62</v>
      </c>
      <c r="I3961" s="24" t="str">
        <f t="shared" si="605"/>
        <v xml:space="preserve">COM VALOR</v>
      </c>
      <c r="L3961" s="36">
        <v>0.62</v>
      </c>
      <c r="M3961" s="37">
        <v>0.62</v>
      </c>
      <c r="N3961" s="36">
        <v>0.62</v>
      </c>
    </row>
    <row r="3962" ht="25.5">
      <c r="A3962" s="19" t="s">
        <v>10460</v>
      </c>
      <c r="B3962" s="19">
        <v>3593</v>
      </c>
      <c r="C3962" s="20" t="s">
        <v>14430</v>
      </c>
      <c r="D3962" s="19" t="s">
        <v>31</v>
      </c>
      <c r="E3962" s="19" t="s">
        <v>10459</v>
      </c>
      <c r="F3962" s="21">
        <f t="shared" si="604"/>
        <v>102.11</v>
      </c>
      <c r="G3962" s="21">
        <f t="shared" si="604"/>
        <v>102.11</v>
      </c>
      <c r="H3962" s="21">
        <f t="shared" si="604"/>
        <v>102.11</v>
      </c>
      <c r="I3962" s="24" t="str">
        <f t="shared" si="605"/>
        <v xml:space="preserve">COM VALOR</v>
      </c>
      <c r="L3962" s="36">
        <v>102.11</v>
      </c>
      <c r="M3962" s="37">
        <v>102.11</v>
      </c>
      <c r="N3962" s="36">
        <v>102.11</v>
      </c>
    </row>
    <row r="3963" ht="25.5">
      <c r="A3963" s="19" t="s">
        <v>10460</v>
      </c>
      <c r="B3963" s="19">
        <v>3588</v>
      </c>
      <c r="C3963" s="20" t="s">
        <v>14431</v>
      </c>
      <c r="D3963" s="19" t="s">
        <v>31</v>
      </c>
      <c r="E3963" s="19" t="s">
        <v>10459</v>
      </c>
      <c r="F3963" s="21">
        <f t="shared" si="604"/>
        <v>78.700000000000003</v>
      </c>
      <c r="G3963" s="21">
        <f t="shared" si="604"/>
        <v>78.700000000000003</v>
      </c>
      <c r="H3963" s="21">
        <f t="shared" si="604"/>
        <v>78.700000000000003</v>
      </c>
      <c r="I3963" s="24" t="str">
        <f t="shared" si="605"/>
        <v xml:space="preserve">COM VALOR</v>
      </c>
      <c r="L3963" s="36">
        <v>78.700000000000003</v>
      </c>
      <c r="M3963" s="37">
        <v>78.700000000000003</v>
      </c>
      <c r="N3963" s="36">
        <v>78.700000000000003</v>
      </c>
    </row>
    <row r="3964" ht="25.5">
      <c r="A3964" s="19" t="s">
        <v>10460</v>
      </c>
      <c r="B3964" s="19">
        <v>3587</v>
      </c>
      <c r="C3964" s="20" t="s">
        <v>14432</v>
      </c>
      <c r="D3964" s="19" t="s">
        <v>31</v>
      </c>
      <c r="E3964" s="19" t="s">
        <v>10459</v>
      </c>
      <c r="F3964" s="21">
        <f t="shared" si="604"/>
        <v>48.840000000000003</v>
      </c>
      <c r="G3964" s="21">
        <f t="shared" si="604"/>
        <v>48.840000000000003</v>
      </c>
      <c r="H3964" s="21">
        <f t="shared" si="604"/>
        <v>48.840000000000003</v>
      </c>
      <c r="I3964" s="24" t="str">
        <f t="shared" si="605"/>
        <v xml:space="preserve">COM VALOR</v>
      </c>
      <c r="L3964" s="36">
        <v>48.840000000000003</v>
      </c>
      <c r="M3964" s="37">
        <v>48.840000000000003</v>
      </c>
      <c r="N3964" s="36">
        <v>48.840000000000003</v>
      </c>
    </row>
    <row r="3965" ht="25.5">
      <c r="A3965" s="19" t="s">
        <v>10460</v>
      </c>
      <c r="B3965" s="19">
        <v>3585</v>
      </c>
      <c r="C3965" s="20" t="s">
        <v>14433</v>
      </c>
      <c r="D3965" s="19" t="s">
        <v>31</v>
      </c>
      <c r="E3965" s="19" t="s">
        <v>10459</v>
      </c>
      <c r="F3965" s="21">
        <f t="shared" si="604"/>
        <v>24.309999999999999</v>
      </c>
      <c r="G3965" s="21">
        <f t="shared" si="604"/>
        <v>24.309999999999999</v>
      </c>
      <c r="H3965" s="21">
        <f t="shared" si="604"/>
        <v>24.309999999999999</v>
      </c>
      <c r="I3965" s="24" t="str">
        <f t="shared" si="605"/>
        <v xml:space="preserve">COM VALOR</v>
      </c>
      <c r="L3965" s="36">
        <v>24.309999999999999</v>
      </c>
      <c r="M3965" s="37">
        <v>24.309999999999999</v>
      </c>
      <c r="N3965" s="36">
        <v>24.309999999999999</v>
      </c>
    </row>
    <row r="3966" ht="25.5">
      <c r="A3966" s="19" t="s">
        <v>10460</v>
      </c>
      <c r="B3966" s="19">
        <v>3590</v>
      </c>
      <c r="C3966" s="20" t="s">
        <v>14434</v>
      </c>
      <c r="D3966" s="19" t="s">
        <v>31</v>
      </c>
      <c r="E3966" s="19" t="s">
        <v>10459</v>
      </c>
      <c r="F3966" s="21">
        <f t="shared" si="604"/>
        <v>289.91000000000003</v>
      </c>
      <c r="G3966" s="21">
        <f t="shared" si="604"/>
        <v>289.91000000000003</v>
      </c>
      <c r="H3966" s="21">
        <f t="shared" si="604"/>
        <v>289.91000000000003</v>
      </c>
      <c r="I3966" s="24" t="str">
        <f t="shared" si="605"/>
        <v xml:space="preserve">COM VALOR</v>
      </c>
      <c r="L3966" s="36">
        <v>289.91000000000003</v>
      </c>
      <c r="M3966" s="37">
        <v>289.91000000000003</v>
      </c>
      <c r="N3966" s="36">
        <v>289.91000000000003</v>
      </c>
    </row>
    <row r="3967" ht="25.5">
      <c r="A3967" s="19" t="s">
        <v>10460</v>
      </c>
      <c r="B3967" s="19">
        <v>3589</v>
      </c>
      <c r="C3967" s="20" t="s">
        <v>14435</v>
      </c>
      <c r="D3967" s="19" t="s">
        <v>31</v>
      </c>
      <c r="E3967" s="19" t="s">
        <v>10459</v>
      </c>
      <c r="F3967" s="21">
        <f t="shared" si="604"/>
        <v>155.61000000000001</v>
      </c>
      <c r="G3967" s="21">
        <f t="shared" si="604"/>
        <v>155.61000000000001</v>
      </c>
      <c r="H3967" s="21">
        <f t="shared" si="604"/>
        <v>155.61000000000001</v>
      </c>
      <c r="I3967" s="24" t="str">
        <f t="shared" si="605"/>
        <v xml:space="preserve">COM VALOR</v>
      </c>
      <c r="J3967" s="38"/>
      <c r="L3967" s="36">
        <v>155.61000000000001</v>
      </c>
      <c r="M3967" s="37">
        <v>155.61000000000001</v>
      </c>
      <c r="N3967" s="36">
        <v>155.61000000000001</v>
      </c>
    </row>
    <row r="3968" ht="25.5">
      <c r="A3968" s="19" t="s">
        <v>10460</v>
      </c>
      <c r="B3968" s="19">
        <v>3592</v>
      </c>
      <c r="C3968" s="20" t="s">
        <v>14436</v>
      </c>
      <c r="D3968" s="19" t="s">
        <v>31</v>
      </c>
      <c r="E3968" s="19" t="s">
        <v>10459</v>
      </c>
      <c r="F3968" s="21">
        <f t="shared" si="604"/>
        <v>458.26999999999998</v>
      </c>
      <c r="G3968" s="21">
        <f t="shared" si="604"/>
        <v>458.26999999999998</v>
      </c>
      <c r="H3968" s="21">
        <f t="shared" si="604"/>
        <v>458.26999999999998</v>
      </c>
      <c r="I3968" s="24" t="str">
        <f t="shared" si="605"/>
        <v xml:space="preserve">COM VALOR</v>
      </c>
      <c r="L3968" s="36">
        <v>458.26999999999998</v>
      </c>
      <c r="M3968" s="37">
        <v>458.26999999999998</v>
      </c>
      <c r="N3968" s="36">
        <v>458.26999999999998</v>
      </c>
    </row>
    <row r="3969" ht="25.5">
      <c r="A3969" s="19" t="s">
        <v>10460</v>
      </c>
      <c r="B3969" s="19">
        <v>3586</v>
      </c>
      <c r="C3969" s="20" t="s">
        <v>14437</v>
      </c>
      <c r="D3969" s="19" t="s">
        <v>31</v>
      </c>
      <c r="E3969" s="19" t="s">
        <v>10459</v>
      </c>
      <c r="F3969" s="21">
        <f t="shared" si="604"/>
        <v>31.84</v>
      </c>
      <c r="G3969" s="21">
        <f t="shared" si="604"/>
        <v>31.84</v>
      </c>
      <c r="H3969" s="21">
        <f t="shared" si="604"/>
        <v>31.84</v>
      </c>
      <c r="I3969" s="24" t="str">
        <f t="shared" si="605"/>
        <v xml:space="preserve">COM VALOR</v>
      </c>
      <c r="L3969" s="36">
        <v>31.84</v>
      </c>
      <c r="M3969" s="37">
        <v>31.84</v>
      </c>
      <c r="N3969" s="36">
        <v>31.84</v>
      </c>
    </row>
    <row r="3970" ht="25.5">
      <c r="A3970" s="19" t="s">
        <v>10460</v>
      </c>
      <c r="B3970" s="19">
        <v>3591</v>
      </c>
      <c r="C3970" s="20" t="s">
        <v>14438</v>
      </c>
      <c r="D3970" s="19" t="s">
        <v>31</v>
      </c>
      <c r="E3970" s="19" t="s">
        <v>10459</v>
      </c>
      <c r="F3970" s="21">
        <f t="shared" si="604"/>
        <v>734.62</v>
      </c>
      <c r="G3970" s="21">
        <f t="shared" si="604"/>
        <v>734.62</v>
      </c>
      <c r="H3970" s="21">
        <f t="shared" si="604"/>
        <v>734.62</v>
      </c>
      <c r="I3970" s="24" t="str">
        <f t="shared" si="605"/>
        <v xml:space="preserve">COM VALOR</v>
      </c>
      <c r="L3970" s="36">
        <v>734.62</v>
      </c>
      <c r="M3970" s="37">
        <v>734.62</v>
      </c>
      <c r="N3970" s="36">
        <v>734.62</v>
      </c>
    </row>
    <row r="3971" ht="25.5">
      <c r="A3971" s="19" t="s">
        <v>10460</v>
      </c>
      <c r="B3971" s="19">
        <v>40396</v>
      </c>
      <c r="C3971" s="20" t="s">
        <v>14439</v>
      </c>
      <c r="D3971" s="19" t="s">
        <v>31</v>
      </c>
      <c r="E3971" s="19" t="s">
        <v>10459</v>
      </c>
      <c r="F3971" s="21" t="str">
        <f t="shared" si="604"/>
        <v>VERIFICAR</v>
      </c>
      <c r="G3971" s="21" t="str">
        <f t="shared" si="604"/>
        <v>VERIFICAR</v>
      </c>
      <c r="H3971" s="21" t="str">
        <f t="shared" si="604"/>
        <v>VERIFICAR</v>
      </c>
      <c r="I3971" s="24" t="str">
        <f t="shared" si="605"/>
        <v xml:space="preserve">SEM VALOR</v>
      </c>
      <c r="L3971" s="36"/>
      <c r="M3971" s="37"/>
      <c r="N3971" s="36"/>
    </row>
    <row r="3972" ht="25.5">
      <c r="A3972" s="19" t="s">
        <v>10460</v>
      </c>
      <c r="B3972" s="19">
        <v>40395</v>
      </c>
      <c r="C3972" s="20" t="s">
        <v>14440</v>
      </c>
      <c r="D3972" s="19" t="s">
        <v>31</v>
      </c>
      <c r="E3972" s="19" t="s">
        <v>10459</v>
      </c>
      <c r="F3972" s="21" t="str">
        <f t="shared" si="604"/>
        <v>VERIFICAR</v>
      </c>
      <c r="G3972" s="21" t="str">
        <f t="shared" si="604"/>
        <v>VERIFICAR</v>
      </c>
      <c r="H3972" s="21" t="str">
        <f t="shared" si="604"/>
        <v>VERIFICAR</v>
      </c>
      <c r="I3972" s="24" t="str">
        <f t="shared" si="605"/>
        <v xml:space="preserve">SEM VALOR</v>
      </c>
      <c r="L3972" s="36"/>
      <c r="M3972" s="37"/>
      <c r="N3972" s="36"/>
    </row>
    <row r="3973" ht="25.5">
      <c r="A3973" s="19" t="s">
        <v>10460</v>
      </c>
      <c r="B3973" s="19">
        <v>40394</v>
      </c>
      <c r="C3973" s="20" t="s">
        <v>14441</v>
      </c>
      <c r="D3973" s="19" t="s">
        <v>31</v>
      </c>
      <c r="E3973" s="19" t="s">
        <v>10459</v>
      </c>
      <c r="F3973" s="21" t="str">
        <f t="shared" si="604"/>
        <v>VERIFICAR</v>
      </c>
      <c r="G3973" s="21" t="str">
        <f t="shared" si="604"/>
        <v>VERIFICAR</v>
      </c>
      <c r="H3973" s="21" t="str">
        <f t="shared" si="604"/>
        <v>VERIFICAR</v>
      </c>
      <c r="I3973" s="24" t="str">
        <f t="shared" si="605"/>
        <v xml:space="preserve">SEM VALOR</v>
      </c>
      <c r="L3973" s="36"/>
      <c r="M3973" s="37"/>
      <c r="N3973" s="36"/>
    </row>
    <row r="3974" ht="25.5">
      <c r="A3974" s="19" t="s">
        <v>10460</v>
      </c>
      <c r="B3974" s="19">
        <v>40392</v>
      </c>
      <c r="C3974" s="20" t="s">
        <v>14442</v>
      </c>
      <c r="D3974" s="19" t="s">
        <v>31</v>
      </c>
      <c r="E3974" s="19" t="s">
        <v>10459</v>
      </c>
      <c r="F3974" s="21" t="str">
        <f t="shared" si="604"/>
        <v>VERIFICAR</v>
      </c>
      <c r="G3974" s="21" t="str">
        <f t="shared" si="604"/>
        <v>VERIFICAR</v>
      </c>
      <c r="H3974" s="21" t="str">
        <f t="shared" si="604"/>
        <v>VERIFICAR</v>
      </c>
      <c r="I3974" s="24" t="str">
        <f t="shared" si="605"/>
        <v xml:space="preserve">SEM VALOR</v>
      </c>
      <c r="L3974" s="36"/>
      <c r="M3974" s="37"/>
      <c r="N3974" s="36"/>
    </row>
    <row r="3975" ht="25.5">
      <c r="A3975" s="19" t="s">
        <v>10460</v>
      </c>
      <c r="B3975" s="19">
        <v>40398</v>
      </c>
      <c r="C3975" s="20" t="s">
        <v>14443</v>
      </c>
      <c r="D3975" s="19" t="s">
        <v>31</v>
      </c>
      <c r="E3975" s="19" t="s">
        <v>10459</v>
      </c>
      <c r="F3975" s="21" t="str">
        <f t="shared" si="604"/>
        <v>VERIFICAR</v>
      </c>
      <c r="G3975" s="21" t="str">
        <f t="shared" si="604"/>
        <v>VERIFICAR</v>
      </c>
      <c r="H3975" s="21" t="str">
        <f t="shared" si="604"/>
        <v>VERIFICAR</v>
      </c>
      <c r="I3975" s="24" t="str">
        <f t="shared" si="605"/>
        <v xml:space="preserve">SEM VALOR</v>
      </c>
      <c r="L3975" s="36"/>
      <c r="M3975" s="37"/>
      <c r="N3975" s="36"/>
    </row>
    <row r="3976" ht="25.5">
      <c r="A3976" s="19" t="s">
        <v>10460</v>
      </c>
      <c r="B3976" s="19">
        <v>40397</v>
      </c>
      <c r="C3976" s="20" t="s">
        <v>14444</v>
      </c>
      <c r="D3976" s="19" t="s">
        <v>31</v>
      </c>
      <c r="E3976" s="19" t="s">
        <v>10459</v>
      </c>
      <c r="F3976" s="21" t="str">
        <f t="shared" si="604"/>
        <v>VERIFICAR</v>
      </c>
      <c r="G3976" s="21" t="str">
        <f t="shared" si="604"/>
        <v>VERIFICAR</v>
      </c>
      <c r="H3976" s="21" t="str">
        <f t="shared" si="604"/>
        <v>VERIFICAR</v>
      </c>
      <c r="I3976" s="24" t="str">
        <f t="shared" si="605"/>
        <v xml:space="preserve">SEM VALOR</v>
      </c>
      <c r="L3976" s="36"/>
      <c r="M3976" s="37"/>
      <c r="N3976" s="36"/>
    </row>
    <row r="3977" ht="25.5">
      <c r="A3977" s="19" t="s">
        <v>10460</v>
      </c>
      <c r="B3977" s="19">
        <v>40399</v>
      </c>
      <c r="C3977" s="20" t="s">
        <v>14445</v>
      </c>
      <c r="D3977" s="19" t="s">
        <v>31</v>
      </c>
      <c r="E3977" s="19" t="s">
        <v>10459</v>
      </c>
      <c r="F3977" s="21" t="str">
        <f t="shared" si="604"/>
        <v>VERIFICAR</v>
      </c>
      <c r="G3977" s="21" t="str">
        <f t="shared" si="604"/>
        <v>VERIFICAR</v>
      </c>
      <c r="H3977" s="21" t="str">
        <f t="shared" si="604"/>
        <v>VERIFICAR</v>
      </c>
      <c r="I3977" s="24" t="str">
        <f t="shared" si="605"/>
        <v xml:space="preserve">SEM VALOR</v>
      </c>
      <c r="L3977" s="36"/>
      <c r="M3977" s="37"/>
      <c r="N3977" s="36"/>
    </row>
    <row r="3978" ht="25.5">
      <c r="A3978" s="19" t="s">
        <v>10460</v>
      </c>
      <c r="B3978" s="19">
        <v>40393</v>
      </c>
      <c r="C3978" s="20" t="s">
        <v>14446</v>
      </c>
      <c r="D3978" s="19" t="s">
        <v>31</v>
      </c>
      <c r="E3978" s="19" t="s">
        <v>10459</v>
      </c>
      <c r="F3978" s="21" t="str">
        <f t="shared" si="604"/>
        <v>VERIFICAR</v>
      </c>
      <c r="G3978" s="21" t="str">
        <f t="shared" si="604"/>
        <v>VERIFICAR</v>
      </c>
      <c r="H3978" s="21" t="str">
        <f t="shared" si="604"/>
        <v>VERIFICAR</v>
      </c>
      <c r="I3978" s="24" t="str">
        <f t="shared" si="605"/>
        <v xml:space="preserve">SEM VALOR</v>
      </c>
      <c r="L3978" s="36"/>
      <c r="M3978" s="37"/>
      <c r="N3978" s="36"/>
    </row>
    <row r="3979" ht="25.5">
      <c r="A3979" s="19" t="s">
        <v>10460</v>
      </c>
      <c r="B3979" s="19">
        <v>44253</v>
      </c>
      <c r="C3979" s="20" t="s">
        <v>14447</v>
      </c>
      <c r="D3979" s="19" t="s">
        <v>31</v>
      </c>
      <c r="E3979" s="19" t="s">
        <v>10459</v>
      </c>
      <c r="F3979" s="21">
        <f t="shared" ref="F3979:H4042" si="606">IF(L3979=0,"VERIFICAR",L3979)</f>
        <v>310.91000000000003</v>
      </c>
      <c r="G3979" s="21">
        <f t="shared" si="606"/>
        <v>310.91000000000003</v>
      </c>
      <c r="H3979" s="21">
        <f t="shared" si="606"/>
        <v>310.91000000000003</v>
      </c>
      <c r="I3979" s="24" t="str">
        <f t="shared" ref="I3979:I4042" si="607">IF(OR(L3979=0,M3979=0,N3979=0),"SEM VALOR","COM VALOR")</f>
        <v xml:space="preserve">COM VALOR</v>
      </c>
      <c r="L3979" s="36">
        <v>310.91000000000003</v>
      </c>
      <c r="M3979" s="37">
        <v>310.91000000000003</v>
      </c>
      <c r="N3979" s="36">
        <v>310.91000000000003</v>
      </c>
    </row>
    <row r="3980" ht="25.5">
      <c r="A3980" s="19" t="s">
        <v>10460</v>
      </c>
      <c r="B3980" s="19">
        <v>21121</v>
      </c>
      <c r="C3980" s="20" t="s">
        <v>14448</v>
      </c>
      <c r="D3980" s="19" t="s">
        <v>31</v>
      </c>
      <c r="E3980" s="19" t="s">
        <v>10459</v>
      </c>
      <c r="F3980" s="21">
        <f t="shared" si="606"/>
        <v>4.46</v>
      </c>
      <c r="G3980" s="21">
        <f t="shared" si="606"/>
        <v>4.46</v>
      </c>
      <c r="H3980" s="21">
        <f t="shared" si="606"/>
        <v>4.46</v>
      </c>
      <c r="I3980" s="24" t="str">
        <f t="shared" si="607"/>
        <v xml:space="preserve">COM VALOR</v>
      </c>
      <c r="L3980" s="36">
        <v>4.46</v>
      </c>
      <c r="M3980" s="37">
        <v>4.46</v>
      </c>
      <c r="N3980" s="36">
        <v>4.46</v>
      </c>
    </row>
    <row r="3981" ht="25.5">
      <c r="A3981" s="19" t="s">
        <v>10460</v>
      </c>
      <c r="B3981" s="19">
        <v>38010</v>
      </c>
      <c r="C3981" s="20" t="s">
        <v>14449</v>
      </c>
      <c r="D3981" s="19" t="s">
        <v>31</v>
      </c>
      <c r="E3981" s="19" t="s">
        <v>10459</v>
      </c>
      <c r="F3981" s="21">
        <f t="shared" si="606"/>
        <v>5.5499999999999998</v>
      </c>
      <c r="G3981" s="21">
        <f t="shared" si="606"/>
        <v>5.5499999999999998</v>
      </c>
      <c r="H3981" s="21">
        <f t="shared" si="606"/>
        <v>5.5499999999999998</v>
      </c>
      <c r="I3981" s="24" t="str">
        <f t="shared" si="607"/>
        <v xml:space="preserve">COM VALOR</v>
      </c>
      <c r="L3981" s="36">
        <v>5.5499999999999998</v>
      </c>
      <c r="M3981" s="37">
        <v>5.5499999999999998</v>
      </c>
      <c r="N3981" s="36">
        <v>5.5499999999999998</v>
      </c>
    </row>
    <row r="3982" ht="25.5">
      <c r="A3982" s="19" t="s">
        <v>10460</v>
      </c>
      <c r="B3982" s="19">
        <v>38011</v>
      </c>
      <c r="C3982" s="20" t="s">
        <v>14450</v>
      </c>
      <c r="D3982" s="19" t="s">
        <v>31</v>
      </c>
      <c r="E3982" s="19" t="s">
        <v>10459</v>
      </c>
      <c r="F3982" s="21">
        <f t="shared" si="606"/>
        <v>11.130000000000001</v>
      </c>
      <c r="G3982" s="21">
        <f t="shared" si="606"/>
        <v>11.130000000000001</v>
      </c>
      <c r="H3982" s="21">
        <f t="shared" si="606"/>
        <v>11.130000000000001</v>
      </c>
      <c r="I3982" s="24" t="str">
        <f t="shared" si="607"/>
        <v xml:space="preserve">COM VALOR</v>
      </c>
      <c r="L3982" s="36">
        <v>11.130000000000001</v>
      </c>
      <c r="M3982" s="37">
        <v>11.130000000000001</v>
      </c>
      <c r="N3982" s="36">
        <v>11.130000000000001</v>
      </c>
    </row>
    <row r="3983" ht="25.5">
      <c r="A3983" s="19" t="s">
        <v>10460</v>
      </c>
      <c r="B3983" s="19">
        <v>38012</v>
      </c>
      <c r="C3983" s="20" t="s">
        <v>14451</v>
      </c>
      <c r="D3983" s="19" t="s">
        <v>31</v>
      </c>
      <c r="E3983" s="19" t="s">
        <v>10459</v>
      </c>
      <c r="F3983" s="21">
        <f t="shared" si="606"/>
        <v>42.439999999999998</v>
      </c>
      <c r="G3983" s="21">
        <f t="shared" si="606"/>
        <v>42.439999999999998</v>
      </c>
      <c r="H3983" s="21">
        <f t="shared" si="606"/>
        <v>42.439999999999998</v>
      </c>
      <c r="I3983" s="24" t="str">
        <f t="shared" si="607"/>
        <v xml:space="preserve">COM VALOR</v>
      </c>
      <c r="L3983" s="36">
        <v>42.439999999999998</v>
      </c>
      <c r="M3983" s="37">
        <v>42.439999999999998</v>
      </c>
      <c r="N3983" s="36">
        <v>42.439999999999998</v>
      </c>
    </row>
    <row r="3984" ht="25.5">
      <c r="A3984" s="19" t="s">
        <v>10460</v>
      </c>
      <c r="B3984" s="19">
        <v>38013</v>
      </c>
      <c r="C3984" s="20" t="s">
        <v>14452</v>
      </c>
      <c r="D3984" s="19" t="s">
        <v>31</v>
      </c>
      <c r="E3984" s="19" t="s">
        <v>10459</v>
      </c>
      <c r="F3984" s="21">
        <f t="shared" si="606"/>
        <v>54.520000000000003</v>
      </c>
      <c r="G3984" s="21">
        <f t="shared" si="606"/>
        <v>54.520000000000003</v>
      </c>
      <c r="H3984" s="21">
        <f t="shared" si="606"/>
        <v>54.520000000000003</v>
      </c>
      <c r="I3984" s="24" t="str">
        <f t="shared" si="607"/>
        <v xml:space="preserve">COM VALOR</v>
      </c>
      <c r="L3984" s="36">
        <v>54.520000000000003</v>
      </c>
      <c r="M3984" s="37">
        <v>54.520000000000003</v>
      </c>
      <c r="N3984" s="36">
        <v>54.520000000000003</v>
      </c>
    </row>
    <row r="3985" ht="25.5">
      <c r="A3985" s="19" t="s">
        <v>10460</v>
      </c>
      <c r="B3985" s="19">
        <v>38014</v>
      </c>
      <c r="C3985" s="20" t="s">
        <v>14453</v>
      </c>
      <c r="D3985" s="19" t="s">
        <v>31</v>
      </c>
      <c r="E3985" s="19" t="s">
        <v>10459</v>
      </c>
      <c r="F3985" s="21">
        <f t="shared" si="606"/>
        <v>91.049999999999997</v>
      </c>
      <c r="G3985" s="21">
        <f t="shared" si="606"/>
        <v>91.049999999999997</v>
      </c>
      <c r="H3985" s="21">
        <f t="shared" si="606"/>
        <v>91.049999999999997</v>
      </c>
      <c r="I3985" s="24" t="str">
        <f t="shared" si="607"/>
        <v xml:space="preserve">COM VALOR</v>
      </c>
      <c r="L3985" s="36">
        <v>91.049999999999997</v>
      </c>
      <c r="M3985" s="37">
        <v>91.049999999999997</v>
      </c>
      <c r="N3985" s="36">
        <v>91.049999999999997</v>
      </c>
    </row>
    <row r="3986" ht="25.5">
      <c r="A3986" s="19" t="s">
        <v>10460</v>
      </c>
      <c r="B3986" s="19">
        <v>38015</v>
      </c>
      <c r="C3986" s="20" t="s">
        <v>14454</v>
      </c>
      <c r="D3986" s="19" t="s">
        <v>31</v>
      </c>
      <c r="E3986" s="19" t="s">
        <v>10459</v>
      </c>
      <c r="F3986" s="21">
        <f t="shared" si="606"/>
        <v>214.06</v>
      </c>
      <c r="G3986" s="21">
        <f t="shared" si="606"/>
        <v>214.06</v>
      </c>
      <c r="H3986" s="21">
        <f t="shared" si="606"/>
        <v>214.06</v>
      </c>
      <c r="I3986" s="24" t="str">
        <f t="shared" si="607"/>
        <v xml:space="preserve">COM VALOR</v>
      </c>
      <c r="L3986" s="36">
        <v>214.06</v>
      </c>
      <c r="M3986" s="37">
        <v>214.06</v>
      </c>
      <c r="N3986" s="36">
        <v>214.06</v>
      </c>
    </row>
    <row r="3987" ht="25.5">
      <c r="A3987" s="19" t="s">
        <v>10460</v>
      </c>
      <c r="B3987" s="19">
        <v>38016</v>
      </c>
      <c r="C3987" s="20" t="s">
        <v>14455</v>
      </c>
      <c r="D3987" s="19" t="s">
        <v>31</v>
      </c>
      <c r="E3987" s="19" t="s">
        <v>10459</v>
      </c>
      <c r="F3987" s="21">
        <f t="shared" si="606"/>
        <v>248.93000000000001</v>
      </c>
      <c r="G3987" s="21">
        <f t="shared" si="606"/>
        <v>248.93000000000001</v>
      </c>
      <c r="H3987" s="21">
        <f t="shared" si="606"/>
        <v>248.93000000000001</v>
      </c>
      <c r="I3987" s="24" t="str">
        <f t="shared" si="607"/>
        <v xml:space="preserve">COM VALOR</v>
      </c>
      <c r="L3987" s="36">
        <v>248.93000000000001</v>
      </c>
      <c r="M3987" s="37">
        <v>248.93000000000001</v>
      </c>
      <c r="N3987" s="36">
        <v>248.93000000000001</v>
      </c>
    </row>
    <row r="3988" ht="25.5">
      <c r="A3988" s="19" t="s">
        <v>10460</v>
      </c>
      <c r="B3988" s="19">
        <v>12741</v>
      </c>
      <c r="C3988" s="20" t="s">
        <v>14456</v>
      </c>
      <c r="D3988" s="19" t="s">
        <v>31</v>
      </c>
      <c r="E3988" s="19" t="s">
        <v>10459</v>
      </c>
      <c r="F3988" s="21" t="str">
        <f t="shared" si="606"/>
        <v>VERIFICAR</v>
      </c>
      <c r="G3988" s="21" t="str">
        <f t="shared" si="606"/>
        <v>VERIFICAR</v>
      </c>
      <c r="H3988" s="21" t="str">
        <f t="shared" si="606"/>
        <v>VERIFICAR</v>
      </c>
      <c r="I3988" s="24" t="str">
        <f t="shared" si="607"/>
        <v xml:space="preserve">SEM VALOR</v>
      </c>
      <c r="L3988" s="36"/>
      <c r="M3988" s="37"/>
      <c r="N3988" s="36"/>
    </row>
    <row r="3989" ht="25.5">
      <c r="A3989" s="19" t="s">
        <v>10460</v>
      </c>
      <c r="B3989" s="19">
        <v>12733</v>
      </c>
      <c r="C3989" s="20" t="s">
        <v>14457</v>
      </c>
      <c r="D3989" s="19" t="s">
        <v>31</v>
      </c>
      <c r="E3989" s="19" t="s">
        <v>10459</v>
      </c>
      <c r="F3989" s="21" t="str">
        <f t="shared" si="606"/>
        <v>VERIFICAR</v>
      </c>
      <c r="G3989" s="21" t="str">
        <f t="shared" si="606"/>
        <v>VERIFICAR</v>
      </c>
      <c r="H3989" s="21" t="str">
        <f t="shared" si="606"/>
        <v>VERIFICAR</v>
      </c>
      <c r="I3989" s="24" t="str">
        <f t="shared" si="607"/>
        <v xml:space="preserve">SEM VALOR</v>
      </c>
      <c r="L3989" s="36"/>
      <c r="M3989" s="37"/>
      <c r="N3989" s="36"/>
    </row>
    <row r="3990" ht="25.5">
      <c r="A3990" s="19" t="s">
        <v>10460</v>
      </c>
      <c r="B3990" s="19">
        <v>12734</v>
      </c>
      <c r="C3990" s="20" t="s">
        <v>14458</v>
      </c>
      <c r="D3990" s="19" t="s">
        <v>31</v>
      </c>
      <c r="E3990" s="19" t="s">
        <v>10459</v>
      </c>
      <c r="F3990" s="21" t="str">
        <f t="shared" si="606"/>
        <v>VERIFICAR</v>
      </c>
      <c r="G3990" s="21" t="str">
        <f t="shared" si="606"/>
        <v>VERIFICAR</v>
      </c>
      <c r="H3990" s="21" t="str">
        <f t="shared" si="606"/>
        <v>VERIFICAR</v>
      </c>
      <c r="I3990" s="24" t="str">
        <f t="shared" si="607"/>
        <v xml:space="preserve">SEM VALOR</v>
      </c>
      <c r="L3990" s="36"/>
      <c r="M3990" s="37"/>
      <c r="N3990" s="36"/>
    </row>
    <row r="3991" ht="25.5">
      <c r="A3991" s="19" t="s">
        <v>10460</v>
      </c>
      <c r="B3991" s="19">
        <v>12735</v>
      </c>
      <c r="C3991" s="20" t="s">
        <v>14459</v>
      </c>
      <c r="D3991" s="19" t="s">
        <v>31</v>
      </c>
      <c r="E3991" s="19" t="s">
        <v>10459</v>
      </c>
      <c r="F3991" s="21" t="str">
        <f t="shared" si="606"/>
        <v>VERIFICAR</v>
      </c>
      <c r="G3991" s="21" t="str">
        <f t="shared" si="606"/>
        <v>VERIFICAR</v>
      </c>
      <c r="H3991" s="21" t="str">
        <f t="shared" si="606"/>
        <v>VERIFICAR</v>
      </c>
      <c r="I3991" s="24" t="str">
        <f t="shared" si="607"/>
        <v xml:space="preserve">SEM VALOR</v>
      </c>
      <c r="L3991" s="36"/>
      <c r="M3991" s="37"/>
      <c r="N3991" s="36"/>
    </row>
    <row r="3992" ht="25.5">
      <c r="A3992" s="19" t="s">
        <v>10460</v>
      </c>
      <c r="B3992" s="19">
        <v>12736</v>
      </c>
      <c r="C3992" s="20" t="s">
        <v>14460</v>
      </c>
      <c r="D3992" s="19" t="s">
        <v>31</v>
      </c>
      <c r="E3992" s="19" t="s">
        <v>10459</v>
      </c>
      <c r="F3992" s="21" t="str">
        <f t="shared" si="606"/>
        <v>VERIFICAR</v>
      </c>
      <c r="G3992" s="21" t="str">
        <f t="shared" si="606"/>
        <v>VERIFICAR</v>
      </c>
      <c r="H3992" s="21" t="str">
        <f t="shared" si="606"/>
        <v>VERIFICAR</v>
      </c>
      <c r="I3992" s="24" t="str">
        <f t="shared" si="607"/>
        <v xml:space="preserve">SEM VALOR</v>
      </c>
      <c r="L3992" s="36"/>
      <c r="M3992" s="37"/>
      <c r="N3992" s="36"/>
    </row>
    <row r="3993" ht="25.5">
      <c r="A3993" s="19" t="s">
        <v>10460</v>
      </c>
      <c r="B3993" s="19">
        <v>12737</v>
      </c>
      <c r="C3993" s="20" t="s">
        <v>14461</v>
      </c>
      <c r="D3993" s="19" t="s">
        <v>31</v>
      </c>
      <c r="E3993" s="19" t="s">
        <v>10459</v>
      </c>
      <c r="F3993" s="21" t="str">
        <f t="shared" si="606"/>
        <v>VERIFICAR</v>
      </c>
      <c r="G3993" s="21" t="str">
        <f t="shared" si="606"/>
        <v>VERIFICAR</v>
      </c>
      <c r="H3993" s="21" t="str">
        <f t="shared" si="606"/>
        <v>VERIFICAR</v>
      </c>
      <c r="I3993" s="24" t="str">
        <f t="shared" si="607"/>
        <v xml:space="preserve">SEM VALOR</v>
      </c>
      <c r="L3993" s="36"/>
      <c r="M3993" s="37"/>
      <c r="N3993" s="36"/>
    </row>
    <row r="3994" ht="25.5">
      <c r="A3994" s="19" t="s">
        <v>10460</v>
      </c>
      <c r="B3994" s="19">
        <v>12738</v>
      </c>
      <c r="C3994" s="20" t="s">
        <v>14462</v>
      </c>
      <c r="D3994" s="19" t="s">
        <v>31</v>
      </c>
      <c r="E3994" s="19" t="s">
        <v>10459</v>
      </c>
      <c r="F3994" s="21" t="str">
        <f t="shared" si="606"/>
        <v>VERIFICAR</v>
      </c>
      <c r="G3994" s="21" t="str">
        <f t="shared" si="606"/>
        <v>VERIFICAR</v>
      </c>
      <c r="H3994" s="21" t="str">
        <f t="shared" si="606"/>
        <v>VERIFICAR</v>
      </c>
      <c r="I3994" s="24" t="str">
        <f t="shared" si="607"/>
        <v xml:space="preserve">SEM VALOR</v>
      </c>
      <c r="L3994" s="36"/>
      <c r="M3994" s="37"/>
      <c r="N3994" s="36"/>
    </row>
    <row r="3995" ht="25.5">
      <c r="A3995" s="19" t="s">
        <v>10460</v>
      </c>
      <c r="B3995" s="19">
        <v>12739</v>
      </c>
      <c r="C3995" s="20" t="s">
        <v>14463</v>
      </c>
      <c r="D3995" s="19" t="s">
        <v>31</v>
      </c>
      <c r="E3995" s="19" t="s">
        <v>10459</v>
      </c>
      <c r="F3995" s="21" t="str">
        <f t="shared" si="606"/>
        <v>VERIFICAR</v>
      </c>
      <c r="G3995" s="21" t="str">
        <f t="shared" si="606"/>
        <v>VERIFICAR</v>
      </c>
      <c r="H3995" s="21" t="str">
        <f t="shared" si="606"/>
        <v>VERIFICAR</v>
      </c>
      <c r="I3995" s="24" t="str">
        <f t="shared" si="607"/>
        <v xml:space="preserve">SEM VALOR</v>
      </c>
      <c r="L3995" s="36"/>
      <c r="M3995" s="37"/>
      <c r="N3995" s="36"/>
    </row>
    <row r="3996" ht="25.5">
      <c r="A3996" s="19" t="s">
        <v>10460</v>
      </c>
      <c r="B3996" s="19">
        <v>12740</v>
      </c>
      <c r="C3996" s="20" t="s">
        <v>14464</v>
      </c>
      <c r="D3996" s="19" t="s">
        <v>31</v>
      </c>
      <c r="E3996" s="19" t="s">
        <v>10459</v>
      </c>
      <c r="F3996" s="21" t="str">
        <f t="shared" si="606"/>
        <v>VERIFICAR</v>
      </c>
      <c r="G3996" s="21" t="str">
        <f t="shared" si="606"/>
        <v>VERIFICAR</v>
      </c>
      <c r="H3996" s="21" t="str">
        <f t="shared" si="606"/>
        <v>VERIFICAR</v>
      </c>
      <c r="I3996" s="24" t="str">
        <f t="shared" si="607"/>
        <v xml:space="preserve">SEM VALOR</v>
      </c>
      <c r="L3996" s="36"/>
      <c r="M3996" s="37"/>
      <c r="N3996" s="36"/>
    </row>
    <row r="3997" ht="12.75">
      <c r="A3997" s="19" t="s">
        <v>10460</v>
      </c>
      <c r="B3997" s="19">
        <v>6297</v>
      </c>
      <c r="C3997" s="20" t="s">
        <v>14465</v>
      </c>
      <c r="D3997" s="19" t="s">
        <v>31</v>
      </c>
      <c r="E3997" s="19" t="s">
        <v>10459</v>
      </c>
      <c r="F3997" s="21">
        <f t="shared" si="606"/>
        <v>47.049999999999997</v>
      </c>
      <c r="G3997" s="21">
        <f t="shared" si="606"/>
        <v>47.049999999999997</v>
      </c>
      <c r="H3997" s="21">
        <f t="shared" si="606"/>
        <v>47.049999999999997</v>
      </c>
      <c r="I3997" s="24" t="str">
        <f t="shared" si="607"/>
        <v xml:space="preserve">COM VALOR</v>
      </c>
      <c r="L3997" s="36">
        <v>47.049999999999997</v>
      </c>
      <c r="M3997" s="37">
        <v>47.049999999999997</v>
      </c>
      <c r="N3997" s="36">
        <v>47.049999999999997</v>
      </c>
    </row>
    <row r="3998" ht="12.75">
      <c r="A3998" s="19" t="s">
        <v>10460</v>
      </c>
      <c r="B3998" s="19">
        <v>6296</v>
      </c>
      <c r="C3998" s="20" t="s">
        <v>14466</v>
      </c>
      <c r="D3998" s="19" t="s">
        <v>31</v>
      </c>
      <c r="E3998" s="19" t="s">
        <v>10459</v>
      </c>
      <c r="F3998" s="21">
        <f t="shared" si="606"/>
        <v>37.130000000000003</v>
      </c>
      <c r="G3998" s="21">
        <f t="shared" si="606"/>
        <v>37.130000000000003</v>
      </c>
      <c r="H3998" s="21">
        <f t="shared" si="606"/>
        <v>37.130000000000003</v>
      </c>
      <c r="I3998" s="24" t="str">
        <f t="shared" si="607"/>
        <v xml:space="preserve">COM VALOR</v>
      </c>
      <c r="L3998" s="36">
        <v>37.130000000000003</v>
      </c>
      <c r="M3998" s="37">
        <v>37.130000000000003</v>
      </c>
      <c r="N3998" s="36">
        <v>37.130000000000003</v>
      </c>
    </row>
    <row r="3999" ht="12.75">
      <c r="A3999" s="19" t="s">
        <v>10460</v>
      </c>
      <c r="B3999" s="19">
        <v>6323</v>
      </c>
      <c r="C3999" s="20" t="s">
        <v>14467</v>
      </c>
      <c r="D3999" s="19" t="s">
        <v>31</v>
      </c>
      <c r="E3999" s="19" t="s">
        <v>10459</v>
      </c>
      <c r="F3999" s="21">
        <f t="shared" si="606"/>
        <v>24.260000000000002</v>
      </c>
      <c r="G3999" s="21">
        <f t="shared" si="606"/>
        <v>24.260000000000002</v>
      </c>
      <c r="H3999" s="21">
        <f t="shared" si="606"/>
        <v>24.260000000000002</v>
      </c>
      <c r="I3999" s="24" t="str">
        <f t="shared" si="607"/>
        <v xml:space="preserve">COM VALOR</v>
      </c>
      <c r="L3999" s="36">
        <v>24.260000000000002</v>
      </c>
      <c r="M3999" s="37">
        <v>24.260000000000002</v>
      </c>
      <c r="N3999" s="36">
        <v>24.260000000000002</v>
      </c>
    </row>
    <row r="4000" ht="12.75">
      <c r="A4000" s="19" t="s">
        <v>10460</v>
      </c>
      <c r="B4000" s="19">
        <v>6294</v>
      </c>
      <c r="C4000" s="20" t="s">
        <v>14468</v>
      </c>
      <c r="D4000" s="19" t="s">
        <v>31</v>
      </c>
      <c r="E4000" s="19" t="s">
        <v>10459</v>
      </c>
      <c r="F4000" s="21">
        <f t="shared" si="606"/>
        <v>10.59</v>
      </c>
      <c r="G4000" s="21">
        <f t="shared" si="606"/>
        <v>10.59</v>
      </c>
      <c r="H4000" s="21">
        <f t="shared" si="606"/>
        <v>10.59</v>
      </c>
      <c r="I4000" s="24" t="str">
        <f t="shared" si="607"/>
        <v xml:space="preserve">COM VALOR</v>
      </c>
      <c r="L4000" s="36">
        <v>10.59</v>
      </c>
      <c r="M4000" s="37">
        <v>10.59</v>
      </c>
      <c r="N4000" s="36">
        <v>10.59</v>
      </c>
    </row>
    <row r="4001" ht="12.75">
      <c r="A4001" s="19" t="s">
        <v>10460</v>
      </c>
      <c r="B4001" s="19">
        <v>6299</v>
      </c>
      <c r="C4001" s="20" t="s">
        <v>14469</v>
      </c>
      <c r="D4001" s="19" t="s">
        <v>31</v>
      </c>
      <c r="E4001" s="19" t="s">
        <v>10459</v>
      </c>
      <c r="F4001" s="21">
        <f t="shared" si="606"/>
        <v>141.5</v>
      </c>
      <c r="G4001" s="21">
        <f t="shared" si="606"/>
        <v>141.5</v>
      </c>
      <c r="H4001" s="21">
        <f t="shared" si="606"/>
        <v>141.5</v>
      </c>
      <c r="I4001" s="24" t="str">
        <f t="shared" si="607"/>
        <v xml:space="preserve">COM VALOR</v>
      </c>
      <c r="L4001" s="36">
        <v>141.5</v>
      </c>
      <c r="M4001" s="37">
        <v>141.5</v>
      </c>
      <c r="N4001" s="36">
        <v>141.5</v>
      </c>
    </row>
    <row r="4002" ht="12.75">
      <c r="A4002" s="19" t="s">
        <v>10460</v>
      </c>
      <c r="B4002" s="19">
        <v>6298</v>
      </c>
      <c r="C4002" s="20" t="s">
        <v>14470</v>
      </c>
      <c r="D4002" s="19" t="s">
        <v>31</v>
      </c>
      <c r="E4002" s="19" t="s">
        <v>10459</v>
      </c>
      <c r="F4002" s="21">
        <f t="shared" si="606"/>
        <v>74.519999999999996</v>
      </c>
      <c r="G4002" s="21">
        <f t="shared" si="606"/>
        <v>74.519999999999996</v>
      </c>
      <c r="H4002" s="21">
        <f t="shared" si="606"/>
        <v>74.519999999999996</v>
      </c>
      <c r="I4002" s="24" t="str">
        <f t="shared" si="607"/>
        <v xml:space="preserve">COM VALOR</v>
      </c>
      <c r="L4002" s="36">
        <v>74.519999999999996</v>
      </c>
      <c r="M4002" s="37">
        <v>74.519999999999996</v>
      </c>
      <c r="N4002" s="36">
        <v>74.519999999999996</v>
      </c>
    </row>
    <row r="4003" ht="12.75">
      <c r="A4003" s="19" t="s">
        <v>10460</v>
      </c>
      <c r="B4003" s="19">
        <v>6322</v>
      </c>
      <c r="C4003" s="20" t="s">
        <v>14471</v>
      </c>
      <c r="D4003" s="19" t="s">
        <v>31</v>
      </c>
      <c r="E4003" s="19" t="s">
        <v>10459</v>
      </c>
      <c r="F4003" s="21">
        <f t="shared" si="606"/>
        <v>189.52000000000001</v>
      </c>
      <c r="G4003" s="21">
        <f t="shared" si="606"/>
        <v>189.52000000000001</v>
      </c>
      <c r="H4003" s="21">
        <f t="shared" si="606"/>
        <v>189.52000000000001</v>
      </c>
      <c r="I4003" s="24" t="str">
        <f t="shared" si="607"/>
        <v xml:space="preserve">COM VALOR</v>
      </c>
      <c r="L4003" s="36">
        <v>189.52000000000001</v>
      </c>
      <c r="M4003" s="37">
        <v>189.52000000000001</v>
      </c>
      <c r="N4003" s="36">
        <v>189.52000000000001</v>
      </c>
    </row>
    <row r="4004" ht="12.75">
      <c r="A4004" s="19" t="s">
        <v>10460</v>
      </c>
      <c r="B4004" s="19">
        <v>6295</v>
      </c>
      <c r="C4004" s="20" t="s">
        <v>14472</v>
      </c>
      <c r="D4004" s="19" t="s">
        <v>31</v>
      </c>
      <c r="E4004" s="19" t="s">
        <v>10459</v>
      </c>
      <c r="F4004" s="21">
        <f t="shared" si="606"/>
        <v>15.07</v>
      </c>
      <c r="G4004" s="21">
        <f t="shared" si="606"/>
        <v>15.07</v>
      </c>
      <c r="H4004" s="21">
        <f t="shared" si="606"/>
        <v>15.07</v>
      </c>
      <c r="I4004" s="24" t="str">
        <f t="shared" si="607"/>
        <v xml:space="preserve">COM VALOR</v>
      </c>
      <c r="L4004" s="36">
        <v>15.07</v>
      </c>
      <c r="M4004" s="37">
        <v>15.07</v>
      </c>
      <c r="N4004" s="36">
        <v>15.07</v>
      </c>
    </row>
    <row r="4005" ht="12.75">
      <c r="A4005" s="19" t="s">
        <v>10460</v>
      </c>
      <c r="B4005" s="19">
        <v>6300</v>
      </c>
      <c r="C4005" s="20" t="s">
        <v>14473</v>
      </c>
      <c r="D4005" s="19" t="s">
        <v>31</v>
      </c>
      <c r="E4005" s="19" t="s">
        <v>10459</v>
      </c>
      <c r="F4005" s="21">
        <f t="shared" si="606"/>
        <v>349.39999999999998</v>
      </c>
      <c r="G4005" s="21">
        <f t="shared" si="606"/>
        <v>349.39999999999998</v>
      </c>
      <c r="H4005" s="21">
        <f t="shared" si="606"/>
        <v>349.39999999999998</v>
      </c>
      <c r="I4005" s="24" t="str">
        <f t="shared" si="607"/>
        <v xml:space="preserve">COM VALOR</v>
      </c>
      <c r="L4005" s="36">
        <v>349.39999999999998</v>
      </c>
      <c r="M4005" s="37">
        <v>349.39999999999998</v>
      </c>
      <c r="N4005" s="36">
        <v>349.39999999999998</v>
      </c>
    </row>
    <row r="4006" ht="12.75">
      <c r="A4006" s="19" t="s">
        <v>10460</v>
      </c>
      <c r="B4006" s="19">
        <v>6321</v>
      </c>
      <c r="C4006" s="20" t="s">
        <v>14474</v>
      </c>
      <c r="D4006" s="19" t="s">
        <v>31</v>
      </c>
      <c r="E4006" s="19" t="s">
        <v>10459</v>
      </c>
      <c r="F4006" s="21">
        <f t="shared" si="606"/>
        <v>499.10000000000002</v>
      </c>
      <c r="G4006" s="21">
        <f t="shared" si="606"/>
        <v>499.10000000000002</v>
      </c>
      <c r="H4006" s="21">
        <f t="shared" si="606"/>
        <v>499.10000000000002</v>
      </c>
      <c r="I4006" s="24" t="str">
        <f t="shared" si="607"/>
        <v xml:space="preserve">COM VALOR</v>
      </c>
      <c r="L4006" s="36">
        <v>499.10000000000002</v>
      </c>
      <c r="M4006" s="37">
        <v>499.10000000000002</v>
      </c>
      <c r="N4006" s="36">
        <v>499.10000000000002</v>
      </c>
    </row>
    <row r="4007" ht="12.75">
      <c r="A4007" s="19" t="s">
        <v>10460</v>
      </c>
      <c r="B4007" s="19">
        <v>6301</v>
      </c>
      <c r="C4007" s="20" t="s">
        <v>14475</v>
      </c>
      <c r="D4007" s="19" t="s">
        <v>31</v>
      </c>
      <c r="E4007" s="19" t="s">
        <v>10459</v>
      </c>
      <c r="F4007" s="21">
        <f t="shared" si="606"/>
        <v>1169.8399999999999</v>
      </c>
      <c r="G4007" s="21">
        <f t="shared" si="606"/>
        <v>1169.8399999999999</v>
      </c>
      <c r="H4007" s="21">
        <f t="shared" si="606"/>
        <v>1169.8399999999999</v>
      </c>
      <c r="I4007" s="24" t="str">
        <f t="shared" si="607"/>
        <v xml:space="preserve">COM VALOR</v>
      </c>
      <c r="L4007" s="36">
        <v>1169.8399999999999</v>
      </c>
      <c r="M4007" s="37">
        <v>1169.8399999999999</v>
      </c>
      <c r="N4007" s="36">
        <v>1169.8399999999999</v>
      </c>
    </row>
    <row r="4008" ht="25.5">
      <c r="A4008" s="19" t="s">
        <v>10460</v>
      </c>
      <c r="B4008" s="19">
        <v>7105</v>
      </c>
      <c r="C4008" s="20" t="s">
        <v>14476</v>
      </c>
      <c r="D4008" s="19" t="s">
        <v>31</v>
      </c>
      <c r="E4008" s="19" t="s">
        <v>10459</v>
      </c>
      <c r="F4008" s="21">
        <f t="shared" si="606"/>
        <v>46.119999999999997</v>
      </c>
      <c r="G4008" s="21">
        <f t="shared" si="606"/>
        <v>46.119999999999997</v>
      </c>
      <c r="H4008" s="21">
        <f t="shared" si="606"/>
        <v>46.119999999999997</v>
      </c>
      <c r="I4008" s="24" t="str">
        <f t="shared" si="607"/>
        <v xml:space="preserve">COM VALOR</v>
      </c>
      <c r="L4008" s="36">
        <v>46.119999999999997</v>
      </c>
      <c r="M4008" s="37">
        <v>46.119999999999997</v>
      </c>
      <c r="N4008" s="36">
        <v>46.119999999999997</v>
      </c>
    </row>
    <row r="4009" ht="25.5">
      <c r="A4009" s="19" t="s">
        <v>10460</v>
      </c>
      <c r="B4009" s="19">
        <v>20183</v>
      </c>
      <c r="C4009" s="20" t="s">
        <v>14477</v>
      </c>
      <c r="D4009" s="19" t="s">
        <v>31</v>
      </c>
      <c r="E4009" s="19" t="s">
        <v>10459</v>
      </c>
      <c r="F4009" s="21">
        <f t="shared" si="606"/>
        <v>56.82</v>
      </c>
      <c r="G4009" s="21">
        <f t="shared" si="606"/>
        <v>56.82</v>
      </c>
      <c r="H4009" s="21">
        <f t="shared" si="606"/>
        <v>56.82</v>
      </c>
      <c r="I4009" s="24" t="str">
        <f t="shared" si="607"/>
        <v xml:space="preserve">COM VALOR</v>
      </c>
      <c r="L4009" s="36">
        <v>56.82</v>
      </c>
      <c r="M4009" s="37">
        <v>56.82</v>
      </c>
      <c r="N4009" s="36">
        <v>56.82</v>
      </c>
    </row>
    <row r="4010" ht="25.5">
      <c r="A4010" s="19" t="s">
        <v>10460</v>
      </c>
      <c r="B4010" s="19">
        <v>38448</v>
      </c>
      <c r="C4010" s="20" t="s">
        <v>14478</v>
      </c>
      <c r="D4010" s="19" t="s">
        <v>31</v>
      </c>
      <c r="E4010" s="19" t="s">
        <v>10459</v>
      </c>
      <c r="F4010" s="21">
        <f t="shared" si="606"/>
        <v>257.86000000000001</v>
      </c>
      <c r="G4010" s="21">
        <f t="shared" si="606"/>
        <v>257.86000000000001</v>
      </c>
      <c r="H4010" s="21">
        <f t="shared" si="606"/>
        <v>257.86000000000001</v>
      </c>
      <c r="I4010" s="24" t="str">
        <f t="shared" si="607"/>
        <v xml:space="preserve">COM VALOR</v>
      </c>
      <c r="L4010" s="36">
        <v>257.86000000000001</v>
      </c>
      <c r="M4010" s="37">
        <v>257.86000000000001</v>
      </c>
      <c r="N4010" s="36">
        <v>257.86000000000001</v>
      </c>
    </row>
    <row r="4011" ht="25.5">
      <c r="A4011" s="19" t="s">
        <v>10460</v>
      </c>
      <c r="B4011" s="19">
        <v>20182</v>
      </c>
      <c r="C4011" s="20" t="s">
        <v>14479</v>
      </c>
      <c r="D4011" s="19" t="s">
        <v>31</v>
      </c>
      <c r="E4011" s="19" t="s">
        <v>10459</v>
      </c>
      <c r="F4011" s="21">
        <f t="shared" si="606"/>
        <v>33.039999999999999</v>
      </c>
      <c r="G4011" s="21">
        <f t="shared" si="606"/>
        <v>33.039999999999999</v>
      </c>
      <c r="H4011" s="21">
        <f t="shared" si="606"/>
        <v>33.039999999999999</v>
      </c>
      <c r="I4011" s="24" t="str">
        <f t="shared" si="607"/>
        <v xml:space="preserve">COM VALOR</v>
      </c>
      <c r="L4011" s="36">
        <v>33.039999999999999</v>
      </c>
      <c r="M4011" s="37">
        <v>33.039999999999999</v>
      </c>
      <c r="N4011" s="36">
        <v>33.039999999999999</v>
      </c>
    </row>
    <row r="4012" ht="25.5">
      <c r="A4012" s="19" t="s">
        <v>10460</v>
      </c>
      <c r="B4012" s="19">
        <v>7119</v>
      </c>
      <c r="C4012" s="20" t="s">
        <v>14480</v>
      </c>
      <c r="D4012" s="19" t="s">
        <v>31</v>
      </c>
      <c r="E4012" s="19" t="s">
        <v>10459</v>
      </c>
      <c r="F4012" s="21">
        <f t="shared" si="606"/>
        <v>11.76</v>
      </c>
      <c r="G4012" s="21">
        <f t="shared" si="606"/>
        <v>11.76</v>
      </c>
      <c r="H4012" s="21">
        <f t="shared" si="606"/>
        <v>11.76</v>
      </c>
      <c r="I4012" s="24" t="str">
        <f t="shared" si="607"/>
        <v xml:space="preserve">COM VALOR</v>
      </c>
      <c r="L4012" s="36">
        <v>11.76</v>
      </c>
      <c r="M4012" s="37">
        <v>11.76</v>
      </c>
      <c r="N4012" s="36">
        <v>11.76</v>
      </c>
    </row>
    <row r="4013" ht="25.5">
      <c r="A4013" s="19" t="s">
        <v>10460</v>
      </c>
      <c r="B4013" s="19">
        <v>7126</v>
      </c>
      <c r="C4013" s="20" t="s">
        <v>14481</v>
      </c>
      <c r="D4013" s="19" t="s">
        <v>31</v>
      </c>
      <c r="E4013" s="19" t="s">
        <v>10459</v>
      </c>
      <c r="F4013" s="21">
        <f t="shared" si="606"/>
        <v>23.989999999999998</v>
      </c>
      <c r="G4013" s="21">
        <f t="shared" si="606"/>
        <v>23.989999999999998</v>
      </c>
      <c r="H4013" s="21">
        <f t="shared" si="606"/>
        <v>23.989999999999998</v>
      </c>
      <c r="I4013" s="24" t="str">
        <f t="shared" si="607"/>
        <v xml:space="preserve">COM VALOR</v>
      </c>
      <c r="L4013" s="36">
        <v>23.989999999999998</v>
      </c>
      <c r="M4013" s="37">
        <v>23.989999999999998</v>
      </c>
      <c r="N4013" s="36">
        <v>23.989999999999998</v>
      </c>
    </row>
    <row r="4014" ht="25.5">
      <c r="A4014" s="19" t="s">
        <v>10460</v>
      </c>
      <c r="B4014" s="19">
        <v>7120</v>
      </c>
      <c r="C4014" s="20" t="s">
        <v>14482</v>
      </c>
      <c r="D4014" s="19" t="s">
        <v>31</v>
      </c>
      <c r="E4014" s="19" t="s">
        <v>10459</v>
      </c>
      <c r="F4014" s="21">
        <f t="shared" si="606"/>
        <v>9.0199999999999996</v>
      </c>
      <c r="G4014" s="21">
        <f t="shared" si="606"/>
        <v>9.0199999999999996</v>
      </c>
      <c r="H4014" s="21">
        <f t="shared" si="606"/>
        <v>9.0199999999999996</v>
      </c>
      <c r="I4014" s="24" t="str">
        <f t="shared" si="607"/>
        <v xml:space="preserve">COM VALOR</v>
      </c>
      <c r="L4014" s="36">
        <v>9.0199999999999996</v>
      </c>
      <c r="M4014" s="37">
        <v>9.0199999999999996</v>
      </c>
      <c r="N4014" s="36">
        <v>9.0199999999999996</v>
      </c>
    </row>
    <row r="4015" ht="25.5">
      <c r="A4015" s="19" t="s">
        <v>10460</v>
      </c>
      <c r="B4015" s="19">
        <v>6319</v>
      </c>
      <c r="C4015" s="20" t="s">
        <v>14483</v>
      </c>
      <c r="D4015" s="19" t="s">
        <v>31</v>
      </c>
      <c r="E4015" s="19" t="s">
        <v>10459</v>
      </c>
      <c r="F4015" s="21">
        <f t="shared" si="606"/>
        <v>55.270000000000003</v>
      </c>
      <c r="G4015" s="21">
        <f t="shared" si="606"/>
        <v>55.270000000000003</v>
      </c>
      <c r="H4015" s="21">
        <f t="shared" si="606"/>
        <v>55.270000000000003</v>
      </c>
      <c r="I4015" s="24" t="str">
        <f t="shared" si="607"/>
        <v xml:space="preserve">COM VALOR</v>
      </c>
      <c r="L4015" s="36">
        <v>55.270000000000003</v>
      </c>
      <c r="M4015" s="37">
        <v>55.270000000000003</v>
      </c>
      <c r="N4015" s="36">
        <v>55.270000000000003</v>
      </c>
    </row>
    <row r="4016" ht="25.5">
      <c r="A4016" s="19" t="s">
        <v>10460</v>
      </c>
      <c r="B4016" s="19">
        <v>6304</v>
      </c>
      <c r="C4016" s="20" t="s">
        <v>14484</v>
      </c>
      <c r="D4016" s="19" t="s">
        <v>31</v>
      </c>
      <c r="E4016" s="19" t="s">
        <v>10459</v>
      </c>
      <c r="F4016" s="21">
        <f t="shared" si="606"/>
        <v>55.270000000000003</v>
      </c>
      <c r="G4016" s="21">
        <f t="shared" si="606"/>
        <v>55.270000000000003</v>
      </c>
      <c r="H4016" s="21">
        <f t="shared" si="606"/>
        <v>55.270000000000003</v>
      </c>
      <c r="I4016" s="24" t="str">
        <f t="shared" si="607"/>
        <v xml:space="preserve">COM VALOR</v>
      </c>
      <c r="L4016" s="36">
        <v>55.270000000000003</v>
      </c>
      <c r="M4016" s="37">
        <v>55.270000000000003</v>
      </c>
      <c r="N4016" s="36">
        <v>55.270000000000003</v>
      </c>
    </row>
    <row r="4017" ht="25.5">
      <c r="A4017" s="19" t="s">
        <v>10460</v>
      </c>
      <c r="B4017" s="19">
        <v>21116</v>
      </c>
      <c r="C4017" s="20" t="s">
        <v>14485</v>
      </c>
      <c r="D4017" s="19" t="s">
        <v>31</v>
      </c>
      <c r="E4017" s="19" t="s">
        <v>10459</v>
      </c>
      <c r="F4017" s="21">
        <f t="shared" si="606"/>
        <v>41.850000000000001</v>
      </c>
      <c r="G4017" s="21">
        <f t="shared" si="606"/>
        <v>41.850000000000001</v>
      </c>
      <c r="H4017" s="21">
        <f t="shared" si="606"/>
        <v>41.850000000000001</v>
      </c>
      <c r="I4017" s="24" t="str">
        <f t="shared" si="607"/>
        <v xml:space="preserve">COM VALOR</v>
      </c>
      <c r="L4017" s="36">
        <v>41.850000000000001</v>
      </c>
      <c r="M4017" s="37">
        <v>41.850000000000001</v>
      </c>
      <c r="N4017" s="36">
        <v>41.850000000000001</v>
      </c>
    </row>
    <row r="4018" ht="25.5">
      <c r="A4018" s="19" t="s">
        <v>10460</v>
      </c>
      <c r="B4018" s="19">
        <v>6320</v>
      </c>
      <c r="C4018" s="20" t="s">
        <v>14486</v>
      </c>
      <c r="D4018" s="19" t="s">
        <v>31</v>
      </c>
      <c r="E4018" s="19" t="s">
        <v>10459</v>
      </c>
      <c r="F4018" s="21">
        <f t="shared" si="606"/>
        <v>28.460000000000001</v>
      </c>
      <c r="G4018" s="21">
        <f t="shared" si="606"/>
        <v>28.460000000000001</v>
      </c>
      <c r="H4018" s="21">
        <f t="shared" si="606"/>
        <v>28.460000000000001</v>
      </c>
      <c r="I4018" s="24" t="str">
        <f t="shared" si="607"/>
        <v xml:space="preserve">COM VALOR</v>
      </c>
      <c r="L4018" s="36">
        <v>28.460000000000001</v>
      </c>
      <c r="M4018" s="37">
        <v>28.460000000000001</v>
      </c>
      <c r="N4018" s="36">
        <v>28.460000000000001</v>
      </c>
    </row>
    <row r="4019" ht="25.5">
      <c r="A4019" s="19" t="s">
        <v>10460</v>
      </c>
      <c r="B4019" s="19">
        <v>6303</v>
      </c>
      <c r="C4019" s="20" t="s">
        <v>14487</v>
      </c>
      <c r="D4019" s="19" t="s">
        <v>31</v>
      </c>
      <c r="E4019" s="19" t="s">
        <v>10459</v>
      </c>
      <c r="F4019" s="21">
        <f t="shared" si="606"/>
        <v>28.460000000000001</v>
      </c>
      <c r="G4019" s="21">
        <f t="shared" si="606"/>
        <v>28.460000000000001</v>
      </c>
      <c r="H4019" s="21">
        <f t="shared" si="606"/>
        <v>28.460000000000001</v>
      </c>
      <c r="I4019" s="24" t="str">
        <f t="shared" si="607"/>
        <v xml:space="preserve">COM VALOR</v>
      </c>
      <c r="L4019" s="36">
        <v>28.460000000000001</v>
      </c>
      <c r="M4019" s="37">
        <v>28.460000000000001</v>
      </c>
      <c r="N4019" s="36">
        <v>28.460000000000001</v>
      </c>
    </row>
    <row r="4020" ht="25.5">
      <c r="A4020" s="19" t="s">
        <v>10460</v>
      </c>
      <c r="B4020" s="19">
        <v>6308</v>
      </c>
      <c r="C4020" s="20" t="s">
        <v>14488</v>
      </c>
      <c r="D4020" s="19" t="s">
        <v>31</v>
      </c>
      <c r="E4020" s="19" t="s">
        <v>10459</v>
      </c>
      <c r="F4020" s="21">
        <f t="shared" si="606"/>
        <v>152.94</v>
      </c>
      <c r="G4020" s="21">
        <f t="shared" si="606"/>
        <v>152.94</v>
      </c>
      <c r="H4020" s="21">
        <f t="shared" si="606"/>
        <v>152.94</v>
      </c>
      <c r="I4020" s="24" t="str">
        <f t="shared" si="607"/>
        <v xml:space="preserve">COM VALOR</v>
      </c>
      <c r="L4020" s="36">
        <v>152.94</v>
      </c>
      <c r="M4020" s="37">
        <v>152.94</v>
      </c>
      <c r="N4020" s="36">
        <v>152.94</v>
      </c>
    </row>
    <row r="4021" ht="25.5">
      <c r="A4021" s="19" t="s">
        <v>10460</v>
      </c>
      <c r="B4021" s="19">
        <v>6317</v>
      </c>
      <c r="C4021" s="20" t="s">
        <v>14489</v>
      </c>
      <c r="D4021" s="19" t="s">
        <v>31</v>
      </c>
      <c r="E4021" s="19" t="s">
        <v>10459</v>
      </c>
      <c r="F4021" s="21">
        <f t="shared" si="606"/>
        <v>152.94</v>
      </c>
      <c r="G4021" s="21">
        <f t="shared" si="606"/>
        <v>152.94</v>
      </c>
      <c r="H4021" s="21">
        <f t="shared" si="606"/>
        <v>152.94</v>
      </c>
      <c r="I4021" s="24" t="str">
        <f t="shared" si="607"/>
        <v xml:space="preserve">COM VALOR</v>
      </c>
      <c r="L4021" s="36">
        <v>152.94</v>
      </c>
      <c r="M4021" s="37">
        <v>152.94</v>
      </c>
      <c r="N4021" s="36">
        <v>152.94</v>
      </c>
    </row>
    <row r="4022" ht="25.5">
      <c r="A4022" s="19" t="s">
        <v>10460</v>
      </c>
      <c r="B4022" s="19">
        <v>6307</v>
      </c>
      <c r="C4022" s="20" t="s">
        <v>14490</v>
      </c>
      <c r="D4022" s="19" t="s">
        <v>31</v>
      </c>
      <c r="E4022" s="19" t="s">
        <v>10459</v>
      </c>
      <c r="F4022" s="21">
        <f t="shared" si="606"/>
        <v>152.94</v>
      </c>
      <c r="G4022" s="21">
        <f t="shared" si="606"/>
        <v>152.94</v>
      </c>
      <c r="H4022" s="21">
        <f t="shared" si="606"/>
        <v>152.94</v>
      </c>
      <c r="I4022" s="24" t="str">
        <f t="shared" si="607"/>
        <v xml:space="preserve">COM VALOR</v>
      </c>
      <c r="L4022" s="36">
        <v>152.94</v>
      </c>
      <c r="M4022" s="37">
        <v>152.94</v>
      </c>
      <c r="N4022" s="36">
        <v>152.94</v>
      </c>
    </row>
    <row r="4023" ht="25.5">
      <c r="A4023" s="19" t="s">
        <v>10460</v>
      </c>
      <c r="B4023" s="19">
        <v>6309</v>
      </c>
      <c r="C4023" s="20" t="s">
        <v>14491</v>
      </c>
      <c r="D4023" s="19" t="s">
        <v>31</v>
      </c>
      <c r="E4023" s="19" t="s">
        <v>10459</v>
      </c>
      <c r="F4023" s="21">
        <f t="shared" si="606"/>
        <v>157.38</v>
      </c>
      <c r="G4023" s="21">
        <f t="shared" si="606"/>
        <v>157.38</v>
      </c>
      <c r="H4023" s="21">
        <f t="shared" si="606"/>
        <v>157.38</v>
      </c>
      <c r="I4023" s="24" t="str">
        <f t="shared" si="607"/>
        <v xml:space="preserve">COM VALOR</v>
      </c>
      <c r="L4023" s="36">
        <v>157.38</v>
      </c>
      <c r="M4023" s="37">
        <v>157.38</v>
      </c>
      <c r="N4023" s="36">
        <v>157.38</v>
      </c>
    </row>
    <row r="4024" ht="25.5">
      <c r="A4024" s="19" t="s">
        <v>10460</v>
      </c>
      <c r="B4024" s="19">
        <v>6318</v>
      </c>
      <c r="C4024" s="20" t="s">
        <v>14492</v>
      </c>
      <c r="D4024" s="19" t="s">
        <v>31</v>
      </c>
      <c r="E4024" s="19" t="s">
        <v>10459</v>
      </c>
      <c r="F4024" s="21">
        <f t="shared" si="606"/>
        <v>82.5</v>
      </c>
      <c r="G4024" s="21">
        <f t="shared" si="606"/>
        <v>82.5</v>
      </c>
      <c r="H4024" s="21">
        <f t="shared" si="606"/>
        <v>82.5</v>
      </c>
      <c r="I4024" s="24" t="str">
        <f t="shared" si="607"/>
        <v xml:space="preserve">COM VALOR</v>
      </c>
      <c r="L4024" s="36">
        <v>82.5</v>
      </c>
      <c r="M4024" s="37">
        <v>82.5</v>
      </c>
      <c r="N4024" s="36">
        <v>82.5</v>
      </c>
    </row>
    <row r="4025" ht="25.5">
      <c r="A4025" s="19" t="s">
        <v>10460</v>
      </c>
      <c r="B4025" s="19">
        <v>6306</v>
      </c>
      <c r="C4025" s="20" t="s">
        <v>14493</v>
      </c>
      <c r="D4025" s="19" t="s">
        <v>31</v>
      </c>
      <c r="E4025" s="19" t="s">
        <v>10459</v>
      </c>
      <c r="F4025" s="21">
        <f t="shared" si="606"/>
        <v>82.5</v>
      </c>
      <c r="G4025" s="21">
        <f t="shared" si="606"/>
        <v>82.5</v>
      </c>
      <c r="H4025" s="21">
        <f t="shared" si="606"/>
        <v>82.5</v>
      </c>
      <c r="I4025" s="24" t="str">
        <f t="shared" si="607"/>
        <v xml:space="preserve">COM VALOR</v>
      </c>
      <c r="L4025" s="36">
        <v>82.5</v>
      </c>
      <c r="M4025" s="37">
        <v>82.5</v>
      </c>
      <c r="N4025" s="36">
        <v>82.5</v>
      </c>
    </row>
    <row r="4026" ht="25.5">
      <c r="A4026" s="19" t="s">
        <v>10460</v>
      </c>
      <c r="B4026" s="19">
        <v>6305</v>
      </c>
      <c r="C4026" s="20" t="s">
        <v>14494</v>
      </c>
      <c r="D4026" s="19" t="s">
        <v>31</v>
      </c>
      <c r="E4026" s="19" t="s">
        <v>10459</v>
      </c>
      <c r="F4026" s="21">
        <f t="shared" si="606"/>
        <v>82.5</v>
      </c>
      <c r="G4026" s="21">
        <f t="shared" si="606"/>
        <v>82.5</v>
      </c>
      <c r="H4026" s="21">
        <f t="shared" si="606"/>
        <v>82.5</v>
      </c>
      <c r="I4026" s="24" t="str">
        <f t="shared" si="607"/>
        <v xml:space="preserve">COM VALOR</v>
      </c>
      <c r="L4026" s="36">
        <v>82.5</v>
      </c>
      <c r="M4026" s="37">
        <v>82.5</v>
      </c>
      <c r="N4026" s="36">
        <v>82.5</v>
      </c>
    </row>
    <row r="4027" ht="25.5">
      <c r="A4027" s="19" t="s">
        <v>10460</v>
      </c>
      <c r="B4027" s="19">
        <v>6312</v>
      </c>
      <c r="C4027" s="20" t="s">
        <v>14495</v>
      </c>
      <c r="D4027" s="19" t="s">
        <v>31</v>
      </c>
      <c r="E4027" s="19" t="s">
        <v>10459</v>
      </c>
      <c r="F4027" s="21">
        <f t="shared" si="606"/>
        <v>219.99000000000001</v>
      </c>
      <c r="G4027" s="21">
        <f t="shared" si="606"/>
        <v>219.99000000000001</v>
      </c>
      <c r="H4027" s="21">
        <f t="shared" si="606"/>
        <v>219.99000000000001</v>
      </c>
      <c r="I4027" s="24" t="str">
        <f t="shared" si="607"/>
        <v xml:space="preserve">COM VALOR</v>
      </c>
      <c r="L4027" s="36">
        <v>219.99000000000001</v>
      </c>
      <c r="M4027" s="37">
        <v>219.99000000000001</v>
      </c>
      <c r="N4027" s="36">
        <v>219.99000000000001</v>
      </c>
    </row>
    <row r="4028" ht="25.5">
      <c r="A4028" s="19" t="s">
        <v>10460</v>
      </c>
      <c r="B4028" s="19">
        <v>6311</v>
      </c>
      <c r="C4028" s="20" t="s">
        <v>14496</v>
      </c>
      <c r="D4028" s="19" t="s">
        <v>31</v>
      </c>
      <c r="E4028" s="19" t="s">
        <v>10459</v>
      </c>
      <c r="F4028" s="21">
        <f t="shared" si="606"/>
        <v>219.99000000000001</v>
      </c>
      <c r="G4028" s="21">
        <f t="shared" si="606"/>
        <v>219.99000000000001</v>
      </c>
      <c r="H4028" s="21">
        <f t="shared" si="606"/>
        <v>219.99000000000001</v>
      </c>
      <c r="I4028" s="24" t="str">
        <f t="shared" si="607"/>
        <v xml:space="preserve">COM VALOR</v>
      </c>
      <c r="L4028" s="36">
        <v>219.99000000000001</v>
      </c>
      <c r="M4028" s="37">
        <v>219.99000000000001</v>
      </c>
      <c r="N4028" s="36">
        <v>219.99000000000001</v>
      </c>
    </row>
    <row r="4029" ht="25.5">
      <c r="A4029" s="19" t="s">
        <v>10460</v>
      </c>
      <c r="B4029" s="19">
        <v>6310</v>
      </c>
      <c r="C4029" s="20" t="s">
        <v>14497</v>
      </c>
      <c r="D4029" s="19" t="s">
        <v>31</v>
      </c>
      <c r="E4029" s="19" t="s">
        <v>10459</v>
      </c>
      <c r="F4029" s="21">
        <f t="shared" si="606"/>
        <v>219.99000000000001</v>
      </c>
      <c r="G4029" s="21">
        <f t="shared" si="606"/>
        <v>219.99000000000001</v>
      </c>
      <c r="H4029" s="21">
        <f t="shared" si="606"/>
        <v>219.99000000000001</v>
      </c>
      <c r="I4029" s="24" t="str">
        <f t="shared" si="607"/>
        <v xml:space="preserve">COM VALOR</v>
      </c>
      <c r="L4029" s="36">
        <v>219.99000000000001</v>
      </c>
      <c r="M4029" s="37">
        <v>219.99000000000001</v>
      </c>
      <c r="N4029" s="36">
        <v>219.99000000000001</v>
      </c>
    </row>
    <row r="4030" ht="25.5">
      <c r="A4030" s="19" t="s">
        <v>10460</v>
      </c>
      <c r="B4030" s="19">
        <v>6314</v>
      </c>
      <c r="C4030" s="20" t="s">
        <v>14498</v>
      </c>
      <c r="D4030" s="19" t="s">
        <v>31</v>
      </c>
      <c r="E4030" s="19" t="s">
        <v>10459</v>
      </c>
      <c r="F4030" s="21">
        <f t="shared" si="606"/>
        <v>219.99000000000001</v>
      </c>
      <c r="G4030" s="21">
        <f t="shared" si="606"/>
        <v>219.99000000000001</v>
      </c>
      <c r="H4030" s="21">
        <f t="shared" si="606"/>
        <v>219.99000000000001</v>
      </c>
      <c r="I4030" s="24" t="str">
        <f t="shared" si="607"/>
        <v xml:space="preserve">COM VALOR</v>
      </c>
      <c r="L4030" s="36">
        <v>219.99000000000001</v>
      </c>
      <c r="M4030" s="37">
        <v>219.99000000000001</v>
      </c>
      <c r="N4030" s="36">
        <v>219.99000000000001</v>
      </c>
    </row>
    <row r="4031" ht="25.5">
      <c r="A4031" s="19" t="s">
        <v>10460</v>
      </c>
      <c r="B4031" s="19">
        <v>6313</v>
      </c>
      <c r="C4031" s="20" t="s">
        <v>14499</v>
      </c>
      <c r="D4031" s="19" t="s">
        <v>31</v>
      </c>
      <c r="E4031" s="19" t="s">
        <v>10459</v>
      </c>
      <c r="F4031" s="21">
        <f t="shared" si="606"/>
        <v>219.99000000000001</v>
      </c>
      <c r="G4031" s="21">
        <f t="shared" si="606"/>
        <v>219.99000000000001</v>
      </c>
      <c r="H4031" s="21">
        <f t="shared" si="606"/>
        <v>219.99000000000001</v>
      </c>
      <c r="I4031" s="24" t="str">
        <f t="shared" si="607"/>
        <v xml:space="preserve">COM VALOR</v>
      </c>
      <c r="L4031" s="36">
        <v>219.99000000000001</v>
      </c>
      <c r="M4031" s="37">
        <v>219.99000000000001</v>
      </c>
      <c r="N4031" s="36">
        <v>219.99000000000001</v>
      </c>
    </row>
    <row r="4032" ht="25.5">
      <c r="A4032" s="19" t="s">
        <v>10460</v>
      </c>
      <c r="B4032" s="19">
        <v>6302</v>
      </c>
      <c r="C4032" s="20" t="s">
        <v>14500</v>
      </c>
      <c r="D4032" s="19" t="s">
        <v>31</v>
      </c>
      <c r="E4032" s="19" t="s">
        <v>10459</v>
      </c>
      <c r="F4032" s="21">
        <f t="shared" si="606"/>
        <v>17.5</v>
      </c>
      <c r="G4032" s="21">
        <f t="shared" si="606"/>
        <v>17.5</v>
      </c>
      <c r="H4032" s="21">
        <f t="shared" si="606"/>
        <v>17.5</v>
      </c>
      <c r="I4032" s="24" t="str">
        <f t="shared" si="607"/>
        <v xml:space="preserve">COM VALOR</v>
      </c>
      <c r="L4032" s="36">
        <v>17.5</v>
      </c>
      <c r="M4032" s="37">
        <v>17.5</v>
      </c>
      <c r="N4032" s="36">
        <v>17.5</v>
      </c>
    </row>
    <row r="4033" ht="25.5">
      <c r="A4033" s="19" t="s">
        <v>10460</v>
      </c>
      <c r="B4033" s="19">
        <v>6315</v>
      </c>
      <c r="C4033" s="20" t="s">
        <v>14501</v>
      </c>
      <c r="D4033" s="19" t="s">
        <v>31</v>
      </c>
      <c r="E4033" s="19" t="s">
        <v>10459</v>
      </c>
      <c r="F4033" s="21">
        <f t="shared" si="606"/>
        <v>416.54000000000002</v>
      </c>
      <c r="G4033" s="21">
        <f t="shared" si="606"/>
        <v>416.54000000000002</v>
      </c>
      <c r="H4033" s="21">
        <f t="shared" si="606"/>
        <v>416.54000000000002</v>
      </c>
      <c r="I4033" s="24" t="str">
        <f t="shared" si="607"/>
        <v xml:space="preserve">COM VALOR</v>
      </c>
      <c r="L4033" s="36">
        <v>416.54000000000002</v>
      </c>
      <c r="M4033" s="37">
        <v>416.54000000000002</v>
      </c>
      <c r="N4033" s="36">
        <v>416.54000000000002</v>
      </c>
    </row>
    <row r="4034" ht="25.5">
      <c r="A4034" s="19" t="s">
        <v>10460</v>
      </c>
      <c r="B4034" s="19">
        <v>6316</v>
      </c>
      <c r="C4034" s="20" t="s">
        <v>14502</v>
      </c>
      <c r="D4034" s="19" t="s">
        <v>31</v>
      </c>
      <c r="E4034" s="19" t="s">
        <v>10459</v>
      </c>
      <c r="F4034" s="21">
        <f t="shared" si="606"/>
        <v>416.54000000000002</v>
      </c>
      <c r="G4034" s="21">
        <f t="shared" si="606"/>
        <v>416.54000000000002</v>
      </c>
      <c r="H4034" s="21">
        <f t="shared" si="606"/>
        <v>416.54000000000002</v>
      </c>
      <c r="I4034" s="24" t="str">
        <f t="shared" si="607"/>
        <v xml:space="preserve">COM VALOR</v>
      </c>
      <c r="L4034" s="36">
        <v>416.54000000000002</v>
      </c>
      <c r="M4034" s="37">
        <v>416.54000000000002</v>
      </c>
      <c r="N4034" s="36">
        <v>416.54000000000002</v>
      </c>
    </row>
    <row r="4035" ht="25.5">
      <c r="A4035" s="19" t="s">
        <v>10460</v>
      </c>
      <c r="B4035" s="19">
        <v>39324</v>
      </c>
      <c r="C4035" s="20" t="s">
        <v>14503</v>
      </c>
      <c r="D4035" s="19" t="s">
        <v>31</v>
      </c>
      <c r="E4035" s="19" t="s">
        <v>10459</v>
      </c>
      <c r="F4035" s="21">
        <f t="shared" si="606"/>
        <v>5.7999999999999998</v>
      </c>
      <c r="G4035" s="21">
        <f t="shared" si="606"/>
        <v>5.7999999999999998</v>
      </c>
      <c r="H4035" s="21">
        <f t="shared" si="606"/>
        <v>5.7999999999999998</v>
      </c>
      <c r="I4035" s="24" t="str">
        <f t="shared" si="607"/>
        <v xml:space="preserve">COM VALOR</v>
      </c>
      <c r="L4035" s="36">
        <v>5.7999999999999998</v>
      </c>
      <c r="M4035" s="37">
        <v>5.7999999999999998</v>
      </c>
      <c r="N4035" s="36">
        <v>5.7999999999999998</v>
      </c>
    </row>
    <row r="4036" ht="25.5">
      <c r="A4036" s="19" t="s">
        <v>10460</v>
      </c>
      <c r="B4036" s="19">
        <v>39325</v>
      </c>
      <c r="C4036" s="20" t="s">
        <v>14504</v>
      </c>
      <c r="D4036" s="19" t="s">
        <v>31</v>
      </c>
      <c r="E4036" s="19" t="s">
        <v>10459</v>
      </c>
      <c r="F4036" s="21">
        <f t="shared" si="606"/>
        <v>8.75</v>
      </c>
      <c r="G4036" s="21">
        <f t="shared" si="606"/>
        <v>8.75</v>
      </c>
      <c r="H4036" s="21">
        <f t="shared" si="606"/>
        <v>8.75</v>
      </c>
      <c r="I4036" s="24" t="str">
        <f t="shared" si="607"/>
        <v xml:space="preserve">COM VALOR</v>
      </c>
      <c r="L4036" s="36">
        <v>8.75</v>
      </c>
      <c r="M4036" s="37">
        <v>8.75</v>
      </c>
      <c r="N4036" s="36">
        <v>8.75</v>
      </c>
    </row>
    <row r="4037" ht="25.5">
      <c r="A4037" s="19" t="s">
        <v>10460</v>
      </c>
      <c r="B4037" s="19">
        <v>39326</v>
      </c>
      <c r="C4037" s="20" t="s">
        <v>14505</v>
      </c>
      <c r="D4037" s="19" t="s">
        <v>31</v>
      </c>
      <c r="E4037" s="19" t="s">
        <v>10459</v>
      </c>
      <c r="F4037" s="21">
        <f t="shared" si="606"/>
        <v>31.390000000000001</v>
      </c>
      <c r="G4037" s="21">
        <f t="shared" si="606"/>
        <v>31.390000000000001</v>
      </c>
      <c r="H4037" s="21">
        <f t="shared" si="606"/>
        <v>31.390000000000001</v>
      </c>
      <c r="I4037" s="24" t="str">
        <f t="shared" si="607"/>
        <v xml:space="preserve">COM VALOR</v>
      </c>
      <c r="L4037" s="36">
        <v>31.390000000000001</v>
      </c>
      <c r="M4037" s="37">
        <v>31.390000000000001</v>
      </c>
      <c r="N4037" s="36">
        <v>31.390000000000001</v>
      </c>
    </row>
    <row r="4038" ht="25.5">
      <c r="A4038" s="19" t="s">
        <v>10460</v>
      </c>
      <c r="B4038" s="19">
        <v>39327</v>
      </c>
      <c r="C4038" s="20" t="s">
        <v>14506</v>
      </c>
      <c r="D4038" s="19" t="s">
        <v>31</v>
      </c>
      <c r="E4038" s="19" t="s">
        <v>10459</v>
      </c>
      <c r="F4038" s="21">
        <f t="shared" si="606"/>
        <v>47.350000000000001</v>
      </c>
      <c r="G4038" s="21">
        <f t="shared" si="606"/>
        <v>47.350000000000001</v>
      </c>
      <c r="H4038" s="21">
        <f t="shared" si="606"/>
        <v>47.350000000000001</v>
      </c>
      <c r="I4038" s="24" t="str">
        <f t="shared" si="607"/>
        <v xml:space="preserve">COM VALOR</v>
      </c>
      <c r="L4038" s="36">
        <v>47.350000000000001</v>
      </c>
      <c r="M4038" s="37">
        <v>47.350000000000001</v>
      </c>
      <c r="N4038" s="36">
        <v>47.350000000000001</v>
      </c>
    </row>
    <row r="4039" ht="25.5">
      <c r="A4039" s="19" t="s">
        <v>10460</v>
      </c>
      <c r="B4039" s="19">
        <v>11378</v>
      </c>
      <c r="C4039" s="20" t="s">
        <v>14507</v>
      </c>
      <c r="D4039" s="19" t="s">
        <v>31</v>
      </c>
      <c r="E4039" s="19" t="s">
        <v>10459</v>
      </c>
      <c r="F4039" s="21">
        <f t="shared" si="606"/>
        <v>75.879999999999995</v>
      </c>
      <c r="G4039" s="21">
        <f t="shared" si="606"/>
        <v>75.879999999999995</v>
      </c>
      <c r="H4039" s="21">
        <f t="shared" si="606"/>
        <v>75.879999999999995</v>
      </c>
      <c r="I4039" s="24" t="str">
        <f t="shared" si="607"/>
        <v xml:space="preserve">COM VALOR</v>
      </c>
      <c r="L4039" s="36">
        <v>75.879999999999995</v>
      </c>
      <c r="M4039" s="37">
        <v>75.879999999999995</v>
      </c>
      <c r="N4039" s="36">
        <v>75.879999999999995</v>
      </c>
    </row>
    <row r="4040" ht="25.5">
      <c r="A4040" s="19" t="s">
        <v>10460</v>
      </c>
      <c r="B4040" s="19">
        <v>11379</v>
      </c>
      <c r="C4040" s="20" t="s">
        <v>14508</v>
      </c>
      <c r="D4040" s="19" t="s">
        <v>31</v>
      </c>
      <c r="E4040" s="19" t="s">
        <v>10459</v>
      </c>
      <c r="F4040" s="21">
        <f t="shared" si="606"/>
        <v>64.120000000000005</v>
      </c>
      <c r="G4040" s="21">
        <f t="shared" si="606"/>
        <v>64.120000000000005</v>
      </c>
      <c r="H4040" s="21">
        <f t="shared" si="606"/>
        <v>64.120000000000005</v>
      </c>
      <c r="I4040" s="24" t="str">
        <f t="shared" si="607"/>
        <v xml:space="preserve">COM VALOR</v>
      </c>
      <c r="L4040" s="36">
        <v>64.120000000000005</v>
      </c>
      <c r="M4040" s="37">
        <v>64.120000000000005</v>
      </c>
      <c r="N4040" s="36">
        <v>64.120000000000005</v>
      </c>
    </row>
    <row r="4041" ht="25.5">
      <c r="A4041" s="19" t="s">
        <v>10460</v>
      </c>
      <c r="B4041" s="19">
        <v>11493</v>
      </c>
      <c r="C4041" s="20" t="s">
        <v>14509</v>
      </c>
      <c r="D4041" s="19" t="s">
        <v>31</v>
      </c>
      <c r="E4041" s="19" t="s">
        <v>10459</v>
      </c>
      <c r="F4041" s="21">
        <f t="shared" si="606"/>
        <v>36.979999999999997</v>
      </c>
      <c r="G4041" s="21">
        <f t="shared" si="606"/>
        <v>36.979999999999997</v>
      </c>
      <c r="H4041" s="21">
        <f t="shared" si="606"/>
        <v>36.979999999999997</v>
      </c>
      <c r="I4041" s="24" t="str">
        <f t="shared" si="607"/>
        <v xml:space="preserve">COM VALOR</v>
      </c>
      <c r="L4041" s="36">
        <v>36.979999999999997</v>
      </c>
      <c r="M4041" s="37">
        <v>36.979999999999997</v>
      </c>
      <c r="N4041" s="36">
        <v>36.979999999999997</v>
      </c>
    </row>
    <row r="4042" ht="25.5">
      <c r="A4042" s="19" t="s">
        <v>10460</v>
      </c>
      <c r="B4042" s="19">
        <v>7106</v>
      </c>
      <c r="C4042" s="20" t="s">
        <v>14510</v>
      </c>
      <c r="D4042" s="19" t="s">
        <v>31</v>
      </c>
      <c r="E4042" s="19" t="s">
        <v>10459</v>
      </c>
      <c r="F4042" s="21">
        <f t="shared" si="606"/>
        <v>148.44999999999999</v>
      </c>
      <c r="G4042" s="21">
        <f t="shared" si="606"/>
        <v>148.44999999999999</v>
      </c>
      <c r="H4042" s="21">
        <f t="shared" si="606"/>
        <v>148.44999999999999</v>
      </c>
      <c r="I4042" s="24" t="str">
        <f t="shared" si="607"/>
        <v xml:space="preserve">COM VALOR</v>
      </c>
      <c r="L4042" s="36">
        <v>148.44999999999999</v>
      </c>
      <c r="M4042" s="37">
        <v>148.44999999999999</v>
      </c>
      <c r="N4042" s="36">
        <v>148.44999999999999</v>
      </c>
    </row>
    <row r="4043" ht="25.5">
      <c r="A4043" s="19" t="s">
        <v>10460</v>
      </c>
      <c r="B4043" s="19">
        <v>7104</v>
      </c>
      <c r="C4043" s="20" t="s">
        <v>14511</v>
      </c>
      <c r="D4043" s="19" t="s">
        <v>31</v>
      </c>
      <c r="E4043" s="19" t="s">
        <v>10459</v>
      </c>
      <c r="F4043" s="21">
        <f t="shared" ref="F4043:H4106" si="608">IF(L4043=0,"VERIFICAR",L4043)</f>
        <v>4</v>
      </c>
      <c r="G4043" s="21">
        <f t="shared" si="608"/>
        <v>4</v>
      </c>
      <c r="H4043" s="21">
        <f t="shared" si="608"/>
        <v>4</v>
      </c>
      <c r="I4043" s="24" t="str">
        <f t="shared" ref="I4043:I4106" si="609">IF(OR(L4043=0,M4043=0,N4043=0),"SEM VALOR","COM VALOR")</f>
        <v xml:space="preserve">COM VALOR</v>
      </c>
      <c r="L4043" s="36">
        <v>4</v>
      </c>
      <c r="M4043" s="37">
        <v>4</v>
      </c>
      <c r="N4043" s="36">
        <v>4</v>
      </c>
    </row>
    <row r="4044" ht="25.5">
      <c r="A4044" s="19" t="s">
        <v>10460</v>
      </c>
      <c r="B4044" s="19">
        <v>7136</v>
      </c>
      <c r="C4044" s="20" t="s">
        <v>14512</v>
      </c>
      <c r="D4044" s="19" t="s">
        <v>31</v>
      </c>
      <c r="E4044" s="19" t="s">
        <v>10459</v>
      </c>
      <c r="F4044" s="21">
        <f t="shared" si="608"/>
        <v>6.9699999999999998</v>
      </c>
      <c r="G4044" s="21">
        <f t="shared" si="608"/>
        <v>6.9699999999999998</v>
      </c>
      <c r="H4044" s="21">
        <f t="shared" si="608"/>
        <v>6.9699999999999998</v>
      </c>
      <c r="I4044" s="24" t="str">
        <f t="shared" si="609"/>
        <v xml:space="preserve">COM VALOR</v>
      </c>
      <c r="L4044" s="36">
        <v>6.9699999999999998</v>
      </c>
      <c r="M4044" s="37">
        <v>6.9699999999999998</v>
      </c>
      <c r="N4044" s="36">
        <v>6.9699999999999998</v>
      </c>
    </row>
    <row r="4045" ht="25.5">
      <c r="A4045" s="19" t="s">
        <v>10460</v>
      </c>
      <c r="B4045" s="19">
        <v>7128</v>
      </c>
      <c r="C4045" s="20" t="s">
        <v>14513</v>
      </c>
      <c r="D4045" s="19" t="s">
        <v>31</v>
      </c>
      <c r="E4045" s="19" t="s">
        <v>10459</v>
      </c>
      <c r="F4045" s="21">
        <f t="shared" si="608"/>
        <v>9.0399999999999991</v>
      </c>
      <c r="G4045" s="21">
        <f t="shared" si="608"/>
        <v>9.0399999999999991</v>
      </c>
      <c r="H4045" s="21">
        <f t="shared" si="608"/>
        <v>9.0399999999999991</v>
      </c>
      <c r="I4045" s="24" t="str">
        <f t="shared" si="609"/>
        <v xml:space="preserve">COM VALOR</v>
      </c>
      <c r="J4045" s="38"/>
      <c r="L4045" s="36">
        <v>9.0399999999999991</v>
      </c>
      <c r="M4045" s="37">
        <v>9.0399999999999991</v>
      </c>
      <c r="N4045" s="36">
        <v>9.0399999999999991</v>
      </c>
    </row>
    <row r="4046" ht="25.5">
      <c r="A4046" s="19" t="s">
        <v>10460</v>
      </c>
      <c r="B4046" s="19">
        <v>7108</v>
      </c>
      <c r="C4046" s="20" t="s">
        <v>14514</v>
      </c>
      <c r="D4046" s="19" t="s">
        <v>31</v>
      </c>
      <c r="E4046" s="19" t="s">
        <v>10459</v>
      </c>
      <c r="F4046" s="21">
        <f t="shared" si="608"/>
        <v>9.0199999999999996</v>
      </c>
      <c r="G4046" s="21">
        <f t="shared" si="608"/>
        <v>9.0199999999999996</v>
      </c>
      <c r="H4046" s="21">
        <f t="shared" si="608"/>
        <v>9.0199999999999996</v>
      </c>
      <c r="I4046" s="24" t="str">
        <f t="shared" si="609"/>
        <v xml:space="preserve">COM VALOR</v>
      </c>
      <c r="L4046" s="36">
        <v>9.0199999999999996</v>
      </c>
      <c r="M4046" s="37">
        <v>9.0199999999999996</v>
      </c>
      <c r="N4046" s="36">
        <v>9.0199999999999996</v>
      </c>
    </row>
    <row r="4047" ht="25.5">
      <c r="A4047" s="19" t="s">
        <v>10460</v>
      </c>
      <c r="B4047" s="19">
        <v>7129</v>
      </c>
      <c r="C4047" s="20" t="s">
        <v>14515</v>
      </c>
      <c r="D4047" s="19" t="s">
        <v>31</v>
      </c>
      <c r="E4047" s="19" t="s">
        <v>10459</v>
      </c>
      <c r="F4047" s="21">
        <f t="shared" si="608"/>
        <v>10.609999999999999</v>
      </c>
      <c r="G4047" s="21">
        <f t="shared" si="608"/>
        <v>10.609999999999999</v>
      </c>
      <c r="H4047" s="21">
        <f t="shared" si="608"/>
        <v>10.609999999999999</v>
      </c>
      <c r="I4047" s="24" t="str">
        <f t="shared" si="609"/>
        <v xml:space="preserve">COM VALOR</v>
      </c>
      <c r="L4047" s="36">
        <v>10.609999999999999</v>
      </c>
      <c r="M4047" s="37">
        <v>10.609999999999999</v>
      </c>
      <c r="N4047" s="36">
        <v>10.609999999999999</v>
      </c>
    </row>
    <row r="4048" ht="25.5">
      <c r="A4048" s="19" t="s">
        <v>10460</v>
      </c>
      <c r="B4048" s="19">
        <v>7130</v>
      </c>
      <c r="C4048" s="20" t="s">
        <v>14516</v>
      </c>
      <c r="D4048" s="19" t="s">
        <v>31</v>
      </c>
      <c r="E4048" s="19" t="s">
        <v>10459</v>
      </c>
      <c r="F4048" s="21">
        <f t="shared" si="608"/>
        <v>15.42</v>
      </c>
      <c r="G4048" s="21">
        <f t="shared" si="608"/>
        <v>15.42</v>
      </c>
      <c r="H4048" s="21">
        <f t="shared" si="608"/>
        <v>15.42</v>
      </c>
      <c r="I4048" s="24" t="str">
        <f t="shared" si="609"/>
        <v xml:space="preserve">COM VALOR</v>
      </c>
      <c r="L4048" s="36">
        <v>15.42</v>
      </c>
      <c r="M4048" s="37">
        <v>15.42</v>
      </c>
      <c r="N4048" s="36">
        <v>15.42</v>
      </c>
    </row>
    <row r="4049" ht="25.5">
      <c r="A4049" s="19" t="s">
        <v>10460</v>
      </c>
      <c r="B4049" s="19">
        <v>7131</v>
      </c>
      <c r="C4049" s="20" t="s">
        <v>14517</v>
      </c>
      <c r="D4049" s="19" t="s">
        <v>31</v>
      </c>
      <c r="E4049" s="19" t="s">
        <v>10459</v>
      </c>
      <c r="F4049" s="21">
        <f t="shared" si="608"/>
        <v>18.859999999999999</v>
      </c>
      <c r="G4049" s="21">
        <f t="shared" si="608"/>
        <v>18.859999999999999</v>
      </c>
      <c r="H4049" s="21">
        <f t="shared" si="608"/>
        <v>18.859999999999999</v>
      </c>
      <c r="I4049" s="24" t="str">
        <f t="shared" si="609"/>
        <v xml:space="preserve">COM VALOR</v>
      </c>
      <c r="L4049" s="36">
        <v>18.859999999999999</v>
      </c>
      <c r="M4049" s="37">
        <v>18.859999999999999</v>
      </c>
      <c r="N4049" s="36">
        <v>18.859999999999999</v>
      </c>
    </row>
    <row r="4050" ht="25.5">
      <c r="A4050" s="19" t="s">
        <v>10460</v>
      </c>
      <c r="B4050" s="19">
        <v>7132</v>
      </c>
      <c r="C4050" s="20" t="s">
        <v>14518</v>
      </c>
      <c r="D4050" s="19" t="s">
        <v>31</v>
      </c>
      <c r="E4050" s="19" t="s">
        <v>10459</v>
      </c>
      <c r="F4050" s="21">
        <f t="shared" si="608"/>
        <v>44.409999999999997</v>
      </c>
      <c r="G4050" s="21">
        <f t="shared" si="608"/>
        <v>44.409999999999997</v>
      </c>
      <c r="H4050" s="21">
        <f t="shared" si="608"/>
        <v>44.409999999999997</v>
      </c>
      <c r="I4050" s="24" t="str">
        <f t="shared" si="609"/>
        <v xml:space="preserve">COM VALOR</v>
      </c>
      <c r="L4050" s="36">
        <v>44.409999999999997</v>
      </c>
      <c r="M4050" s="37">
        <v>44.409999999999997</v>
      </c>
      <c r="N4050" s="36">
        <v>44.409999999999997</v>
      </c>
    </row>
    <row r="4051" ht="25.5">
      <c r="A4051" s="19" t="s">
        <v>10460</v>
      </c>
      <c r="B4051" s="19">
        <v>7133</v>
      </c>
      <c r="C4051" s="20" t="s">
        <v>14519</v>
      </c>
      <c r="D4051" s="19" t="s">
        <v>31</v>
      </c>
      <c r="E4051" s="19" t="s">
        <v>10459</v>
      </c>
      <c r="F4051" s="21">
        <f t="shared" si="608"/>
        <v>102.61</v>
      </c>
      <c r="G4051" s="21">
        <f t="shared" si="608"/>
        <v>102.61</v>
      </c>
      <c r="H4051" s="21">
        <f t="shared" si="608"/>
        <v>102.61</v>
      </c>
      <c r="I4051" s="24" t="str">
        <f t="shared" si="609"/>
        <v xml:space="preserve">COM VALOR</v>
      </c>
      <c r="L4051" s="36">
        <v>102.61</v>
      </c>
      <c r="M4051" s="37">
        <v>102.61</v>
      </c>
      <c r="N4051" s="36">
        <v>102.61</v>
      </c>
    </row>
    <row r="4052" ht="25.5">
      <c r="A4052" s="19" t="s">
        <v>10460</v>
      </c>
      <c r="B4052" s="19">
        <v>37422</v>
      </c>
      <c r="C4052" s="20" t="s">
        <v>14520</v>
      </c>
      <c r="D4052" s="19" t="s">
        <v>31</v>
      </c>
      <c r="E4052" s="19" t="s">
        <v>10459</v>
      </c>
      <c r="F4052" s="21" t="str">
        <f t="shared" si="608"/>
        <v>VERIFICAR</v>
      </c>
      <c r="G4052" s="21" t="str">
        <f t="shared" si="608"/>
        <v>VERIFICAR</v>
      </c>
      <c r="H4052" s="21" t="str">
        <f t="shared" si="608"/>
        <v>VERIFICAR</v>
      </c>
      <c r="I4052" s="24" t="str">
        <f t="shared" si="609"/>
        <v xml:space="preserve">SEM VALOR</v>
      </c>
      <c r="L4052" s="36"/>
      <c r="M4052" s="37"/>
      <c r="N4052" s="36"/>
    </row>
    <row r="4053" ht="38.25">
      <c r="A4053" s="19" t="s">
        <v>10460</v>
      </c>
      <c r="B4053" s="19">
        <v>37420</v>
      </c>
      <c r="C4053" s="20" t="s">
        <v>14521</v>
      </c>
      <c r="D4053" s="19" t="s">
        <v>31</v>
      </c>
      <c r="E4053" s="19" t="s">
        <v>10459</v>
      </c>
      <c r="F4053" s="21" t="str">
        <f t="shared" si="608"/>
        <v>VERIFICAR</v>
      </c>
      <c r="G4053" s="21" t="str">
        <f t="shared" si="608"/>
        <v>VERIFICAR</v>
      </c>
      <c r="H4053" s="21" t="str">
        <f t="shared" si="608"/>
        <v>VERIFICAR</v>
      </c>
      <c r="I4053" s="24" t="str">
        <f t="shared" si="609"/>
        <v xml:space="preserve">SEM VALOR</v>
      </c>
      <c r="L4053" s="36"/>
      <c r="M4053" s="37"/>
      <c r="N4053" s="36"/>
    </row>
    <row r="4054" ht="38.25">
      <c r="A4054" s="19" t="s">
        <v>10460</v>
      </c>
      <c r="B4054" s="19">
        <v>37421</v>
      </c>
      <c r="C4054" s="20" t="s">
        <v>14522</v>
      </c>
      <c r="D4054" s="19" t="s">
        <v>31</v>
      </c>
      <c r="E4054" s="19" t="s">
        <v>10459</v>
      </c>
      <c r="F4054" s="21" t="str">
        <f t="shared" si="608"/>
        <v>VERIFICAR</v>
      </c>
      <c r="G4054" s="21" t="str">
        <f t="shared" si="608"/>
        <v>VERIFICAR</v>
      </c>
      <c r="H4054" s="21" t="str">
        <f t="shared" si="608"/>
        <v>VERIFICAR</v>
      </c>
      <c r="I4054" s="24" t="str">
        <f t="shared" si="609"/>
        <v xml:space="preserve">SEM VALOR</v>
      </c>
      <c r="L4054" s="36"/>
      <c r="M4054" s="37"/>
      <c r="N4054" s="36"/>
    </row>
    <row r="4055" ht="25.5">
      <c r="A4055" s="19" t="s">
        <v>10460</v>
      </c>
      <c r="B4055" s="19">
        <v>37443</v>
      </c>
      <c r="C4055" s="20" t="s">
        <v>14523</v>
      </c>
      <c r="D4055" s="19" t="s">
        <v>31</v>
      </c>
      <c r="E4055" s="19" t="s">
        <v>10459</v>
      </c>
      <c r="F4055" s="21" t="str">
        <f t="shared" si="608"/>
        <v>VERIFICAR</v>
      </c>
      <c r="G4055" s="21" t="str">
        <f t="shared" si="608"/>
        <v>VERIFICAR</v>
      </c>
      <c r="H4055" s="21" t="str">
        <f t="shared" si="608"/>
        <v>VERIFICAR</v>
      </c>
      <c r="I4055" s="24" t="str">
        <f t="shared" si="609"/>
        <v xml:space="preserve">SEM VALOR</v>
      </c>
      <c r="L4055" s="36"/>
      <c r="M4055" s="37"/>
      <c r="N4055" s="36"/>
    </row>
    <row r="4056" ht="25.5">
      <c r="A4056" s="19" t="s">
        <v>10460</v>
      </c>
      <c r="B4056" s="19">
        <v>37444</v>
      </c>
      <c r="C4056" s="20" t="s">
        <v>14524</v>
      </c>
      <c r="D4056" s="19" t="s">
        <v>31</v>
      </c>
      <c r="E4056" s="19" t="s">
        <v>10459</v>
      </c>
      <c r="F4056" s="21" t="str">
        <f t="shared" si="608"/>
        <v>VERIFICAR</v>
      </c>
      <c r="G4056" s="21" t="str">
        <f t="shared" si="608"/>
        <v>VERIFICAR</v>
      </c>
      <c r="H4056" s="21" t="str">
        <f t="shared" si="608"/>
        <v>VERIFICAR</v>
      </c>
      <c r="I4056" s="24" t="str">
        <f t="shared" si="609"/>
        <v xml:space="preserve">SEM VALOR</v>
      </c>
      <c r="L4056" s="36"/>
      <c r="M4056" s="37"/>
      <c r="N4056" s="36"/>
    </row>
    <row r="4057" ht="25.5">
      <c r="A4057" s="19" t="s">
        <v>10460</v>
      </c>
      <c r="B4057" s="19">
        <v>37445</v>
      </c>
      <c r="C4057" s="20" t="s">
        <v>14525</v>
      </c>
      <c r="D4057" s="19" t="s">
        <v>31</v>
      </c>
      <c r="E4057" s="19" t="s">
        <v>10459</v>
      </c>
      <c r="F4057" s="21" t="str">
        <f t="shared" si="608"/>
        <v>VERIFICAR</v>
      </c>
      <c r="G4057" s="21" t="str">
        <f t="shared" si="608"/>
        <v>VERIFICAR</v>
      </c>
      <c r="H4057" s="21" t="str">
        <f t="shared" si="608"/>
        <v>VERIFICAR</v>
      </c>
      <c r="I4057" s="24" t="str">
        <f t="shared" si="609"/>
        <v xml:space="preserve">SEM VALOR</v>
      </c>
      <c r="L4057" s="36"/>
      <c r="M4057" s="37"/>
      <c r="N4057" s="36"/>
    </row>
    <row r="4058" ht="25.5">
      <c r="A4058" s="19" t="s">
        <v>10460</v>
      </c>
      <c r="B4058" s="19">
        <v>37446</v>
      </c>
      <c r="C4058" s="20" t="s">
        <v>14526</v>
      </c>
      <c r="D4058" s="19" t="s">
        <v>31</v>
      </c>
      <c r="E4058" s="19" t="s">
        <v>10459</v>
      </c>
      <c r="F4058" s="21" t="str">
        <f t="shared" si="608"/>
        <v>VERIFICAR</v>
      </c>
      <c r="G4058" s="21" t="str">
        <f t="shared" si="608"/>
        <v>VERIFICAR</v>
      </c>
      <c r="H4058" s="21" t="str">
        <f t="shared" si="608"/>
        <v>VERIFICAR</v>
      </c>
      <c r="I4058" s="24" t="str">
        <f t="shared" si="609"/>
        <v xml:space="preserve">SEM VALOR</v>
      </c>
      <c r="L4058" s="36"/>
      <c r="M4058" s="37"/>
      <c r="N4058" s="36"/>
    </row>
    <row r="4059" ht="25.5">
      <c r="A4059" s="19" t="s">
        <v>10460</v>
      </c>
      <c r="B4059" s="19">
        <v>37447</v>
      </c>
      <c r="C4059" s="20" t="s">
        <v>14527</v>
      </c>
      <c r="D4059" s="19" t="s">
        <v>31</v>
      </c>
      <c r="E4059" s="19" t="s">
        <v>10459</v>
      </c>
      <c r="F4059" s="21" t="str">
        <f t="shared" si="608"/>
        <v>VERIFICAR</v>
      </c>
      <c r="G4059" s="21" t="str">
        <f t="shared" si="608"/>
        <v>VERIFICAR</v>
      </c>
      <c r="H4059" s="21" t="str">
        <f t="shared" si="608"/>
        <v>VERIFICAR</v>
      </c>
      <c r="I4059" s="24" t="str">
        <f t="shared" si="609"/>
        <v xml:space="preserve">SEM VALOR</v>
      </c>
      <c r="L4059" s="36"/>
      <c r="M4059" s="37"/>
      <c r="N4059" s="36"/>
    </row>
    <row r="4060" ht="25.5">
      <c r="A4060" s="19" t="s">
        <v>10460</v>
      </c>
      <c r="B4060" s="19">
        <v>37448</v>
      </c>
      <c r="C4060" s="20" t="s">
        <v>14528</v>
      </c>
      <c r="D4060" s="19" t="s">
        <v>31</v>
      </c>
      <c r="E4060" s="19" t="s">
        <v>10459</v>
      </c>
      <c r="F4060" s="21" t="str">
        <f t="shared" si="608"/>
        <v>VERIFICAR</v>
      </c>
      <c r="G4060" s="21" t="str">
        <f t="shared" si="608"/>
        <v>VERIFICAR</v>
      </c>
      <c r="H4060" s="21" t="str">
        <f t="shared" si="608"/>
        <v>VERIFICAR</v>
      </c>
      <c r="I4060" s="24" t="str">
        <f t="shared" si="609"/>
        <v xml:space="preserve">SEM VALOR</v>
      </c>
      <c r="L4060" s="36"/>
      <c r="M4060" s="37"/>
      <c r="N4060" s="36"/>
    </row>
    <row r="4061" ht="25.5">
      <c r="A4061" s="19" t="s">
        <v>10460</v>
      </c>
      <c r="B4061" s="19">
        <v>37440</v>
      </c>
      <c r="C4061" s="20" t="s">
        <v>14529</v>
      </c>
      <c r="D4061" s="19" t="s">
        <v>31</v>
      </c>
      <c r="E4061" s="19" t="s">
        <v>10459</v>
      </c>
      <c r="F4061" s="21" t="str">
        <f t="shared" si="608"/>
        <v>VERIFICAR</v>
      </c>
      <c r="G4061" s="21" t="str">
        <f t="shared" si="608"/>
        <v>VERIFICAR</v>
      </c>
      <c r="H4061" s="21" t="str">
        <f t="shared" si="608"/>
        <v>VERIFICAR</v>
      </c>
      <c r="I4061" s="24" t="str">
        <f t="shared" si="609"/>
        <v xml:space="preserve">SEM VALOR</v>
      </c>
      <c r="L4061" s="36"/>
      <c r="M4061" s="37"/>
      <c r="N4061" s="36"/>
    </row>
    <row r="4062" ht="25.5">
      <c r="A4062" s="19" t="s">
        <v>10460</v>
      </c>
      <c r="B4062" s="19">
        <v>37441</v>
      </c>
      <c r="C4062" s="20" t="s">
        <v>14530</v>
      </c>
      <c r="D4062" s="19" t="s">
        <v>31</v>
      </c>
      <c r="E4062" s="19" t="s">
        <v>10459</v>
      </c>
      <c r="F4062" s="21" t="str">
        <f t="shared" si="608"/>
        <v>VERIFICAR</v>
      </c>
      <c r="G4062" s="21" t="str">
        <f t="shared" si="608"/>
        <v>VERIFICAR</v>
      </c>
      <c r="H4062" s="21" t="str">
        <f t="shared" si="608"/>
        <v>VERIFICAR</v>
      </c>
      <c r="I4062" s="24" t="str">
        <f t="shared" si="609"/>
        <v xml:space="preserve">SEM VALOR</v>
      </c>
      <c r="L4062" s="36"/>
      <c r="M4062" s="37"/>
      <c r="N4062" s="36"/>
    </row>
    <row r="4063" ht="25.5">
      <c r="A4063" s="19" t="s">
        <v>10460</v>
      </c>
      <c r="B4063" s="19">
        <v>37442</v>
      </c>
      <c r="C4063" s="20" t="s">
        <v>14531</v>
      </c>
      <c r="D4063" s="19" t="s">
        <v>31</v>
      </c>
      <c r="E4063" s="19" t="s">
        <v>10459</v>
      </c>
      <c r="F4063" s="21" t="str">
        <f t="shared" si="608"/>
        <v>VERIFICAR</v>
      </c>
      <c r="G4063" s="21" t="str">
        <f t="shared" si="608"/>
        <v>VERIFICAR</v>
      </c>
      <c r="H4063" s="21" t="str">
        <f t="shared" si="608"/>
        <v>VERIFICAR</v>
      </c>
      <c r="I4063" s="24" t="str">
        <f t="shared" si="609"/>
        <v xml:space="preserve">SEM VALOR</v>
      </c>
      <c r="L4063" s="36"/>
      <c r="M4063" s="37"/>
      <c r="N4063" s="36"/>
    </row>
    <row r="4064" ht="25.5">
      <c r="A4064" s="19" t="s">
        <v>10460</v>
      </c>
      <c r="B4064" s="19">
        <v>38017</v>
      </c>
      <c r="C4064" s="20" t="s">
        <v>14532</v>
      </c>
      <c r="D4064" s="19" t="s">
        <v>31</v>
      </c>
      <c r="E4064" s="19" t="s">
        <v>10459</v>
      </c>
      <c r="F4064" s="21">
        <f t="shared" si="608"/>
        <v>11.869999999999999</v>
      </c>
      <c r="G4064" s="21">
        <f t="shared" si="608"/>
        <v>11.869999999999999</v>
      </c>
      <c r="H4064" s="21">
        <f t="shared" si="608"/>
        <v>11.869999999999999</v>
      </c>
      <c r="I4064" s="24" t="str">
        <f t="shared" si="609"/>
        <v xml:space="preserve">COM VALOR</v>
      </c>
      <c r="L4064" s="36">
        <v>11.869999999999999</v>
      </c>
      <c r="M4064" s="37">
        <v>11.869999999999999</v>
      </c>
      <c r="N4064" s="36">
        <v>11.869999999999999</v>
      </c>
    </row>
    <row r="4065" ht="25.5">
      <c r="A4065" s="19" t="s">
        <v>10460</v>
      </c>
      <c r="B4065" s="19">
        <v>38018</v>
      </c>
      <c r="C4065" s="20" t="s">
        <v>14533</v>
      </c>
      <c r="D4065" s="19" t="s">
        <v>31</v>
      </c>
      <c r="E4065" s="19" t="s">
        <v>10459</v>
      </c>
      <c r="F4065" s="21">
        <f t="shared" si="608"/>
        <v>13.34</v>
      </c>
      <c r="G4065" s="21">
        <f t="shared" si="608"/>
        <v>13.34</v>
      </c>
      <c r="H4065" s="21">
        <f t="shared" si="608"/>
        <v>13.34</v>
      </c>
      <c r="I4065" s="24" t="str">
        <f t="shared" si="609"/>
        <v xml:space="preserve">COM VALOR</v>
      </c>
      <c r="L4065" s="36">
        <v>13.34</v>
      </c>
      <c r="M4065" s="37">
        <v>13.34</v>
      </c>
      <c r="N4065" s="36">
        <v>13.34</v>
      </c>
    </row>
    <row r="4066" ht="25.5">
      <c r="A4066" s="19" t="s">
        <v>10460</v>
      </c>
      <c r="B4066" s="19">
        <v>39895</v>
      </c>
      <c r="C4066" s="20" t="s">
        <v>14534</v>
      </c>
      <c r="D4066" s="19" t="s">
        <v>31</v>
      </c>
      <c r="E4066" s="19" t="s">
        <v>10459</v>
      </c>
      <c r="F4066" s="21" t="str">
        <f t="shared" si="608"/>
        <v>VERIFICAR</v>
      </c>
      <c r="G4066" s="21" t="str">
        <f t="shared" si="608"/>
        <v>VERIFICAR</v>
      </c>
      <c r="H4066" s="21" t="str">
        <f t="shared" si="608"/>
        <v>VERIFICAR</v>
      </c>
      <c r="I4066" s="24" t="str">
        <f t="shared" si="609"/>
        <v xml:space="preserve">SEM VALOR</v>
      </c>
      <c r="L4066" s="36"/>
      <c r="M4066" s="37"/>
      <c r="N4066" s="36"/>
    </row>
    <row r="4067" ht="25.5">
      <c r="A4067" s="19" t="s">
        <v>10460</v>
      </c>
      <c r="B4067" s="19">
        <v>39896</v>
      </c>
      <c r="C4067" s="20" t="s">
        <v>14535</v>
      </c>
      <c r="D4067" s="19" t="s">
        <v>31</v>
      </c>
      <c r="E4067" s="19" t="s">
        <v>10459</v>
      </c>
      <c r="F4067" s="21" t="str">
        <f t="shared" si="608"/>
        <v>VERIFICAR</v>
      </c>
      <c r="G4067" s="21" t="str">
        <f t="shared" si="608"/>
        <v>VERIFICAR</v>
      </c>
      <c r="H4067" s="21" t="str">
        <f t="shared" si="608"/>
        <v>VERIFICAR</v>
      </c>
      <c r="I4067" s="24" t="str">
        <f t="shared" si="609"/>
        <v xml:space="preserve">SEM VALOR</v>
      </c>
      <c r="L4067" s="36"/>
      <c r="M4067" s="37"/>
      <c r="N4067" s="36"/>
    </row>
    <row r="4068" ht="38.25">
      <c r="A4068" s="19" t="s">
        <v>10460</v>
      </c>
      <c r="B4068" s="19">
        <v>44038</v>
      </c>
      <c r="C4068" s="20" t="s">
        <v>14536</v>
      </c>
      <c r="D4068" s="19" t="s">
        <v>31</v>
      </c>
      <c r="E4068" s="19" t="s">
        <v>10459</v>
      </c>
      <c r="F4068" s="21" t="str">
        <f t="shared" si="608"/>
        <v>VERIFICAR</v>
      </c>
      <c r="G4068" s="21" t="str">
        <f t="shared" si="608"/>
        <v>VERIFICAR</v>
      </c>
      <c r="H4068" s="21" t="str">
        <f t="shared" si="608"/>
        <v>VERIFICAR</v>
      </c>
      <c r="I4068" s="24" t="str">
        <f t="shared" si="609"/>
        <v xml:space="preserve">SEM VALOR</v>
      </c>
      <c r="L4068" s="36"/>
      <c r="M4068" s="37"/>
      <c r="N4068" s="36"/>
    </row>
    <row r="4069" ht="38.25">
      <c r="A4069" s="19" t="s">
        <v>10460</v>
      </c>
      <c r="B4069" s="19">
        <v>44040</v>
      </c>
      <c r="C4069" s="20" t="s">
        <v>14537</v>
      </c>
      <c r="D4069" s="19" t="s">
        <v>31</v>
      </c>
      <c r="E4069" s="19" t="s">
        <v>10459</v>
      </c>
      <c r="F4069" s="21" t="str">
        <f t="shared" si="608"/>
        <v>VERIFICAR</v>
      </c>
      <c r="G4069" s="21" t="str">
        <f t="shared" si="608"/>
        <v>VERIFICAR</v>
      </c>
      <c r="H4069" s="21" t="str">
        <f t="shared" si="608"/>
        <v>VERIFICAR</v>
      </c>
      <c r="I4069" s="24" t="str">
        <f t="shared" si="609"/>
        <v xml:space="preserve">SEM VALOR</v>
      </c>
      <c r="L4069" s="36"/>
      <c r="M4069" s="37"/>
      <c r="N4069" s="36"/>
    </row>
    <row r="4070" ht="38.25">
      <c r="A4070" s="19" t="s">
        <v>10460</v>
      </c>
      <c r="B4070" s="19">
        <v>44035</v>
      </c>
      <c r="C4070" s="20" t="s">
        <v>14538</v>
      </c>
      <c r="D4070" s="19" t="s">
        <v>31</v>
      </c>
      <c r="E4070" s="19" t="s">
        <v>10459</v>
      </c>
      <c r="F4070" s="21" t="str">
        <f t="shared" si="608"/>
        <v>VERIFICAR</v>
      </c>
      <c r="G4070" s="21" t="str">
        <f t="shared" si="608"/>
        <v>VERIFICAR</v>
      </c>
      <c r="H4070" s="21" t="str">
        <f t="shared" si="608"/>
        <v>VERIFICAR</v>
      </c>
      <c r="I4070" s="24" t="str">
        <f t="shared" si="609"/>
        <v xml:space="preserve">SEM VALOR</v>
      </c>
      <c r="L4070" s="36"/>
      <c r="M4070" s="37"/>
      <c r="N4070" s="36"/>
    </row>
    <row r="4071" ht="38.25">
      <c r="A4071" s="19" t="s">
        <v>10460</v>
      </c>
      <c r="B4071" s="19">
        <v>44037</v>
      </c>
      <c r="C4071" s="20" t="s">
        <v>14539</v>
      </c>
      <c r="D4071" s="19" t="s">
        <v>31</v>
      </c>
      <c r="E4071" s="19" t="s">
        <v>10459</v>
      </c>
      <c r="F4071" s="21" t="str">
        <f t="shared" si="608"/>
        <v>VERIFICAR</v>
      </c>
      <c r="G4071" s="21" t="str">
        <f t="shared" si="608"/>
        <v>VERIFICAR</v>
      </c>
      <c r="H4071" s="21" t="str">
        <f t="shared" si="608"/>
        <v>VERIFICAR</v>
      </c>
      <c r="I4071" s="24" t="str">
        <f t="shared" si="609"/>
        <v xml:space="preserve">SEM VALOR</v>
      </c>
      <c r="L4071" s="36"/>
      <c r="M4071" s="37"/>
      <c r="N4071" s="36"/>
    </row>
    <row r="4072" ht="38.25">
      <c r="A4072" s="19" t="s">
        <v>10460</v>
      </c>
      <c r="B4072" s="19">
        <v>44033</v>
      </c>
      <c r="C4072" s="20" t="s">
        <v>14540</v>
      </c>
      <c r="D4072" s="19" t="s">
        <v>31</v>
      </c>
      <c r="E4072" s="19" t="s">
        <v>10459</v>
      </c>
      <c r="F4072" s="21" t="str">
        <f t="shared" si="608"/>
        <v>VERIFICAR</v>
      </c>
      <c r="G4072" s="21" t="str">
        <f t="shared" si="608"/>
        <v>VERIFICAR</v>
      </c>
      <c r="H4072" s="21" t="str">
        <f t="shared" si="608"/>
        <v>VERIFICAR</v>
      </c>
      <c r="I4072" s="24" t="str">
        <f t="shared" si="609"/>
        <v xml:space="preserve">SEM VALOR</v>
      </c>
      <c r="L4072" s="36"/>
      <c r="M4072" s="37"/>
      <c r="N4072" s="36"/>
    </row>
    <row r="4073" ht="38.25">
      <c r="A4073" s="19" t="s">
        <v>10460</v>
      </c>
      <c r="B4073" s="19">
        <v>44034</v>
      </c>
      <c r="C4073" s="20" t="s">
        <v>14541</v>
      </c>
      <c r="D4073" s="19" t="s">
        <v>31</v>
      </c>
      <c r="E4073" s="19" t="s">
        <v>10459</v>
      </c>
      <c r="F4073" s="21" t="str">
        <f t="shared" si="608"/>
        <v>VERIFICAR</v>
      </c>
      <c r="G4073" s="21" t="str">
        <f t="shared" si="608"/>
        <v>VERIFICAR</v>
      </c>
      <c r="H4073" s="21" t="str">
        <f t="shared" si="608"/>
        <v>VERIFICAR</v>
      </c>
      <c r="I4073" s="24" t="str">
        <f t="shared" si="609"/>
        <v xml:space="preserve">SEM VALOR</v>
      </c>
      <c r="L4073" s="36"/>
      <c r="M4073" s="37"/>
      <c r="N4073" s="36"/>
    </row>
    <row r="4074" ht="38.25">
      <c r="A4074" s="19" t="s">
        <v>10460</v>
      </c>
      <c r="B4074" s="19">
        <v>44028</v>
      </c>
      <c r="C4074" s="20" t="s">
        <v>14542</v>
      </c>
      <c r="D4074" s="19" t="s">
        <v>31</v>
      </c>
      <c r="E4074" s="19" t="s">
        <v>10459</v>
      </c>
      <c r="F4074" s="21" t="str">
        <f t="shared" si="608"/>
        <v>VERIFICAR</v>
      </c>
      <c r="G4074" s="21" t="str">
        <f t="shared" si="608"/>
        <v>VERIFICAR</v>
      </c>
      <c r="H4074" s="21" t="str">
        <f t="shared" si="608"/>
        <v>VERIFICAR</v>
      </c>
      <c r="I4074" s="24" t="str">
        <f t="shared" si="609"/>
        <v xml:space="preserve">SEM VALOR</v>
      </c>
      <c r="L4074" s="36"/>
      <c r="M4074" s="37"/>
      <c r="N4074" s="36"/>
    </row>
    <row r="4075" ht="38.25">
      <c r="A4075" s="19" t="s">
        <v>10460</v>
      </c>
      <c r="B4075" s="19">
        <v>44029</v>
      </c>
      <c r="C4075" s="20" t="s">
        <v>14543</v>
      </c>
      <c r="D4075" s="19" t="s">
        <v>31</v>
      </c>
      <c r="E4075" s="19" t="s">
        <v>10459</v>
      </c>
      <c r="F4075" s="21" t="str">
        <f t="shared" si="608"/>
        <v>VERIFICAR</v>
      </c>
      <c r="G4075" s="21" t="str">
        <f t="shared" si="608"/>
        <v>VERIFICAR</v>
      </c>
      <c r="H4075" s="21" t="str">
        <f t="shared" si="608"/>
        <v>VERIFICAR</v>
      </c>
      <c r="I4075" s="24" t="str">
        <f t="shared" si="609"/>
        <v xml:space="preserve">SEM VALOR</v>
      </c>
      <c r="L4075" s="36"/>
      <c r="M4075" s="37"/>
      <c r="N4075" s="36"/>
    </row>
    <row r="4076" ht="38.25">
      <c r="A4076" s="19" t="s">
        <v>10460</v>
      </c>
      <c r="B4076" s="19">
        <v>44030</v>
      </c>
      <c r="C4076" s="20" t="s">
        <v>14544</v>
      </c>
      <c r="D4076" s="19" t="s">
        <v>31</v>
      </c>
      <c r="E4076" s="19" t="s">
        <v>10459</v>
      </c>
      <c r="F4076" s="21" t="str">
        <f t="shared" si="608"/>
        <v>VERIFICAR</v>
      </c>
      <c r="G4076" s="21" t="str">
        <f t="shared" si="608"/>
        <v>VERIFICAR</v>
      </c>
      <c r="H4076" s="21" t="str">
        <f t="shared" si="608"/>
        <v>VERIFICAR</v>
      </c>
      <c r="I4076" s="24" t="str">
        <f t="shared" si="609"/>
        <v xml:space="preserve">SEM VALOR</v>
      </c>
      <c r="L4076" s="36"/>
      <c r="M4076" s="37"/>
      <c r="N4076" s="36"/>
    </row>
    <row r="4077" ht="38.25">
      <c r="A4077" s="19" t="s">
        <v>10460</v>
      </c>
      <c r="B4077" s="19">
        <v>44031</v>
      </c>
      <c r="C4077" s="20" t="s">
        <v>14545</v>
      </c>
      <c r="D4077" s="19" t="s">
        <v>31</v>
      </c>
      <c r="E4077" s="19" t="s">
        <v>10459</v>
      </c>
      <c r="F4077" s="21" t="str">
        <f t="shared" si="608"/>
        <v>VERIFICAR</v>
      </c>
      <c r="G4077" s="21" t="str">
        <f t="shared" si="608"/>
        <v>VERIFICAR</v>
      </c>
      <c r="H4077" s="21" t="str">
        <f t="shared" si="608"/>
        <v>VERIFICAR</v>
      </c>
      <c r="I4077" s="24" t="str">
        <f t="shared" si="609"/>
        <v xml:space="preserve">SEM VALOR</v>
      </c>
      <c r="L4077" s="36"/>
      <c r="M4077" s="37"/>
      <c r="N4077" s="36"/>
    </row>
    <row r="4078" ht="38.25">
      <c r="A4078" s="19" t="s">
        <v>10460</v>
      </c>
      <c r="B4078" s="19">
        <v>44032</v>
      </c>
      <c r="C4078" s="20" t="s">
        <v>14546</v>
      </c>
      <c r="D4078" s="19" t="s">
        <v>31</v>
      </c>
      <c r="E4078" s="19" t="s">
        <v>10459</v>
      </c>
      <c r="F4078" s="21" t="str">
        <f t="shared" si="608"/>
        <v>VERIFICAR</v>
      </c>
      <c r="G4078" s="21" t="str">
        <f t="shared" si="608"/>
        <v>VERIFICAR</v>
      </c>
      <c r="H4078" s="21" t="str">
        <f t="shared" si="608"/>
        <v>VERIFICAR</v>
      </c>
      <c r="I4078" s="24" t="str">
        <f t="shared" si="609"/>
        <v xml:space="preserve">SEM VALOR</v>
      </c>
      <c r="L4078" s="36"/>
      <c r="M4078" s="37"/>
      <c r="N4078" s="36"/>
    </row>
    <row r="4079" ht="38.25">
      <c r="A4079" s="19" t="s">
        <v>10460</v>
      </c>
      <c r="B4079" s="19">
        <v>44036</v>
      </c>
      <c r="C4079" s="20" t="s">
        <v>14547</v>
      </c>
      <c r="D4079" s="19" t="s">
        <v>31</v>
      </c>
      <c r="E4079" s="19" t="s">
        <v>10459</v>
      </c>
      <c r="F4079" s="21" t="str">
        <f t="shared" si="608"/>
        <v>VERIFICAR</v>
      </c>
      <c r="G4079" s="21" t="str">
        <f t="shared" si="608"/>
        <v>VERIFICAR</v>
      </c>
      <c r="H4079" s="21" t="str">
        <f t="shared" si="608"/>
        <v>VERIFICAR</v>
      </c>
      <c r="I4079" s="24" t="str">
        <f t="shared" si="609"/>
        <v xml:space="preserve">SEM VALOR</v>
      </c>
      <c r="L4079" s="36"/>
      <c r="M4079" s="37"/>
      <c r="N4079" s="36"/>
    </row>
    <row r="4080" ht="38.25">
      <c r="A4080" s="19" t="s">
        <v>10460</v>
      </c>
      <c r="B4080" s="19">
        <v>44039</v>
      </c>
      <c r="C4080" s="20" t="s">
        <v>14548</v>
      </c>
      <c r="D4080" s="19" t="s">
        <v>31</v>
      </c>
      <c r="E4080" s="19" t="s">
        <v>10459</v>
      </c>
      <c r="F4080" s="21" t="str">
        <f t="shared" si="608"/>
        <v>VERIFICAR</v>
      </c>
      <c r="G4080" s="21" t="str">
        <f t="shared" si="608"/>
        <v>VERIFICAR</v>
      </c>
      <c r="H4080" s="21" t="str">
        <f t="shared" si="608"/>
        <v>VERIFICAR</v>
      </c>
      <c r="I4080" s="24" t="str">
        <f t="shared" si="609"/>
        <v xml:space="preserve">SEM VALOR</v>
      </c>
      <c r="L4080" s="36"/>
      <c r="M4080" s="37"/>
      <c r="N4080" s="36"/>
    </row>
    <row r="4081" ht="25.5">
      <c r="A4081" s="19" t="s">
        <v>10460</v>
      </c>
      <c r="B4081" s="19">
        <v>38873</v>
      </c>
      <c r="C4081" s="20" t="s">
        <v>14549</v>
      </c>
      <c r="D4081" s="19" t="s">
        <v>31</v>
      </c>
      <c r="E4081" s="19" t="s">
        <v>10459</v>
      </c>
      <c r="F4081" s="21" t="str">
        <f t="shared" si="608"/>
        <v>VERIFICAR</v>
      </c>
      <c r="G4081" s="21" t="str">
        <f t="shared" si="608"/>
        <v>VERIFICAR</v>
      </c>
      <c r="H4081" s="21" t="str">
        <f t="shared" si="608"/>
        <v>VERIFICAR</v>
      </c>
      <c r="I4081" s="24" t="str">
        <f t="shared" si="609"/>
        <v xml:space="preserve">SEM VALOR</v>
      </c>
      <c r="L4081" s="36"/>
      <c r="M4081" s="37"/>
      <c r="N4081" s="36"/>
    </row>
    <row r="4082" ht="25.5">
      <c r="A4082" s="19" t="s">
        <v>10460</v>
      </c>
      <c r="B4082" s="19">
        <v>38874</v>
      </c>
      <c r="C4082" s="20" t="s">
        <v>14550</v>
      </c>
      <c r="D4082" s="19" t="s">
        <v>31</v>
      </c>
      <c r="E4082" s="19" t="s">
        <v>10459</v>
      </c>
      <c r="F4082" s="21" t="str">
        <f t="shared" si="608"/>
        <v>VERIFICAR</v>
      </c>
      <c r="G4082" s="21" t="str">
        <f t="shared" si="608"/>
        <v>VERIFICAR</v>
      </c>
      <c r="H4082" s="21" t="str">
        <f t="shared" si="608"/>
        <v>VERIFICAR</v>
      </c>
      <c r="I4082" s="24" t="str">
        <f t="shared" si="609"/>
        <v xml:space="preserve">SEM VALOR</v>
      </c>
      <c r="L4082" s="36"/>
      <c r="M4082" s="37"/>
      <c r="N4082" s="36"/>
    </row>
    <row r="4083" ht="25.5">
      <c r="A4083" s="19" t="s">
        <v>10460</v>
      </c>
      <c r="B4083" s="19">
        <v>38875</v>
      </c>
      <c r="C4083" s="20" t="s">
        <v>14551</v>
      </c>
      <c r="D4083" s="19" t="s">
        <v>31</v>
      </c>
      <c r="E4083" s="19" t="s">
        <v>10459</v>
      </c>
      <c r="F4083" s="21" t="str">
        <f t="shared" si="608"/>
        <v>VERIFICAR</v>
      </c>
      <c r="G4083" s="21" t="str">
        <f t="shared" si="608"/>
        <v>VERIFICAR</v>
      </c>
      <c r="H4083" s="21" t="str">
        <f t="shared" si="608"/>
        <v>VERIFICAR</v>
      </c>
      <c r="I4083" s="24" t="str">
        <f t="shared" si="609"/>
        <v xml:space="preserve">SEM VALOR</v>
      </c>
      <c r="L4083" s="36"/>
      <c r="M4083" s="37"/>
      <c r="N4083" s="36"/>
    </row>
    <row r="4084" ht="25.5">
      <c r="A4084" s="19" t="s">
        <v>10460</v>
      </c>
      <c r="B4084" s="19">
        <v>38876</v>
      </c>
      <c r="C4084" s="20" t="s">
        <v>14552</v>
      </c>
      <c r="D4084" s="19" t="s">
        <v>31</v>
      </c>
      <c r="E4084" s="19" t="s">
        <v>10459</v>
      </c>
      <c r="F4084" s="21" t="str">
        <f t="shared" si="608"/>
        <v>VERIFICAR</v>
      </c>
      <c r="G4084" s="21" t="str">
        <f t="shared" si="608"/>
        <v>VERIFICAR</v>
      </c>
      <c r="H4084" s="21" t="str">
        <f t="shared" si="608"/>
        <v>VERIFICAR</v>
      </c>
      <c r="I4084" s="24" t="str">
        <f t="shared" si="609"/>
        <v xml:space="preserve">SEM VALOR</v>
      </c>
      <c r="L4084" s="36"/>
      <c r="M4084" s="37"/>
      <c r="N4084" s="36"/>
    </row>
    <row r="4085" ht="25.5">
      <c r="A4085" s="19" t="s">
        <v>10460</v>
      </c>
      <c r="B4085" s="19">
        <v>39000</v>
      </c>
      <c r="C4085" s="20" t="s">
        <v>14553</v>
      </c>
      <c r="D4085" s="19" t="s">
        <v>31</v>
      </c>
      <c r="E4085" s="19" t="s">
        <v>10459</v>
      </c>
      <c r="F4085" s="21" t="str">
        <f t="shared" si="608"/>
        <v>VERIFICAR</v>
      </c>
      <c r="G4085" s="21" t="str">
        <f t="shared" si="608"/>
        <v>VERIFICAR</v>
      </c>
      <c r="H4085" s="21" t="str">
        <f t="shared" si="608"/>
        <v>VERIFICAR</v>
      </c>
      <c r="I4085" s="24" t="str">
        <f t="shared" si="609"/>
        <v xml:space="preserve">SEM VALOR</v>
      </c>
      <c r="L4085" s="36"/>
      <c r="M4085" s="37"/>
      <c r="N4085" s="36"/>
    </row>
    <row r="4086" ht="25.5">
      <c r="A4086" s="19" t="s">
        <v>10460</v>
      </c>
      <c r="B4086" s="19">
        <v>38674</v>
      </c>
      <c r="C4086" s="20" t="s">
        <v>14554</v>
      </c>
      <c r="D4086" s="19" t="s">
        <v>31</v>
      </c>
      <c r="E4086" s="19" t="s">
        <v>10459</v>
      </c>
      <c r="F4086" s="21">
        <f t="shared" si="608"/>
        <v>39.93</v>
      </c>
      <c r="G4086" s="21">
        <f t="shared" si="608"/>
        <v>39.93</v>
      </c>
      <c r="H4086" s="21">
        <f t="shared" si="608"/>
        <v>39.93</v>
      </c>
      <c r="I4086" s="24" t="str">
        <f t="shared" si="609"/>
        <v xml:space="preserve">COM VALOR</v>
      </c>
      <c r="L4086" s="36">
        <v>39.93</v>
      </c>
      <c r="M4086" s="37">
        <v>39.93</v>
      </c>
      <c r="N4086" s="36">
        <v>39.93</v>
      </c>
    </row>
    <row r="4087" ht="25.5">
      <c r="A4087" s="19" t="s">
        <v>10460</v>
      </c>
      <c r="B4087" s="19">
        <v>38019</v>
      </c>
      <c r="C4087" s="20" t="s">
        <v>14555</v>
      </c>
      <c r="D4087" s="19" t="s">
        <v>31</v>
      </c>
      <c r="E4087" s="19" t="s">
        <v>10459</v>
      </c>
      <c r="F4087" s="21">
        <f t="shared" si="608"/>
        <v>8.4499999999999993</v>
      </c>
      <c r="G4087" s="21">
        <f t="shared" si="608"/>
        <v>8.4499999999999993</v>
      </c>
      <c r="H4087" s="21">
        <f t="shared" si="608"/>
        <v>8.4499999999999993</v>
      </c>
      <c r="I4087" s="24" t="str">
        <f t="shared" si="609"/>
        <v xml:space="preserve">COM VALOR</v>
      </c>
      <c r="L4087" s="36">
        <v>8.4499999999999993</v>
      </c>
      <c r="M4087" s="37">
        <v>8.4499999999999993</v>
      </c>
      <c r="N4087" s="36">
        <v>8.4499999999999993</v>
      </c>
    </row>
    <row r="4088" ht="25.5">
      <c r="A4088" s="19" t="s">
        <v>10460</v>
      </c>
      <c r="B4088" s="19">
        <v>38020</v>
      </c>
      <c r="C4088" s="20" t="s">
        <v>14556</v>
      </c>
      <c r="D4088" s="19" t="s">
        <v>31</v>
      </c>
      <c r="E4088" s="19" t="s">
        <v>10459</v>
      </c>
      <c r="F4088" s="21">
        <f t="shared" si="608"/>
        <v>10.41</v>
      </c>
      <c r="G4088" s="21">
        <f t="shared" si="608"/>
        <v>10.41</v>
      </c>
      <c r="H4088" s="21">
        <f t="shared" si="608"/>
        <v>10.41</v>
      </c>
      <c r="I4088" s="24" t="str">
        <f t="shared" si="609"/>
        <v xml:space="preserve">COM VALOR</v>
      </c>
      <c r="L4088" s="36">
        <v>10.41</v>
      </c>
      <c r="M4088" s="37">
        <v>10.41</v>
      </c>
      <c r="N4088" s="36">
        <v>10.41</v>
      </c>
    </row>
    <row r="4089" ht="25.5">
      <c r="A4089" s="19" t="s">
        <v>10460</v>
      </c>
      <c r="B4089" s="19">
        <v>38454</v>
      </c>
      <c r="C4089" s="20" t="s">
        <v>14557</v>
      </c>
      <c r="D4089" s="19" t="s">
        <v>31</v>
      </c>
      <c r="E4089" s="19" t="s">
        <v>10459</v>
      </c>
      <c r="F4089" s="21" t="str">
        <f t="shared" si="608"/>
        <v>VERIFICAR</v>
      </c>
      <c r="G4089" s="21" t="str">
        <f t="shared" si="608"/>
        <v>VERIFICAR</v>
      </c>
      <c r="H4089" s="21" t="str">
        <f t="shared" si="608"/>
        <v>VERIFICAR</v>
      </c>
      <c r="I4089" s="24" t="str">
        <f t="shared" si="609"/>
        <v xml:space="preserve">SEM VALOR</v>
      </c>
      <c r="L4089" s="36"/>
      <c r="M4089" s="37"/>
      <c r="N4089" s="36"/>
    </row>
    <row r="4090" ht="25.5">
      <c r="A4090" s="19" t="s">
        <v>10460</v>
      </c>
      <c r="B4090" s="19">
        <v>38455</v>
      </c>
      <c r="C4090" s="20" t="s">
        <v>14558</v>
      </c>
      <c r="D4090" s="19" t="s">
        <v>31</v>
      </c>
      <c r="E4090" s="19" t="s">
        <v>10459</v>
      </c>
      <c r="F4090" s="21" t="str">
        <f t="shared" si="608"/>
        <v>VERIFICAR</v>
      </c>
      <c r="G4090" s="21" t="str">
        <f t="shared" si="608"/>
        <v>VERIFICAR</v>
      </c>
      <c r="H4090" s="21" t="str">
        <f t="shared" si="608"/>
        <v>VERIFICAR</v>
      </c>
      <c r="I4090" s="24" t="str">
        <f t="shared" si="609"/>
        <v xml:space="preserve">SEM VALOR</v>
      </c>
      <c r="L4090" s="36"/>
      <c r="M4090" s="37"/>
      <c r="N4090" s="36"/>
    </row>
    <row r="4091" ht="25.5">
      <c r="A4091" s="19" t="s">
        <v>10460</v>
      </c>
      <c r="B4091" s="19">
        <v>38462</v>
      </c>
      <c r="C4091" s="20" t="s">
        <v>14559</v>
      </c>
      <c r="D4091" s="19" t="s">
        <v>31</v>
      </c>
      <c r="E4091" s="19" t="s">
        <v>10459</v>
      </c>
      <c r="F4091" s="21" t="str">
        <f t="shared" si="608"/>
        <v>VERIFICAR</v>
      </c>
      <c r="G4091" s="21" t="str">
        <f t="shared" si="608"/>
        <v>VERIFICAR</v>
      </c>
      <c r="H4091" s="21" t="str">
        <f t="shared" si="608"/>
        <v>VERIFICAR</v>
      </c>
      <c r="I4091" s="24" t="str">
        <f t="shared" si="609"/>
        <v xml:space="preserve">SEM VALOR</v>
      </c>
      <c r="L4091" s="36"/>
      <c r="M4091" s="37"/>
      <c r="N4091" s="36"/>
    </row>
    <row r="4092" ht="25.5">
      <c r="A4092" s="19" t="s">
        <v>10460</v>
      </c>
      <c r="B4092" s="19">
        <v>36362</v>
      </c>
      <c r="C4092" s="20" t="s">
        <v>14560</v>
      </c>
      <c r="D4092" s="19" t="s">
        <v>31</v>
      </c>
      <c r="E4092" s="19" t="s">
        <v>10459</v>
      </c>
      <c r="F4092" s="21" t="str">
        <f t="shared" si="608"/>
        <v>VERIFICAR</v>
      </c>
      <c r="G4092" s="21" t="str">
        <f t="shared" si="608"/>
        <v>VERIFICAR</v>
      </c>
      <c r="H4092" s="21" t="str">
        <f t="shared" si="608"/>
        <v>VERIFICAR</v>
      </c>
      <c r="I4092" s="24" t="str">
        <f t="shared" si="609"/>
        <v xml:space="preserve">SEM VALOR</v>
      </c>
      <c r="L4092" s="36"/>
      <c r="M4092" s="37"/>
      <c r="N4092" s="36"/>
    </row>
    <row r="4093" ht="25.5">
      <c r="A4093" s="19" t="s">
        <v>10460</v>
      </c>
      <c r="B4093" s="19">
        <v>36298</v>
      </c>
      <c r="C4093" s="20" t="s">
        <v>14561</v>
      </c>
      <c r="D4093" s="19" t="s">
        <v>31</v>
      </c>
      <c r="E4093" s="19" t="s">
        <v>10459</v>
      </c>
      <c r="F4093" s="21" t="str">
        <f t="shared" si="608"/>
        <v>VERIFICAR</v>
      </c>
      <c r="G4093" s="21" t="str">
        <f t="shared" si="608"/>
        <v>VERIFICAR</v>
      </c>
      <c r="H4093" s="21" t="str">
        <f t="shared" si="608"/>
        <v>VERIFICAR</v>
      </c>
      <c r="I4093" s="24" t="str">
        <f t="shared" si="609"/>
        <v xml:space="preserve">SEM VALOR</v>
      </c>
      <c r="L4093" s="36"/>
      <c r="M4093" s="37"/>
      <c r="N4093" s="36"/>
    </row>
    <row r="4094" ht="25.5">
      <c r="A4094" s="19" t="s">
        <v>10460</v>
      </c>
      <c r="B4094" s="19">
        <v>38456</v>
      </c>
      <c r="C4094" s="20" t="s">
        <v>14562</v>
      </c>
      <c r="D4094" s="19" t="s">
        <v>31</v>
      </c>
      <c r="E4094" s="19" t="s">
        <v>10459</v>
      </c>
      <c r="F4094" s="21" t="str">
        <f t="shared" si="608"/>
        <v>VERIFICAR</v>
      </c>
      <c r="G4094" s="21" t="str">
        <f t="shared" si="608"/>
        <v>VERIFICAR</v>
      </c>
      <c r="H4094" s="21" t="str">
        <f t="shared" si="608"/>
        <v>VERIFICAR</v>
      </c>
      <c r="I4094" s="24" t="str">
        <f t="shared" si="609"/>
        <v xml:space="preserve">SEM VALOR</v>
      </c>
      <c r="L4094" s="36"/>
      <c r="M4094" s="37"/>
      <c r="N4094" s="36"/>
    </row>
    <row r="4095" ht="25.5">
      <c r="A4095" s="19" t="s">
        <v>10460</v>
      </c>
      <c r="B4095" s="19">
        <v>38457</v>
      </c>
      <c r="C4095" s="20" t="s">
        <v>14563</v>
      </c>
      <c r="D4095" s="19" t="s">
        <v>31</v>
      </c>
      <c r="E4095" s="19" t="s">
        <v>10459</v>
      </c>
      <c r="F4095" s="21" t="str">
        <f t="shared" si="608"/>
        <v>VERIFICAR</v>
      </c>
      <c r="G4095" s="21" t="str">
        <f t="shared" si="608"/>
        <v>VERIFICAR</v>
      </c>
      <c r="H4095" s="21" t="str">
        <f t="shared" si="608"/>
        <v>VERIFICAR</v>
      </c>
      <c r="I4095" s="24" t="str">
        <f t="shared" si="609"/>
        <v xml:space="preserve">SEM VALOR</v>
      </c>
      <c r="L4095" s="36"/>
      <c r="M4095" s="37"/>
      <c r="N4095" s="36"/>
    </row>
    <row r="4096" ht="25.5">
      <c r="A4096" s="19" t="s">
        <v>10460</v>
      </c>
      <c r="B4096" s="19">
        <v>38458</v>
      </c>
      <c r="C4096" s="20" t="s">
        <v>14564</v>
      </c>
      <c r="D4096" s="19" t="s">
        <v>31</v>
      </c>
      <c r="E4096" s="19" t="s">
        <v>10459</v>
      </c>
      <c r="F4096" s="21" t="str">
        <f t="shared" si="608"/>
        <v>VERIFICAR</v>
      </c>
      <c r="G4096" s="21" t="str">
        <f t="shared" si="608"/>
        <v>VERIFICAR</v>
      </c>
      <c r="H4096" s="21" t="str">
        <f t="shared" si="608"/>
        <v>VERIFICAR</v>
      </c>
      <c r="I4096" s="24" t="str">
        <f t="shared" si="609"/>
        <v xml:space="preserve">SEM VALOR</v>
      </c>
      <c r="L4096" s="36"/>
      <c r="M4096" s="37"/>
      <c r="N4096" s="36"/>
    </row>
    <row r="4097" ht="25.5">
      <c r="A4097" s="19" t="s">
        <v>10460</v>
      </c>
      <c r="B4097" s="19">
        <v>38459</v>
      </c>
      <c r="C4097" s="20" t="s">
        <v>14565</v>
      </c>
      <c r="D4097" s="19" t="s">
        <v>31</v>
      </c>
      <c r="E4097" s="19" t="s">
        <v>10459</v>
      </c>
      <c r="F4097" s="21" t="str">
        <f t="shared" si="608"/>
        <v>VERIFICAR</v>
      </c>
      <c r="G4097" s="21" t="str">
        <f t="shared" si="608"/>
        <v>VERIFICAR</v>
      </c>
      <c r="H4097" s="21" t="str">
        <f t="shared" si="608"/>
        <v>VERIFICAR</v>
      </c>
      <c r="I4097" s="24" t="str">
        <f t="shared" si="609"/>
        <v xml:space="preserve">SEM VALOR</v>
      </c>
      <c r="L4097" s="36"/>
      <c r="M4097" s="37"/>
      <c r="N4097" s="36"/>
    </row>
    <row r="4098" ht="25.5">
      <c r="A4098" s="19" t="s">
        <v>10460</v>
      </c>
      <c r="B4098" s="19">
        <v>38460</v>
      </c>
      <c r="C4098" s="20" t="s">
        <v>14566</v>
      </c>
      <c r="D4098" s="19" t="s">
        <v>31</v>
      </c>
      <c r="E4098" s="19" t="s">
        <v>10459</v>
      </c>
      <c r="F4098" s="21" t="str">
        <f t="shared" si="608"/>
        <v>VERIFICAR</v>
      </c>
      <c r="G4098" s="21" t="str">
        <f t="shared" si="608"/>
        <v>VERIFICAR</v>
      </c>
      <c r="H4098" s="21" t="str">
        <f t="shared" si="608"/>
        <v>VERIFICAR</v>
      </c>
      <c r="I4098" s="24" t="str">
        <f t="shared" si="609"/>
        <v xml:space="preserve">SEM VALOR</v>
      </c>
      <c r="L4098" s="36"/>
      <c r="M4098" s="37"/>
      <c r="N4098" s="36"/>
    </row>
    <row r="4099" ht="25.5">
      <c r="A4099" s="19" t="s">
        <v>10460</v>
      </c>
      <c r="B4099" s="19">
        <v>38461</v>
      </c>
      <c r="C4099" s="20" t="s">
        <v>14567</v>
      </c>
      <c r="D4099" s="19" t="s">
        <v>31</v>
      </c>
      <c r="E4099" s="19" t="s">
        <v>10459</v>
      </c>
      <c r="F4099" s="21" t="str">
        <f t="shared" si="608"/>
        <v>VERIFICAR</v>
      </c>
      <c r="G4099" s="21" t="str">
        <f t="shared" si="608"/>
        <v>VERIFICAR</v>
      </c>
      <c r="H4099" s="21" t="str">
        <f t="shared" si="608"/>
        <v>VERIFICAR</v>
      </c>
      <c r="I4099" s="24" t="str">
        <f t="shared" si="609"/>
        <v xml:space="preserve">SEM VALOR</v>
      </c>
      <c r="L4099" s="36"/>
      <c r="M4099" s="37"/>
      <c r="N4099" s="36"/>
    </row>
    <row r="4100" ht="12.75">
      <c r="A4100" s="19" t="s">
        <v>10460</v>
      </c>
      <c r="B4100" s="19">
        <v>7094</v>
      </c>
      <c r="C4100" s="20" t="s">
        <v>14568</v>
      </c>
      <c r="D4100" s="19" t="s">
        <v>31</v>
      </c>
      <c r="E4100" s="19" t="s">
        <v>10459</v>
      </c>
      <c r="F4100" s="21">
        <f t="shared" si="608"/>
        <v>13.06</v>
      </c>
      <c r="G4100" s="21">
        <f t="shared" si="608"/>
        <v>13.06</v>
      </c>
      <c r="H4100" s="21">
        <f t="shared" si="608"/>
        <v>13.06</v>
      </c>
      <c r="I4100" s="24" t="str">
        <f t="shared" si="609"/>
        <v xml:space="preserve">COM VALOR</v>
      </c>
      <c r="L4100" s="36">
        <v>13.06</v>
      </c>
      <c r="M4100" s="37">
        <v>13.06</v>
      </c>
      <c r="N4100" s="36">
        <v>13.06</v>
      </c>
    </row>
    <row r="4101" ht="25.5">
      <c r="A4101" s="19" t="s">
        <v>10460</v>
      </c>
      <c r="B4101" s="19">
        <v>7116</v>
      </c>
      <c r="C4101" s="20" t="s">
        <v>14569</v>
      </c>
      <c r="D4101" s="19" t="s">
        <v>31</v>
      </c>
      <c r="E4101" s="19" t="s">
        <v>10459</v>
      </c>
      <c r="F4101" s="21">
        <f t="shared" si="608"/>
        <v>4.1299999999999999</v>
      </c>
      <c r="G4101" s="21">
        <f t="shared" si="608"/>
        <v>4.1299999999999999</v>
      </c>
      <c r="H4101" s="21">
        <f t="shared" si="608"/>
        <v>4.1299999999999999</v>
      </c>
      <c r="I4101" s="24" t="str">
        <f t="shared" si="609"/>
        <v xml:space="preserve">COM VALOR</v>
      </c>
      <c r="L4101" s="36">
        <v>4.1299999999999999</v>
      </c>
      <c r="M4101" s="37">
        <v>4.1299999999999999</v>
      </c>
      <c r="N4101" s="36">
        <v>4.1299999999999999</v>
      </c>
    </row>
    <row r="4102" ht="12.75">
      <c r="A4102" s="19" t="s">
        <v>10460</v>
      </c>
      <c r="B4102" s="19">
        <v>7118</v>
      </c>
      <c r="C4102" s="20" t="s">
        <v>14570</v>
      </c>
      <c r="D4102" s="19" t="s">
        <v>31</v>
      </c>
      <c r="E4102" s="19" t="s">
        <v>10459</v>
      </c>
      <c r="F4102" s="21">
        <f t="shared" si="608"/>
        <v>26.859999999999999</v>
      </c>
      <c r="G4102" s="21">
        <f t="shared" si="608"/>
        <v>26.859999999999999</v>
      </c>
      <c r="H4102" s="21">
        <f t="shared" si="608"/>
        <v>26.859999999999999</v>
      </c>
      <c r="I4102" s="24" t="str">
        <f t="shared" si="609"/>
        <v xml:space="preserve">COM VALOR</v>
      </c>
      <c r="L4102" s="36">
        <v>26.859999999999999</v>
      </c>
      <c r="M4102" s="37">
        <v>26.859999999999999</v>
      </c>
      <c r="N4102" s="36">
        <v>26.859999999999999</v>
      </c>
    </row>
    <row r="4103" ht="12.75">
      <c r="A4103" s="19" t="s">
        <v>10460</v>
      </c>
      <c r="B4103" s="19">
        <v>7098</v>
      </c>
      <c r="C4103" s="20" t="s">
        <v>14571</v>
      </c>
      <c r="D4103" s="19" t="s">
        <v>31</v>
      </c>
      <c r="E4103" s="19" t="s">
        <v>10459</v>
      </c>
      <c r="F4103" s="21">
        <f t="shared" si="608"/>
        <v>3.9900000000000002</v>
      </c>
      <c r="G4103" s="21">
        <f t="shared" si="608"/>
        <v>3.9900000000000002</v>
      </c>
      <c r="H4103" s="21">
        <f t="shared" si="608"/>
        <v>3.9900000000000002</v>
      </c>
      <c r="I4103" s="24" t="str">
        <f t="shared" si="609"/>
        <v xml:space="preserve">COM VALOR</v>
      </c>
      <c r="L4103" s="36">
        <v>3.9900000000000002</v>
      </c>
      <c r="M4103" s="37">
        <v>3.9900000000000002</v>
      </c>
      <c r="N4103" s="36">
        <v>3.9900000000000002</v>
      </c>
    </row>
    <row r="4104" ht="12.75">
      <c r="A4104" s="19" t="s">
        <v>10460</v>
      </c>
      <c r="B4104" s="19">
        <v>7110</v>
      </c>
      <c r="C4104" s="20" t="s">
        <v>14572</v>
      </c>
      <c r="D4104" s="19" t="s">
        <v>31</v>
      </c>
      <c r="E4104" s="19" t="s">
        <v>10459</v>
      </c>
      <c r="F4104" s="21">
        <f t="shared" si="608"/>
        <v>51.07</v>
      </c>
      <c r="G4104" s="21">
        <f t="shared" si="608"/>
        <v>51.07</v>
      </c>
      <c r="H4104" s="21">
        <f t="shared" si="608"/>
        <v>51.07</v>
      </c>
      <c r="I4104" s="24" t="str">
        <f t="shared" si="609"/>
        <v xml:space="preserve">COM VALOR</v>
      </c>
      <c r="L4104" s="36">
        <v>51.07</v>
      </c>
      <c r="M4104" s="37">
        <v>51.07</v>
      </c>
      <c r="N4104" s="36">
        <v>51.07</v>
      </c>
    </row>
    <row r="4105" ht="12.75">
      <c r="A4105" s="19" t="s">
        <v>10460</v>
      </c>
      <c r="B4105" s="19">
        <v>7123</v>
      </c>
      <c r="C4105" s="20" t="s">
        <v>14573</v>
      </c>
      <c r="D4105" s="19" t="s">
        <v>31</v>
      </c>
      <c r="E4105" s="19" t="s">
        <v>10459</v>
      </c>
      <c r="F4105" s="21">
        <f t="shared" si="608"/>
        <v>4.8300000000000001</v>
      </c>
      <c r="G4105" s="21">
        <f t="shared" si="608"/>
        <v>4.8300000000000001</v>
      </c>
      <c r="H4105" s="21">
        <f t="shared" si="608"/>
        <v>4.8300000000000001</v>
      </c>
      <c r="I4105" s="24" t="str">
        <f t="shared" si="609"/>
        <v xml:space="preserve">COM VALOR</v>
      </c>
      <c r="L4105" s="36">
        <v>4.8300000000000001</v>
      </c>
      <c r="M4105" s="37">
        <v>4.8300000000000001</v>
      </c>
      <c r="N4105" s="36">
        <v>4.8300000000000001</v>
      </c>
    </row>
    <row r="4106" ht="25.5">
      <c r="A4106" s="19" t="s">
        <v>10460</v>
      </c>
      <c r="B4106" s="19">
        <v>7121</v>
      </c>
      <c r="C4106" s="20" t="s">
        <v>14574</v>
      </c>
      <c r="D4106" s="19" t="s">
        <v>31</v>
      </c>
      <c r="E4106" s="19" t="s">
        <v>10459</v>
      </c>
      <c r="F4106" s="21">
        <f t="shared" si="608"/>
        <v>9.5500000000000007</v>
      </c>
      <c r="G4106" s="21">
        <f t="shared" si="608"/>
        <v>9.5500000000000007</v>
      </c>
      <c r="H4106" s="21">
        <f t="shared" si="608"/>
        <v>9.5500000000000007</v>
      </c>
      <c r="I4106" s="24" t="str">
        <f t="shared" si="609"/>
        <v xml:space="preserve">COM VALOR</v>
      </c>
      <c r="L4106" s="36">
        <v>9.5500000000000007</v>
      </c>
      <c r="M4106" s="37">
        <v>9.5500000000000007</v>
      </c>
      <c r="N4106" s="36">
        <v>9.5500000000000007</v>
      </c>
    </row>
    <row r="4107" ht="25.5">
      <c r="A4107" s="19" t="s">
        <v>10460</v>
      </c>
      <c r="B4107" s="19">
        <v>7137</v>
      </c>
      <c r="C4107" s="20" t="s">
        <v>14575</v>
      </c>
      <c r="D4107" s="19" t="s">
        <v>31</v>
      </c>
      <c r="E4107" s="19" t="s">
        <v>10459</v>
      </c>
      <c r="F4107" s="21">
        <f t="shared" ref="F4107:H4170" si="610">IF(L4107=0,"VERIFICAR",L4107)</f>
        <v>10.43</v>
      </c>
      <c r="G4107" s="21">
        <f t="shared" si="610"/>
        <v>10.43</v>
      </c>
      <c r="H4107" s="21">
        <f t="shared" si="610"/>
        <v>10.43</v>
      </c>
      <c r="I4107" s="24" t="str">
        <f t="shared" ref="I4107:I4170" si="611">IF(OR(L4107=0,M4107=0,N4107=0),"SEM VALOR","COM VALOR")</f>
        <v xml:space="preserve">COM VALOR</v>
      </c>
      <c r="L4107" s="36">
        <v>10.43</v>
      </c>
      <c r="M4107" s="37">
        <v>10.43</v>
      </c>
      <c r="N4107" s="36">
        <v>10.43</v>
      </c>
    </row>
    <row r="4108" ht="25.5">
      <c r="A4108" s="19" t="s">
        <v>10460</v>
      </c>
      <c r="B4108" s="19">
        <v>7122</v>
      </c>
      <c r="C4108" s="20" t="s">
        <v>14576</v>
      </c>
      <c r="D4108" s="19" t="s">
        <v>31</v>
      </c>
      <c r="E4108" s="19" t="s">
        <v>10459</v>
      </c>
      <c r="F4108" s="21">
        <f t="shared" si="610"/>
        <v>11.48</v>
      </c>
      <c r="G4108" s="21">
        <f t="shared" si="610"/>
        <v>11.48</v>
      </c>
      <c r="H4108" s="21">
        <f t="shared" si="610"/>
        <v>11.48</v>
      </c>
      <c r="I4108" s="24" t="str">
        <f t="shared" si="611"/>
        <v xml:space="preserve">COM VALOR</v>
      </c>
      <c r="L4108" s="36">
        <v>11.48</v>
      </c>
      <c r="M4108" s="37">
        <v>11.48</v>
      </c>
      <c r="N4108" s="36">
        <v>11.48</v>
      </c>
    </row>
    <row r="4109" ht="25.5">
      <c r="A4109" s="19" t="s">
        <v>10460</v>
      </c>
      <c r="B4109" s="19">
        <v>7114</v>
      </c>
      <c r="C4109" s="20" t="s">
        <v>14577</v>
      </c>
      <c r="D4109" s="19" t="s">
        <v>31</v>
      </c>
      <c r="E4109" s="19" t="s">
        <v>10459</v>
      </c>
      <c r="F4109" s="21">
        <f t="shared" si="610"/>
        <v>13.359999999999999</v>
      </c>
      <c r="G4109" s="21">
        <f t="shared" si="610"/>
        <v>13.359999999999999</v>
      </c>
      <c r="H4109" s="21">
        <f t="shared" si="610"/>
        <v>13.359999999999999</v>
      </c>
      <c r="I4109" s="24" t="str">
        <f t="shared" si="611"/>
        <v xml:space="preserve">COM VALOR</v>
      </c>
      <c r="L4109" s="36">
        <v>13.359999999999999</v>
      </c>
      <c r="M4109" s="37">
        <v>13.359999999999999</v>
      </c>
      <c r="N4109" s="36">
        <v>13.359999999999999</v>
      </c>
    </row>
    <row r="4110" ht="25.5">
      <c r="A4110" s="19" t="s">
        <v>10460</v>
      </c>
      <c r="B4110" s="19">
        <v>7109</v>
      </c>
      <c r="C4110" s="20" t="s">
        <v>14578</v>
      </c>
      <c r="D4110" s="19" t="s">
        <v>31</v>
      </c>
      <c r="E4110" s="19" t="s">
        <v>10459</v>
      </c>
      <c r="F4110" s="21">
        <f t="shared" si="610"/>
        <v>2.6400000000000001</v>
      </c>
      <c r="G4110" s="21">
        <f t="shared" si="610"/>
        <v>2.6400000000000001</v>
      </c>
      <c r="H4110" s="21">
        <f t="shared" si="610"/>
        <v>2.6400000000000001</v>
      </c>
      <c r="I4110" s="24" t="str">
        <f t="shared" si="611"/>
        <v xml:space="preserve">COM VALOR</v>
      </c>
      <c r="L4110" s="36">
        <v>2.6400000000000001</v>
      </c>
      <c r="M4110" s="37">
        <v>2.6400000000000001</v>
      </c>
      <c r="N4110" s="36">
        <v>2.6400000000000001</v>
      </c>
    </row>
    <row r="4111" ht="25.5">
      <c r="A4111" s="19" t="s">
        <v>10460</v>
      </c>
      <c r="B4111" s="19">
        <v>7135</v>
      </c>
      <c r="C4111" s="20" t="s">
        <v>14579</v>
      </c>
      <c r="D4111" s="19" t="s">
        <v>31</v>
      </c>
      <c r="E4111" s="19" t="s">
        <v>10459</v>
      </c>
      <c r="F4111" s="21">
        <f t="shared" si="610"/>
        <v>5.4199999999999999</v>
      </c>
      <c r="G4111" s="21">
        <f t="shared" si="610"/>
        <v>5.4199999999999999</v>
      </c>
      <c r="H4111" s="21">
        <f t="shared" si="610"/>
        <v>5.4199999999999999</v>
      </c>
      <c r="I4111" s="24" t="str">
        <f t="shared" si="611"/>
        <v xml:space="preserve">COM VALOR</v>
      </c>
      <c r="L4111" s="36">
        <v>5.4199999999999999</v>
      </c>
      <c r="M4111" s="37">
        <v>5.4199999999999999</v>
      </c>
      <c r="N4111" s="36">
        <v>5.4199999999999999</v>
      </c>
    </row>
    <row r="4112" ht="25.5">
      <c r="A4112" s="19" t="s">
        <v>10460</v>
      </c>
      <c r="B4112" s="19">
        <v>37947</v>
      </c>
      <c r="C4112" s="20" t="s">
        <v>14580</v>
      </c>
      <c r="D4112" s="19" t="s">
        <v>31</v>
      </c>
      <c r="E4112" s="19" t="s">
        <v>10459</v>
      </c>
      <c r="F4112" s="21">
        <f t="shared" si="610"/>
        <v>4.4100000000000001</v>
      </c>
      <c r="G4112" s="21">
        <f t="shared" si="610"/>
        <v>4.4100000000000001</v>
      </c>
      <c r="H4112" s="21">
        <f t="shared" si="610"/>
        <v>4.4100000000000001</v>
      </c>
      <c r="I4112" s="24" t="str">
        <f t="shared" si="611"/>
        <v xml:space="preserve">COM VALOR</v>
      </c>
      <c r="L4112" s="36">
        <v>4.4100000000000001</v>
      </c>
      <c r="M4112" s="37">
        <v>4.4100000000000001</v>
      </c>
      <c r="N4112" s="36">
        <v>4.4100000000000001</v>
      </c>
    </row>
    <row r="4113" ht="25.5">
      <c r="A4113" s="19" t="s">
        <v>10460</v>
      </c>
      <c r="B4113" s="19">
        <v>7103</v>
      </c>
      <c r="C4113" s="20" t="s">
        <v>14581</v>
      </c>
      <c r="D4113" s="19" t="s">
        <v>31</v>
      </c>
      <c r="E4113" s="19" t="s">
        <v>10459</v>
      </c>
      <c r="F4113" s="21">
        <f t="shared" si="610"/>
        <v>14.359999999999999</v>
      </c>
      <c r="G4113" s="21">
        <f t="shared" si="610"/>
        <v>14.359999999999999</v>
      </c>
      <c r="H4113" s="21">
        <f t="shared" si="610"/>
        <v>14.359999999999999</v>
      </c>
      <c r="I4113" s="24" t="str">
        <f t="shared" si="611"/>
        <v xml:space="preserve">COM VALOR</v>
      </c>
      <c r="L4113" s="36">
        <v>14.359999999999999</v>
      </c>
      <c r="M4113" s="37">
        <v>14.359999999999999</v>
      </c>
      <c r="N4113" s="36">
        <v>14.359999999999999</v>
      </c>
    </row>
    <row r="4114" ht="12.75">
      <c r="A4114" s="19" t="s">
        <v>10460</v>
      </c>
      <c r="B4114" s="19">
        <v>40419</v>
      </c>
      <c r="C4114" s="20" t="s">
        <v>14582</v>
      </c>
      <c r="D4114" s="19" t="s">
        <v>31</v>
      </c>
      <c r="E4114" s="19" t="s">
        <v>10459</v>
      </c>
      <c r="F4114" s="21" t="str">
        <f t="shared" si="610"/>
        <v>VERIFICAR</v>
      </c>
      <c r="G4114" s="21" t="str">
        <f t="shared" si="610"/>
        <v>VERIFICAR</v>
      </c>
      <c r="H4114" s="21" t="str">
        <f t="shared" si="610"/>
        <v>VERIFICAR</v>
      </c>
      <c r="I4114" s="24" t="str">
        <f t="shared" si="611"/>
        <v xml:space="preserve">SEM VALOR</v>
      </c>
      <c r="L4114" s="36"/>
      <c r="M4114" s="37"/>
      <c r="N4114" s="36"/>
    </row>
    <row r="4115" ht="12.75">
      <c r="A4115" s="19" t="s">
        <v>10460</v>
      </c>
      <c r="B4115" s="19">
        <v>40420</v>
      </c>
      <c r="C4115" s="20" t="s">
        <v>14583</v>
      </c>
      <c r="D4115" s="19" t="s">
        <v>31</v>
      </c>
      <c r="E4115" s="19" t="s">
        <v>10459</v>
      </c>
      <c r="F4115" s="21" t="str">
        <f t="shared" si="610"/>
        <v>VERIFICAR</v>
      </c>
      <c r="G4115" s="21" t="str">
        <f t="shared" si="610"/>
        <v>VERIFICAR</v>
      </c>
      <c r="H4115" s="21" t="str">
        <f t="shared" si="610"/>
        <v>VERIFICAR</v>
      </c>
      <c r="I4115" s="24" t="str">
        <f t="shared" si="611"/>
        <v xml:space="preserve">SEM VALOR</v>
      </c>
      <c r="L4115" s="36"/>
      <c r="M4115" s="37"/>
      <c r="N4115" s="36"/>
    </row>
    <row r="4116" ht="12.75">
      <c r="A4116" s="19" t="s">
        <v>10460</v>
      </c>
      <c r="B4116" s="19">
        <v>40421</v>
      </c>
      <c r="C4116" s="20" t="s">
        <v>14584</v>
      </c>
      <c r="D4116" s="19" t="s">
        <v>31</v>
      </c>
      <c r="E4116" s="19" t="s">
        <v>10459</v>
      </c>
      <c r="F4116" s="21" t="str">
        <f t="shared" si="610"/>
        <v>VERIFICAR</v>
      </c>
      <c r="G4116" s="21" t="str">
        <f t="shared" si="610"/>
        <v>VERIFICAR</v>
      </c>
      <c r="H4116" s="21" t="str">
        <f t="shared" si="610"/>
        <v>VERIFICAR</v>
      </c>
      <c r="I4116" s="24" t="str">
        <f t="shared" si="611"/>
        <v xml:space="preserve">SEM VALOR</v>
      </c>
      <c r="L4116" s="36"/>
      <c r="M4116" s="37"/>
      <c r="N4116" s="36"/>
    </row>
    <row r="4117" ht="38.25">
      <c r="A4117" s="19" t="s">
        <v>10460</v>
      </c>
      <c r="B4117" s="19">
        <v>38905</v>
      </c>
      <c r="C4117" s="20" t="s">
        <v>14585</v>
      </c>
      <c r="D4117" s="19" t="s">
        <v>31</v>
      </c>
      <c r="E4117" s="19" t="s">
        <v>10459</v>
      </c>
      <c r="F4117" s="21" t="str">
        <f t="shared" si="610"/>
        <v>VERIFICAR</v>
      </c>
      <c r="G4117" s="21" t="str">
        <f t="shared" si="610"/>
        <v>VERIFICAR</v>
      </c>
      <c r="H4117" s="21" t="str">
        <f t="shared" si="610"/>
        <v>VERIFICAR</v>
      </c>
      <c r="I4117" s="24" t="str">
        <f t="shared" si="611"/>
        <v xml:space="preserve">SEM VALOR</v>
      </c>
      <c r="L4117" s="36"/>
      <c r="M4117" s="37"/>
      <c r="N4117" s="36"/>
    </row>
    <row r="4118" ht="38.25">
      <c r="A4118" s="19" t="s">
        <v>10460</v>
      </c>
      <c r="B4118" s="19">
        <v>38907</v>
      </c>
      <c r="C4118" s="20" t="s">
        <v>14586</v>
      </c>
      <c r="D4118" s="19" t="s">
        <v>31</v>
      </c>
      <c r="E4118" s="19" t="s">
        <v>10459</v>
      </c>
      <c r="F4118" s="21" t="str">
        <f t="shared" si="610"/>
        <v>VERIFICAR</v>
      </c>
      <c r="G4118" s="21" t="str">
        <f t="shared" si="610"/>
        <v>VERIFICAR</v>
      </c>
      <c r="H4118" s="21" t="str">
        <f t="shared" si="610"/>
        <v>VERIFICAR</v>
      </c>
      <c r="I4118" s="24" t="str">
        <f t="shared" si="611"/>
        <v xml:space="preserve">SEM VALOR</v>
      </c>
      <c r="L4118" s="36"/>
      <c r="M4118" s="37"/>
      <c r="N4118" s="36"/>
    </row>
    <row r="4119" ht="38.25">
      <c r="A4119" s="19" t="s">
        <v>10460</v>
      </c>
      <c r="B4119" s="19">
        <v>38910</v>
      </c>
      <c r="C4119" s="20" t="s">
        <v>14587</v>
      </c>
      <c r="D4119" s="19" t="s">
        <v>31</v>
      </c>
      <c r="E4119" s="19" t="s">
        <v>10459</v>
      </c>
      <c r="F4119" s="21" t="str">
        <f t="shared" si="610"/>
        <v>VERIFICAR</v>
      </c>
      <c r="G4119" s="21" t="str">
        <f t="shared" si="610"/>
        <v>VERIFICAR</v>
      </c>
      <c r="H4119" s="21" t="str">
        <f t="shared" si="610"/>
        <v>VERIFICAR</v>
      </c>
      <c r="I4119" s="24" t="str">
        <f t="shared" si="611"/>
        <v xml:space="preserve">SEM VALOR</v>
      </c>
      <c r="L4119" s="36"/>
      <c r="M4119" s="37"/>
      <c r="N4119" s="36"/>
    </row>
    <row r="4120" ht="25.5">
      <c r="A4120" s="19" t="s">
        <v>10460</v>
      </c>
      <c r="B4120" s="19">
        <v>11655</v>
      </c>
      <c r="C4120" s="20" t="s">
        <v>14588</v>
      </c>
      <c r="D4120" s="19" t="s">
        <v>31</v>
      </c>
      <c r="E4120" s="19" t="s">
        <v>10459</v>
      </c>
      <c r="F4120" s="21">
        <f t="shared" si="610"/>
        <v>19.109999999999999</v>
      </c>
      <c r="G4120" s="21">
        <f t="shared" si="610"/>
        <v>19.109999999999999</v>
      </c>
      <c r="H4120" s="21">
        <f t="shared" si="610"/>
        <v>19.109999999999999</v>
      </c>
      <c r="I4120" s="24" t="str">
        <f t="shared" si="611"/>
        <v xml:space="preserve">COM VALOR</v>
      </c>
      <c r="L4120" s="36">
        <v>19.109999999999999</v>
      </c>
      <c r="M4120" s="37">
        <v>19.109999999999999</v>
      </c>
      <c r="N4120" s="36">
        <v>19.109999999999999</v>
      </c>
    </row>
    <row r="4121" ht="25.5">
      <c r="A4121" s="19" t="s">
        <v>10460</v>
      </c>
      <c r="B4121" s="19">
        <v>11656</v>
      </c>
      <c r="C4121" s="20" t="s">
        <v>14589</v>
      </c>
      <c r="D4121" s="19" t="s">
        <v>31</v>
      </c>
      <c r="E4121" s="19" t="s">
        <v>10459</v>
      </c>
      <c r="F4121" s="21">
        <f t="shared" si="610"/>
        <v>21.940000000000001</v>
      </c>
      <c r="G4121" s="21">
        <f t="shared" si="610"/>
        <v>21.940000000000001</v>
      </c>
      <c r="H4121" s="21">
        <f t="shared" si="610"/>
        <v>21.940000000000001</v>
      </c>
      <c r="I4121" s="24" t="str">
        <f t="shared" si="611"/>
        <v xml:space="preserve">COM VALOR</v>
      </c>
      <c r="L4121" s="36">
        <v>21.940000000000001</v>
      </c>
      <c r="M4121" s="37">
        <v>21.940000000000001</v>
      </c>
      <c r="N4121" s="36">
        <v>21.940000000000001</v>
      </c>
    </row>
    <row r="4122" ht="25.5">
      <c r="A4122" s="19" t="s">
        <v>10460</v>
      </c>
      <c r="B4122" s="19">
        <v>7091</v>
      </c>
      <c r="C4122" s="20" t="s">
        <v>14590</v>
      </c>
      <c r="D4122" s="19" t="s">
        <v>31</v>
      </c>
      <c r="E4122" s="19" t="s">
        <v>10459</v>
      </c>
      <c r="F4122" s="21">
        <f t="shared" si="610"/>
        <v>17.98</v>
      </c>
      <c r="G4122" s="21">
        <f t="shared" si="610"/>
        <v>17.98</v>
      </c>
      <c r="H4122" s="21">
        <f t="shared" si="610"/>
        <v>17.98</v>
      </c>
      <c r="I4122" s="24" t="str">
        <f t="shared" si="611"/>
        <v xml:space="preserve">COM VALOR</v>
      </c>
      <c r="L4122" s="36">
        <v>17.98</v>
      </c>
      <c r="M4122" s="37">
        <v>17.98</v>
      </c>
      <c r="N4122" s="36">
        <v>17.98</v>
      </c>
    </row>
    <row r="4123" ht="25.5">
      <c r="A4123" s="19" t="s">
        <v>10460</v>
      </c>
      <c r="B4123" s="19">
        <v>37948</v>
      </c>
      <c r="C4123" s="20" t="s">
        <v>14591</v>
      </c>
      <c r="D4123" s="19" t="s">
        <v>31</v>
      </c>
      <c r="E4123" s="19" t="s">
        <v>10459</v>
      </c>
      <c r="F4123" s="21">
        <f t="shared" si="610"/>
        <v>4.1600000000000001</v>
      </c>
      <c r="G4123" s="21">
        <f t="shared" si="610"/>
        <v>4.1600000000000001</v>
      </c>
      <c r="H4123" s="21">
        <f t="shared" si="610"/>
        <v>4.1600000000000001</v>
      </c>
      <c r="I4123" s="24" t="str">
        <f t="shared" si="611"/>
        <v xml:space="preserve">COM VALOR</v>
      </c>
      <c r="L4123" s="36">
        <v>4.1600000000000001</v>
      </c>
      <c r="M4123" s="37">
        <v>4.1600000000000001</v>
      </c>
      <c r="N4123" s="36">
        <v>4.1600000000000001</v>
      </c>
    </row>
    <row r="4124" ht="25.5">
      <c r="A4124" s="19" t="s">
        <v>10460</v>
      </c>
      <c r="B4124" s="19">
        <v>7097</v>
      </c>
      <c r="C4124" s="20" t="s">
        <v>14592</v>
      </c>
      <c r="D4124" s="19" t="s">
        <v>31</v>
      </c>
      <c r="E4124" s="19" t="s">
        <v>10459</v>
      </c>
      <c r="F4124" s="21">
        <f t="shared" si="610"/>
        <v>8.4399999999999995</v>
      </c>
      <c r="G4124" s="21">
        <f t="shared" si="610"/>
        <v>8.4399999999999995</v>
      </c>
      <c r="H4124" s="21">
        <f t="shared" si="610"/>
        <v>8.4399999999999995</v>
      </c>
      <c r="I4124" s="24" t="str">
        <f t="shared" si="611"/>
        <v xml:space="preserve">COM VALOR</v>
      </c>
      <c r="L4124" s="36">
        <v>8.4399999999999995</v>
      </c>
      <c r="M4124" s="37">
        <v>8.4399999999999995</v>
      </c>
      <c r="N4124" s="36">
        <v>8.4399999999999995</v>
      </c>
    </row>
    <row r="4125" ht="25.5">
      <c r="A4125" s="19" t="s">
        <v>10460</v>
      </c>
      <c r="B4125" s="19">
        <v>11658</v>
      </c>
      <c r="C4125" s="20" t="s">
        <v>14593</v>
      </c>
      <c r="D4125" s="19" t="s">
        <v>31</v>
      </c>
      <c r="E4125" s="19" t="s">
        <v>10459</v>
      </c>
      <c r="F4125" s="21">
        <f t="shared" si="610"/>
        <v>18.66</v>
      </c>
      <c r="G4125" s="21">
        <f t="shared" si="610"/>
        <v>18.66</v>
      </c>
      <c r="H4125" s="21">
        <f t="shared" si="610"/>
        <v>18.66</v>
      </c>
      <c r="I4125" s="24" t="str">
        <f t="shared" si="611"/>
        <v xml:space="preserve">COM VALOR</v>
      </c>
      <c r="L4125" s="36">
        <v>18.66</v>
      </c>
      <c r="M4125" s="37">
        <v>18.66</v>
      </c>
      <c r="N4125" s="36">
        <v>18.66</v>
      </c>
    </row>
    <row r="4126" ht="25.5">
      <c r="A4126" s="19" t="s">
        <v>10460</v>
      </c>
      <c r="B4126" s="19">
        <v>7146</v>
      </c>
      <c r="C4126" s="20" t="s">
        <v>14594</v>
      </c>
      <c r="D4126" s="19" t="s">
        <v>31</v>
      </c>
      <c r="E4126" s="19" t="s">
        <v>10459</v>
      </c>
      <c r="F4126" s="21">
        <f t="shared" si="610"/>
        <v>174.81999999999999</v>
      </c>
      <c r="G4126" s="21">
        <f t="shared" si="610"/>
        <v>174.81999999999999</v>
      </c>
      <c r="H4126" s="21">
        <f t="shared" si="610"/>
        <v>174.81999999999999</v>
      </c>
      <c r="I4126" s="24" t="str">
        <f t="shared" si="611"/>
        <v xml:space="preserve">COM VALOR</v>
      </c>
      <c r="L4126" s="36">
        <v>174.81999999999999</v>
      </c>
      <c r="M4126" s="37">
        <v>174.81999999999999</v>
      </c>
      <c r="N4126" s="36">
        <v>174.81999999999999</v>
      </c>
    </row>
    <row r="4127" ht="25.5">
      <c r="A4127" s="19" t="s">
        <v>10460</v>
      </c>
      <c r="B4127" s="19">
        <v>7138</v>
      </c>
      <c r="C4127" s="20" t="s">
        <v>14595</v>
      </c>
      <c r="D4127" s="19" t="s">
        <v>31</v>
      </c>
      <c r="E4127" s="19" t="s">
        <v>10459</v>
      </c>
      <c r="F4127" s="21">
        <f t="shared" si="610"/>
        <v>1.1100000000000001</v>
      </c>
      <c r="G4127" s="21">
        <f t="shared" si="610"/>
        <v>1.1100000000000001</v>
      </c>
      <c r="H4127" s="21">
        <f t="shared" si="610"/>
        <v>1.1100000000000001</v>
      </c>
      <c r="I4127" s="24" t="str">
        <f t="shared" si="611"/>
        <v xml:space="preserve">COM VALOR</v>
      </c>
      <c r="L4127" s="36">
        <v>1.1100000000000001</v>
      </c>
      <c r="M4127" s="37">
        <v>1.1100000000000001</v>
      </c>
      <c r="N4127" s="36">
        <v>1.1100000000000001</v>
      </c>
    </row>
    <row r="4128" ht="25.5">
      <c r="A4128" s="19" t="s">
        <v>10460</v>
      </c>
      <c r="B4128" s="19">
        <v>7139</v>
      </c>
      <c r="C4128" s="20" t="s">
        <v>14596</v>
      </c>
      <c r="D4128" s="19" t="s">
        <v>31</v>
      </c>
      <c r="E4128" s="19" t="s">
        <v>10459</v>
      </c>
      <c r="F4128" s="21">
        <f t="shared" si="610"/>
        <v>1.25</v>
      </c>
      <c r="G4128" s="21">
        <f t="shared" si="610"/>
        <v>1.25</v>
      </c>
      <c r="H4128" s="21">
        <f t="shared" si="610"/>
        <v>1.25</v>
      </c>
      <c r="I4128" s="24" t="str">
        <f t="shared" si="611"/>
        <v xml:space="preserve">COM VALOR</v>
      </c>
      <c r="L4128" s="36">
        <v>1.25</v>
      </c>
      <c r="M4128" s="37">
        <v>1.25</v>
      </c>
      <c r="N4128" s="36">
        <v>1.25</v>
      </c>
    </row>
    <row r="4129" ht="25.5">
      <c r="A4129" s="19" t="s">
        <v>10460</v>
      </c>
      <c r="B4129" s="19">
        <v>7140</v>
      </c>
      <c r="C4129" s="20" t="s">
        <v>14597</v>
      </c>
      <c r="D4129" s="19" t="s">
        <v>31</v>
      </c>
      <c r="E4129" s="19" t="s">
        <v>10459</v>
      </c>
      <c r="F4129" s="21">
        <f t="shared" si="610"/>
        <v>3.9300000000000002</v>
      </c>
      <c r="G4129" s="21">
        <f t="shared" si="610"/>
        <v>3.9300000000000002</v>
      </c>
      <c r="H4129" s="21">
        <f t="shared" si="610"/>
        <v>3.9300000000000002</v>
      </c>
      <c r="I4129" s="24" t="str">
        <f t="shared" si="611"/>
        <v xml:space="preserve">COM VALOR</v>
      </c>
      <c r="L4129" s="36">
        <v>3.9300000000000002</v>
      </c>
      <c r="M4129" s="37">
        <v>3.9300000000000002</v>
      </c>
      <c r="N4129" s="36">
        <v>3.9300000000000002</v>
      </c>
    </row>
    <row r="4130" ht="25.5">
      <c r="A4130" s="19" t="s">
        <v>10460</v>
      </c>
      <c r="B4130" s="19">
        <v>7141</v>
      </c>
      <c r="C4130" s="20" t="s">
        <v>14598</v>
      </c>
      <c r="D4130" s="19" t="s">
        <v>31</v>
      </c>
      <c r="E4130" s="19" t="s">
        <v>10459</v>
      </c>
      <c r="F4130" s="21">
        <f t="shared" si="610"/>
        <v>9.6199999999999992</v>
      </c>
      <c r="G4130" s="21">
        <f t="shared" si="610"/>
        <v>9.6199999999999992</v>
      </c>
      <c r="H4130" s="21">
        <f t="shared" si="610"/>
        <v>9.6199999999999992</v>
      </c>
      <c r="I4130" s="24" t="str">
        <f t="shared" si="611"/>
        <v xml:space="preserve">COM VALOR</v>
      </c>
      <c r="L4130" s="36">
        <v>9.6199999999999992</v>
      </c>
      <c r="M4130" s="37">
        <v>9.6199999999999992</v>
      </c>
      <c r="N4130" s="36">
        <v>9.6199999999999992</v>
      </c>
    </row>
    <row r="4131" ht="25.5">
      <c r="A4131" s="19" t="s">
        <v>10460</v>
      </c>
      <c r="B4131" s="19">
        <v>7143</v>
      </c>
      <c r="C4131" s="20" t="s">
        <v>14599</v>
      </c>
      <c r="D4131" s="19" t="s">
        <v>31</v>
      </c>
      <c r="E4131" s="19" t="s">
        <v>10459</v>
      </c>
      <c r="F4131" s="21">
        <f t="shared" si="610"/>
        <v>32.270000000000003</v>
      </c>
      <c r="G4131" s="21">
        <f t="shared" si="610"/>
        <v>32.270000000000003</v>
      </c>
      <c r="H4131" s="21">
        <f t="shared" si="610"/>
        <v>32.270000000000003</v>
      </c>
      <c r="I4131" s="24" t="str">
        <f t="shared" si="611"/>
        <v xml:space="preserve">COM VALOR</v>
      </c>
      <c r="L4131" s="36">
        <v>32.270000000000003</v>
      </c>
      <c r="M4131" s="37">
        <v>32.270000000000003</v>
      </c>
      <c r="N4131" s="36">
        <v>32.270000000000003</v>
      </c>
    </row>
    <row r="4132" ht="25.5">
      <c r="A4132" s="19" t="s">
        <v>10460</v>
      </c>
      <c r="B4132" s="19">
        <v>7144</v>
      </c>
      <c r="C4132" s="20" t="s">
        <v>14600</v>
      </c>
      <c r="D4132" s="19" t="s">
        <v>31</v>
      </c>
      <c r="E4132" s="19" t="s">
        <v>10459</v>
      </c>
      <c r="F4132" s="21">
        <f t="shared" si="610"/>
        <v>59.869999999999997</v>
      </c>
      <c r="G4132" s="21">
        <f t="shared" si="610"/>
        <v>59.869999999999997</v>
      </c>
      <c r="H4132" s="21">
        <f t="shared" si="610"/>
        <v>59.869999999999997</v>
      </c>
      <c r="I4132" s="24" t="str">
        <f t="shared" si="611"/>
        <v xml:space="preserve">COM VALOR</v>
      </c>
      <c r="L4132" s="36">
        <v>59.869999999999997</v>
      </c>
      <c r="M4132" s="37">
        <v>59.869999999999997</v>
      </c>
      <c r="N4132" s="36">
        <v>59.869999999999997</v>
      </c>
    </row>
    <row r="4133" ht="25.5">
      <c r="A4133" s="19" t="s">
        <v>10460</v>
      </c>
      <c r="B4133" s="19">
        <v>7145</v>
      </c>
      <c r="C4133" s="20" t="s">
        <v>14601</v>
      </c>
      <c r="D4133" s="19" t="s">
        <v>31</v>
      </c>
      <c r="E4133" s="19" t="s">
        <v>10459</v>
      </c>
      <c r="F4133" s="21">
        <f t="shared" si="610"/>
        <v>81.409999999999997</v>
      </c>
      <c r="G4133" s="21">
        <f t="shared" si="610"/>
        <v>81.409999999999997</v>
      </c>
      <c r="H4133" s="21">
        <f t="shared" si="610"/>
        <v>81.409999999999997</v>
      </c>
      <c r="I4133" s="24" t="str">
        <f t="shared" si="611"/>
        <v xml:space="preserve">COM VALOR</v>
      </c>
      <c r="L4133" s="36">
        <v>81.409999999999997</v>
      </c>
      <c r="M4133" s="37">
        <v>81.409999999999997</v>
      </c>
      <c r="N4133" s="36">
        <v>81.409999999999997</v>
      </c>
    </row>
    <row r="4134" ht="25.5">
      <c r="A4134" s="19" t="s">
        <v>10460</v>
      </c>
      <c r="B4134" s="19">
        <v>7142</v>
      </c>
      <c r="C4134" s="20" t="s">
        <v>14602</v>
      </c>
      <c r="D4134" s="19" t="s">
        <v>31</v>
      </c>
      <c r="E4134" s="19" t="s">
        <v>10459</v>
      </c>
      <c r="F4134" s="21">
        <f t="shared" si="610"/>
        <v>10.050000000000001</v>
      </c>
      <c r="G4134" s="21">
        <f t="shared" si="610"/>
        <v>10.050000000000001</v>
      </c>
      <c r="H4134" s="21">
        <f t="shared" si="610"/>
        <v>10.050000000000001</v>
      </c>
      <c r="I4134" s="24" t="str">
        <f t="shared" si="611"/>
        <v xml:space="preserve">COM VALOR</v>
      </c>
      <c r="L4134" s="36">
        <v>10.050000000000001</v>
      </c>
      <c r="M4134" s="37">
        <v>10.050000000000001</v>
      </c>
      <c r="N4134" s="36">
        <v>10.050000000000001</v>
      </c>
    </row>
    <row r="4135" ht="25.5">
      <c r="A4135" s="19" t="s">
        <v>10460</v>
      </c>
      <c r="B4135" s="19">
        <v>39322</v>
      </c>
      <c r="C4135" s="20" t="s">
        <v>14603</v>
      </c>
      <c r="D4135" s="19" t="s">
        <v>31</v>
      </c>
      <c r="E4135" s="19" t="s">
        <v>10459</v>
      </c>
      <c r="F4135" s="21" t="str">
        <f t="shared" si="610"/>
        <v>VERIFICAR</v>
      </c>
      <c r="G4135" s="21" t="str">
        <f t="shared" si="610"/>
        <v>VERIFICAR</v>
      </c>
      <c r="H4135" s="21" t="str">
        <f t="shared" si="610"/>
        <v>VERIFICAR</v>
      </c>
      <c r="I4135" s="24" t="str">
        <f t="shared" si="611"/>
        <v xml:space="preserve">SEM VALOR</v>
      </c>
      <c r="L4135" s="36"/>
      <c r="M4135" s="37"/>
      <c r="N4135" s="36"/>
    </row>
    <row r="4136" ht="25.5">
      <c r="A4136" s="19" t="s">
        <v>10460</v>
      </c>
      <c r="B4136" s="19">
        <v>39289</v>
      </c>
      <c r="C4136" s="20" t="s">
        <v>14604</v>
      </c>
      <c r="D4136" s="19" t="s">
        <v>31</v>
      </c>
      <c r="E4136" s="19" t="s">
        <v>10459</v>
      </c>
      <c r="F4136" s="21" t="str">
        <f t="shared" si="610"/>
        <v>VERIFICAR</v>
      </c>
      <c r="G4136" s="21" t="str">
        <f t="shared" si="610"/>
        <v>VERIFICAR</v>
      </c>
      <c r="H4136" s="21" t="str">
        <f t="shared" si="610"/>
        <v>VERIFICAR</v>
      </c>
      <c r="I4136" s="24" t="str">
        <f t="shared" si="611"/>
        <v xml:space="preserve">SEM VALOR</v>
      </c>
      <c r="L4136" s="36"/>
      <c r="M4136" s="37"/>
      <c r="N4136" s="36"/>
    </row>
    <row r="4137" ht="25.5">
      <c r="A4137" s="19" t="s">
        <v>10460</v>
      </c>
      <c r="B4137" s="19">
        <v>39290</v>
      </c>
      <c r="C4137" s="20" t="s">
        <v>14605</v>
      </c>
      <c r="D4137" s="19" t="s">
        <v>31</v>
      </c>
      <c r="E4137" s="19" t="s">
        <v>10459</v>
      </c>
      <c r="F4137" s="21" t="str">
        <f t="shared" si="610"/>
        <v>VERIFICAR</v>
      </c>
      <c r="G4137" s="21" t="str">
        <f t="shared" si="610"/>
        <v>VERIFICAR</v>
      </c>
      <c r="H4137" s="21" t="str">
        <f t="shared" si="610"/>
        <v>VERIFICAR</v>
      </c>
      <c r="I4137" s="24" t="str">
        <f t="shared" si="611"/>
        <v xml:space="preserve">SEM VALOR</v>
      </c>
      <c r="L4137" s="36"/>
      <c r="M4137" s="37"/>
      <c r="N4137" s="36"/>
    </row>
    <row r="4138" ht="25.5">
      <c r="A4138" s="19" t="s">
        <v>10460</v>
      </c>
      <c r="B4138" s="19">
        <v>39291</v>
      </c>
      <c r="C4138" s="20" t="s">
        <v>14606</v>
      </c>
      <c r="D4138" s="19" t="s">
        <v>31</v>
      </c>
      <c r="E4138" s="19" t="s">
        <v>10459</v>
      </c>
      <c r="F4138" s="21" t="str">
        <f t="shared" si="610"/>
        <v>VERIFICAR</v>
      </c>
      <c r="G4138" s="21" t="str">
        <f t="shared" si="610"/>
        <v>VERIFICAR</v>
      </c>
      <c r="H4138" s="21" t="str">
        <f t="shared" si="610"/>
        <v>VERIFICAR</v>
      </c>
      <c r="I4138" s="24" t="str">
        <f t="shared" si="611"/>
        <v xml:space="preserve">SEM VALOR</v>
      </c>
      <c r="L4138" s="36"/>
      <c r="M4138" s="37"/>
      <c r="N4138" s="36"/>
    </row>
    <row r="4139" ht="25.5">
      <c r="A4139" s="19" t="s">
        <v>10460</v>
      </c>
      <c r="B4139" s="19">
        <v>41892</v>
      </c>
      <c r="C4139" s="20" t="s">
        <v>14607</v>
      </c>
      <c r="D4139" s="19" t="s">
        <v>31</v>
      </c>
      <c r="E4139" s="19" t="s">
        <v>10459</v>
      </c>
      <c r="F4139" s="21">
        <f t="shared" si="610"/>
        <v>95.489999999999995</v>
      </c>
      <c r="G4139" s="21">
        <f t="shared" si="610"/>
        <v>95.489999999999995</v>
      </c>
      <c r="H4139" s="21">
        <f t="shared" si="610"/>
        <v>95.489999999999995</v>
      </c>
      <c r="I4139" s="24" t="str">
        <f t="shared" si="611"/>
        <v xml:space="preserve">COM VALOR</v>
      </c>
      <c r="L4139" s="36">
        <v>95.489999999999995</v>
      </c>
      <c r="M4139" s="37">
        <v>95.489999999999995</v>
      </c>
      <c r="N4139" s="36">
        <v>95.489999999999995</v>
      </c>
    </row>
    <row r="4140" ht="25.5">
      <c r="A4140" s="19" t="s">
        <v>10460</v>
      </c>
      <c r="B4140" s="19">
        <v>7048</v>
      </c>
      <c r="C4140" s="20" t="s">
        <v>14608</v>
      </c>
      <c r="D4140" s="19" t="s">
        <v>31</v>
      </c>
      <c r="E4140" s="19" t="s">
        <v>10459</v>
      </c>
      <c r="F4140" s="21">
        <f t="shared" si="610"/>
        <v>20.609999999999999</v>
      </c>
      <c r="G4140" s="21">
        <f t="shared" si="610"/>
        <v>20.609999999999999</v>
      </c>
      <c r="H4140" s="21">
        <f t="shared" si="610"/>
        <v>20.609999999999999</v>
      </c>
      <c r="I4140" s="24" t="str">
        <f t="shared" si="611"/>
        <v xml:space="preserve">COM VALOR</v>
      </c>
      <c r="L4140" s="36">
        <v>20.609999999999999</v>
      </c>
      <c r="M4140" s="37">
        <v>20.609999999999999</v>
      </c>
      <c r="N4140" s="36">
        <v>20.609999999999999</v>
      </c>
    </row>
    <row r="4141" ht="25.5">
      <c r="A4141" s="19" t="s">
        <v>10460</v>
      </c>
      <c r="B4141" s="19">
        <v>7088</v>
      </c>
      <c r="C4141" s="20" t="s">
        <v>14609</v>
      </c>
      <c r="D4141" s="19" t="s">
        <v>31</v>
      </c>
      <c r="E4141" s="19" t="s">
        <v>10459</v>
      </c>
      <c r="F4141" s="21">
        <f t="shared" si="610"/>
        <v>45.07</v>
      </c>
      <c r="G4141" s="21">
        <f t="shared" si="610"/>
        <v>45.07</v>
      </c>
      <c r="H4141" s="21">
        <f t="shared" si="610"/>
        <v>45.07</v>
      </c>
      <c r="I4141" s="24" t="str">
        <f t="shared" si="611"/>
        <v xml:space="preserve">COM VALOR</v>
      </c>
      <c r="L4141" s="36">
        <v>45.07</v>
      </c>
      <c r="M4141" s="37">
        <v>45.07</v>
      </c>
      <c r="N4141" s="36">
        <v>45.07</v>
      </c>
    </row>
    <row r="4142" ht="25.5">
      <c r="A4142" s="19" t="s">
        <v>10460</v>
      </c>
      <c r="B4142" s="19">
        <v>7070</v>
      </c>
      <c r="C4142" s="20" t="s">
        <v>14610</v>
      </c>
      <c r="D4142" s="19" t="s">
        <v>31</v>
      </c>
      <c r="E4142" s="19" t="s">
        <v>10459</v>
      </c>
      <c r="F4142" s="21">
        <f t="shared" si="610"/>
        <v>231.28999999999999</v>
      </c>
      <c r="G4142" s="21">
        <f t="shared" si="610"/>
        <v>231.28999999999999</v>
      </c>
      <c r="H4142" s="21">
        <f t="shared" si="610"/>
        <v>231.28999999999999</v>
      </c>
      <c r="I4142" s="24" t="str">
        <f t="shared" si="611"/>
        <v xml:space="preserve">COM VALOR</v>
      </c>
      <c r="L4142" s="36">
        <v>231.28999999999999</v>
      </c>
      <c r="M4142" s="37">
        <v>231.28999999999999</v>
      </c>
      <c r="N4142" s="36">
        <v>231.28999999999999</v>
      </c>
    </row>
    <row r="4143" ht="12.75">
      <c r="A4143" s="19" t="s">
        <v>10460</v>
      </c>
      <c r="B4143" s="19">
        <v>20179</v>
      </c>
      <c r="C4143" s="20" t="s">
        <v>14611</v>
      </c>
      <c r="D4143" s="19" t="s">
        <v>31</v>
      </c>
      <c r="E4143" s="19" t="s">
        <v>10459</v>
      </c>
      <c r="F4143" s="21">
        <f t="shared" si="610"/>
        <v>49.189999999999998</v>
      </c>
      <c r="G4143" s="21">
        <f t="shared" si="610"/>
        <v>49.189999999999998</v>
      </c>
      <c r="H4143" s="21">
        <f t="shared" si="610"/>
        <v>49.189999999999998</v>
      </c>
      <c r="I4143" s="24" t="str">
        <f t="shared" si="611"/>
        <v xml:space="preserve">COM VALOR</v>
      </c>
      <c r="L4143" s="36">
        <v>49.189999999999998</v>
      </c>
      <c r="M4143" s="37">
        <v>49.189999999999998</v>
      </c>
      <c r="N4143" s="36">
        <v>49.189999999999998</v>
      </c>
    </row>
    <row r="4144" ht="12.75">
      <c r="A4144" s="19" t="s">
        <v>10460</v>
      </c>
      <c r="B4144" s="19">
        <v>20178</v>
      </c>
      <c r="C4144" s="20" t="s">
        <v>14612</v>
      </c>
      <c r="D4144" s="19" t="s">
        <v>31</v>
      </c>
      <c r="E4144" s="19" t="s">
        <v>10459</v>
      </c>
      <c r="F4144" s="21">
        <f t="shared" si="610"/>
        <v>58.960000000000001</v>
      </c>
      <c r="G4144" s="21">
        <f t="shared" si="610"/>
        <v>58.960000000000001</v>
      </c>
      <c r="H4144" s="21">
        <f t="shared" si="610"/>
        <v>58.960000000000001</v>
      </c>
      <c r="I4144" s="24" t="str">
        <f t="shared" si="611"/>
        <v xml:space="preserve">COM VALOR</v>
      </c>
      <c r="L4144" s="36">
        <v>58.960000000000001</v>
      </c>
      <c r="M4144" s="37">
        <v>58.960000000000001</v>
      </c>
      <c r="N4144" s="36">
        <v>58.960000000000001</v>
      </c>
    </row>
    <row r="4145" ht="12.75">
      <c r="A4145" s="19" t="s">
        <v>10460</v>
      </c>
      <c r="B4145" s="19">
        <v>20180</v>
      </c>
      <c r="C4145" s="20" t="s">
        <v>14613</v>
      </c>
      <c r="D4145" s="19" t="s">
        <v>31</v>
      </c>
      <c r="E4145" s="19" t="s">
        <v>10459</v>
      </c>
      <c r="F4145" s="21">
        <f t="shared" si="610"/>
        <v>97.319999999999993</v>
      </c>
      <c r="G4145" s="21">
        <f t="shared" si="610"/>
        <v>97.319999999999993</v>
      </c>
      <c r="H4145" s="21">
        <f t="shared" si="610"/>
        <v>97.319999999999993</v>
      </c>
      <c r="I4145" s="24" t="str">
        <f t="shared" si="611"/>
        <v xml:space="preserve">COM VALOR</v>
      </c>
      <c r="L4145" s="36">
        <v>97.319999999999993</v>
      </c>
      <c r="M4145" s="37">
        <v>97.319999999999993</v>
      </c>
      <c r="N4145" s="36">
        <v>97.319999999999993</v>
      </c>
    </row>
    <row r="4146" ht="12.75">
      <c r="A4146" s="19" t="s">
        <v>10460</v>
      </c>
      <c r="B4146" s="19">
        <v>20181</v>
      </c>
      <c r="C4146" s="20" t="s">
        <v>14614</v>
      </c>
      <c r="D4146" s="19" t="s">
        <v>31</v>
      </c>
      <c r="E4146" s="19" t="s">
        <v>10459</v>
      </c>
      <c r="F4146" s="21">
        <f t="shared" si="610"/>
        <v>130.30000000000001</v>
      </c>
      <c r="G4146" s="21">
        <f t="shared" si="610"/>
        <v>130.30000000000001</v>
      </c>
      <c r="H4146" s="21">
        <f t="shared" si="610"/>
        <v>130.30000000000001</v>
      </c>
      <c r="I4146" s="24" t="str">
        <f t="shared" si="611"/>
        <v xml:space="preserve">COM VALOR</v>
      </c>
      <c r="L4146" s="36">
        <v>130.30000000000001</v>
      </c>
      <c r="M4146" s="37">
        <v>130.30000000000001</v>
      </c>
      <c r="N4146" s="36">
        <v>130.30000000000001</v>
      </c>
    </row>
    <row r="4147" ht="12.75">
      <c r="A4147" s="19" t="s">
        <v>10460</v>
      </c>
      <c r="B4147" s="19">
        <v>20177</v>
      </c>
      <c r="C4147" s="20" t="s">
        <v>14615</v>
      </c>
      <c r="D4147" s="19" t="s">
        <v>31</v>
      </c>
      <c r="E4147" s="19" t="s">
        <v>10459</v>
      </c>
      <c r="F4147" s="21">
        <f t="shared" si="610"/>
        <v>32.229999999999997</v>
      </c>
      <c r="G4147" s="21">
        <f t="shared" si="610"/>
        <v>32.229999999999997</v>
      </c>
      <c r="H4147" s="21">
        <f t="shared" si="610"/>
        <v>32.229999999999997</v>
      </c>
      <c r="I4147" s="24" t="str">
        <f t="shared" si="611"/>
        <v xml:space="preserve">COM VALOR</v>
      </c>
      <c r="L4147" s="36">
        <v>32.229999999999997</v>
      </c>
      <c r="M4147" s="37">
        <v>32.229999999999997</v>
      </c>
      <c r="N4147" s="36">
        <v>32.229999999999997</v>
      </c>
    </row>
    <row r="4148" ht="12.75">
      <c r="A4148" s="19" t="s">
        <v>10604</v>
      </c>
      <c r="B4148" s="19">
        <v>40945</v>
      </c>
      <c r="C4148" s="20" t="s">
        <v>14616</v>
      </c>
      <c r="D4148" s="19" t="s">
        <v>2032</v>
      </c>
      <c r="E4148" s="19" t="s">
        <v>10459</v>
      </c>
      <c r="F4148" s="21">
        <f t="shared" si="610"/>
        <v>25.079999999999998</v>
      </c>
      <c r="G4148" s="21">
        <f t="shared" si="610"/>
        <v>25.079999999999998</v>
      </c>
      <c r="H4148" s="21">
        <f t="shared" si="610"/>
        <v>25.079999999999998</v>
      </c>
      <c r="I4148" s="24" t="str">
        <f t="shared" si="611"/>
        <v xml:space="preserve">COM VALOR</v>
      </c>
      <c r="L4148" s="36">
        <v>25.079999999999998</v>
      </c>
      <c r="M4148" s="37">
        <v>25.079999999999998</v>
      </c>
      <c r="N4148" s="36">
        <v>25.079999999999998</v>
      </c>
    </row>
    <row r="4149" ht="12.75">
      <c r="A4149" s="19" t="s">
        <v>10604</v>
      </c>
      <c r="B4149" s="19">
        <v>40946</v>
      </c>
      <c r="C4149" s="20" t="s">
        <v>14617</v>
      </c>
      <c r="D4149" s="19" t="s">
        <v>7087</v>
      </c>
      <c r="E4149" s="19" t="s">
        <v>10459</v>
      </c>
      <c r="F4149" s="21">
        <f t="shared" si="610"/>
        <v>4393.0100000000002</v>
      </c>
      <c r="G4149" s="21">
        <f t="shared" si="610"/>
        <v>4393.0100000000002</v>
      </c>
      <c r="H4149" s="21">
        <f t="shared" si="610"/>
        <v>4393.0100000000002</v>
      </c>
      <c r="I4149" s="24" t="str">
        <f t="shared" si="611"/>
        <v xml:space="preserve">COM VALOR</v>
      </c>
      <c r="L4149" s="36">
        <v>4393.0100000000002</v>
      </c>
      <c r="M4149" s="37">
        <v>4393.0100000000002</v>
      </c>
      <c r="N4149" s="36">
        <v>4393.0100000000002</v>
      </c>
    </row>
    <row r="4150" ht="25.5">
      <c r="A4150" s="19" t="s">
        <v>10604</v>
      </c>
      <c r="B4150" s="19">
        <v>7153</v>
      </c>
      <c r="C4150" s="20" t="s">
        <v>14618</v>
      </c>
      <c r="D4150" s="19" t="s">
        <v>2032</v>
      </c>
      <c r="E4150" s="19" t="s">
        <v>10459</v>
      </c>
      <c r="F4150" s="21">
        <f t="shared" si="610"/>
        <v>36.859999999999999</v>
      </c>
      <c r="G4150" s="21">
        <f t="shared" si="610"/>
        <v>36.859999999999999</v>
      </c>
      <c r="H4150" s="21">
        <f t="shared" si="610"/>
        <v>36.859999999999999</v>
      </c>
      <c r="I4150" s="24" t="str">
        <f t="shared" si="611"/>
        <v xml:space="preserve">COM VALOR</v>
      </c>
      <c r="L4150" s="36">
        <v>36.859999999999999</v>
      </c>
      <c r="M4150" s="37">
        <v>36.859999999999999</v>
      </c>
      <c r="N4150" s="36">
        <v>36.859999999999999</v>
      </c>
    </row>
    <row r="4151" ht="25.5">
      <c r="A4151" s="19" t="s">
        <v>10604</v>
      </c>
      <c r="B4151" s="19">
        <v>41089</v>
      </c>
      <c r="C4151" s="20" t="s">
        <v>14619</v>
      </c>
      <c r="D4151" s="19" t="s">
        <v>7087</v>
      </c>
      <c r="E4151" s="19" t="s">
        <v>10459</v>
      </c>
      <c r="F4151" s="21">
        <f t="shared" si="610"/>
        <v>6452.9300000000003</v>
      </c>
      <c r="G4151" s="21">
        <f t="shared" si="610"/>
        <v>6452.9300000000003</v>
      </c>
      <c r="H4151" s="21">
        <f t="shared" si="610"/>
        <v>6452.9300000000003</v>
      </c>
      <c r="I4151" s="24" t="str">
        <f t="shared" si="611"/>
        <v xml:space="preserve">COM VALOR</v>
      </c>
      <c r="L4151" s="36">
        <v>6452.9300000000003</v>
      </c>
      <c r="M4151" s="37">
        <v>6452.9300000000003</v>
      </c>
      <c r="N4151" s="36">
        <v>6452.9300000000003</v>
      </c>
    </row>
    <row r="4152" ht="12.75">
      <c r="A4152" s="19" t="s">
        <v>10604</v>
      </c>
      <c r="B4152" s="19">
        <v>40943</v>
      </c>
      <c r="C4152" s="20" t="s">
        <v>14620</v>
      </c>
      <c r="D4152" s="19" t="s">
        <v>2032</v>
      </c>
      <c r="E4152" s="19" t="s">
        <v>10459</v>
      </c>
      <c r="F4152" s="21">
        <f t="shared" si="610"/>
        <v>35.439999999999998</v>
      </c>
      <c r="G4152" s="21">
        <f t="shared" si="610"/>
        <v>35.439999999999998</v>
      </c>
      <c r="H4152" s="21">
        <f t="shared" si="610"/>
        <v>35.439999999999998</v>
      </c>
      <c r="I4152" s="24" t="str">
        <f t="shared" si="611"/>
        <v xml:space="preserve">COM VALOR</v>
      </c>
      <c r="L4152" s="36">
        <v>35.439999999999998</v>
      </c>
      <c r="M4152" s="37">
        <v>35.439999999999998</v>
      </c>
      <c r="N4152" s="36">
        <v>35.439999999999998</v>
      </c>
    </row>
    <row r="4153" ht="12.75">
      <c r="A4153" s="19" t="s">
        <v>10604</v>
      </c>
      <c r="B4153" s="19">
        <v>40944</v>
      </c>
      <c r="C4153" s="20" t="s">
        <v>14621</v>
      </c>
      <c r="D4153" s="19" t="s">
        <v>7087</v>
      </c>
      <c r="E4153" s="19" t="s">
        <v>10459</v>
      </c>
      <c r="F4153" s="21">
        <f t="shared" si="610"/>
        <v>6204.7399999999998</v>
      </c>
      <c r="G4153" s="21">
        <f t="shared" si="610"/>
        <v>6204.7399999999998</v>
      </c>
      <c r="H4153" s="21">
        <f t="shared" si="610"/>
        <v>6204.7399999999998</v>
      </c>
      <c r="I4153" s="24" t="str">
        <f t="shared" si="611"/>
        <v xml:space="preserve">COM VALOR</v>
      </c>
      <c r="L4153" s="36">
        <v>6204.7399999999998</v>
      </c>
      <c r="M4153" s="37">
        <v>6204.7399999999998</v>
      </c>
      <c r="N4153" s="36">
        <v>6204.7399999999998</v>
      </c>
    </row>
    <row r="4154" ht="12.75">
      <c r="A4154" s="19" t="s">
        <v>10604</v>
      </c>
      <c r="B4154" s="19">
        <v>6175</v>
      </c>
      <c r="C4154" s="20" t="s">
        <v>14622</v>
      </c>
      <c r="D4154" s="19" t="s">
        <v>2032</v>
      </c>
      <c r="E4154" s="19" t="s">
        <v>10459</v>
      </c>
      <c r="F4154" s="21">
        <f t="shared" si="610"/>
        <v>49.390000000000001</v>
      </c>
      <c r="G4154" s="21">
        <f t="shared" si="610"/>
        <v>49.390000000000001</v>
      </c>
      <c r="H4154" s="21">
        <f t="shared" si="610"/>
        <v>49.390000000000001</v>
      </c>
      <c r="I4154" s="24" t="str">
        <f t="shared" si="611"/>
        <v xml:space="preserve">COM VALOR</v>
      </c>
      <c r="L4154" s="36">
        <v>49.390000000000001</v>
      </c>
      <c r="M4154" s="37">
        <v>49.390000000000001</v>
      </c>
      <c r="N4154" s="36">
        <v>49.390000000000001</v>
      </c>
    </row>
    <row r="4155" ht="12.75">
      <c r="A4155" s="19" t="s">
        <v>10604</v>
      </c>
      <c r="B4155" s="19">
        <v>41092</v>
      </c>
      <c r="C4155" s="20" t="s">
        <v>14623</v>
      </c>
      <c r="D4155" s="19" t="s">
        <v>7087</v>
      </c>
      <c r="E4155" s="19" t="s">
        <v>10459</v>
      </c>
      <c r="F4155" s="21">
        <f t="shared" si="610"/>
        <v>8645.4799999999996</v>
      </c>
      <c r="G4155" s="21">
        <f t="shared" si="610"/>
        <v>8645.4799999999996</v>
      </c>
      <c r="H4155" s="21">
        <f t="shared" si="610"/>
        <v>8645.4799999999996</v>
      </c>
      <c r="I4155" s="24" t="str">
        <f t="shared" si="611"/>
        <v xml:space="preserve">COM VALOR</v>
      </c>
      <c r="L4155" s="36">
        <v>8645.4799999999996</v>
      </c>
      <c r="M4155" s="37">
        <v>8645.4799999999996</v>
      </c>
      <c r="N4155" s="36">
        <v>8645.4799999999996</v>
      </c>
    </row>
    <row r="4156" ht="38.25">
      <c r="A4156" s="19" t="s">
        <v>10460</v>
      </c>
      <c r="B4156" s="19">
        <v>37712</v>
      </c>
      <c r="C4156" s="20" t="s">
        <v>14624</v>
      </c>
      <c r="D4156" s="19" t="s">
        <v>29</v>
      </c>
      <c r="E4156" s="19" t="s">
        <v>10459</v>
      </c>
      <c r="F4156" s="21">
        <f t="shared" si="610"/>
        <v>57.369999999999997</v>
      </c>
      <c r="G4156" s="21">
        <f t="shared" si="610"/>
        <v>57.369999999999997</v>
      </c>
      <c r="H4156" s="21">
        <f t="shared" si="610"/>
        <v>57.369999999999997</v>
      </c>
      <c r="I4156" s="24" t="str">
        <f t="shared" si="611"/>
        <v xml:space="preserve">COM VALOR</v>
      </c>
      <c r="L4156" s="36">
        <v>57.369999999999997</v>
      </c>
      <c r="M4156" s="37">
        <v>57.369999999999997</v>
      </c>
      <c r="N4156" s="36">
        <v>57.369999999999997</v>
      </c>
    </row>
    <row r="4157" ht="38.25">
      <c r="A4157" s="19" t="s">
        <v>10460</v>
      </c>
      <c r="B4157" s="19">
        <v>34558</v>
      </c>
      <c r="C4157" s="20" t="s">
        <v>14625</v>
      </c>
      <c r="D4157" s="19" t="s">
        <v>38</v>
      </c>
      <c r="E4157" s="19" t="s">
        <v>10459</v>
      </c>
      <c r="F4157" s="21">
        <f t="shared" si="610"/>
        <v>2.9199999999999999</v>
      </c>
      <c r="G4157" s="21">
        <f t="shared" si="610"/>
        <v>2.9199999999999999</v>
      </c>
      <c r="H4157" s="21">
        <f t="shared" si="610"/>
        <v>2.9199999999999999</v>
      </c>
      <c r="I4157" s="24" t="str">
        <f t="shared" si="611"/>
        <v xml:space="preserve">COM VALOR</v>
      </c>
      <c r="L4157" s="36">
        <v>2.9199999999999999</v>
      </c>
      <c r="M4157" s="37">
        <v>2.9199999999999999</v>
      </c>
      <c r="N4157" s="36">
        <v>2.9199999999999999</v>
      </c>
    </row>
    <row r="4158" ht="38.25">
      <c r="A4158" s="19" t="s">
        <v>10460</v>
      </c>
      <c r="B4158" s="19">
        <v>34547</v>
      </c>
      <c r="C4158" s="20" t="s">
        <v>14626</v>
      </c>
      <c r="D4158" s="19" t="s">
        <v>38</v>
      </c>
      <c r="E4158" s="19" t="s">
        <v>10459</v>
      </c>
      <c r="F4158" s="21">
        <f t="shared" si="610"/>
        <v>3.5899999999999999</v>
      </c>
      <c r="G4158" s="21">
        <f t="shared" si="610"/>
        <v>3.5899999999999999</v>
      </c>
      <c r="H4158" s="21">
        <f t="shared" si="610"/>
        <v>3.5899999999999999</v>
      </c>
      <c r="I4158" s="24" t="str">
        <f t="shared" si="611"/>
        <v xml:space="preserve">COM VALOR</v>
      </c>
      <c r="L4158" s="36">
        <v>3.5899999999999999</v>
      </c>
      <c r="M4158" s="37">
        <v>3.5899999999999999</v>
      </c>
      <c r="N4158" s="36">
        <v>3.5899999999999999</v>
      </c>
    </row>
    <row r="4159" ht="38.25">
      <c r="A4159" s="19" t="s">
        <v>10460</v>
      </c>
      <c r="B4159" s="19">
        <v>34548</v>
      </c>
      <c r="C4159" s="20" t="s">
        <v>14627</v>
      </c>
      <c r="D4159" s="19" t="s">
        <v>38</v>
      </c>
      <c r="E4159" s="19" t="s">
        <v>10459</v>
      </c>
      <c r="F4159" s="21">
        <f t="shared" si="610"/>
        <v>5.8899999999999997</v>
      </c>
      <c r="G4159" s="21">
        <f t="shared" si="610"/>
        <v>5.8899999999999997</v>
      </c>
      <c r="H4159" s="21">
        <f t="shared" si="610"/>
        <v>5.8899999999999997</v>
      </c>
      <c r="I4159" s="24" t="str">
        <f t="shared" si="611"/>
        <v xml:space="preserve">COM VALOR</v>
      </c>
      <c r="L4159" s="36">
        <v>5.8899999999999997</v>
      </c>
      <c r="M4159" s="37">
        <v>5.8899999999999997</v>
      </c>
      <c r="N4159" s="36">
        <v>5.8899999999999997</v>
      </c>
    </row>
    <row r="4160" ht="38.25">
      <c r="A4160" s="19" t="s">
        <v>10460</v>
      </c>
      <c r="B4160" s="19">
        <v>34550</v>
      </c>
      <c r="C4160" s="20" t="s">
        <v>14628</v>
      </c>
      <c r="D4160" s="19" t="s">
        <v>38</v>
      </c>
      <c r="E4160" s="19" t="s">
        <v>10459</v>
      </c>
      <c r="F4160" s="21">
        <f t="shared" si="610"/>
        <v>1.55</v>
      </c>
      <c r="G4160" s="21">
        <f t="shared" si="610"/>
        <v>1.55</v>
      </c>
      <c r="H4160" s="21">
        <f t="shared" si="610"/>
        <v>1.55</v>
      </c>
      <c r="I4160" s="24" t="str">
        <f t="shared" si="611"/>
        <v xml:space="preserve">COM VALOR</v>
      </c>
      <c r="L4160" s="36">
        <v>1.55</v>
      </c>
      <c r="M4160" s="37">
        <v>1.55</v>
      </c>
      <c r="N4160" s="36">
        <v>1.55</v>
      </c>
    </row>
    <row r="4161" ht="38.25">
      <c r="A4161" s="19" t="s">
        <v>10460</v>
      </c>
      <c r="B4161" s="19">
        <v>34557</v>
      </c>
      <c r="C4161" s="20" t="s">
        <v>14629</v>
      </c>
      <c r="D4161" s="19" t="s">
        <v>38</v>
      </c>
      <c r="E4161" s="19" t="s">
        <v>10459</v>
      </c>
      <c r="F4161" s="21">
        <f t="shared" si="610"/>
        <v>2.27</v>
      </c>
      <c r="G4161" s="21">
        <f t="shared" si="610"/>
        <v>2.27</v>
      </c>
      <c r="H4161" s="21">
        <f t="shared" si="610"/>
        <v>2.27</v>
      </c>
      <c r="I4161" s="24" t="str">
        <f t="shared" si="611"/>
        <v xml:space="preserve">COM VALOR</v>
      </c>
      <c r="L4161" s="36">
        <v>2.27</v>
      </c>
      <c r="M4161" s="37">
        <v>2.27</v>
      </c>
      <c r="N4161" s="36">
        <v>2.27</v>
      </c>
    </row>
    <row r="4162" ht="25.5">
      <c r="A4162" s="19" t="s">
        <v>10460</v>
      </c>
      <c r="B4162" s="19">
        <v>37411</v>
      </c>
      <c r="C4162" s="20" t="s">
        <v>14630</v>
      </c>
      <c r="D4162" s="19" t="s">
        <v>29</v>
      </c>
      <c r="E4162" s="19" t="s">
        <v>10459</v>
      </c>
      <c r="F4162" s="21">
        <f t="shared" si="610"/>
        <v>16.620000000000001</v>
      </c>
      <c r="G4162" s="21">
        <f t="shared" si="610"/>
        <v>16.620000000000001</v>
      </c>
      <c r="H4162" s="21">
        <f t="shared" si="610"/>
        <v>16.620000000000001</v>
      </c>
      <c r="I4162" s="24" t="str">
        <f t="shared" si="611"/>
        <v xml:space="preserve">COM VALOR</v>
      </c>
      <c r="L4162" s="36">
        <v>16.620000000000001</v>
      </c>
      <c r="M4162" s="37">
        <v>16.620000000000001</v>
      </c>
      <c r="N4162" s="36">
        <v>16.620000000000001</v>
      </c>
    </row>
    <row r="4163" ht="38.25">
      <c r="A4163" s="19" t="s">
        <v>10460</v>
      </c>
      <c r="B4163" s="19">
        <v>39508</v>
      </c>
      <c r="C4163" s="20" t="s">
        <v>14631</v>
      </c>
      <c r="D4163" s="19" t="s">
        <v>29</v>
      </c>
      <c r="E4163" s="19" t="s">
        <v>10459</v>
      </c>
      <c r="F4163" s="21">
        <f t="shared" si="610"/>
        <v>9.3300000000000001</v>
      </c>
      <c r="G4163" s="21">
        <f t="shared" si="610"/>
        <v>9.3300000000000001</v>
      </c>
      <c r="H4163" s="21">
        <f t="shared" si="610"/>
        <v>9.3300000000000001</v>
      </c>
      <c r="I4163" s="24" t="str">
        <f t="shared" si="611"/>
        <v xml:space="preserve">COM VALOR</v>
      </c>
      <c r="L4163" s="36">
        <v>9.3300000000000001</v>
      </c>
      <c r="M4163" s="37">
        <v>9.3300000000000001</v>
      </c>
      <c r="N4163" s="36">
        <v>9.3300000000000001</v>
      </c>
    </row>
    <row r="4164" ht="38.25">
      <c r="A4164" s="19" t="s">
        <v>10460</v>
      </c>
      <c r="B4164" s="19">
        <v>39507</v>
      </c>
      <c r="C4164" s="20" t="s">
        <v>14632</v>
      </c>
      <c r="D4164" s="19" t="s">
        <v>29</v>
      </c>
      <c r="E4164" s="19" t="s">
        <v>10459</v>
      </c>
      <c r="F4164" s="21">
        <f t="shared" si="610"/>
        <v>13.93</v>
      </c>
      <c r="G4164" s="21">
        <f t="shared" si="610"/>
        <v>13.93</v>
      </c>
      <c r="H4164" s="21">
        <f t="shared" si="610"/>
        <v>13.93</v>
      </c>
      <c r="I4164" s="24" t="str">
        <f t="shared" si="611"/>
        <v xml:space="preserve">COM VALOR</v>
      </c>
      <c r="L4164" s="36">
        <v>13.93</v>
      </c>
      <c r="M4164" s="37">
        <v>13.93</v>
      </c>
      <c r="N4164" s="36">
        <v>13.93</v>
      </c>
    </row>
    <row r="4165" ht="38.25">
      <c r="A4165" s="19" t="s">
        <v>10460</v>
      </c>
      <c r="B4165" s="19">
        <v>7155</v>
      </c>
      <c r="C4165" s="20" t="s">
        <v>14633</v>
      </c>
      <c r="D4165" s="19" t="s">
        <v>29</v>
      </c>
      <c r="E4165" s="19" t="s">
        <v>10459</v>
      </c>
      <c r="F4165" s="21">
        <f t="shared" si="610"/>
        <v>17.879999999999999</v>
      </c>
      <c r="G4165" s="21">
        <f t="shared" si="610"/>
        <v>17.879999999999999</v>
      </c>
      <c r="H4165" s="21">
        <f t="shared" si="610"/>
        <v>17.879999999999999</v>
      </c>
      <c r="I4165" s="24" t="str">
        <f t="shared" si="611"/>
        <v xml:space="preserve">COM VALOR</v>
      </c>
      <c r="L4165" s="36">
        <v>17.879999999999999</v>
      </c>
      <c r="M4165" s="37">
        <v>17.879999999999999</v>
      </c>
      <c r="N4165" s="36">
        <v>17.879999999999999</v>
      </c>
    </row>
    <row r="4166" ht="38.25">
      <c r="A4166" s="19" t="s">
        <v>10460</v>
      </c>
      <c r="B4166" s="19">
        <v>42406</v>
      </c>
      <c r="C4166" s="20" t="s">
        <v>14634</v>
      </c>
      <c r="D4166" s="19" t="s">
        <v>29</v>
      </c>
      <c r="E4166" s="19" t="s">
        <v>10459</v>
      </c>
      <c r="F4166" s="21">
        <f t="shared" si="610"/>
        <v>20.5</v>
      </c>
      <c r="G4166" s="21">
        <f t="shared" si="610"/>
        <v>20.5</v>
      </c>
      <c r="H4166" s="21">
        <f t="shared" si="610"/>
        <v>20.5</v>
      </c>
      <c r="I4166" s="24" t="str">
        <f t="shared" si="611"/>
        <v xml:space="preserve">COM VALOR</v>
      </c>
      <c r="L4166" s="36">
        <v>20.5</v>
      </c>
      <c r="M4166" s="37">
        <v>20.5</v>
      </c>
      <c r="N4166" s="36">
        <v>20.5</v>
      </c>
    </row>
    <row r="4167" ht="38.25">
      <c r="A4167" s="19" t="s">
        <v>10460</v>
      </c>
      <c r="B4167" s="19">
        <v>7156</v>
      </c>
      <c r="C4167" s="20" t="s">
        <v>14635</v>
      </c>
      <c r="D4167" s="19" t="s">
        <v>29</v>
      </c>
      <c r="E4167" s="19" t="s">
        <v>10466</v>
      </c>
      <c r="F4167" s="21">
        <f t="shared" si="610"/>
        <v>25.649999999999999</v>
      </c>
      <c r="G4167" s="21">
        <f t="shared" si="610"/>
        <v>25.649999999999999</v>
      </c>
      <c r="H4167" s="21">
        <f t="shared" si="610"/>
        <v>25.649999999999999</v>
      </c>
      <c r="I4167" s="24" t="str">
        <f t="shared" si="611"/>
        <v xml:space="preserve">COM VALOR</v>
      </c>
      <c r="L4167" s="36">
        <v>25.649999999999999</v>
      </c>
      <c r="M4167" s="37">
        <v>25.649999999999999</v>
      </c>
      <c r="N4167" s="36">
        <v>25.649999999999999</v>
      </c>
    </row>
    <row r="4168" ht="38.25">
      <c r="A4168" s="19" t="s">
        <v>10460</v>
      </c>
      <c r="B4168" s="19">
        <v>43127</v>
      </c>
      <c r="C4168" s="20" t="s">
        <v>14636</v>
      </c>
      <c r="D4168" s="19" t="s">
        <v>29</v>
      </c>
      <c r="E4168" s="19" t="s">
        <v>10459</v>
      </c>
      <c r="F4168" s="21">
        <f t="shared" si="610"/>
        <v>36.710000000000001</v>
      </c>
      <c r="G4168" s="21">
        <f t="shared" si="610"/>
        <v>36.710000000000001</v>
      </c>
      <c r="H4168" s="21">
        <f t="shared" si="610"/>
        <v>36.710000000000001</v>
      </c>
      <c r="I4168" s="24" t="str">
        <f t="shared" si="611"/>
        <v xml:space="preserve">COM VALOR</v>
      </c>
      <c r="L4168" s="36">
        <v>36.710000000000001</v>
      </c>
      <c r="M4168" s="37">
        <v>36.710000000000001</v>
      </c>
      <c r="N4168" s="36">
        <v>36.710000000000001</v>
      </c>
    </row>
    <row r="4169" ht="38.25">
      <c r="A4169" s="19" t="s">
        <v>10460</v>
      </c>
      <c r="B4169" s="19">
        <v>10917</v>
      </c>
      <c r="C4169" s="20" t="s">
        <v>14637</v>
      </c>
      <c r="D4169" s="19" t="s">
        <v>29</v>
      </c>
      <c r="E4169" s="19" t="s">
        <v>10459</v>
      </c>
      <c r="F4169" s="21">
        <f t="shared" si="610"/>
        <v>7.75</v>
      </c>
      <c r="G4169" s="21">
        <f t="shared" si="610"/>
        <v>7.75</v>
      </c>
      <c r="H4169" s="21">
        <f t="shared" si="610"/>
        <v>7.75</v>
      </c>
      <c r="I4169" s="24" t="str">
        <f t="shared" si="611"/>
        <v xml:space="preserve">COM VALOR</v>
      </c>
      <c r="L4169" s="36">
        <v>7.75</v>
      </c>
      <c r="M4169" s="37">
        <v>7.75</v>
      </c>
      <c r="N4169" s="36">
        <v>7.75</v>
      </c>
    </row>
    <row r="4170" ht="38.25">
      <c r="A4170" s="19" t="s">
        <v>10460</v>
      </c>
      <c r="B4170" s="19">
        <v>21141</v>
      </c>
      <c r="C4170" s="20" t="s">
        <v>14638</v>
      </c>
      <c r="D4170" s="19" t="s">
        <v>29</v>
      </c>
      <c r="E4170" s="19" t="s">
        <v>10459</v>
      </c>
      <c r="F4170" s="21">
        <f t="shared" si="610"/>
        <v>11.99</v>
      </c>
      <c r="G4170" s="21">
        <f t="shared" si="610"/>
        <v>11.99</v>
      </c>
      <c r="H4170" s="21">
        <f t="shared" si="610"/>
        <v>11.99</v>
      </c>
      <c r="I4170" s="24" t="str">
        <f t="shared" si="611"/>
        <v xml:space="preserve">COM VALOR</v>
      </c>
      <c r="L4170" s="36">
        <v>11.99</v>
      </c>
      <c r="M4170" s="37">
        <v>11.99</v>
      </c>
      <c r="N4170" s="36">
        <v>11.99</v>
      </c>
    </row>
    <row r="4171" ht="38.25">
      <c r="A4171" s="19" t="s">
        <v>10460</v>
      </c>
      <c r="B4171" s="19">
        <v>39509</v>
      </c>
      <c r="C4171" s="20" t="s">
        <v>14639</v>
      </c>
      <c r="D4171" s="19" t="s">
        <v>29</v>
      </c>
      <c r="E4171" s="19" t="s">
        <v>10459</v>
      </c>
      <c r="F4171" s="21">
        <f t="shared" ref="F4171:H4234" si="612">IF(L4171=0,"VERIFICAR",L4171)</f>
        <v>11.539999999999999</v>
      </c>
      <c r="G4171" s="21">
        <f t="shared" si="612"/>
        <v>11.539999999999999</v>
      </c>
      <c r="H4171" s="21">
        <f t="shared" si="612"/>
        <v>11.539999999999999</v>
      </c>
      <c r="I4171" s="24" t="str">
        <f t="shared" ref="I4171:I4234" si="613">IF(OR(L4171=0,M4171=0,N4171=0),"SEM VALOR","COM VALOR")</f>
        <v xml:space="preserve">COM VALOR</v>
      </c>
      <c r="L4171" s="36">
        <v>11.539999999999999</v>
      </c>
      <c r="M4171" s="37">
        <v>11.539999999999999</v>
      </c>
      <c r="N4171" s="36">
        <v>11.539999999999999</v>
      </c>
    </row>
    <row r="4172" ht="12.75">
      <c r="A4172" s="19" t="s">
        <v>10460</v>
      </c>
      <c r="B4172" s="19">
        <v>44529</v>
      </c>
      <c r="C4172" s="20" t="s">
        <v>14640</v>
      </c>
      <c r="D4172" s="19" t="s">
        <v>29</v>
      </c>
      <c r="E4172" s="19" t="s">
        <v>10459</v>
      </c>
      <c r="F4172" s="21">
        <f t="shared" si="612"/>
        <v>15.26</v>
      </c>
      <c r="G4172" s="21">
        <f t="shared" si="612"/>
        <v>15.26</v>
      </c>
      <c r="H4172" s="21">
        <f t="shared" si="612"/>
        <v>15.26</v>
      </c>
      <c r="I4172" s="24" t="str">
        <f t="shared" si="613"/>
        <v xml:space="preserve">COM VALOR</v>
      </c>
      <c r="L4172" s="36">
        <v>15.26</v>
      </c>
      <c r="M4172" s="37">
        <v>15.26</v>
      </c>
      <c r="N4172" s="36">
        <v>15.26</v>
      </c>
    </row>
    <row r="4173" ht="25.5">
      <c r="A4173" s="19" t="s">
        <v>10460</v>
      </c>
      <c r="B4173" s="19">
        <v>7167</v>
      </c>
      <c r="C4173" s="20" t="s">
        <v>14641</v>
      </c>
      <c r="D4173" s="19" t="s">
        <v>29</v>
      </c>
      <c r="E4173" s="19" t="s">
        <v>10459</v>
      </c>
      <c r="F4173" s="21">
        <f t="shared" si="612"/>
        <v>22.77</v>
      </c>
      <c r="G4173" s="21">
        <f t="shared" si="612"/>
        <v>22.77</v>
      </c>
      <c r="H4173" s="21">
        <f t="shared" si="612"/>
        <v>22.77</v>
      </c>
      <c r="I4173" s="24" t="str">
        <f t="shared" si="613"/>
        <v xml:space="preserve">COM VALOR</v>
      </c>
      <c r="L4173" s="36">
        <v>22.77</v>
      </c>
      <c r="M4173" s="37">
        <v>22.77</v>
      </c>
      <c r="N4173" s="36">
        <v>22.77</v>
      </c>
    </row>
    <row r="4174" ht="25.5">
      <c r="A4174" s="19" t="s">
        <v>10460</v>
      </c>
      <c r="B4174" s="19">
        <v>10928</v>
      </c>
      <c r="C4174" s="20" t="s">
        <v>14642</v>
      </c>
      <c r="D4174" s="19" t="s">
        <v>29</v>
      </c>
      <c r="E4174" s="19" t="s">
        <v>10459</v>
      </c>
      <c r="F4174" s="21">
        <f t="shared" si="612"/>
        <v>13.08</v>
      </c>
      <c r="G4174" s="21">
        <f t="shared" si="612"/>
        <v>13.08</v>
      </c>
      <c r="H4174" s="21">
        <f t="shared" si="612"/>
        <v>13.08</v>
      </c>
      <c r="I4174" s="24" t="str">
        <f t="shared" si="613"/>
        <v xml:space="preserve">COM VALOR</v>
      </c>
      <c r="L4174" s="36">
        <v>13.08</v>
      </c>
      <c r="M4174" s="37">
        <v>13.08</v>
      </c>
      <c r="N4174" s="36">
        <v>13.08</v>
      </c>
    </row>
    <row r="4175" ht="38.25">
      <c r="A4175" s="19" t="s">
        <v>10460</v>
      </c>
      <c r="B4175" s="19">
        <v>10933</v>
      </c>
      <c r="C4175" s="20" t="s">
        <v>14643</v>
      </c>
      <c r="D4175" s="19" t="s">
        <v>29</v>
      </c>
      <c r="E4175" s="19" t="s">
        <v>10459</v>
      </c>
      <c r="F4175" s="21">
        <f t="shared" si="612"/>
        <v>19.73</v>
      </c>
      <c r="G4175" s="21">
        <f t="shared" si="612"/>
        <v>19.73</v>
      </c>
      <c r="H4175" s="21">
        <f t="shared" si="612"/>
        <v>19.73</v>
      </c>
      <c r="I4175" s="24" t="str">
        <f t="shared" si="613"/>
        <v xml:space="preserve">COM VALOR</v>
      </c>
      <c r="L4175" s="36">
        <v>19.73</v>
      </c>
      <c r="M4175" s="37">
        <v>19.73</v>
      </c>
      <c r="N4175" s="36">
        <v>19.73</v>
      </c>
    </row>
    <row r="4176" ht="25.5">
      <c r="A4176" s="19" t="s">
        <v>10460</v>
      </c>
      <c r="B4176" s="19">
        <v>7158</v>
      </c>
      <c r="C4176" s="20" t="s">
        <v>14644</v>
      </c>
      <c r="D4176" s="19" t="s">
        <v>29</v>
      </c>
      <c r="E4176" s="19" t="s">
        <v>10466</v>
      </c>
      <c r="F4176" s="21">
        <f t="shared" si="612"/>
        <v>33.469999999999999</v>
      </c>
      <c r="G4176" s="21">
        <f t="shared" si="612"/>
        <v>33.469999999999999</v>
      </c>
      <c r="H4176" s="21">
        <f t="shared" si="612"/>
        <v>33.469999999999999</v>
      </c>
      <c r="I4176" s="24" t="str">
        <f t="shared" si="613"/>
        <v xml:space="preserve">COM VALOR</v>
      </c>
      <c r="L4176" s="36">
        <v>33.469999999999999</v>
      </c>
      <c r="M4176" s="37">
        <v>33.469999999999999</v>
      </c>
      <c r="N4176" s="36">
        <v>33.469999999999999</v>
      </c>
    </row>
    <row r="4177" ht="25.5">
      <c r="A4177" s="19" t="s">
        <v>10460</v>
      </c>
      <c r="B4177" s="19">
        <v>10927</v>
      </c>
      <c r="C4177" s="20" t="s">
        <v>14645</v>
      </c>
      <c r="D4177" s="19" t="s">
        <v>29</v>
      </c>
      <c r="E4177" s="19" t="s">
        <v>10459</v>
      </c>
      <c r="F4177" s="21">
        <f t="shared" si="612"/>
        <v>21.399999999999999</v>
      </c>
      <c r="G4177" s="21">
        <f t="shared" si="612"/>
        <v>21.399999999999999</v>
      </c>
      <c r="H4177" s="21">
        <f t="shared" si="612"/>
        <v>21.399999999999999</v>
      </c>
      <c r="I4177" s="24" t="str">
        <f t="shared" si="613"/>
        <v xml:space="preserve">COM VALOR</v>
      </c>
      <c r="L4177" s="36">
        <v>21.399999999999999</v>
      </c>
      <c r="M4177" s="37">
        <v>21.399999999999999</v>
      </c>
      <c r="N4177" s="36">
        <v>21.399999999999999</v>
      </c>
    </row>
    <row r="4178" ht="25.5">
      <c r="A4178" s="19" t="s">
        <v>10460</v>
      </c>
      <c r="B4178" s="19">
        <v>7162</v>
      </c>
      <c r="C4178" s="20" t="s">
        <v>14646</v>
      </c>
      <c r="D4178" s="19" t="s">
        <v>29</v>
      </c>
      <c r="E4178" s="19" t="s">
        <v>10459</v>
      </c>
      <c r="F4178" s="21">
        <f t="shared" si="612"/>
        <v>52.369999999999997</v>
      </c>
      <c r="G4178" s="21">
        <f t="shared" si="612"/>
        <v>52.369999999999997</v>
      </c>
      <c r="H4178" s="21">
        <f t="shared" si="612"/>
        <v>52.369999999999997</v>
      </c>
      <c r="I4178" s="24" t="str">
        <f t="shared" si="613"/>
        <v xml:space="preserve">COM VALOR</v>
      </c>
      <c r="L4178" s="36">
        <v>52.369999999999997</v>
      </c>
      <c r="M4178" s="37">
        <v>52.369999999999997</v>
      </c>
      <c r="N4178" s="36">
        <v>52.369999999999997</v>
      </c>
    </row>
    <row r="4179" ht="25.5">
      <c r="A4179" s="19" t="s">
        <v>10460</v>
      </c>
      <c r="B4179" s="19">
        <v>10932</v>
      </c>
      <c r="C4179" s="20" t="s">
        <v>14647</v>
      </c>
      <c r="D4179" s="19" t="s">
        <v>29</v>
      </c>
      <c r="E4179" s="19" t="s">
        <v>10459</v>
      </c>
      <c r="F4179" s="21">
        <f t="shared" si="612"/>
        <v>91.099999999999994</v>
      </c>
      <c r="G4179" s="21">
        <f t="shared" si="612"/>
        <v>91.099999999999994</v>
      </c>
      <c r="H4179" s="21">
        <f t="shared" si="612"/>
        <v>91.099999999999994</v>
      </c>
      <c r="I4179" s="24" t="str">
        <f t="shared" si="613"/>
        <v xml:space="preserve">COM VALOR</v>
      </c>
      <c r="L4179" s="36">
        <v>91.099999999999994</v>
      </c>
      <c r="M4179" s="37">
        <v>91.099999999999994</v>
      </c>
      <c r="N4179" s="36">
        <v>91.099999999999994</v>
      </c>
    </row>
    <row r="4180" ht="38.25">
      <c r="A4180" s="19" t="s">
        <v>10460</v>
      </c>
      <c r="B4180" s="19">
        <v>10937</v>
      </c>
      <c r="C4180" s="20" t="s">
        <v>14648</v>
      </c>
      <c r="D4180" s="19" t="s">
        <v>29</v>
      </c>
      <c r="E4180" s="19" t="s">
        <v>10459</v>
      </c>
      <c r="F4180" s="21">
        <f t="shared" si="612"/>
        <v>23.41</v>
      </c>
      <c r="G4180" s="21">
        <f t="shared" si="612"/>
        <v>23.41</v>
      </c>
      <c r="H4180" s="21">
        <f t="shared" si="612"/>
        <v>23.41</v>
      </c>
      <c r="I4180" s="24" t="str">
        <f t="shared" si="613"/>
        <v xml:space="preserve">COM VALOR</v>
      </c>
      <c r="L4180" s="36">
        <v>23.41</v>
      </c>
      <c r="M4180" s="37">
        <v>23.41</v>
      </c>
      <c r="N4180" s="36">
        <v>23.41</v>
      </c>
    </row>
    <row r="4181" ht="38.25">
      <c r="A4181" s="19" t="s">
        <v>10460</v>
      </c>
      <c r="B4181" s="19">
        <v>10935</v>
      </c>
      <c r="C4181" s="20" t="s">
        <v>14649</v>
      </c>
      <c r="D4181" s="19" t="s">
        <v>29</v>
      </c>
      <c r="E4181" s="19" t="s">
        <v>10459</v>
      </c>
      <c r="F4181" s="21">
        <f t="shared" si="612"/>
        <v>40.609999999999999</v>
      </c>
      <c r="G4181" s="21">
        <f t="shared" si="612"/>
        <v>40.609999999999999</v>
      </c>
      <c r="H4181" s="21">
        <f t="shared" si="612"/>
        <v>40.609999999999999</v>
      </c>
      <c r="I4181" s="24" t="str">
        <f t="shared" si="613"/>
        <v xml:space="preserve">COM VALOR</v>
      </c>
      <c r="L4181" s="36">
        <v>40.609999999999999</v>
      </c>
      <c r="M4181" s="37">
        <v>40.609999999999999</v>
      </c>
      <c r="N4181" s="36">
        <v>40.609999999999999</v>
      </c>
    </row>
    <row r="4182" ht="25.5">
      <c r="A4182" s="19" t="s">
        <v>10460</v>
      </c>
      <c r="B4182" s="19">
        <v>10931</v>
      </c>
      <c r="C4182" s="20" t="s">
        <v>14650</v>
      </c>
      <c r="D4182" s="19" t="s">
        <v>29</v>
      </c>
      <c r="E4182" s="19" t="s">
        <v>10459</v>
      </c>
      <c r="F4182" s="21">
        <f t="shared" si="612"/>
        <v>11.42</v>
      </c>
      <c r="G4182" s="21">
        <f t="shared" si="612"/>
        <v>11.42</v>
      </c>
      <c r="H4182" s="21">
        <f t="shared" si="612"/>
        <v>11.42</v>
      </c>
      <c r="I4182" s="24" t="str">
        <f t="shared" si="613"/>
        <v xml:space="preserve">COM VALOR</v>
      </c>
      <c r="L4182" s="36">
        <v>11.42</v>
      </c>
      <c r="M4182" s="37">
        <v>11.42</v>
      </c>
      <c r="N4182" s="36">
        <v>11.42</v>
      </c>
    </row>
    <row r="4183" ht="25.5">
      <c r="A4183" s="19" t="s">
        <v>10460</v>
      </c>
      <c r="B4183" s="19">
        <v>7164</v>
      </c>
      <c r="C4183" s="20" t="s">
        <v>14651</v>
      </c>
      <c r="D4183" s="19" t="s">
        <v>29</v>
      </c>
      <c r="E4183" s="19" t="s">
        <v>10459</v>
      </c>
      <c r="F4183" s="21">
        <f t="shared" si="612"/>
        <v>37.799999999999997</v>
      </c>
      <c r="G4183" s="21">
        <f t="shared" si="612"/>
        <v>37.799999999999997</v>
      </c>
      <c r="H4183" s="21">
        <f t="shared" si="612"/>
        <v>37.799999999999997</v>
      </c>
      <c r="I4183" s="24" t="str">
        <f t="shared" si="613"/>
        <v xml:space="preserve">COM VALOR</v>
      </c>
      <c r="L4183" s="36">
        <v>37.799999999999997</v>
      </c>
      <c r="M4183" s="37">
        <v>37.799999999999997</v>
      </c>
      <c r="N4183" s="36">
        <v>37.799999999999997</v>
      </c>
    </row>
    <row r="4184" ht="25.5">
      <c r="A4184" s="19" t="s">
        <v>10460</v>
      </c>
      <c r="B4184" s="19">
        <v>36887</v>
      </c>
      <c r="C4184" s="20" t="s">
        <v>14652</v>
      </c>
      <c r="D4184" s="19" t="s">
        <v>29</v>
      </c>
      <c r="E4184" s="19" t="s">
        <v>10459</v>
      </c>
      <c r="F4184" s="21">
        <f t="shared" si="612"/>
        <v>9.5099999999999998</v>
      </c>
      <c r="G4184" s="21">
        <f t="shared" si="612"/>
        <v>9.5099999999999998</v>
      </c>
      <c r="H4184" s="21">
        <f t="shared" si="612"/>
        <v>9.5099999999999998</v>
      </c>
      <c r="I4184" s="24" t="str">
        <f t="shared" si="613"/>
        <v xml:space="preserve">COM VALOR</v>
      </c>
      <c r="L4184" s="36">
        <v>9.5099999999999998</v>
      </c>
      <c r="M4184" s="37">
        <v>9.5099999999999998</v>
      </c>
      <c r="N4184" s="36">
        <v>9.5099999999999998</v>
      </c>
    </row>
    <row r="4185" ht="51">
      <c r="A4185" s="19" t="s">
        <v>10460</v>
      </c>
      <c r="B4185" s="19">
        <v>34630</v>
      </c>
      <c r="C4185" s="20" t="s">
        <v>14653</v>
      </c>
      <c r="D4185" s="19" t="s">
        <v>31</v>
      </c>
      <c r="E4185" s="19" t="s">
        <v>10459</v>
      </c>
      <c r="F4185" s="21">
        <f t="shared" si="612"/>
        <v>932.38999999999999</v>
      </c>
      <c r="G4185" s="21">
        <f t="shared" si="612"/>
        <v>932.38999999999999</v>
      </c>
      <c r="H4185" s="21">
        <f t="shared" si="612"/>
        <v>932.38999999999999</v>
      </c>
      <c r="I4185" s="24" t="str">
        <f t="shared" si="613"/>
        <v xml:space="preserve">COM VALOR</v>
      </c>
      <c r="L4185" s="36">
        <v>932.38999999999999</v>
      </c>
      <c r="M4185" s="37">
        <v>932.38999999999999</v>
      </c>
      <c r="N4185" s="36">
        <v>932.38999999999999</v>
      </c>
    </row>
    <row r="4186" ht="12.75">
      <c r="A4186" s="19" t="s">
        <v>10460</v>
      </c>
      <c r="B4186" s="19">
        <v>7161</v>
      </c>
      <c r="C4186" s="20" t="s">
        <v>14654</v>
      </c>
      <c r="D4186" s="19" t="s">
        <v>29</v>
      </c>
      <c r="E4186" s="19" t="s">
        <v>10459</v>
      </c>
      <c r="F4186" s="21">
        <f t="shared" si="612"/>
        <v>4.7000000000000002</v>
      </c>
      <c r="G4186" s="21">
        <f t="shared" si="612"/>
        <v>4.7000000000000002</v>
      </c>
      <c r="H4186" s="21">
        <f t="shared" si="612"/>
        <v>4.7000000000000002</v>
      </c>
      <c r="I4186" s="24" t="str">
        <f t="shared" si="613"/>
        <v xml:space="preserve">COM VALOR</v>
      </c>
      <c r="L4186" s="36">
        <v>4.7000000000000002</v>
      </c>
      <c r="M4186" s="37">
        <v>4.7000000000000002</v>
      </c>
      <c r="N4186" s="36">
        <v>4.7000000000000002</v>
      </c>
    </row>
    <row r="4187" ht="38.25">
      <c r="A4187" s="19" t="s">
        <v>10460</v>
      </c>
      <c r="B4187" s="19">
        <v>7170</v>
      </c>
      <c r="C4187" s="20" t="s">
        <v>14655</v>
      </c>
      <c r="D4187" s="19" t="s">
        <v>29</v>
      </c>
      <c r="E4187" s="19" t="s">
        <v>10459</v>
      </c>
      <c r="F4187" s="21">
        <f t="shared" si="612"/>
        <v>2.2999999999999998</v>
      </c>
      <c r="G4187" s="21">
        <f t="shared" si="612"/>
        <v>2.2999999999999998</v>
      </c>
      <c r="H4187" s="21">
        <f t="shared" si="612"/>
        <v>2.2999999999999998</v>
      </c>
      <c r="I4187" s="24" t="str">
        <f t="shared" si="613"/>
        <v xml:space="preserve">COM VALOR</v>
      </c>
      <c r="L4187" s="36">
        <v>2.2999999999999998</v>
      </c>
      <c r="M4187" s="37">
        <v>2.2999999999999998</v>
      </c>
      <c r="N4187" s="36">
        <v>2.2999999999999998</v>
      </c>
    </row>
    <row r="4188" ht="25.5">
      <c r="A4188" s="19" t="s">
        <v>10460</v>
      </c>
      <c r="B4188" s="19">
        <v>37524</v>
      </c>
      <c r="C4188" s="20" t="s">
        <v>14656</v>
      </c>
      <c r="D4188" s="19" t="s">
        <v>38</v>
      </c>
      <c r="E4188" s="19" t="s">
        <v>10466</v>
      </c>
      <c r="F4188" s="21">
        <f t="shared" si="612"/>
        <v>2.1000000000000001</v>
      </c>
      <c r="G4188" s="21">
        <f t="shared" si="612"/>
        <v>2.1000000000000001</v>
      </c>
      <c r="H4188" s="21">
        <f t="shared" si="612"/>
        <v>2.1000000000000001</v>
      </c>
      <c r="I4188" s="24" t="str">
        <f t="shared" si="613"/>
        <v xml:space="preserve">COM VALOR</v>
      </c>
      <c r="L4188" s="36">
        <v>2.1000000000000001</v>
      </c>
      <c r="M4188" s="37">
        <v>2.1000000000000001</v>
      </c>
      <c r="N4188" s="36">
        <v>2.1000000000000001</v>
      </c>
    </row>
    <row r="4189" ht="38.25">
      <c r="A4189" s="19" t="s">
        <v>10460</v>
      </c>
      <c r="B4189" s="19">
        <v>37525</v>
      </c>
      <c r="C4189" s="20" t="s">
        <v>14657</v>
      </c>
      <c r="D4189" s="19" t="s">
        <v>38</v>
      </c>
      <c r="E4189" s="19" t="s">
        <v>10459</v>
      </c>
      <c r="F4189" s="21">
        <f t="shared" si="612"/>
        <v>2.8700000000000001</v>
      </c>
      <c r="G4189" s="21">
        <f t="shared" si="612"/>
        <v>2.8700000000000001</v>
      </c>
      <c r="H4189" s="21">
        <f t="shared" si="612"/>
        <v>2.8700000000000001</v>
      </c>
      <c r="I4189" s="24" t="str">
        <f t="shared" si="613"/>
        <v xml:space="preserve">COM VALOR</v>
      </c>
      <c r="L4189" s="36">
        <v>2.8700000000000001</v>
      </c>
      <c r="M4189" s="37">
        <v>2.8700000000000001</v>
      </c>
      <c r="N4189" s="36">
        <v>2.8700000000000001</v>
      </c>
    </row>
    <row r="4190" ht="25.5">
      <c r="A4190" s="19" t="s">
        <v>10460</v>
      </c>
      <c r="B4190" s="19">
        <v>36789</v>
      </c>
      <c r="C4190" s="20" t="s">
        <v>14658</v>
      </c>
      <c r="D4190" s="19" t="s">
        <v>31</v>
      </c>
      <c r="E4190" s="19" t="s">
        <v>10459</v>
      </c>
      <c r="F4190" s="21">
        <f t="shared" si="612"/>
        <v>2.6499999999999999</v>
      </c>
      <c r="G4190" s="21">
        <f t="shared" si="612"/>
        <v>2.6499999999999999</v>
      </c>
      <c r="H4190" s="21">
        <f t="shared" si="612"/>
        <v>2.6499999999999999</v>
      </c>
      <c r="I4190" s="24" t="str">
        <f t="shared" si="613"/>
        <v xml:space="preserve">COM VALOR</v>
      </c>
      <c r="L4190" s="36">
        <v>2.6499999999999999</v>
      </c>
      <c r="M4190" s="37">
        <v>2.6499999999999999</v>
      </c>
      <c r="N4190" s="36">
        <v>2.6499999999999999</v>
      </c>
    </row>
    <row r="4191" ht="38.25">
      <c r="A4191" s="19" t="s">
        <v>10460</v>
      </c>
      <c r="B4191" s="19">
        <v>7173</v>
      </c>
      <c r="C4191" s="20" t="s">
        <v>14659</v>
      </c>
      <c r="D4191" s="19" t="s">
        <v>13696</v>
      </c>
      <c r="E4191" s="19" t="s">
        <v>10466</v>
      </c>
      <c r="F4191" s="21">
        <f t="shared" si="612"/>
        <v>1713.1900000000001</v>
      </c>
      <c r="G4191" s="21">
        <f t="shared" si="612"/>
        <v>1713.1900000000001</v>
      </c>
      <c r="H4191" s="21">
        <f t="shared" si="612"/>
        <v>1713.1900000000001</v>
      </c>
      <c r="I4191" s="24" t="str">
        <f t="shared" si="613"/>
        <v xml:space="preserve">COM VALOR</v>
      </c>
      <c r="L4191" s="36">
        <v>1713.1900000000001</v>
      </c>
      <c r="M4191" s="37">
        <v>1713.1900000000001</v>
      </c>
      <c r="N4191" s="36">
        <v>1713.1900000000001</v>
      </c>
    </row>
    <row r="4192" ht="38.25">
      <c r="A4192" s="19" t="s">
        <v>10460</v>
      </c>
      <c r="B4192" s="19">
        <v>7175</v>
      </c>
      <c r="C4192" s="20" t="s">
        <v>14660</v>
      </c>
      <c r="D4192" s="19" t="s">
        <v>31</v>
      </c>
      <c r="E4192" s="19" t="s">
        <v>10459</v>
      </c>
      <c r="F4192" s="21">
        <f t="shared" si="612"/>
        <v>1.9299999999999999</v>
      </c>
      <c r="G4192" s="21">
        <f t="shared" si="612"/>
        <v>1.9299999999999999</v>
      </c>
      <c r="H4192" s="21">
        <f t="shared" si="612"/>
        <v>1.9299999999999999</v>
      </c>
      <c r="I4192" s="24" t="str">
        <f t="shared" si="613"/>
        <v xml:space="preserve">COM VALOR</v>
      </c>
      <c r="L4192" s="36">
        <v>1.9299999999999999</v>
      </c>
      <c r="M4192" s="37">
        <v>1.9299999999999999</v>
      </c>
      <c r="N4192" s="36">
        <v>1.9299999999999999</v>
      </c>
    </row>
    <row r="4193" ht="25.5">
      <c r="A4193" s="19" t="s">
        <v>10460</v>
      </c>
      <c r="B4193" s="19">
        <v>40741</v>
      </c>
      <c r="C4193" s="20" t="s">
        <v>14661</v>
      </c>
      <c r="D4193" s="19" t="s">
        <v>31</v>
      </c>
      <c r="E4193" s="19" t="s">
        <v>10459</v>
      </c>
      <c r="F4193" s="21">
        <f t="shared" si="612"/>
        <v>3.73</v>
      </c>
      <c r="G4193" s="21">
        <f t="shared" si="612"/>
        <v>3.73</v>
      </c>
      <c r="H4193" s="21">
        <f t="shared" si="612"/>
        <v>3.73</v>
      </c>
      <c r="I4193" s="24" t="str">
        <f t="shared" si="613"/>
        <v xml:space="preserve">COM VALOR</v>
      </c>
      <c r="L4193" s="36">
        <v>3.73</v>
      </c>
      <c r="M4193" s="37">
        <v>3.73</v>
      </c>
      <c r="N4193" s="36">
        <v>3.73</v>
      </c>
    </row>
    <row r="4194" ht="25.5">
      <c r="A4194" s="19" t="s">
        <v>10460</v>
      </c>
      <c r="B4194" s="19">
        <v>7184</v>
      </c>
      <c r="C4194" s="20" t="s">
        <v>14662</v>
      </c>
      <c r="D4194" s="19" t="s">
        <v>29</v>
      </c>
      <c r="E4194" s="19" t="s">
        <v>10466</v>
      </c>
      <c r="F4194" s="21" t="str">
        <f t="shared" si="612"/>
        <v>VERIFICAR</v>
      </c>
      <c r="G4194" s="21" t="str">
        <f t="shared" si="612"/>
        <v>VERIFICAR</v>
      </c>
      <c r="H4194" s="21" t="str">
        <f t="shared" si="612"/>
        <v>VERIFICAR</v>
      </c>
      <c r="I4194" s="24" t="str">
        <f t="shared" si="613"/>
        <v xml:space="preserve">SEM VALOR</v>
      </c>
      <c r="L4194" s="36"/>
      <c r="M4194" s="37"/>
      <c r="N4194" s="36"/>
    </row>
    <row r="4195" ht="25.5">
      <c r="A4195" s="19" t="s">
        <v>10460</v>
      </c>
      <c r="B4195" s="19">
        <v>34458</v>
      </c>
      <c r="C4195" s="20" t="s">
        <v>14663</v>
      </c>
      <c r="D4195" s="19" t="s">
        <v>31</v>
      </c>
      <c r="E4195" s="19" t="s">
        <v>10459</v>
      </c>
      <c r="F4195" s="21">
        <f t="shared" si="612"/>
        <v>156.78</v>
      </c>
      <c r="G4195" s="21">
        <f t="shared" si="612"/>
        <v>156.78</v>
      </c>
      <c r="H4195" s="21">
        <f t="shared" si="612"/>
        <v>156.78</v>
      </c>
      <c r="I4195" s="24" t="str">
        <f t="shared" si="613"/>
        <v xml:space="preserve">COM VALOR</v>
      </c>
      <c r="L4195" s="36">
        <v>156.78</v>
      </c>
      <c r="M4195" s="37">
        <v>156.78</v>
      </c>
      <c r="N4195" s="36">
        <v>156.78</v>
      </c>
    </row>
    <row r="4196" ht="25.5">
      <c r="A4196" s="19" t="s">
        <v>10460</v>
      </c>
      <c r="B4196" s="19">
        <v>34464</v>
      </c>
      <c r="C4196" s="20" t="s">
        <v>14664</v>
      </c>
      <c r="D4196" s="19" t="s">
        <v>31</v>
      </c>
      <c r="E4196" s="19" t="s">
        <v>10459</v>
      </c>
      <c r="F4196" s="21">
        <f t="shared" si="612"/>
        <v>233.38</v>
      </c>
      <c r="G4196" s="21">
        <f t="shared" si="612"/>
        <v>233.38</v>
      </c>
      <c r="H4196" s="21">
        <f t="shared" si="612"/>
        <v>233.38</v>
      </c>
      <c r="I4196" s="24" t="str">
        <f t="shared" si="613"/>
        <v xml:space="preserve">COM VALOR</v>
      </c>
      <c r="L4196" s="36">
        <v>233.38</v>
      </c>
      <c r="M4196" s="37">
        <v>233.38</v>
      </c>
      <c r="N4196" s="36">
        <v>233.38</v>
      </c>
    </row>
    <row r="4197" ht="25.5">
      <c r="A4197" s="19" t="s">
        <v>10460</v>
      </c>
      <c r="B4197" s="19">
        <v>34468</v>
      </c>
      <c r="C4197" s="20" t="s">
        <v>14665</v>
      </c>
      <c r="D4197" s="19" t="s">
        <v>31</v>
      </c>
      <c r="E4197" s="19" t="s">
        <v>10459</v>
      </c>
      <c r="F4197" s="21">
        <f t="shared" si="612"/>
        <v>294.23000000000002</v>
      </c>
      <c r="G4197" s="21">
        <f t="shared" si="612"/>
        <v>294.23000000000002</v>
      </c>
      <c r="H4197" s="21">
        <f t="shared" si="612"/>
        <v>294.23000000000002</v>
      </c>
      <c r="I4197" s="24" t="str">
        <f t="shared" si="613"/>
        <v xml:space="preserve">COM VALOR</v>
      </c>
      <c r="L4197" s="36">
        <v>294.23000000000002</v>
      </c>
      <c r="M4197" s="37">
        <v>294.23000000000002</v>
      </c>
      <c r="N4197" s="36">
        <v>294.23000000000002</v>
      </c>
    </row>
    <row r="4198" ht="25.5">
      <c r="A4198" s="19" t="s">
        <v>10460</v>
      </c>
      <c r="B4198" s="19">
        <v>34473</v>
      </c>
      <c r="C4198" s="20" t="s">
        <v>14666</v>
      </c>
      <c r="D4198" s="19" t="s">
        <v>31</v>
      </c>
      <c r="E4198" s="19" t="s">
        <v>10459</v>
      </c>
      <c r="F4198" s="21">
        <f t="shared" si="612"/>
        <v>178.47999999999999</v>
      </c>
      <c r="G4198" s="21">
        <f t="shared" si="612"/>
        <v>178.47999999999999</v>
      </c>
      <c r="H4198" s="21">
        <f t="shared" si="612"/>
        <v>178.47999999999999</v>
      </c>
      <c r="I4198" s="24" t="str">
        <f t="shared" si="613"/>
        <v xml:space="preserve">COM VALOR</v>
      </c>
      <c r="L4198" s="36">
        <v>178.47999999999999</v>
      </c>
      <c r="M4198" s="37">
        <v>178.47999999999999</v>
      </c>
      <c r="N4198" s="36">
        <v>178.47999999999999</v>
      </c>
    </row>
    <row r="4199" ht="25.5">
      <c r="A4199" s="19" t="s">
        <v>10460</v>
      </c>
      <c r="B4199" s="19">
        <v>34480</v>
      </c>
      <c r="C4199" s="20" t="s">
        <v>14667</v>
      </c>
      <c r="D4199" s="19" t="s">
        <v>31</v>
      </c>
      <c r="E4199" s="19" t="s">
        <v>10459</v>
      </c>
      <c r="F4199" s="21">
        <f t="shared" si="612"/>
        <v>329.83999999999997</v>
      </c>
      <c r="G4199" s="21">
        <f t="shared" si="612"/>
        <v>329.83999999999997</v>
      </c>
      <c r="H4199" s="21">
        <f t="shared" si="612"/>
        <v>329.83999999999997</v>
      </c>
      <c r="I4199" s="24" t="str">
        <f t="shared" si="613"/>
        <v xml:space="preserve">COM VALOR</v>
      </c>
      <c r="L4199" s="36">
        <v>329.83999999999997</v>
      </c>
      <c r="M4199" s="37">
        <v>329.83999999999997</v>
      </c>
      <c r="N4199" s="36">
        <v>329.83999999999997</v>
      </c>
    </row>
    <row r="4200" ht="25.5">
      <c r="A4200" s="19" t="s">
        <v>10460</v>
      </c>
      <c r="B4200" s="19">
        <v>34486</v>
      </c>
      <c r="C4200" s="20" t="s">
        <v>14668</v>
      </c>
      <c r="D4200" s="19" t="s">
        <v>31</v>
      </c>
      <c r="E4200" s="19" t="s">
        <v>10459</v>
      </c>
      <c r="F4200" s="21">
        <f t="shared" si="612"/>
        <v>390.52999999999997</v>
      </c>
      <c r="G4200" s="21">
        <f t="shared" si="612"/>
        <v>390.52999999999997</v>
      </c>
      <c r="H4200" s="21">
        <f t="shared" si="612"/>
        <v>390.52999999999997</v>
      </c>
      <c r="I4200" s="24" t="str">
        <f t="shared" si="613"/>
        <v xml:space="preserve">COM VALOR</v>
      </c>
      <c r="L4200" s="36">
        <v>390.52999999999997</v>
      </c>
      <c r="M4200" s="37">
        <v>390.52999999999997</v>
      </c>
      <c r="N4200" s="36">
        <v>390.52999999999997</v>
      </c>
    </row>
    <row r="4201" ht="25.5">
      <c r="A4201" s="19" t="s">
        <v>10460</v>
      </c>
      <c r="B4201" s="19">
        <v>7190</v>
      </c>
      <c r="C4201" s="20" t="s">
        <v>14669</v>
      </c>
      <c r="D4201" s="19" t="s">
        <v>31</v>
      </c>
      <c r="E4201" s="19" t="s">
        <v>10459</v>
      </c>
      <c r="F4201" s="21">
        <f t="shared" si="612"/>
        <v>13.039999999999999</v>
      </c>
      <c r="G4201" s="21">
        <f t="shared" si="612"/>
        <v>13.039999999999999</v>
      </c>
      <c r="H4201" s="21">
        <f t="shared" si="612"/>
        <v>13.039999999999999</v>
      </c>
      <c r="I4201" s="24" t="str">
        <f t="shared" si="613"/>
        <v xml:space="preserve">COM VALOR</v>
      </c>
      <c r="L4201" s="36">
        <v>13.039999999999999</v>
      </c>
      <c r="M4201" s="37">
        <v>13.039999999999999</v>
      </c>
      <c r="N4201" s="36">
        <v>13.039999999999999</v>
      </c>
    </row>
    <row r="4202" ht="25.5">
      <c r="A4202" s="19" t="s">
        <v>10460</v>
      </c>
      <c r="B4202" s="19">
        <v>34417</v>
      </c>
      <c r="C4202" s="20" t="s">
        <v>14670</v>
      </c>
      <c r="D4202" s="19" t="s">
        <v>31</v>
      </c>
      <c r="E4202" s="19" t="s">
        <v>10459</v>
      </c>
      <c r="F4202" s="21">
        <f t="shared" si="612"/>
        <v>20.859999999999999</v>
      </c>
      <c r="G4202" s="21">
        <f t="shared" si="612"/>
        <v>20.859999999999999</v>
      </c>
      <c r="H4202" s="21">
        <f t="shared" si="612"/>
        <v>20.859999999999999</v>
      </c>
      <c r="I4202" s="24" t="str">
        <f t="shared" si="613"/>
        <v xml:space="preserve">COM VALOR</v>
      </c>
      <c r="L4202" s="36">
        <v>20.859999999999999</v>
      </c>
      <c r="M4202" s="37">
        <v>20.859999999999999</v>
      </c>
      <c r="N4202" s="36">
        <v>20.859999999999999</v>
      </c>
    </row>
    <row r="4203" ht="25.5">
      <c r="A4203" s="19" t="s">
        <v>10460</v>
      </c>
      <c r="B4203" s="19">
        <v>7213</v>
      </c>
      <c r="C4203" s="20" t="s">
        <v>14671</v>
      </c>
      <c r="D4203" s="19" t="s">
        <v>29</v>
      </c>
      <c r="E4203" s="19" t="s">
        <v>10459</v>
      </c>
      <c r="F4203" s="21">
        <f t="shared" si="612"/>
        <v>19.129999999999999</v>
      </c>
      <c r="G4203" s="21">
        <f t="shared" si="612"/>
        <v>19.129999999999999</v>
      </c>
      <c r="H4203" s="21">
        <f t="shared" si="612"/>
        <v>19.129999999999999</v>
      </c>
      <c r="I4203" s="24" t="str">
        <f t="shared" si="613"/>
        <v xml:space="preserve">COM VALOR</v>
      </c>
      <c r="L4203" s="36">
        <v>19.129999999999999</v>
      </c>
      <c r="M4203" s="37">
        <v>19.129999999999999</v>
      </c>
      <c r="N4203" s="36">
        <v>19.129999999999999</v>
      </c>
    </row>
    <row r="4204" ht="25.5">
      <c r="A4204" s="19" t="s">
        <v>10460</v>
      </c>
      <c r="B4204" s="19">
        <v>7195</v>
      </c>
      <c r="C4204" s="20" t="s">
        <v>14672</v>
      </c>
      <c r="D4204" s="19" t="s">
        <v>31</v>
      </c>
      <c r="E4204" s="19" t="s">
        <v>10459</v>
      </c>
      <c r="F4204" s="21">
        <f t="shared" si="612"/>
        <v>56.18</v>
      </c>
      <c r="G4204" s="21">
        <f t="shared" si="612"/>
        <v>56.18</v>
      </c>
      <c r="H4204" s="21">
        <f t="shared" si="612"/>
        <v>56.18</v>
      </c>
      <c r="I4204" s="24" t="str">
        <f t="shared" si="613"/>
        <v xml:space="preserve">COM VALOR</v>
      </c>
      <c r="L4204" s="36">
        <v>56.18</v>
      </c>
      <c r="M4204" s="37">
        <v>56.18</v>
      </c>
      <c r="N4204" s="36">
        <v>56.18</v>
      </c>
    </row>
    <row r="4205" ht="25.5">
      <c r="A4205" s="19" t="s">
        <v>10460</v>
      </c>
      <c r="B4205" s="19">
        <v>7186</v>
      </c>
      <c r="C4205" s="20" t="s">
        <v>14673</v>
      </c>
      <c r="D4205" s="19" t="s">
        <v>31</v>
      </c>
      <c r="E4205" s="19" t="s">
        <v>10466</v>
      </c>
      <c r="F4205" s="21">
        <f t="shared" si="612"/>
        <v>61.200000000000003</v>
      </c>
      <c r="G4205" s="21">
        <f t="shared" si="612"/>
        <v>61.200000000000003</v>
      </c>
      <c r="H4205" s="21">
        <f t="shared" si="612"/>
        <v>61.200000000000003</v>
      </c>
      <c r="I4205" s="24" t="str">
        <f t="shared" si="613"/>
        <v xml:space="preserve">COM VALOR</v>
      </c>
      <c r="L4205" s="36">
        <v>61.200000000000003</v>
      </c>
      <c r="M4205" s="37">
        <v>61.200000000000003</v>
      </c>
      <c r="N4205" s="36">
        <v>61.200000000000003</v>
      </c>
    </row>
    <row r="4206" ht="25.5">
      <c r="A4206" s="19" t="s">
        <v>10460</v>
      </c>
      <c r="B4206" s="19">
        <v>7194</v>
      </c>
      <c r="C4206" s="20" t="s">
        <v>14674</v>
      </c>
      <c r="D4206" s="19" t="s">
        <v>29</v>
      </c>
      <c r="E4206" s="19" t="s">
        <v>10459</v>
      </c>
      <c r="F4206" s="21">
        <f t="shared" si="612"/>
        <v>28.219999999999999</v>
      </c>
      <c r="G4206" s="21">
        <f t="shared" si="612"/>
        <v>28.219999999999999</v>
      </c>
      <c r="H4206" s="21">
        <f t="shared" si="612"/>
        <v>28.219999999999999</v>
      </c>
      <c r="I4206" s="24" t="str">
        <f t="shared" si="613"/>
        <v xml:space="preserve">COM VALOR</v>
      </c>
      <c r="L4206" s="36">
        <v>28.219999999999999</v>
      </c>
      <c r="M4206" s="37">
        <v>28.219999999999999</v>
      </c>
      <c r="N4206" s="36">
        <v>28.219999999999999</v>
      </c>
    </row>
    <row r="4207" ht="25.5">
      <c r="A4207" s="19" t="s">
        <v>10460</v>
      </c>
      <c r="B4207" s="19">
        <v>7197</v>
      </c>
      <c r="C4207" s="20" t="s">
        <v>14675</v>
      </c>
      <c r="D4207" s="19" t="s">
        <v>31</v>
      </c>
      <c r="E4207" s="19" t="s">
        <v>10459</v>
      </c>
      <c r="F4207" s="21">
        <f t="shared" si="612"/>
        <v>119.09</v>
      </c>
      <c r="G4207" s="21">
        <f t="shared" si="612"/>
        <v>119.09</v>
      </c>
      <c r="H4207" s="21">
        <f t="shared" si="612"/>
        <v>119.09</v>
      </c>
      <c r="I4207" s="24" t="str">
        <f t="shared" si="613"/>
        <v xml:space="preserve">COM VALOR</v>
      </c>
      <c r="L4207" s="36">
        <v>119.09</v>
      </c>
      <c r="M4207" s="37">
        <v>119.09</v>
      </c>
      <c r="N4207" s="36">
        <v>119.09</v>
      </c>
    </row>
    <row r="4208" ht="25.5">
      <c r="A4208" s="19" t="s">
        <v>10460</v>
      </c>
      <c r="B4208" s="19">
        <v>7192</v>
      </c>
      <c r="C4208" s="20" t="s">
        <v>14676</v>
      </c>
      <c r="D4208" s="19" t="s">
        <v>31</v>
      </c>
      <c r="E4208" s="19" t="s">
        <v>10459</v>
      </c>
      <c r="F4208" s="21">
        <f t="shared" si="612"/>
        <v>106.7</v>
      </c>
      <c r="G4208" s="21">
        <f t="shared" si="612"/>
        <v>106.7</v>
      </c>
      <c r="H4208" s="21">
        <f t="shared" si="612"/>
        <v>106.7</v>
      </c>
      <c r="I4208" s="24" t="str">
        <f t="shared" si="613"/>
        <v xml:space="preserve">COM VALOR</v>
      </c>
      <c r="L4208" s="36">
        <v>106.7</v>
      </c>
      <c r="M4208" s="37">
        <v>106.7</v>
      </c>
      <c r="N4208" s="36">
        <v>106.7</v>
      </c>
    </row>
    <row r="4209" ht="25.5">
      <c r="A4209" s="19" t="s">
        <v>10460</v>
      </c>
      <c r="B4209" s="19">
        <v>7193</v>
      </c>
      <c r="C4209" s="20" t="s">
        <v>14677</v>
      </c>
      <c r="D4209" s="19" t="s">
        <v>31</v>
      </c>
      <c r="E4209" s="19" t="s">
        <v>10459</v>
      </c>
      <c r="F4209" s="21">
        <f t="shared" si="612"/>
        <v>120.13</v>
      </c>
      <c r="G4209" s="21">
        <f t="shared" si="612"/>
        <v>120.13</v>
      </c>
      <c r="H4209" s="21">
        <f t="shared" si="612"/>
        <v>120.13</v>
      </c>
      <c r="I4209" s="24" t="str">
        <f t="shared" si="613"/>
        <v xml:space="preserve">COM VALOR</v>
      </c>
      <c r="L4209" s="36">
        <v>120.13</v>
      </c>
      <c r="M4209" s="37">
        <v>120.13</v>
      </c>
      <c r="N4209" s="36">
        <v>120.13</v>
      </c>
    </row>
    <row r="4210" ht="25.5">
      <c r="A4210" s="19" t="s">
        <v>10460</v>
      </c>
      <c r="B4210" s="19">
        <v>7189</v>
      </c>
      <c r="C4210" s="20" t="s">
        <v>14678</v>
      </c>
      <c r="D4210" s="19" t="s">
        <v>31</v>
      </c>
      <c r="E4210" s="19" t="s">
        <v>10459</v>
      </c>
      <c r="F4210" s="21">
        <f t="shared" si="612"/>
        <v>139.59999999999999</v>
      </c>
      <c r="G4210" s="21">
        <f t="shared" si="612"/>
        <v>139.59999999999999</v>
      </c>
      <c r="H4210" s="21">
        <f t="shared" si="612"/>
        <v>139.59999999999999</v>
      </c>
      <c r="I4210" s="24" t="str">
        <f t="shared" si="613"/>
        <v xml:space="preserve">COM VALOR</v>
      </c>
      <c r="L4210" s="36">
        <v>139.59999999999999</v>
      </c>
      <c r="M4210" s="37">
        <v>139.59999999999999</v>
      </c>
      <c r="N4210" s="36">
        <v>139.59999999999999</v>
      </c>
    </row>
    <row r="4211" ht="25.5">
      <c r="A4211" s="19" t="s">
        <v>10460</v>
      </c>
      <c r="B4211" s="19">
        <v>34402</v>
      </c>
      <c r="C4211" s="20" t="s">
        <v>14679</v>
      </c>
      <c r="D4211" s="19" t="s">
        <v>31</v>
      </c>
      <c r="E4211" s="19" t="s">
        <v>10459</v>
      </c>
      <c r="F4211" s="21">
        <f t="shared" si="612"/>
        <v>197.09</v>
      </c>
      <c r="G4211" s="21">
        <f t="shared" si="612"/>
        <v>197.09</v>
      </c>
      <c r="H4211" s="21">
        <f t="shared" si="612"/>
        <v>197.09</v>
      </c>
      <c r="I4211" s="24" t="str">
        <f t="shared" si="613"/>
        <v xml:space="preserve">COM VALOR</v>
      </c>
      <c r="L4211" s="36">
        <v>197.09</v>
      </c>
      <c r="M4211" s="37">
        <v>197.09</v>
      </c>
      <c r="N4211" s="36">
        <v>197.09</v>
      </c>
    </row>
    <row r="4212" ht="12.75">
      <c r="A4212" s="19" t="s">
        <v>10460</v>
      </c>
      <c r="B4212" s="19">
        <v>7245</v>
      </c>
      <c r="C4212" s="20" t="s">
        <v>14680</v>
      </c>
      <c r="D4212" s="19" t="s">
        <v>31</v>
      </c>
      <c r="E4212" s="19" t="s">
        <v>10459</v>
      </c>
      <c r="F4212" s="21" t="str">
        <f t="shared" si="612"/>
        <v>VERIFICAR</v>
      </c>
      <c r="G4212" s="21" t="str">
        <f t="shared" si="612"/>
        <v>VERIFICAR</v>
      </c>
      <c r="H4212" s="21" t="str">
        <f t="shared" si="612"/>
        <v>VERIFICAR</v>
      </c>
      <c r="I4212" s="24" t="str">
        <f t="shared" si="613"/>
        <v xml:space="preserve">SEM VALOR</v>
      </c>
      <c r="L4212" s="36"/>
      <c r="M4212" s="37"/>
      <c r="N4212" s="36"/>
    </row>
    <row r="4213" ht="25.5">
      <c r="A4213" s="19" t="s">
        <v>10460</v>
      </c>
      <c r="B4213" s="19">
        <v>34425</v>
      </c>
      <c r="C4213" s="20" t="s">
        <v>14681</v>
      </c>
      <c r="D4213" s="19" t="s">
        <v>31</v>
      </c>
      <c r="E4213" s="19" t="s">
        <v>10459</v>
      </c>
      <c r="F4213" s="21">
        <f t="shared" si="612"/>
        <v>126.61</v>
      </c>
      <c r="G4213" s="21">
        <f t="shared" si="612"/>
        <v>126.61</v>
      </c>
      <c r="H4213" s="21">
        <f t="shared" si="612"/>
        <v>126.61</v>
      </c>
      <c r="I4213" s="24" t="str">
        <f t="shared" si="613"/>
        <v xml:space="preserve">COM VALOR</v>
      </c>
      <c r="L4213" s="36">
        <v>126.61</v>
      </c>
      <c r="M4213" s="37">
        <v>126.61</v>
      </c>
      <c r="N4213" s="36">
        <v>126.61</v>
      </c>
    </row>
    <row r="4214" ht="25.5">
      <c r="A4214" s="19" t="s">
        <v>10460</v>
      </c>
      <c r="B4214" s="19">
        <v>7223</v>
      </c>
      <c r="C4214" s="20" t="s">
        <v>14682</v>
      </c>
      <c r="D4214" s="19" t="s">
        <v>31</v>
      </c>
      <c r="E4214" s="19" t="s">
        <v>10459</v>
      </c>
      <c r="F4214" s="21">
        <f t="shared" si="612"/>
        <v>141.09</v>
      </c>
      <c r="G4214" s="21">
        <f t="shared" si="612"/>
        <v>141.09</v>
      </c>
      <c r="H4214" s="21">
        <f t="shared" si="612"/>
        <v>141.09</v>
      </c>
      <c r="I4214" s="24" t="str">
        <f t="shared" si="613"/>
        <v xml:space="preserve">COM VALOR</v>
      </c>
      <c r="L4214" s="36">
        <v>141.09</v>
      </c>
      <c r="M4214" s="37">
        <v>141.09</v>
      </c>
      <c r="N4214" s="36">
        <v>141.09</v>
      </c>
    </row>
    <row r="4215" ht="25.5">
      <c r="A4215" s="19" t="s">
        <v>10460</v>
      </c>
      <c r="B4215" s="19">
        <v>7234</v>
      </c>
      <c r="C4215" s="20" t="s">
        <v>14683</v>
      </c>
      <c r="D4215" s="19" t="s">
        <v>31</v>
      </c>
      <c r="E4215" s="19" t="s">
        <v>10459</v>
      </c>
      <c r="F4215" s="21">
        <f t="shared" si="612"/>
        <v>212.91</v>
      </c>
      <c r="G4215" s="21">
        <f t="shared" si="612"/>
        <v>212.91</v>
      </c>
      <c r="H4215" s="21">
        <f t="shared" si="612"/>
        <v>212.91</v>
      </c>
      <c r="I4215" s="24" t="str">
        <f t="shared" si="613"/>
        <v xml:space="preserve">COM VALOR</v>
      </c>
      <c r="L4215" s="36">
        <v>212.91</v>
      </c>
      <c r="M4215" s="37">
        <v>212.91</v>
      </c>
      <c r="N4215" s="36">
        <v>212.91</v>
      </c>
    </row>
    <row r="4216" ht="25.5">
      <c r="A4216" s="19" t="s">
        <v>10460</v>
      </c>
      <c r="B4216" s="19">
        <v>7224</v>
      </c>
      <c r="C4216" s="20" t="s">
        <v>14684</v>
      </c>
      <c r="D4216" s="19" t="s">
        <v>31</v>
      </c>
      <c r="E4216" s="19" t="s">
        <v>10459</v>
      </c>
      <c r="F4216" s="21">
        <f t="shared" si="612"/>
        <v>259.38</v>
      </c>
      <c r="G4216" s="21">
        <f t="shared" si="612"/>
        <v>259.38</v>
      </c>
      <c r="H4216" s="21">
        <f t="shared" si="612"/>
        <v>259.38</v>
      </c>
      <c r="I4216" s="24" t="str">
        <f t="shared" si="613"/>
        <v xml:space="preserve">COM VALOR</v>
      </c>
      <c r="L4216" s="36">
        <v>259.38</v>
      </c>
      <c r="M4216" s="37">
        <v>259.38</v>
      </c>
      <c r="N4216" s="36">
        <v>259.38</v>
      </c>
    </row>
    <row r="4217" ht="25.5">
      <c r="A4217" s="19" t="s">
        <v>10460</v>
      </c>
      <c r="B4217" s="19">
        <v>7225</v>
      </c>
      <c r="C4217" s="20" t="s">
        <v>14685</v>
      </c>
      <c r="D4217" s="19" t="s">
        <v>31</v>
      </c>
      <c r="E4217" s="19" t="s">
        <v>10459</v>
      </c>
      <c r="F4217" s="21">
        <f t="shared" si="612"/>
        <v>278.12</v>
      </c>
      <c r="G4217" s="21">
        <f t="shared" si="612"/>
        <v>278.12</v>
      </c>
      <c r="H4217" s="21">
        <f t="shared" si="612"/>
        <v>278.12</v>
      </c>
      <c r="I4217" s="24" t="str">
        <f t="shared" si="613"/>
        <v xml:space="preserve">COM VALOR</v>
      </c>
      <c r="L4217" s="36">
        <v>278.12</v>
      </c>
      <c r="M4217" s="37">
        <v>278.12</v>
      </c>
      <c r="N4217" s="36">
        <v>278.12</v>
      </c>
    </row>
    <row r="4218" ht="25.5">
      <c r="A4218" s="19" t="s">
        <v>10460</v>
      </c>
      <c r="B4218" s="19">
        <v>7226</v>
      </c>
      <c r="C4218" s="20" t="s">
        <v>14686</v>
      </c>
      <c r="D4218" s="19" t="s">
        <v>31</v>
      </c>
      <c r="E4218" s="19" t="s">
        <v>10459</v>
      </c>
      <c r="F4218" s="21">
        <f t="shared" si="612"/>
        <v>296.79000000000002</v>
      </c>
      <c r="G4218" s="21">
        <f t="shared" si="612"/>
        <v>296.79000000000002</v>
      </c>
      <c r="H4218" s="21">
        <f t="shared" si="612"/>
        <v>296.79000000000002</v>
      </c>
      <c r="I4218" s="24" t="str">
        <f t="shared" si="613"/>
        <v xml:space="preserve">COM VALOR</v>
      </c>
      <c r="L4218" s="36">
        <v>296.79000000000002</v>
      </c>
      <c r="M4218" s="37">
        <v>296.79000000000002</v>
      </c>
      <c r="N4218" s="36">
        <v>296.79000000000002</v>
      </c>
    </row>
    <row r="4219" ht="25.5">
      <c r="A4219" s="19" t="s">
        <v>10460</v>
      </c>
      <c r="B4219" s="19">
        <v>7227</v>
      </c>
      <c r="C4219" s="20" t="s">
        <v>14687</v>
      </c>
      <c r="D4219" s="19" t="s">
        <v>31</v>
      </c>
      <c r="E4219" s="19" t="s">
        <v>10459</v>
      </c>
      <c r="F4219" s="21">
        <f t="shared" si="612"/>
        <v>337.82999999999998</v>
      </c>
      <c r="G4219" s="21">
        <f t="shared" si="612"/>
        <v>337.82999999999998</v>
      </c>
      <c r="H4219" s="21">
        <f t="shared" si="612"/>
        <v>337.82999999999998</v>
      </c>
      <c r="I4219" s="24" t="str">
        <f t="shared" si="613"/>
        <v xml:space="preserve">COM VALOR</v>
      </c>
      <c r="L4219" s="36">
        <v>337.82999999999998</v>
      </c>
      <c r="M4219" s="37">
        <v>337.82999999999998</v>
      </c>
      <c r="N4219" s="36">
        <v>337.82999999999998</v>
      </c>
    </row>
    <row r="4220" ht="25.5">
      <c r="A4220" s="19" t="s">
        <v>10460</v>
      </c>
      <c r="B4220" s="19">
        <v>7212</v>
      </c>
      <c r="C4220" s="20" t="s">
        <v>14688</v>
      </c>
      <c r="D4220" s="19" t="s">
        <v>31</v>
      </c>
      <c r="E4220" s="19" t="s">
        <v>10459</v>
      </c>
      <c r="F4220" s="21">
        <f t="shared" si="612"/>
        <v>371.19</v>
      </c>
      <c r="G4220" s="21">
        <f t="shared" si="612"/>
        <v>371.19</v>
      </c>
      <c r="H4220" s="21">
        <f t="shared" si="612"/>
        <v>371.19</v>
      </c>
      <c r="I4220" s="24" t="str">
        <f t="shared" si="613"/>
        <v xml:space="preserve">COM VALOR</v>
      </c>
      <c r="L4220" s="36">
        <v>371.19</v>
      </c>
      <c r="M4220" s="37">
        <v>371.19</v>
      </c>
      <c r="N4220" s="36">
        <v>371.19</v>
      </c>
    </row>
    <row r="4221" ht="25.5">
      <c r="A4221" s="19" t="s">
        <v>10460</v>
      </c>
      <c r="B4221" s="19">
        <v>7229</v>
      </c>
      <c r="C4221" s="20" t="s">
        <v>14689</v>
      </c>
      <c r="D4221" s="19" t="s">
        <v>31</v>
      </c>
      <c r="E4221" s="19" t="s">
        <v>10459</v>
      </c>
      <c r="F4221" s="21">
        <f t="shared" si="612"/>
        <v>235.28</v>
      </c>
      <c r="G4221" s="21">
        <f t="shared" si="612"/>
        <v>235.28</v>
      </c>
      <c r="H4221" s="21">
        <f t="shared" si="612"/>
        <v>235.28</v>
      </c>
      <c r="I4221" s="24" t="str">
        <f t="shared" si="613"/>
        <v xml:space="preserve">COM VALOR</v>
      </c>
      <c r="L4221" s="36">
        <v>235.28</v>
      </c>
      <c r="M4221" s="37">
        <v>235.28</v>
      </c>
      <c r="N4221" s="36">
        <v>235.28</v>
      </c>
    </row>
    <row r="4222" ht="25.5">
      <c r="A4222" s="19" t="s">
        <v>10460</v>
      </c>
      <c r="B4222" s="19">
        <v>7230</v>
      </c>
      <c r="C4222" s="20" t="s">
        <v>14690</v>
      </c>
      <c r="D4222" s="19" t="s">
        <v>31</v>
      </c>
      <c r="E4222" s="19" t="s">
        <v>10459</v>
      </c>
      <c r="F4222" s="21">
        <f t="shared" si="612"/>
        <v>391.69999999999999</v>
      </c>
      <c r="G4222" s="21">
        <f t="shared" si="612"/>
        <v>391.69999999999999</v>
      </c>
      <c r="H4222" s="21">
        <f t="shared" si="612"/>
        <v>391.69999999999999</v>
      </c>
      <c r="I4222" s="24" t="str">
        <f t="shared" si="613"/>
        <v xml:space="preserve">COM VALOR</v>
      </c>
      <c r="L4222" s="36">
        <v>391.69999999999999</v>
      </c>
      <c r="M4222" s="37">
        <v>391.69999999999999</v>
      </c>
      <c r="N4222" s="36">
        <v>391.69999999999999</v>
      </c>
    </row>
    <row r="4223" ht="25.5">
      <c r="A4223" s="19" t="s">
        <v>10460</v>
      </c>
      <c r="B4223" s="19">
        <v>7231</v>
      </c>
      <c r="C4223" s="20" t="s">
        <v>14691</v>
      </c>
      <c r="D4223" s="19" t="s">
        <v>31</v>
      </c>
      <c r="E4223" s="19" t="s">
        <v>10459</v>
      </c>
      <c r="F4223" s="21">
        <f t="shared" si="612"/>
        <v>555.66999999999996</v>
      </c>
      <c r="G4223" s="21">
        <f t="shared" si="612"/>
        <v>555.66999999999996</v>
      </c>
      <c r="H4223" s="21">
        <f t="shared" si="612"/>
        <v>555.66999999999996</v>
      </c>
      <c r="I4223" s="24" t="str">
        <f t="shared" si="613"/>
        <v xml:space="preserve">COM VALOR</v>
      </c>
      <c r="L4223" s="36">
        <v>555.66999999999996</v>
      </c>
      <c r="M4223" s="37">
        <v>555.66999999999996</v>
      </c>
      <c r="N4223" s="36">
        <v>555.66999999999996</v>
      </c>
    </row>
    <row r="4224" ht="25.5">
      <c r="A4224" s="19" t="s">
        <v>10460</v>
      </c>
      <c r="B4224" s="19">
        <v>7220</v>
      </c>
      <c r="C4224" s="20" t="s">
        <v>14692</v>
      </c>
      <c r="D4224" s="19" t="s">
        <v>31</v>
      </c>
      <c r="E4224" s="19" t="s">
        <v>10459</v>
      </c>
      <c r="F4224" s="21">
        <f t="shared" si="612"/>
        <v>685.90999999999997</v>
      </c>
      <c r="G4224" s="21">
        <f t="shared" si="612"/>
        <v>685.90999999999997</v>
      </c>
      <c r="H4224" s="21">
        <f t="shared" si="612"/>
        <v>685.90999999999997</v>
      </c>
      <c r="I4224" s="24" t="str">
        <f t="shared" si="613"/>
        <v xml:space="preserve">COM VALOR</v>
      </c>
      <c r="L4224" s="36">
        <v>685.90999999999997</v>
      </c>
      <c r="M4224" s="37">
        <v>685.90999999999997</v>
      </c>
      <c r="N4224" s="36">
        <v>685.90999999999997</v>
      </c>
    </row>
    <row r="4225" ht="25.5">
      <c r="A4225" s="19" t="s">
        <v>10460</v>
      </c>
      <c r="B4225" s="19">
        <v>34447</v>
      </c>
      <c r="C4225" s="20" t="s">
        <v>14693</v>
      </c>
      <c r="D4225" s="19" t="s">
        <v>31</v>
      </c>
      <c r="E4225" s="19" t="s">
        <v>10459</v>
      </c>
      <c r="F4225" s="21">
        <f t="shared" si="612"/>
        <v>766.95000000000005</v>
      </c>
      <c r="G4225" s="21">
        <f t="shared" si="612"/>
        <v>766.95000000000005</v>
      </c>
      <c r="H4225" s="21">
        <f t="shared" si="612"/>
        <v>766.95000000000005</v>
      </c>
      <c r="I4225" s="24" t="str">
        <f t="shared" si="613"/>
        <v xml:space="preserve">COM VALOR</v>
      </c>
      <c r="L4225" s="36">
        <v>766.95000000000005</v>
      </c>
      <c r="M4225" s="37">
        <v>766.95000000000005</v>
      </c>
      <c r="N4225" s="36">
        <v>766.95000000000005</v>
      </c>
    </row>
    <row r="4226" ht="25.5">
      <c r="A4226" s="19" t="s">
        <v>10460</v>
      </c>
      <c r="B4226" s="19">
        <v>7233</v>
      </c>
      <c r="C4226" s="20" t="s">
        <v>14694</v>
      </c>
      <c r="D4226" s="19" t="s">
        <v>31</v>
      </c>
      <c r="E4226" s="19" t="s">
        <v>10459</v>
      </c>
      <c r="F4226" s="21">
        <f t="shared" si="612"/>
        <v>879.80999999999995</v>
      </c>
      <c r="G4226" s="21">
        <f t="shared" si="612"/>
        <v>879.80999999999995</v>
      </c>
      <c r="H4226" s="21">
        <f t="shared" si="612"/>
        <v>879.80999999999995</v>
      </c>
      <c r="I4226" s="24" t="str">
        <f t="shared" si="613"/>
        <v xml:space="preserve">COM VALOR</v>
      </c>
      <c r="L4226" s="36">
        <v>879.80999999999995</v>
      </c>
      <c r="M4226" s="37">
        <v>879.80999999999995</v>
      </c>
      <c r="N4226" s="36">
        <v>879.80999999999995</v>
      </c>
    </row>
    <row r="4227" ht="76.5">
      <c r="A4227" s="19" t="s">
        <v>10460</v>
      </c>
      <c r="B4227" s="19">
        <v>40740</v>
      </c>
      <c r="C4227" s="20" t="s">
        <v>14695</v>
      </c>
      <c r="D4227" s="19" t="s">
        <v>29</v>
      </c>
      <c r="E4227" s="19" t="s">
        <v>10459</v>
      </c>
      <c r="F4227" s="21" t="str">
        <f t="shared" si="612"/>
        <v>VERIFICAR</v>
      </c>
      <c r="G4227" s="21" t="str">
        <f t="shared" si="612"/>
        <v>VERIFICAR</v>
      </c>
      <c r="H4227" s="21" t="str">
        <f t="shared" si="612"/>
        <v>VERIFICAR</v>
      </c>
      <c r="I4227" s="24" t="str">
        <f t="shared" si="613"/>
        <v xml:space="preserve">SEM VALOR</v>
      </c>
      <c r="L4227" s="36"/>
      <c r="M4227" s="37"/>
      <c r="N4227" s="36"/>
    </row>
    <row r="4228" ht="38.25">
      <c r="A4228" s="19" t="s">
        <v>10460</v>
      </c>
      <c r="B4228" s="19">
        <v>25007</v>
      </c>
      <c r="C4228" s="20" t="s">
        <v>14696</v>
      </c>
      <c r="D4228" s="19" t="s">
        <v>29</v>
      </c>
      <c r="E4228" s="19" t="s">
        <v>10466</v>
      </c>
      <c r="F4228" s="21" t="str">
        <f t="shared" si="612"/>
        <v>VERIFICAR</v>
      </c>
      <c r="G4228" s="21" t="str">
        <f t="shared" si="612"/>
        <v>VERIFICAR</v>
      </c>
      <c r="H4228" s="21" t="str">
        <f t="shared" si="612"/>
        <v>VERIFICAR</v>
      </c>
      <c r="I4228" s="24" t="str">
        <f t="shared" si="613"/>
        <v xml:space="preserve">SEM VALOR</v>
      </c>
      <c r="L4228" s="36"/>
      <c r="M4228" s="37"/>
      <c r="N4228" s="36"/>
    </row>
    <row r="4229" ht="76.5">
      <c r="A4229" s="19" t="s">
        <v>10460</v>
      </c>
      <c r="B4229" s="19">
        <v>43071</v>
      </c>
      <c r="C4229" s="20" t="s">
        <v>14697</v>
      </c>
      <c r="D4229" s="19" t="s">
        <v>29</v>
      </c>
      <c r="E4229" s="19" t="s">
        <v>10459</v>
      </c>
      <c r="F4229" s="21" t="str">
        <f t="shared" si="612"/>
        <v>VERIFICAR</v>
      </c>
      <c r="G4229" s="21" t="str">
        <f t="shared" si="612"/>
        <v>VERIFICAR</v>
      </c>
      <c r="H4229" s="21" t="str">
        <f t="shared" si="612"/>
        <v>VERIFICAR</v>
      </c>
      <c r="I4229" s="24" t="str">
        <f t="shared" si="613"/>
        <v xml:space="preserve">SEM VALOR</v>
      </c>
      <c r="L4229" s="36"/>
      <c r="M4229" s="37"/>
      <c r="N4229" s="36"/>
    </row>
    <row r="4230" ht="76.5">
      <c r="A4230" s="19" t="s">
        <v>10460</v>
      </c>
      <c r="B4230" s="19">
        <v>39520</v>
      </c>
      <c r="C4230" s="20" t="s">
        <v>14698</v>
      </c>
      <c r="D4230" s="19" t="s">
        <v>29</v>
      </c>
      <c r="E4230" s="19" t="s">
        <v>10459</v>
      </c>
      <c r="F4230" s="21" t="str">
        <f t="shared" si="612"/>
        <v>VERIFICAR</v>
      </c>
      <c r="G4230" s="21" t="str">
        <f t="shared" si="612"/>
        <v>VERIFICAR</v>
      </c>
      <c r="H4230" s="21" t="str">
        <f t="shared" si="612"/>
        <v>VERIFICAR</v>
      </c>
      <c r="I4230" s="24" t="str">
        <f t="shared" si="613"/>
        <v xml:space="preserve">SEM VALOR</v>
      </c>
      <c r="L4230" s="36"/>
      <c r="M4230" s="37"/>
      <c r="N4230" s="36"/>
    </row>
    <row r="4231" ht="76.5">
      <c r="A4231" s="19" t="s">
        <v>10460</v>
      </c>
      <c r="B4231" s="19">
        <v>39521</v>
      </c>
      <c r="C4231" s="20" t="s">
        <v>14699</v>
      </c>
      <c r="D4231" s="19" t="s">
        <v>29</v>
      </c>
      <c r="E4231" s="19" t="s">
        <v>10459</v>
      </c>
      <c r="F4231" s="21" t="str">
        <f t="shared" si="612"/>
        <v>VERIFICAR</v>
      </c>
      <c r="G4231" s="21" t="str">
        <f t="shared" si="612"/>
        <v>VERIFICAR</v>
      </c>
      <c r="H4231" s="21" t="str">
        <f t="shared" si="612"/>
        <v>VERIFICAR</v>
      </c>
      <c r="I4231" s="24" t="str">
        <f t="shared" si="613"/>
        <v xml:space="preserve">SEM VALOR</v>
      </c>
      <c r="L4231" s="36"/>
      <c r="M4231" s="37"/>
      <c r="N4231" s="36"/>
    </row>
    <row r="4232" ht="63.75">
      <c r="A4232" s="19" t="s">
        <v>10460</v>
      </c>
      <c r="B4232" s="19">
        <v>39522</v>
      </c>
      <c r="C4232" s="20" t="s">
        <v>14700</v>
      </c>
      <c r="D4232" s="19" t="s">
        <v>29</v>
      </c>
      <c r="E4232" s="19" t="s">
        <v>10459</v>
      </c>
      <c r="F4232" s="21" t="str">
        <f t="shared" si="612"/>
        <v>VERIFICAR</v>
      </c>
      <c r="G4232" s="21" t="str">
        <f t="shared" si="612"/>
        <v>VERIFICAR</v>
      </c>
      <c r="H4232" s="21" t="str">
        <f t="shared" si="612"/>
        <v>VERIFICAR</v>
      </c>
      <c r="I4232" s="24" t="str">
        <f t="shared" si="613"/>
        <v xml:space="preserve">SEM VALOR</v>
      </c>
      <c r="L4232" s="36"/>
      <c r="M4232" s="37"/>
      <c r="N4232" s="36"/>
    </row>
    <row r="4233" ht="38.25">
      <c r="A4233" s="19" t="s">
        <v>10460</v>
      </c>
      <c r="B4233" s="19">
        <v>7243</v>
      </c>
      <c r="C4233" s="20" t="s">
        <v>14701</v>
      </c>
      <c r="D4233" s="19" t="s">
        <v>29</v>
      </c>
      <c r="E4233" s="19" t="s">
        <v>10459</v>
      </c>
      <c r="F4233" s="21" t="str">
        <f t="shared" si="612"/>
        <v>VERIFICAR</v>
      </c>
      <c r="G4233" s="21" t="str">
        <f t="shared" si="612"/>
        <v>VERIFICAR</v>
      </c>
      <c r="H4233" s="21" t="str">
        <f t="shared" si="612"/>
        <v>VERIFICAR</v>
      </c>
      <c r="I4233" s="24" t="str">
        <f t="shared" si="613"/>
        <v xml:space="preserve">SEM VALOR</v>
      </c>
      <c r="L4233" s="36"/>
      <c r="M4233" s="37"/>
      <c r="N4233" s="36"/>
    </row>
    <row r="4234" ht="12.75">
      <c r="A4234" s="19" t="s">
        <v>10460</v>
      </c>
      <c r="B4234" s="19">
        <v>7246</v>
      </c>
      <c r="C4234" s="20" t="s">
        <v>14702</v>
      </c>
      <c r="D4234" s="19" t="s">
        <v>31</v>
      </c>
      <c r="E4234" s="19" t="s">
        <v>10459</v>
      </c>
      <c r="F4234" s="21" t="str">
        <f t="shared" si="612"/>
        <v>VERIFICAR</v>
      </c>
      <c r="G4234" s="21" t="str">
        <f t="shared" si="612"/>
        <v>VERIFICAR</v>
      </c>
      <c r="H4234" s="21" t="str">
        <f t="shared" si="612"/>
        <v>VERIFICAR</v>
      </c>
      <c r="I4234" s="24" t="str">
        <f t="shared" si="613"/>
        <v xml:space="preserve">SEM VALOR</v>
      </c>
      <c r="L4234" s="36"/>
      <c r="M4234" s="37"/>
      <c r="N4234" s="36"/>
    </row>
    <row r="4235" ht="12.75">
      <c r="A4235" s="19" t="s">
        <v>10604</v>
      </c>
      <c r="B4235" s="19">
        <v>12869</v>
      </c>
      <c r="C4235" s="20" t="s">
        <v>14703</v>
      </c>
      <c r="D4235" s="19" t="s">
        <v>2032</v>
      </c>
      <c r="E4235" s="19" t="s">
        <v>10459</v>
      </c>
      <c r="F4235" s="21">
        <f t="shared" ref="F4235:H4298" si="614">IF(L4235=0,"VERIFICAR",L4235)</f>
        <v>21.010000000000002</v>
      </c>
      <c r="G4235" s="21">
        <f t="shared" si="614"/>
        <v>21.010000000000002</v>
      </c>
      <c r="H4235" s="21">
        <f t="shared" si="614"/>
        <v>21.010000000000002</v>
      </c>
      <c r="I4235" s="24" t="str">
        <f t="shared" ref="I4235:I4298" si="615">IF(OR(L4235=0,M4235=0,N4235=0),"SEM VALOR","COM VALOR")</f>
        <v xml:space="preserve">COM VALOR</v>
      </c>
      <c r="L4235" s="36">
        <v>21.010000000000002</v>
      </c>
      <c r="M4235" s="37">
        <v>21.010000000000002</v>
      </c>
      <c r="N4235" s="36">
        <v>21.010000000000002</v>
      </c>
    </row>
    <row r="4236" ht="12.75">
      <c r="A4236" s="19" t="s">
        <v>10604</v>
      </c>
      <c r="B4236" s="19">
        <v>41097</v>
      </c>
      <c r="C4236" s="20" t="s">
        <v>14704</v>
      </c>
      <c r="D4236" s="19" t="s">
        <v>7087</v>
      </c>
      <c r="E4236" s="19" t="s">
        <v>10459</v>
      </c>
      <c r="F4236" s="21">
        <f t="shared" si="614"/>
        <v>3677.4400000000001</v>
      </c>
      <c r="G4236" s="21">
        <f t="shared" si="614"/>
        <v>3677.4400000000001</v>
      </c>
      <c r="H4236" s="21">
        <f t="shared" si="614"/>
        <v>3677.4400000000001</v>
      </c>
      <c r="I4236" s="24" t="str">
        <f t="shared" si="615"/>
        <v xml:space="preserve">COM VALOR</v>
      </c>
      <c r="L4236" s="36">
        <v>3677.4400000000001</v>
      </c>
      <c r="M4236" s="37">
        <v>3677.4400000000001</v>
      </c>
      <c r="N4236" s="36">
        <v>3677.4400000000001</v>
      </c>
    </row>
    <row r="4237" ht="38.25">
      <c r="A4237" s="19" t="s">
        <v>10460</v>
      </c>
      <c r="B4237" s="19">
        <v>1574</v>
      </c>
      <c r="C4237" s="20" t="s">
        <v>14705</v>
      </c>
      <c r="D4237" s="19" t="s">
        <v>31</v>
      </c>
      <c r="E4237" s="19" t="s">
        <v>10459</v>
      </c>
      <c r="F4237" s="21">
        <f t="shared" si="614"/>
        <v>1.76</v>
      </c>
      <c r="G4237" s="21">
        <f t="shared" si="614"/>
        <v>1.76</v>
      </c>
      <c r="H4237" s="21">
        <f t="shared" si="614"/>
        <v>1.76</v>
      </c>
      <c r="I4237" s="24" t="str">
        <f t="shared" si="615"/>
        <v xml:space="preserve">COM VALOR</v>
      </c>
      <c r="L4237" s="36">
        <v>1.76</v>
      </c>
      <c r="M4237" s="37">
        <v>1.76</v>
      </c>
      <c r="N4237" s="36">
        <v>1.76</v>
      </c>
    </row>
    <row r="4238" ht="38.25">
      <c r="A4238" s="19" t="s">
        <v>10460</v>
      </c>
      <c r="B4238" s="19">
        <v>1581</v>
      </c>
      <c r="C4238" s="20" t="s">
        <v>14706</v>
      </c>
      <c r="D4238" s="19" t="s">
        <v>31</v>
      </c>
      <c r="E4238" s="19" t="s">
        <v>10459</v>
      </c>
      <c r="F4238" s="21">
        <f t="shared" si="614"/>
        <v>12.210000000000001</v>
      </c>
      <c r="G4238" s="21">
        <f t="shared" si="614"/>
        <v>12.210000000000001</v>
      </c>
      <c r="H4238" s="21">
        <f t="shared" si="614"/>
        <v>12.210000000000001</v>
      </c>
      <c r="I4238" s="24" t="str">
        <f t="shared" si="615"/>
        <v xml:space="preserve">COM VALOR</v>
      </c>
      <c r="L4238" s="36">
        <v>12.210000000000001</v>
      </c>
      <c r="M4238" s="37">
        <v>12.210000000000001</v>
      </c>
      <c r="N4238" s="36">
        <v>12.210000000000001</v>
      </c>
    </row>
    <row r="4239" ht="38.25">
      <c r="A4239" s="19" t="s">
        <v>10460</v>
      </c>
      <c r="B4239" s="19">
        <v>1575</v>
      </c>
      <c r="C4239" s="20" t="s">
        <v>14707</v>
      </c>
      <c r="D4239" s="19" t="s">
        <v>31</v>
      </c>
      <c r="E4239" s="19" t="s">
        <v>10459</v>
      </c>
      <c r="F4239" s="21">
        <f t="shared" si="614"/>
        <v>2.0899999999999999</v>
      </c>
      <c r="G4239" s="21">
        <f t="shared" si="614"/>
        <v>2.0899999999999999</v>
      </c>
      <c r="H4239" s="21">
        <f t="shared" si="614"/>
        <v>2.0899999999999999</v>
      </c>
      <c r="I4239" s="24" t="str">
        <f t="shared" si="615"/>
        <v xml:space="preserve">COM VALOR</v>
      </c>
      <c r="L4239" s="36">
        <v>2.0899999999999999</v>
      </c>
      <c r="M4239" s="37">
        <v>2.0899999999999999</v>
      </c>
      <c r="N4239" s="36">
        <v>2.0899999999999999</v>
      </c>
    </row>
    <row r="4240" ht="38.25">
      <c r="A4240" s="19" t="s">
        <v>10460</v>
      </c>
      <c r="B4240" s="19">
        <v>1570</v>
      </c>
      <c r="C4240" s="20" t="s">
        <v>14708</v>
      </c>
      <c r="D4240" s="19" t="s">
        <v>31</v>
      </c>
      <c r="E4240" s="19" t="s">
        <v>10459</v>
      </c>
      <c r="F4240" s="21">
        <f t="shared" si="614"/>
        <v>1.05</v>
      </c>
      <c r="G4240" s="21">
        <f t="shared" si="614"/>
        <v>1.05</v>
      </c>
      <c r="H4240" s="21">
        <f t="shared" si="614"/>
        <v>1.05</v>
      </c>
      <c r="I4240" s="24" t="str">
        <f t="shared" si="615"/>
        <v xml:space="preserve">COM VALOR</v>
      </c>
      <c r="L4240" s="36">
        <v>1.05</v>
      </c>
      <c r="M4240" s="37">
        <v>1.05</v>
      </c>
      <c r="N4240" s="36">
        <v>1.05</v>
      </c>
    </row>
    <row r="4241" ht="38.25">
      <c r="A4241" s="19" t="s">
        <v>10460</v>
      </c>
      <c r="B4241" s="19">
        <v>1576</v>
      </c>
      <c r="C4241" s="20" t="s">
        <v>14709</v>
      </c>
      <c r="D4241" s="19" t="s">
        <v>31</v>
      </c>
      <c r="E4241" s="19" t="s">
        <v>10459</v>
      </c>
      <c r="F4241" s="21">
        <f t="shared" si="614"/>
        <v>2.8900000000000001</v>
      </c>
      <c r="G4241" s="21">
        <f t="shared" si="614"/>
        <v>2.8900000000000001</v>
      </c>
      <c r="H4241" s="21">
        <f t="shared" si="614"/>
        <v>2.8900000000000001</v>
      </c>
      <c r="I4241" s="24" t="str">
        <f t="shared" si="615"/>
        <v xml:space="preserve">COM VALOR</v>
      </c>
      <c r="L4241" s="36">
        <v>2.8900000000000001</v>
      </c>
      <c r="M4241" s="37">
        <v>2.8900000000000001</v>
      </c>
      <c r="N4241" s="36">
        <v>2.8900000000000001</v>
      </c>
    </row>
    <row r="4242" ht="38.25">
      <c r="A4242" s="19" t="s">
        <v>10460</v>
      </c>
      <c r="B4242" s="19">
        <v>1577</v>
      </c>
      <c r="C4242" s="20" t="s">
        <v>14710</v>
      </c>
      <c r="D4242" s="19" t="s">
        <v>31</v>
      </c>
      <c r="E4242" s="19" t="s">
        <v>10459</v>
      </c>
      <c r="F4242" s="21">
        <f t="shared" si="614"/>
        <v>3.2599999999999998</v>
      </c>
      <c r="G4242" s="21">
        <f t="shared" si="614"/>
        <v>3.2599999999999998</v>
      </c>
      <c r="H4242" s="21">
        <f t="shared" si="614"/>
        <v>3.2599999999999998</v>
      </c>
      <c r="I4242" s="24" t="str">
        <f t="shared" si="615"/>
        <v xml:space="preserve">COM VALOR</v>
      </c>
      <c r="L4242" s="36">
        <v>3.2599999999999998</v>
      </c>
      <c r="M4242" s="37">
        <v>3.2599999999999998</v>
      </c>
      <c r="N4242" s="36">
        <v>3.2599999999999998</v>
      </c>
    </row>
    <row r="4243" ht="38.25">
      <c r="A4243" s="19" t="s">
        <v>10460</v>
      </c>
      <c r="B4243" s="19">
        <v>1571</v>
      </c>
      <c r="C4243" s="20" t="s">
        <v>14711</v>
      </c>
      <c r="D4243" s="19" t="s">
        <v>31</v>
      </c>
      <c r="E4243" s="19" t="s">
        <v>10459</v>
      </c>
      <c r="F4243" s="21">
        <f t="shared" si="614"/>
        <v>1.3600000000000001</v>
      </c>
      <c r="G4243" s="21">
        <f t="shared" si="614"/>
        <v>1.3600000000000001</v>
      </c>
      <c r="H4243" s="21">
        <f t="shared" si="614"/>
        <v>1.3600000000000001</v>
      </c>
      <c r="I4243" s="24" t="str">
        <f t="shared" si="615"/>
        <v xml:space="preserve">COM VALOR</v>
      </c>
      <c r="L4243" s="36">
        <v>1.3600000000000001</v>
      </c>
      <c r="M4243" s="37">
        <v>1.3600000000000001</v>
      </c>
      <c r="N4243" s="36">
        <v>1.3600000000000001</v>
      </c>
    </row>
    <row r="4244" ht="38.25">
      <c r="A4244" s="19" t="s">
        <v>10460</v>
      </c>
      <c r="B4244" s="19">
        <v>1578</v>
      </c>
      <c r="C4244" s="20" t="s">
        <v>14712</v>
      </c>
      <c r="D4244" s="19" t="s">
        <v>31</v>
      </c>
      <c r="E4244" s="19" t="s">
        <v>10459</v>
      </c>
      <c r="F4244" s="21">
        <f t="shared" si="614"/>
        <v>5.6600000000000001</v>
      </c>
      <c r="G4244" s="21">
        <f t="shared" si="614"/>
        <v>5.6600000000000001</v>
      </c>
      <c r="H4244" s="21">
        <f t="shared" si="614"/>
        <v>5.6600000000000001</v>
      </c>
      <c r="I4244" s="24" t="str">
        <f t="shared" si="615"/>
        <v xml:space="preserve">COM VALOR</v>
      </c>
      <c r="L4244" s="36">
        <v>5.6600000000000001</v>
      </c>
      <c r="M4244" s="37">
        <v>5.6600000000000001</v>
      </c>
      <c r="N4244" s="36">
        <v>5.6600000000000001</v>
      </c>
    </row>
    <row r="4245" ht="38.25">
      <c r="A4245" s="19" t="s">
        <v>10460</v>
      </c>
      <c r="B4245" s="19">
        <v>1573</v>
      </c>
      <c r="C4245" s="20" t="s">
        <v>14713</v>
      </c>
      <c r="D4245" s="19" t="s">
        <v>31</v>
      </c>
      <c r="E4245" s="19" t="s">
        <v>10459</v>
      </c>
      <c r="F4245" s="21">
        <f t="shared" si="614"/>
        <v>1.6299999999999999</v>
      </c>
      <c r="G4245" s="21">
        <f t="shared" si="614"/>
        <v>1.6299999999999999</v>
      </c>
      <c r="H4245" s="21">
        <f t="shared" si="614"/>
        <v>1.6299999999999999</v>
      </c>
      <c r="I4245" s="24" t="str">
        <f t="shared" si="615"/>
        <v xml:space="preserve">COM VALOR</v>
      </c>
      <c r="L4245" s="36">
        <v>1.6299999999999999</v>
      </c>
      <c r="M4245" s="37">
        <v>1.6299999999999999</v>
      </c>
      <c r="N4245" s="36">
        <v>1.6299999999999999</v>
      </c>
    </row>
    <row r="4246" ht="38.25">
      <c r="A4246" s="19" t="s">
        <v>10460</v>
      </c>
      <c r="B4246" s="19">
        <v>1579</v>
      </c>
      <c r="C4246" s="20" t="s">
        <v>14714</v>
      </c>
      <c r="D4246" s="19" t="s">
        <v>31</v>
      </c>
      <c r="E4246" s="19" t="s">
        <v>10459</v>
      </c>
      <c r="F4246" s="21">
        <f t="shared" si="614"/>
        <v>7.0499999999999998</v>
      </c>
      <c r="G4246" s="21">
        <f t="shared" si="614"/>
        <v>7.0499999999999998</v>
      </c>
      <c r="H4246" s="21">
        <f t="shared" si="614"/>
        <v>7.0499999999999998</v>
      </c>
      <c r="I4246" s="24" t="str">
        <f t="shared" si="615"/>
        <v xml:space="preserve">COM VALOR</v>
      </c>
      <c r="L4246" s="36">
        <v>7.0499999999999998</v>
      </c>
      <c r="M4246" s="37">
        <v>7.0499999999999998</v>
      </c>
      <c r="N4246" s="36">
        <v>7.0499999999999998</v>
      </c>
    </row>
    <row r="4247" ht="38.25">
      <c r="A4247" s="19" t="s">
        <v>10460</v>
      </c>
      <c r="B4247" s="19">
        <v>1580</v>
      </c>
      <c r="C4247" s="20" t="s">
        <v>14715</v>
      </c>
      <c r="D4247" s="19" t="s">
        <v>31</v>
      </c>
      <c r="E4247" s="19" t="s">
        <v>10459</v>
      </c>
      <c r="F4247" s="21">
        <f t="shared" si="614"/>
        <v>8.6899999999999995</v>
      </c>
      <c r="G4247" s="21">
        <f t="shared" si="614"/>
        <v>8.6899999999999995</v>
      </c>
      <c r="H4247" s="21">
        <f t="shared" si="614"/>
        <v>8.6899999999999995</v>
      </c>
      <c r="I4247" s="24" t="str">
        <f t="shared" si="615"/>
        <v xml:space="preserve">COM VALOR</v>
      </c>
      <c r="L4247" s="36">
        <v>8.6899999999999995</v>
      </c>
      <c r="M4247" s="37">
        <v>8.6899999999999995</v>
      </c>
      <c r="N4247" s="36">
        <v>8.6899999999999995</v>
      </c>
    </row>
    <row r="4248" ht="25.5">
      <c r="A4248" s="19" t="s">
        <v>10460</v>
      </c>
      <c r="B4248" s="19">
        <v>39321</v>
      </c>
      <c r="C4248" s="20" t="s">
        <v>14716</v>
      </c>
      <c r="D4248" s="19" t="s">
        <v>31</v>
      </c>
      <c r="E4248" s="19" t="s">
        <v>10459</v>
      </c>
      <c r="F4248" s="21">
        <f t="shared" si="614"/>
        <v>24.649999999999999</v>
      </c>
      <c r="G4248" s="21">
        <f t="shared" si="614"/>
        <v>24.649999999999999</v>
      </c>
      <c r="H4248" s="21">
        <f t="shared" si="614"/>
        <v>24.649999999999999</v>
      </c>
      <c r="I4248" s="24" t="str">
        <f t="shared" si="615"/>
        <v xml:space="preserve">COM VALOR</v>
      </c>
      <c r="L4248" s="36">
        <v>24.649999999999999</v>
      </c>
      <c r="M4248" s="37">
        <v>24.649999999999999</v>
      </c>
      <c r="N4248" s="36">
        <v>24.649999999999999</v>
      </c>
    </row>
    <row r="4249" ht="25.5">
      <c r="A4249" s="19" t="s">
        <v>10460</v>
      </c>
      <c r="B4249" s="19">
        <v>39319</v>
      </c>
      <c r="C4249" s="20" t="s">
        <v>14717</v>
      </c>
      <c r="D4249" s="19" t="s">
        <v>31</v>
      </c>
      <c r="E4249" s="19" t="s">
        <v>10459</v>
      </c>
      <c r="F4249" s="21">
        <f t="shared" si="614"/>
        <v>10.26</v>
      </c>
      <c r="G4249" s="21">
        <f t="shared" si="614"/>
        <v>10.26</v>
      </c>
      <c r="H4249" s="21">
        <f t="shared" si="614"/>
        <v>10.26</v>
      </c>
      <c r="I4249" s="24" t="str">
        <f t="shared" si="615"/>
        <v xml:space="preserve">COM VALOR</v>
      </c>
      <c r="L4249" s="36">
        <v>10.26</v>
      </c>
      <c r="M4249" s="37">
        <v>10.26</v>
      </c>
      <c r="N4249" s="36">
        <v>10.26</v>
      </c>
    </row>
    <row r="4250" ht="25.5">
      <c r="A4250" s="19" t="s">
        <v>10460</v>
      </c>
      <c r="B4250" s="19">
        <v>39320</v>
      </c>
      <c r="C4250" s="20" t="s">
        <v>14718</v>
      </c>
      <c r="D4250" s="19" t="s">
        <v>31</v>
      </c>
      <c r="E4250" s="19" t="s">
        <v>10459</v>
      </c>
      <c r="F4250" s="21">
        <f t="shared" si="614"/>
        <v>19.719999999999999</v>
      </c>
      <c r="G4250" s="21">
        <f t="shared" si="614"/>
        <v>19.719999999999999</v>
      </c>
      <c r="H4250" s="21">
        <f t="shared" si="614"/>
        <v>19.719999999999999</v>
      </c>
      <c r="I4250" s="24" t="str">
        <f t="shared" si="615"/>
        <v xml:space="preserve">COM VALOR</v>
      </c>
      <c r="L4250" s="36">
        <v>19.719999999999999</v>
      </c>
      <c r="M4250" s="37">
        <v>19.719999999999999</v>
      </c>
      <c r="N4250" s="36">
        <v>19.719999999999999</v>
      </c>
    </row>
    <row r="4251" ht="25.5">
      <c r="A4251" s="19" t="s">
        <v>10460</v>
      </c>
      <c r="B4251" s="19">
        <v>1542</v>
      </c>
      <c r="C4251" s="20" t="s">
        <v>14719</v>
      </c>
      <c r="D4251" s="19" t="s">
        <v>31</v>
      </c>
      <c r="E4251" s="19" t="s">
        <v>10459</v>
      </c>
      <c r="F4251" s="21">
        <f t="shared" si="614"/>
        <v>24.07</v>
      </c>
      <c r="G4251" s="21">
        <f t="shared" si="614"/>
        <v>24.07</v>
      </c>
      <c r="H4251" s="21">
        <f t="shared" si="614"/>
        <v>24.07</v>
      </c>
      <c r="I4251" s="24" t="str">
        <f t="shared" si="615"/>
        <v xml:space="preserve">COM VALOR</v>
      </c>
      <c r="L4251" s="36">
        <v>24.07</v>
      </c>
      <c r="M4251" s="37">
        <v>24.07</v>
      </c>
      <c r="N4251" s="36">
        <v>24.07</v>
      </c>
    </row>
    <row r="4252" ht="25.5">
      <c r="A4252" s="19" t="s">
        <v>10460</v>
      </c>
      <c r="B4252" s="19">
        <v>1591</v>
      </c>
      <c r="C4252" s="20" t="s">
        <v>14720</v>
      </c>
      <c r="D4252" s="19" t="s">
        <v>31</v>
      </c>
      <c r="E4252" s="19" t="s">
        <v>10459</v>
      </c>
      <c r="F4252" s="21">
        <f t="shared" si="614"/>
        <v>26.940000000000001</v>
      </c>
      <c r="G4252" s="21">
        <f t="shared" si="614"/>
        <v>26.940000000000001</v>
      </c>
      <c r="H4252" s="21">
        <f t="shared" si="614"/>
        <v>26.940000000000001</v>
      </c>
      <c r="I4252" s="24" t="str">
        <f t="shared" si="615"/>
        <v xml:space="preserve">COM VALOR</v>
      </c>
      <c r="L4252" s="36">
        <v>26.940000000000001</v>
      </c>
      <c r="M4252" s="37">
        <v>26.940000000000001</v>
      </c>
      <c r="N4252" s="36">
        <v>26.940000000000001</v>
      </c>
    </row>
    <row r="4253" ht="25.5">
      <c r="A4253" s="19" t="s">
        <v>10460</v>
      </c>
      <c r="B4253" s="19">
        <v>1547</v>
      </c>
      <c r="C4253" s="20" t="s">
        <v>14721</v>
      </c>
      <c r="D4253" s="19" t="s">
        <v>31</v>
      </c>
      <c r="E4253" s="19" t="s">
        <v>10459</v>
      </c>
      <c r="F4253" s="21">
        <f t="shared" si="614"/>
        <v>141.16</v>
      </c>
      <c r="G4253" s="21">
        <f t="shared" si="614"/>
        <v>141.16</v>
      </c>
      <c r="H4253" s="21">
        <f t="shared" si="614"/>
        <v>141.16</v>
      </c>
      <c r="I4253" s="24" t="str">
        <f t="shared" si="615"/>
        <v xml:space="preserve">COM VALOR</v>
      </c>
      <c r="L4253" s="36">
        <v>141.16</v>
      </c>
      <c r="M4253" s="37">
        <v>141.16</v>
      </c>
      <c r="N4253" s="36">
        <v>141.16</v>
      </c>
    </row>
    <row r="4254" ht="25.5">
      <c r="A4254" s="19" t="s">
        <v>10460</v>
      </c>
      <c r="B4254" s="19">
        <v>38196</v>
      </c>
      <c r="C4254" s="20" t="s">
        <v>14722</v>
      </c>
      <c r="D4254" s="19" t="s">
        <v>31</v>
      </c>
      <c r="E4254" s="19" t="s">
        <v>10459</v>
      </c>
      <c r="F4254" s="21">
        <f t="shared" si="614"/>
        <v>27.489999999999998</v>
      </c>
      <c r="G4254" s="21">
        <f t="shared" si="614"/>
        <v>27.489999999999998</v>
      </c>
      <c r="H4254" s="21">
        <f t="shared" si="614"/>
        <v>27.489999999999998</v>
      </c>
      <c r="I4254" s="24" t="str">
        <f t="shared" si="615"/>
        <v xml:space="preserve">COM VALOR</v>
      </c>
      <c r="L4254" s="36">
        <v>27.489999999999998</v>
      </c>
      <c r="M4254" s="37">
        <v>27.489999999999998</v>
      </c>
      <c r="N4254" s="36">
        <v>27.489999999999998</v>
      </c>
    </row>
    <row r="4255" ht="25.5">
      <c r="A4255" s="19" t="s">
        <v>10460</v>
      </c>
      <c r="B4255" s="19">
        <v>1543</v>
      </c>
      <c r="C4255" s="20" t="s">
        <v>14723</v>
      </c>
      <c r="D4255" s="19" t="s">
        <v>31</v>
      </c>
      <c r="E4255" s="19" t="s">
        <v>10459</v>
      </c>
      <c r="F4255" s="21">
        <f t="shared" si="614"/>
        <v>29.210000000000001</v>
      </c>
      <c r="G4255" s="21">
        <f t="shared" si="614"/>
        <v>29.210000000000001</v>
      </c>
      <c r="H4255" s="21">
        <f t="shared" si="614"/>
        <v>29.210000000000001</v>
      </c>
      <c r="I4255" s="24" t="str">
        <f t="shared" si="615"/>
        <v xml:space="preserve">COM VALOR</v>
      </c>
      <c r="L4255" s="36">
        <v>29.210000000000001</v>
      </c>
      <c r="M4255" s="37">
        <v>29.210000000000001</v>
      </c>
      <c r="N4255" s="36">
        <v>29.210000000000001</v>
      </c>
    </row>
    <row r="4256" ht="25.5">
      <c r="A4256" s="19" t="s">
        <v>10460</v>
      </c>
      <c r="B4256" s="19">
        <v>1585</v>
      </c>
      <c r="C4256" s="20" t="s">
        <v>14724</v>
      </c>
      <c r="D4256" s="19" t="s">
        <v>31</v>
      </c>
      <c r="E4256" s="19" t="s">
        <v>10459</v>
      </c>
      <c r="F4256" s="21">
        <f t="shared" si="614"/>
        <v>5.6600000000000001</v>
      </c>
      <c r="G4256" s="21">
        <f t="shared" si="614"/>
        <v>5.6600000000000001</v>
      </c>
      <c r="H4256" s="21">
        <f t="shared" si="614"/>
        <v>5.6600000000000001</v>
      </c>
      <c r="I4256" s="24" t="str">
        <f t="shared" si="615"/>
        <v xml:space="preserve">COM VALOR</v>
      </c>
      <c r="L4256" s="36">
        <v>5.6600000000000001</v>
      </c>
      <c r="M4256" s="37">
        <v>5.6600000000000001</v>
      </c>
      <c r="N4256" s="36">
        <v>5.6600000000000001</v>
      </c>
    </row>
    <row r="4257" ht="25.5">
      <c r="A4257" s="19" t="s">
        <v>10460</v>
      </c>
      <c r="B4257" s="19">
        <v>1593</v>
      </c>
      <c r="C4257" s="20" t="s">
        <v>14725</v>
      </c>
      <c r="D4257" s="19" t="s">
        <v>31</v>
      </c>
      <c r="E4257" s="19" t="s">
        <v>10459</v>
      </c>
      <c r="F4257" s="21">
        <f t="shared" si="614"/>
        <v>30.039999999999999</v>
      </c>
      <c r="G4257" s="21">
        <f t="shared" si="614"/>
        <v>30.039999999999999</v>
      </c>
      <c r="H4257" s="21">
        <f t="shared" si="614"/>
        <v>30.039999999999999</v>
      </c>
      <c r="I4257" s="24" t="str">
        <f t="shared" si="615"/>
        <v xml:space="preserve">COM VALOR</v>
      </c>
      <c r="L4257" s="36">
        <v>30.039999999999999</v>
      </c>
      <c r="M4257" s="37">
        <v>30.039999999999999</v>
      </c>
      <c r="N4257" s="36">
        <v>30.039999999999999</v>
      </c>
    </row>
    <row r="4258" ht="25.5">
      <c r="A4258" s="19" t="s">
        <v>10460</v>
      </c>
      <c r="B4258" s="19">
        <v>11838</v>
      </c>
      <c r="C4258" s="20" t="s">
        <v>14726</v>
      </c>
      <c r="D4258" s="19" t="s">
        <v>31</v>
      </c>
      <c r="E4258" s="19" t="s">
        <v>10459</v>
      </c>
      <c r="F4258" s="21">
        <f t="shared" si="614"/>
        <v>39.640000000000001</v>
      </c>
      <c r="G4258" s="21">
        <f t="shared" si="614"/>
        <v>39.640000000000001</v>
      </c>
      <c r="H4258" s="21">
        <f t="shared" si="614"/>
        <v>39.640000000000001</v>
      </c>
      <c r="I4258" s="24" t="str">
        <f t="shared" si="615"/>
        <v xml:space="preserve">COM VALOR</v>
      </c>
      <c r="L4258" s="36">
        <v>39.640000000000001</v>
      </c>
      <c r="M4258" s="37">
        <v>39.640000000000001</v>
      </c>
      <c r="N4258" s="36">
        <v>39.640000000000001</v>
      </c>
    </row>
    <row r="4259" ht="25.5">
      <c r="A4259" s="19" t="s">
        <v>10460</v>
      </c>
      <c r="B4259" s="19">
        <v>1594</v>
      </c>
      <c r="C4259" s="20" t="s">
        <v>14727</v>
      </c>
      <c r="D4259" s="19" t="s">
        <v>31</v>
      </c>
      <c r="E4259" s="19" t="s">
        <v>10459</v>
      </c>
      <c r="F4259" s="21">
        <f t="shared" si="614"/>
        <v>40.079999999999998</v>
      </c>
      <c r="G4259" s="21">
        <f t="shared" si="614"/>
        <v>40.079999999999998</v>
      </c>
      <c r="H4259" s="21">
        <f t="shared" si="614"/>
        <v>40.079999999999998</v>
      </c>
      <c r="I4259" s="24" t="str">
        <f t="shared" si="615"/>
        <v xml:space="preserve">COM VALOR</v>
      </c>
      <c r="L4259" s="36">
        <v>40.079999999999998</v>
      </c>
      <c r="M4259" s="37">
        <v>40.079999999999998</v>
      </c>
      <c r="N4259" s="36">
        <v>40.079999999999998</v>
      </c>
    </row>
    <row r="4260" ht="25.5">
      <c r="A4260" s="19" t="s">
        <v>10460</v>
      </c>
      <c r="B4260" s="19">
        <v>1586</v>
      </c>
      <c r="C4260" s="20" t="s">
        <v>14728</v>
      </c>
      <c r="D4260" s="19" t="s">
        <v>31</v>
      </c>
      <c r="E4260" s="19" t="s">
        <v>10459</v>
      </c>
      <c r="F4260" s="21">
        <f t="shared" si="614"/>
        <v>7.1600000000000001</v>
      </c>
      <c r="G4260" s="21">
        <f t="shared" si="614"/>
        <v>7.1600000000000001</v>
      </c>
      <c r="H4260" s="21">
        <f t="shared" si="614"/>
        <v>7.1600000000000001</v>
      </c>
      <c r="I4260" s="24" t="str">
        <f t="shared" si="615"/>
        <v xml:space="preserve">COM VALOR</v>
      </c>
      <c r="L4260" s="36">
        <v>7.1600000000000001</v>
      </c>
      <c r="M4260" s="37">
        <v>7.1600000000000001</v>
      </c>
      <c r="N4260" s="36">
        <v>7.1600000000000001</v>
      </c>
    </row>
    <row r="4261" ht="25.5">
      <c r="A4261" s="19" t="s">
        <v>10460</v>
      </c>
      <c r="B4261" s="19">
        <v>11839</v>
      </c>
      <c r="C4261" s="20" t="s">
        <v>14729</v>
      </c>
      <c r="D4261" s="19" t="s">
        <v>31</v>
      </c>
      <c r="E4261" s="19" t="s">
        <v>10459</v>
      </c>
      <c r="F4261" s="21">
        <f t="shared" si="614"/>
        <v>57.68</v>
      </c>
      <c r="G4261" s="21">
        <f t="shared" si="614"/>
        <v>57.68</v>
      </c>
      <c r="H4261" s="21">
        <f t="shared" si="614"/>
        <v>57.68</v>
      </c>
      <c r="I4261" s="24" t="str">
        <f t="shared" si="615"/>
        <v xml:space="preserve">COM VALOR</v>
      </c>
      <c r="L4261" s="36">
        <v>57.68</v>
      </c>
      <c r="M4261" s="37">
        <v>57.68</v>
      </c>
      <c r="N4261" s="36">
        <v>57.68</v>
      </c>
    </row>
    <row r="4262" ht="25.5">
      <c r="A4262" s="19" t="s">
        <v>10460</v>
      </c>
      <c r="B4262" s="19">
        <v>1587</v>
      </c>
      <c r="C4262" s="20" t="s">
        <v>14730</v>
      </c>
      <c r="D4262" s="19" t="s">
        <v>31</v>
      </c>
      <c r="E4262" s="19" t="s">
        <v>10459</v>
      </c>
      <c r="F4262" s="21">
        <f t="shared" si="614"/>
        <v>7.29</v>
      </c>
      <c r="G4262" s="21">
        <f t="shared" si="614"/>
        <v>7.29</v>
      </c>
      <c r="H4262" s="21">
        <f t="shared" si="614"/>
        <v>7.29</v>
      </c>
      <c r="I4262" s="24" t="str">
        <f t="shared" si="615"/>
        <v xml:space="preserve">COM VALOR</v>
      </c>
      <c r="L4262" s="36">
        <v>7.29</v>
      </c>
      <c r="M4262" s="37">
        <v>7.29</v>
      </c>
      <c r="N4262" s="36">
        <v>7.29</v>
      </c>
    </row>
    <row r="4263" ht="25.5">
      <c r="A4263" s="19" t="s">
        <v>10460</v>
      </c>
      <c r="B4263" s="19">
        <v>1545</v>
      </c>
      <c r="C4263" s="20" t="s">
        <v>14731</v>
      </c>
      <c r="D4263" s="19" t="s">
        <v>31</v>
      </c>
      <c r="E4263" s="19" t="s">
        <v>10459</v>
      </c>
      <c r="F4263" s="21">
        <f t="shared" si="614"/>
        <v>69.219999999999999</v>
      </c>
      <c r="G4263" s="21">
        <f t="shared" si="614"/>
        <v>69.219999999999999</v>
      </c>
      <c r="H4263" s="21">
        <f t="shared" si="614"/>
        <v>69.219999999999999</v>
      </c>
      <c r="I4263" s="24" t="str">
        <f t="shared" si="615"/>
        <v xml:space="preserve">COM VALOR</v>
      </c>
      <c r="L4263" s="36">
        <v>69.219999999999999</v>
      </c>
      <c r="M4263" s="37">
        <v>69.219999999999999</v>
      </c>
      <c r="N4263" s="36">
        <v>69.219999999999999</v>
      </c>
    </row>
    <row r="4264" ht="25.5">
      <c r="A4264" s="19" t="s">
        <v>10460</v>
      </c>
      <c r="B4264" s="19">
        <v>1588</v>
      </c>
      <c r="C4264" s="20" t="s">
        <v>14732</v>
      </c>
      <c r="D4264" s="19" t="s">
        <v>31</v>
      </c>
      <c r="E4264" s="19" t="s">
        <v>10459</v>
      </c>
      <c r="F4264" s="21">
        <f t="shared" si="614"/>
        <v>10</v>
      </c>
      <c r="G4264" s="21">
        <f t="shared" si="614"/>
        <v>10</v>
      </c>
      <c r="H4264" s="21">
        <f t="shared" si="614"/>
        <v>10</v>
      </c>
      <c r="I4264" s="24" t="str">
        <f t="shared" si="615"/>
        <v xml:space="preserve">COM VALOR</v>
      </c>
      <c r="L4264" s="36">
        <v>10</v>
      </c>
      <c r="M4264" s="37">
        <v>10</v>
      </c>
      <c r="N4264" s="36">
        <v>10</v>
      </c>
    </row>
    <row r="4265" ht="25.5">
      <c r="A4265" s="19" t="s">
        <v>10460</v>
      </c>
      <c r="B4265" s="19">
        <v>1535</v>
      </c>
      <c r="C4265" s="20" t="s">
        <v>14733</v>
      </c>
      <c r="D4265" s="19" t="s">
        <v>31</v>
      </c>
      <c r="E4265" s="19" t="s">
        <v>10459</v>
      </c>
      <c r="F4265" s="21">
        <f t="shared" si="614"/>
        <v>5.7599999999999998</v>
      </c>
      <c r="G4265" s="21">
        <f t="shared" si="614"/>
        <v>5.7599999999999998</v>
      </c>
      <c r="H4265" s="21">
        <f t="shared" si="614"/>
        <v>5.7599999999999998</v>
      </c>
      <c r="I4265" s="24" t="str">
        <f t="shared" si="615"/>
        <v xml:space="preserve">COM VALOR</v>
      </c>
      <c r="L4265" s="36">
        <v>5.7599999999999998</v>
      </c>
      <c r="M4265" s="37">
        <v>5.7599999999999998</v>
      </c>
      <c r="N4265" s="36">
        <v>5.7599999999999998</v>
      </c>
    </row>
    <row r="4266" ht="25.5">
      <c r="A4266" s="19" t="s">
        <v>10460</v>
      </c>
      <c r="B4266" s="19">
        <v>1589</v>
      </c>
      <c r="C4266" s="20" t="s">
        <v>14734</v>
      </c>
      <c r="D4266" s="19" t="s">
        <v>31</v>
      </c>
      <c r="E4266" s="19" t="s">
        <v>10459</v>
      </c>
      <c r="F4266" s="21">
        <f t="shared" si="614"/>
        <v>10.32</v>
      </c>
      <c r="G4266" s="21">
        <f t="shared" si="614"/>
        <v>10.32</v>
      </c>
      <c r="H4266" s="21">
        <f t="shared" si="614"/>
        <v>10.32</v>
      </c>
      <c r="I4266" s="24" t="str">
        <f t="shared" si="615"/>
        <v xml:space="preserve">COM VALOR</v>
      </c>
      <c r="L4266" s="36">
        <v>10.32</v>
      </c>
      <c r="M4266" s="37">
        <v>10.32</v>
      </c>
      <c r="N4266" s="36">
        <v>10.32</v>
      </c>
    </row>
    <row r="4267" ht="25.5">
      <c r="A4267" s="19" t="s">
        <v>10460</v>
      </c>
      <c r="B4267" s="19">
        <v>1546</v>
      </c>
      <c r="C4267" s="20" t="s">
        <v>14735</v>
      </c>
      <c r="D4267" s="19" t="s">
        <v>31</v>
      </c>
      <c r="E4267" s="19" t="s">
        <v>10459</v>
      </c>
      <c r="F4267" s="21">
        <f t="shared" si="614"/>
        <v>116.81</v>
      </c>
      <c r="G4267" s="21">
        <f t="shared" si="614"/>
        <v>116.81</v>
      </c>
      <c r="H4267" s="21">
        <f t="shared" si="614"/>
        <v>116.81</v>
      </c>
      <c r="I4267" s="24" t="str">
        <f t="shared" si="615"/>
        <v xml:space="preserve">COM VALOR</v>
      </c>
      <c r="L4267" s="36">
        <v>116.81</v>
      </c>
      <c r="M4267" s="37">
        <v>116.81</v>
      </c>
      <c r="N4267" s="36">
        <v>116.81</v>
      </c>
    </row>
    <row r="4268" ht="25.5">
      <c r="A4268" s="19" t="s">
        <v>10460</v>
      </c>
      <c r="B4268" s="19">
        <v>1590</v>
      </c>
      <c r="C4268" s="20" t="s">
        <v>14736</v>
      </c>
      <c r="D4268" s="19" t="s">
        <v>31</v>
      </c>
      <c r="E4268" s="19" t="s">
        <v>10459</v>
      </c>
      <c r="F4268" s="21">
        <f t="shared" si="614"/>
        <v>18.170000000000002</v>
      </c>
      <c r="G4268" s="21">
        <f t="shared" si="614"/>
        <v>18.170000000000002</v>
      </c>
      <c r="H4268" s="21">
        <f t="shared" si="614"/>
        <v>18.170000000000002</v>
      </c>
      <c r="I4268" s="24" t="str">
        <f t="shared" si="615"/>
        <v xml:space="preserve">COM VALOR</v>
      </c>
      <c r="L4268" s="36">
        <v>18.170000000000002</v>
      </c>
      <c r="M4268" s="37">
        <v>18.170000000000002</v>
      </c>
      <c r="N4268" s="36">
        <v>18.170000000000002</v>
      </c>
    </row>
    <row r="4269" ht="38.25">
      <c r="A4269" s="19" t="s">
        <v>10638</v>
      </c>
      <c r="B4269" s="19">
        <v>38415</v>
      </c>
      <c r="C4269" s="20" t="s">
        <v>14737</v>
      </c>
      <c r="D4269" s="19" t="s">
        <v>31</v>
      </c>
      <c r="E4269" s="19" t="s">
        <v>10459</v>
      </c>
      <c r="F4269" s="21">
        <f t="shared" si="614"/>
        <v>706.50999999999999</v>
      </c>
      <c r="G4269" s="21">
        <f t="shared" si="614"/>
        <v>706.50999999999999</v>
      </c>
      <c r="H4269" s="21">
        <f t="shared" si="614"/>
        <v>706.50999999999999</v>
      </c>
      <c r="I4269" s="24" t="str">
        <f t="shared" si="615"/>
        <v xml:space="preserve">COM VALOR</v>
      </c>
      <c r="L4269" s="36">
        <v>706.50999999999999</v>
      </c>
      <c r="M4269" s="37">
        <v>706.50999999999999</v>
      </c>
      <c r="N4269" s="36">
        <v>706.50999999999999</v>
      </c>
    </row>
    <row r="4270" ht="38.25">
      <c r="A4270" s="19" t="s">
        <v>10638</v>
      </c>
      <c r="B4270" s="19">
        <v>38414</v>
      </c>
      <c r="C4270" s="20" t="s">
        <v>14738</v>
      </c>
      <c r="D4270" s="19" t="s">
        <v>31</v>
      </c>
      <c r="E4270" s="19" t="s">
        <v>10459</v>
      </c>
      <c r="F4270" s="21">
        <f t="shared" si="614"/>
        <v>901.20000000000005</v>
      </c>
      <c r="G4270" s="21">
        <f t="shared" si="614"/>
        <v>901.20000000000005</v>
      </c>
      <c r="H4270" s="21">
        <f t="shared" si="614"/>
        <v>901.20000000000005</v>
      </c>
      <c r="I4270" s="24" t="str">
        <f t="shared" si="615"/>
        <v xml:space="preserve">COM VALOR</v>
      </c>
      <c r="L4270" s="36">
        <v>901.20000000000005</v>
      </c>
      <c r="M4270" s="37">
        <v>901.20000000000005</v>
      </c>
      <c r="N4270" s="36">
        <v>901.20000000000005</v>
      </c>
    </row>
    <row r="4271" ht="12.75">
      <c r="A4271" s="19" t="s">
        <v>10460</v>
      </c>
      <c r="B4271" s="19">
        <v>38128</v>
      </c>
      <c r="C4271" s="20" t="s">
        <v>14739</v>
      </c>
      <c r="D4271" s="19" t="s">
        <v>302</v>
      </c>
      <c r="E4271" s="19" t="s">
        <v>10466</v>
      </c>
      <c r="F4271" s="21">
        <f t="shared" si="614"/>
        <v>1.3999999999999999</v>
      </c>
      <c r="G4271" s="21">
        <f t="shared" si="614"/>
        <v>1.3999999999999999</v>
      </c>
      <c r="H4271" s="21">
        <f t="shared" si="614"/>
        <v>1.3999999999999999</v>
      </c>
      <c r="I4271" s="24" t="str">
        <f t="shared" si="615"/>
        <v xml:space="preserve">COM VALOR</v>
      </c>
      <c r="L4271" s="36">
        <v>1.3999999999999999</v>
      </c>
      <c r="M4271" s="37">
        <v>1.3999999999999999</v>
      </c>
      <c r="N4271" s="36">
        <v>1.3999999999999999</v>
      </c>
    </row>
    <row r="4272" ht="12.75">
      <c r="A4272" s="19" t="s">
        <v>10460</v>
      </c>
      <c r="B4272" s="19">
        <v>7253</v>
      </c>
      <c r="C4272" s="20" t="s">
        <v>14740</v>
      </c>
      <c r="D4272" s="19" t="s">
        <v>121</v>
      </c>
      <c r="E4272" s="19" t="s">
        <v>10459</v>
      </c>
      <c r="F4272" s="21">
        <f t="shared" si="614"/>
        <v>300</v>
      </c>
      <c r="G4272" s="21">
        <f t="shared" si="614"/>
        <v>300</v>
      </c>
      <c r="H4272" s="21">
        <f t="shared" si="614"/>
        <v>300</v>
      </c>
      <c r="I4272" s="24" t="str">
        <f t="shared" si="615"/>
        <v xml:space="preserve">COM VALOR</v>
      </c>
      <c r="L4272" s="36">
        <v>300</v>
      </c>
      <c r="M4272" s="37">
        <v>300</v>
      </c>
      <c r="N4272" s="36">
        <v>300</v>
      </c>
    </row>
    <row r="4273" ht="25.5">
      <c r="A4273" s="19" t="s">
        <v>10460</v>
      </c>
      <c r="B4273" s="19">
        <v>4806</v>
      </c>
      <c r="C4273" s="20" t="s">
        <v>14741</v>
      </c>
      <c r="D4273" s="19" t="s">
        <v>38</v>
      </c>
      <c r="E4273" s="19" t="s">
        <v>10459</v>
      </c>
      <c r="F4273" s="21">
        <f t="shared" si="614"/>
        <v>17.34</v>
      </c>
      <c r="G4273" s="21">
        <f t="shared" si="614"/>
        <v>17.34</v>
      </c>
      <c r="H4273" s="21">
        <f t="shared" si="614"/>
        <v>17.34</v>
      </c>
      <c r="I4273" s="24" t="str">
        <f t="shared" si="615"/>
        <v xml:space="preserve">COM VALOR</v>
      </c>
      <c r="L4273" s="36">
        <v>17.34</v>
      </c>
      <c r="M4273" s="37">
        <v>17.34</v>
      </c>
      <c r="N4273" s="36">
        <v>17.34</v>
      </c>
    </row>
    <row r="4274" ht="25.5">
      <c r="A4274" s="19" t="s">
        <v>10460</v>
      </c>
      <c r="B4274" s="19">
        <v>34401</v>
      </c>
      <c r="C4274" s="20" t="s">
        <v>14742</v>
      </c>
      <c r="D4274" s="19" t="s">
        <v>31</v>
      </c>
      <c r="E4274" s="19" t="s">
        <v>10459</v>
      </c>
      <c r="F4274" s="21">
        <f t="shared" si="614"/>
        <v>1.8999999999999999</v>
      </c>
      <c r="G4274" s="21">
        <f t="shared" si="614"/>
        <v>1.8999999999999999</v>
      </c>
      <c r="H4274" s="21">
        <f t="shared" si="614"/>
        <v>1.8999999999999999</v>
      </c>
      <c r="I4274" s="24" t="str">
        <f t="shared" si="615"/>
        <v xml:space="preserve">COM VALOR</v>
      </c>
      <c r="L4274" s="36">
        <v>1.8999999999999999</v>
      </c>
      <c r="M4274" s="37">
        <v>1.8999999999999999</v>
      </c>
      <c r="N4274" s="36">
        <v>1.8999999999999999</v>
      </c>
    </row>
    <row r="4275" ht="25.5">
      <c r="A4275" s="19" t="s">
        <v>10460</v>
      </c>
      <c r="B4275" s="19">
        <v>7256</v>
      </c>
      <c r="C4275" s="20" t="s">
        <v>14743</v>
      </c>
      <c r="D4275" s="19" t="s">
        <v>31</v>
      </c>
      <c r="E4275" s="19" t="s">
        <v>10459</v>
      </c>
      <c r="F4275" s="21">
        <f t="shared" si="614"/>
        <v>1.3500000000000001</v>
      </c>
      <c r="G4275" s="21">
        <f t="shared" si="614"/>
        <v>1.3500000000000001</v>
      </c>
      <c r="H4275" s="21">
        <f t="shared" si="614"/>
        <v>1.3500000000000001</v>
      </c>
      <c r="I4275" s="24" t="str">
        <f t="shared" si="615"/>
        <v xml:space="preserve">COM VALOR</v>
      </c>
      <c r="L4275" s="36">
        <v>1.3500000000000001</v>
      </c>
      <c r="M4275" s="37">
        <v>1.3500000000000001</v>
      </c>
      <c r="N4275" s="36">
        <v>1.3500000000000001</v>
      </c>
    </row>
    <row r="4276" ht="25.5">
      <c r="A4276" s="19" t="s">
        <v>10460</v>
      </c>
      <c r="B4276" s="19">
        <v>7260</v>
      </c>
      <c r="C4276" s="20" t="s">
        <v>14744</v>
      </c>
      <c r="D4276" s="19" t="s">
        <v>31</v>
      </c>
      <c r="E4276" s="19" t="s">
        <v>10459</v>
      </c>
      <c r="F4276" s="21">
        <f t="shared" si="614"/>
        <v>2.5600000000000001</v>
      </c>
      <c r="G4276" s="21">
        <f t="shared" si="614"/>
        <v>2.5600000000000001</v>
      </c>
      <c r="H4276" s="21">
        <f t="shared" si="614"/>
        <v>2.5600000000000001</v>
      </c>
      <c r="I4276" s="24" t="str">
        <f t="shared" si="615"/>
        <v xml:space="preserve">COM VALOR</v>
      </c>
      <c r="L4276" s="36">
        <v>2.5600000000000001</v>
      </c>
      <c r="M4276" s="37">
        <v>2.5600000000000001</v>
      </c>
      <c r="N4276" s="36">
        <v>2.5600000000000001</v>
      </c>
    </row>
    <row r="4277" ht="25.5">
      <c r="A4277" s="19" t="s">
        <v>10460</v>
      </c>
      <c r="B4277" s="19">
        <v>7258</v>
      </c>
      <c r="C4277" s="20" t="s">
        <v>14745</v>
      </c>
      <c r="D4277" s="19" t="s">
        <v>31</v>
      </c>
      <c r="E4277" s="19" t="s">
        <v>10459</v>
      </c>
      <c r="F4277" s="21">
        <f t="shared" si="614"/>
        <v>0.66000000000000003</v>
      </c>
      <c r="G4277" s="21">
        <f t="shared" si="614"/>
        <v>0.66000000000000003</v>
      </c>
      <c r="H4277" s="21">
        <f t="shared" si="614"/>
        <v>0.66000000000000003</v>
      </c>
      <c r="I4277" s="24" t="str">
        <f t="shared" si="615"/>
        <v xml:space="preserve">COM VALOR</v>
      </c>
      <c r="L4277" s="36">
        <v>0.66000000000000003</v>
      </c>
      <c r="M4277" s="37">
        <v>0.66000000000000003</v>
      </c>
      <c r="N4277" s="36">
        <v>0.66000000000000003</v>
      </c>
    </row>
    <row r="4278" ht="25.5">
      <c r="A4278" s="19" t="s">
        <v>10460</v>
      </c>
      <c r="B4278" s="19">
        <v>34400</v>
      </c>
      <c r="C4278" s="20" t="s">
        <v>14746</v>
      </c>
      <c r="D4278" s="19" t="s">
        <v>31</v>
      </c>
      <c r="E4278" s="19" t="s">
        <v>10459</v>
      </c>
      <c r="F4278" s="21">
        <f t="shared" si="614"/>
        <v>5.2699999999999996</v>
      </c>
      <c r="G4278" s="21">
        <f t="shared" si="614"/>
        <v>5.2699999999999996</v>
      </c>
      <c r="H4278" s="21">
        <f t="shared" si="614"/>
        <v>5.2699999999999996</v>
      </c>
      <c r="I4278" s="24" t="str">
        <f t="shared" si="615"/>
        <v xml:space="preserve">COM VALOR</v>
      </c>
      <c r="L4278" s="36">
        <v>5.2699999999999996</v>
      </c>
      <c r="M4278" s="37">
        <v>5.2699999999999996</v>
      </c>
      <c r="N4278" s="36">
        <v>5.2699999999999996</v>
      </c>
    </row>
    <row r="4279" ht="25.5">
      <c r="A4279" s="19" t="s">
        <v>10460</v>
      </c>
      <c r="B4279" s="19">
        <v>10617</v>
      </c>
      <c r="C4279" s="20" t="s">
        <v>14747</v>
      </c>
      <c r="D4279" s="19" t="s">
        <v>31</v>
      </c>
      <c r="E4279" s="19" t="s">
        <v>10459</v>
      </c>
      <c r="F4279" s="21">
        <f t="shared" si="614"/>
        <v>6.79</v>
      </c>
      <c r="G4279" s="21">
        <f t="shared" si="614"/>
        <v>6.79</v>
      </c>
      <c r="H4279" s="21">
        <f t="shared" si="614"/>
        <v>6.79</v>
      </c>
      <c r="I4279" s="24" t="str">
        <f t="shared" si="615"/>
        <v xml:space="preserve">COM VALOR</v>
      </c>
      <c r="L4279" s="36">
        <v>6.79</v>
      </c>
      <c r="M4279" s="37">
        <v>6.79</v>
      </c>
      <c r="N4279" s="36">
        <v>6.79</v>
      </c>
    </row>
    <row r="4280" ht="25.5">
      <c r="A4280" s="19" t="s">
        <v>10460</v>
      </c>
      <c r="B4280" s="19">
        <v>44261</v>
      </c>
      <c r="C4280" s="20" t="s">
        <v>14748</v>
      </c>
      <c r="D4280" s="19" t="s">
        <v>31</v>
      </c>
      <c r="E4280" s="19" t="s">
        <v>10459</v>
      </c>
      <c r="F4280" s="21">
        <f t="shared" si="614"/>
        <v>163.75999999999999</v>
      </c>
      <c r="G4280" s="21">
        <f t="shared" si="614"/>
        <v>163.75999999999999</v>
      </c>
      <c r="H4280" s="21">
        <f t="shared" si="614"/>
        <v>163.75999999999999</v>
      </c>
      <c r="I4280" s="24" t="str">
        <f t="shared" si="615"/>
        <v xml:space="preserve">COM VALOR</v>
      </c>
      <c r="L4280" s="36">
        <v>163.75999999999999</v>
      </c>
      <c r="M4280" s="37">
        <v>163.75999999999999</v>
      </c>
      <c r="N4280" s="36">
        <v>163.75999999999999</v>
      </c>
    </row>
    <row r="4281" ht="25.5">
      <c r="A4281" s="19" t="s">
        <v>10460</v>
      </c>
      <c r="B4281" s="19">
        <v>7274</v>
      </c>
      <c r="C4281" s="20" t="s">
        <v>14749</v>
      </c>
      <c r="D4281" s="19" t="s">
        <v>31</v>
      </c>
      <c r="E4281" s="19" t="s">
        <v>10459</v>
      </c>
      <c r="F4281" s="21">
        <f t="shared" si="614"/>
        <v>79.280000000000001</v>
      </c>
      <c r="G4281" s="21">
        <f t="shared" si="614"/>
        <v>79.280000000000001</v>
      </c>
      <c r="H4281" s="21">
        <f t="shared" si="614"/>
        <v>79.280000000000001</v>
      </c>
      <c r="I4281" s="24" t="str">
        <f t="shared" si="615"/>
        <v xml:space="preserve">COM VALOR</v>
      </c>
      <c r="L4281" s="36">
        <v>79.280000000000001</v>
      </c>
      <c r="M4281" s="37">
        <v>79.280000000000001</v>
      </c>
      <c r="N4281" s="36">
        <v>79.280000000000001</v>
      </c>
    </row>
    <row r="4282" ht="25.5">
      <c r="A4282" s="19" t="s">
        <v>10460</v>
      </c>
      <c r="B4282" s="19">
        <v>44326</v>
      </c>
      <c r="C4282" s="20" t="s">
        <v>14750</v>
      </c>
      <c r="D4282" s="19" t="s">
        <v>31</v>
      </c>
      <c r="E4282" s="19" t="s">
        <v>10459</v>
      </c>
      <c r="F4282" s="21">
        <f t="shared" si="614"/>
        <v>1712.25</v>
      </c>
      <c r="G4282" s="21">
        <f t="shared" si="614"/>
        <v>1712.25</v>
      </c>
      <c r="H4282" s="21">
        <f t="shared" si="614"/>
        <v>1712.25</v>
      </c>
      <c r="I4282" s="24" t="str">
        <f t="shared" si="615"/>
        <v xml:space="preserve">COM VALOR</v>
      </c>
      <c r="L4282" s="36">
        <v>1712.25</v>
      </c>
      <c r="M4282" s="37">
        <v>1712.25</v>
      </c>
      <c r="N4282" s="36">
        <v>1712.25</v>
      </c>
    </row>
    <row r="4283" ht="25.5">
      <c r="A4283" s="19" t="s">
        <v>10460</v>
      </c>
      <c r="B4283" s="19">
        <v>154</v>
      </c>
      <c r="C4283" s="20" t="s">
        <v>14751</v>
      </c>
      <c r="D4283" s="19" t="s">
        <v>9794</v>
      </c>
      <c r="E4283" s="19" t="s">
        <v>10459</v>
      </c>
      <c r="F4283" s="21">
        <f t="shared" si="614"/>
        <v>69.760000000000005</v>
      </c>
      <c r="G4283" s="21">
        <f t="shared" si="614"/>
        <v>69.760000000000005</v>
      </c>
      <c r="H4283" s="21">
        <f t="shared" si="614"/>
        <v>69.760000000000005</v>
      </c>
      <c r="I4283" s="24" t="str">
        <f t="shared" si="615"/>
        <v xml:space="preserve">COM VALOR</v>
      </c>
      <c r="L4283" s="36">
        <v>69.760000000000005</v>
      </c>
      <c r="M4283" s="37">
        <v>69.760000000000005</v>
      </c>
      <c r="N4283" s="36">
        <v>69.760000000000005</v>
      </c>
    </row>
    <row r="4284" ht="25.5">
      <c r="A4284" s="19" t="s">
        <v>10460</v>
      </c>
      <c r="B4284" s="19">
        <v>38121</v>
      </c>
      <c r="C4284" s="20" t="s">
        <v>14752</v>
      </c>
      <c r="D4284" s="19" t="s">
        <v>9794</v>
      </c>
      <c r="E4284" s="19" t="s">
        <v>10459</v>
      </c>
      <c r="F4284" s="21">
        <f t="shared" si="614"/>
        <v>15.710000000000001</v>
      </c>
      <c r="G4284" s="21">
        <f t="shared" si="614"/>
        <v>15.710000000000001</v>
      </c>
      <c r="H4284" s="21">
        <f t="shared" si="614"/>
        <v>15.710000000000001</v>
      </c>
      <c r="I4284" s="24" t="str">
        <f t="shared" si="615"/>
        <v xml:space="preserve">COM VALOR</v>
      </c>
      <c r="L4284" s="36">
        <v>15.710000000000001</v>
      </c>
      <c r="M4284" s="37">
        <v>15.710000000000001</v>
      </c>
      <c r="N4284" s="36">
        <v>15.710000000000001</v>
      </c>
    </row>
    <row r="4285" ht="12.75">
      <c r="A4285" s="19" t="s">
        <v>10460</v>
      </c>
      <c r="B4285" s="19">
        <v>43776</v>
      </c>
      <c r="C4285" s="20" t="s">
        <v>14753</v>
      </c>
      <c r="D4285" s="19" t="s">
        <v>9794</v>
      </c>
      <c r="E4285" s="19" t="s">
        <v>10459</v>
      </c>
      <c r="F4285" s="21">
        <f t="shared" si="614"/>
        <v>27.079999999999998</v>
      </c>
      <c r="G4285" s="21">
        <f t="shared" si="614"/>
        <v>27.079999999999998</v>
      </c>
      <c r="H4285" s="21">
        <f t="shared" si="614"/>
        <v>27.079999999999998</v>
      </c>
      <c r="I4285" s="24" t="str">
        <f t="shared" si="615"/>
        <v xml:space="preserve">COM VALOR</v>
      </c>
      <c r="L4285" s="36">
        <v>27.079999999999998</v>
      </c>
      <c r="M4285" s="37">
        <v>27.079999999999998</v>
      </c>
      <c r="N4285" s="36">
        <v>27.079999999999998</v>
      </c>
    </row>
    <row r="4286" ht="25.5">
      <c r="A4286" s="19" t="s">
        <v>10460</v>
      </c>
      <c r="B4286" s="19">
        <v>7343</v>
      </c>
      <c r="C4286" s="20" t="s">
        <v>14754</v>
      </c>
      <c r="D4286" s="19" t="s">
        <v>9794</v>
      </c>
      <c r="E4286" s="19" t="s">
        <v>10459</v>
      </c>
      <c r="F4286" s="21">
        <f t="shared" si="614"/>
        <v>23.109999999999999</v>
      </c>
      <c r="G4286" s="21">
        <f t="shared" si="614"/>
        <v>23.109999999999999</v>
      </c>
      <c r="H4286" s="21">
        <f t="shared" si="614"/>
        <v>23.109999999999999</v>
      </c>
      <c r="I4286" s="24" t="str">
        <f t="shared" si="615"/>
        <v xml:space="preserve">COM VALOR</v>
      </c>
      <c r="L4286" s="36">
        <v>23.109999999999999</v>
      </c>
      <c r="M4286" s="37">
        <v>23.109999999999999</v>
      </c>
      <c r="N4286" s="36">
        <v>23.109999999999999</v>
      </c>
    </row>
    <row r="4287" ht="12.75">
      <c r="A4287" s="19" t="s">
        <v>10460</v>
      </c>
      <c r="B4287" s="19">
        <v>7348</v>
      </c>
      <c r="C4287" s="20" t="s">
        <v>14755</v>
      </c>
      <c r="D4287" s="19" t="s">
        <v>9794</v>
      </c>
      <c r="E4287" s="19" t="s">
        <v>10459</v>
      </c>
      <c r="F4287" s="21">
        <f t="shared" si="614"/>
        <v>20.800000000000001</v>
      </c>
      <c r="G4287" s="21">
        <f t="shared" si="614"/>
        <v>20.800000000000001</v>
      </c>
      <c r="H4287" s="21">
        <f t="shared" si="614"/>
        <v>20.800000000000001</v>
      </c>
      <c r="I4287" s="24" t="str">
        <f t="shared" si="615"/>
        <v xml:space="preserve">COM VALOR</v>
      </c>
      <c r="L4287" s="36">
        <v>20.800000000000001</v>
      </c>
      <c r="M4287" s="37">
        <v>20.800000000000001</v>
      </c>
      <c r="N4287" s="36">
        <v>20.800000000000001</v>
      </c>
    </row>
    <row r="4288" ht="25.5">
      <c r="A4288" s="19" t="s">
        <v>10460</v>
      </c>
      <c r="B4288" s="19">
        <v>7313</v>
      </c>
      <c r="C4288" s="20" t="s">
        <v>14756</v>
      </c>
      <c r="D4288" s="19" t="s">
        <v>9794</v>
      </c>
      <c r="E4288" s="19" t="s">
        <v>10459</v>
      </c>
      <c r="F4288" s="21" t="str">
        <f t="shared" si="614"/>
        <v>VERIFICAR</v>
      </c>
      <c r="G4288" s="21" t="str">
        <f t="shared" si="614"/>
        <v>VERIFICAR</v>
      </c>
      <c r="H4288" s="21" t="str">
        <f t="shared" si="614"/>
        <v>VERIFICAR</v>
      </c>
      <c r="I4288" s="24" t="str">
        <f t="shared" si="615"/>
        <v xml:space="preserve">SEM VALOR</v>
      </c>
      <c r="L4288" s="36"/>
      <c r="M4288" s="37"/>
      <c r="N4288" s="36"/>
    </row>
    <row r="4289" ht="25.5">
      <c r="A4289" s="19" t="s">
        <v>10460</v>
      </c>
      <c r="B4289" s="19">
        <v>7319</v>
      </c>
      <c r="C4289" s="20" t="s">
        <v>14757</v>
      </c>
      <c r="D4289" s="19" t="s">
        <v>9794</v>
      </c>
      <c r="E4289" s="19" t="s">
        <v>10459</v>
      </c>
      <c r="F4289" s="21" t="str">
        <f t="shared" si="614"/>
        <v>VERIFICAR</v>
      </c>
      <c r="G4289" s="21" t="str">
        <f t="shared" si="614"/>
        <v>VERIFICAR</v>
      </c>
      <c r="H4289" s="21" t="str">
        <f t="shared" si="614"/>
        <v>VERIFICAR</v>
      </c>
      <c r="I4289" s="24" t="str">
        <f t="shared" si="615"/>
        <v xml:space="preserve">SEM VALOR</v>
      </c>
      <c r="L4289" s="36"/>
      <c r="M4289" s="37"/>
      <c r="N4289" s="36"/>
    </row>
    <row r="4290" ht="25.5">
      <c r="A4290" s="19" t="s">
        <v>10460</v>
      </c>
      <c r="B4290" s="19">
        <v>7314</v>
      </c>
      <c r="C4290" s="20" t="s">
        <v>14758</v>
      </c>
      <c r="D4290" s="19" t="s">
        <v>9794</v>
      </c>
      <c r="E4290" s="19" t="s">
        <v>10459</v>
      </c>
      <c r="F4290" s="21">
        <f t="shared" si="614"/>
        <v>54.909999999999997</v>
      </c>
      <c r="G4290" s="21">
        <f t="shared" si="614"/>
        <v>54.909999999999997</v>
      </c>
      <c r="H4290" s="21">
        <f t="shared" si="614"/>
        <v>54.909999999999997</v>
      </c>
      <c r="I4290" s="24" t="str">
        <f t="shared" si="615"/>
        <v xml:space="preserve">COM VALOR</v>
      </c>
      <c r="L4290" s="36">
        <v>54.909999999999997</v>
      </c>
      <c r="M4290" s="37">
        <v>54.909999999999997</v>
      </c>
      <c r="N4290" s="36">
        <v>54.909999999999997</v>
      </c>
    </row>
    <row r="4291" ht="12.75">
      <c r="A4291" s="19" t="s">
        <v>10460</v>
      </c>
      <c r="B4291" s="19">
        <v>7304</v>
      </c>
      <c r="C4291" s="20" t="s">
        <v>14759</v>
      </c>
      <c r="D4291" s="19" t="s">
        <v>9794</v>
      </c>
      <c r="E4291" s="19" t="s">
        <v>10459</v>
      </c>
      <c r="F4291" s="21">
        <f t="shared" si="614"/>
        <v>80.25</v>
      </c>
      <c r="G4291" s="21">
        <f t="shared" si="614"/>
        <v>80.25</v>
      </c>
      <c r="H4291" s="21">
        <f t="shared" si="614"/>
        <v>80.25</v>
      </c>
      <c r="I4291" s="24" t="str">
        <f t="shared" si="615"/>
        <v xml:space="preserve">COM VALOR</v>
      </c>
      <c r="L4291" s="36">
        <v>80.25</v>
      </c>
      <c r="M4291" s="37">
        <v>80.25</v>
      </c>
      <c r="N4291" s="36">
        <v>80.25</v>
      </c>
    </row>
    <row r="4292" ht="12.75">
      <c r="A4292" s="19" t="s">
        <v>10460</v>
      </c>
      <c r="B4292" s="19">
        <v>43649</v>
      </c>
      <c r="C4292" s="20" t="s">
        <v>14760</v>
      </c>
      <c r="D4292" s="19" t="s">
        <v>9794</v>
      </c>
      <c r="E4292" s="19" t="s">
        <v>10459</v>
      </c>
      <c r="F4292" s="21">
        <f t="shared" si="614"/>
        <v>41.5</v>
      </c>
      <c r="G4292" s="21">
        <f t="shared" si="614"/>
        <v>41.5</v>
      </c>
      <c r="H4292" s="21">
        <f t="shared" si="614"/>
        <v>41.5</v>
      </c>
      <c r="I4292" s="24" t="str">
        <f t="shared" si="615"/>
        <v xml:space="preserve">COM VALOR</v>
      </c>
      <c r="L4292" s="36">
        <v>41.5</v>
      </c>
      <c r="M4292" s="37">
        <v>41.5</v>
      </c>
      <c r="N4292" s="36">
        <v>41.5</v>
      </c>
    </row>
    <row r="4293" ht="12.75">
      <c r="A4293" s="19" t="s">
        <v>10460</v>
      </c>
      <c r="B4293" s="19">
        <v>43650</v>
      </c>
      <c r="C4293" s="20" t="s">
        <v>14761</v>
      </c>
      <c r="D4293" s="19" t="s">
        <v>9794</v>
      </c>
      <c r="E4293" s="19" t="s">
        <v>10459</v>
      </c>
      <c r="F4293" s="21">
        <f t="shared" si="614"/>
        <v>39.219999999999999</v>
      </c>
      <c r="G4293" s="21">
        <f t="shared" si="614"/>
        <v>39.219999999999999</v>
      </c>
      <c r="H4293" s="21">
        <f t="shared" si="614"/>
        <v>39.219999999999999</v>
      </c>
      <c r="I4293" s="24" t="str">
        <f t="shared" si="615"/>
        <v xml:space="preserve">COM VALOR</v>
      </c>
      <c r="L4293" s="36">
        <v>39.219999999999999</v>
      </c>
      <c r="M4293" s="37">
        <v>39.219999999999999</v>
      </c>
      <c r="N4293" s="36">
        <v>39.219999999999999</v>
      </c>
    </row>
    <row r="4294" ht="12.75">
      <c r="A4294" s="19" t="s">
        <v>10460</v>
      </c>
      <c r="B4294" s="19">
        <v>7311</v>
      </c>
      <c r="C4294" s="20" t="s">
        <v>14762</v>
      </c>
      <c r="D4294" s="19" t="s">
        <v>9794</v>
      </c>
      <c r="E4294" s="19" t="s">
        <v>10459</v>
      </c>
      <c r="F4294" s="21">
        <f t="shared" si="614"/>
        <v>40.18</v>
      </c>
      <c r="G4294" s="21">
        <f t="shared" si="614"/>
        <v>40.18</v>
      </c>
      <c r="H4294" s="21">
        <f t="shared" si="614"/>
        <v>40.18</v>
      </c>
      <c r="I4294" s="24" t="str">
        <f t="shared" si="615"/>
        <v xml:space="preserve">COM VALOR</v>
      </c>
      <c r="L4294" s="36">
        <v>40.18</v>
      </c>
      <c r="M4294" s="37">
        <v>40.18</v>
      </c>
      <c r="N4294" s="36">
        <v>40.18</v>
      </c>
    </row>
    <row r="4295" ht="12.75">
      <c r="A4295" s="19" t="s">
        <v>10460</v>
      </c>
      <c r="B4295" s="19">
        <v>7292</v>
      </c>
      <c r="C4295" s="20" t="s">
        <v>14763</v>
      </c>
      <c r="D4295" s="19" t="s">
        <v>9794</v>
      </c>
      <c r="E4295" s="19" t="s">
        <v>10466</v>
      </c>
      <c r="F4295" s="21">
        <f t="shared" si="614"/>
        <v>38.899999999999999</v>
      </c>
      <c r="G4295" s="21">
        <f t="shared" si="614"/>
        <v>38.899999999999999</v>
      </c>
      <c r="H4295" s="21">
        <f t="shared" si="614"/>
        <v>38.899999999999999</v>
      </c>
      <c r="I4295" s="24" t="str">
        <f t="shared" si="615"/>
        <v xml:space="preserve">COM VALOR</v>
      </c>
      <c r="L4295" s="36">
        <v>38.899999999999999</v>
      </c>
      <c r="M4295" s="37">
        <v>38.899999999999999</v>
      </c>
      <c r="N4295" s="36">
        <v>38.899999999999999</v>
      </c>
    </row>
    <row r="4296" ht="25.5">
      <c r="A4296" s="19" t="s">
        <v>10460</v>
      </c>
      <c r="B4296" s="19">
        <v>7293</v>
      </c>
      <c r="C4296" s="20" t="s">
        <v>14764</v>
      </c>
      <c r="D4296" s="19" t="s">
        <v>9794</v>
      </c>
      <c r="E4296" s="19" t="s">
        <v>10459</v>
      </c>
      <c r="F4296" s="21">
        <f t="shared" si="614"/>
        <v>43.030000000000001</v>
      </c>
      <c r="G4296" s="21">
        <f t="shared" si="614"/>
        <v>43.030000000000001</v>
      </c>
      <c r="H4296" s="21">
        <f t="shared" si="614"/>
        <v>43.030000000000001</v>
      </c>
      <c r="I4296" s="24" t="str">
        <f t="shared" si="615"/>
        <v xml:space="preserve">COM VALOR</v>
      </c>
      <c r="L4296" s="36">
        <v>43.030000000000001</v>
      </c>
      <c r="M4296" s="37">
        <v>43.030000000000001</v>
      </c>
      <c r="N4296" s="36">
        <v>43.030000000000001</v>
      </c>
    </row>
    <row r="4297" ht="25.5">
      <c r="A4297" s="19" t="s">
        <v>10460</v>
      </c>
      <c r="B4297" s="19">
        <v>7306</v>
      </c>
      <c r="C4297" s="20" t="s">
        <v>14765</v>
      </c>
      <c r="D4297" s="19" t="s">
        <v>9794</v>
      </c>
      <c r="E4297" s="19" t="s">
        <v>10459</v>
      </c>
      <c r="F4297" s="21">
        <f t="shared" si="614"/>
        <v>47.490000000000002</v>
      </c>
      <c r="G4297" s="21">
        <f t="shared" si="614"/>
        <v>47.490000000000002</v>
      </c>
      <c r="H4297" s="21">
        <f t="shared" si="614"/>
        <v>47.490000000000002</v>
      </c>
      <c r="I4297" s="24" t="str">
        <f t="shared" si="615"/>
        <v xml:space="preserve">COM VALOR</v>
      </c>
      <c r="L4297" s="36">
        <v>47.490000000000002</v>
      </c>
      <c r="M4297" s="37">
        <v>47.490000000000002</v>
      </c>
      <c r="N4297" s="36">
        <v>47.490000000000002</v>
      </c>
    </row>
    <row r="4298" ht="12.75">
      <c r="A4298" s="19" t="s">
        <v>10460</v>
      </c>
      <c r="B4298" s="19">
        <v>7288</v>
      </c>
      <c r="C4298" s="20" t="s">
        <v>14766</v>
      </c>
      <c r="D4298" s="19" t="s">
        <v>9794</v>
      </c>
      <c r="E4298" s="19" t="s">
        <v>10459</v>
      </c>
      <c r="F4298" s="21">
        <f t="shared" si="614"/>
        <v>39.43</v>
      </c>
      <c r="G4298" s="21">
        <f t="shared" si="614"/>
        <v>39.43</v>
      </c>
      <c r="H4298" s="21">
        <f t="shared" si="614"/>
        <v>39.43</v>
      </c>
      <c r="I4298" s="24" t="str">
        <f t="shared" si="615"/>
        <v xml:space="preserve">COM VALOR</v>
      </c>
      <c r="L4298" s="36">
        <v>39.43</v>
      </c>
      <c r="M4298" s="37">
        <v>39.43</v>
      </c>
      <c r="N4298" s="36">
        <v>39.43</v>
      </c>
    </row>
    <row r="4299" ht="12.75">
      <c r="A4299" s="19" t="s">
        <v>10460</v>
      </c>
      <c r="B4299" s="19">
        <v>43625</v>
      </c>
      <c r="C4299" s="20" t="s">
        <v>14767</v>
      </c>
      <c r="D4299" s="19" t="s">
        <v>9794</v>
      </c>
      <c r="E4299" s="19" t="s">
        <v>10459</v>
      </c>
      <c r="F4299" s="21">
        <f t="shared" ref="F4299:H4362" si="616">IF(L4299=0,"VERIFICAR",L4299)</f>
        <v>31.84</v>
      </c>
      <c r="G4299" s="21">
        <f t="shared" si="616"/>
        <v>31.84</v>
      </c>
      <c r="H4299" s="21">
        <f t="shared" si="616"/>
        <v>31.84</v>
      </c>
      <c r="I4299" s="24" t="str">
        <f t="shared" ref="I4299:I4362" si="617">IF(OR(L4299=0,M4299=0,N4299=0),"SEM VALOR","COM VALOR")</f>
        <v xml:space="preserve">COM VALOR</v>
      </c>
      <c r="L4299" s="36">
        <v>31.84</v>
      </c>
      <c r="M4299" s="37">
        <v>31.84</v>
      </c>
      <c r="N4299" s="36">
        <v>31.84</v>
      </c>
    </row>
    <row r="4300" ht="12.75">
      <c r="A4300" s="19" t="s">
        <v>10460</v>
      </c>
      <c r="B4300" s="19">
        <v>43647</v>
      </c>
      <c r="C4300" s="20" t="s">
        <v>14768</v>
      </c>
      <c r="D4300" s="19" t="s">
        <v>9794</v>
      </c>
      <c r="E4300" s="19" t="s">
        <v>10459</v>
      </c>
      <c r="F4300" s="21">
        <f t="shared" si="616"/>
        <v>28.920000000000002</v>
      </c>
      <c r="G4300" s="21">
        <f t="shared" si="616"/>
        <v>28.920000000000002</v>
      </c>
      <c r="H4300" s="21">
        <f t="shared" si="616"/>
        <v>28.920000000000002</v>
      </c>
      <c r="I4300" s="24" t="str">
        <f t="shared" si="617"/>
        <v xml:space="preserve">COM VALOR</v>
      </c>
      <c r="L4300" s="36">
        <v>28.920000000000002</v>
      </c>
      <c r="M4300" s="37">
        <v>28.920000000000002</v>
      </c>
      <c r="N4300" s="36">
        <v>28.920000000000002</v>
      </c>
    </row>
    <row r="4301" ht="12.75">
      <c r="A4301" s="19" t="s">
        <v>10460</v>
      </c>
      <c r="B4301" s="19">
        <v>43648</v>
      </c>
      <c r="C4301" s="20" t="s">
        <v>14769</v>
      </c>
      <c r="D4301" s="19" t="s">
        <v>9794</v>
      </c>
      <c r="E4301" s="19" t="s">
        <v>10459</v>
      </c>
      <c r="F4301" s="21">
        <f t="shared" si="616"/>
        <v>27.91</v>
      </c>
      <c r="G4301" s="21">
        <f t="shared" si="616"/>
        <v>27.91</v>
      </c>
      <c r="H4301" s="21">
        <f t="shared" si="616"/>
        <v>27.91</v>
      </c>
      <c r="I4301" s="24" t="str">
        <f t="shared" si="617"/>
        <v xml:space="preserve">COM VALOR</v>
      </c>
      <c r="L4301" s="36">
        <v>27.91</v>
      </c>
      <c r="M4301" s="37">
        <v>27.91</v>
      </c>
      <c r="N4301" s="36">
        <v>27.91</v>
      </c>
    </row>
    <row r="4302" ht="12.75">
      <c r="A4302" s="19" t="s">
        <v>10460</v>
      </c>
      <c r="B4302" s="19">
        <v>35693</v>
      </c>
      <c r="C4302" s="20" t="s">
        <v>14770</v>
      </c>
      <c r="D4302" s="19" t="s">
        <v>9794</v>
      </c>
      <c r="E4302" s="19" t="s">
        <v>10459</v>
      </c>
      <c r="F4302" s="21">
        <f t="shared" si="616"/>
        <v>12.94</v>
      </c>
      <c r="G4302" s="21">
        <f t="shared" si="616"/>
        <v>12.94</v>
      </c>
      <c r="H4302" s="21">
        <f t="shared" si="616"/>
        <v>12.94</v>
      </c>
      <c r="I4302" s="24" t="str">
        <f t="shared" si="617"/>
        <v xml:space="preserve">COM VALOR</v>
      </c>
      <c r="L4302" s="36">
        <v>12.94</v>
      </c>
      <c r="M4302" s="37">
        <v>12.94</v>
      </c>
      <c r="N4302" s="36">
        <v>12.94</v>
      </c>
    </row>
    <row r="4303" ht="12.75">
      <c r="A4303" s="19" t="s">
        <v>10460</v>
      </c>
      <c r="B4303" s="19">
        <v>7356</v>
      </c>
      <c r="C4303" s="20" t="s">
        <v>14771</v>
      </c>
      <c r="D4303" s="19" t="s">
        <v>9794</v>
      </c>
      <c r="E4303" s="19" t="s">
        <v>10466</v>
      </c>
      <c r="F4303" s="21">
        <f t="shared" si="616"/>
        <v>31.02</v>
      </c>
      <c r="G4303" s="21">
        <f t="shared" si="616"/>
        <v>31.02</v>
      </c>
      <c r="H4303" s="21">
        <f t="shared" si="616"/>
        <v>31.02</v>
      </c>
      <c r="I4303" s="24" t="str">
        <f t="shared" si="617"/>
        <v xml:space="preserve">COM VALOR</v>
      </c>
      <c r="L4303" s="36">
        <v>31.02</v>
      </c>
      <c r="M4303" s="37">
        <v>31.02</v>
      </c>
      <c r="N4303" s="36">
        <v>31.02</v>
      </c>
    </row>
    <row r="4304" ht="12.75">
      <c r="A4304" s="19" t="s">
        <v>10460</v>
      </c>
      <c r="B4304" s="19">
        <v>35692</v>
      </c>
      <c r="C4304" s="20" t="s">
        <v>14772</v>
      </c>
      <c r="D4304" s="19" t="s">
        <v>9794</v>
      </c>
      <c r="E4304" s="19" t="s">
        <v>10459</v>
      </c>
      <c r="F4304" s="21">
        <f t="shared" si="616"/>
        <v>20.300000000000001</v>
      </c>
      <c r="G4304" s="21">
        <f t="shared" si="616"/>
        <v>20.300000000000001</v>
      </c>
      <c r="H4304" s="21">
        <f t="shared" si="616"/>
        <v>20.300000000000001</v>
      </c>
      <c r="I4304" s="24" t="str">
        <f t="shared" si="617"/>
        <v xml:space="preserve">COM VALOR</v>
      </c>
      <c r="L4304" s="36">
        <v>20.300000000000001</v>
      </c>
      <c r="M4304" s="37">
        <v>20.300000000000001</v>
      </c>
      <c r="N4304" s="36">
        <v>20.300000000000001</v>
      </c>
    </row>
    <row r="4305" ht="12.75">
      <c r="A4305" s="19" t="s">
        <v>10460</v>
      </c>
      <c r="B4305" s="19">
        <v>43624</v>
      </c>
      <c r="C4305" s="20" t="s">
        <v>14773</v>
      </c>
      <c r="D4305" s="19" t="s">
        <v>9794</v>
      </c>
      <c r="E4305" s="19" t="s">
        <v>10459</v>
      </c>
      <c r="F4305" s="21">
        <f t="shared" si="616"/>
        <v>37.810000000000002</v>
      </c>
      <c r="G4305" s="21">
        <f t="shared" si="616"/>
        <v>37.810000000000002</v>
      </c>
      <c r="H4305" s="21">
        <f t="shared" si="616"/>
        <v>37.810000000000002</v>
      </c>
      <c r="I4305" s="24" t="str">
        <f t="shared" si="617"/>
        <v xml:space="preserve">COM VALOR</v>
      </c>
      <c r="L4305" s="36">
        <v>37.810000000000002</v>
      </c>
      <c r="M4305" s="37">
        <v>37.810000000000002</v>
      </c>
      <c r="N4305" s="36">
        <v>37.810000000000002</v>
      </c>
    </row>
    <row r="4306" ht="12.75">
      <c r="A4306" s="19" t="s">
        <v>10460</v>
      </c>
      <c r="B4306" s="19">
        <v>7342</v>
      </c>
      <c r="C4306" s="20" t="s">
        <v>14774</v>
      </c>
      <c r="D4306" s="19" t="s">
        <v>302</v>
      </c>
      <c r="E4306" s="19" t="s">
        <v>10459</v>
      </c>
      <c r="F4306" s="21" t="str">
        <f t="shared" si="616"/>
        <v>VERIFICAR</v>
      </c>
      <c r="G4306" s="21" t="str">
        <f t="shared" si="616"/>
        <v>VERIFICAR</v>
      </c>
      <c r="H4306" s="21" t="str">
        <f t="shared" si="616"/>
        <v>VERIFICAR</v>
      </c>
      <c r="I4306" s="24" t="str">
        <f t="shared" si="617"/>
        <v xml:space="preserve">SEM VALOR</v>
      </c>
      <c r="L4306" s="36"/>
      <c r="M4306" s="37"/>
      <c r="N4306" s="36"/>
    </row>
    <row r="4307" ht="25.5">
      <c r="A4307" s="19" t="s">
        <v>10460</v>
      </c>
      <c r="B4307" s="19">
        <v>7350</v>
      </c>
      <c r="C4307" s="20" t="s">
        <v>14775</v>
      </c>
      <c r="D4307" s="19" t="s">
        <v>9794</v>
      </c>
      <c r="E4307" s="19" t="s">
        <v>10459</v>
      </c>
      <c r="F4307" s="21">
        <f t="shared" si="616"/>
        <v>44.770000000000003</v>
      </c>
      <c r="G4307" s="21">
        <f t="shared" si="616"/>
        <v>44.770000000000003</v>
      </c>
      <c r="H4307" s="21">
        <f t="shared" si="616"/>
        <v>44.770000000000003</v>
      </c>
      <c r="I4307" s="24" t="str">
        <f t="shared" si="617"/>
        <v xml:space="preserve">COM VALOR</v>
      </c>
      <c r="L4307" s="36">
        <v>44.770000000000003</v>
      </c>
      <c r="M4307" s="37">
        <v>44.770000000000003</v>
      </c>
      <c r="N4307" s="36">
        <v>44.770000000000003</v>
      </c>
    </row>
    <row r="4308" ht="38.25">
      <c r="A4308" s="19" t="s">
        <v>10460</v>
      </c>
      <c r="B4308" s="19">
        <v>39574</v>
      </c>
      <c r="C4308" s="20" t="s">
        <v>14776</v>
      </c>
      <c r="D4308" s="19" t="s">
        <v>31</v>
      </c>
      <c r="E4308" s="19" t="s">
        <v>10459</v>
      </c>
      <c r="F4308" s="21">
        <f t="shared" si="616"/>
        <v>3.8300000000000001</v>
      </c>
      <c r="G4308" s="21">
        <f t="shared" si="616"/>
        <v>3.8300000000000001</v>
      </c>
      <c r="H4308" s="21">
        <f t="shared" si="616"/>
        <v>3.8300000000000001</v>
      </c>
      <c r="I4308" s="24" t="str">
        <f t="shared" si="617"/>
        <v xml:space="preserve">COM VALOR</v>
      </c>
      <c r="L4308" s="36">
        <v>3.8300000000000001</v>
      </c>
      <c r="M4308" s="37">
        <v>3.8300000000000001</v>
      </c>
      <c r="N4308" s="36">
        <v>3.8300000000000001</v>
      </c>
    </row>
    <row r="4309" ht="25.5">
      <c r="A4309" s="19" t="s">
        <v>10460</v>
      </c>
      <c r="B4309" s="19">
        <v>11060</v>
      </c>
      <c r="C4309" s="20" t="s">
        <v>14777</v>
      </c>
      <c r="D4309" s="19" t="s">
        <v>31</v>
      </c>
      <c r="E4309" s="19" t="s">
        <v>10459</v>
      </c>
      <c r="F4309" s="21">
        <f t="shared" si="616"/>
        <v>29.16</v>
      </c>
      <c r="G4309" s="21">
        <f t="shared" si="616"/>
        <v>29.16</v>
      </c>
      <c r="H4309" s="21">
        <f t="shared" si="616"/>
        <v>29.16</v>
      </c>
      <c r="I4309" s="24" t="str">
        <f t="shared" si="617"/>
        <v xml:space="preserve">COM VALOR</v>
      </c>
      <c r="L4309" s="36">
        <v>29.16</v>
      </c>
      <c r="M4309" s="37">
        <v>29.16</v>
      </c>
      <c r="N4309" s="36">
        <v>29.16</v>
      </c>
    </row>
    <row r="4310" ht="25.5">
      <c r="A4310" s="19" t="s">
        <v>10460</v>
      </c>
      <c r="B4310" s="19">
        <v>37401</v>
      </c>
      <c r="C4310" s="20" t="s">
        <v>14778</v>
      </c>
      <c r="D4310" s="19" t="s">
        <v>31</v>
      </c>
      <c r="E4310" s="19" t="s">
        <v>10459</v>
      </c>
      <c r="F4310" s="21">
        <f t="shared" si="616"/>
        <v>52.990000000000002</v>
      </c>
      <c r="G4310" s="21">
        <f t="shared" si="616"/>
        <v>52.990000000000002</v>
      </c>
      <c r="H4310" s="21">
        <f t="shared" si="616"/>
        <v>52.990000000000002</v>
      </c>
      <c r="I4310" s="24" t="str">
        <f t="shared" si="617"/>
        <v xml:space="preserve">COM VALOR</v>
      </c>
      <c r="L4310" s="36">
        <v>52.990000000000002</v>
      </c>
      <c r="M4310" s="37">
        <v>52.990000000000002</v>
      </c>
      <c r="N4310" s="36">
        <v>52.990000000000002</v>
      </c>
    </row>
    <row r="4311" ht="12.75">
      <c r="A4311" s="19" t="s">
        <v>10460</v>
      </c>
      <c r="B4311" s="19">
        <v>38101</v>
      </c>
      <c r="C4311" s="20" t="s">
        <v>14779</v>
      </c>
      <c r="D4311" s="19" t="s">
        <v>31</v>
      </c>
      <c r="E4311" s="19" t="s">
        <v>10459</v>
      </c>
      <c r="F4311" s="21">
        <f t="shared" si="616"/>
        <v>6.7800000000000002</v>
      </c>
      <c r="G4311" s="21">
        <f t="shared" si="616"/>
        <v>6.7800000000000002</v>
      </c>
      <c r="H4311" s="21">
        <f t="shared" si="616"/>
        <v>6.7800000000000002</v>
      </c>
      <c r="I4311" s="24" t="str">
        <f t="shared" si="617"/>
        <v xml:space="preserve">COM VALOR</v>
      </c>
      <c r="L4311" s="36">
        <v>6.7800000000000002</v>
      </c>
      <c r="M4311" s="37">
        <v>6.7800000000000002</v>
      </c>
      <c r="N4311" s="36">
        <v>6.7800000000000002</v>
      </c>
    </row>
    <row r="4312" ht="25.5">
      <c r="A4312" s="19" t="s">
        <v>10460</v>
      </c>
      <c r="B4312" s="19">
        <v>7528</v>
      </c>
      <c r="C4312" s="20" t="s">
        <v>14780</v>
      </c>
      <c r="D4312" s="19" t="s">
        <v>31</v>
      </c>
      <c r="E4312" s="19" t="s">
        <v>10466</v>
      </c>
      <c r="F4312" s="21">
        <f t="shared" si="616"/>
        <v>7.9699999999999998</v>
      </c>
      <c r="G4312" s="21">
        <f t="shared" si="616"/>
        <v>7.9699999999999998</v>
      </c>
      <c r="H4312" s="21">
        <f t="shared" si="616"/>
        <v>7.9699999999999998</v>
      </c>
      <c r="I4312" s="24" t="str">
        <f t="shared" si="617"/>
        <v xml:space="preserve">COM VALOR</v>
      </c>
      <c r="L4312" s="36">
        <v>7.9699999999999998</v>
      </c>
      <c r="M4312" s="37">
        <v>7.9699999999999998</v>
      </c>
      <c r="N4312" s="36">
        <v>7.9699999999999998</v>
      </c>
    </row>
    <row r="4313" ht="25.5">
      <c r="A4313" s="19" t="s">
        <v>10460</v>
      </c>
      <c r="B4313" s="19">
        <v>12147</v>
      </c>
      <c r="C4313" s="20" t="s">
        <v>14781</v>
      </c>
      <c r="D4313" s="19" t="s">
        <v>31</v>
      </c>
      <c r="E4313" s="19" t="s">
        <v>10459</v>
      </c>
      <c r="F4313" s="21">
        <f t="shared" si="616"/>
        <v>12.15</v>
      </c>
      <c r="G4313" s="21">
        <f t="shared" si="616"/>
        <v>12.15</v>
      </c>
      <c r="H4313" s="21">
        <f t="shared" si="616"/>
        <v>12.15</v>
      </c>
      <c r="I4313" s="24" t="str">
        <f t="shared" si="617"/>
        <v xml:space="preserve">COM VALOR</v>
      </c>
      <c r="L4313" s="36">
        <v>12.15</v>
      </c>
      <c r="M4313" s="37">
        <v>12.15</v>
      </c>
      <c r="N4313" s="36">
        <v>12.15</v>
      </c>
    </row>
    <row r="4314" ht="25.5">
      <c r="A4314" s="19" t="s">
        <v>10460</v>
      </c>
      <c r="B4314" s="19">
        <v>38075</v>
      </c>
      <c r="C4314" s="20" t="s">
        <v>14782</v>
      </c>
      <c r="D4314" s="19" t="s">
        <v>31</v>
      </c>
      <c r="E4314" s="19" t="s">
        <v>10459</v>
      </c>
      <c r="F4314" s="21">
        <f t="shared" si="616"/>
        <v>13.800000000000001</v>
      </c>
      <c r="G4314" s="21">
        <f t="shared" si="616"/>
        <v>13.800000000000001</v>
      </c>
      <c r="H4314" s="21">
        <f t="shared" si="616"/>
        <v>13.800000000000001</v>
      </c>
      <c r="I4314" s="24" t="str">
        <f t="shared" si="617"/>
        <v xml:space="preserve">COM VALOR</v>
      </c>
      <c r="L4314" s="36">
        <v>13.800000000000001</v>
      </c>
      <c r="M4314" s="37">
        <v>13.800000000000001</v>
      </c>
      <c r="N4314" s="36">
        <v>13.800000000000001</v>
      </c>
    </row>
    <row r="4315" ht="12.75">
      <c r="A4315" s="19" t="s">
        <v>10460</v>
      </c>
      <c r="B4315" s="19">
        <v>38102</v>
      </c>
      <c r="C4315" s="20" t="s">
        <v>14783</v>
      </c>
      <c r="D4315" s="19" t="s">
        <v>31</v>
      </c>
      <c r="E4315" s="19" t="s">
        <v>10459</v>
      </c>
      <c r="F4315" s="21">
        <f t="shared" si="616"/>
        <v>8.6699999999999999</v>
      </c>
      <c r="G4315" s="21">
        <f t="shared" si="616"/>
        <v>8.6699999999999999</v>
      </c>
      <c r="H4315" s="21">
        <f t="shared" si="616"/>
        <v>8.6699999999999999</v>
      </c>
      <c r="I4315" s="24" t="str">
        <f t="shared" si="617"/>
        <v xml:space="preserve">COM VALOR</v>
      </c>
      <c r="L4315" s="36">
        <v>8.6699999999999999</v>
      </c>
      <c r="M4315" s="37">
        <v>8.6699999999999999</v>
      </c>
      <c r="N4315" s="36">
        <v>8.6699999999999999</v>
      </c>
    </row>
    <row r="4316" ht="25.5">
      <c r="A4316" s="19" t="s">
        <v>10460</v>
      </c>
      <c r="B4316" s="19">
        <v>7525</v>
      </c>
      <c r="C4316" s="20" t="s">
        <v>14784</v>
      </c>
      <c r="D4316" s="19" t="s">
        <v>31</v>
      </c>
      <c r="E4316" s="19" t="s">
        <v>10459</v>
      </c>
      <c r="F4316" s="21">
        <f t="shared" si="616"/>
        <v>39.240000000000002</v>
      </c>
      <c r="G4316" s="21">
        <f t="shared" si="616"/>
        <v>39.240000000000002</v>
      </c>
      <c r="H4316" s="21">
        <f t="shared" si="616"/>
        <v>39.240000000000002</v>
      </c>
      <c r="I4316" s="24" t="str">
        <f t="shared" si="617"/>
        <v xml:space="preserve">COM VALOR</v>
      </c>
      <c r="L4316" s="36">
        <v>39.240000000000002</v>
      </c>
      <c r="M4316" s="37">
        <v>39.240000000000002</v>
      </c>
      <c r="N4316" s="36">
        <v>39.240000000000002</v>
      </c>
    </row>
    <row r="4317" ht="25.5">
      <c r="A4317" s="19" t="s">
        <v>10460</v>
      </c>
      <c r="B4317" s="19">
        <v>7524</v>
      </c>
      <c r="C4317" s="20" t="s">
        <v>14785</v>
      </c>
      <c r="D4317" s="19" t="s">
        <v>31</v>
      </c>
      <c r="E4317" s="19" t="s">
        <v>10459</v>
      </c>
      <c r="F4317" s="21">
        <f t="shared" si="616"/>
        <v>36.979999999999997</v>
      </c>
      <c r="G4317" s="21">
        <f t="shared" si="616"/>
        <v>36.979999999999997</v>
      </c>
      <c r="H4317" s="21">
        <f t="shared" si="616"/>
        <v>36.979999999999997</v>
      </c>
      <c r="I4317" s="24" t="str">
        <f t="shared" si="617"/>
        <v xml:space="preserve">COM VALOR</v>
      </c>
      <c r="L4317" s="36">
        <v>36.979999999999997</v>
      </c>
      <c r="M4317" s="37">
        <v>36.979999999999997</v>
      </c>
      <c r="N4317" s="36">
        <v>36.979999999999997</v>
      </c>
    </row>
    <row r="4318" ht="25.5">
      <c r="A4318" s="19" t="s">
        <v>10460</v>
      </c>
      <c r="B4318" s="19">
        <v>38105</v>
      </c>
      <c r="C4318" s="20" t="s">
        <v>14786</v>
      </c>
      <c r="D4318" s="19" t="s">
        <v>31</v>
      </c>
      <c r="E4318" s="19" t="s">
        <v>10459</v>
      </c>
      <c r="F4318" s="21">
        <f t="shared" si="616"/>
        <v>9.5</v>
      </c>
      <c r="G4318" s="21">
        <f t="shared" si="616"/>
        <v>9.5</v>
      </c>
      <c r="H4318" s="21">
        <f t="shared" si="616"/>
        <v>9.5</v>
      </c>
      <c r="I4318" s="24" t="str">
        <f t="shared" si="617"/>
        <v xml:space="preserve">COM VALOR</v>
      </c>
      <c r="L4318" s="36">
        <v>9.5</v>
      </c>
      <c r="M4318" s="37">
        <v>9.5</v>
      </c>
      <c r="N4318" s="36">
        <v>9.5</v>
      </c>
    </row>
    <row r="4319" ht="38.25">
      <c r="A4319" s="19" t="s">
        <v>10460</v>
      </c>
      <c r="B4319" s="19">
        <v>38084</v>
      </c>
      <c r="C4319" s="20" t="s">
        <v>14787</v>
      </c>
      <c r="D4319" s="19" t="s">
        <v>31</v>
      </c>
      <c r="E4319" s="19" t="s">
        <v>10459</v>
      </c>
      <c r="F4319" s="21">
        <f t="shared" si="616"/>
        <v>13.49</v>
      </c>
      <c r="G4319" s="21">
        <f t="shared" si="616"/>
        <v>13.49</v>
      </c>
      <c r="H4319" s="21">
        <f t="shared" si="616"/>
        <v>13.49</v>
      </c>
      <c r="I4319" s="24" t="str">
        <f t="shared" si="617"/>
        <v xml:space="preserve">COM VALOR</v>
      </c>
      <c r="L4319" s="36">
        <v>13.49</v>
      </c>
      <c r="M4319" s="37">
        <v>13.49</v>
      </c>
      <c r="N4319" s="36">
        <v>13.49</v>
      </c>
    </row>
    <row r="4320" ht="12.75">
      <c r="A4320" s="19" t="s">
        <v>10460</v>
      </c>
      <c r="B4320" s="19">
        <v>38103</v>
      </c>
      <c r="C4320" s="20" t="s">
        <v>14788</v>
      </c>
      <c r="D4320" s="19" t="s">
        <v>31</v>
      </c>
      <c r="E4320" s="19" t="s">
        <v>10459</v>
      </c>
      <c r="F4320" s="21">
        <f t="shared" si="616"/>
        <v>14.26</v>
      </c>
      <c r="G4320" s="21">
        <f t="shared" si="616"/>
        <v>14.26</v>
      </c>
      <c r="H4320" s="21">
        <f t="shared" si="616"/>
        <v>14.26</v>
      </c>
      <c r="I4320" s="24" t="str">
        <f t="shared" si="617"/>
        <v xml:space="preserve">COM VALOR</v>
      </c>
      <c r="L4320" s="36">
        <v>14.26</v>
      </c>
      <c r="M4320" s="37">
        <v>14.26</v>
      </c>
      <c r="N4320" s="36">
        <v>14.26</v>
      </c>
    </row>
    <row r="4321" ht="25.5">
      <c r="A4321" s="19" t="s">
        <v>10460</v>
      </c>
      <c r="B4321" s="19">
        <v>38082</v>
      </c>
      <c r="C4321" s="20" t="s">
        <v>14789</v>
      </c>
      <c r="D4321" s="19" t="s">
        <v>31</v>
      </c>
      <c r="E4321" s="19" t="s">
        <v>10459</v>
      </c>
      <c r="F4321" s="21">
        <f t="shared" si="616"/>
        <v>17.57</v>
      </c>
      <c r="G4321" s="21">
        <f t="shared" si="616"/>
        <v>17.57</v>
      </c>
      <c r="H4321" s="21">
        <f t="shared" si="616"/>
        <v>17.57</v>
      </c>
      <c r="I4321" s="24" t="str">
        <f t="shared" si="617"/>
        <v xml:space="preserve">COM VALOR</v>
      </c>
      <c r="L4321" s="36">
        <v>17.57</v>
      </c>
      <c r="M4321" s="37">
        <v>17.57</v>
      </c>
      <c r="N4321" s="36">
        <v>17.57</v>
      </c>
    </row>
    <row r="4322" ht="12.75">
      <c r="A4322" s="19" t="s">
        <v>10460</v>
      </c>
      <c r="B4322" s="19">
        <v>38104</v>
      </c>
      <c r="C4322" s="20" t="s">
        <v>14790</v>
      </c>
      <c r="D4322" s="19" t="s">
        <v>31</v>
      </c>
      <c r="E4322" s="19" t="s">
        <v>10459</v>
      </c>
      <c r="F4322" s="21">
        <f t="shared" si="616"/>
        <v>27.920000000000002</v>
      </c>
      <c r="G4322" s="21">
        <f t="shared" si="616"/>
        <v>27.920000000000002</v>
      </c>
      <c r="H4322" s="21">
        <f t="shared" si="616"/>
        <v>27.920000000000002</v>
      </c>
      <c r="I4322" s="24" t="str">
        <f t="shared" si="617"/>
        <v xml:space="preserve">COM VALOR</v>
      </c>
      <c r="L4322" s="36">
        <v>27.920000000000002</v>
      </c>
      <c r="M4322" s="37">
        <v>27.920000000000002</v>
      </c>
      <c r="N4322" s="36">
        <v>27.920000000000002</v>
      </c>
    </row>
    <row r="4323" ht="25.5">
      <c r="A4323" s="19" t="s">
        <v>10460</v>
      </c>
      <c r="B4323" s="19">
        <v>38083</v>
      </c>
      <c r="C4323" s="20" t="s">
        <v>14791</v>
      </c>
      <c r="D4323" s="19" t="s">
        <v>31</v>
      </c>
      <c r="E4323" s="19" t="s">
        <v>10459</v>
      </c>
      <c r="F4323" s="21">
        <f t="shared" si="616"/>
        <v>31</v>
      </c>
      <c r="G4323" s="21">
        <f t="shared" si="616"/>
        <v>31</v>
      </c>
      <c r="H4323" s="21">
        <f t="shared" si="616"/>
        <v>31</v>
      </c>
      <c r="I4323" s="24" t="str">
        <f t="shared" si="617"/>
        <v xml:space="preserve">COM VALOR</v>
      </c>
      <c r="L4323" s="36">
        <v>31</v>
      </c>
      <c r="M4323" s="37">
        <v>31</v>
      </c>
      <c r="N4323" s="36">
        <v>31</v>
      </c>
    </row>
    <row r="4324" ht="25.5">
      <c r="A4324" s="19" t="s">
        <v>10460</v>
      </c>
      <c r="B4324" s="19">
        <v>38076</v>
      </c>
      <c r="C4324" s="20" t="s">
        <v>14792</v>
      </c>
      <c r="D4324" s="19" t="s">
        <v>31</v>
      </c>
      <c r="E4324" s="19" t="s">
        <v>10459</v>
      </c>
      <c r="F4324" s="21">
        <f t="shared" si="616"/>
        <v>15.470000000000001</v>
      </c>
      <c r="G4324" s="21">
        <f t="shared" si="616"/>
        <v>15.470000000000001</v>
      </c>
      <c r="H4324" s="21">
        <f t="shared" si="616"/>
        <v>15.470000000000001</v>
      </c>
      <c r="I4324" s="24" t="str">
        <f t="shared" si="617"/>
        <v xml:space="preserve">COM VALOR</v>
      </c>
      <c r="L4324" s="36">
        <v>15.470000000000001</v>
      </c>
      <c r="M4324" s="37">
        <v>15.470000000000001</v>
      </c>
      <c r="N4324" s="36">
        <v>15.470000000000001</v>
      </c>
    </row>
    <row r="4325" ht="12.75">
      <c r="A4325" s="19" t="s">
        <v>10604</v>
      </c>
      <c r="B4325" s="19">
        <v>7592</v>
      </c>
      <c r="C4325" s="20" t="s">
        <v>14793</v>
      </c>
      <c r="D4325" s="19" t="s">
        <v>2032</v>
      </c>
      <c r="E4325" s="19" t="s">
        <v>10466</v>
      </c>
      <c r="F4325" s="21">
        <f t="shared" si="616"/>
        <v>31.77</v>
      </c>
      <c r="G4325" s="21">
        <f t="shared" si="616"/>
        <v>31.77</v>
      </c>
      <c r="H4325" s="21">
        <f t="shared" si="616"/>
        <v>31.77</v>
      </c>
      <c r="I4325" s="24" t="str">
        <f t="shared" si="617"/>
        <v xml:space="preserve">COM VALOR</v>
      </c>
      <c r="L4325" s="36">
        <v>31.77</v>
      </c>
      <c r="M4325" s="37">
        <v>31.77</v>
      </c>
      <c r="N4325" s="36">
        <v>31.77</v>
      </c>
    </row>
    <row r="4326" ht="12.75">
      <c r="A4326" s="19" t="s">
        <v>10604</v>
      </c>
      <c r="B4326" s="19">
        <v>40820</v>
      </c>
      <c r="C4326" s="20" t="s">
        <v>14794</v>
      </c>
      <c r="D4326" s="19" t="s">
        <v>7087</v>
      </c>
      <c r="E4326" s="19" t="s">
        <v>10459</v>
      </c>
      <c r="F4326" s="21">
        <f t="shared" si="616"/>
        <v>5559.8900000000003</v>
      </c>
      <c r="G4326" s="21">
        <f t="shared" si="616"/>
        <v>5559.8900000000003</v>
      </c>
      <c r="H4326" s="21">
        <f t="shared" si="616"/>
        <v>5559.8900000000003</v>
      </c>
      <c r="I4326" s="24" t="str">
        <f t="shared" si="617"/>
        <v xml:space="preserve">COM VALOR</v>
      </c>
      <c r="L4326" s="36">
        <v>5559.8900000000003</v>
      </c>
      <c r="M4326" s="37">
        <v>5559.8900000000003</v>
      </c>
      <c r="N4326" s="36">
        <v>5559.8900000000003</v>
      </c>
    </row>
    <row r="4327" ht="38.25">
      <c r="A4327" s="19" t="s">
        <v>10460</v>
      </c>
      <c r="B4327" s="19">
        <v>11826</v>
      </c>
      <c r="C4327" s="20" t="s">
        <v>14795</v>
      </c>
      <c r="D4327" s="19" t="s">
        <v>31</v>
      </c>
      <c r="E4327" s="19" t="s">
        <v>10459</v>
      </c>
      <c r="F4327" s="21">
        <f t="shared" si="616"/>
        <v>64.040000000000006</v>
      </c>
      <c r="G4327" s="21">
        <f t="shared" si="616"/>
        <v>64.040000000000006</v>
      </c>
      <c r="H4327" s="21">
        <f t="shared" si="616"/>
        <v>64.040000000000006</v>
      </c>
      <c r="I4327" s="24" t="str">
        <f t="shared" si="617"/>
        <v xml:space="preserve">COM VALOR</v>
      </c>
      <c r="L4327" s="36">
        <v>64.040000000000006</v>
      </c>
      <c r="M4327" s="37">
        <v>64.040000000000006</v>
      </c>
      <c r="N4327" s="36">
        <v>64.040000000000006</v>
      </c>
    </row>
    <row r="4328" ht="38.25">
      <c r="A4328" s="19" t="s">
        <v>10460</v>
      </c>
      <c r="B4328" s="19">
        <v>7606</v>
      </c>
      <c r="C4328" s="20" t="s">
        <v>14796</v>
      </c>
      <c r="D4328" s="19" t="s">
        <v>31</v>
      </c>
      <c r="E4328" s="19" t="s">
        <v>10459</v>
      </c>
      <c r="F4328" s="21">
        <f t="shared" si="616"/>
        <v>77.019999999999996</v>
      </c>
      <c r="G4328" s="21">
        <f t="shared" si="616"/>
        <v>77.019999999999996</v>
      </c>
      <c r="H4328" s="21">
        <f t="shared" si="616"/>
        <v>77.019999999999996</v>
      </c>
      <c r="I4328" s="24" t="str">
        <f t="shared" si="617"/>
        <v xml:space="preserve">COM VALOR</v>
      </c>
      <c r="L4328" s="36">
        <v>77.019999999999996</v>
      </c>
      <c r="M4328" s="37">
        <v>77.019999999999996</v>
      </c>
      <c r="N4328" s="36">
        <v>77.019999999999996</v>
      </c>
    </row>
    <row r="4329" ht="38.25">
      <c r="A4329" s="19" t="s">
        <v>10460</v>
      </c>
      <c r="B4329" s="19">
        <v>11825</v>
      </c>
      <c r="C4329" s="20" t="s">
        <v>14797</v>
      </c>
      <c r="D4329" s="19" t="s">
        <v>31</v>
      </c>
      <c r="E4329" s="19" t="s">
        <v>10459</v>
      </c>
      <c r="F4329" s="21">
        <f t="shared" si="616"/>
        <v>81.019999999999996</v>
      </c>
      <c r="G4329" s="21">
        <f t="shared" si="616"/>
        <v>81.019999999999996</v>
      </c>
      <c r="H4329" s="21">
        <f t="shared" si="616"/>
        <v>81.019999999999996</v>
      </c>
      <c r="I4329" s="24" t="str">
        <f t="shared" si="617"/>
        <v xml:space="preserve">COM VALOR</v>
      </c>
      <c r="L4329" s="36">
        <v>81.019999999999996</v>
      </c>
      <c r="M4329" s="37">
        <v>81.019999999999996</v>
      </c>
      <c r="N4329" s="36">
        <v>81.019999999999996</v>
      </c>
    </row>
    <row r="4330" ht="38.25">
      <c r="A4330" s="19" t="s">
        <v>10460</v>
      </c>
      <c r="B4330" s="19">
        <v>11767</v>
      </c>
      <c r="C4330" s="20" t="s">
        <v>14798</v>
      </c>
      <c r="D4330" s="19" t="s">
        <v>31</v>
      </c>
      <c r="E4330" s="19" t="s">
        <v>10459</v>
      </c>
      <c r="F4330" s="21">
        <f t="shared" si="616"/>
        <v>215.80000000000001</v>
      </c>
      <c r="G4330" s="21">
        <f t="shared" si="616"/>
        <v>215.80000000000001</v>
      </c>
      <c r="H4330" s="21">
        <f t="shared" si="616"/>
        <v>215.80000000000001</v>
      </c>
      <c r="I4330" s="24" t="str">
        <f t="shared" si="617"/>
        <v xml:space="preserve">COM VALOR</v>
      </c>
      <c r="L4330" s="36">
        <v>215.80000000000001</v>
      </c>
      <c r="M4330" s="37">
        <v>215.80000000000001</v>
      </c>
      <c r="N4330" s="36">
        <v>215.80000000000001</v>
      </c>
    </row>
    <row r="4331" ht="38.25">
      <c r="A4331" s="19" t="s">
        <v>10460</v>
      </c>
      <c r="B4331" s="19">
        <v>11763</v>
      </c>
      <c r="C4331" s="20" t="s">
        <v>14799</v>
      </c>
      <c r="D4331" s="19" t="s">
        <v>31</v>
      </c>
      <c r="E4331" s="19" t="s">
        <v>10459</v>
      </c>
      <c r="F4331" s="21">
        <f t="shared" si="616"/>
        <v>168.19</v>
      </c>
      <c r="G4331" s="21">
        <f t="shared" si="616"/>
        <v>168.19</v>
      </c>
      <c r="H4331" s="21">
        <f t="shared" si="616"/>
        <v>168.19</v>
      </c>
      <c r="I4331" s="24" t="str">
        <f t="shared" si="617"/>
        <v xml:space="preserve">COM VALOR</v>
      </c>
      <c r="L4331" s="36">
        <v>168.19</v>
      </c>
      <c r="M4331" s="37">
        <v>168.19</v>
      </c>
      <c r="N4331" s="36">
        <v>168.19</v>
      </c>
    </row>
    <row r="4332" ht="38.25">
      <c r="A4332" s="19" t="s">
        <v>10460</v>
      </c>
      <c r="B4332" s="19">
        <v>11764</v>
      </c>
      <c r="C4332" s="20" t="s">
        <v>14800</v>
      </c>
      <c r="D4332" s="19" t="s">
        <v>31</v>
      </c>
      <c r="E4332" s="19" t="s">
        <v>10459</v>
      </c>
      <c r="F4332" s="21">
        <f t="shared" si="616"/>
        <v>137.99000000000001</v>
      </c>
      <c r="G4332" s="21">
        <f t="shared" si="616"/>
        <v>137.99000000000001</v>
      </c>
      <c r="H4332" s="21">
        <f t="shared" si="616"/>
        <v>137.99000000000001</v>
      </c>
      <c r="I4332" s="24" t="str">
        <f t="shared" si="617"/>
        <v xml:space="preserve">COM VALOR</v>
      </c>
      <c r="L4332" s="36">
        <v>137.99000000000001</v>
      </c>
      <c r="M4332" s="37">
        <v>137.99000000000001</v>
      </c>
      <c r="N4332" s="36">
        <v>137.99000000000001</v>
      </c>
    </row>
    <row r="4333" ht="38.25">
      <c r="A4333" s="19" t="s">
        <v>10460</v>
      </c>
      <c r="B4333" s="19">
        <v>11829</v>
      </c>
      <c r="C4333" s="20" t="s">
        <v>14801</v>
      </c>
      <c r="D4333" s="19" t="s">
        <v>31</v>
      </c>
      <c r="E4333" s="19" t="s">
        <v>10459</v>
      </c>
      <c r="F4333" s="21">
        <f t="shared" si="616"/>
        <v>33.350000000000001</v>
      </c>
      <c r="G4333" s="21">
        <f t="shared" si="616"/>
        <v>33.350000000000001</v>
      </c>
      <c r="H4333" s="21">
        <f t="shared" si="616"/>
        <v>33.350000000000001</v>
      </c>
      <c r="I4333" s="24" t="str">
        <f t="shared" si="617"/>
        <v xml:space="preserve">COM VALOR</v>
      </c>
      <c r="L4333" s="36">
        <v>33.350000000000001</v>
      </c>
      <c r="M4333" s="37">
        <v>33.350000000000001</v>
      </c>
      <c r="N4333" s="36">
        <v>33.350000000000001</v>
      </c>
    </row>
    <row r="4334" ht="38.25">
      <c r="A4334" s="19" t="s">
        <v>10460</v>
      </c>
      <c r="B4334" s="19">
        <v>11830</v>
      </c>
      <c r="C4334" s="20" t="s">
        <v>14802</v>
      </c>
      <c r="D4334" s="19" t="s">
        <v>31</v>
      </c>
      <c r="E4334" s="19" t="s">
        <v>10459</v>
      </c>
      <c r="F4334" s="21">
        <f t="shared" si="616"/>
        <v>36.009999999999998</v>
      </c>
      <c r="G4334" s="21">
        <f t="shared" si="616"/>
        <v>36.009999999999998</v>
      </c>
      <c r="H4334" s="21">
        <f t="shared" si="616"/>
        <v>36.009999999999998</v>
      </c>
      <c r="I4334" s="24" t="str">
        <f t="shared" si="617"/>
        <v xml:space="preserve">COM VALOR</v>
      </c>
      <c r="L4334" s="36">
        <v>36.009999999999998</v>
      </c>
      <c r="M4334" s="37">
        <v>36.009999999999998</v>
      </c>
      <c r="N4334" s="36">
        <v>36.009999999999998</v>
      </c>
    </row>
    <row r="4335" ht="38.25">
      <c r="A4335" s="19" t="s">
        <v>10460</v>
      </c>
      <c r="B4335" s="19">
        <v>11765</v>
      </c>
      <c r="C4335" s="20" t="s">
        <v>14803</v>
      </c>
      <c r="D4335" s="19" t="s">
        <v>31</v>
      </c>
      <c r="E4335" s="19" t="s">
        <v>10459</v>
      </c>
      <c r="F4335" s="21">
        <f t="shared" si="616"/>
        <v>91.969999999999999</v>
      </c>
      <c r="G4335" s="21">
        <f t="shared" si="616"/>
        <v>91.969999999999999</v>
      </c>
      <c r="H4335" s="21">
        <f t="shared" si="616"/>
        <v>91.969999999999999</v>
      </c>
      <c r="I4335" s="24" t="str">
        <f t="shared" si="617"/>
        <v xml:space="preserve">COM VALOR</v>
      </c>
      <c r="L4335" s="36">
        <v>91.969999999999999</v>
      </c>
      <c r="M4335" s="37">
        <v>91.969999999999999</v>
      </c>
      <c r="N4335" s="36">
        <v>91.969999999999999</v>
      </c>
    </row>
    <row r="4336" ht="38.25">
      <c r="A4336" s="19" t="s">
        <v>10460</v>
      </c>
      <c r="B4336" s="19">
        <v>11766</v>
      </c>
      <c r="C4336" s="20" t="s">
        <v>14804</v>
      </c>
      <c r="D4336" s="19" t="s">
        <v>31</v>
      </c>
      <c r="E4336" s="19" t="s">
        <v>10459</v>
      </c>
      <c r="F4336" s="21">
        <f t="shared" si="616"/>
        <v>50.299999999999997</v>
      </c>
      <c r="G4336" s="21">
        <f t="shared" si="616"/>
        <v>50.299999999999997</v>
      </c>
      <c r="H4336" s="21">
        <f t="shared" si="616"/>
        <v>50.299999999999997</v>
      </c>
      <c r="I4336" s="24" t="str">
        <f t="shared" si="617"/>
        <v xml:space="preserve">COM VALOR</v>
      </c>
      <c r="L4336" s="36">
        <v>50.299999999999997</v>
      </c>
      <c r="M4336" s="37">
        <v>50.299999999999997</v>
      </c>
      <c r="N4336" s="36">
        <v>50.299999999999997</v>
      </c>
    </row>
    <row r="4337" ht="38.25">
      <c r="A4337" s="19" t="s">
        <v>10460</v>
      </c>
      <c r="B4337" s="19">
        <v>11824</v>
      </c>
      <c r="C4337" s="20" t="s">
        <v>14805</v>
      </c>
      <c r="D4337" s="19" t="s">
        <v>31</v>
      </c>
      <c r="E4337" s="19" t="s">
        <v>10459</v>
      </c>
      <c r="F4337" s="21">
        <f t="shared" si="616"/>
        <v>59.170000000000002</v>
      </c>
      <c r="G4337" s="21">
        <f t="shared" si="616"/>
        <v>59.170000000000002</v>
      </c>
      <c r="H4337" s="21">
        <f t="shared" si="616"/>
        <v>59.170000000000002</v>
      </c>
      <c r="I4337" s="24" t="str">
        <f t="shared" si="617"/>
        <v xml:space="preserve">COM VALOR</v>
      </c>
      <c r="L4337" s="36">
        <v>59.170000000000002</v>
      </c>
      <c r="M4337" s="37">
        <v>59.170000000000002</v>
      </c>
      <c r="N4337" s="36">
        <v>59.170000000000002</v>
      </c>
    </row>
    <row r="4338" ht="25.5">
      <c r="A4338" s="19" t="s">
        <v>10460</v>
      </c>
      <c r="B4338" s="19">
        <v>44045</v>
      </c>
      <c r="C4338" s="20" t="s">
        <v>14806</v>
      </c>
      <c r="D4338" s="19" t="s">
        <v>31</v>
      </c>
      <c r="E4338" s="19" t="s">
        <v>10459</v>
      </c>
      <c r="F4338" s="21">
        <f t="shared" si="616"/>
        <v>390.29000000000002</v>
      </c>
      <c r="G4338" s="21">
        <f t="shared" si="616"/>
        <v>390.29000000000002</v>
      </c>
      <c r="H4338" s="21">
        <f t="shared" si="616"/>
        <v>390.29000000000002</v>
      </c>
      <c r="I4338" s="24" t="str">
        <f t="shared" si="617"/>
        <v xml:space="preserve">COM VALOR</v>
      </c>
      <c r="L4338" s="36">
        <v>390.29000000000002</v>
      </c>
      <c r="M4338" s="37">
        <v>390.29000000000002</v>
      </c>
      <c r="N4338" s="36">
        <v>390.29000000000002</v>
      </c>
    </row>
    <row r="4339" ht="25.5">
      <c r="A4339" s="19" t="s">
        <v>10460</v>
      </c>
      <c r="B4339" s="19">
        <v>39702</v>
      </c>
      <c r="C4339" s="20" t="s">
        <v>14807</v>
      </c>
      <c r="D4339" s="19" t="s">
        <v>31</v>
      </c>
      <c r="E4339" s="19" t="s">
        <v>10459</v>
      </c>
      <c r="F4339" s="21">
        <f t="shared" si="616"/>
        <v>2592.0799999999999</v>
      </c>
      <c r="G4339" s="21">
        <f t="shared" si="616"/>
        <v>2592.0799999999999</v>
      </c>
      <c r="H4339" s="21">
        <f t="shared" si="616"/>
        <v>2592.0799999999999</v>
      </c>
      <c r="I4339" s="24" t="str">
        <f t="shared" si="617"/>
        <v xml:space="preserve">COM VALOR</v>
      </c>
      <c r="L4339" s="36">
        <v>2592.0799999999999</v>
      </c>
      <c r="M4339" s="37">
        <v>2592.0799999999999</v>
      </c>
      <c r="N4339" s="36">
        <v>2592.0799999999999</v>
      </c>
    </row>
    <row r="4340" ht="25.5">
      <c r="A4340" s="19" t="s">
        <v>10460</v>
      </c>
      <c r="B4340" s="19">
        <v>13415</v>
      </c>
      <c r="C4340" s="20" t="s">
        <v>14808</v>
      </c>
      <c r="D4340" s="19" t="s">
        <v>31</v>
      </c>
      <c r="E4340" s="19" t="s">
        <v>10466</v>
      </c>
      <c r="F4340" s="21">
        <f t="shared" si="616"/>
        <v>85.099999999999994</v>
      </c>
      <c r="G4340" s="21">
        <f t="shared" si="616"/>
        <v>85.099999999999994</v>
      </c>
      <c r="H4340" s="21">
        <f t="shared" si="616"/>
        <v>85.099999999999994</v>
      </c>
      <c r="I4340" s="24" t="str">
        <f t="shared" si="617"/>
        <v xml:space="preserve">COM VALOR</v>
      </c>
      <c r="L4340" s="36">
        <v>85.099999999999994</v>
      </c>
      <c r="M4340" s="37">
        <v>85.099999999999994</v>
      </c>
      <c r="N4340" s="36">
        <v>85.099999999999994</v>
      </c>
    </row>
    <row r="4341" ht="38.25">
      <c r="A4341" s="19" t="s">
        <v>10460</v>
      </c>
      <c r="B4341" s="19">
        <v>7602</v>
      </c>
      <c r="C4341" s="20" t="s">
        <v>14809</v>
      </c>
      <c r="D4341" s="19" t="s">
        <v>31</v>
      </c>
      <c r="E4341" s="19" t="s">
        <v>10459</v>
      </c>
      <c r="F4341" s="21">
        <f t="shared" si="616"/>
        <v>54.299999999999997</v>
      </c>
      <c r="G4341" s="21">
        <f t="shared" si="616"/>
        <v>54.299999999999997</v>
      </c>
      <c r="H4341" s="21">
        <f t="shared" si="616"/>
        <v>54.299999999999997</v>
      </c>
      <c r="I4341" s="24" t="str">
        <f t="shared" si="617"/>
        <v xml:space="preserve">COM VALOR</v>
      </c>
      <c r="L4341" s="36">
        <v>54.299999999999997</v>
      </c>
      <c r="M4341" s="37">
        <v>54.299999999999997</v>
      </c>
      <c r="N4341" s="36">
        <v>54.299999999999997</v>
      </c>
    </row>
    <row r="4342" ht="38.25">
      <c r="A4342" s="19" t="s">
        <v>10460</v>
      </c>
      <c r="B4342" s="19">
        <v>7603</v>
      </c>
      <c r="C4342" s="20" t="s">
        <v>14810</v>
      </c>
      <c r="D4342" s="19" t="s">
        <v>31</v>
      </c>
      <c r="E4342" s="19" t="s">
        <v>10459</v>
      </c>
      <c r="F4342" s="21">
        <f t="shared" si="616"/>
        <v>46.07</v>
      </c>
      <c r="G4342" s="21">
        <f t="shared" si="616"/>
        <v>46.07</v>
      </c>
      <c r="H4342" s="21">
        <f t="shared" si="616"/>
        <v>46.07</v>
      </c>
      <c r="I4342" s="24" t="str">
        <f t="shared" si="617"/>
        <v xml:space="preserve">COM VALOR</v>
      </c>
      <c r="L4342" s="36">
        <v>46.07</v>
      </c>
      <c r="M4342" s="37">
        <v>46.07</v>
      </c>
      <c r="N4342" s="36">
        <v>46.07</v>
      </c>
    </row>
    <row r="4343" ht="25.5">
      <c r="A4343" s="19" t="s">
        <v>10460</v>
      </c>
      <c r="B4343" s="19">
        <v>11777</v>
      </c>
      <c r="C4343" s="20" t="s">
        <v>14811</v>
      </c>
      <c r="D4343" s="19" t="s">
        <v>31</v>
      </c>
      <c r="E4343" s="19" t="s">
        <v>10459</v>
      </c>
      <c r="F4343" s="21">
        <f t="shared" si="616"/>
        <v>223.94999999999999</v>
      </c>
      <c r="G4343" s="21">
        <f t="shared" si="616"/>
        <v>223.94999999999999</v>
      </c>
      <c r="H4343" s="21">
        <f t="shared" si="616"/>
        <v>223.94999999999999</v>
      </c>
      <c r="I4343" s="24" t="str">
        <f t="shared" si="617"/>
        <v xml:space="preserve">COM VALOR</v>
      </c>
      <c r="L4343" s="36">
        <v>223.94999999999999</v>
      </c>
      <c r="M4343" s="37">
        <v>223.94999999999999</v>
      </c>
      <c r="N4343" s="36">
        <v>223.94999999999999</v>
      </c>
    </row>
    <row r="4344" ht="38.25">
      <c r="A4344" s="19" t="s">
        <v>10460</v>
      </c>
      <c r="B4344" s="19">
        <v>13417</v>
      </c>
      <c r="C4344" s="20" t="s">
        <v>14812</v>
      </c>
      <c r="D4344" s="19" t="s">
        <v>31</v>
      </c>
      <c r="E4344" s="19" t="s">
        <v>10459</v>
      </c>
      <c r="F4344" s="21">
        <f t="shared" si="616"/>
        <v>110.83</v>
      </c>
      <c r="G4344" s="21">
        <f t="shared" si="616"/>
        <v>110.83</v>
      </c>
      <c r="H4344" s="21">
        <f t="shared" si="616"/>
        <v>110.83</v>
      </c>
      <c r="I4344" s="24" t="str">
        <f t="shared" si="617"/>
        <v xml:space="preserve">COM VALOR</v>
      </c>
      <c r="L4344" s="36">
        <v>110.83</v>
      </c>
      <c r="M4344" s="37">
        <v>110.83</v>
      </c>
      <c r="N4344" s="36">
        <v>110.83</v>
      </c>
    </row>
    <row r="4345" ht="25.5">
      <c r="A4345" s="19" t="s">
        <v>10460</v>
      </c>
      <c r="B4345" s="19">
        <v>36791</v>
      </c>
      <c r="C4345" s="20" t="s">
        <v>14813</v>
      </c>
      <c r="D4345" s="19" t="s">
        <v>31</v>
      </c>
      <c r="E4345" s="19" t="s">
        <v>10459</v>
      </c>
      <c r="F4345" s="21">
        <f t="shared" si="616"/>
        <v>166.34999999999999</v>
      </c>
      <c r="G4345" s="21">
        <f t="shared" si="616"/>
        <v>166.34999999999999</v>
      </c>
      <c r="H4345" s="21">
        <f t="shared" si="616"/>
        <v>166.34999999999999</v>
      </c>
      <c r="I4345" s="24" t="str">
        <f t="shared" si="617"/>
        <v xml:space="preserve">COM VALOR</v>
      </c>
      <c r="L4345" s="36">
        <v>166.34999999999999</v>
      </c>
      <c r="M4345" s="37">
        <v>166.34999999999999</v>
      </c>
      <c r="N4345" s="36">
        <v>166.34999999999999</v>
      </c>
    </row>
    <row r="4346" ht="38.25">
      <c r="A4346" s="19" t="s">
        <v>10460</v>
      </c>
      <c r="B4346" s="19">
        <v>36795</v>
      </c>
      <c r="C4346" s="20" t="s">
        <v>14814</v>
      </c>
      <c r="D4346" s="19" t="s">
        <v>31</v>
      </c>
      <c r="E4346" s="19" t="s">
        <v>10459</v>
      </c>
      <c r="F4346" s="21">
        <f t="shared" si="616"/>
        <v>2103.2399999999998</v>
      </c>
      <c r="G4346" s="21">
        <f t="shared" si="616"/>
        <v>2103.2399999999998</v>
      </c>
      <c r="H4346" s="21">
        <f t="shared" si="616"/>
        <v>2103.2399999999998</v>
      </c>
      <c r="I4346" s="24" t="str">
        <f t="shared" si="617"/>
        <v xml:space="preserve">COM VALOR</v>
      </c>
      <c r="L4346" s="36">
        <v>2103.2399999999998</v>
      </c>
      <c r="M4346" s="37">
        <v>2103.2399999999998</v>
      </c>
      <c r="N4346" s="36">
        <v>2103.2399999999998</v>
      </c>
    </row>
    <row r="4347" ht="38.25">
      <c r="A4347" s="19" t="s">
        <v>10460</v>
      </c>
      <c r="B4347" s="19">
        <v>36796</v>
      </c>
      <c r="C4347" s="20" t="s">
        <v>14815</v>
      </c>
      <c r="D4347" s="19" t="s">
        <v>31</v>
      </c>
      <c r="E4347" s="19" t="s">
        <v>10459</v>
      </c>
      <c r="F4347" s="21">
        <f t="shared" si="616"/>
        <v>174.77000000000001</v>
      </c>
      <c r="G4347" s="21">
        <f t="shared" si="616"/>
        <v>174.77000000000001</v>
      </c>
      <c r="H4347" s="21">
        <f t="shared" si="616"/>
        <v>174.77000000000001</v>
      </c>
      <c r="I4347" s="24" t="str">
        <f t="shared" si="617"/>
        <v xml:space="preserve">COM VALOR</v>
      </c>
      <c r="L4347" s="36">
        <v>174.77000000000001</v>
      </c>
      <c r="M4347" s="37">
        <v>174.77000000000001</v>
      </c>
      <c r="N4347" s="36">
        <v>174.77000000000001</v>
      </c>
    </row>
    <row r="4348" ht="38.25">
      <c r="A4348" s="19" t="s">
        <v>10460</v>
      </c>
      <c r="B4348" s="19">
        <v>36792</v>
      </c>
      <c r="C4348" s="20" t="s">
        <v>14816</v>
      </c>
      <c r="D4348" s="19" t="s">
        <v>31</v>
      </c>
      <c r="E4348" s="19" t="s">
        <v>10459</v>
      </c>
      <c r="F4348" s="21">
        <f t="shared" si="616"/>
        <v>221.40000000000001</v>
      </c>
      <c r="G4348" s="21">
        <f t="shared" si="616"/>
        <v>221.40000000000001</v>
      </c>
      <c r="H4348" s="21">
        <f t="shared" si="616"/>
        <v>221.40000000000001</v>
      </c>
      <c r="I4348" s="24" t="str">
        <f t="shared" si="617"/>
        <v xml:space="preserve">COM VALOR</v>
      </c>
      <c r="L4348" s="36">
        <v>221.40000000000001</v>
      </c>
      <c r="M4348" s="37">
        <v>221.40000000000001</v>
      </c>
      <c r="N4348" s="36">
        <v>221.40000000000001</v>
      </c>
    </row>
    <row r="4349" ht="25.5">
      <c r="A4349" s="19" t="s">
        <v>10460</v>
      </c>
      <c r="B4349" s="19">
        <v>11773</v>
      </c>
      <c r="C4349" s="20" t="s">
        <v>14817</v>
      </c>
      <c r="D4349" s="19" t="s">
        <v>31</v>
      </c>
      <c r="E4349" s="19" t="s">
        <v>10459</v>
      </c>
      <c r="F4349" s="21">
        <f t="shared" si="616"/>
        <v>147.38</v>
      </c>
      <c r="G4349" s="21">
        <f t="shared" si="616"/>
        <v>147.38</v>
      </c>
      <c r="H4349" s="21">
        <f t="shared" si="616"/>
        <v>147.38</v>
      </c>
      <c r="I4349" s="24" t="str">
        <f t="shared" si="617"/>
        <v xml:space="preserve">COM VALOR</v>
      </c>
      <c r="L4349" s="36">
        <v>147.38</v>
      </c>
      <c r="M4349" s="37">
        <v>147.38</v>
      </c>
      <c r="N4349" s="36">
        <v>147.38</v>
      </c>
    </row>
    <row r="4350" ht="38.25">
      <c r="A4350" s="19" t="s">
        <v>10460</v>
      </c>
      <c r="B4350" s="19">
        <v>11762</v>
      </c>
      <c r="C4350" s="20" t="s">
        <v>14818</v>
      </c>
      <c r="D4350" s="19" t="s">
        <v>31</v>
      </c>
      <c r="E4350" s="19" t="s">
        <v>10459</v>
      </c>
      <c r="F4350" s="21">
        <f t="shared" si="616"/>
        <v>69.900000000000006</v>
      </c>
      <c r="G4350" s="21">
        <f t="shared" si="616"/>
        <v>69.900000000000006</v>
      </c>
      <c r="H4350" s="21">
        <f t="shared" si="616"/>
        <v>69.900000000000006</v>
      </c>
      <c r="I4350" s="24" t="str">
        <f t="shared" si="617"/>
        <v xml:space="preserve">COM VALOR</v>
      </c>
      <c r="L4350" s="36">
        <v>69.900000000000006</v>
      </c>
      <c r="M4350" s="37">
        <v>69.900000000000006</v>
      </c>
      <c r="N4350" s="36">
        <v>69.900000000000006</v>
      </c>
    </row>
    <row r="4351" ht="38.25">
      <c r="A4351" s="19" t="s">
        <v>10460</v>
      </c>
      <c r="B4351" s="19">
        <v>7604</v>
      </c>
      <c r="C4351" s="20" t="s">
        <v>14819</v>
      </c>
      <c r="D4351" s="19" t="s">
        <v>31</v>
      </c>
      <c r="E4351" s="19" t="s">
        <v>10459</v>
      </c>
      <c r="F4351" s="21">
        <f t="shared" si="616"/>
        <v>59.189999999999998</v>
      </c>
      <c r="G4351" s="21">
        <f t="shared" si="616"/>
        <v>59.189999999999998</v>
      </c>
      <c r="H4351" s="21">
        <f t="shared" si="616"/>
        <v>59.189999999999998</v>
      </c>
      <c r="I4351" s="24" t="str">
        <f t="shared" si="617"/>
        <v xml:space="preserve">COM VALOR</v>
      </c>
      <c r="L4351" s="36">
        <v>59.189999999999998</v>
      </c>
      <c r="M4351" s="37">
        <v>59.189999999999998</v>
      </c>
      <c r="N4351" s="36">
        <v>59.189999999999998</v>
      </c>
    </row>
    <row r="4352" ht="38.25">
      <c r="A4352" s="19" t="s">
        <v>10460</v>
      </c>
      <c r="B4352" s="19">
        <v>13984</v>
      </c>
      <c r="C4352" s="20" t="s">
        <v>14820</v>
      </c>
      <c r="D4352" s="19" t="s">
        <v>31</v>
      </c>
      <c r="E4352" s="19" t="s">
        <v>10459</v>
      </c>
      <c r="F4352" s="21">
        <f t="shared" si="616"/>
        <v>86.019999999999996</v>
      </c>
      <c r="G4352" s="21">
        <f t="shared" si="616"/>
        <v>86.019999999999996</v>
      </c>
      <c r="H4352" s="21">
        <f t="shared" si="616"/>
        <v>86.019999999999996</v>
      </c>
      <c r="I4352" s="24" t="str">
        <f t="shared" si="617"/>
        <v xml:space="preserve">COM VALOR</v>
      </c>
      <c r="L4352" s="36">
        <v>86.019999999999996</v>
      </c>
      <c r="M4352" s="37">
        <v>86.019999999999996</v>
      </c>
      <c r="N4352" s="36">
        <v>86.019999999999996</v>
      </c>
    </row>
    <row r="4353" ht="25.5">
      <c r="A4353" s="19" t="s">
        <v>10460</v>
      </c>
      <c r="B4353" s="19">
        <v>11772</v>
      </c>
      <c r="C4353" s="20" t="s">
        <v>14821</v>
      </c>
      <c r="D4353" s="19" t="s">
        <v>31</v>
      </c>
      <c r="E4353" s="19" t="s">
        <v>10459</v>
      </c>
      <c r="F4353" s="21">
        <f t="shared" si="616"/>
        <v>147.84</v>
      </c>
      <c r="G4353" s="21">
        <f t="shared" si="616"/>
        <v>147.84</v>
      </c>
      <c r="H4353" s="21">
        <f t="shared" si="616"/>
        <v>147.84</v>
      </c>
      <c r="I4353" s="24" t="str">
        <f t="shared" si="617"/>
        <v xml:space="preserve">COM VALOR</v>
      </c>
      <c r="L4353" s="36">
        <v>147.84</v>
      </c>
      <c r="M4353" s="37">
        <v>147.84</v>
      </c>
      <c r="N4353" s="36">
        <v>147.84</v>
      </c>
    </row>
    <row r="4354" ht="25.5">
      <c r="A4354" s="19" t="s">
        <v>10460</v>
      </c>
      <c r="B4354" s="19">
        <v>13983</v>
      </c>
      <c r="C4354" s="20" t="s">
        <v>14822</v>
      </c>
      <c r="D4354" s="19" t="s">
        <v>31</v>
      </c>
      <c r="E4354" s="19" t="s">
        <v>10459</v>
      </c>
      <c r="F4354" s="21">
        <f t="shared" si="616"/>
        <v>111.95999999999999</v>
      </c>
      <c r="G4354" s="21">
        <f t="shared" si="616"/>
        <v>111.95999999999999</v>
      </c>
      <c r="H4354" s="21">
        <f t="shared" si="616"/>
        <v>111.95999999999999</v>
      </c>
      <c r="I4354" s="24" t="str">
        <f t="shared" si="617"/>
        <v xml:space="preserve">COM VALOR</v>
      </c>
      <c r="L4354" s="36">
        <v>111.95999999999999</v>
      </c>
      <c r="M4354" s="37">
        <v>111.95999999999999</v>
      </c>
      <c r="N4354" s="36">
        <v>111.95999999999999</v>
      </c>
    </row>
    <row r="4355" ht="38.25">
      <c r="A4355" s="19" t="s">
        <v>10460</v>
      </c>
      <c r="B4355" s="19">
        <v>13416</v>
      </c>
      <c r="C4355" s="20" t="s">
        <v>14823</v>
      </c>
      <c r="D4355" s="19" t="s">
        <v>31</v>
      </c>
      <c r="E4355" s="19" t="s">
        <v>10459</v>
      </c>
      <c r="F4355" s="21">
        <f t="shared" si="616"/>
        <v>99.439999999999998</v>
      </c>
      <c r="G4355" s="21">
        <f t="shared" si="616"/>
        <v>99.439999999999998</v>
      </c>
      <c r="H4355" s="21">
        <f t="shared" si="616"/>
        <v>99.439999999999998</v>
      </c>
      <c r="I4355" s="24" t="str">
        <f t="shared" si="617"/>
        <v xml:space="preserve">COM VALOR</v>
      </c>
      <c r="L4355" s="36">
        <v>99.439999999999998</v>
      </c>
      <c r="M4355" s="37">
        <v>99.439999999999998</v>
      </c>
      <c r="N4355" s="36">
        <v>99.439999999999998</v>
      </c>
    </row>
    <row r="4356" ht="38.25">
      <c r="A4356" s="19" t="s">
        <v>10460</v>
      </c>
      <c r="B4356" s="19">
        <v>40329</v>
      </c>
      <c r="C4356" s="20" t="s">
        <v>14824</v>
      </c>
      <c r="D4356" s="19" t="s">
        <v>31</v>
      </c>
      <c r="E4356" s="19" t="s">
        <v>10466</v>
      </c>
      <c r="F4356" s="21">
        <f t="shared" si="616"/>
        <v>20.899999999999999</v>
      </c>
      <c r="G4356" s="21">
        <f t="shared" si="616"/>
        <v>20.899999999999999</v>
      </c>
      <c r="H4356" s="21">
        <f t="shared" si="616"/>
        <v>20.899999999999999</v>
      </c>
      <c r="I4356" s="24" t="str">
        <f t="shared" si="617"/>
        <v xml:space="preserve">COM VALOR</v>
      </c>
      <c r="L4356" s="36">
        <v>20.899999999999999</v>
      </c>
      <c r="M4356" s="37">
        <v>20.899999999999999</v>
      </c>
      <c r="N4356" s="36">
        <v>20.899999999999999</v>
      </c>
    </row>
    <row r="4357" ht="25.5">
      <c r="A4357" s="19" t="s">
        <v>10460</v>
      </c>
      <c r="B4357" s="19">
        <v>11823</v>
      </c>
      <c r="C4357" s="20" t="s">
        <v>14825</v>
      </c>
      <c r="D4357" s="19" t="s">
        <v>31</v>
      </c>
      <c r="E4357" s="19" t="s">
        <v>10459</v>
      </c>
      <c r="F4357" s="21">
        <f t="shared" si="616"/>
        <v>8.8000000000000007</v>
      </c>
      <c r="G4357" s="21">
        <f t="shared" si="616"/>
        <v>8.8000000000000007</v>
      </c>
      <c r="H4357" s="21">
        <f t="shared" si="616"/>
        <v>8.8000000000000007</v>
      </c>
      <c r="I4357" s="24" t="str">
        <f t="shared" si="617"/>
        <v xml:space="preserve">COM VALOR</v>
      </c>
      <c r="L4357" s="36">
        <v>8.8000000000000007</v>
      </c>
      <c r="M4357" s="37">
        <v>8.8000000000000007</v>
      </c>
      <c r="N4357" s="36">
        <v>8.8000000000000007</v>
      </c>
    </row>
    <row r="4358" ht="25.5">
      <c r="A4358" s="19" t="s">
        <v>10460</v>
      </c>
      <c r="B4358" s="19">
        <v>11822</v>
      </c>
      <c r="C4358" s="20" t="s">
        <v>14826</v>
      </c>
      <c r="D4358" s="19" t="s">
        <v>31</v>
      </c>
      <c r="E4358" s="19" t="s">
        <v>10459</v>
      </c>
      <c r="F4358" s="21">
        <f t="shared" si="616"/>
        <v>31.539999999999999</v>
      </c>
      <c r="G4358" s="21">
        <f t="shared" si="616"/>
        <v>31.539999999999999</v>
      </c>
      <c r="H4358" s="21">
        <f t="shared" si="616"/>
        <v>31.539999999999999</v>
      </c>
      <c r="I4358" s="24" t="str">
        <f t="shared" si="617"/>
        <v xml:space="preserve">COM VALOR</v>
      </c>
      <c r="L4358" s="36">
        <v>31.539999999999999</v>
      </c>
      <c r="M4358" s="37">
        <v>31.539999999999999</v>
      </c>
      <c r="N4358" s="36">
        <v>31.539999999999999</v>
      </c>
    </row>
    <row r="4359" ht="25.5">
      <c r="A4359" s="19" t="s">
        <v>10460</v>
      </c>
      <c r="B4359" s="19">
        <v>11831</v>
      </c>
      <c r="C4359" s="20" t="s">
        <v>14827</v>
      </c>
      <c r="D4359" s="19" t="s">
        <v>31</v>
      </c>
      <c r="E4359" s="19" t="s">
        <v>10459</v>
      </c>
      <c r="F4359" s="21">
        <f t="shared" si="616"/>
        <v>18.98</v>
      </c>
      <c r="G4359" s="21">
        <f t="shared" si="616"/>
        <v>18.98</v>
      </c>
      <c r="H4359" s="21">
        <f t="shared" si="616"/>
        <v>18.98</v>
      </c>
      <c r="I4359" s="24" t="str">
        <f t="shared" si="617"/>
        <v xml:space="preserve">COM VALOR</v>
      </c>
      <c r="L4359" s="36">
        <v>18.98</v>
      </c>
      <c r="M4359" s="37">
        <v>18.98</v>
      </c>
      <c r="N4359" s="36">
        <v>18.98</v>
      </c>
    </row>
    <row r="4360" ht="12.75">
      <c r="A4360" s="19" t="s">
        <v>10460</v>
      </c>
      <c r="B4360" s="19">
        <v>45249</v>
      </c>
      <c r="C4360" s="20" t="s">
        <v>14828</v>
      </c>
      <c r="D4360" s="19" t="s">
        <v>31</v>
      </c>
      <c r="E4360" s="19" t="s">
        <v>10459</v>
      </c>
      <c r="F4360" s="21">
        <f t="shared" si="616"/>
        <v>143.43000000000001</v>
      </c>
      <c r="G4360" s="21">
        <f t="shared" si="616"/>
        <v>143.43000000000001</v>
      </c>
      <c r="H4360" s="21">
        <f t="shared" si="616"/>
        <v>143.43000000000001</v>
      </c>
      <c r="I4360" s="24" t="str">
        <f t="shared" si="617"/>
        <v xml:space="preserve">COM VALOR</v>
      </c>
      <c r="J4360" s="38"/>
      <c r="L4360" s="36">
        <v>143.43000000000001</v>
      </c>
      <c r="M4360" s="37">
        <v>143.43000000000001</v>
      </c>
      <c r="N4360" s="36">
        <v>143.43000000000001</v>
      </c>
    </row>
    <row r="4361" ht="38.25">
      <c r="A4361" s="19" t="s">
        <v>10460</v>
      </c>
      <c r="B4361" s="19">
        <v>7613</v>
      </c>
      <c r="C4361" s="20" t="s">
        <v>14829</v>
      </c>
      <c r="D4361" s="19" t="s">
        <v>31</v>
      </c>
      <c r="E4361" s="19" t="s">
        <v>10459</v>
      </c>
      <c r="F4361" s="21">
        <f t="shared" si="616"/>
        <v>184450.51999999999</v>
      </c>
      <c r="G4361" s="21">
        <f t="shared" si="616"/>
        <v>184450.51999999999</v>
      </c>
      <c r="H4361" s="21">
        <f t="shared" si="616"/>
        <v>184450.51999999999</v>
      </c>
      <c r="I4361" s="24" t="str">
        <f t="shared" si="617"/>
        <v xml:space="preserve">COM VALOR</v>
      </c>
      <c r="L4361" s="36">
        <v>184450.51999999999</v>
      </c>
      <c r="M4361" s="37">
        <v>184450.51999999999</v>
      </c>
      <c r="N4361" s="36">
        <v>184450.51999999999</v>
      </c>
    </row>
    <row r="4362" ht="38.25">
      <c r="A4362" s="19" t="s">
        <v>10460</v>
      </c>
      <c r="B4362" s="19">
        <v>7619</v>
      </c>
      <c r="C4362" s="20" t="s">
        <v>14830</v>
      </c>
      <c r="D4362" s="19" t="s">
        <v>31</v>
      </c>
      <c r="E4362" s="19" t="s">
        <v>10459</v>
      </c>
      <c r="F4362" s="21">
        <f t="shared" si="616"/>
        <v>28512.099999999999</v>
      </c>
      <c r="G4362" s="21">
        <f t="shared" si="616"/>
        <v>28512.099999999999</v>
      </c>
      <c r="H4362" s="21">
        <f t="shared" si="616"/>
        <v>28512.099999999999</v>
      </c>
      <c r="I4362" s="24" t="str">
        <f t="shared" si="617"/>
        <v xml:space="preserve">COM VALOR</v>
      </c>
      <c r="L4362" s="36">
        <v>28512.099999999999</v>
      </c>
      <c r="M4362" s="37">
        <v>28512.099999999999</v>
      </c>
      <c r="N4362" s="36">
        <v>28512.099999999999</v>
      </c>
    </row>
    <row r="4363" ht="38.25">
      <c r="A4363" s="19" t="s">
        <v>10460</v>
      </c>
      <c r="B4363" s="19">
        <v>12076</v>
      </c>
      <c r="C4363" s="20" t="s">
        <v>14831</v>
      </c>
      <c r="D4363" s="19" t="s">
        <v>31</v>
      </c>
      <c r="E4363" s="19" t="s">
        <v>10459</v>
      </c>
      <c r="F4363" s="21">
        <f t="shared" ref="F4363:H4426" si="618">IF(L4363=0,"VERIFICAR",L4363)</f>
        <v>13078.940000000001</v>
      </c>
      <c r="G4363" s="21">
        <f t="shared" si="618"/>
        <v>13078.940000000001</v>
      </c>
      <c r="H4363" s="21">
        <f t="shared" si="618"/>
        <v>13078.940000000001</v>
      </c>
      <c r="I4363" s="24" t="str">
        <f t="shared" ref="I4363:I4426" si="619">IF(OR(L4363=0,M4363=0,N4363=0),"SEM VALOR","COM VALOR")</f>
        <v xml:space="preserve">COM VALOR</v>
      </c>
      <c r="L4363" s="36">
        <v>13078.940000000001</v>
      </c>
      <c r="M4363" s="37">
        <v>13078.940000000001</v>
      </c>
      <c r="N4363" s="36">
        <v>13078.940000000001</v>
      </c>
    </row>
    <row r="4364" ht="38.25">
      <c r="A4364" s="19" t="s">
        <v>10460</v>
      </c>
      <c r="B4364" s="19">
        <v>7614</v>
      </c>
      <c r="C4364" s="20" t="s">
        <v>14832</v>
      </c>
      <c r="D4364" s="19" t="s">
        <v>31</v>
      </c>
      <c r="E4364" s="19" t="s">
        <v>10459</v>
      </c>
      <c r="F4364" s="21">
        <f t="shared" si="618"/>
        <v>35960.559999999998</v>
      </c>
      <c r="G4364" s="21">
        <f t="shared" si="618"/>
        <v>35960.559999999998</v>
      </c>
      <c r="H4364" s="21">
        <f t="shared" si="618"/>
        <v>35960.559999999998</v>
      </c>
      <c r="I4364" s="24" t="str">
        <f t="shared" si="619"/>
        <v xml:space="preserve">COM VALOR</v>
      </c>
      <c r="L4364" s="36">
        <v>35960.559999999998</v>
      </c>
      <c r="M4364" s="37">
        <v>35960.559999999998</v>
      </c>
      <c r="N4364" s="36">
        <v>35960.559999999998</v>
      </c>
    </row>
    <row r="4365" ht="38.25">
      <c r="A4365" s="19" t="s">
        <v>10460</v>
      </c>
      <c r="B4365" s="19">
        <v>7618</v>
      </c>
      <c r="C4365" s="20" t="s">
        <v>14833</v>
      </c>
      <c r="D4365" s="19" t="s">
        <v>31</v>
      </c>
      <c r="E4365" s="19" t="s">
        <v>10459</v>
      </c>
      <c r="F4365" s="21">
        <f t="shared" si="618"/>
        <v>233231.26000000001</v>
      </c>
      <c r="G4365" s="21">
        <f t="shared" si="618"/>
        <v>233231.26000000001</v>
      </c>
      <c r="H4365" s="21">
        <f t="shared" si="618"/>
        <v>233231.26000000001</v>
      </c>
      <c r="I4365" s="24" t="str">
        <f t="shared" si="619"/>
        <v xml:space="preserve">COM VALOR</v>
      </c>
      <c r="L4365" s="36">
        <v>233231.26000000001</v>
      </c>
      <c r="M4365" s="37">
        <v>233231.26000000001</v>
      </c>
      <c r="N4365" s="36">
        <v>233231.26000000001</v>
      </c>
    </row>
    <row r="4366" ht="38.25">
      <c r="A4366" s="19" t="s">
        <v>10460</v>
      </c>
      <c r="B4366" s="19">
        <v>7620</v>
      </c>
      <c r="C4366" s="20" t="s">
        <v>14834</v>
      </c>
      <c r="D4366" s="19" t="s">
        <v>31</v>
      </c>
      <c r="E4366" s="19" t="s">
        <v>10459</v>
      </c>
      <c r="F4366" s="21">
        <f t="shared" si="618"/>
        <v>50447.360000000001</v>
      </c>
      <c r="G4366" s="21">
        <f t="shared" si="618"/>
        <v>50447.360000000001</v>
      </c>
      <c r="H4366" s="21">
        <f t="shared" si="618"/>
        <v>50447.360000000001</v>
      </c>
      <c r="I4366" s="24" t="str">
        <f t="shared" si="619"/>
        <v xml:space="preserve">COM VALOR</v>
      </c>
      <c r="L4366" s="36">
        <v>50447.360000000001</v>
      </c>
      <c r="M4366" s="37">
        <v>50447.360000000001</v>
      </c>
      <c r="N4366" s="36">
        <v>50447.360000000001</v>
      </c>
    </row>
    <row r="4367" ht="38.25">
      <c r="A4367" s="19" t="s">
        <v>10460</v>
      </c>
      <c r="B4367" s="19">
        <v>7610</v>
      </c>
      <c r="C4367" s="20" t="s">
        <v>14835</v>
      </c>
      <c r="D4367" s="19" t="s">
        <v>31</v>
      </c>
      <c r="E4367" s="19" t="s">
        <v>10459</v>
      </c>
      <c r="F4367" s="21">
        <f t="shared" si="618"/>
        <v>15974.99</v>
      </c>
      <c r="G4367" s="21">
        <f t="shared" si="618"/>
        <v>15974.99</v>
      </c>
      <c r="H4367" s="21">
        <f t="shared" si="618"/>
        <v>15974.99</v>
      </c>
      <c r="I4367" s="24" t="str">
        <f t="shared" si="619"/>
        <v xml:space="preserve">COM VALOR</v>
      </c>
      <c r="L4367" s="36">
        <v>15974.99</v>
      </c>
      <c r="M4367" s="37">
        <v>15974.99</v>
      </c>
      <c r="N4367" s="36">
        <v>15974.99</v>
      </c>
    </row>
    <row r="4368" ht="38.25">
      <c r="A4368" s="19" t="s">
        <v>10460</v>
      </c>
      <c r="B4368" s="19">
        <v>7615</v>
      </c>
      <c r="C4368" s="20" t="s">
        <v>14836</v>
      </c>
      <c r="D4368" s="19" t="s">
        <v>31</v>
      </c>
      <c r="E4368" s="19" t="s">
        <v>10459</v>
      </c>
      <c r="F4368" s="21">
        <f t="shared" si="618"/>
        <v>58855.260000000002</v>
      </c>
      <c r="G4368" s="21">
        <f t="shared" si="618"/>
        <v>58855.260000000002</v>
      </c>
      <c r="H4368" s="21">
        <f t="shared" si="618"/>
        <v>58855.260000000002</v>
      </c>
      <c r="I4368" s="24" t="str">
        <f t="shared" si="619"/>
        <v xml:space="preserve">COM VALOR</v>
      </c>
      <c r="L4368" s="36">
        <v>58855.260000000002</v>
      </c>
      <c r="M4368" s="37">
        <v>58855.260000000002</v>
      </c>
      <c r="N4368" s="36">
        <v>58855.260000000002</v>
      </c>
    </row>
    <row r="4369" ht="38.25">
      <c r="A4369" s="19" t="s">
        <v>10460</v>
      </c>
      <c r="B4369" s="19">
        <v>7617</v>
      </c>
      <c r="C4369" s="20" t="s">
        <v>14837</v>
      </c>
      <c r="D4369" s="19" t="s">
        <v>31</v>
      </c>
      <c r="E4369" s="19" t="s">
        <v>10459</v>
      </c>
      <c r="F4369" s="21">
        <f t="shared" si="618"/>
        <v>17843.41</v>
      </c>
      <c r="G4369" s="21">
        <f t="shared" si="618"/>
        <v>17843.41</v>
      </c>
      <c r="H4369" s="21">
        <f t="shared" si="618"/>
        <v>17843.41</v>
      </c>
      <c r="I4369" s="24" t="str">
        <f t="shared" si="619"/>
        <v xml:space="preserve">COM VALOR</v>
      </c>
      <c r="L4369" s="36">
        <v>17843.41</v>
      </c>
      <c r="M4369" s="37">
        <v>17843.41</v>
      </c>
      <c r="N4369" s="36">
        <v>17843.41</v>
      </c>
    </row>
    <row r="4370" ht="38.25">
      <c r="A4370" s="19" t="s">
        <v>10460</v>
      </c>
      <c r="B4370" s="19">
        <v>7616</v>
      </c>
      <c r="C4370" s="20" t="s">
        <v>14838</v>
      </c>
      <c r="D4370" s="19" t="s">
        <v>31</v>
      </c>
      <c r="E4370" s="19" t="s">
        <v>10459</v>
      </c>
      <c r="F4370" s="21">
        <f t="shared" si="618"/>
        <v>96042.440000000002</v>
      </c>
      <c r="G4370" s="21">
        <f t="shared" si="618"/>
        <v>96042.440000000002</v>
      </c>
      <c r="H4370" s="21">
        <f t="shared" si="618"/>
        <v>96042.440000000002</v>
      </c>
      <c r="I4370" s="24" t="str">
        <f t="shared" si="619"/>
        <v xml:space="preserve">COM VALOR</v>
      </c>
      <c r="L4370" s="36">
        <v>96042.440000000002</v>
      </c>
      <c r="M4370" s="37">
        <v>96042.440000000002</v>
      </c>
      <c r="N4370" s="36">
        <v>96042.440000000002</v>
      </c>
    </row>
    <row r="4371" ht="38.25">
      <c r="A4371" s="19" t="s">
        <v>10460</v>
      </c>
      <c r="B4371" s="19">
        <v>7611</v>
      </c>
      <c r="C4371" s="20" t="s">
        <v>14839</v>
      </c>
      <c r="D4371" s="19" t="s">
        <v>31</v>
      </c>
      <c r="E4371" s="19" t="s">
        <v>10466</v>
      </c>
      <c r="F4371" s="21">
        <f t="shared" si="618"/>
        <v>23075</v>
      </c>
      <c r="G4371" s="21">
        <f t="shared" si="618"/>
        <v>23075</v>
      </c>
      <c r="H4371" s="21">
        <f t="shared" si="618"/>
        <v>23075</v>
      </c>
      <c r="I4371" s="24" t="str">
        <f t="shared" si="619"/>
        <v xml:space="preserve">COM VALOR</v>
      </c>
      <c r="L4371" s="36">
        <v>23075</v>
      </c>
      <c r="M4371" s="37">
        <v>23075</v>
      </c>
      <c r="N4371" s="36">
        <v>23075</v>
      </c>
    </row>
    <row r="4372" ht="38.25">
      <c r="A4372" s="19" t="s">
        <v>10460</v>
      </c>
      <c r="B4372" s="19">
        <v>7612</v>
      </c>
      <c r="C4372" s="20" t="s">
        <v>14840</v>
      </c>
      <c r="D4372" s="19" t="s">
        <v>31</v>
      </c>
      <c r="E4372" s="19" t="s">
        <v>10459</v>
      </c>
      <c r="F4372" s="21">
        <f t="shared" si="618"/>
        <v>131738.62</v>
      </c>
      <c r="G4372" s="21">
        <f t="shared" si="618"/>
        <v>131738.62</v>
      </c>
      <c r="H4372" s="21">
        <f t="shared" si="618"/>
        <v>131738.62</v>
      </c>
      <c r="I4372" s="24" t="str">
        <f t="shared" si="619"/>
        <v xml:space="preserve">COM VALOR</v>
      </c>
      <c r="L4372" s="36">
        <v>131738.62</v>
      </c>
      <c r="M4372" s="37">
        <v>131738.62</v>
      </c>
      <c r="N4372" s="36">
        <v>131738.62</v>
      </c>
    </row>
    <row r="4373" ht="25.5">
      <c r="A4373" s="19" t="s">
        <v>10635</v>
      </c>
      <c r="B4373" s="19">
        <v>37371</v>
      </c>
      <c r="C4373" s="20" t="s">
        <v>14841</v>
      </c>
      <c r="D4373" s="19" t="s">
        <v>2032</v>
      </c>
      <c r="E4373" s="19" t="s">
        <v>10466</v>
      </c>
      <c r="F4373" s="21">
        <f t="shared" si="618"/>
        <v>1.04</v>
      </c>
      <c r="G4373" s="21">
        <f t="shared" si="618"/>
        <v>1.04</v>
      </c>
      <c r="H4373" s="21">
        <f t="shared" si="618"/>
        <v>1.04</v>
      </c>
      <c r="I4373" s="24" t="str">
        <f t="shared" si="619"/>
        <v xml:space="preserve">COM VALOR</v>
      </c>
      <c r="L4373" s="36">
        <v>1.04</v>
      </c>
      <c r="M4373" s="37">
        <v>1.04</v>
      </c>
      <c r="N4373" s="36">
        <v>1.04</v>
      </c>
    </row>
    <row r="4374" ht="25.5">
      <c r="A4374" s="19" t="s">
        <v>10635</v>
      </c>
      <c r="B4374" s="19">
        <v>40861</v>
      </c>
      <c r="C4374" s="20" t="s">
        <v>14842</v>
      </c>
      <c r="D4374" s="19" t="s">
        <v>7087</v>
      </c>
      <c r="E4374" s="19" t="s">
        <v>10466</v>
      </c>
      <c r="F4374" s="21">
        <f t="shared" si="618"/>
        <v>170.49000000000001</v>
      </c>
      <c r="G4374" s="21">
        <f t="shared" si="618"/>
        <v>170.49000000000001</v>
      </c>
      <c r="H4374" s="21">
        <f t="shared" si="618"/>
        <v>170.49000000000001</v>
      </c>
      <c r="I4374" s="24" t="str">
        <f t="shared" si="619"/>
        <v xml:space="preserve">COM VALOR</v>
      </c>
      <c r="L4374" s="36">
        <v>170.49000000000001</v>
      </c>
      <c r="M4374" s="37">
        <v>170.49000000000001</v>
      </c>
      <c r="N4374" s="36">
        <v>170.49000000000001</v>
      </c>
    </row>
    <row r="4375" ht="25.5">
      <c r="A4375" s="19" t="s">
        <v>10638</v>
      </c>
      <c r="B4375" s="19">
        <v>36509</v>
      </c>
      <c r="C4375" s="20" t="s">
        <v>14843</v>
      </c>
      <c r="D4375" s="19" t="s">
        <v>31</v>
      </c>
      <c r="E4375" s="19" t="s">
        <v>10459</v>
      </c>
      <c r="F4375" s="21" t="str">
        <f t="shared" si="618"/>
        <v>VERIFICAR</v>
      </c>
      <c r="G4375" s="21" t="str">
        <f t="shared" si="618"/>
        <v>VERIFICAR</v>
      </c>
      <c r="H4375" s="21" t="str">
        <f t="shared" si="618"/>
        <v>VERIFICAR</v>
      </c>
      <c r="I4375" s="24" t="str">
        <f t="shared" si="619"/>
        <v xml:space="preserve">SEM VALOR</v>
      </c>
      <c r="L4375" s="36"/>
      <c r="M4375" s="37"/>
      <c r="N4375" s="36"/>
    </row>
    <row r="4376" ht="38.25">
      <c r="A4376" s="19" t="s">
        <v>10638</v>
      </c>
      <c r="B4376" s="19">
        <v>7622</v>
      </c>
      <c r="C4376" s="20" t="s">
        <v>14844</v>
      </c>
      <c r="D4376" s="19" t="s">
        <v>31</v>
      </c>
      <c r="E4376" s="19" t="s">
        <v>10459</v>
      </c>
      <c r="F4376" s="21" t="str">
        <f t="shared" si="618"/>
        <v>VERIFICAR</v>
      </c>
      <c r="G4376" s="21" t="str">
        <f t="shared" si="618"/>
        <v>VERIFICAR</v>
      </c>
      <c r="H4376" s="21" t="str">
        <f t="shared" si="618"/>
        <v>VERIFICAR</v>
      </c>
      <c r="I4376" s="24" t="str">
        <f t="shared" si="619"/>
        <v xml:space="preserve">SEM VALOR</v>
      </c>
      <c r="L4376" s="36"/>
      <c r="M4376" s="37"/>
      <c r="N4376" s="36"/>
    </row>
    <row r="4377" ht="38.25">
      <c r="A4377" s="19" t="s">
        <v>10638</v>
      </c>
      <c r="B4377" s="19">
        <v>7624</v>
      </c>
      <c r="C4377" s="20" t="s">
        <v>14845</v>
      </c>
      <c r="D4377" s="19" t="s">
        <v>31</v>
      </c>
      <c r="E4377" s="19" t="s">
        <v>10466</v>
      </c>
      <c r="F4377" s="21" t="str">
        <f t="shared" si="618"/>
        <v>VERIFICAR</v>
      </c>
      <c r="G4377" s="21" t="str">
        <f t="shared" si="618"/>
        <v>VERIFICAR</v>
      </c>
      <c r="H4377" s="21" t="str">
        <f t="shared" si="618"/>
        <v>VERIFICAR</v>
      </c>
      <c r="I4377" s="24" t="str">
        <f t="shared" si="619"/>
        <v xml:space="preserve">SEM VALOR</v>
      </c>
      <c r="L4377" s="36"/>
      <c r="M4377" s="37"/>
      <c r="N4377" s="36"/>
    </row>
    <row r="4378" ht="38.25">
      <c r="A4378" s="19" t="s">
        <v>10638</v>
      </c>
      <c r="B4378" s="19">
        <v>7625</v>
      </c>
      <c r="C4378" s="20" t="s">
        <v>14846</v>
      </c>
      <c r="D4378" s="19" t="s">
        <v>31</v>
      </c>
      <c r="E4378" s="19" t="s">
        <v>10459</v>
      </c>
      <c r="F4378" s="21" t="str">
        <f t="shared" si="618"/>
        <v>VERIFICAR</v>
      </c>
      <c r="G4378" s="21" t="str">
        <f t="shared" si="618"/>
        <v>VERIFICAR</v>
      </c>
      <c r="H4378" s="21" t="str">
        <f t="shared" si="618"/>
        <v>VERIFICAR</v>
      </c>
      <c r="I4378" s="24" t="str">
        <f t="shared" si="619"/>
        <v xml:space="preserve">SEM VALOR</v>
      </c>
      <c r="L4378" s="36"/>
      <c r="M4378" s="37"/>
      <c r="N4378" s="36"/>
    </row>
    <row r="4379" ht="38.25">
      <c r="A4379" s="19" t="s">
        <v>10638</v>
      </c>
      <c r="B4379" s="19">
        <v>7623</v>
      </c>
      <c r="C4379" s="20" t="s">
        <v>14847</v>
      </c>
      <c r="D4379" s="19" t="s">
        <v>31</v>
      </c>
      <c r="E4379" s="19" t="s">
        <v>10459</v>
      </c>
      <c r="F4379" s="21" t="str">
        <f t="shared" si="618"/>
        <v>VERIFICAR</v>
      </c>
      <c r="G4379" s="21" t="str">
        <f t="shared" si="618"/>
        <v>VERIFICAR</v>
      </c>
      <c r="H4379" s="21" t="str">
        <f t="shared" si="618"/>
        <v>VERIFICAR</v>
      </c>
      <c r="I4379" s="24" t="str">
        <f t="shared" si="619"/>
        <v xml:space="preserve">SEM VALOR</v>
      </c>
      <c r="L4379" s="36"/>
      <c r="M4379" s="37"/>
      <c r="N4379" s="36"/>
    </row>
    <row r="4380" ht="25.5">
      <c r="A4380" s="19" t="s">
        <v>10638</v>
      </c>
      <c r="B4380" s="19">
        <v>36511</v>
      </c>
      <c r="C4380" s="20" t="s">
        <v>14848</v>
      </c>
      <c r="D4380" s="19" t="s">
        <v>31</v>
      </c>
      <c r="E4380" s="19" t="s">
        <v>10459</v>
      </c>
      <c r="F4380" s="21" t="str">
        <f t="shared" si="618"/>
        <v>VERIFICAR</v>
      </c>
      <c r="G4380" s="21" t="str">
        <f t="shared" si="618"/>
        <v>VERIFICAR</v>
      </c>
      <c r="H4380" s="21" t="str">
        <f t="shared" si="618"/>
        <v>VERIFICAR</v>
      </c>
      <c r="I4380" s="24" t="str">
        <f t="shared" si="619"/>
        <v xml:space="preserve">SEM VALOR</v>
      </c>
      <c r="L4380" s="36"/>
      <c r="M4380" s="37"/>
      <c r="N4380" s="36"/>
    </row>
    <row r="4381" ht="25.5">
      <c r="A4381" s="19" t="s">
        <v>10638</v>
      </c>
      <c r="B4381" s="19">
        <v>7640</v>
      </c>
      <c r="C4381" s="20" t="s">
        <v>14849</v>
      </c>
      <c r="D4381" s="19" t="s">
        <v>31</v>
      </c>
      <c r="E4381" s="19" t="s">
        <v>10466</v>
      </c>
      <c r="F4381" s="21" t="str">
        <f t="shared" si="618"/>
        <v>VERIFICAR</v>
      </c>
      <c r="G4381" s="21" t="str">
        <f t="shared" si="618"/>
        <v>VERIFICAR</v>
      </c>
      <c r="H4381" s="21" t="str">
        <f t="shared" si="618"/>
        <v>VERIFICAR</v>
      </c>
      <c r="I4381" s="24" t="str">
        <f t="shared" si="619"/>
        <v xml:space="preserve">SEM VALOR</v>
      </c>
      <c r="L4381" s="36"/>
      <c r="M4381" s="37"/>
      <c r="N4381" s="36"/>
    </row>
    <row r="4382" ht="25.5">
      <c r="A4382" s="19" t="s">
        <v>10460</v>
      </c>
      <c r="B4382" s="19">
        <v>11572</v>
      </c>
      <c r="C4382" s="20" t="s">
        <v>14850</v>
      </c>
      <c r="D4382" s="19" t="s">
        <v>31</v>
      </c>
      <c r="E4382" s="19" t="s">
        <v>10459</v>
      </c>
      <c r="F4382" s="21">
        <f t="shared" si="618"/>
        <v>37.850000000000001</v>
      </c>
      <c r="G4382" s="21">
        <f t="shared" si="618"/>
        <v>37.850000000000001</v>
      </c>
      <c r="H4382" s="21">
        <f t="shared" si="618"/>
        <v>37.850000000000001</v>
      </c>
      <c r="I4382" s="24" t="str">
        <f t="shared" si="619"/>
        <v xml:space="preserve">COM VALOR</v>
      </c>
      <c r="L4382" s="36">
        <v>37.850000000000001</v>
      </c>
      <c r="M4382" s="37">
        <v>37.850000000000001</v>
      </c>
      <c r="N4382" s="36">
        <v>37.850000000000001</v>
      </c>
    </row>
    <row r="4383" ht="38.25">
      <c r="A4383" s="19" t="s">
        <v>10460</v>
      </c>
      <c r="B4383" s="19">
        <v>36149</v>
      </c>
      <c r="C4383" s="20" t="s">
        <v>14851</v>
      </c>
      <c r="D4383" s="19" t="s">
        <v>31</v>
      </c>
      <c r="E4383" s="19" t="s">
        <v>10459</v>
      </c>
      <c r="F4383" s="21">
        <f t="shared" si="618"/>
        <v>182.25999999999999</v>
      </c>
      <c r="G4383" s="21">
        <f t="shared" si="618"/>
        <v>182.25999999999999</v>
      </c>
      <c r="H4383" s="21">
        <f t="shared" si="618"/>
        <v>182.25999999999999</v>
      </c>
      <c r="I4383" s="24" t="str">
        <f t="shared" si="619"/>
        <v xml:space="preserve">COM VALOR</v>
      </c>
      <c r="L4383" s="36">
        <v>182.25999999999999</v>
      </c>
      <c r="M4383" s="37">
        <v>182.25999999999999</v>
      </c>
      <c r="N4383" s="36">
        <v>182.25999999999999</v>
      </c>
    </row>
    <row r="4384" ht="38.25">
      <c r="A4384" s="19" t="s">
        <v>10460</v>
      </c>
      <c r="B4384" s="19">
        <v>42407</v>
      </c>
      <c r="C4384" s="20" t="s">
        <v>14852</v>
      </c>
      <c r="D4384" s="19" t="s">
        <v>38</v>
      </c>
      <c r="E4384" s="19" t="s">
        <v>10459</v>
      </c>
      <c r="F4384" s="21">
        <f t="shared" si="618"/>
        <v>5.8499999999999996</v>
      </c>
      <c r="G4384" s="21">
        <f t="shared" si="618"/>
        <v>5.8499999999999996</v>
      </c>
      <c r="H4384" s="21">
        <f t="shared" si="618"/>
        <v>5.8499999999999996</v>
      </c>
      <c r="I4384" s="24" t="str">
        <f t="shared" si="619"/>
        <v xml:space="preserve">COM VALOR</v>
      </c>
      <c r="L4384" s="36">
        <v>5.8499999999999996</v>
      </c>
      <c r="M4384" s="37">
        <v>5.8499999999999996</v>
      </c>
      <c r="N4384" s="36">
        <v>5.8499999999999996</v>
      </c>
    </row>
    <row r="4385" ht="25.5">
      <c r="A4385" s="19" t="s">
        <v>10460</v>
      </c>
      <c r="B4385" s="19">
        <v>45200</v>
      </c>
      <c r="C4385" s="20" t="s">
        <v>14853</v>
      </c>
      <c r="D4385" s="19" t="s">
        <v>31</v>
      </c>
      <c r="E4385" s="19" t="s">
        <v>10459</v>
      </c>
      <c r="F4385" s="21">
        <f t="shared" si="618"/>
        <v>22.969999999999999</v>
      </c>
      <c r="G4385" s="21">
        <f t="shared" si="618"/>
        <v>22.969999999999999</v>
      </c>
      <c r="H4385" s="21">
        <f t="shared" si="618"/>
        <v>22.969999999999999</v>
      </c>
      <c r="I4385" s="24" t="str">
        <f t="shared" si="619"/>
        <v xml:space="preserve">COM VALOR</v>
      </c>
      <c r="L4385" s="36">
        <v>22.969999999999999</v>
      </c>
      <c r="M4385" s="37">
        <v>22.969999999999999</v>
      </c>
      <c r="N4385" s="36">
        <v>22.969999999999999</v>
      </c>
    </row>
    <row r="4386" ht="38.25">
      <c r="A4386" s="19" t="s">
        <v>10460</v>
      </c>
      <c r="B4386" s="19">
        <v>11581</v>
      </c>
      <c r="C4386" s="20" t="s">
        <v>14854</v>
      </c>
      <c r="D4386" s="19" t="s">
        <v>38</v>
      </c>
      <c r="E4386" s="19" t="s">
        <v>10459</v>
      </c>
      <c r="F4386" s="21">
        <f t="shared" si="618"/>
        <v>24.98</v>
      </c>
      <c r="G4386" s="21">
        <f t="shared" si="618"/>
        <v>24.98</v>
      </c>
      <c r="H4386" s="21">
        <f t="shared" si="618"/>
        <v>24.98</v>
      </c>
      <c r="I4386" s="24" t="str">
        <f t="shared" si="619"/>
        <v xml:space="preserve">COM VALOR</v>
      </c>
      <c r="L4386" s="36">
        <v>24.98</v>
      </c>
      <c r="M4386" s="37">
        <v>24.98</v>
      </c>
      <c r="N4386" s="36">
        <v>24.98</v>
      </c>
    </row>
    <row r="4387" ht="25.5">
      <c r="A4387" s="19" t="s">
        <v>10460</v>
      </c>
      <c r="B4387" s="19">
        <v>43605</v>
      </c>
      <c r="C4387" s="20" t="s">
        <v>14855</v>
      </c>
      <c r="D4387" s="19" t="s">
        <v>38</v>
      </c>
      <c r="E4387" s="19" t="s">
        <v>10459</v>
      </c>
      <c r="F4387" s="21">
        <f t="shared" si="618"/>
        <v>51.119999999999997</v>
      </c>
      <c r="G4387" s="21">
        <f t="shared" si="618"/>
        <v>51.119999999999997</v>
      </c>
      <c r="H4387" s="21">
        <f t="shared" si="618"/>
        <v>51.119999999999997</v>
      </c>
      <c r="I4387" s="24" t="str">
        <f t="shared" si="619"/>
        <v xml:space="preserve">COM VALOR</v>
      </c>
      <c r="L4387" s="36">
        <v>51.119999999999997</v>
      </c>
      <c r="M4387" s="37">
        <v>51.119999999999997</v>
      </c>
      <c r="N4387" s="36">
        <v>51.119999999999997</v>
      </c>
    </row>
    <row r="4388" ht="25.5">
      <c r="A4388" s="19" t="s">
        <v>10460</v>
      </c>
      <c r="B4388" s="19">
        <v>11580</v>
      </c>
      <c r="C4388" s="20" t="s">
        <v>14856</v>
      </c>
      <c r="D4388" s="19" t="s">
        <v>38</v>
      </c>
      <c r="E4388" s="19" t="s">
        <v>10459</v>
      </c>
      <c r="F4388" s="21">
        <f t="shared" si="618"/>
        <v>10.02</v>
      </c>
      <c r="G4388" s="21">
        <f t="shared" si="618"/>
        <v>10.02</v>
      </c>
      <c r="H4388" s="21">
        <f t="shared" si="618"/>
        <v>10.02</v>
      </c>
      <c r="I4388" s="24" t="str">
        <f t="shared" si="619"/>
        <v xml:space="preserve">COM VALOR</v>
      </c>
      <c r="L4388" s="36">
        <v>10.02</v>
      </c>
      <c r="M4388" s="37">
        <v>10.02</v>
      </c>
      <c r="N4388" s="36">
        <v>10.02</v>
      </c>
    </row>
    <row r="4389" ht="12.75">
      <c r="A4389" s="19" t="s">
        <v>10460</v>
      </c>
      <c r="B4389" s="19">
        <v>38386</v>
      </c>
      <c r="C4389" s="20" t="s">
        <v>14857</v>
      </c>
      <c r="D4389" s="19" t="s">
        <v>31</v>
      </c>
      <c r="E4389" s="19" t="s">
        <v>10459</v>
      </c>
      <c r="F4389" s="21">
        <f t="shared" si="618"/>
        <v>7.9100000000000001</v>
      </c>
      <c r="G4389" s="21">
        <f t="shared" si="618"/>
        <v>7.9100000000000001</v>
      </c>
      <c r="H4389" s="21">
        <f t="shared" si="618"/>
        <v>7.9100000000000001</v>
      </c>
      <c r="I4389" s="24" t="str">
        <f t="shared" si="619"/>
        <v xml:space="preserve">COM VALOR</v>
      </c>
      <c r="L4389" s="36">
        <v>7.9100000000000001</v>
      </c>
      <c r="M4389" s="37">
        <v>7.9100000000000001</v>
      </c>
      <c r="N4389" s="36">
        <v>7.9100000000000001</v>
      </c>
    </row>
    <row r="4390" ht="12.75">
      <c r="A4390" s="19" t="s">
        <v>10460</v>
      </c>
      <c r="B4390" s="19">
        <v>45231</v>
      </c>
      <c r="C4390" s="20" t="s">
        <v>14858</v>
      </c>
      <c r="D4390" s="19" t="s">
        <v>31</v>
      </c>
      <c r="E4390" s="19" t="s">
        <v>10459</v>
      </c>
      <c r="F4390" s="21">
        <f t="shared" si="618"/>
        <v>7.2300000000000004</v>
      </c>
      <c r="G4390" s="21">
        <f t="shared" si="618"/>
        <v>7.2300000000000004</v>
      </c>
      <c r="H4390" s="21">
        <f t="shared" si="618"/>
        <v>7.2300000000000004</v>
      </c>
      <c r="I4390" s="24" t="str">
        <f t="shared" si="619"/>
        <v xml:space="preserve">COM VALOR</v>
      </c>
      <c r="L4390" s="36">
        <v>7.2300000000000004</v>
      </c>
      <c r="M4390" s="37">
        <v>7.2300000000000004</v>
      </c>
      <c r="N4390" s="36">
        <v>7.2300000000000004</v>
      </c>
    </row>
    <row r="4391" ht="12.75">
      <c r="A4391" s="19" t="s">
        <v>10460</v>
      </c>
      <c r="B4391" s="19">
        <v>45232</v>
      </c>
      <c r="C4391" s="20" t="s">
        <v>14859</v>
      </c>
      <c r="D4391" s="19" t="s">
        <v>31</v>
      </c>
      <c r="E4391" s="19" t="s">
        <v>10459</v>
      </c>
      <c r="F4391" s="21">
        <f t="shared" si="618"/>
        <v>12.73</v>
      </c>
      <c r="G4391" s="21">
        <f t="shared" si="618"/>
        <v>12.73</v>
      </c>
      <c r="H4391" s="21">
        <f t="shared" si="618"/>
        <v>12.73</v>
      </c>
      <c r="I4391" s="24" t="str">
        <f t="shared" si="619"/>
        <v xml:space="preserve">COM VALOR</v>
      </c>
      <c r="L4391" s="36">
        <v>12.73</v>
      </c>
      <c r="M4391" s="37">
        <v>12.73</v>
      </c>
      <c r="N4391" s="36">
        <v>12.73</v>
      </c>
    </row>
    <row r="4392" ht="38.25">
      <c r="A4392" s="19" t="s">
        <v>10460</v>
      </c>
      <c r="B4392" s="19">
        <v>39848</v>
      </c>
      <c r="C4392" s="20" t="s">
        <v>14860</v>
      </c>
      <c r="D4392" s="19" t="s">
        <v>38</v>
      </c>
      <c r="E4392" s="19" t="s">
        <v>10459</v>
      </c>
      <c r="F4392" s="21" t="str">
        <f t="shared" si="618"/>
        <v>VERIFICAR</v>
      </c>
      <c r="G4392" s="21" t="str">
        <f t="shared" si="618"/>
        <v>VERIFICAR</v>
      </c>
      <c r="H4392" s="21" t="str">
        <f t="shared" si="618"/>
        <v>VERIFICAR</v>
      </c>
      <c r="I4392" s="24" t="str">
        <f t="shared" si="619"/>
        <v xml:space="preserve">SEM VALOR</v>
      </c>
      <c r="L4392" s="36"/>
      <c r="M4392" s="37"/>
      <c r="N4392" s="36"/>
    </row>
    <row r="4393" ht="12.75">
      <c r="A4393" s="19" t="s">
        <v>10460</v>
      </c>
      <c r="B4393" s="19">
        <v>7667</v>
      </c>
      <c r="C4393" s="20" t="s">
        <v>14861</v>
      </c>
      <c r="D4393" s="19" t="s">
        <v>38</v>
      </c>
      <c r="E4393" s="19" t="s">
        <v>10459</v>
      </c>
      <c r="F4393" s="21" t="str">
        <f t="shared" si="618"/>
        <v>VERIFICAR</v>
      </c>
      <c r="G4393" s="21" t="str">
        <f t="shared" si="618"/>
        <v>VERIFICAR</v>
      </c>
      <c r="H4393" s="21" t="str">
        <f t="shared" si="618"/>
        <v>VERIFICAR</v>
      </c>
      <c r="I4393" s="24" t="str">
        <f t="shared" si="619"/>
        <v xml:space="preserve">SEM VALOR</v>
      </c>
      <c r="L4393" s="36"/>
      <c r="M4393" s="37"/>
      <c r="N4393" s="36"/>
    </row>
    <row r="4394" ht="12.75">
      <c r="A4394" s="19" t="s">
        <v>10460</v>
      </c>
      <c r="B4394" s="19">
        <v>7660</v>
      </c>
      <c r="C4394" s="20" t="s">
        <v>14862</v>
      </c>
      <c r="D4394" s="19" t="s">
        <v>38</v>
      </c>
      <c r="E4394" s="19" t="s">
        <v>10459</v>
      </c>
      <c r="F4394" s="21" t="str">
        <f t="shared" si="618"/>
        <v>VERIFICAR</v>
      </c>
      <c r="G4394" s="21" t="str">
        <f t="shared" si="618"/>
        <v>VERIFICAR</v>
      </c>
      <c r="H4394" s="21" t="str">
        <f t="shared" si="618"/>
        <v>VERIFICAR</v>
      </c>
      <c r="I4394" s="24" t="str">
        <f t="shared" si="619"/>
        <v xml:space="preserve">SEM VALOR</v>
      </c>
      <c r="J4394" s="38"/>
      <c r="L4394" s="36"/>
      <c r="M4394" s="37"/>
      <c r="N4394" s="36"/>
    </row>
    <row r="4395" ht="12.75">
      <c r="A4395" s="19" t="s">
        <v>10460</v>
      </c>
      <c r="B4395" s="19">
        <v>7676</v>
      </c>
      <c r="C4395" s="20" t="s">
        <v>14863</v>
      </c>
      <c r="D4395" s="19" t="s">
        <v>38</v>
      </c>
      <c r="E4395" s="19" t="s">
        <v>10459</v>
      </c>
      <c r="F4395" s="21" t="str">
        <f t="shared" si="618"/>
        <v>VERIFICAR</v>
      </c>
      <c r="G4395" s="21" t="str">
        <f t="shared" si="618"/>
        <v>VERIFICAR</v>
      </c>
      <c r="H4395" s="21" t="str">
        <f t="shared" si="618"/>
        <v>VERIFICAR</v>
      </c>
      <c r="I4395" s="24" t="str">
        <f t="shared" si="619"/>
        <v xml:space="preserve">SEM VALOR</v>
      </c>
      <c r="L4395" s="36"/>
      <c r="M4395" s="37"/>
      <c r="N4395" s="36"/>
    </row>
    <row r="4396" ht="25.5">
      <c r="A4396" s="19" t="s">
        <v>10460</v>
      </c>
      <c r="B4396" s="19">
        <v>20999</v>
      </c>
      <c r="C4396" s="20" t="s">
        <v>14864</v>
      </c>
      <c r="D4396" s="19" t="s">
        <v>38</v>
      </c>
      <c r="E4396" s="19" t="s">
        <v>10459</v>
      </c>
      <c r="F4396" s="21" t="str">
        <f t="shared" si="618"/>
        <v>VERIFICAR</v>
      </c>
      <c r="G4396" s="21" t="str">
        <f t="shared" si="618"/>
        <v>VERIFICAR</v>
      </c>
      <c r="H4396" s="21" t="str">
        <f t="shared" si="618"/>
        <v>VERIFICAR</v>
      </c>
      <c r="I4396" s="24" t="str">
        <f t="shared" si="619"/>
        <v xml:space="preserve">SEM VALOR</v>
      </c>
      <c r="J4396" s="38"/>
      <c r="L4396" s="36"/>
      <c r="M4396" s="37"/>
      <c r="N4396" s="36"/>
    </row>
    <row r="4397" ht="25.5">
      <c r="A4397" s="19" t="s">
        <v>10460</v>
      </c>
      <c r="B4397" s="19">
        <v>21001</v>
      </c>
      <c r="C4397" s="20" t="s">
        <v>14865</v>
      </c>
      <c r="D4397" s="19" t="s">
        <v>38</v>
      </c>
      <c r="E4397" s="19" t="s">
        <v>10466</v>
      </c>
      <c r="F4397" s="21">
        <f t="shared" si="618"/>
        <v>21.260000000000002</v>
      </c>
      <c r="G4397" s="21">
        <f t="shared" si="618"/>
        <v>21.260000000000002</v>
      </c>
      <c r="H4397" s="21">
        <f t="shared" si="618"/>
        <v>21.260000000000002</v>
      </c>
      <c r="I4397" s="24" t="str">
        <f t="shared" si="619"/>
        <v xml:space="preserve">COM VALOR</v>
      </c>
      <c r="J4397" s="38" t="s">
        <v>10710</v>
      </c>
      <c r="L4397" s="36">
        <v>21.260000000000002</v>
      </c>
      <c r="M4397" s="37">
        <v>21.260000000000002</v>
      </c>
      <c r="N4397" s="36">
        <v>21.260000000000002</v>
      </c>
    </row>
    <row r="4398" ht="25.5">
      <c r="A4398" s="19" t="s">
        <v>10460</v>
      </c>
      <c r="B4398" s="19">
        <v>21003</v>
      </c>
      <c r="C4398" s="20" t="s">
        <v>14866</v>
      </c>
      <c r="D4398" s="19" t="s">
        <v>38</v>
      </c>
      <c r="E4398" s="19" t="s">
        <v>10459</v>
      </c>
      <c r="F4398" s="21" t="str">
        <f t="shared" si="618"/>
        <v>VERIFICAR</v>
      </c>
      <c r="G4398" s="21" t="str">
        <f t="shared" si="618"/>
        <v>VERIFICAR</v>
      </c>
      <c r="H4398" s="21" t="str">
        <f t="shared" si="618"/>
        <v>VERIFICAR</v>
      </c>
      <c r="I4398" s="24" t="str">
        <f t="shared" si="619"/>
        <v xml:space="preserve">SEM VALOR</v>
      </c>
      <c r="L4398" s="36"/>
      <c r="M4398" s="37"/>
      <c r="N4398" s="36"/>
    </row>
    <row r="4399" ht="25.5">
      <c r="A4399" s="19" t="s">
        <v>10460</v>
      </c>
      <c r="B4399" s="19">
        <v>21006</v>
      </c>
      <c r="C4399" s="20" t="s">
        <v>14867</v>
      </c>
      <c r="D4399" s="19" t="s">
        <v>38</v>
      </c>
      <c r="E4399" s="19" t="s">
        <v>10459</v>
      </c>
      <c r="F4399" s="21" t="str">
        <f t="shared" si="618"/>
        <v>VERIFICAR</v>
      </c>
      <c r="G4399" s="21" t="str">
        <f t="shared" si="618"/>
        <v>VERIFICAR</v>
      </c>
      <c r="H4399" s="21" t="str">
        <f t="shared" si="618"/>
        <v>VERIFICAR</v>
      </c>
      <c r="I4399" s="24" t="str">
        <f t="shared" si="619"/>
        <v xml:space="preserve">SEM VALOR</v>
      </c>
      <c r="L4399" s="36"/>
      <c r="M4399" s="37"/>
      <c r="N4399" s="36"/>
    </row>
    <row r="4400" ht="25.5">
      <c r="A4400" s="19" t="s">
        <v>10460</v>
      </c>
      <c r="B4400" s="19">
        <v>21019</v>
      </c>
      <c r="C4400" s="20" t="s">
        <v>14868</v>
      </c>
      <c r="D4400" s="19" t="s">
        <v>38</v>
      </c>
      <c r="E4400" s="19" t="s">
        <v>10459</v>
      </c>
      <c r="F4400" s="21" t="str">
        <f t="shared" si="618"/>
        <v>VERIFICAR</v>
      </c>
      <c r="G4400" s="21" t="str">
        <f t="shared" si="618"/>
        <v>VERIFICAR</v>
      </c>
      <c r="H4400" s="21" t="str">
        <f t="shared" si="618"/>
        <v>VERIFICAR</v>
      </c>
      <c r="I4400" s="24" t="str">
        <f t="shared" si="619"/>
        <v xml:space="preserve">SEM VALOR</v>
      </c>
      <c r="L4400" s="36"/>
      <c r="M4400" s="37"/>
      <c r="N4400" s="36"/>
    </row>
    <row r="4401" ht="25.5">
      <c r="A4401" s="19" t="s">
        <v>10460</v>
      </c>
      <c r="B4401" s="19">
        <v>21021</v>
      </c>
      <c r="C4401" s="20" t="s">
        <v>14869</v>
      </c>
      <c r="D4401" s="19" t="s">
        <v>38</v>
      </c>
      <c r="E4401" s="19" t="s">
        <v>10459</v>
      </c>
      <c r="F4401" s="21" t="str">
        <f t="shared" si="618"/>
        <v>VERIFICAR</v>
      </c>
      <c r="G4401" s="21" t="str">
        <f t="shared" si="618"/>
        <v>VERIFICAR</v>
      </c>
      <c r="H4401" s="21" t="str">
        <f t="shared" si="618"/>
        <v>VERIFICAR</v>
      </c>
      <c r="I4401" s="24" t="str">
        <f t="shared" si="619"/>
        <v xml:space="preserve">SEM VALOR</v>
      </c>
      <c r="L4401" s="36"/>
      <c r="M4401" s="37"/>
      <c r="N4401" s="36"/>
    </row>
    <row r="4402" ht="25.5">
      <c r="A4402" s="19" t="s">
        <v>10460</v>
      </c>
      <c r="B4402" s="19">
        <v>21024</v>
      </c>
      <c r="C4402" s="20" t="s">
        <v>14870</v>
      </c>
      <c r="D4402" s="19" t="s">
        <v>38</v>
      </c>
      <c r="E4402" s="19" t="s">
        <v>10459</v>
      </c>
      <c r="F4402" s="21" t="str">
        <f t="shared" si="618"/>
        <v>VERIFICAR</v>
      </c>
      <c r="G4402" s="21" t="str">
        <f t="shared" si="618"/>
        <v>VERIFICAR</v>
      </c>
      <c r="H4402" s="21" t="str">
        <f t="shared" si="618"/>
        <v>VERIFICAR</v>
      </c>
      <c r="I4402" s="24" t="str">
        <f t="shared" si="619"/>
        <v xml:space="preserve">SEM VALOR</v>
      </c>
      <c r="L4402" s="36"/>
      <c r="M4402" s="37"/>
      <c r="N4402" s="36"/>
    </row>
    <row r="4403" ht="25.5">
      <c r="A4403" s="19" t="s">
        <v>10460</v>
      </c>
      <c r="B4403" s="19">
        <v>40624</v>
      </c>
      <c r="C4403" s="20" t="s">
        <v>14871</v>
      </c>
      <c r="D4403" s="19" t="s">
        <v>38</v>
      </c>
      <c r="E4403" s="19" t="s">
        <v>10459</v>
      </c>
      <c r="F4403" s="21" t="str">
        <f t="shared" si="618"/>
        <v>VERIFICAR</v>
      </c>
      <c r="G4403" s="21" t="str">
        <f t="shared" si="618"/>
        <v>VERIFICAR</v>
      </c>
      <c r="H4403" s="21" t="str">
        <f t="shared" si="618"/>
        <v>VERIFICAR</v>
      </c>
      <c r="I4403" s="24" t="str">
        <f t="shared" si="619"/>
        <v xml:space="preserve">SEM VALOR</v>
      </c>
      <c r="L4403" s="36"/>
      <c r="M4403" s="37"/>
      <c r="N4403" s="36"/>
    </row>
    <row r="4404" ht="25.5">
      <c r="A4404" s="19" t="s">
        <v>10460</v>
      </c>
      <c r="B4404" s="19">
        <v>42575</v>
      </c>
      <c r="C4404" s="20" t="s">
        <v>14872</v>
      </c>
      <c r="D4404" s="19" t="s">
        <v>38</v>
      </c>
      <c r="E4404" s="19" t="s">
        <v>10459</v>
      </c>
      <c r="F4404" s="21" t="str">
        <f t="shared" si="618"/>
        <v>VERIFICAR</v>
      </c>
      <c r="G4404" s="21" t="str">
        <f t="shared" si="618"/>
        <v>VERIFICAR</v>
      </c>
      <c r="H4404" s="21" t="str">
        <f t="shared" si="618"/>
        <v>VERIFICAR</v>
      </c>
      <c r="I4404" s="24" t="str">
        <f t="shared" si="619"/>
        <v xml:space="preserve">SEM VALOR</v>
      </c>
      <c r="L4404" s="36"/>
      <c r="M4404" s="37"/>
      <c r="N4404" s="36"/>
    </row>
    <row r="4405" ht="25.5">
      <c r="A4405" s="19" t="s">
        <v>10460</v>
      </c>
      <c r="B4405" s="19">
        <v>42574</v>
      </c>
      <c r="C4405" s="20" t="s">
        <v>14873</v>
      </c>
      <c r="D4405" s="19" t="s">
        <v>38</v>
      </c>
      <c r="E4405" s="19" t="s">
        <v>10459</v>
      </c>
      <c r="F4405" s="21" t="str">
        <f t="shared" si="618"/>
        <v>VERIFICAR</v>
      </c>
      <c r="G4405" s="21" t="str">
        <f t="shared" si="618"/>
        <v>VERIFICAR</v>
      </c>
      <c r="H4405" s="21" t="str">
        <f t="shared" si="618"/>
        <v>VERIFICAR</v>
      </c>
      <c r="I4405" s="24" t="str">
        <f t="shared" si="619"/>
        <v xml:space="preserve">SEM VALOR</v>
      </c>
      <c r="L4405" s="36"/>
      <c r="M4405" s="37"/>
      <c r="N4405" s="36"/>
    </row>
    <row r="4406" ht="25.5">
      <c r="A4406" s="19" t="s">
        <v>10460</v>
      </c>
      <c r="B4406" s="19">
        <v>13127</v>
      </c>
      <c r="C4406" s="20" t="s">
        <v>14874</v>
      </c>
      <c r="D4406" s="19" t="s">
        <v>38</v>
      </c>
      <c r="E4406" s="19" t="s">
        <v>10459</v>
      </c>
      <c r="F4406" s="21" t="str">
        <f t="shared" si="618"/>
        <v>VERIFICAR</v>
      </c>
      <c r="G4406" s="21" t="str">
        <f t="shared" si="618"/>
        <v>VERIFICAR</v>
      </c>
      <c r="H4406" s="21" t="str">
        <f t="shared" si="618"/>
        <v>VERIFICAR</v>
      </c>
      <c r="I4406" s="24" t="str">
        <f t="shared" si="619"/>
        <v xml:space="preserve">SEM VALOR</v>
      </c>
      <c r="L4406" s="36"/>
      <c r="M4406" s="37"/>
      <c r="N4406" s="36"/>
    </row>
    <row r="4407" ht="25.5">
      <c r="A4407" s="19" t="s">
        <v>10460</v>
      </c>
      <c r="B4407" s="19">
        <v>13137</v>
      </c>
      <c r="C4407" s="20" t="s">
        <v>14875</v>
      </c>
      <c r="D4407" s="19" t="s">
        <v>38</v>
      </c>
      <c r="E4407" s="19" t="s">
        <v>10459</v>
      </c>
      <c r="F4407" s="21" t="str">
        <f t="shared" si="618"/>
        <v>VERIFICAR</v>
      </c>
      <c r="G4407" s="21" t="str">
        <f t="shared" si="618"/>
        <v>VERIFICAR</v>
      </c>
      <c r="H4407" s="21" t="str">
        <f t="shared" si="618"/>
        <v>VERIFICAR</v>
      </c>
      <c r="I4407" s="24" t="str">
        <f t="shared" si="619"/>
        <v xml:space="preserve">SEM VALOR</v>
      </c>
      <c r="L4407" s="36"/>
      <c r="M4407" s="37"/>
      <c r="N4407" s="36"/>
    </row>
    <row r="4408" ht="25.5">
      <c r="A4408" s="19" t="s">
        <v>10460</v>
      </c>
      <c r="B4408" s="19">
        <v>20989</v>
      </c>
      <c r="C4408" s="20" t="s">
        <v>14876</v>
      </c>
      <c r="D4408" s="19" t="s">
        <v>38</v>
      </c>
      <c r="E4408" s="19" t="s">
        <v>10459</v>
      </c>
      <c r="F4408" s="21" t="str">
        <f t="shared" si="618"/>
        <v>VERIFICAR</v>
      </c>
      <c r="G4408" s="21" t="str">
        <f t="shared" si="618"/>
        <v>VERIFICAR</v>
      </c>
      <c r="H4408" s="21" t="str">
        <f t="shared" si="618"/>
        <v>VERIFICAR</v>
      </c>
      <c r="I4408" s="24" t="str">
        <f t="shared" si="619"/>
        <v xml:space="preserve">SEM VALOR</v>
      </c>
      <c r="J4408" s="38"/>
      <c r="L4408" s="36"/>
      <c r="M4408" s="37"/>
      <c r="N4408" s="36"/>
    </row>
    <row r="4409" ht="25.5">
      <c r="A4409" s="19" t="s">
        <v>10460</v>
      </c>
      <c r="B4409" s="19">
        <v>21147</v>
      </c>
      <c r="C4409" s="20" t="s">
        <v>14877</v>
      </c>
      <c r="D4409" s="19" t="s">
        <v>38</v>
      </c>
      <c r="E4409" s="19" t="s">
        <v>10459</v>
      </c>
      <c r="F4409" s="21" t="str">
        <f t="shared" si="618"/>
        <v>VERIFICAR</v>
      </c>
      <c r="G4409" s="21" t="str">
        <f t="shared" si="618"/>
        <v>VERIFICAR</v>
      </c>
      <c r="H4409" s="21" t="str">
        <f t="shared" si="618"/>
        <v>VERIFICAR</v>
      </c>
      <c r="I4409" s="24" t="str">
        <f t="shared" si="619"/>
        <v xml:space="preserve">SEM VALOR</v>
      </c>
      <c r="L4409" s="36"/>
      <c r="M4409" s="37"/>
      <c r="N4409" s="36"/>
    </row>
    <row r="4410" ht="25.5">
      <c r="A4410" s="19" t="s">
        <v>10460</v>
      </c>
      <c r="B4410" s="19">
        <v>21148</v>
      </c>
      <c r="C4410" s="20" t="s">
        <v>14878</v>
      </c>
      <c r="D4410" s="19" t="s">
        <v>38</v>
      </c>
      <c r="E4410" s="19" t="s">
        <v>10466</v>
      </c>
      <c r="F4410" s="21" t="str">
        <f t="shared" si="618"/>
        <v>VERIFICAR</v>
      </c>
      <c r="G4410" s="21" t="str">
        <f t="shared" si="618"/>
        <v>VERIFICAR</v>
      </c>
      <c r="H4410" s="21" t="str">
        <f t="shared" si="618"/>
        <v>VERIFICAR</v>
      </c>
      <c r="I4410" s="24" t="str">
        <f t="shared" si="619"/>
        <v xml:space="preserve">SEM VALOR</v>
      </c>
      <c r="L4410" s="36"/>
      <c r="M4410" s="37"/>
      <c r="N4410" s="36"/>
    </row>
    <row r="4411" ht="25.5">
      <c r="A4411" s="19" t="s">
        <v>10460</v>
      </c>
      <c r="B4411" s="19">
        <v>20984</v>
      </c>
      <c r="C4411" s="20" t="s">
        <v>14879</v>
      </c>
      <c r="D4411" s="19" t="s">
        <v>38</v>
      </c>
      <c r="E4411" s="19" t="s">
        <v>10459</v>
      </c>
      <c r="F4411" s="21" t="str">
        <f t="shared" si="618"/>
        <v>VERIFICAR</v>
      </c>
      <c r="G4411" s="21" t="str">
        <f t="shared" si="618"/>
        <v>VERIFICAR</v>
      </c>
      <c r="H4411" s="21" t="str">
        <f t="shared" si="618"/>
        <v>VERIFICAR</v>
      </c>
      <c r="I4411" s="24" t="str">
        <f t="shared" si="619"/>
        <v xml:space="preserve">SEM VALOR</v>
      </c>
      <c r="L4411" s="36"/>
      <c r="M4411" s="37"/>
      <c r="N4411" s="36"/>
    </row>
    <row r="4412" ht="25.5">
      <c r="A4412" s="19" t="s">
        <v>10460</v>
      </c>
      <c r="B4412" s="19">
        <v>13042</v>
      </c>
      <c r="C4412" s="20" t="s">
        <v>14880</v>
      </c>
      <c r="D4412" s="19" t="s">
        <v>38</v>
      </c>
      <c r="E4412" s="19" t="s">
        <v>10459</v>
      </c>
      <c r="F4412" s="21" t="str">
        <f t="shared" si="618"/>
        <v>VERIFICAR</v>
      </c>
      <c r="G4412" s="21" t="str">
        <f t="shared" si="618"/>
        <v>VERIFICAR</v>
      </c>
      <c r="H4412" s="21" t="str">
        <f t="shared" si="618"/>
        <v>VERIFICAR</v>
      </c>
      <c r="I4412" s="24" t="str">
        <f t="shared" si="619"/>
        <v xml:space="preserve">SEM VALOR</v>
      </c>
      <c r="L4412" s="36"/>
      <c r="M4412" s="37"/>
      <c r="N4412" s="36"/>
    </row>
    <row r="4413" ht="25.5">
      <c r="A4413" s="19" t="s">
        <v>10460</v>
      </c>
      <c r="B4413" s="19">
        <v>42576</v>
      </c>
      <c r="C4413" s="20" t="s">
        <v>14881</v>
      </c>
      <c r="D4413" s="19" t="s">
        <v>38</v>
      </c>
      <c r="E4413" s="19" t="s">
        <v>10459</v>
      </c>
      <c r="F4413" s="21" t="str">
        <f t="shared" si="618"/>
        <v>VERIFICAR</v>
      </c>
      <c r="G4413" s="21" t="str">
        <f t="shared" si="618"/>
        <v>VERIFICAR</v>
      </c>
      <c r="H4413" s="21" t="str">
        <f t="shared" si="618"/>
        <v>VERIFICAR</v>
      </c>
      <c r="I4413" s="24" t="str">
        <f t="shared" si="619"/>
        <v xml:space="preserve">SEM VALOR</v>
      </c>
      <c r="L4413" s="36"/>
      <c r="M4413" s="37"/>
      <c r="N4413" s="36"/>
    </row>
    <row r="4414" ht="25.5">
      <c r="A4414" s="19" t="s">
        <v>10460</v>
      </c>
      <c r="B4414" s="19">
        <v>21150</v>
      </c>
      <c r="C4414" s="20" t="s">
        <v>14882</v>
      </c>
      <c r="D4414" s="19" t="s">
        <v>38</v>
      </c>
      <c r="E4414" s="19" t="s">
        <v>10459</v>
      </c>
      <c r="F4414" s="21" t="str">
        <f t="shared" si="618"/>
        <v>VERIFICAR</v>
      </c>
      <c r="G4414" s="21" t="str">
        <f t="shared" si="618"/>
        <v>VERIFICAR</v>
      </c>
      <c r="H4414" s="21" t="str">
        <f t="shared" si="618"/>
        <v>VERIFICAR</v>
      </c>
      <c r="I4414" s="24" t="str">
        <f t="shared" si="619"/>
        <v xml:space="preserve">SEM VALOR</v>
      </c>
      <c r="L4414" s="36"/>
      <c r="M4414" s="37"/>
      <c r="N4414" s="36"/>
    </row>
    <row r="4415" ht="25.5">
      <c r="A4415" s="19" t="s">
        <v>10460</v>
      </c>
      <c r="B4415" s="19">
        <v>13141</v>
      </c>
      <c r="C4415" s="20" t="s">
        <v>14883</v>
      </c>
      <c r="D4415" s="19" t="s">
        <v>38</v>
      </c>
      <c r="E4415" s="19" t="s">
        <v>10459</v>
      </c>
      <c r="F4415" s="21" t="str">
        <f t="shared" si="618"/>
        <v>VERIFICAR</v>
      </c>
      <c r="G4415" s="21" t="str">
        <f t="shared" si="618"/>
        <v>VERIFICAR</v>
      </c>
      <c r="H4415" s="21" t="str">
        <f t="shared" si="618"/>
        <v>VERIFICAR</v>
      </c>
      <c r="I4415" s="24" t="str">
        <f t="shared" si="619"/>
        <v xml:space="preserve">SEM VALOR</v>
      </c>
      <c r="L4415" s="36"/>
      <c r="M4415" s="37"/>
      <c r="N4415" s="36"/>
    </row>
    <row r="4416" ht="25.5">
      <c r="A4416" s="19" t="s">
        <v>10460</v>
      </c>
      <c r="B4416" s="19">
        <v>21151</v>
      </c>
      <c r="C4416" s="20" t="s">
        <v>14884</v>
      </c>
      <c r="D4416" s="19" t="s">
        <v>38</v>
      </c>
      <c r="E4416" s="19" t="s">
        <v>10459</v>
      </c>
      <c r="F4416" s="21" t="str">
        <f t="shared" si="618"/>
        <v>VERIFICAR</v>
      </c>
      <c r="G4416" s="21" t="str">
        <f t="shared" si="618"/>
        <v>VERIFICAR</v>
      </c>
      <c r="H4416" s="21" t="str">
        <f t="shared" si="618"/>
        <v>VERIFICAR</v>
      </c>
      <c r="I4416" s="24" t="str">
        <f t="shared" si="619"/>
        <v xml:space="preserve">SEM VALOR</v>
      </c>
      <c r="L4416" s="36"/>
      <c r="M4416" s="37"/>
      <c r="N4416" s="36"/>
    </row>
    <row r="4417" ht="25.5">
      <c r="A4417" s="19" t="s">
        <v>10460</v>
      </c>
      <c r="B4417" s="19">
        <v>13142</v>
      </c>
      <c r="C4417" s="20" t="s">
        <v>14885</v>
      </c>
      <c r="D4417" s="19" t="s">
        <v>38</v>
      </c>
      <c r="E4417" s="19" t="s">
        <v>10459</v>
      </c>
      <c r="F4417" s="21" t="str">
        <f t="shared" si="618"/>
        <v>VERIFICAR</v>
      </c>
      <c r="G4417" s="21" t="str">
        <f t="shared" si="618"/>
        <v>VERIFICAR</v>
      </c>
      <c r="H4417" s="21" t="str">
        <f t="shared" si="618"/>
        <v>VERIFICAR</v>
      </c>
      <c r="I4417" s="24" t="str">
        <f t="shared" si="619"/>
        <v xml:space="preserve">SEM VALOR</v>
      </c>
      <c r="L4417" s="36"/>
      <c r="M4417" s="37"/>
      <c r="N4417" s="36"/>
    </row>
    <row r="4418" ht="25.5">
      <c r="A4418" s="19" t="s">
        <v>10460</v>
      </c>
      <c r="B4418" s="19">
        <v>42577</v>
      </c>
      <c r="C4418" s="20" t="s">
        <v>14886</v>
      </c>
      <c r="D4418" s="19" t="s">
        <v>38</v>
      </c>
      <c r="E4418" s="19" t="s">
        <v>10459</v>
      </c>
      <c r="F4418" s="21" t="str">
        <f t="shared" si="618"/>
        <v>VERIFICAR</v>
      </c>
      <c r="G4418" s="21" t="str">
        <f t="shared" si="618"/>
        <v>VERIFICAR</v>
      </c>
      <c r="H4418" s="21" t="str">
        <f t="shared" si="618"/>
        <v>VERIFICAR</v>
      </c>
      <c r="I4418" s="24" t="str">
        <f t="shared" si="619"/>
        <v xml:space="preserve">SEM VALOR</v>
      </c>
      <c r="L4418" s="36"/>
      <c r="M4418" s="37"/>
      <c r="N4418" s="36"/>
    </row>
    <row r="4419" ht="25.5">
      <c r="A4419" s="19" t="s">
        <v>10460</v>
      </c>
      <c r="B4419" s="19">
        <v>20994</v>
      </c>
      <c r="C4419" s="20" t="s">
        <v>14887</v>
      </c>
      <c r="D4419" s="19" t="s">
        <v>38</v>
      </c>
      <c r="E4419" s="19" t="s">
        <v>10459</v>
      </c>
      <c r="F4419" s="21" t="str">
        <f t="shared" si="618"/>
        <v>VERIFICAR</v>
      </c>
      <c r="G4419" s="21" t="str">
        <f t="shared" si="618"/>
        <v>VERIFICAR</v>
      </c>
      <c r="H4419" s="21" t="str">
        <f t="shared" si="618"/>
        <v>VERIFICAR</v>
      </c>
      <c r="I4419" s="24" t="str">
        <f t="shared" si="619"/>
        <v xml:space="preserve">SEM VALOR</v>
      </c>
      <c r="L4419" s="36"/>
      <c r="M4419" s="37"/>
      <c r="N4419" s="36"/>
    </row>
    <row r="4420" ht="25.5">
      <c r="A4420" s="19" t="s">
        <v>10460</v>
      </c>
      <c r="B4420" s="19">
        <v>7672</v>
      </c>
      <c r="C4420" s="20" t="s">
        <v>14888</v>
      </c>
      <c r="D4420" s="19" t="s">
        <v>38</v>
      </c>
      <c r="E4420" s="19" t="s">
        <v>10459</v>
      </c>
      <c r="F4420" s="21" t="str">
        <f t="shared" si="618"/>
        <v>VERIFICAR</v>
      </c>
      <c r="G4420" s="21" t="str">
        <f t="shared" si="618"/>
        <v>VERIFICAR</v>
      </c>
      <c r="H4420" s="21" t="str">
        <f t="shared" si="618"/>
        <v>VERIFICAR</v>
      </c>
      <c r="I4420" s="24" t="str">
        <f t="shared" si="619"/>
        <v xml:space="preserve">SEM VALOR</v>
      </c>
      <c r="L4420" s="36"/>
      <c r="M4420" s="37"/>
      <c r="N4420" s="36"/>
    </row>
    <row r="4421" ht="25.5">
      <c r="A4421" s="19" t="s">
        <v>10460</v>
      </c>
      <c r="B4421" s="19">
        <v>20995</v>
      </c>
      <c r="C4421" s="20" t="s">
        <v>14889</v>
      </c>
      <c r="D4421" s="19" t="s">
        <v>38</v>
      </c>
      <c r="E4421" s="19" t="s">
        <v>10459</v>
      </c>
      <c r="F4421" s="21" t="str">
        <f t="shared" si="618"/>
        <v>VERIFICAR</v>
      </c>
      <c r="G4421" s="21" t="str">
        <f t="shared" si="618"/>
        <v>VERIFICAR</v>
      </c>
      <c r="H4421" s="21" t="str">
        <f t="shared" si="618"/>
        <v>VERIFICAR</v>
      </c>
      <c r="I4421" s="24" t="str">
        <f t="shared" si="619"/>
        <v xml:space="preserve">SEM VALOR</v>
      </c>
      <c r="L4421" s="36"/>
      <c r="M4421" s="37"/>
      <c r="N4421" s="36"/>
    </row>
    <row r="4422" ht="25.5">
      <c r="A4422" s="19" t="s">
        <v>10460</v>
      </c>
      <c r="B4422" s="19">
        <v>7690</v>
      </c>
      <c r="C4422" s="20" t="s">
        <v>14890</v>
      </c>
      <c r="D4422" s="19" t="s">
        <v>38</v>
      </c>
      <c r="E4422" s="19" t="s">
        <v>10459</v>
      </c>
      <c r="F4422" s="21" t="str">
        <f t="shared" si="618"/>
        <v>VERIFICAR</v>
      </c>
      <c r="G4422" s="21" t="str">
        <f t="shared" si="618"/>
        <v>VERIFICAR</v>
      </c>
      <c r="H4422" s="21" t="str">
        <f t="shared" si="618"/>
        <v>VERIFICAR</v>
      </c>
      <c r="I4422" s="24" t="str">
        <f t="shared" si="619"/>
        <v xml:space="preserve">SEM VALOR</v>
      </c>
      <c r="L4422" s="36"/>
      <c r="M4422" s="37"/>
      <c r="N4422" s="36"/>
    </row>
    <row r="4423" ht="25.5">
      <c r="A4423" s="19" t="s">
        <v>10460</v>
      </c>
      <c r="B4423" s="19">
        <v>20980</v>
      </c>
      <c r="C4423" s="20" t="s">
        <v>14891</v>
      </c>
      <c r="D4423" s="19" t="s">
        <v>38</v>
      </c>
      <c r="E4423" s="19" t="s">
        <v>10459</v>
      </c>
      <c r="F4423" s="21" t="str">
        <f t="shared" si="618"/>
        <v>VERIFICAR</v>
      </c>
      <c r="G4423" s="21" t="str">
        <f t="shared" si="618"/>
        <v>VERIFICAR</v>
      </c>
      <c r="H4423" s="21" t="str">
        <f t="shared" si="618"/>
        <v>VERIFICAR</v>
      </c>
      <c r="I4423" s="24" t="str">
        <f t="shared" si="619"/>
        <v xml:space="preserve">SEM VALOR</v>
      </c>
      <c r="L4423" s="36"/>
      <c r="M4423" s="37"/>
      <c r="N4423" s="36"/>
    </row>
    <row r="4424" ht="25.5">
      <c r="A4424" s="19" t="s">
        <v>10460</v>
      </c>
      <c r="B4424" s="19">
        <v>7661</v>
      </c>
      <c r="C4424" s="20" t="s">
        <v>14892</v>
      </c>
      <c r="D4424" s="19" t="s">
        <v>38</v>
      </c>
      <c r="E4424" s="19" t="s">
        <v>10459</v>
      </c>
      <c r="F4424" s="21" t="str">
        <f t="shared" si="618"/>
        <v>VERIFICAR</v>
      </c>
      <c r="G4424" s="21" t="str">
        <f t="shared" si="618"/>
        <v>VERIFICAR</v>
      </c>
      <c r="H4424" s="21" t="str">
        <f t="shared" si="618"/>
        <v>VERIFICAR</v>
      </c>
      <c r="I4424" s="24" t="str">
        <f t="shared" si="619"/>
        <v xml:space="preserve">SEM VALOR</v>
      </c>
      <c r="L4424" s="36"/>
      <c r="M4424" s="37"/>
      <c r="N4424" s="36"/>
    </row>
    <row r="4425" ht="25.5">
      <c r="A4425" s="19" t="s">
        <v>10460</v>
      </c>
      <c r="B4425" s="19">
        <v>21016</v>
      </c>
      <c r="C4425" s="20" t="s">
        <v>14893</v>
      </c>
      <c r="D4425" s="19" t="s">
        <v>38</v>
      </c>
      <c r="E4425" s="19" t="s">
        <v>10459</v>
      </c>
      <c r="F4425" s="21" t="str">
        <f t="shared" si="618"/>
        <v>VERIFICAR</v>
      </c>
      <c r="G4425" s="21" t="str">
        <f t="shared" si="618"/>
        <v>VERIFICAR</v>
      </c>
      <c r="H4425" s="21" t="str">
        <f t="shared" si="618"/>
        <v>VERIFICAR</v>
      </c>
      <c r="I4425" s="24" t="str">
        <f t="shared" si="619"/>
        <v xml:space="preserve">SEM VALOR</v>
      </c>
      <c r="L4425" s="36"/>
      <c r="M4425" s="37"/>
      <c r="N4425" s="36"/>
    </row>
    <row r="4426" ht="25.5">
      <c r="A4426" s="19" t="s">
        <v>10460</v>
      </c>
      <c r="B4426" s="19">
        <v>21008</v>
      </c>
      <c r="C4426" s="20" t="s">
        <v>14894</v>
      </c>
      <c r="D4426" s="19" t="s">
        <v>38</v>
      </c>
      <c r="E4426" s="19" t="s">
        <v>10459</v>
      </c>
      <c r="F4426" s="21" t="str">
        <f t="shared" si="618"/>
        <v>VERIFICAR</v>
      </c>
      <c r="G4426" s="21" t="str">
        <f t="shared" si="618"/>
        <v>VERIFICAR</v>
      </c>
      <c r="H4426" s="21" t="str">
        <f t="shared" si="618"/>
        <v>VERIFICAR</v>
      </c>
      <c r="I4426" s="24" t="str">
        <f t="shared" si="619"/>
        <v xml:space="preserve">SEM VALOR</v>
      </c>
      <c r="L4426" s="36"/>
      <c r="M4426" s="37"/>
      <c r="N4426" s="36"/>
    </row>
    <row r="4427" ht="25.5">
      <c r="A4427" s="19" t="s">
        <v>10460</v>
      </c>
      <c r="B4427" s="19">
        <v>21009</v>
      </c>
      <c r="C4427" s="20" t="s">
        <v>14895</v>
      </c>
      <c r="D4427" s="19" t="s">
        <v>38</v>
      </c>
      <c r="E4427" s="19" t="s">
        <v>10459</v>
      </c>
      <c r="F4427" s="21">
        <f t="shared" ref="F4427:H4490" si="620">IF(L4427=0,"VERIFICAR",L4427)</f>
        <v>23.710000000000001</v>
      </c>
      <c r="G4427" s="21">
        <f t="shared" si="620"/>
        <v>23.710000000000001</v>
      </c>
      <c r="H4427" s="21">
        <f t="shared" si="620"/>
        <v>23.710000000000001</v>
      </c>
      <c r="I4427" s="24" t="str">
        <f t="shared" ref="I4427:I4490" si="621">IF(OR(L4427=0,M4427=0,N4427=0),"SEM VALOR","COM VALOR")</f>
        <v xml:space="preserve">COM VALOR</v>
      </c>
      <c r="J4427" s="38" t="s">
        <v>10710</v>
      </c>
      <c r="L4427" s="36">
        <v>23.710000000000001</v>
      </c>
      <c r="M4427" s="37">
        <v>23.710000000000001</v>
      </c>
      <c r="N4427" s="36">
        <v>23.710000000000001</v>
      </c>
    </row>
    <row r="4428" ht="25.5">
      <c r="A4428" s="19" t="s">
        <v>10460</v>
      </c>
      <c r="B4428" s="19">
        <v>21010</v>
      </c>
      <c r="C4428" s="20" t="s">
        <v>14896</v>
      </c>
      <c r="D4428" s="19" t="s">
        <v>38</v>
      </c>
      <c r="E4428" s="19" t="s">
        <v>10466</v>
      </c>
      <c r="F4428" s="21">
        <f t="shared" si="620"/>
        <v>31.84</v>
      </c>
      <c r="G4428" s="21">
        <f t="shared" si="620"/>
        <v>31.84</v>
      </c>
      <c r="H4428" s="21">
        <f t="shared" si="620"/>
        <v>31.84</v>
      </c>
      <c r="I4428" s="24" t="str">
        <f t="shared" si="621"/>
        <v xml:space="preserve">COM VALOR</v>
      </c>
      <c r="J4428" s="38" t="s">
        <v>10710</v>
      </c>
      <c r="L4428" s="36">
        <v>31.84</v>
      </c>
      <c r="M4428" s="37">
        <v>31.84</v>
      </c>
      <c r="N4428" s="36">
        <v>31.84</v>
      </c>
    </row>
    <row r="4429" ht="25.5">
      <c r="A4429" s="19" t="s">
        <v>10460</v>
      </c>
      <c r="B4429" s="19">
        <v>21011</v>
      </c>
      <c r="C4429" s="20" t="s">
        <v>14897</v>
      </c>
      <c r="D4429" s="19" t="s">
        <v>38</v>
      </c>
      <c r="E4429" s="19" t="s">
        <v>10459</v>
      </c>
      <c r="F4429" s="21" t="str">
        <f t="shared" si="620"/>
        <v>VERIFICAR</v>
      </c>
      <c r="G4429" s="21" t="str">
        <f t="shared" si="620"/>
        <v>VERIFICAR</v>
      </c>
      <c r="H4429" s="21" t="str">
        <f t="shared" si="620"/>
        <v>VERIFICAR</v>
      </c>
      <c r="I4429" s="24" t="str">
        <f t="shared" si="621"/>
        <v xml:space="preserve">SEM VALOR</v>
      </c>
      <c r="L4429" s="36"/>
      <c r="M4429" s="37"/>
      <c r="N4429" s="36"/>
    </row>
    <row r="4430" ht="25.5">
      <c r="A4430" s="19" t="s">
        <v>10460</v>
      </c>
      <c r="B4430" s="19">
        <v>21012</v>
      </c>
      <c r="C4430" s="20" t="s">
        <v>14898</v>
      </c>
      <c r="D4430" s="19" t="s">
        <v>38</v>
      </c>
      <c r="E4430" s="19" t="s">
        <v>10459</v>
      </c>
      <c r="F4430" s="21" t="str">
        <f t="shared" si="620"/>
        <v>VERIFICAR</v>
      </c>
      <c r="G4430" s="21" t="str">
        <f t="shared" si="620"/>
        <v>VERIFICAR</v>
      </c>
      <c r="H4430" s="21" t="str">
        <f t="shared" si="620"/>
        <v>VERIFICAR</v>
      </c>
      <c r="I4430" s="24" t="str">
        <f t="shared" si="621"/>
        <v xml:space="preserve">SEM VALOR</v>
      </c>
      <c r="L4430" s="36"/>
      <c r="M4430" s="37"/>
      <c r="N4430" s="36"/>
    </row>
    <row r="4431" ht="25.5">
      <c r="A4431" s="19" t="s">
        <v>10460</v>
      </c>
      <c r="B4431" s="19">
        <v>21013</v>
      </c>
      <c r="C4431" s="20" t="s">
        <v>14899</v>
      </c>
      <c r="D4431" s="19" t="s">
        <v>38</v>
      </c>
      <c r="E4431" s="19" t="s">
        <v>10459</v>
      </c>
      <c r="F4431" s="21">
        <f t="shared" si="620"/>
        <v>66.920000000000002</v>
      </c>
      <c r="G4431" s="21">
        <f t="shared" si="620"/>
        <v>66.920000000000002</v>
      </c>
      <c r="H4431" s="21">
        <f t="shared" si="620"/>
        <v>66.920000000000002</v>
      </c>
      <c r="I4431" s="24" t="str">
        <f t="shared" si="621"/>
        <v xml:space="preserve">COM VALOR</v>
      </c>
      <c r="J4431" s="38" t="s">
        <v>10710</v>
      </c>
      <c r="L4431" s="36">
        <v>66.920000000000002</v>
      </c>
      <c r="M4431" s="37">
        <v>66.920000000000002</v>
      </c>
      <c r="N4431" s="36">
        <v>66.920000000000002</v>
      </c>
    </row>
    <row r="4432" ht="25.5">
      <c r="A4432" s="19" t="s">
        <v>10460</v>
      </c>
      <c r="B4432" s="19">
        <v>21014</v>
      </c>
      <c r="C4432" s="20" t="s">
        <v>14900</v>
      </c>
      <c r="D4432" s="19" t="s">
        <v>38</v>
      </c>
      <c r="E4432" s="19" t="s">
        <v>10459</v>
      </c>
      <c r="F4432" s="21" t="str">
        <f t="shared" si="620"/>
        <v>VERIFICAR</v>
      </c>
      <c r="G4432" s="21" t="str">
        <f t="shared" si="620"/>
        <v>VERIFICAR</v>
      </c>
      <c r="H4432" s="21" t="str">
        <f t="shared" si="620"/>
        <v>VERIFICAR</v>
      </c>
      <c r="I4432" s="24" t="str">
        <f t="shared" si="621"/>
        <v xml:space="preserve">SEM VALOR</v>
      </c>
      <c r="L4432" s="36"/>
      <c r="M4432" s="37"/>
      <c r="N4432" s="36"/>
    </row>
    <row r="4433" ht="25.5">
      <c r="A4433" s="19" t="s">
        <v>10460</v>
      </c>
      <c r="B4433" s="19">
        <v>21015</v>
      </c>
      <c r="C4433" s="20" t="s">
        <v>14901</v>
      </c>
      <c r="D4433" s="19" t="s">
        <v>38</v>
      </c>
      <c r="E4433" s="19" t="s">
        <v>10459</v>
      </c>
      <c r="F4433" s="21" t="str">
        <f t="shared" si="620"/>
        <v>VERIFICAR</v>
      </c>
      <c r="G4433" s="21" t="str">
        <f t="shared" si="620"/>
        <v>VERIFICAR</v>
      </c>
      <c r="H4433" s="21" t="str">
        <f t="shared" si="620"/>
        <v>VERIFICAR</v>
      </c>
      <c r="I4433" s="24" t="str">
        <f t="shared" si="621"/>
        <v xml:space="preserve">SEM VALOR</v>
      </c>
      <c r="L4433" s="36"/>
      <c r="M4433" s="37"/>
      <c r="N4433" s="36"/>
    </row>
    <row r="4434" ht="25.5">
      <c r="A4434" s="19" t="s">
        <v>10460</v>
      </c>
      <c r="B4434" s="19">
        <v>40626</v>
      </c>
      <c r="C4434" s="20" t="s">
        <v>14902</v>
      </c>
      <c r="D4434" s="19" t="s">
        <v>38</v>
      </c>
      <c r="E4434" s="19" t="s">
        <v>10459</v>
      </c>
      <c r="F4434" s="21" t="str">
        <f t="shared" si="620"/>
        <v>VERIFICAR</v>
      </c>
      <c r="G4434" s="21" t="str">
        <f t="shared" si="620"/>
        <v>VERIFICAR</v>
      </c>
      <c r="H4434" s="21" t="str">
        <f t="shared" si="620"/>
        <v>VERIFICAR</v>
      </c>
      <c r="I4434" s="24" t="str">
        <f t="shared" si="621"/>
        <v xml:space="preserve">SEM VALOR</v>
      </c>
      <c r="L4434" s="36"/>
      <c r="M4434" s="37"/>
      <c r="N4434" s="36"/>
    </row>
    <row r="4435" ht="25.5">
      <c r="A4435" s="19" t="s">
        <v>10460</v>
      </c>
      <c r="B4435" s="19">
        <v>7697</v>
      </c>
      <c r="C4435" s="20" t="s">
        <v>14903</v>
      </c>
      <c r="D4435" s="19" t="s">
        <v>38</v>
      </c>
      <c r="E4435" s="19" t="s">
        <v>10459</v>
      </c>
      <c r="F4435" s="21" t="str">
        <f t="shared" si="620"/>
        <v>VERIFICAR</v>
      </c>
      <c r="G4435" s="21" t="str">
        <f t="shared" si="620"/>
        <v>VERIFICAR</v>
      </c>
      <c r="H4435" s="21" t="str">
        <f t="shared" si="620"/>
        <v>VERIFICAR</v>
      </c>
      <c r="I4435" s="24" t="str">
        <f t="shared" si="621"/>
        <v xml:space="preserve">SEM VALOR</v>
      </c>
      <c r="J4435" s="38"/>
      <c r="L4435" s="36"/>
      <c r="M4435" s="37"/>
      <c r="N4435" s="36"/>
    </row>
    <row r="4436" ht="25.5">
      <c r="A4436" s="19" t="s">
        <v>10460</v>
      </c>
      <c r="B4436" s="19">
        <v>7698</v>
      </c>
      <c r="C4436" s="20" t="s">
        <v>14904</v>
      </c>
      <c r="D4436" s="19" t="s">
        <v>38</v>
      </c>
      <c r="E4436" s="19" t="s">
        <v>10459</v>
      </c>
      <c r="F4436" s="21" t="str">
        <f t="shared" si="620"/>
        <v>VERIFICAR</v>
      </c>
      <c r="G4436" s="21" t="str">
        <f t="shared" si="620"/>
        <v>VERIFICAR</v>
      </c>
      <c r="H4436" s="21" t="str">
        <f t="shared" si="620"/>
        <v>VERIFICAR</v>
      </c>
      <c r="I4436" s="24" t="str">
        <f t="shared" si="621"/>
        <v xml:space="preserve">SEM VALOR</v>
      </c>
      <c r="L4436" s="36"/>
      <c r="M4436" s="37"/>
      <c r="N4436" s="36"/>
    </row>
    <row r="4437" ht="25.5">
      <c r="A4437" s="19" t="s">
        <v>10460</v>
      </c>
      <c r="B4437" s="19">
        <v>7691</v>
      </c>
      <c r="C4437" s="20" t="s">
        <v>14905</v>
      </c>
      <c r="D4437" s="19" t="s">
        <v>38</v>
      </c>
      <c r="E4437" s="19" t="s">
        <v>10459</v>
      </c>
      <c r="F4437" s="21" t="str">
        <f t="shared" si="620"/>
        <v>VERIFICAR</v>
      </c>
      <c r="G4437" s="21" t="str">
        <f t="shared" si="620"/>
        <v>VERIFICAR</v>
      </c>
      <c r="H4437" s="21" t="str">
        <f t="shared" si="620"/>
        <v>VERIFICAR</v>
      </c>
      <c r="I4437" s="24" t="str">
        <f t="shared" si="621"/>
        <v xml:space="preserve">SEM VALOR</v>
      </c>
      <c r="L4437" s="36"/>
      <c r="M4437" s="37"/>
      <c r="N4437" s="36"/>
    </row>
    <row r="4438" ht="25.5">
      <c r="A4438" s="19" t="s">
        <v>10460</v>
      </c>
      <c r="B4438" s="19">
        <v>7696</v>
      </c>
      <c r="C4438" s="20" t="s">
        <v>14906</v>
      </c>
      <c r="D4438" s="19" t="s">
        <v>38</v>
      </c>
      <c r="E4438" s="19" t="s">
        <v>10459</v>
      </c>
      <c r="F4438" s="21" t="str">
        <f t="shared" si="620"/>
        <v>VERIFICAR</v>
      </c>
      <c r="G4438" s="21" t="str">
        <f t="shared" si="620"/>
        <v>VERIFICAR</v>
      </c>
      <c r="H4438" s="21" t="str">
        <f t="shared" si="620"/>
        <v>VERIFICAR</v>
      </c>
      <c r="I4438" s="24" t="str">
        <f t="shared" si="621"/>
        <v xml:space="preserve">SEM VALOR</v>
      </c>
      <c r="L4438" s="36"/>
      <c r="M4438" s="37"/>
      <c r="N4438" s="36"/>
    </row>
    <row r="4439" ht="25.5">
      <c r="A4439" s="19" t="s">
        <v>10460</v>
      </c>
      <c r="B4439" s="19">
        <v>7701</v>
      </c>
      <c r="C4439" s="20" t="s">
        <v>14907</v>
      </c>
      <c r="D4439" s="19" t="s">
        <v>38</v>
      </c>
      <c r="E4439" s="19" t="s">
        <v>10459</v>
      </c>
      <c r="F4439" s="21" t="str">
        <f t="shared" si="620"/>
        <v>VERIFICAR</v>
      </c>
      <c r="G4439" s="21" t="str">
        <f t="shared" si="620"/>
        <v>VERIFICAR</v>
      </c>
      <c r="H4439" s="21" t="str">
        <f t="shared" si="620"/>
        <v>VERIFICAR</v>
      </c>
      <c r="I4439" s="24" t="str">
        <f t="shared" si="621"/>
        <v xml:space="preserve">SEM VALOR</v>
      </c>
      <c r="L4439" s="36"/>
      <c r="M4439" s="37"/>
      <c r="N4439" s="36"/>
    </row>
    <row r="4440" ht="25.5">
      <c r="A4440" s="19" t="s">
        <v>10460</v>
      </c>
      <c r="B4440" s="19">
        <v>7694</v>
      </c>
      <c r="C4440" s="20" t="s">
        <v>14908</v>
      </c>
      <c r="D4440" s="19" t="s">
        <v>38</v>
      </c>
      <c r="E4440" s="19" t="s">
        <v>10459</v>
      </c>
      <c r="F4440" s="21" t="str">
        <f t="shared" si="620"/>
        <v>VERIFICAR</v>
      </c>
      <c r="G4440" s="21" t="str">
        <f t="shared" si="620"/>
        <v>VERIFICAR</v>
      </c>
      <c r="H4440" s="21" t="str">
        <f t="shared" si="620"/>
        <v>VERIFICAR</v>
      </c>
      <c r="I4440" s="24" t="str">
        <f t="shared" si="621"/>
        <v xml:space="preserve">SEM VALOR</v>
      </c>
      <c r="L4440" s="36"/>
      <c r="M4440" s="37"/>
      <c r="N4440" s="36"/>
    </row>
    <row r="4441" ht="25.5">
      <c r="A4441" s="19" t="s">
        <v>10460</v>
      </c>
      <c r="B4441" s="19">
        <v>7700</v>
      </c>
      <c r="C4441" s="20" t="s">
        <v>14909</v>
      </c>
      <c r="D4441" s="19" t="s">
        <v>38</v>
      </c>
      <c r="E4441" s="19" t="s">
        <v>10459</v>
      </c>
      <c r="F4441" s="21" t="str">
        <f t="shared" si="620"/>
        <v>VERIFICAR</v>
      </c>
      <c r="G4441" s="21" t="str">
        <f t="shared" si="620"/>
        <v>VERIFICAR</v>
      </c>
      <c r="H4441" s="21" t="str">
        <f t="shared" si="620"/>
        <v>VERIFICAR</v>
      </c>
      <c r="I4441" s="24" t="str">
        <f t="shared" si="621"/>
        <v xml:space="preserve">SEM VALOR</v>
      </c>
      <c r="L4441" s="36"/>
      <c r="M4441" s="37"/>
      <c r="N4441" s="36"/>
    </row>
    <row r="4442" ht="25.5">
      <c r="A4442" s="19" t="s">
        <v>10460</v>
      </c>
      <c r="B4442" s="19">
        <v>7693</v>
      </c>
      <c r="C4442" s="20" t="s">
        <v>14910</v>
      </c>
      <c r="D4442" s="19" t="s">
        <v>38</v>
      </c>
      <c r="E4442" s="19" t="s">
        <v>10459</v>
      </c>
      <c r="F4442" s="21" t="str">
        <f t="shared" si="620"/>
        <v>VERIFICAR</v>
      </c>
      <c r="G4442" s="21" t="str">
        <f t="shared" si="620"/>
        <v>VERIFICAR</v>
      </c>
      <c r="H4442" s="21" t="str">
        <f t="shared" si="620"/>
        <v>VERIFICAR</v>
      </c>
      <c r="I4442" s="24" t="str">
        <f t="shared" si="621"/>
        <v xml:space="preserve">SEM VALOR</v>
      </c>
      <c r="L4442" s="36"/>
      <c r="M4442" s="37"/>
      <c r="N4442" s="36"/>
    </row>
    <row r="4443" ht="25.5">
      <c r="A4443" s="19" t="s">
        <v>10460</v>
      </c>
      <c r="B4443" s="19">
        <v>7692</v>
      </c>
      <c r="C4443" s="20" t="s">
        <v>14911</v>
      </c>
      <c r="D4443" s="19" t="s">
        <v>38</v>
      </c>
      <c r="E4443" s="19" t="s">
        <v>10459</v>
      </c>
      <c r="F4443" s="21" t="str">
        <f t="shared" si="620"/>
        <v>VERIFICAR</v>
      </c>
      <c r="G4443" s="21" t="str">
        <f t="shared" si="620"/>
        <v>VERIFICAR</v>
      </c>
      <c r="H4443" s="21" t="str">
        <f t="shared" si="620"/>
        <v>VERIFICAR</v>
      </c>
      <c r="I4443" s="24" t="str">
        <f t="shared" si="621"/>
        <v xml:space="preserve">SEM VALOR</v>
      </c>
      <c r="L4443" s="36"/>
      <c r="M4443" s="37"/>
      <c r="N4443" s="36"/>
    </row>
    <row r="4444" ht="25.5">
      <c r="A4444" s="19" t="s">
        <v>10460</v>
      </c>
      <c r="B4444" s="19">
        <v>7695</v>
      </c>
      <c r="C4444" s="20" t="s">
        <v>14912</v>
      </c>
      <c r="D4444" s="19" t="s">
        <v>38</v>
      </c>
      <c r="E4444" s="19" t="s">
        <v>10459</v>
      </c>
      <c r="F4444" s="21" t="str">
        <f t="shared" si="620"/>
        <v>VERIFICAR</v>
      </c>
      <c r="G4444" s="21" t="str">
        <f t="shared" si="620"/>
        <v>VERIFICAR</v>
      </c>
      <c r="H4444" s="21" t="str">
        <f t="shared" si="620"/>
        <v>VERIFICAR</v>
      </c>
      <c r="I4444" s="24" t="str">
        <f t="shared" si="621"/>
        <v xml:space="preserve">SEM VALOR</v>
      </c>
      <c r="L4444" s="36"/>
      <c r="M4444" s="37"/>
      <c r="N4444" s="36"/>
    </row>
    <row r="4445" ht="25.5">
      <c r="A4445" s="19" t="s">
        <v>10460</v>
      </c>
      <c r="B4445" s="19">
        <v>13356</v>
      </c>
      <c r="C4445" s="20" t="s">
        <v>14913</v>
      </c>
      <c r="D4445" s="19" t="s">
        <v>38</v>
      </c>
      <c r="E4445" s="19" t="s">
        <v>10459</v>
      </c>
      <c r="F4445" s="21" t="str">
        <f t="shared" si="620"/>
        <v>VERIFICAR</v>
      </c>
      <c r="G4445" s="21" t="str">
        <f t="shared" si="620"/>
        <v>VERIFICAR</v>
      </c>
      <c r="H4445" s="21" t="str">
        <f t="shared" si="620"/>
        <v>VERIFICAR</v>
      </c>
      <c r="I4445" s="24" t="str">
        <f t="shared" si="621"/>
        <v xml:space="preserve">SEM VALOR</v>
      </c>
      <c r="J4445" s="38"/>
      <c r="L4445" s="36"/>
      <c r="M4445" s="37"/>
      <c r="N4445" s="36"/>
    </row>
    <row r="4446" ht="12.75">
      <c r="A4446" s="19" t="s">
        <v>10460</v>
      </c>
      <c r="B4446" s="19">
        <v>36365</v>
      </c>
      <c r="C4446" s="20" t="s">
        <v>14914</v>
      </c>
      <c r="D4446" s="19" t="s">
        <v>38</v>
      </c>
      <c r="E4446" s="19" t="s">
        <v>10459</v>
      </c>
      <c r="F4446" s="21">
        <f t="shared" si="620"/>
        <v>45.109999999999999</v>
      </c>
      <c r="G4446" s="21">
        <f t="shared" si="620"/>
        <v>45.109999999999999</v>
      </c>
      <c r="H4446" s="21">
        <f t="shared" si="620"/>
        <v>45.109999999999999</v>
      </c>
      <c r="I4446" s="24" t="str">
        <f t="shared" si="621"/>
        <v xml:space="preserve">COM VALOR</v>
      </c>
      <c r="L4446" s="36">
        <v>45.109999999999999</v>
      </c>
      <c r="M4446" s="37">
        <v>45.109999999999999</v>
      </c>
      <c r="N4446" s="36">
        <v>45.109999999999999</v>
      </c>
    </row>
    <row r="4447" ht="12.75">
      <c r="A4447" s="19" t="s">
        <v>10460</v>
      </c>
      <c r="B4447" s="19">
        <v>41930</v>
      </c>
      <c r="C4447" s="20" t="s">
        <v>14915</v>
      </c>
      <c r="D4447" s="19" t="s">
        <v>38</v>
      </c>
      <c r="E4447" s="19" t="s">
        <v>10459</v>
      </c>
      <c r="F4447" s="21">
        <f t="shared" si="620"/>
        <v>150.25</v>
      </c>
      <c r="G4447" s="21">
        <f t="shared" si="620"/>
        <v>150.25</v>
      </c>
      <c r="H4447" s="21">
        <f t="shared" si="620"/>
        <v>150.25</v>
      </c>
      <c r="I4447" s="24" t="str">
        <f t="shared" si="621"/>
        <v xml:space="preserve">COM VALOR</v>
      </c>
      <c r="L4447" s="36">
        <v>150.25</v>
      </c>
      <c r="M4447" s="37">
        <v>150.25</v>
      </c>
      <c r="N4447" s="36">
        <v>150.25</v>
      </c>
    </row>
    <row r="4448" ht="12.75">
      <c r="A4448" s="19" t="s">
        <v>10460</v>
      </c>
      <c r="B4448" s="19">
        <v>41931</v>
      </c>
      <c r="C4448" s="20" t="s">
        <v>14916</v>
      </c>
      <c r="D4448" s="19" t="s">
        <v>38</v>
      </c>
      <c r="E4448" s="19" t="s">
        <v>10459</v>
      </c>
      <c r="F4448" s="21">
        <f t="shared" si="620"/>
        <v>235.33000000000001</v>
      </c>
      <c r="G4448" s="21">
        <f t="shared" si="620"/>
        <v>235.33000000000001</v>
      </c>
      <c r="H4448" s="21">
        <f t="shared" si="620"/>
        <v>235.33000000000001</v>
      </c>
      <c r="I4448" s="24" t="str">
        <f t="shared" si="621"/>
        <v xml:space="preserve">COM VALOR</v>
      </c>
      <c r="L4448" s="36">
        <v>235.33000000000001</v>
      </c>
      <c r="M4448" s="37">
        <v>235.33000000000001</v>
      </c>
      <c r="N4448" s="36">
        <v>235.33000000000001</v>
      </c>
    </row>
    <row r="4449" ht="12.75">
      <c r="A4449" s="19" t="s">
        <v>10460</v>
      </c>
      <c r="B4449" s="19">
        <v>41932</v>
      </c>
      <c r="C4449" s="20" t="s">
        <v>14917</v>
      </c>
      <c r="D4449" s="19" t="s">
        <v>38</v>
      </c>
      <c r="E4449" s="19" t="s">
        <v>10459</v>
      </c>
      <c r="F4449" s="21">
        <f t="shared" si="620"/>
        <v>362.20999999999998</v>
      </c>
      <c r="G4449" s="21">
        <f t="shared" si="620"/>
        <v>362.20999999999998</v>
      </c>
      <c r="H4449" s="21">
        <f t="shared" si="620"/>
        <v>362.20999999999998</v>
      </c>
      <c r="I4449" s="24" t="str">
        <f t="shared" si="621"/>
        <v xml:space="preserve">COM VALOR</v>
      </c>
      <c r="L4449" s="36">
        <v>362.20999999999998</v>
      </c>
      <c r="M4449" s="37">
        <v>362.20999999999998</v>
      </c>
      <c r="N4449" s="36">
        <v>362.20999999999998</v>
      </c>
    </row>
    <row r="4450" ht="12.75">
      <c r="A4450" s="19" t="s">
        <v>10460</v>
      </c>
      <c r="B4450" s="19">
        <v>41933</v>
      </c>
      <c r="C4450" s="20" t="s">
        <v>14918</v>
      </c>
      <c r="D4450" s="19" t="s">
        <v>38</v>
      </c>
      <c r="E4450" s="19" t="s">
        <v>10459</v>
      </c>
      <c r="F4450" s="21">
        <f t="shared" si="620"/>
        <v>511.88999999999999</v>
      </c>
      <c r="G4450" s="21">
        <f t="shared" si="620"/>
        <v>511.88999999999999</v>
      </c>
      <c r="H4450" s="21">
        <f t="shared" si="620"/>
        <v>511.88999999999999</v>
      </c>
      <c r="I4450" s="24" t="str">
        <f t="shared" si="621"/>
        <v xml:space="preserve">COM VALOR</v>
      </c>
      <c r="L4450" s="36">
        <v>511.88999999999999</v>
      </c>
      <c r="M4450" s="37">
        <v>511.88999999999999</v>
      </c>
      <c r="N4450" s="36">
        <v>511.88999999999999</v>
      </c>
    </row>
    <row r="4451" ht="12.75">
      <c r="A4451" s="19" t="s">
        <v>10460</v>
      </c>
      <c r="B4451" s="19">
        <v>41934</v>
      </c>
      <c r="C4451" s="20" t="s">
        <v>14919</v>
      </c>
      <c r="D4451" s="19" t="s">
        <v>38</v>
      </c>
      <c r="E4451" s="19" t="s">
        <v>10459</v>
      </c>
      <c r="F4451" s="21">
        <f t="shared" si="620"/>
        <v>596.15999999999997</v>
      </c>
      <c r="G4451" s="21">
        <f t="shared" si="620"/>
        <v>596.15999999999997</v>
      </c>
      <c r="H4451" s="21">
        <f t="shared" si="620"/>
        <v>596.15999999999997</v>
      </c>
      <c r="I4451" s="24" t="str">
        <f t="shared" si="621"/>
        <v xml:space="preserve">COM VALOR</v>
      </c>
      <c r="L4451" s="36">
        <v>596.15999999999997</v>
      </c>
      <c r="M4451" s="37">
        <v>596.15999999999997</v>
      </c>
      <c r="N4451" s="36">
        <v>596.15999999999997</v>
      </c>
    </row>
    <row r="4452" ht="12.75">
      <c r="A4452" s="19" t="s">
        <v>10460</v>
      </c>
      <c r="B4452" s="19">
        <v>41936</v>
      </c>
      <c r="C4452" s="20" t="s">
        <v>14920</v>
      </c>
      <c r="D4452" s="19" t="s">
        <v>38</v>
      </c>
      <c r="E4452" s="19" t="s">
        <v>10459</v>
      </c>
      <c r="F4452" s="21">
        <f t="shared" si="620"/>
        <v>88.469999999999999</v>
      </c>
      <c r="G4452" s="21">
        <f t="shared" si="620"/>
        <v>88.469999999999999</v>
      </c>
      <c r="H4452" s="21">
        <f t="shared" si="620"/>
        <v>88.469999999999999</v>
      </c>
      <c r="I4452" s="24" t="str">
        <f t="shared" si="621"/>
        <v xml:space="preserve">COM VALOR</v>
      </c>
      <c r="L4452" s="36">
        <v>88.469999999999999</v>
      </c>
      <c r="M4452" s="37">
        <v>88.469999999999999</v>
      </c>
      <c r="N4452" s="36">
        <v>88.469999999999999</v>
      </c>
    </row>
    <row r="4453" ht="25.5">
      <c r="A4453" s="19" t="s">
        <v>10460</v>
      </c>
      <c r="B4453" s="19">
        <v>44812</v>
      </c>
      <c r="C4453" s="20" t="s">
        <v>14921</v>
      </c>
      <c r="D4453" s="19" t="s">
        <v>38</v>
      </c>
      <c r="E4453" s="19" t="s">
        <v>10459</v>
      </c>
      <c r="F4453" s="21">
        <f t="shared" si="620"/>
        <v>525.00999999999999</v>
      </c>
      <c r="G4453" s="21">
        <f t="shared" si="620"/>
        <v>525.00999999999999</v>
      </c>
      <c r="H4453" s="21">
        <f t="shared" si="620"/>
        <v>525.00999999999999</v>
      </c>
      <c r="I4453" s="24" t="str">
        <f t="shared" si="621"/>
        <v xml:space="preserve">COM VALOR</v>
      </c>
      <c r="L4453" s="36">
        <v>525.00999999999999</v>
      </c>
      <c r="M4453" s="37">
        <v>525.00999999999999</v>
      </c>
      <c r="N4453" s="36">
        <v>525.00999999999999</v>
      </c>
    </row>
    <row r="4454" ht="25.5">
      <c r="A4454" s="19" t="s">
        <v>10460</v>
      </c>
      <c r="B4454" s="19">
        <v>41785</v>
      </c>
      <c r="C4454" s="20" t="s">
        <v>14922</v>
      </c>
      <c r="D4454" s="19" t="s">
        <v>38</v>
      </c>
      <c r="E4454" s="19" t="s">
        <v>10459</v>
      </c>
      <c r="F4454" s="21">
        <f t="shared" si="620"/>
        <v>1945.6600000000001</v>
      </c>
      <c r="G4454" s="21">
        <f t="shared" si="620"/>
        <v>1945.6600000000001</v>
      </c>
      <c r="H4454" s="21">
        <f t="shared" si="620"/>
        <v>1945.6600000000001</v>
      </c>
      <c r="I4454" s="24" t="str">
        <f t="shared" si="621"/>
        <v xml:space="preserve">COM VALOR</v>
      </c>
      <c r="L4454" s="36">
        <v>1945.6600000000001</v>
      </c>
      <c r="M4454" s="37">
        <v>1945.6600000000001</v>
      </c>
      <c r="N4454" s="36">
        <v>1945.6600000000001</v>
      </c>
    </row>
    <row r="4455" ht="25.5">
      <c r="A4455" s="19" t="s">
        <v>10460</v>
      </c>
      <c r="B4455" s="19">
        <v>41781</v>
      </c>
      <c r="C4455" s="20" t="s">
        <v>14923</v>
      </c>
      <c r="D4455" s="19" t="s">
        <v>38</v>
      </c>
      <c r="E4455" s="19" t="s">
        <v>10459</v>
      </c>
      <c r="F4455" s="21">
        <f t="shared" si="620"/>
        <v>351.31999999999999</v>
      </c>
      <c r="G4455" s="21">
        <f t="shared" si="620"/>
        <v>351.31999999999999</v>
      </c>
      <c r="H4455" s="21">
        <f t="shared" si="620"/>
        <v>351.31999999999999</v>
      </c>
      <c r="I4455" s="24" t="str">
        <f t="shared" si="621"/>
        <v xml:space="preserve">COM VALOR</v>
      </c>
      <c r="L4455" s="36">
        <v>351.31999999999999</v>
      </c>
      <c r="M4455" s="37">
        <v>351.31999999999999</v>
      </c>
      <c r="N4455" s="36">
        <v>351.31999999999999</v>
      </c>
    </row>
    <row r="4456" ht="25.5">
      <c r="A4456" s="19" t="s">
        <v>10460</v>
      </c>
      <c r="B4456" s="19">
        <v>41783</v>
      </c>
      <c r="C4456" s="20" t="s">
        <v>14924</v>
      </c>
      <c r="D4456" s="19" t="s">
        <v>38</v>
      </c>
      <c r="E4456" s="19" t="s">
        <v>10459</v>
      </c>
      <c r="F4456" s="21">
        <f t="shared" si="620"/>
        <v>1263.02</v>
      </c>
      <c r="G4456" s="21">
        <f t="shared" si="620"/>
        <v>1263.02</v>
      </c>
      <c r="H4456" s="21">
        <f t="shared" si="620"/>
        <v>1263.02</v>
      </c>
      <c r="I4456" s="24" t="str">
        <f t="shared" si="621"/>
        <v xml:space="preserve">COM VALOR</v>
      </c>
      <c r="L4456" s="36">
        <v>1263.02</v>
      </c>
      <c r="M4456" s="37">
        <v>1263.02</v>
      </c>
      <c r="N4456" s="36">
        <v>1263.02</v>
      </c>
    </row>
    <row r="4457" ht="25.5">
      <c r="A4457" s="19" t="s">
        <v>10460</v>
      </c>
      <c r="B4457" s="19">
        <v>41786</v>
      </c>
      <c r="C4457" s="20" t="s">
        <v>14925</v>
      </c>
      <c r="D4457" s="19" t="s">
        <v>38</v>
      </c>
      <c r="E4457" s="19" t="s">
        <v>10459</v>
      </c>
      <c r="F4457" s="21">
        <f t="shared" si="620"/>
        <v>2689.02</v>
      </c>
      <c r="G4457" s="21">
        <f t="shared" si="620"/>
        <v>2689.02</v>
      </c>
      <c r="H4457" s="21">
        <f t="shared" si="620"/>
        <v>2689.02</v>
      </c>
      <c r="I4457" s="24" t="str">
        <f t="shared" si="621"/>
        <v xml:space="preserve">COM VALOR</v>
      </c>
      <c r="L4457" s="36">
        <v>2689.02</v>
      </c>
      <c r="M4457" s="37">
        <v>2689.02</v>
      </c>
      <c r="N4457" s="36">
        <v>2689.02</v>
      </c>
    </row>
    <row r="4458" ht="25.5">
      <c r="A4458" s="19" t="s">
        <v>10460</v>
      </c>
      <c r="B4458" s="19">
        <v>41779</v>
      </c>
      <c r="C4458" s="20" t="s">
        <v>14926</v>
      </c>
      <c r="D4458" s="19" t="s">
        <v>38</v>
      </c>
      <c r="E4458" s="19" t="s">
        <v>10459</v>
      </c>
      <c r="F4458" s="21">
        <f t="shared" si="620"/>
        <v>138.36000000000001</v>
      </c>
      <c r="G4458" s="21">
        <f t="shared" si="620"/>
        <v>138.36000000000001</v>
      </c>
      <c r="H4458" s="21">
        <f t="shared" si="620"/>
        <v>138.36000000000001</v>
      </c>
      <c r="I4458" s="24" t="str">
        <f t="shared" si="621"/>
        <v xml:space="preserve">COM VALOR</v>
      </c>
      <c r="L4458" s="36">
        <v>138.36000000000001</v>
      </c>
      <c r="M4458" s="37">
        <v>138.36000000000001</v>
      </c>
      <c r="N4458" s="36">
        <v>138.36000000000001</v>
      </c>
    </row>
    <row r="4459" ht="25.5">
      <c r="A4459" s="19" t="s">
        <v>10460</v>
      </c>
      <c r="B4459" s="19">
        <v>41780</v>
      </c>
      <c r="C4459" s="20" t="s">
        <v>14927</v>
      </c>
      <c r="D4459" s="19" t="s">
        <v>38</v>
      </c>
      <c r="E4459" s="19" t="s">
        <v>10459</v>
      </c>
      <c r="F4459" s="21">
        <f t="shared" si="620"/>
        <v>216.77000000000001</v>
      </c>
      <c r="G4459" s="21">
        <f t="shared" si="620"/>
        <v>216.77000000000001</v>
      </c>
      <c r="H4459" s="21">
        <f t="shared" si="620"/>
        <v>216.77000000000001</v>
      </c>
      <c r="I4459" s="24" t="str">
        <f t="shared" si="621"/>
        <v xml:space="preserve">COM VALOR</v>
      </c>
      <c r="L4459" s="36">
        <v>216.77000000000001</v>
      </c>
      <c r="M4459" s="37">
        <v>216.77000000000001</v>
      </c>
      <c r="N4459" s="36">
        <v>216.77000000000001</v>
      </c>
    </row>
    <row r="4460" ht="25.5">
      <c r="A4460" s="19" t="s">
        <v>10460</v>
      </c>
      <c r="B4460" s="19">
        <v>41782</v>
      </c>
      <c r="C4460" s="20" t="s">
        <v>14928</v>
      </c>
      <c r="D4460" s="19" t="s">
        <v>38</v>
      </c>
      <c r="E4460" s="19" t="s">
        <v>10459</v>
      </c>
      <c r="F4460" s="21">
        <f t="shared" si="620"/>
        <v>776.50999999999999</v>
      </c>
      <c r="G4460" s="21">
        <f t="shared" si="620"/>
        <v>776.50999999999999</v>
      </c>
      <c r="H4460" s="21">
        <f t="shared" si="620"/>
        <v>776.50999999999999</v>
      </c>
      <c r="I4460" s="24" t="str">
        <f t="shared" si="621"/>
        <v xml:space="preserve">COM VALOR</v>
      </c>
      <c r="L4460" s="36">
        <v>776.50999999999999</v>
      </c>
      <c r="M4460" s="37">
        <v>776.50999999999999</v>
      </c>
      <c r="N4460" s="36">
        <v>776.50999999999999</v>
      </c>
    </row>
    <row r="4461" ht="25.5">
      <c r="A4461" s="19" t="s">
        <v>10460</v>
      </c>
      <c r="B4461" s="19">
        <v>38130</v>
      </c>
      <c r="C4461" s="20" t="s">
        <v>14929</v>
      </c>
      <c r="D4461" s="19" t="s">
        <v>38</v>
      </c>
      <c r="E4461" s="19" t="s">
        <v>10459</v>
      </c>
      <c r="F4461" s="21">
        <v>67.189999999999998</v>
      </c>
      <c r="G4461" s="21">
        <v>67.189999999999998</v>
      </c>
      <c r="H4461" s="21">
        <v>67.189999999999998</v>
      </c>
      <c r="I4461" s="24" t="str">
        <f t="shared" si="621"/>
        <v xml:space="preserve">COM VALOR</v>
      </c>
      <c r="J4461" s="39"/>
      <c r="L4461" s="36">
        <v>48.369999999999997</v>
      </c>
      <c r="M4461" s="37">
        <v>48.369999999999997</v>
      </c>
      <c r="N4461" s="36">
        <v>48.369999999999997</v>
      </c>
    </row>
    <row r="4462" ht="12.75">
      <c r="A4462" s="19" t="s">
        <v>10460</v>
      </c>
      <c r="B4462" s="19">
        <v>44260</v>
      </c>
      <c r="C4462" s="20" t="s">
        <v>14930</v>
      </c>
      <c r="D4462" s="19" t="s">
        <v>38</v>
      </c>
      <c r="E4462" s="19" t="s">
        <v>10459</v>
      </c>
      <c r="F4462" s="21">
        <f t="shared" si="620"/>
        <v>457.77999999999997</v>
      </c>
      <c r="G4462" s="21">
        <f t="shared" si="620"/>
        <v>457.77999999999997</v>
      </c>
      <c r="H4462" s="21">
        <f t="shared" si="620"/>
        <v>457.77999999999997</v>
      </c>
      <c r="I4462" s="24" t="str">
        <f t="shared" si="621"/>
        <v xml:space="preserve">COM VALOR</v>
      </c>
      <c r="L4462" s="36">
        <v>457.77999999999997</v>
      </c>
      <c r="M4462" s="37">
        <v>457.77999999999997</v>
      </c>
      <c r="N4462" s="36">
        <v>457.77999999999997</v>
      </c>
    </row>
    <row r="4463" ht="25.5">
      <c r="A4463" s="19" t="s">
        <v>10460</v>
      </c>
      <c r="B4463" s="19">
        <v>21123</v>
      </c>
      <c r="C4463" s="20" t="s">
        <v>14931</v>
      </c>
      <c r="D4463" s="19" t="s">
        <v>38</v>
      </c>
      <c r="E4463" s="19" t="s">
        <v>10466</v>
      </c>
      <c r="F4463" s="21">
        <f t="shared" si="620"/>
        <v>13.460000000000001</v>
      </c>
      <c r="G4463" s="21">
        <f t="shared" si="620"/>
        <v>13.460000000000001</v>
      </c>
      <c r="H4463" s="21">
        <f t="shared" si="620"/>
        <v>13.460000000000001</v>
      </c>
      <c r="I4463" s="24" t="str">
        <f t="shared" si="621"/>
        <v xml:space="preserve">COM VALOR</v>
      </c>
      <c r="L4463" s="36">
        <v>13.460000000000001</v>
      </c>
      <c r="M4463" s="37">
        <v>13.460000000000001</v>
      </c>
      <c r="N4463" s="36">
        <v>13.460000000000001</v>
      </c>
    </row>
    <row r="4464" ht="25.5">
      <c r="A4464" s="19" t="s">
        <v>10460</v>
      </c>
      <c r="B4464" s="19">
        <v>21124</v>
      </c>
      <c r="C4464" s="20" t="s">
        <v>14932</v>
      </c>
      <c r="D4464" s="19" t="s">
        <v>38</v>
      </c>
      <c r="E4464" s="19" t="s">
        <v>10459</v>
      </c>
      <c r="F4464" s="21">
        <f t="shared" si="620"/>
        <v>21.5</v>
      </c>
      <c r="G4464" s="21">
        <f t="shared" si="620"/>
        <v>21.5</v>
      </c>
      <c r="H4464" s="21">
        <f t="shared" si="620"/>
        <v>21.5</v>
      </c>
      <c r="I4464" s="24" t="str">
        <f t="shared" si="621"/>
        <v xml:space="preserve">COM VALOR</v>
      </c>
      <c r="L4464" s="36">
        <v>21.5</v>
      </c>
      <c r="M4464" s="37">
        <v>21.5</v>
      </c>
      <c r="N4464" s="36">
        <v>21.5</v>
      </c>
    </row>
    <row r="4465" ht="25.5">
      <c r="A4465" s="19" t="s">
        <v>10460</v>
      </c>
      <c r="B4465" s="19">
        <v>21125</v>
      </c>
      <c r="C4465" s="20" t="s">
        <v>14933</v>
      </c>
      <c r="D4465" s="19" t="s">
        <v>38</v>
      </c>
      <c r="E4465" s="19" t="s">
        <v>10459</v>
      </c>
      <c r="F4465" s="21">
        <f t="shared" si="620"/>
        <v>37.030000000000001</v>
      </c>
      <c r="G4465" s="21">
        <f t="shared" si="620"/>
        <v>37.030000000000001</v>
      </c>
      <c r="H4465" s="21">
        <f t="shared" si="620"/>
        <v>37.030000000000001</v>
      </c>
      <c r="I4465" s="24" t="str">
        <f t="shared" si="621"/>
        <v xml:space="preserve">COM VALOR</v>
      </c>
      <c r="L4465" s="36">
        <v>37.030000000000001</v>
      </c>
      <c r="M4465" s="37">
        <v>37.030000000000001</v>
      </c>
      <c r="N4465" s="36">
        <v>37.030000000000001</v>
      </c>
    </row>
    <row r="4466" ht="25.5">
      <c r="A4466" s="19" t="s">
        <v>10460</v>
      </c>
      <c r="B4466" s="19">
        <v>38028</v>
      </c>
      <c r="C4466" s="20" t="s">
        <v>14934</v>
      </c>
      <c r="D4466" s="19" t="s">
        <v>38</v>
      </c>
      <c r="E4466" s="19" t="s">
        <v>10459</v>
      </c>
      <c r="F4466" s="21">
        <f t="shared" si="620"/>
        <v>64.75</v>
      </c>
      <c r="G4466" s="21">
        <f t="shared" si="620"/>
        <v>64.75</v>
      </c>
      <c r="H4466" s="21">
        <f t="shared" si="620"/>
        <v>64.75</v>
      </c>
      <c r="I4466" s="24" t="str">
        <f t="shared" si="621"/>
        <v xml:space="preserve">COM VALOR</v>
      </c>
      <c r="L4466" s="36">
        <v>64.75</v>
      </c>
      <c r="M4466" s="37">
        <v>64.75</v>
      </c>
      <c r="N4466" s="36">
        <v>64.75</v>
      </c>
    </row>
    <row r="4467" ht="25.5">
      <c r="A4467" s="19" t="s">
        <v>10460</v>
      </c>
      <c r="B4467" s="19">
        <v>38029</v>
      </c>
      <c r="C4467" s="20" t="s">
        <v>14935</v>
      </c>
      <c r="D4467" s="19" t="s">
        <v>38</v>
      </c>
      <c r="E4467" s="19" t="s">
        <v>10459</v>
      </c>
      <c r="F4467" s="21">
        <f t="shared" si="620"/>
        <v>94.769999999999996</v>
      </c>
      <c r="G4467" s="21">
        <f t="shared" si="620"/>
        <v>94.769999999999996</v>
      </c>
      <c r="H4467" s="21">
        <f t="shared" si="620"/>
        <v>94.769999999999996</v>
      </c>
      <c r="I4467" s="24" t="str">
        <f t="shared" si="621"/>
        <v xml:space="preserve">COM VALOR</v>
      </c>
      <c r="L4467" s="36">
        <v>94.769999999999996</v>
      </c>
      <c r="M4467" s="37">
        <v>94.769999999999996</v>
      </c>
      <c r="N4467" s="36">
        <v>94.769999999999996</v>
      </c>
    </row>
    <row r="4468" ht="25.5">
      <c r="A4468" s="19" t="s">
        <v>10460</v>
      </c>
      <c r="B4468" s="19">
        <v>38030</v>
      </c>
      <c r="C4468" s="20" t="s">
        <v>14936</v>
      </c>
      <c r="D4468" s="19" t="s">
        <v>38</v>
      </c>
      <c r="E4468" s="19" t="s">
        <v>10459</v>
      </c>
      <c r="F4468" s="21">
        <f t="shared" si="620"/>
        <v>153.25</v>
      </c>
      <c r="G4468" s="21">
        <f t="shared" si="620"/>
        <v>153.25</v>
      </c>
      <c r="H4468" s="21">
        <f t="shared" si="620"/>
        <v>153.25</v>
      </c>
      <c r="I4468" s="24" t="str">
        <f t="shared" si="621"/>
        <v xml:space="preserve">COM VALOR</v>
      </c>
      <c r="L4468" s="36">
        <v>153.25</v>
      </c>
      <c r="M4468" s="37">
        <v>153.25</v>
      </c>
      <c r="N4468" s="36">
        <v>153.25</v>
      </c>
    </row>
    <row r="4469" ht="25.5">
      <c r="A4469" s="19" t="s">
        <v>10460</v>
      </c>
      <c r="B4469" s="19">
        <v>38031</v>
      </c>
      <c r="C4469" s="20" t="s">
        <v>14937</v>
      </c>
      <c r="D4469" s="19" t="s">
        <v>38</v>
      </c>
      <c r="E4469" s="19" t="s">
        <v>10459</v>
      </c>
      <c r="F4469" s="21">
        <f t="shared" si="620"/>
        <v>240.53999999999999</v>
      </c>
      <c r="G4469" s="21">
        <f t="shared" si="620"/>
        <v>240.53999999999999</v>
      </c>
      <c r="H4469" s="21">
        <f t="shared" si="620"/>
        <v>240.53999999999999</v>
      </c>
      <c r="I4469" s="24" t="str">
        <f t="shared" si="621"/>
        <v xml:space="preserve">COM VALOR</v>
      </c>
      <c r="L4469" s="36">
        <v>240.53999999999999</v>
      </c>
      <c r="M4469" s="37">
        <v>240.53999999999999</v>
      </c>
      <c r="N4469" s="36">
        <v>240.53999999999999</v>
      </c>
    </row>
    <row r="4470" ht="51">
      <c r="A4470" s="19" t="s">
        <v>10460</v>
      </c>
      <c r="B4470" s="19">
        <v>39735</v>
      </c>
      <c r="C4470" s="20" t="s">
        <v>14938</v>
      </c>
      <c r="D4470" s="19" t="s">
        <v>38</v>
      </c>
      <c r="E4470" s="19" t="s">
        <v>10459</v>
      </c>
      <c r="F4470" s="21" t="str">
        <f t="shared" si="620"/>
        <v>VERIFICAR</v>
      </c>
      <c r="G4470" s="21" t="str">
        <f t="shared" si="620"/>
        <v>VERIFICAR</v>
      </c>
      <c r="H4470" s="21" t="str">
        <f t="shared" si="620"/>
        <v>VERIFICAR</v>
      </c>
      <c r="I4470" s="24" t="str">
        <f t="shared" si="621"/>
        <v xml:space="preserve">SEM VALOR</v>
      </c>
      <c r="L4470" s="36"/>
      <c r="M4470" s="37"/>
      <c r="N4470" s="36"/>
    </row>
    <row r="4471" ht="51">
      <c r="A4471" s="19" t="s">
        <v>10460</v>
      </c>
      <c r="B4471" s="19">
        <v>39734</v>
      </c>
      <c r="C4471" s="20" t="s">
        <v>14939</v>
      </c>
      <c r="D4471" s="19" t="s">
        <v>38</v>
      </c>
      <c r="E4471" s="19" t="s">
        <v>10459</v>
      </c>
      <c r="F4471" s="21" t="str">
        <f t="shared" si="620"/>
        <v>VERIFICAR</v>
      </c>
      <c r="G4471" s="21" t="str">
        <f t="shared" si="620"/>
        <v>VERIFICAR</v>
      </c>
      <c r="H4471" s="21" t="str">
        <f t="shared" si="620"/>
        <v>VERIFICAR</v>
      </c>
      <c r="I4471" s="24" t="str">
        <f t="shared" si="621"/>
        <v xml:space="preserve">SEM VALOR</v>
      </c>
      <c r="L4471" s="36"/>
      <c r="M4471" s="37"/>
      <c r="N4471" s="36"/>
    </row>
    <row r="4472" ht="51">
      <c r="A4472" s="19" t="s">
        <v>10460</v>
      </c>
      <c r="B4472" s="19">
        <v>39736</v>
      </c>
      <c r="C4472" s="20" t="s">
        <v>14940</v>
      </c>
      <c r="D4472" s="19" t="s">
        <v>38</v>
      </c>
      <c r="E4472" s="19" t="s">
        <v>10459</v>
      </c>
      <c r="F4472" s="21" t="str">
        <f t="shared" si="620"/>
        <v>VERIFICAR</v>
      </c>
      <c r="G4472" s="21" t="str">
        <f t="shared" si="620"/>
        <v>VERIFICAR</v>
      </c>
      <c r="H4472" s="21" t="str">
        <f t="shared" si="620"/>
        <v>VERIFICAR</v>
      </c>
      <c r="I4472" s="24" t="str">
        <f t="shared" si="621"/>
        <v xml:space="preserve">SEM VALOR</v>
      </c>
      <c r="L4472" s="36"/>
      <c r="M4472" s="37"/>
      <c r="N4472" s="36"/>
    </row>
    <row r="4473" ht="51">
      <c r="A4473" s="19" t="s">
        <v>10460</v>
      </c>
      <c r="B4473" s="19">
        <v>39739</v>
      </c>
      <c r="C4473" s="20" t="s">
        <v>14941</v>
      </c>
      <c r="D4473" s="19" t="s">
        <v>38</v>
      </c>
      <c r="E4473" s="19" t="s">
        <v>10459</v>
      </c>
      <c r="F4473" s="21" t="str">
        <f t="shared" si="620"/>
        <v>VERIFICAR</v>
      </c>
      <c r="G4473" s="21" t="str">
        <f t="shared" si="620"/>
        <v>VERIFICAR</v>
      </c>
      <c r="H4473" s="21" t="str">
        <f t="shared" si="620"/>
        <v>VERIFICAR</v>
      </c>
      <c r="I4473" s="24" t="str">
        <f t="shared" si="621"/>
        <v xml:space="preserve">SEM VALOR</v>
      </c>
      <c r="L4473" s="36"/>
      <c r="M4473" s="37"/>
      <c r="N4473" s="36"/>
    </row>
    <row r="4474" ht="51">
      <c r="A4474" s="19" t="s">
        <v>10460</v>
      </c>
      <c r="B4474" s="19">
        <v>39737</v>
      </c>
      <c r="C4474" s="20" t="s">
        <v>14942</v>
      </c>
      <c r="D4474" s="19" t="s">
        <v>38</v>
      </c>
      <c r="E4474" s="19" t="s">
        <v>10459</v>
      </c>
      <c r="F4474" s="21" t="str">
        <f t="shared" si="620"/>
        <v>VERIFICAR</v>
      </c>
      <c r="G4474" s="21" t="str">
        <f t="shared" si="620"/>
        <v>VERIFICAR</v>
      </c>
      <c r="H4474" s="21" t="str">
        <f t="shared" si="620"/>
        <v>VERIFICAR</v>
      </c>
      <c r="I4474" s="24" t="str">
        <f t="shared" si="621"/>
        <v xml:space="preserve">SEM VALOR</v>
      </c>
      <c r="L4474" s="36"/>
      <c r="M4474" s="37"/>
      <c r="N4474" s="36"/>
    </row>
    <row r="4475" ht="51">
      <c r="A4475" s="19" t="s">
        <v>10460</v>
      </c>
      <c r="B4475" s="19">
        <v>39738</v>
      </c>
      <c r="C4475" s="20" t="s">
        <v>14943</v>
      </c>
      <c r="D4475" s="19" t="s">
        <v>38</v>
      </c>
      <c r="E4475" s="19" t="s">
        <v>10459</v>
      </c>
      <c r="F4475" s="21" t="str">
        <f t="shared" si="620"/>
        <v>VERIFICAR</v>
      </c>
      <c r="G4475" s="21" t="str">
        <f t="shared" si="620"/>
        <v>VERIFICAR</v>
      </c>
      <c r="H4475" s="21" t="str">
        <f t="shared" si="620"/>
        <v>VERIFICAR</v>
      </c>
      <c r="I4475" s="24" t="str">
        <f t="shared" si="621"/>
        <v xml:space="preserve">SEM VALOR</v>
      </c>
      <c r="L4475" s="36"/>
      <c r="M4475" s="37"/>
      <c r="N4475" s="36"/>
    </row>
    <row r="4476" ht="51">
      <c r="A4476" s="19" t="s">
        <v>10460</v>
      </c>
      <c r="B4476" s="19">
        <v>39733</v>
      </c>
      <c r="C4476" s="20" t="s">
        <v>14944</v>
      </c>
      <c r="D4476" s="19" t="s">
        <v>38</v>
      </c>
      <c r="E4476" s="19" t="s">
        <v>10459</v>
      </c>
      <c r="F4476" s="21" t="str">
        <f t="shared" si="620"/>
        <v>VERIFICAR</v>
      </c>
      <c r="G4476" s="21" t="str">
        <f t="shared" si="620"/>
        <v>VERIFICAR</v>
      </c>
      <c r="H4476" s="21" t="str">
        <f t="shared" si="620"/>
        <v>VERIFICAR</v>
      </c>
      <c r="I4476" s="24" t="str">
        <f t="shared" si="621"/>
        <v xml:space="preserve">SEM VALOR</v>
      </c>
      <c r="L4476" s="36"/>
      <c r="M4476" s="37"/>
      <c r="N4476" s="36"/>
    </row>
    <row r="4477" ht="51">
      <c r="A4477" s="19" t="s">
        <v>10460</v>
      </c>
      <c r="B4477" s="19">
        <v>39854</v>
      </c>
      <c r="C4477" s="20" t="s">
        <v>14945</v>
      </c>
      <c r="D4477" s="19" t="s">
        <v>38</v>
      </c>
      <c r="E4477" s="19" t="s">
        <v>10459</v>
      </c>
      <c r="F4477" s="21" t="str">
        <f t="shared" si="620"/>
        <v>VERIFICAR</v>
      </c>
      <c r="G4477" s="21" t="str">
        <f t="shared" si="620"/>
        <v>VERIFICAR</v>
      </c>
      <c r="H4477" s="21" t="str">
        <f t="shared" si="620"/>
        <v>VERIFICAR</v>
      </c>
      <c r="I4477" s="24" t="str">
        <f t="shared" si="621"/>
        <v xml:space="preserve">SEM VALOR</v>
      </c>
      <c r="L4477" s="36"/>
      <c r="M4477" s="37"/>
      <c r="N4477" s="36"/>
    </row>
    <row r="4478" ht="51">
      <c r="A4478" s="19" t="s">
        <v>10460</v>
      </c>
      <c r="B4478" s="19">
        <v>39740</v>
      </c>
      <c r="C4478" s="20" t="s">
        <v>14946</v>
      </c>
      <c r="D4478" s="19" t="s">
        <v>38</v>
      </c>
      <c r="E4478" s="19" t="s">
        <v>10459</v>
      </c>
      <c r="F4478" s="21" t="str">
        <f t="shared" si="620"/>
        <v>VERIFICAR</v>
      </c>
      <c r="G4478" s="21" t="str">
        <f t="shared" si="620"/>
        <v>VERIFICAR</v>
      </c>
      <c r="H4478" s="21" t="str">
        <f t="shared" si="620"/>
        <v>VERIFICAR</v>
      </c>
      <c r="I4478" s="24" t="str">
        <f t="shared" si="621"/>
        <v xml:space="preserve">SEM VALOR</v>
      </c>
      <c r="L4478" s="36"/>
      <c r="M4478" s="37"/>
      <c r="N4478" s="36"/>
    </row>
    <row r="4479" ht="51">
      <c r="A4479" s="19" t="s">
        <v>10460</v>
      </c>
      <c r="B4479" s="19">
        <v>39741</v>
      </c>
      <c r="C4479" s="20" t="s">
        <v>14947</v>
      </c>
      <c r="D4479" s="19" t="s">
        <v>38</v>
      </c>
      <c r="E4479" s="19" t="s">
        <v>10459</v>
      </c>
      <c r="F4479" s="21" t="str">
        <f t="shared" si="620"/>
        <v>VERIFICAR</v>
      </c>
      <c r="G4479" s="21" t="str">
        <f t="shared" si="620"/>
        <v>VERIFICAR</v>
      </c>
      <c r="H4479" s="21" t="str">
        <f t="shared" si="620"/>
        <v>VERIFICAR</v>
      </c>
      <c r="I4479" s="24" t="str">
        <f t="shared" si="621"/>
        <v xml:space="preserve">SEM VALOR</v>
      </c>
      <c r="L4479" s="36"/>
      <c r="M4479" s="37"/>
      <c r="N4479" s="36"/>
    </row>
    <row r="4480" ht="51">
      <c r="A4480" s="19" t="s">
        <v>10460</v>
      </c>
      <c r="B4480" s="19">
        <v>39853</v>
      </c>
      <c r="C4480" s="20" t="s">
        <v>14948</v>
      </c>
      <c r="D4480" s="19" t="s">
        <v>38</v>
      </c>
      <c r="E4480" s="19" t="s">
        <v>10459</v>
      </c>
      <c r="F4480" s="21" t="str">
        <f t="shared" si="620"/>
        <v>VERIFICAR</v>
      </c>
      <c r="G4480" s="21" t="str">
        <f t="shared" si="620"/>
        <v>VERIFICAR</v>
      </c>
      <c r="H4480" s="21" t="str">
        <f t="shared" si="620"/>
        <v>VERIFICAR</v>
      </c>
      <c r="I4480" s="24" t="str">
        <f t="shared" si="621"/>
        <v xml:space="preserve">SEM VALOR</v>
      </c>
      <c r="L4480" s="36"/>
      <c r="M4480" s="37"/>
      <c r="N4480" s="36"/>
    </row>
    <row r="4481" ht="51">
      <c r="A4481" s="19" t="s">
        <v>10460</v>
      </c>
      <c r="B4481" s="19">
        <v>39742</v>
      </c>
      <c r="C4481" s="20" t="s">
        <v>14949</v>
      </c>
      <c r="D4481" s="19" t="s">
        <v>38</v>
      </c>
      <c r="E4481" s="19" t="s">
        <v>10459</v>
      </c>
      <c r="F4481" s="21" t="str">
        <f t="shared" si="620"/>
        <v>VERIFICAR</v>
      </c>
      <c r="G4481" s="21" t="str">
        <f t="shared" si="620"/>
        <v>VERIFICAR</v>
      </c>
      <c r="H4481" s="21" t="str">
        <f t="shared" si="620"/>
        <v>VERIFICAR</v>
      </c>
      <c r="I4481" s="24" t="str">
        <f t="shared" si="621"/>
        <v xml:space="preserve">SEM VALOR</v>
      </c>
      <c r="L4481" s="36"/>
      <c r="M4481" s="37"/>
      <c r="N4481" s="36"/>
    </row>
    <row r="4482" ht="38.25">
      <c r="A4482" s="19" t="s">
        <v>10460</v>
      </c>
      <c r="B4482" s="19">
        <v>39751</v>
      </c>
      <c r="C4482" s="20" t="s">
        <v>14950</v>
      </c>
      <c r="D4482" s="19" t="s">
        <v>38</v>
      </c>
      <c r="E4482" s="19" t="s">
        <v>10459</v>
      </c>
      <c r="F4482" s="21" t="str">
        <f t="shared" si="620"/>
        <v>VERIFICAR</v>
      </c>
      <c r="G4482" s="21" t="str">
        <f t="shared" si="620"/>
        <v>VERIFICAR</v>
      </c>
      <c r="H4482" s="21" t="str">
        <f t="shared" si="620"/>
        <v>VERIFICAR</v>
      </c>
      <c r="I4482" s="24" t="str">
        <f t="shared" si="621"/>
        <v xml:space="preserve">SEM VALOR</v>
      </c>
      <c r="L4482" s="36"/>
      <c r="M4482" s="37"/>
      <c r="N4482" s="36"/>
    </row>
    <row r="4483" ht="38.25">
      <c r="A4483" s="19" t="s">
        <v>10460</v>
      </c>
      <c r="B4483" s="19">
        <v>39750</v>
      </c>
      <c r="C4483" s="20" t="s">
        <v>14951</v>
      </c>
      <c r="D4483" s="19" t="s">
        <v>38</v>
      </c>
      <c r="E4483" s="19" t="s">
        <v>10459</v>
      </c>
      <c r="F4483" s="21" t="str">
        <f t="shared" si="620"/>
        <v>VERIFICAR</v>
      </c>
      <c r="G4483" s="21" t="str">
        <f t="shared" si="620"/>
        <v>VERIFICAR</v>
      </c>
      <c r="H4483" s="21" t="str">
        <f t="shared" si="620"/>
        <v>VERIFICAR</v>
      </c>
      <c r="I4483" s="24" t="str">
        <f t="shared" si="621"/>
        <v xml:space="preserve">SEM VALOR</v>
      </c>
      <c r="L4483" s="36"/>
      <c r="M4483" s="37"/>
      <c r="N4483" s="36"/>
    </row>
    <row r="4484" ht="38.25">
      <c r="A4484" s="19" t="s">
        <v>10460</v>
      </c>
      <c r="B4484" s="19">
        <v>39749</v>
      </c>
      <c r="C4484" s="20" t="s">
        <v>14952</v>
      </c>
      <c r="D4484" s="19" t="s">
        <v>38</v>
      </c>
      <c r="E4484" s="19" t="s">
        <v>10459</v>
      </c>
      <c r="F4484" s="21" t="str">
        <f t="shared" si="620"/>
        <v>VERIFICAR</v>
      </c>
      <c r="G4484" s="21" t="str">
        <f t="shared" si="620"/>
        <v>VERIFICAR</v>
      </c>
      <c r="H4484" s="21" t="str">
        <f t="shared" si="620"/>
        <v>VERIFICAR</v>
      </c>
      <c r="I4484" s="24" t="str">
        <f t="shared" si="621"/>
        <v xml:space="preserve">SEM VALOR</v>
      </c>
      <c r="L4484" s="36"/>
      <c r="M4484" s="37"/>
      <c r="N4484" s="36"/>
    </row>
    <row r="4485" ht="38.25">
      <c r="A4485" s="19" t="s">
        <v>10460</v>
      </c>
      <c r="B4485" s="19">
        <v>39747</v>
      </c>
      <c r="C4485" s="20" t="s">
        <v>14953</v>
      </c>
      <c r="D4485" s="19" t="s">
        <v>38</v>
      </c>
      <c r="E4485" s="19" t="s">
        <v>10459</v>
      </c>
      <c r="F4485" s="21" t="str">
        <f t="shared" si="620"/>
        <v>VERIFICAR</v>
      </c>
      <c r="G4485" s="21" t="str">
        <f t="shared" si="620"/>
        <v>VERIFICAR</v>
      </c>
      <c r="H4485" s="21" t="str">
        <f t="shared" si="620"/>
        <v>VERIFICAR</v>
      </c>
      <c r="I4485" s="24" t="str">
        <f t="shared" si="621"/>
        <v xml:space="preserve">SEM VALOR</v>
      </c>
      <c r="L4485" s="36"/>
      <c r="M4485" s="37"/>
      <c r="N4485" s="36"/>
    </row>
    <row r="4486" ht="38.25">
      <c r="A4486" s="19" t="s">
        <v>10460</v>
      </c>
      <c r="B4486" s="19">
        <v>39753</v>
      </c>
      <c r="C4486" s="20" t="s">
        <v>14954</v>
      </c>
      <c r="D4486" s="19" t="s">
        <v>38</v>
      </c>
      <c r="E4486" s="19" t="s">
        <v>10459</v>
      </c>
      <c r="F4486" s="21" t="str">
        <f t="shared" si="620"/>
        <v>VERIFICAR</v>
      </c>
      <c r="G4486" s="21" t="str">
        <f t="shared" si="620"/>
        <v>VERIFICAR</v>
      </c>
      <c r="H4486" s="21" t="str">
        <f t="shared" si="620"/>
        <v>VERIFICAR</v>
      </c>
      <c r="I4486" s="24" t="str">
        <f t="shared" si="621"/>
        <v xml:space="preserve">SEM VALOR</v>
      </c>
      <c r="L4486" s="36"/>
      <c r="M4486" s="37"/>
      <c r="N4486" s="36"/>
    </row>
    <row r="4487" ht="38.25">
      <c r="A4487" s="19" t="s">
        <v>10460</v>
      </c>
      <c r="B4487" s="19">
        <v>39752</v>
      </c>
      <c r="C4487" s="20" t="s">
        <v>14955</v>
      </c>
      <c r="D4487" s="19" t="s">
        <v>38</v>
      </c>
      <c r="E4487" s="19" t="s">
        <v>10459</v>
      </c>
      <c r="F4487" s="21" t="str">
        <f t="shared" si="620"/>
        <v>VERIFICAR</v>
      </c>
      <c r="G4487" s="21" t="str">
        <f t="shared" si="620"/>
        <v>VERIFICAR</v>
      </c>
      <c r="H4487" s="21" t="str">
        <f t="shared" si="620"/>
        <v>VERIFICAR</v>
      </c>
      <c r="I4487" s="24" t="str">
        <f t="shared" si="621"/>
        <v xml:space="preserve">SEM VALOR</v>
      </c>
      <c r="L4487" s="36"/>
      <c r="M4487" s="37"/>
      <c r="N4487" s="36"/>
    </row>
    <row r="4488" ht="38.25">
      <c r="A4488" s="19" t="s">
        <v>10460</v>
      </c>
      <c r="B4488" s="19">
        <v>39754</v>
      </c>
      <c r="C4488" s="20" t="s">
        <v>14956</v>
      </c>
      <c r="D4488" s="19" t="s">
        <v>38</v>
      </c>
      <c r="E4488" s="19" t="s">
        <v>10459</v>
      </c>
      <c r="F4488" s="21" t="str">
        <f t="shared" si="620"/>
        <v>VERIFICAR</v>
      </c>
      <c r="G4488" s="21" t="str">
        <f t="shared" si="620"/>
        <v>VERIFICAR</v>
      </c>
      <c r="H4488" s="21" t="str">
        <f t="shared" si="620"/>
        <v>VERIFICAR</v>
      </c>
      <c r="I4488" s="24" t="str">
        <f t="shared" si="621"/>
        <v xml:space="preserve">SEM VALOR</v>
      </c>
      <c r="L4488" s="36"/>
      <c r="M4488" s="37"/>
      <c r="N4488" s="36"/>
    </row>
    <row r="4489" ht="38.25">
      <c r="A4489" s="19" t="s">
        <v>10460</v>
      </c>
      <c r="B4489" s="19">
        <v>39748</v>
      </c>
      <c r="C4489" s="20" t="s">
        <v>14957</v>
      </c>
      <c r="D4489" s="19" t="s">
        <v>38</v>
      </c>
      <c r="E4489" s="19" t="s">
        <v>10459</v>
      </c>
      <c r="F4489" s="21" t="str">
        <f t="shared" si="620"/>
        <v>VERIFICAR</v>
      </c>
      <c r="G4489" s="21" t="str">
        <f t="shared" si="620"/>
        <v>VERIFICAR</v>
      </c>
      <c r="H4489" s="21" t="str">
        <f t="shared" si="620"/>
        <v>VERIFICAR</v>
      </c>
      <c r="I4489" s="24" t="str">
        <f t="shared" si="621"/>
        <v xml:space="preserve">SEM VALOR</v>
      </c>
      <c r="L4489" s="36"/>
      <c r="M4489" s="37"/>
      <c r="N4489" s="36"/>
    </row>
    <row r="4490" ht="38.25">
      <c r="A4490" s="19" t="s">
        <v>10460</v>
      </c>
      <c r="B4490" s="19">
        <v>39755</v>
      </c>
      <c r="C4490" s="20" t="s">
        <v>14958</v>
      </c>
      <c r="D4490" s="19" t="s">
        <v>38</v>
      </c>
      <c r="E4490" s="19" t="s">
        <v>10459</v>
      </c>
      <c r="F4490" s="21" t="str">
        <f t="shared" si="620"/>
        <v>VERIFICAR</v>
      </c>
      <c r="G4490" s="21" t="str">
        <f t="shared" si="620"/>
        <v>VERIFICAR</v>
      </c>
      <c r="H4490" s="21" t="str">
        <f t="shared" si="620"/>
        <v>VERIFICAR</v>
      </c>
      <c r="I4490" s="24" t="str">
        <f t="shared" si="621"/>
        <v xml:space="preserve">SEM VALOR</v>
      </c>
      <c r="L4490" s="36"/>
      <c r="M4490" s="37"/>
      <c r="N4490" s="36"/>
    </row>
    <row r="4491" ht="25.5">
      <c r="A4491" s="19" t="s">
        <v>10460</v>
      </c>
      <c r="B4491" s="19">
        <v>12742</v>
      </c>
      <c r="C4491" s="20" t="s">
        <v>14959</v>
      </c>
      <c r="D4491" s="19" t="s">
        <v>38</v>
      </c>
      <c r="E4491" s="19" t="s">
        <v>10459</v>
      </c>
      <c r="F4491" s="21" t="str">
        <f t="shared" ref="F4491:H4554" si="622">IF(L4491=0,"VERIFICAR",L4491)</f>
        <v>VERIFICAR</v>
      </c>
      <c r="G4491" s="21" t="str">
        <f t="shared" si="622"/>
        <v>VERIFICAR</v>
      </c>
      <c r="H4491" s="21" t="str">
        <f t="shared" si="622"/>
        <v>VERIFICAR</v>
      </c>
      <c r="I4491" s="24" t="str">
        <f t="shared" ref="I4491:I4554" si="623">IF(OR(L4491=0,M4491=0,N4491=0),"SEM VALOR","COM VALOR")</f>
        <v xml:space="preserve">SEM VALOR</v>
      </c>
      <c r="L4491" s="36"/>
      <c r="M4491" s="37"/>
      <c r="N4491" s="36"/>
    </row>
    <row r="4492" ht="25.5">
      <c r="A4492" s="19" t="s">
        <v>10460</v>
      </c>
      <c r="B4492" s="19">
        <v>12713</v>
      </c>
      <c r="C4492" s="20" t="s">
        <v>14960</v>
      </c>
      <c r="D4492" s="19" t="s">
        <v>38</v>
      </c>
      <c r="E4492" s="19" t="s">
        <v>10466</v>
      </c>
      <c r="F4492" s="21" t="str">
        <f t="shared" si="622"/>
        <v>VERIFICAR</v>
      </c>
      <c r="G4492" s="21" t="str">
        <f t="shared" si="622"/>
        <v>VERIFICAR</v>
      </c>
      <c r="H4492" s="21" t="str">
        <f t="shared" si="622"/>
        <v>VERIFICAR</v>
      </c>
      <c r="I4492" s="24" t="str">
        <f t="shared" si="623"/>
        <v xml:space="preserve">SEM VALOR</v>
      </c>
      <c r="L4492" s="36"/>
      <c r="M4492" s="37"/>
      <c r="N4492" s="36"/>
    </row>
    <row r="4493" ht="25.5">
      <c r="A4493" s="19" t="s">
        <v>10460</v>
      </c>
      <c r="B4493" s="19">
        <v>12743</v>
      </c>
      <c r="C4493" s="20" t="s">
        <v>14961</v>
      </c>
      <c r="D4493" s="19" t="s">
        <v>38</v>
      </c>
      <c r="E4493" s="19" t="s">
        <v>10459</v>
      </c>
      <c r="F4493" s="21" t="str">
        <f t="shared" si="622"/>
        <v>VERIFICAR</v>
      </c>
      <c r="G4493" s="21" t="str">
        <f t="shared" si="622"/>
        <v>VERIFICAR</v>
      </c>
      <c r="H4493" s="21" t="str">
        <f t="shared" si="622"/>
        <v>VERIFICAR</v>
      </c>
      <c r="I4493" s="24" t="str">
        <f t="shared" si="623"/>
        <v xml:space="preserve">SEM VALOR</v>
      </c>
      <c r="L4493" s="36"/>
      <c r="M4493" s="37"/>
      <c r="N4493" s="36"/>
    </row>
    <row r="4494" ht="25.5">
      <c r="A4494" s="19" t="s">
        <v>10460</v>
      </c>
      <c r="B4494" s="19">
        <v>12744</v>
      </c>
      <c r="C4494" s="20" t="s">
        <v>14962</v>
      </c>
      <c r="D4494" s="19" t="s">
        <v>38</v>
      </c>
      <c r="E4494" s="19" t="s">
        <v>10459</v>
      </c>
      <c r="F4494" s="21" t="str">
        <f t="shared" si="622"/>
        <v>VERIFICAR</v>
      </c>
      <c r="G4494" s="21" t="str">
        <f t="shared" si="622"/>
        <v>VERIFICAR</v>
      </c>
      <c r="H4494" s="21" t="str">
        <f t="shared" si="622"/>
        <v>VERIFICAR</v>
      </c>
      <c r="I4494" s="24" t="str">
        <f t="shared" si="623"/>
        <v xml:space="preserve">SEM VALOR</v>
      </c>
      <c r="L4494" s="36"/>
      <c r="M4494" s="37"/>
      <c r="N4494" s="36"/>
    </row>
    <row r="4495" ht="25.5">
      <c r="A4495" s="19" t="s">
        <v>10460</v>
      </c>
      <c r="B4495" s="19">
        <v>12745</v>
      </c>
      <c r="C4495" s="20" t="s">
        <v>14963</v>
      </c>
      <c r="D4495" s="19" t="s">
        <v>38</v>
      </c>
      <c r="E4495" s="19" t="s">
        <v>10459</v>
      </c>
      <c r="F4495" s="21" t="str">
        <f t="shared" si="622"/>
        <v>VERIFICAR</v>
      </c>
      <c r="G4495" s="21" t="str">
        <f t="shared" si="622"/>
        <v>VERIFICAR</v>
      </c>
      <c r="H4495" s="21" t="str">
        <f t="shared" si="622"/>
        <v>VERIFICAR</v>
      </c>
      <c r="I4495" s="24" t="str">
        <f t="shared" si="623"/>
        <v xml:space="preserve">SEM VALOR</v>
      </c>
      <c r="L4495" s="36"/>
      <c r="M4495" s="37"/>
      <c r="N4495" s="36"/>
    </row>
    <row r="4496" ht="25.5">
      <c r="A4496" s="19" t="s">
        <v>10460</v>
      </c>
      <c r="B4496" s="19">
        <v>12746</v>
      </c>
      <c r="C4496" s="20" t="s">
        <v>14964</v>
      </c>
      <c r="D4496" s="19" t="s">
        <v>38</v>
      </c>
      <c r="E4496" s="19" t="s">
        <v>10459</v>
      </c>
      <c r="F4496" s="21" t="str">
        <f t="shared" si="622"/>
        <v>VERIFICAR</v>
      </c>
      <c r="G4496" s="21" t="str">
        <f t="shared" si="622"/>
        <v>VERIFICAR</v>
      </c>
      <c r="H4496" s="21" t="str">
        <f t="shared" si="622"/>
        <v>VERIFICAR</v>
      </c>
      <c r="I4496" s="24" t="str">
        <f t="shared" si="623"/>
        <v xml:space="preserve">SEM VALOR</v>
      </c>
      <c r="L4496" s="36"/>
      <c r="M4496" s="37"/>
      <c r="N4496" s="36"/>
    </row>
    <row r="4497" ht="25.5">
      <c r="A4497" s="19" t="s">
        <v>10460</v>
      </c>
      <c r="B4497" s="19">
        <v>12747</v>
      </c>
      <c r="C4497" s="20" t="s">
        <v>14965</v>
      </c>
      <c r="D4497" s="19" t="s">
        <v>38</v>
      </c>
      <c r="E4497" s="19" t="s">
        <v>10459</v>
      </c>
      <c r="F4497" s="21" t="str">
        <f t="shared" si="622"/>
        <v>VERIFICAR</v>
      </c>
      <c r="G4497" s="21" t="str">
        <f t="shared" si="622"/>
        <v>VERIFICAR</v>
      </c>
      <c r="H4497" s="21" t="str">
        <f t="shared" si="622"/>
        <v>VERIFICAR</v>
      </c>
      <c r="I4497" s="24" t="str">
        <f t="shared" si="623"/>
        <v xml:space="preserve">SEM VALOR</v>
      </c>
      <c r="L4497" s="36"/>
      <c r="M4497" s="37"/>
      <c r="N4497" s="36"/>
    </row>
    <row r="4498" ht="25.5">
      <c r="A4498" s="19" t="s">
        <v>10460</v>
      </c>
      <c r="B4498" s="19">
        <v>12748</v>
      </c>
      <c r="C4498" s="20" t="s">
        <v>14966</v>
      </c>
      <c r="D4498" s="19" t="s">
        <v>38</v>
      </c>
      <c r="E4498" s="19" t="s">
        <v>10459</v>
      </c>
      <c r="F4498" s="21" t="str">
        <f t="shared" si="622"/>
        <v>VERIFICAR</v>
      </c>
      <c r="G4498" s="21" t="str">
        <f t="shared" si="622"/>
        <v>VERIFICAR</v>
      </c>
      <c r="H4498" s="21" t="str">
        <f t="shared" si="622"/>
        <v>VERIFICAR</v>
      </c>
      <c r="I4498" s="24" t="str">
        <f t="shared" si="623"/>
        <v xml:space="preserve">SEM VALOR</v>
      </c>
      <c r="L4498" s="36"/>
      <c r="M4498" s="37"/>
      <c r="N4498" s="36"/>
    </row>
    <row r="4499" ht="25.5">
      <c r="A4499" s="19" t="s">
        <v>10460</v>
      </c>
      <c r="B4499" s="19">
        <v>12749</v>
      </c>
      <c r="C4499" s="20" t="s">
        <v>14967</v>
      </c>
      <c r="D4499" s="19" t="s">
        <v>38</v>
      </c>
      <c r="E4499" s="19" t="s">
        <v>10459</v>
      </c>
      <c r="F4499" s="21" t="str">
        <f t="shared" si="622"/>
        <v>VERIFICAR</v>
      </c>
      <c r="G4499" s="21" t="str">
        <f t="shared" si="622"/>
        <v>VERIFICAR</v>
      </c>
      <c r="H4499" s="21" t="str">
        <f t="shared" si="622"/>
        <v>VERIFICAR</v>
      </c>
      <c r="I4499" s="24" t="str">
        <f t="shared" si="623"/>
        <v xml:space="preserve">SEM VALOR</v>
      </c>
      <c r="L4499" s="36"/>
      <c r="M4499" s="37"/>
      <c r="N4499" s="36"/>
    </row>
    <row r="4500" ht="38.25">
      <c r="A4500" s="19" t="s">
        <v>10460</v>
      </c>
      <c r="B4500" s="19">
        <v>39660</v>
      </c>
      <c r="C4500" s="20" t="s">
        <v>14968</v>
      </c>
      <c r="D4500" s="19" t="s">
        <v>38</v>
      </c>
      <c r="E4500" s="19" t="s">
        <v>10459</v>
      </c>
      <c r="F4500" s="21" t="str">
        <f t="shared" si="622"/>
        <v>VERIFICAR</v>
      </c>
      <c r="G4500" s="21" t="str">
        <f t="shared" si="622"/>
        <v>VERIFICAR</v>
      </c>
      <c r="H4500" s="21" t="str">
        <f t="shared" si="622"/>
        <v>VERIFICAR</v>
      </c>
      <c r="I4500" s="24" t="str">
        <f t="shared" si="623"/>
        <v xml:space="preserve">SEM VALOR</v>
      </c>
      <c r="L4500" s="36"/>
      <c r="M4500" s="37"/>
      <c r="N4500" s="36"/>
    </row>
    <row r="4501" ht="38.25">
      <c r="A4501" s="19" t="s">
        <v>10460</v>
      </c>
      <c r="B4501" s="19">
        <v>39662</v>
      </c>
      <c r="C4501" s="20" t="s">
        <v>14969</v>
      </c>
      <c r="D4501" s="19" t="s">
        <v>38</v>
      </c>
      <c r="E4501" s="19" t="s">
        <v>10459</v>
      </c>
      <c r="F4501" s="21" t="str">
        <f t="shared" si="622"/>
        <v>VERIFICAR</v>
      </c>
      <c r="G4501" s="21" t="str">
        <f t="shared" si="622"/>
        <v>VERIFICAR</v>
      </c>
      <c r="H4501" s="21" t="str">
        <f t="shared" si="622"/>
        <v>VERIFICAR</v>
      </c>
      <c r="I4501" s="24" t="str">
        <f t="shared" si="623"/>
        <v xml:space="preserve">SEM VALOR</v>
      </c>
      <c r="L4501" s="36"/>
      <c r="M4501" s="37"/>
      <c r="N4501" s="36"/>
    </row>
    <row r="4502" ht="38.25">
      <c r="A4502" s="19" t="s">
        <v>10460</v>
      </c>
      <c r="B4502" s="19">
        <v>39661</v>
      </c>
      <c r="C4502" s="20" t="s">
        <v>14970</v>
      </c>
      <c r="D4502" s="19" t="s">
        <v>38</v>
      </c>
      <c r="E4502" s="19" t="s">
        <v>10459</v>
      </c>
      <c r="F4502" s="21" t="str">
        <f t="shared" si="622"/>
        <v>VERIFICAR</v>
      </c>
      <c r="G4502" s="21" t="str">
        <f t="shared" si="622"/>
        <v>VERIFICAR</v>
      </c>
      <c r="H4502" s="21" t="str">
        <f t="shared" si="622"/>
        <v>VERIFICAR</v>
      </c>
      <c r="I4502" s="24" t="str">
        <f t="shared" si="623"/>
        <v xml:space="preserve">SEM VALOR</v>
      </c>
      <c r="L4502" s="36"/>
      <c r="M4502" s="37"/>
      <c r="N4502" s="36"/>
    </row>
    <row r="4503" ht="38.25">
      <c r="A4503" s="19" t="s">
        <v>10460</v>
      </c>
      <c r="B4503" s="19">
        <v>39666</v>
      </c>
      <c r="C4503" s="20" t="s">
        <v>14971</v>
      </c>
      <c r="D4503" s="19" t="s">
        <v>38</v>
      </c>
      <c r="E4503" s="19" t="s">
        <v>10459</v>
      </c>
      <c r="F4503" s="21" t="str">
        <f t="shared" si="622"/>
        <v>VERIFICAR</v>
      </c>
      <c r="G4503" s="21" t="str">
        <f t="shared" si="622"/>
        <v>VERIFICAR</v>
      </c>
      <c r="H4503" s="21" t="str">
        <f t="shared" si="622"/>
        <v>VERIFICAR</v>
      </c>
      <c r="I4503" s="24" t="str">
        <f t="shared" si="623"/>
        <v xml:space="preserve">SEM VALOR</v>
      </c>
      <c r="L4503" s="36"/>
      <c r="M4503" s="37"/>
      <c r="N4503" s="36"/>
    </row>
    <row r="4504" ht="38.25">
      <c r="A4504" s="19" t="s">
        <v>10460</v>
      </c>
      <c r="B4504" s="19">
        <v>39664</v>
      </c>
      <c r="C4504" s="20" t="s">
        <v>14972</v>
      </c>
      <c r="D4504" s="19" t="s">
        <v>38</v>
      </c>
      <c r="E4504" s="19" t="s">
        <v>10459</v>
      </c>
      <c r="F4504" s="21" t="str">
        <f t="shared" si="622"/>
        <v>VERIFICAR</v>
      </c>
      <c r="G4504" s="21" t="str">
        <f t="shared" si="622"/>
        <v>VERIFICAR</v>
      </c>
      <c r="H4504" s="21" t="str">
        <f t="shared" si="622"/>
        <v>VERIFICAR</v>
      </c>
      <c r="I4504" s="24" t="str">
        <f t="shared" si="623"/>
        <v xml:space="preserve">SEM VALOR</v>
      </c>
      <c r="L4504" s="36"/>
      <c r="M4504" s="37"/>
      <c r="N4504" s="36"/>
    </row>
    <row r="4505" ht="38.25">
      <c r="A4505" s="19" t="s">
        <v>10460</v>
      </c>
      <c r="B4505" s="19">
        <v>39663</v>
      </c>
      <c r="C4505" s="20" t="s">
        <v>14973</v>
      </c>
      <c r="D4505" s="19" t="s">
        <v>38</v>
      </c>
      <c r="E4505" s="19" t="s">
        <v>10459</v>
      </c>
      <c r="F4505" s="21" t="str">
        <f t="shared" si="622"/>
        <v>VERIFICAR</v>
      </c>
      <c r="G4505" s="21" t="str">
        <f t="shared" si="622"/>
        <v>VERIFICAR</v>
      </c>
      <c r="H4505" s="21" t="str">
        <f t="shared" si="622"/>
        <v>VERIFICAR</v>
      </c>
      <c r="I4505" s="24" t="str">
        <f t="shared" si="623"/>
        <v xml:space="preserve">SEM VALOR</v>
      </c>
      <c r="L4505" s="36"/>
      <c r="M4505" s="37"/>
      <c r="N4505" s="36"/>
    </row>
    <row r="4506" ht="38.25">
      <c r="A4506" s="19" t="s">
        <v>10460</v>
      </c>
      <c r="B4506" s="19">
        <v>39665</v>
      </c>
      <c r="C4506" s="20" t="s">
        <v>14974</v>
      </c>
      <c r="D4506" s="19" t="s">
        <v>38</v>
      </c>
      <c r="E4506" s="19" t="s">
        <v>10459</v>
      </c>
      <c r="F4506" s="21" t="str">
        <f t="shared" si="622"/>
        <v>VERIFICAR</v>
      </c>
      <c r="G4506" s="21" t="str">
        <f t="shared" si="622"/>
        <v>VERIFICAR</v>
      </c>
      <c r="H4506" s="21" t="str">
        <f t="shared" si="622"/>
        <v>VERIFICAR</v>
      </c>
      <c r="I4506" s="24" t="str">
        <f t="shared" si="623"/>
        <v xml:space="preserve">SEM VALOR</v>
      </c>
      <c r="L4506" s="36"/>
      <c r="M4506" s="37"/>
      <c r="N4506" s="36"/>
    </row>
    <row r="4507" ht="38.25">
      <c r="A4507" s="19" t="s">
        <v>10460</v>
      </c>
      <c r="B4507" s="19">
        <v>7753</v>
      </c>
      <c r="C4507" s="20" t="s">
        <v>14975</v>
      </c>
      <c r="D4507" s="19" t="s">
        <v>38</v>
      </c>
      <c r="E4507" s="19" t="s">
        <v>10459</v>
      </c>
      <c r="F4507" s="21">
        <f t="shared" si="622"/>
        <v>485.44</v>
      </c>
      <c r="G4507" s="21">
        <f t="shared" si="622"/>
        <v>485.44</v>
      </c>
      <c r="H4507" s="21">
        <f t="shared" si="622"/>
        <v>485.44</v>
      </c>
      <c r="I4507" s="24" t="str">
        <f t="shared" si="623"/>
        <v xml:space="preserve">COM VALOR</v>
      </c>
      <c r="L4507" s="36">
        <v>485.44</v>
      </c>
      <c r="M4507" s="37">
        <v>485.44</v>
      </c>
      <c r="N4507" s="36">
        <v>485.44</v>
      </c>
    </row>
    <row r="4508" ht="38.25">
      <c r="A4508" s="19" t="s">
        <v>10460</v>
      </c>
      <c r="B4508" s="19">
        <v>13256</v>
      </c>
      <c r="C4508" s="20" t="s">
        <v>14976</v>
      </c>
      <c r="D4508" s="19" t="s">
        <v>38</v>
      </c>
      <c r="E4508" s="19" t="s">
        <v>10459</v>
      </c>
      <c r="F4508" s="21">
        <f t="shared" si="622"/>
        <v>680.03999999999996</v>
      </c>
      <c r="G4508" s="21">
        <f t="shared" si="622"/>
        <v>680.03999999999996</v>
      </c>
      <c r="H4508" s="21">
        <f t="shared" si="622"/>
        <v>680.03999999999996</v>
      </c>
      <c r="I4508" s="24" t="str">
        <f t="shared" si="623"/>
        <v xml:space="preserve">COM VALOR</v>
      </c>
      <c r="L4508" s="36">
        <v>680.03999999999996</v>
      </c>
      <c r="M4508" s="37">
        <v>680.03999999999996</v>
      </c>
      <c r="N4508" s="36">
        <v>680.03999999999996</v>
      </c>
    </row>
    <row r="4509" ht="38.25">
      <c r="A4509" s="19" t="s">
        <v>10460</v>
      </c>
      <c r="B4509" s="19">
        <v>7757</v>
      </c>
      <c r="C4509" s="20" t="s">
        <v>14977</v>
      </c>
      <c r="D4509" s="19" t="s">
        <v>38</v>
      </c>
      <c r="E4509" s="19" t="s">
        <v>10459</v>
      </c>
      <c r="F4509" s="21">
        <f t="shared" si="622"/>
        <v>725.01999999999998</v>
      </c>
      <c r="G4509" s="21">
        <f t="shared" si="622"/>
        <v>725.01999999999998</v>
      </c>
      <c r="H4509" s="21">
        <f t="shared" si="622"/>
        <v>725.01999999999998</v>
      </c>
      <c r="I4509" s="24" t="str">
        <f t="shared" si="623"/>
        <v xml:space="preserve">COM VALOR</v>
      </c>
      <c r="L4509" s="36">
        <v>725.01999999999998</v>
      </c>
      <c r="M4509" s="37">
        <v>725.01999999999998</v>
      </c>
      <c r="N4509" s="36">
        <v>725.01999999999998</v>
      </c>
    </row>
    <row r="4510" ht="38.25">
      <c r="A4510" s="19" t="s">
        <v>10460</v>
      </c>
      <c r="B4510" s="19">
        <v>7758</v>
      </c>
      <c r="C4510" s="20" t="s">
        <v>14978</v>
      </c>
      <c r="D4510" s="19" t="s">
        <v>38</v>
      </c>
      <c r="E4510" s="19" t="s">
        <v>10459</v>
      </c>
      <c r="F4510" s="21">
        <f t="shared" si="622"/>
        <v>1050.4000000000001</v>
      </c>
      <c r="G4510" s="21">
        <f t="shared" si="622"/>
        <v>1050.4000000000001</v>
      </c>
      <c r="H4510" s="21">
        <f t="shared" si="622"/>
        <v>1050.4000000000001</v>
      </c>
      <c r="I4510" s="24" t="str">
        <f t="shared" si="623"/>
        <v xml:space="preserve">COM VALOR</v>
      </c>
      <c r="L4510" s="36">
        <v>1050.4000000000001</v>
      </c>
      <c r="M4510" s="37">
        <v>1050.4000000000001</v>
      </c>
      <c r="N4510" s="36">
        <v>1050.4000000000001</v>
      </c>
    </row>
    <row r="4511" ht="38.25">
      <c r="A4511" s="19" t="s">
        <v>10460</v>
      </c>
      <c r="B4511" s="19">
        <v>7759</v>
      </c>
      <c r="C4511" s="20" t="s">
        <v>14979</v>
      </c>
      <c r="D4511" s="19" t="s">
        <v>38</v>
      </c>
      <c r="E4511" s="19" t="s">
        <v>10459</v>
      </c>
      <c r="F4511" s="21">
        <f t="shared" si="622"/>
        <v>2910.6599999999999</v>
      </c>
      <c r="G4511" s="21">
        <f t="shared" si="622"/>
        <v>2910.6599999999999</v>
      </c>
      <c r="H4511" s="21">
        <f t="shared" si="622"/>
        <v>2910.6599999999999</v>
      </c>
      <c r="I4511" s="24" t="str">
        <f t="shared" si="623"/>
        <v xml:space="preserve">COM VALOR</v>
      </c>
      <c r="L4511" s="36">
        <v>2910.6599999999999</v>
      </c>
      <c r="M4511" s="37">
        <v>2910.6599999999999</v>
      </c>
      <c r="N4511" s="36">
        <v>2910.6599999999999</v>
      </c>
    </row>
    <row r="4512" ht="38.25">
      <c r="A4512" s="19" t="s">
        <v>10460</v>
      </c>
      <c r="B4512" s="19">
        <v>40334</v>
      </c>
      <c r="C4512" s="20" t="s">
        <v>14980</v>
      </c>
      <c r="D4512" s="19" t="s">
        <v>38</v>
      </c>
      <c r="E4512" s="19" t="s">
        <v>10459</v>
      </c>
      <c r="F4512" s="21">
        <f t="shared" si="622"/>
        <v>114.03</v>
      </c>
      <c r="G4512" s="21">
        <f t="shared" si="622"/>
        <v>114.03</v>
      </c>
      <c r="H4512" s="21">
        <f t="shared" si="622"/>
        <v>114.03</v>
      </c>
      <c r="I4512" s="24" t="str">
        <f t="shared" si="623"/>
        <v xml:space="preserve">COM VALOR</v>
      </c>
      <c r="L4512" s="36">
        <v>114.03</v>
      </c>
      <c r="M4512" s="37">
        <v>114.03</v>
      </c>
      <c r="N4512" s="36">
        <v>114.03</v>
      </c>
    </row>
    <row r="4513" ht="38.25">
      <c r="A4513" s="19" t="s">
        <v>10460</v>
      </c>
      <c r="B4513" s="19">
        <v>7745</v>
      </c>
      <c r="C4513" s="20" t="s">
        <v>14981</v>
      </c>
      <c r="D4513" s="19" t="s">
        <v>38</v>
      </c>
      <c r="E4513" s="19" t="s">
        <v>10459</v>
      </c>
      <c r="F4513" s="21">
        <f t="shared" si="622"/>
        <v>128.68000000000001</v>
      </c>
      <c r="G4513" s="21">
        <f t="shared" si="622"/>
        <v>128.68000000000001</v>
      </c>
      <c r="H4513" s="21">
        <f t="shared" si="622"/>
        <v>128.68000000000001</v>
      </c>
      <c r="I4513" s="24" t="str">
        <f t="shared" si="623"/>
        <v xml:space="preserve">COM VALOR</v>
      </c>
      <c r="L4513" s="36">
        <v>128.68000000000001</v>
      </c>
      <c r="M4513" s="37">
        <v>128.68000000000001</v>
      </c>
      <c r="N4513" s="36">
        <v>128.68000000000001</v>
      </c>
    </row>
    <row r="4514" ht="38.25">
      <c r="A4514" s="19" t="s">
        <v>10460</v>
      </c>
      <c r="B4514" s="19">
        <v>7742</v>
      </c>
      <c r="C4514" s="20" t="s">
        <v>14982</v>
      </c>
      <c r="D4514" s="19" t="s">
        <v>38</v>
      </c>
      <c r="E4514" s="19" t="s">
        <v>10459</v>
      </c>
      <c r="F4514" s="21">
        <f t="shared" si="622"/>
        <v>339.38999999999999</v>
      </c>
      <c r="G4514" s="21">
        <f t="shared" si="622"/>
        <v>339.38999999999999</v>
      </c>
      <c r="H4514" s="21">
        <f t="shared" si="622"/>
        <v>339.38999999999999</v>
      </c>
      <c r="I4514" s="24" t="str">
        <f t="shared" si="623"/>
        <v xml:space="preserve">COM VALOR</v>
      </c>
      <c r="L4514" s="36">
        <v>339.38999999999999</v>
      </c>
      <c r="M4514" s="37">
        <v>339.38999999999999</v>
      </c>
      <c r="N4514" s="36">
        <v>339.38999999999999</v>
      </c>
    </row>
    <row r="4515" ht="38.25">
      <c r="A4515" s="19" t="s">
        <v>10460</v>
      </c>
      <c r="B4515" s="19">
        <v>7750</v>
      </c>
      <c r="C4515" s="20" t="s">
        <v>14983</v>
      </c>
      <c r="D4515" s="19" t="s">
        <v>38</v>
      </c>
      <c r="E4515" s="19" t="s">
        <v>10459</v>
      </c>
      <c r="F4515" s="21">
        <f t="shared" si="622"/>
        <v>414.30000000000001</v>
      </c>
      <c r="G4515" s="21">
        <f t="shared" si="622"/>
        <v>414.30000000000001</v>
      </c>
      <c r="H4515" s="21">
        <f t="shared" si="622"/>
        <v>414.30000000000001</v>
      </c>
      <c r="I4515" s="24" t="str">
        <f t="shared" si="623"/>
        <v xml:space="preserve">COM VALOR</v>
      </c>
      <c r="L4515" s="36">
        <v>414.30000000000001</v>
      </c>
      <c r="M4515" s="37">
        <v>414.30000000000001</v>
      </c>
      <c r="N4515" s="36">
        <v>414.30000000000001</v>
      </c>
    </row>
    <row r="4516" ht="38.25">
      <c r="A4516" s="19" t="s">
        <v>10460</v>
      </c>
      <c r="B4516" s="19">
        <v>7756</v>
      </c>
      <c r="C4516" s="20" t="s">
        <v>14984</v>
      </c>
      <c r="D4516" s="19" t="s">
        <v>38</v>
      </c>
      <c r="E4516" s="19" t="s">
        <v>10459</v>
      </c>
      <c r="F4516" s="21">
        <f t="shared" si="622"/>
        <v>476.01999999999998</v>
      </c>
      <c r="G4516" s="21">
        <f t="shared" si="622"/>
        <v>476.01999999999998</v>
      </c>
      <c r="H4516" s="21">
        <f t="shared" si="622"/>
        <v>476.01999999999998</v>
      </c>
      <c r="I4516" s="24" t="str">
        <f t="shared" si="623"/>
        <v xml:space="preserve">COM VALOR</v>
      </c>
      <c r="L4516" s="36">
        <v>476.01999999999998</v>
      </c>
      <c r="M4516" s="37">
        <v>476.01999999999998</v>
      </c>
      <c r="N4516" s="36">
        <v>476.01999999999998</v>
      </c>
    </row>
    <row r="4517" ht="38.25">
      <c r="A4517" s="19" t="s">
        <v>10460</v>
      </c>
      <c r="B4517" s="19">
        <v>7725</v>
      </c>
      <c r="C4517" s="20" t="s">
        <v>14985</v>
      </c>
      <c r="D4517" s="19" t="s">
        <v>38</v>
      </c>
      <c r="E4517" s="19" t="s">
        <v>10466</v>
      </c>
      <c r="F4517" s="21">
        <f t="shared" si="622"/>
        <v>249</v>
      </c>
      <c r="G4517" s="21">
        <f t="shared" si="622"/>
        <v>249</v>
      </c>
      <c r="H4517" s="21">
        <f t="shared" si="622"/>
        <v>249</v>
      </c>
      <c r="I4517" s="24" t="str">
        <f t="shared" si="623"/>
        <v xml:space="preserve">COM VALOR</v>
      </c>
      <c r="L4517" s="36">
        <v>249</v>
      </c>
      <c r="M4517" s="37">
        <v>249</v>
      </c>
      <c r="N4517" s="36">
        <v>249</v>
      </c>
    </row>
    <row r="4518" ht="38.25">
      <c r="A4518" s="19" t="s">
        <v>10460</v>
      </c>
      <c r="B4518" s="19">
        <v>7765</v>
      </c>
      <c r="C4518" s="20" t="s">
        <v>14986</v>
      </c>
      <c r="D4518" s="19" t="s">
        <v>38</v>
      </c>
      <c r="E4518" s="19" t="s">
        <v>10459</v>
      </c>
      <c r="F4518" s="21">
        <f t="shared" si="622"/>
        <v>533.57000000000005</v>
      </c>
      <c r="G4518" s="21">
        <f t="shared" si="622"/>
        <v>533.57000000000005</v>
      </c>
      <c r="H4518" s="21">
        <f t="shared" si="622"/>
        <v>533.57000000000005</v>
      </c>
      <c r="I4518" s="24" t="str">
        <f t="shared" si="623"/>
        <v xml:space="preserve">COM VALOR</v>
      </c>
      <c r="L4518" s="36">
        <v>533.57000000000005</v>
      </c>
      <c r="M4518" s="37">
        <v>533.57000000000005</v>
      </c>
      <c r="N4518" s="36">
        <v>533.57000000000005</v>
      </c>
    </row>
    <row r="4519" ht="38.25">
      <c r="A4519" s="19" t="s">
        <v>10460</v>
      </c>
      <c r="B4519" s="19">
        <v>12569</v>
      </c>
      <c r="C4519" s="20" t="s">
        <v>14987</v>
      </c>
      <c r="D4519" s="19" t="s">
        <v>38</v>
      </c>
      <c r="E4519" s="19" t="s">
        <v>10459</v>
      </c>
      <c r="F4519" s="21">
        <f t="shared" si="622"/>
        <v>736.52999999999997</v>
      </c>
      <c r="G4519" s="21">
        <f t="shared" si="622"/>
        <v>736.52999999999997</v>
      </c>
      <c r="H4519" s="21">
        <f t="shared" si="622"/>
        <v>736.52999999999997</v>
      </c>
      <c r="I4519" s="24" t="str">
        <f t="shared" si="623"/>
        <v xml:space="preserve">COM VALOR</v>
      </c>
      <c r="L4519" s="36">
        <v>736.52999999999997</v>
      </c>
      <c r="M4519" s="37">
        <v>736.52999999999997</v>
      </c>
      <c r="N4519" s="36">
        <v>736.52999999999997</v>
      </c>
    </row>
    <row r="4520" ht="38.25">
      <c r="A4520" s="19" t="s">
        <v>10460</v>
      </c>
      <c r="B4520" s="19">
        <v>7766</v>
      </c>
      <c r="C4520" s="20" t="s">
        <v>14988</v>
      </c>
      <c r="D4520" s="19" t="s">
        <v>38</v>
      </c>
      <c r="E4520" s="19" t="s">
        <v>10459</v>
      </c>
      <c r="F4520" s="21">
        <f t="shared" si="622"/>
        <v>782.57000000000005</v>
      </c>
      <c r="G4520" s="21">
        <f t="shared" si="622"/>
        <v>782.57000000000005</v>
      </c>
      <c r="H4520" s="21">
        <f t="shared" si="622"/>
        <v>782.57000000000005</v>
      </c>
      <c r="I4520" s="24" t="str">
        <f t="shared" si="623"/>
        <v xml:space="preserve">COM VALOR</v>
      </c>
      <c r="L4520" s="36">
        <v>782.57000000000005</v>
      </c>
      <c r="M4520" s="37">
        <v>782.57000000000005</v>
      </c>
      <c r="N4520" s="36">
        <v>782.57000000000005</v>
      </c>
    </row>
    <row r="4521" ht="38.25">
      <c r="A4521" s="19" t="s">
        <v>10460</v>
      </c>
      <c r="B4521" s="19">
        <v>7767</v>
      </c>
      <c r="C4521" s="20" t="s">
        <v>14989</v>
      </c>
      <c r="D4521" s="19" t="s">
        <v>38</v>
      </c>
      <c r="E4521" s="19" t="s">
        <v>10459</v>
      </c>
      <c r="F4521" s="21">
        <f t="shared" si="622"/>
        <v>1123.6300000000001</v>
      </c>
      <c r="G4521" s="21">
        <f t="shared" si="622"/>
        <v>1123.6300000000001</v>
      </c>
      <c r="H4521" s="21">
        <f t="shared" si="622"/>
        <v>1123.6300000000001</v>
      </c>
      <c r="I4521" s="24" t="str">
        <f t="shared" si="623"/>
        <v xml:space="preserve">COM VALOR</v>
      </c>
      <c r="L4521" s="36">
        <v>1123.6300000000001</v>
      </c>
      <c r="M4521" s="37">
        <v>1123.6300000000001</v>
      </c>
      <c r="N4521" s="36">
        <v>1123.6300000000001</v>
      </c>
    </row>
    <row r="4522" ht="38.25">
      <c r="A4522" s="19" t="s">
        <v>10460</v>
      </c>
      <c r="B4522" s="19">
        <v>7727</v>
      </c>
      <c r="C4522" s="20" t="s">
        <v>14990</v>
      </c>
      <c r="D4522" s="19" t="s">
        <v>38</v>
      </c>
      <c r="E4522" s="19" t="s">
        <v>10459</v>
      </c>
      <c r="F4522" s="21">
        <f t="shared" si="622"/>
        <v>3264.1999999999998</v>
      </c>
      <c r="G4522" s="21">
        <f t="shared" si="622"/>
        <v>3264.1999999999998</v>
      </c>
      <c r="H4522" s="21">
        <f t="shared" si="622"/>
        <v>3264.1999999999998</v>
      </c>
      <c r="I4522" s="24" t="str">
        <f t="shared" si="623"/>
        <v xml:space="preserve">COM VALOR</v>
      </c>
      <c r="L4522" s="36">
        <v>3264.1999999999998</v>
      </c>
      <c r="M4522" s="37">
        <v>3264.1999999999998</v>
      </c>
      <c r="N4522" s="36">
        <v>3264.1999999999998</v>
      </c>
    </row>
    <row r="4523" ht="38.25">
      <c r="A4523" s="19" t="s">
        <v>10460</v>
      </c>
      <c r="B4523" s="19">
        <v>7760</v>
      </c>
      <c r="C4523" s="20" t="s">
        <v>14991</v>
      </c>
      <c r="D4523" s="19" t="s">
        <v>38</v>
      </c>
      <c r="E4523" s="19" t="s">
        <v>10459</v>
      </c>
      <c r="F4523" s="21">
        <f t="shared" si="622"/>
        <v>129.72999999999999</v>
      </c>
      <c r="G4523" s="21">
        <f t="shared" si="622"/>
        <v>129.72999999999999</v>
      </c>
      <c r="H4523" s="21">
        <f t="shared" si="622"/>
        <v>129.72999999999999</v>
      </c>
      <c r="I4523" s="24" t="str">
        <f t="shared" si="623"/>
        <v xml:space="preserve">COM VALOR</v>
      </c>
      <c r="L4523" s="36">
        <v>129.72999999999999</v>
      </c>
      <c r="M4523" s="37">
        <v>129.72999999999999</v>
      </c>
      <c r="N4523" s="36">
        <v>129.72999999999999</v>
      </c>
    </row>
    <row r="4524" ht="38.25">
      <c r="A4524" s="19" t="s">
        <v>10460</v>
      </c>
      <c r="B4524" s="19">
        <v>7761</v>
      </c>
      <c r="C4524" s="20" t="s">
        <v>14992</v>
      </c>
      <c r="D4524" s="19" t="s">
        <v>38</v>
      </c>
      <c r="E4524" s="19" t="s">
        <v>10459</v>
      </c>
      <c r="F4524" s="21">
        <f t="shared" si="622"/>
        <v>136</v>
      </c>
      <c r="G4524" s="21">
        <f t="shared" si="622"/>
        <v>136</v>
      </c>
      <c r="H4524" s="21">
        <f t="shared" si="622"/>
        <v>136</v>
      </c>
      <c r="I4524" s="24" t="str">
        <f t="shared" si="623"/>
        <v xml:space="preserve">COM VALOR</v>
      </c>
      <c r="L4524" s="36">
        <v>136</v>
      </c>
      <c r="M4524" s="37">
        <v>136</v>
      </c>
      <c r="N4524" s="36">
        <v>136</v>
      </c>
    </row>
    <row r="4525" ht="38.25">
      <c r="A4525" s="19" t="s">
        <v>10460</v>
      </c>
      <c r="B4525" s="19">
        <v>7752</v>
      </c>
      <c r="C4525" s="20" t="s">
        <v>14993</v>
      </c>
      <c r="D4525" s="19" t="s">
        <v>38</v>
      </c>
      <c r="E4525" s="19" t="s">
        <v>10459</v>
      </c>
      <c r="F4525" s="21">
        <f t="shared" si="622"/>
        <v>165.30000000000001</v>
      </c>
      <c r="G4525" s="21">
        <f t="shared" si="622"/>
        <v>165.30000000000001</v>
      </c>
      <c r="H4525" s="21">
        <f t="shared" si="622"/>
        <v>165.30000000000001</v>
      </c>
      <c r="I4525" s="24" t="str">
        <f t="shared" si="623"/>
        <v xml:space="preserve">COM VALOR</v>
      </c>
      <c r="L4525" s="36">
        <v>165.30000000000001</v>
      </c>
      <c r="M4525" s="37">
        <v>165.30000000000001</v>
      </c>
      <c r="N4525" s="36">
        <v>165.30000000000001</v>
      </c>
    </row>
    <row r="4526" ht="38.25">
      <c r="A4526" s="19" t="s">
        <v>10460</v>
      </c>
      <c r="B4526" s="19">
        <v>7762</v>
      </c>
      <c r="C4526" s="20" t="s">
        <v>14994</v>
      </c>
      <c r="D4526" s="19" t="s">
        <v>38</v>
      </c>
      <c r="E4526" s="19" t="s">
        <v>10459</v>
      </c>
      <c r="F4526" s="21">
        <f t="shared" si="622"/>
        <v>216.03999999999999</v>
      </c>
      <c r="G4526" s="21">
        <f t="shared" si="622"/>
        <v>216.03999999999999</v>
      </c>
      <c r="H4526" s="21">
        <f t="shared" si="622"/>
        <v>216.03999999999999</v>
      </c>
      <c r="I4526" s="24" t="str">
        <f t="shared" si="623"/>
        <v xml:space="preserve">COM VALOR</v>
      </c>
      <c r="J4526" s="38"/>
      <c r="L4526" s="36">
        <v>216.03999999999999</v>
      </c>
      <c r="M4526" s="37">
        <v>216.03999999999999</v>
      </c>
      <c r="N4526" s="36">
        <v>216.03999999999999</v>
      </c>
    </row>
    <row r="4527" ht="38.25">
      <c r="A4527" s="19" t="s">
        <v>10460</v>
      </c>
      <c r="B4527" s="19">
        <v>7722</v>
      </c>
      <c r="C4527" s="20" t="s">
        <v>14995</v>
      </c>
      <c r="D4527" s="19" t="s">
        <v>38</v>
      </c>
      <c r="E4527" s="19" t="s">
        <v>10459</v>
      </c>
      <c r="F4527" s="21">
        <f t="shared" si="622"/>
        <v>330.60000000000002</v>
      </c>
      <c r="G4527" s="21">
        <f t="shared" si="622"/>
        <v>330.60000000000002</v>
      </c>
      <c r="H4527" s="21">
        <f t="shared" si="622"/>
        <v>330.60000000000002</v>
      </c>
      <c r="I4527" s="24" t="str">
        <f t="shared" si="623"/>
        <v xml:space="preserve">COM VALOR</v>
      </c>
      <c r="L4527" s="36">
        <v>330.60000000000002</v>
      </c>
      <c r="M4527" s="37">
        <v>330.60000000000002</v>
      </c>
      <c r="N4527" s="36">
        <v>330.60000000000002</v>
      </c>
    </row>
    <row r="4528" ht="38.25">
      <c r="A4528" s="19" t="s">
        <v>10460</v>
      </c>
      <c r="B4528" s="19">
        <v>7763</v>
      </c>
      <c r="C4528" s="20" t="s">
        <v>14996</v>
      </c>
      <c r="D4528" s="19" t="s">
        <v>38</v>
      </c>
      <c r="E4528" s="19" t="s">
        <v>10459</v>
      </c>
      <c r="F4528" s="21">
        <f t="shared" si="622"/>
        <v>402.79000000000002</v>
      </c>
      <c r="G4528" s="21">
        <f t="shared" si="622"/>
        <v>402.79000000000002</v>
      </c>
      <c r="H4528" s="21">
        <f t="shared" si="622"/>
        <v>402.79000000000002</v>
      </c>
      <c r="I4528" s="24" t="str">
        <f t="shared" si="623"/>
        <v xml:space="preserve">COM VALOR</v>
      </c>
      <c r="J4528" s="38"/>
      <c r="L4528" s="36">
        <v>402.79000000000002</v>
      </c>
      <c r="M4528" s="37">
        <v>402.79000000000002</v>
      </c>
      <c r="N4528" s="36">
        <v>402.79000000000002</v>
      </c>
    </row>
    <row r="4529" ht="38.25">
      <c r="A4529" s="19" t="s">
        <v>10460</v>
      </c>
      <c r="B4529" s="19">
        <v>7764</v>
      </c>
      <c r="C4529" s="20" t="s">
        <v>14997</v>
      </c>
      <c r="D4529" s="19" t="s">
        <v>38</v>
      </c>
      <c r="E4529" s="19" t="s">
        <v>10459</v>
      </c>
      <c r="F4529" s="21">
        <f t="shared" si="622"/>
        <v>481.25999999999999</v>
      </c>
      <c r="G4529" s="21">
        <f t="shared" si="622"/>
        <v>481.25999999999999</v>
      </c>
      <c r="H4529" s="21">
        <f t="shared" si="622"/>
        <v>481.25999999999999</v>
      </c>
      <c r="I4529" s="24" t="str">
        <f t="shared" si="623"/>
        <v xml:space="preserve">COM VALOR</v>
      </c>
      <c r="L4529" s="36">
        <v>481.25999999999999</v>
      </c>
      <c r="M4529" s="37">
        <v>481.25999999999999</v>
      </c>
      <c r="N4529" s="36">
        <v>481.25999999999999</v>
      </c>
    </row>
    <row r="4530" ht="38.25">
      <c r="A4530" s="19" t="s">
        <v>10460</v>
      </c>
      <c r="B4530" s="19">
        <v>12572</v>
      </c>
      <c r="C4530" s="20" t="s">
        <v>14998</v>
      </c>
      <c r="D4530" s="19" t="s">
        <v>38</v>
      </c>
      <c r="E4530" s="19" t="s">
        <v>10459</v>
      </c>
      <c r="F4530" s="21">
        <f t="shared" si="622"/>
        <v>680.03999999999996</v>
      </c>
      <c r="G4530" s="21">
        <f t="shared" si="622"/>
        <v>680.03999999999996</v>
      </c>
      <c r="H4530" s="21">
        <f t="shared" si="622"/>
        <v>680.03999999999996</v>
      </c>
      <c r="I4530" s="24" t="str">
        <f t="shared" si="623"/>
        <v xml:space="preserve">COM VALOR</v>
      </c>
      <c r="J4530" s="38"/>
      <c r="L4530" s="36">
        <v>680.03999999999996</v>
      </c>
      <c r="M4530" s="37">
        <v>680.03999999999996</v>
      </c>
      <c r="N4530" s="36">
        <v>680.03999999999996</v>
      </c>
    </row>
    <row r="4531" ht="38.25">
      <c r="A4531" s="19" t="s">
        <v>10460</v>
      </c>
      <c r="B4531" s="19">
        <v>12573</v>
      </c>
      <c r="C4531" s="20" t="s">
        <v>14999</v>
      </c>
      <c r="D4531" s="19" t="s">
        <v>38</v>
      </c>
      <c r="E4531" s="19" t="s">
        <v>10459</v>
      </c>
      <c r="F4531" s="21">
        <f t="shared" si="622"/>
        <v>894.50999999999999</v>
      </c>
      <c r="G4531" s="21">
        <f t="shared" si="622"/>
        <v>894.50999999999999</v>
      </c>
      <c r="H4531" s="21">
        <f t="shared" si="622"/>
        <v>894.50999999999999</v>
      </c>
      <c r="I4531" s="24" t="str">
        <f t="shared" si="623"/>
        <v xml:space="preserve">COM VALOR</v>
      </c>
      <c r="L4531" s="36">
        <v>894.50999999999999</v>
      </c>
      <c r="M4531" s="37">
        <v>894.50999999999999</v>
      </c>
      <c r="N4531" s="36">
        <v>894.50999999999999</v>
      </c>
    </row>
    <row r="4532" ht="38.25">
      <c r="A4532" s="19" t="s">
        <v>10460</v>
      </c>
      <c r="B4532" s="19">
        <v>12574</v>
      </c>
      <c r="C4532" s="20" t="s">
        <v>15000</v>
      </c>
      <c r="D4532" s="19" t="s">
        <v>38</v>
      </c>
      <c r="E4532" s="19" t="s">
        <v>10459</v>
      </c>
      <c r="F4532" s="21">
        <f t="shared" si="622"/>
        <v>1081.5799999999999</v>
      </c>
      <c r="G4532" s="21">
        <f t="shared" si="622"/>
        <v>1081.5799999999999</v>
      </c>
      <c r="H4532" s="21">
        <f t="shared" si="622"/>
        <v>1081.5799999999999</v>
      </c>
      <c r="I4532" s="24" t="str">
        <f t="shared" si="623"/>
        <v xml:space="preserve">COM VALOR</v>
      </c>
      <c r="L4532" s="36">
        <v>1081.5799999999999</v>
      </c>
      <c r="M4532" s="37">
        <v>1081.5799999999999</v>
      </c>
      <c r="N4532" s="36">
        <v>1081.5799999999999</v>
      </c>
    </row>
    <row r="4533" ht="38.25">
      <c r="A4533" s="19" t="s">
        <v>10460</v>
      </c>
      <c r="B4533" s="19">
        <v>12575</v>
      </c>
      <c r="C4533" s="20" t="s">
        <v>15001</v>
      </c>
      <c r="D4533" s="19" t="s">
        <v>38</v>
      </c>
      <c r="E4533" s="19" t="s">
        <v>10459</v>
      </c>
      <c r="F4533" s="21">
        <f t="shared" si="622"/>
        <v>1642.5599999999999</v>
      </c>
      <c r="G4533" s="21">
        <f t="shared" si="622"/>
        <v>1642.5599999999999</v>
      </c>
      <c r="H4533" s="21">
        <f t="shared" si="622"/>
        <v>1642.5599999999999</v>
      </c>
      <c r="I4533" s="24" t="str">
        <f t="shared" si="623"/>
        <v xml:space="preserve">COM VALOR</v>
      </c>
      <c r="L4533" s="36">
        <v>1642.5599999999999</v>
      </c>
      <c r="M4533" s="37">
        <v>1642.5599999999999</v>
      </c>
      <c r="N4533" s="36">
        <v>1642.5599999999999</v>
      </c>
    </row>
    <row r="4534" ht="38.25">
      <c r="A4534" s="19" t="s">
        <v>10460</v>
      </c>
      <c r="B4534" s="19">
        <v>12576</v>
      </c>
      <c r="C4534" s="20" t="s">
        <v>15002</v>
      </c>
      <c r="D4534" s="19" t="s">
        <v>38</v>
      </c>
      <c r="E4534" s="19" t="s">
        <v>10459</v>
      </c>
      <c r="F4534" s="21">
        <f t="shared" si="622"/>
        <v>198.78</v>
      </c>
      <c r="G4534" s="21">
        <f t="shared" si="622"/>
        <v>198.78</v>
      </c>
      <c r="H4534" s="21">
        <f t="shared" si="622"/>
        <v>198.78</v>
      </c>
      <c r="I4534" s="24" t="str">
        <f t="shared" si="623"/>
        <v xml:space="preserve">COM VALOR</v>
      </c>
      <c r="L4534" s="36">
        <v>198.78</v>
      </c>
      <c r="M4534" s="37">
        <v>198.78</v>
      </c>
      <c r="N4534" s="36">
        <v>198.78</v>
      </c>
    </row>
    <row r="4535" ht="38.25">
      <c r="A4535" s="19" t="s">
        <v>10460</v>
      </c>
      <c r="B4535" s="19">
        <v>12577</v>
      </c>
      <c r="C4535" s="20" t="s">
        <v>15003</v>
      </c>
      <c r="D4535" s="19" t="s">
        <v>38</v>
      </c>
      <c r="E4535" s="19" t="s">
        <v>10459</v>
      </c>
      <c r="F4535" s="21">
        <f t="shared" si="622"/>
        <v>267.82999999999998</v>
      </c>
      <c r="G4535" s="21">
        <f t="shared" si="622"/>
        <v>267.82999999999998</v>
      </c>
      <c r="H4535" s="21">
        <f t="shared" si="622"/>
        <v>267.82999999999998</v>
      </c>
      <c r="I4535" s="24" t="str">
        <f t="shared" si="623"/>
        <v xml:space="preserve">COM VALOR</v>
      </c>
      <c r="L4535" s="36">
        <v>267.82999999999998</v>
      </c>
      <c r="M4535" s="37">
        <v>267.82999999999998</v>
      </c>
      <c r="N4535" s="36">
        <v>267.82999999999998</v>
      </c>
    </row>
    <row r="4536" ht="38.25">
      <c r="A4536" s="19" t="s">
        <v>10460</v>
      </c>
      <c r="B4536" s="19">
        <v>12578</v>
      </c>
      <c r="C4536" s="20" t="s">
        <v>15004</v>
      </c>
      <c r="D4536" s="19" t="s">
        <v>38</v>
      </c>
      <c r="E4536" s="19" t="s">
        <v>10459</v>
      </c>
      <c r="F4536" s="21">
        <f t="shared" si="622"/>
        <v>324.31999999999999</v>
      </c>
      <c r="G4536" s="21">
        <f t="shared" si="622"/>
        <v>324.31999999999999</v>
      </c>
      <c r="H4536" s="21">
        <f t="shared" si="622"/>
        <v>324.31999999999999</v>
      </c>
      <c r="I4536" s="24" t="str">
        <f t="shared" si="623"/>
        <v xml:space="preserve">COM VALOR</v>
      </c>
      <c r="L4536" s="36">
        <v>324.31999999999999</v>
      </c>
      <c r="M4536" s="37">
        <v>324.31999999999999</v>
      </c>
      <c r="N4536" s="36">
        <v>324.31999999999999</v>
      </c>
    </row>
    <row r="4537" ht="38.25">
      <c r="A4537" s="19" t="s">
        <v>10460</v>
      </c>
      <c r="B4537" s="19">
        <v>12579</v>
      </c>
      <c r="C4537" s="20" t="s">
        <v>15005</v>
      </c>
      <c r="D4537" s="19" t="s">
        <v>38</v>
      </c>
      <c r="E4537" s="19" t="s">
        <v>10459</v>
      </c>
      <c r="F4537" s="21">
        <f t="shared" si="622"/>
        <v>558.67999999999995</v>
      </c>
      <c r="G4537" s="21">
        <f t="shared" si="622"/>
        <v>558.67999999999995</v>
      </c>
      <c r="H4537" s="21">
        <f t="shared" si="622"/>
        <v>558.67999999999995</v>
      </c>
      <c r="I4537" s="24" t="str">
        <f t="shared" si="623"/>
        <v xml:space="preserve">COM VALOR</v>
      </c>
      <c r="J4537" s="38"/>
      <c r="L4537" s="36">
        <v>558.67999999999995</v>
      </c>
      <c r="M4537" s="37">
        <v>558.67999999999995</v>
      </c>
      <c r="N4537" s="36">
        <v>558.67999999999995</v>
      </c>
    </row>
    <row r="4538" ht="38.25">
      <c r="A4538" s="19" t="s">
        <v>10460</v>
      </c>
      <c r="B4538" s="19">
        <v>12580</v>
      </c>
      <c r="C4538" s="20" t="s">
        <v>15006</v>
      </c>
      <c r="D4538" s="19" t="s">
        <v>38</v>
      </c>
      <c r="E4538" s="19" t="s">
        <v>10459</v>
      </c>
      <c r="F4538" s="21">
        <f t="shared" si="622"/>
        <v>582.11000000000001</v>
      </c>
      <c r="G4538" s="21">
        <f t="shared" si="622"/>
        <v>582.11000000000001</v>
      </c>
      <c r="H4538" s="21">
        <f t="shared" si="622"/>
        <v>582.11000000000001</v>
      </c>
      <c r="I4538" s="24" t="str">
        <f t="shared" si="623"/>
        <v xml:space="preserve">COM VALOR</v>
      </c>
      <c r="L4538" s="36">
        <v>582.11000000000001</v>
      </c>
      <c r="M4538" s="37">
        <v>582.11000000000001</v>
      </c>
      <c r="N4538" s="36">
        <v>582.11000000000001</v>
      </c>
    </row>
    <row r="4539" ht="38.25">
      <c r="A4539" s="19" t="s">
        <v>10460</v>
      </c>
      <c r="B4539" s="19">
        <v>12581</v>
      </c>
      <c r="C4539" s="20" t="s">
        <v>15007</v>
      </c>
      <c r="D4539" s="19" t="s">
        <v>38</v>
      </c>
      <c r="E4539" s="19" t="s">
        <v>10459</v>
      </c>
      <c r="F4539" s="21">
        <f t="shared" si="622"/>
        <v>623.53999999999996</v>
      </c>
      <c r="G4539" s="21">
        <f t="shared" si="622"/>
        <v>623.53999999999996</v>
      </c>
      <c r="H4539" s="21">
        <f t="shared" si="622"/>
        <v>623.53999999999996</v>
      </c>
      <c r="I4539" s="24" t="str">
        <f t="shared" si="623"/>
        <v xml:space="preserve">COM VALOR</v>
      </c>
      <c r="L4539" s="36">
        <v>623.53999999999996</v>
      </c>
      <c r="M4539" s="37">
        <v>623.53999999999996</v>
      </c>
      <c r="N4539" s="36">
        <v>623.53999999999996</v>
      </c>
    </row>
    <row r="4540" ht="38.25">
      <c r="A4540" s="19" t="s">
        <v>10460</v>
      </c>
      <c r="B4540" s="19">
        <v>7720</v>
      </c>
      <c r="C4540" s="20" t="s">
        <v>15008</v>
      </c>
      <c r="D4540" s="19" t="s">
        <v>38</v>
      </c>
      <c r="E4540" s="19" t="s">
        <v>10459</v>
      </c>
      <c r="F4540" s="21">
        <f t="shared" si="622"/>
        <v>975.07000000000005</v>
      </c>
      <c r="G4540" s="21">
        <f t="shared" si="622"/>
        <v>975.07000000000005</v>
      </c>
      <c r="H4540" s="21">
        <f t="shared" si="622"/>
        <v>975.07000000000005</v>
      </c>
      <c r="I4540" s="24" t="str">
        <f t="shared" si="623"/>
        <v xml:space="preserve">COM VALOR</v>
      </c>
      <c r="L4540" s="36">
        <v>975.07000000000005</v>
      </c>
      <c r="M4540" s="37">
        <v>975.07000000000005</v>
      </c>
      <c r="N4540" s="36">
        <v>975.07000000000005</v>
      </c>
    </row>
    <row r="4541" ht="38.25">
      <c r="A4541" s="19" t="s">
        <v>10460</v>
      </c>
      <c r="B4541" s="19">
        <v>40335</v>
      </c>
      <c r="C4541" s="20" t="s">
        <v>15009</v>
      </c>
      <c r="D4541" s="19" t="s">
        <v>38</v>
      </c>
      <c r="E4541" s="19" t="s">
        <v>10459</v>
      </c>
      <c r="F4541" s="21">
        <f t="shared" si="622"/>
        <v>204.00999999999999</v>
      </c>
      <c r="G4541" s="21">
        <f t="shared" si="622"/>
        <v>204.00999999999999</v>
      </c>
      <c r="H4541" s="21">
        <f t="shared" si="622"/>
        <v>204.00999999999999</v>
      </c>
      <c r="I4541" s="24" t="str">
        <f t="shared" si="623"/>
        <v xml:space="preserve">COM VALOR</v>
      </c>
      <c r="L4541" s="36">
        <v>204.00999999999999</v>
      </c>
      <c r="M4541" s="37">
        <v>204.00999999999999</v>
      </c>
      <c r="N4541" s="36">
        <v>204.00999999999999</v>
      </c>
    </row>
    <row r="4542" ht="38.25">
      <c r="A4542" s="19" t="s">
        <v>10460</v>
      </c>
      <c r="B4542" s="19">
        <v>7740</v>
      </c>
      <c r="C4542" s="20" t="s">
        <v>15010</v>
      </c>
      <c r="D4542" s="19" t="s">
        <v>38</v>
      </c>
      <c r="E4542" s="19" t="s">
        <v>10459</v>
      </c>
      <c r="F4542" s="21">
        <f t="shared" si="622"/>
        <v>209.24000000000001</v>
      </c>
      <c r="G4542" s="21">
        <f t="shared" si="622"/>
        <v>209.24000000000001</v>
      </c>
      <c r="H4542" s="21">
        <f t="shared" si="622"/>
        <v>209.24000000000001</v>
      </c>
      <c r="I4542" s="24" t="str">
        <f t="shared" si="623"/>
        <v xml:space="preserve">COM VALOR</v>
      </c>
      <c r="L4542" s="36">
        <v>209.24000000000001</v>
      </c>
      <c r="M4542" s="37">
        <v>209.24000000000001</v>
      </c>
      <c r="N4542" s="36">
        <v>209.24000000000001</v>
      </c>
    </row>
    <row r="4543" ht="38.25">
      <c r="A4543" s="19" t="s">
        <v>10460</v>
      </c>
      <c r="B4543" s="19">
        <v>7741</v>
      </c>
      <c r="C4543" s="20" t="s">
        <v>15011</v>
      </c>
      <c r="D4543" s="19" t="s">
        <v>38</v>
      </c>
      <c r="E4543" s="19" t="s">
        <v>10459</v>
      </c>
      <c r="F4543" s="21">
        <f t="shared" si="622"/>
        <v>387.10000000000002</v>
      </c>
      <c r="G4543" s="21">
        <f t="shared" si="622"/>
        <v>387.10000000000002</v>
      </c>
      <c r="H4543" s="21">
        <f t="shared" si="622"/>
        <v>387.10000000000002</v>
      </c>
      <c r="I4543" s="24" t="str">
        <f t="shared" si="623"/>
        <v xml:space="preserve">COM VALOR</v>
      </c>
      <c r="L4543" s="36">
        <v>387.10000000000002</v>
      </c>
      <c r="M4543" s="37">
        <v>387.10000000000002</v>
      </c>
      <c r="N4543" s="36">
        <v>387.10000000000002</v>
      </c>
    </row>
    <row r="4544" ht="38.25">
      <c r="A4544" s="19" t="s">
        <v>10460</v>
      </c>
      <c r="B4544" s="19">
        <v>7774</v>
      </c>
      <c r="C4544" s="20" t="s">
        <v>15012</v>
      </c>
      <c r="D4544" s="19" t="s">
        <v>38</v>
      </c>
      <c r="E4544" s="19" t="s">
        <v>10459</v>
      </c>
      <c r="F4544" s="21">
        <f t="shared" si="622"/>
        <v>474.98000000000002</v>
      </c>
      <c r="G4544" s="21">
        <f t="shared" si="622"/>
        <v>474.98000000000002</v>
      </c>
      <c r="H4544" s="21">
        <f t="shared" si="622"/>
        <v>474.98000000000002</v>
      </c>
      <c r="I4544" s="24" t="str">
        <f t="shared" si="623"/>
        <v xml:space="preserve">COM VALOR</v>
      </c>
      <c r="L4544" s="36">
        <v>474.98000000000002</v>
      </c>
      <c r="M4544" s="37">
        <v>474.98000000000002</v>
      </c>
      <c r="N4544" s="36">
        <v>474.98000000000002</v>
      </c>
    </row>
    <row r="4545" ht="38.25">
      <c r="A4545" s="19" t="s">
        <v>10460</v>
      </c>
      <c r="B4545" s="19">
        <v>7744</v>
      </c>
      <c r="C4545" s="20" t="s">
        <v>15013</v>
      </c>
      <c r="D4545" s="19" t="s">
        <v>38</v>
      </c>
      <c r="E4545" s="19" t="s">
        <v>10459</v>
      </c>
      <c r="F4545" s="21">
        <f t="shared" si="622"/>
        <v>620.39999999999998</v>
      </c>
      <c r="G4545" s="21">
        <f t="shared" si="622"/>
        <v>620.39999999999998</v>
      </c>
      <c r="H4545" s="21">
        <f t="shared" si="622"/>
        <v>620.39999999999998</v>
      </c>
      <c r="I4545" s="24" t="str">
        <f t="shared" si="623"/>
        <v xml:space="preserve">COM VALOR</v>
      </c>
      <c r="L4545" s="36">
        <v>620.39999999999998</v>
      </c>
      <c r="M4545" s="37">
        <v>620.39999999999998</v>
      </c>
      <c r="N4545" s="36">
        <v>620.39999999999998</v>
      </c>
    </row>
    <row r="4546" ht="38.25">
      <c r="A4546" s="19" t="s">
        <v>10460</v>
      </c>
      <c r="B4546" s="19">
        <v>7773</v>
      </c>
      <c r="C4546" s="20" t="s">
        <v>15014</v>
      </c>
      <c r="D4546" s="19" t="s">
        <v>38</v>
      </c>
      <c r="E4546" s="19" t="s">
        <v>10459</v>
      </c>
      <c r="F4546" s="21">
        <f t="shared" si="622"/>
        <v>634.11000000000001</v>
      </c>
      <c r="G4546" s="21">
        <f t="shared" si="622"/>
        <v>634.11000000000001</v>
      </c>
      <c r="H4546" s="21">
        <f t="shared" si="622"/>
        <v>634.11000000000001</v>
      </c>
      <c r="I4546" s="24" t="str">
        <f t="shared" si="623"/>
        <v xml:space="preserve">COM VALOR</v>
      </c>
      <c r="L4546" s="36">
        <v>634.11000000000001</v>
      </c>
      <c r="M4546" s="37">
        <v>634.11000000000001</v>
      </c>
      <c r="N4546" s="36">
        <v>634.11000000000001</v>
      </c>
    </row>
    <row r="4547" ht="38.25">
      <c r="A4547" s="19" t="s">
        <v>10460</v>
      </c>
      <c r="B4547" s="19">
        <v>7754</v>
      </c>
      <c r="C4547" s="20" t="s">
        <v>15015</v>
      </c>
      <c r="D4547" s="19" t="s">
        <v>38</v>
      </c>
      <c r="E4547" s="19" t="s">
        <v>10459</v>
      </c>
      <c r="F4547" s="21">
        <f t="shared" si="622"/>
        <v>961.47000000000003</v>
      </c>
      <c r="G4547" s="21">
        <f t="shared" si="622"/>
        <v>961.47000000000003</v>
      </c>
      <c r="H4547" s="21">
        <f t="shared" si="622"/>
        <v>961.47000000000003</v>
      </c>
      <c r="I4547" s="24" t="str">
        <f t="shared" si="623"/>
        <v xml:space="preserve">COM VALOR</v>
      </c>
      <c r="L4547" s="36">
        <v>961.47000000000003</v>
      </c>
      <c r="M4547" s="37">
        <v>961.47000000000003</v>
      </c>
      <c r="N4547" s="36">
        <v>961.47000000000003</v>
      </c>
    </row>
    <row r="4548" ht="38.25">
      <c r="A4548" s="19" t="s">
        <v>10460</v>
      </c>
      <c r="B4548" s="19">
        <v>7735</v>
      </c>
      <c r="C4548" s="20" t="s">
        <v>15016</v>
      </c>
      <c r="D4548" s="19" t="s">
        <v>38</v>
      </c>
      <c r="E4548" s="19" t="s">
        <v>10459</v>
      </c>
      <c r="F4548" s="21">
        <f t="shared" si="622"/>
        <v>1245</v>
      </c>
      <c r="G4548" s="21">
        <f t="shared" si="622"/>
        <v>1245</v>
      </c>
      <c r="H4548" s="21">
        <f t="shared" si="622"/>
        <v>1245</v>
      </c>
      <c r="I4548" s="24" t="str">
        <f t="shared" si="623"/>
        <v xml:space="preserve">COM VALOR</v>
      </c>
      <c r="L4548" s="36">
        <v>1245</v>
      </c>
      <c r="M4548" s="37">
        <v>1245</v>
      </c>
      <c r="N4548" s="36">
        <v>1245</v>
      </c>
    </row>
    <row r="4549" ht="38.25">
      <c r="A4549" s="19" t="s">
        <v>10460</v>
      </c>
      <c r="B4549" s="19">
        <v>7755</v>
      </c>
      <c r="C4549" s="20" t="s">
        <v>15017</v>
      </c>
      <c r="D4549" s="19" t="s">
        <v>38</v>
      </c>
      <c r="E4549" s="19" t="s">
        <v>10459</v>
      </c>
      <c r="F4549" s="21">
        <f t="shared" si="622"/>
        <v>246.90000000000001</v>
      </c>
      <c r="G4549" s="21">
        <f t="shared" si="622"/>
        <v>246.90000000000001</v>
      </c>
      <c r="H4549" s="21">
        <f t="shared" si="622"/>
        <v>246.90000000000001</v>
      </c>
      <c r="I4549" s="24" t="str">
        <f t="shared" si="623"/>
        <v xml:space="preserve">COM VALOR</v>
      </c>
      <c r="L4549" s="36">
        <v>246.90000000000001</v>
      </c>
      <c r="M4549" s="37">
        <v>246.90000000000001</v>
      </c>
      <c r="N4549" s="36">
        <v>246.90000000000001</v>
      </c>
    </row>
    <row r="4550" ht="38.25">
      <c r="A4550" s="19" t="s">
        <v>10460</v>
      </c>
      <c r="B4550" s="19">
        <v>7776</v>
      </c>
      <c r="C4550" s="20" t="s">
        <v>15018</v>
      </c>
      <c r="D4550" s="19" t="s">
        <v>38</v>
      </c>
      <c r="E4550" s="19" t="s">
        <v>10459</v>
      </c>
      <c r="F4550" s="21">
        <f t="shared" si="622"/>
        <v>514.73000000000002</v>
      </c>
      <c r="G4550" s="21">
        <f t="shared" si="622"/>
        <v>514.73000000000002</v>
      </c>
      <c r="H4550" s="21">
        <f t="shared" si="622"/>
        <v>514.73000000000002</v>
      </c>
      <c r="I4550" s="24" t="str">
        <f t="shared" si="623"/>
        <v xml:space="preserve">COM VALOR</v>
      </c>
      <c r="L4550" s="36">
        <v>514.73000000000002</v>
      </c>
      <c r="M4550" s="37">
        <v>514.73000000000002</v>
      </c>
      <c r="N4550" s="36">
        <v>514.73000000000002</v>
      </c>
    </row>
    <row r="4551" ht="38.25">
      <c r="A4551" s="19" t="s">
        <v>10460</v>
      </c>
      <c r="B4551" s="19">
        <v>7743</v>
      </c>
      <c r="C4551" s="20" t="s">
        <v>15019</v>
      </c>
      <c r="D4551" s="19" t="s">
        <v>38</v>
      </c>
      <c r="E4551" s="19" t="s">
        <v>10459</v>
      </c>
      <c r="F4551" s="21">
        <f t="shared" si="622"/>
        <v>545.07000000000005</v>
      </c>
      <c r="G4551" s="21">
        <f t="shared" si="622"/>
        <v>545.07000000000005</v>
      </c>
      <c r="H4551" s="21">
        <f t="shared" si="622"/>
        <v>545.07000000000005</v>
      </c>
      <c r="I4551" s="24" t="str">
        <f t="shared" si="623"/>
        <v xml:space="preserve">COM VALOR</v>
      </c>
      <c r="L4551" s="36">
        <v>545.07000000000005</v>
      </c>
      <c r="M4551" s="37">
        <v>545.07000000000005</v>
      </c>
      <c r="N4551" s="36">
        <v>545.07000000000005</v>
      </c>
    </row>
    <row r="4552" ht="38.25">
      <c r="A4552" s="19" t="s">
        <v>10460</v>
      </c>
      <c r="B4552" s="19">
        <v>7733</v>
      </c>
      <c r="C4552" s="20" t="s">
        <v>15020</v>
      </c>
      <c r="D4552" s="19" t="s">
        <v>38</v>
      </c>
      <c r="E4552" s="19" t="s">
        <v>10459</v>
      </c>
      <c r="F4552" s="21">
        <f t="shared" si="622"/>
        <v>711.41999999999996</v>
      </c>
      <c r="G4552" s="21">
        <f t="shared" si="622"/>
        <v>711.41999999999996</v>
      </c>
      <c r="H4552" s="21">
        <f t="shared" si="622"/>
        <v>711.41999999999996</v>
      </c>
      <c r="I4552" s="24" t="str">
        <f t="shared" si="623"/>
        <v xml:space="preserve">COM VALOR</v>
      </c>
      <c r="J4552" s="38"/>
      <c r="L4552" s="36">
        <v>711.41999999999996</v>
      </c>
      <c r="M4552" s="37">
        <v>711.41999999999996</v>
      </c>
      <c r="N4552" s="36">
        <v>711.41999999999996</v>
      </c>
    </row>
    <row r="4553" ht="38.25">
      <c r="A4553" s="19" t="s">
        <v>10460</v>
      </c>
      <c r="B4553" s="19">
        <v>7775</v>
      </c>
      <c r="C4553" s="20" t="s">
        <v>15021</v>
      </c>
      <c r="D4553" s="19" t="s">
        <v>38</v>
      </c>
      <c r="E4553" s="19" t="s">
        <v>10459</v>
      </c>
      <c r="F4553" s="21">
        <f t="shared" si="622"/>
        <v>779.42999999999995</v>
      </c>
      <c r="G4553" s="21">
        <f t="shared" si="622"/>
        <v>779.42999999999995</v>
      </c>
      <c r="H4553" s="21">
        <f t="shared" si="622"/>
        <v>779.42999999999995</v>
      </c>
      <c r="I4553" s="24" t="str">
        <f t="shared" si="623"/>
        <v xml:space="preserve">COM VALOR</v>
      </c>
      <c r="L4553" s="36">
        <v>779.42999999999995</v>
      </c>
      <c r="M4553" s="37">
        <v>779.42999999999995</v>
      </c>
      <c r="N4553" s="36">
        <v>779.42999999999995</v>
      </c>
    </row>
    <row r="4554" ht="38.25">
      <c r="A4554" s="19" t="s">
        <v>10460</v>
      </c>
      <c r="B4554" s="19">
        <v>7734</v>
      </c>
      <c r="C4554" s="20" t="s">
        <v>15022</v>
      </c>
      <c r="D4554" s="19" t="s">
        <v>38</v>
      </c>
      <c r="E4554" s="19" t="s">
        <v>10459</v>
      </c>
      <c r="F4554" s="21">
        <f t="shared" si="622"/>
        <v>1103.76</v>
      </c>
      <c r="G4554" s="21">
        <f t="shared" si="622"/>
        <v>1103.76</v>
      </c>
      <c r="H4554" s="21">
        <f t="shared" si="622"/>
        <v>1103.76</v>
      </c>
      <c r="I4554" s="24" t="str">
        <f t="shared" si="623"/>
        <v xml:space="preserve">COM VALOR</v>
      </c>
      <c r="J4554" s="38"/>
      <c r="L4554" s="36">
        <v>1103.76</v>
      </c>
      <c r="M4554" s="37">
        <v>1103.76</v>
      </c>
      <c r="N4554" s="36">
        <v>1103.76</v>
      </c>
    </row>
    <row r="4555" ht="38.25">
      <c r="A4555" s="19" t="s">
        <v>10460</v>
      </c>
      <c r="B4555" s="19">
        <v>7714</v>
      </c>
      <c r="C4555" s="20" t="s">
        <v>15023</v>
      </c>
      <c r="D4555" s="19" t="s">
        <v>38</v>
      </c>
      <c r="E4555" s="19" t="s">
        <v>10459</v>
      </c>
      <c r="F4555" s="21">
        <f t="shared" ref="F4555:H4618" si="624">IF(L4555=0,"VERIFICAR",L4555)</f>
        <v>153.78999999999999</v>
      </c>
      <c r="G4555" s="21">
        <f t="shared" si="624"/>
        <v>153.78999999999999</v>
      </c>
      <c r="H4555" s="21">
        <f t="shared" si="624"/>
        <v>153.78999999999999</v>
      </c>
      <c r="I4555" s="24" t="str">
        <f t="shared" ref="I4555:I4618" si="625">IF(OR(L4555=0,M4555=0,N4555=0),"SEM VALOR","COM VALOR")</f>
        <v xml:space="preserve">COM VALOR</v>
      </c>
      <c r="L4555" s="36">
        <v>153.78999999999999</v>
      </c>
      <c r="M4555" s="37">
        <v>153.78999999999999</v>
      </c>
      <c r="N4555" s="36">
        <v>153.78999999999999</v>
      </c>
    </row>
    <row r="4556" ht="38.25">
      <c r="A4556" s="19" t="s">
        <v>10460</v>
      </c>
      <c r="B4556" s="19">
        <v>37449</v>
      </c>
      <c r="C4556" s="20" t="s">
        <v>15024</v>
      </c>
      <c r="D4556" s="19" t="s">
        <v>38</v>
      </c>
      <c r="E4556" s="19" t="s">
        <v>10459</v>
      </c>
      <c r="F4556" s="21" t="str">
        <f t="shared" si="624"/>
        <v>VERIFICAR</v>
      </c>
      <c r="G4556" s="21" t="str">
        <f t="shared" si="624"/>
        <v>VERIFICAR</v>
      </c>
      <c r="H4556" s="21" t="str">
        <f t="shared" si="624"/>
        <v>VERIFICAR</v>
      </c>
      <c r="I4556" s="24" t="str">
        <f t="shared" si="625"/>
        <v xml:space="preserve">SEM VALOR</v>
      </c>
      <c r="L4556" s="36"/>
      <c r="M4556" s="37"/>
      <c r="N4556" s="36"/>
    </row>
    <row r="4557" ht="38.25">
      <c r="A4557" s="19" t="s">
        <v>10460</v>
      </c>
      <c r="B4557" s="19">
        <v>37450</v>
      </c>
      <c r="C4557" s="20" t="s">
        <v>15025</v>
      </c>
      <c r="D4557" s="19" t="s">
        <v>38</v>
      </c>
      <c r="E4557" s="19" t="s">
        <v>10459</v>
      </c>
      <c r="F4557" s="21" t="str">
        <f t="shared" si="624"/>
        <v>VERIFICAR</v>
      </c>
      <c r="G4557" s="21" t="str">
        <f t="shared" si="624"/>
        <v>VERIFICAR</v>
      </c>
      <c r="H4557" s="21" t="str">
        <f t="shared" si="624"/>
        <v>VERIFICAR</v>
      </c>
      <c r="I4557" s="24" t="str">
        <f t="shared" si="625"/>
        <v xml:space="preserve">SEM VALOR</v>
      </c>
      <c r="L4557" s="36"/>
      <c r="M4557" s="37"/>
      <c r="N4557" s="36"/>
    </row>
    <row r="4558" ht="38.25">
      <c r="A4558" s="19" t="s">
        <v>10460</v>
      </c>
      <c r="B4558" s="19">
        <v>37451</v>
      </c>
      <c r="C4558" s="20" t="s">
        <v>15026</v>
      </c>
      <c r="D4558" s="19" t="s">
        <v>38</v>
      </c>
      <c r="E4558" s="19" t="s">
        <v>10459</v>
      </c>
      <c r="F4558" s="21" t="str">
        <f t="shared" si="624"/>
        <v>VERIFICAR</v>
      </c>
      <c r="G4558" s="21" t="str">
        <f t="shared" si="624"/>
        <v>VERIFICAR</v>
      </c>
      <c r="H4558" s="21" t="str">
        <f t="shared" si="624"/>
        <v>VERIFICAR</v>
      </c>
      <c r="I4558" s="24" t="str">
        <f t="shared" si="625"/>
        <v xml:space="preserve">SEM VALOR</v>
      </c>
      <c r="L4558" s="36"/>
      <c r="M4558" s="37"/>
      <c r="N4558" s="36"/>
    </row>
    <row r="4559" ht="38.25">
      <c r="A4559" s="19" t="s">
        <v>10460</v>
      </c>
      <c r="B4559" s="19">
        <v>37452</v>
      </c>
      <c r="C4559" s="20" t="s">
        <v>15027</v>
      </c>
      <c r="D4559" s="19" t="s">
        <v>38</v>
      </c>
      <c r="E4559" s="19" t="s">
        <v>10459</v>
      </c>
      <c r="F4559" s="21" t="str">
        <f t="shared" si="624"/>
        <v>VERIFICAR</v>
      </c>
      <c r="G4559" s="21" t="str">
        <f t="shared" si="624"/>
        <v>VERIFICAR</v>
      </c>
      <c r="H4559" s="21" t="str">
        <f t="shared" si="624"/>
        <v>VERIFICAR</v>
      </c>
      <c r="I4559" s="24" t="str">
        <f t="shared" si="625"/>
        <v xml:space="preserve">SEM VALOR</v>
      </c>
      <c r="J4559" s="38"/>
      <c r="L4559" s="36"/>
      <c r="M4559" s="37"/>
      <c r="N4559" s="36"/>
    </row>
    <row r="4560" ht="38.25">
      <c r="A4560" s="19" t="s">
        <v>10460</v>
      </c>
      <c r="B4560" s="19">
        <v>37453</v>
      </c>
      <c r="C4560" s="20" t="s">
        <v>15028</v>
      </c>
      <c r="D4560" s="19" t="s">
        <v>38</v>
      </c>
      <c r="E4560" s="19" t="s">
        <v>10459</v>
      </c>
      <c r="F4560" s="21" t="str">
        <f t="shared" si="624"/>
        <v>VERIFICAR</v>
      </c>
      <c r="G4560" s="21" t="str">
        <f t="shared" si="624"/>
        <v>VERIFICAR</v>
      </c>
      <c r="H4560" s="21" t="str">
        <f t="shared" si="624"/>
        <v>VERIFICAR</v>
      </c>
      <c r="I4560" s="24" t="str">
        <f t="shared" si="625"/>
        <v xml:space="preserve">SEM VALOR</v>
      </c>
      <c r="L4560" s="36"/>
      <c r="M4560" s="37"/>
      <c r="N4560" s="36"/>
    </row>
    <row r="4561" ht="38.25">
      <c r="A4561" s="19" t="s">
        <v>10460</v>
      </c>
      <c r="B4561" s="19">
        <v>7778</v>
      </c>
      <c r="C4561" s="20" t="s">
        <v>15029</v>
      </c>
      <c r="D4561" s="19" t="s">
        <v>38</v>
      </c>
      <c r="E4561" s="19" t="s">
        <v>10459</v>
      </c>
      <c r="F4561" s="21" t="str">
        <f t="shared" si="624"/>
        <v>VERIFICAR</v>
      </c>
      <c r="G4561" s="21" t="str">
        <f t="shared" si="624"/>
        <v>VERIFICAR</v>
      </c>
      <c r="H4561" s="21" t="str">
        <f t="shared" si="624"/>
        <v>VERIFICAR</v>
      </c>
      <c r="I4561" s="24" t="str">
        <f t="shared" si="625"/>
        <v xml:space="preserve">SEM VALOR</v>
      </c>
      <c r="J4561" s="38"/>
      <c r="L4561" s="36"/>
      <c r="M4561" s="37"/>
      <c r="N4561" s="36"/>
    </row>
    <row r="4562" ht="38.25">
      <c r="A4562" s="19" t="s">
        <v>10460</v>
      </c>
      <c r="B4562" s="19">
        <v>7796</v>
      </c>
      <c r="C4562" s="20" t="s">
        <v>15030</v>
      </c>
      <c r="D4562" s="19" t="s">
        <v>38</v>
      </c>
      <c r="E4562" s="19" t="s">
        <v>10466</v>
      </c>
      <c r="F4562" s="21" t="str">
        <f t="shared" si="624"/>
        <v>VERIFICAR</v>
      </c>
      <c r="G4562" s="21" t="str">
        <f t="shared" si="624"/>
        <v>VERIFICAR</v>
      </c>
      <c r="H4562" s="21" t="str">
        <f t="shared" si="624"/>
        <v>VERIFICAR</v>
      </c>
      <c r="I4562" s="24" t="str">
        <f t="shared" si="625"/>
        <v xml:space="preserve">SEM VALOR</v>
      </c>
      <c r="L4562" s="36"/>
      <c r="M4562" s="37"/>
      <c r="N4562" s="36"/>
    </row>
    <row r="4563" ht="38.25">
      <c r="A4563" s="19" t="s">
        <v>10460</v>
      </c>
      <c r="B4563" s="19">
        <v>7781</v>
      </c>
      <c r="C4563" s="20" t="s">
        <v>15031</v>
      </c>
      <c r="D4563" s="19" t="s">
        <v>38</v>
      </c>
      <c r="E4563" s="19" t="s">
        <v>10459</v>
      </c>
      <c r="F4563" s="21">
        <f t="shared" si="624"/>
        <v>81.769999999999996</v>
      </c>
      <c r="G4563" s="21">
        <f t="shared" si="624"/>
        <v>81.769999999999996</v>
      </c>
      <c r="H4563" s="21">
        <f t="shared" si="624"/>
        <v>81.769999999999996</v>
      </c>
      <c r="I4563" s="24" t="str">
        <f t="shared" si="625"/>
        <v xml:space="preserve">COM VALOR</v>
      </c>
      <c r="J4563" s="38" t="s">
        <v>10710</v>
      </c>
      <c r="L4563" s="36">
        <v>81.769999999999996</v>
      </c>
      <c r="M4563" s="37">
        <v>81.769999999999996</v>
      </c>
      <c r="N4563" s="36">
        <v>81.769999999999996</v>
      </c>
    </row>
    <row r="4564" ht="38.25">
      <c r="A4564" s="19" t="s">
        <v>10460</v>
      </c>
      <c r="B4564" s="19">
        <v>7795</v>
      </c>
      <c r="C4564" s="20" t="s">
        <v>15032</v>
      </c>
      <c r="D4564" s="19" t="s">
        <v>38</v>
      </c>
      <c r="E4564" s="19" t="s">
        <v>10459</v>
      </c>
      <c r="F4564" s="21" t="str">
        <f t="shared" si="624"/>
        <v>VERIFICAR</v>
      </c>
      <c r="G4564" s="21" t="str">
        <f t="shared" si="624"/>
        <v>VERIFICAR</v>
      </c>
      <c r="H4564" s="21" t="str">
        <f t="shared" si="624"/>
        <v>VERIFICAR</v>
      </c>
      <c r="I4564" s="24" t="str">
        <f t="shared" si="625"/>
        <v xml:space="preserve">SEM VALOR</v>
      </c>
      <c r="L4564" s="36"/>
      <c r="M4564" s="37"/>
      <c r="N4564" s="36"/>
    </row>
    <row r="4565" ht="38.25">
      <c r="A4565" s="19" t="s">
        <v>10460</v>
      </c>
      <c r="B4565" s="19">
        <v>7791</v>
      </c>
      <c r="C4565" s="20" t="s">
        <v>15033</v>
      </c>
      <c r="D4565" s="19" t="s">
        <v>38</v>
      </c>
      <c r="E4565" s="19" t="s">
        <v>10459</v>
      </c>
      <c r="F4565" s="21">
        <f t="shared" si="624"/>
        <v>145.69</v>
      </c>
      <c r="G4565" s="21">
        <f t="shared" si="624"/>
        <v>145.69</v>
      </c>
      <c r="H4565" s="21">
        <f t="shared" si="624"/>
        <v>145.69</v>
      </c>
      <c r="I4565" s="24" t="str">
        <f t="shared" si="625"/>
        <v xml:space="preserve">COM VALOR</v>
      </c>
      <c r="J4565" s="38" t="s">
        <v>10710</v>
      </c>
      <c r="L4565" s="36">
        <v>145.69</v>
      </c>
      <c r="M4565" s="37">
        <v>145.69</v>
      </c>
      <c r="N4565" s="36">
        <v>145.69</v>
      </c>
    </row>
    <row r="4566" ht="38.25">
      <c r="A4566" s="19" t="s">
        <v>10460</v>
      </c>
      <c r="B4566" s="19">
        <v>7783</v>
      </c>
      <c r="C4566" s="20" t="s">
        <v>15034</v>
      </c>
      <c r="D4566" s="19" t="s">
        <v>38</v>
      </c>
      <c r="E4566" s="19" t="s">
        <v>10459</v>
      </c>
      <c r="F4566" s="21" t="str">
        <f t="shared" si="624"/>
        <v>VERIFICAR</v>
      </c>
      <c r="G4566" s="21" t="str">
        <f t="shared" si="624"/>
        <v>VERIFICAR</v>
      </c>
      <c r="H4566" s="21" t="str">
        <f t="shared" si="624"/>
        <v>VERIFICAR</v>
      </c>
      <c r="I4566" s="24" t="str">
        <f t="shared" si="625"/>
        <v xml:space="preserve">SEM VALOR</v>
      </c>
      <c r="L4566" s="36"/>
      <c r="M4566" s="37"/>
      <c r="N4566" s="36"/>
    </row>
    <row r="4567" ht="38.25">
      <c r="A4567" s="19" t="s">
        <v>10460</v>
      </c>
      <c r="B4567" s="19">
        <v>7790</v>
      </c>
      <c r="C4567" s="20" t="s">
        <v>15035</v>
      </c>
      <c r="D4567" s="19" t="s">
        <v>38</v>
      </c>
      <c r="E4567" s="19" t="s">
        <v>10459</v>
      </c>
      <c r="F4567" s="21" t="str">
        <f t="shared" si="624"/>
        <v>VERIFICAR</v>
      </c>
      <c r="G4567" s="21" t="str">
        <f t="shared" si="624"/>
        <v>VERIFICAR</v>
      </c>
      <c r="H4567" s="21" t="str">
        <f t="shared" si="624"/>
        <v>VERIFICAR</v>
      </c>
      <c r="I4567" s="24" t="str">
        <f t="shared" si="625"/>
        <v xml:space="preserve">SEM VALOR</v>
      </c>
      <c r="L4567" s="36"/>
      <c r="M4567" s="37"/>
      <c r="N4567" s="36"/>
    </row>
    <row r="4568" ht="38.25">
      <c r="A4568" s="19" t="s">
        <v>10460</v>
      </c>
      <c r="B4568" s="19">
        <v>7785</v>
      </c>
      <c r="C4568" s="20" t="s">
        <v>15036</v>
      </c>
      <c r="D4568" s="19" t="s">
        <v>38</v>
      </c>
      <c r="E4568" s="19" t="s">
        <v>10459</v>
      </c>
      <c r="F4568" s="21" t="str">
        <f t="shared" si="624"/>
        <v>VERIFICAR</v>
      </c>
      <c r="G4568" s="21" t="str">
        <f t="shared" si="624"/>
        <v>VERIFICAR</v>
      </c>
      <c r="H4568" s="21" t="str">
        <f t="shared" si="624"/>
        <v>VERIFICAR</v>
      </c>
      <c r="I4568" s="24" t="str">
        <f t="shared" si="625"/>
        <v xml:space="preserve">SEM VALOR</v>
      </c>
      <c r="L4568" s="36"/>
      <c r="M4568" s="37"/>
      <c r="N4568" s="36"/>
    </row>
    <row r="4569" ht="38.25">
      <c r="A4569" s="19" t="s">
        <v>10460</v>
      </c>
      <c r="B4569" s="19">
        <v>7792</v>
      </c>
      <c r="C4569" s="20" t="s">
        <v>15037</v>
      </c>
      <c r="D4569" s="19" t="s">
        <v>38</v>
      </c>
      <c r="E4569" s="19" t="s">
        <v>10459</v>
      </c>
      <c r="F4569" s="21" t="str">
        <f t="shared" si="624"/>
        <v>VERIFICAR</v>
      </c>
      <c r="G4569" s="21" t="str">
        <f t="shared" si="624"/>
        <v>VERIFICAR</v>
      </c>
      <c r="H4569" s="21" t="str">
        <f t="shared" si="624"/>
        <v>VERIFICAR</v>
      </c>
      <c r="I4569" s="24" t="str">
        <f t="shared" si="625"/>
        <v xml:space="preserve">SEM VALOR</v>
      </c>
      <c r="L4569" s="36"/>
      <c r="M4569" s="37"/>
      <c r="N4569" s="36"/>
    </row>
    <row r="4570" ht="38.25">
      <c r="A4570" s="19" t="s">
        <v>10460</v>
      </c>
      <c r="B4570" s="19">
        <v>7793</v>
      </c>
      <c r="C4570" s="20" t="s">
        <v>15038</v>
      </c>
      <c r="D4570" s="19" t="s">
        <v>38</v>
      </c>
      <c r="E4570" s="19" t="s">
        <v>10459</v>
      </c>
      <c r="F4570" s="21" t="str">
        <f t="shared" si="624"/>
        <v>VERIFICAR</v>
      </c>
      <c r="G4570" s="21" t="str">
        <f t="shared" si="624"/>
        <v>VERIFICAR</v>
      </c>
      <c r="H4570" s="21" t="str">
        <f t="shared" si="624"/>
        <v>VERIFICAR</v>
      </c>
      <c r="I4570" s="24" t="str">
        <f t="shared" si="625"/>
        <v xml:space="preserve">SEM VALOR</v>
      </c>
      <c r="L4570" s="36"/>
      <c r="M4570" s="37"/>
      <c r="N4570" s="36"/>
    </row>
    <row r="4571" ht="38.25">
      <c r="A4571" s="19" t="s">
        <v>10460</v>
      </c>
      <c r="B4571" s="19">
        <v>13159</v>
      </c>
      <c r="C4571" s="20" t="s">
        <v>15039</v>
      </c>
      <c r="D4571" s="19" t="s">
        <v>38</v>
      </c>
      <c r="E4571" s="19" t="s">
        <v>10459</v>
      </c>
      <c r="F4571" s="21" t="str">
        <f t="shared" si="624"/>
        <v>VERIFICAR</v>
      </c>
      <c r="G4571" s="21" t="str">
        <f t="shared" si="624"/>
        <v>VERIFICAR</v>
      </c>
      <c r="H4571" s="21" t="str">
        <f t="shared" si="624"/>
        <v>VERIFICAR</v>
      </c>
      <c r="I4571" s="24" t="str">
        <f t="shared" si="625"/>
        <v xml:space="preserve">SEM VALOR</v>
      </c>
      <c r="L4571" s="36"/>
      <c r="M4571" s="37"/>
      <c r="N4571" s="36"/>
    </row>
    <row r="4572" ht="38.25">
      <c r="A4572" s="19" t="s">
        <v>10460</v>
      </c>
      <c r="B4572" s="19">
        <v>13168</v>
      </c>
      <c r="C4572" s="20" t="s">
        <v>15040</v>
      </c>
      <c r="D4572" s="19" t="s">
        <v>38</v>
      </c>
      <c r="E4572" s="19" t="s">
        <v>10459</v>
      </c>
      <c r="F4572" s="21" t="str">
        <f t="shared" si="624"/>
        <v>VERIFICAR</v>
      </c>
      <c r="G4572" s="21" t="str">
        <f t="shared" si="624"/>
        <v>VERIFICAR</v>
      </c>
      <c r="H4572" s="21" t="str">
        <f t="shared" si="624"/>
        <v>VERIFICAR</v>
      </c>
      <c r="I4572" s="24" t="str">
        <f t="shared" si="625"/>
        <v xml:space="preserve">SEM VALOR</v>
      </c>
      <c r="L4572" s="36"/>
      <c r="M4572" s="37"/>
      <c r="N4572" s="36"/>
    </row>
    <row r="4573" ht="38.25">
      <c r="A4573" s="19" t="s">
        <v>10460</v>
      </c>
      <c r="B4573" s="19">
        <v>13173</v>
      </c>
      <c r="C4573" s="20" t="s">
        <v>15041</v>
      </c>
      <c r="D4573" s="19" t="s">
        <v>38</v>
      </c>
      <c r="E4573" s="19" t="s">
        <v>10459</v>
      </c>
      <c r="F4573" s="21" t="str">
        <f t="shared" si="624"/>
        <v>VERIFICAR</v>
      </c>
      <c r="G4573" s="21" t="str">
        <f t="shared" si="624"/>
        <v>VERIFICAR</v>
      </c>
      <c r="H4573" s="21" t="str">
        <f t="shared" si="624"/>
        <v>VERIFICAR</v>
      </c>
      <c r="I4573" s="24" t="str">
        <f t="shared" si="625"/>
        <v xml:space="preserve">SEM VALOR</v>
      </c>
      <c r="L4573" s="36"/>
      <c r="M4573" s="37"/>
      <c r="N4573" s="36"/>
    </row>
    <row r="4574" ht="38.25">
      <c r="A4574" s="19" t="s">
        <v>10460</v>
      </c>
      <c r="B4574" s="19">
        <v>12583</v>
      </c>
      <c r="C4574" s="20" t="s">
        <v>15042</v>
      </c>
      <c r="D4574" s="19" t="s">
        <v>38</v>
      </c>
      <c r="E4574" s="19" t="s">
        <v>10459</v>
      </c>
      <c r="F4574" s="21" t="str">
        <f t="shared" si="624"/>
        <v>VERIFICAR</v>
      </c>
      <c r="G4574" s="21" t="str">
        <f t="shared" si="624"/>
        <v>VERIFICAR</v>
      </c>
      <c r="H4574" s="21" t="str">
        <f t="shared" si="624"/>
        <v>VERIFICAR</v>
      </c>
      <c r="I4574" s="24" t="str">
        <f t="shared" si="625"/>
        <v xml:space="preserve">SEM VALOR</v>
      </c>
      <c r="J4574" s="38"/>
      <c r="L4574" s="36"/>
      <c r="M4574" s="37"/>
      <c r="N4574" s="36"/>
    </row>
    <row r="4575" ht="38.25">
      <c r="A4575" s="19" t="s">
        <v>10460</v>
      </c>
      <c r="B4575" s="19">
        <v>12584</v>
      </c>
      <c r="C4575" s="20" t="s">
        <v>15043</v>
      </c>
      <c r="D4575" s="19" t="s">
        <v>38</v>
      </c>
      <c r="E4575" s="19" t="s">
        <v>10459</v>
      </c>
      <c r="F4575" s="21" t="str">
        <f t="shared" si="624"/>
        <v>VERIFICAR</v>
      </c>
      <c r="G4575" s="21" t="str">
        <f t="shared" si="624"/>
        <v>VERIFICAR</v>
      </c>
      <c r="H4575" s="21" t="str">
        <f t="shared" si="624"/>
        <v>VERIFICAR</v>
      </c>
      <c r="I4575" s="24" t="str">
        <f t="shared" si="625"/>
        <v xml:space="preserve">SEM VALOR</v>
      </c>
      <c r="L4575" s="36"/>
      <c r="M4575" s="37"/>
      <c r="N4575" s="36"/>
    </row>
    <row r="4576" ht="25.5">
      <c r="A4576" s="19" t="s">
        <v>10460</v>
      </c>
      <c r="B4576" s="19">
        <v>12613</v>
      </c>
      <c r="C4576" s="20" t="s">
        <v>15044</v>
      </c>
      <c r="D4576" s="19" t="s">
        <v>31</v>
      </c>
      <c r="E4576" s="19" t="s">
        <v>10459</v>
      </c>
      <c r="F4576" s="21">
        <f t="shared" si="624"/>
        <v>22.239999999999998</v>
      </c>
      <c r="G4576" s="21">
        <f t="shared" si="624"/>
        <v>22.239999999999998</v>
      </c>
      <c r="H4576" s="21">
        <f t="shared" si="624"/>
        <v>22.239999999999998</v>
      </c>
      <c r="I4576" s="24" t="str">
        <f t="shared" si="625"/>
        <v xml:space="preserve">COM VALOR</v>
      </c>
      <c r="L4576" s="36">
        <v>22.239999999999998</v>
      </c>
      <c r="M4576" s="37">
        <v>22.239999999999998</v>
      </c>
      <c r="N4576" s="36">
        <v>22.239999999999998</v>
      </c>
    </row>
    <row r="4577" ht="38.25">
      <c r="A4577" s="19" t="s">
        <v>10460</v>
      </c>
      <c r="B4577" s="19">
        <v>1031</v>
      </c>
      <c r="C4577" s="20" t="s">
        <v>15045</v>
      </c>
      <c r="D4577" s="19" t="s">
        <v>31</v>
      </c>
      <c r="E4577" s="19" t="s">
        <v>10459</v>
      </c>
      <c r="F4577" s="21">
        <f t="shared" si="624"/>
        <v>15.529999999999999</v>
      </c>
      <c r="G4577" s="21">
        <f t="shared" si="624"/>
        <v>15.529999999999999</v>
      </c>
      <c r="H4577" s="21">
        <f t="shared" si="624"/>
        <v>15.529999999999999</v>
      </c>
      <c r="I4577" s="24" t="str">
        <f t="shared" si="625"/>
        <v xml:space="preserve">COM VALOR</v>
      </c>
      <c r="J4577" s="38"/>
      <c r="L4577" s="36">
        <v>15.529999999999999</v>
      </c>
      <c r="M4577" s="37">
        <v>15.529999999999999</v>
      </c>
      <c r="N4577" s="36">
        <v>15.529999999999999</v>
      </c>
    </row>
    <row r="4578" ht="38.25">
      <c r="A4578" s="19" t="s">
        <v>10460</v>
      </c>
      <c r="B4578" s="19">
        <v>39707</v>
      </c>
      <c r="C4578" s="20" t="s">
        <v>15046</v>
      </c>
      <c r="D4578" s="19" t="s">
        <v>38</v>
      </c>
      <c r="E4578" s="19" t="s">
        <v>10459</v>
      </c>
      <c r="F4578" s="21" t="str">
        <f t="shared" si="624"/>
        <v>VERIFICAR</v>
      </c>
      <c r="G4578" s="21" t="str">
        <f t="shared" si="624"/>
        <v>VERIFICAR</v>
      </c>
      <c r="H4578" s="21" t="str">
        <f t="shared" si="624"/>
        <v>VERIFICAR</v>
      </c>
      <c r="I4578" s="24" t="str">
        <f t="shared" si="625"/>
        <v xml:space="preserve">SEM VALOR</v>
      </c>
      <c r="J4578" s="38"/>
      <c r="L4578" s="36"/>
      <c r="M4578" s="37"/>
      <c r="N4578" s="36"/>
    </row>
    <row r="4579" ht="38.25">
      <c r="A4579" s="19" t="s">
        <v>10460</v>
      </c>
      <c r="B4579" s="19">
        <v>39708</v>
      </c>
      <c r="C4579" s="20" t="s">
        <v>15047</v>
      </c>
      <c r="D4579" s="19" t="s">
        <v>38</v>
      </c>
      <c r="E4579" s="19" t="s">
        <v>10459</v>
      </c>
      <c r="F4579" s="21" t="str">
        <f t="shared" si="624"/>
        <v>VERIFICAR</v>
      </c>
      <c r="G4579" s="21" t="str">
        <f t="shared" si="624"/>
        <v>VERIFICAR</v>
      </c>
      <c r="H4579" s="21" t="str">
        <f t="shared" si="624"/>
        <v>VERIFICAR</v>
      </c>
      <c r="I4579" s="24" t="str">
        <f t="shared" si="625"/>
        <v xml:space="preserve">SEM VALOR</v>
      </c>
      <c r="L4579" s="36"/>
      <c r="M4579" s="37"/>
      <c r="N4579" s="36"/>
    </row>
    <row r="4580" ht="38.25">
      <c r="A4580" s="19" t="s">
        <v>10460</v>
      </c>
      <c r="B4580" s="19">
        <v>39710</v>
      </c>
      <c r="C4580" s="20" t="s">
        <v>15048</v>
      </c>
      <c r="D4580" s="19" t="s">
        <v>38</v>
      </c>
      <c r="E4580" s="19" t="s">
        <v>10459</v>
      </c>
      <c r="F4580" s="21" t="str">
        <f t="shared" si="624"/>
        <v>VERIFICAR</v>
      </c>
      <c r="G4580" s="21" t="str">
        <f t="shared" si="624"/>
        <v>VERIFICAR</v>
      </c>
      <c r="H4580" s="21" t="str">
        <f t="shared" si="624"/>
        <v>VERIFICAR</v>
      </c>
      <c r="I4580" s="24" t="str">
        <f t="shared" si="625"/>
        <v xml:space="preserve">SEM VALOR</v>
      </c>
      <c r="L4580" s="36"/>
      <c r="M4580" s="37"/>
      <c r="N4580" s="36"/>
    </row>
    <row r="4581" ht="38.25">
      <c r="A4581" s="19" t="s">
        <v>10460</v>
      </c>
      <c r="B4581" s="19">
        <v>39709</v>
      </c>
      <c r="C4581" s="20" t="s">
        <v>15049</v>
      </c>
      <c r="D4581" s="19" t="s">
        <v>38</v>
      </c>
      <c r="E4581" s="19" t="s">
        <v>10459</v>
      </c>
      <c r="F4581" s="21" t="str">
        <f t="shared" si="624"/>
        <v>VERIFICAR</v>
      </c>
      <c r="G4581" s="21" t="str">
        <f t="shared" si="624"/>
        <v>VERIFICAR</v>
      </c>
      <c r="H4581" s="21" t="str">
        <f t="shared" si="624"/>
        <v>VERIFICAR</v>
      </c>
      <c r="I4581" s="24" t="str">
        <f t="shared" si="625"/>
        <v xml:space="preserve">SEM VALOR</v>
      </c>
      <c r="L4581" s="36"/>
      <c r="M4581" s="37"/>
      <c r="N4581" s="36"/>
    </row>
    <row r="4582" ht="38.25">
      <c r="A4582" s="19" t="s">
        <v>10460</v>
      </c>
      <c r="B4582" s="19">
        <v>39711</v>
      </c>
      <c r="C4582" s="20" t="s">
        <v>15050</v>
      </c>
      <c r="D4582" s="19" t="s">
        <v>38</v>
      </c>
      <c r="E4582" s="19" t="s">
        <v>10459</v>
      </c>
      <c r="F4582" s="21" t="str">
        <f t="shared" si="624"/>
        <v>VERIFICAR</v>
      </c>
      <c r="G4582" s="21" t="str">
        <f t="shared" si="624"/>
        <v>VERIFICAR</v>
      </c>
      <c r="H4582" s="21" t="str">
        <f t="shared" si="624"/>
        <v>VERIFICAR</v>
      </c>
      <c r="I4582" s="24" t="str">
        <f t="shared" si="625"/>
        <v xml:space="preserve">SEM VALOR</v>
      </c>
      <c r="L4582" s="36"/>
      <c r="M4582" s="37"/>
      <c r="N4582" s="36"/>
    </row>
    <row r="4583" ht="38.25">
      <c r="A4583" s="19" t="s">
        <v>10460</v>
      </c>
      <c r="B4583" s="19">
        <v>39714</v>
      </c>
      <c r="C4583" s="20" t="s">
        <v>15051</v>
      </c>
      <c r="D4583" s="19" t="s">
        <v>38</v>
      </c>
      <c r="E4583" s="19" t="s">
        <v>10459</v>
      </c>
      <c r="F4583" s="21" t="str">
        <f t="shared" si="624"/>
        <v>VERIFICAR</v>
      </c>
      <c r="G4583" s="21" t="str">
        <f t="shared" si="624"/>
        <v>VERIFICAR</v>
      </c>
      <c r="H4583" s="21" t="str">
        <f t="shared" si="624"/>
        <v>VERIFICAR</v>
      </c>
      <c r="I4583" s="24" t="str">
        <f t="shared" si="625"/>
        <v xml:space="preserve">SEM VALOR</v>
      </c>
      <c r="L4583" s="36"/>
      <c r="M4583" s="37"/>
      <c r="N4583" s="36"/>
    </row>
    <row r="4584" ht="38.25">
      <c r="A4584" s="19" t="s">
        <v>10460</v>
      </c>
      <c r="B4584" s="19">
        <v>39712</v>
      </c>
      <c r="C4584" s="20" t="s">
        <v>15052</v>
      </c>
      <c r="D4584" s="19" t="s">
        <v>38</v>
      </c>
      <c r="E4584" s="19" t="s">
        <v>10466</v>
      </c>
      <c r="F4584" s="21" t="str">
        <f t="shared" si="624"/>
        <v>VERIFICAR</v>
      </c>
      <c r="G4584" s="21" t="str">
        <f t="shared" si="624"/>
        <v>VERIFICAR</v>
      </c>
      <c r="H4584" s="21" t="str">
        <f t="shared" si="624"/>
        <v>VERIFICAR</v>
      </c>
      <c r="I4584" s="24" t="str">
        <f t="shared" si="625"/>
        <v xml:space="preserve">SEM VALOR</v>
      </c>
      <c r="L4584" s="36"/>
      <c r="M4584" s="37"/>
      <c r="N4584" s="36"/>
    </row>
    <row r="4585" ht="38.25">
      <c r="A4585" s="19" t="s">
        <v>10460</v>
      </c>
      <c r="B4585" s="19">
        <v>39713</v>
      </c>
      <c r="C4585" s="20" t="s">
        <v>15053</v>
      </c>
      <c r="D4585" s="19" t="s">
        <v>38</v>
      </c>
      <c r="E4585" s="19" t="s">
        <v>10459</v>
      </c>
      <c r="F4585" s="21" t="str">
        <f t="shared" si="624"/>
        <v>VERIFICAR</v>
      </c>
      <c r="G4585" s="21" t="str">
        <f t="shared" si="624"/>
        <v>VERIFICAR</v>
      </c>
      <c r="H4585" s="21" t="str">
        <f t="shared" si="624"/>
        <v>VERIFICAR</v>
      </c>
      <c r="I4585" s="24" t="str">
        <f t="shared" si="625"/>
        <v xml:space="preserve">SEM VALOR</v>
      </c>
      <c r="J4585" s="38"/>
      <c r="L4585" s="36"/>
      <c r="M4585" s="37"/>
      <c r="N4585" s="36"/>
    </row>
    <row r="4586" ht="38.25">
      <c r="A4586" s="19" t="s">
        <v>10460</v>
      </c>
      <c r="B4586" s="19">
        <v>39715</v>
      </c>
      <c r="C4586" s="20" t="s">
        <v>15054</v>
      </c>
      <c r="D4586" s="19" t="s">
        <v>38</v>
      </c>
      <c r="E4586" s="19" t="s">
        <v>10459</v>
      </c>
      <c r="F4586" s="21" t="str">
        <f t="shared" si="624"/>
        <v>VERIFICAR</v>
      </c>
      <c r="G4586" s="21" t="str">
        <f t="shared" si="624"/>
        <v>VERIFICAR</v>
      </c>
      <c r="H4586" s="21" t="str">
        <f t="shared" si="624"/>
        <v>VERIFICAR</v>
      </c>
      <c r="I4586" s="24" t="str">
        <f t="shared" si="625"/>
        <v xml:space="preserve">SEM VALOR</v>
      </c>
      <c r="L4586" s="36"/>
      <c r="M4586" s="37"/>
      <c r="N4586" s="36"/>
    </row>
    <row r="4587" ht="38.25">
      <c r="A4587" s="19" t="s">
        <v>10460</v>
      </c>
      <c r="B4587" s="19">
        <v>39716</v>
      </c>
      <c r="C4587" s="20" t="s">
        <v>15055</v>
      </c>
      <c r="D4587" s="19" t="s">
        <v>38</v>
      </c>
      <c r="E4587" s="19" t="s">
        <v>10459</v>
      </c>
      <c r="F4587" s="21" t="str">
        <f t="shared" si="624"/>
        <v>VERIFICAR</v>
      </c>
      <c r="G4587" s="21" t="str">
        <f t="shared" si="624"/>
        <v>VERIFICAR</v>
      </c>
      <c r="H4587" s="21" t="str">
        <f t="shared" si="624"/>
        <v>VERIFICAR</v>
      </c>
      <c r="I4587" s="24" t="str">
        <f t="shared" si="625"/>
        <v xml:space="preserve">SEM VALOR</v>
      </c>
      <c r="L4587" s="36"/>
      <c r="M4587" s="37"/>
      <c r="N4587" s="36"/>
    </row>
    <row r="4588" ht="38.25">
      <c r="A4588" s="19" t="s">
        <v>10460</v>
      </c>
      <c r="B4588" s="19">
        <v>39718</v>
      </c>
      <c r="C4588" s="20" t="s">
        <v>15056</v>
      </c>
      <c r="D4588" s="19" t="s">
        <v>38</v>
      </c>
      <c r="E4588" s="19" t="s">
        <v>10459</v>
      </c>
      <c r="F4588" s="21" t="str">
        <f t="shared" si="624"/>
        <v>VERIFICAR</v>
      </c>
      <c r="G4588" s="21" t="str">
        <f t="shared" si="624"/>
        <v>VERIFICAR</v>
      </c>
      <c r="H4588" s="21" t="str">
        <f t="shared" si="624"/>
        <v>VERIFICAR</v>
      </c>
      <c r="I4588" s="24" t="str">
        <f t="shared" si="625"/>
        <v xml:space="preserve">SEM VALOR</v>
      </c>
      <c r="L4588" s="36"/>
      <c r="M4588" s="37"/>
      <c r="N4588" s="36"/>
    </row>
    <row r="4589" ht="38.25">
      <c r="A4589" s="19" t="s">
        <v>10460</v>
      </c>
      <c r="B4589" s="19">
        <v>9813</v>
      </c>
      <c r="C4589" s="20" t="s">
        <v>15057</v>
      </c>
      <c r="D4589" s="19" t="s">
        <v>38</v>
      </c>
      <c r="E4589" s="19" t="s">
        <v>10466</v>
      </c>
      <c r="F4589" s="21">
        <f t="shared" si="624"/>
        <v>5.5099999999999998</v>
      </c>
      <c r="G4589" s="21">
        <f t="shared" si="624"/>
        <v>5.5099999999999998</v>
      </c>
      <c r="H4589" s="21">
        <f t="shared" si="624"/>
        <v>5.5099999999999998</v>
      </c>
      <c r="I4589" s="24" t="str">
        <f t="shared" si="625"/>
        <v xml:space="preserve">COM VALOR</v>
      </c>
      <c r="J4589" s="38" t="s">
        <v>10710</v>
      </c>
      <c r="L4589" s="36">
        <v>5.5099999999999998</v>
      </c>
      <c r="M4589" s="37">
        <v>5.5099999999999998</v>
      </c>
      <c r="N4589" s="36">
        <v>5.5099999999999998</v>
      </c>
    </row>
    <row r="4590" ht="38.25">
      <c r="A4590" s="19" t="s">
        <v>10460</v>
      </c>
      <c r="B4590" s="19">
        <v>9815</v>
      </c>
      <c r="C4590" s="20" t="s">
        <v>15058</v>
      </c>
      <c r="D4590" s="19" t="s">
        <v>38</v>
      </c>
      <c r="E4590" s="19" t="s">
        <v>10459</v>
      </c>
      <c r="F4590" s="21" t="str">
        <f t="shared" si="624"/>
        <v>VERIFICAR</v>
      </c>
      <c r="G4590" s="21" t="str">
        <f t="shared" si="624"/>
        <v>VERIFICAR</v>
      </c>
      <c r="H4590" s="21" t="str">
        <f t="shared" si="624"/>
        <v>VERIFICAR</v>
      </c>
      <c r="I4590" s="24" t="str">
        <f t="shared" si="625"/>
        <v xml:space="preserve">SEM VALOR</v>
      </c>
      <c r="L4590" s="36"/>
      <c r="M4590" s="37"/>
      <c r="N4590" s="36"/>
    </row>
    <row r="4591" ht="38.25">
      <c r="A4591" s="19" t="s">
        <v>10460</v>
      </c>
      <c r="B4591" s="19">
        <v>44543</v>
      </c>
      <c r="C4591" s="20" t="s">
        <v>15059</v>
      </c>
      <c r="D4591" s="19" t="s">
        <v>38</v>
      </c>
      <c r="E4591" s="19" t="s">
        <v>10459</v>
      </c>
      <c r="F4591" s="21" t="str">
        <f t="shared" si="624"/>
        <v>VERIFICAR</v>
      </c>
      <c r="G4591" s="21" t="str">
        <f t="shared" si="624"/>
        <v>VERIFICAR</v>
      </c>
      <c r="H4591" s="21" t="str">
        <f t="shared" si="624"/>
        <v>VERIFICAR</v>
      </c>
      <c r="I4591" s="24" t="str">
        <f t="shared" si="625"/>
        <v xml:space="preserve">SEM VALOR</v>
      </c>
      <c r="L4591" s="36"/>
      <c r="M4591" s="37"/>
      <c r="N4591" s="36"/>
    </row>
    <row r="4592" ht="38.25">
      <c r="A4592" s="19" t="s">
        <v>10460</v>
      </c>
      <c r="B4592" s="19">
        <v>44526</v>
      </c>
      <c r="C4592" s="20" t="s">
        <v>15060</v>
      </c>
      <c r="D4592" s="19" t="s">
        <v>38</v>
      </c>
      <c r="E4592" s="19" t="s">
        <v>10459</v>
      </c>
      <c r="F4592" s="21" t="str">
        <f t="shared" si="624"/>
        <v>VERIFICAR</v>
      </c>
      <c r="G4592" s="21" t="str">
        <f t="shared" si="624"/>
        <v>VERIFICAR</v>
      </c>
      <c r="H4592" s="21" t="str">
        <f t="shared" si="624"/>
        <v>VERIFICAR</v>
      </c>
      <c r="I4592" s="24" t="str">
        <f t="shared" si="625"/>
        <v xml:space="preserve">SEM VALOR</v>
      </c>
      <c r="L4592" s="36"/>
      <c r="M4592" s="37"/>
      <c r="N4592" s="36"/>
    </row>
    <row r="4593" ht="38.25">
      <c r="A4593" s="19" t="s">
        <v>10460</v>
      </c>
      <c r="B4593" s="19">
        <v>44545</v>
      </c>
      <c r="C4593" s="20" t="s">
        <v>15061</v>
      </c>
      <c r="D4593" s="19" t="s">
        <v>38</v>
      </c>
      <c r="E4593" s="19" t="s">
        <v>10459</v>
      </c>
      <c r="F4593" s="21" t="str">
        <f t="shared" si="624"/>
        <v>VERIFICAR</v>
      </c>
      <c r="G4593" s="21" t="str">
        <f t="shared" si="624"/>
        <v>VERIFICAR</v>
      </c>
      <c r="H4593" s="21" t="str">
        <f t="shared" si="624"/>
        <v>VERIFICAR</v>
      </c>
      <c r="I4593" s="24" t="str">
        <f t="shared" si="625"/>
        <v xml:space="preserve">SEM VALOR</v>
      </c>
      <c r="J4593" s="38"/>
      <c r="L4593" s="36"/>
      <c r="M4593" s="37"/>
      <c r="N4593" s="36"/>
    </row>
    <row r="4594" ht="38.25">
      <c r="A4594" s="19" t="s">
        <v>10460</v>
      </c>
      <c r="B4594" s="19">
        <v>44525</v>
      </c>
      <c r="C4594" s="20" t="s">
        <v>15062</v>
      </c>
      <c r="D4594" s="19" t="s">
        <v>38</v>
      </c>
      <c r="E4594" s="19" t="s">
        <v>10459</v>
      </c>
      <c r="F4594" s="21" t="str">
        <f t="shared" si="624"/>
        <v>VERIFICAR</v>
      </c>
      <c r="G4594" s="21" t="str">
        <f t="shared" si="624"/>
        <v>VERIFICAR</v>
      </c>
      <c r="H4594" s="21" t="str">
        <f t="shared" si="624"/>
        <v>VERIFICAR</v>
      </c>
      <c r="I4594" s="24" t="str">
        <f t="shared" si="625"/>
        <v xml:space="preserve">SEM VALOR</v>
      </c>
      <c r="L4594" s="36"/>
      <c r="M4594" s="37"/>
      <c r="N4594" s="36"/>
    </row>
    <row r="4595" ht="38.25">
      <c r="A4595" s="19" t="s">
        <v>10460</v>
      </c>
      <c r="B4595" s="19">
        <v>44547</v>
      </c>
      <c r="C4595" s="20" t="s">
        <v>15063</v>
      </c>
      <c r="D4595" s="19" t="s">
        <v>38</v>
      </c>
      <c r="E4595" s="19" t="s">
        <v>10459</v>
      </c>
      <c r="F4595" s="21" t="str">
        <f t="shared" si="624"/>
        <v>VERIFICAR</v>
      </c>
      <c r="G4595" s="21" t="str">
        <f t="shared" si="624"/>
        <v>VERIFICAR</v>
      </c>
      <c r="H4595" s="21" t="str">
        <f t="shared" si="624"/>
        <v>VERIFICAR</v>
      </c>
      <c r="I4595" s="24" t="str">
        <f t="shared" si="625"/>
        <v xml:space="preserve">SEM VALOR</v>
      </c>
      <c r="J4595" s="38"/>
      <c r="L4595" s="36"/>
      <c r="M4595" s="37"/>
      <c r="N4595" s="36"/>
    </row>
    <row r="4596" ht="38.25">
      <c r="A4596" s="19" t="s">
        <v>10460</v>
      </c>
      <c r="B4596" s="19">
        <v>44519</v>
      </c>
      <c r="C4596" s="20" t="s">
        <v>15064</v>
      </c>
      <c r="D4596" s="19" t="s">
        <v>38</v>
      </c>
      <c r="E4596" s="19" t="s">
        <v>10459</v>
      </c>
      <c r="F4596" s="21" t="str">
        <f t="shared" si="624"/>
        <v>VERIFICAR</v>
      </c>
      <c r="G4596" s="21" t="str">
        <f t="shared" si="624"/>
        <v>VERIFICAR</v>
      </c>
      <c r="H4596" s="21" t="str">
        <f t="shared" si="624"/>
        <v>VERIFICAR</v>
      </c>
      <c r="I4596" s="24" t="str">
        <f t="shared" si="625"/>
        <v xml:space="preserve">SEM VALOR</v>
      </c>
      <c r="L4596" s="36"/>
      <c r="M4596" s="37"/>
      <c r="N4596" s="36"/>
    </row>
    <row r="4597" ht="38.25">
      <c r="A4597" s="19" t="s">
        <v>10460</v>
      </c>
      <c r="B4597" s="19">
        <v>44520</v>
      </c>
      <c r="C4597" s="20" t="s">
        <v>15065</v>
      </c>
      <c r="D4597" s="19" t="s">
        <v>38</v>
      </c>
      <c r="E4597" s="19" t="s">
        <v>10459</v>
      </c>
      <c r="F4597" s="21" t="str">
        <f t="shared" si="624"/>
        <v>VERIFICAR</v>
      </c>
      <c r="G4597" s="21" t="str">
        <f t="shared" si="624"/>
        <v>VERIFICAR</v>
      </c>
      <c r="H4597" s="21" t="str">
        <f t="shared" si="624"/>
        <v>VERIFICAR</v>
      </c>
      <c r="I4597" s="24" t="str">
        <f t="shared" si="625"/>
        <v xml:space="preserve">SEM VALOR</v>
      </c>
      <c r="L4597" s="36"/>
      <c r="M4597" s="37"/>
      <c r="N4597" s="36"/>
    </row>
    <row r="4598" ht="38.25">
      <c r="A4598" s="19" t="s">
        <v>10460</v>
      </c>
      <c r="B4598" s="19">
        <v>44521</v>
      </c>
      <c r="C4598" s="20" t="s">
        <v>15066</v>
      </c>
      <c r="D4598" s="19" t="s">
        <v>38</v>
      </c>
      <c r="E4598" s="19" t="s">
        <v>10459</v>
      </c>
      <c r="F4598" s="21" t="str">
        <f t="shared" si="624"/>
        <v>VERIFICAR</v>
      </c>
      <c r="G4598" s="21" t="str">
        <f t="shared" si="624"/>
        <v>VERIFICAR</v>
      </c>
      <c r="H4598" s="21" t="str">
        <f t="shared" si="624"/>
        <v>VERIFICAR</v>
      </c>
      <c r="I4598" s="24" t="str">
        <f t="shared" si="625"/>
        <v xml:space="preserve">SEM VALOR</v>
      </c>
      <c r="L4598" s="36"/>
      <c r="M4598" s="37"/>
      <c r="N4598" s="36"/>
    </row>
    <row r="4599" ht="38.25">
      <c r="A4599" s="19" t="s">
        <v>10460</v>
      </c>
      <c r="B4599" s="19">
        <v>44522</v>
      </c>
      <c r="C4599" s="20" t="s">
        <v>15067</v>
      </c>
      <c r="D4599" s="19" t="s">
        <v>38</v>
      </c>
      <c r="E4599" s="19" t="s">
        <v>10459</v>
      </c>
      <c r="F4599" s="21" t="str">
        <f t="shared" si="624"/>
        <v>VERIFICAR</v>
      </c>
      <c r="G4599" s="21" t="str">
        <f t="shared" si="624"/>
        <v>VERIFICAR</v>
      </c>
      <c r="H4599" s="21" t="str">
        <f t="shared" si="624"/>
        <v>VERIFICAR</v>
      </c>
      <c r="I4599" s="24" t="str">
        <f t="shared" si="625"/>
        <v xml:space="preserve">SEM VALOR</v>
      </c>
      <c r="L4599" s="36"/>
      <c r="M4599" s="37"/>
      <c r="N4599" s="36"/>
    </row>
    <row r="4600" ht="38.25">
      <c r="A4600" s="19" t="s">
        <v>10460</v>
      </c>
      <c r="B4600" s="19">
        <v>44523</v>
      </c>
      <c r="C4600" s="20" t="s">
        <v>15068</v>
      </c>
      <c r="D4600" s="19" t="s">
        <v>38</v>
      </c>
      <c r="E4600" s="19" t="s">
        <v>10459</v>
      </c>
      <c r="F4600" s="21" t="str">
        <f t="shared" si="624"/>
        <v>VERIFICAR</v>
      </c>
      <c r="G4600" s="21" t="str">
        <f t="shared" si="624"/>
        <v>VERIFICAR</v>
      </c>
      <c r="H4600" s="21" t="str">
        <f t="shared" si="624"/>
        <v>VERIFICAR</v>
      </c>
      <c r="I4600" s="24" t="str">
        <f t="shared" si="625"/>
        <v xml:space="preserve">SEM VALOR</v>
      </c>
      <c r="L4600" s="36"/>
      <c r="M4600" s="37"/>
      <c r="N4600" s="36"/>
    </row>
    <row r="4601" ht="38.25">
      <c r="A4601" s="19" t="s">
        <v>10460</v>
      </c>
      <c r="B4601" s="19">
        <v>44527</v>
      </c>
      <c r="C4601" s="20" t="s">
        <v>15069</v>
      </c>
      <c r="D4601" s="19" t="s">
        <v>38</v>
      </c>
      <c r="E4601" s="19" t="s">
        <v>10459</v>
      </c>
      <c r="F4601" s="21" t="str">
        <f t="shared" si="624"/>
        <v>VERIFICAR</v>
      </c>
      <c r="G4601" s="21" t="str">
        <f t="shared" si="624"/>
        <v>VERIFICAR</v>
      </c>
      <c r="H4601" s="21" t="str">
        <f t="shared" si="624"/>
        <v>VERIFICAR</v>
      </c>
      <c r="I4601" s="24" t="str">
        <f t="shared" si="625"/>
        <v xml:space="preserve">SEM VALOR</v>
      </c>
      <c r="L4601" s="36"/>
      <c r="M4601" s="37"/>
      <c r="N4601" s="36"/>
    </row>
    <row r="4602" ht="38.25">
      <c r="A4602" s="19" t="s">
        <v>10460</v>
      </c>
      <c r="B4602" s="19">
        <v>44524</v>
      </c>
      <c r="C4602" s="20" t="s">
        <v>15070</v>
      </c>
      <c r="D4602" s="19" t="s">
        <v>38</v>
      </c>
      <c r="E4602" s="19" t="s">
        <v>10459</v>
      </c>
      <c r="F4602" s="21" t="str">
        <f t="shared" si="624"/>
        <v>VERIFICAR</v>
      </c>
      <c r="G4602" s="21" t="str">
        <f t="shared" si="624"/>
        <v>VERIFICAR</v>
      </c>
      <c r="H4602" s="21" t="str">
        <f t="shared" si="624"/>
        <v>VERIFICAR</v>
      </c>
      <c r="I4602" s="24" t="str">
        <f t="shared" si="625"/>
        <v xml:space="preserve">SEM VALOR</v>
      </c>
      <c r="L4602" s="36"/>
      <c r="M4602" s="37"/>
      <c r="N4602" s="36"/>
    </row>
    <row r="4603" ht="38.25">
      <c r="A4603" s="19" t="s">
        <v>10460</v>
      </c>
      <c r="B4603" s="19">
        <v>44542</v>
      </c>
      <c r="C4603" s="20" t="s">
        <v>15071</v>
      </c>
      <c r="D4603" s="19" t="s">
        <v>38</v>
      </c>
      <c r="E4603" s="19" t="s">
        <v>10459</v>
      </c>
      <c r="F4603" s="21" t="str">
        <f t="shared" si="624"/>
        <v>VERIFICAR</v>
      </c>
      <c r="G4603" s="21" t="str">
        <f t="shared" si="624"/>
        <v>VERIFICAR</v>
      </c>
      <c r="H4603" s="21" t="str">
        <f t="shared" si="624"/>
        <v>VERIFICAR</v>
      </c>
      <c r="I4603" s="24" t="str">
        <f t="shared" si="625"/>
        <v xml:space="preserve">SEM VALOR</v>
      </c>
      <c r="L4603" s="36"/>
      <c r="M4603" s="37"/>
      <c r="N4603" s="36"/>
    </row>
    <row r="4604" ht="25.5">
      <c r="A4604" s="19" t="s">
        <v>10460</v>
      </c>
      <c r="B4604" s="19">
        <v>9877</v>
      </c>
      <c r="C4604" s="20" t="s">
        <v>15072</v>
      </c>
      <c r="D4604" s="19" t="s">
        <v>38</v>
      </c>
      <c r="E4604" s="19" t="s">
        <v>10459</v>
      </c>
      <c r="F4604" s="21">
        <f t="shared" si="624"/>
        <v>138.99000000000001</v>
      </c>
      <c r="G4604" s="21">
        <f t="shared" si="624"/>
        <v>138.99000000000001</v>
      </c>
      <c r="H4604" s="21">
        <f t="shared" si="624"/>
        <v>138.99000000000001</v>
      </c>
      <c r="I4604" s="24" t="str">
        <f t="shared" si="625"/>
        <v xml:space="preserve">COM VALOR</v>
      </c>
      <c r="L4604" s="36">
        <v>138.99000000000001</v>
      </c>
      <c r="M4604" s="37">
        <v>138.99000000000001</v>
      </c>
      <c r="N4604" s="36">
        <v>138.99000000000001</v>
      </c>
    </row>
    <row r="4605" ht="25.5">
      <c r="A4605" s="19" t="s">
        <v>10460</v>
      </c>
      <c r="B4605" s="19">
        <v>9878</v>
      </c>
      <c r="C4605" s="20" t="s">
        <v>15073</v>
      </c>
      <c r="D4605" s="19" t="s">
        <v>38</v>
      </c>
      <c r="E4605" s="19" t="s">
        <v>10459</v>
      </c>
      <c r="F4605" s="21">
        <f t="shared" si="624"/>
        <v>171.09999999999999</v>
      </c>
      <c r="G4605" s="21">
        <f t="shared" si="624"/>
        <v>171.09999999999999</v>
      </c>
      <c r="H4605" s="21">
        <f t="shared" si="624"/>
        <v>171.09999999999999</v>
      </c>
      <c r="I4605" s="24" t="str">
        <f t="shared" si="625"/>
        <v xml:space="preserve">COM VALOR</v>
      </c>
      <c r="L4605" s="36">
        <v>171.09999999999999</v>
      </c>
      <c r="M4605" s="37">
        <v>171.09999999999999</v>
      </c>
      <c r="N4605" s="36">
        <v>171.09999999999999</v>
      </c>
    </row>
    <row r="4606" ht="38.25">
      <c r="A4606" s="19" t="s">
        <v>10460</v>
      </c>
      <c r="B4606" s="19">
        <v>41986</v>
      </c>
      <c r="C4606" s="20" t="s">
        <v>15074</v>
      </c>
      <c r="D4606" s="19" t="s">
        <v>38</v>
      </c>
      <c r="E4606" s="19" t="s">
        <v>10459</v>
      </c>
      <c r="F4606" s="21" t="str">
        <f t="shared" si="624"/>
        <v>VERIFICAR</v>
      </c>
      <c r="G4606" s="21" t="str">
        <f t="shared" si="624"/>
        <v>VERIFICAR</v>
      </c>
      <c r="H4606" s="21" t="str">
        <f t="shared" si="624"/>
        <v>VERIFICAR</v>
      </c>
      <c r="I4606" s="24" t="str">
        <f t="shared" si="625"/>
        <v xml:space="preserve">SEM VALOR</v>
      </c>
      <c r="L4606" s="36"/>
      <c r="M4606" s="37"/>
      <c r="N4606" s="36"/>
    </row>
    <row r="4607" ht="38.25">
      <c r="A4607" s="19" t="s">
        <v>10460</v>
      </c>
      <c r="B4607" s="19">
        <v>43422</v>
      </c>
      <c r="C4607" s="20" t="s">
        <v>15075</v>
      </c>
      <c r="D4607" s="19" t="s">
        <v>38</v>
      </c>
      <c r="E4607" s="19" t="s">
        <v>10459</v>
      </c>
      <c r="F4607" s="21" t="str">
        <f t="shared" si="624"/>
        <v>VERIFICAR</v>
      </c>
      <c r="G4607" s="21" t="str">
        <f t="shared" si="624"/>
        <v>VERIFICAR</v>
      </c>
      <c r="H4607" s="21" t="str">
        <f t="shared" si="624"/>
        <v>VERIFICAR</v>
      </c>
      <c r="I4607" s="24" t="str">
        <f t="shared" si="625"/>
        <v xml:space="preserve">SEM VALOR</v>
      </c>
      <c r="L4607" s="36"/>
      <c r="M4607" s="37"/>
      <c r="N4607" s="36"/>
    </row>
    <row r="4608" ht="38.25">
      <c r="A4608" s="19" t="s">
        <v>10460</v>
      </c>
      <c r="B4608" s="19">
        <v>41987</v>
      </c>
      <c r="C4608" s="20" t="s">
        <v>15076</v>
      </c>
      <c r="D4608" s="19" t="s">
        <v>38</v>
      </c>
      <c r="E4608" s="19" t="s">
        <v>10459</v>
      </c>
      <c r="F4608" s="21" t="str">
        <f t="shared" si="624"/>
        <v>VERIFICAR</v>
      </c>
      <c r="G4608" s="21" t="str">
        <f t="shared" si="624"/>
        <v>VERIFICAR</v>
      </c>
      <c r="H4608" s="21" t="str">
        <f t="shared" si="624"/>
        <v>VERIFICAR</v>
      </c>
      <c r="I4608" s="24" t="str">
        <f t="shared" si="625"/>
        <v xml:space="preserve">SEM VALOR</v>
      </c>
      <c r="L4608" s="36"/>
      <c r="M4608" s="37"/>
      <c r="N4608" s="36"/>
    </row>
    <row r="4609" ht="38.25">
      <c r="A4609" s="19" t="s">
        <v>10460</v>
      </c>
      <c r="B4609" s="19">
        <v>41988</v>
      </c>
      <c r="C4609" s="20" t="s">
        <v>15077</v>
      </c>
      <c r="D4609" s="19" t="s">
        <v>38</v>
      </c>
      <c r="E4609" s="19" t="s">
        <v>10459</v>
      </c>
      <c r="F4609" s="21" t="str">
        <f t="shared" si="624"/>
        <v>VERIFICAR</v>
      </c>
      <c r="G4609" s="21" t="str">
        <f t="shared" si="624"/>
        <v>VERIFICAR</v>
      </c>
      <c r="H4609" s="21" t="str">
        <f t="shared" si="624"/>
        <v>VERIFICAR</v>
      </c>
      <c r="I4609" s="24" t="str">
        <f t="shared" si="625"/>
        <v xml:space="preserve">SEM VALOR</v>
      </c>
      <c r="L4609" s="36"/>
      <c r="M4609" s="37"/>
      <c r="N4609" s="36"/>
    </row>
    <row r="4610" ht="38.25">
      <c r="A4610" s="19" t="s">
        <v>10460</v>
      </c>
      <c r="B4610" s="19">
        <v>41697</v>
      </c>
      <c r="C4610" s="20" t="s">
        <v>15078</v>
      </c>
      <c r="D4610" s="19" t="s">
        <v>38</v>
      </c>
      <c r="E4610" s="19" t="s">
        <v>10459</v>
      </c>
      <c r="F4610" s="21" t="str">
        <f t="shared" si="624"/>
        <v>VERIFICAR</v>
      </c>
      <c r="G4610" s="21" t="str">
        <f t="shared" si="624"/>
        <v>VERIFICAR</v>
      </c>
      <c r="H4610" s="21" t="str">
        <f t="shared" si="624"/>
        <v>VERIFICAR</v>
      </c>
      <c r="I4610" s="24" t="str">
        <f t="shared" si="625"/>
        <v xml:space="preserve">SEM VALOR</v>
      </c>
      <c r="L4610" s="36"/>
      <c r="M4610" s="37"/>
      <c r="N4610" s="36"/>
    </row>
    <row r="4611" ht="38.25">
      <c r="A4611" s="19" t="s">
        <v>10460</v>
      </c>
      <c r="B4611" s="19">
        <v>41985</v>
      </c>
      <c r="C4611" s="20" t="s">
        <v>15079</v>
      </c>
      <c r="D4611" s="19" t="s">
        <v>38</v>
      </c>
      <c r="E4611" s="19" t="s">
        <v>10459</v>
      </c>
      <c r="F4611" s="21" t="str">
        <f t="shared" si="624"/>
        <v>VERIFICAR</v>
      </c>
      <c r="G4611" s="21" t="str">
        <f t="shared" si="624"/>
        <v>VERIFICAR</v>
      </c>
      <c r="H4611" s="21" t="str">
        <f t="shared" si="624"/>
        <v>VERIFICAR</v>
      </c>
      <c r="I4611" s="24" t="str">
        <f t="shared" si="625"/>
        <v xml:space="preserve">SEM VALOR</v>
      </c>
      <c r="L4611" s="36"/>
      <c r="M4611" s="37"/>
      <c r="N4611" s="36"/>
    </row>
    <row r="4612" ht="38.25">
      <c r="A4612" s="19" t="s">
        <v>10460</v>
      </c>
      <c r="B4612" s="19">
        <v>41699</v>
      </c>
      <c r="C4612" s="20" t="s">
        <v>15080</v>
      </c>
      <c r="D4612" s="19" t="s">
        <v>38</v>
      </c>
      <c r="E4612" s="19" t="s">
        <v>10459</v>
      </c>
      <c r="F4612" s="21" t="str">
        <f t="shared" si="624"/>
        <v>VERIFICAR</v>
      </c>
      <c r="G4612" s="21" t="str">
        <f t="shared" si="624"/>
        <v>VERIFICAR</v>
      </c>
      <c r="H4612" s="21" t="str">
        <f t="shared" si="624"/>
        <v>VERIFICAR</v>
      </c>
      <c r="I4612" s="24" t="str">
        <f t="shared" si="625"/>
        <v xml:space="preserve">SEM VALOR</v>
      </c>
      <c r="L4612" s="36"/>
      <c r="M4612" s="37"/>
      <c r="N4612" s="36"/>
    </row>
    <row r="4613" ht="51">
      <c r="A4613" s="19" t="s">
        <v>10460</v>
      </c>
      <c r="B4613" s="19">
        <v>38053</v>
      </c>
      <c r="C4613" s="20" t="s">
        <v>15081</v>
      </c>
      <c r="D4613" s="19" t="s">
        <v>38</v>
      </c>
      <c r="E4613" s="19" t="s">
        <v>10459</v>
      </c>
      <c r="F4613" s="21" t="str">
        <f t="shared" si="624"/>
        <v>VERIFICAR</v>
      </c>
      <c r="G4613" s="21" t="str">
        <f t="shared" si="624"/>
        <v>VERIFICAR</v>
      </c>
      <c r="H4613" s="21" t="str">
        <f t="shared" si="624"/>
        <v>VERIFICAR</v>
      </c>
      <c r="I4613" s="24" t="str">
        <f t="shared" si="625"/>
        <v xml:space="preserve">SEM VALOR</v>
      </c>
      <c r="L4613" s="36"/>
      <c r="M4613" s="37"/>
      <c r="N4613" s="36"/>
    </row>
    <row r="4614" ht="51">
      <c r="A4614" s="19" t="s">
        <v>10460</v>
      </c>
      <c r="B4614" s="19">
        <v>38054</v>
      </c>
      <c r="C4614" s="20" t="s">
        <v>15082</v>
      </c>
      <c r="D4614" s="19" t="s">
        <v>38</v>
      </c>
      <c r="E4614" s="19" t="s">
        <v>10459</v>
      </c>
      <c r="F4614" s="21">
        <f t="shared" si="624"/>
        <v>37.990000000000002</v>
      </c>
      <c r="G4614" s="21">
        <f t="shared" si="624"/>
        <v>37.990000000000002</v>
      </c>
      <c r="H4614" s="21">
        <f t="shared" si="624"/>
        <v>37.990000000000002</v>
      </c>
      <c r="I4614" s="24" t="str">
        <f t="shared" si="625"/>
        <v xml:space="preserve">COM VALOR</v>
      </c>
      <c r="J4614" s="38" t="s">
        <v>10710</v>
      </c>
      <c r="L4614" s="36">
        <v>37.990000000000002</v>
      </c>
      <c r="M4614" s="37">
        <v>37.990000000000002</v>
      </c>
      <c r="N4614" s="36">
        <v>37.990000000000002</v>
      </c>
    </row>
    <row r="4615" ht="51">
      <c r="A4615" s="19" t="s">
        <v>10460</v>
      </c>
      <c r="B4615" s="19">
        <v>38052</v>
      </c>
      <c r="C4615" s="20" t="s">
        <v>15083</v>
      </c>
      <c r="D4615" s="19" t="s">
        <v>38</v>
      </c>
      <c r="E4615" s="19" t="s">
        <v>10466</v>
      </c>
      <c r="F4615" s="21">
        <f t="shared" si="624"/>
        <v>22.100000000000001</v>
      </c>
      <c r="G4615" s="21">
        <f t="shared" si="624"/>
        <v>22.100000000000001</v>
      </c>
      <c r="H4615" s="21">
        <f t="shared" si="624"/>
        <v>22.100000000000001</v>
      </c>
      <c r="I4615" s="24" t="str">
        <f t="shared" si="625"/>
        <v xml:space="preserve">COM VALOR</v>
      </c>
      <c r="J4615" s="38" t="s">
        <v>10710</v>
      </c>
      <c r="L4615" s="36">
        <v>22.100000000000001</v>
      </c>
      <c r="M4615" s="37">
        <v>22.100000000000001</v>
      </c>
      <c r="N4615" s="36">
        <v>22.100000000000001</v>
      </c>
    </row>
    <row r="4616" ht="51">
      <c r="A4616" s="19" t="s">
        <v>10460</v>
      </c>
      <c r="B4616" s="19">
        <v>38051</v>
      </c>
      <c r="C4616" s="20" t="s">
        <v>15084</v>
      </c>
      <c r="D4616" s="19" t="s">
        <v>38</v>
      </c>
      <c r="E4616" s="19" t="s">
        <v>10459</v>
      </c>
      <c r="F4616" s="21" t="str">
        <f t="shared" si="624"/>
        <v>VERIFICAR</v>
      </c>
      <c r="G4616" s="21" t="str">
        <f t="shared" si="624"/>
        <v>VERIFICAR</v>
      </c>
      <c r="H4616" s="21" t="str">
        <f t="shared" si="624"/>
        <v>VERIFICAR</v>
      </c>
      <c r="I4616" s="24" t="str">
        <f t="shared" si="625"/>
        <v xml:space="preserve">SEM VALOR</v>
      </c>
      <c r="L4616" s="36"/>
      <c r="M4616" s="37"/>
      <c r="N4616" s="36"/>
    </row>
    <row r="4617" ht="25.5">
      <c r="A4617" s="19" t="s">
        <v>10460</v>
      </c>
      <c r="B4617" s="19">
        <v>38787</v>
      </c>
      <c r="C4617" s="20" t="s">
        <v>15085</v>
      </c>
      <c r="D4617" s="19" t="s">
        <v>38</v>
      </c>
      <c r="E4617" s="19" t="s">
        <v>10466</v>
      </c>
      <c r="F4617" s="21" t="str">
        <f t="shared" si="624"/>
        <v>VERIFICAR</v>
      </c>
      <c r="G4617" s="21" t="str">
        <f t="shared" si="624"/>
        <v>VERIFICAR</v>
      </c>
      <c r="H4617" s="21" t="str">
        <f t="shared" si="624"/>
        <v>VERIFICAR</v>
      </c>
      <c r="I4617" s="24" t="str">
        <f t="shared" si="625"/>
        <v xml:space="preserve">SEM VALOR</v>
      </c>
      <c r="L4617" s="36"/>
      <c r="M4617" s="37"/>
      <c r="N4617" s="36"/>
    </row>
    <row r="4618" ht="25.5">
      <c r="A4618" s="19" t="s">
        <v>10460</v>
      </c>
      <c r="B4618" s="19">
        <v>38825</v>
      </c>
      <c r="C4618" s="20" t="s">
        <v>15086</v>
      </c>
      <c r="D4618" s="19" t="s">
        <v>38</v>
      </c>
      <c r="E4618" s="19" t="s">
        <v>10459</v>
      </c>
      <c r="F4618" s="21" t="str">
        <f t="shared" si="624"/>
        <v>VERIFICAR</v>
      </c>
      <c r="G4618" s="21" t="str">
        <f t="shared" si="624"/>
        <v>VERIFICAR</v>
      </c>
      <c r="H4618" s="21" t="str">
        <f t="shared" si="624"/>
        <v>VERIFICAR</v>
      </c>
      <c r="I4618" s="24" t="str">
        <f t="shared" si="625"/>
        <v xml:space="preserve">SEM VALOR</v>
      </c>
      <c r="L4618" s="36"/>
      <c r="M4618" s="37"/>
      <c r="N4618" s="36"/>
    </row>
    <row r="4619" ht="25.5">
      <c r="A4619" s="19" t="s">
        <v>10460</v>
      </c>
      <c r="B4619" s="19">
        <v>38826</v>
      </c>
      <c r="C4619" s="20" t="s">
        <v>15087</v>
      </c>
      <c r="D4619" s="19" t="s">
        <v>38</v>
      </c>
      <c r="E4619" s="19" t="s">
        <v>10459</v>
      </c>
      <c r="F4619" s="40">
        <v>5.5099999999999998</v>
      </c>
      <c r="G4619" s="40">
        <v>5.5099999999999998</v>
      </c>
      <c r="H4619" s="40">
        <v>5.5099999999999998</v>
      </c>
      <c r="I4619" s="24" t="str">
        <f t="shared" ref="I4619:I4682" si="626">IF(OR(L4619=0,M4619=0,N4619=0),"SEM VALOR","COM VALOR")</f>
        <v xml:space="preserve">SEM VALOR</v>
      </c>
      <c r="J4619" s="39"/>
      <c r="L4619" s="36"/>
      <c r="M4619" s="37"/>
      <c r="N4619" s="36"/>
    </row>
    <row r="4620" ht="25.5">
      <c r="A4620" s="19" t="s">
        <v>10460</v>
      </c>
      <c r="B4620" s="19">
        <v>38827</v>
      </c>
      <c r="C4620" s="20" t="s">
        <v>15088</v>
      </c>
      <c r="D4620" s="19" t="s">
        <v>38</v>
      </c>
      <c r="E4620" s="19" t="s">
        <v>10459</v>
      </c>
      <c r="F4620" s="21" t="str">
        <f t="shared" ref="F4619:H4682" si="627">IF(L4620=0,"VERIFICAR",L4620)</f>
        <v>VERIFICAR</v>
      </c>
      <c r="G4620" s="21" t="str">
        <f t="shared" si="627"/>
        <v>VERIFICAR</v>
      </c>
      <c r="H4620" s="21" t="str">
        <f t="shared" si="627"/>
        <v>VERIFICAR</v>
      </c>
      <c r="I4620" s="24" t="str">
        <f t="shared" si="626"/>
        <v xml:space="preserve">SEM VALOR</v>
      </c>
      <c r="L4620" s="36"/>
      <c r="M4620" s="37"/>
      <c r="N4620" s="36"/>
    </row>
    <row r="4621" ht="12.75">
      <c r="A4621" s="19" t="s">
        <v>10460</v>
      </c>
      <c r="B4621" s="19">
        <v>38828</v>
      </c>
      <c r="C4621" s="20" t="s">
        <v>15089</v>
      </c>
      <c r="D4621" s="19" t="s">
        <v>38</v>
      </c>
      <c r="E4621" s="19" t="s">
        <v>10459</v>
      </c>
      <c r="F4621" s="21" t="str">
        <f t="shared" si="627"/>
        <v>VERIFICAR</v>
      </c>
      <c r="G4621" s="21" t="str">
        <f t="shared" si="627"/>
        <v>VERIFICAR</v>
      </c>
      <c r="H4621" s="21" t="str">
        <f t="shared" si="627"/>
        <v>VERIFICAR</v>
      </c>
      <c r="I4621" s="24" t="str">
        <f t="shared" si="626"/>
        <v xml:space="preserve">SEM VALOR</v>
      </c>
      <c r="L4621" s="36"/>
      <c r="M4621" s="37"/>
      <c r="N4621" s="36"/>
    </row>
    <row r="4622" ht="12.75">
      <c r="A4622" s="19" t="s">
        <v>10460</v>
      </c>
      <c r="B4622" s="19">
        <v>38829</v>
      </c>
      <c r="C4622" s="20" t="s">
        <v>15090</v>
      </c>
      <c r="D4622" s="19" t="s">
        <v>38</v>
      </c>
      <c r="E4622" s="19" t="s">
        <v>10459</v>
      </c>
      <c r="F4622" s="21" t="str">
        <f t="shared" si="627"/>
        <v>VERIFICAR</v>
      </c>
      <c r="G4622" s="21" t="str">
        <f t="shared" si="627"/>
        <v>VERIFICAR</v>
      </c>
      <c r="H4622" s="21" t="str">
        <f t="shared" si="627"/>
        <v>VERIFICAR</v>
      </c>
      <c r="I4622" s="24" t="str">
        <f t="shared" si="626"/>
        <v xml:space="preserve">SEM VALOR</v>
      </c>
      <c r="L4622" s="36"/>
      <c r="M4622" s="37"/>
      <c r="N4622" s="36"/>
    </row>
    <row r="4623" ht="12.75">
      <c r="A4623" s="19" t="s">
        <v>10460</v>
      </c>
      <c r="B4623" s="19">
        <v>38830</v>
      </c>
      <c r="C4623" s="20" t="s">
        <v>15091</v>
      </c>
      <c r="D4623" s="19" t="s">
        <v>38</v>
      </c>
      <c r="E4623" s="19" t="s">
        <v>10459</v>
      </c>
      <c r="F4623" s="21" t="str">
        <f t="shared" si="627"/>
        <v>VERIFICAR</v>
      </c>
      <c r="G4623" s="21" t="str">
        <f t="shared" si="627"/>
        <v>VERIFICAR</v>
      </c>
      <c r="H4623" s="21" t="str">
        <f t="shared" si="627"/>
        <v>VERIFICAR</v>
      </c>
      <c r="I4623" s="24" t="str">
        <f t="shared" si="626"/>
        <v xml:space="preserve">SEM VALOR</v>
      </c>
      <c r="L4623" s="36"/>
      <c r="M4623" s="37"/>
      <c r="N4623" s="36"/>
    </row>
    <row r="4624" ht="12.75">
      <c r="A4624" s="19" t="s">
        <v>10460</v>
      </c>
      <c r="B4624" s="19">
        <v>38831</v>
      </c>
      <c r="C4624" s="20" t="s">
        <v>15092</v>
      </c>
      <c r="D4624" s="19" t="s">
        <v>38</v>
      </c>
      <c r="E4624" s="19" t="s">
        <v>10459</v>
      </c>
      <c r="F4624" s="21" t="str">
        <f t="shared" si="627"/>
        <v>VERIFICAR</v>
      </c>
      <c r="G4624" s="21" t="str">
        <f t="shared" si="627"/>
        <v>VERIFICAR</v>
      </c>
      <c r="H4624" s="21" t="str">
        <f t="shared" si="627"/>
        <v>VERIFICAR</v>
      </c>
      <c r="I4624" s="24" t="str">
        <f t="shared" si="626"/>
        <v xml:space="preserve">SEM VALOR</v>
      </c>
      <c r="L4624" s="36"/>
      <c r="M4624" s="37"/>
      <c r="N4624" s="36"/>
    </row>
    <row r="4625" ht="12.75">
      <c r="A4625" s="19" t="s">
        <v>10460</v>
      </c>
      <c r="B4625" s="19">
        <v>36274</v>
      </c>
      <c r="C4625" s="20" t="s">
        <v>15093</v>
      </c>
      <c r="D4625" s="19" t="s">
        <v>38</v>
      </c>
      <c r="E4625" s="19" t="s">
        <v>10466</v>
      </c>
      <c r="F4625" s="21" t="str">
        <f t="shared" si="627"/>
        <v>VERIFICAR</v>
      </c>
      <c r="G4625" s="21" t="str">
        <f t="shared" si="627"/>
        <v>VERIFICAR</v>
      </c>
      <c r="H4625" s="21" t="str">
        <f t="shared" si="627"/>
        <v>VERIFICAR</v>
      </c>
      <c r="I4625" s="24" t="str">
        <f t="shared" si="626"/>
        <v xml:space="preserve">SEM VALOR</v>
      </c>
      <c r="L4625" s="36"/>
      <c r="M4625" s="37"/>
      <c r="N4625" s="36"/>
    </row>
    <row r="4626" ht="12.75">
      <c r="A4626" s="19" t="s">
        <v>10460</v>
      </c>
      <c r="B4626" s="19">
        <v>36278</v>
      </c>
      <c r="C4626" s="20" t="s">
        <v>15094</v>
      </c>
      <c r="D4626" s="19" t="s">
        <v>38</v>
      </c>
      <c r="E4626" s="19" t="s">
        <v>10459</v>
      </c>
      <c r="F4626" s="21" t="str">
        <f t="shared" si="627"/>
        <v>VERIFICAR</v>
      </c>
      <c r="G4626" s="21" t="str">
        <f t="shared" si="627"/>
        <v>VERIFICAR</v>
      </c>
      <c r="H4626" s="21" t="str">
        <f t="shared" si="627"/>
        <v>VERIFICAR</v>
      </c>
      <c r="I4626" s="24" t="str">
        <f t="shared" si="626"/>
        <v xml:space="preserve">SEM VALOR</v>
      </c>
      <c r="L4626" s="36"/>
      <c r="M4626" s="37"/>
      <c r="N4626" s="36"/>
    </row>
    <row r="4627" ht="12.75">
      <c r="A4627" s="19" t="s">
        <v>10460</v>
      </c>
      <c r="B4627" s="19">
        <v>38977</v>
      </c>
      <c r="C4627" s="20" t="s">
        <v>15095</v>
      </c>
      <c r="D4627" s="19" t="s">
        <v>38</v>
      </c>
      <c r="E4627" s="19" t="s">
        <v>10459</v>
      </c>
      <c r="F4627" s="21" t="str">
        <f t="shared" si="627"/>
        <v>VERIFICAR</v>
      </c>
      <c r="G4627" s="21" t="str">
        <f t="shared" si="627"/>
        <v>VERIFICAR</v>
      </c>
      <c r="H4627" s="21" t="str">
        <f t="shared" si="627"/>
        <v>VERIFICAR</v>
      </c>
      <c r="I4627" s="24" t="str">
        <f t="shared" si="626"/>
        <v xml:space="preserve">SEM VALOR</v>
      </c>
      <c r="L4627" s="36"/>
      <c r="M4627" s="37"/>
      <c r="N4627" s="36"/>
    </row>
    <row r="4628" ht="12.75">
      <c r="A4628" s="19" t="s">
        <v>10460</v>
      </c>
      <c r="B4628" s="19">
        <v>38971</v>
      </c>
      <c r="C4628" s="20" t="s">
        <v>15096</v>
      </c>
      <c r="D4628" s="19" t="s">
        <v>38</v>
      </c>
      <c r="E4628" s="19" t="s">
        <v>10459</v>
      </c>
      <c r="F4628" s="21" t="str">
        <f t="shared" si="627"/>
        <v>VERIFICAR</v>
      </c>
      <c r="G4628" s="21" t="str">
        <f t="shared" si="627"/>
        <v>VERIFICAR</v>
      </c>
      <c r="H4628" s="21" t="str">
        <f t="shared" si="627"/>
        <v>VERIFICAR</v>
      </c>
      <c r="I4628" s="24" t="str">
        <f t="shared" si="626"/>
        <v xml:space="preserve">SEM VALOR</v>
      </c>
      <c r="L4628" s="36"/>
      <c r="M4628" s="37"/>
      <c r="N4628" s="36"/>
    </row>
    <row r="4629" ht="12.75">
      <c r="A4629" s="19" t="s">
        <v>10460</v>
      </c>
      <c r="B4629" s="19">
        <v>38972</v>
      </c>
      <c r="C4629" s="20" t="s">
        <v>15097</v>
      </c>
      <c r="D4629" s="19" t="s">
        <v>38</v>
      </c>
      <c r="E4629" s="19" t="s">
        <v>10459</v>
      </c>
      <c r="F4629" s="21" t="str">
        <f t="shared" si="627"/>
        <v>VERIFICAR</v>
      </c>
      <c r="G4629" s="21" t="str">
        <f t="shared" si="627"/>
        <v>VERIFICAR</v>
      </c>
      <c r="H4629" s="21" t="str">
        <f t="shared" si="627"/>
        <v>VERIFICAR</v>
      </c>
      <c r="I4629" s="24" t="str">
        <f t="shared" si="626"/>
        <v xml:space="preserve">SEM VALOR</v>
      </c>
      <c r="L4629" s="36"/>
      <c r="M4629" s="37"/>
      <c r="N4629" s="36"/>
    </row>
    <row r="4630" ht="12.75">
      <c r="A4630" s="19" t="s">
        <v>10460</v>
      </c>
      <c r="B4630" s="19">
        <v>38973</v>
      </c>
      <c r="C4630" s="20" t="s">
        <v>15098</v>
      </c>
      <c r="D4630" s="19" t="s">
        <v>38</v>
      </c>
      <c r="E4630" s="19" t="s">
        <v>10459</v>
      </c>
      <c r="F4630" s="21" t="str">
        <f t="shared" si="627"/>
        <v>VERIFICAR</v>
      </c>
      <c r="G4630" s="21" t="str">
        <f t="shared" si="627"/>
        <v>VERIFICAR</v>
      </c>
      <c r="H4630" s="21" t="str">
        <f t="shared" si="627"/>
        <v>VERIFICAR</v>
      </c>
      <c r="I4630" s="24" t="str">
        <f t="shared" si="626"/>
        <v xml:space="preserve">SEM VALOR</v>
      </c>
      <c r="L4630" s="36"/>
      <c r="M4630" s="37"/>
      <c r="N4630" s="36"/>
    </row>
    <row r="4631" ht="12.75">
      <c r="A4631" s="19" t="s">
        <v>10460</v>
      </c>
      <c r="B4631" s="19">
        <v>38974</v>
      </c>
      <c r="C4631" s="20" t="s">
        <v>15099</v>
      </c>
      <c r="D4631" s="19" t="s">
        <v>38</v>
      </c>
      <c r="E4631" s="19" t="s">
        <v>10459</v>
      </c>
      <c r="F4631" s="21" t="str">
        <f t="shared" si="627"/>
        <v>VERIFICAR</v>
      </c>
      <c r="G4631" s="21" t="str">
        <f t="shared" si="627"/>
        <v>VERIFICAR</v>
      </c>
      <c r="H4631" s="21" t="str">
        <f t="shared" si="627"/>
        <v>VERIFICAR</v>
      </c>
      <c r="I4631" s="24" t="str">
        <f t="shared" si="626"/>
        <v xml:space="preserve">SEM VALOR</v>
      </c>
      <c r="L4631" s="36"/>
      <c r="M4631" s="37"/>
      <c r="N4631" s="36"/>
    </row>
    <row r="4632" ht="12.75">
      <c r="A4632" s="19" t="s">
        <v>10460</v>
      </c>
      <c r="B4632" s="19">
        <v>38975</v>
      </c>
      <c r="C4632" s="20" t="s">
        <v>15100</v>
      </c>
      <c r="D4632" s="19" t="s">
        <v>38</v>
      </c>
      <c r="E4632" s="19" t="s">
        <v>10459</v>
      </c>
      <c r="F4632" s="21" t="str">
        <f t="shared" si="627"/>
        <v>VERIFICAR</v>
      </c>
      <c r="G4632" s="21" t="str">
        <f t="shared" si="627"/>
        <v>VERIFICAR</v>
      </c>
      <c r="H4632" s="21" t="str">
        <f t="shared" si="627"/>
        <v>VERIFICAR</v>
      </c>
      <c r="I4632" s="24" t="str">
        <f t="shared" si="626"/>
        <v xml:space="preserve">SEM VALOR</v>
      </c>
      <c r="L4632" s="36"/>
      <c r="M4632" s="37"/>
      <c r="N4632" s="36"/>
    </row>
    <row r="4633" ht="12.75">
      <c r="A4633" s="19" t="s">
        <v>10460</v>
      </c>
      <c r="B4633" s="19">
        <v>38976</v>
      </c>
      <c r="C4633" s="20" t="s">
        <v>15101</v>
      </c>
      <c r="D4633" s="19" t="s">
        <v>38</v>
      </c>
      <c r="E4633" s="19" t="s">
        <v>10459</v>
      </c>
      <c r="F4633" s="21" t="str">
        <f t="shared" si="627"/>
        <v>VERIFICAR</v>
      </c>
      <c r="G4633" s="21" t="str">
        <f t="shared" si="627"/>
        <v>VERIFICAR</v>
      </c>
      <c r="H4633" s="21" t="str">
        <f t="shared" si="627"/>
        <v>VERIFICAR</v>
      </c>
      <c r="I4633" s="24" t="str">
        <f t="shared" si="626"/>
        <v xml:space="preserve">SEM VALOR</v>
      </c>
      <c r="L4633" s="36"/>
      <c r="M4633" s="37"/>
      <c r="N4633" s="36"/>
    </row>
    <row r="4634" ht="25.5">
      <c r="A4634" s="19" t="s">
        <v>10460</v>
      </c>
      <c r="B4634" s="19">
        <v>44176</v>
      </c>
      <c r="C4634" s="20" t="s">
        <v>15102</v>
      </c>
      <c r="D4634" s="19" t="s">
        <v>38</v>
      </c>
      <c r="E4634" s="19" t="s">
        <v>10459</v>
      </c>
      <c r="F4634" s="21" t="str">
        <f t="shared" si="627"/>
        <v>VERIFICAR</v>
      </c>
      <c r="G4634" s="21" t="str">
        <f t="shared" si="627"/>
        <v>VERIFICAR</v>
      </c>
      <c r="H4634" s="21" t="str">
        <f t="shared" si="627"/>
        <v>VERIFICAR</v>
      </c>
      <c r="I4634" s="24" t="str">
        <f t="shared" si="626"/>
        <v xml:space="preserve">SEM VALOR</v>
      </c>
      <c r="L4634" s="36"/>
      <c r="M4634" s="37"/>
      <c r="N4634" s="36"/>
    </row>
    <row r="4635" ht="25.5">
      <c r="A4635" s="19" t="s">
        <v>10460</v>
      </c>
      <c r="B4635" s="19">
        <v>38986</v>
      </c>
      <c r="C4635" s="20" t="s">
        <v>15103</v>
      </c>
      <c r="D4635" s="19" t="s">
        <v>38</v>
      </c>
      <c r="E4635" s="19" t="s">
        <v>10459</v>
      </c>
      <c r="F4635" s="21" t="str">
        <f t="shared" si="627"/>
        <v>VERIFICAR</v>
      </c>
      <c r="G4635" s="21" t="str">
        <f t="shared" si="627"/>
        <v>VERIFICAR</v>
      </c>
      <c r="H4635" s="21" t="str">
        <f t="shared" si="627"/>
        <v>VERIFICAR</v>
      </c>
      <c r="I4635" s="24" t="str">
        <f t="shared" si="626"/>
        <v xml:space="preserve">SEM VALOR</v>
      </c>
      <c r="L4635" s="36"/>
      <c r="M4635" s="37"/>
      <c r="N4635" s="36"/>
    </row>
    <row r="4636" ht="25.5">
      <c r="A4636" s="19" t="s">
        <v>10460</v>
      </c>
      <c r="B4636" s="19">
        <v>38978</v>
      </c>
      <c r="C4636" s="20" t="s">
        <v>15104</v>
      </c>
      <c r="D4636" s="19" t="s">
        <v>38</v>
      </c>
      <c r="E4636" s="19" t="s">
        <v>10459</v>
      </c>
      <c r="F4636" s="21" t="str">
        <f t="shared" si="627"/>
        <v>VERIFICAR</v>
      </c>
      <c r="G4636" s="21" t="str">
        <f t="shared" si="627"/>
        <v>VERIFICAR</v>
      </c>
      <c r="H4636" s="21" t="str">
        <f t="shared" si="627"/>
        <v>VERIFICAR</v>
      </c>
      <c r="I4636" s="24" t="str">
        <f t="shared" si="626"/>
        <v xml:space="preserve">SEM VALOR</v>
      </c>
      <c r="L4636" s="36"/>
      <c r="M4636" s="37"/>
      <c r="N4636" s="36"/>
    </row>
    <row r="4637" ht="25.5">
      <c r="A4637" s="19" t="s">
        <v>10460</v>
      </c>
      <c r="B4637" s="19">
        <v>38979</v>
      </c>
      <c r="C4637" s="20" t="s">
        <v>15105</v>
      </c>
      <c r="D4637" s="19" t="s">
        <v>38</v>
      </c>
      <c r="E4637" s="19" t="s">
        <v>10459</v>
      </c>
      <c r="F4637" s="21" t="str">
        <f t="shared" si="627"/>
        <v>VERIFICAR</v>
      </c>
      <c r="G4637" s="21" t="str">
        <f t="shared" si="627"/>
        <v>VERIFICAR</v>
      </c>
      <c r="H4637" s="21" t="str">
        <f t="shared" si="627"/>
        <v>VERIFICAR</v>
      </c>
      <c r="I4637" s="24" t="str">
        <f t="shared" si="626"/>
        <v xml:space="preserve">SEM VALOR</v>
      </c>
      <c r="L4637" s="36"/>
      <c r="M4637" s="37"/>
      <c r="N4637" s="36"/>
    </row>
    <row r="4638" ht="25.5">
      <c r="A4638" s="19" t="s">
        <v>10460</v>
      </c>
      <c r="B4638" s="19">
        <v>38980</v>
      </c>
      <c r="C4638" s="20" t="s">
        <v>15106</v>
      </c>
      <c r="D4638" s="19" t="s">
        <v>38</v>
      </c>
      <c r="E4638" s="19" t="s">
        <v>10459</v>
      </c>
      <c r="F4638" s="21" t="str">
        <f t="shared" si="627"/>
        <v>VERIFICAR</v>
      </c>
      <c r="G4638" s="21" t="str">
        <f t="shared" si="627"/>
        <v>VERIFICAR</v>
      </c>
      <c r="H4638" s="21" t="str">
        <f t="shared" si="627"/>
        <v>VERIFICAR</v>
      </c>
      <c r="I4638" s="24" t="str">
        <f t="shared" si="626"/>
        <v xml:space="preserve">SEM VALOR</v>
      </c>
      <c r="L4638" s="36"/>
      <c r="M4638" s="37"/>
      <c r="N4638" s="36"/>
    </row>
    <row r="4639" ht="25.5">
      <c r="A4639" s="19" t="s">
        <v>10460</v>
      </c>
      <c r="B4639" s="19">
        <v>38981</v>
      </c>
      <c r="C4639" s="20" t="s">
        <v>15107</v>
      </c>
      <c r="D4639" s="19" t="s">
        <v>38</v>
      </c>
      <c r="E4639" s="19" t="s">
        <v>10459</v>
      </c>
      <c r="F4639" s="21" t="str">
        <f t="shared" si="627"/>
        <v>VERIFICAR</v>
      </c>
      <c r="G4639" s="21" t="str">
        <f t="shared" si="627"/>
        <v>VERIFICAR</v>
      </c>
      <c r="H4639" s="21" t="str">
        <f t="shared" si="627"/>
        <v>VERIFICAR</v>
      </c>
      <c r="I4639" s="24" t="str">
        <f t="shared" si="626"/>
        <v xml:space="preserve">SEM VALOR</v>
      </c>
      <c r="L4639" s="36"/>
      <c r="M4639" s="37"/>
      <c r="N4639" s="36"/>
    </row>
    <row r="4640" ht="25.5">
      <c r="A4640" s="19" t="s">
        <v>10460</v>
      </c>
      <c r="B4640" s="19">
        <v>38982</v>
      </c>
      <c r="C4640" s="20" t="s">
        <v>15108</v>
      </c>
      <c r="D4640" s="19" t="s">
        <v>38</v>
      </c>
      <c r="E4640" s="19" t="s">
        <v>10459</v>
      </c>
      <c r="F4640" s="21" t="str">
        <f t="shared" si="627"/>
        <v>VERIFICAR</v>
      </c>
      <c r="G4640" s="21" t="str">
        <f t="shared" si="627"/>
        <v>VERIFICAR</v>
      </c>
      <c r="H4640" s="21" t="str">
        <f t="shared" si="627"/>
        <v>VERIFICAR</v>
      </c>
      <c r="I4640" s="24" t="str">
        <f t="shared" si="626"/>
        <v xml:space="preserve">SEM VALOR</v>
      </c>
      <c r="L4640" s="36"/>
      <c r="M4640" s="37"/>
      <c r="N4640" s="36"/>
    </row>
    <row r="4641" ht="25.5">
      <c r="A4641" s="19" t="s">
        <v>10460</v>
      </c>
      <c r="B4641" s="19">
        <v>38983</v>
      </c>
      <c r="C4641" s="20" t="s">
        <v>15109</v>
      </c>
      <c r="D4641" s="19" t="s">
        <v>38</v>
      </c>
      <c r="E4641" s="19" t="s">
        <v>10459</v>
      </c>
      <c r="F4641" s="21" t="str">
        <f t="shared" si="627"/>
        <v>VERIFICAR</v>
      </c>
      <c r="G4641" s="21" t="str">
        <f t="shared" si="627"/>
        <v>VERIFICAR</v>
      </c>
      <c r="H4641" s="21" t="str">
        <f t="shared" si="627"/>
        <v>VERIFICAR</v>
      </c>
      <c r="I4641" s="24" t="str">
        <f t="shared" si="626"/>
        <v xml:space="preserve">SEM VALOR</v>
      </c>
      <c r="L4641" s="36"/>
      <c r="M4641" s="37"/>
      <c r="N4641" s="36"/>
    </row>
    <row r="4642" ht="25.5">
      <c r="A4642" s="19" t="s">
        <v>10460</v>
      </c>
      <c r="B4642" s="19">
        <v>38984</v>
      </c>
      <c r="C4642" s="20" t="s">
        <v>15110</v>
      </c>
      <c r="D4642" s="19" t="s">
        <v>38</v>
      </c>
      <c r="E4642" s="19" t="s">
        <v>10459</v>
      </c>
      <c r="F4642" s="21" t="str">
        <f t="shared" si="627"/>
        <v>VERIFICAR</v>
      </c>
      <c r="G4642" s="21" t="str">
        <f t="shared" si="627"/>
        <v>VERIFICAR</v>
      </c>
      <c r="H4642" s="21" t="str">
        <f t="shared" si="627"/>
        <v>VERIFICAR</v>
      </c>
      <c r="I4642" s="24" t="str">
        <f t="shared" si="626"/>
        <v xml:space="preserve">SEM VALOR</v>
      </c>
      <c r="L4642" s="36"/>
      <c r="M4642" s="37"/>
      <c r="N4642" s="36"/>
    </row>
    <row r="4643" ht="25.5">
      <c r="A4643" s="19" t="s">
        <v>10460</v>
      </c>
      <c r="B4643" s="19">
        <v>38985</v>
      </c>
      <c r="C4643" s="20" t="s">
        <v>15111</v>
      </c>
      <c r="D4643" s="19" t="s">
        <v>38</v>
      </c>
      <c r="E4643" s="19" t="s">
        <v>10459</v>
      </c>
      <c r="F4643" s="21" t="str">
        <f t="shared" si="627"/>
        <v>VERIFICAR</v>
      </c>
      <c r="G4643" s="21" t="str">
        <f t="shared" si="627"/>
        <v>VERIFICAR</v>
      </c>
      <c r="H4643" s="21" t="str">
        <f t="shared" si="627"/>
        <v>VERIFICAR</v>
      </c>
      <c r="I4643" s="24" t="str">
        <f t="shared" si="626"/>
        <v xml:space="preserve">SEM VALOR</v>
      </c>
      <c r="L4643" s="36"/>
      <c r="M4643" s="37"/>
      <c r="N4643" s="36"/>
    </row>
    <row r="4644" ht="25.5">
      <c r="A4644" s="19" t="s">
        <v>10460</v>
      </c>
      <c r="B4644" s="19">
        <v>38032</v>
      </c>
      <c r="C4644" s="20" t="s">
        <v>15112</v>
      </c>
      <c r="D4644" s="19" t="s">
        <v>38</v>
      </c>
      <c r="E4644" s="19" t="s">
        <v>10459</v>
      </c>
      <c r="F4644" s="21">
        <f t="shared" si="627"/>
        <v>66.189999999999998</v>
      </c>
      <c r="G4644" s="21">
        <f t="shared" si="627"/>
        <v>66.189999999999998</v>
      </c>
      <c r="H4644" s="21">
        <f t="shared" si="627"/>
        <v>66.189999999999998</v>
      </c>
      <c r="I4644" s="24" t="str">
        <f t="shared" si="626"/>
        <v xml:space="preserve">COM VALOR</v>
      </c>
      <c r="L4644" s="36">
        <v>66.189999999999998</v>
      </c>
      <c r="M4644" s="37">
        <v>66.189999999999998</v>
      </c>
      <c r="N4644" s="36">
        <v>66.189999999999998</v>
      </c>
    </row>
    <row r="4645" ht="25.5">
      <c r="A4645" s="19" t="s">
        <v>10460</v>
      </c>
      <c r="B4645" s="19">
        <v>38033</v>
      </c>
      <c r="C4645" s="20" t="s">
        <v>15113</v>
      </c>
      <c r="D4645" s="19" t="s">
        <v>38</v>
      </c>
      <c r="E4645" s="19" t="s">
        <v>10459</v>
      </c>
      <c r="F4645" s="21">
        <f t="shared" si="627"/>
        <v>112.51000000000001</v>
      </c>
      <c r="G4645" s="21">
        <f t="shared" si="627"/>
        <v>112.51000000000001</v>
      </c>
      <c r="H4645" s="21">
        <f t="shared" si="627"/>
        <v>112.51000000000001</v>
      </c>
      <c r="I4645" s="24" t="str">
        <f t="shared" si="626"/>
        <v xml:space="preserve">COM VALOR</v>
      </c>
      <c r="L4645" s="36">
        <v>112.51000000000001</v>
      </c>
      <c r="M4645" s="37">
        <v>112.51000000000001</v>
      </c>
      <c r="N4645" s="36">
        <v>112.51000000000001</v>
      </c>
    </row>
    <row r="4646" ht="25.5">
      <c r="A4646" s="19" t="s">
        <v>10460</v>
      </c>
      <c r="B4646" s="19">
        <v>38034</v>
      </c>
      <c r="C4646" s="20" t="s">
        <v>15114</v>
      </c>
      <c r="D4646" s="19" t="s">
        <v>38</v>
      </c>
      <c r="E4646" s="19" t="s">
        <v>10459</v>
      </c>
      <c r="F4646" s="21">
        <f t="shared" si="627"/>
        <v>176.24000000000001</v>
      </c>
      <c r="G4646" s="21">
        <f t="shared" si="627"/>
        <v>176.24000000000001</v>
      </c>
      <c r="H4646" s="21">
        <f t="shared" si="627"/>
        <v>176.24000000000001</v>
      </c>
      <c r="I4646" s="24" t="str">
        <f t="shared" si="626"/>
        <v xml:space="preserve">COM VALOR</v>
      </c>
      <c r="L4646" s="36">
        <v>176.24000000000001</v>
      </c>
      <c r="M4646" s="37">
        <v>176.24000000000001</v>
      </c>
      <c r="N4646" s="36">
        <v>176.24000000000001</v>
      </c>
    </row>
    <row r="4647" ht="25.5">
      <c r="A4647" s="19" t="s">
        <v>10460</v>
      </c>
      <c r="B4647" s="19">
        <v>38035</v>
      </c>
      <c r="C4647" s="20" t="s">
        <v>15115</v>
      </c>
      <c r="D4647" s="19" t="s">
        <v>38</v>
      </c>
      <c r="E4647" s="19" t="s">
        <v>10459</v>
      </c>
      <c r="F4647" s="21">
        <f t="shared" si="627"/>
        <v>259.27999999999997</v>
      </c>
      <c r="G4647" s="21">
        <f t="shared" si="627"/>
        <v>259.27999999999997</v>
      </c>
      <c r="H4647" s="21">
        <f t="shared" si="627"/>
        <v>259.27999999999997</v>
      </c>
      <c r="I4647" s="24" t="str">
        <f t="shared" si="626"/>
        <v xml:space="preserve">COM VALOR</v>
      </c>
      <c r="L4647" s="36">
        <v>259.27999999999997</v>
      </c>
      <c r="M4647" s="37">
        <v>259.27999999999997</v>
      </c>
      <c r="N4647" s="36">
        <v>259.27999999999997</v>
      </c>
    </row>
    <row r="4648" ht="25.5">
      <c r="A4648" s="19" t="s">
        <v>10460</v>
      </c>
      <c r="B4648" s="19">
        <v>38036</v>
      </c>
      <c r="C4648" s="20" t="s">
        <v>15116</v>
      </c>
      <c r="D4648" s="19" t="s">
        <v>38</v>
      </c>
      <c r="E4648" s="19" t="s">
        <v>10459</v>
      </c>
      <c r="F4648" s="21">
        <f t="shared" si="627"/>
        <v>349.27999999999997</v>
      </c>
      <c r="G4648" s="21">
        <f t="shared" si="627"/>
        <v>349.27999999999997</v>
      </c>
      <c r="H4648" s="21">
        <f t="shared" si="627"/>
        <v>349.27999999999997</v>
      </c>
      <c r="I4648" s="24" t="str">
        <f t="shared" si="626"/>
        <v xml:space="preserve">COM VALOR</v>
      </c>
      <c r="L4648" s="36">
        <v>349.27999999999997</v>
      </c>
      <c r="M4648" s="37">
        <v>349.27999999999997</v>
      </c>
      <c r="N4648" s="36">
        <v>349.27999999999997</v>
      </c>
    </row>
    <row r="4649" ht="25.5">
      <c r="A4649" s="19" t="s">
        <v>10460</v>
      </c>
      <c r="B4649" s="19">
        <v>38037</v>
      </c>
      <c r="C4649" s="20" t="s">
        <v>15117</v>
      </c>
      <c r="D4649" s="19" t="s">
        <v>38</v>
      </c>
      <c r="E4649" s="19" t="s">
        <v>10459</v>
      </c>
      <c r="F4649" s="21">
        <f t="shared" si="627"/>
        <v>461.35000000000002</v>
      </c>
      <c r="G4649" s="21">
        <f t="shared" si="627"/>
        <v>461.35000000000002</v>
      </c>
      <c r="H4649" s="21">
        <f t="shared" si="627"/>
        <v>461.35000000000002</v>
      </c>
      <c r="I4649" s="24" t="str">
        <f t="shared" si="626"/>
        <v xml:space="preserve">COM VALOR</v>
      </c>
      <c r="L4649" s="36">
        <v>461.35000000000002</v>
      </c>
      <c r="M4649" s="37">
        <v>461.35000000000002</v>
      </c>
      <c r="N4649" s="36">
        <v>461.35000000000002</v>
      </c>
    </row>
    <row r="4650" ht="25.5">
      <c r="A4650" s="19" t="s">
        <v>10460</v>
      </c>
      <c r="B4650" s="19">
        <v>9850</v>
      </c>
      <c r="C4650" s="20" t="s">
        <v>15118</v>
      </c>
      <c r="D4650" s="19" t="s">
        <v>38</v>
      </c>
      <c r="E4650" s="19" t="s">
        <v>10466</v>
      </c>
      <c r="F4650" s="21" t="str">
        <f t="shared" si="627"/>
        <v>VERIFICAR</v>
      </c>
      <c r="G4650" s="21" t="str">
        <f t="shared" si="627"/>
        <v>VERIFICAR</v>
      </c>
      <c r="H4650" s="21" t="str">
        <f t="shared" si="627"/>
        <v>VERIFICAR</v>
      </c>
      <c r="I4650" s="24" t="str">
        <f t="shared" si="626"/>
        <v xml:space="preserve">SEM VALOR</v>
      </c>
      <c r="L4650" s="36"/>
      <c r="M4650" s="37"/>
      <c r="N4650" s="36"/>
    </row>
    <row r="4651" ht="25.5">
      <c r="A4651" s="19" t="s">
        <v>10460</v>
      </c>
      <c r="B4651" s="19">
        <v>9853</v>
      </c>
      <c r="C4651" s="20" t="s">
        <v>15119</v>
      </c>
      <c r="D4651" s="19" t="s">
        <v>38</v>
      </c>
      <c r="E4651" s="19" t="s">
        <v>10459</v>
      </c>
      <c r="F4651" s="21" t="str">
        <f t="shared" si="627"/>
        <v>VERIFICAR</v>
      </c>
      <c r="G4651" s="21" t="str">
        <f t="shared" si="627"/>
        <v>VERIFICAR</v>
      </c>
      <c r="H4651" s="21" t="str">
        <f t="shared" si="627"/>
        <v>VERIFICAR</v>
      </c>
      <c r="I4651" s="24" t="str">
        <f t="shared" si="626"/>
        <v xml:space="preserve">SEM VALOR</v>
      </c>
      <c r="L4651" s="36"/>
      <c r="M4651" s="37"/>
      <c r="N4651" s="36"/>
    </row>
    <row r="4652" ht="25.5">
      <c r="A4652" s="19" t="s">
        <v>10460</v>
      </c>
      <c r="B4652" s="19">
        <v>9854</v>
      </c>
      <c r="C4652" s="20" t="s">
        <v>15120</v>
      </c>
      <c r="D4652" s="19" t="s">
        <v>38</v>
      </c>
      <c r="E4652" s="19" t="s">
        <v>10459</v>
      </c>
      <c r="F4652" s="21" t="str">
        <f t="shared" si="627"/>
        <v>VERIFICAR</v>
      </c>
      <c r="G4652" s="21" t="str">
        <f t="shared" si="627"/>
        <v>VERIFICAR</v>
      </c>
      <c r="H4652" s="21" t="str">
        <f t="shared" si="627"/>
        <v>VERIFICAR</v>
      </c>
      <c r="I4652" s="24" t="str">
        <f t="shared" si="626"/>
        <v xml:space="preserve">SEM VALOR</v>
      </c>
      <c r="L4652" s="36"/>
      <c r="M4652" s="37"/>
      <c r="N4652" s="36"/>
    </row>
    <row r="4653" ht="25.5">
      <c r="A4653" s="19" t="s">
        <v>10460</v>
      </c>
      <c r="B4653" s="19">
        <v>9851</v>
      </c>
      <c r="C4653" s="20" t="s">
        <v>15121</v>
      </c>
      <c r="D4653" s="19" t="s">
        <v>38</v>
      </c>
      <c r="E4653" s="19" t="s">
        <v>10459</v>
      </c>
      <c r="F4653" s="21" t="str">
        <f t="shared" si="627"/>
        <v>VERIFICAR</v>
      </c>
      <c r="G4653" s="21" t="str">
        <f t="shared" si="627"/>
        <v>VERIFICAR</v>
      </c>
      <c r="H4653" s="21" t="str">
        <f t="shared" si="627"/>
        <v>VERIFICAR</v>
      </c>
      <c r="I4653" s="24" t="str">
        <f t="shared" si="626"/>
        <v xml:space="preserve">SEM VALOR</v>
      </c>
      <c r="L4653" s="36"/>
      <c r="M4653" s="37"/>
      <c r="N4653" s="36"/>
    </row>
    <row r="4654" ht="25.5">
      <c r="A4654" s="19" t="s">
        <v>10460</v>
      </c>
      <c r="B4654" s="19">
        <v>9825</v>
      </c>
      <c r="C4654" s="20" t="s">
        <v>15122</v>
      </c>
      <c r="D4654" s="19" t="s">
        <v>38</v>
      </c>
      <c r="E4654" s="19" t="s">
        <v>10459</v>
      </c>
      <c r="F4654" s="21">
        <f t="shared" si="627"/>
        <v>38.700000000000003</v>
      </c>
      <c r="G4654" s="21">
        <f t="shared" si="627"/>
        <v>38.700000000000003</v>
      </c>
      <c r="H4654" s="21">
        <f t="shared" si="627"/>
        <v>38.700000000000003</v>
      </c>
      <c r="I4654" s="24" t="str">
        <f t="shared" si="626"/>
        <v xml:space="preserve">COM VALOR</v>
      </c>
      <c r="L4654" s="36">
        <v>38.700000000000003</v>
      </c>
      <c r="M4654" s="37">
        <v>38.700000000000003</v>
      </c>
      <c r="N4654" s="36">
        <v>38.700000000000003</v>
      </c>
    </row>
    <row r="4655" ht="25.5">
      <c r="A4655" s="19" t="s">
        <v>10460</v>
      </c>
      <c r="B4655" s="19">
        <v>9828</v>
      </c>
      <c r="C4655" s="20" t="s">
        <v>15123</v>
      </c>
      <c r="D4655" s="19" t="s">
        <v>38</v>
      </c>
      <c r="E4655" s="19" t="s">
        <v>10459</v>
      </c>
      <c r="F4655" s="21">
        <f t="shared" si="627"/>
        <v>104.14</v>
      </c>
      <c r="G4655" s="21">
        <f t="shared" si="627"/>
        <v>104.14</v>
      </c>
      <c r="H4655" s="21">
        <f t="shared" si="627"/>
        <v>104.14</v>
      </c>
      <c r="I4655" s="24" t="str">
        <f t="shared" si="626"/>
        <v xml:space="preserve">COM VALOR</v>
      </c>
      <c r="L4655" s="36">
        <v>104.14</v>
      </c>
      <c r="M4655" s="37">
        <v>104.14</v>
      </c>
      <c r="N4655" s="36">
        <v>104.14</v>
      </c>
    </row>
    <row r="4656" ht="25.5">
      <c r="A4656" s="19" t="s">
        <v>10460</v>
      </c>
      <c r="B4656" s="19">
        <v>9829</v>
      </c>
      <c r="C4656" s="20" t="s">
        <v>15124</v>
      </c>
      <c r="D4656" s="19" t="s">
        <v>38</v>
      </c>
      <c r="E4656" s="19" t="s">
        <v>10459</v>
      </c>
      <c r="F4656" s="21">
        <f t="shared" si="627"/>
        <v>176.49000000000001</v>
      </c>
      <c r="G4656" s="21">
        <f t="shared" si="627"/>
        <v>176.49000000000001</v>
      </c>
      <c r="H4656" s="21">
        <f t="shared" si="627"/>
        <v>176.49000000000001</v>
      </c>
      <c r="I4656" s="24" t="str">
        <f t="shared" si="626"/>
        <v xml:space="preserve">COM VALOR</v>
      </c>
      <c r="L4656" s="36">
        <v>176.49000000000001</v>
      </c>
      <c r="M4656" s="37">
        <v>176.49000000000001</v>
      </c>
      <c r="N4656" s="36">
        <v>176.49000000000001</v>
      </c>
    </row>
    <row r="4657" ht="25.5">
      <c r="A4657" s="19" t="s">
        <v>10460</v>
      </c>
      <c r="B4657" s="19">
        <v>9826</v>
      </c>
      <c r="C4657" s="20" t="s">
        <v>15125</v>
      </c>
      <c r="D4657" s="19" t="s">
        <v>38</v>
      </c>
      <c r="E4657" s="19" t="s">
        <v>10459</v>
      </c>
      <c r="F4657" s="21">
        <f t="shared" si="627"/>
        <v>268.68000000000001</v>
      </c>
      <c r="G4657" s="21">
        <f t="shared" si="627"/>
        <v>268.68000000000001</v>
      </c>
      <c r="H4657" s="21">
        <f t="shared" si="627"/>
        <v>268.68000000000001</v>
      </c>
      <c r="I4657" s="24" t="str">
        <f t="shared" si="626"/>
        <v xml:space="preserve">COM VALOR</v>
      </c>
      <c r="L4657" s="36">
        <v>268.68000000000001</v>
      </c>
      <c r="M4657" s="37">
        <v>268.68000000000001</v>
      </c>
      <c r="N4657" s="36">
        <v>268.68000000000001</v>
      </c>
    </row>
    <row r="4658" ht="25.5">
      <c r="A4658" s="19" t="s">
        <v>10460</v>
      </c>
      <c r="B4658" s="19">
        <v>9827</v>
      </c>
      <c r="C4658" s="20" t="s">
        <v>15126</v>
      </c>
      <c r="D4658" s="19" t="s">
        <v>38</v>
      </c>
      <c r="E4658" s="19" t="s">
        <v>10459</v>
      </c>
      <c r="F4658" s="21">
        <f t="shared" si="627"/>
        <v>381.52999999999997</v>
      </c>
      <c r="G4658" s="21">
        <f t="shared" si="627"/>
        <v>381.52999999999997</v>
      </c>
      <c r="H4658" s="21">
        <f t="shared" si="627"/>
        <v>381.52999999999997</v>
      </c>
      <c r="I4658" s="24" t="str">
        <f t="shared" si="626"/>
        <v xml:space="preserve">COM VALOR</v>
      </c>
      <c r="L4658" s="36">
        <v>381.52999999999997</v>
      </c>
      <c r="M4658" s="37">
        <v>381.52999999999997</v>
      </c>
      <c r="N4658" s="36">
        <v>381.52999999999997</v>
      </c>
    </row>
    <row r="4659" ht="25.5">
      <c r="A4659" s="19" t="s">
        <v>10460</v>
      </c>
      <c r="B4659" s="19">
        <v>36374</v>
      </c>
      <c r="C4659" s="20" t="s">
        <v>15127</v>
      </c>
      <c r="D4659" s="19" t="s">
        <v>38</v>
      </c>
      <c r="E4659" s="19" t="s">
        <v>10459</v>
      </c>
      <c r="F4659" s="21">
        <f t="shared" si="627"/>
        <v>46.380000000000003</v>
      </c>
      <c r="G4659" s="21">
        <f t="shared" si="627"/>
        <v>46.380000000000003</v>
      </c>
      <c r="H4659" s="21">
        <f t="shared" si="627"/>
        <v>46.380000000000003</v>
      </c>
      <c r="I4659" s="24" t="str">
        <f t="shared" si="626"/>
        <v xml:space="preserve">COM VALOR</v>
      </c>
      <c r="L4659" s="36">
        <v>46.380000000000003</v>
      </c>
      <c r="M4659" s="37">
        <v>46.380000000000003</v>
      </c>
      <c r="N4659" s="36">
        <v>46.380000000000003</v>
      </c>
    </row>
    <row r="4660" ht="25.5">
      <c r="A4660" s="19" t="s">
        <v>10460</v>
      </c>
      <c r="B4660" s="19">
        <v>36084</v>
      </c>
      <c r="C4660" s="20" t="s">
        <v>15128</v>
      </c>
      <c r="D4660" s="19" t="s">
        <v>38</v>
      </c>
      <c r="E4660" s="19" t="s">
        <v>10466</v>
      </c>
      <c r="F4660" s="21">
        <f t="shared" si="627"/>
        <v>13.74</v>
      </c>
      <c r="G4660" s="21">
        <f t="shared" si="627"/>
        <v>13.74</v>
      </c>
      <c r="H4660" s="21">
        <f t="shared" si="627"/>
        <v>13.74</v>
      </c>
      <c r="I4660" s="24" t="str">
        <f t="shared" si="626"/>
        <v xml:space="preserve">COM VALOR</v>
      </c>
      <c r="L4660" s="36">
        <v>13.74</v>
      </c>
      <c r="M4660" s="37">
        <v>13.74</v>
      </c>
      <c r="N4660" s="36">
        <v>13.74</v>
      </c>
    </row>
    <row r="4661" ht="25.5">
      <c r="A4661" s="19" t="s">
        <v>10460</v>
      </c>
      <c r="B4661" s="19">
        <v>36373</v>
      </c>
      <c r="C4661" s="20" t="s">
        <v>15129</v>
      </c>
      <c r="D4661" s="19" t="s">
        <v>38</v>
      </c>
      <c r="E4661" s="19" t="s">
        <v>10459</v>
      </c>
      <c r="F4661" s="21">
        <f t="shared" si="627"/>
        <v>28.530000000000001</v>
      </c>
      <c r="G4661" s="21">
        <f t="shared" si="627"/>
        <v>28.530000000000001</v>
      </c>
      <c r="H4661" s="21">
        <f t="shared" si="627"/>
        <v>28.530000000000001</v>
      </c>
      <c r="I4661" s="24" t="str">
        <f t="shared" si="626"/>
        <v xml:space="preserve">COM VALOR</v>
      </c>
      <c r="L4661" s="36">
        <v>28.530000000000001</v>
      </c>
      <c r="M4661" s="37">
        <v>28.530000000000001</v>
      </c>
      <c r="N4661" s="36">
        <v>28.530000000000001</v>
      </c>
    </row>
    <row r="4662" ht="25.5">
      <c r="A4662" s="19" t="s">
        <v>10460</v>
      </c>
      <c r="B4662" s="19">
        <v>36377</v>
      </c>
      <c r="C4662" s="20" t="s">
        <v>15130</v>
      </c>
      <c r="D4662" s="19" t="s">
        <v>38</v>
      </c>
      <c r="E4662" s="19" t="s">
        <v>10459</v>
      </c>
      <c r="F4662" s="21">
        <f t="shared" si="627"/>
        <v>55.630000000000003</v>
      </c>
      <c r="G4662" s="21">
        <f t="shared" si="627"/>
        <v>55.630000000000003</v>
      </c>
      <c r="H4662" s="21">
        <f t="shared" si="627"/>
        <v>55.630000000000003</v>
      </c>
      <c r="I4662" s="24" t="str">
        <f t="shared" si="626"/>
        <v xml:space="preserve">COM VALOR</v>
      </c>
      <c r="L4662" s="36">
        <v>55.630000000000003</v>
      </c>
      <c r="M4662" s="37">
        <v>55.630000000000003</v>
      </c>
      <c r="N4662" s="36">
        <v>55.630000000000003</v>
      </c>
    </row>
    <row r="4663" ht="25.5">
      <c r="A4663" s="19" t="s">
        <v>10460</v>
      </c>
      <c r="B4663" s="19">
        <v>36375</v>
      </c>
      <c r="C4663" s="20" t="s">
        <v>15131</v>
      </c>
      <c r="D4663" s="19" t="s">
        <v>38</v>
      </c>
      <c r="E4663" s="19" t="s">
        <v>10459</v>
      </c>
      <c r="F4663" s="21">
        <f t="shared" si="627"/>
        <v>16.949999999999999</v>
      </c>
      <c r="G4663" s="21">
        <f t="shared" si="627"/>
        <v>16.949999999999999</v>
      </c>
      <c r="H4663" s="21">
        <f t="shared" si="627"/>
        <v>16.949999999999999</v>
      </c>
      <c r="I4663" s="24" t="str">
        <f t="shared" si="626"/>
        <v xml:space="preserve">COM VALOR</v>
      </c>
      <c r="L4663" s="36">
        <v>16.949999999999999</v>
      </c>
      <c r="M4663" s="37">
        <v>16.949999999999999</v>
      </c>
      <c r="N4663" s="36">
        <v>16.949999999999999</v>
      </c>
    </row>
    <row r="4664" ht="25.5">
      <c r="A4664" s="19" t="s">
        <v>10460</v>
      </c>
      <c r="B4664" s="19">
        <v>36376</v>
      </c>
      <c r="C4664" s="20" t="s">
        <v>15132</v>
      </c>
      <c r="D4664" s="19" t="s">
        <v>38</v>
      </c>
      <c r="E4664" s="19" t="s">
        <v>10459</v>
      </c>
      <c r="F4664" s="21">
        <f t="shared" si="627"/>
        <v>33.299999999999997</v>
      </c>
      <c r="G4664" s="21">
        <f t="shared" si="627"/>
        <v>33.299999999999997</v>
      </c>
      <c r="H4664" s="21">
        <f t="shared" si="627"/>
        <v>33.299999999999997</v>
      </c>
      <c r="I4664" s="24" t="str">
        <f t="shared" si="626"/>
        <v xml:space="preserve">COM VALOR</v>
      </c>
      <c r="L4664" s="36">
        <v>33.299999999999997</v>
      </c>
      <c r="M4664" s="37">
        <v>33.299999999999997</v>
      </c>
      <c r="N4664" s="36">
        <v>33.299999999999997</v>
      </c>
    </row>
    <row r="4665" ht="25.5">
      <c r="A4665" s="19" t="s">
        <v>10460</v>
      </c>
      <c r="B4665" s="19">
        <v>36380</v>
      </c>
      <c r="C4665" s="20" t="s">
        <v>15133</v>
      </c>
      <c r="D4665" s="19" t="s">
        <v>38</v>
      </c>
      <c r="E4665" s="19" t="s">
        <v>10459</v>
      </c>
      <c r="F4665" s="21">
        <f t="shared" si="627"/>
        <v>69.560000000000002</v>
      </c>
      <c r="G4665" s="21">
        <f t="shared" si="627"/>
        <v>69.560000000000002</v>
      </c>
      <c r="H4665" s="21">
        <f t="shared" si="627"/>
        <v>69.560000000000002</v>
      </c>
      <c r="I4665" s="24" t="str">
        <f t="shared" si="626"/>
        <v xml:space="preserve">COM VALOR</v>
      </c>
      <c r="L4665" s="36">
        <v>69.560000000000002</v>
      </c>
      <c r="M4665" s="37">
        <v>69.560000000000002</v>
      </c>
      <c r="N4665" s="36">
        <v>69.560000000000002</v>
      </c>
    </row>
    <row r="4666" ht="25.5">
      <c r="A4666" s="19" t="s">
        <v>10460</v>
      </c>
      <c r="B4666" s="19">
        <v>36378</v>
      </c>
      <c r="C4666" s="20" t="s">
        <v>15134</v>
      </c>
      <c r="D4666" s="19" t="s">
        <v>38</v>
      </c>
      <c r="E4666" s="19" t="s">
        <v>10459</v>
      </c>
      <c r="F4666" s="21">
        <f t="shared" si="627"/>
        <v>20.84</v>
      </c>
      <c r="G4666" s="21">
        <f t="shared" si="627"/>
        <v>20.84</v>
      </c>
      <c r="H4666" s="21">
        <f t="shared" si="627"/>
        <v>20.84</v>
      </c>
      <c r="I4666" s="24" t="str">
        <f t="shared" si="626"/>
        <v xml:space="preserve">COM VALOR</v>
      </c>
      <c r="L4666" s="36">
        <v>20.84</v>
      </c>
      <c r="M4666" s="37">
        <v>20.84</v>
      </c>
      <c r="N4666" s="36">
        <v>20.84</v>
      </c>
    </row>
    <row r="4667" ht="25.5">
      <c r="A4667" s="19" t="s">
        <v>10460</v>
      </c>
      <c r="B4667" s="19">
        <v>36379</v>
      </c>
      <c r="C4667" s="20" t="s">
        <v>15135</v>
      </c>
      <c r="D4667" s="19" t="s">
        <v>38</v>
      </c>
      <c r="E4667" s="19" t="s">
        <v>10459</v>
      </c>
      <c r="F4667" s="21">
        <f t="shared" si="627"/>
        <v>42.020000000000003</v>
      </c>
      <c r="G4667" s="21">
        <f t="shared" si="627"/>
        <v>42.020000000000003</v>
      </c>
      <c r="H4667" s="21">
        <f t="shared" si="627"/>
        <v>42.020000000000003</v>
      </c>
      <c r="I4667" s="24" t="str">
        <f t="shared" si="626"/>
        <v xml:space="preserve">COM VALOR</v>
      </c>
      <c r="L4667" s="36">
        <v>42.020000000000003</v>
      </c>
      <c r="M4667" s="37">
        <v>42.020000000000003</v>
      </c>
      <c r="N4667" s="36">
        <v>42.020000000000003</v>
      </c>
    </row>
    <row r="4668" ht="12.75">
      <c r="A4668" s="19" t="s">
        <v>10460</v>
      </c>
      <c r="B4668" s="19">
        <v>9859</v>
      </c>
      <c r="C4668" s="20" t="s">
        <v>15136</v>
      </c>
      <c r="D4668" s="19" t="s">
        <v>38</v>
      </c>
      <c r="E4668" s="19" t="s">
        <v>10459</v>
      </c>
      <c r="F4668" s="21">
        <f t="shared" si="627"/>
        <v>10.6</v>
      </c>
      <c r="G4668" s="21">
        <f t="shared" si="627"/>
        <v>10.6</v>
      </c>
      <c r="H4668" s="21">
        <f t="shared" si="627"/>
        <v>10.6</v>
      </c>
      <c r="I4668" s="24" t="str">
        <f t="shared" si="626"/>
        <v xml:space="preserve">COM VALOR</v>
      </c>
      <c r="L4668" s="36">
        <v>10.6</v>
      </c>
      <c r="M4668" s="37">
        <v>10.6</v>
      </c>
      <c r="N4668" s="36">
        <v>10.6</v>
      </c>
    </row>
    <row r="4669" ht="25.5">
      <c r="A4669" s="19" t="s">
        <v>10460</v>
      </c>
      <c r="B4669" s="19">
        <v>9836</v>
      </c>
      <c r="C4669" s="20" t="s">
        <v>15137</v>
      </c>
      <c r="D4669" s="19" t="s">
        <v>38</v>
      </c>
      <c r="E4669" s="19" t="s">
        <v>10466</v>
      </c>
      <c r="F4669" s="21">
        <f t="shared" si="627"/>
        <v>16.75</v>
      </c>
      <c r="G4669" s="21">
        <f t="shared" si="627"/>
        <v>16.75</v>
      </c>
      <c r="H4669" s="21">
        <f t="shared" si="627"/>
        <v>16.75</v>
      </c>
      <c r="I4669" s="24" t="str">
        <f t="shared" si="626"/>
        <v xml:space="preserve">COM VALOR</v>
      </c>
      <c r="L4669" s="36">
        <v>16.75</v>
      </c>
      <c r="M4669" s="37">
        <v>16.75</v>
      </c>
      <c r="N4669" s="36">
        <v>16.75</v>
      </c>
    </row>
    <row r="4670" ht="25.5">
      <c r="A4670" s="19" t="s">
        <v>10460</v>
      </c>
      <c r="B4670" s="19">
        <v>20065</v>
      </c>
      <c r="C4670" s="20" t="s">
        <v>15138</v>
      </c>
      <c r="D4670" s="19" t="s">
        <v>38</v>
      </c>
      <c r="E4670" s="19" t="s">
        <v>10459</v>
      </c>
      <c r="F4670" s="21">
        <f t="shared" si="627"/>
        <v>43.780000000000001</v>
      </c>
      <c r="G4670" s="21">
        <f t="shared" si="627"/>
        <v>43.780000000000001</v>
      </c>
      <c r="H4670" s="21">
        <f t="shared" si="627"/>
        <v>43.780000000000001</v>
      </c>
      <c r="I4670" s="24" t="str">
        <f t="shared" si="626"/>
        <v xml:space="preserve">COM VALOR</v>
      </c>
      <c r="L4670" s="36">
        <v>43.780000000000001</v>
      </c>
      <c r="M4670" s="37">
        <v>43.780000000000001</v>
      </c>
      <c r="N4670" s="36">
        <v>43.780000000000001</v>
      </c>
    </row>
    <row r="4671" ht="25.5">
      <c r="A4671" s="19" t="s">
        <v>10460</v>
      </c>
      <c r="B4671" s="19">
        <v>9835</v>
      </c>
      <c r="C4671" s="20" t="s">
        <v>15139</v>
      </c>
      <c r="D4671" s="19" t="s">
        <v>38</v>
      </c>
      <c r="E4671" s="19" t="s">
        <v>10459</v>
      </c>
      <c r="F4671" s="21">
        <f t="shared" si="627"/>
        <v>7.3200000000000003</v>
      </c>
      <c r="G4671" s="21">
        <f t="shared" si="627"/>
        <v>7.3200000000000003</v>
      </c>
      <c r="H4671" s="21">
        <f t="shared" si="627"/>
        <v>7.3200000000000003</v>
      </c>
      <c r="I4671" s="24" t="str">
        <f t="shared" si="626"/>
        <v xml:space="preserve">COM VALOR</v>
      </c>
      <c r="L4671" s="36">
        <v>7.3200000000000003</v>
      </c>
      <c r="M4671" s="37">
        <v>7.3200000000000003</v>
      </c>
      <c r="N4671" s="36">
        <v>7.3200000000000003</v>
      </c>
    </row>
    <row r="4672" ht="25.5">
      <c r="A4672" s="19" t="s">
        <v>10460</v>
      </c>
      <c r="B4672" s="19">
        <v>9838</v>
      </c>
      <c r="C4672" s="20" t="s">
        <v>15140</v>
      </c>
      <c r="D4672" s="19" t="s">
        <v>38</v>
      </c>
      <c r="E4672" s="19" t="s">
        <v>10459</v>
      </c>
      <c r="F4672" s="21">
        <f t="shared" si="627"/>
        <v>12.08</v>
      </c>
      <c r="G4672" s="21">
        <f t="shared" si="627"/>
        <v>12.08</v>
      </c>
      <c r="H4672" s="21">
        <f t="shared" si="627"/>
        <v>12.08</v>
      </c>
      <c r="I4672" s="24" t="str">
        <f t="shared" si="626"/>
        <v xml:space="preserve">COM VALOR</v>
      </c>
      <c r="L4672" s="36">
        <v>12.08</v>
      </c>
      <c r="M4672" s="37">
        <v>12.08</v>
      </c>
      <c r="N4672" s="36">
        <v>12.08</v>
      </c>
    </row>
    <row r="4673" ht="25.5">
      <c r="A4673" s="19" t="s">
        <v>10460</v>
      </c>
      <c r="B4673" s="19">
        <v>9837</v>
      </c>
      <c r="C4673" s="20" t="s">
        <v>15141</v>
      </c>
      <c r="D4673" s="19" t="s">
        <v>38</v>
      </c>
      <c r="E4673" s="19" t="s">
        <v>10459</v>
      </c>
      <c r="F4673" s="21">
        <f t="shared" si="627"/>
        <v>15.859999999999999</v>
      </c>
      <c r="G4673" s="21">
        <f t="shared" si="627"/>
        <v>15.859999999999999</v>
      </c>
      <c r="H4673" s="21">
        <f t="shared" si="627"/>
        <v>15.859999999999999</v>
      </c>
      <c r="I4673" s="24" t="str">
        <f t="shared" si="626"/>
        <v xml:space="preserve">COM VALOR</v>
      </c>
      <c r="L4673" s="36">
        <v>15.859999999999999</v>
      </c>
      <c r="M4673" s="37">
        <v>15.859999999999999</v>
      </c>
      <c r="N4673" s="36">
        <v>15.859999999999999</v>
      </c>
    </row>
    <row r="4674" ht="25.5">
      <c r="A4674" s="19" t="s">
        <v>10460</v>
      </c>
      <c r="B4674" s="19">
        <v>44315</v>
      </c>
      <c r="C4674" s="20" t="s">
        <v>15142</v>
      </c>
      <c r="D4674" s="19" t="s">
        <v>38</v>
      </c>
      <c r="E4674" s="19" t="s">
        <v>10459</v>
      </c>
      <c r="F4674" s="21">
        <f t="shared" si="627"/>
        <v>65.579999999999998</v>
      </c>
      <c r="G4674" s="21">
        <f t="shared" si="627"/>
        <v>65.579999999999998</v>
      </c>
      <c r="H4674" s="21">
        <f t="shared" si="627"/>
        <v>65.579999999999998</v>
      </c>
      <c r="I4674" s="24" t="str">
        <f t="shared" si="626"/>
        <v xml:space="preserve">COM VALOR</v>
      </c>
      <c r="L4674" s="36">
        <v>65.579999999999998</v>
      </c>
      <c r="M4674" s="37">
        <v>65.579999999999998</v>
      </c>
      <c r="N4674" s="36">
        <v>65.579999999999998</v>
      </c>
    </row>
    <row r="4675" ht="12.75">
      <c r="A4675" s="19" t="s">
        <v>10460</v>
      </c>
      <c r="B4675" s="19">
        <v>9862</v>
      </c>
      <c r="C4675" s="20" t="s">
        <v>15143</v>
      </c>
      <c r="D4675" s="19" t="s">
        <v>38</v>
      </c>
      <c r="E4675" s="19" t="s">
        <v>10459</v>
      </c>
      <c r="F4675" s="21">
        <f t="shared" si="627"/>
        <v>32.670000000000002</v>
      </c>
      <c r="G4675" s="21">
        <f t="shared" si="627"/>
        <v>32.670000000000002</v>
      </c>
      <c r="H4675" s="21">
        <f t="shared" si="627"/>
        <v>32.670000000000002</v>
      </c>
      <c r="I4675" s="24" t="str">
        <f t="shared" si="626"/>
        <v xml:space="preserve">COM VALOR</v>
      </c>
      <c r="L4675" s="36">
        <v>32.670000000000002</v>
      </c>
      <c r="M4675" s="37">
        <v>32.670000000000002</v>
      </c>
      <c r="N4675" s="36">
        <v>32.670000000000002</v>
      </c>
    </row>
    <row r="4676" ht="12.75">
      <c r="A4676" s="19" t="s">
        <v>10460</v>
      </c>
      <c r="B4676" s="19">
        <v>9861</v>
      </c>
      <c r="C4676" s="20" t="s">
        <v>15144</v>
      </c>
      <c r="D4676" s="19" t="s">
        <v>38</v>
      </c>
      <c r="E4676" s="19" t="s">
        <v>10459</v>
      </c>
      <c r="F4676" s="21">
        <f t="shared" si="627"/>
        <v>25.66</v>
      </c>
      <c r="G4676" s="21">
        <f t="shared" si="627"/>
        <v>25.66</v>
      </c>
      <c r="H4676" s="21">
        <f t="shared" si="627"/>
        <v>25.66</v>
      </c>
      <c r="I4676" s="24" t="str">
        <f t="shared" si="626"/>
        <v xml:space="preserve">COM VALOR</v>
      </c>
      <c r="L4676" s="36">
        <v>25.66</v>
      </c>
      <c r="M4676" s="37">
        <v>25.66</v>
      </c>
      <c r="N4676" s="36">
        <v>25.66</v>
      </c>
    </row>
    <row r="4677" ht="12.75">
      <c r="A4677" s="19" t="s">
        <v>10460</v>
      </c>
      <c r="B4677" s="19">
        <v>9866</v>
      </c>
      <c r="C4677" s="20" t="s">
        <v>15145</v>
      </c>
      <c r="D4677" s="19" t="s">
        <v>38</v>
      </c>
      <c r="E4677" s="19" t="s">
        <v>10459</v>
      </c>
      <c r="F4677" s="21">
        <f t="shared" si="627"/>
        <v>22.140000000000001</v>
      </c>
      <c r="G4677" s="21">
        <f t="shared" si="627"/>
        <v>22.140000000000001</v>
      </c>
      <c r="H4677" s="21">
        <f t="shared" si="627"/>
        <v>22.140000000000001</v>
      </c>
      <c r="I4677" s="24" t="str">
        <f t="shared" si="626"/>
        <v xml:space="preserve">COM VALOR</v>
      </c>
      <c r="L4677" s="36">
        <v>22.140000000000001</v>
      </c>
      <c r="M4677" s="37">
        <v>22.140000000000001</v>
      </c>
      <c r="N4677" s="36">
        <v>22.140000000000001</v>
      </c>
    </row>
    <row r="4678" ht="12.75">
      <c r="A4678" s="19" t="s">
        <v>10460</v>
      </c>
      <c r="B4678" s="19">
        <v>9856</v>
      </c>
      <c r="C4678" s="20" t="s">
        <v>15146</v>
      </c>
      <c r="D4678" s="19" t="s">
        <v>38</v>
      </c>
      <c r="E4678" s="19" t="s">
        <v>10459</v>
      </c>
      <c r="F4678" s="21">
        <f t="shared" si="627"/>
        <v>8.2699999999999996</v>
      </c>
      <c r="G4678" s="21">
        <f t="shared" si="627"/>
        <v>8.2699999999999996</v>
      </c>
      <c r="H4678" s="21">
        <f t="shared" si="627"/>
        <v>8.2699999999999996</v>
      </c>
      <c r="I4678" s="24" t="str">
        <f t="shared" si="626"/>
        <v xml:space="preserve">COM VALOR</v>
      </c>
      <c r="L4678" s="36">
        <v>8.2699999999999996</v>
      </c>
      <c r="M4678" s="37">
        <v>8.2699999999999996</v>
      </c>
      <c r="N4678" s="36">
        <v>8.2699999999999996</v>
      </c>
    </row>
    <row r="4679" ht="12.75">
      <c r="A4679" s="19" t="s">
        <v>10460</v>
      </c>
      <c r="B4679" s="19">
        <v>9863</v>
      </c>
      <c r="C4679" s="20" t="s">
        <v>15147</v>
      </c>
      <c r="D4679" s="19" t="s">
        <v>38</v>
      </c>
      <c r="E4679" s="19" t="s">
        <v>10459</v>
      </c>
      <c r="F4679" s="21">
        <f t="shared" si="627"/>
        <v>64.049999999999997</v>
      </c>
      <c r="G4679" s="21">
        <f t="shared" si="627"/>
        <v>64.049999999999997</v>
      </c>
      <c r="H4679" s="21">
        <f t="shared" si="627"/>
        <v>64.049999999999997</v>
      </c>
      <c r="I4679" s="24" t="str">
        <f t="shared" si="626"/>
        <v xml:space="preserve">COM VALOR</v>
      </c>
      <c r="L4679" s="36">
        <v>64.049999999999997</v>
      </c>
      <c r="M4679" s="37">
        <v>64.049999999999997</v>
      </c>
      <c r="N4679" s="36">
        <v>64.049999999999997</v>
      </c>
    </row>
    <row r="4680" ht="12.75">
      <c r="A4680" s="19" t="s">
        <v>10460</v>
      </c>
      <c r="B4680" s="19">
        <v>9860</v>
      </c>
      <c r="C4680" s="20" t="s">
        <v>15148</v>
      </c>
      <c r="D4680" s="19" t="s">
        <v>38</v>
      </c>
      <c r="E4680" s="19" t="s">
        <v>10459</v>
      </c>
      <c r="F4680" s="21">
        <f t="shared" si="627"/>
        <v>46.75</v>
      </c>
      <c r="G4680" s="21">
        <f t="shared" si="627"/>
        <v>46.75</v>
      </c>
      <c r="H4680" s="21">
        <f t="shared" si="627"/>
        <v>46.75</v>
      </c>
      <c r="I4680" s="24" t="str">
        <f t="shared" si="626"/>
        <v xml:space="preserve">COM VALOR</v>
      </c>
      <c r="L4680" s="36">
        <v>46.75</v>
      </c>
      <c r="M4680" s="37">
        <v>46.75</v>
      </c>
      <c r="N4680" s="36">
        <v>46.75</v>
      </c>
    </row>
    <row r="4681" ht="25.5">
      <c r="A4681" s="19" t="s">
        <v>10460</v>
      </c>
      <c r="B4681" s="19">
        <v>9841</v>
      </c>
      <c r="C4681" s="20" t="s">
        <v>15149</v>
      </c>
      <c r="D4681" s="19" t="s">
        <v>38</v>
      </c>
      <c r="E4681" s="19" t="s">
        <v>10459</v>
      </c>
      <c r="F4681" s="21">
        <f t="shared" si="627"/>
        <v>31.539999999999999</v>
      </c>
      <c r="G4681" s="21">
        <f t="shared" si="627"/>
        <v>31.539999999999999</v>
      </c>
      <c r="H4681" s="21">
        <f t="shared" si="627"/>
        <v>31.539999999999999</v>
      </c>
      <c r="I4681" s="24" t="str">
        <f t="shared" si="626"/>
        <v xml:space="preserve">COM VALOR</v>
      </c>
      <c r="L4681" s="36">
        <v>31.539999999999999</v>
      </c>
      <c r="M4681" s="37">
        <v>31.539999999999999</v>
      </c>
      <c r="N4681" s="36">
        <v>31.539999999999999</v>
      </c>
    </row>
    <row r="4682" ht="25.5">
      <c r="A4682" s="19" t="s">
        <v>10460</v>
      </c>
      <c r="B4682" s="19">
        <v>9840</v>
      </c>
      <c r="C4682" s="20" t="s">
        <v>15150</v>
      </c>
      <c r="D4682" s="19" t="s">
        <v>38</v>
      </c>
      <c r="E4682" s="19" t="s">
        <v>10459</v>
      </c>
      <c r="F4682" s="21">
        <f t="shared" si="627"/>
        <v>66.629999999999995</v>
      </c>
      <c r="G4682" s="21">
        <f t="shared" si="627"/>
        <v>66.629999999999995</v>
      </c>
      <c r="H4682" s="21">
        <f t="shared" si="627"/>
        <v>66.629999999999995</v>
      </c>
      <c r="I4682" s="24" t="str">
        <f t="shared" si="626"/>
        <v xml:space="preserve">COM VALOR</v>
      </c>
      <c r="L4682" s="36">
        <v>66.629999999999995</v>
      </c>
      <c r="M4682" s="37">
        <v>66.629999999999995</v>
      </c>
      <c r="N4682" s="36">
        <v>66.629999999999995</v>
      </c>
    </row>
    <row r="4683" ht="25.5">
      <c r="A4683" s="19" t="s">
        <v>10460</v>
      </c>
      <c r="B4683" s="19">
        <v>20067</v>
      </c>
      <c r="C4683" s="20" t="s">
        <v>15151</v>
      </c>
      <c r="D4683" s="19" t="s">
        <v>38</v>
      </c>
      <c r="E4683" s="19" t="s">
        <v>10459</v>
      </c>
      <c r="F4683" s="21">
        <f t="shared" ref="F4683:H4746" si="628">IF(L4683=0,"VERIFICAR",L4683)</f>
        <v>10.23</v>
      </c>
      <c r="G4683" s="21">
        <f t="shared" si="628"/>
        <v>10.23</v>
      </c>
      <c r="H4683" s="21">
        <f t="shared" si="628"/>
        <v>10.23</v>
      </c>
      <c r="I4683" s="24" t="str">
        <f t="shared" ref="I4683:I4746" si="629">IF(OR(L4683=0,M4683=0,N4683=0),"SEM VALOR","COM VALOR")</f>
        <v xml:space="preserve">COM VALOR</v>
      </c>
      <c r="L4683" s="36">
        <v>10.23</v>
      </c>
      <c r="M4683" s="37">
        <v>10.23</v>
      </c>
      <c r="N4683" s="36">
        <v>10.23</v>
      </c>
    </row>
    <row r="4684" ht="25.5">
      <c r="A4684" s="19" t="s">
        <v>10460</v>
      </c>
      <c r="B4684" s="19">
        <v>20068</v>
      </c>
      <c r="C4684" s="20" t="s">
        <v>15152</v>
      </c>
      <c r="D4684" s="19" t="s">
        <v>38</v>
      </c>
      <c r="E4684" s="19" t="s">
        <v>10459</v>
      </c>
      <c r="F4684" s="21">
        <f t="shared" si="628"/>
        <v>14.41</v>
      </c>
      <c r="G4684" s="21">
        <f t="shared" si="628"/>
        <v>14.41</v>
      </c>
      <c r="H4684" s="21">
        <f t="shared" si="628"/>
        <v>14.41</v>
      </c>
      <c r="I4684" s="24" t="str">
        <f t="shared" si="629"/>
        <v xml:space="preserve">COM VALOR</v>
      </c>
      <c r="J4684" s="38"/>
      <c r="L4684" s="36">
        <v>14.41</v>
      </c>
      <c r="M4684" s="37">
        <v>14.41</v>
      </c>
      <c r="N4684" s="36">
        <v>14.41</v>
      </c>
    </row>
    <row r="4685" ht="25.5">
      <c r="A4685" s="19" t="s">
        <v>10460</v>
      </c>
      <c r="B4685" s="19">
        <v>9839</v>
      </c>
      <c r="C4685" s="20" t="s">
        <v>15153</v>
      </c>
      <c r="D4685" s="19" t="s">
        <v>38</v>
      </c>
      <c r="E4685" s="19" t="s">
        <v>10459</v>
      </c>
      <c r="F4685" s="21">
        <f t="shared" si="628"/>
        <v>26.129999999999999</v>
      </c>
      <c r="G4685" s="21">
        <f t="shared" si="628"/>
        <v>26.129999999999999</v>
      </c>
      <c r="H4685" s="21">
        <f t="shared" si="628"/>
        <v>26.129999999999999</v>
      </c>
      <c r="I4685" s="24" t="str">
        <f t="shared" si="629"/>
        <v xml:space="preserve">COM VALOR</v>
      </c>
      <c r="L4685" s="36">
        <v>26.129999999999999</v>
      </c>
      <c r="M4685" s="37">
        <v>26.129999999999999</v>
      </c>
      <c r="N4685" s="36">
        <v>26.129999999999999</v>
      </c>
    </row>
    <row r="4686" ht="12.75">
      <c r="A4686" s="19" t="s">
        <v>10460</v>
      </c>
      <c r="B4686" s="19">
        <v>9870</v>
      </c>
      <c r="C4686" s="20" t="s">
        <v>15154</v>
      </c>
      <c r="D4686" s="19" t="s">
        <v>38</v>
      </c>
      <c r="E4686" s="19" t="s">
        <v>10459</v>
      </c>
      <c r="F4686" s="21">
        <f t="shared" si="628"/>
        <v>95.519999999999996</v>
      </c>
      <c r="G4686" s="21">
        <f t="shared" si="628"/>
        <v>95.519999999999996</v>
      </c>
      <c r="H4686" s="21">
        <f t="shared" si="628"/>
        <v>95.519999999999996</v>
      </c>
      <c r="I4686" s="24" t="str">
        <f t="shared" si="629"/>
        <v xml:space="preserve">COM VALOR</v>
      </c>
      <c r="J4686" s="38"/>
      <c r="L4686" s="36">
        <v>95.519999999999996</v>
      </c>
      <c r="M4686" s="37">
        <v>95.519999999999996</v>
      </c>
      <c r="N4686" s="36">
        <v>95.519999999999996</v>
      </c>
    </row>
    <row r="4687" ht="12.75">
      <c r="A4687" s="19" t="s">
        <v>10460</v>
      </c>
      <c r="B4687" s="19">
        <v>9867</v>
      </c>
      <c r="C4687" s="20" t="s">
        <v>15155</v>
      </c>
      <c r="D4687" s="19" t="s">
        <v>38</v>
      </c>
      <c r="E4687" s="19" t="s">
        <v>10459</v>
      </c>
      <c r="F4687" s="21">
        <f t="shared" si="628"/>
        <v>3.8399999999999999</v>
      </c>
      <c r="G4687" s="21">
        <f t="shared" si="628"/>
        <v>3.8399999999999999</v>
      </c>
      <c r="H4687" s="21">
        <f t="shared" si="628"/>
        <v>3.8399999999999999</v>
      </c>
      <c r="I4687" s="24" t="str">
        <f t="shared" si="629"/>
        <v xml:space="preserve">COM VALOR</v>
      </c>
      <c r="L4687" s="36">
        <v>3.8399999999999999</v>
      </c>
      <c r="M4687" s="37">
        <v>3.8399999999999999</v>
      </c>
      <c r="N4687" s="36">
        <v>3.8399999999999999</v>
      </c>
    </row>
    <row r="4688" ht="12.75">
      <c r="A4688" s="19" t="s">
        <v>10460</v>
      </c>
      <c r="B4688" s="19">
        <v>9868</v>
      </c>
      <c r="C4688" s="20" t="s">
        <v>15156</v>
      </c>
      <c r="D4688" s="19" t="s">
        <v>38</v>
      </c>
      <c r="E4688" s="19" t="s">
        <v>10466</v>
      </c>
      <c r="F4688" s="21">
        <f t="shared" si="628"/>
        <v>4.3300000000000001</v>
      </c>
      <c r="G4688" s="21">
        <f t="shared" si="628"/>
        <v>4.3300000000000001</v>
      </c>
      <c r="H4688" s="21">
        <f t="shared" si="628"/>
        <v>4.3300000000000001</v>
      </c>
      <c r="I4688" s="24" t="str">
        <f t="shared" si="629"/>
        <v xml:space="preserve">COM VALOR</v>
      </c>
      <c r="L4688" s="36">
        <v>4.3300000000000001</v>
      </c>
      <c r="M4688" s="37">
        <v>4.3300000000000001</v>
      </c>
      <c r="N4688" s="36">
        <v>4.3300000000000001</v>
      </c>
    </row>
    <row r="4689" ht="12.75">
      <c r="A4689" s="19" t="s">
        <v>10460</v>
      </c>
      <c r="B4689" s="19">
        <v>9869</v>
      </c>
      <c r="C4689" s="20" t="s">
        <v>15157</v>
      </c>
      <c r="D4689" s="19" t="s">
        <v>38</v>
      </c>
      <c r="E4689" s="19" t="s">
        <v>10459</v>
      </c>
      <c r="F4689" s="21">
        <f t="shared" si="628"/>
        <v>9.3399999999999999</v>
      </c>
      <c r="G4689" s="21">
        <f t="shared" si="628"/>
        <v>9.3399999999999999</v>
      </c>
      <c r="H4689" s="21">
        <f t="shared" si="628"/>
        <v>9.3399999999999999</v>
      </c>
      <c r="I4689" s="24" t="str">
        <f t="shared" si="629"/>
        <v xml:space="preserve">COM VALOR</v>
      </c>
      <c r="L4689" s="36">
        <v>9.3399999999999999</v>
      </c>
      <c r="M4689" s="37">
        <v>9.3399999999999999</v>
      </c>
      <c r="N4689" s="36">
        <v>9.3399999999999999</v>
      </c>
    </row>
    <row r="4690" ht="12.75">
      <c r="A4690" s="19" t="s">
        <v>10460</v>
      </c>
      <c r="B4690" s="19">
        <v>9874</v>
      </c>
      <c r="C4690" s="20" t="s">
        <v>15158</v>
      </c>
      <c r="D4690" s="19" t="s">
        <v>38</v>
      </c>
      <c r="E4690" s="19" t="s">
        <v>10459</v>
      </c>
      <c r="F4690" s="21">
        <f t="shared" si="628"/>
        <v>14.67</v>
      </c>
      <c r="G4690" s="21">
        <f t="shared" si="628"/>
        <v>14.67</v>
      </c>
      <c r="H4690" s="21">
        <f t="shared" si="628"/>
        <v>14.67</v>
      </c>
      <c r="I4690" s="24" t="str">
        <f t="shared" si="629"/>
        <v xml:space="preserve">COM VALOR</v>
      </c>
      <c r="L4690" s="36">
        <v>14.67</v>
      </c>
      <c r="M4690" s="37">
        <v>14.67</v>
      </c>
      <c r="N4690" s="36">
        <v>14.67</v>
      </c>
    </row>
    <row r="4691" ht="12.75">
      <c r="A4691" s="19" t="s">
        <v>10460</v>
      </c>
      <c r="B4691" s="19">
        <v>9875</v>
      </c>
      <c r="C4691" s="20" t="s">
        <v>15159</v>
      </c>
      <c r="D4691" s="19" t="s">
        <v>38</v>
      </c>
      <c r="E4691" s="19" t="s">
        <v>10459</v>
      </c>
      <c r="F4691" s="21">
        <f t="shared" si="628"/>
        <v>16.09</v>
      </c>
      <c r="G4691" s="21">
        <f t="shared" si="628"/>
        <v>16.09</v>
      </c>
      <c r="H4691" s="21">
        <f t="shared" si="628"/>
        <v>16.09</v>
      </c>
      <c r="I4691" s="24" t="str">
        <f t="shared" si="629"/>
        <v xml:space="preserve">COM VALOR</v>
      </c>
      <c r="L4691" s="36">
        <v>16.09</v>
      </c>
      <c r="M4691" s="37">
        <v>16.09</v>
      </c>
      <c r="N4691" s="36">
        <v>16.09</v>
      </c>
    </row>
    <row r="4692" ht="12.75">
      <c r="A4692" s="19" t="s">
        <v>10460</v>
      </c>
      <c r="B4692" s="19">
        <v>9873</v>
      </c>
      <c r="C4692" s="20" t="s">
        <v>15160</v>
      </c>
      <c r="D4692" s="19" t="s">
        <v>38</v>
      </c>
      <c r="E4692" s="19" t="s">
        <v>10459</v>
      </c>
      <c r="F4692" s="21">
        <f t="shared" si="628"/>
        <v>26.48</v>
      </c>
      <c r="G4692" s="21">
        <f t="shared" si="628"/>
        <v>26.48</v>
      </c>
      <c r="H4692" s="21">
        <f t="shared" si="628"/>
        <v>26.48</v>
      </c>
      <c r="I4692" s="24" t="str">
        <f t="shared" si="629"/>
        <v xml:space="preserve">COM VALOR</v>
      </c>
      <c r="L4692" s="36">
        <v>26.48</v>
      </c>
      <c r="M4692" s="37">
        <v>26.48</v>
      </c>
      <c r="N4692" s="36">
        <v>26.48</v>
      </c>
    </row>
    <row r="4693" ht="12.75">
      <c r="A4693" s="19" t="s">
        <v>10460</v>
      </c>
      <c r="B4693" s="19">
        <v>9871</v>
      </c>
      <c r="C4693" s="20" t="s">
        <v>15161</v>
      </c>
      <c r="D4693" s="19" t="s">
        <v>38</v>
      </c>
      <c r="E4693" s="19" t="s">
        <v>10459</v>
      </c>
      <c r="F4693" s="21">
        <f t="shared" si="628"/>
        <v>43.880000000000003</v>
      </c>
      <c r="G4693" s="21">
        <f t="shared" si="628"/>
        <v>43.880000000000003</v>
      </c>
      <c r="H4693" s="21">
        <f t="shared" si="628"/>
        <v>43.880000000000003</v>
      </c>
      <c r="I4693" s="24" t="str">
        <f t="shared" si="629"/>
        <v xml:space="preserve">COM VALOR</v>
      </c>
      <c r="L4693" s="36">
        <v>43.880000000000003</v>
      </c>
      <c r="M4693" s="37">
        <v>43.880000000000003</v>
      </c>
      <c r="N4693" s="36">
        <v>43.880000000000003</v>
      </c>
    </row>
    <row r="4694" ht="12.75">
      <c r="A4694" s="19" t="s">
        <v>10460</v>
      </c>
      <c r="B4694" s="19">
        <v>9872</v>
      </c>
      <c r="C4694" s="20" t="s">
        <v>15162</v>
      </c>
      <c r="D4694" s="19" t="s">
        <v>38</v>
      </c>
      <c r="E4694" s="19" t="s">
        <v>10459</v>
      </c>
      <c r="F4694" s="21">
        <f t="shared" si="628"/>
        <v>61.039999999999999</v>
      </c>
      <c r="G4694" s="21">
        <f t="shared" si="628"/>
        <v>61.039999999999999</v>
      </c>
      <c r="H4694" s="21">
        <f t="shared" si="628"/>
        <v>61.039999999999999</v>
      </c>
      <c r="I4694" s="24" t="str">
        <f t="shared" si="629"/>
        <v xml:space="preserve">COM VALOR</v>
      </c>
      <c r="L4694" s="36">
        <v>61.039999999999999</v>
      </c>
      <c r="M4694" s="37">
        <v>61.039999999999999</v>
      </c>
      <c r="N4694" s="36">
        <v>61.039999999999999</v>
      </c>
    </row>
    <row r="4695" ht="12.75">
      <c r="A4695" s="19" t="s">
        <v>10460</v>
      </c>
      <c r="B4695" s="19">
        <v>12425</v>
      </c>
      <c r="C4695" s="20" t="s">
        <v>15163</v>
      </c>
      <c r="D4695" s="19" t="s">
        <v>31</v>
      </c>
      <c r="E4695" s="19" t="s">
        <v>10459</v>
      </c>
      <c r="F4695" s="21">
        <f t="shared" si="628"/>
        <v>70.090000000000003</v>
      </c>
      <c r="G4695" s="21">
        <f t="shared" si="628"/>
        <v>70.090000000000003</v>
      </c>
      <c r="H4695" s="21">
        <f t="shared" si="628"/>
        <v>70.090000000000003</v>
      </c>
      <c r="I4695" s="24" t="str">
        <f t="shared" si="629"/>
        <v xml:space="preserve">COM VALOR</v>
      </c>
      <c r="L4695" s="36">
        <v>70.090000000000003</v>
      </c>
      <c r="M4695" s="37">
        <v>70.090000000000003</v>
      </c>
      <c r="N4695" s="36">
        <v>70.090000000000003</v>
      </c>
    </row>
    <row r="4696" ht="12.75">
      <c r="A4696" s="19" t="s">
        <v>10460</v>
      </c>
      <c r="B4696" s="19">
        <v>12426</v>
      </c>
      <c r="C4696" s="20" t="s">
        <v>15164</v>
      </c>
      <c r="D4696" s="19" t="s">
        <v>31</v>
      </c>
      <c r="E4696" s="19" t="s">
        <v>10459</v>
      </c>
      <c r="F4696" s="21">
        <f t="shared" si="628"/>
        <v>51.020000000000003</v>
      </c>
      <c r="G4696" s="21">
        <f t="shared" si="628"/>
        <v>51.020000000000003</v>
      </c>
      <c r="H4696" s="21">
        <f t="shared" si="628"/>
        <v>51.020000000000003</v>
      </c>
      <c r="I4696" s="24" t="str">
        <f t="shared" si="629"/>
        <v xml:space="preserve">COM VALOR</v>
      </c>
      <c r="L4696" s="36">
        <v>51.020000000000003</v>
      </c>
      <c r="M4696" s="37">
        <v>51.020000000000003</v>
      </c>
      <c r="N4696" s="36">
        <v>51.020000000000003</v>
      </c>
    </row>
    <row r="4697" ht="12.75">
      <c r="A4697" s="19" t="s">
        <v>10460</v>
      </c>
      <c r="B4697" s="19">
        <v>12427</v>
      </c>
      <c r="C4697" s="20" t="s">
        <v>15165</v>
      </c>
      <c r="D4697" s="19" t="s">
        <v>31</v>
      </c>
      <c r="E4697" s="19" t="s">
        <v>10459</v>
      </c>
      <c r="F4697" s="21">
        <f t="shared" si="628"/>
        <v>290.92000000000002</v>
      </c>
      <c r="G4697" s="21">
        <f t="shared" si="628"/>
        <v>290.92000000000002</v>
      </c>
      <c r="H4697" s="21">
        <f t="shared" si="628"/>
        <v>290.92000000000002</v>
      </c>
      <c r="I4697" s="24" t="str">
        <f t="shared" si="629"/>
        <v xml:space="preserve">COM VALOR</v>
      </c>
      <c r="L4697" s="36">
        <v>290.92000000000002</v>
      </c>
      <c r="M4697" s="37">
        <v>290.92000000000002</v>
      </c>
      <c r="N4697" s="36">
        <v>290.92000000000002</v>
      </c>
    </row>
    <row r="4698" ht="12.75">
      <c r="A4698" s="19" t="s">
        <v>10460</v>
      </c>
      <c r="B4698" s="19">
        <v>12428</v>
      </c>
      <c r="C4698" s="20" t="s">
        <v>15166</v>
      </c>
      <c r="D4698" s="19" t="s">
        <v>31</v>
      </c>
      <c r="E4698" s="19" t="s">
        <v>10459</v>
      </c>
      <c r="F4698" s="21">
        <f t="shared" si="628"/>
        <v>186.72999999999999</v>
      </c>
      <c r="G4698" s="21">
        <f t="shared" si="628"/>
        <v>186.72999999999999</v>
      </c>
      <c r="H4698" s="21">
        <f t="shared" si="628"/>
        <v>186.72999999999999</v>
      </c>
      <c r="I4698" s="24" t="str">
        <f t="shared" si="629"/>
        <v xml:space="preserve">COM VALOR</v>
      </c>
      <c r="L4698" s="36">
        <v>186.72999999999999</v>
      </c>
      <c r="M4698" s="37">
        <v>186.72999999999999</v>
      </c>
      <c r="N4698" s="36">
        <v>186.72999999999999</v>
      </c>
    </row>
    <row r="4699" ht="12.75">
      <c r="A4699" s="19" t="s">
        <v>10460</v>
      </c>
      <c r="B4699" s="19">
        <v>12429</v>
      </c>
      <c r="C4699" s="20" t="s">
        <v>15167</v>
      </c>
      <c r="D4699" s="19" t="s">
        <v>31</v>
      </c>
      <c r="E4699" s="19" t="s">
        <v>10459</v>
      </c>
      <c r="F4699" s="21">
        <f t="shared" si="628"/>
        <v>470.43000000000001</v>
      </c>
      <c r="G4699" s="21">
        <f t="shared" si="628"/>
        <v>470.43000000000001</v>
      </c>
      <c r="H4699" s="21">
        <f t="shared" si="628"/>
        <v>470.43000000000001</v>
      </c>
      <c r="I4699" s="24" t="str">
        <f t="shared" si="629"/>
        <v xml:space="preserve">COM VALOR</v>
      </c>
      <c r="L4699" s="36">
        <v>470.43000000000001</v>
      </c>
      <c r="M4699" s="37">
        <v>470.43000000000001</v>
      </c>
      <c r="N4699" s="36">
        <v>470.43000000000001</v>
      </c>
    </row>
    <row r="4700" ht="12.75">
      <c r="A4700" s="19" t="s">
        <v>10460</v>
      </c>
      <c r="B4700" s="19">
        <v>12430</v>
      </c>
      <c r="C4700" s="20" t="s">
        <v>15168</v>
      </c>
      <c r="D4700" s="19" t="s">
        <v>31</v>
      </c>
      <c r="E4700" s="19" t="s">
        <v>10459</v>
      </c>
      <c r="F4700" s="21">
        <f t="shared" si="628"/>
        <v>62.539999999999999</v>
      </c>
      <c r="G4700" s="21">
        <f t="shared" si="628"/>
        <v>62.539999999999999</v>
      </c>
      <c r="H4700" s="21">
        <f t="shared" si="628"/>
        <v>62.539999999999999</v>
      </c>
      <c r="I4700" s="24" t="str">
        <f t="shared" si="629"/>
        <v xml:space="preserve">COM VALOR</v>
      </c>
      <c r="L4700" s="36">
        <v>62.539999999999999</v>
      </c>
      <c r="M4700" s="37">
        <v>62.539999999999999</v>
      </c>
      <c r="N4700" s="36">
        <v>62.539999999999999</v>
      </c>
    </row>
    <row r="4701" ht="12.75">
      <c r="A4701" s="19" t="s">
        <v>10460</v>
      </c>
      <c r="B4701" s="19">
        <v>12431</v>
      </c>
      <c r="C4701" s="20" t="s">
        <v>15169</v>
      </c>
      <c r="D4701" s="19" t="s">
        <v>31</v>
      </c>
      <c r="E4701" s="19" t="s">
        <v>10459</v>
      </c>
      <c r="F4701" s="21">
        <f t="shared" si="628"/>
        <v>800.59000000000003</v>
      </c>
      <c r="G4701" s="21">
        <f t="shared" si="628"/>
        <v>800.59000000000003</v>
      </c>
      <c r="H4701" s="21">
        <f t="shared" si="628"/>
        <v>800.59000000000003</v>
      </c>
      <c r="I4701" s="24" t="str">
        <f t="shared" si="629"/>
        <v xml:space="preserve">COM VALOR</v>
      </c>
      <c r="L4701" s="36">
        <v>800.59000000000003</v>
      </c>
      <c r="M4701" s="37">
        <v>800.59000000000003</v>
      </c>
      <c r="N4701" s="36">
        <v>800.59000000000003</v>
      </c>
    </row>
    <row r="4702" ht="25.5">
      <c r="A4702" s="19" t="s">
        <v>10460</v>
      </c>
      <c r="B4702" s="19">
        <v>12432</v>
      </c>
      <c r="C4702" s="20" t="s">
        <v>15170</v>
      </c>
      <c r="D4702" s="19" t="s">
        <v>31</v>
      </c>
      <c r="E4702" s="19" t="s">
        <v>10459</v>
      </c>
      <c r="F4702" s="21">
        <f t="shared" si="628"/>
        <v>164.66</v>
      </c>
      <c r="G4702" s="21">
        <f t="shared" si="628"/>
        <v>164.66</v>
      </c>
      <c r="H4702" s="21">
        <f t="shared" si="628"/>
        <v>164.66</v>
      </c>
      <c r="I4702" s="24" t="str">
        <f t="shared" si="629"/>
        <v xml:space="preserve">COM VALOR</v>
      </c>
      <c r="L4702" s="36">
        <v>164.66</v>
      </c>
      <c r="M4702" s="37">
        <v>164.66</v>
      </c>
      <c r="N4702" s="36">
        <v>164.66</v>
      </c>
    </row>
    <row r="4703" ht="25.5">
      <c r="A4703" s="19" t="s">
        <v>10460</v>
      </c>
      <c r="B4703" s="19">
        <v>12433</v>
      </c>
      <c r="C4703" s="20" t="s">
        <v>15171</v>
      </c>
      <c r="D4703" s="19" t="s">
        <v>31</v>
      </c>
      <c r="E4703" s="19" t="s">
        <v>10459</v>
      </c>
      <c r="F4703" s="21">
        <f t="shared" si="628"/>
        <v>104.81999999999999</v>
      </c>
      <c r="G4703" s="21">
        <f t="shared" si="628"/>
        <v>104.81999999999999</v>
      </c>
      <c r="H4703" s="21">
        <f t="shared" si="628"/>
        <v>104.81999999999999</v>
      </c>
      <c r="I4703" s="24" t="str">
        <f t="shared" si="629"/>
        <v xml:space="preserve">COM VALOR</v>
      </c>
      <c r="L4703" s="36">
        <v>104.81999999999999</v>
      </c>
      <c r="M4703" s="37">
        <v>104.81999999999999</v>
      </c>
      <c r="N4703" s="36">
        <v>104.81999999999999</v>
      </c>
    </row>
    <row r="4704" ht="25.5">
      <c r="A4704" s="19" t="s">
        <v>10460</v>
      </c>
      <c r="B4704" s="19">
        <v>12434</v>
      </c>
      <c r="C4704" s="20" t="s">
        <v>15172</v>
      </c>
      <c r="D4704" s="19" t="s">
        <v>31</v>
      </c>
      <c r="E4704" s="19" t="s">
        <v>10459</v>
      </c>
      <c r="F4704" s="21">
        <f t="shared" si="628"/>
        <v>53.659999999999997</v>
      </c>
      <c r="G4704" s="21">
        <f t="shared" si="628"/>
        <v>53.659999999999997</v>
      </c>
      <c r="H4704" s="21">
        <f t="shared" si="628"/>
        <v>53.659999999999997</v>
      </c>
      <c r="I4704" s="24" t="str">
        <f t="shared" si="629"/>
        <v xml:space="preserve">COM VALOR</v>
      </c>
      <c r="L4704" s="36">
        <v>53.659999999999997</v>
      </c>
      <c r="M4704" s="37">
        <v>53.659999999999997</v>
      </c>
      <c r="N4704" s="36">
        <v>53.659999999999997</v>
      </c>
    </row>
    <row r="4705" ht="25.5">
      <c r="A4705" s="19" t="s">
        <v>10460</v>
      </c>
      <c r="B4705" s="19">
        <v>12435</v>
      </c>
      <c r="C4705" s="20" t="s">
        <v>15173</v>
      </c>
      <c r="D4705" s="19" t="s">
        <v>31</v>
      </c>
      <c r="E4705" s="19" t="s">
        <v>10459</v>
      </c>
      <c r="F4705" s="21">
        <f t="shared" si="628"/>
        <v>324.39999999999998</v>
      </c>
      <c r="G4705" s="21">
        <f t="shared" si="628"/>
        <v>324.39999999999998</v>
      </c>
      <c r="H4705" s="21">
        <f t="shared" si="628"/>
        <v>324.39999999999998</v>
      </c>
      <c r="I4705" s="24" t="str">
        <f t="shared" si="629"/>
        <v xml:space="preserve">COM VALOR</v>
      </c>
      <c r="L4705" s="36">
        <v>324.39999999999998</v>
      </c>
      <c r="M4705" s="37">
        <v>324.39999999999998</v>
      </c>
      <c r="N4705" s="36">
        <v>324.39999999999998</v>
      </c>
    </row>
    <row r="4706" ht="25.5">
      <c r="A4706" s="19" t="s">
        <v>10460</v>
      </c>
      <c r="B4706" s="19">
        <v>12437</v>
      </c>
      <c r="C4706" s="20" t="s">
        <v>15174</v>
      </c>
      <c r="D4706" s="19" t="s">
        <v>31</v>
      </c>
      <c r="E4706" s="19" t="s">
        <v>10459</v>
      </c>
      <c r="F4706" s="21">
        <f t="shared" si="628"/>
        <v>261.99000000000001</v>
      </c>
      <c r="G4706" s="21">
        <f t="shared" si="628"/>
        <v>261.99000000000001</v>
      </c>
      <c r="H4706" s="21">
        <f t="shared" si="628"/>
        <v>261.99000000000001</v>
      </c>
      <c r="I4706" s="24" t="str">
        <f t="shared" si="629"/>
        <v xml:space="preserve">COM VALOR</v>
      </c>
      <c r="L4706" s="36">
        <v>261.99000000000001</v>
      </c>
      <c r="M4706" s="37">
        <v>261.99000000000001</v>
      </c>
      <c r="N4706" s="36">
        <v>261.99000000000001</v>
      </c>
    </row>
    <row r="4707" ht="25.5">
      <c r="A4707" s="19" t="s">
        <v>10460</v>
      </c>
      <c r="B4707" s="19">
        <v>12438</v>
      </c>
      <c r="C4707" s="20" t="s">
        <v>15175</v>
      </c>
      <c r="D4707" s="19" t="s">
        <v>31</v>
      </c>
      <c r="E4707" s="19" t="s">
        <v>10459</v>
      </c>
      <c r="F4707" s="21">
        <f t="shared" si="628"/>
        <v>474.12</v>
      </c>
      <c r="G4707" s="21">
        <f t="shared" si="628"/>
        <v>474.12</v>
      </c>
      <c r="H4707" s="21">
        <f t="shared" si="628"/>
        <v>474.12</v>
      </c>
      <c r="I4707" s="24" t="str">
        <f t="shared" si="629"/>
        <v xml:space="preserve">COM VALOR</v>
      </c>
      <c r="L4707" s="36">
        <v>474.12</v>
      </c>
      <c r="M4707" s="37">
        <v>474.12</v>
      </c>
      <c r="N4707" s="36">
        <v>474.12</v>
      </c>
    </row>
    <row r="4708" ht="25.5">
      <c r="A4708" s="19" t="s">
        <v>10460</v>
      </c>
      <c r="B4708" s="19">
        <v>12439</v>
      </c>
      <c r="C4708" s="20" t="s">
        <v>15176</v>
      </c>
      <c r="D4708" s="19" t="s">
        <v>31</v>
      </c>
      <c r="E4708" s="19" t="s">
        <v>10459</v>
      </c>
      <c r="F4708" s="21">
        <f t="shared" si="628"/>
        <v>84.090000000000003</v>
      </c>
      <c r="G4708" s="21">
        <f t="shared" si="628"/>
        <v>84.090000000000003</v>
      </c>
      <c r="H4708" s="21">
        <f t="shared" si="628"/>
        <v>84.090000000000003</v>
      </c>
      <c r="I4708" s="24" t="str">
        <f t="shared" si="629"/>
        <v xml:space="preserve">COM VALOR</v>
      </c>
      <c r="L4708" s="36">
        <v>84.090000000000003</v>
      </c>
      <c r="M4708" s="37">
        <v>84.090000000000003</v>
      </c>
      <c r="N4708" s="36">
        <v>84.090000000000003</v>
      </c>
    </row>
    <row r="4709" ht="25.5">
      <c r="A4709" s="19" t="s">
        <v>10460</v>
      </c>
      <c r="B4709" s="19">
        <v>12436</v>
      </c>
      <c r="C4709" s="20" t="s">
        <v>15177</v>
      </c>
      <c r="D4709" s="19" t="s">
        <v>31</v>
      </c>
      <c r="E4709" s="19" t="s">
        <v>10459</v>
      </c>
      <c r="F4709" s="21">
        <f t="shared" si="628"/>
        <v>598.91999999999996</v>
      </c>
      <c r="G4709" s="21">
        <f t="shared" si="628"/>
        <v>598.91999999999996</v>
      </c>
      <c r="H4709" s="21">
        <f t="shared" si="628"/>
        <v>598.91999999999996</v>
      </c>
      <c r="I4709" s="24" t="str">
        <f t="shared" si="629"/>
        <v xml:space="preserve">COM VALOR</v>
      </c>
      <c r="L4709" s="36">
        <v>598.91999999999996</v>
      </c>
      <c r="M4709" s="37">
        <v>598.91999999999996</v>
      </c>
      <c r="N4709" s="36">
        <v>598.91999999999996</v>
      </c>
    </row>
    <row r="4710" ht="25.5">
      <c r="A4710" s="19" t="s">
        <v>10460</v>
      </c>
      <c r="B4710" s="19">
        <v>36357</v>
      </c>
      <c r="C4710" s="20" t="s">
        <v>15178</v>
      </c>
      <c r="D4710" s="19" t="s">
        <v>31</v>
      </c>
      <c r="E4710" s="19" t="s">
        <v>10459</v>
      </c>
      <c r="F4710" s="21" t="str">
        <f t="shared" si="628"/>
        <v>VERIFICAR</v>
      </c>
      <c r="G4710" s="21" t="str">
        <f t="shared" si="628"/>
        <v>VERIFICAR</v>
      </c>
      <c r="H4710" s="21" t="str">
        <f t="shared" si="628"/>
        <v>VERIFICAR</v>
      </c>
      <c r="I4710" s="24" t="str">
        <f t="shared" si="629"/>
        <v xml:space="preserve">SEM VALOR</v>
      </c>
      <c r="J4710" s="38"/>
      <c r="L4710" s="36"/>
      <c r="M4710" s="37"/>
      <c r="N4710" s="36"/>
    </row>
    <row r="4711" ht="25.5">
      <c r="A4711" s="19" t="s">
        <v>10460</v>
      </c>
      <c r="B4711" s="19">
        <v>12424</v>
      </c>
      <c r="C4711" s="20" t="s">
        <v>15179</v>
      </c>
      <c r="D4711" s="19" t="s">
        <v>31</v>
      </c>
      <c r="E4711" s="19" t="s">
        <v>10459</v>
      </c>
      <c r="F4711" s="21">
        <f t="shared" si="628"/>
        <v>107.92</v>
      </c>
      <c r="G4711" s="21">
        <f t="shared" si="628"/>
        <v>107.92</v>
      </c>
      <c r="H4711" s="21">
        <f t="shared" si="628"/>
        <v>107.92</v>
      </c>
      <c r="I4711" s="24" t="str">
        <f t="shared" si="629"/>
        <v xml:space="preserve">COM VALOR</v>
      </c>
      <c r="L4711" s="36">
        <v>107.92</v>
      </c>
      <c r="M4711" s="37">
        <v>107.92</v>
      </c>
      <c r="N4711" s="36">
        <v>107.92</v>
      </c>
    </row>
    <row r="4712" ht="25.5">
      <c r="A4712" s="19" t="s">
        <v>10460</v>
      </c>
      <c r="B4712" s="19">
        <v>12440</v>
      </c>
      <c r="C4712" s="20" t="s">
        <v>15180</v>
      </c>
      <c r="D4712" s="19" t="s">
        <v>31</v>
      </c>
      <c r="E4712" s="19" t="s">
        <v>10459</v>
      </c>
      <c r="F4712" s="21">
        <f t="shared" si="628"/>
        <v>104.31</v>
      </c>
      <c r="G4712" s="21">
        <f t="shared" si="628"/>
        <v>104.31</v>
      </c>
      <c r="H4712" s="21">
        <f t="shared" si="628"/>
        <v>104.31</v>
      </c>
      <c r="I4712" s="24" t="str">
        <f t="shared" si="629"/>
        <v xml:space="preserve">COM VALOR</v>
      </c>
      <c r="L4712" s="36">
        <v>104.31</v>
      </c>
      <c r="M4712" s="37">
        <v>104.31</v>
      </c>
      <c r="N4712" s="36">
        <v>104.31</v>
      </c>
    </row>
    <row r="4713" ht="25.5">
      <c r="A4713" s="19" t="s">
        <v>10460</v>
      </c>
      <c r="B4713" s="19">
        <v>9884</v>
      </c>
      <c r="C4713" s="20" t="s">
        <v>15181</v>
      </c>
      <c r="D4713" s="19" t="s">
        <v>31</v>
      </c>
      <c r="E4713" s="19" t="s">
        <v>10459</v>
      </c>
      <c r="F4713" s="21">
        <f t="shared" si="628"/>
        <v>77.810000000000002</v>
      </c>
      <c r="G4713" s="21">
        <f t="shared" si="628"/>
        <v>77.810000000000002</v>
      </c>
      <c r="H4713" s="21">
        <f t="shared" si="628"/>
        <v>77.810000000000002</v>
      </c>
      <c r="I4713" s="24" t="str">
        <f t="shared" si="629"/>
        <v xml:space="preserve">COM VALOR</v>
      </c>
      <c r="L4713" s="36">
        <v>77.810000000000002</v>
      </c>
      <c r="M4713" s="37">
        <v>77.810000000000002</v>
      </c>
      <c r="N4713" s="36">
        <v>77.810000000000002</v>
      </c>
    </row>
    <row r="4714" ht="25.5">
      <c r="A4714" s="19" t="s">
        <v>10460</v>
      </c>
      <c r="B4714" s="19">
        <v>9888</v>
      </c>
      <c r="C4714" s="20" t="s">
        <v>15182</v>
      </c>
      <c r="D4714" s="19" t="s">
        <v>31</v>
      </c>
      <c r="E4714" s="19" t="s">
        <v>10459</v>
      </c>
      <c r="F4714" s="21">
        <f t="shared" si="628"/>
        <v>62.509999999999998</v>
      </c>
      <c r="G4714" s="21">
        <f t="shared" si="628"/>
        <v>62.509999999999998</v>
      </c>
      <c r="H4714" s="21">
        <f t="shared" si="628"/>
        <v>62.509999999999998</v>
      </c>
      <c r="I4714" s="24" t="str">
        <f t="shared" si="629"/>
        <v xml:space="preserve">COM VALOR</v>
      </c>
      <c r="L4714" s="36">
        <v>62.509999999999998</v>
      </c>
      <c r="M4714" s="37">
        <v>62.509999999999998</v>
      </c>
      <c r="N4714" s="36">
        <v>62.509999999999998</v>
      </c>
    </row>
    <row r="4715" ht="25.5">
      <c r="A4715" s="19" t="s">
        <v>10460</v>
      </c>
      <c r="B4715" s="19">
        <v>9886</v>
      </c>
      <c r="C4715" s="20" t="s">
        <v>15183</v>
      </c>
      <c r="D4715" s="19" t="s">
        <v>31</v>
      </c>
      <c r="E4715" s="19" t="s">
        <v>10459</v>
      </c>
      <c r="F4715" s="21">
        <f t="shared" si="628"/>
        <v>37.369999999999997</v>
      </c>
      <c r="G4715" s="21">
        <f t="shared" si="628"/>
        <v>37.369999999999997</v>
      </c>
      <c r="H4715" s="21">
        <f t="shared" si="628"/>
        <v>37.369999999999997</v>
      </c>
      <c r="I4715" s="24" t="str">
        <f t="shared" si="629"/>
        <v xml:space="preserve">COM VALOR</v>
      </c>
      <c r="L4715" s="36">
        <v>37.369999999999997</v>
      </c>
      <c r="M4715" s="37">
        <v>37.369999999999997</v>
      </c>
      <c r="N4715" s="36">
        <v>37.369999999999997</v>
      </c>
    </row>
    <row r="4716" ht="25.5">
      <c r="A4716" s="19" t="s">
        <v>10460</v>
      </c>
      <c r="B4716" s="19">
        <v>9883</v>
      </c>
      <c r="C4716" s="20" t="s">
        <v>15184</v>
      </c>
      <c r="D4716" s="19" t="s">
        <v>31</v>
      </c>
      <c r="E4716" s="19" t="s">
        <v>10459</v>
      </c>
      <c r="F4716" s="21">
        <f t="shared" si="628"/>
        <v>27.280000000000001</v>
      </c>
      <c r="G4716" s="21">
        <f t="shared" si="628"/>
        <v>27.280000000000001</v>
      </c>
      <c r="H4716" s="21">
        <f t="shared" si="628"/>
        <v>27.280000000000001</v>
      </c>
      <c r="I4716" s="24" t="str">
        <f t="shared" si="629"/>
        <v xml:space="preserve">COM VALOR</v>
      </c>
      <c r="L4716" s="36">
        <v>27.280000000000001</v>
      </c>
      <c r="M4716" s="37">
        <v>27.280000000000001</v>
      </c>
      <c r="N4716" s="36">
        <v>27.280000000000001</v>
      </c>
    </row>
    <row r="4717" ht="25.5">
      <c r="A4717" s="19" t="s">
        <v>10460</v>
      </c>
      <c r="B4717" s="19">
        <v>9889</v>
      </c>
      <c r="C4717" s="20" t="s">
        <v>15185</v>
      </c>
      <c r="D4717" s="19" t="s">
        <v>31</v>
      </c>
      <c r="E4717" s="19" t="s">
        <v>10459</v>
      </c>
      <c r="F4717" s="21">
        <f t="shared" si="628"/>
        <v>189.30000000000001</v>
      </c>
      <c r="G4717" s="21">
        <f t="shared" si="628"/>
        <v>189.30000000000001</v>
      </c>
      <c r="H4717" s="21">
        <f t="shared" si="628"/>
        <v>189.30000000000001</v>
      </c>
      <c r="I4717" s="24" t="str">
        <f t="shared" si="629"/>
        <v xml:space="preserve">COM VALOR</v>
      </c>
      <c r="L4717" s="36">
        <v>189.30000000000001</v>
      </c>
      <c r="M4717" s="37">
        <v>189.30000000000001</v>
      </c>
      <c r="N4717" s="36">
        <v>189.30000000000001</v>
      </c>
    </row>
    <row r="4718" ht="25.5">
      <c r="A4718" s="19" t="s">
        <v>10460</v>
      </c>
      <c r="B4718" s="19">
        <v>9887</v>
      </c>
      <c r="C4718" s="20" t="s">
        <v>15186</v>
      </c>
      <c r="D4718" s="19" t="s">
        <v>31</v>
      </c>
      <c r="E4718" s="19" t="s">
        <v>10459</v>
      </c>
      <c r="F4718" s="21">
        <f t="shared" si="628"/>
        <v>114.42</v>
      </c>
      <c r="G4718" s="21">
        <f t="shared" si="628"/>
        <v>114.42</v>
      </c>
      <c r="H4718" s="21">
        <f t="shared" si="628"/>
        <v>114.42</v>
      </c>
      <c r="I4718" s="24" t="str">
        <f t="shared" si="629"/>
        <v xml:space="preserve">COM VALOR</v>
      </c>
      <c r="L4718" s="36">
        <v>114.42</v>
      </c>
      <c r="M4718" s="37">
        <v>114.42</v>
      </c>
      <c r="N4718" s="36">
        <v>114.42</v>
      </c>
    </row>
    <row r="4719" ht="25.5">
      <c r="A4719" s="19" t="s">
        <v>10460</v>
      </c>
      <c r="B4719" s="19">
        <v>9890</v>
      </c>
      <c r="C4719" s="20" t="s">
        <v>15187</v>
      </c>
      <c r="D4719" s="19" t="s">
        <v>31</v>
      </c>
      <c r="E4719" s="19" t="s">
        <v>10459</v>
      </c>
      <c r="F4719" s="21">
        <f t="shared" si="628"/>
        <v>293.26999999999998</v>
      </c>
      <c r="G4719" s="21">
        <f t="shared" si="628"/>
        <v>293.26999999999998</v>
      </c>
      <c r="H4719" s="21">
        <f t="shared" si="628"/>
        <v>293.26999999999998</v>
      </c>
      <c r="I4719" s="24" t="str">
        <f t="shared" si="629"/>
        <v xml:space="preserve">COM VALOR</v>
      </c>
      <c r="L4719" s="36">
        <v>293.26999999999998</v>
      </c>
      <c r="M4719" s="37">
        <v>293.26999999999998</v>
      </c>
      <c r="N4719" s="36">
        <v>293.26999999999998</v>
      </c>
    </row>
    <row r="4720" ht="25.5">
      <c r="A4720" s="19" t="s">
        <v>10460</v>
      </c>
      <c r="B4720" s="19">
        <v>9885</v>
      </c>
      <c r="C4720" s="20" t="s">
        <v>15188</v>
      </c>
      <c r="D4720" s="19" t="s">
        <v>31</v>
      </c>
      <c r="E4720" s="19" t="s">
        <v>10459</v>
      </c>
      <c r="F4720" s="21">
        <f t="shared" si="628"/>
        <v>36.119999999999997</v>
      </c>
      <c r="G4720" s="21">
        <f t="shared" si="628"/>
        <v>36.119999999999997</v>
      </c>
      <c r="H4720" s="21">
        <f t="shared" si="628"/>
        <v>36.119999999999997</v>
      </c>
      <c r="I4720" s="24" t="str">
        <f t="shared" si="629"/>
        <v xml:space="preserve">COM VALOR</v>
      </c>
      <c r="L4720" s="36">
        <v>36.119999999999997</v>
      </c>
      <c r="M4720" s="37">
        <v>36.119999999999997</v>
      </c>
      <c r="N4720" s="36">
        <v>36.119999999999997</v>
      </c>
    </row>
    <row r="4721" ht="25.5">
      <c r="A4721" s="19" t="s">
        <v>10460</v>
      </c>
      <c r="B4721" s="19">
        <v>9891</v>
      </c>
      <c r="C4721" s="20" t="s">
        <v>15189</v>
      </c>
      <c r="D4721" s="19" t="s">
        <v>31</v>
      </c>
      <c r="E4721" s="19" t="s">
        <v>10459</v>
      </c>
      <c r="F4721" s="21">
        <f t="shared" si="628"/>
        <v>411.70999999999998</v>
      </c>
      <c r="G4721" s="21">
        <f t="shared" si="628"/>
        <v>411.70999999999998</v>
      </c>
      <c r="H4721" s="21">
        <f t="shared" si="628"/>
        <v>411.70999999999998</v>
      </c>
      <c r="I4721" s="24" t="str">
        <f t="shared" si="629"/>
        <v xml:space="preserve">COM VALOR</v>
      </c>
      <c r="L4721" s="36">
        <v>411.70999999999998</v>
      </c>
      <c r="M4721" s="37">
        <v>411.70999999999998</v>
      </c>
      <c r="N4721" s="36">
        <v>411.70999999999998</v>
      </c>
    </row>
    <row r="4722" ht="12.75">
      <c r="A4722" s="19" t="s">
        <v>10460</v>
      </c>
      <c r="B4722" s="19">
        <v>36316</v>
      </c>
      <c r="C4722" s="20" t="s">
        <v>15190</v>
      </c>
      <c r="D4722" s="19" t="s">
        <v>31</v>
      </c>
      <c r="E4722" s="19" t="s">
        <v>10459</v>
      </c>
      <c r="F4722" s="21" t="str">
        <f t="shared" si="628"/>
        <v>VERIFICAR</v>
      </c>
      <c r="G4722" s="21" t="str">
        <f t="shared" si="628"/>
        <v>VERIFICAR</v>
      </c>
      <c r="H4722" s="21" t="str">
        <f t="shared" si="628"/>
        <v>VERIFICAR</v>
      </c>
      <c r="I4722" s="24" t="str">
        <f t="shared" si="629"/>
        <v xml:space="preserve">SEM VALOR</v>
      </c>
      <c r="L4722" s="36"/>
      <c r="M4722" s="37"/>
      <c r="N4722" s="36"/>
    </row>
    <row r="4723" ht="12.75">
      <c r="A4723" s="19" t="s">
        <v>10460</v>
      </c>
      <c r="B4723" s="19">
        <v>36313</v>
      </c>
      <c r="C4723" s="20" t="s">
        <v>15191</v>
      </c>
      <c r="D4723" s="19" t="s">
        <v>31</v>
      </c>
      <c r="E4723" s="19" t="s">
        <v>10459</v>
      </c>
      <c r="F4723" s="21" t="str">
        <f t="shared" si="628"/>
        <v>VERIFICAR</v>
      </c>
      <c r="G4723" s="21" t="str">
        <f t="shared" si="628"/>
        <v>VERIFICAR</v>
      </c>
      <c r="H4723" s="21" t="str">
        <f t="shared" si="628"/>
        <v>VERIFICAR</v>
      </c>
      <c r="I4723" s="24" t="str">
        <f t="shared" si="629"/>
        <v xml:space="preserve">SEM VALOR</v>
      </c>
      <c r="L4723" s="36"/>
      <c r="M4723" s="37"/>
      <c r="N4723" s="36"/>
    </row>
    <row r="4724" ht="25.5">
      <c r="A4724" s="19" t="s">
        <v>10460</v>
      </c>
      <c r="B4724" s="19">
        <v>64</v>
      </c>
      <c r="C4724" s="20" t="s">
        <v>15192</v>
      </c>
      <c r="D4724" s="19" t="s">
        <v>31</v>
      </c>
      <c r="E4724" s="19" t="s">
        <v>10459</v>
      </c>
      <c r="F4724" s="21" t="str">
        <f t="shared" si="628"/>
        <v>VERIFICAR</v>
      </c>
      <c r="G4724" s="21" t="str">
        <f t="shared" si="628"/>
        <v>VERIFICAR</v>
      </c>
      <c r="H4724" s="21" t="str">
        <f t="shared" si="628"/>
        <v>VERIFICAR</v>
      </c>
      <c r="I4724" s="24" t="str">
        <f t="shared" si="629"/>
        <v xml:space="preserve">SEM VALOR</v>
      </c>
      <c r="J4724" s="38"/>
      <c r="L4724" s="36"/>
      <c r="M4724" s="37"/>
      <c r="N4724" s="36"/>
    </row>
    <row r="4725" ht="25.5">
      <c r="A4725" s="19" t="s">
        <v>10460</v>
      </c>
      <c r="B4725" s="19">
        <v>37423</v>
      </c>
      <c r="C4725" s="20" t="s">
        <v>15193</v>
      </c>
      <c r="D4725" s="19" t="s">
        <v>31</v>
      </c>
      <c r="E4725" s="19" t="s">
        <v>10459</v>
      </c>
      <c r="F4725" s="21" t="str">
        <f t="shared" si="628"/>
        <v>VERIFICAR</v>
      </c>
      <c r="G4725" s="21" t="str">
        <f t="shared" si="628"/>
        <v>VERIFICAR</v>
      </c>
      <c r="H4725" s="21" t="str">
        <f t="shared" si="628"/>
        <v>VERIFICAR</v>
      </c>
      <c r="I4725" s="24" t="str">
        <f t="shared" si="629"/>
        <v xml:space="preserve">SEM VALOR</v>
      </c>
      <c r="L4725" s="36"/>
      <c r="M4725" s="37"/>
      <c r="N4725" s="36"/>
    </row>
    <row r="4726" ht="12.75">
      <c r="A4726" s="19" t="s">
        <v>10460</v>
      </c>
      <c r="B4726" s="19">
        <v>9892</v>
      </c>
      <c r="C4726" s="20" t="s">
        <v>15194</v>
      </c>
      <c r="D4726" s="19" t="s">
        <v>31</v>
      </c>
      <c r="E4726" s="19" t="s">
        <v>10459</v>
      </c>
      <c r="F4726" s="21">
        <f t="shared" si="628"/>
        <v>7.0300000000000002</v>
      </c>
      <c r="G4726" s="21">
        <f t="shared" si="628"/>
        <v>7.0300000000000002</v>
      </c>
      <c r="H4726" s="21">
        <f t="shared" si="628"/>
        <v>7.0300000000000002</v>
      </c>
      <c r="I4726" s="24" t="str">
        <f t="shared" si="629"/>
        <v xml:space="preserve">COM VALOR</v>
      </c>
      <c r="L4726" s="36">
        <v>7.0300000000000002</v>
      </c>
      <c r="M4726" s="37">
        <v>7.0300000000000002</v>
      </c>
      <c r="N4726" s="36">
        <v>7.0300000000000002</v>
      </c>
    </row>
    <row r="4727" ht="12.75">
      <c r="A4727" s="19" t="s">
        <v>10460</v>
      </c>
      <c r="B4727" s="19">
        <v>9901</v>
      </c>
      <c r="C4727" s="20" t="s">
        <v>15195</v>
      </c>
      <c r="D4727" s="19" t="s">
        <v>31</v>
      </c>
      <c r="E4727" s="19" t="s">
        <v>10459</v>
      </c>
      <c r="F4727" s="21">
        <f t="shared" si="628"/>
        <v>34</v>
      </c>
      <c r="G4727" s="21">
        <f t="shared" si="628"/>
        <v>34</v>
      </c>
      <c r="H4727" s="21">
        <f t="shared" si="628"/>
        <v>34</v>
      </c>
      <c r="I4727" s="24" t="str">
        <f t="shared" si="629"/>
        <v xml:space="preserve">COM VALOR</v>
      </c>
      <c r="L4727" s="36">
        <v>34</v>
      </c>
      <c r="M4727" s="37">
        <v>34</v>
      </c>
      <c r="N4727" s="36">
        <v>34</v>
      </c>
    </row>
    <row r="4728" ht="12.75">
      <c r="A4728" s="19" t="s">
        <v>10460</v>
      </c>
      <c r="B4728" s="19">
        <v>9900</v>
      </c>
      <c r="C4728" s="20" t="s">
        <v>15196</v>
      </c>
      <c r="D4728" s="19" t="s">
        <v>31</v>
      </c>
      <c r="E4728" s="19" t="s">
        <v>10459</v>
      </c>
      <c r="F4728" s="21">
        <f t="shared" si="628"/>
        <v>19.699999999999999</v>
      </c>
      <c r="G4728" s="21">
        <f t="shared" si="628"/>
        <v>19.699999999999999</v>
      </c>
      <c r="H4728" s="21">
        <f t="shared" si="628"/>
        <v>19.699999999999999</v>
      </c>
      <c r="I4728" s="24" t="str">
        <f t="shared" si="629"/>
        <v xml:space="preserve">COM VALOR</v>
      </c>
      <c r="L4728" s="36">
        <v>19.699999999999999</v>
      </c>
      <c r="M4728" s="37">
        <v>19.699999999999999</v>
      </c>
      <c r="N4728" s="36">
        <v>19.699999999999999</v>
      </c>
    </row>
    <row r="4729" ht="12.75">
      <c r="A4729" s="19" t="s">
        <v>10460</v>
      </c>
      <c r="B4729" s="19">
        <v>9899</v>
      </c>
      <c r="C4729" s="20" t="s">
        <v>15197</v>
      </c>
      <c r="D4729" s="19" t="s">
        <v>31</v>
      </c>
      <c r="E4729" s="19" t="s">
        <v>10459</v>
      </c>
      <c r="F4729" s="21">
        <f t="shared" si="628"/>
        <v>8.8300000000000001</v>
      </c>
      <c r="G4729" s="21">
        <f t="shared" si="628"/>
        <v>8.8300000000000001</v>
      </c>
      <c r="H4729" s="21">
        <f t="shared" si="628"/>
        <v>8.8300000000000001</v>
      </c>
      <c r="I4729" s="24" t="str">
        <f t="shared" si="629"/>
        <v xml:space="preserve">COM VALOR</v>
      </c>
      <c r="L4729" s="36">
        <v>8.8300000000000001</v>
      </c>
      <c r="M4729" s="37">
        <v>8.8300000000000001</v>
      </c>
      <c r="N4729" s="36">
        <v>8.8300000000000001</v>
      </c>
    </row>
    <row r="4730" ht="12.75">
      <c r="A4730" s="19" t="s">
        <v>10460</v>
      </c>
      <c r="B4730" s="19">
        <v>9908</v>
      </c>
      <c r="C4730" s="20" t="s">
        <v>15198</v>
      </c>
      <c r="D4730" s="19" t="s">
        <v>31</v>
      </c>
      <c r="E4730" s="19" t="s">
        <v>10459</v>
      </c>
      <c r="F4730" s="21">
        <f t="shared" si="628"/>
        <v>397.12</v>
      </c>
      <c r="G4730" s="21">
        <f t="shared" si="628"/>
        <v>397.12</v>
      </c>
      <c r="H4730" s="21">
        <f t="shared" si="628"/>
        <v>397.12</v>
      </c>
      <c r="I4730" s="24" t="str">
        <f t="shared" si="629"/>
        <v xml:space="preserve">COM VALOR</v>
      </c>
      <c r="L4730" s="36">
        <v>397.12</v>
      </c>
      <c r="M4730" s="37">
        <v>397.12</v>
      </c>
      <c r="N4730" s="36">
        <v>397.12</v>
      </c>
    </row>
    <row r="4731" ht="12.75">
      <c r="A4731" s="19" t="s">
        <v>10460</v>
      </c>
      <c r="B4731" s="19">
        <v>9905</v>
      </c>
      <c r="C4731" s="20" t="s">
        <v>15199</v>
      </c>
      <c r="D4731" s="19" t="s">
        <v>31</v>
      </c>
      <c r="E4731" s="19" t="s">
        <v>10459</v>
      </c>
      <c r="F4731" s="21">
        <f t="shared" si="628"/>
        <v>6.9100000000000001</v>
      </c>
      <c r="G4731" s="21">
        <f t="shared" si="628"/>
        <v>6.9100000000000001</v>
      </c>
      <c r="H4731" s="21">
        <f t="shared" si="628"/>
        <v>6.9100000000000001</v>
      </c>
      <c r="I4731" s="24" t="str">
        <f t="shared" si="629"/>
        <v xml:space="preserve">COM VALOR</v>
      </c>
      <c r="L4731" s="36">
        <v>6.9100000000000001</v>
      </c>
      <c r="M4731" s="37">
        <v>6.9100000000000001</v>
      </c>
      <c r="N4731" s="36">
        <v>6.9100000000000001</v>
      </c>
    </row>
    <row r="4732" ht="12.75">
      <c r="A4732" s="19" t="s">
        <v>10460</v>
      </c>
      <c r="B4732" s="19">
        <v>9906</v>
      </c>
      <c r="C4732" s="20" t="s">
        <v>15200</v>
      </c>
      <c r="D4732" s="19" t="s">
        <v>31</v>
      </c>
      <c r="E4732" s="19" t="s">
        <v>10459</v>
      </c>
      <c r="F4732" s="21">
        <f t="shared" si="628"/>
        <v>8.3300000000000001</v>
      </c>
      <c r="G4732" s="21">
        <f t="shared" si="628"/>
        <v>8.3300000000000001</v>
      </c>
      <c r="H4732" s="21">
        <f t="shared" si="628"/>
        <v>8.3300000000000001</v>
      </c>
      <c r="I4732" s="24" t="str">
        <f t="shared" si="629"/>
        <v xml:space="preserve">COM VALOR</v>
      </c>
      <c r="L4732" s="36">
        <v>8.3300000000000001</v>
      </c>
      <c r="M4732" s="37">
        <v>8.3300000000000001</v>
      </c>
      <c r="N4732" s="36">
        <v>8.3300000000000001</v>
      </c>
    </row>
    <row r="4733" ht="12.75">
      <c r="A4733" s="19" t="s">
        <v>10460</v>
      </c>
      <c r="B4733" s="19">
        <v>9895</v>
      </c>
      <c r="C4733" s="20" t="s">
        <v>15201</v>
      </c>
      <c r="D4733" s="19" t="s">
        <v>31</v>
      </c>
      <c r="E4733" s="19" t="s">
        <v>10459</v>
      </c>
      <c r="F4733" s="21">
        <f t="shared" si="628"/>
        <v>14.029999999999999</v>
      </c>
      <c r="G4733" s="21">
        <f t="shared" si="628"/>
        <v>14.029999999999999</v>
      </c>
      <c r="H4733" s="21">
        <f t="shared" si="628"/>
        <v>14.029999999999999</v>
      </c>
      <c r="I4733" s="24" t="str">
        <f t="shared" si="629"/>
        <v xml:space="preserve">COM VALOR</v>
      </c>
      <c r="L4733" s="36">
        <v>14.029999999999999</v>
      </c>
      <c r="M4733" s="37">
        <v>14.029999999999999</v>
      </c>
      <c r="N4733" s="36">
        <v>14.029999999999999</v>
      </c>
    </row>
    <row r="4734" ht="12.75">
      <c r="A4734" s="19" t="s">
        <v>10460</v>
      </c>
      <c r="B4734" s="19">
        <v>9894</v>
      </c>
      <c r="C4734" s="20" t="s">
        <v>15202</v>
      </c>
      <c r="D4734" s="19" t="s">
        <v>31</v>
      </c>
      <c r="E4734" s="19" t="s">
        <v>10459</v>
      </c>
      <c r="F4734" s="21">
        <f t="shared" si="628"/>
        <v>26.98</v>
      </c>
      <c r="G4734" s="21">
        <f t="shared" si="628"/>
        <v>26.98</v>
      </c>
      <c r="H4734" s="21">
        <f t="shared" si="628"/>
        <v>26.98</v>
      </c>
      <c r="I4734" s="24" t="str">
        <f t="shared" si="629"/>
        <v xml:space="preserve">COM VALOR</v>
      </c>
      <c r="L4734" s="36">
        <v>26.98</v>
      </c>
      <c r="M4734" s="37">
        <v>26.98</v>
      </c>
      <c r="N4734" s="36">
        <v>26.98</v>
      </c>
    </row>
    <row r="4735" ht="12.75">
      <c r="A4735" s="19" t="s">
        <v>10460</v>
      </c>
      <c r="B4735" s="19">
        <v>9897</v>
      </c>
      <c r="C4735" s="20" t="s">
        <v>15203</v>
      </c>
      <c r="D4735" s="19" t="s">
        <v>31</v>
      </c>
      <c r="E4735" s="19" t="s">
        <v>10459</v>
      </c>
      <c r="F4735" s="21">
        <f t="shared" si="628"/>
        <v>28.809999999999999</v>
      </c>
      <c r="G4735" s="21">
        <f t="shared" si="628"/>
        <v>28.809999999999999</v>
      </c>
      <c r="H4735" s="21">
        <f t="shared" si="628"/>
        <v>28.809999999999999</v>
      </c>
      <c r="I4735" s="24" t="str">
        <f t="shared" si="629"/>
        <v xml:space="preserve">COM VALOR</v>
      </c>
      <c r="L4735" s="36">
        <v>28.809999999999999</v>
      </c>
      <c r="M4735" s="37">
        <v>28.809999999999999</v>
      </c>
      <c r="N4735" s="36">
        <v>28.809999999999999</v>
      </c>
    </row>
    <row r="4736" ht="12.75">
      <c r="A4736" s="19" t="s">
        <v>10460</v>
      </c>
      <c r="B4736" s="19">
        <v>9910</v>
      </c>
      <c r="C4736" s="20" t="s">
        <v>15204</v>
      </c>
      <c r="D4736" s="19" t="s">
        <v>31</v>
      </c>
      <c r="E4736" s="19" t="s">
        <v>10459</v>
      </c>
      <c r="F4736" s="21">
        <f t="shared" si="628"/>
        <v>74.959999999999994</v>
      </c>
      <c r="G4736" s="21">
        <f t="shared" si="628"/>
        <v>74.959999999999994</v>
      </c>
      <c r="H4736" s="21">
        <f t="shared" si="628"/>
        <v>74.959999999999994</v>
      </c>
      <c r="I4736" s="24" t="str">
        <f t="shared" si="629"/>
        <v xml:space="preserve">COM VALOR</v>
      </c>
      <c r="L4736" s="36">
        <v>74.959999999999994</v>
      </c>
      <c r="M4736" s="37">
        <v>74.959999999999994</v>
      </c>
      <c r="N4736" s="36">
        <v>74.959999999999994</v>
      </c>
    </row>
    <row r="4737" ht="12.75">
      <c r="A4737" s="19" t="s">
        <v>10460</v>
      </c>
      <c r="B4737" s="19">
        <v>9909</v>
      </c>
      <c r="C4737" s="20" t="s">
        <v>15205</v>
      </c>
      <c r="D4737" s="19" t="s">
        <v>31</v>
      </c>
      <c r="E4737" s="19" t="s">
        <v>10459</v>
      </c>
      <c r="F4737" s="21">
        <f t="shared" si="628"/>
        <v>152.66</v>
      </c>
      <c r="G4737" s="21">
        <f t="shared" si="628"/>
        <v>152.66</v>
      </c>
      <c r="H4737" s="21">
        <f t="shared" si="628"/>
        <v>152.66</v>
      </c>
      <c r="I4737" s="24" t="str">
        <f t="shared" si="629"/>
        <v xml:space="preserve">COM VALOR</v>
      </c>
      <c r="L4737" s="36">
        <v>152.66</v>
      </c>
      <c r="M4737" s="37">
        <v>152.66</v>
      </c>
      <c r="N4737" s="36">
        <v>152.66</v>
      </c>
    </row>
    <row r="4738" ht="12.75">
      <c r="A4738" s="19" t="s">
        <v>10460</v>
      </c>
      <c r="B4738" s="19">
        <v>9907</v>
      </c>
      <c r="C4738" s="20" t="s">
        <v>15206</v>
      </c>
      <c r="D4738" s="19" t="s">
        <v>31</v>
      </c>
      <c r="E4738" s="19" t="s">
        <v>10459</v>
      </c>
      <c r="F4738" s="21">
        <f t="shared" si="628"/>
        <v>180.25</v>
      </c>
      <c r="G4738" s="21">
        <f t="shared" si="628"/>
        <v>180.25</v>
      </c>
      <c r="H4738" s="21">
        <f t="shared" si="628"/>
        <v>180.25</v>
      </c>
      <c r="I4738" s="24" t="str">
        <f t="shared" si="629"/>
        <v xml:space="preserve">COM VALOR</v>
      </c>
      <c r="L4738" s="36">
        <v>180.25</v>
      </c>
      <c r="M4738" s="37">
        <v>180.25</v>
      </c>
      <c r="N4738" s="36">
        <v>180.25</v>
      </c>
    </row>
    <row r="4739" ht="38.25">
      <c r="A4739" s="19" t="s">
        <v>10460</v>
      </c>
      <c r="B4739" s="19">
        <v>20973</v>
      </c>
      <c r="C4739" s="20" t="s">
        <v>15207</v>
      </c>
      <c r="D4739" s="19" t="s">
        <v>31</v>
      </c>
      <c r="E4739" s="19" t="s">
        <v>10459</v>
      </c>
      <c r="F4739" s="21">
        <f t="shared" si="628"/>
        <v>110.23</v>
      </c>
      <c r="G4739" s="21">
        <f t="shared" si="628"/>
        <v>110.23</v>
      </c>
      <c r="H4739" s="21">
        <f t="shared" si="628"/>
        <v>110.23</v>
      </c>
      <c r="I4739" s="24" t="str">
        <f t="shared" si="629"/>
        <v xml:space="preserve">COM VALOR</v>
      </c>
      <c r="L4739" s="36">
        <v>110.23</v>
      </c>
      <c r="M4739" s="37">
        <v>110.23</v>
      </c>
      <c r="N4739" s="36">
        <v>110.23</v>
      </c>
    </row>
    <row r="4740" ht="38.25">
      <c r="A4740" s="19" t="s">
        <v>10460</v>
      </c>
      <c r="B4740" s="19">
        <v>20974</v>
      </c>
      <c r="C4740" s="20" t="s">
        <v>15208</v>
      </c>
      <c r="D4740" s="19" t="s">
        <v>31</v>
      </c>
      <c r="E4740" s="19" t="s">
        <v>10459</v>
      </c>
      <c r="F4740" s="21">
        <f t="shared" si="628"/>
        <v>157.71000000000001</v>
      </c>
      <c r="G4740" s="21">
        <f t="shared" si="628"/>
        <v>157.71000000000001</v>
      </c>
      <c r="H4740" s="21">
        <f t="shared" si="628"/>
        <v>157.71000000000001</v>
      </c>
      <c r="I4740" s="24" t="str">
        <f t="shared" si="629"/>
        <v xml:space="preserve">COM VALOR</v>
      </c>
      <c r="L4740" s="36">
        <v>157.71000000000001</v>
      </c>
      <c r="M4740" s="37">
        <v>157.71000000000001</v>
      </c>
      <c r="N4740" s="36">
        <v>157.71000000000001</v>
      </c>
    </row>
    <row r="4741" ht="25.5">
      <c r="A4741" s="19" t="s">
        <v>10460</v>
      </c>
      <c r="B4741" s="19">
        <v>37989</v>
      </c>
      <c r="C4741" s="20" t="s">
        <v>15209</v>
      </c>
      <c r="D4741" s="19" t="s">
        <v>31</v>
      </c>
      <c r="E4741" s="19" t="s">
        <v>10459</v>
      </c>
      <c r="F4741" s="21">
        <f t="shared" si="628"/>
        <v>16.859999999999999</v>
      </c>
      <c r="G4741" s="21">
        <f t="shared" si="628"/>
        <v>16.859999999999999</v>
      </c>
      <c r="H4741" s="21">
        <f t="shared" si="628"/>
        <v>16.859999999999999</v>
      </c>
      <c r="I4741" s="24" t="str">
        <f t="shared" si="629"/>
        <v xml:space="preserve">COM VALOR</v>
      </c>
      <c r="L4741" s="36">
        <v>16.859999999999999</v>
      </c>
      <c r="M4741" s="37">
        <v>16.859999999999999</v>
      </c>
      <c r="N4741" s="36">
        <v>16.859999999999999</v>
      </c>
    </row>
    <row r="4742" ht="25.5">
      <c r="A4742" s="19" t="s">
        <v>10460</v>
      </c>
      <c r="B4742" s="19">
        <v>37990</v>
      </c>
      <c r="C4742" s="20" t="s">
        <v>15210</v>
      </c>
      <c r="D4742" s="19" t="s">
        <v>31</v>
      </c>
      <c r="E4742" s="19" t="s">
        <v>10459</v>
      </c>
      <c r="F4742" s="21">
        <f t="shared" si="628"/>
        <v>18.59</v>
      </c>
      <c r="G4742" s="21">
        <f t="shared" si="628"/>
        <v>18.59</v>
      </c>
      <c r="H4742" s="21">
        <f t="shared" si="628"/>
        <v>18.59</v>
      </c>
      <c r="I4742" s="24" t="str">
        <f t="shared" si="629"/>
        <v xml:space="preserve">COM VALOR</v>
      </c>
      <c r="L4742" s="36">
        <v>18.59</v>
      </c>
      <c r="M4742" s="37">
        <v>18.59</v>
      </c>
      <c r="N4742" s="36">
        <v>18.59</v>
      </c>
    </row>
    <row r="4743" ht="25.5">
      <c r="A4743" s="19" t="s">
        <v>10460</v>
      </c>
      <c r="B4743" s="19">
        <v>37991</v>
      </c>
      <c r="C4743" s="20" t="s">
        <v>15211</v>
      </c>
      <c r="D4743" s="19" t="s">
        <v>31</v>
      </c>
      <c r="E4743" s="19" t="s">
        <v>10459</v>
      </c>
      <c r="F4743" s="21">
        <f t="shared" si="628"/>
        <v>24.75</v>
      </c>
      <c r="G4743" s="21">
        <f t="shared" si="628"/>
        <v>24.75</v>
      </c>
      <c r="H4743" s="21">
        <f t="shared" si="628"/>
        <v>24.75</v>
      </c>
      <c r="I4743" s="24" t="str">
        <f t="shared" si="629"/>
        <v xml:space="preserve">COM VALOR</v>
      </c>
      <c r="L4743" s="36">
        <v>24.75</v>
      </c>
      <c r="M4743" s="37">
        <v>24.75</v>
      </c>
      <c r="N4743" s="36">
        <v>24.75</v>
      </c>
    </row>
    <row r="4744" ht="25.5">
      <c r="A4744" s="19" t="s">
        <v>10460</v>
      </c>
      <c r="B4744" s="19">
        <v>37992</v>
      </c>
      <c r="C4744" s="20" t="s">
        <v>15212</v>
      </c>
      <c r="D4744" s="19" t="s">
        <v>31</v>
      </c>
      <c r="E4744" s="19" t="s">
        <v>10459</v>
      </c>
      <c r="F4744" s="21">
        <f t="shared" si="628"/>
        <v>38.399999999999999</v>
      </c>
      <c r="G4744" s="21">
        <f t="shared" si="628"/>
        <v>38.399999999999999</v>
      </c>
      <c r="H4744" s="21">
        <f t="shared" si="628"/>
        <v>38.399999999999999</v>
      </c>
      <c r="I4744" s="24" t="str">
        <f t="shared" si="629"/>
        <v xml:space="preserve">COM VALOR</v>
      </c>
      <c r="L4744" s="36">
        <v>38.399999999999999</v>
      </c>
      <c r="M4744" s="37">
        <v>38.399999999999999</v>
      </c>
      <c r="N4744" s="36">
        <v>38.399999999999999</v>
      </c>
    </row>
    <row r="4745" ht="25.5">
      <c r="A4745" s="19" t="s">
        <v>10460</v>
      </c>
      <c r="B4745" s="19">
        <v>37993</v>
      </c>
      <c r="C4745" s="20" t="s">
        <v>15213</v>
      </c>
      <c r="D4745" s="19" t="s">
        <v>31</v>
      </c>
      <c r="E4745" s="19" t="s">
        <v>10459</v>
      </c>
      <c r="F4745" s="21">
        <f t="shared" si="628"/>
        <v>58.259999999999998</v>
      </c>
      <c r="G4745" s="21">
        <f t="shared" si="628"/>
        <v>58.259999999999998</v>
      </c>
      <c r="H4745" s="21">
        <f t="shared" si="628"/>
        <v>58.259999999999998</v>
      </c>
      <c r="I4745" s="24" t="str">
        <f t="shared" si="629"/>
        <v xml:space="preserve">COM VALOR</v>
      </c>
      <c r="L4745" s="36">
        <v>58.259999999999998</v>
      </c>
      <c r="M4745" s="37">
        <v>58.259999999999998</v>
      </c>
      <c r="N4745" s="36">
        <v>58.259999999999998</v>
      </c>
    </row>
    <row r="4746" ht="25.5">
      <c r="A4746" s="19" t="s">
        <v>10460</v>
      </c>
      <c r="B4746" s="19">
        <v>37994</v>
      </c>
      <c r="C4746" s="20" t="s">
        <v>15214</v>
      </c>
      <c r="D4746" s="19" t="s">
        <v>31</v>
      </c>
      <c r="E4746" s="19" t="s">
        <v>10459</v>
      </c>
      <c r="F4746" s="21">
        <f t="shared" si="628"/>
        <v>138.72999999999999</v>
      </c>
      <c r="G4746" s="21">
        <f t="shared" si="628"/>
        <v>138.72999999999999</v>
      </c>
      <c r="H4746" s="21">
        <f t="shared" si="628"/>
        <v>138.72999999999999</v>
      </c>
      <c r="I4746" s="24" t="str">
        <f t="shared" si="629"/>
        <v xml:space="preserve">COM VALOR</v>
      </c>
      <c r="L4746" s="36">
        <v>138.72999999999999</v>
      </c>
      <c r="M4746" s="37">
        <v>138.72999999999999</v>
      </c>
      <c r="N4746" s="36">
        <v>138.72999999999999</v>
      </c>
    </row>
    <row r="4747" ht="25.5">
      <c r="A4747" s="19" t="s">
        <v>10460</v>
      </c>
      <c r="B4747" s="19">
        <v>37995</v>
      </c>
      <c r="C4747" s="20" t="s">
        <v>15215</v>
      </c>
      <c r="D4747" s="19" t="s">
        <v>31</v>
      </c>
      <c r="E4747" s="19" t="s">
        <v>10459</v>
      </c>
      <c r="F4747" s="21">
        <f t="shared" ref="F4747:H4810" si="630">IF(L4747=0,"VERIFICAR",L4747)</f>
        <v>180.83000000000001</v>
      </c>
      <c r="G4747" s="21">
        <f t="shared" si="630"/>
        <v>180.83000000000001</v>
      </c>
      <c r="H4747" s="21">
        <f t="shared" si="630"/>
        <v>180.83000000000001</v>
      </c>
      <c r="I4747" s="24" t="str">
        <f t="shared" ref="I4747:I4810" si="631">IF(OR(L4747=0,M4747=0,N4747=0),"SEM VALOR","COM VALOR")</f>
        <v xml:space="preserve">COM VALOR</v>
      </c>
      <c r="L4747" s="36">
        <v>180.83000000000001</v>
      </c>
      <c r="M4747" s="37">
        <v>180.83000000000001</v>
      </c>
      <c r="N4747" s="36">
        <v>180.83000000000001</v>
      </c>
    </row>
    <row r="4748" ht="25.5">
      <c r="A4748" s="19" t="s">
        <v>10460</v>
      </c>
      <c r="B4748" s="19">
        <v>37996</v>
      </c>
      <c r="C4748" s="20" t="s">
        <v>15216</v>
      </c>
      <c r="D4748" s="19" t="s">
        <v>31</v>
      </c>
      <c r="E4748" s="19" t="s">
        <v>10459</v>
      </c>
      <c r="F4748" s="21">
        <f t="shared" si="630"/>
        <v>275.35000000000002</v>
      </c>
      <c r="G4748" s="21">
        <f t="shared" si="630"/>
        <v>275.35000000000002</v>
      </c>
      <c r="H4748" s="21">
        <f t="shared" si="630"/>
        <v>275.35000000000002</v>
      </c>
      <c r="I4748" s="24" t="str">
        <f t="shared" si="631"/>
        <v xml:space="preserve">COM VALOR</v>
      </c>
      <c r="L4748" s="36">
        <v>275.35000000000002</v>
      </c>
      <c r="M4748" s="37">
        <v>275.35000000000002</v>
      </c>
      <c r="N4748" s="36">
        <v>275.35000000000002</v>
      </c>
    </row>
    <row r="4749" ht="25.5">
      <c r="A4749" s="19" t="s">
        <v>10460</v>
      </c>
      <c r="B4749" s="19">
        <v>45267</v>
      </c>
      <c r="C4749" s="20" t="s">
        <v>15217</v>
      </c>
      <c r="D4749" s="19" t="s">
        <v>31</v>
      </c>
      <c r="E4749" s="19" t="s">
        <v>10459</v>
      </c>
      <c r="F4749" s="21">
        <f t="shared" si="630"/>
        <v>188.18000000000001</v>
      </c>
      <c r="G4749" s="21">
        <f t="shared" si="630"/>
        <v>188.18000000000001</v>
      </c>
      <c r="H4749" s="21">
        <f t="shared" si="630"/>
        <v>188.18000000000001</v>
      </c>
      <c r="I4749" s="24" t="str">
        <f t="shared" si="631"/>
        <v xml:space="preserve">COM VALOR</v>
      </c>
      <c r="L4749" s="36">
        <v>188.18000000000001</v>
      </c>
      <c r="M4749" s="37">
        <v>188.18000000000001</v>
      </c>
      <c r="N4749" s="36">
        <v>188.18000000000001</v>
      </c>
    </row>
    <row r="4750" ht="25.5">
      <c r="A4750" s="19" t="s">
        <v>10638</v>
      </c>
      <c r="B4750" s="19">
        <v>38604</v>
      </c>
      <c r="C4750" s="20" t="s">
        <v>15218</v>
      </c>
      <c r="D4750" s="19" t="s">
        <v>31</v>
      </c>
      <c r="E4750" s="19" t="s">
        <v>10459</v>
      </c>
      <c r="F4750" s="21" t="str">
        <f t="shared" si="630"/>
        <v>VERIFICAR</v>
      </c>
      <c r="G4750" s="21" t="str">
        <f t="shared" si="630"/>
        <v>VERIFICAR</v>
      </c>
      <c r="H4750" s="21" t="str">
        <f t="shared" si="630"/>
        <v>VERIFICAR</v>
      </c>
      <c r="I4750" s="24" t="str">
        <f t="shared" si="631"/>
        <v xml:space="preserve">SEM VALOR</v>
      </c>
      <c r="L4750" s="36"/>
      <c r="M4750" s="37"/>
      <c r="N4750" s="36"/>
    </row>
    <row r="4751" ht="38.25">
      <c r="A4751" s="19" t="s">
        <v>10638</v>
      </c>
      <c r="B4751" s="19">
        <v>10601</v>
      </c>
      <c r="C4751" s="20" t="s">
        <v>15219</v>
      </c>
      <c r="D4751" s="19" t="s">
        <v>31</v>
      </c>
      <c r="E4751" s="19" t="s">
        <v>10459</v>
      </c>
      <c r="F4751" s="21" t="str">
        <f t="shared" si="630"/>
        <v>VERIFICAR</v>
      </c>
      <c r="G4751" s="21" t="str">
        <f t="shared" si="630"/>
        <v>VERIFICAR</v>
      </c>
      <c r="H4751" s="21" t="str">
        <f t="shared" si="630"/>
        <v>VERIFICAR</v>
      </c>
      <c r="I4751" s="24" t="str">
        <f t="shared" si="631"/>
        <v xml:space="preserve">SEM VALOR</v>
      </c>
      <c r="L4751" s="36"/>
      <c r="M4751" s="37"/>
      <c r="N4751" s="36"/>
    </row>
    <row r="4752" ht="25.5">
      <c r="A4752" s="19" t="s">
        <v>10638</v>
      </c>
      <c r="B4752" s="19">
        <v>44469</v>
      </c>
      <c r="C4752" s="20" t="s">
        <v>15220</v>
      </c>
      <c r="D4752" s="19" t="s">
        <v>31</v>
      </c>
      <c r="E4752" s="19" t="s">
        <v>10459</v>
      </c>
      <c r="F4752" s="21" t="str">
        <f t="shared" si="630"/>
        <v>VERIFICAR</v>
      </c>
      <c r="G4752" s="21" t="str">
        <f t="shared" si="630"/>
        <v>VERIFICAR</v>
      </c>
      <c r="H4752" s="21" t="str">
        <f t="shared" si="630"/>
        <v>VERIFICAR</v>
      </c>
      <c r="I4752" s="24" t="str">
        <f t="shared" si="631"/>
        <v xml:space="preserve">SEM VALOR</v>
      </c>
      <c r="L4752" s="36"/>
      <c r="M4752" s="37"/>
      <c r="N4752" s="36"/>
    </row>
    <row r="4753" ht="25.5">
      <c r="A4753" s="19" t="s">
        <v>10638</v>
      </c>
      <c r="B4753" s="19">
        <v>9914</v>
      </c>
      <c r="C4753" s="20" t="s">
        <v>15221</v>
      </c>
      <c r="D4753" s="19" t="s">
        <v>31</v>
      </c>
      <c r="E4753" s="19" t="s">
        <v>10466</v>
      </c>
      <c r="F4753" s="21" t="str">
        <f t="shared" si="630"/>
        <v>VERIFICAR</v>
      </c>
      <c r="G4753" s="21" t="str">
        <f t="shared" si="630"/>
        <v>VERIFICAR</v>
      </c>
      <c r="H4753" s="21" t="str">
        <f t="shared" si="630"/>
        <v>VERIFICAR</v>
      </c>
      <c r="I4753" s="24" t="str">
        <f t="shared" si="631"/>
        <v xml:space="preserve">SEM VALOR</v>
      </c>
      <c r="L4753" s="36"/>
      <c r="M4753" s="37"/>
      <c r="N4753" s="36"/>
    </row>
    <row r="4754" ht="51">
      <c r="A4754" s="19" t="s">
        <v>10638</v>
      </c>
      <c r="B4754" s="19">
        <v>36485</v>
      </c>
      <c r="C4754" s="20" t="s">
        <v>15222</v>
      </c>
      <c r="D4754" s="19" t="s">
        <v>31</v>
      </c>
      <c r="E4754" s="19" t="s">
        <v>10459</v>
      </c>
      <c r="F4754" s="21" t="str">
        <f t="shared" si="630"/>
        <v>VERIFICAR</v>
      </c>
      <c r="G4754" s="21" t="str">
        <f t="shared" si="630"/>
        <v>VERIFICAR</v>
      </c>
      <c r="H4754" s="21" t="str">
        <f t="shared" si="630"/>
        <v>VERIFICAR</v>
      </c>
      <c r="I4754" s="24" t="str">
        <f t="shared" si="631"/>
        <v xml:space="preserve">SEM VALOR</v>
      </c>
      <c r="L4754" s="36"/>
      <c r="M4754" s="37"/>
      <c r="N4754" s="36"/>
    </row>
    <row r="4755" ht="25.5">
      <c r="A4755" s="19" t="s">
        <v>10638</v>
      </c>
      <c r="B4755" s="19">
        <v>9912</v>
      </c>
      <c r="C4755" s="20" t="s">
        <v>15223</v>
      </c>
      <c r="D4755" s="19" t="s">
        <v>31</v>
      </c>
      <c r="E4755" s="19" t="s">
        <v>10466</v>
      </c>
      <c r="F4755" s="21" t="str">
        <f t="shared" si="630"/>
        <v>VERIFICAR</v>
      </c>
      <c r="G4755" s="21" t="str">
        <f t="shared" si="630"/>
        <v>VERIFICAR</v>
      </c>
      <c r="H4755" s="21" t="str">
        <f t="shared" si="630"/>
        <v>VERIFICAR</v>
      </c>
      <c r="I4755" s="24" t="str">
        <f t="shared" si="631"/>
        <v xml:space="preserve">SEM VALOR</v>
      </c>
      <c r="L4755" s="36"/>
      <c r="M4755" s="37"/>
      <c r="N4755" s="36"/>
    </row>
    <row r="4756" ht="38.25">
      <c r="A4756" s="19" t="s">
        <v>10638</v>
      </c>
      <c r="B4756" s="19">
        <v>9921</v>
      </c>
      <c r="C4756" s="20" t="s">
        <v>15224</v>
      </c>
      <c r="D4756" s="19" t="s">
        <v>31</v>
      </c>
      <c r="E4756" s="19" t="s">
        <v>10459</v>
      </c>
      <c r="F4756" s="21" t="str">
        <f t="shared" si="630"/>
        <v>VERIFICAR</v>
      </c>
      <c r="G4756" s="21" t="str">
        <f t="shared" si="630"/>
        <v>VERIFICAR</v>
      </c>
      <c r="H4756" s="21" t="str">
        <f t="shared" si="630"/>
        <v>VERIFICAR</v>
      </c>
      <c r="I4756" s="24" t="str">
        <f t="shared" si="631"/>
        <v xml:space="preserve">SEM VALOR</v>
      </c>
      <c r="L4756" s="36"/>
      <c r="M4756" s="37"/>
      <c r="N4756" s="36"/>
    </row>
    <row r="4757" ht="38.25">
      <c r="A4757" s="19" t="s">
        <v>10460</v>
      </c>
      <c r="B4757" s="19">
        <v>21112</v>
      </c>
      <c r="C4757" s="20" t="s">
        <v>15225</v>
      </c>
      <c r="D4757" s="19" t="s">
        <v>31</v>
      </c>
      <c r="E4757" s="19" t="s">
        <v>10459</v>
      </c>
      <c r="F4757" s="21">
        <f t="shared" si="630"/>
        <v>184.55000000000001</v>
      </c>
      <c r="G4757" s="21">
        <f t="shared" si="630"/>
        <v>184.55000000000001</v>
      </c>
      <c r="H4757" s="21">
        <f t="shared" si="630"/>
        <v>184.55000000000001</v>
      </c>
      <c r="I4757" s="24" t="str">
        <f t="shared" si="631"/>
        <v xml:space="preserve">COM VALOR</v>
      </c>
      <c r="L4757" s="36">
        <v>184.55000000000001</v>
      </c>
      <c r="M4757" s="37">
        <v>184.55000000000001</v>
      </c>
      <c r="N4757" s="36">
        <v>184.55000000000001</v>
      </c>
    </row>
    <row r="4758" ht="25.5">
      <c r="A4758" s="19" t="s">
        <v>10460</v>
      </c>
      <c r="B4758" s="19">
        <v>10228</v>
      </c>
      <c r="C4758" s="20" t="s">
        <v>15226</v>
      </c>
      <c r="D4758" s="19" t="s">
        <v>31</v>
      </c>
      <c r="E4758" s="19" t="s">
        <v>10466</v>
      </c>
      <c r="F4758" s="21">
        <f t="shared" si="630"/>
        <v>214.38999999999999</v>
      </c>
      <c r="G4758" s="21">
        <f t="shared" si="630"/>
        <v>214.38999999999999</v>
      </c>
      <c r="H4758" s="21">
        <f t="shared" si="630"/>
        <v>214.38999999999999</v>
      </c>
      <c r="I4758" s="24" t="str">
        <f t="shared" si="631"/>
        <v xml:space="preserve">COM VALOR</v>
      </c>
      <c r="L4758" s="36">
        <v>214.38999999999999</v>
      </c>
      <c r="M4758" s="37">
        <v>214.38999999999999</v>
      </c>
      <c r="N4758" s="36">
        <v>214.38999999999999</v>
      </c>
    </row>
    <row r="4759" ht="25.5">
      <c r="A4759" s="19" t="s">
        <v>10460</v>
      </c>
      <c r="B4759" s="19">
        <v>11781</v>
      </c>
      <c r="C4759" s="20" t="s">
        <v>15227</v>
      </c>
      <c r="D4759" s="19" t="s">
        <v>31</v>
      </c>
      <c r="E4759" s="19" t="s">
        <v>10459</v>
      </c>
      <c r="F4759" s="21">
        <f t="shared" si="630"/>
        <v>173.68000000000001</v>
      </c>
      <c r="G4759" s="21">
        <f t="shared" si="630"/>
        <v>173.68000000000001</v>
      </c>
      <c r="H4759" s="21">
        <f t="shared" si="630"/>
        <v>173.68000000000001</v>
      </c>
      <c r="I4759" s="24" t="str">
        <f t="shared" si="631"/>
        <v xml:space="preserve">COM VALOR</v>
      </c>
      <c r="L4759" s="36">
        <v>173.68000000000001</v>
      </c>
      <c r="M4759" s="37">
        <v>173.68000000000001</v>
      </c>
      <c r="N4759" s="36">
        <v>173.68000000000001</v>
      </c>
    </row>
    <row r="4760" ht="25.5">
      <c r="A4760" s="19" t="s">
        <v>10460</v>
      </c>
      <c r="B4760" s="19">
        <v>37588</v>
      </c>
      <c r="C4760" s="20" t="s">
        <v>15228</v>
      </c>
      <c r="D4760" s="19" t="s">
        <v>31</v>
      </c>
      <c r="E4760" s="19" t="s">
        <v>10459</v>
      </c>
      <c r="F4760" s="21">
        <f t="shared" si="630"/>
        <v>115.72</v>
      </c>
      <c r="G4760" s="21">
        <f t="shared" si="630"/>
        <v>115.72</v>
      </c>
      <c r="H4760" s="21">
        <f t="shared" si="630"/>
        <v>115.72</v>
      </c>
      <c r="I4760" s="24" t="str">
        <f t="shared" si="631"/>
        <v xml:space="preserve">COM VALOR</v>
      </c>
      <c r="L4760" s="36">
        <v>115.72</v>
      </c>
      <c r="M4760" s="37">
        <v>115.72</v>
      </c>
      <c r="N4760" s="36">
        <v>115.72</v>
      </c>
    </row>
    <row r="4761" ht="12.75">
      <c r="A4761" s="19" t="s">
        <v>10460</v>
      </c>
      <c r="B4761" s="19">
        <v>11751</v>
      </c>
      <c r="C4761" s="20" t="s">
        <v>15229</v>
      </c>
      <c r="D4761" s="19" t="s">
        <v>31</v>
      </c>
      <c r="E4761" s="19" t="s">
        <v>10459</v>
      </c>
      <c r="F4761" s="21">
        <f t="shared" si="630"/>
        <v>114.11</v>
      </c>
      <c r="G4761" s="21">
        <f t="shared" si="630"/>
        <v>114.11</v>
      </c>
      <c r="H4761" s="21">
        <f t="shared" si="630"/>
        <v>114.11</v>
      </c>
      <c r="I4761" s="24" t="str">
        <f t="shared" si="631"/>
        <v xml:space="preserve">COM VALOR</v>
      </c>
      <c r="L4761" s="36">
        <v>114.11</v>
      </c>
      <c r="M4761" s="37">
        <v>114.11</v>
      </c>
      <c r="N4761" s="36">
        <v>114.11</v>
      </c>
    </row>
    <row r="4762" ht="12.75">
      <c r="A4762" s="19" t="s">
        <v>10460</v>
      </c>
      <c r="B4762" s="19">
        <v>11750</v>
      </c>
      <c r="C4762" s="20" t="s">
        <v>15230</v>
      </c>
      <c r="D4762" s="19" t="s">
        <v>31</v>
      </c>
      <c r="E4762" s="19" t="s">
        <v>10459</v>
      </c>
      <c r="F4762" s="21">
        <f t="shared" si="630"/>
        <v>94.689999999999998</v>
      </c>
      <c r="G4762" s="21">
        <f t="shared" si="630"/>
        <v>94.689999999999998</v>
      </c>
      <c r="H4762" s="21">
        <f t="shared" si="630"/>
        <v>94.689999999999998</v>
      </c>
      <c r="I4762" s="24" t="str">
        <f t="shared" si="631"/>
        <v xml:space="preserve">COM VALOR</v>
      </c>
      <c r="L4762" s="36">
        <v>94.689999999999998</v>
      </c>
      <c r="M4762" s="37">
        <v>94.689999999999998</v>
      </c>
      <c r="N4762" s="36">
        <v>94.689999999999998</v>
      </c>
    </row>
    <row r="4763" ht="12.75">
      <c r="A4763" s="19" t="s">
        <v>10460</v>
      </c>
      <c r="B4763" s="19">
        <v>11746</v>
      </c>
      <c r="C4763" s="20" t="s">
        <v>15231</v>
      </c>
      <c r="D4763" s="19" t="s">
        <v>31</v>
      </c>
      <c r="E4763" s="19" t="s">
        <v>10459</v>
      </c>
      <c r="F4763" s="21">
        <f t="shared" si="630"/>
        <v>63.530000000000001</v>
      </c>
      <c r="G4763" s="21">
        <f t="shared" si="630"/>
        <v>63.530000000000001</v>
      </c>
      <c r="H4763" s="21">
        <f t="shared" si="630"/>
        <v>63.530000000000001</v>
      </c>
      <c r="I4763" s="24" t="str">
        <f t="shared" si="631"/>
        <v xml:space="preserve">COM VALOR</v>
      </c>
      <c r="L4763" s="36">
        <v>63.530000000000001</v>
      </c>
      <c r="M4763" s="37">
        <v>63.530000000000001</v>
      </c>
      <c r="N4763" s="36">
        <v>63.530000000000001</v>
      </c>
    </row>
    <row r="4764" ht="12.75">
      <c r="A4764" s="19" t="s">
        <v>10460</v>
      </c>
      <c r="B4764" s="19">
        <v>11748</v>
      </c>
      <c r="C4764" s="20" t="s">
        <v>15232</v>
      </c>
      <c r="D4764" s="19" t="s">
        <v>31</v>
      </c>
      <c r="E4764" s="19" t="s">
        <v>10459</v>
      </c>
      <c r="F4764" s="21">
        <f t="shared" si="630"/>
        <v>40.770000000000003</v>
      </c>
      <c r="G4764" s="21">
        <f t="shared" si="630"/>
        <v>40.770000000000003</v>
      </c>
      <c r="H4764" s="21">
        <f t="shared" si="630"/>
        <v>40.770000000000003</v>
      </c>
      <c r="I4764" s="24" t="str">
        <f t="shared" si="631"/>
        <v xml:space="preserve">COM VALOR</v>
      </c>
      <c r="L4764" s="36">
        <v>40.770000000000003</v>
      </c>
      <c r="M4764" s="37">
        <v>40.770000000000003</v>
      </c>
      <c r="N4764" s="36">
        <v>40.770000000000003</v>
      </c>
    </row>
    <row r="4765" ht="12.75">
      <c r="A4765" s="19" t="s">
        <v>10460</v>
      </c>
      <c r="B4765" s="19">
        <v>11747</v>
      </c>
      <c r="C4765" s="20" t="s">
        <v>15233</v>
      </c>
      <c r="D4765" s="19" t="s">
        <v>31</v>
      </c>
      <c r="E4765" s="19" t="s">
        <v>10459</v>
      </c>
      <c r="F4765" s="21">
        <f t="shared" si="630"/>
        <v>175.96000000000001</v>
      </c>
      <c r="G4765" s="21">
        <f t="shared" si="630"/>
        <v>175.96000000000001</v>
      </c>
      <c r="H4765" s="21">
        <f t="shared" si="630"/>
        <v>175.96000000000001</v>
      </c>
      <c r="I4765" s="24" t="str">
        <f t="shared" si="631"/>
        <v xml:space="preserve">COM VALOR</v>
      </c>
      <c r="L4765" s="36">
        <v>175.96000000000001</v>
      </c>
      <c r="M4765" s="37">
        <v>175.96000000000001</v>
      </c>
      <c r="N4765" s="36">
        <v>175.96000000000001</v>
      </c>
    </row>
    <row r="4766" ht="12.75">
      <c r="A4766" s="19" t="s">
        <v>10460</v>
      </c>
      <c r="B4766" s="19">
        <v>11749</v>
      </c>
      <c r="C4766" s="20" t="s">
        <v>15234</v>
      </c>
      <c r="D4766" s="19" t="s">
        <v>31</v>
      </c>
      <c r="E4766" s="19" t="s">
        <v>10459</v>
      </c>
      <c r="F4766" s="21">
        <f t="shared" si="630"/>
        <v>47.060000000000002</v>
      </c>
      <c r="G4766" s="21">
        <f t="shared" si="630"/>
        <v>47.060000000000002</v>
      </c>
      <c r="H4766" s="21">
        <f t="shared" si="630"/>
        <v>47.060000000000002</v>
      </c>
      <c r="I4766" s="24" t="str">
        <f t="shared" si="631"/>
        <v xml:space="preserve">COM VALOR</v>
      </c>
      <c r="L4766" s="36">
        <v>47.060000000000002</v>
      </c>
      <c r="M4766" s="37">
        <v>47.060000000000002</v>
      </c>
      <c r="N4766" s="36">
        <v>47.060000000000002</v>
      </c>
    </row>
    <row r="4767" ht="25.5">
      <c r="A4767" s="19" t="s">
        <v>10460</v>
      </c>
      <c r="B4767" s="19">
        <v>10236</v>
      </c>
      <c r="C4767" s="20" t="s">
        <v>15235</v>
      </c>
      <c r="D4767" s="19" t="s">
        <v>31</v>
      </c>
      <c r="E4767" s="19" t="s">
        <v>10459</v>
      </c>
      <c r="F4767" s="21" t="str">
        <f t="shared" si="630"/>
        <v>VERIFICAR</v>
      </c>
      <c r="G4767" s="21" t="str">
        <f t="shared" si="630"/>
        <v>VERIFICAR</v>
      </c>
      <c r="H4767" s="21" t="str">
        <f t="shared" si="630"/>
        <v>VERIFICAR</v>
      </c>
      <c r="I4767" s="24" t="str">
        <f t="shared" si="631"/>
        <v xml:space="preserve">SEM VALOR</v>
      </c>
      <c r="L4767" s="36"/>
      <c r="M4767" s="37"/>
      <c r="N4767" s="36"/>
    </row>
    <row r="4768" ht="25.5">
      <c r="A4768" s="19" t="s">
        <v>10460</v>
      </c>
      <c r="B4768" s="19">
        <v>10233</v>
      </c>
      <c r="C4768" s="20" t="s">
        <v>15236</v>
      </c>
      <c r="D4768" s="19" t="s">
        <v>31</v>
      </c>
      <c r="E4768" s="19" t="s">
        <v>10459</v>
      </c>
      <c r="F4768" s="21" t="str">
        <f t="shared" si="630"/>
        <v>VERIFICAR</v>
      </c>
      <c r="G4768" s="21" t="str">
        <f t="shared" si="630"/>
        <v>VERIFICAR</v>
      </c>
      <c r="H4768" s="21" t="str">
        <f t="shared" si="630"/>
        <v>VERIFICAR</v>
      </c>
      <c r="I4768" s="24" t="str">
        <f t="shared" si="631"/>
        <v xml:space="preserve">SEM VALOR</v>
      </c>
      <c r="L4768" s="36"/>
      <c r="M4768" s="37"/>
      <c r="N4768" s="36"/>
    </row>
    <row r="4769" ht="25.5">
      <c r="A4769" s="19" t="s">
        <v>10460</v>
      </c>
      <c r="B4769" s="19">
        <v>10234</v>
      </c>
      <c r="C4769" s="20" t="s">
        <v>15237</v>
      </c>
      <c r="D4769" s="19" t="s">
        <v>31</v>
      </c>
      <c r="E4769" s="19" t="s">
        <v>10459</v>
      </c>
      <c r="F4769" s="21" t="str">
        <f t="shared" si="630"/>
        <v>VERIFICAR</v>
      </c>
      <c r="G4769" s="21" t="str">
        <f t="shared" si="630"/>
        <v>VERIFICAR</v>
      </c>
      <c r="H4769" s="21" t="str">
        <f t="shared" si="630"/>
        <v>VERIFICAR</v>
      </c>
      <c r="I4769" s="24" t="str">
        <f t="shared" si="631"/>
        <v xml:space="preserve">SEM VALOR</v>
      </c>
      <c r="L4769" s="36"/>
      <c r="M4769" s="37"/>
      <c r="N4769" s="36"/>
    </row>
    <row r="4770" ht="25.5">
      <c r="A4770" s="19" t="s">
        <v>10460</v>
      </c>
      <c r="B4770" s="19">
        <v>10231</v>
      </c>
      <c r="C4770" s="20" t="s">
        <v>15238</v>
      </c>
      <c r="D4770" s="19" t="s">
        <v>31</v>
      </c>
      <c r="E4770" s="19" t="s">
        <v>10459</v>
      </c>
      <c r="F4770" s="21" t="str">
        <f t="shared" si="630"/>
        <v>VERIFICAR</v>
      </c>
      <c r="G4770" s="21" t="str">
        <f t="shared" si="630"/>
        <v>VERIFICAR</v>
      </c>
      <c r="H4770" s="21" t="str">
        <f t="shared" si="630"/>
        <v>VERIFICAR</v>
      </c>
      <c r="I4770" s="24" t="str">
        <f t="shared" si="631"/>
        <v xml:space="preserve">SEM VALOR</v>
      </c>
      <c r="L4770" s="36"/>
      <c r="M4770" s="37"/>
      <c r="N4770" s="36"/>
    </row>
    <row r="4771" ht="25.5">
      <c r="A4771" s="19" t="s">
        <v>10460</v>
      </c>
      <c r="B4771" s="19">
        <v>10232</v>
      </c>
      <c r="C4771" s="20" t="s">
        <v>15239</v>
      </c>
      <c r="D4771" s="19" t="s">
        <v>31</v>
      </c>
      <c r="E4771" s="19" t="s">
        <v>10459</v>
      </c>
      <c r="F4771" s="21" t="str">
        <f t="shared" si="630"/>
        <v>VERIFICAR</v>
      </c>
      <c r="G4771" s="21" t="str">
        <f t="shared" si="630"/>
        <v>VERIFICAR</v>
      </c>
      <c r="H4771" s="21" t="str">
        <f t="shared" si="630"/>
        <v>VERIFICAR</v>
      </c>
      <c r="I4771" s="24" t="str">
        <f t="shared" si="631"/>
        <v xml:space="preserve">SEM VALOR</v>
      </c>
      <c r="L4771" s="36"/>
      <c r="M4771" s="37"/>
      <c r="N4771" s="36"/>
    </row>
    <row r="4772" ht="25.5">
      <c r="A4772" s="19" t="s">
        <v>10460</v>
      </c>
      <c r="B4772" s="19">
        <v>10235</v>
      </c>
      <c r="C4772" s="20" t="s">
        <v>15240</v>
      </c>
      <c r="D4772" s="19" t="s">
        <v>31</v>
      </c>
      <c r="E4772" s="19" t="s">
        <v>10459</v>
      </c>
      <c r="F4772" s="21" t="str">
        <f t="shared" si="630"/>
        <v>VERIFICAR</v>
      </c>
      <c r="G4772" s="21" t="str">
        <f t="shared" si="630"/>
        <v>VERIFICAR</v>
      </c>
      <c r="H4772" s="21" t="str">
        <f t="shared" si="630"/>
        <v>VERIFICAR</v>
      </c>
      <c r="I4772" s="24" t="str">
        <f t="shared" si="631"/>
        <v xml:space="preserve">SEM VALOR</v>
      </c>
      <c r="L4772" s="36"/>
      <c r="M4772" s="37"/>
      <c r="N4772" s="36"/>
    </row>
    <row r="4773" ht="25.5">
      <c r="A4773" s="19" t="s">
        <v>10460</v>
      </c>
      <c r="B4773" s="19">
        <v>10229</v>
      </c>
      <c r="C4773" s="20" t="s">
        <v>15241</v>
      </c>
      <c r="D4773" s="19" t="s">
        <v>31</v>
      </c>
      <c r="E4773" s="19" t="s">
        <v>10466</v>
      </c>
      <c r="F4773" s="21" t="str">
        <f t="shared" si="630"/>
        <v>VERIFICAR</v>
      </c>
      <c r="G4773" s="21" t="str">
        <f t="shared" si="630"/>
        <v>VERIFICAR</v>
      </c>
      <c r="H4773" s="21" t="str">
        <f t="shared" si="630"/>
        <v>VERIFICAR</v>
      </c>
      <c r="I4773" s="24" t="str">
        <f t="shared" si="631"/>
        <v xml:space="preserve">SEM VALOR</v>
      </c>
      <c r="L4773" s="36"/>
      <c r="M4773" s="37"/>
      <c r="N4773" s="36"/>
    </row>
    <row r="4774" ht="25.5">
      <c r="A4774" s="19" t="s">
        <v>10460</v>
      </c>
      <c r="B4774" s="19">
        <v>10230</v>
      </c>
      <c r="C4774" s="20" t="s">
        <v>15242</v>
      </c>
      <c r="D4774" s="19" t="s">
        <v>31</v>
      </c>
      <c r="E4774" s="19" t="s">
        <v>10459</v>
      </c>
      <c r="F4774" s="21" t="str">
        <f t="shared" si="630"/>
        <v>VERIFICAR</v>
      </c>
      <c r="G4774" s="21" t="str">
        <f t="shared" si="630"/>
        <v>VERIFICAR</v>
      </c>
      <c r="H4774" s="21" t="str">
        <f t="shared" si="630"/>
        <v>VERIFICAR</v>
      </c>
      <c r="I4774" s="24" t="str">
        <f t="shared" si="631"/>
        <v xml:space="preserve">SEM VALOR</v>
      </c>
      <c r="L4774" s="36"/>
      <c r="M4774" s="37"/>
      <c r="N4774" s="36"/>
    </row>
    <row r="4775" ht="38.25">
      <c r="A4775" s="19" t="s">
        <v>10460</v>
      </c>
      <c r="B4775" s="19">
        <v>10409</v>
      </c>
      <c r="C4775" s="20" t="s">
        <v>15243</v>
      </c>
      <c r="D4775" s="19" t="s">
        <v>31</v>
      </c>
      <c r="E4775" s="19" t="s">
        <v>10459</v>
      </c>
      <c r="F4775" s="21" t="str">
        <f t="shared" si="630"/>
        <v>VERIFICAR</v>
      </c>
      <c r="G4775" s="21" t="str">
        <f t="shared" si="630"/>
        <v>VERIFICAR</v>
      </c>
      <c r="H4775" s="21" t="str">
        <f t="shared" si="630"/>
        <v>VERIFICAR</v>
      </c>
      <c r="I4775" s="24" t="str">
        <f t="shared" si="631"/>
        <v xml:space="preserve">SEM VALOR</v>
      </c>
      <c r="L4775" s="36"/>
      <c r="M4775" s="37"/>
      <c r="N4775" s="36"/>
    </row>
    <row r="4776" ht="38.25">
      <c r="A4776" s="19" t="s">
        <v>10460</v>
      </c>
      <c r="B4776" s="19">
        <v>10411</v>
      </c>
      <c r="C4776" s="20" t="s">
        <v>15244</v>
      </c>
      <c r="D4776" s="19" t="s">
        <v>31</v>
      </c>
      <c r="E4776" s="19" t="s">
        <v>10459</v>
      </c>
      <c r="F4776" s="21" t="str">
        <f t="shared" si="630"/>
        <v>VERIFICAR</v>
      </c>
      <c r="G4776" s="21" t="str">
        <f t="shared" si="630"/>
        <v>VERIFICAR</v>
      </c>
      <c r="H4776" s="21" t="str">
        <f t="shared" si="630"/>
        <v>VERIFICAR</v>
      </c>
      <c r="I4776" s="24" t="str">
        <f t="shared" si="631"/>
        <v xml:space="preserve">SEM VALOR</v>
      </c>
      <c r="L4776" s="36"/>
      <c r="M4776" s="37"/>
      <c r="N4776" s="36"/>
    </row>
    <row r="4777" ht="38.25">
      <c r="A4777" s="19" t="s">
        <v>10460</v>
      </c>
      <c r="B4777" s="19">
        <v>10410</v>
      </c>
      <c r="C4777" s="20" t="s">
        <v>15245</v>
      </c>
      <c r="D4777" s="19" t="s">
        <v>31</v>
      </c>
      <c r="E4777" s="19" t="s">
        <v>10459</v>
      </c>
      <c r="F4777" s="21" t="str">
        <f t="shared" si="630"/>
        <v>VERIFICAR</v>
      </c>
      <c r="G4777" s="21" t="str">
        <f t="shared" si="630"/>
        <v>VERIFICAR</v>
      </c>
      <c r="H4777" s="21" t="str">
        <f t="shared" si="630"/>
        <v>VERIFICAR</v>
      </c>
      <c r="I4777" s="24" t="str">
        <f t="shared" si="631"/>
        <v xml:space="preserve">SEM VALOR</v>
      </c>
      <c r="L4777" s="36"/>
      <c r="M4777" s="37"/>
      <c r="N4777" s="36"/>
    </row>
    <row r="4778" ht="38.25">
      <c r="A4778" s="19" t="s">
        <v>10460</v>
      </c>
      <c r="B4778" s="19">
        <v>10404</v>
      </c>
      <c r="C4778" s="20" t="s">
        <v>15246</v>
      </c>
      <c r="D4778" s="19" t="s">
        <v>31</v>
      </c>
      <c r="E4778" s="19" t="s">
        <v>10459</v>
      </c>
      <c r="F4778" s="21" t="str">
        <f t="shared" si="630"/>
        <v>VERIFICAR</v>
      </c>
      <c r="G4778" s="21" t="str">
        <f t="shared" si="630"/>
        <v>VERIFICAR</v>
      </c>
      <c r="H4778" s="21" t="str">
        <f t="shared" si="630"/>
        <v>VERIFICAR</v>
      </c>
      <c r="I4778" s="24" t="str">
        <f t="shared" si="631"/>
        <v xml:space="preserve">SEM VALOR</v>
      </c>
      <c r="L4778" s="36"/>
      <c r="M4778" s="37"/>
      <c r="N4778" s="36"/>
    </row>
    <row r="4779" ht="38.25">
      <c r="A4779" s="19" t="s">
        <v>10460</v>
      </c>
      <c r="B4779" s="19">
        <v>10405</v>
      </c>
      <c r="C4779" s="20" t="s">
        <v>15247</v>
      </c>
      <c r="D4779" s="19" t="s">
        <v>31</v>
      </c>
      <c r="E4779" s="19" t="s">
        <v>10459</v>
      </c>
      <c r="F4779" s="21" t="str">
        <f t="shared" si="630"/>
        <v>VERIFICAR</v>
      </c>
      <c r="G4779" s="21" t="str">
        <f t="shared" si="630"/>
        <v>VERIFICAR</v>
      </c>
      <c r="H4779" s="21" t="str">
        <f t="shared" si="630"/>
        <v>VERIFICAR</v>
      </c>
      <c r="I4779" s="24" t="str">
        <f t="shared" si="631"/>
        <v xml:space="preserve">SEM VALOR</v>
      </c>
      <c r="L4779" s="36"/>
      <c r="M4779" s="37"/>
      <c r="N4779" s="36"/>
    </row>
    <row r="4780" ht="38.25">
      <c r="A4780" s="19" t="s">
        <v>10460</v>
      </c>
      <c r="B4780" s="19">
        <v>10408</v>
      </c>
      <c r="C4780" s="20" t="s">
        <v>15248</v>
      </c>
      <c r="D4780" s="19" t="s">
        <v>31</v>
      </c>
      <c r="E4780" s="19" t="s">
        <v>10459</v>
      </c>
      <c r="F4780" s="21" t="str">
        <f t="shared" si="630"/>
        <v>VERIFICAR</v>
      </c>
      <c r="G4780" s="21" t="str">
        <f t="shared" si="630"/>
        <v>VERIFICAR</v>
      </c>
      <c r="H4780" s="21" t="str">
        <f t="shared" si="630"/>
        <v>VERIFICAR</v>
      </c>
      <c r="I4780" s="24" t="str">
        <f t="shared" si="631"/>
        <v xml:space="preserve">SEM VALOR</v>
      </c>
      <c r="L4780" s="36"/>
      <c r="M4780" s="37"/>
      <c r="N4780" s="36"/>
    </row>
    <row r="4781" ht="38.25">
      <c r="A4781" s="19" t="s">
        <v>10460</v>
      </c>
      <c r="B4781" s="19">
        <v>10406</v>
      </c>
      <c r="C4781" s="20" t="s">
        <v>15249</v>
      </c>
      <c r="D4781" s="19" t="s">
        <v>31</v>
      </c>
      <c r="E4781" s="19" t="s">
        <v>10459</v>
      </c>
      <c r="F4781" s="21" t="str">
        <f t="shared" si="630"/>
        <v>VERIFICAR</v>
      </c>
      <c r="G4781" s="21" t="str">
        <f t="shared" si="630"/>
        <v>VERIFICAR</v>
      </c>
      <c r="H4781" s="21" t="str">
        <f t="shared" si="630"/>
        <v>VERIFICAR</v>
      </c>
      <c r="I4781" s="24" t="str">
        <f t="shared" si="631"/>
        <v xml:space="preserve">SEM VALOR</v>
      </c>
      <c r="L4781" s="36"/>
      <c r="M4781" s="37"/>
      <c r="N4781" s="36"/>
    </row>
    <row r="4782" ht="38.25">
      <c r="A4782" s="19" t="s">
        <v>10460</v>
      </c>
      <c r="B4782" s="19">
        <v>10412</v>
      </c>
      <c r="C4782" s="20" t="s">
        <v>15250</v>
      </c>
      <c r="D4782" s="19" t="s">
        <v>31</v>
      </c>
      <c r="E4782" s="19" t="s">
        <v>10459</v>
      </c>
      <c r="F4782" s="21" t="str">
        <f t="shared" si="630"/>
        <v>VERIFICAR</v>
      </c>
      <c r="G4782" s="21" t="str">
        <f t="shared" si="630"/>
        <v>VERIFICAR</v>
      </c>
      <c r="H4782" s="21" t="str">
        <f t="shared" si="630"/>
        <v>VERIFICAR</v>
      </c>
      <c r="I4782" s="24" t="str">
        <f t="shared" si="631"/>
        <v xml:space="preserve">SEM VALOR</v>
      </c>
      <c r="L4782" s="36"/>
      <c r="M4782" s="37"/>
      <c r="N4782" s="36"/>
    </row>
    <row r="4783" ht="38.25">
      <c r="A4783" s="19" t="s">
        <v>10460</v>
      </c>
      <c r="B4783" s="19">
        <v>10407</v>
      </c>
      <c r="C4783" s="20" t="s">
        <v>15251</v>
      </c>
      <c r="D4783" s="19" t="s">
        <v>31</v>
      </c>
      <c r="E4783" s="19" t="s">
        <v>10459</v>
      </c>
      <c r="F4783" s="21" t="str">
        <f t="shared" si="630"/>
        <v>VERIFICAR</v>
      </c>
      <c r="G4783" s="21" t="str">
        <f t="shared" si="630"/>
        <v>VERIFICAR</v>
      </c>
      <c r="H4783" s="21" t="str">
        <f t="shared" si="630"/>
        <v>VERIFICAR</v>
      </c>
      <c r="I4783" s="24" t="str">
        <f t="shared" si="631"/>
        <v xml:space="preserve">SEM VALOR</v>
      </c>
      <c r="L4783" s="36"/>
      <c r="M4783" s="37"/>
      <c r="N4783" s="36"/>
    </row>
    <row r="4784" ht="25.5">
      <c r="A4784" s="19" t="s">
        <v>10460</v>
      </c>
      <c r="B4784" s="19">
        <v>10416</v>
      </c>
      <c r="C4784" s="20" t="s">
        <v>15252</v>
      </c>
      <c r="D4784" s="19" t="s">
        <v>31</v>
      </c>
      <c r="E4784" s="19" t="s">
        <v>10459</v>
      </c>
      <c r="F4784" s="21" t="str">
        <f t="shared" si="630"/>
        <v>VERIFICAR</v>
      </c>
      <c r="G4784" s="21" t="str">
        <f t="shared" si="630"/>
        <v>VERIFICAR</v>
      </c>
      <c r="H4784" s="21" t="str">
        <f t="shared" si="630"/>
        <v>VERIFICAR</v>
      </c>
      <c r="I4784" s="24" t="str">
        <f t="shared" si="631"/>
        <v xml:space="preserve">SEM VALOR</v>
      </c>
      <c r="L4784" s="36"/>
      <c r="M4784" s="37"/>
      <c r="N4784" s="36"/>
    </row>
    <row r="4785" ht="25.5">
      <c r="A4785" s="19" t="s">
        <v>10460</v>
      </c>
      <c r="B4785" s="19">
        <v>10419</v>
      </c>
      <c r="C4785" s="20" t="s">
        <v>15253</v>
      </c>
      <c r="D4785" s="19" t="s">
        <v>31</v>
      </c>
      <c r="E4785" s="19" t="s">
        <v>10459</v>
      </c>
      <c r="F4785" s="21" t="str">
        <f t="shared" si="630"/>
        <v>VERIFICAR</v>
      </c>
      <c r="G4785" s="21" t="str">
        <f t="shared" si="630"/>
        <v>VERIFICAR</v>
      </c>
      <c r="H4785" s="21" t="str">
        <f t="shared" si="630"/>
        <v>VERIFICAR</v>
      </c>
      <c r="I4785" s="24" t="str">
        <f t="shared" si="631"/>
        <v xml:space="preserve">SEM VALOR</v>
      </c>
      <c r="L4785" s="36"/>
      <c r="M4785" s="37"/>
      <c r="N4785" s="36"/>
    </row>
    <row r="4786" ht="25.5">
      <c r="A4786" s="19" t="s">
        <v>10460</v>
      </c>
      <c r="B4786" s="19">
        <v>10418</v>
      </c>
      <c r="C4786" s="20" t="s">
        <v>15254</v>
      </c>
      <c r="D4786" s="19" t="s">
        <v>31</v>
      </c>
      <c r="E4786" s="19" t="s">
        <v>10459</v>
      </c>
      <c r="F4786" s="21" t="str">
        <f t="shared" si="630"/>
        <v>VERIFICAR</v>
      </c>
      <c r="G4786" s="21" t="str">
        <f t="shared" si="630"/>
        <v>VERIFICAR</v>
      </c>
      <c r="H4786" s="21" t="str">
        <f t="shared" si="630"/>
        <v>VERIFICAR</v>
      </c>
      <c r="I4786" s="24" t="str">
        <f t="shared" si="631"/>
        <v xml:space="preserve">SEM VALOR</v>
      </c>
      <c r="L4786" s="36"/>
      <c r="M4786" s="37"/>
      <c r="N4786" s="36"/>
    </row>
    <row r="4787" ht="25.5">
      <c r="A4787" s="19" t="s">
        <v>10460</v>
      </c>
      <c r="B4787" s="19">
        <v>21092</v>
      </c>
      <c r="C4787" s="20" t="s">
        <v>15255</v>
      </c>
      <c r="D4787" s="19" t="s">
        <v>31</v>
      </c>
      <c r="E4787" s="19" t="s">
        <v>10459</v>
      </c>
      <c r="F4787" s="21" t="str">
        <f t="shared" si="630"/>
        <v>VERIFICAR</v>
      </c>
      <c r="G4787" s="21" t="str">
        <f t="shared" si="630"/>
        <v>VERIFICAR</v>
      </c>
      <c r="H4787" s="21" t="str">
        <f t="shared" si="630"/>
        <v>VERIFICAR</v>
      </c>
      <c r="I4787" s="24" t="str">
        <f t="shared" si="631"/>
        <v xml:space="preserve">SEM VALOR</v>
      </c>
      <c r="L4787" s="36"/>
      <c r="M4787" s="37"/>
      <c r="N4787" s="36"/>
    </row>
    <row r="4788" ht="25.5">
      <c r="A4788" s="19" t="s">
        <v>10460</v>
      </c>
      <c r="B4788" s="19">
        <v>12657</v>
      </c>
      <c r="C4788" s="20" t="s">
        <v>15256</v>
      </c>
      <c r="D4788" s="19" t="s">
        <v>31</v>
      </c>
      <c r="E4788" s="19" t="s">
        <v>10459</v>
      </c>
      <c r="F4788" s="21" t="str">
        <f t="shared" si="630"/>
        <v>VERIFICAR</v>
      </c>
      <c r="G4788" s="21" t="str">
        <f t="shared" si="630"/>
        <v>VERIFICAR</v>
      </c>
      <c r="H4788" s="21" t="str">
        <f t="shared" si="630"/>
        <v>VERIFICAR</v>
      </c>
      <c r="I4788" s="24" t="str">
        <f t="shared" si="631"/>
        <v xml:space="preserve">SEM VALOR</v>
      </c>
      <c r="L4788" s="36"/>
      <c r="M4788" s="37"/>
      <c r="N4788" s="36"/>
    </row>
    <row r="4789" ht="25.5">
      <c r="A4789" s="19" t="s">
        <v>10460</v>
      </c>
      <c r="B4789" s="19">
        <v>10417</v>
      </c>
      <c r="C4789" s="20" t="s">
        <v>15257</v>
      </c>
      <c r="D4789" s="19" t="s">
        <v>31</v>
      </c>
      <c r="E4789" s="19" t="s">
        <v>10459</v>
      </c>
      <c r="F4789" s="21" t="str">
        <f t="shared" si="630"/>
        <v>VERIFICAR</v>
      </c>
      <c r="G4789" s="21" t="str">
        <f t="shared" si="630"/>
        <v>VERIFICAR</v>
      </c>
      <c r="H4789" s="21" t="str">
        <f t="shared" si="630"/>
        <v>VERIFICAR</v>
      </c>
      <c r="I4789" s="24" t="str">
        <f t="shared" si="631"/>
        <v xml:space="preserve">SEM VALOR</v>
      </c>
      <c r="L4789" s="36"/>
      <c r="M4789" s="37"/>
      <c r="N4789" s="36"/>
    </row>
    <row r="4790" ht="25.5">
      <c r="A4790" s="19" t="s">
        <v>10460</v>
      </c>
      <c r="B4790" s="19">
        <v>10414</v>
      </c>
      <c r="C4790" s="20" t="s">
        <v>15258</v>
      </c>
      <c r="D4790" s="19" t="s">
        <v>31</v>
      </c>
      <c r="E4790" s="19" t="s">
        <v>10459</v>
      </c>
      <c r="F4790" s="21" t="str">
        <f t="shared" si="630"/>
        <v>VERIFICAR</v>
      </c>
      <c r="G4790" s="21" t="str">
        <f t="shared" si="630"/>
        <v>VERIFICAR</v>
      </c>
      <c r="H4790" s="21" t="str">
        <f t="shared" si="630"/>
        <v>VERIFICAR</v>
      </c>
      <c r="I4790" s="24" t="str">
        <f t="shared" si="631"/>
        <v xml:space="preserve">SEM VALOR</v>
      </c>
      <c r="L4790" s="36"/>
      <c r="M4790" s="37"/>
      <c r="N4790" s="36"/>
    </row>
    <row r="4791" ht="25.5">
      <c r="A4791" s="19" t="s">
        <v>10460</v>
      </c>
      <c r="B4791" s="19">
        <v>10413</v>
      </c>
      <c r="C4791" s="20" t="s">
        <v>15259</v>
      </c>
      <c r="D4791" s="19" t="s">
        <v>31</v>
      </c>
      <c r="E4791" s="19" t="s">
        <v>10459</v>
      </c>
      <c r="F4791" s="21" t="str">
        <f t="shared" si="630"/>
        <v>VERIFICAR</v>
      </c>
      <c r="G4791" s="21" t="str">
        <f t="shared" si="630"/>
        <v>VERIFICAR</v>
      </c>
      <c r="H4791" s="21" t="str">
        <f t="shared" si="630"/>
        <v>VERIFICAR</v>
      </c>
      <c r="I4791" s="24" t="str">
        <f t="shared" si="631"/>
        <v xml:space="preserve">SEM VALOR</v>
      </c>
      <c r="L4791" s="36"/>
      <c r="M4791" s="37"/>
      <c r="N4791" s="36"/>
    </row>
    <row r="4792" ht="25.5">
      <c r="A4792" s="19" t="s">
        <v>10460</v>
      </c>
      <c r="B4792" s="19">
        <v>10415</v>
      </c>
      <c r="C4792" s="20" t="s">
        <v>15260</v>
      </c>
      <c r="D4792" s="19" t="s">
        <v>31</v>
      </c>
      <c r="E4792" s="19" t="s">
        <v>10459</v>
      </c>
      <c r="F4792" s="21" t="str">
        <f t="shared" si="630"/>
        <v>VERIFICAR</v>
      </c>
      <c r="G4792" s="21" t="str">
        <f t="shared" si="630"/>
        <v>VERIFICAR</v>
      </c>
      <c r="H4792" s="21" t="str">
        <f t="shared" si="630"/>
        <v>VERIFICAR</v>
      </c>
      <c r="I4792" s="24" t="str">
        <f t="shared" si="631"/>
        <v xml:space="preserve">SEM VALOR</v>
      </c>
      <c r="L4792" s="36"/>
      <c r="M4792" s="37"/>
      <c r="N4792" s="36"/>
    </row>
    <row r="4793" ht="25.5">
      <c r="A4793" s="19" t="s">
        <v>10460</v>
      </c>
      <c r="B4793" s="19">
        <v>38643</v>
      </c>
      <c r="C4793" s="20" t="s">
        <v>15261</v>
      </c>
      <c r="D4793" s="19" t="s">
        <v>31</v>
      </c>
      <c r="E4793" s="19" t="s">
        <v>10459</v>
      </c>
      <c r="F4793" s="21">
        <f t="shared" si="630"/>
        <v>91.959999999999994</v>
      </c>
      <c r="G4793" s="21">
        <f t="shared" si="630"/>
        <v>91.959999999999994</v>
      </c>
      <c r="H4793" s="21">
        <f t="shared" si="630"/>
        <v>91.959999999999994</v>
      </c>
      <c r="I4793" s="24" t="str">
        <f t="shared" si="631"/>
        <v xml:space="preserve">COM VALOR</v>
      </c>
      <c r="L4793" s="36">
        <v>91.959999999999994</v>
      </c>
      <c r="M4793" s="37">
        <v>91.959999999999994</v>
      </c>
      <c r="N4793" s="36">
        <v>91.959999999999994</v>
      </c>
    </row>
    <row r="4794" ht="25.5">
      <c r="A4794" s="19" t="s">
        <v>10460</v>
      </c>
      <c r="B4794" s="19">
        <v>6157</v>
      </c>
      <c r="C4794" s="20" t="s">
        <v>15262</v>
      </c>
      <c r="D4794" s="19" t="s">
        <v>31</v>
      </c>
      <c r="E4794" s="19" t="s">
        <v>10459</v>
      </c>
      <c r="F4794" s="21">
        <f t="shared" si="630"/>
        <v>125.63</v>
      </c>
      <c r="G4794" s="21">
        <f t="shared" si="630"/>
        <v>125.63</v>
      </c>
      <c r="H4794" s="21">
        <f t="shared" si="630"/>
        <v>125.63</v>
      </c>
      <c r="I4794" s="24" t="str">
        <f t="shared" si="631"/>
        <v xml:space="preserve">COM VALOR</v>
      </c>
      <c r="L4794" s="36">
        <v>125.63</v>
      </c>
      <c r="M4794" s="37">
        <v>125.63</v>
      </c>
      <c r="N4794" s="36">
        <v>125.63</v>
      </c>
    </row>
    <row r="4795" ht="25.5">
      <c r="A4795" s="19" t="s">
        <v>10460</v>
      </c>
      <c r="B4795" s="19">
        <v>6158</v>
      </c>
      <c r="C4795" s="20" t="s">
        <v>15263</v>
      </c>
      <c r="D4795" s="19" t="s">
        <v>31</v>
      </c>
      <c r="E4795" s="19" t="s">
        <v>10459</v>
      </c>
      <c r="F4795" s="21">
        <f t="shared" si="630"/>
        <v>8.4700000000000006</v>
      </c>
      <c r="G4795" s="21">
        <f t="shared" si="630"/>
        <v>8.4700000000000006</v>
      </c>
      <c r="H4795" s="21">
        <f t="shared" si="630"/>
        <v>8.4700000000000006</v>
      </c>
      <c r="I4795" s="24" t="str">
        <f t="shared" si="631"/>
        <v xml:space="preserve">COM VALOR</v>
      </c>
      <c r="L4795" s="36">
        <v>8.4700000000000006</v>
      </c>
      <c r="M4795" s="37">
        <v>8.4700000000000006</v>
      </c>
      <c r="N4795" s="36">
        <v>8.4700000000000006</v>
      </c>
    </row>
    <row r="4796" ht="25.5">
      <c r="A4796" s="19" t="s">
        <v>10460</v>
      </c>
      <c r="B4796" s="19">
        <v>6156</v>
      </c>
      <c r="C4796" s="20" t="s">
        <v>15264</v>
      </c>
      <c r="D4796" s="19" t="s">
        <v>31</v>
      </c>
      <c r="E4796" s="19" t="s">
        <v>10459</v>
      </c>
      <c r="F4796" s="21">
        <f t="shared" si="630"/>
        <v>7.2699999999999996</v>
      </c>
      <c r="G4796" s="21">
        <f t="shared" si="630"/>
        <v>7.2699999999999996</v>
      </c>
      <c r="H4796" s="21">
        <f t="shared" si="630"/>
        <v>7.2699999999999996</v>
      </c>
      <c r="I4796" s="24" t="str">
        <f t="shared" si="631"/>
        <v xml:space="preserve">COM VALOR</v>
      </c>
      <c r="L4796" s="36">
        <v>7.2699999999999996</v>
      </c>
      <c r="M4796" s="37">
        <v>7.2699999999999996</v>
      </c>
      <c r="N4796" s="36">
        <v>7.2699999999999996</v>
      </c>
    </row>
    <row r="4797" ht="25.5">
      <c r="A4797" s="19" t="s">
        <v>10460</v>
      </c>
      <c r="B4797" s="19">
        <v>6153</v>
      </c>
      <c r="C4797" s="20" t="s">
        <v>15265</v>
      </c>
      <c r="D4797" s="19" t="s">
        <v>31</v>
      </c>
      <c r="E4797" s="19" t="s">
        <v>10459</v>
      </c>
      <c r="F4797" s="21">
        <f t="shared" si="630"/>
        <v>5.8300000000000001</v>
      </c>
      <c r="G4797" s="21">
        <f t="shared" si="630"/>
        <v>5.8300000000000001</v>
      </c>
      <c r="H4797" s="21">
        <f t="shared" si="630"/>
        <v>5.8300000000000001</v>
      </c>
      <c r="I4797" s="24" t="str">
        <f t="shared" si="631"/>
        <v xml:space="preserve">COM VALOR</v>
      </c>
      <c r="L4797" s="36">
        <v>5.8300000000000001</v>
      </c>
      <c r="M4797" s="37">
        <v>5.8300000000000001</v>
      </c>
      <c r="N4797" s="36">
        <v>5.8300000000000001</v>
      </c>
    </row>
    <row r="4798" ht="25.5">
      <c r="A4798" s="19" t="s">
        <v>10460</v>
      </c>
      <c r="B4798" s="19">
        <v>6154</v>
      </c>
      <c r="C4798" s="20" t="s">
        <v>15266</v>
      </c>
      <c r="D4798" s="19" t="s">
        <v>31</v>
      </c>
      <c r="E4798" s="19" t="s">
        <v>10459</v>
      </c>
      <c r="F4798" s="21">
        <f t="shared" si="630"/>
        <v>10.369999999999999</v>
      </c>
      <c r="G4798" s="21">
        <f t="shared" si="630"/>
        <v>10.369999999999999</v>
      </c>
      <c r="H4798" s="21">
        <f t="shared" si="630"/>
        <v>10.369999999999999</v>
      </c>
      <c r="I4798" s="24" t="str">
        <f t="shared" si="631"/>
        <v xml:space="preserve">COM VALOR</v>
      </c>
      <c r="L4798" s="36">
        <v>10.369999999999999</v>
      </c>
      <c r="M4798" s="37">
        <v>10.369999999999999</v>
      </c>
      <c r="N4798" s="36">
        <v>10.369999999999999</v>
      </c>
    </row>
    <row r="4799" ht="25.5">
      <c r="A4799" s="19" t="s">
        <v>10460</v>
      </c>
      <c r="B4799" s="19">
        <v>6155</v>
      </c>
      <c r="C4799" s="20" t="s">
        <v>15267</v>
      </c>
      <c r="D4799" s="19" t="s">
        <v>31</v>
      </c>
      <c r="E4799" s="19" t="s">
        <v>10459</v>
      </c>
      <c r="F4799" s="21">
        <f t="shared" si="630"/>
        <v>23.859999999999999</v>
      </c>
      <c r="G4799" s="21">
        <f t="shared" si="630"/>
        <v>23.859999999999999</v>
      </c>
      <c r="H4799" s="21">
        <f t="shared" si="630"/>
        <v>23.859999999999999</v>
      </c>
      <c r="I4799" s="24" t="str">
        <f t="shared" si="631"/>
        <v xml:space="preserve">COM VALOR</v>
      </c>
      <c r="L4799" s="36">
        <v>23.859999999999999</v>
      </c>
      <c r="M4799" s="37">
        <v>23.859999999999999</v>
      </c>
      <c r="N4799" s="36">
        <v>23.859999999999999</v>
      </c>
    </row>
    <row r="4800" ht="25.5">
      <c r="A4800" s="19" t="s">
        <v>10460</v>
      </c>
      <c r="B4800" s="19">
        <v>43595</v>
      </c>
      <c r="C4800" s="20" t="s">
        <v>15268</v>
      </c>
      <c r="D4800" s="19" t="s">
        <v>31</v>
      </c>
      <c r="E4800" s="19" t="s">
        <v>10459</v>
      </c>
      <c r="F4800" s="21">
        <f t="shared" si="630"/>
        <v>22.640000000000001</v>
      </c>
      <c r="G4800" s="21">
        <f t="shared" si="630"/>
        <v>22.640000000000001</v>
      </c>
      <c r="H4800" s="21">
        <f t="shared" si="630"/>
        <v>22.640000000000001</v>
      </c>
      <c r="I4800" s="24" t="str">
        <f t="shared" si="631"/>
        <v xml:space="preserve">COM VALOR</v>
      </c>
      <c r="L4800" s="36">
        <v>22.640000000000001</v>
      </c>
      <c r="M4800" s="37">
        <v>22.640000000000001</v>
      </c>
      <c r="N4800" s="36">
        <v>22.640000000000001</v>
      </c>
    </row>
    <row r="4801" ht="25.5">
      <c r="A4801" s="19" t="s">
        <v>10460</v>
      </c>
      <c r="B4801" s="19">
        <v>43596</v>
      </c>
      <c r="C4801" s="20" t="s">
        <v>15269</v>
      </c>
      <c r="D4801" s="19" t="s">
        <v>31</v>
      </c>
      <c r="E4801" s="19" t="s">
        <v>10459</v>
      </c>
      <c r="F4801" s="21">
        <f t="shared" si="630"/>
        <v>26.16</v>
      </c>
      <c r="G4801" s="21">
        <f t="shared" si="630"/>
        <v>26.16</v>
      </c>
      <c r="H4801" s="21">
        <f t="shared" si="630"/>
        <v>26.16</v>
      </c>
      <c r="I4801" s="24" t="str">
        <f t="shared" si="631"/>
        <v xml:space="preserve">COM VALOR</v>
      </c>
      <c r="L4801" s="36">
        <v>26.16</v>
      </c>
      <c r="M4801" s="37">
        <v>26.16</v>
      </c>
      <c r="N4801" s="36">
        <v>26.16</v>
      </c>
    </row>
    <row r="4802" ht="25.5">
      <c r="A4802" s="19" t="s">
        <v>10460</v>
      </c>
      <c r="B4802" s="19">
        <v>38108</v>
      </c>
      <c r="C4802" s="20" t="s">
        <v>15270</v>
      </c>
      <c r="D4802" s="19" t="s">
        <v>31</v>
      </c>
      <c r="E4802" s="19" t="s">
        <v>10459</v>
      </c>
      <c r="F4802" s="21">
        <f t="shared" si="630"/>
        <v>41.509999999999998</v>
      </c>
      <c r="G4802" s="21">
        <f t="shared" si="630"/>
        <v>41.509999999999998</v>
      </c>
      <c r="H4802" s="21">
        <f t="shared" si="630"/>
        <v>41.509999999999998</v>
      </c>
      <c r="I4802" s="24" t="str">
        <f t="shared" si="631"/>
        <v xml:space="preserve">COM VALOR</v>
      </c>
      <c r="L4802" s="36">
        <v>41.509999999999998</v>
      </c>
      <c r="M4802" s="37">
        <v>41.509999999999998</v>
      </c>
      <c r="N4802" s="36">
        <v>41.509999999999998</v>
      </c>
    </row>
    <row r="4803" ht="38.25">
      <c r="A4803" s="19" t="s">
        <v>10460</v>
      </c>
      <c r="B4803" s="19">
        <v>38087</v>
      </c>
      <c r="C4803" s="20" t="s">
        <v>15271</v>
      </c>
      <c r="D4803" s="19" t="s">
        <v>31</v>
      </c>
      <c r="E4803" s="19" t="s">
        <v>10459</v>
      </c>
      <c r="F4803" s="21">
        <f t="shared" si="630"/>
        <v>53.380000000000003</v>
      </c>
      <c r="G4803" s="21">
        <f t="shared" si="630"/>
        <v>53.380000000000003</v>
      </c>
      <c r="H4803" s="21">
        <f t="shared" si="630"/>
        <v>53.380000000000003</v>
      </c>
      <c r="I4803" s="24" t="str">
        <f t="shared" si="631"/>
        <v xml:space="preserve">COM VALOR</v>
      </c>
      <c r="L4803" s="36">
        <v>53.380000000000003</v>
      </c>
      <c r="M4803" s="37">
        <v>53.380000000000003</v>
      </c>
      <c r="N4803" s="36">
        <v>53.380000000000003</v>
      </c>
    </row>
    <row r="4804" ht="25.5">
      <c r="A4804" s="19" t="s">
        <v>10460</v>
      </c>
      <c r="B4804" s="19">
        <v>38109</v>
      </c>
      <c r="C4804" s="20" t="s">
        <v>15272</v>
      </c>
      <c r="D4804" s="19" t="s">
        <v>31</v>
      </c>
      <c r="E4804" s="19" t="s">
        <v>10459</v>
      </c>
      <c r="F4804" s="21">
        <f t="shared" si="630"/>
        <v>66.340000000000003</v>
      </c>
      <c r="G4804" s="21">
        <f t="shared" si="630"/>
        <v>66.340000000000003</v>
      </c>
      <c r="H4804" s="21">
        <f t="shared" si="630"/>
        <v>66.340000000000003</v>
      </c>
      <c r="I4804" s="24" t="str">
        <f t="shared" si="631"/>
        <v xml:space="preserve">COM VALOR</v>
      </c>
      <c r="L4804" s="36">
        <v>66.340000000000003</v>
      </c>
      <c r="M4804" s="37">
        <v>66.340000000000003</v>
      </c>
      <c r="N4804" s="36">
        <v>66.340000000000003</v>
      </c>
    </row>
    <row r="4805" ht="38.25">
      <c r="A4805" s="19" t="s">
        <v>10460</v>
      </c>
      <c r="B4805" s="19">
        <v>38088</v>
      </c>
      <c r="C4805" s="20" t="s">
        <v>15273</v>
      </c>
      <c r="D4805" s="19" t="s">
        <v>31</v>
      </c>
      <c r="E4805" s="19" t="s">
        <v>10459</v>
      </c>
      <c r="F4805" s="21">
        <f t="shared" si="630"/>
        <v>69.75</v>
      </c>
      <c r="G4805" s="21">
        <f t="shared" si="630"/>
        <v>69.75</v>
      </c>
      <c r="H4805" s="21">
        <f t="shared" si="630"/>
        <v>69.75</v>
      </c>
      <c r="I4805" s="24" t="str">
        <f t="shared" si="631"/>
        <v xml:space="preserve">COM VALOR</v>
      </c>
      <c r="L4805" s="36">
        <v>69.75</v>
      </c>
      <c r="M4805" s="37">
        <v>69.75</v>
      </c>
      <c r="N4805" s="36">
        <v>69.75</v>
      </c>
    </row>
    <row r="4806" ht="25.5">
      <c r="A4806" s="19" t="s">
        <v>10460</v>
      </c>
      <c r="B4806" s="19">
        <v>38110</v>
      </c>
      <c r="C4806" s="20" t="s">
        <v>15274</v>
      </c>
      <c r="D4806" s="19" t="s">
        <v>31</v>
      </c>
      <c r="E4806" s="19" t="s">
        <v>10459</v>
      </c>
      <c r="F4806" s="21">
        <f t="shared" si="630"/>
        <v>25.52</v>
      </c>
      <c r="G4806" s="21">
        <f t="shared" si="630"/>
        <v>25.52</v>
      </c>
      <c r="H4806" s="21">
        <f t="shared" si="630"/>
        <v>25.52</v>
      </c>
      <c r="I4806" s="24" t="str">
        <f t="shared" si="631"/>
        <v xml:space="preserve">COM VALOR</v>
      </c>
      <c r="L4806" s="36">
        <v>25.52</v>
      </c>
      <c r="M4806" s="37">
        <v>25.52</v>
      </c>
      <c r="N4806" s="36">
        <v>25.52</v>
      </c>
    </row>
    <row r="4807" ht="51">
      <c r="A4807" s="19" t="s">
        <v>10460</v>
      </c>
      <c r="B4807" s="19">
        <v>38089</v>
      </c>
      <c r="C4807" s="20" t="s">
        <v>15275</v>
      </c>
      <c r="D4807" s="19" t="s">
        <v>31</v>
      </c>
      <c r="E4807" s="19" t="s">
        <v>10459</v>
      </c>
      <c r="F4807" s="21">
        <f t="shared" si="630"/>
        <v>44.460000000000001</v>
      </c>
      <c r="G4807" s="21">
        <f t="shared" si="630"/>
        <v>44.460000000000001</v>
      </c>
      <c r="H4807" s="21">
        <f t="shared" si="630"/>
        <v>44.460000000000001</v>
      </c>
      <c r="I4807" s="24" t="str">
        <f t="shared" si="631"/>
        <v xml:space="preserve">COM VALOR</v>
      </c>
      <c r="L4807" s="36">
        <v>44.460000000000001</v>
      </c>
      <c r="M4807" s="37">
        <v>44.460000000000001</v>
      </c>
      <c r="N4807" s="36">
        <v>44.460000000000001</v>
      </c>
    </row>
    <row r="4808" ht="25.5">
      <c r="A4808" s="19" t="s">
        <v>10460</v>
      </c>
      <c r="B4808" s="19">
        <v>38111</v>
      </c>
      <c r="C4808" s="20" t="s">
        <v>15276</v>
      </c>
      <c r="D4808" s="19" t="s">
        <v>31</v>
      </c>
      <c r="E4808" s="19" t="s">
        <v>10459</v>
      </c>
      <c r="F4808" s="21">
        <f t="shared" si="630"/>
        <v>28.539999999999999</v>
      </c>
      <c r="G4808" s="21">
        <f t="shared" si="630"/>
        <v>28.539999999999999</v>
      </c>
      <c r="H4808" s="21">
        <f t="shared" si="630"/>
        <v>28.539999999999999</v>
      </c>
      <c r="I4808" s="24" t="str">
        <f t="shared" si="631"/>
        <v xml:space="preserve">COM VALOR</v>
      </c>
      <c r="L4808" s="36">
        <v>28.539999999999999</v>
      </c>
      <c r="M4808" s="37">
        <v>28.539999999999999</v>
      </c>
      <c r="N4808" s="36">
        <v>28.539999999999999</v>
      </c>
    </row>
    <row r="4809" ht="51">
      <c r="A4809" s="19" t="s">
        <v>10460</v>
      </c>
      <c r="B4809" s="19">
        <v>38090</v>
      </c>
      <c r="C4809" s="20" t="s">
        <v>15277</v>
      </c>
      <c r="D4809" s="19" t="s">
        <v>31</v>
      </c>
      <c r="E4809" s="19" t="s">
        <v>10459</v>
      </c>
      <c r="F4809" s="21">
        <f t="shared" si="630"/>
        <v>45.960000000000001</v>
      </c>
      <c r="G4809" s="21">
        <f t="shared" si="630"/>
        <v>45.960000000000001</v>
      </c>
      <c r="H4809" s="21">
        <f t="shared" si="630"/>
        <v>45.960000000000001</v>
      </c>
      <c r="I4809" s="24" t="str">
        <f t="shared" si="631"/>
        <v xml:space="preserve">COM VALOR</v>
      </c>
      <c r="L4809" s="36">
        <v>45.960000000000001</v>
      </c>
      <c r="M4809" s="37">
        <v>45.960000000000001</v>
      </c>
      <c r="N4809" s="36">
        <v>45.960000000000001</v>
      </c>
    </row>
    <row r="4810" ht="12.75">
      <c r="A4810" s="19" t="s">
        <v>10460</v>
      </c>
      <c r="B4810" s="19">
        <v>38400</v>
      </c>
      <c r="C4810" s="20" t="s">
        <v>15278</v>
      </c>
      <c r="D4810" s="19" t="s">
        <v>31</v>
      </c>
      <c r="E4810" s="19" t="s">
        <v>10459</v>
      </c>
      <c r="F4810" s="21">
        <f t="shared" si="630"/>
        <v>61.289999999999999</v>
      </c>
      <c r="G4810" s="21">
        <f t="shared" si="630"/>
        <v>61.289999999999999</v>
      </c>
      <c r="H4810" s="21">
        <f t="shared" si="630"/>
        <v>61.289999999999999</v>
      </c>
      <c r="I4810" s="24" t="str">
        <f t="shared" si="631"/>
        <v xml:space="preserve">COM VALOR</v>
      </c>
      <c r="L4810" s="36">
        <v>61.289999999999999</v>
      </c>
      <c r="M4810" s="37">
        <v>61.289999999999999</v>
      </c>
      <c r="N4810" s="36">
        <v>61.289999999999999</v>
      </c>
    </row>
    <row r="4811" ht="25.5">
      <c r="A4811" s="19" t="s">
        <v>10638</v>
      </c>
      <c r="B4811" s="19">
        <v>13726</v>
      </c>
      <c r="C4811" s="20" t="s">
        <v>15279</v>
      </c>
      <c r="D4811" s="19" t="s">
        <v>31</v>
      </c>
      <c r="E4811" s="19" t="s">
        <v>10459</v>
      </c>
      <c r="F4811" s="21" t="str">
        <f t="shared" ref="F4811:H4865" si="632">IF(L4811=0,"VERIFICAR",L4811)</f>
        <v>VERIFICAR</v>
      </c>
      <c r="G4811" s="21" t="str">
        <f t="shared" si="632"/>
        <v>VERIFICAR</v>
      </c>
      <c r="H4811" s="21" t="str">
        <f t="shared" si="632"/>
        <v>VERIFICAR</v>
      </c>
      <c r="I4811" s="24" t="str">
        <f t="shared" ref="I4811:I4865" si="633">IF(OR(L4811=0,M4811=0,N4811=0),"SEM VALOR","COM VALOR")</f>
        <v xml:space="preserve">SEM VALOR</v>
      </c>
      <c r="L4811" s="36"/>
      <c r="M4811" s="37"/>
      <c r="N4811" s="36"/>
    </row>
    <row r="4812" ht="25.5">
      <c r="A4812" s="19" t="s">
        <v>10460</v>
      </c>
      <c r="B4812" s="19">
        <v>12627</v>
      </c>
      <c r="C4812" s="20" t="s">
        <v>15280</v>
      </c>
      <c r="D4812" s="19" t="s">
        <v>31</v>
      </c>
      <c r="E4812" s="19" t="s">
        <v>10459</v>
      </c>
      <c r="F4812" s="21">
        <f t="shared" si="632"/>
        <v>1.4399999999999999</v>
      </c>
      <c r="G4812" s="21">
        <f t="shared" si="632"/>
        <v>1.4399999999999999</v>
      </c>
      <c r="H4812" s="21">
        <f t="shared" si="632"/>
        <v>1.4399999999999999</v>
      </c>
      <c r="I4812" s="24" t="str">
        <f t="shared" si="633"/>
        <v xml:space="preserve">COM VALOR</v>
      </c>
      <c r="L4812" s="36">
        <v>1.4399999999999999</v>
      </c>
      <c r="M4812" s="37">
        <v>1.4399999999999999</v>
      </c>
      <c r="N4812" s="36">
        <v>1.4399999999999999</v>
      </c>
    </row>
    <row r="4813" ht="12.75">
      <c r="A4813" s="19" t="s">
        <v>10460</v>
      </c>
      <c r="B4813" s="19">
        <v>39996</v>
      </c>
      <c r="C4813" s="20" t="s">
        <v>15281</v>
      </c>
      <c r="D4813" s="19" t="s">
        <v>38</v>
      </c>
      <c r="E4813" s="19" t="s">
        <v>10459</v>
      </c>
      <c r="F4813" s="21">
        <f t="shared" si="632"/>
        <v>3.5699999999999998</v>
      </c>
      <c r="G4813" s="21">
        <f t="shared" si="632"/>
        <v>3.5699999999999998</v>
      </c>
      <c r="H4813" s="21">
        <f t="shared" si="632"/>
        <v>3.5699999999999998</v>
      </c>
      <c r="I4813" s="24" t="str">
        <f t="shared" si="633"/>
        <v xml:space="preserve">COM VALOR</v>
      </c>
      <c r="L4813" s="36">
        <v>3.5699999999999998</v>
      </c>
      <c r="M4813" s="37">
        <v>3.5699999999999998</v>
      </c>
      <c r="N4813" s="36">
        <v>3.5699999999999998</v>
      </c>
    </row>
    <row r="4814" ht="38.25">
      <c r="A4814" s="19" t="s">
        <v>10460</v>
      </c>
      <c r="B4814" s="19">
        <v>10478</v>
      </c>
      <c r="C4814" s="20" t="s">
        <v>15282</v>
      </c>
      <c r="D4814" s="19" t="s">
        <v>9794</v>
      </c>
      <c r="E4814" s="19" t="s">
        <v>10466</v>
      </c>
      <c r="F4814" s="21">
        <f t="shared" si="632"/>
        <v>42.810000000000002</v>
      </c>
      <c r="G4814" s="21">
        <f t="shared" si="632"/>
        <v>42.810000000000002</v>
      </c>
      <c r="H4814" s="21">
        <f t="shared" si="632"/>
        <v>42.810000000000002</v>
      </c>
      <c r="I4814" s="24" t="str">
        <f t="shared" si="633"/>
        <v xml:space="preserve">COM VALOR</v>
      </c>
      <c r="L4814" s="36">
        <v>42.810000000000002</v>
      </c>
      <c r="M4814" s="37">
        <v>42.810000000000002</v>
      </c>
      <c r="N4814" s="36">
        <v>42.810000000000002</v>
      </c>
    </row>
    <row r="4815" ht="25.5">
      <c r="A4815" s="19" t="s">
        <v>10460</v>
      </c>
      <c r="B4815" s="19">
        <v>10481</v>
      </c>
      <c r="C4815" s="20" t="s">
        <v>15283</v>
      </c>
      <c r="D4815" s="19" t="s">
        <v>9794</v>
      </c>
      <c r="E4815" s="19" t="s">
        <v>10459</v>
      </c>
      <c r="F4815" s="21">
        <f t="shared" si="632"/>
        <v>38.07</v>
      </c>
      <c r="G4815" s="21">
        <f t="shared" si="632"/>
        <v>38.07</v>
      </c>
      <c r="H4815" s="21">
        <f t="shared" si="632"/>
        <v>38.07</v>
      </c>
      <c r="I4815" s="24" t="str">
        <f t="shared" si="633"/>
        <v xml:space="preserve">COM VALOR</v>
      </c>
      <c r="L4815" s="36">
        <v>38.07</v>
      </c>
      <c r="M4815" s="37">
        <v>38.07</v>
      </c>
      <c r="N4815" s="36">
        <v>38.07</v>
      </c>
    </row>
    <row r="4816" ht="12.75">
      <c r="A4816" s="19" t="s">
        <v>10460</v>
      </c>
      <c r="B4816" s="19">
        <v>10475</v>
      </c>
      <c r="C4816" s="20" t="s">
        <v>15284</v>
      </c>
      <c r="D4816" s="19" t="s">
        <v>9794</v>
      </c>
      <c r="E4816" s="19" t="s">
        <v>10459</v>
      </c>
      <c r="F4816" s="21">
        <f t="shared" si="632"/>
        <v>36.840000000000003</v>
      </c>
      <c r="G4816" s="21">
        <f t="shared" si="632"/>
        <v>36.840000000000003</v>
      </c>
      <c r="H4816" s="21">
        <f t="shared" si="632"/>
        <v>36.840000000000003</v>
      </c>
      <c r="I4816" s="24" t="str">
        <f t="shared" si="633"/>
        <v xml:space="preserve">COM VALOR</v>
      </c>
      <c r="L4816" s="36">
        <v>36.840000000000003</v>
      </c>
      <c r="M4816" s="37">
        <v>36.840000000000003</v>
      </c>
      <c r="N4816" s="36">
        <v>36.840000000000003</v>
      </c>
    </row>
    <row r="4817" ht="12.75">
      <c r="A4817" s="19" t="s">
        <v>10460</v>
      </c>
      <c r="B4817" s="19">
        <v>4030</v>
      </c>
      <c r="C4817" s="20" t="s">
        <v>15285</v>
      </c>
      <c r="D4817" s="19" t="s">
        <v>29</v>
      </c>
      <c r="E4817" s="19" t="s">
        <v>10459</v>
      </c>
      <c r="F4817" s="21" t="str">
        <f t="shared" si="632"/>
        <v>VERIFICAR</v>
      </c>
      <c r="G4817" s="21" t="str">
        <f t="shared" si="632"/>
        <v>VERIFICAR</v>
      </c>
      <c r="H4817" s="21" t="str">
        <f t="shared" si="632"/>
        <v>VERIFICAR</v>
      </c>
      <c r="I4817" s="24" t="str">
        <f t="shared" si="633"/>
        <v xml:space="preserve">SEM VALOR</v>
      </c>
      <c r="L4817" s="36"/>
      <c r="M4817" s="37"/>
      <c r="N4817" s="36"/>
    </row>
    <row r="4818" ht="12.75">
      <c r="A4818" s="19" t="s">
        <v>10460</v>
      </c>
      <c r="B4818" s="19">
        <v>4031</v>
      </c>
      <c r="C4818" s="20" t="s">
        <v>15286</v>
      </c>
      <c r="D4818" s="19" t="s">
        <v>29</v>
      </c>
      <c r="E4818" s="19" t="s">
        <v>10459</v>
      </c>
      <c r="F4818" s="21" t="str">
        <f t="shared" si="632"/>
        <v>VERIFICAR</v>
      </c>
      <c r="G4818" s="21" t="str">
        <f t="shared" si="632"/>
        <v>VERIFICAR</v>
      </c>
      <c r="H4818" s="21" t="str">
        <f t="shared" si="632"/>
        <v>VERIFICAR</v>
      </c>
      <c r="I4818" s="24" t="str">
        <f t="shared" si="633"/>
        <v xml:space="preserve">SEM VALOR</v>
      </c>
      <c r="L4818" s="36"/>
      <c r="M4818" s="37"/>
      <c r="N4818" s="36"/>
    </row>
    <row r="4819" ht="25.5">
      <c r="A4819" s="19" t="s">
        <v>10638</v>
      </c>
      <c r="B4819" s="19">
        <v>11652</v>
      </c>
      <c r="C4819" s="20" t="s">
        <v>15287</v>
      </c>
      <c r="D4819" s="19" t="s">
        <v>31</v>
      </c>
      <c r="E4819" s="19" t="s">
        <v>10466</v>
      </c>
      <c r="F4819" s="21" t="str">
        <f t="shared" si="632"/>
        <v>VERIFICAR</v>
      </c>
      <c r="G4819" s="21" t="str">
        <f t="shared" si="632"/>
        <v>VERIFICAR</v>
      </c>
      <c r="H4819" s="21" t="str">
        <f t="shared" si="632"/>
        <v>VERIFICAR</v>
      </c>
      <c r="I4819" s="24" t="str">
        <f t="shared" si="633"/>
        <v xml:space="preserve">SEM VALOR</v>
      </c>
      <c r="L4819" s="36"/>
      <c r="M4819" s="37"/>
      <c r="N4819" s="36"/>
    </row>
    <row r="4820" ht="25.5">
      <c r="A4820" s="19" t="s">
        <v>10638</v>
      </c>
      <c r="B4820" s="19">
        <v>13896</v>
      </c>
      <c r="C4820" s="20" t="s">
        <v>15288</v>
      </c>
      <c r="D4820" s="19" t="s">
        <v>31</v>
      </c>
      <c r="E4820" s="19" t="s">
        <v>10459</v>
      </c>
      <c r="F4820" s="21" t="str">
        <f t="shared" si="632"/>
        <v>VERIFICAR</v>
      </c>
      <c r="G4820" s="21" t="str">
        <f t="shared" si="632"/>
        <v>VERIFICAR</v>
      </c>
      <c r="H4820" s="21" t="str">
        <f t="shared" si="632"/>
        <v>VERIFICAR</v>
      </c>
      <c r="I4820" s="24" t="str">
        <f t="shared" si="633"/>
        <v xml:space="preserve">SEM VALOR</v>
      </c>
      <c r="L4820" s="36"/>
      <c r="M4820" s="37"/>
      <c r="N4820" s="36"/>
    </row>
    <row r="4821" ht="25.5">
      <c r="A4821" s="19" t="s">
        <v>10638</v>
      </c>
      <c r="B4821" s="19">
        <v>44470</v>
      </c>
      <c r="C4821" s="20" t="s">
        <v>15289</v>
      </c>
      <c r="D4821" s="19" t="s">
        <v>31</v>
      </c>
      <c r="E4821" s="19" t="s">
        <v>10459</v>
      </c>
      <c r="F4821" s="21" t="str">
        <f t="shared" si="632"/>
        <v>VERIFICAR</v>
      </c>
      <c r="G4821" s="21" t="str">
        <f t="shared" si="632"/>
        <v>VERIFICAR</v>
      </c>
      <c r="H4821" s="21" t="str">
        <f t="shared" si="632"/>
        <v>VERIFICAR</v>
      </c>
      <c r="I4821" s="24" t="str">
        <f t="shared" si="633"/>
        <v xml:space="preserve">SEM VALOR</v>
      </c>
      <c r="L4821" s="36"/>
      <c r="M4821" s="37"/>
      <c r="N4821" s="36"/>
    </row>
    <row r="4822" ht="25.5">
      <c r="A4822" s="19" t="s">
        <v>10638</v>
      </c>
      <c r="B4822" s="19">
        <v>13476</v>
      </c>
      <c r="C4822" s="20" t="s">
        <v>15290</v>
      </c>
      <c r="D4822" s="19" t="s">
        <v>31</v>
      </c>
      <c r="E4822" s="19" t="s">
        <v>10459</v>
      </c>
      <c r="F4822" s="21" t="str">
        <f t="shared" si="632"/>
        <v>VERIFICAR</v>
      </c>
      <c r="G4822" s="21" t="str">
        <f t="shared" si="632"/>
        <v>VERIFICAR</v>
      </c>
      <c r="H4822" s="21" t="str">
        <f t="shared" si="632"/>
        <v>VERIFICAR</v>
      </c>
      <c r="I4822" s="24" t="str">
        <f t="shared" si="633"/>
        <v xml:space="preserve">SEM VALOR</v>
      </c>
      <c r="L4822" s="36"/>
      <c r="M4822" s="37"/>
      <c r="N4822" s="36"/>
    </row>
    <row r="4823" ht="25.5">
      <c r="A4823" s="19" t="s">
        <v>10638</v>
      </c>
      <c r="B4823" s="19">
        <v>44491</v>
      </c>
      <c r="C4823" s="20" t="s">
        <v>15291</v>
      </c>
      <c r="D4823" s="19" t="s">
        <v>31</v>
      </c>
      <c r="E4823" s="19" t="s">
        <v>10459</v>
      </c>
      <c r="F4823" s="21" t="str">
        <f t="shared" si="632"/>
        <v>VERIFICAR</v>
      </c>
      <c r="G4823" s="21" t="str">
        <f t="shared" si="632"/>
        <v>VERIFICAR</v>
      </c>
      <c r="H4823" s="21" t="str">
        <f t="shared" si="632"/>
        <v>VERIFICAR</v>
      </c>
      <c r="I4823" s="24" t="str">
        <f t="shared" si="633"/>
        <v xml:space="preserve">SEM VALOR</v>
      </c>
      <c r="L4823" s="36"/>
      <c r="M4823" s="37"/>
      <c r="N4823" s="36"/>
    </row>
    <row r="4824" ht="25.5">
      <c r="A4824" s="19" t="s">
        <v>10638</v>
      </c>
      <c r="B4824" s="19">
        <v>10488</v>
      </c>
      <c r="C4824" s="20" t="s">
        <v>15292</v>
      </c>
      <c r="D4824" s="19" t="s">
        <v>31</v>
      </c>
      <c r="E4824" s="19" t="s">
        <v>10466</v>
      </c>
      <c r="F4824" s="21" t="str">
        <f t="shared" si="632"/>
        <v>VERIFICAR</v>
      </c>
      <c r="G4824" s="21" t="str">
        <f t="shared" si="632"/>
        <v>VERIFICAR</v>
      </c>
      <c r="H4824" s="21" t="str">
        <f t="shared" si="632"/>
        <v>VERIFICAR</v>
      </c>
      <c r="I4824" s="24" t="str">
        <f t="shared" si="633"/>
        <v xml:space="preserve">SEM VALOR</v>
      </c>
      <c r="L4824" s="36"/>
      <c r="M4824" s="37"/>
      <c r="N4824" s="36"/>
    </row>
    <row r="4825" ht="38.25">
      <c r="A4825" s="19" t="s">
        <v>10638</v>
      </c>
      <c r="B4825" s="19">
        <v>13606</v>
      </c>
      <c r="C4825" s="20" t="s">
        <v>15293</v>
      </c>
      <c r="D4825" s="19" t="s">
        <v>31</v>
      </c>
      <c r="E4825" s="19" t="s">
        <v>10459</v>
      </c>
      <c r="F4825" s="21" t="str">
        <f t="shared" si="632"/>
        <v>VERIFICAR</v>
      </c>
      <c r="G4825" s="21" t="str">
        <f t="shared" si="632"/>
        <v>VERIFICAR</v>
      </c>
      <c r="H4825" s="21" t="str">
        <f t="shared" si="632"/>
        <v>VERIFICAR</v>
      </c>
      <c r="I4825" s="24" t="str">
        <f t="shared" si="633"/>
        <v xml:space="preserve">SEM VALOR</v>
      </c>
      <c r="L4825" s="36"/>
      <c r="M4825" s="37"/>
      <c r="N4825" s="36"/>
    </row>
    <row r="4826" ht="12.75">
      <c r="A4826" s="19" t="s">
        <v>10604</v>
      </c>
      <c r="B4826" s="19">
        <v>10489</v>
      </c>
      <c r="C4826" s="20" t="s">
        <v>15294</v>
      </c>
      <c r="D4826" s="19" t="s">
        <v>2032</v>
      </c>
      <c r="E4826" s="19" t="s">
        <v>10459</v>
      </c>
      <c r="F4826" s="21">
        <f t="shared" si="632"/>
        <v>18.329999999999998</v>
      </c>
      <c r="G4826" s="21">
        <f t="shared" si="632"/>
        <v>18.329999999999998</v>
      </c>
      <c r="H4826" s="21">
        <f t="shared" si="632"/>
        <v>18.329999999999998</v>
      </c>
      <c r="I4826" s="24" t="str">
        <f t="shared" si="633"/>
        <v xml:space="preserve">COM VALOR</v>
      </c>
      <c r="L4826" s="36">
        <v>18.329999999999998</v>
      </c>
      <c r="M4826" s="37">
        <v>18.329999999999998</v>
      </c>
      <c r="N4826" s="36">
        <v>18.329999999999998</v>
      </c>
    </row>
    <row r="4827" ht="12.75">
      <c r="A4827" s="19" t="s">
        <v>10604</v>
      </c>
      <c r="B4827" s="19">
        <v>41073</v>
      </c>
      <c r="C4827" s="20" t="s">
        <v>15295</v>
      </c>
      <c r="D4827" s="19" t="s">
        <v>7087</v>
      </c>
      <c r="E4827" s="19" t="s">
        <v>10459</v>
      </c>
      <c r="F4827" s="21">
        <f t="shared" si="632"/>
        <v>3209.1399999999999</v>
      </c>
      <c r="G4827" s="21">
        <f t="shared" si="632"/>
        <v>3209.1399999999999</v>
      </c>
      <c r="H4827" s="21">
        <f t="shared" si="632"/>
        <v>3209.1399999999999</v>
      </c>
      <c r="I4827" s="24" t="str">
        <f t="shared" si="633"/>
        <v xml:space="preserve">COM VALOR</v>
      </c>
      <c r="L4827" s="36">
        <v>3209.1399999999999</v>
      </c>
      <c r="M4827" s="37">
        <v>3209.1399999999999</v>
      </c>
      <c r="N4827" s="36">
        <v>3209.1399999999999</v>
      </c>
    </row>
    <row r="4828" ht="25.5">
      <c r="A4828" s="19" t="s">
        <v>10457</v>
      </c>
      <c r="B4828" s="19">
        <v>34391</v>
      </c>
      <c r="C4828" s="20" t="s">
        <v>15296</v>
      </c>
      <c r="D4828" s="19" t="s">
        <v>29</v>
      </c>
      <c r="E4828" s="19" t="s">
        <v>10459</v>
      </c>
      <c r="F4828" s="21">
        <f t="shared" si="632"/>
        <v>789.92999999999995</v>
      </c>
      <c r="G4828" s="21">
        <f t="shared" si="632"/>
        <v>789.92999999999995</v>
      </c>
      <c r="H4828" s="21">
        <f t="shared" si="632"/>
        <v>789.92999999999995</v>
      </c>
      <c r="I4828" s="24" t="str">
        <f t="shared" si="633"/>
        <v xml:space="preserve">COM VALOR</v>
      </c>
      <c r="L4828" s="36">
        <v>789.92999999999995</v>
      </c>
      <c r="M4828" s="37">
        <v>789.92999999999995</v>
      </c>
      <c r="N4828" s="36">
        <v>789.92999999999995</v>
      </c>
    </row>
    <row r="4829" ht="38.25">
      <c r="A4829" s="19" t="s">
        <v>10457</v>
      </c>
      <c r="B4829" s="19">
        <v>10496</v>
      </c>
      <c r="C4829" s="20" t="s">
        <v>15297</v>
      </c>
      <c r="D4829" s="19" t="s">
        <v>29</v>
      </c>
      <c r="E4829" s="19" t="s">
        <v>10459</v>
      </c>
      <c r="F4829" s="21">
        <f t="shared" si="632"/>
        <v>687.5</v>
      </c>
      <c r="G4829" s="21">
        <f t="shared" si="632"/>
        <v>687.5</v>
      </c>
      <c r="H4829" s="21">
        <f t="shared" si="632"/>
        <v>687.5</v>
      </c>
      <c r="I4829" s="24" t="str">
        <f t="shared" si="633"/>
        <v xml:space="preserve">COM VALOR</v>
      </c>
      <c r="L4829" s="36">
        <v>687.5</v>
      </c>
      <c r="M4829" s="37">
        <v>687.5</v>
      </c>
      <c r="N4829" s="36">
        <v>687.5</v>
      </c>
    </row>
    <row r="4830" ht="38.25">
      <c r="A4830" s="19" t="s">
        <v>10457</v>
      </c>
      <c r="B4830" s="19">
        <v>10497</v>
      </c>
      <c r="C4830" s="20" t="s">
        <v>15298</v>
      </c>
      <c r="D4830" s="19" t="s">
        <v>29</v>
      </c>
      <c r="E4830" s="19" t="s">
        <v>10459</v>
      </c>
      <c r="F4830" s="21">
        <f t="shared" si="632"/>
        <v>1787.49</v>
      </c>
      <c r="G4830" s="21">
        <f t="shared" si="632"/>
        <v>1787.49</v>
      </c>
      <c r="H4830" s="21">
        <f t="shared" si="632"/>
        <v>1787.49</v>
      </c>
      <c r="I4830" s="24" t="str">
        <f t="shared" si="633"/>
        <v xml:space="preserve">COM VALOR</v>
      </c>
      <c r="L4830" s="36">
        <v>1787.49</v>
      </c>
      <c r="M4830" s="37">
        <v>1787.49</v>
      </c>
      <c r="N4830" s="36">
        <v>1787.49</v>
      </c>
    </row>
    <row r="4831" ht="38.25">
      <c r="A4831" s="19" t="s">
        <v>10457</v>
      </c>
      <c r="B4831" s="19">
        <v>10504</v>
      </c>
      <c r="C4831" s="20" t="s">
        <v>15299</v>
      </c>
      <c r="D4831" s="19" t="s">
        <v>29</v>
      </c>
      <c r="E4831" s="19" t="s">
        <v>10459</v>
      </c>
      <c r="F4831" s="21">
        <f t="shared" si="632"/>
        <v>2090</v>
      </c>
      <c r="G4831" s="21">
        <f t="shared" si="632"/>
        <v>2090</v>
      </c>
      <c r="H4831" s="21">
        <f t="shared" si="632"/>
        <v>2090</v>
      </c>
      <c r="I4831" s="24" t="str">
        <f t="shared" si="633"/>
        <v xml:space="preserve">COM VALOR</v>
      </c>
      <c r="L4831" s="36">
        <v>2090</v>
      </c>
      <c r="M4831" s="37">
        <v>2090</v>
      </c>
      <c r="N4831" s="36">
        <v>2090</v>
      </c>
    </row>
    <row r="4832" ht="12.75">
      <c r="A4832" s="19" t="s">
        <v>10460</v>
      </c>
      <c r="B4832" s="19">
        <v>34390</v>
      </c>
      <c r="C4832" s="20" t="s">
        <v>15300</v>
      </c>
      <c r="D4832" s="19" t="s">
        <v>29</v>
      </c>
      <c r="E4832" s="19" t="s">
        <v>10459</v>
      </c>
      <c r="F4832" s="21">
        <f t="shared" si="632"/>
        <v>615.99000000000001</v>
      </c>
      <c r="G4832" s="21">
        <f t="shared" si="632"/>
        <v>615.99000000000001</v>
      </c>
      <c r="H4832" s="21">
        <f t="shared" si="632"/>
        <v>615.99000000000001</v>
      </c>
      <c r="I4832" s="24" t="str">
        <f t="shared" si="633"/>
        <v xml:space="preserve">COM VALOR</v>
      </c>
      <c r="L4832" s="36">
        <v>615.99000000000001</v>
      </c>
      <c r="M4832" s="37">
        <v>615.99000000000001</v>
      </c>
      <c r="N4832" s="36">
        <v>615.99000000000001</v>
      </c>
    </row>
    <row r="4833" ht="12.75">
      <c r="A4833" s="19" t="s">
        <v>10460</v>
      </c>
      <c r="B4833" s="19">
        <v>34389</v>
      </c>
      <c r="C4833" s="20" t="s">
        <v>15301</v>
      </c>
      <c r="D4833" s="19" t="s">
        <v>29</v>
      </c>
      <c r="E4833" s="19" t="s">
        <v>10459</v>
      </c>
      <c r="F4833" s="21">
        <f t="shared" si="632"/>
        <v>192.5</v>
      </c>
      <c r="G4833" s="21">
        <f t="shared" si="632"/>
        <v>192.5</v>
      </c>
      <c r="H4833" s="21">
        <f t="shared" si="632"/>
        <v>192.5</v>
      </c>
      <c r="I4833" s="24" t="str">
        <f t="shared" si="633"/>
        <v xml:space="preserve">COM VALOR</v>
      </c>
      <c r="L4833" s="36">
        <v>192.5</v>
      </c>
      <c r="M4833" s="37">
        <v>192.5</v>
      </c>
      <c r="N4833" s="36">
        <v>192.5</v>
      </c>
    </row>
    <row r="4834" ht="12.75">
      <c r="A4834" s="19" t="s">
        <v>10460</v>
      </c>
      <c r="B4834" s="19">
        <v>34388</v>
      </c>
      <c r="C4834" s="20" t="s">
        <v>15302</v>
      </c>
      <c r="D4834" s="19" t="s">
        <v>29</v>
      </c>
      <c r="E4834" s="19" t="s">
        <v>10459</v>
      </c>
      <c r="F4834" s="21">
        <f t="shared" si="632"/>
        <v>273.58999999999997</v>
      </c>
      <c r="G4834" s="21">
        <f t="shared" si="632"/>
        <v>273.58999999999997</v>
      </c>
      <c r="H4834" s="21">
        <f t="shared" si="632"/>
        <v>273.58999999999997</v>
      </c>
      <c r="I4834" s="24" t="str">
        <f t="shared" si="633"/>
        <v xml:space="preserve">COM VALOR</v>
      </c>
      <c r="L4834" s="36">
        <v>273.58999999999997</v>
      </c>
      <c r="M4834" s="37">
        <v>273.58999999999997</v>
      </c>
      <c r="N4834" s="36">
        <v>273.58999999999997</v>
      </c>
    </row>
    <row r="4835" ht="12.75">
      <c r="A4835" s="19" t="s">
        <v>10460</v>
      </c>
      <c r="B4835" s="19">
        <v>34387</v>
      </c>
      <c r="C4835" s="20" t="s">
        <v>15303</v>
      </c>
      <c r="D4835" s="19" t="s">
        <v>29</v>
      </c>
      <c r="E4835" s="19" t="s">
        <v>10459</v>
      </c>
      <c r="F4835" s="21">
        <f t="shared" si="632"/>
        <v>444.12</v>
      </c>
      <c r="G4835" s="21">
        <f t="shared" si="632"/>
        <v>444.12</v>
      </c>
      <c r="H4835" s="21">
        <f t="shared" si="632"/>
        <v>444.12</v>
      </c>
      <c r="I4835" s="24" t="str">
        <f t="shared" si="633"/>
        <v xml:space="preserve">COM VALOR</v>
      </c>
      <c r="L4835" s="36">
        <v>444.12</v>
      </c>
      <c r="M4835" s="37">
        <v>444.12</v>
      </c>
      <c r="N4835" s="36">
        <v>444.12</v>
      </c>
    </row>
    <row r="4836" ht="12.75">
      <c r="A4836" s="19" t="s">
        <v>10460</v>
      </c>
      <c r="B4836" s="19">
        <v>11188</v>
      </c>
      <c r="C4836" s="20" t="s">
        <v>15304</v>
      </c>
      <c r="D4836" s="19" t="s">
        <v>29</v>
      </c>
      <c r="E4836" s="19" t="s">
        <v>10459</v>
      </c>
      <c r="F4836" s="21">
        <f t="shared" si="632"/>
        <v>219.99000000000001</v>
      </c>
      <c r="G4836" s="21">
        <f t="shared" si="632"/>
        <v>219.99000000000001</v>
      </c>
      <c r="H4836" s="21">
        <f t="shared" si="632"/>
        <v>219.99000000000001</v>
      </c>
      <c r="I4836" s="24" t="str">
        <f t="shared" si="633"/>
        <v xml:space="preserve">COM VALOR</v>
      </c>
      <c r="L4836" s="36">
        <v>219.99000000000001</v>
      </c>
      <c r="M4836" s="37">
        <v>219.99000000000001</v>
      </c>
      <c r="N4836" s="36">
        <v>219.99000000000001</v>
      </c>
    </row>
    <row r="4837" ht="12.75">
      <c r="A4837" s="19" t="s">
        <v>10460</v>
      </c>
      <c r="B4837" s="19">
        <v>11189</v>
      </c>
      <c r="C4837" s="20" t="s">
        <v>15305</v>
      </c>
      <c r="D4837" s="19" t="s">
        <v>29</v>
      </c>
      <c r="E4837" s="19" t="s">
        <v>10459</v>
      </c>
      <c r="F4837" s="21">
        <f t="shared" si="632"/>
        <v>330</v>
      </c>
      <c r="G4837" s="21">
        <f t="shared" si="632"/>
        <v>330</v>
      </c>
      <c r="H4837" s="21">
        <f t="shared" si="632"/>
        <v>330</v>
      </c>
      <c r="I4837" s="24" t="str">
        <f t="shared" si="633"/>
        <v xml:space="preserve">COM VALOR</v>
      </c>
      <c r="L4837" s="36">
        <v>330</v>
      </c>
      <c r="M4837" s="37">
        <v>330</v>
      </c>
      <c r="N4837" s="36">
        <v>330</v>
      </c>
    </row>
    <row r="4838" ht="12.75">
      <c r="A4838" s="19" t="s">
        <v>10460</v>
      </c>
      <c r="B4838" s="19">
        <v>21107</v>
      </c>
      <c r="C4838" s="20" t="s">
        <v>15306</v>
      </c>
      <c r="D4838" s="19" t="s">
        <v>29</v>
      </c>
      <c r="E4838" s="19" t="s">
        <v>10459</v>
      </c>
      <c r="F4838" s="21">
        <f t="shared" si="632"/>
        <v>237.47999999999999</v>
      </c>
      <c r="G4838" s="21">
        <f t="shared" si="632"/>
        <v>237.47999999999999</v>
      </c>
      <c r="H4838" s="21">
        <f t="shared" si="632"/>
        <v>237.47999999999999</v>
      </c>
      <c r="I4838" s="24" t="str">
        <f t="shared" si="633"/>
        <v xml:space="preserve">COM VALOR</v>
      </c>
      <c r="L4838" s="36">
        <v>237.47999999999999</v>
      </c>
      <c r="M4838" s="37">
        <v>237.47999999999999</v>
      </c>
      <c r="N4838" s="36">
        <v>237.47999999999999</v>
      </c>
    </row>
    <row r="4839" ht="12.75">
      <c r="A4839" s="19" t="s">
        <v>10460</v>
      </c>
      <c r="B4839" s="19">
        <v>34386</v>
      </c>
      <c r="C4839" s="20" t="s">
        <v>15307</v>
      </c>
      <c r="D4839" s="19" t="s">
        <v>29</v>
      </c>
      <c r="E4839" s="19" t="s">
        <v>10459</v>
      </c>
      <c r="F4839" s="21">
        <f t="shared" si="632"/>
        <v>412.5</v>
      </c>
      <c r="G4839" s="21">
        <f t="shared" si="632"/>
        <v>412.5</v>
      </c>
      <c r="H4839" s="21">
        <f t="shared" si="632"/>
        <v>412.5</v>
      </c>
      <c r="I4839" s="24" t="str">
        <f t="shared" si="633"/>
        <v xml:space="preserve">COM VALOR</v>
      </c>
      <c r="L4839" s="36">
        <v>412.5</v>
      </c>
      <c r="M4839" s="37">
        <v>412.5</v>
      </c>
      <c r="N4839" s="36">
        <v>412.5</v>
      </c>
    </row>
    <row r="4840" ht="12.75">
      <c r="A4840" s="19" t="s">
        <v>10460</v>
      </c>
      <c r="B4840" s="19">
        <v>10490</v>
      </c>
      <c r="C4840" s="20" t="s">
        <v>15308</v>
      </c>
      <c r="D4840" s="19" t="s">
        <v>29</v>
      </c>
      <c r="E4840" s="19" t="s">
        <v>10459</v>
      </c>
      <c r="F4840" s="21">
        <f t="shared" si="632"/>
        <v>144.37</v>
      </c>
      <c r="G4840" s="21">
        <f t="shared" si="632"/>
        <v>144.37</v>
      </c>
      <c r="H4840" s="21">
        <f t="shared" si="632"/>
        <v>144.37</v>
      </c>
      <c r="I4840" s="24" t="str">
        <f t="shared" si="633"/>
        <v xml:space="preserve">COM VALOR</v>
      </c>
      <c r="L4840" s="36">
        <v>144.37</v>
      </c>
      <c r="M4840" s="37">
        <v>144.37</v>
      </c>
      <c r="N4840" s="36">
        <v>144.37</v>
      </c>
    </row>
    <row r="4841" ht="12.75">
      <c r="A4841" s="19" t="s">
        <v>10460</v>
      </c>
      <c r="B4841" s="19">
        <v>10492</v>
      </c>
      <c r="C4841" s="20" t="s">
        <v>15309</v>
      </c>
      <c r="D4841" s="19" t="s">
        <v>29</v>
      </c>
      <c r="E4841" s="19" t="s">
        <v>10466</v>
      </c>
      <c r="F4841" s="21">
        <f t="shared" si="632"/>
        <v>165</v>
      </c>
      <c r="G4841" s="21">
        <f t="shared" si="632"/>
        <v>165</v>
      </c>
      <c r="H4841" s="21">
        <f t="shared" si="632"/>
        <v>165</v>
      </c>
      <c r="I4841" s="24" t="str">
        <f t="shared" si="633"/>
        <v xml:space="preserve">COM VALOR</v>
      </c>
      <c r="L4841" s="36">
        <v>165</v>
      </c>
      <c r="M4841" s="37">
        <v>165</v>
      </c>
      <c r="N4841" s="36">
        <v>165</v>
      </c>
    </row>
    <row r="4842" ht="12.75">
      <c r="A4842" s="19" t="s">
        <v>10460</v>
      </c>
      <c r="B4842" s="19">
        <v>10493</v>
      </c>
      <c r="C4842" s="20" t="s">
        <v>15310</v>
      </c>
      <c r="D4842" s="19" t="s">
        <v>29</v>
      </c>
      <c r="E4842" s="19" t="s">
        <v>10459</v>
      </c>
      <c r="F4842" s="21">
        <f t="shared" si="632"/>
        <v>192.5</v>
      </c>
      <c r="G4842" s="21">
        <f t="shared" si="632"/>
        <v>192.5</v>
      </c>
      <c r="H4842" s="21">
        <f t="shared" si="632"/>
        <v>192.5</v>
      </c>
      <c r="I4842" s="24" t="str">
        <f t="shared" si="633"/>
        <v xml:space="preserve">COM VALOR</v>
      </c>
      <c r="L4842" s="36">
        <v>192.5</v>
      </c>
      <c r="M4842" s="37">
        <v>192.5</v>
      </c>
      <c r="N4842" s="36">
        <v>192.5</v>
      </c>
    </row>
    <row r="4843" ht="12.75">
      <c r="A4843" s="19" t="s">
        <v>10460</v>
      </c>
      <c r="B4843" s="19">
        <v>10491</v>
      </c>
      <c r="C4843" s="20" t="s">
        <v>15311</v>
      </c>
      <c r="D4843" s="19" t="s">
        <v>29</v>
      </c>
      <c r="E4843" s="19" t="s">
        <v>10459</v>
      </c>
      <c r="F4843" s="21">
        <f t="shared" si="632"/>
        <v>233.75</v>
      </c>
      <c r="G4843" s="21">
        <f t="shared" si="632"/>
        <v>233.75</v>
      </c>
      <c r="H4843" s="21">
        <f t="shared" si="632"/>
        <v>233.75</v>
      </c>
      <c r="I4843" s="24" t="str">
        <f t="shared" si="633"/>
        <v xml:space="preserve">COM VALOR</v>
      </c>
      <c r="L4843" s="36">
        <v>233.75</v>
      </c>
      <c r="M4843" s="37">
        <v>233.75</v>
      </c>
      <c r="N4843" s="36">
        <v>233.75</v>
      </c>
    </row>
    <row r="4844" ht="12.75">
      <c r="A4844" s="19" t="s">
        <v>10460</v>
      </c>
      <c r="B4844" s="19">
        <v>34385</v>
      </c>
      <c r="C4844" s="20" t="s">
        <v>15312</v>
      </c>
      <c r="D4844" s="19" t="s">
        <v>29</v>
      </c>
      <c r="E4844" s="19" t="s">
        <v>10459</v>
      </c>
      <c r="F4844" s="21">
        <f t="shared" si="632"/>
        <v>341</v>
      </c>
      <c r="G4844" s="21">
        <f t="shared" si="632"/>
        <v>341</v>
      </c>
      <c r="H4844" s="21">
        <f t="shared" si="632"/>
        <v>341</v>
      </c>
      <c r="I4844" s="24" t="str">
        <f t="shared" si="633"/>
        <v xml:space="preserve">COM VALOR</v>
      </c>
      <c r="L4844" s="36">
        <v>341</v>
      </c>
      <c r="M4844" s="37">
        <v>341</v>
      </c>
      <c r="N4844" s="36">
        <v>341</v>
      </c>
    </row>
    <row r="4845" ht="12.75">
      <c r="A4845" s="19" t="s">
        <v>10460</v>
      </c>
      <c r="B4845" s="19">
        <v>10499</v>
      </c>
      <c r="C4845" s="20" t="s">
        <v>15313</v>
      </c>
      <c r="D4845" s="19" t="s">
        <v>29</v>
      </c>
      <c r="E4845" s="19" t="s">
        <v>10459</v>
      </c>
      <c r="F4845" s="21">
        <f t="shared" si="632"/>
        <v>137.49000000000001</v>
      </c>
      <c r="G4845" s="21">
        <f t="shared" si="632"/>
        <v>137.49000000000001</v>
      </c>
      <c r="H4845" s="21">
        <f t="shared" si="632"/>
        <v>137.49000000000001</v>
      </c>
      <c r="I4845" s="24" t="str">
        <f t="shared" si="633"/>
        <v xml:space="preserve">COM VALOR</v>
      </c>
      <c r="L4845" s="36">
        <v>137.49000000000001</v>
      </c>
      <c r="M4845" s="37">
        <v>137.49000000000001</v>
      </c>
      <c r="N4845" s="36">
        <v>137.49000000000001</v>
      </c>
    </row>
    <row r="4846" ht="12.75">
      <c r="A4846" s="19" t="s">
        <v>10460</v>
      </c>
      <c r="B4846" s="19">
        <v>34384</v>
      </c>
      <c r="C4846" s="20" t="s">
        <v>15314</v>
      </c>
      <c r="D4846" s="19" t="s">
        <v>29</v>
      </c>
      <c r="E4846" s="19" t="s">
        <v>10459</v>
      </c>
      <c r="F4846" s="21">
        <f t="shared" si="632"/>
        <v>412.5</v>
      </c>
      <c r="G4846" s="21">
        <f t="shared" si="632"/>
        <v>412.5</v>
      </c>
      <c r="H4846" s="21">
        <f t="shared" si="632"/>
        <v>412.5</v>
      </c>
      <c r="I4846" s="24" t="str">
        <f t="shared" si="633"/>
        <v xml:space="preserve">COM VALOR</v>
      </c>
      <c r="L4846" s="36">
        <v>412.5</v>
      </c>
      <c r="M4846" s="37">
        <v>412.5</v>
      </c>
      <c r="N4846" s="36">
        <v>412.5</v>
      </c>
    </row>
    <row r="4847" ht="12.75">
      <c r="A4847" s="19" t="s">
        <v>10460</v>
      </c>
      <c r="B4847" s="19">
        <v>11185</v>
      </c>
      <c r="C4847" s="20" t="s">
        <v>15315</v>
      </c>
      <c r="D4847" s="19" t="s">
        <v>29</v>
      </c>
      <c r="E4847" s="19" t="s">
        <v>10459</v>
      </c>
      <c r="F4847" s="21">
        <f t="shared" si="632"/>
        <v>426.24000000000001</v>
      </c>
      <c r="G4847" s="21">
        <f t="shared" si="632"/>
        <v>426.24000000000001</v>
      </c>
      <c r="H4847" s="21">
        <f t="shared" si="632"/>
        <v>426.24000000000001</v>
      </c>
      <c r="I4847" s="24" t="str">
        <f t="shared" si="633"/>
        <v xml:space="preserve">COM VALOR</v>
      </c>
      <c r="L4847" s="36">
        <v>426.24000000000001</v>
      </c>
      <c r="M4847" s="37">
        <v>426.24000000000001</v>
      </c>
      <c r="N4847" s="36">
        <v>426.24000000000001</v>
      </c>
    </row>
    <row r="4848" ht="12.75">
      <c r="A4848" s="19" t="s">
        <v>10460</v>
      </c>
      <c r="B4848" s="19">
        <v>10507</v>
      </c>
      <c r="C4848" s="20" t="s">
        <v>15316</v>
      </c>
      <c r="D4848" s="19" t="s">
        <v>29</v>
      </c>
      <c r="E4848" s="19" t="s">
        <v>10459</v>
      </c>
      <c r="F4848" s="21">
        <f t="shared" si="632"/>
        <v>425.29000000000002</v>
      </c>
      <c r="G4848" s="21">
        <f t="shared" si="632"/>
        <v>425.29000000000002</v>
      </c>
      <c r="H4848" s="21">
        <f t="shared" si="632"/>
        <v>425.29000000000002</v>
      </c>
      <c r="I4848" s="24" t="str">
        <f t="shared" si="633"/>
        <v xml:space="preserve">COM VALOR</v>
      </c>
      <c r="L4848" s="36">
        <v>425.29000000000002</v>
      </c>
      <c r="M4848" s="37">
        <v>425.29000000000002</v>
      </c>
      <c r="N4848" s="36">
        <v>425.29000000000002</v>
      </c>
    </row>
    <row r="4849" ht="12.75">
      <c r="A4849" s="19" t="s">
        <v>10460</v>
      </c>
      <c r="B4849" s="19">
        <v>10505</v>
      </c>
      <c r="C4849" s="20" t="s">
        <v>15317</v>
      </c>
      <c r="D4849" s="19" t="s">
        <v>29</v>
      </c>
      <c r="E4849" s="19" t="s">
        <v>10459</v>
      </c>
      <c r="F4849" s="21">
        <f t="shared" si="632"/>
        <v>250.94999999999999</v>
      </c>
      <c r="G4849" s="21">
        <f t="shared" si="632"/>
        <v>250.94999999999999</v>
      </c>
      <c r="H4849" s="21">
        <f t="shared" si="632"/>
        <v>250.94999999999999</v>
      </c>
      <c r="I4849" s="24" t="str">
        <f t="shared" si="633"/>
        <v xml:space="preserve">COM VALOR</v>
      </c>
      <c r="L4849" s="36">
        <v>250.94999999999999</v>
      </c>
      <c r="M4849" s="37">
        <v>250.94999999999999</v>
      </c>
      <c r="N4849" s="36">
        <v>250.94999999999999</v>
      </c>
    </row>
    <row r="4850" ht="12.75">
      <c r="A4850" s="19" t="s">
        <v>10460</v>
      </c>
      <c r="B4850" s="19">
        <v>10506</v>
      </c>
      <c r="C4850" s="20" t="s">
        <v>15318</v>
      </c>
      <c r="D4850" s="19" t="s">
        <v>29</v>
      </c>
      <c r="E4850" s="19" t="s">
        <v>10459</v>
      </c>
      <c r="F4850" s="21">
        <f t="shared" si="632"/>
        <v>327.60000000000002</v>
      </c>
      <c r="G4850" s="21">
        <f t="shared" si="632"/>
        <v>327.60000000000002</v>
      </c>
      <c r="H4850" s="21">
        <f t="shared" si="632"/>
        <v>327.60000000000002</v>
      </c>
      <c r="I4850" s="24" t="str">
        <f t="shared" si="633"/>
        <v xml:space="preserve">COM VALOR</v>
      </c>
      <c r="L4850" s="36">
        <v>327.60000000000002</v>
      </c>
      <c r="M4850" s="37">
        <v>327.60000000000002</v>
      </c>
      <c r="N4850" s="36">
        <v>327.60000000000002</v>
      </c>
    </row>
    <row r="4851" ht="25.5">
      <c r="A4851" s="19" t="s">
        <v>10460</v>
      </c>
      <c r="B4851" s="19">
        <v>5031</v>
      </c>
      <c r="C4851" s="20" t="s">
        <v>15319</v>
      </c>
      <c r="D4851" s="19" t="s">
        <v>29</v>
      </c>
      <c r="E4851" s="19" t="s">
        <v>10466</v>
      </c>
      <c r="F4851" s="21">
        <f t="shared" si="632"/>
        <v>460</v>
      </c>
      <c r="G4851" s="21">
        <f t="shared" si="632"/>
        <v>460</v>
      </c>
      <c r="H4851" s="21">
        <f t="shared" si="632"/>
        <v>460</v>
      </c>
      <c r="I4851" s="24" t="str">
        <f t="shared" si="633"/>
        <v xml:space="preserve">COM VALOR</v>
      </c>
      <c r="L4851" s="36">
        <v>460</v>
      </c>
      <c r="M4851" s="37">
        <v>460</v>
      </c>
      <c r="N4851" s="36">
        <v>460</v>
      </c>
    </row>
    <row r="4852" ht="12.75">
      <c r="A4852" s="19" t="s">
        <v>10460</v>
      </c>
      <c r="B4852" s="19">
        <v>10502</v>
      </c>
      <c r="C4852" s="20" t="s">
        <v>15320</v>
      </c>
      <c r="D4852" s="19" t="s">
        <v>29</v>
      </c>
      <c r="E4852" s="19" t="s">
        <v>10459</v>
      </c>
      <c r="F4852" s="21">
        <f t="shared" si="632"/>
        <v>536.00999999999999</v>
      </c>
      <c r="G4852" s="21">
        <f t="shared" si="632"/>
        <v>536.00999999999999</v>
      </c>
      <c r="H4852" s="21">
        <f t="shared" si="632"/>
        <v>536.00999999999999</v>
      </c>
      <c r="I4852" s="24" t="str">
        <f t="shared" si="633"/>
        <v xml:space="preserve">COM VALOR</v>
      </c>
      <c r="L4852" s="36">
        <v>536.00999999999999</v>
      </c>
      <c r="M4852" s="37">
        <v>536.00999999999999</v>
      </c>
      <c r="N4852" s="36">
        <v>536.00999999999999</v>
      </c>
    </row>
    <row r="4853" ht="12.75">
      <c r="A4853" s="19" t="s">
        <v>10460</v>
      </c>
      <c r="B4853" s="19">
        <v>10501</v>
      </c>
      <c r="C4853" s="20" t="s">
        <v>15321</v>
      </c>
      <c r="D4853" s="19" t="s">
        <v>29</v>
      </c>
      <c r="E4853" s="19" t="s">
        <v>10459</v>
      </c>
      <c r="F4853" s="21">
        <f t="shared" si="632"/>
        <v>302.82999999999998</v>
      </c>
      <c r="G4853" s="21">
        <f t="shared" si="632"/>
        <v>302.82999999999998</v>
      </c>
      <c r="H4853" s="21">
        <f t="shared" si="632"/>
        <v>302.82999999999998</v>
      </c>
      <c r="I4853" s="24" t="str">
        <f t="shared" si="633"/>
        <v xml:space="preserve">COM VALOR</v>
      </c>
      <c r="L4853" s="36">
        <v>302.82999999999998</v>
      </c>
      <c r="M4853" s="37">
        <v>302.82999999999998</v>
      </c>
      <c r="N4853" s="36">
        <v>302.82999999999998</v>
      </c>
    </row>
    <row r="4854" ht="12.75">
      <c r="A4854" s="19" t="s">
        <v>10460</v>
      </c>
      <c r="B4854" s="19">
        <v>10503</v>
      </c>
      <c r="C4854" s="20" t="s">
        <v>15322</v>
      </c>
      <c r="D4854" s="19" t="s">
        <v>29</v>
      </c>
      <c r="E4854" s="19" t="s">
        <v>10459</v>
      </c>
      <c r="F4854" s="21">
        <f t="shared" si="632"/>
        <v>409.12</v>
      </c>
      <c r="G4854" s="21">
        <f t="shared" si="632"/>
        <v>409.12</v>
      </c>
      <c r="H4854" s="21">
        <f t="shared" si="632"/>
        <v>409.12</v>
      </c>
      <c r="I4854" s="24" t="str">
        <f t="shared" si="633"/>
        <v xml:space="preserve">COM VALOR</v>
      </c>
      <c r="L4854" s="36">
        <v>409.12</v>
      </c>
      <c r="M4854" s="37">
        <v>409.12</v>
      </c>
      <c r="N4854" s="36">
        <v>409.12</v>
      </c>
    </row>
    <row r="4855" ht="25.5">
      <c r="A4855" s="19" t="s">
        <v>10460</v>
      </c>
      <c r="B4855" s="19">
        <v>4500</v>
      </c>
      <c r="C4855" s="20" t="s">
        <v>15323</v>
      </c>
      <c r="D4855" s="19" t="s">
        <v>38</v>
      </c>
      <c r="E4855" s="19" t="s">
        <v>10459</v>
      </c>
      <c r="F4855" s="21">
        <f t="shared" si="632"/>
        <v>13.18</v>
      </c>
      <c r="G4855" s="21">
        <f t="shared" si="632"/>
        <v>13.18</v>
      </c>
      <c r="H4855" s="21">
        <f t="shared" si="632"/>
        <v>13.18</v>
      </c>
      <c r="I4855" s="24" t="str">
        <f t="shared" si="633"/>
        <v xml:space="preserve">COM VALOR</v>
      </c>
      <c r="L4855" s="36">
        <v>13.18</v>
      </c>
      <c r="M4855" s="37">
        <v>13.18</v>
      </c>
      <c r="N4855" s="36">
        <v>13.18</v>
      </c>
    </row>
    <row r="4856" ht="25.5">
      <c r="A4856" s="19" t="s">
        <v>10460</v>
      </c>
      <c r="B4856" s="19">
        <v>4448</v>
      </c>
      <c r="C4856" s="20" t="s">
        <v>15324</v>
      </c>
      <c r="D4856" s="19" t="s">
        <v>38</v>
      </c>
      <c r="E4856" s="19" t="s">
        <v>10459</v>
      </c>
      <c r="F4856" s="21">
        <f t="shared" si="632"/>
        <v>18.109999999999999</v>
      </c>
      <c r="G4856" s="21">
        <f t="shared" si="632"/>
        <v>18.109999999999999</v>
      </c>
      <c r="H4856" s="21">
        <f t="shared" si="632"/>
        <v>18.109999999999999</v>
      </c>
      <c r="I4856" s="24" t="str">
        <f t="shared" si="633"/>
        <v xml:space="preserve">COM VALOR</v>
      </c>
      <c r="L4856" s="36">
        <v>18.109999999999999</v>
      </c>
      <c r="M4856" s="37">
        <v>18.109999999999999</v>
      </c>
      <c r="N4856" s="36">
        <v>18.109999999999999</v>
      </c>
    </row>
    <row r="4857" ht="38.25">
      <c r="A4857" s="19" t="s">
        <v>10460</v>
      </c>
      <c r="B4857" s="19">
        <v>20213</v>
      </c>
      <c r="C4857" s="20" t="s">
        <v>15325</v>
      </c>
      <c r="D4857" s="19" t="s">
        <v>38</v>
      </c>
      <c r="E4857" s="19" t="s">
        <v>10459</v>
      </c>
      <c r="F4857" s="21">
        <f t="shared" si="632"/>
        <v>28.600000000000001</v>
      </c>
      <c r="G4857" s="21">
        <f t="shared" si="632"/>
        <v>28.600000000000001</v>
      </c>
      <c r="H4857" s="21">
        <f t="shared" si="632"/>
        <v>28.600000000000001</v>
      </c>
      <c r="I4857" s="24" t="str">
        <f t="shared" si="633"/>
        <v xml:space="preserve">COM VALOR</v>
      </c>
      <c r="L4857" s="36">
        <v>28.600000000000001</v>
      </c>
      <c r="M4857" s="37">
        <v>28.600000000000001</v>
      </c>
      <c r="N4857" s="36">
        <v>28.600000000000001</v>
      </c>
    </row>
    <row r="4858" ht="38.25">
      <c r="A4858" s="19" t="s">
        <v>10460</v>
      </c>
      <c r="B4858" s="19">
        <v>20211</v>
      </c>
      <c r="C4858" s="20" t="s">
        <v>15326</v>
      </c>
      <c r="D4858" s="19" t="s">
        <v>38</v>
      </c>
      <c r="E4858" s="19" t="s">
        <v>10459</v>
      </c>
      <c r="F4858" s="21">
        <f t="shared" si="632"/>
        <v>37.869999999999997</v>
      </c>
      <c r="G4858" s="21">
        <f t="shared" si="632"/>
        <v>37.869999999999997</v>
      </c>
      <c r="H4858" s="21">
        <f t="shared" si="632"/>
        <v>37.869999999999997</v>
      </c>
      <c r="I4858" s="24" t="str">
        <f t="shared" si="633"/>
        <v xml:space="preserve">COM VALOR</v>
      </c>
      <c r="L4858" s="36">
        <v>37.869999999999997</v>
      </c>
      <c r="M4858" s="37">
        <v>37.869999999999997</v>
      </c>
      <c r="N4858" s="36">
        <v>37.869999999999997</v>
      </c>
    </row>
    <row r="4859" ht="25.5">
      <c r="A4859" s="19" t="s">
        <v>10460</v>
      </c>
      <c r="B4859" s="19">
        <v>40270</v>
      </c>
      <c r="C4859" s="20" t="s">
        <v>15327</v>
      </c>
      <c r="D4859" s="19" t="s">
        <v>38</v>
      </c>
      <c r="E4859" s="19" t="s">
        <v>10466</v>
      </c>
      <c r="F4859" s="21" t="str">
        <f t="shared" si="632"/>
        <v>VERIFICAR</v>
      </c>
      <c r="G4859" s="21" t="str">
        <f t="shared" si="632"/>
        <v>VERIFICAR</v>
      </c>
      <c r="H4859" s="21" t="str">
        <f t="shared" si="632"/>
        <v>VERIFICAR</v>
      </c>
      <c r="I4859" s="24" t="str">
        <f t="shared" si="633"/>
        <v xml:space="preserve">SEM VALOR</v>
      </c>
      <c r="L4859" s="36"/>
      <c r="M4859" s="37"/>
      <c r="N4859" s="36"/>
    </row>
    <row r="4860" ht="38.25">
      <c r="A4860" s="19" t="s">
        <v>10460</v>
      </c>
      <c r="B4860" s="19">
        <v>4425</v>
      </c>
      <c r="C4860" s="20" t="s">
        <v>15328</v>
      </c>
      <c r="D4860" s="19" t="s">
        <v>38</v>
      </c>
      <c r="E4860" s="19" t="s">
        <v>10459</v>
      </c>
      <c r="F4860" s="21">
        <f t="shared" si="632"/>
        <v>31.300000000000001</v>
      </c>
      <c r="G4860" s="21">
        <f t="shared" si="632"/>
        <v>31.300000000000001</v>
      </c>
      <c r="H4860" s="21">
        <f t="shared" si="632"/>
        <v>31.300000000000001</v>
      </c>
      <c r="I4860" s="24" t="str">
        <f t="shared" si="633"/>
        <v xml:space="preserve">COM VALOR</v>
      </c>
      <c r="L4860" s="36">
        <v>31.300000000000001</v>
      </c>
      <c r="M4860" s="37">
        <v>31.300000000000001</v>
      </c>
      <c r="N4860" s="36">
        <v>31.300000000000001</v>
      </c>
    </row>
    <row r="4861" ht="38.25">
      <c r="A4861" s="19" t="s">
        <v>10460</v>
      </c>
      <c r="B4861" s="19">
        <v>4472</v>
      </c>
      <c r="C4861" s="20" t="s">
        <v>15329</v>
      </c>
      <c r="D4861" s="19" t="s">
        <v>38</v>
      </c>
      <c r="E4861" s="19" t="s">
        <v>10459</v>
      </c>
      <c r="F4861" s="21">
        <f t="shared" si="632"/>
        <v>39.100000000000001</v>
      </c>
      <c r="G4861" s="21">
        <f t="shared" si="632"/>
        <v>39.100000000000001</v>
      </c>
      <c r="H4861" s="21">
        <f t="shared" si="632"/>
        <v>39.100000000000001</v>
      </c>
      <c r="I4861" s="24" t="str">
        <f t="shared" si="633"/>
        <v xml:space="preserve">COM VALOR</v>
      </c>
      <c r="L4861" s="36">
        <v>39.100000000000001</v>
      </c>
      <c r="M4861" s="37">
        <v>39.100000000000001</v>
      </c>
      <c r="N4861" s="36">
        <v>39.100000000000001</v>
      </c>
    </row>
    <row r="4862" ht="38.25">
      <c r="A4862" s="19" t="s">
        <v>10460</v>
      </c>
      <c r="B4862" s="19">
        <v>35272</v>
      </c>
      <c r="C4862" s="20" t="s">
        <v>15330</v>
      </c>
      <c r="D4862" s="19" t="s">
        <v>38</v>
      </c>
      <c r="E4862" s="19" t="s">
        <v>10459</v>
      </c>
      <c r="F4862" s="21">
        <f t="shared" si="632"/>
        <v>56.530000000000001</v>
      </c>
      <c r="G4862" s="21">
        <f t="shared" si="632"/>
        <v>56.530000000000001</v>
      </c>
      <c r="H4862" s="21">
        <f t="shared" si="632"/>
        <v>56.530000000000001</v>
      </c>
      <c r="I4862" s="24" t="str">
        <f t="shared" si="633"/>
        <v xml:space="preserve">COM VALOR</v>
      </c>
      <c r="L4862" s="36">
        <v>56.530000000000001</v>
      </c>
      <c r="M4862" s="37">
        <v>56.530000000000001</v>
      </c>
      <c r="N4862" s="36">
        <v>56.530000000000001</v>
      </c>
    </row>
    <row r="4863" ht="38.25">
      <c r="A4863" s="19" t="s">
        <v>10460</v>
      </c>
      <c r="B4863" s="19">
        <v>4481</v>
      </c>
      <c r="C4863" s="20" t="s">
        <v>15331</v>
      </c>
      <c r="D4863" s="19" t="s">
        <v>38</v>
      </c>
      <c r="E4863" s="19" t="s">
        <v>10459</v>
      </c>
      <c r="F4863" s="21">
        <f t="shared" si="632"/>
        <v>60.509999999999998</v>
      </c>
      <c r="G4863" s="21">
        <f t="shared" si="632"/>
        <v>60.509999999999998</v>
      </c>
      <c r="H4863" s="21">
        <f t="shared" si="632"/>
        <v>60.509999999999998</v>
      </c>
      <c r="I4863" s="24" t="str">
        <f t="shared" si="633"/>
        <v xml:space="preserve">COM VALOR</v>
      </c>
      <c r="L4863" s="36">
        <v>60.509999999999998</v>
      </c>
      <c r="M4863" s="37">
        <v>60.509999999999998</v>
      </c>
      <c r="N4863" s="36">
        <v>60.509999999999998</v>
      </c>
    </row>
    <row r="4864" ht="12.75">
      <c r="A4864" s="19" t="s">
        <v>10604</v>
      </c>
      <c r="B4864" s="19">
        <v>34345</v>
      </c>
      <c r="C4864" s="20" t="s">
        <v>15332</v>
      </c>
      <c r="D4864" s="19" t="s">
        <v>2032</v>
      </c>
      <c r="E4864" s="19" t="s">
        <v>10459</v>
      </c>
      <c r="F4864" s="21">
        <f t="shared" si="632"/>
        <v>15.890000000000001</v>
      </c>
      <c r="G4864" s="21">
        <f t="shared" si="632"/>
        <v>15.890000000000001</v>
      </c>
      <c r="H4864" s="21">
        <f t="shared" si="632"/>
        <v>15.890000000000001</v>
      </c>
      <c r="I4864" s="24" t="str">
        <f t="shared" si="633"/>
        <v xml:space="preserve">COM VALOR</v>
      </c>
      <c r="L4864" s="36">
        <v>15.890000000000001</v>
      </c>
      <c r="M4864" s="37">
        <v>15.890000000000001</v>
      </c>
      <c r="N4864" s="36">
        <v>15.890000000000001</v>
      </c>
    </row>
    <row r="4865" ht="12.75">
      <c r="A4865" s="19" t="s">
        <v>10604</v>
      </c>
      <c r="B4865" s="19">
        <v>41096</v>
      </c>
      <c r="C4865" s="20" t="s">
        <v>15333</v>
      </c>
      <c r="D4865" s="19" t="s">
        <v>7087</v>
      </c>
      <c r="E4865" s="19" t="s">
        <v>10459</v>
      </c>
      <c r="F4865" s="21">
        <f t="shared" si="632"/>
        <v>2781.8299999999999</v>
      </c>
      <c r="G4865" s="21">
        <f t="shared" si="632"/>
        <v>2781.8299999999999</v>
      </c>
      <c r="H4865" s="21">
        <f t="shared" si="632"/>
        <v>2781.8299999999999</v>
      </c>
      <c r="I4865" s="24" t="str">
        <f t="shared" si="633"/>
        <v xml:space="preserve">COM VALOR</v>
      </c>
      <c r="L4865" s="36">
        <v>2781.8299999999999</v>
      </c>
      <c r="M4865" s="37">
        <v>2781.8299999999999</v>
      </c>
      <c r="N4865" s="36">
        <v>2781.8299999999999</v>
      </c>
    </row>
    <row r="4866">
      <c r="A4866" s="19"/>
      <c r="L4866" s="36"/>
      <c r="M4866" s="37"/>
      <c r="N4866" s="36"/>
    </row>
  </sheetData>
  <hyperlinks>
    <hyperlink r:id="rId1" ref="A9"/>
  </hyperlinks>
  <printOptions headings="0" gridLines="0"/>
  <pageMargins left="0.75" right="0.75" top="1" bottom="1" header="0.5" footer="0.5"/>
  <pageSetup paperSize="9" scale="100" firstPageNumber="2147483647" fitToWidth="1" fitToHeight="1" pageOrder="downThenOver" orientation="portrait" usePrinterDefaults="1" blackAndWhite="0" draft="0" cellComments="none" useFirstPageNumber="0" errors="displayed" horizontalDpi="600" verticalDpi="600" copies="1"/>
  <headerFooter/>
  <extLst>
    <ext xmlns:x14="http://schemas.microsoft.com/office/spreadsheetml/2009/9/main" uri="{78C0D931-6437-407d-A8EE-F0AAD7539E65}">
      <x14:conditionalFormattings>
        <x14:conditionalFormatting xmlns:xm="http://schemas.microsoft.com/office/excel/2006/main">
          <x14:cfRule type="cellIs" priority="2" operator="equal" id="{003D008A-00B3-4B3C-B173-00A400EA007F}">
            <xm:f>"VERIFICAR"</xm:f>
            <x14:dxf>
              <font>
                <color rgb="FF9C0006"/>
              </font>
              <fill>
                <patternFill patternType="solid">
                  <fgColor rgb="FFFFC7CE"/>
                  <bgColor rgb="FFFFC7CE"/>
                </patternFill>
              </fill>
            </x14:dxf>
          </x14:cfRule>
          <xm:sqref>F1:H3427</xm:sqref>
        </x14:conditionalFormatting>
        <x14:conditionalFormatting xmlns:xm="http://schemas.microsoft.com/office/excel/2006/main">
          <x14:cfRule type="cellIs" priority="1" operator="equal" id="{00FA00C8-004B-4017-92A6-0040001900B2}">
            <xm:f>"VERIFICAR"</xm:f>
            <x14:dxf>
              <font>
                <color rgb="FF9C0006"/>
              </font>
              <fill>
                <patternFill patternType="solid">
                  <fgColor rgb="FFFFC7CE"/>
                  <bgColor rgb="FFFFC7CE"/>
                </patternFill>
              </fill>
            </x14:dxf>
          </x14:cfRule>
          <xm:sqref>F3436:H4618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3">
    <tabColor theme="7" tint="-0.249977111117893"/>
    <outlinePr applyStyles="0" summaryBelow="1" summaryRight="1" showOutlineSymbols="1"/>
    <pageSetUpPr autoPageBreaks="1" fitToPage="0"/>
  </sheetPr>
  <sheetViews>
    <sheetView zoomScale="100" workbookViewId="0">
      <selection activeCell="I116" activeCellId="0" sqref="I116"/>
    </sheetView>
  </sheetViews>
  <sheetFormatPr defaultColWidth="9.140625" defaultRowHeight="13.5"/>
  <cols>
    <col customWidth="1" min="1" max="1" width="16.42578125"/>
    <col customWidth="1" min="2" max="2" width="19.85546875"/>
    <col customWidth="1" min="3" max="3" width="44.7109375"/>
    <col customWidth="1" min="4" max="4" width="10"/>
    <col customWidth="1" min="5" max="5" width="10.140625"/>
    <col customWidth="1" min="6" max="6" width="15.5703125"/>
    <col customWidth="1" hidden="1" min="7" max="7" width="9.140625"/>
    <col customWidth="1" min="8" max="8" style="41" width="18.28515625"/>
    <col customWidth="1" min="9" max="9" width="3.85546875"/>
    <col customWidth="1" min="10" max="10" width="3.5703125"/>
    <col customWidth="1" min="11" max="11" width="4.140625"/>
    <col customWidth="1" min="12" max="12" width="4.5703125"/>
    <col customWidth="1" min="13" max="13" width="3.42578125"/>
    <col customWidth="1" min="14" max="14" width="3.85546875"/>
    <col customWidth="1" min="15" max="15" width="34.7109375"/>
    <col customWidth="1" min="18" max="18" width="11.28515625"/>
  </cols>
  <sheetData>
    <row r="1" ht="14.25">
      <c r="A1" s="42" t="s">
        <v>15334</v>
      </c>
      <c r="B1" s="42" t="s">
        <v>15335</v>
      </c>
      <c r="C1" s="42" t="s">
        <v>15336</v>
      </c>
      <c r="D1" s="42" t="s">
        <v>15337</v>
      </c>
      <c r="E1" s="42"/>
      <c r="F1" s="42" t="s">
        <v>15338</v>
      </c>
      <c r="G1" s="42" t="s">
        <v>15338</v>
      </c>
      <c r="H1" s="42" t="s">
        <v>15339</v>
      </c>
      <c r="I1" s="43" t="s">
        <v>15340</v>
      </c>
    </row>
    <row r="2" ht="25.5">
      <c r="A2" s="44" t="s">
        <v>15341</v>
      </c>
      <c r="B2" s="45" t="s">
        <v>15342</v>
      </c>
      <c r="C2" s="46" t="s">
        <v>15343</v>
      </c>
      <c r="D2" s="47" t="s">
        <v>15344</v>
      </c>
      <c r="E2" s="48">
        <v>209.04069999999999</v>
      </c>
      <c r="F2" s="49">
        <f t="shared" ref="F2:F65" si="634">E2*H2</f>
        <v>210.61000000000001</v>
      </c>
      <c r="G2" s="50"/>
      <c r="H2" s="51">
        <f t="shared" ref="H2:H65" si="635">IF(A2="Sem Reajuste",$R$6,IF(A2="Terraplenagem",$R$7,IF(A2="Obras Arte Especiais",$R$8,IF(A2="Pavimentação",$R$9,IF(A2="Drenagem",$R$10,IF(A2="Sinalização Vertical",$R$11,IF(A2="Administração Local",$R$12,IF(A2="Obras Compl e Meio Ambiente",$R$13,IF(A2="Sinalização Horizontal",$R$14,0)))))))))</f>
        <v>1.00751211</v>
      </c>
    </row>
    <row r="3" ht="25.5">
      <c r="A3" s="44" t="s">
        <v>15341</v>
      </c>
      <c r="B3" s="45" t="s">
        <v>15345</v>
      </c>
      <c r="C3" s="46" t="s">
        <v>15346</v>
      </c>
      <c r="D3" s="47" t="s">
        <v>15344</v>
      </c>
      <c r="E3" s="48">
        <v>278.99250000000001</v>
      </c>
      <c r="F3" s="49">
        <f t="shared" si="634"/>
        <v>281.08999999999997</v>
      </c>
      <c r="G3" s="50"/>
      <c r="H3" s="51">
        <f t="shared" si="635"/>
        <v>1.00751211</v>
      </c>
    </row>
    <row r="4" ht="25.5">
      <c r="A4" s="44" t="s">
        <v>15341</v>
      </c>
      <c r="B4" s="52" t="s">
        <v>15347</v>
      </c>
      <c r="C4" s="46" t="s">
        <v>15348</v>
      </c>
      <c r="D4" s="47" t="s">
        <v>15344</v>
      </c>
      <c r="E4" s="48">
        <v>371.98770000000002</v>
      </c>
      <c r="F4" s="49">
        <f t="shared" si="634"/>
        <v>374.77999999999997</v>
      </c>
      <c r="G4" s="50"/>
      <c r="H4" s="51">
        <f t="shared" si="635"/>
        <v>1.00751211</v>
      </c>
      <c r="O4" s="53" t="s">
        <v>15349</v>
      </c>
      <c r="P4" s="54"/>
      <c r="Q4" s="54"/>
      <c r="R4" s="54"/>
      <c r="S4" s="55"/>
    </row>
    <row r="5" ht="25.5">
      <c r="A5" s="44" t="s">
        <v>15341</v>
      </c>
      <c r="B5" s="45" t="s">
        <v>15350</v>
      </c>
      <c r="C5" s="46" t="s">
        <v>15351</v>
      </c>
      <c r="D5" s="47" t="s">
        <v>15344</v>
      </c>
      <c r="E5" s="48">
        <v>515.51559999999995</v>
      </c>
      <c r="F5" s="49">
        <f t="shared" si="634"/>
        <v>519.38999999999999</v>
      </c>
      <c r="G5" s="50"/>
      <c r="H5" s="51">
        <f t="shared" si="635"/>
        <v>1.00751211</v>
      </c>
      <c r="O5" s="56" t="s">
        <v>15352</v>
      </c>
      <c r="P5" s="57">
        <v>46023</v>
      </c>
      <c r="Q5" s="57">
        <v>46082</v>
      </c>
      <c r="R5" s="58" t="s">
        <v>15339</v>
      </c>
      <c r="S5" s="59"/>
    </row>
    <row r="6" ht="25.5">
      <c r="A6" s="44" t="s">
        <v>15341</v>
      </c>
      <c r="B6" s="45" t="s">
        <v>15353</v>
      </c>
      <c r="C6" s="46" t="s">
        <v>15354</v>
      </c>
      <c r="D6" s="47" t="s">
        <v>15344</v>
      </c>
      <c r="E6" s="48">
        <v>760.42100000000005</v>
      </c>
      <c r="F6" s="49">
        <f t="shared" si="634"/>
        <v>766.13</v>
      </c>
      <c r="G6" s="50"/>
      <c r="H6" s="51">
        <f t="shared" si="635"/>
        <v>1.00751211</v>
      </c>
      <c r="O6" s="60" t="s">
        <v>15355</v>
      </c>
      <c r="R6" s="61">
        <v>1</v>
      </c>
      <c r="S6" s="59"/>
    </row>
    <row r="7" ht="25.5">
      <c r="A7" s="44" t="s">
        <v>15341</v>
      </c>
      <c r="B7" s="45" t="s">
        <v>15356</v>
      </c>
      <c r="C7" s="46" t="s">
        <v>15357</v>
      </c>
      <c r="D7" s="47" t="s">
        <v>15344</v>
      </c>
      <c r="E7" s="48">
        <v>802.27340000000004</v>
      </c>
      <c r="F7" s="49">
        <f t="shared" si="634"/>
        <v>808.29999999999995</v>
      </c>
      <c r="G7" s="50"/>
      <c r="H7" s="51">
        <f t="shared" si="635"/>
        <v>1.00751211</v>
      </c>
      <c r="O7" s="60" t="s">
        <v>15358</v>
      </c>
      <c r="P7" s="62">
        <v>505.53300000000002</v>
      </c>
      <c r="Q7" s="63">
        <v>518.12900000000002</v>
      </c>
      <c r="R7" s="61">
        <f t="shared" ref="R7:R14" si="636">Q7/P7</f>
        <v>1.02491628</v>
      </c>
      <c r="S7" s="59"/>
    </row>
    <row r="8" ht="25.5">
      <c r="A8" s="44" t="s">
        <v>15341</v>
      </c>
      <c r="B8" s="52" t="s">
        <v>15359</v>
      </c>
      <c r="C8" s="46" t="s">
        <v>15360</v>
      </c>
      <c r="D8" s="47" t="s">
        <v>15344</v>
      </c>
      <c r="E8" s="48">
        <v>1365.9837</v>
      </c>
      <c r="F8" s="49">
        <f t="shared" si="634"/>
        <v>1376.25</v>
      </c>
      <c r="G8" s="50"/>
      <c r="H8" s="51">
        <f t="shared" si="635"/>
        <v>1.00751211</v>
      </c>
      <c r="O8" s="60" t="s">
        <v>15361</v>
      </c>
      <c r="P8" s="63">
        <v>503.55799999999999</v>
      </c>
      <c r="Q8" s="63">
        <v>508.06099999999998</v>
      </c>
      <c r="R8" s="61">
        <f t="shared" si="636"/>
        <v>1.00894237</v>
      </c>
      <c r="S8" s="59"/>
    </row>
    <row r="9">
      <c r="A9" s="44" t="s">
        <v>15341</v>
      </c>
      <c r="B9" s="52" t="s">
        <v>15362</v>
      </c>
      <c r="C9" s="46" t="s">
        <v>15363</v>
      </c>
      <c r="D9" s="47" t="s">
        <v>15364</v>
      </c>
      <c r="E9" s="48">
        <v>2080.6338999999998</v>
      </c>
      <c r="F9" s="49">
        <v>2158.96</v>
      </c>
      <c r="G9" s="50"/>
      <c r="H9" s="51">
        <f t="shared" si="635"/>
        <v>1.00751211</v>
      </c>
      <c r="O9" s="60" t="s">
        <v>15365</v>
      </c>
      <c r="P9" s="63">
        <v>593.16700000000003</v>
      </c>
      <c r="Q9" s="5">
        <v>599.279</v>
      </c>
      <c r="R9" s="61">
        <f t="shared" si="636"/>
        <v>1.01030401</v>
      </c>
      <c r="S9" s="59"/>
    </row>
    <row r="10" ht="25.5">
      <c r="A10" s="44" t="s">
        <v>15341</v>
      </c>
      <c r="B10" s="52" t="s">
        <v>15366</v>
      </c>
      <c r="C10" s="46" t="s">
        <v>15367</v>
      </c>
      <c r="D10" s="47" t="s">
        <v>15344</v>
      </c>
      <c r="E10" s="48">
        <v>1418.1351999999999</v>
      </c>
      <c r="F10" s="49">
        <f t="shared" si="634"/>
        <v>1428.79</v>
      </c>
      <c r="G10" s="50"/>
      <c r="H10" s="51">
        <f t="shared" si="635"/>
        <v>1.00751211</v>
      </c>
      <c r="O10" s="60" t="s">
        <v>15341</v>
      </c>
      <c r="P10" s="63">
        <v>495.86599999999999</v>
      </c>
      <c r="Q10" s="63">
        <v>499.59100000000001</v>
      </c>
      <c r="R10" s="61">
        <f t="shared" si="636"/>
        <v>1.00751211</v>
      </c>
      <c r="S10" s="59"/>
    </row>
    <row r="11">
      <c r="A11" s="44" t="s">
        <v>15341</v>
      </c>
      <c r="B11" s="52" t="s">
        <v>15368</v>
      </c>
      <c r="C11" s="46" t="s">
        <v>15369</v>
      </c>
      <c r="D11" s="47" t="s">
        <v>15370</v>
      </c>
      <c r="E11" s="48">
        <v>3.5002</v>
      </c>
      <c r="F11" s="49">
        <f t="shared" si="634"/>
        <v>3.5299999999999998</v>
      </c>
      <c r="G11" s="50"/>
      <c r="H11" s="51">
        <f t="shared" si="635"/>
        <v>1.00751211</v>
      </c>
      <c r="O11" s="60" t="s">
        <v>15371</v>
      </c>
      <c r="P11" s="63">
        <v>274.02300000000002</v>
      </c>
      <c r="Q11" s="63">
        <v>276.90699999999998</v>
      </c>
      <c r="R11" s="61">
        <f t="shared" si="636"/>
        <v>1.01052466</v>
      </c>
      <c r="S11" s="59"/>
    </row>
    <row r="12" ht="25.5">
      <c r="A12" s="44" t="s">
        <v>15341</v>
      </c>
      <c r="B12" s="52" t="s">
        <v>15372</v>
      </c>
      <c r="C12" s="46" t="s">
        <v>15373</v>
      </c>
      <c r="D12" s="47" t="s">
        <v>15344</v>
      </c>
      <c r="E12" s="48">
        <v>1458.5081</v>
      </c>
      <c r="F12" s="49">
        <f t="shared" si="634"/>
        <v>1469.46</v>
      </c>
      <c r="G12" s="50"/>
      <c r="H12" s="51">
        <f t="shared" si="635"/>
        <v>1.00751211</v>
      </c>
      <c r="O12" s="60" t="s">
        <v>15374</v>
      </c>
      <c r="P12" s="63">
        <v>161.41999999999999</v>
      </c>
      <c r="Q12" s="63">
        <v>162.845</v>
      </c>
      <c r="R12" s="61">
        <f t="shared" si="636"/>
        <v>1.0088279</v>
      </c>
      <c r="S12" s="59"/>
    </row>
    <row r="13" ht="25.5">
      <c r="A13" s="44" t="s">
        <v>15341</v>
      </c>
      <c r="B13" s="52" t="s">
        <v>15375</v>
      </c>
      <c r="C13" s="46" t="s">
        <v>15376</v>
      </c>
      <c r="D13" s="47" t="s">
        <v>15344</v>
      </c>
      <c r="E13" s="48">
        <v>1933.3742</v>
      </c>
      <c r="F13" s="49">
        <f t="shared" si="634"/>
        <v>1947.9000000000001</v>
      </c>
      <c r="G13" s="50"/>
      <c r="H13" s="51">
        <f t="shared" si="635"/>
        <v>1.00751211</v>
      </c>
      <c r="O13" s="60" t="s">
        <v>15377</v>
      </c>
      <c r="P13" s="63">
        <v>168.947</v>
      </c>
      <c r="Q13" s="63">
        <v>172.197</v>
      </c>
      <c r="R13" s="61">
        <f t="shared" si="636"/>
        <v>1.0192368000000001</v>
      </c>
      <c r="S13" s="59"/>
    </row>
    <row r="14" ht="25.5">
      <c r="A14" s="44" t="s">
        <v>15341</v>
      </c>
      <c r="B14" s="52" t="s">
        <v>15378</v>
      </c>
      <c r="C14" s="46" t="s">
        <v>15379</v>
      </c>
      <c r="D14" s="47" t="s">
        <v>15344</v>
      </c>
      <c r="E14" s="48">
        <v>3511.3647000000001</v>
      </c>
      <c r="F14" s="49">
        <f t="shared" si="634"/>
        <v>3537.7399999999998</v>
      </c>
      <c r="G14" s="50"/>
      <c r="H14" s="51">
        <f t="shared" si="635"/>
        <v>1.00751211</v>
      </c>
      <c r="O14" s="64" t="s">
        <v>15380</v>
      </c>
      <c r="P14" s="65">
        <v>469.73200000000003</v>
      </c>
      <c r="Q14" s="65">
        <v>473.21300000000002</v>
      </c>
      <c r="R14" s="66">
        <f t="shared" si="636"/>
        <v>1.00741061</v>
      </c>
      <c r="S14" s="67"/>
    </row>
    <row r="15" ht="15.75" customHeight="1">
      <c r="A15" s="44" t="s">
        <v>15341</v>
      </c>
      <c r="B15" s="68" t="s">
        <v>15381</v>
      </c>
      <c r="C15" s="69" t="s">
        <v>15382</v>
      </c>
      <c r="D15" s="70" t="s">
        <v>15383</v>
      </c>
      <c r="E15" s="50">
        <v>46.3992</v>
      </c>
      <c r="F15" s="49">
        <f t="shared" si="634"/>
        <v>46.75</v>
      </c>
      <c r="G15" s="50"/>
      <c r="H15" s="51">
        <f t="shared" si="635"/>
        <v>1.00751211</v>
      </c>
    </row>
    <row r="16" ht="38.25">
      <c r="A16" s="44" t="s">
        <v>15358</v>
      </c>
      <c r="B16" s="71" t="s">
        <v>15384</v>
      </c>
      <c r="C16" s="46" t="s">
        <v>15385</v>
      </c>
      <c r="D16" s="70" t="s">
        <v>15383</v>
      </c>
      <c r="E16" s="50">
        <v>41.782699999999998</v>
      </c>
      <c r="F16" s="49">
        <f t="shared" si="634"/>
        <v>42.82</v>
      </c>
      <c r="G16" s="50"/>
      <c r="H16" s="51">
        <f t="shared" si="635"/>
        <v>1.02491628</v>
      </c>
    </row>
    <row r="17" ht="25.5">
      <c r="A17" s="44" t="s">
        <v>15358</v>
      </c>
      <c r="B17" s="52" t="s">
        <v>15386</v>
      </c>
      <c r="C17" s="46" t="s">
        <v>15387</v>
      </c>
      <c r="D17" s="70" t="s">
        <v>15383</v>
      </c>
      <c r="E17" s="50">
        <v>21.722999999999999</v>
      </c>
      <c r="F17" s="49">
        <f t="shared" si="634"/>
        <v>22.260000000000002</v>
      </c>
      <c r="G17" s="50"/>
      <c r="H17" s="51">
        <f t="shared" si="635"/>
        <v>1.02491628</v>
      </c>
    </row>
    <row r="18" ht="25.5">
      <c r="A18" s="44" t="s">
        <v>15358</v>
      </c>
      <c r="B18" s="52" t="s">
        <v>15388</v>
      </c>
      <c r="C18" s="46" t="s">
        <v>15389</v>
      </c>
      <c r="D18" s="70" t="s">
        <v>15383</v>
      </c>
      <c r="E18" s="50">
        <v>28.097200000000001</v>
      </c>
      <c r="F18" s="49">
        <f t="shared" si="634"/>
        <v>28.800000000000001</v>
      </c>
      <c r="G18" s="50"/>
      <c r="H18" s="51">
        <f t="shared" si="635"/>
        <v>1.02491628</v>
      </c>
    </row>
    <row r="19" ht="25.5">
      <c r="A19" s="44" t="s">
        <v>15358</v>
      </c>
      <c r="B19" s="52" t="s">
        <v>15390</v>
      </c>
      <c r="C19" s="46" t="s">
        <v>15391</v>
      </c>
      <c r="D19" s="70" t="s">
        <v>15383</v>
      </c>
      <c r="E19" s="50">
        <v>29.099299999999999</v>
      </c>
      <c r="F19" s="49">
        <f t="shared" si="634"/>
        <v>29.82</v>
      </c>
      <c r="G19" s="50"/>
      <c r="H19" s="72">
        <f t="shared" si="635"/>
        <v>1.02491628</v>
      </c>
    </row>
    <row r="20" ht="25.5">
      <c r="A20" s="44" t="s">
        <v>15358</v>
      </c>
      <c r="B20" s="52" t="s">
        <v>15392</v>
      </c>
      <c r="C20" s="46" t="s">
        <v>15393</v>
      </c>
      <c r="D20" s="70" t="s">
        <v>15383</v>
      </c>
      <c r="E20" s="50">
        <v>31.217099999999999</v>
      </c>
      <c r="F20" s="49">
        <f t="shared" si="634"/>
        <v>31.989999999999998</v>
      </c>
      <c r="G20" s="50"/>
      <c r="H20" s="51">
        <f t="shared" si="635"/>
        <v>1.02491628</v>
      </c>
    </row>
    <row r="21" ht="25.5">
      <c r="A21" s="44" t="s">
        <v>15358</v>
      </c>
      <c r="B21" s="52" t="s">
        <v>15394</v>
      </c>
      <c r="C21" s="46" t="s">
        <v>15395</v>
      </c>
      <c r="D21" s="70" t="s">
        <v>15383</v>
      </c>
      <c r="E21" s="50">
        <v>41.3001</v>
      </c>
      <c r="F21" s="49">
        <f t="shared" si="634"/>
        <v>42.329999999999998</v>
      </c>
      <c r="G21" s="50"/>
      <c r="H21" s="51">
        <f t="shared" si="635"/>
        <v>1.02491628</v>
      </c>
    </row>
    <row r="22" ht="25.5">
      <c r="A22" s="44" t="s">
        <v>15358</v>
      </c>
      <c r="B22" s="52" t="s">
        <v>15396</v>
      </c>
      <c r="C22" s="46" t="s">
        <v>15397</v>
      </c>
      <c r="D22" s="70" t="s">
        <v>15383</v>
      </c>
      <c r="E22" s="50">
        <v>61.445399999999999</v>
      </c>
      <c r="F22" s="49">
        <f t="shared" si="634"/>
        <v>62.979999999999997</v>
      </c>
      <c r="G22" s="50"/>
      <c r="H22" s="51">
        <f t="shared" si="635"/>
        <v>1.02491628</v>
      </c>
    </row>
    <row r="23" ht="25.5">
      <c r="A23" s="44" t="s">
        <v>15358</v>
      </c>
      <c r="B23" s="52" t="s">
        <v>15398</v>
      </c>
      <c r="C23" s="46" t="s">
        <v>15399</v>
      </c>
      <c r="D23" s="70" t="s">
        <v>15383</v>
      </c>
      <c r="E23" s="50">
        <v>81.569900000000004</v>
      </c>
      <c r="F23" s="49">
        <f t="shared" si="634"/>
        <v>83.599999999999994</v>
      </c>
      <c r="G23" s="50"/>
      <c r="H23" s="51">
        <f t="shared" si="635"/>
        <v>1.02491628</v>
      </c>
    </row>
    <row r="24">
      <c r="A24" s="44" t="s">
        <v>15365</v>
      </c>
      <c r="B24" s="52" t="s">
        <v>15400</v>
      </c>
      <c r="C24" s="46" t="s">
        <v>15401</v>
      </c>
      <c r="D24" s="47" t="s">
        <v>15364</v>
      </c>
      <c r="E24" s="48">
        <v>54.0139</v>
      </c>
      <c r="F24" s="49">
        <f t="shared" si="634"/>
        <v>54.57</v>
      </c>
      <c r="G24" s="50"/>
      <c r="H24" s="51">
        <f t="shared" si="635"/>
        <v>1.01030401</v>
      </c>
    </row>
    <row r="25" ht="25.5">
      <c r="A25" s="44" t="s">
        <v>15365</v>
      </c>
      <c r="B25" s="52" t="s">
        <v>15402</v>
      </c>
      <c r="C25" s="46" t="s">
        <v>15403</v>
      </c>
      <c r="D25" s="47" t="s">
        <v>15364</v>
      </c>
      <c r="E25" s="48">
        <v>535.59130000000005</v>
      </c>
      <c r="F25" s="49">
        <f t="shared" si="634"/>
        <v>541.11000000000001</v>
      </c>
      <c r="G25" s="50"/>
      <c r="H25" s="51">
        <f t="shared" si="635"/>
        <v>1.01030401</v>
      </c>
    </row>
    <row r="26">
      <c r="A26" s="44" t="s">
        <v>15365</v>
      </c>
      <c r="B26" s="52" t="s">
        <v>15404</v>
      </c>
      <c r="C26" s="46" t="s">
        <v>15405</v>
      </c>
      <c r="D26" s="47" t="s">
        <v>15364</v>
      </c>
      <c r="E26" s="48">
        <v>1939.2893999999999</v>
      </c>
      <c r="F26" s="49">
        <f t="shared" si="634"/>
        <v>1959.27</v>
      </c>
      <c r="G26" s="50"/>
      <c r="H26" s="51">
        <f t="shared" si="635"/>
        <v>1.01030401</v>
      </c>
    </row>
    <row r="27">
      <c r="A27" s="44" t="s">
        <v>15365</v>
      </c>
      <c r="B27" s="52" t="s">
        <v>15406</v>
      </c>
      <c r="C27" s="46" t="s">
        <v>15407</v>
      </c>
      <c r="D27" s="47" t="s">
        <v>15364</v>
      </c>
      <c r="E27" s="48">
        <v>1331.7545</v>
      </c>
      <c r="F27" s="49">
        <f t="shared" si="634"/>
        <v>1345.48</v>
      </c>
      <c r="G27" s="50"/>
      <c r="H27" s="51">
        <f t="shared" si="635"/>
        <v>1.01030401</v>
      </c>
    </row>
    <row r="28">
      <c r="A28" s="44" t="s">
        <v>15358</v>
      </c>
      <c r="B28" s="52" t="s">
        <v>15408</v>
      </c>
      <c r="C28" s="46" t="s">
        <v>15409</v>
      </c>
      <c r="D28" s="47" t="s">
        <v>15410</v>
      </c>
      <c r="E28" s="48">
        <v>32.830599999999997</v>
      </c>
      <c r="F28" s="49">
        <f t="shared" si="634"/>
        <v>33.649999999999999</v>
      </c>
      <c r="G28" s="50"/>
      <c r="H28" s="51">
        <f t="shared" si="635"/>
        <v>1.02491628</v>
      </c>
    </row>
    <row r="29" ht="25.5">
      <c r="A29" s="44" t="s">
        <v>15371</v>
      </c>
      <c r="B29" s="73" t="s">
        <v>15411</v>
      </c>
      <c r="C29" s="46" t="s">
        <v>15412</v>
      </c>
      <c r="D29" s="47" t="s">
        <v>15410</v>
      </c>
      <c r="E29" s="48">
        <v>174.0453</v>
      </c>
      <c r="F29" s="49">
        <f t="shared" si="634"/>
        <v>175.88</v>
      </c>
      <c r="G29" s="50"/>
      <c r="H29" s="51">
        <f t="shared" si="635"/>
        <v>1.01052466</v>
      </c>
    </row>
    <row r="30" ht="25.5">
      <c r="A30" s="44" t="s">
        <v>15371</v>
      </c>
      <c r="B30" s="52" t="s">
        <v>15413</v>
      </c>
      <c r="C30" s="46" t="s">
        <v>15412</v>
      </c>
      <c r="D30" s="74" t="s">
        <v>15414</v>
      </c>
      <c r="E30" s="75">
        <v>68.988299999999995</v>
      </c>
      <c r="F30" s="49">
        <f t="shared" si="634"/>
        <v>69.709999999999994</v>
      </c>
      <c r="G30" s="50"/>
      <c r="H30" s="51">
        <f t="shared" si="635"/>
        <v>1.01052466</v>
      </c>
    </row>
    <row r="31" ht="38.25">
      <c r="A31" s="44" t="s">
        <v>15358</v>
      </c>
      <c r="B31" s="52">
        <v>5501700</v>
      </c>
      <c r="C31" s="46" t="s">
        <v>15415</v>
      </c>
      <c r="D31" s="47" t="s">
        <v>15383</v>
      </c>
      <c r="E31" s="75">
        <v>0.76000000000000001</v>
      </c>
      <c r="F31" s="49">
        <f t="shared" si="634"/>
        <v>0.78000000000000003</v>
      </c>
      <c r="G31" s="50"/>
      <c r="H31" s="51">
        <f t="shared" si="635"/>
        <v>1.02491628</v>
      </c>
    </row>
    <row r="32" ht="25.5">
      <c r="A32" s="44" t="s">
        <v>15358</v>
      </c>
      <c r="B32" s="52">
        <v>5501701</v>
      </c>
      <c r="C32" s="46" t="s">
        <v>15416</v>
      </c>
      <c r="D32" s="47" t="s">
        <v>15364</v>
      </c>
      <c r="E32" s="75">
        <v>55.909999999999997</v>
      </c>
      <c r="F32" s="49">
        <f t="shared" si="634"/>
        <v>57.299999999999997</v>
      </c>
      <c r="G32" s="50"/>
      <c r="H32" s="51">
        <f t="shared" si="635"/>
        <v>1.02491628</v>
      </c>
    </row>
    <row r="33">
      <c r="A33" s="44" t="s">
        <v>15358</v>
      </c>
      <c r="B33" s="52">
        <v>4915768</v>
      </c>
      <c r="C33" s="46" t="s">
        <v>15417</v>
      </c>
      <c r="D33" s="47" t="s">
        <v>15418</v>
      </c>
      <c r="E33" s="48">
        <v>16.41</v>
      </c>
      <c r="F33" s="49">
        <f t="shared" si="634"/>
        <v>16.82</v>
      </c>
      <c r="G33" s="50"/>
      <c r="H33" s="51">
        <f t="shared" si="635"/>
        <v>1.02491628</v>
      </c>
    </row>
    <row r="34">
      <c r="A34" s="44" t="s">
        <v>15358</v>
      </c>
      <c r="B34" s="52">
        <v>5502985</v>
      </c>
      <c r="C34" s="46" t="s">
        <v>15419</v>
      </c>
      <c r="D34" s="47" t="s">
        <v>15383</v>
      </c>
      <c r="E34" s="48">
        <v>0.81999999999999995</v>
      </c>
      <c r="F34" s="49">
        <f t="shared" si="634"/>
        <v>0.83999999999999997</v>
      </c>
      <c r="G34" s="50"/>
      <c r="H34" s="51">
        <f t="shared" si="635"/>
        <v>1.02491628</v>
      </c>
    </row>
    <row r="35" ht="25.5">
      <c r="A35" s="44" t="s">
        <v>15358</v>
      </c>
      <c r="B35" s="52" t="s">
        <v>15420</v>
      </c>
      <c r="C35" s="46" t="s">
        <v>15421</v>
      </c>
      <c r="D35" s="47" t="s">
        <v>15383</v>
      </c>
      <c r="E35" s="48">
        <v>7.6699999999999999</v>
      </c>
      <c r="F35" s="49">
        <f t="shared" si="634"/>
        <v>7.8600000000000003</v>
      </c>
      <c r="G35" s="50"/>
      <c r="H35" s="51">
        <f t="shared" si="635"/>
        <v>1.02491628</v>
      </c>
    </row>
    <row r="36" ht="25.5">
      <c r="A36" s="44" t="s">
        <v>15358</v>
      </c>
      <c r="B36" s="52" t="s">
        <v>15422</v>
      </c>
      <c r="C36" s="46" t="s">
        <v>15423</v>
      </c>
      <c r="D36" s="47" t="s">
        <v>15383</v>
      </c>
      <c r="E36" s="48">
        <v>17.010000000000002</v>
      </c>
      <c r="F36" s="49">
        <f t="shared" si="634"/>
        <v>17.43</v>
      </c>
      <c r="G36" s="50"/>
      <c r="H36" s="51">
        <f t="shared" si="635"/>
        <v>1.02491628</v>
      </c>
    </row>
    <row r="37" ht="25.5">
      <c r="A37" s="44" t="s">
        <v>15358</v>
      </c>
      <c r="B37" s="52">
        <v>1516298</v>
      </c>
      <c r="C37" s="46" t="s">
        <v>15424</v>
      </c>
      <c r="D37" s="47" t="s">
        <v>15383</v>
      </c>
      <c r="E37" s="48">
        <v>30.890000000000001</v>
      </c>
      <c r="F37" s="49">
        <f t="shared" si="634"/>
        <v>31.66</v>
      </c>
      <c r="G37" s="50"/>
      <c r="H37" s="51">
        <f t="shared" si="635"/>
        <v>1.02491628</v>
      </c>
    </row>
    <row r="38" ht="25.5">
      <c r="A38" s="44" t="s">
        <v>15358</v>
      </c>
      <c r="B38" s="52" t="s">
        <v>15425</v>
      </c>
      <c r="C38" s="46" t="s">
        <v>15426</v>
      </c>
      <c r="D38" s="47" t="s">
        <v>15383</v>
      </c>
      <c r="E38" s="48">
        <v>33.119999999999997</v>
      </c>
      <c r="F38" s="49">
        <f t="shared" si="634"/>
        <v>33.950000000000003</v>
      </c>
      <c r="G38" s="50"/>
      <c r="H38" s="51">
        <f t="shared" si="635"/>
        <v>1.02491628</v>
      </c>
    </row>
    <row r="39" ht="25.5">
      <c r="A39" s="44" t="s">
        <v>15358</v>
      </c>
      <c r="B39" s="52" t="s">
        <v>15427</v>
      </c>
      <c r="C39" s="46" t="s">
        <v>15428</v>
      </c>
      <c r="D39" s="47" t="s">
        <v>15383</v>
      </c>
      <c r="E39" s="76">
        <v>43.700000000000003</v>
      </c>
      <c r="F39" s="49">
        <f t="shared" si="634"/>
        <v>44.789999999999999</v>
      </c>
      <c r="G39" s="50"/>
      <c r="H39" s="51">
        <f t="shared" si="635"/>
        <v>1.02491628</v>
      </c>
    </row>
    <row r="40" ht="25.5">
      <c r="A40" s="44" t="s">
        <v>15358</v>
      </c>
      <c r="B40" s="52">
        <v>1516301</v>
      </c>
      <c r="C40" s="46" t="s">
        <v>15429</v>
      </c>
      <c r="D40" s="47" t="s">
        <v>15383</v>
      </c>
      <c r="E40" s="76">
        <v>64.980000000000004</v>
      </c>
      <c r="F40" s="49">
        <f t="shared" si="634"/>
        <v>66.599999999999994</v>
      </c>
      <c r="G40" s="50"/>
      <c r="H40" s="51">
        <f t="shared" si="635"/>
        <v>1.02491628</v>
      </c>
    </row>
    <row r="41" ht="25.5">
      <c r="A41" s="44" t="s">
        <v>15358</v>
      </c>
      <c r="B41" s="52" t="s">
        <v>15430</v>
      </c>
      <c r="C41" s="46" t="s">
        <v>15431</v>
      </c>
      <c r="D41" s="47" t="s">
        <v>15383</v>
      </c>
      <c r="E41" s="48">
        <v>86.109999999999999</v>
      </c>
      <c r="F41" s="49">
        <f t="shared" si="634"/>
        <v>88.260000000000005</v>
      </c>
      <c r="G41" s="50"/>
      <c r="H41" s="51">
        <f t="shared" si="635"/>
        <v>1.02491628</v>
      </c>
    </row>
    <row r="42" ht="25.5">
      <c r="A42" s="44" t="s">
        <v>15358</v>
      </c>
      <c r="B42" s="52">
        <v>1516296</v>
      </c>
      <c r="C42" s="46" t="s">
        <v>15432</v>
      </c>
      <c r="D42" s="47" t="s">
        <v>15383</v>
      </c>
      <c r="E42" s="48">
        <v>23.02</v>
      </c>
      <c r="F42" s="49">
        <f t="shared" si="634"/>
        <v>23.59</v>
      </c>
      <c r="G42" s="50"/>
      <c r="H42" s="51">
        <f t="shared" si="635"/>
        <v>1.02491628</v>
      </c>
    </row>
    <row r="43" ht="25.5">
      <c r="A43" s="44" t="s">
        <v>15358</v>
      </c>
      <c r="B43" s="52">
        <v>1516297</v>
      </c>
      <c r="C43" s="46" t="s">
        <v>15433</v>
      </c>
      <c r="D43" s="47" t="s">
        <v>15383</v>
      </c>
      <c r="E43" s="48">
        <v>29.84</v>
      </c>
      <c r="F43" s="49">
        <f t="shared" si="634"/>
        <v>30.579999999999998</v>
      </c>
      <c r="G43" s="50"/>
      <c r="H43" s="51">
        <f t="shared" si="635"/>
        <v>1.02491628</v>
      </c>
    </row>
    <row r="44" ht="25.5">
      <c r="A44" s="44" t="s">
        <v>15341</v>
      </c>
      <c r="B44" s="52">
        <v>2003310</v>
      </c>
      <c r="C44" s="46" t="s">
        <v>15434</v>
      </c>
      <c r="D44" s="47" t="s">
        <v>15344</v>
      </c>
      <c r="E44" s="48">
        <v>57.630000000000003</v>
      </c>
      <c r="F44" s="49">
        <f t="shared" si="634"/>
        <v>58.060000000000002</v>
      </c>
      <c r="G44" s="50"/>
      <c r="H44" s="51">
        <f t="shared" si="635"/>
        <v>1.00751211</v>
      </c>
    </row>
    <row r="45" ht="25.5">
      <c r="A45" s="44" t="s">
        <v>15341</v>
      </c>
      <c r="B45" s="52">
        <v>2003311</v>
      </c>
      <c r="C45" s="46" t="s">
        <v>15435</v>
      </c>
      <c r="D45" s="47" t="s">
        <v>15344</v>
      </c>
      <c r="E45" s="48">
        <v>45.600000000000001</v>
      </c>
      <c r="F45" s="49">
        <f t="shared" si="634"/>
        <v>45.939999999999998</v>
      </c>
      <c r="G45" s="50"/>
      <c r="H45" s="51">
        <f t="shared" si="635"/>
        <v>1.00751211</v>
      </c>
    </row>
    <row r="46" ht="25.5">
      <c r="A46" s="44" t="s">
        <v>15341</v>
      </c>
      <c r="B46" s="52">
        <v>2003313</v>
      </c>
      <c r="C46" s="46" t="s">
        <v>15436</v>
      </c>
      <c r="D46" s="47" t="s">
        <v>15344</v>
      </c>
      <c r="E46" s="48">
        <v>125.40000000000001</v>
      </c>
      <c r="F46" s="49">
        <f t="shared" si="634"/>
        <v>126.34</v>
      </c>
      <c r="G46" s="50"/>
      <c r="H46" s="51">
        <f t="shared" si="635"/>
        <v>1.00751211</v>
      </c>
    </row>
    <row r="47" ht="25.5">
      <c r="A47" s="44" t="s">
        <v>15341</v>
      </c>
      <c r="B47" s="52">
        <v>2003315</v>
      </c>
      <c r="C47" s="46" t="s">
        <v>15437</v>
      </c>
      <c r="D47" s="47" t="s">
        <v>15344</v>
      </c>
      <c r="E47" s="48">
        <v>99.980000000000004</v>
      </c>
      <c r="F47" s="49">
        <f t="shared" si="634"/>
        <v>100.73</v>
      </c>
      <c r="G47" s="50"/>
      <c r="H47" s="51">
        <f t="shared" si="635"/>
        <v>1.00751211</v>
      </c>
    </row>
    <row r="48" ht="38.25">
      <c r="A48" s="44" t="s">
        <v>15341</v>
      </c>
      <c r="B48" s="52">
        <v>2003842</v>
      </c>
      <c r="C48" s="46" t="s">
        <v>15438</v>
      </c>
      <c r="D48" s="47" t="s">
        <v>15370</v>
      </c>
      <c r="E48" s="48">
        <v>76.709999999999994</v>
      </c>
      <c r="F48" s="49">
        <f t="shared" si="634"/>
        <v>77.290000000000006</v>
      </c>
      <c r="G48" s="50"/>
      <c r="H48" s="51">
        <f t="shared" si="635"/>
        <v>1.00751211</v>
      </c>
    </row>
    <row r="49">
      <c r="A49" s="44" t="s">
        <v>15341</v>
      </c>
      <c r="B49" s="52">
        <v>4413996</v>
      </c>
      <c r="C49" s="46" t="s">
        <v>15439</v>
      </c>
      <c r="D49" s="47" t="s">
        <v>15383</v>
      </c>
      <c r="E49" s="48">
        <v>10.76</v>
      </c>
      <c r="F49" s="49">
        <f t="shared" si="634"/>
        <v>10.84</v>
      </c>
      <c r="G49" s="50"/>
      <c r="H49" s="51">
        <f t="shared" si="635"/>
        <v>1.00751211</v>
      </c>
    </row>
    <row r="50" ht="25.5">
      <c r="A50" s="44" t="s">
        <v>15341</v>
      </c>
      <c r="B50" s="52">
        <v>3108022</v>
      </c>
      <c r="C50" s="46" t="s">
        <v>15440</v>
      </c>
      <c r="D50" s="47" t="s">
        <v>15344</v>
      </c>
      <c r="E50" s="48">
        <v>3.6400000000000001</v>
      </c>
      <c r="F50" s="49">
        <f t="shared" si="634"/>
        <v>3.6699999999999999</v>
      </c>
      <c r="G50" s="50"/>
      <c r="H50" s="51">
        <f t="shared" si="635"/>
        <v>1.00751211</v>
      </c>
    </row>
    <row r="51" ht="25.5">
      <c r="A51" s="44" t="s">
        <v>15341</v>
      </c>
      <c r="B51" s="68" t="s">
        <v>15441</v>
      </c>
      <c r="C51" s="77" t="s">
        <v>15442</v>
      </c>
      <c r="D51" s="47" t="s">
        <v>15443</v>
      </c>
      <c r="E51" s="48">
        <v>0.70830000000000004</v>
      </c>
      <c r="F51" s="49">
        <f t="shared" si="634"/>
        <v>0.70999999999999996</v>
      </c>
      <c r="G51" s="50"/>
      <c r="H51" s="51">
        <f t="shared" si="635"/>
        <v>1.00751211</v>
      </c>
    </row>
    <row r="52">
      <c r="A52" s="44" t="s">
        <v>15341</v>
      </c>
      <c r="B52" s="74" t="s">
        <v>15444</v>
      </c>
      <c r="C52" s="77" t="s">
        <v>15445</v>
      </c>
      <c r="D52" s="47" t="s">
        <v>15364</v>
      </c>
      <c r="E52" s="48">
        <v>491.59039999999999</v>
      </c>
      <c r="F52" s="49">
        <f t="shared" si="634"/>
        <v>495.27999999999997</v>
      </c>
      <c r="G52" s="50"/>
      <c r="H52" s="51">
        <f t="shared" si="635"/>
        <v>1.00751211</v>
      </c>
    </row>
    <row r="53" ht="25.5">
      <c r="A53" s="44" t="s">
        <v>15341</v>
      </c>
      <c r="B53" s="74" t="s">
        <v>15446</v>
      </c>
      <c r="C53" s="77" t="s">
        <v>15447</v>
      </c>
      <c r="D53" s="47" t="s">
        <v>15410</v>
      </c>
      <c r="E53" s="48">
        <v>319.18150000000003</v>
      </c>
      <c r="F53" s="49">
        <f t="shared" si="634"/>
        <v>321.57999999999998</v>
      </c>
      <c r="G53" s="50"/>
      <c r="H53" s="51">
        <f t="shared" si="635"/>
        <v>1.00751211</v>
      </c>
    </row>
    <row r="54">
      <c r="A54" s="44" t="s">
        <v>15341</v>
      </c>
      <c r="B54" s="74" t="s">
        <v>15448</v>
      </c>
      <c r="C54" s="77" t="s">
        <v>15449</v>
      </c>
      <c r="D54" s="47" t="s">
        <v>15364</v>
      </c>
      <c r="E54" s="48">
        <v>6328.0986999999996</v>
      </c>
      <c r="F54" s="49">
        <f t="shared" si="634"/>
        <v>6375.6400000000003</v>
      </c>
      <c r="G54" s="50"/>
      <c r="H54" s="51">
        <f t="shared" si="635"/>
        <v>1.00751211</v>
      </c>
    </row>
    <row r="55" ht="25.5">
      <c r="A55" s="44" t="s">
        <v>15374</v>
      </c>
      <c r="B55" s="70" t="s">
        <v>15450</v>
      </c>
      <c r="C55" s="78" t="s">
        <v>15451</v>
      </c>
      <c r="D55" s="47" t="s">
        <v>15410</v>
      </c>
      <c r="E55" s="48">
        <v>69.340800000000002</v>
      </c>
      <c r="F55" s="49">
        <f t="shared" si="634"/>
        <v>69.950000000000003</v>
      </c>
      <c r="G55" s="50"/>
      <c r="H55" s="51">
        <f t="shared" si="635"/>
        <v>1.0088279</v>
      </c>
    </row>
    <row r="56" ht="25.5">
      <c r="A56" s="44" t="s">
        <v>15374</v>
      </c>
      <c r="B56" s="70" t="s">
        <v>15452</v>
      </c>
      <c r="C56" s="78" t="s">
        <v>15451</v>
      </c>
      <c r="D56" s="47" t="s">
        <v>15414</v>
      </c>
      <c r="E56" s="48">
        <v>39.329599999999999</v>
      </c>
      <c r="F56" s="49">
        <f t="shared" si="634"/>
        <v>39.68</v>
      </c>
      <c r="G56" s="50"/>
      <c r="H56" s="51">
        <f t="shared" si="635"/>
        <v>1.0088279</v>
      </c>
    </row>
    <row r="57" ht="25.5">
      <c r="A57" s="44" t="s">
        <v>15374</v>
      </c>
      <c r="B57" s="70" t="s">
        <v>15453</v>
      </c>
      <c r="C57" s="78" t="s">
        <v>15454</v>
      </c>
      <c r="D57" s="47" t="s">
        <v>15455</v>
      </c>
      <c r="E57" s="48">
        <v>32.343699999999998</v>
      </c>
      <c r="F57" s="49">
        <f t="shared" si="634"/>
        <v>32.630000000000003</v>
      </c>
      <c r="G57" s="50"/>
      <c r="H57" s="51">
        <f t="shared" si="635"/>
        <v>1.0088279</v>
      </c>
    </row>
    <row r="58" ht="25.5">
      <c r="A58" s="44" t="s">
        <v>15374</v>
      </c>
      <c r="B58" s="70" t="s">
        <v>15456</v>
      </c>
      <c r="C58" s="78" t="s">
        <v>15457</v>
      </c>
      <c r="D58" s="47" t="s">
        <v>15410</v>
      </c>
      <c r="E58" s="48">
        <v>93.782399999999996</v>
      </c>
      <c r="F58" s="49">
        <f t="shared" si="634"/>
        <v>94.609999999999999</v>
      </c>
      <c r="G58" s="50"/>
      <c r="H58" s="51">
        <f t="shared" si="635"/>
        <v>1.0088279</v>
      </c>
    </row>
    <row r="59" ht="25.5">
      <c r="A59" s="44" t="s">
        <v>15374</v>
      </c>
      <c r="B59" s="70" t="s">
        <v>15458</v>
      </c>
      <c r="C59" s="78" t="s">
        <v>15457</v>
      </c>
      <c r="D59" s="47" t="s">
        <v>15414</v>
      </c>
      <c r="E59" s="48">
        <v>52.617899999999999</v>
      </c>
      <c r="F59" s="49">
        <f t="shared" si="634"/>
        <v>53.079999999999998</v>
      </c>
      <c r="G59" s="50"/>
      <c r="H59" s="51">
        <f t="shared" si="635"/>
        <v>1.0088279</v>
      </c>
    </row>
    <row r="60" ht="38.25">
      <c r="A60" s="44" t="s">
        <v>15377</v>
      </c>
      <c r="B60" s="70" t="s">
        <v>15459</v>
      </c>
      <c r="C60" s="78" t="s">
        <v>15460</v>
      </c>
      <c r="D60" s="47" t="s">
        <v>15410</v>
      </c>
      <c r="E60" s="48">
        <v>400.58440000000002</v>
      </c>
      <c r="F60" s="49">
        <f t="shared" si="634"/>
        <v>408.29000000000002</v>
      </c>
      <c r="G60" s="50"/>
      <c r="H60" s="51">
        <f t="shared" si="635"/>
        <v>1.0192368000000001</v>
      </c>
    </row>
    <row r="61" ht="25.5">
      <c r="A61" s="44" t="s">
        <v>15377</v>
      </c>
      <c r="B61" s="70" t="s">
        <v>15461</v>
      </c>
      <c r="C61" s="78" t="s">
        <v>15462</v>
      </c>
      <c r="D61" s="47" t="s">
        <v>15364</v>
      </c>
      <c r="E61" s="48">
        <v>1267.9150999999999</v>
      </c>
      <c r="F61" s="49">
        <f t="shared" si="634"/>
        <v>1292.3099999999999</v>
      </c>
      <c r="G61" s="50"/>
      <c r="H61" s="51">
        <f t="shared" si="635"/>
        <v>1.0192368000000001</v>
      </c>
    </row>
    <row r="62" ht="25.5">
      <c r="A62" s="44" t="s">
        <v>15341</v>
      </c>
      <c r="B62" s="70" t="s">
        <v>15463</v>
      </c>
      <c r="C62" s="78" t="s">
        <v>15464</v>
      </c>
      <c r="D62" s="47" t="s">
        <v>15443</v>
      </c>
      <c r="E62" s="48">
        <v>641.50639999999999</v>
      </c>
      <c r="F62" s="49">
        <f t="shared" si="634"/>
        <v>646.33000000000004</v>
      </c>
      <c r="G62" s="50"/>
      <c r="H62" s="51">
        <f t="shared" si="635"/>
        <v>1.00751211</v>
      </c>
    </row>
    <row r="63">
      <c r="A63" s="44" t="s">
        <v>15341</v>
      </c>
      <c r="B63" s="70" t="s">
        <v>15465</v>
      </c>
      <c r="C63" s="78" t="s">
        <v>15466</v>
      </c>
      <c r="D63" s="47" t="s">
        <v>15410</v>
      </c>
      <c r="E63" s="48">
        <v>21.2193</v>
      </c>
      <c r="F63" s="49">
        <f t="shared" si="634"/>
        <v>21.379999999999999</v>
      </c>
      <c r="G63" s="50"/>
      <c r="H63" s="51">
        <f t="shared" si="635"/>
        <v>1.00751211</v>
      </c>
    </row>
    <row r="64" ht="25.5">
      <c r="A64" s="44" t="s">
        <v>15377</v>
      </c>
      <c r="B64" s="79" t="s">
        <v>15467</v>
      </c>
      <c r="C64" s="78" t="s">
        <v>15468</v>
      </c>
      <c r="D64" s="47" t="s">
        <v>15344</v>
      </c>
      <c r="E64" s="48">
        <v>36.517899999999997</v>
      </c>
      <c r="F64" s="49">
        <f t="shared" si="634"/>
        <v>37.219999999999999</v>
      </c>
      <c r="G64" s="50"/>
      <c r="H64" s="51">
        <f t="shared" si="635"/>
        <v>1.0192368000000001</v>
      </c>
    </row>
    <row r="65" ht="25.5">
      <c r="A65" s="44" t="s">
        <v>15377</v>
      </c>
      <c r="B65" s="70" t="s">
        <v>15469</v>
      </c>
      <c r="C65" s="78" t="s">
        <v>15470</v>
      </c>
      <c r="D65" s="47" t="s">
        <v>15410</v>
      </c>
      <c r="E65" s="48">
        <v>4.9711999999999996</v>
      </c>
      <c r="F65" s="49">
        <f t="shared" si="634"/>
        <v>5.0700000000000003</v>
      </c>
      <c r="G65" s="50"/>
      <c r="H65" s="51">
        <f t="shared" si="635"/>
        <v>1.0192368000000001</v>
      </c>
    </row>
    <row r="66" ht="25.5">
      <c r="A66" s="44" t="s">
        <v>15377</v>
      </c>
      <c r="B66" s="70" t="s">
        <v>15471</v>
      </c>
      <c r="C66" s="78" t="s">
        <v>15470</v>
      </c>
      <c r="D66" s="47" t="s">
        <v>15414</v>
      </c>
      <c r="E66" s="48">
        <v>0.37</v>
      </c>
      <c r="F66" s="49">
        <f t="shared" ref="F66:F110" si="637">E66*H66</f>
        <v>0.38</v>
      </c>
      <c r="G66" s="50"/>
      <c r="H66" s="51">
        <f t="shared" ref="H66:H110" si="638">IF(A66="Sem Reajuste",$R$6,IF(A66="Terraplenagem",$R$7,IF(A66="Obras Arte Especiais",$R$8,IF(A66="Pavimentação",$R$9,IF(A66="Drenagem",$R$10,IF(A66="Sinalização Vertical",$R$11,IF(A66="Administração Local",$R$12,IF(A66="Obras Compl e Meio Ambiente",$R$13,IF(A66="Sinalização Horizontal",$R$14,0)))))))))</f>
        <v>1.0192368000000001</v>
      </c>
    </row>
    <row r="67" ht="25.5">
      <c r="A67" s="44" t="s">
        <v>15377</v>
      </c>
      <c r="B67" s="70" t="s">
        <v>15472</v>
      </c>
      <c r="C67" s="78" t="s">
        <v>15473</v>
      </c>
      <c r="D67" s="47" t="s">
        <v>15364</v>
      </c>
      <c r="E67" s="48">
        <v>23.970099999999999</v>
      </c>
      <c r="F67" s="49">
        <f t="shared" si="637"/>
        <v>24.43</v>
      </c>
      <c r="G67" s="50"/>
      <c r="H67" s="51">
        <f t="shared" si="638"/>
        <v>1.0192368000000001</v>
      </c>
    </row>
    <row r="68" ht="25.5">
      <c r="A68" s="44" t="s">
        <v>15341</v>
      </c>
      <c r="B68" s="79" t="s">
        <v>15474</v>
      </c>
      <c r="C68" s="78" t="s">
        <v>15475</v>
      </c>
      <c r="D68" s="47" t="s">
        <v>15410</v>
      </c>
      <c r="E68" s="48">
        <v>403.80489999999998</v>
      </c>
      <c r="F68" s="49">
        <f t="shared" si="637"/>
        <v>406.83999999999997</v>
      </c>
      <c r="G68" s="50"/>
      <c r="H68" s="51">
        <f t="shared" si="638"/>
        <v>1.00751211</v>
      </c>
    </row>
    <row r="69" ht="25.5">
      <c r="A69" s="44" t="s">
        <v>15380</v>
      </c>
      <c r="B69" s="70" t="s">
        <v>15476</v>
      </c>
      <c r="C69" s="78" t="s">
        <v>15477</v>
      </c>
      <c r="D69" s="47" t="s">
        <v>15370</v>
      </c>
      <c r="E69" s="48">
        <v>28.6965</v>
      </c>
      <c r="F69" s="49">
        <f t="shared" si="637"/>
        <v>28.91</v>
      </c>
      <c r="G69" s="50"/>
      <c r="H69" s="51">
        <f t="shared" si="638"/>
        <v>1.00741061</v>
      </c>
    </row>
    <row r="70" ht="25.5">
      <c r="A70" s="44" t="s">
        <v>15380</v>
      </c>
      <c r="B70" s="79" t="s">
        <v>15478</v>
      </c>
      <c r="C70" s="78" t="s">
        <v>15479</v>
      </c>
      <c r="D70" s="47" t="s">
        <v>15364</v>
      </c>
      <c r="E70" s="48">
        <v>62.013599999999997</v>
      </c>
      <c r="F70" s="49">
        <f t="shared" si="637"/>
        <v>62.469999999999999</v>
      </c>
      <c r="G70" s="50"/>
      <c r="H70" s="51">
        <f t="shared" si="638"/>
        <v>1.00741061</v>
      </c>
    </row>
    <row r="71" ht="25.5">
      <c r="A71" s="44" t="s">
        <v>15380</v>
      </c>
      <c r="B71" s="79" t="s">
        <v>15480</v>
      </c>
      <c r="C71" s="78" t="s">
        <v>15481</v>
      </c>
      <c r="D71" s="47" t="s">
        <v>15364</v>
      </c>
      <c r="E71" s="48">
        <v>64.267499999999998</v>
      </c>
      <c r="F71" s="49">
        <f t="shared" si="637"/>
        <v>64.739999999999995</v>
      </c>
      <c r="G71" s="50"/>
      <c r="H71" s="51">
        <f t="shared" si="638"/>
        <v>1.00741061</v>
      </c>
    </row>
    <row r="72" ht="25.5">
      <c r="A72" s="44" t="s">
        <v>15380</v>
      </c>
      <c r="B72" s="70" t="s">
        <v>15482</v>
      </c>
      <c r="C72" s="78" t="s">
        <v>15483</v>
      </c>
      <c r="D72" s="47" t="s">
        <v>15364</v>
      </c>
      <c r="E72" s="48">
        <v>22.938199999999998</v>
      </c>
      <c r="F72" s="49">
        <f t="shared" si="637"/>
        <v>23.109999999999999</v>
      </c>
      <c r="G72" s="50"/>
      <c r="H72" s="51">
        <f t="shared" si="638"/>
        <v>1.00741061</v>
      </c>
    </row>
    <row r="73" ht="25.5">
      <c r="A73" s="44" t="s">
        <v>15380</v>
      </c>
      <c r="B73" s="79" t="s">
        <v>15484</v>
      </c>
      <c r="C73" s="78" t="s">
        <v>15485</v>
      </c>
      <c r="D73" s="47" t="s">
        <v>15364</v>
      </c>
      <c r="E73" s="48">
        <v>18.575099999999999</v>
      </c>
      <c r="F73" s="49">
        <f t="shared" si="637"/>
        <v>18.710000000000001</v>
      </c>
      <c r="G73" s="50"/>
      <c r="H73" s="51">
        <f t="shared" si="638"/>
        <v>1.00741061</v>
      </c>
    </row>
    <row r="74" ht="25.5">
      <c r="A74" s="44" t="s">
        <v>15341</v>
      </c>
      <c r="B74" s="79">
        <v>3108018</v>
      </c>
      <c r="C74" s="78" t="s">
        <v>15486</v>
      </c>
      <c r="D74" s="47" t="s">
        <v>15344</v>
      </c>
      <c r="E74" s="48">
        <v>3.25</v>
      </c>
      <c r="F74" s="49">
        <f t="shared" si="637"/>
        <v>3.27</v>
      </c>
      <c r="G74" s="50"/>
      <c r="H74" s="51">
        <f t="shared" si="638"/>
        <v>1.00751211</v>
      </c>
    </row>
    <row r="75" ht="25.5">
      <c r="A75" s="44" t="s">
        <v>15365</v>
      </c>
      <c r="B75" s="70" t="s">
        <v>15487</v>
      </c>
      <c r="C75" s="78" t="s">
        <v>15488</v>
      </c>
      <c r="D75" s="47" t="s">
        <v>15410</v>
      </c>
      <c r="E75" s="48">
        <v>313.64170000000001</v>
      </c>
      <c r="F75" s="49">
        <f t="shared" si="637"/>
        <v>316.87</v>
      </c>
      <c r="G75" s="50"/>
      <c r="H75" s="51">
        <f t="shared" si="638"/>
        <v>1.01030401</v>
      </c>
    </row>
    <row r="76" ht="25.5">
      <c r="A76" s="44" t="s">
        <v>15365</v>
      </c>
      <c r="B76" s="70" t="s">
        <v>15489</v>
      </c>
      <c r="C76" s="78" t="s">
        <v>15490</v>
      </c>
      <c r="D76" s="47" t="s">
        <v>15410</v>
      </c>
      <c r="E76" s="48">
        <v>203.58619999999999</v>
      </c>
      <c r="F76" s="49">
        <f t="shared" si="637"/>
        <v>205.68000000000001</v>
      </c>
      <c r="G76" s="50"/>
      <c r="H76" s="51">
        <f t="shared" si="638"/>
        <v>1.01030401</v>
      </c>
    </row>
    <row r="77" ht="25.5">
      <c r="A77" s="44" t="s">
        <v>15377</v>
      </c>
      <c r="B77" s="70" t="s">
        <v>15491</v>
      </c>
      <c r="C77" s="78" t="s">
        <v>15492</v>
      </c>
      <c r="D77" s="47" t="s">
        <v>15344</v>
      </c>
      <c r="E77" s="48">
        <v>4.3099999999999996</v>
      </c>
      <c r="F77" s="49">
        <f t="shared" si="637"/>
        <v>4.3899999999999997</v>
      </c>
      <c r="G77" s="50"/>
      <c r="H77" s="51">
        <f t="shared" si="638"/>
        <v>1.0192368000000001</v>
      </c>
    </row>
    <row r="78" ht="25.5">
      <c r="A78" s="44" t="s">
        <v>15377</v>
      </c>
      <c r="B78" s="70" t="s">
        <v>15493</v>
      </c>
      <c r="C78" s="78" t="s">
        <v>15494</v>
      </c>
      <c r="D78" s="47" t="s">
        <v>15344</v>
      </c>
      <c r="E78" s="48">
        <v>3.73</v>
      </c>
      <c r="F78" s="49">
        <f t="shared" si="637"/>
        <v>3.7999999999999998</v>
      </c>
      <c r="G78" s="50"/>
      <c r="H78" s="51">
        <f t="shared" si="638"/>
        <v>1.0192368000000001</v>
      </c>
    </row>
    <row r="79" ht="25.5">
      <c r="A79" s="44" t="s">
        <v>15374</v>
      </c>
      <c r="B79" s="70" t="s">
        <v>15495</v>
      </c>
      <c r="C79" s="78" t="s">
        <v>15496</v>
      </c>
      <c r="D79" s="47" t="s">
        <v>15497</v>
      </c>
      <c r="E79" s="48">
        <v>8475.4766</v>
      </c>
      <c r="F79" s="49">
        <f t="shared" si="637"/>
        <v>8550.2999999999993</v>
      </c>
      <c r="G79" s="50"/>
      <c r="H79" s="51">
        <f t="shared" si="638"/>
        <v>1.0088279</v>
      </c>
    </row>
    <row r="80" ht="25.5">
      <c r="A80" s="44" t="s">
        <v>15374</v>
      </c>
      <c r="B80" s="70" t="s">
        <v>15498</v>
      </c>
      <c r="C80" s="78" t="s">
        <v>15499</v>
      </c>
      <c r="D80" s="47" t="s">
        <v>15497</v>
      </c>
      <c r="E80" s="48">
        <v>5166.5024999999996</v>
      </c>
      <c r="F80" s="49">
        <f t="shared" si="637"/>
        <v>5212.1099999999997</v>
      </c>
      <c r="G80" s="50"/>
      <c r="H80" s="51">
        <f t="shared" si="638"/>
        <v>1.0088279</v>
      </c>
    </row>
    <row r="81" ht="25.5">
      <c r="A81" s="44" t="s">
        <v>15374</v>
      </c>
      <c r="B81" s="70" t="s">
        <v>15500</v>
      </c>
      <c r="C81" s="78" t="s">
        <v>15501</v>
      </c>
      <c r="D81" s="47" t="s">
        <v>15497</v>
      </c>
      <c r="E81" s="48">
        <v>4316.6724999999997</v>
      </c>
      <c r="F81" s="49">
        <f t="shared" si="637"/>
        <v>4354.7799999999997</v>
      </c>
      <c r="G81" s="50"/>
      <c r="H81" s="51">
        <f t="shared" si="638"/>
        <v>1.0088279</v>
      </c>
    </row>
    <row r="82">
      <c r="A82" s="44" t="s">
        <v>15365</v>
      </c>
      <c r="B82" s="70" t="s">
        <v>15502</v>
      </c>
      <c r="C82" s="78" t="s">
        <v>15503</v>
      </c>
      <c r="D82" s="47" t="s">
        <v>15410</v>
      </c>
      <c r="E82" s="48">
        <v>5.5891000000000002</v>
      </c>
      <c r="F82" s="49">
        <f t="shared" si="637"/>
        <v>5.6500000000000004</v>
      </c>
      <c r="G82" s="50"/>
      <c r="H82" s="51">
        <f t="shared" si="638"/>
        <v>1.01030401</v>
      </c>
    </row>
    <row r="83" ht="25.5">
      <c r="A83" s="44" t="s">
        <v>15371</v>
      </c>
      <c r="B83" s="70" t="s">
        <v>15504</v>
      </c>
      <c r="C83" s="80" t="s">
        <v>15505</v>
      </c>
      <c r="D83" s="47" t="s">
        <v>15370</v>
      </c>
      <c r="E83" s="48">
        <v>9.8966999999999992</v>
      </c>
      <c r="F83" s="49">
        <f t="shared" si="637"/>
        <v>10</v>
      </c>
      <c r="G83" s="50"/>
      <c r="H83" s="51">
        <f t="shared" si="638"/>
        <v>1.01052466</v>
      </c>
    </row>
    <row r="84" ht="25.5">
      <c r="A84" s="44" t="s">
        <v>15371</v>
      </c>
      <c r="B84" s="70" t="s">
        <v>15506</v>
      </c>
      <c r="C84" s="78" t="s">
        <v>15507</v>
      </c>
      <c r="D84" s="47" t="s">
        <v>15383</v>
      </c>
      <c r="E84" s="48">
        <v>431.20909999999998</v>
      </c>
      <c r="F84" s="49">
        <f t="shared" si="637"/>
        <v>435.75</v>
      </c>
      <c r="G84" s="50"/>
      <c r="H84" s="51">
        <f t="shared" si="638"/>
        <v>1.01052466</v>
      </c>
    </row>
    <row r="85" ht="25.5">
      <c r="A85" s="44" t="s">
        <v>15371</v>
      </c>
      <c r="B85" s="70">
        <v>5212552</v>
      </c>
      <c r="C85" s="78" t="s">
        <v>15508</v>
      </c>
      <c r="D85" s="47" t="s">
        <v>15383</v>
      </c>
      <c r="E85" s="48">
        <v>16.710000000000001</v>
      </c>
      <c r="F85" s="49">
        <f t="shared" si="637"/>
        <v>16.890000000000001</v>
      </c>
      <c r="G85" s="50"/>
      <c r="H85" s="51">
        <f t="shared" si="638"/>
        <v>1.01052466</v>
      </c>
    </row>
    <row r="86" ht="21.75" customHeight="1">
      <c r="A86" s="44" t="s">
        <v>15341</v>
      </c>
      <c r="B86" s="70" t="s">
        <v>15509</v>
      </c>
      <c r="C86" s="78" t="s">
        <v>15510</v>
      </c>
      <c r="D86" s="47" t="s">
        <v>15364</v>
      </c>
      <c r="E86" s="48">
        <v>7753.2021999999997</v>
      </c>
      <c r="F86" s="49">
        <f t="shared" si="637"/>
        <v>7811.4499999999998</v>
      </c>
      <c r="G86" s="50"/>
      <c r="H86" s="51">
        <f t="shared" si="638"/>
        <v>1.00751211</v>
      </c>
    </row>
    <row r="87" ht="25.5">
      <c r="A87" s="44" t="s">
        <v>15341</v>
      </c>
      <c r="B87" s="70" t="s">
        <v>15511</v>
      </c>
      <c r="C87" s="78" t="s">
        <v>15512</v>
      </c>
      <c r="D87" s="74" t="s">
        <v>15344</v>
      </c>
      <c r="E87" s="48">
        <v>45.150700000000001</v>
      </c>
      <c r="F87" s="49">
        <f t="shared" si="637"/>
        <v>45.490000000000002</v>
      </c>
      <c r="G87" s="50"/>
      <c r="H87" s="51">
        <f t="shared" si="638"/>
        <v>1.00751211</v>
      </c>
    </row>
    <row r="88" ht="25.5">
      <c r="A88" s="44" t="s">
        <v>15371</v>
      </c>
      <c r="B88" s="70" t="s">
        <v>15513</v>
      </c>
      <c r="C88" s="78" t="s">
        <v>15514</v>
      </c>
      <c r="D88" s="74" t="s">
        <v>15515</v>
      </c>
      <c r="E88" s="48">
        <v>222.54069999999999</v>
      </c>
      <c r="F88" s="49">
        <f t="shared" si="637"/>
        <v>224.88</v>
      </c>
      <c r="G88" s="50"/>
      <c r="H88" s="51">
        <f t="shared" si="638"/>
        <v>1.01052466</v>
      </c>
    </row>
    <row r="89" ht="25.5">
      <c r="A89" s="44" t="s">
        <v>15371</v>
      </c>
      <c r="B89" s="70" t="s">
        <v>15516</v>
      </c>
      <c r="C89" s="78" t="s">
        <v>15517</v>
      </c>
      <c r="D89" s="74" t="s">
        <v>1535</v>
      </c>
      <c r="E89" s="48">
        <v>3683</v>
      </c>
      <c r="F89" s="49">
        <f t="shared" si="637"/>
        <v>3721.7600000000002</v>
      </c>
      <c r="G89" s="50"/>
      <c r="H89" s="51">
        <f t="shared" si="638"/>
        <v>1.01052466</v>
      </c>
    </row>
    <row r="90" ht="25.5">
      <c r="A90" s="44" t="s">
        <v>15371</v>
      </c>
      <c r="B90" s="70" t="s">
        <v>15518</v>
      </c>
      <c r="C90" s="78" t="s">
        <v>15519</v>
      </c>
      <c r="D90" s="74" t="s">
        <v>1535</v>
      </c>
      <c r="E90" s="48">
        <v>31.1465</v>
      </c>
      <c r="F90" s="49">
        <f t="shared" si="637"/>
        <v>31.469999999999999</v>
      </c>
      <c r="G90" s="50"/>
      <c r="H90" s="51">
        <f t="shared" si="638"/>
        <v>1.01052466</v>
      </c>
    </row>
    <row r="91" ht="25.5">
      <c r="A91" s="44" t="s">
        <v>15371</v>
      </c>
      <c r="B91" s="70" t="s">
        <v>15520</v>
      </c>
      <c r="C91" s="78" t="s">
        <v>15521</v>
      </c>
      <c r="D91" s="74" t="s">
        <v>1535</v>
      </c>
      <c r="E91" s="48">
        <v>14.8139</v>
      </c>
      <c r="F91" s="49">
        <f t="shared" si="637"/>
        <v>14.970000000000001</v>
      </c>
      <c r="G91" s="50"/>
      <c r="H91" s="51">
        <f t="shared" si="638"/>
        <v>1.01052466</v>
      </c>
    </row>
    <row r="92" ht="25.5">
      <c r="A92" s="44" t="s">
        <v>15371</v>
      </c>
      <c r="B92" s="70" t="s">
        <v>15522</v>
      </c>
      <c r="C92" s="81" t="s">
        <v>15523</v>
      </c>
      <c r="D92" s="74" t="s">
        <v>1535</v>
      </c>
      <c r="E92" s="48">
        <v>11.2987</v>
      </c>
      <c r="F92" s="49">
        <f t="shared" si="637"/>
        <v>11.42</v>
      </c>
      <c r="G92" s="50"/>
      <c r="H92" s="51">
        <f t="shared" si="638"/>
        <v>1.01052466</v>
      </c>
    </row>
    <row r="93" ht="25.5">
      <c r="A93" s="44" t="s">
        <v>15371</v>
      </c>
      <c r="B93" s="70" t="s">
        <v>15524</v>
      </c>
      <c r="C93" s="81" t="s">
        <v>15525</v>
      </c>
      <c r="D93" s="74" t="s">
        <v>1535</v>
      </c>
      <c r="E93" s="48">
        <v>25.816400000000002</v>
      </c>
      <c r="F93" s="49">
        <f t="shared" si="637"/>
        <v>26.09</v>
      </c>
      <c r="G93" s="50"/>
      <c r="H93" s="51">
        <f t="shared" si="638"/>
        <v>1.01052466</v>
      </c>
    </row>
    <row r="94" ht="25.5">
      <c r="A94" s="44" t="s">
        <v>15371</v>
      </c>
      <c r="B94" s="70">
        <v>2408058</v>
      </c>
      <c r="C94" s="81" t="s">
        <v>15526</v>
      </c>
      <c r="D94" s="74" t="s">
        <v>302</v>
      </c>
      <c r="E94" s="48">
        <v>68.569999999999993</v>
      </c>
      <c r="F94" s="49">
        <f t="shared" si="637"/>
        <v>69.290000000000006</v>
      </c>
      <c r="G94" s="50"/>
      <c r="H94" s="51">
        <f t="shared" si="638"/>
        <v>1.01052466</v>
      </c>
    </row>
    <row r="95" ht="38.25">
      <c r="A95" s="44" t="s">
        <v>15341</v>
      </c>
      <c r="B95" s="70">
        <v>2004504</v>
      </c>
      <c r="C95" s="81" t="s">
        <v>15527</v>
      </c>
      <c r="D95" s="74" t="s">
        <v>15528</v>
      </c>
      <c r="E95" s="82">
        <v>20.649999999999999</v>
      </c>
      <c r="F95" s="49">
        <f t="shared" si="637"/>
        <v>20.809999999999999</v>
      </c>
      <c r="G95" s="50"/>
      <c r="H95" s="51">
        <f t="shared" si="638"/>
        <v>1.00751211</v>
      </c>
    </row>
    <row r="96" ht="25.5">
      <c r="A96" s="44" t="s">
        <v>15341</v>
      </c>
      <c r="B96" s="70">
        <v>1416201</v>
      </c>
      <c r="C96" s="81" t="s">
        <v>15529</v>
      </c>
      <c r="D96" s="74" t="s">
        <v>15530</v>
      </c>
      <c r="E96" s="82">
        <v>0.27000000000000002</v>
      </c>
      <c r="F96" s="49">
        <f t="shared" si="637"/>
        <v>0.27000000000000002</v>
      </c>
      <c r="G96" s="50"/>
      <c r="H96" s="51">
        <f t="shared" si="638"/>
        <v>1.00751211</v>
      </c>
    </row>
    <row r="97">
      <c r="A97" s="44"/>
      <c r="B97" s="70"/>
      <c r="C97" s="81"/>
      <c r="D97" s="74"/>
      <c r="E97" s="82"/>
      <c r="F97" s="49"/>
      <c r="G97" s="50"/>
      <c r="H97" s="51"/>
    </row>
    <row r="98">
      <c r="A98" s="44"/>
      <c r="B98" s="70"/>
      <c r="C98" s="81"/>
      <c r="D98" s="74"/>
      <c r="E98" s="82"/>
      <c r="F98" s="49"/>
      <c r="G98" s="50"/>
      <c r="H98" s="51"/>
    </row>
    <row r="99">
      <c r="A99" s="44"/>
      <c r="B99" s="70"/>
      <c r="C99" s="81"/>
      <c r="D99" s="74"/>
      <c r="E99" s="82"/>
      <c r="F99" s="49"/>
      <c r="G99" s="50"/>
      <c r="H99" s="51"/>
    </row>
    <row r="100">
      <c r="A100" s="44"/>
      <c r="B100" s="70"/>
      <c r="C100" s="81"/>
      <c r="D100" s="74"/>
      <c r="E100" s="82"/>
      <c r="F100" s="49"/>
      <c r="G100" s="50"/>
      <c r="H100" s="51"/>
    </row>
    <row r="101">
      <c r="A101" s="44"/>
      <c r="B101" s="70"/>
      <c r="C101" s="81"/>
      <c r="D101" s="74"/>
      <c r="E101" s="82"/>
      <c r="F101" s="49"/>
      <c r="G101" s="50"/>
      <c r="H101" s="51"/>
    </row>
    <row r="102">
      <c r="A102" s="44"/>
      <c r="B102" s="70"/>
      <c r="C102" s="81"/>
      <c r="D102" s="74"/>
      <c r="E102" s="82"/>
      <c r="F102" s="49"/>
      <c r="G102" s="50"/>
      <c r="H102" s="51"/>
    </row>
    <row r="103">
      <c r="A103" s="44"/>
      <c r="B103" s="70"/>
      <c r="C103" s="81"/>
      <c r="D103" s="74"/>
      <c r="E103" s="82"/>
      <c r="F103" s="49"/>
      <c r="G103" s="50"/>
      <c r="H103" s="51"/>
    </row>
    <row r="104">
      <c r="A104" s="44"/>
      <c r="B104" s="70"/>
      <c r="C104" s="81"/>
      <c r="D104" s="74"/>
      <c r="E104" s="82"/>
      <c r="F104" s="49"/>
      <c r="G104" s="50"/>
      <c r="H104" s="51"/>
    </row>
    <row r="105">
      <c r="A105" s="44"/>
      <c r="B105" s="70"/>
      <c r="C105" s="81"/>
      <c r="D105" s="74"/>
      <c r="E105" s="82"/>
      <c r="F105" s="49"/>
      <c r="G105" s="50"/>
      <c r="H105" s="51"/>
    </row>
    <row r="106">
      <c r="A106" s="44"/>
      <c r="B106" s="70"/>
      <c r="C106" s="81"/>
      <c r="D106" s="74"/>
      <c r="E106" s="82"/>
      <c r="F106" s="49"/>
      <c r="G106" s="50"/>
      <c r="H106" s="51"/>
    </row>
    <row r="107">
      <c r="A107" s="83" t="s">
        <v>15355</v>
      </c>
      <c r="B107" s="70" t="s">
        <v>15531</v>
      </c>
      <c r="C107" s="50" t="s">
        <v>15532</v>
      </c>
      <c r="D107" s="47" t="s">
        <v>15364</v>
      </c>
      <c r="E107" s="84">
        <v>28.75</v>
      </c>
      <c r="F107" s="49">
        <f t="shared" si="637"/>
        <v>28.75</v>
      </c>
      <c r="G107" s="50"/>
      <c r="H107" s="51">
        <f t="shared" si="638"/>
        <v>1</v>
      </c>
      <c r="O107" s="85" t="s">
        <v>15533</v>
      </c>
    </row>
    <row r="108">
      <c r="A108" s="83" t="s">
        <v>15355</v>
      </c>
      <c r="B108" s="70" t="s">
        <v>15534</v>
      </c>
      <c r="C108" s="50" t="s">
        <v>15535</v>
      </c>
      <c r="D108" s="47" t="s">
        <v>15364</v>
      </c>
      <c r="E108" s="84">
        <v>27.739999999999998</v>
      </c>
      <c r="F108" s="49">
        <f t="shared" si="637"/>
        <v>27.739999999999998</v>
      </c>
      <c r="G108" s="50"/>
      <c r="H108" s="51">
        <f t="shared" si="638"/>
        <v>1</v>
      </c>
      <c r="O108" s="85" t="s">
        <v>15536</v>
      </c>
    </row>
    <row r="109">
      <c r="A109" s="83" t="s">
        <v>15355</v>
      </c>
      <c r="B109" s="70" t="s">
        <v>15537</v>
      </c>
      <c r="C109" s="50" t="s">
        <v>15538</v>
      </c>
      <c r="D109" s="47" t="s">
        <v>15364</v>
      </c>
      <c r="E109" s="86">
        <v>11.699999999999999</v>
      </c>
      <c r="F109" s="49">
        <f t="shared" si="637"/>
        <v>11.699999999999999</v>
      </c>
      <c r="G109" s="50"/>
      <c r="H109" s="51">
        <f t="shared" si="638"/>
        <v>1</v>
      </c>
      <c r="O109" s="85" t="s">
        <v>15536</v>
      </c>
    </row>
    <row r="110">
      <c r="A110" s="83" t="s">
        <v>15355</v>
      </c>
      <c r="B110" s="70" t="s">
        <v>15539</v>
      </c>
      <c r="C110" s="50" t="s">
        <v>15540</v>
      </c>
      <c r="D110" s="47" t="s">
        <v>15364</v>
      </c>
      <c r="E110" s="86">
        <v>10.59</v>
      </c>
      <c r="F110" s="49">
        <f t="shared" si="637"/>
        <v>10.59</v>
      </c>
      <c r="G110" s="50"/>
      <c r="H110" s="51">
        <f t="shared" si="638"/>
        <v>1</v>
      </c>
      <c r="O110" s="85" t="s">
        <v>15536</v>
      </c>
    </row>
    <row r="111">
      <c r="A111" s="87"/>
    </row>
    <row r="112">
      <c r="A112" s="87"/>
    </row>
    <row r="113">
      <c r="A113" s="87"/>
    </row>
    <row r="114">
      <c r="A114" s="87"/>
    </row>
    <row r="115">
      <c r="A115" s="87"/>
    </row>
    <row r="116">
      <c r="A116" s="87"/>
    </row>
    <row r="117">
      <c r="A117" s="87"/>
    </row>
    <row r="118">
      <c r="A118" s="87"/>
    </row>
    <row r="119">
      <c r="A119" s="87"/>
    </row>
    <row r="120">
      <c r="A120" s="87"/>
    </row>
    <row r="121">
      <c r="A121" s="87"/>
    </row>
    <row r="122">
      <c r="A122" s="87"/>
    </row>
    <row r="123">
      <c r="A123" s="87"/>
    </row>
    <row r="124">
      <c r="A124" s="87"/>
    </row>
    <row r="125">
      <c r="A125" s="87"/>
    </row>
    <row r="126">
      <c r="A126" s="87"/>
    </row>
    <row r="127">
      <c r="A127" s="87"/>
    </row>
    <row r="128">
      <c r="A128" s="87"/>
    </row>
    <row r="129">
      <c r="A129" s="87"/>
    </row>
    <row r="130">
      <c r="A130" s="87"/>
    </row>
    <row r="131">
      <c r="A131" s="87"/>
    </row>
    <row r="132">
      <c r="A132" s="87"/>
    </row>
    <row r="133">
      <c r="A133" s="87"/>
    </row>
    <row r="134">
      <c r="A134" s="87"/>
    </row>
    <row r="135">
      <c r="A135" s="87"/>
    </row>
    <row r="136">
      <c r="A136" s="87"/>
    </row>
    <row r="137">
      <c r="A137" s="87"/>
    </row>
    <row r="138">
      <c r="A138" s="87"/>
    </row>
    <row r="139">
      <c r="A139" s="87"/>
    </row>
    <row r="140">
      <c r="A140" s="87"/>
    </row>
    <row r="141">
      <c r="A141" s="87"/>
    </row>
    <row r="142">
      <c r="A142" s="87"/>
    </row>
    <row r="143">
      <c r="A143" s="87"/>
    </row>
    <row r="144">
      <c r="A144" s="87"/>
    </row>
    <row r="145">
      <c r="A145" s="87"/>
    </row>
    <row r="146">
      <c r="A146" s="87"/>
    </row>
    <row r="147">
      <c r="A147" s="87"/>
    </row>
    <row r="148">
      <c r="A148" s="87"/>
    </row>
    <row r="149">
      <c r="A149" s="87"/>
    </row>
    <row r="150">
      <c r="A150" s="87"/>
    </row>
    <row r="151">
      <c r="A151" s="87"/>
    </row>
    <row r="152">
      <c r="A152" s="87"/>
    </row>
    <row r="153">
      <c r="A153" s="87"/>
    </row>
    <row r="154">
      <c r="A154" s="87"/>
    </row>
    <row r="155">
      <c r="A155" s="87"/>
    </row>
    <row r="156">
      <c r="A156" s="87"/>
    </row>
    <row r="157">
      <c r="A157" s="87"/>
    </row>
    <row r="158">
      <c r="A158" s="87"/>
    </row>
    <row r="159">
      <c r="A159" s="87"/>
    </row>
    <row r="160">
      <c r="A160" s="87"/>
    </row>
    <row r="161">
      <c r="A161" s="87"/>
    </row>
    <row r="162">
      <c r="A162" s="87"/>
    </row>
  </sheetData>
  <printOptions headings="0" gridLines="0"/>
  <pageMargins left="0.75" right="0.75" top="1" bottom="1" header="0.5" footer="0.5"/>
  <pageSetup paperSize="9" scale="100" firstPageNumber="2147483647" fitToWidth="1" fitToHeight="1" pageOrder="downThenOver" orientation="portrait" usePrinterDefaults="1" blackAndWhite="0" draft="0" cellComments="none" useFirstPageNumber="0" errors="displayed" horizontalDpi="600" verticalDpi="600" copies="1"/>
  <headerFooter/>
  <legacyDrawing r:id="rId3"/>
  <extLst>
    <ext xmlns:x14="http://schemas.microsoft.com/office/spreadsheetml/2009/9/main" uri="{CCE6A557-97BC-4b89-ADB6-D9C93CAAB3DF}">
      <x14:dataValidations xmlns:xm="http://schemas.microsoft.com/office/excel/2006/main" count="1" disablePrompts="0">
        <x14:dataValidation xr:uid="{00F20033-0084-4E9E-80C5-00B8009B0095}" type="list" allowBlank="1" errorStyle="stop" imeMode="noControl" operator="between" showDropDown="0" showErrorMessage="1" showInputMessage="1">
          <x14:formula1>
            <xm:f>$O$6:$O$14</xm:f>
          </x14:formula1>
          <xm:sqref>A2:A162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4">
    <tabColor theme="7" tint="-0.249977111117893"/>
    <outlinePr applyStyles="0" summaryBelow="1" summaryRight="1" showOutlineSymbols="1"/>
    <pageSetUpPr autoPageBreaks="1" fitToPage="0"/>
  </sheetPr>
  <sheetViews>
    <sheetView topLeftCell="A1740" zoomScale="100" workbookViewId="0">
      <selection activeCell="F1763" activeCellId="0" sqref="F1763"/>
    </sheetView>
  </sheetViews>
  <sheetFormatPr defaultColWidth="9.140625" defaultRowHeight="13.5"/>
  <cols>
    <col customWidth="1" min="1" max="1" style="88" width="12.42578125"/>
    <col customWidth="1" min="2" max="2" style="89" width="60.7109375"/>
    <col min="3" max="3" style="88" width="7.42578125"/>
    <col customWidth="1" min="4" max="5" style="90" width="11.140625"/>
    <col customWidth="1" min="6" max="6" style="91" width="11.140625"/>
    <col customWidth="1" min="7" max="7" style="69" width="33.28515625"/>
    <col min="8" max="8" style="69" width="9.140625"/>
    <col customWidth="1" min="9" max="9" style="69" width="10.5703125"/>
    <col min="10" max="10" style="69" width="9.140625"/>
    <col customWidth="1" min="11" max="11" style="92" width="11"/>
    <col min="12" max="16384" style="69" width="9.140625"/>
  </cols>
  <sheetData>
    <row r="1">
      <c r="A1" s="93" t="s">
        <v>15541</v>
      </c>
      <c r="B1" s="93"/>
      <c r="C1" s="93"/>
      <c r="D1" s="93"/>
      <c r="E1" s="93"/>
      <c r="F1" s="94"/>
      <c r="H1" s="95"/>
      <c r="I1" s="95"/>
      <c r="K1" s="96" t="s">
        <v>15541</v>
      </c>
      <c r="L1" s="97"/>
    </row>
    <row r="2">
      <c r="D2" s="96" t="s">
        <v>15542</v>
      </c>
      <c r="E2" s="98"/>
      <c r="F2" s="99"/>
      <c r="H2" s="89"/>
      <c r="I2" s="88"/>
      <c r="K2" s="100" t="s">
        <v>15543</v>
      </c>
    </row>
    <row r="4">
      <c r="F4" s="101" t="s">
        <v>15544</v>
      </c>
    </row>
    <row r="5">
      <c r="B5" s="102" t="s">
        <v>15545</v>
      </c>
      <c r="F5" s="101" t="s">
        <v>15546</v>
      </c>
      <c r="K5" s="101" t="s">
        <v>6</v>
      </c>
    </row>
    <row r="6">
      <c r="F6" s="91">
        <v>6</v>
      </c>
      <c r="K6" s="92">
        <v>11</v>
      </c>
    </row>
    <row r="7">
      <c r="A7" s="103" t="s">
        <v>15547</v>
      </c>
      <c r="B7" s="104" t="s">
        <v>15548</v>
      </c>
      <c r="C7" s="103" t="s">
        <v>15337</v>
      </c>
      <c r="D7" s="105" t="s">
        <v>10460</v>
      </c>
      <c r="E7" s="105" t="s">
        <v>15549</v>
      </c>
      <c r="F7" s="105" t="s">
        <v>15550</v>
      </c>
      <c r="G7" s="106"/>
      <c r="H7" s="103" t="s">
        <v>15337</v>
      </c>
      <c r="I7" s="105" t="s">
        <v>10460</v>
      </c>
      <c r="J7" s="105" t="s">
        <v>15549</v>
      </c>
      <c r="K7" s="105" t="s">
        <v>15550</v>
      </c>
    </row>
    <row r="8">
      <c r="B8" s="89" t="s">
        <v>15551</v>
      </c>
      <c r="H8" s="88"/>
      <c r="I8" s="107"/>
      <c r="J8" s="90"/>
      <c r="K8" s="91"/>
    </row>
    <row r="9">
      <c r="A9" s="108">
        <v>101001101</v>
      </c>
      <c r="B9" s="109" t="s">
        <v>15552</v>
      </c>
      <c r="C9" s="110" t="s">
        <v>29</v>
      </c>
      <c r="D9" s="111">
        <v>441.39999999999998</v>
      </c>
      <c r="E9" s="111">
        <v>66.829999999999998</v>
      </c>
      <c r="F9" s="112">
        <v>508.23000000000002</v>
      </c>
      <c r="H9" s="110" t="s">
        <v>29</v>
      </c>
      <c r="I9" s="111">
        <v>441.33999999999997</v>
      </c>
      <c r="J9" s="111">
        <v>61.890000000000001</v>
      </c>
      <c r="K9" s="112">
        <v>503.23000000000002</v>
      </c>
      <c r="M9" s="88"/>
    </row>
    <row r="10" ht="25.5">
      <c r="A10" s="69">
        <v>101001106</v>
      </c>
      <c r="B10" s="89" t="s">
        <v>15553</v>
      </c>
      <c r="C10" s="88" t="s">
        <v>29</v>
      </c>
      <c r="D10" s="113"/>
      <c r="E10" s="113"/>
      <c r="F10" s="114">
        <v>4.4199999999999999</v>
      </c>
      <c r="H10" s="88" t="s">
        <v>29</v>
      </c>
      <c r="I10" s="113"/>
      <c r="J10" s="113"/>
      <c r="K10" s="114">
        <v>4.0999999999999996</v>
      </c>
      <c r="L10" s="88"/>
      <c r="M10" s="88"/>
    </row>
    <row r="11">
      <c r="A11" s="108">
        <v>101001111</v>
      </c>
      <c r="B11" s="109" t="s">
        <v>15554</v>
      </c>
      <c r="C11" s="110" t="s">
        <v>29</v>
      </c>
      <c r="D11" s="111">
        <v>0</v>
      </c>
      <c r="E11" s="111">
        <v>8.2899999999999991</v>
      </c>
      <c r="F11" s="112">
        <v>8.2899999999999991</v>
      </c>
      <c r="H11" s="110" t="s">
        <v>29</v>
      </c>
      <c r="I11" s="111">
        <v>0</v>
      </c>
      <c r="J11" s="111">
        <v>7.7000000000000002</v>
      </c>
      <c r="K11" s="112">
        <v>7.7000000000000002</v>
      </c>
      <c r="L11" s="88"/>
      <c r="M11" s="88"/>
    </row>
    <row r="12" ht="25.5">
      <c r="A12" s="69">
        <v>101001116</v>
      </c>
      <c r="B12" s="89" t="s">
        <v>15555</v>
      </c>
      <c r="C12" s="88" t="s">
        <v>29</v>
      </c>
      <c r="D12" s="113"/>
      <c r="E12" s="113"/>
      <c r="F12" s="114">
        <v>1.8700000000000001</v>
      </c>
      <c r="H12" s="88" t="s">
        <v>29</v>
      </c>
      <c r="I12" s="113"/>
      <c r="J12" s="113"/>
      <c r="K12" s="114">
        <v>1.8100000000000001</v>
      </c>
      <c r="L12" s="88"/>
      <c r="M12" s="88"/>
    </row>
    <row r="13" ht="38.25">
      <c r="A13" s="69">
        <v>101001121</v>
      </c>
      <c r="B13" s="89" t="s">
        <v>15556</v>
      </c>
      <c r="C13" s="88" t="s">
        <v>29</v>
      </c>
      <c r="D13" s="113"/>
      <c r="E13" s="113"/>
      <c r="F13" s="114">
        <v>0.67000000000000004</v>
      </c>
      <c r="H13" s="88" t="s">
        <v>29</v>
      </c>
      <c r="I13" s="113"/>
      <c r="J13" s="113"/>
      <c r="K13" s="114">
        <v>0.64000000000000001</v>
      </c>
      <c r="L13" s="88"/>
      <c r="M13" s="88"/>
    </row>
    <row r="14" ht="38.25">
      <c r="A14" s="69">
        <v>101001126</v>
      </c>
      <c r="B14" s="89" t="s">
        <v>15557</v>
      </c>
      <c r="C14" s="88" t="s">
        <v>38</v>
      </c>
      <c r="D14" s="113"/>
      <c r="E14" s="113"/>
      <c r="F14" s="114">
        <v>60.119999999999997</v>
      </c>
      <c r="H14" s="88" t="s">
        <v>38</v>
      </c>
      <c r="I14" s="113"/>
      <c r="J14" s="113"/>
      <c r="K14" s="114">
        <v>57.450000000000003</v>
      </c>
      <c r="L14" s="88"/>
      <c r="M14" s="88"/>
    </row>
    <row r="15" ht="51">
      <c r="A15" s="108">
        <v>101001131</v>
      </c>
      <c r="B15" s="109" t="s">
        <v>15558</v>
      </c>
      <c r="C15" s="110" t="s">
        <v>29</v>
      </c>
      <c r="D15" s="111">
        <v>56.710000000000001</v>
      </c>
      <c r="E15" s="111">
        <v>18.41</v>
      </c>
      <c r="F15" s="112">
        <v>75.120000000000005</v>
      </c>
      <c r="H15" s="110" t="s">
        <v>29</v>
      </c>
      <c r="I15" s="111">
        <v>56.240000000000002</v>
      </c>
      <c r="J15" s="111">
        <v>16.989999999999998</v>
      </c>
      <c r="K15" s="112">
        <v>73.230000000000004</v>
      </c>
      <c r="L15" s="88"/>
      <c r="M15" s="88"/>
    </row>
    <row r="16" ht="51">
      <c r="A16" s="108">
        <v>101001136</v>
      </c>
      <c r="B16" s="109" t="s">
        <v>15559</v>
      </c>
      <c r="C16" s="110" t="s">
        <v>29</v>
      </c>
      <c r="D16" s="111">
        <v>54.990000000000002</v>
      </c>
      <c r="E16" s="111">
        <v>23.199999999999999</v>
      </c>
      <c r="F16" s="112">
        <v>78.189999999999998</v>
      </c>
      <c r="H16" s="110" t="s">
        <v>29</v>
      </c>
      <c r="I16" s="111">
        <v>54.590000000000003</v>
      </c>
      <c r="J16" s="111">
        <v>21.440000000000001</v>
      </c>
      <c r="K16" s="112">
        <v>76.030000000000001</v>
      </c>
      <c r="L16" s="88"/>
      <c r="M16" s="88"/>
    </row>
    <row r="17" ht="38.25">
      <c r="A17" s="108">
        <v>101001141</v>
      </c>
      <c r="B17" s="109" t="s">
        <v>15560</v>
      </c>
      <c r="C17" s="110" t="s">
        <v>29</v>
      </c>
      <c r="D17" s="111">
        <v>1035.1500000000001</v>
      </c>
      <c r="E17" s="111">
        <v>0</v>
      </c>
      <c r="F17" s="112">
        <v>1035.1500000000001</v>
      </c>
      <c r="H17" s="110" t="s">
        <v>29</v>
      </c>
      <c r="I17" s="111">
        <v>1010.5700000000001</v>
      </c>
      <c r="J17" s="111">
        <v>0</v>
      </c>
      <c r="K17" s="112">
        <v>1010.5700000000001</v>
      </c>
      <c r="L17" s="88"/>
      <c r="M17" s="88"/>
    </row>
    <row r="18" ht="38.25">
      <c r="A18" s="108">
        <v>101001146</v>
      </c>
      <c r="B18" s="109" t="s">
        <v>15561</v>
      </c>
      <c r="C18" s="110" t="s">
        <v>29</v>
      </c>
      <c r="D18" s="111">
        <v>658.10000000000002</v>
      </c>
      <c r="E18" s="111">
        <v>0</v>
      </c>
      <c r="F18" s="112">
        <v>658.10000000000002</v>
      </c>
      <c r="H18" s="110" t="s">
        <v>29</v>
      </c>
      <c r="I18" s="111">
        <v>643.10000000000002</v>
      </c>
      <c r="J18" s="111">
        <v>0</v>
      </c>
      <c r="K18" s="112">
        <v>643.10000000000002</v>
      </c>
      <c r="L18" s="88"/>
      <c r="M18" s="88"/>
    </row>
    <row r="19" ht="38.25">
      <c r="A19" s="108">
        <v>101001151</v>
      </c>
      <c r="B19" s="109" t="s">
        <v>15562</v>
      </c>
      <c r="C19" s="110" t="s">
        <v>29</v>
      </c>
      <c r="D19" s="111">
        <v>694.55999999999995</v>
      </c>
      <c r="E19" s="111">
        <v>0</v>
      </c>
      <c r="F19" s="112">
        <v>694.55999999999995</v>
      </c>
      <c r="H19" s="110" t="s">
        <v>29</v>
      </c>
      <c r="I19" s="111">
        <v>678.78999999999996</v>
      </c>
      <c r="J19" s="111">
        <v>0</v>
      </c>
      <c r="K19" s="112">
        <v>678.78999999999996</v>
      </c>
      <c r="L19" s="88"/>
      <c r="M19" s="88"/>
    </row>
    <row r="20" ht="51">
      <c r="A20" s="108">
        <v>101001156</v>
      </c>
      <c r="B20" s="109" t="s">
        <v>15563</v>
      </c>
      <c r="C20" s="110" t="s">
        <v>31</v>
      </c>
      <c r="D20" s="111">
        <v>484.58999999999997</v>
      </c>
      <c r="E20" s="111">
        <v>22.859999999999999</v>
      </c>
      <c r="F20" s="112">
        <v>507.44999999999999</v>
      </c>
      <c r="H20" s="110" t="s">
        <v>31</v>
      </c>
      <c r="I20" s="111">
        <v>484.58999999999997</v>
      </c>
      <c r="J20" s="111">
        <v>21.09</v>
      </c>
      <c r="K20" s="112">
        <v>505.68000000000001</v>
      </c>
      <c r="L20" s="88"/>
      <c r="M20" s="88"/>
    </row>
    <row r="21" ht="38.25">
      <c r="A21" s="108">
        <v>101001161</v>
      </c>
      <c r="B21" s="109" t="s">
        <v>15564</v>
      </c>
      <c r="C21" s="110" t="s">
        <v>29</v>
      </c>
      <c r="D21" s="111">
        <v>938.82000000000005</v>
      </c>
      <c r="E21" s="111">
        <v>0</v>
      </c>
      <c r="F21" s="112">
        <v>938.82000000000005</v>
      </c>
      <c r="H21" s="110" t="s">
        <v>29</v>
      </c>
      <c r="I21" s="111">
        <v>916.40999999999997</v>
      </c>
      <c r="J21" s="111">
        <v>0</v>
      </c>
      <c r="K21" s="112">
        <v>916.40999999999997</v>
      </c>
      <c r="L21" s="88"/>
      <c r="M21" s="88"/>
    </row>
    <row r="22" ht="38.25">
      <c r="A22" s="108">
        <v>101001166</v>
      </c>
      <c r="B22" s="109" t="s">
        <v>15565</v>
      </c>
      <c r="C22" s="110" t="s">
        <v>29</v>
      </c>
      <c r="D22" s="111">
        <v>733.24000000000001</v>
      </c>
      <c r="E22" s="111">
        <v>0</v>
      </c>
      <c r="F22" s="112">
        <v>733.24000000000001</v>
      </c>
      <c r="H22" s="110" t="s">
        <v>29</v>
      </c>
      <c r="I22" s="111">
        <v>716.15999999999997</v>
      </c>
      <c r="J22" s="111">
        <v>0</v>
      </c>
      <c r="K22" s="112">
        <v>716.15999999999997</v>
      </c>
      <c r="L22" s="88"/>
      <c r="M22" s="88"/>
    </row>
    <row r="23" ht="25.5">
      <c r="A23" s="108">
        <v>101001168</v>
      </c>
      <c r="B23" s="109" t="s">
        <v>15566</v>
      </c>
      <c r="C23" s="110" t="s">
        <v>29</v>
      </c>
      <c r="D23" s="111">
        <v>239.37</v>
      </c>
      <c r="E23" s="111">
        <v>0</v>
      </c>
      <c r="F23" s="112">
        <v>239.37</v>
      </c>
      <c r="H23" s="110" t="s">
        <v>29</v>
      </c>
      <c r="I23" s="111">
        <v>233.83000000000001</v>
      </c>
      <c r="J23" s="111">
        <v>0</v>
      </c>
      <c r="K23" s="112">
        <v>233.83000000000001</v>
      </c>
      <c r="L23" s="88"/>
      <c r="M23" s="88"/>
    </row>
    <row r="24" ht="38.25">
      <c r="A24" s="108">
        <v>101001171</v>
      </c>
      <c r="B24" s="109" t="s">
        <v>15567</v>
      </c>
      <c r="C24" s="110" t="s">
        <v>31</v>
      </c>
      <c r="D24" s="111">
        <v>12162.51</v>
      </c>
      <c r="E24" s="111">
        <v>0</v>
      </c>
      <c r="F24" s="112">
        <v>12162.51</v>
      </c>
      <c r="H24" s="110" t="s">
        <v>31</v>
      </c>
      <c r="I24" s="111">
        <v>11962.209999999999</v>
      </c>
      <c r="J24" s="111">
        <v>0</v>
      </c>
      <c r="K24" s="112">
        <v>11962.209999999999</v>
      </c>
      <c r="L24" s="88"/>
      <c r="M24" s="88"/>
    </row>
    <row r="25" ht="25.5">
      <c r="A25" s="108">
        <v>101001176</v>
      </c>
      <c r="B25" s="109" t="s">
        <v>15568</v>
      </c>
      <c r="C25" s="110" t="s">
        <v>7087</v>
      </c>
      <c r="D25" s="111">
        <v>1400</v>
      </c>
      <c r="E25" s="111">
        <v>0</v>
      </c>
      <c r="F25" s="112">
        <v>1400</v>
      </c>
      <c r="H25" s="110" t="s">
        <v>7087</v>
      </c>
      <c r="I25" s="111">
        <v>1400</v>
      </c>
      <c r="J25" s="111">
        <v>0</v>
      </c>
      <c r="K25" s="112">
        <v>1400</v>
      </c>
      <c r="L25" s="88"/>
      <c r="M25" s="88"/>
    </row>
    <row r="26" ht="38.25">
      <c r="A26" s="108">
        <v>101001181</v>
      </c>
      <c r="B26" s="109" t="s">
        <v>15569</v>
      </c>
      <c r="C26" s="110" t="s">
        <v>7087</v>
      </c>
      <c r="D26" s="111">
        <v>650.38999999999999</v>
      </c>
      <c r="E26" s="111">
        <v>0</v>
      </c>
      <c r="F26" s="112">
        <v>650.38999999999999</v>
      </c>
      <c r="H26" s="110" t="s">
        <v>7087</v>
      </c>
      <c r="I26" s="111">
        <v>650.38999999999999</v>
      </c>
      <c r="J26" s="111">
        <v>0</v>
      </c>
      <c r="K26" s="112">
        <v>650.38999999999999</v>
      </c>
      <c r="L26" s="88"/>
      <c r="M26" s="88"/>
    </row>
    <row r="27" ht="38.25">
      <c r="A27" s="108">
        <v>101001186</v>
      </c>
      <c r="B27" s="109" t="s">
        <v>15570</v>
      </c>
      <c r="C27" s="110" t="s">
        <v>7087</v>
      </c>
      <c r="D27" s="111">
        <v>832.5</v>
      </c>
      <c r="E27" s="111">
        <v>0</v>
      </c>
      <c r="F27" s="112">
        <v>832.5</v>
      </c>
      <c r="H27" s="110" t="s">
        <v>7087</v>
      </c>
      <c r="I27" s="111">
        <v>832.5</v>
      </c>
      <c r="J27" s="111">
        <v>0</v>
      </c>
      <c r="K27" s="112">
        <v>832.5</v>
      </c>
      <c r="L27" s="88"/>
      <c r="M27" s="88"/>
    </row>
    <row r="28" ht="38.25">
      <c r="A28" s="108">
        <v>101001191</v>
      </c>
      <c r="B28" s="109" t="s">
        <v>15571</v>
      </c>
      <c r="C28" s="110" t="s">
        <v>7087</v>
      </c>
      <c r="D28" s="111">
        <v>945.23000000000002</v>
      </c>
      <c r="E28" s="111">
        <v>0</v>
      </c>
      <c r="F28" s="112">
        <v>945.23000000000002</v>
      </c>
      <c r="H28" s="110" t="s">
        <v>7087</v>
      </c>
      <c r="I28" s="111">
        <v>945.23000000000002</v>
      </c>
      <c r="J28" s="111">
        <v>0</v>
      </c>
      <c r="K28" s="112">
        <v>945.23000000000002</v>
      </c>
      <c r="L28" s="88"/>
      <c r="M28" s="88"/>
    </row>
    <row r="29">
      <c r="A29" s="108">
        <v>101001196</v>
      </c>
      <c r="B29" s="109" t="s">
        <v>15572</v>
      </c>
      <c r="C29" s="110" t="s">
        <v>31</v>
      </c>
      <c r="D29" s="111">
        <v>1095.9200000000001</v>
      </c>
      <c r="E29" s="111">
        <v>0</v>
      </c>
      <c r="F29" s="112">
        <v>1095.9200000000001</v>
      </c>
      <c r="H29" s="110" t="s">
        <v>31</v>
      </c>
      <c r="I29" s="111">
        <v>1087.48</v>
      </c>
      <c r="J29" s="111">
        <v>0</v>
      </c>
      <c r="K29" s="112">
        <v>1087.48</v>
      </c>
      <c r="L29" s="88"/>
      <c r="M29" s="88"/>
    </row>
    <row r="30" ht="51">
      <c r="A30" s="69">
        <v>101001201</v>
      </c>
      <c r="B30" s="89" t="s">
        <v>15573</v>
      </c>
      <c r="C30" s="88" t="s">
        <v>38</v>
      </c>
      <c r="D30" s="113"/>
      <c r="E30" s="113"/>
      <c r="F30" s="114">
        <v>117.64</v>
      </c>
      <c r="H30" s="88" t="s">
        <v>38</v>
      </c>
      <c r="I30" s="113"/>
      <c r="J30" s="113"/>
      <c r="K30" s="114">
        <v>114.09999999999999</v>
      </c>
      <c r="L30" s="88"/>
      <c r="M30" s="88"/>
    </row>
    <row r="31" ht="51">
      <c r="A31" s="69">
        <v>101001206</v>
      </c>
      <c r="B31" s="89" t="s">
        <v>15574</v>
      </c>
      <c r="C31" s="88" t="s">
        <v>38</v>
      </c>
      <c r="D31" s="113"/>
      <c r="E31" s="113"/>
      <c r="F31" s="114">
        <v>61.990000000000002</v>
      </c>
      <c r="H31" s="88" t="s">
        <v>38</v>
      </c>
      <c r="I31" s="113"/>
      <c r="J31" s="113"/>
      <c r="K31" s="114">
        <v>60.090000000000003</v>
      </c>
      <c r="L31" s="88"/>
      <c r="M31" s="88"/>
    </row>
    <row r="32" ht="51">
      <c r="A32" s="69">
        <v>101001211</v>
      </c>
      <c r="B32" s="89" t="s">
        <v>15575</v>
      </c>
      <c r="C32" s="88" t="s">
        <v>38</v>
      </c>
      <c r="D32" s="113"/>
      <c r="E32" s="113"/>
      <c r="F32" s="114">
        <v>66.370000000000005</v>
      </c>
      <c r="H32" s="88" t="s">
        <v>38</v>
      </c>
      <c r="I32" s="113"/>
      <c r="J32" s="113"/>
      <c r="K32" s="114">
        <v>64.129999999999995</v>
      </c>
      <c r="L32" s="88"/>
      <c r="M32" s="88"/>
    </row>
    <row r="33" ht="38.25">
      <c r="A33" s="69">
        <v>101001216</v>
      </c>
      <c r="B33" s="89" t="s">
        <v>15576</v>
      </c>
      <c r="C33" s="88" t="s">
        <v>31</v>
      </c>
      <c r="D33" s="113"/>
      <c r="E33" s="113"/>
      <c r="F33" s="114">
        <v>73.329999999999998</v>
      </c>
      <c r="H33" s="88" t="s">
        <v>31</v>
      </c>
      <c r="I33" s="113"/>
      <c r="J33" s="113"/>
      <c r="K33" s="114">
        <v>67.959999999999994</v>
      </c>
      <c r="L33" s="88"/>
      <c r="M33" s="88"/>
    </row>
    <row r="34" ht="38.25">
      <c r="A34" s="69">
        <v>101001221</v>
      </c>
      <c r="B34" s="89" t="s">
        <v>15577</v>
      </c>
      <c r="C34" s="88" t="s">
        <v>31</v>
      </c>
      <c r="D34" s="113"/>
      <c r="E34" s="113"/>
      <c r="F34" s="114">
        <v>143.93000000000001</v>
      </c>
      <c r="H34" s="88" t="s">
        <v>31</v>
      </c>
      <c r="I34" s="113"/>
      <c r="J34" s="113"/>
      <c r="K34" s="114">
        <v>133.40000000000001</v>
      </c>
      <c r="L34" s="88"/>
      <c r="M34" s="88"/>
    </row>
    <row r="35" ht="25.5">
      <c r="A35" s="69">
        <v>101001226</v>
      </c>
      <c r="B35" s="89" t="s">
        <v>15578</v>
      </c>
      <c r="C35" s="88" t="s">
        <v>31</v>
      </c>
      <c r="D35" s="113"/>
      <c r="E35" s="113"/>
      <c r="F35" s="114">
        <v>383.67000000000002</v>
      </c>
      <c r="H35" s="88" t="s">
        <v>31</v>
      </c>
      <c r="I35" s="113"/>
      <c r="J35" s="113"/>
      <c r="K35" s="114">
        <v>364.68000000000001</v>
      </c>
      <c r="L35" s="88"/>
      <c r="M35" s="88"/>
    </row>
    <row r="36" ht="38.25">
      <c r="A36" s="69">
        <v>101001231</v>
      </c>
      <c r="B36" s="89" t="s">
        <v>15579</v>
      </c>
      <c r="C36" s="88" t="s">
        <v>31</v>
      </c>
      <c r="D36" s="113"/>
      <c r="E36" s="113"/>
      <c r="F36" s="114">
        <v>129.22</v>
      </c>
      <c r="H36" s="88" t="s">
        <v>31</v>
      </c>
      <c r="I36" s="113"/>
      <c r="J36" s="113"/>
      <c r="K36" s="114">
        <v>122.77</v>
      </c>
      <c r="L36" s="88"/>
      <c r="M36" s="88"/>
    </row>
    <row r="37" ht="38.25">
      <c r="A37" s="69">
        <v>101001236</v>
      </c>
      <c r="B37" s="89" t="s">
        <v>15580</v>
      </c>
      <c r="C37" s="88" t="s">
        <v>31</v>
      </c>
      <c r="D37" s="113"/>
      <c r="E37" s="113"/>
      <c r="F37" s="114">
        <v>214.46000000000001</v>
      </c>
      <c r="H37" s="88" t="s">
        <v>31</v>
      </c>
      <c r="I37" s="113"/>
      <c r="J37" s="113"/>
      <c r="K37" s="114">
        <v>203.75999999999999</v>
      </c>
      <c r="L37" s="88"/>
      <c r="M37" s="88"/>
    </row>
    <row r="38" ht="38.25">
      <c r="A38" s="69">
        <v>101001241</v>
      </c>
      <c r="B38" s="89" t="s">
        <v>15581</v>
      </c>
      <c r="C38" s="88" t="s">
        <v>31</v>
      </c>
      <c r="D38" s="113"/>
      <c r="E38" s="113"/>
      <c r="F38" s="114">
        <v>282.64999999999998</v>
      </c>
      <c r="H38" s="88" t="s">
        <v>31</v>
      </c>
      <c r="I38" s="113"/>
      <c r="J38" s="113"/>
      <c r="K38" s="114">
        <v>268.55000000000001</v>
      </c>
      <c r="L38" s="88"/>
      <c r="M38" s="88"/>
    </row>
    <row r="39" ht="63.75">
      <c r="A39" s="108">
        <v>101001247</v>
      </c>
      <c r="B39" s="109" t="s">
        <v>15582</v>
      </c>
      <c r="C39" s="110" t="s">
        <v>29</v>
      </c>
      <c r="D39" s="111">
        <v>370.45999999999998</v>
      </c>
      <c r="E39" s="111">
        <v>15.49</v>
      </c>
      <c r="F39" s="112">
        <v>385.94999999999999</v>
      </c>
      <c r="H39" s="110" t="s">
        <v>29</v>
      </c>
      <c r="I39" s="111">
        <v>363.08999999999997</v>
      </c>
      <c r="J39" s="111">
        <v>14.32</v>
      </c>
      <c r="K39" s="112">
        <v>377.41000000000003</v>
      </c>
      <c r="L39" s="88"/>
      <c r="M39" s="88"/>
    </row>
    <row r="40" ht="63.75">
      <c r="A40" s="108">
        <v>101001251</v>
      </c>
      <c r="B40" s="109" t="s">
        <v>15583</v>
      </c>
      <c r="C40" s="110" t="s">
        <v>31</v>
      </c>
      <c r="D40" s="111">
        <v>5041.9700000000003</v>
      </c>
      <c r="E40" s="111">
        <v>740.63999999999999</v>
      </c>
      <c r="F40" s="112">
        <v>5782.6099999999997</v>
      </c>
      <c r="H40" s="110" t="s">
        <v>31</v>
      </c>
      <c r="I40" s="111">
        <v>4990.3599999999997</v>
      </c>
      <c r="J40" s="111">
        <v>685.20000000000005</v>
      </c>
      <c r="K40" s="112">
        <v>5675.5600000000004</v>
      </c>
      <c r="L40" s="88"/>
      <c r="M40" s="88"/>
    </row>
    <row r="41" ht="51">
      <c r="A41" s="108">
        <v>101001256</v>
      </c>
      <c r="B41" s="109" t="s">
        <v>15584</v>
      </c>
      <c r="C41" s="110" t="s">
        <v>31</v>
      </c>
      <c r="D41" s="111">
        <v>612.52999999999997</v>
      </c>
      <c r="E41" s="111">
        <v>46.490000000000002</v>
      </c>
      <c r="F41" s="112">
        <v>659.01999999999998</v>
      </c>
      <c r="H41" s="110" t="s">
        <v>31</v>
      </c>
      <c r="I41" s="111">
        <v>592.54999999999995</v>
      </c>
      <c r="J41" s="111">
        <v>43.020000000000003</v>
      </c>
      <c r="K41" s="112">
        <v>635.57000000000005</v>
      </c>
      <c r="L41" s="88"/>
      <c r="M41" s="88"/>
    </row>
    <row r="42">
      <c r="D42" s="113"/>
      <c r="E42" s="113"/>
      <c r="F42" s="114"/>
      <c r="H42" s="88"/>
      <c r="I42" s="113"/>
      <c r="J42" s="113"/>
      <c r="K42" s="114"/>
      <c r="L42" s="88"/>
      <c r="M42" s="88"/>
    </row>
    <row r="43">
      <c r="B43" s="89" t="s">
        <v>15585</v>
      </c>
      <c r="D43" s="113"/>
      <c r="E43" s="113"/>
      <c r="F43" s="114"/>
      <c r="H43" s="88"/>
      <c r="I43" s="113"/>
      <c r="J43" s="113"/>
      <c r="K43" s="114"/>
      <c r="L43" s="88"/>
      <c r="M43" s="88"/>
    </row>
    <row r="44" ht="25.5">
      <c r="A44" s="108">
        <v>101002100</v>
      </c>
      <c r="B44" s="109" t="s">
        <v>15586</v>
      </c>
      <c r="C44" s="110" t="s">
        <v>31</v>
      </c>
      <c r="D44" s="111">
        <v>2085.27</v>
      </c>
      <c r="E44" s="111">
        <v>315.80000000000001</v>
      </c>
      <c r="F44" s="112">
        <v>2401.0700000000002</v>
      </c>
      <c r="H44" s="110" t="s">
        <v>31</v>
      </c>
      <c r="I44" s="111">
        <v>2058</v>
      </c>
      <c r="J44" s="111">
        <v>291.66000000000003</v>
      </c>
      <c r="K44" s="112">
        <v>2349.6599999999999</v>
      </c>
      <c r="L44" s="88"/>
      <c r="M44" s="88"/>
    </row>
    <row r="45" ht="38.25">
      <c r="A45" s="69">
        <v>101002101</v>
      </c>
      <c r="B45" s="89" t="s">
        <v>15587</v>
      </c>
      <c r="C45" s="88" t="s">
        <v>31</v>
      </c>
      <c r="D45" s="113"/>
      <c r="E45" s="113"/>
      <c r="F45" s="114">
        <v>222.81999999999999</v>
      </c>
      <c r="H45" s="88" t="s">
        <v>31</v>
      </c>
      <c r="I45" s="113"/>
      <c r="J45" s="113"/>
      <c r="K45" s="114">
        <v>217.55000000000001</v>
      </c>
      <c r="L45" s="88"/>
      <c r="M45" s="88"/>
    </row>
    <row r="46" ht="25.5">
      <c r="A46" s="69">
        <v>101002106</v>
      </c>
      <c r="B46" s="89" t="s">
        <v>15588</v>
      </c>
      <c r="C46" s="88" t="s">
        <v>31</v>
      </c>
      <c r="D46" s="113"/>
      <c r="E46" s="113"/>
      <c r="F46" s="114">
        <v>147.97</v>
      </c>
      <c r="H46" s="88" t="s">
        <v>31</v>
      </c>
      <c r="I46" s="113"/>
      <c r="J46" s="113"/>
      <c r="K46" s="114">
        <v>146.09</v>
      </c>
      <c r="L46" s="88"/>
      <c r="M46" s="88"/>
    </row>
    <row r="47" ht="63.75">
      <c r="A47" s="108">
        <v>101002111</v>
      </c>
      <c r="B47" s="109" t="s">
        <v>15589</v>
      </c>
      <c r="C47" s="110" t="s">
        <v>31</v>
      </c>
      <c r="D47" s="111">
        <v>1312.96</v>
      </c>
      <c r="E47" s="111">
        <v>331.83999999999997</v>
      </c>
      <c r="F47" s="112">
        <v>1644.8</v>
      </c>
      <c r="H47" s="110" t="s">
        <v>31</v>
      </c>
      <c r="I47" s="111">
        <v>1310.77</v>
      </c>
      <c r="J47" s="111">
        <v>308.16000000000003</v>
      </c>
      <c r="K47" s="112">
        <v>1618.9300000000001</v>
      </c>
      <c r="L47" s="88"/>
      <c r="M47" s="88"/>
    </row>
    <row r="48" ht="63.75">
      <c r="A48" s="108">
        <v>101002116</v>
      </c>
      <c r="B48" s="109" t="s">
        <v>15590</v>
      </c>
      <c r="C48" s="110" t="s">
        <v>31</v>
      </c>
      <c r="D48" s="111">
        <v>1807.3299999999999</v>
      </c>
      <c r="E48" s="111">
        <v>497.75999999999999</v>
      </c>
      <c r="F48" s="112">
        <v>2305.0900000000001</v>
      </c>
      <c r="H48" s="110" t="s">
        <v>31</v>
      </c>
      <c r="I48" s="111">
        <v>1804.95</v>
      </c>
      <c r="J48" s="111">
        <v>462.24000000000001</v>
      </c>
      <c r="K48" s="112">
        <v>2267.1900000000001</v>
      </c>
      <c r="L48" s="88"/>
      <c r="M48" s="88"/>
    </row>
    <row r="49" ht="63.75">
      <c r="A49" s="108">
        <v>101002121</v>
      </c>
      <c r="B49" s="109" t="s">
        <v>15591</v>
      </c>
      <c r="C49" s="110" t="s">
        <v>31</v>
      </c>
      <c r="D49" s="111">
        <v>1285.8</v>
      </c>
      <c r="E49" s="111">
        <v>331.83999999999997</v>
      </c>
      <c r="F49" s="112">
        <v>1617.6400000000001</v>
      </c>
      <c r="H49" s="110" t="s">
        <v>31</v>
      </c>
      <c r="I49" s="111">
        <v>1284.26</v>
      </c>
      <c r="J49" s="111">
        <v>308.16000000000003</v>
      </c>
      <c r="K49" s="112">
        <v>1592.4200000000001</v>
      </c>
      <c r="L49" s="88"/>
      <c r="M49" s="88"/>
    </row>
    <row r="50" ht="63.75">
      <c r="A50" s="108">
        <v>101002126</v>
      </c>
      <c r="B50" s="109" t="s">
        <v>15592</v>
      </c>
      <c r="C50" s="110" t="s">
        <v>31</v>
      </c>
      <c r="D50" s="111">
        <v>1780.1600000000001</v>
      </c>
      <c r="E50" s="111">
        <v>497.75999999999999</v>
      </c>
      <c r="F50" s="112">
        <v>2277.9200000000001</v>
      </c>
      <c r="H50" s="110" t="s">
        <v>31</v>
      </c>
      <c r="I50" s="111">
        <v>1778.4400000000001</v>
      </c>
      <c r="J50" s="111">
        <v>462.24000000000001</v>
      </c>
      <c r="K50" s="112">
        <v>2240.6799999999998</v>
      </c>
      <c r="L50" s="88"/>
      <c r="M50" s="88"/>
    </row>
    <row r="51" ht="51">
      <c r="A51" s="69">
        <v>101002131</v>
      </c>
      <c r="B51" s="89" t="s">
        <v>15593</v>
      </c>
      <c r="C51" s="88" t="s">
        <v>31</v>
      </c>
      <c r="D51" s="113"/>
      <c r="E51" s="113"/>
      <c r="F51" s="114">
        <v>355.17000000000002</v>
      </c>
      <c r="H51" s="88" t="s">
        <v>31</v>
      </c>
      <c r="I51" s="113"/>
      <c r="J51" s="113"/>
      <c r="K51" s="114">
        <v>339.94999999999999</v>
      </c>
      <c r="L51" s="88"/>
      <c r="M51" s="88"/>
    </row>
    <row r="52" ht="38.25">
      <c r="A52" s="69">
        <v>101002136</v>
      </c>
      <c r="B52" s="89" t="s">
        <v>15594</v>
      </c>
      <c r="C52" s="88" t="s">
        <v>31</v>
      </c>
      <c r="D52" s="113"/>
      <c r="E52" s="113"/>
      <c r="F52" s="114">
        <v>59.219999999999999</v>
      </c>
      <c r="H52" s="88" t="s">
        <v>31</v>
      </c>
      <c r="I52" s="113"/>
      <c r="J52" s="113"/>
      <c r="K52" s="114">
        <v>58.82</v>
      </c>
      <c r="L52" s="88"/>
      <c r="M52" s="88"/>
    </row>
    <row r="53" ht="25.5">
      <c r="A53" s="108">
        <v>101002141</v>
      </c>
      <c r="B53" s="109" t="s">
        <v>15595</v>
      </c>
      <c r="C53" s="110" t="s">
        <v>38</v>
      </c>
      <c r="D53" s="111">
        <v>5.3200000000000003</v>
      </c>
      <c r="E53" s="111">
        <v>17.27</v>
      </c>
      <c r="F53" s="112">
        <v>22.59</v>
      </c>
      <c r="H53" s="110" t="s">
        <v>38</v>
      </c>
      <c r="I53" s="111">
        <v>5.3200000000000003</v>
      </c>
      <c r="J53" s="111">
        <v>15.94</v>
      </c>
      <c r="K53" s="112">
        <v>21.260000000000002</v>
      </c>
      <c r="L53" s="88"/>
      <c r="M53" s="88"/>
    </row>
    <row r="54" ht="25.5">
      <c r="A54" s="108">
        <v>101002146</v>
      </c>
      <c r="B54" s="109" t="s">
        <v>15596</v>
      </c>
      <c r="C54" s="110" t="s">
        <v>38</v>
      </c>
      <c r="D54" s="111">
        <v>19.699999999999999</v>
      </c>
      <c r="E54" s="111">
        <v>27.420000000000002</v>
      </c>
      <c r="F54" s="112">
        <v>47.119999999999997</v>
      </c>
      <c r="H54" s="110" t="s">
        <v>38</v>
      </c>
      <c r="I54" s="111">
        <v>19.699999999999999</v>
      </c>
      <c r="J54" s="111">
        <v>25.309999999999999</v>
      </c>
      <c r="K54" s="112">
        <v>45.009999999999998</v>
      </c>
      <c r="L54" s="88"/>
      <c r="M54" s="88"/>
    </row>
    <row r="55" ht="25.5">
      <c r="A55" s="108">
        <v>101002151</v>
      </c>
      <c r="B55" s="109" t="s">
        <v>15597</v>
      </c>
      <c r="C55" s="110" t="s">
        <v>38</v>
      </c>
      <c r="D55" s="111">
        <v>20.52</v>
      </c>
      <c r="E55" s="111">
        <v>47.539999999999999</v>
      </c>
      <c r="F55" s="112">
        <v>68.060000000000002</v>
      </c>
      <c r="H55" s="110" t="s">
        <v>38</v>
      </c>
      <c r="I55" s="111">
        <v>20.52</v>
      </c>
      <c r="J55" s="111">
        <v>43.869999999999997</v>
      </c>
      <c r="K55" s="112">
        <v>64.390000000000001</v>
      </c>
      <c r="L55" s="88"/>
      <c r="M55" s="88"/>
    </row>
    <row r="56">
      <c r="D56" s="113"/>
      <c r="E56" s="113"/>
      <c r="F56" s="114"/>
      <c r="H56" s="88"/>
      <c r="I56" s="113"/>
      <c r="J56" s="113"/>
      <c r="K56" s="114"/>
      <c r="L56" s="88"/>
      <c r="M56" s="88"/>
    </row>
    <row r="57">
      <c r="B57" s="89" t="s">
        <v>15598</v>
      </c>
      <c r="D57" s="113"/>
      <c r="E57" s="113"/>
      <c r="F57" s="114"/>
      <c r="H57" s="88"/>
      <c r="I57" s="113"/>
      <c r="J57" s="113"/>
      <c r="K57" s="114"/>
      <c r="L57" s="88"/>
      <c r="M57" s="88"/>
    </row>
    <row r="58" ht="25.5">
      <c r="A58" s="108">
        <v>101003100</v>
      </c>
      <c r="B58" s="109" t="s">
        <v>15599</v>
      </c>
      <c r="C58" s="110" t="s">
        <v>31</v>
      </c>
      <c r="D58" s="111">
        <v>2926.75</v>
      </c>
      <c r="E58" s="111">
        <v>381.92000000000002</v>
      </c>
      <c r="F58" s="112">
        <v>3308.6700000000001</v>
      </c>
      <c r="H58" s="110" t="s">
        <v>31</v>
      </c>
      <c r="I58" s="111">
        <v>2926.75</v>
      </c>
      <c r="J58" s="111">
        <v>353.19999999999999</v>
      </c>
      <c r="K58" s="112">
        <v>3279.9499999999998</v>
      </c>
      <c r="L58" s="88"/>
      <c r="M58" s="88"/>
    </row>
    <row r="59">
      <c r="A59" s="108">
        <v>101003101</v>
      </c>
      <c r="B59" s="109" t="s">
        <v>15600</v>
      </c>
      <c r="C59" s="110" t="s">
        <v>31</v>
      </c>
      <c r="D59" s="111">
        <v>3958.5700000000002</v>
      </c>
      <c r="E59" s="111">
        <v>1432.2</v>
      </c>
      <c r="F59" s="112">
        <v>5390.7700000000004</v>
      </c>
      <c r="H59" s="110" t="s">
        <v>31</v>
      </c>
      <c r="I59" s="111">
        <v>3947.3299999999999</v>
      </c>
      <c r="J59" s="111">
        <v>1324.5</v>
      </c>
      <c r="K59" s="112">
        <v>5271.8299999999999</v>
      </c>
      <c r="L59" s="88"/>
      <c r="M59" s="88"/>
    </row>
    <row r="60">
      <c r="A60" s="108">
        <v>101003106</v>
      </c>
      <c r="B60" s="109" t="s">
        <v>15601</v>
      </c>
      <c r="C60" s="110" t="s">
        <v>31</v>
      </c>
      <c r="D60" s="111">
        <v>6228.75</v>
      </c>
      <c r="E60" s="111">
        <v>1432.2</v>
      </c>
      <c r="F60" s="112">
        <v>7660.9499999999998</v>
      </c>
      <c r="H60" s="110" t="s">
        <v>31</v>
      </c>
      <c r="I60" s="111">
        <v>6217.5100000000002</v>
      </c>
      <c r="J60" s="111">
        <v>1324.5</v>
      </c>
      <c r="K60" s="112">
        <v>7542.0100000000002</v>
      </c>
      <c r="L60" s="88"/>
      <c r="M60" s="88"/>
    </row>
    <row r="61">
      <c r="A61" s="108">
        <v>101003111</v>
      </c>
      <c r="B61" s="109" t="s">
        <v>15602</v>
      </c>
      <c r="C61" s="110" t="s">
        <v>31</v>
      </c>
      <c r="D61" s="111">
        <v>8504.2600000000002</v>
      </c>
      <c r="E61" s="111">
        <v>1432.2</v>
      </c>
      <c r="F61" s="112">
        <v>9936.4599999999991</v>
      </c>
      <c r="H61" s="110" t="s">
        <v>31</v>
      </c>
      <c r="I61" s="111">
        <v>8493.0200000000004</v>
      </c>
      <c r="J61" s="111">
        <v>1324.5</v>
      </c>
      <c r="K61" s="112">
        <v>9817.5200000000004</v>
      </c>
      <c r="L61" s="88"/>
      <c r="M61" s="88"/>
    </row>
    <row r="62" ht="38.25">
      <c r="A62" s="108">
        <v>101003116</v>
      </c>
      <c r="B62" s="109" t="s">
        <v>15603</v>
      </c>
      <c r="C62" s="110" t="s">
        <v>31</v>
      </c>
      <c r="D62" s="111">
        <v>51.890000000000001</v>
      </c>
      <c r="E62" s="111">
        <v>11.359999999999999</v>
      </c>
      <c r="F62" s="112">
        <v>63.25</v>
      </c>
      <c r="H62" s="110" t="s">
        <v>31</v>
      </c>
      <c r="I62" s="111">
        <v>51.890000000000001</v>
      </c>
      <c r="J62" s="111">
        <v>10.51</v>
      </c>
      <c r="K62" s="112">
        <v>62.399999999999999</v>
      </c>
      <c r="L62" s="88"/>
      <c r="M62" s="88"/>
    </row>
    <row r="63" ht="38.25">
      <c r="A63" s="108">
        <v>101003121</v>
      </c>
      <c r="B63" s="109" t="s">
        <v>15604</v>
      </c>
      <c r="C63" s="110" t="s">
        <v>31</v>
      </c>
      <c r="D63" s="111">
        <v>73.219999999999999</v>
      </c>
      <c r="E63" s="111">
        <v>32.119999999999997</v>
      </c>
      <c r="F63" s="112">
        <v>105.34</v>
      </c>
      <c r="H63" s="110" t="s">
        <v>31</v>
      </c>
      <c r="I63" s="111">
        <v>72.719999999999999</v>
      </c>
      <c r="J63" s="111">
        <v>29.699999999999999</v>
      </c>
      <c r="K63" s="112">
        <v>102.42</v>
      </c>
      <c r="L63" s="88"/>
      <c r="M63" s="88"/>
    </row>
    <row r="64" ht="25.5">
      <c r="A64" s="108">
        <v>101003126</v>
      </c>
      <c r="B64" s="109" t="s">
        <v>15605</v>
      </c>
      <c r="C64" s="110" t="s">
        <v>38</v>
      </c>
      <c r="D64" s="111">
        <v>52.630000000000003</v>
      </c>
      <c r="E64" s="111">
        <v>13.359999999999999</v>
      </c>
      <c r="F64" s="112">
        <v>65.989999999999995</v>
      </c>
      <c r="H64" s="110" t="s">
        <v>38</v>
      </c>
      <c r="I64" s="111">
        <v>52.630000000000003</v>
      </c>
      <c r="J64" s="111">
        <v>12.35</v>
      </c>
      <c r="K64" s="112">
        <v>64.980000000000004</v>
      </c>
      <c r="L64" s="88"/>
      <c r="M64" s="88"/>
    </row>
    <row r="65" ht="25.5">
      <c r="A65" s="108">
        <v>101003131</v>
      </c>
      <c r="B65" s="109" t="s">
        <v>15606</v>
      </c>
      <c r="C65" s="110" t="s">
        <v>38</v>
      </c>
      <c r="D65" s="111">
        <v>4.9299999999999997</v>
      </c>
      <c r="E65" s="111">
        <v>5.7199999999999998</v>
      </c>
      <c r="F65" s="112">
        <v>10.65</v>
      </c>
      <c r="H65" s="110" t="s">
        <v>38</v>
      </c>
      <c r="I65" s="111">
        <v>4.9299999999999997</v>
      </c>
      <c r="J65" s="111">
        <v>5.2800000000000002</v>
      </c>
      <c r="K65" s="112">
        <v>10.210000000000001</v>
      </c>
      <c r="L65" s="88"/>
      <c r="M65" s="88"/>
    </row>
    <row r="66" ht="25.5">
      <c r="A66" s="108">
        <v>101003136</v>
      </c>
      <c r="B66" s="109" t="s">
        <v>15607</v>
      </c>
      <c r="C66" s="110" t="s">
        <v>38</v>
      </c>
      <c r="D66" s="111">
        <v>6.8600000000000003</v>
      </c>
      <c r="E66" s="111">
        <v>5.7199999999999998</v>
      </c>
      <c r="F66" s="112">
        <v>12.58</v>
      </c>
      <c r="H66" s="110" t="s">
        <v>38</v>
      </c>
      <c r="I66" s="111">
        <v>6.8600000000000003</v>
      </c>
      <c r="J66" s="111">
        <v>5.2800000000000002</v>
      </c>
      <c r="K66" s="112">
        <v>12.140000000000001</v>
      </c>
      <c r="L66" s="88"/>
      <c r="M66" s="88"/>
    </row>
    <row r="67" ht="25.5">
      <c r="A67" s="108">
        <v>101003141</v>
      </c>
      <c r="B67" s="109" t="s">
        <v>15608</v>
      </c>
      <c r="C67" s="110" t="s">
        <v>38</v>
      </c>
      <c r="D67" s="111">
        <v>12.42</v>
      </c>
      <c r="E67" s="111">
        <v>7.6299999999999999</v>
      </c>
      <c r="F67" s="112">
        <v>20.050000000000001</v>
      </c>
      <c r="H67" s="110" t="s">
        <v>38</v>
      </c>
      <c r="I67" s="111">
        <v>12.42</v>
      </c>
      <c r="J67" s="111">
        <v>7.0599999999999996</v>
      </c>
      <c r="K67" s="112">
        <v>19.48</v>
      </c>
      <c r="L67" s="88"/>
      <c r="M67" s="88"/>
    </row>
    <row r="68" ht="25.5">
      <c r="A68" s="108">
        <v>101003146</v>
      </c>
      <c r="B68" s="109" t="s">
        <v>15609</v>
      </c>
      <c r="C68" s="110" t="s">
        <v>31</v>
      </c>
      <c r="D68" s="111">
        <v>1.5800000000000001</v>
      </c>
      <c r="E68" s="111">
        <v>4.7599999999999998</v>
      </c>
      <c r="F68" s="112">
        <v>6.3399999999999999</v>
      </c>
      <c r="H68" s="110" t="s">
        <v>31</v>
      </c>
      <c r="I68" s="111">
        <v>1.5800000000000001</v>
      </c>
      <c r="J68" s="111">
        <v>4.4000000000000004</v>
      </c>
      <c r="K68" s="112">
        <v>5.9800000000000004</v>
      </c>
      <c r="L68" s="88"/>
      <c r="M68" s="88"/>
    </row>
    <row r="69" ht="38.25">
      <c r="A69" s="108">
        <v>101003151</v>
      </c>
      <c r="B69" s="109" t="s">
        <v>15610</v>
      </c>
      <c r="C69" s="110" t="s">
        <v>31</v>
      </c>
      <c r="D69" s="111">
        <v>18.390000000000001</v>
      </c>
      <c r="E69" s="111">
        <v>38.189999999999998</v>
      </c>
      <c r="F69" s="112">
        <v>56.579999999999998</v>
      </c>
      <c r="H69" s="110" t="s">
        <v>31</v>
      </c>
      <c r="I69" s="111">
        <v>18.390000000000001</v>
      </c>
      <c r="J69" s="111">
        <v>35.310000000000002</v>
      </c>
      <c r="K69" s="112">
        <v>53.700000000000003</v>
      </c>
      <c r="L69" s="88"/>
      <c r="M69" s="88"/>
    </row>
    <row r="70" ht="38.25">
      <c r="A70" s="108">
        <v>101003156</v>
      </c>
      <c r="B70" s="109" t="s">
        <v>15611</v>
      </c>
      <c r="C70" s="110" t="s">
        <v>31</v>
      </c>
      <c r="D70" s="111">
        <v>11.77</v>
      </c>
      <c r="E70" s="111">
        <v>35.789999999999999</v>
      </c>
      <c r="F70" s="112">
        <v>47.560000000000002</v>
      </c>
      <c r="H70" s="110" t="s">
        <v>31</v>
      </c>
      <c r="I70" s="111">
        <v>11.77</v>
      </c>
      <c r="J70" s="111">
        <v>33.109999999999999</v>
      </c>
      <c r="K70" s="112">
        <v>44.880000000000003</v>
      </c>
      <c r="L70" s="88"/>
      <c r="M70" s="88"/>
    </row>
    <row r="71" ht="25.5">
      <c r="A71" s="108">
        <v>101003161</v>
      </c>
      <c r="B71" s="109" t="s">
        <v>15612</v>
      </c>
      <c r="C71" s="110" t="s">
        <v>31</v>
      </c>
      <c r="D71" s="111">
        <v>5.8799999999999999</v>
      </c>
      <c r="E71" s="111">
        <v>9.5399999999999991</v>
      </c>
      <c r="F71" s="112">
        <v>15.42</v>
      </c>
      <c r="H71" s="110" t="s">
        <v>31</v>
      </c>
      <c r="I71" s="111">
        <v>5.8799999999999999</v>
      </c>
      <c r="J71" s="111">
        <v>8.8200000000000003</v>
      </c>
      <c r="K71" s="112">
        <v>14.699999999999999</v>
      </c>
      <c r="L71" s="88"/>
      <c r="M71" s="88"/>
    </row>
    <row r="72" ht="38.25">
      <c r="A72" s="108">
        <v>101003166</v>
      </c>
      <c r="B72" s="109" t="s">
        <v>15613</v>
      </c>
      <c r="C72" s="110" t="s">
        <v>31</v>
      </c>
      <c r="D72" s="111">
        <v>5.8399999999999999</v>
      </c>
      <c r="E72" s="111">
        <v>19.09</v>
      </c>
      <c r="F72" s="112">
        <v>24.93</v>
      </c>
      <c r="H72" s="110" t="s">
        <v>31</v>
      </c>
      <c r="I72" s="111">
        <v>5.8399999999999999</v>
      </c>
      <c r="J72" s="111">
        <v>17.649999999999999</v>
      </c>
      <c r="K72" s="112">
        <v>23.489999999999998</v>
      </c>
      <c r="L72" s="88"/>
      <c r="M72" s="88"/>
    </row>
    <row r="73" ht="25.5">
      <c r="A73" s="69">
        <v>101003171</v>
      </c>
      <c r="B73" s="89" t="s">
        <v>15614</v>
      </c>
      <c r="C73" s="88" t="s">
        <v>31</v>
      </c>
      <c r="D73" s="113"/>
      <c r="E73" s="113"/>
      <c r="F73" s="114">
        <v>73.409999999999997</v>
      </c>
      <c r="H73" s="88" t="s">
        <v>31</v>
      </c>
      <c r="I73" s="113"/>
      <c r="J73" s="113"/>
      <c r="K73" s="114">
        <v>72.510000000000005</v>
      </c>
      <c r="L73" s="88"/>
      <c r="M73" s="88"/>
    </row>
    <row r="74" ht="63.75">
      <c r="A74" s="108">
        <v>101003176</v>
      </c>
      <c r="B74" s="109" t="s">
        <v>15615</v>
      </c>
      <c r="C74" s="110" t="s">
        <v>31</v>
      </c>
      <c r="D74" s="111">
        <v>97.329999999999998</v>
      </c>
      <c r="E74" s="111">
        <v>47.740000000000002</v>
      </c>
      <c r="F74" s="112">
        <v>145.06999999999999</v>
      </c>
      <c r="H74" s="110" t="s">
        <v>31</v>
      </c>
      <c r="I74" s="111">
        <v>97.329999999999998</v>
      </c>
      <c r="J74" s="111">
        <v>44.149999999999999</v>
      </c>
      <c r="K74" s="112">
        <v>141.47999999999999</v>
      </c>
      <c r="L74" s="88"/>
      <c r="M74" s="88"/>
    </row>
    <row r="75" ht="38.25">
      <c r="A75" s="108">
        <v>101003181</v>
      </c>
      <c r="B75" s="109" t="s">
        <v>15616</v>
      </c>
      <c r="C75" s="110" t="s">
        <v>31</v>
      </c>
      <c r="D75" s="111">
        <v>98.769999999999996</v>
      </c>
      <c r="E75" s="111">
        <v>0</v>
      </c>
      <c r="F75" s="112">
        <v>98.769999999999996</v>
      </c>
      <c r="H75" s="110" t="s">
        <v>31</v>
      </c>
      <c r="I75" s="111">
        <v>98.439999999999998</v>
      </c>
      <c r="J75" s="111">
        <v>0</v>
      </c>
      <c r="K75" s="112">
        <v>98.439999999999998</v>
      </c>
      <c r="L75" s="88"/>
      <c r="M75" s="88"/>
    </row>
    <row r="76">
      <c r="D76" s="113"/>
      <c r="E76" s="113"/>
      <c r="F76" s="114"/>
      <c r="H76" s="88"/>
      <c r="I76" s="113"/>
      <c r="J76" s="113"/>
      <c r="K76" s="114"/>
      <c r="L76" s="88"/>
      <c r="M76" s="88"/>
    </row>
    <row r="77">
      <c r="B77" s="102" t="s">
        <v>15617</v>
      </c>
      <c r="D77" s="113"/>
      <c r="E77" s="113"/>
      <c r="F77" s="114"/>
      <c r="H77" s="88"/>
      <c r="I77" s="113"/>
      <c r="J77" s="113"/>
      <c r="K77" s="114"/>
      <c r="L77" s="88"/>
      <c r="M77" s="88"/>
    </row>
    <row r="78">
      <c r="D78" s="113"/>
      <c r="E78" s="113"/>
      <c r="F78" s="114"/>
      <c r="H78" s="88"/>
      <c r="I78" s="113"/>
      <c r="J78" s="113"/>
      <c r="K78" s="114"/>
      <c r="L78" s="88"/>
      <c r="M78" s="88"/>
    </row>
    <row r="79">
      <c r="A79" s="88" t="s">
        <v>15547</v>
      </c>
      <c r="B79" s="89" t="s">
        <v>15548</v>
      </c>
      <c r="C79" s="88" t="s">
        <v>15337</v>
      </c>
      <c r="D79" s="113" t="s">
        <v>10460</v>
      </c>
      <c r="E79" s="113" t="s">
        <v>15549</v>
      </c>
      <c r="F79" s="114" t="s">
        <v>15550</v>
      </c>
      <c r="H79" s="88" t="s">
        <v>15337</v>
      </c>
      <c r="I79" s="113" t="s">
        <v>10460</v>
      </c>
      <c r="J79" s="113" t="s">
        <v>15549</v>
      </c>
      <c r="K79" s="114" t="s">
        <v>15550</v>
      </c>
      <c r="L79" s="88"/>
      <c r="M79" s="88"/>
    </row>
    <row r="80">
      <c r="D80" s="113"/>
      <c r="E80" s="113"/>
      <c r="F80" s="114"/>
      <c r="H80" s="88"/>
      <c r="I80" s="113"/>
      <c r="J80" s="113"/>
      <c r="K80" s="114"/>
      <c r="L80" s="88"/>
      <c r="M80" s="88"/>
    </row>
    <row r="81">
      <c r="B81" s="115" t="s">
        <v>15618</v>
      </c>
      <c r="D81" s="113"/>
      <c r="E81" s="113"/>
      <c r="F81" s="114"/>
      <c r="H81" s="88"/>
      <c r="I81" s="113"/>
      <c r="J81" s="113"/>
      <c r="K81" s="114"/>
      <c r="L81" s="88"/>
      <c r="M81" s="88"/>
    </row>
    <row r="82" ht="25.5">
      <c r="A82" s="69">
        <v>201001000</v>
      </c>
      <c r="B82" s="89" t="s">
        <v>15619</v>
      </c>
      <c r="C82" s="88" t="s">
        <v>121</v>
      </c>
      <c r="D82" s="113"/>
      <c r="E82" s="113"/>
      <c r="F82" s="114">
        <v>102.75</v>
      </c>
      <c r="H82" s="88" t="s">
        <v>121</v>
      </c>
      <c r="I82" s="113"/>
      <c r="J82" s="113"/>
      <c r="K82" s="114">
        <v>95.310000000000002</v>
      </c>
      <c r="L82" s="88"/>
      <c r="M82" s="88"/>
    </row>
    <row r="83" ht="38.25">
      <c r="A83" s="69">
        <v>201001004</v>
      </c>
      <c r="B83" s="89" t="s">
        <v>15620</v>
      </c>
      <c r="C83" s="88" t="s">
        <v>121</v>
      </c>
      <c r="D83" s="113"/>
      <c r="E83" s="113"/>
      <c r="F83" s="114">
        <v>54.640000000000001</v>
      </c>
      <c r="H83" s="88" t="s">
        <v>121</v>
      </c>
      <c r="I83" s="113"/>
      <c r="J83" s="113"/>
      <c r="K83" s="114">
        <v>50.689999999999998</v>
      </c>
      <c r="L83" s="88"/>
      <c r="M83" s="88"/>
    </row>
    <row r="84">
      <c r="A84" s="108">
        <v>201001008</v>
      </c>
      <c r="B84" s="109" t="s">
        <v>15621</v>
      </c>
      <c r="C84" s="110" t="s">
        <v>121</v>
      </c>
      <c r="D84" s="111">
        <v>0</v>
      </c>
      <c r="E84" s="111">
        <v>303.08999999999997</v>
      </c>
      <c r="F84" s="112">
        <v>303.08999999999997</v>
      </c>
      <c r="H84" s="110" t="s">
        <v>121</v>
      </c>
      <c r="I84" s="111">
        <v>0</v>
      </c>
      <c r="J84" s="111">
        <v>281.25999999999999</v>
      </c>
      <c r="K84" s="112">
        <v>281.25999999999999</v>
      </c>
      <c r="L84" s="88"/>
      <c r="M84" s="88"/>
    </row>
    <row r="85" ht="38.25">
      <c r="A85" s="69">
        <v>201001012</v>
      </c>
      <c r="B85" s="89" t="s">
        <v>15622</v>
      </c>
      <c r="C85" s="88" t="s">
        <v>121</v>
      </c>
      <c r="D85" s="113"/>
      <c r="E85" s="113"/>
      <c r="F85" s="114">
        <v>88.849999999999994</v>
      </c>
      <c r="H85" s="88" t="s">
        <v>121</v>
      </c>
      <c r="I85" s="113"/>
      <c r="J85" s="113"/>
      <c r="K85" s="114">
        <v>82.370000000000005</v>
      </c>
      <c r="L85" s="88"/>
      <c r="M85" s="88"/>
    </row>
    <row r="86" ht="38.25">
      <c r="A86" s="69">
        <v>201001016</v>
      </c>
      <c r="B86" s="89" t="s">
        <v>15623</v>
      </c>
      <c r="C86" s="88" t="s">
        <v>121</v>
      </c>
      <c r="D86" s="113"/>
      <c r="E86" s="113"/>
      <c r="F86" s="114">
        <v>190.80000000000001</v>
      </c>
      <c r="H86" s="88" t="s">
        <v>121</v>
      </c>
      <c r="I86" s="113"/>
      <c r="J86" s="113"/>
      <c r="K86" s="114">
        <v>176.86000000000001</v>
      </c>
      <c r="L86" s="88"/>
      <c r="M86" s="88"/>
    </row>
    <row r="87" ht="25.5">
      <c r="A87" s="108">
        <v>201001020</v>
      </c>
      <c r="B87" s="109" t="s">
        <v>15624</v>
      </c>
      <c r="C87" s="110" t="s">
        <v>29</v>
      </c>
      <c r="D87" s="111">
        <v>3.4199999999999999</v>
      </c>
      <c r="E87" s="111">
        <v>8.8699999999999992</v>
      </c>
      <c r="F87" s="112">
        <v>12.289999999999999</v>
      </c>
      <c r="H87" s="110" t="s">
        <v>29</v>
      </c>
      <c r="I87" s="111">
        <v>3.1699999999999999</v>
      </c>
      <c r="J87" s="111">
        <v>8.2200000000000006</v>
      </c>
      <c r="K87" s="112">
        <v>11.390000000000001</v>
      </c>
      <c r="L87" s="88"/>
      <c r="M87" s="88"/>
    </row>
    <row r="88" ht="25.5">
      <c r="A88" s="108">
        <v>201001024</v>
      </c>
      <c r="B88" s="109" t="s">
        <v>15625</v>
      </c>
      <c r="C88" s="110" t="s">
        <v>29</v>
      </c>
      <c r="D88" s="111">
        <v>0</v>
      </c>
      <c r="E88" s="111">
        <v>30.300000000000001</v>
      </c>
      <c r="F88" s="112">
        <v>30.300000000000001</v>
      </c>
      <c r="H88" s="110" t="s">
        <v>29</v>
      </c>
      <c r="I88" s="111">
        <v>0</v>
      </c>
      <c r="J88" s="111">
        <v>28.109999999999999</v>
      </c>
      <c r="K88" s="112">
        <v>28.109999999999999</v>
      </c>
      <c r="L88" s="88"/>
      <c r="M88" s="88"/>
    </row>
    <row r="89" ht="25.5">
      <c r="A89" s="108">
        <v>201001028</v>
      </c>
      <c r="B89" s="109" t="s">
        <v>15626</v>
      </c>
      <c r="C89" s="110" t="s">
        <v>29</v>
      </c>
      <c r="D89" s="111">
        <v>0</v>
      </c>
      <c r="E89" s="111">
        <v>14.51</v>
      </c>
      <c r="F89" s="112">
        <v>14.51</v>
      </c>
      <c r="H89" s="110" t="s">
        <v>29</v>
      </c>
      <c r="I89" s="111">
        <v>0</v>
      </c>
      <c r="J89" s="111">
        <v>13.48</v>
      </c>
      <c r="K89" s="112">
        <v>13.48</v>
      </c>
      <c r="L89" s="88"/>
      <c r="M89" s="88"/>
    </row>
    <row r="90" ht="25.5">
      <c r="A90" s="69">
        <v>201001032</v>
      </c>
      <c r="B90" s="89" t="s">
        <v>15627</v>
      </c>
      <c r="C90" s="88" t="s">
        <v>121</v>
      </c>
      <c r="D90" s="113"/>
      <c r="E90" s="113"/>
      <c r="F90" s="114">
        <v>192.31999999999999</v>
      </c>
      <c r="H90" s="88" t="s">
        <v>121</v>
      </c>
      <c r="I90" s="113"/>
      <c r="J90" s="113"/>
      <c r="K90" s="114">
        <v>178.41</v>
      </c>
      <c r="L90" s="88"/>
      <c r="M90" s="88"/>
    </row>
    <row r="91" ht="38.25">
      <c r="A91" s="69">
        <v>201001036</v>
      </c>
      <c r="B91" s="89" t="s">
        <v>15628</v>
      </c>
      <c r="C91" s="88" t="s">
        <v>121</v>
      </c>
      <c r="D91" s="113"/>
      <c r="E91" s="113"/>
      <c r="F91" s="114">
        <v>114.2</v>
      </c>
      <c r="H91" s="88" t="s">
        <v>121</v>
      </c>
      <c r="I91" s="113"/>
      <c r="J91" s="113"/>
      <c r="K91" s="114">
        <v>109.33</v>
      </c>
      <c r="L91" s="88"/>
      <c r="M91" s="88"/>
    </row>
    <row r="92" ht="25.5">
      <c r="A92" s="69">
        <v>201001040</v>
      </c>
      <c r="B92" s="89" t="s">
        <v>15629</v>
      </c>
      <c r="C92" s="88" t="s">
        <v>29</v>
      </c>
      <c r="D92" s="113"/>
      <c r="E92" s="113"/>
      <c r="F92" s="114">
        <v>21.940000000000001</v>
      </c>
      <c r="H92" s="88" t="s">
        <v>29</v>
      </c>
      <c r="I92" s="113"/>
      <c r="J92" s="113"/>
      <c r="K92" s="114">
        <v>20.34</v>
      </c>
      <c r="L92" s="88"/>
      <c r="M92" s="88"/>
    </row>
    <row r="93" ht="25.5">
      <c r="A93" s="108">
        <v>201001044</v>
      </c>
      <c r="B93" s="109" t="s">
        <v>15630</v>
      </c>
      <c r="C93" s="110" t="s">
        <v>29</v>
      </c>
      <c r="D93" s="111">
        <v>0</v>
      </c>
      <c r="E93" s="111">
        <v>21.489999999999998</v>
      </c>
      <c r="F93" s="112">
        <v>21.489999999999998</v>
      </c>
      <c r="H93" s="110" t="s">
        <v>29</v>
      </c>
      <c r="I93" s="111">
        <v>0</v>
      </c>
      <c r="J93" s="111">
        <v>19.91</v>
      </c>
      <c r="K93" s="112">
        <v>19.91</v>
      </c>
      <c r="L93" s="88"/>
      <c r="M93" s="88"/>
    </row>
    <row r="94" ht="25.5">
      <c r="A94" s="108">
        <v>201001048</v>
      </c>
      <c r="B94" s="109" t="s">
        <v>15631</v>
      </c>
      <c r="C94" s="110" t="s">
        <v>29</v>
      </c>
      <c r="D94" s="111">
        <v>3.9700000000000002</v>
      </c>
      <c r="E94" s="111">
        <v>3.21</v>
      </c>
      <c r="F94" s="112">
        <v>7.1799999999999997</v>
      </c>
      <c r="H94" s="110" t="s">
        <v>29</v>
      </c>
      <c r="I94" s="111">
        <v>3.6800000000000002</v>
      </c>
      <c r="J94" s="111">
        <v>2.98</v>
      </c>
      <c r="K94" s="112">
        <v>6.6600000000000001</v>
      </c>
      <c r="L94" s="88"/>
      <c r="M94" s="88"/>
    </row>
    <row r="95" ht="25.5">
      <c r="A95" s="69">
        <v>201001052</v>
      </c>
      <c r="B95" s="89" t="s">
        <v>15632</v>
      </c>
      <c r="C95" s="88" t="s">
        <v>38</v>
      </c>
      <c r="D95" s="113"/>
      <c r="E95" s="113"/>
      <c r="F95" s="114">
        <v>2.5099999999999998</v>
      </c>
      <c r="H95" s="88" t="s">
        <v>38</v>
      </c>
      <c r="I95" s="113"/>
      <c r="J95" s="113"/>
      <c r="K95" s="114">
        <v>2.3300000000000001</v>
      </c>
      <c r="L95" s="88"/>
      <c r="M95" s="88"/>
    </row>
    <row r="96" ht="25.5">
      <c r="A96" s="69">
        <v>201001056</v>
      </c>
      <c r="B96" s="89" t="s">
        <v>15633</v>
      </c>
      <c r="C96" s="88" t="s">
        <v>29</v>
      </c>
      <c r="D96" s="113"/>
      <c r="E96" s="113"/>
      <c r="F96" s="114">
        <v>10.99</v>
      </c>
      <c r="H96" s="88" t="s">
        <v>29</v>
      </c>
      <c r="I96" s="113"/>
      <c r="J96" s="113"/>
      <c r="K96" s="114">
        <v>10.18</v>
      </c>
      <c r="L96" s="88"/>
      <c r="M96" s="88"/>
    </row>
    <row r="97">
      <c r="D97" s="113"/>
      <c r="E97" s="113"/>
      <c r="F97" s="114"/>
      <c r="H97" s="88"/>
      <c r="I97" s="113"/>
      <c r="J97" s="113"/>
      <c r="K97" s="114"/>
      <c r="L97" s="88"/>
      <c r="M97" s="88"/>
    </row>
    <row r="98">
      <c r="B98" s="89" t="s">
        <v>15634</v>
      </c>
      <c r="D98" s="113"/>
      <c r="E98" s="113"/>
      <c r="F98" s="114"/>
      <c r="H98" s="88"/>
      <c r="I98" s="113"/>
      <c r="J98" s="113"/>
      <c r="K98" s="114"/>
      <c r="L98" s="88"/>
      <c r="M98" s="88"/>
    </row>
    <row r="99" ht="25.5">
      <c r="A99" s="108">
        <v>201002158</v>
      </c>
      <c r="B99" s="109" t="s">
        <v>15635</v>
      </c>
      <c r="C99" s="110" t="s">
        <v>121</v>
      </c>
      <c r="D99" s="111">
        <v>14.859999999999999</v>
      </c>
      <c r="E99" s="111">
        <v>14.51</v>
      </c>
      <c r="F99" s="112">
        <v>29.370000000000001</v>
      </c>
      <c r="H99" s="110" t="s">
        <v>121</v>
      </c>
      <c r="I99" s="111">
        <v>14.35</v>
      </c>
      <c r="J99" s="111">
        <v>13.48</v>
      </c>
      <c r="K99" s="112">
        <v>27.829999999999998</v>
      </c>
      <c r="L99" s="88"/>
      <c r="M99" s="88"/>
    </row>
    <row r="100">
      <c r="A100" s="108">
        <v>201002160</v>
      </c>
      <c r="B100" s="109" t="s">
        <v>15636</v>
      </c>
      <c r="C100" s="110" t="s">
        <v>121</v>
      </c>
      <c r="D100" s="111">
        <v>0</v>
      </c>
      <c r="E100" s="111">
        <v>14.51</v>
      </c>
      <c r="F100" s="112">
        <v>14.51</v>
      </c>
      <c r="H100" s="110" t="s">
        <v>121</v>
      </c>
      <c r="I100" s="111">
        <v>0</v>
      </c>
      <c r="J100" s="111">
        <v>13.48</v>
      </c>
      <c r="K100" s="112">
        <v>13.48</v>
      </c>
      <c r="L100" s="88"/>
      <c r="M100" s="88"/>
    </row>
    <row r="101">
      <c r="A101" s="108">
        <v>201002161</v>
      </c>
      <c r="B101" s="109" t="s">
        <v>15637</v>
      </c>
      <c r="C101" s="110" t="s">
        <v>31</v>
      </c>
      <c r="D101" s="111">
        <v>350</v>
      </c>
      <c r="E101" s="111">
        <v>0</v>
      </c>
      <c r="F101" s="112">
        <v>350</v>
      </c>
      <c r="H101" s="110" t="s">
        <v>31</v>
      </c>
      <c r="I101" s="111">
        <v>350</v>
      </c>
      <c r="J101" s="111">
        <v>0</v>
      </c>
      <c r="K101" s="112">
        <v>350</v>
      </c>
      <c r="L101" s="88"/>
      <c r="M101" s="88"/>
    </row>
    <row r="102" ht="51">
      <c r="A102" s="69">
        <v>201002164</v>
      </c>
      <c r="B102" s="89" t="s">
        <v>15638</v>
      </c>
      <c r="C102" s="88" t="s">
        <v>121</v>
      </c>
      <c r="D102" s="113"/>
      <c r="E102" s="113"/>
      <c r="F102" s="114">
        <v>9.2699999999999996</v>
      </c>
      <c r="H102" s="88" t="s">
        <v>121</v>
      </c>
      <c r="I102" s="113"/>
      <c r="J102" s="113"/>
      <c r="K102" s="114">
        <v>9.1199999999999992</v>
      </c>
      <c r="L102" s="88"/>
      <c r="M102" s="88"/>
    </row>
    <row r="103" ht="38.25">
      <c r="A103" s="69">
        <v>201002168</v>
      </c>
      <c r="B103" s="89" t="s">
        <v>15639</v>
      </c>
      <c r="C103" s="88" t="s">
        <v>9703</v>
      </c>
      <c r="D103" s="113"/>
      <c r="E103" s="113"/>
      <c r="F103" s="114">
        <v>2.9300000000000002</v>
      </c>
      <c r="H103" s="88" t="s">
        <v>9703</v>
      </c>
      <c r="I103" s="113"/>
      <c r="J103" s="113"/>
      <c r="K103" s="114">
        <v>2.8900000000000001</v>
      </c>
      <c r="L103" s="88"/>
      <c r="M103" s="88"/>
    </row>
    <row r="104">
      <c r="D104" s="113"/>
      <c r="E104" s="113"/>
      <c r="F104" s="114"/>
      <c r="H104" s="88"/>
      <c r="I104" s="113"/>
      <c r="J104" s="113"/>
      <c r="K104" s="114"/>
      <c r="L104" s="88"/>
      <c r="M104" s="88"/>
    </row>
    <row r="105">
      <c r="B105" s="115" t="s">
        <v>15640</v>
      </c>
      <c r="D105" s="113"/>
      <c r="E105" s="113"/>
      <c r="F105" s="114"/>
      <c r="H105" s="88"/>
      <c r="I105" s="113"/>
      <c r="J105" s="113"/>
      <c r="K105" s="114"/>
      <c r="L105" s="88"/>
      <c r="M105" s="88"/>
    </row>
    <row r="106" ht="38.25">
      <c r="A106" s="69">
        <v>201003000</v>
      </c>
      <c r="B106" s="89" t="s">
        <v>15641</v>
      </c>
      <c r="C106" s="88" t="s">
        <v>29</v>
      </c>
      <c r="D106" s="113"/>
      <c r="E106" s="113"/>
      <c r="F106" s="114">
        <v>3.4100000000000001</v>
      </c>
      <c r="H106" s="88" t="s">
        <v>29</v>
      </c>
      <c r="I106" s="113"/>
      <c r="J106" s="113"/>
      <c r="K106" s="114">
        <v>3.1600000000000001</v>
      </c>
      <c r="L106" s="88"/>
      <c r="M106" s="88"/>
    </row>
    <row r="107" ht="25.5">
      <c r="A107" s="108">
        <v>201003004</v>
      </c>
      <c r="B107" s="109" t="s">
        <v>15642</v>
      </c>
      <c r="C107" s="110" t="s">
        <v>29</v>
      </c>
      <c r="D107" s="111">
        <v>0.77000000000000002</v>
      </c>
      <c r="E107" s="111">
        <v>6.5</v>
      </c>
      <c r="F107" s="112">
        <v>7.2699999999999996</v>
      </c>
      <c r="H107" s="110" t="s">
        <v>29</v>
      </c>
      <c r="I107" s="111">
        <v>0.76000000000000001</v>
      </c>
      <c r="J107" s="111">
        <v>6.0199999999999996</v>
      </c>
      <c r="K107" s="112">
        <v>6.7800000000000002</v>
      </c>
      <c r="L107" s="88"/>
      <c r="M107" s="88"/>
    </row>
    <row r="108" ht="38.25">
      <c r="A108" s="69">
        <v>201003008</v>
      </c>
      <c r="B108" s="89" t="s">
        <v>15643</v>
      </c>
      <c r="C108" s="88" t="s">
        <v>29</v>
      </c>
      <c r="D108" s="113"/>
      <c r="E108" s="113"/>
      <c r="F108" s="114">
        <v>36.159999999999997</v>
      </c>
      <c r="H108" s="88" t="s">
        <v>29</v>
      </c>
      <c r="I108" s="113"/>
      <c r="J108" s="113"/>
      <c r="K108" s="114">
        <v>34.939999999999998</v>
      </c>
      <c r="L108" s="88"/>
      <c r="M108" s="88"/>
    </row>
    <row r="109" ht="38.25">
      <c r="A109" s="69">
        <v>201003012</v>
      </c>
      <c r="B109" s="89" t="s">
        <v>15644</v>
      </c>
      <c r="C109" s="88" t="s">
        <v>29</v>
      </c>
      <c r="D109" s="113"/>
      <c r="E109" s="113"/>
      <c r="F109" s="114">
        <v>7.3499999999999996</v>
      </c>
      <c r="H109" s="88" t="s">
        <v>29</v>
      </c>
      <c r="I109" s="113"/>
      <c r="J109" s="113"/>
      <c r="K109" s="114">
        <v>6.8099999999999996</v>
      </c>
      <c r="L109" s="88"/>
      <c r="M109" s="88"/>
    </row>
    <row r="110" ht="38.25">
      <c r="A110" s="69">
        <v>201003016</v>
      </c>
      <c r="B110" s="89" t="s">
        <v>15645</v>
      </c>
      <c r="C110" s="88" t="s">
        <v>29</v>
      </c>
      <c r="D110" s="113"/>
      <c r="E110" s="113"/>
      <c r="F110" s="114">
        <v>2.8500000000000001</v>
      </c>
      <c r="H110" s="88" t="s">
        <v>29</v>
      </c>
      <c r="I110" s="113"/>
      <c r="J110" s="113"/>
      <c r="K110" s="114">
        <v>2.6299999999999999</v>
      </c>
      <c r="L110" s="88"/>
      <c r="M110" s="88"/>
    </row>
    <row r="111" ht="25.5">
      <c r="A111" s="108">
        <v>201003020</v>
      </c>
      <c r="B111" s="109" t="s">
        <v>15646</v>
      </c>
      <c r="C111" s="110" t="s">
        <v>38</v>
      </c>
      <c r="D111" s="111">
        <v>0</v>
      </c>
      <c r="E111" s="111">
        <v>5.1799999999999997</v>
      </c>
      <c r="F111" s="112">
        <v>5.1799999999999997</v>
      </c>
      <c r="H111" s="110" t="s">
        <v>38</v>
      </c>
      <c r="I111" s="111">
        <v>0</v>
      </c>
      <c r="J111" s="111">
        <v>4.8099999999999996</v>
      </c>
      <c r="K111" s="112">
        <v>4.8099999999999996</v>
      </c>
      <c r="L111" s="88"/>
      <c r="M111" s="88"/>
    </row>
    <row r="112" ht="25.5">
      <c r="A112" s="108">
        <v>201003024</v>
      </c>
      <c r="B112" s="109" t="s">
        <v>15647</v>
      </c>
      <c r="C112" s="110" t="s">
        <v>29</v>
      </c>
      <c r="D112" s="111">
        <v>0</v>
      </c>
      <c r="E112" s="111">
        <v>4.7300000000000004</v>
      </c>
      <c r="F112" s="112">
        <v>4.7300000000000004</v>
      </c>
      <c r="H112" s="110" t="s">
        <v>29</v>
      </c>
      <c r="I112" s="111">
        <v>0</v>
      </c>
      <c r="J112" s="111">
        <v>4.3799999999999999</v>
      </c>
      <c r="K112" s="112">
        <v>4.3799999999999999</v>
      </c>
      <c r="L112" s="88"/>
      <c r="M112" s="88"/>
    </row>
    <row r="113" ht="25.5">
      <c r="A113" s="69">
        <v>201003028</v>
      </c>
      <c r="B113" s="89" t="s">
        <v>15648</v>
      </c>
      <c r="C113" s="88" t="s">
        <v>29</v>
      </c>
      <c r="D113" s="113"/>
      <c r="E113" s="113"/>
      <c r="F113" s="114">
        <v>2.9100000000000001</v>
      </c>
      <c r="H113" s="88" t="s">
        <v>29</v>
      </c>
      <c r="I113" s="113"/>
      <c r="J113" s="113"/>
      <c r="K113" s="114">
        <v>2.6899999999999999</v>
      </c>
      <c r="L113" s="88"/>
      <c r="M113" s="88"/>
    </row>
    <row r="114" ht="38.25">
      <c r="A114" s="69">
        <v>201003032</v>
      </c>
      <c r="B114" s="89" t="s">
        <v>15649</v>
      </c>
      <c r="C114" s="88" t="s">
        <v>29</v>
      </c>
      <c r="D114" s="113"/>
      <c r="E114" s="113"/>
      <c r="F114" s="114">
        <v>1.98</v>
      </c>
      <c r="H114" s="88" t="s">
        <v>29</v>
      </c>
      <c r="I114" s="113"/>
      <c r="J114" s="113"/>
      <c r="K114" s="114">
        <v>1.8300000000000001</v>
      </c>
      <c r="L114" s="88"/>
      <c r="M114" s="88"/>
    </row>
    <row r="115" ht="25.5">
      <c r="A115" s="108">
        <v>201003034</v>
      </c>
      <c r="B115" s="109" t="s">
        <v>15650</v>
      </c>
      <c r="C115" s="110" t="s">
        <v>29</v>
      </c>
      <c r="D115" s="111">
        <v>0</v>
      </c>
      <c r="E115" s="111">
        <v>7.8799999999999999</v>
      </c>
      <c r="F115" s="112">
        <v>7.8799999999999999</v>
      </c>
      <c r="H115" s="110" t="s">
        <v>29</v>
      </c>
      <c r="I115" s="111">
        <v>0</v>
      </c>
      <c r="J115" s="111">
        <v>7.29</v>
      </c>
      <c r="K115" s="112">
        <v>7.29</v>
      </c>
      <c r="L115" s="88"/>
      <c r="M115" s="88"/>
    </row>
    <row r="116" ht="38.25">
      <c r="A116" s="69">
        <v>201003036</v>
      </c>
      <c r="B116" s="89" t="s">
        <v>15651</v>
      </c>
      <c r="C116" s="88" t="s">
        <v>29</v>
      </c>
      <c r="D116" s="113"/>
      <c r="E116" s="113"/>
      <c r="F116" s="114">
        <v>24.260000000000002</v>
      </c>
      <c r="H116" s="88" t="s">
        <v>29</v>
      </c>
      <c r="I116" s="113"/>
      <c r="J116" s="113"/>
      <c r="K116" s="114">
        <v>22.48</v>
      </c>
      <c r="L116" s="88"/>
      <c r="M116" s="88"/>
    </row>
    <row r="117" ht="25.5">
      <c r="A117" s="108">
        <v>201003040</v>
      </c>
      <c r="B117" s="109" t="s">
        <v>15652</v>
      </c>
      <c r="C117" s="110" t="s">
        <v>29</v>
      </c>
      <c r="D117" s="111">
        <v>0</v>
      </c>
      <c r="E117" s="111">
        <v>23.140000000000001</v>
      </c>
      <c r="F117" s="112">
        <v>23.140000000000001</v>
      </c>
      <c r="H117" s="110" t="s">
        <v>29</v>
      </c>
      <c r="I117" s="111">
        <v>0</v>
      </c>
      <c r="J117" s="111">
        <v>21.420000000000002</v>
      </c>
      <c r="K117" s="112">
        <v>21.420000000000002</v>
      </c>
      <c r="L117" s="88"/>
      <c r="M117" s="88"/>
    </row>
    <row r="118" ht="25.5">
      <c r="A118" s="108">
        <v>201003044</v>
      </c>
      <c r="B118" s="109" t="s">
        <v>15653</v>
      </c>
      <c r="C118" s="110" t="s">
        <v>29</v>
      </c>
      <c r="D118" s="111">
        <v>0</v>
      </c>
      <c r="E118" s="111">
        <v>3.7400000000000002</v>
      </c>
      <c r="F118" s="112">
        <v>3.7400000000000002</v>
      </c>
      <c r="H118" s="110" t="s">
        <v>29</v>
      </c>
      <c r="I118" s="111">
        <v>0</v>
      </c>
      <c r="J118" s="111">
        <v>3.46</v>
      </c>
      <c r="K118" s="112">
        <v>3.46</v>
      </c>
      <c r="L118" s="88"/>
      <c r="M118" s="88"/>
    </row>
    <row r="119" ht="25.5">
      <c r="A119" s="108">
        <v>201003048</v>
      </c>
      <c r="B119" s="109" t="s">
        <v>15654</v>
      </c>
      <c r="C119" s="110" t="s">
        <v>29</v>
      </c>
      <c r="D119" s="111">
        <v>0</v>
      </c>
      <c r="E119" s="111">
        <v>2.3199999999999998</v>
      </c>
      <c r="F119" s="112">
        <v>2.3199999999999998</v>
      </c>
      <c r="H119" s="110" t="s">
        <v>29</v>
      </c>
      <c r="I119" s="111">
        <v>0</v>
      </c>
      <c r="J119" s="111">
        <v>2.1499999999999999</v>
      </c>
      <c r="K119" s="112">
        <v>2.1499999999999999</v>
      </c>
      <c r="L119" s="88"/>
      <c r="M119" s="88"/>
    </row>
    <row r="120" ht="25.5">
      <c r="A120" s="108">
        <v>201003052</v>
      </c>
      <c r="B120" s="109" t="s">
        <v>15655</v>
      </c>
      <c r="C120" s="110" t="s">
        <v>29</v>
      </c>
      <c r="D120" s="111">
        <v>0</v>
      </c>
      <c r="E120" s="111">
        <v>4.6500000000000004</v>
      </c>
      <c r="F120" s="112">
        <v>4.6500000000000004</v>
      </c>
      <c r="H120" s="110" t="s">
        <v>29</v>
      </c>
      <c r="I120" s="111">
        <v>0</v>
      </c>
      <c r="J120" s="111">
        <v>4.3200000000000003</v>
      </c>
      <c r="K120" s="112">
        <v>4.3200000000000003</v>
      </c>
      <c r="L120" s="88"/>
      <c r="M120" s="88"/>
    </row>
    <row r="121" ht="25.5">
      <c r="A121" s="108">
        <v>201003056</v>
      </c>
      <c r="B121" s="109" t="s">
        <v>15656</v>
      </c>
      <c r="C121" s="110" t="s">
        <v>29</v>
      </c>
      <c r="D121" s="111">
        <v>0</v>
      </c>
      <c r="E121" s="111">
        <v>8.7300000000000004</v>
      </c>
      <c r="F121" s="112">
        <v>8.7300000000000004</v>
      </c>
      <c r="H121" s="110" t="s">
        <v>29</v>
      </c>
      <c r="I121" s="111">
        <v>0</v>
      </c>
      <c r="J121" s="111">
        <v>8.0899999999999999</v>
      </c>
      <c r="K121" s="112">
        <v>8.0899999999999999</v>
      </c>
      <c r="L121" s="88"/>
      <c r="M121" s="88"/>
    </row>
    <row r="122" ht="25.5">
      <c r="A122" s="108">
        <v>201003060</v>
      </c>
      <c r="B122" s="109" t="s">
        <v>15657</v>
      </c>
      <c r="C122" s="110" t="s">
        <v>29</v>
      </c>
      <c r="D122" s="111">
        <v>0</v>
      </c>
      <c r="E122" s="111">
        <v>24.219999999999999</v>
      </c>
      <c r="F122" s="112">
        <v>24.219999999999999</v>
      </c>
      <c r="H122" s="110" t="s">
        <v>29</v>
      </c>
      <c r="I122" s="111">
        <v>0</v>
      </c>
      <c r="J122" s="111">
        <v>22.43</v>
      </c>
      <c r="K122" s="112">
        <v>22.43</v>
      </c>
      <c r="L122" s="88"/>
      <c r="M122" s="88"/>
    </row>
    <row r="123" ht="25.5">
      <c r="A123" s="69">
        <v>201003064</v>
      </c>
      <c r="B123" s="89" t="s">
        <v>15658</v>
      </c>
      <c r="C123" s="88" t="s">
        <v>29</v>
      </c>
      <c r="D123" s="113"/>
      <c r="E123" s="113"/>
      <c r="F123" s="114">
        <v>17.280000000000001</v>
      </c>
      <c r="H123" s="88" t="s">
        <v>29</v>
      </c>
      <c r="I123" s="113"/>
      <c r="J123" s="113"/>
      <c r="K123" s="114">
        <v>16.02</v>
      </c>
      <c r="L123" s="88"/>
      <c r="M123" s="88"/>
    </row>
    <row r="124" ht="25.5">
      <c r="A124" s="69">
        <v>201003068</v>
      </c>
      <c r="B124" s="89" t="s">
        <v>15659</v>
      </c>
      <c r="C124" s="88" t="s">
        <v>29</v>
      </c>
      <c r="D124" s="113"/>
      <c r="E124" s="113"/>
      <c r="F124" s="114">
        <v>21</v>
      </c>
      <c r="H124" s="88" t="s">
        <v>29</v>
      </c>
      <c r="I124" s="113"/>
      <c r="J124" s="113"/>
      <c r="K124" s="114">
        <v>19.460000000000001</v>
      </c>
      <c r="L124" s="88"/>
      <c r="M124" s="88"/>
    </row>
    <row r="125" ht="25.5">
      <c r="A125" s="69">
        <v>201003072</v>
      </c>
      <c r="B125" s="89" t="s">
        <v>15660</v>
      </c>
      <c r="C125" s="88" t="s">
        <v>31</v>
      </c>
      <c r="D125" s="113"/>
      <c r="E125" s="113"/>
      <c r="F125" s="114">
        <v>1.73</v>
      </c>
      <c r="H125" s="88" t="s">
        <v>31</v>
      </c>
      <c r="I125" s="113"/>
      <c r="J125" s="113"/>
      <c r="K125" s="114">
        <v>1.6000000000000001</v>
      </c>
      <c r="L125" s="88"/>
      <c r="M125" s="88"/>
    </row>
    <row r="126" ht="38.25">
      <c r="A126" s="69">
        <v>201003076</v>
      </c>
      <c r="B126" s="89" t="s">
        <v>15661</v>
      </c>
      <c r="C126" s="88" t="s">
        <v>38</v>
      </c>
      <c r="D126" s="113"/>
      <c r="E126" s="113"/>
      <c r="F126" s="114">
        <v>0.68000000000000005</v>
      </c>
      <c r="H126" s="88" t="s">
        <v>38</v>
      </c>
      <c r="I126" s="113"/>
      <c r="J126" s="113"/>
      <c r="K126" s="114">
        <v>0.63</v>
      </c>
      <c r="L126" s="88"/>
      <c r="M126" s="88"/>
    </row>
    <row r="127" ht="38.25">
      <c r="A127" s="69">
        <v>201003080</v>
      </c>
      <c r="B127" s="89" t="s">
        <v>15662</v>
      </c>
      <c r="C127" s="88" t="s">
        <v>31</v>
      </c>
      <c r="D127" s="113"/>
      <c r="E127" s="113"/>
      <c r="F127" s="114">
        <v>0.63</v>
      </c>
      <c r="H127" s="88" t="s">
        <v>31</v>
      </c>
      <c r="I127" s="113"/>
      <c r="J127" s="113"/>
      <c r="K127" s="114">
        <v>0.58999999999999997</v>
      </c>
      <c r="L127" s="88"/>
      <c r="M127" s="88"/>
    </row>
    <row r="128" ht="38.25">
      <c r="A128" s="69">
        <v>201003084</v>
      </c>
      <c r="B128" s="89" t="s">
        <v>15663</v>
      </c>
      <c r="C128" s="88" t="s">
        <v>38</v>
      </c>
      <c r="D128" s="113"/>
      <c r="E128" s="113"/>
      <c r="F128" s="114">
        <v>0.47999999999999998</v>
      </c>
      <c r="H128" s="88" t="s">
        <v>38</v>
      </c>
      <c r="I128" s="113"/>
      <c r="J128" s="113"/>
      <c r="K128" s="114">
        <v>0.44</v>
      </c>
      <c r="L128" s="88"/>
      <c r="M128" s="88"/>
    </row>
    <row r="129" ht="25.5">
      <c r="A129" s="69">
        <v>201003088</v>
      </c>
      <c r="B129" s="89" t="s">
        <v>15664</v>
      </c>
      <c r="C129" s="88" t="s">
        <v>31</v>
      </c>
      <c r="D129" s="113"/>
      <c r="E129" s="113"/>
      <c r="F129" s="114">
        <v>12.109999999999999</v>
      </c>
      <c r="H129" s="88" t="s">
        <v>31</v>
      </c>
      <c r="I129" s="113"/>
      <c r="J129" s="113"/>
      <c r="K129" s="114">
        <v>11.210000000000001</v>
      </c>
      <c r="L129" s="88"/>
      <c r="M129" s="88"/>
    </row>
    <row r="130" ht="38.25">
      <c r="A130" s="108">
        <v>201003092</v>
      </c>
      <c r="B130" s="109" t="s">
        <v>15665</v>
      </c>
      <c r="C130" s="110" t="s">
        <v>31</v>
      </c>
      <c r="D130" s="111">
        <v>0</v>
      </c>
      <c r="E130" s="111">
        <v>8.8300000000000001</v>
      </c>
      <c r="F130" s="112">
        <v>8.8300000000000001</v>
      </c>
      <c r="H130" s="110" t="s">
        <v>31</v>
      </c>
      <c r="I130" s="111">
        <v>0</v>
      </c>
      <c r="J130" s="111">
        <v>8.1799999999999997</v>
      </c>
      <c r="K130" s="112">
        <v>8.1799999999999997</v>
      </c>
      <c r="L130" s="88"/>
      <c r="M130" s="88"/>
    </row>
    <row r="131" ht="38.25">
      <c r="A131" s="108">
        <v>201003096</v>
      </c>
      <c r="B131" s="109" t="s">
        <v>15666</v>
      </c>
      <c r="C131" s="110" t="s">
        <v>31</v>
      </c>
      <c r="D131" s="111">
        <v>0</v>
      </c>
      <c r="E131" s="111">
        <v>1.51</v>
      </c>
      <c r="F131" s="112">
        <v>1.51</v>
      </c>
      <c r="H131" s="110" t="s">
        <v>31</v>
      </c>
      <c r="I131" s="111">
        <v>0</v>
      </c>
      <c r="J131" s="111">
        <v>1.3899999999999999</v>
      </c>
      <c r="K131" s="112">
        <v>1.3899999999999999</v>
      </c>
      <c r="L131" s="88"/>
      <c r="M131" s="88"/>
    </row>
    <row r="132" ht="25.5">
      <c r="A132" s="108">
        <v>201003100</v>
      </c>
      <c r="B132" s="109" t="s">
        <v>15667</v>
      </c>
      <c r="C132" s="110" t="s">
        <v>29</v>
      </c>
      <c r="D132" s="111">
        <v>0</v>
      </c>
      <c r="E132" s="111">
        <v>7.96</v>
      </c>
      <c r="F132" s="112">
        <v>7.96</v>
      </c>
      <c r="H132" s="110" t="s">
        <v>29</v>
      </c>
      <c r="I132" s="111">
        <v>0</v>
      </c>
      <c r="J132" s="111">
        <v>7.3700000000000001</v>
      </c>
      <c r="K132" s="112">
        <v>7.3700000000000001</v>
      </c>
      <c r="L132" s="88"/>
      <c r="M132" s="88"/>
    </row>
    <row r="133" ht="38.25">
      <c r="A133" s="69">
        <v>201003104</v>
      </c>
      <c r="B133" s="89" t="s">
        <v>15668</v>
      </c>
      <c r="C133" s="88" t="s">
        <v>29</v>
      </c>
      <c r="D133" s="113"/>
      <c r="E133" s="113"/>
      <c r="F133" s="114">
        <v>1.96</v>
      </c>
      <c r="H133" s="88" t="s">
        <v>29</v>
      </c>
      <c r="I133" s="113"/>
      <c r="J133" s="113"/>
      <c r="K133" s="114">
        <v>1.8100000000000001</v>
      </c>
      <c r="L133" s="88"/>
      <c r="M133" s="88"/>
    </row>
    <row r="134" ht="38.25">
      <c r="A134" s="69">
        <v>201003108</v>
      </c>
      <c r="B134" s="89" t="s">
        <v>15669</v>
      </c>
      <c r="C134" s="88" t="s">
        <v>29</v>
      </c>
      <c r="D134" s="113"/>
      <c r="E134" s="113"/>
      <c r="F134" s="114">
        <v>2.9199999999999999</v>
      </c>
      <c r="H134" s="88" t="s">
        <v>29</v>
      </c>
      <c r="I134" s="113"/>
      <c r="J134" s="113"/>
      <c r="K134" s="114">
        <v>2.7000000000000002</v>
      </c>
      <c r="L134" s="88"/>
      <c r="M134" s="88"/>
    </row>
    <row r="135">
      <c r="D135" s="113"/>
      <c r="E135" s="113"/>
      <c r="F135" s="114"/>
      <c r="H135" s="88"/>
      <c r="I135" s="113"/>
      <c r="J135" s="113"/>
      <c r="K135" s="114"/>
      <c r="L135" s="88"/>
      <c r="M135" s="88"/>
    </row>
    <row r="136">
      <c r="B136" s="89" t="s">
        <v>15670</v>
      </c>
      <c r="D136" s="113"/>
      <c r="E136" s="113"/>
      <c r="F136" s="114"/>
      <c r="H136" s="88"/>
      <c r="I136" s="113"/>
      <c r="J136" s="113"/>
      <c r="K136" s="114"/>
      <c r="L136" s="88"/>
      <c r="M136" s="88"/>
    </row>
    <row r="137" ht="25.5">
      <c r="A137" s="108">
        <v>201004000</v>
      </c>
      <c r="B137" s="109" t="s">
        <v>15671</v>
      </c>
      <c r="C137" s="110" t="s">
        <v>38</v>
      </c>
      <c r="D137" s="111">
        <v>0</v>
      </c>
      <c r="E137" s="111">
        <v>4.5899999999999999</v>
      </c>
      <c r="F137" s="112">
        <v>4.5899999999999999</v>
      </c>
      <c r="H137" s="110" t="s">
        <v>38</v>
      </c>
      <c r="I137" s="111">
        <v>0</v>
      </c>
      <c r="J137" s="111">
        <v>4.25</v>
      </c>
      <c r="K137" s="112">
        <v>4.25</v>
      </c>
      <c r="L137" s="88"/>
      <c r="M137" s="88"/>
    </row>
    <row r="138" ht="25.5">
      <c r="A138" s="108">
        <v>201004004</v>
      </c>
      <c r="B138" s="109" t="s">
        <v>15672</v>
      </c>
      <c r="C138" s="110" t="s">
        <v>38</v>
      </c>
      <c r="D138" s="111">
        <v>0</v>
      </c>
      <c r="E138" s="111">
        <v>3.0099999999999998</v>
      </c>
      <c r="F138" s="112">
        <v>3.0099999999999998</v>
      </c>
      <c r="H138" s="110" t="s">
        <v>38</v>
      </c>
      <c r="I138" s="111">
        <v>0</v>
      </c>
      <c r="J138" s="111">
        <v>2.79</v>
      </c>
      <c r="K138" s="112">
        <v>2.79</v>
      </c>
      <c r="L138" s="88"/>
      <c r="M138" s="88"/>
    </row>
    <row r="139" ht="25.5">
      <c r="A139" s="108">
        <v>201004008</v>
      </c>
      <c r="B139" s="109" t="s">
        <v>15673</v>
      </c>
      <c r="C139" s="110" t="s">
        <v>38</v>
      </c>
      <c r="D139" s="111">
        <v>0</v>
      </c>
      <c r="E139" s="111">
        <v>4.3300000000000001</v>
      </c>
      <c r="F139" s="112">
        <v>4.3300000000000001</v>
      </c>
      <c r="H139" s="110" t="s">
        <v>38</v>
      </c>
      <c r="I139" s="111">
        <v>0</v>
      </c>
      <c r="J139" s="111">
        <v>4.0199999999999996</v>
      </c>
      <c r="K139" s="112">
        <v>4.0199999999999996</v>
      </c>
      <c r="L139" s="88"/>
      <c r="M139" s="88"/>
    </row>
    <row r="140" ht="25.5">
      <c r="A140" s="108">
        <v>201004012</v>
      </c>
      <c r="B140" s="109" t="s">
        <v>15674</v>
      </c>
      <c r="C140" s="110" t="s">
        <v>38</v>
      </c>
      <c r="D140" s="111">
        <v>0</v>
      </c>
      <c r="E140" s="111">
        <v>4.3300000000000001</v>
      </c>
      <c r="F140" s="112">
        <v>4.3300000000000001</v>
      </c>
      <c r="H140" s="110" t="s">
        <v>38</v>
      </c>
      <c r="I140" s="111">
        <v>0</v>
      </c>
      <c r="J140" s="111">
        <v>4.0199999999999996</v>
      </c>
      <c r="K140" s="112">
        <v>4.0199999999999996</v>
      </c>
      <c r="L140" s="88"/>
      <c r="M140" s="88"/>
    </row>
    <row r="141" ht="25.5">
      <c r="A141" s="108">
        <v>201004016</v>
      </c>
      <c r="B141" s="109" t="s">
        <v>15675</v>
      </c>
      <c r="C141" s="110" t="s">
        <v>29</v>
      </c>
      <c r="D141" s="111">
        <v>0</v>
      </c>
      <c r="E141" s="111">
        <v>15.41</v>
      </c>
      <c r="F141" s="112">
        <v>15.41</v>
      </c>
      <c r="H141" s="110" t="s">
        <v>29</v>
      </c>
      <c r="I141" s="111">
        <v>0</v>
      </c>
      <c r="J141" s="111">
        <v>14.279999999999999</v>
      </c>
      <c r="K141" s="112">
        <v>14.279999999999999</v>
      </c>
      <c r="L141" s="88"/>
      <c r="M141" s="88"/>
    </row>
    <row r="142" ht="25.5">
      <c r="A142" s="108">
        <v>201004024</v>
      </c>
      <c r="B142" s="109" t="s">
        <v>15676</v>
      </c>
      <c r="C142" s="110" t="s">
        <v>31</v>
      </c>
      <c r="D142" s="111">
        <v>0</v>
      </c>
      <c r="E142" s="111">
        <v>1.77</v>
      </c>
      <c r="F142" s="112">
        <v>1.77</v>
      </c>
      <c r="H142" s="110" t="s">
        <v>31</v>
      </c>
      <c r="I142" s="111">
        <v>0</v>
      </c>
      <c r="J142" s="111">
        <v>1.6299999999999999</v>
      </c>
      <c r="K142" s="112">
        <v>1.6299999999999999</v>
      </c>
      <c r="L142" s="88"/>
      <c r="M142" s="88"/>
    </row>
    <row r="143" ht="38.25">
      <c r="A143" s="108">
        <v>201004028</v>
      </c>
      <c r="B143" s="109" t="s">
        <v>15677</v>
      </c>
      <c r="C143" s="110" t="s">
        <v>31</v>
      </c>
      <c r="D143" s="111">
        <v>0</v>
      </c>
      <c r="E143" s="111">
        <v>10.300000000000001</v>
      </c>
      <c r="F143" s="112">
        <v>10.300000000000001</v>
      </c>
      <c r="H143" s="110" t="s">
        <v>31</v>
      </c>
      <c r="I143" s="111">
        <v>0</v>
      </c>
      <c r="J143" s="111">
        <v>9.5600000000000005</v>
      </c>
      <c r="K143" s="112">
        <v>9.5600000000000005</v>
      </c>
      <c r="L143" s="88"/>
      <c r="M143" s="88"/>
    </row>
    <row r="144" ht="25.5">
      <c r="A144" s="108">
        <v>201004032</v>
      </c>
      <c r="B144" s="109" t="s">
        <v>15678</v>
      </c>
      <c r="C144" s="110" t="s">
        <v>38</v>
      </c>
      <c r="D144" s="111">
        <v>0</v>
      </c>
      <c r="E144" s="111">
        <v>11.93</v>
      </c>
      <c r="F144" s="112">
        <v>11.93</v>
      </c>
      <c r="H144" s="110" t="s">
        <v>38</v>
      </c>
      <c r="I144" s="111">
        <v>0</v>
      </c>
      <c r="J144" s="111">
        <v>11.029999999999999</v>
      </c>
      <c r="K144" s="112">
        <v>11.029999999999999</v>
      </c>
      <c r="L144" s="88"/>
      <c r="M144" s="88"/>
    </row>
    <row r="145" ht="25.5">
      <c r="A145" s="108">
        <v>201004036</v>
      </c>
      <c r="B145" s="109" t="s">
        <v>15679</v>
      </c>
      <c r="C145" s="110" t="s">
        <v>38</v>
      </c>
      <c r="D145" s="111">
        <v>0</v>
      </c>
      <c r="E145" s="111">
        <v>23.859999999999999</v>
      </c>
      <c r="F145" s="112">
        <v>23.859999999999999</v>
      </c>
      <c r="H145" s="110" t="s">
        <v>38</v>
      </c>
      <c r="I145" s="111">
        <v>0</v>
      </c>
      <c r="J145" s="111">
        <v>22.07</v>
      </c>
      <c r="K145" s="112">
        <v>22.07</v>
      </c>
      <c r="L145" s="88"/>
      <c r="M145" s="88"/>
    </row>
    <row r="146" ht="25.5">
      <c r="A146" s="108">
        <v>201004037</v>
      </c>
      <c r="B146" s="109" t="s">
        <v>15680</v>
      </c>
      <c r="C146" s="110" t="s">
        <v>38</v>
      </c>
      <c r="D146" s="111">
        <v>0</v>
      </c>
      <c r="E146" s="111">
        <v>4.21</v>
      </c>
      <c r="F146" s="112">
        <v>4.21</v>
      </c>
      <c r="H146" s="110" t="s">
        <v>38</v>
      </c>
      <c r="I146" s="111">
        <v>0</v>
      </c>
      <c r="J146" s="111">
        <v>3.8999999999999999</v>
      </c>
      <c r="K146" s="112">
        <v>3.8999999999999999</v>
      </c>
      <c r="L146" s="88"/>
      <c r="M146" s="88"/>
    </row>
    <row r="147" ht="25.5">
      <c r="A147" s="108">
        <v>201004038</v>
      </c>
      <c r="B147" s="109" t="s">
        <v>15681</v>
      </c>
      <c r="C147" s="110" t="s">
        <v>38</v>
      </c>
      <c r="D147" s="111">
        <v>0</v>
      </c>
      <c r="E147" s="111">
        <v>5.0700000000000003</v>
      </c>
      <c r="F147" s="112">
        <v>5.0700000000000003</v>
      </c>
      <c r="H147" s="110" t="s">
        <v>38</v>
      </c>
      <c r="I147" s="111">
        <v>0</v>
      </c>
      <c r="J147" s="111">
        <v>4.6900000000000004</v>
      </c>
      <c r="K147" s="112">
        <v>4.6900000000000004</v>
      </c>
      <c r="L147" s="88"/>
      <c r="M147" s="88"/>
    </row>
    <row r="148" ht="25.5">
      <c r="A148" s="108">
        <v>201004040</v>
      </c>
      <c r="B148" s="109" t="s">
        <v>15682</v>
      </c>
      <c r="C148" s="110" t="s">
        <v>31</v>
      </c>
      <c r="D148" s="111">
        <v>3.8300000000000001</v>
      </c>
      <c r="E148" s="111">
        <v>11.359999999999999</v>
      </c>
      <c r="F148" s="112">
        <v>15.19</v>
      </c>
      <c r="H148" s="110" t="s">
        <v>31</v>
      </c>
      <c r="I148" s="111">
        <v>3.7999999999999998</v>
      </c>
      <c r="J148" s="111">
        <v>10.51</v>
      </c>
      <c r="K148" s="112">
        <v>14.31</v>
      </c>
      <c r="L148" s="88"/>
      <c r="M148" s="88"/>
    </row>
    <row r="149">
      <c r="A149" s="108">
        <v>201004044</v>
      </c>
      <c r="B149" s="109" t="s">
        <v>15683</v>
      </c>
      <c r="C149" s="110" t="s">
        <v>31</v>
      </c>
      <c r="D149" s="111">
        <v>0</v>
      </c>
      <c r="E149" s="111">
        <v>33.799999999999997</v>
      </c>
      <c r="F149" s="112">
        <v>33.799999999999997</v>
      </c>
      <c r="H149" s="110" t="s">
        <v>31</v>
      </c>
      <c r="I149" s="111">
        <v>0</v>
      </c>
      <c r="J149" s="111">
        <v>31.309999999999999</v>
      </c>
      <c r="K149" s="112">
        <v>31.309999999999999</v>
      </c>
      <c r="L149" s="88"/>
      <c r="M149" s="88"/>
    </row>
    <row r="150" ht="25.5">
      <c r="A150" s="108">
        <v>201004048</v>
      </c>
      <c r="B150" s="109" t="s">
        <v>15684</v>
      </c>
      <c r="C150" s="110" t="s">
        <v>31</v>
      </c>
      <c r="D150" s="111">
        <v>0</v>
      </c>
      <c r="E150" s="111">
        <v>47.68</v>
      </c>
      <c r="F150" s="112">
        <v>47.68</v>
      </c>
      <c r="H150" s="110" t="s">
        <v>31</v>
      </c>
      <c r="I150" s="111">
        <v>0</v>
      </c>
      <c r="J150" s="111">
        <v>44.149999999999999</v>
      </c>
      <c r="K150" s="112">
        <v>44.149999999999999</v>
      </c>
      <c r="L150" s="88"/>
      <c r="M150" s="88"/>
    </row>
    <row r="151" ht="25.5">
      <c r="A151" s="108">
        <v>201004052</v>
      </c>
      <c r="B151" s="109" t="s">
        <v>15685</v>
      </c>
      <c r="C151" s="110" t="s">
        <v>31</v>
      </c>
      <c r="D151" s="111">
        <v>0</v>
      </c>
      <c r="E151" s="111">
        <v>72.829999999999998</v>
      </c>
      <c r="F151" s="112">
        <v>72.829999999999998</v>
      </c>
      <c r="H151" s="110" t="s">
        <v>31</v>
      </c>
      <c r="I151" s="111">
        <v>0</v>
      </c>
      <c r="J151" s="111">
        <v>67.439999999999998</v>
      </c>
      <c r="K151" s="112">
        <v>67.439999999999998</v>
      </c>
      <c r="L151" s="88"/>
      <c r="M151" s="88"/>
    </row>
    <row r="152" ht="25.5">
      <c r="A152" s="108">
        <v>201004056</v>
      </c>
      <c r="B152" s="109" t="s">
        <v>15686</v>
      </c>
      <c r="C152" s="110" t="s">
        <v>31</v>
      </c>
      <c r="D152" s="111">
        <v>0</v>
      </c>
      <c r="E152" s="111">
        <v>97.969999999999999</v>
      </c>
      <c r="F152" s="112">
        <v>97.969999999999999</v>
      </c>
      <c r="H152" s="110" t="s">
        <v>31</v>
      </c>
      <c r="I152" s="111">
        <v>0</v>
      </c>
      <c r="J152" s="111">
        <v>90.719999999999999</v>
      </c>
      <c r="K152" s="112">
        <v>90.719999999999999</v>
      </c>
      <c r="L152" s="88"/>
      <c r="M152" s="88"/>
    </row>
    <row r="153">
      <c r="A153" s="108">
        <v>201004060</v>
      </c>
      <c r="B153" s="109" t="s">
        <v>15687</v>
      </c>
      <c r="C153" s="110" t="s">
        <v>31</v>
      </c>
      <c r="D153" s="111">
        <v>0</v>
      </c>
      <c r="E153" s="111">
        <v>19.030000000000001</v>
      </c>
      <c r="F153" s="112">
        <v>19.030000000000001</v>
      </c>
      <c r="H153" s="110" t="s">
        <v>31</v>
      </c>
      <c r="I153" s="111">
        <v>0</v>
      </c>
      <c r="J153" s="111">
        <v>17.510000000000002</v>
      </c>
      <c r="K153" s="112">
        <v>17.510000000000002</v>
      </c>
      <c r="L153" s="88"/>
      <c r="M153" s="88"/>
    </row>
    <row r="154" ht="25.5">
      <c r="A154" s="108">
        <v>201004064</v>
      </c>
      <c r="B154" s="109" t="s">
        <v>15688</v>
      </c>
      <c r="C154" s="110" t="s">
        <v>31</v>
      </c>
      <c r="D154" s="111">
        <v>0</v>
      </c>
      <c r="E154" s="111">
        <v>21.129999999999999</v>
      </c>
      <c r="F154" s="112">
        <v>21.129999999999999</v>
      </c>
      <c r="H154" s="110" t="s">
        <v>31</v>
      </c>
      <c r="I154" s="111">
        <v>0</v>
      </c>
      <c r="J154" s="111">
        <v>19.5</v>
      </c>
      <c r="K154" s="112">
        <v>19.5</v>
      </c>
      <c r="L154" s="88"/>
      <c r="M154" s="88"/>
    </row>
    <row r="155" ht="25.5">
      <c r="A155" s="108">
        <v>201004068</v>
      </c>
      <c r="B155" s="109" t="s">
        <v>15689</v>
      </c>
      <c r="C155" s="110" t="s">
        <v>29</v>
      </c>
      <c r="D155" s="111">
        <v>0.46000000000000002</v>
      </c>
      <c r="E155" s="111">
        <v>5.7699999999999996</v>
      </c>
      <c r="F155" s="112">
        <v>6.2300000000000004</v>
      </c>
      <c r="H155" s="110" t="s">
        <v>29</v>
      </c>
      <c r="I155" s="111">
        <v>0.46000000000000002</v>
      </c>
      <c r="J155" s="111">
        <v>5.3899999999999997</v>
      </c>
      <c r="K155" s="112">
        <v>5.8499999999999996</v>
      </c>
      <c r="L155" s="88"/>
      <c r="M155" s="88"/>
    </row>
    <row r="156" ht="25.5">
      <c r="A156" s="108">
        <v>201004072</v>
      </c>
      <c r="B156" s="109" t="s">
        <v>15690</v>
      </c>
      <c r="C156" s="110" t="s">
        <v>29</v>
      </c>
      <c r="D156" s="111">
        <v>1.6000000000000001</v>
      </c>
      <c r="E156" s="111">
        <v>10.369999999999999</v>
      </c>
      <c r="F156" s="112">
        <v>11.970000000000001</v>
      </c>
      <c r="H156" s="110" t="s">
        <v>29</v>
      </c>
      <c r="I156" s="111">
        <v>1.6000000000000001</v>
      </c>
      <c r="J156" s="111">
        <v>9.6300000000000008</v>
      </c>
      <c r="K156" s="112">
        <v>11.23</v>
      </c>
      <c r="L156" s="88"/>
      <c r="M156" s="88"/>
    </row>
    <row r="157" ht="25.5">
      <c r="A157" s="108">
        <v>201004076</v>
      </c>
      <c r="B157" s="109" t="s">
        <v>15691</v>
      </c>
      <c r="C157" s="110" t="s">
        <v>29</v>
      </c>
      <c r="D157" s="111">
        <v>0.53000000000000003</v>
      </c>
      <c r="E157" s="111">
        <v>5.7699999999999996</v>
      </c>
      <c r="F157" s="112">
        <v>6.2999999999999998</v>
      </c>
      <c r="H157" s="110" t="s">
        <v>29</v>
      </c>
      <c r="I157" s="111">
        <v>0.53000000000000003</v>
      </c>
      <c r="J157" s="111">
        <v>5.3899999999999997</v>
      </c>
      <c r="K157" s="112">
        <v>5.9199999999999999</v>
      </c>
      <c r="L157" s="88"/>
      <c r="M157" s="88"/>
    </row>
    <row r="158" ht="25.5">
      <c r="A158" s="108">
        <v>201004080</v>
      </c>
      <c r="B158" s="109" t="s">
        <v>15692</v>
      </c>
      <c r="C158" s="110" t="s">
        <v>29</v>
      </c>
      <c r="D158" s="111">
        <v>5.0000000000000003e-002</v>
      </c>
      <c r="E158" s="111">
        <v>3.8900000000000001</v>
      </c>
      <c r="F158" s="112">
        <v>3.9399999999999999</v>
      </c>
      <c r="H158" s="110" t="s">
        <v>29</v>
      </c>
      <c r="I158" s="111">
        <v>5.0000000000000003e-002</v>
      </c>
      <c r="J158" s="111">
        <v>3.6299999999999999</v>
      </c>
      <c r="K158" s="112">
        <v>3.6800000000000002</v>
      </c>
      <c r="L158" s="88"/>
      <c r="M158" s="88"/>
    </row>
    <row r="159" ht="25.5">
      <c r="A159" s="108">
        <v>201004084</v>
      </c>
      <c r="B159" s="109" t="s">
        <v>15693</v>
      </c>
      <c r="C159" s="110" t="s">
        <v>29</v>
      </c>
      <c r="D159" s="111">
        <v>0</v>
      </c>
      <c r="E159" s="111">
        <v>46.490000000000002</v>
      </c>
      <c r="F159" s="112">
        <v>46.490000000000002</v>
      </c>
      <c r="H159" s="110" t="s">
        <v>29</v>
      </c>
      <c r="I159" s="111">
        <v>0</v>
      </c>
      <c r="J159" s="111">
        <v>43.020000000000003</v>
      </c>
      <c r="K159" s="112">
        <v>43.020000000000003</v>
      </c>
      <c r="L159" s="88"/>
      <c r="M159" s="88"/>
    </row>
    <row r="160">
      <c r="D160" s="113"/>
      <c r="E160" s="113"/>
      <c r="F160" s="114"/>
      <c r="H160" s="88"/>
      <c r="I160" s="113"/>
      <c r="J160" s="113"/>
      <c r="K160" s="114"/>
      <c r="L160" s="88"/>
      <c r="M160" s="88"/>
    </row>
    <row r="161">
      <c r="B161" s="102" t="s">
        <v>15694</v>
      </c>
      <c r="D161" s="113"/>
      <c r="E161" s="113"/>
      <c r="F161" s="114"/>
      <c r="H161" s="88"/>
      <c r="I161" s="113"/>
      <c r="J161" s="113"/>
      <c r="K161" s="114"/>
      <c r="L161" s="88"/>
      <c r="M161" s="88"/>
    </row>
    <row r="162">
      <c r="D162" s="113"/>
      <c r="E162" s="113"/>
      <c r="F162" s="114"/>
      <c r="H162" s="88"/>
      <c r="I162" s="113"/>
      <c r="J162" s="113"/>
      <c r="K162" s="114"/>
      <c r="L162" s="88"/>
      <c r="M162" s="88"/>
    </row>
    <row r="163">
      <c r="A163" s="88" t="s">
        <v>15547</v>
      </c>
      <c r="B163" s="89" t="s">
        <v>15548</v>
      </c>
      <c r="C163" s="88" t="s">
        <v>15337</v>
      </c>
      <c r="D163" s="113" t="s">
        <v>10460</v>
      </c>
      <c r="E163" s="113" t="s">
        <v>15549</v>
      </c>
      <c r="F163" s="114" t="s">
        <v>15550</v>
      </c>
      <c r="H163" s="88" t="s">
        <v>15337</v>
      </c>
      <c r="I163" s="113" t="s">
        <v>10460</v>
      </c>
      <c r="J163" s="113" t="s">
        <v>15549</v>
      </c>
      <c r="K163" s="114" t="s">
        <v>15550</v>
      </c>
      <c r="L163" s="88"/>
      <c r="M163" s="88"/>
    </row>
    <row r="164">
      <c r="D164" s="113"/>
      <c r="E164" s="113"/>
      <c r="F164" s="114"/>
      <c r="H164" s="88"/>
      <c r="I164" s="113"/>
      <c r="J164" s="113"/>
      <c r="K164" s="114"/>
      <c r="L164" s="88"/>
      <c r="M164" s="88"/>
    </row>
    <row r="165" ht="25.5">
      <c r="A165" s="108">
        <v>301000100</v>
      </c>
      <c r="B165" s="109" t="s">
        <v>15695</v>
      </c>
      <c r="C165" s="110" t="s">
        <v>38</v>
      </c>
      <c r="D165" s="111">
        <v>95</v>
      </c>
      <c r="E165" s="111">
        <v>0</v>
      </c>
      <c r="F165" s="112">
        <v>95</v>
      </c>
      <c r="H165" s="110" t="s">
        <v>38</v>
      </c>
      <c r="I165" s="111">
        <v>95</v>
      </c>
      <c r="J165" s="111">
        <v>0</v>
      </c>
      <c r="K165" s="112">
        <v>95</v>
      </c>
      <c r="L165" s="88"/>
      <c r="M165" s="88"/>
    </row>
    <row r="166">
      <c r="A166" s="108">
        <v>301000102</v>
      </c>
      <c r="B166" s="109" t="s">
        <v>15696</v>
      </c>
      <c r="C166" s="110" t="s">
        <v>31</v>
      </c>
      <c r="D166" s="111">
        <v>90</v>
      </c>
      <c r="E166" s="111">
        <v>0</v>
      </c>
      <c r="F166" s="112">
        <v>90</v>
      </c>
      <c r="H166" s="110" t="s">
        <v>31</v>
      </c>
      <c r="I166" s="111">
        <v>90</v>
      </c>
      <c r="J166" s="111">
        <v>0</v>
      </c>
      <c r="K166" s="112">
        <v>90</v>
      </c>
      <c r="L166" s="88"/>
      <c r="M166" s="88"/>
    </row>
    <row r="167" ht="25.5">
      <c r="A167" s="108">
        <v>301000103</v>
      </c>
      <c r="B167" s="109" t="s">
        <v>15697</v>
      </c>
      <c r="C167" s="110" t="s">
        <v>31</v>
      </c>
      <c r="D167" s="111">
        <v>650</v>
      </c>
      <c r="E167" s="111">
        <v>0</v>
      </c>
      <c r="F167" s="112">
        <v>650</v>
      </c>
      <c r="H167" s="110" t="s">
        <v>31</v>
      </c>
      <c r="I167" s="111">
        <v>650</v>
      </c>
      <c r="J167" s="111">
        <v>0</v>
      </c>
      <c r="K167" s="112">
        <v>650</v>
      </c>
      <c r="L167" s="88"/>
      <c r="M167" s="88"/>
    </row>
    <row r="168" ht="38.25">
      <c r="A168" s="108">
        <v>301000104</v>
      </c>
      <c r="B168" s="109" t="s">
        <v>15698</v>
      </c>
      <c r="C168" s="110" t="s">
        <v>38</v>
      </c>
      <c r="D168" s="111">
        <v>19.739999999999998</v>
      </c>
      <c r="E168" s="111">
        <v>26.300000000000001</v>
      </c>
      <c r="F168" s="112">
        <v>46.039999999999999</v>
      </c>
      <c r="H168" s="110" t="s">
        <v>38</v>
      </c>
      <c r="I168" s="111">
        <v>19.489999999999998</v>
      </c>
      <c r="J168" s="111">
        <v>24.34</v>
      </c>
      <c r="K168" s="112">
        <v>43.829999999999998</v>
      </c>
      <c r="L168" s="88"/>
      <c r="M168" s="88"/>
    </row>
    <row r="169" ht="38.25">
      <c r="A169" s="108">
        <v>301000105</v>
      </c>
      <c r="B169" s="109" t="s">
        <v>15699</v>
      </c>
      <c r="C169" s="110" t="s">
        <v>38</v>
      </c>
      <c r="D169" s="111">
        <v>28.460000000000001</v>
      </c>
      <c r="E169" s="111">
        <v>41.159999999999997</v>
      </c>
      <c r="F169" s="112">
        <v>69.620000000000005</v>
      </c>
      <c r="H169" s="110" t="s">
        <v>38</v>
      </c>
      <c r="I169" s="111">
        <v>28.109999999999999</v>
      </c>
      <c r="J169" s="111">
        <v>38.100000000000001</v>
      </c>
      <c r="K169" s="112">
        <v>66.209999999999994</v>
      </c>
      <c r="L169" s="88"/>
      <c r="M169" s="88"/>
    </row>
    <row r="170" ht="38.25">
      <c r="A170" s="108">
        <v>301000107</v>
      </c>
      <c r="B170" s="109" t="s">
        <v>15700</v>
      </c>
      <c r="C170" s="110" t="s">
        <v>38</v>
      </c>
      <c r="D170" s="111">
        <v>39.479999999999997</v>
      </c>
      <c r="E170" s="111">
        <v>55.979999999999997</v>
      </c>
      <c r="F170" s="112">
        <v>95.459999999999994</v>
      </c>
      <c r="H170" s="110" t="s">
        <v>38</v>
      </c>
      <c r="I170" s="111">
        <v>38.990000000000002</v>
      </c>
      <c r="J170" s="111">
        <v>51.810000000000002</v>
      </c>
      <c r="K170" s="112">
        <v>90.799999999999997</v>
      </c>
      <c r="L170" s="88"/>
      <c r="M170" s="88"/>
    </row>
    <row r="171" ht="38.25">
      <c r="A171" s="69">
        <v>301000108</v>
      </c>
      <c r="B171" s="89" t="s">
        <v>15701</v>
      </c>
      <c r="C171" s="88" t="s">
        <v>38</v>
      </c>
      <c r="D171" s="113"/>
      <c r="E171" s="113"/>
      <c r="F171" s="114">
        <v>143.27000000000001</v>
      </c>
      <c r="H171" s="88" t="s">
        <v>38</v>
      </c>
      <c r="I171" s="113"/>
      <c r="J171" s="113"/>
      <c r="K171" s="114">
        <v>138.09999999999999</v>
      </c>
      <c r="L171" s="88"/>
      <c r="M171" s="88"/>
    </row>
    <row r="172" ht="63.75">
      <c r="A172" s="108">
        <v>301000110</v>
      </c>
      <c r="B172" s="109" t="s">
        <v>15702</v>
      </c>
      <c r="C172" s="110" t="s">
        <v>38</v>
      </c>
      <c r="D172" s="111">
        <v>73.099999999999994</v>
      </c>
      <c r="E172" s="111">
        <v>18.66</v>
      </c>
      <c r="F172" s="112">
        <v>91.760000000000005</v>
      </c>
      <c r="H172" s="110" t="s">
        <v>38</v>
      </c>
      <c r="I172" s="111">
        <v>73.099999999999994</v>
      </c>
      <c r="J172" s="111">
        <v>17.300000000000001</v>
      </c>
      <c r="K172" s="112">
        <v>90.400000000000006</v>
      </c>
      <c r="L172" s="88"/>
      <c r="M172" s="88"/>
    </row>
    <row r="173" ht="63.75">
      <c r="A173" s="108">
        <v>301000112</v>
      </c>
      <c r="B173" s="109" t="s">
        <v>15703</v>
      </c>
      <c r="C173" s="110" t="s">
        <v>38</v>
      </c>
      <c r="D173" s="111">
        <v>101.79000000000001</v>
      </c>
      <c r="E173" s="111">
        <v>30.41</v>
      </c>
      <c r="F173" s="112">
        <v>132.19999999999999</v>
      </c>
      <c r="H173" s="110" t="s">
        <v>38</v>
      </c>
      <c r="I173" s="111">
        <v>101.79000000000001</v>
      </c>
      <c r="J173" s="111">
        <v>28.18</v>
      </c>
      <c r="K173" s="112">
        <v>129.97</v>
      </c>
      <c r="L173" s="88"/>
      <c r="M173" s="88"/>
    </row>
    <row r="174" ht="63.75">
      <c r="A174" s="108">
        <v>301000114</v>
      </c>
      <c r="B174" s="109" t="s">
        <v>15704</v>
      </c>
      <c r="C174" s="110" t="s">
        <v>38</v>
      </c>
      <c r="D174" s="111">
        <v>126.25</v>
      </c>
      <c r="E174" s="111">
        <v>42.869999999999997</v>
      </c>
      <c r="F174" s="112">
        <v>169.12</v>
      </c>
      <c r="H174" s="110" t="s">
        <v>38</v>
      </c>
      <c r="I174" s="111">
        <v>126.25</v>
      </c>
      <c r="J174" s="111">
        <v>39.729999999999997</v>
      </c>
      <c r="K174" s="112">
        <v>165.97999999999999</v>
      </c>
      <c r="L174" s="88"/>
      <c r="M174" s="88"/>
    </row>
    <row r="175">
      <c r="A175" s="108">
        <v>301000116</v>
      </c>
      <c r="B175" s="109" t="s">
        <v>15705</v>
      </c>
      <c r="C175" s="110" t="s">
        <v>31</v>
      </c>
      <c r="D175" s="111">
        <v>0</v>
      </c>
      <c r="E175" s="111">
        <v>58.280000000000001</v>
      </c>
      <c r="F175" s="112">
        <v>58.280000000000001</v>
      </c>
      <c r="H175" s="110" t="s">
        <v>31</v>
      </c>
      <c r="I175" s="111">
        <v>0</v>
      </c>
      <c r="J175" s="111">
        <v>54.090000000000003</v>
      </c>
      <c r="K175" s="112">
        <v>54.090000000000003</v>
      </c>
      <c r="L175" s="88"/>
      <c r="M175" s="88"/>
    </row>
    <row r="176" ht="38.25">
      <c r="A176" s="108">
        <v>301000118</v>
      </c>
      <c r="B176" s="109" t="s">
        <v>15706</v>
      </c>
      <c r="C176" s="110" t="s">
        <v>121</v>
      </c>
      <c r="D176" s="111">
        <v>679.53999999999996</v>
      </c>
      <c r="E176" s="111">
        <v>325.43000000000001</v>
      </c>
      <c r="F176" s="112">
        <v>1004.97</v>
      </c>
      <c r="H176" s="110" t="s">
        <v>121</v>
      </c>
      <c r="I176" s="111">
        <v>676.54999999999995</v>
      </c>
      <c r="J176" s="111">
        <v>301.13999999999999</v>
      </c>
      <c r="K176" s="112">
        <v>977.69000000000005</v>
      </c>
      <c r="L176" s="88"/>
      <c r="M176" s="88"/>
    </row>
    <row r="177" ht="51">
      <c r="A177" s="69">
        <v>301000119</v>
      </c>
      <c r="B177" s="89" t="s">
        <v>15707</v>
      </c>
      <c r="C177" s="88" t="s">
        <v>121</v>
      </c>
      <c r="D177" s="113"/>
      <c r="E177" s="113"/>
      <c r="F177" s="114">
        <v>667.89999999999998</v>
      </c>
      <c r="H177" s="88" t="s">
        <v>121</v>
      </c>
      <c r="I177" s="113"/>
      <c r="J177" s="113"/>
      <c r="K177" s="114">
        <v>643.89999999999998</v>
      </c>
      <c r="L177" s="88"/>
      <c r="M177" s="88"/>
    </row>
    <row r="178" ht="38.25">
      <c r="A178" s="69">
        <v>301000122</v>
      </c>
      <c r="B178" s="89" t="s">
        <v>15708</v>
      </c>
      <c r="C178" s="88" t="s">
        <v>121</v>
      </c>
      <c r="D178" s="113"/>
      <c r="E178" s="113"/>
      <c r="F178" s="114">
        <v>565.28999999999996</v>
      </c>
      <c r="H178" s="88" t="s">
        <v>121</v>
      </c>
      <c r="I178" s="113"/>
      <c r="J178" s="113"/>
      <c r="K178" s="114">
        <v>547.12</v>
      </c>
      <c r="L178" s="88"/>
      <c r="M178" s="88"/>
    </row>
    <row r="179" ht="51">
      <c r="A179" s="108">
        <v>301000130</v>
      </c>
      <c r="B179" s="109" t="s">
        <v>15709</v>
      </c>
      <c r="C179" s="110" t="s">
        <v>38</v>
      </c>
      <c r="D179" s="111">
        <v>51.390000000000001</v>
      </c>
      <c r="E179" s="111">
        <v>5.3600000000000003</v>
      </c>
      <c r="F179" s="112">
        <v>56.75</v>
      </c>
      <c r="H179" s="110" t="s">
        <v>38</v>
      </c>
      <c r="I179" s="111">
        <v>51.200000000000003</v>
      </c>
      <c r="J179" s="111">
        <v>4.9500000000000002</v>
      </c>
      <c r="K179" s="112">
        <v>56.149999999999999</v>
      </c>
      <c r="L179" s="88"/>
      <c r="M179" s="88"/>
    </row>
    <row r="180" ht="51">
      <c r="A180" s="108">
        <v>301000132</v>
      </c>
      <c r="B180" s="109" t="s">
        <v>15710</v>
      </c>
      <c r="C180" s="110" t="s">
        <v>38</v>
      </c>
      <c r="D180" s="111">
        <v>67.760000000000005</v>
      </c>
      <c r="E180" s="111">
        <v>5.7199999999999998</v>
      </c>
      <c r="F180" s="112">
        <v>73.480000000000004</v>
      </c>
      <c r="H180" s="110" t="s">
        <v>38</v>
      </c>
      <c r="I180" s="111">
        <v>67.560000000000002</v>
      </c>
      <c r="J180" s="111">
        <v>5.2999999999999998</v>
      </c>
      <c r="K180" s="112">
        <v>72.859999999999999</v>
      </c>
      <c r="L180" s="88"/>
      <c r="M180" s="88"/>
    </row>
    <row r="181" ht="51">
      <c r="A181" s="108">
        <v>301000134</v>
      </c>
      <c r="B181" s="109" t="s">
        <v>15711</v>
      </c>
      <c r="C181" s="110" t="s">
        <v>38</v>
      </c>
      <c r="D181" s="111">
        <v>109.38</v>
      </c>
      <c r="E181" s="111">
        <v>6.6299999999999999</v>
      </c>
      <c r="F181" s="112">
        <v>116.01000000000001</v>
      </c>
      <c r="H181" s="110" t="s">
        <v>38</v>
      </c>
      <c r="I181" s="111">
        <v>109.12</v>
      </c>
      <c r="J181" s="111">
        <v>6.1399999999999997</v>
      </c>
      <c r="K181" s="112">
        <v>115.26000000000001</v>
      </c>
      <c r="L181" s="88"/>
      <c r="M181" s="88"/>
    </row>
    <row r="182" ht="51">
      <c r="A182" s="108">
        <v>301000137</v>
      </c>
      <c r="B182" s="109" t="s">
        <v>15712</v>
      </c>
      <c r="C182" s="110" t="s">
        <v>38</v>
      </c>
      <c r="D182" s="111">
        <v>220.69</v>
      </c>
      <c r="E182" s="111">
        <v>8.0399999999999991</v>
      </c>
      <c r="F182" s="112">
        <v>228.72999999999999</v>
      </c>
      <c r="H182" s="110" t="s">
        <v>38</v>
      </c>
      <c r="I182" s="111">
        <v>220.37</v>
      </c>
      <c r="J182" s="111">
        <v>7.4400000000000004</v>
      </c>
      <c r="K182" s="112">
        <v>227.81</v>
      </c>
      <c r="L182" s="88"/>
      <c r="M182" s="88"/>
    </row>
    <row r="183" ht="51">
      <c r="A183" s="108">
        <v>301000140</v>
      </c>
      <c r="B183" s="109" t="s">
        <v>15713</v>
      </c>
      <c r="C183" s="110" t="s">
        <v>38</v>
      </c>
      <c r="D183" s="111">
        <v>50.68</v>
      </c>
      <c r="E183" s="111">
        <v>29.350000000000001</v>
      </c>
      <c r="F183" s="112">
        <v>80.030000000000001</v>
      </c>
      <c r="H183" s="110" t="s">
        <v>38</v>
      </c>
      <c r="I183" s="111">
        <v>50.490000000000002</v>
      </c>
      <c r="J183" s="111">
        <v>27.239999999999998</v>
      </c>
      <c r="K183" s="112">
        <v>77.730000000000004</v>
      </c>
      <c r="L183" s="88"/>
      <c r="M183" s="88"/>
    </row>
    <row r="184" ht="51">
      <c r="A184" s="69">
        <v>301000145</v>
      </c>
      <c r="B184" s="89" t="s">
        <v>15714</v>
      </c>
      <c r="C184" s="88" t="s">
        <v>38</v>
      </c>
      <c r="D184" s="113"/>
      <c r="E184" s="113"/>
      <c r="F184" s="114">
        <v>290.48000000000002</v>
      </c>
      <c r="H184" s="88" t="s">
        <v>38</v>
      </c>
      <c r="I184" s="113"/>
      <c r="J184" s="113"/>
      <c r="K184" s="114">
        <v>289.22000000000003</v>
      </c>
      <c r="L184" s="88"/>
      <c r="M184" s="88"/>
    </row>
    <row r="185" ht="25.5">
      <c r="A185" s="108">
        <v>301000147</v>
      </c>
      <c r="B185" s="109" t="s">
        <v>15715</v>
      </c>
      <c r="C185" s="110" t="s">
        <v>15716</v>
      </c>
      <c r="D185" s="111">
        <v>10</v>
      </c>
      <c r="E185" s="111">
        <v>0</v>
      </c>
      <c r="F185" s="112">
        <v>10</v>
      </c>
      <c r="H185" s="110" t="s">
        <v>15716</v>
      </c>
      <c r="I185" s="111">
        <v>9.7899999999999991</v>
      </c>
      <c r="J185" s="111">
        <v>0</v>
      </c>
      <c r="K185" s="112">
        <v>9.7899999999999991</v>
      </c>
      <c r="L185" s="88"/>
      <c r="M185" s="88"/>
    </row>
    <row r="186">
      <c r="D186" s="113"/>
      <c r="E186" s="113"/>
      <c r="F186" s="114"/>
      <c r="H186" s="88"/>
      <c r="I186" s="113"/>
      <c r="J186" s="113"/>
      <c r="K186" s="114"/>
      <c r="L186" s="88"/>
      <c r="M186" s="88"/>
    </row>
    <row r="187">
      <c r="B187" s="102" t="s">
        <v>15717</v>
      </c>
      <c r="D187" s="113"/>
      <c r="E187" s="113"/>
      <c r="F187" s="114"/>
      <c r="H187" s="88"/>
      <c r="I187" s="113"/>
      <c r="J187" s="113"/>
      <c r="K187" s="114"/>
      <c r="L187" s="88"/>
      <c r="M187" s="88"/>
    </row>
    <row r="188">
      <c r="D188" s="113"/>
      <c r="E188" s="113"/>
      <c r="F188" s="114"/>
      <c r="H188" s="88"/>
      <c r="I188" s="113"/>
      <c r="J188" s="113"/>
      <c r="K188" s="114"/>
      <c r="L188" s="88"/>
      <c r="M188" s="88"/>
    </row>
    <row r="189">
      <c r="A189" s="88" t="s">
        <v>15547</v>
      </c>
      <c r="B189" s="89" t="s">
        <v>15548</v>
      </c>
      <c r="C189" s="88" t="s">
        <v>15337</v>
      </c>
      <c r="D189" s="113" t="s">
        <v>10460</v>
      </c>
      <c r="E189" s="113" t="s">
        <v>15549</v>
      </c>
      <c r="F189" s="114" t="s">
        <v>15550</v>
      </c>
      <c r="H189" s="88" t="s">
        <v>15337</v>
      </c>
      <c r="I189" s="113" t="s">
        <v>10460</v>
      </c>
      <c r="J189" s="113" t="s">
        <v>15549</v>
      </c>
      <c r="K189" s="114" t="s">
        <v>15550</v>
      </c>
      <c r="L189" s="88"/>
      <c r="M189" s="88"/>
    </row>
    <row r="190">
      <c r="D190" s="113"/>
      <c r="E190" s="113"/>
      <c r="F190" s="114"/>
      <c r="H190" s="88"/>
      <c r="I190" s="113"/>
      <c r="J190" s="113"/>
      <c r="K190" s="114"/>
      <c r="L190" s="88"/>
      <c r="M190" s="88"/>
    </row>
    <row r="191">
      <c r="B191" s="89" t="s">
        <v>15718</v>
      </c>
      <c r="D191" s="113"/>
      <c r="E191" s="113"/>
      <c r="F191" s="114"/>
      <c r="H191" s="88"/>
      <c r="I191" s="113"/>
      <c r="J191" s="113"/>
      <c r="K191" s="114"/>
      <c r="L191" s="88"/>
      <c r="M191" s="88"/>
    </row>
    <row r="192" ht="38.25">
      <c r="A192" s="108">
        <v>401001100</v>
      </c>
      <c r="B192" s="109" t="s">
        <v>15719</v>
      </c>
      <c r="C192" s="110" t="s">
        <v>121</v>
      </c>
      <c r="D192" s="111">
        <v>0</v>
      </c>
      <c r="E192" s="111">
        <v>82.959999999999994</v>
      </c>
      <c r="F192" s="112">
        <v>82.959999999999994</v>
      </c>
      <c r="H192" s="110" t="s">
        <v>121</v>
      </c>
      <c r="I192" s="111">
        <v>0</v>
      </c>
      <c r="J192" s="111">
        <v>77.040000000000006</v>
      </c>
      <c r="K192" s="112">
        <v>77.040000000000006</v>
      </c>
      <c r="L192" s="88"/>
      <c r="M192" s="88"/>
    </row>
    <row r="193">
      <c r="A193" s="108">
        <v>401001101</v>
      </c>
      <c r="B193" s="109" t="s">
        <v>15720</v>
      </c>
      <c r="C193" s="110" t="s">
        <v>121</v>
      </c>
      <c r="D193" s="111">
        <v>0</v>
      </c>
      <c r="E193" s="111">
        <v>79.640000000000001</v>
      </c>
      <c r="F193" s="112">
        <v>79.640000000000001</v>
      </c>
      <c r="H193" s="110" t="s">
        <v>121</v>
      </c>
      <c r="I193" s="111">
        <v>0</v>
      </c>
      <c r="J193" s="111">
        <v>73.950000000000003</v>
      </c>
      <c r="K193" s="112">
        <v>73.950000000000003</v>
      </c>
      <c r="L193" s="88"/>
      <c r="M193" s="88"/>
    </row>
    <row r="194" ht="25.5">
      <c r="A194" s="108">
        <v>401001109</v>
      </c>
      <c r="B194" s="109" t="s">
        <v>15721</v>
      </c>
      <c r="C194" s="110" t="s">
        <v>29</v>
      </c>
      <c r="D194" s="111">
        <v>0</v>
      </c>
      <c r="E194" s="111">
        <v>31.109999999999999</v>
      </c>
      <c r="F194" s="112">
        <v>31.109999999999999</v>
      </c>
      <c r="H194" s="110" t="s">
        <v>29</v>
      </c>
      <c r="I194" s="111">
        <v>0</v>
      </c>
      <c r="J194" s="111">
        <v>28.890000000000001</v>
      </c>
      <c r="K194" s="112">
        <v>28.890000000000001</v>
      </c>
      <c r="L194" s="88"/>
      <c r="M194" s="88"/>
    </row>
    <row r="195" ht="25.5">
      <c r="A195" s="108">
        <v>401001111</v>
      </c>
      <c r="B195" s="109" t="s">
        <v>15722</v>
      </c>
      <c r="C195" s="110" t="s">
        <v>29</v>
      </c>
      <c r="D195" s="111">
        <v>0</v>
      </c>
      <c r="E195" s="111">
        <v>31.109999999999999</v>
      </c>
      <c r="F195" s="112">
        <v>31.109999999999999</v>
      </c>
      <c r="H195" s="110" t="s">
        <v>29</v>
      </c>
      <c r="I195" s="111">
        <v>0</v>
      </c>
      <c r="J195" s="111">
        <v>28.890000000000001</v>
      </c>
      <c r="K195" s="112">
        <v>28.890000000000001</v>
      </c>
      <c r="L195" s="88"/>
      <c r="M195" s="88"/>
    </row>
    <row r="196">
      <c r="A196" s="108">
        <v>401001113</v>
      </c>
      <c r="B196" s="109" t="s">
        <v>15723</v>
      </c>
      <c r="C196" s="110" t="s">
        <v>121</v>
      </c>
      <c r="D196" s="111">
        <v>0</v>
      </c>
      <c r="E196" s="111">
        <v>49.740000000000002</v>
      </c>
      <c r="F196" s="112">
        <v>49.740000000000002</v>
      </c>
      <c r="H196" s="110" t="s">
        <v>121</v>
      </c>
      <c r="I196" s="111">
        <v>0</v>
      </c>
      <c r="J196" s="111">
        <v>46.189999999999998</v>
      </c>
      <c r="K196" s="112">
        <v>46.189999999999998</v>
      </c>
      <c r="L196" s="88"/>
      <c r="M196" s="88"/>
    </row>
    <row r="197" ht="25.5">
      <c r="A197" s="69">
        <v>401001114</v>
      </c>
      <c r="B197" s="89" t="s">
        <v>15724</v>
      </c>
      <c r="C197" s="88" t="s">
        <v>121</v>
      </c>
      <c r="D197" s="113"/>
      <c r="E197" s="113"/>
      <c r="F197" s="114">
        <v>25.280000000000001</v>
      </c>
      <c r="H197" s="88" t="s">
        <v>121</v>
      </c>
      <c r="I197" s="113"/>
      <c r="J197" s="113"/>
      <c r="K197" s="114">
        <v>23.620000000000001</v>
      </c>
      <c r="L197" s="88"/>
      <c r="M197" s="88"/>
    </row>
    <row r="198">
      <c r="A198" s="108">
        <v>401001115</v>
      </c>
      <c r="B198" s="109" t="s">
        <v>15725</v>
      </c>
      <c r="C198" s="110" t="s">
        <v>121</v>
      </c>
      <c r="D198" s="111">
        <v>8.3900000000000006</v>
      </c>
      <c r="E198" s="111">
        <v>0</v>
      </c>
      <c r="F198" s="112">
        <v>8.3900000000000006</v>
      </c>
      <c r="H198" s="110" t="s">
        <v>121</v>
      </c>
      <c r="I198" s="111">
        <v>8.3100000000000005</v>
      </c>
      <c r="J198" s="111">
        <v>0</v>
      </c>
      <c r="K198" s="112">
        <v>8.3100000000000005</v>
      </c>
      <c r="L198" s="88"/>
      <c r="M198" s="88"/>
    </row>
    <row r="199">
      <c r="A199" s="108">
        <v>401001117</v>
      </c>
      <c r="B199" s="109" t="s">
        <v>15726</v>
      </c>
      <c r="C199" s="110" t="s">
        <v>121</v>
      </c>
      <c r="D199" s="111">
        <v>0</v>
      </c>
      <c r="E199" s="111">
        <v>20.739999999999998</v>
      </c>
      <c r="F199" s="112">
        <v>20.739999999999998</v>
      </c>
      <c r="H199" s="110" t="s">
        <v>121</v>
      </c>
      <c r="I199" s="111">
        <v>0</v>
      </c>
      <c r="J199" s="111">
        <v>19.260000000000002</v>
      </c>
      <c r="K199" s="112">
        <v>19.260000000000002</v>
      </c>
      <c r="L199" s="88"/>
      <c r="M199" s="88"/>
    </row>
    <row r="200" ht="25.5">
      <c r="A200" s="108">
        <v>401001122</v>
      </c>
      <c r="B200" s="109" t="s">
        <v>15727</v>
      </c>
      <c r="C200" s="110" t="s">
        <v>121</v>
      </c>
      <c r="D200" s="111">
        <v>0</v>
      </c>
      <c r="E200" s="111">
        <v>41.479999999999997</v>
      </c>
      <c r="F200" s="112">
        <v>41.479999999999997</v>
      </c>
      <c r="H200" s="110" t="s">
        <v>121</v>
      </c>
      <c r="I200" s="111">
        <v>0</v>
      </c>
      <c r="J200" s="111">
        <v>38.520000000000003</v>
      </c>
      <c r="K200" s="112">
        <v>38.520000000000003</v>
      </c>
      <c r="L200" s="88"/>
      <c r="M200" s="88"/>
    </row>
    <row r="201" ht="25.5">
      <c r="A201" s="108">
        <v>401001124</v>
      </c>
      <c r="B201" s="109" t="s">
        <v>15728</v>
      </c>
      <c r="C201" s="110" t="s">
        <v>121</v>
      </c>
      <c r="D201" s="111">
        <v>0</v>
      </c>
      <c r="E201" s="111">
        <v>72.590000000000003</v>
      </c>
      <c r="F201" s="112">
        <v>72.590000000000003</v>
      </c>
      <c r="H201" s="110" t="s">
        <v>121</v>
      </c>
      <c r="I201" s="111">
        <v>0</v>
      </c>
      <c r="J201" s="111">
        <v>67.409999999999997</v>
      </c>
      <c r="K201" s="112">
        <v>67.409999999999997</v>
      </c>
      <c r="L201" s="88"/>
      <c r="M201" s="88"/>
    </row>
    <row r="202" ht="25.5">
      <c r="A202" s="108">
        <v>401001126</v>
      </c>
      <c r="B202" s="109" t="s">
        <v>15729</v>
      </c>
      <c r="C202" s="110" t="s">
        <v>121</v>
      </c>
      <c r="D202" s="111">
        <v>52.5</v>
      </c>
      <c r="E202" s="111">
        <v>72.590000000000003</v>
      </c>
      <c r="F202" s="112">
        <v>125.09</v>
      </c>
      <c r="H202" s="110" t="s">
        <v>121</v>
      </c>
      <c r="I202" s="111">
        <v>52.5</v>
      </c>
      <c r="J202" s="111">
        <v>67.409999999999997</v>
      </c>
      <c r="K202" s="112">
        <v>119.91</v>
      </c>
      <c r="L202" s="88"/>
      <c r="M202" s="88"/>
    </row>
    <row r="203">
      <c r="D203" s="113"/>
      <c r="E203" s="113"/>
      <c r="F203" s="114"/>
      <c r="H203" s="88"/>
      <c r="I203" s="113"/>
      <c r="J203" s="113"/>
      <c r="K203" s="114"/>
      <c r="L203" s="88"/>
      <c r="M203" s="88"/>
    </row>
    <row r="204">
      <c r="B204" s="89" t="s">
        <v>15730</v>
      </c>
      <c r="D204" s="113"/>
      <c r="E204" s="113"/>
      <c r="F204" s="114"/>
      <c r="H204" s="88"/>
      <c r="I204" s="113"/>
      <c r="J204" s="113"/>
      <c r="K204" s="114"/>
      <c r="L204" s="88"/>
      <c r="M204" s="88"/>
    </row>
    <row r="205" ht="38.25">
      <c r="A205" s="108">
        <v>401002000</v>
      </c>
      <c r="B205" s="109" t="s">
        <v>15731</v>
      </c>
      <c r="C205" s="110" t="s">
        <v>121</v>
      </c>
      <c r="D205" s="111">
        <v>83.939999999999998</v>
      </c>
      <c r="E205" s="111">
        <v>0.23000000000000001</v>
      </c>
      <c r="F205" s="112">
        <v>84.170000000000002</v>
      </c>
      <c r="H205" s="110" t="s">
        <v>121</v>
      </c>
      <c r="I205" s="111">
        <v>83.680000000000007</v>
      </c>
      <c r="J205" s="111">
        <v>0.20999999999999999</v>
      </c>
      <c r="K205" s="112">
        <v>83.890000000000001</v>
      </c>
      <c r="L205" s="88"/>
      <c r="M205" s="88"/>
    </row>
    <row r="206" ht="25.5">
      <c r="A206" s="69">
        <v>401002003</v>
      </c>
      <c r="B206" s="89" t="s">
        <v>15555</v>
      </c>
      <c r="C206" s="88" t="s">
        <v>29</v>
      </c>
      <c r="D206" s="113"/>
      <c r="E206" s="113"/>
      <c r="F206" s="114">
        <v>1.8700000000000001</v>
      </c>
      <c r="H206" s="88" t="s">
        <v>29</v>
      </c>
      <c r="I206" s="113"/>
      <c r="J206" s="113"/>
      <c r="K206" s="114">
        <v>1.8100000000000001</v>
      </c>
      <c r="L206" s="88"/>
      <c r="M206" s="88"/>
    </row>
    <row r="207" ht="63.75">
      <c r="A207" s="69">
        <v>401002005</v>
      </c>
      <c r="B207" s="89" t="s">
        <v>15732</v>
      </c>
      <c r="C207" s="88" t="s">
        <v>121</v>
      </c>
      <c r="D207" s="113"/>
      <c r="E207" s="113"/>
      <c r="F207" s="114">
        <v>9.4399999999999995</v>
      </c>
      <c r="H207" s="88" t="s">
        <v>121</v>
      </c>
      <c r="I207" s="113"/>
      <c r="J207" s="113"/>
      <c r="K207" s="114">
        <v>9.2200000000000006</v>
      </c>
      <c r="L207" s="88"/>
      <c r="M207" s="88"/>
    </row>
    <row r="208" ht="63.75">
      <c r="A208" s="69">
        <v>401002006</v>
      </c>
      <c r="B208" s="89" t="s">
        <v>15733</v>
      </c>
      <c r="C208" s="88" t="s">
        <v>121</v>
      </c>
      <c r="D208" s="113"/>
      <c r="E208" s="113"/>
      <c r="F208" s="114">
        <v>8.8699999999999992</v>
      </c>
      <c r="H208" s="88" t="s">
        <v>121</v>
      </c>
      <c r="I208" s="113"/>
      <c r="J208" s="113"/>
      <c r="K208" s="114">
        <v>8.6899999999999995</v>
      </c>
      <c r="L208" s="88"/>
      <c r="M208" s="88"/>
    </row>
    <row r="209" ht="63.75">
      <c r="A209" s="69">
        <v>401002007</v>
      </c>
      <c r="B209" s="89" t="s">
        <v>15734</v>
      </c>
      <c r="C209" s="88" t="s">
        <v>121</v>
      </c>
      <c r="D209" s="113"/>
      <c r="E209" s="113"/>
      <c r="F209" s="114">
        <v>8.3599999999999994</v>
      </c>
      <c r="H209" s="88" t="s">
        <v>121</v>
      </c>
      <c r="I209" s="113"/>
      <c r="J209" s="113"/>
      <c r="K209" s="114">
        <v>8.1899999999999995</v>
      </c>
      <c r="L209" s="88"/>
      <c r="M209" s="88"/>
    </row>
    <row r="210" ht="63.75">
      <c r="A210" s="69">
        <v>401002013</v>
      </c>
      <c r="B210" s="89" t="s">
        <v>15735</v>
      </c>
      <c r="C210" s="88" t="s">
        <v>121</v>
      </c>
      <c r="D210" s="113"/>
      <c r="E210" s="113"/>
      <c r="F210" s="114">
        <v>17.899999999999999</v>
      </c>
      <c r="H210" s="88" t="s">
        <v>121</v>
      </c>
      <c r="I210" s="113"/>
      <c r="J210" s="113"/>
      <c r="K210" s="114">
        <v>17.739999999999998</v>
      </c>
      <c r="L210" s="88"/>
      <c r="M210" s="88"/>
    </row>
    <row r="211" ht="63.75">
      <c r="A211" s="69">
        <v>401002018</v>
      </c>
      <c r="B211" s="89" t="s">
        <v>15736</v>
      </c>
      <c r="C211" s="88" t="s">
        <v>38</v>
      </c>
      <c r="D211" s="113"/>
      <c r="E211" s="113"/>
      <c r="F211" s="114">
        <v>20.239999999999998</v>
      </c>
      <c r="H211" s="88" t="s">
        <v>38</v>
      </c>
      <c r="I211" s="113"/>
      <c r="J211" s="113"/>
      <c r="K211" s="114">
        <v>19.59</v>
      </c>
      <c r="L211" s="88"/>
      <c r="M211" s="88"/>
    </row>
    <row r="212" ht="25.5">
      <c r="A212" s="69">
        <v>401002019</v>
      </c>
      <c r="B212" s="89" t="s">
        <v>15737</v>
      </c>
      <c r="C212" s="88" t="s">
        <v>121</v>
      </c>
      <c r="D212" s="113"/>
      <c r="E212" s="113"/>
      <c r="F212" s="114">
        <v>1.3799999999999999</v>
      </c>
      <c r="H212" s="88" t="s">
        <v>121</v>
      </c>
      <c r="I212" s="113"/>
      <c r="J212" s="113"/>
      <c r="K212" s="114">
        <v>1.3600000000000001</v>
      </c>
      <c r="L212" s="88"/>
      <c r="M212" s="88"/>
    </row>
    <row r="213">
      <c r="A213" s="108">
        <v>401002021</v>
      </c>
      <c r="B213" s="109" t="s">
        <v>15738</v>
      </c>
      <c r="C213" s="110" t="s">
        <v>121</v>
      </c>
      <c r="D213" s="111">
        <v>2.4199999999999999</v>
      </c>
      <c r="E213" s="111">
        <v>0</v>
      </c>
      <c r="F213" s="112">
        <v>2.4199999999999999</v>
      </c>
      <c r="H213" s="110" t="s">
        <v>121</v>
      </c>
      <c r="I213" s="111">
        <v>2.3900000000000001</v>
      </c>
      <c r="J213" s="111">
        <v>0</v>
      </c>
      <c r="K213" s="112">
        <v>2.3900000000000001</v>
      </c>
      <c r="L213" s="88"/>
      <c r="M213" s="88"/>
    </row>
    <row r="214" ht="25.5">
      <c r="A214" s="108">
        <v>401002022</v>
      </c>
      <c r="B214" s="109" t="s">
        <v>15739</v>
      </c>
      <c r="C214" s="110" t="s">
        <v>121</v>
      </c>
      <c r="D214" s="111">
        <v>1.24</v>
      </c>
      <c r="E214" s="111">
        <v>5.1799999999999997</v>
      </c>
      <c r="F214" s="112">
        <v>6.4199999999999999</v>
      </c>
      <c r="H214" s="110" t="s">
        <v>121</v>
      </c>
      <c r="I214" s="111">
        <v>1.24</v>
      </c>
      <c r="J214" s="111">
        <v>4.8099999999999996</v>
      </c>
      <c r="K214" s="112">
        <v>6.0499999999999998</v>
      </c>
      <c r="L214" s="88"/>
      <c r="M214" s="88"/>
    </row>
    <row r="215" ht="51">
      <c r="A215" s="69">
        <v>401002023</v>
      </c>
      <c r="B215" s="89" t="s">
        <v>15740</v>
      </c>
      <c r="C215" s="88" t="s">
        <v>121</v>
      </c>
      <c r="D215" s="113"/>
      <c r="E215" s="113"/>
      <c r="F215" s="114">
        <v>8.3800000000000008</v>
      </c>
      <c r="H215" s="88" t="s">
        <v>121</v>
      </c>
      <c r="I215" s="113"/>
      <c r="J215" s="113"/>
      <c r="K215" s="114">
        <v>8.2899999999999991</v>
      </c>
      <c r="L215" s="88"/>
      <c r="M215" s="88"/>
    </row>
    <row r="216" ht="51">
      <c r="A216" s="69">
        <v>401002024</v>
      </c>
      <c r="B216" s="89" t="s">
        <v>15741</v>
      </c>
      <c r="C216" s="88" t="s">
        <v>29</v>
      </c>
      <c r="D216" s="113"/>
      <c r="E216" s="113"/>
      <c r="F216" s="114">
        <v>3.1699999999999999</v>
      </c>
      <c r="H216" s="88" t="s">
        <v>29</v>
      </c>
      <c r="I216" s="113"/>
      <c r="J216" s="113"/>
      <c r="K216" s="114">
        <v>2.9500000000000002</v>
      </c>
      <c r="L216" s="88"/>
      <c r="M216" s="88"/>
    </row>
    <row r="217" ht="51">
      <c r="A217" s="69">
        <v>401002025</v>
      </c>
      <c r="B217" s="89" t="s">
        <v>15742</v>
      </c>
      <c r="C217" s="88" t="s">
        <v>29</v>
      </c>
      <c r="D217" s="113"/>
      <c r="E217" s="113"/>
      <c r="F217" s="114">
        <v>0.66000000000000003</v>
      </c>
      <c r="H217" s="88" t="s">
        <v>29</v>
      </c>
      <c r="I217" s="113"/>
      <c r="J217" s="113"/>
      <c r="K217" s="114">
        <v>0.60999999999999999</v>
      </c>
      <c r="L217" s="88"/>
      <c r="M217" s="88"/>
    </row>
    <row r="218" ht="38.25">
      <c r="A218" s="69">
        <v>401002040</v>
      </c>
      <c r="B218" s="89" t="s">
        <v>15743</v>
      </c>
      <c r="C218" s="88" t="s">
        <v>9703</v>
      </c>
      <c r="D218" s="113"/>
      <c r="E218" s="113"/>
      <c r="F218" s="114">
        <v>3.2000000000000002</v>
      </c>
      <c r="H218" s="88" t="s">
        <v>9703</v>
      </c>
      <c r="I218" s="113"/>
      <c r="J218" s="113"/>
      <c r="K218" s="114">
        <v>3.1600000000000001</v>
      </c>
      <c r="L218" s="88"/>
      <c r="M218" s="88"/>
    </row>
    <row r="219" ht="38.25">
      <c r="A219" s="69">
        <v>401002045</v>
      </c>
      <c r="B219" s="89" t="s">
        <v>15639</v>
      </c>
      <c r="C219" s="88" t="s">
        <v>9703</v>
      </c>
      <c r="D219" s="113"/>
      <c r="E219" s="113"/>
      <c r="F219" s="114">
        <v>2.9300000000000002</v>
      </c>
      <c r="H219" s="88" t="s">
        <v>9703</v>
      </c>
      <c r="I219" s="113"/>
      <c r="J219" s="113"/>
      <c r="K219" s="114">
        <v>2.8900000000000001</v>
      </c>
      <c r="L219" s="88"/>
      <c r="M219" s="88"/>
    </row>
    <row r="220">
      <c r="D220" s="113"/>
      <c r="E220" s="113"/>
      <c r="F220" s="114"/>
      <c r="H220" s="88"/>
      <c r="I220" s="113"/>
      <c r="J220" s="113"/>
      <c r="K220" s="114"/>
      <c r="L220" s="88"/>
      <c r="M220" s="88"/>
    </row>
    <row r="221">
      <c r="B221" s="102" t="s">
        <v>15744</v>
      </c>
      <c r="D221" s="113"/>
      <c r="E221" s="113"/>
      <c r="F221" s="114"/>
      <c r="H221" s="88"/>
      <c r="I221" s="113"/>
      <c r="J221" s="113"/>
      <c r="K221" s="114"/>
      <c r="L221" s="88"/>
      <c r="M221" s="88"/>
    </row>
    <row r="222">
      <c r="D222" s="113"/>
      <c r="E222" s="113"/>
      <c r="F222" s="114"/>
      <c r="H222" s="88"/>
      <c r="I222" s="113"/>
      <c r="J222" s="113"/>
      <c r="K222" s="114"/>
      <c r="L222" s="88"/>
      <c r="M222" s="88"/>
    </row>
    <row r="223">
      <c r="A223" s="88" t="s">
        <v>15547</v>
      </c>
      <c r="B223" s="89" t="s">
        <v>15548</v>
      </c>
      <c r="C223" s="88" t="s">
        <v>15337</v>
      </c>
      <c r="D223" s="113" t="s">
        <v>10460</v>
      </c>
      <c r="E223" s="113" t="s">
        <v>15549</v>
      </c>
      <c r="F223" s="114" t="s">
        <v>15550</v>
      </c>
      <c r="H223" s="88" t="s">
        <v>15337</v>
      </c>
      <c r="I223" s="113" t="s">
        <v>10460</v>
      </c>
      <c r="J223" s="113" t="s">
        <v>15549</v>
      </c>
      <c r="K223" s="114" t="s">
        <v>15550</v>
      </c>
      <c r="L223" s="88"/>
      <c r="M223" s="88"/>
    </row>
    <row r="224">
      <c r="D224" s="113"/>
      <c r="E224" s="113"/>
      <c r="F224" s="114"/>
      <c r="H224" s="88"/>
      <c r="I224" s="113"/>
      <c r="J224" s="113"/>
      <c r="K224" s="114"/>
      <c r="L224" s="88"/>
      <c r="M224" s="88"/>
    </row>
    <row r="225" ht="51">
      <c r="A225" s="69">
        <v>501000100</v>
      </c>
      <c r="B225" s="89" t="s">
        <v>15745</v>
      </c>
      <c r="C225" s="88" t="s">
        <v>38</v>
      </c>
      <c r="D225" s="113"/>
      <c r="E225" s="113"/>
      <c r="F225" s="114">
        <v>164.53999999999999</v>
      </c>
      <c r="H225" s="88" t="s">
        <v>38</v>
      </c>
      <c r="I225" s="113"/>
      <c r="J225" s="113"/>
      <c r="K225" s="114">
        <v>163.19999999999999</v>
      </c>
      <c r="L225" s="88"/>
      <c r="M225" s="88"/>
    </row>
    <row r="226" ht="51">
      <c r="A226" s="69">
        <v>501000102</v>
      </c>
      <c r="B226" s="89" t="s">
        <v>15746</v>
      </c>
      <c r="C226" s="88" t="s">
        <v>38</v>
      </c>
      <c r="D226" s="113"/>
      <c r="E226" s="113"/>
      <c r="F226" s="114">
        <v>307.13999999999999</v>
      </c>
      <c r="H226" s="88" t="s">
        <v>38</v>
      </c>
      <c r="I226" s="113"/>
      <c r="J226" s="113"/>
      <c r="K226" s="114">
        <v>305.04000000000002</v>
      </c>
      <c r="L226" s="88"/>
      <c r="M226" s="88"/>
    </row>
    <row r="227" ht="51">
      <c r="A227" s="69">
        <v>501000104</v>
      </c>
      <c r="B227" s="89" t="s">
        <v>15747</v>
      </c>
      <c r="C227" s="88" t="s">
        <v>38</v>
      </c>
      <c r="D227" s="113"/>
      <c r="E227" s="113"/>
      <c r="F227" s="114">
        <v>496.85000000000002</v>
      </c>
      <c r="H227" s="88" t="s">
        <v>38</v>
      </c>
      <c r="I227" s="113"/>
      <c r="J227" s="113"/>
      <c r="K227" s="114">
        <v>493.97000000000003</v>
      </c>
      <c r="L227" s="88"/>
      <c r="M227" s="88"/>
    </row>
    <row r="228" ht="51">
      <c r="A228" s="69">
        <v>501000106</v>
      </c>
      <c r="B228" s="89" t="s">
        <v>15748</v>
      </c>
      <c r="C228" s="88" t="s">
        <v>38</v>
      </c>
      <c r="D228" s="113"/>
      <c r="E228" s="113"/>
      <c r="F228" s="114">
        <v>590.94000000000005</v>
      </c>
      <c r="H228" s="88" t="s">
        <v>38</v>
      </c>
      <c r="I228" s="113"/>
      <c r="J228" s="113"/>
      <c r="K228" s="114">
        <v>587.26999999999998</v>
      </c>
      <c r="L228" s="88"/>
      <c r="M228" s="88"/>
    </row>
    <row r="229" ht="51">
      <c r="A229" s="69">
        <v>501000108</v>
      </c>
      <c r="B229" s="89" t="s">
        <v>15749</v>
      </c>
      <c r="C229" s="88" t="s">
        <v>38</v>
      </c>
      <c r="D229" s="113"/>
      <c r="E229" s="113"/>
      <c r="F229" s="114">
        <v>858.80999999999995</v>
      </c>
      <c r="H229" s="88" t="s">
        <v>38</v>
      </c>
      <c r="I229" s="113"/>
      <c r="J229" s="113"/>
      <c r="K229" s="114">
        <v>854.33000000000004</v>
      </c>
      <c r="L229" s="88"/>
      <c r="M229" s="88"/>
    </row>
    <row r="230" ht="51">
      <c r="A230" s="69">
        <v>501000110</v>
      </c>
      <c r="B230" s="89" t="s">
        <v>15750</v>
      </c>
      <c r="C230" s="88" t="s">
        <v>38</v>
      </c>
      <c r="D230" s="113"/>
      <c r="E230" s="113"/>
      <c r="F230" s="114">
        <v>1227.53</v>
      </c>
      <c r="H230" s="88" t="s">
        <v>38</v>
      </c>
      <c r="I230" s="113"/>
      <c r="J230" s="113"/>
      <c r="K230" s="114">
        <v>1221.79</v>
      </c>
      <c r="L230" s="88"/>
      <c r="M230" s="88"/>
    </row>
    <row r="231" ht="25.5">
      <c r="A231" s="108">
        <v>501000115</v>
      </c>
      <c r="B231" s="109" t="s">
        <v>15751</v>
      </c>
      <c r="C231" s="110" t="s">
        <v>38</v>
      </c>
      <c r="D231" s="111">
        <v>39.310000000000002</v>
      </c>
      <c r="E231" s="111">
        <v>21.739999999999998</v>
      </c>
      <c r="F231" s="112">
        <v>61.049999999999997</v>
      </c>
      <c r="H231" s="110" t="s">
        <v>38</v>
      </c>
      <c r="I231" s="111">
        <v>39.310000000000002</v>
      </c>
      <c r="J231" s="111">
        <v>20.149999999999999</v>
      </c>
      <c r="K231" s="112">
        <v>59.460000000000001</v>
      </c>
      <c r="L231" s="88"/>
      <c r="M231" s="88"/>
    </row>
    <row r="232" ht="25.5">
      <c r="A232" s="108">
        <v>501000117</v>
      </c>
      <c r="B232" s="109" t="s">
        <v>15752</v>
      </c>
      <c r="C232" s="110" t="s">
        <v>121</v>
      </c>
      <c r="D232" s="111">
        <v>102.83</v>
      </c>
      <c r="E232" s="111">
        <v>20.739999999999998</v>
      </c>
      <c r="F232" s="112">
        <v>123.56999999999999</v>
      </c>
      <c r="H232" s="110" t="s">
        <v>121</v>
      </c>
      <c r="I232" s="111">
        <v>102.83</v>
      </c>
      <c r="J232" s="111">
        <v>19.260000000000002</v>
      </c>
      <c r="K232" s="112">
        <v>122.09</v>
      </c>
      <c r="L232" s="88"/>
      <c r="M232" s="88"/>
    </row>
    <row r="233" ht="38.25">
      <c r="A233" s="69">
        <v>501000125</v>
      </c>
      <c r="B233" s="89" t="s">
        <v>15753</v>
      </c>
      <c r="C233" s="88" t="s">
        <v>29</v>
      </c>
      <c r="D233" s="113"/>
      <c r="E233" s="113"/>
      <c r="F233" s="114">
        <v>173.94</v>
      </c>
      <c r="H233" s="88" t="s">
        <v>29</v>
      </c>
      <c r="I233" s="113"/>
      <c r="J233" s="113"/>
      <c r="K233" s="114">
        <v>171.77000000000001</v>
      </c>
      <c r="L233" s="88"/>
      <c r="M233" s="88"/>
    </row>
    <row r="234" ht="38.25">
      <c r="A234" s="108">
        <v>501000130</v>
      </c>
      <c r="B234" s="109" t="s">
        <v>15754</v>
      </c>
      <c r="C234" s="110" t="s">
        <v>31</v>
      </c>
      <c r="D234" s="111">
        <v>508.77999999999997</v>
      </c>
      <c r="E234" s="111">
        <v>69.730000000000004</v>
      </c>
      <c r="F234" s="112">
        <v>578.50999999999999</v>
      </c>
      <c r="H234" s="110" t="s">
        <v>31</v>
      </c>
      <c r="I234" s="111">
        <v>508.77999999999997</v>
      </c>
      <c r="J234" s="111">
        <v>64.530000000000001</v>
      </c>
      <c r="K234" s="112">
        <v>573.30999999999995</v>
      </c>
      <c r="L234" s="88"/>
      <c r="M234" s="88"/>
    </row>
    <row r="235" ht="25.5">
      <c r="A235" s="108">
        <v>501000135</v>
      </c>
      <c r="B235" s="109" t="s">
        <v>15755</v>
      </c>
      <c r="C235" s="110" t="s">
        <v>121</v>
      </c>
      <c r="D235" s="111">
        <v>0.11</v>
      </c>
      <c r="E235" s="111">
        <v>0</v>
      </c>
      <c r="F235" s="112">
        <v>0.11</v>
      </c>
      <c r="H235" s="110" t="s">
        <v>121</v>
      </c>
      <c r="I235" s="111">
        <v>0.11</v>
      </c>
      <c r="J235" s="111">
        <v>0</v>
      </c>
      <c r="K235" s="112">
        <v>0.11</v>
      </c>
      <c r="L235" s="88"/>
      <c r="M235" s="88"/>
    </row>
    <row r="236" ht="25.5">
      <c r="A236" s="108">
        <v>501000137</v>
      </c>
      <c r="B236" s="109" t="s">
        <v>15756</v>
      </c>
      <c r="C236" s="110" t="s">
        <v>121</v>
      </c>
      <c r="D236" s="111">
        <v>100.72</v>
      </c>
      <c r="E236" s="111">
        <v>207.40000000000001</v>
      </c>
      <c r="F236" s="112">
        <v>308.12</v>
      </c>
      <c r="H236" s="110" t="s">
        <v>121</v>
      </c>
      <c r="I236" s="111">
        <v>100.72</v>
      </c>
      <c r="J236" s="111">
        <v>192.59999999999999</v>
      </c>
      <c r="K236" s="112">
        <v>293.31999999999999</v>
      </c>
      <c r="L236" s="88"/>
      <c r="M236" s="88"/>
    </row>
    <row r="237" ht="38.25">
      <c r="A237" s="69">
        <v>501000139</v>
      </c>
      <c r="B237" s="89" t="s">
        <v>15708</v>
      </c>
      <c r="C237" s="88" t="s">
        <v>121</v>
      </c>
      <c r="D237" s="113"/>
      <c r="E237" s="113"/>
      <c r="F237" s="114">
        <v>565.28999999999996</v>
      </c>
      <c r="H237" s="88" t="s">
        <v>121</v>
      </c>
      <c r="I237" s="113"/>
      <c r="J237" s="113"/>
      <c r="K237" s="114">
        <v>547.12</v>
      </c>
      <c r="L237" s="88"/>
      <c r="M237" s="88"/>
    </row>
    <row r="238" ht="25.5">
      <c r="A238" s="108">
        <v>501000145</v>
      </c>
      <c r="B238" s="109" t="s">
        <v>15757</v>
      </c>
      <c r="C238" s="110" t="s">
        <v>29</v>
      </c>
      <c r="D238" s="111">
        <v>21.77</v>
      </c>
      <c r="E238" s="111">
        <v>36.25</v>
      </c>
      <c r="F238" s="112">
        <v>58.020000000000003</v>
      </c>
      <c r="H238" s="110" t="s">
        <v>29</v>
      </c>
      <c r="I238" s="111">
        <v>21.25</v>
      </c>
      <c r="J238" s="111">
        <v>33.549999999999997</v>
      </c>
      <c r="K238" s="112">
        <v>54.799999999999997</v>
      </c>
      <c r="L238" s="88"/>
      <c r="M238" s="88"/>
    </row>
    <row r="239" ht="25.5">
      <c r="A239" s="108">
        <v>501000147</v>
      </c>
      <c r="B239" s="109" t="s">
        <v>15758</v>
      </c>
      <c r="C239" s="110" t="s">
        <v>31</v>
      </c>
      <c r="D239" s="111">
        <v>3011.8299999999999</v>
      </c>
      <c r="E239" s="111">
        <v>2783.21</v>
      </c>
      <c r="F239" s="112">
        <v>5795.04</v>
      </c>
      <c r="H239" s="110" t="s">
        <v>31</v>
      </c>
      <c r="I239" s="111">
        <v>3011.8299999999999</v>
      </c>
      <c r="J239" s="111">
        <v>2576.75</v>
      </c>
      <c r="K239" s="112">
        <v>5588.5799999999999</v>
      </c>
      <c r="L239" s="88"/>
      <c r="M239" s="88"/>
    </row>
    <row r="240">
      <c r="A240" s="108">
        <v>501000148</v>
      </c>
      <c r="B240" s="109" t="s">
        <v>15759</v>
      </c>
      <c r="C240" s="110" t="s">
        <v>31</v>
      </c>
      <c r="D240" s="111">
        <v>3011.8400000000001</v>
      </c>
      <c r="E240" s="111">
        <v>2783.21</v>
      </c>
      <c r="F240" s="112">
        <v>5795.0500000000002</v>
      </c>
      <c r="H240" s="110" t="s">
        <v>31</v>
      </c>
      <c r="I240" s="111">
        <v>3011.8400000000001</v>
      </c>
      <c r="J240" s="111">
        <v>2576.75</v>
      </c>
      <c r="K240" s="112">
        <v>5588.5900000000001</v>
      </c>
      <c r="L240" s="88"/>
      <c r="M240" s="88"/>
    </row>
    <row r="241">
      <c r="A241" s="108">
        <v>501000150</v>
      </c>
      <c r="B241" s="109" t="s">
        <v>15760</v>
      </c>
      <c r="C241" s="110" t="s">
        <v>31</v>
      </c>
      <c r="D241" s="111">
        <v>3935.4099999999999</v>
      </c>
      <c r="E241" s="111">
        <v>3661.7399999999998</v>
      </c>
      <c r="F241" s="112">
        <v>7597.1499999999996</v>
      </c>
      <c r="H241" s="110" t="s">
        <v>31</v>
      </c>
      <c r="I241" s="111">
        <v>3935.4099999999999</v>
      </c>
      <c r="J241" s="111">
        <v>3390.23</v>
      </c>
      <c r="K241" s="112">
        <v>7325.6400000000003</v>
      </c>
      <c r="L241" s="88"/>
      <c r="M241" s="88"/>
    </row>
    <row r="242">
      <c r="A242" s="108">
        <v>501000151</v>
      </c>
      <c r="B242" s="109" t="s">
        <v>15761</v>
      </c>
      <c r="C242" s="110" t="s">
        <v>31</v>
      </c>
      <c r="D242" s="111">
        <v>4178.4499999999998</v>
      </c>
      <c r="E242" s="111">
        <v>3893.4299999999998</v>
      </c>
      <c r="F242" s="112">
        <v>8071.8800000000001</v>
      </c>
      <c r="H242" s="110" t="s">
        <v>31</v>
      </c>
      <c r="I242" s="111">
        <v>4178.4499999999998</v>
      </c>
      <c r="J242" s="111">
        <v>3604.75</v>
      </c>
      <c r="K242" s="112">
        <v>7783.1999999999998</v>
      </c>
      <c r="L242" s="88"/>
      <c r="M242" s="88"/>
    </row>
    <row r="243">
      <c r="A243" s="108">
        <v>501000152</v>
      </c>
      <c r="B243" s="109" t="s">
        <v>15762</v>
      </c>
      <c r="C243" s="110" t="s">
        <v>31</v>
      </c>
      <c r="D243" s="111">
        <v>4983.0500000000002</v>
      </c>
      <c r="E243" s="111">
        <v>4773.4200000000001</v>
      </c>
      <c r="F243" s="112">
        <v>9756.4699999999993</v>
      </c>
      <c r="H243" s="110" t="s">
        <v>31</v>
      </c>
      <c r="I243" s="111">
        <v>4983.0500000000002</v>
      </c>
      <c r="J243" s="111">
        <v>4419.4799999999996</v>
      </c>
      <c r="K243" s="112">
        <v>9402.5300000000007</v>
      </c>
      <c r="L243" s="88"/>
      <c r="M243" s="88"/>
    </row>
    <row r="244">
      <c r="A244" s="108">
        <v>501000153</v>
      </c>
      <c r="B244" s="109" t="s">
        <v>15763</v>
      </c>
      <c r="C244" s="110" t="s">
        <v>31</v>
      </c>
      <c r="D244" s="111">
        <v>6014.2299999999996</v>
      </c>
      <c r="E244" s="111">
        <v>5907.04</v>
      </c>
      <c r="F244" s="112">
        <v>11921.27</v>
      </c>
      <c r="H244" s="110" t="s">
        <v>31</v>
      </c>
      <c r="I244" s="111">
        <v>6014.2299999999996</v>
      </c>
      <c r="J244" s="111">
        <v>5469.04</v>
      </c>
      <c r="K244" s="112">
        <v>11483.27</v>
      </c>
      <c r="L244" s="88"/>
      <c r="M244" s="88"/>
    </row>
    <row r="245" ht="25.5">
      <c r="A245" s="108">
        <v>501000160</v>
      </c>
      <c r="B245" s="109" t="s">
        <v>15764</v>
      </c>
      <c r="C245" s="110" t="s">
        <v>31</v>
      </c>
      <c r="D245" s="111">
        <v>1921.25</v>
      </c>
      <c r="E245" s="111">
        <v>2904.3699999999999</v>
      </c>
      <c r="F245" s="112">
        <v>4825.6199999999999</v>
      </c>
      <c r="H245" s="110" t="s">
        <v>31</v>
      </c>
      <c r="I245" s="111">
        <v>1921.25</v>
      </c>
      <c r="J245" s="111">
        <v>2691.9299999999998</v>
      </c>
      <c r="K245" s="112">
        <v>4613.1800000000003</v>
      </c>
      <c r="L245" s="88"/>
      <c r="M245" s="88"/>
    </row>
    <row r="246">
      <c r="A246" s="108">
        <v>501000162</v>
      </c>
      <c r="B246" s="109" t="s">
        <v>15765</v>
      </c>
      <c r="C246" s="110" t="s">
        <v>31</v>
      </c>
      <c r="D246" s="111">
        <v>2918.27</v>
      </c>
      <c r="E246" s="111">
        <v>4158.4799999999996</v>
      </c>
      <c r="F246" s="112">
        <v>7076.75</v>
      </c>
      <c r="H246" s="110" t="s">
        <v>31</v>
      </c>
      <c r="I246" s="111">
        <v>2918.27</v>
      </c>
      <c r="J246" s="111">
        <v>3854.1500000000001</v>
      </c>
      <c r="K246" s="112">
        <v>6772.4200000000001</v>
      </c>
      <c r="L246" s="88"/>
      <c r="M246" s="88"/>
    </row>
    <row r="247">
      <c r="D247" s="113"/>
      <c r="E247" s="113"/>
      <c r="F247" s="114"/>
      <c r="H247" s="88"/>
      <c r="I247" s="113"/>
      <c r="J247" s="113"/>
      <c r="K247" s="114"/>
      <c r="L247" s="88"/>
      <c r="M247" s="88"/>
    </row>
    <row r="248">
      <c r="B248" s="102" t="s">
        <v>15766</v>
      </c>
      <c r="D248" s="113"/>
      <c r="E248" s="113"/>
      <c r="F248" s="114"/>
      <c r="H248" s="88"/>
      <c r="I248" s="113"/>
      <c r="J248" s="113"/>
      <c r="K248" s="114"/>
      <c r="L248" s="88"/>
      <c r="M248" s="88"/>
    </row>
    <row r="249">
      <c r="D249" s="113"/>
      <c r="E249" s="113"/>
      <c r="F249" s="114"/>
      <c r="H249" s="88"/>
      <c r="I249" s="113"/>
      <c r="J249" s="113"/>
      <c r="K249" s="114"/>
      <c r="L249" s="88"/>
      <c r="M249" s="88"/>
    </row>
    <row r="250">
      <c r="A250" s="88" t="s">
        <v>15547</v>
      </c>
      <c r="B250" s="89" t="s">
        <v>15548</v>
      </c>
      <c r="C250" s="88" t="s">
        <v>15337</v>
      </c>
      <c r="D250" s="113" t="s">
        <v>10460</v>
      </c>
      <c r="E250" s="113" t="s">
        <v>15549</v>
      </c>
      <c r="F250" s="114" t="s">
        <v>15550</v>
      </c>
      <c r="H250" s="88" t="s">
        <v>15337</v>
      </c>
      <c r="I250" s="113" t="s">
        <v>10460</v>
      </c>
      <c r="J250" s="113" t="s">
        <v>15549</v>
      </c>
      <c r="K250" s="114" t="s">
        <v>15550</v>
      </c>
      <c r="L250" s="88"/>
      <c r="M250" s="88"/>
    </row>
    <row r="251">
      <c r="D251" s="113"/>
      <c r="E251" s="113"/>
      <c r="F251" s="114"/>
      <c r="H251" s="88"/>
      <c r="I251" s="113"/>
      <c r="J251" s="113"/>
      <c r="K251" s="114"/>
      <c r="L251" s="88"/>
      <c r="M251" s="88"/>
    </row>
    <row r="252">
      <c r="B252" s="89" t="s">
        <v>15767</v>
      </c>
      <c r="D252" s="113"/>
      <c r="E252" s="113"/>
      <c r="F252" s="114"/>
      <c r="H252" s="88"/>
      <c r="I252" s="113"/>
      <c r="J252" s="113"/>
      <c r="K252" s="114"/>
      <c r="L252" s="88"/>
      <c r="M252" s="88"/>
    </row>
    <row r="253" ht="38.25">
      <c r="A253" s="108">
        <v>601001000</v>
      </c>
      <c r="B253" s="109" t="s">
        <v>15768</v>
      </c>
      <c r="C253" s="110" t="s">
        <v>29</v>
      </c>
      <c r="D253" s="111">
        <v>46.409999999999997</v>
      </c>
      <c r="E253" s="111">
        <v>62.740000000000002</v>
      </c>
      <c r="F253" s="112">
        <v>109.15000000000001</v>
      </c>
      <c r="H253" s="110" t="s">
        <v>29</v>
      </c>
      <c r="I253" s="111">
        <v>45.649999999999999</v>
      </c>
      <c r="J253" s="111">
        <v>57.890000000000001</v>
      </c>
      <c r="K253" s="112">
        <v>103.54000000000001</v>
      </c>
      <c r="L253" s="88"/>
      <c r="M253" s="88"/>
    </row>
    <row r="254" ht="38.25">
      <c r="A254" s="108">
        <v>601001001</v>
      </c>
      <c r="B254" s="109" t="s">
        <v>15769</v>
      </c>
      <c r="C254" s="110" t="s">
        <v>29</v>
      </c>
      <c r="D254" s="111">
        <v>76.099999999999994</v>
      </c>
      <c r="E254" s="111">
        <v>62.740000000000002</v>
      </c>
      <c r="F254" s="112">
        <v>138.84</v>
      </c>
      <c r="H254" s="110" t="s">
        <v>29</v>
      </c>
      <c r="I254" s="111">
        <v>75.340000000000003</v>
      </c>
      <c r="J254" s="111">
        <v>57.890000000000001</v>
      </c>
      <c r="K254" s="112">
        <v>133.22999999999999</v>
      </c>
      <c r="L254" s="88"/>
      <c r="M254" s="88"/>
    </row>
    <row r="255" ht="38.25">
      <c r="A255" s="108">
        <v>601001007</v>
      </c>
      <c r="B255" s="109" t="s">
        <v>15770</v>
      </c>
      <c r="C255" s="110" t="s">
        <v>29</v>
      </c>
      <c r="D255" s="111">
        <v>76.280000000000001</v>
      </c>
      <c r="E255" s="111">
        <v>40.369999999999997</v>
      </c>
      <c r="F255" s="112">
        <v>116.65000000000001</v>
      </c>
      <c r="H255" s="110" t="s">
        <v>29</v>
      </c>
      <c r="I255" s="111">
        <v>75.519999999999996</v>
      </c>
      <c r="J255" s="111">
        <v>37.25</v>
      </c>
      <c r="K255" s="112">
        <v>112.77</v>
      </c>
      <c r="L255" s="88"/>
      <c r="M255" s="88"/>
    </row>
    <row r="256" ht="38.25">
      <c r="A256" s="108">
        <v>601001008</v>
      </c>
      <c r="B256" s="109" t="s">
        <v>15771</v>
      </c>
      <c r="C256" s="110" t="s">
        <v>29</v>
      </c>
      <c r="D256" s="111">
        <v>47.630000000000003</v>
      </c>
      <c r="E256" s="111">
        <v>40.369999999999997</v>
      </c>
      <c r="F256" s="112">
        <v>88</v>
      </c>
      <c r="H256" s="110" t="s">
        <v>29</v>
      </c>
      <c r="I256" s="111">
        <v>46.869999999999997</v>
      </c>
      <c r="J256" s="111">
        <v>37.25</v>
      </c>
      <c r="K256" s="112">
        <v>84.120000000000005</v>
      </c>
      <c r="L256" s="88"/>
      <c r="M256" s="88"/>
    </row>
    <row r="257" ht="38.25">
      <c r="A257" s="108">
        <v>601001012</v>
      </c>
      <c r="B257" s="109" t="s">
        <v>15772</v>
      </c>
      <c r="C257" s="110" t="s">
        <v>29</v>
      </c>
      <c r="D257" s="111">
        <v>98.069999999999993</v>
      </c>
      <c r="E257" s="111">
        <v>40.369999999999997</v>
      </c>
      <c r="F257" s="112">
        <v>138.44</v>
      </c>
      <c r="H257" s="110" t="s">
        <v>29</v>
      </c>
      <c r="I257" s="111">
        <v>97.310000000000002</v>
      </c>
      <c r="J257" s="111">
        <v>37.25</v>
      </c>
      <c r="K257" s="112">
        <v>134.56</v>
      </c>
      <c r="L257" s="88"/>
      <c r="M257" s="88"/>
    </row>
    <row r="258" ht="38.25">
      <c r="A258" s="108">
        <v>601001013</v>
      </c>
      <c r="B258" s="109" t="s">
        <v>15773</v>
      </c>
      <c r="C258" s="110" t="s">
        <v>29</v>
      </c>
      <c r="D258" s="111">
        <v>58.520000000000003</v>
      </c>
      <c r="E258" s="111">
        <v>40.369999999999997</v>
      </c>
      <c r="F258" s="112">
        <v>98.890000000000001</v>
      </c>
      <c r="H258" s="110" t="s">
        <v>29</v>
      </c>
      <c r="I258" s="111">
        <v>57.759999999999998</v>
      </c>
      <c r="J258" s="111">
        <v>37.25</v>
      </c>
      <c r="K258" s="112">
        <v>95.010000000000005</v>
      </c>
      <c r="L258" s="88"/>
      <c r="M258" s="88"/>
    </row>
    <row r="259" ht="38.25">
      <c r="A259" s="69">
        <v>601001014</v>
      </c>
      <c r="B259" s="89" t="s">
        <v>15774</v>
      </c>
      <c r="C259" s="88" t="s">
        <v>29</v>
      </c>
      <c r="D259" s="113"/>
      <c r="E259" s="113"/>
      <c r="F259" s="114">
        <v>155.38</v>
      </c>
      <c r="H259" s="88" t="s">
        <v>29</v>
      </c>
      <c r="I259" s="113"/>
      <c r="J259" s="113"/>
      <c r="K259" s="114">
        <v>148.94</v>
      </c>
      <c r="L259" s="88"/>
      <c r="M259" s="88"/>
    </row>
    <row r="260" ht="25.5">
      <c r="A260" s="108">
        <v>601001016</v>
      </c>
      <c r="B260" s="109" t="s">
        <v>15775</v>
      </c>
      <c r="C260" s="110" t="s">
        <v>121</v>
      </c>
      <c r="D260" s="111">
        <v>15.52</v>
      </c>
      <c r="E260" s="111">
        <v>33.729999999999997</v>
      </c>
      <c r="F260" s="112">
        <v>49.25</v>
      </c>
      <c r="H260" s="110" t="s">
        <v>121</v>
      </c>
      <c r="I260" s="111">
        <v>15.52</v>
      </c>
      <c r="J260" s="111">
        <v>31.210000000000001</v>
      </c>
      <c r="K260" s="112">
        <v>46.729999999999997</v>
      </c>
      <c r="L260" s="88"/>
      <c r="M260" s="88"/>
    </row>
    <row r="261">
      <c r="A261" s="108">
        <v>601001018</v>
      </c>
      <c r="B261" s="109" t="s">
        <v>15776</v>
      </c>
      <c r="C261" s="110" t="s">
        <v>121</v>
      </c>
      <c r="D261" s="111">
        <v>16.469999999999999</v>
      </c>
      <c r="E261" s="111">
        <v>43.009999999999998</v>
      </c>
      <c r="F261" s="112">
        <v>59.479999999999997</v>
      </c>
      <c r="H261" s="110" t="s">
        <v>121</v>
      </c>
      <c r="I261" s="111">
        <v>16.469999999999999</v>
      </c>
      <c r="J261" s="111">
        <v>39.780000000000001</v>
      </c>
      <c r="K261" s="112">
        <v>56.25</v>
      </c>
      <c r="L261" s="88"/>
      <c r="M261" s="88"/>
    </row>
    <row r="262">
      <c r="D262" s="113"/>
      <c r="E262" s="113"/>
      <c r="F262" s="114"/>
      <c r="H262" s="88"/>
      <c r="I262" s="113"/>
      <c r="J262" s="113"/>
      <c r="K262" s="114"/>
      <c r="L262" s="88"/>
      <c r="M262" s="88"/>
    </row>
    <row r="263">
      <c r="B263" s="89" t="s">
        <v>15777</v>
      </c>
      <c r="D263" s="113"/>
      <c r="E263" s="113"/>
      <c r="F263" s="114"/>
      <c r="H263" s="88"/>
      <c r="I263" s="113"/>
      <c r="J263" s="113"/>
      <c r="K263" s="114"/>
      <c r="L263" s="88"/>
      <c r="M263" s="88"/>
    </row>
    <row r="264" ht="25.5">
      <c r="A264" s="108">
        <v>601002010</v>
      </c>
      <c r="B264" s="109" t="s">
        <v>15778</v>
      </c>
      <c r="C264" s="110" t="s">
        <v>29</v>
      </c>
      <c r="D264" s="111">
        <v>14.529999999999999</v>
      </c>
      <c r="E264" s="111">
        <v>1.3500000000000001</v>
      </c>
      <c r="F264" s="112">
        <v>15.880000000000001</v>
      </c>
      <c r="H264" s="110" t="s">
        <v>29</v>
      </c>
      <c r="I264" s="111">
        <v>14.529999999999999</v>
      </c>
      <c r="J264" s="111">
        <v>1.25</v>
      </c>
      <c r="K264" s="112">
        <v>15.779999999999999</v>
      </c>
      <c r="L264" s="88"/>
      <c r="M264" s="88"/>
    </row>
    <row r="265" ht="25.5">
      <c r="A265" s="108">
        <v>601002015</v>
      </c>
      <c r="B265" s="109" t="s">
        <v>15779</v>
      </c>
      <c r="C265" s="110" t="s">
        <v>29</v>
      </c>
      <c r="D265" s="111">
        <v>21.59</v>
      </c>
      <c r="E265" s="111">
        <v>0.77000000000000002</v>
      </c>
      <c r="F265" s="112">
        <v>22.359999999999999</v>
      </c>
      <c r="H265" s="110" t="s">
        <v>29</v>
      </c>
      <c r="I265" s="111">
        <v>21.59</v>
      </c>
      <c r="J265" s="111">
        <v>0.69999999999999996</v>
      </c>
      <c r="K265" s="112">
        <v>22.289999999999999</v>
      </c>
      <c r="L265" s="88"/>
      <c r="M265" s="88"/>
    </row>
    <row r="266" ht="38.25">
      <c r="A266" s="108">
        <v>601002100</v>
      </c>
      <c r="B266" s="109" t="s">
        <v>15780</v>
      </c>
      <c r="C266" s="110" t="s">
        <v>302</v>
      </c>
      <c r="D266" s="111">
        <v>10.02</v>
      </c>
      <c r="E266" s="111">
        <v>9.0199999999999996</v>
      </c>
      <c r="F266" s="112">
        <v>19.039999999999999</v>
      </c>
      <c r="H266" s="110" t="s">
        <v>302</v>
      </c>
      <c r="I266" s="111">
        <v>10.02</v>
      </c>
      <c r="J266" s="111">
        <v>8.3300000000000001</v>
      </c>
      <c r="K266" s="112">
        <v>18.350000000000001</v>
      </c>
      <c r="L266" s="88"/>
      <c r="M266" s="88"/>
    </row>
    <row r="267" ht="38.25">
      <c r="A267" s="108">
        <v>601002105</v>
      </c>
      <c r="B267" s="109" t="s">
        <v>15781</v>
      </c>
      <c r="C267" s="110" t="s">
        <v>302</v>
      </c>
      <c r="D267" s="111">
        <v>10.02</v>
      </c>
      <c r="E267" s="111">
        <v>8</v>
      </c>
      <c r="F267" s="112">
        <v>18.02</v>
      </c>
      <c r="H267" s="110" t="s">
        <v>302</v>
      </c>
      <c r="I267" s="111">
        <v>10.02</v>
      </c>
      <c r="J267" s="111">
        <v>7.3799999999999999</v>
      </c>
      <c r="K267" s="112">
        <v>17.399999999999999</v>
      </c>
      <c r="L267" s="88"/>
      <c r="M267" s="88"/>
    </row>
    <row r="268" ht="38.25">
      <c r="A268" s="108">
        <v>601002110</v>
      </c>
      <c r="B268" s="109" t="s">
        <v>15782</v>
      </c>
      <c r="C268" s="110" t="s">
        <v>302</v>
      </c>
      <c r="D268" s="111">
        <v>10.9</v>
      </c>
      <c r="E268" s="111">
        <v>5.79</v>
      </c>
      <c r="F268" s="112">
        <v>16.690000000000001</v>
      </c>
      <c r="H268" s="110" t="s">
        <v>302</v>
      </c>
      <c r="I268" s="111">
        <v>10.9</v>
      </c>
      <c r="J268" s="111">
        <v>5.3499999999999996</v>
      </c>
      <c r="K268" s="112">
        <v>16.25</v>
      </c>
      <c r="L268" s="88"/>
      <c r="M268" s="88"/>
    </row>
    <row r="269" ht="38.25">
      <c r="A269" s="108">
        <v>601002115</v>
      </c>
      <c r="B269" s="109" t="s">
        <v>15783</v>
      </c>
      <c r="C269" s="110" t="s">
        <v>302</v>
      </c>
      <c r="D269" s="111">
        <v>11.220000000000001</v>
      </c>
      <c r="E269" s="111">
        <v>4.21</v>
      </c>
      <c r="F269" s="112">
        <v>15.43</v>
      </c>
      <c r="H269" s="110" t="s">
        <v>302</v>
      </c>
      <c r="I269" s="111">
        <v>11.220000000000001</v>
      </c>
      <c r="J269" s="111">
        <v>3.8900000000000001</v>
      </c>
      <c r="K269" s="112">
        <v>15.109999999999999</v>
      </c>
      <c r="L269" s="88"/>
      <c r="M269" s="88"/>
    </row>
    <row r="270" ht="38.25">
      <c r="A270" s="108">
        <v>601002120</v>
      </c>
      <c r="B270" s="109" t="s">
        <v>15784</v>
      </c>
      <c r="C270" s="110" t="s">
        <v>302</v>
      </c>
      <c r="D270" s="111">
        <v>10.56</v>
      </c>
      <c r="E270" s="111">
        <v>3.1400000000000001</v>
      </c>
      <c r="F270" s="112">
        <v>13.699999999999999</v>
      </c>
      <c r="H270" s="110" t="s">
        <v>302</v>
      </c>
      <c r="I270" s="111">
        <v>10.56</v>
      </c>
      <c r="J270" s="111">
        <v>2.8900000000000001</v>
      </c>
      <c r="K270" s="112">
        <v>13.449999999999999</v>
      </c>
      <c r="L270" s="88"/>
      <c r="M270" s="88"/>
    </row>
    <row r="271" ht="38.25">
      <c r="A271" s="108">
        <v>601002125</v>
      </c>
      <c r="B271" s="109" t="s">
        <v>15785</v>
      </c>
      <c r="C271" s="110" t="s">
        <v>302</v>
      </c>
      <c r="D271" s="111">
        <v>9.1899999999999995</v>
      </c>
      <c r="E271" s="111">
        <v>2.3399999999999999</v>
      </c>
      <c r="F271" s="112">
        <v>11.529999999999999</v>
      </c>
      <c r="H271" s="110" t="s">
        <v>302</v>
      </c>
      <c r="I271" s="111">
        <v>9.1899999999999995</v>
      </c>
      <c r="J271" s="111">
        <v>2.1499999999999999</v>
      </c>
      <c r="K271" s="112">
        <v>11.34</v>
      </c>
      <c r="L271" s="88"/>
      <c r="M271" s="88"/>
    </row>
    <row r="272" ht="38.25">
      <c r="A272" s="108">
        <v>601002130</v>
      </c>
      <c r="B272" s="109" t="s">
        <v>15786</v>
      </c>
      <c r="C272" s="110" t="s">
        <v>302</v>
      </c>
      <c r="D272" s="111">
        <v>9.1699999999999999</v>
      </c>
      <c r="E272" s="111">
        <v>1.6499999999999999</v>
      </c>
      <c r="F272" s="112">
        <v>10.82</v>
      </c>
      <c r="H272" s="110" t="s">
        <v>302</v>
      </c>
      <c r="I272" s="111">
        <v>9.1699999999999999</v>
      </c>
      <c r="J272" s="111">
        <v>1.53</v>
      </c>
      <c r="K272" s="112">
        <v>10.699999999999999</v>
      </c>
      <c r="L272" s="88"/>
      <c r="M272" s="88"/>
    </row>
    <row r="273" ht="38.25">
      <c r="A273" s="108">
        <v>601002135</v>
      </c>
      <c r="B273" s="109" t="s">
        <v>15787</v>
      </c>
      <c r="C273" s="110" t="s">
        <v>302</v>
      </c>
      <c r="D273" s="111">
        <v>10.74</v>
      </c>
      <c r="E273" s="111">
        <v>1.21</v>
      </c>
      <c r="F273" s="112">
        <v>11.949999999999999</v>
      </c>
      <c r="H273" s="110" t="s">
        <v>302</v>
      </c>
      <c r="I273" s="111">
        <v>10.74</v>
      </c>
      <c r="J273" s="111">
        <v>1.1200000000000001</v>
      </c>
      <c r="K273" s="112">
        <v>11.859999999999999</v>
      </c>
      <c r="L273" s="88"/>
      <c r="M273" s="88"/>
    </row>
    <row r="274" ht="38.25">
      <c r="A274" s="108">
        <v>601002150</v>
      </c>
      <c r="B274" s="109" t="s">
        <v>15788</v>
      </c>
      <c r="C274" s="110" t="s">
        <v>302</v>
      </c>
      <c r="D274" s="111">
        <v>9.8499999999999996</v>
      </c>
      <c r="E274" s="111">
        <v>5.7999999999999998</v>
      </c>
      <c r="F274" s="112">
        <v>15.65</v>
      </c>
      <c r="H274" s="110" t="s">
        <v>302</v>
      </c>
      <c r="I274" s="111">
        <v>9.8499999999999996</v>
      </c>
      <c r="J274" s="111">
        <v>5.3600000000000003</v>
      </c>
      <c r="K274" s="112">
        <v>15.210000000000001</v>
      </c>
      <c r="L274" s="88"/>
      <c r="M274" s="88"/>
    </row>
    <row r="275" ht="38.25">
      <c r="A275" s="108">
        <v>601002155</v>
      </c>
      <c r="B275" s="109" t="s">
        <v>15789</v>
      </c>
      <c r="C275" s="110" t="s">
        <v>302</v>
      </c>
      <c r="D275" s="111">
        <v>9.8499999999999996</v>
      </c>
      <c r="E275" s="111">
        <v>4.7800000000000002</v>
      </c>
      <c r="F275" s="112">
        <v>14.630000000000001</v>
      </c>
      <c r="H275" s="110" t="s">
        <v>302</v>
      </c>
      <c r="I275" s="111">
        <v>9.8499999999999996</v>
      </c>
      <c r="J275" s="111">
        <v>4.4199999999999999</v>
      </c>
      <c r="K275" s="112">
        <v>14.27</v>
      </c>
      <c r="L275" s="88"/>
      <c r="M275" s="88"/>
    </row>
    <row r="276" ht="38.25">
      <c r="A276" s="108">
        <v>601002160</v>
      </c>
      <c r="B276" s="109" t="s">
        <v>15790</v>
      </c>
      <c r="C276" s="110" t="s">
        <v>302</v>
      </c>
      <c r="D276" s="111">
        <v>10.85</v>
      </c>
      <c r="E276" s="111">
        <v>3.1899999999999999</v>
      </c>
      <c r="F276" s="112">
        <v>14.039999999999999</v>
      </c>
      <c r="H276" s="110" t="s">
        <v>302</v>
      </c>
      <c r="I276" s="111">
        <v>10.85</v>
      </c>
      <c r="J276" s="111">
        <v>2.9399999999999999</v>
      </c>
      <c r="K276" s="112">
        <v>13.789999999999999</v>
      </c>
      <c r="L276" s="88"/>
      <c r="M276" s="88"/>
    </row>
    <row r="277" ht="38.25">
      <c r="A277" s="108">
        <v>601002165</v>
      </c>
      <c r="B277" s="109" t="s">
        <v>15791</v>
      </c>
      <c r="C277" s="110" t="s">
        <v>302</v>
      </c>
      <c r="D277" s="111">
        <v>11.23</v>
      </c>
      <c r="E277" s="111">
        <v>2.0899999999999999</v>
      </c>
      <c r="F277" s="112">
        <v>13.32</v>
      </c>
      <c r="H277" s="110" t="s">
        <v>302</v>
      </c>
      <c r="I277" s="111">
        <v>11.23</v>
      </c>
      <c r="J277" s="111">
        <v>1.9299999999999999</v>
      </c>
      <c r="K277" s="112">
        <v>13.16</v>
      </c>
      <c r="L277" s="88"/>
      <c r="M277" s="88"/>
    </row>
    <row r="278" ht="38.25">
      <c r="A278" s="108">
        <v>601002170</v>
      </c>
      <c r="B278" s="109" t="s">
        <v>15792</v>
      </c>
      <c r="C278" s="110" t="s">
        <v>302</v>
      </c>
      <c r="D278" s="111">
        <v>10.57</v>
      </c>
      <c r="E278" s="111">
        <v>1.3799999999999999</v>
      </c>
      <c r="F278" s="112">
        <v>11.949999999999999</v>
      </c>
      <c r="H278" s="110" t="s">
        <v>302</v>
      </c>
      <c r="I278" s="111">
        <v>10.57</v>
      </c>
      <c r="J278" s="111">
        <v>1.28</v>
      </c>
      <c r="K278" s="112">
        <v>11.85</v>
      </c>
      <c r="L278" s="88"/>
      <c r="M278" s="88"/>
    </row>
    <row r="279" ht="38.25">
      <c r="A279" s="108">
        <v>601002175</v>
      </c>
      <c r="B279" s="109" t="s">
        <v>15793</v>
      </c>
      <c r="C279" s="110" t="s">
        <v>302</v>
      </c>
      <c r="D279" s="111">
        <v>9.2100000000000009</v>
      </c>
      <c r="E279" s="111">
        <v>0.87</v>
      </c>
      <c r="F279" s="112">
        <v>10.08</v>
      </c>
      <c r="H279" s="110" t="s">
        <v>302</v>
      </c>
      <c r="I279" s="111">
        <v>9.2100000000000009</v>
      </c>
      <c r="J279" s="111">
        <v>0.80000000000000004</v>
      </c>
      <c r="K279" s="112">
        <v>10.01</v>
      </c>
      <c r="L279" s="88"/>
      <c r="M279" s="88"/>
    </row>
    <row r="280" ht="38.25">
      <c r="A280" s="108">
        <v>601002180</v>
      </c>
      <c r="B280" s="109" t="s">
        <v>15794</v>
      </c>
      <c r="C280" s="110" t="s">
        <v>302</v>
      </c>
      <c r="D280" s="111">
        <v>9.1699999999999999</v>
      </c>
      <c r="E280" s="111">
        <v>0.60999999999999999</v>
      </c>
      <c r="F280" s="112">
        <v>9.7799999999999994</v>
      </c>
      <c r="H280" s="110" t="s">
        <v>302</v>
      </c>
      <c r="I280" s="111">
        <v>9.1699999999999999</v>
      </c>
      <c r="J280" s="111">
        <v>0.56999999999999995</v>
      </c>
      <c r="K280" s="112">
        <v>9.7400000000000002</v>
      </c>
      <c r="L280" s="88"/>
      <c r="M280" s="88"/>
    </row>
    <row r="281" ht="38.25">
      <c r="A281" s="108">
        <v>601002185</v>
      </c>
      <c r="B281" s="109" t="s">
        <v>15795</v>
      </c>
      <c r="C281" s="110" t="s">
        <v>302</v>
      </c>
      <c r="D281" s="111">
        <v>10.74</v>
      </c>
      <c r="E281" s="111">
        <v>0.46999999999999997</v>
      </c>
      <c r="F281" s="112">
        <v>11.210000000000001</v>
      </c>
      <c r="H281" s="110" t="s">
        <v>302</v>
      </c>
      <c r="I281" s="111">
        <v>10.74</v>
      </c>
      <c r="J281" s="111">
        <v>0.41999999999999998</v>
      </c>
      <c r="K281" s="112">
        <v>11.16</v>
      </c>
      <c r="L281" s="88"/>
      <c r="M281" s="88"/>
    </row>
    <row r="282">
      <c r="D282" s="113"/>
      <c r="E282" s="113"/>
      <c r="F282" s="114"/>
      <c r="H282" s="88"/>
      <c r="I282" s="113"/>
      <c r="J282" s="113"/>
      <c r="K282" s="114"/>
      <c r="L282" s="88"/>
      <c r="M282" s="88"/>
    </row>
    <row r="283">
      <c r="B283" s="89" t="s">
        <v>15796</v>
      </c>
      <c r="D283" s="113"/>
      <c r="E283" s="113"/>
      <c r="F283" s="114"/>
      <c r="H283" s="88"/>
      <c r="I283" s="113"/>
      <c r="J283" s="113"/>
      <c r="K283" s="114"/>
      <c r="L283" s="88"/>
      <c r="M283" s="88"/>
    </row>
    <row r="284" ht="38.25">
      <c r="A284" s="69">
        <v>601003000</v>
      </c>
      <c r="B284" s="89" t="s">
        <v>15797</v>
      </c>
      <c r="C284" s="88" t="s">
        <v>121</v>
      </c>
      <c r="D284" s="113"/>
      <c r="E284" s="113"/>
      <c r="F284" s="114">
        <v>170.65000000000001</v>
      </c>
      <c r="H284" s="88" t="s">
        <v>121</v>
      </c>
      <c r="I284" s="113"/>
      <c r="J284" s="113"/>
      <c r="K284" s="114">
        <v>166.58000000000001</v>
      </c>
      <c r="L284" s="88"/>
      <c r="M284" s="88"/>
    </row>
    <row r="285" ht="38.25">
      <c r="A285" s="69">
        <v>601003004</v>
      </c>
      <c r="B285" s="89" t="s">
        <v>15798</v>
      </c>
      <c r="C285" s="88" t="s">
        <v>121</v>
      </c>
      <c r="D285" s="113"/>
      <c r="E285" s="113"/>
      <c r="F285" s="114">
        <v>436.12</v>
      </c>
      <c r="H285" s="88" t="s">
        <v>121</v>
      </c>
      <c r="I285" s="113"/>
      <c r="J285" s="113"/>
      <c r="K285" s="114">
        <v>426.81999999999999</v>
      </c>
      <c r="L285" s="88"/>
      <c r="M285" s="88"/>
    </row>
    <row r="286" ht="25.5">
      <c r="A286" s="108">
        <v>601003006</v>
      </c>
      <c r="B286" s="109" t="s">
        <v>15799</v>
      </c>
      <c r="C286" s="110" t="s">
        <v>121</v>
      </c>
      <c r="D286" s="111">
        <v>0.41999999999999998</v>
      </c>
      <c r="E286" s="111">
        <v>135.81</v>
      </c>
      <c r="F286" s="112">
        <v>136.22999999999999</v>
      </c>
      <c r="H286" s="110" t="s">
        <v>121</v>
      </c>
      <c r="I286" s="111">
        <v>0.41999999999999998</v>
      </c>
      <c r="J286" s="111">
        <v>125.87</v>
      </c>
      <c r="K286" s="112">
        <v>126.29000000000001</v>
      </c>
      <c r="L286" s="88"/>
      <c r="M286" s="88"/>
    </row>
    <row r="287" ht="25.5">
      <c r="A287" s="108">
        <v>601003008</v>
      </c>
      <c r="B287" s="109" t="s">
        <v>15800</v>
      </c>
      <c r="C287" s="110" t="s">
        <v>121</v>
      </c>
      <c r="D287" s="111">
        <v>0.92000000000000004</v>
      </c>
      <c r="E287" s="111">
        <v>135.81</v>
      </c>
      <c r="F287" s="112">
        <v>136.72999999999999</v>
      </c>
      <c r="H287" s="110" t="s">
        <v>121</v>
      </c>
      <c r="I287" s="111">
        <v>0.92000000000000004</v>
      </c>
      <c r="J287" s="111">
        <v>125.87</v>
      </c>
      <c r="K287" s="112">
        <v>126.79000000000001</v>
      </c>
      <c r="L287" s="88"/>
      <c r="M287" s="88"/>
    </row>
    <row r="288" ht="38.25">
      <c r="A288" s="69">
        <v>601003016</v>
      </c>
      <c r="B288" s="89" t="s">
        <v>15801</v>
      </c>
      <c r="C288" s="88" t="s">
        <v>121</v>
      </c>
      <c r="D288" s="113"/>
      <c r="E288" s="113"/>
      <c r="F288" s="114">
        <v>429.69</v>
      </c>
      <c r="H288" s="88" t="s">
        <v>121</v>
      </c>
      <c r="I288" s="113"/>
      <c r="J288" s="113"/>
      <c r="K288" s="114">
        <v>423.13999999999999</v>
      </c>
      <c r="L288" s="88"/>
      <c r="M288" s="88"/>
    </row>
    <row r="289" ht="38.25">
      <c r="A289" s="69">
        <v>601003019</v>
      </c>
      <c r="B289" s="89" t="s">
        <v>15802</v>
      </c>
      <c r="C289" s="88" t="s">
        <v>121</v>
      </c>
      <c r="D289" s="113"/>
      <c r="E289" s="113"/>
      <c r="F289" s="114">
        <v>472.94</v>
      </c>
      <c r="H289" s="88" t="s">
        <v>121</v>
      </c>
      <c r="I289" s="113"/>
      <c r="J289" s="113"/>
      <c r="K289" s="114">
        <v>465.80000000000001</v>
      </c>
      <c r="L289" s="88"/>
      <c r="M289" s="88"/>
    </row>
    <row r="290" ht="38.25">
      <c r="A290" s="69">
        <v>601003025</v>
      </c>
      <c r="B290" s="89" t="s">
        <v>15803</v>
      </c>
      <c r="C290" s="88" t="s">
        <v>121</v>
      </c>
      <c r="D290" s="113"/>
      <c r="E290" s="113"/>
      <c r="F290" s="114">
        <v>493.12</v>
      </c>
      <c r="H290" s="88" t="s">
        <v>121</v>
      </c>
      <c r="I290" s="113"/>
      <c r="J290" s="113"/>
      <c r="K290" s="114">
        <v>486.61000000000001</v>
      </c>
      <c r="L290" s="88"/>
      <c r="M290" s="88"/>
    </row>
    <row r="291" ht="38.25">
      <c r="A291" s="108">
        <v>601003050</v>
      </c>
      <c r="B291" s="109" t="s">
        <v>15804</v>
      </c>
      <c r="C291" s="110" t="s">
        <v>121</v>
      </c>
      <c r="D291" s="111">
        <v>580.12</v>
      </c>
      <c r="E291" s="111">
        <v>0</v>
      </c>
      <c r="F291" s="112">
        <v>580.12</v>
      </c>
      <c r="H291" s="110" t="s">
        <v>121</v>
      </c>
      <c r="I291" s="111">
        <v>580.12</v>
      </c>
      <c r="J291" s="111">
        <v>0</v>
      </c>
      <c r="K291" s="112">
        <v>580.12</v>
      </c>
      <c r="L291" s="88"/>
      <c r="M291" s="88"/>
    </row>
    <row r="292" ht="38.25">
      <c r="A292" s="108">
        <v>601003054</v>
      </c>
      <c r="B292" s="109" t="s">
        <v>15805</v>
      </c>
      <c r="C292" s="110" t="s">
        <v>121</v>
      </c>
      <c r="D292" s="111">
        <v>596.47000000000003</v>
      </c>
      <c r="E292" s="111">
        <v>0</v>
      </c>
      <c r="F292" s="112">
        <v>596.47000000000003</v>
      </c>
      <c r="H292" s="110" t="s">
        <v>121</v>
      </c>
      <c r="I292" s="111">
        <v>596.47000000000003</v>
      </c>
      <c r="J292" s="111">
        <v>0</v>
      </c>
      <c r="K292" s="112">
        <v>596.47000000000003</v>
      </c>
      <c r="L292" s="88"/>
      <c r="M292" s="88"/>
    </row>
    <row r="293" ht="38.25">
      <c r="A293" s="108">
        <v>601003058</v>
      </c>
      <c r="B293" s="109" t="s">
        <v>15806</v>
      </c>
      <c r="C293" s="110" t="s">
        <v>121</v>
      </c>
      <c r="D293" s="111">
        <v>616.36000000000001</v>
      </c>
      <c r="E293" s="111">
        <v>0</v>
      </c>
      <c r="F293" s="112">
        <v>616.36000000000001</v>
      </c>
      <c r="H293" s="110" t="s">
        <v>121</v>
      </c>
      <c r="I293" s="111">
        <v>616.36000000000001</v>
      </c>
      <c r="J293" s="111">
        <v>0</v>
      </c>
      <c r="K293" s="112">
        <v>616.36000000000001</v>
      </c>
      <c r="L293" s="88"/>
      <c r="M293" s="88"/>
    </row>
    <row r="294" ht="25.5">
      <c r="A294" s="108">
        <v>601003200</v>
      </c>
      <c r="B294" s="109" t="s">
        <v>15807</v>
      </c>
      <c r="C294" s="110" t="s">
        <v>121</v>
      </c>
      <c r="D294" s="111">
        <v>56.950000000000003</v>
      </c>
      <c r="E294" s="111">
        <v>34.880000000000003</v>
      </c>
      <c r="F294" s="112">
        <v>91.829999999999998</v>
      </c>
      <c r="H294" s="110" t="s">
        <v>121</v>
      </c>
      <c r="I294" s="111">
        <v>56.950000000000003</v>
      </c>
      <c r="J294" s="111">
        <v>32.32</v>
      </c>
      <c r="K294" s="112">
        <v>89.269999999999996</v>
      </c>
      <c r="L294" s="88"/>
      <c r="M294" s="88"/>
    </row>
    <row r="295">
      <c r="D295" s="113"/>
      <c r="E295" s="113"/>
      <c r="F295" s="114"/>
      <c r="H295" s="88"/>
      <c r="I295" s="113"/>
      <c r="J295" s="113"/>
      <c r="K295" s="114"/>
      <c r="L295" s="88"/>
      <c r="M295" s="88"/>
    </row>
    <row r="296">
      <c r="B296" s="89" t="s">
        <v>15808</v>
      </c>
      <c r="D296" s="113"/>
      <c r="E296" s="113"/>
      <c r="F296" s="114"/>
      <c r="H296" s="88"/>
      <c r="I296" s="113"/>
      <c r="J296" s="113"/>
      <c r="K296" s="114"/>
      <c r="L296" s="88"/>
      <c r="M296" s="88"/>
    </row>
    <row r="297" ht="63.75">
      <c r="A297" s="108">
        <v>601004000</v>
      </c>
      <c r="B297" s="109" t="s">
        <v>15809</v>
      </c>
      <c r="C297" s="110" t="s">
        <v>29</v>
      </c>
      <c r="D297" s="111">
        <v>91.379999999999995</v>
      </c>
      <c r="E297" s="111">
        <v>20.239999999999998</v>
      </c>
      <c r="F297" s="112">
        <v>111.62</v>
      </c>
      <c r="H297" s="110" t="s">
        <v>29</v>
      </c>
      <c r="I297" s="111">
        <v>91.25</v>
      </c>
      <c r="J297" s="111">
        <v>18.710000000000001</v>
      </c>
      <c r="K297" s="112">
        <v>109.95999999999999</v>
      </c>
      <c r="L297" s="88"/>
      <c r="M297" s="88"/>
    </row>
    <row r="298" ht="63.75">
      <c r="A298" s="108">
        <v>601004004</v>
      </c>
      <c r="B298" s="109" t="s">
        <v>15810</v>
      </c>
      <c r="C298" s="110" t="s">
        <v>29</v>
      </c>
      <c r="D298" s="111">
        <v>120.56</v>
      </c>
      <c r="E298" s="111">
        <v>20.239999999999998</v>
      </c>
      <c r="F298" s="112">
        <v>140.80000000000001</v>
      </c>
      <c r="H298" s="110" t="s">
        <v>29</v>
      </c>
      <c r="I298" s="111">
        <v>120.40000000000001</v>
      </c>
      <c r="J298" s="111">
        <v>18.710000000000001</v>
      </c>
      <c r="K298" s="112">
        <v>139.11000000000001</v>
      </c>
      <c r="L298" s="88"/>
      <c r="M298" s="88"/>
    </row>
    <row r="299" ht="63.75">
      <c r="A299" s="108">
        <v>601004008</v>
      </c>
      <c r="B299" s="109" t="s">
        <v>15811</v>
      </c>
      <c r="C299" s="110" t="s">
        <v>29</v>
      </c>
      <c r="D299" s="111">
        <v>143.44</v>
      </c>
      <c r="E299" s="111">
        <v>20.239999999999998</v>
      </c>
      <c r="F299" s="112">
        <v>163.68000000000001</v>
      </c>
      <c r="H299" s="110" t="s">
        <v>29</v>
      </c>
      <c r="I299" s="111">
        <v>143.25</v>
      </c>
      <c r="J299" s="111">
        <v>18.710000000000001</v>
      </c>
      <c r="K299" s="112">
        <v>161.96000000000001</v>
      </c>
      <c r="L299" s="88"/>
      <c r="M299" s="88"/>
    </row>
    <row r="300" ht="63.75">
      <c r="A300" s="108">
        <v>601004012</v>
      </c>
      <c r="B300" s="109" t="s">
        <v>15812</v>
      </c>
      <c r="C300" s="110" t="s">
        <v>29</v>
      </c>
      <c r="D300" s="111">
        <v>88.340000000000003</v>
      </c>
      <c r="E300" s="111">
        <v>20.239999999999998</v>
      </c>
      <c r="F300" s="112">
        <v>108.58</v>
      </c>
      <c r="H300" s="110" t="s">
        <v>29</v>
      </c>
      <c r="I300" s="111">
        <v>87.489999999999995</v>
      </c>
      <c r="J300" s="111">
        <v>18.710000000000001</v>
      </c>
      <c r="K300" s="112">
        <v>106.2</v>
      </c>
      <c r="L300" s="88"/>
      <c r="M300" s="88"/>
    </row>
    <row r="301" ht="63.75">
      <c r="A301" s="108">
        <v>601004016</v>
      </c>
      <c r="B301" s="109" t="s">
        <v>15813</v>
      </c>
      <c r="C301" s="110" t="s">
        <v>29</v>
      </c>
      <c r="D301" s="111">
        <v>116.88</v>
      </c>
      <c r="E301" s="111">
        <v>20.239999999999998</v>
      </c>
      <c r="F301" s="112">
        <v>137.12</v>
      </c>
      <c r="H301" s="110" t="s">
        <v>29</v>
      </c>
      <c r="I301" s="111">
        <v>115.84</v>
      </c>
      <c r="J301" s="111">
        <v>18.710000000000001</v>
      </c>
      <c r="K301" s="112">
        <v>134.55000000000001</v>
      </c>
      <c r="L301" s="88"/>
      <c r="M301" s="88"/>
    </row>
    <row r="302" ht="63.75">
      <c r="A302" s="108">
        <v>601004020</v>
      </c>
      <c r="B302" s="109" t="s">
        <v>15814</v>
      </c>
      <c r="C302" s="110" t="s">
        <v>29</v>
      </c>
      <c r="D302" s="111">
        <v>139.16999999999999</v>
      </c>
      <c r="E302" s="111">
        <v>20.239999999999998</v>
      </c>
      <c r="F302" s="112">
        <v>159.41</v>
      </c>
      <c r="H302" s="110" t="s">
        <v>29</v>
      </c>
      <c r="I302" s="111">
        <v>137.97</v>
      </c>
      <c r="J302" s="111">
        <v>18.710000000000001</v>
      </c>
      <c r="K302" s="112">
        <v>156.68000000000001</v>
      </c>
      <c r="L302" s="88"/>
      <c r="M302" s="88"/>
    </row>
    <row r="303" ht="63.75">
      <c r="A303" s="108">
        <v>601004024</v>
      </c>
      <c r="B303" s="109" t="s">
        <v>15815</v>
      </c>
      <c r="C303" s="110" t="s">
        <v>29</v>
      </c>
      <c r="D303" s="111">
        <v>100.33</v>
      </c>
      <c r="E303" s="111">
        <v>20.239999999999998</v>
      </c>
      <c r="F303" s="112">
        <v>120.56999999999999</v>
      </c>
      <c r="H303" s="110" t="s">
        <v>29</v>
      </c>
      <c r="I303" s="111">
        <v>100.17</v>
      </c>
      <c r="J303" s="111">
        <v>18.710000000000001</v>
      </c>
      <c r="K303" s="112">
        <v>118.88</v>
      </c>
      <c r="L303" s="88"/>
      <c r="M303" s="88"/>
    </row>
    <row r="304" ht="63.75">
      <c r="A304" s="108">
        <v>601004028</v>
      </c>
      <c r="B304" s="109" t="s">
        <v>15816</v>
      </c>
      <c r="C304" s="110" t="s">
        <v>29</v>
      </c>
      <c r="D304" s="111">
        <v>131.58000000000001</v>
      </c>
      <c r="E304" s="111">
        <v>20.239999999999998</v>
      </c>
      <c r="F304" s="112">
        <v>151.81999999999999</v>
      </c>
      <c r="H304" s="110" t="s">
        <v>29</v>
      </c>
      <c r="I304" s="111">
        <v>131.38</v>
      </c>
      <c r="J304" s="111">
        <v>18.710000000000001</v>
      </c>
      <c r="K304" s="112">
        <v>150.09</v>
      </c>
      <c r="L304" s="88"/>
      <c r="M304" s="88"/>
    </row>
    <row r="305" ht="63.75">
      <c r="A305" s="108">
        <v>601004032</v>
      </c>
      <c r="B305" s="109" t="s">
        <v>15817</v>
      </c>
      <c r="C305" s="110" t="s">
        <v>29</v>
      </c>
      <c r="D305" s="111">
        <v>156.16999999999999</v>
      </c>
      <c r="E305" s="111">
        <v>20.239999999999998</v>
      </c>
      <c r="F305" s="112">
        <v>176.41</v>
      </c>
      <c r="H305" s="110" t="s">
        <v>29</v>
      </c>
      <c r="I305" s="111">
        <v>155.93000000000001</v>
      </c>
      <c r="J305" s="111">
        <v>18.710000000000001</v>
      </c>
      <c r="K305" s="112">
        <v>174.63999999999999</v>
      </c>
      <c r="L305" s="88"/>
      <c r="M305" s="88"/>
    </row>
    <row r="306" ht="63.75">
      <c r="A306" s="108">
        <v>601004036</v>
      </c>
      <c r="B306" s="109" t="s">
        <v>15818</v>
      </c>
      <c r="C306" s="110" t="s">
        <v>29</v>
      </c>
      <c r="D306" s="111">
        <v>109.54000000000001</v>
      </c>
      <c r="E306" s="111">
        <v>20.239999999999998</v>
      </c>
      <c r="F306" s="112">
        <v>129.78</v>
      </c>
      <c r="H306" s="110" t="s">
        <v>29</v>
      </c>
      <c r="I306" s="111">
        <v>109.43000000000001</v>
      </c>
      <c r="J306" s="111">
        <v>18.710000000000001</v>
      </c>
      <c r="K306" s="112">
        <v>128.13999999999999</v>
      </c>
      <c r="L306" s="88"/>
      <c r="M306" s="88"/>
    </row>
    <row r="307" ht="63.75">
      <c r="A307" s="108">
        <v>601004040</v>
      </c>
      <c r="B307" s="109" t="s">
        <v>15819</v>
      </c>
      <c r="C307" s="110" t="s">
        <v>29</v>
      </c>
      <c r="D307" s="111">
        <v>143.24000000000001</v>
      </c>
      <c r="E307" s="111">
        <v>20.239999999999998</v>
      </c>
      <c r="F307" s="112">
        <v>163.47999999999999</v>
      </c>
      <c r="H307" s="110" t="s">
        <v>29</v>
      </c>
      <c r="I307" s="111">
        <v>143.11000000000001</v>
      </c>
      <c r="J307" s="111">
        <v>18.710000000000001</v>
      </c>
      <c r="K307" s="112">
        <v>161.81999999999999</v>
      </c>
      <c r="L307" s="88"/>
      <c r="M307" s="88"/>
    </row>
    <row r="308" ht="63.75">
      <c r="A308" s="108">
        <v>601004044</v>
      </c>
      <c r="B308" s="109" t="s">
        <v>15820</v>
      </c>
      <c r="C308" s="110" t="s">
        <v>29</v>
      </c>
      <c r="D308" s="111">
        <v>167.84999999999999</v>
      </c>
      <c r="E308" s="111">
        <v>20.239999999999998</v>
      </c>
      <c r="F308" s="112">
        <v>188.09</v>
      </c>
      <c r="H308" s="110" t="s">
        <v>29</v>
      </c>
      <c r="I308" s="111">
        <v>167.69999999999999</v>
      </c>
      <c r="J308" s="111">
        <v>18.710000000000001</v>
      </c>
      <c r="K308" s="112">
        <v>186.41</v>
      </c>
      <c r="L308" s="88"/>
      <c r="M308" s="88"/>
    </row>
    <row r="309" ht="38.25">
      <c r="A309" s="108">
        <v>601004200</v>
      </c>
      <c r="B309" s="109" t="s">
        <v>15821</v>
      </c>
      <c r="C309" s="110" t="s">
        <v>29</v>
      </c>
      <c r="D309" s="111">
        <v>26.829999999999998</v>
      </c>
      <c r="E309" s="111">
        <v>13.33</v>
      </c>
      <c r="F309" s="112">
        <v>40.159999999999997</v>
      </c>
      <c r="H309" s="110" t="s">
        <v>29</v>
      </c>
      <c r="I309" s="111">
        <v>26.41</v>
      </c>
      <c r="J309" s="111">
        <v>12.32</v>
      </c>
      <c r="K309" s="112">
        <v>38.729999999999997</v>
      </c>
      <c r="L309" s="88"/>
      <c r="M309" s="88"/>
    </row>
    <row r="310">
      <c r="D310" s="113"/>
      <c r="E310" s="113"/>
      <c r="F310" s="114"/>
      <c r="H310" s="88"/>
      <c r="I310" s="113"/>
      <c r="J310" s="113"/>
      <c r="K310" s="114"/>
      <c r="L310" s="88"/>
      <c r="M310" s="88"/>
    </row>
    <row r="311">
      <c r="B311" s="102" t="s">
        <v>15822</v>
      </c>
      <c r="D311" s="113"/>
      <c r="E311" s="113"/>
      <c r="F311" s="114"/>
      <c r="H311" s="88"/>
      <c r="I311" s="113"/>
      <c r="J311" s="113"/>
      <c r="K311" s="114"/>
      <c r="L311" s="88"/>
      <c r="M311" s="88"/>
    </row>
    <row r="312">
      <c r="D312" s="113"/>
      <c r="E312" s="113"/>
      <c r="F312" s="114"/>
      <c r="H312" s="88"/>
      <c r="I312" s="113"/>
      <c r="J312" s="113"/>
      <c r="K312" s="114"/>
      <c r="L312" s="88"/>
      <c r="M312" s="88"/>
    </row>
    <row r="313">
      <c r="A313" s="88" t="s">
        <v>15547</v>
      </c>
      <c r="B313" s="89" t="s">
        <v>15548</v>
      </c>
      <c r="C313" s="88" t="s">
        <v>15337</v>
      </c>
      <c r="D313" s="113" t="s">
        <v>10460</v>
      </c>
      <c r="E313" s="113" t="s">
        <v>15549</v>
      </c>
      <c r="F313" s="114" t="s">
        <v>15550</v>
      </c>
      <c r="H313" s="88" t="s">
        <v>15337</v>
      </c>
      <c r="I313" s="113" t="s">
        <v>10460</v>
      </c>
      <c r="J313" s="113" t="s">
        <v>15549</v>
      </c>
      <c r="K313" s="114" t="s">
        <v>15550</v>
      </c>
      <c r="L313" s="88"/>
      <c r="M313" s="88"/>
    </row>
    <row r="314">
      <c r="D314" s="113"/>
      <c r="E314" s="113"/>
      <c r="F314" s="114"/>
      <c r="H314" s="88"/>
      <c r="I314" s="113"/>
      <c r="J314" s="113"/>
      <c r="K314" s="114"/>
      <c r="L314" s="88"/>
      <c r="M314" s="88"/>
    </row>
    <row r="315" ht="51">
      <c r="A315" s="69">
        <v>701000100</v>
      </c>
      <c r="B315" s="89" t="s">
        <v>15823</v>
      </c>
      <c r="C315" s="88" t="s">
        <v>29</v>
      </c>
      <c r="D315" s="113"/>
      <c r="E315" s="113"/>
      <c r="F315" s="114">
        <v>4.6500000000000004</v>
      </c>
      <c r="H315" s="88" t="s">
        <v>29</v>
      </c>
      <c r="I315" s="113"/>
      <c r="J315" s="113"/>
      <c r="K315" s="114">
        <v>4.4199999999999999</v>
      </c>
      <c r="L315" s="88"/>
      <c r="M315" s="88"/>
    </row>
    <row r="316" ht="25.5">
      <c r="A316" s="108">
        <v>701000102</v>
      </c>
      <c r="B316" s="109" t="s">
        <v>15824</v>
      </c>
      <c r="C316" s="110" t="s">
        <v>29</v>
      </c>
      <c r="D316" s="111">
        <v>6.2999999999999998</v>
      </c>
      <c r="E316" s="111">
        <v>21.780000000000001</v>
      </c>
      <c r="F316" s="112">
        <v>28.079999999999998</v>
      </c>
      <c r="H316" s="110" t="s">
        <v>29</v>
      </c>
      <c r="I316" s="111">
        <v>6.2999999999999998</v>
      </c>
      <c r="J316" s="111">
        <v>20.16</v>
      </c>
      <c r="K316" s="112">
        <v>26.460000000000001</v>
      </c>
      <c r="L316" s="88"/>
      <c r="M316" s="88"/>
    </row>
    <row r="317" ht="25.5">
      <c r="A317" s="108">
        <v>701000104</v>
      </c>
      <c r="B317" s="109" t="s">
        <v>15825</v>
      </c>
      <c r="C317" s="110" t="s">
        <v>29</v>
      </c>
      <c r="D317" s="111">
        <v>9.4600000000000009</v>
      </c>
      <c r="E317" s="111">
        <v>32.68</v>
      </c>
      <c r="F317" s="112">
        <v>42.140000000000001</v>
      </c>
      <c r="H317" s="110" t="s">
        <v>29</v>
      </c>
      <c r="I317" s="111">
        <v>9.4600000000000009</v>
      </c>
      <c r="J317" s="111">
        <v>30.239999999999998</v>
      </c>
      <c r="K317" s="112">
        <v>39.700000000000003</v>
      </c>
      <c r="L317" s="88"/>
      <c r="M317" s="88"/>
    </row>
    <row r="318" ht="25.5">
      <c r="A318" s="108">
        <v>701000106</v>
      </c>
      <c r="B318" s="109" t="s">
        <v>15826</v>
      </c>
      <c r="C318" s="110" t="s">
        <v>29</v>
      </c>
      <c r="D318" s="111">
        <v>19.23</v>
      </c>
      <c r="E318" s="111">
        <v>29.18</v>
      </c>
      <c r="F318" s="112">
        <v>48.409999999999997</v>
      </c>
      <c r="H318" s="110" t="s">
        <v>29</v>
      </c>
      <c r="I318" s="111">
        <v>18.989999999999998</v>
      </c>
      <c r="J318" s="111">
        <v>26.949999999999999</v>
      </c>
      <c r="K318" s="112">
        <v>45.939999999999998</v>
      </c>
      <c r="L318" s="88"/>
      <c r="M318" s="88"/>
    </row>
    <row r="319" ht="25.5">
      <c r="A319" s="108">
        <v>701000107</v>
      </c>
      <c r="B319" s="109" t="s">
        <v>15827</v>
      </c>
      <c r="C319" s="110" t="s">
        <v>29</v>
      </c>
      <c r="D319" s="111">
        <v>17.920000000000002</v>
      </c>
      <c r="E319" s="111">
        <v>25.969999999999999</v>
      </c>
      <c r="F319" s="112">
        <v>43.890000000000001</v>
      </c>
      <c r="H319" s="110" t="s">
        <v>29</v>
      </c>
      <c r="I319" s="111">
        <v>17.649999999999999</v>
      </c>
      <c r="J319" s="111">
        <v>23.969999999999999</v>
      </c>
      <c r="K319" s="112">
        <v>41.619999999999997</v>
      </c>
      <c r="L319" s="88"/>
      <c r="M319" s="88"/>
    </row>
    <row r="320" ht="38.25">
      <c r="A320" s="69">
        <v>701000108</v>
      </c>
      <c r="B320" s="89" t="s">
        <v>15828</v>
      </c>
      <c r="C320" s="88" t="s">
        <v>29</v>
      </c>
      <c r="D320" s="113"/>
      <c r="E320" s="113"/>
      <c r="F320" s="114">
        <v>47.229999999999997</v>
      </c>
      <c r="H320" s="88" t="s">
        <v>29</v>
      </c>
      <c r="I320" s="113"/>
      <c r="J320" s="113"/>
      <c r="K320" s="114">
        <v>44.740000000000002</v>
      </c>
      <c r="L320" s="88"/>
      <c r="M320" s="88"/>
    </row>
    <row r="321" ht="25.5">
      <c r="A321" s="108">
        <v>701000109</v>
      </c>
      <c r="B321" s="109" t="s">
        <v>15829</v>
      </c>
      <c r="C321" s="110" t="s">
        <v>29</v>
      </c>
      <c r="D321" s="111">
        <v>7.4199999999999999</v>
      </c>
      <c r="E321" s="111">
        <v>14.44</v>
      </c>
      <c r="F321" s="112">
        <v>21.859999999999999</v>
      </c>
      <c r="H321" s="110" t="s">
        <v>29</v>
      </c>
      <c r="I321" s="111">
        <v>7.4199999999999999</v>
      </c>
      <c r="J321" s="111">
        <v>13.35</v>
      </c>
      <c r="K321" s="112">
        <v>20.77</v>
      </c>
      <c r="L321" s="88"/>
      <c r="M321" s="88"/>
    </row>
    <row r="322" ht="25.5">
      <c r="A322" s="69">
        <v>701000110</v>
      </c>
      <c r="B322" s="89" t="s">
        <v>15830</v>
      </c>
      <c r="C322" s="88" t="s">
        <v>29</v>
      </c>
      <c r="D322" s="113"/>
      <c r="E322" s="113"/>
      <c r="F322" s="114">
        <v>21.16</v>
      </c>
      <c r="H322" s="88" t="s">
        <v>29</v>
      </c>
      <c r="I322" s="113"/>
      <c r="J322" s="113"/>
      <c r="K322" s="114">
        <v>20.27</v>
      </c>
      <c r="L322" s="88"/>
      <c r="M322" s="88"/>
    </row>
    <row r="323" ht="38.25">
      <c r="A323" s="69">
        <v>701000111</v>
      </c>
      <c r="B323" s="89" t="s">
        <v>15831</v>
      </c>
      <c r="C323" s="88" t="s">
        <v>29</v>
      </c>
      <c r="D323" s="113"/>
      <c r="E323" s="113"/>
      <c r="F323" s="114">
        <v>64.069999999999993</v>
      </c>
      <c r="H323" s="88" t="s">
        <v>29</v>
      </c>
      <c r="I323" s="113"/>
      <c r="J323" s="113"/>
      <c r="K323" s="114">
        <v>61.770000000000003</v>
      </c>
      <c r="L323" s="88"/>
      <c r="M323" s="88"/>
    </row>
    <row r="324" ht="63.75">
      <c r="A324" s="108">
        <v>701000112</v>
      </c>
      <c r="B324" s="109" t="s">
        <v>15832</v>
      </c>
      <c r="C324" s="110" t="s">
        <v>29</v>
      </c>
      <c r="D324" s="111">
        <v>17.34</v>
      </c>
      <c r="E324" s="111">
        <v>43.649999999999999</v>
      </c>
      <c r="F324" s="112">
        <v>60.990000000000002</v>
      </c>
      <c r="H324" s="110" t="s">
        <v>29</v>
      </c>
      <c r="I324" s="111">
        <v>17.34</v>
      </c>
      <c r="J324" s="111">
        <v>40.409999999999997</v>
      </c>
      <c r="K324" s="112">
        <v>57.75</v>
      </c>
      <c r="L324" s="88"/>
      <c r="M324" s="88"/>
    </row>
    <row r="325" ht="38.25">
      <c r="A325" s="69">
        <v>701000113</v>
      </c>
      <c r="B325" s="89" t="s">
        <v>15833</v>
      </c>
      <c r="C325" s="88" t="s">
        <v>29</v>
      </c>
      <c r="D325" s="113"/>
      <c r="E325" s="113"/>
      <c r="F325" s="114">
        <v>300.85000000000002</v>
      </c>
      <c r="H325" s="88" t="s">
        <v>29</v>
      </c>
      <c r="I325" s="113"/>
      <c r="J325" s="113"/>
      <c r="K325" s="114">
        <v>297.38999999999999</v>
      </c>
      <c r="L325" s="88"/>
      <c r="M325" s="88"/>
    </row>
    <row r="326" ht="38.25">
      <c r="A326" s="69">
        <v>701000115</v>
      </c>
      <c r="B326" s="89" t="s">
        <v>15753</v>
      </c>
      <c r="C326" s="88" t="s">
        <v>29</v>
      </c>
      <c r="D326" s="113"/>
      <c r="E326" s="113"/>
      <c r="F326" s="114">
        <v>173.94</v>
      </c>
      <c r="H326" s="88" t="s">
        <v>29</v>
      </c>
      <c r="I326" s="113"/>
      <c r="J326" s="113"/>
      <c r="K326" s="114">
        <v>171.77000000000001</v>
      </c>
      <c r="L326" s="88"/>
      <c r="M326" s="88"/>
    </row>
    <row r="327" ht="38.25">
      <c r="A327" s="69">
        <v>701000117</v>
      </c>
      <c r="B327" s="89" t="s">
        <v>15834</v>
      </c>
      <c r="C327" s="88" t="s">
        <v>29</v>
      </c>
      <c r="D327" s="113"/>
      <c r="E327" s="113"/>
      <c r="F327" s="114">
        <v>48.640000000000001</v>
      </c>
      <c r="H327" s="88" t="s">
        <v>29</v>
      </c>
      <c r="I327" s="113"/>
      <c r="J327" s="113"/>
      <c r="K327" s="114">
        <v>47.32</v>
      </c>
      <c r="L327" s="88"/>
      <c r="M327" s="88"/>
    </row>
    <row r="328" ht="51">
      <c r="A328" s="108">
        <v>701000119</v>
      </c>
      <c r="B328" s="109" t="s">
        <v>15835</v>
      </c>
      <c r="C328" s="110" t="s">
        <v>29</v>
      </c>
      <c r="D328" s="111">
        <v>71.819999999999993</v>
      </c>
      <c r="E328" s="111">
        <v>28.370000000000001</v>
      </c>
      <c r="F328" s="112">
        <v>100.19</v>
      </c>
      <c r="H328" s="110" t="s">
        <v>29</v>
      </c>
      <c r="I328" s="111">
        <v>71.819999999999993</v>
      </c>
      <c r="J328" s="111">
        <v>26.199999999999999</v>
      </c>
      <c r="K328" s="112">
        <v>98.019999999999996</v>
      </c>
      <c r="L328" s="88"/>
      <c r="M328" s="88"/>
    </row>
    <row r="329" ht="51">
      <c r="A329" s="108">
        <v>701000121</v>
      </c>
      <c r="B329" s="109" t="s">
        <v>15836</v>
      </c>
      <c r="C329" s="110" t="s">
        <v>29</v>
      </c>
      <c r="D329" s="111">
        <v>81.510000000000005</v>
      </c>
      <c r="E329" s="111">
        <v>28.370000000000001</v>
      </c>
      <c r="F329" s="112">
        <v>109.88</v>
      </c>
      <c r="H329" s="110" t="s">
        <v>29</v>
      </c>
      <c r="I329" s="111">
        <v>81.510000000000005</v>
      </c>
      <c r="J329" s="111">
        <v>26.199999999999999</v>
      </c>
      <c r="K329" s="112">
        <v>107.70999999999999</v>
      </c>
      <c r="L329" s="88"/>
      <c r="M329" s="88"/>
    </row>
    <row r="330" ht="38.25">
      <c r="A330" s="69">
        <v>701000124</v>
      </c>
      <c r="B330" s="89" t="s">
        <v>15837</v>
      </c>
      <c r="C330" s="88" t="s">
        <v>29</v>
      </c>
      <c r="D330" s="113"/>
      <c r="E330" s="113"/>
      <c r="F330" s="114">
        <v>37.479999999999997</v>
      </c>
      <c r="H330" s="88" t="s">
        <v>29</v>
      </c>
      <c r="I330" s="113"/>
      <c r="J330" s="113"/>
      <c r="K330" s="114">
        <v>35.990000000000002</v>
      </c>
      <c r="L330" s="88"/>
      <c r="M330" s="88"/>
    </row>
    <row r="331" ht="38.25">
      <c r="A331" s="69">
        <v>701000126</v>
      </c>
      <c r="B331" s="89" t="s">
        <v>15838</v>
      </c>
      <c r="C331" s="88" t="s">
        <v>29</v>
      </c>
      <c r="D331" s="113"/>
      <c r="E331" s="113"/>
      <c r="F331" s="114">
        <v>66.989999999999995</v>
      </c>
      <c r="H331" s="88" t="s">
        <v>29</v>
      </c>
      <c r="I331" s="113"/>
      <c r="J331" s="113"/>
      <c r="K331" s="114">
        <v>64.069999999999993</v>
      </c>
      <c r="L331" s="88"/>
      <c r="M331" s="88"/>
    </row>
    <row r="332" ht="25.5">
      <c r="A332" s="69">
        <v>701000130</v>
      </c>
      <c r="B332" s="89" t="s">
        <v>15839</v>
      </c>
      <c r="C332" s="88" t="s">
        <v>38</v>
      </c>
      <c r="D332" s="113"/>
      <c r="E332" s="113"/>
      <c r="F332" s="114">
        <v>36.049999999999997</v>
      </c>
      <c r="H332" s="88" t="s">
        <v>38</v>
      </c>
      <c r="I332" s="113"/>
      <c r="J332" s="113"/>
      <c r="K332" s="114">
        <v>35.979999999999997</v>
      </c>
      <c r="L332" s="88"/>
      <c r="M332" s="88"/>
    </row>
    <row r="333" ht="38.25">
      <c r="A333" s="69">
        <v>701000135</v>
      </c>
      <c r="B333" s="89" t="s">
        <v>15840</v>
      </c>
      <c r="C333" s="88" t="s">
        <v>38</v>
      </c>
      <c r="D333" s="113"/>
      <c r="E333" s="113"/>
      <c r="F333" s="114">
        <v>69.200000000000003</v>
      </c>
      <c r="H333" s="88" t="s">
        <v>38</v>
      </c>
      <c r="I333" s="113"/>
      <c r="J333" s="113"/>
      <c r="K333" s="114">
        <v>66.159999999999997</v>
      </c>
      <c r="L333" s="88"/>
      <c r="M333" s="88"/>
    </row>
    <row r="334" ht="38.25">
      <c r="A334" s="69">
        <v>701000140</v>
      </c>
      <c r="B334" s="89" t="s">
        <v>15841</v>
      </c>
      <c r="C334" s="88" t="s">
        <v>38</v>
      </c>
      <c r="D334" s="113"/>
      <c r="E334" s="113"/>
      <c r="F334" s="114">
        <v>45.039999999999999</v>
      </c>
      <c r="H334" s="88" t="s">
        <v>38</v>
      </c>
      <c r="I334" s="113"/>
      <c r="J334" s="113"/>
      <c r="K334" s="114">
        <v>42.369999999999997</v>
      </c>
      <c r="L334" s="88"/>
      <c r="M334" s="88"/>
    </row>
    <row r="335">
      <c r="D335" s="113"/>
      <c r="E335" s="113"/>
      <c r="F335" s="114"/>
      <c r="H335" s="88"/>
      <c r="I335" s="113"/>
      <c r="J335" s="113"/>
      <c r="K335" s="114"/>
      <c r="L335" s="88"/>
      <c r="M335" s="88"/>
    </row>
    <row r="336">
      <c r="B336" s="102" t="s">
        <v>15842</v>
      </c>
      <c r="D336" s="113"/>
      <c r="E336" s="113"/>
      <c r="F336" s="114"/>
      <c r="H336" s="88"/>
      <c r="I336" s="113"/>
      <c r="J336" s="113"/>
      <c r="K336" s="114"/>
      <c r="L336" s="88"/>
      <c r="M336" s="88"/>
    </row>
    <row r="337">
      <c r="D337" s="113"/>
      <c r="E337" s="113"/>
      <c r="F337" s="114"/>
      <c r="H337" s="88"/>
      <c r="I337" s="113"/>
      <c r="J337" s="113"/>
      <c r="K337" s="114"/>
      <c r="L337" s="88"/>
      <c r="M337" s="88"/>
    </row>
    <row r="338">
      <c r="A338" s="88" t="s">
        <v>15547</v>
      </c>
      <c r="B338" s="89" t="s">
        <v>15548</v>
      </c>
      <c r="C338" s="88" t="s">
        <v>15337</v>
      </c>
      <c r="D338" s="113" t="s">
        <v>10460</v>
      </c>
      <c r="E338" s="113" t="s">
        <v>15549</v>
      </c>
      <c r="F338" s="114" t="s">
        <v>15550</v>
      </c>
      <c r="H338" s="88" t="s">
        <v>15337</v>
      </c>
      <c r="I338" s="113" t="s">
        <v>10460</v>
      </c>
      <c r="J338" s="113" t="s">
        <v>15549</v>
      </c>
      <c r="K338" s="114" t="s">
        <v>15550</v>
      </c>
      <c r="L338" s="88"/>
      <c r="M338" s="88"/>
    </row>
    <row r="339">
      <c r="D339" s="113"/>
      <c r="E339" s="113"/>
      <c r="F339" s="114"/>
      <c r="H339" s="88"/>
      <c r="I339" s="113"/>
      <c r="J339" s="113"/>
      <c r="K339" s="114"/>
      <c r="L339" s="88"/>
      <c r="M339" s="88"/>
    </row>
    <row r="340" ht="51">
      <c r="A340" s="108">
        <v>801000100</v>
      </c>
      <c r="B340" s="109" t="s">
        <v>15843</v>
      </c>
      <c r="C340" s="110" t="s">
        <v>29</v>
      </c>
      <c r="D340" s="111">
        <v>52.899999999999999</v>
      </c>
      <c r="E340" s="111">
        <v>36.740000000000002</v>
      </c>
      <c r="F340" s="112">
        <v>89.640000000000001</v>
      </c>
      <c r="H340" s="110" t="s">
        <v>29</v>
      </c>
      <c r="I340" s="111">
        <v>52.619999999999997</v>
      </c>
      <c r="J340" s="111">
        <v>33.969999999999999</v>
      </c>
      <c r="K340" s="112">
        <v>86.590000000000003</v>
      </c>
      <c r="L340" s="88"/>
      <c r="M340" s="88"/>
    </row>
    <row r="341" ht="51">
      <c r="A341" s="69">
        <v>801000101</v>
      </c>
      <c r="B341" s="89" t="s">
        <v>15844</v>
      </c>
      <c r="C341" s="88" t="s">
        <v>29</v>
      </c>
      <c r="D341" s="113"/>
      <c r="E341" s="113"/>
      <c r="F341" s="114">
        <v>134.31999999999999</v>
      </c>
      <c r="H341" s="88" t="s">
        <v>29</v>
      </c>
      <c r="I341" s="113"/>
      <c r="J341" s="113"/>
      <c r="K341" s="114">
        <v>128.77000000000001</v>
      </c>
      <c r="L341" s="88"/>
      <c r="M341" s="88"/>
    </row>
    <row r="342" ht="51">
      <c r="A342" s="108">
        <v>801000102</v>
      </c>
      <c r="B342" s="109" t="s">
        <v>15845</v>
      </c>
      <c r="C342" s="110" t="s">
        <v>29</v>
      </c>
      <c r="D342" s="111">
        <v>33.079999999999998</v>
      </c>
      <c r="E342" s="111">
        <v>24.359999999999999</v>
      </c>
      <c r="F342" s="112">
        <v>57.439999999999998</v>
      </c>
      <c r="H342" s="110" t="s">
        <v>29</v>
      </c>
      <c r="I342" s="111">
        <v>32.93</v>
      </c>
      <c r="J342" s="111">
        <v>22.510000000000002</v>
      </c>
      <c r="K342" s="112">
        <v>55.439999999999998</v>
      </c>
      <c r="L342" s="88"/>
      <c r="M342" s="88"/>
    </row>
    <row r="343" ht="51">
      <c r="A343" s="108">
        <v>801000103</v>
      </c>
      <c r="B343" s="109" t="s">
        <v>15846</v>
      </c>
      <c r="C343" s="110" t="s">
        <v>29</v>
      </c>
      <c r="D343" s="111">
        <v>158.63999999999999</v>
      </c>
      <c r="E343" s="111">
        <v>99.840000000000003</v>
      </c>
      <c r="F343" s="112">
        <v>258.48000000000002</v>
      </c>
      <c r="H343" s="110" t="s">
        <v>29</v>
      </c>
      <c r="I343" s="111">
        <v>157.69</v>
      </c>
      <c r="J343" s="111">
        <v>92.349999999999994</v>
      </c>
      <c r="K343" s="112">
        <v>250.03999999999999</v>
      </c>
      <c r="L343" s="88"/>
      <c r="M343" s="88"/>
    </row>
    <row r="344" ht="51">
      <c r="A344" s="108">
        <v>801000104</v>
      </c>
      <c r="B344" s="109" t="s">
        <v>15847</v>
      </c>
      <c r="C344" s="110" t="s">
        <v>29</v>
      </c>
      <c r="D344" s="111">
        <v>67.019999999999996</v>
      </c>
      <c r="E344" s="111">
        <v>47.600000000000001</v>
      </c>
      <c r="F344" s="112">
        <v>114.62</v>
      </c>
      <c r="H344" s="110" t="s">
        <v>29</v>
      </c>
      <c r="I344" s="111">
        <v>66.709999999999994</v>
      </c>
      <c r="J344" s="111">
        <v>44.020000000000003</v>
      </c>
      <c r="K344" s="112">
        <v>110.73</v>
      </c>
      <c r="L344" s="88"/>
      <c r="M344" s="88"/>
    </row>
    <row r="345" ht="51">
      <c r="A345" s="108">
        <v>801000105</v>
      </c>
      <c r="B345" s="109" t="s">
        <v>15848</v>
      </c>
      <c r="C345" s="110" t="s">
        <v>29</v>
      </c>
      <c r="D345" s="111">
        <v>187.65000000000001</v>
      </c>
      <c r="E345" s="111">
        <v>146.93000000000001</v>
      </c>
      <c r="F345" s="112">
        <v>334.57999999999998</v>
      </c>
      <c r="H345" s="110" t="s">
        <v>29</v>
      </c>
      <c r="I345" s="111">
        <v>187.09999999999999</v>
      </c>
      <c r="J345" s="111">
        <v>135.99000000000001</v>
      </c>
      <c r="K345" s="112">
        <v>323.08999999999997</v>
      </c>
      <c r="L345" s="88"/>
      <c r="M345" s="88"/>
    </row>
    <row r="346" ht="51">
      <c r="A346" s="108">
        <v>801000106</v>
      </c>
      <c r="B346" s="109" t="s">
        <v>15849</v>
      </c>
      <c r="C346" s="110" t="s">
        <v>29</v>
      </c>
      <c r="D346" s="111">
        <v>36.75</v>
      </c>
      <c r="E346" s="111">
        <v>24.359999999999999</v>
      </c>
      <c r="F346" s="112">
        <v>61.109999999999999</v>
      </c>
      <c r="H346" s="110" t="s">
        <v>29</v>
      </c>
      <c r="I346" s="111">
        <v>36.600000000000001</v>
      </c>
      <c r="J346" s="111">
        <v>22.510000000000002</v>
      </c>
      <c r="K346" s="112">
        <v>59.109999999999999</v>
      </c>
      <c r="L346" s="88"/>
      <c r="M346" s="88"/>
    </row>
    <row r="347" ht="51">
      <c r="A347" s="69">
        <v>801000108</v>
      </c>
      <c r="B347" s="89" t="s">
        <v>15850</v>
      </c>
      <c r="C347" s="88" t="s">
        <v>29</v>
      </c>
      <c r="D347" s="113"/>
      <c r="E347" s="113"/>
      <c r="F347" s="114">
        <v>80.859999999999999</v>
      </c>
      <c r="H347" s="88" t="s">
        <v>29</v>
      </c>
      <c r="I347" s="113"/>
      <c r="J347" s="113"/>
      <c r="K347" s="114">
        <v>78.409999999999997</v>
      </c>
      <c r="L347" s="88"/>
      <c r="M347" s="88"/>
    </row>
    <row r="348" ht="38.25">
      <c r="A348" s="108">
        <v>801000110</v>
      </c>
      <c r="B348" s="109" t="s">
        <v>15851</v>
      </c>
      <c r="C348" s="110" t="s">
        <v>29</v>
      </c>
      <c r="D348" s="111">
        <v>131.77000000000001</v>
      </c>
      <c r="E348" s="111">
        <v>120.87</v>
      </c>
      <c r="F348" s="112">
        <v>252.63999999999999</v>
      </c>
      <c r="H348" s="110" t="s">
        <v>29</v>
      </c>
      <c r="I348" s="111">
        <v>131.62</v>
      </c>
      <c r="J348" s="111">
        <v>111.84</v>
      </c>
      <c r="K348" s="112">
        <v>243.46000000000001</v>
      </c>
      <c r="L348" s="88"/>
      <c r="M348" s="88"/>
    </row>
    <row r="349" ht="63.75">
      <c r="A349" s="108">
        <v>801000112</v>
      </c>
      <c r="B349" s="109" t="s">
        <v>15852</v>
      </c>
      <c r="C349" s="110" t="s">
        <v>29</v>
      </c>
      <c r="D349" s="111">
        <v>292.16000000000003</v>
      </c>
      <c r="E349" s="111">
        <v>162.71000000000001</v>
      </c>
      <c r="F349" s="112">
        <v>454.87</v>
      </c>
      <c r="H349" s="110" t="s">
        <v>29</v>
      </c>
      <c r="I349" s="111">
        <v>291.44999999999999</v>
      </c>
      <c r="J349" s="111">
        <v>150.56999999999999</v>
      </c>
      <c r="K349" s="112">
        <v>442.01999999999998</v>
      </c>
      <c r="L349" s="88"/>
      <c r="M349" s="88"/>
    </row>
    <row r="350" ht="38.25">
      <c r="A350" s="108">
        <v>801000114</v>
      </c>
      <c r="B350" s="109" t="s">
        <v>15853</v>
      </c>
      <c r="C350" s="110" t="s">
        <v>29</v>
      </c>
      <c r="D350" s="111">
        <v>60.390000000000001</v>
      </c>
      <c r="E350" s="111">
        <v>32.130000000000003</v>
      </c>
      <c r="F350" s="112">
        <v>92.519999999999996</v>
      </c>
      <c r="H350" s="110" t="s">
        <v>29</v>
      </c>
      <c r="I350" s="111">
        <v>60.390000000000001</v>
      </c>
      <c r="J350" s="111">
        <v>29.73</v>
      </c>
      <c r="K350" s="112">
        <v>90.120000000000005</v>
      </c>
      <c r="L350" s="88"/>
      <c r="M350" s="88"/>
    </row>
    <row r="351" ht="38.25">
      <c r="A351" s="108">
        <v>801000115</v>
      </c>
      <c r="B351" s="109" t="s">
        <v>15854</v>
      </c>
      <c r="C351" s="110" t="s">
        <v>29</v>
      </c>
      <c r="D351" s="111">
        <v>54.090000000000003</v>
      </c>
      <c r="E351" s="111">
        <v>27.190000000000001</v>
      </c>
      <c r="F351" s="112">
        <v>81.280000000000001</v>
      </c>
      <c r="H351" s="110" t="s">
        <v>29</v>
      </c>
      <c r="I351" s="111">
        <v>53.939999999999998</v>
      </c>
      <c r="J351" s="111">
        <v>25.140000000000001</v>
      </c>
      <c r="K351" s="112">
        <v>79.079999999999998</v>
      </c>
      <c r="L351" s="88"/>
      <c r="M351" s="88"/>
    </row>
    <row r="352" ht="38.25">
      <c r="A352" s="69">
        <v>801000116</v>
      </c>
      <c r="B352" s="89" t="s">
        <v>15855</v>
      </c>
      <c r="C352" s="88" t="s">
        <v>29</v>
      </c>
      <c r="D352" s="113"/>
      <c r="E352" s="113"/>
      <c r="F352" s="114">
        <v>116.79000000000001</v>
      </c>
      <c r="H352" s="88" t="s">
        <v>29</v>
      </c>
      <c r="I352" s="113"/>
      <c r="J352" s="113"/>
      <c r="K352" s="114">
        <v>115.02</v>
      </c>
      <c r="L352" s="88"/>
      <c r="M352" s="88"/>
    </row>
    <row r="353" ht="38.25">
      <c r="A353" s="108">
        <v>801000117</v>
      </c>
      <c r="B353" s="109" t="s">
        <v>15856</v>
      </c>
      <c r="C353" s="110" t="s">
        <v>29</v>
      </c>
      <c r="D353" s="111">
        <v>88.790000000000006</v>
      </c>
      <c r="E353" s="111">
        <v>29.050000000000001</v>
      </c>
      <c r="F353" s="112">
        <v>117.84</v>
      </c>
      <c r="H353" s="110" t="s">
        <v>29</v>
      </c>
      <c r="I353" s="111">
        <v>88.540000000000006</v>
      </c>
      <c r="J353" s="111">
        <v>26.870000000000001</v>
      </c>
      <c r="K353" s="112">
        <v>115.41</v>
      </c>
      <c r="L353" s="88"/>
      <c r="M353" s="88"/>
    </row>
    <row r="354" ht="25.5">
      <c r="A354" s="108">
        <v>801000120</v>
      </c>
      <c r="B354" s="109" t="s">
        <v>15857</v>
      </c>
      <c r="C354" s="110" t="s">
        <v>29</v>
      </c>
      <c r="D354" s="111">
        <v>183.84999999999999</v>
      </c>
      <c r="E354" s="111">
        <v>192.75999999999999</v>
      </c>
      <c r="F354" s="112">
        <v>376.61000000000001</v>
      </c>
      <c r="H354" s="110" t="s">
        <v>29</v>
      </c>
      <c r="I354" s="111">
        <v>183.84999999999999</v>
      </c>
      <c r="J354" s="111">
        <v>178.44</v>
      </c>
      <c r="K354" s="112">
        <v>362.29000000000002</v>
      </c>
      <c r="L354" s="88"/>
      <c r="M354" s="88"/>
    </row>
    <row r="355">
      <c r="A355" s="108">
        <v>801000121</v>
      </c>
      <c r="B355" s="109" t="s">
        <v>15858</v>
      </c>
      <c r="C355" s="110" t="s">
        <v>38</v>
      </c>
      <c r="D355" s="111">
        <v>4.46</v>
      </c>
      <c r="E355" s="111">
        <v>37.189999999999998</v>
      </c>
      <c r="F355" s="112">
        <v>41.649999999999999</v>
      </c>
      <c r="H355" s="110" t="s">
        <v>38</v>
      </c>
      <c r="I355" s="111">
        <v>4.46</v>
      </c>
      <c r="J355" s="111">
        <v>34.399999999999999</v>
      </c>
      <c r="K355" s="112">
        <v>38.859999999999999</v>
      </c>
      <c r="L355" s="88"/>
      <c r="M355" s="88"/>
    </row>
    <row r="356" ht="25.5">
      <c r="A356" s="108">
        <v>801000125</v>
      </c>
      <c r="B356" s="109" t="s">
        <v>15859</v>
      </c>
      <c r="C356" s="110" t="s">
        <v>29</v>
      </c>
      <c r="D356" s="111">
        <v>6.8600000000000003</v>
      </c>
      <c r="E356" s="111">
        <v>5.25</v>
      </c>
      <c r="F356" s="112">
        <v>12.109999999999999</v>
      </c>
      <c r="H356" s="110" t="s">
        <v>29</v>
      </c>
      <c r="I356" s="111">
        <v>6.8600000000000003</v>
      </c>
      <c r="J356" s="111">
        <v>4.8600000000000003</v>
      </c>
      <c r="K356" s="112">
        <v>11.720000000000001</v>
      </c>
      <c r="L356" s="88"/>
      <c r="M356" s="88"/>
    </row>
    <row r="357" ht="38.25">
      <c r="A357" s="108">
        <v>801000127</v>
      </c>
      <c r="B357" s="109" t="s">
        <v>15860</v>
      </c>
      <c r="C357" s="110" t="s">
        <v>29</v>
      </c>
      <c r="D357" s="111">
        <v>1.6200000000000001</v>
      </c>
      <c r="E357" s="111">
        <v>3.4900000000000002</v>
      </c>
      <c r="F357" s="112">
        <v>5.1100000000000003</v>
      </c>
      <c r="H357" s="110" t="s">
        <v>29</v>
      </c>
      <c r="I357" s="111">
        <v>1.6200000000000001</v>
      </c>
      <c r="J357" s="111">
        <v>3.2400000000000002</v>
      </c>
      <c r="K357" s="112">
        <v>4.8600000000000003</v>
      </c>
      <c r="L357" s="88"/>
      <c r="M357" s="88"/>
    </row>
    <row r="358" ht="25.5">
      <c r="A358" s="108">
        <v>801000129</v>
      </c>
      <c r="B358" s="109" t="s">
        <v>15861</v>
      </c>
      <c r="C358" s="110" t="s">
        <v>29</v>
      </c>
      <c r="D358" s="111">
        <v>0</v>
      </c>
      <c r="E358" s="111">
        <v>6.9900000000000002</v>
      </c>
      <c r="F358" s="112">
        <v>6.9900000000000002</v>
      </c>
      <c r="H358" s="110" t="s">
        <v>29</v>
      </c>
      <c r="I358" s="111">
        <v>0</v>
      </c>
      <c r="J358" s="111">
        <v>6.4800000000000004</v>
      </c>
      <c r="K358" s="112">
        <v>6.4800000000000004</v>
      </c>
      <c r="L358" s="88"/>
      <c r="M358" s="88"/>
    </row>
    <row r="359" ht="25.5">
      <c r="A359" s="69">
        <v>801000132</v>
      </c>
      <c r="B359" s="89" t="s">
        <v>15862</v>
      </c>
      <c r="C359" s="88" t="s">
        <v>38</v>
      </c>
      <c r="D359" s="113"/>
      <c r="E359" s="113"/>
      <c r="F359" s="114">
        <v>27.050000000000001</v>
      </c>
      <c r="H359" s="88" t="s">
        <v>38</v>
      </c>
      <c r="I359" s="113"/>
      <c r="J359" s="113"/>
      <c r="K359" s="114">
        <v>25.739999999999998</v>
      </c>
      <c r="L359" s="88"/>
      <c r="M359" s="88"/>
    </row>
    <row r="360" ht="38.25">
      <c r="A360" s="69">
        <v>801000134</v>
      </c>
      <c r="B360" s="89" t="s">
        <v>15863</v>
      </c>
      <c r="C360" s="88" t="s">
        <v>38</v>
      </c>
      <c r="D360" s="113"/>
      <c r="E360" s="113"/>
      <c r="F360" s="114">
        <v>14.609999999999999</v>
      </c>
      <c r="H360" s="88" t="s">
        <v>38</v>
      </c>
      <c r="I360" s="113"/>
      <c r="J360" s="113"/>
      <c r="K360" s="114">
        <v>14.49</v>
      </c>
      <c r="L360" s="88"/>
      <c r="M360" s="88"/>
    </row>
    <row r="361" ht="38.25">
      <c r="A361" s="108">
        <v>801000150</v>
      </c>
      <c r="B361" s="109" t="s">
        <v>15864</v>
      </c>
      <c r="C361" s="110" t="s">
        <v>121</v>
      </c>
      <c r="D361" s="111">
        <v>2316.5300000000002</v>
      </c>
      <c r="E361" s="111">
        <v>1177.1400000000001</v>
      </c>
      <c r="F361" s="112">
        <v>3493.6700000000001</v>
      </c>
      <c r="H361" s="110" t="s">
        <v>121</v>
      </c>
      <c r="I361" s="111">
        <v>2316.5300000000002</v>
      </c>
      <c r="J361" s="111">
        <v>1089.3499999999999</v>
      </c>
      <c r="K361" s="112">
        <v>3405.8800000000001</v>
      </c>
      <c r="L361" s="88"/>
      <c r="M361" s="88"/>
    </row>
    <row r="362" ht="25.5">
      <c r="A362" s="69">
        <v>801000155</v>
      </c>
      <c r="B362" s="89" t="s">
        <v>15865</v>
      </c>
      <c r="C362" s="88" t="s">
        <v>38</v>
      </c>
      <c r="D362" s="113"/>
      <c r="E362" s="113"/>
      <c r="F362" s="114">
        <v>24.449999999999999</v>
      </c>
      <c r="H362" s="88" t="s">
        <v>38</v>
      </c>
      <c r="I362" s="113"/>
      <c r="J362" s="113"/>
      <c r="K362" s="114">
        <v>23.98</v>
      </c>
      <c r="L362" s="88"/>
      <c r="M362" s="88"/>
    </row>
    <row r="363" ht="25.5">
      <c r="A363" s="69">
        <v>801000160</v>
      </c>
      <c r="B363" s="89" t="s">
        <v>15866</v>
      </c>
      <c r="C363" s="88" t="s">
        <v>38</v>
      </c>
      <c r="D363" s="113"/>
      <c r="E363" s="113"/>
      <c r="F363" s="114">
        <v>21.5</v>
      </c>
      <c r="H363" s="88" t="s">
        <v>38</v>
      </c>
      <c r="I363" s="113"/>
      <c r="J363" s="113"/>
      <c r="K363" s="114">
        <v>21.109999999999999</v>
      </c>
      <c r="L363" s="88"/>
      <c r="M363" s="88"/>
    </row>
    <row r="364" ht="25.5">
      <c r="A364" s="69">
        <v>801000165</v>
      </c>
      <c r="B364" s="89" t="s">
        <v>15867</v>
      </c>
      <c r="C364" s="88" t="s">
        <v>38</v>
      </c>
      <c r="D364" s="113"/>
      <c r="E364" s="113"/>
      <c r="F364" s="114">
        <v>28.120000000000001</v>
      </c>
      <c r="H364" s="88" t="s">
        <v>38</v>
      </c>
      <c r="I364" s="113"/>
      <c r="J364" s="113"/>
      <c r="K364" s="114">
        <v>27.59</v>
      </c>
      <c r="L364" s="88"/>
      <c r="M364" s="88"/>
    </row>
    <row r="365">
      <c r="D365" s="113"/>
      <c r="E365" s="113"/>
      <c r="F365" s="114"/>
      <c r="H365" s="88"/>
      <c r="I365" s="113"/>
      <c r="J365" s="113"/>
      <c r="K365" s="114"/>
      <c r="L365" s="88"/>
      <c r="M365" s="88"/>
    </row>
    <row r="366">
      <c r="B366" s="102" t="s">
        <v>15868</v>
      </c>
      <c r="D366" s="113"/>
      <c r="E366" s="113"/>
      <c r="F366" s="114"/>
      <c r="H366" s="88"/>
      <c r="I366" s="113"/>
      <c r="J366" s="113"/>
      <c r="K366" s="114"/>
      <c r="L366" s="88"/>
      <c r="M366" s="88"/>
    </row>
    <row r="367">
      <c r="D367" s="113"/>
      <c r="E367" s="113"/>
      <c r="F367" s="114"/>
      <c r="H367" s="88"/>
      <c r="I367" s="113"/>
      <c r="J367" s="113"/>
      <c r="K367" s="114"/>
      <c r="L367" s="88"/>
      <c r="M367" s="88"/>
    </row>
    <row r="368">
      <c r="A368" s="88" t="s">
        <v>15547</v>
      </c>
      <c r="B368" s="89" t="s">
        <v>15548</v>
      </c>
      <c r="C368" s="88" t="s">
        <v>15337</v>
      </c>
      <c r="D368" s="113" t="s">
        <v>10460</v>
      </c>
      <c r="E368" s="113" t="s">
        <v>15549</v>
      </c>
      <c r="F368" s="114" t="s">
        <v>15550</v>
      </c>
      <c r="H368" s="88" t="s">
        <v>15337</v>
      </c>
      <c r="I368" s="113" t="s">
        <v>10460</v>
      </c>
      <c r="J368" s="113" t="s">
        <v>15549</v>
      </c>
      <c r="K368" s="114" t="s">
        <v>15550</v>
      </c>
      <c r="L368" s="88"/>
      <c r="M368" s="88"/>
    </row>
    <row r="369">
      <c r="D369" s="113"/>
      <c r="E369" s="113"/>
      <c r="F369" s="114"/>
      <c r="H369" s="88"/>
      <c r="I369" s="113"/>
      <c r="J369" s="113"/>
      <c r="K369" s="114"/>
      <c r="L369" s="88"/>
      <c r="M369" s="88"/>
    </row>
    <row r="370" ht="25.5">
      <c r="A370" s="108">
        <v>901000100</v>
      </c>
      <c r="B370" s="109" t="s">
        <v>15869</v>
      </c>
      <c r="C370" s="110" t="s">
        <v>29</v>
      </c>
      <c r="D370" s="111">
        <v>59.299999999999997</v>
      </c>
      <c r="E370" s="111">
        <v>58</v>
      </c>
      <c r="F370" s="112">
        <v>117.3</v>
      </c>
      <c r="H370" s="110" t="s">
        <v>29</v>
      </c>
      <c r="I370" s="111">
        <v>59.299999999999997</v>
      </c>
      <c r="J370" s="111">
        <v>53.619999999999997</v>
      </c>
      <c r="K370" s="112">
        <v>112.92</v>
      </c>
      <c r="L370" s="88"/>
      <c r="M370" s="88"/>
    </row>
    <row r="371" ht="38.25">
      <c r="A371" s="108">
        <v>901000101</v>
      </c>
      <c r="B371" s="109" t="s">
        <v>15870</v>
      </c>
      <c r="C371" s="110" t="s">
        <v>29</v>
      </c>
      <c r="D371" s="111">
        <v>76.049999999999997</v>
      </c>
      <c r="E371" s="111">
        <v>107.19</v>
      </c>
      <c r="F371" s="112">
        <v>183.24000000000001</v>
      </c>
      <c r="H371" s="110" t="s">
        <v>29</v>
      </c>
      <c r="I371" s="111">
        <v>76.049999999999997</v>
      </c>
      <c r="J371" s="111">
        <v>99.090000000000003</v>
      </c>
      <c r="K371" s="112">
        <v>175.13999999999999</v>
      </c>
      <c r="L371" s="88"/>
      <c r="M371" s="88"/>
    </row>
    <row r="372" ht="25.5">
      <c r="A372" s="108">
        <v>901000102</v>
      </c>
      <c r="B372" s="109" t="s">
        <v>15871</v>
      </c>
      <c r="C372" s="110" t="s">
        <v>29</v>
      </c>
      <c r="D372" s="111">
        <v>97.329999999999998</v>
      </c>
      <c r="E372" s="111">
        <v>163.81999999999999</v>
      </c>
      <c r="F372" s="112">
        <v>261.14999999999998</v>
      </c>
      <c r="H372" s="110" t="s">
        <v>29</v>
      </c>
      <c r="I372" s="111">
        <v>97.329999999999998</v>
      </c>
      <c r="J372" s="111">
        <v>151.43000000000001</v>
      </c>
      <c r="K372" s="112">
        <v>248.75999999999999</v>
      </c>
      <c r="L372" s="88"/>
      <c r="M372" s="88"/>
    </row>
    <row r="373" ht="38.25">
      <c r="A373" s="108">
        <v>901000105</v>
      </c>
      <c r="B373" s="109" t="s">
        <v>15872</v>
      </c>
      <c r="C373" s="110" t="s">
        <v>29</v>
      </c>
      <c r="D373" s="111">
        <v>61.93</v>
      </c>
      <c r="E373" s="111">
        <v>82.129999999999995</v>
      </c>
      <c r="F373" s="112">
        <v>144.06</v>
      </c>
      <c r="H373" s="110" t="s">
        <v>29</v>
      </c>
      <c r="I373" s="111">
        <v>61.93</v>
      </c>
      <c r="J373" s="111">
        <v>75.920000000000002</v>
      </c>
      <c r="K373" s="112">
        <v>137.84999999999999</v>
      </c>
      <c r="L373" s="88"/>
      <c r="M373" s="88"/>
    </row>
    <row r="374" ht="38.25">
      <c r="A374" s="108">
        <v>901000106</v>
      </c>
      <c r="B374" s="109" t="s">
        <v>15873</v>
      </c>
      <c r="C374" s="110" t="s">
        <v>29</v>
      </c>
      <c r="D374" s="111">
        <v>71.680000000000007</v>
      </c>
      <c r="E374" s="111">
        <v>91.879999999999995</v>
      </c>
      <c r="F374" s="112">
        <v>163.56</v>
      </c>
      <c r="H374" s="110" t="s">
        <v>29</v>
      </c>
      <c r="I374" s="111">
        <v>71.680000000000007</v>
      </c>
      <c r="J374" s="111">
        <v>84.930000000000007</v>
      </c>
      <c r="K374" s="112">
        <v>156.61000000000001</v>
      </c>
      <c r="L374" s="88"/>
      <c r="M374" s="88"/>
    </row>
    <row r="375" ht="38.25">
      <c r="A375" s="108">
        <v>901000107</v>
      </c>
      <c r="B375" s="109" t="s">
        <v>15874</v>
      </c>
      <c r="C375" s="110" t="s">
        <v>29</v>
      </c>
      <c r="D375" s="111">
        <v>83.060000000000002</v>
      </c>
      <c r="E375" s="111">
        <v>110.91</v>
      </c>
      <c r="F375" s="112">
        <v>193.97</v>
      </c>
      <c r="H375" s="110" t="s">
        <v>29</v>
      </c>
      <c r="I375" s="111">
        <v>83.060000000000002</v>
      </c>
      <c r="J375" s="111">
        <v>102.52</v>
      </c>
      <c r="K375" s="112">
        <v>185.58000000000001</v>
      </c>
      <c r="L375" s="88"/>
      <c r="M375" s="88"/>
    </row>
    <row r="376" ht="38.25">
      <c r="A376" s="108">
        <v>901000108</v>
      </c>
      <c r="B376" s="109" t="s">
        <v>12452</v>
      </c>
      <c r="C376" s="110" t="s">
        <v>31</v>
      </c>
      <c r="D376" s="111">
        <v>27.100000000000001</v>
      </c>
      <c r="E376" s="111">
        <v>7.1699999999999999</v>
      </c>
      <c r="F376" s="112">
        <v>34.270000000000003</v>
      </c>
      <c r="H376" s="110" t="s">
        <v>31</v>
      </c>
      <c r="I376" s="111">
        <v>27.100000000000001</v>
      </c>
      <c r="J376" s="111">
        <v>6.6200000000000001</v>
      </c>
      <c r="K376" s="112">
        <v>33.719999999999999</v>
      </c>
      <c r="L376" s="88"/>
      <c r="M376" s="88"/>
    </row>
    <row r="377" ht="25.5">
      <c r="A377" s="108">
        <v>901000110</v>
      </c>
      <c r="B377" s="109" t="s">
        <v>15875</v>
      </c>
      <c r="C377" s="110" t="s">
        <v>29</v>
      </c>
      <c r="D377" s="111">
        <v>37.840000000000003</v>
      </c>
      <c r="E377" s="111">
        <v>55.689999999999998</v>
      </c>
      <c r="F377" s="112">
        <v>93.530000000000001</v>
      </c>
      <c r="H377" s="110" t="s">
        <v>29</v>
      </c>
      <c r="I377" s="111">
        <v>37.840000000000003</v>
      </c>
      <c r="J377" s="111">
        <v>51.469999999999999</v>
      </c>
      <c r="K377" s="112">
        <v>89.310000000000002</v>
      </c>
      <c r="L377" s="88"/>
      <c r="M377" s="88"/>
    </row>
    <row r="378" ht="38.25">
      <c r="A378" s="108">
        <v>901000112</v>
      </c>
      <c r="B378" s="109" t="s">
        <v>15876</v>
      </c>
      <c r="C378" s="110" t="s">
        <v>29</v>
      </c>
      <c r="D378" s="111">
        <v>18.449999999999999</v>
      </c>
      <c r="E378" s="111">
        <v>41.759999999999998</v>
      </c>
      <c r="F378" s="112">
        <v>60.210000000000001</v>
      </c>
      <c r="H378" s="110" t="s">
        <v>29</v>
      </c>
      <c r="I378" s="111">
        <v>18.449999999999999</v>
      </c>
      <c r="J378" s="111">
        <v>38.600000000000001</v>
      </c>
      <c r="K378" s="112">
        <v>57.049999999999997</v>
      </c>
      <c r="L378" s="88"/>
      <c r="M378" s="88"/>
    </row>
    <row r="379" ht="25.5">
      <c r="A379" s="108">
        <v>901000114</v>
      </c>
      <c r="B379" s="109" t="s">
        <v>15877</v>
      </c>
      <c r="C379" s="110" t="s">
        <v>29</v>
      </c>
      <c r="D379" s="111">
        <v>13.529999999999999</v>
      </c>
      <c r="E379" s="111">
        <v>12.81</v>
      </c>
      <c r="F379" s="112">
        <v>26.34</v>
      </c>
      <c r="H379" s="110" t="s">
        <v>29</v>
      </c>
      <c r="I379" s="111">
        <v>13.529999999999999</v>
      </c>
      <c r="J379" s="111">
        <v>11.859999999999999</v>
      </c>
      <c r="K379" s="112">
        <v>25.390000000000001</v>
      </c>
      <c r="L379" s="88"/>
      <c r="M379" s="88"/>
    </row>
    <row r="380" ht="25.5">
      <c r="A380" s="108">
        <v>901000115</v>
      </c>
      <c r="B380" s="109" t="s">
        <v>15878</v>
      </c>
      <c r="C380" s="110" t="s">
        <v>38</v>
      </c>
      <c r="D380" s="111">
        <v>5.5899999999999999</v>
      </c>
      <c r="E380" s="111">
        <v>1.3899999999999999</v>
      </c>
      <c r="F380" s="112">
        <v>6.9800000000000004</v>
      </c>
      <c r="H380" s="110" t="s">
        <v>38</v>
      </c>
      <c r="I380" s="111">
        <v>5.5899999999999999</v>
      </c>
      <c r="J380" s="111">
        <v>1.28</v>
      </c>
      <c r="K380" s="112">
        <v>6.8700000000000001</v>
      </c>
      <c r="L380" s="88"/>
      <c r="M380" s="88"/>
    </row>
    <row r="381">
      <c r="A381" s="108">
        <v>901000117</v>
      </c>
      <c r="B381" s="109" t="s">
        <v>15879</v>
      </c>
      <c r="C381" s="110" t="s">
        <v>38</v>
      </c>
      <c r="D381" s="111">
        <v>14.44</v>
      </c>
      <c r="E381" s="111">
        <v>5.5599999999999996</v>
      </c>
      <c r="F381" s="112">
        <v>20</v>
      </c>
      <c r="H381" s="110" t="s">
        <v>38</v>
      </c>
      <c r="I381" s="111">
        <v>14.44</v>
      </c>
      <c r="J381" s="111">
        <v>5.1399999999999997</v>
      </c>
      <c r="K381" s="112">
        <v>19.579999999999998</v>
      </c>
      <c r="L381" s="88"/>
      <c r="M381" s="88"/>
    </row>
    <row r="382">
      <c r="A382" s="108">
        <v>901000118</v>
      </c>
      <c r="B382" s="109" t="s">
        <v>15880</v>
      </c>
      <c r="C382" s="110" t="s">
        <v>38</v>
      </c>
      <c r="D382" s="111">
        <v>27.920000000000002</v>
      </c>
      <c r="E382" s="111">
        <v>16.239999999999998</v>
      </c>
      <c r="F382" s="112">
        <v>44.159999999999997</v>
      </c>
      <c r="H382" s="110" t="s">
        <v>38</v>
      </c>
      <c r="I382" s="111">
        <v>27.920000000000002</v>
      </c>
      <c r="J382" s="111">
        <v>15</v>
      </c>
      <c r="K382" s="112">
        <v>42.920000000000002</v>
      </c>
      <c r="L382" s="88"/>
      <c r="M382" s="88"/>
    </row>
    <row r="383">
      <c r="A383" s="108">
        <v>901000119</v>
      </c>
      <c r="B383" s="109" t="s">
        <v>15881</v>
      </c>
      <c r="C383" s="110" t="s">
        <v>38</v>
      </c>
      <c r="D383" s="111">
        <v>36.840000000000003</v>
      </c>
      <c r="E383" s="111">
        <v>19.48</v>
      </c>
      <c r="F383" s="112">
        <v>56.32</v>
      </c>
      <c r="H383" s="110" t="s">
        <v>38</v>
      </c>
      <c r="I383" s="111">
        <v>36.840000000000003</v>
      </c>
      <c r="J383" s="111">
        <v>18.010000000000002</v>
      </c>
      <c r="K383" s="112">
        <v>54.850000000000001</v>
      </c>
      <c r="L383" s="88"/>
      <c r="M383" s="88"/>
    </row>
    <row r="384" ht="25.5">
      <c r="A384" s="108">
        <v>901000120</v>
      </c>
      <c r="B384" s="109" t="s">
        <v>15882</v>
      </c>
      <c r="C384" s="110" t="s">
        <v>38</v>
      </c>
      <c r="D384" s="111">
        <v>20.609999999999999</v>
      </c>
      <c r="E384" s="111">
        <v>9.2799999999999994</v>
      </c>
      <c r="F384" s="112">
        <v>29.890000000000001</v>
      </c>
      <c r="H384" s="110" t="s">
        <v>38</v>
      </c>
      <c r="I384" s="111">
        <v>20.609999999999999</v>
      </c>
      <c r="J384" s="111">
        <v>8.5700000000000003</v>
      </c>
      <c r="K384" s="112">
        <v>29.18</v>
      </c>
      <c r="L384" s="88"/>
      <c r="M384" s="88"/>
    </row>
    <row r="385">
      <c r="A385" s="108">
        <v>901000121</v>
      </c>
      <c r="B385" s="109" t="s">
        <v>15883</v>
      </c>
      <c r="C385" s="110" t="s">
        <v>38</v>
      </c>
      <c r="D385" s="111">
        <v>25.57</v>
      </c>
      <c r="E385" s="111">
        <v>9.2799999999999994</v>
      </c>
      <c r="F385" s="112">
        <v>34.850000000000001</v>
      </c>
      <c r="H385" s="110" t="s">
        <v>38</v>
      </c>
      <c r="I385" s="111">
        <v>25.57</v>
      </c>
      <c r="J385" s="111">
        <v>8.5700000000000003</v>
      </c>
      <c r="K385" s="112">
        <v>34.140000000000001</v>
      </c>
      <c r="L385" s="88"/>
      <c r="M385" s="88"/>
    </row>
    <row r="386">
      <c r="A386" s="108">
        <v>901000122</v>
      </c>
      <c r="B386" s="109" t="s">
        <v>15884</v>
      </c>
      <c r="C386" s="110" t="s">
        <v>38</v>
      </c>
      <c r="D386" s="111">
        <v>34.130000000000003</v>
      </c>
      <c r="E386" s="111">
        <v>9.2799999999999994</v>
      </c>
      <c r="F386" s="112">
        <v>43.409999999999997</v>
      </c>
      <c r="H386" s="110" t="s">
        <v>38</v>
      </c>
      <c r="I386" s="111">
        <v>34.130000000000003</v>
      </c>
      <c r="J386" s="111">
        <v>8.5700000000000003</v>
      </c>
      <c r="K386" s="112">
        <v>42.700000000000003</v>
      </c>
      <c r="L386" s="88"/>
      <c r="M386" s="88"/>
    </row>
    <row r="387">
      <c r="A387" s="108">
        <v>901000124</v>
      </c>
      <c r="B387" s="109" t="s">
        <v>15885</v>
      </c>
      <c r="C387" s="110" t="s">
        <v>38</v>
      </c>
      <c r="D387" s="111">
        <v>5.5899999999999999</v>
      </c>
      <c r="E387" s="111">
        <v>1.8500000000000001</v>
      </c>
      <c r="F387" s="112">
        <v>7.4400000000000004</v>
      </c>
      <c r="H387" s="110" t="s">
        <v>38</v>
      </c>
      <c r="I387" s="111">
        <v>5.5899999999999999</v>
      </c>
      <c r="J387" s="111">
        <v>1.71</v>
      </c>
      <c r="K387" s="112">
        <v>7.2999999999999998</v>
      </c>
      <c r="L387" s="88"/>
      <c r="M387" s="88"/>
    </row>
    <row r="388">
      <c r="A388" s="108">
        <v>901000126</v>
      </c>
      <c r="B388" s="109" t="s">
        <v>15879</v>
      </c>
      <c r="C388" s="110" t="s">
        <v>38</v>
      </c>
      <c r="D388" s="111">
        <v>14.44</v>
      </c>
      <c r="E388" s="111">
        <v>7.4100000000000001</v>
      </c>
      <c r="F388" s="112">
        <v>21.850000000000001</v>
      </c>
      <c r="H388" s="110" t="s">
        <v>38</v>
      </c>
      <c r="I388" s="111">
        <v>14.44</v>
      </c>
      <c r="J388" s="111">
        <v>6.8499999999999996</v>
      </c>
      <c r="K388" s="112">
        <v>21.289999999999999</v>
      </c>
      <c r="L388" s="88"/>
      <c r="M388" s="88"/>
    </row>
    <row r="389">
      <c r="A389" s="108">
        <v>901000128</v>
      </c>
      <c r="B389" s="109" t="s">
        <v>15880</v>
      </c>
      <c r="C389" s="110" t="s">
        <v>38</v>
      </c>
      <c r="D389" s="111">
        <v>27.920000000000002</v>
      </c>
      <c r="E389" s="111">
        <v>23.199999999999999</v>
      </c>
      <c r="F389" s="112">
        <v>51.119999999999997</v>
      </c>
      <c r="H389" s="110" t="s">
        <v>38</v>
      </c>
      <c r="I389" s="111">
        <v>27.920000000000002</v>
      </c>
      <c r="J389" s="111">
        <v>21.440000000000001</v>
      </c>
      <c r="K389" s="112">
        <v>49.359999999999999</v>
      </c>
      <c r="L389" s="88"/>
      <c r="M389" s="88"/>
    </row>
    <row r="390">
      <c r="A390" s="108">
        <v>901000130</v>
      </c>
      <c r="B390" s="109" t="s">
        <v>15881</v>
      </c>
      <c r="C390" s="110" t="s">
        <v>38</v>
      </c>
      <c r="D390" s="111">
        <v>36.840000000000003</v>
      </c>
      <c r="E390" s="111">
        <v>27.84</v>
      </c>
      <c r="F390" s="112">
        <v>64.680000000000007</v>
      </c>
      <c r="H390" s="110" t="s">
        <v>38</v>
      </c>
      <c r="I390" s="111">
        <v>36.840000000000003</v>
      </c>
      <c r="J390" s="111">
        <v>25.73</v>
      </c>
      <c r="K390" s="112">
        <v>62.57</v>
      </c>
      <c r="L390" s="88"/>
      <c r="M390" s="88"/>
    </row>
    <row r="391" ht="25.5">
      <c r="A391" s="108">
        <v>901000131</v>
      </c>
      <c r="B391" s="109" t="s">
        <v>15886</v>
      </c>
      <c r="C391" s="110" t="s">
        <v>29</v>
      </c>
      <c r="D391" s="111">
        <v>4.2599999999999998</v>
      </c>
      <c r="E391" s="111">
        <v>58</v>
      </c>
      <c r="F391" s="112">
        <v>62.259999999999998</v>
      </c>
      <c r="H391" s="110" t="s">
        <v>29</v>
      </c>
      <c r="I391" s="111">
        <v>4.2599999999999998</v>
      </c>
      <c r="J391" s="111">
        <v>53.619999999999997</v>
      </c>
      <c r="K391" s="112">
        <v>57.880000000000003</v>
      </c>
      <c r="L391" s="88"/>
      <c r="M391" s="88"/>
    </row>
    <row r="392" ht="25.5">
      <c r="A392" s="108">
        <v>901000132</v>
      </c>
      <c r="B392" s="109" t="s">
        <v>15887</v>
      </c>
      <c r="C392" s="110" t="s">
        <v>29</v>
      </c>
      <c r="D392" s="111">
        <v>4.04</v>
      </c>
      <c r="E392" s="111">
        <v>82.129999999999995</v>
      </c>
      <c r="F392" s="112">
        <v>86.170000000000002</v>
      </c>
      <c r="H392" s="110" t="s">
        <v>29</v>
      </c>
      <c r="I392" s="111">
        <v>4.04</v>
      </c>
      <c r="J392" s="111">
        <v>75.920000000000002</v>
      </c>
      <c r="K392" s="112">
        <v>79.959999999999994</v>
      </c>
      <c r="L392" s="88"/>
      <c r="M392" s="88"/>
    </row>
    <row r="393" ht="51">
      <c r="A393" s="69">
        <v>901000133</v>
      </c>
      <c r="B393" s="89" t="s">
        <v>15888</v>
      </c>
      <c r="C393" s="88" t="s">
        <v>29</v>
      </c>
      <c r="D393" s="113"/>
      <c r="E393" s="113"/>
      <c r="F393" s="114">
        <v>50.979999999999997</v>
      </c>
      <c r="H393" s="88" t="s">
        <v>29</v>
      </c>
      <c r="I393" s="113"/>
      <c r="J393" s="113"/>
      <c r="K393" s="114">
        <v>50.280000000000001</v>
      </c>
      <c r="L393" s="88"/>
      <c r="M393" s="88"/>
    </row>
    <row r="394" ht="51">
      <c r="A394" s="69">
        <v>901000134</v>
      </c>
      <c r="B394" s="89" t="s">
        <v>15889</v>
      </c>
      <c r="C394" s="88" t="s">
        <v>29</v>
      </c>
      <c r="D394" s="113"/>
      <c r="E394" s="113"/>
      <c r="F394" s="114">
        <v>133.53999999999999</v>
      </c>
      <c r="H394" s="88" t="s">
        <v>29</v>
      </c>
      <c r="I394" s="113"/>
      <c r="J394" s="113"/>
      <c r="K394" s="114">
        <v>132.37</v>
      </c>
      <c r="L394" s="88"/>
      <c r="M394" s="88"/>
    </row>
    <row r="395" ht="63.75">
      <c r="A395" s="108">
        <v>901000135</v>
      </c>
      <c r="B395" s="109" t="s">
        <v>15890</v>
      </c>
      <c r="C395" s="110" t="s">
        <v>302</v>
      </c>
      <c r="D395" s="111">
        <v>19.629999999999999</v>
      </c>
      <c r="E395" s="111">
        <v>4.2199999999999998</v>
      </c>
      <c r="F395" s="112">
        <v>23.850000000000001</v>
      </c>
      <c r="H395" s="110" t="s">
        <v>302</v>
      </c>
      <c r="I395" s="111">
        <v>19.539999999999999</v>
      </c>
      <c r="J395" s="111">
        <v>3.8799999999999999</v>
      </c>
      <c r="K395" s="112">
        <v>23.420000000000002</v>
      </c>
      <c r="L395" s="88"/>
      <c r="M395" s="88"/>
    </row>
    <row r="396" ht="63.75">
      <c r="A396" s="108">
        <v>901000137</v>
      </c>
      <c r="B396" s="109" t="s">
        <v>15891</v>
      </c>
      <c r="C396" s="110" t="s">
        <v>302</v>
      </c>
      <c r="D396" s="111">
        <v>19.629999999999999</v>
      </c>
      <c r="E396" s="111">
        <v>5.6200000000000001</v>
      </c>
      <c r="F396" s="112">
        <v>25.25</v>
      </c>
      <c r="H396" s="110" t="s">
        <v>302</v>
      </c>
      <c r="I396" s="111">
        <v>19.539999999999999</v>
      </c>
      <c r="J396" s="111">
        <v>5.1900000000000004</v>
      </c>
      <c r="K396" s="112">
        <v>24.73</v>
      </c>
      <c r="L396" s="88"/>
      <c r="M396" s="88"/>
    </row>
    <row r="397" ht="51">
      <c r="A397" s="108">
        <v>901000138</v>
      </c>
      <c r="B397" s="109" t="s">
        <v>15892</v>
      </c>
      <c r="C397" s="110" t="s">
        <v>302</v>
      </c>
      <c r="D397" s="111">
        <v>19.420000000000002</v>
      </c>
      <c r="E397" s="111">
        <v>0.34999999999999998</v>
      </c>
      <c r="F397" s="112">
        <v>19.77</v>
      </c>
      <c r="H397" s="110" t="s">
        <v>302</v>
      </c>
      <c r="I397" s="111">
        <v>19.32</v>
      </c>
      <c r="J397" s="111">
        <v>0.32000000000000001</v>
      </c>
      <c r="K397" s="112">
        <v>19.640000000000001</v>
      </c>
      <c r="L397" s="88"/>
      <c r="M397" s="88"/>
    </row>
    <row r="398" ht="51">
      <c r="A398" s="108">
        <v>901000139</v>
      </c>
      <c r="B398" s="109" t="s">
        <v>15893</v>
      </c>
      <c r="C398" s="110" t="s">
        <v>302</v>
      </c>
      <c r="D398" s="111">
        <v>11.93</v>
      </c>
      <c r="E398" s="111">
        <v>0.17999999999999999</v>
      </c>
      <c r="F398" s="112">
        <v>12.109999999999999</v>
      </c>
      <c r="H398" s="110" t="s">
        <v>302</v>
      </c>
      <c r="I398" s="111">
        <v>11.92</v>
      </c>
      <c r="J398" s="111">
        <v>0.16</v>
      </c>
      <c r="K398" s="112">
        <v>12.08</v>
      </c>
      <c r="L398" s="88"/>
      <c r="M398" s="88"/>
    </row>
    <row r="399" ht="51">
      <c r="A399" s="108">
        <v>901000140</v>
      </c>
      <c r="B399" s="109" t="s">
        <v>15894</v>
      </c>
      <c r="C399" s="110" t="s">
        <v>302</v>
      </c>
      <c r="D399" s="111">
        <v>13.35</v>
      </c>
      <c r="E399" s="111">
        <v>0.20000000000000001</v>
      </c>
      <c r="F399" s="112">
        <v>13.550000000000001</v>
      </c>
      <c r="H399" s="110" t="s">
        <v>302</v>
      </c>
      <c r="I399" s="111">
        <v>13.32</v>
      </c>
      <c r="J399" s="111">
        <v>0.19</v>
      </c>
      <c r="K399" s="112">
        <v>13.51</v>
      </c>
      <c r="L399" s="88"/>
      <c r="M399" s="88"/>
    </row>
    <row r="400" ht="25.5">
      <c r="A400" s="108">
        <v>901000141</v>
      </c>
      <c r="B400" s="109" t="s">
        <v>15895</v>
      </c>
      <c r="C400" s="110" t="s">
        <v>29</v>
      </c>
      <c r="D400" s="111">
        <v>163.06</v>
      </c>
      <c r="E400" s="111">
        <v>13.25</v>
      </c>
      <c r="F400" s="112">
        <v>176.31</v>
      </c>
      <c r="H400" s="110" t="s">
        <v>29</v>
      </c>
      <c r="I400" s="111">
        <v>163.06</v>
      </c>
      <c r="J400" s="111">
        <v>12.25</v>
      </c>
      <c r="K400" s="112">
        <v>175.31</v>
      </c>
      <c r="L400" s="88"/>
      <c r="M400" s="88"/>
    </row>
    <row r="401" ht="25.5">
      <c r="A401" s="108">
        <v>901000142</v>
      </c>
      <c r="B401" s="109" t="s">
        <v>15896</v>
      </c>
      <c r="C401" s="110" t="s">
        <v>29</v>
      </c>
      <c r="D401" s="111">
        <v>135.11000000000001</v>
      </c>
      <c r="E401" s="111">
        <v>13.25</v>
      </c>
      <c r="F401" s="112">
        <v>148.36000000000001</v>
      </c>
      <c r="H401" s="110" t="s">
        <v>29</v>
      </c>
      <c r="I401" s="111">
        <v>135.11000000000001</v>
      </c>
      <c r="J401" s="111">
        <v>12.25</v>
      </c>
      <c r="K401" s="112">
        <v>147.36000000000001</v>
      </c>
      <c r="L401" s="88"/>
      <c r="M401" s="88"/>
    </row>
    <row r="402">
      <c r="D402" s="113"/>
      <c r="E402" s="113"/>
      <c r="F402" s="114"/>
      <c r="H402" s="88"/>
      <c r="I402" s="113"/>
      <c r="J402" s="113"/>
      <c r="K402" s="114"/>
      <c r="L402" s="88"/>
      <c r="M402" s="88"/>
    </row>
    <row r="403">
      <c r="B403" s="102" t="s">
        <v>15897</v>
      </c>
      <c r="D403" s="113"/>
      <c r="E403" s="113"/>
      <c r="F403" s="114"/>
      <c r="H403" s="88"/>
      <c r="I403" s="113"/>
      <c r="J403" s="113"/>
      <c r="K403" s="114"/>
      <c r="L403" s="88"/>
      <c r="M403" s="88"/>
    </row>
    <row r="404">
      <c r="D404" s="113"/>
      <c r="E404" s="113"/>
      <c r="F404" s="114"/>
      <c r="H404" s="88"/>
      <c r="I404" s="113"/>
      <c r="J404" s="113"/>
      <c r="K404" s="114"/>
      <c r="L404" s="88"/>
      <c r="M404" s="88"/>
    </row>
    <row r="405">
      <c r="A405" s="88" t="s">
        <v>15547</v>
      </c>
      <c r="B405" s="89" t="s">
        <v>15548</v>
      </c>
      <c r="C405" s="88" t="s">
        <v>15337</v>
      </c>
      <c r="D405" s="113" t="s">
        <v>10460</v>
      </c>
      <c r="E405" s="113" t="s">
        <v>15549</v>
      </c>
      <c r="F405" s="114" t="s">
        <v>15550</v>
      </c>
      <c r="H405" s="88" t="s">
        <v>15337</v>
      </c>
      <c r="I405" s="113" t="s">
        <v>10460</v>
      </c>
      <c r="J405" s="113" t="s">
        <v>15549</v>
      </c>
      <c r="K405" s="114" t="s">
        <v>15550</v>
      </c>
      <c r="L405" s="88"/>
      <c r="M405" s="88"/>
    </row>
    <row r="406">
      <c r="D406" s="113"/>
      <c r="E406" s="113"/>
      <c r="F406" s="114"/>
      <c r="H406" s="88"/>
      <c r="I406" s="113"/>
      <c r="J406" s="113"/>
      <c r="K406" s="114"/>
      <c r="L406" s="88"/>
      <c r="M406" s="88"/>
    </row>
    <row r="407" ht="38.25">
      <c r="A407" s="69">
        <v>1001000100</v>
      </c>
      <c r="B407" s="89" t="s">
        <v>15898</v>
      </c>
      <c r="C407" s="88" t="s">
        <v>29</v>
      </c>
      <c r="D407" s="113"/>
      <c r="E407" s="113"/>
      <c r="F407" s="114">
        <v>39.960000000000001</v>
      </c>
      <c r="H407" s="88" t="s">
        <v>29</v>
      </c>
      <c r="I407" s="113"/>
      <c r="J407" s="113"/>
      <c r="K407" s="114">
        <v>39.289999999999999</v>
      </c>
      <c r="L407" s="88"/>
      <c r="M407" s="88"/>
    </row>
    <row r="408" ht="38.25">
      <c r="A408" s="69">
        <v>1001000101</v>
      </c>
      <c r="B408" s="89" t="s">
        <v>15899</v>
      </c>
      <c r="C408" s="88" t="s">
        <v>29</v>
      </c>
      <c r="D408" s="113"/>
      <c r="E408" s="113"/>
      <c r="F408" s="114">
        <v>43.25</v>
      </c>
      <c r="H408" s="88" t="s">
        <v>29</v>
      </c>
      <c r="I408" s="113"/>
      <c r="J408" s="113"/>
      <c r="K408" s="114">
        <v>42.32</v>
      </c>
      <c r="L408" s="88"/>
      <c r="M408" s="88"/>
    </row>
    <row r="409" ht="38.25">
      <c r="A409" s="69">
        <v>1001000102</v>
      </c>
      <c r="B409" s="89" t="s">
        <v>15900</v>
      </c>
      <c r="C409" s="88" t="s">
        <v>29</v>
      </c>
      <c r="D409" s="113"/>
      <c r="E409" s="113"/>
      <c r="F409" s="114">
        <v>39.960000000000001</v>
      </c>
      <c r="H409" s="88" t="s">
        <v>29</v>
      </c>
      <c r="I409" s="113"/>
      <c r="J409" s="113"/>
      <c r="K409" s="114">
        <v>39.289999999999999</v>
      </c>
      <c r="L409" s="88"/>
      <c r="M409" s="88"/>
    </row>
    <row r="410" ht="38.25">
      <c r="A410" s="69">
        <v>1001000103</v>
      </c>
      <c r="B410" s="89" t="s">
        <v>15901</v>
      </c>
      <c r="C410" s="88" t="s">
        <v>29</v>
      </c>
      <c r="D410" s="113"/>
      <c r="E410" s="113"/>
      <c r="F410" s="114">
        <v>43.25</v>
      </c>
      <c r="H410" s="88" t="s">
        <v>29</v>
      </c>
      <c r="I410" s="113"/>
      <c r="J410" s="113"/>
      <c r="K410" s="114">
        <v>42.32</v>
      </c>
      <c r="L410" s="88"/>
      <c r="M410" s="88"/>
    </row>
    <row r="411" ht="51">
      <c r="A411" s="69">
        <v>1001000112</v>
      </c>
      <c r="B411" s="89" t="s">
        <v>15902</v>
      </c>
      <c r="C411" s="88" t="s">
        <v>38</v>
      </c>
      <c r="D411" s="113"/>
      <c r="E411" s="113"/>
      <c r="F411" s="114">
        <v>27.530000000000001</v>
      </c>
      <c r="H411" s="88" t="s">
        <v>38</v>
      </c>
      <c r="I411" s="113"/>
      <c r="J411" s="113"/>
      <c r="K411" s="114">
        <v>26.739999999999998</v>
      </c>
      <c r="L411" s="88"/>
      <c r="M411" s="88"/>
    </row>
    <row r="412" ht="51">
      <c r="A412" s="69">
        <v>1001000114</v>
      </c>
      <c r="B412" s="89" t="s">
        <v>15903</v>
      </c>
      <c r="C412" s="88" t="s">
        <v>38</v>
      </c>
      <c r="D412" s="113"/>
      <c r="E412" s="113"/>
      <c r="F412" s="114">
        <v>33.990000000000002</v>
      </c>
      <c r="H412" s="88" t="s">
        <v>38</v>
      </c>
      <c r="I412" s="113"/>
      <c r="J412" s="113"/>
      <c r="K412" s="114">
        <v>32.729999999999997</v>
      </c>
      <c r="L412" s="88"/>
      <c r="M412" s="88"/>
    </row>
    <row r="413" ht="51">
      <c r="A413" s="69">
        <v>1001000120</v>
      </c>
      <c r="B413" s="89" t="s">
        <v>15904</v>
      </c>
      <c r="C413" s="88" t="s">
        <v>29</v>
      </c>
      <c r="D413" s="113"/>
      <c r="E413" s="113"/>
      <c r="F413" s="114">
        <v>45.950000000000003</v>
      </c>
      <c r="H413" s="88" t="s">
        <v>29</v>
      </c>
      <c r="I413" s="113"/>
      <c r="J413" s="113"/>
      <c r="K413" s="114">
        <v>45.469999999999999</v>
      </c>
      <c r="L413" s="88"/>
      <c r="M413" s="88"/>
    </row>
    <row r="414" ht="38.25">
      <c r="A414" s="108">
        <v>1001000128</v>
      </c>
      <c r="B414" s="109" t="s">
        <v>15905</v>
      </c>
      <c r="C414" s="110" t="s">
        <v>29</v>
      </c>
      <c r="D414" s="111">
        <v>130.75999999999999</v>
      </c>
      <c r="E414" s="111">
        <v>20.949999999999999</v>
      </c>
      <c r="F414" s="112">
        <v>151.71000000000001</v>
      </c>
      <c r="H414" s="110" t="s">
        <v>29</v>
      </c>
      <c r="I414" s="111">
        <v>130.75999999999999</v>
      </c>
      <c r="J414" s="111">
        <v>19.420000000000002</v>
      </c>
      <c r="K414" s="112">
        <v>150.18000000000001</v>
      </c>
      <c r="L414" s="88"/>
      <c r="M414" s="88"/>
    </row>
    <row r="415" ht="38.25">
      <c r="A415" s="108">
        <v>1001000130</v>
      </c>
      <c r="B415" s="109" t="s">
        <v>15906</v>
      </c>
      <c r="C415" s="110" t="s">
        <v>29</v>
      </c>
      <c r="D415" s="111">
        <v>101.12</v>
      </c>
      <c r="E415" s="111">
        <v>26.190000000000001</v>
      </c>
      <c r="F415" s="112">
        <v>127.31</v>
      </c>
      <c r="H415" s="110" t="s">
        <v>29</v>
      </c>
      <c r="I415" s="111">
        <v>101.12</v>
      </c>
      <c r="J415" s="111">
        <v>24.280000000000001</v>
      </c>
      <c r="K415" s="112">
        <v>125.40000000000001</v>
      </c>
      <c r="L415" s="88"/>
      <c r="M415" s="88"/>
    </row>
    <row r="416" ht="38.25">
      <c r="A416" s="108">
        <v>1001000131</v>
      </c>
      <c r="B416" s="109" t="s">
        <v>15907</v>
      </c>
      <c r="C416" s="110" t="s">
        <v>29</v>
      </c>
      <c r="D416" s="111">
        <v>61.859999999999999</v>
      </c>
      <c r="E416" s="111">
        <v>4.29</v>
      </c>
      <c r="F416" s="112">
        <v>66.150000000000006</v>
      </c>
      <c r="H416" s="110" t="s">
        <v>29</v>
      </c>
      <c r="I416" s="111">
        <v>61.859999999999999</v>
      </c>
      <c r="J416" s="111">
        <v>3.96</v>
      </c>
      <c r="K416" s="112">
        <v>65.819999999999993</v>
      </c>
      <c r="L416" s="88"/>
      <c r="M416" s="88"/>
    </row>
    <row r="417" ht="25.5">
      <c r="A417" s="69">
        <v>1001000132</v>
      </c>
      <c r="B417" s="89" t="s">
        <v>15908</v>
      </c>
      <c r="C417" s="88" t="s">
        <v>29</v>
      </c>
      <c r="D417" s="113"/>
      <c r="E417" s="113"/>
      <c r="F417" s="114">
        <v>69.579999999999998</v>
      </c>
      <c r="H417" s="88" t="s">
        <v>29</v>
      </c>
      <c r="I417" s="113"/>
      <c r="J417" s="113"/>
      <c r="K417" s="114">
        <v>69.25</v>
      </c>
      <c r="L417" s="88"/>
      <c r="M417" s="88"/>
    </row>
    <row r="418" ht="38.25">
      <c r="A418" s="69">
        <v>1001000134</v>
      </c>
      <c r="B418" s="89" t="s">
        <v>15909</v>
      </c>
      <c r="C418" s="88" t="s">
        <v>29</v>
      </c>
      <c r="D418" s="113"/>
      <c r="E418" s="113"/>
      <c r="F418" s="114">
        <v>201.80000000000001</v>
      </c>
      <c r="H418" s="88" t="s">
        <v>29</v>
      </c>
      <c r="I418" s="113"/>
      <c r="J418" s="113"/>
      <c r="K418" s="114">
        <v>201.59999999999999</v>
      </c>
      <c r="L418" s="88"/>
      <c r="M418" s="88"/>
    </row>
    <row r="419" ht="25.5">
      <c r="A419" s="108">
        <v>1001000135</v>
      </c>
      <c r="B419" s="109" t="s">
        <v>15910</v>
      </c>
      <c r="C419" s="110" t="s">
        <v>38</v>
      </c>
      <c r="D419" s="111">
        <v>46.689999999999998</v>
      </c>
      <c r="E419" s="111">
        <v>5.04</v>
      </c>
      <c r="F419" s="112">
        <v>51.729999999999997</v>
      </c>
      <c r="H419" s="110" t="s">
        <v>38</v>
      </c>
      <c r="I419" s="111">
        <v>46.689999999999998</v>
      </c>
      <c r="J419" s="111">
        <v>4.6500000000000004</v>
      </c>
      <c r="K419" s="112">
        <v>51.340000000000003</v>
      </c>
      <c r="L419" s="88"/>
      <c r="M419" s="88"/>
    </row>
    <row r="420" ht="25.5">
      <c r="A420" s="108">
        <v>1001000136</v>
      </c>
      <c r="B420" s="109" t="s">
        <v>15911</v>
      </c>
      <c r="C420" s="110" t="s">
        <v>38</v>
      </c>
      <c r="D420" s="111">
        <v>61.289999999999999</v>
      </c>
      <c r="E420" s="111">
        <v>5.04</v>
      </c>
      <c r="F420" s="112">
        <v>66.329999999999998</v>
      </c>
      <c r="H420" s="110" t="s">
        <v>38</v>
      </c>
      <c r="I420" s="111">
        <v>61.289999999999999</v>
      </c>
      <c r="J420" s="111">
        <v>4.6500000000000004</v>
      </c>
      <c r="K420" s="112">
        <v>65.939999999999998</v>
      </c>
      <c r="L420" s="88"/>
      <c r="M420" s="88"/>
    </row>
    <row r="421" ht="38.25">
      <c r="A421" s="108">
        <v>1001000137</v>
      </c>
      <c r="B421" s="109" t="s">
        <v>15912</v>
      </c>
      <c r="C421" s="110" t="s">
        <v>38</v>
      </c>
      <c r="D421" s="111">
        <v>70.370000000000005</v>
      </c>
      <c r="E421" s="111">
        <v>5.04</v>
      </c>
      <c r="F421" s="112">
        <v>75.409999999999997</v>
      </c>
      <c r="H421" s="110" t="s">
        <v>38</v>
      </c>
      <c r="I421" s="111">
        <v>70.370000000000005</v>
      </c>
      <c r="J421" s="111">
        <v>4.6500000000000004</v>
      </c>
      <c r="K421" s="112">
        <v>75.019999999999996</v>
      </c>
      <c r="L421" s="88"/>
      <c r="M421" s="88"/>
    </row>
    <row r="422" ht="38.25">
      <c r="A422" s="69">
        <v>1001000140</v>
      </c>
      <c r="B422" s="89" t="s">
        <v>15913</v>
      </c>
      <c r="C422" s="88" t="s">
        <v>38</v>
      </c>
      <c r="D422" s="113"/>
      <c r="E422" s="113"/>
      <c r="F422" s="114">
        <v>77.879999999999995</v>
      </c>
      <c r="H422" s="88" t="s">
        <v>38</v>
      </c>
      <c r="I422" s="113"/>
      <c r="J422" s="113"/>
      <c r="K422" s="114">
        <v>77.640000000000001</v>
      </c>
      <c r="L422" s="88"/>
      <c r="M422" s="88"/>
    </row>
    <row r="423" ht="38.25">
      <c r="A423" s="69">
        <v>1001000150</v>
      </c>
      <c r="B423" s="89" t="s">
        <v>15914</v>
      </c>
      <c r="C423" s="88" t="s">
        <v>38</v>
      </c>
      <c r="D423" s="113"/>
      <c r="E423" s="113"/>
      <c r="F423" s="114">
        <v>87.239999999999995</v>
      </c>
      <c r="H423" s="88" t="s">
        <v>38</v>
      </c>
      <c r="I423" s="113"/>
      <c r="J423" s="113"/>
      <c r="K423" s="114">
        <v>86.989999999999995</v>
      </c>
      <c r="L423" s="88"/>
      <c r="M423" s="88"/>
    </row>
    <row r="424" ht="25.5">
      <c r="A424" s="108">
        <v>1001000155</v>
      </c>
      <c r="B424" s="109" t="s">
        <v>15915</v>
      </c>
      <c r="C424" s="110" t="s">
        <v>29</v>
      </c>
      <c r="D424" s="111">
        <v>30.760000000000002</v>
      </c>
      <c r="E424" s="111">
        <v>12.789999999999999</v>
      </c>
      <c r="F424" s="112">
        <v>43.549999999999997</v>
      </c>
      <c r="H424" s="110" t="s">
        <v>29</v>
      </c>
      <c r="I424" s="111">
        <v>30.760000000000002</v>
      </c>
      <c r="J424" s="111">
        <v>11.83</v>
      </c>
      <c r="K424" s="112">
        <v>42.590000000000003</v>
      </c>
      <c r="L424" s="88"/>
      <c r="M424" s="88"/>
    </row>
    <row r="425" ht="38.25">
      <c r="A425" s="69">
        <v>1001000157</v>
      </c>
      <c r="B425" s="89" t="s">
        <v>15916</v>
      </c>
      <c r="C425" s="88" t="s">
        <v>38</v>
      </c>
      <c r="D425" s="113"/>
      <c r="E425" s="113"/>
      <c r="F425" s="114">
        <v>84.680000000000007</v>
      </c>
      <c r="H425" s="88" t="s">
        <v>38</v>
      </c>
      <c r="I425" s="113"/>
      <c r="J425" s="113"/>
      <c r="K425" s="114">
        <v>84.489999999999995</v>
      </c>
      <c r="L425" s="88"/>
      <c r="M425" s="88"/>
    </row>
    <row r="426" ht="38.25">
      <c r="A426" s="108">
        <v>1001000180</v>
      </c>
      <c r="B426" s="109" t="s">
        <v>15917</v>
      </c>
      <c r="C426" s="110" t="s">
        <v>31</v>
      </c>
      <c r="D426" s="111">
        <v>1.3999999999999999</v>
      </c>
      <c r="E426" s="111">
        <v>4.5700000000000003</v>
      </c>
      <c r="F426" s="112">
        <v>5.9699999999999998</v>
      </c>
      <c r="H426" s="110" t="s">
        <v>31</v>
      </c>
      <c r="I426" s="111">
        <v>1.3999999999999999</v>
      </c>
      <c r="J426" s="111">
        <v>4.2199999999999998</v>
      </c>
      <c r="K426" s="112">
        <v>5.6200000000000001</v>
      </c>
      <c r="L426" s="88"/>
      <c r="M426" s="88"/>
    </row>
    <row r="427" ht="25.5">
      <c r="A427" s="108">
        <v>1001000182</v>
      </c>
      <c r="B427" s="109" t="s">
        <v>15918</v>
      </c>
      <c r="C427" s="110" t="s">
        <v>31</v>
      </c>
      <c r="D427" s="111">
        <v>35.68</v>
      </c>
      <c r="E427" s="111">
        <v>4.5700000000000003</v>
      </c>
      <c r="F427" s="112">
        <v>40.25</v>
      </c>
      <c r="H427" s="110" t="s">
        <v>31</v>
      </c>
      <c r="I427" s="111">
        <v>35.68</v>
      </c>
      <c r="J427" s="111">
        <v>4.2199999999999998</v>
      </c>
      <c r="K427" s="112">
        <v>39.899999999999999</v>
      </c>
      <c r="L427" s="88"/>
      <c r="M427" s="88"/>
    </row>
    <row r="428" ht="25.5">
      <c r="A428" s="108">
        <v>1001000183</v>
      </c>
      <c r="B428" s="109" t="s">
        <v>13869</v>
      </c>
      <c r="C428" s="110" t="s">
        <v>31</v>
      </c>
      <c r="D428" s="111">
        <v>11.619999999999999</v>
      </c>
      <c r="E428" s="111">
        <v>4.5700000000000003</v>
      </c>
      <c r="F428" s="112">
        <v>16.190000000000001</v>
      </c>
      <c r="H428" s="110" t="s">
        <v>31</v>
      </c>
      <c r="I428" s="111">
        <v>11.619999999999999</v>
      </c>
      <c r="J428" s="111">
        <v>4.2199999999999998</v>
      </c>
      <c r="K428" s="112">
        <v>15.84</v>
      </c>
      <c r="L428" s="88"/>
      <c r="M428" s="88"/>
    </row>
    <row r="429" ht="38.25">
      <c r="A429" s="108">
        <v>1001000188</v>
      </c>
      <c r="B429" s="109" t="s">
        <v>15919</v>
      </c>
      <c r="C429" s="110" t="s">
        <v>38</v>
      </c>
      <c r="D429" s="111">
        <v>51.340000000000003</v>
      </c>
      <c r="E429" s="111">
        <v>14.640000000000001</v>
      </c>
      <c r="F429" s="112">
        <v>65.980000000000004</v>
      </c>
      <c r="H429" s="110" t="s">
        <v>38</v>
      </c>
      <c r="I429" s="111">
        <v>51.270000000000003</v>
      </c>
      <c r="J429" s="111">
        <v>13.550000000000001</v>
      </c>
      <c r="K429" s="112">
        <v>64.819999999999993</v>
      </c>
      <c r="L429" s="88"/>
      <c r="M429" s="88"/>
    </row>
    <row r="430" ht="38.25">
      <c r="A430" s="69">
        <v>1001000190</v>
      </c>
      <c r="B430" s="89" t="s">
        <v>15920</v>
      </c>
      <c r="C430" s="88" t="s">
        <v>38</v>
      </c>
      <c r="D430" s="113"/>
      <c r="E430" s="113"/>
      <c r="F430" s="114">
        <v>57.979999999999997</v>
      </c>
      <c r="H430" s="88" t="s">
        <v>38</v>
      </c>
      <c r="I430" s="113"/>
      <c r="J430" s="113"/>
      <c r="K430" s="114">
        <v>57.130000000000003</v>
      </c>
      <c r="L430" s="88"/>
      <c r="M430" s="88"/>
    </row>
    <row r="431" ht="38.25">
      <c r="A431" s="69">
        <v>1001000191</v>
      </c>
      <c r="B431" s="89" t="s">
        <v>15921</v>
      </c>
      <c r="C431" s="88" t="s">
        <v>38</v>
      </c>
      <c r="D431" s="113"/>
      <c r="E431" s="113"/>
      <c r="F431" s="114">
        <v>78.939999999999998</v>
      </c>
      <c r="H431" s="88" t="s">
        <v>38</v>
      </c>
      <c r="I431" s="113"/>
      <c r="J431" s="113"/>
      <c r="K431" s="114">
        <v>77.780000000000001</v>
      </c>
      <c r="L431" s="88"/>
      <c r="M431" s="88"/>
    </row>
    <row r="432" ht="38.25">
      <c r="A432" s="69">
        <v>1001000192</v>
      </c>
      <c r="B432" s="89" t="s">
        <v>15922</v>
      </c>
      <c r="C432" s="88" t="s">
        <v>38</v>
      </c>
      <c r="D432" s="113"/>
      <c r="E432" s="113"/>
      <c r="F432" s="114">
        <v>48.229999999999997</v>
      </c>
      <c r="H432" s="88" t="s">
        <v>38</v>
      </c>
      <c r="I432" s="113"/>
      <c r="J432" s="113"/>
      <c r="K432" s="114">
        <v>47.630000000000003</v>
      </c>
      <c r="L432" s="88"/>
      <c r="M432" s="88"/>
    </row>
    <row r="433" ht="25.5">
      <c r="A433" s="108">
        <v>1001000193</v>
      </c>
      <c r="B433" s="109" t="s">
        <v>15923</v>
      </c>
      <c r="C433" s="110" t="s">
        <v>29</v>
      </c>
      <c r="D433" s="111">
        <v>0</v>
      </c>
      <c r="E433" s="111">
        <v>10.529999999999999</v>
      </c>
      <c r="F433" s="112">
        <v>10.529999999999999</v>
      </c>
      <c r="H433" s="110" t="s">
        <v>29</v>
      </c>
      <c r="I433" s="111">
        <v>0</v>
      </c>
      <c r="J433" s="111">
        <v>9.75</v>
      </c>
      <c r="K433" s="112">
        <v>9.75</v>
      </c>
      <c r="L433" s="88"/>
      <c r="M433" s="88"/>
    </row>
    <row r="434">
      <c r="A434" s="108">
        <v>1001000195</v>
      </c>
      <c r="B434" s="109" t="s">
        <v>15924</v>
      </c>
      <c r="C434" s="110" t="s">
        <v>29</v>
      </c>
      <c r="D434" s="111">
        <v>0</v>
      </c>
      <c r="E434" s="111">
        <v>10.050000000000001</v>
      </c>
      <c r="F434" s="112">
        <v>10.050000000000001</v>
      </c>
      <c r="H434" s="110" t="s">
        <v>29</v>
      </c>
      <c r="I434" s="111">
        <v>0</v>
      </c>
      <c r="J434" s="111">
        <v>9.2899999999999991</v>
      </c>
      <c r="K434" s="112">
        <v>9.2899999999999991</v>
      </c>
      <c r="L434" s="88"/>
      <c r="M434" s="88"/>
    </row>
    <row r="435">
      <c r="A435" s="108">
        <v>1001000197</v>
      </c>
      <c r="B435" s="109" t="s">
        <v>15925</v>
      </c>
      <c r="C435" s="110" t="s">
        <v>29</v>
      </c>
      <c r="D435" s="111">
        <v>0</v>
      </c>
      <c r="E435" s="111">
        <v>26.07</v>
      </c>
      <c r="F435" s="112">
        <v>26.07</v>
      </c>
      <c r="H435" s="110" t="s">
        <v>29</v>
      </c>
      <c r="I435" s="111">
        <v>0</v>
      </c>
      <c r="J435" s="111">
        <v>24.16</v>
      </c>
      <c r="K435" s="112">
        <v>24.16</v>
      </c>
      <c r="L435" s="88"/>
      <c r="M435" s="88"/>
    </row>
    <row r="436" ht="25.5">
      <c r="A436" s="108">
        <v>1001000199</v>
      </c>
      <c r="B436" s="109" t="s">
        <v>15926</v>
      </c>
      <c r="C436" s="110" t="s">
        <v>38</v>
      </c>
      <c r="D436" s="111">
        <v>0</v>
      </c>
      <c r="E436" s="111">
        <v>3.1400000000000001</v>
      </c>
      <c r="F436" s="112">
        <v>3.1400000000000001</v>
      </c>
      <c r="H436" s="110" t="s">
        <v>38</v>
      </c>
      <c r="I436" s="111">
        <v>0</v>
      </c>
      <c r="J436" s="111">
        <v>2.8999999999999999</v>
      </c>
      <c r="K436" s="112">
        <v>2.8999999999999999</v>
      </c>
      <c r="L436" s="88"/>
      <c r="M436" s="88"/>
    </row>
    <row r="437">
      <c r="A437" s="108">
        <v>1001000200</v>
      </c>
      <c r="B437" s="109" t="s">
        <v>15927</v>
      </c>
      <c r="C437" s="110" t="s">
        <v>38</v>
      </c>
      <c r="D437" s="111">
        <v>0</v>
      </c>
      <c r="E437" s="111">
        <v>8.4399999999999995</v>
      </c>
      <c r="F437" s="112">
        <v>8.4399999999999995</v>
      </c>
      <c r="H437" s="110" t="s">
        <v>38</v>
      </c>
      <c r="I437" s="111">
        <v>0</v>
      </c>
      <c r="J437" s="111">
        <v>7.8099999999999996</v>
      </c>
      <c r="K437" s="112">
        <v>7.8099999999999996</v>
      </c>
      <c r="L437" s="88"/>
      <c r="M437" s="88"/>
    </row>
    <row r="438">
      <c r="A438" s="108">
        <v>1001000201</v>
      </c>
      <c r="B438" s="109" t="s">
        <v>15928</v>
      </c>
      <c r="C438" s="110" t="s">
        <v>38</v>
      </c>
      <c r="D438" s="111">
        <v>0</v>
      </c>
      <c r="E438" s="111">
        <v>15.050000000000001</v>
      </c>
      <c r="F438" s="112">
        <v>15.050000000000001</v>
      </c>
      <c r="H438" s="110" t="s">
        <v>38</v>
      </c>
      <c r="I438" s="111">
        <v>0</v>
      </c>
      <c r="J438" s="111">
        <v>13.92</v>
      </c>
      <c r="K438" s="112">
        <v>13.92</v>
      </c>
      <c r="L438" s="88"/>
      <c r="M438" s="88"/>
    </row>
    <row r="439">
      <c r="D439" s="113"/>
      <c r="E439" s="113"/>
      <c r="F439" s="114"/>
      <c r="H439" s="88"/>
      <c r="I439" s="113"/>
      <c r="J439" s="113"/>
      <c r="K439" s="114"/>
      <c r="L439" s="88"/>
      <c r="M439" s="88"/>
    </row>
    <row r="440">
      <c r="B440" s="102" t="s">
        <v>15929</v>
      </c>
      <c r="D440" s="113"/>
      <c r="E440" s="113"/>
      <c r="F440" s="114"/>
      <c r="H440" s="88"/>
      <c r="I440" s="113"/>
      <c r="J440" s="113"/>
      <c r="K440" s="114"/>
      <c r="L440" s="88"/>
      <c r="M440" s="88"/>
    </row>
    <row r="441">
      <c r="D441" s="113"/>
      <c r="E441" s="113"/>
      <c r="F441" s="114"/>
      <c r="H441" s="88"/>
      <c r="I441" s="113"/>
      <c r="J441" s="113"/>
      <c r="K441" s="114"/>
      <c r="L441" s="88"/>
      <c r="M441" s="88"/>
    </row>
    <row r="442">
      <c r="A442" s="88" t="s">
        <v>15547</v>
      </c>
      <c r="B442" s="89" t="s">
        <v>15548</v>
      </c>
      <c r="C442" s="88" t="s">
        <v>15337</v>
      </c>
      <c r="D442" s="113" t="s">
        <v>10460</v>
      </c>
      <c r="E442" s="113" t="s">
        <v>15549</v>
      </c>
      <c r="F442" s="114" t="s">
        <v>15550</v>
      </c>
      <c r="H442" s="88" t="s">
        <v>15337</v>
      </c>
      <c r="I442" s="113" t="s">
        <v>10460</v>
      </c>
      <c r="J442" s="113" t="s">
        <v>15549</v>
      </c>
      <c r="K442" s="114" t="s">
        <v>15550</v>
      </c>
      <c r="L442" s="88"/>
      <c r="M442" s="88"/>
    </row>
    <row r="443">
      <c r="D443" s="113"/>
      <c r="E443" s="113"/>
      <c r="F443" s="114"/>
      <c r="H443" s="88"/>
      <c r="I443" s="113"/>
      <c r="J443" s="113"/>
      <c r="K443" s="114"/>
      <c r="L443" s="88"/>
      <c r="M443" s="88"/>
    </row>
    <row r="444">
      <c r="B444" s="89" t="s">
        <v>15930</v>
      </c>
      <c r="D444" s="113"/>
      <c r="E444" s="113"/>
      <c r="F444" s="114"/>
      <c r="H444" s="88"/>
      <c r="I444" s="113"/>
      <c r="J444" s="113"/>
      <c r="K444" s="114"/>
      <c r="L444" s="88"/>
      <c r="M444" s="88"/>
    </row>
    <row r="445" ht="63.75">
      <c r="A445" s="69">
        <v>1101001000</v>
      </c>
      <c r="B445" s="89" t="s">
        <v>15931</v>
      </c>
      <c r="C445" s="88" t="s">
        <v>31</v>
      </c>
      <c r="D445" s="113"/>
      <c r="E445" s="113"/>
      <c r="F445" s="114">
        <v>907.11000000000001</v>
      </c>
      <c r="H445" s="88" t="s">
        <v>31</v>
      </c>
      <c r="I445" s="113"/>
      <c r="J445" s="113"/>
      <c r="K445" s="114">
        <v>889.45000000000005</v>
      </c>
      <c r="L445" s="88"/>
      <c r="M445" s="88"/>
    </row>
    <row r="446" ht="63.75">
      <c r="A446" s="69">
        <v>1101001001</v>
      </c>
      <c r="B446" s="89" t="s">
        <v>15932</v>
      </c>
      <c r="C446" s="88" t="s">
        <v>31</v>
      </c>
      <c r="D446" s="113"/>
      <c r="E446" s="113"/>
      <c r="F446" s="114">
        <v>916.38</v>
      </c>
      <c r="H446" s="88" t="s">
        <v>31</v>
      </c>
      <c r="I446" s="113"/>
      <c r="J446" s="113"/>
      <c r="K446" s="114">
        <v>898.34000000000003</v>
      </c>
      <c r="L446" s="88"/>
      <c r="M446" s="88"/>
    </row>
    <row r="447" ht="63.75">
      <c r="A447" s="69">
        <v>1101001002</v>
      </c>
      <c r="B447" s="89" t="s">
        <v>15933</v>
      </c>
      <c r="C447" s="88" t="s">
        <v>31</v>
      </c>
      <c r="D447" s="113"/>
      <c r="E447" s="113"/>
      <c r="F447" s="114">
        <v>946.66999999999996</v>
      </c>
      <c r="H447" s="88" t="s">
        <v>31</v>
      </c>
      <c r="I447" s="113"/>
      <c r="J447" s="113"/>
      <c r="K447" s="114">
        <v>928.25</v>
      </c>
      <c r="L447" s="88"/>
      <c r="M447" s="88"/>
    </row>
    <row r="448" ht="63.75">
      <c r="A448" s="69">
        <v>1101001003</v>
      </c>
      <c r="B448" s="89" t="s">
        <v>15934</v>
      </c>
      <c r="C448" s="88" t="s">
        <v>31</v>
      </c>
      <c r="D448" s="113"/>
      <c r="E448" s="113"/>
      <c r="F448" s="114">
        <v>1046.0599999999999</v>
      </c>
      <c r="H448" s="88" t="s">
        <v>31</v>
      </c>
      <c r="I448" s="113"/>
      <c r="J448" s="113"/>
      <c r="K448" s="114">
        <v>1027.25</v>
      </c>
      <c r="L448" s="88"/>
      <c r="M448" s="88"/>
    </row>
    <row r="449" ht="63.75">
      <c r="A449" s="69">
        <v>1101001005</v>
      </c>
      <c r="B449" s="89" t="s">
        <v>15935</v>
      </c>
      <c r="C449" s="88" t="s">
        <v>31</v>
      </c>
      <c r="D449" s="113"/>
      <c r="E449" s="113"/>
      <c r="F449" s="114">
        <v>920.95000000000005</v>
      </c>
      <c r="H449" s="88" t="s">
        <v>31</v>
      </c>
      <c r="I449" s="113"/>
      <c r="J449" s="113"/>
      <c r="K449" s="114">
        <v>903.28999999999996</v>
      </c>
      <c r="L449" s="88"/>
      <c r="M449" s="88"/>
    </row>
    <row r="450" ht="63.75">
      <c r="A450" s="69">
        <v>1101001006</v>
      </c>
      <c r="B450" s="89" t="s">
        <v>15936</v>
      </c>
      <c r="C450" s="88" t="s">
        <v>31</v>
      </c>
      <c r="D450" s="113"/>
      <c r="E450" s="113"/>
      <c r="F450" s="114">
        <v>930.87</v>
      </c>
      <c r="H450" s="88" t="s">
        <v>31</v>
      </c>
      <c r="I450" s="113"/>
      <c r="J450" s="113"/>
      <c r="K450" s="114">
        <v>912.83000000000004</v>
      </c>
      <c r="L450" s="88"/>
      <c r="M450" s="88"/>
    </row>
    <row r="451" ht="63.75">
      <c r="A451" s="69">
        <v>1101001007</v>
      </c>
      <c r="B451" s="89" t="s">
        <v>15937</v>
      </c>
      <c r="C451" s="88" t="s">
        <v>31</v>
      </c>
      <c r="D451" s="113"/>
      <c r="E451" s="113"/>
      <c r="F451" s="114">
        <v>1002.84</v>
      </c>
      <c r="H451" s="88" t="s">
        <v>31</v>
      </c>
      <c r="I451" s="113"/>
      <c r="J451" s="113"/>
      <c r="K451" s="114">
        <v>984.41999999999996</v>
      </c>
      <c r="L451" s="88"/>
      <c r="M451" s="88"/>
    </row>
    <row r="452" ht="63.75">
      <c r="A452" s="69">
        <v>1101001008</v>
      </c>
      <c r="B452" s="89" t="s">
        <v>15938</v>
      </c>
      <c r="C452" s="88" t="s">
        <v>31</v>
      </c>
      <c r="D452" s="113"/>
      <c r="E452" s="113"/>
      <c r="F452" s="114">
        <v>1058.3199999999999</v>
      </c>
      <c r="H452" s="88" t="s">
        <v>31</v>
      </c>
      <c r="I452" s="113"/>
      <c r="J452" s="113"/>
      <c r="K452" s="114">
        <v>1039.51</v>
      </c>
      <c r="L452" s="88"/>
      <c r="M452" s="88"/>
    </row>
    <row r="453" ht="38.25">
      <c r="A453" s="108">
        <v>1101001009</v>
      </c>
      <c r="B453" s="109" t="s">
        <v>15939</v>
      </c>
      <c r="C453" s="110" t="s">
        <v>31</v>
      </c>
      <c r="D453" s="111">
        <v>816.13</v>
      </c>
      <c r="E453" s="111">
        <v>155.74000000000001</v>
      </c>
      <c r="F453" s="112">
        <v>971.87</v>
      </c>
      <c r="H453" s="110" t="s">
        <v>31</v>
      </c>
      <c r="I453" s="111">
        <v>816.13</v>
      </c>
      <c r="J453" s="111">
        <v>144.08000000000001</v>
      </c>
      <c r="K453" s="112">
        <v>960.21000000000004</v>
      </c>
      <c r="L453" s="88"/>
      <c r="M453" s="88"/>
    </row>
    <row r="454" ht="38.25">
      <c r="A454" s="69">
        <v>1101001015</v>
      </c>
      <c r="B454" s="89" t="s">
        <v>15940</v>
      </c>
      <c r="C454" s="88" t="s">
        <v>31</v>
      </c>
      <c r="D454" s="113"/>
      <c r="E454" s="113"/>
      <c r="F454" s="114">
        <v>389.64999999999998</v>
      </c>
      <c r="H454" s="88" t="s">
        <v>31</v>
      </c>
      <c r="I454" s="113"/>
      <c r="J454" s="113"/>
      <c r="K454" s="114">
        <v>386.30000000000001</v>
      </c>
      <c r="L454" s="88"/>
      <c r="M454" s="88"/>
    </row>
    <row r="455" ht="38.25">
      <c r="A455" s="69">
        <v>1101001016</v>
      </c>
      <c r="B455" s="89" t="s">
        <v>15941</v>
      </c>
      <c r="C455" s="88" t="s">
        <v>31</v>
      </c>
      <c r="D455" s="113"/>
      <c r="E455" s="113"/>
      <c r="F455" s="114">
        <v>397.13</v>
      </c>
      <c r="H455" s="88" t="s">
        <v>31</v>
      </c>
      <c r="I455" s="113"/>
      <c r="J455" s="113"/>
      <c r="K455" s="114">
        <v>393.44</v>
      </c>
      <c r="L455" s="88"/>
      <c r="M455" s="88"/>
    </row>
    <row r="456" ht="38.25">
      <c r="A456" s="69">
        <v>1101001017</v>
      </c>
      <c r="B456" s="89" t="s">
        <v>15942</v>
      </c>
      <c r="C456" s="88" t="s">
        <v>31</v>
      </c>
      <c r="D456" s="113"/>
      <c r="E456" s="113"/>
      <c r="F456" s="114">
        <v>466.66000000000003</v>
      </c>
      <c r="H456" s="88" t="s">
        <v>31</v>
      </c>
      <c r="I456" s="113"/>
      <c r="J456" s="113"/>
      <c r="K456" s="114">
        <v>462.62</v>
      </c>
      <c r="L456" s="88"/>
      <c r="M456" s="88"/>
    </row>
    <row r="457" ht="38.25">
      <c r="A457" s="69">
        <v>1101001018</v>
      </c>
      <c r="B457" s="89" t="s">
        <v>15943</v>
      </c>
      <c r="C457" s="88" t="s">
        <v>31</v>
      </c>
      <c r="D457" s="113"/>
      <c r="E457" s="113"/>
      <c r="F457" s="114">
        <v>519.70000000000005</v>
      </c>
      <c r="H457" s="88" t="s">
        <v>31</v>
      </c>
      <c r="I457" s="113"/>
      <c r="J457" s="113"/>
      <c r="K457" s="114">
        <v>515.30999999999995</v>
      </c>
      <c r="L457" s="88"/>
      <c r="M457" s="88"/>
    </row>
    <row r="458" ht="25.5">
      <c r="A458" s="69">
        <v>1101001022</v>
      </c>
      <c r="B458" s="89" t="s">
        <v>15944</v>
      </c>
      <c r="C458" s="88" t="s">
        <v>31</v>
      </c>
      <c r="D458" s="113"/>
      <c r="E458" s="113"/>
      <c r="F458" s="114">
        <v>325.43000000000001</v>
      </c>
      <c r="H458" s="88" t="s">
        <v>31</v>
      </c>
      <c r="I458" s="113"/>
      <c r="J458" s="113"/>
      <c r="K458" s="114">
        <v>318.29000000000002</v>
      </c>
      <c r="L458" s="88"/>
      <c r="M458" s="88"/>
    </row>
    <row r="459" ht="38.25">
      <c r="A459" s="69">
        <v>1101001023</v>
      </c>
      <c r="B459" s="89" t="s">
        <v>15945</v>
      </c>
      <c r="C459" s="88" t="s">
        <v>31</v>
      </c>
      <c r="D459" s="113"/>
      <c r="E459" s="113"/>
      <c r="F459" s="114">
        <v>414.18000000000001</v>
      </c>
      <c r="H459" s="88" t="s">
        <v>31</v>
      </c>
      <c r="I459" s="113"/>
      <c r="J459" s="113"/>
      <c r="K459" s="114">
        <v>401.60000000000002</v>
      </c>
      <c r="L459" s="88"/>
      <c r="M459" s="88"/>
    </row>
    <row r="460" ht="38.25">
      <c r="A460" s="69">
        <v>1101001024</v>
      </c>
      <c r="B460" s="89" t="s">
        <v>15946</v>
      </c>
      <c r="C460" s="88" t="s">
        <v>38</v>
      </c>
      <c r="D460" s="113"/>
      <c r="E460" s="113"/>
      <c r="F460" s="114">
        <v>12.199999999999999</v>
      </c>
      <c r="H460" s="88" t="s">
        <v>38</v>
      </c>
      <c r="I460" s="113"/>
      <c r="J460" s="113"/>
      <c r="K460" s="114">
        <v>12.02</v>
      </c>
      <c r="L460" s="88"/>
      <c r="M460" s="88"/>
    </row>
    <row r="461">
      <c r="A461" s="108">
        <v>1101001028</v>
      </c>
      <c r="B461" s="109" t="s">
        <v>15947</v>
      </c>
      <c r="C461" s="110" t="s">
        <v>31</v>
      </c>
      <c r="D461" s="111">
        <v>0</v>
      </c>
      <c r="E461" s="111">
        <v>68.299999999999997</v>
      </c>
      <c r="F461" s="112">
        <v>68.299999999999997</v>
      </c>
      <c r="H461" s="110" t="s">
        <v>31</v>
      </c>
      <c r="I461" s="111">
        <v>0</v>
      </c>
      <c r="J461" s="111">
        <v>63.149999999999999</v>
      </c>
      <c r="K461" s="112">
        <v>63.149999999999999</v>
      </c>
      <c r="L461" s="88"/>
      <c r="M461" s="88"/>
    </row>
    <row r="462">
      <c r="A462" s="108">
        <v>1101001030</v>
      </c>
      <c r="B462" s="109" t="s">
        <v>15948</v>
      </c>
      <c r="C462" s="110" t="s">
        <v>31</v>
      </c>
      <c r="D462" s="111">
        <v>0</v>
      </c>
      <c r="E462" s="111">
        <v>53.549999999999997</v>
      </c>
      <c r="F462" s="112">
        <v>53.549999999999997</v>
      </c>
      <c r="H462" s="110" t="s">
        <v>31</v>
      </c>
      <c r="I462" s="111">
        <v>0</v>
      </c>
      <c r="J462" s="111">
        <v>49.509999999999998</v>
      </c>
      <c r="K462" s="112">
        <v>49.509999999999998</v>
      </c>
      <c r="L462" s="88"/>
      <c r="M462" s="88"/>
    </row>
    <row r="463">
      <c r="A463" s="108">
        <v>1101001032</v>
      </c>
      <c r="B463" s="109" t="s">
        <v>15949</v>
      </c>
      <c r="C463" s="110" t="s">
        <v>11798</v>
      </c>
      <c r="D463" s="111">
        <v>0</v>
      </c>
      <c r="E463" s="111">
        <v>2.3500000000000001</v>
      </c>
      <c r="F463" s="112">
        <v>2.3500000000000001</v>
      </c>
      <c r="H463" s="110" t="s">
        <v>11798</v>
      </c>
      <c r="I463" s="111">
        <v>0</v>
      </c>
      <c r="J463" s="111">
        <v>2.1699999999999999</v>
      </c>
      <c r="K463" s="112">
        <v>2.1699999999999999</v>
      </c>
      <c r="L463" s="88"/>
      <c r="M463" s="88"/>
    </row>
    <row r="464">
      <c r="A464" s="108">
        <v>1101001034</v>
      </c>
      <c r="B464" s="109" t="s">
        <v>15950</v>
      </c>
      <c r="C464" s="110" t="s">
        <v>31</v>
      </c>
      <c r="D464" s="111">
        <v>0</v>
      </c>
      <c r="E464" s="111">
        <v>223.00999999999999</v>
      </c>
      <c r="F464" s="112">
        <v>223.00999999999999</v>
      </c>
      <c r="H464" s="110" t="s">
        <v>31</v>
      </c>
      <c r="I464" s="111">
        <v>0</v>
      </c>
      <c r="J464" s="111">
        <v>206.21000000000001</v>
      </c>
      <c r="K464" s="112">
        <v>206.21000000000001</v>
      </c>
      <c r="L464" s="88"/>
      <c r="M464" s="88"/>
    </row>
    <row r="465" ht="38.25">
      <c r="A465" s="69">
        <v>1101001054</v>
      </c>
      <c r="B465" s="89" t="s">
        <v>15951</v>
      </c>
      <c r="C465" s="88" t="s">
        <v>31</v>
      </c>
      <c r="D465" s="113"/>
      <c r="E465" s="113"/>
      <c r="F465" s="114">
        <v>949.34000000000003</v>
      </c>
      <c r="H465" s="88" t="s">
        <v>31</v>
      </c>
      <c r="I465" s="113"/>
      <c r="J465" s="113"/>
      <c r="K465" s="114">
        <v>936.20000000000005</v>
      </c>
      <c r="L465" s="88"/>
      <c r="M465" s="88"/>
    </row>
    <row r="466">
      <c r="D466" s="113"/>
      <c r="E466" s="113"/>
      <c r="F466" s="114"/>
      <c r="H466" s="88"/>
      <c r="I466" s="113"/>
      <c r="J466" s="113"/>
      <c r="K466" s="114"/>
      <c r="L466" s="88"/>
      <c r="M466" s="88"/>
    </row>
    <row r="467">
      <c r="B467" s="89" t="s">
        <v>15952</v>
      </c>
      <c r="D467" s="113"/>
      <c r="E467" s="113"/>
      <c r="F467" s="114"/>
      <c r="H467" s="88"/>
      <c r="I467" s="113"/>
      <c r="J467" s="113"/>
      <c r="K467" s="114"/>
      <c r="L467" s="88"/>
      <c r="M467" s="88"/>
    </row>
    <row r="468" ht="63.75">
      <c r="A468" s="69">
        <v>1101002000</v>
      </c>
      <c r="B468" s="89" t="s">
        <v>15953</v>
      </c>
      <c r="C468" s="88" t="s">
        <v>29</v>
      </c>
      <c r="D468" s="113"/>
      <c r="E468" s="113"/>
      <c r="F468" s="114">
        <v>683.73000000000002</v>
      </c>
      <c r="H468" s="88" t="s">
        <v>29</v>
      </c>
      <c r="I468" s="113"/>
      <c r="J468" s="113"/>
      <c r="K468" s="114">
        <v>669.54999999999995</v>
      </c>
      <c r="L468" s="88"/>
      <c r="M468" s="88"/>
    </row>
    <row r="469" ht="38.25">
      <c r="A469" s="108">
        <v>1101002002</v>
      </c>
      <c r="B469" s="109" t="s">
        <v>15954</v>
      </c>
      <c r="C469" s="110" t="s">
        <v>29</v>
      </c>
      <c r="D469" s="111">
        <v>807.32000000000005</v>
      </c>
      <c r="E469" s="111">
        <v>165.47</v>
      </c>
      <c r="F469" s="112">
        <v>972.78999999999996</v>
      </c>
      <c r="H469" s="110" t="s">
        <v>29</v>
      </c>
      <c r="I469" s="111">
        <v>807.04999999999995</v>
      </c>
      <c r="J469" s="111">
        <v>152.96000000000001</v>
      </c>
      <c r="K469" s="112">
        <v>960.00999999999999</v>
      </c>
      <c r="L469" s="88"/>
      <c r="M469" s="88"/>
    </row>
    <row r="470" ht="63.75">
      <c r="A470" s="69">
        <v>1101002006</v>
      </c>
      <c r="B470" s="89" t="s">
        <v>15955</v>
      </c>
      <c r="C470" s="88" t="s">
        <v>29</v>
      </c>
      <c r="D470" s="113"/>
      <c r="E470" s="113"/>
      <c r="F470" s="114">
        <v>591.75999999999999</v>
      </c>
      <c r="H470" s="88" t="s">
        <v>29</v>
      </c>
      <c r="I470" s="113"/>
      <c r="J470" s="113"/>
      <c r="K470" s="114">
        <v>587.91999999999996</v>
      </c>
      <c r="L470" s="88"/>
      <c r="M470" s="88"/>
    </row>
    <row r="471" ht="25.5">
      <c r="A471" s="108">
        <v>1101002010</v>
      </c>
      <c r="B471" s="109" t="s">
        <v>15956</v>
      </c>
      <c r="C471" s="110" t="s">
        <v>29</v>
      </c>
      <c r="D471" s="111">
        <v>514.15999999999997</v>
      </c>
      <c r="E471" s="111">
        <v>217.47</v>
      </c>
      <c r="F471" s="112">
        <v>731.63</v>
      </c>
      <c r="H471" s="110" t="s">
        <v>29</v>
      </c>
      <c r="I471" s="111">
        <v>510.74000000000001</v>
      </c>
      <c r="J471" s="111">
        <v>201.28</v>
      </c>
      <c r="K471" s="112">
        <v>712.01999999999998</v>
      </c>
      <c r="L471" s="88"/>
      <c r="M471" s="88"/>
    </row>
    <row r="472" ht="25.5">
      <c r="A472" s="108">
        <v>1101002012</v>
      </c>
      <c r="B472" s="109" t="s">
        <v>15957</v>
      </c>
      <c r="C472" s="110" t="s">
        <v>29</v>
      </c>
      <c r="D472" s="111">
        <v>367.31999999999999</v>
      </c>
      <c r="E472" s="111">
        <v>103.84999999999999</v>
      </c>
      <c r="F472" s="112">
        <v>471.17000000000002</v>
      </c>
      <c r="H472" s="110" t="s">
        <v>29</v>
      </c>
      <c r="I472" s="111">
        <v>365.81</v>
      </c>
      <c r="J472" s="111">
        <v>96.010000000000005</v>
      </c>
      <c r="K472" s="112">
        <v>461.81999999999999</v>
      </c>
      <c r="L472" s="88"/>
      <c r="M472" s="88"/>
    </row>
    <row r="473" ht="38.25">
      <c r="A473" s="108">
        <v>1101002016</v>
      </c>
      <c r="B473" s="109" t="s">
        <v>15958</v>
      </c>
      <c r="C473" s="110" t="s">
        <v>29</v>
      </c>
      <c r="D473" s="111">
        <v>312.69</v>
      </c>
      <c r="E473" s="111">
        <v>272.72000000000003</v>
      </c>
      <c r="F473" s="112">
        <v>585.40999999999997</v>
      </c>
      <c r="H473" s="110" t="s">
        <v>29</v>
      </c>
      <c r="I473" s="111">
        <v>311.01999999999998</v>
      </c>
      <c r="J473" s="111">
        <v>252.44999999999999</v>
      </c>
      <c r="K473" s="112">
        <v>563.47000000000003</v>
      </c>
      <c r="L473" s="88"/>
      <c r="M473" s="88"/>
    </row>
    <row r="474">
      <c r="A474" s="108">
        <v>1101002017</v>
      </c>
      <c r="B474" s="109" t="s">
        <v>15959</v>
      </c>
      <c r="C474" s="110" t="s">
        <v>29</v>
      </c>
      <c r="D474" s="111">
        <v>583.83000000000004</v>
      </c>
      <c r="E474" s="111">
        <v>378.79000000000002</v>
      </c>
      <c r="F474" s="112">
        <v>962.62</v>
      </c>
      <c r="H474" s="110" t="s">
        <v>29</v>
      </c>
      <c r="I474" s="111">
        <v>580.66999999999996</v>
      </c>
      <c r="J474" s="111">
        <v>350.64999999999998</v>
      </c>
      <c r="K474" s="112">
        <v>931.32000000000005</v>
      </c>
      <c r="L474" s="88"/>
      <c r="M474" s="88"/>
    </row>
    <row r="475" ht="25.5">
      <c r="A475" s="108">
        <v>1101002018</v>
      </c>
      <c r="B475" s="109" t="s">
        <v>15960</v>
      </c>
      <c r="C475" s="110" t="s">
        <v>29</v>
      </c>
      <c r="D475" s="111">
        <v>318.27999999999997</v>
      </c>
      <c r="E475" s="111">
        <v>282.18000000000001</v>
      </c>
      <c r="F475" s="112">
        <v>600.46000000000004</v>
      </c>
      <c r="H475" s="110" t="s">
        <v>29</v>
      </c>
      <c r="I475" s="111">
        <v>316.75</v>
      </c>
      <c r="J475" s="111">
        <v>261.25999999999999</v>
      </c>
      <c r="K475" s="112">
        <v>578.00999999999999</v>
      </c>
      <c r="L475" s="88"/>
      <c r="M475" s="88"/>
    </row>
    <row r="476" ht="38.25">
      <c r="A476" s="108">
        <v>1101002021</v>
      </c>
      <c r="B476" s="109" t="s">
        <v>15961</v>
      </c>
      <c r="C476" s="110" t="s">
        <v>29</v>
      </c>
      <c r="D476" s="111">
        <v>373.49000000000001</v>
      </c>
      <c r="E476" s="111">
        <v>233.47</v>
      </c>
      <c r="F476" s="112">
        <v>606.96000000000004</v>
      </c>
      <c r="H476" s="110" t="s">
        <v>29</v>
      </c>
      <c r="I476" s="111">
        <v>371.30000000000001</v>
      </c>
      <c r="J476" s="111">
        <v>216.13</v>
      </c>
      <c r="K476" s="112">
        <v>587.42999999999995</v>
      </c>
      <c r="L476" s="88"/>
      <c r="M476" s="88"/>
    </row>
    <row r="477">
      <c r="A477" s="108">
        <v>1101002023</v>
      </c>
      <c r="B477" s="109" t="s">
        <v>15962</v>
      </c>
      <c r="C477" s="110" t="s">
        <v>29</v>
      </c>
      <c r="D477" s="111">
        <v>299.67000000000002</v>
      </c>
      <c r="E477" s="111">
        <v>205.97</v>
      </c>
      <c r="F477" s="112">
        <v>505.63999999999999</v>
      </c>
      <c r="H477" s="110" t="s">
        <v>29</v>
      </c>
      <c r="I477" s="111">
        <v>297.94999999999999</v>
      </c>
      <c r="J477" s="111">
        <v>190.68000000000001</v>
      </c>
      <c r="K477" s="112">
        <v>488.63</v>
      </c>
      <c r="L477" s="88"/>
      <c r="M477" s="88"/>
    </row>
    <row r="478" ht="38.25">
      <c r="A478" s="108">
        <v>1101002026</v>
      </c>
      <c r="B478" s="109" t="s">
        <v>15963</v>
      </c>
      <c r="C478" s="110" t="s">
        <v>29</v>
      </c>
      <c r="D478" s="111">
        <v>432.38999999999999</v>
      </c>
      <c r="E478" s="111">
        <v>241.72</v>
      </c>
      <c r="F478" s="112">
        <v>674.11000000000001</v>
      </c>
      <c r="H478" s="110" t="s">
        <v>29</v>
      </c>
      <c r="I478" s="111">
        <v>430.06999999999999</v>
      </c>
      <c r="J478" s="111">
        <v>223.75999999999999</v>
      </c>
      <c r="K478" s="112">
        <v>653.83000000000004</v>
      </c>
      <c r="L478" s="88"/>
      <c r="M478" s="88"/>
    </row>
    <row r="479">
      <c r="A479" s="108">
        <v>1101002027</v>
      </c>
      <c r="B479" s="109" t="s">
        <v>15964</v>
      </c>
      <c r="C479" s="110" t="s">
        <v>29</v>
      </c>
      <c r="D479" s="111">
        <v>418</v>
      </c>
      <c r="E479" s="111">
        <v>239.03</v>
      </c>
      <c r="F479" s="112">
        <v>657.02999999999997</v>
      </c>
      <c r="H479" s="110" t="s">
        <v>29</v>
      </c>
      <c r="I479" s="111">
        <v>415.72000000000003</v>
      </c>
      <c r="J479" s="111">
        <v>221.27000000000001</v>
      </c>
      <c r="K479" s="112">
        <v>636.99000000000001</v>
      </c>
      <c r="L479" s="88"/>
      <c r="M479" s="88"/>
    </row>
    <row r="480" ht="38.25">
      <c r="A480" s="69">
        <v>1101002028</v>
      </c>
      <c r="B480" s="89" t="s">
        <v>15965</v>
      </c>
      <c r="C480" s="88" t="s">
        <v>29</v>
      </c>
      <c r="D480" s="113"/>
      <c r="E480" s="113"/>
      <c r="F480" s="114">
        <v>597.67999999999995</v>
      </c>
      <c r="H480" s="88" t="s">
        <v>29</v>
      </c>
      <c r="I480" s="113"/>
      <c r="J480" s="113"/>
      <c r="K480" s="114">
        <v>569.88999999999999</v>
      </c>
      <c r="L480" s="88"/>
      <c r="M480" s="88"/>
    </row>
    <row r="481">
      <c r="A481" s="108">
        <v>1101002030</v>
      </c>
      <c r="B481" s="109" t="s">
        <v>15966</v>
      </c>
      <c r="C481" s="110" t="s">
        <v>31</v>
      </c>
      <c r="D481" s="111">
        <v>117.13</v>
      </c>
      <c r="E481" s="111">
        <v>41.490000000000002</v>
      </c>
      <c r="F481" s="112">
        <v>158.62</v>
      </c>
      <c r="H481" s="110" t="s">
        <v>31</v>
      </c>
      <c r="I481" s="111">
        <v>117.09999999999999</v>
      </c>
      <c r="J481" s="111">
        <v>38.399999999999999</v>
      </c>
      <c r="K481" s="112">
        <v>155.5</v>
      </c>
      <c r="L481" s="88"/>
      <c r="M481" s="88"/>
    </row>
    <row r="482" ht="25.5">
      <c r="A482" s="108">
        <v>1101002032</v>
      </c>
      <c r="B482" s="109" t="s">
        <v>15967</v>
      </c>
      <c r="C482" s="110" t="s">
        <v>38</v>
      </c>
      <c r="D482" s="111">
        <v>274.18000000000001</v>
      </c>
      <c r="E482" s="111">
        <v>149.46000000000001</v>
      </c>
      <c r="F482" s="112">
        <v>423.63999999999999</v>
      </c>
      <c r="H482" s="110" t="s">
        <v>38</v>
      </c>
      <c r="I482" s="111">
        <v>273.25</v>
      </c>
      <c r="J482" s="111">
        <v>138.24000000000001</v>
      </c>
      <c r="K482" s="112">
        <v>411.49000000000001</v>
      </c>
      <c r="L482" s="88"/>
      <c r="M482" s="88"/>
    </row>
    <row r="483" ht="25.5">
      <c r="A483" s="108">
        <v>1101002034</v>
      </c>
      <c r="B483" s="109" t="s">
        <v>15968</v>
      </c>
      <c r="C483" s="110" t="s">
        <v>38</v>
      </c>
      <c r="D483" s="111">
        <v>520.70000000000005</v>
      </c>
      <c r="E483" s="111">
        <v>149.46000000000001</v>
      </c>
      <c r="F483" s="112">
        <v>670.15999999999997</v>
      </c>
      <c r="H483" s="110" t="s">
        <v>38</v>
      </c>
      <c r="I483" s="111">
        <v>516.95000000000005</v>
      </c>
      <c r="J483" s="111">
        <v>138.24000000000001</v>
      </c>
      <c r="K483" s="112">
        <v>655.19000000000005</v>
      </c>
      <c r="L483" s="88"/>
      <c r="M483" s="88"/>
    </row>
    <row r="484" ht="38.25">
      <c r="A484" s="108">
        <v>1101002036</v>
      </c>
      <c r="B484" s="109" t="s">
        <v>15969</v>
      </c>
      <c r="C484" s="110" t="s">
        <v>29</v>
      </c>
      <c r="D484" s="111">
        <v>2.9500000000000002</v>
      </c>
      <c r="E484" s="111">
        <v>85.109999999999999</v>
      </c>
      <c r="F484" s="112">
        <v>88.060000000000002</v>
      </c>
      <c r="H484" s="110" t="s">
        <v>29</v>
      </c>
      <c r="I484" s="111">
        <v>2.9500000000000002</v>
      </c>
      <c r="J484" s="111">
        <v>78.659999999999997</v>
      </c>
      <c r="K484" s="112">
        <v>81.609999999999999</v>
      </c>
      <c r="L484" s="88"/>
      <c r="M484" s="88"/>
    </row>
    <row r="485" ht="38.25">
      <c r="A485" s="108">
        <v>1101002037</v>
      </c>
      <c r="B485" s="109" t="s">
        <v>15970</v>
      </c>
      <c r="C485" s="110" t="s">
        <v>29</v>
      </c>
      <c r="D485" s="111">
        <v>1.76</v>
      </c>
      <c r="E485" s="111">
        <v>144.47999999999999</v>
      </c>
      <c r="F485" s="112">
        <v>146.24000000000001</v>
      </c>
      <c r="H485" s="110" t="s">
        <v>29</v>
      </c>
      <c r="I485" s="111">
        <v>1.76</v>
      </c>
      <c r="J485" s="111">
        <v>133.56</v>
      </c>
      <c r="K485" s="112">
        <v>135.31999999999999</v>
      </c>
      <c r="L485" s="88"/>
      <c r="M485" s="88"/>
    </row>
    <row r="486" ht="25.5">
      <c r="A486" s="108">
        <v>1101002038</v>
      </c>
      <c r="B486" s="109" t="s">
        <v>15971</v>
      </c>
      <c r="C486" s="110" t="s">
        <v>29</v>
      </c>
      <c r="D486" s="111">
        <v>2.2999999999999998</v>
      </c>
      <c r="E486" s="111">
        <v>139.47</v>
      </c>
      <c r="F486" s="112">
        <v>141.77000000000001</v>
      </c>
      <c r="H486" s="110" t="s">
        <v>29</v>
      </c>
      <c r="I486" s="111">
        <v>2.2999999999999998</v>
      </c>
      <c r="J486" s="111">
        <v>129.06</v>
      </c>
      <c r="K486" s="112">
        <v>131.36000000000001</v>
      </c>
      <c r="L486" s="88"/>
      <c r="M486" s="88"/>
    </row>
    <row r="487" ht="25.5">
      <c r="A487" s="108">
        <v>1101002039</v>
      </c>
      <c r="B487" s="109" t="s">
        <v>15972</v>
      </c>
      <c r="C487" s="110" t="s">
        <v>29</v>
      </c>
      <c r="D487" s="111">
        <v>1.1699999999999999</v>
      </c>
      <c r="E487" s="111">
        <v>90.469999999999999</v>
      </c>
      <c r="F487" s="112">
        <v>91.640000000000001</v>
      </c>
      <c r="H487" s="110" t="s">
        <v>29</v>
      </c>
      <c r="I487" s="111">
        <v>1.1699999999999999</v>
      </c>
      <c r="J487" s="111">
        <v>83.790000000000006</v>
      </c>
      <c r="K487" s="112">
        <v>84.959999999999994</v>
      </c>
      <c r="L487" s="88"/>
      <c r="M487" s="88"/>
    </row>
    <row r="488" ht="51">
      <c r="A488" s="108">
        <v>1101002042</v>
      </c>
      <c r="B488" s="109" t="s">
        <v>15973</v>
      </c>
      <c r="C488" s="110" t="s">
        <v>29</v>
      </c>
      <c r="D488" s="111">
        <v>1100.98</v>
      </c>
      <c r="E488" s="111">
        <v>541.36000000000001</v>
      </c>
      <c r="F488" s="112">
        <v>1642.3399999999999</v>
      </c>
      <c r="H488" s="110" t="s">
        <v>29</v>
      </c>
      <c r="I488" s="111">
        <v>1093.5</v>
      </c>
      <c r="J488" s="111">
        <v>500.75999999999999</v>
      </c>
      <c r="K488" s="112">
        <v>1594.26</v>
      </c>
      <c r="L488" s="88"/>
      <c r="M488" s="88"/>
    </row>
    <row r="489" ht="63.75">
      <c r="A489" s="108">
        <v>1101002044</v>
      </c>
      <c r="B489" s="109" t="s">
        <v>15974</v>
      </c>
      <c r="C489" s="110" t="s">
        <v>29</v>
      </c>
      <c r="D489" s="111">
        <v>1222.53</v>
      </c>
      <c r="E489" s="111">
        <v>541.36000000000001</v>
      </c>
      <c r="F489" s="112">
        <v>1763.8900000000001</v>
      </c>
      <c r="H489" s="110" t="s">
        <v>29</v>
      </c>
      <c r="I489" s="111">
        <v>1215.05</v>
      </c>
      <c r="J489" s="111">
        <v>500.75999999999999</v>
      </c>
      <c r="K489" s="112">
        <v>1715.8099999999999</v>
      </c>
      <c r="L489" s="88"/>
      <c r="M489" s="88"/>
    </row>
    <row r="490" ht="63.75">
      <c r="A490" s="108">
        <v>1101002046</v>
      </c>
      <c r="B490" s="109" t="s">
        <v>15975</v>
      </c>
      <c r="C490" s="110" t="s">
        <v>29</v>
      </c>
      <c r="D490" s="111">
        <v>1455.7</v>
      </c>
      <c r="E490" s="111">
        <v>541.36000000000001</v>
      </c>
      <c r="F490" s="112">
        <v>1997.0599999999999</v>
      </c>
      <c r="H490" s="110" t="s">
        <v>29</v>
      </c>
      <c r="I490" s="111">
        <v>1448.22</v>
      </c>
      <c r="J490" s="111">
        <v>500.75999999999999</v>
      </c>
      <c r="K490" s="112">
        <v>1948.98</v>
      </c>
      <c r="L490" s="88"/>
      <c r="M490" s="88"/>
    </row>
    <row r="491" ht="51">
      <c r="A491" s="108">
        <v>1101002049</v>
      </c>
      <c r="B491" s="109" t="s">
        <v>15976</v>
      </c>
      <c r="C491" s="110" t="s">
        <v>29</v>
      </c>
      <c r="D491" s="111">
        <v>418.88</v>
      </c>
      <c r="E491" s="111">
        <v>259.99000000000001</v>
      </c>
      <c r="F491" s="112">
        <v>678.87</v>
      </c>
      <c r="H491" s="110" t="s">
        <v>29</v>
      </c>
      <c r="I491" s="111">
        <v>418.02999999999997</v>
      </c>
      <c r="J491" s="111">
        <v>241.15000000000001</v>
      </c>
      <c r="K491" s="112">
        <v>659.17999999999995</v>
      </c>
      <c r="L491" s="88"/>
      <c r="M491" s="88"/>
    </row>
    <row r="492" ht="63.75">
      <c r="A492" s="108">
        <v>1101002050</v>
      </c>
      <c r="B492" s="109" t="s">
        <v>15977</v>
      </c>
      <c r="C492" s="110" t="s">
        <v>29</v>
      </c>
      <c r="D492" s="111">
        <v>314.36000000000001</v>
      </c>
      <c r="E492" s="111">
        <v>193.16</v>
      </c>
      <c r="F492" s="112">
        <v>507.51999999999998</v>
      </c>
      <c r="H492" s="110" t="s">
        <v>29</v>
      </c>
      <c r="I492" s="111">
        <v>313.60000000000002</v>
      </c>
      <c r="J492" s="111">
        <v>179.13999999999999</v>
      </c>
      <c r="K492" s="112">
        <v>492.74000000000001</v>
      </c>
      <c r="L492" s="88"/>
      <c r="M492" s="88"/>
    </row>
    <row r="493" ht="63.75">
      <c r="A493" s="108">
        <v>1101002051</v>
      </c>
      <c r="B493" s="109" t="s">
        <v>15978</v>
      </c>
      <c r="C493" s="110" t="s">
        <v>38</v>
      </c>
      <c r="D493" s="111">
        <v>259.25</v>
      </c>
      <c r="E493" s="111">
        <v>156.19999999999999</v>
      </c>
      <c r="F493" s="112">
        <v>415.44999999999999</v>
      </c>
      <c r="H493" s="110" t="s">
        <v>38</v>
      </c>
      <c r="I493" s="111">
        <v>258.56</v>
      </c>
      <c r="J493" s="111">
        <v>144.84999999999999</v>
      </c>
      <c r="K493" s="112">
        <v>403.41000000000003</v>
      </c>
      <c r="L493" s="88"/>
      <c r="M493" s="88"/>
    </row>
    <row r="494" ht="51">
      <c r="A494" s="108">
        <v>1101002052</v>
      </c>
      <c r="B494" s="109" t="s">
        <v>15979</v>
      </c>
      <c r="C494" s="110" t="s">
        <v>38</v>
      </c>
      <c r="D494" s="111">
        <v>203.41</v>
      </c>
      <c r="E494" s="111">
        <v>100.18000000000001</v>
      </c>
      <c r="F494" s="112">
        <v>303.58999999999997</v>
      </c>
      <c r="H494" s="110" t="s">
        <v>38</v>
      </c>
      <c r="I494" s="111">
        <v>202.24000000000001</v>
      </c>
      <c r="J494" s="111">
        <v>92.780000000000001</v>
      </c>
      <c r="K494" s="112">
        <v>295.01999999999998</v>
      </c>
      <c r="L494" s="88"/>
      <c r="M494" s="88"/>
    </row>
    <row r="495" ht="63.75">
      <c r="A495" s="108">
        <v>1101002058</v>
      </c>
      <c r="B495" s="109" t="s">
        <v>15980</v>
      </c>
      <c r="C495" s="110" t="s">
        <v>38</v>
      </c>
      <c r="D495" s="111">
        <v>131.09</v>
      </c>
      <c r="E495" s="111">
        <v>73.650000000000006</v>
      </c>
      <c r="F495" s="112">
        <v>204.74000000000001</v>
      </c>
      <c r="H495" s="110" t="s">
        <v>38</v>
      </c>
      <c r="I495" s="111">
        <v>130.59999999999999</v>
      </c>
      <c r="J495" s="111">
        <v>68.269999999999996</v>
      </c>
      <c r="K495" s="112">
        <v>198.87</v>
      </c>
      <c r="L495" s="88"/>
      <c r="M495" s="88"/>
    </row>
    <row r="496" ht="63.75">
      <c r="A496" s="108">
        <v>1101002061</v>
      </c>
      <c r="B496" s="109" t="s">
        <v>15981</v>
      </c>
      <c r="C496" s="110" t="s">
        <v>29</v>
      </c>
      <c r="D496" s="111">
        <v>334.69</v>
      </c>
      <c r="E496" s="111">
        <v>170.55000000000001</v>
      </c>
      <c r="F496" s="112">
        <v>505.24000000000001</v>
      </c>
      <c r="H496" s="110" t="s">
        <v>29</v>
      </c>
      <c r="I496" s="111">
        <v>333.25</v>
      </c>
      <c r="J496" s="111">
        <v>158.03999999999999</v>
      </c>
      <c r="K496" s="112">
        <v>491.29000000000002</v>
      </c>
      <c r="L496" s="88"/>
      <c r="M496" s="88"/>
    </row>
    <row r="497" ht="63.75">
      <c r="A497" s="108">
        <v>1101002064</v>
      </c>
      <c r="B497" s="109" t="s">
        <v>15982</v>
      </c>
      <c r="C497" s="110" t="s">
        <v>29</v>
      </c>
      <c r="D497" s="111">
        <v>580.53999999999996</v>
      </c>
      <c r="E497" s="111">
        <v>135.13999999999999</v>
      </c>
      <c r="F497" s="112">
        <v>715.67999999999995</v>
      </c>
      <c r="H497" s="110" t="s">
        <v>29</v>
      </c>
      <c r="I497" s="111">
        <v>580.15999999999997</v>
      </c>
      <c r="J497" s="111">
        <v>125.36</v>
      </c>
      <c r="K497" s="112">
        <v>705.51999999999998</v>
      </c>
      <c r="L497" s="88"/>
      <c r="M497" s="88"/>
    </row>
    <row r="498">
      <c r="D498" s="113"/>
      <c r="E498" s="113"/>
      <c r="F498" s="114"/>
      <c r="H498" s="88"/>
      <c r="I498" s="113"/>
      <c r="J498" s="113"/>
      <c r="K498" s="114"/>
      <c r="L498" s="88"/>
      <c r="M498" s="88"/>
    </row>
    <row r="499">
      <c r="B499" s="89" t="s">
        <v>15983</v>
      </c>
      <c r="D499" s="113"/>
      <c r="E499" s="113"/>
      <c r="F499" s="114"/>
      <c r="H499" s="88"/>
      <c r="I499" s="113"/>
      <c r="J499" s="113"/>
      <c r="K499" s="114"/>
      <c r="L499" s="88"/>
      <c r="M499" s="88"/>
    </row>
    <row r="500" ht="51">
      <c r="A500" s="108">
        <v>1101003013</v>
      </c>
      <c r="B500" s="109" t="s">
        <v>15984</v>
      </c>
      <c r="C500" s="110" t="s">
        <v>31</v>
      </c>
      <c r="D500" s="111">
        <v>99.280000000000001</v>
      </c>
      <c r="E500" s="111">
        <v>26.57</v>
      </c>
      <c r="F500" s="112">
        <v>125.84999999999999</v>
      </c>
      <c r="H500" s="110" t="s">
        <v>31</v>
      </c>
      <c r="I500" s="111">
        <v>99.280000000000001</v>
      </c>
      <c r="J500" s="111">
        <v>24.57</v>
      </c>
      <c r="K500" s="112">
        <v>123.84999999999999</v>
      </c>
      <c r="L500" s="88"/>
      <c r="M500" s="88"/>
    </row>
    <row r="501" ht="51">
      <c r="A501" s="69">
        <v>1101003015</v>
      </c>
      <c r="B501" s="89" t="s">
        <v>15985</v>
      </c>
      <c r="C501" s="88" t="s">
        <v>31</v>
      </c>
      <c r="D501" s="113"/>
      <c r="E501" s="113"/>
      <c r="F501" s="114">
        <v>169.63</v>
      </c>
      <c r="H501" s="88" t="s">
        <v>31</v>
      </c>
      <c r="I501" s="113"/>
      <c r="J501" s="113"/>
      <c r="K501" s="114">
        <v>167.00999999999999</v>
      </c>
      <c r="L501" s="88"/>
      <c r="M501" s="88"/>
    </row>
    <row r="502" ht="51">
      <c r="A502" s="69">
        <v>1101003017</v>
      </c>
      <c r="B502" s="89" t="s">
        <v>15986</v>
      </c>
      <c r="C502" s="88" t="s">
        <v>31</v>
      </c>
      <c r="D502" s="113"/>
      <c r="E502" s="113"/>
      <c r="F502" s="114">
        <v>102.90000000000001</v>
      </c>
      <c r="H502" s="88" t="s">
        <v>31</v>
      </c>
      <c r="I502" s="113"/>
      <c r="J502" s="113"/>
      <c r="K502" s="114">
        <v>100.28</v>
      </c>
      <c r="L502" s="88"/>
      <c r="M502" s="88"/>
    </row>
    <row r="503" ht="51">
      <c r="A503" s="69">
        <v>1101003018</v>
      </c>
      <c r="B503" s="89" t="s">
        <v>15987</v>
      </c>
      <c r="C503" s="88" t="s">
        <v>31</v>
      </c>
      <c r="D503" s="113"/>
      <c r="E503" s="113"/>
      <c r="F503" s="114">
        <v>148.84</v>
      </c>
      <c r="H503" s="88" t="s">
        <v>31</v>
      </c>
      <c r="I503" s="113"/>
      <c r="J503" s="113"/>
      <c r="K503" s="114">
        <v>146.84</v>
      </c>
      <c r="L503" s="88"/>
      <c r="M503" s="88"/>
    </row>
    <row r="504" ht="51">
      <c r="A504" s="69">
        <v>1101003019</v>
      </c>
      <c r="B504" s="89" t="s">
        <v>15988</v>
      </c>
      <c r="C504" s="88" t="s">
        <v>31</v>
      </c>
      <c r="D504" s="113"/>
      <c r="E504" s="113"/>
      <c r="F504" s="114">
        <v>102.93000000000001</v>
      </c>
      <c r="H504" s="88" t="s">
        <v>31</v>
      </c>
      <c r="I504" s="113"/>
      <c r="J504" s="113"/>
      <c r="K504" s="114">
        <v>100.93000000000001</v>
      </c>
      <c r="L504" s="88"/>
      <c r="M504" s="88"/>
    </row>
    <row r="505" ht="51">
      <c r="A505" s="69">
        <v>1101003020</v>
      </c>
      <c r="B505" s="89" t="s">
        <v>15989</v>
      </c>
      <c r="C505" s="88" t="s">
        <v>31</v>
      </c>
      <c r="D505" s="113"/>
      <c r="E505" s="113"/>
      <c r="F505" s="114">
        <v>87.439999999999998</v>
      </c>
      <c r="H505" s="88" t="s">
        <v>31</v>
      </c>
      <c r="I505" s="113"/>
      <c r="J505" s="113"/>
      <c r="K505" s="114">
        <v>85.439999999999998</v>
      </c>
      <c r="L505" s="88"/>
      <c r="M505" s="88"/>
    </row>
    <row r="506" ht="51">
      <c r="A506" s="69">
        <v>1101003021</v>
      </c>
      <c r="B506" s="89" t="s">
        <v>15990</v>
      </c>
      <c r="C506" s="88" t="s">
        <v>31</v>
      </c>
      <c r="D506" s="113"/>
      <c r="E506" s="113"/>
      <c r="F506" s="114">
        <v>148.84</v>
      </c>
      <c r="H506" s="88" t="s">
        <v>31</v>
      </c>
      <c r="I506" s="113"/>
      <c r="J506" s="113"/>
      <c r="K506" s="114">
        <v>146.84</v>
      </c>
      <c r="L506" s="88"/>
      <c r="M506" s="88"/>
    </row>
    <row r="507" ht="38.25">
      <c r="A507" s="69">
        <v>1101003022</v>
      </c>
      <c r="B507" s="89" t="s">
        <v>15991</v>
      </c>
      <c r="C507" s="88" t="s">
        <v>31</v>
      </c>
      <c r="D507" s="113"/>
      <c r="E507" s="113"/>
      <c r="F507" s="114">
        <v>46.350000000000001</v>
      </c>
      <c r="H507" s="88" t="s">
        <v>31</v>
      </c>
      <c r="I507" s="113"/>
      <c r="J507" s="113"/>
      <c r="K507" s="114">
        <v>43.960000000000001</v>
      </c>
      <c r="L507" s="88"/>
      <c r="M507" s="88"/>
    </row>
    <row r="508" ht="25.5">
      <c r="A508" s="69">
        <v>1101003030</v>
      </c>
      <c r="B508" s="89" t="s">
        <v>15992</v>
      </c>
      <c r="C508" s="88" t="s">
        <v>31</v>
      </c>
      <c r="D508" s="113"/>
      <c r="E508" s="113"/>
      <c r="F508" s="114">
        <v>81.680000000000007</v>
      </c>
      <c r="H508" s="88" t="s">
        <v>31</v>
      </c>
      <c r="I508" s="113"/>
      <c r="J508" s="113"/>
      <c r="K508" s="114">
        <v>79.299999999999997</v>
      </c>
      <c r="L508" s="88"/>
      <c r="M508" s="88"/>
    </row>
    <row r="509">
      <c r="A509" s="108">
        <v>1101003035</v>
      </c>
      <c r="B509" s="109" t="s">
        <v>15993</v>
      </c>
      <c r="C509" s="110" t="s">
        <v>31</v>
      </c>
      <c r="D509" s="111">
        <v>34.009999999999998</v>
      </c>
      <c r="E509" s="111">
        <v>11.539999999999999</v>
      </c>
      <c r="F509" s="112">
        <v>45.549999999999997</v>
      </c>
      <c r="H509" s="110" t="s">
        <v>31</v>
      </c>
      <c r="I509" s="111">
        <v>34.009999999999998</v>
      </c>
      <c r="J509" s="111">
        <v>10.67</v>
      </c>
      <c r="K509" s="112">
        <v>44.68</v>
      </c>
      <c r="L509" s="88"/>
      <c r="M509" s="88"/>
    </row>
    <row r="510">
      <c r="A510" s="108">
        <v>1101003038</v>
      </c>
      <c r="B510" s="109" t="s">
        <v>15994</v>
      </c>
      <c r="C510" s="110" t="s">
        <v>31</v>
      </c>
      <c r="D510" s="111">
        <v>0</v>
      </c>
      <c r="E510" s="111">
        <v>31.870000000000001</v>
      </c>
      <c r="F510" s="112">
        <v>31.870000000000001</v>
      </c>
      <c r="H510" s="110" t="s">
        <v>31</v>
      </c>
      <c r="I510" s="111">
        <v>0</v>
      </c>
      <c r="J510" s="111">
        <v>29.449999999999999</v>
      </c>
      <c r="K510" s="112">
        <v>29.449999999999999</v>
      </c>
      <c r="L510" s="88"/>
      <c r="M510" s="88"/>
    </row>
    <row r="511">
      <c r="A511" s="108">
        <v>1101003040</v>
      </c>
      <c r="B511" s="109" t="s">
        <v>15995</v>
      </c>
      <c r="C511" s="110" t="s">
        <v>31</v>
      </c>
      <c r="D511" s="111">
        <v>0</v>
      </c>
      <c r="E511" s="111">
        <v>34.859999999999999</v>
      </c>
      <c r="F511" s="112">
        <v>34.859999999999999</v>
      </c>
      <c r="H511" s="110" t="s">
        <v>31</v>
      </c>
      <c r="I511" s="111">
        <v>0</v>
      </c>
      <c r="J511" s="111">
        <v>32.219999999999999</v>
      </c>
      <c r="K511" s="112">
        <v>32.219999999999999</v>
      </c>
      <c r="L511" s="88"/>
      <c r="M511" s="88"/>
    </row>
    <row r="512">
      <c r="D512" s="113"/>
      <c r="E512" s="113"/>
      <c r="F512" s="114"/>
      <c r="H512" s="88"/>
      <c r="I512" s="113"/>
      <c r="J512" s="113"/>
      <c r="K512" s="114"/>
      <c r="L512" s="88"/>
      <c r="M512" s="88"/>
    </row>
    <row r="513">
      <c r="B513" s="89" t="s">
        <v>15996</v>
      </c>
      <c r="D513" s="113"/>
      <c r="E513" s="113"/>
      <c r="F513" s="114"/>
      <c r="H513" s="88"/>
      <c r="I513" s="113"/>
      <c r="J513" s="113"/>
      <c r="K513" s="114"/>
      <c r="L513" s="88"/>
      <c r="M513" s="88"/>
    </row>
    <row r="514" ht="38.25">
      <c r="A514" s="69">
        <v>1101004010</v>
      </c>
      <c r="B514" s="89" t="s">
        <v>15997</v>
      </c>
      <c r="C514" s="88" t="s">
        <v>29</v>
      </c>
      <c r="D514" s="113"/>
      <c r="E514" s="113"/>
      <c r="F514" s="114">
        <v>764.74000000000001</v>
      </c>
      <c r="H514" s="88" t="s">
        <v>29</v>
      </c>
      <c r="I514" s="113"/>
      <c r="J514" s="113"/>
      <c r="K514" s="114">
        <v>763.69000000000005</v>
      </c>
      <c r="L514" s="88"/>
      <c r="M514" s="88"/>
    </row>
    <row r="515" ht="25.5">
      <c r="A515" s="69">
        <v>1101004013</v>
      </c>
      <c r="B515" s="89" t="s">
        <v>15998</v>
      </c>
      <c r="C515" s="88" t="s">
        <v>38</v>
      </c>
      <c r="D515" s="113"/>
      <c r="E515" s="113"/>
      <c r="F515" s="114">
        <v>22.289999999999999</v>
      </c>
      <c r="H515" s="88" t="s">
        <v>38</v>
      </c>
      <c r="I515" s="113"/>
      <c r="J515" s="113"/>
      <c r="K515" s="114">
        <v>21.449999999999999</v>
      </c>
      <c r="L515" s="88"/>
      <c r="M515" s="88"/>
    </row>
    <row r="516" ht="51">
      <c r="A516" s="108">
        <v>1101004020</v>
      </c>
      <c r="B516" s="109" t="s">
        <v>15999</v>
      </c>
      <c r="C516" s="110" t="s">
        <v>29</v>
      </c>
      <c r="D516" s="111">
        <v>1097.1900000000001</v>
      </c>
      <c r="E516" s="111">
        <v>13.81</v>
      </c>
      <c r="F516" s="112">
        <v>1111</v>
      </c>
      <c r="H516" s="110" t="s">
        <v>29</v>
      </c>
      <c r="I516" s="111">
        <v>1097.1900000000001</v>
      </c>
      <c r="J516" s="111">
        <v>12.76</v>
      </c>
      <c r="K516" s="112">
        <v>1109.95</v>
      </c>
      <c r="L516" s="88"/>
      <c r="M516" s="88"/>
    </row>
    <row r="517" ht="51">
      <c r="A517" s="108">
        <v>1101004025</v>
      </c>
      <c r="B517" s="109" t="s">
        <v>16000</v>
      </c>
      <c r="C517" s="110" t="s">
        <v>29</v>
      </c>
      <c r="D517" s="111">
        <v>1408.6099999999999</v>
      </c>
      <c r="E517" s="111">
        <v>13.9</v>
      </c>
      <c r="F517" s="112">
        <v>1422.51</v>
      </c>
      <c r="H517" s="110" t="s">
        <v>29</v>
      </c>
      <c r="I517" s="111">
        <v>1408.6099999999999</v>
      </c>
      <c r="J517" s="111">
        <v>12.84</v>
      </c>
      <c r="K517" s="112">
        <v>1421.45</v>
      </c>
      <c r="L517" s="88"/>
      <c r="M517" s="88"/>
    </row>
    <row r="518" ht="51">
      <c r="A518" s="108">
        <v>1101004027</v>
      </c>
      <c r="B518" s="109" t="s">
        <v>16001</v>
      </c>
      <c r="C518" s="110" t="s">
        <v>29</v>
      </c>
      <c r="D518" s="111">
        <v>1408.6099999999999</v>
      </c>
      <c r="E518" s="111">
        <v>13.9</v>
      </c>
      <c r="F518" s="112">
        <v>1422.51</v>
      </c>
      <c r="H518" s="110" t="s">
        <v>29</v>
      </c>
      <c r="I518" s="111">
        <v>1408.6099999999999</v>
      </c>
      <c r="J518" s="111">
        <v>12.84</v>
      </c>
      <c r="K518" s="112">
        <v>1421.45</v>
      </c>
      <c r="L518" s="88"/>
      <c r="M518" s="88"/>
    </row>
    <row r="519" ht="51">
      <c r="A519" s="108">
        <v>1101004030</v>
      </c>
      <c r="B519" s="109" t="s">
        <v>16002</v>
      </c>
      <c r="C519" s="110" t="s">
        <v>29</v>
      </c>
      <c r="D519" s="111">
        <v>1163.3099999999999</v>
      </c>
      <c r="E519" s="111">
        <v>13.789999999999999</v>
      </c>
      <c r="F519" s="112">
        <v>1177.0999999999999</v>
      </c>
      <c r="H519" s="110" t="s">
        <v>29</v>
      </c>
      <c r="I519" s="111">
        <v>1163.3099999999999</v>
      </c>
      <c r="J519" s="111">
        <v>12.74</v>
      </c>
      <c r="K519" s="112">
        <v>1176.05</v>
      </c>
      <c r="L519" s="88"/>
      <c r="M519" s="88"/>
    </row>
    <row r="520" ht="51">
      <c r="A520" s="108">
        <v>1101004032</v>
      </c>
      <c r="B520" s="109" t="s">
        <v>16003</v>
      </c>
      <c r="C520" s="110" t="s">
        <v>29</v>
      </c>
      <c r="D520" s="111">
        <v>1038.75</v>
      </c>
      <c r="E520" s="111">
        <v>13.789999999999999</v>
      </c>
      <c r="F520" s="112">
        <v>1052.54</v>
      </c>
      <c r="H520" s="110" t="s">
        <v>29</v>
      </c>
      <c r="I520" s="111">
        <v>1038.75</v>
      </c>
      <c r="J520" s="111">
        <v>12.74</v>
      </c>
      <c r="K520" s="112">
        <v>1051.49</v>
      </c>
      <c r="L520" s="88"/>
      <c r="M520" s="88"/>
    </row>
    <row r="521" ht="51">
      <c r="A521" s="108">
        <v>1101004034</v>
      </c>
      <c r="B521" s="109" t="s">
        <v>16004</v>
      </c>
      <c r="C521" s="110" t="s">
        <v>29</v>
      </c>
      <c r="D521" s="111">
        <v>1063.6300000000001</v>
      </c>
      <c r="E521" s="111">
        <v>13.789999999999999</v>
      </c>
      <c r="F521" s="112">
        <v>1077.4200000000001</v>
      </c>
      <c r="H521" s="110" t="s">
        <v>29</v>
      </c>
      <c r="I521" s="111">
        <v>1063.6300000000001</v>
      </c>
      <c r="J521" s="111">
        <v>12.74</v>
      </c>
      <c r="K521" s="112">
        <v>1076.3699999999999</v>
      </c>
      <c r="L521" s="88"/>
      <c r="M521" s="88"/>
    </row>
    <row r="522" ht="38.25">
      <c r="A522" s="108">
        <v>1101004036</v>
      </c>
      <c r="B522" s="109" t="s">
        <v>16005</v>
      </c>
      <c r="C522" s="110" t="s">
        <v>29</v>
      </c>
      <c r="D522" s="111">
        <v>1331.45</v>
      </c>
      <c r="E522" s="111">
        <v>13.789999999999999</v>
      </c>
      <c r="F522" s="112">
        <v>1345.24</v>
      </c>
      <c r="H522" s="110" t="s">
        <v>29</v>
      </c>
      <c r="I522" s="111">
        <v>1331.45</v>
      </c>
      <c r="J522" s="111">
        <v>12.74</v>
      </c>
      <c r="K522" s="112">
        <v>1344.1900000000001</v>
      </c>
      <c r="L522" s="88"/>
      <c r="M522" s="88"/>
    </row>
    <row r="523" ht="51">
      <c r="A523" s="108">
        <v>1101004200</v>
      </c>
      <c r="B523" s="109" t="s">
        <v>16006</v>
      </c>
      <c r="C523" s="110" t="s">
        <v>29</v>
      </c>
      <c r="D523" s="111">
        <v>990</v>
      </c>
      <c r="E523" s="111">
        <v>0</v>
      </c>
      <c r="F523" s="112">
        <v>990</v>
      </c>
      <c r="H523" s="110" t="s">
        <v>29</v>
      </c>
      <c r="I523" s="111">
        <v>990</v>
      </c>
      <c r="J523" s="111">
        <v>0</v>
      </c>
      <c r="K523" s="112">
        <v>990</v>
      </c>
      <c r="L523" s="88"/>
      <c r="M523" s="88"/>
    </row>
    <row r="524" ht="38.25">
      <c r="A524" s="108">
        <v>1101004202</v>
      </c>
      <c r="B524" s="109" t="s">
        <v>16007</v>
      </c>
      <c r="C524" s="110" t="s">
        <v>29</v>
      </c>
      <c r="D524" s="111">
        <v>700</v>
      </c>
      <c r="E524" s="111">
        <v>0</v>
      </c>
      <c r="F524" s="112">
        <v>700</v>
      </c>
      <c r="H524" s="110" t="s">
        <v>29</v>
      </c>
      <c r="I524" s="111">
        <v>700</v>
      </c>
      <c r="J524" s="111">
        <v>0</v>
      </c>
      <c r="K524" s="112">
        <v>700</v>
      </c>
      <c r="L524" s="88"/>
      <c r="M524" s="88"/>
    </row>
    <row r="525" ht="51">
      <c r="A525" s="108">
        <v>1101004220</v>
      </c>
      <c r="B525" s="109" t="s">
        <v>16008</v>
      </c>
      <c r="C525" s="110" t="s">
        <v>38</v>
      </c>
      <c r="D525" s="111">
        <v>730</v>
      </c>
      <c r="E525" s="111">
        <v>0</v>
      </c>
      <c r="F525" s="112">
        <v>730</v>
      </c>
      <c r="H525" s="110" t="s">
        <v>38</v>
      </c>
      <c r="I525" s="111">
        <v>730</v>
      </c>
      <c r="J525" s="111">
        <v>0</v>
      </c>
      <c r="K525" s="112">
        <v>730</v>
      </c>
      <c r="L525" s="88"/>
      <c r="M525" s="88"/>
    </row>
    <row r="526" ht="51">
      <c r="A526" s="108">
        <v>1101004222</v>
      </c>
      <c r="B526" s="109" t="s">
        <v>16009</v>
      </c>
      <c r="C526" s="110" t="s">
        <v>38</v>
      </c>
      <c r="D526" s="111">
        <v>380</v>
      </c>
      <c r="E526" s="111">
        <v>0</v>
      </c>
      <c r="F526" s="112">
        <v>380</v>
      </c>
      <c r="H526" s="110" t="s">
        <v>38</v>
      </c>
      <c r="I526" s="111">
        <v>380</v>
      </c>
      <c r="J526" s="111">
        <v>0</v>
      </c>
      <c r="K526" s="112">
        <v>380</v>
      </c>
      <c r="L526" s="88"/>
      <c r="M526" s="88"/>
    </row>
    <row r="527">
      <c r="D527" s="113"/>
      <c r="E527" s="113"/>
      <c r="F527" s="114"/>
      <c r="H527" s="88"/>
      <c r="I527" s="113"/>
      <c r="J527" s="113"/>
      <c r="K527" s="114"/>
      <c r="L527" s="88"/>
      <c r="M527" s="88"/>
    </row>
    <row r="528">
      <c r="B528" s="102" t="s">
        <v>16010</v>
      </c>
      <c r="D528" s="113"/>
      <c r="E528" s="113"/>
      <c r="F528" s="114"/>
      <c r="H528" s="88"/>
      <c r="I528" s="113"/>
      <c r="J528" s="113"/>
      <c r="K528" s="114"/>
      <c r="L528" s="88"/>
      <c r="M528" s="88"/>
    </row>
    <row r="529">
      <c r="D529" s="113"/>
      <c r="E529" s="113"/>
      <c r="F529" s="114"/>
      <c r="H529" s="88"/>
      <c r="I529" s="113"/>
      <c r="J529" s="113"/>
      <c r="K529" s="114"/>
      <c r="L529" s="88"/>
      <c r="M529" s="88"/>
    </row>
    <row r="530">
      <c r="A530" s="88" t="s">
        <v>15547</v>
      </c>
      <c r="B530" s="89" t="s">
        <v>15548</v>
      </c>
      <c r="C530" s="88" t="s">
        <v>15337</v>
      </c>
      <c r="D530" s="113" t="s">
        <v>10460</v>
      </c>
      <c r="E530" s="113" t="s">
        <v>15549</v>
      </c>
      <c r="F530" s="114" t="s">
        <v>15550</v>
      </c>
      <c r="H530" s="88" t="s">
        <v>15337</v>
      </c>
      <c r="I530" s="113" t="s">
        <v>10460</v>
      </c>
      <c r="J530" s="113" t="s">
        <v>15549</v>
      </c>
      <c r="K530" s="114" t="s">
        <v>15550</v>
      </c>
      <c r="L530" s="88"/>
      <c r="M530" s="88"/>
    </row>
    <row r="531">
      <c r="D531" s="113"/>
      <c r="E531" s="113"/>
      <c r="F531" s="114"/>
      <c r="H531" s="88"/>
      <c r="I531" s="113"/>
      <c r="J531" s="113"/>
      <c r="K531" s="114"/>
      <c r="L531" s="88"/>
      <c r="M531" s="88"/>
    </row>
    <row r="532">
      <c r="B532" s="89" t="s">
        <v>16011</v>
      </c>
      <c r="D532" s="113"/>
      <c r="E532" s="113"/>
      <c r="F532" s="114"/>
      <c r="H532" s="88"/>
      <c r="I532" s="113"/>
      <c r="J532" s="113"/>
      <c r="K532" s="114"/>
      <c r="L532" s="88"/>
      <c r="M532" s="88"/>
    </row>
    <row r="533" ht="38.25">
      <c r="A533" s="108">
        <v>1201001000</v>
      </c>
      <c r="B533" s="109" t="s">
        <v>16012</v>
      </c>
      <c r="C533" s="110" t="s">
        <v>31</v>
      </c>
      <c r="D533" s="111">
        <v>46.25</v>
      </c>
      <c r="E533" s="111">
        <v>16.5</v>
      </c>
      <c r="F533" s="112">
        <v>62.75</v>
      </c>
      <c r="H533" s="110" t="s">
        <v>31</v>
      </c>
      <c r="I533" s="111">
        <v>46.25</v>
      </c>
      <c r="J533" s="111">
        <v>15.23</v>
      </c>
      <c r="K533" s="112">
        <v>61.479999999999997</v>
      </c>
      <c r="L533" s="88"/>
      <c r="M533" s="88"/>
    </row>
    <row r="534" ht="38.25">
      <c r="A534" s="108">
        <v>1201001001</v>
      </c>
      <c r="B534" s="109" t="s">
        <v>16013</v>
      </c>
      <c r="C534" s="110" t="s">
        <v>31</v>
      </c>
      <c r="D534" s="111">
        <v>37.670000000000002</v>
      </c>
      <c r="E534" s="111">
        <v>16.5</v>
      </c>
      <c r="F534" s="112">
        <v>54.170000000000002</v>
      </c>
      <c r="H534" s="110" t="s">
        <v>31</v>
      </c>
      <c r="I534" s="111">
        <v>37.670000000000002</v>
      </c>
      <c r="J534" s="111">
        <v>15.23</v>
      </c>
      <c r="K534" s="112">
        <v>52.899999999999999</v>
      </c>
      <c r="L534" s="88"/>
      <c r="M534" s="88"/>
    </row>
    <row r="535" ht="38.25">
      <c r="A535" s="108">
        <v>1201001002</v>
      </c>
      <c r="B535" s="109" t="s">
        <v>16014</v>
      </c>
      <c r="C535" s="110" t="s">
        <v>31</v>
      </c>
      <c r="D535" s="111">
        <v>82.560000000000002</v>
      </c>
      <c r="E535" s="111">
        <v>24.289999999999999</v>
      </c>
      <c r="F535" s="112">
        <v>106.84999999999999</v>
      </c>
      <c r="H535" s="110" t="s">
        <v>31</v>
      </c>
      <c r="I535" s="111">
        <v>82.560000000000002</v>
      </c>
      <c r="J535" s="111">
        <v>22.43</v>
      </c>
      <c r="K535" s="112">
        <v>104.98999999999999</v>
      </c>
      <c r="L535" s="88"/>
      <c r="M535" s="88"/>
    </row>
    <row r="536" ht="38.25">
      <c r="A536" s="108">
        <v>1201001003</v>
      </c>
      <c r="B536" s="109" t="s">
        <v>16015</v>
      </c>
      <c r="C536" s="110" t="s">
        <v>31</v>
      </c>
      <c r="D536" s="111">
        <v>199.90000000000001</v>
      </c>
      <c r="E536" s="111">
        <v>16.5</v>
      </c>
      <c r="F536" s="112">
        <v>216.40000000000001</v>
      </c>
      <c r="H536" s="110" t="s">
        <v>31</v>
      </c>
      <c r="I536" s="111">
        <v>199.90000000000001</v>
      </c>
      <c r="J536" s="111">
        <v>15.23</v>
      </c>
      <c r="K536" s="112">
        <v>215.13</v>
      </c>
      <c r="L536" s="88"/>
      <c r="M536" s="88"/>
    </row>
    <row r="537" ht="38.25">
      <c r="A537" s="108">
        <v>1201001004</v>
      </c>
      <c r="B537" s="109" t="s">
        <v>16016</v>
      </c>
      <c r="C537" s="110" t="s">
        <v>31</v>
      </c>
      <c r="D537" s="111">
        <v>187.31999999999999</v>
      </c>
      <c r="E537" s="111">
        <v>16.5</v>
      </c>
      <c r="F537" s="112">
        <v>203.81999999999999</v>
      </c>
      <c r="H537" s="110" t="s">
        <v>31</v>
      </c>
      <c r="I537" s="111">
        <v>187.31999999999999</v>
      </c>
      <c r="J537" s="111">
        <v>15.23</v>
      </c>
      <c r="K537" s="112">
        <v>202.55000000000001</v>
      </c>
      <c r="L537" s="88"/>
      <c r="M537" s="88"/>
    </row>
    <row r="538" ht="38.25">
      <c r="A538" s="108">
        <v>1201001005</v>
      </c>
      <c r="B538" s="109" t="s">
        <v>16017</v>
      </c>
      <c r="C538" s="110" t="s">
        <v>31</v>
      </c>
      <c r="D538" s="111">
        <v>87.099999999999994</v>
      </c>
      <c r="E538" s="111">
        <v>20.489999999999998</v>
      </c>
      <c r="F538" s="112">
        <v>107.59</v>
      </c>
      <c r="H538" s="110" t="s">
        <v>31</v>
      </c>
      <c r="I538" s="111">
        <v>87.099999999999994</v>
      </c>
      <c r="J538" s="111">
        <v>18.93</v>
      </c>
      <c r="K538" s="112">
        <v>106.03</v>
      </c>
      <c r="L538" s="88"/>
      <c r="M538" s="88"/>
    </row>
    <row r="539" ht="38.25">
      <c r="A539" s="69">
        <v>1201001006</v>
      </c>
      <c r="B539" s="89" t="s">
        <v>16018</v>
      </c>
      <c r="C539" s="88" t="s">
        <v>31</v>
      </c>
      <c r="D539" s="113"/>
      <c r="E539" s="113"/>
      <c r="F539" s="114">
        <v>104.45999999999999</v>
      </c>
      <c r="H539" s="88" t="s">
        <v>31</v>
      </c>
      <c r="I539" s="113"/>
      <c r="J539" s="113"/>
      <c r="K539" s="114">
        <v>103</v>
      </c>
      <c r="L539" s="88"/>
      <c r="M539" s="88"/>
    </row>
    <row r="540" ht="51">
      <c r="A540" s="108">
        <v>1201001007</v>
      </c>
      <c r="B540" s="109" t="s">
        <v>16019</v>
      </c>
      <c r="C540" s="110" t="s">
        <v>11798</v>
      </c>
      <c r="D540" s="111">
        <v>196</v>
      </c>
      <c r="E540" s="111">
        <v>10.859999999999999</v>
      </c>
      <c r="F540" s="112">
        <v>206.86000000000001</v>
      </c>
      <c r="H540" s="110" t="s">
        <v>11798</v>
      </c>
      <c r="I540" s="111">
        <v>196</v>
      </c>
      <c r="J540" s="111">
        <v>10.02</v>
      </c>
      <c r="K540" s="112">
        <v>206.02000000000001</v>
      </c>
      <c r="L540" s="88"/>
      <c r="M540" s="88"/>
    </row>
    <row r="541" ht="51">
      <c r="A541" s="108">
        <v>1201001008</v>
      </c>
      <c r="B541" s="109" t="s">
        <v>16020</v>
      </c>
      <c r="C541" s="110" t="s">
        <v>11798</v>
      </c>
      <c r="D541" s="111">
        <v>262</v>
      </c>
      <c r="E541" s="111">
        <v>10.859999999999999</v>
      </c>
      <c r="F541" s="112">
        <v>272.86000000000001</v>
      </c>
      <c r="H541" s="110" t="s">
        <v>11798</v>
      </c>
      <c r="I541" s="111">
        <v>262</v>
      </c>
      <c r="J541" s="111">
        <v>10.02</v>
      </c>
      <c r="K541" s="112">
        <v>272.01999999999998</v>
      </c>
      <c r="L541" s="88"/>
      <c r="M541" s="88"/>
    </row>
    <row r="542" ht="38.25">
      <c r="A542" s="108">
        <v>1201001009</v>
      </c>
      <c r="B542" s="109" t="s">
        <v>16021</v>
      </c>
      <c r="C542" s="110" t="s">
        <v>38</v>
      </c>
      <c r="D542" s="111">
        <v>28.399999999999999</v>
      </c>
      <c r="E542" s="111">
        <v>2.79</v>
      </c>
      <c r="F542" s="112">
        <v>31.190000000000001</v>
      </c>
      <c r="H542" s="110" t="s">
        <v>38</v>
      </c>
      <c r="I542" s="111">
        <v>28.399999999999999</v>
      </c>
      <c r="J542" s="111">
        <v>2.5800000000000001</v>
      </c>
      <c r="K542" s="112">
        <v>30.98</v>
      </c>
      <c r="L542" s="88"/>
      <c r="M542" s="88"/>
    </row>
    <row r="543" ht="51">
      <c r="A543" s="108">
        <v>1201001010</v>
      </c>
      <c r="B543" s="109" t="s">
        <v>16022</v>
      </c>
      <c r="C543" s="110" t="s">
        <v>38</v>
      </c>
      <c r="D543" s="111">
        <v>32.899999999999999</v>
      </c>
      <c r="E543" s="111">
        <v>10.859999999999999</v>
      </c>
      <c r="F543" s="112">
        <v>43.759999999999998</v>
      </c>
      <c r="H543" s="110" t="s">
        <v>38</v>
      </c>
      <c r="I543" s="111">
        <v>32.899999999999999</v>
      </c>
      <c r="J543" s="111">
        <v>10.02</v>
      </c>
      <c r="K543" s="112">
        <v>42.920000000000002</v>
      </c>
      <c r="L543" s="88"/>
      <c r="M543" s="88"/>
    </row>
    <row r="544" ht="25.5">
      <c r="A544" s="108">
        <v>1201001011</v>
      </c>
      <c r="B544" s="109" t="s">
        <v>16023</v>
      </c>
      <c r="C544" s="110" t="s">
        <v>31</v>
      </c>
      <c r="D544" s="111">
        <v>82.409999999999997</v>
      </c>
      <c r="E544" s="111">
        <v>10.859999999999999</v>
      </c>
      <c r="F544" s="112">
        <v>93.269999999999996</v>
      </c>
      <c r="H544" s="110" t="s">
        <v>31</v>
      </c>
      <c r="I544" s="111">
        <v>82.409999999999997</v>
      </c>
      <c r="J544" s="111">
        <v>10.02</v>
      </c>
      <c r="K544" s="112">
        <v>92.430000000000007</v>
      </c>
      <c r="L544" s="88"/>
      <c r="M544" s="88"/>
    </row>
    <row r="545" ht="63.75">
      <c r="A545" s="108">
        <v>1201001012</v>
      </c>
      <c r="B545" s="109" t="s">
        <v>16024</v>
      </c>
      <c r="C545" s="110" t="s">
        <v>38</v>
      </c>
      <c r="D545" s="111">
        <v>29.699999999999999</v>
      </c>
      <c r="E545" s="111">
        <v>16.52</v>
      </c>
      <c r="F545" s="112">
        <v>46.219999999999999</v>
      </c>
      <c r="H545" s="110" t="s">
        <v>38</v>
      </c>
      <c r="I545" s="111">
        <v>29.699999999999999</v>
      </c>
      <c r="J545" s="111">
        <v>15.27</v>
      </c>
      <c r="K545" s="112">
        <v>44.969999999999999</v>
      </c>
      <c r="L545" s="88"/>
      <c r="M545" s="88"/>
    </row>
    <row r="546" ht="25.5">
      <c r="A546" s="108">
        <v>1201001104</v>
      </c>
      <c r="B546" s="109" t="s">
        <v>16025</v>
      </c>
      <c r="C546" s="110" t="s">
        <v>31</v>
      </c>
      <c r="D546" s="111">
        <v>38.689999999999998</v>
      </c>
      <c r="E546" s="111">
        <v>16.52</v>
      </c>
      <c r="F546" s="112">
        <v>55.210000000000001</v>
      </c>
      <c r="H546" s="110" t="s">
        <v>31</v>
      </c>
      <c r="I546" s="111">
        <v>38.689999999999998</v>
      </c>
      <c r="J546" s="111">
        <v>15.27</v>
      </c>
      <c r="K546" s="112">
        <v>53.960000000000001</v>
      </c>
      <c r="L546" s="88"/>
      <c r="M546" s="88"/>
    </row>
    <row r="547" ht="38.25">
      <c r="A547" s="108">
        <v>1201001113</v>
      </c>
      <c r="B547" s="109" t="s">
        <v>16026</v>
      </c>
      <c r="C547" s="110" t="s">
        <v>11798</v>
      </c>
      <c r="D547" s="111">
        <v>182.80000000000001</v>
      </c>
      <c r="E547" s="111">
        <v>16.52</v>
      </c>
      <c r="F547" s="112">
        <v>199.31999999999999</v>
      </c>
      <c r="H547" s="110" t="s">
        <v>11798</v>
      </c>
      <c r="I547" s="111">
        <v>182.80000000000001</v>
      </c>
      <c r="J547" s="111">
        <v>15.27</v>
      </c>
      <c r="K547" s="112">
        <v>198.06999999999999</v>
      </c>
      <c r="L547" s="88"/>
      <c r="M547" s="88"/>
    </row>
    <row r="548" ht="38.25">
      <c r="A548" s="108">
        <v>1201001114</v>
      </c>
      <c r="B548" s="109" t="s">
        <v>16027</v>
      </c>
      <c r="C548" s="110" t="s">
        <v>11798</v>
      </c>
      <c r="D548" s="111">
        <v>253.90000000000001</v>
      </c>
      <c r="E548" s="111">
        <v>16.52</v>
      </c>
      <c r="F548" s="112">
        <v>270.42000000000002</v>
      </c>
      <c r="H548" s="110" t="s">
        <v>11798</v>
      </c>
      <c r="I548" s="111">
        <v>253.90000000000001</v>
      </c>
      <c r="J548" s="111">
        <v>15.27</v>
      </c>
      <c r="K548" s="112">
        <v>269.17000000000002</v>
      </c>
      <c r="L548" s="88"/>
      <c r="M548" s="88"/>
    </row>
    <row r="549" ht="63.75">
      <c r="A549" s="108">
        <v>1201001116</v>
      </c>
      <c r="B549" s="109" t="s">
        <v>16028</v>
      </c>
      <c r="C549" s="110" t="s">
        <v>31</v>
      </c>
      <c r="D549" s="111">
        <v>466.33999999999997</v>
      </c>
      <c r="E549" s="111">
        <v>16.52</v>
      </c>
      <c r="F549" s="112">
        <v>482.86000000000001</v>
      </c>
      <c r="H549" s="110" t="s">
        <v>31</v>
      </c>
      <c r="I549" s="111">
        <v>466.33999999999997</v>
      </c>
      <c r="J549" s="111">
        <v>15.27</v>
      </c>
      <c r="K549" s="112">
        <v>481.61000000000001</v>
      </c>
      <c r="L549" s="88"/>
      <c r="M549" s="88"/>
    </row>
    <row r="550" ht="63.75">
      <c r="A550" s="108">
        <v>1201001118</v>
      </c>
      <c r="B550" s="109" t="s">
        <v>16029</v>
      </c>
      <c r="C550" s="110" t="s">
        <v>31</v>
      </c>
      <c r="D550" s="111">
        <v>482.97000000000003</v>
      </c>
      <c r="E550" s="111">
        <v>16.52</v>
      </c>
      <c r="F550" s="112">
        <v>499.49000000000001</v>
      </c>
      <c r="H550" s="110" t="s">
        <v>31</v>
      </c>
      <c r="I550" s="111">
        <v>482.97000000000003</v>
      </c>
      <c r="J550" s="111">
        <v>15.27</v>
      </c>
      <c r="K550" s="112">
        <v>498.24000000000001</v>
      </c>
      <c r="L550" s="88"/>
      <c r="M550" s="88"/>
    </row>
    <row r="551" ht="38.25">
      <c r="A551" s="69">
        <v>1201001120</v>
      </c>
      <c r="B551" s="89" t="s">
        <v>16030</v>
      </c>
      <c r="C551" s="88" t="s">
        <v>31</v>
      </c>
      <c r="D551" s="113"/>
      <c r="E551" s="113"/>
      <c r="F551" s="114">
        <v>19.48</v>
      </c>
      <c r="H551" s="88" t="s">
        <v>31</v>
      </c>
      <c r="I551" s="113"/>
      <c r="J551" s="113"/>
      <c r="K551" s="114">
        <v>19.030000000000001</v>
      </c>
      <c r="L551" s="88"/>
      <c r="M551" s="88"/>
    </row>
    <row r="552" ht="38.25">
      <c r="A552" s="108">
        <v>1201001127</v>
      </c>
      <c r="B552" s="109" t="s">
        <v>16031</v>
      </c>
      <c r="C552" s="110" t="s">
        <v>31</v>
      </c>
      <c r="D552" s="111">
        <v>354.13999999999999</v>
      </c>
      <c r="E552" s="111">
        <v>10.859999999999999</v>
      </c>
      <c r="F552" s="112">
        <v>365</v>
      </c>
      <c r="H552" s="110" t="s">
        <v>31</v>
      </c>
      <c r="I552" s="111">
        <v>354.13999999999999</v>
      </c>
      <c r="J552" s="111">
        <v>10.02</v>
      </c>
      <c r="K552" s="112">
        <v>364.16000000000003</v>
      </c>
      <c r="L552" s="88"/>
      <c r="M552" s="88"/>
    </row>
    <row r="553" ht="38.25">
      <c r="A553" s="108">
        <v>1201001133</v>
      </c>
      <c r="B553" s="109" t="s">
        <v>16032</v>
      </c>
      <c r="C553" s="110" t="s">
        <v>31</v>
      </c>
      <c r="D553" s="111">
        <v>234.40000000000001</v>
      </c>
      <c r="E553" s="111">
        <v>95.480000000000004</v>
      </c>
      <c r="F553" s="112">
        <v>329.88</v>
      </c>
      <c r="H553" s="110" t="s">
        <v>31</v>
      </c>
      <c r="I553" s="111">
        <v>234.40000000000001</v>
      </c>
      <c r="J553" s="111">
        <v>88.299999999999997</v>
      </c>
      <c r="K553" s="112">
        <v>322.69999999999999</v>
      </c>
      <c r="L553" s="88"/>
      <c r="M553" s="88"/>
    </row>
    <row r="554" ht="25.5">
      <c r="A554" s="108">
        <v>1201001135</v>
      </c>
      <c r="B554" s="109" t="s">
        <v>16033</v>
      </c>
      <c r="C554" s="110" t="s">
        <v>31</v>
      </c>
      <c r="D554" s="111">
        <v>185.19999999999999</v>
      </c>
      <c r="E554" s="111">
        <v>95.480000000000004</v>
      </c>
      <c r="F554" s="112">
        <v>280.68000000000001</v>
      </c>
      <c r="H554" s="110" t="s">
        <v>31</v>
      </c>
      <c r="I554" s="111">
        <v>185.19999999999999</v>
      </c>
      <c r="J554" s="111">
        <v>88.299999999999997</v>
      </c>
      <c r="K554" s="112">
        <v>273.5</v>
      </c>
      <c r="L554" s="88"/>
      <c r="M554" s="88"/>
    </row>
    <row r="555" ht="51">
      <c r="A555" s="108">
        <v>1201001138</v>
      </c>
      <c r="B555" s="109" t="s">
        <v>16034</v>
      </c>
      <c r="C555" s="110" t="s">
        <v>11798</v>
      </c>
      <c r="D555" s="111">
        <v>762.90999999999997</v>
      </c>
      <c r="E555" s="111">
        <v>61.829999999999998</v>
      </c>
      <c r="F555" s="112">
        <v>824.74000000000001</v>
      </c>
      <c r="H555" s="110" t="s">
        <v>11798</v>
      </c>
      <c r="I555" s="111">
        <v>762.90999999999997</v>
      </c>
      <c r="J555" s="111">
        <v>57.259999999999998</v>
      </c>
      <c r="K555" s="112">
        <v>820.16999999999996</v>
      </c>
      <c r="L555" s="88"/>
      <c r="M555" s="88"/>
    </row>
    <row r="556" ht="63.75">
      <c r="A556" s="108">
        <v>1201001146</v>
      </c>
      <c r="B556" s="109" t="s">
        <v>16035</v>
      </c>
      <c r="C556" s="110" t="s">
        <v>11798</v>
      </c>
      <c r="D556" s="111">
        <v>2527.6100000000001</v>
      </c>
      <c r="E556" s="111">
        <v>61.829999999999998</v>
      </c>
      <c r="F556" s="112">
        <v>2589.4400000000001</v>
      </c>
      <c r="H556" s="110" t="s">
        <v>11798</v>
      </c>
      <c r="I556" s="111">
        <v>2527.23</v>
      </c>
      <c r="J556" s="111">
        <v>57.259999999999998</v>
      </c>
      <c r="K556" s="112">
        <v>2584.4899999999998</v>
      </c>
      <c r="L556" s="88"/>
      <c r="M556" s="88"/>
    </row>
    <row r="557" ht="63.75">
      <c r="A557" s="108">
        <v>1201001147</v>
      </c>
      <c r="B557" s="109" t="s">
        <v>16036</v>
      </c>
      <c r="C557" s="110" t="s">
        <v>11798</v>
      </c>
      <c r="D557" s="111">
        <v>2934.8099999999999</v>
      </c>
      <c r="E557" s="111">
        <v>89.769999999999996</v>
      </c>
      <c r="F557" s="112">
        <v>3024.5799999999999</v>
      </c>
      <c r="H557" s="110" t="s">
        <v>11798</v>
      </c>
      <c r="I557" s="111">
        <v>2934.4299999999998</v>
      </c>
      <c r="J557" s="111">
        <v>83.140000000000001</v>
      </c>
      <c r="K557" s="112">
        <v>3017.5700000000002</v>
      </c>
      <c r="L557" s="88"/>
      <c r="M557" s="88"/>
    </row>
    <row r="558" ht="38.25">
      <c r="A558" s="108">
        <v>1201001153</v>
      </c>
      <c r="B558" s="109" t="s">
        <v>16037</v>
      </c>
      <c r="C558" s="110" t="s">
        <v>11798</v>
      </c>
      <c r="D558" s="111">
        <v>450.39999999999998</v>
      </c>
      <c r="E558" s="111">
        <v>11.359999999999999</v>
      </c>
      <c r="F558" s="112">
        <v>461.75999999999999</v>
      </c>
      <c r="H558" s="110" t="s">
        <v>11798</v>
      </c>
      <c r="I558" s="111">
        <v>449.89999999999998</v>
      </c>
      <c r="J558" s="111">
        <v>10.51</v>
      </c>
      <c r="K558" s="112">
        <v>460.41000000000003</v>
      </c>
      <c r="L558" s="88"/>
      <c r="M558" s="88"/>
    </row>
    <row r="559" ht="38.25">
      <c r="A559" s="69">
        <v>1201001154</v>
      </c>
      <c r="B559" s="89" t="s">
        <v>16038</v>
      </c>
      <c r="C559" s="88" t="s">
        <v>31</v>
      </c>
      <c r="D559" s="113"/>
      <c r="E559" s="113"/>
      <c r="F559" s="114">
        <v>544.16999999999996</v>
      </c>
      <c r="H559" s="88" t="s">
        <v>31</v>
      </c>
      <c r="I559" s="113"/>
      <c r="J559" s="113"/>
      <c r="K559" s="114">
        <v>542.82000000000005</v>
      </c>
      <c r="L559" s="88"/>
      <c r="M559" s="88"/>
    </row>
    <row r="560" ht="63.75">
      <c r="A560" s="108">
        <v>1201001155</v>
      </c>
      <c r="B560" s="109" t="s">
        <v>16039</v>
      </c>
      <c r="C560" s="110" t="s">
        <v>11798</v>
      </c>
      <c r="D560" s="111">
        <v>1527.9000000000001</v>
      </c>
      <c r="E560" s="111">
        <v>30.91</v>
      </c>
      <c r="F560" s="112">
        <v>1558.8099999999999</v>
      </c>
      <c r="H560" s="110" t="s">
        <v>11798</v>
      </c>
      <c r="I560" s="111">
        <v>1527.9000000000001</v>
      </c>
      <c r="J560" s="111">
        <v>28.629999999999999</v>
      </c>
      <c r="K560" s="112">
        <v>1556.53</v>
      </c>
      <c r="L560" s="88"/>
      <c r="M560" s="88"/>
    </row>
    <row r="561" ht="63.75">
      <c r="A561" s="108">
        <v>1201001156</v>
      </c>
      <c r="B561" s="109" t="s">
        <v>16040</v>
      </c>
      <c r="C561" s="110" t="s">
        <v>11798</v>
      </c>
      <c r="D561" s="111">
        <v>2003.24</v>
      </c>
      <c r="E561" s="111">
        <v>44.880000000000003</v>
      </c>
      <c r="F561" s="112">
        <v>2048.1199999999999</v>
      </c>
      <c r="H561" s="110" t="s">
        <v>11798</v>
      </c>
      <c r="I561" s="111">
        <v>2003.24</v>
      </c>
      <c r="J561" s="111">
        <v>41.57</v>
      </c>
      <c r="K561" s="112">
        <v>2044.8099999999999</v>
      </c>
      <c r="L561" s="88"/>
      <c r="M561" s="88"/>
    </row>
    <row r="562" ht="38.25">
      <c r="A562" s="69">
        <v>1201001158</v>
      </c>
      <c r="B562" s="89" t="s">
        <v>16041</v>
      </c>
      <c r="C562" s="88" t="s">
        <v>31</v>
      </c>
      <c r="D562" s="113"/>
      <c r="E562" s="113"/>
      <c r="F562" s="114">
        <v>2784.25</v>
      </c>
      <c r="H562" s="88" t="s">
        <v>31</v>
      </c>
      <c r="I562" s="113"/>
      <c r="J562" s="113"/>
      <c r="K562" s="114">
        <v>2778.6599999999999</v>
      </c>
      <c r="L562" s="88"/>
      <c r="M562" s="88"/>
    </row>
    <row r="563" ht="38.25">
      <c r="A563" s="69">
        <v>1201001159</v>
      </c>
      <c r="B563" s="89" t="s">
        <v>16042</v>
      </c>
      <c r="C563" s="88" t="s">
        <v>31</v>
      </c>
      <c r="D563" s="113"/>
      <c r="E563" s="113"/>
      <c r="F563" s="114">
        <v>3213.2800000000002</v>
      </c>
      <c r="H563" s="88" t="s">
        <v>31</v>
      </c>
      <c r="I563" s="113"/>
      <c r="J563" s="113"/>
      <c r="K563" s="114">
        <v>3205.3299999999999</v>
      </c>
      <c r="L563" s="88"/>
      <c r="M563" s="88"/>
    </row>
    <row r="564" ht="25.5">
      <c r="A564" s="108">
        <v>1201001161</v>
      </c>
      <c r="B564" s="109" t="s">
        <v>16043</v>
      </c>
      <c r="C564" s="110" t="s">
        <v>31</v>
      </c>
      <c r="D564" s="111">
        <v>11.35</v>
      </c>
      <c r="E564" s="111">
        <v>5.7999999999999998</v>
      </c>
      <c r="F564" s="112">
        <v>17.149999999999999</v>
      </c>
      <c r="H564" s="110" t="s">
        <v>31</v>
      </c>
      <c r="I564" s="111">
        <v>11.35</v>
      </c>
      <c r="J564" s="111">
        <v>5.3600000000000003</v>
      </c>
      <c r="K564" s="112">
        <v>16.710000000000001</v>
      </c>
      <c r="L564" s="88"/>
      <c r="M564" s="88"/>
    </row>
    <row r="565" ht="25.5">
      <c r="A565" s="69">
        <v>1201001162</v>
      </c>
      <c r="B565" s="89" t="s">
        <v>16044</v>
      </c>
      <c r="C565" s="88" t="s">
        <v>31</v>
      </c>
      <c r="D565" s="113"/>
      <c r="E565" s="113"/>
      <c r="F565" s="114">
        <v>14.24</v>
      </c>
      <c r="H565" s="88" t="s">
        <v>31</v>
      </c>
      <c r="I565" s="113"/>
      <c r="J565" s="113"/>
      <c r="K565" s="114">
        <v>13.83</v>
      </c>
      <c r="L565" s="88"/>
      <c r="M565" s="88"/>
    </row>
    <row r="566" ht="25.5">
      <c r="A566" s="108">
        <v>1201001183</v>
      </c>
      <c r="B566" s="109" t="s">
        <v>16045</v>
      </c>
      <c r="C566" s="110" t="s">
        <v>31</v>
      </c>
      <c r="D566" s="111">
        <v>10.74</v>
      </c>
      <c r="E566" s="111">
        <v>2.9900000000000002</v>
      </c>
      <c r="F566" s="112">
        <v>13.73</v>
      </c>
      <c r="H566" s="110" t="s">
        <v>31</v>
      </c>
      <c r="I566" s="111">
        <v>10.74</v>
      </c>
      <c r="J566" s="111">
        <v>2.7599999999999998</v>
      </c>
      <c r="K566" s="112">
        <v>13.5</v>
      </c>
      <c r="L566" s="88"/>
      <c r="M566" s="88"/>
    </row>
    <row r="567">
      <c r="A567" s="108">
        <v>1201001194</v>
      </c>
      <c r="B567" s="109" t="s">
        <v>16046</v>
      </c>
      <c r="C567" s="110" t="s">
        <v>31</v>
      </c>
      <c r="D567" s="111">
        <v>121.45</v>
      </c>
      <c r="E567" s="111">
        <v>9.2699999999999996</v>
      </c>
      <c r="F567" s="112">
        <v>130.72</v>
      </c>
      <c r="H567" s="110" t="s">
        <v>31</v>
      </c>
      <c r="I567" s="111">
        <v>121.45</v>
      </c>
      <c r="J567" s="111">
        <v>8.5700000000000003</v>
      </c>
      <c r="K567" s="112">
        <v>130.02000000000001</v>
      </c>
      <c r="L567" s="88"/>
      <c r="M567" s="88"/>
    </row>
    <row r="568" ht="38.25">
      <c r="A568" s="108">
        <v>1201001199</v>
      </c>
      <c r="B568" s="109" t="s">
        <v>16047</v>
      </c>
      <c r="C568" s="110" t="s">
        <v>31</v>
      </c>
      <c r="D568" s="111">
        <v>149.06999999999999</v>
      </c>
      <c r="E568" s="111">
        <v>9.2699999999999996</v>
      </c>
      <c r="F568" s="112">
        <v>158.34</v>
      </c>
      <c r="H568" s="110" t="s">
        <v>31</v>
      </c>
      <c r="I568" s="111">
        <v>149.06999999999999</v>
      </c>
      <c r="J568" s="111">
        <v>8.5700000000000003</v>
      </c>
      <c r="K568" s="112">
        <v>157.63999999999999</v>
      </c>
      <c r="L568" s="88"/>
      <c r="M568" s="88"/>
    </row>
    <row r="569">
      <c r="D569" s="113"/>
      <c r="E569" s="113"/>
      <c r="F569" s="114"/>
      <c r="H569" s="88"/>
      <c r="I569" s="113"/>
      <c r="J569" s="113"/>
      <c r="K569" s="114"/>
      <c r="L569" s="88"/>
      <c r="M569" s="88"/>
    </row>
    <row r="570">
      <c r="B570" s="89" t="s">
        <v>16048</v>
      </c>
      <c r="D570" s="113"/>
      <c r="E570" s="113"/>
      <c r="F570" s="114"/>
      <c r="H570" s="88"/>
      <c r="I570" s="113"/>
      <c r="J570" s="113"/>
      <c r="K570" s="114"/>
      <c r="L570" s="88"/>
      <c r="M570" s="88"/>
    </row>
    <row r="571" ht="38.25">
      <c r="A571" s="69">
        <v>1201002000</v>
      </c>
      <c r="B571" s="89" t="s">
        <v>16049</v>
      </c>
      <c r="C571" s="88" t="s">
        <v>31</v>
      </c>
      <c r="D571" s="113"/>
      <c r="E571" s="113"/>
      <c r="F571" s="114">
        <v>26.93</v>
      </c>
      <c r="H571" s="88" t="s">
        <v>31</v>
      </c>
      <c r="I571" s="113"/>
      <c r="J571" s="113"/>
      <c r="K571" s="114">
        <v>25.640000000000001</v>
      </c>
      <c r="L571" s="88"/>
      <c r="M571" s="88"/>
    </row>
    <row r="572" ht="38.25">
      <c r="A572" s="69">
        <v>1201002002</v>
      </c>
      <c r="B572" s="89" t="s">
        <v>16050</v>
      </c>
      <c r="C572" s="88" t="s">
        <v>31</v>
      </c>
      <c r="D572" s="113"/>
      <c r="E572" s="113"/>
      <c r="F572" s="114">
        <v>40.979999999999997</v>
      </c>
      <c r="H572" s="88" t="s">
        <v>31</v>
      </c>
      <c r="I572" s="113"/>
      <c r="J572" s="113"/>
      <c r="K572" s="114">
        <v>39.090000000000003</v>
      </c>
      <c r="L572" s="88"/>
      <c r="M572" s="88"/>
    </row>
    <row r="573" ht="38.25">
      <c r="A573" s="69">
        <v>1201002004</v>
      </c>
      <c r="B573" s="89" t="s">
        <v>16051</v>
      </c>
      <c r="C573" s="88" t="s">
        <v>31</v>
      </c>
      <c r="D573" s="113"/>
      <c r="E573" s="113"/>
      <c r="F573" s="114">
        <v>55.039999999999999</v>
      </c>
      <c r="H573" s="88" t="s">
        <v>31</v>
      </c>
      <c r="I573" s="113"/>
      <c r="J573" s="113"/>
      <c r="K573" s="114">
        <v>52.530000000000001</v>
      </c>
      <c r="L573" s="88"/>
      <c r="M573" s="88"/>
    </row>
    <row r="574" ht="38.25">
      <c r="A574" s="69">
        <v>1201002006</v>
      </c>
      <c r="B574" s="89" t="s">
        <v>16052</v>
      </c>
      <c r="C574" s="88" t="s">
        <v>31</v>
      </c>
      <c r="D574" s="113"/>
      <c r="E574" s="113"/>
      <c r="F574" s="114">
        <v>32.789999999999999</v>
      </c>
      <c r="H574" s="88" t="s">
        <v>31</v>
      </c>
      <c r="I574" s="113"/>
      <c r="J574" s="113"/>
      <c r="K574" s="114">
        <v>31.199999999999999</v>
      </c>
      <c r="L574" s="88"/>
      <c r="M574" s="88"/>
    </row>
    <row r="575" ht="38.25">
      <c r="A575" s="108">
        <v>1201002010</v>
      </c>
      <c r="B575" s="109" t="s">
        <v>16053</v>
      </c>
      <c r="C575" s="110" t="s">
        <v>31</v>
      </c>
      <c r="D575" s="111">
        <v>96.25</v>
      </c>
      <c r="E575" s="111">
        <v>21.850000000000001</v>
      </c>
      <c r="F575" s="112">
        <v>118.09999999999999</v>
      </c>
      <c r="H575" s="110" t="s">
        <v>31</v>
      </c>
      <c r="I575" s="111">
        <v>96.25</v>
      </c>
      <c r="J575" s="111">
        <v>20.199999999999999</v>
      </c>
      <c r="K575" s="112">
        <v>116.45</v>
      </c>
      <c r="L575" s="88"/>
      <c r="M575" s="88"/>
    </row>
    <row r="576" ht="51">
      <c r="A576" s="69">
        <v>1201002012</v>
      </c>
      <c r="B576" s="89" t="s">
        <v>16054</v>
      </c>
      <c r="C576" s="88" t="s">
        <v>31</v>
      </c>
      <c r="D576" s="113"/>
      <c r="E576" s="113"/>
      <c r="F576" s="114">
        <v>46.789999999999999</v>
      </c>
      <c r="H576" s="88" t="s">
        <v>31</v>
      </c>
      <c r="I576" s="113"/>
      <c r="J576" s="113"/>
      <c r="K576" s="114">
        <v>44.590000000000003</v>
      </c>
      <c r="L576" s="88"/>
      <c r="M576" s="88"/>
    </row>
    <row r="577" ht="38.25">
      <c r="A577" s="69">
        <v>1201002014</v>
      </c>
      <c r="B577" s="89" t="s">
        <v>16055</v>
      </c>
      <c r="C577" s="88" t="s">
        <v>31</v>
      </c>
      <c r="D577" s="113"/>
      <c r="E577" s="113"/>
      <c r="F577" s="114">
        <v>52.700000000000003</v>
      </c>
      <c r="H577" s="88" t="s">
        <v>31</v>
      </c>
      <c r="I577" s="113"/>
      <c r="J577" s="113"/>
      <c r="K577" s="114">
        <v>50.189999999999998</v>
      </c>
      <c r="L577" s="88"/>
      <c r="M577" s="88"/>
    </row>
    <row r="578" ht="51">
      <c r="A578" s="69">
        <v>1201002016</v>
      </c>
      <c r="B578" s="89" t="s">
        <v>16056</v>
      </c>
      <c r="C578" s="88" t="s">
        <v>31</v>
      </c>
      <c r="D578" s="113"/>
      <c r="E578" s="113"/>
      <c r="F578" s="114">
        <v>60.850000000000001</v>
      </c>
      <c r="H578" s="88" t="s">
        <v>31</v>
      </c>
      <c r="I578" s="113"/>
      <c r="J578" s="113"/>
      <c r="K578" s="114">
        <v>58.039999999999999</v>
      </c>
      <c r="L578" s="88"/>
      <c r="M578" s="88"/>
    </row>
    <row r="579" ht="38.25">
      <c r="A579" s="69">
        <v>1201002018</v>
      </c>
      <c r="B579" s="89" t="s">
        <v>16057</v>
      </c>
      <c r="C579" s="88" t="s">
        <v>31</v>
      </c>
      <c r="D579" s="113"/>
      <c r="E579" s="113"/>
      <c r="F579" s="114">
        <v>45.810000000000002</v>
      </c>
      <c r="H579" s="88" t="s">
        <v>31</v>
      </c>
      <c r="I579" s="113"/>
      <c r="J579" s="113"/>
      <c r="K579" s="114">
        <v>43.609999999999999</v>
      </c>
      <c r="L579" s="88"/>
      <c r="M579" s="88"/>
    </row>
    <row r="580" ht="38.25">
      <c r="A580" s="69">
        <v>1201002020</v>
      </c>
      <c r="B580" s="89" t="s">
        <v>16058</v>
      </c>
      <c r="C580" s="88" t="s">
        <v>31</v>
      </c>
      <c r="D580" s="113"/>
      <c r="E580" s="113"/>
      <c r="F580" s="114">
        <v>25.969999999999999</v>
      </c>
      <c r="H580" s="88" t="s">
        <v>31</v>
      </c>
      <c r="I580" s="113"/>
      <c r="J580" s="113"/>
      <c r="K580" s="114">
        <v>24.68</v>
      </c>
      <c r="L580" s="88"/>
      <c r="M580" s="88"/>
    </row>
    <row r="581" ht="38.25">
      <c r="A581" s="69">
        <v>1201002021</v>
      </c>
      <c r="B581" s="89" t="s">
        <v>16059</v>
      </c>
      <c r="C581" s="88" t="s">
        <v>31</v>
      </c>
      <c r="D581" s="113"/>
      <c r="E581" s="113"/>
      <c r="F581" s="114">
        <v>51.719999999999999</v>
      </c>
      <c r="H581" s="88" t="s">
        <v>31</v>
      </c>
      <c r="I581" s="113"/>
      <c r="J581" s="113"/>
      <c r="K581" s="114">
        <v>49.210000000000001</v>
      </c>
      <c r="L581" s="88"/>
      <c r="M581" s="88"/>
    </row>
    <row r="582" ht="38.25">
      <c r="A582" s="69">
        <v>1201002022</v>
      </c>
      <c r="B582" s="89" t="s">
        <v>16060</v>
      </c>
      <c r="C582" s="88" t="s">
        <v>31</v>
      </c>
      <c r="D582" s="113"/>
      <c r="E582" s="113"/>
      <c r="F582" s="114">
        <v>71.590000000000003</v>
      </c>
      <c r="H582" s="88" t="s">
        <v>31</v>
      </c>
      <c r="I582" s="113"/>
      <c r="J582" s="113"/>
      <c r="K582" s="114">
        <v>68.170000000000002</v>
      </c>
      <c r="L582" s="88"/>
      <c r="M582" s="88"/>
    </row>
    <row r="583" ht="38.25">
      <c r="A583" s="69">
        <v>1201002023</v>
      </c>
      <c r="B583" s="89" t="s">
        <v>16061</v>
      </c>
      <c r="C583" s="88" t="s">
        <v>31</v>
      </c>
      <c r="D583" s="113"/>
      <c r="E583" s="113"/>
      <c r="F583" s="114">
        <v>59.869999999999997</v>
      </c>
      <c r="H583" s="88" t="s">
        <v>31</v>
      </c>
      <c r="I583" s="113"/>
      <c r="J583" s="113"/>
      <c r="K583" s="114">
        <v>57.060000000000002</v>
      </c>
      <c r="L583" s="88"/>
      <c r="M583" s="88"/>
    </row>
    <row r="584" ht="51">
      <c r="A584" s="69">
        <v>1201002024</v>
      </c>
      <c r="B584" s="89" t="s">
        <v>16062</v>
      </c>
      <c r="C584" s="88" t="s">
        <v>31</v>
      </c>
      <c r="D584" s="113"/>
      <c r="E584" s="113"/>
      <c r="F584" s="114">
        <v>65.730000000000004</v>
      </c>
      <c r="H584" s="88" t="s">
        <v>31</v>
      </c>
      <c r="I584" s="113"/>
      <c r="J584" s="113"/>
      <c r="K584" s="114">
        <v>62.609999999999999</v>
      </c>
      <c r="L584" s="88"/>
      <c r="M584" s="88"/>
    </row>
    <row r="585" ht="38.25">
      <c r="A585" s="108">
        <v>1201002025</v>
      </c>
      <c r="B585" s="109" t="s">
        <v>16063</v>
      </c>
      <c r="C585" s="110" t="s">
        <v>31</v>
      </c>
      <c r="D585" s="111">
        <v>44.859999999999999</v>
      </c>
      <c r="E585" s="111">
        <v>26</v>
      </c>
      <c r="F585" s="112">
        <v>70.859999999999999</v>
      </c>
      <c r="H585" s="110" t="s">
        <v>31</v>
      </c>
      <c r="I585" s="111">
        <v>43.57</v>
      </c>
      <c r="J585" s="111">
        <v>24.039999999999999</v>
      </c>
      <c r="K585" s="112">
        <v>67.609999999999999</v>
      </c>
      <c r="L585" s="88"/>
      <c r="M585" s="88"/>
    </row>
    <row r="586" ht="38.25">
      <c r="A586" s="69">
        <v>1201002028</v>
      </c>
      <c r="B586" s="89" t="s">
        <v>16064</v>
      </c>
      <c r="C586" s="88" t="s">
        <v>31</v>
      </c>
      <c r="D586" s="113"/>
      <c r="E586" s="113"/>
      <c r="F586" s="114">
        <v>41.07</v>
      </c>
      <c r="H586" s="88" t="s">
        <v>31</v>
      </c>
      <c r="I586" s="113"/>
      <c r="J586" s="113"/>
      <c r="K586" s="114">
        <v>38.780000000000001</v>
      </c>
      <c r="L586" s="88"/>
      <c r="M586" s="88"/>
    </row>
    <row r="587" ht="38.25">
      <c r="A587" s="69">
        <v>1201002029</v>
      </c>
      <c r="B587" s="89" t="s">
        <v>16065</v>
      </c>
      <c r="C587" s="88" t="s">
        <v>31</v>
      </c>
      <c r="D587" s="113"/>
      <c r="E587" s="113"/>
      <c r="F587" s="114">
        <v>31.809999999999999</v>
      </c>
      <c r="H587" s="88" t="s">
        <v>31</v>
      </c>
      <c r="I587" s="113"/>
      <c r="J587" s="113"/>
      <c r="K587" s="114">
        <v>30.219999999999999</v>
      </c>
      <c r="L587" s="88"/>
      <c r="M587" s="88"/>
    </row>
    <row r="588" ht="38.25">
      <c r="A588" s="69">
        <v>1201002030</v>
      </c>
      <c r="B588" s="89" t="s">
        <v>16066</v>
      </c>
      <c r="C588" s="88" t="s">
        <v>31</v>
      </c>
      <c r="D588" s="113"/>
      <c r="E588" s="113"/>
      <c r="F588" s="114">
        <v>28.219999999999999</v>
      </c>
      <c r="H588" s="88" t="s">
        <v>31</v>
      </c>
      <c r="I588" s="113"/>
      <c r="J588" s="113"/>
      <c r="K588" s="114">
        <v>26.899999999999999</v>
      </c>
      <c r="L588" s="88"/>
      <c r="M588" s="88"/>
    </row>
    <row r="589" ht="38.25">
      <c r="A589" s="69">
        <v>1201002031</v>
      </c>
      <c r="B589" s="89" t="s">
        <v>16067</v>
      </c>
      <c r="C589" s="88" t="s">
        <v>31</v>
      </c>
      <c r="D589" s="113"/>
      <c r="E589" s="113"/>
      <c r="F589" s="114">
        <v>33.700000000000003</v>
      </c>
      <c r="H589" s="88" t="s">
        <v>31</v>
      </c>
      <c r="I589" s="113"/>
      <c r="J589" s="113"/>
      <c r="K589" s="114">
        <v>32.109999999999999</v>
      </c>
      <c r="L589" s="88"/>
      <c r="M589" s="88"/>
    </row>
    <row r="590" ht="38.25">
      <c r="A590" s="69">
        <v>1201002032</v>
      </c>
      <c r="B590" s="89" t="s">
        <v>16068</v>
      </c>
      <c r="C590" s="88" t="s">
        <v>31</v>
      </c>
      <c r="D590" s="113"/>
      <c r="E590" s="113"/>
      <c r="F590" s="114">
        <v>50.740000000000002</v>
      </c>
      <c r="H590" s="88" t="s">
        <v>31</v>
      </c>
      <c r="I590" s="113"/>
      <c r="J590" s="113"/>
      <c r="K590" s="114">
        <v>48.229999999999997</v>
      </c>
      <c r="L590" s="88"/>
      <c r="M590" s="88"/>
    </row>
    <row r="591" ht="38.25">
      <c r="A591" s="69">
        <v>1201002033</v>
      </c>
      <c r="B591" s="89" t="s">
        <v>16069</v>
      </c>
      <c r="C591" s="88" t="s">
        <v>31</v>
      </c>
      <c r="D591" s="113"/>
      <c r="E591" s="113"/>
      <c r="F591" s="114">
        <v>43.530000000000001</v>
      </c>
      <c r="H591" s="88" t="s">
        <v>31</v>
      </c>
      <c r="I591" s="113"/>
      <c r="J591" s="113"/>
      <c r="K591" s="114">
        <v>41.57</v>
      </c>
      <c r="L591" s="88"/>
      <c r="M591" s="88"/>
    </row>
    <row r="592" ht="38.25">
      <c r="A592" s="69">
        <v>1201002034</v>
      </c>
      <c r="B592" s="89" t="s">
        <v>16070</v>
      </c>
      <c r="C592" s="88" t="s">
        <v>31</v>
      </c>
      <c r="D592" s="113"/>
      <c r="E592" s="113"/>
      <c r="F592" s="114">
        <v>42.960000000000001</v>
      </c>
      <c r="H592" s="88" t="s">
        <v>31</v>
      </c>
      <c r="I592" s="113"/>
      <c r="J592" s="113"/>
      <c r="K592" s="114">
        <v>40.670000000000002</v>
      </c>
      <c r="L592" s="88"/>
      <c r="M592" s="88"/>
    </row>
    <row r="593" ht="38.25">
      <c r="A593" s="108">
        <v>1201002035</v>
      </c>
      <c r="B593" s="109" t="s">
        <v>16071</v>
      </c>
      <c r="C593" s="110" t="s">
        <v>31</v>
      </c>
      <c r="D593" s="111">
        <v>46.149999999999999</v>
      </c>
      <c r="E593" s="111">
        <v>26</v>
      </c>
      <c r="F593" s="112">
        <v>72.150000000000006</v>
      </c>
      <c r="H593" s="110" t="s">
        <v>31</v>
      </c>
      <c r="I593" s="111">
        <v>44.829999999999998</v>
      </c>
      <c r="J593" s="111">
        <v>24.039999999999999</v>
      </c>
      <c r="K593" s="112">
        <v>68.870000000000005</v>
      </c>
      <c r="L593" s="88"/>
      <c r="M593" s="88"/>
    </row>
    <row r="594" ht="25.5">
      <c r="A594" s="108">
        <v>1201002036</v>
      </c>
      <c r="B594" s="109" t="s">
        <v>16072</v>
      </c>
      <c r="C594" s="110" t="s">
        <v>31</v>
      </c>
      <c r="D594" s="111">
        <v>61.460000000000001</v>
      </c>
      <c r="E594" s="111">
        <v>26</v>
      </c>
      <c r="F594" s="112">
        <v>87.459999999999994</v>
      </c>
      <c r="H594" s="110" t="s">
        <v>31</v>
      </c>
      <c r="I594" s="111">
        <v>59.5</v>
      </c>
      <c r="J594" s="111">
        <v>24.039999999999999</v>
      </c>
      <c r="K594" s="112">
        <v>83.540000000000006</v>
      </c>
      <c r="L594" s="88"/>
      <c r="M594" s="88"/>
    </row>
    <row r="595" ht="38.25">
      <c r="A595" s="108">
        <v>1201002038</v>
      </c>
      <c r="B595" s="109" t="s">
        <v>16073</v>
      </c>
      <c r="C595" s="110" t="s">
        <v>31</v>
      </c>
      <c r="D595" s="111">
        <v>63.920000000000002</v>
      </c>
      <c r="E595" s="111">
        <v>36.799999999999997</v>
      </c>
      <c r="F595" s="112">
        <v>100.72</v>
      </c>
      <c r="H595" s="110" t="s">
        <v>31</v>
      </c>
      <c r="I595" s="111">
        <v>63.920000000000002</v>
      </c>
      <c r="J595" s="111">
        <v>34.030000000000001</v>
      </c>
      <c r="K595" s="112">
        <v>97.950000000000003</v>
      </c>
      <c r="L595" s="88"/>
      <c r="M595" s="88"/>
    </row>
    <row r="596" ht="25.5">
      <c r="A596" s="69">
        <v>1201002049</v>
      </c>
      <c r="B596" s="89" t="s">
        <v>16074</v>
      </c>
      <c r="C596" s="88" t="s">
        <v>31</v>
      </c>
      <c r="D596" s="113"/>
      <c r="E596" s="113"/>
      <c r="F596" s="114">
        <v>27.350000000000001</v>
      </c>
      <c r="H596" s="88" t="s">
        <v>31</v>
      </c>
      <c r="I596" s="113"/>
      <c r="J596" s="113"/>
      <c r="K596" s="114">
        <v>26.620000000000001</v>
      </c>
      <c r="L596" s="88"/>
      <c r="M596" s="88"/>
    </row>
    <row r="597" ht="25.5">
      <c r="A597" s="108">
        <v>1201002050</v>
      </c>
      <c r="B597" s="109" t="s">
        <v>16075</v>
      </c>
      <c r="C597" s="110" t="s">
        <v>31</v>
      </c>
      <c r="D597" s="111">
        <v>2.1000000000000001</v>
      </c>
      <c r="E597" s="111">
        <v>2.1600000000000001</v>
      </c>
      <c r="F597" s="112">
        <v>4.2599999999999998</v>
      </c>
      <c r="H597" s="110" t="s">
        <v>31</v>
      </c>
      <c r="I597" s="111">
        <v>2.1000000000000001</v>
      </c>
      <c r="J597" s="111">
        <v>2</v>
      </c>
      <c r="K597" s="112">
        <v>4.0999999999999996</v>
      </c>
      <c r="L597" s="88"/>
      <c r="M597" s="88"/>
    </row>
    <row r="598" ht="25.5">
      <c r="A598" s="108">
        <v>1201002052</v>
      </c>
      <c r="B598" s="109" t="s">
        <v>16076</v>
      </c>
      <c r="C598" s="110" t="s">
        <v>31</v>
      </c>
      <c r="D598" s="111">
        <v>4.4400000000000004</v>
      </c>
      <c r="E598" s="111">
        <v>2.1600000000000001</v>
      </c>
      <c r="F598" s="112">
        <v>6.5999999999999996</v>
      </c>
      <c r="H598" s="110" t="s">
        <v>31</v>
      </c>
      <c r="I598" s="111">
        <v>4.4400000000000004</v>
      </c>
      <c r="J598" s="111">
        <v>2</v>
      </c>
      <c r="K598" s="112">
        <v>6.4400000000000004</v>
      </c>
      <c r="L598" s="88"/>
      <c r="M598" s="88"/>
    </row>
    <row r="599" ht="25.5">
      <c r="A599" s="108">
        <v>1201002053</v>
      </c>
      <c r="B599" s="109" t="s">
        <v>16077</v>
      </c>
      <c r="C599" s="110" t="s">
        <v>31</v>
      </c>
      <c r="D599" s="111">
        <v>4.7699999999999996</v>
      </c>
      <c r="E599" s="111">
        <v>2.1600000000000001</v>
      </c>
      <c r="F599" s="112">
        <v>6.9299999999999997</v>
      </c>
      <c r="H599" s="110" t="s">
        <v>31</v>
      </c>
      <c r="I599" s="111">
        <v>4.7699999999999996</v>
      </c>
      <c r="J599" s="111">
        <v>2</v>
      </c>
      <c r="K599" s="112">
        <v>6.7699999999999996</v>
      </c>
      <c r="L599" s="88"/>
      <c r="M599" s="88"/>
    </row>
    <row r="600">
      <c r="A600" s="108">
        <v>1201002054</v>
      </c>
      <c r="B600" s="109" t="s">
        <v>16078</v>
      </c>
      <c r="C600" s="110" t="s">
        <v>31</v>
      </c>
      <c r="D600" s="111">
        <v>4.4400000000000004</v>
      </c>
      <c r="E600" s="111">
        <v>2.1600000000000001</v>
      </c>
      <c r="F600" s="112">
        <v>6.5999999999999996</v>
      </c>
      <c r="H600" s="110" t="s">
        <v>31</v>
      </c>
      <c r="I600" s="111">
        <v>4.4400000000000004</v>
      </c>
      <c r="J600" s="111">
        <v>2</v>
      </c>
      <c r="K600" s="112">
        <v>6.4400000000000004</v>
      </c>
      <c r="L600" s="88"/>
      <c r="M600" s="88"/>
    </row>
    <row r="601">
      <c r="A601" s="108">
        <v>1201002056</v>
      </c>
      <c r="B601" s="109" t="s">
        <v>16079</v>
      </c>
      <c r="C601" s="110" t="s">
        <v>31</v>
      </c>
      <c r="D601" s="111">
        <v>2.1000000000000001</v>
      </c>
      <c r="E601" s="111">
        <v>2.1600000000000001</v>
      </c>
      <c r="F601" s="112">
        <v>4.2599999999999998</v>
      </c>
      <c r="H601" s="110" t="s">
        <v>31</v>
      </c>
      <c r="I601" s="111">
        <v>2.1000000000000001</v>
      </c>
      <c r="J601" s="111">
        <v>2</v>
      </c>
      <c r="K601" s="112">
        <v>4.0999999999999996</v>
      </c>
      <c r="L601" s="88"/>
      <c r="M601" s="88"/>
    </row>
    <row r="602">
      <c r="A602" s="108">
        <v>1201002058</v>
      </c>
      <c r="B602" s="109" t="s">
        <v>16080</v>
      </c>
      <c r="C602" s="110" t="s">
        <v>31</v>
      </c>
      <c r="D602" s="111">
        <v>4.7699999999999996</v>
      </c>
      <c r="E602" s="111">
        <v>2.1600000000000001</v>
      </c>
      <c r="F602" s="112">
        <v>6.9299999999999997</v>
      </c>
      <c r="H602" s="110" t="s">
        <v>31</v>
      </c>
      <c r="I602" s="111">
        <v>4.7699999999999996</v>
      </c>
      <c r="J602" s="111">
        <v>2</v>
      </c>
      <c r="K602" s="112">
        <v>6.7699999999999996</v>
      </c>
      <c r="L602" s="88"/>
      <c r="M602" s="88"/>
    </row>
    <row r="603">
      <c r="D603" s="113"/>
      <c r="E603" s="113"/>
      <c r="F603" s="114"/>
      <c r="H603" s="88"/>
      <c r="I603" s="113"/>
      <c r="J603" s="113"/>
      <c r="K603" s="114"/>
      <c r="L603" s="88"/>
      <c r="M603" s="88"/>
    </row>
    <row r="604">
      <c r="B604" s="89" t="s">
        <v>16081</v>
      </c>
      <c r="D604" s="113"/>
      <c r="E604" s="113"/>
      <c r="F604" s="114"/>
      <c r="H604" s="88"/>
      <c r="I604" s="113"/>
      <c r="J604" s="113"/>
      <c r="K604" s="114"/>
      <c r="L604" s="88"/>
      <c r="M604" s="88"/>
    </row>
    <row r="605" ht="25.5">
      <c r="A605" s="108">
        <v>1201003000</v>
      </c>
      <c r="B605" s="109" t="s">
        <v>16082</v>
      </c>
      <c r="C605" s="110" t="s">
        <v>38</v>
      </c>
      <c r="D605" s="111">
        <v>3.29</v>
      </c>
      <c r="E605" s="111">
        <v>1.4199999999999999</v>
      </c>
      <c r="F605" s="112">
        <v>4.71</v>
      </c>
      <c r="H605" s="110" t="s">
        <v>38</v>
      </c>
      <c r="I605" s="111">
        <v>3.29</v>
      </c>
      <c r="J605" s="111">
        <v>1.3200000000000001</v>
      </c>
      <c r="K605" s="112">
        <v>4.6100000000000003</v>
      </c>
      <c r="L605" s="88"/>
      <c r="M605" s="88"/>
    </row>
    <row r="606">
      <c r="A606" s="108">
        <v>1201003002</v>
      </c>
      <c r="B606" s="109" t="s">
        <v>16083</v>
      </c>
      <c r="C606" s="110" t="s">
        <v>38</v>
      </c>
      <c r="D606" s="111">
        <v>5.1399999999999997</v>
      </c>
      <c r="E606" s="111">
        <v>1.8999999999999999</v>
      </c>
      <c r="F606" s="112">
        <v>7.04</v>
      </c>
      <c r="H606" s="110" t="s">
        <v>38</v>
      </c>
      <c r="I606" s="111">
        <v>5.1399999999999997</v>
      </c>
      <c r="J606" s="111">
        <v>1.76</v>
      </c>
      <c r="K606" s="112">
        <v>6.9000000000000004</v>
      </c>
      <c r="L606" s="88"/>
      <c r="M606" s="88"/>
    </row>
    <row r="607">
      <c r="A607" s="108">
        <v>1201003004</v>
      </c>
      <c r="B607" s="109" t="s">
        <v>16084</v>
      </c>
      <c r="C607" s="110" t="s">
        <v>38</v>
      </c>
      <c r="D607" s="111">
        <v>7.3799999999999999</v>
      </c>
      <c r="E607" s="111">
        <v>2.4700000000000002</v>
      </c>
      <c r="F607" s="112">
        <v>9.8499999999999996</v>
      </c>
      <c r="H607" s="110" t="s">
        <v>38</v>
      </c>
      <c r="I607" s="111">
        <v>7.3799999999999999</v>
      </c>
      <c r="J607" s="111">
        <v>2.29</v>
      </c>
      <c r="K607" s="112">
        <v>9.6699999999999999</v>
      </c>
      <c r="L607" s="88"/>
      <c r="M607" s="88"/>
    </row>
    <row r="608">
      <c r="A608" s="108">
        <v>1201003006</v>
      </c>
      <c r="B608" s="109" t="s">
        <v>16085</v>
      </c>
      <c r="C608" s="110" t="s">
        <v>38</v>
      </c>
      <c r="D608" s="111">
        <v>11.6</v>
      </c>
      <c r="E608" s="111">
        <v>3.6600000000000001</v>
      </c>
      <c r="F608" s="112">
        <v>15.26</v>
      </c>
      <c r="H608" s="110" t="s">
        <v>38</v>
      </c>
      <c r="I608" s="111">
        <v>11.6</v>
      </c>
      <c r="J608" s="111">
        <v>3.3900000000000001</v>
      </c>
      <c r="K608" s="112">
        <v>14.99</v>
      </c>
      <c r="L608" s="88"/>
      <c r="M608" s="88"/>
    </row>
    <row r="609" ht="38.25">
      <c r="A609" s="69">
        <v>1201003007</v>
      </c>
      <c r="B609" s="89" t="s">
        <v>16086</v>
      </c>
      <c r="C609" s="88" t="s">
        <v>38</v>
      </c>
      <c r="D609" s="113"/>
      <c r="E609" s="113"/>
      <c r="F609" s="114">
        <v>4.3899999999999997</v>
      </c>
      <c r="H609" s="88" t="s">
        <v>38</v>
      </c>
      <c r="I609" s="113"/>
      <c r="J609" s="113"/>
      <c r="K609" s="114">
        <v>4.29</v>
      </c>
      <c r="L609" s="88"/>
      <c r="M609" s="88"/>
    </row>
    <row r="610" ht="38.25">
      <c r="A610" s="69">
        <v>1201003009</v>
      </c>
      <c r="B610" s="89" t="s">
        <v>16087</v>
      </c>
      <c r="C610" s="88" t="s">
        <v>38</v>
      </c>
      <c r="D610" s="113"/>
      <c r="E610" s="113"/>
      <c r="F610" s="114">
        <v>6.8300000000000001</v>
      </c>
      <c r="H610" s="88" t="s">
        <v>38</v>
      </c>
      <c r="I610" s="113"/>
      <c r="J610" s="113"/>
      <c r="K610" s="114">
        <v>6.6900000000000004</v>
      </c>
      <c r="L610" s="88"/>
      <c r="M610" s="88"/>
    </row>
    <row r="611" ht="38.25">
      <c r="A611" s="69">
        <v>1201003010</v>
      </c>
      <c r="B611" s="89" t="s">
        <v>16088</v>
      </c>
      <c r="C611" s="88" t="s">
        <v>38</v>
      </c>
      <c r="D611" s="113"/>
      <c r="E611" s="113"/>
      <c r="F611" s="114">
        <v>9.5800000000000001</v>
      </c>
      <c r="H611" s="88" t="s">
        <v>38</v>
      </c>
      <c r="I611" s="113"/>
      <c r="J611" s="113"/>
      <c r="K611" s="114">
        <v>9.3900000000000006</v>
      </c>
      <c r="L611" s="88"/>
      <c r="M611" s="88"/>
    </row>
    <row r="612" ht="38.25">
      <c r="A612" s="69">
        <v>1201003012</v>
      </c>
      <c r="B612" s="89" t="s">
        <v>16089</v>
      </c>
      <c r="C612" s="88" t="s">
        <v>38</v>
      </c>
      <c r="D612" s="113"/>
      <c r="E612" s="113"/>
      <c r="F612" s="114">
        <v>17.25</v>
      </c>
      <c r="H612" s="88" t="s">
        <v>38</v>
      </c>
      <c r="I612" s="113"/>
      <c r="J612" s="113"/>
      <c r="K612" s="114">
        <v>16.969999999999999</v>
      </c>
      <c r="L612" s="88"/>
      <c r="M612" s="88"/>
    </row>
    <row r="613" ht="38.25">
      <c r="A613" s="69">
        <v>1201003014</v>
      </c>
      <c r="B613" s="89" t="s">
        <v>16090</v>
      </c>
      <c r="C613" s="88" t="s">
        <v>38</v>
      </c>
      <c r="D613" s="113"/>
      <c r="E613" s="113"/>
      <c r="F613" s="114">
        <v>24.890000000000001</v>
      </c>
      <c r="H613" s="88" t="s">
        <v>38</v>
      </c>
      <c r="I613" s="113"/>
      <c r="J613" s="113"/>
      <c r="K613" s="114">
        <v>24.48</v>
      </c>
      <c r="L613" s="88"/>
      <c r="M613" s="88"/>
    </row>
    <row r="614" ht="63.75">
      <c r="A614" s="108">
        <v>1201003016</v>
      </c>
      <c r="B614" s="109" t="s">
        <v>16091</v>
      </c>
      <c r="C614" s="110" t="s">
        <v>38</v>
      </c>
      <c r="D614" s="111">
        <v>2.5800000000000001</v>
      </c>
      <c r="E614" s="111">
        <v>5.2400000000000002</v>
      </c>
      <c r="F614" s="112">
        <v>7.8200000000000003</v>
      </c>
      <c r="H614" s="110" t="s">
        <v>38</v>
      </c>
      <c r="I614" s="111">
        <v>2.5800000000000001</v>
      </c>
      <c r="J614" s="111">
        <v>4.8399999999999999</v>
      </c>
      <c r="K614" s="112">
        <v>7.4199999999999999</v>
      </c>
      <c r="L614" s="88"/>
      <c r="M614" s="88"/>
    </row>
    <row r="615" ht="63.75">
      <c r="A615" s="108">
        <v>1201003018</v>
      </c>
      <c r="B615" s="109" t="s">
        <v>16092</v>
      </c>
      <c r="C615" s="110" t="s">
        <v>38</v>
      </c>
      <c r="D615" s="111">
        <v>4.6699999999999999</v>
      </c>
      <c r="E615" s="111">
        <v>5.7199999999999998</v>
      </c>
      <c r="F615" s="112">
        <v>10.390000000000001</v>
      </c>
      <c r="H615" s="110" t="s">
        <v>38</v>
      </c>
      <c r="I615" s="111">
        <v>4.6699999999999999</v>
      </c>
      <c r="J615" s="111">
        <v>5.2800000000000002</v>
      </c>
      <c r="K615" s="112">
        <v>9.9499999999999993</v>
      </c>
      <c r="L615" s="88"/>
      <c r="M615" s="88"/>
    </row>
    <row r="616" ht="63.75">
      <c r="A616" s="108">
        <v>1201003020</v>
      </c>
      <c r="B616" s="109" t="s">
        <v>16093</v>
      </c>
      <c r="C616" s="110" t="s">
        <v>38</v>
      </c>
      <c r="D616" s="111">
        <v>6.8399999999999999</v>
      </c>
      <c r="E616" s="111">
        <v>6.2000000000000002</v>
      </c>
      <c r="F616" s="112">
        <v>13.039999999999999</v>
      </c>
      <c r="H616" s="110" t="s">
        <v>38</v>
      </c>
      <c r="I616" s="111">
        <v>6.8399999999999999</v>
      </c>
      <c r="J616" s="111">
        <v>5.7300000000000004</v>
      </c>
      <c r="K616" s="112">
        <v>12.57</v>
      </c>
      <c r="L616" s="88"/>
      <c r="M616" s="88"/>
    </row>
    <row r="617" ht="63.75">
      <c r="A617" s="108">
        <v>1201003021</v>
      </c>
      <c r="B617" s="109" t="s">
        <v>16094</v>
      </c>
      <c r="C617" s="110" t="s">
        <v>38</v>
      </c>
      <c r="D617" s="111">
        <v>10.16</v>
      </c>
      <c r="E617" s="111">
        <v>6.6799999999999997</v>
      </c>
      <c r="F617" s="112">
        <v>16.84</v>
      </c>
      <c r="H617" s="110" t="s">
        <v>38</v>
      </c>
      <c r="I617" s="111">
        <v>10.16</v>
      </c>
      <c r="J617" s="111">
        <v>6.1699999999999999</v>
      </c>
      <c r="K617" s="112">
        <v>16.329999999999998</v>
      </c>
      <c r="L617" s="88"/>
      <c r="M617" s="88"/>
    </row>
    <row r="618" ht="63.75">
      <c r="A618" s="108">
        <v>1201003022</v>
      </c>
      <c r="B618" s="109" t="s">
        <v>16095</v>
      </c>
      <c r="C618" s="110" t="s">
        <v>38</v>
      </c>
      <c r="D618" s="111">
        <v>15.529999999999999</v>
      </c>
      <c r="E618" s="111">
        <v>7.6299999999999999</v>
      </c>
      <c r="F618" s="112">
        <v>23.16</v>
      </c>
      <c r="H618" s="110" t="s">
        <v>38</v>
      </c>
      <c r="I618" s="111">
        <v>15.529999999999999</v>
      </c>
      <c r="J618" s="111">
        <v>7.0599999999999996</v>
      </c>
      <c r="K618" s="112">
        <v>22.59</v>
      </c>
      <c r="L618" s="88"/>
      <c r="M618" s="88"/>
    </row>
    <row r="619" ht="63.75">
      <c r="A619" s="108">
        <v>1201003024</v>
      </c>
      <c r="B619" s="109" t="s">
        <v>16096</v>
      </c>
      <c r="C619" s="110" t="s">
        <v>38</v>
      </c>
      <c r="D619" s="111">
        <v>22.010000000000002</v>
      </c>
      <c r="E619" s="111">
        <v>6.2000000000000002</v>
      </c>
      <c r="F619" s="112">
        <v>28.210000000000001</v>
      </c>
      <c r="H619" s="110" t="s">
        <v>38</v>
      </c>
      <c r="I619" s="111">
        <v>22.010000000000002</v>
      </c>
      <c r="J619" s="111">
        <v>5.7300000000000004</v>
      </c>
      <c r="K619" s="112">
        <v>27.739999999999998</v>
      </c>
      <c r="L619" s="88"/>
      <c r="M619" s="88"/>
    </row>
    <row r="620" ht="63.75">
      <c r="A620" s="108">
        <v>1201003025</v>
      </c>
      <c r="B620" s="109" t="s">
        <v>16097</v>
      </c>
      <c r="C620" s="110" t="s">
        <v>38</v>
      </c>
      <c r="D620" s="111">
        <v>35.670000000000002</v>
      </c>
      <c r="E620" s="111">
        <v>6.6799999999999997</v>
      </c>
      <c r="F620" s="112">
        <v>42.350000000000001</v>
      </c>
      <c r="H620" s="110" t="s">
        <v>38</v>
      </c>
      <c r="I620" s="111">
        <v>35.670000000000002</v>
      </c>
      <c r="J620" s="111">
        <v>6.1699999999999999</v>
      </c>
      <c r="K620" s="112">
        <v>41.840000000000003</v>
      </c>
      <c r="L620" s="88"/>
      <c r="M620" s="88"/>
    </row>
    <row r="621" ht="63.75">
      <c r="A621" s="108">
        <v>1201003026</v>
      </c>
      <c r="B621" s="109" t="s">
        <v>16098</v>
      </c>
      <c r="C621" s="110" t="s">
        <v>38</v>
      </c>
      <c r="D621" s="111">
        <v>55.149999999999999</v>
      </c>
      <c r="E621" s="111">
        <v>7.6299999999999999</v>
      </c>
      <c r="F621" s="112">
        <v>62.780000000000001</v>
      </c>
      <c r="H621" s="110" t="s">
        <v>38</v>
      </c>
      <c r="I621" s="111">
        <v>55.149999999999999</v>
      </c>
      <c r="J621" s="111">
        <v>7.0599999999999996</v>
      </c>
      <c r="K621" s="112">
        <v>62.210000000000001</v>
      </c>
      <c r="L621" s="88"/>
      <c r="M621" s="88"/>
    </row>
    <row r="622" ht="63.75">
      <c r="A622" s="108">
        <v>1201003027</v>
      </c>
      <c r="B622" s="109" t="s">
        <v>16099</v>
      </c>
      <c r="C622" s="110" t="s">
        <v>38</v>
      </c>
      <c r="D622" s="111">
        <v>85.879999999999995</v>
      </c>
      <c r="E622" s="111">
        <v>8.1099999999999994</v>
      </c>
      <c r="F622" s="112">
        <v>93.989999999999995</v>
      </c>
      <c r="H622" s="110" t="s">
        <v>38</v>
      </c>
      <c r="I622" s="111">
        <v>85.879999999999995</v>
      </c>
      <c r="J622" s="111">
        <v>7.5</v>
      </c>
      <c r="K622" s="112">
        <v>93.379999999999995</v>
      </c>
      <c r="L622" s="88"/>
      <c r="M622" s="88"/>
    </row>
    <row r="623" ht="63.75">
      <c r="A623" s="108">
        <v>1201003028</v>
      </c>
      <c r="B623" s="109" t="s">
        <v>16100</v>
      </c>
      <c r="C623" s="110" t="s">
        <v>38</v>
      </c>
      <c r="D623" s="111">
        <v>120.63</v>
      </c>
      <c r="E623" s="111">
        <v>10.01</v>
      </c>
      <c r="F623" s="112">
        <v>130.63999999999999</v>
      </c>
      <c r="H623" s="110" t="s">
        <v>38</v>
      </c>
      <c r="I623" s="111">
        <v>120.63</v>
      </c>
      <c r="J623" s="111">
        <v>9.2599999999999998</v>
      </c>
      <c r="K623" s="112">
        <v>129.88999999999999</v>
      </c>
      <c r="L623" s="88"/>
      <c r="M623" s="88"/>
    </row>
    <row r="624" ht="63.75">
      <c r="A624" s="108">
        <v>1201003029</v>
      </c>
      <c r="B624" s="109" t="s">
        <v>16101</v>
      </c>
      <c r="C624" s="110" t="s">
        <v>38</v>
      </c>
      <c r="D624" s="111">
        <v>174.97999999999999</v>
      </c>
      <c r="E624" s="111">
        <v>14.789999999999999</v>
      </c>
      <c r="F624" s="112">
        <v>189.77000000000001</v>
      </c>
      <c r="H624" s="110" t="s">
        <v>38</v>
      </c>
      <c r="I624" s="111">
        <v>174.97999999999999</v>
      </c>
      <c r="J624" s="111">
        <v>13.68</v>
      </c>
      <c r="K624" s="112">
        <v>188.66</v>
      </c>
      <c r="L624" s="88"/>
      <c r="M624" s="88"/>
    </row>
    <row r="625" ht="63.75">
      <c r="A625" s="108">
        <v>1201003030</v>
      </c>
      <c r="B625" s="109" t="s">
        <v>16102</v>
      </c>
      <c r="C625" s="110" t="s">
        <v>38</v>
      </c>
      <c r="D625" s="111">
        <v>250.22</v>
      </c>
      <c r="E625" s="111">
        <v>16.23</v>
      </c>
      <c r="F625" s="112">
        <v>266.44999999999999</v>
      </c>
      <c r="H625" s="110" t="s">
        <v>38</v>
      </c>
      <c r="I625" s="111">
        <v>250.22</v>
      </c>
      <c r="J625" s="111">
        <v>15</v>
      </c>
      <c r="K625" s="112">
        <v>265.22000000000003</v>
      </c>
      <c r="L625" s="88"/>
      <c r="M625" s="88"/>
    </row>
    <row r="626" ht="63.75">
      <c r="A626" s="108">
        <v>1201003031</v>
      </c>
      <c r="B626" s="109" t="s">
        <v>16103</v>
      </c>
      <c r="C626" s="110" t="s">
        <v>38</v>
      </c>
      <c r="D626" s="111">
        <v>294.23000000000002</v>
      </c>
      <c r="E626" s="111">
        <v>17.18</v>
      </c>
      <c r="F626" s="112">
        <v>311.41000000000003</v>
      </c>
      <c r="H626" s="110" t="s">
        <v>38</v>
      </c>
      <c r="I626" s="111">
        <v>294.23000000000002</v>
      </c>
      <c r="J626" s="111">
        <v>15.880000000000001</v>
      </c>
      <c r="K626" s="112">
        <v>310.11000000000001</v>
      </c>
      <c r="L626" s="88"/>
      <c r="M626" s="88"/>
    </row>
    <row r="627" ht="25.5">
      <c r="A627" s="108">
        <v>1201003032</v>
      </c>
      <c r="B627" s="109" t="s">
        <v>16104</v>
      </c>
      <c r="C627" s="110" t="s">
        <v>38</v>
      </c>
      <c r="D627" s="111">
        <v>3.5699999999999998</v>
      </c>
      <c r="E627" s="111">
        <v>4.7599999999999998</v>
      </c>
      <c r="F627" s="112">
        <v>8.3300000000000001</v>
      </c>
      <c r="H627" s="110" t="s">
        <v>38</v>
      </c>
      <c r="I627" s="111">
        <v>3.5699999999999998</v>
      </c>
      <c r="J627" s="111">
        <v>4.4000000000000004</v>
      </c>
      <c r="K627" s="112">
        <v>7.9699999999999998</v>
      </c>
      <c r="L627" s="88"/>
      <c r="M627" s="88"/>
    </row>
    <row r="628">
      <c r="A628" s="108">
        <v>1201003033</v>
      </c>
      <c r="B628" s="109" t="s">
        <v>16105</v>
      </c>
      <c r="C628" s="110" t="s">
        <v>38</v>
      </c>
      <c r="D628" s="111">
        <v>6.1600000000000001</v>
      </c>
      <c r="E628" s="111">
        <v>4.7599999999999998</v>
      </c>
      <c r="F628" s="112">
        <v>10.92</v>
      </c>
      <c r="H628" s="110" t="s">
        <v>38</v>
      </c>
      <c r="I628" s="111">
        <v>6.1600000000000001</v>
      </c>
      <c r="J628" s="111">
        <v>4.4000000000000004</v>
      </c>
      <c r="K628" s="112">
        <v>10.56</v>
      </c>
      <c r="L628" s="88"/>
      <c r="M628" s="88"/>
    </row>
    <row r="629">
      <c r="A629" s="108">
        <v>1201003034</v>
      </c>
      <c r="B629" s="109" t="s">
        <v>16106</v>
      </c>
      <c r="C629" s="110" t="s">
        <v>38</v>
      </c>
      <c r="D629" s="111">
        <v>10.58</v>
      </c>
      <c r="E629" s="111">
        <v>5.2400000000000002</v>
      </c>
      <c r="F629" s="112">
        <v>15.82</v>
      </c>
      <c r="H629" s="110" t="s">
        <v>38</v>
      </c>
      <c r="I629" s="111">
        <v>10.58</v>
      </c>
      <c r="J629" s="111">
        <v>4.8399999999999999</v>
      </c>
      <c r="K629" s="112">
        <v>15.42</v>
      </c>
      <c r="L629" s="88"/>
      <c r="M629" s="88"/>
    </row>
    <row r="630">
      <c r="A630" s="108">
        <v>1201003035</v>
      </c>
      <c r="B630" s="109" t="s">
        <v>16107</v>
      </c>
      <c r="C630" s="110" t="s">
        <v>38</v>
      </c>
      <c r="D630" s="111">
        <v>15.25</v>
      </c>
      <c r="E630" s="111">
        <v>5.7199999999999998</v>
      </c>
      <c r="F630" s="112">
        <v>20.969999999999999</v>
      </c>
      <c r="H630" s="110" t="s">
        <v>38</v>
      </c>
      <c r="I630" s="111">
        <v>15.25</v>
      </c>
      <c r="J630" s="111">
        <v>5.2800000000000002</v>
      </c>
      <c r="K630" s="112">
        <v>20.530000000000001</v>
      </c>
      <c r="L630" s="88"/>
      <c r="M630" s="88"/>
    </row>
    <row r="631" ht="38.25">
      <c r="A631" s="69">
        <v>1201003040</v>
      </c>
      <c r="B631" s="89" t="s">
        <v>16108</v>
      </c>
      <c r="C631" s="88" t="s">
        <v>38</v>
      </c>
      <c r="D631" s="113"/>
      <c r="E631" s="113"/>
      <c r="F631" s="114">
        <v>7.3200000000000003</v>
      </c>
      <c r="H631" s="88" t="s">
        <v>38</v>
      </c>
      <c r="I631" s="113"/>
      <c r="J631" s="113"/>
      <c r="K631" s="114">
        <v>7.1799999999999997</v>
      </c>
      <c r="L631" s="88"/>
      <c r="M631" s="88"/>
    </row>
    <row r="632" ht="38.25">
      <c r="A632" s="69">
        <v>1201003042</v>
      </c>
      <c r="B632" s="89" t="s">
        <v>16109</v>
      </c>
      <c r="C632" s="88" t="s">
        <v>38</v>
      </c>
      <c r="D632" s="113"/>
      <c r="E632" s="113"/>
      <c r="F632" s="114">
        <v>10.369999999999999</v>
      </c>
      <c r="H632" s="88" t="s">
        <v>38</v>
      </c>
      <c r="I632" s="113"/>
      <c r="J632" s="113"/>
      <c r="K632" s="114">
        <v>10.18</v>
      </c>
      <c r="L632" s="88"/>
      <c r="M632" s="88"/>
    </row>
    <row r="633" ht="38.25">
      <c r="A633" s="69">
        <v>1201003044</v>
      </c>
      <c r="B633" s="89" t="s">
        <v>16110</v>
      </c>
      <c r="C633" s="88" t="s">
        <v>38</v>
      </c>
      <c r="D633" s="113"/>
      <c r="E633" s="113"/>
      <c r="F633" s="114">
        <v>16.609999999999999</v>
      </c>
      <c r="H633" s="88" t="s">
        <v>38</v>
      </c>
      <c r="I633" s="113"/>
      <c r="J633" s="113"/>
      <c r="K633" s="114">
        <v>16.329999999999998</v>
      </c>
      <c r="L633" s="88"/>
      <c r="M633" s="88"/>
    </row>
    <row r="634" ht="38.25">
      <c r="A634" s="69">
        <v>1201003045</v>
      </c>
      <c r="B634" s="89" t="s">
        <v>16111</v>
      </c>
      <c r="C634" s="88" t="s">
        <v>38</v>
      </c>
      <c r="D634" s="113"/>
      <c r="E634" s="113"/>
      <c r="F634" s="114">
        <v>11.16</v>
      </c>
      <c r="H634" s="88" t="s">
        <v>38</v>
      </c>
      <c r="I634" s="113"/>
      <c r="J634" s="113"/>
      <c r="K634" s="114">
        <v>11.130000000000001</v>
      </c>
      <c r="L634" s="88"/>
      <c r="M634" s="88"/>
    </row>
    <row r="635" ht="38.25">
      <c r="A635" s="69">
        <v>1201003046</v>
      </c>
      <c r="B635" s="89" t="s">
        <v>16112</v>
      </c>
      <c r="C635" s="88" t="s">
        <v>38</v>
      </c>
      <c r="D635" s="113"/>
      <c r="E635" s="113"/>
      <c r="F635" s="114">
        <v>26.109999999999999</v>
      </c>
      <c r="H635" s="88" t="s">
        <v>38</v>
      </c>
      <c r="I635" s="113"/>
      <c r="J635" s="113"/>
      <c r="K635" s="114">
        <v>25.699999999999999</v>
      </c>
      <c r="L635" s="88"/>
      <c r="M635" s="88"/>
    </row>
    <row r="636" ht="38.25">
      <c r="A636" s="69">
        <v>1201003047</v>
      </c>
      <c r="B636" s="89" t="s">
        <v>16113</v>
      </c>
      <c r="C636" s="88" t="s">
        <v>38</v>
      </c>
      <c r="D636" s="113"/>
      <c r="E636" s="113"/>
      <c r="F636" s="114">
        <v>17.690000000000001</v>
      </c>
      <c r="H636" s="88" t="s">
        <v>38</v>
      </c>
      <c r="I636" s="113"/>
      <c r="J636" s="113"/>
      <c r="K636" s="114">
        <v>17.649999999999999</v>
      </c>
      <c r="L636" s="88"/>
      <c r="M636" s="88"/>
    </row>
    <row r="637" ht="51">
      <c r="A637" s="69">
        <v>1201003048</v>
      </c>
      <c r="B637" s="89" t="s">
        <v>16114</v>
      </c>
      <c r="C637" s="88" t="s">
        <v>38</v>
      </c>
      <c r="D637" s="113"/>
      <c r="E637" s="113"/>
      <c r="F637" s="114">
        <v>29.050000000000001</v>
      </c>
      <c r="H637" s="88" t="s">
        <v>38</v>
      </c>
      <c r="I637" s="113"/>
      <c r="J637" s="113"/>
      <c r="K637" s="114">
        <v>28.84</v>
      </c>
      <c r="L637" s="88"/>
      <c r="M637" s="88"/>
    </row>
    <row r="638" ht="51">
      <c r="A638" s="69">
        <v>1201003050</v>
      </c>
      <c r="B638" s="89" t="s">
        <v>16115</v>
      </c>
      <c r="C638" s="88" t="s">
        <v>38</v>
      </c>
      <c r="D638" s="113"/>
      <c r="E638" s="113"/>
      <c r="F638" s="114">
        <v>40.270000000000003</v>
      </c>
      <c r="H638" s="88" t="s">
        <v>38</v>
      </c>
      <c r="I638" s="113"/>
      <c r="J638" s="113"/>
      <c r="K638" s="114">
        <v>40.020000000000003</v>
      </c>
      <c r="L638" s="88"/>
      <c r="M638" s="88"/>
    </row>
    <row r="639" ht="51">
      <c r="A639" s="69">
        <v>1201003052</v>
      </c>
      <c r="B639" s="89" t="s">
        <v>16116</v>
      </c>
      <c r="C639" s="88" t="s">
        <v>38</v>
      </c>
      <c r="D639" s="113"/>
      <c r="E639" s="113"/>
      <c r="F639" s="114">
        <v>58.579999999999998</v>
      </c>
      <c r="H639" s="88" t="s">
        <v>38</v>
      </c>
      <c r="I639" s="113"/>
      <c r="J639" s="113"/>
      <c r="K639" s="114">
        <v>58.280000000000001</v>
      </c>
      <c r="L639" s="88"/>
      <c r="M639" s="88"/>
    </row>
    <row r="640" ht="51">
      <c r="A640" s="69">
        <v>1201003054</v>
      </c>
      <c r="B640" s="89" t="s">
        <v>16117</v>
      </c>
      <c r="C640" s="88" t="s">
        <v>38</v>
      </c>
      <c r="D640" s="113"/>
      <c r="E640" s="113"/>
      <c r="F640" s="114">
        <v>81.209999999999994</v>
      </c>
      <c r="H640" s="88" t="s">
        <v>38</v>
      </c>
      <c r="I640" s="113"/>
      <c r="J640" s="113"/>
      <c r="K640" s="114">
        <v>80.849999999999994</v>
      </c>
      <c r="L640" s="88"/>
      <c r="M640" s="88"/>
    </row>
    <row r="641" ht="51">
      <c r="A641" s="69">
        <v>1201003056</v>
      </c>
      <c r="B641" s="89" t="s">
        <v>16118</v>
      </c>
      <c r="C641" s="88" t="s">
        <v>38</v>
      </c>
      <c r="D641" s="113"/>
      <c r="E641" s="113"/>
      <c r="F641" s="114">
        <v>105.06</v>
      </c>
      <c r="H641" s="88" t="s">
        <v>38</v>
      </c>
      <c r="I641" s="113"/>
      <c r="J641" s="113"/>
      <c r="K641" s="114">
        <v>104.62</v>
      </c>
      <c r="L641" s="88"/>
      <c r="M641" s="88"/>
    </row>
    <row r="642" ht="51">
      <c r="A642" s="69">
        <v>1201003058</v>
      </c>
      <c r="B642" s="89" t="s">
        <v>16119</v>
      </c>
      <c r="C642" s="88" t="s">
        <v>38</v>
      </c>
      <c r="D642" s="113"/>
      <c r="E642" s="113"/>
      <c r="F642" s="114">
        <v>136.63</v>
      </c>
      <c r="H642" s="88" t="s">
        <v>38</v>
      </c>
      <c r="I642" s="113"/>
      <c r="J642" s="113"/>
      <c r="K642" s="114">
        <v>136.12</v>
      </c>
      <c r="L642" s="88"/>
      <c r="M642" s="88"/>
    </row>
    <row r="643" ht="51">
      <c r="A643" s="69">
        <v>1201003060</v>
      </c>
      <c r="B643" s="89" t="s">
        <v>16120</v>
      </c>
      <c r="C643" s="88" t="s">
        <v>38</v>
      </c>
      <c r="D643" s="113"/>
      <c r="E643" s="113"/>
      <c r="F643" s="114">
        <v>165.34</v>
      </c>
      <c r="H643" s="88" t="s">
        <v>38</v>
      </c>
      <c r="I643" s="113"/>
      <c r="J643" s="113"/>
      <c r="K643" s="114">
        <v>164.72</v>
      </c>
      <c r="L643" s="88"/>
      <c r="M643" s="88"/>
    </row>
    <row r="644" ht="51">
      <c r="A644" s="69">
        <v>1201003062</v>
      </c>
      <c r="B644" s="89" t="s">
        <v>16121</v>
      </c>
      <c r="C644" s="88" t="s">
        <v>38</v>
      </c>
      <c r="D644" s="113"/>
      <c r="E644" s="113"/>
      <c r="F644" s="114">
        <v>202.69</v>
      </c>
      <c r="H644" s="88" t="s">
        <v>38</v>
      </c>
      <c r="I644" s="113"/>
      <c r="J644" s="113"/>
      <c r="K644" s="114">
        <v>201.96000000000001</v>
      </c>
      <c r="L644" s="88"/>
      <c r="M644" s="88"/>
    </row>
    <row r="645" ht="51">
      <c r="A645" s="69">
        <v>1201003064</v>
      </c>
      <c r="B645" s="89" t="s">
        <v>16122</v>
      </c>
      <c r="C645" s="88" t="s">
        <v>38</v>
      </c>
      <c r="D645" s="113"/>
      <c r="E645" s="113"/>
      <c r="F645" s="114">
        <v>268.48000000000002</v>
      </c>
      <c r="H645" s="88" t="s">
        <v>38</v>
      </c>
      <c r="I645" s="113"/>
      <c r="J645" s="113"/>
      <c r="K645" s="114">
        <v>267.57999999999998</v>
      </c>
      <c r="L645" s="88"/>
      <c r="M645" s="88"/>
    </row>
    <row r="646" ht="38.25">
      <c r="A646" s="108">
        <v>1201003070</v>
      </c>
      <c r="B646" s="109" t="s">
        <v>16123</v>
      </c>
      <c r="C646" s="110" t="s">
        <v>38</v>
      </c>
      <c r="D646" s="111">
        <v>82.079999999999998</v>
      </c>
      <c r="E646" s="111">
        <v>27.210000000000001</v>
      </c>
      <c r="F646" s="112">
        <v>109.29000000000001</v>
      </c>
      <c r="H646" s="110" t="s">
        <v>38</v>
      </c>
      <c r="I646" s="111">
        <v>82.079999999999998</v>
      </c>
      <c r="J646" s="111">
        <v>25.149999999999999</v>
      </c>
      <c r="K646" s="112">
        <v>107.23</v>
      </c>
      <c r="L646" s="88"/>
      <c r="M646" s="88"/>
    </row>
    <row r="647" ht="38.25">
      <c r="A647" s="108">
        <v>1201003072</v>
      </c>
      <c r="B647" s="109" t="s">
        <v>16124</v>
      </c>
      <c r="C647" s="110" t="s">
        <v>38</v>
      </c>
      <c r="D647" s="111">
        <v>90.359999999999999</v>
      </c>
      <c r="E647" s="111">
        <v>35.32</v>
      </c>
      <c r="F647" s="112">
        <v>125.68000000000001</v>
      </c>
      <c r="H647" s="110" t="s">
        <v>38</v>
      </c>
      <c r="I647" s="111">
        <v>90.359999999999999</v>
      </c>
      <c r="J647" s="111">
        <v>32.659999999999997</v>
      </c>
      <c r="K647" s="112">
        <v>123.02</v>
      </c>
      <c r="L647" s="88"/>
      <c r="M647" s="88"/>
    </row>
    <row r="648" ht="38.25">
      <c r="A648" s="69">
        <v>1201003077</v>
      </c>
      <c r="B648" s="89" t="s">
        <v>16125</v>
      </c>
      <c r="C648" s="88" t="s">
        <v>38</v>
      </c>
      <c r="D648" s="113"/>
      <c r="E648" s="113"/>
      <c r="F648" s="114">
        <v>2.6800000000000002</v>
      </c>
      <c r="H648" s="88" t="s">
        <v>38</v>
      </c>
      <c r="I648" s="113"/>
      <c r="J648" s="113"/>
      <c r="K648" s="114">
        <v>2.6200000000000001</v>
      </c>
      <c r="L648" s="88"/>
      <c r="M648" s="88"/>
    </row>
    <row r="649" ht="25.5">
      <c r="A649" s="108">
        <v>1201003079</v>
      </c>
      <c r="B649" s="109" t="s">
        <v>16126</v>
      </c>
      <c r="C649" s="110" t="s">
        <v>38</v>
      </c>
      <c r="D649" s="111">
        <v>190.11000000000001</v>
      </c>
      <c r="E649" s="111">
        <v>27.210000000000001</v>
      </c>
      <c r="F649" s="112">
        <v>217.31999999999999</v>
      </c>
      <c r="H649" s="110" t="s">
        <v>38</v>
      </c>
      <c r="I649" s="111">
        <v>189.55000000000001</v>
      </c>
      <c r="J649" s="111">
        <v>25.149999999999999</v>
      </c>
      <c r="K649" s="112">
        <v>214.69999999999999</v>
      </c>
      <c r="L649" s="88"/>
      <c r="M649" s="88"/>
    </row>
    <row r="650" ht="25.5">
      <c r="A650" s="108">
        <v>1201003081</v>
      </c>
      <c r="B650" s="109" t="s">
        <v>16127</v>
      </c>
      <c r="C650" s="110" t="s">
        <v>38</v>
      </c>
      <c r="D650" s="111">
        <v>217.96000000000001</v>
      </c>
      <c r="E650" s="111">
        <v>35.32</v>
      </c>
      <c r="F650" s="112">
        <v>253.28</v>
      </c>
      <c r="H650" s="110" t="s">
        <v>38</v>
      </c>
      <c r="I650" s="111">
        <v>217.40000000000001</v>
      </c>
      <c r="J650" s="111">
        <v>32.659999999999997</v>
      </c>
      <c r="K650" s="112">
        <v>250.06</v>
      </c>
      <c r="L650" s="88"/>
      <c r="M650" s="88"/>
    </row>
    <row r="651" ht="25.5">
      <c r="A651" s="108">
        <v>1201003082</v>
      </c>
      <c r="B651" s="109" t="s">
        <v>16128</v>
      </c>
      <c r="C651" s="110" t="s">
        <v>38</v>
      </c>
      <c r="D651" s="111">
        <v>18.960000000000001</v>
      </c>
      <c r="E651" s="111">
        <v>3.5299999999999998</v>
      </c>
      <c r="F651" s="112">
        <v>22.489999999999998</v>
      </c>
      <c r="H651" s="110" t="s">
        <v>38</v>
      </c>
      <c r="I651" s="111">
        <v>18.399999999999999</v>
      </c>
      <c r="J651" s="111">
        <v>3.2599999999999998</v>
      </c>
      <c r="K651" s="112">
        <v>21.66</v>
      </c>
      <c r="L651" s="88"/>
      <c r="M651" s="88"/>
    </row>
    <row r="652" ht="25.5">
      <c r="A652" s="108">
        <v>1201003083</v>
      </c>
      <c r="B652" s="109" t="s">
        <v>16129</v>
      </c>
      <c r="C652" s="110" t="s">
        <v>38</v>
      </c>
      <c r="D652" s="111">
        <v>24.239999999999998</v>
      </c>
      <c r="E652" s="111">
        <v>3.9399999999999999</v>
      </c>
      <c r="F652" s="112">
        <v>28.18</v>
      </c>
      <c r="H652" s="110" t="s">
        <v>38</v>
      </c>
      <c r="I652" s="111">
        <v>23.68</v>
      </c>
      <c r="J652" s="111">
        <v>3.6499999999999999</v>
      </c>
      <c r="K652" s="112">
        <v>27.329999999999998</v>
      </c>
      <c r="L652" s="88"/>
      <c r="M652" s="88"/>
    </row>
    <row r="653" ht="25.5">
      <c r="A653" s="108">
        <v>1201003084</v>
      </c>
      <c r="B653" s="109" t="s">
        <v>16130</v>
      </c>
      <c r="C653" s="110" t="s">
        <v>38</v>
      </c>
      <c r="D653" s="111">
        <v>32.560000000000002</v>
      </c>
      <c r="E653" s="111">
        <v>4.5599999999999996</v>
      </c>
      <c r="F653" s="112">
        <v>37.119999999999997</v>
      </c>
      <c r="H653" s="110" t="s">
        <v>38</v>
      </c>
      <c r="I653" s="111">
        <v>32</v>
      </c>
      <c r="J653" s="111">
        <v>4.2199999999999998</v>
      </c>
      <c r="K653" s="112">
        <v>36.219999999999999</v>
      </c>
      <c r="L653" s="88"/>
      <c r="M653" s="88"/>
    </row>
    <row r="654" ht="25.5">
      <c r="A654" s="108">
        <v>1201003085</v>
      </c>
      <c r="B654" s="109" t="s">
        <v>16131</v>
      </c>
      <c r="C654" s="110" t="s">
        <v>38</v>
      </c>
      <c r="D654" s="111">
        <v>41.009999999999998</v>
      </c>
      <c r="E654" s="111">
        <v>8.8399999999999999</v>
      </c>
      <c r="F654" s="112">
        <v>49.850000000000001</v>
      </c>
      <c r="H654" s="110" t="s">
        <v>38</v>
      </c>
      <c r="I654" s="111">
        <v>40.450000000000003</v>
      </c>
      <c r="J654" s="111">
        <v>8.1799999999999997</v>
      </c>
      <c r="K654" s="112">
        <v>48.630000000000003</v>
      </c>
      <c r="L654" s="88"/>
      <c r="M654" s="88"/>
    </row>
    <row r="655" ht="38.25">
      <c r="A655" s="69">
        <v>1201003086</v>
      </c>
      <c r="B655" s="89" t="s">
        <v>16132</v>
      </c>
      <c r="C655" s="88" t="s">
        <v>38</v>
      </c>
      <c r="D655" s="113"/>
      <c r="E655" s="113"/>
      <c r="F655" s="114">
        <v>70.469999999999999</v>
      </c>
      <c r="H655" s="88" t="s">
        <v>38</v>
      </c>
      <c r="I655" s="113"/>
      <c r="J655" s="113"/>
      <c r="K655" s="114">
        <v>68.829999999999998</v>
      </c>
      <c r="L655" s="88"/>
      <c r="M655" s="88"/>
    </row>
    <row r="656" ht="38.25">
      <c r="A656" s="69">
        <v>1201003087</v>
      </c>
      <c r="B656" s="89" t="s">
        <v>16133</v>
      </c>
      <c r="C656" s="88" t="s">
        <v>38</v>
      </c>
      <c r="D656" s="113"/>
      <c r="E656" s="113"/>
      <c r="F656" s="114">
        <v>91.540000000000006</v>
      </c>
      <c r="H656" s="88" t="s">
        <v>38</v>
      </c>
      <c r="I656" s="113"/>
      <c r="J656" s="113"/>
      <c r="K656" s="114">
        <v>89.650000000000006</v>
      </c>
      <c r="L656" s="88"/>
      <c r="M656" s="88"/>
    </row>
    <row r="657" ht="38.25">
      <c r="A657" s="69">
        <v>1201003088</v>
      </c>
      <c r="B657" s="89" t="s">
        <v>16134</v>
      </c>
      <c r="C657" s="88" t="s">
        <v>38</v>
      </c>
      <c r="D657" s="113"/>
      <c r="E657" s="113"/>
      <c r="F657" s="114">
        <v>113.77</v>
      </c>
      <c r="H657" s="88" t="s">
        <v>38</v>
      </c>
      <c r="I657" s="113"/>
      <c r="J657" s="113"/>
      <c r="K657" s="114">
        <v>111.64</v>
      </c>
      <c r="L657" s="88"/>
      <c r="M657" s="88"/>
    </row>
    <row r="658" ht="38.25">
      <c r="A658" s="69">
        <v>1201003089</v>
      </c>
      <c r="B658" s="89" t="s">
        <v>16135</v>
      </c>
      <c r="C658" s="88" t="s">
        <v>38</v>
      </c>
      <c r="D658" s="113"/>
      <c r="E658" s="113"/>
      <c r="F658" s="114">
        <v>151.03</v>
      </c>
      <c r="H658" s="88" t="s">
        <v>38</v>
      </c>
      <c r="I658" s="113"/>
      <c r="J658" s="113"/>
      <c r="K658" s="114">
        <v>148.69</v>
      </c>
      <c r="L658" s="88"/>
      <c r="M658" s="88"/>
    </row>
    <row r="659">
      <c r="A659" s="108">
        <v>1201003090</v>
      </c>
      <c r="B659" s="109" t="s">
        <v>16136</v>
      </c>
      <c r="C659" s="110" t="s">
        <v>38</v>
      </c>
      <c r="D659" s="111">
        <v>159.25999999999999</v>
      </c>
      <c r="E659" s="111">
        <v>25.07</v>
      </c>
      <c r="F659" s="112">
        <v>184.33000000000001</v>
      </c>
      <c r="H659" s="110" t="s">
        <v>38</v>
      </c>
      <c r="I659" s="111">
        <v>158.69999999999999</v>
      </c>
      <c r="J659" s="111">
        <v>23.190000000000001</v>
      </c>
      <c r="K659" s="112">
        <v>181.88999999999999</v>
      </c>
      <c r="L659" s="88"/>
      <c r="M659" s="88"/>
    </row>
    <row r="660" ht="25.5">
      <c r="A660" s="69">
        <v>1201003092</v>
      </c>
      <c r="B660" s="89" t="s">
        <v>16137</v>
      </c>
      <c r="C660" s="88" t="s">
        <v>38</v>
      </c>
      <c r="D660" s="113"/>
      <c r="E660" s="113"/>
      <c r="F660" s="114">
        <v>60.950000000000003</v>
      </c>
      <c r="H660" s="88" t="s">
        <v>38</v>
      </c>
      <c r="I660" s="113"/>
      <c r="J660" s="113"/>
      <c r="K660" s="114">
        <v>60.829999999999998</v>
      </c>
      <c r="L660" s="88"/>
      <c r="M660" s="88"/>
    </row>
    <row r="661" ht="25.5">
      <c r="A661" s="108">
        <v>1201003200</v>
      </c>
      <c r="B661" s="109" t="s">
        <v>16138</v>
      </c>
      <c r="C661" s="110" t="s">
        <v>38</v>
      </c>
      <c r="D661" s="111">
        <v>4.8499999999999996</v>
      </c>
      <c r="E661" s="111">
        <v>5.7199999999999998</v>
      </c>
      <c r="F661" s="112">
        <v>10.57</v>
      </c>
      <c r="H661" s="110" t="s">
        <v>38</v>
      </c>
      <c r="I661" s="111">
        <v>4.8499999999999996</v>
      </c>
      <c r="J661" s="111">
        <v>5.2800000000000002</v>
      </c>
      <c r="K661" s="112">
        <v>10.130000000000001</v>
      </c>
      <c r="L661" s="88"/>
      <c r="M661" s="88"/>
    </row>
    <row r="662" ht="25.5">
      <c r="A662" s="108">
        <v>1201003205</v>
      </c>
      <c r="B662" s="109" t="s">
        <v>16139</v>
      </c>
      <c r="C662" s="110" t="s">
        <v>38</v>
      </c>
      <c r="D662" s="111">
        <v>7.1200000000000001</v>
      </c>
      <c r="E662" s="111">
        <v>6.2000000000000002</v>
      </c>
      <c r="F662" s="112">
        <v>13.32</v>
      </c>
      <c r="H662" s="110" t="s">
        <v>38</v>
      </c>
      <c r="I662" s="111">
        <v>7.1200000000000001</v>
      </c>
      <c r="J662" s="111">
        <v>5.7300000000000004</v>
      </c>
      <c r="K662" s="112">
        <v>12.85</v>
      </c>
      <c r="L662" s="88"/>
      <c r="M662" s="88"/>
    </row>
    <row r="663" ht="25.5">
      <c r="A663" s="108">
        <v>1201003210</v>
      </c>
      <c r="B663" s="109" t="s">
        <v>16140</v>
      </c>
      <c r="C663" s="110" t="s">
        <v>38</v>
      </c>
      <c r="D663" s="111">
        <v>11.42</v>
      </c>
      <c r="E663" s="111">
        <v>6.6799999999999997</v>
      </c>
      <c r="F663" s="112">
        <v>18.100000000000001</v>
      </c>
      <c r="H663" s="110" t="s">
        <v>38</v>
      </c>
      <c r="I663" s="111">
        <v>11.42</v>
      </c>
      <c r="J663" s="111">
        <v>6.1699999999999999</v>
      </c>
      <c r="K663" s="112">
        <v>17.59</v>
      </c>
      <c r="L663" s="88"/>
      <c r="M663" s="88"/>
    </row>
    <row r="664" ht="25.5">
      <c r="A664" s="108">
        <v>1201003215</v>
      </c>
      <c r="B664" s="109" t="s">
        <v>16141</v>
      </c>
      <c r="C664" s="110" t="s">
        <v>38</v>
      </c>
      <c r="D664" s="111">
        <v>17.57</v>
      </c>
      <c r="E664" s="111">
        <v>7.6299999999999999</v>
      </c>
      <c r="F664" s="112">
        <v>25.199999999999999</v>
      </c>
      <c r="H664" s="110" t="s">
        <v>38</v>
      </c>
      <c r="I664" s="111">
        <v>17.57</v>
      </c>
      <c r="J664" s="111">
        <v>7.0599999999999996</v>
      </c>
      <c r="K664" s="112">
        <v>24.629999999999999</v>
      </c>
      <c r="L664" s="88"/>
      <c r="M664" s="88"/>
    </row>
    <row r="665" ht="25.5">
      <c r="A665" s="108">
        <v>1201003220</v>
      </c>
      <c r="B665" s="109" t="s">
        <v>16142</v>
      </c>
      <c r="C665" s="110" t="s">
        <v>38</v>
      </c>
      <c r="D665" s="111">
        <v>27.170000000000002</v>
      </c>
      <c r="E665" s="111">
        <v>8.1099999999999994</v>
      </c>
      <c r="F665" s="112">
        <v>35.280000000000001</v>
      </c>
      <c r="H665" s="110" t="s">
        <v>38</v>
      </c>
      <c r="I665" s="111">
        <v>27.170000000000002</v>
      </c>
      <c r="J665" s="111">
        <v>7.5</v>
      </c>
      <c r="K665" s="112">
        <v>34.670000000000002</v>
      </c>
      <c r="L665" s="88"/>
      <c r="M665" s="88"/>
    </row>
    <row r="666" ht="25.5">
      <c r="A666" s="108">
        <v>1201003225</v>
      </c>
      <c r="B666" s="109" t="s">
        <v>16143</v>
      </c>
      <c r="C666" s="110" t="s">
        <v>38</v>
      </c>
      <c r="D666" s="111">
        <v>38.729999999999997</v>
      </c>
      <c r="E666" s="111">
        <v>10.01</v>
      </c>
      <c r="F666" s="112">
        <v>48.740000000000002</v>
      </c>
      <c r="H666" s="110" t="s">
        <v>38</v>
      </c>
      <c r="I666" s="111">
        <v>38.729999999999997</v>
      </c>
      <c r="J666" s="111">
        <v>9.2599999999999998</v>
      </c>
      <c r="K666" s="112">
        <v>47.990000000000002</v>
      </c>
      <c r="L666" s="88"/>
      <c r="M666" s="88"/>
    </row>
    <row r="667" ht="25.5">
      <c r="A667" s="108">
        <v>1201003230</v>
      </c>
      <c r="B667" s="109" t="s">
        <v>16144</v>
      </c>
      <c r="C667" s="110" t="s">
        <v>38</v>
      </c>
      <c r="D667" s="111">
        <v>55.189999999999998</v>
      </c>
      <c r="E667" s="111">
        <v>14.789999999999999</v>
      </c>
      <c r="F667" s="112">
        <v>69.980000000000004</v>
      </c>
      <c r="H667" s="110" t="s">
        <v>38</v>
      </c>
      <c r="I667" s="111">
        <v>55.189999999999998</v>
      </c>
      <c r="J667" s="111">
        <v>13.68</v>
      </c>
      <c r="K667" s="112">
        <v>68.870000000000005</v>
      </c>
      <c r="L667" s="88"/>
      <c r="M667" s="88"/>
    </row>
    <row r="668" ht="25.5">
      <c r="A668" s="108">
        <v>1201003235</v>
      </c>
      <c r="B668" s="109" t="s">
        <v>16145</v>
      </c>
      <c r="C668" s="110" t="s">
        <v>38</v>
      </c>
      <c r="D668" s="111">
        <v>79.370000000000005</v>
      </c>
      <c r="E668" s="111">
        <v>16.23</v>
      </c>
      <c r="F668" s="112">
        <v>95.599999999999994</v>
      </c>
      <c r="H668" s="110" t="s">
        <v>38</v>
      </c>
      <c r="I668" s="111">
        <v>79.370000000000005</v>
      </c>
      <c r="J668" s="111">
        <v>15</v>
      </c>
      <c r="K668" s="112">
        <v>94.370000000000005</v>
      </c>
      <c r="L668" s="88"/>
      <c r="M668" s="88"/>
    </row>
    <row r="669" ht="25.5">
      <c r="A669" s="108">
        <v>1201003240</v>
      </c>
      <c r="B669" s="109" t="s">
        <v>16146</v>
      </c>
      <c r="C669" s="110" t="s">
        <v>38</v>
      </c>
      <c r="D669" s="111">
        <v>102.63</v>
      </c>
      <c r="E669" s="111">
        <v>17.18</v>
      </c>
      <c r="F669" s="112">
        <v>119.81</v>
      </c>
      <c r="H669" s="110" t="s">
        <v>38</v>
      </c>
      <c r="I669" s="111">
        <v>102.63</v>
      </c>
      <c r="J669" s="111">
        <v>15.880000000000001</v>
      </c>
      <c r="K669" s="112">
        <v>118.51000000000001</v>
      </c>
      <c r="L669" s="88"/>
      <c r="M669" s="88"/>
    </row>
    <row r="670" ht="25.5">
      <c r="A670" s="108">
        <v>1201003245</v>
      </c>
      <c r="B670" s="109" t="s">
        <v>16147</v>
      </c>
      <c r="C670" s="110" t="s">
        <v>38</v>
      </c>
      <c r="D670" s="111">
        <v>131.38999999999999</v>
      </c>
      <c r="E670" s="111">
        <v>21.949999999999999</v>
      </c>
      <c r="F670" s="112">
        <v>153.34</v>
      </c>
      <c r="H670" s="110" t="s">
        <v>38</v>
      </c>
      <c r="I670" s="111">
        <v>131.38999999999999</v>
      </c>
      <c r="J670" s="111">
        <v>20.300000000000001</v>
      </c>
      <c r="K670" s="112">
        <v>151.69</v>
      </c>
      <c r="L670" s="88"/>
      <c r="M670" s="88"/>
    </row>
    <row r="671" ht="25.5">
      <c r="A671" s="108">
        <v>1201003250</v>
      </c>
      <c r="B671" s="109" t="s">
        <v>16148</v>
      </c>
      <c r="C671" s="110" t="s">
        <v>38</v>
      </c>
      <c r="D671" s="111">
        <v>160.93000000000001</v>
      </c>
      <c r="E671" s="111">
        <v>27.210000000000001</v>
      </c>
      <c r="F671" s="112">
        <v>188.13999999999999</v>
      </c>
      <c r="H671" s="110" t="s">
        <v>38</v>
      </c>
      <c r="I671" s="111">
        <v>160.93000000000001</v>
      </c>
      <c r="J671" s="111">
        <v>25.149999999999999</v>
      </c>
      <c r="K671" s="112">
        <v>186.08000000000001</v>
      </c>
      <c r="L671" s="88"/>
      <c r="M671" s="88"/>
    </row>
    <row r="672" ht="25.5">
      <c r="A672" s="108">
        <v>1201003255</v>
      </c>
      <c r="B672" s="109" t="s">
        <v>16149</v>
      </c>
      <c r="C672" s="110" t="s">
        <v>38</v>
      </c>
      <c r="D672" s="111">
        <v>195.91999999999999</v>
      </c>
      <c r="E672" s="111">
        <v>35.32</v>
      </c>
      <c r="F672" s="112">
        <v>231.24000000000001</v>
      </c>
      <c r="H672" s="110" t="s">
        <v>38</v>
      </c>
      <c r="I672" s="111">
        <v>195.91999999999999</v>
      </c>
      <c r="J672" s="111">
        <v>32.659999999999997</v>
      </c>
      <c r="K672" s="112">
        <v>228.58000000000001</v>
      </c>
      <c r="L672" s="88"/>
      <c r="M672" s="88"/>
    </row>
    <row r="673" ht="25.5">
      <c r="A673" s="108">
        <v>1201003260</v>
      </c>
      <c r="B673" s="109" t="s">
        <v>16150</v>
      </c>
      <c r="C673" s="110" t="s">
        <v>38</v>
      </c>
      <c r="D673" s="111">
        <v>259.33999999999997</v>
      </c>
      <c r="E673" s="111">
        <v>43.909999999999997</v>
      </c>
      <c r="F673" s="112">
        <v>303.25</v>
      </c>
      <c r="H673" s="110" t="s">
        <v>38</v>
      </c>
      <c r="I673" s="111">
        <v>259.33999999999997</v>
      </c>
      <c r="J673" s="111">
        <v>40.609999999999999</v>
      </c>
      <c r="K673" s="112">
        <v>299.94999999999999</v>
      </c>
      <c r="L673" s="88"/>
      <c r="M673" s="88"/>
    </row>
    <row r="674" ht="25.5">
      <c r="A674" s="108">
        <v>1201003265</v>
      </c>
      <c r="B674" s="109" t="s">
        <v>16151</v>
      </c>
      <c r="C674" s="110" t="s">
        <v>38</v>
      </c>
      <c r="D674" s="111">
        <v>285.35000000000002</v>
      </c>
      <c r="E674" s="111">
        <v>54.890000000000001</v>
      </c>
      <c r="F674" s="112">
        <v>340.24000000000001</v>
      </c>
      <c r="H674" s="110" t="s">
        <v>38</v>
      </c>
      <c r="I674" s="111">
        <v>285.35000000000002</v>
      </c>
      <c r="J674" s="111">
        <v>50.770000000000003</v>
      </c>
      <c r="K674" s="112">
        <v>336.12</v>
      </c>
      <c r="L674" s="88"/>
      <c r="M674" s="88"/>
    </row>
    <row r="675" ht="38.25">
      <c r="A675" s="69">
        <v>1201003405</v>
      </c>
      <c r="B675" s="89" t="s">
        <v>16152</v>
      </c>
      <c r="C675" s="88" t="s">
        <v>38</v>
      </c>
      <c r="D675" s="113"/>
      <c r="E675" s="113"/>
      <c r="F675" s="114">
        <v>7.6399999999999997</v>
      </c>
      <c r="H675" s="88" t="s">
        <v>38</v>
      </c>
      <c r="I675" s="113"/>
      <c r="J675" s="113"/>
      <c r="K675" s="114">
        <v>7.6200000000000001</v>
      </c>
      <c r="L675" s="88"/>
      <c r="M675" s="88"/>
    </row>
    <row r="676" ht="38.25">
      <c r="A676" s="69">
        <v>1201003410</v>
      </c>
      <c r="B676" s="89" t="s">
        <v>16153</v>
      </c>
      <c r="C676" s="88" t="s">
        <v>38</v>
      </c>
      <c r="D676" s="113"/>
      <c r="E676" s="113"/>
      <c r="F676" s="114">
        <v>11.01</v>
      </c>
      <c r="H676" s="88" t="s">
        <v>38</v>
      </c>
      <c r="I676" s="113"/>
      <c r="J676" s="113"/>
      <c r="K676" s="114">
        <v>11</v>
      </c>
      <c r="L676" s="88"/>
      <c r="M676" s="88"/>
    </row>
    <row r="677">
      <c r="D677" s="113"/>
      <c r="E677" s="113"/>
      <c r="F677" s="114"/>
      <c r="H677" s="88"/>
      <c r="I677" s="113"/>
      <c r="J677" s="113"/>
      <c r="K677" s="114"/>
      <c r="L677" s="88"/>
      <c r="M677" s="88"/>
    </row>
    <row r="678">
      <c r="B678" s="89" t="s">
        <v>16154</v>
      </c>
      <c r="D678" s="113"/>
      <c r="E678" s="113"/>
      <c r="F678" s="114"/>
      <c r="H678" s="88"/>
      <c r="I678" s="113"/>
      <c r="J678" s="113"/>
      <c r="K678" s="114"/>
      <c r="L678" s="88"/>
      <c r="M678" s="88"/>
    </row>
    <row r="679" ht="25.5">
      <c r="A679" s="108">
        <v>1201004000</v>
      </c>
      <c r="B679" s="109" t="s">
        <v>16155</v>
      </c>
      <c r="C679" s="110" t="s">
        <v>38</v>
      </c>
      <c r="D679" s="111">
        <v>6.1500000000000004</v>
      </c>
      <c r="E679" s="111">
        <v>14.31</v>
      </c>
      <c r="F679" s="112">
        <v>20.460000000000001</v>
      </c>
      <c r="H679" s="110" t="s">
        <v>38</v>
      </c>
      <c r="I679" s="111">
        <v>6.1500000000000004</v>
      </c>
      <c r="J679" s="111">
        <v>13.24</v>
      </c>
      <c r="K679" s="112">
        <v>19.390000000000001</v>
      </c>
      <c r="L679" s="88"/>
      <c r="M679" s="88"/>
    </row>
    <row r="680" ht="25.5">
      <c r="A680" s="108">
        <v>1201004002</v>
      </c>
      <c r="B680" s="109" t="s">
        <v>16156</v>
      </c>
      <c r="C680" s="110" t="s">
        <v>38</v>
      </c>
      <c r="D680" s="111">
        <v>9.6199999999999992</v>
      </c>
      <c r="E680" s="111">
        <v>14.31</v>
      </c>
      <c r="F680" s="112">
        <v>23.93</v>
      </c>
      <c r="H680" s="110" t="s">
        <v>38</v>
      </c>
      <c r="I680" s="111">
        <v>9.6199999999999992</v>
      </c>
      <c r="J680" s="111">
        <v>13.24</v>
      </c>
      <c r="K680" s="112">
        <v>22.859999999999999</v>
      </c>
      <c r="L680" s="88"/>
      <c r="M680" s="88"/>
    </row>
    <row r="681" ht="25.5">
      <c r="A681" s="108">
        <v>1201004003</v>
      </c>
      <c r="B681" s="109" t="s">
        <v>16157</v>
      </c>
      <c r="C681" s="110" t="s">
        <v>38</v>
      </c>
      <c r="D681" s="111">
        <v>12.81</v>
      </c>
      <c r="E681" s="111">
        <v>21.48</v>
      </c>
      <c r="F681" s="112">
        <v>34.289999999999999</v>
      </c>
      <c r="H681" s="110" t="s">
        <v>38</v>
      </c>
      <c r="I681" s="111">
        <v>12.81</v>
      </c>
      <c r="J681" s="111">
        <v>19.859999999999999</v>
      </c>
      <c r="K681" s="112">
        <v>32.670000000000002</v>
      </c>
      <c r="L681" s="88"/>
      <c r="M681" s="88"/>
    </row>
    <row r="682" ht="25.5">
      <c r="A682" s="108">
        <v>1201004004</v>
      </c>
      <c r="B682" s="109" t="s">
        <v>16158</v>
      </c>
      <c r="C682" s="110" t="s">
        <v>38</v>
      </c>
      <c r="D682" s="111">
        <v>14.07</v>
      </c>
      <c r="E682" s="111">
        <v>21.48</v>
      </c>
      <c r="F682" s="112">
        <v>35.549999999999997</v>
      </c>
      <c r="H682" s="110" t="s">
        <v>38</v>
      </c>
      <c r="I682" s="111">
        <v>14.07</v>
      </c>
      <c r="J682" s="111">
        <v>19.859999999999999</v>
      </c>
      <c r="K682" s="112">
        <v>33.93</v>
      </c>
      <c r="L682" s="88"/>
      <c r="M682" s="88"/>
    </row>
    <row r="683" ht="25.5">
      <c r="A683" s="108">
        <v>1201004006</v>
      </c>
      <c r="B683" s="109" t="s">
        <v>16159</v>
      </c>
      <c r="C683" s="110" t="s">
        <v>38</v>
      </c>
      <c r="D683" s="111">
        <v>23.010000000000002</v>
      </c>
      <c r="E683" s="111">
        <v>21.48</v>
      </c>
      <c r="F683" s="112">
        <v>44.490000000000002</v>
      </c>
      <c r="H683" s="110" t="s">
        <v>38</v>
      </c>
      <c r="I683" s="111">
        <v>23.010000000000002</v>
      </c>
      <c r="J683" s="111">
        <v>19.859999999999999</v>
      </c>
      <c r="K683" s="112">
        <v>42.869999999999997</v>
      </c>
      <c r="L683" s="88"/>
      <c r="M683" s="88"/>
    </row>
    <row r="684" ht="25.5">
      <c r="A684" s="108">
        <v>1201004008</v>
      </c>
      <c r="B684" s="109" t="s">
        <v>16160</v>
      </c>
      <c r="C684" s="110" t="s">
        <v>38</v>
      </c>
      <c r="D684" s="111">
        <v>33.560000000000002</v>
      </c>
      <c r="E684" s="111">
        <v>28.640000000000001</v>
      </c>
      <c r="F684" s="112">
        <v>62.200000000000003</v>
      </c>
      <c r="H684" s="110" t="s">
        <v>38</v>
      </c>
      <c r="I684" s="111">
        <v>33.560000000000002</v>
      </c>
      <c r="J684" s="111">
        <v>26.48</v>
      </c>
      <c r="K684" s="112">
        <v>60.039999999999999</v>
      </c>
      <c r="L684" s="88"/>
      <c r="M684" s="88"/>
    </row>
    <row r="685" ht="25.5">
      <c r="A685" s="108">
        <v>1201004010</v>
      </c>
      <c r="B685" s="109" t="s">
        <v>16161</v>
      </c>
      <c r="C685" s="110" t="s">
        <v>38</v>
      </c>
      <c r="D685" s="111">
        <v>42.100000000000001</v>
      </c>
      <c r="E685" s="111">
        <v>28.640000000000001</v>
      </c>
      <c r="F685" s="112">
        <v>70.739999999999995</v>
      </c>
      <c r="H685" s="110" t="s">
        <v>38</v>
      </c>
      <c r="I685" s="111">
        <v>42.100000000000001</v>
      </c>
      <c r="J685" s="111">
        <v>26.48</v>
      </c>
      <c r="K685" s="112">
        <v>68.579999999999998</v>
      </c>
      <c r="L685" s="88"/>
      <c r="M685" s="88"/>
    </row>
    <row r="686" ht="25.5">
      <c r="A686" s="108">
        <v>1201004012</v>
      </c>
      <c r="B686" s="109" t="s">
        <v>16162</v>
      </c>
      <c r="C686" s="110" t="s">
        <v>38</v>
      </c>
      <c r="D686" s="111">
        <v>66.329999999999998</v>
      </c>
      <c r="E686" s="111">
        <v>28.640000000000001</v>
      </c>
      <c r="F686" s="112">
        <v>94.969999999999999</v>
      </c>
      <c r="H686" s="110" t="s">
        <v>38</v>
      </c>
      <c r="I686" s="111">
        <v>66.329999999999998</v>
      </c>
      <c r="J686" s="111">
        <v>26.48</v>
      </c>
      <c r="K686" s="112">
        <v>92.810000000000002</v>
      </c>
      <c r="L686" s="88"/>
      <c r="M686" s="88"/>
    </row>
    <row r="687" ht="38.25">
      <c r="A687" s="108">
        <v>1201004014</v>
      </c>
      <c r="B687" s="109" t="s">
        <v>16163</v>
      </c>
      <c r="C687" s="110" t="s">
        <v>38</v>
      </c>
      <c r="D687" s="111">
        <v>3.2200000000000002</v>
      </c>
      <c r="E687" s="111">
        <v>6.1500000000000004</v>
      </c>
      <c r="F687" s="112">
        <v>9.3699999999999992</v>
      </c>
      <c r="H687" s="110" t="s">
        <v>38</v>
      </c>
      <c r="I687" s="111">
        <v>3.2200000000000002</v>
      </c>
      <c r="J687" s="111">
        <v>5.6900000000000004</v>
      </c>
      <c r="K687" s="112">
        <v>8.9100000000000001</v>
      </c>
      <c r="L687" s="88"/>
      <c r="M687" s="88"/>
    </row>
    <row r="688" ht="38.25">
      <c r="A688" s="108">
        <v>1201004015</v>
      </c>
      <c r="B688" s="109" t="s">
        <v>16164</v>
      </c>
      <c r="C688" s="110" t="s">
        <v>38</v>
      </c>
      <c r="D688" s="111">
        <v>4.3600000000000003</v>
      </c>
      <c r="E688" s="111">
        <v>6.8600000000000003</v>
      </c>
      <c r="F688" s="112">
        <v>11.220000000000001</v>
      </c>
      <c r="H688" s="110" t="s">
        <v>38</v>
      </c>
      <c r="I688" s="111">
        <v>4.3600000000000003</v>
      </c>
      <c r="J688" s="111">
        <v>6.3499999999999996</v>
      </c>
      <c r="K688" s="112">
        <v>10.710000000000001</v>
      </c>
      <c r="L688" s="88"/>
      <c r="M688" s="88"/>
    </row>
    <row r="689" ht="38.25">
      <c r="A689" s="108">
        <v>1201004016</v>
      </c>
      <c r="B689" s="109" t="s">
        <v>16165</v>
      </c>
      <c r="C689" s="110" t="s">
        <v>38</v>
      </c>
      <c r="D689" s="111">
        <v>8.4000000000000004</v>
      </c>
      <c r="E689" s="111">
        <v>7.8200000000000003</v>
      </c>
      <c r="F689" s="112">
        <v>16.219999999999999</v>
      </c>
      <c r="H689" s="110" t="s">
        <v>38</v>
      </c>
      <c r="I689" s="111">
        <v>8.4000000000000004</v>
      </c>
      <c r="J689" s="111">
        <v>7.2300000000000004</v>
      </c>
      <c r="K689" s="112">
        <v>15.630000000000001</v>
      </c>
      <c r="L689" s="88"/>
      <c r="M689" s="88"/>
    </row>
    <row r="690" ht="25.5">
      <c r="A690" s="108">
        <v>1201004017</v>
      </c>
      <c r="B690" s="109" t="s">
        <v>16166</v>
      </c>
      <c r="C690" s="110" t="s">
        <v>38</v>
      </c>
      <c r="D690" s="111">
        <v>5</v>
      </c>
      <c r="E690" s="111">
        <v>2.23</v>
      </c>
      <c r="F690" s="112">
        <v>7.2300000000000004</v>
      </c>
      <c r="H690" s="110" t="s">
        <v>38</v>
      </c>
      <c r="I690" s="111">
        <v>5</v>
      </c>
      <c r="J690" s="111">
        <v>2.0699999999999998</v>
      </c>
      <c r="K690" s="112">
        <v>7.0700000000000003</v>
      </c>
      <c r="L690" s="88"/>
      <c r="M690" s="88"/>
    </row>
    <row r="691" ht="51">
      <c r="A691" s="69">
        <v>1201004018</v>
      </c>
      <c r="B691" s="89" t="s">
        <v>16167</v>
      </c>
      <c r="C691" s="88" t="s">
        <v>38</v>
      </c>
      <c r="D691" s="113"/>
      <c r="E691" s="113"/>
      <c r="F691" s="114">
        <v>8.9399999999999995</v>
      </c>
      <c r="H691" s="88" t="s">
        <v>38</v>
      </c>
      <c r="I691" s="113"/>
      <c r="J691" s="113"/>
      <c r="K691" s="114">
        <v>8.6899999999999995</v>
      </c>
      <c r="L691" s="88"/>
      <c r="M691" s="88"/>
    </row>
    <row r="692" ht="51">
      <c r="A692" s="69">
        <v>1201004023</v>
      </c>
      <c r="B692" s="89" t="s">
        <v>16168</v>
      </c>
      <c r="C692" s="88" t="s">
        <v>38</v>
      </c>
      <c r="D692" s="113"/>
      <c r="E692" s="113"/>
      <c r="F692" s="114">
        <v>12.75</v>
      </c>
      <c r="H692" s="88" t="s">
        <v>38</v>
      </c>
      <c r="I692" s="113"/>
      <c r="J692" s="113"/>
      <c r="K692" s="114">
        <v>12.41</v>
      </c>
      <c r="L692" s="88"/>
      <c r="M692" s="88"/>
    </row>
    <row r="693" ht="51">
      <c r="A693" s="69">
        <v>1201004025</v>
      </c>
      <c r="B693" s="89" t="s">
        <v>16169</v>
      </c>
      <c r="C693" s="88" t="s">
        <v>38</v>
      </c>
      <c r="D693" s="113"/>
      <c r="E693" s="113"/>
      <c r="F693" s="114">
        <v>18.77</v>
      </c>
      <c r="H693" s="88" t="s">
        <v>38</v>
      </c>
      <c r="I693" s="113"/>
      <c r="J693" s="113"/>
      <c r="K693" s="114">
        <v>18.219999999999999</v>
      </c>
      <c r="L693" s="88"/>
      <c r="M693" s="88"/>
    </row>
    <row r="694" ht="38.25">
      <c r="A694" s="108">
        <v>1201004040</v>
      </c>
      <c r="B694" s="109" t="s">
        <v>16170</v>
      </c>
      <c r="C694" s="110" t="s">
        <v>38</v>
      </c>
      <c r="D694" s="111">
        <v>16.91</v>
      </c>
      <c r="E694" s="111">
        <v>12.18</v>
      </c>
      <c r="F694" s="112">
        <v>29.09</v>
      </c>
      <c r="H694" s="110" t="s">
        <v>38</v>
      </c>
      <c r="I694" s="111">
        <v>16.530000000000001</v>
      </c>
      <c r="J694" s="111">
        <v>11.26</v>
      </c>
      <c r="K694" s="112">
        <v>27.789999999999999</v>
      </c>
      <c r="L694" s="88"/>
      <c r="M694" s="88"/>
    </row>
    <row r="695" ht="38.25">
      <c r="A695" s="108">
        <v>1201004042</v>
      </c>
      <c r="B695" s="109" t="s">
        <v>16171</v>
      </c>
      <c r="C695" s="110" t="s">
        <v>38</v>
      </c>
      <c r="D695" s="111">
        <v>15.99</v>
      </c>
      <c r="E695" s="111">
        <v>13.550000000000001</v>
      </c>
      <c r="F695" s="112">
        <v>29.539999999999999</v>
      </c>
      <c r="H695" s="110" t="s">
        <v>38</v>
      </c>
      <c r="I695" s="111">
        <v>15.609999999999999</v>
      </c>
      <c r="J695" s="111">
        <v>12.529999999999999</v>
      </c>
      <c r="K695" s="112">
        <v>28.140000000000001</v>
      </c>
      <c r="L695" s="88"/>
      <c r="M695" s="88"/>
    </row>
    <row r="696" ht="38.25">
      <c r="A696" s="108">
        <v>1201004044</v>
      </c>
      <c r="B696" s="109" t="s">
        <v>16172</v>
      </c>
      <c r="C696" s="110" t="s">
        <v>38</v>
      </c>
      <c r="D696" s="111">
        <v>32.170000000000002</v>
      </c>
      <c r="E696" s="111">
        <v>17.68</v>
      </c>
      <c r="F696" s="112">
        <v>49.850000000000001</v>
      </c>
      <c r="H696" s="110" t="s">
        <v>38</v>
      </c>
      <c r="I696" s="111">
        <v>31.789999999999999</v>
      </c>
      <c r="J696" s="111">
        <v>16.34</v>
      </c>
      <c r="K696" s="112">
        <v>48.130000000000003</v>
      </c>
      <c r="L696" s="88"/>
      <c r="M696" s="88"/>
    </row>
    <row r="697" ht="38.25">
      <c r="A697" s="108">
        <v>1201004046</v>
      </c>
      <c r="B697" s="109" t="s">
        <v>16173</v>
      </c>
      <c r="C697" s="110" t="s">
        <v>38</v>
      </c>
      <c r="D697" s="111">
        <v>59.270000000000003</v>
      </c>
      <c r="E697" s="111">
        <v>23</v>
      </c>
      <c r="F697" s="112">
        <v>82.269999999999996</v>
      </c>
      <c r="H697" s="110" t="s">
        <v>38</v>
      </c>
      <c r="I697" s="111">
        <v>58.689999999999998</v>
      </c>
      <c r="J697" s="111">
        <v>21.27</v>
      </c>
      <c r="K697" s="112">
        <v>79.959999999999994</v>
      </c>
      <c r="L697" s="88"/>
      <c r="M697" s="88"/>
    </row>
    <row r="698" ht="38.25">
      <c r="A698" s="108">
        <v>1201004048</v>
      </c>
      <c r="B698" s="109" t="s">
        <v>16174</v>
      </c>
      <c r="C698" s="110" t="s">
        <v>38</v>
      </c>
      <c r="D698" s="111">
        <v>70.629999999999995</v>
      </c>
      <c r="E698" s="111">
        <v>29.210000000000001</v>
      </c>
      <c r="F698" s="112">
        <v>99.840000000000003</v>
      </c>
      <c r="H698" s="110" t="s">
        <v>38</v>
      </c>
      <c r="I698" s="111">
        <v>70.049999999999997</v>
      </c>
      <c r="J698" s="111">
        <v>27.02</v>
      </c>
      <c r="K698" s="112">
        <v>97.069999999999993</v>
      </c>
      <c r="L698" s="88"/>
      <c r="M698" s="88"/>
    </row>
    <row r="699" ht="38.25">
      <c r="A699" s="108">
        <v>1201004050</v>
      </c>
      <c r="B699" s="109" t="s">
        <v>16175</v>
      </c>
      <c r="C699" s="110" t="s">
        <v>38</v>
      </c>
      <c r="D699" s="111">
        <v>101.59</v>
      </c>
      <c r="E699" s="111">
        <v>39.030000000000001</v>
      </c>
      <c r="F699" s="112">
        <v>140.62</v>
      </c>
      <c r="H699" s="110" t="s">
        <v>38</v>
      </c>
      <c r="I699" s="111">
        <v>100.69</v>
      </c>
      <c r="J699" s="111">
        <v>36.100000000000001</v>
      </c>
      <c r="K699" s="112">
        <v>136.78999999999999</v>
      </c>
      <c r="L699" s="88"/>
      <c r="M699" s="88"/>
    </row>
    <row r="700" ht="38.25">
      <c r="A700" s="108">
        <v>1201004053</v>
      </c>
      <c r="B700" s="109" t="s">
        <v>16176</v>
      </c>
      <c r="C700" s="110" t="s">
        <v>38</v>
      </c>
      <c r="D700" s="111">
        <v>239.08000000000001</v>
      </c>
      <c r="E700" s="111">
        <v>51.130000000000003</v>
      </c>
      <c r="F700" s="112">
        <v>290.20999999999998</v>
      </c>
      <c r="H700" s="110" t="s">
        <v>38</v>
      </c>
      <c r="I700" s="111">
        <v>238.18000000000001</v>
      </c>
      <c r="J700" s="111">
        <v>47.280000000000001</v>
      </c>
      <c r="K700" s="112">
        <v>285.45999999999998</v>
      </c>
      <c r="L700" s="88"/>
      <c r="M700" s="88"/>
    </row>
    <row r="701" ht="25.5">
      <c r="A701" s="108">
        <v>1201004057</v>
      </c>
      <c r="B701" s="109" t="s">
        <v>16177</v>
      </c>
      <c r="C701" s="110" t="s">
        <v>38</v>
      </c>
      <c r="D701" s="111">
        <v>0</v>
      </c>
      <c r="E701" s="111">
        <v>5.6600000000000001</v>
      </c>
      <c r="F701" s="112">
        <v>5.6600000000000001</v>
      </c>
      <c r="H701" s="110" t="s">
        <v>38</v>
      </c>
      <c r="I701" s="111">
        <v>0</v>
      </c>
      <c r="J701" s="111">
        <v>5.25</v>
      </c>
      <c r="K701" s="112">
        <v>5.25</v>
      </c>
      <c r="L701" s="88"/>
      <c r="M701" s="88"/>
    </row>
    <row r="702">
      <c r="A702" s="108">
        <v>1201004059</v>
      </c>
      <c r="B702" s="109" t="s">
        <v>16178</v>
      </c>
      <c r="C702" s="110" t="s">
        <v>38</v>
      </c>
      <c r="D702" s="111">
        <v>0</v>
      </c>
      <c r="E702" s="111">
        <v>5.5300000000000002</v>
      </c>
      <c r="F702" s="112">
        <v>5.5300000000000002</v>
      </c>
      <c r="H702" s="110" t="s">
        <v>38</v>
      </c>
      <c r="I702" s="111">
        <v>0</v>
      </c>
      <c r="J702" s="111">
        <v>5.1399999999999997</v>
      </c>
      <c r="K702" s="112">
        <v>5.1399999999999997</v>
      </c>
      <c r="L702" s="88"/>
      <c r="M702" s="88"/>
    </row>
    <row r="703" ht="25.5">
      <c r="A703" s="108">
        <v>1201004061</v>
      </c>
      <c r="B703" s="109" t="s">
        <v>16179</v>
      </c>
      <c r="C703" s="110" t="s">
        <v>11798</v>
      </c>
      <c r="D703" s="111">
        <v>1.8200000000000001</v>
      </c>
      <c r="E703" s="111">
        <v>0.46999999999999997</v>
      </c>
      <c r="F703" s="112">
        <v>2.29</v>
      </c>
      <c r="H703" s="110" t="s">
        <v>11798</v>
      </c>
      <c r="I703" s="111">
        <v>1.8200000000000001</v>
      </c>
      <c r="J703" s="111">
        <v>0.44</v>
      </c>
      <c r="K703" s="112">
        <v>2.2599999999999998</v>
      </c>
      <c r="L703" s="88"/>
      <c r="M703" s="88"/>
    </row>
    <row r="704" ht="25.5">
      <c r="A704" s="108">
        <v>1201004062</v>
      </c>
      <c r="B704" s="109" t="s">
        <v>16180</v>
      </c>
      <c r="C704" s="110" t="s">
        <v>11798</v>
      </c>
      <c r="D704" s="111">
        <v>2.25</v>
      </c>
      <c r="E704" s="111">
        <v>0.46999999999999997</v>
      </c>
      <c r="F704" s="112">
        <v>2.7200000000000002</v>
      </c>
      <c r="H704" s="110" t="s">
        <v>11798</v>
      </c>
      <c r="I704" s="111">
        <v>2.25</v>
      </c>
      <c r="J704" s="111">
        <v>0.44</v>
      </c>
      <c r="K704" s="112">
        <v>2.6899999999999999</v>
      </c>
      <c r="L704" s="88"/>
      <c r="M704" s="88"/>
    </row>
    <row r="705" ht="25.5">
      <c r="A705" s="108">
        <v>1201004063</v>
      </c>
      <c r="B705" s="109" t="s">
        <v>16181</v>
      </c>
      <c r="C705" s="110" t="s">
        <v>11798</v>
      </c>
      <c r="D705" s="111">
        <v>3.6699999999999999</v>
      </c>
      <c r="E705" s="111">
        <v>0.46999999999999997</v>
      </c>
      <c r="F705" s="112">
        <v>4.1399999999999997</v>
      </c>
      <c r="H705" s="110" t="s">
        <v>11798</v>
      </c>
      <c r="I705" s="111">
        <v>3.6699999999999999</v>
      </c>
      <c r="J705" s="111">
        <v>0.44</v>
      </c>
      <c r="K705" s="112">
        <v>4.1100000000000003</v>
      </c>
      <c r="L705" s="88"/>
      <c r="M705" s="88"/>
    </row>
    <row r="706" ht="25.5">
      <c r="A706" s="108">
        <v>1201004064</v>
      </c>
      <c r="B706" s="109" t="s">
        <v>16182</v>
      </c>
      <c r="C706" s="110" t="s">
        <v>11798</v>
      </c>
      <c r="D706" s="111">
        <v>4.0800000000000001</v>
      </c>
      <c r="E706" s="111">
        <v>0.46999999999999997</v>
      </c>
      <c r="F706" s="112">
        <v>4.5499999999999998</v>
      </c>
      <c r="H706" s="110" t="s">
        <v>11798</v>
      </c>
      <c r="I706" s="111">
        <v>4.0800000000000001</v>
      </c>
      <c r="J706" s="111">
        <v>0.44</v>
      </c>
      <c r="K706" s="112">
        <v>4.5199999999999996</v>
      </c>
      <c r="L706" s="88"/>
      <c r="M706" s="88"/>
    </row>
    <row r="707" ht="25.5">
      <c r="A707" s="108">
        <v>1201004065</v>
      </c>
      <c r="B707" s="109" t="s">
        <v>16183</v>
      </c>
      <c r="C707" s="110" t="s">
        <v>11798</v>
      </c>
      <c r="D707" s="111">
        <v>7.7199999999999998</v>
      </c>
      <c r="E707" s="111">
        <v>0.46999999999999997</v>
      </c>
      <c r="F707" s="112">
        <v>8.1899999999999995</v>
      </c>
      <c r="H707" s="110" t="s">
        <v>11798</v>
      </c>
      <c r="I707" s="111">
        <v>7.7199999999999998</v>
      </c>
      <c r="J707" s="111">
        <v>0.44</v>
      </c>
      <c r="K707" s="112">
        <v>8.1600000000000001</v>
      </c>
      <c r="L707" s="88"/>
      <c r="M707" s="88"/>
    </row>
    <row r="708" ht="25.5">
      <c r="A708" s="108">
        <v>1201004066</v>
      </c>
      <c r="B708" s="109" t="s">
        <v>16184</v>
      </c>
      <c r="C708" s="110" t="s">
        <v>11798</v>
      </c>
      <c r="D708" s="111">
        <v>9.4399999999999995</v>
      </c>
      <c r="E708" s="111">
        <v>0.46999999999999997</v>
      </c>
      <c r="F708" s="112">
        <v>9.9100000000000001</v>
      </c>
      <c r="H708" s="110" t="s">
        <v>11798</v>
      </c>
      <c r="I708" s="111">
        <v>9.4399999999999995</v>
      </c>
      <c r="J708" s="111">
        <v>0.44</v>
      </c>
      <c r="K708" s="112">
        <v>9.8800000000000008</v>
      </c>
      <c r="L708" s="88"/>
      <c r="M708" s="88"/>
    </row>
    <row r="709" ht="25.5">
      <c r="A709" s="108">
        <v>1201004067</v>
      </c>
      <c r="B709" s="109" t="s">
        <v>16185</v>
      </c>
      <c r="C709" s="110" t="s">
        <v>11798</v>
      </c>
      <c r="D709" s="111">
        <v>14.369999999999999</v>
      </c>
      <c r="E709" s="111">
        <v>0.46999999999999997</v>
      </c>
      <c r="F709" s="112">
        <v>14.84</v>
      </c>
      <c r="H709" s="110" t="s">
        <v>11798</v>
      </c>
      <c r="I709" s="111">
        <v>14.369999999999999</v>
      </c>
      <c r="J709" s="111">
        <v>0.44</v>
      </c>
      <c r="K709" s="112">
        <v>14.81</v>
      </c>
      <c r="L709" s="88"/>
      <c r="M709" s="88"/>
    </row>
    <row r="710" ht="25.5">
      <c r="A710" s="108">
        <v>1201004068</v>
      </c>
      <c r="B710" s="109" t="s">
        <v>16186</v>
      </c>
      <c r="C710" s="110" t="s">
        <v>11798</v>
      </c>
      <c r="D710" s="111">
        <v>20.129999999999999</v>
      </c>
      <c r="E710" s="111">
        <v>0.46999999999999997</v>
      </c>
      <c r="F710" s="112">
        <v>20.600000000000001</v>
      </c>
      <c r="H710" s="110" t="s">
        <v>11798</v>
      </c>
      <c r="I710" s="111">
        <v>20.129999999999999</v>
      </c>
      <c r="J710" s="111">
        <v>0.44</v>
      </c>
      <c r="K710" s="112">
        <v>20.57</v>
      </c>
      <c r="L710" s="88"/>
      <c r="M710" s="88"/>
    </row>
    <row r="711" ht="25.5">
      <c r="A711" s="108">
        <v>1201004090</v>
      </c>
      <c r="B711" s="109" t="s">
        <v>16187</v>
      </c>
      <c r="C711" s="110" t="s">
        <v>38</v>
      </c>
      <c r="D711" s="111">
        <v>24.32</v>
      </c>
      <c r="E711" s="111">
        <v>22.91</v>
      </c>
      <c r="F711" s="112">
        <v>47.229999999999997</v>
      </c>
      <c r="H711" s="110" t="s">
        <v>38</v>
      </c>
      <c r="I711" s="111">
        <v>24.32</v>
      </c>
      <c r="J711" s="111">
        <v>21.18</v>
      </c>
      <c r="K711" s="112">
        <v>45.5</v>
      </c>
      <c r="L711" s="88"/>
      <c r="M711" s="88"/>
    </row>
    <row r="712" ht="25.5">
      <c r="A712" s="108">
        <v>1201004095</v>
      </c>
      <c r="B712" s="109" t="s">
        <v>16188</v>
      </c>
      <c r="C712" s="110" t="s">
        <v>38</v>
      </c>
      <c r="D712" s="111">
        <v>39.810000000000002</v>
      </c>
      <c r="E712" s="111">
        <v>25.199999999999999</v>
      </c>
      <c r="F712" s="112">
        <v>65.010000000000005</v>
      </c>
      <c r="H712" s="110" t="s">
        <v>38</v>
      </c>
      <c r="I712" s="111">
        <v>39.810000000000002</v>
      </c>
      <c r="J712" s="111">
        <v>23.300000000000001</v>
      </c>
      <c r="K712" s="112">
        <v>63.109999999999999</v>
      </c>
      <c r="L712" s="88"/>
      <c r="M712" s="88"/>
    </row>
    <row r="713" ht="25.5">
      <c r="A713" s="108">
        <v>1201004100</v>
      </c>
      <c r="B713" s="109" t="s">
        <v>16189</v>
      </c>
      <c r="C713" s="110" t="s">
        <v>38</v>
      </c>
      <c r="D713" s="111">
        <v>55.579999999999998</v>
      </c>
      <c r="E713" s="111">
        <v>28.640000000000001</v>
      </c>
      <c r="F713" s="112">
        <v>84.219999999999999</v>
      </c>
      <c r="H713" s="110" t="s">
        <v>38</v>
      </c>
      <c r="I713" s="111">
        <v>55.579999999999998</v>
      </c>
      <c r="J713" s="111">
        <v>26.48</v>
      </c>
      <c r="K713" s="112">
        <v>82.060000000000002</v>
      </c>
      <c r="L713" s="88"/>
      <c r="M713" s="88"/>
    </row>
    <row r="714" ht="25.5">
      <c r="A714" s="108">
        <v>1201004110</v>
      </c>
      <c r="B714" s="109" t="s">
        <v>16190</v>
      </c>
      <c r="C714" s="110" t="s">
        <v>38</v>
      </c>
      <c r="D714" s="111">
        <v>64.930000000000007</v>
      </c>
      <c r="E714" s="111">
        <v>31.489999999999998</v>
      </c>
      <c r="F714" s="112">
        <v>96.420000000000002</v>
      </c>
      <c r="H714" s="110" t="s">
        <v>38</v>
      </c>
      <c r="I714" s="111">
        <v>64.930000000000007</v>
      </c>
      <c r="J714" s="111">
        <v>29.129999999999999</v>
      </c>
      <c r="K714" s="112">
        <v>94.060000000000002</v>
      </c>
      <c r="L714" s="88"/>
      <c r="M714" s="88"/>
    </row>
    <row r="715">
      <c r="D715" s="113"/>
      <c r="E715" s="113"/>
      <c r="F715" s="114"/>
      <c r="H715" s="88"/>
      <c r="I715" s="113"/>
      <c r="J715" s="113"/>
      <c r="K715" s="114"/>
      <c r="L715" s="88"/>
      <c r="M715" s="88"/>
    </row>
    <row r="716">
      <c r="B716" s="89" t="s">
        <v>16191</v>
      </c>
      <c r="D716" s="113"/>
      <c r="E716" s="113"/>
      <c r="F716" s="114"/>
      <c r="H716" s="88"/>
      <c r="I716" s="113"/>
      <c r="J716" s="113"/>
      <c r="K716" s="114"/>
      <c r="L716" s="88"/>
      <c r="M716" s="88"/>
    </row>
    <row r="717" ht="38.25">
      <c r="A717" s="69">
        <v>1201005000</v>
      </c>
      <c r="B717" s="89" t="s">
        <v>16192</v>
      </c>
      <c r="C717" s="88" t="s">
        <v>31</v>
      </c>
      <c r="D717" s="113"/>
      <c r="E717" s="113"/>
      <c r="F717" s="114">
        <v>51.490000000000002</v>
      </c>
      <c r="H717" s="88" t="s">
        <v>31</v>
      </c>
      <c r="I717" s="113"/>
      <c r="J717" s="113"/>
      <c r="K717" s="114">
        <v>50.399999999999999</v>
      </c>
      <c r="L717" s="88"/>
      <c r="M717" s="88"/>
    </row>
    <row r="718" ht="51">
      <c r="A718" s="108">
        <v>1201005003</v>
      </c>
      <c r="B718" s="109" t="s">
        <v>16193</v>
      </c>
      <c r="C718" s="110" t="s">
        <v>31</v>
      </c>
      <c r="D718" s="111">
        <v>314.06</v>
      </c>
      <c r="E718" s="111">
        <v>119.34</v>
      </c>
      <c r="F718" s="112">
        <v>433.39999999999998</v>
      </c>
      <c r="H718" s="110" t="s">
        <v>31</v>
      </c>
      <c r="I718" s="111">
        <v>314.06</v>
      </c>
      <c r="J718" s="111">
        <v>110.37</v>
      </c>
      <c r="K718" s="112">
        <v>424.43000000000001</v>
      </c>
      <c r="L718" s="88"/>
      <c r="M718" s="88"/>
    </row>
    <row r="719" ht="51">
      <c r="A719" s="108">
        <v>1201005005</v>
      </c>
      <c r="B719" s="109" t="s">
        <v>16194</v>
      </c>
      <c r="C719" s="110" t="s">
        <v>31</v>
      </c>
      <c r="D719" s="111">
        <v>462.51999999999998</v>
      </c>
      <c r="E719" s="111">
        <v>143.22</v>
      </c>
      <c r="F719" s="112">
        <v>605.74000000000001</v>
      </c>
      <c r="H719" s="110" t="s">
        <v>31</v>
      </c>
      <c r="I719" s="111">
        <v>462.51999999999998</v>
      </c>
      <c r="J719" s="111">
        <v>132.44999999999999</v>
      </c>
      <c r="K719" s="112">
        <v>594.97000000000003</v>
      </c>
      <c r="L719" s="88"/>
      <c r="M719" s="88"/>
    </row>
    <row r="720" ht="51">
      <c r="A720" s="108">
        <v>1201005007</v>
      </c>
      <c r="B720" s="109" t="s">
        <v>16195</v>
      </c>
      <c r="C720" s="110" t="s">
        <v>31</v>
      </c>
      <c r="D720" s="111">
        <v>649.58000000000004</v>
      </c>
      <c r="E720" s="111">
        <v>143.22</v>
      </c>
      <c r="F720" s="112">
        <v>792.79999999999995</v>
      </c>
      <c r="H720" s="110" t="s">
        <v>31</v>
      </c>
      <c r="I720" s="111">
        <v>649.58000000000004</v>
      </c>
      <c r="J720" s="111">
        <v>132.44999999999999</v>
      </c>
      <c r="K720" s="112">
        <v>782.02999999999997</v>
      </c>
      <c r="L720" s="88"/>
      <c r="M720" s="88"/>
    </row>
    <row r="721" ht="51">
      <c r="A721" s="108">
        <v>1201005008</v>
      </c>
      <c r="B721" s="109" t="s">
        <v>16196</v>
      </c>
      <c r="C721" s="110" t="s">
        <v>31</v>
      </c>
      <c r="D721" s="111">
        <v>533.10000000000002</v>
      </c>
      <c r="E721" s="111">
        <v>167.08000000000001</v>
      </c>
      <c r="F721" s="112">
        <v>700.17999999999995</v>
      </c>
      <c r="H721" s="110" t="s">
        <v>31</v>
      </c>
      <c r="I721" s="111">
        <v>533.10000000000002</v>
      </c>
      <c r="J721" s="111">
        <v>154.52000000000001</v>
      </c>
      <c r="K721" s="112">
        <v>687.62</v>
      </c>
      <c r="L721" s="88"/>
      <c r="M721" s="88"/>
    </row>
    <row r="722" ht="51">
      <c r="A722" s="108">
        <v>1201005009</v>
      </c>
      <c r="B722" s="109" t="s">
        <v>16197</v>
      </c>
      <c r="C722" s="110" t="s">
        <v>31</v>
      </c>
      <c r="D722" s="111">
        <v>910.90999999999997</v>
      </c>
      <c r="E722" s="111">
        <v>286.44</v>
      </c>
      <c r="F722" s="112">
        <v>1197.3499999999999</v>
      </c>
      <c r="H722" s="110" t="s">
        <v>31</v>
      </c>
      <c r="I722" s="111">
        <v>910.90999999999997</v>
      </c>
      <c r="J722" s="111">
        <v>264.89999999999998</v>
      </c>
      <c r="K722" s="112">
        <v>1175.8099999999999</v>
      </c>
      <c r="L722" s="88"/>
      <c r="M722" s="88"/>
    </row>
    <row r="723" ht="51">
      <c r="A723" s="108">
        <v>1201005010</v>
      </c>
      <c r="B723" s="109" t="s">
        <v>16198</v>
      </c>
      <c r="C723" s="110" t="s">
        <v>31</v>
      </c>
      <c r="D723" s="111">
        <v>551.13999999999999</v>
      </c>
      <c r="E723" s="111">
        <v>119.34</v>
      </c>
      <c r="F723" s="112">
        <v>670.48000000000002</v>
      </c>
      <c r="H723" s="110" t="s">
        <v>31</v>
      </c>
      <c r="I723" s="111">
        <v>551.13999999999999</v>
      </c>
      <c r="J723" s="111">
        <v>110.37</v>
      </c>
      <c r="K723" s="112">
        <v>661.50999999999999</v>
      </c>
      <c r="L723" s="88"/>
      <c r="M723" s="88"/>
    </row>
    <row r="724" ht="51">
      <c r="A724" s="108">
        <v>1201005011</v>
      </c>
      <c r="B724" s="109" t="s">
        <v>16199</v>
      </c>
      <c r="C724" s="110" t="s">
        <v>31</v>
      </c>
      <c r="D724" s="111">
        <v>530.41999999999996</v>
      </c>
      <c r="E724" s="111">
        <v>167.08000000000001</v>
      </c>
      <c r="F724" s="112">
        <v>697.5</v>
      </c>
      <c r="H724" s="110" t="s">
        <v>31</v>
      </c>
      <c r="I724" s="111">
        <v>530.41999999999996</v>
      </c>
      <c r="J724" s="111">
        <v>154.52000000000001</v>
      </c>
      <c r="K724" s="112">
        <v>684.94000000000005</v>
      </c>
      <c r="L724" s="88"/>
      <c r="M724" s="88"/>
    </row>
    <row r="725" ht="51">
      <c r="A725" s="108">
        <v>1201005013</v>
      </c>
      <c r="B725" s="109" t="s">
        <v>16200</v>
      </c>
      <c r="C725" s="110" t="s">
        <v>31</v>
      </c>
      <c r="D725" s="111">
        <v>1001.6799999999999</v>
      </c>
      <c r="E725" s="111">
        <v>167.08000000000001</v>
      </c>
      <c r="F725" s="112">
        <v>1168.76</v>
      </c>
      <c r="H725" s="110" t="s">
        <v>31</v>
      </c>
      <c r="I725" s="111">
        <v>1001.6799999999999</v>
      </c>
      <c r="J725" s="111">
        <v>154.52000000000001</v>
      </c>
      <c r="K725" s="112">
        <v>1156.2</v>
      </c>
      <c r="L725" s="88"/>
      <c r="M725" s="88"/>
    </row>
    <row r="726" ht="51">
      <c r="A726" s="108">
        <v>1201005014</v>
      </c>
      <c r="B726" s="109" t="s">
        <v>16201</v>
      </c>
      <c r="C726" s="110" t="s">
        <v>31</v>
      </c>
      <c r="D726" s="111">
        <v>1061.55</v>
      </c>
      <c r="E726" s="111">
        <v>190.96000000000001</v>
      </c>
      <c r="F726" s="112">
        <v>1252.51</v>
      </c>
      <c r="H726" s="110" t="s">
        <v>31</v>
      </c>
      <c r="I726" s="111">
        <v>1061.55</v>
      </c>
      <c r="J726" s="111">
        <v>176.59999999999999</v>
      </c>
      <c r="K726" s="112">
        <v>1238.1500000000001</v>
      </c>
      <c r="L726" s="88"/>
      <c r="M726" s="88"/>
    </row>
    <row r="727" ht="51">
      <c r="A727" s="108">
        <v>1201005017</v>
      </c>
      <c r="B727" s="109" t="s">
        <v>16202</v>
      </c>
      <c r="C727" s="110" t="s">
        <v>31</v>
      </c>
      <c r="D727" s="111">
        <v>1765.26</v>
      </c>
      <c r="E727" s="111">
        <v>381.92000000000002</v>
      </c>
      <c r="F727" s="112">
        <v>2147.1799999999998</v>
      </c>
      <c r="H727" s="110" t="s">
        <v>31</v>
      </c>
      <c r="I727" s="111">
        <v>1765.26</v>
      </c>
      <c r="J727" s="111">
        <v>353.19999999999999</v>
      </c>
      <c r="K727" s="112">
        <v>2118.46</v>
      </c>
      <c r="L727" s="88"/>
      <c r="M727" s="88"/>
    </row>
    <row r="728" ht="51">
      <c r="A728" s="108">
        <v>1201005018</v>
      </c>
      <c r="B728" s="109" t="s">
        <v>16203</v>
      </c>
      <c r="C728" s="110" t="s">
        <v>31</v>
      </c>
      <c r="D728" s="111">
        <v>1459.48</v>
      </c>
      <c r="E728" s="111">
        <v>286.44</v>
      </c>
      <c r="F728" s="112">
        <v>1745.9200000000001</v>
      </c>
      <c r="H728" s="110" t="s">
        <v>31</v>
      </c>
      <c r="I728" s="111">
        <v>1459.48</v>
      </c>
      <c r="J728" s="111">
        <v>264.89999999999998</v>
      </c>
      <c r="K728" s="112">
        <v>1724.3800000000001</v>
      </c>
      <c r="L728" s="88"/>
      <c r="M728" s="88"/>
    </row>
    <row r="729" ht="25.5">
      <c r="A729" s="108">
        <v>1201005032</v>
      </c>
      <c r="B729" s="109" t="s">
        <v>16204</v>
      </c>
      <c r="C729" s="110" t="s">
        <v>31</v>
      </c>
      <c r="D729" s="111">
        <v>258.04000000000002</v>
      </c>
      <c r="E729" s="111">
        <v>19.09</v>
      </c>
      <c r="F729" s="112">
        <v>277.13</v>
      </c>
      <c r="H729" s="110" t="s">
        <v>31</v>
      </c>
      <c r="I729" s="111">
        <v>258.04000000000002</v>
      </c>
      <c r="J729" s="111">
        <v>17.649999999999999</v>
      </c>
      <c r="K729" s="112">
        <v>275.69</v>
      </c>
      <c r="L729" s="88"/>
      <c r="M729" s="88"/>
    </row>
    <row r="730" ht="25.5">
      <c r="A730" s="69">
        <v>1201005037</v>
      </c>
      <c r="B730" s="89" t="s">
        <v>16205</v>
      </c>
      <c r="C730" s="88" t="s">
        <v>31</v>
      </c>
      <c r="D730" s="113"/>
      <c r="E730" s="113"/>
      <c r="F730" s="114">
        <v>11.99</v>
      </c>
      <c r="H730" s="88" t="s">
        <v>31</v>
      </c>
      <c r="I730" s="113"/>
      <c r="J730" s="113"/>
      <c r="K730" s="114">
        <v>11.81</v>
      </c>
      <c r="L730" s="88"/>
      <c r="M730" s="88"/>
    </row>
    <row r="731" ht="25.5">
      <c r="A731" s="69">
        <v>1201005038</v>
      </c>
      <c r="B731" s="89" t="s">
        <v>16206</v>
      </c>
      <c r="C731" s="88" t="s">
        <v>31</v>
      </c>
      <c r="D731" s="113"/>
      <c r="E731" s="113"/>
      <c r="F731" s="114">
        <v>13.199999999999999</v>
      </c>
      <c r="H731" s="88" t="s">
        <v>31</v>
      </c>
      <c r="I731" s="113"/>
      <c r="J731" s="113"/>
      <c r="K731" s="114">
        <v>12.970000000000001</v>
      </c>
      <c r="L731" s="88"/>
      <c r="M731" s="88"/>
    </row>
    <row r="732" ht="25.5">
      <c r="A732" s="69">
        <v>1201005039</v>
      </c>
      <c r="B732" s="89" t="s">
        <v>16207</v>
      </c>
      <c r="C732" s="88" t="s">
        <v>31</v>
      </c>
      <c r="D732" s="113"/>
      <c r="E732" s="113"/>
      <c r="F732" s="114">
        <v>13.199999999999999</v>
      </c>
      <c r="H732" s="88" t="s">
        <v>31</v>
      </c>
      <c r="I732" s="113"/>
      <c r="J732" s="113"/>
      <c r="K732" s="114">
        <v>12.970000000000001</v>
      </c>
      <c r="L732" s="88"/>
      <c r="M732" s="88"/>
    </row>
    <row r="733" ht="38.25">
      <c r="A733" s="69">
        <v>1201005040</v>
      </c>
      <c r="B733" s="89" t="s">
        <v>16208</v>
      </c>
      <c r="C733" s="88" t="s">
        <v>31</v>
      </c>
      <c r="D733" s="113"/>
      <c r="E733" s="113"/>
      <c r="F733" s="114">
        <v>15.75</v>
      </c>
      <c r="H733" s="88" t="s">
        <v>31</v>
      </c>
      <c r="I733" s="113"/>
      <c r="J733" s="113"/>
      <c r="K733" s="114">
        <v>15.52</v>
      </c>
      <c r="L733" s="88"/>
      <c r="M733" s="88"/>
    </row>
    <row r="734" ht="25.5">
      <c r="A734" s="69">
        <v>1201005056</v>
      </c>
      <c r="B734" s="89" t="s">
        <v>16209</v>
      </c>
      <c r="C734" s="88" t="s">
        <v>31</v>
      </c>
      <c r="D734" s="113"/>
      <c r="E734" s="113"/>
      <c r="F734" s="114">
        <v>56.200000000000003</v>
      </c>
      <c r="H734" s="88" t="s">
        <v>31</v>
      </c>
      <c r="I734" s="113"/>
      <c r="J734" s="113"/>
      <c r="K734" s="114">
        <v>55.859999999999999</v>
      </c>
      <c r="L734" s="88"/>
      <c r="M734" s="88"/>
    </row>
    <row r="735" ht="25.5">
      <c r="A735" s="69">
        <v>1201005057</v>
      </c>
      <c r="B735" s="89" t="s">
        <v>16210</v>
      </c>
      <c r="C735" s="88" t="s">
        <v>31</v>
      </c>
      <c r="D735" s="113"/>
      <c r="E735" s="113"/>
      <c r="F735" s="114">
        <v>58.630000000000003</v>
      </c>
      <c r="H735" s="88" t="s">
        <v>31</v>
      </c>
      <c r="I735" s="113"/>
      <c r="J735" s="113"/>
      <c r="K735" s="114">
        <v>58.159999999999997</v>
      </c>
      <c r="L735" s="88"/>
      <c r="M735" s="88"/>
    </row>
    <row r="736" ht="25.5">
      <c r="A736" s="69">
        <v>1201005058</v>
      </c>
      <c r="B736" s="89" t="s">
        <v>16211</v>
      </c>
      <c r="C736" s="88" t="s">
        <v>31</v>
      </c>
      <c r="D736" s="113"/>
      <c r="E736" s="113"/>
      <c r="F736" s="114">
        <v>58.630000000000003</v>
      </c>
      <c r="H736" s="88" t="s">
        <v>31</v>
      </c>
      <c r="I736" s="113"/>
      <c r="J736" s="113"/>
      <c r="K736" s="114">
        <v>58.159999999999997</v>
      </c>
      <c r="L736" s="88"/>
      <c r="M736" s="88"/>
    </row>
    <row r="737" ht="25.5">
      <c r="A737" s="69">
        <v>1201005059</v>
      </c>
      <c r="B737" s="89" t="s">
        <v>16212</v>
      </c>
      <c r="C737" s="88" t="s">
        <v>31</v>
      </c>
      <c r="D737" s="113"/>
      <c r="E737" s="113"/>
      <c r="F737" s="114">
        <v>61.57</v>
      </c>
      <c r="H737" s="88" t="s">
        <v>31</v>
      </c>
      <c r="I737" s="113"/>
      <c r="J737" s="113"/>
      <c r="K737" s="114">
        <v>60.920000000000002</v>
      </c>
      <c r="L737" s="88"/>
      <c r="M737" s="88"/>
    </row>
    <row r="738" ht="38.25">
      <c r="A738" s="69">
        <v>1201005060</v>
      </c>
      <c r="B738" s="89" t="s">
        <v>16213</v>
      </c>
      <c r="C738" s="88" t="s">
        <v>31</v>
      </c>
      <c r="D738" s="113"/>
      <c r="E738" s="113"/>
      <c r="F738" s="114">
        <v>69.319999999999993</v>
      </c>
      <c r="H738" s="88" t="s">
        <v>31</v>
      </c>
      <c r="I738" s="113"/>
      <c r="J738" s="113"/>
      <c r="K738" s="114">
        <v>68.849999999999994</v>
      </c>
      <c r="L738" s="88"/>
      <c r="M738" s="88"/>
    </row>
    <row r="739" ht="25.5">
      <c r="A739" s="108">
        <v>1201005078</v>
      </c>
      <c r="B739" s="109" t="s">
        <v>16214</v>
      </c>
      <c r="C739" s="110" t="s">
        <v>31</v>
      </c>
      <c r="D739" s="111">
        <v>92.290000000000006</v>
      </c>
      <c r="E739" s="111">
        <v>3.9100000000000001</v>
      </c>
      <c r="F739" s="112">
        <v>96.200000000000003</v>
      </c>
      <c r="H739" s="110" t="s">
        <v>31</v>
      </c>
      <c r="I739" s="111">
        <v>92.290000000000006</v>
      </c>
      <c r="J739" s="111">
        <v>3.6099999999999999</v>
      </c>
      <c r="K739" s="112">
        <v>95.900000000000006</v>
      </c>
      <c r="L739" s="88"/>
      <c r="M739" s="88"/>
    </row>
    <row r="740" ht="25.5">
      <c r="A740" s="69">
        <v>1201005083</v>
      </c>
      <c r="B740" s="89" t="s">
        <v>16215</v>
      </c>
      <c r="C740" s="88" t="s">
        <v>31</v>
      </c>
      <c r="D740" s="113"/>
      <c r="E740" s="113"/>
      <c r="F740" s="114">
        <v>85.5</v>
      </c>
      <c r="H740" s="88" t="s">
        <v>31</v>
      </c>
      <c r="I740" s="113"/>
      <c r="J740" s="113"/>
      <c r="K740" s="114">
        <v>84.040000000000006</v>
      </c>
      <c r="L740" s="88"/>
      <c r="M740" s="88"/>
    </row>
    <row r="741" ht="25.5">
      <c r="A741" s="69">
        <v>1201005084</v>
      </c>
      <c r="B741" s="89" t="s">
        <v>16216</v>
      </c>
      <c r="C741" s="88" t="s">
        <v>31</v>
      </c>
      <c r="D741" s="113"/>
      <c r="E741" s="113"/>
      <c r="F741" s="114">
        <v>70.700000000000003</v>
      </c>
      <c r="H741" s="88" t="s">
        <v>31</v>
      </c>
      <c r="I741" s="113"/>
      <c r="J741" s="113"/>
      <c r="K741" s="114">
        <v>70.180000000000007</v>
      </c>
      <c r="L741" s="88"/>
      <c r="M741" s="88"/>
    </row>
    <row r="742" ht="25.5">
      <c r="A742" s="69">
        <v>1201005085</v>
      </c>
      <c r="B742" s="89" t="s">
        <v>16217</v>
      </c>
      <c r="C742" s="88" t="s">
        <v>31</v>
      </c>
      <c r="D742" s="113"/>
      <c r="E742" s="113"/>
      <c r="F742" s="114">
        <v>74.359999999999999</v>
      </c>
      <c r="H742" s="88" t="s">
        <v>31</v>
      </c>
      <c r="I742" s="113"/>
      <c r="J742" s="113"/>
      <c r="K742" s="114">
        <v>73.650000000000006</v>
      </c>
      <c r="L742" s="88"/>
      <c r="M742" s="88"/>
    </row>
    <row r="743" ht="25.5">
      <c r="A743" s="69">
        <v>1201005086</v>
      </c>
      <c r="B743" s="89" t="s">
        <v>16218</v>
      </c>
      <c r="C743" s="88" t="s">
        <v>31</v>
      </c>
      <c r="D743" s="113"/>
      <c r="E743" s="113"/>
      <c r="F743" s="114">
        <v>74.359999999999999</v>
      </c>
      <c r="H743" s="88" t="s">
        <v>31</v>
      </c>
      <c r="I743" s="113"/>
      <c r="J743" s="113"/>
      <c r="K743" s="114">
        <v>73.650000000000006</v>
      </c>
      <c r="L743" s="88"/>
      <c r="M743" s="88"/>
    </row>
    <row r="744" ht="25.5">
      <c r="A744" s="69">
        <v>1201005087</v>
      </c>
      <c r="B744" s="89" t="s">
        <v>16219</v>
      </c>
      <c r="C744" s="88" t="s">
        <v>31</v>
      </c>
      <c r="D744" s="113"/>
      <c r="E744" s="113"/>
      <c r="F744" s="114">
        <v>94.260000000000005</v>
      </c>
      <c r="H744" s="88" t="s">
        <v>31</v>
      </c>
      <c r="I744" s="113"/>
      <c r="J744" s="113"/>
      <c r="K744" s="114">
        <v>92.209999999999994</v>
      </c>
      <c r="L744" s="88"/>
      <c r="M744" s="88"/>
    </row>
    <row r="745" ht="25.5">
      <c r="A745" s="108">
        <v>1201005088</v>
      </c>
      <c r="B745" s="109" t="s">
        <v>16220</v>
      </c>
      <c r="C745" s="110" t="s">
        <v>31</v>
      </c>
      <c r="D745" s="111">
        <v>91.209999999999994</v>
      </c>
      <c r="E745" s="111">
        <v>42.960000000000001</v>
      </c>
      <c r="F745" s="112">
        <v>134.16999999999999</v>
      </c>
      <c r="H745" s="110" t="s">
        <v>31</v>
      </c>
      <c r="I745" s="111">
        <v>91.209999999999994</v>
      </c>
      <c r="J745" s="111">
        <v>39.729999999999997</v>
      </c>
      <c r="K745" s="112">
        <v>130.94</v>
      </c>
      <c r="L745" s="88"/>
      <c r="M745" s="88"/>
    </row>
    <row r="746" ht="25.5">
      <c r="A746" s="108">
        <v>1201005089</v>
      </c>
      <c r="B746" s="109" t="s">
        <v>16221</v>
      </c>
      <c r="C746" s="110" t="s">
        <v>31</v>
      </c>
      <c r="D746" s="111">
        <v>185.80000000000001</v>
      </c>
      <c r="E746" s="111">
        <v>42.960000000000001</v>
      </c>
      <c r="F746" s="112">
        <v>228.75999999999999</v>
      </c>
      <c r="H746" s="110" t="s">
        <v>31</v>
      </c>
      <c r="I746" s="111">
        <v>185.80000000000001</v>
      </c>
      <c r="J746" s="111">
        <v>39.729999999999997</v>
      </c>
      <c r="K746" s="112">
        <v>225.53</v>
      </c>
      <c r="L746" s="88"/>
      <c r="M746" s="88"/>
    </row>
    <row r="747" ht="38.25">
      <c r="A747" s="69">
        <v>1201005090</v>
      </c>
      <c r="B747" s="89" t="s">
        <v>16222</v>
      </c>
      <c r="C747" s="88" t="s">
        <v>31</v>
      </c>
      <c r="D747" s="113"/>
      <c r="E747" s="113"/>
      <c r="F747" s="114">
        <v>88.790000000000006</v>
      </c>
      <c r="H747" s="88" t="s">
        <v>31</v>
      </c>
      <c r="I747" s="113"/>
      <c r="J747" s="113"/>
      <c r="K747" s="114">
        <v>88.079999999999998</v>
      </c>
      <c r="L747" s="88"/>
      <c r="M747" s="88"/>
    </row>
    <row r="748" ht="38.25">
      <c r="A748" s="69">
        <v>1201005098</v>
      </c>
      <c r="B748" s="89" t="s">
        <v>16223</v>
      </c>
      <c r="C748" s="88" t="s">
        <v>31</v>
      </c>
      <c r="D748" s="113"/>
      <c r="E748" s="113"/>
      <c r="F748" s="114">
        <v>152.16999999999999</v>
      </c>
      <c r="H748" s="88" t="s">
        <v>31</v>
      </c>
      <c r="I748" s="113"/>
      <c r="J748" s="113"/>
      <c r="K748" s="114">
        <v>149.36000000000001</v>
      </c>
      <c r="L748" s="88"/>
      <c r="M748" s="88"/>
    </row>
    <row r="749" ht="38.25">
      <c r="A749" s="69">
        <v>1201005120</v>
      </c>
      <c r="B749" s="89" t="s">
        <v>16224</v>
      </c>
      <c r="C749" s="88" t="s">
        <v>31</v>
      </c>
      <c r="D749" s="113"/>
      <c r="E749" s="113"/>
      <c r="F749" s="114">
        <v>411.54000000000002</v>
      </c>
      <c r="H749" s="88" t="s">
        <v>31</v>
      </c>
      <c r="I749" s="113"/>
      <c r="J749" s="113"/>
      <c r="K749" s="114">
        <v>406.77999999999997</v>
      </c>
      <c r="L749" s="88"/>
      <c r="M749" s="88"/>
    </row>
    <row r="750" ht="38.25">
      <c r="A750" s="69">
        <v>1201005122</v>
      </c>
      <c r="B750" s="89" t="s">
        <v>16225</v>
      </c>
      <c r="C750" s="88" t="s">
        <v>31</v>
      </c>
      <c r="D750" s="113"/>
      <c r="E750" s="113"/>
      <c r="F750" s="114">
        <v>616.80999999999995</v>
      </c>
      <c r="H750" s="88" t="s">
        <v>31</v>
      </c>
      <c r="I750" s="113"/>
      <c r="J750" s="113"/>
      <c r="K750" s="114">
        <v>612.04999999999995</v>
      </c>
      <c r="L750" s="88"/>
      <c r="M750" s="88"/>
    </row>
    <row r="751" ht="38.25">
      <c r="A751" s="69">
        <v>1201005126</v>
      </c>
      <c r="B751" s="89" t="s">
        <v>16226</v>
      </c>
      <c r="C751" s="88" t="s">
        <v>31</v>
      </c>
      <c r="D751" s="113"/>
      <c r="E751" s="113"/>
      <c r="F751" s="114">
        <v>983.05999999999995</v>
      </c>
      <c r="H751" s="88" t="s">
        <v>31</v>
      </c>
      <c r="I751" s="113"/>
      <c r="J751" s="113"/>
      <c r="K751" s="114">
        <v>978.29999999999995</v>
      </c>
      <c r="L751" s="88"/>
      <c r="M751" s="88"/>
    </row>
    <row r="752" ht="38.25">
      <c r="A752" s="69">
        <v>1201005128</v>
      </c>
      <c r="B752" s="89" t="s">
        <v>16227</v>
      </c>
      <c r="C752" s="88" t="s">
        <v>31</v>
      </c>
      <c r="D752" s="113"/>
      <c r="E752" s="113"/>
      <c r="F752" s="114">
        <v>1312.48</v>
      </c>
      <c r="H752" s="88" t="s">
        <v>31</v>
      </c>
      <c r="I752" s="113"/>
      <c r="J752" s="113"/>
      <c r="K752" s="114">
        <v>1307.72</v>
      </c>
      <c r="L752" s="88"/>
      <c r="M752" s="88"/>
    </row>
    <row r="753" ht="38.25">
      <c r="A753" s="69">
        <v>1201005130</v>
      </c>
      <c r="B753" s="89" t="s">
        <v>16228</v>
      </c>
      <c r="C753" s="88" t="s">
        <v>31</v>
      </c>
      <c r="D753" s="113"/>
      <c r="E753" s="113"/>
      <c r="F753" s="114">
        <v>2096.0300000000002</v>
      </c>
      <c r="H753" s="88" t="s">
        <v>31</v>
      </c>
      <c r="I753" s="113"/>
      <c r="J753" s="113"/>
      <c r="K753" s="114">
        <v>2091.27</v>
      </c>
      <c r="L753" s="88"/>
      <c r="M753" s="88"/>
    </row>
    <row r="754" ht="25.5">
      <c r="A754" s="108">
        <v>1201005132</v>
      </c>
      <c r="B754" s="109" t="s">
        <v>12192</v>
      </c>
      <c r="C754" s="110" t="s">
        <v>31</v>
      </c>
      <c r="D754" s="111">
        <v>64.590000000000003</v>
      </c>
      <c r="E754" s="111">
        <v>11.93</v>
      </c>
      <c r="F754" s="112">
        <v>76.519999999999996</v>
      </c>
      <c r="H754" s="110" t="s">
        <v>31</v>
      </c>
      <c r="I754" s="111">
        <v>64.590000000000003</v>
      </c>
      <c r="J754" s="111">
        <v>11.029999999999999</v>
      </c>
      <c r="K754" s="112">
        <v>75.620000000000005</v>
      </c>
      <c r="L754" s="88"/>
      <c r="M754" s="88"/>
    </row>
    <row r="755" ht="38.25">
      <c r="A755" s="108">
        <v>1201005135</v>
      </c>
      <c r="B755" s="109" t="s">
        <v>16229</v>
      </c>
      <c r="C755" s="110" t="s">
        <v>31</v>
      </c>
      <c r="D755" s="111">
        <v>92.950000000000003</v>
      </c>
      <c r="E755" s="111">
        <v>16.699999999999999</v>
      </c>
      <c r="F755" s="112">
        <v>109.65000000000001</v>
      </c>
      <c r="H755" s="110" t="s">
        <v>31</v>
      </c>
      <c r="I755" s="111">
        <v>92.950000000000003</v>
      </c>
      <c r="J755" s="111">
        <v>15.44</v>
      </c>
      <c r="K755" s="112">
        <v>108.39</v>
      </c>
      <c r="L755" s="88"/>
      <c r="M755" s="88"/>
    </row>
    <row r="756" ht="38.25">
      <c r="A756" s="108">
        <v>1201005138</v>
      </c>
      <c r="B756" s="109" t="s">
        <v>16230</v>
      </c>
      <c r="C756" s="110" t="s">
        <v>31</v>
      </c>
      <c r="D756" s="111">
        <v>67.299999999999997</v>
      </c>
      <c r="E756" s="111">
        <v>14.31</v>
      </c>
      <c r="F756" s="112">
        <v>81.609999999999999</v>
      </c>
      <c r="H756" s="110" t="s">
        <v>31</v>
      </c>
      <c r="I756" s="111">
        <v>67.299999999999997</v>
      </c>
      <c r="J756" s="111">
        <v>13.24</v>
      </c>
      <c r="K756" s="112">
        <v>80.540000000000006</v>
      </c>
      <c r="L756" s="88"/>
      <c r="M756" s="88"/>
    </row>
    <row r="757" ht="38.25">
      <c r="A757" s="108">
        <v>1201005141</v>
      </c>
      <c r="B757" s="109" t="s">
        <v>16231</v>
      </c>
      <c r="C757" s="110" t="s">
        <v>31</v>
      </c>
      <c r="D757" s="111">
        <v>99.370000000000005</v>
      </c>
      <c r="E757" s="111">
        <v>19.09</v>
      </c>
      <c r="F757" s="112">
        <v>118.45999999999999</v>
      </c>
      <c r="H757" s="110" t="s">
        <v>31</v>
      </c>
      <c r="I757" s="111">
        <v>99.370000000000005</v>
      </c>
      <c r="J757" s="111">
        <v>17.649999999999999</v>
      </c>
      <c r="K757" s="112">
        <v>117.02</v>
      </c>
      <c r="L757" s="88"/>
      <c r="M757" s="88"/>
    </row>
    <row r="758" ht="25.5">
      <c r="A758" s="108">
        <v>1201005155</v>
      </c>
      <c r="B758" s="109" t="s">
        <v>16232</v>
      </c>
      <c r="C758" s="110" t="s">
        <v>31</v>
      </c>
      <c r="D758" s="111">
        <v>132.91</v>
      </c>
      <c r="E758" s="111">
        <v>6.3099999999999996</v>
      </c>
      <c r="F758" s="112">
        <v>139.22</v>
      </c>
      <c r="H758" s="110" t="s">
        <v>31</v>
      </c>
      <c r="I758" s="111">
        <v>132.91</v>
      </c>
      <c r="J758" s="111">
        <v>5.8399999999999999</v>
      </c>
      <c r="K758" s="112">
        <v>138.75</v>
      </c>
      <c r="L758" s="88"/>
      <c r="M758" s="88"/>
    </row>
    <row r="759" ht="25.5">
      <c r="A759" s="108">
        <v>1201005157</v>
      </c>
      <c r="B759" s="109" t="s">
        <v>16233</v>
      </c>
      <c r="C759" s="110" t="s">
        <v>31</v>
      </c>
      <c r="D759" s="111">
        <v>135.28</v>
      </c>
      <c r="E759" s="111">
        <v>7.5800000000000001</v>
      </c>
      <c r="F759" s="112">
        <v>142.86000000000001</v>
      </c>
      <c r="H759" s="110" t="s">
        <v>31</v>
      </c>
      <c r="I759" s="111">
        <v>135.28</v>
      </c>
      <c r="J759" s="111">
        <v>7.0099999999999998</v>
      </c>
      <c r="K759" s="112">
        <v>142.28999999999999</v>
      </c>
      <c r="L759" s="88"/>
      <c r="M759" s="88"/>
    </row>
    <row r="760" ht="25.5">
      <c r="A760" s="108">
        <v>1201005165</v>
      </c>
      <c r="B760" s="109" t="s">
        <v>16234</v>
      </c>
      <c r="C760" s="110" t="s">
        <v>31</v>
      </c>
      <c r="D760" s="111">
        <v>151.43000000000001</v>
      </c>
      <c r="E760" s="111">
        <v>9.4800000000000004</v>
      </c>
      <c r="F760" s="112">
        <v>160.91</v>
      </c>
      <c r="H760" s="110" t="s">
        <v>31</v>
      </c>
      <c r="I760" s="111">
        <v>151.43000000000001</v>
      </c>
      <c r="J760" s="111">
        <v>8.7699999999999996</v>
      </c>
      <c r="K760" s="112">
        <v>160.19999999999999</v>
      </c>
      <c r="L760" s="88"/>
      <c r="M760" s="88"/>
    </row>
    <row r="761" ht="25.5">
      <c r="A761" s="108">
        <v>1201005168</v>
      </c>
      <c r="B761" s="109" t="s">
        <v>16235</v>
      </c>
      <c r="C761" s="110" t="s">
        <v>31</v>
      </c>
      <c r="D761" s="111">
        <v>151.55000000000001</v>
      </c>
      <c r="E761" s="111">
        <v>19.359999999999999</v>
      </c>
      <c r="F761" s="112">
        <v>170.91</v>
      </c>
      <c r="H761" s="110" t="s">
        <v>31</v>
      </c>
      <c r="I761" s="111">
        <v>151.55000000000001</v>
      </c>
      <c r="J761" s="111">
        <v>17.899999999999999</v>
      </c>
      <c r="K761" s="112">
        <v>169.44999999999999</v>
      </c>
      <c r="L761" s="88"/>
      <c r="M761" s="88"/>
    </row>
    <row r="762" ht="25.5">
      <c r="A762" s="108">
        <v>1201005171</v>
      </c>
      <c r="B762" s="109" t="s">
        <v>16236</v>
      </c>
      <c r="C762" s="110" t="s">
        <v>31</v>
      </c>
      <c r="D762" s="111">
        <v>165.21000000000001</v>
      </c>
      <c r="E762" s="111">
        <v>27.100000000000001</v>
      </c>
      <c r="F762" s="112">
        <v>192.31</v>
      </c>
      <c r="H762" s="110" t="s">
        <v>31</v>
      </c>
      <c r="I762" s="111">
        <v>165.21000000000001</v>
      </c>
      <c r="J762" s="111">
        <v>25.050000000000001</v>
      </c>
      <c r="K762" s="112">
        <v>190.25999999999999</v>
      </c>
      <c r="L762" s="88"/>
      <c r="M762" s="88"/>
    </row>
    <row r="763" ht="25.5">
      <c r="A763" s="108">
        <v>1201005174</v>
      </c>
      <c r="B763" s="109" t="s">
        <v>16237</v>
      </c>
      <c r="C763" s="110" t="s">
        <v>31</v>
      </c>
      <c r="D763" s="111">
        <v>308.30000000000001</v>
      </c>
      <c r="E763" s="111">
        <v>27.100000000000001</v>
      </c>
      <c r="F763" s="112">
        <v>335.39999999999998</v>
      </c>
      <c r="H763" s="110" t="s">
        <v>31</v>
      </c>
      <c r="I763" s="111">
        <v>308.30000000000001</v>
      </c>
      <c r="J763" s="111">
        <v>25.050000000000001</v>
      </c>
      <c r="K763" s="112">
        <v>333.35000000000002</v>
      </c>
      <c r="L763" s="88"/>
      <c r="M763" s="88"/>
    </row>
    <row r="764" ht="25.5">
      <c r="A764" s="108">
        <v>1201005177</v>
      </c>
      <c r="B764" s="109" t="s">
        <v>16238</v>
      </c>
      <c r="C764" s="110" t="s">
        <v>31</v>
      </c>
      <c r="D764" s="111">
        <v>306.04000000000002</v>
      </c>
      <c r="E764" s="111">
        <v>37.369999999999997</v>
      </c>
      <c r="F764" s="112">
        <v>343.41000000000003</v>
      </c>
      <c r="H764" s="110" t="s">
        <v>31</v>
      </c>
      <c r="I764" s="111">
        <v>306.04000000000002</v>
      </c>
      <c r="J764" s="111">
        <v>34.560000000000002</v>
      </c>
      <c r="K764" s="112">
        <v>340.60000000000002</v>
      </c>
      <c r="L764" s="88"/>
      <c r="M764" s="88"/>
    </row>
    <row r="765" ht="25.5">
      <c r="A765" s="108">
        <v>1201005190</v>
      </c>
      <c r="B765" s="109" t="s">
        <v>16239</v>
      </c>
      <c r="C765" s="110" t="s">
        <v>31</v>
      </c>
      <c r="D765" s="111">
        <v>270.63</v>
      </c>
      <c r="E765" s="111">
        <v>10.779999999999999</v>
      </c>
      <c r="F765" s="112">
        <v>281.41000000000003</v>
      </c>
      <c r="H765" s="110" t="s">
        <v>31</v>
      </c>
      <c r="I765" s="111">
        <v>270.63</v>
      </c>
      <c r="J765" s="111">
        <v>9.9600000000000009</v>
      </c>
      <c r="K765" s="112">
        <v>280.58999999999997</v>
      </c>
      <c r="L765" s="88"/>
      <c r="M765" s="88"/>
    </row>
    <row r="766" ht="25.5">
      <c r="A766" s="108">
        <v>1201005192</v>
      </c>
      <c r="B766" s="109" t="s">
        <v>16240</v>
      </c>
      <c r="C766" s="110" t="s">
        <v>31</v>
      </c>
      <c r="D766" s="111">
        <v>416.51999999999998</v>
      </c>
      <c r="E766" s="111">
        <v>16.300000000000001</v>
      </c>
      <c r="F766" s="112">
        <v>432.81999999999999</v>
      </c>
      <c r="H766" s="110" t="s">
        <v>31</v>
      </c>
      <c r="I766" s="111">
        <v>416.51999999999998</v>
      </c>
      <c r="J766" s="111">
        <v>15.07</v>
      </c>
      <c r="K766" s="112">
        <v>431.58999999999997</v>
      </c>
      <c r="L766" s="88"/>
      <c r="M766" s="88"/>
    </row>
    <row r="767" ht="25.5">
      <c r="A767" s="108">
        <v>1201005200</v>
      </c>
      <c r="B767" s="109" t="s">
        <v>16241</v>
      </c>
      <c r="C767" s="110" t="s">
        <v>31</v>
      </c>
      <c r="D767" s="111">
        <v>51.030000000000001</v>
      </c>
      <c r="E767" s="111">
        <v>14.31</v>
      </c>
      <c r="F767" s="112">
        <v>65.340000000000003</v>
      </c>
      <c r="H767" s="110" t="s">
        <v>31</v>
      </c>
      <c r="I767" s="111">
        <v>51.030000000000001</v>
      </c>
      <c r="J767" s="111">
        <v>13.24</v>
      </c>
      <c r="K767" s="112">
        <v>64.269999999999996</v>
      </c>
      <c r="L767" s="88"/>
      <c r="M767" s="88"/>
    </row>
    <row r="768" ht="25.5">
      <c r="A768" s="108">
        <v>1201005300</v>
      </c>
      <c r="B768" s="109" t="s">
        <v>16242</v>
      </c>
      <c r="C768" s="110" t="s">
        <v>31</v>
      </c>
      <c r="D768" s="111">
        <v>75.219999999999999</v>
      </c>
      <c r="E768" s="111">
        <v>17.66</v>
      </c>
      <c r="F768" s="112">
        <v>92.879999999999995</v>
      </c>
      <c r="H768" s="110" t="s">
        <v>31</v>
      </c>
      <c r="I768" s="111">
        <v>75.219999999999999</v>
      </c>
      <c r="J768" s="111">
        <v>16.32</v>
      </c>
      <c r="K768" s="112">
        <v>91.540000000000006</v>
      </c>
      <c r="L768" s="88"/>
      <c r="M768" s="88"/>
    </row>
    <row r="769" ht="25.5">
      <c r="A769" s="108">
        <v>1201005302</v>
      </c>
      <c r="B769" s="109" t="s">
        <v>16243</v>
      </c>
      <c r="C769" s="110" t="s">
        <v>31</v>
      </c>
      <c r="D769" s="111">
        <v>41.890000000000001</v>
      </c>
      <c r="E769" s="111">
        <v>10.01</v>
      </c>
      <c r="F769" s="112">
        <v>51.899999999999999</v>
      </c>
      <c r="H769" s="110" t="s">
        <v>31</v>
      </c>
      <c r="I769" s="111">
        <v>41.890000000000001</v>
      </c>
      <c r="J769" s="111">
        <v>9.2599999999999998</v>
      </c>
      <c r="K769" s="112">
        <v>51.149999999999999</v>
      </c>
      <c r="L769" s="88"/>
      <c r="M769" s="88"/>
    </row>
    <row r="770" ht="25.5">
      <c r="A770" s="108">
        <v>1201005304</v>
      </c>
      <c r="B770" s="109" t="s">
        <v>16244</v>
      </c>
      <c r="C770" s="110" t="s">
        <v>31</v>
      </c>
      <c r="D770" s="111">
        <v>54.460000000000001</v>
      </c>
      <c r="E770" s="111">
        <v>17.66</v>
      </c>
      <c r="F770" s="112">
        <v>72.120000000000005</v>
      </c>
      <c r="H770" s="110" t="s">
        <v>31</v>
      </c>
      <c r="I770" s="111">
        <v>54.460000000000001</v>
      </c>
      <c r="J770" s="111">
        <v>16.32</v>
      </c>
      <c r="K770" s="112">
        <v>70.780000000000001</v>
      </c>
      <c r="L770" s="88"/>
      <c r="M770" s="88"/>
    </row>
    <row r="771" ht="38.25">
      <c r="A771" s="108">
        <v>1201005320</v>
      </c>
      <c r="B771" s="109" t="s">
        <v>16245</v>
      </c>
      <c r="C771" s="110" t="s">
        <v>31</v>
      </c>
      <c r="D771" s="111">
        <v>2592.98</v>
      </c>
      <c r="E771" s="111">
        <v>100.23999999999999</v>
      </c>
      <c r="F771" s="112">
        <v>2693.2199999999998</v>
      </c>
      <c r="H771" s="110" t="s">
        <v>31</v>
      </c>
      <c r="I771" s="111">
        <v>2592.98</v>
      </c>
      <c r="J771" s="111">
        <v>92.700000000000003</v>
      </c>
      <c r="K771" s="112">
        <v>2685.6799999999998</v>
      </c>
      <c r="L771" s="88"/>
      <c r="M771" s="88"/>
    </row>
    <row r="772">
      <c r="A772" s="108">
        <v>1201005330</v>
      </c>
      <c r="B772" s="109" t="s">
        <v>16246</v>
      </c>
      <c r="C772" s="110" t="s">
        <v>31</v>
      </c>
      <c r="D772" s="111">
        <v>3601.5</v>
      </c>
      <c r="E772" s="111">
        <v>100.23999999999999</v>
      </c>
      <c r="F772" s="112">
        <v>3701.7399999999998</v>
      </c>
      <c r="H772" s="110" t="s">
        <v>31</v>
      </c>
      <c r="I772" s="111">
        <v>3601.5</v>
      </c>
      <c r="J772" s="111">
        <v>92.700000000000003</v>
      </c>
      <c r="K772" s="112">
        <v>3694.1999999999998</v>
      </c>
      <c r="L772" s="88"/>
      <c r="M772" s="88"/>
    </row>
    <row r="773">
      <c r="A773" s="108">
        <v>1201005340</v>
      </c>
      <c r="B773" s="109" t="s">
        <v>16247</v>
      </c>
      <c r="C773" s="110" t="s">
        <v>31</v>
      </c>
      <c r="D773" s="111">
        <v>5755.0299999999997</v>
      </c>
      <c r="E773" s="111">
        <v>100.23999999999999</v>
      </c>
      <c r="F773" s="112">
        <v>5855.2700000000004</v>
      </c>
      <c r="H773" s="110" t="s">
        <v>31</v>
      </c>
      <c r="I773" s="111">
        <v>5755.0299999999997</v>
      </c>
      <c r="J773" s="111">
        <v>92.700000000000003</v>
      </c>
      <c r="K773" s="112">
        <v>5847.7299999999996</v>
      </c>
      <c r="L773" s="88"/>
      <c r="M773" s="88"/>
    </row>
    <row r="774" ht="38.25">
      <c r="A774" s="108">
        <v>1201005345</v>
      </c>
      <c r="B774" s="109" t="s">
        <v>16248</v>
      </c>
      <c r="C774" s="110" t="s">
        <v>31</v>
      </c>
      <c r="D774" s="111">
        <v>19.75</v>
      </c>
      <c r="E774" s="111">
        <v>14.31</v>
      </c>
      <c r="F774" s="112">
        <v>34.060000000000002</v>
      </c>
      <c r="H774" s="110" t="s">
        <v>31</v>
      </c>
      <c r="I774" s="111">
        <v>19.75</v>
      </c>
      <c r="J774" s="111">
        <v>13.24</v>
      </c>
      <c r="K774" s="112">
        <v>32.990000000000002</v>
      </c>
      <c r="L774" s="88"/>
      <c r="M774" s="88"/>
    </row>
    <row r="775" ht="38.25">
      <c r="A775" s="108">
        <v>1201005346</v>
      </c>
      <c r="B775" s="109" t="s">
        <v>16249</v>
      </c>
      <c r="C775" s="110" t="s">
        <v>31</v>
      </c>
      <c r="D775" s="111">
        <v>88.980000000000004</v>
      </c>
      <c r="E775" s="111">
        <v>14.31</v>
      </c>
      <c r="F775" s="112">
        <v>103.29000000000001</v>
      </c>
      <c r="H775" s="110" t="s">
        <v>31</v>
      </c>
      <c r="I775" s="111">
        <v>88.980000000000004</v>
      </c>
      <c r="J775" s="111">
        <v>13.24</v>
      </c>
      <c r="K775" s="112">
        <v>102.22</v>
      </c>
      <c r="L775" s="88"/>
      <c r="M775" s="88"/>
    </row>
    <row r="776" ht="38.25">
      <c r="A776" s="108">
        <v>1201005348</v>
      </c>
      <c r="B776" s="109" t="s">
        <v>16250</v>
      </c>
      <c r="C776" s="110" t="s">
        <v>31</v>
      </c>
      <c r="D776" s="111">
        <v>123.88</v>
      </c>
      <c r="E776" s="111">
        <v>14.31</v>
      </c>
      <c r="F776" s="112">
        <v>138.19</v>
      </c>
      <c r="H776" s="110" t="s">
        <v>31</v>
      </c>
      <c r="I776" s="111">
        <v>123.88</v>
      </c>
      <c r="J776" s="111">
        <v>13.24</v>
      </c>
      <c r="K776" s="112">
        <v>137.12</v>
      </c>
      <c r="L776" s="88"/>
      <c r="M776" s="88"/>
    </row>
    <row r="777" ht="38.25">
      <c r="A777" s="108">
        <v>1201005350</v>
      </c>
      <c r="B777" s="109" t="s">
        <v>16251</v>
      </c>
      <c r="C777" s="110" t="s">
        <v>31</v>
      </c>
      <c r="D777" s="111">
        <v>64.849999999999994</v>
      </c>
      <c r="E777" s="111">
        <v>14.31</v>
      </c>
      <c r="F777" s="112">
        <v>79.159999999999997</v>
      </c>
      <c r="H777" s="110" t="s">
        <v>31</v>
      </c>
      <c r="I777" s="111">
        <v>64.849999999999994</v>
      </c>
      <c r="J777" s="111">
        <v>13.24</v>
      </c>
      <c r="K777" s="112">
        <v>78.090000000000003</v>
      </c>
      <c r="L777" s="88"/>
      <c r="M777" s="88"/>
    </row>
    <row r="778" ht="25.5">
      <c r="A778" s="108">
        <v>1201005394</v>
      </c>
      <c r="B778" s="109" t="s">
        <v>16252</v>
      </c>
      <c r="C778" s="110" t="s">
        <v>31</v>
      </c>
      <c r="D778" s="111">
        <v>4.3700000000000001</v>
      </c>
      <c r="E778" s="111">
        <v>14.359999999999999</v>
      </c>
      <c r="F778" s="112">
        <v>18.73</v>
      </c>
      <c r="H778" s="110" t="s">
        <v>31</v>
      </c>
      <c r="I778" s="111">
        <v>4.3499999999999996</v>
      </c>
      <c r="J778" s="111">
        <v>13.279999999999999</v>
      </c>
      <c r="K778" s="112">
        <v>17.629999999999999</v>
      </c>
      <c r="L778" s="88"/>
      <c r="M778" s="88"/>
    </row>
    <row r="779" ht="25.5">
      <c r="A779" s="108">
        <v>1201005396</v>
      </c>
      <c r="B779" s="109" t="s">
        <v>16253</v>
      </c>
      <c r="C779" s="110" t="s">
        <v>31</v>
      </c>
      <c r="D779" s="111">
        <v>2.3900000000000001</v>
      </c>
      <c r="E779" s="111">
        <v>13.890000000000001</v>
      </c>
      <c r="F779" s="112">
        <v>16.280000000000001</v>
      </c>
      <c r="H779" s="110" t="s">
        <v>31</v>
      </c>
      <c r="I779" s="111">
        <v>2.3799999999999999</v>
      </c>
      <c r="J779" s="111">
        <v>12.84</v>
      </c>
      <c r="K779" s="112">
        <v>15.220000000000001</v>
      </c>
      <c r="L779" s="88"/>
      <c r="M779" s="88"/>
    </row>
    <row r="780" ht="38.25">
      <c r="A780" s="69">
        <v>1201005398</v>
      </c>
      <c r="B780" s="89" t="s">
        <v>16254</v>
      </c>
      <c r="C780" s="88" t="s">
        <v>31</v>
      </c>
      <c r="D780" s="113"/>
      <c r="E780" s="113"/>
      <c r="F780" s="114">
        <v>28.199999999999999</v>
      </c>
      <c r="H780" s="88" t="s">
        <v>31</v>
      </c>
      <c r="I780" s="113"/>
      <c r="J780" s="113"/>
      <c r="K780" s="114">
        <v>26.219999999999999</v>
      </c>
      <c r="L780" s="88"/>
      <c r="M780" s="88"/>
    </row>
    <row r="781" ht="38.25">
      <c r="A781" s="69">
        <v>1201005399</v>
      </c>
      <c r="B781" s="89" t="s">
        <v>16255</v>
      </c>
      <c r="C781" s="88" t="s">
        <v>31</v>
      </c>
      <c r="D781" s="113"/>
      <c r="E781" s="113"/>
      <c r="F781" s="114">
        <v>15.85</v>
      </c>
      <c r="H781" s="88" t="s">
        <v>31</v>
      </c>
      <c r="I781" s="113"/>
      <c r="J781" s="113"/>
      <c r="K781" s="114">
        <v>14.789999999999999</v>
      </c>
      <c r="L781" s="88"/>
      <c r="M781" s="88"/>
    </row>
    <row r="782" ht="38.25">
      <c r="A782" s="69">
        <v>1201005400</v>
      </c>
      <c r="B782" s="89" t="s">
        <v>16256</v>
      </c>
      <c r="C782" s="88" t="s">
        <v>31</v>
      </c>
      <c r="D782" s="113"/>
      <c r="E782" s="113"/>
      <c r="F782" s="114">
        <v>9.7799999999999994</v>
      </c>
      <c r="H782" s="88" t="s">
        <v>31</v>
      </c>
      <c r="I782" s="113"/>
      <c r="J782" s="113"/>
      <c r="K782" s="114">
        <v>9.1799999999999997</v>
      </c>
      <c r="L782" s="88"/>
      <c r="M782" s="88"/>
    </row>
    <row r="783" ht="38.25">
      <c r="A783" s="69">
        <v>1201005401</v>
      </c>
      <c r="B783" s="89" t="s">
        <v>16257</v>
      </c>
      <c r="C783" s="88" t="s">
        <v>31</v>
      </c>
      <c r="D783" s="113"/>
      <c r="E783" s="113"/>
      <c r="F783" s="114">
        <v>30.859999999999999</v>
      </c>
      <c r="H783" s="88" t="s">
        <v>31</v>
      </c>
      <c r="I783" s="113"/>
      <c r="J783" s="113"/>
      <c r="K783" s="114">
        <v>28.800000000000001</v>
      </c>
      <c r="L783" s="88"/>
      <c r="M783" s="88"/>
    </row>
    <row r="784" ht="38.25">
      <c r="A784" s="69">
        <v>1201005402</v>
      </c>
      <c r="B784" s="89" t="s">
        <v>16258</v>
      </c>
      <c r="C784" s="88" t="s">
        <v>31</v>
      </c>
      <c r="D784" s="113"/>
      <c r="E784" s="113"/>
      <c r="F784" s="114">
        <v>18.07</v>
      </c>
      <c r="H784" s="88" t="s">
        <v>31</v>
      </c>
      <c r="I784" s="113"/>
      <c r="J784" s="113"/>
      <c r="K784" s="114">
        <v>16.969999999999999</v>
      </c>
      <c r="L784" s="88"/>
      <c r="M784" s="88"/>
    </row>
    <row r="785" ht="38.25">
      <c r="A785" s="69">
        <v>1201005403</v>
      </c>
      <c r="B785" s="89" t="s">
        <v>16259</v>
      </c>
      <c r="C785" s="88" t="s">
        <v>31</v>
      </c>
      <c r="D785" s="113"/>
      <c r="E785" s="113"/>
      <c r="F785" s="114">
        <v>11.76</v>
      </c>
      <c r="H785" s="88" t="s">
        <v>31</v>
      </c>
      <c r="I785" s="113"/>
      <c r="J785" s="113"/>
      <c r="K785" s="114">
        <v>11.140000000000001</v>
      </c>
      <c r="L785" s="88"/>
      <c r="M785" s="88"/>
    </row>
    <row r="786" ht="38.25">
      <c r="A786" s="69">
        <v>1201005404</v>
      </c>
      <c r="B786" s="89" t="s">
        <v>16260</v>
      </c>
      <c r="C786" s="88" t="s">
        <v>31</v>
      </c>
      <c r="D786" s="113"/>
      <c r="E786" s="113"/>
      <c r="F786" s="114">
        <v>13.52</v>
      </c>
      <c r="H786" s="88" t="s">
        <v>31</v>
      </c>
      <c r="I786" s="113"/>
      <c r="J786" s="113"/>
      <c r="K786" s="114">
        <v>12.720000000000001</v>
      </c>
      <c r="L786" s="88"/>
      <c r="M786" s="88"/>
    </row>
    <row r="787" ht="51">
      <c r="A787" s="69">
        <v>1201005408</v>
      </c>
      <c r="B787" s="89" t="s">
        <v>16261</v>
      </c>
      <c r="C787" s="88" t="s">
        <v>31</v>
      </c>
      <c r="D787" s="113"/>
      <c r="E787" s="113"/>
      <c r="F787" s="114">
        <v>98.620000000000005</v>
      </c>
      <c r="H787" s="88" t="s">
        <v>31</v>
      </c>
      <c r="I787" s="113"/>
      <c r="J787" s="113"/>
      <c r="K787" s="114">
        <v>95.400000000000006</v>
      </c>
      <c r="L787" s="88"/>
      <c r="M787" s="88"/>
    </row>
    <row r="788" ht="51">
      <c r="A788" s="69">
        <v>1201005410</v>
      </c>
      <c r="B788" s="89" t="s">
        <v>16262</v>
      </c>
      <c r="C788" s="88" t="s">
        <v>31</v>
      </c>
      <c r="D788" s="113"/>
      <c r="E788" s="113"/>
      <c r="F788" s="114">
        <v>174.55000000000001</v>
      </c>
      <c r="H788" s="88" t="s">
        <v>31</v>
      </c>
      <c r="I788" s="113"/>
      <c r="J788" s="113"/>
      <c r="K788" s="114">
        <v>170.84999999999999</v>
      </c>
      <c r="L788" s="88"/>
      <c r="M788" s="88"/>
    </row>
    <row r="789" ht="51">
      <c r="A789" s="69">
        <v>1201005412</v>
      </c>
      <c r="B789" s="89" t="s">
        <v>16263</v>
      </c>
      <c r="C789" s="88" t="s">
        <v>31</v>
      </c>
      <c r="D789" s="113"/>
      <c r="E789" s="113"/>
      <c r="F789" s="114">
        <v>266.75999999999999</v>
      </c>
      <c r="H789" s="88" t="s">
        <v>31</v>
      </c>
      <c r="I789" s="113"/>
      <c r="J789" s="113"/>
      <c r="K789" s="114">
        <v>262.52999999999997</v>
      </c>
      <c r="L789" s="88"/>
      <c r="M789" s="88"/>
    </row>
    <row r="790" ht="38.25">
      <c r="A790" s="69">
        <v>1201005414</v>
      </c>
      <c r="B790" s="89" t="s">
        <v>16264</v>
      </c>
      <c r="C790" s="88" t="s">
        <v>31</v>
      </c>
      <c r="D790" s="113"/>
      <c r="E790" s="113"/>
      <c r="F790" s="114">
        <v>418.33999999999997</v>
      </c>
      <c r="H790" s="88" t="s">
        <v>31</v>
      </c>
      <c r="I790" s="113"/>
      <c r="J790" s="113"/>
      <c r="K790" s="114">
        <v>414.63</v>
      </c>
      <c r="L790" s="88"/>
      <c r="M790" s="88"/>
    </row>
    <row r="791" ht="38.25">
      <c r="A791" s="108">
        <v>1201005416</v>
      </c>
      <c r="B791" s="109" t="s">
        <v>11351</v>
      </c>
      <c r="C791" s="110" t="s">
        <v>31</v>
      </c>
      <c r="D791" s="111">
        <v>592.60000000000002</v>
      </c>
      <c r="E791" s="111">
        <v>71.599999999999994</v>
      </c>
      <c r="F791" s="112">
        <v>664.20000000000005</v>
      </c>
      <c r="H791" s="110" t="s">
        <v>31</v>
      </c>
      <c r="I791" s="111">
        <v>592.60000000000002</v>
      </c>
      <c r="J791" s="111">
        <v>66.219999999999999</v>
      </c>
      <c r="K791" s="112">
        <v>658.82000000000005</v>
      </c>
      <c r="L791" s="88"/>
      <c r="M791" s="88"/>
    </row>
    <row r="792" ht="38.25">
      <c r="A792" s="69">
        <v>1201005418</v>
      </c>
      <c r="B792" s="89" t="s">
        <v>16265</v>
      </c>
      <c r="C792" s="88" t="s">
        <v>31</v>
      </c>
      <c r="D792" s="113"/>
      <c r="E792" s="113"/>
      <c r="F792" s="114">
        <v>36.259999999999998</v>
      </c>
      <c r="H792" s="88" t="s">
        <v>31</v>
      </c>
      <c r="I792" s="113"/>
      <c r="J792" s="113"/>
      <c r="K792" s="114">
        <v>35.009999999999998</v>
      </c>
      <c r="L792" s="88"/>
      <c r="M792" s="88"/>
    </row>
    <row r="793" ht="38.25">
      <c r="A793" s="108">
        <v>1201005420</v>
      </c>
      <c r="B793" s="109" t="s">
        <v>16266</v>
      </c>
      <c r="C793" s="110" t="s">
        <v>31</v>
      </c>
      <c r="D793" s="111">
        <v>2435.75</v>
      </c>
      <c r="E793" s="111">
        <v>71.599999999999994</v>
      </c>
      <c r="F793" s="112">
        <v>2507.3499999999999</v>
      </c>
      <c r="H793" s="110" t="s">
        <v>31</v>
      </c>
      <c r="I793" s="111">
        <v>2435.75</v>
      </c>
      <c r="J793" s="111">
        <v>66.219999999999999</v>
      </c>
      <c r="K793" s="112">
        <v>2501.9699999999998</v>
      </c>
      <c r="L793" s="88"/>
      <c r="M793" s="88"/>
    </row>
    <row r="794" ht="38.25">
      <c r="A794" s="69">
        <v>1201005424</v>
      </c>
      <c r="B794" s="89" t="s">
        <v>16267</v>
      </c>
      <c r="C794" s="88" t="s">
        <v>31</v>
      </c>
      <c r="D794" s="113"/>
      <c r="E794" s="113"/>
      <c r="F794" s="114">
        <v>160.28</v>
      </c>
      <c r="H794" s="88" t="s">
        <v>31</v>
      </c>
      <c r="I794" s="113"/>
      <c r="J794" s="113"/>
      <c r="K794" s="114">
        <v>153.11000000000001</v>
      </c>
      <c r="L794" s="88"/>
      <c r="M794" s="88"/>
    </row>
    <row r="795" ht="38.25">
      <c r="A795" s="69">
        <v>1201005426</v>
      </c>
      <c r="B795" s="89" t="s">
        <v>16268</v>
      </c>
      <c r="C795" s="88" t="s">
        <v>31</v>
      </c>
      <c r="D795" s="113"/>
      <c r="E795" s="113"/>
      <c r="F795" s="114">
        <v>252.66999999999999</v>
      </c>
      <c r="H795" s="88" t="s">
        <v>31</v>
      </c>
      <c r="I795" s="113"/>
      <c r="J795" s="113"/>
      <c r="K795" s="114">
        <v>241.43000000000001</v>
      </c>
      <c r="L795" s="88"/>
      <c r="M795" s="88"/>
    </row>
    <row r="796" ht="38.25">
      <c r="A796" s="69">
        <v>1201005428</v>
      </c>
      <c r="B796" s="89" t="s">
        <v>16269</v>
      </c>
      <c r="C796" s="88" t="s">
        <v>31</v>
      </c>
      <c r="D796" s="113"/>
      <c r="E796" s="113"/>
      <c r="F796" s="114">
        <v>488.64999999999998</v>
      </c>
      <c r="H796" s="88" t="s">
        <v>31</v>
      </c>
      <c r="I796" s="113"/>
      <c r="J796" s="113"/>
      <c r="K796" s="114">
        <v>467.62</v>
      </c>
      <c r="L796" s="88"/>
      <c r="M796" s="88"/>
    </row>
    <row r="797" ht="38.25">
      <c r="A797" s="69">
        <v>1201005438</v>
      </c>
      <c r="B797" s="89" t="s">
        <v>16270</v>
      </c>
      <c r="C797" s="88" t="s">
        <v>31</v>
      </c>
      <c r="D797" s="113"/>
      <c r="E797" s="113"/>
      <c r="F797" s="114">
        <v>662.25999999999999</v>
      </c>
      <c r="H797" s="88" t="s">
        <v>31</v>
      </c>
      <c r="I797" s="113"/>
      <c r="J797" s="113"/>
      <c r="K797" s="114">
        <v>633.69000000000005</v>
      </c>
      <c r="L797" s="88"/>
      <c r="M797" s="88"/>
    </row>
    <row r="798" ht="38.25">
      <c r="A798" s="69">
        <v>1201005440</v>
      </c>
      <c r="B798" s="89" t="s">
        <v>16271</v>
      </c>
      <c r="C798" s="88" t="s">
        <v>31</v>
      </c>
      <c r="D798" s="113"/>
      <c r="E798" s="113"/>
      <c r="F798" s="114">
        <v>756.20000000000005</v>
      </c>
      <c r="H798" s="88" t="s">
        <v>31</v>
      </c>
      <c r="I798" s="113"/>
      <c r="J798" s="113"/>
      <c r="K798" s="114">
        <v>726.96000000000004</v>
      </c>
      <c r="L798" s="88"/>
      <c r="M798" s="88"/>
    </row>
    <row r="799" ht="38.25">
      <c r="A799" s="108">
        <v>1201005442</v>
      </c>
      <c r="B799" s="109" t="s">
        <v>16272</v>
      </c>
      <c r="C799" s="110" t="s">
        <v>31</v>
      </c>
      <c r="D799" s="111">
        <v>839.74000000000001</v>
      </c>
      <c r="E799" s="111">
        <v>0</v>
      </c>
      <c r="F799" s="112">
        <v>839.74000000000001</v>
      </c>
      <c r="H799" s="110" t="s">
        <v>31</v>
      </c>
      <c r="I799" s="111">
        <v>816.73000000000002</v>
      </c>
      <c r="J799" s="111">
        <v>0</v>
      </c>
      <c r="K799" s="112">
        <v>816.73000000000002</v>
      </c>
      <c r="L799" s="88"/>
      <c r="M799" s="88"/>
    </row>
    <row r="800" ht="38.25">
      <c r="A800" s="108">
        <v>1201005444</v>
      </c>
      <c r="B800" s="109" t="s">
        <v>16273</v>
      </c>
      <c r="C800" s="110" t="s">
        <v>31</v>
      </c>
      <c r="D800" s="111">
        <v>1029.52</v>
      </c>
      <c r="E800" s="111">
        <v>76.689999999999998</v>
      </c>
      <c r="F800" s="112">
        <v>1106.21</v>
      </c>
      <c r="H800" s="110" t="s">
        <v>31</v>
      </c>
      <c r="I800" s="111">
        <v>1014.11</v>
      </c>
      <c r="J800" s="111">
        <v>70.939999999999998</v>
      </c>
      <c r="K800" s="112">
        <v>1085.05</v>
      </c>
      <c r="L800" s="88"/>
      <c r="M800" s="88"/>
    </row>
    <row r="801" ht="38.25">
      <c r="A801" s="69">
        <v>1201005458</v>
      </c>
      <c r="B801" s="89" t="s">
        <v>16274</v>
      </c>
      <c r="C801" s="88" t="s">
        <v>31</v>
      </c>
      <c r="D801" s="113"/>
      <c r="E801" s="113"/>
      <c r="F801" s="114">
        <v>26.91</v>
      </c>
      <c r="H801" s="88" t="s">
        <v>31</v>
      </c>
      <c r="I801" s="113"/>
      <c r="J801" s="113"/>
      <c r="K801" s="114">
        <v>25.789999999999999</v>
      </c>
      <c r="L801" s="88"/>
      <c r="M801" s="88"/>
    </row>
    <row r="802" ht="38.25">
      <c r="A802" s="69">
        <v>1201005459</v>
      </c>
      <c r="B802" s="89" t="s">
        <v>16275</v>
      </c>
      <c r="C802" s="88" t="s">
        <v>31</v>
      </c>
      <c r="D802" s="113"/>
      <c r="E802" s="113"/>
      <c r="F802" s="114">
        <v>37.119999999999997</v>
      </c>
      <c r="H802" s="88" t="s">
        <v>31</v>
      </c>
      <c r="I802" s="113"/>
      <c r="J802" s="113"/>
      <c r="K802" s="114">
        <v>35.719999999999999</v>
      </c>
      <c r="L802" s="88"/>
      <c r="M802" s="88"/>
    </row>
    <row r="803" ht="38.25">
      <c r="A803" s="69">
        <v>1201005460</v>
      </c>
      <c r="B803" s="89" t="s">
        <v>16276</v>
      </c>
      <c r="C803" s="88" t="s">
        <v>31</v>
      </c>
      <c r="D803" s="113"/>
      <c r="E803" s="113"/>
      <c r="F803" s="114">
        <v>37.049999999999997</v>
      </c>
      <c r="H803" s="88" t="s">
        <v>31</v>
      </c>
      <c r="I803" s="113"/>
      <c r="J803" s="113"/>
      <c r="K803" s="114">
        <v>35.609999999999999</v>
      </c>
      <c r="L803" s="88"/>
      <c r="M803" s="88"/>
    </row>
    <row r="804" ht="38.25">
      <c r="A804" s="69">
        <v>1201005461</v>
      </c>
      <c r="B804" s="89" t="s">
        <v>16277</v>
      </c>
      <c r="C804" s="88" t="s">
        <v>31</v>
      </c>
      <c r="D804" s="113"/>
      <c r="E804" s="113"/>
      <c r="F804" s="114">
        <v>45.950000000000003</v>
      </c>
      <c r="H804" s="88" t="s">
        <v>31</v>
      </c>
      <c r="I804" s="113"/>
      <c r="J804" s="113"/>
      <c r="K804" s="114">
        <v>44.07</v>
      </c>
      <c r="L804" s="88"/>
      <c r="M804" s="88"/>
    </row>
    <row r="805">
      <c r="D805" s="113"/>
      <c r="E805" s="113"/>
      <c r="F805" s="114"/>
      <c r="H805" s="88"/>
      <c r="I805" s="113"/>
      <c r="J805" s="113"/>
      <c r="K805" s="114"/>
      <c r="L805" s="88"/>
      <c r="M805" s="88"/>
    </row>
    <row r="806">
      <c r="B806" s="89" t="s">
        <v>16278</v>
      </c>
      <c r="D806" s="113"/>
      <c r="E806" s="113"/>
      <c r="F806" s="114"/>
      <c r="H806" s="88"/>
      <c r="I806" s="113"/>
      <c r="J806" s="113"/>
      <c r="K806" s="114"/>
      <c r="L806" s="88"/>
      <c r="M806" s="88"/>
    </row>
    <row r="807" ht="38.25">
      <c r="A807" s="108">
        <v>1201006000</v>
      </c>
      <c r="B807" s="109" t="s">
        <v>16279</v>
      </c>
      <c r="C807" s="110" t="s">
        <v>31</v>
      </c>
      <c r="D807" s="111">
        <v>23.350000000000001</v>
      </c>
      <c r="E807" s="111">
        <v>9.5399999999999991</v>
      </c>
      <c r="F807" s="112">
        <v>32.890000000000001</v>
      </c>
      <c r="H807" s="110" t="s">
        <v>31</v>
      </c>
      <c r="I807" s="111">
        <v>23.350000000000001</v>
      </c>
      <c r="J807" s="111">
        <v>8.8200000000000003</v>
      </c>
      <c r="K807" s="112">
        <v>32.170000000000002</v>
      </c>
      <c r="L807" s="88"/>
      <c r="M807" s="88"/>
    </row>
    <row r="808" ht="38.25">
      <c r="A808" s="108">
        <v>1201006002</v>
      </c>
      <c r="B808" s="109" t="s">
        <v>16280</v>
      </c>
      <c r="C808" s="110" t="s">
        <v>31</v>
      </c>
      <c r="D808" s="111">
        <v>36.719999999999999</v>
      </c>
      <c r="E808" s="111">
        <v>23.859999999999999</v>
      </c>
      <c r="F808" s="112">
        <v>60.579999999999998</v>
      </c>
      <c r="H808" s="110" t="s">
        <v>31</v>
      </c>
      <c r="I808" s="111">
        <v>36.719999999999999</v>
      </c>
      <c r="J808" s="111">
        <v>22.07</v>
      </c>
      <c r="K808" s="112">
        <v>58.789999999999999</v>
      </c>
      <c r="L808" s="88"/>
      <c r="M808" s="88"/>
    </row>
    <row r="809" ht="38.25">
      <c r="A809" s="108">
        <v>1201006004</v>
      </c>
      <c r="B809" s="109" t="s">
        <v>16281</v>
      </c>
      <c r="C809" s="110" t="s">
        <v>31</v>
      </c>
      <c r="D809" s="111">
        <v>204.09</v>
      </c>
      <c r="E809" s="111">
        <v>14.31</v>
      </c>
      <c r="F809" s="112">
        <v>218.40000000000001</v>
      </c>
      <c r="H809" s="110" t="s">
        <v>31</v>
      </c>
      <c r="I809" s="111">
        <v>204.09</v>
      </c>
      <c r="J809" s="111">
        <v>13.24</v>
      </c>
      <c r="K809" s="112">
        <v>217.33000000000001</v>
      </c>
      <c r="L809" s="88"/>
      <c r="M809" s="88"/>
    </row>
    <row r="810" ht="25.5">
      <c r="A810" s="69">
        <v>1201006006</v>
      </c>
      <c r="B810" s="89" t="s">
        <v>16282</v>
      </c>
      <c r="C810" s="88" t="s">
        <v>31</v>
      </c>
      <c r="D810" s="113"/>
      <c r="E810" s="113"/>
      <c r="F810" s="114">
        <v>186.80000000000001</v>
      </c>
      <c r="H810" s="88" t="s">
        <v>31</v>
      </c>
      <c r="I810" s="113"/>
      <c r="J810" s="113"/>
      <c r="K810" s="114">
        <v>186.21000000000001</v>
      </c>
      <c r="L810" s="88"/>
      <c r="M810" s="88"/>
    </row>
    <row r="811" ht="38.25">
      <c r="A811" s="108">
        <v>1201006008</v>
      </c>
      <c r="B811" s="109" t="s">
        <v>16283</v>
      </c>
      <c r="C811" s="110" t="s">
        <v>31</v>
      </c>
      <c r="D811" s="111">
        <v>69.819999999999993</v>
      </c>
      <c r="E811" s="111">
        <v>9.5399999999999991</v>
      </c>
      <c r="F811" s="112">
        <v>79.359999999999999</v>
      </c>
      <c r="H811" s="110" t="s">
        <v>31</v>
      </c>
      <c r="I811" s="111">
        <v>69.819999999999993</v>
      </c>
      <c r="J811" s="111">
        <v>8.8200000000000003</v>
      </c>
      <c r="K811" s="112">
        <v>78.640000000000001</v>
      </c>
      <c r="L811" s="88"/>
      <c r="M811" s="88"/>
    </row>
    <row r="812" ht="25.5">
      <c r="A812" s="69">
        <v>1201006010</v>
      </c>
      <c r="B812" s="89" t="s">
        <v>15614</v>
      </c>
      <c r="C812" s="88" t="s">
        <v>31</v>
      </c>
      <c r="D812" s="113"/>
      <c r="E812" s="113"/>
      <c r="F812" s="114">
        <v>73.409999999999997</v>
      </c>
      <c r="H812" s="88" t="s">
        <v>31</v>
      </c>
      <c r="I812" s="113"/>
      <c r="J812" s="113"/>
      <c r="K812" s="114">
        <v>72.510000000000005</v>
      </c>
      <c r="L812" s="88"/>
      <c r="M812" s="88"/>
    </row>
    <row r="813" ht="25.5">
      <c r="A813" s="108">
        <v>1201006012</v>
      </c>
      <c r="B813" s="109" t="s">
        <v>16284</v>
      </c>
      <c r="C813" s="110" t="s">
        <v>31</v>
      </c>
      <c r="D813" s="111">
        <v>67.400000000000006</v>
      </c>
      <c r="E813" s="111">
        <v>19.09</v>
      </c>
      <c r="F813" s="112">
        <v>86.489999999999995</v>
      </c>
      <c r="H813" s="110" t="s">
        <v>31</v>
      </c>
      <c r="I813" s="111">
        <v>67.400000000000006</v>
      </c>
      <c r="J813" s="111">
        <v>17.649999999999999</v>
      </c>
      <c r="K813" s="112">
        <v>85.049999999999997</v>
      </c>
      <c r="L813" s="88"/>
      <c r="M813" s="88"/>
    </row>
    <row r="814" ht="25.5">
      <c r="A814" s="108">
        <v>1201006014</v>
      </c>
      <c r="B814" s="109" t="s">
        <v>16285</v>
      </c>
      <c r="C814" s="110" t="s">
        <v>31</v>
      </c>
      <c r="D814" s="111">
        <v>25.5</v>
      </c>
      <c r="E814" s="111">
        <v>23.859999999999999</v>
      </c>
      <c r="F814" s="112">
        <v>49.359999999999999</v>
      </c>
      <c r="H814" s="110" t="s">
        <v>31</v>
      </c>
      <c r="I814" s="111">
        <v>25.5</v>
      </c>
      <c r="J814" s="111">
        <v>22.07</v>
      </c>
      <c r="K814" s="112">
        <v>47.57</v>
      </c>
      <c r="L814" s="88"/>
      <c r="M814" s="88"/>
    </row>
    <row r="815" ht="25.5">
      <c r="A815" s="69">
        <v>1201006016</v>
      </c>
      <c r="B815" s="89" t="s">
        <v>16286</v>
      </c>
      <c r="C815" s="88" t="s">
        <v>31</v>
      </c>
      <c r="D815" s="113"/>
      <c r="E815" s="113"/>
      <c r="F815" s="114">
        <v>156.41999999999999</v>
      </c>
      <c r="H815" s="88" t="s">
        <v>31</v>
      </c>
      <c r="I815" s="113"/>
      <c r="J815" s="113"/>
      <c r="K815" s="114">
        <v>155.93000000000001</v>
      </c>
      <c r="L815" s="88"/>
      <c r="M815" s="88"/>
    </row>
    <row r="816" ht="38.25">
      <c r="A816" s="69">
        <v>1201006018</v>
      </c>
      <c r="B816" s="89" t="s">
        <v>16287</v>
      </c>
      <c r="C816" s="88" t="s">
        <v>31</v>
      </c>
      <c r="D816" s="113"/>
      <c r="E816" s="113"/>
      <c r="F816" s="114">
        <v>25.420000000000002</v>
      </c>
      <c r="H816" s="88" t="s">
        <v>31</v>
      </c>
      <c r="I816" s="113"/>
      <c r="J816" s="113"/>
      <c r="K816" s="114">
        <v>24.300000000000001</v>
      </c>
      <c r="L816" s="88"/>
      <c r="M816" s="88"/>
    </row>
    <row r="817" ht="25.5">
      <c r="A817" s="108">
        <v>1201006020</v>
      </c>
      <c r="B817" s="109" t="s">
        <v>16288</v>
      </c>
      <c r="C817" s="110" t="s">
        <v>31</v>
      </c>
      <c r="D817" s="111">
        <v>8.7400000000000002</v>
      </c>
      <c r="E817" s="111">
        <v>23.859999999999999</v>
      </c>
      <c r="F817" s="112">
        <v>32.600000000000001</v>
      </c>
      <c r="H817" s="110" t="s">
        <v>31</v>
      </c>
      <c r="I817" s="111">
        <v>8.7400000000000002</v>
      </c>
      <c r="J817" s="111">
        <v>22.07</v>
      </c>
      <c r="K817" s="112">
        <v>30.809999999999999</v>
      </c>
      <c r="L817" s="88"/>
      <c r="M817" s="88"/>
    </row>
    <row r="818" ht="25.5">
      <c r="A818" s="108">
        <v>1201006022</v>
      </c>
      <c r="B818" s="109" t="s">
        <v>16289</v>
      </c>
      <c r="C818" s="110" t="s">
        <v>31</v>
      </c>
      <c r="D818" s="111">
        <v>30.289999999999999</v>
      </c>
      <c r="E818" s="111">
        <v>5.8200000000000003</v>
      </c>
      <c r="F818" s="112">
        <v>36.109999999999999</v>
      </c>
      <c r="H818" s="110" t="s">
        <v>31</v>
      </c>
      <c r="I818" s="111">
        <v>30.289999999999999</v>
      </c>
      <c r="J818" s="111">
        <v>5.3799999999999999</v>
      </c>
      <c r="K818" s="112">
        <v>35.670000000000002</v>
      </c>
      <c r="L818" s="88"/>
      <c r="M818" s="88"/>
    </row>
    <row r="819" ht="25.5">
      <c r="A819" s="108">
        <v>1201006026</v>
      </c>
      <c r="B819" s="109" t="s">
        <v>16290</v>
      </c>
      <c r="C819" s="110" t="s">
        <v>31</v>
      </c>
      <c r="D819" s="111">
        <v>30.68</v>
      </c>
      <c r="E819" s="111">
        <v>5.8200000000000003</v>
      </c>
      <c r="F819" s="112">
        <v>36.5</v>
      </c>
      <c r="H819" s="110" t="s">
        <v>31</v>
      </c>
      <c r="I819" s="111">
        <v>30.68</v>
      </c>
      <c r="J819" s="111">
        <v>5.3799999999999999</v>
      </c>
      <c r="K819" s="112">
        <v>36.060000000000002</v>
      </c>
      <c r="L819" s="88"/>
      <c r="M819" s="88"/>
    </row>
    <row r="820" ht="25.5">
      <c r="A820" s="69">
        <v>1201006028</v>
      </c>
      <c r="B820" s="89" t="s">
        <v>16291</v>
      </c>
      <c r="C820" s="88" t="s">
        <v>31</v>
      </c>
      <c r="D820" s="113"/>
      <c r="E820" s="113"/>
      <c r="F820" s="114">
        <v>124.34999999999999</v>
      </c>
      <c r="H820" s="88" t="s">
        <v>31</v>
      </c>
      <c r="I820" s="113"/>
      <c r="J820" s="113"/>
      <c r="K820" s="114">
        <v>120.09999999999999</v>
      </c>
      <c r="L820" s="88"/>
      <c r="M820" s="88"/>
    </row>
    <row r="821" ht="25.5">
      <c r="A821" s="108">
        <v>1201006030</v>
      </c>
      <c r="B821" s="109" t="s">
        <v>16292</v>
      </c>
      <c r="C821" s="110" t="s">
        <v>31</v>
      </c>
      <c r="D821" s="111">
        <v>247.22999999999999</v>
      </c>
      <c r="E821" s="111">
        <v>95.480000000000004</v>
      </c>
      <c r="F821" s="112">
        <v>342.70999999999998</v>
      </c>
      <c r="H821" s="110" t="s">
        <v>31</v>
      </c>
      <c r="I821" s="111">
        <v>247.22999999999999</v>
      </c>
      <c r="J821" s="111">
        <v>88.299999999999997</v>
      </c>
      <c r="K821" s="112">
        <v>335.52999999999997</v>
      </c>
      <c r="L821" s="88"/>
      <c r="M821" s="88"/>
    </row>
    <row r="822" ht="25.5">
      <c r="A822" s="108">
        <v>1201006032</v>
      </c>
      <c r="B822" s="109" t="s">
        <v>16293</v>
      </c>
      <c r="C822" s="110" t="s">
        <v>31</v>
      </c>
      <c r="D822" s="111">
        <v>23.350000000000001</v>
      </c>
      <c r="E822" s="111">
        <v>5.7199999999999998</v>
      </c>
      <c r="F822" s="112">
        <v>29.07</v>
      </c>
      <c r="H822" s="110" t="s">
        <v>31</v>
      </c>
      <c r="I822" s="111">
        <v>23.350000000000001</v>
      </c>
      <c r="J822" s="111">
        <v>5.2800000000000002</v>
      </c>
      <c r="K822" s="112">
        <v>28.629999999999999</v>
      </c>
      <c r="L822" s="88"/>
      <c r="M822" s="88"/>
    </row>
    <row r="823" ht="25.5">
      <c r="A823" s="108">
        <v>1201006035</v>
      </c>
      <c r="B823" s="109" t="s">
        <v>16294</v>
      </c>
      <c r="C823" s="110" t="s">
        <v>31</v>
      </c>
      <c r="D823" s="111">
        <v>70.959999999999994</v>
      </c>
      <c r="E823" s="111">
        <v>23.859999999999999</v>
      </c>
      <c r="F823" s="112">
        <v>94.819999999999993</v>
      </c>
      <c r="H823" s="110" t="s">
        <v>31</v>
      </c>
      <c r="I823" s="111">
        <v>70.959999999999994</v>
      </c>
      <c r="J823" s="111">
        <v>22.07</v>
      </c>
      <c r="K823" s="112">
        <v>93.030000000000001</v>
      </c>
      <c r="L823" s="88"/>
      <c r="M823" s="88"/>
    </row>
    <row r="824" ht="25.5">
      <c r="A824" s="108">
        <v>1201006040</v>
      </c>
      <c r="B824" s="109" t="s">
        <v>16295</v>
      </c>
      <c r="C824" s="110" t="s">
        <v>31</v>
      </c>
      <c r="D824" s="111">
        <v>21.77</v>
      </c>
      <c r="E824" s="111">
        <v>11.93</v>
      </c>
      <c r="F824" s="112">
        <v>33.700000000000003</v>
      </c>
      <c r="H824" s="110" t="s">
        <v>31</v>
      </c>
      <c r="I824" s="111">
        <v>21.77</v>
      </c>
      <c r="J824" s="111">
        <v>11.029999999999999</v>
      </c>
      <c r="K824" s="112">
        <v>32.799999999999997</v>
      </c>
      <c r="L824" s="88"/>
      <c r="M824" s="88"/>
    </row>
    <row r="825" ht="38.25">
      <c r="A825" s="108">
        <v>1201006043</v>
      </c>
      <c r="B825" s="109" t="s">
        <v>16296</v>
      </c>
      <c r="C825" s="110" t="s">
        <v>31</v>
      </c>
      <c r="D825" s="111">
        <v>154.27000000000001</v>
      </c>
      <c r="E825" s="111">
        <v>11.73</v>
      </c>
      <c r="F825" s="112">
        <v>166</v>
      </c>
      <c r="H825" s="110" t="s">
        <v>31</v>
      </c>
      <c r="I825" s="111">
        <v>154.25999999999999</v>
      </c>
      <c r="J825" s="111">
        <v>10.85</v>
      </c>
      <c r="K825" s="112">
        <v>165.11000000000001</v>
      </c>
      <c r="L825" s="88"/>
      <c r="M825" s="88"/>
    </row>
    <row r="826" ht="25.5">
      <c r="A826" s="108">
        <v>1201006045</v>
      </c>
      <c r="B826" s="109" t="s">
        <v>16297</v>
      </c>
      <c r="C826" s="110" t="s">
        <v>38</v>
      </c>
      <c r="D826" s="111">
        <v>12.640000000000001</v>
      </c>
      <c r="E826" s="111">
        <v>23.859999999999999</v>
      </c>
      <c r="F826" s="112">
        <v>36.5</v>
      </c>
      <c r="H826" s="110" t="s">
        <v>38</v>
      </c>
      <c r="I826" s="111">
        <v>12.640000000000001</v>
      </c>
      <c r="J826" s="111">
        <v>22.07</v>
      </c>
      <c r="K826" s="112">
        <v>34.710000000000001</v>
      </c>
      <c r="L826" s="88"/>
      <c r="M826" s="88"/>
    </row>
    <row r="827" ht="38.25">
      <c r="A827" s="108">
        <v>1201006047</v>
      </c>
      <c r="B827" s="109" t="s">
        <v>16298</v>
      </c>
      <c r="C827" s="110" t="s">
        <v>31</v>
      </c>
      <c r="D827" s="111">
        <v>3.4100000000000001</v>
      </c>
      <c r="E827" s="111">
        <v>4.7599999999999998</v>
      </c>
      <c r="F827" s="112">
        <v>8.1699999999999999</v>
      </c>
      <c r="H827" s="110" t="s">
        <v>31</v>
      </c>
      <c r="I827" s="111">
        <v>3.4100000000000001</v>
      </c>
      <c r="J827" s="111">
        <v>4.4000000000000004</v>
      </c>
      <c r="K827" s="112">
        <v>7.8099999999999996</v>
      </c>
      <c r="L827" s="88"/>
      <c r="M827" s="88"/>
    </row>
    <row r="828">
      <c r="D828" s="113"/>
      <c r="E828" s="113"/>
      <c r="F828" s="114"/>
      <c r="H828" s="88"/>
      <c r="I828" s="113"/>
      <c r="J828" s="113"/>
      <c r="K828" s="114"/>
      <c r="L828" s="88"/>
      <c r="M828" s="88"/>
    </row>
    <row r="829">
      <c r="B829" s="89" t="s">
        <v>16299</v>
      </c>
      <c r="D829" s="113"/>
      <c r="E829" s="113"/>
      <c r="F829" s="114"/>
      <c r="H829" s="88"/>
      <c r="I829" s="113"/>
      <c r="J829" s="113"/>
      <c r="K829" s="114"/>
      <c r="L829" s="88"/>
      <c r="M829" s="88"/>
    </row>
    <row r="830">
      <c r="A830" s="108">
        <v>1201007004</v>
      </c>
      <c r="B830" s="109" t="s">
        <v>16300</v>
      </c>
      <c r="C830" s="110" t="s">
        <v>38</v>
      </c>
      <c r="D830" s="111">
        <v>0.62</v>
      </c>
      <c r="E830" s="111">
        <v>0.42999999999999999</v>
      </c>
      <c r="F830" s="112">
        <v>1.05</v>
      </c>
      <c r="H830" s="110" t="s">
        <v>38</v>
      </c>
      <c r="I830" s="111">
        <v>0.62</v>
      </c>
      <c r="J830" s="111">
        <v>0.40000000000000002</v>
      </c>
      <c r="K830" s="112">
        <v>1.02</v>
      </c>
      <c r="L830" s="88"/>
      <c r="M830" s="88"/>
    </row>
    <row r="831">
      <c r="A831" s="108">
        <v>1201007005</v>
      </c>
      <c r="B831" s="109" t="s">
        <v>16301</v>
      </c>
      <c r="C831" s="110" t="s">
        <v>38</v>
      </c>
      <c r="D831" s="111">
        <v>1.6899999999999999</v>
      </c>
      <c r="E831" s="111">
        <v>0.42999999999999999</v>
      </c>
      <c r="F831" s="112">
        <v>2.1200000000000001</v>
      </c>
      <c r="H831" s="110" t="s">
        <v>38</v>
      </c>
      <c r="I831" s="111">
        <v>1.6899999999999999</v>
      </c>
      <c r="J831" s="111">
        <v>0.40000000000000002</v>
      </c>
      <c r="K831" s="112">
        <v>2.0899999999999999</v>
      </c>
      <c r="L831" s="88"/>
      <c r="M831" s="88"/>
    </row>
    <row r="832">
      <c r="A832" s="108">
        <v>1201007006</v>
      </c>
      <c r="B832" s="109" t="s">
        <v>16302</v>
      </c>
      <c r="C832" s="110" t="s">
        <v>38</v>
      </c>
      <c r="D832" s="111">
        <v>0.54000000000000004</v>
      </c>
      <c r="E832" s="111">
        <v>0.17000000000000001</v>
      </c>
      <c r="F832" s="112">
        <v>0.70999999999999996</v>
      </c>
      <c r="H832" s="110" t="s">
        <v>38</v>
      </c>
      <c r="I832" s="111">
        <v>0.54000000000000004</v>
      </c>
      <c r="J832" s="111">
        <v>0.16</v>
      </c>
      <c r="K832" s="112">
        <v>0.69999999999999996</v>
      </c>
      <c r="L832" s="88"/>
      <c r="M832" s="88"/>
    </row>
    <row r="833" ht="25.5">
      <c r="A833" s="108">
        <v>1201007008</v>
      </c>
      <c r="B833" s="109" t="s">
        <v>16303</v>
      </c>
      <c r="C833" s="110" t="s">
        <v>31</v>
      </c>
      <c r="D833" s="111">
        <v>208</v>
      </c>
      <c r="E833" s="111">
        <v>29.109999999999999</v>
      </c>
      <c r="F833" s="112">
        <v>237.11000000000001</v>
      </c>
      <c r="H833" s="110" t="s">
        <v>31</v>
      </c>
      <c r="I833" s="111">
        <v>208</v>
      </c>
      <c r="J833" s="111">
        <v>26.920000000000002</v>
      </c>
      <c r="K833" s="112">
        <v>234.91999999999999</v>
      </c>
      <c r="L833" s="88"/>
      <c r="M833" s="88"/>
    </row>
    <row r="834" ht="25.5">
      <c r="A834" s="108">
        <v>1201007010</v>
      </c>
      <c r="B834" s="109" t="s">
        <v>16304</v>
      </c>
      <c r="C834" s="110" t="s">
        <v>31</v>
      </c>
      <c r="D834" s="111">
        <v>55.740000000000002</v>
      </c>
      <c r="E834" s="111">
        <v>38.189999999999998</v>
      </c>
      <c r="F834" s="112">
        <v>93.930000000000007</v>
      </c>
      <c r="H834" s="110" t="s">
        <v>31</v>
      </c>
      <c r="I834" s="111">
        <v>55.740000000000002</v>
      </c>
      <c r="J834" s="111">
        <v>35.310000000000002</v>
      </c>
      <c r="K834" s="112">
        <v>91.049999999999997</v>
      </c>
      <c r="L834" s="88"/>
      <c r="M834" s="88"/>
    </row>
    <row r="835" ht="38.25">
      <c r="A835" s="108">
        <v>1201007012</v>
      </c>
      <c r="B835" s="109" t="s">
        <v>16305</v>
      </c>
      <c r="C835" s="110" t="s">
        <v>11798</v>
      </c>
      <c r="D835" s="111">
        <v>19.57</v>
      </c>
      <c r="E835" s="111">
        <v>17.66</v>
      </c>
      <c r="F835" s="112">
        <v>37.229999999999997</v>
      </c>
      <c r="H835" s="110" t="s">
        <v>11798</v>
      </c>
      <c r="I835" s="111">
        <v>19.57</v>
      </c>
      <c r="J835" s="111">
        <v>16.32</v>
      </c>
      <c r="K835" s="112">
        <v>35.890000000000001</v>
      </c>
      <c r="L835" s="88"/>
      <c r="M835" s="88"/>
    </row>
    <row r="836" ht="25.5">
      <c r="A836" s="108">
        <v>1201007020</v>
      </c>
      <c r="B836" s="109" t="s">
        <v>16306</v>
      </c>
      <c r="C836" s="110" t="s">
        <v>38</v>
      </c>
      <c r="D836" s="111">
        <v>5.7300000000000004</v>
      </c>
      <c r="E836" s="111">
        <v>8.1099999999999994</v>
      </c>
      <c r="F836" s="112">
        <v>13.84</v>
      </c>
      <c r="H836" s="110" t="s">
        <v>38</v>
      </c>
      <c r="I836" s="111">
        <v>5.7300000000000004</v>
      </c>
      <c r="J836" s="111">
        <v>7.5</v>
      </c>
      <c r="K836" s="112">
        <v>13.23</v>
      </c>
      <c r="L836" s="88"/>
      <c r="M836" s="88"/>
    </row>
    <row r="837" ht="25.5">
      <c r="A837" s="108">
        <v>1201007022</v>
      </c>
      <c r="B837" s="109" t="s">
        <v>16307</v>
      </c>
      <c r="C837" s="110" t="s">
        <v>31</v>
      </c>
      <c r="D837" s="111">
        <v>3.0899999999999999</v>
      </c>
      <c r="E837" s="111">
        <v>8.1099999999999994</v>
      </c>
      <c r="F837" s="112">
        <v>11.199999999999999</v>
      </c>
      <c r="H837" s="110" t="s">
        <v>31</v>
      </c>
      <c r="I837" s="111">
        <v>3.0899999999999999</v>
      </c>
      <c r="J837" s="111">
        <v>7.5</v>
      </c>
      <c r="K837" s="112">
        <v>10.59</v>
      </c>
      <c r="L837" s="88"/>
      <c r="M837" s="88"/>
    </row>
    <row r="838" ht="25.5">
      <c r="A838" s="108">
        <v>1201007024</v>
      </c>
      <c r="B838" s="109" t="s">
        <v>16308</v>
      </c>
      <c r="C838" s="110" t="s">
        <v>31</v>
      </c>
      <c r="D838" s="111">
        <v>10.119999999999999</v>
      </c>
      <c r="E838" s="111">
        <v>8.1099999999999994</v>
      </c>
      <c r="F838" s="112">
        <v>18.23</v>
      </c>
      <c r="H838" s="110" t="s">
        <v>31</v>
      </c>
      <c r="I838" s="111">
        <v>10.119999999999999</v>
      </c>
      <c r="J838" s="111">
        <v>7.5</v>
      </c>
      <c r="K838" s="112">
        <v>17.620000000000001</v>
      </c>
      <c r="L838" s="88"/>
      <c r="M838" s="88"/>
    </row>
    <row r="839" ht="25.5">
      <c r="A839" s="108">
        <v>1201007026</v>
      </c>
      <c r="B839" s="109" t="s">
        <v>16309</v>
      </c>
      <c r="C839" s="110" t="s">
        <v>31</v>
      </c>
      <c r="D839" s="111">
        <v>22.469999999999999</v>
      </c>
      <c r="E839" s="111">
        <v>18.129999999999999</v>
      </c>
      <c r="F839" s="112">
        <v>40.600000000000001</v>
      </c>
      <c r="H839" s="110" t="s">
        <v>31</v>
      </c>
      <c r="I839" s="111">
        <v>22.469999999999999</v>
      </c>
      <c r="J839" s="111">
        <v>16.77</v>
      </c>
      <c r="K839" s="112">
        <v>39.240000000000002</v>
      </c>
      <c r="L839" s="88"/>
      <c r="M839" s="88"/>
    </row>
    <row r="840">
      <c r="A840" s="108">
        <v>1201007028</v>
      </c>
      <c r="B840" s="109" t="s">
        <v>16310</v>
      </c>
      <c r="C840" s="110" t="s">
        <v>31</v>
      </c>
      <c r="D840" s="111">
        <v>38.210000000000001</v>
      </c>
      <c r="E840" s="111">
        <v>18.129999999999999</v>
      </c>
      <c r="F840" s="112">
        <v>56.340000000000003</v>
      </c>
      <c r="H840" s="110" t="s">
        <v>31</v>
      </c>
      <c r="I840" s="111">
        <v>38.210000000000001</v>
      </c>
      <c r="J840" s="111">
        <v>16.77</v>
      </c>
      <c r="K840" s="112">
        <v>54.979999999999997</v>
      </c>
      <c r="L840" s="88"/>
      <c r="M840" s="88"/>
    </row>
    <row r="841" ht="25.5">
      <c r="A841" s="108">
        <v>1201007030</v>
      </c>
      <c r="B841" s="109" t="s">
        <v>16311</v>
      </c>
      <c r="C841" s="110" t="s">
        <v>31</v>
      </c>
      <c r="D841" s="111">
        <v>30.34</v>
      </c>
      <c r="E841" s="111">
        <v>18.129999999999999</v>
      </c>
      <c r="F841" s="112">
        <v>48.469999999999999</v>
      </c>
      <c r="H841" s="110" t="s">
        <v>31</v>
      </c>
      <c r="I841" s="111">
        <v>30.34</v>
      </c>
      <c r="J841" s="111">
        <v>16.77</v>
      </c>
      <c r="K841" s="112">
        <v>47.109999999999999</v>
      </c>
      <c r="L841" s="88"/>
      <c r="M841" s="88"/>
    </row>
    <row r="842">
      <c r="A842" s="108">
        <v>1201007032</v>
      </c>
      <c r="B842" s="109" t="s">
        <v>16312</v>
      </c>
      <c r="C842" s="110" t="s">
        <v>31</v>
      </c>
      <c r="D842" s="111">
        <v>60.780000000000001</v>
      </c>
      <c r="E842" s="111">
        <v>18.129999999999999</v>
      </c>
      <c r="F842" s="112">
        <v>78.909999999999997</v>
      </c>
      <c r="H842" s="110" t="s">
        <v>31</v>
      </c>
      <c r="I842" s="111">
        <v>60.780000000000001</v>
      </c>
      <c r="J842" s="111">
        <v>16.77</v>
      </c>
      <c r="K842" s="112">
        <v>77.549999999999997</v>
      </c>
      <c r="L842" s="88"/>
      <c r="M842" s="88"/>
    </row>
    <row r="843" ht="25.5">
      <c r="A843" s="108">
        <v>1201007034</v>
      </c>
      <c r="B843" s="109" t="s">
        <v>16313</v>
      </c>
      <c r="C843" s="110" t="s">
        <v>31</v>
      </c>
      <c r="D843" s="111">
        <v>329</v>
      </c>
      <c r="E843" s="111">
        <v>38.189999999999998</v>
      </c>
      <c r="F843" s="112">
        <v>367.19</v>
      </c>
      <c r="H843" s="110" t="s">
        <v>31</v>
      </c>
      <c r="I843" s="111">
        <v>329</v>
      </c>
      <c r="J843" s="111">
        <v>35.310000000000002</v>
      </c>
      <c r="K843" s="112">
        <v>364.31</v>
      </c>
      <c r="L843" s="88"/>
      <c r="M843" s="88"/>
    </row>
    <row r="844">
      <c r="A844" s="108">
        <v>1201007036</v>
      </c>
      <c r="B844" s="109" t="s">
        <v>16314</v>
      </c>
      <c r="C844" s="110" t="s">
        <v>31</v>
      </c>
      <c r="D844" s="111">
        <v>310</v>
      </c>
      <c r="E844" s="111">
        <v>47.740000000000002</v>
      </c>
      <c r="F844" s="112">
        <v>357.74000000000001</v>
      </c>
      <c r="H844" s="110" t="s">
        <v>31</v>
      </c>
      <c r="I844" s="111">
        <v>310</v>
      </c>
      <c r="J844" s="111">
        <v>44.149999999999999</v>
      </c>
      <c r="K844" s="112">
        <v>354.14999999999998</v>
      </c>
      <c r="L844" s="88"/>
      <c r="M844" s="88"/>
    </row>
    <row r="845">
      <c r="A845" s="108">
        <v>1201007038</v>
      </c>
      <c r="B845" s="109" t="s">
        <v>16315</v>
      </c>
      <c r="C845" s="110" t="s">
        <v>31</v>
      </c>
      <c r="D845" s="111">
        <v>339.89999999999998</v>
      </c>
      <c r="E845" s="111">
        <v>47.740000000000002</v>
      </c>
      <c r="F845" s="112">
        <v>387.63999999999999</v>
      </c>
      <c r="H845" s="110" t="s">
        <v>31</v>
      </c>
      <c r="I845" s="111">
        <v>339.89999999999998</v>
      </c>
      <c r="J845" s="111">
        <v>44.149999999999999</v>
      </c>
      <c r="K845" s="112">
        <v>384.05000000000001</v>
      </c>
      <c r="L845" s="88"/>
      <c r="M845" s="88"/>
    </row>
    <row r="846" ht="51">
      <c r="A846" s="108">
        <v>1201007039</v>
      </c>
      <c r="B846" s="109" t="s">
        <v>16316</v>
      </c>
      <c r="C846" s="110" t="s">
        <v>31</v>
      </c>
      <c r="D846" s="111">
        <v>472.80000000000001</v>
      </c>
      <c r="E846" s="111">
        <v>98.430000000000007</v>
      </c>
      <c r="F846" s="112">
        <v>571.23000000000002</v>
      </c>
      <c r="H846" s="110" t="s">
        <v>31</v>
      </c>
      <c r="I846" s="111">
        <v>472.80000000000001</v>
      </c>
      <c r="J846" s="111">
        <v>91.030000000000001</v>
      </c>
      <c r="K846" s="112">
        <v>563.83000000000004</v>
      </c>
      <c r="L846" s="88"/>
      <c r="M846" s="88"/>
    </row>
    <row r="847" ht="51">
      <c r="A847" s="108">
        <v>1201007040</v>
      </c>
      <c r="B847" s="109" t="s">
        <v>16317</v>
      </c>
      <c r="C847" s="110" t="s">
        <v>31</v>
      </c>
      <c r="D847" s="111">
        <v>27.780000000000001</v>
      </c>
      <c r="E847" s="111">
        <v>9.5399999999999991</v>
      </c>
      <c r="F847" s="112">
        <v>37.32</v>
      </c>
      <c r="H847" s="110" t="s">
        <v>31</v>
      </c>
      <c r="I847" s="111">
        <v>27.780000000000001</v>
      </c>
      <c r="J847" s="111">
        <v>8.8200000000000003</v>
      </c>
      <c r="K847" s="112">
        <v>36.600000000000001</v>
      </c>
      <c r="L847" s="88"/>
      <c r="M847" s="88"/>
    </row>
    <row r="848" ht="25.5">
      <c r="A848" s="108">
        <v>1201007050</v>
      </c>
      <c r="B848" s="109" t="s">
        <v>16318</v>
      </c>
      <c r="C848" s="110" t="s">
        <v>31</v>
      </c>
      <c r="D848" s="111">
        <v>8.4600000000000009</v>
      </c>
      <c r="E848" s="111">
        <v>9.5399999999999991</v>
      </c>
      <c r="F848" s="112">
        <v>18</v>
      </c>
      <c r="H848" s="110" t="s">
        <v>31</v>
      </c>
      <c r="I848" s="111">
        <v>8.4600000000000009</v>
      </c>
      <c r="J848" s="111">
        <v>8.8200000000000003</v>
      </c>
      <c r="K848" s="112">
        <v>17.280000000000001</v>
      </c>
      <c r="L848" s="88"/>
      <c r="M848" s="88"/>
    </row>
    <row r="849" ht="25.5">
      <c r="A849" s="108">
        <v>1201007052</v>
      </c>
      <c r="B849" s="109" t="s">
        <v>16319</v>
      </c>
      <c r="C849" s="110" t="s">
        <v>31</v>
      </c>
      <c r="D849" s="111">
        <v>8.9299999999999997</v>
      </c>
      <c r="E849" s="111">
        <v>9.5399999999999991</v>
      </c>
      <c r="F849" s="112">
        <v>18.469999999999999</v>
      </c>
      <c r="H849" s="110" t="s">
        <v>31</v>
      </c>
      <c r="I849" s="111">
        <v>8.9299999999999997</v>
      </c>
      <c r="J849" s="111">
        <v>8.8200000000000003</v>
      </c>
      <c r="K849" s="112">
        <v>17.75</v>
      </c>
      <c r="L849" s="88"/>
      <c r="M849" s="88"/>
    </row>
    <row r="850" ht="25.5">
      <c r="A850" s="108">
        <v>1201007054</v>
      </c>
      <c r="B850" s="109" t="s">
        <v>16320</v>
      </c>
      <c r="C850" s="110" t="s">
        <v>31</v>
      </c>
      <c r="D850" s="111">
        <v>11.15</v>
      </c>
      <c r="E850" s="111">
        <v>9.5399999999999991</v>
      </c>
      <c r="F850" s="112">
        <v>20.690000000000001</v>
      </c>
      <c r="H850" s="110" t="s">
        <v>31</v>
      </c>
      <c r="I850" s="111">
        <v>11.15</v>
      </c>
      <c r="J850" s="111">
        <v>8.8200000000000003</v>
      </c>
      <c r="K850" s="112">
        <v>19.969999999999999</v>
      </c>
      <c r="L850" s="88"/>
      <c r="M850" s="88"/>
    </row>
    <row r="851" ht="25.5">
      <c r="A851" s="108">
        <v>1201007056</v>
      </c>
      <c r="B851" s="109" t="s">
        <v>16321</v>
      </c>
      <c r="C851" s="110" t="s">
        <v>31</v>
      </c>
      <c r="D851" s="111">
        <v>15.65</v>
      </c>
      <c r="E851" s="111">
        <v>9.5399999999999991</v>
      </c>
      <c r="F851" s="112">
        <v>25.190000000000001</v>
      </c>
      <c r="H851" s="110" t="s">
        <v>31</v>
      </c>
      <c r="I851" s="111">
        <v>15.65</v>
      </c>
      <c r="J851" s="111">
        <v>8.8200000000000003</v>
      </c>
      <c r="K851" s="112">
        <v>24.469999999999999</v>
      </c>
      <c r="L851" s="88"/>
      <c r="M851" s="88"/>
    </row>
    <row r="852" ht="25.5">
      <c r="A852" s="108">
        <v>1201007058</v>
      </c>
      <c r="B852" s="109" t="s">
        <v>16322</v>
      </c>
      <c r="C852" s="110" t="s">
        <v>31</v>
      </c>
      <c r="D852" s="111">
        <v>23.350000000000001</v>
      </c>
      <c r="E852" s="111">
        <v>9.5399999999999991</v>
      </c>
      <c r="F852" s="112">
        <v>32.890000000000001</v>
      </c>
      <c r="H852" s="110" t="s">
        <v>31</v>
      </c>
      <c r="I852" s="111">
        <v>23.350000000000001</v>
      </c>
      <c r="J852" s="111">
        <v>8.8200000000000003</v>
      </c>
      <c r="K852" s="112">
        <v>32.170000000000002</v>
      </c>
      <c r="L852" s="88"/>
      <c r="M852" s="88"/>
    </row>
    <row r="853" ht="38.25">
      <c r="A853" s="69">
        <v>1201007074</v>
      </c>
      <c r="B853" s="89" t="s">
        <v>16323</v>
      </c>
      <c r="C853" s="88" t="s">
        <v>38</v>
      </c>
      <c r="D853" s="113"/>
      <c r="E853" s="113"/>
      <c r="F853" s="114">
        <v>7.54</v>
      </c>
      <c r="H853" s="88" t="s">
        <v>38</v>
      </c>
      <c r="I853" s="113"/>
      <c r="J853" s="113"/>
      <c r="K853" s="114">
        <v>6.9699999999999998</v>
      </c>
      <c r="L853" s="88"/>
      <c r="M853" s="88"/>
    </row>
    <row r="854" ht="25.5">
      <c r="A854" s="108">
        <v>1201007106</v>
      </c>
      <c r="B854" s="109" t="s">
        <v>16324</v>
      </c>
      <c r="C854" s="110" t="s">
        <v>31</v>
      </c>
      <c r="D854" s="111">
        <v>0.92000000000000004</v>
      </c>
      <c r="E854" s="111">
        <v>9.5399999999999991</v>
      </c>
      <c r="F854" s="112">
        <v>10.460000000000001</v>
      </c>
      <c r="H854" s="110" t="s">
        <v>31</v>
      </c>
      <c r="I854" s="111">
        <v>0.92000000000000004</v>
      </c>
      <c r="J854" s="111">
        <v>8.8200000000000003</v>
      </c>
      <c r="K854" s="112">
        <v>9.7400000000000002</v>
      </c>
      <c r="L854" s="88"/>
      <c r="M854" s="88"/>
    </row>
    <row r="855" ht="25.5">
      <c r="A855" s="108">
        <v>1201007108</v>
      </c>
      <c r="B855" s="109" t="s">
        <v>16325</v>
      </c>
      <c r="C855" s="110" t="s">
        <v>31</v>
      </c>
      <c r="D855" s="111">
        <v>0.44</v>
      </c>
      <c r="E855" s="111">
        <v>9.5399999999999991</v>
      </c>
      <c r="F855" s="112">
        <v>9.9800000000000004</v>
      </c>
      <c r="H855" s="110" t="s">
        <v>31</v>
      </c>
      <c r="I855" s="111">
        <v>0.44</v>
      </c>
      <c r="J855" s="111">
        <v>8.8200000000000003</v>
      </c>
      <c r="K855" s="112">
        <v>9.2599999999999998</v>
      </c>
      <c r="L855" s="88"/>
      <c r="M855" s="88"/>
    </row>
    <row r="856" ht="38.25">
      <c r="A856" s="108">
        <v>1201007110</v>
      </c>
      <c r="B856" s="109" t="s">
        <v>16326</v>
      </c>
      <c r="C856" s="110" t="s">
        <v>31</v>
      </c>
      <c r="D856" s="111">
        <v>0.58999999999999997</v>
      </c>
      <c r="E856" s="111">
        <v>9.5399999999999991</v>
      </c>
      <c r="F856" s="112">
        <v>10.130000000000001</v>
      </c>
      <c r="H856" s="110" t="s">
        <v>31</v>
      </c>
      <c r="I856" s="111">
        <v>0.58999999999999997</v>
      </c>
      <c r="J856" s="111">
        <v>8.8200000000000003</v>
      </c>
      <c r="K856" s="112">
        <v>9.4100000000000001</v>
      </c>
      <c r="L856" s="88"/>
      <c r="M856" s="88"/>
    </row>
    <row r="857" ht="25.5">
      <c r="A857" s="108">
        <v>1201007111</v>
      </c>
      <c r="B857" s="109" t="s">
        <v>16327</v>
      </c>
      <c r="C857" s="110" t="s">
        <v>31</v>
      </c>
      <c r="D857" s="111">
        <v>6.0099999999999998</v>
      </c>
      <c r="E857" s="111">
        <v>9.5399999999999991</v>
      </c>
      <c r="F857" s="112">
        <v>15.550000000000001</v>
      </c>
      <c r="H857" s="110" t="s">
        <v>31</v>
      </c>
      <c r="I857" s="111">
        <v>6.0099999999999998</v>
      </c>
      <c r="J857" s="111">
        <v>8.8200000000000003</v>
      </c>
      <c r="K857" s="112">
        <v>14.83</v>
      </c>
      <c r="L857" s="88"/>
      <c r="M857" s="88"/>
    </row>
    <row r="858" ht="25.5">
      <c r="A858" s="108">
        <v>1201007112</v>
      </c>
      <c r="B858" s="109" t="s">
        <v>16328</v>
      </c>
      <c r="C858" s="110" t="s">
        <v>31</v>
      </c>
      <c r="D858" s="111">
        <v>10.44</v>
      </c>
      <c r="E858" s="111">
        <v>19.09</v>
      </c>
      <c r="F858" s="112">
        <v>29.530000000000001</v>
      </c>
      <c r="H858" s="110" t="s">
        <v>31</v>
      </c>
      <c r="I858" s="111">
        <v>10.44</v>
      </c>
      <c r="J858" s="111">
        <v>17.649999999999999</v>
      </c>
      <c r="K858" s="112">
        <v>28.09</v>
      </c>
      <c r="L858" s="88"/>
      <c r="M858" s="88"/>
    </row>
    <row r="859" ht="25.5">
      <c r="A859" s="108">
        <v>1201007113</v>
      </c>
      <c r="B859" s="109" t="s">
        <v>16329</v>
      </c>
      <c r="C859" s="110" t="s">
        <v>31</v>
      </c>
      <c r="D859" s="111">
        <v>10.77</v>
      </c>
      <c r="E859" s="111">
        <v>19.09</v>
      </c>
      <c r="F859" s="112">
        <v>29.859999999999999</v>
      </c>
      <c r="H859" s="110" t="s">
        <v>31</v>
      </c>
      <c r="I859" s="111">
        <v>10.77</v>
      </c>
      <c r="J859" s="111">
        <v>17.649999999999999</v>
      </c>
      <c r="K859" s="112">
        <v>28.420000000000002</v>
      </c>
      <c r="L859" s="88"/>
      <c r="M859" s="88"/>
    </row>
    <row r="860" ht="25.5">
      <c r="A860" s="108">
        <v>1201007114</v>
      </c>
      <c r="B860" s="109" t="s">
        <v>16330</v>
      </c>
      <c r="C860" s="110" t="s">
        <v>31</v>
      </c>
      <c r="D860" s="111">
        <v>31.350000000000001</v>
      </c>
      <c r="E860" s="111">
        <v>23.859999999999999</v>
      </c>
      <c r="F860" s="112">
        <v>55.210000000000001</v>
      </c>
      <c r="H860" s="110" t="s">
        <v>31</v>
      </c>
      <c r="I860" s="111">
        <v>31.350000000000001</v>
      </c>
      <c r="J860" s="111">
        <v>22.07</v>
      </c>
      <c r="K860" s="112">
        <v>53.420000000000002</v>
      </c>
      <c r="L860" s="88"/>
      <c r="M860" s="88"/>
    </row>
    <row r="861" ht="25.5">
      <c r="A861" s="108">
        <v>1201007115</v>
      </c>
      <c r="B861" s="109" t="s">
        <v>16331</v>
      </c>
      <c r="C861" s="110" t="s">
        <v>31</v>
      </c>
      <c r="D861" s="111">
        <v>41.369999999999997</v>
      </c>
      <c r="E861" s="111">
        <v>23.859999999999999</v>
      </c>
      <c r="F861" s="112">
        <v>65.230000000000004</v>
      </c>
      <c r="H861" s="110" t="s">
        <v>31</v>
      </c>
      <c r="I861" s="111">
        <v>41.369999999999997</v>
      </c>
      <c r="J861" s="111">
        <v>22.07</v>
      </c>
      <c r="K861" s="112">
        <v>63.439999999999998</v>
      </c>
      <c r="L861" s="88"/>
      <c r="M861" s="88"/>
    </row>
    <row r="862" ht="25.5">
      <c r="A862" s="108">
        <v>1201007116</v>
      </c>
      <c r="B862" s="109" t="s">
        <v>16332</v>
      </c>
      <c r="C862" s="110" t="s">
        <v>31</v>
      </c>
      <c r="D862" s="111">
        <v>60.189999999999998</v>
      </c>
      <c r="E862" s="111">
        <v>23.859999999999999</v>
      </c>
      <c r="F862" s="112">
        <v>84.049999999999997</v>
      </c>
      <c r="H862" s="110" t="s">
        <v>31</v>
      </c>
      <c r="I862" s="111">
        <v>60.189999999999998</v>
      </c>
      <c r="J862" s="111">
        <v>22.07</v>
      </c>
      <c r="K862" s="112">
        <v>82.260000000000005</v>
      </c>
      <c r="L862" s="88"/>
      <c r="M862" s="88"/>
    </row>
    <row r="863" ht="25.5">
      <c r="A863" s="108">
        <v>1201007121</v>
      </c>
      <c r="B863" s="109" t="s">
        <v>16333</v>
      </c>
      <c r="C863" s="110" t="s">
        <v>31</v>
      </c>
      <c r="D863" s="111">
        <v>969.48000000000002</v>
      </c>
      <c r="E863" s="111">
        <v>280.80000000000001</v>
      </c>
      <c r="F863" s="112">
        <v>1250.28</v>
      </c>
      <c r="H863" s="110" t="s">
        <v>31</v>
      </c>
      <c r="I863" s="111">
        <v>969.48000000000002</v>
      </c>
      <c r="J863" s="111">
        <v>259.67000000000002</v>
      </c>
      <c r="K863" s="112">
        <v>1229.1500000000001</v>
      </c>
      <c r="L863" s="88"/>
      <c r="M863" s="88"/>
    </row>
    <row r="864">
      <c r="A864" s="108">
        <v>1201007123</v>
      </c>
      <c r="B864" s="109" t="s">
        <v>16334</v>
      </c>
      <c r="C864" s="110" t="s">
        <v>31</v>
      </c>
      <c r="D864" s="111">
        <v>969.48000000000002</v>
      </c>
      <c r="E864" s="111">
        <v>280.80000000000001</v>
      </c>
      <c r="F864" s="112">
        <v>1250.28</v>
      </c>
      <c r="H864" s="110" t="s">
        <v>31</v>
      </c>
      <c r="I864" s="111">
        <v>969.48000000000002</v>
      </c>
      <c r="J864" s="111">
        <v>259.67000000000002</v>
      </c>
      <c r="K864" s="112">
        <v>1229.1500000000001</v>
      </c>
      <c r="L864" s="88"/>
      <c r="M864" s="88"/>
    </row>
    <row r="865">
      <c r="A865" s="108">
        <v>1201007126</v>
      </c>
      <c r="B865" s="109" t="s">
        <v>16335</v>
      </c>
      <c r="C865" s="110" t="s">
        <v>31</v>
      </c>
      <c r="D865" s="111">
        <v>1002.01</v>
      </c>
      <c r="E865" s="111">
        <v>280.80000000000001</v>
      </c>
      <c r="F865" s="112">
        <v>1282.8099999999999</v>
      </c>
      <c r="H865" s="110" t="s">
        <v>31</v>
      </c>
      <c r="I865" s="111">
        <v>1002.01</v>
      </c>
      <c r="J865" s="111">
        <v>259.67000000000002</v>
      </c>
      <c r="K865" s="112">
        <v>1261.6800000000001</v>
      </c>
      <c r="L865" s="88"/>
      <c r="M865" s="88"/>
    </row>
    <row r="866">
      <c r="A866" s="108">
        <v>1201007129</v>
      </c>
      <c r="B866" s="109" t="s">
        <v>16336</v>
      </c>
      <c r="C866" s="110" t="s">
        <v>31</v>
      </c>
      <c r="D866" s="111">
        <v>1002.01</v>
      </c>
      <c r="E866" s="111">
        <v>280.80000000000001</v>
      </c>
      <c r="F866" s="112">
        <v>1282.8099999999999</v>
      </c>
      <c r="H866" s="110" t="s">
        <v>31</v>
      </c>
      <c r="I866" s="111">
        <v>1002.01</v>
      </c>
      <c r="J866" s="111">
        <v>259.67000000000002</v>
      </c>
      <c r="K866" s="112">
        <v>1261.6800000000001</v>
      </c>
      <c r="L866" s="88"/>
      <c r="M866" s="88"/>
    </row>
    <row r="867" ht="25.5">
      <c r="A867" s="108">
        <v>1201007131</v>
      </c>
      <c r="B867" s="109" t="s">
        <v>16337</v>
      </c>
      <c r="C867" s="110" t="s">
        <v>31</v>
      </c>
      <c r="D867" s="111">
        <v>949.62</v>
      </c>
      <c r="E867" s="111">
        <v>280.80000000000001</v>
      </c>
      <c r="F867" s="112">
        <v>1230.4200000000001</v>
      </c>
      <c r="H867" s="110" t="s">
        <v>31</v>
      </c>
      <c r="I867" s="111">
        <v>949.62</v>
      </c>
      <c r="J867" s="111">
        <v>259.67000000000002</v>
      </c>
      <c r="K867" s="112">
        <v>1209.29</v>
      </c>
      <c r="L867" s="88"/>
      <c r="M867" s="88"/>
    </row>
    <row r="868">
      <c r="A868" s="108">
        <v>1201007134</v>
      </c>
      <c r="B868" s="109" t="s">
        <v>16338</v>
      </c>
      <c r="C868" s="110" t="s">
        <v>31</v>
      </c>
      <c r="D868" s="111">
        <v>1073.4400000000001</v>
      </c>
      <c r="E868" s="111">
        <v>290.35000000000002</v>
      </c>
      <c r="F868" s="112">
        <v>1363.79</v>
      </c>
      <c r="H868" s="110" t="s">
        <v>31</v>
      </c>
      <c r="I868" s="111">
        <v>1073.4400000000001</v>
      </c>
      <c r="J868" s="111">
        <v>268.50999999999999</v>
      </c>
      <c r="K868" s="112">
        <v>1341.95</v>
      </c>
      <c r="L868" s="88"/>
      <c r="M868" s="88"/>
    </row>
    <row r="869">
      <c r="A869" s="108">
        <v>1201007136</v>
      </c>
      <c r="B869" s="109" t="s">
        <v>16339</v>
      </c>
      <c r="C869" s="110" t="s">
        <v>31</v>
      </c>
      <c r="D869" s="111">
        <v>1355.8299999999999</v>
      </c>
      <c r="E869" s="111">
        <v>290.35000000000002</v>
      </c>
      <c r="F869" s="112">
        <v>1646.1800000000001</v>
      </c>
      <c r="H869" s="110" t="s">
        <v>31</v>
      </c>
      <c r="I869" s="111">
        <v>1355.8299999999999</v>
      </c>
      <c r="J869" s="111">
        <v>268.50999999999999</v>
      </c>
      <c r="K869" s="112">
        <v>1624.3399999999999</v>
      </c>
      <c r="L869" s="88"/>
      <c r="M869" s="88"/>
    </row>
    <row r="870">
      <c r="A870" s="108">
        <v>1201007138</v>
      </c>
      <c r="B870" s="109" t="s">
        <v>16340</v>
      </c>
      <c r="C870" s="110" t="s">
        <v>31</v>
      </c>
      <c r="D870" s="111">
        <v>1424.0799999999999</v>
      </c>
      <c r="E870" s="111">
        <v>290.35000000000002</v>
      </c>
      <c r="F870" s="112">
        <v>1714.4300000000001</v>
      </c>
      <c r="H870" s="110" t="s">
        <v>31</v>
      </c>
      <c r="I870" s="111">
        <v>1424.0799999999999</v>
      </c>
      <c r="J870" s="111">
        <v>268.50999999999999</v>
      </c>
      <c r="K870" s="112">
        <v>1692.5899999999999</v>
      </c>
      <c r="L870" s="88"/>
      <c r="M870" s="88"/>
    </row>
    <row r="871" ht="25.5">
      <c r="A871" s="108">
        <v>1201007140</v>
      </c>
      <c r="B871" s="109" t="s">
        <v>16341</v>
      </c>
      <c r="C871" s="110" t="s">
        <v>31</v>
      </c>
      <c r="D871" s="111">
        <v>0</v>
      </c>
      <c r="E871" s="111">
        <v>9.5399999999999991</v>
      </c>
      <c r="F871" s="112">
        <v>9.5399999999999991</v>
      </c>
      <c r="H871" s="110" t="s">
        <v>31</v>
      </c>
      <c r="I871" s="111">
        <v>0</v>
      </c>
      <c r="J871" s="111">
        <v>8.8200000000000003</v>
      </c>
      <c r="K871" s="112">
        <v>8.8200000000000003</v>
      </c>
      <c r="L871" s="88"/>
      <c r="M871" s="88"/>
    </row>
    <row r="872">
      <c r="A872" s="108">
        <v>1201007142</v>
      </c>
      <c r="B872" s="109" t="s">
        <v>16342</v>
      </c>
      <c r="C872" s="110" t="s">
        <v>31</v>
      </c>
      <c r="D872" s="111">
        <v>0</v>
      </c>
      <c r="E872" s="111">
        <v>95.480000000000004</v>
      </c>
      <c r="F872" s="112">
        <v>95.480000000000004</v>
      </c>
      <c r="H872" s="110" t="s">
        <v>31</v>
      </c>
      <c r="I872" s="111">
        <v>0</v>
      </c>
      <c r="J872" s="111">
        <v>88.299999999999997</v>
      </c>
      <c r="K872" s="112">
        <v>88.299999999999997</v>
      </c>
      <c r="L872" s="88"/>
      <c r="M872" s="88"/>
    </row>
    <row r="873">
      <c r="A873" s="108">
        <v>1201007144</v>
      </c>
      <c r="B873" s="109" t="s">
        <v>16343</v>
      </c>
      <c r="C873" s="110" t="s">
        <v>31</v>
      </c>
      <c r="D873" s="111">
        <v>0</v>
      </c>
      <c r="E873" s="111">
        <v>119.34</v>
      </c>
      <c r="F873" s="112">
        <v>119.34</v>
      </c>
      <c r="H873" s="110" t="s">
        <v>31</v>
      </c>
      <c r="I873" s="111">
        <v>0</v>
      </c>
      <c r="J873" s="111">
        <v>110.37</v>
      </c>
      <c r="K873" s="112">
        <v>110.37</v>
      </c>
      <c r="L873" s="88"/>
      <c r="M873" s="88"/>
    </row>
    <row r="874">
      <c r="A874" s="108">
        <v>1201007146</v>
      </c>
      <c r="B874" s="109" t="s">
        <v>16344</v>
      </c>
      <c r="C874" s="110" t="s">
        <v>31</v>
      </c>
      <c r="D874" s="111">
        <v>0</v>
      </c>
      <c r="E874" s="111">
        <v>190.96000000000001</v>
      </c>
      <c r="F874" s="112">
        <v>190.96000000000001</v>
      </c>
      <c r="H874" s="110" t="s">
        <v>31</v>
      </c>
      <c r="I874" s="111">
        <v>0</v>
      </c>
      <c r="J874" s="111">
        <v>176.59999999999999</v>
      </c>
      <c r="K874" s="112">
        <v>176.59999999999999</v>
      </c>
      <c r="L874" s="88"/>
      <c r="M874" s="88"/>
    </row>
    <row r="875" ht="25.5">
      <c r="A875" s="108">
        <v>1201007148</v>
      </c>
      <c r="B875" s="109" t="s">
        <v>16345</v>
      </c>
      <c r="C875" s="110" t="s">
        <v>31</v>
      </c>
      <c r="D875" s="111">
        <v>0</v>
      </c>
      <c r="E875" s="111">
        <v>9.5399999999999991</v>
      </c>
      <c r="F875" s="112">
        <v>9.5399999999999991</v>
      </c>
      <c r="H875" s="110" t="s">
        <v>31</v>
      </c>
      <c r="I875" s="111">
        <v>0</v>
      </c>
      <c r="J875" s="111">
        <v>8.8200000000000003</v>
      </c>
      <c r="K875" s="112">
        <v>8.8200000000000003</v>
      </c>
      <c r="L875" s="88"/>
      <c r="M875" s="88"/>
    </row>
    <row r="876">
      <c r="A876" s="108">
        <v>1201007150</v>
      </c>
      <c r="B876" s="109" t="s">
        <v>16346</v>
      </c>
      <c r="C876" s="110" t="s">
        <v>31</v>
      </c>
      <c r="D876" s="111">
        <v>0</v>
      </c>
      <c r="E876" s="111">
        <v>9.5399999999999991</v>
      </c>
      <c r="F876" s="112">
        <v>9.5399999999999991</v>
      </c>
      <c r="H876" s="110" t="s">
        <v>31</v>
      </c>
      <c r="I876" s="111">
        <v>0</v>
      </c>
      <c r="J876" s="111">
        <v>8.8200000000000003</v>
      </c>
      <c r="K876" s="112">
        <v>8.8200000000000003</v>
      </c>
      <c r="L876" s="88"/>
      <c r="M876" s="88"/>
    </row>
    <row r="877">
      <c r="A877" s="108">
        <v>1201007152</v>
      </c>
      <c r="B877" s="109" t="s">
        <v>16347</v>
      </c>
      <c r="C877" s="110" t="s">
        <v>31</v>
      </c>
      <c r="D877" s="111">
        <v>0</v>
      </c>
      <c r="E877" s="111">
        <v>9.5399999999999991</v>
      </c>
      <c r="F877" s="112">
        <v>9.5399999999999991</v>
      </c>
      <c r="H877" s="110" t="s">
        <v>31</v>
      </c>
      <c r="I877" s="111">
        <v>0</v>
      </c>
      <c r="J877" s="111">
        <v>8.8200000000000003</v>
      </c>
      <c r="K877" s="112">
        <v>8.8200000000000003</v>
      </c>
      <c r="L877" s="88"/>
      <c r="M877" s="88"/>
    </row>
    <row r="878">
      <c r="A878" s="108">
        <v>1201007154</v>
      </c>
      <c r="B878" s="109" t="s">
        <v>16348</v>
      </c>
      <c r="C878" s="110" t="s">
        <v>31</v>
      </c>
      <c r="D878" s="111">
        <v>0</v>
      </c>
      <c r="E878" s="111">
        <v>57.280000000000001</v>
      </c>
      <c r="F878" s="112">
        <v>57.280000000000001</v>
      </c>
      <c r="H878" s="110" t="s">
        <v>31</v>
      </c>
      <c r="I878" s="111">
        <v>0</v>
      </c>
      <c r="J878" s="111">
        <v>52.969999999999999</v>
      </c>
      <c r="K878" s="112">
        <v>52.969999999999999</v>
      </c>
      <c r="L878" s="88"/>
      <c r="M878" s="88"/>
    </row>
    <row r="879">
      <c r="A879" s="108">
        <v>1201007156</v>
      </c>
      <c r="B879" s="109" t="s">
        <v>16349</v>
      </c>
      <c r="C879" s="110" t="s">
        <v>38</v>
      </c>
      <c r="D879" s="111">
        <v>0</v>
      </c>
      <c r="E879" s="111">
        <v>5.7199999999999998</v>
      </c>
      <c r="F879" s="112">
        <v>5.7199999999999998</v>
      </c>
      <c r="H879" s="110" t="s">
        <v>38</v>
      </c>
      <c r="I879" s="111">
        <v>0</v>
      </c>
      <c r="J879" s="111">
        <v>5.2800000000000002</v>
      </c>
      <c r="K879" s="112">
        <v>5.2800000000000002</v>
      </c>
      <c r="L879" s="88"/>
      <c r="M879" s="88"/>
    </row>
    <row r="880">
      <c r="A880" s="108">
        <v>1201007158</v>
      </c>
      <c r="B880" s="109" t="s">
        <v>16350</v>
      </c>
      <c r="C880" s="110" t="s">
        <v>38</v>
      </c>
      <c r="D880" s="111">
        <v>0</v>
      </c>
      <c r="E880" s="111">
        <v>7.1500000000000004</v>
      </c>
      <c r="F880" s="112">
        <v>7.1500000000000004</v>
      </c>
      <c r="H880" s="110" t="s">
        <v>38</v>
      </c>
      <c r="I880" s="111">
        <v>0</v>
      </c>
      <c r="J880" s="111">
        <v>6.6200000000000001</v>
      </c>
      <c r="K880" s="112">
        <v>6.6200000000000001</v>
      </c>
      <c r="L880" s="88"/>
      <c r="M880" s="88"/>
    </row>
    <row r="881">
      <c r="A881" s="108">
        <v>1201007160</v>
      </c>
      <c r="B881" s="109" t="s">
        <v>16351</v>
      </c>
      <c r="C881" s="110" t="s">
        <v>38</v>
      </c>
      <c r="D881" s="111">
        <v>0</v>
      </c>
      <c r="E881" s="111">
        <v>11.93</v>
      </c>
      <c r="F881" s="112">
        <v>11.93</v>
      </c>
      <c r="H881" s="110" t="s">
        <v>38</v>
      </c>
      <c r="I881" s="111">
        <v>0</v>
      </c>
      <c r="J881" s="111">
        <v>11.029999999999999</v>
      </c>
      <c r="K881" s="112">
        <v>11.029999999999999</v>
      </c>
      <c r="L881" s="88"/>
      <c r="M881" s="88"/>
    </row>
    <row r="882">
      <c r="A882" s="108">
        <v>1201007162</v>
      </c>
      <c r="B882" s="109" t="s">
        <v>16352</v>
      </c>
      <c r="C882" s="110" t="s">
        <v>31</v>
      </c>
      <c r="D882" s="111">
        <v>0</v>
      </c>
      <c r="E882" s="111">
        <v>2.3799999999999999</v>
      </c>
      <c r="F882" s="112">
        <v>2.3799999999999999</v>
      </c>
      <c r="H882" s="110" t="s">
        <v>31</v>
      </c>
      <c r="I882" s="111">
        <v>0</v>
      </c>
      <c r="J882" s="111">
        <v>2.2000000000000002</v>
      </c>
      <c r="K882" s="112">
        <v>2.2000000000000002</v>
      </c>
      <c r="L882" s="88"/>
      <c r="M882" s="88"/>
    </row>
    <row r="883">
      <c r="D883" s="113"/>
      <c r="E883" s="113"/>
      <c r="F883" s="114"/>
      <c r="H883" s="88"/>
      <c r="I883" s="113"/>
      <c r="J883" s="113"/>
      <c r="K883" s="114"/>
      <c r="L883" s="88"/>
      <c r="M883" s="88"/>
    </row>
    <row r="884">
      <c r="B884" s="89" t="s">
        <v>16353</v>
      </c>
      <c r="D884" s="113"/>
      <c r="E884" s="113"/>
      <c r="F884" s="114"/>
      <c r="H884" s="88"/>
      <c r="I884" s="113"/>
      <c r="J884" s="113"/>
      <c r="K884" s="114"/>
      <c r="L884" s="88"/>
      <c r="M884" s="88"/>
    </row>
    <row r="885" ht="63.75">
      <c r="A885" s="108">
        <v>1201008008</v>
      </c>
      <c r="B885" s="109" t="s">
        <v>16354</v>
      </c>
      <c r="C885" s="110" t="s">
        <v>31</v>
      </c>
      <c r="D885" s="111">
        <v>33001.910000000003</v>
      </c>
      <c r="E885" s="111">
        <v>3044.8000000000002</v>
      </c>
      <c r="F885" s="112">
        <v>36046.709999999999</v>
      </c>
      <c r="H885" s="110" t="s">
        <v>31</v>
      </c>
      <c r="I885" s="111">
        <v>32877.230000000003</v>
      </c>
      <c r="J885" s="111">
        <v>2811.1999999999998</v>
      </c>
      <c r="K885" s="112">
        <v>35688.43</v>
      </c>
      <c r="L885" s="88"/>
      <c r="M885" s="88"/>
    </row>
    <row r="886" ht="63.75">
      <c r="A886" s="108">
        <v>1201008010</v>
      </c>
      <c r="B886" s="109" t="s">
        <v>16355</v>
      </c>
      <c r="C886" s="110" t="s">
        <v>31</v>
      </c>
      <c r="D886" s="111">
        <v>37707.209999999999</v>
      </c>
      <c r="E886" s="111">
        <v>3044.8000000000002</v>
      </c>
      <c r="F886" s="112">
        <v>40752.010000000002</v>
      </c>
      <c r="H886" s="110" t="s">
        <v>31</v>
      </c>
      <c r="I886" s="111">
        <v>37582.529999999999</v>
      </c>
      <c r="J886" s="111">
        <v>2811.1999999999998</v>
      </c>
      <c r="K886" s="112">
        <v>40393.730000000003</v>
      </c>
      <c r="L886" s="88"/>
      <c r="M886" s="88"/>
    </row>
    <row r="887" ht="63.75">
      <c r="A887" s="108">
        <v>1201008012</v>
      </c>
      <c r="B887" s="109" t="s">
        <v>16356</v>
      </c>
      <c r="C887" s="110" t="s">
        <v>31</v>
      </c>
      <c r="D887" s="111">
        <v>45233.18</v>
      </c>
      <c r="E887" s="111">
        <v>3044.8000000000002</v>
      </c>
      <c r="F887" s="112">
        <v>48277.980000000003</v>
      </c>
      <c r="H887" s="110" t="s">
        <v>31</v>
      </c>
      <c r="I887" s="111">
        <v>45108.5</v>
      </c>
      <c r="J887" s="111">
        <v>2811.1999999999998</v>
      </c>
      <c r="K887" s="112">
        <v>47919.699999999997</v>
      </c>
      <c r="L887" s="88"/>
      <c r="M887" s="88"/>
    </row>
    <row r="888" ht="63.75">
      <c r="A888" s="108">
        <v>1201008014</v>
      </c>
      <c r="B888" s="109" t="s">
        <v>16357</v>
      </c>
      <c r="C888" s="110" t="s">
        <v>31</v>
      </c>
      <c r="D888" s="111">
        <v>56571.720000000001</v>
      </c>
      <c r="E888" s="111">
        <v>3577.6399999999999</v>
      </c>
      <c r="F888" s="112">
        <v>60149.360000000001</v>
      </c>
      <c r="H888" s="110" t="s">
        <v>31</v>
      </c>
      <c r="I888" s="111">
        <v>56447.040000000001</v>
      </c>
      <c r="J888" s="111">
        <v>3303.1599999999999</v>
      </c>
      <c r="K888" s="112">
        <v>59750.199999999997</v>
      </c>
      <c r="L888" s="88"/>
      <c r="M888" s="88"/>
    </row>
    <row r="889" ht="63.75">
      <c r="A889" s="108">
        <v>1201008030</v>
      </c>
      <c r="B889" s="109" t="s">
        <v>16358</v>
      </c>
      <c r="C889" s="110" t="s">
        <v>31</v>
      </c>
      <c r="D889" s="111">
        <v>71968.229999999996</v>
      </c>
      <c r="E889" s="111">
        <v>5100.04</v>
      </c>
      <c r="F889" s="112">
        <v>77068.270000000004</v>
      </c>
      <c r="H889" s="110" t="s">
        <v>31</v>
      </c>
      <c r="I889" s="111">
        <v>71843.550000000003</v>
      </c>
      <c r="J889" s="111">
        <v>4708.7600000000002</v>
      </c>
      <c r="K889" s="112">
        <v>76552.309999999998</v>
      </c>
      <c r="L889" s="88"/>
      <c r="M889" s="88"/>
    </row>
    <row r="890" ht="63.75">
      <c r="A890" s="108">
        <v>1201008032</v>
      </c>
      <c r="B890" s="109" t="s">
        <v>16359</v>
      </c>
      <c r="C890" s="110" t="s">
        <v>31</v>
      </c>
      <c r="D890" s="111">
        <v>94582.320000000007</v>
      </c>
      <c r="E890" s="111">
        <v>6622.4399999999996</v>
      </c>
      <c r="F890" s="112">
        <v>101204.75999999999</v>
      </c>
      <c r="H890" s="110" t="s">
        <v>31</v>
      </c>
      <c r="I890" s="111">
        <v>94457.639999999999</v>
      </c>
      <c r="J890" s="111">
        <v>6114.3599999999997</v>
      </c>
      <c r="K890" s="112">
        <v>100572</v>
      </c>
      <c r="L890" s="88"/>
      <c r="M890" s="88"/>
    </row>
    <row r="891" ht="63.75">
      <c r="A891" s="108">
        <v>1201008033</v>
      </c>
      <c r="B891" s="109" t="s">
        <v>16360</v>
      </c>
      <c r="C891" s="110" t="s">
        <v>31</v>
      </c>
      <c r="D891" s="111">
        <v>109554.56</v>
      </c>
      <c r="E891" s="111">
        <v>6622.4399999999996</v>
      </c>
      <c r="F891" s="112">
        <v>116177</v>
      </c>
      <c r="H891" s="110" t="s">
        <v>31</v>
      </c>
      <c r="I891" s="111">
        <v>109429.88</v>
      </c>
      <c r="J891" s="111">
        <v>6114.3599999999997</v>
      </c>
      <c r="K891" s="112">
        <v>115544.24000000001</v>
      </c>
      <c r="L891" s="88"/>
      <c r="M891" s="88"/>
    </row>
    <row r="892">
      <c r="A892" s="108">
        <v>1201008034</v>
      </c>
      <c r="B892" s="109" t="s">
        <v>16361</v>
      </c>
      <c r="C892" s="110" t="s">
        <v>31</v>
      </c>
      <c r="D892" s="111">
        <v>6531.6599999999999</v>
      </c>
      <c r="E892" s="111">
        <v>4535.71</v>
      </c>
      <c r="F892" s="112">
        <v>11067.370000000001</v>
      </c>
      <c r="H892" s="110" t="s">
        <v>31</v>
      </c>
      <c r="I892" s="111">
        <v>6514.7799999999997</v>
      </c>
      <c r="J892" s="111">
        <v>4189.3900000000003</v>
      </c>
      <c r="K892" s="112">
        <v>10704.17</v>
      </c>
      <c r="L892" s="88"/>
      <c r="M892" s="88"/>
    </row>
    <row r="893" ht="38.25">
      <c r="A893" s="108">
        <v>1201008046</v>
      </c>
      <c r="B893" s="109" t="s">
        <v>16362</v>
      </c>
      <c r="C893" s="110" t="s">
        <v>31</v>
      </c>
      <c r="D893" s="111">
        <v>1779.54</v>
      </c>
      <c r="E893" s="111">
        <v>124.44</v>
      </c>
      <c r="F893" s="112">
        <v>1903.98</v>
      </c>
      <c r="H893" s="110" t="s">
        <v>31</v>
      </c>
      <c r="I893" s="111">
        <v>1771.8699999999999</v>
      </c>
      <c r="J893" s="111">
        <v>115.56</v>
      </c>
      <c r="K893" s="112">
        <v>1887.4300000000001</v>
      </c>
      <c r="L893" s="88"/>
      <c r="M893" s="88"/>
    </row>
    <row r="894" ht="38.25">
      <c r="A894" s="108">
        <v>1201008050</v>
      </c>
      <c r="B894" s="109" t="s">
        <v>16363</v>
      </c>
      <c r="C894" s="110" t="s">
        <v>31</v>
      </c>
      <c r="D894" s="111">
        <v>2628.3600000000001</v>
      </c>
      <c r="E894" s="111">
        <v>124.44</v>
      </c>
      <c r="F894" s="112">
        <v>2752.8000000000002</v>
      </c>
      <c r="H894" s="110" t="s">
        <v>31</v>
      </c>
      <c r="I894" s="111">
        <v>2619.7399999999998</v>
      </c>
      <c r="J894" s="111">
        <v>115.56</v>
      </c>
      <c r="K894" s="112">
        <v>2735.3000000000002</v>
      </c>
      <c r="L894" s="88"/>
      <c r="M894" s="88"/>
    </row>
    <row r="895" ht="38.25">
      <c r="A895" s="108">
        <v>1201008062</v>
      </c>
      <c r="B895" s="109" t="s">
        <v>16364</v>
      </c>
      <c r="C895" s="110" t="s">
        <v>31</v>
      </c>
      <c r="D895" s="111">
        <v>2612.71</v>
      </c>
      <c r="E895" s="111">
        <v>124.44</v>
      </c>
      <c r="F895" s="112">
        <v>2737.1500000000001</v>
      </c>
      <c r="H895" s="110" t="s">
        <v>31</v>
      </c>
      <c r="I895" s="111">
        <v>2604.0900000000001</v>
      </c>
      <c r="J895" s="111">
        <v>115.56</v>
      </c>
      <c r="K895" s="112">
        <v>2719.6500000000001</v>
      </c>
      <c r="L895" s="88"/>
      <c r="M895" s="88"/>
    </row>
    <row r="896" ht="38.25">
      <c r="A896" s="108">
        <v>1201008104</v>
      </c>
      <c r="B896" s="109" t="s">
        <v>16365</v>
      </c>
      <c r="C896" s="110" t="s">
        <v>31</v>
      </c>
      <c r="D896" s="111">
        <v>1340.9300000000001</v>
      </c>
      <c r="E896" s="111">
        <v>124.44</v>
      </c>
      <c r="F896" s="112">
        <v>1465.3699999999999</v>
      </c>
      <c r="H896" s="110" t="s">
        <v>31</v>
      </c>
      <c r="I896" s="111">
        <v>1333.26</v>
      </c>
      <c r="J896" s="111">
        <v>115.56</v>
      </c>
      <c r="K896" s="112">
        <v>1448.8199999999999</v>
      </c>
      <c r="L896" s="88"/>
      <c r="M896" s="88"/>
    </row>
    <row r="897" ht="38.25">
      <c r="A897" s="108">
        <v>1201008107</v>
      </c>
      <c r="B897" s="109" t="s">
        <v>16366</v>
      </c>
      <c r="C897" s="110" t="s">
        <v>31</v>
      </c>
      <c r="D897" s="111">
        <v>2237.6199999999999</v>
      </c>
      <c r="E897" s="111">
        <v>124.44</v>
      </c>
      <c r="F897" s="112">
        <v>2362.0599999999999</v>
      </c>
      <c r="H897" s="110" t="s">
        <v>31</v>
      </c>
      <c r="I897" s="111">
        <v>2229</v>
      </c>
      <c r="J897" s="111">
        <v>115.56</v>
      </c>
      <c r="K897" s="112">
        <v>2344.5599999999999</v>
      </c>
      <c r="L897" s="88"/>
      <c r="M897" s="88"/>
    </row>
    <row r="898" ht="38.25">
      <c r="A898" s="108">
        <v>1201008109</v>
      </c>
      <c r="B898" s="109" t="s">
        <v>16367</v>
      </c>
      <c r="C898" s="110" t="s">
        <v>31</v>
      </c>
      <c r="D898" s="111">
        <v>2325.0700000000002</v>
      </c>
      <c r="E898" s="111">
        <v>124.44</v>
      </c>
      <c r="F898" s="112">
        <v>2449.5100000000002</v>
      </c>
      <c r="H898" s="110" t="s">
        <v>31</v>
      </c>
      <c r="I898" s="111">
        <v>2313.5100000000002</v>
      </c>
      <c r="J898" s="111">
        <v>115.56</v>
      </c>
      <c r="K898" s="112">
        <v>2429.0700000000002</v>
      </c>
      <c r="L898" s="88"/>
      <c r="M898" s="88"/>
    </row>
    <row r="899" ht="38.25">
      <c r="A899" s="108">
        <v>1201008111</v>
      </c>
      <c r="B899" s="109" t="s">
        <v>16368</v>
      </c>
      <c r="C899" s="110" t="s">
        <v>31</v>
      </c>
      <c r="D899" s="111">
        <v>2951.5500000000002</v>
      </c>
      <c r="E899" s="111">
        <v>124.44</v>
      </c>
      <c r="F899" s="112">
        <v>3075.9899999999998</v>
      </c>
      <c r="H899" s="110" t="s">
        <v>31</v>
      </c>
      <c r="I899" s="111">
        <v>2939.9899999999998</v>
      </c>
      <c r="J899" s="111">
        <v>115.56</v>
      </c>
      <c r="K899" s="112">
        <v>3055.5500000000002</v>
      </c>
      <c r="L899" s="88"/>
      <c r="M899" s="88"/>
    </row>
    <row r="900" ht="38.25">
      <c r="A900" s="108">
        <v>1201008113</v>
      </c>
      <c r="B900" s="109" t="s">
        <v>16369</v>
      </c>
      <c r="C900" s="110" t="s">
        <v>31</v>
      </c>
      <c r="D900" s="111">
        <v>181452.95000000001</v>
      </c>
      <c r="E900" s="111">
        <v>257.56</v>
      </c>
      <c r="F900" s="112">
        <v>181710.51000000001</v>
      </c>
      <c r="H900" s="110" t="s">
        <v>31</v>
      </c>
      <c r="I900" s="111">
        <v>181452.95000000001</v>
      </c>
      <c r="J900" s="111">
        <v>238.31</v>
      </c>
      <c r="K900" s="112">
        <v>181691.26000000001</v>
      </c>
      <c r="L900" s="88"/>
      <c r="M900" s="88"/>
    </row>
    <row r="901" ht="38.25">
      <c r="A901" s="108">
        <v>1201008114</v>
      </c>
      <c r="B901" s="109" t="s">
        <v>16370</v>
      </c>
      <c r="C901" s="110" t="s">
        <v>31</v>
      </c>
      <c r="D901" s="111">
        <v>12866.389999999999</v>
      </c>
      <c r="E901" s="111">
        <v>46.829999999999998</v>
      </c>
      <c r="F901" s="112">
        <v>12913.219999999999</v>
      </c>
      <c r="H901" s="110" t="s">
        <v>31</v>
      </c>
      <c r="I901" s="111">
        <v>12866.389999999999</v>
      </c>
      <c r="J901" s="111">
        <v>43.329999999999998</v>
      </c>
      <c r="K901" s="112">
        <v>12909.719999999999</v>
      </c>
      <c r="L901" s="88"/>
      <c r="M901" s="88"/>
    </row>
    <row r="902" ht="51">
      <c r="A902" s="69">
        <v>1201008116</v>
      </c>
      <c r="B902" s="89" t="s">
        <v>16371</v>
      </c>
      <c r="C902" s="88" t="s">
        <v>31</v>
      </c>
      <c r="D902" s="113"/>
      <c r="E902" s="113"/>
      <c r="F902" s="114">
        <v>16173.790000000001</v>
      </c>
      <c r="H902" s="88" t="s">
        <v>31</v>
      </c>
      <c r="I902" s="113"/>
      <c r="J902" s="113"/>
      <c r="K902" s="114">
        <v>16142.15</v>
      </c>
      <c r="L902" s="88"/>
      <c r="M902" s="88"/>
    </row>
    <row r="903" ht="51">
      <c r="A903" s="69">
        <v>1201008118</v>
      </c>
      <c r="B903" s="89" t="s">
        <v>16372</v>
      </c>
      <c r="C903" s="88" t="s">
        <v>31</v>
      </c>
      <c r="D903" s="113"/>
      <c r="E903" s="113"/>
      <c r="F903" s="114">
        <v>18024.630000000001</v>
      </c>
      <c r="H903" s="88" t="s">
        <v>31</v>
      </c>
      <c r="I903" s="113"/>
      <c r="J903" s="113"/>
      <c r="K903" s="114">
        <v>17992.439999999999</v>
      </c>
      <c r="L903" s="88"/>
      <c r="M903" s="88"/>
    </row>
    <row r="904" ht="51">
      <c r="A904" s="69">
        <v>1201008119</v>
      </c>
      <c r="B904" s="89" t="s">
        <v>16373</v>
      </c>
      <c r="C904" s="88" t="s">
        <v>31</v>
      </c>
      <c r="D904" s="113"/>
      <c r="E904" s="113"/>
      <c r="F904" s="114">
        <v>58503.160000000003</v>
      </c>
      <c r="H904" s="88" t="s">
        <v>31</v>
      </c>
      <c r="I904" s="113"/>
      <c r="J904" s="113"/>
      <c r="K904" s="114">
        <v>58465.32</v>
      </c>
      <c r="L904" s="88"/>
      <c r="M904" s="88"/>
    </row>
    <row r="905" ht="51">
      <c r="A905" s="69">
        <v>1201008120</v>
      </c>
      <c r="B905" s="89" t="s">
        <v>16374</v>
      </c>
      <c r="C905" s="88" t="s">
        <v>31</v>
      </c>
      <c r="D905" s="113"/>
      <c r="E905" s="113"/>
      <c r="F905" s="114">
        <v>23193.060000000001</v>
      </c>
      <c r="H905" s="88" t="s">
        <v>31</v>
      </c>
      <c r="I905" s="113"/>
      <c r="J905" s="113"/>
      <c r="K905" s="114">
        <v>23159.950000000001</v>
      </c>
      <c r="L905" s="88"/>
      <c r="M905" s="88"/>
    </row>
    <row r="906" ht="38.25">
      <c r="A906" s="108">
        <v>1201008121</v>
      </c>
      <c r="B906" s="109" t="s">
        <v>16375</v>
      </c>
      <c r="C906" s="110" t="s">
        <v>31</v>
      </c>
      <c r="D906" s="111">
        <v>94481.619999999995</v>
      </c>
      <c r="E906" s="111">
        <v>210.72999999999999</v>
      </c>
      <c r="F906" s="112">
        <v>94692.350000000006</v>
      </c>
      <c r="H906" s="110" t="s">
        <v>31</v>
      </c>
      <c r="I906" s="111">
        <v>94481.619999999995</v>
      </c>
      <c r="J906" s="111">
        <v>194.97999999999999</v>
      </c>
      <c r="K906" s="112">
        <v>94676.600000000006</v>
      </c>
      <c r="L906" s="88"/>
      <c r="M906" s="88"/>
    </row>
    <row r="907" ht="51">
      <c r="A907" s="69">
        <v>1201008122</v>
      </c>
      <c r="B907" s="89" t="s">
        <v>16376</v>
      </c>
      <c r="C907" s="88" t="s">
        <v>31</v>
      </c>
      <c r="D907" s="113"/>
      <c r="E907" s="113"/>
      <c r="F907" s="114">
        <v>28563.720000000001</v>
      </c>
      <c r="H907" s="88" t="s">
        <v>31</v>
      </c>
      <c r="I907" s="113"/>
      <c r="J907" s="113"/>
      <c r="K907" s="114">
        <v>28529.669999999998</v>
      </c>
      <c r="L907" s="88"/>
      <c r="M907" s="88"/>
    </row>
    <row r="908" ht="51">
      <c r="A908" s="69">
        <v>1201008123</v>
      </c>
      <c r="B908" s="89" t="s">
        <v>16377</v>
      </c>
      <c r="C908" s="88" t="s">
        <v>31</v>
      </c>
      <c r="D908" s="113"/>
      <c r="E908" s="113"/>
      <c r="F908" s="114">
        <v>35903.900000000001</v>
      </c>
      <c r="H908" s="88" t="s">
        <v>31</v>
      </c>
      <c r="I908" s="113"/>
      <c r="J908" s="113"/>
      <c r="K908" s="114">
        <v>35869.309999999998</v>
      </c>
      <c r="L908" s="88"/>
      <c r="M908" s="88"/>
    </row>
    <row r="909" ht="51">
      <c r="A909" s="69">
        <v>1201008124</v>
      </c>
      <c r="B909" s="89" t="s">
        <v>16378</v>
      </c>
      <c r="C909" s="88" t="s">
        <v>31</v>
      </c>
      <c r="D909" s="113"/>
      <c r="E909" s="113"/>
      <c r="F909" s="114">
        <v>50202.699999999997</v>
      </c>
      <c r="H909" s="88" t="s">
        <v>31</v>
      </c>
      <c r="I909" s="113"/>
      <c r="J909" s="113"/>
      <c r="K909" s="114">
        <v>50166.089999999997</v>
      </c>
      <c r="L909" s="88"/>
      <c r="M909" s="88"/>
    </row>
    <row r="910" ht="38.25">
      <c r="A910" s="108">
        <v>1201008125</v>
      </c>
      <c r="B910" s="109" t="s">
        <v>16379</v>
      </c>
      <c r="C910" s="110" t="s">
        <v>31</v>
      </c>
      <c r="D910" s="111">
        <v>129597.69</v>
      </c>
      <c r="E910" s="111">
        <v>234.15000000000001</v>
      </c>
      <c r="F910" s="112">
        <v>129831.84</v>
      </c>
      <c r="H910" s="110" t="s">
        <v>31</v>
      </c>
      <c r="I910" s="111">
        <v>129597.69</v>
      </c>
      <c r="J910" s="111">
        <v>216.65000000000001</v>
      </c>
      <c r="K910" s="112">
        <v>129814.34</v>
      </c>
      <c r="L910" s="88"/>
      <c r="M910" s="88"/>
    </row>
    <row r="911" ht="25.5">
      <c r="A911" s="108">
        <v>1201008126</v>
      </c>
      <c r="B911" s="109" t="s">
        <v>16380</v>
      </c>
      <c r="C911" s="110" t="s">
        <v>31</v>
      </c>
      <c r="D911" s="111">
        <v>205.44999999999999</v>
      </c>
      <c r="E911" s="111">
        <v>14.31</v>
      </c>
      <c r="F911" s="112">
        <v>219.75999999999999</v>
      </c>
      <c r="H911" s="110" t="s">
        <v>31</v>
      </c>
      <c r="I911" s="111">
        <v>205.44999999999999</v>
      </c>
      <c r="J911" s="111">
        <v>13.24</v>
      </c>
      <c r="K911" s="112">
        <v>218.69</v>
      </c>
      <c r="L911" s="88"/>
      <c r="M911" s="88"/>
    </row>
    <row r="912">
      <c r="A912" s="108">
        <v>1201008127</v>
      </c>
      <c r="B912" s="109" t="s">
        <v>16381</v>
      </c>
      <c r="C912" s="110" t="s">
        <v>31</v>
      </c>
      <c r="D912" s="111">
        <v>167.44</v>
      </c>
      <c r="E912" s="111">
        <v>14.31</v>
      </c>
      <c r="F912" s="112">
        <v>181.75</v>
      </c>
      <c r="H912" s="110" t="s">
        <v>31</v>
      </c>
      <c r="I912" s="111">
        <v>167.44</v>
      </c>
      <c r="J912" s="111">
        <v>13.24</v>
      </c>
      <c r="K912" s="112">
        <v>180.68000000000001</v>
      </c>
      <c r="L912" s="88"/>
      <c r="M912" s="88"/>
    </row>
    <row r="913">
      <c r="A913" s="108">
        <v>1201008128</v>
      </c>
      <c r="B913" s="109" t="s">
        <v>16382</v>
      </c>
      <c r="C913" s="110" t="s">
        <v>31</v>
      </c>
      <c r="D913" s="111">
        <v>43.630000000000003</v>
      </c>
      <c r="E913" s="111">
        <v>4.7599999999999998</v>
      </c>
      <c r="F913" s="112">
        <v>48.390000000000001</v>
      </c>
      <c r="H913" s="110" t="s">
        <v>31</v>
      </c>
      <c r="I913" s="111">
        <v>43.630000000000003</v>
      </c>
      <c r="J913" s="111">
        <v>4.4000000000000004</v>
      </c>
      <c r="K913" s="112">
        <v>48.030000000000001</v>
      </c>
      <c r="L913" s="88"/>
      <c r="M913" s="88"/>
    </row>
    <row r="914">
      <c r="A914" s="108">
        <v>1201008129</v>
      </c>
      <c r="B914" s="109" t="s">
        <v>16383</v>
      </c>
      <c r="C914" s="110" t="s">
        <v>31</v>
      </c>
      <c r="D914" s="111">
        <v>146.75</v>
      </c>
      <c r="E914" s="111">
        <v>4.7599999999999998</v>
      </c>
      <c r="F914" s="112">
        <v>151.50999999999999</v>
      </c>
      <c r="H914" s="110" t="s">
        <v>31</v>
      </c>
      <c r="I914" s="111">
        <v>146.75</v>
      </c>
      <c r="J914" s="111">
        <v>4.4000000000000004</v>
      </c>
      <c r="K914" s="112">
        <v>151.15000000000001</v>
      </c>
      <c r="L914" s="88"/>
      <c r="M914" s="88"/>
    </row>
    <row r="915" ht="38.25">
      <c r="A915" s="108">
        <v>1201008130</v>
      </c>
      <c r="B915" s="109" t="s">
        <v>16384</v>
      </c>
      <c r="C915" s="110" t="s">
        <v>31</v>
      </c>
      <c r="D915" s="111">
        <v>70.829999999999998</v>
      </c>
      <c r="E915" s="111">
        <v>9.5399999999999991</v>
      </c>
      <c r="F915" s="112">
        <v>80.370000000000005</v>
      </c>
      <c r="H915" s="110" t="s">
        <v>31</v>
      </c>
      <c r="I915" s="111">
        <v>70.829999999999998</v>
      </c>
      <c r="J915" s="111">
        <v>8.8200000000000003</v>
      </c>
      <c r="K915" s="112">
        <v>79.650000000000006</v>
      </c>
      <c r="L915" s="88"/>
      <c r="M915" s="88"/>
    </row>
    <row r="916" ht="25.5">
      <c r="A916" s="108">
        <v>1201008131</v>
      </c>
      <c r="B916" s="109" t="s">
        <v>16385</v>
      </c>
      <c r="C916" s="110" t="s">
        <v>31</v>
      </c>
      <c r="D916" s="111">
        <v>180.28999999999999</v>
      </c>
      <c r="E916" s="111">
        <v>9.5399999999999991</v>
      </c>
      <c r="F916" s="112">
        <v>189.83000000000001</v>
      </c>
      <c r="H916" s="110" t="s">
        <v>31</v>
      </c>
      <c r="I916" s="111">
        <v>180.28999999999999</v>
      </c>
      <c r="J916" s="111">
        <v>8.8200000000000003</v>
      </c>
      <c r="K916" s="112">
        <v>189.11000000000001</v>
      </c>
      <c r="L916" s="88"/>
      <c r="M916" s="88"/>
    </row>
    <row r="917">
      <c r="A917" s="108">
        <v>1201008133</v>
      </c>
      <c r="B917" s="109" t="s">
        <v>16386</v>
      </c>
      <c r="C917" s="110" t="s">
        <v>31</v>
      </c>
      <c r="D917" s="111">
        <v>87.159999999999997</v>
      </c>
      <c r="E917" s="111">
        <v>14.31</v>
      </c>
      <c r="F917" s="112">
        <v>101.47</v>
      </c>
      <c r="H917" s="110" t="s">
        <v>31</v>
      </c>
      <c r="I917" s="111">
        <v>87.159999999999997</v>
      </c>
      <c r="J917" s="111">
        <v>13.24</v>
      </c>
      <c r="K917" s="112">
        <v>100.40000000000001</v>
      </c>
      <c r="L917" s="88"/>
      <c r="M917" s="88"/>
    </row>
    <row r="918" ht="25.5">
      <c r="A918" s="108">
        <v>1201008134</v>
      </c>
      <c r="B918" s="109" t="s">
        <v>12635</v>
      </c>
      <c r="C918" s="110" t="s">
        <v>31</v>
      </c>
      <c r="D918" s="111">
        <v>23.699999999999999</v>
      </c>
      <c r="E918" s="111">
        <v>0.52000000000000002</v>
      </c>
      <c r="F918" s="112">
        <v>24.219999999999999</v>
      </c>
      <c r="H918" s="110" t="s">
        <v>31</v>
      </c>
      <c r="I918" s="111">
        <v>23.699999999999999</v>
      </c>
      <c r="J918" s="111">
        <v>0.47999999999999998</v>
      </c>
      <c r="K918" s="112">
        <v>24.18</v>
      </c>
      <c r="L918" s="88"/>
      <c r="M918" s="88"/>
    </row>
    <row r="919">
      <c r="A919" s="108">
        <v>1201008135</v>
      </c>
      <c r="B919" s="109" t="s">
        <v>16387</v>
      </c>
      <c r="C919" s="110" t="s">
        <v>31</v>
      </c>
      <c r="D919" s="111">
        <v>230.88999999999999</v>
      </c>
      <c r="E919" s="111">
        <v>19.09</v>
      </c>
      <c r="F919" s="112">
        <v>249.97999999999999</v>
      </c>
      <c r="H919" s="110" t="s">
        <v>31</v>
      </c>
      <c r="I919" s="111">
        <v>230.88999999999999</v>
      </c>
      <c r="J919" s="111">
        <v>17.649999999999999</v>
      </c>
      <c r="K919" s="112">
        <v>248.53999999999999</v>
      </c>
      <c r="L919" s="88"/>
      <c r="M919" s="88"/>
    </row>
    <row r="920">
      <c r="A920" s="108">
        <v>1201008136</v>
      </c>
      <c r="B920" s="109" t="s">
        <v>16388</v>
      </c>
      <c r="C920" s="110" t="s">
        <v>31</v>
      </c>
      <c r="D920" s="111">
        <v>18.260000000000002</v>
      </c>
      <c r="E920" s="111">
        <v>0.94999999999999996</v>
      </c>
      <c r="F920" s="112">
        <v>19.210000000000001</v>
      </c>
      <c r="H920" s="110" t="s">
        <v>31</v>
      </c>
      <c r="I920" s="111">
        <v>18.260000000000002</v>
      </c>
      <c r="J920" s="111">
        <v>0.88</v>
      </c>
      <c r="K920" s="112">
        <v>19.140000000000001</v>
      </c>
      <c r="L920" s="88"/>
      <c r="M920" s="88"/>
    </row>
    <row r="921" ht="38.25">
      <c r="A921" s="108">
        <v>1201008140</v>
      </c>
      <c r="B921" s="109" t="s">
        <v>16389</v>
      </c>
      <c r="C921" s="110" t="s">
        <v>31</v>
      </c>
      <c r="D921" s="111">
        <v>225.83000000000001</v>
      </c>
      <c r="E921" s="111">
        <v>6.0199999999999996</v>
      </c>
      <c r="F921" s="112">
        <v>231.84999999999999</v>
      </c>
      <c r="H921" s="110" t="s">
        <v>31</v>
      </c>
      <c r="I921" s="111">
        <v>225.83000000000001</v>
      </c>
      <c r="J921" s="111">
        <v>5.5700000000000003</v>
      </c>
      <c r="K921" s="112">
        <v>231.40000000000001</v>
      </c>
      <c r="L921" s="88"/>
      <c r="M921" s="88"/>
    </row>
    <row r="922">
      <c r="A922" s="108">
        <v>1201008141</v>
      </c>
      <c r="B922" s="109" t="s">
        <v>16390</v>
      </c>
      <c r="C922" s="110" t="s">
        <v>31</v>
      </c>
      <c r="D922" s="111">
        <v>232.74000000000001</v>
      </c>
      <c r="E922" s="111">
        <v>6.0199999999999996</v>
      </c>
      <c r="F922" s="112">
        <v>238.75999999999999</v>
      </c>
      <c r="H922" s="110" t="s">
        <v>31</v>
      </c>
      <c r="I922" s="111">
        <v>232.74000000000001</v>
      </c>
      <c r="J922" s="111">
        <v>5.5700000000000003</v>
      </c>
      <c r="K922" s="112">
        <v>238.31</v>
      </c>
      <c r="L922" s="88"/>
      <c r="M922" s="88"/>
    </row>
    <row r="923" ht="25.5">
      <c r="A923" s="108">
        <v>1201008142</v>
      </c>
      <c r="B923" s="109" t="s">
        <v>16391</v>
      </c>
      <c r="C923" s="110" t="s">
        <v>31</v>
      </c>
      <c r="D923" s="111">
        <v>409.5</v>
      </c>
      <c r="E923" s="111">
        <v>126.97</v>
      </c>
      <c r="F923" s="112">
        <v>536.47000000000003</v>
      </c>
      <c r="H923" s="110" t="s">
        <v>31</v>
      </c>
      <c r="I923" s="111">
        <v>409.5</v>
      </c>
      <c r="J923" s="111">
        <v>117.43000000000001</v>
      </c>
      <c r="K923" s="112">
        <v>526.92999999999995</v>
      </c>
      <c r="L923" s="88"/>
      <c r="M923" s="88"/>
    </row>
    <row r="924">
      <c r="A924" s="108">
        <v>1201008143</v>
      </c>
      <c r="B924" s="109" t="s">
        <v>16392</v>
      </c>
      <c r="C924" s="110" t="s">
        <v>31</v>
      </c>
      <c r="D924" s="111">
        <v>7.2800000000000002</v>
      </c>
      <c r="E924" s="111">
        <v>3.6499999999999999</v>
      </c>
      <c r="F924" s="112">
        <v>10.93</v>
      </c>
      <c r="H924" s="110" t="s">
        <v>31</v>
      </c>
      <c r="I924" s="111">
        <v>7.2800000000000002</v>
      </c>
      <c r="J924" s="111">
        <v>3.3599999999999999</v>
      </c>
      <c r="K924" s="112">
        <v>10.640000000000001</v>
      </c>
      <c r="L924" s="88"/>
      <c r="M924" s="88"/>
    </row>
    <row r="925" ht="38.25">
      <c r="A925" s="108">
        <v>1201008144</v>
      </c>
      <c r="B925" s="109" t="s">
        <v>16393</v>
      </c>
      <c r="C925" s="110" t="s">
        <v>31</v>
      </c>
      <c r="D925" s="111">
        <v>276.43000000000001</v>
      </c>
      <c r="E925" s="111">
        <v>14.31</v>
      </c>
      <c r="F925" s="112">
        <v>290.74000000000001</v>
      </c>
      <c r="H925" s="110" t="s">
        <v>31</v>
      </c>
      <c r="I925" s="111">
        <v>276.43000000000001</v>
      </c>
      <c r="J925" s="111">
        <v>13.24</v>
      </c>
      <c r="K925" s="112">
        <v>289.67000000000002</v>
      </c>
      <c r="L925" s="88"/>
      <c r="M925" s="88"/>
    </row>
    <row r="926">
      <c r="A926" s="108">
        <v>1201008145</v>
      </c>
      <c r="B926" s="109" t="s">
        <v>16394</v>
      </c>
      <c r="C926" s="110" t="s">
        <v>31</v>
      </c>
      <c r="D926" s="111">
        <v>7.6399999999999997</v>
      </c>
      <c r="E926" s="111">
        <v>3.6499999999999999</v>
      </c>
      <c r="F926" s="112">
        <v>11.289999999999999</v>
      </c>
      <c r="H926" s="110" t="s">
        <v>31</v>
      </c>
      <c r="I926" s="111">
        <v>7.6399999999999997</v>
      </c>
      <c r="J926" s="111">
        <v>3.3599999999999999</v>
      </c>
      <c r="K926" s="112">
        <v>11</v>
      </c>
      <c r="L926" s="88"/>
      <c r="M926" s="88"/>
    </row>
    <row r="927">
      <c r="A927" s="108">
        <v>1201008146</v>
      </c>
      <c r="B927" s="109" t="s">
        <v>16395</v>
      </c>
      <c r="C927" s="110" t="s">
        <v>38</v>
      </c>
      <c r="D927" s="111">
        <v>2.3199999999999998</v>
      </c>
      <c r="E927" s="111">
        <v>1.4199999999999999</v>
      </c>
      <c r="F927" s="112">
        <v>3.7400000000000002</v>
      </c>
      <c r="H927" s="110" t="s">
        <v>38</v>
      </c>
      <c r="I927" s="111">
        <v>2.3199999999999998</v>
      </c>
      <c r="J927" s="111">
        <v>1.3200000000000001</v>
      </c>
      <c r="K927" s="112">
        <v>3.6400000000000001</v>
      </c>
      <c r="L927" s="88"/>
      <c r="M927" s="88"/>
    </row>
    <row r="928">
      <c r="A928" s="108">
        <v>1201008149</v>
      </c>
      <c r="B928" s="109" t="s">
        <v>16396</v>
      </c>
      <c r="C928" s="110" t="s">
        <v>31</v>
      </c>
      <c r="D928" s="111">
        <v>18.739999999999998</v>
      </c>
      <c r="E928" s="111">
        <v>3.6499999999999999</v>
      </c>
      <c r="F928" s="112">
        <v>22.390000000000001</v>
      </c>
      <c r="H928" s="110" t="s">
        <v>31</v>
      </c>
      <c r="I928" s="111">
        <v>18.739999999999998</v>
      </c>
      <c r="J928" s="111">
        <v>3.3599999999999999</v>
      </c>
      <c r="K928" s="112">
        <v>22.100000000000001</v>
      </c>
      <c r="L928" s="88"/>
      <c r="M928" s="88"/>
    </row>
    <row r="929" ht="38.25">
      <c r="A929" s="69">
        <v>1201008150</v>
      </c>
      <c r="B929" s="89" t="s">
        <v>16397</v>
      </c>
      <c r="C929" s="88" t="s">
        <v>31</v>
      </c>
      <c r="D929" s="113"/>
      <c r="E929" s="113"/>
      <c r="F929" s="114">
        <v>9</v>
      </c>
      <c r="H929" s="88" t="s">
        <v>31</v>
      </c>
      <c r="I929" s="113"/>
      <c r="J929" s="113"/>
      <c r="K929" s="114">
        <v>8.6600000000000001</v>
      </c>
      <c r="L929" s="88"/>
      <c r="M929" s="88"/>
    </row>
    <row r="930">
      <c r="A930" s="108">
        <v>1201008151</v>
      </c>
      <c r="B930" s="109" t="s">
        <v>16398</v>
      </c>
      <c r="C930" s="110" t="s">
        <v>31</v>
      </c>
      <c r="D930" s="111">
        <v>18.739999999999998</v>
      </c>
      <c r="E930" s="111">
        <v>3.6499999999999999</v>
      </c>
      <c r="F930" s="112">
        <v>22.390000000000001</v>
      </c>
      <c r="H930" s="110" t="s">
        <v>31</v>
      </c>
      <c r="I930" s="111">
        <v>18.739999999999998</v>
      </c>
      <c r="J930" s="111">
        <v>3.3599999999999999</v>
      </c>
      <c r="K930" s="112">
        <v>22.100000000000001</v>
      </c>
      <c r="L930" s="88"/>
      <c r="M930" s="88"/>
    </row>
    <row r="931">
      <c r="A931" s="108">
        <v>1201008152</v>
      </c>
      <c r="B931" s="109" t="s">
        <v>16399</v>
      </c>
      <c r="C931" s="110" t="s">
        <v>31</v>
      </c>
      <c r="D931" s="111">
        <v>12.300000000000001</v>
      </c>
      <c r="E931" s="111">
        <v>0.94999999999999996</v>
      </c>
      <c r="F931" s="112">
        <v>13.25</v>
      </c>
      <c r="H931" s="110" t="s">
        <v>31</v>
      </c>
      <c r="I931" s="111">
        <v>12.300000000000001</v>
      </c>
      <c r="J931" s="111">
        <v>0.88</v>
      </c>
      <c r="K931" s="112">
        <v>13.18</v>
      </c>
      <c r="L931" s="88"/>
      <c r="M931" s="88"/>
    </row>
    <row r="932">
      <c r="A932" s="108">
        <v>1201008153</v>
      </c>
      <c r="B932" s="109" t="s">
        <v>16400</v>
      </c>
      <c r="C932" s="110" t="s">
        <v>31</v>
      </c>
      <c r="D932" s="111">
        <v>8.3699999999999992</v>
      </c>
      <c r="E932" s="111">
        <v>0.94999999999999996</v>
      </c>
      <c r="F932" s="112">
        <v>9.3200000000000003</v>
      </c>
      <c r="H932" s="110" t="s">
        <v>31</v>
      </c>
      <c r="I932" s="111">
        <v>8.3699999999999992</v>
      </c>
      <c r="J932" s="111">
        <v>0.88</v>
      </c>
      <c r="K932" s="112">
        <v>9.25</v>
      </c>
      <c r="L932" s="88"/>
      <c r="M932" s="88"/>
    </row>
    <row r="933">
      <c r="A933" s="108">
        <v>1201008154</v>
      </c>
      <c r="B933" s="109" t="s">
        <v>16401</v>
      </c>
      <c r="C933" s="110" t="s">
        <v>31</v>
      </c>
      <c r="D933" s="111">
        <v>12.300000000000001</v>
      </c>
      <c r="E933" s="111">
        <v>0.94999999999999996</v>
      </c>
      <c r="F933" s="112">
        <v>13.25</v>
      </c>
      <c r="H933" s="110" t="s">
        <v>31</v>
      </c>
      <c r="I933" s="111">
        <v>12.300000000000001</v>
      </c>
      <c r="J933" s="111">
        <v>0.88</v>
      </c>
      <c r="K933" s="112">
        <v>13.18</v>
      </c>
      <c r="L933" s="88"/>
      <c r="M933" s="88"/>
    </row>
    <row r="934">
      <c r="A934" s="108">
        <v>1201008156</v>
      </c>
      <c r="B934" s="109" t="s">
        <v>16402</v>
      </c>
      <c r="C934" s="110" t="s">
        <v>31</v>
      </c>
      <c r="D934" s="111">
        <v>12.300000000000001</v>
      </c>
      <c r="E934" s="111">
        <v>0.94999999999999996</v>
      </c>
      <c r="F934" s="112">
        <v>13.25</v>
      </c>
      <c r="H934" s="110" t="s">
        <v>31</v>
      </c>
      <c r="I934" s="111">
        <v>12.300000000000001</v>
      </c>
      <c r="J934" s="111">
        <v>0.88</v>
      </c>
      <c r="K934" s="112">
        <v>13.18</v>
      </c>
      <c r="L934" s="88"/>
      <c r="M934" s="88"/>
    </row>
    <row r="935">
      <c r="A935" s="108">
        <v>1201008157</v>
      </c>
      <c r="B935" s="109" t="s">
        <v>16403</v>
      </c>
      <c r="C935" s="110" t="s">
        <v>31</v>
      </c>
      <c r="D935" s="111">
        <v>8.2599999999999998</v>
      </c>
      <c r="E935" s="111">
        <v>0.94999999999999996</v>
      </c>
      <c r="F935" s="112">
        <v>9.2100000000000009</v>
      </c>
      <c r="H935" s="110" t="s">
        <v>31</v>
      </c>
      <c r="I935" s="111">
        <v>8.2599999999999998</v>
      </c>
      <c r="J935" s="111">
        <v>0.88</v>
      </c>
      <c r="K935" s="112">
        <v>9.1400000000000006</v>
      </c>
      <c r="L935" s="88"/>
      <c r="M935" s="88"/>
    </row>
    <row r="936">
      <c r="A936" s="108">
        <v>1201008158</v>
      </c>
      <c r="B936" s="109" t="s">
        <v>16404</v>
      </c>
      <c r="C936" s="110" t="s">
        <v>31</v>
      </c>
      <c r="D936" s="111">
        <v>12.300000000000001</v>
      </c>
      <c r="E936" s="111">
        <v>0.94999999999999996</v>
      </c>
      <c r="F936" s="112">
        <v>13.25</v>
      </c>
      <c r="H936" s="110" t="s">
        <v>31</v>
      </c>
      <c r="I936" s="111">
        <v>12.300000000000001</v>
      </c>
      <c r="J936" s="111">
        <v>0.88</v>
      </c>
      <c r="K936" s="112">
        <v>13.18</v>
      </c>
      <c r="L936" s="88"/>
      <c r="M936" s="88"/>
    </row>
    <row r="937">
      <c r="A937" s="108">
        <v>1201008160</v>
      </c>
      <c r="B937" s="109" t="s">
        <v>16405</v>
      </c>
      <c r="C937" s="110" t="s">
        <v>31</v>
      </c>
      <c r="D937" s="111">
        <v>13.16</v>
      </c>
      <c r="E937" s="111">
        <v>0.94999999999999996</v>
      </c>
      <c r="F937" s="112">
        <v>14.109999999999999</v>
      </c>
      <c r="H937" s="110" t="s">
        <v>31</v>
      </c>
      <c r="I937" s="111">
        <v>13.16</v>
      </c>
      <c r="J937" s="111">
        <v>0.88</v>
      </c>
      <c r="K937" s="112">
        <v>14.039999999999999</v>
      </c>
      <c r="L937" s="88"/>
      <c r="M937" s="88"/>
    </row>
    <row r="938" ht="25.5">
      <c r="A938" s="108">
        <v>1201008162</v>
      </c>
      <c r="B938" s="109" t="s">
        <v>16406</v>
      </c>
      <c r="C938" s="110" t="s">
        <v>38</v>
      </c>
      <c r="D938" s="111">
        <v>3.3799999999999999</v>
      </c>
      <c r="E938" s="111">
        <v>14.789999999999999</v>
      </c>
      <c r="F938" s="112">
        <v>18.170000000000002</v>
      </c>
      <c r="H938" s="110" t="s">
        <v>38</v>
      </c>
      <c r="I938" s="111">
        <v>3.3799999999999999</v>
      </c>
      <c r="J938" s="111">
        <v>13.68</v>
      </c>
      <c r="K938" s="112">
        <v>17.059999999999999</v>
      </c>
      <c r="L938" s="88"/>
      <c r="M938" s="88"/>
    </row>
    <row r="939">
      <c r="A939" s="108">
        <v>1201008164</v>
      </c>
      <c r="B939" s="109" t="s">
        <v>16407</v>
      </c>
      <c r="C939" s="110" t="s">
        <v>38</v>
      </c>
      <c r="D939" s="111">
        <v>5.3899999999999997</v>
      </c>
      <c r="E939" s="111">
        <v>14.789999999999999</v>
      </c>
      <c r="F939" s="112">
        <v>20.18</v>
      </c>
      <c r="H939" s="110" t="s">
        <v>38</v>
      </c>
      <c r="I939" s="111">
        <v>5.3899999999999997</v>
      </c>
      <c r="J939" s="111">
        <v>13.68</v>
      </c>
      <c r="K939" s="112">
        <v>19.07</v>
      </c>
      <c r="L939" s="88"/>
      <c r="M939" s="88"/>
    </row>
    <row r="940">
      <c r="A940" s="108">
        <v>1201008166</v>
      </c>
      <c r="B940" s="109" t="s">
        <v>16408</v>
      </c>
      <c r="C940" s="110" t="s">
        <v>38</v>
      </c>
      <c r="D940" s="111">
        <v>8.4299999999999997</v>
      </c>
      <c r="E940" s="111">
        <v>14.789999999999999</v>
      </c>
      <c r="F940" s="112">
        <v>23.219999999999999</v>
      </c>
      <c r="H940" s="110" t="s">
        <v>38</v>
      </c>
      <c r="I940" s="111">
        <v>8.4299999999999997</v>
      </c>
      <c r="J940" s="111">
        <v>13.68</v>
      </c>
      <c r="K940" s="112">
        <v>22.109999999999999</v>
      </c>
      <c r="L940" s="88"/>
      <c r="M940" s="88"/>
    </row>
    <row r="941" ht="25.5">
      <c r="A941" s="108">
        <v>1201008168</v>
      </c>
      <c r="B941" s="109" t="s">
        <v>16409</v>
      </c>
      <c r="C941" s="110" t="s">
        <v>31</v>
      </c>
      <c r="D941" s="111">
        <v>10.85</v>
      </c>
      <c r="E941" s="111">
        <v>4.7599999999999998</v>
      </c>
      <c r="F941" s="112">
        <v>15.609999999999999</v>
      </c>
      <c r="H941" s="110" t="s">
        <v>31</v>
      </c>
      <c r="I941" s="111">
        <v>10.85</v>
      </c>
      <c r="J941" s="111">
        <v>4.4000000000000004</v>
      </c>
      <c r="K941" s="112">
        <v>15.25</v>
      </c>
      <c r="L941" s="88"/>
      <c r="M941" s="88"/>
    </row>
    <row r="942">
      <c r="A942" s="108">
        <v>1201008170</v>
      </c>
      <c r="B942" s="109" t="s">
        <v>16410</v>
      </c>
      <c r="C942" s="110" t="s">
        <v>31</v>
      </c>
      <c r="D942" s="111">
        <v>11.94</v>
      </c>
      <c r="E942" s="111">
        <v>4.7599999999999998</v>
      </c>
      <c r="F942" s="112">
        <v>16.699999999999999</v>
      </c>
      <c r="H942" s="110" t="s">
        <v>31</v>
      </c>
      <c r="I942" s="111">
        <v>11.94</v>
      </c>
      <c r="J942" s="111">
        <v>4.4000000000000004</v>
      </c>
      <c r="K942" s="112">
        <v>16.34</v>
      </c>
      <c r="L942" s="88"/>
      <c r="M942" s="88"/>
    </row>
    <row r="943">
      <c r="A943" s="108">
        <v>1201008172</v>
      </c>
      <c r="B943" s="109" t="s">
        <v>16411</v>
      </c>
      <c r="C943" s="110" t="s">
        <v>31</v>
      </c>
      <c r="D943" s="111">
        <v>15.91</v>
      </c>
      <c r="E943" s="111">
        <v>4.7599999999999998</v>
      </c>
      <c r="F943" s="112">
        <v>20.670000000000002</v>
      </c>
      <c r="H943" s="110" t="s">
        <v>31</v>
      </c>
      <c r="I943" s="111">
        <v>15.91</v>
      </c>
      <c r="J943" s="111">
        <v>4.4000000000000004</v>
      </c>
      <c r="K943" s="112">
        <v>20.309999999999999</v>
      </c>
      <c r="L943" s="88"/>
      <c r="M943" s="88"/>
    </row>
    <row r="944">
      <c r="A944" s="108">
        <v>1201008174</v>
      </c>
      <c r="B944" s="109" t="s">
        <v>16412</v>
      </c>
      <c r="C944" s="110" t="s">
        <v>31</v>
      </c>
      <c r="D944" s="111">
        <v>32.719999999999999</v>
      </c>
      <c r="E944" s="111">
        <v>4.7599999999999998</v>
      </c>
      <c r="F944" s="112">
        <v>37.479999999999997</v>
      </c>
      <c r="H944" s="110" t="s">
        <v>31</v>
      </c>
      <c r="I944" s="111">
        <v>32.719999999999999</v>
      </c>
      <c r="J944" s="111">
        <v>4.4000000000000004</v>
      </c>
      <c r="K944" s="112">
        <v>37.119999999999997</v>
      </c>
      <c r="L944" s="88"/>
      <c r="M944" s="88"/>
    </row>
    <row r="945">
      <c r="A945" s="108">
        <v>1201008176</v>
      </c>
      <c r="B945" s="109" t="s">
        <v>16413</v>
      </c>
      <c r="C945" s="110" t="s">
        <v>31</v>
      </c>
      <c r="D945" s="111">
        <v>7.1699999999999999</v>
      </c>
      <c r="E945" s="111">
        <v>4.7599999999999998</v>
      </c>
      <c r="F945" s="112">
        <v>11.93</v>
      </c>
      <c r="H945" s="110" t="s">
        <v>31</v>
      </c>
      <c r="I945" s="111">
        <v>7.1699999999999999</v>
      </c>
      <c r="J945" s="111">
        <v>4.4000000000000004</v>
      </c>
      <c r="K945" s="112">
        <v>11.57</v>
      </c>
      <c r="L945" s="88"/>
      <c r="M945" s="88"/>
    </row>
    <row r="946">
      <c r="A946" s="108">
        <v>1201008178</v>
      </c>
      <c r="B946" s="109" t="s">
        <v>16414</v>
      </c>
      <c r="C946" s="110" t="s">
        <v>31</v>
      </c>
      <c r="D946" s="111">
        <v>12.130000000000001</v>
      </c>
      <c r="E946" s="111">
        <v>4.7599999999999998</v>
      </c>
      <c r="F946" s="112">
        <v>16.890000000000001</v>
      </c>
      <c r="H946" s="110" t="s">
        <v>31</v>
      </c>
      <c r="I946" s="111">
        <v>12.130000000000001</v>
      </c>
      <c r="J946" s="111">
        <v>4.4000000000000004</v>
      </c>
      <c r="K946" s="112">
        <v>16.530000000000001</v>
      </c>
      <c r="L946" s="88"/>
      <c r="M946" s="88"/>
    </row>
    <row r="947">
      <c r="A947" s="108">
        <v>1201008180</v>
      </c>
      <c r="B947" s="109" t="s">
        <v>16415</v>
      </c>
      <c r="C947" s="110" t="s">
        <v>31</v>
      </c>
      <c r="D947" s="111">
        <v>1.4299999999999999</v>
      </c>
      <c r="E947" s="111">
        <v>0.94999999999999996</v>
      </c>
      <c r="F947" s="112">
        <v>2.3799999999999999</v>
      </c>
      <c r="H947" s="110" t="s">
        <v>31</v>
      </c>
      <c r="I947" s="111">
        <v>1.4299999999999999</v>
      </c>
      <c r="J947" s="111">
        <v>0.88</v>
      </c>
      <c r="K947" s="112">
        <v>2.3100000000000001</v>
      </c>
      <c r="L947" s="88"/>
      <c r="M947" s="88"/>
    </row>
    <row r="948">
      <c r="A948" s="108">
        <v>1201008182</v>
      </c>
      <c r="B948" s="109" t="s">
        <v>16416</v>
      </c>
      <c r="C948" s="110" t="s">
        <v>31</v>
      </c>
      <c r="D948" s="111">
        <v>0.51000000000000001</v>
      </c>
      <c r="E948" s="111">
        <v>0.94999999999999996</v>
      </c>
      <c r="F948" s="112">
        <v>1.46</v>
      </c>
      <c r="H948" s="110" t="s">
        <v>31</v>
      </c>
      <c r="I948" s="111">
        <v>0.51000000000000001</v>
      </c>
      <c r="J948" s="111">
        <v>0.88</v>
      </c>
      <c r="K948" s="112">
        <v>1.3899999999999999</v>
      </c>
      <c r="L948" s="88"/>
      <c r="M948" s="88"/>
    </row>
    <row r="949" ht="38.25">
      <c r="A949" s="108">
        <v>1201008183</v>
      </c>
      <c r="B949" s="109" t="s">
        <v>16417</v>
      </c>
      <c r="C949" s="110" t="s">
        <v>31</v>
      </c>
      <c r="D949" s="111">
        <v>43388.730000000003</v>
      </c>
      <c r="E949" s="111">
        <v>295.31999999999999</v>
      </c>
      <c r="F949" s="112">
        <v>43684.050000000003</v>
      </c>
      <c r="H949" s="110" t="s">
        <v>31</v>
      </c>
      <c r="I949" s="111">
        <v>43388.730000000003</v>
      </c>
      <c r="J949" s="111">
        <v>272.88</v>
      </c>
      <c r="K949" s="112">
        <v>43661.610000000001</v>
      </c>
      <c r="L949" s="88"/>
      <c r="M949" s="88"/>
    </row>
    <row r="950" ht="38.25">
      <c r="A950" s="108">
        <v>1201008186</v>
      </c>
      <c r="B950" s="109" t="s">
        <v>16418</v>
      </c>
      <c r="C950" s="110" t="s">
        <v>31</v>
      </c>
      <c r="D950" s="111">
        <v>3335.4200000000001</v>
      </c>
      <c r="E950" s="111">
        <v>234.25999999999999</v>
      </c>
      <c r="F950" s="112">
        <v>3569.6799999999998</v>
      </c>
      <c r="H950" s="110" t="s">
        <v>31</v>
      </c>
      <c r="I950" s="111">
        <v>3335.4200000000001</v>
      </c>
      <c r="J950" s="111">
        <v>216.75999999999999</v>
      </c>
      <c r="K950" s="112">
        <v>3552.1799999999998</v>
      </c>
      <c r="L950" s="88"/>
      <c r="M950" s="88"/>
    </row>
    <row r="951" ht="38.25">
      <c r="A951" s="108">
        <v>1201008187</v>
      </c>
      <c r="B951" s="109" t="s">
        <v>16419</v>
      </c>
      <c r="C951" s="110" t="s">
        <v>31</v>
      </c>
      <c r="D951" s="111">
        <v>873.03999999999996</v>
      </c>
      <c r="E951" s="111">
        <v>597.25</v>
      </c>
      <c r="F951" s="112">
        <v>1470.29</v>
      </c>
      <c r="H951" s="110" t="s">
        <v>31</v>
      </c>
      <c r="I951" s="111">
        <v>867.11000000000001</v>
      </c>
      <c r="J951" s="111">
        <v>552.70000000000005</v>
      </c>
      <c r="K951" s="112">
        <v>1419.8099999999999</v>
      </c>
      <c r="L951" s="88"/>
      <c r="M951" s="88"/>
    </row>
    <row r="952" ht="38.25">
      <c r="A952" s="108">
        <v>1201008188</v>
      </c>
      <c r="B952" s="109" t="s">
        <v>16420</v>
      </c>
      <c r="C952" s="110" t="s">
        <v>31</v>
      </c>
      <c r="D952" s="111">
        <v>2104.75</v>
      </c>
      <c r="E952" s="111">
        <v>1459.4100000000001</v>
      </c>
      <c r="F952" s="112">
        <v>3564.1599999999999</v>
      </c>
      <c r="H952" s="110" t="s">
        <v>31</v>
      </c>
      <c r="I952" s="111">
        <v>2087.5999999999999</v>
      </c>
      <c r="J952" s="111">
        <v>1350.52</v>
      </c>
      <c r="K952" s="112">
        <v>3438.1199999999999</v>
      </c>
      <c r="L952" s="88"/>
      <c r="M952" s="88"/>
    </row>
    <row r="953" ht="38.25">
      <c r="A953" s="108">
        <v>1201008189</v>
      </c>
      <c r="B953" s="109" t="s">
        <v>16421</v>
      </c>
      <c r="C953" s="110" t="s">
        <v>31</v>
      </c>
      <c r="D953" s="111">
        <v>1192.29</v>
      </c>
      <c r="E953" s="111">
        <v>730.52999999999997</v>
      </c>
      <c r="F953" s="112">
        <v>1922.8199999999999</v>
      </c>
      <c r="H953" s="110" t="s">
        <v>31</v>
      </c>
      <c r="I953" s="111">
        <v>1184.1800000000001</v>
      </c>
      <c r="J953" s="111">
        <v>676.02999999999997</v>
      </c>
      <c r="K953" s="112">
        <v>1860.21</v>
      </c>
      <c r="L953" s="88"/>
      <c r="M953" s="88"/>
    </row>
    <row r="954" ht="25.5">
      <c r="A954" s="108">
        <v>1201008190</v>
      </c>
      <c r="B954" s="109" t="s">
        <v>16422</v>
      </c>
      <c r="C954" s="110" t="s">
        <v>31</v>
      </c>
      <c r="D954" s="111">
        <v>411.81999999999999</v>
      </c>
      <c r="E954" s="111">
        <v>28.640000000000001</v>
      </c>
      <c r="F954" s="112">
        <v>440.45999999999998</v>
      </c>
      <c r="H954" s="110" t="s">
        <v>31</v>
      </c>
      <c r="I954" s="111">
        <v>411.81999999999999</v>
      </c>
      <c r="J954" s="111">
        <v>26.48</v>
      </c>
      <c r="K954" s="112">
        <v>438.30000000000001</v>
      </c>
      <c r="L954" s="88"/>
      <c r="M954" s="88"/>
    </row>
    <row r="955">
      <c r="A955" s="108">
        <v>1201008192</v>
      </c>
      <c r="B955" s="109" t="s">
        <v>16423</v>
      </c>
      <c r="C955" s="110" t="s">
        <v>31</v>
      </c>
      <c r="D955" s="111">
        <v>655.19000000000005</v>
      </c>
      <c r="E955" s="111">
        <v>100.06</v>
      </c>
      <c r="F955" s="112">
        <v>755.25</v>
      </c>
      <c r="H955" s="110" t="s">
        <v>31</v>
      </c>
      <c r="I955" s="111">
        <v>655.19000000000005</v>
      </c>
      <c r="J955" s="111">
        <v>92.420000000000002</v>
      </c>
      <c r="K955" s="112">
        <v>747.61000000000001</v>
      </c>
      <c r="L955" s="88"/>
      <c r="M955" s="88"/>
    </row>
    <row r="956">
      <c r="A956" s="108">
        <v>1201008194</v>
      </c>
      <c r="B956" s="109" t="s">
        <v>16424</v>
      </c>
      <c r="C956" s="110" t="s">
        <v>31</v>
      </c>
      <c r="D956" s="111">
        <v>296.32999999999998</v>
      </c>
      <c r="E956" s="111">
        <v>28.640000000000001</v>
      </c>
      <c r="F956" s="112">
        <v>324.97000000000003</v>
      </c>
      <c r="H956" s="110" t="s">
        <v>31</v>
      </c>
      <c r="I956" s="111">
        <v>296.32999999999998</v>
      </c>
      <c r="J956" s="111">
        <v>26.48</v>
      </c>
      <c r="K956" s="112">
        <v>322.81</v>
      </c>
      <c r="L956" s="88"/>
      <c r="M956" s="88"/>
    </row>
    <row r="957" ht="25.5">
      <c r="A957" s="108">
        <v>1201008196</v>
      </c>
      <c r="B957" s="109" t="s">
        <v>16425</v>
      </c>
      <c r="C957" s="110" t="s">
        <v>31</v>
      </c>
      <c r="D957" s="111">
        <v>1251.8199999999999</v>
      </c>
      <c r="E957" s="111">
        <v>190.96000000000001</v>
      </c>
      <c r="F957" s="112">
        <v>1442.78</v>
      </c>
      <c r="H957" s="110" t="s">
        <v>31</v>
      </c>
      <c r="I957" s="111">
        <v>1251.8199999999999</v>
      </c>
      <c r="J957" s="111">
        <v>176.59999999999999</v>
      </c>
      <c r="K957" s="112">
        <v>1428.4200000000001</v>
      </c>
      <c r="L957" s="88"/>
      <c r="M957" s="88"/>
    </row>
    <row r="958" ht="25.5">
      <c r="A958" s="108">
        <v>1201008197</v>
      </c>
      <c r="B958" s="109" t="s">
        <v>16426</v>
      </c>
      <c r="C958" s="110" t="s">
        <v>31</v>
      </c>
      <c r="D958" s="111">
        <v>257.24000000000001</v>
      </c>
      <c r="E958" s="111">
        <v>75.040000000000006</v>
      </c>
      <c r="F958" s="112">
        <v>332.27999999999997</v>
      </c>
      <c r="H958" s="110" t="s">
        <v>31</v>
      </c>
      <c r="I958" s="111">
        <v>257.24000000000001</v>
      </c>
      <c r="J958" s="111">
        <v>69.310000000000002</v>
      </c>
      <c r="K958" s="112">
        <v>326.55000000000001</v>
      </c>
      <c r="L958" s="88"/>
      <c r="M958" s="88"/>
    </row>
    <row r="959" ht="25.5">
      <c r="A959" s="108">
        <v>1201008198</v>
      </c>
      <c r="B959" s="109" t="s">
        <v>16427</v>
      </c>
      <c r="C959" s="110" t="s">
        <v>31</v>
      </c>
      <c r="D959" s="111">
        <v>235.91</v>
      </c>
      <c r="E959" s="111">
        <v>75.040000000000006</v>
      </c>
      <c r="F959" s="112">
        <v>310.94999999999999</v>
      </c>
      <c r="H959" s="110" t="s">
        <v>31</v>
      </c>
      <c r="I959" s="111">
        <v>235.91</v>
      </c>
      <c r="J959" s="111">
        <v>69.310000000000002</v>
      </c>
      <c r="K959" s="112">
        <v>305.22000000000003</v>
      </c>
      <c r="L959" s="88"/>
      <c r="M959" s="88"/>
    </row>
    <row r="960">
      <c r="D960" s="113"/>
      <c r="E960" s="113"/>
      <c r="F960" s="114"/>
      <c r="H960" s="88"/>
      <c r="I960" s="113"/>
      <c r="J960" s="113"/>
      <c r="K960" s="114"/>
      <c r="L960" s="88"/>
      <c r="M960" s="88"/>
    </row>
    <row r="961">
      <c r="B961" s="89" t="s">
        <v>16428</v>
      </c>
      <c r="D961" s="113"/>
      <c r="E961" s="113"/>
      <c r="F961" s="114"/>
      <c r="H961" s="88"/>
      <c r="I961" s="113"/>
      <c r="J961" s="113"/>
      <c r="K961" s="114"/>
      <c r="L961" s="88"/>
      <c r="M961" s="88"/>
    </row>
    <row r="962" ht="38.25">
      <c r="A962" s="108">
        <v>1201008300</v>
      </c>
      <c r="B962" s="109" t="s">
        <v>16429</v>
      </c>
      <c r="C962" s="110" t="s">
        <v>31</v>
      </c>
      <c r="D962" s="111">
        <v>247.59999999999999</v>
      </c>
      <c r="E962" s="111">
        <v>180.81</v>
      </c>
      <c r="F962" s="112">
        <v>428.41000000000003</v>
      </c>
      <c r="H962" s="110" t="s">
        <v>31</v>
      </c>
      <c r="I962" s="111">
        <v>245.83000000000001</v>
      </c>
      <c r="J962" s="111">
        <v>167.24000000000001</v>
      </c>
      <c r="K962" s="112">
        <v>413.06999999999999</v>
      </c>
      <c r="L962" s="88"/>
      <c r="M962" s="88"/>
    </row>
    <row r="963" ht="38.25">
      <c r="A963" s="108">
        <v>1201008301</v>
      </c>
      <c r="B963" s="109" t="s">
        <v>16430</v>
      </c>
      <c r="C963" s="110" t="s">
        <v>31</v>
      </c>
      <c r="D963" s="111">
        <v>404.10000000000002</v>
      </c>
      <c r="E963" s="111">
        <v>329.73000000000002</v>
      </c>
      <c r="F963" s="112">
        <v>733.83000000000004</v>
      </c>
      <c r="H963" s="110" t="s">
        <v>31</v>
      </c>
      <c r="I963" s="111">
        <v>400.41000000000003</v>
      </c>
      <c r="J963" s="111">
        <v>305.01999999999998</v>
      </c>
      <c r="K963" s="112">
        <v>705.42999999999995</v>
      </c>
      <c r="L963" s="88"/>
      <c r="M963" s="88"/>
    </row>
    <row r="964" ht="38.25">
      <c r="A964" s="108">
        <v>1201008302</v>
      </c>
      <c r="B964" s="109" t="s">
        <v>16431</v>
      </c>
      <c r="C964" s="110" t="s">
        <v>31</v>
      </c>
      <c r="D964" s="111">
        <v>306.88999999999999</v>
      </c>
      <c r="E964" s="111">
        <v>94.519999999999996</v>
      </c>
      <c r="F964" s="112">
        <v>401.41000000000003</v>
      </c>
      <c r="H964" s="110" t="s">
        <v>31</v>
      </c>
      <c r="I964" s="111">
        <v>304.5</v>
      </c>
      <c r="J964" s="111">
        <v>87.439999999999998</v>
      </c>
      <c r="K964" s="112">
        <v>391.94</v>
      </c>
      <c r="L964" s="88"/>
      <c r="M964" s="88"/>
    </row>
    <row r="965" ht="38.25">
      <c r="A965" s="108">
        <v>1201008304</v>
      </c>
      <c r="B965" s="109" t="s">
        <v>16432</v>
      </c>
      <c r="C965" s="110" t="s">
        <v>31</v>
      </c>
      <c r="D965" s="111">
        <v>262.75</v>
      </c>
      <c r="E965" s="111">
        <v>190.50999999999999</v>
      </c>
      <c r="F965" s="112">
        <v>453.25999999999999</v>
      </c>
      <c r="H965" s="110" t="s">
        <v>31</v>
      </c>
      <c r="I965" s="111">
        <v>260.82999999999998</v>
      </c>
      <c r="J965" s="111">
        <v>176.22</v>
      </c>
      <c r="K965" s="112">
        <v>437.05000000000001</v>
      </c>
      <c r="L965" s="88"/>
      <c r="M965" s="88"/>
    </row>
    <row r="966" ht="25.5">
      <c r="A966" s="108">
        <v>1201008306</v>
      </c>
      <c r="B966" s="109" t="s">
        <v>16433</v>
      </c>
      <c r="C966" s="110" t="s">
        <v>31</v>
      </c>
      <c r="D966" s="111">
        <v>429.35000000000002</v>
      </c>
      <c r="E966" s="111">
        <v>757.96000000000004</v>
      </c>
      <c r="F966" s="112">
        <v>1187.3099999999999</v>
      </c>
      <c r="H966" s="110" t="s">
        <v>31</v>
      </c>
      <c r="I966" s="111">
        <v>426.41000000000003</v>
      </c>
      <c r="J966" s="111">
        <v>700.85000000000002</v>
      </c>
      <c r="K966" s="112">
        <v>1127.26</v>
      </c>
      <c r="L966" s="88"/>
      <c r="M966" s="88"/>
    </row>
    <row r="967" ht="25.5">
      <c r="A967" s="108">
        <v>1201008308</v>
      </c>
      <c r="B967" s="109" t="s">
        <v>16434</v>
      </c>
      <c r="C967" s="110" t="s">
        <v>38</v>
      </c>
      <c r="D967" s="111">
        <v>36.600000000000001</v>
      </c>
      <c r="E967" s="111">
        <v>14.789999999999999</v>
      </c>
      <c r="F967" s="112">
        <v>51.390000000000001</v>
      </c>
      <c r="H967" s="110" t="s">
        <v>38</v>
      </c>
      <c r="I967" s="111">
        <v>36.600000000000001</v>
      </c>
      <c r="J967" s="111">
        <v>13.68</v>
      </c>
      <c r="K967" s="112">
        <v>50.280000000000001</v>
      </c>
      <c r="L967" s="88"/>
      <c r="M967" s="88"/>
    </row>
    <row r="968" ht="25.5">
      <c r="A968" s="108">
        <v>1201008309</v>
      </c>
      <c r="B968" s="109" t="s">
        <v>16435</v>
      </c>
      <c r="C968" s="110" t="s">
        <v>38</v>
      </c>
      <c r="D968" s="111">
        <v>91.5</v>
      </c>
      <c r="E968" s="111">
        <v>14.789999999999999</v>
      </c>
      <c r="F968" s="112">
        <v>106.29000000000001</v>
      </c>
      <c r="H968" s="110" t="s">
        <v>38</v>
      </c>
      <c r="I968" s="111">
        <v>91.5</v>
      </c>
      <c r="J968" s="111">
        <v>13.68</v>
      </c>
      <c r="K968" s="112">
        <v>105.18000000000001</v>
      </c>
      <c r="L968" s="88"/>
      <c r="M968" s="88"/>
    </row>
    <row r="969" ht="25.5">
      <c r="A969" s="108">
        <v>1201008316</v>
      </c>
      <c r="B969" s="109" t="s">
        <v>16436</v>
      </c>
      <c r="C969" s="110" t="s">
        <v>31</v>
      </c>
      <c r="D969" s="111">
        <v>24.079999999999998</v>
      </c>
      <c r="E969" s="111">
        <v>7.1500000000000004</v>
      </c>
      <c r="F969" s="112">
        <v>31.23</v>
      </c>
      <c r="H969" s="110" t="s">
        <v>31</v>
      </c>
      <c r="I969" s="111">
        <v>24.079999999999998</v>
      </c>
      <c r="J969" s="111">
        <v>6.6200000000000001</v>
      </c>
      <c r="K969" s="112">
        <v>30.699999999999999</v>
      </c>
      <c r="L969" s="88"/>
      <c r="M969" s="88"/>
    </row>
    <row r="970">
      <c r="A970" s="108">
        <v>1201008318</v>
      </c>
      <c r="B970" s="109" t="s">
        <v>16437</v>
      </c>
      <c r="C970" s="110" t="s">
        <v>31</v>
      </c>
      <c r="D970" s="111">
        <v>24.120000000000001</v>
      </c>
      <c r="E970" s="111">
        <v>7.1500000000000004</v>
      </c>
      <c r="F970" s="112">
        <v>31.27</v>
      </c>
      <c r="H970" s="110" t="s">
        <v>31</v>
      </c>
      <c r="I970" s="111">
        <v>24.120000000000001</v>
      </c>
      <c r="J970" s="111">
        <v>6.6200000000000001</v>
      </c>
      <c r="K970" s="112">
        <v>30.739999999999998</v>
      </c>
      <c r="L970" s="88"/>
      <c r="M970" s="88"/>
    </row>
    <row r="971">
      <c r="A971" s="108">
        <v>1201008320</v>
      </c>
      <c r="B971" s="109" t="s">
        <v>16438</v>
      </c>
      <c r="C971" s="110" t="s">
        <v>31</v>
      </c>
      <c r="D971" s="111">
        <v>33.210000000000001</v>
      </c>
      <c r="E971" s="111">
        <v>7.1500000000000004</v>
      </c>
      <c r="F971" s="112">
        <v>40.359999999999999</v>
      </c>
      <c r="H971" s="110" t="s">
        <v>31</v>
      </c>
      <c r="I971" s="111">
        <v>33.210000000000001</v>
      </c>
      <c r="J971" s="111">
        <v>6.6200000000000001</v>
      </c>
      <c r="K971" s="112">
        <v>39.829999999999998</v>
      </c>
      <c r="L971" s="88"/>
      <c r="M971" s="88"/>
    </row>
    <row r="972" ht="38.25">
      <c r="A972" s="108">
        <v>1201008334</v>
      </c>
      <c r="B972" s="109" t="s">
        <v>16439</v>
      </c>
      <c r="C972" s="110" t="s">
        <v>31</v>
      </c>
      <c r="D972" s="111">
        <v>161.03999999999999</v>
      </c>
      <c r="E972" s="111">
        <v>61.43</v>
      </c>
      <c r="F972" s="112">
        <v>222.47</v>
      </c>
      <c r="H972" s="110" t="s">
        <v>31</v>
      </c>
      <c r="I972" s="111">
        <v>159.97999999999999</v>
      </c>
      <c r="J972" s="111">
        <v>56.829999999999998</v>
      </c>
      <c r="K972" s="112">
        <v>216.81</v>
      </c>
      <c r="L972" s="88"/>
      <c r="M972" s="88"/>
    </row>
    <row r="973" ht="25.5">
      <c r="A973" s="108">
        <v>1201008336</v>
      </c>
      <c r="B973" s="109" t="s">
        <v>16440</v>
      </c>
      <c r="C973" s="110" t="s">
        <v>31</v>
      </c>
      <c r="D973" s="111">
        <v>150.56</v>
      </c>
      <c r="E973" s="111">
        <v>61.43</v>
      </c>
      <c r="F973" s="112">
        <v>211.99000000000001</v>
      </c>
      <c r="H973" s="110" t="s">
        <v>31</v>
      </c>
      <c r="I973" s="111">
        <v>149.58000000000001</v>
      </c>
      <c r="J973" s="111">
        <v>56.829999999999998</v>
      </c>
      <c r="K973" s="112">
        <v>206.41</v>
      </c>
      <c r="L973" s="88"/>
      <c r="M973" s="88"/>
    </row>
    <row r="974" ht="38.25">
      <c r="A974" s="108">
        <v>1201008338</v>
      </c>
      <c r="B974" s="109" t="s">
        <v>16441</v>
      </c>
      <c r="C974" s="110" t="s">
        <v>31</v>
      </c>
      <c r="D974" s="111">
        <v>202.43000000000001</v>
      </c>
      <c r="E974" s="111">
        <v>61.43</v>
      </c>
      <c r="F974" s="112">
        <v>263.86000000000001</v>
      </c>
      <c r="H974" s="110" t="s">
        <v>31</v>
      </c>
      <c r="I974" s="111">
        <v>201.28</v>
      </c>
      <c r="J974" s="111">
        <v>56.829999999999998</v>
      </c>
      <c r="K974" s="112">
        <v>258.11000000000001</v>
      </c>
      <c r="L974" s="88"/>
      <c r="M974" s="88"/>
    </row>
    <row r="975" ht="38.25">
      <c r="A975" s="108">
        <v>1201008340</v>
      </c>
      <c r="B975" s="109" t="s">
        <v>16442</v>
      </c>
      <c r="C975" s="110" t="s">
        <v>31</v>
      </c>
      <c r="D975" s="111">
        <v>76.510000000000005</v>
      </c>
      <c r="E975" s="111">
        <v>28.350000000000001</v>
      </c>
      <c r="F975" s="112">
        <v>104.86</v>
      </c>
      <c r="H975" s="110" t="s">
        <v>31</v>
      </c>
      <c r="I975" s="111">
        <v>76.019999999999996</v>
      </c>
      <c r="J975" s="111">
        <v>26.219999999999999</v>
      </c>
      <c r="K975" s="112">
        <v>102.23999999999999</v>
      </c>
      <c r="L975" s="88"/>
      <c r="M975" s="88"/>
    </row>
    <row r="976" ht="38.25">
      <c r="A976" s="108">
        <v>1201008342</v>
      </c>
      <c r="B976" s="109" t="s">
        <v>16443</v>
      </c>
      <c r="C976" s="110" t="s">
        <v>31</v>
      </c>
      <c r="D976" s="111">
        <v>485.63999999999999</v>
      </c>
      <c r="E976" s="111">
        <v>141.78</v>
      </c>
      <c r="F976" s="112">
        <v>627.41999999999996</v>
      </c>
      <c r="H976" s="110" t="s">
        <v>31</v>
      </c>
      <c r="I976" s="111">
        <v>482.32999999999998</v>
      </c>
      <c r="J976" s="111">
        <v>131.16</v>
      </c>
      <c r="K976" s="112">
        <v>613.49000000000001</v>
      </c>
      <c r="L976" s="88"/>
      <c r="M976" s="88"/>
    </row>
    <row r="977" ht="38.25">
      <c r="A977" s="108">
        <v>1201008344</v>
      </c>
      <c r="B977" s="109" t="s">
        <v>16444</v>
      </c>
      <c r="C977" s="110" t="s">
        <v>31</v>
      </c>
      <c r="D977" s="111">
        <v>741.53999999999996</v>
      </c>
      <c r="E977" s="111">
        <v>8.1099999999999994</v>
      </c>
      <c r="F977" s="112">
        <v>749.64999999999998</v>
      </c>
      <c r="H977" s="110" t="s">
        <v>31</v>
      </c>
      <c r="I977" s="111">
        <v>741.53999999999996</v>
      </c>
      <c r="J977" s="111">
        <v>7.5</v>
      </c>
      <c r="K977" s="112">
        <v>749.03999999999996</v>
      </c>
      <c r="L977" s="88"/>
      <c r="M977" s="88"/>
    </row>
    <row r="978" ht="25.5">
      <c r="A978" s="108">
        <v>1201008346</v>
      </c>
      <c r="B978" s="109" t="s">
        <v>16445</v>
      </c>
      <c r="C978" s="110" t="s">
        <v>31</v>
      </c>
      <c r="D978" s="111">
        <v>15.74</v>
      </c>
      <c r="E978" s="111">
        <v>1.73</v>
      </c>
      <c r="F978" s="112">
        <v>17.469999999999999</v>
      </c>
      <c r="H978" s="110" t="s">
        <v>31</v>
      </c>
      <c r="I978" s="111">
        <v>15.74</v>
      </c>
      <c r="J978" s="111">
        <v>1.6000000000000001</v>
      </c>
      <c r="K978" s="112">
        <v>17.34</v>
      </c>
      <c r="L978" s="88"/>
      <c r="M978" s="88"/>
    </row>
    <row r="979">
      <c r="A979" s="108">
        <v>1201008348</v>
      </c>
      <c r="B979" s="109" t="s">
        <v>16446</v>
      </c>
      <c r="C979" s="110" t="s">
        <v>31</v>
      </c>
      <c r="D979" s="111">
        <v>15.640000000000001</v>
      </c>
      <c r="E979" s="111">
        <v>1.6399999999999999</v>
      </c>
      <c r="F979" s="112">
        <v>17.280000000000001</v>
      </c>
      <c r="H979" s="110" t="s">
        <v>31</v>
      </c>
      <c r="I979" s="111">
        <v>15.640000000000001</v>
      </c>
      <c r="J979" s="111">
        <v>1.53</v>
      </c>
      <c r="K979" s="112">
        <v>17.170000000000002</v>
      </c>
      <c r="L979" s="88"/>
      <c r="M979" s="88"/>
    </row>
    <row r="980" ht="25.5">
      <c r="A980" s="108">
        <v>1201008352</v>
      </c>
      <c r="B980" s="109" t="s">
        <v>16447</v>
      </c>
      <c r="C980" s="110" t="s">
        <v>31</v>
      </c>
      <c r="D980" s="111">
        <v>2.1600000000000001</v>
      </c>
      <c r="E980" s="111">
        <v>4.7599999999999998</v>
      </c>
      <c r="F980" s="112">
        <v>6.9199999999999999</v>
      </c>
      <c r="H980" s="110" t="s">
        <v>31</v>
      </c>
      <c r="I980" s="111">
        <v>2.1600000000000001</v>
      </c>
      <c r="J980" s="111">
        <v>4.4000000000000004</v>
      </c>
      <c r="K980" s="112">
        <v>6.5599999999999996</v>
      </c>
      <c r="L980" s="88"/>
      <c r="M980" s="88"/>
    </row>
    <row r="981">
      <c r="A981" s="108">
        <v>1201008354</v>
      </c>
      <c r="B981" s="109" t="s">
        <v>16448</v>
      </c>
      <c r="C981" s="110" t="s">
        <v>31</v>
      </c>
      <c r="D981" s="111">
        <v>7.3399999999999999</v>
      </c>
      <c r="E981" s="111">
        <v>4.7599999999999998</v>
      </c>
      <c r="F981" s="112">
        <v>12.1</v>
      </c>
      <c r="H981" s="110" t="s">
        <v>31</v>
      </c>
      <c r="I981" s="111">
        <v>7.3399999999999999</v>
      </c>
      <c r="J981" s="111">
        <v>4.4000000000000004</v>
      </c>
      <c r="K981" s="112">
        <v>11.74</v>
      </c>
      <c r="L981" s="88"/>
      <c r="M981" s="88"/>
    </row>
    <row r="982" ht="25.5">
      <c r="A982" s="108">
        <v>1201008356</v>
      </c>
      <c r="B982" s="109" t="s">
        <v>16449</v>
      </c>
      <c r="C982" s="110" t="s">
        <v>31</v>
      </c>
      <c r="D982" s="111">
        <v>15.84</v>
      </c>
      <c r="E982" s="111">
        <v>4.7599999999999998</v>
      </c>
      <c r="F982" s="112">
        <v>20.600000000000001</v>
      </c>
      <c r="H982" s="110" t="s">
        <v>31</v>
      </c>
      <c r="I982" s="111">
        <v>15.84</v>
      </c>
      <c r="J982" s="111">
        <v>4.4000000000000004</v>
      </c>
      <c r="K982" s="112">
        <v>20.239999999999998</v>
      </c>
      <c r="L982" s="88"/>
      <c r="M982" s="88"/>
    </row>
    <row r="983">
      <c r="A983" s="108">
        <v>1201008358</v>
      </c>
      <c r="B983" s="109" t="s">
        <v>16450</v>
      </c>
      <c r="C983" s="110" t="s">
        <v>31</v>
      </c>
      <c r="D983" s="111">
        <v>34.710000000000001</v>
      </c>
      <c r="E983" s="111">
        <v>4.7599999999999998</v>
      </c>
      <c r="F983" s="112">
        <v>39.469999999999999</v>
      </c>
      <c r="H983" s="110" t="s">
        <v>31</v>
      </c>
      <c r="I983" s="111">
        <v>34.710000000000001</v>
      </c>
      <c r="J983" s="111">
        <v>4.4000000000000004</v>
      </c>
      <c r="K983" s="112">
        <v>39.109999999999999</v>
      </c>
      <c r="L983" s="88"/>
      <c r="M983" s="88"/>
    </row>
    <row r="984" ht="25.5">
      <c r="A984" s="108">
        <v>1201008359</v>
      </c>
      <c r="B984" s="109" t="s">
        <v>16451</v>
      </c>
      <c r="C984" s="110" t="s">
        <v>38</v>
      </c>
      <c r="D984" s="111">
        <v>213.36000000000001</v>
      </c>
      <c r="E984" s="111">
        <v>180.72999999999999</v>
      </c>
      <c r="F984" s="112">
        <v>394.08999999999997</v>
      </c>
      <c r="H984" s="110" t="s">
        <v>38</v>
      </c>
      <c r="I984" s="111">
        <v>213.36000000000001</v>
      </c>
      <c r="J984" s="111">
        <v>167.36000000000001</v>
      </c>
      <c r="K984" s="112">
        <v>380.72000000000003</v>
      </c>
      <c r="L984" s="88"/>
      <c r="M984" s="88"/>
    </row>
    <row r="985" ht="25.5">
      <c r="A985" s="108">
        <v>1201008360</v>
      </c>
      <c r="B985" s="109" t="s">
        <v>16452</v>
      </c>
      <c r="C985" s="110" t="s">
        <v>38</v>
      </c>
      <c r="D985" s="111">
        <v>229.69999999999999</v>
      </c>
      <c r="E985" s="111">
        <v>189.06999999999999</v>
      </c>
      <c r="F985" s="112">
        <v>418.76999999999998</v>
      </c>
      <c r="H985" s="110" t="s">
        <v>38</v>
      </c>
      <c r="I985" s="111">
        <v>229.69999999999999</v>
      </c>
      <c r="J985" s="111">
        <v>175.09</v>
      </c>
      <c r="K985" s="112">
        <v>404.79000000000002</v>
      </c>
      <c r="L985" s="88"/>
      <c r="M985" s="88"/>
    </row>
    <row r="986" ht="25.5">
      <c r="A986" s="108">
        <v>1201008361</v>
      </c>
      <c r="B986" s="109" t="s">
        <v>16453</v>
      </c>
      <c r="C986" s="110" t="s">
        <v>38</v>
      </c>
      <c r="D986" s="111">
        <v>141.06</v>
      </c>
      <c r="E986" s="111">
        <v>142.36000000000001</v>
      </c>
      <c r="F986" s="112">
        <v>283.42000000000002</v>
      </c>
      <c r="H986" s="110" t="s">
        <v>38</v>
      </c>
      <c r="I986" s="111">
        <v>141.06</v>
      </c>
      <c r="J986" s="111">
        <v>131.88</v>
      </c>
      <c r="K986" s="112">
        <v>272.94</v>
      </c>
      <c r="L986" s="88"/>
      <c r="M986" s="88"/>
    </row>
    <row r="987" ht="25.5">
      <c r="A987" s="108">
        <v>1201008362</v>
      </c>
      <c r="B987" s="109" t="s">
        <v>16454</v>
      </c>
      <c r="C987" s="110" t="s">
        <v>31</v>
      </c>
      <c r="D987" s="111">
        <v>17.84</v>
      </c>
      <c r="E987" s="111">
        <v>9.5399999999999991</v>
      </c>
      <c r="F987" s="112">
        <v>27.379999999999999</v>
      </c>
      <c r="H987" s="110" t="s">
        <v>31</v>
      </c>
      <c r="I987" s="111">
        <v>17.84</v>
      </c>
      <c r="J987" s="111">
        <v>8.8200000000000003</v>
      </c>
      <c r="K987" s="112">
        <v>26.66</v>
      </c>
      <c r="L987" s="88"/>
      <c r="M987" s="88"/>
    </row>
    <row r="988">
      <c r="A988" s="108">
        <v>1201008364</v>
      </c>
      <c r="B988" s="109" t="s">
        <v>16455</v>
      </c>
      <c r="C988" s="110" t="s">
        <v>31</v>
      </c>
      <c r="D988" s="111">
        <v>43.979999999999997</v>
      </c>
      <c r="E988" s="111">
        <v>9.5399999999999991</v>
      </c>
      <c r="F988" s="112">
        <v>53.520000000000003</v>
      </c>
      <c r="H988" s="110" t="s">
        <v>31</v>
      </c>
      <c r="I988" s="111">
        <v>43.979999999999997</v>
      </c>
      <c r="J988" s="111">
        <v>8.8200000000000003</v>
      </c>
      <c r="K988" s="112">
        <v>52.799999999999997</v>
      </c>
      <c r="L988" s="88"/>
      <c r="M988" s="88"/>
    </row>
    <row r="989">
      <c r="A989" s="108">
        <v>1201008366</v>
      </c>
      <c r="B989" s="109" t="s">
        <v>16456</v>
      </c>
      <c r="C989" s="110" t="s">
        <v>31</v>
      </c>
      <c r="D989" s="111">
        <v>2.4500000000000002</v>
      </c>
      <c r="E989" s="111">
        <v>9.5399999999999991</v>
      </c>
      <c r="F989" s="112">
        <v>11.99</v>
      </c>
      <c r="H989" s="110" t="s">
        <v>31</v>
      </c>
      <c r="I989" s="111">
        <v>2.4500000000000002</v>
      </c>
      <c r="J989" s="111">
        <v>8.8200000000000003</v>
      </c>
      <c r="K989" s="112">
        <v>11.27</v>
      </c>
      <c r="L989" s="88"/>
      <c r="M989" s="88"/>
    </row>
    <row r="990">
      <c r="A990" s="108">
        <v>1201008370</v>
      </c>
      <c r="B990" s="109" t="s">
        <v>16457</v>
      </c>
      <c r="C990" s="110" t="s">
        <v>38</v>
      </c>
      <c r="D990" s="111">
        <v>4.5199999999999996</v>
      </c>
      <c r="E990" s="111">
        <v>9.5399999999999991</v>
      </c>
      <c r="F990" s="112">
        <v>14.06</v>
      </c>
      <c r="H990" s="110" t="s">
        <v>38</v>
      </c>
      <c r="I990" s="111">
        <v>4.5199999999999996</v>
      </c>
      <c r="J990" s="111">
        <v>8.8200000000000003</v>
      </c>
      <c r="K990" s="112">
        <v>13.34</v>
      </c>
      <c r="L990" s="88"/>
      <c r="M990" s="88"/>
    </row>
    <row r="991">
      <c r="A991" s="108">
        <v>1201008372</v>
      </c>
      <c r="B991" s="109" t="s">
        <v>16407</v>
      </c>
      <c r="C991" s="110" t="s">
        <v>38</v>
      </c>
      <c r="D991" s="111">
        <v>7.0999999999999996</v>
      </c>
      <c r="E991" s="111">
        <v>9.5399999999999991</v>
      </c>
      <c r="F991" s="112">
        <v>16.640000000000001</v>
      </c>
      <c r="H991" s="110" t="s">
        <v>38</v>
      </c>
      <c r="I991" s="111">
        <v>7.0999999999999996</v>
      </c>
      <c r="J991" s="111">
        <v>8.8200000000000003</v>
      </c>
      <c r="K991" s="112">
        <v>15.92</v>
      </c>
      <c r="L991" s="88"/>
      <c r="M991" s="88"/>
    </row>
    <row r="992">
      <c r="A992" s="108">
        <v>1201008374</v>
      </c>
      <c r="B992" s="109" t="s">
        <v>16408</v>
      </c>
      <c r="C992" s="110" t="s">
        <v>38</v>
      </c>
      <c r="D992" s="111">
        <v>11.31</v>
      </c>
      <c r="E992" s="111">
        <v>14.789999999999999</v>
      </c>
      <c r="F992" s="112">
        <v>26.100000000000001</v>
      </c>
      <c r="H992" s="110" t="s">
        <v>38</v>
      </c>
      <c r="I992" s="111">
        <v>11.31</v>
      </c>
      <c r="J992" s="111">
        <v>13.68</v>
      </c>
      <c r="K992" s="112">
        <v>24.989999999999998</v>
      </c>
      <c r="L992" s="88"/>
      <c r="M992" s="88"/>
    </row>
    <row r="993">
      <c r="A993" s="108">
        <v>1201008376</v>
      </c>
      <c r="B993" s="109" t="s">
        <v>16458</v>
      </c>
      <c r="C993" s="110" t="s">
        <v>38</v>
      </c>
      <c r="D993" s="111">
        <v>3.6000000000000001</v>
      </c>
      <c r="E993" s="111">
        <v>19.23</v>
      </c>
      <c r="F993" s="112">
        <v>22.829999999999998</v>
      </c>
      <c r="H993" s="110" t="s">
        <v>38</v>
      </c>
      <c r="I993" s="111">
        <v>3.6000000000000001</v>
      </c>
      <c r="J993" s="111">
        <v>17.789999999999999</v>
      </c>
      <c r="K993" s="112">
        <v>21.390000000000001</v>
      </c>
      <c r="L993" s="88"/>
      <c r="M993" s="88"/>
    </row>
    <row r="994">
      <c r="A994" s="108">
        <v>1201008380</v>
      </c>
      <c r="B994" s="109" t="s">
        <v>16459</v>
      </c>
      <c r="C994" s="110" t="s">
        <v>38</v>
      </c>
      <c r="D994" s="111">
        <v>20.579999999999998</v>
      </c>
      <c r="E994" s="111">
        <v>5.7199999999999998</v>
      </c>
      <c r="F994" s="112">
        <v>26.300000000000001</v>
      </c>
      <c r="H994" s="110" t="s">
        <v>38</v>
      </c>
      <c r="I994" s="111">
        <v>20.579999999999998</v>
      </c>
      <c r="J994" s="111">
        <v>5.2800000000000002</v>
      </c>
      <c r="K994" s="112">
        <v>25.859999999999999</v>
      </c>
      <c r="L994" s="88"/>
      <c r="M994" s="88"/>
    </row>
    <row r="995">
      <c r="A995" s="108">
        <v>1201008382</v>
      </c>
      <c r="B995" s="109" t="s">
        <v>16460</v>
      </c>
      <c r="C995" s="110" t="s">
        <v>38</v>
      </c>
      <c r="D995" s="111">
        <v>37.280000000000001</v>
      </c>
      <c r="E995" s="111">
        <v>7.6299999999999999</v>
      </c>
      <c r="F995" s="112">
        <v>44.909999999999997</v>
      </c>
      <c r="H995" s="110" t="s">
        <v>38</v>
      </c>
      <c r="I995" s="111">
        <v>37.280000000000001</v>
      </c>
      <c r="J995" s="111">
        <v>7.0599999999999996</v>
      </c>
      <c r="K995" s="112">
        <v>44.340000000000003</v>
      </c>
      <c r="L995" s="88"/>
      <c r="M995" s="88"/>
    </row>
    <row r="996">
      <c r="A996" s="108">
        <v>1201008384</v>
      </c>
      <c r="B996" s="109" t="s">
        <v>16461</v>
      </c>
      <c r="C996" s="110" t="s">
        <v>38</v>
      </c>
      <c r="D996" s="111">
        <v>59.219999999999999</v>
      </c>
      <c r="E996" s="111">
        <v>9.5399999999999991</v>
      </c>
      <c r="F996" s="112">
        <v>68.760000000000005</v>
      </c>
      <c r="H996" s="110" t="s">
        <v>38</v>
      </c>
      <c r="I996" s="111">
        <v>59.219999999999999</v>
      </c>
      <c r="J996" s="111">
        <v>8.8200000000000003</v>
      </c>
      <c r="K996" s="112">
        <v>68.040000000000006</v>
      </c>
      <c r="L996" s="88"/>
      <c r="M996" s="88"/>
    </row>
    <row r="997">
      <c r="A997" s="108">
        <v>1201008386</v>
      </c>
      <c r="B997" s="109" t="s">
        <v>16462</v>
      </c>
      <c r="C997" s="110" t="s">
        <v>31</v>
      </c>
      <c r="D997" s="111">
        <v>21.640000000000001</v>
      </c>
      <c r="E997" s="111">
        <v>95.480000000000004</v>
      </c>
      <c r="F997" s="112">
        <v>117.12</v>
      </c>
      <c r="H997" s="110" t="s">
        <v>31</v>
      </c>
      <c r="I997" s="111">
        <v>21.640000000000001</v>
      </c>
      <c r="J997" s="111">
        <v>88.299999999999997</v>
      </c>
      <c r="K997" s="112">
        <v>109.94</v>
      </c>
      <c r="L997" s="88"/>
      <c r="M997" s="88"/>
    </row>
    <row r="998">
      <c r="A998" s="108">
        <v>1201008388</v>
      </c>
      <c r="B998" s="109" t="s">
        <v>16463</v>
      </c>
      <c r="C998" s="110" t="s">
        <v>38</v>
      </c>
      <c r="D998" s="111">
        <v>8.25</v>
      </c>
      <c r="E998" s="111">
        <v>29.59</v>
      </c>
      <c r="F998" s="112">
        <v>37.840000000000003</v>
      </c>
      <c r="H998" s="110" t="s">
        <v>38</v>
      </c>
      <c r="I998" s="111">
        <v>8.25</v>
      </c>
      <c r="J998" s="111">
        <v>27.359999999999999</v>
      </c>
      <c r="K998" s="112">
        <v>35.609999999999999</v>
      </c>
      <c r="L998" s="88"/>
      <c r="M998" s="88"/>
    </row>
    <row r="999">
      <c r="A999" s="108">
        <v>1201008390</v>
      </c>
      <c r="B999" s="109" t="s">
        <v>16464</v>
      </c>
      <c r="C999" s="110" t="s">
        <v>38</v>
      </c>
      <c r="D999" s="111">
        <v>16.760000000000002</v>
      </c>
      <c r="E999" s="111">
        <v>14.789999999999999</v>
      </c>
      <c r="F999" s="112">
        <v>31.550000000000001</v>
      </c>
      <c r="H999" s="110" t="s">
        <v>38</v>
      </c>
      <c r="I999" s="111">
        <v>16.760000000000002</v>
      </c>
      <c r="J999" s="111">
        <v>13.68</v>
      </c>
      <c r="K999" s="112">
        <v>30.440000000000001</v>
      </c>
      <c r="L999" s="88"/>
      <c r="M999" s="88"/>
    </row>
    <row r="1000">
      <c r="A1000" s="108">
        <v>1201008392</v>
      </c>
      <c r="B1000" s="109" t="s">
        <v>16465</v>
      </c>
      <c r="C1000" s="110" t="s">
        <v>31</v>
      </c>
      <c r="D1000" s="111">
        <v>11.300000000000001</v>
      </c>
      <c r="E1000" s="111">
        <v>14.31</v>
      </c>
      <c r="F1000" s="112">
        <v>25.609999999999999</v>
      </c>
      <c r="H1000" s="110" t="s">
        <v>31</v>
      </c>
      <c r="I1000" s="111">
        <v>11.300000000000001</v>
      </c>
      <c r="J1000" s="111">
        <v>13.24</v>
      </c>
      <c r="K1000" s="112">
        <v>24.539999999999999</v>
      </c>
      <c r="L1000" s="88"/>
      <c r="M1000" s="88"/>
    </row>
    <row r="1001" ht="25.5">
      <c r="A1001" s="108">
        <v>1201008394</v>
      </c>
      <c r="B1001" s="109" t="s">
        <v>16466</v>
      </c>
      <c r="C1001" s="110" t="s">
        <v>31</v>
      </c>
      <c r="D1001" s="111">
        <v>6.7300000000000004</v>
      </c>
      <c r="E1001" s="111">
        <v>0.94999999999999996</v>
      </c>
      <c r="F1001" s="112">
        <v>7.6799999999999997</v>
      </c>
      <c r="H1001" s="110" t="s">
        <v>31</v>
      </c>
      <c r="I1001" s="111">
        <v>6.7300000000000004</v>
      </c>
      <c r="J1001" s="111">
        <v>0.88</v>
      </c>
      <c r="K1001" s="112">
        <v>7.6100000000000003</v>
      </c>
      <c r="L1001" s="88"/>
      <c r="M1001" s="88"/>
    </row>
    <row r="1002" ht="25.5">
      <c r="A1002" s="108">
        <v>1201008398</v>
      </c>
      <c r="B1002" s="109" t="s">
        <v>16467</v>
      </c>
      <c r="C1002" s="110" t="s">
        <v>31</v>
      </c>
      <c r="D1002" s="111">
        <v>53.219999999999999</v>
      </c>
      <c r="E1002" s="111">
        <v>14.31</v>
      </c>
      <c r="F1002" s="112">
        <v>67.530000000000001</v>
      </c>
      <c r="H1002" s="110" t="s">
        <v>31</v>
      </c>
      <c r="I1002" s="111">
        <v>53.219999999999999</v>
      </c>
      <c r="J1002" s="111">
        <v>13.24</v>
      </c>
      <c r="K1002" s="112">
        <v>66.459999999999994</v>
      </c>
      <c r="L1002" s="88"/>
      <c r="M1002" s="88"/>
    </row>
    <row r="1003" ht="25.5">
      <c r="A1003" s="108">
        <v>1201008400</v>
      </c>
      <c r="B1003" s="109" t="s">
        <v>16468</v>
      </c>
      <c r="C1003" s="110" t="s">
        <v>31</v>
      </c>
      <c r="D1003" s="111">
        <v>47.560000000000002</v>
      </c>
      <c r="E1003" s="111">
        <v>14.31</v>
      </c>
      <c r="F1003" s="112">
        <v>61.869999999999997</v>
      </c>
      <c r="H1003" s="110" t="s">
        <v>31</v>
      </c>
      <c r="I1003" s="111">
        <v>47.560000000000002</v>
      </c>
      <c r="J1003" s="111">
        <v>13.24</v>
      </c>
      <c r="K1003" s="112">
        <v>60.799999999999997</v>
      </c>
      <c r="L1003" s="88"/>
      <c r="M1003" s="88"/>
    </row>
    <row r="1004" ht="25.5">
      <c r="A1004" s="108">
        <v>1201008402</v>
      </c>
      <c r="B1004" s="109" t="s">
        <v>16469</v>
      </c>
      <c r="C1004" s="110" t="s">
        <v>31</v>
      </c>
      <c r="D1004" s="111">
        <v>39.369999999999997</v>
      </c>
      <c r="E1004" s="111">
        <v>14.31</v>
      </c>
      <c r="F1004" s="112">
        <v>53.68</v>
      </c>
      <c r="H1004" s="110" t="s">
        <v>31</v>
      </c>
      <c r="I1004" s="111">
        <v>39.369999999999997</v>
      </c>
      <c r="J1004" s="111">
        <v>13.24</v>
      </c>
      <c r="K1004" s="112">
        <v>52.609999999999999</v>
      </c>
      <c r="L1004" s="88"/>
      <c r="M1004" s="88"/>
    </row>
    <row r="1005" ht="25.5">
      <c r="A1005" s="108">
        <v>1201008404</v>
      </c>
      <c r="B1005" s="109" t="s">
        <v>16470</v>
      </c>
      <c r="C1005" s="110" t="s">
        <v>31</v>
      </c>
      <c r="D1005" s="111">
        <v>63.399999999999999</v>
      </c>
      <c r="E1005" s="111">
        <v>15</v>
      </c>
      <c r="F1005" s="112">
        <v>78.400000000000006</v>
      </c>
      <c r="H1005" s="110" t="s">
        <v>31</v>
      </c>
      <c r="I1005" s="111">
        <v>63.399999999999999</v>
      </c>
      <c r="J1005" s="111">
        <v>13.85</v>
      </c>
      <c r="K1005" s="112">
        <v>77.25</v>
      </c>
      <c r="L1005" s="88"/>
      <c r="M1005" s="88"/>
    </row>
    <row r="1006" ht="25.5">
      <c r="A1006" s="108">
        <v>1201008406</v>
      </c>
      <c r="B1006" s="109" t="s">
        <v>16471</v>
      </c>
      <c r="C1006" s="110" t="s">
        <v>31</v>
      </c>
      <c r="D1006" s="111">
        <v>53.140000000000001</v>
      </c>
      <c r="E1006" s="111">
        <v>14.31</v>
      </c>
      <c r="F1006" s="112">
        <v>67.450000000000003</v>
      </c>
      <c r="H1006" s="110" t="s">
        <v>31</v>
      </c>
      <c r="I1006" s="111">
        <v>53.140000000000001</v>
      </c>
      <c r="J1006" s="111">
        <v>13.24</v>
      </c>
      <c r="K1006" s="112">
        <v>66.379999999999995</v>
      </c>
      <c r="L1006" s="88"/>
      <c r="M1006" s="88"/>
    </row>
    <row r="1007" ht="25.5">
      <c r="A1007" s="108">
        <v>1201008408</v>
      </c>
      <c r="B1007" s="109" t="s">
        <v>16472</v>
      </c>
      <c r="C1007" s="110" t="s">
        <v>31</v>
      </c>
      <c r="D1007" s="111">
        <v>57.890000000000001</v>
      </c>
      <c r="E1007" s="111">
        <v>14.31</v>
      </c>
      <c r="F1007" s="112">
        <v>72.200000000000003</v>
      </c>
      <c r="H1007" s="110" t="s">
        <v>31</v>
      </c>
      <c r="I1007" s="111">
        <v>57.890000000000001</v>
      </c>
      <c r="J1007" s="111">
        <v>13.24</v>
      </c>
      <c r="K1007" s="112">
        <v>71.129999999999995</v>
      </c>
      <c r="L1007" s="88"/>
      <c r="M1007" s="88"/>
    </row>
    <row r="1008" ht="25.5">
      <c r="A1008" s="108">
        <v>1201008410</v>
      </c>
      <c r="B1008" s="109" t="s">
        <v>16473</v>
      </c>
      <c r="C1008" s="110" t="s">
        <v>31</v>
      </c>
      <c r="D1008" s="111">
        <v>46.829999999999998</v>
      </c>
      <c r="E1008" s="111">
        <v>14.31</v>
      </c>
      <c r="F1008" s="112">
        <v>61.140000000000001</v>
      </c>
      <c r="H1008" s="110" t="s">
        <v>31</v>
      </c>
      <c r="I1008" s="111">
        <v>46.829999999999998</v>
      </c>
      <c r="J1008" s="111">
        <v>13.24</v>
      </c>
      <c r="K1008" s="112">
        <v>60.07</v>
      </c>
      <c r="L1008" s="88"/>
      <c r="M1008" s="88"/>
    </row>
    <row r="1009" ht="25.5">
      <c r="A1009" s="108">
        <v>1201008412</v>
      </c>
      <c r="B1009" s="109" t="s">
        <v>16474</v>
      </c>
      <c r="C1009" s="110" t="s">
        <v>31</v>
      </c>
      <c r="D1009" s="111">
        <v>52.079999999999998</v>
      </c>
      <c r="E1009" s="111">
        <v>14.31</v>
      </c>
      <c r="F1009" s="112">
        <v>66.390000000000001</v>
      </c>
      <c r="H1009" s="110" t="s">
        <v>31</v>
      </c>
      <c r="I1009" s="111">
        <v>52.079999999999998</v>
      </c>
      <c r="J1009" s="111">
        <v>13.24</v>
      </c>
      <c r="K1009" s="112">
        <v>65.319999999999993</v>
      </c>
      <c r="L1009" s="88"/>
      <c r="M1009" s="88"/>
    </row>
    <row r="1010" ht="25.5">
      <c r="A1010" s="108">
        <v>1201008414</v>
      </c>
      <c r="B1010" s="109" t="s">
        <v>16475</v>
      </c>
      <c r="C1010" s="110" t="s">
        <v>31</v>
      </c>
      <c r="D1010" s="111">
        <v>50.299999999999997</v>
      </c>
      <c r="E1010" s="111">
        <v>9.5399999999999991</v>
      </c>
      <c r="F1010" s="112">
        <v>59.840000000000003</v>
      </c>
      <c r="H1010" s="110" t="s">
        <v>31</v>
      </c>
      <c r="I1010" s="111">
        <v>50.299999999999997</v>
      </c>
      <c r="J1010" s="111">
        <v>8.8200000000000003</v>
      </c>
      <c r="K1010" s="112">
        <v>59.119999999999997</v>
      </c>
      <c r="L1010" s="88"/>
      <c r="M1010" s="88"/>
    </row>
    <row r="1011">
      <c r="A1011" s="108">
        <v>1201008416</v>
      </c>
      <c r="B1011" s="109" t="s">
        <v>16476</v>
      </c>
      <c r="C1011" s="110" t="s">
        <v>31</v>
      </c>
      <c r="D1011" s="111">
        <v>62.75</v>
      </c>
      <c r="E1011" s="111">
        <v>19.09</v>
      </c>
      <c r="F1011" s="112">
        <v>81.840000000000003</v>
      </c>
      <c r="H1011" s="110" t="s">
        <v>31</v>
      </c>
      <c r="I1011" s="111">
        <v>62.75</v>
      </c>
      <c r="J1011" s="111">
        <v>17.649999999999999</v>
      </c>
      <c r="K1011" s="112">
        <v>80.400000000000006</v>
      </c>
      <c r="L1011" s="88"/>
      <c r="M1011" s="88"/>
    </row>
    <row r="1012">
      <c r="A1012" s="108">
        <v>1201008418</v>
      </c>
      <c r="B1012" s="109" t="s">
        <v>16477</v>
      </c>
      <c r="C1012" s="110" t="s">
        <v>31</v>
      </c>
      <c r="D1012" s="111">
        <v>71.280000000000001</v>
      </c>
      <c r="E1012" s="111">
        <v>9.5399999999999991</v>
      </c>
      <c r="F1012" s="112">
        <v>80.819999999999993</v>
      </c>
      <c r="H1012" s="110" t="s">
        <v>31</v>
      </c>
      <c r="I1012" s="111">
        <v>71.280000000000001</v>
      </c>
      <c r="J1012" s="111">
        <v>8.8200000000000003</v>
      </c>
      <c r="K1012" s="112">
        <v>80.099999999999994</v>
      </c>
      <c r="L1012" s="88"/>
      <c r="M1012" s="88"/>
    </row>
    <row r="1013">
      <c r="A1013" s="108">
        <v>1201008420</v>
      </c>
      <c r="B1013" s="109" t="s">
        <v>16478</v>
      </c>
      <c r="C1013" s="110" t="s">
        <v>31</v>
      </c>
      <c r="D1013" s="111">
        <v>58.799999999999997</v>
      </c>
      <c r="E1013" s="111">
        <v>9.5399999999999991</v>
      </c>
      <c r="F1013" s="112">
        <v>68.340000000000003</v>
      </c>
      <c r="H1013" s="110" t="s">
        <v>31</v>
      </c>
      <c r="I1013" s="111">
        <v>58.799999999999997</v>
      </c>
      <c r="J1013" s="111">
        <v>8.8200000000000003</v>
      </c>
      <c r="K1013" s="112">
        <v>67.620000000000005</v>
      </c>
      <c r="L1013" s="88"/>
      <c r="M1013" s="88"/>
    </row>
    <row r="1014" ht="25.5">
      <c r="A1014" s="108">
        <v>1201008422</v>
      </c>
      <c r="B1014" s="109" t="s">
        <v>16479</v>
      </c>
      <c r="C1014" s="110" t="s">
        <v>31</v>
      </c>
      <c r="D1014" s="111">
        <v>85.640000000000001</v>
      </c>
      <c r="E1014" s="111">
        <v>19.09</v>
      </c>
      <c r="F1014" s="112">
        <v>104.73</v>
      </c>
      <c r="H1014" s="110" t="s">
        <v>31</v>
      </c>
      <c r="I1014" s="111">
        <v>85.640000000000001</v>
      </c>
      <c r="J1014" s="111">
        <v>17.649999999999999</v>
      </c>
      <c r="K1014" s="112">
        <v>103.29000000000001</v>
      </c>
      <c r="L1014" s="88"/>
      <c r="M1014" s="88"/>
    </row>
    <row r="1015" ht="25.5">
      <c r="A1015" s="108">
        <v>1201008424</v>
      </c>
      <c r="B1015" s="109" t="s">
        <v>16480</v>
      </c>
      <c r="C1015" s="110" t="s">
        <v>31</v>
      </c>
      <c r="D1015" s="111">
        <v>40.240000000000002</v>
      </c>
      <c r="E1015" s="111">
        <v>14.76</v>
      </c>
      <c r="F1015" s="112">
        <v>55</v>
      </c>
      <c r="H1015" s="110" t="s">
        <v>31</v>
      </c>
      <c r="I1015" s="111">
        <v>40.240000000000002</v>
      </c>
      <c r="J1015" s="111">
        <v>13.630000000000001</v>
      </c>
      <c r="K1015" s="112">
        <v>53.869999999999997</v>
      </c>
      <c r="L1015" s="88"/>
      <c r="M1015" s="88"/>
    </row>
    <row r="1016">
      <c r="A1016" s="108">
        <v>1201008426</v>
      </c>
      <c r="B1016" s="109" t="s">
        <v>16481</v>
      </c>
      <c r="C1016" s="110" t="s">
        <v>31</v>
      </c>
      <c r="D1016" s="111">
        <v>44.729999999999997</v>
      </c>
      <c r="E1016" s="111">
        <v>19.09</v>
      </c>
      <c r="F1016" s="112">
        <v>63.82</v>
      </c>
      <c r="H1016" s="110" t="s">
        <v>31</v>
      </c>
      <c r="I1016" s="111">
        <v>44.729999999999997</v>
      </c>
      <c r="J1016" s="111">
        <v>17.649999999999999</v>
      </c>
      <c r="K1016" s="112">
        <v>62.380000000000003</v>
      </c>
      <c r="L1016" s="88"/>
      <c r="M1016" s="88"/>
    </row>
    <row r="1017">
      <c r="A1017" s="108">
        <v>1201008428</v>
      </c>
      <c r="B1017" s="109" t="s">
        <v>16482</v>
      </c>
      <c r="C1017" s="110" t="s">
        <v>31</v>
      </c>
      <c r="D1017" s="111">
        <v>137.59</v>
      </c>
      <c r="E1017" s="111">
        <v>14.31</v>
      </c>
      <c r="F1017" s="112">
        <v>151.90000000000001</v>
      </c>
      <c r="H1017" s="110" t="s">
        <v>31</v>
      </c>
      <c r="I1017" s="111">
        <v>137.59</v>
      </c>
      <c r="J1017" s="111">
        <v>13.24</v>
      </c>
      <c r="K1017" s="112">
        <v>150.83000000000001</v>
      </c>
      <c r="L1017" s="88"/>
      <c r="M1017" s="88"/>
    </row>
    <row r="1018">
      <c r="A1018" s="108">
        <v>1201008430</v>
      </c>
      <c r="B1018" s="109" t="s">
        <v>16483</v>
      </c>
      <c r="C1018" s="110" t="s">
        <v>31</v>
      </c>
      <c r="D1018" s="111">
        <v>173.25</v>
      </c>
      <c r="E1018" s="111">
        <v>14.31</v>
      </c>
      <c r="F1018" s="112">
        <v>187.56</v>
      </c>
      <c r="H1018" s="110" t="s">
        <v>31</v>
      </c>
      <c r="I1018" s="111">
        <v>173.25</v>
      </c>
      <c r="J1018" s="111">
        <v>13.24</v>
      </c>
      <c r="K1018" s="112">
        <v>186.49000000000001</v>
      </c>
      <c r="L1018" s="88"/>
      <c r="M1018" s="88"/>
    </row>
    <row r="1019">
      <c r="A1019" s="108">
        <v>1201008432</v>
      </c>
      <c r="B1019" s="109" t="s">
        <v>16484</v>
      </c>
      <c r="C1019" s="110" t="s">
        <v>31</v>
      </c>
      <c r="D1019" s="111">
        <v>33.369999999999997</v>
      </c>
      <c r="E1019" s="111">
        <v>14.31</v>
      </c>
      <c r="F1019" s="112">
        <v>47.68</v>
      </c>
      <c r="H1019" s="110" t="s">
        <v>31</v>
      </c>
      <c r="I1019" s="111">
        <v>33.369999999999997</v>
      </c>
      <c r="J1019" s="111">
        <v>13.24</v>
      </c>
      <c r="K1019" s="112">
        <v>46.609999999999999</v>
      </c>
      <c r="L1019" s="88"/>
      <c r="M1019" s="88"/>
    </row>
    <row r="1020">
      <c r="A1020" s="108">
        <v>1201008434</v>
      </c>
      <c r="B1020" s="109" t="s">
        <v>16485</v>
      </c>
      <c r="C1020" s="110" t="s">
        <v>31</v>
      </c>
      <c r="D1020" s="111">
        <v>146.47</v>
      </c>
      <c r="E1020" s="111">
        <v>14.31</v>
      </c>
      <c r="F1020" s="112">
        <v>160.78</v>
      </c>
      <c r="H1020" s="110" t="s">
        <v>31</v>
      </c>
      <c r="I1020" s="111">
        <v>146.47</v>
      </c>
      <c r="J1020" s="111">
        <v>13.24</v>
      </c>
      <c r="K1020" s="112">
        <v>159.71000000000001</v>
      </c>
      <c r="L1020" s="88"/>
      <c r="M1020" s="88"/>
    </row>
    <row r="1021">
      <c r="A1021" s="108">
        <v>1201008436</v>
      </c>
      <c r="B1021" s="109" t="s">
        <v>16486</v>
      </c>
      <c r="C1021" s="110" t="s">
        <v>31</v>
      </c>
      <c r="D1021" s="111">
        <v>6.04</v>
      </c>
      <c r="E1021" s="111">
        <v>14.31</v>
      </c>
      <c r="F1021" s="112">
        <v>20.350000000000001</v>
      </c>
      <c r="H1021" s="110" t="s">
        <v>31</v>
      </c>
      <c r="I1021" s="111">
        <v>6.04</v>
      </c>
      <c r="J1021" s="111">
        <v>13.24</v>
      </c>
      <c r="K1021" s="112">
        <v>19.280000000000001</v>
      </c>
      <c r="L1021" s="88"/>
      <c r="M1021" s="88"/>
    </row>
    <row r="1022">
      <c r="A1022" s="108">
        <v>1201008438</v>
      </c>
      <c r="B1022" s="109" t="s">
        <v>16487</v>
      </c>
      <c r="C1022" s="110" t="s">
        <v>31</v>
      </c>
      <c r="D1022" s="111">
        <v>29.84</v>
      </c>
      <c r="E1022" s="111">
        <v>9.5399999999999991</v>
      </c>
      <c r="F1022" s="112">
        <v>39.380000000000003</v>
      </c>
      <c r="H1022" s="110" t="s">
        <v>31</v>
      </c>
      <c r="I1022" s="111">
        <v>29.84</v>
      </c>
      <c r="J1022" s="111">
        <v>8.8200000000000003</v>
      </c>
      <c r="K1022" s="112">
        <v>38.659999999999997</v>
      </c>
      <c r="L1022" s="88"/>
      <c r="M1022" s="88"/>
    </row>
    <row r="1023">
      <c r="A1023" s="108">
        <v>1201008440</v>
      </c>
      <c r="B1023" s="109" t="s">
        <v>16488</v>
      </c>
      <c r="C1023" s="110" t="s">
        <v>31</v>
      </c>
      <c r="D1023" s="111">
        <v>48.899999999999999</v>
      </c>
      <c r="E1023" s="111">
        <v>14.31</v>
      </c>
      <c r="F1023" s="112">
        <v>63.210000000000001</v>
      </c>
      <c r="H1023" s="110" t="s">
        <v>31</v>
      </c>
      <c r="I1023" s="111">
        <v>48.899999999999999</v>
      </c>
      <c r="J1023" s="111">
        <v>13.24</v>
      </c>
      <c r="K1023" s="112">
        <v>62.140000000000001</v>
      </c>
      <c r="L1023" s="88"/>
      <c r="M1023" s="88"/>
    </row>
    <row r="1024">
      <c r="A1024" s="108">
        <v>1201008442</v>
      </c>
      <c r="B1024" s="109" t="s">
        <v>16489</v>
      </c>
      <c r="C1024" s="110" t="s">
        <v>31</v>
      </c>
      <c r="D1024" s="111">
        <v>60.57</v>
      </c>
      <c r="E1024" s="111">
        <v>14.31</v>
      </c>
      <c r="F1024" s="112">
        <v>74.879999999999995</v>
      </c>
      <c r="H1024" s="110" t="s">
        <v>31</v>
      </c>
      <c r="I1024" s="111">
        <v>60.57</v>
      </c>
      <c r="J1024" s="111">
        <v>13.24</v>
      </c>
      <c r="K1024" s="112">
        <v>73.810000000000002</v>
      </c>
      <c r="L1024" s="88"/>
      <c r="M1024" s="88"/>
    </row>
    <row r="1025">
      <c r="A1025" s="108">
        <v>1201008444</v>
      </c>
      <c r="B1025" s="109" t="s">
        <v>16490</v>
      </c>
      <c r="C1025" s="110" t="s">
        <v>31</v>
      </c>
      <c r="D1025" s="111">
        <v>51.219999999999999</v>
      </c>
      <c r="E1025" s="111">
        <v>14.31</v>
      </c>
      <c r="F1025" s="112">
        <v>65.530000000000001</v>
      </c>
      <c r="H1025" s="110" t="s">
        <v>31</v>
      </c>
      <c r="I1025" s="111">
        <v>51.219999999999999</v>
      </c>
      <c r="J1025" s="111">
        <v>13.24</v>
      </c>
      <c r="K1025" s="112">
        <v>64.459999999999994</v>
      </c>
      <c r="L1025" s="88"/>
      <c r="M1025" s="88"/>
    </row>
    <row r="1026" ht="25.5">
      <c r="A1026" s="69">
        <v>1201008470</v>
      </c>
      <c r="B1026" s="89" t="s">
        <v>16491</v>
      </c>
      <c r="C1026" s="88" t="s">
        <v>31</v>
      </c>
      <c r="D1026" s="113"/>
      <c r="E1026" s="113">
        <v>321.72000000000003</v>
      </c>
      <c r="F1026" s="114">
        <v>321.72000000000003</v>
      </c>
      <c r="H1026" s="88" t="s">
        <v>31</v>
      </c>
      <c r="I1026" s="113"/>
      <c r="J1026" s="113">
        <v>316.01999999999998</v>
      </c>
      <c r="K1026" s="114">
        <v>316.01999999999998</v>
      </c>
      <c r="L1026" s="88"/>
      <c r="M1026" s="88"/>
    </row>
    <row r="1027" ht="25.5">
      <c r="A1027" s="69">
        <v>1201008472</v>
      </c>
      <c r="B1027" s="89" t="s">
        <v>16492</v>
      </c>
      <c r="C1027" s="88" t="s">
        <v>31</v>
      </c>
      <c r="D1027" s="113"/>
      <c r="E1027" s="113">
        <v>482.56999999999999</v>
      </c>
      <c r="F1027" s="114">
        <v>482.56999999999999</v>
      </c>
      <c r="H1027" s="88" t="s">
        <v>31</v>
      </c>
      <c r="I1027" s="113"/>
      <c r="J1027" s="113">
        <v>474.01999999999998</v>
      </c>
      <c r="K1027" s="114">
        <v>474.01999999999998</v>
      </c>
      <c r="L1027" s="88"/>
      <c r="M1027" s="88"/>
    </row>
    <row r="1028">
      <c r="D1028" s="113"/>
      <c r="E1028" s="113"/>
      <c r="F1028" s="114"/>
      <c r="H1028" s="88"/>
      <c r="I1028" s="113"/>
      <c r="J1028" s="113"/>
      <c r="K1028" s="114"/>
      <c r="L1028" s="88"/>
      <c r="M1028" s="88"/>
    </row>
    <row r="1029">
      <c r="B1029" s="89" t="s">
        <v>16493</v>
      </c>
      <c r="D1029" s="113"/>
      <c r="E1029" s="113"/>
      <c r="F1029" s="114"/>
      <c r="H1029" s="88"/>
      <c r="I1029" s="113"/>
      <c r="J1029" s="113"/>
      <c r="K1029" s="114"/>
      <c r="L1029" s="88"/>
      <c r="M1029" s="88"/>
    </row>
    <row r="1030" ht="51">
      <c r="A1030" s="108">
        <v>1201009001</v>
      </c>
      <c r="B1030" s="109" t="s">
        <v>16494</v>
      </c>
      <c r="C1030" s="110" t="s">
        <v>31</v>
      </c>
      <c r="D1030" s="111">
        <v>4154.8000000000002</v>
      </c>
      <c r="E1030" s="111">
        <v>370.45999999999998</v>
      </c>
      <c r="F1030" s="112">
        <v>4525.2600000000002</v>
      </c>
      <c r="H1030" s="110" t="s">
        <v>31</v>
      </c>
      <c r="I1030" s="111">
        <v>4059.46</v>
      </c>
      <c r="J1030" s="111">
        <v>342.75</v>
      </c>
      <c r="K1030" s="112">
        <v>4402.21</v>
      </c>
      <c r="L1030" s="88"/>
      <c r="M1030" s="88"/>
    </row>
    <row r="1031">
      <c r="A1031" s="108">
        <v>1201009003</v>
      </c>
      <c r="B1031" s="109" t="s">
        <v>16495</v>
      </c>
      <c r="C1031" s="110" t="s">
        <v>31</v>
      </c>
      <c r="D1031" s="111">
        <v>4260.5699999999997</v>
      </c>
      <c r="E1031" s="111">
        <v>370.45999999999998</v>
      </c>
      <c r="F1031" s="112">
        <v>4631.0299999999997</v>
      </c>
      <c r="H1031" s="110" t="s">
        <v>31</v>
      </c>
      <c r="I1031" s="111">
        <v>4165.2299999999996</v>
      </c>
      <c r="J1031" s="111">
        <v>342.75</v>
      </c>
      <c r="K1031" s="112">
        <v>4507.9799999999996</v>
      </c>
      <c r="L1031" s="88"/>
      <c r="M1031" s="88"/>
    </row>
    <row r="1032">
      <c r="A1032" s="108">
        <v>1201009005</v>
      </c>
      <c r="B1032" s="109" t="s">
        <v>16496</v>
      </c>
      <c r="C1032" s="110" t="s">
        <v>31</v>
      </c>
      <c r="D1032" s="111">
        <v>4460.7200000000003</v>
      </c>
      <c r="E1032" s="111">
        <v>370.45999999999998</v>
      </c>
      <c r="F1032" s="112">
        <v>4831.1800000000003</v>
      </c>
      <c r="H1032" s="110" t="s">
        <v>31</v>
      </c>
      <c r="I1032" s="111">
        <v>4365.3800000000001</v>
      </c>
      <c r="J1032" s="111">
        <v>342.75</v>
      </c>
      <c r="K1032" s="112">
        <v>4708.1300000000001</v>
      </c>
      <c r="L1032" s="88"/>
      <c r="M1032" s="88"/>
    </row>
    <row r="1033">
      <c r="A1033" s="108">
        <v>1201009009</v>
      </c>
      <c r="B1033" s="109" t="s">
        <v>16497</v>
      </c>
      <c r="C1033" s="110" t="s">
        <v>31</v>
      </c>
      <c r="D1033" s="111">
        <v>4317.1400000000003</v>
      </c>
      <c r="E1033" s="111">
        <v>377.83999999999997</v>
      </c>
      <c r="F1033" s="112">
        <v>4694.9799999999996</v>
      </c>
      <c r="H1033" s="110" t="s">
        <v>31</v>
      </c>
      <c r="I1033" s="111">
        <v>4221.8000000000002</v>
      </c>
      <c r="J1033" s="111">
        <v>349.56999999999999</v>
      </c>
      <c r="K1033" s="112">
        <v>4571.3699999999999</v>
      </c>
      <c r="L1033" s="88"/>
      <c r="M1033" s="88"/>
    </row>
    <row r="1034">
      <c r="A1034" s="108">
        <v>1201009010</v>
      </c>
      <c r="B1034" s="109" t="s">
        <v>16498</v>
      </c>
      <c r="C1034" s="110" t="s">
        <v>31</v>
      </c>
      <c r="D1034" s="111">
        <v>4539.6499999999996</v>
      </c>
      <c r="E1034" s="111">
        <v>377.83999999999997</v>
      </c>
      <c r="F1034" s="112">
        <v>4917.4899999999998</v>
      </c>
      <c r="H1034" s="110" t="s">
        <v>31</v>
      </c>
      <c r="I1034" s="111">
        <v>4444.3100000000004</v>
      </c>
      <c r="J1034" s="111">
        <v>349.56999999999999</v>
      </c>
      <c r="K1034" s="112">
        <v>4793.8800000000001</v>
      </c>
      <c r="L1034" s="88"/>
      <c r="M1034" s="88"/>
    </row>
    <row r="1035">
      <c r="A1035" s="108">
        <v>1201009011</v>
      </c>
      <c r="B1035" s="109" t="s">
        <v>16499</v>
      </c>
      <c r="C1035" s="110" t="s">
        <v>31</v>
      </c>
      <c r="D1035" s="111">
        <v>4761.29</v>
      </c>
      <c r="E1035" s="111">
        <v>377.83999999999997</v>
      </c>
      <c r="F1035" s="112">
        <v>5139.1300000000001</v>
      </c>
      <c r="H1035" s="110" t="s">
        <v>31</v>
      </c>
      <c r="I1035" s="111">
        <v>4665.9499999999998</v>
      </c>
      <c r="J1035" s="111">
        <v>349.56999999999999</v>
      </c>
      <c r="K1035" s="112">
        <v>5015.5200000000004</v>
      </c>
      <c r="L1035" s="88"/>
      <c r="M1035" s="88"/>
    </row>
    <row r="1036">
      <c r="A1036" s="108">
        <v>1201009013</v>
      </c>
      <c r="B1036" s="109" t="s">
        <v>16500</v>
      </c>
      <c r="C1036" s="110" t="s">
        <v>31</v>
      </c>
      <c r="D1036" s="111">
        <v>5186.6400000000003</v>
      </c>
      <c r="E1036" s="111">
        <v>385.73000000000002</v>
      </c>
      <c r="F1036" s="112">
        <v>5572.3699999999999</v>
      </c>
      <c r="H1036" s="110" t="s">
        <v>31</v>
      </c>
      <c r="I1036" s="111">
        <v>5083.1700000000001</v>
      </c>
      <c r="J1036" s="111">
        <v>356.87</v>
      </c>
      <c r="K1036" s="112">
        <v>5440.04</v>
      </c>
      <c r="L1036" s="88"/>
      <c r="M1036" s="88"/>
    </row>
    <row r="1037">
      <c r="A1037" s="108">
        <v>1201009014</v>
      </c>
      <c r="B1037" s="109" t="s">
        <v>16501</v>
      </c>
      <c r="C1037" s="110" t="s">
        <v>31</v>
      </c>
      <c r="D1037" s="111">
        <v>5204.4200000000001</v>
      </c>
      <c r="E1037" s="111">
        <v>385.73000000000002</v>
      </c>
      <c r="F1037" s="112">
        <v>5590.1499999999996</v>
      </c>
      <c r="H1037" s="110" t="s">
        <v>31</v>
      </c>
      <c r="I1037" s="111">
        <v>5100.9499999999998</v>
      </c>
      <c r="J1037" s="111">
        <v>356.87</v>
      </c>
      <c r="K1037" s="112">
        <v>5457.8199999999997</v>
      </c>
      <c r="L1037" s="88"/>
      <c r="M1037" s="88"/>
    </row>
    <row r="1038">
      <c r="A1038" s="108">
        <v>1201009015</v>
      </c>
      <c r="B1038" s="109" t="s">
        <v>16502</v>
      </c>
      <c r="C1038" s="110" t="s">
        <v>31</v>
      </c>
      <c r="D1038" s="111">
        <v>5580.5299999999997</v>
      </c>
      <c r="E1038" s="111">
        <v>385.73000000000002</v>
      </c>
      <c r="F1038" s="112">
        <v>5966.2600000000002</v>
      </c>
      <c r="H1038" s="110" t="s">
        <v>31</v>
      </c>
      <c r="I1038" s="111">
        <v>5477.0600000000004</v>
      </c>
      <c r="J1038" s="111">
        <v>356.87</v>
      </c>
      <c r="K1038" s="112">
        <v>5833.9300000000003</v>
      </c>
      <c r="L1038" s="88"/>
      <c r="M1038" s="88"/>
    </row>
    <row r="1039">
      <c r="A1039" s="108">
        <v>1201009016</v>
      </c>
      <c r="B1039" s="109" t="s">
        <v>16503</v>
      </c>
      <c r="C1039" s="110" t="s">
        <v>31</v>
      </c>
      <c r="D1039" s="111">
        <v>6039.3100000000004</v>
      </c>
      <c r="E1039" s="111">
        <v>385.73000000000002</v>
      </c>
      <c r="F1039" s="112">
        <v>6425.04</v>
      </c>
      <c r="H1039" s="110" t="s">
        <v>31</v>
      </c>
      <c r="I1039" s="111">
        <v>5935.8400000000001</v>
      </c>
      <c r="J1039" s="111">
        <v>356.87</v>
      </c>
      <c r="K1039" s="112">
        <v>6292.71</v>
      </c>
      <c r="L1039" s="88"/>
      <c r="M1039" s="88"/>
    </row>
    <row r="1040">
      <c r="A1040" s="108">
        <v>1201009017</v>
      </c>
      <c r="B1040" s="109" t="s">
        <v>16504</v>
      </c>
      <c r="C1040" s="110" t="s">
        <v>31</v>
      </c>
      <c r="D1040" s="111">
        <v>9658.9500000000007</v>
      </c>
      <c r="E1040" s="111">
        <v>385.73000000000002</v>
      </c>
      <c r="F1040" s="112">
        <v>10044.68</v>
      </c>
      <c r="H1040" s="110" t="s">
        <v>31</v>
      </c>
      <c r="I1040" s="111">
        <v>9545.6900000000005</v>
      </c>
      <c r="J1040" s="111">
        <v>356.87</v>
      </c>
      <c r="K1040" s="112">
        <v>9902.5599999999995</v>
      </c>
      <c r="L1040" s="88"/>
      <c r="M1040" s="88"/>
    </row>
    <row r="1041">
      <c r="A1041" s="108">
        <v>1201009018</v>
      </c>
      <c r="B1041" s="109" t="s">
        <v>16505</v>
      </c>
      <c r="C1041" s="110" t="s">
        <v>31</v>
      </c>
      <c r="D1041" s="111">
        <v>11266.549999999999</v>
      </c>
      <c r="E1041" s="111">
        <v>385.73000000000002</v>
      </c>
      <c r="F1041" s="112">
        <v>11652.280000000001</v>
      </c>
      <c r="H1041" s="110" t="s">
        <v>31</v>
      </c>
      <c r="I1041" s="111">
        <v>11154.969999999999</v>
      </c>
      <c r="J1041" s="111">
        <v>356.87</v>
      </c>
      <c r="K1041" s="112">
        <v>11511.84</v>
      </c>
      <c r="L1041" s="88"/>
      <c r="M1041" s="88"/>
    </row>
    <row r="1042" ht="25.5">
      <c r="A1042" s="108">
        <v>1201009050</v>
      </c>
      <c r="B1042" s="109" t="s">
        <v>16506</v>
      </c>
      <c r="C1042" s="110" t="s">
        <v>31</v>
      </c>
      <c r="D1042" s="111">
        <v>34.530000000000001</v>
      </c>
      <c r="E1042" s="111">
        <v>26.239999999999998</v>
      </c>
      <c r="F1042" s="112">
        <v>60.770000000000003</v>
      </c>
      <c r="H1042" s="110" t="s">
        <v>31</v>
      </c>
      <c r="I1042" s="111">
        <v>34.530000000000001</v>
      </c>
      <c r="J1042" s="111">
        <v>24.27</v>
      </c>
      <c r="K1042" s="112">
        <v>58.799999999999997</v>
      </c>
      <c r="L1042" s="88"/>
      <c r="M1042" s="88"/>
    </row>
    <row r="1043" ht="25.5">
      <c r="A1043" s="108">
        <v>1201009052</v>
      </c>
      <c r="B1043" s="109" t="s">
        <v>16507</v>
      </c>
      <c r="C1043" s="110" t="s">
        <v>31</v>
      </c>
      <c r="D1043" s="111">
        <v>137.77000000000001</v>
      </c>
      <c r="E1043" s="111">
        <v>26.239999999999998</v>
      </c>
      <c r="F1043" s="112">
        <v>164.00999999999999</v>
      </c>
      <c r="H1043" s="110" t="s">
        <v>31</v>
      </c>
      <c r="I1043" s="111">
        <v>137.77000000000001</v>
      </c>
      <c r="J1043" s="111">
        <v>24.27</v>
      </c>
      <c r="K1043" s="112">
        <v>162.03999999999999</v>
      </c>
      <c r="L1043" s="88"/>
      <c r="M1043" s="88"/>
    </row>
    <row r="1044" ht="25.5">
      <c r="A1044" s="108">
        <v>1201009054</v>
      </c>
      <c r="B1044" s="109" t="s">
        <v>16508</v>
      </c>
      <c r="C1044" s="110" t="s">
        <v>31</v>
      </c>
      <c r="D1044" s="111">
        <v>960</v>
      </c>
      <c r="E1044" s="111">
        <v>26.239999999999998</v>
      </c>
      <c r="F1044" s="112">
        <v>986.24000000000001</v>
      </c>
      <c r="H1044" s="110" t="s">
        <v>31</v>
      </c>
      <c r="I1044" s="111">
        <v>960</v>
      </c>
      <c r="J1044" s="111">
        <v>24.27</v>
      </c>
      <c r="K1044" s="112">
        <v>984.26999999999998</v>
      </c>
      <c r="L1044" s="88"/>
      <c r="M1044" s="88"/>
    </row>
    <row r="1045">
      <c r="A1045" s="108">
        <v>1201009058</v>
      </c>
      <c r="B1045" s="109" t="s">
        <v>16509</v>
      </c>
      <c r="C1045" s="110" t="s">
        <v>31</v>
      </c>
      <c r="D1045" s="111">
        <v>741.53999999999996</v>
      </c>
      <c r="E1045" s="111">
        <v>64.549999999999997</v>
      </c>
      <c r="F1045" s="112">
        <v>806.09000000000003</v>
      </c>
      <c r="H1045" s="110" t="s">
        <v>31</v>
      </c>
      <c r="I1045" s="111">
        <v>741.53999999999996</v>
      </c>
      <c r="J1045" s="111">
        <v>59.82</v>
      </c>
      <c r="K1045" s="112">
        <v>801.36000000000001</v>
      </c>
      <c r="L1045" s="88"/>
      <c r="M1045" s="88"/>
    </row>
    <row r="1046">
      <c r="A1046" s="108">
        <v>1201009060</v>
      </c>
      <c r="B1046" s="109" t="s">
        <v>16510</v>
      </c>
      <c r="C1046" s="110" t="s">
        <v>31</v>
      </c>
      <c r="D1046" s="111">
        <v>4.79</v>
      </c>
      <c r="E1046" s="111">
        <v>4.7599999999999998</v>
      </c>
      <c r="F1046" s="112">
        <v>9.5500000000000007</v>
      </c>
      <c r="H1046" s="110" t="s">
        <v>31</v>
      </c>
      <c r="I1046" s="111">
        <v>4.79</v>
      </c>
      <c r="J1046" s="111">
        <v>4.4000000000000004</v>
      </c>
      <c r="K1046" s="112">
        <v>9.1899999999999995</v>
      </c>
      <c r="L1046" s="88"/>
      <c r="M1046" s="88"/>
    </row>
    <row r="1047" ht="25.5">
      <c r="A1047" s="108">
        <v>1201009062</v>
      </c>
      <c r="B1047" s="109" t="s">
        <v>16511</v>
      </c>
      <c r="C1047" s="110" t="s">
        <v>31</v>
      </c>
      <c r="D1047" s="111">
        <v>35.689999999999998</v>
      </c>
      <c r="E1047" s="111">
        <v>35.789999999999999</v>
      </c>
      <c r="F1047" s="112">
        <v>71.480000000000004</v>
      </c>
      <c r="H1047" s="110" t="s">
        <v>31</v>
      </c>
      <c r="I1047" s="111">
        <v>35.689999999999998</v>
      </c>
      <c r="J1047" s="111">
        <v>33.109999999999999</v>
      </c>
      <c r="K1047" s="112">
        <v>68.799999999999997</v>
      </c>
      <c r="L1047" s="88"/>
      <c r="M1047" s="88"/>
    </row>
    <row r="1048" ht="25.5">
      <c r="A1048" s="69">
        <v>1201009064</v>
      </c>
      <c r="B1048" s="89" t="s">
        <v>16512</v>
      </c>
      <c r="C1048" s="88" t="s">
        <v>31</v>
      </c>
      <c r="D1048" s="113"/>
      <c r="E1048" s="113"/>
      <c r="F1048" s="114">
        <v>105.59</v>
      </c>
      <c r="H1048" s="88" t="s">
        <v>31</v>
      </c>
      <c r="I1048" s="113"/>
      <c r="J1048" s="113"/>
      <c r="K1048" s="114">
        <v>103.95</v>
      </c>
      <c r="L1048" s="88"/>
      <c r="M1048" s="88"/>
    </row>
    <row r="1049" ht="25.5">
      <c r="A1049" s="69">
        <v>1201009065</v>
      </c>
      <c r="B1049" s="89" t="s">
        <v>16513</v>
      </c>
      <c r="C1049" s="88" t="s">
        <v>31</v>
      </c>
      <c r="D1049" s="113"/>
      <c r="E1049" s="113"/>
      <c r="F1049" s="114">
        <v>181.68000000000001</v>
      </c>
      <c r="H1049" s="88" t="s">
        <v>31</v>
      </c>
      <c r="I1049" s="113"/>
      <c r="J1049" s="113"/>
      <c r="K1049" s="114">
        <v>179.22</v>
      </c>
      <c r="L1049" s="88"/>
      <c r="M1049" s="88"/>
    </row>
    <row r="1050" ht="25.5">
      <c r="A1050" s="69">
        <v>1201009066</v>
      </c>
      <c r="B1050" s="89" t="s">
        <v>16514</v>
      </c>
      <c r="C1050" s="88" t="s">
        <v>31</v>
      </c>
      <c r="D1050" s="113"/>
      <c r="E1050" s="113"/>
      <c r="F1050" s="114">
        <v>236.09999999999999</v>
      </c>
      <c r="H1050" s="88" t="s">
        <v>31</v>
      </c>
      <c r="I1050" s="113"/>
      <c r="J1050" s="113"/>
      <c r="K1050" s="114">
        <v>232.83000000000001</v>
      </c>
      <c r="L1050" s="88"/>
      <c r="M1050" s="88"/>
    </row>
    <row r="1051">
      <c r="A1051" s="108">
        <v>1201009090</v>
      </c>
      <c r="B1051" s="109" t="s">
        <v>16515</v>
      </c>
      <c r="C1051" s="110" t="s">
        <v>38</v>
      </c>
      <c r="D1051" s="111">
        <v>6.1500000000000004</v>
      </c>
      <c r="E1051" s="111">
        <v>19.09</v>
      </c>
      <c r="F1051" s="112">
        <v>25.239999999999998</v>
      </c>
      <c r="H1051" s="110" t="s">
        <v>38</v>
      </c>
      <c r="I1051" s="111">
        <v>6.1500000000000004</v>
      </c>
      <c r="J1051" s="111">
        <v>17.649999999999999</v>
      </c>
      <c r="K1051" s="112">
        <v>23.800000000000001</v>
      </c>
      <c r="L1051" s="88"/>
      <c r="M1051" s="88"/>
    </row>
    <row r="1052">
      <c r="A1052" s="108">
        <v>1201009094</v>
      </c>
      <c r="B1052" s="109" t="s">
        <v>16407</v>
      </c>
      <c r="C1052" s="110" t="s">
        <v>38</v>
      </c>
      <c r="D1052" s="111">
        <v>18.640000000000001</v>
      </c>
      <c r="E1052" s="111">
        <v>19.09</v>
      </c>
      <c r="F1052" s="112">
        <v>37.729999999999997</v>
      </c>
      <c r="H1052" s="110" t="s">
        <v>38</v>
      </c>
      <c r="I1052" s="111">
        <v>18.640000000000001</v>
      </c>
      <c r="J1052" s="111">
        <v>17.649999999999999</v>
      </c>
      <c r="K1052" s="112">
        <v>36.289999999999999</v>
      </c>
      <c r="L1052" s="88"/>
      <c r="M1052" s="88"/>
    </row>
    <row r="1053">
      <c r="D1053" s="113"/>
      <c r="E1053" s="113"/>
      <c r="F1053" s="114"/>
      <c r="H1053" s="88"/>
      <c r="I1053" s="113"/>
      <c r="J1053" s="113"/>
      <c r="K1053" s="114"/>
      <c r="L1053" s="88"/>
      <c r="M1053" s="88"/>
    </row>
    <row r="1054">
      <c r="B1054" s="102" t="s">
        <v>16516</v>
      </c>
      <c r="D1054" s="113"/>
      <c r="E1054" s="113"/>
      <c r="F1054" s="114"/>
      <c r="H1054" s="88"/>
      <c r="I1054" s="113"/>
      <c r="J1054" s="113"/>
      <c r="K1054" s="114"/>
      <c r="L1054" s="88"/>
      <c r="M1054" s="88"/>
    </row>
    <row r="1055">
      <c r="D1055" s="113"/>
      <c r="E1055" s="113"/>
      <c r="F1055" s="114"/>
      <c r="H1055" s="88"/>
      <c r="I1055" s="113"/>
      <c r="J1055" s="113"/>
      <c r="K1055" s="114"/>
      <c r="L1055" s="88"/>
      <c r="M1055" s="88"/>
    </row>
    <row r="1056">
      <c r="A1056" s="88" t="s">
        <v>15547</v>
      </c>
      <c r="B1056" s="89" t="s">
        <v>15548</v>
      </c>
      <c r="C1056" s="88" t="s">
        <v>15337</v>
      </c>
      <c r="D1056" s="113" t="s">
        <v>10460</v>
      </c>
      <c r="E1056" s="113" t="s">
        <v>15549</v>
      </c>
      <c r="F1056" s="114" t="s">
        <v>15550</v>
      </c>
      <c r="H1056" s="88" t="s">
        <v>15337</v>
      </c>
      <c r="I1056" s="113" t="s">
        <v>10460</v>
      </c>
      <c r="J1056" s="113" t="s">
        <v>15549</v>
      </c>
      <c r="K1056" s="114" t="s">
        <v>15550</v>
      </c>
      <c r="L1056" s="88"/>
      <c r="M1056" s="88"/>
    </row>
    <row r="1057">
      <c r="D1057" s="113"/>
      <c r="E1057" s="113"/>
      <c r="F1057" s="114"/>
      <c r="H1057" s="88"/>
      <c r="I1057" s="113"/>
      <c r="J1057" s="113"/>
      <c r="K1057" s="114"/>
      <c r="L1057" s="88"/>
      <c r="M1057" s="88"/>
    </row>
    <row r="1058" ht="38.25">
      <c r="A1058" s="108">
        <v>2501000070</v>
      </c>
      <c r="B1058" s="109" t="s">
        <v>16517</v>
      </c>
      <c r="C1058" s="110" t="s">
        <v>38</v>
      </c>
      <c r="D1058" s="111">
        <v>16.91</v>
      </c>
      <c r="E1058" s="111">
        <v>12.18</v>
      </c>
      <c r="F1058" s="112">
        <v>29.09</v>
      </c>
      <c r="H1058" s="110" t="s">
        <v>38</v>
      </c>
      <c r="I1058" s="111">
        <v>16.530000000000001</v>
      </c>
      <c r="J1058" s="111">
        <v>11.26</v>
      </c>
      <c r="K1058" s="112">
        <v>27.789999999999999</v>
      </c>
      <c r="L1058" s="88"/>
      <c r="M1058" s="88"/>
    </row>
    <row r="1059" ht="38.25">
      <c r="A1059" s="108">
        <v>2501000074</v>
      </c>
      <c r="B1059" s="109" t="s">
        <v>16518</v>
      </c>
      <c r="C1059" s="110" t="s">
        <v>38</v>
      </c>
      <c r="D1059" s="111">
        <v>15.99</v>
      </c>
      <c r="E1059" s="111">
        <v>13.550000000000001</v>
      </c>
      <c r="F1059" s="112">
        <v>29.539999999999999</v>
      </c>
      <c r="H1059" s="110" t="s">
        <v>38</v>
      </c>
      <c r="I1059" s="111">
        <v>15.609999999999999</v>
      </c>
      <c r="J1059" s="111">
        <v>12.529999999999999</v>
      </c>
      <c r="K1059" s="112">
        <v>28.140000000000001</v>
      </c>
      <c r="L1059" s="88"/>
      <c r="M1059" s="88"/>
    </row>
    <row r="1060" ht="38.25">
      <c r="A1060" s="108">
        <v>2501000080</v>
      </c>
      <c r="B1060" s="109" t="s">
        <v>16519</v>
      </c>
      <c r="C1060" s="110" t="s">
        <v>38</v>
      </c>
      <c r="D1060" s="111">
        <v>14.390000000000001</v>
      </c>
      <c r="E1060" s="111">
        <v>14.31</v>
      </c>
      <c r="F1060" s="112">
        <v>28.699999999999999</v>
      </c>
      <c r="H1060" s="110" t="s">
        <v>38</v>
      </c>
      <c r="I1060" s="111">
        <v>14.01</v>
      </c>
      <c r="J1060" s="111">
        <v>13.24</v>
      </c>
      <c r="K1060" s="112">
        <v>27.25</v>
      </c>
      <c r="L1060" s="88"/>
      <c r="M1060" s="88"/>
    </row>
    <row r="1061" ht="38.25">
      <c r="A1061" s="108">
        <v>2501000084</v>
      </c>
      <c r="B1061" s="109" t="s">
        <v>16520</v>
      </c>
      <c r="C1061" s="110" t="s">
        <v>38</v>
      </c>
      <c r="D1061" s="111">
        <v>17.859999999999999</v>
      </c>
      <c r="E1061" s="111">
        <v>14.31</v>
      </c>
      <c r="F1061" s="112">
        <v>32.170000000000002</v>
      </c>
      <c r="H1061" s="110" t="s">
        <v>38</v>
      </c>
      <c r="I1061" s="111">
        <v>17.48</v>
      </c>
      <c r="J1061" s="111">
        <v>13.24</v>
      </c>
      <c r="K1061" s="112">
        <v>30.719999999999999</v>
      </c>
      <c r="L1061" s="88"/>
      <c r="M1061" s="88"/>
    </row>
    <row r="1062" ht="38.25">
      <c r="A1062" s="69">
        <v>2501000086</v>
      </c>
      <c r="B1062" s="89" t="s">
        <v>16521</v>
      </c>
      <c r="C1062" s="88" t="s">
        <v>31</v>
      </c>
      <c r="D1062" s="113"/>
      <c r="E1062" s="113"/>
      <c r="F1062" s="114">
        <v>27.140000000000001</v>
      </c>
      <c r="H1062" s="88" t="s">
        <v>31</v>
      </c>
      <c r="I1062" s="113"/>
      <c r="J1062" s="113"/>
      <c r="K1062" s="114">
        <v>26.16</v>
      </c>
      <c r="L1062" s="88"/>
      <c r="M1062" s="88"/>
    </row>
    <row r="1063" ht="38.25">
      <c r="A1063" s="69">
        <v>2501000088</v>
      </c>
      <c r="B1063" s="89" t="s">
        <v>16522</v>
      </c>
      <c r="C1063" s="88" t="s">
        <v>31</v>
      </c>
      <c r="D1063" s="113"/>
      <c r="E1063" s="113"/>
      <c r="F1063" s="114">
        <v>22.48</v>
      </c>
      <c r="H1063" s="88" t="s">
        <v>31</v>
      </c>
      <c r="I1063" s="113"/>
      <c r="J1063" s="113"/>
      <c r="K1063" s="114">
        <v>21.649999999999999</v>
      </c>
      <c r="L1063" s="88"/>
      <c r="M1063" s="88"/>
    </row>
    <row r="1064" ht="38.25">
      <c r="A1064" s="69">
        <v>2501000090</v>
      </c>
      <c r="B1064" s="89" t="s">
        <v>16523</v>
      </c>
      <c r="C1064" s="88" t="s">
        <v>31</v>
      </c>
      <c r="D1064" s="113"/>
      <c r="E1064" s="113"/>
      <c r="F1064" s="114">
        <v>30.739999999999998</v>
      </c>
      <c r="H1064" s="88" t="s">
        <v>31</v>
      </c>
      <c r="I1064" s="113"/>
      <c r="J1064" s="113"/>
      <c r="K1064" s="114">
        <v>29.449999999999999</v>
      </c>
      <c r="L1064" s="88"/>
      <c r="M1064" s="88"/>
    </row>
    <row r="1065" ht="38.25">
      <c r="A1065" s="69">
        <v>2501000092</v>
      </c>
      <c r="B1065" s="89" t="s">
        <v>16524</v>
      </c>
      <c r="C1065" s="88" t="s">
        <v>31</v>
      </c>
      <c r="D1065" s="113"/>
      <c r="E1065" s="113"/>
      <c r="F1065" s="114">
        <v>32.990000000000002</v>
      </c>
      <c r="H1065" s="88" t="s">
        <v>31</v>
      </c>
      <c r="I1065" s="113"/>
      <c r="J1065" s="113"/>
      <c r="K1065" s="114">
        <v>31.829999999999998</v>
      </c>
      <c r="L1065" s="88"/>
      <c r="M1065" s="88"/>
    </row>
    <row r="1066" ht="38.25">
      <c r="A1066" s="69">
        <v>2501000094</v>
      </c>
      <c r="B1066" s="89" t="s">
        <v>16525</v>
      </c>
      <c r="C1066" s="88" t="s">
        <v>31</v>
      </c>
      <c r="D1066" s="113"/>
      <c r="E1066" s="113"/>
      <c r="F1066" s="114">
        <v>31.289999999999999</v>
      </c>
      <c r="H1066" s="88" t="s">
        <v>31</v>
      </c>
      <c r="I1066" s="113"/>
      <c r="J1066" s="113"/>
      <c r="K1066" s="114">
        <v>30.370000000000001</v>
      </c>
      <c r="L1066" s="88"/>
      <c r="M1066" s="88"/>
    </row>
    <row r="1067" ht="38.25">
      <c r="A1067" s="69">
        <v>2501000096</v>
      </c>
      <c r="B1067" s="89" t="s">
        <v>16526</v>
      </c>
      <c r="C1067" s="88" t="s">
        <v>31</v>
      </c>
      <c r="D1067" s="113"/>
      <c r="E1067" s="113"/>
      <c r="F1067" s="114">
        <v>43.659999999999997</v>
      </c>
      <c r="H1067" s="88" t="s">
        <v>31</v>
      </c>
      <c r="I1067" s="113"/>
      <c r="J1067" s="113"/>
      <c r="K1067" s="114">
        <v>42.009999999999998</v>
      </c>
      <c r="L1067" s="88"/>
      <c r="M1067" s="88"/>
    </row>
    <row r="1068" ht="38.25">
      <c r="A1068" s="69">
        <v>2501000100</v>
      </c>
      <c r="B1068" s="89" t="s">
        <v>16527</v>
      </c>
      <c r="C1068" s="88" t="s">
        <v>38</v>
      </c>
      <c r="D1068" s="113"/>
      <c r="E1068" s="113"/>
      <c r="F1068" s="114">
        <v>28.719999999999999</v>
      </c>
      <c r="H1068" s="88" t="s">
        <v>38</v>
      </c>
      <c r="I1068" s="113"/>
      <c r="J1068" s="113"/>
      <c r="K1068" s="114">
        <v>28.710000000000001</v>
      </c>
      <c r="L1068" s="88"/>
      <c r="M1068" s="88"/>
    </row>
    <row r="1069" ht="25.5">
      <c r="A1069" s="69">
        <v>2501000105</v>
      </c>
      <c r="B1069" s="89" t="s">
        <v>16528</v>
      </c>
      <c r="C1069" s="88" t="s">
        <v>31</v>
      </c>
      <c r="D1069" s="113"/>
      <c r="E1069" s="113"/>
      <c r="F1069" s="114">
        <v>619.69000000000005</v>
      </c>
      <c r="H1069" s="88" t="s">
        <v>31</v>
      </c>
      <c r="I1069" s="113"/>
      <c r="J1069" s="113"/>
      <c r="K1069" s="114">
        <v>597.44000000000005</v>
      </c>
      <c r="L1069" s="88"/>
      <c r="M1069" s="88"/>
    </row>
    <row r="1070" ht="25.5">
      <c r="A1070" s="69">
        <v>2501000110</v>
      </c>
      <c r="B1070" s="89" t="s">
        <v>16529</v>
      </c>
      <c r="C1070" s="88" t="s">
        <v>31</v>
      </c>
      <c r="D1070" s="113"/>
      <c r="E1070" s="113"/>
      <c r="F1070" s="114">
        <v>1162.8499999999999</v>
      </c>
      <c r="H1070" s="88" t="s">
        <v>31</v>
      </c>
      <c r="I1070" s="113"/>
      <c r="J1070" s="113"/>
      <c r="K1070" s="114">
        <v>1140.5999999999999</v>
      </c>
      <c r="L1070" s="88"/>
      <c r="M1070" s="88"/>
    </row>
    <row r="1071" ht="25.5">
      <c r="A1071" s="69">
        <v>2501000115</v>
      </c>
      <c r="B1071" s="89" t="s">
        <v>16530</v>
      </c>
      <c r="C1071" s="88" t="s">
        <v>31</v>
      </c>
      <c r="D1071" s="113"/>
      <c r="E1071" s="113"/>
      <c r="F1071" s="114">
        <v>3643.5100000000002</v>
      </c>
      <c r="H1071" s="88" t="s">
        <v>31</v>
      </c>
      <c r="I1071" s="113"/>
      <c r="J1071" s="113"/>
      <c r="K1071" s="114">
        <v>3599.2600000000002</v>
      </c>
      <c r="L1071" s="88"/>
      <c r="M1071" s="88"/>
    </row>
    <row r="1072" ht="25.5">
      <c r="A1072" s="69">
        <v>2501000120</v>
      </c>
      <c r="B1072" s="89" t="s">
        <v>16531</v>
      </c>
      <c r="C1072" s="88" t="s">
        <v>31</v>
      </c>
      <c r="D1072" s="113"/>
      <c r="E1072" s="113"/>
      <c r="F1072" s="114">
        <v>2535.9899999999998</v>
      </c>
      <c r="H1072" s="88" t="s">
        <v>31</v>
      </c>
      <c r="I1072" s="113"/>
      <c r="J1072" s="113"/>
      <c r="K1072" s="114">
        <v>2491.7399999999998</v>
      </c>
      <c r="L1072" s="88"/>
      <c r="M1072" s="88"/>
    </row>
    <row r="1073" ht="25.5">
      <c r="A1073" s="69">
        <v>2501000125</v>
      </c>
      <c r="B1073" s="89" t="s">
        <v>16532</v>
      </c>
      <c r="C1073" s="88" t="s">
        <v>31</v>
      </c>
      <c r="D1073" s="113"/>
      <c r="E1073" s="113"/>
      <c r="F1073" s="114">
        <v>1343.45</v>
      </c>
      <c r="H1073" s="88" t="s">
        <v>31</v>
      </c>
      <c r="I1073" s="113"/>
      <c r="J1073" s="113"/>
      <c r="K1073" s="114">
        <v>1339.77</v>
      </c>
      <c r="L1073" s="88"/>
      <c r="M1073" s="88"/>
    </row>
    <row r="1074" ht="38.25">
      <c r="A1074" s="108">
        <v>2501000130</v>
      </c>
      <c r="B1074" s="109" t="s">
        <v>16533</v>
      </c>
      <c r="C1074" s="110" t="s">
        <v>31</v>
      </c>
      <c r="D1074" s="111">
        <v>812.26999999999998</v>
      </c>
      <c r="E1074" s="111">
        <v>48.969999999999999</v>
      </c>
      <c r="F1074" s="112">
        <v>861.24000000000001</v>
      </c>
      <c r="H1074" s="110" t="s">
        <v>31</v>
      </c>
      <c r="I1074" s="111">
        <v>812.26999999999998</v>
      </c>
      <c r="J1074" s="111">
        <v>45.289999999999999</v>
      </c>
      <c r="K1074" s="112">
        <v>857.55999999999995</v>
      </c>
      <c r="L1074" s="88"/>
      <c r="M1074" s="88"/>
    </row>
    <row r="1075" ht="38.25">
      <c r="A1075" s="108">
        <v>2501000135</v>
      </c>
      <c r="B1075" s="109" t="s">
        <v>16534</v>
      </c>
      <c r="C1075" s="110" t="s">
        <v>31</v>
      </c>
      <c r="D1075" s="111">
        <v>771.77999999999997</v>
      </c>
      <c r="E1075" s="111">
        <v>48.969999999999999</v>
      </c>
      <c r="F1075" s="112">
        <v>820.75</v>
      </c>
      <c r="H1075" s="110" t="s">
        <v>31</v>
      </c>
      <c r="I1075" s="111">
        <v>771.77999999999997</v>
      </c>
      <c r="J1075" s="111">
        <v>45.289999999999999</v>
      </c>
      <c r="K1075" s="112">
        <v>817.07000000000005</v>
      </c>
      <c r="L1075" s="88"/>
      <c r="M1075" s="88"/>
    </row>
    <row r="1076" ht="38.25">
      <c r="A1076" s="108">
        <v>2501000140</v>
      </c>
      <c r="B1076" s="109" t="s">
        <v>16535</v>
      </c>
      <c r="C1076" s="110" t="s">
        <v>31</v>
      </c>
      <c r="D1076" s="111">
        <v>1835.1300000000001</v>
      </c>
      <c r="E1076" s="111">
        <v>48.969999999999999</v>
      </c>
      <c r="F1076" s="112">
        <v>1884.0999999999999</v>
      </c>
      <c r="H1076" s="110" t="s">
        <v>31</v>
      </c>
      <c r="I1076" s="111">
        <v>1835.1300000000001</v>
      </c>
      <c r="J1076" s="111">
        <v>45.289999999999999</v>
      </c>
      <c r="K1076" s="112">
        <v>1880.4200000000001</v>
      </c>
      <c r="L1076" s="88"/>
      <c r="M1076" s="88"/>
    </row>
    <row r="1077" ht="38.25">
      <c r="A1077" s="108">
        <v>2501000145</v>
      </c>
      <c r="B1077" s="109" t="s">
        <v>16536</v>
      </c>
      <c r="C1077" s="110" t="s">
        <v>31</v>
      </c>
      <c r="D1077" s="111">
        <v>2543.52</v>
      </c>
      <c r="E1077" s="111">
        <v>48.969999999999999</v>
      </c>
      <c r="F1077" s="112">
        <v>2592.4899999999998</v>
      </c>
      <c r="H1077" s="110" t="s">
        <v>31</v>
      </c>
      <c r="I1077" s="111">
        <v>2543.52</v>
      </c>
      <c r="J1077" s="111">
        <v>45.289999999999999</v>
      </c>
      <c r="K1077" s="112">
        <v>2588.8099999999999</v>
      </c>
      <c r="L1077" s="88"/>
      <c r="M1077" s="88"/>
    </row>
    <row r="1078" ht="38.25">
      <c r="A1078" s="108">
        <v>2501000150</v>
      </c>
      <c r="B1078" s="109" t="s">
        <v>16537</v>
      </c>
      <c r="C1078" s="110" t="s">
        <v>31</v>
      </c>
      <c r="D1078" s="111">
        <v>2997.5799999999999</v>
      </c>
      <c r="E1078" s="111">
        <v>48.969999999999999</v>
      </c>
      <c r="F1078" s="112">
        <v>3046.5500000000002</v>
      </c>
      <c r="H1078" s="110" t="s">
        <v>31</v>
      </c>
      <c r="I1078" s="111">
        <v>2997.5799999999999</v>
      </c>
      <c r="J1078" s="111">
        <v>45.289999999999999</v>
      </c>
      <c r="K1078" s="112">
        <v>3042.8699999999999</v>
      </c>
      <c r="L1078" s="88"/>
      <c r="M1078" s="88"/>
    </row>
    <row r="1079" ht="25.5">
      <c r="A1079" s="69">
        <v>2501000155</v>
      </c>
      <c r="B1079" s="89" t="s">
        <v>16538</v>
      </c>
      <c r="C1079" s="88" t="s">
        <v>31</v>
      </c>
      <c r="D1079" s="113"/>
      <c r="E1079" s="113"/>
      <c r="F1079" s="114">
        <v>40.75</v>
      </c>
      <c r="H1079" s="88" t="s">
        <v>31</v>
      </c>
      <c r="I1079" s="113"/>
      <c r="J1079" s="113"/>
      <c r="K1079" s="114">
        <v>40.020000000000003</v>
      </c>
      <c r="L1079" s="88"/>
      <c r="M1079" s="88"/>
    </row>
    <row r="1080" ht="25.5">
      <c r="A1080" s="108">
        <v>2501000160</v>
      </c>
      <c r="B1080" s="109" t="s">
        <v>16539</v>
      </c>
      <c r="C1080" s="110" t="s">
        <v>31</v>
      </c>
      <c r="D1080" s="111">
        <v>88.189999999999998</v>
      </c>
      <c r="E1080" s="111">
        <v>26</v>
      </c>
      <c r="F1080" s="112">
        <v>114.19</v>
      </c>
      <c r="H1080" s="110" t="s">
        <v>31</v>
      </c>
      <c r="I1080" s="111">
        <v>88.189999999999998</v>
      </c>
      <c r="J1080" s="111">
        <v>24.039999999999999</v>
      </c>
      <c r="K1080" s="112">
        <v>112.23</v>
      </c>
      <c r="L1080" s="88"/>
      <c r="M1080" s="88"/>
    </row>
    <row r="1081" ht="38.25">
      <c r="A1081" s="108">
        <v>2501000165</v>
      </c>
      <c r="B1081" s="109" t="s">
        <v>16540</v>
      </c>
      <c r="C1081" s="110" t="s">
        <v>31</v>
      </c>
      <c r="D1081" s="111">
        <v>39.020000000000003</v>
      </c>
      <c r="E1081" s="111">
        <v>26</v>
      </c>
      <c r="F1081" s="112">
        <v>65.019999999999996</v>
      </c>
      <c r="H1081" s="110" t="s">
        <v>31</v>
      </c>
      <c r="I1081" s="111">
        <v>39.020000000000003</v>
      </c>
      <c r="J1081" s="111">
        <v>24.039999999999999</v>
      </c>
      <c r="K1081" s="112">
        <v>63.060000000000002</v>
      </c>
      <c r="L1081" s="88"/>
      <c r="M1081" s="88"/>
    </row>
    <row r="1082" ht="38.25">
      <c r="A1082" s="108">
        <v>2501000170</v>
      </c>
      <c r="B1082" s="109" t="s">
        <v>16541</v>
      </c>
      <c r="C1082" s="110" t="s">
        <v>31</v>
      </c>
      <c r="D1082" s="111">
        <v>21.09</v>
      </c>
      <c r="E1082" s="111">
        <v>9.8300000000000001</v>
      </c>
      <c r="F1082" s="112">
        <v>30.920000000000002</v>
      </c>
      <c r="H1082" s="110" t="s">
        <v>31</v>
      </c>
      <c r="I1082" s="111">
        <v>21.09</v>
      </c>
      <c r="J1082" s="111">
        <v>9.0999999999999996</v>
      </c>
      <c r="K1082" s="112">
        <v>30.190000000000001</v>
      </c>
      <c r="L1082" s="88"/>
      <c r="M1082" s="88"/>
    </row>
    <row r="1083" ht="38.25">
      <c r="A1083" s="108">
        <v>2501000175</v>
      </c>
      <c r="B1083" s="109" t="s">
        <v>16542</v>
      </c>
      <c r="C1083" s="110" t="s">
        <v>31</v>
      </c>
      <c r="D1083" s="111">
        <v>30.920000000000002</v>
      </c>
      <c r="E1083" s="111">
        <v>9.8300000000000001</v>
      </c>
      <c r="F1083" s="112">
        <v>40.75</v>
      </c>
      <c r="H1083" s="110" t="s">
        <v>31</v>
      </c>
      <c r="I1083" s="111">
        <v>30.920000000000002</v>
      </c>
      <c r="J1083" s="111">
        <v>9.0999999999999996</v>
      </c>
      <c r="K1083" s="112">
        <v>40.020000000000003</v>
      </c>
      <c r="L1083" s="88"/>
      <c r="M1083" s="88"/>
    </row>
    <row r="1084" ht="25.5">
      <c r="A1084" s="108">
        <v>2501000180</v>
      </c>
      <c r="B1084" s="109" t="s">
        <v>16543</v>
      </c>
      <c r="C1084" s="110" t="s">
        <v>31</v>
      </c>
      <c r="D1084" s="111">
        <v>124.22</v>
      </c>
      <c r="E1084" s="111">
        <v>0.38</v>
      </c>
      <c r="F1084" s="112">
        <v>124.59999999999999</v>
      </c>
      <c r="H1084" s="110" t="s">
        <v>31</v>
      </c>
      <c r="I1084" s="111">
        <v>124.22</v>
      </c>
      <c r="J1084" s="111">
        <v>0.34999999999999998</v>
      </c>
      <c r="K1084" s="112">
        <v>124.56999999999999</v>
      </c>
      <c r="L1084" s="88"/>
      <c r="M1084" s="88"/>
    </row>
    <row r="1085" ht="25.5">
      <c r="A1085" s="108">
        <v>2501000200</v>
      </c>
      <c r="B1085" s="109" t="s">
        <v>16544</v>
      </c>
      <c r="C1085" s="110" t="s">
        <v>31</v>
      </c>
      <c r="D1085" s="111">
        <v>56.25</v>
      </c>
      <c r="E1085" s="111">
        <v>3.8100000000000001</v>
      </c>
      <c r="F1085" s="112">
        <v>60.060000000000002</v>
      </c>
      <c r="H1085" s="110" t="s">
        <v>31</v>
      </c>
      <c r="I1085" s="111">
        <v>56.25</v>
      </c>
      <c r="J1085" s="111">
        <v>3.52</v>
      </c>
      <c r="K1085" s="112">
        <v>59.770000000000003</v>
      </c>
      <c r="L1085" s="88"/>
      <c r="M1085" s="88"/>
    </row>
    <row r="1086" ht="25.5">
      <c r="A1086" s="108">
        <v>2501000205</v>
      </c>
      <c r="B1086" s="109" t="s">
        <v>16545</v>
      </c>
      <c r="C1086" s="110" t="s">
        <v>31</v>
      </c>
      <c r="D1086" s="111">
        <v>1122.51</v>
      </c>
      <c r="E1086" s="111">
        <v>143.22</v>
      </c>
      <c r="F1086" s="112">
        <v>1265.73</v>
      </c>
      <c r="H1086" s="110" t="s">
        <v>31</v>
      </c>
      <c r="I1086" s="111">
        <v>1122.51</v>
      </c>
      <c r="J1086" s="111">
        <v>132.44999999999999</v>
      </c>
      <c r="K1086" s="112">
        <v>1254.96</v>
      </c>
      <c r="L1086" s="88"/>
      <c r="M1086" s="88"/>
    </row>
    <row r="1087" ht="25.5">
      <c r="A1087" s="108">
        <v>2501000210</v>
      </c>
      <c r="B1087" s="109" t="s">
        <v>16546</v>
      </c>
      <c r="C1087" s="110" t="s">
        <v>31</v>
      </c>
      <c r="D1087" s="111">
        <v>468.73000000000002</v>
      </c>
      <c r="E1087" s="111">
        <v>95.480000000000004</v>
      </c>
      <c r="F1087" s="112">
        <v>564.21000000000004</v>
      </c>
      <c r="H1087" s="110" t="s">
        <v>31</v>
      </c>
      <c r="I1087" s="111">
        <v>468.73000000000002</v>
      </c>
      <c r="J1087" s="111">
        <v>88.299999999999997</v>
      </c>
      <c r="K1087" s="112">
        <v>557.02999999999997</v>
      </c>
      <c r="L1087" s="88"/>
      <c r="M1087" s="88"/>
    </row>
    <row r="1088" ht="38.25">
      <c r="A1088" s="108">
        <v>2501000215</v>
      </c>
      <c r="B1088" s="109" t="s">
        <v>16547</v>
      </c>
      <c r="C1088" s="110" t="s">
        <v>31</v>
      </c>
      <c r="D1088" s="111">
        <v>17.109999999999999</v>
      </c>
      <c r="E1088" s="111">
        <v>23.859999999999999</v>
      </c>
      <c r="F1088" s="112">
        <v>40.969999999999999</v>
      </c>
      <c r="H1088" s="110" t="s">
        <v>31</v>
      </c>
      <c r="I1088" s="111">
        <v>17.109999999999999</v>
      </c>
      <c r="J1088" s="111">
        <v>22.07</v>
      </c>
      <c r="K1088" s="112">
        <v>39.18</v>
      </c>
      <c r="L1088" s="88"/>
      <c r="M1088" s="88"/>
    </row>
    <row r="1089" ht="38.25">
      <c r="A1089" s="108">
        <v>2501000220</v>
      </c>
      <c r="B1089" s="109" t="s">
        <v>16548</v>
      </c>
      <c r="C1089" s="110" t="s">
        <v>31</v>
      </c>
      <c r="D1089" s="111">
        <v>32.539999999999999</v>
      </c>
      <c r="E1089" s="111">
        <v>23.859999999999999</v>
      </c>
      <c r="F1089" s="112">
        <v>56.399999999999999</v>
      </c>
      <c r="H1089" s="110" t="s">
        <v>31</v>
      </c>
      <c r="I1089" s="111">
        <v>32.539999999999999</v>
      </c>
      <c r="J1089" s="111">
        <v>22.07</v>
      </c>
      <c r="K1089" s="112">
        <v>54.609999999999999</v>
      </c>
      <c r="L1089" s="88"/>
      <c r="M1089" s="88"/>
    </row>
    <row r="1090" ht="38.25">
      <c r="A1090" s="108">
        <v>2501000500</v>
      </c>
      <c r="B1090" s="109" t="s">
        <v>16549</v>
      </c>
      <c r="C1090" s="110" t="s">
        <v>31</v>
      </c>
      <c r="D1090" s="111">
        <v>0</v>
      </c>
      <c r="E1090" s="111">
        <v>10080.870000000001</v>
      </c>
      <c r="F1090" s="112">
        <v>10080.870000000001</v>
      </c>
      <c r="H1090" s="110" t="s">
        <v>31</v>
      </c>
      <c r="I1090" s="111">
        <v>0</v>
      </c>
      <c r="J1090" s="111">
        <v>10005.25</v>
      </c>
      <c r="K1090" s="112">
        <v>10005.25</v>
      </c>
      <c r="L1090" s="88"/>
      <c r="M1090" s="88"/>
    </row>
    <row r="1091" ht="25.5">
      <c r="A1091" s="108">
        <v>2501000510</v>
      </c>
      <c r="B1091" s="109" t="s">
        <v>16550</v>
      </c>
      <c r="C1091" s="110" t="s">
        <v>31</v>
      </c>
      <c r="D1091" s="111">
        <v>0</v>
      </c>
      <c r="E1091" s="111">
        <v>12342.93</v>
      </c>
      <c r="F1091" s="112">
        <v>12342.93</v>
      </c>
      <c r="H1091" s="110" t="s">
        <v>31</v>
      </c>
      <c r="I1091" s="111">
        <v>0</v>
      </c>
      <c r="J1091" s="111">
        <v>12191.610000000001</v>
      </c>
      <c r="K1091" s="112">
        <v>12191.610000000001</v>
      </c>
      <c r="L1091" s="88"/>
      <c r="M1091" s="88"/>
    </row>
    <row r="1092">
      <c r="D1092" s="113"/>
      <c r="E1092" s="113"/>
      <c r="F1092" s="114"/>
      <c r="H1092" s="88"/>
      <c r="I1092" s="113"/>
      <c r="J1092" s="113"/>
      <c r="K1092" s="114"/>
      <c r="L1092" s="88"/>
      <c r="M1092" s="88"/>
    </row>
    <row r="1093">
      <c r="B1093" s="102" t="s">
        <v>16551</v>
      </c>
      <c r="D1093" s="113"/>
      <c r="E1093" s="113"/>
      <c r="F1093" s="114"/>
      <c r="H1093" s="88"/>
      <c r="I1093" s="113"/>
      <c r="J1093" s="113"/>
      <c r="K1093" s="114"/>
      <c r="L1093" s="88"/>
      <c r="M1093" s="88"/>
    </row>
    <row r="1094">
      <c r="D1094" s="113"/>
      <c r="E1094" s="113"/>
      <c r="F1094" s="114"/>
      <c r="H1094" s="88"/>
      <c r="I1094" s="113"/>
      <c r="J1094" s="113"/>
      <c r="K1094" s="114"/>
      <c r="L1094" s="88"/>
      <c r="M1094" s="88"/>
    </row>
    <row r="1095">
      <c r="A1095" s="88" t="s">
        <v>15547</v>
      </c>
      <c r="B1095" s="89" t="s">
        <v>15548</v>
      </c>
      <c r="C1095" s="88" t="s">
        <v>15337</v>
      </c>
      <c r="D1095" s="113" t="s">
        <v>10460</v>
      </c>
      <c r="E1095" s="113" t="s">
        <v>15549</v>
      </c>
      <c r="F1095" s="114" t="s">
        <v>15550</v>
      </c>
      <c r="H1095" s="88" t="s">
        <v>15337</v>
      </c>
      <c r="I1095" s="113" t="s">
        <v>10460</v>
      </c>
      <c r="J1095" s="113" t="s">
        <v>15549</v>
      </c>
      <c r="K1095" s="114" t="s">
        <v>15550</v>
      </c>
      <c r="L1095" s="88"/>
      <c r="M1095" s="88"/>
    </row>
    <row r="1096">
      <c r="D1096" s="113"/>
      <c r="E1096" s="113"/>
      <c r="F1096" s="114"/>
      <c r="H1096" s="88"/>
      <c r="I1096" s="113"/>
      <c r="J1096" s="113"/>
      <c r="K1096" s="114"/>
      <c r="L1096" s="88"/>
      <c r="M1096" s="88"/>
    </row>
    <row r="1097" ht="38.25">
      <c r="A1097" s="69">
        <v>2601000100</v>
      </c>
      <c r="B1097" s="89" t="s">
        <v>16552</v>
      </c>
      <c r="C1097" s="88" t="s">
        <v>31</v>
      </c>
      <c r="D1097" s="113"/>
      <c r="E1097" s="113"/>
      <c r="F1097" s="114">
        <v>2515.0700000000002</v>
      </c>
      <c r="H1097" s="88" t="s">
        <v>31</v>
      </c>
      <c r="I1097" s="113"/>
      <c r="J1097" s="113"/>
      <c r="K1097" s="114">
        <v>2506.6399999999999</v>
      </c>
      <c r="L1097" s="88"/>
      <c r="M1097" s="88"/>
    </row>
    <row r="1098" ht="38.25">
      <c r="A1098" s="69">
        <v>2601000105</v>
      </c>
      <c r="B1098" s="89" t="s">
        <v>16553</v>
      </c>
      <c r="C1098" s="88" t="s">
        <v>31</v>
      </c>
      <c r="D1098" s="113"/>
      <c r="E1098" s="113"/>
      <c r="F1098" s="114">
        <v>2794.29</v>
      </c>
      <c r="H1098" s="88" t="s">
        <v>31</v>
      </c>
      <c r="I1098" s="113"/>
      <c r="J1098" s="113"/>
      <c r="K1098" s="114">
        <v>2785.8600000000001</v>
      </c>
      <c r="L1098" s="88"/>
      <c r="M1098" s="88"/>
    </row>
    <row r="1099" ht="38.25">
      <c r="A1099" s="69">
        <v>2601000110</v>
      </c>
      <c r="B1099" s="89" t="s">
        <v>16554</v>
      </c>
      <c r="C1099" s="88" t="s">
        <v>31</v>
      </c>
      <c r="D1099" s="113"/>
      <c r="E1099" s="113"/>
      <c r="F1099" s="114">
        <v>4068.8200000000002</v>
      </c>
      <c r="H1099" s="88" t="s">
        <v>31</v>
      </c>
      <c r="I1099" s="113"/>
      <c r="J1099" s="113"/>
      <c r="K1099" s="114">
        <v>4059.71</v>
      </c>
      <c r="L1099" s="88"/>
      <c r="M1099" s="88"/>
    </row>
    <row r="1100" ht="38.25">
      <c r="A1100" s="69">
        <v>2601000115</v>
      </c>
      <c r="B1100" s="89" t="s">
        <v>16555</v>
      </c>
      <c r="C1100" s="88" t="s">
        <v>31</v>
      </c>
      <c r="D1100" s="113"/>
      <c r="E1100" s="113"/>
      <c r="F1100" s="114">
        <v>5555.5500000000002</v>
      </c>
      <c r="H1100" s="88" t="s">
        <v>31</v>
      </c>
      <c r="I1100" s="113"/>
      <c r="J1100" s="113"/>
      <c r="K1100" s="114">
        <v>5546.04</v>
      </c>
      <c r="L1100" s="88"/>
      <c r="M1100" s="88"/>
    </row>
    <row r="1101" ht="38.25">
      <c r="A1101" s="69">
        <v>2601000120</v>
      </c>
      <c r="B1101" s="89" t="s">
        <v>16556</v>
      </c>
      <c r="C1101" s="88" t="s">
        <v>31</v>
      </c>
      <c r="D1101" s="113"/>
      <c r="E1101" s="113"/>
      <c r="F1101" s="114">
        <v>10333.5</v>
      </c>
      <c r="H1101" s="88" t="s">
        <v>31</v>
      </c>
      <c r="I1101" s="113"/>
      <c r="J1101" s="113"/>
      <c r="K1101" s="114">
        <v>10319.52</v>
      </c>
      <c r="L1101" s="88"/>
      <c r="M1101" s="88"/>
    </row>
    <row r="1102" ht="38.25">
      <c r="A1102" s="69">
        <v>2601000125</v>
      </c>
      <c r="B1102" s="89" t="s">
        <v>16557</v>
      </c>
      <c r="C1102" s="88" t="s">
        <v>31</v>
      </c>
      <c r="D1102" s="113"/>
      <c r="E1102" s="113"/>
      <c r="F1102" s="114">
        <v>11555.9</v>
      </c>
      <c r="H1102" s="88" t="s">
        <v>31</v>
      </c>
      <c r="I1102" s="113"/>
      <c r="J1102" s="113"/>
      <c r="K1102" s="114">
        <v>11541.559999999999</v>
      </c>
      <c r="L1102" s="88"/>
      <c r="M1102" s="88"/>
    </row>
    <row r="1103" ht="38.25">
      <c r="A1103" s="69">
        <v>2601000130</v>
      </c>
      <c r="B1103" s="89" t="s">
        <v>16558</v>
      </c>
      <c r="C1103" s="88" t="s">
        <v>31</v>
      </c>
      <c r="D1103" s="113"/>
      <c r="E1103" s="113"/>
      <c r="F1103" s="114">
        <v>13037.540000000001</v>
      </c>
      <c r="H1103" s="88" t="s">
        <v>31</v>
      </c>
      <c r="I1103" s="113"/>
      <c r="J1103" s="113"/>
      <c r="K1103" s="114">
        <v>13021.790000000001</v>
      </c>
      <c r="L1103" s="88"/>
      <c r="M1103" s="88"/>
    </row>
    <row r="1104" ht="38.25">
      <c r="A1104" s="69">
        <v>2601000135</v>
      </c>
      <c r="B1104" s="89" t="s">
        <v>16559</v>
      </c>
      <c r="C1104" s="88" t="s">
        <v>31</v>
      </c>
      <c r="D1104" s="113"/>
      <c r="E1104" s="113"/>
      <c r="F1104" s="114">
        <v>18108.59</v>
      </c>
      <c r="H1104" s="88" t="s">
        <v>31</v>
      </c>
      <c r="I1104" s="113"/>
      <c r="J1104" s="113"/>
      <c r="K1104" s="114">
        <v>18087.18</v>
      </c>
      <c r="L1104" s="88"/>
      <c r="M1104" s="88"/>
    </row>
    <row r="1105" ht="51">
      <c r="A1105" s="108">
        <v>2601000140</v>
      </c>
      <c r="B1105" s="109" t="s">
        <v>16560</v>
      </c>
      <c r="C1105" s="110" t="s">
        <v>38</v>
      </c>
      <c r="D1105" s="111">
        <v>108.89</v>
      </c>
      <c r="E1105" s="111">
        <v>3.3500000000000001</v>
      </c>
      <c r="F1105" s="112">
        <v>112.23999999999999</v>
      </c>
      <c r="H1105" s="110" t="s">
        <v>38</v>
      </c>
      <c r="I1105" s="111">
        <v>108.39</v>
      </c>
      <c r="J1105" s="111">
        <v>3.1000000000000001</v>
      </c>
      <c r="K1105" s="112">
        <v>111.48999999999999</v>
      </c>
      <c r="L1105" s="88"/>
      <c r="M1105" s="88"/>
    </row>
    <row r="1106">
      <c r="A1106" s="108">
        <v>2601000145</v>
      </c>
      <c r="B1106" s="109" t="s">
        <v>16561</v>
      </c>
      <c r="C1106" s="110" t="s">
        <v>38</v>
      </c>
      <c r="D1106" s="111">
        <v>13.289999999999999</v>
      </c>
      <c r="E1106" s="111">
        <v>5.2400000000000002</v>
      </c>
      <c r="F1106" s="112">
        <v>18.530000000000001</v>
      </c>
      <c r="H1106" s="110" t="s">
        <v>38</v>
      </c>
      <c r="I1106" s="111">
        <v>13.289999999999999</v>
      </c>
      <c r="J1106" s="111">
        <v>4.8399999999999999</v>
      </c>
      <c r="K1106" s="112">
        <v>18.129999999999999</v>
      </c>
      <c r="L1106" s="88"/>
      <c r="M1106" s="88"/>
    </row>
    <row r="1107" ht="38.25">
      <c r="A1107" s="108">
        <v>2601000150</v>
      </c>
      <c r="B1107" s="109" t="s">
        <v>16562</v>
      </c>
      <c r="C1107" s="110" t="s">
        <v>38</v>
      </c>
      <c r="D1107" s="111">
        <v>25.359999999999999</v>
      </c>
      <c r="E1107" s="111">
        <v>12.18</v>
      </c>
      <c r="F1107" s="112">
        <v>37.539999999999999</v>
      </c>
      <c r="H1107" s="110" t="s">
        <v>38</v>
      </c>
      <c r="I1107" s="111">
        <v>25.359999999999999</v>
      </c>
      <c r="J1107" s="111">
        <v>11.26</v>
      </c>
      <c r="K1107" s="112">
        <v>36.619999999999997</v>
      </c>
      <c r="L1107" s="88"/>
      <c r="M1107" s="88"/>
    </row>
    <row r="1108" ht="38.25">
      <c r="A1108" s="108">
        <v>2601000155</v>
      </c>
      <c r="B1108" s="109" t="s">
        <v>16563</v>
      </c>
      <c r="C1108" s="110" t="s">
        <v>38</v>
      </c>
      <c r="D1108" s="111">
        <v>21.989999999999998</v>
      </c>
      <c r="E1108" s="111">
        <v>12.18</v>
      </c>
      <c r="F1108" s="112">
        <v>34.170000000000002</v>
      </c>
      <c r="H1108" s="110" t="s">
        <v>38</v>
      </c>
      <c r="I1108" s="111">
        <v>21.989999999999998</v>
      </c>
      <c r="J1108" s="111">
        <v>11.26</v>
      </c>
      <c r="K1108" s="112">
        <v>33.25</v>
      </c>
      <c r="L1108" s="88"/>
      <c r="M1108" s="88"/>
    </row>
    <row r="1109" ht="25.5">
      <c r="A1109" s="108">
        <v>2601000160</v>
      </c>
      <c r="B1109" s="109" t="s">
        <v>16564</v>
      </c>
      <c r="C1109" s="110" t="s">
        <v>31</v>
      </c>
      <c r="D1109" s="111">
        <v>0</v>
      </c>
      <c r="E1109" s="111">
        <v>191.31999999999999</v>
      </c>
      <c r="F1109" s="112">
        <v>191.31999999999999</v>
      </c>
      <c r="H1109" s="110" t="s">
        <v>31</v>
      </c>
      <c r="I1109" s="111">
        <v>0</v>
      </c>
      <c r="J1109" s="111">
        <v>176.88</v>
      </c>
      <c r="K1109" s="112">
        <v>176.88</v>
      </c>
      <c r="L1109" s="88"/>
      <c r="M1109" s="88"/>
    </row>
    <row r="1110" ht="25.5">
      <c r="A1110" s="108">
        <v>2601000165</v>
      </c>
      <c r="B1110" s="109" t="s">
        <v>16565</v>
      </c>
      <c r="C1110" s="110" t="s">
        <v>31</v>
      </c>
      <c r="D1110" s="111">
        <v>0</v>
      </c>
      <c r="E1110" s="111">
        <v>334.81</v>
      </c>
      <c r="F1110" s="112">
        <v>334.81</v>
      </c>
      <c r="H1110" s="110" t="s">
        <v>31</v>
      </c>
      <c r="I1110" s="111">
        <v>0</v>
      </c>
      <c r="J1110" s="111">
        <v>309.54000000000002</v>
      </c>
      <c r="K1110" s="112">
        <v>309.54000000000002</v>
      </c>
      <c r="L1110" s="88"/>
      <c r="M1110" s="88"/>
    </row>
    <row r="1111" ht="25.5">
      <c r="A1111" s="108">
        <v>2601000170</v>
      </c>
      <c r="B1111" s="109" t="s">
        <v>16566</v>
      </c>
      <c r="C1111" s="110" t="s">
        <v>31</v>
      </c>
      <c r="D1111" s="111">
        <v>0</v>
      </c>
      <c r="E1111" s="111">
        <v>239.15000000000001</v>
      </c>
      <c r="F1111" s="112">
        <v>239.15000000000001</v>
      </c>
      <c r="H1111" s="110" t="s">
        <v>31</v>
      </c>
      <c r="I1111" s="111">
        <v>0</v>
      </c>
      <c r="J1111" s="111">
        <v>221.09999999999999</v>
      </c>
      <c r="K1111" s="112">
        <v>221.09999999999999</v>
      </c>
      <c r="L1111" s="88"/>
      <c r="M1111" s="88"/>
    </row>
    <row r="1112" ht="38.25">
      <c r="A1112" s="108">
        <v>2601000175</v>
      </c>
      <c r="B1112" s="109" t="s">
        <v>16567</v>
      </c>
      <c r="C1112" s="110" t="s">
        <v>31</v>
      </c>
      <c r="D1112" s="111">
        <v>177.16999999999999</v>
      </c>
      <c r="E1112" s="111">
        <v>443.51999999999998</v>
      </c>
      <c r="F1112" s="112">
        <v>620.69000000000005</v>
      </c>
      <c r="H1112" s="110" t="s">
        <v>31</v>
      </c>
      <c r="I1112" s="111">
        <v>177.16999999999999</v>
      </c>
      <c r="J1112" s="111">
        <v>409.74000000000001</v>
      </c>
      <c r="K1112" s="112">
        <v>586.90999999999997</v>
      </c>
      <c r="L1112" s="88"/>
      <c r="M1112" s="88"/>
    </row>
    <row r="1113" ht="38.25">
      <c r="A1113" s="108">
        <v>2601000180</v>
      </c>
      <c r="B1113" s="109" t="s">
        <v>16568</v>
      </c>
      <c r="C1113" s="110" t="s">
        <v>31</v>
      </c>
      <c r="D1113" s="111">
        <v>0.27000000000000002</v>
      </c>
      <c r="E1113" s="111">
        <v>6.2199999999999998</v>
      </c>
      <c r="F1113" s="112">
        <v>6.4900000000000002</v>
      </c>
      <c r="H1113" s="110" t="s">
        <v>31</v>
      </c>
      <c r="I1113" s="111">
        <v>0.26000000000000001</v>
      </c>
      <c r="J1113" s="111">
        <v>5.7699999999999996</v>
      </c>
      <c r="K1113" s="112">
        <v>6.0300000000000002</v>
      </c>
      <c r="L1113" s="88"/>
      <c r="M1113" s="88"/>
    </row>
    <row r="1114">
      <c r="D1114" s="113"/>
      <c r="E1114" s="113"/>
      <c r="F1114" s="114"/>
      <c r="H1114" s="88"/>
      <c r="I1114" s="113"/>
      <c r="J1114" s="113"/>
      <c r="K1114" s="114"/>
      <c r="L1114" s="88"/>
      <c r="M1114" s="88"/>
    </row>
    <row r="1115">
      <c r="B1115" s="102" t="s">
        <v>16569</v>
      </c>
      <c r="D1115" s="113"/>
      <c r="E1115" s="113"/>
      <c r="F1115" s="114"/>
      <c r="H1115" s="88"/>
      <c r="I1115" s="113"/>
      <c r="J1115" s="113"/>
      <c r="K1115" s="114"/>
      <c r="L1115" s="88"/>
      <c r="M1115" s="88"/>
    </row>
    <row r="1116">
      <c r="D1116" s="113"/>
      <c r="E1116" s="113"/>
      <c r="F1116" s="114"/>
      <c r="H1116" s="88"/>
      <c r="I1116" s="113"/>
      <c r="J1116" s="113"/>
      <c r="K1116" s="114"/>
      <c r="L1116" s="88"/>
      <c r="M1116" s="88"/>
    </row>
    <row r="1117">
      <c r="A1117" s="88" t="s">
        <v>15547</v>
      </c>
      <c r="B1117" s="89" t="s">
        <v>15548</v>
      </c>
      <c r="C1117" s="88" t="s">
        <v>15337</v>
      </c>
      <c r="D1117" s="113" t="s">
        <v>10460</v>
      </c>
      <c r="E1117" s="113" t="s">
        <v>15549</v>
      </c>
      <c r="F1117" s="114" t="s">
        <v>15550</v>
      </c>
      <c r="H1117" s="88" t="s">
        <v>15337</v>
      </c>
      <c r="I1117" s="113" t="s">
        <v>10460</v>
      </c>
      <c r="J1117" s="113" t="s">
        <v>15549</v>
      </c>
      <c r="K1117" s="114" t="s">
        <v>15550</v>
      </c>
      <c r="L1117" s="88"/>
      <c r="M1117" s="88"/>
    </row>
    <row r="1118">
      <c r="D1118" s="113"/>
      <c r="E1118" s="113"/>
      <c r="F1118" s="114"/>
      <c r="H1118" s="88"/>
      <c r="I1118" s="113"/>
      <c r="J1118" s="113"/>
      <c r="K1118" s="114"/>
      <c r="L1118" s="88"/>
      <c r="M1118" s="88"/>
    </row>
    <row r="1119">
      <c r="B1119" s="89" t="s">
        <v>16570</v>
      </c>
      <c r="D1119" s="113"/>
      <c r="E1119" s="113"/>
      <c r="F1119" s="114"/>
      <c r="H1119" s="88"/>
      <c r="I1119" s="113"/>
      <c r="J1119" s="113"/>
      <c r="K1119" s="114"/>
      <c r="L1119" s="88"/>
      <c r="M1119" s="88"/>
    </row>
    <row r="1120" ht="38.25">
      <c r="A1120" s="69">
        <v>1301001000</v>
      </c>
      <c r="B1120" s="89" t="s">
        <v>16571</v>
      </c>
      <c r="C1120" s="88" t="s">
        <v>38</v>
      </c>
      <c r="D1120" s="113"/>
      <c r="E1120" s="113"/>
      <c r="F1120" s="114">
        <v>7.2300000000000004</v>
      </c>
      <c r="H1120" s="88" t="s">
        <v>38</v>
      </c>
      <c r="I1120" s="113"/>
      <c r="J1120" s="113"/>
      <c r="K1120" s="114">
        <v>6.6699999999999999</v>
      </c>
      <c r="L1120" s="88"/>
      <c r="M1120" s="88"/>
    </row>
    <row r="1121" ht="38.25">
      <c r="A1121" s="108">
        <v>1301001050</v>
      </c>
      <c r="B1121" s="109" t="s">
        <v>16572</v>
      </c>
      <c r="C1121" s="110" t="s">
        <v>31</v>
      </c>
      <c r="D1121" s="111">
        <v>17.399999999999999</v>
      </c>
      <c r="E1121" s="111">
        <v>4.1100000000000003</v>
      </c>
      <c r="F1121" s="112">
        <v>21.510000000000002</v>
      </c>
      <c r="H1121" s="110" t="s">
        <v>31</v>
      </c>
      <c r="I1121" s="111">
        <v>17.399999999999999</v>
      </c>
      <c r="J1121" s="111">
        <v>3.79</v>
      </c>
      <c r="K1121" s="112">
        <v>21.190000000000001</v>
      </c>
      <c r="L1121" s="88"/>
      <c r="M1121" s="88"/>
    </row>
    <row r="1122">
      <c r="A1122" s="108">
        <v>1301001052</v>
      </c>
      <c r="B1122" s="109" t="s">
        <v>16573</v>
      </c>
      <c r="C1122" s="110" t="s">
        <v>31</v>
      </c>
      <c r="D1122" s="111">
        <v>34.530000000000001</v>
      </c>
      <c r="E1122" s="111">
        <v>4.1100000000000003</v>
      </c>
      <c r="F1122" s="112">
        <v>38.640000000000001</v>
      </c>
      <c r="H1122" s="110" t="s">
        <v>31</v>
      </c>
      <c r="I1122" s="111">
        <v>34.530000000000001</v>
      </c>
      <c r="J1122" s="111">
        <v>3.79</v>
      </c>
      <c r="K1122" s="112">
        <v>38.32</v>
      </c>
      <c r="L1122" s="88"/>
      <c r="M1122" s="88"/>
    </row>
    <row r="1123">
      <c r="A1123" s="108">
        <v>1301001054</v>
      </c>
      <c r="B1123" s="109" t="s">
        <v>16574</v>
      </c>
      <c r="C1123" s="110" t="s">
        <v>31</v>
      </c>
      <c r="D1123" s="111">
        <v>55.890000000000001</v>
      </c>
      <c r="E1123" s="111">
        <v>6.3899999999999997</v>
      </c>
      <c r="F1123" s="112">
        <v>62.280000000000001</v>
      </c>
      <c r="H1123" s="110" t="s">
        <v>31</v>
      </c>
      <c r="I1123" s="111">
        <v>55.890000000000001</v>
      </c>
      <c r="J1123" s="111">
        <v>5.8899999999999997</v>
      </c>
      <c r="K1123" s="112">
        <v>61.780000000000001</v>
      </c>
      <c r="L1123" s="88"/>
      <c r="M1123" s="88"/>
    </row>
    <row r="1124">
      <c r="A1124" s="108">
        <v>1301001056</v>
      </c>
      <c r="B1124" s="109" t="s">
        <v>16575</v>
      </c>
      <c r="C1124" s="110" t="s">
        <v>31</v>
      </c>
      <c r="D1124" s="111">
        <v>51.07</v>
      </c>
      <c r="E1124" s="111">
        <v>6.3899999999999997</v>
      </c>
      <c r="F1124" s="112">
        <v>57.460000000000001</v>
      </c>
      <c r="H1124" s="110" t="s">
        <v>31</v>
      </c>
      <c r="I1124" s="111">
        <v>51.07</v>
      </c>
      <c r="J1124" s="111">
        <v>5.8899999999999997</v>
      </c>
      <c r="K1124" s="112">
        <v>56.960000000000001</v>
      </c>
      <c r="L1124" s="88"/>
      <c r="M1124" s="88"/>
    </row>
    <row r="1125" ht="25.5">
      <c r="A1125" s="108">
        <v>1301001060</v>
      </c>
      <c r="B1125" s="109" t="s">
        <v>15595</v>
      </c>
      <c r="C1125" s="110" t="s">
        <v>38</v>
      </c>
      <c r="D1125" s="111">
        <v>5.3200000000000003</v>
      </c>
      <c r="E1125" s="111">
        <v>17.27</v>
      </c>
      <c r="F1125" s="112">
        <v>22.59</v>
      </c>
      <c r="H1125" s="110" t="s">
        <v>38</v>
      </c>
      <c r="I1125" s="111">
        <v>5.3200000000000003</v>
      </c>
      <c r="J1125" s="111">
        <v>15.94</v>
      </c>
      <c r="K1125" s="112">
        <v>21.260000000000002</v>
      </c>
      <c r="L1125" s="88"/>
      <c r="M1125" s="88"/>
    </row>
    <row r="1126" ht="25.5">
      <c r="A1126" s="108">
        <v>1301001062</v>
      </c>
      <c r="B1126" s="109" t="s">
        <v>16576</v>
      </c>
      <c r="C1126" s="110" t="s">
        <v>38</v>
      </c>
      <c r="D1126" s="111">
        <v>11.44</v>
      </c>
      <c r="E1126" s="111">
        <v>17.960000000000001</v>
      </c>
      <c r="F1126" s="112">
        <v>29.399999999999999</v>
      </c>
      <c r="H1126" s="110" t="s">
        <v>38</v>
      </c>
      <c r="I1126" s="111">
        <v>11.44</v>
      </c>
      <c r="J1126" s="111">
        <v>16.57</v>
      </c>
      <c r="K1126" s="112">
        <v>28.010000000000002</v>
      </c>
      <c r="L1126" s="88"/>
      <c r="M1126" s="88"/>
    </row>
    <row r="1127" ht="25.5">
      <c r="A1127" s="108">
        <v>1301001063</v>
      </c>
      <c r="B1127" s="109" t="s">
        <v>16577</v>
      </c>
      <c r="C1127" s="110" t="s">
        <v>38</v>
      </c>
      <c r="D1127" s="111">
        <v>17.93</v>
      </c>
      <c r="E1127" s="111">
        <v>22.460000000000001</v>
      </c>
      <c r="F1127" s="112">
        <v>40.390000000000001</v>
      </c>
      <c r="H1127" s="110" t="s">
        <v>38</v>
      </c>
      <c r="I1127" s="111">
        <v>17.93</v>
      </c>
      <c r="J1127" s="111">
        <v>20.719999999999999</v>
      </c>
      <c r="K1127" s="112">
        <v>38.649999999999999</v>
      </c>
      <c r="L1127" s="88"/>
      <c r="M1127" s="88"/>
    </row>
    <row r="1128" ht="25.5">
      <c r="A1128" s="108">
        <v>1301001064</v>
      </c>
      <c r="B1128" s="109" t="s">
        <v>15596</v>
      </c>
      <c r="C1128" s="110" t="s">
        <v>38</v>
      </c>
      <c r="D1128" s="111">
        <v>19.699999999999999</v>
      </c>
      <c r="E1128" s="111">
        <v>27.420000000000002</v>
      </c>
      <c r="F1128" s="112">
        <v>47.119999999999997</v>
      </c>
      <c r="H1128" s="110" t="s">
        <v>38</v>
      </c>
      <c r="I1128" s="111">
        <v>19.699999999999999</v>
      </c>
      <c r="J1128" s="111">
        <v>25.309999999999999</v>
      </c>
      <c r="K1128" s="112">
        <v>45.009999999999998</v>
      </c>
      <c r="L1128" s="88"/>
      <c r="M1128" s="88"/>
    </row>
    <row r="1129" ht="25.5">
      <c r="A1129" s="108">
        <v>1301001065</v>
      </c>
      <c r="B1129" s="109" t="s">
        <v>16578</v>
      </c>
      <c r="C1129" s="110" t="s">
        <v>38</v>
      </c>
      <c r="D1129" s="111">
        <v>32.340000000000003</v>
      </c>
      <c r="E1129" s="111">
        <v>31.989999999999998</v>
      </c>
      <c r="F1129" s="112">
        <v>64.329999999999998</v>
      </c>
      <c r="H1129" s="110" t="s">
        <v>38</v>
      </c>
      <c r="I1129" s="111">
        <v>32.340000000000003</v>
      </c>
      <c r="J1129" s="111">
        <v>29.52</v>
      </c>
      <c r="K1129" s="112">
        <v>61.859999999999999</v>
      </c>
      <c r="L1129" s="88"/>
      <c r="M1129" s="88"/>
    </row>
    <row r="1130" ht="25.5">
      <c r="A1130" s="108">
        <v>1301001066</v>
      </c>
      <c r="B1130" s="109" t="s">
        <v>16579</v>
      </c>
      <c r="C1130" s="110" t="s">
        <v>38</v>
      </c>
      <c r="D1130" s="111">
        <v>53.539999999999999</v>
      </c>
      <c r="E1130" s="111">
        <v>41.140000000000001</v>
      </c>
      <c r="F1130" s="112">
        <v>94.680000000000007</v>
      </c>
      <c r="H1130" s="110" t="s">
        <v>38</v>
      </c>
      <c r="I1130" s="111">
        <v>53.539999999999999</v>
      </c>
      <c r="J1130" s="111">
        <v>37.960000000000001</v>
      </c>
      <c r="K1130" s="112">
        <v>91.5</v>
      </c>
      <c r="L1130" s="88"/>
      <c r="M1130" s="88"/>
    </row>
    <row r="1131" ht="25.5">
      <c r="A1131" s="108">
        <v>1301001067</v>
      </c>
      <c r="B1131" s="109" t="s">
        <v>16580</v>
      </c>
      <c r="C1131" s="110" t="s">
        <v>38</v>
      </c>
      <c r="D1131" s="111">
        <v>74.420000000000002</v>
      </c>
      <c r="E1131" s="111">
        <v>45.719999999999999</v>
      </c>
      <c r="F1131" s="112">
        <v>120.14</v>
      </c>
      <c r="H1131" s="110" t="s">
        <v>38</v>
      </c>
      <c r="I1131" s="111">
        <v>74.420000000000002</v>
      </c>
      <c r="J1131" s="111">
        <v>42.189999999999998</v>
      </c>
      <c r="K1131" s="112">
        <v>116.61</v>
      </c>
      <c r="L1131" s="88"/>
      <c r="M1131" s="88"/>
    </row>
    <row r="1132" ht="25.5">
      <c r="A1132" s="108">
        <v>1301001068</v>
      </c>
      <c r="B1132" s="109" t="s">
        <v>16581</v>
      </c>
      <c r="C1132" s="110" t="s">
        <v>38</v>
      </c>
      <c r="D1132" s="111">
        <v>116.48999999999999</v>
      </c>
      <c r="E1132" s="111">
        <v>50.280000000000001</v>
      </c>
      <c r="F1132" s="112">
        <v>166.77000000000001</v>
      </c>
      <c r="H1132" s="110" t="s">
        <v>38</v>
      </c>
      <c r="I1132" s="111">
        <v>116.48999999999999</v>
      </c>
      <c r="J1132" s="111">
        <v>46.399999999999999</v>
      </c>
      <c r="K1132" s="112">
        <v>162.88999999999999</v>
      </c>
      <c r="L1132" s="88"/>
      <c r="M1132" s="88"/>
    </row>
    <row r="1133" ht="25.5">
      <c r="A1133" s="108">
        <v>1301001069</v>
      </c>
      <c r="B1133" s="109" t="s">
        <v>16582</v>
      </c>
      <c r="C1133" s="110" t="s">
        <v>38</v>
      </c>
      <c r="D1133" s="111">
        <v>0</v>
      </c>
      <c r="E1133" s="111">
        <v>5.6600000000000001</v>
      </c>
      <c r="F1133" s="112">
        <v>5.6600000000000001</v>
      </c>
      <c r="H1133" s="110" t="s">
        <v>38</v>
      </c>
      <c r="I1133" s="111">
        <v>0</v>
      </c>
      <c r="J1133" s="111">
        <v>5.25</v>
      </c>
      <c r="K1133" s="112">
        <v>5.25</v>
      </c>
      <c r="L1133" s="88"/>
      <c r="M1133" s="88"/>
    </row>
    <row r="1134">
      <c r="A1134" s="108">
        <v>1301001070</v>
      </c>
      <c r="B1134" s="109" t="s">
        <v>16178</v>
      </c>
      <c r="C1134" s="110" t="s">
        <v>38</v>
      </c>
      <c r="D1134" s="111">
        <v>0</v>
      </c>
      <c r="E1134" s="111">
        <v>5.5300000000000002</v>
      </c>
      <c r="F1134" s="112">
        <v>5.5300000000000002</v>
      </c>
      <c r="H1134" s="110" t="s">
        <v>38</v>
      </c>
      <c r="I1134" s="111">
        <v>0</v>
      </c>
      <c r="J1134" s="111">
        <v>5.1399999999999997</v>
      </c>
      <c r="K1134" s="112">
        <v>5.1399999999999997</v>
      </c>
      <c r="L1134" s="88"/>
      <c r="M1134" s="88"/>
    </row>
    <row r="1135" ht="51">
      <c r="A1135" s="69">
        <v>1301001072</v>
      </c>
      <c r="B1135" s="89" t="s">
        <v>16583</v>
      </c>
      <c r="C1135" s="88" t="s">
        <v>31</v>
      </c>
      <c r="D1135" s="113"/>
      <c r="E1135" s="113"/>
      <c r="F1135" s="114">
        <v>16.48</v>
      </c>
      <c r="H1135" s="88" t="s">
        <v>31</v>
      </c>
      <c r="I1135" s="113"/>
      <c r="J1135" s="113"/>
      <c r="K1135" s="114">
        <v>15.99</v>
      </c>
      <c r="L1135" s="88"/>
      <c r="M1135" s="88"/>
    </row>
    <row r="1136" ht="51">
      <c r="A1136" s="69">
        <v>1301001074</v>
      </c>
      <c r="B1136" s="89" t="s">
        <v>16584</v>
      </c>
      <c r="C1136" s="88" t="s">
        <v>31</v>
      </c>
      <c r="D1136" s="113"/>
      <c r="E1136" s="113"/>
      <c r="F1136" s="114">
        <v>13.02</v>
      </c>
      <c r="H1136" s="88" t="s">
        <v>31</v>
      </c>
      <c r="I1136" s="113"/>
      <c r="J1136" s="113"/>
      <c r="K1136" s="114">
        <v>12.56</v>
      </c>
      <c r="L1136" s="88"/>
      <c r="M1136" s="88"/>
    </row>
    <row r="1137">
      <c r="A1137" s="108">
        <v>1301001076</v>
      </c>
      <c r="B1137" s="109" t="s">
        <v>16585</v>
      </c>
      <c r="C1137" s="110" t="s">
        <v>31</v>
      </c>
      <c r="D1137" s="111">
        <v>27.969999999999999</v>
      </c>
      <c r="E1137" s="111">
        <v>9.1300000000000008</v>
      </c>
      <c r="F1137" s="112">
        <v>37.100000000000001</v>
      </c>
      <c r="H1137" s="110" t="s">
        <v>31</v>
      </c>
      <c r="I1137" s="111">
        <v>27.969999999999999</v>
      </c>
      <c r="J1137" s="111">
        <v>8.4299999999999997</v>
      </c>
      <c r="K1137" s="112">
        <v>36.399999999999999</v>
      </c>
      <c r="L1137" s="88"/>
      <c r="M1137" s="88"/>
    </row>
    <row r="1138" ht="38.25">
      <c r="A1138" s="69">
        <v>1301001078</v>
      </c>
      <c r="B1138" s="89" t="s">
        <v>16586</v>
      </c>
      <c r="C1138" s="88" t="s">
        <v>31</v>
      </c>
      <c r="D1138" s="113"/>
      <c r="E1138" s="113"/>
      <c r="F1138" s="114">
        <v>6.8600000000000003</v>
      </c>
      <c r="H1138" s="88" t="s">
        <v>31</v>
      </c>
      <c r="I1138" s="113"/>
      <c r="J1138" s="113"/>
      <c r="K1138" s="114">
        <v>6.5</v>
      </c>
      <c r="L1138" s="88"/>
      <c r="M1138" s="88"/>
    </row>
    <row r="1139">
      <c r="A1139" s="108">
        <v>1301001080</v>
      </c>
      <c r="B1139" s="109" t="s">
        <v>16587</v>
      </c>
      <c r="C1139" s="110" t="s">
        <v>31</v>
      </c>
      <c r="D1139" s="111">
        <v>7.9699999999999998</v>
      </c>
      <c r="E1139" s="111">
        <v>4.5599999999999996</v>
      </c>
      <c r="F1139" s="112">
        <v>12.529999999999999</v>
      </c>
      <c r="H1139" s="110" t="s">
        <v>31</v>
      </c>
      <c r="I1139" s="111">
        <v>7.9699999999999998</v>
      </c>
      <c r="J1139" s="111">
        <v>4.21</v>
      </c>
      <c r="K1139" s="112">
        <v>12.18</v>
      </c>
      <c r="L1139" s="88"/>
      <c r="M1139" s="88"/>
    </row>
    <row r="1140">
      <c r="A1140" s="108">
        <v>1301001082</v>
      </c>
      <c r="B1140" s="109" t="s">
        <v>16588</v>
      </c>
      <c r="C1140" s="110" t="s">
        <v>31</v>
      </c>
      <c r="D1140" s="111">
        <v>14.24</v>
      </c>
      <c r="E1140" s="111">
        <v>9.1300000000000008</v>
      </c>
      <c r="F1140" s="112">
        <v>23.370000000000001</v>
      </c>
      <c r="H1140" s="110" t="s">
        <v>31</v>
      </c>
      <c r="I1140" s="111">
        <v>14.24</v>
      </c>
      <c r="J1140" s="111">
        <v>8.4299999999999997</v>
      </c>
      <c r="K1140" s="112">
        <v>22.670000000000002</v>
      </c>
      <c r="L1140" s="88"/>
      <c r="M1140" s="88"/>
    </row>
    <row r="1141" ht="51">
      <c r="A1141" s="69">
        <v>1301001084</v>
      </c>
      <c r="B1141" s="89" t="s">
        <v>16589</v>
      </c>
      <c r="C1141" s="88" t="s">
        <v>31</v>
      </c>
      <c r="D1141" s="113"/>
      <c r="E1141" s="113"/>
      <c r="F1141" s="114">
        <v>20.719999999999999</v>
      </c>
      <c r="H1141" s="88" t="s">
        <v>31</v>
      </c>
      <c r="I1141" s="113"/>
      <c r="J1141" s="113"/>
      <c r="K1141" s="114">
        <v>20.100000000000001</v>
      </c>
      <c r="L1141" s="88"/>
      <c r="M1141" s="88"/>
    </row>
    <row r="1142" ht="51">
      <c r="A1142" s="69">
        <v>1301001086</v>
      </c>
      <c r="B1142" s="89" t="s">
        <v>16590</v>
      </c>
      <c r="C1142" s="88" t="s">
        <v>31</v>
      </c>
      <c r="D1142" s="113"/>
      <c r="E1142" s="113"/>
      <c r="F1142" s="114">
        <v>25.260000000000002</v>
      </c>
      <c r="H1142" s="88" t="s">
        <v>31</v>
      </c>
      <c r="I1142" s="113"/>
      <c r="J1142" s="113"/>
      <c r="K1142" s="114">
        <v>24.550000000000001</v>
      </c>
      <c r="L1142" s="88"/>
      <c r="M1142" s="88"/>
    </row>
    <row r="1143" ht="51">
      <c r="A1143" s="69">
        <v>1301001090</v>
      </c>
      <c r="B1143" s="89" t="s">
        <v>16591</v>
      </c>
      <c r="C1143" s="88" t="s">
        <v>31</v>
      </c>
      <c r="D1143" s="113"/>
      <c r="E1143" s="113"/>
      <c r="F1143" s="114">
        <v>20.27</v>
      </c>
      <c r="H1143" s="88" t="s">
        <v>31</v>
      </c>
      <c r="I1143" s="113"/>
      <c r="J1143" s="113"/>
      <c r="K1143" s="114">
        <v>19.800000000000001</v>
      </c>
      <c r="L1143" s="88"/>
      <c r="M1143" s="88"/>
    </row>
    <row r="1144" ht="51">
      <c r="A1144" s="69">
        <v>1301001092</v>
      </c>
      <c r="B1144" s="89" t="s">
        <v>16592</v>
      </c>
      <c r="C1144" s="88" t="s">
        <v>31</v>
      </c>
      <c r="D1144" s="113"/>
      <c r="E1144" s="113"/>
      <c r="F1144" s="114">
        <v>27.5</v>
      </c>
      <c r="H1144" s="88" t="s">
        <v>31</v>
      </c>
      <c r="I1144" s="113"/>
      <c r="J1144" s="113"/>
      <c r="K1144" s="114">
        <v>27.010000000000002</v>
      </c>
      <c r="L1144" s="88"/>
      <c r="M1144" s="88"/>
    </row>
    <row r="1145" ht="51">
      <c r="A1145" s="69">
        <v>1301001093</v>
      </c>
      <c r="B1145" s="89" t="s">
        <v>16593</v>
      </c>
      <c r="C1145" s="88" t="s">
        <v>31</v>
      </c>
      <c r="D1145" s="113"/>
      <c r="E1145" s="113"/>
      <c r="F1145" s="114">
        <v>38.060000000000002</v>
      </c>
      <c r="H1145" s="88" t="s">
        <v>31</v>
      </c>
      <c r="I1145" s="113"/>
      <c r="J1145" s="113"/>
      <c r="K1145" s="114">
        <v>37.549999999999997</v>
      </c>
      <c r="L1145" s="88"/>
      <c r="M1145" s="88"/>
    </row>
    <row r="1146" ht="51">
      <c r="A1146" s="69">
        <v>1301001094</v>
      </c>
      <c r="B1146" s="89" t="s">
        <v>16594</v>
      </c>
      <c r="C1146" s="88" t="s">
        <v>31</v>
      </c>
      <c r="D1146" s="113"/>
      <c r="E1146" s="113"/>
      <c r="F1146" s="114">
        <v>37.159999999999997</v>
      </c>
      <c r="H1146" s="88" t="s">
        <v>31</v>
      </c>
      <c r="I1146" s="113"/>
      <c r="J1146" s="113"/>
      <c r="K1146" s="114">
        <v>36.640000000000001</v>
      </c>
      <c r="L1146" s="88"/>
      <c r="M1146" s="88"/>
    </row>
    <row r="1147" ht="51">
      <c r="A1147" s="69">
        <v>1301001096</v>
      </c>
      <c r="B1147" s="89" t="s">
        <v>16595</v>
      </c>
      <c r="C1147" s="88" t="s">
        <v>31</v>
      </c>
      <c r="D1147" s="113"/>
      <c r="E1147" s="113"/>
      <c r="F1147" s="114">
        <v>59.5</v>
      </c>
      <c r="H1147" s="88" t="s">
        <v>31</v>
      </c>
      <c r="I1147" s="113"/>
      <c r="J1147" s="113"/>
      <c r="K1147" s="114">
        <v>58.960000000000001</v>
      </c>
      <c r="L1147" s="88"/>
      <c r="M1147" s="88"/>
    </row>
    <row r="1148" ht="51">
      <c r="A1148" s="69">
        <v>1301001097</v>
      </c>
      <c r="B1148" s="89" t="s">
        <v>16596</v>
      </c>
      <c r="C1148" s="88" t="s">
        <v>31</v>
      </c>
      <c r="D1148" s="113"/>
      <c r="E1148" s="113"/>
      <c r="F1148" s="114">
        <v>14.960000000000001</v>
      </c>
      <c r="H1148" s="88" t="s">
        <v>31</v>
      </c>
      <c r="I1148" s="113"/>
      <c r="J1148" s="113"/>
      <c r="K1148" s="114">
        <v>14.710000000000001</v>
      </c>
      <c r="L1148" s="88"/>
      <c r="M1148" s="88"/>
    </row>
    <row r="1149" ht="51">
      <c r="A1149" s="69">
        <v>1301001098</v>
      </c>
      <c r="B1149" s="89" t="s">
        <v>16597</v>
      </c>
      <c r="C1149" s="88" t="s">
        <v>31</v>
      </c>
      <c r="D1149" s="113"/>
      <c r="E1149" s="113"/>
      <c r="F1149" s="114">
        <v>250.63</v>
      </c>
      <c r="H1149" s="88" t="s">
        <v>31</v>
      </c>
      <c r="I1149" s="113"/>
      <c r="J1149" s="113"/>
      <c r="K1149" s="114">
        <v>249.66999999999999</v>
      </c>
      <c r="L1149" s="88"/>
      <c r="M1149" s="88"/>
    </row>
    <row r="1150" ht="51">
      <c r="A1150" s="69">
        <v>1301001099</v>
      </c>
      <c r="B1150" s="89" t="s">
        <v>16598</v>
      </c>
      <c r="C1150" s="88" t="s">
        <v>31</v>
      </c>
      <c r="D1150" s="113"/>
      <c r="E1150" s="113"/>
      <c r="F1150" s="114">
        <v>6.4299999999999997</v>
      </c>
      <c r="H1150" s="88" t="s">
        <v>31</v>
      </c>
      <c r="I1150" s="113"/>
      <c r="J1150" s="113"/>
      <c r="K1150" s="114">
        <v>6.0899999999999999</v>
      </c>
      <c r="L1150" s="88"/>
      <c r="M1150" s="88"/>
    </row>
    <row r="1151" ht="51">
      <c r="A1151" s="69">
        <v>1301001100</v>
      </c>
      <c r="B1151" s="89" t="s">
        <v>16599</v>
      </c>
      <c r="C1151" s="88" t="s">
        <v>31</v>
      </c>
      <c r="D1151" s="113"/>
      <c r="E1151" s="113"/>
      <c r="F1151" s="114">
        <v>8.0399999999999991</v>
      </c>
      <c r="H1151" s="88" t="s">
        <v>31</v>
      </c>
      <c r="I1151" s="113"/>
      <c r="J1151" s="113"/>
      <c r="K1151" s="114">
        <v>7.7000000000000002</v>
      </c>
      <c r="L1151" s="88"/>
      <c r="M1151" s="88"/>
    </row>
    <row r="1152" ht="51">
      <c r="A1152" s="69">
        <v>1301001101</v>
      </c>
      <c r="B1152" s="89" t="s">
        <v>16600</v>
      </c>
      <c r="C1152" s="88" t="s">
        <v>31</v>
      </c>
      <c r="D1152" s="113"/>
      <c r="E1152" s="113"/>
      <c r="F1152" s="114">
        <v>10.710000000000001</v>
      </c>
      <c r="H1152" s="88" t="s">
        <v>31</v>
      </c>
      <c r="I1152" s="113"/>
      <c r="J1152" s="113"/>
      <c r="K1152" s="114">
        <v>10.449999999999999</v>
      </c>
      <c r="L1152" s="88"/>
      <c r="M1152" s="88"/>
    </row>
    <row r="1153" ht="38.25">
      <c r="A1153" s="69">
        <v>1301001102</v>
      </c>
      <c r="B1153" s="89" t="s">
        <v>16601</v>
      </c>
      <c r="C1153" s="88" t="s">
        <v>31</v>
      </c>
      <c r="D1153" s="113"/>
      <c r="E1153" s="113"/>
      <c r="F1153" s="114">
        <v>7.1200000000000001</v>
      </c>
      <c r="H1153" s="88" t="s">
        <v>31</v>
      </c>
      <c r="I1153" s="113"/>
      <c r="J1153" s="113"/>
      <c r="K1153" s="114">
        <v>6.7800000000000002</v>
      </c>
      <c r="L1153" s="88"/>
      <c r="M1153" s="88"/>
    </row>
    <row r="1154" ht="38.25">
      <c r="A1154" s="69">
        <v>1301001105</v>
      </c>
      <c r="B1154" s="89" t="s">
        <v>16602</v>
      </c>
      <c r="C1154" s="88" t="s">
        <v>31</v>
      </c>
      <c r="D1154" s="113"/>
      <c r="E1154" s="113"/>
      <c r="F1154" s="114">
        <v>166</v>
      </c>
      <c r="H1154" s="88" t="s">
        <v>31</v>
      </c>
      <c r="I1154" s="113"/>
      <c r="J1154" s="113"/>
      <c r="K1154" s="114">
        <v>165.47999999999999</v>
      </c>
      <c r="L1154" s="88"/>
      <c r="M1154" s="88"/>
    </row>
    <row r="1155" ht="38.25">
      <c r="A1155" s="69">
        <v>1301001107</v>
      </c>
      <c r="B1155" s="89" t="s">
        <v>16603</v>
      </c>
      <c r="C1155" s="88" t="s">
        <v>31</v>
      </c>
      <c r="D1155" s="113"/>
      <c r="E1155" s="113"/>
      <c r="F1155" s="114">
        <v>247.53999999999999</v>
      </c>
      <c r="H1155" s="88" t="s">
        <v>31</v>
      </c>
      <c r="I1155" s="113"/>
      <c r="J1155" s="113"/>
      <c r="K1155" s="114">
        <v>246.81999999999999</v>
      </c>
      <c r="L1155" s="88"/>
      <c r="M1155" s="88"/>
    </row>
    <row r="1156" ht="38.25">
      <c r="A1156" s="69">
        <v>1301001108</v>
      </c>
      <c r="B1156" s="89" t="s">
        <v>16604</v>
      </c>
      <c r="C1156" s="88" t="s">
        <v>31</v>
      </c>
      <c r="D1156" s="113"/>
      <c r="E1156" s="113"/>
      <c r="F1156" s="114">
        <v>278.36000000000001</v>
      </c>
      <c r="H1156" s="88" t="s">
        <v>31</v>
      </c>
      <c r="I1156" s="113"/>
      <c r="J1156" s="113"/>
      <c r="K1156" s="114">
        <v>277.42000000000002</v>
      </c>
      <c r="L1156" s="88"/>
      <c r="M1156" s="88"/>
    </row>
    <row r="1157" ht="38.25">
      <c r="A1157" s="69">
        <v>1301001109</v>
      </c>
      <c r="B1157" s="89" t="s">
        <v>16605</v>
      </c>
      <c r="C1157" s="88" t="s">
        <v>31</v>
      </c>
      <c r="D1157" s="113"/>
      <c r="E1157" s="113"/>
      <c r="F1157" s="114">
        <v>388.61000000000001</v>
      </c>
      <c r="H1157" s="88" t="s">
        <v>31</v>
      </c>
      <c r="I1157" s="113"/>
      <c r="J1157" s="113"/>
      <c r="K1157" s="114">
        <v>387.42000000000002</v>
      </c>
      <c r="L1157" s="88"/>
      <c r="M1157" s="88"/>
    </row>
    <row r="1158" ht="38.25">
      <c r="A1158" s="69">
        <v>1301001110</v>
      </c>
      <c r="B1158" s="89" t="s">
        <v>16606</v>
      </c>
      <c r="C1158" s="88" t="s">
        <v>31</v>
      </c>
      <c r="D1158" s="113"/>
      <c r="E1158" s="113"/>
      <c r="F1158" s="114">
        <v>554.25</v>
      </c>
      <c r="H1158" s="88" t="s">
        <v>31</v>
      </c>
      <c r="I1158" s="113"/>
      <c r="J1158" s="113"/>
      <c r="K1158" s="114">
        <v>552.63999999999999</v>
      </c>
      <c r="L1158" s="88"/>
      <c r="M1158" s="88"/>
    </row>
    <row r="1159" ht="38.25">
      <c r="A1159" s="69">
        <v>1301001111</v>
      </c>
      <c r="B1159" s="89" t="s">
        <v>16607</v>
      </c>
      <c r="C1159" s="88" t="s">
        <v>31</v>
      </c>
      <c r="D1159" s="113"/>
      <c r="E1159" s="113"/>
      <c r="F1159" s="114">
        <v>762.74000000000001</v>
      </c>
      <c r="H1159" s="88" t="s">
        <v>31</v>
      </c>
      <c r="I1159" s="113"/>
      <c r="J1159" s="113"/>
      <c r="K1159" s="114">
        <v>760.73000000000002</v>
      </c>
      <c r="L1159" s="88"/>
      <c r="M1159" s="88"/>
    </row>
    <row r="1160" ht="51">
      <c r="A1160" s="69">
        <v>1301001115</v>
      </c>
      <c r="B1160" s="89" t="s">
        <v>16608</v>
      </c>
      <c r="C1160" s="88" t="s">
        <v>31</v>
      </c>
      <c r="D1160" s="113"/>
      <c r="E1160" s="113"/>
      <c r="F1160" s="114">
        <v>20.25</v>
      </c>
      <c r="H1160" s="88" t="s">
        <v>31</v>
      </c>
      <c r="I1160" s="113"/>
      <c r="J1160" s="113"/>
      <c r="K1160" s="114">
        <v>19.91</v>
      </c>
      <c r="L1160" s="88"/>
      <c r="M1160" s="88"/>
    </row>
    <row r="1161" ht="51">
      <c r="A1161" s="69">
        <v>1301001116</v>
      </c>
      <c r="B1161" s="89" t="s">
        <v>16609</v>
      </c>
      <c r="C1161" s="88" t="s">
        <v>31</v>
      </c>
      <c r="D1161" s="113"/>
      <c r="E1161" s="113"/>
      <c r="F1161" s="114">
        <v>31.77</v>
      </c>
      <c r="H1161" s="88" t="s">
        <v>31</v>
      </c>
      <c r="I1161" s="113"/>
      <c r="J1161" s="113"/>
      <c r="K1161" s="114">
        <v>31.379999999999999</v>
      </c>
      <c r="L1161" s="88"/>
      <c r="M1161" s="88"/>
    </row>
    <row r="1162" ht="51">
      <c r="A1162" s="69">
        <v>1301001117</v>
      </c>
      <c r="B1162" s="89" t="s">
        <v>16610</v>
      </c>
      <c r="C1162" s="88" t="s">
        <v>31</v>
      </c>
      <c r="D1162" s="113"/>
      <c r="E1162" s="113"/>
      <c r="F1162" s="114">
        <v>42.590000000000003</v>
      </c>
      <c r="H1162" s="88" t="s">
        <v>31</v>
      </c>
      <c r="I1162" s="113"/>
      <c r="J1162" s="113"/>
      <c r="K1162" s="114">
        <v>42.130000000000003</v>
      </c>
      <c r="L1162" s="88"/>
      <c r="M1162" s="88"/>
    </row>
    <row r="1163" ht="51">
      <c r="A1163" s="69">
        <v>1301001118</v>
      </c>
      <c r="B1163" s="89" t="s">
        <v>16611</v>
      </c>
      <c r="C1163" s="88" t="s">
        <v>31</v>
      </c>
      <c r="D1163" s="113"/>
      <c r="E1163" s="113"/>
      <c r="F1163" s="114">
        <v>70.459999999999994</v>
      </c>
      <c r="H1163" s="88" t="s">
        <v>31</v>
      </c>
      <c r="I1163" s="113"/>
      <c r="J1163" s="113"/>
      <c r="K1163" s="114">
        <v>69.129999999999995</v>
      </c>
      <c r="L1163" s="88"/>
      <c r="M1163" s="88"/>
    </row>
    <row r="1164" ht="38.25">
      <c r="A1164" s="69">
        <v>1301001120</v>
      </c>
      <c r="B1164" s="89" t="s">
        <v>16612</v>
      </c>
      <c r="C1164" s="88" t="s">
        <v>31</v>
      </c>
      <c r="D1164" s="113"/>
      <c r="E1164" s="113"/>
      <c r="F1164" s="114">
        <v>88.939999999999998</v>
      </c>
      <c r="H1164" s="88" t="s">
        <v>31</v>
      </c>
      <c r="I1164" s="113"/>
      <c r="J1164" s="113"/>
      <c r="K1164" s="114">
        <v>88.420000000000002</v>
      </c>
      <c r="L1164" s="88"/>
      <c r="M1164" s="88"/>
    </row>
    <row r="1165" ht="38.25">
      <c r="A1165" s="69">
        <v>1301001121</v>
      </c>
      <c r="B1165" s="89" t="s">
        <v>16613</v>
      </c>
      <c r="C1165" s="88" t="s">
        <v>31</v>
      </c>
      <c r="D1165" s="113"/>
      <c r="E1165" s="113"/>
      <c r="F1165" s="114">
        <v>132.44</v>
      </c>
      <c r="H1165" s="88" t="s">
        <v>31</v>
      </c>
      <c r="I1165" s="113"/>
      <c r="J1165" s="113"/>
      <c r="K1165" s="114">
        <v>131.72</v>
      </c>
      <c r="L1165" s="88"/>
      <c r="M1165" s="88"/>
    </row>
    <row r="1166" ht="38.25">
      <c r="A1166" s="69">
        <v>1301001122</v>
      </c>
      <c r="B1166" s="89" t="s">
        <v>16614</v>
      </c>
      <c r="C1166" s="88" t="s">
        <v>31</v>
      </c>
      <c r="D1166" s="113"/>
      <c r="E1166" s="113"/>
      <c r="F1166" s="114">
        <v>153.97</v>
      </c>
      <c r="H1166" s="88" t="s">
        <v>31</v>
      </c>
      <c r="I1166" s="113"/>
      <c r="J1166" s="113"/>
      <c r="K1166" s="114">
        <v>153.03</v>
      </c>
      <c r="L1166" s="88"/>
      <c r="M1166" s="88"/>
    </row>
    <row r="1167" ht="38.25">
      <c r="A1167" s="69">
        <v>1301001123</v>
      </c>
      <c r="B1167" s="89" t="s">
        <v>16615</v>
      </c>
      <c r="C1167" s="88" t="s">
        <v>31</v>
      </c>
      <c r="D1167" s="113"/>
      <c r="E1167" s="113"/>
      <c r="F1167" s="114">
        <v>222.28</v>
      </c>
      <c r="H1167" s="88" t="s">
        <v>31</v>
      </c>
      <c r="I1167" s="113"/>
      <c r="J1167" s="113"/>
      <c r="K1167" s="114">
        <v>221.09</v>
      </c>
      <c r="L1167" s="88"/>
      <c r="M1167" s="88"/>
    </row>
    <row r="1168">
      <c r="A1168" s="108">
        <v>1301001124</v>
      </c>
      <c r="B1168" s="109" t="s">
        <v>16616</v>
      </c>
      <c r="C1168" s="110" t="s">
        <v>31</v>
      </c>
      <c r="D1168" s="111">
        <v>331.30000000000001</v>
      </c>
      <c r="E1168" s="111">
        <v>37.390000000000001</v>
      </c>
      <c r="F1168" s="112">
        <v>368.69</v>
      </c>
      <c r="H1168" s="110" t="s">
        <v>31</v>
      </c>
      <c r="I1168" s="111">
        <v>331.30000000000001</v>
      </c>
      <c r="J1168" s="111">
        <v>34.5</v>
      </c>
      <c r="K1168" s="112">
        <v>365.80000000000001</v>
      </c>
      <c r="L1168" s="88"/>
      <c r="M1168" s="88"/>
    </row>
    <row r="1169" ht="38.25">
      <c r="A1169" s="69">
        <v>1301001125</v>
      </c>
      <c r="B1169" s="89" t="s">
        <v>16617</v>
      </c>
      <c r="C1169" s="88" t="s">
        <v>31</v>
      </c>
      <c r="D1169" s="113"/>
      <c r="E1169" s="113"/>
      <c r="F1169" s="114">
        <v>478.16000000000003</v>
      </c>
      <c r="H1169" s="88" t="s">
        <v>31</v>
      </c>
      <c r="I1169" s="113"/>
      <c r="J1169" s="113"/>
      <c r="K1169" s="114">
        <v>476.14999999999998</v>
      </c>
      <c r="L1169" s="88"/>
      <c r="M1169" s="88"/>
    </row>
    <row r="1170">
      <c r="A1170" s="108">
        <v>1301001130</v>
      </c>
      <c r="B1170" s="109" t="s">
        <v>16618</v>
      </c>
      <c r="C1170" s="110" t="s">
        <v>31</v>
      </c>
      <c r="D1170" s="111">
        <v>29583.209999999999</v>
      </c>
      <c r="E1170" s="111">
        <v>15475.99</v>
      </c>
      <c r="F1170" s="112">
        <v>45059.199999999997</v>
      </c>
      <c r="H1170" s="110" t="s">
        <v>31</v>
      </c>
      <c r="I1170" s="111">
        <v>29583.209999999999</v>
      </c>
      <c r="J1170" s="111">
        <v>14326.139999999999</v>
      </c>
      <c r="K1170" s="112">
        <v>43909.349999999999</v>
      </c>
      <c r="L1170" s="88"/>
      <c r="M1170" s="88"/>
    </row>
    <row r="1171">
      <c r="A1171" s="108">
        <v>1301001132</v>
      </c>
      <c r="B1171" s="109" t="s">
        <v>16619</v>
      </c>
      <c r="C1171" s="110" t="s">
        <v>31</v>
      </c>
      <c r="D1171" s="111">
        <v>5809.4700000000003</v>
      </c>
      <c r="E1171" s="111">
        <v>9489.4699999999993</v>
      </c>
      <c r="F1171" s="112">
        <v>15298.940000000001</v>
      </c>
      <c r="H1171" s="110" t="s">
        <v>31</v>
      </c>
      <c r="I1171" s="111">
        <v>5809.4700000000003</v>
      </c>
      <c r="J1171" s="111">
        <v>8791.9899999999998</v>
      </c>
      <c r="K1171" s="112">
        <v>14601.459999999999</v>
      </c>
      <c r="L1171" s="88"/>
      <c r="M1171" s="88"/>
    </row>
    <row r="1172">
      <c r="A1172" s="108">
        <v>1301001134</v>
      </c>
      <c r="B1172" s="109" t="s">
        <v>16620</v>
      </c>
      <c r="C1172" s="110" t="s">
        <v>31</v>
      </c>
      <c r="D1172" s="111">
        <v>8932.5799999999999</v>
      </c>
      <c r="E1172" s="111">
        <v>13070.59</v>
      </c>
      <c r="F1172" s="112">
        <v>22003.169999999998</v>
      </c>
      <c r="H1172" s="110" t="s">
        <v>31</v>
      </c>
      <c r="I1172" s="111">
        <v>8932.5799999999999</v>
      </c>
      <c r="J1172" s="111">
        <v>12109.959999999999</v>
      </c>
      <c r="K1172" s="112">
        <v>21042.540000000001</v>
      </c>
      <c r="L1172" s="88"/>
      <c r="M1172" s="88"/>
    </row>
    <row r="1173">
      <c r="A1173" s="108">
        <v>1301001136</v>
      </c>
      <c r="B1173" s="109" t="s">
        <v>16621</v>
      </c>
      <c r="C1173" s="110" t="s">
        <v>31</v>
      </c>
      <c r="D1173" s="111">
        <v>17934.509999999998</v>
      </c>
      <c r="E1173" s="111">
        <v>24028.5</v>
      </c>
      <c r="F1173" s="112">
        <v>41963.010000000002</v>
      </c>
      <c r="H1173" s="110" t="s">
        <v>31</v>
      </c>
      <c r="I1173" s="111">
        <v>17934.509999999998</v>
      </c>
      <c r="J1173" s="111">
        <v>22261.470000000001</v>
      </c>
      <c r="K1173" s="112">
        <v>40195.980000000003</v>
      </c>
      <c r="L1173" s="88"/>
      <c r="M1173" s="88"/>
    </row>
    <row r="1174" ht="25.5">
      <c r="A1174" s="108">
        <v>1301001138</v>
      </c>
      <c r="B1174" s="109" t="s">
        <v>16622</v>
      </c>
      <c r="C1174" s="110" t="s">
        <v>31</v>
      </c>
      <c r="D1174" s="111">
        <v>65786.979999999996</v>
      </c>
      <c r="E1174" s="111">
        <v>55895.360000000001</v>
      </c>
      <c r="F1174" s="112">
        <v>121682.34</v>
      </c>
      <c r="H1174" s="110" t="s">
        <v>31</v>
      </c>
      <c r="I1174" s="111">
        <v>65757.279999999999</v>
      </c>
      <c r="J1174" s="111">
        <v>51775.860000000001</v>
      </c>
      <c r="K1174" s="112">
        <v>117533.14</v>
      </c>
      <c r="L1174" s="88"/>
      <c r="M1174" s="88"/>
    </row>
    <row r="1175" ht="38.25">
      <c r="A1175" s="108">
        <v>1301001140</v>
      </c>
      <c r="B1175" s="109" t="s">
        <v>16623</v>
      </c>
      <c r="C1175" s="110" t="s">
        <v>31</v>
      </c>
      <c r="D1175" s="111">
        <v>19900</v>
      </c>
      <c r="E1175" s="111">
        <v>0</v>
      </c>
      <c r="F1175" s="112">
        <v>19900</v>
      </c>
      <c r="H1175" s="110" t="s">
        <v>31</v>
      </c>
      <c r="I1175" s="111">
        <v>19900</v>
      </c>
      <c r="J1175" s="111">
        <v>0</v>
      </c>
      <c r="K1175" s="112">
        <v>19900</v>
      </c>
      <c r="L1175" s="88"/>
      <c r="M1175" s="88"/>
    </row>
    <row r="1176" ht="25.5">
      <c r="A1176" s="108">
        <v>1301001144</v>
      </c>
      <c r="B1176" s="109" t="s">
        <v>16624</v>
      </c>
      <c r="C1176" s="110" t="s">
        <v>31</v>
      </c>
      <c r="D1176" s="111">
        <v>28040</v>
      </c>
      <c r="E1176" s="111">
        <v>0</v>
      </c>
      <c r="F1176" s="112">
        <v>28040</v>
      </c>
      <c r="H1176" s="110" t="s">
        <v>31</v>
      </c>
      <c r="I1176" s="111">
        <v>28040</v>
      </c>
      <c r="J1176" s="111">
        <v>0</v>
      </c>
      <c r="K1176" s="112">
        <v>28040</v>
      </c>
      <c r="L1176" s="88"/>
      <c r="M1176" s="88"/>
    </row>
    <row r="1177" ht="25.5">
      <c r="A1177" s="108">
        <v>1301001146</v>
      </c>
      <c r="B1177" s="109" t="s">
        <v>16625</v>
      </c>
      <c r="C1177" s="110" t="s">
        <v>31</v>
      </c>
      <c r="D1177" s="111">
        <v>35200</v>
      </c>
      <c r="E1177" s="111">
        <v>0</v>
      </c>
      <c r="F1177" s="112">
        <v>35200</v>
      </c>
      <c r="H1177" s="110" t="s">
        <v>31</v>
      </c>
      <c r="I1177" s="111">
        <v>35200</v>
      </c>
      <c r="J1177" s="111">
        <v>0</v>
      </c>
      <c r="K1177" s="112">
        <v>35200</v>
      </c>
      <c r="L1177" s="88"/>
      <c r="M1177" s="88"/>
    </row>
    <row r="1178" ht="25.5">
      <c r="A1178" s="108">
        <v>1301001148</v>
      </c>
      <c r="B1178" s="109" t="s">
        <v>16626</v>
      </c>
      <c r="C1178" s="110" t="s">
        <v>31</v>
      </c>
      <c r="D1178" s="111">
        <v>47200</v>
      </c>
      <c r="E1178" s="111">
        <v>0</v>
      </c>
      <c r="F1178" s="112">
        <v>47200</v>
      </c>
      <c r="H1178" s="110" t="s">
        <v>31</v>
      </c>
      <c r="I1178" s="111">
        <v>47200</v>
      </c>
      <c r="J1178" s="111">
        <v>0</v>
      </c>
      <c r="K1178" s="112">
        <v>47200</v>
      </c>
      <c r="L1178" s="88"/>
      <c r="M1178" s="88"/>
    </row>
    <row r="1179" ht="38.25">
      <c r="A1179" s="108">
        <v>1301001160</v>
      </c>
      <c r="B1179" s="109" t="s">
        <v>16627</v>
      </c>
      <c r="C1179" s="110" t="s">
        <v>31</v>
      </c>
      <c r="D1179" s="111">
        <v>2525.6799999999998</v>
      </c>
      <c r="E1179" s="111">
        <v>4465.0600000000004</v>
      </c>
      <c r="F1179" s="112">
        <v>6990.7399999999998</v>
      </c>
      <c r="H1179" s="110" t="s">
        <v>31</v>
      </c>
      <c r="I1179" s="111">
        <v>2525.6799999999998</v>
      </c>
      <c r="J1179" s="111">
        <v>4141.5100000000002</v>
      </c>
      <c r="K1179" s="112">
        <v>6667.1899999999996</v>
      </c>
      <c r="L1179" s="88"/>
      <c r="M1179" s="88"/>
    </row>
    <row r="1180" ht="25.5">
      <c r="A1180" s="108">
        <v>1301001165</v>
      </c>
      <c r="B1180" s="109" t="s">
        <v>16628</v>
      </c>
      <c r="C1180" s="110" t="s">
        <v>31</v>
      </c>
      <c r="D1180" s="111">
        <v>3054.3299999999999</v>
      </c>
      <c r="E1180" s="111">
        <v>2516.54</v>
      </c>
      <c r="F1180" s="112">
        <v>5570.8699999999999</v>
      </c>
      <c r="H1180" s="110" t="s">
        <v>31</v>
      </c>
      <c r="I1180" s="111">
        <v>3054.3299999999999</v>
      </c>
      <c r="J1180" s="111">
        <v>2332.71</v>
      </c>
      <c r="K1180" s="112">
        <v>5387.04</v>
      </c>
      <c r="L1180" s="88"/>
      <c r="M1180" s="88"/>
    </row>
    <row r="1181" ht="25.5">
      <c r="A1181" s="108">
        <v>1301001166</v>
      </c>
      <c r="B1181" s="109" t="s">
        <v>16629</v>
      </c>
      <c r="C1181" s="110" t="s">
        <v>31</v>
      </c>
      <c r="D1181" s="111">
        <v>3245.0700000000002</v>
      </c>
      <c r="E1181" s="111">
        <v>2636.4400000000001</v>
      </c>
      <c r="F1181" s="112">
        <v>5881.5100000000002</v>
      </c>
      <c r="H1181" s="110" t="s">
        <v>31</v>
      </c>
      <c r="I1181" s="111">
        <v>3245.0700000000002</v>
      </c>
      <c r="J1181" s="111">
        <v>2444.3200000000002</v>
      </c>
      <c r="K1181" s="112">
        <v>5689.3900000000003</v>
      </c>
      <c r="L1181" s="88"/>
      <c r="M1181" s="88"/>
    </row>
    <row r="1182" ht="25.5">
      <c r="A1182" s="108">
        <v>1301001168</v>
      </c>
      <c r="B1182" s="109" t="s">
        <v>16630</v>
      </c>
      <c r="C1182" s="110" t="s">
        <v>31</v>
      </c>
      <c r="D1182" s="111">
        <v>5002.8800000000001</v>
      </c>
      <c r="E1182" s="111">
        <v>4024.9499999999998</v>
      </c>
      <c r="F1182" s="112">
        <v>9027.8299999999999</v>
      </c>
      <c r="H1182" s="110" t="s">
        <v>31</v>
      </c>
      <c r="I1182" s="111">
        <v>5002.8800000000001</v>
      </c>
      <c r="J1182" s="111">
        <v>3732.1500000000001</v>
      </c>
      <c r="K1182" s="112">
        <v>8735.0300000000007</v>
      </c>
      <c r="L1182" s="88"/>
      <c r="M1182" s="88"/>
    </row>
    <row r="1183" ht="38.25">
      <c r="A1183" s="69">
        <v>1301001180</v>
      </c>
      <c r="B1183" s="89" t="s">
        <v>16631</v>
      </c>
      <c r="C1183" s="88" t="s">
        <v>31</v>
      </c>
      <c r="D1183" s="113"/>
      <c r="E1183" s="113"/>
      <c r="F1183" s="114">
        <v>571.10000000000002</v>
      </c>
      <c r="H1183" s="88" t="s">
        <v>31</v>
      </c>
      <c r="I1183" s="113"/>
      <c r="J1183" s="113"/>
      <c r="K1183" s="114">
        <v>564.33000000000004</v>
      </c>
      <c r="L1183" s="88"/>
      <c r="M1183" s="88"/>
    </row>
    <row r="1184" ht="38.25">
      <c r="A1184" s="69">
        <v>1301001184</v>
      </c>
      <c r="B1184" s="89" t="s">
        <v>16632</v>
      </c>
      <c r="C1184" s="88" t="s">
        <v>31</v>
      </c>
      <c r="D1184" s="113"/>
      <c r="E1184" s="113"/>
      <c r="F1184" s="114">
        <v>794.49000000000001</v>
      </c>
      <c r="H1184" s="88" t="s">
        <v>31</v>
      </c>
      <c r="I1184" s="113"/>
      <c r="J1184" s="113"/>
      <c r="K1184" s="114">
        <v>787.02999999999997</v>
      </c>
      <c r="L1184" s="88"/>
      <c r="M1184" s="88"/>
    </row>
    <row r="1185">
      <c r="A1185" s="108">
        <v>1301001190</v>
      </c>
      <c r="B1185" s="109" t="s">
        <v>16633</v>
      </c>
      <c r="C1185" s="110" t="s">
        <v>31</v>
      </c>
      <c r="D1185" s="111">
        <v>611.00999999999999</v>
      </c>
      <c r="E1185" s="111">
        <v>491.81999999999999</v>
      </c>
      <c r="F1185" s="112">
        <v>1102.8299999999999</v>
      </c>
      <c r="H1185" s="110" t="s">
        <v>31</v>
      </c>
      <c r="I1185" s="111">
        <v>609.80999999999995</v>
      </c>
      <c r="J1185" s="111">
        <v>455.44</v>
      </c>
      <c r="K1185" s="112">
        <v>1065.25</v>
      </c>
      <c r="L1185" s="88"/>
      <c r="M1185" s="88"/>
    </row>
    <row r="1186" ht="38.25">
      <c r="A1186" s="69">
        <v>1301001195</v>
      </c>
      <c r="B1186" s="89" t="s">
        <v>16634</v>
      </c>
      <c r="C1186" s="88" t="s">
        <v>31</v>
      </c>
      <c r="D1186" s="113"/>
      <c r="E1186" s="113"/>
      <c r="F1186" s="114">
        <v>1081.8299999999999</v>
      </c>
      <c r="H1186" s="88" t="s">
        <v>31</v>
      </c>
      <c r="I1186" s="113"/>
      <c r="J1186" s="113"/>
      <c r="K1186" s="114">
        <v>1072.3499999999999</v>
      </c>
      <c r="L1186" s="88"/>
      <c r="M1186" s="88"/>
    </row>
    <row r="1187" ht="38.25">
      <c r="A1187" s="69">
        <v>1301001196</v>
      </c>
      <c r="B1187" s="89" t="s">
        <v>16635</v>
      </c>
      <c r="C1187" s="88" t="s">
        <v>31</v>
      </c>
      <c r="D1187" s="113"/>
      <c r="E1187" s="113"/>
      <c r="F1187" s="114">
        <v>1736.6500000000001</v>
      </c>
      <c r="H1187" s="88" t="s">
        <v>31</v>
      </c>
      <c r="I1187" s="113"/>
      <c r="J1187" s="113"/>
      <c r="K1187" s="114">
        <v>1726.9300000000001</v>
      </c>
      <c r="L1187" s="88"/>
      <c r="M1187" s="88"/>
    </row>
    <row r="1188" ht="38.25">
      <c r="A1188" s="69">
        <v>1301001197</v>
      </c>
      <c r="B1188" s="89" t="s">
        <v>16636</v>
      </c>
      <c r="C1188" s="88" t="s">
        <v>31</v>
      </c>
      <c r="D1188" s="113"/>
      <c r="E1188" s="113"/>
      <c r="F1188" s="114">
        <v>1855.97</v>
      </c>
      <c r="H1188" s="88" t="s">
        <v>31</v>
      </c>
      <c r="I1188" s="113"/>
      <c r="J1188" s="113"/>
      <c r="K1188" s="114">
        <v>1845.9300000000001</v>
      </c>
      <c r="L1188" s="88"/>
      <c r="M1188" s="88"/>
    </row>
    <row r="1189" ht="38.25">
      <c r="A1189" s="69">
        <v>1301001199</v>
      </c>
      <c r="B1189" s="89" t="s">
        <v>16637</v>
      </c>
      <c r="C1189" s="88" t="s">
        <v>31</v>
      </c>
      <c r="D1189" s="113"/>
      <c r="E1189" s="113"/>
      <c r="F1189" s="114">
        <v>2538.1999999999998</v>
      </c>
      <c r="H1189" s="88" t="s">
        <v>31</v>
      </c>
      <c r="I1189" s="113"/>
      <c r="J1189" s="113"/>
      <c r="K1189" s="114">
        <v>2527.8899999999999</v>
      </c>
      <c r="L1189" s="88"/>
      <c r="M1189" s="88"/>
    </row>
    <row r="1190" ht="38.25">
      <c r="A1190" s="69">
        <v>1301001200</v>
      </c>
      <c r="B1190" s="89" t="s">
        <v>16638</v>
      </c>
      <c r="C1190" s="88" t="s">
        <v>31</v>
      </c>
      <c r="D1190" s="113"/>
      <c r="E1190" s="113"/>
      <c r="F1190" s="114">
        <v>8638.3799999999992</v>
      </c>
      <c r="H1190" s="88" t="s">
        <v>31</v>
      </c>
      <c r="I1190" s="113"/>
      <c r="J1190" s="113"/>
      <c r="K1190" s="114">
        <v>8624.5100000000002</v>
      </c>
      <c r="L1190" s="88"/>
      <c r="M1190" s="88"/>
    </row>
    <row r="1191" ht="25.5">
      <c r="A1191" s="69">
        <v>1301001210</v>
      </c>
      <c r="B1191" s="89" t="s">
        <v>16639</v>
      </c>
      <c r="C1191" s="88" t="s">
        <v>31</v>
      </c>
      <c r="D1191" s="113"/>
      <c r="E1191" s="113"/>
      <c r="F1191" s="114">
        <v>43.240000000000002</v>
      </c>
      <c r="H1191" s="88" t="s">
        <v>31</v>
      </c>
      <c r="I1191" s="113"/>
      <c r="J1191" s="113"/>
      <c r="K1191" s="114">
        <v>42.57</v>
      </c>
      <c r="L1191" s="88"/>
      <c r="M1191" s="88"/>
    </row>
    <row r="1192" ht="25.5">
      <c r="A1192" s="69">
        <v>1301001211</v>
      </c>
      <c r="B1192" s="89" t="s">
        <v>16640</v>
      </c>
      <c r="C1192" s="88" t="s">
        <v>31</v>
      </c>
      <c r="D1192" s="113"/>
      <c r="E1192" s="113"/>
      <c r="F1192" s="114">
        <v>89.359999999999999</v>
      </c>
      <c r="H1192" s="88" t="s">
        <v>31</v>
      </c>
      <c r="I1192" s="113"/>
      <c r="J1192" s="113"/>
      <c r="K1192" s="114">
        <v>88.450000000000003</v>
      </c>
      <c r="L1192" s="88"/>
      <c r="M1192" s="88"/>
    </row>
    <row r="1193" ht="38.25">
      <c r="A1193" s="69">
        <v>1301001212</v>
      </c>
      <c r="B1193" s="89" t="s">
        <v>16641</v>
      </c>
      <c r="C1193" s="88" t="s">
        <v>31</v>
      </c>
      <c r="D1193" s="113"/>
      <c r="E1193" s="113"/>
      <c r="F1193" s="114">
        <v>84.209999999999994</v>
      </c>
      <c r="H1193" s="88" t="s">
        <v>31</v>
      </c>
      <c r="I1193" s="113"/>
      <c r="J1193" s="113"/>
      <c r="K1193" s="114">
        <v>81.939999999999998</v>
      </c>
      <c r="L1193" s="88"/>
      <c r="M1193" s="88"/>
    </row>
    <row r="1194" ht="25.5">
      <c r="A1194" s="108">
        <v>1301001220</v>
      </c>
      <c r="B1194" s="109" t="s">
        <v>16642</v>
      </c>
      <c r="C1194" s="110" t="s">
        <v>31</v>
      </c>
      <c r="D1194" s="111">
        <v>81.349999999999994</v>
      </c>
      <c r="E1194" s="111">
        <v>24.68</v>
      </c>
      <c r="F1194" s="112">
        <v>106.03</v>
      </c>
      <c r="H1194" s="110" t="s">
        <v>31</v>
      </c>
      <c r="I1194" s="111">
        <v>81.349999999999994</v>
      </c>
      <c r="J1194" s="111">
        <v>22.77</v>
      </c>
      <c r="K1194" s="112">
        <v>104.12</v>
      </c>
      <c r="L1194" s="88"/>
      <c r="M1194" s="88"/>
    </row>
    <row r="1195">
      <c r="A1195" s="108">
        <v>1301001221</v>
      </c>
      <c r="B1195" s="109" t="s">
        <v>16643</v>
      </c>
      <c r="C1195" s="110" t="s">
        <v>31</v>
      </c>
      <c r="D1195" s="111">
        <v>128.99000000000001</v>
      </c>
      <c r="E1195" s="111">
        <v>38.850000000000001</v>
      </c>
      <c r="F1195" s="112">
        <v>167.84</v>
      </c>
      <c r="H1195" s="110" t="s">
        <v>31</v>
      </c>
      <c r="I1195" s="111">
        <v>128.99000000000001</v>
      </c>
      <c r="J1195" s="111">
        <v>35.850000000000001</v>
      </c>
      <c r="K1195" s="112">
        <v>164.84</v>
      </c>
      <c r="L1195" s="88"/>
      <c r="M1195" s="88"/>
    </row>
    <row r="1196">
      <c r="A1196" s="108">
        <v>1301001222</v>
      </c>
      <c r="B1196" s="109" t="s">
        <v>16574</v>
      </c>
      <c r="C1196" s="110" t="s">
        <v>31</v>
      </c>
      <c r="D1196" s="111">
        <v>137.75</v>
      </c>
      <c r="E1196" s="111">
        <v>38.850000000000001</v>
      </c>
      <c r="F1196" s="112">
        <v>176.59999999999999</v>
      </c>
      <c r="H1196" s="110" t="s">
        <v>31</v>
      </c>
      <c r="I1196" s="111">
        <v>137.75</v>
      </c>
      <c r="J1196" s="111">
        <v>35.850000000000001</v>
      </c>
      <c r="K1196" s="112">
        <v>173.59999999999999</v>
      </c>
      <c r="L1196" s="88"/>
      <c r="M1196" s="88"/>
    </row>
    <row r="1197">
      <c r="A1197" s="108">
        <v>1301001223</v>
      </c>
      <c r="B1197" s="109" t="s">
        <v>16575</v>
      </c>
      <c r="C1197" s="110" t="s">
        <v>31</v>
      </c>
      <c r="D1197" s="111">
        <v>208.46000000000001</v>
      </c>
      <c r="E1197" s="111">
        <v>38.850000000000001</v>
      </c>
      <c r="F1197" s="112">
        <v>247.31</v>
      </c>
      <c r="H1197" s="110" t="s">
        <v>31</v>
      </c>
      <c r="I1197" s="111">
        <v>208.46000000000001</v>
      </c>
      <c r="J1197" s="111">
        <v>35.850000000000001</v>
      </c>
      <c r="K1197" s="112">
        <v>244.31</v>
      </c>
      <c r="L1197" s="88"/>
      <c r="M1197" s="88"/>
    </row>
    <row r="1198">
      <c r="A1198" s="108">
        <v>1301001224</v>
      </c>
      <c r="B1198" s="109" t="s">
        <v>16616</v>
      </c>
      <c r="C1198" s="110" t="s">
        <v>31</v>
      </c>
      <c r="D1198" s="111">
        <v>372.08999999999997</v>
      </c>
      <c r="E1198" s="111">
        <v>52.57</v>
      </c>
      <c r="F1198" s="112">
        <v>424.66000000000003</v>
      </c>
      <c r="H1198" s="110" t="s">
        <v>31</v>
      </c>
      <c r="I1198" s="111">
        <v>372.08999999999997</v>
      </c>
      <c r="J1198" s="111">
        <v>48.509999999999998</v>
      </c>
      <c r="K1198" s="112">
        <v>420.60000000000002</v>
      </c>
      <c r="L1198" s="88"/>
      <c r="M1198" s="88"/>
    </row>
    <row r="1199">
      <c r="A1199" s="108">
        <v>1301001226</v>
      </c>
      <c r="B1199" s="109" t="s">
        <v>16644</v>
      </c>
      <c r="C1199" s="110" t="s">
        <v>31</v>
      </c>
      <c r="D1199" s="111">
        <v>509.88</v>
      </c>
      <c r="E1199" s="111">
        <v>52.57</v>
      </c>
      <c r="F1199" s="112">
        <v>562.45000000000005</v>
      </c>
      <c r="H1199" s="110" t="s">
        <v>31</v>
      </c>
      <c r="I1199" s="111">
        <v>509.88</v>
      </c>
      <c r="J1199" s="111">
        <v>48.509999999999998</v>
      </c>
      <c r="K1199" s="112">
        <v>558.38999999999999</v>
      </c>
      <c r="L1199" s="88"/>
      <c r="M1199" s="88"/>
    </row>
    <row r="1200">
      <c r="D1200" s="113"/>
      <c r="E1200" s="113"/>
      <c r="F1200" s="114"/>
      <c r="H1200" s="88"/>
      <c r="I1200" s="113"/>
      <c r="J1200" s="113"/>
      <c r="K1200" s="114"/>
      <c r="L1200" s="88"/>
      <c r="M1200" s="88"/>
    </row>
    <row r="1201">
      <c r="B1201" s="89" t="s">
        <v>16645</v>
      </c>
      <c r="D1201" s="113"/>
      <c r="E1201" s="113"/>
      <c r="F1201" s="114"/>
      <c r="H1201" s="88"/>
      <c r="I1201" s="113"/>
      <c r="J1201" s="113"/>
      <c r="K1201" s="114"/>
      <c r="L1201" s="88"/>
      <c r="M1201" s="88"/>
    </row>
    <row r="1202" ht="51">
      <c r="A1202" s="108">
        <v>1301002000</v>
      </c>
      <c r="B1202" s="109" t="s">
        <v>16646</v>
      </c>
      <c r="C1202" s="110" t="s">
        <v>31</v>
      </c>
      <c r="D1202" s="111">
        <v>605.62</v>
      </c>
      <c r="E1202" s="111">
        <v>19.649999999999999</v>
      </c>
      <c r="F1202" s="112">
        <v>625.26999999999998</v>
      </c>
      <c r="H1202" s="110" t="s">
        <v>31</v>
      </c>
      <c r="I1202" s="111">
        <v>605.62</v>
      </c>
      <c r="J1202" s="111">
        <v>18.129999999999999</v>
      </c>
      <c r="K1202" s="112">
        <v>623.75</v>
      </c>
      <c r="L1202" s="88"/>
      <c r="M1202" s="88"/>
    </row>
    <row r="1203" ht="25.5">
      <c r="A1203" s="69">
        <v>1301002001</v>
      </c>
      <c r="B1203" s="89" t="s">
        <v>16647</v>
      </c>
      <c r="C1203" s="88" t="s">
        <v>31</v>
      </c>
      <c r="D1203" s="113"/>
      <c r="E1203" s="113"/>
      <c r="F1203" s="114">
        <v>568.85000000000002</v>
      </c>
      <c r="H1203" s="88" t="s">
        <v>31</v>
      </c>
      <c r="I1203" s="113"/>
      <c r="J1203" s="113"/>
      <c r="K1203" s="114">
        <v>567.36000000000001</v>
      </c>
      <c r="L1203" s="88"/>
      <c r="M1203" s="88"/>
    </row>
    <row r="1204" ht="51">
      <c r="A1204" s="69">
        <v>1301002002</v>
      </c>
      <c r="B1204" s="89" t="s">
        <v>16648</v>
      </c>
      <c r="C1204" s="88" t="s">
        <v>31</v>
      </c>
      <c r="D1204" s="113"/>
      <c r="E1204" s="113"/>
      <c r="F1204" s="114">
        <v>594.69000000000005</v>
      </c>
      <c r="H1204" s="88" t="s">
        <v>31</v>
      </c>
      <c r="I1204" s="113"/>
      <c r="J1204" s="113"/>
      <c r="K1204" s="114">
        <v>592.12</v>
      </c>
      <c r="L1204" s="88"/>
      <c r="M1204" s="88"/>
    </row>
    <row r="1205" ht="38.25">
      <c r="A1205" s="108">
        <v>1301002003</v>
      </c>
      <c r="B1205" s="109" t="s">
        <v>16649</v>
      </c>
      <c r="C1205" s="110" t="s">
        <v>31</v>
      </c>
      <c r="D1205" s="111">
        <v>880.09000000000003</v>
      </c>
      <c r="E1205" s="111">
        <v>19.649999999999999</v>
      </c>
      <c r="F1205" s="112">
        <v>899.74000000000001</v>
      </c>
      <c r="H1205" s="110" t="s">
        <v>31</v>
      </c>
      <c r="I1205" s="111">
        <v>880.09000000000003</v>
      </c>
      <c r="J1205" s="111">
        <v>18.129999999999999</v>
      </c>
      <c r="K1205" s="112">
        <v>898.22000000000003</v>
      </c>
      <c r="L1205" s="88"/>
      <c r="M1205" s="88"/>
    </row>
    <row r="1206" ht="25.5">
      <c r="A1206" s="108">
        <v>1301002004</v>
      </c>
      <c r="B1206" s="109" t="s">
        <v>16650</v>
      </c>
      <c r="C1206" s="110" t="s">
        <v>31</v>
      </c>
      <c r="D1206" s="111">
        <v>84.040000000000006</v>
      </c>
      <c r="E1206" s="111">
        <v>3.1699999999999999</v>
      </c>
      <c r="F1206" s="112">
        <v>87.209999999999994</v>
      </c>
      <c r="H1206" s="110" t="s">
        <v>31</v>
      </c>
      <c r="I1206" s="111">
        <v>84.040000000000006</v>
      </c>
      <c r="J1206" s="111">
        <v>2.9300000000000002</v>
      </c>
      <c r="K1206" s="112">
        <v>86.969999999999999</v>
      </c>
      <c r="L1206" s="88"/>
      <c r="M1206" s="88"/>
    </row>
    <row r="1207" ht="25.5">
      <c r="A1207" s="69">
        <v>1301002006</v>
      </c>
      <c r="B1207" s="89" t="s">
        <v>16651</v>
      </c>
      <c r="C1207" s="88" t="s">
        <v>31</v>
      </c>
      <c r="D1207" s="113"/>
      <c r="E1207" s="113"/>
      <c r="F1207" s="114">
        <v>46.740000000000002</v>
      </c>
      <c r="H1207" s="88" t="s">
        <v>31</v>
      </c>
      <c r="I1207" s="113"/>
      <c r="J1207" s="113"/>
      <c r="K1207" s="114">
        <v>46.369999999999997</v>
      </c>
      <c r="L1207" s="88"/>
      <c r="M1207" s="88"/>
    </row>
    <row r="1208" ht="25.5">
      <c r="A1208" s="108">
        <v>1301002007</v>
      </c>
      <c r="B1208" s="109" t="s">
        <v>16652</v>
      </c>
      <c r="C1208" s="110" t="s">
        <v>31</v>
      </c>
      <c r="D1208" s="111">
        <v>377.52999999999997</v>
      </c>
      <c r="E1208" s="111">
        <v>3.1699999999999999</v>
      </c>
      <c r="F1208" s="112">
        <v>380.69999999999999</v>
      </c>
      <c r="H1208" s="110" t="s">
        <v>31</v>
      </c>
      <c r="I1208" s="111">
        <v>377.52999999999997</v>
      </c>
      <c r="J1208" s="111">
        <v>2.9300000000000002</v>
      </c>
      <c r="K1208" s="112">
        <v>380.45999999999998</v>
      </c>
      <c r="L1208" s="88"/>
      <c r="M1208" s="88"/>
    </row>
    <row r="1209" ht="25.5">
      <c r="A1209" s="69">
        <v>1301002008</v>
      </c>
      <c r="B1209" s="89" t="s">
        <v>16653</v>
      </c>
      <c r="C1209" s="88" t="s">
        <v>31</v>
      </c>
      <c r="D1209" s="113"/>
      <c r="E1209" s="113"/>
      <c r="F1209" s="114">
        <v>94</v>
      </c>
      <c r="H1209" s="88" t="s">
        <v>31</v>
      </c>
      <c r="I1209" s="113"/>
      <c r="J1209" s="113"/>
      <c r="K1209" s="114">
        <v>93.629999999999995</v>
      </c>
      <c r="L1209" s="88"/>
      <c r="M1209" s="88"/>
    </row>
    <row r="1210" ht="25.5">
      <c r="A1210" s="69">
        <v>1301002013</v>
      </c>
      <c r="B1210" s="89" t="s">
        <v>16654</v>
      </c>
      <c r="C1210" s="88" t="s">
        <v>31</v>
      </c>
      <c r="D1210" s="113"/>
      <c r="E1210" s="113"/>
      <c r="F1210" s="114">
        <v>625.82000000000005</v>
      </c>
      <c r="H1210" s="88" t="s">
        <v>31</v>
      </c>
      <c r="I1210" s="113"/>
      <c r="J1210" s="113"/>
      <c r="K1210" s="114">
        <v>623.34000000000003</v>
      </c>
      <c r="L1210" s="88"/>
      <c r="M1210" s="88"/>
    </row>
    <row r="1211" ht="51">
      <c r="A1211" s="108">
        <v>1301002014</v>
      </c>
      <c r="B1211" s="109" t="s">
        <v>16655</v>
      </c>
      <c r="C1211" s="110" t="s">
        <v>31</v>
      </c>
      <c r="D1211" s="111">
        <v>1287.6300000000001</v>
      </c>
      <c r="E1211" s="111">
        <v>31.829999999999998</v>
      </c>
      <c r="F1211" s="112">
        <v>1319.46</v>
      </c>
      <c r="H1211" s="110" t="s">
        <v>31</v>
      </c>
      <c r="I1211" s="111">
        <v>1287.6300000000001</v>
      </c>
      <c r="J1211" s="111">
        <v>29.329999999999998</v>
      </c>
      <c r="K1211" s="112">
        <v>1316.96</v>
      </c>
      <c r="L1211" s="88"/>
      <c r="M1211" s="88"/>
    </row>
    <row r="1212" ht="51">
      <c r="A1212" s="108">
        <v>1301002018</v>
      </c>
      <c r="B1212" s="109" t="s">
        <v>16656</v>
      </c>
      <c r="C1212" s="110" t="s">
        <v>31</v>
      </c>
      <c r="D1212" s="111">
        <v>908.39999999999998</v>
      </c>
      <c r="E1212" s="111">
        <v>50.189999999999998</v>
      </c>
      <c r="F1212" s="112">
        <v>958.59000000000003</v>
      </c>
      <c r="H1212" s="110" t="s">
        <v>31</v>
      </c>
      <c r="I1212" s="111">
        <v>906.95000000000005</v>
      </c>
      <c r="J1212" s="111">
        <v>46.270000000000003</v>
      </c>
      <c r="K1212" s="112">
        <v>953.22000000000003</v>
      </c>
      <c r="L1212" s="88"/>
      <c r="M1212" s="88"/>
    </row>
    <row r="1213" ht="63.75">
      <c r="A1213" s="69">
        <v>1301002019</v>
      </c>
      <c r="B1213" s="89" t="s">
        <v>16657</v>
      </c>
      <c r="C1213" s="88" t="s">
        <v>31</v>
      </c>
      <c r="D1213" s="113"/>
      <c r="E1213" s="113"/>
      <c r="F1213" s="114">
        <v>280.17000000000002</v>
      </c>
      <c r="H1213" s="88" t="s">
        <v>31</v>
      </c>
      <c r="I1213" s="113"/>
      <c r="J1213" s="113"/>
      <c r="K1213" s="114">
        <v>278</v>
      </c>
      <c r="L1213" s="88"/>
      <c r="M1213" s="88"/>
    </row>
    <row r="1214" ht="51">
      <c r="A1214" s="108">
        <v>1301002020</v>
      </c>
      <c r="B1214" s="109" t="s">
        <v>16658</v>
      </c>
      <c r="C1214" s="110" t="s">
        <v>11798</v>
      </c>
      <c r="D1214" s="111">
        <v>508.58999999999997</v>
      </c>
      <c r="E1214" s="111">
        <v>29.359999999999999</v>
      </c>
      <c r="F1214" s="112">
        <v>537.95000000000005</v>
      </c>
      <c r="H1214" s="110" t="s">
        <v>11798</v>
      </c>
      <c r="I1214" s="111">
        <v>508.17000000000002</v>
      </c>
      <c r="J1214" s="111">
        <v>27.059999999999999</v>
      </c>
      <c r="K1214" s="112">
        <v>535.23000000000002</v>
      </c>
      <c r="L1214" s="88"/>
      <c r="M1214" s="88"/>
    </row>
    <row r="1215" ht="51">
      <c r="A1215" s="108">
        <v>1301002021</v>
      </c>
      <c r="B1215" s="109" t="s">
        <v>16659</v>
      </c>
      <c r="C1215" s="110" t="s">
        <v>11798</v>
      </c>
      <c r="D1215" s="111">
        <v>961.42999999999995</v>
      </c>
      <c r="E1215" s="111">
        <v>29.359999999999999</v>
      </c>
      <c r="F1215" s="112">
        <v>990.78999999999996</v>
      </c>
      <c r="H1215" s="110" t="s">
        <v>11798</v>
      </c>
      <c r="I1215" s="111">
        <v>961.00999999999999</v>
      </c>
      <c r="J1215" s="111">
        <v>27.059999999999999</v>
      </c>
      <c r="K1215" s="112">
        <v>988.07000000000005</v>
      </c>
      <c r="L1215" s="88"/>
      <c r="M1215" s="88"/>
    </row>
    <row r="1216" ht="51">
      <c r="A1216" s="69">
        <v>1301002022</v>
      </c>
      <c r="B1216" s="89" t="s">
        <v>16660</v>
      </c>
      <c r="C1216" s="88" t="s">
        <v>31</v>
      </c>
      <c r="D1216" s="113"/>
      <c r="E1216" s="113"/>
      <c r="F1216" s="114">
        <v>607.87</v>
      </c>
      <c r="H1216" s="88" t="s">
        <v>31</v>
      </c>
      <c r="I1216" s="113"/>
      <c r="J1216" s="113"/>
      <c r="K1216" s="114">
        <v>604.73000000000002</v>
      </c>
      <c r="L1216" s="88"/>
      <c r="M1216" s="88"/>
    </row>
    <row r="1217" ht="51">
      <c r="A1217" s="69">
        <v>1301002024</v>
      </c>
      <c r="B1217" s="89" t="s">
        <v>16661</v>
      </c>
      <c r="C1217" s="88" t="s">
        <v>31</v>
      </c>
      <c r="D1217" s="113"/>
      <c r="E1217" s="113"/>
      <c r="F1217" s="114">
        <v>995.67999999999995</v>
      </c>
      <c r="H1217" s="88" t="s">
        <v>31</v>
      </c>
      <c r="I1217" s="113"/>
      <c r="J1217" s="113"/>
      <c r="K1217" s="114">
        <v>990.11000000000001</v>
      </c>
      <c r="L1217" s="88"/>
      <c r="M1217" s="88"/>
    </row>
    <row r="1218" ht="25.5">
      <c r="A1218" s="69">
        <v>1301002026</v>
      </c>
      <c r="B1218" s="89" t="s">
        <v>16662</v>
      </c>
      <c r="C1218" s="88" t="s">
        <v>31</v>
      </c>
      <c r="D1218" s="113"/>
      <c r="E1218" s="113"/>
      <c r="F1218" s="114">
        <v>38.07</v>
      </c>
      <c r="H1218" s="88" t="s">
        <v>31</v>
      </c>
      <c r="I1218" s="113"/>
      <c r="J1218" s="113"/>
      <c r="K1218" s="114">
        <v>37.289999999999999</v>
      </c>
      <c r="L1218" s="88"/>
      <c r="M1218" s="88"/>
    </row>
    <row r="1219" ht="25.5">
      <c r="A1219" s="69">
        <v>1301002029</v>
      </c>
      <c r="B1219" s="89" t="s">
        <v>16663</v>
      </c>
      <c r="C1219" s="88" t="s">
        <v>31</v>
      </c>
      <c r="D1219" s="113"/>
      <c r="E1219" s="113"/>
      <c r="F1219" s="114">
        <v>38.789999999999999</v>
      </c>
      <c r="H1219" s="88" t="s">
        <v>31</v>
      </c>
      <c r="I1219" s="113"/>
      <c r="J1219" s="113"/>
      <c r="K1219" s="114">
        <v>38.009999999999998</v>
      </c>
      <c r="L1219" s="88"/>
      <c r="M1219" s="88"/>
    </row>
    <row r="1220" ht="25.5">
      <c r="A1220" s="108">
        <v>1301002030</v>
      </c>
      <c r="B1220" s="109" t="s">
        <v>16664</v>
      </c>
      <c r="C1220" s="110" t="s">
        <v>31</v>
      </c>
      <c r="D1220" s="111">
        <v>50.420000000000002</v>
      </c>
      <c r="E1220" s="111">
        <v>9.9700000000000006</v>
      </c>
      <c r="F1220" s="112">
        <v>60.390000000000001</v>
      </c>
      <c r="H1220" s="110" t="s">
        <v>31</v>
      </c>
      <c r="I1220" s="111">
        <v>50.420000000000002</v>
      </c>
      <c r="J1220" s="111">
        <v>9.1899999999999995</v>
      </c>
      <c r="K1220" s="112">
        <v>59.609999999999999</v>
      </c>
      <c r="L1220" s="88"/>
      <c r="M1220" s="88"/>
    </row>
    <row r="1221" ht="25.5">
      <c r="A1221" s="69">
        <v>1301002033</v>
      </c>
      <c r="B1221" s="89" t="s">
        <v>16665</v>
      </c>
      <c r="C1221" s="88" t="s">
        <v>31</v>
      </c>
      <c r="D1221" s="113"/>
      <c r="E1221" s="113"/>
      <c r="F1221" s="114">
        <v>54.25</v>
      </c>
      <c r="H1221" s="88" t="s">
        <v>31</v>
      </c>
      <c r="I1221" s="113"/>
      <c r="J1221" s="113"/>
      <c r="K1221" s="114">
        <v>52.689999999999998</v>
      </c>
      <c r="L1221" s="88"/>
      <c r="M1221" s="88"/>
    </row>
    <row r="1222">
      <c r="D1222" s="113"/>
      <c r="E1222" s="113"/>
      <c r="F1222" s="114"/>
      <c r="H1222" s="88"/>
      <c r="I1222" s="113"/>
      <c r="J1222" s="113"/>
      <c r="K1222" s="114"/>
      <c r="L1222" s="88"/>
      <c r="M1222" s="88"/>
    </row>
    <row r="1223">
      <c r="B1223" s="89" t="s">
        <v>16666</v>
      </c>
      <c r="D1223" s="113"/>
      <c r="E1223" s="113"/>
      <c r="F1223" s="114"/>
      <c r="H1223" s="88"/>
      <c r="I1223" s="113"/>
      <c r="J1223" s="113"/>
      <c r="K1223" s="114"/>
      <c r="L1223" s="88"/>
      <c r="M1223" s="88"/>
    </row>
    <row r="1224" ht="38.25">
      <c r="A1224" s="69">
        <v>1301003000</v>
      </c>
      <c r="B1224" s="89" t="s">
        <v>16667</v>
      </c>
      <c r="C1224" s="88" t="s">
        <v>31</v>
      </c>
      <c r="D1224" s="113"/>
      <c r="E1224" s="113"/>
      <c r="F1224" s="114">
        <v>88.209999999999994</v>
      </c>
      <c r="H1224" s="88" t="s">
        <v>31</v>
      </c>
      <c r="I1224" s="113"/>
      <c r="J1224" s="113"/>
      <c r="K1224" s="114">
        <v>87.980000000000004</v>
      </c>
      <c r="L1224" s="88"/>
      <c r="M1224" s="88"/>
    </row>
    <row r="1225" ht="38.25">
      <c r="A1225" s="69">
        <v>1301003004</v>
      </c>
      <c r="B1225" s="89" t="s">
        <v>16668</v>
      </c>
      <c r="C1225" s="88" t="s">
        <v>31</v>
      </c>
      <c r="D1225" s="113"/>
      <c r="E1225" s="113"/>
      <c r="F1225" s="114">
        <v>169.46000000000001</v>
      </c>
      <c r="H1225" s="88" t="s">
        <v>31</v>
      </c>
      <c r="I1225" s="113"/>
      <c r="J1225" s="113"/>
      <c r="K1225" s="114">
        <v>169.22999999999999</v>
      </c>
      <c r="L1225" s="88"/>
      <c r="M1225" s="88"/>
    </row>
    <row r="1226" ht="25.5">
      <c r="A1226" s="108">
        <v>1301003015</v>
      </c>
      <c r="B1226" s="109" t="s">
        <v>16669</v>
      </c>
      <c r="C1226" s="110" t="s">
        <v>31</v>
      </c>
      <c r="D1226" s="111">
        <v>69.989999999999995</v>
      </c>
      <c r="E1226" s="111">
        <v>3.6600000000000001</v>
      </c>
      <c r="F1226" s="112">
        <v>73.650000000000006</v>
      </c>
      <c r="H1226" s="110" t="s">
        <v>31</v>
      </c>
      <c r="I1226" s="111">
        <v>69.989999999999995</v>
      </c>
      <c r="J1226" s="111">
        <v>3.3799999999999999</v>
      </c>
      <c r="K1226" s="112">
        <v>73.370000000000005</v>
      </c>
      <c r="L1226" s="88"/>
      <c r="M1226" s="88"/>
    </row>
    <row r="1227" ht="38.25">
      <c r="A1227" s="69">
        <v>1301003026</v>
      </c>
      <c r="B1227" s="89" t="s">
        <v>16670</v>
      </c>
      <c r="C1227" s="88" t="s">
        <v>31</v>
      </c>
      <c r="D1227" s="113"/>
      <c r="E1227" s="113"/>
      <c r="F1227" s="114">
        <v>153.18000000000001</v>
      </c>
      <c r="H1227" s="88" t="s">
        <v>31</v>
      </c>
      <c r="I1227" s="113"/>
      <c r="J1227" s="113"/>
      <c r="K1227" s="114">
        <v>152.78</v>
      </c>
      <c r="L1227" s="88"/>
      <c r="M1227" s="88"/>
    </row>
    <row r="1228" ht="38.25">
      <c r="A1228" s="69">
        <v>1301003030</v>
      </c>
      <c r="B1228" s="89" t="s">
        <v>16671</v>
      </c>
      <c r="C1228" s="88" t="s">
        <v>31</v>
      </c>
      <c r="D1228" s="113"/>
      <c r="E1228" s="113"/>
      <c r="F1228" s="114">
        <v>151.13999999999999</v>
      </c>
      <c r="H1228" s="88" t="s">
        <v>31</v>
      </c>
      <c r="I1228" s="113"/>
      <c r="J1228" s="113"/>
      <c r="K1228" s="114">
        <v>150.84999999999999</v>
      </c>
      <c r="L1228" s="88"/>
      <c r="M1228" s="88"/>
    </row>
    <row r="1229" ht="38.25">
      <c r="A1229" s="69">
        <v>1301003050</v>
      </c>
      <c r="B1229" s="89" t="s">
        <v>16672</v>
      </c>
      <c r="C1229" s="88" t="s">
        <v>31</v>
      </c>
      <c r="D1229" s="113"/>
      <c r="E1229" s="113"/>
      <c r="F1229" s="114">
        <v>115.72</v>
      </c>
      <c r="H1229" s="88" t="s">
        <v>31</v>
      </c>
      <c r="I1229" s="113"/>
      <c r="J1229" s="113"/>
      <c r="K1229" s="114">
        <v>115.34999999999999</v>
      </c>
      <c r="L1229" s="88"/>
      <c r="M1229" s="88"/>
    </row>
    <row r="1230" ht="25.5">
      <c r="A1230" s="108">
        <v>1301003052</v>
      </c>
      <c r="B1230" s="109" t="s">
        <v>16673</v>
      </c>
      <c r="C1230" s="110" t="s">
        <v>31</v>
      </c>
      <c r="D1230" s="111">
        <v>54.390000000000001</v>
      </c>
      <c r="E1230" s="111">
        <v>4.7999999999999998</v>
      </c>
      <c r="F1230" s="112">
        <v>59.189999999999998</v>
      </c>
      <c r="H1230" s="110" t="s">
        <v>31</v>
      </c>
      <c r="I1230" s="111">
        <v>54.390000000000001</v>
      </c>
      <c r="J1230" s="111">
        <v>4.4299999999999997</v>
      </c>
      <c r="K1230" s="112">
        <v>58.82</v>
      </c>
      <c r="L1230" s="88"/>
      <c r="M1230" s="88"/>
    </row>
    <row r="1231" ht="25.5">
      <c r="A1231" s="108">
        <v>1301003058</v>
      </c>
      <c r="B1231" s="109" t="s">
        <v>16674</v>
      </c>
      <c r="C1231" s="110" t="s">
        <v>31</v>
      </c>
      <c r="D1231" s="111">
        <v>94.989999999999995</v>
      </c>
      <c r="E1231" s="111">
        <v>4.7999999999999998</v>
      </c>
      <c r="F1231" s="112">
        <v>99.790000000000006</v>
      </c>
      <c r="H1231" s="110" t="s">
        <v>31</v>
      </c>
      <c r="I1231" s="111">
        <v>94.989999999999995</v>
      </c>
      <c r="J1231" s="111">
        <v>4.4299999999999997</v>
      </c>
      <c r="K1231" s="112">
        <v>99.420000000000002</v>
      </c>
      <c r="L1231" s="88"/>
      <c r="M1231" s="88"/>
    </row>
    <row r="1232" ht="25.5">
      <c r="A1232" s="108">
        <v>1301003062</v>
      </c>
      <c r="B1232" s="109" t="s">
        <v>16675</v>
      </c>
      <c r="C1232" s="110" t="s">
        <v>31</v>
      </c>
      <c r="D1232" s="111">
        <v>2291.27</v>
      </c>
      <c r="E1232" s="111">
        <v>35.859999999999999</v>
      </c>
      <c r="F1232" s="112">
        <v>2327.1300000000001</v>
      </c>
      <c r="H1232" s="110" t="s">
        <v>31</v>
      </c>
      <c r="I1232" s="111">
        <v>2291.27</v>
      </c>
      <c r="J1232" s="111">
        <v>33.109999999999999</v>
      </c>
      <c r="K1232" s="112">
        <v>2324.3800000000001</v>
      </c>
      <c r="L1232" s="88"/>
      <c r="M1232" s="88"/>
    </row>
    <row r="1233" ht="25.5">
      <c r="A1233" s="108">
        <v>1301003063</v>
      </c>
      <c r="B1233" s="109" t="s">
        <v>16676</v>
      </c>
      <c r="C1233" s="110" t="s">
        <v>31</v>
      </c>
      <c r="D1233" s="111">
        <v>593.16999999999996</v>
      </c>
      <c r="E1233" s="111">
        <v>16.559999999999999</v>
      </c>
      <c r="F1233" s="112">
        <v>609.73000000000002</v>
      </c>
      <c r="H1233" s="110" t="s">
        <v>31</v>
      </c>
      <c r="I1233" s="111">
        <v>593.16999999999996</v>
      </c>
      <c r="J1233" s="111">
        <v>15.32</v>
      </c>
      <c r="K1233" s="112">
        <v>608.49000000000001</v>
      </c>
      <c r="L1233" s="88"/>
      <c r="M1233" s="88"/>
    </row>
    <row r="1234" ht="51">
      <c r="A1234" s="108">
        <v>1301003064</v>
      </c>
      <c r="B1234" s="109" t="s">
        <v>16677</v>
      </c>
      <c r="C1234" s="110" t="s">
        <v>31</v>
      </c>
      <c r="D1234" s="111">
        <v>543.32000000000005</v>
      </c>
      <c r="E1234" s="111">
        <v>17.850000000000001</v>
      </c>
      <c r="F1234" s="112">
        <v>561.16999999999996</v>
      </c>
      <c r="H1234" s="110" t="s">
        <v>31</v>
      </c>
      <c r="I1234" s="111">
        <v>543.32000000000005</v>
      </c>
      <c r="J1234" s="111">
        <v>16.48</v>
      </c>
      <c r="K1234" s="112">
        <v>559.79999999999995</v>
      </c>
      <c r="L1234" s="88"/>
      <c r="M1234" s="88"/>
    </row>
    <row r="1235" ht="51">
      <c r="A1235" s="108">
        <v>1301003066</v>
      </c>
      <c r="B1235" s="109" t="s">
        <v>16678</v>
      </c>
      <c r="C1235" s="110" t="s">
        <v>31</v>
      </c>
      <c r="D1235" s="111">
        <v>220.02000000000001</v>
      </c>
      <c r="E1235" s="111">
        <v>17.850000000000001</v>
      </c>
      <c r="F1235" s="112">
        <v>237.87</v>
      </c>
      <c r="H1235" s="110" t="s">
        <v>31</v>
      </c>
      <c r="I1235" s="111">
        <v>220.02000000000001</v>
      </c>
      <c r="J1235" s="111">
        <v>16.48</v>
      </c>
      <c r="K1235" s="112">
        <v>236.5</v>
      </c>
      <c r="L1235" s="88"/>
      <c r="M1235" s="88"/>
    </row>
    <row r="1236" ht="25.5">
      <c r="A1236" s="108">
        <v>1301003068</v>
      </c>
      <c r="B1236" s="109" t="s">
        <v>16679</v>
      </c>
      <c r="C1236" s="110" t="s">
        <v>31</v>
      </c>
      <c r="D1236" s="111">
        <v>664.29999999999995</v>
      </c>
      <c r="E1236" s="111">
        <v>37.159999999999997</v>
      </c>
      <c r="F1236" s="112">
        <v>701.46000000000004</v>
      </c>
      <c r="H1236" s="110" t="s">
        <v>31</v>
      </c>
      <c r="I1236" s="111">
        <v>664.29999999999995</v>
      </c>
      <c r="J1236" s="111">
        <v>34.310000000000002</v>
      </c>
      <c r="K1236" s="112">
        <v>698.61000000000001</v>
      </c>
      <c r="L1236" s="88"/>
      <c r="M1236" s="88"/>
    </row>
    <row r="1237" ht="25.5">
      <c r="A1237" s="69">
        <v>1301003200</v>
      </c>
      <c r="B1237" s="89" t="s">
        <v>16680</v>
      </c>
      <c r="C1237" s="88" t="s">
        <v>31</v>
      </c>
      <c r="D1237" s="113"/>
      <c r="E1237" s="113"/>
      <c r="F1237" s="114">
        <v>20.859999999999999</v>
      </c>
      <c r="H1237" s="88" t="s">
        <v>31</v>
      </c>
      <c r="I1237" s="113"/>
      <c r="J1237" s="113"/>
      <c r="K1237" s="114">
        <v>20.48</v>
      </c>
      <c r="L1237" s="88"/>
      <c r="M1237" s="88"/>
    </row>
    <row r="1238" ht="38.25">
      <c r="A1238" s="69">
        <v>1301003209</v>
      </c>
      <c r="B1238" s="89" t="s">
        <v>16681</v>
      </c>
      <c r="C1238" s="88" t="s">
        <v>31</v>
      </c>
      <c r="D1238" s="113"/>
      <c r="E1238" s="113"/>
      <c r="F1238" s="114">
        <v>51.950000000000003</v>
      </c>
      <c r="H1238" s="88" t="s">
        <v>31</v>
      </c>
      <c r="I1238" s="113"/>
      <c r="J1238" s="113"/>
      <c r="K1238" s="114">
        <v>51.310000000000002</v>
      </c>
      <c r="L1238" s="88"/>
      <c r="M1238" s="88"/>
    </row>
    <row r="1239" ht="38.25">
      <c r="A1239" s="69">
        <v>1301003220</v>
      </c>
      <c r="B1239" s="89" t="s">
        <v>16682</v>
      </c>
      <c r="C1239" s="88" t="s">
        <v>31</v>
      </c>
      <c r="D1239" s="113"/>
      <c r="E1239" s="113"/>
      <c r="F1239" s="114">
        <v>55.210000000000001</v>
      </c>
      <c r="H1239" s="88" t="s">
        <v>31</v>
      </c>
      <c r="I1239" s="113"/>
      <c r="J1239" s="113"/>
      <c r="K1239" s="114">
        <v>54.43</v>
      </c>
      <c r="L1239" s="88"/>
      <c r="M1239" s="88"/>
    </row>
    <row r="1240" ht="38.25">
      <c r="A1240" s="69">
        <v>1301003230</v>
      </c>
      <c r="B1240" s="89" t="s">
        <v>16683</v>
      </c>
      <c r="C1240" s="88" t="s">
        <v>31</v>
      </c>
      <c r="D1240" s="113"/>
      <c r="E1240" s="113"/>
      <c r="F1240" s="114">
        <v>57.920000000000002</v>
      </c>
      <c r="H1240" s="88" t="s">
        <v>31</v>
      </c>
      <c r="I1240" s="113"/>
      <c r="J1240" s="113"/>
      <c r="K1240" s="114">
        <v>57.140000000000001</v>
      </c>
      <c r="L1240" s="88"/>
      <c r="M1240" s="88"/>
    </row>
    <row r="1241" ht="38.25">
      <c r="A1241" s="69">
        <v>1301003240</v>
      </c>
      <c r="B1241" s="89" t="s">
        <v>16684</v>
      </c>
      <c r="C1241" s="88" t="s">
        <v>31</v>
      </c>
      <c r="D1241" s="113"/>
      <c r="E1241" s="113"/>
      <c r="F1241" s="114">
        <v>70.390000000000001</v>
      </c>
      <c r="H1241" s="88" t="s">
        <v>31</v>
      </c>
      <c r="I1241" s="113"/>
      <c r="J1241" s="113"/>
      <c r="K1241" s="114">
        <v>69.480000000000004</v>
      </c>
      <c r="L1241" s="88"/>
      <c r="M1241" s="88"/>
    </row>
    <row r="1242" ht="38.25">
      <c r="A1242" s="69">
        <v>1301003249</v>
      </c>
      <c r="B1242" s="89" t="s">
        <v>16685</v>
      </c>
      <c r="C1242" s="88" t="s">
        <v>31</v>
      </c>
      <c r="D1242" s="113"/>
      <c r="E1242" s="113"/>
      <c r="F1242" s="114">
        <v>95.680000000000007</v>
      </c>
      <c r="H1242" s="88" t="s">
        <v>31</v>
      </c>
      <c r="I1242" s="113"/>
      <c r="J1242" s="113"/>
      <c r="K1242" s="114">
        <v>94.569999999999993</v>
      </c>
      <c r="L1242" s="88"/>
      <c r="M1242" s="88"/>
    </row>
    <row r="1243" ht="38.25">
      <c r="A1243" s="69">
        <v>1301003260</v>
      </c>
      <c r="B1243" s="89" t="s">
        <v>16686</v>
      </c>
      <c r="C1243" s="88" t="s">
        <v>31</v>
      </c>
      <c r="D1243" s="113"/>
      <c r="E1243" s="113"/>
      <c r="F1243" s="114">
        <v>102.23999999999999</v>
      </c>
      <c r="H1243" s="88" t="s">
        <v>31</v>
      </c>
      <c r="I1243" s="113"/>
      <c r="J1243" s="113"/>
      <c r="K1243" s="114">
        <v>100.91</v>
      </c>
      <c r="L1243" s="88"/>
      <c r="M1243" s="88"/>
    </row>
    <row r="1244" ht="25.5">
      <c r="A1244" s="69">
        <v>1301003270</v>
      </c>
      <c r="B1244" s="89" t="s">
        <v>16687</v>
      </c>
      <c r="C1244" s="88" t="s">
        <v>31</v>
      </c>
      <c r="D1244" s="113"/>
      <c r="E1244" s="113"/>
      <c r="F1244" s="114">
        <v>24.719999999999999</v>
      </c>
      <c r="H1244" s="88" t="s">
        <v>31</v>
      </c>
      <c r="I1244" s="113"/>
      <c r="J1244" s="113"/>
      <c r="K1244" s="114">
        <v>24.34</v>
      </c>
      <c r="L1244" s="88"/>
      <c r="M1244" s="88"/>
    </row>
    <row r="1245" ht="25.5">
      <c r="A1245" s="69">
        <v>1301003276</v>
      </c>
      <c r="B1245" s="89" t="s">
        <v>16688</v>
      </c>
      <c r="C1245" s="88" t="s">
        <v>31</v>
      </c>
      <c r="D1245" s="113"/>
      <c r="E1245" s="113"/>
      <c r="F1245" s="114">
        <v>37.829999999999998</v>
      </c>
      <c r="H1245" s="88" t="s">
        <v>31</v>
      </c>
      <c r="I1245" s="113"/>
      <c r="J1245" s="113"/>
      <c r="K1245" s="114">
        <v>37.310000000000002</v>
      </c>
      <c r="L1245" s="88"/>
      <c r="M1245" s="88"/>
    </row>
    <row r="1246" ht="25.5">
      <c r="A1246" s="69">
        <v>1301003282</v>
      </c>
      <c r="B1246" s="89" t="s">
        <v>16689</v>
      </c>
      <c r="C1246" s="88" t="s">
        <v>31</v>
      </c>
      <c r="D1246" s="113"/>
      <c r="E1246" s="113"/>
      <c r="F1246" s="114">
        <v>51.530000000000001</v>
      </c>
      <c r="H1246" s="88" t="s">
        <v>31</v>
      </c>
      <c r="I1246" s="113"/>
      <c r="J1246" s="113"/>
      <c r="K1246" s="114">
        <v>50.810000000000002</v>
      </c>
      <c r="L1246" s="88"/>
      <c r="M1246" s="88"/>
    </row>
    <row r="1247" ht="25.5">
      <c r="A1247" s="69">
        <v>1301003288</v>
      </c>
      <c r="B1247" s="89" t="s">
        <v>16690</v>
      </c>
      <c r="C1247" s="88" t="s">
        <v>31</v>
      </c>
      <c r="D1247" s="113"/>
      <c r="E1247" s="113"/>
      <c r="F1247" s="114">
        <v>65.390000000000001</v>
      </c>
      <c r="H1247" s="88" t="s">
        <v>31</v>
      </c>
      <c r="I1247" s="113"/>
      <c r="J1247" s="113"/>
      <c r="K1247" s="114">
        <v>64.450000000000003</v>
      </c>
      <c r="L1247" s="88"/>
      <c r="M1247" s="88"/>
    </row>
    <row r="1248" ht="25.5">
      <c r="A1248" s="69">
        <v>1301003294</v>
      </c>
      <c r="B1248" s="89" t="s">
        <v>16691</v>
      </c>
      <c r="C1248" s="88" t="s">
        <v>31</v>
      </c>
      <c r="D1248" s="113"/>
      <c r="E1248" s="113"/>
      <c r="F1248" s="114">
        <v>89.810000000000002</v>
      </c>
      <c r="H1248" s="88" t="s">
        <v>31</v>
      </c>
      <c r="I1248" s="113"/>
      <c r="J1248" s="113"/>
      <c r="K1248" s="114">
        <v>88.620000000000005</v>
      </c>
      <c r="L1248" s="88"/>
      <c r="M1248" s="88"/>
    </row>
    <row r="1249" ht="25.5">
      <c r="A1249" s="69">
        <v>1301003300</v>
      </c>
      <c r="B1249" s="89" t="s">
        <v>16692</v>
      </c>
      <c r="C1249" s="88" t="s">
        <v>31</v>
      </c>
      <c r="D1249" s="113"/>
      <c r="E1249" s="113"/>
      <c r="F1249" s="114">
        <v>174.50999999999999</v>
      </c>
      <c r="H1249" s="88" t="s">
        <v>31</v>
      </c>
      <c r="I1249" s="113"/>
      <c r="J1249" s="113"/>
      <c r="K1249" s="114">
        <v>172.90000000000001</v>
      </c>
      <c r="L1249" s="88"/>
      <c r="M1249" s="88"/>
    </row>
    <row r="1250" ht="25.5">
      <c r="A1250" s="69">
        <v>1301003304</v>
      </c>
      <c r="B1250" s="89" t="s">
        <v>16693</v>
      </c>
      <c r="C1250" s="88" t="s">
        <v>31</v>
      </c>
      <c r="D1250" s="113"/>
      <c r="E1250" s="113"/>
      <c r="F1250" s="114">
        <v>212.13</v>
      </c>
      <c r="H1250" s="88" t="s">
        <v>31</v>
      </c>
      <c r="I1250" s="113"/>
      <c r="J1250" s="113"/>
      <c r="K1250" s="114">
        <v>210.12</v>
      </c>
      <c r="L1250" s="88"/>
      <c r="M1250" s="88"/>
    </row>
    <row r="1251" ht="25.5">
      <c r="A1251" s="69">
        <v>1301003308</v>
      </c>
      <c r="B1251" s="89" t="s">
        <v>16694</v>
      </c>
      <c r="C1251" s="88" t="s">
        <v>31</v>
      </c>
      <c r="D1251" s="113"/>
      <c r="E1251" s="113"/>
      <c r="F1251" s="114">
        <v>420.29000000000002</v>
      </c>
      <c r="H1251" s="88" t="s">
        <v>31</v>
      </c>
      <c r="I1251" s="113"/>
      <c r="J1251" s="113"/>
      <c r="K1251" s="114">
        <v>417.73000000000002</v>
      </c>
      <c r="L1251" s="88"/>
      <c r="M1251" s="88"/>
    </row>
    <row r="1252" ht="25.5">
      <c r="A1252" s="69">
        <v>1301003500</v>
      </c>
      <c r="B1252" s="89" t="s">
        <v>16695</v>
      </c>
      <c r="C1252" s="88" t="s">
        <v>31</v>
      </c>
      <c r="D1252" s="113"/>
      <c r="E1252" s="113"/>
      <c r="F1252" s="114">
        <v>37.229999999999997</v>
      </c>
      <c r="H1252" s="88" t="s">
        <v>31</v>
      </c>
      <c r="I1252" s="113"/>
      <c r="J1252" s="113"/>
      <c r="K1252" s="114">
        <v>36.850000000000001</v>
      </c>
      <c r="L1252" s="88"/>
      <c r="M1252" s="88"/>
    </row>
    <row r="1253" ht="25.5">
      <c r="A1253" s="69">
        <v>1301003502</v>
      </c>
      <c r="B1253" s="89" t="s">
        <v>16696</v>
      </c>
      <c r="C1253" s="88" t="s">
        <v>31</v>
      </c>
      <c r="D1253" s="113"/>
      <c r="E1253" s="113"/>
      <c r="F1253" s="114">
        <v>50.25</v>
      </c>
      <c r="H1253" s="88" t="s">
        <v>31</v>
      </c>
      <c r="I1253" s="113"/>
      <c r="J1253" s="113"/>
      <c r="K1253" s="114">
        <v>49.729999999999997</v>
      </c>
      <c r="L1253" s="88"/>
      <c r="M1253" s="88"/>
    </row>
    <row r="1254" ht="25.5">
      <c r="A1254" s="69">
        <v>1301003504</v>
      </c>
      <c r="B1254" s="89" t="s">
        <v>16697</v>
      </c>
      <c r="C1254" s="88" t="s">
        <v>31</v>
      </c>
      <c r="D1254" s="113"/>
      <c r="E1254" s="113"/>
      <c r="F1254" s="114">
        <v>90.030000000000001</v>
      </c>
      <c r="H1254" s="88" t="s">
        <v>31</v>
      </c>
      <c r="I1254" s="113"/>
      <c r="J1254" s="113"/>
      <c r="K1254" s="114">
        <v>89.090000000000003</v>
      </c>
      <c r="L1254" s="88"/>
      <c r="M1254" s="88"/>
    </row>
    <row r="1255" ht="25.5">
      <c r="A1255" s="69">
        <v>1301003506</v>
      </c>
      <c r="B1255" s="89" t="s">
        <v>16698</v>
      </c>
      <c r="C1255" s="88" t="s">
        <v>31</v>
      </c>
      <c r="D1255" s="113"/>
      <c r="E1255" s="113"/>
      <c r="F1255" s="114">
        <v>135.71000000000001</v>
      </c>
      <c r="H1255" s="88" t="s">
        <v>31</v>
      </c>
      <c r="I1255" s="113"/>
      <c r="J1255" s="113"/>
      <c r="K1255" s="114">
        <v>134.52000000000001</v>
      </c>
      <c r="L1255" s="88"/>
      <c r="M1255" s="88"/>
    </row>
    <row r="1256" ht="25.5">
      <c r="A1256" s="108">
        <v>1301003520</v>
      </c>
      <c r="B1256" s="109" t="s">
        <v>16699</v>
      </c>
      <c r="C1256" s="110" t="s">
        <v>31</v>
      </c>
      <c r="D1256" s="111">
        <v>287.08999999999997</v>
      </c>
      <c r="E1256" s="111">
        <v>22.859999999999999</v>
      </c>
      <c r="F1256" s="112">
        <v>309.94999999999999</v>
      </c>
      <c r="H1256" s="110" t="s">
        <v>31</v>
      </c>
      <c r="I1256" s="111">
        <v>287.08999999999997</v>
      </c>
      <c r="J1256" s="111">
        <v>21.09</v>
      </c>
      <c r="K1256" s="112">
        <v>308.18000000000001</v>
      </c>
      <c r="L1256" s="88"/>
      <c r="M1256" s="88"/>
    </row>
    <row r="1257">
      <c r="D1257" s="113"/>
      <c r="E1257" s="113"/>
      <c r="F1257" s="114"/>
      <c r="H1257" s="88"/>
      <c r="I1257" s="113"/>
      <c r="J1257" s="113"/>
      <c r="K1257" s="114"/>
      <c r="L1257" s="88"/>
      <c r="M1257" s="88"/>
    </row>
    <row r="1258">
      <c r="B1258" s="89" t="s">
        <v>16299</v>
      </c>
      <c r="D1258" s="113"/>
      <c r="E1258" s="113"/>
      <c r="F1258" s="114"/>
      <c r="H1258" s="88"/>
      <c r="I1258" s="113"/>
      <c r="J1258" s="113"/>
      <c r="K1258" s="114"/>
      <c r="L1258" s="88"/>
      <c r="M1258" s="88"/>
    </row>
    <row r="1259">
      <c r="A1259" s="108">
        <v>1301004001</v>
      </c>
      <c r="B1259" s="109" t="s">
        <v>16700</v>
      </c>
      <c r="C1259" s="110" t="s">
        <v>31</v>
      </c>
      <c r="D1259" s="111">
        <v>114.65000000000001</v>
      </c>
      <c r="E1259" s="111">
        <v>19.75</v>
      </c>
      <c r="F1259" s="112">
        <v>134.40000000000001</v>
      </c>
      <c r="H1259" s="110" t="s">
        <v>31</v>
      </c>
      <c r="I1259" s="111">
        <v>114.65000000000001</v>
      </c>
      <c r="J1259" s="111">
        <v>18.18</v>
      </c>
      <c r="K1259" s="112">
        <v>132.83000000000001</v>
      </c>
      <c r="L1259" s="88"/>
      <c r="M1259" s="88"/>
    </row>
    <row r="1260" ht="38.25">
      <c r="A1260" s="69">
        <v>1301004004</v>
      </c>
      <c r="B1260" s="89" t="s">
        <v>16701</v>
      </c>
      <c r="C1260" s="88" t="s">
        <v>31</v>
      </c>
      <c r="D1260" s="113"/>
      <c r="E1260" s="113"/>
      <c r="F1260" s="114">
        <v>241.47</v>
      </c>
      <c r="H1260" s="88" t="s">
        <v>31</v>
      </c>
      <c r="I1260" s="113"/>
      <c r="J1260" s="113"/>
      <c r="K1260" s="114">
        <v>238.21000000000001</v>
      </c>
      <c r="L1260" s="88"/>
      <c r="M1260" s="88"/>
    </row>
    <row r="1261" ht="38.25">
      <c r="A1261" s="108">
        <v>1301004008</v>
      </c>
      <c r="B1261" s="109" t="s">
        <v>16702</v>
      </c>
      <c r="C1261" s="110" t="s">
        <v>31</v>
      </c>
      <c r="D1261" s="111">
        <v>303.89999999999998</v>
      </c>
      <c r="E1261" s="111">
        <v>3.5099999999999998</v>
      </c>
      <c r="F1261" s="112">
        <v>307.41000000000003</v>
      </c>
      <c r="H1261" s="110" t="s">
        <v>31</v>
      </c>
      <c r="I1261" s="111">
        <v>303.89999999999998</v>
      </c>
      <c r="J1261" s="111">
        <v>3.25</v>
      </c>
      <c r="K1261" s="112">
        <v>307.14999999999998</v>
      </c>
      <c r="L1261" s="88"/>
      <c r="M1261" s="88"/>
    </row>
    <row r="1262" ht="25.5">
      <c r="A1262" s="108">
        <v>1301004009</v>
      </c>
      <c r="B1262" s="109" t="s">
        <v>16703</v>
      </c>
      <c r="C1262" s="110" t="s">
        <v>31</v>
      </c>
      <c r="D1262" s="111">
        <v>210.13</v>
      </c>
      <c r="E1262" s="111">
        <v>36.060000000000002</v>
      </c>
      <c r="F1262" s="112">
        <v>246.19</v>
      </c>
      <c r="H1262" s="110" t="s">
        <v>31</v>
      </c>
      <c r="I1262" s="111">
        <v>210.13</v>
      </c>
      <c r="J1262" s="111">
        <v>33.280000000000001</v>
      </c>
      <c r="K1262" s="112">
        <v>243.41</v>
      </c>
      <c r="L1262" s="88"/>
      <c r="M1262" s="88"/>
    </row>
    <row r="1263" ht="25.5">
      <c r="A1263" s="108">
        <v>1301004011</v>
      </c>
      <c r="B1263" s="109" t="s">
        <v>16704</v>
      </c>
      <c r="C1263" s="110" t="s">
        <v>31</v>
      </c>
      <c r="D1263" s="111">
        <v>49.75</v>
      </c>
      <c r="E1263" s="111">
        <v>118.86</v>
      </c>
      <c r="F1263" s="112">
        <v>168.61000000000001</v>
      </c>
      <c r="H1263" s="110" t="s">
        <v>31</v>
      </c>
      <c r="I1263" s="111">
        <v>49.75</v>
      </c>
      <c r="J1263" s="111">
        <v>109.69</v>
      </c>
      <c r="K1263" s="112">
        <v>159.44</v>
      </c>
      <c r="L1263" s="88"/>
      <c r="M1263" s="88"/>
    </row>
    <row r="1264" ht="25.5">
      <c r="A1264" s="108">
        <v>1301004012</v>
      </c>
      <c r="B1264" s="109" t="s">
        <v>16705</v>
      </c>
      <c r="C1264" s="110" t="s">
        <v>31</v>
      </c>
      <c r="D1264" s="111">
        <v>8.4000000000000004</v>
      </c>
      <c r="E1264" s="111">
        <v>13.710000000000001</v>
      </c>
      <c r="F1264" s="112">
        <v>22.109999999999999</v>
      </c>
      <c r="H1264" s="110" t="s">
        <v>31</v>
      </c>
      <c r="I1264" s="111">
        <v>8.4000000000000004</v>
      </c>
      <c r="J1264" s="111">
        <v>12.65</v>
      </c>
      <c r="K1264" s="112">
        <v>21.050000000000001</v>
      </c>
      <c r="L1264" s="88"/>
      <c r="M1264" s="88"/>
    </row>
    <row r="1265" ht="25.5">
      <c r="A1265" s="108">
        <v>1301004016</v>
      </c>
      <c r="B1265" s="109" t="s">
        <v>16706</v>
      </c>
      <c r="C1265" s="110" t="s">
        <v>31</v>
      </c>
      <c r="D1265" s="111">
        <v>2814.04</v>
      </c>
      <c r="E1265" s="111">
        <v>25.039999999999999</v>
      </c>
      <c r="F1265" s="112">
        <v>2839.0799999999999</v>
      </c>
      <c r="H1265" s="110" t="s">
        <v>31</v>
      </c>
      <c r="I1265" s="111">
        <v>2814.04</v>
      </c>
      <c r="J1265" s="111">
        <v>23.050000000000001</v>
      </c>
      <c r="K1265" s="112">
        <v>2837.0900000000001</v>
      </c>
      <c r="L1265" s="88"/>
      <c r="M1265" s="88"/>
    </row>
    <row r="1266" ht="25.5">
      <c r="A1266" s="108">
        <v>1301004024</v>
      </c>
      <c r="B1266" s="109" t="s">
        <v>16707</v>
      </c>
      <c r="C1266" s="110" t="s">
        <v>11798</v>
      </c>
      <c r="D1266" s="111">
        <v>372.26999999999998</v>
      </c>
      <c r="E1266" s="111">
        <v>17.52</v>
      </c>
      <c r="F1266" s="112">
        <v>389.79000000000002</v>
      </c>
      <c r="H1266" s="110" t="s">
        <v>11798</v>
      </c>
      <c r="I1266" s="111">
        <v>372.26999999999998</v>
      </c>
      <c r="J1266" s="111">
        <v>16.129999999999999</v>
      </c>
      <c r="K1266" s="112">
        <v>388.39999999999998</v>
      </c>
      <c r="L1266" s="88"/>
      <c r="M1266" s="88"/>
    </row>
    <row r="1267" ht="25.5">
      <c r="A1267" s="108">
        <v>1301004032</v>
      </c>
      <c r="B1267" s="109" t="s">
        <v>16708</v>
      </c>
      <c r="C1267" s="110" t="s">
        <v>11798</v>
      </c>
      <c r="D1267" s="111">
        <v>372.26999999999998</v>
      </c>
      <c r="E1267" s="111">
        <v>17.52</v>
      </c>
      <c r="F1267" s="112">
        <v>389.79000000000002</v>
      </c>
      <c r="H1267" s="110" t="s">
        <v>11798</v>
      </c>
      <c r="I1267" s="111">
        <v>372.26999999999998</v>
      </c>
      <c r="J1267" s="111">
        <v>16.129999999999999</v>
      </c>
      <c r="K1267" s="112">
        <v>388.39999999999998</v>
      </c>
      <c r="L1267" s="88"/>
      <c r="M1267" s="88"/>
    </row>
    <row r="1268" ht="25.5">
      <c r="A1268" s="108">
        <v>1301004042</v>
      </c>
      <c r="B1268" s="109" t="s">
        <v>16709</v>
      </c>
      <c r="C1268" s="110" t="s">
        <v>11798</v>
      </c>
      <c r="D1268" s="111">
        <v>372.26999999999998</v>
      </c>
      <c r="E1268" s="111">
        <v>17.52</v>
      </c>
      <c r="F1268" s="112">
        <v>389.79000000000002</v>
      </c>
      <c r="H1268" s="110" t="s">
        <v>11798</v>
      </c>
      <c r="I1268" s="111">
        <v>372.26999999999998</v>
      </c>
      <c r="J1268" s="111">
        <v>16.129999999999999</v>
      </c>
      <c r="K1268" s="112">
        <v>388.39999999999998</v>
      </c>
      <c r="L1268" s="88"/>
      <c r="M1268" s="88"/>
    </row>
    <row r="1269" ht="25.5">
      <c r="A1269" s="108">
        <v>1301004043</v>
      </c>
      <c r="B1269" s="109" t="s">
        <v>16710</v>
      </c>
      <c r="C1269" s="110" t="s">
        <v>31</v>
      </c>
      <c r="D1269" s="111">
        <v>36.829999999999998</v>
      </c>
      <c r="E1269" s="111">
        <v>2.6699999999999999</v>
      </c>
      <c r="F1269" s="112">
        <v>39.5</v>
      </c>
      <c r="H1269" s="110" t="s">
        <v>31</v>
      </c>
      <c r="I1269" s="111">
        <v>36.829999999999998</v>
      </c>
      <c r="J1269" s="111">
        <v>2.46</v>
      </c>
      <c r="K1269" s="112">
        <v>39.289999999999999</v>
      </c>
      <c r="L1269" s="88"/>
      <c r="M1269" s="88"/>
    </row>
    <row r="1270" ht="25.5">
      <c r="A1270" s="69">
        <v>1301004044</v>
      </c>
      <c r="B1270" s="89" t="s">
        <v>16711</v>
      </c>
      <c r="C1270" s="88" t="s">
        <v>31</v>
      </c>
      <c r="D1270" s="113"/>
      <c r="E1270" s="113"/>
      <c r="F1270" s="114">
        <v>23.57</v>
      </c>
      <c r="H1270" s="88" t="s">
        <v>31</v>
      </c>
      <c r="I1270" s="113"/>
      <c r="J1270" s="113"/>
      <c r="K1270" s="114">
        <v>23.239999999999998</v>
      </c>
      <c r="L1270" s="88"/>
      <c r="M1270" s="88"/>
    </row>
    <row r="1271" ht="25.5">
      <c r="A1271" s="69">
        <v>1301004045</v>
      </c>
      <c r="B1271" s="89" t="s">
        <v>16712</v>
      </c>
      <c r="C1271" s="88" t="s">
        <v>31</v>
      </c>
      <c r="D1271" s="113"/>
      <c r="E1271" s="113"/>
      <c r="F1271" s="114">
        <v>347.67000000000002</v>
      </c>
      <c r="H1271" s="88" t="s">
        <v>31</v>
      </c>
      <c r="I1271" s="113"/>
      <c r="J1271" s="113"/>
      <c r="K1271" s="114">
        <v>347.00999999999999</v>
      </c>
      <c r="L1271" s="88"/>
      <c r="M1271" s="88"/>
    </row>
    <row r="1272" ht="51">
      <c r="A1272" s="69">
        <v>1301004050</v>
      </c>
      <c r="B1272" s="89" t="s">
        <v>16713</v>
      </c>
      <c r="C1272" s="88" t="s">
        <v>31</v>
      </c>
      <c r="D1272" s="113"/>
      <c r="E1272" s="113"/>
      <c r="F1272" s="114">
        <v>680.49000000000001</v>
      </c>
      <c r="H1272" s="88" t="s">
        <v>31</v>
      </c>
      <c r="I1272" s="113"/>
      <c r="J1272" s="113"/>
      <c r="K1272" s="114">
        <v>678.25</v>
      </c>
      <c r="L1272" s="88"/>
      <c r="M1272" s="88"/>
    </row>
    <row r="1273" ht="51">
      <c r="A1273" s="108">
        <v>1301004052</v>
      </c>
      <c r="B1273" s="109" t="s">
        <v>16714</v>
      </c>
      <c r="C1273" s="110" t="s">
        <v>11798</v>
      </c>
      <c r="D1273" s="111">
        <v>1872.0699999999999</v>
      </c>
      <c r="E1273" s="111">
        <v>23.43</v>
      </c>
      <c r="F1273" s="112">
        <v>1895.5</v>
      </c>
      <c r="H1273" s="110" t="s">
        <v>11798</v>
      </c>
      <c r="I1273" s="111">
        <v>1872.0699999999999</v>
      </c>
      <c r="J1273" s="111">
        <v>21.600000000000001</v>
      </c>
      <c r="K1273" s="112">
        <v>1893.6700000000001</v>
      </c>
      <c r="L1273" s="88"/>
      <c r="M1273" s="88"/>
    </row>
    <row r="1274" ht="38.25">
      <c r="A1274" s="69">
        <v>1301004053</v>
      </c>
      <c r="B1274" s="89" t="s">
        <v>16715</v>
      </c>
      <c r="C1274" s="88" t="s">
        <v>31</v>
      </c>
      <c r="D1274" s="113"/>
      <c r="E1274" s="113"/>
      <c r="F1274" s="114">
        <v>121.44</v>
      </c>
      <c r="H1274" s="88" t="s">
        <v>31</v>
      </c>
      <c r="I1274" s="113"/>
      <c r="J1274" s="113"/>
      <c r="K1274" s="114">
        <v>121.02</v>
      </c>
      <c r="L1274" s="88"/>
      <c r="M1274" s="88"/>
    </row>
    <row r="1275" ht="38.25">
      <c r="A1275" s="108">
        <v>1301004054</v>
      </c>
      <c r="B1275" s="109" t="s">
        <v>16716</v>
      </c>
      <c r="C1275" s="110" t="s">
        <v>11798</v>
      </c>
      <c r="D1275" s="111">
        <v>1899.96</v>
      </c>
      <c r="E1275" s="111">
        <v>52.829999999999998</v>
      </c>
      <c r="F1275" s="112">
        <v>1952.79</v>
      </c>
      <c r="H1275" s="110" t="s">
        <v>11798</v>
      </c>
      <c r="I1275" s="111">
        <v>1899.96</v>
      </c>
      <c r="J1275" s="111">
        <v>48.770000000000003</v>
      </c>
      <c r="K1275" s="112">
        <v>1948.73</v>
      </c>
      <c r="L1275" s="88"/>
      <c r="M1275" s="88"/>
    </row>
    <row r="1276" ht="51">
      <c r="A1276" s="69">
        <v>1301004060</v>
      </c>
      <c r="B1276" s="89" t="s">
        <v>16717</v>
      </c>
      <c r="C1276" s="88" t="s">
        <v>31</v>
      </c>
      <c r="D1276" s="113"/>
      <c r="E1276" s="113"/>
      <c r="F1276" s="114">
        <v>486.20999999999998</v>
      </c>
      <c r="H1276" s="88" t="s">
        <v>31</v>
      </c>
      <c r="I1276" s="113"/>
      <c r="J1276" s="113"/>
      <c r="K1276" s="114">
        <v>483.44</v>
      </c>
      <c r="L1276" s="88"/>
      <c r="M1276" s="88"/>
    </row>
    <row r="1277" ht="25.5">
      <c r="A1277" s="108">
        <v>1301004064</v>
      </c>
      <c r="B1277" s="109" t="s">
        <v>14778</v>
      </c>
      <c r="C1277" s="110" t="s">
        <v>31</v>
      </c>
      <c r="D1277" s="111">
        <v>50.420000000000002</v>
      </c>
      <c r="E1277" s="111">
        <v>9.9700000000000006</v>
      </c>
      <c r="F1277" s="112">
        <v>60.390000000000001</v>
      </c>
      <c r="H1277" s="110" t="s">
        <v>31</v>
      </c>
      <c r="I1277" s="111">
        <v>50.420000000000002</v>
      </c>
      <c r="J1277" s="111">
        <v>9.1899999999999995</v>
      </c>
      <c r="K1277" s="112">
        <v>59.609999999999999</v>
      </c>
      <c r="L1277" s="88"/>
      <c r="M1277" s="88"/>
    </row>
    <row r="1278" ht="38.25">
      <c r="A1278" s="69">
        <v>1301004065</v>
      </c>
      <c r="B1278" s="89" t="s">
        <v>16718</v>
      </c>
      <c r="C1278" s="88" t="s">
        <v>31</v>
      </c>
      <c r="D1278" s="113"/>
      <c r="E1278" s="113"/>
      <c r="F1278" s="114">
        <v>58.399999999999999</v>
      </c>
      <c r="H1278" s="88" t="s">
        <v>31</v>
      </c>
      <c r="I1278" s="113"/>
      <c r="J1278" s="113"/>
      <c r="K1278" s="114">
        <v>57.619999999999997</v>
      </c>
      <c r="L1278" s="88"/>
      <c r="M1278" s="88"/>
    </row>
    <row r="1279" ht="38.25">
      <c r="A1279" s="69">
        <v>1301004070</v>
      </c>
      <c r="B1279" s="89" t="s">
        <v>16719</v>
      </c>
      <c r="C1279" s="88" t="s">
        <v>31</v>
      </c>
      <c r="D1279" s="113"/>
      <c r="E1279" s="113"/>
      <c r="F1279" s="114">
        <v>105.56</v>
      </c>
      <c r="H1279" s="88" t="s">
        <v>31</v>
      </c>
      <c r="I1279" s="113"/>
      <c r="J1279" s="113"/>
      <c r="K1279" s="114">
        <v>104.45999999999999</v>
      </c>
      <c r="L1279" s="88"/>
      <c r="M1279" s="88"/>
    </row>
    <row r="1280" ht="25.5">
      <c r="A1280" s="108">
        <v>1301004072</v>
      </c>
      <c r="B1280" s="109" t="s">
        <v>16720</v>
      </c>
      <c r="C1280" s="110" t="s">
        <v>31</v>
      </c>
      <c r="D1280" s="111">
        <v>11.300000000000001</v>
      </c>
      <c r="E1280" s="111">
        <v>6.2599999999999998</v>
      </c>
      <c r="F1280" s="112">
        <v>17.559999999999999</v>
      </c>
      <c r="H1280" s="110" t="s">
        <v>31</v>
      </c>
      <c r="I1280" s="111">
        <v>11.300000000000001</v>
      </c>
      <c r="J1280" s="111">
        <v>5.7599999999999998</v>
      </c>
      <c r="K1280" s="112">
        <v>17.059999999999999</v>
      </c>
      <c r="L1280" s="88"/>
      <c r="M1280" s="88"/>
    </row>
    <row r="1281" ht="38.25">
      <c r="A1281" s="108">
        <v>1301004074</v>
      </c>
      <c r="B1281" s="109" t="s">
        <v>16721</v>
      </c>
      <c r="C1281" s="110" t="s">
        <v>31</v>
      </c>
      <c r="D1281" s="111">
        <v>91.469999999999999</v>
      </c>
      <c r="E1281" s="111">
        <v>14.199999999999999</v>
      </c>
      <c r="F1281" s="112">
        <v>105.67</v>
      </c>
      <c r="H1281" s="110" t="s">
        <v>31</v>
      </c>
      <c r="I1281" s="111">
        <v>91.469999999999999</v>
      </c>
      <c r="J1281" s="111">
        <v>13.1</v>
      </c>
      <c r="K1281" s="112">
        <v>104.56999999999999</v>
      </c>
      <c r="L1281" s="88"/>
      <c r="M1281" s="88"/>
    </row>
    <row r="1282" ht="38.25">
      <c r="A1282" s="108">
        <v>1301004078</v>
      </c>
      <c r="B1282" s="109" t="s">
        <v>16722</v>
      </c>
      <c r="C1282" s="110" t="s">
        <v>31</v>
      </c>
      <c r="D1282" s="111">
        <v>1397.5699999999999</v>
      </c>
      <c r="E1282" s="111">
        <v>22.82</v>
      </c>
      <c r="F1282" s="112">
        <v>1420.3900000000001</v>
      </c>
      <c r="H1282" s="110" t="s">
        <v>31</v>
      </c>
      <c r="I1282" s="111">
        <v>1397.5699999999999</v>
      </c>
      <c r="J1282" s="111">
        <v>21.079999999999998</v>
      </c>
      <c r="K1282" s="112">
        <v>1418.6500000000001</v>
      </c>
      <c r="L1282" s="88"/>
      <c r="M1282" s="88"/>
    </row>
    <row r="1283" ht="25.5">
      <c r="A1283" s="108">
        <v>1301004079</v>
      </c>
      <c r="B1283" s="109" t="s">
        <v>16723</v>
      </c>
      <c r="C1283" s="110" t="s">
        <v>31</v>
      </c>
      <c r="D1283" s="111">
        <v>54.890000000000001</v>
      </c>
      <c r="E1283" s="111">
        <v>2.2799999999999998</v>
      </c>
      <c r="F1283" s="112">
        <v>57.170000000000002</v>
      </c>
      <c r="H1283" s="110" t="s">
        <v>31</v>
      </c>
      <c r="I1283" s="111">
        <v>54.890000000000001</v>
      </c>
      <c r="J1283" s="111">
        <v>2.1000000000000001</v>
      </c>
      <c r="K1283" s="112">
        <v>56.990000000000002</v>
      </c>
      <c r="L1283" s="88"/>
      <c r="M1283" s="88"/>
    </row>
    <row r="1284" ht="25.5">
      <c r="A1284" s="108">
        <v>1301004080</v>
      </c>
      <c r="B1284" s="109" t="s">
        <v>16724</v>
      </c>
      <c r="C1284" s="110" t="s">
        <v>31</v>
      </c>
      <c r="D1284" s="111">
        <v>83.900000000000006</v>
      </c>
      <c r="E1284" s="111">
        <v>121.53</v>
      </c>
      <c r="F1284" s="112">
        <v>205.43000000000001</v>
      </c>
      <c r="H1284" s="110" t="s">
        <v>31</v>
      </c>
      <c r="I1284" s="111">
        <v>83.900000000000006</v>
      </c>
      <c r="J1284" s="111">
        <v>112.51000000000001</v>
      </c>
      <c r="K1284" s="112">
        <v>196.41</v>
      </c>
      <c r="L1284" s="88"/>
      <c r="M1284" s="88"/>
    </row>
    <row r="1285" ht="38.25">
      <c r="A1285" s="108">
        <v>1301004090</v>
      </c>
      <c r="B1285" s="109" t="s">
        <v>16725</v>
      </c>
      <c r="C1285" s="110" t="s">
        <v>31</v>
      </c>
      <c r="D1285" s="111">
        <v>60.869999999999997</v>
      </c>
      <c r="E1285" s="111">
        <v>21.579999999999998</v>
      </c>
      <c r="F1285" s="112">
        <v>82.450000000000003</v>
      </c>
      <c r="H1285" s="110" t="s">
        <v>31</v>
      </c>
      <c r="I1285" s="111">
        <v>60.789999999999999</v>
      </c>
      <c r="J1285" s="111">
        <v>19.91</v>
      </c>
      <c r="K1285" s="112">
        <v>80.700000000000003</v>
      </c>
      <c r="L1285" s="88"/>
      <c r="M1285" s="88"/>
    </row>
    <row r="1286">
      <c r="A1286" s="108">
        <v>1301004092</v>
      </c>
      <c r="B1286" s="109" t="s">
        <v>16726</v>
      </c>
      <c r="C1286" s="110" t="s">
        <v>38</v>
      </c>
      <c r="D1286" s="111">
        <v>0</v>
      </c>
      <c r="E1286" s="111">
        <v>10.17</v>
      </c>
      <c r="F1286" s="112">
        <v>10.17</v>
      </c>
      <c r="H1286" s="110" t="s">
        <v>38</v>
      </c>
      <c r="I1286" s="111">
        <v>0</v>
      </c>
      <c r="J1286" s="111">
        <v>9.3900000000000006</v>
      </c>
      <c r="K1286" s="112">
        <v>9.3900000000000006</v>
      </c>
      <c r="L1286" s="88"/>
      <c r="M1286" s="88"/>
    </row>
    <row r="1287">
      <c r="A1287" s="108">
        <v>1301004094</v>
      </c>
      <c r="B1287" s="109" t="s">
        <v>16727</v>
      </c>
      <c r="C1287" s="110" t="s">
        <v>31</v>
      </c>
      <c r="D1287" s="111">
        <v>0</v>
      </c>
      <c r="E1287" s="111">
        <v>118.86</v>
      </c>
      <c r="F1287" s="112">
        <v>118.86</v>
      </c>
      <c r="H1287" s="110" t="s">
        <v>31</v>
      </c>
      <c r="I1287" s="111">
        <v>0</v>
      </c>
      <c r="J1287" s="111">
        <v>109.69</v>
      </c>
      <c r="K1287" s="112">
        <v>109.69</v>
      </c>
      <c r="L1287" s="88"/>
      <c r="M1287" s="88"/>
    </row>
    <row r="1288">
      <c r="A1288" s="108">
        <v>1301004096</v>
      </c>
      <c r="B1288" s="109" t="s">
        <v>16728</v>
      </c>
      <c r="C1288" s="110" t="s">
        <v>31</v>
      </c>
      <c r="D1288" s="111">
        <v>0</v>
      </c>
      <c r="E1288" s="111">
        <v>33.200000000000003</v>
      </c>
      <c r="F1288" s="112">
        <v>33.200000000000003</v>
      </c>
      <c r="H1288" s="110" t="s">
        <v>31</v>
      </c>
      <c r="I1288" s="111">
        <v>0</v>
      </c>
      <c r="J1288" s="111">
        <v>30.66</v>
      </c>
      <c r="K1288" s="112">
        <v>30.66</v>
      </c>
      <c r="L1288" s="88"/>
      <c r="M1288" s="88"/>
    </row>
    <row r="1289">
      <c r="A1289" s="108">
        <v>1301004098</v>
      </c>
      <c r="B1289" s="109" t="s">
        <v>16729</v>
      </c>
      <c r="C1289" s="110" t="s">
        <v>31</v>
      </c>
      <c r="D1289" s="111">
        <v>0</v>
      </c>
      <c r="E1289" s="111">
        <v>36.060000000000002</v>
      </c>
      <c r="F1289" s="112">
        <v>36.060000000000002</v>
      </c>
      <c r="H1289" s="110" t="s">
        <v>31</v>
      </c>
      <c r="I1289" s="111">
        <v>0</v>
      </c>
      <c r="J1289" s="111">
        <v>33.280000000000001</v>
      </c>
      <c r="K1289" s="112">
        <v>33.280000000000001</v>
      </c>
      <c r="L1289" s="88"/>
      <c r="M1289" s="88"/>
    </row>
    <row r="1290">
      <c r="A1290" s="108">
        <v>1301004100</v>
      </c>
      <c r="B1290" s="109" t="s">
        <v>16730</v>
      </c>
      <c r="C1290" s="110" t="s">
        <v>31</v>
      </c>
      <c r="D1290" s="111">
        <v>0</v>
      </c>
      <c r="E1290" s="111">
        <v>37.390000000000001</v>
      </c>
      <c r="F1290" s="112">
        <v>37.390000000000001</v>
      </c>
      <c r="H1290" s="110" t="s">
        <v>31</v>
      </c>
      <c r="I1290" s="111">
        <v>0</v>
      </c>
      <c r="J1290" s="111">
        <v>34.5</v>
      </c>
      <c r="K1290" s="112">
        <v>34.5</v>
      </c>
      <c r="L1290" s="88"/>
      <c r="M1290" s="88"/>
    </row>
    <row r="1291">
      <c r="D1291" s="113"/>
      <c r="E1291" s="113"/>
      <c r="F1291" s="114"/>
      <c r="H1291" s="88"/>
      <c r="I1291" s="113"/>
      <c r="J1291" s="113"/>
      <c r="K1291" s="114"/>
      <c r="L1291" s="88"/>
      <c r="M1291" s="88"/>
    </row>
    <row r="1292">
      <c r="B1292" s="89" t="s">
        <v>16731</v>
      </c>
      <c r="D1292" s="113"/>
      <c r="E1292" s="113"/>
      <c r="F1292" s="114"/>
      <c r="H1292" s="88"/>
      <c r="I1292" s="113"/>
      <c r="J1292" s="113"/>
      <c r="K1292" s="114"/>
      <c r="L1292" s="88"/>
      <c r="M1292" s="88"/>
    </row>
    <row r="1293" ht="25.5">
      <c r="A1293" s="108">
        <v>1301005000</v>
      </c>
      <c r="B1293" s="109" t="s">
        <v>16732</v>
      </c>
      <c r="C1293" s="110" t="s">
        <v>38</v>
      </c>
      <c r="D1293" s="111">
        <v>9.2100000000000009</v>
      </c>
      <c r="E1293" s="111">
        <v>21.93</v>
      </c>
      <c r="F1293" s="112">
        <v>31.140000000000001</v>
      </c>
      <c r="H1293" s="110" t="s">
        <v>38</v>
      </c>
      <c r="I1293" s="111">
        <v>9.2100000000000009</v>
      </c>
      <c r="J1293" s="111">
        <v>20.239999999999998</v>
      </c>
      <c r="K1293" s="112">
        <v>29.449999999999999</v>
      </c>
      <c r="L1293" s="88"/>
      <c r="M1293" s="88"/>
    </row>
    <row r="1294" ht="25.5">
      <c r="A1294" s="108">
        <v>1301005001</v>
      </c>
      <c r="B1294" s="109" t="s">
        <v>16733</v>
      </c>
      <c r="C1294" s="110" t="s">
        <v>38</v>
      </c>
      <c r="D1294" s="111">
        <v>14.039999999999999</v>
      </c>
      <c r="E1294" s="111">
        <v>27.420000000000002</v>
      </c>
      <c r="F1294" s="112">
        <v>41.460000000000001</v>
      </c>
      <c r="H1294" s="110" t="s">
        <v>38</v>
      </c>
      <c r="I1294" s="111">
        <v>14.039999999999999</v>
      </c>
      <c r="J1294" s="111">
        <v>25.309999999999999</v>
      </c>
      <c r="K1294" s="112">
        <v>39.350000000000001</v>
      </c>
      <c r="L1294" s="88"/>
      <c r="M1294" s="88"/>
    </row>
    <row r="1295" ht="25.5">
      <c r="A1295" s="108">
        <v>1301005002</v>
      </c>
      <c r="B1295" s="109" t="s">
        <v>16734</v>
      </c>
      <c r="C1295" s="110" t="s">
        <v>38</v>
      </c>
      <c r="D1295" s="111">
        <v>18.949999999999999</v>
      </c>
      <c r="E1295" s="111">
        <v>43.880000000000003</v>
      </c>
      <c r="F1295" s="112">
        <v>62.829999999999998</v>
      </c>
      <c r="H1295" s="110" t="s">
        <v>38</v>
      </c>
      <c r="I1295" s="111">
        <v>18.949999999999999</v>
      </c>
      <c r="J1295" s="111">
        <v>40.490000000000002</v>
      </c>
      <c r="K1295" s="112">
        <v>59.439999999999998</v>
      </c>
      <c r="L1295" s="88"/>
      <c r="M1295" s="88"/>
    </row>
    <row r="1296" ht="25.5">
      <c r="A1296" s="108">
        <v>1301005003</v>
      </c>
      <c r="B1296" s="109" t="s">
        <v>15597</v>
      </c>
      <c r="C1296" s="110" t="s">
        <v>38</v>
      </c>
      <c r="D1296" s="111">
        <v>20.52</v>
      </c>
      <c r="E1296" s="111">
        <v>47.539999999999999</v>
      </c>
      <c r="F1296" s="112">
        <v>68.060000000000002</v>
      </c>
      <c r="H1296" s="110" t="s">
        <v>38</v>
      </c>
      <c r="I1296" s="111">
        <v>20.52</v>
      </c>
      <c r="J1296" s="111">
        <v>43.869999999999997</v>
      </c>
      <c r="K1296" s="112">
        <v>64.390000000000001</v>
      </c>
      <c r="L1296" s="88"/>
      <c r="M1296" s="88"/>
    </row>
    <row r="1297" ht="25.5">
      <c r="A1297" s="108">
        <v>1301005004</v>
      </c>
      <c r="B1297" s="109" t="s">
        <v>16735</v>
      </c>
      <c r="C1297" s="110" t="s">
        <v>38</v>
      </c>
      <c r="D1297" s="111">
        <v>49.469999999999999</v>
      </c>
      <c r="E1297" s="111">
        <v>51.200000000000003</v>
      </c>
      <c r="F1297" s="112">
        <v>100.67</v>
      </c>
      <c r="H1297" s="110" t="s">
        <v>38</v>
      </c>
      <c r="I1297" s="111">
        <v>49.469999999999999</v>
      </c>
      <c r="J1297" s="111">
        <v>47.240000000000002</v>
      </c>
      <c r="K1297" s="112">
        <v>96.709999999999994</v>
      </c>
      <c r="L1297" s="88"/>
      <c r="M1297" s="88"/>
    </row>
    <row r="1298" ht="25.5">
      <c r="A1298" s="108">
        <v>1301005007</v>
      </c>
      <c r="B1298" s="109" t="s">
        <v>16736</v>
      </c>
      <c r="C1298" s="110" t="s">
        <v>38</v>
      </c>
      <c r="D1298" s="111">
        <v>0</v>
      </c>
      <c r="E1298" s="111">
        <v>5.6600000000000001</v>
      </c>
      <c r="F1298" s="112">
        <v>5.6600000000000001</v>
      </c>
      <c r="H1298" s="110" t="s">
        <v>38</v>
      </c>
      <c r="I1298" s="111">
        <v>0</v>
      </c>
      <c r="J1298" s="111">
        <v>5.25</v>
      </c>
      <c r="K1298" s="112">
        <v>5.25</v>
      </c>
      <c r="L1298" s="88"/>
      <c r="M1298" s="88"/>
    </row>
    <row r="1299">
      <c r="A1299" s="108">
        <v>1301005008</v>
      </c>
      <c r="B1299" s="109" t="s">
        <v>16178</v>
      </c>
      <c r="C1299" s="110" t="s">
        <v>38</v>
      </c>
      <c r="D1299" s="111">
        <v>0</v>
      </c>
      <c r="E1299" s="111">
        <v>5.5300000000000002</v>
      </c>
      <c r="F1299" s="112">
        <v>5.5300000000000002</v>
      </c>
      <c r="H1299" s="110" t="s">
        <v>38</v>
      </c>
      <c r="I1299" s="111">
        <v>0</v>
      </c>
      <c r="J1299" s="111">
        <v>5.1399999999999997</v>
      </c>
      <c r="K1299" s="112">
        <v>5.1399999999999997</v>
      </c>
      <c r="L1299" s="88"/>
      <c r="M1299" s="88"/>
    </row>
    <row r="1300" ht="51">
      <c r="A1300" s="69">
        <v>1301005013</v>
      </c>
      <c r="B1300" s="89" t="s">
        <v>16737</v>
      </c>
      <c r="C1300" s="88" t="s">
        <v>31</v>
      </c>
      <c r="D1300" s="113"/>
      <c r="E1300" s="113"/>
      <c r="F1300" s="114">
        <v>13.359999999999999</v>
      </c>
      <c r="H1300" s="88" t="s">
        <v>31</v>
      </c>
      <c r="I1300" s="113"/>
      <c r="J1300" s="113"/>
      <c r="K1300" s="114">
        <v>12.91</v>
      </c>
      <c r="L1300" s="88"/>
      <c r="M1300" s="88"/>
    </row>
    <row r="1301" ht="51">
      <c r="A1301" s="69">
        <v>1301005014</v>
      </c>
      <c r="B1301" s="89" t="s">
        <v>16738</v>
      </c>
      <c r="C1301" s="88" t="s">
        <v>31</v>
      </c>
      <c r="D1301" s="113"/>
      <c r="E1301" s="113"/>
      <c r="F1301" s="114">
        <v>15.44</v>
      </c>
      <c r="H1301" s="88" t="s">
        <v>31</v>
      </c>
      <c r="I1301" s="113"/>
      <c r="J1301" s="113"/>
      <c r="K1301" s="114">
        <v>14.99</v>
      </c>
      <c r="L1301" s="88"/>
      <c r="M1301" s="88"/>
    </row>
    <row r="1302" ht="51">
      <c r="A1302" s="69">
        <v>1301005015</v>
      </c>
      <c r="B1302" s="89" t="s">
        <v>16739</v>
      </c>
      <c r="C1302" s="88" t="s">
        <v>31</v>
      </c>
      <c r="D1302" s="113"/>
      <c r="E1302" s="113"/>
      <c r="F1302" s="114">
        <v>10.42</v>
      </c>
      <c r="H1302" s="88" t="s">
        <v>31</v>
      </c>
      <c r="I1302" s="113"/>
      <c r="J1302" s="113"/>
      <c r="K1302" s="114">
        <v>9.9700000000000006</v>
      </c>
      <c r="L1302" s="88"/>
      <c r="M1302" s="88"/>
    </row>
    <row r="1303" ht="51">
      <c r="A1303" s="69">
        <v>1301005016</v>
      </c>
      <c r="B1303" s="89" t="s">
        <v>16740</v>
      </c>
      <c r="C1303" s="88" t="s">
        <v>31</v>
      </c>
      <c r="D1303" s="113"/>
      <c r="E1303" s="113"/>
      <c r="F1303" s="114">
        <v>10.17</v>
      </c>
      <c r="H1303" s="88" t="s">
        <v>31</v>
      </c>
      <c r="I1303" s="113"/>
      <c r="J1303" s="113"/>
      <c r="K1303" s="114">
        <v>9.7200000000000006</v>
      </c>
      <c r="L1303" s="88"/>
      <c r="M1303" s="88"/>
    </row>
    <row r="1304" ht="51">
      <c r="A1304" s="69">
        <v>1301005017</v>
      </c>
      <c r="B1304" s="89" t="s">
        <v>16741</v>
      </c>
      <c r="C1304" s="88" t="s">
        <v>31</v>
      </c>
      <c r="D1304" s="113"/>
      <c r="E1304" s="113"/>
      <c r="F1304" s="114">
        <v>14.960000000000001</v>
      </c>
      <c r="H1304" s="88" t="s">
        <v>31</v>
      </c>
      <c r="I1304" s="113"/>
      <c r="J1304" s="113"/>
      <c r="K1304" s="114">
        <v>14.369999999999999</v>
      </c>
      <c r="L1304" s="88"/>
      <c r="M1304" s="88"/>
    </row>
    <row r="1305" ht="51">
      <c r="A1305" s="69">
        <v>1301005018</v>
      </c>
      <c r="B1305" s="89" t="s">
        <v>16742</v>
      </c>
      <c r="C1305" s="88" t="s">
        <v>31</v>
      </c>
      <c r="D1305" s="113"/>
      <c r="E1305" s="113"/>
      <c r="F1305" s="114">
        <v>7.6600000000000001</v>
      </c>
      <c r="H1305" s="88" t="s">
        <v>31</v>
      </c>
      <c r="I1305" s="113"/>
      <c r="J1305" s="113"/>
      <c r="K1305" s="114">
        <v>7.3700000000000001</v>
      </c>
      <c r="L1305" s="88"/>
      <c r="M1305" s="88"/>
    </row>
    <row r="1306" ht="51">
      <c r="A1306" s="69">
        <v>1301005020</v>
      </c>
      <c r="B1306" s="89" t="s">
        <v>16743</v>
      </c>
      <c r="C1306" s="88" t="s">
        <v>31</v>
      </c>
      <c r="D1306" s="113"/>
      <c r="E1306" s="113"/>
      <c r="F1306" s="114">
        <v>14.85</v>
      </c>
      <c r="H1306" s="88" t="s">
        <v>31</v>
      </c>
      <c r="I1306" s="113"/>
      <c r="J1306" s="113"/>
      <c r="K1306" s="114">
        <v>14.26</v>
      </c>
      <c r="L1306" s="88"/>
      <c r="M1306" s="88"/>
    </row>
    <row r="1307" ht="51">
      <c r="A1307" s="69">
        <v>1301005022</v>
      </c>
      <c r="B1307" s="89" t="s">
        <v>16744</v>
      </c>
      <c r="C1307" s="88" t="s">
        <v>31</v>
      </c>
      <c r="D1307" s="113"/>
      <c r="E1307" s="113"/>
      <c r="F1307" s="114">
        <v>24.469999999999999</v>
      </c>
      <c r="H1307" s="88" t="s">
        <v>31</v>
      </c>
      <c r="I1307" s="113"/>
      <c r="J1307" s="113"/>
      <c r="K1307" s="114">
        <v>23.809999999999999</v>
      </c>
      <c r="L1307" s="88"/>
      <c r="M1307" s="88"/>
    </row>
    <row r="1308" ht="38.25">
      <c r="A1308" s="108">
        <v>1301005024</v>
      </c>
      <c r="B1308" s="109" t="s">
        <v>16745</v>
      </c>
      <c r="C1308" s="110" t="s">
        <v>31</v>
      </c>
      <c r="D1308" s="111">
        <v>7.2199999999999998</v>
      </c>
      <c r="E1308" s="111">
        <v>12.800000000000001</v>
      </c>
      <c r="F1308" s="112">
        <v>20.02</v>
      </c>
      <c r="H1308" s="110" t="s">
        <v>31</v>
      </c>
      <c r="I1308" s="111">
        <v>7.2199999999999998</v>
      </c>
      <c r="J1308" s="111">
        <v>11.800000000000001</v>
      </c>
      <c r="K1308" s="112">
        <v>19.02</v>
      </c>
      <c r="L1308" s="88"/>
      <c r="M1308" s="88"/>
    </row>
    <row r="1309" ht="51">
      <c r="A1309" s="69">
        <v>1301005034</v>
      </c>
      <c r="B1309" s="89" t="s">
        <v>16746</v>
      </c>
      <c r="C1309" s="88" t="s">
        <v>31</v>
      </c>
      <c r="D1309" s="113"/>
      <c r="E1309" s="113"/>
      <c r="F1309" s="114">
        <v>8.8900000000000006</v>
      </c>
      <c r="H1309" s="88" t="s">
        <v>31</v>
      </c>
      <c r="I1309" s="113"/>
      <c r="J1309" s="113"/>
      <c r="K1309" s="114">
        <v>8.6600000000000001</v>
      </c>
      <c r="L1309" s="88"/>
      <c r="M1309" s="88"/>
    </row>
    <row r="1310" ht="51">
      <c r="A1310" s="108">
        <v>1301005048</v>
      </c>
      <c r="B1310" s="109" t="s">
        <v>16747</v>
      </c>
      <c r="C1310" s="110" t="s">
        <v>31</v>
      </c>
      <c r="D1310" s="111">
        <v>11.42</v>
      </c>
      <c r="E1310" s="111">
        <v>20.559999999999999</v>
      </c>
      <c r="F1310" s="112">
        <v>31.98</v>
      </c>
      <c r="H1310" s="110" t="s">
        <v>31</v>
      </c>
      <c r="I1310" s="111">
        <v>11.42</v>
      </c>
      <c r="J1310" s="111">
        <v>18.98</v>
      </c>
      <c r="K1310" s="112">
        <v>30.399999999999999</v>
      </c>
      <c r="L1310" s="88"/>
      <c r="M1310" s="88"/>
    </row>
    <row r="1311" ht="51">
      <c r="A1311" s="69">
        <v>1301005057</v>
      </c>
      <c r="B1311" s="89" t="s">
        <v>16748</v>
      </c>
      <c r="C1311" s="88" t="s">
        <v>31</v>
      </c>
      <c r="D1311" s="113"/>
      <c r="E1311" s="113"/>
      <c r="F1311" s="114">
        <v>19.379999999999999</v>
      </c>
      <c r="H1311" s="88" t="s">
        <v>31</v>
      </c>
      <c r="I1311" s="113"/>
      <c r="J1311" s="113"/>
      <c r="K1311" s="114">
        <v>19.27</v>
      </c>
      <c r="L1311" s="88"/>
      <c r="M1311" s="88"/>
    </row>
    <row r="1312" ht="51">
      <c r="A1312" s="69">
        <v>1301005058</v>
      </c>
      <c r="B1312" s="89" t="s">
        <v>16749</v>
      </c>
      <c r="C1312" s="88" t="s">
        <v>31</v>
      </c>
      <c r="D1312" s="113"/>
      <c r="E1312" s="113"/>
      <c r="F1312" s="114">
        <v>39.770000000000003</v>
      </c>
      <c r="H1312" s="88" t="s">
        <v>31</v>
      </c>
      <c r="I1312" s="113"/>
      <c r="J1312" s="113"/>
      <c r="K1312" s="114">
        <v>39.329999999999998</v>
      </c>
      <c r="L1312" s="88"/>
      <c r="M1312" s="88"/>
    </row>
    <row r="1313" ht="51">
      <c r="A1313" s="69">
        <v>1301005059</v>
      </c>
      <c r="B1313" s="89" t="s">
        <v>16750</v>
      </c>
      <c r="C1313" s="88" t="s">
        <v>31</v>
      </c>
      <c r="D1313" s="113"/>
      <c r="E1313" s="113"/>
      <c r="F1313" s="114">
        <v>44.460000000000001</v>
      </c>
      <c r="H1313" s="88" t="s">
        <v>31</v>
      </c>
      <c r="I1313" s="113"/>
      <c r="J1313" s="113"/>
      <c r="K1313" s="114">
        <v>43.770000000000003</v>
      </c>
      <c r="L1313" s="88"/>
      <c r="M1313" s="88"/>
    </row>
    <row r="1314" ht="51">
      <c r="A1314" s="69">
        <v>1301005060</v>
      </c>
      <c r="B1314" s="89" t="s">
        <v>16751</v>
      </c>
      <c r="C1314" s="88" t="s">
        <v>31</v>
      </c>
      <c r="D1314" s="113"/>
      <c r="E1314" s="113"/>
      <c r="F1314" s="114">
        <v>21.77</v>
      </c>
      <c r="H1314" s="88" t="s">
        <v>31</v>
      </c>
      <c r="I1314" s="113"/>
      <c r="J1314" s="113"/>
      <c r="K1314" s="114">
        <v>21.66</v>
      </c>
      <c r="L1314" s="88"/>
      <c r="M1314" s="88"/>
    </row>
    <row r="1315" ht="51">
      <c r="A1315" s="69">
        <v>1301005061</v>
      </c>
      <c r="B1315" s="89" t="s">
        <v>16752</v>
      </c>
      <c r="C1315" s="88" t="s">
        <v>31</v>
      </c>
      <c r="D1315" s="113"/>
      <c r="E1315" s="113"/>
      <c r="F1315" s="114">
        <v>62.270000000000003</v>
      </c>
      <c r="H1315" s="88" t="s">
        <v>31</v>
      </c>
      <c r="I1315" s="113"/>
      <c r="J1315" s="113"/>
      <c r="K1315" s="114">
        <v>61.829999999999998</v>
      </c>
      <c r="L1315" s="88"/>
      <c r="M1315" s="88"/>
    </row>
    <row r="1316" ht="51">
      <c r="A1316" s="69">
        <v>1301005062</v>
      </c>
      <c r="B1316" s="89" t="s">
        <v>16753</v>
      </c>
      <c r="C1316" s="88" t="s">
        <v>31</v>
      </c>
      <c r="D1316" s="113"/>
      <c r="E1316" s="113"/>
      <c r="F1316" s="114">
        <v>82.780000000000001</v>
      </c>
      <c r="H1316" s="88" t="s">
        <v>31</v>
      </c>
      <c r="I1316" s="113"/>
      <c r="J1316" s="113"/>
      <c r="K1316" s="114">
        <v>82.090000000000003</v>
      </c>
      <c r="L1316" s="88"/>
      <c r="M1316" s="88"/>
    </row>
    <row r="1317" ht="51">
      <c r="A1317" s="69">
        <v>1301005065</v>
      </c>
      <c r="B1317" s="89" t="s">
        <v>16754</v>
      </c>
      <c r="C1317" s="88" t="s">
        <v>31</v>
      </c>
      <c r="D1317" s="113"/>
      <c r="E1317" s="113"/>
      <c r="F1317" s="114">
        <v>10.93</v>
      </c>
      <c r="H1317" s="88" t="s">
        <v>31</v>
      </c>
      <c r="I1317" s="113"/>
      <c r="J1317" s="113"/>
      <c r="K1317" s="114">
        <v>10.82</v>
      </c>
      <c r="L1317" s="88"/>
      <c r="M1317" s="88"/>
    </row>
    <row r="1318" ht="51">
      <c r="A1318" s="69">
        <v>1301005066</v>
      </c>
      <c r="B1318" s="89" t="s">
        <v>16755</v>
      </c>
      <c r="C1318" s="88" t="s">
        <v>31</v>
      </c>
      <c r="D1318" s="113"/>
      <c r="E1318" s="113"/>
      <c r="F1318" s="114">
        <v>22.170000000000002</v>
      </c>
      <c r="H1318" s="88" t="s">
        <v>31</v>
      </c>
      <c r="I1318" s="113"/>
      <c r="J1318" s="113"/>
      <c r="K1318" s="114">
        <v>21.73</v>
      </c>
      <c r="L1318" s="88"/>
      <c r="M1318" s="88"/>
    </row>
    <row r="1319" ht="51">
      <c r="A1319" s="69">
        <v>1301005067</v>
      </c>
      <c r="B1319" s="89" t="s">
        <v>16756</v>
      </c>
      <c r="C1319" s="88" t="s">
        <v>31</v>
      </c>
      <c r="D1319" s="113"/>
      <c r="E1319" s="113"/>
      <c r="F1319" s="114">
        <v>28.93</v>
      </c>
      <c r="H1319" s="88" t="s">
        <v>31</v>
      </c>
      <c r="I1319" s="113"/>
      <c r="J1319" s="113"/>
      <c r="K1319" s="114">
        <v>28.239999999999998</v>
      </c>
      <c r="L1319" s="88"/>
      <c r="M1319" s="88"/>
    </row>
    <row r="1320" ht="51">
      <c r="A1320" s="69">
        <v>1301005069</v>
      </c>
      <c r="B1320" s="89" t="s">
        <v>16757</v>
      </c>
      <c r="C1320" s="88" t="s">
        <v>31</v>
      </c>
      <c r="D1320" s="113"/>
      <c r="E1320" s="113"/>
      <c r="F1320" s="114">
        <v>10.130000000000001</v>
      </c>
      <c r="H1320" s="88" t="s">
        <v>31</v>
      </c>
      <c r="I1320" s="113"/>
      <c r="J1320" s="113"/>
      <c r="K1320" s="114">
        <v>10.02</v>
      </c>
      <c r="L1320" s="88"/>
      <c r="M1320" s="88"/>
    </row>
    <row r="1321" ht="51">
      <c r="A1321" s="69">
        <v>1301005070</v>
      </c>
      <c r="B1321" s="89" t="s">
        <v>16758</v>
      </c>
      <c r="C1321" s="88" t="s">
        <v>31</v>
      </c>
      <c r="D1321" s="113"/>
      <c r="E1321" s="113"/>
      <c r="F1321" s="114">
        <v>21.100000000000001</v>
      </c>
      <c r="H1321" s="88" t="s">
        <v>31</v>
      </c>
      <c r="I1321" s="113"/>
      <c r="J1321" s="113"/>
      <c r="K1321" s="114">
        <v>20.66</v>
      </c>
      <c r="L1321" s="88"/>
      <c r="M1321" s="88"/>
    </row>
    <row r="1322" ht="51">
      <c r="A1322" s="69">
        <v>1301005071</v>
      </c>
      <c r="B1322" s="89" t="s">
        <v>16759</v>
      </c>
      <c r="C1322" s="88" t="s">
        <v>31</v>
      </c>
      <c r="D1322" s="113"/>
      <c r="E1322" s="113"/>
      <c r="F1322" s="114">
        <v>28.010000000000002</v>
      </c>
      <c r="H1322" s="88" t="s">
        <v>31</v>
      </c>
      <c r="I1322" s="113"/>
      <c r="J1322" s="113"/>
      <c r="K1322" s="114">
        <v>27.32</v>
      </c>
      <c r="L1322" s="88"/>
      <c r="M1322" s="88"/>
    </row>
    <row r="1323" ht="51">
      <c r="A1323" s="69">
        <v>1301005074</v>
      </c>
      <c r="B1323" s="89" t="s">
        <v>16760</v>
      </c>
      <c r="C1323" s="88" t="s">
        <v>31</v>
      </c>
      <c r="D1323" s="113"/>
      <c r="E1323" s="113"/>
      <c r="F1323" s="114">
        <v>6.1699999999999999</v>
      </c>
      <c r="H1323" s="88" t="s">
        <v>31</v>
      </c>
      <c r="I1323" s="113"/>
      <c r="J1323" s="113"/>
      <c r="K1323" s="114">
        <v>6.0800000000000001</v>
      </c>
      <c r="L1323" s="88"/>
      <c r="M1323" s="88"/>
    </row>
    <row r="1324" ht="51">
      <c r="A1324" s="69">
        <v>1301005075</v>
      </c>
      <c r="B1324" s="89" t="s">
        <v>16761</v>
      </c>
      <c r="C1324" s="88" t="s">
        <v>31</v>
      </c>
      <c r="D1324" s="113"/>
      <c r="E1324" s="113"/>
      <c r="F1324" s="114">
        <v>14.779999999999999</v>
      </c>
      <c r="H1324" s="88" t="s">
        <v>31</v>
      </c>
      <c r="I1324" s="113"/>
      <c r="J1324" s="113"/>
      <c r="K1324" s="114">
        <v>14.49</v>
      </c>
      <c r="L1324" s="88"/>
      <c r="M1324" s="88"/>
    </row>
    <row r="1325" ht="51">
      <c r="A1325" s="69">
        <v>1301005076</v>
      </c>
      <c r="B1325" s="89" t="s">
        <v>16762</v>
      </c>
      <c r="C1325" s="88" t="s">
        <v>31</v>
      </c>
      <c r="D1325" s="113"/>
      <c r="E1325" s="113"/>
      <c r="F1325" s="114">
        <v>18.359999999999999</v>
      </c>
      <c r="H1325" s="88" t="s">
        <v>31</v>
      </c>
      <c r="I1325" s="113"/>
      <c r="J1325" s="113"/>
      <c r="K1325" s="114">
        <v>17.899999999999999</v>
      </c>
      <c r="L1325" s="88"/>
      <c r="M1325" s="88"/>
    </row>
    <row r="1326" ht="51">
      <c r="A1326" s="69">
        <v>1301005090</v>
      </c>
      <c r="B1326" s="89" t="s">
        <v>16763</v>
      </c>
      <c r="C1326" s="88" t="s">
        <v>31</v>
      </c>
      <c r="D1326" s="113"/>
      <c r="E1326" s="113"/>
      <c r="F1326" s="114">
        <v>20.719999999999999</v>
      </c>
      <c r="H1326" s="88" t="s">
        <v>31</v>
      </c>
      <c r="I1326" s="113"/>
      <c r="J1326" s="113"/>
      <c r="K1326" s="114">
        <v>20.559999999999999</v>
      </c>
      <c r="L1326" s="88"/>
      <c r="M1326" s="88"/>
    </row>
    <row r="1327" ht="51">
      <c r="A1327" s="69">
        <v>1301005091</v>
      </c>
      <c r="B1327" s="89" t="s">
        <v>16764</v>
      </c>
      <c r="C1327" s="88" t="s">
        <v>31</v>
      </c>
      <c r="D1327" s="113"/>
      <c r="E1327" s="113"/>
      <c r="F1327" s="114">
        <v>39.740000000000002</v>
      </c>
      <c r="H1327" s="88" t="s">
        <v>31</v>
      </c>
      <c r="I1327" s="113"/>
      <c r="J1327" s="113"/>
      <c r="K1327" s="114">
        <v>39.149999999999999</v>
      </c>
      <c r="L1327" s="88"/>
      <c r="M1327" s="88"/>
    </row>
    <row r="1328" ht="51">
      <c r="A1328" s="69">
        <v>1301005092</v>
      </c>
      <c r="B1328" s="89" t="s">
        <v>16765</v>
      </c>
      <c r="C1328" s="88" t="s">
        <v>31</v>
      </c>
      <c r="D1328" s="113"/>
      <c r="E1328" s="113"/>
      <c r="F1328" s="114">
        <v>53.229999999999997</v>
      </c>
      <c r="H1328" s="88" t="s">
        <v>31</v>
      </c>
      <c r="I1328" s="113"/>
      <c r="J1328" s="113"/>
      <c r="K1328" s="114">
        <v>52.310000000000002</v>
      </c>
      <c r="L1328" s="88"/>
      <c r="M1328" s="88"/>
    </row>
    <row r="1329" ht="51">
      <c r="A1329" s="108">
        <v>1301005094</v>
      </c>
      <c r="B1329" s="109" t="s">
        <v>16766</v>
      </c>
      <c r="C1329" s="110" t="s">
        <v>31</v>
      </c>
      <c r="D1329" s="111">
        <v>29.890000000000001</v>
      </c>
      <c r="E1329" s="111">
        <v>7.2999999999999998</v>
      </c>
      <c r="F1329" s="112">
        <v>37.189999999999998</v>
      </c>
      <c r="H1329" s="110" t="s">
        <v>31</v>
      </c>
      <c r="I1329" s="111">
        <v>29.890000000000001</v>
      </c>
      <c r="J1329" s="111">
        <v>6.7400000000000002</v>
      </c>
      <c r="K1329" s="112">
        <v>36.630000000000003</v>
      </c>
      <c r="L1329" s="88"/>
      <c r="M1329" s="88"/>
    </row>
    <row r="1330">
      <c r="A1330" s="108">
        <v>1301005095</v>
      </c>
      <c r="B1330" s="109" t="s">
        <v>16767</v>
      </c>
      <c r="C1330" s="110" t="s">
        <v>31</v>
      </c>
      <c r="D1330" s="111">
        <v>35.899999999999999</v>
      </c>
      <c r="E1330" s="111">
        <v>7.2999999999999998</v>
      </c>
      <c r="F1330" s="112">
        <v>43.200000000000003</v>
      </c>
      <c r="H1330" s="110" t="s">
        <v>31</v>
      </c>
      <c r="I1330" s="111">
        <v>35.899999999999999</v>
      </c>
      <c r="J1330" s="111">
        <v>6.7400000000000002</v>
      </c>
      <c r="K1330" s="112">
        <v>42.640000000000001</v>
      </c>
      <c r="L1330" s="88"/>
      <c r="M1330" s="88"/>
    </row>
    <row r="1331" ht="38.25">
      <c r="A1331" s="69">
        <v>1301005098</v>
      </c>
      <c r="B1331" s="89" t="s">
        <v>16768</v>
      </c>
      <c r="C1331" s="88" t="s">
        <v>31</v>
      </c>
      <c r="D1331" s="113"/>
      <c r="E1331" s="113"/>
      <c r="F1331" s="114">
        <v>18.149999999999999</v>
      </c>
      <c r="H1331" s="88" t="s">
        <v>31</v>
      </c>
      <c r="I1331" s="113"/>
      <c r="J1331" s="113"/>
      <c r="K1331" s="114">
        <v>17.989999999999998</v>
      </c>
      <c r="L1331" s="88"/>
      <c r="M1331" s="88"/>
    </row>
    <row r="1332" ht="38.25">
      <c r="A1332" s="69">
        <v>1301005099</v>
      </c>
      <c r="B1332" s="89" t="s">
        <v>16769</v>
      </c>
      <c r="C1332" s="88" t="s">
        <v>31</v>
      </c>
      <c r="D1332" s="113"/>
      <c r="E1332" s="113"/>
      <c r="F1332" s="114">
        <v>37.469999999999999</v>
      </c>
      <c r="H1332" s="88" t="s">
        <v>31</v>
      </c>
      <c r="I1332" s="113"/>
      <c r="J1332" s="113"/>
      <c r="K1332" s="114">
        <v>36.880000000000003</v>
      </c>
      <c r="L1332" s="88"/>
      <c r="M1332" s="88"/>
    </row>
    <row r="1333" ht="51">
      <c r="A1333" s="69">
        <v>1301005100</v>
      </c>
      <c r="B1333" s="89" t="s">
        <v>16770</v>
      </c>
      <c r="C1333" s="88" t="s">
        <v>31</v>
      </c>
      <c r="D1333" s="113"/>
      <c r="E1333" s="113"/>
      <c r="F1333" s="114">
        <v>44.439999999999998</v>
      </c>
      <c r="H1333" s="88" t="s">
        <v>31</v>
      </c>
      <c r="I1333" s="113"/>
      <c r="J1333" s="113"/>
      <c r="K1333" s="114">
        <v>43.520000000000003</v>
      </c>
      <c r="L1333" s="88"/>
      <c r="M1333" s="88"/>
    </row>
    <row r="1334" ht="25.5">
      <c r="A1334" s="108">
        <v>1301005105</v>
      </c>
      <c r="B1334" s="109" t="s">
        <v>16771</v>
      </c>
      <c r="C1334" s="110" t="s">
        <v>31</v>
      </c>
      <c r="D1334" s="111">
        <v>26.600000000000001</v>
      </c>
      <c r="E1334" s="111">
        <v>15.1</v>
      </c>
      <c r="F1334" s="112">
        <v>41.700000000000003</v>
      </c>
      <c r="H1334" s="110" t="s">
        <v>31</v>
      </c>
      <c r="I1334" s="111">
        <v>26.600000000000001</v>
      </c>
      <c r="J1334" s="111">
        <v>13.949999999999999</v>
      </c>
      <c r="K1334" s="112">
        <v>40.549999999999997</v>
      </c>
      <c r="L1334" s="88"/>
      <c r="M1334" s="88"/>
    </row>
    <row r="1335" ht="25.5">
      <c r="A1335" s="108">
        <v>1301005106</v>
      </c>
      <c r="B1335" s="109" t="s">
        <v>16772</v>
      </c>
      <c r="C1335" s="110" t="s">
        <v>31</v>
      </c>
      <c r="D1335" s="111">
        <v>30.23</v>
      </c>
      <c r="E1335" s="111">
        <v>15.1</v>
      </c>
      <c r="F1335" s="112">
        <v>45.329999999999998</v>
      </c>
      <c r="H1335" s="110" t="s">
        <v>31</v>
      </c>
      <c r="I1335" s="111">
        <v>30.23</v>
      </c>
      <c r="J1335" s="111">
        <v>13.949999999999999</v>
      </c>
      <c r="K1335" s="112">
        <v>44.18</v>
      </c>
      <c r="L1335" s="88"/>
      <c r="M1335" s="88"/>
    </row>
    <row r="1336" ht="38.25">
      <c r="A1336" s="69">
        <v>1301005110</v>
      </c>
      <c r="B1336" s="89" t="s">
        <v>16773</v>
      </c>
      <c r="C1336" s="88" t="s">
        <v>38</v>
      </c>
      <c r="D1336" s="113"/>
      <c r="E1336" s="113"/>
      <c r="F1336" s="114">
        <v>20.949999999999999</v>
      </c>
      <c r="H1336" s="88" t="s">
        <v>38</v>
      </c>
      <c r="I1336" s="113"/>
      <c r="J1336" s="113"/>
      <c r="K1336" s="114">
        <v>19.920000000000002</v>
      </c>
      <c r="L1336" s="88"/>
      <c r="M1336" s="88"/>
    </row>
    <row r="1337" ht="38.25">
      <c r="A1337" s="69">
        <v>1301005111</v>
      </c>
      <c r="B1337" s="89" t="s">
        <v>16774</v>
      </c>
      <c r="C1337" s="88" t="s">
        <v>38</v>
      </c>
      <c r="D1337" s="113"/>
      <c r="E1337" s="113"/>
      <c r="F1337" s="114">
        <v>27.02</v>
      </c>
      <c r="H1337" s="88" t="s">
        <v>38</v>
      </c>
      <c r="I1337" s="113"/>
      <c r="J1337" s="113"/>
      <c r="K1337" s="114">
        <v>25.899999999999999</v>
      </c>
      <c r="L1337" s="88"/>
      <c r="M1337" s="88"/>
    </row>
    <row r="1338" ht="38.25">
      <c r="A1338" s="69">
        <v>1301005112</v>
      </c>
      <c r="B1338" s="89" t="s">
        <v>16775</v>
      </c>
      <c r="C1338" s="88" t="s">
        <v>38</v>
      </c>
      <c r="D1338" s="113"/>
      <c r="E1338" s="113"/>
      <c r="F1338" s="114">
        <v>33.789999999999999</v>
      </c>
      <c r="H1338" s="88" t="s">
        <v>38</v>
      </c>
      <c r="I1338" s="113"/>
      <c r="J1338" s="113"/>
      <c r="K1338" s="114">
        <v>32.439999999999998</v>
      </c>
      <c r="L1338" s="88"/>
      <c r="M1338" s="88"/>
    </row>
    <row r="1339" ht="38.25">
      <c r="A1339" s="69">
        <v>1301005113</v>
      </c>
      <c r="B1339" s="89" t="s">
        <v>16776</v>
      </c>
      <c r="C1339" s="88" t="s">
        <v>38</v>
      </c>
      <c r="D1339" s="113"/>
      <c r="E1339" s="113"/>
      <c r="F1339" s="114">
        <v>37.609999999999999</v>
      </c>
      <c r="H1339" s="88" t="s">
        <v>38</v>
      </c>
      <c r="I1339" s="113"/>
      <c r="J1339" s="113"/>
      <c r="K1339" s="114">
        <v>36.039999999999999</v>
      </c>
      <c r="L1339" s="88"/>
      <c r="M1339" s="88"/>
    </row>
    <row r="1340" ht="38.25">
      <c r="A1340" s="69">
        <v>1301005114</v>
      </c>
      <c r="B1340" s="89" t="s">
        <v>16777</v>
      </c>
      <c r="C1340" s="88" t="s">
        <v>38</v>
      </c>
      <c r="D1340" s="113"/>
      <c r="E1340" s="113"/>
      <c r="F1340" s="114">
        <v>59.299999999999997</v>
      </c>
      <c r="H1340" s="88" t="s">
        <v>38</v>
      </c>
      <c r="I1340" s="113"/>
      <c r="J1340" s="113"/>
      <c r="K1340" s="114">
        <v>58.210000000000001</v>
      </c>
      <c r="L1340" s="88"/>
      <c r="M1340" s="88"/>
    </row>
    <row r="1341" ht="38.25">
      <c r="A1341" s="69">
        <v>1301005156</v>
      </c>
      <c r="B1341" s="89" t="s">
        <v>16778</v>
      </c>
      <c r="C1341" s="88" t="s">
        <v>31</v>
      </c>
      <c r="D1341" s="113"/>
      <c r="E1341" s="113"/>
      <c r="F1341" s="114">
        <v>46.189999999999998</v>
      </c>
      <c r="H1341" s="88" t="s">
        <v>31</v>
      </c>
      <c r="I1341" s="113"/>
      <c r="J1341" s="113"/>
      <c r="K1341" s="114">
        <v>44.789999999999999</v>
      </c>
      <c r="L1341" s="88"/>
      <c r="M1341" s="88"/>
    </row>
    <row r="1342" ht="25.5">
      <c r="A1342" s="108">
        <v>1301005159</v>
      </c>
      <c r="B1342" s="109" t="s">
        <v>16779</v>
      </c>
      <c r="C1342" s="110" t="s">
        <v>31</v>
      </c>
      <c r="D1342" s="111">
        <v>55.32</v>
      </c>
      <c r="E1342" s="111">
        <v>17.359999999999999</v>
      </c>
      <c r="F1342" s="112">
        <v>72.680000000000007</v>
      </c>
      <c r="H1342" s="110" t="s">
        <v>31</v>
      </c>
      <c r="I1342" s="111">
        <v>55.32</v>
      </c>
      <c r="J1342" s="111">
        <v>16.02</v>
      </c>
      <c r="K1342" s="112">
        <v>71.340000000000003</v>
      </c>
      <c r="L1342" s="88"/>
      <c r="M1342" s="88"/>
    </row>
    <row r="1343" ht="38.25">
      <c r="A1343" s="69">
        <v>1301005164</v>
      </c>
      <c r="B1343" s="89" t="s">
        <v>16780</v>
      </c>
      <c r="C1343" s="88" t="s">
        <v>31</v>
      </c>
      <c r="D1343" s="113"/>
      <c r="E1343" s="113"/>
      <c r="F1343" s="114">
        <v>98.730000000000004</v>
      </c>
      <c r="H1343" s="88" t="s">
        <v>31</v>
      </c>
      <c r="I1343" s="113"/>
      <c r="J1343" s="113"/>
      <c r="K1343" s="114">
        <v>97.049999999999997</v>
      </c>
      <c r="L1343" s="88"/>
      <c r="M1343" s="88"/>
    </row>
    <row r="1344" ht="25.5">
      <c r="A1344" s="108">
        <v>1301005170</v>
      </c>
      <c r="B1344" s="109" t="s">
        <v>16781</v>
      </c>
      <c r="C1344" s="110" t="s">
        <v>31</v>
      </c>
      <c r="D1344" s="111">
        <v>99.049999999999997</v>
      </c>
      <c r="E1344" s="111">
        <v>17.359999999999999</v>
      </c>
      <c r="F1344" s="112">
        <v>116.41</v>
      </c>
      <c r="H1344" s="110" t="s">
        <v>31</v>
      </c>
      <c r="I1344" s="111">
        <v>99.049999999999997</v>
      </c>
      <c r="J1344" s="111">
        <v>16.02</v>
      </c>
      <c r="K1344" s="112">
        <v>115.06999999999999</v>
      </c>
      <c r="L1344" s="88"/>
      <c r="M1344" s="88"/>
    </row>
    <row r="1345" ht="25.5">
      <c r="A1345" s="108">
        <v>1301005179</v>
      </c>
      <c r="B1345" s="109" t="s">
        <v>16782</v>
      </c>
      <c r="C1345" s="110" t="s">
        <v>31</v>
      </c>
      <c r="D1345" s="111">
        <v>8.6199999999999992</v>
      </c>
      <c r="E1345" s="111">
        <v>4.5599999999999996</v>
      </c>
      <c r="F1345" s="112">
        <v>13.18</v>
      </c>
      <c r="H1345" s="110" t="s">
        <v>31</v>
      </c>
      <c r="I1345" s="111">
        <v>8.6199999999999992</v>
      </c>
      <c r="J1345" s="111">
        <v>4.21</v>
      </c>
      <c r="K1345" s="112">
        <v>12.83</v>
      </c>
      <c r="L1345" s="88"/>
      <c r="M1345" s="88"/>
    </row>
    <row r="1346">
      <c r="A1346" s="108">
        <v>1301005180</v>
      </c>
      <c r="B1346" s="109" t="s">
        <v>16783</v>
      </c>
      <c r="C1346" s="110" t="s">
        <v>31</v>
      </c>
      <c r="D1346" s="111">
        <v>12.220000000000001</v>
      </c>
      <c r="E1346" s="111">
        <v>4.5599999999999996</v>
      </c>
      <c r="F1346" s="112">
        <v>16.780000000000001</v>
      </c>
      <c r="H1346" s="110" t="s">
        <v>31</v>
      </c>
      <c r="I1346" s="111">
        <v>12.220000000000001</v>
      </c>
      <c r="J1346" s="111">
        <v>4.21</v>
      </c>
      <c r="K1346" s="112">
        <v>16.43</v>
      </c>
      <c r="L1346" s="88"/>
      <c r="M1346" s="88"/>
    </row>
    <row r="1347" ht="25.5">
      <c r="A1347" s="108">
        <v>1301005181</v>
      </c>
      <c r="B1347" s="109" t="s">
        <v>16784</v>
      </c>
      <c r="C1347" s="110" t="s">
        <v>31</v>
      </c>
      <c r="D1347" s="111">
        <v>41.600000000000001</v>
      </c>
      <c r="E1347" s="111">
        <v>3.5</v>
      </c>
      <c r="F1347" s="112">
        <v>45.100000000000001</v>
      </c>
      <c r="H1347" s="110" t="s">
        <v>31</v>
      </c>
      <c r="I1347" s="111">
        <v>41.600000000000001</v>
      </c>
      <c r="J1347" s="111">
        <v>3.2200000000000002</v>
      </c>
      <c r="K1347" s="112">
        <v>44.82</v>
      </c>
      <c r="L1347" s="88"/>
      <c r="M1347" s="88"/>
    </row>
    <row r="1348">
      <c r="A1348" s="108">
        <v>1301005182</v>
      </c>
      <c r="B1348" s="109" t="s">
        <v>16785</v>
      </c>
      <c r="C1348" s="110" t="s">
        <v>31</v>
      </c>
      <c r="D1348" s="111">
        <v>64.900000000000006</v>
      </c>
      <c r="E1348" s="111">
        <v>3.5</v>
      </c>
      <c r="F1348" s="112">
        <v>68.400000000000006</v>
      </c>
      <c r="H1348" s="110" t="s">
        <v>31</v>
      </c>
      <c r="I1348" s="111">
        <v>64.900000000000006</v>
      </c>
      <c r="J1348" s="111">
        <v>3.2200000000000002</v>
      </c>
      <c r="K1348" s="112">
        <v>68.120000000000005</v>
      </c>
      <c r="L1348" s="88"/>
      <c r="M1348" s="88"/>
    </row>
    <row r="1349">
      <c r="A1349" s="108">
        <v>1301005183</v>
      </c>
      <c r="B1349" s="109" t="s">
        <v>16786</v>
      </c>
      <c r="C1349" s="110" t="s">
        <v>31</v>
      </c>
      <c r="D1349" s="111">
        <v>55.200000000000003</v>
      </c>
      <c r="E1349" s="111">
        <v>3.5</v>
      </c>
      <c r="F1349" s="112">
        <v>58.700000000000003</v>
      </c>
      <c r="H1349" s="110" t="s">
        <v>31</v>
      </c>
      <c r="I1349" s="111">
        <v>55.200000000000003</v>
      </c>
      <c r="J1349" s="111">
        <v>3.2200000000000002</v>
      </c>
      <c r="K1349" s="112">
        <v>58.420000000000002</v>
      </c>
      <c r="L1349" s="88"/>
      <c r="M1349" s="88"/>
    </row>
    <row r="1350" ht="25.5">
      <c r="A1350" s="108">
        <v>1301005185</v>
      </c>
      <c r="B1350" s="109" t="s">
        <v>16787</v>
      </c>
      <c r="C1350" s="110" t="s">
        <v>31</v>
      </c>
      <c r="D1350" s="111">
        <v>12.109999999999999</v>
      </c>
      <c r="E1350" s="111">
        <v>18.280000000000001</v>
      </c>
      <c r="F1350" s="112">
        <v>30.390000000000001</v>
      </c>
      <c r="H1350" s="110" t="s">
        <v>31</v>
      </c>
      <c r="I1350" s="111">
        <v>12.109999999999999</v>
      </c>
      <c r="J1350" s="111">
        <v>16.870000000000001</v>
      </c>
      <c r="K1350" s="112">
        <v>28.98</v>
      </c>
      <c r="L1350" s="88"/>
      <c r="M1350" s="88"/>
    </row>
    <row r="1351" ht="51">
      <c r="A1351" s="108">
        <v>1301005191</v>
      </c>
      <c r="B1351" s="109" t="s">
        <v>16788</v>
      </c>
      <c r="C1351" s="110" t="s">
        <v>31</v>
      </c>
      <c r="D1351" s="111">
        <v>167.25999999999999</v>
      </c>
      <c r="E1351" s="111">
        <v>59.880000000000003</v>
      </c>
      <c r="F1351" s="112">
        <v>227.13999999999999</v>
      </c>
      <c r="H1351" s="110" t="s">
        <v>31</v>
      </c>
      <c r="I1351" s="111">
        <v>166.65000000000001</v>
      </c>
      <c r="J1351" s="111">
        <v>55.390000000000001</v>
      </c>
      <c r="K1351" s="112">
        <v>222.03999999999999</v>
      </c>
      <c r="L1351" s="88"/>
      <c r="M1351" s="88"/>
    </row>
    <row r="1352" ht="51">
      <c r="A1352" s="108">
        <v>1301005194</v>
      </c>
      <c r="B1352" s="109" t="s">
        <v>16789</v>
      </c>
      <c r="C1352" s="110" t="s">
        <v>31</v>
      </c>
      <c r="D1352" s="111">
        <v>259.74000000000001</v>
      </c>
      <c r="E1352" s="111">
        <v>99.5</v>
      </c>
      <c r="F1352" s="112">
        <v>359.24000000000001</v>
      </c>
      <c r="H1352" s="110" t="s">
        <v>31</v>
      </c>
      <c r="I1352" s="111">
        <v>258.81</v>
      </c>
      <c r="J1352" s="111">
        <v>92.040000000000006</v>
      </c>
      <c r="K1352" s="112">
        <v>350.85000000000002</v>
      </c>
      <c r="L1352" s="88"/>
      <c r="M1352" s="88"/>
    </row>
    <row r="1353" ht="51">
      <c r="A1353" s="108">
        <v>1301005206</v>
      </c>
      <c r="B1353" s="109" t="s">
        <v>16790</v>
      </c>
      <c r="C1353" s="110" t="s">
        <v>31</v>
      </c>
      <c r="D1353" s="111">
        <v>541.25</v>
      </c>
      <c r="E1353" s="111">
        <v>214.19</v>
      </c>
      <c r="F1353" s="112">
        <v>755.44000000000005</v>
      </c>
      <c r="H1353" s="110" t="s">
        <v>31</v>
      </c>
      <c r="I1353" s="111">
        <v>539.32000000000005</v>
      </c>
      <c r="J1353" s="111">
        <v>198.13</v>
      </c>
      <c r="K1353" s="112">
        <v>737.45000000000005</v>
      </c>
      <c r="L1353" s="88"/>
      <c r="M1353" s="88"/>
    </row>
    <row r="1354" ht="51">
      <c r="A1354" s="108">
        <v>1301005212</v>
      </c>
      <c r="B1354" s="109" t="s">
        <v>16791</v>
      </c>
      <c r="C1354" s="110" t="s">
        <v>31</v>
      </c>
      <c r="D1354" s="111">
        <v>870.71000000000004</v>
      </c>
      <c r="E1354" s="111">
        <v>286.48000000000002</v>
      </c>
      <c r="F1354" s="112">
        <v>1157.1900000000001</v>
      </c>
      <c r="H1354" s="110" t="s">
        <v>31</v>
      </c>
      <c r="I1354" s="111">
        <v>867.95000000000005</v>
      </c>
      <c r="J1354" s="111">
        <v>265</v>
      </c>
      <c r="K1354" s="112">
        <v>1132.95</v>
      </c>
      <c r="L1354" s="88"/>
      <c r="M1354" s="88"/>
    </row>
    <row r="1355" ht="51">
      <c r="A1355" s="108">
        <v>1301005214</v>
      </c>
      <c r="B1355" s="109" t="s">
        <v>16792</v>
      </c>
      <c r="C1355" s="110" t="s">
        <v>31</v>
      </c>
      <c r="D1355" s="111">
        <v>1272.04</v>
      </c>
      <c r="E1355" s="111">
        <v>355.44</v>
      </c>
      <c r="F1355" s="112">
        <v>1627.48</v>
      </c>
      <c r="H1355" s="110" t="s">
        <v>31</v>
      </c>
      <c r="I1355" s="111">
        <v>1268.3099999999999</v>
      </c>
      <c r="J1355" s="111">
        <v>328.79000000000002</v>
      </c>
      <c r="K1355" s="112">
        <v>1597.0999999999999</v>
      </c>
      <c r="L1355" s="88"/>
      <c r="M1355" s="88"/>
    </row>
    <row r="1356">
      <c r="A1356" s="108">
        <v>1301005220</v>
      </c>
      <c r="B1356" s="109" t="s">
        <v>16793</v>
      </c>
      <c r="C1356" s="110" t="s">
        <v>31</v>
      </c>
      <c r="D1356" s="111">
        <v>774.23000000000002</v>
      </c>
      <c r="E1356" s="111">
        <v>839.39999999999998</v>
      </c>
      <c r="F1356" s="112">
        <v>1613.6300000000001</v>
      </c>
      <c r="H1356" s="110" t="s">
        <v>31</v>
      </c>
      <c r="I1356" s="111">
        <v>774.23000000000002</v>
      </c>
      <c r="J1356" s="111">
        <v>777.48000000000002</v>
      </c>
      <c r="K1356" s="112">
        <v>1551.71</v>
      </c>
      <c r="L1356" s="88"/>
      <c r="M1356" s="88"/>
    </row>
    <row r="1357" ht="51">
      <c r="A1357" s="69">
        <v>1301005221</v>
      </c>
      <c r="B1357" s="89" t="s">
        <v>16794</v>
      </c>
      <c r="C1357" s="88" t="s">
        <v>31</v>
      </c>
      <c r="D1357" s="113"/>
      <c r="E1357" s="113"/>
      <c r="F1357" s="114">
        <v>618.20000000000005</v>
      </c>
      <c r="H1357" s="88" t="s">
        <v>31</v>
      </c>
      <c r="I1357" s="113"/>
      <c r="J1357" s="113"/>
      <c r="K1357" s="114">
        <v>591.38999999999999</v>
      </c>
      <c r="L1357" s="88"/>
      <c r="M1357" s="88"/>
    </row>
    <row r="1358" ht="25.5">
      <c r="A1358" s="108">
        <v>1301005227</v>
      </c>
      <c r="B1358" s="109" t="s">
        <v>16795</v>
      </c>
      <c r="C1358" s="110" t="s">
        <v>31</v>
      </c>
      <c r="D1358" s="111">
        <v>1183.3599999999999</v>
      </c>
      <c r="E1358" s="111">
        <v>1553.04</v>
      </c>
      <c r="F1358" s="112">
        <v>2736.4000000000001</v>
      </c>
      <c r="H1358" s="110" t="s">
        <v>31</v>
      </c>
      <c r="I1358" s="111">
        <v>1183.3599999999999</v>
      </c>
      <c r="J1358" s="111">
        <v>1439.8199999999999</v>
      </c>
      <c r="K1358" s="112">
        <v>2623.1799999999998</v>
      </c>
      <c r="L1358" s="88"/>
      <c r="M1358" s="88"/>
    </row>
    <row r="1359" ht="25.5">
      <c r="A1359" s="108">
        <v>1301005230</v>
      </c>
      <c r="B1359" s="109" t="s">
        <v>16796</v>
      </c>
      <c r="C1359" s="110" t="s">
        <v>31</v>
      </c>
      <c r="D1359" s="111">
        <v>1690.73</v>
      </c>
      <c r="E1359" s="111">
        <v>2414.1500000000001</v>
      </c>
      <c r="F1359" s="112">
        <v>4104.8800000000001</v>
      </c>
      <c r="H1359" s="110" t="s">
        <v>31</v>
      </c>
      <c r="I1359" s="111">
        <v>1690.73</v>
      </c>
      <c r="J1359" s="111">
        <v>2236.1999999999998</v>
      </c>
      <c r="K1359" s="112">
        <v>3926.9299999999998</v>
      </c>
      <c r="L1359" s="88"/>
      <c r="M1359" s="88"/>
    </row>
    <row r="1360">
      <c r="A1360" s="108">
        <v>1301005233</v>
      </c>
      <c r="B1360" s="109" t="s">
        <v>16797</v>
      </c>
      <c r="C1360" s="110" t="s">
        <v>31</v>
      </c>
      <c r="D1360" s="111">
        <v>4353.3599999999997</v>
      </c>
      <c r="E1360" s="111">
        <v>7352.5900000000001</v>
      </c>
      <c r="F1360" s="112">
        <v>11705.950000000001</v>
      </c>
      <c r="H1360" s="110" t="s">
        <v>31</v>
      </c>
      <c r="I1360" s="111">
        <v>4353.3599999999997</v>
      </c>
      <c r="J1360" s="111">
        <v>6816.7799999999997</v>
      </c>
      <c r="K1360" s="112">
        <v>11170.139999999999</v>
      </c>
      <c r="L1360" s="88"/>
      <c r="M1360" s="88"/>
    </row>
    <row r="1361">
      <c r="A1361" s="108">
        <v>1301005235</v>
      </c>
      <c r="B1361" s="109" t="s">
        <v>16798</v>
      </c>
      <c r="C1361" s="110" t="s">
        <v>31</v>
      </c>
      <c r="D1361" s="111">
        <v>7410.1700000000001</v>
      </c>
      <c r="E1361" s="111">
        <v>11738.33</v>
      </c>
      <c r="F1361" s="112">
        <v>19148.5</v>
      </c>
      <c r="H1361" s="110" t="s">
        <v>31</v>
      </c>
      <c r="I1361" s="111">
        <v>7410.1700000000001</v>
      </c>
      <c r="J1361" s="111">
        <v>10879.540000000001</v>
      </c>
      <c r="K1361" s="112">
        <v>18289.709999999999</v>
      </c>
      <c r="L1361" s="88"/>
      <c r="M1361" s="88"/>
    </row>
    <row r="1362">
      <c r="A1362" s="108">
        <v>1301005239</v>
      </c>
      <c r="B1362" s="109" t="s">
        <v>16799</v>
      </c>
      <c r="C1362" s="110" t="s">
        <v>31</v>
      </c>
      <c r="D1362" s="111">
        <v>9712.1499999999996</v>
      </c>
      <c r="E1362" s="111">
        <v>18309.400000000001</v>
      </c>
      <c r="F1362" s="112">
        <v>28021.549999999999</v>
      </c>
      <c r="H1362" s="110" t="s">
        <v>31</v>
      </c>
      <c r="I1362" s="111">
        <v>9712.1499999999996</v>
      </c>
      <c r="J1362" s="111">
        <v>16971.639999999999</v>
      </c>
      <c r="K1362" s="112">
        <v>26683.790000000001</v>
      </c>
      <c r="L1362" s="88"/>
      <c r="M1362" s="88"/>
    </row>
    <row r="1363" ht="25.5">
      <c r="A1363" s="108">
        <v>1301005250</v>
      </c>
      <c r="B1363" s="109" t="s">
        <v>16800</v>
      </c>
      <c r="C1363" s="110" t="s">
        <v>31</v>
      </c>
      <c r="D1363" s="111">
        <v>413.58999999999997</v>
      </c>
      <c r="E1363" s="111">
        <v>560.12</v>
      </c>
      <c r="F1363" s="112">
        <v>973.71000000000004</v>
      </c>
      <c r="H1363" s="110" t="s">
        <v>31</v>
      </c>
      <c r="I1363" s="111">
        <v>413.58999999999997</v>
      </c>
      <c r="J1363" s="111">
        <v>519.47000000000003</v>
      </c>
      <c r="K1363" s="112">
        <v>933.05999999999995</v>
      </c>
      <c r="L1363" s="88"/>
      <c r="M1363" s="88"/>
    </row>
    <row r="1364">
      <c r="A1364" s="108">
        <v>1301005260</v>
      </c>
      <c r="B1364" s="109" t="s">
        <v>16801</v>
      </c>
      <c r="C1364" s="110" t="s">
        <v>38</v>
      </c>
      <c r="D1364" s="111">
        <v>280.89999999999998</v>
      </c>
      <c r="E1364" s="111">
        <v>667.13</v>
      </c>
      <c r="F1364" s="112">
        <v>948.02999999999997</v>
      </c>
      <c r="H1364" s="110" t="s">
        <v>38</v>
      </c>
      <c r="I1364" s="111">
        <v>280.89999999999998</v>
      </c>
      <c r="J1364" s="111">
        <v>616.20000000000005</v>
      </c>
      <c r="K1364" s="112">
        <v>897.10000000000002</v>
      </c>
      <c r="L1364" s="88"/>
      <c r="M1364" s="88"/>
    </row>
    <row r="1365">
      <c r="A1365" s="108">
        <v>1301005262</v>
      </c>
      <c r="B1365" s="109" t="s">
        <v>16802</v>
      </c>
      <c r="C1365" s="110" t="s">
        <v>38</v>
      </c>
      <c r="D1365" s="111">
        <v>387.5</v>
      </c>
      <c r="E1365" s="111">
        <v>1050.4300000000001</v>
      </c>
      <c r="F1365" s="112">
        <v>1437.9300000000001</v>
      </c>
      <c r="H1365" s="110" t="s">
        <v>38</v>
      </c>
      <c r="I1365" s="111">
        <v>387.5</v>
      </c>
      <c r="J1365" s="111">
        <v>970.01999999999998</v>
      </c>
      <c r="K1365" s="112">
        <v>1357.52</v>
      </c>
      <c r="L1365" s="88"/>
      <c r="M1365" s="88"/>
    </row>
    <row r="1366">
      <c r="A1366" s="108">
        <v>1301005270</v>
      </c>
      <c r="B1366" s="109" t="s">
        <v>16803</v>
      </c>
      <c r="C1366" s="110" t="s">
        <v>31</v>
      </c>
      <c r="D1366" s="111">
        <v>6838.5699999999997</v>
      </c>
      <c r="E1366" s="111">
        <v>10017.709999999999</v>
      </c>
      <c r="F1366" s="112">
        <v>16856.279999999999</v>
      </c>
      <c r="H1366" s="110" t="s">
        <v>31</v>
      </c>
      <c r="I1366" s="111">
        <v>6838.5699999999997</v>
      </c>
      <c r="J1366" s="111">
        <v>9282.6299999999992</v>
      </c>
      <c r="K1366" s="112">
        <v>16121.200000000001</v>
      </c>
      <c r="L1366" s="88"/>
      <c r="M1366" s="88"/>
    </row>
    <row r="1367" ht="25.5">
      <c r="A1367" s="108">
        <v>1301005275</v>
      </c>
      <c r="B1367" s="109" t="s">
        <v>16804</v>
      </c>
      <c r="C1367" s="110" t="s">
        <v>38</v>
      </c>
      <c r="D1367" s="111">
        <v>85.189999999999998</v>
      </c>
      <c r="E1367" s="111">
        <v>63.119999999999997</v>
      </c>
      <c r="F1367" s="112">
        <v>148.31</v>
      </c>
      <c r="H1367" s="110" t="s">
        <v>38</v>
      </c>
      <c r="I1367" s="111">
        <v>85.189999999999998</v>
      </c>
      <c r="J1367" s="111">
        <v>58.340000000000003</v>
      </c>
      <c r="K1367" s="112">
        <v>143.53</v>
      </c>
      <c r="L1367" s="88"/>
      <c r="M1367" s="88"/>
    </row>
    <row r="1368" ht="51">
      <c r="A1368" s="108">
        <v>1301005406</v>
      </c>
      <c r="B1368" s="109" t="s">
        <v>16805</v>
      </c>
      <c r="C1368" s="110" t="s">
        <v>31</v>
      </c>
      <c r="D1368" s="111">
        <v>897.08000000000004</v>
      </c>
      <c r="E1368" s="111">
        <v>191.66999999999999</v>
      </c>
      <c r="F1368" s="112">
        <v>1088.75</v>
      </c>
      <c r="H1368" s="110" t="s">
        <v>31</v>
      </c>
      <c r="I1368" s="111">
        <v>896.87</v>
      </c>
      <c r="J1368" s="111">
        <v>177.31999999999999</v>
      </c>
      <c r="K1368" s="112">
        <v>1074.1900000000001</v>
      </c>
      <c r="L1368" s="88"/>
      <c r="M1368" s="88"/>
    </row>
    <row r="1369" ht="51">
      <c r="A1369" s="108">
        <v>1301005409</v>
      </c>
      <c r="B1369" s="109" t="s">
        <v>16806</v>
      </c>
      <c r="C1369" s="110" t="s">
        <v>31</v>
      </c>
      <c r="D1369" s="111">
        <v>1052.4400000000001</v>
      </c>
      <c r="E1369" s="111">
        <v>235.16</v>
      </c>
      <c r="F1369" s="112">
        <v>1287.5999999999999</v>
      </c>
      <c r="H1369" s="110" t="s">
        <v>31</v>
      </c>
      <c r="I1369" s="111">
        <v>1052.23</v>
      </c>
      <c r="J1369" s="111">
        <v>217.55000000000001</v>
      </c>
      <c r="K1369" s="112">
        <v>1269.78</v>
      </c>
      <c r="L1369" s="88"/>
      <c r="M1369" s="88"/>
    </row>
    <row r="1370" ht="51">
      <c r="A1370" s="108">
        <v>1301005412</v>
      </c>
      <c r="B1370" s="109" t="s">
        <v>16807</v>
      </c>
      <c r="C1370" s="110" t="s">
        <v>31</v>
      </c>
      <c r="D1370" s="111">
        <v>1754.46</v>
      </c>
      <c r="E1370" s="111">
        <v>683.88999999999999</v>
      </c>
      <c r="F1370" s="112">
        <v>2438.3499999999999</v>
      </c>
      <c r="H1370" s="110" t="s">
        <v>31</v>
      </c>
      <c r="I1370" s="111">
        <v>1753.2</v>
      </c>
      <c r="J1370" s="111">
        <v>632.54999999999995</v>
      </c>
      <c r="K1370" s="112">
        <v>2385.75</v>
      </c>
      <c r="L1370" s="88"/>
      <c r="M1370" s="88"/>
    </row>
    <row r="1371" ht="51">
      <c r="A1371" s="108">
        <v>1301005415</v>
      </c>
      <c r="B1371" s="109" t="s">
        <v>16808</v>
      </c>
      <c r="C1371" s="110" t="s">
        <v>31</v>
      </c>
      <c r="D1371" s="111">
        <v>1971.0599999999999</v>
      </c>
      <c r="E1371" s="111">
        <v>784.00999999999999</v>
      </c>
      <c r="F1371" s="112">
        <v>2755.0700000000002</v>
      </c>
      <c r="H1371" s="110" t="s">
        <v>31</v>
      </c>
      <c r="I1371" s="111">
        <v>1969.5799999999999</v>
      </c>
      <c r="J1371" s="111">
        <v>725.13999999999999</v>
      </c>
      <c r="K1371" s="112">
        <v>2694.7199999999998</v>
      </c>
      <c r="L1371" s="88"/>
      <c r="M1371" s="88"/>
    </row>
    <row r="1372" ht="51">
      <c r="A1372" s="108">
        <v>1301005418</v>
      </c>
      <c r="B1372" s="109" t="s">
        <v>16809</v>
      </c>
      <c r="C1372" s="110" t="s">
        <v>31</v>
      </c>
      <c r="D1372" s="111">
        <v>2187.6599999999999</v>
      </c>
      <c r="E1372" s="111">
        <v>884.13999999999999</v>
      </c>
      <c r="F1372" s="112">
        <v>3071.8000000000002</v>
      </c>
      <c r="H1372" s="110" t="s">
        <v>31</v>
      </c>
      <c r="I1372" s="111">
        <v>2185.9699999999998</v>
      </c>
      <c r="J1372" s="111">
        <v>817.73000000000002</v>
      </c>
      <c r="K1372" s="112">
        <v>3003.6999999999998</v>
      </c>
      <c r="L1372" s="88"/>
      <c r="M1372" s="88"/>
    </row>
    <row r="1373" ht="51">
      <c r="A1373" s="108">
        <v>1301005421</v>
      </c>
      <c r="B1373" s="109" t="s">
        <v>16810</v>
      </c>
      <c r="C1373" s="110" t="s">
        <v>31</v>
      </c>
      <c r="D1373" s="111">
        <v>2596.0999999999999</v>
      </c>
      <c r="E1373" s="111">
        <v>711.53999999999996</v>
      </c>
      <c r="F1373" s="112">
        <v>3307.6399999999999</v>
      </c>
      <c r="H1373" s="110" t="s">
        <v>31</v>
      </c>
      <c r="I1373" s="111">
        <v>2593.9899999999998</v>
      </c>
      <c r="J1373" s="111">
        <v>658.09000000000003</v>
      </c>
      <c r="K1373" s="112">
        <v>3252.0799999999999</v>
      </c>
      <c r="L1373" s="88"/>
      <c r="M1373" s="88"/>
    </row>
    <row r="1374" ht="51">
      <c r="A1374" s="108">
        <v>1301005424</v>
      </c>
      <c r="B1374" s="109" t="s">
        <v>16811</v>
      </c>
      <c r="C1374" s="110" t="s">
        <v>31</v>
      </c>
      <c r="D1374" s="111">
        <v>2882.73</v>
      </c>
      <c r="E1374" s="111">
        <v>781.09000000000003</v>
      </c>
      <c r="F1374" s="112">
        <v>3663.8200000000002</v>
      </c>
      <c r="H1374" s="110" t="s">
        <v>31</v>
      </c>
      <c r="I1374" s="111">
        <v>2880.3099999999999</v>
      </c>
      <c r="J1374" s="111">
        <v>722.39999999999998</v>
      </c>
      <c r="K1374" s="112">
        <v>3602.71</v>
      </c>
      <c r="L1374" s="88"/>
      <c r="M1374" s="88"/>
    </row>
    <row r="1375" ht="51">
      <c r="A1375" s="108">
        <v>1301005427</v>
      </c>
      <c r="B1375" s="109" t="s">
        <v>16812</v>
      </c>
      <c r="C1375" s="110" t="s">
        <v>31</v>
      </c>
      <c r="D1375" s="111">
        <v>3183.0799999999999</v>
      </c>
      <c r="E1375" s="111">
        <v>850.63</v>
      </c>
      <c r="F1375" s="112">
        <v>4033.71</v>
      </c>
      <c r="H1375" s="110" t="s">
        <v>31</v>
      </c>
      <c r="I1375" s="111">
        <v>3180.23</v>
      </c>
      <c r="J1375" s="111">
        <v>786.71000000000004</v>
      </c>
      <c r="K1375" s="112">
        <v>3966.9400000000001</v>
      </c>
      <c r="L1375" s="88"/>
      <c r="M1375" s="88"/>
    </row>
    <row r="1376">
      <c r="D1376" s="113"/>
      <c r="E1376" s="113"/>
      <c r="F1376" s="114"/>
      <c r="H1376" s="88"/>
      <c r="I1376" s="113"/>
      <c r="J1376" s="113"/>
      <c r="K1376" s="114"/>
      <c r="L1376" s="88"/>
      <c r="M1376" s="88"/>
    </row>
    <row r="1377">
      <c r="B1377" s="89" t="s">
        <v>16813</v>
      </c>
      <c r="D1377" s="113"/>
      <c r="E1377" s="113"/>
      <c r="F1377" s="114"/>
      <c r="H1377" s="88"/>
      <c r="I1377" s="113"/>
      <c r="J1377" s="113"/>
      <c r="K1377" s="114"/>
      <c r="L1377" s="88"/>
      <c r="M1377" s="88"/>
    </row>
    <row r="1378" ht="38.25">
      <c r="A1378" s="69">
        <v>1301006000</v>
      </c>
      <c r="B1378" s="89" t="s">
        <v>16814</v>
      </c>
      <c r="C1378" s="88" t="s">
        <v>38</v>
      </c>
      <c r="D1378" s="113"/>
      <c r="E1378" s="113"/>
      <c r="F1378" s="114">
        <v>28.640000000000001</v>
      </c>
      <c r="H1378" s="88" t="s">
        <v>38</v>
      </c>
      <c r="I1378" s="113"/>
      <c r="J1378" s="113"/>
      <c r="K1378" s="114">
        <v>28.48</v>
      </c>
      <c r="L1378" s="88"/>
      <c r="M1378" s="88"/>
    </row>
    <row r="1379" ht="38.25">
      <c r="A1379" s="69">
        <v>1301006002</v>
      </c>
      <c r="B1379" s="89" t="s">
        <v>16815</v>
      </c>
      <c r="C1379" s="88" t="s">
        <v>38</v>
      </c>
      <c r="D1379" s="113"/>
      <c r="E1379" s="113"/>
      <c r="F1379" s="114">
        <v>35.420000000000002</v>
      </c>
      <c r="H1379" s="88" t="s">
        <v>38</v>
      </c>
      <c r="I1379" s="113"/>
      <c r="J1379" s="113"/>
      <c r="K1379" s="114">
        <v>35.159999999999997</v>
      </c>
      <c r="L1379" s="88"/>
      <c r="M1379" s="88"/>
    </row>
    <row r="1380" ht="25.5">
      <c r="A1380" s="108">
        <v>1301006014</v>
      </c>
      <c r="B1380" s="109" t="s">
        <v>16816</v>
      </c>
      <c r="C1380" s="110" t="s">
        <v>31</v>
      </c>
      <c r="D1380" s="111">
        <v>27.16</v>
      </c>
      <c r="E1380" s="111">
        <v>16.449999999999999</v>
      </c>
      <c r="F1380" s="112">
        <v>43.609999999999999</v>
      </c>
      <c r="H1380" s="110" t="s">
        <v>31</v>
      </c>
      <c r="I1380" s="111">
        <v>27.16</v>
      </c>
      <c r="J1380" s="111">
        <v>15.18</v>
      </c>
      <c r="K1380" s="112">
        <v>42.340000000000003</v>
      </c>
      <c r="L1380" s="88"/>
      <c r="M1380" s="88"/>
    </row>
    <row r="1381">
      <c r="A1381" s="108">
        <v>1301006016</v>
      </c>
      <c r="B1381" s="109" t="s">
        <v>16817</v>
      </c>
      <c r="C1381" s="110" t="s">
        <v>31</v>
      </c>
      <c r="D1381" s="111">
        <v>26.420000000000002</v>
      </c>
      <c r="E1381" s="111">
        <v>20.559999999999999</v>
      </c>
      <c r="F1381" s="112">
        <v>46.979999999999997</v>
      </c>
      <c r="H1381" s="110" t="s">
        <v>31</v>
      </c>
      <c r="I1381" s="111">
        <v>26.420000000000002</v>
      </c>
      <c r="J1381" s="111">
        <v>18.98</v>
      </c>
      <c r="K1381" s="112">
        <v>45.399999999999999</v>
      </c>
      <c r="L1381" s="88"/>
      <c r="M1381" s="88"/>
    </row>
    <row r="1382">
      <c r="A1382" s="108">
        <v>1301006018</v>
      </c>
      <c r="B1382" s="109" t="s">
        <v>16818</v>
      </c>
      <c r="C1382" s="110" t="s">
        <v>31</v>
      </c>
      <c r="D1382" s="111">
        <v>23.07</v>
      </c>
      <c r="E1382" s="111">
        <v>16.91</v>
      </c>
      <c r="F1382" s="112">
        <v>39.979999999999997</v>
      </c>
      <c r="H1382" s="110" t="s">
        <v>31</v>
      </c>
      <c r="I1382" s="111">
        <v>23.07</v>
      </c>
      <c r="J1382" s="111">
        <v>15.6</v>
      </c>
      <c r="K1382" s="112">
        <v>38.670000000000002</v>
      </c>
      <c r="L1382" s="88"/>
      <c r="M1382" s="88"/>
    </row>
    <row r="1383">
      <c r="A1383" s="108">
        <v>1301006020</v>
      </c>
      <c r="B1383" s="109" t="s">
        <v>16819</v>
      </c>
      <c r="C1383" s="110" t="s">
        <v>31</v>
      </c>
      <c r="D1383" s="111">
        <v>28.93</v>
      </c>
      <c r="E1383" s="111">
        <v>21.02</v>
      </c>
      <c r="F1383" s="112">
        <v>49.950000000000003</v>
      </c>
      <c r="H1383" s="110" t="s">
        <v>31</v>
      </c>
      <c r="I1383" s="111">
        <v>28.93</v>
      </c>
      <c r="J1383" s="111">
        <v>19.399999999999999</v>
      </c>
      <c r="K1383" s="112">
        <v>48.329999999999998</v>
      </c>
      <c r="L1383" s="88"/>
      <c r="M1383" s="88"/>
    </row>
    <row r="1384" ht="38.25">
      <c r="A1384" s="69">
        <v>1301006025</v>
      </c>
      <c r="B1384" s="89" t="s">
        <v>16820</v>
      </c>
      <c r="C1384" s="88" t="s">
        <v>38</v>
      </c>
      <c r="D1384" s="113"/>
      <c r="E1384" s="113"/>
      <c r="F1384" s="114">
        <v>39.829999999999998</v>
      </c>
      <c r="H1384" s="88" t="s">
        <v>38</v>
      </c>
      <c r="I1384" s="113"/>
      <c r="J1384" s="113"/>
      <c r="K1384" s="114">
        <v>38.799999999999997</v>
      </c>
      <c r="L1384" s="88"/>
      <c r="M1384" s="88"/>
    </row>
    <row r="1385" ht="38.25">
      <c r="A1385" s="69">
        <v>1301006027</v>
      </c>
      <c r="B1385" s="89" t="s">
        <v>16821</v>
      </c>
      <c r="C1385" s="88" t="s">
        <v>38</v>
      </c>
      <c r="D1385" s="113"/>
      <c r="E1385" s="113"/>
      <c r="F1385" s="114">
        <v>50.289999999999999</v>
      </c>
      <c r="H1385" s="88" t="s">
        <v>38</v>
      </c>
      <c r="I1385" s="113"/>
      <c r="J1385" s="113"/>
      <c r="K1385" s="114">
        <v>48.869999999999997</v>
      </c>
      <c r="L1385" s="88"/>
      <c r="M1385" s="88"/>
    </row>
    <row r="1386" ht="51">
      <c r="A1386" s="69">
        <v>1301006030</v>
      </c>
      <c r="B1386" s="89" t="s">
        <v>16822</v>
      </c>
      <c r="C1386" s="88" t="s">
        <v>31</v>
      </c>
      <c r="D1386" s="113"/>
      <c r="E1386" s="113"/>
      <c r="F1386" s="114">
        <v>35.090000000000003</v>
      </c>
      <c r="H1386" s="88" t="s">
        <v>31</v>
      </c>
      <c r="I1386" s="113"/>
      <c r="J1386" s="113"/>
      <c r="K1386" s="114">
        <v>34.479999999999997</v>
      </c>
      <c r="L1386" s="88"/>
      <c r="M1386" s="88"/>
    </row>
    <row r="1387" ht="38.25">
      <c r="A1387" s="69">
        <v>1301006032</v>
      </c>
      <c r="B1387" s="89" t="s">
        <v>16823</v>
      </c>
      <c r="C1387" s="88" t="s">
        <v>31</v>
      </c>
      <c r="D1387" s="113"/>
      <c r="E1387" s="113"/>
      <c r="F1387" s="114">
        <v>39.5</v>
      </c>
      <c r="H1387" s="88" t="s">
        <v>31</v>
      </c>
      <c r="I1387" s="113"/>
      <c r="J1387" s="113"/>
      <c r="K1387" s="114">
        <v>39.039999999999999</v>
      </c>
      <c r="L1387" s="88"/>
      <c r="M1387" s="88"/>
    </row>
    <row r="1388" ht="38.25">
      <c r="A1388" s="69">
        <v>1301006034</v>
      </c>
      <c r="B1388" s="89" t="s">
        <v>16824</v>
      </c>
      <c r="C1388" s="88" t="s">
        <v>31</v>
      </c>
      <c r="D1388" s="113"/>
      <c r="E1388" s="113"/>
      <c r="F1388" s="114">
        <v>30.940000000000001</v>
      </c>
      <c r="H1388" s="88" t="s">
        <v>31</v>
      </c>
      <c r="I1388" s="113"/>
      <c r="J1388" s="113"/>
      <c r="K1388" s="114">
        <v>30.609999999999999</v>
      </c>
      <c r="L1388" s="88"/>
      <c r="M1388" s="88"/>
    </row>
    <row r="1389" ht="38.25">
      <c r="A1389" s="69">
        <v>1301006036</v>
      </c>
      <c r="B1389" s="89" t="s">
        <v>16825</v>
      </c>
      <c r="C1389" s="88" t="s">
        <v>31</v>
      </c>
      <c r="D1389" s="113"/>
      <c r="E1389" s="113"/>
      <c r="F1389" s="114">
        <v>38.369999999999997</v>
      </c>
      <c r="H1389" s="88" t="s">
        <v>31</v>
      </c>
      <c r="I1389" s="113"/>
      <c r="J1389" s="113"/>
      <c r="K1389" s="114">
        <v>37.909999999999997</v>
      </c>
      <c r="L1389" s="88"/>
      <c r="M1389" s="88"/>
    </row>
    <row r="1390" ht="38.25">
      <c r="A1390" s="69">
        <v>1301006038</v>
      </c>
      <c r="B1390" s="89" t="s">
        <v>16826</v>
      </c>
      <c r="C1390" s="88" t="s">
        <v>31</v>
      </c>
      <c r="D1390" s="113"/>
      <c r="E1390" s="113"/>
      <c r="F1390" s="114">
        <v>58.520000000000003</v>
      </c>
      <c r="H1390" s="88" t="s">
        <v>31</v>
      </c>
      <c r="I1390" s="113"/>
      <c r="J1390" s="113"/>
      <c r="K1390" s="114">
        <v>58.079999999999998</v>
      </c>
      <c r="L1390" s="88"/>
      <c r="M1390" s="88"/>
    </row>
    <row r="1391" ht="38.25">
      <c r="A1391" s="69">
        <v>1301006040</v>
      </c>
      <c r="B1391" s="89" t="s">
        <v>16827</v>
      </c>
      <c r="C1391" s="88" t="s">
        <v>31</v>
      </c>
      <c r="D1391" s="113"/>
      <c r="E1391" s="113"/>
      <c r="F1391" s="114">
        <v>84.049999999999997</v>
      </c>
      <c r="H1391" s="88" t="s">
        <v>31</v>
      </c>
      <c r="I1391" s="113"/>
      <c r="J1391" s="113"/>
      <c r="K1391" s="114">
        <v>83.439999999999998</v>
      </c>
      <c r="L1391" s="88"/>
      <c r="M1391" s="88"/>
    </row>
    <row r="1392" ht="25.5">
      <c r="A1392" s="108">
        <v>1301006050</v>
      </c>
      <c r="B1392" s="109" t="s">
        <v>16828</v>
      </c>
      <c r="C1392" s="110" t="s">
        <v>38</v>
      </c>
      <c r="D1392" s="111">
        <v>15.9</v>
      </c>
      <c r="E1392" s="111">
        <v>21.93</v>
      </c>
      <c r="F1392" s="112">
        <v>37.829999999999998</v>
      </c>
      <c r="H1392" s="110" t="s">
        <v>38</v>
      </c>
      <c r="I1392" s="111">
        <v>15.9</v>
      </c>
      <c r="J1392" s="111">
        <v>20.239999999999998</v>
      </c>
      <c r="K1392" s="112">
        <v>36.140000000000001</v>
      </c>
      <c r="L1392" s="88"/>
      <c r="M1392" s="88"/>
    </row>
    <row r="1393">
      <c r="A1393" s="108">
        <v>1301006052</v>
      </c>
      <c r="B1393" s="109" t="s">
        <v>16829</v>
      </c>
      <c r="C1393" s="110" t="s">
        <v>38</v>
      </c>
      <c r="D1393" s="111">
        <v>44.700000000000003</v>
      </c>
      <c r="E1393" s="111">
        <v>23.77</v>
      </c>
      <c r="F1393" s="112">
        <v>68.469999999999999</v>
      </c>
      <c r="H1393" s="110" t="s">
        <v>38</v>
      </c>
      <c r="I1393" s="111">
        <v>44.700000000000003</v>
      </c>
      <c r="J1393" s="111">
        <v>21.93</v>
      </c>
      <c r="K1393" s="112">
        <v>66.629999999999995</v>
      </c>
      <c r="L1393" s="88"/>
      <c r="M1393" s="88"/>
    </row>
    <row r="1394">
      <c r="A1394" s="108">
        <v>1301006054</v>
      </c>
      <c r="B1394" s="109" t="s">
        <v>16830</v>
      </c>
      <c r="C1394" s="110" t="s">
        <v>38</v>
      </c>
      <c r="D1394" s="111">
        <v>87.5</v>
      </c>
      <c r="E1394" s="111">
        <v>25.140000000000001</v>
      </c>
      <c r="F1394" s="112">
        <v>112.64</v>
      </c>
      <c r="H1394" s="110" t="s">
        <v>38</v>
      </c>
      <c r="I1394" s="111">
        <v>87.5</v>
      </c>
      <c r="J1394" s="111">
        <v>23.190000000000001</v>
      </c>
      <c r="K1394" s="112">
        <v>110.69</v>
      </c>
      <c r="L1394" s="88"/>
      <c r="M1394" s="88"/>
    </row>
    <row r="1395">
      <c r="A1395" s="108">
        <v>1301006056</v>
      </c>
      <c r="B1395" s="109" t="s">
        <v>16831</v>
      </c>
      <c r="C1395" s="110" t="s">
        <v>38</v>
      </c>
      <c r="D1395" s="111">
        <v>153.78999999999999</v>
      </c>
      <c r="E1395" s="111">
        <v>27.879999999999999</v>
      </c>
      <c r="F1395" s="112">
        <v>181.66999999999999</v>
      </c>
      <c r="H1395" s="110" t="s">
        <v>38</v>
      </c>
      <c r="I1395" s="111">
        <v>153.78999999999999</v>
      </c>
      <c r="J1395" s="111">
        <v>25.73</v>
      </c>
      <c r="K1395" s="112">
        <v>179.52000000000001</v>
      </c>
      <c r="L1395" s="88"/>
      <c r="M1395" s="88"/>
    </row>
    <row r="1396">
      <c r="A1396" s="108">
        <v>1301006058</v>
      </c>
      <c r="B1396" s="109" t="s">
        <v>16832</v>
      </c>
      <c r="C1396" s="110" t="s">
        <v>38</v>
      </c>
      <c r="D1396" s="111">
        <v>232.44</v>
      </c>
      <c r="E1396" s="111">
        <v>30.16</v>
      </c>
      <c r="F1396" s="112">
        <v>262.60000000000002</v>
      </c>
      <c r="H1396" s="110" t="s">
        <v>38</v>
      </c>
      <c r="I1396" s="111">
        <v>232.44</v>
      </c>
      <c r="J1396" s="111">
        <v>27.84</v>
      </c>
      <c r="K1396" s="112">
        <v>260.27999999999997</v>
      </c>
      <c r="L1396" s="88"/>
      <c r="M1396" s="88"/>
    </row>
    <row r="1397">
      <c r="A1397" s="108">
        <v>1301006060</v>
      </c>
      <c r="B1397" s="109" t="s">
        <v>16833</v>
      </c>
      <c r="C1397" s="110" t="s">
        <v>38</v>
      </c>
      <c r="D1397" s="111">
        <v>357.50999999999999</v>
      </c>
      <c r="E1397" s="111">
        <v>32.450000000000003</v>
      </c>
      <c r="F1397" s="112">
        <v>389.95999999999998</v>
      </c>
      <c r="H1397" s="110" t="s">
        <v>38</v>
      </c>
      <c r="I1397" s="111">
        <v>357.50999999999999</v>
      </c>
      <c r="J1397" s="111">
        <v>29.940000000000001</v>
      </c>
      <c r="K1397" s="112">
        <v>387.44999999999999</v>
      </c>
      <c r="L1397" s="88"/>
      <c r="M1397" s="88"/>
    </row>
    <row r="1398" ht="25.5">
      <c r="A1398" s="108">
        <v>1301006064</v>
      </c>
      <c r="B1398" s="109" t="s">
        <v>16834</v>
      </c>
      <c r="C1398" s="110" t="s">
        <v>38</v>
      </c>
      <c r="D1398" s="111">
        <v>0</v>
      </c>
      <c r="E1398" s="111">
        <v>5.6600000000000001</v>
      </c>
      <c r="F1398" s="112">
        <v>5.6600000000000001</v>
      </c>
      <c r="H1398" s="110" t="s">
        <v>38</v>
      </c>
      <c r="I1398" s="111">
        <v>0</v>
      </c>
      <c r="J1398" s="111">
        <v>5.25</v>
      </c>
      <c r="K1398" s="112">
        <v>5.25</v>
      </c>
      <c r="L1398" s="88"/>
      <c r="M1398" s="88"/>
    </row>
    <row r="1399">
      <c r="A1399" s="108">
        <v>1301006065</v>
      </c>
      <c r="B1399" s="109" t="s">
        <v>16835</v>
      </c>
      <c r="C1399" s="110" t="s">
        <v>38</v>
      </c>
      <c r="D1399" s="111">
        <v>0</v>
      </c>
      <c r="E1399" s="111">
        <v>18.039999999999999</v>
      </c>
      <c r="F1399" s="112">
        <v>18.039999999999999</v>
      </c>
      <c r="H1399" s="110" t="s">
        <v>38</v>
      </c>
      <c r="I1399" s="111">
        <v>0</v>
      </c>
      <c r="J1399" s="111">
        <v>16.75</v>
      </c>
      <c r="K1399" s="112">
        <v>16.75</v>
      </c>
      <c r="L1399" s="88"/>
      <c r="M1399" s="88"/>
    </row>
    <row r="1400" ht="25.5">
      <c r="A1400" s="108">
        <v>1301006067</v>
      </c>
      <c r="B1400" s="109" t="s">
        <v>16836</v>
      </c>
      <c r="C1400" s="110" t="s">
        <v>38</v>
      </c>
      <c r="D1400" s="111">
        <v>0</v>
      </c>
      <c r="E1400" s="111">
        <v>5.5300000000000002</v>
      </c>
      <c r="F1400" s="112">
        <v>5.5300000000000002</v>
      </c>
      <c r="H1400" s="110" t="s">
        <v>38</v>
      </c>
      <c r="I1400" s="111">
        <v>0</v>
      </c>
      <c r="J1400" s="111">
        <v>5.1399999999999997</v>
      </c>
      <c r="K1400" s="112">
        <v>5.1399999999999997</v>
      </c>
      <c r="L1400" s="88"/>
      <c r="M1400" s="88"/>
    </row>
    <row r="1401">
      <c r="A1401" s="108">
        <v>1301006068</v>
      </c>
      <c r="B1401" s="109" t="s">
        <v>16835</v>
      </c>
      <c r="C1401" s="110" t="s">
        <v>38</v>
      </c>
      <c r="D1401" s="111">
        <v>0</v>
      </c>
      <c r="E1401" s="111">
        <v>17.129999999999999</v>
      </c>
      <c r="F1401" s="112">
        <v>17.129999999999999</v>
      </c>
      <c r="H1401" s="110" t="s">
        <v>38</v>
      </c>
      <c r="I1401" s="111">
        <v>0</v>
      </c>
      <c r="J1401" s="111">
        <v>15.9</v>
      </c>
      <c r="K1401" s="112">
        <v>15.9</v>
      </c>
      <c r="L1401" s="88"/>
      <c r="M1401" s="88"/>
    </row>
    <row r="1402" ht="51">
      <c r="A1402" s="69">
        <v>1301006070</v>
      </c>
      <c r="B1402" s="89" t="s">
        <v>16837</v>
      </c>
      <c r="C1402" s="88" t="s">
        <v>31</v>
      </c>
      <c r="D1402" s="113"/>
      <c r="E1402" s="113"/>
      <c r="F1402" s="114">
        <v>174.40000000000001</v>
      </c>
      <c r="H1402" s="88" t="s">
        <v>31</v>
      </c>
      <c r="I1402" s="113"/>
      <c r="J1402" s="113"/>
      <c r="K1402" s="114">
        <v>166.80000000000001</v>
      </c>
      <c r="L1402" s="88"/>
      <c r="M1402" s="88"/>
    </row>
    <row r="1403" ht="51">
      <c r="A1403" s="69">
        <v>1301006074</v>
      </c>
      <c r="B1403" s="89" t="s">
        <v>16838</v>
      </c>
      <c r="C1403" s="88" t="s">
        <v>31</v>
      </c>
      <c r="D1403" s="113"/>
      <c r="E1403" s="113"/>
      <c r="F1403" s="114">
        <v>273.17000000000002</v>
      </c>
      <c r="H1403" s="88" t="s">
        <v>31</v>
      </c>
      <c r="I1403" s="113"/>
      <c r="J1403" s="113"/>
      <c r="K1403" s="114">
        <v>261.19999999999999</v>
      </c>
      <c r="L1403" s="88"/>
      <c r="M1403" s="88"/>
    </row>
    <row r="1404" ht="51">
      <c r="A1404" s="69">
        <v>1301006082</v>
      </c>
      <c r="B1404" s="89" t="s">
        <v>16839</v>
      </c>
      <c r="C1404" s="88" t="s">
        <v>31</v>
      </c>
      <c r="D1404" s="113"/>
      <c r="E1404" s="113"/>
      <c r="F1404" s="114">
        <v>528.70000000000005</v>
      </c>
      <c r="H1404" s="88" t="s">
        <v>31</v>
      </c>
      <c r="I1404" s="113"/>
      <c r="J1404" s="113"/>
      <c r="K1404" s="114">
        <v>505.98000000000002</v>
      </c>
      <c r="L1404" s="88"/>
      <c r="M1404" s="88"/>
    </row>
    <row r="1405" ht="51">
      <c r="A1405" s="69">
        <v>1301006086</v>
      </c>
      <c r="B1405" s="89" t="s">
        <v>16840</v>
      </c>
      <c r="C1405" s="88" t="s">
        <v>31</v>
      </c>
      <c r="D1405" s="113"/>
      <c r="E1405" s="113"/>
      <c r="F1405" s="114">
        <v>735.78999999999996</v>
      </c>
      <c r="H1405" s="88" t="s">
        <v>31</v>
      </c>
      <c r="I1405" s="113"/>
      <c r="J1405" s="113"/>
      <c r="K1405" s="114">
        <v>704.13</v>
      </c>
      <c r="L1405" s="88"/>
      <c r="M1405" s="88"/>
    </row>
    <row r="1406" ht="51">
      <c r="A1406" s="69">
        <v>1301006088</v>
      </c>
      <c r="B1406" s="89" t="s">
        <v>16841</v>
      </c>
      <c r="C1406" s="88" t="s">
        <v>31</v>
      </c>
      <c r="D1406" s="113"/>
      <c r="E1406" s="113"/>
      <c r="F1406" s="114">
        <v>867.5</v>
      </c>
      <c r="H1406" s="88" t="s">
        <v>31</v>
      </c>
      <c r="I1406" s="113"/>
      <c r="J1406" s="113"/>
      <c r="K1406" s="114">
        <v>833.20000000000005</v>
      </c>
      <c r="L1406" s="88"/>
      <c r="M1406" s="88"/>
    </row>
    <row r="1407" ht="25.5">
      <c r="A1407" s="108">
        <v>1301006092</v>
      </c>
      <c r="B1407" s="109" t="s">
        <v>16842</v>
      </c>
      <c r="C1407" s="110" t="s">
        <v>31</v>
      </c>
      <c r="D1407" s="111">
        <v>61.509999999999998</v>
      </c>
      <c r="E1407" s="111">
        <v>21.050000000000001</v>
      </c>
      <c r="F1407" s="112">
        <v>82.560000000000002</v>
      </c>
      <c r="H1407" s="110" t="s">
        <v>31</v>
      </c>
      <c r="I1407" s="111">
        <v>61.439999999999998</v>
      </c>
      <c r="J1407" s="111">
        <v>19.48</v>
      </c>
      <c r="K1407" s="112">
        <v>80.920000000000002</v>
      </c>
      <c r="L1407" s="88"/>
      <c r="M1407" s="88"/>
    </row>
    <row r="1408" ht="51">
      <c r="A1408" s="108">
        <v>1301006094</v>
      </c>
      <c r="B1408" s="109" t="s">
        <v>16843</v>
      </c>
      <c r="C1408" s="110" t="s">
        <v>38</v>
      </c>
      <c r="D1408" s="111">
        <v>277.86000000000001</v>
      </c>
      <c r="E1408" s="111">
        <v>119.47</v>
      </c>
      <c r="F1408" s="112">
        <v>397.32999999999998</v>
      </c>
      <c r="H1408" s="110" t="s">
        <v>38</v>
      </c>
      <c r="I1408" s="111">
        <v>276.27999999999997</v>
      </c>
      <c r="J1408" s="111">
        <v>110.55</v>
      </c>
      <c r="K1408" s="112">
        <v>386.82999999999998</v>
      </c>
      <c r="L1408" s="88"/>
      <c r="M1408" s="88"/>
    </row>
    <row r="1409" ht="38.25">
      <c r="A1409" s="108">
        <v>1301006095</v>
      </c>
      <c r="B1409" s="109" t="s">
        <v>16844</v>
      </c>
      <c r="C1409" s="110" t="s">
        <v>38</v>
      </c>
      <c r="D1409" s="111">
        <v>220.91999999999999</v>
      </c>
      <c r="E1409" s="111">
        <v>0</v>
      </c>
      <c r="F1409" s="112">
        <v>220.91999999999999</v>
      </c>
      <c r="H1409" s="110" t="s">
        <v>38</v>
      </c>
      <c r="I1409" s="111">
        <v>209.91</v>
      </c>
      <c r="J1409" s="111">
        <v>0</v>
      </c>
      <c r="K1409" s="112">
        <v>209.91</v>
      </c>
      <c r="L1409" s="88"/>
      <c r="M1409" s="88"/>
    </row>
    <row r="1410" ht="63.75">
      <c r="A1410" s="108">
        <v>1301006096</v>
      </c>
      <c r="B1410" s="109" t="s">
        <v>16845</v>
      </c>
      <c r="C1410" s="110" t="s">
        <v>38</v>
      </c>
      <c r="D1410" s="111">
        <v>529.28999999999996</v>
      </c>
      <c r="E1410" s="111">
        <v>171.50999999999999</v>
      </c>
      <c r="F1410" s="112">
        <v>700.79999999999995</v>
      </c>
      <c r="H1410" s="110" t="s">
        <v>38</v>
      </c>
      <c r="I1410" s="111">
        <v>526.87</v>
      </c>
      <c r="J1410" s="111">
        <v>158.71000000000001</v>
      </c>
      <c r="K1410" s="112">
        <v>685.58000000000004</v>
      </c>
      <c r="L1410" s="88"/>
      <c r="M1410" s="88"/>
    </row>
    <row r="1411" ht="25.5">
      <c r="A1411" s="108">
        <v>1301006097</v>
      </c>
      <c r="B1411" s="109" t="s">
        <v>16846</v>
      </c>
      <c r="C1411" s="110" t="s">
        <v>38</v>
      </c>
      <c r="D1411" s="111">
        <v>167.91</v>
      </c>
      <c r="E1411" s="111">
        <v>266.88</v>
      </c>
      <c r="F1411" s="112">
        <v>434.79000000000002</v>
      </c>
      <c r="H1411" s="110" t="s">
        <v>38</v>
      </c>
      <c r="I1411" s="111">
        <v>167.91</v>
      </c>
      <c r="J1411" s="111">
        <v>247.24000000000001</v>
      </c>
      <c r="K1411" s="112">
        <v>415.14999999999998</v>
      </c>
      <c r="L1411" s="88"/>
      <c r="M1411" s="88"/>
    </row>
    <row r="1412">
      <c r="D1412" s="113"/>
      <c r="E1412" s="113"/>
      <c r="F1412" s="114"/>
      <c r="H1412" s="88"/>
      <c r="I1412" s="113"/>
      <c r="J1412" s="113"/>
      <c r="K1412" s="114"/>
      <c r="L1412" s="88"/>
      <c r="M1412" s="88"/>
    </row>
    <row r="1413">
      <c r="B1413" s="102" t="s">
        <v>16847</v>
      </c>
      <c r="D1413" s="113"/>
      <c r="E1413" s="113"/>
      <c r="F1413" s="114"/>
      <c r="H1413" s="88"/>
      <c r="I1413" s="113"/>
      <c r="J1413" s="113"/>
      <c r="K1413" s="114"/>
      <c r="L1413" s="88"/>
      <c r="M1413" s="88"/>
    </row>
    <row r="1414">
      <c r="D1414" s="113"/>
      <c r="E1414" s="113"/>
      <c r="F1414" s="114"/>
      <c r="H1414" s="88"/>
      <c r="I1414" s="113"/>
      <c r="J1414" s="113"/>
      <c r="K1414" s="114"/>
      <c r="L1414" s="88"/>
      <c r="M1414" s="88"/>
    </row>
    <row r="1415">
      <c r="A1415" s="88" t="s">
        <v>15547</v>
      </c>
      <c r="B1415" s="89" t="s">
        <v>15548</v>
      </c>
      <c r="C1415" s="88" t="s">
        <v>15337</v>
      </c>
      <c r="D1415" s="113" t="s">
        <v>10460</v>
      </c>
      <c r="E1415" s="113" t="s">
        <v>15549</v>
      </c>
      <c r="F1415" s="114" t="s">
        <v>15550</v>
      </c>
      <c r="H1415" s="88" t="s">
        <v>15337</v>
      </c>
      <c r="I1415" s="113" t="s">
        <v>10460</v>
      </c>
      <c r="J1415" s="113" t="s">
        <v>15549</v>
      </c>
      <c r="K1415" s="114" t="s">
        <v>15550</v>
      </c>
      <c r="L1415" s="88"/>
      <c r="M1415" s="88"/>
    </row>
    <row r="1416">
      <c r="D1416" s="113"/>
      <c r="E1416" s="113"/>
      <c r="F1416" s="114"/>
      <c r="H1416" s="88"/>
      <c r="I1416" s="113"/>
      <c r="J1416" s="113"/>
      <c r="K1416" s="114"/>
      <c r="L1416" s="88"/>
      <c r="M1416" s="88"/>
    </row>
    <row r="1417" ht="38.25">
      <c r="A1417" s="69">
        <v>1401000050</v>
      </c>
      <c r="B1417" s="89" t="s">
        <v>16571</v>
      </c>
      <c r="C1417" s="88" t="s">
        <v>38</v>
      </c>
      <c r="D1417" s="113"/>
      <c r="E1417" s="113"/>
      <c r="F1417" s="114">
        <v>7.2300000000000004</v>
      </c>
      <c r="H1417" s="88" t="s">
        <v>38</v>
      </c>
      <c r="I1417" s="113"/>
      <c r="J1417" s="113"/>
      <c r="K1417" s="114">
        <v>6.6699999999999999</v>
      </c>
      <c r="L1417" s="88"/>
      <c r="M1417" s="88"/>
    </row>
    <row r="1418" ht="38.25">
      <c r="A1418" s="108">
        <v>1401000090</v>
      </c>
      <c r="B1418" s="109" t="s">
        <v>16848</v>
      </c>
      <c r="C1418" s="110" t="s">
        <v>38</v>
      </c>
      <c r="D1418" s="111">
        <v>135.69999999999999</v>
      </c>
      <c r="E1418" s="111">
        <v>82.290000000000006</v>
      </c>
      <c r="F1418" s="112">
        <v>217.99000000000001</v>
      </c>
      <c r="H1418" s="110" t="s">
        <v>38</v>
      </c>
      <c r="I1418" s="111">
        <v>135.69999999999999</v>
      </c>
      <c r="J1418" s="111">
        <v>75.939999999999998</v>
      </c>
      <c r="K1418" s="112">
        <v>211.63999999999999</v>
      </c>
      <c r="L1418" s="88"/>
      <c r="M1418" s="88"/>
    </row>
    <row r="1419" ht="38.25">
      <c r="A1419" s="108">
        <v>1401000092</v>
      </c>
      <c r="B1419" s="109" t="s">
        <v>16849</v>
      </c>
      <c r="C1419" s="110" t="s">
        <v>38</v>
      </c>
      <c r="D1419" s="111">
        <v>169.5</v>
      </c>
      <c r="E1419" s="111">
        <v>91.439999999999998</v>
      </c>
      <c r="F1419" s="112">
        <v>260.94</v>
      </c>
      <c r="H1419" s="110" t="s">
        <v>38</v>
      </c>
      <c r="I1419" s="111">
        <v>169.5</v>
      </c>
      <c r="J1419" s="111">
        <v>84.379999999999995</v>
      </c>
      <c r="K1419" s="112">
        <v>253.88</v>
      </c>
      <c r="L1419" s="88"/>
      <c r="M1419" s="88"/>
    </row>
    <row r="1420" ht="38.25">
      <c r="A1420" s="108">
        <v>1401000094</v>
      </c>
      <c r="B1420" s="109" t="s">
        <v>16850</v>
      </c>
      <c r="C1420" s="110" t="s">
        <v>38</v>
      </c>
      <c r="D1420" s="111">
        <v>233.38</v>
      </c>
      <c r="E1420" s="111">
        <v>100.56999999999999</v>
      </c>
      <c r="F1420" s="112">
        <v>333.94999999999999</v>
      </c>
      <c r="H1420" s="110" t="s">
        <v>38</v>
      </c>
      <c r="I1420" s="111">
        <v>233.38</v>
      </c>
      <c r="J1420" s="111">
        <v>92.810000000000002</v>
      </c>
      <c r="K1420" s="112">
        <v>326.19</v>
      </c>
      <c r="L1420" s="88"/>
      <c r="M1420" s="88"/>
    </row>
    <row r="1421" ht="51">
      <c r="A1421" s="69">
        <v>1401000102</v>
      </c>
      <c r="B1421" s="89" t="s">
        <v>16851</v>
      </c>
      <c r="C1421" s="88" t="s">
        <v>38</v>
      </c>
      <c r="D1421" s="113"/>
      <c r="E1421" s="113"/>
      <c r="F1421" s="114">
        <v>124.04000000000001</v>
      </c>
      <c r="H1421" s="88" t="s">
        <v>38</v>
      </c>
      <c r="I1421" s="113"/>
      <c r="J1421" s="113"/>
      <c r="K1421" s="114">
        <v>122.2</v>
      </c>
      <c r="L1421" s="88"/>
      <c r="M1421" s="88"/>
    </row>
    <row r="1422" ht="38.25">
      <c r="A1422" s="69">
        <v>1401000104</v>
      </c>
      <c r="B1422" s="89" t="s">
        <v>16852</v>
      </c>
      <c r="C1422" s="88" t="s">
        <v>38</v>
      </c>
      <c r="D1422" s="113"/>
      <c r="E1422" s="113"/>
      <c r="F1422" s="114">
        <v>160.62</v>
      </c>
      <c r="H1422" s="88" t="s">
        <v>38</v>
      </c>
      <c r="I1422" s="113"/>
      <c r="J1422" s="113"/>
      <c r="K1422" s="114">
        <v>158.63</v>
      </c>
      <c r="L1422" s="88"/>
      <c r="M1422" s="88"/>
    </row>
    <row r="1423" ht="25.5">
      <c r="A1423" s="108">
        <v>1401000106</v>
      </c>
      <c r="B1423" s="109" t="s">
        <v>16853</v>
      </c>
      <c r="C1423" s="110" t="s">
        <v>38</v>
      </c>
      <c r="D1423" s="111">
        <v>170.16999999999999</v>
      </c>
      <c r="E1423" s="111">
        <v>50.740000000000002</v>
      </c>
      <c r="F1423" s="112">
        <v>220.91</v>
      </c>
      <c r="H1423" s="110" t="s">
        <v>38</v>
      </c>
      <c r="I1423" s="111">
        <v>170.16999999999999</v>
      </c>
      <c r="J1423" s="111">
        <v>46.82</v>
      </c>
      <c r="K1423" s="112">
        <v>216.99000000000001</v>
      </c>
      <c r="L1423" s="88"/>
      <c r="M1423" s="88"/>
    </row>
    <row r="1424" ht="25.5">
      <c r="A1424" s="108">
        <v>1401000108</v>
      </c>
      <c r="B1424" s="109" t="s">
        <v>16854</v>
      </c>
      <c r="C1424" s="110" t="s">
        <v>38</v>
      </c>
      <c r="D1424" s="111">
        <v>0</v>
      </c>
      <c r="E1424" s="111">
        <v>5.6600000000000001</v>
      </c>
      <c r="F1424" s="112">
        <v>5.6600000000000001</v>
      </c>
      <c r="H1424" s="110" t="s">
        <v>38</v>
      </c>
      <c r="I1424" s="111">
        <v>0</v>
      </c>
      <c r="J1424" s="111">
        <v>5.25</v>
      </c>
      <c r="K1424" s="112">
        <v>5.25</v>
      </c>
      <c r="L1424" s="88"/>
      <c r="M1424" s="88"/>
    </row>
    <row r="1425">
      <c r="A1425" s="108">
        <v>1401000109</v>
      </c>
      <c r="B1425" s="109" t="s">
        <v>16178</v>
      </c>
      <c r="C1425" s="110" t="s">
        <v>38</v>
      </c>
      <c r="D1425" s="111">
        <v>0</v>
      </c>
      <c r="E1425" s="111">
        <v>5.5300000000000002</v>
      </c>
      <c r="F1425" s="112">
        <v>5.5300000000000002</v>
      </c>
      <c r="H1425" s="110" t="s">
        <v>38</v>
      </c>
      <c r="I1425" s="111">
        <v>0</v>
      </c>
      <c r="J1425" s="111">
        <v>5.1399999999999997</v>
      </c>
      <c r="K1425" s="112">
        <v>5.1399999999999997</v>
      </c>
      <c r="L1425" s="88"/>
      <c r="M1425" s="88"/>
    </row>
    <row r="1426" ht="25.5">
      <c r="A1426" s="69">
        <v>1401000110</v>
      </c>
      <c r="B1426" s="89" t="s">
        <v>16855</v>
      </c>
      <c r="C1426" s="88" t="s">
        <v>31</v>
      </c>
      <c r="D1426" s="113"/>
      <c r="E1426" s="113"/>
      <c r="F1426" s="114">
        <v>461.64999999999998</v>
      </c>
      <c r="H1426" s="88" t="s">
        <v>31</v>
      </c>
      <c r="I1426" s="113"/>
      <c r="J1426" s="113"/>
      <c r="K1426" s="114">
        <v>457.81</v>
      </c>
      <c r="L1426" s="88"/>
      <c r="M1426" s="88"/>
    </row>
    <row r="1427" ht="25.5">
      <c r="A1427" s="69">
        <v>1401000112</v>
      </c>
      <c r="B1427" s="89" t="s">
        <v>16856</v>
      </c>
      <c r="C1427" s="88" t="s">
        <v>31</v>
      </c>
      <c r="D1427" s="113"/>
      <c r="E1427" s="113"/>
      <c r="F1427" s="114">
        <v>586.90999999999997</v>
      </c>
      <c r="H1427" s="88" t="s">
        <v>31</v>
      </c>
      <c r="I1427" s="113"/>
      <c r="J1427" s="113"/>
      <c r="K1427" s="114">
        <v>582.09000000000003</v>
      </c>
      <c r="L1427" s="88"/>
      <c r="M1427" s="88"/>
    </row>
    <row r="1428" ht="38.25">
      <c r="A1428" s="108">
        <v>1401000115</v>
      </c>
      <c r="B1428" s="109" t="s">
        <v>16857</v>
      </c>
      <c r="C1428" s="110" t="s">
        <v>11798</v>
      </c>
      <c r="D1428" s="111">
        <v>710.49000000000001</v>
      </c>
      <c r="E1428" s="111">
        <v>3.75</v>
      </c>
      <c r="F1428" s="112">
        <v>714.24000000000001</v>
      </c>
      <c r="H1428" s="110" t="s">
        <v>11798</v>
      </c>
      <c r="I1428" s="111">
        <v>710.49000000000001</v>
      </c>
      <c r="J1428" s="111">
        <v>3.4500000000000002</v>
      </c>
      <c r="K1428" s="112">
        <v>713.94000000000005</v>
      </c>
      <c r="L1428" s="88"/>
      <c r="M1428" s="88"/>
    </row>
    <row r="1429">
      <c r="A1429" s="108">
        <v>1401000117</v>
      </c>
      <c r="B1429" s="109" t="s">
        <v>16858</v>
      </c>
      <c r="C1429" s="110" t="s">
        <v>11798</v>
      </c>
      <c r="D1429" s="111">
        <v>1116.8299999999999</v>
      </c>
      <c r="E1429" s="111">
        <v>3.75</v>
      </c>
      <c r="F1429" s="112">
        <v>1120.5799999999999</v>
      </c>
      <c r="H1429" s="110" t="s">
        <v>11798</v>
      </c>
      <c r="I1429" s="111">
        <v>1116.8299999999999</v>
      </c>
      <c r="J1429" s="111">
        <v>3.4500000000000002</v>
      </c>
      <c r="K1429" s="112">
        <v>1120.28</v>
      </c>
      <c r="L1429" s="88"/>
      <c r="M1429" s="88"/>
    </row>
    <row r="1430" ht="63.75">
      <c r="A1430" s="108">
        <v>1401000119</v>
      </c>
      <c r="B1430" s="109" t="s">
        <v>16859</v>
      </c>
      <c r="C1430" s="110" t="s">
        <v>31</v>
      </c>
      <c r="D1430" s="111">
        <v>2465.5799999999999</v>
      </c>
      <c r="E1430" s="111">
        <v>212.87</v>
      </c>
      <c r="F1430" s="112">
        <v>2678.4499999999998</v>
      </c>
      <c r="H1430" s="110" t="s">
        <v>31</v>
      </c>
      <c r="I1430" s="111">
        <v>2465.5799999999999</v>
      </c>
      <c r="J1430" s="111">
        <v>196.72999999999999</v>
      </c>
      <c r="K1430" s="112">
        <v>2662.3099999999999</v>
      </c>
      <c r="L1430" s="88"/>
      <c r="M1430" s="88"/>
    </row>
    <row r="1431" ht="38.25">
      <c r="A1431" s="108">
        <v>1401000120</v>
      </c>
      <c r="B1431" s="109" t="s">
        <v>16860</v>
      </c>
      <c r="C1431" s="110" t="s">
        <v>31</v>
      </c>
      <c r="D1431" s="111">
        <v>606.88</v>
      </c>
      <c r="E1431" s="111">
        <v>196.12</v>
      </c>
      <c r="F1431" s="112">
        <v>803</v>
      </c>
      <c r="H1431" s="110" t="s">
        <v>31</v>
      </c>
      <c r="I1431" s="111">
        <v>606.88</v>
      </c>
      <c r="J1431" s="111">
        <v>181.33000000000001</v>
      </c>
      <c r="K1431" s="112">
        <v>788.21000000000004</v>
      </c>
      <c r="L1431" s="88"/>
      <c r="M1431" s="88"/>
    </row>
    <row r="1432" ht="51">
      <c r="A1432" s="108">
        <v>1401000125</v>
      </c>
      <c r="B1432" s="109" t="s">
        <v>16861</v>
      </c>
      <c r="C1432" s="110" t="s">
        <v>11798</v>
      </c>
      <c r="D1432" s="111">
        <v>353.62</v>
      </c>
      <c r="E1432" s="111">
        <v>52.57</v>
      </c>
      <c r="F1432" s="112">
        <v>406.19</v>
      </c>
      <c r="H1432" s="110" t="s">
        <v>11798</v>
      </c>
      <c r="I1432" s="111">
        <v>353.62</v>
      </c>
      <c r="J1432" s="111">
        <v>48.509999999999998</v>
      </c>
      <c r="K1432" s="112">
        <v>402.13</v>
      </c>
      <c r="L1432" s="88"/>
      <c r="M1432" s="88"/>
    </row>
    <row r="1433" ht="38.25">
      <c r="A1433" s="108">
        <v>1401000127</v>
      </c>
      <c r="B1433" s="109" t="s">
        <v>16862</v>
      </c>
      <c r="C1433" s="110" t="s">
        <v>31</v>
      </c>
      <c r="D1433" s="111">
        <v>242.19999999999999</v>
      </c>
      <c r="E1433" s="111">
        <v>52.57</v>
      </c>
      <c r="F1433" s="112">
        <v>294.76999999999998</v>
      </c>
      <c r="H1433" s="110" t="s">
        <v>31</v>
      </c>
      <c r="I1433" s="111">
        <v>242.19999999999999</v>
      </c>
      <c r="J1433" s="111">
        <v>48.509999999999998</v>
      </c>
      <c r="K1433" s="112">
        <v>290.70999999999998</v>
      </c>
      <c r="L1433" s="88"/>
      <c r="M1433" s="88"/>
    </row>
    <row r="1434" ht="38.25">
      <c r="A1434" s="108">
        <v>1401000135</v>
      </c>
      <c r="B1434" s="109" t="s">
        <v>16863</v>
      </c>
      <c r="C1434" s="110" t="s">
        <v>31</v>
      </c>
      <c r="D1434" s="111">
        <v>331.13</v>
      </c>
      <c r="E1434" s="111">
        <v>52.57</v>
      </c>
      <c r="F1434" s="112">
        <v>383.69999999999999</v>
      </c>
      <c r="H1434" s="110" t="s">
        <v>31</v>
      </c>
      <c r="I1434" s="111">
        <v>331.13</v>
      </c>
      <c r="J1434" s="111">
        <v>48.509999999999998</v>
      </c>
      <c r="K1434" s="112">
        <v>379.63999999999999</v>
      </c>
      <c r="L1434" s="88"/>
      <c r="M1434" s="88"/>
    </row>
    <row r="1435">
      <c r="A1435" s="108">
        <v>1401000136</v>
      </c>
      <c r="B1435" s="109" t="s">
        <v>16644</v>
      </c>
      <c r="C1435" s="110" t="s">
        <v>31</v>
      </c>
      <c r="D1435" s="111">
        <v>452.06999999999999</v>
      </c>
      <c r="E1435" s="111">
        <v>52.57</v>
      </c>
      <c r="F1435" s="112">
        <v>504.63999999999999</v>
      </c>
      <c r="H1435" s="110" t="s">
        <v>31</v>
      </c>
      <c r="I1435" s="111">
        <v>452.06999999999999</v>
      </c>
      <c r="J1435" s="111">
        <v>48.509999999999998</v>
      </c>
      <c r="K1435" s="112">
        <v>500.57999999999998</v>
      </c>
      <c r="L1435" s="88"/>
      <c r="M1435" s="88"/>
    </row>
    <row r="1436">
      <c r="A1436" s="108">
        <v>1401000140</v>
      </c>
      <c r="B1436" s="109" t="s">
        <v>16864</v>
      </c>
      <c r="C1436" s="110" t="s">
        <v>31</v>
      </c>
      <c r="D1436" s="111">
        <v>157.90000000000001</v>
      </c>
      <c r="E1436" s="111">
        <v>91.439999999999998</v>
      </c>
      <c r="F1436" s="112">
        <v>249.34</v>
      </c>
      <c r="H1436" s="110" t="s">
        <v>31</v>
      </c>
      <c r="I1436" s="111">
        <v>157.90000000000001</v>
      </c>
      <c r="J1436" s="111">
        <v>84.379999999999995</v>
      </c>
      <c r="K1436" s="112">
        <v>242.28</v>
      </c>
      <c r="L1436" s="88"/>
      <c r="M1436" s="88"/>
    </row>
    <row r="1437" ht="38.25">
      <c r="A1437" s="69">
        <v>1401000142</v>
      </c>
      <c r="B1437" s="89" t="s">
        <v>16637</v>
      </c>
      <c r="C1437" s="88" t="s">
        <v>31</v>
      </c>
      <c r="D1437" s="113"/>
      <c r="E1437" s="113"/>
      <c r="F1437" s="114">
        <v>2538.1999999999998</v>
      </c>
      <c r="H1437" s="88" t="s">
        <v>31</v>
      </c>
      <c r="I1437" s="113"/>
      <c r="J1437" s="113"/>
      <c r="K1437" s="114">
        <v>2527.8899999999999</v>
      </c>
      <c r="L1437" s="88"/>
      <c r="M1437" s="88"/>
    </row>
    <row r="1438" ht="25.5">
      <c r="A1438" s="108">
        <v>1401000144</v>
      </c>
      <c r="B1438" s="109" t="s">
        <v>16865</v>
      </c>
      <c r="C1438" s="110" t="s">
        <v>31</v>
      </c>
      <c r="D1438" s="111">
        <v>4172.96</v>
      </c>
      <c r="E1438" s="111">
        <v>134.31999999999999</v>
      </c>
      <c r="F1438" s="112">
        <v>4307.2799999999997</v>
      </c>
      <c r="H1438" s="110" t="s">
        <v>31</v>
      </c>
      <c r="I1438" s="111">
        <v>4172.96</v>
      </c>
      <c r="J1438" s="111">
        <v>124.01000000000001</v>
      </c>
      <c r="K1438" s="112">
        <v>4296.9700000000003</v>
      </c>
      <c r="L1438" s="88"/>
      <c r="M1438" s="88"/>
    </row>
    <row r="1439" ht="25.5">
      <c r="A1439" s="108">
        <v>1401000146</v>
      </c>
      <c r="B1439" s="109" t="s">
        <v>16866</v>
      </c>
      <c r="C1439" s="110" t="s">
        <v>31</v>
      </c>
      <c r="D1439" s="111">
        <v>4796.04</v>
      </c>
      <c r="E1439" s="111">
        <v>180.56999999999999</v>
      </c>
      <c r="F1439" s="112">
        <v>4976.6099999999997</v>
      </c>
      <c r="H1439" s="110" t="s">
        <v>31</v>
      </c>
      <c r="I1439" s="111">
        <v>4796.04</v>
      </c>
      <c r="J1439" s="111">
        <v>166.69999999999999</v>
      </c>
      <c r="K1439" s="112">
        <v>4962.7399999999998</v>
      </c>
      <c r="L1439" s="88"/>
      <c r="M1439" s="88"/>
    </row>
    <row r="1440" ht="38.25">
      <c r="A1440" s="69">
        <v>1401000148</v>
      </c>
      <c r="B1440" s="89" t="s">
        <v>16638</v>
      </c>
      <c r="C1440" s="88" t="s">
        <v>31</v>
      </c>
      <c r="D1440" s="113"/>
      <c r="E1440" s="113"/>
      <c r="F1440" s="114">
        <v>8638.3799999999992</v>
      </c>
      <c r="H1440" s="88" t="s">
        <v>31</v>
      </c>
      <c r="I1440" s="113"/>
      <c r="J1440" s="113"/>
      <c r="K1440" s="114">
        <v>8624.5100000000002</v>
      </c>
      <c r="L1440" s="88"/>
      <c r="M1440" s="88"/>
    </row>
    <row r="1441" ht="38.25">
      <c r="A1441" s="69">
        <v>1401000150</v>
      </c>
      <c r="B1441" s="89" t="s">
        <v>16867</v>
      </c>
      <c r="C1441" s="88" t="s">
        <v>31</v>
      </c>
      <c r="D1441" s="113"/>
      <c r="E1441" s="113"/>
      <c r="F1441" s="114">
        <v>241.41</v>
      </c>
      <c r="H1441" s="88" t="s">
        <v>31</v>
      </c>
      <c r="I1441" s="113"/>
      <c r="J1441" s="113"/>
      <c r="K1441" s="114">
        <v>239.80000000000001</v>
      </c>
      <c r="L1441" s="88"/>
      <c r="M1441" s="88"/>
    </row>
    <row r="1442" ht="25.5">
      <c r="A1442" s="108">
        <v>1401000152</v>
      </c>
      <c r="B1442" s="109" t="s">
        <v>16868</v>
      </c>
      <c r="C1442" s="110" t="s">
        <v>31</v>
      </c>
      <c r="D1442" s="111">
        <v>321.75999999999999</v>
      </c>
      <c r="E1442" s="111">
        <v>20.899999999999999</v>
      </c>
      <c r="F1442" s="112">
        <v>342.66000000000003</v>
      </c>
      <c r="H1442" s="110" t="s">
        <v>31</v>
      </c>
      <c r="I1442" s="111">
        <v>321.75999999999999</v>
      </c>
      <c r="J1442" s="111">
        <v>19.289999999999999</v>
      </c>
      <c r="K1442" s="112">
        <v>341.05000000000001</v>
      </c>
      <c r="L1442" s="88"/>
      <c r="M1442" s="88"/>
    </row>
    <row r="1443" ht="38.25">
      <c r="A1443" s="69">
        <v>1401000154</v>
      </c>
      <c r="B1443" s="89" t="s">
        <v>16869</v>
      </c>
      <c r="C1443" s="88" t="s">
        <v>31</v>
      </c>
      <c r="D1443" s="113"/>
      <c r="E1443" s="113"/>
      <c r="F1443" s="114">
        <v>714.96000000000004</v>
      </c>
      <c r="H1443" s="88" t="s">
        <v>31</v>
      </c>
      <c r="I1443" s="113"/>
      <c r="J1443" s="113"/>
      <c r="K1443" s="114">
        <v>713.35000000000002</v>
      </c>
      <c r="L1443" s="88"/>
      <c r="M1443" s="88"/>
    </row>
    <row r="1444" ht="38.25">
      <c r="A1444" s="69">
        <v>1401000155</v>
      </c>
      <c r="B1444" s="89" t="s">
        <v>16870</v>
      </c>
      <c r="C1444" s="88" t="s">
        <v>31</v>
      </c>
      <c r="D1444" s="113"/>
      <c r="E1444" s="113"/>
      <c r="F1444" s="114">
        <v>772.65999999999997</v>
      </c>
      <c r="H1444" s="88" t="s">
        <v>31</v>
      </c>
      <c r="I1444" s="113"/>
      <c r="J1444" s="113"/>
      <c r="K1444" s="114">
        <v>771.04999999999995</v>
      </c>
      <c r="L1444" s="88"/>
      <c r="M1444" s="88"/>
    </row>
    <row r="1445" ht="38.25">
      <c r="A1445" s="69">
        <v>1401000156</v>
      </c>
      <c r="B1445" s="89" t="s">
        <v>16871</v>
      </c>
      <c r="C1445" s="88" t="s">
        <v>31</v>
      </c>
      <c r="D1445" s="113"/>
      <c r="E1445" s="113"/>
      <c r="F1445" s="114">
        <v>234.19</v>
      </c>
      <c r="H1445" s="88" t="s">
        <v>31</v>
      </c>
      <c r="I1445" s="113"/>
      <c r="J1445" s="113"/>
      <c r="K1445" s="114">
        <v>232.58000000000001</v>
      </c>
      <c r="L1445" s="88"/>
      <c r="M1445" s="88"/>
    </row>
    <row r="1446" ht="38.25">
      <c r="A1446" s="69">
        <v>1401000157</v>
      </c>
      <c r="B1446" s="89" t="s">
        <v>16872</v>
      </c>
      <c r="C1446" s="88" t="s">
        <v>31</v>
      </c>
      <c r="D1446" s="113"/>
      <c r="E1446" s="113"/>
      <c r="F1446" s="114">
        <v>272.66000000000003</v>
      </c>
      <c r="H1446" s="88" t="s">
        <v>31</v>
      </c>
      <c r="I1446" s="113"/>
      <c r="J1446" s="113"/>
      <c r="K1446" s="114">
        <v>271.05000000000001</v>
      </c>
      <c r="L1446" s="88"/>
      <c r="M1446" s="88"/>
    </row>
    <row r="1447" ht="38.25">
      <c r="A1447" s="69">
        <v>1401000158</v>
      </c>
      <c r="B1447" s="89" t="s">
        <v>16873</v>
      </c>
      <c r="C1447" s="88" t="s">
        <v>31</v>
      </c>
      <c r="D1447" s="113"/>
      <c r="E1447" s="113"/>
      <c r="F1447" s="114">
        <v>320.73000000000002</v>
      </c>
      <c r="H1447" s="88" t="s">
        <v>31</v>
      </c>
      <c r="I1447" s="113"/>
      <c r="J1447" s="113"/>
      <c r="K1447" s="114">
        <v>319.12</v>
      </c>
      <c r="L1447" s="88"/>
      <c r="M1447" s="88"/>
    </row>
    <row r="1448" ht="38.25">
      <c r="A1448" s="69">
        <v>1401000159</v>
      </c>
      <c r="B1448" s="89" t="s">
        <v>16874</v>
      </c>
      <c r="C1448" s="88" t="s">
        <v>31</v>
      </c>
      <c r="D1448" s="113"/>
      <c r="E1448" s="113"/>
      <c r="F1448" s="114">
        <v>368.81</v>
      </c>
      <c r="H1448" s="88" t="s">
        <v>31</v>
      </c>
      <c r="I1448" s="113"/>
      <c r="J1448" s="113"/>
      <c r="K1448" s="114">
        <v>367.19999999999999</v>
      </c>
      <c r="L1448" s="88"/>
      <c r="M1448" s="88"/>
    </row>
    <row r="1449" ht="51">
      <c r="A1449" s="108">
        <v>1401000160</v>
      </c>
      <c r="B1449" s="109" t="s">
        <v>16875</v>
      </c>
      <c r="C1449" s="110" t="s">
        <v>11798</v>
      </c>
      <c r="D1449" s="111">
        <v>204.30000000000001</v>
      </c>
      <c r="E1449" s="111">
        <v>6.29</v>
      </c>
      <c r="F1449" s="112">
        <v>210.59</v>
      </c>
      <c r="H1449" s="110" t="s">
        <v>11798</v>
      </c>
      <c r="I1449" s="111">
        <v>204.30000000000001</v>
      </c>
      <c r="J1449" s="111">
        <v>5.8200000000000003</v>
      </c>
      <c r="K1449" s="112">
        <v>210.12</v>
      </c>
      <c r="L1449" s="88"/>
      <c r="M1449" s="88"/>
    </row>
    <row r="1450" ht="51">
      <c r="A1450" s="108">
        <v>1401000162</v>
      </c>
      <c r="B1450" s="109" t="s">
        <v>16876</v>
      </c>
      <c r="C1450" s="110" t="s">
        <v>11798</v>
      </c>
      <c r="D1450" s="111">
        <v>204.30000000000001</v>
      </c>
      <c r="E1450" s="111">
        <v>6.29</v>
      </c>
      <c r="F1450" s="112">
        <v>210.59</v>
      </c>
      <c r="H1450" s="110" t="s">
        <v>11798</v>
      </c>
      <c r="I1450" s="111">
        <v>204.30000000000001</v>
      </c>
      <c r="J1450" s="111">
        <v>5.8200000000000003</v>
      </c>
      <c r="K1450" s="112">
        <v>210.12</v>
      </c>
      <c r="L1450" s="88"/>
      <c r="M1450" s="88"/>
    </row>
    <row r="1451" ht="51">
      <c r="A1451" s="108">
        <v>1401000164</v>
      </c>
      <c r="B1451" s="109" t="s">
        <v>13860</v>
      </c>
      <c r="C1451" s="110" t="s">
        <v>31</v>
      </c>
      <c r="D1451" s="111">
        <v>42.009999999999998</v>
      </c>
      <c r="E1451" s="111">
        <v>3.6000000000000001</v>
      </c>
      <c r="F1451" s="112">
        <v>45.609999999999999</v>
      </c>
      <c r="H1451" s="110" t="s">
        <v>31</v>
      </c>
      <c r="I1451" s="111">
        <v>42.009999999999998</v>
      </c>
      <c r="J1451" s="111">
        <v>3.3399999999999999</v>
      </c>
      <c r="K1451" s="112">
        <v>45.350000000000001</v>
      </c>
      <c r="L1451" s="88"/>
      <c r="M1451" s="88"/>
    </row>
    <row r="1452" ht="51">
      <c r="A1452" s="108">
        <v>1401000167</v>
      </c>
      <c r="B1452" s="109" t="s">
        <v>16877</v>
      </c>
      <c r="C1452" s="110" t="s">
        <v>31</v>
      </c>
      <c r="D1452" s="111">
        <v>15</v>
      </c>
      <c r="E1452" s="111">
        <v>3.6000000000000001</v>
      </c>
      <c r="F1452" s="112">
        <v>18.600000000000001</v>
      </c>
      <c r="H1452" s="110" t="s">
        <v>31</v>
      </c>
      <c r="I1452" s="111">
        <v>15</v>
      </c>
      <c r="J1452" s="111">
        <v>3.3399999999999999</v>
      </c>
      <c r="K1452" s="112">
        <v>18.34</v>
      </c>
      <c r="L1452" s="88"/>
      <c r="M1452" s="88"/>
    </row>
    <row r="1453" ht="51">
      <c r="A1453" s="108">
        <v>1401000170</v>
      </c>
      <c r="B1453" s="109" t="s">
        <v>16878</v>
      </c>
      <c r="C1453" s="110" t="s">
        <v>31</v>
      </c>
      <c r="D1453" s="111">
        <v>21.34</v>
      </c>
      <c r="E1453" s="111">
        <v>3.6000000000000001</v>
      </c>
      <c r="F1453" s="112">
        <v>24.940000000000001</v>
      </c>
      <c r="H1453" s="110" t="s">
        <v>31</v>
      </c>
      <c r="I1453" s="111">
        <v>21.34</v>
      </c>
      <c r="J1453" s="111">
        <v>3.3399999999999999</v>
      </c>
      <c r="K1453" s="112">
        <v>24.68</v>
      </c>
      <c r="L1453" s="88"/>
      <c r="M1453" s="88"/>
    </row>
    <row r="1454" ht="51">
      <c r="A1454" s="108">
        <v>1401000173</v>
      </c>
      <c r="B1454" s="109" t="s">
        <v>16879</v>
      </c>
      <c r="C1454" s="110" t="s">
        <v>31</v>
      </c>
      <c r="D1454" s="111">
        <v>24.68</v>
      </c>
      <c r="E1454" s="111">
        <v>3.6000000000000001</v>
      </c>
      <c r="F1454" s="112">
        <v>28.280000000000001</v>
      </c>
      <c r="H1454" s="110" t="s">
        <v>31</v>
      </c>
      <c r="I1454" s="111">
        <v>24.68</v>
      </c>
      <c r="J1454" s="111">
        <v>3.3399999999999999</v>
      </c>
      <c r="K1454" s="112">
        <v>28.02</v>
      </c>
      <c r="L1454" s="88"/>
      <c r="M1454" s="88"/>
    </row>
    <row r="1455" ht="51">
      <c r="A1455" s="108">
        <v>1401000176</v>
      </c>
      <c r="B1455" s="109" t="s">
        <v>16880</v>
      </c>
      <c r="C1455" s="110" t="s">
        <v>31</v>
      </c>
      <c r="D1455" s="111">
        <v>21.34</v>
      </c>
      <c r="E1455" s="111">
        <v>3.6000000000000001</v>
      </c>
      <c r="F1455" s="112">
        <v>24.940000000000001</v>
      </c>
      <c r="H1455" s="110" t="s">
        <v>31</v>
      </c>
      <c r="I1455" s="111">
        <v>21.34</v>
      </c>
      <c r="J1455" s="111">
        <v>3.3399999999999999</v>
      </c>
      <c r="K1455" s="112">
        <v>24.68</v>
      </c>
      <c r="L1455" s="88"/>
      <c r="M1455" s="88"/>
    </row>
    <row r="1456" ht="38.25">
      <c r="A1456" s="108">
        <v>1401000200</v>
      </c>
      <c r="B1456" s="109" t="s">
        <v>16881</v>
      </c>
      <c r="C1456" s="110" t="s">
        <v>31</v>
      </c>
      <c r="D1456" s="111">
        <v>1968.78</v>
      </c>
      <c r="E1456" s="111">
        <v>95.480000000000004</v>
      </c>
      <c r="F1456" s="112">
        <v>2064.2600000000002</v>
      </c>
      <c r="H1456" s="110" t="s">
        <v>31</v>
      </c>
      <c r="I1456" s="111">
        <v>1968.78</v>
      </c>
      <c r="J1456" s="111">
        <v>88.299999999999997</v>
      </c>
      <c r="K1456" s="112">
        <v>2057.0799999999999</v>
      </c>
      <c r="L1456" s="88"/>
      <c r="M1456" s="88"/>
    </row>
    <row r="1457" ht="38.25">
      <c r="A1457" s="108">
        <v>1401000210</v>
      </c>
      <c r="B1457" s="109" t="s">
        <v>16882</v>
      </c>
      <c r="C1457" s="110" t="s">
        <v>31</v>
      </c>
      <c r="D1457" s="111">
        <v>2338</v>
      </c>
      <c r="E1457" s="111">
        <v>47.740000000000002</v>
      </c>
      <c r="F1457" s="112">
        <v>2385.7399999999998</v>
      </c>
      <c r="H1457" s="110" t="s">
        <v>31</v>
      </c>
      <c r="I1457" s="111">
        <v>2338</v>
      </c>
      <c r="J1457" s="111">
        <v>44.149999999999999</v>
      </c>
      <c r="K1457" s="112">
        <v>2382.1500000000001</v>
      </c>
      <c r="L1457" s="88"/>
      <c r="M1457" s="88"/>
    </row>
    <row r="1458" ht="25.5">
      <c r="A1458" s="108">
        <v>1401000213</v>
      </c>
      <c r="B1458" s="109" t="s">
        <v>16883</v>
      </c>
      <c r="C1458" s="110" t="s">
        <v>31</v>
      </c>
      <c r="D1458" s="111">
        <v>150.65000000000001</v>
      </c>
      <c r="E1458" s="111">
        <v>47.740000000000002</v>
      </c>
      <c r="F1458" s="112">
        <v>198.38999999999999</v>
      </c>
      <c r="H1458" s="110" t="s">
        <v>31</v>
      </c>
      <c r="I1458" s="111">
        <v>150.65000000000001</v>
      </c>
      <c r="J1458" s="111">
        <v>44.149999999999999</v>
      </c>
      <c r="K1458" s="112">
        <v>194.80000000000001</v>
      </c>
      <c r="L1458" s="88"/>
      <c r="M1458" s="88"/>
    </row>
    <row r="1459" ht="25.5">
      <c r="A1459" s="108">
        <v>1401000216</v>
      </c>
      <c r="B1459" s="109" t="s">
        <v>16884</v>
      </c>
      <c r="C1459" s="110" t="s">
        <v>31</v>
      </c>
      <c r="D1459" s="111">
        <v>80.079999999999998</v>
      </c>
      <c r="E1459" s="111">
        <v>47.740000000000002</v>
      </c>
      <c r="F1459" s="112">
        <v>127.81999999999999</v>
      </c>
      <c r="H1459" s="110" t="s">
        <v>31</v>
      </c>
      <c r="I1459" s="111">
        <v>80.079999999999998</v>
      </c>
      <c r="J1459" s="111">
        <v>44.149999999999999</v>
      </c>
      <c r="K1459" s="112">
        <v>124.23</v>
      </c>
      <c r="L1459" s="88"/>
      <c r="M1459" s="88"/>
    </row>
    <row r="1460" ht="38.25">
      <c r="A1460" s="108">
        <v>1401000220</v>
      </c>
      <c r="B1460" s="109" t="s">
        <v>16885</v>
      </c>
      <c r="C1460" s="110" t="s">
        <v>31</v>
      </c>
      <c r="D1460" s="111">
        <v>93.439999999999998</v>
      </c>
      <c r="E1460" s="111">
        <v>47.740000000000002</v>
      </c>
      <c r="F1460" s="112">
        <v>141.18000000000001</v>
      </c>
      <c r="H1460" s="110" t="s">
        <v>31</v>
      </c>
      <c r="I1460" s="111">
        <v>93.439999999999998</v>
      </c>
      <c r="J1460" s="111">
        <v>44.149999999999999</v>
      </c>
      <c r="K1460" s="112">
        <v>137.59</v>
      </c>
      <c r="L1460" s="88"/>
      <c r="M1460" s="88"/>
    </row>
    <row r="1461" ht="38.25">
      <c r="A1461" s="108">
        <v>1401000223</v>
      </c>
      <c r="B1461" s="109" t="s">
        <v>16886</v>
      </c>
      <c r="C1461" s="110" t="s">
        <v>31</v>
      </c>
      <c r="D1461" s="111">
        <v>167.38</v>
      </c>
      <c r="E1461" s="111">
        <v>47.740000000000002</v>
      </c>
      <c r="F1461" s="112">
        <v>215.12</v>
      </c>
      <c r="H1461" s="110" t="s">
        <v>31</v>
      </c>
      <c r="I1461" s="111">
        <v>167.38</v>
      </c>
      <c r="J1461" s="111">
        <v>44.149999999999999</v>
      </c>
      <c r="K1461" s="112">
        <v>211.53</v>
      </c>
      <c r="L1461" s="88"/>
      <c r="M1461" s="88"/>
    </row>
    <row r="1462" ht="25.5">
      <c r="A1462" s="108">
        <v>1401000240</v>
      </c>
      <c r="B1462" s="109" t="s">
        <v>16887</v>
      </c>
      <c r="C1462" s="110" t="s">
        <v>31</v>
      </c>
      <c r="D1462" s="111">
        <v>183.75</v>
      </c>
      <c r="E1462" s="111">
        <v>13.83</v>
      </c>
      <c r="F1462" s="112">
        <v>197.58000000000001</v>
      </c>
      <c r="H1462" s="110" t="s">
        <v>31</v>
      </c>
      <c r="I1462" s="111">
        <v>183.75</v>
      </c>
      <c r="J1462" s="111">
        <v>12.800000000000001</v>
      </c>
      <c r="K1462" s="112">
        <v>196.55000000000001</v>
      </c>
      <c r="L1462" s="88"/>
      <c r="M1462" s="88"/>
    </row>
    <row r="1463" ht="38.25">
      <c r="A1463" s="108">
        <v>1401000243</v>
      </c>
      <c r="B1463" s="109" t="s">
        <v>16888</v>
      </c>
      <c r="C1463" s="110" t="s">
        <v>31</v>
      </c>
      <c r="D1463" s="111">
        <v>151</v>
      </c>
      <c r="E1463" s="111">
        <v>13.83</v>
      </c>
      <c r="F1463" s="112">
        <v>164.83000000000001</v>
      </c>
      <c r="H1463" s="110" t="s">
        <v>31</v>
      </c>
      <c r="I1463" s="111">
        <v>151</v>
      </c>
      <c r="J1463" s="111">
        <v>12.800000000000001</v>
      </c>
      <c r="K1463" s="112">
        <v>163.80000000000001</v>
      </c>
      <c r="L1463" s="88"/>
      <c r="M1463" s="88"/>
    </row>
    <row r="1464" ht="38.25">
      <c r="A1464" s="108">
        <v>1401000245</v>
      </c>
      <c r="B1464" s="109" t="s">
        <v>16889</v>
      </c>
      <c r="C1464" s="110" t="s">
        <v>31</v>
      </c>
      <c r="D1464" s="111">
        <v>191</v>
      </c>
      <c r="E1464" s="111">
        <v>13.83</v>
      </c>
      <c r="F1464" s="112">
        <v>204.83000000000001</v>
      </c>
      <c r="H1464" s="110" t="s">
        <v>31</v>
      </c>
      <c r="I1464" s="111">
        <v>191</v>
      </c>
      <c r="J1464" s="111">
        <v>12.800000000000001</v>
      </c>
      <c r="K1464" s="112">
        <v>203.80000000000001</v>
      </c>
      <c r="L1464" s="88"/>
      <c r="M1464" s="88"/>
    </row>
    <row r="1465" ht="38.25">
      <c r="A1465" s="108">
        <v>1401000246</v>
      </c>
      <c r="B1465" s="109" t="s">
        <v>16890</v>
      </c>
      <c r="C1465" s="110" t="s">
        <v>31</v>
      </c>
      <c r="D1465" s="111">
        <v>68.239999999999995</v>
      </c>
      <c r="E1465" s="111">
        <v>13.83</v>
      </c>
      <c r="F1465" s="112">
        <v>82.069999999999993</v>
      </c>
      <c r="H1465" s="110" t="s">
        <v>31</v>
      </c>
      <c r="I1465" s="111">
        <v>68.239999999999995</v>
      </c>
      <c r="J1465" s="111">
        <v>12.800000000000001</v>
      </c>
      <c r="K1465" s="112">
        <v>81.040000000000006</v>
      </c>
      <c r="L1465" s="88"/>
      <c r="M1465" s="88"/>
    </row>
    <row r="1466">
      <c r="D1466" s="113"/>
      <c r="E1466" s="113"/>
      <c r="F1466" s="114"/>
      <c r="H1466" s="88"/>
      <c r="I1466" s="113"/>
      <c r="J1466" s="113"/>
      <c r="K1466" s="114"/>
      <c r="L1466" s="88"/>
      <c r="M1466" s="88"/>
    </row>
    <row r="1467">
      <c r="B1467" s="102" t="s">
        <v>16891</v>
      </c>
      <c r="D1467" s="113"/>
      <c r="E1467" s="113"/>
      <c r="F1467" s="114"/>
      <c r="H1467" s="88"/>
      <c r="I1467" s="113"/>
      <c r="J1467" s="113"/>
      <c r="K1467" s="114"/>
      <c r="L1467" s="88"/>
      <c r="M1467" s="88"/>
    </row>
    <row r="1468">
      <c r="D1468" s="113"/>
      <c r="E1468" s="113"/>
      <c r="F1468" s="114"/>
      <c r="H1468" s="88"/>
      <c r="I1468" s="113"/>
      <c r="J1468" s="113"/>
      <c r="K1468" s="114"/>
      <c r="L1468" s="88"/>
      <c r="M1468" s="88"/>
    </row>
    <row r="1469">
      <c r="A1469" s="88" t="s">
        <v>15547</v>
      </c>
      <c r="B1469" s="89" t="s">
        <v>15548</v>
      </c>
      <c r="C1469" s="88" t="s">
        <v>15337</v>
      </c>
      <c r="D1469" s="113" t="s">
        <v>10460</v>
      </c>
      <c r="E1469" s="113" t="s">
        <v>15549</v>
      </c>
      <c r="F1469" s="114" t="s">
        <v>15550</v>
      </c>
      <c r="H1469" s="88" t="s">
        <v>15337</v>
      </c>
      <c r="I1469" s="113" t="s">
        <v>10460</v>
      </c>
      <c r="J1469" s="113" t="s">
        <v>15549</v>
      </c>
      <c r="K1469" s="114" t="s">
        <v>15550</v>
      </c>
      <c r="L1469" s="88"/>
      <c r="M1469" s="88"/>
    </row>
    <row r="1470">
      <c r="D1470" s="113"/>
      <c r="E1470" s="113"/>
      <c r="F1470" s="114"/>
      <c r="H1470" s="88"/>
      <c r="I1470" s="113"/>
      <c r="J1470" s="113"/>
      <c r="K1470" s="114"/>
      <c r="L1470" s="88"/>
      <c r="M1470" s="88"/>
    </row>
    <row r="1471" ht="51">
      <c r="A1471" s="69">
        <v>1501000080</v>
      </c>
      <c r="B1471" s="89" t="s">
        <v>16892</v>
      </c>
      <c r="C1471" s="88" t="s">
        <v>29</v>
      </c>
      <c r="D1471" s="113"/>
      <c r="E1471" s="113"/>
      <c r="F1471" s="114">
        <v>4.2400000000000002</v>
      </c>
      <c r="H1471" s="88" t="s">
        <v>29</v>
      </c>
      <c r="I1471" s="113"/>
      <c r="J1471" s="113"/>
      <c r="K1471" s="114">
        <v>4.04</v>
      </c>
      <c r="L1471" s="88"/>
      <c r="M1471" s="88"/>
    </row>
    <row r="1472" ht="51">
      <c r="A1472" s="69">
        <v>1501000085</v>
      </c>
      <c r="B1472" s="89" t="s">
        <v>16893</v>
      </c>
      <c r="C1472" s="88" t="s">
        <v>29</v>
      </c>
      <c r="D1472" s="113"/>
      <c r="E1472" s="113"/>
      <c r="F1472" s="114">
        <v>6.5099999999999998</v>
      </c>
      <c r="H1472" s="88" t="s">
        <v>29</v>
      </c>
      <c r="I1472" s="113"/>
      <c r="J1472" s="113"/>
      <c r="K1472" s="114">
        <v>6.1399999999999997</v>
      </c>
      <c r="L1472" s="88"/>
      <c r="M1472" s="88"/>
    </row>
    <row r="1473" ht="25.5">
      <c r="A1473" s="108">
        <v>1501000100</v>
      </c>
      <c r="B1473" s="109" t="s">
        <v>16894</v>
      </c>
      <c r="C1473" s="110" t="s">
        <v>29</v>
      </c>
      <c r="D1473" s="111">
        <v>2.6600000000000001</v>
      </c>
      <c r="E1473" s="111">
        <v>4.6399999999999997</v>
      </c>
      <c r="F1473" s="112">
        <v>7.2999999999999998</v>
      </c>
      <c r="H1473" s="110" t="s">
        <v>29</v>
      </c>
      <c r="I1473" s="111">
        <v>2.6200000000000001</v>
      </c>
      <c r="J1473" s="111">
        <v>4.29</v>
      </c>
      <c r="K1473" s="112">
        <v>6.9100000000000001</v>
      </c>
      <c r="L1473" s="88"/>
      <c r="M1473" s="88"/>
    </row>
    <row r="1474" ht="51">
      <c r="A1474" s="69">
        <v>1501000101</v>
      </c>
      <c r="B1474" s="89" t="s">
        <v>16895</v>
      </c>
      <c r="C1474" s="88" t="s">
        <v>29</v>
      </c>
      <c r="D1474" s="113"/>
      <c r="E1474" s="113"/>
      <c r="F1474" s="114">
        <v>35</v>
      </c>
      <c r="H1474" s="88" t="s">
        <v>29</v>
      </c>
      <c r="I1474" s="113"/>
      <c r="J1474" s="113"/>
      <c r="K1474" s="114">
        <v>33.420000000000002</v>
      </c>
      <c r="L1474" s="88"/>
      <c r="M1474" s="88"/>
    </row>
    <row r="1475" ht="51">
      <c r="A1475" s="69">
        <v>1501000102</v>
      </c>
      <c r="B1475" s="89" t="s">
        <v>16896</v>
      </c>
      <c r="C1475" s="88" t="s">
        <v>29</v>
      </c>
      <c r="D1475" s="113"/>
      <c r="E1475" s="113"/>
      <c r="F1475" s="114">
        <v>52.780000000000001</v>
      </c>
      <c r="H1475" s="88" t="s">
        <v>29</v>
      </c>
      <c r="I1475" s="113"/>
      <c r="J1475" s="113"/>
      <c r="K1475" s="114">
        <v>50.119999999999997</v>
      </c>
      <c r="L1475" s="88"/>
      <c r="M1475" s="88"/>
    </row>
    <row r="1476" ht="51">
      <c r="A1476" s="69">
        <v>1501000104</v>
      </c>
      <c r="B1476" s="89" t="s">
        <v>16897</v>
      </c>
      <c r="C1476" s="88" t="s">
        <v>29</v>
      </c>
      <c r="D1476" s="113"/>
      <c r="E1476" s="113"/>
      <c r="F1476" s="114">
        <v>33.840000000000003</v>
      </c>
      <c r="H1476" s="88" t="s">
        <v>29</v>
      </c>
      <c r="I1476" s="113"/>
      <c r="J1476" s="113"/>
      <c r="K1476" s="114">
        <v>32.340000000000003</v>
      </c>
      <c r="L1476" s="88"/>
      <c r="M1476" s="88"/>
    </row>
    <row r="1477" ht="63.75">
      <c r="A1477" s="69">
        <v>1501000105</v>
      </c>
      <c r="B1477" s="89" t="s">
        <v>16898</v>
      </c>
      <c r="C1477" s="88" t="s">
        <v>29</v>
      </c>
      <c r="D1477" s="113"/>
      <c r="E1477" s="113"/>
      <c r="F1477" s="114">
        <v>39.359999999999999</v>
      </c>
      <c r="H1477" s="88" t="s">
        <v>29</v>
      </c>
      <c r="I1477" s="113"/>
      <c r="J1477" s="113"/>
      <c r="K1477" s="114">
        <v>37.649999999999999</v>
      </c>
      <c r="L1477" s="88"/>
      <c r="M1477" s="88"/>
    </row>
    <row r="1478" ht="63.75">
      <c r="A1478" s="108">
        <v>1501000108</v>
      </c>
      <c r="B1478" s="109" t="s">
        <v>16899</v>
      </c>
      <c r="C1478" s="110" t="s">
        <v>29</v>
      </c>
      <c r="D1478" s="111">
        <v>115.92</v>
      </c>
      <c r="E1478" s="111">
        <v>25.73</v>
      </c>
      <c r="F1478" s="112">
        <v>141.65000000000001</v>
      </c>
      <c r="H1478" s="110" t="s">
        <v>29</v>
      </c>
      <c r="I1478" s="111">
        <v>115.92</v>
      </c>
      <c r="J1478" s="111">
        <v>23.780000000000001</v>
      </c>
      <c r="K1478" s="112">
        <v>139.69999999999999</v>
      </c>
      <c r="L1478" s="88"/>
      <c r="M1478" s="88"/>
    </row>
    <row r="1479" ht="51">
      <c r="A1479" s="69">
        <v>1501000109</v>
      </c>
      <c r="B1479" s="89" t="s">
        <v>16900</v>
      </c>
      <c r="C1479" s="88" t="s">
        <v>29</v>
      </c>
      <c r="D1479" s="113"/>
      <c r="E1479" s="113"/>
      <c r="F1479" s="114">
        <v>66.069999999999993</v>
      </c>
      <c r="H1479" s="88" t="s">
        <v>29</v>
      </c>
      <c r="I1479" s="113"/>
      <c r="J1479" s="113"/>
      <c r="K1479" s="114">
        <v>64.230000000000004</v>
      </c>
      <c r="L1479" s="88"/>
      <c r="M1479" s="88"/>
    </row>
    <row r="1480" ht="63.75">
      <c r="A1480" s="108">
        <v>1501000111</v>
      </c>
      <c r="B1480" s="109" t="s">
        <v>16901</v>
      </c>
      <c r="C1480" s="110" t="s">
        <v>29</v>
      </c>
      <c r="D1480" s="111">
        <v>78.730000000000004</v>
      </c>
      <c r="E1480" s="111">
        <v>25.73</v>
      </c>
      <c r="F1480" s="112">
        <v>104.45999999999999</v>
      </c>
      <c r="H1480" s="110" t="s">
        <v>29</v>
      </c>
      <c r="I1480" s="111">
        <v>78.730000000000004</v>
      </c>
      <c r="J1480" s="111">
        <v>23.780000000000001</v>
      </c>
      <c r="K1480" s="112">
        <v>102.51000000000001</v>
      </c>
      <c r="L1480" s="88"/>
      <c r="M1480" s="88"/>
    </row>
    <row r="1481" ht="63.75">
      <c r="A1481" s="108">
        <v>1501000112</v>
      </c>
      <c r="B1481" s="109" t="s">
        <v>16902</v>
      </c>
      <c r="C1481" s="110" t="s">
        <v>29</v>
      </c>
      <c r="D1481" s="111">
        <v>131.63999999999999</v>
      </c>
      <c r="E1481" s="111">
        <v>25.73</v>
      </c>
      <c r="F1481" s="112">
        <v>157.37</v>
      </c>
      <c r="H1481" s="110" t="s">
        <v>29</v>
      </c>
      <c r="I1481" s="111">
        <v>131.63999999999999</v>
      </c>
      <c r="J1481" s="111">
        <v>23.780000000000001</v>
      </c>
      <c r="K1481" s="112">
        <v>155.41999999999999</v>
      </c>
      <c r="L1481" s="88"/>
      <c r="M1481" s="88"/>
    </row>
    <row r="1482" ht="38.25">
      <c r="A1482" s="69">
        <v>1501000113</v>
      </c>
      <c r="B1482" s="89" t="s">
        <v>16903</v>
      </c>
      <c r="C1482" s="88" t="s">
        <v>29</v>
      </c>
      <c r="D1482" s="113"/>
      <c r="E1482" s="113"/>
      <c r="F1482" s="114">
        <v>289.49000000000001</v>
      </c>
      <c r="H1482" s="88" t="s">
        <v>29</v>
      </c>
      <c r="I1482" s="113"/>
      <c r="J1482" s="113"/>
      <c r="K1482" s="114">
        <v>286.35000000000002</v>
      </c>
      <c r="L1482" s="88"/>
      <c r="M1482" s="88"/>
    </row>
    <row r="1483" ht="25.5">
      <c r="A1483" s="108">
        <v>1501000114</v>
      </c>
      <c r="B1483" s="109" t="s">
        <v>16904</v>
      </c>
      <c r="C1483" s="110" t="s">
        <v>38</v>
      </c>
      <c r="D1483" s="111">
        <v>37.43</v>
      </c>
      <c r="E1483" s="111">
        <v>23.66</v>
      </c>
      <c r="F1483" s="112">
        <v>61.090000000000003</v>
      </c>
      <c r="H1483" s="110" t="s">
        <v>38</v>
      </c>
      <c r="I1483" s="111">
        <v>37.43</v>
      </c>
      <c r="J1483" s="111">
        <v>21.890000000000001</v>
      </c>
      <c r="K1483" s="112">
        <v>59.32</v>
      </c>
      <c r="L1483" s="88"/>
      <c r="M1483" s="88"/>
    </row>
    <row r="1484">
      <c r="D1484" s="113"/>
      <c r="E1484" s="113"/>
      <c r="F1484" s="114"/>
      <c r="H1484" s="88"/>
      <c r="I1484" s="113"/>
      <c r="J1484" s="113"/>
      <c r="K1484" s="114"/>
      <c r="L1484" s="88"/>
      <c r="M1484" s="88"/>
    </row>
    <row r="1485">
      <c r="B1485" s="102" t="s">
        <v>16905</v>
      </c>
      <c r="D1485" s="113"/>
      <c r="E1485" s="113"/>
      <c r="F1485" s="114"/>
      <c r="H1485" s="88"/>
      <c r="I1485" s="113"/>
      <c r="J1485" s="113"/>
      <c r="K1485" s="114"/>
      <c r="L1485" s="88"/>
      <c r="M1485" s="88"/>
    </row>
    <row r="1486">
      <c r="D1486" s="113"/>
      <c r="E1486" s="113"/>
      <c r="F1486" s="114"/>
      <c r="H1486" s="88"/>
      <c r="I1486" s="113"/>
      <c r="J1486" s="113"/>
      <c r="K1486" s="114"/>
      <c r="L1486" s="88"/>
      <c r="M1486" s="88"/>
    </row>
    <row r="1487">
      <c r="A1487" s="88" t="s">
        <v>15547</v>
      </c>
      <c r="B1487" s="89" t="s">
        <v>15548</v>
      </c>
      <c r="C1487" s="88" t="s">
        <v>15337</v>
      </c>
      <c r="D1487" s="113" t="s">
        <v>10460</v>
      </c>
      <c r="E1487" s="113" t="s">
        <v>15549</v>
      </c>
      <c r="F1487" s="114" t="s">
        <v>15550</v>
      </c>
      <c r="H1487" s="88" t="s">
        <v>15337</v>
      </c>
      <c r="I1487" s="113" t="s">
        <v>10460</v>
      </c>
      <c r="J1487" s="113" t="s">
        <v>15549</v>
      </c>
      <c r="K1487" s="114" t="s">
        <v>15550</v>
      </c>
      <c r="L1487" s="88"/>
      <c r="M1487" s="88"/>
    </row>
    <row r="1488">
      <c r="D1488" s="113"/>
      <c r="E1488" s="113"/>
      <c r="F1488" s="114"/>
      <c r="H1488" s="88"/>
      <c r="I1488" s="113"/>
      <c r="J1488" s="113"/>
      <c r="K1488" s="114"/>
      <c r="L1488" s="88"/>
      <c r="M1488" s="88"/>
    </row>
    <row r="1489" ht="51">
      <c r="A1489" s="69">
        <v>1601000095</v>
      </c>
      <c r="B1489" s="89" t="s">
        <v>16906</v>
      </c>
      <c r="C1489" s="88" t="s">
        <v>29</v>
      </c>
      <c r="D1489" s="113"/>
      <c r="E1489" s="113"/>
      <c r="F1489" s="114">
        <v>6.1200000000000001</v>
      </c>
      <c r="H1489" s="88" t="s">
        <v>29</v>
      </c>
      <c r="I1489" s="113"/>
      <c r="J1489" s="113"/>
      <c r="K1489" s="114">
        <v>6</v>
      </c>
      <c r="L1489" s="88"/>
      <c r="M1489" s="88"/>
    </row>
    <row r="1490" ht="51">
      <c r="A1490" s="69">
        <v>1601000097</v>
      </c>
      <c r="B1490" s="89" t="s">
        <v>16907</v>
      </c>
      <c r="C1490" s="88" t="s">
        <v>29</v>
      </c>
      <c r="D1490" s="113"/>
      <c r="E1490" s="113"/>
      <c r="F1490" s="114">
        <v>9.7799999999999994</v>
      </c>
      <c r="H1490" s="88" t="s">
        <v>29</v>
      </c>
      <c r="I1490" s="113"/>
      <c r="J1490" s="113"/>
      <c r="K1490" s="114">
        <v>9.6699999999999999</v>
      </c>
      <c r="L1490" s="88"/>
      <c r="M1490" s="88"/>
    </row>
    <row r="1491" ht="25.5">
      <c r="A1491" s="108">
        <v>1601000100</v>
      </c>
      <c r="B1491" s="109" t="s">
        <v>16908</v>
      </c>
      <c r="C1491" s="110" t="s">
        <v>29</v>
      </c>
      <c r="D1491" s="111">
        <v>2.6600000000000001</v>
      </c>
      <c r="E1491" s="111">
        <v>11.609999999999999</v>
      </c>
      <c r="F1491" s="112">
        <v>14.27</v>
      </c>
      <c r="H1491" s="110" t="s">
        <v>29</v>
      </c>
      <c r="I1491" s="111">
        <v>2.6200000000000001</v>
      </c>
      <c r="J1491" s="111">
        <v>10.75</v>
      </c>
      <c r="K1491" s="112">
        <v>13.369999999999999</v>
      </c>
      <c r="L1491" s="88"/>
      <c r="M1491" s="88"/>
    </row>
    <row r="1492" ht="25.5">
      <c r="A1492" s="108">
        <v>1601000101</v>
      </c>
      <c r="B1492" s="109" t="s">
        <v>16909</v>
      </c>
      <c r="C1492" s="110" t="s">
        <v>29</v>
      </c>
      <c r="D1492" s="111">
        <v>8.6799999999999997</v>
      </c>
      <c r="E1492" s="111">
        <v>36.68</v>
      </c>
      <c r="F1492" s="112">
        <v>45.359999999999999</v>
      </c>
      <c r="H1492" s="110" t="s">
        <v>29</v>
      </c>
      <c r="I1492" s="111">
        <v>8.6799999999999997</v>
      </c>
      <c r="J1492" s="111">
        <v>33.960000000000001</v>
      </c>
      <c r="K1492" s="112">
        <v>42.640000000000001</v>
      </c>
      <c r="L1492" s="88"/>
      <c r="M1492" s="88"/>
    </row>
    <row r="1493" ht="38.25">
      <c r="A1493" s="69">
        <v>1601000102</v>
      </c>
      <c r="B1493" s="89" t="s">
        <v>16910</v>
      </c>
      <c r="C1493" s="88" t="s">
        <v>29</v>
      </c>
      <c r="D1493" s="113"/>
      <c r="E1493" s="113"/>
      <c r="F1493" s="114">
        <v>185.22999999999999</v>
      </c>
      <c r="H1493" s="88" t="s">
        <v>29</v>
      </c>
      <c r="I1493" s="113"/>
      <c r="J1493" s="113"/>
      <c r="K1493" s="114">
        <v>181.40000000000001</v>
      </c>
      <c r="L1493" s="88"/>
      <c r="M1493" s="88"/>
    </row>
    <row r="1494" ht="25.5">
      <c r="A1494" s="69">
        <v>1601000108</v>
      </c>
      <c r="B1494" s="89" t="s">
        <v>16911</v>
      </c>
      <c r="C1494" s="88" t="s">
        <v>38</v>
      </c>
      <c r="D1494" s="113"/>
      <c r="E1494" s="113"/>
      <c r="F1494" s="114">
        <v>43.939999999999998</v>
      </c>
      <c r="H1494" s="88" t="s">
        <v>38</v>
      </c>
      <c r="I1494" s="113"/>
      <c r="J1494" s="113"/>
      <c r="K1494" s="114">
        <v>43.030000000000001</v>
      </c>
      <c r="L1494" s="88"/>
      <c r="M1494" s="88"/>
    </row>
    <row r="1495" ht="25.5">
      <c r="A1495" s="69">
        <v>1601000110</v>
      </c>
      <c r="B1495" s="89" t="s">
        <v>16912</v>
      </c>
      <c r="C1495" s="88" t="s">
        <v>29</v>
      </c>
      <c r="D1495" s="113"/>
      <c r="E1495" s="113"/>
      <c r="F1495" s="114">
        <v>48.960000000000001</v>
      </c>
      <c r="H1495" s="88" t="s">
        <v>29</v>
      </c>
      <c r="I1495" s="113"/>
      <c r="J1495" s="113"/>
      <c r="K1495" s="114">
        <v>46.539999999999999</v>
      </c>
      <c r="L1495" s="88"/>
      <c r="M1495" s="88"/>
    </row>
    <row r="1496" ht="38.25">
      <c r="A1496" s="69">
        <v>1601000111</v>
      </c>
      <c r="B1496" s="89" t="s">
        <v>16913</v>
      </c>
      <c r="C1496" s="88" t="s">
        <v>29</v>
      </c>
      <c r="D1496" s="113"/>
      <c r="E1496" s="113"/>
      <c r="F1496" s="114">
        <v>80.930000000000007</v>
      </c>
      <c r="H1496" s="88" t="s">
        <v>29</v>
      </c>
      <c r="I1496" s="113"/>
      <c r="J1496" s="113"/>
      <c r="K1496" s="114">
        <v>79.079999999999998</v>
      </c>
      <c r="L1496" s="88"/>
      <c r="M1496" s="88"/>
    </row>
    <row r="1497" ht="25.5">
      <c r="A1497" s="69">
        <v>1601000112</v>
      </c>
      <c r="B1497" s="89" t="s">
        <v>16914</v>
      </c>
      <c r="C1497" s="88" t="s">
        <v>38</v>
      </c>
      <c r="D1497" s="113"/>
      <c r="E1497" s="113"/>
      <c r="F1497" s="114">
        <v>3.21</v>
      </c>
      <c r="H1497" s="88" t="s">
        <v>38</v>
      </c>
      <c r="I1497" s="113"/>
      <c r="J1497" s="113"/>
      <c r="K1497" s="114">
        <v>3.0699999999999998</v>
      </c>
      <c r="L1497" s="88"/>
      <c r="M1497" s="88"/>
    </row>
    <row r="1498" ht="25.5">
      <c r="A1498" s="108">
        <v>1601000113</v>
      </c>
      <c r="B1498" s="109" t="s">
        <v>16915</v>
      </c>
      <c r="C1498" s="110" t="s">
        <v>38</v>
      </c>
      <c r="D1498" s="111">
        <v>5.6900000000000004</v>
      </c>
      <c r="E1498" s="111">
        <v>12.539999999999999</v>
      </c>
      <c r="F1498" s="112">
        <v>18.23</v>
      </c>
      <c r="H1498" s="110" t="s">
        <v>38</v>
      </c>
      <c r="I1498" s="111">
        <v>5.6900000000000004</v>
      </c>
      <c r="J1498" s="111">
        <v>11.59</v>
      </c>
      <c r="K1498" s="112">
        <v>17.280000000000001</v>
      </c>
      <c r="L1498" s="88"/>
      <c r="M1498" s="88"/>
    </row>
    <row r="1499" ht="38.25">
      <c r="A1499" s="69">
        <v>1601000115</v>
      </c>
      <c r="B1499" s="89" t="s">
        <v>16916</v>
      </c>
      <c r="C1499" s="88" t="s">
        <v>29</v>
      </c>
      <c r="D1499" s="113"/>
      <c r="E1499" s="113"/>
      <c r="F1499" s="114">
        <v>74.069999999999993</v>
      </c>
      <c r="H1499" s="88" t="s">
        <v>29</v>
      </c>
      <c r="I1499" s="113"/>
      <c r="J1499" s="113"/>
      <c r="K1499" s="114">
        <v>72.650000000000006</v>
      </c>
      <c r="L1499" s="88"/>
      <c r="M1499" s="88"/>
    </row>
    <row r="1500" ht="38.25">
      <c r="A1500" s="108">
        <v>1601000120</v>
      </c>
      <c r="B1500" s="109" t="s">
        <v>15860</v>
      </c>
      <c r="C1500" s="110" t="s">
        <v>29</v>
      </c>
      <c r="D1500" s="111">
        <v>1.6200000000000001</v>
      </c>
      <c r="E1500" s="111">
        <v>3.4900000000000002</v>
      </c>
      <c r="F1500" s="112">
        <v>5.1100000000000003</v>
      </c>
      <c r="H1500" s="110" t="s">
        <v>29</v>
      </c>
      <c r="I1500" s="111">
        <v>1.6200000000000001</v>
      </c>
      <c r="J1500" s="111">
        <v>3.2400000000000002</v>
      </c>
      <c r="K1500" s="112">
        <v>4.8600000000000003</v>
      </c>
      <c r="L1500" s="88"/>
      <c r="M1500" s="88"/>
    </row>
    <row r="1501">
      <c r="D1501" s="113"/>
      <c r="E1501" s="113"/>
      <c r="F1501" s="114"/>
      <c r="H1501" s="88"/>
      <c r="I1501" s="113"/>
      <c r="J1501" s="113"/>
      <c r="K1501" s="114"/>
      <c r="L1501" s="88"/>
      <c r="M1501" s="88"/>
    </row>
    <row r="1502">
      <c r="B1502" s="102" t="s">
        <v>16917</v>
      </c>
      <c r="D1502" s="113"/>
      <c r="E1502" s="113"/>
      <c r="F1502" s="114"/>
      <c r="H1502" s="88"/>
      <c r="I1502" s="113"/>
      <c r="J1502" s="113"/>
      <c r="K1502" s="114"/>
      <c r="L1502" s="88"/>
      <c r="M1502" s="88"/>
    </row>
    <row r="1503">
      <c r="D1503" s="113"/>
      <c r="E1503" s="113"/>
      <c r="F1503" s="114"/>
      <c r="H1503" s="88"/>
      <c r="I1503" s="113"/>
      <c r="J1503" s="113"/>
      <c r="K1503" s="114"/>
      <c r="L1503" s="88"/>
      <c r="M1503" s="88"/>
    </row>
    <row r="1504">
      <c r="A1504" s="88" t="s">
        <v>15547</v>
      </c>
      <c r="B1504" s="89" t="s">
        <v>15548</v>
      </c>
      <c r="C1504" s="88" t="s">
        <v>15337</v>
      </c>
      <c r="D1504" s="113" t="s">
        <v>10460</v>
      </c>
      <c r="E1504" s="113" t="s">
        <v>15549</v>
      </c>
      <c r="F1504" s="114" t="s">
        <v>15550</v>
      </c>
      <c r="H1504" s="88" t="s">
        <v>15337</v>
      </c>
      <c r="I1504" s="113" t="s">
        <v>10460</v>
      </c>
      <c r="J1504" s="113" t="s">
        <v>15549</v>
      </c>
      <c r="K1504" s="114" t="s">
        <v>15550</v>
      </c>
      <c r="L1504" s="88"/>
      <c r="M1504" s="88"/>
    </row>
    <row r="1505">
      <c r="D1505" s="113"/>
      <c r="E1505" s="113"/>
      <c r="F1505" s="114"/>
      <c r="H1505" s="88"/>
      <c r="I1505" s="113"/>
      <c r="J1505" s="113"/>
      <c r="K1505" s="114"/>
      <c r="L1505" s="88"/>
      <c r="M1505" s="88"/>
    </row>
    <row r="1506" ht="25.5">
      <c r="A1506" s="108">
        <v>1701000100</v>
      </c>
      <c r="B1506" s="109" t="s">
        <v>16918</v>
      </c>
      <c r="C1506" s="110" t="s">
        <v>29</v>
      </c>
      <c r="D1506" s="111">
        <v>0</v>
      </c>
      <c r="E1506" s="111">
        <v>15.550000000000001</v>
      </c>
      <c r="F1506" s="112">
        <v>15.550000000000001</v>
      </c>
      <c r="H1506" s="110" t="s">
        <v>29</v>
      </c>
      <c r="I1506" s="111">
        <v>0</v>
      </c>
      <c r="J1506" s="111">
        <v>14.44</v>
      </c>
      <c r="K1506" s="112">
        <v>14.44</v>
      </c>
      <c r="L1506" s="88"/>
      <c r="M1506" s="88"/>
    </row>
    <row r="1507" ht="38.25">
      <c r="A1507" s="69">
        <v>1701000101</v>
      </c>
      <c r="B1507" s="89" t="s">
        <v>16919</v>
      </c>
      <c r="C1507" s="88" t="s">
        <v>29</v>
      </c>
      <c r="D1507" s="113"/>
      <c r="E1507" s="113"/>
      <c r="F1507" s="114">
        <v>18.010000000000002</v>
      </c>
      <c r="H1507" s="88" t="s">
        <v>29</v>
      </c>
      <c r="I1507" s="113"/>
      <c r="J1507" s="113"/>
      <c r="K1507" s="114">
        <v>17.420000000000002</v>
      </c>
      <c r="L1507" s="88"/>
      <c r="M1507" s="88"/>
    </row>
    <row r="1508" ht="25.5">
      <c r="A1508" s="108">
        <v>1701000102</v>
      </c>
      <c r="B1508" s="109" t="s">
        <v>16920</v>
      </c>
      <c r="C1508" s="110" t="s">
        <v>29</v>
      </c>
      <c r="D1508" s="111">
        <v>24.27</v>
      </c>
      <c r="E1508" s="111">
        <v>8.5199999999999996</v>
      </c>
      <c r="F1508" s="112">
        <v>32.789999999999999</v>
      </c>
      <c r="H1508" s="110" t="s">
        <v>29</v>
      </c>
      <c r="I1508" s="111">
        <v>23.899999999999999</v>
      </c>
      <c r="J1508" s="111">
        <v>7.8700000000000001</v>
      </c>
      <c r="K1508" s="112">
        <v>31.77</v>
      </c>
      <c r="L1508" s="88"/>
      <c r="M1508" s="88"/>
    </row>
    <row r="1509" ht="63.75">
      <c r="A1509" s="108">
        <v>1701000104</v>
      </c>
      <c r="B1509" s="109" t="s">
        <v>16921</v>
      </c>
      <c r="C1509" s="110" t="s">
        <v>29</v>
      </c>
      <c r="D1509" s="111">
        <v>133.56</v>
      </c>
      <c r="E1509" s="111">
        <v>24.879999999999999</v>
      </c>
      <c r="F1509" s="112">
        <v>158.44</v>
      </c>
      <c r="H1509" s="110" t="s">
        <v>29</v>
      </c>
      <c r="I1509" s="111">
        <v>133.56</v>
      </c>
      <c r="J1509" s="111">
        <v>22.969999999999999</v>
      </c>
      <c r="K1509" s="112">
        <v>156.53</v>
      </c>
      <c r="L1509" s="88"/>
      <c r="M1509" s="88"/>
    </row>
    <row r="1510" ht="38.25">
      <c r="A1510" s="108">
        <v>1701000105</v>
      </c>
      <c r="B1510" s="109" t="s">
        <v>16922</v>
      </c>
      <c r="C1510" s="110" t="s">
        <v>38</v>
      </c>
      <c r="D1510" s="111">
        <v>26.300000000000001</v>
      </c>
      <c r="E1510" s="111">
        <v>3.1000000000000001</v>
      </c>
      <c r="F1510" s="112">
        <v>29.399999999999999</v>
      </c>
      <c r="H1510" s="110" t="s">
        <v>38</v>
      </c>
      <c r="I1510" s="111">
        <v>26.300000000000001</v>
      </c>
      <c r="J1510" s="111">
        <v>2.8599999999999999</v>
      </c>
      <c r="K1510" s="112">
        <v>29.16</v>
      </c>
      <c r="L1510" s="88"/>
      <c r="M1510" s="88"/>
    </row>
    <row r="1511" ht="63.75">
      <c r="A1511" s="108">
        <v>1701000106</v>
      </c>
      <c r="B1511" s="109" t="s">
        <v>16923</v>
      </c>
      <c r="C1511" s="110" t="s">
        <v>29</v>
      </c>
      <c r="D1511" s="111">
        <v>81.609999999999999</v>
      </c>
      <c r="E1511" s="111">
        <v>24.879999999999999</v>
      </c>
      <c r="F1511" s="112">
        <v>106.48999999999999</v>
      </c>
      <c r="H1511" s="110" t="s">
        <v>29</v>
      </c>
      <c r="I1511" s="111">
        <v>81.609999999999999</v>
      </c>
      <c r="J1511" s="111">
        <v>22.969999999999999</v>
      </c>
      <c r="K1511" s="112">
        <v>104.58</v>
      </c>
      <c r="L1511" s="88"/>
      <c r="M1511" s="88"/>
    </row>
    <row r="1512" ht="51">
      <c r="A1512" s="108">
        <v>1701000107</v>
      </c>
      <c r="B1512" s="109" t="s">
        <v>16924</v>
      </c>
      <c r="C1512" s="110" t="s">
        <v>38</v>
      </c>
      <c r="D1512" s="111">
        <v>12.359999999999999</v>
      </c>
      <c r="E1512" s="111">
        <v>2.8999999999999999</v>
      </c>
      <c r="F1512" s="112">
        <v>15.26</v>
      </c>
      <c r="H1512" s="110" t="s">
        <v>38</v>
      </c>
      <c r="I1512" s="111">
        <v>12.359999999999999</v>
      </c>
      <c r="J1512" s="111">
        <v>2.6699999999999999</v>
      </c>
      <c r="K1512" s="112">
        <v>15.029999999999999</v>
      </c>
      <c r="L1512" s="88"/>
      <c r="M1512" s="88"/>
    </row>
    <row r="1513" ht="51">
      <c r="A1513" s="108">
        <v>1701000108</v>
      </c>
      <c r="B1513" s="109" t="s">
        <v>16925</v>
      </c>
      <c r="C1513" s="110" t="s">
        <v>29</v>
      </c>
      <c r="D1513" s="111">
        <v>86.420000000000002</v>
      </c>
      <c r="E1513" s="111">
        <v>24.879999999999999</v>
      </c>
      <c r="F1513" s="112">
        <v>111.3</v>
      </c>
      <c r="H1513" s="110" t="s">
        <v>29</v>
      </c>
      <c r="I1513" s="111">
        <v>86.420000000000002</v>
      </c>
      <c r="J1513" s="111">
        <v>22.969999999999999</v>
      </c>
      <c r="K1513" s="112">
        <v>109.39</v>
      </c>
      <c r="L1513" s="88"/>
      <c r="M1513" s="88"/>
    </row>
    <row r="1514" ht="38.25">
      <c r="A1514" s="108">
        <v>1701000109</v>
      </c>
      <c r="B1514" s="109" t="s">
        <v>16926</v>
      </c>
      <c r="C1514" s="110" t="s">
        <v>38</v>
      </c>
      <c r="D1514" s="111">
        <v>15.94</v>
      </c>
      <c r="E1514" s="111">
        <v>3.1000000000000001</v>
      </c>
      <c r="F1514" s="112">
        <v>19.039999999999999</v>
      </c>
      <c r="H1514" s="110" t="s">
        <v>38</v>
      </c>
      <c r="I1514" s="111">
        <v>15.94</v>
      </c>
      <c r="J1514" s="111">
        <v>2.8599999999999999</v>
      </c>
      <c r="K1514" s="112">
        <v>18.800000000000001</v>
      </c>
      <c r="L1514" s="88"/>
      <c r="M1514" s="88"/>
    </row>
    <row r="1515" ht="38.25">
      <c r="A1515" s="69">
        <v>1701000110</v>
      </c>
      <c r="B1515" s="89" t="s">
        <v>16927</v>
      </c>
      <c r="C1515" s="88" t="s">
        <v>29</v>
      </c>
      <c r="D1515" s="113"/>
      <c r="E1515" s="113"/>
      <c r="F1515" s="114">
        <v>64.930000000000007</v>
      </c>
      <c r="H1515" s="88" t="s">
        <v>29</v>
      </c>
      <c r="I1515" s="113"/>
      <c r="J1515" s="113"/>
      <c r="K1515" s="114">
        <v>64.150000000000006</v>
      </c>
      <c r="L1515" s="88"/>
      <c r="M1515" s="88"/>
    </row>
    <row r="1516" ht="38.25">
      <c r="A1516" s="69">
        <v>1701000111</v>
      </c>
      <c r="B1516" s="89" t="s">
        <v>16928</v>
      </c>
      <c r="C1516" s="88" t="s">
        <v>38</v>
      </c>
      <c r="D1516" s="113"/>
      <c r="E1516" s="113"/>
      <c r="F1516" s="114">
        <v>11.99</v>
      </c>
      <c r="H1516" s="88" t="s">
        <v>38</v>
      </c>
      <c r="I1516" s="113"/>
      <c r="J1516" s="113"/>
      <c r="K1516" s="114">
        <v>11.76</v>
      </c>
      <c r="L1516" s="88"/>
      <c r="M1516" s="88"/>
    </row>
    <row r="1517" ht="38.25">
      <c r="A1517" s="108">
        <v>1701000113</v>
      </c>
      <c r="B1517" s="109" t="s">
        <v>16929</v>
      </c>
      <c r="C1517" s="110" t="s">
        <v>29</v>
      </c>
      <c r="D1517" s="111">
        <v>283.38999999999999</v>
      </c>
      <c r="E1517" s="111">
        <v>6.1200000000000001</v>
      </c>
      <c r="F1517" s="112">
        <v>289.50999999999999</v>
      </c>
      <c r="H1517" s="110" t="s">
        <v>29</v>
      </c>
      <c r="I1517" s="111">
        <v>283.38999999999999</v>
      </c>
      <c r="J1517" s="111">
        <v>5.6500000000000004</v>
      </c>
      <c r="K1517" s="112">
        <v>289.04000000000002</v>
      </c>
      <c r="L1517" s="88"/>
      <c r="M1517" s="88"/>
    </row>
    <row r="1518" ht="51">
      <c r="A1518" s="108">
        <v>1701000115</v>
      </c>
      <c r="B1518" s="109" t="s">
        <v>16930</v>
      </c>
      <c r="C1518" s="110" t="s">
        <v>29</v>
      </c>
      <c r="D1518" s="111">
        <v>20.43</v>
      </c>
      <c r="E1518" s="111">
        <v>10.539999999999999</v>
      </c>
      <c r="F1518" s="112">
        <v>30.969999999999999</v>
      </c>
      <c r="H1518" s="110" t="s">
        <v>29</v>
      </c>
      <c r="I1518" s="111">
        <v>20.43</v>
      </c>
      <c r="J1518" s="111">
        <v>9.75</v>
      </c>
      <c r="K1518" s="112">
        <v>30.18</v>
      </c>
      <c r="L1518" s="88"/>
      <c r="M1518" s="88"/>
    </row>
    <row r="1519" ht="38.25">
      <c r="A1519" s="108">
        <v>1701000116</v>
      </c>
      <c r="B1519" s="109" t="s">
        <v>16931</v>
      </c>
      <c r="C1519" s="110" t="s">
        <v>29</v>
      </c>
      <c r="D1519" s="111">
        <v>15.869999999999999</v>
      </c>
      <c r="E1519" s="111">
        <v>11.609999999999999</v>
      </c>
      <c r="F1519" s="112">
        <v>27.48</v>
      </c>
      <c r="H1519" s="110" t="s">
        <v>29</v>
      </c>
      <c r="I1519" s="111">
        <v>15.52</v>
      </c>
      <c r="J1519" s="111">
        <v>10.75</v>
      </c>
      <c r="K1519" s="112">
        <v>26.27</v>
      </c>
      <c r="L1519" s="88"/>
      <c r="M1519" s="88"/>
    </row>
    <row r="1520">
      <c r="A1520" s="108">
        <v>1701000117</v>
      </c>
      <c r="B1520" s="109" t="s">
        <v>16932</v>
      </c>
      <c r="C1520" s="110" t="s">
        <v>29</v>
      </c>
      <c r="D1520" s="111">
        <v>23.809999999999999</v>
      </c>
      <c r="E1520" s="111">
        <v>11.609999999999999</v>
      </c>
      <c r="F1520" s="112">
        <v>35.420000000000002</v>
      </c>
      <c r="H1520" s="110" t="s">
        <v>29</v>
      </c>
      <c r="I1520" s="111">
        <v>23.289999999999999</v>
      </c>
      <c r="J1520" s="111">
        <v>10.75</v>
      </c>
      <c r="K1520" s="112">
        <v>34.039999999999999</v>
      </c>
      <c r="L1520" s="88"/>
      <c r="M1520" s="88"/>
    </row>
    <row r="1521" ht="38.25">
      <c r="A1521" s="69">
        <v>1701000118</v>
      </c>
      <c r="B1521" s="89" t="s">
        <v>16933</v>
      </c>
      <c r="C1521" s="88" t="s">
        <v>29</v>
      </c>
      <c r="D1521" s="113"/>
      <c r="E1521" s="113"/>
      <c r="F1521" s="114">
        <v>223.77000000000001</v>
      </c>
      <c r="H1521" s="88" t="s">
        <v>29</v>
      </c>
      <c r="I1521" s="113"/>
      <c r="J1521" s="113"/>
      <c r="K1521" s="114">
        <v>223.30000000000001</v>
      </c>
      <c r="L1521" s="88"/>
      <c r="M1521" s="88"/>
    </row>
    <row r="1522" ht="25.5">
      <c r="A1522" s="69">
        <v>1701000119</v>
      </c>
      <c r="B1522" s="89" t="s">
        <v>16934</v>
      </c>
      <c r="C1522" s="88" t="s">
        <v>38</v>
      </c>
      <c r="D1522" s="113"/>
      <c r="E1522" s="113"/>
      <c r="F1522" s="114">
        <v>63.329999999999998</v>
      </c>
      <c r="H1522" s="88" t="s">
        <v>38</v>
      </c>
      <c r="I1522" s="113"/>
      <c r="J1522" s="113"/>
      <c r="K1522" s="114">
        <v>63.049999999999997</v>
      </c>
      <c r="L1522" s="88"/>
      <c r="M1522" s="88"/>
    </row>
    <row r="1523" ht="63.75">
      <c r="A1523" s="69">
        <v>1701000120</v>
      </c>
      <c r="B1523" s="89" t="s">
        <v>16935</v>
      </c>
      <c r="C1523" s="88" t="s">
        <v>29</v>
      </c>
      <c r="D1523" s="113"/>
      <c r="E1523" s="113"/>
      <c r="F1523" s="114">
        <v>100.34999999999999</v>
      </c>
      <c r="H1523" s="88" t="s">
        <v>29</v>
      </c>
      <c r="I1523" s="113"/>
      <c r="J1523" s="113"/>
      <c r="K1523" s="114">
        <v>97.439999999999998</v>
      </c>
      <c r="L1523" s="88"/>
      <c r="M1523" s="88"/>
    </row>
    <row r="1524" ht="51">
      <c r="A1524" s="108">
        <v>1701000122</v>
      </c>
      <c r="B1524" s="109" t="s">
        <v>16936</v>
      </c>
      <c r="C1524" s="110" t="s">
        <v>29</v>
      </c>
      <c r="D1524" s="111">
        <v>15.33</v>
      </c>
      <c r="E1524" s="111">
        <v>38.390000000000001</v>
      </c>
      <c r="F1524" s="112">
        <v>53.719999999999999</v>
      </c>
      <c r="H1524" s="110" t="s">
        <v>29</v>
      </c>
      <c r="I1524" s="111">
        <v>15.33</v>
      </c>
      <c r="J1524" s="111">
        <v>35.479999999999997</v>
      </c>
      <c r="K1524" s="112">
        <v>50.810000000000002</v>
      </c>
      <c r="L1524" s="88"/>
      <c r="M1524" s="88"/>
    </row>
    <row r="1525" ht="38.25">
      <c r="A1525" s="108">
        <v>1701000124</v>
      </c>
      <c r="B1525" s="109" t="s">
        <v>16937</v>
      </c>
      <c r="C1525" s="110" t="s">
        <v>38</v>
      </c>
      <c r="D1525" s="111">
        <v>39.130000000000003</v>
      </c>
      <c r="E1525" s="111">
        <v>31.489999999999998</v>
      </c>
      <c r="F1525" s="112">
        <v>70.620000000000005</v>
      </c>
      <c r="H1525" s="110" t="s">
        <v>38</v>
      </c>
      <c r="I1525" s="111">
        <v>39.100000000000001</v>
      </c>
      <c r="J1525" s="111">
        <v>29.120000000000001</v>
      </c>
      <c r="K1525" s="112">
        <v>68.219999999999999</v>
      </c>
      <c r="L1525" s="88"/>
      <c r="M1525" s="88"/>
    </row>
    <row r="1526" ht="38.25">
      <c r="A1526" s="108">
        <v>1701000125</v>
      </c>
      <c r="B1526" s="109" t="s">
        <v>16938</v>
      </c>
      <c r="C1526" s="110" t="s">
        <v>38</v>
      </c>
      <c r="D1526" s="111">
        <v>105.89</v>
      </c>
      <c r="E1526" s="111">
        <v>19.370000000000001</v>
      </c>
      <c r="F1526" s="112">
        <v>125.26000000000001</v>
      </c>
      <c r="H1526" s="110" t="s">
        <v>38</v>
      </c>
      <c r="I1526" s="111">
        <v>105.84</v>
      </c>
      <c r="J1526" s="111">
        <v>17.93</v>
      </c>
      <c r="K1526" s="112">
        <v>123.77</v>
      </c>
      <c r="L1526" s="88"/>
      <c r="M1526" s="88"/>
    </row>
    <row r="1527" ht="38.25">
      <c r="A1527" s="108">
        <v>1701000126</v>
      </c>
      <c r="B1527" s="109" t="s">
        <v>16939</v>
      </c>
      <c r="C1527" s="110" t="s">
        <v>29</v>
      </c>
      <c r="D1527" s="111">
        <v>0.91000000000000003</v>
      </c>
      <c r="E1527" s="111">
        <v>1.6499999999999999</v>
      </c>
      <c r="F1527" s="112">
        <v>2.5600000000000001</v>
      </c>
      <c r="H1527" s="110" t="s">
        <v>29</v>
      </c>
      <c r="I1527" s="111">
        <v>0.91000000000000003</v>
      </c>
      <c r="J1527" s="111">
        <v>1.54</v>
      </c>
      <c r="K1527" s="112">
        <v>2.4500000000000002</v>
      </c>
      <c r="L1527" s="88"/>
      <c r="M1527" s="88"/>
    </row>
    <row r="1528" ht="25.5">
      <c r="A1528" s="108">
        <v>1701000127</v>
      </c>
      <c r="B1528" s="109" t="s">
        <v>16940</v>
      </c>
      <c r="C1528" s="110" t="s">
        <v>29</v>
      </c>
      <c r="D1528" s="111">
        <v>6.8600000000000003</v>
      </c>
      <c r="E1528" s="111">
        <v>13.43</v>
      </c>
      <c r="F1528" s="112">
        <v>20.289999999999999</v>
      </c>
      <c r="H1528" s="110" t="s">
        <v>29</v>
      </c>
      <c r="I1528" s="111">
        <v>6.8600000000000003</v>
      </c>
      <c r="J1528" s="111">
        <v>12.470000000000001</v>
      </c>
      <c r="K1528" s="112">
        <v>19.329999999999998</v>
      </c>
      <c r="L1528" s="88"/>
      <c r="M1528" s="88"/>
    </row>
    <row r="1529" ht="38.25">
      <c r="A1529" s="108">
        <v>1701000128</v>
      </c>
      <c r="B1529" s="109" t="s">
        <v>16941</v>
      </c>
      <c r="C1529" s="110" t="s">
        <v>38</v>
      </c>
      <c r="D1529" s="111">
        <v>16.260000000000002</v>
      </c>
      <c r="E1529" s="111">
        <v>19.370000000000001</v>
      </c>
      <c r="F1529" s="112">
        <v>35.630000000000003</v>
      </c>
      <c r="H1529" s="110" t="s">
        <v>38</v>
      </c>
      <c r="I1529" s="111">
        <v>16.210000000000001</v>
      </c>
      <c r="J1529" s="111">
        <v>17.93</v>
      </c>
      <c r="K1529" s="112">
        <v>34.140000000000001</v>
      </c>
      <c r="L1529" s="88"/>
      <c r="M1529" s="88"/>
    </row>
    <row r="1530" ht="51">
      <c r="A1530" s="69">
        <v>1701000130</v>
      </c>
      <c r="B1530" s="89" t="s">
        <v>16942</v>
      </c>
      <c r="C1530" s="88" t="s">
        <v>29</v>
      </c>
      <c r="D1530" s="113"/>
      <c r="E1530" s="113"/>
      <c r="F1530" s="114">
        <v>95.390000000000001</v>
      </c>
      <c r="H1530" s="88" t="s">
        <v>29</v>
      </c>
      <c r="I1530" s="113"/>
      <c r="J1530" s="113"/>
      <c r="K1530" s="114">
        <v>93.599999999999994</v>
      </c>
      <c r="L1530" s="88"/>
      <c r="M1530" s="88"/>
    </row>
    <row r="1531" ht="38.25">
      <c r="A1531" s="108">
        <v>1701000131</v>
      </c>
      <c r="B1531" s="109" t="s">
        <v>16943</v>
      </c>
      <c r="C1531" s="110" t="s">
        <v>29</v>
      </c>
      <c r="D1531" s="111">
        <v>104.59</v>
      </c>
      <c r="E1531" s="111">
        <v>17.789999999999999</v>
      </c>
      <c r="F1531" s="112">
        <v>122.38</v>
      </c>
      <c r="H1531" s="110" t="s">
        <v>29</v>
      </c>
      <c r="I1531" s="111">
        <v>104.59</v>
      </c>
      <c r="J1531" s="111">
        <v>16.460000000000001</v>
      </c>
      <c r="K1531" s="112">
        <v>121.05</v>
      </c>
      <c r="L1531" s="88"/>
      <c r="M1531" s="88"/>
    </row>
    <row r="1532" ht="25.5">
      <c r="A1532" s="69">
        <v>1701000132</v>
      </c>
      <c r="B1532" s="89" t="s">
        <v>16944</v>
      </c>
      <c r="C1532" s="88" t="s">
        <v>29</v>
      </c>
      <c r="D1532" s="113"/>
      <c r="E1532" s="113"/>
      <c r="F1532" s="114">
        <v>88.75</v>
      </c>
      <c r="H1532" s="88" t="s">
        <v>29</v>
      </c>
      <c r="I1532" s="113"/>
      <c r="J1532" s="113"/>
      <c r="K1532" s="114">
        <v>88.450000000000003</v>
      </c>
      <c r="L1532" s="88"/>
      <c r="M1532" s="88"/>
    </row>
    <row r="1533" ht="51">
      <c r="A1533" s="69">
        <v>1701000142</v>
      </c>
      <c r="B1533" s="89" t="s">
        <v>16945</v>
      </c>
      <c r="C1533" s="88" t="s">
        <v>121</v>
      </c>
      <c r="D1533" s="113"/>
      <c r="E1533" s="113"/>
      <c r="F1533" s="114">
        <v>746.58000000000004</v>
      </c>
      <c r="H1533" s="88" t="s">
        <v>121</v>
      </c>
      <c r="I1533" s="113"/>
      <c r="J1533" s="113"/>
      <c r="K1533" s="114">
        <v>727.25</v>
      </c>
      <c r="L1533" s="88"/>
      <c r="M1533" s="88"/>
    </row>
    <row r="1534" ht="38.25">
      <c r="A1534" s="108">
        <v>1701000146</v>
      </c>
      <c r="B1534" s="109" t="s">
        <v>16946</v>
      </c>
      <c r="C1534" s="110" t="s">
        <v>29</v>
      </c>
      <c r="D1534" s="111">
        <v>77</v>
      </c>
      <c r="E1534" s="111">
        <v>22.960000000000001</v>
      </c>
      <c r="F1534" s="112">
        <v>99.959999999999994</v>
      </c>
      <c r="H1534" s="110" t="s">
        <v>29</v>
      </c>
      <c r="I1534" s="111">
        <v>76.390000000000001</v>
      </c>
      <c r="J1534" s="111">
        <v>21.280000000000001</v>
      </c>
      <c r="K1534" s="112">
        <v>97.670000000000002</v>
      </c>
      <c r="L1534" s="88"/>
      <c r="M1534" s="88"/>
    </row>
    <row r="1535" ht="38.25">
      <c r="A1535" s="108">
        <v>1701000148</v>
      </c>
      <c r="B1535" s="109" t="s">
        <v>16947</v>
      </c>
      <c r="C1535" s="110" t="s">
        <v>29</v>
      </c>
      <c r="D1535" s="111">
        <v>94.209999999999994</v>
      </c>
      <c r="E1535" s="111">
        <v>29.920000000000002</v>
      </c>
      <c r="F1535" s="112">
        <v>124.13</v>
      </c>
      <c r="H1535" s="110" t="s">
        <v>29</v>
      </c>
      <c r="I1535" s="111">
        <v>93.349999999999994</v>
      </c>
      <c r="J1535" s="111">
        <v>27.73</v>
      </c>
      <c r="K1535" s="112">
        <v>121.08</v>
      </c>
      <c r="L1535" s="88"/>
      <c r="M1535" s="88"/>
    </row>
    <row r="1536" ht="38.25">
      <c r="A1536" s="69">
        <v>1701000150</v>
      </c>
      <c r="B1536" s="89" t="s">
        <v>16948</v>
      </c>
      <c r="C1536" s="88" t="s">
        <v>29</v>
      </c>
      <c r="D1536" s="113"/>
      <c r="E1536" s="113"/>
      <c r="F1536" s="114">
        <v>36.43</v>
      </c>
      <c r="H1536" s="88" t="s">
        <v>29</v>
      </c>
      <c r="I1536" s="113"/>
      <c r="J1536" s="113"/>
      <c r="K1536" s="114">
        <v>35.170000000000002</v>
      </c>
      <c r="L1536" s="88"/>
      <c r="M1536" s="88"/>
    </row>
    <row r="1537" ht="38.25">
      <c r="A1537" s="69">
        <v>1701000152</v>
      </c>
      <c r="B1537" s="89" t="s">
        <v>16949</v>
      </c>
      <c r="C1537" s="88" t="s">
        <v>29</v>
      </c>
      <c r="D1537" s="113"/>
      <c r="E1537" s="113"/>
      <c r="F1537" s="114">
        <v>45.909999999999997</v>
      </c>
      <c r="H1537" s="88" t="s">
        <v>29</v>
      </c>
      <c r="I1537" s="113"/>
      <c r="J1537" s="113"/>
      <c r="K1537" s="114">
        <v>44.450000000000003</v>
      </c>
      <c r="L1537" s="88"/>
      <c r="M1537" s="88"/>
    </row>
    <row r="1538" ht="38.25">
      <c r="A1538" s="69">
        <v>1701000156</v>
      </c>
      <c r="B1538" s="89" t="s">
        <v>16950</v>
      </c>
      <c r="C1538" s="88" t="s">
        <v>29</v>
      </c>
      <c r="D1538" s="113"/>
      <c r="E1538" s="113"/>
      <c r="F1538" s="114">
        <v>34.020000000000003</v>
      </c>
      <c r="H1538" s="88" t="s">
        <v>29</v>
      </c>
      <c r="I1538" s="113"/>
      <c r="J1538" s="113"/>
      <c r="K1538" s="114">
        <v>32.909999999999997</v>
      </c>
      <c r="L1538" s="88"/>
      <c r="M1538" s="88"/>
    </row>
    <row r="1539" ht="25.5">
      <c r="A1539" s="108">
        <v>1701000160</v>
      </c>
      <c r="B1539" s="109" t="s">
        <v>16951</v>
      </c>
      <c r="C1539" s="110" t="s">
        <v>38</v>
      </c>
      <c r="D1539" s="111">
        <v>1.76</v>
      </c>
      <c r="E1539" s="111">
        <v>24.48</v>
      </c>
      <c r="F1539" s="112">
        <v>26.239999999999998</v>
      </c>
      <c r="H1539" s="110" t="s">
        <v>38</v>
      </c>
      <c r="I1539" s="111">
        <v>1.76</v>
      </c>
      <c r="J1539" s="111">
        <v>22.66</v>
      </c>
      <c r="K1539" s="112">
        <v>24.420000000000002</v>
      </c>
      <c r="L1539" s="88"/>
      <c r="M1539" s="88"/>
    </row>
    <row r="1540" ht="25.5">
      <c r="A1540" s="108">
        <v>1701000162</v>
      </c>
      <c r="B1540" s="109" t="s">
        <v>16952</v>
      </c>
      <c r="C1540" s="110" t="s">
        <v>38</v>
      </c>
      <c r="D1540" s="111">
        <v>2</v>
      </c>
      <c r="E1540" s="111">
        <v>24.48</v>
      </c>
      <c r="F1540" s="112">
        <v>26.48</v>
      </c>
      <c r="H1540" s="110" t="s">
        <v>38</v>
      </c>
      <c r="I1540" s="111">
        <v>2</v>
      </c>
      <c r="J1540" s="111">
        <v>22.66</v>
      </c>
      <c r="K1540" s="112">
        <v>24.66</v>
      </c>
      <c r="L1540" s="88"/>
      <c r="M1540" s="88"/>
    </row>
    <row r="1541" ht="25.5">
      <c r="A1541" s="69">
        <v>1701000165</v>
      </c>
      <c r="B1541" s="89" t="s">
        <v>16953</v>
      </c>
      <c r="C1541" s="88" t="s">
        <v>38</v>
      </c>
      <c r="D1541" s="113"/>
      <c r="E1541" s="113"/>
      <c r="F1541" s="114">
        <v>116.78</v>
      </c>
      <c r="H1541" s="88" t="s">
        <v>38</v>
      </c>
      <c r="I1541" s="113"/>
      <c r="J1541" s="113"/>
      <c r="K1541" s="114">
        <v>115.29000000000001</v>
      </c>
      <c r="L1541" s="88"/>
      <c r="M1541" s="88"/>
    </row>
    <row r="1542" ht="38.25">
      <c r="A1542" s="69">
        <v>1701000167</v>
      </c>
      <c r="B1542" s="89" t="s">
        <v>16954</v>
      </c>
      <c r="C1542" s="88" t="s">
        <v>38</v>
      </c>
      <c r="D1542" s="113"/>
      <c r="E1542" s="113"/>
      <c r="F1542" s="114">
        <v>177.25</v>
      </c>
      <c r="H1542" s="88" t="s">
        <v>38</v>
      </c>
      <c r="I1542" s="113"/>
      <c r="J1542" s="113"/>
      <c r="K1542" s="114">
        <v>175.03999999999999</v>
      </c>
      <c r="L1542" s="88"/>
      <c r="M1542" s="88"/>
    </row>
    <row r="1543" ht="25.5">
      <c r="A1543" s="108">
        <v>1701000197</v>
      </c>
      <c r="B1543" s="109" t="s">
        <v>16955</v>
      </c>
      <c r="C1543" s="110" t="s">
        <v>29</v>
      </c>
      <c r="D1543" s="111">
        <v>0.75</v>
      </c>
      <c r="E1543" s="111">
        <v>9.3300000000000001</v>
      </c>
      <c r="F1543" s="112">
        <v>10.08</v>
      </c>
      <c r="H1543" s="110" t="s">
        <v>29</v>
      </c>
      <c r="I1543" s="111">
        <v>0.75</v>
      </c>
      <c r="J1543" s="111">
        <v>8.6600000000000001</v>
      </c>
      <c r="K1543" s="112">
        <v>9.4100000000000001</v>
      </c>
      <c r="L1543" s="88"/>
      <c r="M1543" s="88"/>
    </row>
    <row r="1544" ht="25.5">
      <c r="A1544" s="108">
        <v>1701000200</v>
      </c>
      <c r="B1544" s="109" t="s">
        <v>16956</v>
      </c>
      <c r="C1544" s="110" t="s">
        <v>38</v>
      </c>
      <c r="D1544" s="111">
        <v>1.8700000000000001</v>
      </c>
      <c r="E1544" s="111">
        <v>1.72</v>
      </c>
      <c r="F1544" s="112">
        <v>3.5899999999999999</v>
      </c>
      <c r="H1544" s="110" t="s">
        <v>38</v>
      </c>
      <c r="I1544" s="111">
        <v>1.8700000000000001</v>
      </c>
      <c r="J1544" s="111">
        <v>1.5900000000000001</v>
      </c>
      <c r="K1544" s="112">
        <v>3.46</v>
      </c>
      <c r="L1544" s="88"/>
      <c r="M1544" s="88"/>
    </row>
    <row r="1545" ht="25.5">
      <c r="A1545" s="108">
        <v>1701000210</v>
      </c>
      <c r="B1545" s="109" t="s">
        <v>16957</v>
      </c>
      <c r="C1545" s="110" t="s">
        <v>38</v>
      </c>
      <c r="D1545" s="111">
        <v>36.380000000000003</v>
      </c>
      <c r="E1545" s="111">
        <v>3.9399999999999999</v>
      </c>
      <c r="F1545" s="112">
        <v>40.32</v>
      </c>
      <c r="H1545" s="110" t="s">
        <v>38</v>
      </c>
      <c r="I1545" s="111">
        <v>36.380000000000003</v>
      </c>
      <c r="J1545" s="111">
        <v>3.6299999999999999</v>
      </c>
      <c r="K1545" s="112">
        <v>40.009999999999998</v>
      </c>
      <c r="L1545" s="88"/>
      <c r="M1545" s="88"/>
    </row>
    <row r="1546" ht="38.25">
      <c r="A1546" s="108">
        <v>1701000212</v>
      </c>
      <c r="B1546" s="109" t="s">
        <v>16958</v>
      </c>
      <c r="C1546" s="110" t="s">
        <v>38</v>
      </c>
      <c r="D1546" s="111">
        <v>29.699999999999999</v>
      </c>
      <c r="E1546" s="111">
        <v>3.9399999999999999</v>
      </c>
      <c r="F1546" s="112">
        <v>33.640000000000001</v>
      </c>
      <c r="H1546" s="110" t="s">
        <v>38</v>
      </c>
      <c r="I1546" s="111">
        <v>29.699999999999999</v>
      </c>
      <c r="J1546" s="111">
        <v>3.6299999999999999</v>
      </c>
      <c r="K1546" s="112">
        <v>33.329999999999998</v>
      </c>
      <c r="L1546" s="88"/>
      <c r="M1546" s="88"/>
    </row>
    <row r="1547" ht="38.25">
      <c r="A1547" s="108">
        <v>1701000300</v>
      </c>
      <c r="B1547" s="109" t="s">
        <v>16959</v>
      </c>
      <c r="C1547" s="110" t="s">
        <v>38</v>
      </c>
      <c r="D1547" s="111">
        <v>26.300000000000001</v>
      </c>
      <c r="E1547" s="111">
        <v>3.6499999999999999</v>
      </c>
      <c r="F1547" s="112">
        <v>29.949999999999999</v>
      </c>
      <c r="H1547" s="110" t="s">
        <v>38</v>
      </c>
      <c r="I1547" s="111">
        <v>26.300000000000001</v>
      </c>
      <c r="J1547" s="111">
        <v>3.3700000000000001</v>
      </c>
      <c r="K1547" s="112">
        <v>29.670000000000002</v>
      </c>
      <c r="L1547" s="88"/>
      <c r="M1547" s="88"/>
    </row>
    <row r="1548" ht="51">
      <c r="A1548" s="108">
        <v>1701000302</v>
      </c>
      <c r="B1548" s="109" t="s">
        <v>16960</v>
      </c>
      <c r="C1548" s="110" t="s">
        <v>38</v>
      </c>
      <c r="D1548" s="111">
        <v>12.359999999999999</v>
      </c>
      <c r="E1548" s="111">
        <v>3.48</v>
      </c>
      <c r="F1548" s="112">
        <v>15.84</v>
      </c>
      <c r="H1548" s="110" t="s">
        <v>38</v>
      </c>
      <c r="I1548" s="111">
        <v>12.359999999999999</v>
      </c>
      <c r="J1548" s="111">
        <v>3.2200000000000002</v>
      </c>
      <c r="K1548" s="112">
        <v>15.58</v>
      </c>
      <c r="L1548" s="88"/>
      <c r="M1548" s="88"/>
    </row>
    <row r="1549" ht="38.25">
      <c r="A1549" s="108">
        <v>1701000304</v>
      </c>
      <c r="B1549" s="109" t="s">
        <v>16961</v>
      </c>
      <c r="C1549" s="110" t="s">
        <v>38</v>
      </c>
      <c r="D1549" s="111">
        <v>15.94</v>
      </c>
      <c r="E1549" s="111">
        <v>3.6499999999999999</v>
      </c>
      <c r="F1549" s="112">
        <v>19.59</v>
      </c>
      <c r="H1549" s="110" t="s">
        <v>38</v>
      </c>
      <c r="I1549" s="111">
        <v>15.94</v>
      </c>
      <c r="J1549" s="111">
        <v>3.3700000000000001</v>
      </c>
      <c r="K1549" s="112">
        <v>19.309999999999999</v>
      </c>
      <c r="L1549" s="88"/>
      <c r="M1549" s="88"/>
    </row>
    <row r="1550" ht="51">
      <c r="A1550" s="108">
        <v>1701000306</v>
      </c>
      <c r="B1550" s="109" t="s">
        <v>16962</v>
      </c>
      <c r="C1550" s="110" t="s">
        <v>38</v>
      </c>
      <c r="D1550" s="111">
        <v>35.229999999999997</v>
      </c>
      <c r="E1550" s="111">
        <v>4.0300000000000002</v>
      </c>
      <c r="F1550" s="112">
        <v>39.259999999999998</v>
      </c>
      <c r="H1550" s="110" t="s">
        <v>38</v>
      </c>
      <c r="I1550" s="111">
        <v>35.229999999999997</v>
      </c>
      <c r="J1550" s="111">
        <v>3.7200000000000002</v>
      </c>
      <c r="K1550" s="112">
        <v>38.950000000000003</v>
      </c>
      <c r="L1550" s="88"/>
      <c r="M1550" s="88"/>
    </row>
    <row r="1551">
      <c r="D1551" s="113"/>
      <c r="E1551" s="113"/>
      <c r="F1551" s="114"/>
      <c r="H1551" s="88"/>
      <c r="I1551" s="113"/>
      <c r="J1551" s="113"/>
      <c r="K1551" s="114"/>
      <c r="L1551" s="88"/>
      <c r="M1551" s="88"/>
    </row>
    <row r="1552">
      <c r="B1552" s="102" t="s">
        <v>16963</v>
      </c>
      <c r="D1552" s="113"/>
      <c r="E1552" s="113"/>
      <c r="F1552" s="114"/>
      <c r="H1552" s="88"/>
      <c r="I1552" s="113"/>
      <c r="J1552" s="113"/>
      <c r="K1552" s="114"/>
      <c r="L1552" s="88"/>
      <c r="M1552" s="88"/>
    </row>
    <row r="1553">
      <c r="D1553" s="113"/>
      <c r="E1553" s="113"/>
      <c r="F1553" s="114"/>
      <c r="H1553" s="88"/>
      <c r="I1553" s="113"/>
      <c r="J1553" s="113"/>
      <c r="K1553" s="114"/>
      <c r="L1553" s="88"/>
      <c r="M1553" s="88"/>
    </row>
    <row r="1554">
      <c r="A1554" s="88" t="s">
        <v>15547</v>
      </c>
      <c r="B1554" s="89" t="s">
        <v>15548</v>
      </c>
      <c r="C1554" s="88" t="s">
        <v>15337</v>
      </c>
      <c r="D1554" s="113" t="s">
        <v>10460</v>
      </c>
      <c r="E1554" s="113" t="s">
        <v>15549</v>
      </c>
      <c r="F1554" s="114" t="s">
        <v>15550</v>
      </c>
      <c r="H1554" s="88" t="s">
        <v>15337</v>
      </c>
      <c r="I1554" s="113" t="s">
        <v>10460</v>
      </c>
      <c r="J1554" s="113" t="s">
        <v>15549</v>
      </c>
      <c r="K1554" s="114" t="s">
        <v>15550</v>
      </c>
      <c r="L1554" s="88"/>
      <c r="M1554" s="88"/>
    </row>
    <row r="1555">
      <c r="D1555" s="113"/>
      <c r="E1555" s="113"/>
      <c r="F1555" s="114"/>
      <c r="H1555" s="88"/>
      <c r="I1555" s="113"/>
      <c r="J1555" s="113"/>
      <c r="K1555" s="114"/>
      <c r="L1555" s="88"/>
      <c r="M1555" s="88"/>
    </row>
    <row r="1556" ht="38.25">
      <c r="A1556" s="69">
        <v>1801000080</v>
      </c>
      <c r="B1556" s="89" t="s">
        <v>16964</v>
      </c>
      <c r="C1556" s="88" t="s">
        <v>29</v>
      </c>
      <c r="D1556" s="113"/>
      <c r="E1556" s="113"/>
      <c r="F1556" s="114">
        <v>178.71000000000001</v>
      </c>
      <c r="H1556" s="88" t="s">
        <v>29</v>
      </c>
      <c r="I1556" s="113"/>
      <c r="J1556" s="113"/>
      <c r="K1556" s="114">
        <v>176.68000000000001</v>
      </c>
      <c r="L1556" s="88"/>
      <c r="M1556" s="88"/>
    </row>
    <row r="1557" ht="38.25">
      <c r="A1557" s="69">
        <v>1801000085</v>
      </c>
      <c r="B1557" s="89" t="s">
        <v>16965</v>
      </c>
      <c r="C1557" s="88" t="s">
        <v>29</v>
      </c>
      <c r="D1557" s="113"/>
      <c r="E1557" s="113"/>
      <c r="F1557" s="114">
        <v>287.63999999999999</v>
      </c>
      <c r="H1557" s="88" t="s">
        <v>29</v>
      </c>
      <c r="I1557" s="113"/>
      <c r="J1557" s="113"/>
      <c r="K1557" s="114">
        <v>285.18000000000001</v>
      </c>
      <c r="L1557" s="88"/>
      <c r="M1557" s="88"/>
    </row>
    <row r="1558" ht="25.5">
      <c r="A1558" s="69">
        <v>1801000090</v>
      </c>
      <c r="B1558" s="89" t="s">
        <v>16966</v>
      </c>
      <c r="C1558" s="88" t="s">
        <v>29</v>
      </c>
      <c r="D1558" s="113"/>
      <c r="E1558" s="113"/>
      <c r="F1558" s="114">
        <v>198.09</v>
      </c>
      <c r="H1558" s="88" t="s">
        <v>29</v>
      </c>
      <c r="I1558" s="113"/>
      <c r="J1558" s="113"/>
      <c r="K1558" s="114">
        <v>196.06</v>
      </c>
      <c r="L1558" s="88"/>
      <c r="M1558" s="88"/>
    </row>
    <row r="1559" ht="38.25">
      <c r="A1559" s="69">
        <v>1801000095</v>
      </c>
      <c r="B1559" s="89" t="s">
        <v>16967</v>
      </c>
      <c r="C1559" s="88" t="s">
        <v>29</v>
      </c>
      <c r="D1559" s="113"/>
      <c r="E1559" s="113"/>
      <c r="F1559" s="114">
        <v>307.01999999999998</v>
      </c>
      <c r="H1559" s="88" t="s">
        <v>29</v>
      </c>
      <c r="I1559" s="113"/>
      <c r="J1559" s="113"/>
      <c r="K1559" s="114">
        <v>304.56</v>
      </c>
      <c r="L1559" s="88"/>
      <c r="M1559" s="88"/>
    </row>
    <row r="1560" ht="25.5">
      <c r="A1560" s="108">
        <v>1801000102</v>
      </c>
      <c r="B1560" s="109" t="s">
        <v>16968</v>
      </c>
      <c r="C1560" s="110" t="s">
        <v>29</v>
      </c>
      <c r="D1560" s="111">
        <v>144.41</v>
      </c>
      <c r="E1560" s="111">
        <v>27.84</v>
      </c>
      <c r="F1560" s="112">
        <v>172.25</v>
      </c>
      <c r="H1560" s="110" t="s">
        <v>29</v>
      </c>
      <c r="I1560" s="111">
        <v>144.41</v>
      </c>
      <c r="J1560" s="111">
        <v>25.809999999999999</v>
      </c>
      <c r="K1560" s="112">
        <v>170.22</v>
      </c>
      <c r="L1560" s="88"/>
      <c r="M1560" s="88"/>
    </row>
    <row r="1561" ht="38.25">
      <c r="A1561" s="108">
        <v>1801000104</v>
      </c>
      <c r="B1561" s="109" t="s">
        <v>16969</v>
      </c>
      <c r="C1561" s="110" t="s">
        <v>29</v>
      </c>
      <c r="D1561" s="111">
        <v>247.44</v>
      </c>
      <c r="E1561" s="111">
        <v>33.740000000000002</v>
      </c>
      <c r="F1561" s="112">
        <v>281.18000000000001</v>
      </c>
      <c r="H1561" s="110" t="s">
        <v>29</v>
      </c>
      <c r="I1561" s="111">
        <v>247.44</v>
      </c>
      <c r="J1561" s="111">
        <v>31.280000000000001</v>
      </c>
      <c r="K1561" s="112">
        <v>278.72000000000003</v>
      </c>
      <c r="L1561" s="88"/>
      <c r="M1561" s="88"/>
    </row>
    <row r="1562" ht="38.25">
      <c r="A1562" s="69">
        <v>1801000105</v>
      </c>
      <c r="B1562" s="89" t="s">
        <v>16970</v>
      </c>
      <c r="C1562" s="88" t="s">
        <v>29</v>
      </c>
      <c r="D1562" s="113"/>
      <c r="E1562" s="113"/>
      <c r="F1562" s="114">
        <v>249.75</v>
      </c>
      <c r="H1562" s="88" t="s">
        <v>29</v>
      </c>
      <c r="I1562" s="113"/>
      <c r="J1562" s="113"/>
      <c r="K1562" s="114">
        <v>247.72</v>
      </c>
      <c r="L1562" s="88"/>
      <c r="M1562" s="88"/>
    </row>
    <row r="1563" ht="38.25">
      <c r="A1563" s="69">
        <v>1801000106</v>
      </c>
      <c r="B1563" s="89" t="s">
        <v>16971</v>
      </c>
      <c r="C1563" s="88" t="s">
        <v>29</v>
      </c>
      <c r="D1563" s="113"/>
      <c r="E1563" s="113"/>
      <c r="F1563" s="114">
        <v>358.68000000000001</v>
      </c>
      <c r="H1563" s="88" t="s">
        <v>29</v>
      </c>
      <c r="I1563" s="113"/>
      <c r="J1563" s="113"/>
      <c r="K1563" s="114">
        <v>356.22000000000003</v>
      </c>
      <c r="L1563" s="88"/>
      <c r="M1563" s="88"/>
    </row>
    <row r="1564" ht="38.25">
      <c r="A1564" s="69">
        <v>1801000108</v>
      </c>
      <c r="B1564" s="89" t="s">
        <v>16972</v>
      </c>
      <c r="C1564" s="88" t="s">
        <v>29</v>
      </c>
      <c r="D1564" s="113"/>
      <c r="E1564" s="113"/>
      <c r="F1564" s="114">
        <v>495.87</v>
      </c>
      <c r="H1564" s="88" t="s">
        <v>29</v>
      </c>
      <c r="I1564" s="113"/>
      <c r="J1564" s="113"/>
      <c r="K1564" s="114">
        <v>494.36000000000001</v>
      </c>
      <c r="L1564" s="88"/>
      <c r="M1564" s="88"/>
    </row>
    <row r="1565" ht="25.5">
      <c r="A1565" s="69">
        <v>1801000110</v>
      </c>
      <c r="B1565" s="89" t="s">
        <v>16973</v>
      </c>
      <c r="C1565" s="88" t="s">
        <v>29</v>
      </c>
      <c r="D1565" s="113"/>
      <c r="E1565" s="113"/>
      <c r="F1565" s="114">
        <v>405.98000000000002</v>
      </c>
      <c r="H1565" s="88" t="s">
        <v>29</v>
      </c>
      <c r="I1565" s="113"/>
      <c r="J1565" s="113"/>
      <c r="K1565" s="114">
        <v>400.98000000000002</v>
      </c>
      <c r="L1565" s="88"/>
      <c r="M1565" s="88"/>
    </row>
    <row r="1566" ht="25.5">
      <c r="A1566" s="69">
        <v>1801000112</v>
      </c>
      <c r="B1566" s="89" t="s">
        <v>16974</v>
      </c>
      <c r="C1566" s="88" t="s">
        <v>29</v>
      </c>
      <c r="D1566" s="113"/>
      <c r="E1566" s="113"/>
      <c r="F1566" s="114">
        <v>465.79000000000002</v>
      </c>
      <c r="H1566" s="88" t="s">
        <v>29</v>
      </c>
      <c r="I1566" s="113"/>
      <c r="J1566" s="113"/>
      <c r="K1566" s="114">
        <v>461.04000000000002</v>
      </c>
      <c r="L1566" s="88"/>
      <c r="M1566" s="88"/>
    </row>
    <row r="1567" ht="25.5">
      <c r="A1567" s="69">
        <v>1801000114</v>
      </c>
      <c r="B1567" s="89" t="s">
        <v>16975</v>
      </c>
      <c r="C1567" s="88" t="s">
        <v>29</v>
      </c>
      <c r="D1567" s="113"/>
      <c r="E1567" s="113"/>
      <c r="F1567" s="114">
        <v>548.64999999999998</v>
      </c>
      <c r="H1567" s="88" t="s">
        <v>29</v>
      </c>
      <c r="I1567" s="113"/>
      <c r="J1567" s="113"/>
      <c r="K1567" s="114">
        <v>544.19000000000005</v>
      </c>
      <c r="L1567" s="88"/>
      <c r="M1567" s="88"/>
    </row>
    <row r="1568" ht="38.25">
      <c r="A1568" s="108">
        <v>1801000120</v>
      </c>
      <c r="B1568" s="109" t="s">
        <v>16976</v>
      </c>
      <c r="C1568" s="110" t="s">
        <v>29</v>
      </c>
      <c r="D1568" s="111">
        <v>463.17000000000002</v>
      </c>
      <c r="E1568" s="111">
        <v>54.189999999999998</v>
      </c>
      <c r="F1568" s="112">
        <v>517.36000000000001</v>
      </c>
      <c r="H1568" s="110" t="s">
        <v>29</v>
      </c>
      <c r="I1568" s="111">
        <v>463.17000000000002</v>
      </c>
      <c r="J1568" s="111">
        <v>50.18</v>
      </c>
      <c r="K1568" s="112">
        <v>513.35000000000002</v>
      </c>
      <c r="L1568" s="88"/>
      <c r="M1568" s="88"/>
    </row>
    <row r="1569" ht="38.25">
      <c r="A1569" s="69">
        <v>1801000130</v>
      </c>
      <c r="B1569" s="89" t="s">
        <v>16977</v>
      </c>
      <c r="C1569" s="88" t="s">
        <v>29</v>
      </c>
      <c r="D1569" s="113"/>
      <c r="E1569" s="113"/>
      <c r="F1569" s="114">
        <v>670.67999999999995</v>
      </c>
      <c r="H1569" s="88" t="s">
        <v>29</v>
      </c>
      <c r="I1569" s="113"/>
      <c r="J1569" s="113"/>
      <c r="K1569" s="114">
        <v>659.04999999999995</v>
      </c>
      <c r="L1569" s="88"/>
      <c r="M1569" s="88"/>
    </row>
    <row r="1570" ht="51">
      <c r="A1570" s="69">
        <v>1801000132</v>
      </c>
      <c r="B1570" s="89" t="s">
        <v>16978</v>
      </c>
      <c r="C1570" s="88" t="s">
        <v>29</v>
      </c>
      <c r="D1570" s="113"/>
      <c r="E1570" s="113"/>
      <c r="F1570" s="114">
        <v>660.38999999999999</v>
      </c>
      <c r="H1570" s="88" t="s">
        <v>29</v>
      </c>
      <c r="I1570" s="113"/>
      <c r="J1570" s="113"/>
      <c r="K1570" s="114">
        <v>648.83000000000004</v>
      </c>
      <c r="L1570" s="88"/>
      <c r="M1570" s="88"/>
    </row>
    <row r="1571">
      <c r="D1571" s="113"/>
      <c r="E1571" s="113"/>
      <c r="F1571" s="114"/>
      <c r="H1571" s="88"/>
      <c r="I1571" s="113"/>
      <c r="J1571" s="113"/>
      <c r="K1571" s="114"/>
      <c r="L1571" s="88"/>
      <c r="M1571" s="88"/>
    </row>
    <row r="1572">
      <c r="B1572" s="102" t="s">
        <v>16979</v>
      </c>
      <c r="D1572" s="113"/>
      <c r="E1572" s="113"/>
      <c r="F1572" s="114"/>
      <c r="H1572" s="88"/>
      <c r="I1572" s="113"/>
      <c r="J1572" s="113"/>
      <c r="K1572" s="114"/>
      <c r="L1572" s="88"/>
      <c r="M1572" s="88"/>
    </row>
    <row r="1573">
      <c r="D1573" s="113"/>
      <c r="E1573" s="113"/>
      <c r="F1573" s="114"/>
      <c r="H1573" s="88"/>
      <c r="I1573" s="113"/>
      <c r="J1573" s="113"/>
      <c r="K1573" s="114"/>
      <c r="L1573" s="88"/>
      <c r="M1573" s="88"/>
    </row>
    <row r="1574">
      <c r="A1574" s="88" t="s">
        <v>15547</v>
      </c>
      <c r="B1574" s="89" t="s">
        <v>15548</v>
      </c>
      <c r="C1574" s="88" t="s">
        <v>15337</v>
      </c>
      <c r="D1574" s="113" t="s">
        <v>10460</v>
      </c>
      <c r="E1574" s="113" t="s">
        <v>15549</v>
      </c>
      <c r="F1574" s="114" t="s">
        <v>15550</v>
      </c>
      <c r="H1574" s="88" t="s">
        <v>15337</v>
      </c>
      <c r="I1574" s="113" t="s">
        <v>10460</v>
      </c>
      <c r="J1574" s="113" t="s">
        <v>15549</v>
      </c>
      <c r="K1574" s="114" t="s">
        <v>15550</v>
      </c>
      <c r="L1574" s="88"/>
      <c r="M1574" s="88"/>
    </row>
    <row r="1575">
      <c r="D1575" s="113"/>
      <c r="E1575" s="113"/>
      <c r="F1575" s="114"/>
      <c r="H1575" s="88"/>
      <c r="I1575" s="113"/>
      <c r="J1575" s="113"/>
      <c r="K1575" s="114"/>
      <c r="L1575" s="88"/>
      <c r="M1575" s="88"/>
    </row>
    <row r="1576" ht="25.5">
      <c r="A1576" s="108">
        <v>1901003010</v>
      </c>
      <c r="B1576" s="109" t="s">
        <v>16980</v>
      </c>
      <c r="C1576" s="110" t="s">
        <v>29</v>
      </c>
      <c r="D1576" s="111">
        <v>0.63</v>
      </c>
      <c r="E1576" s="111">
        <v>1.78</v>
      </c>
      <c r="F1576" s="112">
        <v>2.4100000000000001</v>
      </c>
      <c r="H1576" s="110" t="s">
        <v>29</v>
      </c>
      <c r="I1576" s="111">
        <v>0.63</v>
      </c>
      <c r="J1576" s="111">
        <v>1.6499999999999999</v>
      </c>
      <c r="K1576" s="112">
        <v>2.2799999999999998</v>
      </c>
      <c r="L1576" s="88"/>
      <c r="M1576" s="88"/>
    </row>
    <row r="1577" ht="25.5">
      <c r="A1577" s="69">
        <v>1901003016</v>
      </c>
      <c r="B1577" s="89" t="s">
        <v>16981</v>
      </c>
      <c r="C1577" s="88" t="s">
        <v>29</v>
      </c>
      <c r="D1577" s="113"/>
      <c r="E1577" s="113"/>
      <c r="F1577" s="114">
        <v>4.5099999999999998</v>
      </c>
      <c r="H1577" s="88" t="s">
        <v>29</v>
      </c>
      <c r="I1577" s="113"/>
      <c r="J1577" s="113"/>
      <c r="K1577" s="114">
        <v>4.2800000000000002</v>
      </c>
      <c r="L1577" s="88"/>
      <c r="M1577" s="88"/>
    </row>
    <row r="1578" ht="25.5">
      <c r="A1578" s="69">
        <v>1901003017</v>
      </c>
      <c r="B1578" s="89" t="s">
        <v>16982</v>
      </c>
      <c r="C1578" s="88" t="s">
        <v>29</v>
      </c>
      <c r="D1578" s="113"/>
      <c r="E1578" s="113"/>
      <c r="F1578" s="114">
        <v>3.6099999999999999</v>
      </c>
      <c r="H1578" s="88" t="s">
        <v>29</v>
      </c>
      <c r="I1578" s="113"/>
      <c r="J1578" s="113"/>
      <c r="K1578" s="114">
        <v>3.4399999999999999</v>
      </c>
      <c r="L1578" s="88"/>
      <c r="M1578" s="88"/>
    </row>
    <row r="1579" ht="38.25">
      <c r="A1579" s="69">
        <v>1901003020</v>
      </c>
      <c r="B1579" s="89" t="s">
        <v>16983</v>
      </c>
      <c r="C1579" s="88" t="s">
        <v>29</v>
      </c>
      <c r="D1579" s="113"/>
      <c r="E1579" s="113"/>
      <c r="F1579" s="114">
        <v>10.57</v>
      </c>
      <c r="H1579" s="88" t="s">
        <v>29</v>
      </c>
      <c r="I1579" s="113"/>
      <c r="J1579" s="113"/>
      <c r="K1579" s="114">
        <v>10.44</v>
      </c>
      <c r="L1579" s="88"/>
      <c r="M1579" s="88"/>
    </row>
    <row r="1580" ht="38.25">
      <c r="A1580" s="69">
        <v>1901003025</v>
      </c>
      <c r="B1580" s="89" t="s">
        <v>16984</v>
      </c>
      <c r="C1580" s="88" t="s">
        <v>29</v>
      </c>
      <c r="D1580" s="113"/>
      <c r="E1580" s="113"/>
      <c r="F1580" s="114">
        <v>17.789999999999999</v>
      </c>
      <c r="H1580" s="88" t="s">
        <v>29</v>
      </c>
      <c r="I1580" s="113"/>
      <c r="J1580" s="113"/>
      <c r="K1580" s="114">
        <v>16.899999999999999</v>
      </c>
      <c r="L1580" s="88"/>
      <c r="M1580" s="88"/>
    </row>
    <row r="1581" ht="38.25">
      <c r="A1581" s="69">
        <v>1901003030</v>
      </c>
      <c r="B1581" s="89" t="s">
        <v>16985</v>
      </c>
      <c r="C1581" s="88" t="s">
        <v>29</v>
      </c>
      <c r="D1581" s="113"/>
      <c r="E1581" s="113"/>
      <c r="F1581" s="114">
        <v>30.870000000000001</v>
      </c>
      <c r="H1581" s="88" t="s">
        <v>29</v>
      </c>
      <c r="I1581" s="113"/>
      <c r="J1581" s="113"/>
      <c r="K1581" s="114">
        <v>29.039999999999999</v>
      </c>
      <c r="L1581" s="88"/>
      <c r="M1581" s="88"/>
    </row>
    <row r="1582" ht="25.5">
      <c r="A1582" s="108">
        <v>1901003033</v>
      </c>
      <c r="B1582" s="109" t="s">
        <v>16986</v>
      </c>
      <c r="C1582" s="110" t="s">
        <v>29</v>
      </c>
      <c r="D1582" s="111">
        <v>10.74</v>
      </c>
      <c r="E1582" s="111">
        <v>18.620000000000001</v>
      </c>
      <c r="F1582" s="112">
        <v>29.359999999999999</v>
      </c>
      <c r="H1582" s="110" t="s">
        <v>29</v>
      </c>
      <c r="I1582" s="111">
        <v>10.74</v>
      </c>
      <c r="J1582" s="111">
        <v>17.280000000000001</v>
      </c>
      <c r="K1582" s="112">
        <v>28.02</v>
      </c>
      <c r="L1582" s="88"/>
      <c r="M1582" s="88"/>
    </row>
    <row r="1583" ht="25.5">
      <c r="A1583" s="108">
        <v>1901003035</v>
      </c>
      <c r="B1583" s="109" t="s">
        <v>16987</v>
      </c>
      <c r="C1583" s="110" t="s">
        <v>29</v>
      </c>
      <c r="D1583" s="111">
        <v>9.1999999999999993</v>
      </c>
      <c r="E1583" s="111">
        <v>15.82</v>
      </c>
      <c r="F1583" s="112">
        <v>25.02</v>
      </c>
      <c r="H1583" s="110" t="s">
        <v>29</v>
      </c>
      <c r="I1583" s="111">
        <v>9.1999999999999993</v>
      </c>
      <c r="J1583" s="111">
        <v>14.68</v>
      </c>
      <c r="K1583" s="112">
        <v>23.879999999999999</v>
      </c>
      <c r="L1583" s="88"/>
      <c r="M1583" s="88"/>
    </row>
    <row r="1584" ht="25.5">
      <c r="A1584" s="69">
        <v>1901003115</v>
      </c>
      <c r="B1584" s="89" t="s">
        <v>16988</v>
      </c>
      <c r="C1584" s="88" t="s">
        <v>29</v>
      </c>
      <c r="D1584" s="113"/>
      <c r="E1584" s="113"/>
      <c r="F1584" s="114">
        <v>14.529999999999999</v>
      </c>
      <c r="H1584" s="88" t="s">
        <v>29</v>
      </c>
      <c r="I1584" s="113"/>
      <c r="J1584" s="113"/>
      <c r="K1584" s="114">
        <v>13.960000000000001</v>
      </c>
      <c r="L1584" s="88"/>
      <c r="M1584" s="88"/>
    </row>
    <row r="1585" ht="25.5">
      <c r="A1585" s="69">
        <v>1901003120</v>
      </c>
      <c r="B1585" s="89" t="s">
        <v>16989</v>
      </c>
      <c r="C1585" s="88" t="s">
        <v>29</v>
      </c>
      <c r="D1585" s="113"/>
      <c r="E1585" s="113"/>
      <c r="F1585" s="114">
        <v>12.33</v>
      </c>
      <c r="H1585" s="88" t="s">
        <v>29</v>
      </c>
      <c r="I1585" s="113"/>
      <c r="J1585" s="113"/>
      <c r="K1585" s="114">
        <v>11.93</v>
      </c>
      <c r="L1585" s="88"/>
      <c r="M1585" s="88"/>
    </row>
    <row r="1586" ht="25.5">
      <c r="A1586" s="108">
        <v>1901003135</v>
      </c>
      <c r="B1586" s="109" t="s">
        <v>16990</v>
      </c>
      <c r="C1586" s="110" t="s">
        <v>29</v>
      </c>
      <c r="D1586" s="111">
        <v>3.6200000000000001</v>
      </c>
      <c r="E1586" s="111">
        <v>22.010000000000002</v>
      </c>
      <c r="F1586" s="112">
        <v>25.629999999999999</v>
      </c>
      <c r="H1586" s="110" t="s">
        <v>29</v>
      </c>
      <c r="I1586" s="111">
        <v>3.6200000000000001</v>
      </c>
      <c r="J1586" s="111">
        <v>20.43</v>
      </c>
      <c r="K1586" s="112">
        <v>24.050000000000001</v>
      </c>
      <c r="L1586" s="88"/>
      <c r="M1586" s="88"/>
    </row>
    <row r="1587" ht="38.25">
      <c r="A1587" s="69">
        <v>1901003140</v>
      </c>
      <c r="B1587" s="89" t="s">
        <v>16991</v>
      </c>
      <c r="C1587" s="88" t="s">
        <v>29</v>
      </c>
      <c r="D1587" s="113"/>
      <c r="E1587" s="113"/>
      <c r="F1587" s="114">
        <v>19.780000000000001</v>
      </c>
      <c r="H1587" s="88" t="s">
        <v>29</v>
      </c>
      <c r="I1587" s="113"/>
      <c r="J1587" s="113"/>
      <c r="K1587" s="114">
        <v>19.07</v>
      </c>
      <c r="L1587" s="88"/>
      <c r="M1587" s="88"/>
    </row>
    <row r="1588" ht="51">
      <c r="A1588" s="69">
        <v>1901003190</v>
      </c>
      <c r="B1588" s="89" t="s">
        <v>16992</v>
      </c>
      <c r="C1588" s="88" t="s">
        <v>29</v>
      </c>
      <c r="D1588" s="113"/>
      <c r="E1588" s="113"/>
      <c r="F1588" s="114">
        <v>47.640000000000001</v>
      </c>
      <c r="H1588" s="88" t="s">
        <v>29</v>
      </c>
      <c r="I1588" s="113"/>
      <c r="J1588" s="113"/>
      <c r="K1588" s="114">
        <v>44.960000000000001</v>
      </c>
      <c r="L1588" s="88"/>
      <c r="M1588" s="88"/>
    </row>
    <row r="1589" ht="51">
      <c r="A1589" s="69">
        <v>1901003193</v>
      </c>
      <c r="B1589" s="89" t="s">
        <v>16993</v>
      </c>
      <c r="C1589" s="88" t="s">
        <v>29</v>
      </c>
      <c r="D1589" s="113"/>
      <c r="E1589" s="113"/>
      <c r="F1589" s="114">
        <v>46.780000000000001</v>
      </c>
      <c r="H1589" s="88" t="s">
        <v>29</v>
      </c>
      <c r="I1589" s="113"/>
      <c r="J1589" s="113"/>
      <c r="K1589" s="114">
        <v>44.700000000000003</v>
      </c>
      <c r="L1589" s="88"/>
      <c r="M1589" s="88"/>
    </row>
    <row r="1590">
      <c r="A1590" s="108">
        <v>1901003205</v>
      </c>
      <c r="B1590" s="109" t="s">
        <v>16994</v>
      </c>
      <c r="C1590" s="110" t="s">
        <v>29</v>
      </c>
      <c r="D1590" s="111">
        <v>4.6299999999999999</v>
      </c>
      <c r="E1590" s="111">
        <v>14.449999999999999</v>
      </c>
      <c r="F1590" s="112">
        <v>19.079999999999998</v>
      </c>
      <c r="H1590" s="110" t="s">
        <v>29</v>
      </c>
      <c r="I1590" s="111">
        <v>4.6299999999999999</v>
      </c>
      <c r="J1590" s="111">
        <v>13.4</v>
      </c>
      <c r="K1590" s="112">
        <v>18.030000000000001</v>
      </c>
      <c r="L1590" s="88"/>
      <c r="M1590" s="88"/>
    </row>
    <row r="1591" ht="25.5">
      <c r="A1591" s="108">
        <v>1901003210</v>
      </c>
      <c r="B1591" s="109" t="s">
        <v>16995</v>
      </c>
      <c r="C1591" s="110" t="s">
        <v>29</v>
      </c>
      <c r="D1591" s="111">
        <v>7.8399999999999999</v>
      </c>
      <c r="E1591" s="111">
        <v>18.18</v>
      </c>
      <c r="F1591" s="112">
        <v>26.02</v>
      </c>
      <c r="H1591" s="110" t="s">
        <v>29</v>
      </c>
      <c r="I1591" s="111">
        <v>7.8399999999999999</v>
      </c>
      <c r="J1591" s="111">
        <v>16.870000000000001</v>
      </c>
      <c r="K1591" s="112">
        <v>24.710000000000001</v>
      </c>
      <c r="L1591" s="88"/>
      <c r="M1591" s="88"/>
    </row>
    <row r="1592" ht="38.25">
      <c r="A1592" s="69">
        <v>1901003215</v>
      </c>
      <c r="B1592" s="89" t="s">
        <v>16996</v>
      </c>
      <c r="C1592" s="88" t="s">
        <v>29</v>
      </c>
      <c r="D1592" s="113"/>
      <c r="E1592" s="113"/>
      <c r="F1592" s="114">
        <v>16.18</v>
      </c>
      <c r="H1592" s="88" t="s">
        <v>29</v>
      </c>
      <c r="I1592" s="113"/>
      <c r="J1592" s="113"/>
      <c r="K1592" s="114">
        <v>15.42</v>
      </c>
      <c r="L1592" s="88"/>
      <c r="M1592" s="88"/>
    </row>
    <row r="1593" ht="38.25">
      <c r="A1593" s="69">
        <v>1901003220</v>
      </c>
      <c r="B1593" s="89" t="s">
        <v>16997</v>
      </c>
      <c r="C1593" s="88" t="s">
        <v>29</v>
      </c>
      <c r="D1593" s="113"/>
      <c r="E1593" s="113"/>
      <c r="F1593" s="114">
        <v>15.42</v>
      </c>
      <c r="H1593" s="88" t="s">
        <v>29</v>
      </c>
      <c r="I1593" s="113"/>
      <c r="J1593" s="113"/>
      <c r="K1593" s="114">
        <v>14.66</v>
      </c>
      <c r="L1593" s="88"/>
      <c r="M1593" s="88"/>
    </row>
    <row r="1594" ht="51">
      <c r="A1594" s="69">
        <v>1901003225</v>
      </c>
      <c r="B1594" s="89" t="s">
        <v>16998</v>
      </c>
      <c r="C1594" s="88" t="s">
        <v>29</v>
      </c>
      <c r="D1594" s="113"/>
      <c r="E1594" s="113"/>
      <c r="F1594" s="114">
        <v>23.66</v>
      </c>
      <c r="H1594" s="88" t="s">
        <v>29</v>
      </c>
      <c r="I1594" s="113"/>
      <c r="J1594" s="113"/>
      <c r="K1594" s="114">
        <v>22.309999999999999</v>
      </c>
      <c r="L1594" s="88"/>
      <c r="M1594" s="88"/>
    </row>
    <row r="1595" ht="51">
      <c r="A1595" s="69">
        <v>1901003235</v>
      </c>
      <c r="B1595" s="89" t="s">
        <v>16999</v>
      </c>
      <c r="C1595" s="88" t="s">
        <v>29</v>
      </c>
      <c r="D1595" s="113"/>
      <c r="E1595" s="113"/>
      <c r="F1595" s="114">
        <v>26.370000000000001</v>
      </c>
      <c r="H1595" s="88" t="s">
        <v>29</v>
      </c>
      <c r="I1595" s="113"/>
      <c r="J1595" s="113"/>
      <c r="K1595" s="114">
        <v>25.02</v>
      </c>
      <c r="L1595" s="88"/>
      <c r="M1595" s="88"/>
    </row>
    <row r="1596" ht="51">
      <c r="A1596" s="69">
        <v>1901003240</v>
      </c>
      <c r="B1596" s="89" t="s">
        <v>17000</v>
      </c>
      <c r="C1596" s="88" t="s">
        <v>29</v>
      </c>
      <c r="D1596" s="113"/>
      <c r="E1596" s="113"/>
      <c r="F1596" s="114">
        <v>47.460000000000001</v>
      </c>
      <c r="H1596" s="88" t="s">
        <v>29</v>
      </c>
      <c r="I1596" s="113"/>
      <c r="J1596" s="113"/>
      <c r="K1596" s="114">
        <v>44.780000000000001</v>
      </c>
      <c r="L1596" s="88"/>
      <c r="M1596" s="88"/>
    </row>
    <row r="1597" ht="38.25">
      <c r="A1597" s="69">
        <v>1901003245</v>
      </c>
      <c r="B1597" s="89" t="s">
        <v>17001</v>
      </c>
      <c r="C1597" s="88" t="s">
        <v>38</v>
      </c>
      <c r="D1597" s="113"/>
      <c r="E1597" s="113"/>
      <c r="F1597" s="114">
        <v>9.5899999999999999</v>
      </c>
      <c r="H1597" s="88" t="s">
        <v>38</v>
      </c>
      <c r="I1597" s="113"/>
      <c r="J1597" s="113"/>
      <c r="K1597" s="114">
        <v>8.9700000000000006</v>
      </c>
      <c r="L1597" s="88"/>
      <c r="M1597" s="88"/>
    </row>
    <row r="1598" ht="25.5">
      <c r="A1598" s="108">
        <v>1901003305</v>
      </c>
      <c r="B1598" s="109" t="s">
        <v>17002</v>
      </c>
      <c r="C1598" s="110" t="s">
        <v>29</v>
      </c>
      <c r="D1598" s="111">
        <v>6.3600000000000003</v>
      </c>
      <c r="E1598" s="111">
        <v>11.17</v>
      </c>
      <c r="F1598" s="112">
        <v>17.530000000000001</v>
      </c>
      <c r="H1598" s="110" t="s">
        <v>29</v>
      </c>
      <c r="I1598" s="111">
        <v>6.3600000000000003</v>
      </c>
      <c r="J1598" s="111">
        <v>10.359999999999999</v>
      </c>
      <c r="K1598" s="112">
        <v>16.719999999999999</v>
      </c>
      <c r="L1598" s="88"/>
      <c r="M1598" s="88"/>
    </row>
    <row r="1599" ht="25.5">
      <c r="A1599" s="69">
        <v>1901003310</v>
      </c>
      <c r="B1599" s="89" t="s">
        <v>17003</v>
      </c>
      <c r="C1599" s="88" t="s">
        <v>29</v>
      </c>
      <c r="D1599" s="113"/>
      <c r="E1599" s="113"/>
      <c r="F1599" s="114">
        <v>29.539999999999999</v>
      </c>
      <c r="H1599" s="88" t="s">
        <v>29</v>
      </c>
      <c r="I1599" s="113"/>
      <c r="J1599" s="113"/>
      <c r="K1599" s="114">
        <v>28.140000000000001</v>
      </c>
      <c r="L1599" s="88"/>
      <c r="M1599" s="88"/>
    </row>
    <row r="1600">
      <c r="A1600" s="108">
        <v>1901003315</v>
      </c>
      <c r="B1600" s="109" t="s">
        <v>17004</v>
      </c>
      <c r="C1600" s="110" t="s">
        <v>29</v>
      </c>
      <c r="D1600" s="111">
        <v>5.6299999999999999</v>
      </c>
      <c r="E1600" s="111">
        <v>11.17</v>
      </c>
      <c r="F1600" s="112">
        <v>16.800000000000001</v>
      </c>
      <c r="H1600" s="110" t="s">
        <v>29</v>
      </c>
      <c r="I1600" s="111">
        <v>5.6299999999999999</v>
      </c>
      <c r="J1600" s="111">
        <v>10.359999999999999</v>
      </c>
      <c r="K1600" s="112">
        <v>15.99</v>
      </c>
      <c r="L1600" s="88"/>
      <c r="M1600" s="88"/>
    </row>
    <row r="1601" ht="25.5">
      <c r="A1601" s="69">
        <v>1901003320</v>
      </c>
      <c r="B1601" s="89" t="s">
        <v>17005</v>
      </c>
      <c r="C1601" s="88" t="s">
        <v>29</v>
      </c>
      <c r="D1601" s="113"/>
      <c r="E1601" s="113"/>
      <c r="F1601" s="114">
        <v>19.690000000000001</v>
      </c>
      <c r="H1601" s="88" t="s">
        <v>29</v>
      </c>
      <c r="I1601" s="113"/>
      <c r="J1601" s="113"/>
      <c r="K1601" s="114">
        <v>18.760000000000002</v>
      </c>
      <c r="L1601" s="88"/>
      <c r="M1601" s="88"/>
    </row>
    <row r="1602" ht="25.5">
      <c r="A1602" s="108">
        <v>1901003335</v>
      </c>
      <c r="B1602" s="109" t="s">
        <v>17006</v>
      </c>
      <c r="C1602" s="110" t="s">
        <v>29</v>
      </c>
      <c r="D1602" s="111">
        <v>9.1099999999999994</v>
      </c>
      <c r="E1602" s="111">
        <v>14.449999999999999</v>
      </c>
      <c r="F1602" s="112">
        <v>23.559999999999999</v>
      </c>
      <c r="H1602" s="110" t="s">
        <v>29</v>
      </c>
      <c r="I1602" s="111">
        <v>9.1099999999999994</v>
      </c>
      <c r="J1602" s="111">
        <v>13.4</v>
      </c>
      <c r="K1602" s="112">
        <v>22.510000000000002</v>
      </c>
      <c r="L1602" s="88"/>
      <c r="M1602" s="88"/>
    </row>
    <row r="1603" ht="38.25">
      <c r="A1603" s="108">
        <v>1901003505</v>
      </c>
      <c r="B1603" s="109" t="s">
        <v>17007</v>
      </c>
      <c r="C1603" s="110" t="s">
        <v>29</v>
      </c>
      <c r="D1603" s="111">
        <v>21.859999999999999</v>
      </c>
      <c r="E1603" s="111">
        <v>20.559999999999999</v>
      </c>
      <c r="F1603" s="112">
        <v>42.420000000000002</v>
      </c>
      <c r="H1603" s="110" t="s">
        <v>29</v>
      </c>
      <c r="I1603" s="111">
        <v>21.859999999999999</v>
      </c>
      <c r="J1603" s="111">
        <v>19.079999999999998</v>
      </c>
      <c r="K1603" s="112">
        <v>40.939999999999998</v>
      </c>
      <c r="L1603" s="88"/>
      <c r="M1603" s="88"/>
    </row>
    <row r="1604" ht="25.5">
      <c r="A1604" s="69">
        <v>1901003515</v>
      </c>
      <c r="B1604" s="89" t="s">
        <v>17008</v>
      </c>
      <c r="C1604" s="88" t="s">
        <v>29</v>
      </c>
      <c r="D1604" s="113"/>
      <c r="E1604" s="113"/>
      <c r="F1604" s="114">
        <v>13.07</v>
      </c>
      <c r="H1604" s="88" t="s">
        <v>29</v>
      </c>
      <c r="I1604" s="113"/>
      <c r="J1604" s="113"/>
      <c r="K1604" s="114">
        <v>12.69</v>
      </c>
      <c r="L1604" s="88"/>
      <c r="M1604" s="88"/>
    </row>
    <row r="1605" ht="25.5">
      <c r="A1605" s="69">
        <v>1901003518</v>
      </c>
      <c r="B1605" s="89" t="s">
        <v>17009</v>
      </c>
      <c r="C1605" s="88" t="s">
        <v>29</v>
      </c>
      <c r="D1605" s="113"/>
      <c r="E1605" s="113"/>
      <c r="F1605" s="114">
        <v>15.15</v>
      </c>
      <c r="H1605" s="88" t="s">
        <v>29</v>
      </c>
      <c r="I1605" s="113"/>
      <c r="J1605" s="113"/>
      <c r="K1605" s="114">
        <v>14.609999999999999</v>
      </c>
      <c r="L1605" s="88"/>
      <c r="M1605" s="88"/>
    </row>
    <row r="1606">
      <c r="D1606" s="113"/>
      <c r="E1606" s="113"/>
      <c r="F1606" s="114"/>
      <c r="H1606" s="88"/>
      <c r="I1606" s="113"/>
      <c r="J1606" s="113"/>
      <c r="K1606" s="114"/>
      <c r="L1606" s="88"/>
      <c r="M1606" s="88"/>
    </row>
    <row r="1607">
      <c r="B1607" s="102" t="s">
        <v>17010</v>
      </c>
      <c r="D1607" s="113"/>
      <c r="E1607" s="113"/>
      <c r="F1607" s="114"/>
      <c r="H1607" s="88"/>
      <c r="I1607" s="113"/>
      <c r="J1607" s="113"/>
      <c r="K1607" s="114"/>
      <c r="L1607" s="88"/>
      <c r="M1607" s="88"/>
    </row>
    <row r="1608">
      <c r="D1608" s="113"/>
      <c r="E1608" s="113"/>
      <c r="F1608" s="114"/>
      <c r="H1608" s="88"/>
      <c r="I1608" s="113"/>
      <c r="J1608" s="113"/>
      <c r="K1608" s="114"/>
      <c r="L1608" s="88"/>
      <c r="M1608" s="88"/>
    </row>
    <row r="1609">
      <c r="A1609" s="88" t="s">
        <v>15547</v>
      </c>
      <c r="B1609" s="89" t="s">
        <v>15548</v>
      </c>
      <c r="C1609" s="88" t="s">
        <v>15337</v>
      </c>
      <c r="D1609" s="113" t="s">
        <v>10460</v>
      </c>
      <c r="E1609" s="113" t="s">
        <v>15549</v>
      </c>
      <c r="F1609" s="114" t="s">
        <v>15550</v>
      </c>
      <c r="H1609" s="88" t="s">
        <v>15337</v>
      </c>
      <c r="I1609" s="113" t="s">
        <v>10460</v>
      </c>
      <c r="J1609" s="113" t="s">
        <v>15549</v>
      </c>
      <c r="K1609" s="114" t="s">
        <v>15550</v>
      </c>
      <c r="L1609" s="88"/>
      <c r="M1609" s="88"/>
    </row>
    <row r="1610">
      <c r="D1610" s="113"/>
      <c r="E1610" s="113"/>
      <c r="F1610" s="114"/>
      <c r="H1610" s="88"/>
      <c r="I1610" s="113"/>
      <c r="J1610" s="113"/>
      <c r="K1610" s="114"/>
      <c r="L1610" s="88"/>
      <c r="M1610" s="88"/>
    </row>
    <row r="1611">
      <c r="B1611" s="89" t="s">
        <v>16645</v>
      </c>
      <c r="D1611" s="113"/>
      <c r="E1611" s="113"/>
      <c r="F1611" s="114"/>
      <c r="H1611" s="88"/>
      <c r="I1611" s="113"/>
      <c r="J1611" s="113"/>
      <c r="K1611" s="114"/>
      <c r="L1611" s="88"/>
      <c r="M1611" s="88"/>
    </row>
    <row r="1612" ht="38.25">
      <c r="A1612" s="108">
        <v>2401001000</v>
      </c>
      <c r="B1612" s="109" t="s">
        <v>17011</v>
      </c>
      <c r="C1612" s="110" t="s">
        <v>31</v>
      </c>
      <c r="D1612" s="111">
        <v>182.16999999999999</v>
      </c>
      <c r="E1612" s="111">
        <v>4.8399999999999999</v>
      </c>
      <c r="F1612" s="112">
        <v>187.00999999999999</v>
      </c>
      <c r="H1612" s="110" t="s">
        <v>31</v>
      </c>
      <c r="I1612" s="111">
        <v>182.16999999999999</v>
      </c>
      <c r="J1612" s="111">
        <v>4.4699999999999998</v>
      </c>
      <c r="K1612" s="112">
        <v>186.63999999999999</v>
      </c>
      <c r="L1612" s="88"/>
      <c r="M1612" s="88"/>
    </row>
    <row r="1613" ht="63.75">
      <c r="A1613" s="69">
        <v>2401001005</v>
      </c>
      <c r="B1613" s="89" t="s">
        <v>17012</v>
      </c>
      <c r="C1613" s="88" t="s">
        <v>31</v>
      </c>
      <c r="D1613" s="113"/>
      <c r="E1613" s="113"/>
      <c r="F1613" s="114">
        <v>795.11000000000001</v>
      </c>
      <c r="H1613" s="88" t="s">
        <v>31</v>
      </c>
      <c r="I1613" s="113"/>
      <c r="J1613" s="113"/>
      <c r="K1613" s="114">
        <v>791.98000000000002</v>
      </c>
      <c r="L1613" s="88"/>
      <c r="M1613" s="88"/>
    </row>
    <row r="1614" ht="51">
      <c r="A1614" s="108">
        <v>2401001007</v>
      </c>
      <c r="B1614" s="109" t="s">
        <v>17013</v>
      </c>
      <c r="C1614" s="110" t="s">
        <v>31</v>
      </c>
      <c r="D1614" s="111">
        <v>2131.0799999999999</v>
      </c>
      <c r="E1614" s="111">
        <v>28.5</v>
      </c>
      <c r="F1614" s="112">
        <v>2159.5799999999999</v>
      </c>
      <c r="H1614" s="110" t="s">
        <v>31</v>
      </c>
      <c r="I1614" s="111">
        <v>2131.0799999999999</v>
      </c>
      <c r="J1614" s="111">
        <v>26.300000000000001</v>
      </c>
      <c r="K1614" s="112">
        <v>2157.3800000000001</v>
      </c>
      <c r="L1614" s="88"/>
      <c r="M1614" s="88"/>
    </row>
    <row r="1615" ht="51">
      <c r="A1615" s="108">
        <v>2401001010</v>
      </c>
      <c r="B1615" s="109" t="s">
        <v>17014</v>
      </c>
      <c r="C1615" s="110" t="s">
        <v>31</v>
      </c>
      <c r="D1615" s="111">
        <v>1838.79</v>
      </c>
      <c r="E1615" s="111">
        <v>69.25</v>
      </c>
      <c r="F1615" s="112">
        <v>1908.04</v>
      </c>
      <c r="H1615" s="110" t="s">
        <v>31</v>
      </c>
      <c r="I1615" s="111">
        <v>1837.3399999999999</v>
      </c>
      <c r="J1615" s="111">
        <v>63.880000000000003</v>
      </c>
      <c r="K1615" s="112">
        <v>1901.22</v>
      </c>
      <c r="L1615" s="88"/>
      <c r="M1615" s="88"/>
    </row>
    <row r="1616" ht="38.25">
      <c r="A1616" s="108">
        <v>2401001015</v>
      </c>
      <c r="B1616" s="109" t="s">
        <v>17015</v>
      </c>
      <c r="C1616" s="110" t="s">
        <v>31</v>
      </c>
      <c r="D1616" s="111">
        <v>462.68000000000001</v>
      </c>
      <c r="E1616" s="111">
        <v>3.5099999999999998</v>
      </c>
      <c r="F1616" s="112">
        <v>466.19</v>
      </c>
      <c r="H1616" s="110" t="s">
        <v>31</v>
      </c>
      <c r="I1616" s="111">
        <v>462.68000000000001</v>
      </c>
      <c r="J1616" s="111">
        <v>3.25</v>
      </c>
      <c r="K1616" s="112">
        <v>465.93000000000001</v>
      </c>
      <c r="L1616" s="88"/>
      <c r="M1616" s="88"/>
    </row>
    <row r="1617" ht="25.5">
      <c r="A1617" s="108">
        <v>2401001017</v>
      </c>
      <c r="B1617" s="109" t="s">
        <v>17016</v>
      </c>
      <c r="C1617" s="110" t="s">
        <v>31</v>
      </c>
      <c r="D1617" s="111">
        <v>1119.0899999999999</v>
      </c>
      <c r="E1617" s="111">
        <v>16.600000000000001</v>
      </c>
      <c r="F1617" s="112">
        <v>1135.6900000000001</v>
      </c>
      <c r="H1617" s="110" t="s">
        <v>31</v>
      </c>
      <c r="I1617" s="111">
        <v>1119.0899999999999</v>
      </c>
      <c r="J1617" s="111">
        <v>15.33</v>
      </c>
      <c r="K1617" s="112">
        <v>1134.4200000000001</v>
      </c>
      <c r="L1617" s="88"/>
      <c r="M1617" s="88"/>
    </row>
    <row r="1618" ht="25.5">
      <c r="A1618" s="108">
        <v>2401001020</v>
      </c>
      <c r="B1618" s="109" t="s">
        <v>17017</v>
      </c>
      <c r="C1618" s="110" t="s">
        <v>31</v>
      </c>
      <c r="D1618" s="111">
        <v>207.19999999999999</v>
      </c>
      <c r="E1618" s="111">
        <v>13.6</v>
      </c>
      <c r="F1618" s="112">
        <v>220.80000000000001</v>
      </c>
      <c r="H1618" s="110" t="s">
        <v>31</v>
      </c>
      <c r="I1618" s="111">
        <v>207.19999999999999</v>
      </c>
      <c r="J1618" s="111">
        <v>12.550000000000001</v>
      </c>
      <c r="K1618" s="112">
        <v>219.75</v>
      </c>
      <c r="L1618" s="88"/>
      <c r="M1618" s="88"/>
    </row>
    <row r="1619" ht="25.5">
      <c r="A1619" s="108">
        <v>2401001022</v>
      </c>
      <c r="B1619" s="109" t="s">
        <v>17018</v>
      </c>
      <c r="C1619" s="110" t="s">
        <v>31</v>
      </c>
      <c r="D1619" s="111">
        <v>1011.27</v>
      </c>
      <c r="E1619" s="111">
        <v>22.859999999999999</v>
      </c>
      <c r="F1619" s="112">
        <v>1034.1300000000001</v>
      </c>
      <c r="H1619" s="110" t="s">
        <v>31</v>
      </c>
      <c r="I1619" s="111">
        <v>1011.27</v>
      </c>
      <c r="J1619" s="111">
        <v>21.09</v>
      </c>
      <c r="K1619" s="112">
        <v>1032.3599999999999</v>
      </c>
      <c r="L1619" s="88"/>
      <c r="M1619" s="88"/>
    </row>
    <row r="1620">
      <c r="D1620" s="113"/>
      <c r="E1620" s="113"/>
      <c r="F1620" s="114"/>
      <c r="H1620" s="88"/>
      <c r="I1620" s="113"/>
      <c r="J1620" s="113"/>
      <c r="K1620" s="114"/>
      <c r="L1620" s="88"/>
      <c r="M1620" s="88"/>
    </row>
    <row r="1621">
      <c r="B1621" s="89" t="s">
        <v>17019</v>
      </c>
      <c r="D1621" s="113"/>
      <c r="E1621" s="113"/>
      <c r="F1621" s="114"/>
      <c r="H1621" s="88"/>
      <c r="I1621" s="113"/>
      <c r="J1621" s="113"/>
      <c r="K1621" s="114"/>
      <c r="L1621" s="88"/>
      <c r="M1621" s="88"/>
    </row>
    <row r="1622" ht="38.25">
      <c r="A1622" s="69">
        <v>2401002000</v>
      </c>
      <c r="B1622" s="89" t="s">
        <v>17020</v>
      </c>
      <c r="C1622" s="88" t="s">
        <v>31</v>
      </c>
      <c r="D1622" s="113"/>
      <c r="E1622" s="113"/>
      <c r="F1622" s="114">
        <v>394.13999999999999</v>
      </c>
      <c r="H1622" s="88" t="s">
        <v>31</v>
      </c>
      <c r="I1622" s="113"/>
      <c r="J1622" s="113"/>
      <c r="K1622" s="114">
        <v>391.81</v>
      </c>
      <c r="L1622" s="88"/>
      <c r="M1622" s="88"/>
    </row>
    <row r="1623" ht="38.25">
      <c r="A1623" s="69">
        <v>2401002005</v>
      </c>
      <c r="B1623" s="89" t="s">
        <v>17021</v>
      </c>
      <c r="C1623" s="88" t="s">
        <v>31</v>
      </c>
      <c r="D1623" s="113"/>
      <c r="E1623" s="113"/>
      <c r="F1623" s="114">
        <v>380.12</v>
      </c>
      <c r="H1623" s="88" t="s">
        <v>31</v>
      </c>
      <c r="I1623" s="113"/>
      <c r="J1623" s="113"/>
      <c r="K1623" s="114">
        <v>377.79000000000002</v>
      </c>
      <c r="L1623" s="88"/>
      <c r="M1623" s="88"/>
    </row>
    <row r="1624" ht="25.5">
      <c r="A1624" s="108">
        <v>2401002010</v>
      </c>
      <c r="B1624" s="109" t="s">
        <v>17022</v>
      </c>
      <c r="C1624" s="110" t="s">
        <v>31</v>
      </c>
      <c r="D1624" s="111">
        <v>273.42000000000002</v>
      </c>
      <c r="E1624" s="111">
        <v>30.77</v>
      </c>
      <c r="F1624" s="112">
        <v>304.19</v>
      </c>
      <c r="H1624" s="110" t="s">
        <v>31</v>
      </c>
      <c r="I1624" s="111">
        <v>273.42000000000002</v>
      </c>
      <c r="J1624" s="111">
        <v>28.43</v>
      </c>
      <c r="K1624" s="112">
        <v>301.85000000000002</v>
      </c>
      <c r="L1624" s="88"/>
      <c r="M1624" s="88"/>
    </row>
    <row r="1625" ht="25.5">
      <c r="A1625" s="108">
        <v>2401002012</v>
      </c>
      <c r="B1625" s="109" t="s">
        <v>17023</v>
      </c>
      <c r="C1625" s="110" t="s">
        <v>31</v>
      </c>
      <c r="D1625" s="111">
        <v>284.14999999999998</v>
      </c>
      <c r="E1625" s="111">
        <v>29.940000000000001</v>
      </c>
      <c r="F1625" s="112">
        <v>314.08999999999997</v>
      </c>
      <c r="H1625" s="110" t="s">
        <v>31</v>
      </c>
      <c r="I1625" s="111">
        <v>284.14999999999998</v>
      </c>
      <c r="J1625" s="111">
        <v>27.609999999999999</v>
      </c>
      <c r="K1625" s="112">
        <v>311.75999999999999</v>
      </c>
      <c r="L1625" s="88"/>
      <c r="M1625" s="88"/>
    </row>
    <row r="1626" ht="38.25">
      <c r="A1626" s="69">
        <v>2401002015</v>
      </c>
      <c r="B1626" s="89" t="s">
        <v>17024</v>
      </c>
      <c r="C1626" s="88" t="s">
        <v>31</v>
      </c>
      <c r="D1626" s="113"/>
      <c r="E1626" s="113"/>
      <c r="F1626" s="114">
        <v>649.58000000000004</v>
      </c>
      <c r="H1626" s="88" t="s">
        <v>31</v>
      </c>
      <c r="I1626" s="113"/>
      <c r="J1626" s="113"/>
      <c r="K1626" s="114">
        <v>648.01999999999998</v>
      </c>
      <c r="L1626" s="88"/>
      <c r="M1626" s="88"/>
    </row>
    <row r="1627" ht="38.25">
      <c r="A1627" s="69">
        <v>2401002020</v>
      </c>
      <c r="B1627" s="89" t="s">
        <v>17025</v>
      </c>
      <c r="C1627" s="88" t="s">
        <v>31</v>
      </c>
      <c r="D1627" s="113"/>
      <c r="E1627" s="113"/>
      <c r="F1627" s="114">
        <v>359.06</v>
      </c>
      <c r="H1627" s="88" t="s">
        <v>31</v>
      </c>
      <c r="I1627" s="113"/>
      <c r="J1627" s="113"/>
      <c r="K1627" s="114">
        <v>356.73000000000002</v>
      </c>
      <c r="L1627" s="88"/>
      <c r="M1627" s="88"/>
    </row>
    <row r="1628" ht="38.25">
      <c r="A1628" s="69">
        <v>2401002025</v>
      </c>
      <c r="B1628" s="89" t="s">
        <v>17026</v>
      </c>
      <c r="C1628" s="88" t="s">
        <v>31</v>
      </c>
      <c r="D1628" s="113"/>
      <c r="E1628" s="113"/>
      <c r="F1628" s="114">
        <v>685.5</v>
      </c>
      <c r="H1628" s="88" t="s">
        <v>31</v>
      </c>
      <c r="I1628" s="113"/>
      <c r="J1628" s="113"/>
      <c r="K1628" s="114">
        <v>682.00999999999999</v>
      </c>
      <c r="L1628" s="88"/>
      <c r="M1628" s="88"/>
    </row>
    <row r="1629" ht="38.25">
      <c r="A1629" s="69">
        <v>2401002030</v>
      </c>
      <c r="B1629" s="89" t="s">
        <v>17027</v>
      </c>
      <c r="C1629" s="88" t="s">
        <v>31</v>
      </c>
      <c r="D1629" s="113"/>
      <c r="E1629" s="113"/>
      <c r="F1629" s="114">
        <v>1201.49</v>
      </c>
      <c r="H1629" s="88" t="s">
        <v>31</v>
      </c>
      <c r="I1629" s="113"/>
      <c r="J1629" s="113"/>
      <c r="K1629" s="114">
        <v>1198.3900000000001</v>
      </c>
      <c r="L1629" s="88"/>
      <c r="M1629" s="88"/>
    </row>
    <row r="1630" ht="38.25">
      <c r="A1630" s="108">
        <v>2401002035</v>
      </c>
      <c r="B1630" s="109" t="s">
        <v>17028</v>
      </c>
      <c r="C1630" s="110" t="s">
        <v>31</v>
      </c>
      <c r="D1630" s="111">
        <v>2159.25</v>
      </c>
      <c r="E1630" s="111">
        <v>7.8600000000000003</v>
      </c>
      <c r="F1630" s="112">
        <v>2167.1100000000001</v>
      </c>
      <c r="H1630" s="110" t="s">
        <v>31</v>
      </c>
      <c r="I1630" s="111">
        <v>2159.25</v>
      </c>
      <c r="J1630" s="111">
        <v>7.29</v>
      </c>
      <c r="K1630" s="112">
        <v>2166.54</v>
      </c>
      <c r="L1630" s="88"/>
      <c r="M1630" s="88"/>
    </row>
    <row r="1631" ht="25.5">
      <c r="A1631" s="108">
        <v>2401002040</v>
      </c>
      <c r="B1631" s="109" t="s">
        <v>17029</v>
      </c>
      <c r="C1631" s="110" t="s">
        <v>38</v>
      </c>
      <c r="D1631" s="111">
        <v>9.2400000000000002</v>
      </c>
      <c r="E1631" s="111">
        <v>3.6000000000000001</v>
      </c>
      <c r="F1631" s="112">
        <v>12.84</v>
      </c>
      <c r="H1631" s="110" t="s">
        <v>38</v>
      </c>
      <c r="I1631" s="111">
        <v>9.2400000000000002</v>
      </c>
      <c r="J1631" s="111">
        <v>3.3399999999999999</v>
      </c>
      <c r="K1631" s="112">
        <v>12.58</v>
      </c>
      <c r="L1631" s="88"/>
      <c r="M1631" s="88"/>
    </row>
    <row r="1632" ht="25.5">
      <c r="A1632" s="108">
        <v>2401002045</v>
      </c>
      <c r="B1632" s="109" t="s">
        <v>17030</v>
      </c>
      <c r="C1632" s="110" t="s">
        <v>38</v>
      </c>
      <c r="D1632" s="111">
        <v>26.829999999999998</v>
      </c>
      <c r="E1632" s="111">
        <v>3.6000000000000001</v>
      </c>
      <c r="F1632" s="112">
        <v>30.43</v>
      </c>
      <c r="H1632" s="110" t="s">
        <v>38</v>
      </c>
      <c r="I1632" s="111">
        <v>26.829999999999998</v>
      </c>
      <c r="J1632" s="111">
        <v>3.3399999999999999</v>
      </c>
      <c r="K1632" s="112">
        <v>30.170000000000002</v>
      </c>
      <c r="L1632" s="88"/>
      <c r="M1632" s="88"/>
    </row>
    <row r="1633" ht="25.5">
      <c r="A1633" s="108">
        <v>2401002047</v>
      </c>
      <c r="B1633" s="109" t="s">
        <v>17031</v>
      </c>
      <c r="C1633" s="110" t="s">
        <v>31</v>
      </c>
      <c r="D1633" s="111">
        <v>2.8300000000000001</v>
      </c>
      <c r="E1633" s="111">
        <v>0.71999999999999997</v>
      </c>
      <c r="F1633" s="112">
        <v>3.5499999999999998</v>
      </c>
      <c r="H1633" s="110" t="s">
        <v>31</v>
      </c>
      <c r="I1633" s="111">
        <v>2.8300000000000001</v>
      </c>
      <c r="J1633" s="111">
        <v>0.66000000000000003</v>
      </c>
      <c r="K1633" s="112">
        <v>3.4900000000000002</v>
      </c>
      <c r="L1633" s="88"/>
      <c r="M1633" s="88"/>
    </row>
    <row r="1634" ht="25.5">
      <c r="A1634" s="108">
        <v>2401002050</v>
      </c>
      <c r="B1634" s="109" t="s">
        <v>17032</v>
      </c>
      <c r="C1634" s="110" t="s">
        <v>31</v>
      </c>
      <c r="D1634" s="111">
        <v>239.94</v>
      </c>
      <c r="E1634" s="111">
        <v>11.5</v>
      </c>
      <c r="F1634" s="112">
        <v>251.44</v>
      </c>
      <c r="H1634" s="110" t="s">
        <v>31</v>
      </c>
      <c r="I1634" s="111">
        <v>239.94</v>
      </c>
      <c r="J1634" s="111">
        <v>10.65</v>
      </c>
      <c r="K1634" s="112">
        <v>250.59</v>
      </c>
      <c r="L1634" s="88"/>
      <c r="M1634" s="88"/>
    </row>
    <row r="1635" ht="51">
      <c r="A1635" s="108">
        <v>2401002052</v>
      </c>
      <c r="B1635" s="109" t="s">
        <v>17033</v>
      </c>
      <c r="C1635" s="110" t="s">
        <v>31</v>
      </c>
      <c r="D1635" s="111">
        <v>57.100000000000001</v>
      </c>
      <c r="E1635" s="111">
        <v>3.6000000000000001</v>
      </c>
      <c r="F1635" s="112">
        <v>60.700000000000003</v>
      </c>
      <c r="H1635" s="110" t="s">
        <v>31</v>
      </c>
      <c r="I1635" s="111">
        <v>57.100000000000001</v>
      </c>
      <c r="J1635" s="111">
        <v>3.3399999999999999</v>
      </c>
      <c r="K1635" s="112">
        <v>60.439999999999998</v>
      </c>
      <c r="L1635" s="88"/>
      <c r="M1635" s="88"/>
    </row>
    <row r="1636" ht="51">
      <c r="A1636" s="108">
        <v>2401002053</v>
      </c>
      <c r="B1636" s="109" t="s">
        <v>17034</v>
      </c>
      <c r="C1636" s="110" t="s">
        <v>31</v>
      </c>
      <c r="D1636" s="111">
        <v>55.909999999999997</v>
      </c>
      <c r="E1636" s="111">
        <v>3.6000000000000001</v>
      </c>
      <c r="F1636" s="112">
        <v>59.509999999999998</v>
      </c>
      <c r="H1636" s="110" t="s">
        <v>31</v>
      </c>
      <c r="I1636" s="111">
        <v>55.909999999999997</v>
      </c>
      <c r="J1636" s="111">
        <v>3.3399999999999999</v>
      </c>
      <c r="K1636" s="112">
        <v>59.25</v>
      </c>
      <c r="L1636" s="88"/>
      <c r="M1636" s="88"/>
    </row>
    <row r="1637" ht="25.5">
      <c r="A1637" s="108">
        <v>2401002055</v>
      </c>
      <c r="B1637" s="109" t="s">
        <v>17035</v>
      </c>
      <c r="C1637" s="110" t="s">
        <v>31</v>
      </c>
      <c r="D1637" s="111">
        <v>7.2699999999999996</v>
      </c>
      <c r="E1637" s="111">
        <v>3.6000000000000001</v>
      </c>
      <c r="F1637" s="112">
        <v>10.869999999999999</v>
      </c>
      <c r="H1637" s="110" t="s">
        <v>31</v>
      </c>
      <c r="I1637" s="111">
        <v>7.2699999999999996</v>
      </c>
      <c r="J1637" s="111">
        <v>3.3399999999999999</v>
      </c>
      <c r="K1637" s="112">
        <v>10.609999999999999</v>
      </c>
      <c r="L1637" s="88"/>
      <c r="M1637" s="88"/>
    </row>
    <row r="1638" ht="38.25">
      <c r="A1638" s="108">
        <v>2401002057</v>
      </c>
      <c r="B1638" s="109" t="s">
        <v>17036</v>
      </c>
      <c r="C1638" s="110" t="s">
        <v>31</v>
      </c>
      <c r="D1638" s="111">
        <v>72.510000000000005</v>
      </c>
      <c r="E1638" s="111">
        <v>3.6000000000000001</v>
      </c>
      <c r="F1638" s="112">
        <v>76.109999999999999</v>
      </c>
      <c r="H1638" s="110" t="s">
        <v>31</v>
      </c>
      <c r="I1638" s="111">
        <v>72.510000000000005</v>
      </c>
      <c r="J1638" s="111">
        <v>3.3399999999999999</v>
      </c>
      <c r="K1638" s="112">
        <v>75.849999999999994</v>
      </c>
      <c r="L1638" s="88"/>
      <c r="M1638" s="88"/>
    </row>
    <row r="1639" ht="38.25">
      <c r="A1639" s="108">
        <v>2401002058</v>
      </c>
      <c r="B1639" s="109" t="s">
        <v>17037</v>
      </c>
      <c r="C1639" s="110" t="s">
        <v>31</v>
      </c>
      <c r="D1639" s="111">
        <v>74.379999999999995</v>
      </c>
      <c r="E1639" s="111">
        <v>3.6000000000000001</v>
      </c>
      <c r="F1639" s="112">
        <v>77.980000000000004</v>
      </c>
      <c r="H1639" s="110" t="s">
        <v>31</v>
      </c>
      <c r="I1639" s="111">
        <v>74.379999999999995</v>
      </c>
      <c r="J1639" s="111">
        <v>3.3399999999999999</v>
      </c>
      <c r="K1639" s="112">
        <v>77.719999999999999</v>
      </c>
      <c r="L1639" s="88"/>
      <c r="M1639" s="88"/>
    </row>
    <row r="1640" ht="38.25">
      <c r="A1640" s="108">
        <v>2401002060</v>
      </c>
      <c r="B1640" s="109" t="s">
        <v>17038</v>
      </c>
      <c r="C1640" s="110" t="s">
        <v>31</v>
      </c>
      <c r="D1640" s="111">
        <v>20.760000000000002</v>
      </c>
      <c r="E1640" s="111">
        <v>56.109999999999999</v>
      </c>
      <c r="F1640" s="112">
        <v>76.870000000000005</v>
      </c>
      <c r="H1640" s="110" t="s">
        <v>31</v>
      </c>
      <c r="I1640" s="111">
        <v>20.760000000000002</v>
      </c>
      <c r="J1640" s="111">
        <v>52.030000000000001</v>
      </c>
      <c r="K1640" s="112">
        <v>72.790000000000006</v>
      </c>
      <c r="L1640" s="88"/>
      <c r="M1640" s="88"/>
    </row>
    <row r="1641" ht="38.25">
      <c r="A1641" s="108">
        <v>2401002061</v>
      </c>
      <c r="B1641" s="109" t="s">
        <v>17039</v>
      </c>
      <c r="C1641" s="110" t="s">
        <v>31</v>
      </c>
      <c r="D1641" s="111">
        <v>11.25</v>
      </c>
      <c r="E1641" s="111">
        <v>28.050000000000001</v>
      </c>
      <c r="F1641" s="112">
        <v>39.299999999999997</v>
      </c>
      <c r="H1641" s="110" t="s">
        <v>31</v>
      </c>
      <c r="I1641" s="111">
        <v>11.25</v>
      </c>
      <c r="J1641" s="111">
        <v>26.010000000000002</v>
      </c>
      <c r="K1641" s="112">
        <v>37.259999999999998</v>
      </c>
      <c r="L1641" s="88"/>
      <c r="M1641" s="88"/>
    </row>
    <row r="1642" ht="38.25">
      <c r="A1642" s="108">
        <v>2401002063</v>
      </c>
      <c r="B1642" s="109" t="s">
        <v>17040</v>
      </c>
      <c r="C1642" s="110" t="s">
        <v>31</v>
      </c>
      <c r="D1642" s="111">
        <v>38.310000000000002</v>
      </c>
      <c r="E1642" s="111">
        <v>112.22</v>
      </c>
      <c r="F1642" s="112">
        <v>150.53</v>
      </c>
      <c r="H1642" s="110" t="s">
        <v>31</v>
      </c>
      <c r="I1642" s="111">
        <v>38.310000000000002</v>
      </c>
      <c r="J1642" s="111">
        <v>104.08</v>
      </c>
      <c r="K1642" s="112">
        <v>142.38999999999999</v>
      </c>
      <c r="L1642" s="88"/>
      <c r="M1642" s="88"/>
    </row>
    <row r="1643" ht="63.75">
      <c r="A1643" s="108">
        <v>2401002065</v>
      </c>
      <c r="B1643" s="109" t="s">
        <v>17041</v>
      </c>
      <c r="C1643" s="110" t="s">
        <v>11798</v>
      </c>
      <c r="D1643" s="111">
        <v>251.08000000000001</v>
      </c>
      <c r="E1643" s="111">
        <v>37.189999999999998</v>
      </c>
      <c r="F1643" s="112">
        <v>288.26999999999998</v>
      </c>
      <c r="H1643" s="110" t="s">
        <v>11798</v>
      </c>
      <c r="I1643" s="111">
        <v>251.08000000000001</v>
      </c>
      <c r="J1643" s="111">
        <v>34.399999999999999</v>
      </c>
      <c r="K1643" s="112">
        <v>285.48000000000002</v>
      </c>
      <c r="L1643" s="88"/>
      <c r="M1643" s="88"/>
    </row>
    <row r="1644" ht="63.75">
      <c r="A1644" s="108">
        <v>2401002070</v>
      </c>
      <c r="B1644" s="109" t="s">
        <v>17042</v>
      </c>
      <c r="C1644" s="110" t="s">
        <v>31</v>
      </c>
      <c r="D1644" s="111">
        <v>315.25999999999999</v>
      </c>
      <c r="E1644" s="111">
        <v>25.289999999999999</v>
      </c>
      <c r="F1644" s="112">
        <v>340.55000000000001</v>
      </c>
      <c r="H1644" s="110" t="s">
        <v>31</v>
      </c>
      <c r="I1644" s="111">
        <v>315.25999999999999</v>
      </c>
      <c r="J1644" s="111">
        <v>23.390000000000001</v>
      </c>
      <c r="K1644" s="112">
        <v>338.64999999999998</v>
      </c>
      <c r="L1644" s="88"/>
      <c r="M1644" s="88"/>
    </row>
    <row r="1645" ht="51">
      <c r="A1645" s="108">
        <v>2401002075</v>
      </c>
      <c r="B1645" s="109" t="s">
        <v>17043</v>
      </c>
      <c r="C1645" s="110" t="s">
        <v>31</v>
      </c>
      <c r="D1645" s="111">
        <v>209.88999999999999</v>
      </c>
      <c r="E1645" s="111">
        <v>25.289999999999999</v>
      </c>
      <c r="F1645" s="112">
        <v>235.18000000000001</v>
      </c>
      <c r="H1645" s="110" t="s">
        <v>31</v>
      </c>
      <c r="I1645" s="111">
        <v>209.88999999999999</v>
      </c>
      <c r="J1645" s="111">
        <v>23.390000000000001</v>
      </c>
      <c r="K1645" s="112">
        <v>233.28</v>
      </c>
      <c r="L1645" s="88"/>
      <c r="M1645" s="88"/>
    </row>
    <row r="1646" ht="38.25">
      <c r="A1646" s="108">
        <v>2401002080</v>
      </c>
      <c r="B1646" s="109" t="s">
        <v>17044</v>
      </c>
      <c r="C1646" s="110" t="s">
        <v>31</v>
      </c>
      <c r="D1646" s="111">
        <v>178.44999999999999</v>
      </c>
      <c r="E1646" s="111">
        <v>64.829999999999998</v>
      </c>
      <c r="F1646" s="112">
        <v>243.28</v>
      </c>
      <c r="H1646" s="110" t="s">
        <v>31</v>
      </c>
      <c r="I1646" s="111">
        <v>178.44999999999999</v>
      </c>
      <c r="J1646" s="111">
        <v>60.090000000000003</v>
      </c>
      <c r="K1646" s="112">
        <v>238.53999999999999</v>
      </c>
      <c r="L1646" s="88"/>
      <c r="M1646" s="88"/>
    </row>
    <row r="1647" ht="63.75">
      <c r="A1647" s="108">
        <v>2401002085</v>
      </c>
      <c r="B1647" s="109" t="s">
        <v>17045</v>
      </c>
      <c r="C1647" s="110" t="s">
        <v>11798</v>
      </c>
      <c r="D1647" s="111">
        <v>2143.0300000000002</v>
      </c>
      <c r="E1647" s="111">
        <v>7.2000000000000002</v>
      </c>
      <c r="F1647" s="112">
        <v>2150.23</v>
      </c>
      <c r="H1647" s="110" t="s">
        <v>11798</v>
      </c>
      <c r="I1647" s="111">
        <v>2143.0300000000002</v>
      </c>
      <c r="J1647" s="111">
        <v>6.6699999999999999</v>
      </c>
      <c r="K1647" s="112">
        <v>2149.6999999999998</v>
      </c>
      <c r="L1647" s="88"/>
      <c r="M1647" s="88"/>
    </row>
    <row r="1648">
      <c r="D1648" s="113"/>
      <c r="E1648" s="113"/>
      <c r="F1648" s="114"/>
      <c r="H1648" s="88"/>
      <c r="I1648" s="113"/>
      <c r="J1648" s="113"/>
      <c r="K1648" s="114"/>
      <c r="L1648" s="88"/>
      <c r="M1648" s="88"/>
    </row>
    <row r="1649">
      <c r="B1649" s="89" t="s">
        <v>17046</v>
      </c>
      <c r="D1649" s="113"/>
      <c r="E1649" s="113"/>
      <c r="F1649" s="114"/>
      <c r="H1649" s="88"/>
      <c r="I1649" s="113"/>
      <c r="J1649" s="113"/>
      <c r="K1649" s="114"/>
      <c r="L1649" s="88"/>
      <c r="M1649" s="88"/>
    </row>
    <row r="1650" ht="38.25">
      <c r="A1650" s="108">
        <v>2401003000</v>
      </c>
      <c r="B1650" s="109" t="s">
        <v>17047</v>
      </c>
      <c r="C1650" s="110" t="s">
        <v>31</v>
      </c>
      <c r="D1650" s="111">
        <v>5.5700000000000003</v>
      </c>
      <c r="E1650" s="111">
        <v>3.9399999999999999</v>
      </c>
      <c r="F1650" s="112">
        <v>9.5099999999999998</v>
      </c>
      <c r="H1650" s="110" t="s">
        <v>31</v>
      </c>
      <c r="I1650" s="111">
        <v>5.5700000000000003</v>
      </c>
      <c r="J1650" s="111">
        <v>3.6299999999999999</v>
      </c>
      <c r="K1650" s="112">
        <v>9.1999999999999993</v>
      </c>
      <c r="L1650" s="88"/>
      <c r="M1650" s="88"/>
    </row>
    <row r="1651" ht="38.25">
      <c r="A1651" s="108">
        <v>2401003005</v>
      </c>
      <c r="B1651" s="109" t="s">
        <v>17048</v>
      </c>
      <c r="C1651" s="110" t="s">
        <v>38</v>
      </c>
      <c r="D1651" s="111">
        <v>23.359999999999999</v>
      </c>
      <c r="E1651" s="111">
        <v>15.77</v>
      </c>
      <c r="F1651" s="112">
        <v>39.130000000000003</v>
      </c>
      <c r="H1651" s="110" t="s">
        <v>38</v>
      </c>
      <c r="I1651" s="111">
        <v>23.359999999999999</v>
      </c>
      <c r="J1651" s="111">
        <v>14.57</v>
      </c>
      <c r="K1651" s="112">
        <v>37.93</v>
      </c>
      <c r="L1651" s="88"/>
      <c r="M1651" s="88"/>
    </row>
    <row r="1652" ht="38.25">
      <c r="A1652" s="108">
        <v>2401003010</v>
      </c>
      <c r="B1652" s="109" t="s">
        <v>17049</v>
      </c>
      <c r="C1652" s="110" t="s">
        <v>31</v>
      </c>
      <c r="D1652" s="111">
        <v>17.800000000000001</v>
      </c>
      <c r="E1652" s="111">
        <v>10.09</v>
      </c>
      <c r="F1652" s="112">
        <v>27.890000000000001</v>
      </c>
      <c r="H1652" s="110" t="s">
        <v>31</v>
      </c>
      <c r="I1652" s="111">
        <v>17.800000000000001</v>
      </c>
      <c r="J1652" s="111">
        <v>9.3200000000000003</v>
      </c>
      <c r="K1652" s="112">
        <v>27.120000000000001</v>
      </c>
      <c r="L1652" s="88"/>
      <c r="M1652" s="88"/>
    </row>
    <row r="1653" ht="38.25">
      <c r="A1653" s="108">
        <v>2401003015</v>
      </c>
      <c r="B1653" s="109" t="s">
        <v>17050</v>
      </c>
      <c r="C1653" s="110" t="s">
        <v>38</v>
      </c>
      <c r="D1653" s="111">
        <v>44.549999999999997</v>
      </c>
      <c r="E1653" s="111">
        <v>25.23</v>
      </c>
      <c r="F1653" s="112">
        <v>69.780000000000001</v>
      </c>
      <c r="H1653" s="110" t="s">
        <v>38</v>
      </c>
      <c r="I1653" s="111">
        <v>44.549999999999997</v>
      </c>
      <c r="J1653" s="111">
        <v>23.32</v>
      </c>
      <c r="K1653" s="112">
        <v>67.870000000000005</v>
      </c>
      <c r="L1653" s="88"/>
      <c r="M1653" s="88"/>
    </row>
    <row r="1654" ht="38.25">
      <c r="A1654" s="108">
        <v>2401003020</v>
      </c>
      <c r="B1654" s="109" t="s">
        <v>17051</v>
      </c>
      <c r="C1654" s="110" t="s">
        <v>31</v>
      </c>
      <c r="D1654" s="111">
        <v>18.02</v>
      </c>
      <c r="E1654" s="111">
        <v>3.9399999999999999</v>
      </c>
      <c r="F1654" s="112">
        <v>21.960000000000001</v>
      </c>
      <c r="H1654" s="110" t="s">
        <v>31</v>
      </c>
      <c r="I1654" s="111">
        <v>18.02</v>
      </c>
      <c r="J1654" s="111">
        <v>3.6299999999999999</v>
      </c>
      <c r="K1654" s="112">
        <v>21.649999999999999</v>
      </c>
      <c r="L1654" s="88"/>
      <c r="M1654" s="88"/>
    </row>
    <row r="1655" ht="38.25">
      <c r="A1655" s="108">
        <v>2401003025</v>
      </c>
      <c r="B1655" s="109" t="s">
        <v>17052</v>
      </c>
      <c r="C1655" s="110" t="s">
        <v>38</v>
      </c>
      <c r="D1655" s="111">
        <v>72.090000000000003</v>
      </c>
      <c r="E1655" s="111">
        <v>15.77</v>
      </c>
      <c r="F1655" s="112">
        <v>87.859999999999999</v>
      </c>
      <c r="H1655" s="110" t="s">
        <v>38</v>
      </c>
      <c r="I1655" s="111">
        <v>72.090000000000003</v>
      </c>
      <c r="J1655" s="111">
        <v>14.57</v>
      </c>
      <c r="K1655" s="112">
        <v>86.659999999999997</v>
      </c>
      <c r="L1655" s="88"/>
      <c r="M1655" s="88"/>
    </row>
    <row r="1656" ht="38.25">
      <c r="A1656" s="108">
        <v>2401003030</v>
      </c>
      <c r="B1656" s="109" t="s">
        <v>17053</v>
      </c>
      <c r="C1656" s="110" t="s">
        <v>31</v>
      </c>
      <c r="D1656" s="111">
        <v>43.030000000000001</v>
      </c>
      <c r="E1656" s="111">
        <v>3.9399999999999999</v>
      </c>
      <c r="F1656" s="112">
        <v>46.969999999999999</v>
      </c>
      <c r="H1656" s="110" t="s">
        <v>31</v>
      </c>
      <c r="I1656" s="111">
        <v>43.020000000000003</v>
      </c>
      <c r="J1656" s="111">
        <v>3.6299999999999999</v>
      </c>
      <c r="K1656" s="112">
        <v>46.649999999999999</v>
      </c>
      <c r="L1656" s="88"/>
      <c r="M1656" s="88"/>
    </row>
    <row r="1657" ht="38.25">
      <c r="A1657" s="108">
        <v>2401003035</v>
      </c>
      <c r="B1657" s="109" t="s">
        <v>17054</v>
      </c>
      <c r="C1657" s="110" t="s">
        <v>38</v>
      </c>
      <c r="D1657" s="111">
        <v>172.00999999999999</v>
      </c>
      <c r="E1657" s="111">
        <v>15.77</v>
      </c>
      <c r="F1657" s="112">
        <v>187.78</v>
      </c>
      <c r="H1657" s="110" t="s">
        <v>38</v>
      </c>
      <c r="I1657" s="111">
        <v>171.97999999999999</v>
      </c>
      <c r="J1657" s="111">
        <v>14.57</v>
      </c>
      <c r="K1657" s="112">
        <v>186.55000000000001</v>
      </c>
      <c r="L1657" s="88"/>
      <c r="M1657" s="88"/>
    </row>
    <row r="1658" ht="51">
      <c r="A1658" s="108">
        <v>2401003040</v>
      </c>
      <c r="B1658" s="109" t="s">
        <v>17055</v>
      </c>
      <c r="C1658" s="110" t="s">
        <v>31</v>
      </c>
      <c r="D1658" s="111">
        <v>843.15999999999997</v>
      </c>
      <c r="E1658" s="111">
        <v>0</v>
      </c>
      <c r="F1658" s="112">
        <v>843.15999999999997</v>
      </c>
      <c r="H1658" s="110" t="s">
        <v>31</v>
      </c>
      <c r="I1658" s="111">
        <v>818.39999999999998</v>
      </c>
      <c r="J1658" s="111">
        <v>0</v>
      </c>
      <c r="K1658" s="112">
        <v>818.39999999999998</v>
      </c>
      <c r="L1658" s="88"/>
      <c r="M1658" s="88"/>
    </row>
    <row r="1659">
      <c r="D1659" s="113"/>
      <c r="E1659" s="113"/>
      <c r="F1659" s="114"/>
      <c r="H1659" s="88"/>
      <c r="I1659" s="113"/>
      <c r="J1659" s="113"/>
      <c r="K1659" s="114"/>
      <c r="L1659" s="88"/>
      <c r="M1659" s="88"/>
    </row>
    <row r="1660">
      <c r="B1660" s="102" t="s">
        <v>17056</v>
      </c>
      <c r="D1660" s="113"/>
      <c r="E1660" s="113"/>
      <c r="F1660" s="114"/>
      <c r="H1660" s="88"/>
      <c r="I1660" s="113"/>
      <c r="J1660" s="113"/>
      <c r="K1660" s="114"/>
      <c r="L1660" s="88"/>
      <c r="M1660" s="88"/>
    </row>
    <row r="1661">
      <c r="D1661" s="113"/>
      <c r="E1661" s="113"/>
      <c r="F1661" s="114"/>
      <c r="H1661" s="88"/>
      <c r="I1661" s="113"/>
      <c r="J1661" s="113"/>
      <c r="K1661" s="114"/>
      <c r="L1661" s="88"/>
      <c r="M1661" s="88"/>
    </row>
    <row r="1662">
      <c r="A1662" s="88" t="s">
        <v>15547</v>
      </c>
      <c r="B1662" s="89" t="s">
        <v>15548</v>
      </c>
      <c r="C1662" s="88" t="s">
        <v>15337</v>
      </c>
      <c r="D1662" s="113" t="s">
        <v>10460</v>
      </c>
      <c r="E1662" s="113" t="s">
        <v>15549</v>
      </c>
      <c r="F1662" s="114" t="s">
        <v>15550</v>
      </c>
      <c r="H1662" s="88" t="s">
        <v>15337</v>
      </c>
      <c r="I1662" s="113" t="s">
        <v>10460</v>
      </c>
      <c r="J1662" s="113" t="s">
        <v>15549</v>
      </c>
      <c r="K1662" s="114" t="s">
        <v>15550</v>
      </c>
      <c r="L1662" s="88"/>
      <c r="M1662" s="88"/>
    </row>
    <row r="1663">
      <c r="D1663" s="113"/>
      <c r="E1663" s="113"/>
      <c r="F1663" s="114"/>
      <c r="H1663" s="88"/>
      <c r="I1663" s="113"/>
      <c r="J1663" s="113"/>
      <c r="K1663" s="114"/>
      <c r="L1663" s="88"/>
      <c r="M1663" s="88"/>
    </row>
    <row r="1664" ht="63.75">
      <c r="A1664" s="108">
        <v>2001001038</v>
      </c>
      <c r="B1664" s="109" t="s">
        <v>17057</v>
      </c>
      <c r="C1664" s="110" t="s">
        <v>11798</v>
      </c>
      <c r="D1664" s="111">
        <v>10731.77</v>
      </c>
      <c r="E1664" s="111">
        <v>896.75999999999999</v>
      </c>
      <c r="F1664" s="112">
        <v>11628.530000000001</v>
      </c>
      <c r="H1664" s="110" t="s">
        <v>11798</v>
      </c>
      <c r="I1664" s="111">
        <v>10532.52</v>
      </c>
      <c r="J1664" s="111">
        <v>829.44000000000005</v>
      </c>
      <c r="K1664" s="112">
        <v>11361.959999999999</v>
      </c>
      <c r="L1664" s="88"/>
      <c r="M1664" s="88"/>
    </row>
    <row r="1665" ht="76.5">
      <c r="A1665" s="69">
        <v>2001001040</v>
      </c>
      <c r="B1665" s="89" t="s">
        <v>17058</v>
      </c>
      <c r="C1665" s="88" t="s">
        <v>29</v>
      </c>
      <c r="D1665" s="113"/>
      <c r="E1665" s="113"/>
      <c r="F1665" s="114">
        <v>161.72999999999999</v>
      </c>
      <c r="H1665" s="88" t="s">
        <v>29</v>
      </c>
      <c r="I1665" s="113"/>
      <c r="J1665" s="113"/>
      <c r="K1665" s="114">
        <v>158.25</v>
      </c>
      <c r="L1665" s="88"/>
      <c r="M1665" s="88"/>
    </row>
    <row r="1666" ht="38.25">
      <c r="A1666" s="69">
        <v>2001001045</v>
      </c>
      <c r="B1666" s="89" t="s">
        <v>17059</v>
      </c>
      <c r="C1666" s="88" t="s">
        <v>38</v>
      </c>
      <c r="D1666" s="113"/>
      <c r="E1666" s="113"/>
      <c r="F1666" s="114">
        <v>151.52000000000001</v>
      </c>
      <c r="H1666" s="88" t="s">
        <v>38</v>
      </c>
      <c r="I1666" s="113"/>
      <c r="J1666" s="113"/>
      <c r="K1666" s="114">
        <v>147.49000000000001</v>
      </c>
      <c r="L1666" s="88"/>
      <c r="M1666" s="88"/>
    </row>
    <row r="1667" ht="63.75">
      <c r="A1667" s="69">
        <v>2001001200</v>
      </c>
      <c r="B1667" s="89" t="s">
        <v>17060</v>
      </c>
      <c r="C1667" s="88" t="s">
        <v>29</v>
      </c>
      <c r="D1667" s="113"/>
      <c r="E1667" s="113"/>
      <c r="F1667" s="114">
        <v>151.90000000000001</v>
      </c>
      <c r="H1667" s="88" t="s">
        <v>29</v>
      </c>
      <c r="I1667" s="113"/>
      <c r="J1667" s="113"/>
      <c r="K1667" s="114">
        <v>149.81999999999999</v>
      </c>
      <c r="L1667" s="88"/>
      <c r="M1667" s="88"/>
    </row>
    <row r="1668" ht="25.5">
      <c r="A1668" s="108">
        <v>2001003000</v>
      </c>
      <c r="B1668" s="109" t="s">
        <v>17061</v>
      </c>
      <c r="C1668" s="110" t="s">
        <v>29</v>
      </c>
      <c r="D1668" s="111">
        <v>137.38</v>
      </c>
      <c r="E1668" s="111">
        <v>14.94</v>
      </c>
      <c r="F1668" s="112">
        <v>152.31999999999999</v>
      </c>
      <c r="H1668" s="110" t="s">
        <v>29</v>
      </c>
      <c r="I1668" s="111">
        <v>137.38</v>
      </c>
      <c r="J1668" s="111">
        <v>13.83</v>
      </c>
      <c r="K1668" s="112">
        <v>151.21000000000001</v>
      </c>
      <c r="L1668" s="88"/>
      <c r="M1668" s="88"/>
    </row>
    <row r="1669" ht="25.5">
      <c r="A1669" s="108">
        <v>2001003002</v>
      </c>
      <c r="B1669" s="109" t="s">
        <v>17062</v>
      </c>
      <c r="C1669" s="110" t="s">
        <v>29</v>
      </c>
      <c r="D1669" s="111">
        <v>216.58000000000001</v>
      </c>
      <c r="E1669" s="111">
        <v>53.960000000000001</v>
      </c>
      <c r="F1669" s="112">
        <v>270.54000000000002</v>
      </c>
      <c r="H1669" s="110" t="s">
        <v>29</v>
      </c>
      <c r="I1669" s="111">
        <v>216.58000000000001</v>
      </c>
      <c r="J1669" s="111">
        <v>49.909999999999997</v>
      </c>
      <c r="K1669" s="112">
        <v>266.49000000000001</v>
      </c>
      <c r="L1669" s="88"/>
      <c r="M1669" s="88"/>
    </row>
    <row r="1670">
      <c r="A1670" s="108">
        <v>2001003003</v>
      </c>
      <c r="B1670" s="109" t="s">
        <v>17063</v>
      </c>
      <c r="C1670" s="110" t="s">
        <v>29</v>
      </c>
      <c r="D1670" s="111">
        <v>0</v>
      </c>
      <c r="E1670" s="111">
        <v>18.120000000000001</v>
      </c>
      <c r="F1670" s="112">
        <v>18.120000000000001</v>
      </c>
      <c r="H1670" s="110" t="s">
        <v>29</v>
      </c>
      <c r="I1670" s="111">
        <v>0</v>
      </c>
      <c r="J1670" s="111">
        <v>16.77</v>
      </c>
      <c r="K1670" s="112">
        <v>16.77</v>
      </c>
      <c r="L1670" s="88"/>
      <c r="M1670" s="88"/>
    </row>
    <row r="1671" ht="51">
      <c r="A1671" s="69">
        <v>2001003004</v>
      </c>
      <c r="B1671" s="89" t="s">
        <v>17064</v>
      </c>
      <c r="C1671" s="88" t="s">
        <v>29</v>
      </c>
      <c r="D1671" s="113"/>
      <c r="E1671" s="113"/>
      <c r="F1671" s="114">
        <v>330.19</v>
      </c>
      <c r="H1671" s="88" t="s">
        <v>29</v>
      </c>
      <c r="I1671" s="113"/>
      <c r="J1671" s="113"/>
      <c r="K1671" s="114">
        <v>323.69</v>
      </c>
      <c r="L1671" s="88"/>
      <c r="M1671" s="88"/>
    </row>
    <row r="1672" ht="51">
      <c r="A1672" s="69">
        <v>2001003005</v>
      </c>
      <c r="B1672" s="89" t="s">
        <v>17065</v>
      </c>
      <c r="C1672" s="88" t="s">
        <v>29</v>
      </c>
      <c r="D1672" s="113"/>
      <c r="E1672" s="113"/>
      <c r="F1672" s="114">
        <v>903.09000000000003</v>
      </c>
      <c r="H1672" s="88" t="s">
        <v>29</v>
      </c>
      <c r="I1672" s="113"/>
      <c r="J1672" s="113"/>
      <c r="K1672" s="114">
        <v>895.86000000000001</v>
      </c>
      <c r="L1672" s="88"/>
      <c r="M1672" s="88"/>
    </row>
    <row r="1673" ht="51">
      <c r="A1673" s="108">
        <v>2001003009</v>
      </c>
      <c r="B1673" s="109" t="s">
        <v>17066</v>
      </c>
      <c r="C1673" s="110" t="s">
        <v>38</v>
      </c>
      <c r="D1673" s="111">
        <v>1950.27</v>
      </c>
      <c r="E1673" s="111">
        <v>0</v>
      </c>
      <c r="F1673" s="112">
        <v>1950.27</v>
      </c>
      <c r="H1673" s="110" t="s">
        <v>38</v>
      </c>
      <c r="I1673" s="111">
        <v>1893.77</v>
      </c>
      <c r="J1673" s="111">
        <v>0</v>
      </c>
      <c r="K1673" s="112">
        <v>1893.77</v>
      </c>
      <c r="L1673" s="88"/>
      <c r="M1673" s="88"/>
    </row>
    <row r="1674" ht="25.5">
      <c r="A1674" s="108">
        <v>2001003012</v>
      </c>
      <c r="B1674" s="109" t="s">
        <v>17067</v>
      </c>
      <c r="C1674" s="110" t="s">
        <v>38</v>
      </c>
      <c r="D1674" s="111">
        <v>0</v>
      </c>
      <c r="E1674" s="111">
        <v>824.97000000000003</v>
      </c>
      <c r="F1674" s="112">
        <v>824.97000000000003</v>
      </c>
      <c r="H1674" s="110" t="s">
        <v>38</v>
      </c>
      <c r="I1674" s="111">
        <v>0</v>
      </c>
      <c r="J1674" s="111">
        <v>794.09000000000003</v>
      </c>
      <c r="K1674" s="112">
        <v>794.09000000000003</v>
      </c>
      <c r="L1674" s="88"/>
      <c r="M1674" s="88"/>
    </row>
    <row r="1675" ht="38.25">
      <c r="A1675" s="108">
        <v>2001003013</v>
      </c>
      <c r="B1675" s="109" t="s">
        <v>17068</v>
      </c>
      <c r="C1675" s="110" t="s">
        <v>38</v>
      </c>
      <c r="D1675" s="111">
        <v>0</v>
      </c>
      <c r="E1675" s="111">
        <v>758.83000000000004</v>
      </c>
      <c r="F1675" s="112">
        <v>758.83000000000004</v>
      </c>
      <c r="H1675" s="110" t="s">
        <v>38</v>
      </c>
      <c r="I1675" s="111">
        <v>0</v>
      </c>
      <c r="J1675" s="111">
        <v>730.32000000000005</v>
      </c>
      <c r="K1675" s="112">
        <v>730.32000000000005</v>
      </c>
      <c r="L1675" s="88"/>
      <c r="M1675" s="88"/>
    </row>
    <row r="1676" ht="63.75">
      <c r="A1676" s="108">
        <v>2001003014</v>
      </c>
      <c r="B1676" s="109" t="s">
        <v>17069</v>
      </c>
      <c r="C1676" s="110" t="s">
        <v>38</v>
      </c>
      <c r="D1676" s="111">
        <v>129.21000000000001</v>
      </c>
      <c r="E1676" s="111">
        <v>39.590000000000003</v>
      </c>
      <c r="F1676" s="112">
        <v>168.80000000000001</v>
      </c>
      <c r="H1676" s="110" t="s">
        <v>38</v>
      </c>
      <c r="I1676" s="111">
        <v>128.62</v>
      </c>
      <c r="J1676" s="111">
        <v>36.640000000000001</v>
      </c>
      <c r="K1676" s="112">
        <v>165.25999999999999</v>
      </c>
      <c r="L1676" s="88"/>
      <c r="M1676" s="88"/>
    </row>
    <row r="1677" ht="25.5">
      <c r="A1677" s="108">
        <v>2001003015</v>
      </c>
      <c r="B1677" s="109" t="s">
        <v>17070</v>
      </c>
      <c r="C1677" s="110" t="s">
        <v>38</v>
      </c>
      <c r="D1677" s="111">
        <v>208.31</v>
      </c>
      <c r="E1677" s="111">
        <v>87.430000000000007</v>
      </c>
      <c r="F1677" s="112">
        <v>295.74000000000001</v>
      </c>
      <c r="H1677" s="110" t="s">
        <v>38</v>
      </c>
      <c r="I1677" s="111">
        <v>208.31</v>
      </c>
      <c r="J1677" s="111">
        <v>80.950000000000003</v>
      </c>
      <c r="K1677" s="112">
        <v>289.25999999999999</v>
      </c>
      <c r="L1677" s="88"/>
      <c r="M1677" s="88"/>
    </row>
    <row r="1678" ht="38.25">
      <c r="A1678" s="69">
        <v>2001003016</v>
      </c>
      <c r="B1678" s="89" t="s">
        <v>17071</v>
      </c>
      <c r="C1678" s="88" t="s">
        <v>29</v>
      </c>
      <c r="D1678" s="113"/>
      <c r="E1678" s="113"/>
      <c r="F1678" s="114">
        <v>71.870000000000005</v>
      </c>
      <c r="H1678" s="88" t="s">
        <v>29</v>
      </c>
      <c r="I1678" s="113"/>
      <c r="J1678" s="113"/>
      <c r="K1678" s="114">
        <v>71.459999999999994</v>
      </c>
      <c r="L1678" s="88"/>
      <c r="M1678" s="88"/>
    </row>
    <row r="1679" ht="38.25">
      <c r="A1679" s="69">
        <v>2001003018</v>
      </c>
      <c r="B1679" s="89" t="s">
        <v>17072</v>
      </c>
      <c r="C1679" s="88" t="s">
        <v>29</v>
      </c>
      <c r="D1679" s="113"/>
      <c r="E1679" s="113"/>
      <c r="F1679" s="114">
        <v>75.299999999999997</v>
      </c>
      <c r="H1679" s="88" t="s">
        <v>29</v>
      </c>
      <c r="I1679" s="113"/>
      <c r="J1679" s="113"/>
      <c r="K1679" s="114">
        <v>74.650000000000006</v>
      </c>
      <c r="L1679" s="88"/>
      <c r="M1679" s="88"/>
    </row>
    <row r="1680" ht="63.75">
      <c r="A1680" s="69">
        <v>2001003022</v>
      </c>
      <c r="B1680" s="89" t="s">
        <v>17073</v>
      </c>
      <c r="C1680" s="88" t="s">
        <v>31</v>
      </c>
      <c r="D1680" s="113"/>
      <c r="E1680" s="113"/>
      <c r="F1680" s="114">
        <v>519.45000000000005</v>
      </c>
      <c r="H1680" s="88" t="s">
        <v>31</v>
      </c>
      <c r="I1680" s="113"/>
      <c r="J1680" s="113"/>
      <c r="K1680" s="114">
        <v>516.05999999999995</v>
      </c>
      <c r="L1680" s="88"/>
      <c r="M1680" s="88"/>
    </row>
    <row r="1681" ht="38.25">
      <c r="A1681" s="108">
        <v>2001003023</v>
      </c>
      <c r="B1681" s="109" t="s">
        <v>17074</v>
      </c>
      <c r="C1681" s="110" t="s">
        <v>29</v>
      </c>
      <c r="D1681" s="111">
        <v>755.04999999999995</v>
      </c>
      <c r="E1681" s="111">
        <v>58.689999999999998</v>
      </c>
      <c r="F1681" s="112">
        <v>813.74000000000001</v>
      </c>
      <c r="H1681" s="110" t="s">
        <v>29</v>
      </c>
      <c r="I1681" s="111">
        <v>755.04999999999995</v>
      </c>
      <c r="J1681" s="111">
        <v>54.280000000000001</v>
      </c>
      <c r="K1681" s="112">
        <v>809.33000000000004</v>
      </c>
      <c r="L1681" s="88"/>
      <c r="M1681" s="88"/>
    </row>
    <row r="1682" ht="38.25">
      <c r="A1682" s="108">
        <v>2001003024</v>
      </c>
      <c r="B1682" s="109" t="s">
        <v>17075</v>
      </c>
      <c r="C1682" s="110" t="s">
        <v>29</v>
      </c>
      <c r="D1682" s="111">
        <v>976.71000000000004</v>
      </c>
      <c r="E1682" s="111">
        <v>58.689999999999998</v>
      </c>
      <c r="F1682" s="112">
        <v>1035.4000000000001</v>
      </c>
      <c r="H1682" s="110" t="s">
        <v>29</v>
      </c>
      <c r="I1682" s="111">
        <v>976.71000000000004</v>
      </c>
      <c r="J1682" s="111">
        <v>54.280000000000001</v>
      </c>
      <c r="K1682" s="112">
        <v>1030.99</v>
      </c>
      <c r="L1682" s="88"/>
      <c r="M1682" s="88"/>
    </row>
    <row r="1683" ht="38.25">
      <c r="A1683" s="108">
        <v>2001003025</v>
      </c>
      <c r="B1683" s="109" t="s">
        <v>17076</v>
      </c>
      <c r="C1683" s="110" t="s">
        <v>29</v>
      </c>
      <c r="D1683" s="111">
        <v>855.79999999999995</v>
      </c>
      <c r="E1683" s="111">
        <v>58.689999999999998</v>
      </c>
      <c r="F1683" s="112">
        <v>914.49000000000001</v>
      </c>
      <c r="H1683" s="110" t="s">
        <v>29</v>
      </c>
      <c r="I1683" s="111">
        <v>855.79999999999995</v>
      </c>
      <c r="J1683" s="111">
        <v>54.280000000000001</v>
      </c>
      <c r="K1683" s="112">
        <v>910.08000000000004</v>
      </c>
      <c r="L1683" s="88"/>
      <c r="M1683" s="88"/>
    </row>
    <row r="1684" ht="25.5">
      <c r="A1684" s="108">
        <v>2001003026</v>
      </c>
      <c r="B1684" s="109" t="s">
        <v>17077</v>
      </c>
      <c r="C1684" s="110" t="s">
        <v>38</v>
      </c>
      <c r="D1684" s="111">
        <v>69.060000000000002</v>
      </c>
      <c r="E1684" s="111">
        <v>10.77</v>
      </c>
      <c r="F1684" s="112">
        <v>79.829999999999998</v>
      </c>
      <c r="H1684" s="110" t="s">
        <v>38</v>
      </c>
      <c r="I1684" s="111">
        <v>69.060000000000002</v>
      </c>
      <c r="J1684" s="111">
        <v>9.9499999999999993</v>
      </c>
      <c r="K1684" s="112">
        <v>79.010000000000005</v>
      </c>
      <c r="L1684" s="88"/>
      <c r="M1684" s="88"/>
    </row>
    <row r="1685" ht="25.5">
      <c r="A1685" s="108">
        <v>2001003028</v>
      </c>
      <c r="B1685" s="109" t="s">
        <v>17078</v>
      </c>
      <c r="C1685" s="110" t="s">
        <v>29</v>
      </c>
      <c r="D1685" s="111">
        <v>309.91000000000003</v>
      </c>
      <c r="E1685" s="111">
        <v>445.80000000000001</v>
      </c>
      <c r="F1685" s="112">
        <v>755.71000000000004</v>
      </c>
      <c r="H1685" s="110" t="s">
        <v>29</v>
      </c>
      <c r="I1685" s="111">
        <v>309.91000000000003</v>
      </c>
      <c r="J1685" s="111">
        <v>412.69999999999999</v>
      </c>
      <c r="K1685" s="112">
        <v>722.61000000000001</v>
      </c>
      <c r="L1685" s="88"/>
      <c r="M1685" s="88"/>
    </row>
    <row r="1686" ht="63.75">
      <c r="A1686" s="108">
        <v>2001003032</v>
      </c>
      <c r="B1686" s="109" t="s">
        <v>17079</v>
      </c>
      <c r="C1686" s="110" t="s">
        <v>38</v>
      </c>
      <c r="D1686" s="111">
        <v>822.26999999999998</v>
      </c>
      <c r="E1686" s="111">
        <v>0</v>
      </c>
      <c r="F1686" s="112">
        <v>822.26999999999998</v>
      </c>
      <c r="H1686" s="110" t="s">
        <v>38</v>
      </c>
      <c r="I1686" s="111">
        <v>791.49000000000001</v>
      </c>
      <c r="J1686" s="111">
        <v>0</v>
      </c>
      <c r="K1686" s="112">
        <v>791.49000000000001</v>
      </c>
      <c r="L1686" s="88"/>
      <c r="M1686" s="88"/>
    </row>
    <row r="1687" ht="63.75">
      <c r="A1687" s="108">
        <v>2001003040</v>
      </c>
      <c r="B1687" s="109" t="s">
        <v>17080</v>
      </c>
      <c r="C1687" s="110" t="s">
        <v>31</v>
      </c>
      <c r="D1687" s="111">
        <v>348.13</v>
      </c>
      <c r="E1687" s="111">
        <v>0</v>
      </c>
      <c r="F1687" s="112">
        <v>348.13</v>
      </c>
      <c r="H1687" s="110" t="s">
        <v>31</v>
      </c>
      <c r="I1687" s="111">
        <v>337.57999999999998</v>
      </c>
      <c r="J1687" s="111">
        <v>0</v>
      </c>
      <c r="K1687" s="112">
        <v>337.57999999999998</v>
      </c>
      <c r="L1687" s="88"/>
      <c r="M1687" s="88"/>
    </row>
    <row r="1688" ht="25.5">
      <c r="A1688" s="108">
        <v>2001003044</v>
      </c>
      <c r="B1688" s="109" t="s">
        <v>17081</v>
      </c>
      <c r="C1688" s="110" t="s">
        <v>31</v>
      </c>
      <c r="D1688" s="111">
        <v>65.549999999999997</v>
      </c>
      <c r="E1688" s="111">
        <v>3.6000000000000001</v>
      </c>
      <c r="F1688" s="112">
        <v>69.150000000000006</v>
      </c>
      <c r="H1688" s="110" t="s">
        <v>31</v>
      </c>
      <c r="I1688" s="111">
        <v>65.549999999999997</v>
      </c>
      <c r="J1688" s="111">
        <v>3.3399999999999999</v>
      </c>
      <c r="K1688" s="112">
        <v>68.890000000000001</v>
      </c>
      <c r="L1688" s="88"/>
      <c r="M1688" s="88"/>
    </row>
    <row r="1689">
      <c r="A1689" s="108">
        <v>2001003046</v>
      </c>
      <c r="B1689" s="109" t="s">
        <v>17082</v>
      </c>
      <c r="C1689" s="110" t="s">
        <v>31</v>
      </c>
      <c r="D1689" s="111">
        <v>3323.3099999999999</v>
      </c>
      <c r="E1689" s="111">
        <v>1400.0699999999999</v>
      </c>
      <c r="F1689" s="112">
        <v>4723.3800000000001</v>
      </c>
      <c r="H1689" s="110" t="s">
        <v>31</v>
      </c>
      <c r="I1689" s="111">
        <v>3323.3099999999999</v>
      </c>
      <c r="J1689" s="111">
        <v>1298.1600000000001</v>
      </c>
      <c r="K1689" s="112">
        <v>4621.4700000000003</v>
      </c>
      <c r="L1689" s="88"/>
      <c r="M1689" s="88"/>
    </row>
    <row r="1690" ht="51">
      <c r="A1690" s="69">
        <v>2001003150</v>
      </c>
      <c r="B1690" s="89" t="s">
        <v>17083</v>
      </c>
      <c r="C1690" s="88" t="s">
        <v>38</v>
      </c>
      <c r="D1690" s="113"/>
      <c r="E1690" s="113"/>
      <c r="F1690" s="114">
        <v>58.840000000000003</v>
      </c>
      <c r="H1690" s="88" t="s">
        <v>38</v>
      </c>
      <c r="I1690" s="113"/>
      <c r="J1690" s="113"/>
      <c r="K1690" s="114">
        <v>57.5</v>
      </c>
      <c r="L1690" s="88"/>
      <c r="M1690" s="88"/>
    </row>
    <row r="1691" ht="51">
      <c r="A1691" s="69">
        <v>2001003155</v>
      </c>
      <c r="B1691" s="89" t="s">
        <v>17084</v>
      </c>
      <c r="C1691" s="88" t="s">
        <v>38</v>
      </c>
      <c r="D1691" s="113"/>
      <c r="E1691" s="113"/>
      <c r="F1691" s="114">
        <v>64.299999999999997</v>
      </c>
      <c r="H1691" s="88" t="s">
        <v>38</v>
      </c>
      <c r="I1691" s="113"/>
      <c r="J1691" s="113"/>
      <c r="K1691" s="114">
        <v>62.590000000000003</v>
      </c>
      <c r="L1691" s="88"/>
      <c r="M1691" s="88"/>
    </row>
    <row r="1692" ht="38.25">
      <c r="A1692" s="69">
        <v>2001003160</v>
      </c>
      <c r="B1692" s="89" t="s">
        <v>17085</v>
      </c>
      <c r="C1692" s="88" t="s">
        <v>38</v>
      </c>
      <c r="D1692" s="113"/>
      <c r="E1692" s="113"/>
      <c r="F1692" s="114">
        <v>35.07</v>
      </c>
      <c r="H1692" s="88" t="s">
        <v>38</v>
      </c>
      <c r="I1692" s="113"/>
      <c r="J1692" s="113"/>
      <c r="K1692" s="114">
        <v>33.899999999999999</v>
      </c>
      <c r="L1692" s="88"/>
      <c r="M1692" s="88"/>
    </row>
    <row r="1693" ht="38.25">
      <c r="A1693" s="69">
        <v>2001003165</v>
      </c>
      <c r="B1693" s="89" t="s">
        <v>17086</v>
      </c>
      <c r="C1693" s="88" t="s">
        <v>38</v>
      </c>
      <c r="D1693" s="113"/>
      <c r="E1693" s="113"/>
      <c r="F1693" s="114">
        <v>39.409999999999997</v>
      </c>
      <c r="H1693" s="88" t="s">
        <v>38</v>
      </c>
      <c r="I1693" s="113"/>
      <c r="J1693" s="113"/>
      <c r="K1693" s="114">
        <v>37.950000000000003</v>
      </c>
      <c r="L1693" s="88"/>
      <c r="M1693" s="88"/>
    </row>
    <row r="1694" ht="51">
      <c r="A1694" s="108">
        <v>2001003988</v>
      </c>
      <c r="B1694" s="109" t="s">
        <v>17087</v>
      </c>
      <c r="C1694" s="110" t="s">
        <v>31</v>
      </c>
      <c r="D1694" s="111">
        <v>0</v>
      </c>
      <c r="E1694" s="111">
        <v>2575.3499999999999</v>
      </c>
      <c r="F1694" s="112">
        <v>2575.3499999999999</v>
      </c>
      <c r="H1694" s="110" t="s">
        <v>31</v>
      </c>
      <c r="I1694" s="111">
        <v>0</v>
      </c>
      <c r="J1694" s="111">
        <v>2510.77</v>
      </c>
      <c r="K1694" s="112">
        <v>2510.77</v>
      </c>
      <c r="L1694" s="88"/>
      <c r="M1694" s="88"/>
    </row>
    <row r="1695" ht="38.25">
      <c r="A1695" s="108">
        <v>2001003990</v>
      </c>
      <c r="B1695" s="109" t="s">
        <v>17088</v>
      </c>
      <c r="C1695" s="110" t="s">
        <v>31</v>
      </c>
      <c r="D1695" s="111">
        <v>2028.3</v>
      </c>
      <c r="E1695" s="111">
        <v>2371.1500000000001</v>
      </c>
      <c r="F1695" s="112">
        <v>4399.4499999999998</v>
      </c>
      <c r="H1695" s="110" t="s">
        <v>31</v>
      </c>
      <c r="I1695" s="111">
        <v>2024.1300000000001</v>
      </c>
      <c r="J1695" s="111">
        <v>2195.6999999999998</v>
      </c>
      <c r="K1695" s="112">
        <v>4219.8299999999999</v>
      </c>
      <c r="L1695" s="88"/>
      <c r="M1695" s="88"/>
    </row>
    <row r="1696">
      <c r="A1696" s="108">
        <v>2001003992</v>
      </c>
      <c r="B1696" s="109" t="s">
        <v>17089</v>
      </c>
      <c r="C1696" s="110" t="s">
        <v>31</v>
      </c>
      <c r="D1696" s="111">
        <v>2510.8800000000001</v>
      </c>
      <c r="E1696" s="111">
        <v>3406.29</v>
      </c>
      <c r="F1696" s="112">
        <v>5917.1700000000001</v>
      </c>
      <c r="H1696" s="110" t="s">
        <v>31</v>
      </c>
      <c r="I1696" s="111">
        <v>2505.6399999999999</v>
      </c>
      <c r="J1696" s="111">
        <v>3155.7600000000002</v>
      </c>
      <c r="K1696" s="112">
        <v>5661.3999999999996</v>
      </c>
      <c r="L1696" s="88"/>
      <c r="M1696" s="88"/>
    </row>
    <row r="1697" ht="38.25">
      <c r="A1697" s="108">
        <v>2001003995</v>
      </c>
      <c r="B1697" s="109" t="s">
        <v>17090</v>
      </c>
      <c r="C1697" s="110" t="s">
        <v>31</v>
      </c>
      <c r="D1697" s="111">
        <v>0</v>
      </c>
      <c r="E1697" s="111">
        <v>18883.439999999999</v>
      </c>
      <c r="F1697" s="112">
        <v>18883.439999999999</v>
      </c>
      <c r="H1697" s="110" t="s">
        <v>31</v>
      </c>
      <c r="I1697" s="111">
        <v>0</v>
      </c>
      <c r="J1697" s="111">
        <v>18415.959999999999</v>
      </c>
      <c r="K1697" s="112">
        <v>18415.959999999999</v>
      </c>
      <c r="L1697" s="88"/>
      <c r="M1697" s="88"/>
    </row>
    <row r="1698" ht="25.5">
      <c r="A1698" s="108">
        <v>2001003997</v>
      </c>
      <c r="B1698" s="109" t="s">
        <v>17091</v>
      </c>
      <c r="C1698" s="110" t="s">
        <v>17092</v>
      </c>
      <c r="D1698" s="111">
        <v>3218.8800000000001</v>
      </c>
      <c r="E1698" s="111">
        <v>0</v>
      </c>
      <c r="F1698" s="112">
        <v>3218.8800000000001</v>
      </c>
      <c r="H1698" s="110" t="s">
        <v>17092</v>
      </c>
      <c r="I1698" s="111">
        <v>3168.2399999999998</v>
      </c>
      <c r="J1698" s="111">
        <v>0</v>
      </c>
      <c r="K1698" s="112">
        <v>3168.2399999999998</v>
      </c>
      <c r="L1698" s="88"/>
      <c r="M1698" s="88"/>
    </row>
    <row r="1699" ht="25.5">
      <c r="A1699" s="108">
        <v>2001003998</v>
      </c>
      <c r="B1699" s="109" t="s">
        <v>17091</v>
      </c>
      <c r="C1699" s="110" t="s">
        <v>2032</v>
      </c>
      <c r="D1699" s="111">
        <v>273.98000000000002</v>
      </c>
      <c r="E1699" s="111">
        <v>0</v>
      </c>
      <c r="F1699" s="112">
        <v>273.98000000000002</v>
      </c>
      <c r="H1699" s="110" t="s">
        <v>2032</v>
      </c>
      <c r="I1699" s="111">
        <v>271.87</v>
      </c>
      <c r="J1699" s="111">
        <v>0</v>
      </c>
      <c r="K1699" s="112">
        <v>271.87</v>
      </c>
      <c r="L1699" s="88"/>
      <c r="M1699" s="88"/>
    </row>
    <row r="1700" ht="51">
      <c r="A1700" s="108">
        <v>2001004000</v>
      </c>
      <c r="B1700" s="109" t="s">
        <v>17093</v>
      </c>
      <c r="C1700" s="110" t="s">
        <v>29</v>
      </c>
      <c r="D1700" s="111">
        <v>30.620000000000001</v>
      </c>
      <c r="E1700" s="111">
        <v>9.5899999999999999</v>
      </c>
      <c r="F1700" s="112">
        <v>40.210000000000001</v>
      </c>
      <c r="H1700" s="110" t="s">
        <v>29</v>
      </c>
      <c r="I1700" s="111">
        <v>30.469999999999999</v>
      </c>
      <c r="J1700" s="111">
        <v>8.8000000000000007</v>
      </c>
      <c r="K1700" s="112">
        <v>39.270000000000003</v>
      </c>
      <c r="L1700" s="88"/>
      <c r="M1700" s="88"/>
    </row>
    <row r="1701" ht="51">
      <c r="A1701" s="69">
        <v>2001004001</v>
      </c>
      <c r="B1701" s="89" t="s">
        <v>17094</v>
      </c>
      <c r="C1701" s="88" t="s">
        <v>29</v>
      </c>
      <c r="D1701" s="113"/>
      <c r="E1701" s="113"/>
      <c r="F1701" s="114">
        <v>20.039999999999999</v>
      </c>
      <c r="H1701" s="88" t="s">
        <v>29</v>
      </c>
      <c r="I1701" s="113"/>
      <c r="J1701" s="113"/>
      <c r="K1701" s="114">
        <v>18.41</v>
      </c>
      <c r="L1701" s="88"/>
      <c r="M1701" s="88"/>
    </row>
    <row r="1702" ht="38.25">
      <c r="A1702" s="108">
        <v>2001004006</v>
      </c>
      <c r="B1702" s="109" t="s">
        <v>17095</v>
      </c>
      <c r="C1702" s="110" t="s">
        <v>38</v>
      </c>
      <c r="D1702" s="111">
        <v>43.090000000000003</v>
      </c>
      <c r="E1702" s="111">
        <v>13.470000000000001</v>
      </c>
      <c r="F1702" s="112">
        <v>56.560000000000002</v>
      </c>
      <c r="H1702" s="110" t="s">
        <v>38</v>
      </c>
      <c r="I1702" s="111">
        <v>42.729999999999997</v>
      </c>
      <c r="J1702" s="111">
        <v>12.369999999999999</v>
      </c>
      <c r="K1702" s="112">
        <v>55.100000000000001</v>
      </c>
      <c r="L1702" s="88"/>
      <c r="M1702" s="88"/>
    </row>
    <row r="1703" ht="38.25">
      <c r="A1703" s="69">
        <v>2001004007</v>
      </c>
      <c r="B1703" s="89" t="s">
        <v>17096</v>
      </c>
      <c r="C1703" s="88" t="s">
        <v>38</v>
      </c>
      <c r="D1703" s="113"/>
      <c r="E1703" s="113"/>
      <c r="F1703" s="114">
        <v>27.649999999999999</v>
      </c>
      <c r="H1703" s="88" t="s">
        <v>38</v>
      </c>
      <c r="I1703" s="113"/>
      <c r="J1703" s="113"/>
      <c r="K1703" s="114">
        <v>25.43</v>
      </c>
      <c r="L1703" s="88"/>
      <c r="M1703" s="88"/>
    </row>
    <row r="1704" ht="25.5">
      <c r="A1704" s="108">
        <v>2001004030</v>
      </c>
      <c r="B1704" s="109" t="s">
        <v>17097</v>
      </c>
      <c r="C1704" s="110" t="s">
        <v>38</v>
      </c>
      <c r="D1704" s="111">
        <v>5.6100000000000003</v>
      </c>
      <c r="E1704" s="111">
        <v>6.29</v>
      </c>
      <c r="F1704" s="112">
        <v>11.9</v>
      </c>
      <c r="H1704" s="110" t="s">
        <v>38</v>
      </c>
      <c r="I1704" s="111">
        <v>5.6100000000000003</v>
      </c>
      <c r="J1704" s="111">
        <v>5.8399999999999999</v>
      </c>
      <c r="K1704" s="112">
        <v>11.449999999999999</v>
      </c>
      <c r="L1704" s="88"/>
      <c r="M1704" s="88"/>
    </row>
    <row r="1705" ht="25.5">
      <c r="A1705" s="108">
        <v>2001004032</v>
      </c>
      <c r="B1705" s="109" t="s">
        <v>17098</v>
      </c>
      <c r="C1705" s="110" t="s">
        <v>38</v>
      </c>
      <c r="D1705" s="111">
        <v>2.6499999999999999</v>
      </c>
      <c r="E1705" s="111">
        <v>22.02</v>
      </c>
      <c r="F1705" s="112">
        <v>24.670000000000002</v>
      </c>
      <c r="H1705" s="110" t="s">
        <v>38</v>
      </c>
      <c r="I1705" s="111">
        <v>2.6499999999999999</v>
      </c>
      <c r="J1705" s="111">
        <v>20.420000000000002</v>
      </c>
      <c r="K1705" s="112">
        <v>23.07</v>
      </c>
      <c r="L1705" s="88"/>
      <c r="M1705" s="88"/>
    </row>
    <row r="1706" ht="38.25">
      <c r="A1706" s="69">
        <v>2001004035</v>
      </c>
      <c r="B1706" s="89" t="s">
        <v>17099</v>
      </c>
      <c r="C1706" s="88" t="s">
        <v>29</v>
      </c>
      <c r="D1706" s="113"/>
      <c r="E1706" s="113"/>
      <c r="F1706" s="114">
        <v>46.340000000000003</v>
      </c>
      <c r="H1706" s="88" t="s">
        <v>29</v>
      </c>
      <c r="I1706" s="113"/>
      <c r="J1706" s="113"/>
      <c r="K1706" s="114">
        <v>43.850000000000001</v>
      </c>
      <c r="L1706" s="88"/>
      <c r="M1706" s="88"/>
    </row>
    <row r="1707" ht="38.25">
      <c r="A1707" s="108">
        <v>2001004040</v>
      </c>
      <c r="B1707" s="109" t="s">
        <v>17100</v>
      </c>
      <c r="C1707" s="110" t="s">
        <v>38</v>
      </c>
      <c r="D1707" s="111">
        <v>14.960000000000001</v>
      </c>
      <c r="E1707" s="111">
        <v>37.93</v>
      </c>
      <c r="F1707" s="112">
        <v>52.890000000000001</v>
      </c>
      <c r="H1707" s="110" t="s">
        <v>38</v>
      </c>
      <c r="I1707" s="111">
        <v>14.960000000000001</v>
      </c>
      <c r="J1707" s="111">
        <v>35.090000000000003</v>
      </c>
      <c r="K1707" s="112">
        <v>50.049999999999997</v>
      </c>
      <c r="L1707" s="88"/>
      <c r="M1707" s="88"/>
    </row>
    <row r="1708" ht="38.25">
      <c r="A1708" s="108">
        <v>2001004041</v>
      </c>
      <c r="B1708" s="109" t="s">
        <v>17101</v>
      </c>
      <c r="C1708" s="110" t="s">
        <v>38</v>
      </c>
      <c r="D1708" s="111">
        <v>441</v>
      </c>
      <c r="E1708" s="111">
        <v>247.40000000000001</v>
      </c>
      <c r="F1708" s="112">
        <v>688.39999999999998</v>
      </c>
      <c r="H1708" s="110" t="s">
        <v>38</v>
      </c>
      <c r="I1708" s="111">
        <v>438.37</v>
      </c>
      <c r="J1708" s="111">
        <v>229.05000000000001</v>
      </c>
      <c r="K1708" s="112">
        <v>667.41999999999996</v>
      </c>
      <c r="L1708" s="88"/>
      <c r="M1708" s="88"/>
    </row>
    <row r="1709" ht="38.25">
      <c r="A1709" s="108">
        <v>2001004042</v>
      </c>
      <c r="B1709" s="109" t="s">
        <v>17102</v>
      </c>
      <c r="C1709" s="110" t="s">
        <v>38</v>
      </c>
      <c r="D1709" s="111">
        <v>412.11000000000001</v>
      </c>
      <c r="E1709" s="111">
        <v>227.59999999999999</v>
      </c>
      <c r="F1709" s="112">
        <v>639.71000000000004</v>
      </c>
      <c r="H1709" s="110" t="s">
        <v>38</v>
      </c>
      <c r="I1709" s="111">
        <v>409.69</v>
      </c>
      <c r="J1709" s="111">
        <v>210.72999999999999</v>
      </c>
      <c r="K1709" s="112">
        <v>620.41999999999996</v>
      </c>
      <c r="L1709" s="88"/>
      <c r="M1709" s="88"/>
    </row>
    <row r="1710" ht="51">
      <c r="A1710" s="108">
        <v>2001004043</v>
      </c>
      <c r="B1710" s="109" t="s">
        <v>17103</v>
      </c>
      <c r="C1710" s="110" t="s">
        <v>38</v>
      </c>
      <c r="D1710" s="111">
        <v>566.91999999999996</v>
      </c>
      <c r="E1710" s="111">
        <v>474.89999999999998</v>
      </c>
      <c r="F1710" s="112">
        <v>1041.8199999999999</v>
      </c>
      <c r="H1710" s="110" t="s">
        <v>38</v>
      </c>
      <c r="I1710" s="111">
        <v>564.92999999999995</v>
      </c>
      <c r="J1710" s="111">
        <v>440.23000000000002</v>
      </c>
      <c r="K1710" s="112">
        <v>1005.16</v>
      </c>
      <c r="L1710" s="88"/>
      <c r="M1710" s="88"/>
    </row>
    <row r="1711" ht="51">
      <c r="A1711" s="108">
        <v>2001004044</v>
      </c>
      <c r="B1711" s="109" t="s">
        <v>17104</v>
      </c>
      <c r="C1711" s="110" t="s">
        <v>38</v>
      </c>
      <c r="D1711" s="111">
        <v>580.54999999999995</v>
      </c>
      <c r="E1711" s="111">
        <v>490.58999999999997</v>
      </c>
      <c r="F1711" s="112">
        <v>1071.1400000000001</v>
      </c>
      <c r="H1711" s="110" t="s">
        <v>38</v>
      </c>
      <c r="I1711" s="111">
        <v>578.34000000000003</v>
      </c>
      <c r="J1711" s="111">
        <v>454.74000000000001</v>
      </c>
      <c r="K1711" s="112">
        <v>1033.0799999999999</v>
      </c>
      <c r="L1711" s="88"/>
      <c r="M1711" s="88"/>
    </row>
    <row r="1712" ht="51">
      <c r="A1712" s="108">
        <v>2001004045</v>
      </c>
      <c r="B1712" s="109" t="s">
        <v>17105</v>
      </c>
      <c r="C1712" s="110" t="s">
        <v>29</v>
      </c>
      <c r="D1712" s="111">
        <v>428.97000000000003</v>
      </c>
      <c r="E1712" s="111">
        <v>232.28</v>
      </c>
      <c r="F1712" s="112">
        <v>661.25</v>
      </c>
      <c r="H1712" s="110" t="s">
        <v>29</v>
      </c>
      <c r="I1712" s="111">
        <v>426.08999999999997</v>
      </c>
      <c r="J1712" s="111">
        <v>214.88999999999999</v>
      </c>
      <c r="K1712" s="112">
        <v>640.98000000000002</v>
      </c>
      <c r="L1712" s="88"/>
      <c r="M1712" s="88"/>
    </row>
    <row r="1713" ht="51">
      <c r="A1713" s="108">
        <v>2001004046</v>
      </c>
      <c r="B1713" s="109" t="s">
        <v>17106</v>
      </c>
      <c r="C1713" s="110" t="s">
        <v>29</v>
      </c>
      <c r="D1713" s="111">
        <v>348.17000000000002</v>
      </c>
      <c r="E1713" s="111">
        <v>232.28</v>
      </c>
      <c r="F1713" s="112">
        <v>580.45000000000005</v>
      </c>
      <c r="H1713" s="110" t="s">
        <v>29</v>
      </c>
      <c r="I1713" s="111">
        <v>345.29000000000002</v>
      </c>
      <c r="J1713" s="111">
        <v>214.88999999999999</v>
      </c>
      <c r="K1713" s="112">
        <v>560.17999999999995</v>
      </c>
      <c r="L1713" s="88"/>
      <c r="M1713" s="88"/>
    </row>
    <row r="1714" ht="76.5">
      <c r="A1714" s="108">
        <v>2001004047</v>
      </c>
      <c r="B1714" s="109" t="s">
        <v>17107</v>
      </c>
      <c r="C1714" s="110" t="s">
        <v>38</v>
      </c>
      <c r="D1714" s="111">
        <v>403.58999999999997</v>
      </c>
      <c r="E1714" s="111">
        <v>400.13</v>
      </c>
      <c r="F1714" s="112">
        <v>803.72000000000003</v>
      </c>
      <c r="H1714" s="110" t="s">
        <v>38</v>
      </c>
      <c r="I1714" s="111">
        <v>401.60000000000002</v>
      </c>
      <c r="J1714" s="111">
        <v>370.68000000000001</v>
      </c>
      <c r="K1714" s="112">
        <v>772.27999999999997</v>
      </c>
      <c r="L1714" s="88"/>
      <c r="M1714" s="88"/>
    </row>
    <row r="1715" ht="76.5">
      <c r="A1715" s="108">
        <v>2001004048</v>
      </c>
      <c r="B1715" s="109" t="s">
        <v>17108</v>
      </c>
      <c r="C1715" s="110" t="s">
        <v>38</v>
      </c>
      <c r="D1715" s="111">
        <v>441.31999999999999</v>
      </c>
      <c r="E1715" s="111">
        <v>430.05000000000001</v>
      </c>
      <c r="F1715" s="112">
        <v>871.37</v>
      </c>
      <c r="H1715" s="110" t="s">
        <v>38</v>
      </c>
      <c r="I1715" s="111">
        <v>439.11000000000001</v>
      </c>
      <c r="J1715" s="111">
        <v>398.38</v>
      </c>
      <c r="K1715" s="112">
        <v>837.49000000000001</v>
      </c>
      <c r="L1715" s="88"/>
      <c r="M1715" s="88"/>
    </row>
    <row r="1716" ht="63.75">
      <c r="A1716" s="108">
        <v>2001004060</v>
      </c>
      <c r="B1716" s="109" t="s">
        <v>17109</v>
      </c>
      <c r="C1716" s="110" t="s">
        <v>31</v>
      </c>
      <c r="D1716" s="111">
        <v>40405.290000000001</v>
      </c>
      <c r="E1716" s="111">
        <v>0</v>
      </c>
      <c r="F1716" s="112">
        <v>40405.290000000001</v>
      </c>
      <c r="H1716" s="110" t="s">
        <v>31</v>
      </c>
      <c r="I1716" s="111">
        <v>39786.330000000002</v>
      </c>
      <c r="J1716" s="111">
        <v>0</v>
      </c>
      <c r="K1716" s="112">
        <v>39786.330000000002</v>
      </c>
      <c r="L1716" s="88"/>
      <c r="M1716" s="88"/>
    </row>
    <row r="1717">
      <c r="D1717" s="113"/>
      <c r="E1717" s="113"/>
      <c r="F1717" s="114"/>
      <c r="H1717" s="88"/>
      <c r="I1717" s="113"/>
      <c r="J1717" s="113"/>
      <c r="K1717" s="114"/>
      <c r="L1717" s="88"/>
      <c r="M1717" s="88"/>
    </row>
    <row r="1718">
      <c r="B1718" s="102" t="s">
        <v>17110</v>
      </c>
      <c r="D1718" s="113"/>
      <c r="E1718" s="113"/>
      <c r="F1718" s="114"/>
      <c r="H1718" s="88"/>
      <c r="I1718" s="113"/>
      <c r="J1718" s="113"/>
      <c r="K1718" s="114"/>
      <c r="L1718" s="88"/>
      <c r="M1718" s="88"/>
    </row>
    <row r="1719">
      <c r="D1719" s="113"/>
      <c r="E1719" s="113"/>
      <c r="F1719" s="114"/>
      <c r="H1719" s="88"/>
      <c r="I1719" s="113"/>
      <c r="J1719" s="113"/>
      <c r="K1719" s="114"/>
      <c r="L1719" s="88"/>
      <c r="M1719" s="88"/>
    </row>
    <row r="1720">
      <c r="A1720" s="88" t="s">
        <v>15547</v>
      </c>
      <c r="B1720" s="89" t="s">
        <v>15548</v>
      </c>
      <c r="C1720" s="88" t="s">
        <v>15337</v>
      </c>
      <c r="D1720" s="113" t="s">
        <v>10460</v>
      </c>
      <c r="E1720" s="113" t="s">
        <v>15549</v>
      </c>
      <c r="F1720" s="114" t="s">
        <v>15550</v>
      </c>
      <c r="H1720" s="88" t="s">
        <v>15337</v>
      </c>
      <c r="I1720" s="113" t="s">
        <v>10460</v>
      </c>
      <c r="J1720" s="113" t="s">
        <v>15549</v>
      </c>
      <c r="K1720" s="114" t="s">
        <v>15550</v>
      </c>
      <c r="L1720" s="88"/>
      <c r="M1720" s="88"/>
    </row>
    <row r="1721">
      <c r="D1721" s="113"/>
      <c r="E1721" s="113"/>
      <c r="F1721" s="114"/>
      <c r="H1721" s="88"/>
      <c r="I1721" s="113"/>
      <c r="J1721" s="113"/>
      <c r="K1721" s="114"/>
      <c r="L1721" s="88"/>
      <c r="M1721" s="88"/>
    </row>
    <row r="1722" ht="25.5">
      <c r="A1722" s="69">
        <v>2101000101</v>
      </c>
      <c r="B1722" s="89" t="s">
        <v>17111</v>
      </c>
      <c r="C1722" s="88" t="s">
        <v>29</v>
      </c>
      <c r="D1722" s="113"/>
      <c r="E1722" s="113"/>
      <c r="F1722" s="114">
        <v>12.949999999999999</v>
      </c>
      <c r="H1722" s="88" t="s">
        <v>29</v>
      </c>
      <c r="I1722" s="113"/>
      <c r="J1722" s="113"/>
      <c r="K1722" s="114">
        <v>12.68</v>
      </c>
      <c r="L1722" s="88"/>
      <c r="M1722" s="88"/>
    </row>
    <row r="1723" ht="25.5">
      <c r="A1723" s="69">
        <v>2101000102</v>
      </c>
      <c r="B1723" s="89" t="s">
        <v>17112</v>
      </c>
      <c r="C1723" s="88" t="s">
        <v>31</v>
      </c>
      <c r="D1723" s="113"/>
      <c r="E1723" s="113"/>
      <c r="F1723" s="114">
        <v>43.600000000000001</v>
      </c>
      <c r="H1723" s="88" t="s">
        <v>31</v>
      </c>
      <c r="I1723" s="113"/>
      <c r="J1723" s="113"/>
      <c r="K1723" s="114">
        <v>43.5</v>
      </c>
      <c r="L1723" s="88"/>
      <c r="M1723" s="88"/>
    </row>
    <row r="1724" ht="25.5">
      <c r="A1724" s="69">
        <v>2101000103</v>
      </c>
      <c r="B1724" s="89" t="s">
        <v>17113</v>
      </c>
      <c r="C1724" s="88" t="s">
        <v>31</v>
      </c>
      <c r="D1724" s="113"/>
      <c r="E1724" s="113"/>
      <c r="F1724" s="114">
        <v>77.540000000000006</v>
      </c>
      <c r="H1724" s="88" t="s">
        <v>31</v>
      </c>
      <c r="I1724" s="113"/>
      <c r="J1724" s="113"/>
      <c r="K1724" s="114">
        <v>75.569999999999993</v>
      </c>
      <c r="L1724" s="88"/>
      <c r="M1724" s="88"/>
    </row>
    <row r="1725" ht="38.25">
      <c r="A1725" s="69">
        <v>2101000104</v>
      </c>
      <c r="B1725" s="89" t="s">
        <v>17114</v>
      </c>
      <c r="C1725" s="88" t="s">
        <v>31</v>
      </c>
      <c r="D1725" s="113"/>
      <c r="E1725" s="113"/>
      <c r="F1725" s="114">
        <v>134.56</v>
      </c>
      <c r="H1725" s="88" t="s">
        <v>31</v>
      </c>
      <c r="I1725" s="113"/>
      <c r="J1725" s="113"/>
      <c r="K1725" s="114">
        <v>132.31999999999999</v>
      </c>
      <c r="L1725" s="88"/>
      <c r="M1725" s="88"/>
    </row>
    <row r="1726">
      <c r="D1726" s="113"/>
      <c r="E1726" s="113"/>
      <c r="F1726" s="114"/>
      <c r="H1726" s="88"/>
      <c r="I1726" s="113"/>
      <c r="J1726" s="113"/>
      <c r="K1726" s="114"/>
      <c r="L1726" s="88"/>
      <c r="M1726" s="88"/>
    </row>
    <row r="1727">
      <c r="B1727" s="102" t="s">
        <v>17115</v>
      </c>
      <c r="D1727" s="113"/>
      <c r="E1727" s="113"/>
      <c r="F1727" s="114"/>
      <c r="H1727" s="88"/>
      <c r="I1727" s="113"/>
      <c r="J1727" s="113"/>
      <c r="K1727" s="114"/>
      <c r="L1727" s="88"/>
      <c r="M1727" s="88"/>
    </row>
    <row r="1728">
      <c r="D1728" s="113"/>
      <c r="E1728" s="113"/>
      <c r="F1728" s="114"/>
      <c r="H1728" s="88"/>
      <c r="I1728" s="113"/>
      <c r="J1728" s="113"/>
      <c r="K1728" s="114"/>
      <c r="L1728" s="88"/>
      <c r="M1728" s="88"/>
    </row>
    <row r="1729">
      <c r="A1729" s="88" t="s">
        <v>15547</v>
      </c>
      <c r="B1729" s="89" t="s">
        <v>15548</v>
      </c>
      <c r="C1729" s="88" t="s">
        <v>15337</v>
      </c>
      <c r="D1729" s="113" t="s">
        <v>10460</v>
      </c>
      <c r="E1729" s="113" t="s">
        <v>15549</v>
      </c>
      <c r="F1729" s="114" t="s">
        <v>15550</v>
      </c>
      <c r="H1729" s="88" t="s">
        <v>15337</v>
      </c>
      <c r="I1729" s="113" t="s">
        <v>10460</v>
      </c>
      <c r="J1729" s="113" t="s">
        <v>15549</v>
      </c>
      <c r="K1729" s="114" t="s">
        <v>15550</v>
      </c>
      <c r="L1729" s="88"/>
      <c r="M1729" s="88"/>
    </row>
    <row r="1730">
      <c r="D1730" s="113"/>
      <c r="E1730" s="113"/>
      <c r="F1730" s="114"/>
      <c r="H1730" s="88"/>
      <c r="I1730" s="113"/>
      <c r="J1730" s="113"/>
      <c r="K1730" s="114"/>
      <c r="L1730" s="88"/>
      <c r="M1730" s="88"/>
    </row>
    <row r="1731">
      <c r="A1731" s="108">
        <v>2201000010</v>
      </c>
      <c r="B1731" s="109" t="s">
        <v>17116</v>
      </c>
      <c r="C1731" s="110" t="s">
        <v>29</v>
      </c>
      <c r="D1731" s="111">
        <v>0.66000000000000003</v>
      </c>
      <c r="E1731" s="111">
        <v>2.8999999999999999</v>
      </c>
      <c r="F1731" s="112">
        <v>3.5600000000000001</v>
      </c>
      <c r="H1731" s="110" t="s">
        <v>29</v>
      </c>
      <c r="I1731" s="111">
        <v>0.66000000000000003</v>
      </c>
      <c r="J1731" s="111">
        <v>2.6899999999999999</v>
      </c>
      <c r="K1731" s="112">
        <v>3.3500000000000001</v>
      </c>
      <c r="L1731" s="88"/>
      <c r="M1731" s="88"/>
    </row>
    <row r="1732" ht="25.5">
      <c r="A1732" s="69">
        <v>2201000012</v>
      </c>
      <c r="B1732" s="89" t="s">
        <v>17117</v>
      </c>
      <c r="C1732" s="88" t="s">
        <v>29</v>
      </c>
      <c r="D1732" s="113"/>
      <c r="E1732" s="113"/>
      <c r="F1732" s="114">
        <v>2.0099999999999998</v>
      </c>
      <c r="H1732" s="88" t="s">
        <v>29</v>
      </c>
      <c r="I1732" s="113"/>
      <c r="J1732" s="113"/>
      <c r="K1732" s="114">
        <v>1.8600000000000001</v>
      </c>
      <c r="L1732" s="88"/>
      <c r="M1732" s="88"/>
    </row>
    <row r="1733" ht="25.5">
      <c r="A1733" s="69">
        <v>2201000014</v>
      </c>
      <c r="B1733" s="89" t="s">
        <v>17118</v>
      </c>
      <c r="C1733" s="88" t="s">
        <v>29</v>
      </c>
      <c r="D1733" s="113"/>
      <c r="E1733" s="113"/>
      <c r="F1733" s="114">
        <v>1.9099999999999999</v>
      </c>
      <c r="H1733" s="88" t="s">
        <v>29</v>
      </c>
      <c r="I1733" s="113"/>
      <c r="J1733" s="113"/>
      <c r="K1733" s="114">
        <v>1.78</v>
      </c>
      <c r="L1733" s="88"/>
      <c r="M1733" s="88"/>
    </row>
    <row r="1734">
      <c r="A1734" s="108">
        <v>2201000016</v>
      </c>
      <c r="B1734" s="109" t="s">
        <v>17119</v>
      </c>
      <c r="C1734" s="110" t="s">
        <v>29</v>
      </c>
      <c r="D1734" s="111">
        <v>3.54</v>
      </c>
      <c r="E1734" s="111">
        <v>12.44</v>
      </c>
      <c r="F1734" s="112">
        <v>15.98</v>
      </c>
      <c r="H1734" s="110" t="s">
        <v>29</v>
      </c>
      <c r="I1734" s="111">
        <v>3.54</v>
      </c>
      <c r="J1734" s="111">
        <v>11.550000000000001</v>
      </c>
      <c r="K1734" s="112">
        <v>15.09</v>
      </c>
      <c r="L1734" s="88"/>
      <c r="M1734" s="88"/>
    </row>
    <row r="1735">
      <c r="A1735" s="108">
        <v>2201000018</v>
      </c>
      <c r="B1735" s="109" t="s">
        <v>17120</v>
      </c>
      <c r="C1735" s="110" t="s">
        <v>31</v>
      </c>
      <c r="D1735" s="111">
        <v>7.9699999999999998</v>
      </c>
      <c r="E1735" s="111">
        <v>26.960000000000001</v>
      </c>
      <c r="F1735" s="112">
        <v>34.93</v>
      </c>
      <c r="H1735" s="110" t="s">
        <v>31</v>
      </c>
      <c r="I1735" s="111">
        <v>7.9699999999999998</v>
      </c>
      <c r="J1735" s="111">
        <v>25.030000000000001</v>
      </c>
      <c r="K1735" s="112">
        <v>33</v>
      </c>
      <c r="L1735" s="88"/>
      <c r="M1735" s="88"/>
    </row>
    <row r="1736">
      <c r="A1736" s="108">
        <v>2201000020</v>
      </c>
      <c r="B1736" s="109" t="s">
        <v>17121</v>
      </c>
      <c r="C1736" s="110" t="s">
        <v>29</v>
      </c>
      <c r="D1736" s="111">
        <v>1.4099999999999999</v>
      </c>
      <c r="E1736" s="111">
        <v>6.2199999999999998</v>
      </c>
      <c r="F1736" s="112">
        <v>7.6299999999999999</v>
      </c>
      <c r="H1736" s="110" t="s">
        <v>29</v>
      </c>
      <c r="I1736" s="111">
        <v>1.4099999999999999</v>
      </c>
      <c r="J1736" s="111">
        <v>5.7699999999999996</v>
      </c>
      <c r="K1736" s="112">
        <v>7.1799999999999997</v>
      </c>
      <c r="L1736" s="88"/>
      <c r="M1736" s="88"/>
    </row>
    <row r="1737">
      <c r="D1737" s="113"/>
      <c r="E1737" s="113"/>
      <c r="F1737" s="114"/>
      <c r="H1737" s="88"/>
      <c r="I1737" s="113"/>
      <c r="J1737" s="113"/>
      <c r="K1737" s="114"/>
      <c r="L1737" s="88"/>
      <c r="M1737" s="88"/>
    </row>
    <row r="1738">
      <c r="B1738" s="102" t="s">
        <v>17122</v>
      </c>
      <c r="D1738" s="113"/>
      <c r="E1738" s="113"/>
      <c r="F1738" s="114"/>
      <c r="H1738" s="88"/>
      <c r="I1738" s="113"/>
      <c r="J1738" s="113"/>
      <c r="K1738" s="114"/>
      <c r="L1738" s="88"/>
      <c r="M1738" s="88"/>
    </row>
    <row r="1739">
      <c r="D1739" s="113"/>
      <c r="E1739" s="113"/>
      <c r="F1739" s="114"/>
      <c r="H1739" s="88"/>
      <c r="I1739" s="113"/>
      <c r="J1739" s="113"/>
      <c r="K1739" s="114"/>
      <c r="L1739" s="88"/>
      <c r="M1739" s="88"/>
    </row>
    <row r="1740">
      <c r="A1740" s="88" t="s">
        <v>15547</v>
      </c>
      <c r="B1740" s="89" t="s">
        <v>15548</v>
      </c>
      <c r="C1740" s="88" t="s">
        <v>15337</v>
      </c>
      <c r="D1740" s="113" t="s">
        <v>10460</v>
      </c>
      <c r="E1740" s="113" t="s">
        <v>15549</v>
      </c>
      <c r="F1740" s="114" t="s">
        <v>15550</v>
      </c>
      <c r="H1740" s="88" t="s">
        <v>15337</v>
      </c>
      <c r="I1740" s="113" t="s">
        <v>10460</v>
      </c>
      <c r="J1740" s="113" t="s">
        <v>15549</v>
      </c>
      <c r="K1740" s="114" t="s">
        <v>15550</v>
      </c>
      <c r="L1740" s="88"/>
      <c r="M1740" s="88"/>
    </row>
    <row r="1741">
      <c r="D1741" s="113"/>
      <c r="E1741" s="113"/>
      <c r="F1741" s="114"/>
      <c r="H1741" s="88"/>
      <c r="I1741" s="113"/>
      <c r="J1741" s="113"/>
      <c r="K1741" s="114"/>
      <c r="L1741" s="88"/>
      <c r="M1741" s="88"/>
    </row>
    <row r="1742" ht="25.5">
      <c r="A1742" s="69">
        <v>2301000100</v>
      </c>
      <c r="B1742" s="89" t="s">
        <v>17123</v>
      </c>
      <c r="C1742" s="88" t="s">
        <v>2032</v>
      </c>
      <c r="D1742" s="113"/>
      <c r="E1742" s="113">
        <v>20.739999999999998</v>
      </c>
      <c r="F1742" s="114">
        <v>20.739999999999998</v>
      </c>
      <c r="H1742" s="88" t="s">
        <v>2032</v>
      </c>
      <c r="I1742" s="113"/>
      <c r="J1742" s="113">
        <v>19.260000000000002</v>
      </c>
      <c r="K1742" s="114">
        <v>19.260000000000002</v>
      </c>
      <c r="L1742" s="88"/>
      <c r="M1742" s="88"/>
    </row>
    <row r="1743">
      <c r="A1743" s="69">
        <v>2301000101</v>
      </c>
      <c r="B1743" s="89" t="s">
        <v>17124</v>
      </c>
      <c r="C1743" s="88" t="s">
        <v>2032</v>
      </c>
      <c r="D1743" s="113"/>
      <c r="E1743" s="113">
        <v>24.59</v>
      </c>
      <c r="F1743" s="114">
        <v>24.59</v>
      </c>
      <c r="H1743" s="88" t="s">
        <v>2032</v>
      </c>
      <c r="I1743" s="113"/>
      <c r="J1743" s="113">
        <v>22.719999999999999</v>
      </c>
      <c r="K1743" s="114">
        <v>22.719999999999999</v>
      </c>
      <c r="L1743" s="88"/>
      <c r="M1743" s="88"/>
    </row>
    <row r="1744" ht="25.5">
      <c r="A1744" s="69">
        <v>2301000104</v>
      </c>
      <c r="B1744" s="89" t="s">
        <v>17125</v>
      </c>
      <c r="C1744" s="88" t="s">
        <v>2032</v>
      </c>
      <c r="D1744" s="113"/>
      <c r="E1744" s="113">
        <v>20.600000000000001</v>
      </c>
      <c r="F1744" s="114">
        <v>20.600000000000001</v>
      </c>
      <c r="H1744" s="88" t="s">
        <v>2032</v>
      </c>
      <c r="I1744" s="113"/>
      <c r="J1744" s="113">
        <v>19.129999999999999</v>
      </c>
      <c r="K1744" s="114">
        <v>19.129999999999999</v>
      </c>
      <c r="L1744" s="88"/>
      <c r="M1744" s="88"/>
    </row>
    <row r="1745" ht="25.5">
      <c r="A1745" s="69">
        <v>2301000105</v>
      </c>
      <c r="B1745" s="89" t="s">
        <v>17126</v>
      </c>
      <c r="C1745" s="88" t="s">
        <v>2032</v>
      </c>
      <c r="D1745" s="113"/>
      <c r="E1745" s="113">
        <v>24.140000000000001</v>
      </c>
      <c r="F1745" s="114">
        <v>24.140000000000001</v>
      </c>
      <c r="H1745" s="88" t="s">
        <v>2032</v>
      </c>
      <c r="I1745" s="113"/>
      <c r="J1745" s="113">
        <v>22.190000000000001</v>
      </c>
      <c r="K1745" s="114">
        <v>22.190000000000001</v>
      </c>
      <c r="L1745" s="88"/>
      <c r="M1745" s="88"/>
    </row>
    <row r="1746">
      <c r="A1746" s="69">
        <v>2301000106</v>
      </c>
      <c r="B1746" s="89" t="s">
        <v>17127</v>
      </c>
      <c r="C1746" s="88" t="s">
        <v>2032</v>
      </c>
      <c r="D1746" s="113"/>
      <c r="E1746" s="113">
        <v>27.32</v>
      </c>
      <c r="F1746" s="114">
        <v>27.32</v>
      </c>
      <c r="H1746" s="88" t="s">
        <v>2032</v>
      </c>
      <c r="I1746" s="113"/>
      <c r="J1746" s="113">
        <v>25.039999999999999</v>
      </c>
      <c r="K1746" s="114">
        <v>25.039999999999999</v>
      </c>
      <c r="L1746" s="88"/>
      <c r="M1746" s="88"/>
    </row>
    <row r="1747">
      <c r="A1747" s="69">
        <v>2301000108</v>
      </c>
      <c r="B1747" s="89" t="s">
        <v>17128</v>
      </c>
      <c r="C1747" s="88" t="s">
        <v>2032</v>
      </c>
      <c r="D1747" s="113"/>
      <c r="E1747" s="113">
        <v>25.57</v>
      </c>
      <c r="F1747" s="114">
        <v>25.57</v>
      </c>
      <c r="H1747" s="88" t="s">
        <v>2032</v>
      </c>
      <c r="I1747" s="113"/>
      <c r="J1747" s="113">
        <v>23.59</v>
      </c>
      <c r="K1747" s="114">
        <v>23.59</v>
      </c>
      <c r="L1747" s="88"/>
      <c r="M1747" s="88"/>
    </row>
    <row r="1748" ht="25.5">
      <c r="A1748" s="69">
        <v>2301000109</v>
      </c>
      <c r="B1748" s="89" t="s">
        <v>17129</v>
      </c>
      <c r="C1748" s="88" t="s">
        <v>2032</v>
      </c>
      <c r="D1748" s="113"/>
      <c r="E1748" s="113">
        <v>25.350000000000001</v>
      </c>
      <c r="F1748" s="114">
        <v>25.350000000000001</v>
      </c>
      <c r="H1748" s="88" t="s">
        <v>2032</v>
      </c>
      <c r="I1748" s="113"/>
      <c r="J1748" s="113">
        <v>23.370000000000001</v>
      </c>
      <c r="K1748" s="114">
        <v>23.370000000000001</v>
      </c>
      <c r="L1748" s="88"/>
      <c r="M1748" s="88"/>
    </row>
    <row r="1749">
      <c r="A1749" s="69">
        <v>2301000110</v>
      </c>
      <c r="B1749" s="89" t="s">
        <v>17130</v>
      </c>
      <c r="C1749" s="88" t="s">
        <v>2032</v>
      </c>
      <c r="D1749" s="113"/>
      <c r="E1749" s="113">
        <v>23.73</v>
      </c>
      <c r="F1749" s="114">
        <v>23.73</v>
      </c>
      <c r="H1749" s="88" t="s">
        <v>2032</v>
      </c>
      <c r="I1749" s="113"/>
      <c r="J1749" s="113">
        <v>21.949999999999999</v>
      </c>
      <c r="K1749" s="114">
        <v>21.949999999999999</v>
      </c>
      <c r="L1749" s="88"/>
      <c r="M1749" s="88"/>
    </row>
    <row r="1750" ht="25.5">
      <c r="A1750" s="69">
        <v>2301000111</v>
      </c>
      <c r="B1750" s="89" t="s">
        <v>17131</v>
      </c>
      <c r="C1750" s="88" t="s">
        <v>2032</v>
      </c>
      <c r="D1750" s="113"/>
      <c r="E1750" s="113">
        <v>25.629999999999999</v>
      </c>
      <c r="F1750" s="114">
        <v>25.629999999999999</v>
      </c>
      <c r="H1750" s="88" t="s">
        <v>2032</v>
      </c>
      <c r="I1750" s="113"/>
      <c r="J1750" s="113">
        <v>23.649999999999999</v>
      </c>
      <c r="K1750" s="114">
        <v>23.649999999999999</v>
      </c>
      <c r="L1750" s="88"/>
      <c r="M1750" s="88"/>
    </row>
    <row r="1751">
      <c r="A1751" s="69">
        <v>2301000112</v>
      </c>
      <c r="B1751" s="89" t="s">
        <v>17132</v>
      </c>
      <c r="C1751" s="88" t="s">
        <v>2032</v>
      </c>
      <c r="D1751" s="113"/>
      <c r="E1751" s="113">
        <v>25.75</v>
      </c>
      <c r="F1751" s="114">
        <v>25.75</v>
      </c>
      <c r="H1751" s="88" t="s">
        <v>2032</v>
      </c>
      <c r="I1751" s="113"/>
      <c r="J1751" s="113">
        <v>23.760000000000002</v>
      </c>
      <c r="K1751" s="114">
        <v>23.760000000000002</v>
      </c>
      <c r="L1751" s="88"/>
      <c r="M1751" s="88"/>
    </row>
    <row r="1752">
      <c r="A1752" s="69">
        <v>2301000114</v>
      </c>
      <c r="B1752" s="89" t="s">
        <v>17133</v>
      </c>
      <c r="C1752" s="88" t="s">
        <v>2032</v>
      </c>
      <c r="D1752" s="113"/>
      <c r="E1752" s="113">
        <v>25.109999999999999</v>
      </c>
      <c r="F1752" s="114">
        <v>25.109999999999999</v>
      </c>
      <c r="H1752" s="88" t="s">
        <v>2032</v>
      </c>
      <c r="I1752" s="113"/>
      <c r="J1752" s="113">
        <v>23.170000000000002</v>
      </c>
      <c r="K1752" s="114">
        <v>23.170000000000002</v>
      </c>
      <c r="L1752" s="88"/>
      <c r="M1752" s="88"/>
    </row>
    <row r="1753">
      <c r="A1753" s="69">
        <v>2301000119</v>
      </c>
      <c r="B1753" s="89" t="s">
        <v>17134</v>
      </c>
      <c r="C1753" s="88" t="s">
        <v>2032</v>
      </c>
      <c r="D1753" s="113"/>
      <c r="E1753" s="113">
        <v>26.09</v>
      </c>
      <c r="F1753" s="114">
        <v>26.09</v>
      </c>
      <c r="H1753" s="88" t="s">
        <v>2032</v>
      </c>
      <c r="I1753" s="113"/>
      <c r="J1753" s="113">
        <v>24.07</v>
      </c>
      <c r="K1753" s="114">
        <v>24.07</v>
      </c>
      <c r="L1753" s="88"/>
      <c r="M1753" s="88"/>
    </row>
    <row r="1754">
      <c r="A1754" s="69">
        <v>2301000120</v>
      </c>
      <c r="B1754" s="89" t="s">
        <v>17135</v>
      </c>
      <c r="C1754" s="88" t="s">
        <v>2032</v>
      </c>
      <c r="D1754" s="113"/>
      <c r="E1754" s="113">
        <v>25.039999999999999</v>
      </c>
      <c r="F1754" s="114">
        <v>25.039999999999999</v>
      </c>
      <c r="H1754" s="88" t="s">
        <v>2032</v>
      </c>
      <c r="I1754" s="113"/>
      <c r="J1754" s="113">
        <v>23.050000000000001</v>
      </c>
      <c r="K1754" s="114">
        <v>23.050000000000001</v>
      </c>
      <c r="L1754" s="88"/>
      <c r="M1754" s="88"/>
    </row>
    <row r="1755">
      <c r="A1755" s="69">
        <v>2301000121</v>
      </c>
      <c r="B1755" s="89" t="s">
        <v>17136</v>
      </c>
      <c r="C1755" s="88" t="s">
        <v>2032</v>
      </c>
      <c r="D1755" s="113"/>
      <c r="E1755" s="113">
        <v>27.440000000000001</v>
      </c>
      <c r="F1755" s="114">
        <v>27.440000000000001</v>
      </c>
      <c r="H1755" s="88" t="s">
        <v>2032</v>
      </c>
      <c r="I1755" s="113"/>
      <c r="J1755" s="113">
        <v>25.460000000000001</v>
      </c>
      <c r="K1755" s="114">
        <v>25.460000000000001</v>
      </c>
      <c r="L1755" s="88"/>
      <c r="M1755" s="88"/>
    </row>
    <row r="1756" ht="25.5">
      <c r="A1756" s="69">
        <v>2301000126</v>
      </c>
      <c r="B1756" s="89" t="s">
        <v>17137</v>
      </c>
      <c r="C1756" s="88" t="s">
        <v>2032</v>
      </c>
      <c r="D1756" s="113"/>
      <c r="E1756" s="113">
        <v>25.48</v>
      </c>
      <c r="F1756" s="114">
        <v>25.48</v>
      </c>
      <c r="H1756" s="88" t="s">
        <v>2032</v>
      </c>
      <c r="I1756" s="113"/>
      <c r="J1756" s="113">
        <v>23.120000000000001</v>
      </c>
      <c r="K1756" s="114">
        <v>23.120000000000001</v>
      </c>
      <c r="L1756" s="88"/>
      <c r="M1756" s="88"/>
    </row>
    <row r="1757" ht="25.5">
      <c r="A1757" s="69">
        <v>2301000130</v>
      </c>
      <c r="B1757" s="89" t="s">
        <v>17138</v>
      </c>
      <c r="C1757" s="88" t="s">
        <v>2032</v>
      </c>
      <c r="D1757" s="113"/>
      <c r="E1757" s="113">
        <v>22.190000000000001</v>
      </c>
      <c r="F1757" s="114">
        <v>22.190000000000001</v>
      </c>
      <c r="H1757" s="88" t="s">
        <v>2032</v>
      </c>
      <c r="I1757" s="113"/>
      <c r="J1757" s="113">
        <v>20.170000000000002</v>
      </c>
      <c r="K1757" s="114">
        <v>20.170000000000002</v>
      </c>
      <c r="L1757" s="88"/>
      <c r="M1757" s="88"/>
    </row>
    <row r="1758" ht="25.5">
      <c r="A1758" s="69">
        <v>2301000132</v>
      </c>
      <c r="B1758" s="89" t="s">
        <v>17139</v>
      </c>
      <c r="C1758" s="88" t="s">
        <v>2032</v>
      </c>
      <c r="D1758" s="113"/>
      <c r="E1758" s="113">
        <v>21.739999999999998</v>
      </c>
      <c r="F1758" s="114">
        <v>21.739999999999998</v>
      </c>
      <c r="H1758" s="88" t="s">
        <v>2032</v>
      </c>
      <c r="I1758" s="113"/>
      <c r="J1758" s="113">
        <v>19.77</v>
      </c>
      <c r="K1758" s="114">
        <v>19.77</v>
      </c>
      <c r="L1758" s="88"/>
      <c r="M1758" s="88"/>
    </row>
    <row r="1759" ht="25.5">
      <c r="A1759" s="69">
        <v>2301000134</v>
      </c>
      <c r="B1759" s="89" t="s">
        <v>17140</v>
      </c>
      <c r="C1759" s="88" t="s">
        <v>2032</v>
      </c>
      <c r="D1759" s="113"/>
      <c r="E1759" s="113">
        <v>12.710000000000001</v>
      </c>
      <c r="F1759" s="114">
        <v>12.710000000000001</v>
      </c>
      <c r="H1759" s="88" t="s">
        <v>2032</v>
      </c>
      <c r="I1759" s="113"/>
      <c r="J1759" s="113">
        <v>11.65</v>
      </c>
      <c r="K1759" s="114">
        <v>11.65</v>
      </c>
      <c r="L1759" s="88"/>
      <c r="M1759" s="88"/>
    </row>
    <row r="1760" ht="25.5">
      <c r="A1760" s="69">
        <v>2301000136</v>
      </c>
      <c r="B1760" s="89" t="s">
        <v>17141</v>
      </c>
      <c r="C1760" s="88" t="s">
        <v>2032</v>
      </c>
      <c r="D1760" s="113"/>
      <c r="E1760" s="113">
        <v>25.34</v>
      </c>
      <c r="F1760" s="114">
        <v>25.34</v>
      </c>
      <c r="H1760" s="88" t="s">
        <v>2032</v>
      </c>
      <c r="I1760" s="113"/>
      <c r="J1760" s="113">
        <v>23.050000000000001</v>
      </c>
      <c r="K1760" s="114">
        <v>23.050000000000001</v>
      </c>
      <c r="L1760" s="88"/>
      <c r="M1760" s="88"/>
    </row>
    <row r="1761" ht="25.5">
      <c r="A1761" s="69">
        <v>2301000138</v>
      </c>
      <c r="B1761" s="89" t="s">
        <v>17142</v>
      </c>
      <c r="C1761" s="88" t="s">
        <v>2032</v>
      </c>
      <c r="D1761" s="113"/>
      <c r="E1761" s="113">
        <v>125.79000000000001</v>
      </c>
      <c r="F1761" s="114">
        <v>125.79000000000001</v>
      </c>
      <c r="H1761" s="88" t="s">
        <v>2032</v>
      </c>
      <c r="I1761" s="113"/>
      <c r="J1761" s="113">
        <v>113.20999999999999</v>
      </c>
      <c r="K1761" s="114">
        <v>113.20999999999999</v>
      </c>
      <c r="L1761" s="88"/>
      <c r="M1761" s="88"/>
    </row>
    <row r="1762" ht="25.5">
      <c r="A1762" s="69">
        <v>2301000140</v>
      </c>
      <c r="B1762" s="89" t="s">
        <v>17143</v>
      </c>
      <c r="C1762" s="88" t="s">
        <v>2032</v>
      </c>
      <c r="D1762" s="113"/>
      <c r="E1762" s="113">
        <v>132.66999999999999</v>
      </c>
      <c r="F1762" s="114">
        <v>132.66999999999999</v>
      </c>
      <c r="H1762" s="88" t="s">
        <v>2032</v>
      </c>
      <c r="I1762" s="113"/>
      <c r="J1762" s="113">
        <v>119.40000000000001</v>
      </c>
      <c r="K1762" s="114">
        <v>119.40000000000001</v>
      </c>
      <c r="L1762" s="88"/>
      <c r="M1762" s="88"/>
    </row>
    <row r="1763" ht="25.5">
      <c r="A1763" s="69">
        <v>2301000142</v>
      </c>
      <c r="B1763" s="89" t="s">
        <v>17144</v>
      </c>
      <c r="C1763" s="88" t="s">
        <v>2032</v>
      </c>
      <c r="D1763" s="113"/>
      <c r="E1763" s="113">
        <v>157.78</v>
      </c>
      <c r="F1763" s="114">
        <v>157.78</v>
      </c>
      <c r="H1763" s="88" t="s">
        <v>2032</v>
      </c>
      <c r="I1763" s="113"/>
      <c r="J1763" s="113">
        <v>141.94999999999999</v>
      </c>
      <c r="K1763" s="114">
        <v>141.94999999999999</v>
      </c>
      <c r="L1763" s="88"/>
      <c r="M1763" s="88"/>
    </row>
    <row r="1764" ht="25.5">
      <c r="A1764" s="69">
        <v>2301000143</v>
      </c>
      <c r="B1764" s="89" t="s">
        <v>17145</v>
      </c>
      <c r="C1764" s="88" t="s">
        <v>2032</v>
      </c>
      <c r="D1764" s="113"/>
      <c r="E1764" s="113">
        <v>132.66999999999999</v>
      </c>
      <c r="F1764" s="114">
        <v>132.66999999999999</v>
      </c>
      <c r="H1764" s="88" t="s">
        <v>2032</v>
      </c>
      <c r="I1764" s="113"/>
      <c r="J1764" s="113">
        <v>119.40000000000001</v>
      </c>
      <c r="K1764" s="114">
        <v>119.40000000000001</v>
      </c>
      <c r="L1764" s="88"/>
      <c r="M1764" s="88"/>
    </row>
    <row r="1765" ht="25.5">
      <c r="A1765" s="69">
        <v>2301000144</v>
      </c>
      <c r="B1765" s="89" t="s">
        <v>17146</v>
      </c>
      <c r="C1765" s="88" t="s">
        <v>2032</v>
      </c>
      <c r="D1765" s="113"/>
      <c r="E1765" s="113">
        <v>32.039999999999999</v>
      </c>
      <c r="F1765" s="114">
        <v>32.039999999999999</v>
      </c>
      <c r="H1765" s="88" t="s">
        <v>2032</v>
      </c>
      <c r="I1765" s="113"/>
      <c r="J1765" s="113">
        <v>29.07</v>
      </c>
      <c r="K1765" s="114">
        <v>29.07</v>
      </c>
      <c r="L1765" s="88"/>
      <c r="M1765" s="88"/>
    </row>
    <row r="1766" ht="25.5">
      <c r="A1766" s="69">
        <v>2301000146</v>
      </c>
      <c r="B1766" s="89" t="s">
        <v>17147</v>
      </c>
      <c r="C1766" s="88" t="s">
        <v>2032</v>
      </c>
      <c r="D1766" s="113"/>
      <c r="E1766" s="113">
        <v>32.920000000000002</v>
      </c>
      <c r="F1766" s="114">
        <v>32.920000000000002</v>
      </c>
      <c r="H1766" s="88" t="s">
        <v>2032</v>
      </c>
      <c r="I1766" s="113"/>
      <c r="J1766" s="113">
        <v>30.079999999999998</v>
      </c>
      <c r="K1766" s="114">
        <v>30.079999999999998</v>
      </c>
      <c r="L1766" s="88"/>
      <c r="M1766" s="88"/>
    </row>
    <row r="1767" ht="38.25">
      <c r="A1767" s="69">
        <v>2301000148</v>
      </c>
      <c r="B1767" s="89" t="s">
        <v>17148</v>
      </c>
      <c r="C1767" s="88" t="s">
        <v>2032</v>
      </c>
      <c r="D1767" s="113"/>
      <c r="E1767" s="113">
        <v>25.800000000000001</v>
      </c>
      <c r="F1767" s="114">
        <v>25.800000000000001</v>
      </c>
      <c r="H1767" s="88" t="s">
        <v>2032</v>
      </c>
      <c r="I1767" s="113"/>
      <c r="J1767" s="113">
        <v>23.809999999999999</v>
      </c>
      <c r="K1767" s="114">
        <v>23.809999999999999</v>
      </c>
      <c r="L1767" s="88"/>
      <c r="M1767" s="88"/>
    </row>
    <row r="1768">
      <c r="A1768" s="108">
        <v>2301000500</v>
      </c>
      <c r="B1768" s="109" t="s">
        <v>17149</v>
      </c>
      <c r="C1768" s="110" t="s">
        <v>29</v>
      </c>
      <c r="D1768" s="111">
        <v>1102.0999999999999</v>
      </c>
      <c r="E1768" s="111">
        <v>1365.22</v>
      </c>
      <c r="F1768" s="112">
        <v>2467.3200000000002</v>
      </c>
      <c r="H1768" s="110" t="s">
        <v>29</v>
      </c>
      <c r="I1768" s="111">
        <v>1101.9400000000001</v>
      </c>
      <c r="J1768" s="111">
        <v>1265.0599999999999</v>
      </c>
      <c r="K1768" s="112">
        <v>2367</v>
      </c>
      <c r="L1768" s="88"/>
      <c r="M1768" s="88"/>
    </row>
  </sheetData>
  <mergeCells count="1">
    <mergeCell ref="A1:E1"/>
  </mergeCells>
  <printOptions headings="0" gridLines="0"/>
  <pageMargins left="0.51181102362204689" right="0.31496062992126" top="1.1023622047244099" bottom="0.47244094488189003" header="0.31496062992126" footer="0.31496062992126"/>
  <pageSetup paperSize="9" scale="85" firstPageNumber="2147483647" fitToWidth="1" fitToHeight="1" pageOrder="downThenOver" orientation="portrait" usePrinterDefaults="1" blackAndWhite="0" draft="0" cellComments="none" useFirstPageNumber="0" errors="displayed" horizontalDpi="600" verticalDpi="600" copies="1"/>
  <headerFooter>
    <oddHeader>&amp;C&amp;"Arial,Negrito"AGENCIA  ESTADUAL  DE  GESTAO  DE  EMPREENDIMENTOS  -  AGESUL&amp;"Arial,Normal"
&amp;9BOLETIM DE PRECOS SEM BDI (SINAPI/AGESUL) - JANEIRO/2025 (LEIS SOCIAIS - 107,52%) SEM DESONERAÇÃO  -    MOEDA: REAL&amp;R&amp;8PAG.: &amp;P</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5">
    <tabColor theme="7" tint="-0.249977111117893"/>
    <outlinePr applyStyles="0" summaryBelow="1" summaryRight="1" showOutlineSymbols="1"/>
    <pageSetUpPr autoPageBreaks="1" fitToPage="0"/>
  </sheetPr>
  <sheetViews>
    <sheetView topLeftCell="A1408" zoomScale="100" workbookViewId="0">
      <selection activeCell="F1763" activeCellId="0" sqref="F1763"/>
    </sheetView>
  </sheetViews>
  <sheetFormatPr defaultColWidth="9.140625" defaultRowHeight="13.5"/>
  <cols>
    <col min="1" max="1" style="88" width="8.28515625"/>
    <col min="2" max="2" style="116" width="7.28515625"/>
    <col customWidth="1" min="3" max="3" style="78" width="60.7109375"/>
    <col customWidth="1" min="4" max="4" style="116" width="8.7109375"/>
    <col min="5" max="5" style="88" width="8.28515625"/>
    <col customWidth="1" min="6" max="6" style="116" width="8.7109375"/>
    <col customWidth="1" min="7" max="7" style="117" width="13.42578125"/>
    <col customWidth="1" min="8" max="8" style="118" width="13.42578125"/>
    <col min="9" max="9" style="116" width="7.5703125"/>
    <col min="10" max="16384" style="69" width="9.140625"/>
  </cols>
  <sheetData>
    <row r="1">
      <c r="A1" s="119"/>
      <c r="B1" s="119"/>
      <c r="C1" s="120" t="s">
        <v>17150</v>
      </c>
      <c r="D1" s="119"/>
      <c r="E1" s="121" t="s">
        <v>17151</v>
      </c>
      <c r="F1" s="119"/>
      <c r="G1" s="122"/>
      <c r="H1" s="123"/>
      <c r="I1" s="124"/>
    </row>
    <row r="2">
      <c r="A2" s="125" t="s">
        <v>17152</v>
      </c>
      <c r="B2" s="119"/>
      <c r="C2" s="120" t="s">
        <v>17153</v>
      </c>
      <c r="D2" s="126"/>
      <c r="E2" s="125" t="s">
        <v>17152</v>
      </c>
      <c r="F2" s="126"/>
      <c r="G2" s="122"/>
      <c r="H2" s="123"/>
      <c r="I2" s="124"/>
    </row>
    <row r="3">
      <c r="G3" s="117" t="s">
        <v>5</v>
      </c>
      <c r="H3" s="118" t="s">
        <v>6</v>
      </c>
    </row>
    <row r="4">
      <c r="A4" s="127" t="s">
        <v>17154</v>
      </c>
      <c r="B4" s="127" t="s">
        <v>17155</v>
      </c>
      <c r="C4" s="127" t="s">
        <v>17156</v>
      </c>
      <c r="D4" s="127" t="s">
        <v>17157</v>
      </c>
      <c r="E4" s="127" t="s">
        <v>17158</v>
      </c>
      <c r="F4" s="127" t="s">
        <v>17159</v>
      </c>
      <c r="G4" s="127" t="s">
        <v>17160</v>
      </c>
      <c r="H4" s="127" t="s">
        <v>17161</v>
      </c>
      <c r="I4" s="127" t="s">
        <v>17162</v>
      </c>
    </row>
    <row r="5" ht="30">
      <c r="A5" s="128" t="s">
        <v>15335</v>
      </c>
      <c r="B5" s="128" t="s">
        <v>17163</v>
      </c>
      <c r="C5" s="128" t="s">
        <v>17164</v>
      </c>
      <c r="D5" s="128" t="s">
        <v>15337</v>
      </c>
      <c r="E5" s="128" t="s">
        <v>15335</v>
      </c>
      <c r="F5" s="128" t="s">
        <v>15337</v>
      </c>
      <c r="G5" s="129" t="s">
        <v>17165</v>
      </c>
      <c r="H5" s="130" t="s">
        <v>17166</v>
      </c>
      <c r="I5" s="128" t="s">
        <v>17167</v>
      </c>
    </row>
    <row r="6" ht="25.5">
      <c r="A6" s="108">
        <v>6590</v>
      </c>
      <c r="B6" s="131" t="s">
        <v>17168</v>
      </c>
      <c r="C6" s="132" t="s">
        <v>17169</v>
      </c>
      <c r="D6" s="131" t="s">
        <v>31</v>
      </c>
      <c r="E6" s="110" t="s">
        <v>17170</v>
      </c>
      <c r="F6" s="131" t="s">
        <v>31</v>
      </c>
      <c r="G6" s="133">
        <v>47.560000000000002</v>
      </c>
      <c r="H6" s="134">
        <v>47.560000000000002</v>
      </c>
      <c r="I6" s="131" t="s">
        <v>17171</v>
      </c>
    </row>
    <row r="7" ht="25.5">
      <c r="A7" s="108">
        <v>6591</v>
      </c>
      <c r="B7" s="131" t="s">
        <v>17168</v>
      </c>
      <c r="C7" s="132" t="s">
        <v>17172</v>
      </c>
      <c r="D7" s="131" t="s">
        <v>31</v>
      </c>
      <c r="E7" s="110" t="s">
        <v>17173</v>
      </c>
      <c r="F7" s="131" t="s">
        <v>31</v>
      </c>
      <c r="G7" s="133">
        <v>39.369999999999997</v>
      </c>
      <c r="H7" s="134">
        <v>39.369999999999997</v>
      </c>
      <c r="I7" s="131" t="s">
        <v>17171</v>
      </c>
      <c r="J7" s="88"/>
    </row>
    <row r="8" ht="25.5">
      <c r="A8" s="108">
        <v>6593</v>
      </c>
      <c r="B8" s="131" t="s">
        <v>17168</v>
      </c>
      <c r="C8" s="132" t="s">
        <v>17174</v>
      </c>
      <c r="D8" s="131" t="s">
        <v>31</v>
      </c>
      <c r="E8" s="110" t="s">
        <v>17175</v>
      </c>
      <c r="F8" s="131" t="s">
        <v>31</v>
      </c>
      <c r="G8" s="133">
        <v>53.140000000000001</v>
      </c>
      <c r="H8" s="134">
        <v>53.140000000000001</v>
      </c>
      <c r="I8" s="131" t="s">
        <v>17171</v>
      </c>
      <c r="J8" s="88"/>
    </row>
    <row r="9" ht="25.5">
      <c r="A9" s="108">
        <v>6594</v>
      </c>
      <c r="B9" s="131" t="s">
        <v>17168</v>
      </c>
      <c r="C9" s="132" t="s">
        <v>17176</v>
      </c>
      <c r="D9" s="131" t="s">
        <v>31</v>
      </c>
      <c r="E9" s="110" t="s">
        <v>17177</v>
      </c>
      <c r="F9" s="131" t="s">
        <v>31</v>
      </c>
      <c r="G9" s="133">
        <v>57.890000000000001</v>
      </c>
      <c r="H9" s="134">
        <v>57.890000000000001</v>
      </c>
      <c r="I9" s="131" t="s">
        <v>17171</v>
      </c>
      <c r="J9" s="88"/>
    </row>
    <row r="10" ht="25.5">
      <c r="A10" s="108">
        <v>6595</v>
      </c>
      <c r="B10" s="131" t="s">
        <v>17168</v>
      </c>
      <c r="C10" s="132" t="s">
        <v>17178</v>
      </c>
      <c r="D10" s="131" t="s">
        <v>31</v>
      </c>
      <c r="E10" s="110" t="s">
        <v>17179</v>
      </c>
      <c r="F10" s="131" t="s">
        <v>31</v>
      </c>
      <c r="G10" s="133">
        <v>46.829999999999998</v>
      </c>
      <c r="H10" s="134">
        <v>46.829999999999998</v>
      </c>
      <c r="I10" s="131" t="s">
        <v>17171</v>
      </c>
      <c r="J10" s="88"/>
    </row>
    <row r="11" ht="25.5">
      <c r="A11" s="108">
        <v>6596</v>
      </c>
      <c r="B11" s="131" t="s">
        <v>17168</v>
      </c>
      <c r="C11" s="132" t="s">
        <v>17180</v>
      </c>
      <c r="D11" s="131" t="s">
        <v>31</v>
      </c>
      <c r="E11" s="110" t="s">
        <v>17181</v>
      </c>
      <c r="F11" s="131" t="s">
        <v>31</v>
      </c>
      <c r="G11" s="133">
        <v>52.079999999999998</v>
      </c>
      <c r="H11" s="134">
        <v>52.079999999999998</v>
      </c>
      <c r="I11" s="131" t="s">
        <v>17171</v>
      </c>
      <c r="J11" s="88"/>
    </row>
    <row r="12" ht="25.5">
      <c r="A12" s="108">
        <v>1024</v>
      </c>
      <c r="B12" s="131" t="s">
        <v>17182</v>
      </c>
      <c r="C12" s="132" t="s">
        <v>17183</v>
      </c>
      <c r="D12" s="131" t="s">
        <v>31</v>
      </c>
      <c r="E12" s="110" t="s">
        <v>17184</v>
      </c>
      <c r="F12" s="131" t="s">
        <v>31</v>
      </c>
      <c r="G12" s="133">
        <v>303.89999999999998</v>
      </c>
      <c r="H12" s="134">
        <v>303.89999999999998</v>
      </c>
      <c r="I12" s="131" t="s">
        <v>17171</v>
      </c>
      <c r="J12" s="88"/>
    </row>
    <row r="13" ht="25.5">
      <c r="A13" s="108">
        <v>2593</v>
      </c>
      <c r="B13" s="131" t="s">
        <v>17182</v>
      </c>
      <c r="C13" s="132" t="s">
        <v>17185</v>
      </c>
      <c r="D13" s="131" t="s">
        <v>31</v>
      </c>
      <c r="E13" s="110" t="s">
        <v>17186</v>
      </c>
      <c r="F13" s="131" t="s">
        <v>31</v>
      </c>
      <c r="G13" s="133">
        <v>462.68000000000001</v>
      </c>
      <c r="H13" s="134">
        <v>462.68000000000001</v>
      </c>
      <c r="I13" s="131" t="s">
        <v>17171</v>
      </c>
      <c r="J13" s="88"/>
    </row>
    <row r="14" ht="25.5">
      <c r="A14" s="108">
        <v>6950</v>
      </c>
      <c r="B14" s="131" t="s">
        <v>17187</v>
      </c>
      <c r="C14" s="132" t="s">
        <v>17188</v>
      </c>
      <c r="D14" s="131" t="s">
        <v>9794</v>
      </c>
      <c r="E14" s="110" t="s">
        <v>17189</v>
      </c>
      <c r="F14" s="131" t="s">
        <v>9794</v>
      </c>
      <c r="G14" s="133">
        <v>13.359999999999999</v>
      </c>
      <c r="H14" s="134">
        <v>13.359999999999999</v>
      </c>
      <c r="I14" s="131" t="s">
        <v>17190</v>
      </c>
      <c r="J14" s="88"/>
    </row>
    <row r="15" ht="38.25">
      <c r="A15" s="108">
        <v>6181</v>
      </c>
      <c r="B15" s="131" t="s">
        <v>17191</v>
      </c>
      <c r="C15" s="132" t="s">
        <v>17192</v>
      </c>
      <c r="D15" s="131" t="s">
        <v>31</v>
      </c>
      <c r="E15" s="110" t="s">
        <v>17193</v>
      </c>
      <c r="F15" s="131" t="s">
        <v>31</v>
      </c>
      <c r="G15" s="133">
        <v>68.239999999999995</v>
      </c>
      <c r="H15" s="134">
        <v>68.239999999999995</v>
      </c>
      <c r="I15" s="131" t="s">
        <v>17171</v>
      </c>
      <c r="J15" s="88"/>
    </row>
    <row r="16" ht="38.25">
      <c r="A16" s="108">
        <v>3471</v>
      </c>
      <c r="B16" s="131" t="s">
        <v>17194</v>
      </c>
      <c r="C16" s="132" t="s">
        <v>17195</v>
      </c>
      <c r="D16" s="131" t="s">
        <v>31</v>
      </c>
      <c r="E16" s="110" t="s">
        <v>17196</v>
      </c>
      <c r="F16" s="131" t="s">
        <v>31</v>
      </c>
      <c r="G16" s="133">
        <v>151</v>
      </c>
      <c r="H16" s="134">
        <v>151</v>
      </c>
      <c r="I16" s="131" t="s">
        <v>17171</v>
      </c>
      <c r="J16" s="88"/>
    </row>
    <row r="17" ht="38.25">
      <c r="A17" s="108">
        <v>1897</v>
      </c>
      <c r="B17" s="131" t="s">
        <v>17194</v>
      </c>
      <c r="C17" s="132" t="s">
        <v>16889</v>
      </c>
      <c r="D17" s="131" t="s">
        <v>31</v>
      </c>
      <c r="E17" s="110" t="s">
        <v>17197</v>
      </c>
      <c r="F17" s="131" t="s">
        <v>31</v>
      </c>
      <c r="G17" s="133">
        <v>191</v>
      </c>
      <c r="H17" s="134">
        <v>191</v>
      </c>
      <c r="I17" s="131" t="s">
        <v>17171</v>
      </c>
      <c r="J17" s="88"/>
    </row>
    <row r="18" ht="25.5">
      <c r="A18" s="108">
        <v>1002</v>
      </c>
      <c r="B18" s="131" t="s">
        <v>17198</v>
      </c>
      <c r="C18" s="132" t="s">
        <v>17199</v>
      </c>
      <c r="D18" s="131" t="s">
        <v>302</v>
      </c>
      <c r="E18" s="110" t="s">
        <v>17200</v>
      </c>
      <c r="F18" s="131" t="s">
        <v>302</v>
      </c>
      <c r="G18" s="133">
        <v>9.6600000000000001</v>
      </c>
      <c r="H18" s="134">
        <v>9.6600000000000001</v>
      </c>
      <c r="I18" s="131" t="s">
        <v>17190</v>
      </c>
      <c r="J18" s="88"/>
    </row>
    <row r="19">
      <c r="A19" s="108">
        <v>1005</v>
      </c>
      <c r="B19" s="131" t="s">
        <v>17198</v>
      </c>
      <c r="C19" s="132" t="s">
        <v>17201</v>
      </c>
      <c r="D19" s="131" t="s">
        <v>302</v>
      </c>
      <c r="E19" s="110" t="s">
        <v>17202</v>
      </c>
      <c r="F19" s="131" t="s">
        <v>302</v>
      </c>
      <c r="G19" s="133">
        <v>8.9900000000000002</v>
      </c>
      <c r="H19" s="134">
        <v>8.9900000000000002</v>
      </c>
      <c r="I19" s="131" t="s">
        <v>17190</v>
      </c>
      <c r="J19" s="88"/>
    </row>
    <row r="20" ht="25.5">
      <c r="A20" s="108">
        <v>1006</v>
      </c>
      <c r="B20" s="131" t="s">
        <v>17198</v>
      </c>
      <c r="C20" s="132" t="s">
        <v>17203</v>
      </c>
      <c r="D20" s="131" t="s">
        <v>302</v>
      </c>
      <c r="E20" s="110" t="s">
        <v>17204</v>
      </c>
      <c r="F20" s="131" t="s">
        <v>302</v>
      </c>
      <c r="G20" s="133">
        <v>7.79</v>
      </c>
      <c r="H20" s="134">
        <v>7.79</v>
      </c>
      <c r="I20" s="131" t="s">
        <v>17190</v>
      </c>
      <c r="J20" s="88"/>
    </row>
    <row r="21" ht="25.5">
      <c r="A21" s="108">
        <v>6325</v>
      </c>
      <c r="B21" s="131" t="s">
        <v>17198</v>
      </c>
      <c r="C21" s="132" t="s">
        <v>17205</v>
      </c>
      <c r="D21" s="131" t="s">
        <v>302</v>
      </c>
      <c r="E21" s="110" t="s">
        <v>17206</v>
      </c>
      <c r="F21" s="131" t="s">
        <v>302</v>
      </c>
      <c r="G21" s="133">
        <v>8.9800000000000004</v>
      </c>
      <c r="H21" s="134">
        <v>8.9800000000000004</v>
      </c>
      <c r="I21" s="131" t="s">
        <v>17190</v>
      </c>
      <c r="J21" s="88"/>
    </row>
    <row r="22">
      <c r="A22" s="108">
        <v>1003</v>
      </c>
      <c r="B22" s="131" t="s">
        <v>17198</v>
      </c>
      <c r="C22" s="132" t="s">
        <v>17207</v>
      </c>
      <c r="D22" s="131" t="s">
        <v>302</v>
      </c>
      <c r="E22" s="110" t="s">
        <v>17208</v>
      </c>
      <c r="F22" s="131" t="s">
        <v>302</v>
      </c>
      <c r="G22" s="133">
        <v>9.4900000000000002</v>
      </c>
      <c r="H22" s="134">
        <v>9.4900000000000002</v>
      </c>
      <c r="I22" s="131" t="s">
        <v>17190</v>
      </c>
      <c r="J22" s="88"/>
    </row>
    <row r="23">
      <c r="A23" s="108">
        <v>1004</v>
      </c>
      <c r="B23" s="131" t="s">
        <v>17198</v>
      </c>
      <c r="C23" s="132" t="s">
        <v>17209</v>
      </c>
      <c r="D23" s="131" t="s">
        <v>302</v>
      </c>
      <c r="E23" s="110" t="s">
        <v>17210</v>
      </c>
      <c r="F23" s="131" t="s">
        <v>302</v>
      </c>
      <c r="G23" s="133">
        <v>9.5399999999999991</v>
      </c>
      <c r="H23" s="134">
        <v>9.5399999999999991</v>
      </c>
      <c r="I23" s="131" t="s">
        <v>17190</v>
      </c>
      <c r="J23" s="88"/>
    </row>
    <row r="24" ht="25.5">
      <c r="A24" s="108">
        <v>1007</v>
      </c>
      <c r="B24" s="131" t="s">
        <v>17198</v>
      </c>
      <c r="C24" s="132" t="s">
        <v>17211</v>
      </c>
      <c r="D24" s="131" t="s">
        <v>302</v>
      </c>
      <c r="E24" s="110" t="s">
        <v>17212</v>
      </c>
      <c r="F24" s="131" t="s">
        <v>302</v>
      </c>
      <c r="G24" s="133">
        <v>8.5099999999999998</v>
      </c>
      <c r="H24" s="134">
        <v>8.5099999999999998</v>
      </c>
      <c r="I24" s="131" t="s">
        <v>17190</v>
      </c>
      <c r="J24" s="88"/>
    </row>
    <row r="25">
      <c r="A25" s="108">
        <v>1008</v>
      </c>
      <c r="B25" s="131" t="s">
        <v>17198</v>
      </c>
      <c r="C25" s="132" t="s">
        <v>17213</v>
      </c>
      <c r="D25" s="131" t="s">
        <v>302</v>
      </c>
      <c r="E25" s="110" t="s">
        <v>17214</v>
      </c>
      <c r="F25" s="131" t="s">
        <v>302</v>
      </c>
      <c r="G25" s="133">
        <v>7.4100000000000001</v>
      </c>
      <c r="H25" s="134">
        <v>7.4100000000000001</v>
      </c>
      <c r="I25" s="131" t="s">
        <v>17190</v>
      </c>
      <c r="J25" s="88"/>
    </row>
    <row r="26" ht="51">
      <c r="A26" s="108">
        <v>1843</v>
      </c>
      <c r="B26" s="131" t="s">
        <v>17215</v>
      </c>
      <c r="C26" s="132" t="s">
        <v>17216</v>
      </c>
      <c r="D26" s="131" t="s">
        <v>31</v>
      </c>
      <c r="E26" s="110" t="s">
        <v>17217</v>
      </c>
      <c r="F26" s="131" t="s">
        <v>31</v>
      </c>
      <c r="G26" s="133">
        <v>20.27</v>
      </c>
      <c r="H26" s="134">
        <v>19.800000000000001</v>
      </c>
      <c r="I26" s="131" t="s">
        <v>17190</v>
      </c>
      <c r="J26" s="88"/>
    </row>
    <row r="27" ht="51">
      <c r="A27" s="108">
        <v>1844</v>
      </c>
      <c r="B27" s="131" t="s">
        <v>17215</v>
      </c>
      <c r="C27" s="132" t="s">
        <v>17218</v>
      </c>
      <c r="D27" s="131" t="s">
        <v>31</v>
      </c>
      <c r="E27" s="110" t="s">
        <v>17219</v>
      </c>
      <c r="F27" s="131" t="s">
        <v>31</v>
      </c>
      <c r="G27" s="133">
        <v>27.5</v>
      </c>
      <c r="H27" s="134">
        <v>27.010000000000002</v>
      </c>
      <c r="I27" s="131" t="s">
        <v>17190</v>
      </c>
      <c r="J27" s="88"/>
    </row>
    <row r="28" ht="51">
      <c r="A28" s="108">
        <v>1845</v>
      </c>
      <c r="B28" s="131" t="s">
        <v>17215</v>
      </c>
      <c r="C28" s="132" t="s">
        <v>17220</v>
      </c>
      <c r="D28" s="131" t="s">
        <v>31</v>
      </c>
      <c r="E28" s="110" t="s">
        <v>17221</v>
      </c>
      <c r="F28" s="131" t="s">
        <v>31</v>
      </c>
      <c r="G28" s="133">
        <v>38.060000000000002</v>
      </c>
      <c r="H28" s="134">
        <v>37.549999999999997</v>
      </c>
      <c r="I28" s="131" t="s">
        <v>17190</v>
      </c>
      <c r="J28" s="88"/>
    </row>
    <row r="29" ht="38.25">
      <c r="A29" s="108">
        <v>8464</v>
      </c>
      <c r="B29" s="131" t="s">
        <v>17194</v>
      </c>
      <c r="C29" s="132" t="s">
        <v>17222</v>
      </c>
      <c r="D29" s="131" t="s">
        <v>31</v>
      </c>
      <c r="E29" s="110" t="s">
        <v>17223</v>
      </c>
      <c r="F29" s="131" t="s">
        <v>31</v>
      </c>
      <c r="G29" s="133">
        <v>78.849999999999994</v>
      </c>
      <c r="H29" s="134">
        <v>78.849999999999994</v>
      </c>
      <c r="I29" s="131" t="s">
        <v>17190</v>
      </c>
      <c r="J29" s="88"/>
    </row>
    <row r="30" ht="38.25">
      <c r="A30" s="108">
        <v>8465</v>
      </c>
      <c r="B30" s="131" t="s">
        <v>17224</v>
      </c>
      <c r="C30" s="132" t="s">
        <v>17225</v>
      </c>
      <c r="D30" s="131" t="s">
        <v>31</v>
      </c>
      <c r="E30" s="110" t="s">
        <v>17226</v>
      </c>
      <c r="F30" s="131" t="s">
        <v>31</v>
      </c>
      <c r="G30" s="133">
        <v>61.710000000000001</v>
      </c>
      <c r="H30" s="134">
        <v>61.710000000000001</v>
      </c>
      <c r="I30" s="131" t="s">
        <v>17190</v>
      </c>
      <c r="J30" s="88"/>
    </row>
    <row r="31" ht="25.5">
      <c r="A31" s="108">
        <v>2005</v>
      </c>
      <c r="B31" s="131" t="s">
        <v>17191</v>
      </c>
      <c r="C31" s="132" t="s">
        <v>17227</v>
      </c>
      <c r="D31" s="131" t="s">
        <v>31</v>
      </c>
      <c r="E31" s="110" t="s">
        <v>17228</v>
      </c>
      <c r="F31" s="131" t="s">
        <v>31</v>
      </c>
      <c r="G31" s="133">
        <v>55.340000000000003</v>
      </c>
      <c r="H31" s="134">
        <v>55.340000000000003</v>
      </c>
      <c r="I31" s="131" t="s">
        <v>17190</v>
      </c>
      <c r="J31" s="88"/>
    </row>
    <row r="32" ht="25.5">
      <c r="A32" s="108">
        <v>2004</v>
      </c>
      <c r="B32" s="131" t="s">
        <v>17191</v>
      </c>
      <c r="C32" s="132" t="s">
        <v>17229</v>
      </c>
      <c r="D32" s="131" t="s">
        <v>31</v>
      </c>
      <c r="E32" s="110" t="s">
        <v>17230</v>
      </c>
      <c r="F32" s="131" t="s">
        <v>31</v>
      </c>
      <c r="G32" s="133">
        <v>34.18</v>
      </c>
      <c r="H32" s="134">
        <v>34.18</v>
      </c>
      <c r="I32" s="131" t="s">
        <v>17190</v>
      </c>
      <c r="J32" s="88"/>
    </row>
    <row r="33" ht="25.5">
      <c r="A33" s="108">
        <v>2009</v>
      </c>
      <c r="B33" s="131" t="s">
        <v>17191</v>
      </c>
      <c r="C33" s="132" t="s">
        <v>17231</v>
      </c>
      <c r="D33" s="131" t="s">
        <v>31</v>
      </c>
      <c r="E33" s="110" t="s">
        <v>17232</v>
      </c>
      <c r="F33" s="131" t="s">
        <v>31</v>
      </c>
      <c r="G33" s="133">
        <v>17.120000000000001</v>
      </c>
      <c r="H33" s="134">
        <v>17.120000000000001</v>
      </c>
      <c r="I33" s="131" t="s">
        <v>17190</v>
      </c>
      <c r="J33" s="88"/>
    </row>
    <row r="34" ht="25.5">
      <c r="A34" s="108">
        <v>2008</v>
      </c>
      <c r="B34" s="131" t="s">
        <v>17191</v>
      </c>
      <c r="C34" s="132" t="s">
        <v>17233</v>
      </c>
      <c r="D34" s="131" t="s">
        <v>31</v>
      </c>
      <c r="E34" s="110" t="s">
        <v>17234</v>
      </c>
      <c r="F34" s="131" t="s">
        <v>31</v>
      </c>
      <c r="G34" s="133">
        <v>50.420000000000002</v>
      </c>
      <c r="H34" s="134">
        <v>50.420000000000002</v>
      </c>
      <c r="I34" s="131" t="s">
        <v>17190</v>
      </c>
      <c r="J34" s="88"/>
    </row>
    <row r="35" ht="25.5">
      <c r="A35" s="108">
        <v>2708</v>
      </c>
      <c r="B35" s="131" t="s">
        <v>17235</v>
      </c>
      <c r="C35" s="132" t="s">
        <v>17236</v>
      </c>
      <c r="D35" s="131" t="s">
        <v>302</v>
      </c>
      <c r="E35" s="110" t="s">
        <v>17237</v>
      </c>
      <c r="F35" s="131" t="s">
        <v>302</v>
      </c>
      <c r="G35" s="133">
        <v>34.460000000000001</v>
      </c>
      <c r="H35" s="134">
        <v>34.460000000000001</v>
      </c>
      <c r="I35" s="131" t="s">
        <v>17190</v>
      </c>
      <c r="J35" s="88"/>
    </row>
    <row r="36" ht="38.25">
      <c r="A36" s="108">
        <v>6434</v>
      </c>
      <c r="B36" s="131" t="s">
        <v>17235</v>
      </c>
      <c r="C36" s="132" t="s">
        <v>17238</v>
      </c>
      <c r="D36" s="131" t="s">
        <v>31</v>
      </c>
      <c r="E36" s="110" t="s">
        <v>17239</v>
      </c>
      <c r="F36" s="131" t="s">
        <v>31</v>
      </c>
      <c r="G36" s="133">
        <v>178.44999999999999</v>
      </c>
      <c r="H36" s="134">
        <v>178.44999999999999</v>
      </c>
      <c r="I36" s="131" t="s">
        <v>17171</v>
      </c>
      <c r="J36" s="88"/>
    </row>
    <row r="37" ht="25.5">
      <c r="A37" s="108">
        <v>1063</v>
      </c>
      <c r="B37" s="131" t="s">
        <v>17224</v>
      </c>
      <c r="C37" s="132" t="s">
        <v>17240</v>
      </c>
      <c r="D37" s="131" t="s">
        <v>31</v>
      </c>
      <c r="E37" s="110" t="s">
        <v>17241</v>
      </c>
      <c r="F37" s="131" t="s">
        <v>31</v>
      </c>
      <c r="G37" s="133">
        <v>76.170000000000002</v>
      </c>
      <c r="H37" s="134">
        <v>76.170000000000002</v>
      </c>
      <c r="I37" s="131" t="s">
        <v>17190</v>
      </c>
      <c r="J37" s="88"/>
    </row>
    <row r="38" ht="25.5">
      <c r="A38" s="108">
        <v>6087</v>
      </c>
      <c r="B38" s="131" t="s">
        <v>17224</v>
      </c>
      <c r="C38" s="132" t="s">
        <v>17240</v>
      </c>
      <c r="D38" s="131" t="s">
        <v>31</v>
      </c>
      <c r="E38" s="110" t="s">
        <v>17242</v>
      </c>
      <c r="F38" s="131" t="s">
        <v>31</v>
      </c>
      <c r="G38" s="133">
        <v>76.170000000000002</v>
      </c>
      <c r="H38" s="134">
        <v>76.170000000000002</v>
      </c>
      <c r="I38" s="131" t="s">
        <v>17190</v>
      </c>
      <c r="J38" s="88"/>
    </row>
    <row r="39" ht="38.25">
      <c r="A39" s="108">
        <v>1173</v>
      </c>
      <c r="B39" s="131" t="s">
        <v>17243</v>
      </c>
      <c r="C39" s="132" t="s">
        <v>17244</v>
      </c>
      <c r="D39" s="131" t="s">
        <v>9794</v>
      </c>
      <c r="E39" s="110" t="s">
        <v>17245</v>
      </c>
      <c r="F39" s="131" t="s">
        <v>9794</v>
      </c>
      <c r="G39" s="133">
        <v>8.0999999999999996</v>
      </c>
      <c r="H39" s="134">
        <v>8.0999999999999996</v>
      </c>
      <c r="I39" s="131" t="s">
        <v>17190</v>
      </c>
      <c r="J39" s="88"/>
    </row>
    <row r="40" ht="38.25">
      <c r="A40" s="108">
        <v>6033</v>
      </c>
      <c r="B40" s="131" t="s">
        <v>17246</v>
      </c>
      <c r="C40" s="132" t="s">
        <v>17244</v>
      </c>
      <c r="D40" s="131" t="s">
        <v>9794</v>
      </c>
      <c r="E40" s="110" t="s">
        <v>17247</v>
      </c>
      <c r="F40" s="131" t="s">
        <v>9794</v>
      </c>
      <c r="G40" s="133">
        <v>8.0999999999999996</v>
      </c>
      <c r="H40" s="134">
        <v>8.0999999999999996</v>
      </c>
      <c r="I40" s="131" t="s">
        <v>17190</v>
      </c>
      <c r="J40" s="88"/>
    </row>
    <row r="41" ht="38.25">
      <c r="A41" s="108">
        <v>1150</v>
      </c>
      <c r="B41" s="131" t="s">
        <v>17243</v>
      </c>
      <c r="C41" s="132" t="s">
        <v>17248</v>
      </c>
      <c r="D41" s="131" t="s">
        <v>302</v>
      </c>
      <c r="E41" s="110" t="s">
        <v>17249</v>
      </c>
      <c r="F41" s="131" t="s">
        <v>302</v>
      </c>
      <c r="G41" s="133">
        <v>6.0800000000000001</v>
      </c>
      <c r="H41" s="134">
        <v>6.0800000000000001</v>
      </c>
      <c r="I41" s="131" t="s">
        <v>17171</v>
      </c>
      <c r="J41" s="88"/>
    </row>
    <row r="42" ht="25.5">
      <c r="A42" s="108">
        <v>4030</v>
      </c>
      <c r="B42" s="131" t="s">
        <v>17250</v>
      </c>
      <c r="C42" s="132" t="s">
        <v>17251</v>
      </c>
      <c r="D42" s="131" t="s">
        <v>2032</v>
      </c>
      <c r="E42" s="110" t="s">
        <v>17252</v>
      </c>
      <c r="F42" s="131" t="s">
        <v>2032</v>
      </c>
      <c r="G42" s="133">
        <v>21.239999999999998</v>
      </c>
      <c r="H42" s="134">
        <v>19.710000000000001</v>
      </c>
      <c r="I42" s="131" t="s">
        <v>17190</v>
      </c>
      <c r="J42" s="88"/>
    </row>
    <row r="43" ht="25.5">
      <c r="A43" s="108">
        <v>4031</v>
      </c>
      <c r="B43" s="131" t="s">
        <v>17250</v>
      </c>
      <c r="C43" s="132" t="s">
        <v>17253</v>
      </c>
      <c r="D43" s="131" t="s">
        <v>2032</v>
      </c>
      <c r="E43" s="110" t="s">
        <v>17254</v>
      </c>
      <c r="F43" s="131" t="s">
        <v>2032</v>
      </c>
      <c r="G43" s="133">
        <v>21.059999999999999</v>
      </c>
      <c r="H43" s="134">
        <v>19.530000000000001</v>
      </c>
      <c r="I43" s="131" t="s">
        <v>17190</v>
      </c>
      <c r="J43" s="88"/>
    </row>
    <row r="44" ht="25.5">
      <c r="A44" s="108">
        <v>4063</v>
      </c>
      <c r="B44" s="131" t="s">
        <v>17250</v>
      </c>
      <c r="C44" s="132" t="s">
        <v>17255</v>
      </c>
      <c r="D44" s="131" t="s">
        <v>2032</v>
      </c>
      <c r="E44" s="110" t="s">
        <v>17256</v>
      </c>
      <c r="F44" s="131" t="s">
        <v>2032</v>
      </c>
      <c r="G44" s="133">
        <v>20.050000000000001</v>
      </c>
      <c r="H44" s="134">
        <v>18.52</v>
      </c>
      <c r="I44" s="131" t="s">
        <v>17190</v>
      </c>
      <c r="J44" s="88"/>
    </row>
    <row r="45" ht="25.5">
      <c r="A45" s="108">
        <v>4034</v>
      </c>
      <c r="B45" s="131" t="s">
        <v>17250</v>
      </c>
      <c r="C45" s="132" t="s">
        <v>17257</v>
      </c>
      <c r="D45" s="131" t="s">
        <v>2032</v>
      </c>
      <c r="E45" s="110" t="s">
        <v>17258</v>
      </c>
      <c r="F45" s="131" t="s">
        <v>2032</v>
      </c>
      <c r="G45" s="133">
        <v>21.280000000000001</v>
      </c>
      <c r="H45" s="134">
        <v>19.75</v>
      </c>
      <c r="I45" s="131" t="s">
        <v>17190</v>
      </c>
      <c r="J45" s="88"/>
    </row>
    <row r="46" ht="25.5">
      <c r="A46" s="108">
        <v>4062</v>
      </c>
      <c r="B46" s="131" t="s">
        <v>17250</v>
      </c>
      <c r="C46" s="132" t="s">
        <v>17259</v>
      </c>
      <c r="D46" s="131" t="s">
        <v>2032</v>
      </c>
      <c r="E46" s="110" t="s">
        <v>17260</v>
      </c>
      <c r="F46" s="131" t="s">
        <v>2032</v>
      </c>
      <c r="G46" s="133">
        <v>23.09</v>
      </c>
      <c r="H46" s="134">
        <v>21.559999999999999</v>
      </c>
      <c r="I46" s="131" t="s">
        <v>17190</v>
      </c>
      <c r="J46" s="88"/>
    </row>
    <row r="47" ht="25.5">
      <c r="A47" s="108">
        <v>4027</v>
      </c>
      <c r="B47" s="131" t="s">
        <v>17250</v>
      </c>
      <c r="C47" s="132" t="s">
        <v>17261</v>
      </c>
      <c r="D47" s="131" t="s">
        <v>2032</v>
      </c>
      <c r="E47" s="110" t="s">
        <v>17262</v>
      </c>
      <c r="F47" s="131" t="s">
        <v>2032</v>
      </c>
      <c r="G47" s="133">
        <v>21.609999999999999</v>
      </c>
      <c r="H47" s="134">
        <v>20.030000000000001</v>
      </c>
      <c r="I47" s="131" t="s">
        <v>17190</v>
      </c>
      <c r="J47" s="88"/>
    </row>
    <row r="48" ht="51">
      <c r="A48" s="108">
        <v>6422</v>
      </c>
      <c r="B48" s="131" t="s">
        <v>17235</v>
      </c>
      <c r="C48" s="132" t="s">
        <v>17263</v>
      </c>
      <c r="D48" s="131" t="s">
        <v>31</v>
      </c>
      <c r="E48" s="110" t="s">
        <v>17264</v>
      </c>
      <c r="F48" s="131" t="s">
        <v>31</v>
      </c>
      <c r="G48" s="133">
        <v>209.88999999999999</v>
      </c>
      <c r="H48" s="134">
        <v>209.88999999999999</v>
      </c>
      <c r="I48" s="131" t="s">
        <v>17171</v>
      </c>
      <c r="J48" s="88"/>
    </row>
    <row r="49" ht="63.75">
      <c r="A49" s="108">
        <v>2706</v>
      </c>
      <c r="B49" s="131" t="s">
        <v>17235</v>
      </c>
      <c r="C49" s="132" t="s">
        <v>17042</v>
      </c>
      <c r="D49" s="131" t="s">
        <v>31</v>
      </c>
      <c r="E49" s="110" t="s">
        <v>17265</v>
      </c>
      <c r="F49" s="131" t="s">
        <v>31</v>
      </c>
      <c r="G49" s="133">
        <v>315.25999999999999</v>
      </c>
      <c r="H49" s="134">
        <v>315.25999999999999</v>
      </c>
      <c r="I49" s="131" t="s">
        <v>17171</v>
      </c>
      <c r="J49" s="88"/>
    </row>
    <row r="50" ht="38.25">
      <c r="A50" s="108">
        <v>6608</v>
      </c>
      <c r="B50" s="131" t="s">
        <v>17168</v>
      </c>
      <c r="C50" s="132" t="s">
        <v>17266</v>
      </c>
      <c r="D50" s="131" t="s">
        <v>31</v>
      </c>
      <c r="E50" s="110" t="s">
        <v>17267</v>
      </c>
      <c r="F50" s="131" t="s">
        <v>31</v>
      </c>
      <c r="G50" s="133">
        <v>6.04</v>
      </c>
      <c r="H50" s="134">
        <v>6.04</v>
      </c>
      <c r="I50" s="131" t="s">
        <v>17190</v>
      </c>
      <c r="J50" s="88"/>
    </row>
    <row r="51" ht="38.25">
      <c r="A51" s="108">
        <v>7047</v>
      </c>
      <c r="B51" s="131" t="s">
        <v>17168</v>
      </c>
      <c r="C51" s="132" t="s">
        <v>17268</v>
      </c>
      <c r="D51" s="131" t="s">
        <v>31</v>
      </c>
      <c r="E51" s="110" t="s">
        <v>17269</v>
      </c>
      <c r="F51" s="131" t="s">
        <v>31</v>
      </c>
      <c r="G51" s="133">
        <v>18.739999999999998</v>
      </c>
      <c r="H51" s="134">
        <v>18.739999999999998</v>
      </c>
      <c r="I51" s="131" t="s">
        <v>17190</v>
      </c>
      <c r="J51" s="88"/>
    </row>
    <row r="52" ht="38.25">
      <c r="A52" s="108">
        <v>7048</v>
      </c>
      <c r="B52" s="131" t="s">
        <v>17168</v>
      </c>
      <c r="C52" s="132" t="s">
        <v>17268</v>
      </c>
      <c r="D52" s="131" t="s">
        <v>31</v>
      </c>
      <c r="E52" s="110" t="s">
        <v>17270</v>
      </c>
      <c r="F52" s="131" t="s">
        <v>31</v>
      </c>
      <c r="G52" s="133">
        <v>18.739999999999998</v>
      </c>
      <c r="H52" s="134">
        <v>18.739999999999998</v>
      </c>
      <c r="I52" s="131" t="s">
        <v>17190</v>
      </c>
      <c r="J52" s="88"/>
    </row>
    <row r="53" ht="25.5">
      <c r="A53" s="108">
        <v>6429</v>
      </c>
      <c r="B53" s="131" t="s">
        <v>17168</v>
      </c>
      <c r="C53" s="132" t="s">
        <v>17271</v>
      </c>
      <c r="D53" s="131" t="s">
        <v>31</v>
      </c>
      <c r="E53" s="110" t="s">
        <v>17272</v>
      </c>
      <c r="F53" s="131" t="s">
        <v>31</v>
      </c>
      <c r="G53" s="133">
        <v>126</v>
      </c>
      <c r="H53" s="134">
        <v>126</v>
      </c>
      <c r="I53" s="131" t="s">
        <v>17171</v>
      </c>
      <c r="J53" s="88"/>
    </row>
    <row r="54" ht="25.5">
      <c r="A54" s="108">
        <v>1924</v>
      </c>
      <c r="B54" s="131" t="s">
        <v>17273</v>
      </c>
      <c r="C54" s="132" t="s">
        <v>17274</v>
      </c>
      <c r="D54" s="131" t="s">
        <v>2032</v>
      </c>
      <c r="E54" s="110" t="s">
        <v>17275</v>
      </c>
      <c r="F54" s="131" t="s">
        <v>2032</v>
      </c>
      <c r="G54" s="133">
        <v>1.6000000000000001</v>
      </c>
      <c r="H54" s="134">
        <v>1.6000000000000001</v>
      </c>
      <c r="I54" s="131" t="s">
        <v>17190</v>
      </c>
      <c r="J54" s="88"/>
    </row>
    <row r="55" ht="25.5">
      <c r="A55" s="108">
        <v>4041</v>
      </c>
      <c r="B55" s="131" t="s">
        <v>17250</v>
      </c>
      <c r="C55" s="132" t="s">
        <v>17276</v>
      </c>
      <c r="D55" s="131" t="s">
        <v>2032</v>
      </c>
      <c r="E55" s="110" t="s">
        <v>17277</v>
      </c>
      <c r="F55" s="131" t="s">
        <v>2032</v>
      </c>
      <c r="G55" s="133">
        <v>22.190000000000001</v>
      </c>
      <c r="H55" s="134">
        <v>20.170000000000002</v>
      </c>
      <c r="I55" s="131" t="s">
        <v>17190</v>
      </c>
      <c r="J55" s="88"/>
    </row>
    <row r="56" ht="25.5">
      <c r="A56" s="108">
        <v>1723</v>
      </c>
      <c r="B56" s="131" t="s">
        <v>17215</v>
      </c>
      <c r="C56" s="132" t="s">
        <v>17278</v>
      </c>
      <c r="D56" s="131" t="s">
        <v>2032</v>
      </c>
      <c r="E56" s="110" t="s">
        <v>17279</v>
      </c>
      <c r="F56" s="131" t="s">
        <v>2032</v>
      </c>
      <c r="G56" s="133">
        <v>273.98000000000002</v>
      </c>
      <c r="H56" s="134">
        <v>271.87</v>
      </c>
      <c r="I56" s="131" t="s">
        <v>17171</v>
      </c>
      <c r="J56" s="88"/>
    </row>
    <row r="57" ht="38.25">
      <c r="A57" s="108">
        <v>1910</v>
      </c>
      <c r="B57" s="131" t="s">
        <v>17215</v>
      </c>
      <c r="C57" s="132" t="s">
        <v>17280</v>
      </c>
      <c r="D57" s="131" t="s">
        <v>29</v>
      </c>
      <c r="E57" s="110" t="s">
        <v>17281</v>
      </c>
      <c r="F57" s="131" t="s">
        <v>29</v>
      </c>
      <c r="G57" s="133">
        <v>116.79000000000001</v>
      </c>
      <c r="H57" s="134">
        <v>115.02</v>
      </c>
      <c r="I57" s="131" t="s">
        <v>17190</v>
      </c>
      <c r="J57" s="88"/>
    </row>
    <row r="58" ht="38.25">
      <c r="A58" s="108">
        <v>1764</v>
      </c>
      <c r="B58" s="131" t="s">
        <v>17215</v>
      </c>
      <c r="C58" s="132" t="s">
        <v>17282</v>
      </c>
      <c r="D58" s="131" t="s">
        <v>29</v>
      </c>
      <c r="E58" s="110" t="s">
        <v>17283</v>
      </c>
      <c r="F58" s="131" t="s">
        <v>29</v>
      </c>
      <c r="G58" s="133">
        <v>95.400000000000006</v>
      </c>
      <c r="H58" s="134">
        <v>93.730000000000004</v>
      </c>
      <c r="I58" s="131" t="s">
        <v>17190</v>
      </c>
      <c r="J58" s="88"/>
    </row>
    <row r="59" ht="51">
      <c r="A59" s="108">
        <v>6310</v>
      </c>
      <c r="B59" s="131" t="s">
        <v>17215</v>
      </c>
      <c r="C59" s="132" t="s">
        <v>17284</v>
      </c>
      <c r="D59" s="131" t="s">
        <v>29</v>
      </c>
      <c r="E59" s="110" t="s">
        <v>17285</v>
      </c>
      <c r="F59" s="131" t="s">
        <v>29</v>
      </c>
      <c r="G59" s="133">
        <v>334.57999999999998</v>
      </c>
      <c r="H59" s="134">
        <v>323.08999999999997</v>
      </c>
      <c r="I59" s="131" t="s">
        <v>17171</v>
      </c>
      <c r="J59" s="88"/>
    </row>
    <row r="60" ht="51">
      <c r="A60" s="108">
        <v>6301</v>
      </c>
      <c r="B60" s="131" t="s">
        <v>17215</v>
      </c>
      <c r="C60" s="132" t="s">
        <v>17286</v>
      </c>
      <c r="D60" s="131" t="s">
        <v>121</v>
      </c>
      <c r="E60" s="110" t="s">
        <v>17287</v>
      </c>
      <c r="F60" s="131" t="s">
        <v>121</v>
      </c>
      <c r="G60" s="133">
        <v>667.89999999999998</v>
      </c>
      <c r="H60" s="134">
        <v>643.89999999999998</v>
      </c>
      <c r="I60" s="131" t="s">
        <v>17190</v>
      </c>
      <c r="J60" s="88"/>
    </row>
    <row r="61" ht="38.25">
      <c r="A61" s="108">
        <v>1684</v>
      </c>
      <c r="B61" s="131" t="s">
        <v>17215</v>
      </c>
      <c r="C61" s="132" t="s">
        <v>17288</v>
      </c>
      <c r="D61" s="131" t="s">
        <v>121</v>
      </c>
      <c r="E61" s="110" t="s">
        <v>17289</v>
      </c>
      <c r="F61" s="131" t="s">
        <v>121</v>
      </c>
      <c r="G61" s="133">
        <v>1004.97</v>
      </c>
      <c r="H61" s="134">
        <v>977.69000000000005</v>
      </c>
      <c r="I61" s="131" t="s">
        <v>17171</v>
      </c>
      <c r="J61" s="88"/>
    </row>
    <row r="62" ht="51">
      <c r="A62" s="108">
        <v>6388</v>
      </c>
      <c r="B62" s="131" t="s">
        <v>17215</v>
      </c>
      <c r="C62" s="132" t="s">
        <v>17290</v>
      </c>
      <c r="D62" s="131" t="s">
        <v>29</v>
      </c>
      <c r="E62" s="110" t="s">
        <v>17291</v>
      </c>
      <c r="F62" s="131" t="s">
        <v>29</v>
      </c>
      <c r="G62" s="133">
        <v>134.31999999999999</v>
      </c>
      <c r="H62" s="134">
        <v>128.77000000000001</v>
      </c>
      <c r="I62" s="131" t="s">
        <v>17190</v>
      </c>
      <c r="J62" s="88"/>
    </row>
    <row r="63" ht="51">
      <c r="A63" s="108">
        <v>6460</v>
      </c>
      <c r="B63" s="131" t="s">
        <v>17273</v>
      </c>
      <c r="C63" s="132" t="s">
        <v>17292</v>
      </c>
      <c r="D63" s="131" t="s">
        <v>29</v>
      </c>
      <c r="E63" s="110" t="s">
        <v>17293</v>
      </c>
      <c r="F63" s="131" t="s">
        <v>29</v>
      </c>
      <c r="G63" s="133">
        <v>81.090000000000003</v>
      </c>
      <c r="H63" s="134">
        <v>79.010000000000005</v>
      </c>
      <c r="I63" s="131" t="s">
        <v>17190</v>
      </c>
      <c r="J63" s="88"/>
    </row>
    <row r="64" ht="25.5">
      <c r="A64" s="108">
        <v>6140</v>
      </c>
      <c r="B64" s="131" t="s">
        <v>17168</v>
      </c>
      <c r="C64" s="132" t="s">
        <v>17294</v>
      </c>
      <c r="D64" s="131" t="s">
        <v>31</v>
      </c>
      <c r="E64" s="110" t="s">
        <v>17295</v>
      </c>
      <c r="F64" s="131" t="s">
        <v>31</v>
      </c>
      <c r="G64" s="133">
        <v>5.7699999999999996</v>
      </c>
      <c r="H64" s="134">
        <v>5.7699999999999996</v>
      </c>
      <c r="I64" s="131" t="s">
        <v>17171</v>
      </c>
      <c r="J64" s="88"/>
    </row>
    <row r="65" ht="25.5">
      <c r="A65" s="108">
        <v>6141</v>
      </c>
      <c r="B65" s="131" t="s">
        <v>17168</v>
      </c>
      <c r="C65" s="132" t="s">
        <v>17296</v>
      </c>
      <c r="D65" s="131" t="s">
        <v>31</v>
      </c>
      <c r="E65" s="110" t="s">
        <v>17297</v>
      </c>
      <c r="F65" s="131" t="s">
        <v>31</v>
      </c>
      <c r="G65" s="133">
        <v>7.1399999999999997</v>
      </c>
      <c r="H65" s="134">
        <v>7.1399999999999997</v>
      </c>
      <c r="I65" s="131" t="s">
        <v>17171</v>
      </c>
      <c r="J65" s="88"/>
    </row>
    <row r="66" ht="25.5">
      <c r="A66" s="108">
        <v>7193</v>
      </c>
      <c r="B66" s="131" t="s">
        <v>17168</v>
      </c>
      <c r="C66" s="132" t="s">
        <v>17298</v>
      </c>
      <c r="D66" s="131" t="s">
        <v>31</v>
      </c>
      <c r="E66" s="110" t="s">
        <v>17299</v>
      </c>
      <c r="F66" s="131" t="s">
        <v>31</v>
      </c>
      <c r="G66" s="133">
        <v>4.2999999999999998</v>
      </c>
      <c r="H66" s="134">
        <v>4.2999999999999998</v>
      </c>
      <c r="I66" s="131" t="s">
        <v>17171</v>
      </c>
      <c r="J66" s="88"/>
    </row>
    <row r="67" ht="25.5">
      <c r="A67" s="108">
        <v>7194</v>
      </c>
      <c r="B67" s="131" t="s">
        <v>17168</v>
      </c>
      <c r="C67" s="132" t="s">
        <v>17300</v>
      </c>
      <c r="D67" s="131" t="s">
        <v>31</v>
      </c>
      <c r="E67" s="110" t="s">
        <v>17301</v>
      </c>
      <c r="F67" s="131" t="s">
        <v>31</v>
      </c>
      <c r="G67" s="133">
        <v>13.800000000000001</v>
      </c>
      <c r="H67" s="134">
        <v>13.800000000000001</v>
      </c>
      <c r="I67" s="131" t="s">
        <v>17171</v>
      </c>
      <c r="J67" s="88"/>
    </row>
    <row r="68" ht="25.5">
      <c r="A68" s="108">
        <v>6135</v>
      </c>
      <c r="B68" s="131" t="s">
        <v>17168</v>
      </c>
      <c r="C68" s="132" t="s">
        <v>17302</v>
      </c>
      <c r="D68" s="131" t="s">
        <v>31</v>
      </c>
      <c r="E68" s="110" t="s">
        <v>17303</v>
      </c>
      <c r="F68" s="131" t="s">
        <v>31</v>
      </c>
      <c r="G68" s="133">
        <v>13.279999999999999</v>
      </c>
      <c r="H68" s="134">
        <v>13.279999999999999</v>
      </c>
      <c r="I68" s="131" t="s">
        <v>17171</v>
      </c>
      <c r="J68" s="88"/>
    </row>
    <row r="69" ht="25.5">
      <c r="A69" s="108">
        <v>6152</v>
      </c>
      <c r="B69" s="131" t="s">
        <v>17168</v>
      </c>
      <c r="C69" s="132" t="s">
        <v>17304</v>
      </c>
      <c r="D69" s="131" t="s">
        <v>31</v>
      </c>
      <c r="E69" s="110" t="s">
        <v>17305</v>
      </c>
      <c r="F69" s="131" t="s">
        <v>31</v>
      </c>
      <c r="G69" s="133">
        <v>10.960000000000001</v>
      </c>
      <c r="H69" s="134">
        <v>10.960000000000001</v>
      </c>
      <c r="I69" s="131" t="s">
        <v>17171</v>
      </c>
      <c r="J69" s="88"/>
    </row>
    <row r="70" ht="25.5">
      <c r="A70" s="108">
        <v>7195</v>
      </c>
      <c r="B70" s="131" t="s">
        <v>17168</v>
      </c>
      <c r="C70" s="132" t="s">
        <v>17306</v>
      </c>
      <c r="D70" s="131" t="s">
        <v>31</v>
      </c>
      <c r="E70" s="110" t="s">
        <v>17307</v>
      </c>
      <c r="F70" s="131" t="s">
        <v>31</v>
      </c>
      <c r="G70" s="133">
        <v>27.829999999999998</v>
      </c>
      <c r="H70" s="134">
        <v>27.829999999999998</v>
      </c>
      <c r="I70" s="131" t="s">
        <v>17171</v>
      </c>
      <c r="J70" s="88"/>
    </row>
    <row r="71" ht="25.5">
      <c r="A71" s="108">
        <v>6114</v>
      </c>
      <c r="B71" s="131" t="s">
        <v>17273</v>
      </c>
      <c r="C71" s="132" t="s">
        <v>17308</v>
      </c>
      <c r="D71" s="131" t="s">
        <v>31</v>
      </c>
      <c r="E71" s="110" t="s">
        <v>17309</v>
      </c>
      <c r="F71" s="131" t="s">
        <v>31</v>
      </c>
      <c r="G71" s="133">
        <v>3.25</v>
      </c>
      <c r="H71" s="134">
        <v>3.25</v>
      </c>
      <c r="I71" s="131" t="s">
        <v>17190</v>
      </c>
      <c r="J71" s="88"/>
    </row>
    <row r="72" ht="25.5">
      <c r="A72" s="108">
        <v>6111</v>
      </c>
      <c r="B72" s="131" t="s">
        <v>17273</v>
      </c>
      <c r="C72" s="132" t="s">
        <v>17310</v>
      </c>
      <c r="D72" s="131" t="s">
        <v>31</v>
      </c>
      <c r="E72" s="110" t="s">
        <v>17311</v>
      </c>
      <c r="F72" s="131" t="s">
        <v>31</v>
      </c>
      <c r="G72" s="133">
        <v>1.8300000000000001</v>
      </c>
      <c r="H72" s="134">
        <v>1.8300000000000001</v>
      </c>
      <c r="I72" s="131" t="s">
        <v>17190</v>
      </c>
      <c r="J72" s="88"/>
    </row>
    <row r="73" ht="25.5">
      <c r="A73" s="108">
        <v>6112</v>
      </c>
      <c r="B73" s="131" t="s">
        <v>17273</v>
      </c>
      <c r="C73" s="132" t="s">
        <v>17312</v>
      </c>
      <c r="D73" s="131" t="s">
        <v>31</v>
      </c>
      <c r="E73" s="110" t="s">
        <v>17313</v>
      </c>
      <c r="F73" s="131" t="s">
        <v>31</v>
      </c>
      <c r="G73" s="133">
        <v>2.7000000000000002</v>
      </c>
      <c r="H73" s="134">
        <v>2.7000000000000002</v>
      </c>
      <c r="I73" s="131" t="s">
        <v>17190</v>
      </c>
      <c r="J73" s="88"/>
    </row>
    <row r="74" ht="25.5">
      <c r="A74" s="108">
        <v>1660</v>
      </c>
      <c r="B74" s="131" t="s">
        <v>17273</v>
      </c>
      <c r="C74" s="132" t="s">
        <v>17314</v>
      </c>
      <c r="D74" s="131" t="s">
        <v>31</v>
      </c>
      <c r="E74" s="110" t="s">
        <v>17315</v>
      </c>
      <c r="F74" s="131" t="s">
        <v>31</v>
      </c>
      <c r="G74" s="133">
        <v>206.31</v>
      </c>
      <c r="H74" s="134">
        <v>206.31</v>
      </c>
      <c r="I74" s="131" t="s">
        <v>17190</v>
      </c>
      <c r="J74" s="88"/>
    </row>
    <row r="75" ht="25.5">
      <c r="A75" s="108">
        <v>8210</v>
      </c>
      <c r="B75" s="131" t="s">
        <v>17224</v>
      </c>
      <c r="C75" s="132" t="s">
        <v>17316</v>
      </c>
      <c r="D75" s="131" t="s">
        <v>31</v>
      </c>
      <c r="E75" s="110" t="s">
        <v>17317</v>
      </c>
      <c r="F75" s="131" t="s">
        <v>31</v>
      </c>
      <c r="G75" s="133">
        <v>10.550000000000001</v>
      </c>
      <c r="H75" s="134">
        <v>10.550000000000001</v>
      </c>
      <c r="I75" s="131" t="s">
        <v>17190</v>
      </c>
      <c r="J75" s="88"/>
    </row>
    <row r="76" ht="38.25">
      <c r="A76" s="108">
        <v>6633</v>
      </c>
      <c r="B76" s="131" t="s">
        <v>17273</v>
      </c>
      <c r="C76" s="132" t="s">
        <v>17318</v>
      </c>
      <c r="D76" s="131" t="s">
        <v>31</v>
      </c>
      <c r="E76" s="110" t="s">
        <v>17319</v>
      </c>
      <c r="F76" s="131" t="s">
        <v>31</v>
      </c>
      <c r="G76" s="133">
        <v>134.99000000000001</v>
      </c>
      <c r="H76" s="134">
        <v>134.99000000000001</v>
      </c>
      <c r="I76" s="131" t="s">
        <v>17190</v>
      </c>
      <c r="J76" s="88"/>
    </row>
    <row r="77" ht="51">
      <c r="A77" s="108">
        <v>6635</v>
      </c>
      <c r="B77" s="131" t="s">
        <v>17273</v>
      </c>
      <c r="C77" s="132" t="s">
        <v>17320</v>
      </c>
      <c r="D77" s="131" t="s">
        <v>31</v>
      </c>
      <c r="E77" s="110" t="s">
        <v>17321</v>
      </c>
      <c r="F77" s="131" t="s">
        <v>31</v>
      </c>
      <c r="G77" s="133">
        <v>177.13999999999999</v>
      </c>
      <c r="H77" s="134">
        <v>177.13999999999999</v>
      </c>
      <c r="I77" s="131" t="s">
        <v>17190</v>
      </c>
      <c r="J77" s="88"/>
    </row>
    <row r="78" ht="51">
      <c r="A78" s="108">
        <v>1009</v>
      </c>
      <c r="B78" s="131" t="s">
        <v>17322</v>
      </c>
      <c r="C78" s="132" t="s">
        <v>17323</v>
      </c>
      <c r="D78" s="131" t="s">
        <v>31</v>
      </c>
      <c r="E78" s="110" t="s">
        <v>17324</v>
      </c>
      <c r="F78" s="131" t="s">
        <v>31</v>
      </c>
      <c r="G78" s="133">
        <v>238.24000000000001</v>
      </c>
      <c r="H78" s="134">
        <v>238.24000000000001</v>
      </c>
      <c r="I78" s="131" t="s">
        <v>17190</v>
      </c>
      <c r="J78" s="88"/>
    </row>
    <row r="79">
      <c r="A79" s="108">
        <v>6586</v>
      </c>
      <c r="B79" s="131" t="s">
        <v>17168</v>
      </c>
      <c r="C79" s="132" t="s">
        <v>16465</v>
      </c>
      <c r="D79" s="131" t="s">
        <v>31</v>
      </c>
      <c r="E79" s="110" t="s">
        <v>17325</v>
      </c>
      <c r="F79" s="131" t="s">
        <v>31</v>
      </c>
      <c r="G79" s="133">
        <v>11.300000000000001</v>
      </c>
      <c r="H79" s="134">
        <v>11.300000000000001</v>
      </c>
      <c r="I79" s="131" t="s">
        <v>17171</v>
      </c>
      <c r="J79" s="88"/>
    </row>
    <row r="80" ht="25.5">
      <c r="A80" s="108">
        <v>1674</v>
      </c>
      <c r="B80" s="131" t="s">
        <v>17215</v>
      </c>
      <c r="C80" s="132" t="s">
        <v>17326</v>
      </c>
      <c r="D80" s="131" t="s">
        <v>29</v>
      </c>
      <c r="E80" s="110" t="s">
        <v>17327</v>
      </c>
      <c r="F80" s="131" t="s">
        <v>29</v>
      </c>
      <c r="G80" s="133">
        <v>15.550000000000001</v>
      </c>
      <c r="H80" s="134">
        <v>14.44</v>
      </c>
      <c r="I80" s="131" t="s">
        <v>17171</v>
      </c>
      <c r="J80" s="88"/>
    </row>
    <row r="81" ht="38.25">
      <c r="A81" s="108">
        <v>6313</v>
      </c>
      <c r="B81" s="131" t="s">
        <v>17215</v>
      </c>
      <c r="C81" s="132" t="s">
        <v>17328</v>
      </c>
      <c r="D81" s="131" t="s">
        <v>29</v>
      </c>
      <c r="E81" s="110" t="s">
        <v>17329</v>
      </c>
      <c r="F81" s="131" t="s">
        <v>29</v>
      </c>
      <c r="G81" s="133">
        <v>4</v>
      </c>
      <c r="H81" s="134">
        <v>3.8900000000000001</v>
      </c>
      <c r="I81" s="131" t="s">
        <v>17190</v>
      </c>
      <c r="J81" s="88"/>
    </row>
    <row r="82" ht="25.5">
      <c r="A82" s="108">
        <v>4042</v>
      </c>
      <c r="B82" s="131" t="s">
        <v>17250</v>
      </c>
      <c r="C82" s="132" t="s">
        <v>17330</v>
      </c>
      <c r="D82" s="131" t="s">
        <v>2032</v>
      </c>
      <c r="E82" s="110" t="s">
        <v>17331</v>
      </c>
      <c r="F82" s="131" t="s">
        <v>2032</v>
      </c>
      <c r="G82" s="133">
        <v>21.739999999999998</v>
      </c>
      <c r="H82" s="134">
        <v>19.77</v>
      </c>
      <c r="I82" s="131" t="s">
        <v>17190</v>
      </c>
      <c r="J82" s="88"/>
    </row>
    <row r="83" ht="25.5">
      <c r="A83" s="108">
        <v>1010</v>
      </c>
      <c r="B83" s="131" t="s">
        <v>17332</v>
      </c>
      <c r="C83" s="132" t="s">
        <v>17333</v>
      </c>
      <c r="D83" s="131" t="s">
        <v>38</v>
      </c>
      <c r="E83" s="110" t="s">
        <v>17334</v>
      </c>
      <c r="F83" s="131" t="s">
        <v>38</v>
      </c>
      <c r="G83" s="133">
        <v>1.1000000000000001</v>
      </c>
      <c r="H83" s="134">
        <v>1.1000000000000001</v>
      </c>
      <c r="I83" s="131" t="s">
        <v>17190</v>
      </c>
      <c r="J83" s="88"/>
    </row>
    <row r="84" ht="25.5">
      <c r="A84" s="108">
        <v>1011</v>
      </c>
      <c r="B84" s="131" t="s">
        <v>17332</v>
      </c>
      <c r="C84" s="132" t="s">
        <v>17335</v>
      </c>
      <c r="D84" s="131" t="s">
        <v>302</v>
      </c>
      <c r="E84" s="110" t="s">
        <v>17336</v>
      </c>
      <c r="F84" s="131" t="s">
        <v>302</v>
      </c>
      <c r="G84" s="133">
        <v>19.98</v>
      </c>
      <c r="H84" s="134">
        <v>19.98</v>
      </c>
      <c r="I84" s="131" t="s">
        <v>17190</v>
      </c>
      <c r="J84" s="88"/>
    </row>
    <row r="85" ht="25.5">
      <c r="A85" s="108">
        <v>3005</v>
      </c>
      <c r="B85" s="131" t="s">
        <v>17332</v>
      </c>
      <c r="C85" s="132" t="s">
        <v>17337</v>
      </c>
      <c r="D85" s="131" t="s">
        <v>38</v>
      </c>
      <c r="E85" s="110" t="s">
        <v>17338</v>
      </c>
      <c r="F85" s="131" t="s">
        <v>38</v>
      </c>
      <c r="G85" s="133">
        <v>0.52000000000000002</v>
      </c>
      <c r="H85" s="134">
        <v>0.52000000000000002</v>
      </c>
      <c r="I85" s="131" t="s">
        <v>17171</v>
      </c>
      <c r="J85" s="88"/>
    </row>
    <row r="86" ht="25.5">
      <c r="A86" s="108">
        <v>1012</v>
      </c>
      <c r="B86" s="131" t="s">
        <v>17198</v>
      </c>
      <c r="C86" s="132" t="s">
        <v>17339</v>
      </c>
      <c r="D86" s="131" t="s">
        <v>302</v>
      </c>
      <c r="E86" s="110" t="s">
        <v>17340</v>
      </c>
      <c r="F86" s="131" t="s">
        <v>302</v>
      </c>
      <c r="G86" s="133">
        <v>19.98</v>
      </c>
      <c r="H86" s="134">
        <v>19.98</v>
      </c>
      <c r="I86" s="131" t="s">
        <v>17190</v>
      </c>
      <c r="J86" s="88"/>
    </row>
    <row r="87" ht="25.5">
      <c r="A87" s="108">
        <v>7435</v>
      </c>
      <c r="B87" s="131" t="s">
        <v>17198</v>
      </c>
      <c r="C87" s="132" t="s">
        <v>17341</v>
      </c>
      <c r="D87" s="131" t="s">
        <v>121</v>
      </c>
      <c r="E87" s="110" t="s">
        <v>17342</v>
      </c>
      <c r="F87" s="131" t="s">
        <v>121</v>
      </c>
      <c r="G87" s="133">
        <v>91.170000000000002</v>
      </c>
      <c r="H87" s="134">
        <v>91.170000000000002</v>
      </c>
      <c r="I87" s="131" t="s">
        <v>17190</v>
      </c>
      <c r="J87" s="88"/>
    </row>
    <row r="88" ht="25.5">
      <c r="A88" s="108">
        <v>1013</v>
      </c>
      <c r="B88" s="131" t="s">
        <v>17198</v>
      </c>
      <c r="C88" s="132" t="s">
        <v>17343</v>
      </c>
      <c r="D88" s="131" t="s">
        <v>121</v>
      </c>
      <c r="E88" s="110" t="s">
        <v>17344</v>
      </c>
      <c r="F88" s="131" t="s">
        <v>121</v>
      </c>
      <c r="G88" s="133">
        <v>90</v>
      </c>
      <c r="H88" s="134">
        <v>90</v>
      </c>
      <c r="I88" s="131" t="s">
        <v>17190</v>
      </c>
      <c r="J88" s="88"/>
    </row>
    <row r="89" ht="38.25">
      <c r="A89" s="108">
        <v>1690</v>
      </c>
      <c r="B89" s="131" t="s">
        <v>17345</v>
      </c>
      <c r="C89" s="132" t="s">
        <v>17346</v>
      </c>
      <c r="D89" s="131" t="s">
        <v>302</v>
      </c>
      <c r="E89" s="110" t="s">
        <v>17347</v>
      </c>
      <c r="F89" s="131" t="s">
        <v>302</v>
      </c>
      <c r="G89" s="133">
        <v>6.0099999999999998</v>
      </c>
      <c r="H89" s="134">
        <v>6.0099999999999998</v>
      </c>
      <c r="I89" s="131" t="s">
        <v>17171</v>
      </c>
      <c r="J89" s="88"/>
    </row>
    <row r="90" ht="25.5">
      <c r="A90" s="108">
        <v>6059</v>
      </c>
      <c r="B90" s="131" t="s">
        <v>17198</v>
      </c>
      <c r="C90" s="132" t="s">
        <v>17348</v>
      </c>
      <c r="D90" s="131" t="s">
        <v>302</v>
      </c>
      <c r="E90" s="110" t="s">
        <v>17349</v>
      </c>
      <c r="F90" s="131" t="s">
        <v>302</v>
      </c>
      <c r="G90" s="133">
        <v>0.84999999999999998</v>
      </c>
      <c r="H90" s="134">
        <v>0.84999999999999998</v>
      </c>
      <c r="I90" s="131" t="s">
        <v>17190</v>
      </c>
      <c r="J90" s="88"/>
    </row>
    <row r="91">
      <c r="A91" s="108">
        <v>2729</v>
      </c>
      <c r="B91" s="131" t="s">
        <v>17345</v>
      </c>
      <c r="C91" s="132" t="s">
        <v>17350</v>
      </c>
      <c r="D91" s="131" t="s">
        <v>302</v>
      </c>
      <c r="E91" s="110" t="s">
        <v>17351</v>
      </c>
      <c r="F91" s="131" t="s">
        <v>302</v>
      </c>
      <c r="G91" s="133">
        <v>2.6099999999999999</v>
      </c>
      <c r="H91" s="134">
        <v>2.6099999999999999</v>
      </c>
      <c r="I91" s="131" t="s">
        <v>17190</v>
      </c>
      <c r="J91" s="88"/>
    </row>
    <row r="92" ht="38.25">
      <c r="A92" s="108">
        <v>1251</v>
      </c>
      <c r="B92" s="131" t="s">
        <v>17243</v>
      </c>
      <c r="C92" s="132" t="s">
        <v>17352</v>
      </c>
      <c r="D92" s="131" t="s">
        <v>302</v>
      </c>
      <c r="E92" s="110" t="s">
        <v>17353</v>
      </c>
      <c r="F92" s="131" t="s">
        <v>302</v>
      </c>
      <c r="G92" s="133">
        <v>3.71</v>
      </c>
      <c r="H92" s="134">
        <v>3.71</v>
      </c>
      <c r="I92" s="131" t="s">
        <v>17190</v>
      </c>
      <c r="J92" s="88"/>
    </row>
    <row r="93" ht="38.25">
      <c r="A93" s="108">
        <v>6390</v>
      </c>
      <c r="B93" s="131" t="s">
        <v>17215</v>
      </c>
      <c r="C93" s="132" t="s">
        <v>17354</v>
      </c>
      <c r="D93" s="131" t="s">
        <v>121</v>
      </c>
      <c r="E93" s="110" t="s">
        <v>17355</v>
      </c>
      <c r="F93" s="131" t="s">
        <v>121</v>
      </c>
      <c r="G93" s="133">
        <v>641.50999999999999</v>
      </c>
      <c r="H93" s="134">
        <v>628.51999999999998</v>
      </c>
      <c r="I93" s="131" t="s">
        <v>17190</v>
      </c>
      <c r="J93" s="88"/>
    </row>
    <row r="94" ht="63.75">
      <c r="A94" s="108">
        <v>1714</v>
      </c>
      <c r="B94" s="131" t="s">
        <v>17273</v>
      </c>
      <c r="C94" s="132" t="s">
        <v>17356</v>
      </c>
      <c r="D94" s="131" t="s">
        <v>121</v>
      </c>
      <c r="E94" s="110" t="s">
        <v>17357</v>
      </c>
      <c r="F94" s="131" t="s">
        <v>121</v>
      </c>
      <c r="G94" s="133">
        <v>591.86000000000001</v>
      </c>
      <c r="H94" s="134">
        <v>580.98000000000002</v>
      </c>
      <c r="I94" s="131" t="s">
        <v>17190</v>
      </c>
      <c r="J94" s="88"/>
    </row>
    <row r="95" ht="51">
      <c r="A95" s="108">
        <v>6318</v>
      </c>
      <c r="B95" s="131" t="s">
        <v>17215</v>
      </c>
      <c r="C95" s="132" t="s">
        <v>17358</v>
      </c>
      <c r="D95" s="131" t="s">
        <v>121</v>
      </c>
      <c r="E95" s="110" t="s">
        <v>17359</v>
      </c>
      <c r="F95" s="131" t="s">
        <v>121</v>
      </c>
      <c r="G95" s="133">
        <v>693.45000000000005</v>
      </c>
      <c r="H95" s="134">
        <v>677.01999999999998</v>
      </c>
      <c r="I95" s="131" t="s">
        <v>17190</v>
      </c>
      <c r="J95" s="88"/>
    </row>
    <row r="96" ht="63.75">
      <c r="A96" s="108">
        <v>6418</v>
      </c>
      <c r="B96" s="131" t="s">
        <v>17215</v>
      </c>
      <c r="C96" s="132" t="s">
        <v>17360</v>
      </c>
      <c r="D96" s="131" t="s">
        <v>121</v>
      </c>
      <c r="E96" s="110" t="s">
        <v>17361</v>
      </c>
      <c r="F96" s="131" t="s">
        <v>121</v>
      </c>
      <c r="G96" s="133">
        <v>571.20000000000005</v>
      </c>
      <c r="H96" s="134">
        <v>560.73000000000002</v>
      </c>
      <c r="I96" s="131" t="s">
        <v>17190</v>
      </c>
      <c r="J96" s="88"/>
    </row>
    <row r="97" ht="38.25">
      <c r="A97" s="108">
        <v>3488</v>
      </c>
      <c r="B97" s="131" t="s">
        <v>17215</v>
      </c>
      <c r="C97" s="132" t="s">
        <v>17362</v>
      </c>
      <c r="D97" s="131" t="s">
        <v>121</v>
      </c>
      <c r="E97" s="110" t="s">
        <v>17363</v>
      </c>
      <c r="F97" s="131" t="s">
        <v>121</v>
      </c>
      <c r="G97" s="133">
        <v>533.71000000000004</v>
      </c>
      <c r="H97" s="134">
        <v>524.60000000000002</v>
      </c>
      <c r="I97" s="131" t="s">
        <v>17190</v>
      </c>
      <c r="J97" s="88"/>
    </row>
    <row r="98" ht="51">
      <c r="A98" s="108">
        <v>1588</v>
      </c>
      <c r="B98" s="131" t="s">
        <v>17273</v>
      </c>
      <c r="C98" s="132" t="s">
        <v>17364</v>
      </c>
      <c r="D98" s="131" t="s">
        <v>121</v>
      </c>
      <c r="E98" s="110" t="s">
        <v>17365</v>
      </c>
      <c r="F98" s="131" t="s">
        <v>121</v>
      </c>
      <c r="G98" s="133">
        <v>733.05999999999995</v>
      </c>
      <c r="H98" s="134">
        <v>725.14999999999998</v>
      </c>
      <c r="I98" s="131" t="s">
        <v>17190</v>
      </c>
      <c r="J98" s="88"/>
    </row>
    <row r="99" ht="38.25">
      <c r="A99" s="108">
        <v>6450</v>
      </c>
      <c r="B99" s="131" t="s">
        <v>17273</v>
      </c>
      <c r="C99" s="132" t="s">
        <v>17366</v>
      </c>
      <c r="D99" s="131" t="s">
        <v>121</v>
      </c>
      <c r="E99" s="110" t="s">
        <v>17367</v>
      </c>
      <c r="F99" s="131" t="s">
        <v>121</v>
      </c>
      <c r="G99" s="133">
        <v>793.72000000000003</v>
      </c>
      <c r="H99" s="134">
        <v>776.47000000000003</v>
      </c>
      <c r="I99" s="131" t="s">
        <v>17190</v>
      </c>
      <c r="J99" s="88"/>
    </row>
    <row r="100" ht="38.25">
      <c r="A100" s="108">
        <v>6345</v>
      </c>
      <c r="B100" s="131" t="s">
        <v>17215</v>
      </c>
      <c r="C100" s="132" t="s">
        <v>17368</v>
      </c>
      <c r="D100" s="131" t="s">
        <v>121</v>
      </c>
      <c r="E100" s="110" t="s">
        <v>17369</v>
      </c>
      <c r="F100" s="131" t="s">
        <v>121</v>
      </c>
      <c r="G100" s="133">
        <v>678.79999999999995</v>
      </c>
      <c r="H100" s="134">
        <v>669.47000000000003</v>
      </c>
      <c r="I100" s="131" t="s">
        <v>17190</v>
      </c>
      <c r="J100" s="88"/>
    </row>
    <row r="101" ht="25.5">
      <c r="A101" s="108">
        <v>6395</v>
      </c>
      <c r="B101" s="131" t="s">
        <v>17215</v>
      </c>
      <c r="C101" s="132" t="s">
        <v>17370</v>
      </c>
      <c r="D101" s="131" t="s">
        <v>121</v>
      </c>
      <c r="E101" s="110" t="s">
        <v>17371</v>
      </c>
      <c r="F101" s="131" t="s">
        <v>121</v>
      </c>
      <c r="G101" s="133">
        <v>650.74000000000001</v>
      </c>
      <c r="H101" s="134">
        <v>638.04999999999995</v>
      </c>
      <c r="I101" s="131" t="s">
        <v>17190</v>
      </c>
      <c r="J101" s="88"/>
    </row>
    <row r="102" ht="38.25">
      <c r="A102" s="108">
        <v>1590</v>
      </c>
      <c r="B102" s="131" t="s">
        <v>17273</v>
      </c>
      <c r="C102" s="132" t="s">
        <v>17372</v>
      </c>
      <c r="D102" s="131" t="s">
        <v>121</v>
      </c>
      <c r="E102" s="110" t="s">
        <v>17373</v>
      </c>
      <c r="F102" s="131" t="s">
        <v>121</v>
      </c>
      <c r="G102" s="133">
        <v>483.83999999999997</v>
      </c>
      <c r="H102" s="134">
        <v>474.05000000000001</v>
      </c>
      <c r="I102" s="131" t="s">
        <v>17190</v>
      </c>
      <c r="J102" s="88"/>
    </row>
    <row r="103" ht="38.25">
      <c r="A103" s="108">
        <v>6343</v>
      </c>
      <c r="B103" s="131" t="s">
        <v>17215</v>
      </c>
      <c r="C103" s="132" t="s">
        <v>17374</v>
      </c>
      <c r="D103" s="131" t="s">
        <v>121</v>
      </c>
      <c r="E103" s="110" t="s">
        <v>17375</v>
      </c>
      <c r="F103" s="131" t="s">
        <v>121</v>
      </c>
      <c r="G103" s="133">
        <v>704.62</v>
      </c>
      <c r="H103" s="134">
        <v>688.30999999999995</v>
      </c>
      <c r="I103" s="131" t="s">
        <v>17190</v>
      </c>
      <c r="J103" s="88"/>
    </row>
    <row r="104" ht="25.5">
      <c r="A104" s="108">
        <v>6389</v>
      </c>
      <c r="B104" s="131" t="s">
        <v>17215</v>
      </c>
      <c r="C104" s="132" t="s">
        <v>17376</v>
      </c>
      <c r="D104" s="131" t="s">
        <v>121</v>
      </c>
      <c r="E104" s="110" t="s">
        <v>17377</v>
      </c>
      <c r="F104" s="131" t="s">
        <v>121</v>
      </c>
      <c r="G104" s="133">
        <v>579.26999999999998</v>
      </c>
      <c r="H104" s="134">
        <v>567</v>
      </c>
      <c r="I104" s="131" t="s">
        <v>17190</v>
      </c>
      <c r="J104" s="88"/>
    </row>
    <row r="105" ht="38.25">
      <c r="A105" s="108">
        <v>1905</v>
      </c>
      <c r="B105" s="131" t="s">
        <v>17215</v>
      </c>
      <c r="C105" s="132" t="s">
        <v>17378</v>
      </c>
      <c r="D105" s="131" t="s">
        <v>302</v>
      </c>
      <c r="E105" s="110" t="s">
        <v>17379</v>
      </c>
      <c r="F105" s="131" t="s">
        <v>302</v>
      </c>
      <c r="G105" s="133">
        <v>13.699999999999999</v>
      </c>
      <c r="H105" s="134">
        <v>13.449999999999999</v>
      </c>
      <c r="I105" s="131" t="s">
        <v>17171</v>
      </c>
      <c r="J105" s="88"/>
    </row>
    <row r="106" ht="38.25">
      <c r="A106" s="108">
        <v>1906</v>
      </c>
      <c r="B106" s="131" t="s">
        <v>17215</v>
      </c>
      <c r="C106" s="132" t="s">
        <v>17380</v>
      </c>
      <c r="D106" s="131" t="s">
        <v>302</v>
      </c>
      <c r="E106" s="110" t="s">
        <v>17381</v>
      </c>
      <c r="F106" s="131" t="s">
        <v>302</v>
      </c>
      <c r="G106" s="133">
        <v>11.529999999999999</v>
      </c>
      <c r="H106" s="134">
        <v>11.34</v>
      </c>
      <c r="I106" s="131" t="s">
        <v>17171</v>
      </c>
      <c r="J106" s="88"/>
    </row>
    <row r="107" ht="38.25">
      <c r="A107" s="108">
        <v>1904</v>
      </c>
      <c r="B107" s="131" t="s">
        <v>17215</v>
      </c>
      <c r="C107" s="132" t="s">
        <v>17382</v>
      </c>
      <c r="D107" s="131" t="s">
        <v>302</v>
      </c>
      <c r="E107" s="110" t="s">
        <v>17383</v>
      </c>
      <c r="F107" s="131" t="s">
        <v>302</v>
      </c>
      <c r="G107" s="133">
        <v>15.43</v>
      </c>
      <c r="H107" s="134">
        <v>15.109999999999999</v>
      </c>
      <c r="I107" s="131" t="s">
        <v>17171</v>
      </c>
      <c r="J107" s="88"/>
    </row>
    <row r="108" ht="38.25">
      <c r="A108" s="108">
        <v>1680</v>
      </c>
      <c r="B108" s="131" t="s">
        <v>17215</v>
      </c>
      <c r="C108" s="132" t="s">
        <v>17384</v>
      </c>
      <c r="D108" s="131" t="s">
        <v>302</v>
      </c>
      <c r="E108" s="110" t="s">
        <v>17385</v>
      </c>
      <c r="F108" s="131" t="s">
        <v>302</v>
      </c>
      <c r="G108" s="133">
        <v>19.039999999999999</v>
      </c>
      <c r="H108" s="134">
        <v>18.350000000000001</v>
      </c>
      <c r="I108" s="131" t="s">
        <v>17171</v>
      </c>
      <c r="J108" s="88"/>
    </row>
    <row r="109" ht="38.25">
      <c r="A109" s="108">
        <v>1903</v>
      </c>
      <c r="B109" s="131" t="s">
        <v>17215</v>
      </c>
      <c r="C109" s="132" t="s">
        <v>17386</v>
      </c>
      <c r="D109" s="131" t="s">
        <v>302</v>
      </c>
      <c r="E109" s="110" t="s">
        <v>17387</v>
      </c>
      <c r="F109" s="131" t="s">
        <v>302</v>
      </c>
      <c r="G109" s="133">
        <v>18.02</v>
      </c>
      <c r="H109" s="134">
        <v>17.399999999999999</v>
      </c>
      <c r="I109" s="131" t="s">
        <v>17171</v>
      </c>
      <c r="J109" s="88"/>
    </row>
    <row r="110" ht="25.5">
      <c r="A110" s="108">
        <v>1785</v>
      </c>
      <c r="B110" s="131" t="s">
        <v>17215</v>
      </c>
      <c r="C110" s="132" t="s">
        <v>17388</v>
      </c>
      <c r="D110" s="131" t="s">
        <v>302</v>
      </c>
      <c r="E110" s="110" t="s">
        <v>17389</v>
      </c>
      <c r="F110" s="131" t="s">
        <v>302</v>
      </c>
      <c r="G110" s="133">
        <v>10.92</v>
      </c>
      <c r="H110" s="134">
        <v>10.779999999999999</v>
      </c>
      <c r="I110" s="131" t="s">
        <v>17190</v>
      </c>
      <c r="J110" s="88"/>
    </row>
    <row r="111" ht="38.25">
      <c r="A111" s="108">
        <v>1679</v>
      </c>
      <c r="B111" s="131" t="s">
        <v>17215</v>
      </c>
      <c r="C111" s="132" t="s">
        <v>17390</v>
      </c>
      <c r="D111" s="131" t="s">
        <v>302</v>
      </c>
      <c r="E111" s="110" t="s">
        <v>17391</v>
      </c>
      <c r="F111" s="131" t="s">
        <v>302</v>
      </c>
      <c r="G111" s="133">
        <v>11.949999999999999</v>
      </c>
      <c r="H111" s="134">
        <v>11.85</v>
      </c>
      <c r="I111" s="131" t="s">
        <v>17171</v>
      </c>
      <c r="J111" s="88"/>
    </row>
    <row r="112" ht="38.25">
      <c r="A112" s="108">
        <v>1908</v>
      </c>
      <c r="B112" s="131" t="s">
        <v>17215</v>
      </c>
      <c r="C112" s="132" t="s">
        <v>17392</v>
      </c>
      <c r="D112" s="131" t="s">
        <v>302</v>
      </c>
      <c r="E112" s="110" t="s">
        <v>17393</v>
      </c>
      <c r="F112" s="131" t="s">
        <v>302</v>
      </c>
      <c r="G112" s="133">
        <v>10.08</v>
      </c>
      <c r="H112" s="134">
        <v>10.01</v>
      </c>
      <c r="I112" s="131" t="s">
        <v>17171</v>
      </c>
      <c r="J112" s="88"/>
    </row>
    <row r="113" ht="38.25">
      <c r="A113" s="108">
        <v>1682</v>
      </c>
      <c r="B113" s="131" t="s">
        <v>17215</v>
      </c>
      <c r="C113" s="132" t="s">
        <v>17394</v>
      </c>
      <c r="D113" s="131" t="s">
        <v>302</v>
      </c>
      <c r="E113" s="110" t="s">
        <v>17395</v>
      </c>
      <c r="F113" s="131" t="s">
        <v>302</v>
      </c>
      <c r="G113" s="133">
        <v>13.32</v>
      </c>
      <c r="H113" s="134">
        <v>13.16</v>
      </c>
      <c r="I113" s="131" t="s">
        <v>17171</v>
      </c>
      <c r="J113" s="88"/>
    </row>
    <row r="114" ht="38.25">
      <c r="A114" s="108">
        <v>1907</v>
      </c>
      <c r="B114" s="131" t="s">
        <v>17215</v>
      </c>
      <c r="C114" s="132" t="s">
        <v>17396</v>
      </c>
      <c r="D114" s="131" t="s">
        <v>302</v>
      </c>
      <c r="E114" s="110" t="s">
        <v>17397</v>
      </c>
      <c r="F114" s="131" t="s">
        <v>302</v>
      </c>
      <c r="G114" s="133">
        <v>14.630000000000001</v>
      </c>
      <c r="H114" s="134">
        <v>14.27</v>
      </c>
      <c r="I114" s="131" t="s">
        <v>17171</v>
      </c>
      <c r="J114" s="88"/>
    </row>
    <row r="115" ht="38.25">
      <c r="A115" s="108">
        <v>7361</v>
      </c>
      <c r="B115" s="131" t="s">
        <v>17398</v>
      </c>
      <c r="C115" s="132" t="s">
        <v>17399</v>
      </c>
      <c r="D115" s="131" t="s">
        <v>31</v>
      </c>
      <c r="E115" s="110" t="s">
        <v>17400</v>
      </c>
      <c r="F115" s="131" t="s">
        <v>31</v>
      </c>
      <c r="G115" s="133">
        <v>35.689999999999998</v>
      </c>
      <c r="H115" s="134">
        <v>35.689999999999998</v>
      </c>
      <c r="I115" s="131" t="s">
        <v>17190</v>
      </c>
      <c r="J115" s="88"/>
    </row>
    <row r="116" ht="38.25">
      <c r="A116" s="108">
        <v>1639</v>
      </c>
      <c r="B116" s="131" t="s">
        <v>17273</v>
      </c>
      <c r="C116" s="132" t="s">
        <v>17401</v>
      </c>
      <c r="D116" s="131" t="s">
        <v>31</v>
      </c>
      <c r="E116" s="110" t="s">
        <v>17402</v>
      </c>
      <c r="F116" s="131" t="s">
        <v>31</v>
      </c>
      <c r="G116" s="133">
        <v>137.06</v>
      </c>
      <c r="H116" s="134">
        <v>137.06</v>
      </c>
      <c r="I116" s="131" t="s">
        <v>17190</v>
      </c>
      <c r="J116" s="88"/>
    </row>
    <row r="117" ht="25.5">
      <c r="A117" s="108">
        <v>4001</v>
      </c>
      <c r="B117" s="131" t="s">
        <v>17250</v>
      </c>
      <c r="C117" s="132" t="s">
        <v>17403</v>
      </c>
      <c r="D117" s="131" t="s">
        <v>2032</v>
      </c>
      <c r="E117" s="110" t="s">
        <v>17404</v>
      </c>
      <c r="F117" s="131" t="s">
        <v>2032</v>
      </c>
      <c r="G117" s="133">
        <v>25.57</v>
      </c>
      <c r="H117" s="134">
        <v>23.59</v>
      </c>
      <c r="I117" s="131" t="s">
        <v>17190</v>
      </c>
      <c r="J117" s="88"/>
    </row>
    <row r="118">
      <c r="A118" s="108">
        <v>7038</v>
      </c>
      <c r="B118" s="131" t="s">
        <v>17168</v>
      </c>
      <c r="C118" s="132" t="s">
        <v>17405</v>
      </c>
      <c r="D118" s="131" t="s">
        <v>31</v>
      </c>
      <c r="E118" s="110" t="s">
        <v>17406</v>
      </c>
      <c r="F118" s="131" t="s">
        <v>31</v>
      </c>
      <c r="G118" s="133">
        <v>0.51000000000000001</v>
      </c>
      <c r="H118" s="134">
        <v>0.51000000000000001</v>
      </c>
      <c r="I118" s="131" t="s">
        <v>17171</v>
      </c>
      <c r="J118" s="88"/>
    </row>
    <row r="119" ht="25.5">
      <c r="A119" s="108">
        <v>2717</v>
      </c>
      <c r="B119" s="131" t="s">
        <v>17407</v>
      </c>
      <c r="C119" s="132" t="s">
        <v>17408</v>
      </c>
      <c r="D119" s="131" t="s">
        <v>31</v>
      </c>
      <c r="E119" s="110" t="s">
        <v>17409</v>
      </c>
      <c r="F119" s="131" t="s">
        <v>31</v>
      </c>
      <c r="G119" s="133">
        <v>1.9099999999999999</v>
      </c>
      <c r="H119" s="134">
        <v>1.9099999999999999</v>
      </c>
      <c r="I119" s="131" t="s">
        <v>17190</v>
      </c>
      <c r="J119" s="88"/>
    </row>
    <row r="120" ht="25.5">
      <c r="A120" s="108">
        <v>2716</v>
      </c>
      <c r="B120" s="131" t="s">
        <v>17407</v>
      </c>
      <c r="C120" s="132" t="s">
        <v>17410</v>
      </c>
      <c r="D120" s="131" t="s">
        <v>31</v>
      </c>
      <c r="E120" s="110" t="s">
        <v>17411</v>
      </c>
      <c r="F120" s="131" t="s">
        <v>31</v>
      </c>
      <c r="G120" s="133">
        <v>1.71</v>
      </c>
      <c r="H120" s="134">
        <v>1.71</v>
      </c>
      <c r="I120" s="131" t="s">
        <v>17190</v>
      </c>
      <c r="J120" s="88"/>
    </row>
    <row r="121" ht="25.5">
      <c r="A121" s="108">
        <v>6342</v>
      </c>
      <c r="B121" s="131" t="s">
        <v>17407</v>
      </c>
      <c r="C121" s="132" t="s">
        <v>17412</v>
      </c>
      <c r="D121" s="131" t="s">
        <v>31</v>
      </c>
      <c r="E121" s="110" t="s">
        <v>17413</v>
      </c>
      <c r="F121" s="131" t="s">
        <v>31</v>
      </c>
      <c r="G121" s="133">
        <v>0.95999999999999996</v>
      </c>
      <c r="H121" s="134">
        <v>0.95999999999999996</v>
      </c>
      <c r="I121" s="131" t="s">
        <v>17190</v>
      </c>
      <c r="J121" s="88"/>
    </row>
    <row r="122" ht="25.5">
      <c r="A122" s="108">
        <v>2718</v>
      </c>
      <c r="B122" s="131" t="s">
        <v>17407</v>
      </c>
      <c r="C122" s="132" t="s">
        <v>17414</v>
      </c>
      <c r="D122" s="131" t="s">
        <v>31</v>
      </c>
      <c r="E122" s="110" t="s">
        <v>17415</v>
      </c>
      <c r="F122" s="131" t="s">
        <v>31</v>
      </c>
      <c r="G122" s="133">
        <v>2.5</v>
      </c>
      <c r="H122" s="134">
        <v>2.5</v>
      </c>
      <c r="I122" s="131" t="s">
        <v>17190</v>
      </c>
      <c r="J122" s="88"/>
    </row>
    <row r="123" ht="25.5">
      <c r="A123" s="108">
        <v>1521</v>
      </c>
      <c r="B123" s="131" t="s">
        <v>17273</v>
      </c>
      <c r="C123" s="132" t="s">
        <v>17416</v>
      </c>
      <c r="D123" s="131" t="s">
        <v>31</v>
      </c>
      <c r="E123" s="110" t="s">
        <v>17417</v>
      </c>
      <c r="F123" s="131" t="s">
        <v>31</v>
      </c>
      <c r="G123" s="133">
        <v>6.4500000000000002</v>
      </c>
      <c r="H123" s="134">
        <v>6.4500000000000002</v>
      </c>
      <c r="I123" s="131" t="s">
        <v>17190</v>
      </c>
      <c r="J123" s="88"/>
    </row>
    <row r="124" ht="25.5">
      <c r="A124" s="108">
        <v>2715</v>
      </c>
      <c r="B124" s="131" t="s">
        <v>17407</v>
      </c>
      <c r="C124" s="132" t="s">
        <v>17418</v>
      </c>
      <c r="D124" s="131" t="s">
        <v>31</v>
      </c>
      <c r="E124" s="110" t="s">
        <v>17419</v>
      </c>
      <c r="F124" s="131" t="s">
        <v>31</v>
      </c>
      <c r="G124" s="133">
        <v>0.62</v>
      </c>
      <c r="H124" s="134">
        <v>0.62</v>
      </c>
      <c r="I124" s="131" t="s">
        <v>17190</v>
      </c>
      <c r="J124" s="88"/>
    </row>
    <row r="125" ht="25.5">
      <c r="A125" s="108">
        <v>1522</v>
      </c>
      <c r="B125" s="131" t="s">
        <v>17273</v>
      </c>
      <c r="C125" s="132" t="s">
        <v>17420</v>
      </c>
      <c r="D125" s="131" t="s">
        <v>31</v>
      </c>
      <c r="E125" s="110" t="s">
        <v>17421</v>
      </c>
      <c r="F125" s="131" t="s">
        <v>31</v>
      </c>
      <c r="G125" s="133">
        <v>9</v>
      </c>
      <c r="H125" s="134">
        <v>9</v>
      </c>
      <c r="I125" s="131" t="s">
        <v>17190</v>
      </c>
      <c r="J125" s="88"/>
    </row>
    <row r="126" ht="38.25">
      <c r="A126" s="108">
        <v>1575</v>
      </c>
      <c r="B126" s="131" t="s">
        <v>17273</v>
      </c>
      <c r="C126" s="132" t="s">
        <v>17422</v>
      </c>
      <c r="D126" s="131" t="s">
        <v>31</v>
      </c>
      <c r="E126" s="110" t="s">
        <v>17423</v>
      </c>
      <c r="F126" s="131" t="s">
        <v>31</v>
      </c>
      <c r="G126" s="133">
        <v>1.4299999999999999</v>
      </c>
      <c r="H126" s="134">
        <v>1.4299999999999999</v>
      </c>
      <c r="I126" s="131" t="s">
        <v>17190</v>
      </c>
      <c r="J126" s="88"/>
    </row>
    <row r="127" ht="38.25">
      <c r="A127" s="108">
        <v>3020</v>
      </c>
      <c r="B127" s="131" t="s">
        <v>17407</v>
      </c>
      <c r="C127" s="132" t="s">
        <v>17424</v>
      </c>
      <c r="D127" s="131" t="s">
        <v>31</v>
      </c>
      <c r="E127" s="110" t="s">
        <v>17425</v>
      </c>
      <c r="F127" s="131" t="s">
        <v>31</v>
      </c>
      <c r="G127" s="133">
        <v>1.4299999999999999</v>
      </c>
      <c r="H127" s="134">
        <v>1.4299999999999999</v>
      </c>
      <c r="I127" s="131" t="s">
        <v>17190</v>
      </c>
      <c r="J127" s="88"/>
    </row>
    <row r="128" ht="38.25">
      <c r="A128" s="108">
        <v>1174</v>
      </c>
      <c r="B128" s="131" t="s">
        <v>17426</v>
      </c>
      <c r="C128" s="132" t="s">
        <v>17427</v>
      </c>
      <c r="D128" s="131" t="s">
        <v>302</v>
      </c>
      <c r="E128" s="110" t="s">
        <v>17428</v>
      </c>
      <c r="F128" s="131" t="s">
        <v>302</v>
      </c>
      <c r="G128" s="133">
        <v>16.800000000000001</v>
      </c>
      <c r="H128" s="134">
        <v>16.800000000000001</v>
      </c>
      <c r="I128" s="131" t="s">
        <v>17190</v>
      </c>
      <c r="J128" s="88"/>
    </row>
    <row r="129" ht="25.5">
      <c r="A129" s="108">
        <v>2013</v>
      </c>
      <c r="B129" s="131" t="s">
        <v>17429</v>
      </c>
      <c r="C129" s="132" t="s">
        <v>17430</v>
      </c>
      <c r="D129" s="131" t="s">
        <v>31</v>
      </c>
      <c r="E129" s="110" t="s">
        <v>17431</v>
      </c>
      <c r="F129" s="131" t="s">
        <v>31</v>
      </c>
      <c r="G129" s="133">
        <v>377.52999999999997</v>
      </c>
      <c r="H129" s="134">
        <v>377.52999999999997</v>
      </c>
      <c r="I129" s="131" t="s">
        <v>17171</v>
      </c>
      <c r="J129" s="88"/>
    </row>
    <row r="130" ht="25.5">
      <c r="A130" s="108">
        <v>2014</v>
      </c>
      <c r="B130" s="131" t="s">
        <v>17429</v>
      </c>
      <c r="C130" s="132" t="s">
        <v>17432</v>
      </c>
      <c r="D130" s="131" t="s">
        <v>31</v>
      </c>
      <c r="E130" s="110" t="s">
        <v>17433</v>
      </c>
      <c r="F130" s="131" t="s">
        <v>31</v>
      </c>
      <c r="G130" s="133">
        <v>84.040000000000006</v>
      </c>
      <c r="H130" s="134">
        <v>84.040000000000006</v>
      </c>
      <c r="I130" s="131" t="s">
        <v>17171</v>
      </c>
      <c r="J130" s="88"/>
    </row>
    <row r="131" ht="38.25">
      <c r="A131" s="108">
        <v>9011</v>
      </c>
      <c r="B131" s="131" t="s">
        <v>17429</v>
      </c>
      <c r="C131" s="132" t="s">
        <v>17434</v>
      </c>
      <c r="D131" s="131" t="s">
        <v>31</v>
      </c>
      <c r="E131" s="110" t="s">
        <v>17435</v>
      </c>
      <c r="F131" s="131" t="s">
        <v>31</v>
      </c>
      <c r="G131" s="133">
        <v>182.16999999999999</v>
      </c>
      <c r="H131" s="134">
        <v>182.16999999999999</v>
      </c>
      <c r="I131" s="131" t="s">
        <v>17171</v>
      </c>
      <c r="J131" s="88"/>
    </row>
    <row r="132" ht="25.5">
      <c r="A132" s="108">
        <v>4051</v>
      </c>
      <c r="B132" s="131" t="s">
        <v>17250</v>
      </c>
      <c r="C132" s="132" t="s">
        <v>17436</v>
      </c>
      <c r="D132" s="131" t="s">
        <v>2032</v>
      </c>
      <c r="E132" s="110" t="s">
        <v>17437</v>
      </c>
      <c r="F132" s="131" t="s">
        <v>2032</v>
      </c>
      <c r="G132" s="133">
        <v>21.649999999999999</v>
      </c>
      <c r="H132" s="134">
        <v>20.079999999999998</v>
      </c>
      <c r="I132" s="131" t="s">
        <v>17190</v>
      </c>
      <c r="J132" s="88"/>
    </row>
    <row r="133" ht="25.5">
      <c r="A133" s="108">
        <v>4052</v>
      </c>
      <c r="B133" s="131" t="s">
        <v>17250</v>
      </c>
      <c r="C133" s="132" t="s">
        <v>17438</v>
      </c>
      <c r="D133" s="131" t="s">
        <v>2032</v>
      </c>
      <c r="E133" s="110" t="s">
        <v>17439</v>
      </c>
      <c r="F133" s="131" t="s">
        <v>2032</v>
      </c>
      <c r="G133" s="133">
        <v>20.68</v>
      </c>
      <c r="H133" s="134">
        <v>19.140000000000001</v>
      </c>
      <c r="I133" s="131" t="s">
        <v>17190</v>
      </c>
      <c r="J133" s="88"/>
    </row>
    <row r="134" ht="25.5">
      <c r="A134" s="108">
        <v>4054</v>
      </c>
      <c r="B134" s="131" t="s">
        <v>17250</v>
      </c>
      <c r="C134" s="132" t="s">
        <v>17440</v>
      </c>
      <c r="D134" s="131" t="s">
        <v>2032</v>
      </c>
      <c r="E134" s="110" t="s">
        <v>17441</v>
      </c>
      <c r="F134" s="131" t="s">
        <v>2032</v>
      </c>
      <c r="G134" s="133">
        <v>21.239999999999998</v>
      </c>
      <c r="H134" s="134">
        <v>19.710000000000001</v>
      </c>
      <c r="I134" s="131" t="s">
        <v>17190</v>
      </c>
      <c r="J134" s="88"/>
    </row>
    <row r="135" ht="25.5">
      <c r="A135" s="108">
        <v>4053</v>
      </c>
      <c r="B135" s="131" t="s">
        <v>17250</v>
      </c>
      <c r="C135" s="132" t="s">
        <v>17442</v>
      </c>
      <c r="D135" s="131" t="s">
        <v>2032</v>
      </c>
      <c r="E135" s="110" t="s">
        <v>17443</v>
      </c>
      <c r="F135" s="131" t="s">
        <v>2032</v>
      </c>
      <c r="G135" s="133">
        <v>20.600000000000001</v>
      </c>
      <c r="H135" s="134">
        <v>19.129999999999999</v>
      </c>
      <c r="I135" s="131" t="s">
        <v>17190</v>
      </c>
      <c r="J135" s="88"/>
    </row>
    <row r="136" ht="25.5">
      <c r="A136" s="108">
        <v>4043</v>
      </c>
      <c r="B136" s="131" t="s">
        <v>17250</v>
      </c>
      <c r="C136" s="132" t="s">
        <v>17444</v>
      </c>
      <c r="D136" s="131" t="s">
        <v>2032</v>
      </c>
      <c r="E136" s="110" t="s">
        <v>17445</v>
      </c>
      <c r="F136" s="131" t="s">
        <v>2032</v>
      </c>
      <c r="G136" s="133">
        <v>12.710000000000001</v>
      </c>
      <c r="H136" s="134">
        <v>11.65</v>
      </c>
      <c r="I136" s="131" t="s">
        <v>17190</v>
      </c>
      <c r="J136" s="88"/>
    </row>
    <row r="137" ht="25.5">
      <c r="A137" s="108">
        <v>4002</v>
      </c>
      <c r="B137" s="131" t="s">
        <v>17250</v>
      </c>
      <c r="C137" s="132" t="s">
        <v>17446</v>
      </c>
      <c r="D137" s="131" t="s">
        <v>2032</v>
      </c>
      <c r="E137" s="110" t="s">
        <v>17447</v>
      </c>
      <c r="F137" s="131" t="s">
        <v>2032</v>
      </c>
      <c r="G137" s="133">
        <v>25.629999999999999</v>
      </c>
      <c r="H137" s="134">
        <v>23.649999999999999</v>
      </c>
      <c r="I137" s="131" t="s">
        <v>17190</v>
      </c>
      <c r="J137" s="88"/>
    </row>
    <row r="138" ht="25.5">
      <c r="A138" s="108">
        <v>4009</v>
      </c>
      <c r="B138" s="131" t="s">
        <v>17250</v>
      </c>
      <c r="C138" s="132" t="s">
        <v>17446</v>
      </c>
      <c r="D138" s="131" t="s">
        <v>2032</v>
      </c>
      <c r="E138" s="110" t="s">
        <v>17448</v>
      </c>
      <c r="F138" s="131" t="s">
        <v>2032</v>
      </c>
      <c r="G138" s="133">
        <v>25.629999999999999</v>
      </c>
      <c r="H138" s="134">
        <v>23.649999999999999</v>
      </c>
      <c r="I138" s="131" t="s">
        <v>17190</v>
      </c>
      <c r="J138" s="88"/>
    </row>
    <row r="139" ht="38.25">
      <c r="A139" s="108">
        <v>2015</v>
      </c>
      <c r="B139" s="131" t="s">
        <v>17429</v>
      </c>
      <c r="C139" s="132" t="s">
        <v>17449</v>
      </c>
      <c r="D139" s="131" t="s">
        <v>31</v>
      </c>
      <c r="E139" s="110" t="s">
        <v>17450</v>
      </c>
      <c r="F139" s="131" t="s">
        <v>31</v>
      </c>
      <c r="G139" s="133">
        <v>231.62</v>
      </c>
      <c r="H139" s="134">
        <v>231.62</v>
      </c>
      <c r="I139" s="131" t="s">
        <v>17190</v>
      </c>
      <c r="J139" s="88"/>
    </row>
    <row r="140" ht="25.5">
      <c r="A140" s="108">
        <v>3492</v>
      </c>
      <c r="B140" s="131" t="s">
        <v>17429</v>
      </c>
      <c r="C140" s="132" t="s">
        <v>17451</v>
      </c>
      <c r="D140" s="131" t="s">
        <v>31</v>
      </c>
      <c r="E140" s="110" t="s">
        <v>17452</v>
      </c>
      <c r="F140" s="131" t="s">
        <v>31</v>
      </c>
      <c r="G140" s="133">
        <v>409.89999999999998</v>
      </c>
      <c r="H140" s="134">
        <v>409.89999999999998</v>
      </c>
      <c r="I140" s="131" t="s">
        <v>17171</v>
      </c>
      <c r="J140" s="88"/>
    </row>
    <row r="141" ht="25.5">
      <c r="A141" s="108">
        <v>2012</v>
      </c>
      <c r="B141" s="131" t="s">
        <v>17429</v>
      </c>
      <c r="C141" s="132" t="s">
        <v>17453</v>
      </c>
      <c r="D141" s="131" t="s">
        <v>31</v>
      </c>
      <c r="E141" s="110" t="s">
        <v>17454</v>
      </c>
      <c r="F141" s="131" t="s">
        <v>31</v>
      </c>
      <c r="G141" s="133">
        <v>684.37</v>
      </c>
      <c r="H141" s="134">
        <v>684.37</v>
      </c>
      <c r="I141" s="131" t="s">
        <v>17171</v>
      </c>
      <c r="J141" s="88"/>
    </row>
    <row r="142">
      <c r="A142" s="108">
        <v>7525</v>
      </c>
      <c r="B142" s="131" t="s">
        <v>17455</v>
      </c>
      <c r="C142" s="132" t="s">
        <v>17456</v>
      </c>
      <c r="D142" s="131" t="s">
        <v>17457</v>
      </c>
      <c r="E142" s="110" t="s">
        <v>17458</v>
      </c>
      <c r="F142" s="131" t="s">
        <v>17457</v>
      </c>
      <c r="G142" s="133">
        <v>15.1</v>
      </c>
      <c r="H142" s="134">
        <v>15.1</v>
      </c>
      <c r="I142" s="131" t="s">
        <v>17171</v>
      </c>
      <c r="J142" s="88"/>
    </row>
    <row r="143">
      <c r="A143" s="108">
        <v>7526</v>
      </c>
      <c r="B143" s="131" t="s">
        <v>17455</v>
      </c>
      <c r="C143" s="132" t="s">
        <v>17459</v>
      </c>
      <c r="D143" s="131" t="s">
        <v>17457</v>
      </c>
      <c r="E143" s="110" t="s">
        <v>17460</v>
      </c>
      <c r="F143" s="131" t="s">
        <v>17457</v>
      </c>
      <c r="G143" s="133">
        <v>12.380000000000001</v>
      </c>
      <c r="H143" s="134">
        <v>12.380000000000001</v>
      </c>
      <c r="I143" s="131" t="s">
        <v>17171</v>
      </c>
      <c r="J143" s="88"/>
    </row>
    <row r="144" ht="63.75">
      <c r="A144" s="108">
        <v>1751</v>
      </c>
      <c r="B144" s="131" t="s">
        <v>17215</v>
      </c>
      <c r="C144" s="132" t="s">
        <v>17461</v>
      </c>
      <c r="D144" s="131" t="s">
        <v>31</v>
      </c>
      <c r="E144" s="110" t="s">
        <v>17462</v>
      </c>
      <c r="F144" s="131" t="s">
        <v>31</v>
      </c>
      <c r="G144" s="133">
        <v>519.45000000000005</v>
      </c>
      <c r="H144" s="134">
        <v>516.05999999999995</v>
      </c>
      <c r="I144" s="131" t="s">
        <v>17190</v>
      </c>
      <c r="J144" s="88"/>
    </row>
    <row r="145">
      <c r="A145" s="108">
        <v>1581</v>
      </c>
      <c r="B145" s="131" t="s">
        <v>17168</v>
      </c>
      <c r="C145" s="132" t="s">
        <v>17463</v>
      </c>
      <c r="D145" s="131" t="s">
        <v>38</v>
      </c>
      <c r="E145" s="110" t="s">
        <v>17464</v>
      </c>
      <c r="F145" s="131" t="s">
        <v>38</v>
      </c>
      <c r="G145" s="133">
        <v>11.720000000000001</v>
      </c>
      <c r="H145" s="134">
        <v>11.720000000000001</v>
      </c>
      <c r="I145" s="131" t="s">
        <v>17171</v>
      </c>
      <c r="J145" s="88"/>
    </row>
    <row r="146" ht="25.5">
      <c r="A146" s="108">
        <v>6421</v>
      </c>
      <c r="B146" s="131" t="s">
        <v>17235</v>
      </c>
      <c r="C146" s="132" t="s">
        <v>17023</v>
      </c>
      <c r="D146" s="131" t="s">
        <v>31</v>
      </c>
      <c r="E146" s="110" t="s">
        <v>17465</v>
      </c>
      <c r="F146" s="131" t="s">
        <v>31</v>
      </c>
      <c r="G146" s="133">
        <v>145.49000000000001</v>
      </c>
      <c r="H146" s="134">
        <v>145.49000000000001</v>
      </c>
      <c r="I146" s="131" t="s">
        <v>17171</v>
      </c>
      <c r="J146" s="88"/>
    </row>
    <row r="147" ht="25.5">
      <c r="A147" s="108">
        <v>6180</v>
      </c>
      <c r="B147" s="131" t="s">
        <v>17235</v>
      </c>
      <c r="C147" s="132" t="s">
        <v>17466</v>
      </c>
      <c r="D147" s="131" t="s">
        <v>31</v>
      </c>
      <c r="E147" s="110" t="s">
        <v>17467</v>
      </c>
      <c r="F147" s="131" t="s">
        <v>31</v>
      </c>
      <c r="G147" s="133">
        <v>134.75999999999999</v>
      </c>
      <c r="H147" s="134">
        <v>134.75999999999999</v>
      </c>
      <c r="I147" s="131" t="s">
        <v>17171</v>
      </c>
      <c r="J147" s="88"/>
    </row>
    <row r="148">
      <c r="A148" s="108">
        <v>6457</v>
      </c>
      <c r="B148" s="131" t="s">
        <v>17273</v>
      </c>
      <c r="C148" s="132" t="s">
        <v>17468</v>
      </c>
      <c r="D148" s="131" t="s">
        <v>31</v>
      </c>
      <c r="E148" s="110" t="s">
        <v>17469</v>
      </c>
      <c r="F148" s="131" t="s">
        <v>31</v>
      </c>
      <c r="G148" s="133">
        <v>20.280000000000001</v>
      </c>
      <c r="H148" s="134">
        <v>20.280000000000001</v>
      </c>
      <c r="I148" s="131" t="s">
        <v>17190</v>
      </c>
      <c r="J148" s="88"/>
    </row>
    <row r="149" ht="63.75">
      <c r="A149" s="108">
        <v>1201</v>
      </c>
      <c r="B149" s="131" t="s">
        <v>17470</v>
      </c>
      <c r="C149" s="132" t="s">
        <v>17471</v>
      </c>
      <c r="D149" s="131" t="s">
        <v>10909</v>
      </c>
      <c r="E149" s="110" t="s">
        <v>17472</v>
      </c>
      <c r="F149" s="131" t="s">
        <v>10909</v>
      </c>
      <c r="G149" s="133">
        <v>307.16000000000003</v>
      </c>
      <c r="H149" s="134">
        <v>307.16000000000003</v>
      </c>
      <c r="I149" s="131" t="s">
        <v>17190</v>
      </c>
      <c r="J149" s="88"/>
    </row>
    <row r="150" ht="63.75">
      <c r="A150" s="108">
        <v>1014</v>
      </c>
      <c r="B150" s="131" t="s">
        <v>17470</v>
      </c>
      <c r="C150" s="132" t="s">
        <v>17473</v>
      </c>
      <c r="D150" s="131" t="s">
        <v>10909</v>
      </c>
      <c r="E150" s="110" t="s">
        <v>17474</v>
      </c>
      <c r="F150" s="131" t="s">
        <v>10909</v>
      </c>
      <c r="G150" s="133">
        <v>178.06</v>
      </c>
      <c r="H150" s="134">
        <v>178.06</v>
      </c>
      <c r="I150" s="131" t="s">
        <v>17190</v>
      </c>
      <c r="J150" s="88"/>
    </row>
    <row r="151">
      <c r="A151" s="108">
        <v>7501</v>
      </c>
      <c r="B151" s="131" t="s">
        <v>17455</v>
      </c>
      <c r="C151" s="132" t="s">
        <v>17475</v>
      </c>
      <c r="D151" s="131" t="s">
        <v>17457</v>
      </c>
      <c r="E151" s="110" t="s">
        <v>17476</v>
      </c>
      <c r="F151" s="131" t="s">
        <v>17457</v>
      </c>
      <c r="G151" s="133">
        <v>60</v>
      </c>
      <c r="H151" s="134">
        <v>60</v>
      </c>
      <c r="I151" s="131" t="s">
        <v>17171</v>
      </c>
      <c r="J151" s="88"/>
    </row>
    <row r="152" ht="25.5">
      <c r="A152" s="108">
        <v>2613</v>
      </c>
      <c r="B152" s="131" t="s">
        <v>17182</v>
      </c>
      <c r="C152" s="132" t="s">
        <v>17477</v>
      </c>
      <c r="D152" s="131" t="s">
        <v>31</v>
      </c>
      <c r="E152" s="110" t="s">
        <v>17478</v>
      </c>
      <c r="F152" s="131" t="s">
        <v>31</v>
      </c>
      <c r="G152" s="133">
        <v>2806.1100000000001</v>
      </c>
      <c r="H152" s="134">
        <v>2806.1100000000001</v>
      </c>
      <c r="I152" s="131" t="s">
        <v>17171</v>
      </c>
      <c r="J152" s="88"/>
    </row>
    <row r="153" ht="38.25">
      <c r="A153" s="108">
        <v>1617</v>
      </c>
      <c r="B153" s="131" t="s">
        <v>17182</v>
      </c>
      <c r="C153" s="132" t="s">
        <v>17479</v>
      </c>
      <c r="D153" s="131" t="s">
        <v>31</v>
      </c>
      <c r="E153" s="110" t="s">
        <v>17480</v>
      </c>
      <c r="F153" s="131" t="s">
        <v>31</v>
      </c>
      <c r="G153" s="133">
        <v>2907</v>
      </c>
      <c r="H153" s="134">
        <v>2907</v>
      </c>
      <c r="I153" s="131" t="s">
        <v>17171</v>
      </c>
      <c r="J153" s="88"/>
    </row>
    <row r="154" ht="51">
      <c r="A154" s="108">
        <v>5002</v>
      </c>
      <c r="B154" s="131" t="s">
        <v>17215</v>
      </c>
      <c r="C154" s="132" t="s">
        <v>17481</v>
      </c>
      <c r="D154" s="131" t="s">
        <v>1533</v>
      </c>
      <c r="E154" s="110" t="s">
        <v>17482</v>
      </c>
      <c r="F154" s="131" t="s">
        <v>1533</v>
      </c>
      <c r="G154" s="133">
        <v>0.35999999999999999</v>
      </c>
      <c r="H154" s="134">
        <v>0.35999999999999999</v>
      </c>
      <c r="I154" s="131" t="s">
        <v>17190</v>
      </c>
      <c r="J154" s="88"/>
    </row>
    <row r="155" ht="51">
      <c r="A155" s="108">
        <v>5001</v>
      </c>
      <c r="B155" s="131" t="s">
        <v>17215</v>
      </c>
      <c r="C155" s="132" t="s">
        <v>17483</v>
      </c>
      <c r="D155" s="131" t="s">
        <v>1535</v>
      </c>
      <c r="E155" s="110" t="s">
        <v>17484</v>
      </c>
      <c r="F155" s="131" t="s">
        <v>1535</v>
      </c>
      <c r="G155" s="133">
        <v>2.04</v>
      </c>
      <c r="H155" s="134">
        <v>2.04</v>
      </c>
      <c r="I155" s="131" t="s">
        <v>17190</v>
      </c>
      <c r="J155" s="88"/>
    </row>
    <row r="156" ht="25.5">
      <c r="A156" s="108">
        <v>4017</v>
      </c>
      <c r="B156" s="131" t="s">
        <v>17250</v>
      </c>
      <c r="C156" s="132" t="s">
        <v>17485</v>
      </c>
      <c r="D156" s="131" t="s">
        <v>2032</v>
      </c>
      <c r="E156" s="110" t="s">
        <v>17486</v>
      </c>
      <c r="F156" s="131" t="s">
        <v>2032</v>
      </c>
      <c r="G156" s="133">
        <v>24.140000000000001</v>
      </c>
      <c r="H156" s="134">
        <v>22.190000000000001</v>
      </c>
      <c r="I156" s="131" t="s">
        <v>17190</v>
      </c>
      <c r="J156" s="88"/>
    </row>
    <row r="157" ht="51">
      <c r="A157" s="108">
        <v>8482</v>
      </c>
      <c r="B157" s="131" t="s">
        <v>17487</v>
      </c>
      <c r="C157" s="132" t="s">
        <v>17488</v>
      </c>
      <c r="D157" s="131" t="s">
        <v>11798</v>
      </c>
      <c r="E157" s="110" t="s">
        <v>17489</v>
      </c>
      <c r="F157" s="131" t="s">
        <v>11798</v>
      </c>
      <c r="G157" s="133">
        <v>204.30000000000001</v>
      </c>
      <c r="H157" s="134">
        <v>204.30000000000001</v>
      </c>
      <c r="I157" s="131" t="s">
        <v>17171</v>
      </c>
      <c r="J157" s="88"/>
    </row>
    <row r="158" ht="38.25">
      <c r="A158" s="108">
        <v>8480</v>
      </c>
      <c r="B158" s="131" t="s">
        <v>17487</v>
      </c>
      <c r="C158" s="132" t="s">
        <v>17490</v>
      </c>
      <c r="D158" s="131" t="s">
        <v>11798</v>
      </c>
      <c r="E158" s="110" t="s">
        <v>17491</v>
      </c>
      <c r="F158" s="131" t="s">
        <v>11798</v>
      </c>
      <c r="G158" s="133">
        <v>204.30000000000001</v>
      </c>
      <c r="H158" s="134">
        <v>204.30000000000001</v>
      </c>
      <c r="I158" s="131" t="s">
        <v>17171</v>
      </c>
      <c r="J158" s="88"/>
    </row>
    <row r="159" ht="38.25">
      <c r="A159" s="108">
        <v>1171</v>
      </c>
      <c r="B159" s="131" t="s">
        <v>17492</v>
      </c>
      <c r="C159" s="132" t="s">
        <v>17493</v>
      </c>
      <c r="D159" s="131" t="s">
        <v>31</v>
      </c>
      <c r="E159" s="110" t="s">
        <v>17494</v>
      </c>
      <c r="F159" s="131" t="s">
        <v>31</v>
      </c>
      <c r="G159" s="133">
        <v>0.95999999999999996</v>
      </c>
      <c r="H159" s="134">
        <v>0.95999999999999996</v>
      </c>
      <c r="I159" s="131" t="s">
        <v>17190</v>
      </c>
      <c r="J159" s="88"/>
    </row>
    <row r="160" ht="38.25">
      <c r="A160" s="108">
        <v>6552</v>
      </c>
      <c r="B160" s="131" t="s">
        <v>17492</v>
      </c>
      <c r="C160" s="132" t="s">
        <v>17493</v>
      </c>
      <c r="D160" s="131" t="s">
        <v>31</v>
      </c>
      <c r="E160" s="110" t="s">
        <v>17495</v>
      </c>
      <c r="F160" s="131" t="s">
        <v>31</v>
      </c>
      <c r="G160" s="133">
        <v>0.95999999999999996</v>
      </c>
      <c r="H160" s="134">
        <v>0.95999999999999996</v>
      </c>
      <c r="I160" s="131" t="s">
        <v>17190</v>
      </c>
      <c r="J160" s="88"/>
    </row>
    <row r="161" ht="38.25">
      <c r="A161" s="108">
        <v>6615</v>
      </c>
      <c r="B161" s="131" t="s">
        <v>17198</v>
      </c>
      <c r="C161" s="132" t="s">
        <v>17496</v>
      </c>
      <c r="D161" s="131" t="s">
        <v>31</v>
      </c>
      <c r="E161" s="110" t="s">
        <v>17497</v>
      </c>
      <c r="F161" s="131" t="s">
        <v>31</v>
      </c>
      <c r="G161" s="133">
        <v>1.1000000000000001</v>
      </c>
      <c r="H161" s="134">
        <v>1.1000000000000001</v>
      </c>
      <c r="I161" s="131" t="s">
        <v>17190</v>
      </c>
      <c r="J161" s="88"/>
    </row>
    <row r="162" ht="25.5">
      <c r="A162" s="108">
        <v>6560</v>
      </c>
      <c r="B162" s="131" t="s">
        <v>17273</v>
      </c>
      <c r="C162" s="132" t="s">
        <v>17498</v>
      </c>
      <c r="D162" s="131" t="s">
        <v>31</v>
      </c>
      <c r="E162" s="110" t="s">
        <v>17499</v>
      </c>
      <c r="F162" s="131" t="s">
        <v>31</v>
      </c>
      <c r="G162" s="133">
        <v>5.8499999999999996</v>
      </c>
      <c r="H162" s="134">
        <v>5.8499999999999996</v>
      </c>
      <c r="I162" s="131" t="s">
        <v>17190</v>
      </c>
      <c r="J162" s="88"/>
    </row>
    <row r="163" ht="25.5">
      <c r="A163" s="108">
        <v>6558</v>
      </c>
      <c r="B163" s="131" t="s">
        <v>17273</v>
      </c>
      <c r="C163" s="132" t="s">
        <v>17500</v>
      </c>
      <c r="D163" s="131" t="s">
        <v>31</v>
      </c>
      <c r="E163" s="110" t="s">
        <v>17501</v>
      </c>
      <c r="F163" s="131" t="s">
        <v>31</v>
      </c>
      <c r="G163" s="133">
        <v>3.5499999999999998</v>
      </c>
      <c r="H163" s="134">
        <v>3.5499999999999998</v>
      </c>
      <c r="I163" s="131" t="s">
        <v>17190</v>
      </c>
      <c r="J163" s="88"/>
    </row>
    <row r="164" ht="51">
      <c r="A164" s="108">
        <v>1068</v>
      </c>
      <c r="B164" s="131" t="s">
        <v>17191</v>
      </c>
      <c r="C164" s="132" t="s">
        <v>17502</v>
      </c>
      <c r="D164" s="131" t="s">
        <v>31</v>
      </c>
      <c r="E164" s="110" t="s">
        <v>17503</v>
      </c>
      <c r="F164" s="131" t="s">
        <v>31</v>
      </c>
      <c r="G164" s="133">
        <v>1623.5699999999999</v>
      </c>
      <c r="H164" s="134">
        <v>1623.5699999999999</v>
      </c>
      <c r="I164" s="131" t="s">
        <v>17190</v>
      </c>
      <c r="J164" s="88"/>
    </row>
    <row r="165" ht="51">
      <c r="A165" s="108">
        <v>1576</v>
      </c>
      <c r="B165" s="131" t="s">
        <v>17273</v>
      </c>
      <c r="C165" s="132" t="s">
        <v>17504</v>
      </c>
      <c r="D165" s="131" t="s">
        <v>31</v>
      </c>
      <c r="E165" s="110" t="s">
        <v>17505</v>
      </c>
      <c r="F165" s="131" t="s">
        <v>31</v>
      </c>
      <c r="G165" s="133">
        <v>4164.9200000000001</v>
      </c>
      <c r="H165" s="134">
        <v>4164.9200000000001</v>
      </c>
      <c r="I165" s="131" t="s">
        <v>17190</v>
      </c>
      <c r="J165" s="88"/>
    </row>
    <row r="166">
      <c r="A166" s="108">
        <v>7581</v>
      </c>
      <c r="B166" s="131" t="s">
        <v>17191</v>
      </c>
      <c r="C166" s="132" t="s">
        <v>17506</v>
      </c>
      <c r="D166" s="131" t="s">
        <v>31</v>
      </c>
      <c r="E166" s="110" t="s">
        <v>17507</v>
      </c>
      <c r="F166" s="131" t="s">
        <v>31</v>
      </c>
      <c r="G166" s="133">
        <v>4788</v>
      </c>
      <c r="H166" s="134">
        <v>4788</v>
      </c>
      <c r="I166" s="131" t="s">
        <v>17171</v>
      </c>
      <c r="J166" s="88"/>
    </row>
    <row r="167" ht="25.5">
      <c r="A167" s="108">
        <v>6355</v>
      </c>
      <c r="B167" s="131" t="s">
        <v>17215</v>
      </c>
      <c r="C167" s="132" t="s">
        <v>17508</v>
      </c>
      <c r="D167" s="131" t="s">
        <v>121</v>
      </c>
      <c r="E167" s="110" t="s">
        <v>17509</v>
      </c>
      <c r="F167" s="131" t="s">
        <v>121</v>
      </c>
      <c r="G167" s="133">
        <v>91.829999999999998</v>
      </c>
      <c r="H167" s="134">
        <v>89.269999999999996</v>
      </c>
      <c r="I167" s="131" t="s">
        <v>17171</v>
      </c>
      <c r="J167" s="88"/>
    </row>
    <row r="168">
      <c r="A168" s="108">
        <v>7245</v>
      </c>
      <c r="B168" s="131" t="s">
        <v>17168</v>
      </c>
      <c r="C168" s="132" t="s">
        <v>17510</v>
      </c>
      <c r="D168" s="131" t="s">
        <v>31</v>
      </c>
      <c r="E168" s="110" t="s">
        <v>17511</v>
      </c>
      <c r="F168" s="131" t="s">
        <v>31</v>
      </c>
      <c r="G168" s="133">
        <v>33.210000000000001</v>
      </c>
      <c r="H168" s="134">
        <v>33.210000000000001</v>
      </c>
      <c r="I168" s="131" t="s">
        <v>17171</v>
      </c>
      <c r="J168" s="88"/>
    </row>
    <row r="169">
      <c r="A169" s="108">
        <v>7244</v>
      </c>
      <c r="B169" s="131" t="s">
        <v>17168</v>
      </c>
      <c r="C169" s="132" t="s">
        <v>17512</v>
      </c>
      <c r="D169" s="131" t="s">
        <v>31</v>
      </c>
      <c r="E169" s="110" t="s">
        <v>17513</v>
      </c>
      <c r="F169" s="131" t="s">
        <v>31</v>
      </c>
      <c r="G169" s="133">
        <v>24.120000000000001</v>
      </c>
      <c r="H169" s="134">
        <v>24.120000000000001</v>
      </c>
      <c r="I169" s="131" t="s">
        <v>17171</v>
      </c>
      <c r="J169" s="88"/>
    </row>
    <row r="170">
      <c r="A170" s="108">
        <v>7243</v>
      </c>
      <c r="B170" s="131" t="s">
        <v>17168</v>
      </c>
      <c r="C170" s="132" t="s">
        <v>17514</v>
      </c>
      <c r="D170" s="131" t="s">
        <v>31</v>
      </c>
      <c r="E170" s="110" t="s">
        <v>17515</v>
      </c>
      <c r="F170" s="131" t="s">
        <v>31</v>
      </c>
      <c r="G170" s="133">
        <v>24.079999999999998</v>
      </c>
      <c r="H170" s="134">
        <v>24.079999999999998</v>
      </c>
      <c r="I170" s="131" t="s">
        <v>17171</v>
      </c>
      <c r="J170" s="88"/>
    </row>
    <row r="171" ht="25.5">
      <c r="A171" s="108">
        <v>6445</v>
      </c>
      <c r="B171" s="131" t="s">
        <v>17273</v>
      </c>
      <c r="C171" s="132" t="s">
        <v>17516</v>
      </c>
      <c r="D171" s="131" t="s">
        <v>31</v>
      </c>
      <c r="E171" s="110" t="s">
        <v>17517</v>
      </c>
      <c r="F171" s="131" t="s">
        <v>31</v>
      </c>
      <c r="G171" s="133">
        <v>4.71</v>
      </c>
      <c r="H171" s="134">
        <v>4.71</v>
      </c>
      <c r="I171" s="131" t="s">
        <v>17171</v>
      </c>
      <c r="J171" s="88"/>
    </row>
    <row r="172" ht="25.5">
      <c r="A172" s="108">
        <v>7065</v>
      </c>
      <c r="B172" s="131" t="s">
        <v>17168</v>
      </c>
      <c r="C172" s="132" t="s">
        <v>17518</v>
      </c>
      <c r="D172" s="131" t="s">
        <v>31</v>
      </c>
      <c r="E172" s="110" t="s">
        <v>17519</v>
      </c>
      <c r="F172" s="131" t="s">
        <v>31</v>
      </c>
      <c r="G172" s="133">
        <v>30.68</v>
      </c>
      <c r="H172" s="134">
        <v>30.68</v>
      </c>
      <c r="I172" s="131" t="s">
        <v>17171</v>
      </c>
      <c r="J172" s="88"/>
    </row>
    <row r="173" ht="25.5">
      <c r="A173" s="108">
        <v>3483</v>
      </c>
      <c r="B173" s="131" t="s">
        <v>17168</v>
      </c>
      <c r="C173" s="132" t="s">
        <v>17520</v>
      </c>
      <c r="D173" s="131" t="s">
        <v>31</v>
      </c>
      <c r="E173" s="110" t="s">
        <v>17521</v>
      </c>
      <c r="F173" s="131" t="s">
        <v>31</v>
      </c>
      <c r="G173" s="133">
        <v>30.289999999999999</v>
      </c>
      <c r="H173" s="134">
        <v>30.289999999999999</v>
      </c>
      <c r="I173" s="131" t="s">
        <v>17171</v>
      </c>
      <c r="J173" s="88"/>
    </row>
    <row r="174" ht="25.5">
      <c r="A174" s="108">
        <v>8006</v>
      </c>
      <c r="B174" s="131" t="s">
        <v>17182</v>
      </c>
      <c r="C174" s="132" t="s">
        <v>17522</v>
      </c>
      <c r="D174" s="131" t="s">
        <v>31</v>
      </c>
      <c r="E174" s="110" t="s">
        <v>17523</v>
      </c>
      <c r="F174" s="131" t="s">
        <v>31</v>
      </c>
      <c r="G174" s="133">
        <v>54.799999999999997</v>
      </c>
      <c r="H174" s="134">
        <v>54.799999999999997</v>
      </c>
      <c r="I174" s="131" t="s">
        <v>17190</v>
      </c>
      <c r="J174" s="88"/>
    </row>
    <row r="175" ht="25.5">
      <c r="A175" s="108">
        <v>6491</v>
      </c>
      <c r="B175" s="131" t="s">
        <v>17487</v>
      </c>
      <c r="C175" s="132" t="s">
        <v>17524</v>
      </c>
      <c r="D175" s="131" t="s">
        <v>31</v>
      </c>
      <c r="E175" s="110" t="s">
        <v>17525</v>
      </c>
      <c r="F175" s="131" t="s">
        <v>31</v>
      </c>
      <c r="G175" s="133">
        <v>39</v>
      </c>
      <c r="H175" s="134">
        <v>39</v>
      </c>
      <c r="I175" s="131" t="s">
        <v>17190</v>
      </c>
      <c r="J175" s="88"/>
    </row>
    <row r="176" ht="25.5">
      <c r="A176" s="108">
        <v>7117</v>
      </c>
      <c r="B176" s="131" t="s">
        <v>17487</v>
      </c>
      <c r="C176" s="132" t="s">
        <v>17524</v>
      </c>
      <c r="D176" s="131" t="s">
        <v>31</v>
      </c>
      <c r="E176" s="110" t="s">
        <v>17526</v>
      </c>
      <c r="F176" s="131" t="s">
        <v>31</v>
      </c>
      <c r="G176" s="133">
        <v>39</v>
      </c>
      <c r="H176" s="134">
        <v>39</v>
      </c>
      <c r="I176" s="131" t="s">
        <v>17190</v>
      </c>
      <c r="J176" s="88"/>
    </row>
    <row r="177">
      <c r="A177" s="108">
        <v>6605</v>
      </c>
      <c r="B177" s="131" t="s">
        <v>17168</v>
      </c>
      <c r="C177" s="132" t="s">
        <v>16483</v>
      </c>
      <c r="D177" s="131" t="s">
        <v>31</v>
      </c>
      <c r="E177" s="110" t="s">
        <v>17527</v>
      </c>
      <c r="F177" s="131" t="s">
        <v>31</v>
      </c>
      <c r="G177" s="133">
        <v>173.25</v>
      </c>
      <c r="H177" s="134">
        <v>173.25</v>
      </c>
      <c r="I177" s="131" t="s">
        <v>17171</v>
      </c>
      <c r="J177" s="88"/>
    </row>
    <row r="178">
      <c r="A178" s="108">
        <v>6604</v>
      </c>
      <c r="B178" s="131" t="s">
        <v>17168</v>
      </c>
      <c r="C178" s="132" t="s">
        <v>16482</v>
      </c>
      <c r="D178" s="131" t="s">
        <v>31</v>
      </c>
      <c r="E178" s="110" t="s">
        <v>17528</v>
      </c>
      <c r="F178" s="131" t="s">
        <v>31</v>
      </c>
      <c r="G178" s="133">
        <v>137.59</v>
      </c>
      <c r="H178" s="134">
        <v>137.59</v>
      </c>
      <c r="I178" s="131" t="s">
        <v>17171</v>
      </c>
      <c r="J178" s="88"/>
    </row>
    <row r="179" ht="38.25">
      <c r="A179" s="108">
        <v>6405</v>
      </c>
      <c r="B179" s="131" t="s">
        <v>17273</v>
      </c>
      <c r="C179" s="132" t="s">
        <v>17529</v>
      </c>
      <c r="D179" s="131" t="s">
        <v>31</v>
      </c>
      <c r="E179" s="110" t="s">
        <v>17530</v>
      </c>
      <c r="F179" s="131" t="s">
        <v>31</v>
      </c>
      <c r="G179" s="133">
        <v>0.42999999999999999</v>
      </c>
      <c r="H179" s="134">
        <v>0.42999999999999999</v>
      </c>
      <c r="I179" s="131" t="s">
        <v>17190</v>
      </c>
      <c r="J179" s="88"/>
    </row>
    <row r="180" ht="38.25">
      <c r="A180" s="108">
        <v>1223</v>
      </c>
      <c r="B180" s="131" t="s">
        <v>17531</v>
      </c>
      <c r="C180" s="132" t="s">
        <v>17532</v>
      </c>
      <c r="D180" s="131" t="s">
        <v>31</v>
      </c>
      <c r="E180" s="110" t="s">
        <v>17533</v>
      </c>
      <c r="F180" s="131" t="s">
        <v>31</v>
      </c>
      <c r="G180" s="133">
        <v>0.14000000000000001</v>
      </c>
      <c r="H180" s="134">
        <v>0.14000000000000001</v>
      </c>
      <c r="I180" s="131" t="s">
        <v>17190</v>
      </c>
      <c r="J180" s="88"/>
    </row>
    <row r="181">
      <c r="A181" s="108">
        <v>1578</v>
      </c>
      <c r="B181" s="131" t="s">
        <v>17273</v>
      </c>
      <c r="C181" s="132" t="s">
        <v>17534</v>
      </c>
      <c r="D181" s="131" t="s">
        <v>31</v>
      </c>
      <c r="E181" s="110" t="s">
        <v>17535</v>
      </c>
      <c r="F181" s="131" t="s">
        <v>31</v>
      </c>
      <c r="G181" s="133">
        <v>0.13</v>
      </c>
      <c r="H181" s="134">
        <v>0.13</v>
      </c>
      <c r="I181" s="131" t="s">
        <v>17190</v>
      </c>
      <c r="J181" s="88"/>
    </row>
    <row r="182" ht="38.25">
      <c r="A182" s="108">
        <v>8474</v>
      </c>
      <c r="B182" s="131" t="s">
        <v>17531</v>
      </c>
      <c r="C182" s="132" t="s">
        <v>17536</v>
      </c>
      <c r="D182" s="131" t="s">
        <v>31</v>
      </c>
      <c r="E182" s="110" t="s">
        <v>17537</v>
      </c>
      <c r="F182" s="131" t="s">
        <v>31</v>
      </c>
      <c r="G182" s="133">
        <v>0.28999999999999998</v>
      </c>
      <c r="H182" s="134">
        <v>0.28999999999999998</v>
      </c>
      <c r="I182" s="131" t="s">
        <v>17190</v>
      </c>
      <c r="J182" s="88"/>
    </row>
    <row r="183" ht="38.25">
      <c r="A183" s="108">
        <v>7615</v>
      </c>
      <c r="B183" s="131" t="s">
        <v>17531</v>
      </c>
      <c r="C183" s="132" t="s">
        <v>17538</v>
      </c>
      <c r="D183" s="131" t="s">
        <v>31</v>
      </c>
      <c r="E183" s="110" t="s">
        <v>17539</v>
      </c>
      <c r="F183" s="131" t="s">
        <v>31</v>
      </c>
      <c r="G183" s="133">
        <v>0.88</v>
      </c>
      <c r="H183" s="134">
        <v>0.88</v>
      </c>
      <c r="I183" s="131" t="s">
        <v>17190</v>
      </c>
      <c r="J183" s="88"/>
    </row>
    <row r="184" ht="25.5">
      <c r="A184" s="108">
        <v>7041</v>
      </c>
      <c r="B184" s="131" t="s">
        <v>17168</v>
      </c>
      <c r="C184" s="132" t="s">
        <v>17540</v>
      </c>
      <c r="D184" s="131" t="s">
        <v>31</v>
      </c>
      <c r="E184" s="110" t="s">
        <v>17541</v>
      </c>
      <c r="F184" s="131" t="s">
        <v>31</v>
      </c>
      <c r="G184" s="133">
        <v>655.19000000000005</v>
      </c>
      <c r="H184" s="134">
        <v>655.19000000000005</v>
      </c>
      <c r="I184" s="131" t="s">
        <v>17171</v>
      </c>
      <c r="J184" s="88"/>
    </row>
    <row r="185" ht="25.5">
      <c r="A185" s="108">
        <v>3041</v>
      </c>
      <c r="B185" s="131" t="s">
        <v>17407</v>
      </c>
      <c r="C185" s="132" t="s">
        <v>17542</v>
      </c>
      <c r="D185" s="131" t="s">
        <v>11798</v>
      </c>
      <c r="E185" s="110" t="s">
        <v>17543</v>
      </c>
      <c r="F185" s="131" t="s">
        <v>11798</v>
      </c>
      <c r="G185" s="133">
        <v>20.129999999999999</v>
      </c>
      <c r="H185" s="134">
        <v>20.129999999999999</v>
      </c>
      <c r="I185" s="131" t="s">
        <v>17171</v>
      </c>
      <c r="J185" s="88"/>
    </row>
    <row r="186" ht="25.5">
      <c r="A186" s="108">
        <v>3039</v>
      </c>
      <c r="B186" s="131" t="s">
        <v>17407</v>
      </c>
      <c r="C186" s="132" t="s">
        <v>17544</v>
      </c>
      <c r="D186" s="131" t="s">
        <v>11798</v>
      </c>
      <c r="E186" s="110" t="s">
        <v>17545</v>
      </c>
      <c r="F186" s="131" t="s">
        <v>11798</v>
      </c>
      <c r="G186" s="133">
        <v>9.4399999999999995</v>
      </c>
      <c r="H186" s="134">
        <v>9.4399999999999995</v>
      </c>
      <c r="I186" s="131" t="s">
        <v>17171</v>
      </c>
      <c r="J186" s="88"/>
    </row>
    <row r="187" ht="25.5">
      <c r="A187" s="108">
        <v>3040</v>
      </c>
      <c r="B187" s="131" t="s">
        <v>17407</v>
      </c>
      <c r="C187" s="132" t="s">
        <v>17546</v>
      </c>
      <c r="D187" s="131" t="s">
        <v>11798</v>
      </c>
      <c r="E187" s="110" t="s">
        <v>17547</v>
      </c>
      <c r="F187" s="131" t="s">
        <v>11798</v>
      </c>
      <c r="G187" s="133">
        <v>14.369999999999999</v>
      </c>
      <c r="H187" s="134">
        <v>14.369999999999999</v>
      </c>
      <c r="I187" s="131" t="s">
        <v>17171</v>
      </c>
      <c r="J187" s="88"/>
    </row>
    <row r="188" ht="25.5">
      <c r="A188" s="108">
        <v>3037</v>
      </c>
      <c r="B188" s="131" t="s">
        <v>17407</v>
      </c>
      <c r="C188" s="132" t="s">
        <v>17548</v>
      </c>
      <c r="D188" s="131" t="s">
        <v>31</v>
      </c>
      <c r="E188" s="110" t="s">
        <v>17549</v>
      </c>
      <c r="F188" s="131" t="s">
        <v>31</v>
      </c>
      <c r="G188" s="133">
        <v>2.1699999999999999</v>
      </c>
      <c r="H188" s="134">
        <v>2.1699999999999999</v>
      </c>
      <c r="I188" s="131" t="s">
        <v>17190</v>
      </c>
      <c r="J188" s="88"/>
    </row>
    <row r="189" ht="25.5">
      <c r="A189" s="108">
        <v>3036</v>
      </c>
      <c r="B189" s="131" t="s">
        <v>17407</v>
      </c>
      <c r="C189" s="132" t="s">
        <v>17550</v>
      </c>
      <c r="D189" s="131" t="s">
        <v>31</v>
      </c>
      <c r="E189" s="110" t="s">
        <v>17551</v>
      </c>
      <c r="F189" s="131" t="s">
        <v>31</v>
      </c>
      <c r="G189" s="133">
        <v>1.96</v>
      </c>
      <c r="H189" s="134">
        <v>1.96</v>
      </c>
      <c r="I189" s="131" t="s">
        <v>17190</v>
      </c>
      <c r="J189" s="88"/>
    </row>
    <row r="190" ht="25.5">
      <c r="A190" s="108">
        <v>3035</v>
      </c>
      <c r="B190" s="131" t="s">
        <v>17407</v>
      </c>
      <c r="C190" s="132" t="s">
        <v>17552</v>
      </c>
      <c r="D190" s="131" t="s">
        <v>31</v>
      </c>
      <c r="E190" s="110" t="s">
        <v>17553</v>
      </c>
      <c r="F190" s="131" t="s">
        <v>31</v>
      </c>
      <c r="G190" s="133">
        <v>1.29</v>
      </c>
      <c r="H190" s="134">
        <v>1.29</v>
      </c>
      <c r="I190" s="131" t="s">
        <v>17190</v>
      </c>
      <c r="J190" s="88"/>
    </row>
    <row r="191" ht="25.5">
      <c r="A191" s="108">
        <v>3038</v>
      </c>
      <c r="B191" s="131" t="s">
        <v>17407</v>
      </c>
      <c r="C191" s="132" t="s">
        <v>17554</v>
      </c>
      <c r="D191" s="131" t="s">
        <v>31</v>
      </c>
      <c r="E191" s="110" t="s">
        <v>17555</v>
      </c>
      <c r="F191" s="131" t="s">
        <v>31</v>
      </c>
      <c r="G191" s="133">
        <v>5.2199999999999998</v>
      </c>
      <c r="H191" s="134">
        <v>5.2199999999999998</v>
      </c>
      <c r="I191" s="131" t="s">
        <v>17190</v>
      </c>
      <c r="J191" s="88"/>
    </row>
    <row r="192" ht="25.5">
      <c r="A192" s="108">
        <v>1523</v>
      </c>
      <c r="B192" s="131" t="s">
        <v>17273</v>
      </c>
      <c r="C192" s="132" t="s">
        <v>17556</v>
      </c>
      <c r="D192" s="131" t="s">
        <v>31</v>
      </c>
      <c r="E192" s="110" t="s">
        <v>17557</v>
      </c>
      <c r="F192" s="131" t="s">
        <v>31</v>
      </c>
      <c r="G192" s="133">
        <v>7.9199999999999999</v>
      </c>
      <c r="H192" s="134">
        <v>7.9199999999999999</v>
      </c>
      <c r="I192" s="131" t="s">
        <v>17190</v>
      </c>
      <c r="J192" s="88"/>
    </row>
    <row r="193" ht="25.5">
      <c r="A193" s="108">
        <v>3034</v>
      </c>
      <c r="B193" s="131" t="s">
        <v>17407</v>
      </c>
      <c r="C193" s="132" t="s">
        <v>17558</v>
      </c>
      <c r="D193" s="131" t="s">
        <v>31</v>
      </c>
      <c r="E193" s="110" t="s">
        <v>17559</v>
      </c>
      <c r="F193" s="131" t="s">
        <v>31</v>
      </c>
      <c r="G193" s="133">
        <v>1.2</v>
      </c>
      <c r="H193" s="134">
        <v>1.2</v>
      </c>
      <c r="I193" s="131" t="s">
        <v>17190</v>
      </c>
      <c r="J193" s="88"/>
    </row>
    <row r="194" ht="25.5">
      <c r="A194" s="108">
        <v>1524</v>
      </c>
      <c r="B194" s="131" t="s">
        <v>17273</v>
      </c>
      <c r="C194" s="132" t="s">
        <v>17560</v>
      </c>
      <c r="D194" s="131" t="s">
        <v>31</v>
      </c>
      <c r="E194" s="110" t="s">
        <v>17561</v>
      </c>
      <c r="F194" s="131" t="s">
        <v>31</v>
      </c>
      <c r="G194" s="133">
        <v>11.130000000000001</v>
      </c>
      <c r="H194" s="134">
        <v>11.130000000000001</v>
      </c>
      <c r="I194" s="131" t="s">
        <v>17190</v>
      </c>
      <c r="J194" s="88"/>
    </row>
    <row r="195" ht="51">
      <c r="A195" s="108">
        <v>1640</v>
      </c>
      <c r="B195" s="131" t="s">
        <v>17273</v>
      </c>
      <c r="C195" s="132" t="s">
        <v>17562</v>
      </c>
      <c r="D195" s="131" t="s">
        <v>31</v>
      </c>
      <c r="E195" s="110" t="s">
        <v>17563</v>
      </c>
      <c r="F195" s="131" t="s">
        <v>31</v>
      </c>
      <c r="G195" s="133">
        <v>15.859999999999999</v>
      </c>
      <c r="H195" s="134">
        <v>15.859999999999999</v>
      </c>
      <c r="I195" s="131" t="s">
        <v>17190</v>
      </c>
      <c r="J195" s="88"/>
    </row>
    <row r="196" ht="51">
      <c r="A196" s="108">
        <v>1525</v>
      </c>
      <c r="B196" s="131" t="s">
        <v>17273</v>
      </c>
      <c r="C196" s="132" t="s">
        <v>17564</v>
      </c>
      <c r="D196" s="131" t="s">
        <v>31</v>
      </c>
      <c r="E196" s="110" t="s">
        <v>17565</v>
      </c>
      <c r="F196" s="131" t="s">
        <v>31</v>
      </c>
      <c r="G196" s="133">
        <v>45.829999999999998</v>
      </c>
      <c r="H196" s="134">
        <v>45.829999999999998</v>
      </c>
      <c r="I196" s="131" t="s">
        <v>17190</v>
      </c>
      <c r="J196" s="88"/>
    </row>
    <row r="197" ht="51">
      <c r="A197" s="108">
        <v>1526</v>
      </c>
      <c r="B197" s="131" t="s">
        <v>17273</v>
      </c>
      <c r="C197" s="132" t="s">
        <v>17566</v>
      </c>
      <c r="D197" s="131" t="s">
        <v>31</v>
      </c>
      <c r="E197" s="110" t="s">
        <v>17567</v>
      </c>
      <c r="F197" s="131" t="s">
        <v>31</v>
      </c>
      <c r="G197" s="133">
        <v>66.620000000000005</v>
      </c>
      <c r="H197" s="134">
        <v>66.620000000000005</v>
      </c>
      <c r="I197" s="131" t="s">
        <v>17190</v>
      </c>
      <c r="J197" s="88"/>
    </row>
    <row r="198" ht="25.5">
      <c r="A198" s="108">
        <v>2064</v>
      </c>
      <c r="B198" s="131" t="s">
        <v>17429</v>
      </c>
      <c r="C198" s="132" t="s">
        <v>17568</v>
      </c>
      <c r="D198" s="131" t="s">
        <v>31</v>
      </c>
      <c r="E198" s="110" t="s">
        <v>17569</v>
      </c>
      <c r="F198" s="131" t="s">
        <v>31</v>
      </c>
      <c r="G198" s="133">
        <v>19.09</v>
      </c>
      <c r="H198" s="134">
        <v>19.09</v>
      </c>
      <c r="I198" s="131" t="s">
        <v>17190</v>
      </c>
      <c r="J198" s="88"/>
    </row>
    <row r="199">
      <c r="A199" s="108">
        <v>1443</v>
      </c>
      <c r="B199" s="131" t="s">
        <v>17570</v>
      </c>
      <c r="C199" s="132" t="s">
        <v>17571</v>
      </c>
      <c r="D199" s="131" t="s">
        <v>38</v>
      </c>
      <c r="E199" s="110" t="s">
        <v>17572</v>
      </c>
      <c r="F199" s="131" t="s">
        <v>38</v>
      </c>
      <c r="G199" s="133">
        <v>10.380000000000001</v>
      </c>
      <c r="H199" s="134">
        <v>10.380000000000001</v>
      </c>
      <c r="I199" s="131" t="s">
        <v>17171</v>
      </c>
      <c r="J199" s="88"/>
    </row>
    <row r="200" ht="25.5">
      <c r="A200" s="108">
        <v>7133</v>
      </c>
      <c r="B200" s="131" t="s">
        <v>17570</v>
      </c>
      <c r="C200" s="132" t="s">
        <v>17573</v>
      </c>
      <c r="D200" s="131" t="s">
        <v>38</v>
      </c>
      <c r="E200" s="110" t="s">
        <v>17574</v>
      </c>
      <c r="F200" s="131" t="s">
        <v>38</v>
      </c>
      <c r="G200" s="133">
        <v>80.480000000000004</v>
      </c>
      <c r="H200" s="134">
        <v>80.480000000000004</v>
      </c>
      <c r="I200" s="131" t="s">
        <v>17171</v>
      </c>
      <c r="J200" s="88"/>
    </row>
    <row r="201" ht="25.5">
      <c r="A201" s="108">
        <v>1527</v>
      </c>
      <c r="B201" s="131" t="s">
        <v>17273</v>
      </c>
      <c r="C201" s="132" t="s">
        <v>17575</v>
      </c>
      <c r="D201" s="131" t="s">
        <v>302</v>
      </c>
      <c r="E201" s="110" t="s">
        <v>17576</v>
      </c>
      <c r="F201" s="131" t="s">
        <v>302</v>
      </c>
      <c r="G201" s="133">
        <v>63.210000000000001</v>
      </c>
      <c r="H201" s="134">
        <v>63.210000000000001</v>
      </c>
      <c r="I201" s="131" t="s">
        <v>17190</v>
      </c>
      <c r="J201" s="88"/>
    </row>
    <row r="202">
      <c r="A202" s="108">
        <v>6585</v>
      </c>
      <c r="B202" s="131" t="s">
        <v>17168</v>
      </c>
      <c r="C202" s="132" t="s">
        <v>16464</v>
      </c>
      <c r="D202" s="131" t="s">
        <v>38</v>
      </c>
      <c r="E202" s="110" t="s">
        <v>17577</v>
      </c>
      <c r="F202" s="131" t="s">
        <v>38</v>
      </c>
      <c r="G202" s="133">
        <v>16.760000000000002</v>
      </c>
      <c r="H202" s="134">
        <v>16.760000000000002</v>
      </c>
      <c r="I202" s="131" t="s">
        <v>17171</v>
      </c>
      <c r="J202" s="88"/>
    </row>
    <row r="203" ht="25.5">
      <c r="A203" s="108">
        <v>3253</v>
      </c>
      <c r="B203" s="131" t="s">
        <v>17168</v>
      </c>
      <c r="C203" s="132" t="s">
        <v>17578</v>
      </c>
      <c r="D203" s="131" t="s">
        <v>38</v>
      </c>
      <c r="E203" s="110" t="s">
        <v>17579</v>
      </c>
      <c r="F203" s="131" t="s">
        <v>38</v>
      </c>
      <c r="G203" s="133">
        <v>11.31</v>
      </c>
      <c r="H203" s="134">
        <v>11.31</v>
      </c>
      <c r="I203" s="131" t="s">
        <v>17171</v>
      </c>
      <c r="J203" s="88"/>
    </row>
    <row r="204" ht="25.5">
      <c r="A204" s="108">
        <v>3252</v>
      </c>
      <c r="B204" s="131" t="s">
        <v>17168</v>
      </c>
      <c r="C204" s="132" t="s">
        <v>17580</v>
      </c>
      <c r="D204" s="131" t="s">
        <v>38</v>
      </c>
      <c r="E204" s="110" t="s">
        <v>17581</v>
      </c>
      <c r="F204" s="131" t="s">
        <v>38</v>
      </c>
      <c r="G204" s="133">
        <v>7.0999999999999996</v>
      </c>
      <c r="H204" s="134">
        <v>7.0999999999999996</v>
      </c>
      <c r="I204" s="131" t="s">
        <v>17171</v>
      </c>
      <c r="J204" s="88"/>
    </row>
    <row r="205" ht="25.5">
      <c r="A205" s="108">
        <v>3251</v>
      </c>
      <c r="B205" s="131" t="s">
        <v>17168</v>
      </c>
      <c r="C205" s="132" t="s">
        <v>17582</v>
      </c>
      <c r="D205" s="131" t="s">
        <v>38</v>
      </c>
      <c r="E205" s="110" t="s">
        <v>17583</v>
      </c>
      <c r="F205" s="131" t="s">
        <v>38</v>
      </c>
      <c r="G205" s="133">
        <v>4.5199999999999996</v>
      </c>
      <c r="H205" s="134">
        <v>4.5199999999999996</v>
      </c>
      <c r="I205" s="131" t="s">
        <v>17171</v>
      </c>
      <c r="J205" s="88"/>
    </row>
    <row r="206" ht="25.5">
      <c r="A206" s="108">
        <v>3254</v>
      </c>
      <c r="B206" s="131" t="s">
        <v>17168</v>
      </c>
      <c r="C206" s="132" t="s">
        <v>17584</v>
      </c>
      <c r="D206" s="131" t="s">
        <v>38</v>
      </c>
      <c r="E206" s="110" t="s">
        <v>17585</v>
      </c>
      <c r="F206" s="131" t="s">
        <v>38</v>
      </c>
      <c r="G206" s="133">
        <v>3.6000000000000001</v>
      </c>
      <c r="H206" s="134">
        <v>3.6000000000000001</v>
      </c>
      <c r="I206" s="131" t="s">
        <v>17171</v>
      </c>
      <c r="J206" s="88"/>
    </row>
    <row r="207">
      <c r="A207" s="108">
        <v>6584</v>
      </c>
      <c r="B207" s="131" t="s">
        <v>17168</v>
      </c>
      <c r="C207" s="132" t="s">
        <v>16463</v>
      </c>
      <c r="D207" s="131" t="s">
        <v>38</v>
      </c>
      <c r="E207" s="110" t="s">
        <v>17586</v>
      </c>
      <c r="F207" s="131" t="s">
        <v>38</v>
      </c>
      <c r="G207" s="133">
        <v>8.25</v>
      </c>
      <c r="H207" s="134">
        <v>8.25</v>
      </c>
      <c r="I207" s="131" t="s">
        <v>17171</v>
      </c>
      <c r="J207" s="88"/>
    </row>
    <row r="208">
      <c r="A208" s="108">
        <v>7071</v>
      </c>
      <c r="B208" s="131" t="s">
        <v>17168</v>
      </c>
      <c r="C208" s="132" t="s">
        <v>17587</v>
      </c>
      <c r="D208" s="131" t="s">
        <v>38</v>
      </c>
      <c r="E208" s="110" t="s">
        <v>17588</v>
      </c>
      <c r="F208" s="131" t="s">
        <v>38</v>
      </c>
      <c r="G208" s="133">
        <v>58.270000000000003</v>
      </c>
      <c r="H208" s="134">
        <v>58.270000000000003</v>
      </c>
      <c r="I208" s="131" t="s">
        <v>17171</v>
      </c>
      <c r="J208" s="88"/>
    </row>
    <row r="209">
      <c r="A209" s="108">
        <v>7070</v>
      </c>
      <c r="B209" s="131" t="s">
        <v>17168</v>
      </c>
      <c r="C209" s="132" t="s">
        <v>17589</v>
      </c>
      <c r="D209" s="131" t="s">
        <v>38</v>
      </c>
      <c r="E209" s="110" t="s">
        <v>17590</v>
      </c>
      <c r="F209" s="131" t="s">
        <v>38</v>
      </c>
      <c r="G209" s="133">
        <v>33.590000000000003</v>
      </c>
      <c r="H209" s="134">
        <v>33.590000000000003</v>
      </c>
      <c r="I209" s="131" t="s">
        <v>17171</v>
      </c>
      <c r="J209" s="88"/>
    </row>
    <row r="210">
      <c r="A210" s="108">
        <v>3243</v>
      </c>
      <c r="B210" s="131" t="s">
        <v>17168</v>
      </c>
      <c r="C210" s="132" t="s">
        <v>17591</v>
      </c>
      <c r="D210" s="131" t="s">
        <v>38</v>
      </c>
      <c r="E210" s="110" t="s">
        <v>17592</v>
      </c>
      <c r="F210" s="131" t="s">
        <v>38</v>
      </c>
      <c r="G210" s="133">
        <v>18.280000000000001</v>
      </c>
      <c r="H210" s="134">
        <v>18.280000000000001</v>
      </c>
      <c r="I210" s="131" t="s">
        <v>17171</v>
      </c>
      <c r="J210" s="88"/>
    </row>
    <row r="211">
      <c r="A211" s="108">
        <v>7020</v>
      </c>
      <c r="B211" s="131" t="s">
        <v>17168</v>
      </c>
      <c r="C211" s="132" t="s">
        <v>17593</v>
      </c>
      <c r="D211" s="131" t="s">
        <v>38</v>
      </c>
      <c r="E211" s="110" t="s">
        <v>17594</v>
      </c>
      <c r="F211" s="131" t="s">
        <v>38</v>
      </c>
      <c r="G211" s="133">
        <v>6.0300000000000002</v>
      </c>
      <c r="H211" s="134">
        <v>6.0300000000000002</v>
      </c>
      <c r="I211" s="131" t="s">
        <v>17171</v>
      </c>
      <c r="J211" s="88"/>
    </row>
    <row r="212" ht="25.5">
      <c r="A212" s="108">
        <v>7031</v>
      </c>
      <c r="B212" s="131" t="s">
        <v>17168</v>
      </c>
      <c r="C212" s="132" t="s">
        <v>17595</v>
      </c>
      <c r="D212" s="131" t="s">
        <v>38</v>
      </c>
      <c r="E212" s="110" t="s">
        <v>17596</v>
      </c>
      <c r="F212" s="131" t="s">
        <v>38</v>
      </c>
      <c r="G212" s="133">
        <v>8.4299999999999997</v>
      </c>
      <c r="H212" s="134">
        <v>8.4299999999999997</v>
      </c>
      <c r="I212" s="131" t="s">
        <v>17171</v>
      </c>
      <c r="J212" s="88"/>
    </row>
    <row r="213" ht="25.5">
      <c r="A213" s="108">
        <v>7030</v>
      </c>
      <c r="B213" s="131" t="s">
        <v>17168</v>
      </c>
      <c r="C213" s="132" t="s">
        <v>17597</v>
      </c>
      <c r="D213" s="131" t="s">
        <v>38</v>
      </c>
      <c r="E213" s="110" t="s">
        <v>17598</v>
      </c>
      <c r="F213" s="131" t="s">
        <v>38</v>
      </c>
      <c r="G213" s="133">
        <v>5.3899999999999997</v>
      </c>
      <c r="H213" s="134">
        <v>5.3899999999999997</v>
      </c>
      <c r="I213" s="131" t="s">
        <v>17171</v>
      </c>
      <c r="J213" s="88"/>
    </row>
    <row r="214" ht="25.5">
      <c r="A214" s="108">
        <v>7029</v>
      </c>
      <c r="B214" s="131" t="s">
        <v>17168</v>
      </c>
      <c r="C214" s="132" t="s">
        <v>17599</v>
      </c>
      <c r="D214" s="131" t="s">
        <v>38</v>
      </c>
      <c r="E214" s="110" t="s">
        <v>17600</v>
      </c>
      <c r="F214" s="131" t="s">
        <v>38</v>
      </c>
      <c r="G214" s="133">
        <v>3.3799999999999999</v>
      </c>
      <c r="H214" s="134">
        <v>3.3799999999999999</v>
      </c>
      <c r="I214" s="131" t="s">
        <v>17171</v>
      </c>
      <c r="J214" s="88"/>
    </row>
    <row r="215" ht="38.25">
      <c r="A215" s="108">
        <v>1798</v>
      </c>
      <c r="B215" s="131" t="s">
        <v>17215</v>
      </c>
      <c r="C215" s="132" t="s">
        <v>17601</v>
      </c>
      <c r="D215" s="131" t="s">
        <v>38</v>
      </c>
      <c r="E215" s="110" t="s">
        <v>17602</v>
      </c>
      <c r="F215" s="131" t="s">
        <v>38</v>
      </c>
      <c r="G215" s="133">
        <v>3.6600000000000001</v>
      </c>
      <c r="H215" s="134">
        <v>3.5800000000000001</v>
      </c>
      <c r="I215" s="131" t="s">
        <v>17190</v>
      </c>
      <c r="J215" s="88"/>
    </row>
    <row r="216" ht="38.25">
      <c r="A216" s="108">
        <v>1915</v>
      </c>
      <c r="B216" s="131" t="s">
        <v>17273</v>
      </c>
      <c r="C216" s="132" t="s">
        <v>17603</v>
      </c>
      <c r="D216" s="131" t="s">
        <v>38</v>
      </c>
      <c r="E216" s="110" t="s">
        <v>17604</v>
      </c>
      <c r="F216" s="131" t="s">
        <v>38</v>
      </c>
      <c r="G216" s="133">
        <v>3</v>
      </c>
      <c r="H216" s="134">
        <v>2.9199999999999999</v>
      </c>
      <c r="I216" s="131" t="s">
        <v>17190</v>
      </c>
      <c r="J216" s="88"/>
    </row>
    <row r="217" ht="38.25">
      <c r="A217" s="108">
        <v>1801</v>
      </c>
      <c r="B217" s="131" t="s">
        <v>17215</v>
      </c>
      <c r="C217" s="132" t="s">
        <v>17605</v>
      </c>
      <c r="D217" s="131" t="s">
        <v>38</v>
      </c>
      <c r="E217" s="110" t="s">
        <v>17606</v>
      </c>
      <c r="F217" s="131" t="s">
        <v>38</v>
      </c>
      <c r="G217" s="133">
        <v>16.609999999999999</v>
      </c>
      <c r="H217" s="134">
        <v>16.329999999999998</v>
      </c>
      <c r="I217" s="131" t="s">
        <v>17190</v>
      </c>
      <c r="J217" s="88"/>
    </row>
    <row r="218" ht="63.75">
      <c r="A218" s="108">
        <v>2737</v>
      </c>
      <c r="B218" s="131" t="s">
        <v>17570</v>
      </c>
      <c r="C218" s="132" t="s">
        <v>17607</v>
      </c>
      <c r="D218" s="131" t="s">
        <v>38</v>
      </c>
      <c r="E218" s="110" t="s">
        <v>17608</v>
      </c>
      <c r="F218" s="131" t="s">
        <v>38</v>
      </c>
      <c r="G218" s="133">
        <v>9.8599999999999994</v>
      </c>
      <c r="H218" s="134">
        <v>9.8599999999999994</v>
      </c>
      <c r="I218" s="131" t="s">
        <v>17171</v>
      </c>
      <c r="J218" s="88"/>
    </row>
    <row r="219" ht="38.25">
      <c r="A219" s="108">
        <v>1917</v>
      </c>
      <c r="B219" s="131" t="s">
        <v>17273</v>
      </c>
      <c r="C219" s="132" t="s">
        <v>17609</v>
      </c>
      <c r="D219" s="131" t="s">
        <v>38</v>
      </c>
      <c r="E219" s="110" t="s">
        <v>17610</v>
      </c>
      <c r="F219" s="131" t="s">
        <v>38</v>
      </c>
      <c r="G219" s="133">
        <v>16.690000000000001</v>
      </c>
      <c r="H219" s="134">
        <v>16.649999999999999</v>
      </c>
      <c r="I219" s="131" t="s">
        <v>17190</v>
      </c>
      <c r="J219" s="88"/>
    </row>
    <row r="220" ht="63.75">
      <c r="A220" s="108">
        <v>2738</v>
      </c>
      <c r="B220" s="131" t="s">
        <v>17570</v>
      </c>
      <c r="C220" s="132" t="s">
        <v>17611</v>
      </c>
      <c r="D220" s="131" t="s">
        <v>38</v>
      </c>
      <c r="E220" s="110" t="s">
        <v>17612</v>
      </c>
      <c r="F220" s="131" t="s">
        <v>38</v>
      </c>
      <c r="G220" s="133">
        <v>15.119999999999999</v>
      </c>
      <c r="H220" s="134">
        <v>15.119999999999999</v>
      </c>
      <c r="I220" s="131" t="s">
        <v>17171</v>
      </c>
      <c r="J220" s="88"/>
    </row>
    <row r="221" ht="38.25">
      <c r="A221" s="108">
        <v>1799</v>
      </c>
      <c r="B221" s="131" t="s">
        <v>17215</v>
      </c>
      <c r="C221" s="132" t="s">
        <v>17613</v>
      </c>
      <c r="D221" s="131" t="s">
        <v>38</v>
      </c>
      <c r="E221" s="110" t="s">
        <v>17614</v>
      </c>
      <c r="F221" s="131" t="s">
        <v>38</v>
      </c>
      <c r="G221" s="133">
        <v>4.9500000000000002</v>
      </c>
      <c r="H221" s="134">
        <v>4.8499999999999996</v>
      </c>
      <c r="I221" s="131" t="s">
        <v>17190</v>
      </c>
      <c r="J221" s="88"/>
    </row>
    <row r="222" ht="63.75">
      <c r="A222" s="108">
        <v>2712</v>
      </c>
      <c r="B222" s="131" t="s">
        <v>17570</v>
      </c>
      <c r="C222" s="132" t="s">
        <v>17615</v>
      </c>
      <c r="D222" s="131" t="s">
        <v>38</v>
      </c>
      <c r="E222" s="110" t="s">
        <v>17616</v>
      </c>
      <c r="F222" s="131" t="s">
        <v>38</v>
      </c>
      <c r="G222" s="133">
        <v>2.4300000000000002</v>
      </c>
      <c r="H222" s="134">
        <v>2.4300000000000002</v>
      </c>
      <c r="I222" s="131" t="s">
        <v>17171</v>
      </c>
      <c r="J222" s="88"/>
    </row>
    <row r="223" ht="38.25">
      <c r="A223" s="108">
        <v>1916</v>
      </c>
      <c r="B223" s="131" t="s">
        <v>17273</v>
      </c>
      <c r="C223" s="132" t="s">
        <v>17617</v>
      </c>
      <c r="D223" s="131" t="s">
        <v>38</v>
      </c>
      <c r="E223" s="110" t="s">
        <v>17618</v>
      </c>
      <c r="F223" s="131" t="s">
        <v>38</v>
      </c>
      <c r="G223" s="133">
        <v>4.3899999999999997</v>
      </c>
      <c r="H223" s="134">
        <v>4.29</v>
      </c>
      <c r="I223" s="131" t="s">
        <v>17190</v>
      </c>
      <c r="J223" s="88"/>
    </row>
    <row r="224" ht="51">
      <c r="A224" s="108">
        <v>1819</v>
      </c>
      <c r="B224" s="131" t="s">
        <v>17215</v>
      </c>
      <c r="C224" s="132" t="s">
        <v>17619</v>
      </c>
      <c r="D224" s="131" t="s">
        <v>38</v>
      </c>
      <c r="E224" s="110" t="s">
        <v>17620</v>
      </c>
      <c r="F224" s="131" t="s">
        <v>38</v>
      </c>
      <c r="G224" s="133">
        <v>29.050000000000001</v>
      </c>
      <c r="H224" s="134">
        <v>28.84</v>
      </c>
      <c r="I224" s="131" t="s">
        <v>17190</v>
      </c>
      <c r="J224" s="88"/>
    </row>
    <row r="225" ht="63.75">
      <c r="A225" s="108">
        <v>2741</v>
      </c>
      <c r="B225" s="131" t="s">
        <v>17570</v>
      </c>
      <c r="C225" s="132" t="s">
        <v>17621</v>
      </c>
      <c r="D225" s="131" t="s">
        <v>38</v>
      </c>
      <c r="E225" s="110" t="s">
        <v>17622</v>
      </c>
      <c r="F225" s="131" t="s">
        <v>38</v>
      </c>
      <c r="G225" s="133">
        <v>34.869999999999997</v>
      </c>
      <c r="H225" s="134">
        <v>34.869999999999997</v>
      </c>
      <c r="I225" s="131" t="s">
        <v>17171</v>
      </c>
      <c r="J225" s="88"/>
    </row>
    <row r="226" ht="63.75">
      <c r="A226" s="108">
        <v>2742</v>
      </c>
      <c r="B226" s="131" t="s">
        <v>17570</v>
      </c>
      <c r="C226" s="132" t="s">
        <v>17623</v>
      </c>
      <c r="D226" s="131" t="s">
        <v>38</v>
      </c>
      <c r="E226" s="110" t="s">
        <v>17624</v>
      </c>
      <c r="F226" s="131" t="s">
        <v>38</v>
      </c>
      <c r="G226" s="133">
        <v>53.969999999999999</v>
      </c>
      <c r="H226" s="134">
        <v>53.969999999999999</v>
      </c>
      <c r="I226" s="131" t="s">
        <v>17171</v>
      </c>
      <c r="J226" s="88"/>
    </row>
    <row r="227" ht="63.75">
      <c r="A227" s="108">
        <v>2743</v>
      </c>
      <c r="B227" s="131" t="s">
        <v>17570</v>
      </c>
      <c r="C227" s="132" t="s">
        <v>17625</v>
      </c>
      <c r="D227" s="131" t="s">
        <v>38</v>
      </c>
      <c r="E227" s="110" t="s">
        <v>17626</v>
      </c>
      <c r="F227" s="131" t="s">
        <v>38</v>
      </c>
      <c r="G227" s="133">
        <v>84.090000000000003</v>
      </c>
      <c r="H227" s="134">
        <v>84.090000000000003</v>
      </c>
      <c r="I227" s="131" t="s">
        <v>17171</v>
      </c>
      <c r="J227" s="88"/>
    </row>
    <row r="228" ht="63.75">
      <c r="A228" s="108">
        <v>2744</v>
      </c>
      <c r="B228" s="131" t="s">
        <v>17570</v>
      </c>
      <c r="C228" s="132" t="s">
        <v>17627</v>
      </c>
      <c r="D228" s="131" t="s">
        <v>38</v>
      </c>
      <c r="E228" s="110" t="s">
        <v>17628</v>
      </c>
      <c r="F228" s="131" t="s">
        <v>38</v>
      </c>
      <c r="G228" s="133">
        <v>118.25</v>
      </c>
      <c r="H228" s="134">
        <v>118.25</v>
      </c>
      <c r="I228" s="131" t="s">
        <v>17171</v>
      </c>
      <c r="J228" s="88"/>
    </row>
    <row r="229" ht="63.75">
      <c r="A229" s="108">
        <v>2745</v>
      </c>
      <c r="B229" s="131" t="s">
        <v>17570</v>
      </c>
      <c r="C229" s="132" t="s">
        <v>17629</v>
      </c>
      <c r="D229" s="131" t="s">
        <v>38</v>
      </c>
      <c r="E229" s="110" t="s">
        <v>17630</v>
      </c>
      <c r="F229" s="131" t="s">
        <v>38</v>
      </c>
      <c r="G229" s="133">
        <v>171.53</v>
      </c>
      <c r="H229" s="134">
        <v>171.53</v>
      </c>
      <c r="I229" s="131" t="s">
        <v>17171</v>
      </c>
      <c r="J229" s="88"/>
    </row>
    <row r="230" ht="63.75">
      <c r="A230" s="108">
        <v>2740</v>
      </c>
      <c r="B230" s="131" t="s">
        <v>17570</v>
      </c>
      <c r="C230" s="132" t="s">
        <v>17631</v>
      </c>
      <c r="D230" s="131" t="s">
        <v>38</v>
      </c>
      <c r="E230" s="110" t="s">
        <v>17632</v>
      </c>
      <c r="F230" s="131" t="s">
        <v>38</v>
      </c>
      <c r="G230" s="133">
        <v>21.48</v>
      </c>
      <c r="H230" s="134">
        <v>21.48</v>
      </c>
      <c r="I230" s="131" t="s">
        <v>17171</v>
      </c>
      <c r="J230" s="88"/>
    </row>
    <row r="231" ht="63.75">
      <c r="A231" s="108">
        <v>2746</v>
      </c>
      <c r="B231" s="131" t="s">
        <v>17570</v>
      </c>
      <c r="C231" s="132" t="s">
        <v>17633</v>
      </c>
      <c r="D231" s="131" t="s">
        <v>38</v>
      </c>
      <c r="E231" s="110" t="s">
        <v>17634</v>
      </c>
      <c r="F231" s="131" t="s">
        <v>38</v>
      </c>
      <c r="G231" s="133">
        <v>245.30000000000001</v>
      </c>
      <c r="H231" s="134">
        <v>245.30000000000001</v>
      </c>
      <c r="I231" s="131" t="s">
        <v>17171</v>
      </c>
      <c r="J231" s="88"/>
    </row>
    <row r="232" ht="63.75">
      <c r="A232" s="108">
        <v>2747</v>
      </c>
      <c r="B232" s="131" t="s">
        <v>17570</v>
      </c>
      <c r="C232" s="132" t="s">
        <v>17635</v>
      </c>
      <c r="D232" s="131" t="s">
        <v>38</v>
      </c>
      <c r="E232" s="110" t="s">
        <v>17636</v>
      </c>
      <c r="F232" s="131" t="s">
        <v>38</v>
      </c>
      <c r="G232" s="133">
        <v>288.44999999999999</v>
      </c>
      <c r="H232" s="134">
        <v>288.44999999999999</v>
      </c>
      <c r="I232" s="131" t="s">
        <v>17171</v>
      </c>
      <c r="J232" s="88"/>
    </row>
    <row r="233" ht="63.75">
      <c r="A233" s="108">
        <v>2713</v>
      </c>
      <c r="B233" s="131" t="s">
        <v>17570</v>
      </c>
      <c r="C233" s="132" t="s">
        <v>17637</v>
      </c>
      <c r="D233" s="131" t="s">
        <v>38</v>
      </c>
      <c r="E233" s="110" t="s">
        <v>17638</v>
      </c>
      <c r="F233" s="131" t="s">
        <v>38</v>
      </c>
      <c r="G233" s="133">
        <v>4.4800000000000004</v>
      </c>
      <c r="H233" s="134">
        <v>4.4800000000000004</v>
      </c>
      <c r="I233" s="131" t="s">
        <v>17171</v>
      </c>
      <c r="J233" s="88"/>
    </row>
    <row r="234" ht="51">
      <c r="A234" s="108">
        <v>1820</v>
      </c>
      <c r="B234" s="131" t="s">
        <v>17215</v>
      </c>
      <c r="C234" s="132" t="s">
        <v>17639</v>
      </c>
      <c r="D234" s="131" t="s">
        <v>38</v>
      </c>
      <c r="E234" s="110" t="s">
        <v>17640</v>
      </c>
      <c r="F234" s="131" t="s">
        <v>38</v>
      </c>
      <c r="G234" s="133">
        <v>58.579999999999998</v>
      </c>
      <c r="H234" s="134">
        <v>58.280000000000001</v>
      </c>
      <c r="I234" s="131" t="s">
        <v>17190</v>
      </c>
      <c r="J234" s="88"/>
    </row>
    <row r="235" ht="38.25">
      <c r="A235" s="108">
        <v>1800</v>
      </c>
      <c r="B235" s="131" t="s">
        <v>17215</v>
      </c>
      <c r="C235" s="132" t="s">
        <v>17641</v>
      </c>
      <c r="D235" s="131" t="s">
        <v>38</v>
      </c>
      <c r="E235" s="110" t="s">
        <v>17642</v>
      </c>
      <c r="F235" s="131" t="s">
        <v>38</v>
      </c>
      <c r="G235" s="133">
        <v>10.369999999999999</v>
      </c>
      <c r="H235" s="134">
        <v>10.18</v>
      </c>
      <c r="I235" s="131" t="s">
        <v>17190</v>
      </c>
      <c r="J235" s="88"/>
    </row>
    <row r="236" ht="63.75">
      <c r="A236" s="108">
        <v>2714</v>
      </c>
      <c r="B236" s="131" t="s">
        <v>17570</v>
      </c>
      <c r="C236" s="132" t="s">
        <v>17643</v>
      </c>
      <c r="D236" s="131" t="s">
        <v>38</v>
      </c>
      <c r="E236" s="110" t="s">
        <v>17644</v>
      </c>
      <c r="F236" s="131" t="s">
        <v>38</v>
      </c>
      <c r="G236" s="133">
        <v>6.5999999999999996</v>
      </c>
      <c r="H236" s="134">
        <v>6.5999999999999996</v>
      </c>
      <c r="I236" s="131" t="s">
        <v>17171</v>
      </c>
      <c r="J236" s="88"/>
    </row>
    <row r="237">
      <c r="A237" s="108">
        <v>6123</v>
      </c>
      <c r="B237" s="131" t="s">
        <v>17570</v>
      </c>
      <c r="C237" s="132" t="s">
        <v>17645</v>
      </c>
      <c r="D237" s="131" t="s">
        <v>38</v>
      </c>
      <c r="E237" s="110" t="s">
        <v>17646</v>
      </c>
      <c r="F237" s="131" t="s">
        <v>38</v>
      </c>
      <c r="G237" s="133">
        <v>100.62</v>
      </c>
      <c r="H237" s="134">
        <v>100.62</v>
      </c>
      <c r="I237" s="131" t="s">
        <v>17171</v>
      </c>
      <c r="J237" s="88"/>
    </row>
    <row r="238">
      <c r="A238" s="108">
        <v>6116</v>
      </c>
      <c r="B238" s="131" t="s">
        <v>17570</v>
      </c>
      <c r="C238" s="132" t="s">
        <v>17647</v>
      </c>
      <c r="D238" s="131" t="s">
        <v>38</v>
      </c>
      <c r="E238" s="110" t="s">
        <v>17648</v>
      </c>
      <c r="F238" s="131" t="s">
        <v>38</v>
      </c>
      <c r="G238" s="133">
        <v>6.9900000000000002</v>
      </c>
      <c r="H238" s="134">
        <v>6.9900000000000002</v>
      </c>
      <c r="I238" s="131" t="s">
        <v>17171</v>
      </c>
      <c r="J238" s="88"/>
    </row>
    <row r="239">
      <c r="A239" s="108">
        <v>6117</v>
      </c>
      <c r="B239" s="131" t="s">
        <v>17570</v>
      </c>
      <c r="C239" s="132" t="s">
        <v>17649</v>
      </c>
      <c r="D239" s="131" t="s">
        <v>38</v>
      </c>
      <c r="E239" s="110" t="s">
        <v>17650</v>
      </c>
      <c r="F239" s="131" t="s">
        <v>38</v>
      </c>
      <c r="G239" s="133">
        <v>11.199999999999999</v>
      </c>
      <c r="H239" s="134">
        <v>11.199999999999999</v>
      </c>
      <c r="I239" s="131" t="s">
        <v>17171</v>
      </c>
      <c r="J239" s="88"/>
    </row>
    <row r="240">
      <c r="A240" s="108">
        <v>6124</v>
      </c>
      <c r="B240" s="131" t="s">
        <v>17570</v>
      </c>
      <c r="C240" s="132" t="s">
        <v>17651</v>
      </c>
      <c r="D240" s="131" t="s">
        <v>38</v>
      </c>
      <c r="E240" s="110" t="s">
        <v>17652</v>
      </c>
      <c r="F240" s="131" t="s">
        <v>38</v>
      </c>
      <c r="G240" s="133">
        <v>128.81999999999999</v>
      </c>
      <c r="H240" s="134">
        <v>128.81999999999999</v>
      </c>
      <c r="I240" s="131" t="s">
        <v>17171</v>
      </c>
      <c r="J240" s="88"/>
    </row>
    <row r="241">
      <c r="A241" s="108">
        <v>6125</v>
      </c>
      <c r="B241" s="131" t="s">
        <v>17570</v>
      </c>
      <c r="C241" s="132" t="s">
        <v>17653</v>
      </c>
      <c r="D241" s="131" t="s">
        <v>38</v>
      </c>
      <c r="E241" s="110" t="s">
        <v>17654</v>
      </c>
      <c r="F241" s="131" t="s">
        <v>38</v>
      </c>
      <c r="G241" s="133">
        <v>157.78</v>
      </c>
      <c r="H241" s="134">
        <v>157.78</v>
      </c>
      <c r="I241" s="131" t="s">
        <v>17171</v>
      </c>
      <c r="J241" s="88"/>
    </row>
    <row r="242">
      <c r="A242" s="108">
        <v>6118</v>
      </c>
      <c r="B242" s="131" t="s">
        <v>17570</v>
      </c>
      <c r="C242" s="132" t="s">
        <v>17655</v>
      </c>
      <c r="D242" s="131" t="s">
        <v>38</v>
      </c>
      <c r="E242" s="110" t="s">
        <v>17656</v>
      </c>
      <c r="F242" s="131" t="s">
        <v>38</v>
      </c>
      <c r="G242" s="133">
        <v>17.23</v>
      </c>
      <c r="H242" s="134">
        <v>17.23</v>
      </c>
      <c r="I242" s="131" t="s">
        <v>17171</v>
      </c>
      <c r="J242" s="88"/>
    </row>
    <row r="243">
      <c r="A243" s="108">
        <v>6126</v>
      </c>
      <c r="B243" s="131" t="s">
        <v>17570</v>
      </c>
      <c r="C243" s="132" t="s">
        <v>17657</v>
      </c>
      <c r="D243" s="131" t="s">
        <v>38</v>
      </c>
      <c r="E243" s="110" t="s">
        <v>17658</v>
      </c>
      <c r="F243" s="131" t="s">
        <v>38</v>
      </c>
      <c r="G243" s="133">
        <v>192.08000000000001</v>
      </c>
      <c r="H243" s="134">
        <v>192.08000000000001</v>
      </c>
      <c r="I243" s="131" t="s">
        <v>17171</v>
      </c>
      <c r="J243" s="88"/>
    </row>
    <row r="244">
      <c r="A244" s="108">
        <v>6127</v>
      </c>
      <c r="B244" s="131" t="s">
        <v>17570</v>
      </c>
      <c r="C244" s="132" t="s">
        <v>17659</v>
      </c>
      <c r="D244" s="131" t="s">
        <v>38</v>
      </c>
      <c r="E244" s="110" t="s">
        <v>17660</v>
      </c>
      <c r="F244" s="131" t="s">
        <v>38</v>
      </c>
      <c r="G244" s="133">
        <v>254.25999999999999</v>
      </c>
      <c r="H244" s="134">
        <v>254.25999999999999</v>
      </c>
      <c r="I244" s="131" t="s">
        <v>17171</v>
      </c>
      <c r="J244" s="88"/>
    </row>
    <row r="245">
      <c r="A245" s="108">
        <v>6119</v>
      </c>
      <c r="B245" s="131" t="s">
        <v>17570</v>
      </c>
      <c r="C245" s="132" t="s">
        <v>17661</v>
      </c>
      <c r="D245" s="131" t="s">
        <v>38</v>
      </c>
      <c r="E245" s="110" t="s">
        <v>17662</v>
      </c>
      <c r="F245" s="131" t="s">
        <v>38</v>
      </c>
      <c r="G245" s="133">
        <v>26.640000000000001</v>
      </c>
      <c r="H245" s="134">
        <v>26.640000000000001</v>
      </c>
      <c r="I245" s="131" t="s">
        <v>17171</v>
      </c>
      <c r="J245" s="88"/>
    </row>
    <row r="246">
      <c r="A246" s="108">
        <v>6128</v>
      </c>
      <c r="B246" s="131" t="s">
        <v>17570</v>
      </c>
      <c r="C246" s="132" t="s">
        <v>17663</v>
      </c>
      <c r="D246" s="131" t="s">
        <v>38</v>
      </c>
      <c r="E246" s="110" t="s">
        <v>17664</v>
      </c>
      <c r="F246" s="131" t="s">
        <v>38</v>
      </c>
      <c r="G246" s="133">
        <v>279.75999999999999</v>
      </c>
      <c r="H246" s="134">
        <v>279.75999999999999</v>
      </c>
      <c r="I246" s="131" t="s">
        <v>17171</v>
      </c>
      <c r="J246" s="88"/>
    </row>
    <row r="247">
      <c r="A247" s="108">
        <v>6120</v>
      </c>
      <c r="B247" s="131" t="s">
        <v>17570</v>
      </c>
      <c r="C247" s="132" t="s">
        <v>17665</v>
      </c>
      <c r="D247" s="131" t="s">
        <v>38</v>
      </c>
      <c r="E247" s="110" t="s">
        <v>17666</v>
      </c>
      <c r="F247" s="131" t="s">
        <v>38</v>
      </c>
      <c r="G247" s="133">
        <v>37.979999999999997</v>
      </c>
      <c r="H247" s="134">
        <v>37.979999999999997</v>
      </c>
      <c r="I247" s="131" t="s">
        <v>17171</v>
      </c>
      <c r="J247" s="88"/>
    </row>
    <row r="248">
      <c r="A248" s="108">
        <v>6115</v>
      </c>
      <c r="B248" s="131" t="s">
        <v>17570</v>
      </c>
      <c r="C248" s="132" t="s">
        <v>17667</v>
      </c>
      <c r="D248" s="131" t="s">
        <v>38</v>
      </c>
      <c r="E248" s="110" t="s">
        <v>17668</v>
      </c>
      <c r="F248" s="131" t="s">
        <v>38</v>
      </c>
      <c r="G248" s="133">
        <v>4.7599999999999998</v>
      </c>
      <c r="H248" s="134">
        <v>4.7599999999999998</v>
      </c>
      <c r="I248" s="131" t="s">
        <v>17171</v>
      </c>
      <c r="J248" s="88"/>
    </row>
    <row r="249">
      <c r="A249" s="108">
        <v>6121</v>
      </c>
      <c r="B249" s="131" t="s">
        <v>17570</v>
      </c>
      <c r="C249" s="132" t="s">
        <v>17669</v>
      </c>
      <c r="D249" s="131" t="s">
        <v>38</v>
      </c>
      <c r="E249" s="110" t="s">
        <v>17670</v>
      </c>
      <c r="F249" s="131" t="s">
        <v>38</v>
      </c>
      <c r="G249" s="133">
        <v>54.109999999999999</v>
      </c>
      <c r="H249" s="134">
        <v>54.109999999999999</v>
      </c>
      <c r="I249" s="131" t="s">
        <v>17171</v>
      </c>
      <c r="J249" s="88"/>
    </row>
    <row r="250">
      <c r="A250" s="108">
        <v>6122</v>
      </c>
      <c r="B250" s="131" t="s">
        <v>17570</v>
      </c>
      <c r="C250" s="132" t="s">
        <v>17671</v>
      </c>
      <c r="D250" s="131" t="s">
        <v>38</v>
      </c>
      <c r="E250" s="110" t="s">
        <v>17672</v>
      </c>
      <c r="F250" s="131" t="s">
        <v>38</v>
      </c>
      <c r="G250" s="133">
        <v>77.819999999999993</v>
      </c>
      <c r="H250" s="134">
        <v>77.819999999999993</v>
      </c>
      <c r="I250" s="131" t="s">
        <v>17171</v>
      </c>
      <c r="J250" s="88"/>
    </row>
    <row r="251">
      <c r="A251" s="108">
        <v>3056</v>
      </c>
      <c r="B251" s="131" t="s">
        <v>17570</v>
      </c>
      <c r="C251" s="132" t="s">
        <v>17673</v>
      </c>
      <c r="D251" s="131" t="s">
        <v>38</v>
      </c>
      <c r="E251" s="110" t="s">
        <v>17674</v>
      </c>
      <c r="F251" s="131" t="s">
        <v>38</v>
      </c>
      <c r="G251" s="133">
        <v>11.31</v>
      </c>
      <c r="H251" s="134">
        <v>11.31</v>
      </c>
      <c r="I251" s="131" t="s">
        <v>17190</v>
      </c>
      <c r="J251" s="88"/>
    </row>
    <row r="252">
      <c r="A252" s="108">
        <v>3501</v>
      </c>
      <c r="B252" s="131" t="s">
        <v>17570</v>
      </c>
      <c r="C252" s="132" t="s">
        <v>17675</v>
      </c>
      <c r="D252" s="131" t="s">
        <v>38</v>
      </c>
      <c r="E252" s="110" t="s">
        <v>17676</v>
      </c>
      <c r="F252" s="131" t="s">
        <v>38</v>
      </c>
      <c r="G252" s="133">
        <v>143.68000000000001</v>
      </c>
      <c r="H252" s="134">
        <v>143.68000000000001</v>
      </c>
      <c r="I252" s="131" t="s">
        <v>17190</v>
      </c>
      <c r="J252" s="88"/>
    </row>
    <row r="253">
      <c r="A253" s="108">
        <v>3066</v>
      </c>
      <c r="B253" s="131" t="s">
        <v>17570</v>
      </c>
      <c r="C253" s="132" t="s">
        <v>17677</v>
      </c>
      <c r="D253" s="131" t="s">
        <v>38</v>
      </c>
      <c r="E253" s="110" t="s">
        <v>17678</v>
      </c>
      <c r="F253" s="131" t="s">
        <v>38</v>
      </c>
      <c r="G253" s="133">
        <v>173.93000000000001</v>
      </c>
      <c r="H253" s="134">
        <v>173.93000000000001</v>
      </c>
      <c r="I253" s="131" t="s">
        <v>17190</v>
      </c>
      <c r="J253" s="88"/>
    </row>
    <row r="254">
      <c r="A254" s="108">
        <v>3059</v>
      </c>
      <c r="B254" s="131" t="s">
        <v>17570</v>
      </c>
      <c r="C254" s="132" t="s">
        <v>17679</v>
      </c>
      <c r="D254" s="131" t="s">
        <v>38</v>
      </c>
      <c r="E254" s="110" t="s">
        <v>17680</v>
      </c>
      <c r="F254" s="131" t="s">
        <v>38</v>
      </c>
      <c r="G254" s="133">
        <v>18.91</v>
      </c>
      <c r="H254" s="134">
        <v>18.91</v>
      </c>
      <c r="I254" s="131" t="s">
        <v>17190</v>
      </c>
      <c r="J254" s="88"/>
    </row>
    <row r="255">
      <c r="A255" s="108">
        <v>3065</v>
      </c>
      <c r="B255" s="131" t="s">
        <v>17570</v>
      </c>
      <c r="C255" s="132" t="s">
        <v>17681</v>
      </c>
      <c r="D255" s="131" t="s">
        <v>38</v>
      </c>
      <c r="E255" s="110" t="s">
        <v>17682</v>
      </c>
      <c r="F255" s="131" t="s">
        <v>38</v>
      </c>
      <c r="G255" s="133">
        <v>201.22999999999999</v>
      </c>
      <c r="H255" s="134">
        <v>201.22999999999999</v>
      </c>
      <c r="I255" s="131" t="s">
        <v>17190</v>
      </c>
      <c r="J255" s="88"/>
    </row>
    <row r="256">
      <c r="A256" s="108">
        <v>3062</v>
      </c>
      <c r="B256" s="131" t="s">
        <v>17570</v>
      </c>
      <c r="C256" s="132" t="s">
        <v>17683</v>
      </c>
      <c r="D256" s="131" t="s">
        <v>38</v>
      </c>
      <c r="E256" s="110" t="s">
        <v>17684</v>
      </c>
      <c r="F256" s="131" t="s">
        <v>38</v>
      </c>
      <c r="G256" s="133">
        <v>26.960000000000001</v>
      </c>
      <c r="H256" s="134">
        <v>26.960000000000001</v>
      </c>
      <c r="I256" s="131" t="s">
        <v>17190</v>
      </c>
      <c r="J256" s="88"/>
    </row>
    <row r="257">
      <c r="A257" s="108">
        <v>3064</v>
      </c>
      <c r="B257" s="131" t="s">
        <v>17570</v>
      </c>
      <c r="C257" s="132" t="s">
        <v>17685</v>
      </c>
      <c r="D257" s="131" t="s">
        <v>38</v>
      </c>
      <c r="E257" s="110" t="s">
        <v>17686</v>
      </c>
      <c r="F257" s="131" t="s">
        <v>38</v>
      </c>
      <c r="G257" s="133">
        <v>39.700000000000003</v>
      </c>
      <c r="H257" s="134">
        <v>39.700000000000003</v>
      </c>
      <c r="I257" s="131" t="s">
        <v>17190</v>
      </c>
      <c r="J257" s="88"/>
    </row>
    <row r="258">
      <c r="A258" s="108">
        <v>6164</v>
      </c>
      <c r="B258" s="131" t="s">
        <v>17273</v>
      </c>
      <c r="C258" s="132" t="s">
        <v>17687</v>
      </c>
      <c r="D258" s="131" t="s">
        <v>38</v>
      </c>
      <c r="E258" s="110" t="s">
        <v>17688</v>
      </c>
      <c r="F258" s="131" t="s">
        <v>38</v>
      </c>
      <c r="G258" s="133">
        <v>56.560000000000002</v>
      </c>
      <c r="H258" s="134">
        <v>56.560000000000002</v>
      </c>
      <c r="I258" s="131" t="s">
        <v>17190</v>
      </c>
      <c r="J258" s="88"/>
    </row>
    <row r="259">
      <c r="A259" s="108">
        <v>6139</v>
      </c>
      <c r="B259" s="131" t="s">
        <v>17570</v>
      </c>
      <c r="C259" s="132" t="s">
        <v>17689</v>
      </c>
      <c r="D259" s="131" t="s">
        <v>38</v>
      </c>
      <c r="E259" s="110" t="s">
        <v>17690</v>
      </c>
      <c r="F259" s="131" t="s">
        <v>38</v>
      </c>
      <c r="G259" s="133">
        <v>6.1299999999999999</v>
      </c>
      <c r="H259" s="134">
        <v>6.1299999999999999</v>
      </c>
      <c r="I259" s="131" t="s">
        <v>17171</v>
      </c>
      <c r="J259" s="88"/>
    </row>
    <row r="260" ht="25.5">
      <c r="A260" s="108">
        <v>7134</v>
      </c>
      <c r="B260" s="131" t="s">
        <v>17570</v>
      </c>
      <c r="C260" s="132" t="s">
        <v>17691</v>
      </c>
      <c r="D260" s="131" t="s">
        <v>38</v>
      </c>
      <c r="E260" s="110" t="s">
        <v>17692</v>
      </c>
      <c r="F260" s="131" t="s">
        <v>38</v>
      </c>
      <c r="G260" s="133">
        <v>88.590000000000003</v>
      </c>
      <c r="H260" s="134">
        <v>88.590000000000003</v>
      </c>
      <c r="I260" s="131" t="s">
        <v>17171</v>
      </c>
      <c r="J260" s="88"/>
    </row>
    <row r="261" ht="51">
      <c r="A261" s="108">
        <v>3086</v>
      </c>
      <c r="B261" s="131" t="s">
        <v>17570</v>
      </c>
      <c r="C261" s="132" t="s">
        <v>17693</v>
      </c>
      <c r="D261" s="131" t="s">
        <v>38</v>
      </c>
      <c r="E261" s="110" t="s">
        <v>17694</v>
      </c>
      <c r="F261" s="131" t="s">
        <v>38</v>
      </c>
      <c r="G261" s="133">
        <v>10.42</v>
      </c>
      <c r="H261" s="134">
        <v>10.42</v>
      </c>
      <c r="I261" s="131" t="s">
        <v>17190</v>
      </c>
      <c r="J261" s="88"/>
    </row>
    <row r="262" ht="51">
      <c r="A262" s="108">
        <v>6488</v>
      </c>
      <c r="B262" s="131" t="s">
        <v>17570</v>
      </c>
      <c r="C262" s="132" t="s">
        <v>17695</v>
      </c>
      <c r="D262" s="131" t="s">
        <v>38</v>
      </c>
      <c r="E262" s="110" t="s">
        <v>17696</v>
      </c>
      <c r="F262" s="131" t="s">
        <v>38</v>
      </c>
      <c r="G262" s="133">
        <v>2.8500000000000001</v>
      </c>
      <c r="H262" s="134">
        <v>2.8500000000000001</v>
      </c>
      <c r="I262" s="131" t="s">
        <v>17190</v>
      </c>
      <c r="J262" s="88"/>
    </row>
    <row r="263" ht="51">
      <c r="A263" s="108">
        <v>3099</v>
      </c>
      <c r="B263" s="131" t="s">
        <v>17570</v>
      </c>
      <c r="C263" s="132" t="s">
        <v>17697</v>
      </c>
      <c r="D263" s="131" t="s">
        <v>38</v>
      </c>
      <c r="E263" s="110" t="s">
        <v>17698</v>
      </c>
      <c r="F263" s="131" t="s">
        <v>38</v>
      </c>
      <c r="G263" s="133">
        <v>25.739999999999998</v>
      </c>
      <c r="H263" s="134">
        <v>25.739999999999998</v>
      </c>
      <c r="I263" s="131" t="s">
        <v>17190</v>
      </c>
      <c r="J263" s="88"/>
    </row>
    <row r="264" ht="51">
      <c r="A264" s="108">
        <v>3089</v>
      </c>
      <c r="B264" s="131" t="s">
        <v>17570</v>
      </c>
      <c r="C264" s="132" t="s">
        <v>17699</v>
      </c>
      <c r="D264" s="131" t="s">
        <v>38</v>
      </c>
      <c r="E264" s="110" t="s">
        <v>17700</v>
      </c>
      <c r="F264" s="131" t="s">
        <v>38</v>
      </c>
      <c r="G264" s="133">
        <v>53.789999999999999</v>
      </c>
      <c r="H264" s="134">
        <v>53.789999999999999</v>
      </c>
      <c r="I264" s="131" t="s">
        <v>17190</v>
      </c>
      <c r="J264" s="88"/>
    </row>
    <row r="265" ht="51">
      <c r="A265" s="108">
        <v>3091</v>
      </c>
      <c r="B265" s="131" t="s">
        <v>17570</v>
      </c>
      <c r="C265" s="132" t="s">
        <v>17701</v>
      </c>
      <c r="D265" s="131" t="s">
        <v>38</v>
      </c>
      <c r="E265" s="110" t="s">
        <v>17702</v>
      </c>
      <c r="F265" s="131" t="s">
        <v>38</v>
      </c>
      <c r="G265" s="133">
        <v>97.709999999999994</v>
      </c>
      <c r="H265" s="134">
        <v>97.709999999999994</v>
      </c>
      <c r="I265" s="131" t="s">
        <v>17190</v>
      </c>
      <c r="J265" s="88"/>
    </row>
    <row r="266" ht="38.25">
      <c r="A266" s="108">
        <v>3076</v>
      </c>
      <c r="B266" s="131" t="s">
        <v>17570</v>
      </c>
      <c r="C266" s="132" t="s">
        <v>17703</v>
      </c>
      <c r="D266" s="131" t="s">
        <v>38</v>
      </c>
      <c r="E266" s="110" t="s">
        <v>17704</v>
      </c>
      <c r="F266" s="131" t="s">
        <v>38</v>
      </c>
      <c r="G266" s="133">
        <v>26.780000000000001</v>
      </c>
      <c r="H266" s="134">
        <v>26.780000000000001</v>
      </c>
      <c r="I266" s="131" t="s">
        <v>17190</v>
      </c>
      <c r="J266" s="88"/>
    </row>
    <row r="267" ht="38.25">
      <c r="A267" s="108">
        <v>3078</v>
      </c>
      <c r="B267" s="131" t="s">
        <v>17570</v>
      </c>
      <c r="C267" s="132" t="s">
        <v>17705</v>
      </c>
      <c r="D267" s="131" t="s">
        <v>38</v>
      </c>
      <c r="E267" s="110" t="s">
        <v>17706</v>
      </c>
      <c r="F267" s="131" t="s">
        <v>38</v>
      </c>
      <c r="G267" s="133">
        <v>36.649999999999999</v>
      </c>
      <c r="H267" s="134">
        <v>36.649999999999999</v>
      </c>
      <c r="I267" s="131" t="s">
        <v>17190</v>
      </c>
      <c r="J267" s="88"/>
    </row>
    <row r="268" ht="38.25">
      <c r="A268" s="108">
        <v>3084</v>
      </c>
      <c r="B268" s="131" t="s">
        <v>17570</v>
      </c>
      <c r="C268" s="132" t="s">
        <v>17707</v>
      </c>
      <c r="D268" s="131" t="s">
        <v>38</v>
      </c>
      <c r="E268" s="110" t="s">
        <v>17708</v>
      </c>
      <c r="F268" s="131" t="s">
        <v>38</v>
      </c>
      <c r="G268" s="133">
        <v>69.959999999999994</v>
      </c>
      <c r="H268" s="134">
        <v>69.959999999999994</v>
      </c>
      <c r="I268" s="131" t="s">
        <v>17190</v>
      </c>
      <c r="J268" s="88"/>
    </row>
    <row r="269" ht="38.25">
      <c r="A269" s="108">
        <v>1857</v>
      </c>
      <c r="B269" s="131" t="s">
        <v>17215</v>
      </c>
      <c r="C269" s="132" t="s">
        <v>17709</v>
      </c>
      <c r="D269" s="131" t="s">
        <v>38</v>
      </c>
      <c r="E269" s="110" t="s">
        <v>17710</v>
      </c>
      <c r="F269" s="131" t="s">
        <v>38</v>
      </c>
      <c r="G269" s="133">
        <v>8.3100000000000005</v>
      </c>
      <c r="H269" s="134">
        <v>8.2400000000000002</v>
      </c>
      <c r="I269" s="131" t="s">
        <v>17190</v>
      </c>
      <c r="J269" s="88"/>
    </row>
    <row r="270" ht="25.5">
      <c r="A270" s="108">
        <v>1442</v>
      </c>
      <c r="B270" s="131" t="s">
        <v>17570</v>
      </c>
      <c r="C270" s="132" t="s">
        <v>17711</v>
      </c>
      <c r="D270" s="131" t="s">
        <v>38</v>
      </c>
      <c r="E270" s="110" t="s">
        <v>17712</v>
      </c>
      <c r="F270" s="131" t="s">
        <v>38</v>
      </c>
      <c r="G270" s="133">
        <v>6.04</v>
      </c>
      <c r="H270" s="134">
        <v>6.04</v>
      </c>
      <c r="I270" s="131" t="s">
        <v>17190</v>
      </c>
      <c r="J270" s="88"/>
    </row>
    <row r="271" ht="25.5">
      <c r="A271" s="108">
        <v>1444</v>
      </c>
      <c r="B271" s="131" t="s">
        <v>17570</v>
      </c>
      <c r="C271" s="132" t="s">
        <v>17713</v>
      </c>
      <c r="D271" s="131" t="s">
        <v>38</v>
      </c>
      <c r="E271" s="110" t="s">
        <v>17714</v>
      </c>
      <c r="F271" s="131" t="s">
        <v>38</v>
      </c>
      <c r="G271" s="133">
        <v>14.960000000000001</v>
      </c>
      <c r="H271" s="134">
        <v>14.960000000000001</v>
      </c>
      <c r="I271" s="131" t="s">
        <v>17190</v>
      </c>
      <c r="J271" s="88"/>
    </row>
    <row r="272">
      <c r="A272" s="108">
        <v>6582</v>
      </c>
      <c r="B272" s="131" t="s">
        <v>17168</v>
      </c>
      <c r="C272" s="132" t="s">
        <v>16461</v>
      </c>
      <c r="D272" s="131" t="s">
        <v>38</v>
      </c>
      <c r="E272" s="110" t="s">
        <v>17715</v>
      </c>
      <c r="F272" s="131" t="s">
        <v>38</v>
      </c>
      <c r="G272" s="133">
        <v>58.060000000000002</v>
      </c>
      <c r="H272" s="134">
        <v>58.060000000000002</v>
      </c>
      <c r="I272" s="131" t="s">
        <v>17171</v>
      </c>
      <c r="J272" s="88"/>
    </row>
    <row r="273">
      <c r="A273" s="108">
        <v>6498</v>
      </c>
      <c r="B273" s="131" t="s">
        <v>17168</v>
      </c>
      <c r="C273" s="132" t="s">
        <v>17716</v>
      </c>
      <c r="D273" s="131" t="s">
        <v>38</v>
      </c>
      <c r="E273" s="110" t="s">
        <v>17717</v>
      </c>
      <c r="F273" s="131" t="s">
        <v>38</v>
      </c>
      <c r="G273" s="133">
        <v>14.5</v>
      </c>
      <c r="H273" s="134">
        <v>14.5</v>
      </c>
      <c r="I273" s="131" t="s">
        <v>17171</v>
      </c>
      <c r="J273" s="88"/>
    </row>
    <row r="274">
      <c r="A274" s="108">
        <v>6580</v>
      </c>
      <c r="B274" s="131" t="s">
        <v>17168</v>
      </c>
      <c r="C274" s="132" t="s">
        <v>16459</v>
      </c>
      <c r="D274" s="131" t="s">
        <v>38</v>
      </c>
      <c r="E274" s="110" t="s">
        <v>17718</v>
      </c>
      <c r="F274" s="131" t="s">
        <v>38</v>
      </c>
      <c r="G274" s="133">
        <v>20.18</v>
      </c>
      <c r="H274" s="134">
        <v>20.18</v>
      </c>
      <c r="I274" s="131" t="s">
        <v>17171</v>
      </c>
      <c r="J274" s="88"/>
    </row>
    <row r="275">
      <c r="A275" s="108">
        <v>6581</v>
      </c>
      <c r="B275" s="131" t="s">
        <v>17168</v>
      </c>
      <c r="C275" s="132" t="s">
        <v>16460</v>
      </c>
      <c r="D275" s="131" t="s">
        <v>38</v>
      </c>
      <c r="E275" s="110" t="s">
        <v>17719</v>
      </c>
      <c r="F275" s="131" t="s">
        <v>38</v>
      </c>
      <c r="G275" s="133">
        <v>36.549999999999997</v>
      </c>
      <c r="H275" s="134">
        <v>36.549999999999997</v>
      </c>
      <c r="I275" s="131" t="s">
        <v>17171</v>
      </c>
      <c r="J275" s="88"/>
    </row>
    <row r="276">
      <c r="A276" s="108">
        <v>1693</v>
      </c>
      <c r="B276" s="131" t="s">
        <v>17570</v>
      </c>
      <c r="C276" s="132" t="s">
        <v>16561</v>
      </c>
      <c r="D276" s="131" t="s">
        <v>38</v>
      </c>
      <c r="E276" s="110" t="s">
        <v>17720</v>
      </c>
      <c r="F276" s="131" t="s">
        <v>38</v>
      </c>
      <c r="G276" s="133">
        <v>13.029999999999999</v>
      </c>
      <c r="H276" s="134">
        <v>13.029999999999999</v>
      </c>
      <c r="I276" s="131" t="s">
        <v>17171</v>
      </c>
      <c r="J276" s="88"/>
    </row>
    <row r="277">
      <c r="A277" s="108">
        <v>6492</v>
      </c>
      <c r="B277" s="131" t="s">
        <v>17570</v>
      </c>
      <c r="C277" s="132" t="s">
        <v>17721</v>
      </c>
      <c r="D277" s="131" t="s">
        <v>38</v>
      </c>
      <c r="E277" s="110" t="s">
        <v>17722</v>
      </c>
      <c r="F277" s="131" t="s">
        <v>38</v>
      </c>
      <c r="G277" s="133">
        <v>154.81</v>
      </c>
      <c r="H277" s="134">
        <v>154.81</v>
      </c>
      <c r="I277" s="131" t="s">
        <v>17171</v>
      </c>
      <c r="J277" s="88"/>
    </row>
    <row r="278" ht="63.75">
      <c r="A278" s="108">
        <v>6520</v>
      </c>
      <c r="B278" s="131" t="s">
        <v>17426</v>
      </c>
      <c r="C278" s="132" t="s">
        <v>17723</v>
      </c>
      <c r="D278" s="131" t="s">
        <v>31</v>
      </c>
      <c r="E278" s="110" t="s">
        <v>17724</v>
      </c>
      <c r="F278" s="131" t="s">
        <v>31</v>
      </c>
      <c r="G278" s="133">
        <v>21.850000000000001</v>
      </c>
      <c r="H278" s="134">
        <v>21.850000000000001</v>
      </c>
      <c r="I278" s="131" t="s">
        <v>17190</v>
      </c>
      <c r="J278" s="88"/>
    </row>
    <row r="279">
      <c r="A279" s="108">
        <v>7504</v>
      </c>
      <c r="B279" s="131" t="s">
        <v>17455</v>
      </c>
      <c r="C279" s="132" t="s">
        <v>17725</v>
      </c>
      <c r="D279" s="131" t="s">
        <v>17457</v>
      </c>
      <c r="E279" s="110" t="s">
        <v>17726</v>
      </c>
      <c r="F279" s="131" t="s">
        <v>17457</v>
      </c>
      <c r="G279" s="133">
        <v>31.059999999999999</v>
      </c>
      <c r="H279" s="134">
        <v>31.059999999999999</v>
      </c>
      <c r="I279" s="131" t="s">
        <v>17171</v>
      </c>
      <c r="J279" s="88"/>
    </row>
    <row r="280">
      <c r="A280" s="108">
        <v>7505</v>
      </c>
      <c r="B280" s="131" t="s">
        <v>17455</v>
      </c>
      <c r="C280" s="132" t="s">
        <v>17727</v>
      </c>
      <c r="D280" s="131" t="s">
        <v>17457</v>
      </c>
      <c r="E280" s="110" t="s">
        <v>17728</v>
      </c>
      <c r="F280" s="131" t="s">
        <v>17457</v>
      </c>
      <c r="G280" s="133">
        <v>45.200000000000003</v>
      </c>
      <c r="H280" s="134">
        <v>45.200000000000003</v>
      </c>
      <c r="I280" s="131" t="s">
        <v>17171</v>
      </c>
      <c r="J280" s="88"/>
    </row>
    <row r="281">
      <c r="A281" s="108">
        <v>7551</v>
      </c>
      <c r="B281" s="131" t="s">
        <v>17455</v>
      </c>
      <c r="C281" s="132" t="s">
        <v>17729</v>
      </c>
      <c r="D281" s="131" t="s">
        <v>17457</v>
      </c>
      <c r="E281" s="110" t="s">
        <v>17730</v>
      </c>
      <c r="F281" s="131" t="s">
        <v>17457</v>
      </c>
      <c r="G281" s="133">
        <v>65</v>
      </c>
      <c r="H281" s="134">
        <v>65</v>
      </c>
      <c r="I281" s="131" t="s">
        <v>17171</v>
      </c>
      <c r="J281" s="88"/>
    </row>
    <row r="282">
      <c r="A282" s="108">
        <v>7506</v>
      </c>
      <c r="B282" s="131" t="s">
        <v>17455</v>
      </c>
      <c r="C282" s="132" t="s">
        <v>17731</v>
      </c>
      <c r="D282" s="131" t="s">
        <v>17457</v>
      </c>
      <c r="E282" s="110" t="s">
        <v>17732</v>
      </c>
      <c r="F282" s="131" t="s">
        <v>17457</v>
      </c>
      <c r="G282" s="133">
        <v>74.25</v>
      </c>
      <c r="H282" s="134">
        <v>74.25</v>
      </c>
      <c r="I282" s="131" t="s">
        <v>17171</v>
      </c>
      <c r="J282" s="88"/>
    </row>
    <row r="283">
      <c r="A283" s="108">
        <v>7503</v>
      </c>
      <c r="B283" s="131" t="s">
        <v>17455</v>
      </c>
      <c r="C283" s="132" t="s">
        <v>17733</v>
      </c>
      <c r="D283" s="131" t="s">
        <v>17457</v>
      </c>
      <c r="E283" s="110" t="s">
        <v>17734</v>
      </c>
      <c r="F283" s="131" t="s">
        <v>17457</v>
      </c>
      <c r="G283" s="133">
        <v>74.099999999999994</v>
      </c>
      <c r="H283" s="134">
        <v>74.099999999999994</v>
      </c>
      <c r="I283" s="131" t="s">
        <v>17171</v>
      </c>
      <c r="J283" s="88"/>
    </row>
    <row r="284" ht="38.25">
      <c r="A284" s="108">
        <v>1023</v>
      </c>
      <c r="B284" s="131" t="s">
        <v>17735</v>
      </c>
      <c r="C284" s="132" t="s">
        <v>17736</v>
      </c>
      <c r="D284" s="131" t="s">
        <v>38</v>
      </c>
      <c r="E284" s="110" t="s">
        <v>17737</v>
      </c>
      <c r="F284" s="131" t="s">
        <v>38</v>
      </c>
      <c r="G284" s="133">
        <v>13.550000000000001</v>
      </c>
      <c r="H284" s="134">
        <v>13.550000000000001</v>
      </c>
      <c r="I284" s="131" t="s">
        <v>17190</v>
      </c>
      <c r="J284" s="88"/>
    </row>
    <row r="285" ht="25.5">
      <c r="A285" s="108">
        <v>6432</v>
      </c>
      <c r="B285" s="131" t="s">
        <v>17429</v>
      </c>
      <c r="C285" s="132" t="s">
        <v>17738</v>
      </c>
      <c r="D285" s="131" t="s">
        <v>31</v>
      </c>
      <c r="E285" s="110" t="s">
        <v>17739</v>
      </c>
      <c r="F285" s="131" t="s">
        <v>31</v>
      </c>
      <c r="G285" s="133">
        <v>882.02999999999997</v>
      </c>
      <c r="H285" s="134">
        <v>882.02999999999997</v>
      </c>
      <c r="I285" s="131" t="s">
        <v>17171</v>
      </c>
      <c r="J285" s="88"/>
    </row>
    <row r="286" ht="25.5">
      <c r="A286" s="108">
        <v>1733</v>
      </c>
      <c r="B286" s="131" t="s">
        <v>17215</v>
      </c>
      <c r="C286" s="132" t="s">
        <v>17740</v>
      </c>
      <c r="D286" s="131" t="s">
        <v>31</v>
      </c>
      <c r="E286" s="110" t="s">
        <v>17741</v>
      </c>
      <c r="F286" s="131" t="s">
        <v>31</v>
      </c>
      <c r="G286" s="133">
        <v>1141.55</v>
      </c>
      <c r="H286" s="134">
        <v>1140.6099999999999</v>
      </c>
      <c r="I286" s="131" t="s">
        <v>17190</v>
      </c>
      <c r="J286" s="88"/>
    </row>
    <row r="287" ht="38.25">
      <c r="A287" s="108">
        <v>1528</v>
      </c>
      <c r="B287" s="131" t="s">
        <v>17273</v>
      </c>
      <c r="C287" s="132" t="s">
        <v>17742</v>
      </c>
      <c r="D287" s="131" t="s">
        <v>31</v>
      </c>
      <c r="E287" s="110" t="s">
        <v>17743</v>
      </c>
      <c r="F287" s="131" t="s">
        <v>31</v>
      </c>
      <c r="G287" s="133">
        <v>115.65000000000001</v>
      </c>
      <c r="H287" s="134">
        <v>115.65000000000001</v>
      </c>
      <c r="I287" s="131" t="s">
        <v>17190</v>
      </c>
      <c r="J287" s="88"/>
    </row>
    <row r="288" ht="25.5">
      <c r="A288" s="108">
        <v>3369</v>
      </c>
      <c r="B288" s="131" t="s">
        <v>17398</v>
      </c>
      <c r="C288" s="132" t="s">
        <v>17744</v>
      </c>
      <c r="D288" s="131" t="s">
        <v>31</v>
      </c>
      <c r="E288" s="110" t="s">
        <v>17745</v>
      </c>
      <c r="F288" s="131" t="s">
        <v>31</v>
      </c>
      <c r="G288" s="133">
        <v>252.66999999999999</v>
      </c>
      <c r="H288" s="134">
        <v>241.43000000000001</v>
      </c>
      <c r="I288" s="131" t="s">
        <v>17171</v>
      </c>
      <c r="J288" s="88"/>
    </row>
    <row r="289" ht="51">
      <c r="A289" s="108">
        <v>2073</v>
      </c>
      <c r="B289" s="131" t="s">
        <v>17429</v>
      </c>
      <c r="C289" s="132" t="s">
        <v>17746</v>
      </c>
      <c r="D289" s="131" t="s">
        <v>31</v>
      </c>
      <c r="E289" s="110" t="s">
        <v>17747</v>
      </c>
      <c r="F289" s="131" t="s">
        <v>31</v>
      </c>
      <c r="G289" s="133">
        <v>49.75</v>
      </c>
      <c r="H289" s="134">
        <v>49.75</v>
      </c>
      <c r="I289" s="131" t="s">
        <v>17190</v>
      </c>
      <c r="J289" s="88"/>
    </row>
    <row r="290" ht="51">
      <c r="A290" s="108">
        <v>1673</v>
      </c>
      <c r="B290" s="131" t="s">
        <v>17273</v>
      </c>
      <c r="C290" s="132" t="s">
        <v>17748</v>
      </c>
      <c r="D290" s="131" t="s">
        <v>31</v>
      </c>
      <c r="E290" s="110" t="s">
        <v>17749</v>
      </c>
      <c r="F290" s="131" t="s">
        <v>31</v>
      </c>
      <c r="G290" s="133">
        <v>355.17000000000002</v>
      </c>
      <c r="H290" s="134">
        <v>339.94999999999999</v>
      </c>
      <c r="I290" s="131" t="s">
        <v>17190</v>
      </c>
      <c r="J290" s="88"/>
    </row>
    <row r="291" ht="63.75">
      <c r="A291" s="108">
        <v>8451</v>
      </c>
      <c r="B291" s="131" t="s">
        <v>17194</v>
      </c>
      <c r="C291" s="132" t="s">
        <v>17750</v>
      </c>
      <c r="D291" s="131" t="s">
        <v>31</v>
      </c>
      <c r="E291" s="110" t="s">
        <v>17751</v>
      </c>
      <c r="F291" s="131" t="s">
        <v>31</v>
      </c>
      <c r="G291" s="133">
        <v>503.60000000000002</v>
      </c>
      <c r="H291" s="134">
        <v>503.60000000000002</v>
      </c>
      <c r="I291" s="131" t="s">
        <v>17190</v>
      </c>
      <c r="J291" s="88"/>
    </row>
    <row r="292">
      <c r="A292" s="108">
        <v>3105</v>
      </c>
      <c r="B292" s="131" t="s">
        <v>17752</v>
      </c>
      <c r="C292" s="132" t="s">
        <v>17753</v>
      </c>
      <c r="D292" s="131" t="s">
        <v>31</v>
      </c>
      <c r="E292" s="110" t="s">
        <v>17754</v>
      </c>
      <c r="F292" s="131" t="s">
        <v>31</v>
      </c>
      <c r="G292" s="133">
        <v>1.3799999999999999</v>
      </c>
      <c r="H292" s="134">
        <v>1.3799999999999999</v>
      </c>
      <c r="I292" s="131" t="s">
        <v>17190</v>
      </c>
      <c r="J292" s="88"/>
    </row>
    <row r="293">
      <c r="A293" s="108">
        <v>3103</v>
      </c>
      <c r="B293" s="131" t="s">
        <v>17752</v>
      </c>
      <c r="C293" s="132" t="s">
        <v>17755</v>
      </c>
      <c r="D293" s="131" t="s">
        <v>31</v>
      </c>
      <c r="E293" s="110" t="s">
        <v>17756</v>
      </c>
      <c r="F293" s="131" t="s">
        <v>31</v>
      </c>
      <c r="G293" s="133">
        <v>2.9300000000000002</v>
      </c>
      <c r="H293" s="134">
        <v>2.9300000000000002</v>
      </c>
      <c r="I293" s="131" t="s">
        <v>17190</v>
      </c>
      <c r="J293" s="88"/>
    </row>
    <row r="294" ht="25.5">
      <c r="A294" s="108">
        <v>6136</v>
      </c>
      <c r="B294" s="131" t="s">
        <v>17398</v>
      </c>
      <c r="C294" s="132" t="s">
        <v>16506</v>
      </c>
      <c r="D294" s="131" t="s">
        <v>31</v>
      </c>
      <c r="E294" s="110" t="s">
        <v>17757</v>
      </c>
      <c r="F294" s="131" t="s">
        <v>31</v>
      </c>
      <c r="G294" s="133">
        <v>34.530000000000001</v>
      </c>
      <c r="H294" s="134">
        <v>34.530000000000001</v>
      </c>
      <c r="I294" s="131" t="s">
        <v>17171</v>
      </c>
      <c r="J294" s="88"/>
    </row>
    <row r="295" ht="25.5">
      <c r="A295" s="108">
        <v>6151</v>
      </c>
      <c r="B295" s="131" t="s">
        <v>17398</v>
      </c>
      <c r="C295" s="132" t="s">
        <v>16507</v>
      </c>
      <c r="D295" s="131" t="s">
        <v>31</v>
      </c>
      <c r="E295" s="110" t="s">
        <v>17758</v>
      </c>
      <c r="F295" s="131" t="s">
        <v>31</v>
      </c>
      <c r="G295" s="133">
        <v>137.77000000000001</v>
      </c>
      <c r="H295" s="134">
        <v>137.77000000000001</v>
      </c>
      <c r="I295" s="131" t="s">
        <v>17171</v>
      </c>
      <c r="J295" s="88"/>
    </row>
    <row r="296" ht="25.5">
      <c r="A296" s="108">
        <v>7172</v>
      </c>
      <c r="B296" s="131" t="s">
        <v>17752</v>
      </c>
      <c r="C296" s="132" t="s">
        <v>17759</v>
      </c>
      <c r="D296" s="131" t="s">
        <v>31</v>
      </c>
      <c r="E296" s="110" t="s">
        <v>17760</v>
      </c>
      <c r="F296" s="131" t="s">
        <v>31</v>
      </c>
      <c r="G296" s="133">
        <v>123.88</v>
      </c>
      <c r="H296" s="134">
        <v>123.88</v>
      </c>
      <c r="I296" s="131" t="s">
        <v>17171</v>
      </c>
      <c r="J296" s="88"/>
    </row>
    <row r="297" ht="25.5">
      <c r="A297" s="108">
        <v>1430</v>
      </c>
      <c r="B297" s="131" t="s">
        <v>17752</v>
      </c>
      <c r="C297" s="132" t="s">
        <v>17761</v>
      </c>
      <c r="D297" s="131" t="s">
        <v>31</v>
      </c>
      <c r="E297" s="110" t="s">
        <v>17762</v>
      </c>
      <c r="F297" s="131" t="s">
        <v>31</v>
      </c>
      <c r="G297" s="133">
        <v>88.980000000000004</v>
      </c>
      <c r="H297" s="134">
        <v>88.980000000000004</v>
      </c>
      <c r="I297" s="131" t="s">
        <v>17190</v>
      </c>
      <c r="J297" s="88"/>
    </row>
    <row r="298" ht="38.25">
      <c r="A298" s="108">
        <v>1405</v>
      </c>
      <c r="B298" s="131" t="s">
        <v>17273</v>
      </c>
      <c r="C298" s="132" t="s">
        <v>17763</v>
      </c>
      <c r="D298" s="131" t="s">
        <v>31</v>
      </c>
      <c r="E298" s="110" t="s">
        <v>17764</v>
      </c>
      <c r="F298" s="131" t="s">
        <v>31</v>
      </c>
      <c r="G298" s="133">
        <v>19.75</v>
      </c>
      <c r="H298" s="134">
        <v>19.75</v>
      </c>
      <c r="I298" s="131" t="s">
        <v>17190</v>
      </c>
      <c r="J298" s="88"/>
    </row>
    <row r="299" ht="38.25">
      <c r="A299" s="108">
        <v>7171</v>
      </c>
      <c r="B299" s="131" t="s">
        <v>17752</v>
      </c>
      <c r="C299" s="132" t="s">
        <v>17765</v>
      </c>
      <c r="D299" s="131" t="s">
        <v>31</v>
      </c>
      <c r="E299" s="110" t="s">
        <v>17766</v>
      </c>
      <c r="F299" s="131" t="s">
        <v>31</v>
      </c>
      <c r="G299" s="133">
        <v>64.849999999999994</v>
      </c>
      <c r="H299" s="134">
        <v>64.849999999999994</v>
      </c>
      <c r="I299" s="131" t="s">
        <v>17190</v>
      </c>
      <c r="J299" s="88"/>
    </row>
    <row r="300" ht="25.5">
      <c r="A300" s="108">
        <v>1883</v>
      </c>
      <c r="B300" s="131" t="s">
        <v>17273</v>
      </c>
      <c r="C300" s="132" t="s">
        <v>17767</v>
      </c>
      <c r="D300" s="131" t="s">
        <v>31</v>
      </c>
      <c r="E300" s="110" t="s">
        <v>17768</v>
      </c>
      <c r="F300" s="131" t="s">
        <v>31</v>
      </c>
      <c r="G300" s="133">
        <v>1.8100000000000001</v>
      </c>
      <c r="H300" s="134">
        <v>1.8100000000000001</v>
      </c>
      <c r="I300" s="131" t="s">
        <v>17190</v>
      </c>
      <c r="J300" s="88"/>
    </row>
    <row r="301" ht="25.5">
      <c r="A301" s="108">
        <v>1884</v>
      </c>
      <c r="B301" s="131" t="s">
        <v>17273</v>
      </c>
      <c r="C301" s="132" t="s">
        <v>17769</v>
      </c>
      <c r="D301" s="131" t="s">
        <v>31</v>
      </c>
      <c r="E301" s="110" t="s">
        <v>17770</v>
      </c>
      <c r="F301" s="131" t="s">
        <v>31</v>
      </c>
      <c r="G301" s="133">
        <v>3.5899999999999999</v>
      </c>
      <c r="H301" s="134">
        <v>3.5899999999999999</v>
      </c>
      <c r="I301" s="131" t="s">
        <v>17190</v>
      </c>
      <c r="J301" s="88"/>
    </row>
    <row r="302" ht="38.25">
      <c r="A302" s="108">
        <v>3391</v>
      </c>
      <c r="B302" s="131" t="s">
        <v>17752</v>
      </c>
      <c r="C302" s="132" t="s">
        <v>17771</v>
      </c>
      <c r="D302" s="131" t="s">
        <v>31</v>
      </c>
      <c r="E302" s="110" t="s">
        <v>17772</v>
      </c>
      <c r="F302" s="131" t="s">
        <v>31</v>
      </c>
      <c r="G302" s="133">
        <v>592.60000000000002</v>
      </c>
      <c r="H302" s="134">
        <v>592.60000000000002</v>
      </c>
      <c r="I302" s="131" t="s">
        <v>17190</v>
      </c>
      <c r="J302" s="88"/>
    </row>
    <row r="303" ht="38.25">
      <c r="A303" s="108">
        <v>7175</v>
      </c>
      <c r="B303" s="131" t="s">
        <v>17752</v>
      </c>
      <c r="C303" s="132" t="s">
        <v>17773</v>
      </c>
      <c r="D303" s="131" t="s">
        <v>31</v>
      </c>
      <c r="E303" s="110" t="s">
        <v>17774</v>
      </c>
      <c r="F303" s="131" t="s">
        <v>31</v>
      </c>
      <c r="G303" s="133">
        <v>2435.75</v>
      </c>
      <c r="H303" s="134">
        <v>2435.75</v>
      </c>
      <c r="I303" s="131" t="s">
        <v>17190</v>
      </c>
      <c r="J303" s="88"/>
    </row>
    <row r="304" ht="38.25">
      <c r="A304" s="108">
        <v>3457</v>
      </c>
      <c r="B304" s="131" t="s">
        <v>17398</v>
      </c>
      <c r="C304" s="132" t="s">
        <v>17775</v>
      </c>
      <c r="D304" s="131" t="s">
        <v>31</v>
      </c>
      <c r="E304" s="110" t="s">
        <v>17776</v>
      </c>
      <c r="F304" s="131" t="s">
        <v>31</v>
      </c>
      <c r="G304" s="133">
        <v>741.53999999999996</v>
      </c>
      <c r="H304" s="134">
        <v>741.53999999999996</v>
      </c>
      <c r="I304" s="131" t="s">
        <v>17190</v>
      </c>
      <c r="J304" s="88"/>
    </row>
    <row r="305" ht="25.5">
      <c r="A305" s="108">
        <v>7184</v>
      </c>
      <c r="B305" s="131" t="s">
        <v>17407</v>
      </c>
      <c r="C305" s="132" t="s">
        <v>17777</v>
      </c>
      <c r="D305" s="131" t="s">
        <v>31</v>
      </c>
      <c r="E305" s="110" t="s">
        <v>17778</v>
      </c>
      <c r="F305" s="131" t="s">
        <v>31</v>
      </c>
      <c r="G305" s="133">
        <v>10.119999999999999</v>
      </c>
      <c r="H305" s="134">
        <v>10.119999999999999</v>
      </c>
      <c r="I305" s="131" t="s">
        <v>17171</v>
      </c>
      <c r="J305" s="88"/>
    </row>
    <row r="306">
      <c r="A306" s="108">
        <v>1713</v>
      </c>
      <c r="B306" s="131" t="s">
        <v>17779</v>
      </c>
      <c r="C306" s="132" t="s">
        <v>17780</v>
      </c>
      <c r="D306" s="131" t="s">
        <v>31</v>
      </c>
      <c r="E306" s="110" t="s">
        <v>17781</v>
      </c>
      <c r="F306" s="131" t="s">
        <v>31</v>
      </c>
      <c r="G306" s="133">
        <v>21.079999999999998</v>
      </c>
      <c r="H306" s="134">
        <v>21.079999999999998</v>
      </c>
      <c r="I306" s="131" t="s">
        <v>17171</v>
      </c>
      <c r="J306" s="88"/>
    </row>
    <row r="307" ht="51">
      <c r="A307" s="108">
        <v>6315</v>
      </c>
      <c r="B307" s="131" t="s">
        <v>17215</v>
      </c>
      <c r="C307" s="132" t="s">
        <v>17782</v>
      </c>
      <c r="D307" s="131" t="s">
        <v>31</v>
      </c>
      <c r="E307" s="110" t="s">
        <v>17783</v>
      </c>
      <c r="F307" s="131" t="s">
        <v>31</v>
      </c>
      <c r="G307" s="133">
        <v>160.28</v>
      </c>
      <c r="H307" s="134">
        <v>153.11000000000001</v>
      </c>
      <c r="I307" s="131" t="s">
        <v>17190</v>
      </c>
      <c r="J307" s="88"/>
    </row>
    <row r="308" ht="51">
      <c r="A308" s="108">
        <v>1529</v>
      </c>
      <c r="B308" s="131" t="s">
        <v>17215</v>
      </c>
      <c r="C308" s="132" t="s">
        <v>17784</v>
      </c>
      <c r="D308" s="131" t="s">
        <v>31</v>
      </c>
      <c r="E308" s="110" t="s">
        <v>17785</v>
      </c>
      <c r="F308" s="131" t="s">
        <v>31</v>
      </c>
      <c r="G308" s="133">
        <v>252.66999999999999</v>
      </c>
      <c r="H308" s="134">
        <v>241.43000000000001</v>
      </c>
      <c r="I308" s="131" t="s">
        <v>17190</v>
      </c>
      <c r="J308" s="88"/>
    </row>
    <row r="309" ht="51">
      <c r="A309" s="108">
        <v>6384</v>
      </c>
      <c r="B309" s="131" t="s">
        <v>17215</v>
      </c>
      <c r="C309" s="132" t="s">
        <v>17786</v>
      </c>
      <c r="D309" s="131" t="s">
        <v>31</v>
      </c>
      <c r="E309" s="110" t="s">
        <v>17787</v>
      </c>
      <c r="F309" s="131" t="s">
        <v>31</v>
      </c>
      <c r="G309" s="133">
        <v>488.64999999999998</v>
      </c>
      <c r="H309" s="134">
        <v>467.62</v>
      </c>
      <c r="I309" s="131" t="s">
        <v>17190</v>
      </c>
      <c r="J309" s="88"/>
    </row>
    <row r="310" ht="51">
      <c r="A310" s="108">
        <v>6467</v>
      </c>
      <c r="B310" s="131" t="s">
        <v>17273</v>
      </c>
      <c r="C310" s="132" t="s">
        <v>17788</v>
      </c>
      <c r="D310" s="131" t="s">
        <v>31</v>
      </c>
      <c r="E310" s="110" t="s">
        <v>17789</v>
      </c>
      <c r="F310" s="131" t="s">
        <v>31</v>
      </c>
      <c r="G310" s="133">
        <v>586.62</v>
      </c>
      <c r="H310" s="134">
        <v>566.82000000000005</v>
      </c>
      <c r="I310" s="131" t="s">
        <v>17190</v>
      </c>
      <c r="J310" s="88"/>
    </row>
    <row r="311" ht="38.25">
      <c r="A311" s="108">
        <v>3106</v>
      </c>
      <c r="B311" s="131" t="s">
        <v>17398</v>
      </c>
      <c r="C311" s="132" t="s">
        <v>17790</v>
      </c>
      <c r="D311" s="131" t="s">
        <v>31</v>
      </c>
      <c r="E311" s="110" t="s">
        <v>17791</v>
      </c>
      <c r="F311" s="131" t="s">
        <v>31</v>
      </c>
      <c r="G311" s="133">
        <v>235</v>
      </c>
      <c r="H311" s="134">
        <v>235</v>
      </c>
      <c r="I311" s="131" t="s">
        <v>17190</v>
      </c>
      <c r="J311" s="88"/>
    </row>
    <row r="312" ht="25.5">
      <c r="A312" s="108">
        <v>1802</v>
      </c>
      <c r="B312" s="131" t="s">
        <v>17215</v>
      </c>
      <c r="C312" s="132" t="s">
        <v>17792</v>
      </c>
      <c r="D312" s="131" t="s">
        <v>31</v>
      </c>
      <c r="E312" s="110" t="s">
        <v>17793</v>
      </c>
      <c r="F312" s="131" t="s">
        <v>31</v>
      </c>
      <c r="G312" s="133">
        <v>13.83</v>
      </c>
      <c r="H312" s="134">
        <v>13.029999999999999</v>
      </c>
      <c r="I312" s="131" t="s">
        <v>17190</v>
      </c>
      <c r="J312" s="88"/>
    </row>
    <row r="313" ht="25.5">
      <c r="A313" s="108">
        <v>7527</v>
      </c>
      <c r="B313" s="131" t="s">
        <v>17455</v>
      </c>
      <c r="C313" s="132" t="s">
        <v>17794</v>
      </c>
      <c r="D313" s="131" t="s">
        <v>17457</v>
      </c>
      <c r="E313" s="110" t="s">
        <v>17795</v>
      </c>
      <c r="F313" s="131" t="s">
        <v>17457</v>
      </c>
      <c r="G313" s="133">
        <v>68</v>
      </c>
      <c r="H313" s="134">
        <v>68</v>
      </c>
      <c r="I313" s="131" t="s">
        <v>17171</v>
      </c>
      <c r="J313" s="88"/>
    </row>
    <row r="314" ht="25.5">
      <c r="A314" s="108">
        <v>3462</v>
      </c>
      <c r="B314" s="131" t="s">
        <v>17752</v>
      </c>
      <c r="C314" s="132" t="s">
        <v>17796</v>
      </c>
      <c r="D314" s="131" t="s">
        <v>31</v>
      </c>
      <c r="E314" s="110" t="s">
        <v>17797</v>
      </c>
      <c r="F314" s="131" t="s">
        <v>31</v>
      </c>
      <c r="G314" s="133">
        <v>1399</v>
      </c>
      <c r="H314" s="134">
        <v>1399</v>
      </c>
      <c r="I314" s="131" t="s">
        <v>17171</v>
      </c>
      <c r="J314" s="88"/>
    </row>
    <row r="315" ht="25.5">
      <c r="A315" s="108">
        <v>6153</v>
      </c>
      <c r="B315" s="131" t="s">
        <v>17398</v>
      </c>
      <c r="C315" s="132" t="s">
        <v>16508</v>
      </c>
      <c r="D315" s="131" t="s">
        <v>31</v>
      </c>
      <c r="E315" s="110" t="s">
        <v>17798</v>
      </c>
      <c r="F315" s="131" t="s">
        <v>31</v>
      </c>
      <c r="G315" s="133">
        <v>960</v>
      </c>
      <c r="H315" s="134">
        <v>960</v>
      </c>
      <c r="I315" s="131" t="s">
        <v>17171</v>
      </c>
      <c r="J315" s="88"/>
    </row>
    <row r="316" ht="38.25">
      <c r="A316" s="108">
        <v>1656</v>
      </c>
      <c r="B316" s="131" t="s">
        <v>17273</v>
      </c>
      <c r="C316" s="132" t="s">
        <v>17799</v>
      </c>
      <c r="D316" s="131" t="s">
        <v>31</v>
      </c>
      <c r="E316" s="110" t="s">
        <v>17800</v>
      </c>
      <c r="F316" s="131" t="s">
        <v>31</v>
      </c>
      <c r="G316" s="133">
        <v>178.06</v>
      </c>
      <c r="H316" s="134">
        <v>178.06</v>
      </c>
      <c r="I316" s="131" t="s">
        <v>17190</v>
      </c>
      <c r="J316" s="88"/>
    </row>
    <row r="317" ht="25.5">
      <c r="A317" s="108">
        <v>7160</v>
      </c>
      <c r="B317" s="131" t="s">
        <v>17801</v>
      </c>
      <c r="C317" s="132" t="s">
        <v>17802</v>
      </c>
      <c r="D317" s="131" t="s">
        <v>31</v>
      </c>
      <c r="E317" s="110" t="s">
        <v>17803</v>
      </c>
      <c r="F317" s="131" t="s">
        <v>31</v>
      </c>
      <c r="G317" s="133">
        <v>258.04000000000002</v>
      </c>
      <c r="H317" s="134">
        <v>258.04000000000002</v>
      </c>
      <c r="I317" s="131" t="s">
        <v>17171</v>
      </c>
      <c r="J317" s="88"/>
    </row>
    <row r="318" ht="25.5">
      <c r="A318" s="108">
        <v>6616</v>
      </c>
      <c r="B318" s="131" t="s">
        <v>17801</v>
      </c>
      <c r="C318" s="132" t="s">
        <v>17804</v>
      </c>
      <c r="D318" s="131" t="s">
        <v>31</v>
      </c>
      <c r="E318" s="110" t="s">
        <v>17805</v>
      </c>
      <c r="F318" s="131" t="s">
        <v>31</v>
      </c>
      <c r="G318" s="133">
        <v>303.47000000000003</v>
      </c>
      <c r="H318" s="134">
        <v>303.47000000000003</v>
      </c>
      <c r="I318" s="131" t="s">
        <v>17171</v>
      </c>
      <c r="J318" s="88"/>
    </row>
    <row r="319" ht="38.25">
      <c r="A319" s="108">
        <v>1803</v>
      </c>
      <c r="B319" s="131" t="s">
        <v>17215</v>
      </c>
      <c r="C319" s="132" t="s">
        <v>17806</v>
      </c>
      <c r="D319" s="131" t="s">
        <v>31</v>
      </c>
      <c r="E319" s="110" t="s">
        <v>17807</v>
      </c>
      <c r="F319" s="131" t="s">
        <v>31</v>
      </c>
      <c r="G319" s="133">
        <v>28.629999999999999</v>
      </c>
      <c r="H319" s="134">
        <v>26.649999999999999</v>
      </c>
      <c r="I319" s="131" t="s">
        <v>17190</v>
      </c>
      <c r="J319" s="88"/>
    </row>
    <row r="320" ht="25.5">
      <c r="A320" s="108">
        <v>8219</v>
      </c>
      <c r="B320" s="131" t="s">
        <v>17224</v>
      </c>
      <c r="C320" s="132" t="s">
        <v>17808</v>
      </c>
      <c r="D320" s="131" t="s">
        <v>31</v>
      </c>
      <c r="E320" s="110" t="s">
        <v>17809</v>
      </c>
      <c r="F320" s="131" t="s">
        <v>31</v>
      </c>
      <c r="G320" s="133">
        <v>92.159999999999997</v>
      </c>
      <c r="H320" s="134">
        <v>92.159999999999997</v>
      </c>
      <c r="I320" s="131" t="s">
        <v>17190</v>
      </c>
      <c r="J320" s="88"/>
    </row>
    <row r="321" ht="25.5">
      <c r="A321" s="108">
        <v>2205</v>
      </c>
      <c r="B321" s="131" t="s">
        <v>17224</v>
      </c>
      <c r="C321" s="132" t="s">
        <v>17810</v>
      </c>
      <c r="D321" s="131" t="s">
        <v>31</v>
      </c>
      <c r="E321" s="110" t="s">
        <v>17811</v>
      </c>
      <c r="F321" s="131" t="s">
        <v>31</v>
      </c>
      <c r="G321" s="133">
        <v>49.420000000000002</v>
      </c>
      <c r="H321" s="134">
        <v>49.420000000000002</v>
      </c>
      <c r="I321" s="131" t="s">
        <v>17190</v>
      </c>
      <c r="J321" s="88"/>
    </row>
    <row r="322" ht="38.25">
      <c r="A322" s="108">
        <v>1765</v>
      </c>
      <c r="B322" s="131" t="s">
        <v>17215</v>
      </c>
      <c r="C322" s="132" t="s">
        <v>17812</v>
      </c>
      <c r="D322" s="131" t="s">
        <v>31</v>
      </c>
      <c r="E322" s="110" t="s">
        <v>17813</v>
      </c>
      <c r="F322" s="131" t="s">
        <v>31</v>
      </c>
      <c r="G322" s="133">
        <v>46.189999999999998</v>
      </c>
      <c r="H322" s="134">
        <v>44.789999999999999</v>
      </c>
      <c r="I322" s="131" t="s">
        <v>17190</v>
      </c>
      <c r="J322" s="88"/>
    </row>
    <row r="323">
      <c r="A323" s="108">
        <v>1052</v>
      </c>
      <c r="B323" s="131" t="s">
        <v>17198</v>
      </c>
      <c r="C323" s="132" t="s">
        <v>17814</v>
      </c>
      <c r="D323" s="131" t="s">
        <v>302</v>
      </c>
      <c r="E323" s="110" t="s">
        <v>17815</v>
      </c>
      <c r="F323" s="131" t="s">
        <v>302</v>
      </c>
      <c r="G323" s="133">
        <v>1.23</v>
      </c>
      <c r="H323" s="134">
        <v>1.23</v>
      </c>
      <c r="I323" s="131" t="s">
        <v>17190</v>
      </c>
      <c r="J323" s="88"/>
    </row>
    <row r="324">
      <c r="A324" s="108">
        <v>1053</v>
      </c>
      <c r="B324" s="131" t="s">
        <v>17246</v>
      </c>
      <c r="C324" s="132" t="s">
        <v>17816</v>
      </c>
      <c r="D324" s="131" t="s">
        <v>302</v>
      </c>
      <c r="E324" s="110" t="s">
        <v>17817</v>
      </c>
      <c r="F324" s="131" t="s">
        <v>302</v>
      </c>
      <c r="G324" s="133">
        <v>2.0499999999999998</v>
      </c>
      <c r="H324" s="134">
        <v>2.0499999999999998</v>
      </c>
      <c r="I324" s="131" t="s">
        <v>17190</v>
      </c>
      <c r="J324" s="88"/>
    </row>
    <row r="325" ht="25.5">
      <c r="A325" s="108">
        <v>4007</v>
      </c>
      <c r="B325" s="131" t="s">
        <v>17250</v>
      </c>
      <c r="C325" s="132" t="s">
        <v>17818</v>
      </c>
      <c r="D325" s="131" t="s">
        <v>2032</v>
      </c>
      <c r="E325" s="110" t="s">
        <v>17819</v>
      </c>
      <c r="F325" s="131" t="s">
        <v>2032</v>
      </c>
      <c r="G325" s="133">
        <v>23.73</v>
      </c>
      <c r="H325" s="134">
        <v>21.949999999999999</v>
      </c>
      <c r="I325" s="131" t="s">
        <v>17190</v>
      </c>
      <c r="J325" s="88"/>
    </row>
    <row r="326" ht="51">
      <c r="A326" s="108">
        <v>6360</v>
      </c>
      <c r="B326" s="131" t="s">
        <v>17215</v>
      </c>
      <c r="C326" s="132" t="s">
        <v>17820</v>
      </c>
      <c r="D326" s="131" t="s">
        <v>1533</v>
      </c>
      <c r="E326" s="110" t="s">
        <v>17821</v>
      </c>
      <c r="F326" s="131" t="s">
        <v>1533</v>
      </c>
      <c r="G326" s="133">
        <v>59.469999999999999</v>
      </c>
      <c r="H326" s="134">
        <v>57.43</v>
      </c>
      <c r="I326" s="131" t="s">
        <v>17190</v>
      </c>
      <c r="J326" s="88"/>
    </row>
    <row r="327" ht="63.75">
      <c r="A327" s="108">
        <v>6414</v>
      </c>
      <c r="B327" s="131" t="s">
        <v>17215</v>
      </c>
      <c r="C327" s="132" t="s">
        <v>17822</v>
      </c>
      <c r="D327" s="131" t="s">
        <v>1533</v>
      </c>
      <c r="E327" s="110" t="s">
        <v>17823</v>
      </c>
      <c r="F327" s="131" t="s">
        <v>1533</v>
      </c>
      <c r="G327" s="133">
        <v>69.530000000000001</v>
      </c>
      <c r="H327" s="134">
        <v>67.569999999999993</v>
      </c>
      <c r="I327" s="131" t="s">
        <v>17190</v>
      </c>
      <c r="J327" s="88"/>
    </row>
    <row r="328" ht="63.75">
      <c r="A328" s="108">
        <v>6413</v>
      </c>
      <c r="B328" s="131" t="s">
        <v>17215</v>
      </c>
      <c r="C328" s="132" t="s">
        <v>17824</v>
      </c>
      <c r="D328" s="131" t="s">
        <v>1535</v>
      </c>
      <c r="E328" s="110" t="s">
        <v>17825</v>
      </c>
      <c r="F328" s="131" t="s">
        <v>1535</v>
      </c>
      <c r="G328" s="133">
        <v>316.48000000000002</v>
      </c>
      <c r="H328" s="134">
        <v>314.51999999999998</v>
      </c>
      <c r="I328" s="131" t="s">
        <v>17190</v>
      </c>
      <c r="J328" s="88"/>
    </row>
    <row r="329" ht="63.75">
      <c r="A329" s="108">
        <v>6330</v>
      </c>
      <c r="B329" s="131" t="s">
        <v>17215</v>
      </c>
      <c r="C329" s="132" t="s">
        <v>17826</v>
      </c>
      <c r="D329" s="131" t="s">
        <v>1535</v>
      </c>
      <c r="E329" s="110" t="s">
        <v>17827</v>
      </c>
      <c r="F329" s="131" t="s">
        <v>1535</v>
      </c>
      <c r="G329" s="133">
        <v>214.28</v>
      </c>
      <c r="H329" s="134">
        <v>212.31999999999999</v>
      </c>
      <c r="I329" s="131" t="s">
        <v>17190</v>
      </c>
      <c r="J329" s="88"/>
    </row>
    <row r="330" ht="25.5">
      <c r="A330" s="108">
        <v>7182</v>
      </c>
      <c r="B330" s="131" t="s">
        <v>17828</v>
      </c>
      <c r="C330" s="132" t="s">
        <v>17829</v>
      </c>
      <c r="D330" s="131" t="s">
        <v>38</v>
      </c>
      <c r="E330" s="110" t="s">
        <v>17830</v>
      </c>
      <c r="F330" s="131" t="s">
        <v>38</v>
      </c>
      <c r="G330" s="133">
        <v>5.7300000000000004</v>
      </c>
      <c r="H330" s="134">
        <v>5.7300000000000004</v>
      </c>
      <c r="I330" s="131" t="s">
        <v>17171</v>
      </c>
      <c r="J330" s="88"/>
    </row>
    <row r="331" ht="25.5">
      <c r="A331" s="108">
        <v>6110</v>
      </c>
      <c r="B331" s="131" t="s">
        <v>17273</v>
      </c>
      <c r="C331" s="132" t="s">
        <v>17831</v>
      </c>
      <c r="D331" s="131" t="s">
        <v>31</v>
      </c>
      <c r="E331" s="110" t="s">
        <v>17832</v>
      </c>
      <c r="F331" s="131" t="s">
        <v>31</v>
      </c>
      <c r="G331" s="133">
        <v>2.2200000000000002</v>
      </c>
      <c r="H331" s="134">
        <v>2.2200000000000002</v>
      </c>
      <c r="I331" s="131" t="s">
        <v>17190</v>
      </c>
      <c r="J331" s="88"/>
    </row>
    <row r="332" ht="38.25">
      <c r="A332" s="108">
        <v>1734</v>
      </c>
      <c r="B332" s="131" t="s">
        <v>17215</v>
      </c>
      <c r="C332" s="132" t="s">
        <v>17833</v>
      </c>
      <c r="D332" s="131" t="s">
        <v>38</v>
      </c>
      <c r="E332" s="110" t="s">
        <v>17834</v>
      </c>
      <c r="F332" s="131" t="s">
        <v>38</v>
      </c>
      <c r="G332" s="133">
        <v>37.840000000000003</v>
      </c>
      <c r="H332" s="134">
        <v>36.979999999999997</v>
      </c>
      <c r="I332" s="131" t="s">
        <v>17190</v>
      </c>
      <c r="J332" s="88"/>
    </row>
    <row r="333" ht="25.5">
      <c r="A333" s="108">
        <v>1144</v>
      </c>
      <c r="B333" s="131" t="s">
        <v>17455</v>
      </c>
      <c r="C333" s="132" t="s">
        <v>17835</v>
      </c>
      <c r="D333" s="131" t="s">
        <v>38</v>
      </c>
      <c r="E333" s="110" t="s">
        <v>17836</v>
      </c>
      <c r="F333" s="131" t="s">
        <v>38</v>
      </c>
      <c r="G333" s="133">
        <v>12.380000000000001</v>
      </c>
      <c r="H333" s="134">
        <v>12.380000000000001</v>
      </c>
      <c r="I333" s="131" t="s">
        <v>17190</v>
      </c>
      <c r="J333" s="88"/>
    </row>
    <row r="334" ht="25.5">
      <c r="A334" s="108">
        <v>1596</v>
      </c>
      <c r="B334" s="131" t="s">
        <v>17273</v>
      </c>
      <c r="C334" s="132" t="s">
        <v>17837</v>
      </c>
      <c r="D334" s="131" t="s">
        <v>302</v>
      </c>
      <c r="E334" s="110" t="s">
        <v>17838</v>
      </c>
      <c r="F334" s="131" t="s">
        <v>302</v>
      </c>
      <c r="G334" s="133">
        <v>8.6600000000000001</v>
      </c>
      <c r="H334" s="134">
        <v>8.6600000000000001</v>
      </c>
      <c r="I334" s="131" t="s">
        <v>17190</v>
      </c>
      <c r="J334" s="88"/>
    </row>
    <row r="335">
      <c r="A335" s="108">
        <v>1530</v>
      </c>
      <c r="B335" s="131" t="s">
        <v>17168</v>
      </c>
      <c r="C335" s="132" t="s">
        <v>17839</v>
      </c>
      <c r="D335" s="131" t="s">
        <v>31</v>
      </c>
      <c r="E335" s="110" t="s">
        <v>17840</v>
      </c>
      <c r="F335" s="131" t="s">
        <v>31</v>
      </c>
      <c r="G335" s="133">
        <v>129.75</v>
      </c>
      <c r="H335" s="134">
        <v>129.75</v>
      </c>
      <c r="I335" s="131" t="s">
        <v>17171</v>
      </c>
      <c r="J335" s="88"/>
    </row>
    <row r="336" ht="25.5">
      <c r="A336" s="108">
        <v>7633</v>
      </c>
      <c r="B336" s="131" t="s">
        <v>17455</v>
      </c>
      <c r="C336" s="132" t="s">
        <v>17841</v>
      </c>
      <c r="D336" s="131" t="s">
        <v>17457</v>
      </c>
      <c r="E336" s="110" t="s">
        <v>17842</v>
      </c>
      <c r="F336" s="131" t="s">
        <v>17457</v>
      </c>
      <c r="G336" s="133">
        <v>165</v>
      </c>
      <c r="H336" s="134">
        <v>165</v>
      </c>
      <c r="I336" s="131" t="s">
        <v>17171</v>
      </c>
      <c r="J336" s="88"/>
    </row>
    <row r="337" ht="25.5">
      <c r="A337" s="108">
        <v>7524</v>
      </c>
      <c r="B337" s="131" t="s">
        <v>17455</v>
      </c>
      <c r="C337" s="132" t="s">
        <v>17843</v>
      </c>
      <c r="D337" s="131" t="s">
        <v>17457</v>
      </c>
      <c r="E337" s="110" t="s">
        <v>17844</v>
      </c>
      <c r="F337" s="131" t="s">
        <v>17457</v>
      </c>
      <c r="G337" s="133">
        <v>68.599999999999994</v>
      </c>
      <c r="H337" s="134">
        <v>68.599999999999994</v>
      </c>
      <c r="I337" s="131" t="s">
        <v>17171</v>
      </c>
      <c r="J337" s="88"/>
    </row>
    <row r="338" ht="25.5">
      <c r="A338" s="108">
        <v>7521</v>
      </c>
      <c r="B338" s="131" t="s">
        <v>17455</v>
      </c>
      <c r="C338" s="132" t="s">
        <v>17845</v>
      </c>
      <c r="D338" s="131" t="s">
        <v>17457</v>
      </c>
      <c r="E338" s="110" t="s">
        <v>17846</v>
      </c>
      <c r="F338" s="131" t="s">
        <v>17457</v>
      </c>
      <c r="G338" s="133">
        <v>107.8</v>
      </c>
      <c r="H338" s="134">
        <v>107.8</v>
      </c>
      <c r="I338" s="131" t="s">
        <v>17171</v>
      </c>
      <c r="J338" s="88"/>
    </row>
    <row r="339" ht="25.5">
      <c r="A339" s="108">
        <v>7626</v>
      </c>
      <c r="B339" s="131" t="s">
        <v>17455</v>
      </c>
      <c r="C339" s="132" t="s">
        <v>17847</v>
      </c>
      <c r="D339" s="131" t="s">
        <v>17457</v>
      </c>
      <c r="E339" s="110" t="s">
        <v>17848</v>
      </c>
      <c r="F339" s="131" t="s">
        <v>17457</v>
      </c>
      <c r="G339" s="133">
        <v>167.27000000000001</v>
      </c>
      <c r="H339" s="134">
        <v>167.27000000000001</v>
      </c>
      <c r="I339" s="131" t="s">
        <v>17171</v>
      </c>
      <c r="J339" s="88"/>
    </row>
    <row r="340" ht="25.5">
      <c r="A340" s="108">
        <v>7624</v>
      </c>
      <c r="B340" s="131" t="s">
        <v>17455</v>
      </c>
      <c r="C340" s="132" t="s">
        <v>17849</v>
      </c>
      <c r="D340" s="131" t="s">
        <v>31</v>
      </c>
      <c r="E340" s="110" t="s">
        <v>17850</v>
      </c>
      <c r="F340" s="131" t="s">
        <v>31</v>
      </c>
      <c r="G340" s="133">
        <v>228.56</v>
      </c>
      <c r="H340" s="134">
        <v>228.56</v>
      </c>
      <c r="I340" s="131" t="s">
        <v>17171</v>
      </c>
      <c r="J340" s="88"/>
    </row>
    <row r="341" ht="25.5">
      <c r="A341" s="108">
        <v>7519</v>
      </c>
      <c r="B341" s="131" t="s">
        <v>17455</v>
      </c>
      <c r="C341" s="132" t="s">
        <v>17851</v>
      </c>
      <c r="D341" s="131" t="s">
        <v>17457</v>
      </c>
      <c r="E341" s="110" t="s">
        <v>17852</v>
      </c>
      <c r="F341" s="131" t="s">
        <v>17457</v>
      </c>
      <c r="G341" s="133">
        <v>51.5</v>
      </c>
      <c r="H341" s="134">
        <v>51.5</v>
      </c>
      <c r="I341" s="131" t="s">
        <v>17171</v>
      </c>
      <c r="J341" s="88"/>
    </row>
    <row r="342" ht="25.5">
      <c r="A342" s="108">
        <v>7520</v>
      </c>
      <c r="B342" s="131" t="s">
        <v>17455</v>
      </c>
      <c r="C342" s="132" t="s">
        <v>17853</v>
      </c>
      <c r="D342" s="131" t="s">
        <v>17457</v>
      </c>
      <c r="E342" s="110" t="s">
        <v>17854</v>
      </c>
      <c r="F342" s="131" t="s">
        <v>17457</v>
      </c>
      <c r="G342" s="133">
        <v>64</v>
      </c>
      <c r="H342" s="134">
        <v>64</v>
      </c>
      <c r="I342" s="131" t="s">
        <v>17171</v>
      </c>
      <c r="J342" s="88"/>
    </row>
    <row r="343" ht="38.25">
      <c r="A343" s="108">
        <v>6056</v>
      </c>
      <c r="B343" s="131" t="s">
        <v>17187</v>
      </c>
      <c r="C343" s="132" t="s">
        <v>17855</v>
      </c>
      <c r="D343" s="131" t="s">
        <v>38</v>
      </c>
      <c r="E343" s="110" t="s">
        <v>17856</v>
      </c>
      <c r="F343" s="131" t="s">
        <v>38</v>
      </c>
      <c r="G343" s="133">
        <v>37.43</v>
      </c>
      <c r="H343" s="134">
        <v>37.43</v>
      </c>
      <c r="I343" s="131" t="s">
        <v>17190</v>
      </c>
      <c r="J343" s="88"/>
    </row>
    <row r="344" ht="25.5">
      <c r="A344" s="108">
        <v>8735</v>
      </c>
      <c r="B344" s="131" t="s">
        <v>17455</v>
      </c>
      <c r="C344" s="132" t="s">
        <v>17857</v>
      </c>
      <c r="D344" s="131" t="s">
        <v>17457</v>
      </c>
      <c r="E344" s="110" t="s">
        <v>17858</v>
      </c>
      <c r="F344" s="131" t="s">
        <v>17457</v>
      </c>
      <c r="G344" s="133">
        <v>503.5</v>
      </c>
      <c r="H344" s="134">
        <v>503.5</v>
      </c>
      <c r="I344" s="131" t="s">
        <v>17171</v>
      </c>
      <c r="J344" s="88"/>
    </row>
    <row r="345" ht="25.5">
      <c r="A345" s="108">
        <v>6134</v>
      </c>
      <c r="B345" s="131" t="s">
        <v>17273</v>
      </c>
      <c r="C345" s="132" t="s">
        <v>17859</v>
      </c>
      <c r="D345" s="131" t="s">
        <v>31</v>
      </c>
      <c r="E345" s="110" t="s">
        <v>17860</v>
      </c>
      <c r="F345" s="131" t="s">
        <v>31</v>
      </c>
      <c r="G345" s="133">
        <v>63.950000000000003</v>
      </c>
      <c r="H345" s="134">
        <v>63.950000000000003</v>
      </c>
      <c r="I345" s="131" t="s">
        <v>17190</v>
      </c>
      <c r="J345" s="88"/>
    </row>
    <row r="346" ht="25.5">
      <c r="A346" s="108">
        <v>2941</v>
      </c>
      <c r="B346" s="131" t="s">
        <v>17398</v>
      </c>
      <c r="C346" s="132" t="s">
        <v>17861</v>
      </c>
      <c r="D346" s="131" t="s">
        <v>31</v>
      </c>
      <c r="E346" s="110" t="s">
        <v>17862</v>
      </c>
      <c r="F346" s="131" t="s">
        <v>31</v>
      </c>
      <c r="G346" s="133">
        <v>106.97</v>
      </c>
      <c r="H346" s="134">
        <v>106.97</v>
      </c>
      <c r="I346" s="131" t="s">
        <v>17190</v>
      </c>
      <c r="J346" s="88"/>
    </row>
    <row r="347" ht="25.5">
      <c r="A347" s="108">
        <v>1587</v>
      </c>
      <c r="B347" s="131" t="s">
        <v>17273</v>
      </c>
      <c r="C347" s="132" t="s">
        <v>17863</v>
      </c>
      <c r="D347" s="131" t="s">
        <v>31</v>
      </c>
      <c r="E347" s="110" t="s">
        <v>17864</v>
      </c>
      <c r="F347" s="131" t="s">
        <v>31</v>
      </c>
      <c r="G347" s="133">
        <v>10.58</v>
      </c>
      <c r="H347" s="134">
        <v>10.58</v>
      </c>
      <c r="I347" s="131" t="s">
        <v>17190</v>
      </c>
      <c r="J347" s="88"/>
    </row>
    <row r="348" ht="25.5">
      <c r="A348" s="108">
        <v>6597</v>
      </c>
      <c r="B348" s="131" t="s">
        <v>17168</v>
      </c>
      <c r="C348" s="132" t="s">
        <v>17865</v>
      </c>
      <c r="D348" s="131" t="s">
        <v>31</v>
      </c>
      <c r="E348" s="110" t="s">
        <v>17866</v>
      </c>
      <c r="F348" s="131" t="s">
        <v>31</v>
      </c>
      <c r="G348" s="133">
        <v>50.299999999999997</v>
      </c>
      <c r="H348" s="134">
        <v>50.299999999999997</v>
      </c>
      <c r="I348" s="131" t="s">
        <v>17171</v>
      </c>
      <c r="J348" s="88"/>
    </row>
    <row r="349" ht="25.5">
      <c r="A349" s="108">
        <v>1580</v>
      </c>
      <c r="B349" s="131" t="s">
        <v>17168</v>
      </c>
      <c r="C349" s="132" t="s">
        <v>17867</v>
      </c>
      <c r="D349" s="131" t="s">
        <v>31</v>
      </c>
      <c r="E349" s="110" t="s">
        <v>17868</v>
      </c>
      <c r="F349" s="131" t="s">
        <v>31</v>
      </c>
      <c r="G349" s="133">
        <v>21.77</v>
      </c>
      <c r="H349" s="134">
        <v>21.77</v>
      </c>
      <c r="I349" s="131" t="s">
        <v>17171</v>
      </c>
      <c r="J349" s="88"/>
    </row>
    <row r="350" ht="51">
      <c r="A350" s="108">
        <v>1549</v>
      </c>
      <c r="B350" s="131" t="s">
        <v>17215</v>
      </c>
      <c r="C350" s="132" t="s">
        <v>17869</v>
      </c>
      <c r="D350" s="131" t="s">
        <v>121</v>
      </c>
      <c r="E350" s="110" t="s">
        <v>17870</v>
      </c>
      <c r="F350" s="131" t="s">
        <v>121</v>
      </c>
      <c r="G350" s="133">
        <v>8.5700000000000003</v>
      </c>
      <c r="H350" s="134">
        <v>8.4199999999999999</v>
      </c>
      <c r="I350" s="131" t="s">
        <v>17190</v>
      </c>
      <c r="J350" s="88"/>
    </row>
    <row r="351" ht="25.5">
      <c r="A351" s="108">
        <v>4022</v>
      </c>
      <c r="B351" s="131" t="s">
        <v>17250</v>
      </c>
      <c r="C351" s="132" t="s">
        <v>17871</v>
      </c>
      <c r="D351" s="131" t="s">
        <v>2032</v>
      </c>
      <c r="E351" s="110" t="s">
        <v>17872</v>
      </c>
      <c r="F351" s="131" t="s">
        <v>2032</v>
      </c>
      <c r="G351" s="133">
        <v>24.27</v>
      </c>
      <c r="H351" s="134">
        <v>22.399999999999999</v>
      </c>
      <c r="I351" s="131" t="s">
        <v>17190</v>
      </c>
      <c r="J351" s="88"/>
    </row>
    <row r="352" ht="25.5">
      <c r="A352" s="108">
        <v>4003</v>
      </c>
      <c r="B352" s="131" t="s">
        <v>17250</v>
      </c>
      <c r="C352" s="132" t="s">
        <v>17873</v>
      </c>
      <c r="D352" s="131" t="s">
        <v>2032</v>
      </c>
      <c r="E352" s="110" t="s">
        <v>17874</v>
      </c>
      <c r="F352" s="131" t="s">
        <v>2032</v>
      </c>
      <c r="G352" s="133">
        <v>25.350000000000001</v>
      </c>
      <c r="H352" s="134">
        <v>23.370000000000001</v>
      </c>
      <c r="I352" s="131" t="s">
        <v>17190</v>
      </c>
      <c r="J352" s="88"/>
    </row>
    <row r="353">
      <c r="A353" s="108">
        <v>7283</v>
      </c>
      <c r="B353" s="131" t="s">
        <v>17168</v>
      </c>
      <c r="C353" s="132" t="s">
        <v>17875</v>
      </c>
      <c r="D353" s="131" t="s">
        <v>31</v>
      </c>
      <c r="E353" s="110" t="s">
        <v>17876</v>
      </c>
      <c r="F353" s="131" t="s">
        <v>31</v>
      </c>
      <c r="G353" s="133">
        <v>65.859999999999999</v>
      </c>
      <c r="H353" s="134">
        <v>65.859999999999999</v>
      </c>
      <c r="I353" s="131" t="s">
        <v>17171</v>
      </c>
      <c r="J353" s="88"/>
    </row>
    <row r="354">
      <c r="A354" s="108">
        <v>7267</v>
      </c>
      <c r="B354" s="131" t="s">
        <v>17168</v>
      </c>
      <c r="C354" s="132" t="s">
        <v>17877</v>
      </c>
      <c r="D354" s="131" t="s">
        <v>31</v>
      </c>
      <c r="E354" s="110" t="s">
        <v>17878</v>
      </c>
      <c r="F354" s="131" t="s">
        <v>31</v>
      </c>
      <c r="G354" s="133">
        <v>2.4500000000000002</v>
      </c>
      <c r="H354" s="134">
        <v>2.4500000000000002</v>
      </c>
      <c r="I354" s="131" t="s">
        <v>17171</v>
      </c>
      <c r="J354" s="88"/>
    </row>
    <row r="355" ht="25.5">
      <c r="A355" s="108">
        <v>1569</v>
      </c>
      <c r="B355" s="131" t="s">
        <v>17194</v>
      </c>
      <c r="C355" s="132" t="s">
        <v>17879</v>
      </c>
      <c r="D355" s="131" t="s">
        <v>31</v>
      </c>
      <c r="E355" s="110" t="s">
        <v>17880</v>
      </c>
      <c r="F355" s="131" t="s">
        <v>31</v>
      </c>
      <c r="G355" s="133">
        <v>1968.78</v>
      </c>
      <c r="H355" s="134">
        <v>1968.78</v>
      </c>
      <c r="I355" s="131" t="s">
        <v>17171</v>
      </c>
      <c r="J355" s="88"/>
    </row>
    <row r="356">
      <c r="A356" s="108">
        <v>6527</v>
      </c>
      <c r="B356" s="131" t="s">
        <v>17187</v>
      </c>
      <c r="C356" s="132" t="s">
        <v>17881</v>
      </c>
      <c r="D356" s="131" t="s">
        <v>9794</v>
      </c>
      <c r="E356" s="110" t="s">
        <v>17882</v>
      </c>
      <c r="F356" s="131" t="s">
        <v>9794</v>
      </c>
      <c r="G356" s="133">
        <v>18.370000000000001</v>
      </c>
      <c r="H356" s="134">
        <v>18.370000000000001</v>
      </c>
      <c r="I356" s="131" t="s">
        <v>17190</v>
      </c>
      <c r="J356" s="88"/>
    </row>
    <row r="357">
      <c r="A357" s="108">
        <v>7625</v>
      </c>
      <c r="B357" s="131" t="s">
        <v>17168</v>
      </c>
      <c r="C357" s="132" t="s">
        <v>17883</v>
      </c>
      <c r="D357" s="131" t="s">
        <v>31</v>
      </c>
      <c r="E357" s="110" t="s">
        <v>17884</v>
      </c>
      <c r="F357" s="131" t="s">
        <v>31</v>
      </c>
      <c r="G357" s="133">
        <v>815.24000000000001</v>
      </c>
      <c r="H357" s="134">
        <v>815.24000000000001</v>
      </c>
      <c r="I357" s="131" t="s">
        <v>17171</v>
      </c>
      <c r="J357" s="88"/>
    </row>
    <row r="358">
      <c r="A358" s="108">
        <v>7544</v>
      </c>
      <c r="B358" s="131" t="s">
        <v>17455</v>
      </c>
      <c r="C358" s="132" t="s">
        <v>17885</v>
      </c>
      <c r="D358" s="131" t="s">
        <v>31</v>
      </c>
      <c r="E358" s="110" t="s">
        <v>17886</v>
      </c>
      <c r="F358" s="131" t="s">
        <v>31</v>
      </c>
      <c r="G358" s="133">
        <v>332</v>
      </c>
      <c r="H358" s="134">
        <v>332</v>
      </c>
      <c r="I358" s="131" t="s">
        <v>17171</v>
      </c>
      <c r="J358" s="88"/>
    </row>
    <row r="359" ht="25.5">
      <c r="A359" s="108">
        <v>6572</v>
      </c>
      <c r="B359" s="131" t="s">
        <v>17455</v>
      </c>
      <c r="C359" s="132" t="s">
        <v>17887</v>
      </c>
      <c r="D359" s="131" t="s">
        <v>302</v>
      </c>
      <c r="E359" s="110" t="s">
        <v>17888</v>
      </c>
      <c r="F359" s="131" t="s">
        <v>302</v>
      </c>
      <c r="G359" s="133">
        <v>9.7400000000000002</v>
      </c>
      <c r="H359" s="134">
        <v>9.7400000000000002</v>
      </c>
      <c r="I359" s="131" t="s">
        <v>17190</v>
      </c>
      <c r="J359" s="88"/>
    </row>
    <row r="360" ht="25.5">
      <c r="A360" s="108">
        <v>3511</v>
      </c>
      <c r="B360" s="131" t="s">
        <v>17455</v>
      </c>
      <c r="C360" s="132" t="s">
        <v>17889</v>
      </c>
      <c r="D360" s="131" t="s">
        <v>302</v>
      </c>
      <c r="E360" s="110" t="s">
        <v>17890</v>
      </c>
      <c r="F360" s="131" t="s">
        <v>302</v>
      </c>
      <c r="G360" s="133">
        <v>7.5599999999999996</v>
      </c>
      <c r="H360" s="134">
        <v>7.5599999999999996</v>
      </c>
      <c r="I360" s="131" t="s">
        <v>17190</v>
      </c>
      <c r="J360" s="88"/>
    </row>
    <row r="361" ht="25.5">
      <c r="A361" s="108">
        <v>6419</v>
      </c>
      <c r="B361" s="131" t="s">
        <v>17273</v>
      </c>
      <c r="C361" s="132" t="s">
        <v>17891</v>
      </c>
      <c r="D361" s="131" t="s">
        <v>302</v>
      </c>
      <c r="E361" s="110" t="s">
        <v>17892</v>
      </c>
      <c r="F361" s="131" t="s">
        <v>302</v>
      </c>
      <c r="G361" s="133">
        <v>10.4</v>
      </c>
      <c r="H361" s="134">
        <v>10.4</v>
      </c>
      <c r="I361" s="131" t="s">
        <v>17190</v>
      </c>
      <c r="J361" s="88"/>
    </row>
    <row r="362" ht="25.5">
      <c r="A362" s="108">
        <v>6420</v>
      </c>
      <c r="B362" s="131" t="s">
        <v>17273</v>
      </c>
      <c r="C362" s="132" t="s">
        <v>17893</v>
      </c>
      <c r="D362" s="131" t="s">
        <v>302</v>
      </c>
      <c r="E362" s="110" t="s">
        <v>17894</v>
      </c>
      <c r="F362" s="131" t="s">
        <v>302</v>
      </c>
      <c r="G362" s="133">
        <v>10.83</v>
      </c>
      <c r="H362" s="134">
        <v>10.83</v>
      </c>
      <c r="I362" s="131" t="s">
        <v>17190</v>
      </c>
      <c r="J362" s="88"/>
    </row>
    <row r="363" ht="25.5">
      <c r="A363" s="108">
        <v>1911</v>
      </c>
      <c r="B363" s="131" t="s">
        <v>17273</v>
      </c>
      <c r="C363" s="132" t="s">
        <v>17895</v>
      </c>
      <c r="D363" s="131" t="s">
        <v>302</v>
      </c>
      <c r="E363" s="110" t="s">
        <v>17896</v>
      </c>
      <c r="F363" s="131" t="s">
        <v>302</v>
      </c>
      <c r="G363" s="133">
        <v>8.2400000000000002</v>
      </c>
      <c r="H363" s="134">
        <v>8.2400000000000002</v>
      </c>
      <c r="I363" s="131" t="s">
        <v>17190</v>
      </c>
      <c r="J363" s="88"/>
    </row>
    <row r="364" ht="25.5">
      <c r="A364" s="108">
        <v>1900</v>
      </c>
      <c r="B364" s="131" t="s">
        <v>17273</v>
      </c>
      <c r="C364" s="132" t="s">
        <v>17897</v>
      </c>
      <c r="D364" s="131" t="s">
        <v>302</v>
      </c>
      <c r="E364" s="110" t="s">
        <v>17898</v>
      </c>
      <c r="F364" s="131" t="s">
        <v>302</v>
      </c>
      <c r="G364" s="133">
        <v>8.3699999999999992</v>
      </c>
      <c r="H364" s="134">
        <v>8.3699999999999992</v>
      </c>
      <c r="I364" s="131" t="s">
        <v>17190</v>
      </c>
      <c r="J364" s="88"/>
    </row>
    <row r="365" ht="25.5">
      <c r="A365" s="108">
        <v>6391</v>
      </c>
      <c r="B365" s="131" t="s">
        <v>17273</v>
      </c>
      <c r="C365" s="132" t="s">
        <v>17899</v>
      </c>
      <c r="D365" s="131" t="s">
        <v>302</v>
      </c>
      <c r="E365" s="110" t="s">
        <v>17900</v>
      </c>
      <c r="F365" s="131" t="s">
        <v>302</v>
      </c>
      <c r="G365" s="133">
        <v>9.2799999999999994</v>
      </c>
      <c r="H365" s="134">
        <v>9.2799999999999994</v>
      </c>
      <c r="I365" s="131" t="s">
        <v>17190</v>
      </c>
      <c r="J365" s="88"/>
    </row>
    <row r="366" ht="25.5">
      <c r="A366" s="108">
        <v>6097</v>
      </c>
      <c r="B366" s="131" t="s">
        <v>17426</v>
      </c>
      <c r="C366" s="132" t="s">
        <v>17901</v>
      </c>
      <c r="D366" s="131" t="s">
        <v>29</v>
      </c>
      <c r="E366" s="110" t="s">
        <v>17902</v>
      </c>
      <c r="F366" s="131" t="s">
        <v>29</v>
      </c>
      <c r="G366" s="133">
        <v>60.130000000000003</v>
      </c>
      <c r="H366" s="134">
        <v>60.130000000000003</v>
      </c>
      <c r="I366" s="131" t="s">
        <v>17190</v>
      </c>
      <c r="J366" s="88"/>
    </row>
    <row r="367" ht="25.5">
      <c r="A367" s="108">
        <v>7264</v>
      </c>
      <c r="B367" s="131" t="s">
        <v>17168</v>
      </c>
      <c r="C367" s="132" t="s">
        <v>17903</v>
      </c>
      <c r="D367" s="131" t="s">
        <v>29</v>
      </c>
      <c r="E367" s="110" t="s">
        <v>17904</v>
      </c>
      <c r="F367" s="131" t="s">
        <v>29</v>
      </c>
      <c r="G367" s="133">
        <v>279.26999999999998</v>
      </c>
      <c r="H367" s="134">
        <v>279.26999999999998</v>
      </c>
      <c r="I367" s="131" t="s">
        <v>17171</v>
      </c>
      <c r="J367" s="88"/>
    </row>
    <row r="368" ht="38.25">
      <c r="A368" s="108">
        <v>6533</v>
      </c>
      <c r="B368" s="131" t="s">
        <v>17905</v>
      </c>
      <c r="C368" s="132" t="s">
        <v>17906</v>
      </c>
      <c r="D368" s="131" t="s">
        <v>29</v>
      </c>
      <c r="E368" s="110" t="s">
        <v>17907</v>
      </c>
      <c r="F368" s="131" t="s">
        <v>29</v>
      </c>
      <c r="G368" s="133">
        <v>72.049999999999997</v>
      </c>
      <c r="H368" s="134">
        <v>72.049999999999997</v>
      </c>
      <c r="I368" s="131" t="s">
        <v>17190</v>
      </c>
      <c r="J368" s="88"/>
    </row>
    <row r="369" ht="38.25">
      <c r="A369" s="108">
        <v>1042</v>
      </c>
      <c r="B369" s="131" t="s">
        <v>17905</v>
      </c>
      <c r="C369" s="132" t="s">
        <v>17908</v>
      </c>
      <c r="D369" s="131" t="s">
        <v>29</v>
      </c>
      <c r="E369" s="110" t="s">
        <v>17909</v>
      </c>
      <c r="F369" s="131" t="s">
        <v>29</v>
      </c>
      <c r="G369" s="133">
        <v>48.079999999999998</v>
      </c>
      <c r="H369" s="134">
        <v>48.079999999999998</v>
      </c>
      <c r="I369" s="131" t="s">
        <v>17190</v>
      </c>
      <c r="J369" s="88"/>
    </row>
    <row r="370" ht="38.25">
      <c r="A370" s="108">
        <v>8650</v>
      </c>
      <c r="B370" s="131" t="s">
        <v>17905</v>
      </c>
      <c r="C370" s="132" t="s">
        <v>17908</v>
      </c>
      <c r="D370" s="131" t="s">
        <v>29</v>
      </c>
      <c r="E370" s="110" t="s">
        <v>17910</v>
      </c>
      <c r="F370" s="131" t="s">
        <v>29</v>
      </c>
      <c r="G370" s="133">
        <v>48.079999999999998</v>
      </c>
      <c r="H370" s="134">
        <v>48.079999999999998</v>
      </c>
      <c r="I370" s="131" t="s">
        <v>17190</v>
      </c>
      <c r="J370" s="88"/>
    </row>
    <row r="371" ht="38.25">
      <c r="A371" s="108">
        <v>1178</v>
      </c>
      <c r="B371" s="131" t="s">
        <v>17905</v>
      </c>
      <c r="C371" s="132" t="s">
        <v>17911</v>
      </c>
      <c r="D371" s="131" t="s">
        <v>29</v>
      </c>
      <c r="E371" s="110" t="s">
        <v>17912</v>
      </c>
      <c r="F371" s="131" t="s">
        <v>29</v>
      </c>
      <c r="G371" s="133">
        <v>22.449999999999999</v>
      </c>
      <c r="H371" s="134">
        <v>22.449999999999999</v>
      </c>
      <c r="I371" s="131" t="s">
        <v>17190</v>
      </c>
      <c r="J371" s="88"/>
    </row>
    <row r="372" ht="38.25">
      <c r="A372" s="108">
        <v>1206</v>
      </c>
      <c r="B372" s="131" t="s">
        <v>17905</v>
      </c>
      <c r="C372" s="132" t="s">
        <v>17913</v>
      </c>
      <c r="D372" s="131" t="s">
        <v>29</v>
      </c>
      <c r="E372" s="110" t="s">
        <v>17914</v>
      </c>
      <c r="F372" s="131" t="s">
        <v>29</v>
      </c>
      <c r="G372" s="133">
        <v>37.189999999999998</v>
      </c>
      <c r="H372" s="134">
        <v>37.189999999999998</v>
      </c>
      <c r="I372" s="131" t="s">
        <v>17190</v>
      </c>
      <c r="J372" s="88"/>
    </row>
    <row r="373" ht="51">
      <c r="A373" s="108">
        <v>6462</v>
      </c>
      <c r="B373" s="131" t="s">
        <v>17273</v>
      </c>
      <c r="C373" s="132" t="s">
        <v>17915</v>
      </c>
      <c r="D373" s="131" t="s">
        <v>29</v>
      </c>
      <c r="E373" s="110" t="s">
        <v>17916</v>
      </c>
      <c r="F373" s="131" t="s">
        <v>29</v>
      </c>
      <c r="G373" s="133">
        <v>4.2400000000000002</v>
      </c>
      <c r="H373" s="134">
        <v>4.04</v>
      </c>
      <c r="I373" s="131" t="s">
        <v>17190</v>
      </c>
      <c r="J373" s="88"/>
    </row>
    <row r="374" ht="51">
      <c r="A374" s="108">
        <v>6307</v>
      </c>
      <c r="B374" s="131" t="s">
        <v>17215</v>
      </c>
      <c r="C374" s="132" t="s">
        <v>17917</v>
      </c>
      <c r="D374" s="131" t="s">
        <v>29</v>
      </c>
      <c r="E374" s="110" t="s">
        <v>17918</v>
      </c>
      <c r="F374" s="131" t="s">
        <v>29</v>
      </c>
      <c r="G374" s="133">
        <v>4.6500000000000004</v>
      </c>
      <c r="H374" s="134">
        <v>4.4199999999999999</v>
      </c>
      <c r="I374" s="131" t="s">
        <v>17190</v>
      </c>
      <c r="J374" s="88"/>
    </row>
    <row r="375" ht="38.25">
      <c r="A375" s="108">
        <v>2752</v>
      </c>
      <c r="B375" s="131" t="s">
        <v>17215</v>
      </c>
      <c r="C375" s="132" t="s">
        <v>17919</v>
      </c>
      <c r="D375" s="131" t="s">
        <v>29</v>
      </c>
      <c r="E375" s="110" t="s">
        <v>17920</v>
      </c>
      <c r="F375" s="131" t="s">
        <v>29</v>
      </c>
      <c r="G375" s="133">
        <v>7.2999999999999998</v>
      </c>
      <c r="H375" s="134">
        <v>6.9100000000000001</v>
      </c>
      <c r="I375" s="131" t="s">
        <v>17171</v>
      </c>
      <c r="J375" s="88"/>
    </row>
    <row r="376" ht="38.25">
      <c r="A376" s="108">
        <v>7166</v>
      </c>
      <c r="B376" s="131" t="s">
        <v>17801</v>
      </c>
      <c r="C376" s="132" t="s">
        <v>17921</v>
      </c>
      <c r="D376" s="131" t="s">
        <v>31</v>
      </c>
      <c r="E376" s="110" t="s">
        <v>17922</v>
      </c>
      <c r="F376" s="131" t="s">
        <v>31</v>
      </c>
      <c r="G376" s="133">
        <v>2592.98</v>
      </c>
      <c r="H376" s="134">
        <v>2592.98</v>
      </c>
      <c r="I376" s="131" t="s">
        <v>17171</v>
      </c>
      <c r="J376" s="88"/>
    </row>
    <row r="377" ht="38.25">
      <c r="A377" s="108">
        <v>7167</v>
      </c>
      <c r="B377" s="131" t="s">
        <v>17801</v>
      </c>
      <c r="C377" s="132" t="s">
        <v>17923</v>
      </c>
      <c r="D377" s="131" t="s">
        <v>31</v>
      </c>
      <c r="E377" s="110" t="s">
        <v>17924</v>
      </c>
      <c r="F377" s="131" t="s">
        <v>31</v>
      </c>
      <c r="G377" s="133">
        <v>3601.5</v>
      </c>
      <c r="H377" s="134">
        <v>3601.5</v>
      </c>
      <c r="I377" s="131" t="s">
        <v>17171</v>
      </c>
      <c r="J377" s="88"/>
    </row>
    <row r="378" ht="38.25">
      <c r="A378" s="108">
        <v>7168</v>
      </c>
      <c r="B378" s="131" t="s">
        <v>17801</v>
      </c>
      <c r="C378" s="132" t="s">
        <v>17925</v>
      </c>
      <c r="D378" s="131" t="s">
        <v>31</v>
      </c>
      <c r="E378" s="110" t="s">
        <v>17926</v>
      </c>
      <c r="F378" s="131" t="s">
        <v>31</v>
      </c>
      <c r="G378" s="133">
        <v>5755.0299999999997</v>
      </c>
      <c r="H378" s="134">
        <v>5755.0299999999997</v>
      </c>
      <c r="I378" s="131" t="s">
        <v>17171</v>
      </c>
      <c r="J378" s="88"/>
    </row>
    <row r="379">
      <c r="A379" s="108">
        <v>8470</v>
      </c>
      <c r="B379" s="131" t="s">
        <v>17194</v>
      </c>
      <c r="C379" s="132" t="s">
        <v>17927</v>
      </c>
      <c r="D379" s="131" t="s">
        <v>31</v>
      </c>
      <c r="E379" s="110" t="s">
        <v>17928</v>
      </c>
      <c r="F379" s="131" t="s">
        <v>31</v>
      </c>
      <c r="G379" s="133">
        <v>157.55000000000001</v>
      </c>
      <c r="H379" s="134">
        <v>157.55000000000001</v>
      </c>
      <c r="I379" s="131" t="s">
        <v>17171</v>
      </c>
      <c r="J379" s="88"/>
    </row>
    <row r="380" ht="38.25">
      <c r="A380" s="108">
        <v>6448</v>
      </c>
      <c r="B380" s="131" t="s">
        <v>17273</v>
      </c>
      <c r="C380" s="132" t="s">
        <v>17929</v>
      </c>
      <c r="D380" s="131" t="s">
        <v>31</v>
      </c>
      <c r="E380" s="110" t="s">
        <v>17930</v>
      </c>
      <c r="F380" s="131" t="s">
        <v>31</v>
      </c>
      <c r="G380" s="133">
        <v>17.140000000000001</v>
      </c>
      <c r="H380" s="134">
        <v>17.140000000000001</v>
      </c>
      <c r="I380" s="131" t="s">
        <v>17190</v>
      </c>
      <c r="J380" s="88"/>
    </row>
    <row r="381" ht="51">
      <c r="A381" s="108">
        <v>7208</v>
      </c>
      <c r="B381" s="131" t="s">
        <v>17407</v>
      </c>
      <c r="C381" s="132" t="s">
        <v>17931</v>
      </c>
      <c r="D381" s="131" t="s">
        <v>31</v>
      </c>
      <c r="E381" s="110" t="s">
        <v>17932</v>
      </c>
      <c r="F381" s="131" t="s">
        <v>31</v>
      </c>
      <c r="G381" s="133">
        <v>409.5</v>
      </c>
      <c r="H381" s="134">
        <v>409.5</v>
      </c>
      <c r="I381" s="131" t="s">
        <v>17171</v>
      </c>
      <c r="J381" s="88"/>
    </row>
    <row r="382" ht="38.25">
      <c r="A382" s="108">
        <v>7040</v>
      </c>
      <c r="B382" s="131" t="s">
        <v>17168</v>
      </c>
      <c r="C382" s="132" t="s">
        <v>17933</v>
      </c>
      <c r="D382" s="131" t="s">
        <v>31</v>
      </c>
      <c r="E382" s="110" t="s">
        <v>17934</v>
      </c>
      <c r="F382" s="131" t="s">
        <v>31</v>
      </c>
      <c r="G382" s="133">
        <v>3335.4200000000001</v>
      </c>
      <c r="H382" s="134">
        <v>3335.4200000000001</v>
      </c>
      <c r="I382" s="131" t="s">
        <v>17171</v>
      </c>
      <c r="J382" s="88"/>
    </row>
    <row r="383" ht="38.25">
      <c r="A383" s="108">
        <v>6617</v>
      </c>
      <c r="B383" s="131" t="s">
        <v>17801</v>
      </c>
      <c r="C383" s="132" t="s">
        <v>17935</v>
      </c>
      <c r="D383" s="131" t="s">
        <v>31</v>
      </c>
      <c r="E383" s="110" t="s">
        <v>17936</v>
      </c>
      <c r="F383" s="131" t="s">
        <v>31</v>
      </c>
      <c r="G383" s="133">
        <v>36.640000000000001</v>
      </c>
      <c r="H383" s="134">
        <v>36.640000000000001</v>
      </c>
      <c r="I383" s="131" t="s">
        <v>17171</v>
      </c>
      <c r="J383" s="88"/>
    </row>
    <row r="384" ht="25.5">
      <c r="A384" s="108">
        <v>3512</v>
      </c>
      <c r="B384" s="131" t="s">
        <v>17455</v>
      </c>
      <c r="C384" s="132" t="s">
        <v>17937</v>
      </c>
      <c r="D384" s="131" t="s">
        <v>31</v>
      </c>
      <c r="E384" s="110" t="s">
        <v>17938</v>
      </c>
      <c r="F384" s="131" t="s">
        <v>31</v>
      </c>
      <c r="G384" s="133">
        <v>1.6599999999999999</v>
      </c>
      <c r="H384" s="134">
        <v>1.6599999999999999</v>
      </c>
      <c r="I384" s="131" t="s">
        <v>17190</v>
      </c>
      <c r="J384" s="88"/>
    </row>
    <row r="385" ht="25.5">
      <c r="A385" s="108">
        <v>1643</v>
      </c>
      <c r="B385" s="131" t="s">
        <v>17273</v>
      </c>
      <c r="C385" s="132" t="s">
        <v>17939</v>
      </c>
      <c r="D385" s="131" t="s">
        <v>31</v>
      </c>
      <c r="E385" s="110" t="s">
        <v>17940</v>
      </c>
      <c r="F385" s="131" t="s">
        <v>31</v>
      </c>
      <c r="G385" s="133">
        <v>32.579999999999998</v>
      </c>
      <c r="H385" s="134">
        <v>32.579999999999998</v>
      </c>
      <c r="I385" s="131" t="s">
        <v>17190</v>
      </c>
      <c r="J385" s="88"/>
    </row>
    <row r="386" ht="51">
      <c r="A386" s="108">
        <v>1788</v>
      </c>
      <c r="B386" s="131" t="s">
        <v>17215</v>
      </c>
      <c r="C386" s="132" t="s">
        <v>17941</v>
      </c>
      <c r="D386" s="131" t="s">
        <v>38</v>
      </c>
      <c r="E386" s="110" t="s">
        <v>17942</v>
      </c>
      <c r="F386" s="131" t="s">
        <v>38</v>
      </c>
      <c r="G386" s="133">
        <v>21.300000000000001</v>
      </c>
      <c r="H386" s="134">
        <v>19.93</v>
      </c>
      <c r="I386" s="131" t="s">
        <v>17190</v>
      </c>
      <c r="J386" s="88"/>
    </row>
    <row r="387" ht="51">
      <c r="A387" s="108">
        <v>1787</v>
      </c>
      <c r="B387" s="131" t="s">
        <v>17215</v>
      </c>
      <c r="C387" s="132" t="s">
        <v>17943</v>
      </c>
      <c r="D387" s="131" t="s">
        <v>38</v>
      </c>
      <c r="E387" s="110" t="s">
        <v>17944</v>
      </c>
      <c r="F387" s="131" t="s">
        <v>38</v>
      </c>
      <c r="G387" s="133">
        <v>14.15</v>
      </c>
      <c r="H387" s="134">
        <v>13.24</v>
      </c>
      <c r="I387" s="131" t="s">
        <v>17190</v>
      </c>
      <c r="J387" s="88"/>
    </row>
    <row r="388" ht="25.5">
      <c r="A388" s="108">
        <v>2618</v>
      </c>
      <c r="B388" s="131" t="s">
        <v>17182</v>
      </c>
      <c r="C388" s="132" t="s">
        <v>17945</v>
      </c>
      <c r="D388" s="131" t="s">
        <v>31</v>
      </c>
      <c r="E388" s="110" t="s">
        <v>17946</v>
      </c>
      <c r="F388" s="131" t="s">
        <v>31</v>
      </c>
      <c r="G388" s="133">
        <v>91.379999999999995</v>
      </c>
      <c r="H388" s="134">
        <v>91.379999999999995</v>
      </c>
      <c r="I388" s="131" t="s">
        <v>17190</v>
      </c>
      <c r="J388" s="88"/>
    </row>
    <row r="389" ht="25.5">
      <c r="A389" s="108">
        <v>1725</v>
      </c>
      <c r="B389" s="131" t="s">
        <v>17215</v>
      </c>
      <c r="C389" s="132" t="s">
        <v>17947</v>
      </c>
      <c r="D389" s="131" t="s">
        <v>31</v>
      </c>
      <c r="E389" s="110" t="s">
        <v>17948</v>
      </c>
      <c r="F389" s="131" t="s">
        <v>31</v>
      </c>
      <c r="G389" s="133">
        <v>105.56</v>
      </c>
      <c r="H389" s="134">
        <v>104.45999999999999</v>
      </c>
      <c r="I389" s="131" t="s">
        <v>17190</v>
      </c>
      <c r="J389" s="88"/>
    </row>
    <row r="390" ht="25.5">
      <c r="A390" s="108">
        <v>2673</v>
      </c>
      <c r="B390" s="131" t="s">
        <v>17182</v>
      </c>
      <c r="C390" s="132" t="s">
        <v>17949</v>
      </c>
      <c r="D390" s="131" t="s">
        <v>31</v>
      </c>
      <c r="E390" s="110" t="s">
        <v>17950</v>
      </c>
      <c r="F390" s="131" t="s">
        <v>31</v>
      </c>
      <c r="G390" s="133">
        <v>1397.48</v>
      </c>
      <c r="H390" s="134">
        <v>1397.48</v>
      </c>
      <c r="I390" s="131" t="s">
        <v>17171</v>
      </c>
      <c r="J390" s="88"/>
    </row>
    <row r="391">
      <c r="A391" s="108">
        <v>1062</v>
      </c>
      <c r="B391" s="131" t="s">
        <v>17198</v>
      </c>
      <c r="C391" s="132" t="s">
        <v>17951</v>
      </c>
      <c r="D391" s="131" t="s">
        <v>302</v>
      </c>
      <c r="E391" s="110" t="s">
        <v>17952</v>
      </c>
      <c r="F391" s="131" t="s">
        <v>302</v>
      </c>
      <c r="G391" s="133">
        <v>0.78000000000000003</v>
      </c>
      <c r="H391" s="134">
        <v>0.78000000000000003</v>
      </c>
      <c r="I391" s="131" t="s">
        <v>17190</v>
      </c>
      <c r="J391" s="88"/>
    </row>
    <row r="392" ht="25.5">
      <c r="A392" s="108">
        <v>1662</v>
      </c>
      <c r="B392" s="131" t="s">
        <v>17273</v>
      </c>
      <c r="C392" s="132" t="s">
        <v>17953</v>
      </c>
      <c r="D392" s="131" t="s">
        <v>302</v>
      </c>
      <c r="E392" s="110" t="s">
        <v>17954</v>
      </c>
      <c r="F392" s="131" t="s">
        <v>302</v>
      </c>
      <c r="G392" s="133">
        <v>4.1500000000000004</v>
      </c>
      <c r="H392" s="134">
        <v>4.1500000000000004</v>
      </c>
      <c r="I392" s="131" t="s">
        <v>17190</v>
      </c>
      <c r="J392" s="88"/>
    </row>
    <row r="393" ht="38.25">
      <c r="A393" s="108">
        <v>6589</v>
      </c>
      <c r="B393" s="131" t="s">
        <v>17168</v>
      </c>
      <c r="C393" s="132" t="s">
        <v>17955</v>
      </c>
      <c r="D393" s="131" t="s">
        <v>31</v>
      </c>
      <c r="E393" s="110" t="s">
        <v>17956</v>
      </c>
      <c r="F393" s="131" t="s">
        <v>31</v>
      </c>
      <c r="G393" s="133">
        <v>53.219999999999999</v>
      </c>
      <c r="H393" s="134">
        <v>53.219999999999999</v>
      </c>
      <c r="I393" s="131" t="s">
        <v>17190</v>
      </c>
      <c r="J393" s="88"/>
    </row>
    <row r="394" ht="38.25">
      <c r="A394" s="108">
        <v>6592</v>
      </c>
      <c r="B394" s="131" t="s">
        <v>17168</v>
      </c>
      <c r="C394" s="132" t="s">
        <v>17957</v>
      </c>
      <c r="D394" s="131" t="s">
        <v>31</v>
      </c>
      <c r="E394" s="110" t="s">
        <v>17958</v>
      </c>
      <c r="F394" s="131" t="s">
        <v>31</v>
      </c>
      <c r="G394" s="133">
        <v>63.399999999999999</v>
      </c>
      <c r="H394" s="134">
        <v>63.399999999999999</v>
      </c>
      <c r="I394" s="131" t="s">
        <v>17190</v>
      </c>
      <c r="J394" s="88"/>
    </row>
    <row r="395">
      <c r="A395" s="108">
        <v>2567</v>
      </c>
      <c r="B395" s="131" t="s">
        <v>17429</v>
      </c>
      <c r="C395" s="132" t="s">
        <v>17959</v>
      </c>
      <c r="D395" s="131" t="s">
        <v>31</v>
      </c>
      <c r="E395" s="110" t="s">
        <v>17960</v>
      </c>
      <c r="F395" s="131" t="s">
        <v>31</v>
      </c>
      <c r="G395" s="133">
        <v>33</v>
      </c>
      <c r="H395" s="134">
        <v>33</v>
      </c>
      <c r="I395" s="131" t="s">
        <v>17171</v>
      </c>
      <c r="J395" s="88"/>
    </row>
    <row r="396" ht="25.5">
      <c r="A396" s="108">
        <v>1236</v>
      </c>
      <c r="B396" s="131" t="s">
        <v>17187</v>
      </c>
      <c r="C396" s="132" t="s">
        <v>17961</v>
      </c>
      <c r="D396" s="131" t="s">
        <v>302</v>
      </c>
      <c r="E396" s="110" t="s">
        <v>17962</v>
      </c>
      <c r="F396" s="131" t="s">
        <v>302</v>
      </c>
      <c r="G396" s="133">
        <v>39.07</v>
      </c>
      <c r="H396" s="134">
        <v>39.07</v>
      </c>
      <c r="I396" s="131" t="s">
        <v>17190</v>
      </c>
      <c r="J396" s="88"/>
    </row>
    <row r="397" ht="25.5">
      <c r="A397" s="108">
        <v>9013</v>
      </c>
      <c r="B397" s="131" t="s">
        <v>17429</v>
      </c>
      <c r="C397" s="132" t="s">
        <v>17963</v>
      </c>
      <c r="D397" s="131" t="s">
        <v>31</v>
      </c>
      <c r="E397" s="110" t="s">
        <v>17964</v>
      </c>
      <c r="F397" s="131" t="s">
        <v>31</v>
      </c>
      <c r="G397" s="133">
        <v>360.29000000000002</v>
      </c>
      <c r="H397" s="134">
        <v>360.29000000000002</v>
      </c>
      <c r="I397" s="131" t="s">
        <v>17171</v>
      </c>
      <c r="J397" s="88"/>
    </row>
    <row r="398" ht="38.25">
      <c r="A398" s="108">
        <v>1571</v>
      </c>
      <c r="B398" s="131" t="s">
        <v>17273</v>
      </c>
      <c r="C398" s="132" t="s">
        <v>17965</v>
      </c>
      <c r="D398" s="131" t="s">
        <v>29</v>
      </c>
      <c r="E398" s="110" t="s">
        <v>17966</v>
      </c>
      <c r="F398" s="131" t="s">
        <v>29</v>
      </c>
      <c r="G398" s="133">
        <v>123.56</v>
      </c>
      <c r="H398" s="134">
        <v>123.56</v>
      </c>
      <c r="I398" s="131" t="s">
        <v>17190</v>
      </c>
      <c r="J398" s="88"/>
    </row>
    <row r="399" ht="38.25">
      <c r="A399" s="108">
        <v>7583</v>
      </c>
      <c r="B399" s="131" t="s">
        <v>17426</v>
      </c>
      <c r="C399" s="132" t="s">
        <v>17967</v>
      </c>
      <c r="D399" s="131" t="s">
        <v>38</v>
      </c>
      <c r="E399" s="110" t="s">
        <v>17968</v>
      </c>
      <c r="F399" s="131" t="s">
        <v>38</v>
      </c>
      <c r="G399" s="133">
        <v>14.960000000000001</v>
      </c>
      <c r="H399" s="134">
        <v>14.960000000000001</v>
      </c>
      <c r="I399" s="131" t="s">
        <v>17190</v>
      </c>
      <c r="J399" s="88"/>
    </row>
    <row r="400" ht="38.25">
      <c r="A400" s="108">
        <v>6332</v>
      </c>
      <c r="B400" s="131" t="s">
        <v>17215</v>
      </c>
      <c r="C400" s="132" t="s">
        <v>17969</v>
      </c>
      <c r="D400" s="131" t="s">
        <v>121</v>
      </c>
      <c r="E400" s="110" t="s">
        <v>17970</v>
      </c>
      <c r="F400" s="131" t="s">
        <v>121</v>
      </c>
      <c r="G400" s="133">
        <v>429.69</v>
      </c>
      <c r="H400" s="134">
        <v>423.13999999999999</v>
      </c>
      <c r="I400" s="131" t="s">
        <v>17190</v>
      </c>
      <c r="J400" s="88"/>
    </row>
    <row r="401" ht="38.25">
      <c r="A401" s="108">
        <v>6376</v>
      </c>
      <c r="B401" s="131" t="s">
        <v>17215</v>
      </c>
      <c r="C401" s="132" t="s">
        <v>17969</v>
      </c>
      <c r="D401" s="131" t="s">
        <v>121</v>
      </c>
      <c r="E401" s="110" t="s">
        <v>17971</v>
      </c>
      <c r="F401" s="131" t="s">
        <v>121</v>
      </c>
      <c r="G401" s="133">
        <v>429.69</v>
      </c>
      <c r="H401" s="134">
        <v>423.13999999999999</v>
      </c>
      <c r="I401" s="131" t="s">
        <v>17190</v>
      </c>
      <c r="J401" s="88"/>
    </row>
    <row r="402" ht="38.25">
      <c r="A402" s="108">
        <v>6464</v>
      </c>
      <c r="B402" s="131" t="s">
        <v>17273</v>
      </c>
      <c r="C402" s="132" t="s">
        <v>17972</v>
      </c>
      <c r="D402" s="131" t="s">
        <v>121</v>
      </c>
      <c r="E402" s="110" t="s">
        <v>17973</v>
      </c>
      <c r="F402" s="131" t="s">
        <v>121</v>
      </c>
      <c r="G402" s="133">
        <v>422.69</v>
      </c>
      <c r="H402" s="134">
        <v>416.98000000000002</v>
      </c>
      <c r="I402" s="131" t="s">
        <v>17190</v>
      </c>
      <c r="J402" s="88"/>
    </row>
    <row r="403" ht="38.25">
      <c r="A403" s="108">
        <v>6350</v>
      </c>
      <c r="B403" s="131" t="s">
        <v>17215</v>
      </c>
      <c r="C403" s="132" t="s">
        <v>17974</v>
      </c>
      <c r="D403" s="131" t="s">
        <v>121</v>
      </c>
      <c r="E403" s="110" t="s">
        <v>17975</v>
      </c>
      <c r="F403" s="131" t="s">
        <v>121</v>
      </c>
      <c r="G403" s="133">
        <v>472.94</v>
      </c>
      <c r="H403" s="134">
        <v>465.80000000000001</v>
      </c>
      <c r="I403" s="131" t="s">
        <v>17190</v>
      </c>
      <c r="J403" s="88"/>
    </row>
    <row r="404" ht="38.25">
      <c r="A404" s="108">
        <v>6424</v>
      </c>
      <c r="B404" s="131" t="s">
        <v>17273</v>
      </c>
      <c r="C404" s="132" t="s">
        <v>17976</v>
      </c>
      <c r="D404" s="131" t="s">
        <v>121</v>
      </c>
      <c r="E404" s="110" t="s">
        <v>17977</v>
      </c>
      <c r="F404" s="131" t="s">
        <v>121</v>
      </c>
      <c r="G404" s="133">
        <v>459.13999999999999</v>
      </c>
      <c r="H404" s="134">
        <v>453.44999999999999</v>
      </c>
      <c r="I404" s="131" t="s">
        <v>17190</v>
      </c>
      <c r="J404" s="88"/>
    </row>
    <row r="405" ht="38.25">
      <c r="A405" s="108">
        <v>6352</v>
      </c>
      <c r="B405" s="131" t="s">
        <v>17215</v>
      </c>
      <c r="C405" s="132" t="s">
        <v>17978</v>
      </c>
      <c r="D405" s="131" t="s">
        <v>121</v>
      </c>
      <c r="E405" s="110" t="s">
        <v>17979</v>
      </c>
      <c r="F405" s="131" t="s">
        <v>121</v>
      </c>
      <c r="G405" s="133">
        <v>493.12</v>
      </c>
      <c r="H405" s="134">
        <v>486.61000000000001</v>
      </c>
      <c r="I405" s="131" t="s">
        <v>17190</v>
      </c>
      <c r="J405" s="88"/>
    </row>
    <row r="406" ht="38.25">
      <c r="A406" s="108">
        <v>1669</v>
      </c>
      <c r="B406" s="131" t="s">
        <v>17273</v>
      </c>
      <c r="C406" s="132" t="s">
        <v>17980</v>
      </c>
      <c r="D406" s="131" t="s">
        <v>121</v>
      </c>
      <c r="E406" s="110" t="s">
        <v>17981</v>
      </c>
      <c r="F406" s="131" t="s">
        <v>121</v>
      </c>
      <c r="G406" s="133">
        <v>436.12</v>
      </c>
      <c r="H406" s="134">
        <v>426.81999999999999</v>
      </c>
      <c r="I406" s="131" t="s">
        <v>17190</v>
      </c>
      <c r="J406" s="88"/>
    </row>
    <row r="407" ht="38.25">
      <c r="A407" s="108">
        <v>6409</v>
      </c>
      <c r="B407" s="131" t="s">
        <v>17215</v>
      </c>
      <c r="C407" s="132" t="s">
        <v>17982</v>
      </c>
      <c r="D407" s="131" t="s">
        <v>121</v>
      </c>
      <c r="E407" s="110" t="s">
        <v>17983</v>
      </c>
      <c r="F407" s="131" t="s">
        <v>121</v>
      </c>
      <c r="G407" s="133">
        <v>384.63</v>
      </c>
      <c r="H407" s="134">
        <v>378.02999999999997</v>
      </c>
      <c r="I407" s="131" t="s">
        <v>17190</v>
      </c>
      <c r="J407" s="88"/>
    </row>
    <row r="408" ht="38.25">
      <c r="A408" s="108">
        <v>6347</v>
      </c>
      <c r="B408" s="131" t="s">
        <v>17984</v>
      </c>
      <c r="C408" s="132" t="s">
        <v>17985</v>
      </c>
      <c r="D408" s="131" t="s">
        <v>121</v>
      </c>
      <c r="E408" s="110" t="s">
        <v>17986</v>
      </c>
      <c r="F408" s="131" t="s">
        <v>121</v>
      </c>
      <c r="G408" s="133">
        <v>552.5</v>
      </c>
      <c r="H408" s="134">
        <v>552.5</v>
      </c>
      <c r="I408" s="131" t="s">
        <v>17190</v>
      </c>
      <c r="J408" s="88"/>
    </row>
    <row r="409" ht="38.25">
      <c r="A409" s="108">
        <v>6348</v>
      </c>
      <c r="B409" s="131" t="s">
        <v>17984</v>
      </c>
      <c r="C409" s="132" t="s">
        <v>17987</v>
      </c>
      <c r="D409" s="131" t="s">
        <v>121</v>
      </c>
      <c r="E409" s="110" t="s">
        <v>17988</v>
      </c>
      <c r="F409" s="131" t="s">
        <v>121</v>
      </c>
      <c r="G409" s="133">
        <v>568.07000000000005</v>
      </c>
      <c r="H409" s="134">
        <v>568.07000000000005</v>
      </c>
      <c r="I409" s="131" t="s">
        <v>17190</v>
      </c>
      <c r="J409" s="88"/>
    </row>
    <row r="410" ht="38.25">
      <c r="A410" s="108">
        <v>1544</v>
      </c>
      <c r="B410" s="131" t="s">
        <v>17273</v>
      </c>
      <c r="C410" s="132" t="s">
        <v>17989</v>
      </c>
      <c r="D410" s="131" t="s">
        <v>121</v>
      </c>
      <c r="E410" s="110" t="s">
        <v>17990</v>
      </c>
      <c r="F410" s="131" t="s">
        <v>121</v>
      </c>
      <c r="G410" s="133">
        <v>589.92999999999995</v>
      </c>
      <c r="H410" s="134">
        <v>589.92999999999995</v>
      </c>
      <c r="I410" s="131" t="s">
        <v>17190</v>
      </c>
      <c r="J410" s="88"/>
    </row>
    <row r="411" ht="38.25">
      <c r="A411" s="108">
        <v>6349</v>
      </c>
      <c r="B411" s="131" t="s">
        <v>17984</v>
      </c>
      <c r="C411" s="132" t="s">
        <v>17991</v>
      </c>
      <c r="D411" s="131" t="s">
        <v>121</v>
      </c>
      <c r="E411" s="110" t="s">
        <v>17992</v>
      </c>
      <c r="F411" s="131" t="s">
        <v>121</v>
      </c>
      <c r="G411" s="133">
        <v>587.00999999999999</v>
      </c>
      <c r="H411" s="134">
        <v>587.00999999999999</v>
      </c>
      <c r="I411" s="131" t="s">
        <v>17190</v>
      </c>
      <c r="J411" s="88"/>
    </row>
    <row r="412" ht="51">
      <c r="A412" s="108">
        <v>6354</v>
      </c>
      <c r="B412" s="131" t="s">
        <v>17215</v>
      </c>
      <c r="C412" s="132" t="s">
        <v>17993</v>
      </c>
      <c r="D412" s="131" t="s">
        <v>121</v>
      </c>
      <c r="E412" s="110" t="s">
        <v>17994</v>
      </c>
      <c r="F412" s="131" t="s">
        <v>121</v>
      </c>
      <c r="G412" s="133">
        <v>596.47000000000003</v>
      </c>
      <c r="H412" s="134">
        <v>596.47000000000003</v>
      </c>
      <c r="I412" s="131" t="s">
        <v>17171</v>
      </c>
      <c r="J412" s="88"/>
    </row>
    <row r="413" ht="25.5">
      <c r="A413" s="108">
        <v>3460</v>
      </c>
      <c r="B413" s="131" t="s">
        <v>17570</v>
      </c>
      <c r="C413" s="132" t="s">
        <v>17995</v>
      </c>
      <c r="D413" s="131" t="s">
        <v>31</v>
      </c>
      <c r="E413" s="110" t="s">
        <v>17996</v>
      </c>
      <c r="F413" s="131" t="s">
        <v>31</v>
      </c>
      <c r="G413" s="133">
        <v>17.649999999999999</v>
      </c>
      <c r="H413" s="134">
        <v>17.649999999999999</v>
      </c>
      <c r="I413" s="131" t="s">
        <v>17190</v>
      </c>
      <c r="J413" s="88"/>
    </row>
    <row r="414" ht="38.25">
      <c r="A414" s="108">
        <v>1920</v>
      </c>
      <c r="B414" s="131" t="s">
        <v>17273</v>
      </c>
      <c r="C414" s="132" t="s">
        <v>17997</v>
      </c>
      <c r="D414" s="131" t="s">
        <v>31</v>
      </c>
      <c r="E414" s="110" t="s">
        <v>17998</v>
      </c>
      <c r="F414" s="131" t="s">
        <v>31</v>
      </c>
      <c r="G414" s="133">
        <v>19.309999999999999</v>
      </c>
      <c r="H414" s="134">
        <v>18.449999999999999</v>
      </c>
      <c r="I414" s="131" t="s">
        <v>17190</v>
      </c>
      <c r="J414" s="88"/>
    </row>
    <row r="415" ht="38.25">
      <c r="A415" s="108">
        <v>1853</v>
      </c>
      <c r="B415" s="131" t="s">
        <v>17215</v>
      </c>
      <c r="C415" s="132" t="s">
        <v>17999</v>
      </c>
      <c r="D415" s="131" t="s">
        <v>31</v>
      </c>
      <c r="E415" s="110" t="s">
        <v>18000</v>
      </c>
      <c r="F415" s="131" t="s">
        <v>31</v>
      </c>
      <c r="G415" s="133">
        <v>15.859999999999999</v>
      </c>
      <c r="H415" s="134">
        <v>15.300000000000001</v>
      </c>
      <c r="I415" s="131" t="s">
        <v>17190</v>
      </c>
      <c r="J415" s="88"/>
    </row>
    <row r="416" ht="25.5">
      <c r="A416" s="108">
        <v>1650</v>
      </c>
      <c r="B416" s="131" t="s">
        <v>17273</v>
      </c>
      <c r="C416" s="132" t="s">
        <v>18001</v>
      </c>
      <c r="D416" s="131" t="s">
        <v>31</v>
      </c>
      <c r="E416" s="110" t="s">
        <v>18002</v>
      </c>
      <c r="F416" s="131" t="s">
        <v>31</v>
      </c>
      <c r="G416" s="133">
        <v>42.93</v>
      </c>
      <c r="H416" s="134">
        <v>42.93</v>
      </c>
      <c r="I416" s="131" t="s">
        <v>17190</v>
      </c>
      <c r="J416" s="88"/>
    </row>
    <row r="417" ht="25.5">
      <c r="A417" s="108">
        <v>7060</v>
      </c>
      <c r="B417" s="131" t="s">
        <v>17168</v>
      </c>
      <c r="C417" s="132" t="s">
        <v>18003</v>
      </c>
      <c r="D417" s="131" t="s">
        <v>31</v>
      </c>
      <c r="E417" s="110" t="s">
        <v>18004</v>
      </c>
      <c r="F417" s="131" t="s">
        <v>31</v>
      </c>
      <c r="G417" s="133">
        <v>69.819999999999993</v>
      </c>
      <c r="H417" s="134">
        <v>69.819999999999993</v>
      </c>
      <c r="I417" s="131" t="s">
        <v>17171</v>
      </c>
      <c r="J417" s="88"/>
    </row>
    <row r="418">
      <c r="A418" s="108">
        <v>7266</v>
      </c>
      <c r="B418" s="131" t="s">
        <v>17168</v>
      </c>
      <c r="C418" s="132" t="s">
        <v>18005</v>
      </c>
      <c r="D418" s="131" t="s">
        <v>31</v>
      </c>
      <c r="E418" s="110" t="s">
        <v>18006</v>
      </c>
      <c r="F418" s="131" t="s">
        <v>31</v>
      </c>
      <c r="G418" s="133">
        <v>43.979999999999997</v>
      </c>
      <c r="H418" s="134">
        <v>43.979999999999997</v>
      </c>
      <c r="I418" s="131" t="s">
        <v>17171</v>
      </c>
      <c r="J418" s="88"/>
    </row>
    <row r="419">
      <c r="A419" s="108">
        <v>6599</v>
      </c>
      <c r="B419" s="131" t="s">
        <v>17168</v>
      </c>
      <c r="C419" s="132" t="s">
        <v>16477</v>
      </c>
      <c r="D419" s="131" t="s">
        <v>31</v>
      </c>
      <c r="E419" s="110" t="s">
        <v>18007</v>
      </c>
      <c r="F419" s="131" t="s">
        <v>31</v>
      </c>
      <c r="G419" s="133">
        <v>71.280000000000001</v>
      </c>
      <c r="H419" s="134">
        <v>71.280000000000001</v>
      </c>
      <c r="I419" s="131" t="s">
        <v>17171</v>
      </c>
      <c r="J419" s="88"/>
    </row>
    <row r="420">
      <c r="A420" s="108">
        <v>6600</v>
      </c>
      <c r="B420" s="131" t="s">
        <v>17168</v>
      </c>
      <c r="C420" s="132" t="s">
        <v>16478</v>
      </c>
      <c r="D420" s="131" t="s">
        <v>31</v>
      </c>
      <c r="E420" s="110" t="s">
        <v>18008</v>
      </c>
      <c r="F420" s="131" t="s">
        <v>31</v>
      </c>
      <c r="G420" s="133">
        <v>58.799999999999997</v>
      </c>
      <c r="H420" s="134">
        <v>58.799999999999997</v>
      </c>
      <c r="I420" s="131" t="s">
        <v>17171</v>
      </c>
      <c r="J420" s="88"/>
    </row>
    <row r="421">
      <c r="A421" s="108">
        <v>7265</v>
      </c>
      <c r="B421" s="131" t="s">
        <v>17168</v>
      </c>
      <c r="C421" s="132" t="s">
        <v>18009</v>
      </c>
      <c r="D421" s="131" t="s">
        <v>31</v>
      </c>
      <c r="E421" s="110" t="s">
        <v>18010</v>
      </c>
      <c r="F421" s="131" t="s">
        <v>31</v>
      </c>
      <c r="G421" s="133">
        <v>17.84</v>
      </c>
      <c r="H421" s="134">
        <v>17.84</v>
      </c>
      <c r="I421" s="131" t="s">
        <v>17171</v>
      </c>
      <c r="J421" s="88"/>
    </row>
    <row r="422" ht="38.25">
      <c r="A422" s="108">
        <v>7191</v>
      </c>
      <c r="B422" s="131" t="s">
        <v>17828</v>
      </c>
      <c r="C422" s="132" t="s">
        <v>18011</v>
      </c>
      <c r="D422" s="131" t="s">
        <v>31</v>
      </c>
      <c r="E422" s="110" t="s">
        <v>18012</v>
      </c>
      <c r="F422" s="131" t="s">
        <v>31</v>
      </c>
      <c r="G422" s="133">
        <v>27.780000000000001</v>
      </c>
      <c r="H422" s="134">
        <v>27.780000000000001</v>
      </c>
      <c r="I422" s="131" t="s">
        <v>17171</v>
      </c>
      <c r="J422" s="88"/>
    </row>
    <row r="423" ht="25.5">
      <c r="A423" s="108">
        <v>3379</v>
      </c>
      <c r="B423" s="131" t="s">
        <v>17828</v>
      </c>
      <c r="C423" s="132" t="s">
        <v>18013</v>
      </c>
      <c r="D423" s="131" t="s">
        <v>31</v>
      </c>
      <c r="E423" s="110" t="s">
        <v>18014</v>
      </c>
      <c r="F423" s="131" t="s">
        <v>31</v>
      </c>
      <c r="G423" s="133">
        <v>8.4600000000000009</v>
      </c>
      <c r="H423" s="134">
        <v>8.4600000000000009</v>
      </c>
      <c r="I423" s="131" t="s">
        <v>17190</v>
      </c>
      <c r="J423" s="88"/>
    </row>
    <row r="424" ht="25.5">
      <c r="A424" s="108">
        <v>3380</v>
      </c>
      <c r="B424" s="131" t="s">
        <v>17828</v>
      </c>
      <c r="C424" s="132" t="s">
        <v>18015</v>
      </c>
      <c r="D424" s="131" t="s">
        <v>31</v>
      </c>
      <c r="E424" s="110" t="s">
        <v>18016</v>
      </c>
      <c r="F424" s="131" t="s">
        <v>31</v>
      </c>
      <c r="G424" s="133">
        <v>8.9299999999999997</v>
      </c>
      <c r="H424" s="134">
        <v>8.9299999999999997</v>
      </c>
      <c r="I424" s="131" t="s">
        <v>17190</v>
      </c>
      <c r="J424" s="88"/>
    </row>
    <row r="425" ht="25.5">
      <c r="A425" s="108">
        <v>3381</v>
      </c>
      <c r="B425" s="131" t="s">
        <v>17828</v>
      </c>
      <c r="C425" s="132" t="s">
        <v>18017</v>
      </c>
      <c r="D425" s="131" t="s">
        <v>31</v>
      </c>
      <c r="E425" s="110" t="s">
        <v>18018</v>
      </c>
      <c r="F425" s="131" t="s">
        <v>31</v>
      </c>
      <c r="G425" s="133">
        <v>11.15</v>
      </c>
      <c r="H425" s="134">
        <v>11.15</v>
      </c>
      <c r="I425" s="131" t="s">
        <v>17190</v>
      </c>
      <c r="J425" s="88"/>
    </row>
    <row r="426" ht="25.5">
      <c r="A426" s="108">
        <v>3382</v>
      </c>
      <c r="B426" s="131" t="s">
        <v>17828</v>
      </c>
      <c r="C426" s="132" t="s">
        <v>18019</v>
      </c>
      <c r="D426" s="131" t="s">
        <v>31</v>
      </c>
      <c r="E426" s="110" t="s">
        <v>18020</v>
      </c>
      <c r="F426" s="131" t="s">
        <v>31</v>
      </c>
      <c r="G426" s="133">
        <v>15.65</v>
      </c>
      <c r="H426" s="134">
        <v>15.65</v>
      </c>
      <c r="I426" s="131" t="s">
        <v>17190</v>
      </c>
      <c r="J426" s="88"/>
    </row>
    <row r="427" ht="25.5">
      <c r="A427" s="108">
        <v>3383</v>
      </c>
      <c r="B427" s="131" t="s">
        <v>17828</v>
      </c>
      <c r="C427" s="132" t="s">
        <v>18021</v>
      </c>
      <c r="D427" s="131" t="s">
        <v>31</v>
      </c>
      <c r="E427" s="110" t="s">
        <v>18022</v>
      </c>
      <c r="F427" s="131" t="s">
        <v>31</v>
      </c>
      <c r="G427" s="133">
        <v>23.350000000000001</v>
      </c>
      <c r="H427" s="134">
        <v>23.350000000000001</v>
      </c>
      <c r="I427" s="131" t="s">
        <v>17190</v>
      </c>
      <c r="J427" s="88"/>
    </row>
    <row r="428" ht="25.5">
      <c r="A428" s="108">
        <v>6601</v>
      </c>
      <c r="B428" s="131" t="s">
        <v>17168</v>
      </c>
      <c r="C428" s="132" t="s">
        <v>16479</v>
      </c>
      <c r="D428" s="131" t="s">
        <v>31</v>
      </c>
      <c r="E428" s="110" t="s">
        <v>18023</v>
      </c>
      <c r="F428" s="131" t="s">
        <v>31</v>
      </c>
      <c r="G428" s="133">
        <v>85.640000000000001</v>
      </c>
      <c r="H428" s="134">
        <v>85.640000000000001</v>
      </c>
      <c r="I428" s="131" t="s">
        <v>17171</v>
      </c>
      <c r="J428" s="88"/>
    </row>
    <row r="429" ht="25.5">
      <c r="A429" s="108">
        <v>6602</v>
      </c>
      <c r="B429" s="131" t="s">
        <v>17168</v>
      </c>
      <c r="C429" s="132" t="s">
        <v>18024</v>
      </c>
      <c r="D429" s="131" t="s">
        <v>31</v>
      </c>
      <c r="E429" s="110" t="s">
        <v>18025</v>
      </c>
      <c r="F429" s="131" t="s">
        <v>31</v>
      </c>
      <c r="G429" s="133">
        <v>40.240000000000002</v>
      </c>
      <c r="H429" s="134">
        <v>40.240000000000002</v>
      </c>
      <c r="I429" s="131" t="s">
        <v>17171</v>
      </c>
      <c r="J429" s="88"/>
    </row>
    <row r="430" ht="38.25">
      <c r="A430" s="108">
        <v>6383</v>
      </c>
      <c r="B430" s="131" t="s">
        <v>17215</v>
      </c>
      <c r="C430" s="132" t="s">
        <v>18026</v>
      </c>
      <c r="D430" s="131" t="s">
        <v>31</v>
      </c>
      <c r="E430" s="110" t="s">
        <v>18027</v>
      </c>
      <c r="F430" s="131" t="s">
        <v>31</v>
      </c>
      <c r="G430" s="133">
        <v>97.019999999999996</v>
      </c>
      <c r="H430" s="134">
        <v>95.230000000000004</v>
      </c>
      <c r="I430" s="131" t="s">
        <v>17171</v>
      </c>
      <c r="J430" s="88"/>
    </row>
    <row r="431" ht="38.25">
      <c r="A431" s="108">
        <v>3024</v>
      </c>
      <c r="B431" s="131" t="s">
        <v>18028</v>
      </c>
      <c r="C431" s="132" t="s">
        <v>18029</v>
      </c>
      <c r="D431" s="131" t="s">
        <v>11798</v>
      </c>
      <c r="E431" s="110" t="s">
        <v>18030</v>
      </c>
      <c r="F431" s="131" t="s">
        <v>11798</v>
      </c>
      <c r="G431" s="133">
        <v>0.20999999999999999</v>
      </c>
      <c r="H431" s="134">
        <v>0.20999999999999999</v>
      </c>
      <c r="I431" s="131" t="s">
        <v>17190</v>
      </c>
      <c r="J431" s="88"/>
    </row>
    <row r="432" ht="25.5">
      <c r="A432" s="108">
        <v>1688</v>
      </c>
      <c r="B432" s="131" t="s">
        <v>17779</v>
      </c>
      <c r="C432" s="132" t="s">
        <v>18031</v>
      </c>
      <c r="D432" s="131" t="s">
        <v>31</v>
      </c>
      <c r="E432" s="110" t="s">
        <v>18032</v>
      </c>
      <c r="F432" s="131" t="s">
        <v>31</v>
      </c>
      <c r="G432" s="133">
        <v>42.840000000000003</v>
      </c>
      <c r="H432" s="134">
        <v>42.840000000000003</v>
      </c>
      <c r="I432" s="131" t="s">
        <v>17171</v>
      </c>
      <c r="J432" s="88"/>
    </row>
    <row r="433" ht="25.5">
      <c r="A433" s="108">
        <v>7066</v>
      </c>
      <c r="B433" s="131" t="s">
        <v>17168</v>
      </c>
      <c r="C433" s="132" t="s">
        <v>18033</v>
      </c>
      <c r="D433" s="131" t="s">
        <v>31</v>
      </c>
      <c r="E433" s="110" t="s">
        <v>18034</v>
      </c>
      <c r="F433" s="131" t="s">
        <v>31</v>
      </c>
      <c r="G433" s="133">
        <v>247.22999999999999</v>
      </c>
      <c r="H433" s="134">
        <v>247.22999999999999</v>
      </c>
      <c r="I433" s="131" t="s">
        <v>17171</v>
      </c>
      <c r="J433" s="88"/>
    </row>
    <row r="434" ht="38.25">
      <c r="A434" s="108">
        <v>2566</v>
      </c>
      <c r="B434" s="131" t="s">
        <v>17429</v>
      </c>
      <c r="C434" s="132" t="s">
        <v>18035</v>
      </c>
      <c r="D434" s="131" t="s">
        <v>31</v>
      </c>
      <c r="E434" s="110" t="s">
        <v>18036</v>
      </c>
      <c r="F434" s="131" t="s">
        <v>31</v>
      </c>
      <c r="G434" s="133">
        <v>13.06</v>
      </c>
      <c r="H434" s="134">
        <v>13.06</v>
      </c>
      <c r="I434" s="131" t="s">
        <v>17190</v>
      </c>
      <c r="J434" s="88"/>
    </row>
    <row r="435" ht="25.5">
      <c r="A435" s="108">
        <v>8375</v>
      </c>
      <c r="B435" s="131" t="s">
        <v>18037</v>
      </c>
      <c r="C435" s="132" t="s">
        <v>18038</v>
      </c>
      <c r="D435" s="131" t="s">
        <v>31</v>
      </c>
      <c r="E435" s="110" t="s">
        <v>18039</v>
      </c>
      <c r="F435" s="131" t="s">
        <v>31</v>
      </c>
      <c r="G435" s="133">
        <v>41.600000000000001</v>
      </c>
      <c r="H435" s="134">
        <v>41.600000000000001</v>
      </c>
      <c r="I435" s="131" t="s">
        <v>17171</v>
      </c>
      <c r="J435" s="88"/>
    </row>
    <row r="436" ht="25.5">
      <c r="A436" s="108">
        <v>8377</v>
      </c>
      <c r="B436" s="131" t="s">
        <v>18037</v>
      </c>
      <c r="C436" s="132" t="s">
        <v>18040</v>
      </c>
      <c r="D436" s="131" t="s">
        <v>31</v>
      </c>
      <c r="E436" s="110" t="s">
        <v>18041</v>
      </c>
      <c r="F436" s="131" t="s">
        <v>31</v>
      </c>
      <c r="G436" s="133">
        <v>55.200000000000003</v>
      </c>
      <c r="H436" s="134">
        <v>55.200000000000003</v>
      </c>
      <c r="I436" s="131" t="s">
        <v>17171</v>
      </c>
      <c r="J436" s="88"/>
    </row>
    <row r="437" ht="25.5">
      <c r="A437" s="108">
        <v>3364</v>
      </c>
      <c r="B437" s="131" t="s">
        <v>17828</v>
      </c>
      <c r="C437" s="132" t="s">
        <v>18042</v>
      </c>
      <c r="D437" s="131" t="s">
        <v>11798</v>
      </c>
      <c r="E437" s="110" t="s">
        <v>18043</v>
      </c>
      <c r="F437" s="131" t="s">
        <v>11798</v>
      </c>
      <c r="G437" s="133">
        <v>0.92000000000000004</v>
      </c>
      <c r="H437" s="134">
        <v>0.92000000000000004</v>
      </c>
      <c r="I437" s="131" t="s">
        <v>17171</v>
      </c>
      <c r="J437" s="88"/>
    </row>
    <row r="438" ht="38.25">
      <c r="A438" s="108">
        <v>1720</v>
      </c>
      <c r="B438" s="131" t="s">
        <v>17426</v>
      </c>
      <c r="C438" s="132" t="s">
        <v>18044</v>
      </c>
      <c r="D438" s="131" t="s">
        <v>31</v>
      </c>
      <c r="E438" s="110" t="s">
        <v>18045</v>
      </c>
      <c r="F438" s="131" t="s">
        <v>31</v>
      </c>
      <c r="G438" s="133">
        <v>16000</v>
      </c>
      <c r="H438" s="134">
        <v>16000</v>
      </c>
      <c r="I438" s="131" t="s">
        <v>17171</v>
      </c>
      <c r="J438" s="88"/>
    </row>
    <row r="439" ht="25.5">
      <c r="A439" s="108">
        <v>6621</v>
      </c>
      <c r="B439" s="131" t="s">
        <v>17801</v>
      </c>
      <c r="C439" s="132" t="s">
        <v>18046</v>
      </c>
      <c r="D439" s="131" t="s">
        <v>31</v>
      </c>
      <c r="E439" s="110" t="s">
        <v>18047</v>
      </c>
      <c r="F439" s="131" t="s">
        <v>31</v>
      </c>
      <c r="G439" s="133">
        <v>129.97</v>
      </c>
      <c r="H439" s="134">
        <v>129.97</v>
      </c>
      <c r="I439" s="131" t="s">
        <v>17171</v>
      </c>
      <c r="J439" s="88"/>
    </row>
    <row r="440" ht="25.5">
      <c r="A440" s="108">
        <v>6629</v>
      </c>
      <c r="B440" s="131" t="s">
        <v>17801</v>
      </c>
      <c r="C440" s="132" t="s">
        <v>18048</v>
      </c>
      <c r="D440" s="131" t="s">
        <v>31</v>
      </c>
      <c r="E440" s="110" t="s">
        <v>18049</v>
      </c>
      <c r="F440" s="131" t="s">
        <v>31</v>
      </c>
      <c r="G440" s="133">
        <v>266.37</v>
      </c>
      <c r="H440" s="134">
        <v>266.37</v>
      </c>
      <c r="I440" s="131" t="s">
        <v>17190</v>
      </c>
      <c r="J440" s="88"/>
    </row>
    <row r="441" ht="25.5">
      <c r="A441" s="108">
        <v>6632</v>
      </c>
      <c r="B441" s="131" t="s">
        <v>17801</v>
      </c>
      <c r="C441" s="132" t="s">
        <v>18050</v>
      </c>
      <c r="D441" s="131" t="s">
        <v>31</v>
      </c>
      <c r="E441" s="110" t="s">
        <v>18051</v>
      </c>
      <c r="F441" s="131" t="s">
        <v>31</v>
      </c>
      <c r="G441" s="133">
        <v>412.25999999999999</v>
      </c>
      <c r="H441" s="134">
        <v>412.25999999999999</v>
      </c>
      <c r="I441" s="131" t="s">
        <v>17190</v>
      </c>
      <c r="J441" s="88"/>
    </row>
    <row r="442" ht="25.5">
      <c r="A442" s="108">
        <v>6620</v>
      </c>
      <c r="B442" s="131" t="s">
        <v>17801</v>
      </c>
      <c r="C442" s="132" t="s">
        <v>18052</v>
      </c>
      <c r="D442" s="131" t="s">
        <v>31</v>
      </c>
      <c r="E442" s="110" t="s">
        <v>18053</v>
      </c>
      <c r="F442" s="131" t="s">
        <v>31</v>
      </c>
      <c r="G442" s="133">
        <v>182.36000000000001</v>
      </c>
      <c r="H442" s="134">
        <v>182.36000000000001</v>
      </c>
      <c r="I442" s="131" t="s">
        <v>17190</v>
      </c>
      <c r="J442" s="88"/>
    </row>
    <row r="443" ht="25.5">
      <c r="A443" s="108">
        <v>7543</v>
      </c>
      <c r="B443" s="131" t="s">
        <v>17455</v>
      </c>
      <c r="C443" s="132" t="s">
        <v>18054</v>
      </c>
      <c r="D443" s="131" t="s">
        <v>17457</v>
      </c>
      <c r="E443" s="110" t="s">
        <v>18055</v>
      </c>
      <c r="F443" s="131" t="s">
        <v>17457</v>
      </c>
      <c r="G443" s="133">
        <v>58.479999999999997</v>
      </c>
      <c r="H443" s="134">
        <v>58.479999999999997</v>
      </c>
      <c r="I443" s="131" t="s">
        <v>17171</v>
      </c>
      <c r="J443" s="88"/>
    </row>
    <row r="444">
      <c r="A444" s="108">
        <v>7502</v>
      </c>
      <c r="B444" s="131" t="s">
        <v>17455</v>
      </c>
      <c r="C444" s="132" t="s">
        <v>18056</v>
      </c>
      <c r="D444" s="131" t="s">
        <v>17457</v>
      </c>
      <c r="E444" s="110" t="s">
        <v>18057</v>
      </c>
      <c r="F444" s="131" t="s">
        <v>17457</v>
      </c>
      <c r="G444" s="133">
        <v>45.469999999999999</v>
      </c>
      <c r="H444" s="134">
        <v>45.469999999999999</v>
      </c>
      <c r="I444" s="131" t="s">
        <v>17171</v>
      </c>
      <c r="J444" s="88"/>
    </row>
    <row r="445" ht="38.25">
      <c r="A445" s="108">
        <v>6324</v>
      </c>
      <c r="B445" s="131" t="s">
        <v>17273</v>
      </c>
      <c r="C445" s="132" t="s">
        <v>18058</v>
      </c>
      <c r="D445" s="131" t="s">
        <v>38</v>
      </c>
      <c r="E445" s="110" t="s">
        <v>18059</v>
      </c>
      <c r="F445" s="131" t="s">
        <v>38</v>
      </c>
      <c r="G445" s="133">
        <v>3.5</v>
      </c>
      <c r="H445" s="134">
        <v>3.5</v>
      </c>
      <c r="I445" s="131" t="s">
        <v>17190</v>
      </c>
      <c r="J445" s="88"/>
    </row>
    <row r="446" ht="38.25">
      <c r="A446" s="108">
        <v>6477</v>
      </c>
      <c r="B446" s="131" t="s">
        <v>17455</v>
      </c>
      <c r="C446" s="132" t="s">
        <v>18060</v>
      </c>
      <c r="D446" s="131" t="s">
        <v>38</v>
      </c>
      <c r="E446" s="110" t="s">
        <v>18061</v>
      </c>
      <c r="F446" s="131" t="s">
        <v>38</v>
      </c>
      <c r="G446" s="133">
        <v>730</v>
      </c>
      <c r="H446" s="134">
        <v>730</v>
      </c>
      <c r="I446" s="131" t="s">
        <v>17171</v>
      </c>
      <c r="J446" s="88"/>
    </row>
    <row r="447" ht="38.25">
      <c r="A447" s="108">
        <v>6478</v>
      </c>
      <c r="B447" s="131" t="s">
        <v>17455</v>
      </c>
      <c r="C447" s="132" t="s">
        <v>18062</v>
      </c>
      <c r="D447" s="131" t="s">
        <v>38</v>
      </c>
      <c r="E447" s="110" t="s">
        <v>18063</v>
      </c>
      <c r="F447" s="131" t="s">
        <v>38</v>
      </c>
      <c r="G447" s="133">
        <v>380</v>
      </c>
      <c r="H447" s="134">
        <v>380</v>
      </c>
      <c r="I447" s="131" t="s">
        <v>17171</v>
      </c>
      <c r="J447" s="88"/>
    </row>
    <row r="448" ht="51">
      <c r="A448" s="108">
        <v>6497</v>
      </c>
      <c r="B448" s="131" t="s">
        <v>17215</v>
      </c>
      <c r="C448" s="132" t="s">
        <v>18064</v>
      </c>
      <c r="D448" s="131" t="s">
        <v>1533</v>
      </c>
      <c r="E448" s="110" t="s">
        <v>18065</v>
      </c>
      <c r="F448" s="131" t="s">
        <v>1533</v>
      </c>
      <c r="G448" s="133">
        <v>1.1499999999999999</v>
      </c>
      <c r="H448" s="134">
        <v>1.1499999999999999</v>
      </c>
      <c r="I448" s="131" t="s">
        <v>17190</v>
      </c>
      <c r="J448" s="88"/>
    </row>
    <row r="449" ht="51">
      <c r="A449" s="108">
        <v>8539</v>
      </c>
      <c r="B449" s="131" t="s">
        <v>17215</v>
      </c>
      <c r="C449" s="132" t="s">
        <v>18066</v>
      </c>
      <c r="D449" s="131" t="s">
        <v>1535</v>
      </c>
      <c r="E449" s="110" t="s">
        <v>18067</v>
      </c>
      <c r="F449" s="131" t="s">
        <v>1535</v>
      </c>
      <c r="G449" s="133">
        <v>11</v>
      </c>
      <c r="H449" s="134">
        <v>11</v>
      </c>
      <c r="I449" s="131" t="s">
        <v>17190</v>
      </c>
      <c r="J449" s="88"/>
    </row>
    <row r="450" ht="25.5">
      <c r="A450" s="108">
        <v>1902</v>
      </c>
      <c r="B450" s="131" t="s">
        <v>17215</v>
      </c>
      <c r="C450" s="132" t="s">
        <v>18068</v>
      </c>
      <c r="D450" s="131" t="s">
        <v>31</v>
      </c>
      <c r="E450" s="110" t="s">
        <v>18069</v>
      </c>
      <c r="F450" s="131" t="s">
        <v>31</v>
      </c>
      <c r="G450" s="133">
        <v>58.280000000000001</v>
      </c>
      <c r="H450" s="134">
        <v>54.090000000000003</v>
      </c>
      <c r="I450" s="131" t="s">
        <v>17171</v>
      </c>
      <c r="J450" s="88"/>
    </row>
    <row r="451">
      <c r="A451" s="108">
        <v>3416</v>
      </c>
      <c r="B451" s="131" t="s">
        <v>17407</v>
      </c>
      <c r="C451" s="132" t="s">
        <v>18070</v>
      </c>
      <c r="D451" s="131" t="s">
        <v>31</v>
      </c>
      <c r="E451" s="110" t="s">
        <v>18071</v>
      </c>
      <c r="F451" s="131" t="s">
        <v>31</v>
      </c>
      <c r="G451" s="133">
        <v>167.44</v>
      </c>
      <c r="H451" s="134">
        <v>167.44</v>
      </c>
      <c r="I451" s="131" t="s">
        <v>17171</v>
      </c>
      <c r="J451" s="88"/>
    </row>
    <row r="452">
      <c r="A452" s="108">
        <v>1440</v>
      </c>
      <c r="B452" s="131" t="s">
        <v>17407</v>
      </c>
      <c r="C452" s="132" t="s">
        <v>18072</v>
      </c>
      <c r="D452" s="131" t="s">
        <v>31</v>
      </c>
      <c r="E452" s="110" t="s">
        <v>18073</v>
      </c>
      <c r="F452" s="131" t="s">
        <v>31</v>
      </c>
      <c r="G452" s="133">
        <v>230.88999999999999</v>
      </c>
      <c r="H452" s="134">
        <v>230.88999999999999</v>
      </c>
      <c r="I452" s="131" t="s">
        <v>17171</v>
      </c>
      <c r="J452" s="88"/>
    </row>
    <row r="453" ht="25.5">
      <c r="A453" s="108">
        <v>3417</v>
      </c>
      <c r="B453" s="131" t="s">
        <v>17407</v>
      </c>
      <c r="C453" s="132" t="s">
        <v>18074</v>
      </c>
      <c r="D453" s="131" t="s">
        <v>31</v>
      </c>
      <c r="E453" s="110" t="s">
        <v>18075</v>
      </c>
      <c r="F453" s="131" t="s">
        <v>31</v>
      </c>
      <c r="G453" s="133">
        <v>205.44999999999999</v>
      </c>
      <c r="H453" s="134">
        <v>205.44999999999999</v>
      </c>
      <c r="I453" s="131" t="s">
        <v>17190</v>
      </c>
      <c r="J453" s="88"/>
    </row>
    <row r="454" ht="38.25">
      <c r="A454" s="108">
        <v>1697</v>
      </c>
      <c r="B454" s="131" t="s">
        <v>17429</v>
      </c>
      <c r="C454" s="132" t="s">
        <v>18076</v>
      </c>
      <c r="D454" s="131" t="s">
        <v>31</v>
      </c>
      <c r="E454" s="110" t="s">
        <v>18077</v>
      </c>
      <c r="F454" s="131" t="s">
        <v>31</v>
      </c>
      <c r="G454" s="133">
        <v>346.86000000000001</v>
      </c>
      <c r="H454" s="134">
        <v>346.86000000000001</v>
      </c>
      <c r="I454" s="131" t="s">
        <v>17171</v>
      </c>
      <c r="J454" s="88"/>
    </row>
    <row r="455" ht="25.5">
      <c r="A455" s="108">
        <v>1698</v>
      </c>
      <c r="B455" s="131" t="s">
        <v>17429</v>
      </c>
      <c r="C455" s="132" t="s">
        <v>18078</v>
      </c>
      <c r="D455" s="131" t="s">
        <v>31</v>
      </c>
      <c r="E455" s="110" t="s">
        <v>18079</v>
      </c>
      <c r="F455" s="131" t="s">
        <v>31</v>
      </c>
      <c r="G455" s="133">
        <v>799.70000000000005</v>
      </c>
      <c r="H455" s="134">
        <v>799.70000000000005</v>
      </c>
      <c r="I455" s="131" t="s">
        <v>17171</v>
      </c>
      <c r="J455" s="88"/>
    </row>
    <row r="456">
      <c r="A456" s="108">
        <v>2422</v>
      </c>
      <c r="B456" s="131" t="s">
        <v>17182</v>
      </c>
      <c r="C456" s="132" t="s">
        <v>18080</v>
      </c>
      <c r="D456" s="131" t="s">
        <v>31</v>
      </c>
      <c r="E456" s="110" t="s">
        <v>18081</v>
      </c>
      <c r="F456" s="131" t="s">
        <v>31</v>
      </c>
      <c r="G456" s="133">
        <v>779</v>
      </c>
      <c r="H456" s="134">
        <v>779</v>
      </c>
      <c r="I456" s="131" t="s">
        <v>17171</v>
      </c>
      <c r="J456" s="88"/>
    </row>
    <row r="457" ht="25.5">
      <c r="A457" s="108">
        <v>2451</v>
      </c>
      <c r="B457" s="131" t="s">
        <v>17182</v>
      </c>
      <c r="C457" s="132" t="s">
        <v>18082</v>
      </c>
      <c r="D457" s="131" t="s">
        <v>31</v>
      </c>
      <c r="E457" s="110" t="s">
        <v>18083</v>
      </c>
      <c r="F457" s="131" t="s">
        <v>31</v>
      </c>
      <c r="G457" s="133">
        <v>1311.6199999999999</v>
      </c>
      <c r="H457" s="134">
        <v>1311.6199999999999</v>
      </c>
      <c r="I457" s="131" t="s">
        <v>17171</v>
      </c>
      <c r="J457" s="88"/>
    </row>
    <row r="458">
      <c r="A458" s="108">
        <v>8543</v>
      </c>
      <c r="B458" s="131" t="s">
        <v>17492</v>
      </c>
      <c r="C458" s="132" t="s">
        <v>18084</v>
      </c>
      <c r="D458" s="131" t="s">
        <v>31</v>
      </c>
      <c r="E458" s="110" t="s">
        <v>18085</v>
      </c>
      <c r="F458" s="131" t="s">
        <v>31</v>
      </c>
      <c r="G458" s="133">
        <v>52.5</v>
      </c>
      <c r="H458" s="134">
        <v>52.5</v>
      </c>
      <c r="I458" s="131" t="s">
        <v>17171</v>
      </c>
      <c r="J458" s="88"/>
    </row>
    <row r="459" ht="25.5">
      <c r="A459" s="108">
        <v>8542</v>
      </c>
      <c r="B459" s="131" t="s">
        <v>17492</v>
      </c>
      <c r="C459" s="132" t="s">
        <v>18086</v>
      </c>
      <c r="D459" s="131" t="s">
        <v>31</v>
      </c>
      <c r="E459" s="110" t="s">
        <v>18087</v>
      </c>
      <c r="F459" s="131" t="s">
        <v>31</v>
      </c>
      <c r="G459" s="133">
        <v>38.520000000000003</v>
      </c>
      <c r="H459" s="134">
        <v>38.520000000000003</v>
      </c>
      <c r="I459" s="131" t="s">
        <v>17171</v>
      </c>
      <c r="J459" s="88"/>
    </row>
    <row r="460">
      <c r="A460" s="108">
        <v>1071</v>
      </c>
      <c r="B460" s="131" t="s">
        <v>17492</v>
      </c>
      <c r="C460" s="132" t="s">
        <v>18088</v>
      </c>
      <c r="D460" s="131" t="s">
        <v>31</v>
      </c>
      <c r="E460" s="110" t="s">
        <v>18089</v>
      </c>
      <c r="F460" s="131" t="s">
        <v>31</v>
      </c>
      <c r="G460" s="133">
        <v>4.5499999999999998</v>
      </c>
      <c r="H460" s="134">
        <v>4.5499999999999998</v>
      </c>
      <c r="I460" s="131" t="s">
        <v>17171</v>
      </c>
      <c r="J460" s="88"/>
    </row>
    <row r="461" ht="25.5">
      <c r="A461" s="108">
        <v>1868</v>
      </c>
      <c r="B461" s="131" t="s">
        <v>17492</v>
      </c>
      <c r="C461" s="132" t="s">
        <v>18090</v>
      </c>
      <c r="D461" s="131" t="s">
        <v>38</v>
      </c>
      <c r="E461" s="110" t="s">
        <v>18091</v>
      </c>
      <c r="F461" s="131" t="s">
        <v>38</v>
      </c>
      <c r="G461" s="133">
        <v>61.200000000000003</v>
      </c>
      <c r="H461" s="134">
        <v>61.200000000000003</v>
      </c>
      <c r="I461" s="131" t="s">
        <v>17171</v>
      </c>
      <c r="J461" s="88"/>
    </row>
    <row r="462" ht="25.5">
      <c r="A462" s="108">
        <v>4066</v>
      </c>
      <c r="B462" s="131" t="s">
        <v>17250</v>
      </c>
      <c r="C462" s="132" t="s">
        <v>18092</v>
      </c>
      <c r="D462" s="131" t="s">
        <v>2032</v>
      </c>
      <c r="E462" s="110" t="s">
        <v>18093</v>
      </c>
      <c r="F462" s="131" t="s">
        <v>2032</v>
      </c>
      <c r="G462" s="133">
        <v>1.8899999999999999</v>
      </c>
      <c r="H462" s="134">
        <v>1.7</v>
      </c>
      <c r="I462" s="131" t="s">
        <v>17171</v>
      </c>
      <c r="J462" s="88"/>
    </row>
    <row r="463" ht="25.5">
      <c r="A463" s="108">
        <v>4067</v>
      </c>
      <c r="B463" s="131" t="s">
        <v>17273</v>
      </c>
      <c r="C463" s="132" t="s">
        <v>18094</v>
      </c>
      <c r="D463" s="131" t="s">
        <v>2032</v>
      </c>
      <c r="E463" s="110" t="s">
        <v>18095</v>
      </c>
      <c r="F463" s="131" t="s">
        <v>2032</v>
      </c>
      <c r="G463" s="133">
        <v>7.0000000000000007e-002</v>
      </c>
      <c r="H463" s="134">
        <v>5.9999999999999998e-002</v>
      </c>
      <c r="I463" s="131" t="s">
        <v>17190</v>
      </c>
      <c r="J463" s="88"/>
    </row>
    <row r="464" ht="38.25">
      <c r="A464" s="108">
        <v>3168</v>
      </c>
      <c r="B464" s="131" t="s">
        <v>17407</v>
      </c>
      <c r="C464" s="132" t="s">
        <v>18096</v>
      </c>
      <c r="D464" s="131" t="s">
        <v>31</v>
      </c>
      <c r="E464" s="110" t="s">
        <v>18097</v>
      </c>
      <c r="F464" s="131" t="s">
        <v>31</v>
      </c>
      <c r="G464" s="133">
        <v>168.72999999999999</v>
      </c>
      <c r="H464" s="134">
        <v>168.72999999999999</v>
      </c>
      <c r="I464" s="131" t="s">
        <v>17190</v>
      </c>
      <c r="J464" s="88"/>
    </row>
    <row r="465" ht="38.25">
      <c r="A465" s="108">
        <v>7356</v>
      </c>
      <c r="B465" s="131" t="s">
        <v>17398</v>
      </c>
      <c r="C465" s="132" t="s">
        <v>18098</v>
      </c>
      <c r="D465" s="131" t="s">
        <v>31</v>
      </c>
      <c r="E465" s="110" t="s">
        <v>18099</v>
      </c>
      <c r="F465" s="131" t="s">
        <v>31</v>
      </c>
      <c r="G465" s="133">
        <v>4.8200000000000003</v>
      </c>
      <c r="H465" s="134">
        <v>4.8200000000000003</v>
      </c>
      <c r="I465" s="131" t="s">
        <v>17190</v>
      </c>
      <c r="J465" s="88"/>
    </row>
    <row r="466" ht="38.25">
      <c r="A466" s="108">
        <v>7355</v>
      </c>
      <c r="B466" s="131" t="s">
        <v>17398</v>
      </c>
      <c r="C466" s="132" t="s">
        <v>18100</v>
      </c>
      <c r="D466" s="131" t="s">
        <v>31</v>
      </c>
      <c r="E466" s="110" t="s">
        <v>18101</v>
      </c>
      <c r="F466" s="131" t="s">
        <v>31</v>
      </c>
      <c r="G466" s="133">
        <v>7.6699999999999999</v>
      </c>
      <c r="H466" s="134">
        <v>7.6699999999999999</v>
      </c>
      <c r="I466" s="131" t="s">
        <v>17190</v>
      </c>
      <c r="J466" s="88"/>
    </row>
    <row r="467" ht="38.25">
      <c r="A467" s="108">
        <v>7365</v>
      </c>
      <c r="B467" s="131" t="s">
        <v>17398</v>
      </c>
      <c r="C467" s="132" t="s">
        <v>18102</v>
      </c>
      <c r="D467" s="131" t="s">
        <v>31</v>
      </c>
      <c r="E467" s="110" t="s">
        <v>18103</v>
      </c>
      <c r="F467" s="131" t="s">
        <v>31</v>
      </c>
      <c r="G467" s="133">
        <v>16.190000000000001</v>
      </c>
      <c r="H467" s="134">
        <v>16.190000000000001</v>
      </c>
      <c r="I467" s="131" t="s">
        <v>17190</v>
      </c>
      <c r="J467" s="88"/>
    </row>
    <row r="468" ht="38.25">
      <c r="A468" s="108">
        <v>7354</v>
      </c>
      <c r="B468" s="131" t="s">
        <v>17407</v>
      </c>
      <c r="C468" s="132" t="s">
        <v>18104</v>
      </c>
      <c r="D468" s="131" t="s">
        <v>31</v>
      </c>
      <c r="E468" s="110" t="s">
        <v>18105</v>
      </c>
      <c r="F468" s="131" t="s">
        <v>31</v>
      </c>
      <c r="G468" s="133">
        <v>23.719999999999999</v>
      </c>
      <c r="H468" s="134">
        <v>23.719999999999999</v>
      </c>
      <c r="I468" s="131" t="s">
        <v>17190</v>
      </c>
      <c r="J468" s="88"/>
    </row>
    <row r="469" ht="38.25">
      <c r="A469" s="108">
        <v>7360</v>
      </c>
      <c r="B469" s="131" t="s">
        <v>17398</v>
      </c>
      <c r="C469" s="132" t="s">
        <v>18104</v>
      </c>
      <c r="D469" s="131" t="s">
        <v>31</v>
      </c>
      <c r="E469" s="110" t="s">
        <v>18106</v>
      </c>
      <c r="F469" s="131" t="s">
        <v>31</v>
      </c>
      <c r="G469" s="133">
        <v>23.719999999999999</v>
      </c>
      <c r="H469" s="134">
        <v>23.719999999999999</v>
      </c>
      <c r="I469" s="131" t="s">
        <v>17190</v>
      </c>
      <c r="J469" s="88"/>
    </row>
    <row r="470" ht="38.25">
      <c r="A470" s="108">
        <v>7400</v>
      </c>
      <c r="B470" s="131" t="s">
        <v>17407</v>
      </c>
      <c r="C470" s="132" t="s">
        <v>18107</v>
      </c>
      <c r="D470" s="131" t="s">
        <v>31</v>
      </c>
      <c r="E470" s="110" t="s">
        <v>18108</v>
      </c>
      <c r="F470" s="131" t="s">
        <v>31</v>
      </c>
      <c r="G470" s="133">
        <v>36.079999999999998</v>
      </c>
      <c r="H470" s="134">
        <v>36.079999999999998</v>
      </c>
      <c r="I470" s="131" t="s">
        <v>17190</v>
      </c>
      <c r="J470" s="88"/>
    </row>
    <row r="471" ht="38.25">
      <c r="A471" s="108">
        <v>7370</v>
      </c>
      <c r="B471" s="131" t="s">
        <v>17398</v>
      </c>
      <c r="C471" s="132" t="s">
        <v>18109</v>
      </c>
      <c r="D471" s="131" t="s">
        <v>31</v>
      </c>
      <c r="E471" s="110" t="s">
        <v>18110</v>
      </c>
      <c r="F471" s="131" t="s">
        <v>31</v>
      </c>
      <c r="G471" s="133">
        <v>63.549999999999997</v>
      </c>
      <c r="H471" s="134">
        <v>63.549999999999997</v>
      </c>
      <c r="I471" s="131" t="s">
        <v>17190</v>
      </c>
      <c r="J471" s="88"/>
    </row>
    <row r="472" ht="38.25">
      <c r="A472" s="108">
        <v>3165</v>
      </c>
      <c r="B472" s="131" t="s">
        <v>17407</v>
      </c>
      <c r="C472" s="132" t="s">
        <v>18111</v>
      </c>
      <c r="D472" s="131" t="s">
        <v>31</v>
      </c>
      <c r="E472" s="110" t="s">
        <v>18112</v>
      </c>
      <c r="F472" s="131" t="s">
        <v>31</v>
      </c>
      <c r="G472" s="133">
        <v>85.959999999999994</v>
      </c>
      <c r="H472" s="134">
        <v>85.959999999999994</v>
      </c>
      <c r="I472" s="131" t="s">
        <v>17190</v>
      </c>
      <c r="J472" s="88"/>
    </row>
    <row r="473" ht="38.25">
      <c r="A473" s="108">
        <v>3185</v>
      </c>
      <c r="B473" s="131" t="s">
        <v>17407</v>
      </c>
      <c r="C473" s="132" t="s">
        <v>18113</v>
      </c>
      <c r="D473" s="131" t="s">
        <v>31</v>
      </c>
      <c r="E473" s="110" t="s">
        <v>18114</v>
      </c>
      <c r="F473" s="131" t="s">
        <v>31</v>
      </c>
      <c r="G473" s="133">
        <v>3.3700000000000001</v>
      </c>
      <c r="H473" s="134">
        <v>3.3700000000000001</v>
      </c>
      <c r="I473" s="131" t="s">
        <v>17190</v>
      </c>
      <c r="J473" s="88"/>
    </row>
    <row r="474" ht="38.25">
      <c r="A474" s="108">
        <v>2176</v>
      </c>
      <c r="B474" s="131" t="s">
        <v>17398</v>
      </c>
      <c r="C474" s="132" t="s">
        <v>18115</v>
      </c>
      <c r="D474" s="131" t="s">
        <v>31</v>
      </c>
      <c r="E474" s="110" t="s">
        <v>18116</v>
      </c>
      <c r="F474" s="131" t="s">
        <v>31</v>
      </c>
      <c r="G474" s="133">
        <v>3.8100000000000001</v>
      </c>
      <c r="H474" s="134">
        <v>3.8100000000000001</v>
      </c>
      <c r="I474" s="131" t="s">
        <v>17190</v>
      </c>
      <c r="J474" s="88"/>
    </row>
    <row r="475" ht="38.25">
      <c r="A475" s="108">
        <v>3190</v>
      </c>
      <c r="B475" s="131" t="s">
        <v>17407</v>
      </c>
      <c r="C475" s="132" t="s">
        <v>18115</v>
      </c>
      <c r="D475" s="131" t="s">
        <v>31</v>
      </c>
      <c r="E475" s="110" t="s">
        <v>18117</v>
      </c>
      <c r="F475" s="131" t="s">
        <v>31</v>
      </c>
      <c r="G475" s="133">
        <v>3.8100000000000001</v>
      </c>
      <c r="H475" s="134">
        <v>3.8100000000000001</v>
      </c>
      <c r="I475" s="131" t="s">
        <v>17190</v>
      </c>
      <c r="J475" s="88"/>
    </row>
    <row r="476" ht="38.25">
      <c r="A476" s="108">
        <v>2169</v>
      </c>
      <c r="B476" s="131" t="s">
        <v>17398</v>
      </c>
      <c r="C476" s="132" t="s">
        <v>18118</v>
      </c>
      <c r="D476" s="131" t="s">
        <v>31</v>
      </c>
      <c r="E476" s="110" t="s">
        <v>18119</v>
      </c>
      <c r="F476" s="131" t="s">
        <v>31</v>
      </c>
      <c r="G476" s="133">
        <v>5.1799999999999997</v>
      </c>
      <c r="H476" s="134">
        <v>5.1799999999999997</v>
      </c>
      <c r="I476" s="131" t="s">
        <v>17190</v>
      </c>
      <c r="J476" s="88"/>
    </row>
    <row r="477" ht="38.25">
      <c r="A477" s="108">
        <v>6146</v>
      </c>
      <c r="B477" s="131" t="s">
        <v>17273</v>
      </c>
      <c r="C477" s="132" t="s">
        <v>18120</v>
      </c>
      <c r="D477" s="131" t="s">
        <v>31</v>
      </c>
      <c r="E477" s="110" t="s">
        <v>18121</v>
      </c>
      <c r="F477" s="131" t="s">
        <v>31</v>
      </c>
      <c r="G477" s="133">
        <v>11.81</v>
      </c>
      <c r="H477" s="134">
        <v>11.81</v>
      </c>
      <c r="I477" s="131" t="s">
        <v>17190</v>
      </c>
      <c r="J477" s="88"/>
    </row>
    <row r="478" ht="38.25">
      <c r="A478" s="108">
        <v>2170</v>
      </c>
      <c r="B478" s="131" t="s">
        <v>17398</v>
      </c>
      <c r="C478" s="132" t="s">
        <v>18122</v>
      </c>
      <c r="D478" s="131" t="s">
        <v>31</v>
      </c>
      <c r="E478" s="110" t="s">
        <v>18123</v>
      </c>
      <c r="F478" s="131" t="s">
        <v>31</v>
      </c>
      <c r="G478" s="133">
        <v>14.4</v>
      </c>
      <c r="H478" s="134">
        <v>14.4</v>
      </c>
      <c r="I478" s="131" t="s">
        <v>17190</v>
      </c>
      <c r="J478" s="88"/>
    </row>
    <row r="479" ht="38.25">
      <c r="A479" s="108">
        <v>2173</v>
      </c>
      <c r="B479" s="131" t="s">
        <v>17398</v>
      </c>
      <c r="C479" s="132" t="s">
        <v>18124</v>
      </c>
      <c r="D479" s="131" t="s">
        <v>31</v>
      </c>
      <c r="E479" s="110" t="s">
        <v>18125</v>
      </c>
      <c r="F479" s="131" t="s">
        <v>31</v>
      </c>
      <c r="G479" s="133">
        <v>21.140000000000001</v>
      </c>
      <c r="H479" s="134">
        <v>21.140000000000001</v>
      </c>
      <c r="I479" s="131" t="s">
        <v>17190</v>
      </c>
      <c r="J479" s="88"/>
    </row>
    <row r="480" ht="38.25">
      <c r="A480" s="108">
        <v>7367</v>
      </c>
      <c r="B480" s="131" t="s">
        <v>17398</v>
      </c>
      <c r="C480" s="132" t="s">
        <v>18126</v>
      </c>
      <c r="D480" s="131" t="s">
        <v>31</v>
      </c>
      <c r="E480" s="110" t="s">
        <v>18127</v>
      </c>
      <c r="F480" s="131" t="s">
        <v>31</v>
      </c>
      <c r="G480" s="133">
        <v>53.539999999999999</v>
      </c>
      <c r="H480" s="134">
        <v>53.539999999999999</v>
      </c>
      <c r="I480" s="131" t="s">
        <v>17190</v>
      </c>
      <c r="J480" s="88"/>
    </row>
    <row r="481" ht="38.25">
      <c r="A481" s="108">
        <v>6156</v>
      </c>
      <c r="B481" s="131" t="s">
        <v>17273</v>
      </c>
      <c r="C481" s="132" t="s">
        <v>18128</v>
      </c>
      <c r="D481" s="131" t="s">
        <v>31</v>
      </c>
      <c r="E481" s="110" t="s">
        <v>18129</v>
      </c>
      <c r="F481" s="131" t="s">
        <v>31</v>
      </c>
      <c r="G481" s="133">
        <v>70.290000000000006</v>
      </c>
      <c r="H481" s="134">
        <v>70.290000000000006</v>
      </c>
      <c r="I481" s="131" t="s">
        <v>17190</v>
      </c>
      <c r="J481" s="88"/>
    </row>
    <row r="482" ht="51">
      <c r="A482" s="108">
        <v>1822</v>
      </c>
      <c r="B482" s="131" t="s">
        <v>17215</v>
      </c>
      <c r="C482" s="132" t="s">
        <v>18130</v>
      </c>
      <c r="D482" s="131" t="s">
        <v>31</v>
      </c>
      <c r="E482" s="110" t="s">
        <v>18131</v>
      </c>
      <c r="F482" s="131" t="s">
        <v>31</v>
      </c>
      <c r="G482" s="133">
        <v>40.07</v>
      </c>
      <c r="H482" s="134">
        <v>38.409999999999997</v>
      </c>
      <c r="I482" s="131" t="s">
        <v>17190</v>
      </c>
      <c r="J482" s="88"/>
    </row>
    <row r="483" ht="25.5">
      <c r="A483" s="108">
        <v>6149</v>
      </c>
      <c r="B483" s="131" t="s">
        <v>17273</v>
      </c>
      <c r="C483" s="132" t="s">
        <v>18132</v>
      </c>
      <c r="D483" s="131" t="s">
        <v>31</v>
      </c>
      <c r="E483" s="110" t="s">
        <v>18133</v>
      </c>
      <c r="F483" s="131" t="s">
        <v>31</v>
      </c>
      <c r="G483" s="133">
        <v>4.3399999999999999</v>
      </c>
      <c r="H483" s="134">
        <v>4.3399999999999999</v>
      </c>
      <c r="I483" s="131" t="s">
        <v>17190</v>
      </c>
      <c r="J483" s="88"/>
    </row>
    <row r="484" ht="25.5">
      <c r="A484" s="108">
        <v>6147</v>
      </c>
      <c r="B484" s="131" t="s">
        <v>17273</v>
      </c>
      <c r="C484" s="132" t="s">
        <v>18134</v>
      </c>
      <c r="D484" s="131" t="s">
        <v>31</v>
      </c>
      <c r="E484" s="110" t="s">
        <v>18135</v>
      </c>
      <c r="F484" s="131" t="s">
        <v>31</v>
      </c>
      <c r="G484" s="133">
        <v>3.5800000000000001</v>
      </c>
      <c r="H484" s="134">
        <v>3.5800000000000001</v>
      </c>
      <c r="I484" s="131" t="s">
        <v>17190</v>
      </c>
      <c r="J484" s="88"/>
    </row>
    <row r="485" ht="25.5">
      <c r="A485" s="108">
        <v>6144</v>
      </c>
      <c r="B485" s="131" t="s">
        <v>17273</v>
      </c>
      <c r="C485" s="132" t="s">
        <v>18136</v>
      </c>
      <c r="D485" s="131" t="s">
        <v>31</v>
      </c>
      <c r="E485" s="110" t="s">
        <v>18137</v>
      </c>
      <c r="F485" s="131" t="s">
        <v>31</v>
      </c>
      <c r="G485" s="133">
        <v>3.1800000000000002</v>
      </c>
      <c r="H485" s="134">
        <v>3.1800000000000002</v>
      </c>
      <c r="I485" s="131" t="s">
        <v>17190</v>
      </c>
      <c r="J485" s="88"/>
    </row>
    <row r="486" ht="25.5">
      <c r="A486" s="108">
        <v>6154</v>
      </c>
      <c r="B486" s="131" t="s">
        <v>17273</v>
      </c>
      <c r="C486" s="132" t="s">
        <v>18138</v>
      </c>
      <c r="D486" s="131" t="s">
        <v>31</v>
      </c>
      <c r="E486" s="110" t="s">
        <v>18139</v>
      </c>
      <c r="F486" s="131" t="s">
        <v>31</v>
      </c>
      <c r="G486" s="133">
        <v>7.0499999999999998</v>
      </c>
      <c r="H486" s="134">
        <v>7.0499999999999998</v>
      </c>
      <c r="I486" s="131" t="s">
        <v>17190</v>
      </c>
      <c r="J486" s="88"/>
    </row>
    <row r="487" ht="25.5">
      <c r="A487" s="108">
        <v>6157</v>
      </c>
      <c r="B487" s="131" t="s">
        <v>17273</v>
      </c>
      <c r="C487" s="132" t="s">
        <v>18140</v>
      </c>
      <c r="D487" s="131" t="s">
        <v>31</v>
      </c>
      <c r="E487" s="110" t="s">
        <v>18141</v>
      </c>
      <c r="F487" s="131" t="s">
        <v>31</v>
      </c>
      <c r="G487" s="133">
        <v>18.02</v>
      </c>
      <c r="H487" s="134">
        <v>18.02</v>
      </c>
      <c r="I487" s="131" t="s">
        <v>17190</v>
      </c>
      <c r="J487" s="88"/>
    </row>
    <row r="488" ht="25.5">
      <c r="A488" s="108">
        <v>6137</v>
      </c>
      <c r="B488" s="131" t="s">
        <v>17273</v>
      </c>
      <c r="C488" s="132" t="s">
        <v>18142</v>
      </c>
      <c r="D488" s="131" t="s">
        <v>31</v>
      </c>
      <c r="E488" s="110" t="s">
        <v>18143</v>
      </c>
      <c r="F488" s="131" t="s">
        <v>31</v>
      </c>
      <c r="G488" s="133">
        <v>2.1000000000000001</v>
      </c>
      <c r="H488" s="134">
        <v>2.1000000000000001</v>
      </c>
      <c r="I488" s="131" t="s">
        <v>17190</v>
      </c>
      <c r="J488" s="88"/>
    </row>
    <row r="489" ht="25.5">
      <c r="A489" s="108">
        <v>6162</v>
      </c>
      <c r="B489" s="131" t="s">
        <v>17273</v>
      </c>
      <c r="C489" s="132" t="s">
        <v>18144</v>
      </c>
      <c r="D489" s="131" t="s">
        <v>31</v>
      </c>
      <c r="E489" s="110" t="s">
        <v>18145</v>
      </c>
      <c r="F489" s="131" t="s">
        <v>31</v>
      </c>
      <c r="G489" s="133">
        <v>36.200000000000003</v>
      </c>
      <c r="H489" s="134">
        <v>36.200000000000003</v>
      </c>
      <c r="I489" s="131" t="s">
        <v>17190</v>
      </c>
      <c r="J489" s="88"/>
    </row>
    <row r="490" ht="51">
      <c r="A490" s="108">
        <v>1775</v>
      </c>
      <c r="B490" s="131" t="s">
        <v>17215</v>
      </c>
      <c r="C490" s="132" t="s">
        <v>18146</v>
      </c>
      <c r="D490" s="131" t="s">
        <v>31</v>
      </c>
      <c r="E490" s="110" t="s">
        <v>18147</v>
      </c>
      <c r="F490" s="131" t="s">
        <v>31</v>
      </c>
      <c r="G490" s="133">
        <v>41.579999999999998</v>
      </c>
      <c r="H490" s="134">
        <v>41</v>
      </c>
      <c r="I490" s="131" t="s">
        <v>17190</v>
      </c>
      <c r="J490" s="88"/>
    </row>
    <row r="491" ht="25.5">
      <c r="A491" s="108">
        <v>1875</v>
      </c>
      <c r="B491" s="131" t="s">
        <v>17273</v>
      </c>
      <c r="C491" s="132" t="s">
        <v>18148</v>
      </c>
      <c r="D491" s="131" t="s">
        <v>31</v>
      </c>
      <c r="E491" s="110" t="s">
        <v>18149</v>
      </c>
      <c r="F491" s="131" t="s">
        <v>31</v>
      </c>
      <c r="G491" s="133">
        <v>3.2799999999999998</v>
      </c>
      <c r="H491" s="134">
        <v>3.2799999999999998</v>
      </c>
      <c r="I491" s="131" t="s">
        <v>17190</v>
      </c>
      <c r="J491" s="88"/>
    </row>
    <row r="492" ht="25.5">
      <c r="A492" s="108">
        <v>8310</v>
      </c>
      <c r="B492" s="131" t="s">
        <v>18150</v>
      </c>
      <c r="C492" s="132" t="s">
        <v>18151</v>
      </c>
      <c r="D492" s="131" t="s">
        <v>31</v>
      </c>
      <c r="E492" s="110" t="s">
        <v>18152</v>
      </c>
      <c r="F492" s="131" t="s">
        <v>31</v>
      </c>
      <c r="G492" s="133">
        <v>25.550000000000001</v>
      </c>
      <c r="H492" s="134">
        <v>25.550000000000001</v>
      </c>
      <c r="I492" s="131" t="s">
        <v>17190</v>
      </c>
      <c r="J492" s="88"/>
    </row>
    <row r="493" ht="25.5">
      <c r="A493" s="108">
        <v>8309</v>
      </c>
      <c r="B493" s="131" t="s">
        <v>18150</v>
      </c>
      <c r="C493" s="132" t="s">
        <v>18153</v>
      </c>
      <c r="D493" s="131" t="s">
        <v>31</v>
      </c>
      <c r="E493" s="110" t="s">
        <v>18154</v>
      </c>
      <c r="F493" s="131" t="s">
        <v>31</v>
      </c>
      <c r="G493" s="133">
        <v>26.289999999999999</v>
      </c>
      <c r="H493" s="134">
        <v>26.289999999999999</v>
      </c>
      <c r="I493" s="131" t="s">
        <v>17190</v>
      </c>
      <c r="J493" s="88"/>
    </row>
    <row r="494" ht="25.5">
      <c r="A494" s="108">
        <v>1075</v>
      </c>
      <c r="B494" s="131" t="s">
        <v>17905</v>
      </c>
      <c r="C494" s="132" t="s">
        <v>18155</v>
      </c>
      <c r="D494" s="131" t="s">
        <v>9794</v>
      </c>
      <c r="E494" s="110" t="s">
        <v>18156</v>
      </c>
      <c r="F494" s="131" t="s">
        <v>9794</v>
      </c>
      <c r="G494" s="133">
        <v>7.7800000000000002</v>
      </c>
      <c r="H494" s="134">
        <v>7.7800000000000002</v>
      </c>
      <c r="I494" s="131" t="s">
        <v>17190</v>
      </c>
      <c r="J494" s="88"/>
    </row>
    <row r="495" ht="25.5">
      <c r="A495" s="108">
        <v>1566</v>
      </c>
      <c r="B495" s="131" t="s">
        <v>17194</v>
      </c>
      <c r="C495" s="132" t="s">
        <v>18157</v>
      </c>
      <c r="D495" s="131" t="s">
        <v>31</v>
      </c>
      <c r="E495" s="110" t="s">
        <v>18158</v>
      </c>
      <c r="F495" s="131" t="s">
        <v>31</v>
      </c>
      <c r="G495" s="133">
        <v>80.079999999999998</v>
      </c>
      <c r="H495" s="134">
        <v>80.079999999999998</v>
      </c>
      <c r="I495" s="131" t="s">
        <v>17171</v>
      </c>
      <c r="J495" s="88"/>
    </row>
    <row r="496" ht="25.5">
      <c r="A496" s="108">
        <v>1565</v>
      </c>
      <c r="B496" s="131" t="s">
        <v>17194</v>
      </c>
      <c r="C496" s="132" t="s">
        <v>18159</v>
      </c>
      <c r="D496" s="131" t="s">
        <v>31</v>
      </c>
      <c r="E496" s="110" t="s">
        <v>18160</v>
      </c>
      <c r="F496" s="131" t="s">
        <v>31</v>
      </c>
      <c r="G496" s="133">
        <v>150.65000000000001</v>
      </c>
      <c r="H496" s="134">
        <v>150.65000000000001</v>
      </c>
      <c r="I496" s="131" t="s">
        <v>17171</v>
      </c>
      <c r="J496" s="88"/>
    </row>
    <row r="497" ht="38.25">
      <c r="A497" s="108">
        <v>1564</v>
      </c>
      <c r="B497" s="131" t="s">
        <v>17194</v>
      </c>
      <c r="C497" s="132" t="s">
        <v>18161</v>
      </c>
      <c r="D497" s="131" t="s">
        <v>31</v>
      </c>
      <c r="E497" s="110" t="s">
        <v>18162</v>
      </c>
      <c r="F497" s="131" t="s">
        <v>31</v>
      </c>
      <c r="G497" s="133">
        <v>2338</v>
      </c>
      <c r="H497" s="134">
        <v>2338</v>
      </c>
      <c r="I497" s="131" t="s">
        <v>17171</v>
      </c>
      <c r="J497" s="88"/>
    </row>
    <row r="498" ht="25.5">
      <c r="A498" s="108">
        <v>1567</v>
      </c>
      <c r="B498" s="131" t="s">
        <v>17194</v>
      </c>
      <c r="C498" s="132" t="s">
        <v>18163</v>
      </c>
      <c r="D498" s="131" t="s">
        <v>31</v>
      </c>
      <c r="E498" s="110" t="s">
        <v>18164</v>
      </c>
      <c r="F498" s="131" t="s">
        <v>31</v>
      </c>
      <c r="G498" s="133">
        <v>93.439999999999998</v>
      </c>
      <c r="H498" s="134">
        <v>93.439999999999998</v>
      </c>
      <c r="I498" s="131" t="s">
        <v>17171</v>
      </c>
      <c r="J498" s="88"/>
    </row>
    <row r="499" ht="25.5">
      <c r="A499" s="108">
        <v>1568</v>
      </c>
      <c r="B499" s="131" t="s">
        <v>17194</v>
      </c>
      <c r="C499" s="132" t="s">
        <v>18165</v>
      </c>
      <c r="D499" s="131" t="s">
        <v>31</v>
      </c>
      <c r="E499" s="110" t="s">
        <v>18166</v>
      </c>
      <c r="F499" s="131" t="s">
        <v>31</v>
      </c>
      <c r="G499" s="133">
        <v>167.38</v>
      </c>
      <c r="H499" s="134">
        <v>167.38</v>
      </c>
      <c r="I499" s="131" t="s">
        <v>17171</v>
      </c>
      <c r="J499" s="88"/>
    </row>
    <row r="500">
      <c r="A500" s="108">
        <v>6523</v>
      </c>
      <c r="B500" s="131" t="s">
        <v>17246</v>
      </c>
      <c r="C500" s="132" t="s">
        <v>18167</v>
      </c>
      <c r="D500" s="131" t="s">
        <v>9794</v>
      </c>
      <c r="E500" s="110" t="s">
        <v>18168</v>
      </c>
      <c r="F500" s="131" t="s">
        <v>9794</v>
      </c>
      <c r="G500" s="133">
        <v>17.600000000000001</v>
      </c>
      <c r="H500" s="134">
        <v>17.600000000000001</v>
      </c>
      <c r="I500" s="131" t="s">
        <v>17190</v>
      </c>
      <c r="J500" s="88"/>
    </row>
    <row r="501" ht="38.25">
      <c r="A501" s="108">
        <v>6296</v>
      </c>
      <c r="B501" s="131" t="s">
        <v>17273</v>
      </c>
      <c r="C501" s="132" t="s">
        <v>18169</v>
      </c>
      <c r="D501" s="131" t="s">
        <v>31</v>
      </c>
      <c r="E501" s="110" t="s">
        <v>18170</v>
      </c>
      <c r="F501" s="131" t="s">
        <v>31</v>
      </c>
      <c r="G501" s="133">
        <v>468.77999999999997</v>
      </c>
      <c r="H501" s="134">
        <v>468.77999999999997</v>
      </c>
      <c r="I501" s="131" t="s">
        <v>17190</v>
      </c>
      <c r="J501" s="88"/>
    </row>
    <row r="502" ht="38.25">
      <c r="A502" s="108">
        <v>7037</v>
      </c>
      <c r="B502" s="131" t="s">
        <v>17168</v>
      </c>
      <c r="C502" s="132" t="s">
        <v>18171</v>
      </c>
      <c r="D502" s="131" t="s">
        <v>31</v>
      </c>
      <c r="E502" s="110" t="s">
        <v>18172</v>
      </c>
      <c r="F502" s="131" t="s">
        <v>31</v>
      </c>
      <c r="G502" s="133">
        <v>43388.730000000003</v>
      </c>
      <c r="H502" s="134">
        <v>43388.730000000003</v>
      </c>
      <c r="I502" s="131" t="s">
        <v>17171</v>
      </c>
      <c r="J502" s="88"/>
    </row>
    <row r="503" ht="25.5">
      <c r="A503" s="108">
        <v>1825</v>
      </c>
      <c r="B503" s="131" t="s">
        <v>17215</v>
      </c>
      <c r="C503" s="132" t="s">
        <v>18173</v>
      </c>
      <c r="D503" s="131" t="s">
        <v>31</v>
      </c>
      <c r="E503" s="110" t="s">
        <v>18174</v>
      </c>
      <c r="F503" s="131" t="s">
        <v>31</v>
      </c>
      <c r="G503" s="133">
        <v>56.200000000000003</v>
      </c>
      <c r="H503" s="134">
        <v>55.859999999999999</v>
      </c>
      <c r="I503" s="131" t="s">
        <v>17190</v>
      </c>
      <c r="J503" s="88"/>
    </row>
    <row r="504" ht="25.5">
      <c r="A504" s="108">
        <v>1826</v>
      </c>
      <c r="B504" s="131" t="s">
        <v>17215</v>
      </c>
      <c r="C504" s="132" t="s">
        <v>18175</v>
      </c>
      <c r="D504" s="131" t="s">
        <v>31</v>
      </c>
      <c r="E504" s="110" t="s">
        <v>18176</v>
      </c>
      <c r="F504" s="131" t="s">
        <v>31</v>
      </c>
      <c r="G504" s="133">
        <v>58.630000000000003</v>
      </c>
      <c r="H504" s="134">
        <v>58.159999999999997</v>
      </c>
      <c r="I504" s="131" t="s">
        <v>17190</v>
      </c>
      <c r="J504" s="88"/>
    </row>
    <row r="505" ht="25.5">
      <c r="A505" s="108">
        <v>1827</v>
      </c>
      <c r="B505" s="131" t="s">
        <v>17215</v>
      </c>
      <c r="C505" s="132" t="s">
        <v>18177</v>
      </c>
      <c r="D505" s="131" t="s">
        <v>31</v>
      </c>
      <c r="E505" s="110" t="s">
        <v>18178</v>
      </c>
      <c r="F505" s="131" t="s">
        <v>31</v>
      </c>
      <c r="G505" s="133">
        <v>61.57</v>
      </c>
      <c r="H505" s="134">
        <v>60.920000000000002</v>
      </c>
      <c r="I505" s="131" t="s">
        <v>17190</v>
      </c>
      <c r="J505" s="88"/>
    </row>
    <row r="506" ht="38.25">
      <c r="A506" s="108">
        <v>1824</v>
      </c>
      <c r="B506" s="131" t="s">
        <v>17215</v>
      </c>
      <c r="C506" s="132" t="s">
        <v>18179</v>
      </c>
      <c r="D506" s="131" t="s">
        <v>31</v>
      </c>
      <c r="E506" s="110" t="s">
        <v>18180</v>
      </c>
      <c r="F506" s="131" t="s">
        <v>31</v>
      </c>
      <c r="G506" s="133">
        <v>11.99</v>
      </c>
      <c r="H506" s="134">
        <v>11.81</v>
      </c>
      <c r="I506" s="131" t="s">
        <v>17190</v>
      </c>
      <c r="J506" s="88"/>
    </row>
    <row r="507" ht="38.25">
      <c r="A507" s="108">
        <v>1923</v>
      </c>
      <c r="B507" s="131" t="s">
        <v>17273</v>
      </c>
      <c r="C507" s="132" t="s">
        <v>18181</v>
      </c>
      <c r="D507" s="131" t="s">
        <v>31</v>
      </c>
      <c r="E507" s="110" t="s">
        <v>18182</v>
      </c>
      <c r="F507" s="131" t="s">
        <v>31</v>
      </c>
      <c r="G507" s="133">
        <v>27.030000000000001</v>
      </c>
      <c r="H507" s="134">
        <v>26.550000000000001</v>
      </c>
      <c r="I507" s="131" t="s">
        <v>17190</v>
      </c>
      <c r="J507" s="88"/>
    </row>
    <row r="508">
      <c r="A508" s="108">
        <v>3435</v>
      </c>
      <c r="B508" s="131" t="s">
        <v>17801</v>
      </c>
      <c r="C508" s="132" t="s">
        <v>18183</v>
      </c>
      <c r="D508" s="131" t="s">
        <v>31</v>
      </c>
      <c r="E508" s="110" t="s">
        <v>18184</v>
      </c>
      <c r="F508" s="131" t="s">
        <v>31</v>
      </c>
      <c r="G508" s="133">
        <v>82.150000000000006</v>
      </c>
      <c r="H508" s="134">
        <v>82.150000000000006</v>
      </c>
      <c r="I508" s="131" t="s">
        <v>17171</v>
      </c>
      <c r="J508" s="88"/>
    </row>
    <row r="509">
      <c r="A509" s="108">
        <v>3436</v>
      </c>
      <c r="B509" s="131" t="s">
        <v>17801</v>
      </c>
      <c r="C509" s="132" t="s">
        <v>18185</v>
      </c>
      <c r="D509" s="131" t="s">
        <v>31</v>
      </c>
      <c r="E509" s="110" t="s">
        <v>18186</v>
      </c>
      <c r="F509" s="131" t="s">
        <v>31</v>
      </c>
      <c r="G509" s="133">
        <v>175.59999999999999</v>
      </c>
      <c r="H509" s="134">
        <v>175.59999999999999</v>
      </c>
      <c r="I509" s="131" t="s">
        <v>17171</v>
      </c>
      <c r="J509" s="88"/>
    </row>
    <row r="510" ht="25.5">
      <c r="A510" s="108">
        <v>7161</v>
      </c>
      <c r="B510" s="131" t="s">
        <v>17801</v>
      </c>
      <c r="C510" s="132" t="s">
        <v>18187</v>
      </c>
      <c r="D510" s="131" t="s">
        <v>31</v>
      </c>
      <c r="E510" s="110" t="s">
        <v>18188</v>
      </c>
      <c r="F510" s="131" t="s">
        <v>31</v>
      </c>
      <c r="G510" s="133">
        <v>330.68000000000001</v>
      </c>
      <c r="H510" s="134">
        <v>330.68000000000001</v>
      </c>
      <c r="I510" s="131" t="s">
        <v>17190</v>
      </c>
      <c r="J510" s="88"/>
    </row>
    <row r="511" ht="25.5">
      <c r="A511" s="108">
        <v>3427</v>
      </c>
      <c r="B511" s="131" t="s">
        <v>17801</v>
      </c>
      <c r="C511" s="132" t="s">
        <v>18189</v>
      </c>
      <c r="D511" s="131" t="s">
        <v>31</v>
      </c>
      <c r="E511" s="110" t="s">
        <v>18190</v>
      </c>
      <c r="F511" s="131" t="s">
        <v>31</v>
      </c>
      <c r="G511" s="133">
        <v>375.13999999999999</v>
      </c>
      <c r="H511" s="134">
        <v>375.13999999999999</v>
      </c>
      <c r="I511" s="131" t="s">
        <v>17190</v>
      </c>
      <c r="J511" s="88"/>
    </row>
    <row r="512" ht="25.5">
      <c r="A512" s="108">
        <v>6568</v>
      </c>
      <c r="B512" s="131" t="s">
        <v>17801</v>
      </c>
      <c r="C512" s="132" t="s">
        <v>18191</v>
      </c>
      <c r="D512" s="131" t="s">
        <v>31</v>
      </c>
      <c r="E512" s="110" t="s">
        <v>18192</v>
      </c>
      <c r="F512" s="131" t="s">
        <v>31</v>
      </c>
      <c r="G512" s="133">
        <v>526.47000000000003</v>
      </c>
      <c r="H512" s="134">
        <v>526.47000000000003</v>
      </c>
      <c r="I512" s="131" t="s">
        <v>17190</v>
      </c>
      <c r="J512" s="88"/>
    </row>
    <row r="513" ht="25.5">
      <c r="A513" s="108">
        <v>1532</v>
      </c>
      <c r="B513" s="131" t="s">
        <v>17273</v>
      </c>
      <c r="C513" s="132" t="s">
        <v>18193</v>
      </c>
      <c r="D513" s="131" t="s">
        <v>31</v>
      </c>
      <c r="E513" s="110" t="s">
        <v>18194</v>
      </c>
      <c r="F513" s="131" t="s">
        <v>31</v>
      </c>
      <c r="G513" s="133">
        <v>1211.0699999999999</v>
      </c>
      <c r="H513" s="134">
        <v>1211.0699999999999</v>
      </c>
      <c r="I513" s="131" t="s">
        <v>17190</v>
      </c>
      <c r="J513" s="88"/>
    </row>
    <row r="514" ht="25.5">
      <c r="A514" s="108">
        <v>1533</v>
      </c>
      <c r="B514" s="131" t="s">
        <v>17273</v>
      </c>
      <c r="C514" s="132" t="s">
        <v>18195</v>
      </c>
      <c r="D514" s="131" t="s">
        <v>31</v>
      </c>
      <c r="E514" s="110" t="s">
        <v>18196</v>
      </c>
      <c r="F514" s="131" t="s">
        <v>31</v>
      </c>
      <c r="G514" s="133">
        <v>1994.6199999999999</v>
      </c>
      <c r="H514" s="134">
        <v>1994.6199999999999</v>
      </c>
      <c r="I514" s="131" t="s">
        <v>17190</v>
      </c>
      <c r="J514" s="88"/>
    </row>
    <row r="515" ht="25.5">
      <c r="A515" s="108">
        <v>3421</v>
      </c>
      <c r="B515" s="131" t="s">
        <v>17801</v>
      </c>
      <c r="C515" s="132" t="s">
        <v>18197</v>
      </c>
      <c r="D515" s="131" t="s">
        <v>31</v>
      </c>
      <c r="E515" s="110" t="s">
        <v>18198</v>
      </c>
      <c r="F515" s="131" t="s">
        <v>31</v>
      </c>
      <c r="G515" s="133">
        <v>60.170000000000002</v>
      </c>
      <c r="H515" s="134">
        <v>60.170000000000002</v>
      </c>
      <c r="I515" s="131" t="s">
        <v>17190</v>
      </c>
      <c r="J515" s="88"/>
    </row>
    <row r="516" ht="25.5">
      <c r="A516" s="108">
        <v>3422</v>
      </c>
      <c r="B516" s="131" t="s">
        <v>17801</v>
      </c>
      <c r="C516" s="132" t="s">
        <v>18199</v>
      </c>
      <c r="D516" s="131" t="s">
        <v>31</v>
      </c>
      <c r="E516" s="110" t="s">
        <v>18200</v>
      </c>
      <c r="F516" s="131" t="s">
        <v>31</v>
      </c>
      <c r="G516" s="133">
        <v>92.290000000000006</v>
      </c>
      <c r="H516" s="134">
        <v>92.290000000000006</v>
      </c>
      <c r="I516" s="131" t="s">
        <v>17190</v>
      </c>
      <c r="J516" s="88"/>
    </row>
    <row r="517" ht="25.5">
      <c r="A517" s="108">
        <v>3418</v>
      </c>
      <c r="B517" s="131" t="s">
        <v>17801</v>
      </c>
      <c r="C517" s="132" t="s">
        <v>18201</v>
      </c>
      <c r="D517" s="131" t="s">
        <v>31</v>
      </c>
      <c r="E517" s="110" t="s">
        <v>18202</v>
      </c>
      <c r="F517" s="131" t="s">
        <v>31</v>
      </c>
      <c r="G517" s="133">
        <v>11.18</v>
      </c>
      <c r="H517" s="134">
        <v>11.18</v>
      </c>
      <c r="I517" s="131" t="s">
        <v>17190</v>
      </c>
      <c r="J517" s="88"/>
    </row>
    <row r="518" ht="25.5">
      <c r="A518" s="108">
        <v>6142</v>
      </c>
      <c r="B518" s="131" t="s">
        <v>17273</v>
      </c>
      <c r="C518" s="132" t="s">
        <v>18203</v>
      </c>
      <c r="D518" s="131" t="s">
        <v>31</v>
      </c>
      <c r="E518" s="110" t="s">
        <v>18204</v>
      </c>
      <c r="F518" s="131" t="s">
        <v>31</v>
      </c>
      <c r="G518" s="133">
        <v>18.75</v>
      </c>
      <c r="H518" s="134">
        <v>18.75</v>
      </c>
      <c r="I518" s="131" t="s">
        <v>17190</v>
      </c>
      <c r="J518" s="88"/>
    </row>
    <row r="519" ht="25.5">
      <c r="A519" s="108">
        <v>6143</v>
      </c>
      <c r="B519" s="131" t="s">
        <v>17273</v>
      </c>
      <c r="C519" s="132" t="s">
        <v>18205</v>
      </c>
      <c r="D519" s="131" t="s">
        <v>31</v>
      </c>
      <c r="E519" s="110" t="s">
        <v>18206</v>
      </c>
      <c r="F519" s="131" t="s">
        <v>31</v>
      </c>
      <c r="G519" s="133">
        <v>29.379999999999999</v>
      </c>
      <c r="H519" s="134">
        <v>29.379999999999999</v>
      </c>
      <c r="I519" s="131" t="s">
        <v>17190</v>
      </c>
      <c r="J519" s="88"/>
    </row>
    <row r="520" ht="25.5">
      <c r="A520" s="108">
        <v>3423</v>
      </c>
      <c r="B520" s="131" t="s">
        <v>17801</v>
      </c>
      <c r="C520" s="132" t="s">
        <v>18207</v>
      </c>
      <c r="D520" s="131" t="s">
        <v>31</v>
      </c>
      <c r="E520" s="110" t="s">
        <v>18208</v>
      </c>
      <c r="F520" s="131" t="s">
        <v>31</v>
      </c>
      <c r="G520" s="133">
        <v>75.049999999999997</v>
      </c>
      <c r="H520" s="134">
        <v>75.049999999999997</v>
      </c>
      <c r="I520" s="131" t="s">
        <v>17190</v>
      </c>
      <c r="J520" s="88"/>
    </row>
    <row r="521" ht="25.5">
      <c r="A521" s="108">
        <v>3424</v>
      </c>
      <c r="B521" s="131" t="s">
        <v>17801</v>
      </c>
      <c r="C521" s="132" t="s">
        <v>18209</v>
      </c>
      <c r="D521" s="131" t="s">
        <v>31</v>
      </c>
      <c r="E521" s="110" t="s">
        <v>18210</v>
      </c>
      <c r="F521" s="131" t="s">
        <v>31</v>
      </c>
      <c r="G521" s="133">
        <v>105.73999999999999</v>
      </c>
      <c r="H521" s="134">
        <v>105.73999999999999</v>
      </c>
      <c r="I521" s="131" t="s">
        <v>17190</v>
      </c>
      <c r="J521" s="88"/>
    </row>
    <row r="522">
      <c r="A522" s="108">
        <v>3425</v>
      </c>
      <c r="B522" s="131" t="s">
        <v>17801</v>
      </c>
      <c r="C522" s="132" t="s">
        <v>18211</v>
      </c>
      <c r="D522" s="131" t="s">
        <v>31</v>
      </c>
      <c r="E522" s="110" t="s">
        <v>18212</v>
      </c>
      <c r="F522" s="131" t="s">
        <v>31</v>
      </c>
      <c r="G522" s="133">
        <v>469.89999999999998</v>
      </c>
      <c r="H522" s="134">
        <v>469.89999999999998</v>
      </c>
      <c r="I522" s="131" t="s">
        <v>17171</v>
      </c>
      <c r="J522" s="88"/>
    </row>
    <row r="523" ht="25.5">
      <c r="A523" s="108">
        <v>1828</v>
      </c>
      <c r="B523" s="131" t="s">
        <v>17215</v>
      </c>
      <c r="C523" s="132" t="s">
        <v>18213</v>
      </c>
      <c r="D523" s="131" t="s">
        <v>31</v>
      </c>
      <c r="E523" s="110" t="s">
        <v>18214</v>
      </c>
      <c r="F523" s="131" t="s">
        <v>31</v>
      </c>
      <c r="G523" s="133">
        <v>78.760000000000005</v>
      </c>
      <c r="H523" s="134">
        <v>77.780000000000001</v>
      </c>
      <c r="I523" s="131" t="s">
        <v>17190</v>
      </c>
      <c r="J523" s="88"/>
    </row>
    <row r="524" ht="25.5">
      <c r="A524" s="108">
        <v>1829</v>
      </c>
      <c r="B524" s="131" t="s">
        <v>17215</v>
      </c>
      <c r="C524" s="132" t="s">
        <v>18215</v>
      </c>
      <c r="D524" s="131" t="s">
        <v>31</v>
      </c>
      <c r="E524" s="110" t="s">
        <v>18216</v>
      </c>
      <c r="F524" s="131" t="s">
        <v>31</v>
      </c>
      <c r="G524" s="133">
        <v>85.5</v>
      </c>
      <c r="H524" s="134">
        <v>84.040000000000006</v>
      </c>
      <c r="I524" s="131" t="s">
        <v>17190</v>
      </c>
      <c r="J524" s="88"/>
    </row>
    <row r="525" ht="25.5">
      <c r="A525" s="108">
        <v>1830</v>
      </c>
      <c r="B525" s="131" t="s">
        <v>17215</v>
      </c>
      <c r="C525" s="132" t="s">
        <v>18217</v>
      </c>
      <c r="D525" s="131" t="s">
        <v>31</v>
      </c>
      <c r="E525" s="110" t="s">
        <v>18218</v>
      </c>
      <c r="F525" s="131" t="s">
        <v>31</v>
      </c>
      <c r="G525" s="133">
        <v>94.260000000000005</v>
      </c>
      <c r="H525" s="134">
        <v>92.209999999999994</v>
      </c>
      <c r="I525" s="131" t="s">
        <v>17190</v>
      </c>
      <c r="J525" s="88"/>
    </row>
    <row r="526" ht="25.5">
      <c r="A526" s="108">
        <v>8546</v>
      </c>
      <c r="B526" s="131" t="s">
        <v>17801</v>
      </c>
      <c r="C526" s="132" t="s">
        <v>18219</v>
      </c>
      <c r="D526" s="131" t="s">
        <v>31</v>
      </c>
      <c r="E526" s="110" t="s">
        <v>18220</v>
      </c>
      <c r="F526" s="131" t="s">
        <v>31</v>
      </c>
      <c r="G526" s="133">
        <v>64.590000000000003</v>
      </c>
      <c r="H526" s="134">
        <v>64.590000000000003</v>
      </c>
      <c r="I526" s="131" t="s">
        <v>17190</v>
      </c>
      <c r="J526" s="88"/>
    </row>
    <row r="527" ht="25.5">
      <c r="A527" s="108">
        <v>1561</v>
      </c>
      <c r="B527" s="131" t="s">
        <v>17273</v>
      </c>
      <c r="C527" s="132" t="s">
        <v>18221</v>
      </c>
      <c r="D527" s="131" t="s">
        <v>31</v>
      </c>
      <c r="E527" s="110" t="s">
        <v>18222</v>
      </c>
      <c r="F527" s="131" t="s">
        <v>31</v>
      </c>
      <c r="G527" s="133">
        <v>92.950000000000003</v>
      </c>
      <c r="H527" s="134">
        <v>92.950000000000003</v>
      </c>
      <c r="I527" s="131" t="s">
        <v>17190</v>
      </c>
      <c r="J527" s="88"/>
    </row>
    <row r="528" ht="25.5">
      <c r="A528" s="108">
        <v>1562</v>
      </c>
      <c r="B528" s="131" t="s">
        <v>17273</v>
      </c>
      <c r="C528" s="132" t="s">
        <v>18223</v>
      </c>
      <c r="D528" s="131" t="s">
        <v>31</v>
      </c>
      <c r="E528" s="110" t="s">
        <v>18224</v>
      </c>
      <c r="F528" s="131" t="s">
        <v>31</v>
      </c>
      <c r="G528" s="133">
        <v>67.299999999999997</v>
      </c>
      <c r="H528" s="134">
        <v>67.299999999999997</v>
      </c>
      <c r="I528" s="131" t="s">
        <v>17190</v>
      </c>
      <c r="J528" s="88"/>
    </row>
    <row r="529" ht="25.5">
      <c r="A529" s="108">
        <v>1563</v>
      </c>
      <c r="B529" s="131" t="s">
        <v>17273</v>
      </c>
      <c r="C529" s="132" t="s">
        <v>18225</v>
      </c>
      <c r="D529" s="131" t="s">
        <v>31</v>
      </c>
      <c r="E529" s="110" t="s">
        <v>18226</v>
      </c>
      <c r="F529" s="131" t="s">
        <v>31</v>
      </c>
      <c r="G529" s="133">
        <v>99.370000000000005</v>
      </c>
      <c r="H529" s="134">
        <v>99.370000000000005</v>
      </c>
      <c r="I529" s="131" t="s">
        <v>17190</v>
      </c>
      <c r="J529" s="88"/>
    </row>
    <row r="530" ht="25.5">
      <c r="A530" s="108">
        <v>1614</v>
      </c>
      <c r="B530" s="131" t="s">
        <v>17273</v>
      </c>
      <c r="C530" s="132" t="s">
        <v>18227</v>
      </c>
      <c r="D530" s="131" t="s">
        <v>31</v>
      </c>
      <c r="E530" s="110" t="s">
        <v>18228</v>
      </c>
      <c r="F530" s="131" t="s">
        <v>31</v>
      </c>
      <c r="G530" s="133">
        <v>132.91</v>
      </c>
      <c r="H530" s="134">
        <v>132.91</v>
      </c>
      <c r="I530" s="131" t="s">
        <v>17190</v>
      </c>
      <c r="J530" s="88"/>
    </row>
    <row r="531" ht="25.5">
      <c r="A531" s="108">
        <v>1615</v>
      </c>
      <c r="B531" s="131" t="s">
        <v>17273</v>
      </c>
      <c r="C531" s="132" t="s">
        <v>18229</v>
      </c>
      <c r="D531" s="131" t="s">
        <v>31</v>
      </c>
      <c r="E531" s="110" t="s">
        <v>18230</v>
      </c>
      <c r="F531" s="131" t="s">
        <v>31</v>
      </c>
      <c r="G531" s="133">
        <v>135.28</v>
      </c>
      <c r="H531" s="134">
        <v>135.28</v>
      </c>
      <c r="I531" s="131" t="s">
        <v>17190</v>
      </c>
      <c r="J531" s="88"/>
    </row>
    <row r="532" ht="25.5">
      <c r="A532" s="108">
        <v>1560</v>
      </c>
      <c r="B532" s="131" t="s">
        <v>17273</v>
      </c>
      <c r="C532" s="132" t="s">
        <v>18231</v>
      </c>
      <c r="D532" s="131" t="s">
        <v>31</v>
      </c>
      <c r="E532" s="110" t="s">
        <v>18232</v>
      </c>
      <c r="F532" s="131" t="s">
        <v>31</v>
      </c>
      <c r="G532" s="133">
        <v>306.04000000000002</v>
      </c>
      <c r="H532" s="134">
        <v>306.04000000000002</v>
      </c>
      <c r="I532" s="131" t="s">
        <v>17190</v>
      </c>
      <c r="J532" s="88"/>
    </row>
    <row r="533" ht="25.5">
      <c r="A533" s="108">
        <v>1556</v>
      </c>
      <c r="B533" s="131" t="s">
        <v>17273</v>
      </c>
      <c r="C533" s="132" t="s">
        <v>18233</v>
      </c>
      <c r="D533" s="131" t="s">
        <v>31</v>
      </c>
      <c r="E533" s="110" t="s">
        <v>18234</v>
      </c>
      <c r="F533" s="131" t="s">
        <v>31</v>
      </c>
      <c r="G533" s="133">
        <v>151.43000000000001</v>
      </c>
      <c r="H533" s="134">
        <v>151.43000000000001</v>
      </c>
      <c r="I533" s="131" t="s">
        <v>17190</v>
      </c>
      <c r="J533" s="88"/>
    </row>
    <row r="534" ht="25.5">
      <c r="A534" s="108">
        <v>1557</v>
      </c>
      <c r="B534" s="131" t="s">
        <v>17273</v>
      </c>
      <c r="C534" s="132" t="s">
        <v>18235</v>
      </c>
      <c r="D534" s="131" t="s">
        <v>31</v>
      </c>
      <c r="E534" s="110" t="s">
        <v>18236</v>
      </c>
      <c r="F534" s="131" t="s">
        <v>31</v>
      </c>
      <c r="G534" s="133">
        <v>151.55000000000001</v>
      </c>
      <c r="H534" s="134">
        <v>151.55000000000001</v>
      </c>
      <c r="I534" s="131" t="s">
        <v>17190</v>
      </c>
      <c r="J534" s="88"/>
    </row>
    <row r="535" ht="25.5">
      <c r="A535" s="108">
        <v>1558</v>
      </c>
      <c r="B535" s="131" t="s">
        <v>17273</v>
      </c>
      <c r="C535" s="132" t="s">
        <v>18237</v>
      </c>
      <c r="D535" s="131" t="s">
        <v>31</v>
      </c>
      <c r="E535" s="110" t="s">
        <v>18238</v>
      </c>
      <c r="F535" s="131" t="s">
        <v>31</v>
      </c>
      <c r="G535" s="133">
        <v>165.21000000000001</v>
      </c>
      <c r="H535" s="134">
        <v>165.21000000000001</v>
      </c>
      <c r="I535" s="131" t="s">
        <v>17190</v>
      </c>
      <c r="J535" s="88"/>
    </row>
    <row r="536" ht="25.5">
      <c r="A536" s="108">
        <v>1559</v>
      </c>
      <c r="B536" s="131" t="s">
        <v>17273</v>
      </c>
      <c r="C536" s="132" t="s">
        <v>18239</v>
      </c>
      <c r="D536" s="131" t="s">
        <v>31</v>
      </c>
      <c r="E536" s="110" t="s">
        <v>18240</v>
      </c>
      <c r="F536" s="131" t="s">
        <v>31</v>
      </c>
      <c r="G536" s="133">
        <v>308.30000000000001</v>
      </c>
      <c r="H536" s="134">
        <v>308.30000000000001</v>
      </c>
      <c r="I536" s="131" t="s">
        <v>17190</v>
      </c>
      <c r="J536" s="88"/>
    </row>
    <row r="537" ht="38.25">
      <c r="A537" s="108">
        <v>1077</v>
      </c>
      <c r="B537" s="131" t="s">
        <v>18241</v>
      </c>
      <c r="C537" s="132" t="s">
        <v>18242</v>
      </c>
      <c r="D537" s="131" t="s">
        <v>31</v>
      </c>
      <c r="E537" s="110" t="s">
        <v>18243</v>
      </c>
      <c r="F537" s="131" t="s">
        <v>31</v>
      </c>
      <c r="G537" s="133">
        <v>8.5199999999999996</v>
      </c>
      <c r="H537" s="134">
        <v>8.5199999999999996</v>
      </c>
      <c r="I537" s="131" t="s">
        <v>17190</v>
      </c>
      <c r="J537" s="88"/>
    </row>
    <row r="538" ht="38.25">
      <c r="A538" s="108">
        <v>1572</v>
      </c>
      <c r="B538" s="131" t="s">
        <v>17273</v>
      </c>
      <c r="C538" s="132" t="s">
        <v>18244</v>
      </c>
      <c r="D538" s="131" t="s">
        <v>31</v>
      </c>
      <c r="E538" s="110" t="s">
        <v>18245</v>
      </c>
      <c r="F538" s="131" t="s">
        <v>31</v>
      </c>
      <c r="G538" s="133">
        <v>14.630000000000001</v>
      </c>
      <c r="H538" s="134">
        <v>14.630000000000001</v>
      </c>
      <c r="I538" s="131" t="s">
        <v>17190</v>
      </c>
      <c r="J538" s="88"/>
    </row>
    <row r="539" ht="25.5">
      <c r="A539" s="108">
        <v>6573</v>
      </c>
      <c r="B539" s="131" t="s">
        <v>17273</v>
      </c>
      <c r="C539" s="132" t="s">
        <v>18246</v>
      </c>
      <c r="D539" s="131" t="s">
        <v>31</v>
      </c>
      <c r="E539" s="110" t="s">
        <v>18247</v>
      </c>
      <c r="F539" s="131" t="s">
        <v>31</v>
      </c>
      <c r="G539" s="133">
        <v>28.920000000000002</v>
      </c>
      <c r="H539" s="134">
        <v>28.920000000000002</v>
      </c>
      <c r="I539" s="131" t="s">
        <v>17190</v>
      </c>
      <c r="J539" s="88"/>
    </row>
    <row r="540">
      <c r="A540" s="108">
        <v>7548</v>
      </c>
      <c r="B540" s="131" t="s">
        <v>18241</v>
      </c>
      <c r="C540" s="132" t="s">
        <v>18248</v>
      </c>
      <c r="D540" s="131" t="s">
        <v>31</v>
      </c>
      <c r="E540" s="110" t="s">
        <v>18249</v>
      </c>
      <c r="F540" s="131" t="s">
        <v>31</v>
      </c>
      <c r="G540" s="133">
        <v>15</v>
      </c>
      <c r="H540" s="134">
        <v>15</v>
      </c>
      <c r="I540" s="131" t="s">
        <v>17171</v>
      </c>
      <c r="J540" s="88"/>
    </row>
    <row r="541" ht="25.5">
      <c r="A541" s="108">
        <v>3114</v>
      </c>
      <c r="B541" s="131" t="s">
        <v>17182</v>
      </c>
      <c r="C541" s="132" t="s">
        <v>18250</v>
      </c>
      <c r="D541" s="131" t="s">
        <v>31</v>
      </c>
      <c r="E541" s="110" t="s">
        <v>18251</v>
      </c>
      <c r="F541" s="131" t="s">
        <v>31</v>
      </c>
      <c r="G541" s="133">
        <v>11.210000000000001</v>
      </c>
      <c r="H541" s="134">
        <v>11.210000000000001</v>
      </c>
      <c r="I541" s="131" t="s">
        <v>17190</v>
      </c>
      <c r="J541" s="88"/>
    </row>
    <row r="542" ht="25.5">
      <c r="A542" s="108">
        <v>2667</v>
      </c>
      <c r="B542" s="131" t="s">
        <v>17182</v>
      </c>
      <c r="C542" s="132" t="s">
        <v>18252</v>
      </c>
      <c r="D542" s="131" t="s">
        <v>31</v>
      </c>
      <c r="E542" s="110" t="s">
        <v>18253</v>
      </c>
      <c r="F542" s="131" t="s">
        <v>31</v>
      </c>
      <c r="G542" s="133">
        <v>286.89999999999998</v>
      </c>
      <c r="H542" s="134">
        <v>286.89999999999998</v>
      </c>
      <c r="I542" s="131" t="s">
        <v>17171</v>
      </c>
      <c r="J542" s="88"/>
    </row>
    <row r="543" ht="25.5">
      <c r="A543" s="108">
        <v>1550</v>
      </c>
      <c r="B543" s="131" t="s">
        <v>17182</v>
      </c>
      <c r="C543" s="132" t="s">
        <v>18254</v>
      </c>
      <c r="D543" s="131" t="s">
        <v>31</v>
      </c>
      <c r="E543" s="110" t="s">
        <v>18255</v>
      </c>
      <c r="F543" s="131" t="s">
        <v>31</v>
      </c>
      <c r="G543" s="133">
        <v>1011.27</v>
      </c>
      <c r="H543" s="134">
        <v>1011.27</v>
      </c>
      <c r="I543" s="131" t="s">
        <v>17171</v>
      </c>
      <c r="J543" s="88"/>
    </row>
    <row r="544" ht="25.5">
      <c r="A544" s="108">
        <v>1882</v>
      </c>
      <c r="B544" s="131" t="s">
        <v>18256</v>
      </c>
      <c r="C544" s="132" t="s">
        <v>15697</v>
      </c>
      <c r="D544" s="131" t="s">
        <v>31</v>
      </c>
      <c r="E544" s="110" t="s">
        <v>18257</v>
      </c>
      <c r="F544" s="131" t="s">
        <v>31</v>
      </c>
      <c r="G544" s="133">
        <v>650</v>
      </c>
      <c r="H544" s="134">
        <v>650</v>
      </c>
      <c r="I544" s="131" t="s">
        <v>17171</v>
      </c>
      <c r="J544" s="88"/>
    </row>
    <row r="545" ht="38.25">
      <c r="A545" s="108">
        <v>1297</v>
      </c>
      <c r="B545" s="131" t="s">
        <v>17273</v>
      </c>
      <c r="C545" s="132" t="s">
        <v>18258</v>
      </c>
      <c r="D545" s="131" t="s">
        <v>31</v>
      </c>
      <c r="E545" s="110" t="s">
        <v>18259</v>
      </c>
      <c r="F545" s="131" t="s">
        <v>31</v>
      </c>
      <c r="G545" s="133">
        <v>2.6600000000000001</v>
      </c>
      <c r="H545" s="134">
        <v>2.6600000000000001</v>
      </c>
      <c r="I545" s="131" t="s">
        <v>17190</v>
      </c>
      <c r="J545" s="88"/>
    </row>
    <row r="546" ht="25.5">
      <c r="A546" s="108">
        <v>4004</v>
      </c>
      <c r="B546" s="131" t="s">
        <v>17250</v>
      </c>
      <c r="C546" s="132" t="s">
        <v>18260</v>
      </c>
      <c r="D546" s="131" t="s">
        <v>2032</v>
      </c>
      <c r="E546" s="110" t="s">
        <v>18261</v>
      </c>
      <c r="F546" s="131" t="s">
        <v>2032</v>
      </c>
      <c r="G546" s="133">
        <v>26.09</v>
      </c>
      <c r="H546" s="134">
        <v>24.07</v>
      </c>
      <c r="I546" s="131" t="s">
        <v>17190</v>
      </c>
      <c r="J546" s="88"/>
    </row>
    <row r="547" ht="25.5">
      <c r="A547" s="108">
        <v>6442</v>
      </c>
      <c r="B547" s="131" t="s">
        <v>18262</v>
      </c>
      <c r="C547" s="132" t="s">
        <v>18263</v>
      </c>
      <c r="D547" s="131" t="s">
        <v>38</v>
      </c>
      <c r="E547" s="110" t="s">
        <v>18264</v>
      </c>
      <c r="F547" s="131" t="s">
        <v>38</v>
      </c>
      <c r="G547" s="133">
        <v>29.489999999999998</v>
      </c>
      <c r="H547" s="134">
        <v>29.489999999999998</v>
      </c>
      <c r="I547" s="131" t="s">
        <v>17171</v>
      </c>
      <c r="J547" s="88"/>
    </row>
    <row r="548" ht="25.5">
      <c r="A548" s="108">
        <v>1609</v>
      </c>
      <c r="B548" s="131" t="s">
        <v>18262</v>
      </c>
      <c r="C548" s="132" t="s">
        <v>18265</v>
      </c>
      <c r="D548" s="131" t="s">
        <v>38</v>
      </c>
      <c r="E548" s="110" t="s">
        <v>18266</v>
      </c>
      <c r="F548" s="131" t="s">
        <v>38</v>
      </c>
      <c r="G548" s="133">
        <v>24.039999999999999</v>
      </c>
      <c r="H548" s="134">
        <v>24.039999999999999</v>
      </c>
      <c r="I548" s="131" t="s">
        <v>17171</v>
      </c>
      <c r="J548" s="88"/>
    </row>
    <row r="549" ht="25.5">
      <c r="A549" s="108">
        <v>1608</v>
      </c>
      <c r="B549" s="131" t="s">
        <v>18262</v>
      </c>
      <c r="C549" s="132" t="s">
        <v>18267</v>
      </c>
      <c r="D549" s="131" t="s">
        <v>38</v>
      </c>
      <c r="E549" s="110" t="s">
        <v>18268</v>
      </c>
      <c r="F549" s="131" t="s">
        <v>38</v>
      </c>
      <c r="G549" s="133">
        <v>11.619999999999999</v>
      </c>
      <c r="H549" s="134">
        <v>11.619999999999999</v>
      </c>
      <c r="I549" s="131" t="s">
        <v>17171</v>
      </c>
      <c r="J549" s="88"/>
    </row>
    <row r="550" ht="25.5">
      <c r="A550" s="108">
        <v>6444</v>
      </c>
      <c r="B550" s="131" t="s">
        <v>18262</v>
      </c>
      <c r="C550" s="132" t="s">
        <v>18269</v>
      </c>
      <c r="D550" s="131" t="s">
        <v>38</v>
      </c>
      <c r="E550" s="110" t="s">
        <v>18270</v>
      </c>
      <c r="F550" s="131" t="s">
        <v>38</v>
      </c>
      <c r="G550" s="133">
        <v>34.630000000000003</v>
      </c>
      <c r="H550" s="134">
        <v>34.630000000000003</v>
      </c>
      <c r="I550" s="131" t="s">
        <v>17171</v>
      </c>
      <c r="J550" s="88"/>
    </row>
    <row r="551" ht="25.5">
      <c r="A551" s="108">
        <v>6548</v>
      </c>
      <c r="B551" s="131" t="s">
        <v>17426</v>
      </c>
      <c r="C551" s="132" t="s">
        <v>18271</v>
      </c>
      <c r="D551" s="131" t="s">
        <v>302</v>
      </c>
      <c r="E551" s="110" t="s">
        <v>18272</v>
      </c>
      <c r="F551" s="131" t="s">
        <v>302</v>
      </c>
      <c r="G551" s="133">
        <v>31.969999999999999</v>
      </c>
      <c r="H551" s="134">
        <v>31.969999999999999</v>
      </c>
      <c r="I551" s="131" t="s">
        <v>17190</v>
      </c>
      <c r="J551" s="88"/>
    </row>
    <row r="552" ht="25.5">
      <c r="A552" s="108">
        <v>1598</v>
      </c>
      <c r="B552" s="131" t="s">
        <v>17273</v>
      </c>
      <c r="C552" s="132" t="s">
        <v>18273</v>
      </c>
      <c r="D552" s="131" t="s">
        <v>302</v>
      </c>
      <c r="E552" s="110" t="s">
        <v>18274</v>
      </c>
      <c r="F552" s="131" t="s">
        <v>302</v>
      </c>
      <c r="G552" s="133">
        <v>34.649999999999999</v>
      </c>
      <c r="H552" s="134">
        <v>34.649999999999999</v>
      </c>
      <c r="I552" s="131" t="s">
        <v>17190</v>
      </c>
      <c r="J552" s="88"/>
    </row>
    <row r="553" ht="25.5">
      <c r="A553" s="108">
        <v>3226</v>
      </c>
      <c r="B553" s="131" t="s">
        <v>18262</v>
      </c>
      <c r="C553" s="132" t="s">
        <v>18275</v>
      </c>
      <c r="D553" s="131" t="s">
        <v>38</v>
      </c>
      <c r="E553" s="110" t="s">
        <v>18276</v>
      </c>
      <c r="F553" s="131" t="s">
        <v>38</v>
      </c>
      <c r="G553" s="133">
        <v>8.3699999999999992</v>
      </c>
      <c r="H553" s="134">
        <v>8.3699999999999992</v>
      </c>
      <c r="I553" s="131" t="s">
        <v>17190</v>
      </c>
      <c r="J553" s="88"/>
    </row>
    <row r="554" ht="25.5">
      <c r="A554" s="108">
        <v>3227</v>
      </c>
      <c r="B554" s="131" t="s">
        <v>18262</v>
      </c>
      <c r="C554" s="132" t="s">
        <v>18277</v>
      </c>
      <c r="D554" s="131" t="s">
        <v>38</v>
      </c>
      <c r="E554" s="110" t="s">
        <v>18278</v>
      </c>
      <c r="F554" s="131" t="s">
        <v>38</v>
      </c>
      <c r="G554" s="133">
        <v>12.24</v>
      </c>
      <c r="H554" s="134">
        <v>12.24</v>
      </c>
      <c r="I554" s="131" t="s">
        <v>17190</v>
      </c>
      <c r="J554" s="88"/>
    </row>
    <row r="555" ht="25.5">
      <c r="A555" s="108">
        <v>3228</v>
      </c>
      <c r="B555" s="131" t="s">
        <v>18262</v>
      </c>
      <c r="C555" s="132" t="s">
        <v>18279</v>
      </c>
      <c r="D555" s="131" t="s">
        <v>38</v>
      </c>
      <c r="E555" s="110" t="s">
        <v>18280</v>
      </c>
      <c r="F555" s="131" t="s">
        <v>38</v>
      </c>
      <c r="G555" s="133">
        <v>11.140000000000001</v>
      </c>
      <c r="H555" s="134">
        <v>11.140000000000001</v>
      </c>
      <c r="I555" s="131" t="s">
        <v>17190</v>
      </c>
      <c r="J555" s="88"/>
    </row>
    <row r="556" ht="25.5">
      <c r="A556" s="108">
        <v>3230</v>
      </c>
      <c r="B556" s="131" t="s">
        <v>18262</v>
      </c>
      <c r="C556" s="132" t="s">
        <v>18281</v>
      </c>
      <c r="D556" s="131" t="s">
        <v>38</v>
      </c>
      <c r="E556" s="110" t="s">
        <v>18282</v>
      </c>
      <c r="F556" s="131" t="s">
        <v>38</v>
      </c>
      <c r="G556" s="133">
        <v>20.010000000000002</v>
      </c>
      <c r="H556" s="134">
        <v>20.010000000000002</v>
      </c>
      <c r="I556" s="131" t="s">
        <v>17190</v>
      </c>
      <c r="J556" s="88"/>
    </row>
    <row r="557" ht="25.5">
      <c r="A557" s="108">
        <v>3231</v>
      </c>
      <c r="B557" s="131" t="s">
        <v>18262</v>
      </c>
      <c r="C557" s="132" t="s">
        <v>18283</v>
      </c>
      <c r="D557" s="131" t="s">
        <v>38</v>
      </c>
      <c r="E557" s="110" t="s">
        <v>18284</v>
      </c>
      <c r="F557" s="131" t="s">
        <v>38</v>
      </c>
      <c r="G557" s="133">
        <v>29.190000000000001</v>
      </c>
      <c r="H557" s="134">
        <v>29.190000000000001</v>
      </c>
      <c r="I557" s="131" t="s">
        <v>17190</v>
      </c>
      <c r="J557" s="88"/>
    </row>
    <row r="558" ht="25.5">
      <c r="A558" s="108">
        <v>3232</v>
      </c>
      <c r="B558" s="131" t="s">
        <v>18262</v>
      </c>
      <c r="C558" s="132" t="s">
        <v>18285</v>
      </c>
      <c r="D558" s="131" t="s">
        <v>38</v>
      </c>
      <c r="E558" s="110" t="s">
        <v>18286</v>
      </c>
      <c r="F558" s="131" t="s">
        <v>38</v>
      </c>
      <c r="G558" s="133">
        <v>36.609999999999999</v>
      </c>
      <c r="H558" s="134">
        <v>36.609999999999999</v>
      </c>
      <c r="I558" s="131" t="s">
        <v>17190</v>
      </c>
      <c r="J558" s="88"/>
    </row>
    <row r="559" ht="25.5">
      <c r="A559" s="108">
        <v>3233</v>
      </c>
      <c r="B559" s="131" t="s">
        <v>18262</v>
      </c>
      <c r="C559" s="132" t="s">
        <v>18287</v>
      </c>
      <c r="D559" s="131" t="s">
        <v>38</v>
      </c>
      <c r="E559" s="110" t="s">
        <v>18288</v>
      </c>
      <c r="F559" s="131" t="s">
        <v>38</v>
      </c>
      <c r="G559" s="133">
        <v>5.3499999999999996</v>
      </c>
      <c r="H559" s="134">
        <v>5.3499999999999996</v>
      </c>
      <c r="I559" s="131" t="s">
        <v>17190</v>
      </c>
      <c r="J559" s="88"/>
    </row>
    <row r="560" ht="25.5">
      <c r="A560" s="108">
        <v>3234</v>
      </c>
      <c r="B560" s="131" t="s">
        <v>18262</v>
      </c>
      <c r="C560" s="132" t="s">
        <v>18289</v>
      </c>
      <c r="D560" s="131" t="s">
        <v>38</v>
      </c>
      <c r="E560" s="110" t="s">
        <v>18290</v>
      </c>
      <c r="F560" s="131" t="s">
        <v>38</v>
      </c>
      <c r="G560" s="133">
        <v>57.68</v>
      </c>
      <c r="H560" s="134">
        <v>57.68</v>
      </c>
      <c r="I560" s="131" t="s">
        <v>17190</v>
      </c>
      <c r="J560" s="88"/>
    </row>
    <row r="561" ht="25.5">
      <c r="A561" s="108">
        <v>3221</v>
      </c>
      <c r="B561" s="131" t="s">
        <v>18262</v>
      </c>
      <c r="C561" s="132" t="s">
        <v>18291</v>
      </c>
      <c r="D561" s="131" t="s">
        <v>38</v>
      </c>
      <c r="E561" s="110" t="s">
        <v>18292</v>
      </c>
      <c r="F561" s="131" t="s">
        <v>38</v>
      </c>
      <c r="G561" s="133">
        <v>199.02000000000001</v>
      </c>
      <c r="H561" s="134">
        <v>199.02000000000001</v>
      </c>
      <c r="I561" s="131" t="s">
        <v>17171</v>
      </c>
      <c r="J561" s="88"/>
    </row>
    <row r="562" ht="25.5">
      <c r="A562" s="108">
        <v>1602</v>
      </c>
      <c r="B562" s="131" t="s">
        <v>17273</v>
      </c>
      <c r="C562" s="132" t="s">
        <v>18293</v>
      </c>
      <c r="D562" s="131" t="s">
        <v>38</v>
      </c>
      <c r="E562" s="110" t="s">
        <v>18294</v>
      </c>
      <c r="F562" s="131" t="s">
        <v>38</v>
      </c>
      <c r="G562" s="133">
        <v>7.8099999999999996</v>
      </c>
      <c r="H562" s="134">
        <v>7.8099999999999996</v>
      </c>
      <c r="I562" s="131" t="s">
        <v>17190</v>
      </c>
      <c r="J562" s="88"/>
    </row>
    <row r="563" ht="25.5">
      <c r="A563" s="108">
        <v>7149</v>
      </c>
      <c r="B563" s="131" t="s">
        <v>18262</v>
      </c>
      <c r="C563" s="132" t="s">
        <v>18295</v>
      </c>
      <c r="D563" s="131" t="s">
        <v>38</v>
      </c>
      <c r="E563" s="110" t="s">
        <v>18296</v>
      </c>
      <c r="F563" s="131" t="s">
        <v>38</v>
      </c>
      <c r="G563" s="133">
        <v>6.8600000000000003</v>
      </c>
      <c r="H563" s="134">
        <v>6.8600000000000003</v>
      </c>
      <c r="I563" s="131" t="s">
        <v>17171</v>
      </c>
      <c r="J563" s="88"/>
    </row>
    <row r="564" ht="25.5">
      <c r="A564" s="108">
        <v>3215</v>
      </c>
      <c r="B564" s="131" t="s">
        <v>18262</v>
      </c>
      <c r="C564" s="132" t="s">
        <v>18297</v>
      </c>
      <c r="D564" s="131" t="s">
        <v>38</v>
      </c>
      <c r="E564" s="110" t="s">
        <v>18298</v>
      </c>
      <c r="F564" s="131" t="s">
        <v>38</v>
      </c>
      <c r="G564" s="133">
        <v>4.0499999999999998</v>
      </c>
      <c r="H564" s="134">
        <v>4.0499999999999998</v>
      </c>
      <c r="I564" s="131" t="s">
        <v>17171</v>
      </c>
      <c r="J564" s="88"/>
    </row>
    <row r="565" ht="25.5">
      <c r="A565" s="108">
        <v>7148</v>
      </c>
      <c r="B565" s="131" t="s">
        <v>18262</v>
      </c>
      <c r="C565" s="132" t="s">
        <v>18299</v>
      </c>
      <c r="D565" s="131" t="s">
        <v>38</v>
      </c>
      <c r="E565" s="110" t="s">
        <v>18300</v>
      </c>
      <c r="F565" s="131" t="s">
        <v>38</v>
      </c>
      <c r="G565" s="133">
        <v>4.8399999999999999</v>
      </c>
      <c r="H565" s="134">
        <v>4.8399999999999999</v>
      </c>
      <c r="I565" s="131" t="s">
        <v>17171</v>
      </c>
      <c r="J565" s="88"/>
    </row>
    <row r="566" ht="25.5">
      <c r="A566" s="108">
        <v>7150</v>
      </c>
      <c r="B566" s="131" t="s">
        <v>18262</v>
      </c>
      <c r="C566" s="132" t="s">
        <v>18301</v>
      </c>
      <c r="D566" s="131" t="s">
        <v>38</v>
      </c>
      <c r="E566" s="110" t="s">
        <v>18302</v>
      </c>
      <c r="F566" s="131" t="s">
        <v>38</v>
      </c>
      <c r="G566" s="133">
        <v>21.440000000000001</v>
      </c>
      <c r="H566" s="134">
        <v>21.440000000000001</v>
      </c>
      <c r="I566" s="131" t="s">
        <v>17171</v>
      </c>
      <c r="J566" s="88"/>
    </row>
    <row r="567" ht="25.5">
      <c r="A567" s="108">
        <v>7374</v>
      </c>
      <c r="B567" s="131" t="s">
        <v>18262</v>
      </c>
      <c r="C567" s="132" t="s">
        <v>18303</v>
      </c>
      <c r="D567" s="131" t="s">
        <v>38</v>
      </c>
      <c r="E567" s="110" t="s">
        <v>18304</v>
      </c>
      <c r="F567" s="131" t="s">
        <v>38</v>
      </c>
      <c r="G567" s="133">
        <v>22.399999999999999</v>
      </c>
      <c r="H567" s="134">
        <v>22.399999999999999</v>
      </c>
      <c r="I567" s="131" t="s">
        <v>17171</v>
      </c>
      <c r="J567" s="88"/>
    </row>
    <row r="568" ht="25.5">
      <c r="A568" s="108">
        <v>7152</v>
      </c>
      <c r="B568" s="131" t="s">
        <v>18262</v>
      </c>
      <c r="C568" s="132" t="s">
        <v>18305</v>
      </c>
      <c r="D568" s="131" t="s">
        <v>38</v>
      </c>
      <c r="E568" s="110" t="s">
        <v>18306</v>
      </c>
      <c r="F568" s="131" t="s">
        <v>38</v>
      </c>
      <c r="G568" s="133">
        <v>50.43</v>
      </c>
      <c r="H568" s="134">
        <v>50.43</v>
      </c>
      <c r="I568" s="131" t="s">
        <v>17171</v>
      </c>
      <c r="J568" s="88"/>
    </row>
    <row r="569" ht="25.5">
      <c r="A569" s="108">
        <v>7151</v>
      </c>
      <c r="B569" s="131" t="s">
        <v>18262</v>
      </c>
      <c r="C569" s="132" t="s">
        <v>18307</v>
      </c>
      <c r="D569" s="131" t="s">
        <v>38</v>
      </c>
      <c r="E569" s="110" t="s">
        <v>18308</v>
      </c>
      <c r="F569" s="131" t="s">
        <v>38</v>
      </c>
      <c r="G569" s="133">
        <v>40.479999999999997</v>
      </c>
      <c r="H569" s="134">
        <v>40.479999999999997</v>
      </c>
      <c r="I569" s="131" t="s">
        <v>17171</v>
      </c>
      <c r="J569" s="88"/>
    </row>
    <row r="570" ht="25.5">
      <c r="A570" s="108">
        <v>7153</v>
      </c>
      <c r="B570" s="131" t="s">
        <v>18262</v>
      </c>
      <c r="C570" s="132" t="s">
        <v>18309</v>
      </c>
      <c r="D570" s="131" t="s">
        <v>38</v>
      </c>
      <c r="E570" s="110" t="s">
        <v>18310</v>
      </c>
      <c r="F570" s="131" t="s">
        <v>38</v>
      </c>
      <c r="G570" s="133">
        <v>70.519999999999996</v>
      </c>
      <c r="H570" s="134">
        <v>70.519999999999996</v>
      </c>
      <c r="I570" s="131" t="s">
        <v>17171</v>
      </c>
      <c r="J570" s="88"/>
    </row>
    <row r="571" ht="38.25">
      <c r="A571" s="108">
        <v>1795</v>
      </c>
      <c r="B571" s="131" t="s">
        <v>17215</v>
      </c>
      <c r="C571" s="132" t="s">
        <v>18311</v>
      </c>
      <c r="D571" s="131" t="s">
        <v>38</v>
      </c>
      <c r="E571" s="110" t="s">
        <v>18312</v>
      </c>
      <c r="F571" s="131" t="s">
        <v>38</v>
      </c>
      <c r="G571" s="133">
        <v>8.1199999999999992</v>
      </c>
      <c r="H571" s="134">
        <v>7.8600000000000003</v>
      </c>
      <c r="I571" s="131" t="s">
        <v>17190</v>
      </c>
      <c r="J571" s="88"/>
    </row>
    <row r="572" ht="38.25">
      <c r="A572" s="108">
        <v>1796</v>
      </c>
      <c r="B572" s="131" t="s">
        <v>17215</v>
      </c>
      <c r="C572" s="132" t="s">
        <v>18313</v>
      </c>
      <c r="D572" s="131" t="s">
        <v>38</v>
      </c>
      <c r="E572" s="110" t="s">
        <v>18314</v>
      </c>
      <c r="F572" s="131" t="s">
        <v>38</v>
      </c>
      <c r="G572" s="133">
        <v>13.210000000000001</v>
      </c>
      <c r="H572" s="134">
        <v>12.9</v>
      </c>
      <c r="I572" s="131" t="s">
        <v>17190</v>
      </c>
      <c r="J572" s="88"/>
    </row>
    <row r="573" ht="38.25">
      <c r="A573" s="108">
        <v>1794</v>
      </c>
      <c r="B573" s="131" t="s">
        <v>17215</v>
      </c>
      <c r="C573" s="132" t="s">
        <v>18315</v>
      </c>
      <c r="D573" s="131" t="s">
        <v>38</v>
      </c>
      <c r="E573" s="110" t="s">
        <v>18316</v>
      </c>
      <c r="F573" s="131" t="s">
        <v>38</v>
      </c>
      <c r="G573" s="133">
        <v>18.489999999999998</v>
      </c>
      <c r="H573" s="134">
        <v>17.66</v>
      </c>
      <c r="I573" s="131" t="s">
        <v>17190</v>
      </c>
      <c r="J573" s="88"/>
    </row>
    <row r="574" ht="38.25">
      <c r="A574" s="108">
        <v>1797</v>
      </c>
      <c r="B574" s="131" t="s">
        <v>17215</v>
      </c>
      <c r="C574" s="132" t="s">
        <v>18317</v>
      </c>
      <c r="D574" s="131" t="s">
        <v>38</v>
      </c>
      <c r="E574" s="110" t="s">
        <v>18318</v>
      </c>
      <c r="F574" s="131" t="s">
        <v>38</v>
      </c>
      <c r="G574" s="133">
        <v>9.1799999999999997</v>
      </c>
      <c r="H574" s="134">
        <v>8.8100000000000005</v>
      </c>
      <c r="I574" s="131" t="s">
        <v>17190</v>
      </c>
      <c r="J574" s="88"/>
    </row>
    <row r="575" ht="25.5">
      <c r="A575" s="108">
        <v>1657</v>
      </c>
      <c r="B575" s="131" t="s">
        <v>17273</v>
      </c>
      <c r="C575" s="132" t="s">
        <v>18319</v>
      </c>
      <c r="D575" s="131" t="s">
        <v>38</v>
      </c>
      <c r="E575" s="110" t="s">
        <v>18320</v>
      </c>
      <c r="F575" s="131" t="s">
        <v>38</v>
      </c>
      <c r="G575" s="133">
        <v>3.0099999999999998</v>
      </c>
      <c r="H575" s="134">
        <v>3.0099999999999998</v>
      </c>
      <c r="I575" s="131" t="s">
        <v>17190</v>
      </c>
      <c r="J575" s="88"/>
    </row>
    <row r="576" ht="25.5">
      <c r="A576" s="108">
        <v>1551</v>
      </c>
      <c r="B576" s="131" t="s">
        <v>17273</v>
      </c>
      <c r="C576" s="132" t="s">
        <v>18321</v>
      </c>
      <c r="D576" s="131" t="s">
        <v>38</v>
      </c>
      <c r="E576" s="110" t="s">
        <v>18322</v>
      </c>
      <c r="F576" s="131" t="s">
        <v>38</v>
      </c>
      <c r="G576" s="133">
        <v>3.1699999999999999</v>
      </c>
      <c r="H576" s="134">
        <v>3.1699999999999999</v>
      </c>
      <c r="I576" s="131" t="s">
        <v>17190</v>
      </c>
      <c r="J576" s="88"/>
    </row>
    <row r="577" ht="25.5">
      <c r="A577" s="108">
        <v>1552</v>
      </c>
      <c r="B577" s="131" t="s">
        <v>17273</v>
      </c>
      <c r="C577" s="132" t="s">
        <v>18323</v>
      </c>
      <c r="D577" s="131" t="s">
        <v>38</v>
      </c>
      <c r="E577" s="110" t="s">
        <v>18324</v>
      </c>
      <c r="F577" s="131" t="s">
        <v>38</v>
      </c>
      <c r="G577" s="133">
        <v>4.29</v>
      </c>
      <c r="H577" s="134">
        <v>4.29</v>
      </c>
      <c r="I577" s="131" t="s">
        <v>17190</v>
      </c>
      <c r="J577" s="88"/>
    </row>
    <row r="578" ht="25.5">
      <c r="A578" s="108">
        <v>1553</v>
      </c>
      <c r="B578" s="131" t="s">
        <v>17273</v>
      </c>
      <c r="C578" s="132" t="s">
        <v>18325</v>
      </c>
      <c r="D578" s="131" t="s">
        <v>38</v>
      </c>
      <c r="E578" s="110" t="s">
        <v>18326</v>
      </c>
      <c r="F578" s="131" t="s">
        <v>38</v>
      </c>
      <c r="G578" s="133">
        <v>8.2599999999999998</v>
      </c>
      <c r="H578" s="134">
        <v>8.2599999999999998</v>
      </c>
      <c r="I578" s="131" t="s">
        <v>17190</v>
      </c>
      <c r="J578" s="88"/>
    </row>
    <row r="579" ht="38.25">
      <c r="A579" s="108">
        <v>1913</v>
      </c>
      <c r="B579" s="131" t="s">
        <v>17273</v>
      </c>
      <c r="C579" s="132" t="s">
        <v>18327</v>
      </c>
      <c r="D579" s="131" t="s">
        <v>38</v>
      </c>
      <c r="E579" s="110" t="s">
        <v>18328</v>
      </c>
      <c r="F579" s="131" t="s">
        <v>38</v>
      </c>
      <c r="G579" s="133">
        <v>9.3699999999999992</v>
      </c>
      <c r="H579" s="134">
        <v>8.9900000000000002</v>
      </c>
      <c r="I579" s="131" t="s">
        <v>17190</v>
      </c>
      <c r="J579" s="88"/>
    </row>
    <row r="580" ht="38.25">
      <c r="A580" s="108">
        <v>1914</v>
      </c>
      <c r="B580" s="131" t="s">
        <v>17273</v>
      </c>
      <c r="C580" s="132" t="s">
        <v>18329</v>
      </c>
      <c r="D580" s="131" t="s">
        <v>38</v>
      </c>
      <c r="E580" s="110" t="s">
        <v>18330</v>
      </c>
      <c r="F580" s="131" t="s">
        <v>38</v>
      </c>
      <c r="G580" s="133">
        <v>12.140000000000001</v>
      </c>
      <c r="H580" s="134">
        <v>11.56</v>
      </c>
      <c r="I580" s="131" t="s">
        <v>17190</v>
      </c>
      <c r="J580" s="88"/>
    </row>
    <row r="581" ht="38.25">
      <c r="A581" s="108">
        <v>1821</v>
      </c>
      <c r="B581" s="131" t="s">
        <v>17215</v>
      </c>
      <c r="C581" s="132" t="s">
        <v>18331</v>
      </c>
      <c r="D581" s="131" t="s">
        <v>38</v>
      </c>
      <c r="E581" s="110" t="s">
        <v>18332</v>
      </c>
      <c r="F581" s="131" t="s">
        <v>38</v>
      </c>
      <c r="G581" s="133">
        <v>39.450000000000003</v>
      </c>
      <c r="H581" s="134">
        <v>38.899999999999999</v>
      </c>
      <c r="I581" s="131" t="s">
        <v>17190</v>
      </c>
      <c r="J581" s="88"/>
    </row>
    <row r="582" ht="38.25">
      <c r="A582" s="108">
        <v>1851</v>
      </c>
      <c r="B582" s="131" t="s">
        <v>17215</v>
      </c>
      <c r="C582" s="132" t="s">
        <v>18333</v>
      </c>
      <c r="D582" s="131" t="s">
        <v>38</v>
      </c>
      <c r="E582" s="110" t="s">
        <v>18334</v>
      </c>
      <c r="F582" s="131" t="s">
        <v>38</v>
      </c>
      <c r="G582" s="133">
        <v>20.170000000000002</v>
      </c>
      <c r="H582" s="134">
        <v>19.219999999999999</v>
      </c>
      <c r="I582" s="131" t="s">
        <v>17190</v>
      </c>
      <c r="J582" s="88"/>
    </row>
    <row r="583" ht="38.25">
      <c r="A583" s="108">
        <v>1852</v>
      </c>
      <c r="B583" s="131" t="s">
        <v>17215</v>
      </c>
      <c r="C583" s="132" t="s">
        <v>18335</v>
      </c>
      <c r="D583" s="131" t="s">
        <v>38</v>
      </c>
      <c r="E583" s="110" t="s">
        <v>18336</v>
      </c>
      <c r="F583" s="131" t="s">
        <v>38</v>
      </c>
      <c r="G583" s="133">
        <v>25.82</v>
      </c>
      <c r="H583" s="134">
        <v>24.59</v>
      </c>
      <c r="I583" s="131" t="s">
        <v>17190</v>
      </c>
      <c r="J583" s="88"/>
    </row>
    <row r="584" ht="51">
      <c r="A584" s="108">
        <v>1554</v>
      </c>
      <c r="B584" s="131" t="s">
        <v>17273</v>
      </c>
      <c r="C584" s="132" t="s">
        <v>18337</v>
      </c>
      <c r="D584" s="131" t="s">
        <v>38</v>
      </c>
      <c r="E584" s="110" t="s">
        <v>18338</v>
      </c>
      <c r="F584" s="131" t="s">
        <v>38</v>
      </c>
      <c r="G584" s="133">
        <v>4.5499999999999998</v>
      </c>
      <c r="H584" s="134">
        <v>4.5499999999999998</v>
      </c>
      <c r="I584" s="131" t="s">
        <v>17190</v>
      </c>
      <c r="J584" s="88"/>
    </row>
    <row r="585" ht="25.5">
      <c r="A585" s="108">
        <v>4020</v>
      </c>
      <c r="B585" s="131" t="s">
        <v>17250</v>
      </c>
      <c r="C585" s="132" t="s">
        <v>18339</v>
      </c>
      <c r="D585" s="131" t="s">
        <v>2032</v>
      </c>
      <c r="E585" s="110" t="s">
        <v>18340</v>
      </c>
      <c r="F585" s="131" t="s">
        <v>2032</v>
      </c>
      <c r="G585" s="133">
        <v>28.379999999999999</v>
      </c>
      <c r="H585" s="134">
        <v>26.129999999999999</v>
      </c>
      <c r="I585" s="131" t="s">
        <v>17190</v>
      </c>
      <c r="J585" s="88"/>
    </row>
    <row r="586">
      <c r="A586" s="108">
        <v>7199</v>
      </c>
      <c r="B586" s="131" t="s">
        <v>17168</v>
      </c>
      <c r="C586" s="132" t="s">
        <v>18341</v>
      </c>
      <c r="D586" s="131" t="s">
        <v>31</v>
      </c>
      <c r="E586" s="110" t="s">
        <v>18342</v>
      </c>
      <c r="F586" s="131" t="s">
        <v>31</v>
      </c>
      <c r="G586" s="133">
        <v>8.3699999999999992</v>
      </c>
      <c r="H586" s="134">
        <v>8.3699999999999992</v>
      </c>
      <c r="I586" s="131" t="s">
        <v>17171</v>
      </c>
      <c r="J586" s="88"/>
    </row>
    <row r="587">
      <c r="A587" s="108">
        <v>3110</v>
      </c>
      <c r="B587" s="131" t="s">
        <v>17168</v>
      </c>
      <c r="C587" s="132" t="s">
        <v>18343</v>
      </c>
      <c r="D587" s="131" t="s">
        <v>31</v>
      </c>
      <c r="E587" s="110" t="s">
        <v>18344</v>
      </c>
      <c r="F587" s="131" t="s">
        <v>31</v>
      </c>
      <c r="G587" s="133">
        <v>8.2599999999999998</v>
      </c>
      <c r="H587" s="134">
        <v>8.2599999999999998</v>
      </c>
      <c r="I587" s="131" t="s">
        <v>17171</v>
      </c>
      <c r="J587" s="88"/>
    </row>
    <row r="588">
      <c r="A588" s="108">
        <v>7027</v>
      </c>
      <c r="B588" s="131" t="s">
        <v>17168</v>
      </c>
      <c r="C588" s="132" t="s">
        <v>18345</v>
      </c>
      <c r="D588" s="131" t="s">
        <v>31</v>
      </c>
      <c r="E588" s="110" t="s">
        <v>18346</v>
      </c>
      <c r="F588" s="131" t="s">
        <v>31</v>
      </c>
      <c r="G588" s="133">
        <v>12.300000000000001</v>
      </c>
      <c r="H588" s="134">
        <v>12.300000000000001</v>
      </c>
      <c r="I588" s="131" t="s">
        <v>17171</v>
      </c>
      <c r="J588" s="88"/>
    </row>
    <row r="589">
      <c r="A589" s="108">
        <v>7028</v>
      </c>
      <c r="B589" s="131" t="s">
        <v>17168</v>
      </c>
      <c r="C589" s="132" t="s">
        <v>18347</v>
      </c>
      <c r="D589" s="131" t="s">
        <v>31</v>
      </c>
      <c r="E589" s="110" t="s">
        <v>18348</v>
      </c>
      <c r="F589" s="131" t="s">
        <v>31</v>
      </c>
      <c r="G589" s="133">
        <v>13.16</v>
      </c>
      <c r="H589" s="134">
        <v>13.16</v>
      </c>
      <c r="I589" s="131" t="s">
        <v>17171</v>
      </c>
      <c r="J589" s="88"/>
    </row>
    <row r="590">
      <c r="A590" s="108">
        <v>7024</v>
      </c>
      <c r="B590" s="131" t="s">
        <v>17168</v>
      </c>
      <c r="C590" s="132" t="s">
        <v>18349</v>
      </c>
      <c r="D590" s="131" t="s">
        <v>31</v>
      </c>
      <c r="E590" s="110" t="s">
        <v>18350</v>
      </c>
      <c r="F590" s="131" t="s">
        <v>31</v>
      </c>
      <c r="G590" s="133">
        <v>12.300000000000001</v>
      </c>
      <c r="H590" s="134">
        <v>12.300000000000001</v>
      </c>
      <c r="I590" s="131" t="s">
        <v>17171</v>
      </c>
      <c r="J590" s="88"/>
    </row>
    <row r="591">
      <c r="A591" s="108">
        <v>7025</v>
      </c>
      <c r="B591" s="131" t="s">
        <v>17168</v>
      </c>
      <c r="C591" s="132" t="s">
        <v>18351</v>
      </c>
      <c r="D591" s="131" t="s">
        <v>31</v>
      </c>
      <c r="E591" s="110" t="s">
        <v>18352</v>
      </c>
      <c r="F591" s="131" t="s">
        <v>31</v>
      </c>
      <c r="G591" s="133">
        <v>12.300000000000001</v>
      </c>
      <c r="H591" s="134">
        <v>12.300000000000001</v>
      </c>
      <c r="I591" s="131" t="s">
        <v>17171</v>
      </c>
      <c r="J591" s="88"/>
    </row>
    <row r="592">
      <c r="A592" s="108">
        <v>7026</v>
      </c>
      <c r="B592" s="131" t="s">
        <v>17168</v>
      </c>
      <c r="C592" s="132" t="s">
        <v>18353</v>
      </c>
      <c r="D592" s="131" t="s">
        <v>31</v>
      </c>
      <c r="E592" s="110" t="s">
        <v>18354</v>
      </c>
      <c r="F592" s="131" t="s">
        <v>31</v>
      </c>
      <c r="G592" s="133">
        <v>12.300000000000001</v>
      </c>
      <c r="H592" s="134">
        <v>12.300000000000001</v>
      </c>
      <c r="I592" s="131" t="s">
        <v>17171</v>
      </c>
      <c r="J592" s="88"/>
    </row>
    <row r="593" ht="38.25">
      <c r="A593" s="108">
        <v>2753</v>
      </c>
      <c r="B593" s="131" t="s">
        <v>17215</v>
      </c>
      <c r="C593" s="132" t="s">
        <v>18355</v>
      </c>
      <c r="D593" s="131" t="s">
        <v>29</v>
      </c>
      <c r="E593" s="110" t="s">
        <v>18356</v>
      </c>
      <c r="F593" s="131" t="s">
        <v>29</v>
      </c>
      <c r="G593" s="133">
        <v>17.789999999999999</v>
      </c>
      <c r="H593" s="134">
        <v>16.899999999999999</v>
      </c>
      <c r="I593" s="131" t="s">
        <v>17190</v>
      </c>
      <c r="J593" s="88"/>
    </row>
    <row r="594" ht="51">
      <c r="A594" s="108">
        <v>6312</v>
      </c>
      <c r="B594" s="131" t="s">
        <v>17215</v>
      </c>
      <c r="C594" s="132" t="s">
        <v>18357</v>
      </c>
      <c r="D594" s="131" t="s">
        <v>29</v>
      </c>
      <c r="E594" s="110" t="s">
        <v>18358</v>
      </c>
      <c r="F594" s="131" t="s">
        <v>29</v>
      </c>
      <c r="G594" s="133">
        <v>52.780000000000001</v>
      </c>
      <c r="H594" s="134">
        <v>50.119999999999997</v>
      </c>
      <c r="I594" s="131" t="s">
        <v>17190</v>
      </c>
      <c r="J594" s="88"/>
    </row>
    <row r="595" ht="51">
      <c r="A595" s="108">
        <v>1754</v>
      </c>
      <c r="B595" s="131" t="s">
        <v>17215</v>
      </c>
      <c r="C595" s="132" t="s">
        <v>18359</v>
      </c>
      <c r="D595" s="131" t="s">
        <v>29</v>
      </c>
      <c r="E595" s="110" t="s">
        <v>18360</v>
      </c>
      <c r="F595" s="131" t="s">
        <v>29</v>
      </c>
      <c r="G595" s="133">
        <v>37.850000000000001</v>
      </c>
      <c r="H595" s="134">
        <v>36.060000000000002</v>
      </c>
      <c r="I595" s="131" t="s">
        <v>17190</v>
      </c>
      <c r="J595" s="88"/>
    </row>
    <row r="596" ht="51">
      <c r="A596" s="108">
        <v>6461</v>
      </c>
      <c r="B596" s="131" t="s">
        <v>17273</v>
      </c>
      <c r="C596" s="132" t="s">
        <v>18361</v>
      </c>
      <c r="D596" s="131" t="s">
        <v>29</v>
      </c>
      <c r="E596" s="110" t="s">
        <v>18362</v>
      </c>
      <c r="F596" s="131" t="s">
        <v>29</v>
      </c>
      <c r="G596" s="133">
        <v>27.98</v>
      </c>
      <c r="H596" s="134">
        <v>26.559999999999999</v>
      </c>
      <c r="I596" s="131" t="s">
        <v>17190</v>
      </c>
      <c r="J596" s="88"/>
    </row>
    <row r="597" ht="25.5">
      <c r="A597" s="108">
        <v>4005</v>
      </c>
      <c r="B597" s="131" t="s">
        <v>17250</v>
      </c>
      <c r="C597" s="132" t="s">
        <v>18363</v>
      </c>
      <c r="D597" s="131" t="s">
        <v>2032</v>
      </c>
      <c r="E597" s="110" t="s">
        <v>18364</v>
      </c>
      <c r="F597" s="131" t="s">
        <v>2032</v>
      </c>
      <c r="G597" s="133">
        <v>25.039999999999999</v>
      </c>
      <c r="H597" s="134">
        <v>23.050000000000001</v>
      </c>
      <c r="I597" s="131" t="s">
        <v>17190</v>
      </c>
      <c r="J597" s="88"/>
    </row>
    <row r="598" ht="25.5">
      <c r="A598" s="108">
        <v>4006</v>
      </c>
      <c r="B598" s="131" t="s">
        <v>17250</v>
      </c>
      <c r="C598" s="132" t="s">
        <v>18365</v>
      </c>
      <c r="D598" s="131" t="s">
        <v>2032</v>
      </c>
      <c r="E598" s="110" t="s">
        <v>18366</v>
      </c>
      <c r="F598" s="131" t="s">
        <v>2032</v>
      </c>
      <c r="G598" s="133">
        <v>25.34</v>
      </c>
      <c r="H598" s="134">
        <v>23.050000000000001</v>
      </c>
      <c r="I598" s="131" t="s">
        <v>17190</v>
      </c>
      <c r="J598" s="88"/>
    </row>
    <row r="599" ht="25.5">
      <c r="A599" s="108">
        <v>4044</v>
      </c>
      <c r="B599" s="131" t="s">
        <v>17250</v>
      </c>
      <c r="C599" s="132" t="s">
        <v>18365</v>
      </c>
      <c r="D599" s="131" t="s">
        <v>2032</v>
      </c>
      <c r="E599" s="110" t="s">
        <v>18367</v>
      </c>
      <c r="F599" s="131" t="s">
        <v>2032</v>
      </c>
      <c r="G599" s="133">
        <v>25.34</v>
      </c>
      <c r="H599" s="134">
        <v>23.050000000000001</v>
      </c>
      <c r="I599" s="131" t="s">
        <v>17190</v>
      </c>
      <c r="J599" s="88"/>
    </row>
    <row r="600">
      <c r="A600" s="108">
        <v>7530</v>
      </c>
      <c r="B600" s="131" t="s">
        <v>17455</v>
      </c>
      <c r="C600" s="132" t="s">
        <v>18368</v>
      </c>
      <c r="D600" s="131" t="s">
        <v>17457</v>
      </c>
      <c r="E600" s="110" t="s">
        <v>18369</v>
      </c>
      <c r="F600" s="131" t="s">
        <v>17457</v>
      </c>
      <c r="G600" s="133">
        <v>60.380000000000003</v>
      </c>
      <c r="H600" s="134">
        <v>60.380000000000003</v>
      </c>
      <c r="I600" s="131" t="s">
        <v>17171</v>
      </c>
      <c r="J600" s="88"/>
    </row>
    <row r="601" ht="25.5">
      <c r="A601" s="108">
        <v>2569</v>
      </c>
      <c r="B601" s="131" t="s">
        <v>17429</v>
      </c>
      <c r="C601" s="132" t="s">
        <v>18370</v>
      </c>
      <c r="D601" s="131" t="s">
        <v>31</v>
      </c>
      <c r="E601" s="110" t="s">
        <v>18371</v>
      </c>
      <c r="F601" s="131" t="s">
        <v>31</v>
      </c>
      <c r="G601" s="133">
        <v>89.959999999999994</v>
      </c>
      <c r="H601" s="134">
        <v>89.590000000000003</v>
      </c>
      <c r="I601" s="131" t="s">
        <v>17190</v>
      </c>
      <c r="J601" s="88"/>
    </row>
    <row r="602">
      <c r="A602" s="108">
        <v>7529</v>
      </c>
      <c r="B602" s="131" t="s">
        <v>17455</v>
      </c>
      <c r="C602" s="132" t="s">
        <v>18372</v>
      </c>
      <c r="D602" s="131" t="s">
        <v>17457</v>
      </c>
      <c r="E602" s="110" t="s">
        <v>18373</v>
      </c>
      <c r="F602" s="131" t="s">
        <v>17457</v>
      </c>
      <c r="G602" s="133">
        <v>62.159999999999997</v>
      </c>
      <c r="H602" s="134">
        <v>62.159999999999997</v>
      </c>
      <c r="I602" s="131" t="s">
        <v>17171</v>
      </c>
      <c r="J602" s="88"/>
    </row>
    <row r="603" ht="25.5">
      <c r="A603" s="108">
        <v>2568</v>
      </c>
      <c r="B603" s="131" t="s">
        <v>17182</v>
      </c>
      <c r="C603" s="132" t="s">
        <v>18374</v>
      </c>
      <c r="D603" s="131" t="s">
        <v>31</v>
      </c>
      <c r="E603" s="110" t="s">
        <v>18375</v>
      </c>
      <c r="F603" s="131" t="s">
        <v>31</v>
      </c>
      <c r="G603" s="133">
        <v>7.5800000000000001</v>
      </c>
      <c r="H603" s="134">
        <v>7.5800000000000001</v>
      </c>
      <c r="I603" s="131" t="s">
        <v>17190</v>
      </c>
      <c r="J603" s="88"/>
    </row>
    <row r="604" ht="25.5">
      <c r="A604" s="108">
        <v>4045</v>
      </c>
      <c r="B604" s="131" t="s">
        <v>17250</v>
      </c>
      <c r="C604" s="132" t="s">
        <v>18376</v>
      </c>
      <c r="D604" s="131" t="s">
        <v>2032</v>
      </c>
      <c r="E604" s="110" t="s">
        <v>18377</v>
      </c>
      <c r="F604" s="131" t="s">
        <v>2032</v>
      </c>
      <c r="G604" s="133">
        <v>125.79000000000001</v>
      </c>
      <c r="H604" s="134">
        <v>113.20999999999999</v>
      </c>
      <c r="I604" s="131" t="s">
        <v>17190</v>
      </c>
      <c r="J604" s="88"/>
    </row>
    <row r="605" ht="25.5">
      <c r="A605" s="108">
        <v>4046</v>
      </c>
      <c r="B605" s="131" t="s">
        <v>17250</v>
      </c>
      <c r="C605" s="132" t="s">
        <v>18378</v>
      </c>
      <c r="D605" s="131" t="s">
        <v>2032</v>
      </c>
      <c r="E605" s="110" t="s">
        <v>18379</v>
      </c>
      <c r="F605" s="131" t="s">
        <v>2032</v>
      </c>
      <c r="G605" s="133">
        <v>132.66999999999999</v>
      </c>
      <c r="H605" s="134">
        <v>119.40000000000001</v>
      </c>
      <c r="I605" s="131" t="s">
        <v>17190</v>
      </c>
      <c r="J605" s="88"/>
    </row>
    <row r="606" ht="25.5">
      <c r="A606" s="108">
        <v>4047</v>
      </c>
      <c r="B606" s="131" t="s">
        <v>17250</v>
      </c>
      <c r="C606" s="132" t="s">
        <v>18380</v>
      </c>
      <c r="D606" s="131" t="s">
        <v>2032</v>
      </c>
      <c r="E606" s="110" t="s">
        <v>18381</v>
      </c>
      <c r="F606" s="131" t="s">
        <v>2032</v>
      </c>
      <c r="G606" s="133">
        <v>157.78</v>
      </c>
      <c r="H606" s="134">
        <v>141.94999999999999</v>
      </c>
      <c r="I606" s="131" t="s">
        <v>17190</v>
      </c>
      <c r="J606" s="88"/>
    </row>
    <row r="607">
      <c r="A607" s="108">
        <v>4065</v>
      </c>
      <c r="B607" s="131" t="s">
        <v>17250</v>
      </c>
      <c r="C607" s="132" t="s">
        <v>18382</v>
      </c>
      <c r="D607" s="131" t="s">
        <v>2032</v>
      </c>
      <c r="E607" s="110" t="s">
        <v>18383</v>
      </c>
      <c r="F607" s="131" t="s">
        <v>2032</v>
      </c>
      <c r="G607" s="133">
        <v>128.49000000000001</v>
      </c>
      <c r="H607" s="134">
        <v>115.41</v>
      </c>
      <c r="I607" s="131" t="s">
        <v>17171</v>
      </c>
      <c r="J607" s="88"/>
    </row>
    <row r="608" ht="25.5">
      <c r="A608" s="108">
        <v>1888</v>
      </c>
      <c r="B608" s="131" t="s">
        <v>17273</v>
      </c>
      <c r="C608" s="132" t="s">
        <v>18384</v>
      </c>
      <c r="D608" s="131" t="s">
        <v>2032</v>
      </c>
      <c r="E608" s="110" t="s">
        <v>18385</v>
      </c>
      <c r="F608" s="131" t="s">
        <v>2032</v>
      </c>
      <c r="G608" s="133">
        <v>0.77000000000000002</v>
      </c>
      <c r="H608" s="134">
        <v>0.77000000000000002</v>
      </c>
      <c r="I608" s="131" t="s">
        <v>17190</v>
      </c>
      <c r="J608" s="88"/>
    </row>
    <row r="609" ht="25.5">
      <c r="A609" s="108">
        <v>1927</v>
      </c>
      <c r="B609" s="131" t="s">
        <v>17273</v>
      </c>
      <c r="C609" s="132" t="s">
        <v>18386</v>
      </c>
      <c r="D609" s="131" t="s">
        <v>2032</v>
      </c>
      <c r="E609" s="110" t="s">
        <v>18387</v>
      </c>
      <c r="F609" s="131" t="s">
        <v>2032</v>
      </c>
      <c r="G609" s="133">
        <v>1.3899999999999999</v>
      </c>
      <c r="H609" s="134">
        <v>1.3899999999999999</v>
      </c>
      <c r="I609" s="131" t="s">
        <v>17190</v>
      </c>
      <c r="J609" s="88"/>
    </row>
    <row r="610" ht="38.25">
      <c r="A610" s="108">
        <v>6302</v>
      </c>
      <c r="B610" s="131" t="s">
        <v>17215</v>
      </c>
      <c r="C610" s="132" t="s">
        <v>18388</v>
      </c>
      <c r="D610" s="131" t="s">
        <v>121</v>
      </c>
      <c r="E610" s="110" t="s">
        <v>18389</v>
      </c>
      <c r="F610" s="131" t="s">
        <v>121</v>
      </c>
      <c r="G610" s="133">
        <v>82.959999999999994</v>
      </c>
      <c r="H610" s="134">
        <v>77.040000000000006</v>
      </c>
      <c r="I610" s="131" t="s">
        <v>17171</v>
      </c>
      <c r="J610" s="88"/>
    </row>
    <row r="611">
      <c r="A611" s="108">
        <v>1918</v>
      </c>
      <c r="B611" s="131" t="s">
        <v>17273</v>
      </c>
      <c r="C611" s="132" t="s">
        <v>18390</v>
      </c>
      <c r="D611" s="131" t="s">
        <v>121</v>
      </c>
      <c r="E611" s="110" t="s">
        <v>18391</v>
      </c>
      <c r="F611" s="131" t="s">
        <v>121</v>
      </c>
      <c r="G611" s="133">
        <v>82.040000000000006</v>
      </c>
      <c r="H611" s="134">
        <v>76.180000000000007</v>
      </c>
      <c r="I611" s="131" t="s">
        <v>17190</v>
      </c>
      <c r="J611" s="88"/>
    </row>
    <row r="612" ht="38.25">
      <c r="A612" s="108">
        <v>6412</v>
      </c>
      <c r="B612" s="131" t="s">
        <v>17215</v>
      </c>
      <c r="C612" s="132" t="s">
        <v>18392</v>
      </c>
      <c r="D612" s="131" t="s">
        <v>1533</v>
      </c>
      <c r="E612" s="110" t="s">
        <v>18393</v>
      </c>
      <c r="F612" s="131" t="s">
        <v>1533</v>
      </c>
      <c r="G612" s="133">
        <v>89.790000000000006</v>
      </c>
      <c r="H612" s="134">
        <v>87.069999999999993</v>
      </c>
      <c r="I612" s="131" t="s">
        <v>17190</v>
      </c>
      <c r="J612" s="88"/>
    </row>
    <row r="613" ht="38.25">
      <c r="A613" s="108">
        <v>6411</v>
      </c>
      <c r="B613" s="131" t="s">
        <v>17215</v>
      </c>
      <c r="C613" s="132" t="s">
        <v>18394</v>
      </c>
      <c r="D613" s="131" t="s">
        <v>1535</v>
      </c>
      <c r="E613" s="110" t="s">
        <v>18395</v>
      </c>
      <c r="F613" s="131" t="s">
        <v>1535</v>
      </c>
      <c r="G613" s="133">
        <v>212.44999999999999</v>
      </c>
      <c r="H613" s="134">
        <v>209.72999999999999</v>
      </c>
      <c r="I613" s="131" t="s">
        <v>17190</v>
      </c>
      <c r="J613" s="88"/>
    </row>
    <row r="614" ht="38.25">
      <c r="A614" s="108">
        <v>8510</v>
      </c>
      <c r="B614" s="131" t="s">
        <v>17215</v>
      </c>
      <c r="C614" s="132" t="s">
        <v>18394</v>
      </c>
      <c r="D614" s="131" t="s">
        <v>1535</v>
      </c>
      <c r="E614" s="110" t="s">
        <v>18396</v>
      </c>
      <c r="F614" s="131" t="s">
        <v>1535</v>
      </c>
      <c r="G614" s="133">
        <v>212.44999999999999</v>
      </c>
      <c r="H614" s="134">
        <v>209.72999999999999</v>
      </c>
      <c r="I614" s="131" t="s">
        <v>17190</v>
      </c>
      <c r="J614" s="88"/>
    </row>
    <row r="615" ht="25.5">
      <c r="A615" s="108">
        <v>6447</v>
      </c>
      <c r="B615" s="131" t="s">
        <v>17273</v>
      </c>
      <c r="C615" s="132" t="s">
        <v>18397</v>
      </c>
      <c r="D615" s="131" t="s">
        <v>31</v>
      </c>
      <c r="E615" s="110" t="s">
        <v>18398</v>
      </c>
      <c r="F615" s="131" t="s">
        <v>31</v>
      </c>
      <c r="G615" s="133">
        <v>211.38</v>
      </c>
      <c r="H615" s="134">
        <v>211.38</v>
      </c>
      <c r="I615" s="131" t="s">
        <v>17190</v>
      </c>
      <c r="J615" s="88"/>
    </row>
    <row r="616" ht="38.25">
      <c r="A616" s="108">
        <v>1001</v>
      </c>
      <c r="B616" s="131" t="s">
        <v>17198</v>
      </c>
      <c r="C616" s="132" t="s">
        <v>18399</v>
      </c>
      <c r="D616" s="131" t="s">
        <v>31</v>
      </c>
      <c r="E616" s="110" t="s">
        <v>18400</v>
      </c>
      <c r="F616" s="131" t="s">
        <v>31</v>
      </c>
      <c r="G616" s="133">
        <v>0.22</v>
      </c>
      <c r="H616" s="134">
        <v>0.22</v>
      </c>
      <c r="I616" s="131" t="s">
        <v>17190</v>
      </c>
      <c r="J616" s="88"/>
    </row>
    <row r="617">
      <c r="A617" s="108">
        <v>6603</v>
      </c>
      <c r="B617" s="131" t="s">
        <v>17168</v>
      </c>
      <c r="C617" s="132" t="s">
        <v>16481</v>
      </c>
      <c r="D617" s="131" t="s">
        <v>31</v>
      </c>
      <c r="E617" s="110" t="s">
        <v>18401</v>
      </c>
      <c r="F617" s="131" t="s">
        <v>31</v>
      </c>
      <c r="G617" s="133">
        <v>44.729999999999997</v>
      </c>
      <c r="H617" s="134">
        <v>44.729999999999997</v>
      </c>
      <c r="I617" s="131" t="s">
        <v>17171</v>
      </c>
      <c r="J617" s="88"/>
    </row>
    <row r="618">
      <c r="A618" s="108">
        <v>1893</v>
      </c>
      <c r="B618" s="131" t="s">
        <v>17345</v>
      </c>
      <c r="C618" s="132" t="s">
        <v>18402</v>
      </c>
      <c r="D618" s="131" t="s">
        <v>31</v>
      </c>
      <c r="E618" s="110" t="s">
        <v>18403</v>
      </c>
      <c r="F618" s="131" t="s">
        <v>31</v>
      </c>
      <c r="G618" s="133">
        <v>0.23999999999999999</v>
      </c>
      <c r="H618" s="134">
        <v>0.23999999999999999</v>
      </c>
      <c r="I618" s="131" t="s">
        <v>17171</v>
      </c>
      <c r="J618" s="88"/>
    </row>
    <row r="619" ht="25.5">
      <c r="A619" s="108">
        <v>7128</v>
      </c>
      <c r="B619" s="131" t="s">
        <v>17779</v>
      </c>
      <c r="C619" s="132" t="s">
        <v>18404</v>
      </c>
      <c r="D619" s="131" t="s">
        <v>31</v>
      </c>
      <c r="E619" s="110" t="s">
        <v>18405</v>
      </c>
      <c r="F619" s="131" t="s">
        <v>31</v>
      </c>
      <c r="G619" s="133">
        <v>2.1000000000000001</v>
      </c>
      <c r="H619" s="134">
        <v>2.1000000000000001</v>
      </c>
      <c r="I619" s="131" t="s">
        <v>17190</v>
      </c>
      <c r="J619" s="88"/>
    </row>
    <row r="620" ht="25.5">
      <c r="A620" s="108">
        <v>7132</v>
      </c>
      <c r="B620" s="131" t="s">
        <v>17779</v>
      </c>
      <c r="C620" s="132" t="s">
        <v>18406</v>
      </c>
      <c r="D620" s="131" t="s">
        <v>31</v>
      </c>
      <c r="E620" s="110" t="s">
        <v>18407</v>
      </c>
      <c r="F620" s="131" t="s">
        <v>31</v>
      </c>
      <c r="G620" s="133">
        <v>4.4400000000000004</v>
      </c>
      <c r="H620" s="134">
        <v>4.4400000000000004</v>
      </c>
      <c r="I620" s="131" t="s">
        <v>17190</v>
      </c>
      <c r="J620" s="88"/>
    </row>
    <row r="621" ht="25.5">
      <c r="A621" s="108">
        <v>1649</v>
      </c>
      <c r="B621" s="131" t="s">
        <v>17273</v>
      </c>
      <c r="C621" s="132" t="s">
        <v>18408</v>
      </c>
      <c r="D621" s="131" t="s">
        <v>31</v>
      </c>
      <c r="E621" s="110" t="s">
        <v>18409</v>
      </c>
      <c r="F621" s="131" t="s">
        <v>31</v>
      </c>
      <c r="G621" s="133">
        <v>2.0499999999999998</v>
      </c>
      <c r="H621" s="134">
        <v>2.0499999999999998</v>
      </c>
      <c r="I621" s="131" t="s">
        <v>17190</v>
      </c>
      <c r="J621" s="88"/>
    </row>
    <row r="622" ht="25.5">
      <c r="A622" s="108">
        <v>1441</v>
      </c>
      <c r="B622" s="131" t="s">
        <v>17779</v>
      </c>
      <c r="C622" s="132" t="s">
        <v>18410</v>
      </c>
      <c r="D622" s="131" t="s">
        <v>31</v>
      </c>
      <c r="E622" s="110" t="s">
        <v>18411</v>
      </c>
      <c r="F622" s="131" t="s">
        <v>31</v>
      </c>
      <c r="G622" s="133">
        <v>4.7699999999999996</v>
      </c>
      <c r="H622" s="134">
        <v>4.7699999999999996</v>
      </c>
      <c r="I622" s="131" t="s">
        <v>17190</v>
      </c>
      <c r="J622" s="88"/>
    </row>
    <row r="623" ht="25.5">
      <c r="A623" s="108">
        <v>7131</v>
      </c>
      <c r="B623" s="131" t="s">
        <v>17779</v>
      </c>
      <c r="C623" s="132" t="s">
        <v>18410</v>
      </c>
      <c r="D623" s="131" t="s">
        <v>31</v>
      </c>
      <c r="E623" s="110" t="s">
        <v>18412</v>
      </c>
      <c r="F623" s="131" t="s">
        <v>31</v>
      </c>
      <c r="G623" s="133">
        <v>4.7699999999999996</v>
      </c>
      <c r="H623" s="134">
        <v>4.7699999999999996</v>
      </c>
      <c r="I623" s="131" t="s">
        <v>17190</v>
      </c>
      <c r="J623" s="88"/>
    </row>
    <row r="624">
      <c r="A624" s="108">
        <v>6446</v>
      </c>
      <c r="B624" s="131" t="s">
        <v>17273</v>
      </c>
      <c r="C624" s="132" t="s">
        <v>18413</v>
      </c>
      <c r="D624" s="131" t="s">
        <v>29</v>
      </c>
      <c r="E624" s="110" t="s">
        <v>18414</v>
      </c>
      <c r="F624" s="131" t="s">
        <v>29</v>
      </c>
      <c r="G624" s="133">
        <v>444.32999999999998</v>
      </c>
      <c r="H624" s="134">
        <v>444.32999999999998</v>
      </c>
      <c r="I624" s="131" t="s">
        <v>17190</v>
      </c>
      <c r="J624" s="88"/>
    </row>
    <row r="625" ht="38.25">
      <c r="A625" s="108">
        <v>1685</v>
      </c>
      <c r="B625" s="131" t="s">
        <v>17273</v>
      </c>
      <c r="C625" s="132" t="s">
        <v>18415</v>
      </c>
      <c r="D625" s="131" t="s">
        <v>38</v>
      </c>
      <c r="E625" s="110" t="s">
        <v>18416</v>
      </c>
      <c r="F625" s="131" t="s">
        <v>38</v>
      </c>
      <c r="G625" s="133">
        <v>59.920000000000002</v>
      </c>
      <c r="H625" s="134">
        <v>57.68</v>
      </c>
      <c r="I625" s="131" t="s">
        <v>17190</v>
      </c>
      <c r="J625" s="88"/>
    </row>
    <row r="626" ht="38.25">
      <c r="A626" s="108">
        <v>1901</v>
      </c>
      <c r="B626" s="131" t="s">
        <v>17215</v>
      </c>
      <c r="C626" s="132" t="s">
        <v>18417</v>
      </c>
      <c r="D626" s="131" t="s">
        <v>38</v>
      </c>
      <c r="E626" s="110" t="s">
        <v>18418</v>
      </c>
      <c r="F626" s="131" t="s">
        <v>38</v>
      </c>
      <c r="G626" s="133">
        <v>69.620000000000005</v>
      </c>
      <c r="H626" s="134">
        <v>66.209999999999994</v>
      </c>
      <c r="I626" s="131" t="s">
        <v>17171</v>
      </c>
      <c r="J626" s="88"/>
    </row>
    <row r="627" ht="25.5">
      <c r="A627" s="108">
        <v>1082</v>
      </c>
      <c r="B627" s="131" t="s">
        <v>18256</v>
      </c>
      <c r="C627" s="132" t="s">
        <v>18419</v>
      </c>
      <c r="D627" s="131" t="s">
        <v>38</v>
      </c>
      <c r="E627" s="110" t="s">
        <v>18420</v>
      </c>
      <c r="F627" s="131" t="s">
        <v>38</v>
      </c>
      <c r="G627" s="133">
        <v>52.780000000000001</v>
      </c>
      <c r="H627" s="134">
        <v>52.780000000000001</v>
      </c>
      <c r="I627" s="131" t="s">
        <v>17171</v>
      </c>
      <c r="J627" s="88"/>
    </row>
    <row r="628" ht="25.5">
      <c r="A628" s="108">
        <v>1083</v>
      </c>
      <c r="B628" s="131" t="s">
        <v>18256</v>
      </c>
      <c r="C628" s="132" t="s">
        <v>18421</v>
      </c>
      <c r="D628" s="131" t="s">
        <v>38</v>
      </c>
      <c r="E628" s="110" t="s">
        <v>18422</v>
      </c>
      <c r="F628" s="131" t="s">
        <v>38</v>
      </c>
      <c r="G628" s="133">
        <v>68.540000000000006</v>
      </c>
      <c r="H628" s="134">
        <v>68.540000000000006</v>
      </c>
      <c r="I628" s="131" t="s">
        <v>17171</v>
      </c>
      <c r="J628" s="88"/>
    </row>
    <row r="629" ht="25.5">
      <c r="A629" s="108">
        <v>1084</v>
      </c>
      <c r="B629" s="131" t="s">
        <v>18256</v>
      </c>
      <c r="C629" s="132" t="s">
        <v>18423</v>
      </c>
      <c r="D629" s="131" t="s">
        <v>38</v>
      </c>
      <c r="E629" s="110" t="s">
        <v>18424</v>
      </c>
      <c r="F629" s="131" t="s">
        <v>38</v>
      </c>
      <c r="G629" s="133">
        <v>79.430000000000007</v>
      </c>
      <c r="H629" s="134">
        <v>79.430000000000007</v>
      </c>
      <c r="I629" s="131" t="s">
        <v>17171</v>
      </c>
      <c r="J629" s="88"/>
    </row>
    <row r="630">
      <c r="A630" s="108">
        <v>1085</v>
      </c>
      <c r="B630" s="131" t="s">
        <v>17246</v>
      </c>
      <c r="C630" s="132" t="s">
        <v>18425</v>
      </c>
      <c r="D630" s="131" t="s">
        <v>302</v>
      </c>
      <c r="E630" s="110" t="s">
        <v>18426</v>
      </c>
      <c r="F630" s="131" t="s">
        <v>302</v>
      </c>
      <c r="G630" s="133">
        <v>23.859999999999999</v>
      </c>
      <c r="H630" s="134">
        <v>23.859999999999999</v>
      </c>
      <c r="I630" s="131" t="s">
        <v>17190</v>
      </c>
      <c r="J630" s="88"/>
    </row>
    <row r="631" ht="38.25">
      <c r="A631" s="108">
        <v>6564</v>
      </c>
      <c r="B631" s="131" t="s">
        <v>17273</v>
      </c>
      <c r="C631" s="132" t="s">
        <v>18427</v>
      </c>
      <c r="D631" s="131" t="s">
        <v>31</v>
      </c>
      <c r="E631" s="110" t="s">
        <v>18428</v>
      </c>
      <c r="F631" s="131" t="s">
        <v>31</v>
      </c>
      <c r="G631" s="133">
        <v>27.100000000000001</v>
      </c>
      <c r="H631" s="134">
        <v>27.100000000000001</v>
      </c>
      <c r="I631" s="131" t="s">
        <v>17190</v>
      </c>
      <c r="J631" s="88"/>
    </row>
    <row r="632" ht="38.25">
      <c r="A632" s="108">
        <v>1865</v>
      </c>
      <c r="B632" s="131" t="s">
        <v>17215</v>
      </c>
      <c r="C632" s="132" t="s">
        <v>18429</v>
      </c>
      <c r="D632" s="131" t="s">
        <v>31</v>
      </c>
      <c r="E632" s="110" t="s">
        <v>18430</v>
      </c>
      <c r="F632" s="131" t="s">
        <v>31</v>
      </c>
      <c r="G632" s="133">
        <v>10603.91</v>
      </c>
      <c r="H632" s="134">
        <v>10412.120000000001</v>
      </c>
      <c r="I632" s="131" t="s">
        <v>17190</v>
      </c>
      <c r="J632" s="88"/>
    </row>
    <row r="633" ht="25.5">
      <c r="A633" s="108">
        <v>1885</v>
      </c>
      <c r="B633" s="131" t="s">
        <v>17273</v>
      </c>
      <c r="C633" s="132" t="s">
        <v>18431</v>
      </c>
      <c r="D633" s="131" t="s">
        <v>2032</v>
      </c>
      <c r="E633" s="110" t="s">
        <v>18432</v>
      </c>
      <c r="F633" s="131" t="s">
        <v>2032</v>
      </c>
      <c r="G633" s="133">
        <v>1.4299999999999999</v>
      </c>
      <c r="H633" s="134">
        <v>1.4299999999999999</v>
      </c>
      <c r="I633" s="131" t="s">
        <v>17190</v>
      </c>
      <c r="J633" s="88"/>
    </row>
    <row r="634">
      <c r="A634" s="108">
        <v>7589</v>
      </c>
      <c r="B634" s="131" t="s">
        <v>17828</v>
      </c>
      <c r="C634" s="132" t="s">
        <v>18433</v>
      </c>
      <c r="D634" s="131" t="s">
        <v>31</v>
      </c>
      <c r="E634" s="110" t="s">
        <v>18434</v>
      </c>
      <c r="F634" s="131" t="s">
        <v>31</v>
      </c>
      <c r="G634" s="133">
        <v>310</v>
      </c>
      <c r="H634" s="134">
        <v>310</v>
      </c>
      <c r="I634" s="131" t="s">
        <v>17171</v>
      </c>
      <c r="J634" s="88"/>
    </row>
    <row r="635">
      <c r="A635" s="108">
        <v>7590</v>
      </c>
      <c r="B635" s="131" t="s">
        <v>17828</v>
      </c>
      <c r="C635" s="132" t="s">
        <v>18435</v>
      </c>
      <c r="D635" s="131" t="s">
        <v>31</v>
      </c>
      <c r="E635" s="110" t="s">
        <v>18436</v>
      </c>
      <c r="F635" s="131" t="s">
        <v>31</v>
      </c>
      <c r="G635" s="133">
        <v>339.89999999999998</v>
      </c>
      <c r="H635" s="134">
        <v>339.89999999999998</v>
      </c>
      <c r="I635" s="131" t="s">
        <v>17171</v>
      </c>
      <c r="J635" s="88"/>
    </row>
    <row r="636" ht="51">
      <c r="A636" s="108">
        <v>1849</v>
      </c>
      <c r="B636" s="131" t="s">
        <v>17215</v>
      </c>
      <c r="C636" s="132" t="s">
        <v>18437</v>
      </c>
      <c r="D636" s="131" t="s">
        <v>29</v>
      </c>
      <c r="E636" s="110" t="s">
        <v>18438</v>
      </c>
      <c r="F636" s="131" t="s">
        <v>29</v>
      </c>
      <c r="G636" s="133">
        <v>80.120000000000005</v>
      </c>
      <c r="H636" s="134">
        <v>78.75</v>
      </c>
      <c r="I636" s="131" t="s">
        <v>17190</v>
      </c>
      <c r="J636" s="88"/>
    </row>
    <row r="637" ht="38.25">
      <c r="A637" s="108">
        <v>1721</v>
      </c>
      <c r="B637" s="131" t="s">
        <v>17273</v>
      </c>
      <c r="C637" s="132" t="s">
        <v>18439</v>
      </c>
      <c r="D637" s="131" t="s">
        <v>29</v>
      </c>
      <c r="E637" s="110" t="s">
        <v>18440</v>
      </c>
      <c r="F637" s="131" t="s">
        <v>29</v>
      </c>
      <c r="G637" s="133">
        <v>234.75</v>
      </c>
      <c r="H637" s="134">
        <v>232.62</v>
      </c>
      <c r="I637" s="131" t="s">
        <v>17190</v>
      </c>
      <c r="J637" s="88"/>
    </row>
    <row r="638" ht="25.5">
      <c r="A638" s="108">
        <v>2808</v>
      </c>
      <c r="B638" s="131" t="s">
        <v>17194</v>
      </c>
      <c r="C638" s="132" t="s">
        <v>18441</v>
      </c>
      <c r="D638" s="131" t="s">
        <v>31</v>
      </c>
      <c r="E638" s="110" t="s">
        <v>18442</v>
      </c>
      <c r="F638" s="131" t="s">
        <v>31</v>
      </c>
      <c r="G638" s="133">
        <v>218.75</v>
      </c>
      <c r="H638" s="134">
        <v>218.75</v>
      </c>
      <c r="I638" s="131" t="s">
        <v>17190</v>
      </c>
      <c r="J638" s="88"/>
    </row>
    <row r="639" ht="25.5">
      <c r="A639" s="108">
        <v>2809</v>
      </c>
      <c r="B639" s="131" t="s">
        <v>17194</v>
      </c>
      <c r="C639" s="132" t="s">
        <v>18443</v>
      </c>
      <c r="D639" s="131" t="s">
        <v>31</v>
      </c>
      <c r="E639" s="110" t="s">
        <v>18444</v>
      </c>
      <c r="F639" s="131" t="s">
        <v>31</v>
      </c>
      <c r="G639" s="133">
        <v>211.53</v>
      </c>
      <c r="H639" s="134">
        <v>211.53</v>
      </c>
      <c r="I639" s="131" t="s">
        <v>17190</v>
      </c>
      <c r="J639" s="88"/>
    </row>
    <row r="640" ht="38.25">
      <c r="A640" s="108">
        <v>1728</v>
      </c>
      <c r="B640" s="131" t="s">
        <v>17215</v>
      </c>
      <c r="C640" s="132" t="s">
        <v>18445</v>
      </c>
      <c r="D640" s="131" t="s">
        <v>31</v>
      </c>
      <c r="E640" s="110" t="s">
        <v>18446</v>
      </c>
      <c r="F640" s="131" t="s">
        <v>31</v>
      </c>
      <c r="G640" s="133">
        <v>234.19</v>
      </c>
      <c r="H640" s="134">
        <v>232.58000000000001</v>
      </c>
      <c r="I640" s="131" t="s">
        <v>17190</v>
      </c>
      <c r="J640" s="88"/>
    </row>
    <row r="641" ht="25.5">
      <c r="A641" s="108">
        <v>1632</v>
      </c>
      <c r="B641" s="131" t="s">
        <v>17194</v>
      </c>
      <c r="C641" s="132" t="s">
        <v>18447</v>
      </c>
      <c r="D641" s="131" t="s">
        <v>31</v>
      </c>
      <c r="E641" s="110" t="s">
        <v>18448</v>
      </c>
      <c r="F641" s="131" t="s">
        <v>31</v>
      </c>
      <c r="G641" s="133">
        <v>320</v>
      </c>
      <c r="H641" s="134">
        <v>320</v>
      </c>
      <c r="I641" s="131" t="s">
        <v>17171</v>
      </c>
      <c r="J641" s="88"/>
    </row>
    <row r="642" ht="25.5">
      <c r="A642" s="108">
        <v>1668</v>
      </c>
      <c r="B642" s="131" t="s">
        <v>17273</v>
      </c>
      <c r="C642" s="132" t="s">
        <v>18449</v>
      </c>
      <c r="D642" s="131" t="s">
        <v>38</v>
      </c>
      <c r="E642" s="110" t="s">
        <v>18450</v>
      </c>
      <c r="F642" s="131" t="s">
        <v>38</v>
      </c>
      <c r="G642" s="133">
        <v>13.42</v>
      </c>
      <c r="H642" s="134">
        <v>13.119999999999999</v>
      </c>
      <c r="I642" s="131" t="s">
        <v>17190</v>
      </c>
      <c r="J642" s="88"/>
    </row>
    <row r="643" ht="63.75">
      <c r="A643" s="108">
        <v>1815</v>
      </c>
      <c r="B643" s="131" t="s">
        <v>17215</v>
      </c>
      <c r="C643" s="132" t="s">
        <v>18451</v>
      </c>
      <c r="D643" s="131" t="s">
        <v>31</v>
      </c>
      <c r="E643" s="110" t="s">
        <v>18452</v>
      </c>
      <c r="F643" s="131" t="s">
        <v>31</v>
      </c>
      <c r="G643" s="133">
        <v>998.5</v>
      </c>
      <c r="H643" s="134">
        <v>971.19000000000005</v>
      </c>
      <c r="I643" s="131" t="s">
        <v>17190</v>
      </c>
      <c r="J643" s="88"/>
    </row>
    <row r="644" ht="63.75">
      <c r="A644" s="108">
        <v>1816</v>
      </c>
      <c r="B644" s="131" t="s">
        <v>17215</v>
      </c>
      <c r="C644" s="132" t="s">
        <v>18453</v>
      </c>
      <c r="D644" s="131" t="s">
        <v>31</v>
      </c>
      <c r="E644" s="110" t="s">
        <v>18454</v>
      </c>
      <c r="F644" s="131" t="s">
        <v>31</v>
      </c>
      <c r="G644" s="133">
        <v>1217.7</v>
      </c>
      <c r="H644" s="134">
        <v>1181.6700000000001</v>
      </c>
      <c r="I644" s="131" t="s">
        <v>17190</v>
      </c>
      <c r="J644" s="88"/>
    </row>
    <row r="645" ht="63.75">
      <c r="A645" s="108">
        <v>1817</v>
      </c>
      <c r="B645" s="131" t="s">
        <v>17215</v>
      </c>
      <c r="C645" s="132" t="s">
        <v>18455</v>
      </c>
      <c r="D645" s="131" t="s">
        <v>31</v>
      </c>
      <c r="E645" s="110" t="s">
        <v>18456</v>
      </c>
      <c r="F645" s="131" t="s">
        <v>31</v>
      </c>
      <c r="G645" s="133">
        <v>1291.3800000000001</v>
      </c>
      <c r="H645" s="134">
        <v>1255.3499999999999</v>
      </c>
      <c r="I645" s="131" t="s">
        <v>17190</v>
      </c>
      <c r="J645" s="88"/>
    </row>
    <row r="646" ht="63.75">
      <c r="A646" s="108">
        <v>1818</v>
      </c>
      <c r="B646" s="131" t="s">
        <v>17215</v>
      </c>
      <c r="C646" s="132" t="s">
        <v>18457</v>
      </c>
      <c r="D646" s="131" t="s">
        <v>31</v>
      </c>
      <c r="E646" s="110" t="s">
        <v>18458</v>
      </c>
      <c r="F646" s="131" t="s">
        <v>31</v>
      </c>
      <c r="G646" s="133">
        <v>1450.54</v>
      </c>
      <c r="H646" s="134">
        <v>1409.8499999999999</v>
      </c>
      <c r="I646" s="131" t="s">
        <v>17190</v>
      </c>
      <c r="J646" s="88"/>
    </row>
    <row r="647" ht="51">
      <c r="A647" s="108">
        <v>1676</v>
      </c>
      <c r="B647" s="131" t="s">
        <v>17215</v>
      </c>
      <c r="C647" s="132" t="s">
        <v>18459</v>
      </c>
      <c r="D647" s="131" t="s">
        <v>29</v>
      </c>
      <c r="E647" s="110" t="s">
        <v>18460</v>
      </c>
      <c r="F647" s="131" t="s">
        <v>29</v>
      </c>
      <c r="G647" s="133">
        <v>138.44</v>
      </c>
      <c r="H647" s="134">
        <v>134.56</v>
      </c>
      <c r="I647" s="131" t="s">
        <v>17171</v>
      </c>
      <c r="J647" s="88"/>
    </row>
    <row r="648" ht="51">
      <c r="A648" s="108">
        <v>2751</v>
      </c>
      <c r="B648" s="131" t="s">
        <v>17215</v>
      </c>
      <c r="C648" s="132" t="s">
        <v>18461</v>
      </c>
      <c r="D648" s="131" t="s">
        <v>29</v>
      </c>
      <c r="E648" s="110" t="s">
        <v>18462</v>
      </c>
      <c r="F648" s="131" t="s">
        <v>29</v>
      </c>
      <c r="G648" s="133">
        <v>116.65000000000001</v>
      </c>
      <c r="H648" s="134">
        <v>112.77</v>
      </c>
      <c r="I648" s="131" t="s">
        <v>17171</v>
      </c>
      <c r="J648" s="88"/>
    </row>
    <row r="649" ht="38.25">
      <c r="A649" s="108">
        <v>1681</v>
      </c>
      <c r="B649" s="131" t="s">
        <v>17215</v>
      </c>
      <c r="C649" s="132" t="s">
        <v>18463</v>
      </c>
      <c r="D649" s="131" t="s">
        <v>29</v>
      </c>
      <c r="E649" s="110" t="s">
        <v>18464</v>
      </c>
      <c r="F649" s="131" t="s">
        <v>29</v>
      </c>
      <c r="G649" s="133">
        <v>109.15000000000001</v>
      </c>
      <c r="H649" s="134">
        <v>103.54000000000001</v>
      </c>
      <c r="I649" s="131" t="s">
        <v>17171</v>
      </c>
      <c r="J649" s="88"/>
    </row>
    <row r="650" ht="51">
      <c r="A650" s="108">
        <v>6437</v>
      </c>
      <c r="B650" s="131" t="s">
        <v>17273</v>
      </c>
      <c r="C650" s="132" t="s">
        <v>18465</v>
      </c>
      <c r="D650" s="131" t="s">
        <v>11798</v>
      </c>
      <c r="E650" s="110" t="s">
        <v>18466</v>
      </c>
      <c r="F650" s="131" t="s">
        <v>11798</v>
      </c>
      <c r="G650" s="133">
        <v>99.280000000000001</v>
      </c>
      <c r="H650" s="134">
        <v>99.280000000000001</v>
      </c>
      <c r="I650" s="131" t="s">
        <v>17190</v>
      </c>
      <c r="J650" s="88"/>
    </row>
    <row r="651" ht="51">
      <c r="A651" s="108">
        <v>1792</v>
      </c>
      <c r="B651" s="131" t="s">
        <v>17215</v>
      </c>
      <c r="C651" s="132" t="s">
        <v>18467</v>
      </c>
      <c r="D651" s="131" t="s">
        <v>31</v>
      </c>
      <c r="E651" s="110" t="s">
        <v>18468</v>
      </c>
      <c r="F651" s="131" t="s">
        <v>31</v>
      </c>
      <c r="G651" s="133">
        <v>102.90000000000001</v>
      </c>
      <c r="H651" s="134">
        <v>100.28</v>
      </c>
      <c r="I651" s="131" t="s">
        <v>17190</v>
      </c>
      <c r="J651" s="88"/>
    </row>
    <row r="652" ht="51">
      <c r="A652" s="108">
        <v>1793</v>
      </c>
      <c r="B652" s="131" t="s">
        <v>17215</v>
      </c>
      <c r="C652" s="132" t="s">
        <v>18469</v>
      </c>
      <c r="D652" s="131" t="s">
        <v>31</v>
      </c>
      <c r="E652" s="110" t="s">
        <v>18470</v>
      </c>
      <c r="F652" s="131" t="s">
        <v>31</v>
      </c>
      <c r="G652" s="133">
        <v>87.439999999999998</v>
      </c>
      <c r="H652" s="134">
        <v>85.439999999999998</v>
      </c>
      <c r="I652" s="131" t="s">
        <v>17190</v>
      </c>
      <c r="J652" s="88"/>
    </row>
    <row r="653" ht="38.25">
      <c r="A653" s="108">
        <v>6393</v>
      </c>
      <c r="B653" s="131" t="s">
        <v>17273</v>
      </c>
      <c r="C653" s="132" t="s">
        <v>18471</v>
      </c>
      <c r="D653" s="131" t="s">
        <v>31</v>
      </c>
      <c r="E653" s="110" t="s">
        <v>18472</v>
      </c>
      <c r="F653" s="131" t="s">
        <v>31</v>
      </c>
      <c r="G653" s="133">
        <v>13.470000000000001</v>
      </c>
      <c r="H653" s="134">
        <v>13.470000000000001</v>
      </c>
      <c r="I653" s="131" t="s">
        <v>17190</v>
      </c>
      <c r="J653" s="88"/>
    </row>
    <row r="654" ht="63.75">
      <c r="A654" s="108">
        <v>7549</v>
      </c>
      <c r="B654" s="131" t="s">
        <v>18241</v>
      </c>
      <c r="C654" s="132" t="s">
        <v>18473</v>
      </c>
      <c r="D654" s="131" t="s">
        <v>11798</v>
      </c>
      <c r="E654" s="110" t="s">
        <v>18474</v>
      </c>
      <c r="F654" s="131" t="s">
        <v>11798</v>
      </c>
      <c r="G654" s="133">
        <v>134.93000000000001</v>
      </c>
      <c r="H654" s="134">
        <v>134.93000000000001</v>
      </c>
      <c r="I654" s="131" t="s">
        <v>17190</v>
      </c>
      <c r="J654" s="88"/>
    </row>
    <row r="655" ht="63.75">
      <c r="A655" s="108">
        <v>1189</v>
      </c>
      <c r="B655" s="131" t="s">
        <v>18241</v>
      </c>
      <c r="C655" s="132" t="s">
        <v>18475</v>
      </c>
      <c r="D655" s="131" t="s">
        <v>11798</v>
      </c>
      <c r="E655" s="110" t="s">
        <v>18476</v>
      </c>
      <c r="F655" s="131" t="s">
        <v>11798</v>
      </c>
      <c r="G655" s="133">
        <v>60.869999999999997</v>
      </c>
      <c r="H655" s="134">
        <v>60.869999999999997</v>
      </c>
      <c r="I655" s="131" t="s">
        <v>17190</v>
      </c>
      <c r="J655" s="88"/>
    </row>
    <row r="656" ht="63.75">
      <c r="A656" s="108">
        <v>1894</v>
      </c>
      <c r="B656" s="131" t="s">
        <v>18241</v>
      </c>
      <c r="C656" s="132" t="s">
        <v>18477</v>
      </c>
      <c r="D656" s="131" t="s">
        <v>11798</v>
      </c>
      <c r="E656" s="110" t="s">
        <v>18478</v>
      </c>
      <c r="F656" s="131" t="s">
        <v>11798</v>
      </c>
      <c r="G656" s="133">
        <v>88.640000000000001</v>
      </c>
      <c r="H656" s="134">
        <v>88.640000000000001</v>
      </c>
      <c r="I656" s="131" t="s">
        <v>17190</v>
      </c>
      <c r="J656" s="88"/>
    </row>
    <row r="657" ht="63.75">
      <c r="A657" s="108">
        <v>1573</v>
      </c>
      <c r="B657" s="131" t="s">
        <v>17273</v>
      </c>
      <c r="C657" s="132" t="s">
        <v>18479</v>
      </c>
      <c r="D657" s="131" t="s">
        <v>11798</v>
      </c>
      <c r="E657" s="110" t="s">
        <v>18480</v>
      </c>
      <c r="F657" s="131" t="s">
        <v>11798</v>
      </c>
      <c r="G657" s="133">
        <v>75.760000000000005</v>
      </c>
      <c r="H657" s="134">
        <v>75.760000000000005</v>
      </c>
      <c r="I657" s="131" t="s">
        <v>17190</v>
      </c>
      <c r="J657" s="88"/>
    </row>
    <row r="658" ht="51">
      <c r="A658" s="108">
        <v>7560</v>
      </c>
      <c r="B658" s="131" t="s">
        <v>18241</v>
      </c>
      <c r="C658" s="132" t="s">
        <v>18481</v>
      </c>
      <c r="D658" s="131" t="s">
        <v>11798</v>
      </c>
      <c r="E658" s="110" t="s">
        <v>18482</v>
      </c>
      <c r="F658" s="131" t="s">
        <v>11798</v>
      </c>
      <c r="G658" s="133">
        <v>75.349999999999994</v>
      </c>
      <c r="H658" s="134">
        <v>75.349999999999994</v>
      </c>
      <c r="I658" s="131" t="s">
        <v>17190</v>
      </c>
      <c r="J658" s="88"/>
    </row>
    <row r="659">
      <c r="A659" s="108">
        <v>7562</v>
      </c>
      <c r="B659" s="131" t="s">
        <v>18241</v>
      </c>
      <c r="C659" s="132" t="s">
        <v>18483</v>
      </c>
      <c r="D659" s="131" t="s">
        <v>31</v>
      </c>
      <c r="E659" s="110" t="s">
        <v>18484</v>
      </c>
      <c r="F659" s="131" t="s">
        <v>31</v>
      </c>
      <c r="G659" s="133">
        <v>10</v>
      </c>
      <c r="H659" s="134">
        <v>10</v>
      </c>
      <c r="I659" s="131" t="s">
        <v>17171</v>
      </c>
      <c r="J659" s="88"/>
    </row>
    <row r="660">
      <c r="A660" s="108">
        <v>7564</v>
      </c>
      <c r="B660" s="131" t="s">
        <v>18241</v>
      </c>
      <c r="C660" s="132" t="s">
        <v>18485</v>
      </c>
      <c r="D660" s="131" t="s">
        <v>31</v>
      </c>
      <c r="E660" s="110" t="s">
        <v>18486</v>
      </c>
      <c r="F660" s="131" t="s">
        <v>31</v>
      </c>
      <c r="G660" s="133">
        <v>13</v>
      </c>
      <c r="H660" s="134">
        <v>13</v>
      </c>
      <c r="I660" s="131" t="s">
        <v>17171</v>
      </c>
      <c r="J660" s="88"/>
    </row>
    <row r="661">
      <c r="A661" s="108">
        <v>7563</v>
      </c>
      <c r="B661" s="131" t="s">
        <v>18241</v>
      </c>
      <c r="C661" s="132" t="s">
        <v>18487</v>
      </c>
      <c r="D661" s="131" t="s">
        <v>31</v>
      </c>
      <c r="E661" s="110" t="s">
        <v>18488</v>
      </c>
      <c r="F661" s="131" t="s">
        <v>31</v>
      </c>
      <c r="G661" s="133">
        <v>16</v>
      </c>
      <c r="H661" s="134">
        <v>16</v>
      </c>
      <c r="I661" s="131" t="s">
        <v>17171</v>
      </c>
      <c r="J661" s="88"/>
    </row>
    <row r="662" ht="38.25">
      <c r="A662" s="108">
        <v>1887</v>
      </c>
      <c r="B662" s="131" t="s">
        <v>17273</v>
      </c>
      <c r="C662" s="132" t="s">
        <v>18489</v>
      </c>
      <c r="D662" s="131" t="s">
        <v>2032</v>
      </c>
      <c r="E662" s="110" t="s">
        <v>18490</v>
      </c>
      <c r="F662" s="131" t="s">
        <v>2032</v>
      </c>
      <c r="G662" s="133">
        <v>1.e-002</v>
      </c>
      <c r="H662" s="134">
        <v>1.e-002</v>
      </c>
      <c r="I662" s="131" t="s">
        <v>17190</v>
      </c>
      <c r="J662" s="88"/>
    </row>
    <row r="663" ht="25.5">
      <c r="A663" s="108">
        <v>1926</v>
      </c>
      <c r="B663" s="131" t="s">
        <v>17273</v>
      </c>
      <c r="C663" s="132" t="s">
        <v>18491</v>
      </c>
      <c r="D663" s="131" t="s">
        <v>2032</v>
      </c>
      <c r="E663" s="110" t="s">
        <v>18492</v>
      </c>
      <c r="F663" s="131" t="s">
        <v>2032</v>
      </c>
      <c r="G663" s="133">
        <v>0.60999999999999999</v>
      </c>
      <c r="H663" s="134">
        <v>0.60999999999999999</v>
      </c>
      <c r="I663" s="131" t="s">
        <v>17190</v>
      </c>
      <c r="J663" s="88"/>
    </row>
    <row r="664">
      <c r="A664" s="108">
        <v>7613</v>
      </c>
      <c r="B664" s="131" t="s">
        <v>17455</v>
      </c>
      <c r="C664" s="132" t="s">
        <v>18493</v>
      </c>
      <c r="D664" s="131" t="s">
        <v>31</v>
      </c>
      <c r="E664" s="110" t="s">
        <v>18494</v>
      </c>
      <c r="F664" s="131" t="s">
        <v>31</v>
      </c>
      <c r="G664" s="133">
        <v>216.21000000000001</v>
      </c>
      <c r="H664" s="134">
        <v>216.21000000000001</v>
      </c>
      <c r="I664" s="131" t="s">
        <v>17171</v>
      </c>
      <c r="J664" s="88"/>
    </row>
    <row r="665" ht="25.5">
      <c r="A665" s="108">
        <v>7575</v>
      </c>
      <c r="B665" s="131" t="s">
        <v>17455</v>
      </c>
      <c r="C665" s="132" t="s">
        <v>18495</v>
      </c>
      <c r="D665" s="131" t="s">
        <v>31</v>
      </c>
      <c r="E665" s="110" t="s">
        <v>18496</v>
      </c>
      <c r="F665" s="131" t="s">
        <v>31</v>
      </c>
      <c r="G665" s="133">
        <v>59.25</v>
      </c>
      <c r="H665" s="134">
        <v>59.25</v>
      </c>
      <c r="I665" s="131" t="s">
        <v>17171</v>
      </c>
      <c r="J665" s="88"/>
    </row>
    <row r="666" ht="25.5">
      <c r="A666" s="108">
        <v>7635</v>
      </c>
      <c r="B666" s="131" t="s">
        <v>17455</v>
      </c>
      <c r="C666" s="132" t="s">
        <v>18497</v>
      </c>
      <c r="D666" s="131" t="s">
        <v>31</v>
      </c>
      <c r="E666" s="110" t="s">
        <v>18498</v>
      </c>
      <c r="F666" s="131" t="s">
        <v>31</v>
      </c>
      <c r="G666" s="133">
        <v>19.16</v>
      </c>
      <c r="H666" s="134">
        <v>19.16</v>
      </c>
      <c r="I666" s="131" t="s">
        <v>17171</v>
      </c>
      <c r="J666" s="88"/>
    </row>
    <row r="667">
      <c r="A667" s="108">
        <v>7537</v>
      </c>
      <c r="B667" s="131" t="s">
        <v>17455</v>
      </c>
      <c r="C667" s="132" t="s">
        <v>18499</v>
      </c>
      <c r="D667" s="131" t="s">
        <v>31</v>
      </c>
      <c r="E667" s="110" t="s">
        <v>18500</v>
      </c>
      <c r="F667" s="131" t="s">
        <v>31</v>
      </c>
      <c r="G667" s="133">
        <v>25.239999999999998</v>
      </c>
      <c r="H667" s="134">
        <v>25.239999999999998</v>
      </c>
      <c r="I667" s="131" t="s">
        <v>17171</v>
      </c>
      <c r="J667" s="88"/>
    </row>
    <row r="668">
      <c r="A668" s="108">
        <v>8733</v>
      </c>
      <c r="B668" s="131" t="s">
        <v>17455</v>
      </c>
      <c r="C668" s="132" t="s">
        <v>18501</v>
      </c>
      <c r="D668" s="131" t="s">
        <v>17457</v>
      </c>
      <c r="E668" s="110" t="s">
        <v>18502</v>
      </c>
      <c r="F668" s="131" t="s">
        <v>17457</v>
      </c>
      <c r="G668" s="133">
        <v>249.44</v>
      </c>
      <c r="H668" s="134">
        <v>249.44</v>
      </c>
      <c r="I668" s="131" t="s">
        <v>17171</v>
      </c>
      <c r="J668" s="88"/>
    </row>
    <row r="669">
      <c r="A669" s="108">
        <v>7627</v>
      </c>
      <c r="B669" s="131" t="s">
        <v>17455</v>
      </c>
      <c r="C669" s="132" t="s">
        <v>18503</v>
      </c>
      <c r="D669" s="131" t="s">
        <v>31</v>
      </c>
      <c r="E669" s="110" t="s">
        <v>18504</v>
      </c>
      <c r="F669" s="131" t="s">
        <v>31</v>
      </c>
      <c r="G669" s="133">
        <v>74.480000000000004</v>
      </c>
      <c r="H669" s="134">
        <v>74.480000000000004</v>
      </c>
      <c r="I669" s="131" t="s">
        <v>17171</v>
      </c>
      <c r="J669" s="88"/>
    </row>
    <row r="670" ht="25.5">
      <c r="A670" s="108">
        <v>7623</v>
      </c>
      <c r="B670" s="131" t="s">
        <v>17455</v>
      </c>
      <c r="C670" s="132" t="s">
        <v>18505</v>
      </c>
      <c r="D670" s="131" t="s">
        <v>31</v>
      </c>
      <c r="E670" s="110" t="s">
        <v>18506</v>
      </c>
      <c r="F670" s="131" t="s">
        <v>31</v>
      </c>
      <c r="G670" s="133">
        <v>116.01000000000001</v>
      </c>
      <c r="H670" s="134">
        <v>116.01000000000001</v>
      </c>
      <c r="I670" s="131" t="s">
        <v>17171</v>
      </c>
      <c r="J670" s="88"/>
    </row>
    <row r="671" ht="25.5">
      <c r="A671" s="108">
        <v>6178</v>
      </c>
      <c r="B671" s="131" t="s">
        <v>17455</v>
      </c>
      <c r="C671" s="132" t="s">
        <v>18507</v>
      </c>
      <c r="D671" s="131" t="s">
        <v>31</v>
      </c>
      <c r="E671" s="110" t="s">
        <v>18508</v>
      </c>
      <c r="F671" s="131" t="s">
        <v>31</v>
      </c>
      <c r="G671" s="133">
        <v>44.729999999999997</v>
      </c>
      <c r="H671" s="134">
        <v>44.729999999999997</v>
      </c>
      <c r="I671" s="131" t="s">
        <v>17171</v>
      </c>
      <c r="J671" s="88"/>
    </row>
    <row r="672" ht="25.5">
      <c r="A672" s="108">
        <v>7614</v>
      </c>
      <c r="B672" s="131" t="s">
        <v>17455</v>
      </c>
      <c r="C672" s="132" t="s">
        <v>18509</v>
      </c>
      <c r="D672" s="131" t="s">
        <v>17457</v>
      </c>
      <c r="E672" s="110" t="s">
        <v>18510</v>
      </c>
      <c r="F672" s="131" t="s">
        <v>17457</v>
      </c>
      <c r="G672" s="133">
        <v>66</v>
      </c>
      <c r="H672" s="134">
        <v>66</v>
      </c>
      <c r="I672" s="131" t="s">
        <v>17171</v>
      </c>
      <c r="J672" s="88"/>
    </row>
    <row r="673" ht="25.5">
      <c r="A673" s="108">
        <v>8734</v>
      </c>
      <c r="B673" s="131" t="s">
        <v>17455</v>
      </c>
      <c r="C673" s="132" t="s">
        <v>18511</v>
      </c>
      <c r="D673" s="131" t="s">
        <v>17457</v>
      </c>
      <c r="E673" s="110" t="s">
        <v>18512</v>
      </c>
      <c r="F673" s="131" t="s">
        <v>17457</v>
      </c>
      <c r="G673" s="133">
        <v>214.83000000000001</v>
      </c>
      <c r="H673" s="134">
        <v>214.83000000000001</v>
      </c>
      <c r="I673" s="131" t="s">
        <v>17171</v>
      </c>
      <c r="J673" s="88"/>
    </row>
    <row r="674" ht="51">
      <c r="A674" s="108">
        <v>6341</v>
      </c>
      <c r="B674" s="131" t="s">
        <v>17455</v>
      </c>
      <c r="C674" s="132" t="s">
        <v>18513</v>
      </c>
      <c r="D674" s="131" t="s">
        <v>31</v>
      </c>
      <c r="E674" s="110" t="s">
        <v>18514</v>
      </c>
      <c r="F674" s="131" t="s">
        <v>31</v>
      </c>
      <c r="G674" s="133">
        <v>2.8900000000000001</v>
      </c>
      <c r="H674" s="134">
        <v>2.8900000000000001</v>
      </c>
      <c r="I674" s="131" t="s">
        <v>17190</v>
      </c>
      <c r="J674" s="88"/>
    </row>
    <row r="675" ht="25.5">
      <c r="A675" s="108">
        <v>7021</v>
      </c>
      <c r="B675" s="131" t="s">
        <v>17168</v>
      </c>
      <c r="C675" s="132" t="s">
        <v>18515</v>
      </c>
      <c r="D675" s="131" t="s">
        <v>38</v>
      </c>
      <c r="E675" s="110" t="s">
        <v>18516</v>
      </c>
      <c r="F675" s="131" t="s">
        <v>38</v>
      </c>
      <c r="G675" s="133">
        <v>2.3199999999999998</v>
      </c>
      <c r="H675" s="134">
        <v>2.3199999999999998</v>
      </c>
      <c r="I675" s="131" t="s">
        <v>17171</v>
      </c>
      <c r="J675" s="88"/>
    </row>
    <row r="676" ht="38.25">
      <c r="A676" s="108">
        <v>3244</v>
      </c>
      <c r="B676" s="131" t="s">
        <v>17570</v>
      </c>
      <c r="C676" s="132" t="s">
        <v>18517</v>
      </c>
      <c r="D676" s="131" t="s">
        <v>38</v>
      </c>
      <c r="E676" s="110" t="s">
        <v>18518</v>
      </c>
      <c r="F676" s="131" t="s">
        <v>38</v>
      </c>
      <c r="G676" s="133">
        <v>1.6599999999999999</v>
      </c>
      <c r="H676" s="134">
        <v>1.6599999999999999</v>
      </c>
      <c r="I676" s="131" t="s">
        <v>17190</v>
      </c>
      <c r="J676" s="88"/>
    </row>
    <row r="677" ht="38.25">
      <c r="A677" s="108">
        <v>3245</v>
      </c>
      <c r="B677" s="131" t="s">
        <v>17570</v>
      </c>
      <c r="C677" s="132" t="s">
        <v>18519</v>
      </c>
      <c r="D677" s="131" t="s">
        <v>38</v>
      </c>
      <c r="E677" s="110" t="s">
        <v>18520</v>
      </c>
      <c r="F677" s="131" t="s">
        <v>38</v>
      </c>
      <c r="G677" s="133">
        <v>9.6600000000000001</v>
      </c>
      <c r="H677" s="134">
        <v>9.6600000000000001</v>
      </c>
      <c r="I677" s="131" t="s">
        <v>17190</v>
      </c>
      <c r="J677" s="88"/>
    </row>
    <row r="678" ht="38.25">
      <c r="A678" s="108">
        <v>3247</v>
      </c>
      <c r="B678" s="131" t="s">
        <v>17570</v>
      </c>
      <c r="C678" s="132" t="s">
        <v>18521</v>
      </c>
      <c r="D678" s="131" t="s">
        <v>38</v>
      </c>
      <c r="E678" s="110" t="s">
        <v>18522</v>
      </c>
      <c r="F678" s="131" t="s">
        <v>38</v>
      </c>
      <c r="G678" s="133">
        <v>2.6800000000000002</v>
      </c>
      <c r="H678" s="134">
        <v>2.6800000000000002</v>
      </c>
      <c r="I678" s="131" t="s">
        <v>17190</v>
      </c>
      <c r="J678" s="88"/>
    </row>
    <row r="679" ht="38.25">
      <c r="A679" s="108">
        <v>3248</v>
      </c>
      <c r="B679" s="131" t="s">
        <v>17570</v>
      </c>
      <c r="C679" s="132" t="s">
        <v>18523</v>
      </c>
      <c r="D679" s="131" t="s">
        <v>38</v>
      </c>
      <c r="E679" s="110" t="s">
        <v>18524</v>
      </c>
      <c r="F679" s="131" t="s">
        <v>38</v>
      </c>
      <c r="G679" s="133">
        <v>4.2300000000000004</v>
      </c>
      <c r="H679" s="134">
        <v>4.2300000000000004</v>
      </c>
      <c r="I679" s="131" t="s">
        <v>17190</v>
      </c>
      <c r="J679" s="88"/>
    </row>
    <row r="680" ht="38.25">
      <c r="A680" s="108">
        <v>3249</v>
      </c>
      <c r="B680" s="131" t="s">
        <v>17570</v>
      </c>
      <c r="C680" s="132" t="s">
        <v>18525</v>
      </c>
      <c r="D680" s="131" t="s">
        <v>38</v>
      </c>
      <c r="E680" s="110" t="s">
        <v>18526</v>
      </c>
      <c r="F680" s="131" t="s">
        <v>38</v>
      </c>
      <c r="G680" s="133">
        <v>6.1100000000000003</v>
      </c>
      <c r="H680" s="134">
        <v>6.1100000000000003</v>
      </c>
      <c r="I680" s="131" t="s">
        <v>17190</v>
      </c>
      <c r="J680" s="88"/>
    </row>
    <row r="681" ht="25.5">
      <c r="A681" s="108">
        <v>2701</v>
      </c>
      <c r="B681" s="131" t="s">
        <v>17235</v>
      </c>
      <c r="C681" s="132" t="s">
        <v>18527</v>
      </c>
      <c r="D681" s="131" t="s">
        <v>38</v>
      </c>
      <c r="E681" s="110" t="s">
        <v>18528</v>
      </c>
      <c r="F681" s="131" t="s">
        <v>38</v>
      </c>
      <c r="G681" s="133">
        <v>9.2400000000000002</v>
      </c>
      <c r="H681" s="134">
        <v>9.2400000000000002</v>
      </c>
      <c r="I681" s="131" t="s">
        <v>17171</v>
      </c>
      <c r="J681" s="88"/>
    </row>
    <row r="682" ht="25.5">
      <c r="A682" s="108">
        <v>2702</v>
      </c>
      <c r="B682" s="131" t="s">
        <v>17235</v>
      </c>
      <c r="C682" s="132" t="s">
        <v>18529</v>
      </c>
      <c r="D682" s="131" t="s">
        <v>38</v>
      </c>
      <c r="E682" s="110" t="s">
        <v>18530</v>
      </c>
      <c r="F682" s="131" t="s">
        <v>38</v>
      </c>
      <c r="G682" s="133">
        <v>26.829999999999998</v>
      </c>
      <c r="H682" s="134">
        <v>26.829999999999998</v>
      </c>
      <c r="I682" s="131" t="s">
        <v>17171</v>
      </c>
      <c r="J682" s="88"/>
    </row>
    <row r="683">
      <c r="A683" s="108">
        <v>3491</v>
      </c>
      <c r="B683" s="131" t="s">
        <v>17273</v>
      </c>
      <c r="C683" s="132" t="s">
        <v>18531</v>
      </c>
      <c r="D683" s="131" t="s">
        <v>31</v>
      </c>
      <c r="E683" s="110" t="s">
        <v>18532</v>
      </c>
      <c r="F683" s="131" t="s">
        <v>31</v>
      </c>
      <c r="G683" s="133">
        <v>14.24</v>
      </c>
      <c r="H683" s="134">
        <v>14.24</v>
      </c>
      <c r="I683" s="131" t="s">
        <v>17190</v>
      </c>
      <c r="J683" s="88"/>
    </row>
    <row r="684" ht="25.5">
      <c r="A684" s="108">
        <v>1869</v>
      </c>
      <c r="B684" s="131" t="s">
        <v>17487</v>
      </c>
      <c r="C684" s="132" t="s">
        <v>18533</v>
      </c>
      <c r="D684" s="131" t="s">
        <v>38</v>
      </c>
      <c r="E684" s="110" t="s">
        <v>18534</v>
      </c>
      <c r="F684" s="131" t="s">
        <v>38</v>
      </c>
      <c r="G684" s="133">
        <v>27.850000000000001</v>
      </c>
      <c r="H684" s="134">
        <v>27.850000000000001</v>
      </c>
      <c r="I684" s="131" t="s">
        <v>17171</v>
      </c>
      <c r="J684" s="88"/>
    </row>
    <row r="685" ht="38.25">
      <c r="A685" s="108">
        <v>1542</v>
      </c>
      <c r="B685" s="131" t="s">
        <v>17273</v>
      </c>
      <c r="C685" s="132" t="s">
        <v>18535</v>
      </c>
      <c r="D685" s="131" t="s">
        <v>38</v>
      </c>
      <c r="E685" s="110" t="s">
        <v>18536</v>
      </c>
      <c r="F685" s="131" t="s">
        <v>38</v>
      </c>
      <c r="G685" s="133">
        <v>0.38</v>
      </c>
      <c r="H685" s="134">
        <v>0.38</v>
      </c>
      <c r="I685" s="131" t="s">
        <v>17190</v>
      </c>
      <c r="J685" s="88"/>
    </row>
    <row r="686" ht="38.25">
      <c r="A686" s="108">
        <v>6472</v>
      </c>
      <c r="B686" s="131" t="s">
        <v>17273</v>
      </c>
      <c r="C686" s="132" t="s">
        <v>18537</v>
      </c>
      <c r="D686" s="131" t="s">
        <v>38</v>
      </c>
      <c r="E686" s="110" t="s">
        <v>18538</v>
      </c>
      <c r="F686" s="131" t="s">
        <v>38</v>
      </c>
      <c r="G686" s="133">
        <v>3.3500000000000001</v>
      </c>
      <c r="H686" s="134">
        <v>3.3500000000000001</v>
      </c>
      <c r="I686" s="131" t="s">
        <v>17190</v>
      </c>
      <c r="J686" s="88"/>
    </row>
    <row r="687" ht="25.5">
      <c r="A687" s="108">
        <v>3467</v>
      </c>
      <c r="B687" s="131" t="s">
        <v>17828</v>
      </c>
      <c r="C687" s="132" t="s">
        <v>18539</v>
      </c>
      <c r="D687" s="131" t="s">
        <v>31</v>
      </c>
      <c r="E687" s="110" t="s">
        <v>18540</v>
      </c>
      <c r="F687" s="131" t="s">
        <v>31</v>
      </c>
      <c r="G687" s="133">
        <v>12.449999999999999</v>
      </c>
      <c r="H687" s="134">
        <v>12.449999999999999</v>
      </c>
      <c r="I687" s="131" t="s">
        <v>17190</v>
      </c>
      <c r="J687" s="88"/>
    </row>
    <row r="688" ht="25.5">
      <c r="A688" s="108">
        <v>1634</v>
      </c>
      <c r="B688" s="131" t="s">
        <v>17273</v>
      </c>
      <c r="C688" s="132" t="s">
        <v>18541</v>
      </c>
      <c r="D688" s="131" t="s">
        <v>31</v>
      </c>
      <c r="E688" s="110" t="s">
        <v>18542</v>
      </c>
      <c r="F688" s="131" t="s">
        <v>31</v>
      </c>
      <c r="G688" s="133">
        <v>4.7000000000000002</v>
      </c>
      <c r="H688" s="134">
        <v>4.7000000000000002</v>
      </c>
      <c r="I688" s="131" t="s">
        <v>17190</v>
      </c>
      <c r="J688" s="88"/>
    </row>
    <row r="689" ht="25.5">
      <c r="A689" s="108">
        <v>3365</v>
      </c>
      <c r="B689" s="131" t="s">
        <v>17828</v>
      </c>
      <c r="C689" s="132" t="s">
        <v>18543</v>
      </c>
      <c r="D689" s="131" t="s">
        <v>38</v>
      </c>
      <c r="E689" s="110" t="s">
        <v>18544</v>
      </c>
      <c r="F689" s="131" t="s">
        <v>38</v>
      </c>
      <c r="G689" s="133">
        <v>1.6899999999999999</v>
      </c>
      <c r="H689" s="134">
        <v>1.6899999999999999</v>
      </c>
      <c r="I689" s="131" t="s">
        <v>17190</v>
      </c>
      <c r="J689" s="88"/>
    </row>
    <row r="690" ht="25.5">
      <c r="A690" s="108">
        <v>1096</v>
      </c>
      <c r="B690" s="131" t="s">
        <v>17191</v>
      </c>
      <c r="C690" s="132" t="s">
        <v>18545</v>
      </c>
      <c r="D690" s="131" t="s">
        <v>31</v>
      </c>
      <c r="E690" s="110" t="s">
        <v>18546</v>
      </c>
      <c r="F690" s="131" t="s">
        <v>31</v>
      </c>
      <c r="G690" s="133">
        <v>17.550000000000001</v>
      </c>
      <c r="H690" s="134">
        <v>17.550000000000001</v>
      </c>
      <c r="I690" s="131" t="s">
        <v>17190</v>
      </c>
      <c r="J690" s="88"/>
    </row>
    <row r="691" ht="51">
      <c r="A691" s="108">
        <v>1667</v>
      </c>
      <c r="B691" s="131" t="s">
        <v>17273</v>
      </c>
      <c r="C691" s="132" t="s">
        <v>18547</v>
      </c>
      <c r="D691" s="131" t="s">
        <v>38</v>
      </c>
      <c r="E691" s="110" t="s">
        <v>18548</v>
      </c>
      <c r="F691" s="131" t="s">
        <v>38</v>
      </c>
      <c r="G691" s="133">
        <v>11.06</v>
      </c>
      <c r="H691" s="134">
        <v>10.56</v>
      </c>
      <c r="I691" s="131" t="s">
        <v>17190</v>
      </c>
      <c r="J691" s="88"/>
    </row>
    <row r="692" ht="63.75">
      <c r="A692" s="108">
        <v>1912</v>
      </c>
      <c r="B692" s="131" t="s">
        <v>17273</v>
      </c>
      <c r="C692" s="132" t="s">
        <v>18549</v>
      </c>
      <c r="D692" s="131" t="s">
        <v>38</v>
      </c>
      <c r="E692" s="110" t="s">
        <v>18550</v>
      </c>
      <c r="F692" s="131" t="s">
        <v>38</v>
      </c>
      <c r="G692" s="133">
        <v>11.06</v>
      </c>
      <c r="H692" s="134">
        <v>10.56</v>
      </c>
      <c r="I692" s="131" t="s">
        <v>17190</v>
      </c>
      <c r="J692" s="88"/>
    </row>
    <row r="693" ht="63.75">
      <c r="A693" s="108">
        <v>6453</v>
      </c>
      <c r="B693" s="131" t="s">
        <v>17215</v>
      </c>
      <c r="C693" s="132" t="s">
        <v>18551</v>
      </c>
      <c r="D693" s="131" t="s">
        <v>38</v>
      </c>
      <c r="E693" s="110" t="s">
        <v>18552</v>
      </c>
      <c r="F693" s="131" t="s">
        <v>38</v>
      </c>
      <c r="G693" s="133">
        <v>7.3899999999999997</v>
      </c>
      <c r="H693" s="134">
        <v>7.0999999999999996</v>
      </c>
      <c r="I693" s="131" t="s">
        <v>17190</v>
      </c>
      <c r="J693" s="88"/>
    </row>
    <row r="694" ht="63.75">
      <c r="A694" s="108">
        <v>6454</v>
      </c>
      <c r="B694" s="131" t="s">
        <v>17215</v>
      </c>
      <c r="C694" s="132" t="s">
        <v>18553</v>
      </c>
      <c r="D694" s="131" t="s">
        <v>38</v>
      </c>
      <c r="E694" s="110" t="s">
        <v>18554</v>
      </c>
      <c r="F694" s="131" t="s">
        <v>38</v>
      </c>
      <c r="G694" s="133">
        <v>11.56</v>
      </c>
      <c r="H694" s="134">
        <v>11.109999999999999</v>
      </c>
      <c r="I694" s="131" t="s">
        <v>17190</v>
      </c>
      <c r="J694" s="88"/>
    </row>
    <row r="695" ht="63.75">
      <c r="A695" s="108">
        <v>1603</v>
      </c>
      <c r="B695" s="131" t="s">
        <v>17273</v>
      </c>
      <c r="C695" s="132" t="s">
        <v>18555</v>
      </c>
      <c r="D695" s="131" t="s">
        <v>38</v>
      </c>
      <c r="E695" s="110" t="s">
        <v>18556</v>
      </c>
      <c r="F695" s="131" t="s">
        <v>38</v>
      </c>
      <c r="G695" s="133">
        <v>4.1200000000000001</v>
      </c>
      <c r="H695" s="134">
        <v>3.9300000000000002</v>
      </c>
      <c r="I695" s="131" t="s">
        <v>17190</v>
      </c>
      <c r="J695" s="88"/>
    </row>
    <row r="696" ht="25.5">
      <c r="A696" s="108">
        <v>1097</v>
      </c>
      <c r="B696" s="131" t="s">
        <v>18028</v>
      </c>
      <c r="C696" s="132" t="s">
        <v>18557</v>
      </c>
      <c r="D696" s="131" t="s">
        <v>31</v>
      </c>
      <c r="E696" s="110" t="s">
        <v>18558</v>
      </c>
      <c r="F696" s="131" t="s">
        <v>31</v>
      </c>
      <c r="G696" s="133">
        <v>1.8200000000000001</v>
      </c>
      <c r="H696" s="134">
        <v>1.8200000000000001</v>
      </c>
      <c r="I696" s="131" t="s">
        <v>17190</v>
      </c>
      <c r="J696" s="88"/>
    </row>
    <row r="697" ht="25.5">
      <c r="A697" s="108">
        <v>2731</v>
      </c>
      <c r="B697" s="131" t="s">
        <v>17273</v>
      </c>
      <c r="C697" s="132" t="s">
        <v>18559</v>
      </c>
      <c r="D697" s="131" t="s">
        <v>31</v>
      </c>
      <c r="E697" s="110" t="s">
        <v>18560</v>
      </c>
      <c r="F697" s="131" t="s">
        <v>31</v>
      </c>
      <c r="G697" s="133">
        <v>2.5499999999999998</v>
      </c>
      <c r="H697" s="134">
        <v>2.5499999999999998</v>
      </c>
      <c r="I697" s="131" t="s">
        <v>17190</v>
      </c>
      <c r="J697" s="88"/>
    </row>
    <row r="698" ht="25.5">
      <c r="A698" s="108">
        <v>1870</v>
      </c>
      <c r="B698" s="131" t="s">
        <v>17487</v>
      </c>
      <c r="C698" s="132" t="s">
        <v>16023</v>
      </c>
      <c r="D698" s="131" t="s">
        <v>31</v>
      </c>
      <c r="E698" s="110" t="s">
        <v>18561</v>
      </c>
      <c r="F698" s="131" t="s">
        <v>31</v>
      </c>
      <c r="G698" s="133">
        <v>82.409999999999997</v>
      </c>
      <c r="H698" s="134">
        <v>82.409999999999997</v>
      </c>
      <c r="I698" s="131" t="s">
        <v>17171</v>
      </c>
      <c r="J698" s="88"/>
    </row>
    <row r="699" ht="38.25">
      <c r="A699" s="108">
        <v>1854</v>
      </c>
      <c r="B699" s="131" t="s">
        <v>17215</v>
      </c>
      <c r="C699" s="132" t="s">
        <v>18562</v>
      </c>
      <c r="D699" s="131" t="s">
        <v>29</v>
      </c>
      <c r="E699" s="110" t="s">
        <v>18563</v>
      </c>
      <c r="F699" s="131" t="s">
        <v>29</v>
      </c>
      <c r="G699" s="133">
        <v>86.810000000000002</v>
      </c>
      <c r="H699" s="134">
        <v>85.390000000000001</v>
      </c>
      <c r="I699" s="131" t="s">
        <v>17190</v>
      </c>
      <c r="J699" s="88"/>
    </row>
    <row r="700" ht="25.5">
      <c r="A700" s="108">
        <v>6052</v>
      </c>
      <c r="B700" s="131" t="s">
        <v>17246</v>
      </c>
      <c r="C700" s="132" t="s">
        <v>18564</v>
      </c>
      <c r="D700" s="131" t="s">
        <v>9794</v>
      </c>
      <c r="E700" s="110" t="s">
        <v>18565</v>
      </c>
      <c r="F700" s="131" t="s">
        <v>9794</v>
      </c>
      <c r="G700" s="133">
        <v>41</v>
      </c>
      <c r="H700" s="134">
        <v>41</v>
      </c>
      <c r="I700" s="131" t="s">
        <v>17190</v>
      </c>
      <c r="J700" s="88"/>
    </row>
    <row r="701">
      <c r="A701" s="108">
        <v>6004</v>
      </c>
      <c r="B701" s="131" t="s">
        <v>17246</v>
      </c>
      <c r="C701" s="132" t="s">
        <v>18566</v>
      </c>
      <c r="D701" s="131" t="s">
        <v>9794</v>
      </c>
      <c r="E701" s="110" t="s">
        <v>18567</v>
      </c>
      <c r="F701" s="131" t="s">
        <v>9794</v>
      </c>
      <c r="G701" s="133">
        <v>14.32</v>
      </c>
      <c r="H701" s="134">
        <v>14.32</v>
      </c>
      <c r="I701" s="131" t="s">
        <v>17190</v>
      </c>
      <c r="J701" s="88"/>
    </row>
    <row r="702" ht="25.5">
      <c r="A702" s="108">
        <v>1755</v>
      </c>
      <c r="B702" s="131" t="s">
        <v>17215</v>
      </c>
      <c r="C702" s="132" t="s">
        <v>18568</v>
      </c>
      <c r="D702" s="131" t="s">
        <v>29</v>
      </c>
      <c r="E702" s="110" t="s">
        <v>18569</v>
      </c>
      <c r="F702" s="131" t="s">
        <v>29</v>
      </c>
      <c r="G702" s="133">
        <v>3.6099999999999999</v>
      </c>
      <c r="H702" s="134">
        <v>3.4399999999999999</v>
      </c>
      <c r="I702" s="131" t="s">
        <v>17190</v>
      </c>
      <c r="J702" s="88"/>
    </row>
    <row r="703" ht="25.5">
      <c r="A703" s="108">
        <v>1731</v>
      </c>
      <c r="B703" s="131" t="s">
        <v>17215</v>
      </c>
      <c r="C703" s="132" t="s">
        <v>18570</v>
      </c>
      <c r="D703" s="131" t="s">
        <v>31</v>
      </c>
      <c r="E703" s="110" t="s">
        <v>18571</v>
      </c>
      <c r="F703" s="131" t="s">
        <v>31</v>
      </c>
      <c r="G703" s="133">
        <v>4.4100000000000001</v>
      </c>
      <c r="H703" s="134">
        <v>4.0700000000000003</v>
      </c>
      <c r="I703" s="131" t="s">
        <v>17190</v>
      </c>
      <c r="J703" s="88"/>
    </row>
    <row r="704" ht="25.5">
      <c r="A704" s="108">
        <v>1732</v>
      </c>
      <c r="B704" s="131" t="s">
        <v>17215</v>
      </c>
      <c r="C704" s="132" t="s">
        <v>18572</v>
      </c>
      <c r="D704" s="131" t="s">
        <v>31</v>
      </c>
      <c r="E704" s="110" t="s">
        <v>18573</v>
      </c>
      <c r="F704" s="131" t="s">
        <v>31</v>
      </c>
      <c r="G704" s="133">
        <v>4.9900000000000002</v>
      </c>
      <c r="H704" s="134">
        <v>4.5999999999999996</v>
      </c>
      <c r="I704" s="131" t="s">
        <v>17190</v>
      </c>
      <c r="J704" s="88"/>
    </row>
    <row r="705" ht="25.5">
      <c r="A705" s="108">
        <v>1730</v>
      </c>
      <c r="B705" s="131" t="s">
        <v>17215</v>
      </c>
      <c r="C705" s="132" t="s">
        <v>18574</v>
      </c>
      <c r="D705" s="131" t="s">
        <v>31</v>
      </c>
      <c r="E705" s="110" t="s">
        <v>18575</v>
      </c>
      <c r="F705" s="131" t="s">
        <v>31</v>
      </c>
      <c r="G705" s="133">
        <v>5.3300000000000001</v>
      </c>
      <c r="H705" s="134">
        <v>4.9199999999999999</v>
      </c>
      <c r="I705" s="131" t="s">
        <v>17190</v>
      </c>
      <c r="J705" s="88"/>
    </row>
    <row r="706" ht="25.5">
      <c r="A706" s="108">
        <v>1701</v>
      </c>
      <c r="B706" s="131" t="s">
        <v>18576</v>
      </c>
      <c r="C706" s="132" t="s">
        <v>18577</v>
      </c>
      <c r="D706" s="131" t="s">
        <v>31</v>
      </c>
      <c r="E706" s="110" t="s">
        <v>18578</v>
      </c>
      <c r="F706" s="131" t="s">
        <v>31</v>
      </c>
      <c r="G706" s="133">
        <v>1835.1300000000001</v>
      </c>
      <c r="H706" s="134">
        <v>1835.1300000000001</v>
      </c>
      <c r="I706" s="131" t="s">
        <v>17171</v>
      </c>
      <c r="J706" s="88"/>
    </row>
    <row r="707" ht="25.5">
      <c r="A707" s="108">
        <v>1702</v>
      </c>
      <c r="B707" s="131" t="s">
        <v>18576</v>
      </c>
      <c r="C707" s="132" t="s">
        <v>18579</v>
      </c>
      <c r="D707" s="131" t="s">
        <v>31</v>
      </c>
      <c r="E707" s="110" t="s">
        <v>18580</v>
      </c>
      <c r="F707" s="131" t="s">
        <v>31</v>
      </c>
      <c r="G707" s="133">
        <v>2543.52</v>
      </c>
      <c r="H707" s="134">
        <v>2543.52</v>
      </c>
      <c r="I707" s="131" t="s">
        <v>17171</v>
      </c>
      <c r="J707" s="88"/>
    </row>
    <row r="708" ht="25.5">
      <c r="A708" s="108">
        <v>1703</v>
      </c>
      <c r="B708" s="131" t="s">
        <v>18576</v>
      </c>
      <c r="C708" s="132" t="s">
        <v>18581</v>
      </c>
      <c r="D708" s="131" t="s">
        <v>31</v>
      </c>
      <c r="E708" s="110" t="s">
        <v>18582</v>
      </c>
      <c r="F708" s="131" t="s">
        <v>31</v>
      </c>
      <c r="G708" s="133">
        <v>2997.5799999999999</v>
      </c>
      <c r="H708" s="134">
        <v>2997.5799999999999</v>
      </c>
      <c r="I708" s="131" t="s">
        <v>17171</v>
      </c>
      <c r="J708" s="88"/>
    </row>
    <row r="709" ht="25.5">
      <c r="A709" s="108">
        <v>3396</v>
      </c>
      <c r="B709" s="131" t="s">
        <v>17168</v>
      </c>
      <c r="C709" s="132" t="s">
        <v>18583</v>
      </c>
      <c r="D709" s="131" t="s">
        <v>31</v>
      </c>
      <c r="E709" s="110" t="s">
        <v>18584</v>
      </c>
      <c r="F709" s="131" t="s">
        <v>31</v>
      </c>
      <c r="G709" s="133">
        <v>23.699999999999999</v>
      </c>
      <c r="H709" s="134">
        <v>23.699999999999999</v>
      </c>
      <c r="I709" s="131" t="s">
        <v>17190</v>
      </c>
      <c r="J709" s="88"/>
    </row>
    <row r="710">
      <c r="A710" s="108">
        <v>6397</v>
      </c>
      <c r="B710" s="131" t="s">
        <v>17243</v>
      </c>
      <c r="C710" s="132" t="s">
        <v>18585</v>
      </c>
      <c r="D710" s="131" t="s">
        <v>302</v>
      </c>
      <c r="E710" s="110" t="s">
        <v>18586</v>
      </c>
      <c r="F710" s="131" t="s">
        <v>302</v>
      </c>
      <c r="G710" s="133">
        <v>8.3900000000000006</v>
      </c>
      <c r="H710" s="134">
        <v>8.3900000000000006</v>
      </c>
      <c r="I710" s="131" t="s">
        <v>17190</v>
      </c>
      <c r="J710" s="88"/>
    </row>
    <row r="711" ht="38.25">
      <c r="A711" s="108">
        <v>6562</v>
      </c>
      <c r="B711" s="131" t="s">
        <v>17273</v>
      </c>
      <c r="C711" s="132" t="s">
        <v>18587</v>
      </c>
      <c r="D711" s="131" t="s">
        <v>29</v>
      </c>
      <c r="E711" s="110" t="s">
        <v>18588</v>
      </c>
      <c r="F711" s="131" t="s">
        <v>29</v>
      </c>
      <c r="G711" s="133">
        <v>12.06</v>
      </c>
      <c r="H711" s="134">
        <v>12.06</v>
      </c>
      <c r="I711" s="131" t="s">
        <v>17190</v>
      </c>
      <c r="J711" s="88"/>
    </row>
    <row r="712" ht="25.5">
      <c r="A712" s="108">
        <v>4060</v>
      </c>
      <c r="B712" s="131" t="s">
        <v>17250</v>
      </c>
      <c r="C712" s="132" t="s">
        <v>18589</v>
      </c>
      <c r="D712" s="131" t="s">
        <v>2032</v>
      </c>
      <c r="E712" s="110" t="s">
        <v>18590</v>
      </c>
      <c r="F712" s="131" t="s">
        <v>2032</v>
      </c>
      <c r="G712" s="133">
        <v>28.02</v>
      </c>
      <c r="H712" s="134">
        <v>25.800000000000001</v>
      </c>
      <c r="I712" s="131" t="s">
        <v>17190</v>
      </c>
      <c r="J712" s="88"/>
    </row>
    <row r="713" ht="25.5">
      <c r="A713" s="108">
        <v>1541</v>
      </c>
      <c r="B713" s="131" t="s">
        <v>17273</v>
      </c>
      <c r="C713" s="132" t="s">
        <v>18591</v>
      </c>
      <c r="D713" s="131" t="s">
        <v>302</v>
      </c>
      <c r="E713" s="110" t="s">
        <v>18592</v>
      </c>
      <c r="F713" s="131" t="s">
        <v>302</v>
      </c>
      <c r="G713" s="133">
        <v>3.3199999999999998</v>
      </c>
      <c r="H713" s="134">
        <v>3.3199999999999998</v>
      </c>
      <c r="I713" s="131" t="s">
        <v>17190</v>
      </c>
      <c r="J713" s="88"/>
    </row>
    <row r="714">
      <c r="A714" s="108">
        <v>6612</v>
      </c>
      <c r="B714" s="131" t="s">
        <v>17168</v>
      </c>
      <c r="C714" s="132" t="s">
        <v>16490</v>
      </c>
      <c r="D714" s="131" t="s">
        <v>31</v>
      </c>
      <c r="E714" s="110" t="s">
        <v>18593</v>
      </c>
      <c r="F714" s="131" t="s">
        <v>31</v>
      </c>
      <c r="G714" s="133">
        <v>51.219999999999999</v>
      </c>
      <c r="H714" s="134">
        <v>51.219999999999999</v>
      </c>
      <c r="I714" s="131" t="s">
        <v>17171</v>
      </c>
      <c r="J714" s="88"/>
    </row>
    <row r="715">
      <c r="A715" s="108">
        <v>6610</v>
      </c>
      <c r="B715" s="131" t="s">
        <v>17168</v>
      </c>
      <c r="C715" s="132" t="s">
        <v>16488</v>
      </c>
      <c r="D715" s="131" t="s">
        <v>31</v>
      </c>
      <c r="E715" s="110" t="s">
        <v>18594</v>
      </c>
      <c r="F715" s="131" t="s">
        <v>31</v>
      </c>
      <c r="G715" s="133">
        <v>48.899999999999999</v>
      </c>
      <c r="H715" s="134">
        <v>48.899999999999999</v>
      </c>
      <c r="I715" s="131" t="s">
        <v>17171</v>
      </c>
      <c r="J715" s="88"/>
    </row>
    <row r="716">
      <c r="A716" s="108">
        <v>6611</v>
      </c>
      <c r="B716" s="131" t="s">
        <v>17168</v>
      </c>
      <c r="C716" s="132" t="s">
        <v>18595</v>
      </c>
      <c r="D716" s="131" t="s">
        <v>31</v>
      </c>
      <c r="E716" s="110" t="s">
        <v>18596</v>
      </c>
      <c r="F716" s="131" t="s">
        <v>31</v>
      </c>
      <c r="G716" s="133">
        <v>60.57</v>
      </c>
      <c r="H716" s="134">
        <v>60.57</v>
      </c>
      <c r="I716" s="131" t="s">
        <v>17171</v>
      </c>
      <c r="J716" s="88"/>
    </row>
    <row r="717" ht="38.25">
      <c r="A717" s="108">
        <v>1076</v>
      </c>
      <c r="B717" s="131" t="s">
        <v>17407</v>
      </c>
      <c r="C717" s="132" t="s">
        <v>18597</v>
      </c>
      <c r="D717" s="131" t="s">
        <v>31</v>
      </c>
      <c r="E717" s="110" t="s">
        <v>18598</v>
      </c>
      <c r="F717" s="131" t="s">
        <v>31</v>
      </c>
      <c r="G717" s="133">
        <v>62.75</v>
      </c>
      <c r="H717" s="134">
        <v>62.75</v>
      </c>
      <c r="I717" s="131" t="s">
        <v>17190</v>
      </c>
      <c r="J717" s="88"/>
    </row>
    <row r="718" ht="38.25">
      <c r="A718" s="108">
        <v>6598</v>
      </c>
      <c r="B718" s="131" t="s">
        <v>17168</v>
      </c>
      <c r="C718" s="132" t="s">
        <v>18597</v>
      </c>
      <c r="D718" s="131" t="s">
        <v>31</v>
      </c>
      <c r="E718" s="110" t="s">
        <v>18599</v>
      </c>
      <c r="F718" s="131" t="s">
        <v>31</v>
      </c>
      <c r="G718" s="133">
        <v>62.75</v>
      </c>
      <c r="H718" s="134">
        <v>62.75</v>
      </c>
      <c r="I718" s="131" t="s">
        <v>17190</v>
      </c>
      <c r="J718" s="88"/>
    </row>
    <row r="719" ht="38.25">
      <c r="A719" s="108">
        <v>1633</v>
      </c>
      <c r="B719" s="131" t="s">
        <v>17273</v>
      </c>
      <c r="C719" s="132" t="s">
        <v>18600</v>
      </c>
      <c r="D719" s="131" t="s">
        <v>31</v>
      </c>
      <c r="E719" s="110" t="s">
        <v>18601</v>
      </c>
      <c r="F719" s="131" t="s">
        <v>31</v>
      </c>
      <c r="G719" s="133">
        <v>5.8399999999999999</v>
      </c>
      <c r="H719" s="134">
        <v>5.8399999999999999</v>
      </c>
      <c r="I719" s="131" t="s">
        <v>17190</v>
      </c>
      <c r="J719" s="88"/>
    </row>
    <row r="720" ht="38.25">
      <c r="A720" s="108">
        <v>6068</v>
      </c>
      <c r="B720" s="131" t="s">
        <v>18602</v>
      </c>
      <c r="C720" s="132" t="s">
        <v>18603</v>
      </c>
      <c r="D720" s="131" t="s">
        <v>29</v>
      </c>
      <c r="E720" s="110" t="s">
        <v>18604</v>
      </c>
      <c r="F720" s="131" t="s">
        <v>29</v>
      </c>
      <c r="G720" s="133">
        <v>671.69000000000005</v>
      </c>
      <c r="H720" s="134">
        <v>671.69000000000005</v>
      </c>
      <c r="I720" s="131" t="s">
        <v>17190</v>
      </c>
      <c r="J720" s="88"/>
    </row>
    <row r="721" ht="25.5">
      <c r="A721" s="108">
        <v>1784</v>
      </c>
      <c r="B721" s="131" t="s">
        <v>17215</v>
      </c>
      <c r="C721" s="132" t="s">
        <v>18605</v>
      </c>
      <c r="D721" s="131" t="s">
        <v>121</v>
      </c>
      <c r="E721" s="110" t="s">
        <v>18606</v>
      </c>
      <c r="F721" s="131" t="s">
        <v>121</v>
      </c>
      <c r="G721" s="133">
        <v>975.04999999999995</v>
      </c>
      <c r="H721" s="134">
        <v>944.35000000000002</v>
      </c>
      <c r="I721" s="131" t="s">
        <v>17190</v>
      </c>
      <c r="J721" s="88"/>
    </row>
    <row r="722" ht="38.25">
      <c r="A722" s="108">
        <v>1735</v>
      </c>
      <c r="B722" s="131" t="s">
        <v>17215</v>
      </c>
      <c r="C722" s="132" t="s">
        <v>18607</v>
      </c>
      <c r="D722" s="131" t="s">
        <v>31</v>
      </c>
      <c r="E722" s="110" t="s">
        <v>18608</v>
      </c>
      <c r="F722" s="131" t="s">
        <v>31</v>
      </c>
      <c r="G722" s="133">
        <v>200.55000000000001</v>
      </c>
      <c r="H722" s="134">
        <v>198.84</v>
      </c>
      <c r="I722" s="131" t="s">
        <v>17190</v>
      </c>
      <c r="J722" s="88"/>
    </row>
    <row r="723">
      <c r="A723" s="108">
        <v>1691</v>
      </c>
      <c r="B723" s="131" t="s">
        <v>17322</v>
      </c>
      <c r="C723" s="132" t="s">
        <v>18609</v>
      </c>
      <c r="D723" s="131" t="s">
        <v>31</v>
      </c>
      <c r="E723" s="110" t="s">
        <v>18610</v>
      </c>
      <c r="F723" s="131" t="s">
        <v>31</v>
      </c>
      <c r="G723" s="133">
        <v>58</v>
      </c>
      <c r="H723" s="134">
        <v>58</v>
      </c>
      <c r="I723" s="131" t="s">
        <v>17171</v>
      </c>
      <c r="J723" s="88"/>
    </row>
    <row r="724" ht="38.25">
      <c r="A724" s="108">
        <v>7552</v>
      </c>
      <c r="B724" s="131" t="s">
        <v>17215</v>
      </c>
      <c r="C724" s="132" t="s">
        <v>18611</v>
      </c>
      <c r="D724" s="131" t="s">
        <v>1533</v>
      </c>
      <c r="E724" s="110" t="s">
        <v>18612</v>
      </c>
      <c r="F724" s="131" t="s">
        <v>1533</v>
      </c>
      <c r="G724" s="133">
        <v>40.340000000000003</v>
      </c>
      <c r="H724" s="134">
        <v>38.270000000000003</v>
      </c>
      <c r="I724" s="131" t="s">
        <v>17190</v>
      </c>
      <c r="J724" s="88"/>
    </row>
    <row r="725" ht="38.25">
      <c r="A725" s="108">
        <v>7500</v>
      </c>
      <c r="B725" s="131" t="s">
        <v>17215</v>
      </c>
      <c r="C725" s="132" t="s">
        <v>18613</v>
      </c>
      <c r="D725" s="131" t="s">
        <v>1535</v>
      </c>
      <c r="E725" s="110" t="s">
        <v>18614</v>
      </c>
      <c r="F725" s="131" t="s">
        <v>1535</v>
      </c>
      <c r="G725" s="133">
        <v>99.680000000000007</v>
      </c>
      <c r="H725" s="134">
        <v>97.609999999999999</v>
      </c>
      <c r="I725" s="131" t="s">
        <v>17190</v>
      </c>
      <c r="J725" s="88"/>
    </row>
    <row r="726" ht="38.25">
      <c r="A726" s="108">
        <v>6476</v>
      </c>
      <c r="B726" s="131" t="s">
        <v>17455</v>
      </c>
      <c r="C726" s="132" t="s">
        <v>18615</v>
      </c>
      <c r="D726" s="131" t="s">
        <v>29</v>
      </c>
      <c r="E726" s="110" t="s">
        <v>18616</v>
      </c>
      <c r="F726" s="131" t="s">
        <v>29</v>
      </c>
      <c r="G726" s="133">
        <v>700</v>
      </c>
      <c r="H726" s="134">
        <v>700</v>
      </c>
      <c r="I726" s="131" t="s">
        <v>17171</v>
      </c>
      <c r="J726" s="88"/>
    </row>
    <row r="727" ht="51">
      <c r="A727" s="108">
        <v>6475</v>
      </c>
      <c r="B727" s="131" t="s">
        <v>17455</v>
      </c>
      <c r="C727" s="132" t="s">
        <v>18617</v>
      </c>
      <c r="D727" s="131" t="s">
        <v>29</v>
      </c>
      <c r="E727" s="110" t="s">
        <v>18618</v>
      </c>
      <c r="F727" s="131" t="s">
        <v>29</v>
      </c>
      <c r="G727" s="133">
        <v>990</v>
      </c>
      <c r="H727" s="134">
        <v>990</v>
      </c>
      <c r="I727" s="131" t="s">
        <v>17171</v>
      </c>
      <c r="J727" s="88"/>
    </row>
    <row r="728" ht="51">
      <c r="A728" s="108">
        <v>1113</v>
      </c>
      <c r="B728" s="131" t="s">
        <v>17470</v>
      </c>
      <c r="C728" s="132" t="s">
        <v>18619</v>
      </c>
      <c r="D728" s="131" t="s">
        <v>38</v>
      </c>
      <c r="E728" s="110" t="s">
        <v>18620</v>
      </c>
      <c r="F728" s="131" t="s">
        <v>38</v>
      </c>
      <c r="G728" s="133">
        <v>8.3599999999999994</v>
      </c>
      <c r="H728" s="134">
        <v>8.3599999999999994</v>
      </c>
      <c r="I728" s="131" t="s">
        <v>17190</v>
      </c>
      <c r="J728" s="88"/>
    </row>
    <row r="729" ht="51">
      <c r="A729" s="108">
        <v>1202</v>
      </c>
      <c r="B729" s="131" t="s">
        <v>17470</v>
      </c>
      <c r="C729" s="132" t="s">
        <v>18619</v>
      </c>
      <c r="D729" s="131" t="s">
        <v>38</v>
      </c>
      <c r="E729" s="110" t="s">
        <v>18621</v>
      </c>
      <c r="F729" s="131" t="s">
        <v>38</v>
      </c>
      <c r="G729" s="133">
        <v>8.3599999999999994</v>
      </c>
      <c r="H729" s="134">
        <v>8.3599999999999994</v>
      </c>
      <c r="I729" s="131" t="s">
        <v>17190</v>
      </c>
      <c r="J729" s="88"/>
    </row>
    <row r="730">
      <c r="A730" s="108">
        <v>1708</v>
      </c>
      <c r="B730" s="131" t="s">
        <v>18576</v>
      </c>
      <c r="C730" s="132" t="s">
        <v>18622</v>
      </c>
      <c r="D730" s="131" t="s">
        <v>31</v>
      </c>
      <c r="E730" s="110" t="s">
        <v>18623</v>
      </c>
      <c r="F730" s="131" t="s">
        <v>31</v>
      </c>
      <c r="G730" s="133">
        <v>56.25</v>
      </c>
      <c r="H730" s="134">
        <v>56.25</v>
      </c>
      <c r="I730" s="131" t="s">
        <v>17171</v>
      </c>
      <c r="J730" s="88"/>
    </row>
    <row r="731" ht="38.25">
      <c r="A731" s="108">
        <v>1623</v>
      </c>
      <c r="B731" s="131" t="s">
        <v>17273</v>
      </c>
      <c r="C731" s="132" t="s">
        <v>18624</v>
      </c>
      <c r="D731" s="131" t="s">
        <v>1533</v>
      </c>
      <c r="E731" s="110" t="s">
        <v>18625</v>
      </c>
      <c r="F731" s="131" t="s">
        <v>1533</v>
      </c>
      <c r="G731" s="133">
        <v>27.780000000000001</v>
      </c>
      <c r="H731" s="134">
        <v>25.5</v>
      </c>
      <c r="I731" s="131" t="s">
        <v>17190</v>
      </c>
      <c r="J731" s="88"/>
    </row>
    <row r="732" ht="38.25">
      <c r="A732" s="108">
        <v>1622</v>
      </c>
      <c r="B732" s="131" t="s">
        <v>17273</v>
      </c>
      <c r="C732" s="132" t="s">
        <v>18626</v>
      </c>
      <c r="D732" s="131" t="s">
        <v>1535</v>
      </c>
      <c r="E732" s="110" t="s">
        <v>18627</v>
      </c>
      <c r="F732" s="131" t="s">
        <v>1535</v>
      </c>
      <c r="G732" s="133">
        <v>28.890000000000001</v>
      </c>
      <c r="H732" s="134">
        <v>26.609999999999999</v>
      </c>
      <c r="I732" s="131" t="s">
        <v>17190</v>
      </c>
      <c r="J732" s="88"/>
    </row>
    <row r="733" ht="38.25">
      <c r="A733" s="108">
        <v>1585</v>
      </c>
      <c r="B733" s="131" t="s">
        <v>17273</v>
      </c>
      <c r="C733" s="132" t="s">
        <v>18628</v>
      </c>
      <c r="D733" s="131" t="s">
        <v>1533</v>
      </c>
      <c r="E733" s="110" t="s">
        <v>18629</v>
      </c>
      <c r="F733" s="131" t="s">
        <v>1533</v>
      </c>
      <c r="G733" s="133">
        <v>181.56</v>
      </c>
      <c r="H733" s="134">
        <v>178.72</v>
      </c>
      <c r="I733" s="131" t="s">
        <v>17190</v>
      </c>
      <c r="J733" s="88"/>
    </row>
    <row r="734" ht="38.25">
      <c r="A734" s="108">
        <v>1584</v>
      </c>
      <c r="B734" s="131" t="s">
        <v>17273</v>
      </c>
      <c r="C734" s="132" t="s">
        <v>18630</v>
      </c>
      <c r="D734" s="131" t="s">
        <v>1535</v>
      </c>
      <c r="E734" s="110" t="s">
        <v>18631</v>
      </c>
      <c r="F734" s="131" t="s">
        <v>1535</v>
      </c>
      <c r="G734" s="133">
        <v>355.56</v>
      </c>
      <c r="H734" s="134">
        <v>352.72000000000003</v>
      </c>
      <c r="I734" s="131" t="s">
        <v>17190</v>
      </c>
      <c r="J734" s="88"/>
    </row>
    <row r="735" ht="63.75">
      <c r="A735" s="108">
        <v>2755</v>
      </c>
      <c r="B735" s="131" t="s">
        <v>17215</v>
      </c>
      <c r="C735" s="132" t="s">
        <v>18632</v>
      </c>
      <c r="D735" s="131" t="s">
        <v>1533</v>
      </c>
      <c r="E735" s="110" t="s">
        <v>18633</v>
      </c>
      <c r="F735" s="131" t="s">
        <v>1533</v>
      </c>
      <c r="G735" s="133">
        <v>64.189999999999998</v>
      </c>
      <c r="H735" s="134">
        <v>62.079999999999998</v>
      </c>
      <c r="I735" s="131" t="s">
        <v>17190</v>
      </c>
      <c r="J735" s="88"/>
    </row>
    <row r="736" ht="63.75">
      <c r="A736" s="108">
        <v>6614</v>
      </c>
      <c r="B736" s="131" t="s">
        <v>17215</v>
      </c>
      <c r="C736" s="132" t="s">
        <v>18634</v>
      </c>
      <c r="D736" s="131" t="s">
        <v>1535</v>
      </c>
      <c r="E736" s="110" t="s">
        <v>18635</v>
      </c>
      <c r="F736" s="131" t="s">
        <v>1535</v>
      </c>
      <c r="G736" s="133">
        <v>273.98000000000002</v>
      </c>
      <c r="H736" s="134">
        <v>271.87</v>
      </c>
      <c r="I736" s="131" t="s">
        <v>17190</v>
      </c>
      <c r="J736" s="88"/>
    </row>
    <row r="737" ht="51">
      <c r="A737" s="108">
        <v>6331</v>
      </c>
      <c r="B737" s="131" t="s">
        <v>17215</v>
      </c>
      <c r="C737" s="132" t="s">
        <v>18636</v>
      </c>
      <c r="D737" s="131" t="s">
        <v>1535</v>
      </c>
      <c r="E737" s="110" t="s">
        <v>18637</v>
      </c>
      <c r="F737" s="131" t="s">
        <v>1535</v>
      </c>
      <c r="G737" s="133">
        <v>231.59999999999999</v>
      </c>
      <c r="H737" s="134">
        <v>229.49000000000001</v>
      </c>
      <c r="I737" s="131" t="s">
        <v>17190</v>
      </c>
      <c r="J737" s="88"/>
    </row>
    <row r="738" ht="38.25">
      <c r="A738" s="108">
        <v>3211</v>
      </c>
      <c r="B738" s="131" t="s">
        <v>17398</v>
      </c>
      <c r="C738" s="132" t="s">
        <v>18638</v>
      </c>
      <c r="D738" s="131" t="s">
        <v>31</v>
      </c>
      <c r="E738" s="110" t="s">
        <v>18639</v>
      </c>
      <c r="F738" s="131" t="s">
        <v>31</v>
      </c>
      <c r="G738" s="133">
        <v>63.759999999999998</v>
      </c>
      <c r="H738" s="134">
        <v>63.759999999999998</v>
      </c>
      <c r="I738" s="131" t="s">
        <v>17190</v>
      </c>
      <c r="J738" s="88"/>
    </row>
    <row r="739" ht="38.25">
      <c r="A739" s="108">
        <v>1873</v>
      </c>
      <c r="B739" s="131" t="s">
        <v>17273</v>
      </c>
      <c r="C739" s="132" t="s">
        <v>18640</v>
      </c>
      <c r="D739" s="131" t="s">
        <v>31</v>
      </c>
      <c r="E739" s="110" t="s">
        <v>18641</v>
      </c>
      <c r="F739" s="131" t="s">
        <v>31</v>
      </c>
      <c r="G739" s="133">
        <v>61.560000000000002</v>
      </c>
      <c r="H739" s="134">
        <v>61.560000000000002</v>
      </c>
      <c r="I739" s="131" t="s">
        <v>17190</v>
      </c>
      <c r="J739" s="88"/>
    </row>
    <row r="740" ht="25.5">
      <c r="A740" s="108">
        <v>1921</v>
      </c>
      <c r="B740" s="131" t="s">
        <v>17273</v>
      </c>
      <c r="C740" s="132" t="s">
        <v>18642</v>
      </c>
      <c r="D740" s="131" t="s">
        <v>31</v>
      </c>
      <c r="E740" s="110" t="s">
        <v>18643</v>
      </c>
      <c r="F740" s="131" t="s">
        <v>31</v>
      </c>
      <c r="G740" s="133">
        <v>73.409999999999997</v>
      </c>
      <c r="H740" s="134">
        <v>72.510000000000005</v>
      </c>
      <c r="I740" s="131" t="s">
        <v>17190</v>
      </c>
      <c r="J740" s="88"/>
    </row>
    <row r="741" ht="38.25">
      <c r="A741" s="108">
        <v>1621</v>
      </c>
      <c r="B741" s="131" t="s">
        <v>17273</v>
      </c>
      <c r="C741" s="132" t="s">
        <v>18644</v>
      </c>
      <c r="D741" s="131" t="s">
        <v>11798</v>
      </c>
      <c r="E741" s="110" t="s">
        <v>18645</v>
      </c>
      <c r="F741" s="131" t="s">
        <v>11798</v>
      </c>
      <c r="G741" s="133">
        <v>1.6200000000000001</v>
      </c>
      <c r="H741" s="134">
        <v>1.6200000000000001</v>
      </c>
      <c r="I741" s="131" t="s">
        <v>17190</v>
      </c>
      <c r="J741" s="88"/>
    </row>
    <row r="742" ht="38.25">
      <c r="A742" s="108">
        <v>6309</v>
      </c>
      <c r="B742" s="131" t="s">
        <v>17215</v>
      </c>
      <c r="C742" s="132" t="s">
        <v>18646</v>
      </c>
      <c r="D742" s="131" t="s">
        <v>29</v>
      </c>
      <c r="E742" s="110" t="s">
        <v>18647</v>
      </c>
      <c r="F742" s="131" t="s">
        <v>29</v>
      </c>
      <c r="G742" s="133">
        <v>21.859999999999999</v>
      </c>
      <c r="H742" s="134">
        <v>20.77</v>
      </c>
      <c r="I742" s="131" t="s">
        <v>17171</v>
      </c>
      <c r="J742" s="88"/>
    </row>
    <row r="743" ht="25.5">
      <c r="A743" s="108">
        <v>4059</v>
      </c>
      <c r="B743" s="131" t="s">
        <v>17250</v>
      </c>
      <c r="C743" s="132" t="s">
        <v>18648</v>
      </c>
      <c r="D743" s="131" t="s">
        <v>2032</v>
      </c>
      <c r="E743" s="110" t="s">
        <v>18649</v>
      </c>
      <c r="F743" s="131" t="s">
        <v>2032</v>
      </c>
      <c r="G743" s="133">
        <v>25.559999999999999</v>
      </c>
      <c r="H743" s="134">
        <v>23.59</v>
      </c>
      <c r="I743" s="131" t="s">
        <v>17190</v>
      </c>
      <c r="J743" s="88"/>
    </row>
    <row r="744" ht="38.25">
      <c r="A744" s="108">
        <v>6032</v>
      </c>
      <c r="B744" s="131" t="s">
        <v>17246</v>
      </c>
      <c r="C744" s="132" t="s">
        <v>18650</v>
      </c>
      <c r="D744" s="131" t="s">
        <v>9794</v>
      </c>
      <c r="E744" s="110" t="s">
        <v>18651</v>
      </c>
      <c r="F744" s="131" t="s">
        <v>9794</v>
      </c>
      <c r="G744" s="133">
        <v>31.43</v>
      </c>
      <c r="H744" s="134">
        <v>31.43</v>
      </c>
      <c r="I744" s="131" t="s">
        <v>17190</v>
      </c>
      <c r="J744" s="88"/>
    </row>
    <row r="745" ht="25.5">
      <c r="A745" s="108">
        <v>7185</v>
      </c>
      <c r="B745" s="131" t="s">
        <v>17828</v>
      </c>
      <c r="C745" s="132" t="s">
        <v>18652</v>
      </c>
      <c r="D745" s="131" t="s">
        <v>31</v>
      </c>
      <c r="E745" s="110" t="s">
        <v>18653</v>
      </c>
      <c r="F745" s="131" t="s">
        <v>31</v>
      </c>
      <c r="G745" s="133">
        <v>22.469999999999999</v>
      </c>
      <c r="H745" s="134">
        <v>22.469999999999999</v>
      </c>
      <c r="I745" s="131" t="s">
        <v>17171</v>
      </c>
      <c r="J745" s="88"/>
    </row>
    <row r="746" ht="25.5">
      <c r="A746" s="108">
        <v>7186</v>
      </c>
      <c r="B746" s="131" t="s">
        <v>17828</v>
      </c>
      <c r="C746" s="132" t="s">
        <v>18654</v>
      </c>
      <c r="D746" s="131" t="s">
        <v>31</v>
      </c>
      <c r="E746" s="110" t="s">
        <v>18655</v>
      </c>
      <c r="F746" s="131" t="s">
        <v>31</v>
      </c>
      <c r="G746" s="133">
        <v>38.210000000000001</v>
      </c>
      <c r="H746" s="134">
        <v>38.210000000000001</v>
      </c>
      <c r="I746" s="131" t="s">
        <v>17171</v>
      </c>
      <c r="J746" s="88"/>
    </row>
    <row r="747" ht="25.5">
      <c r="A747" s="108">
        <v>7123</v>
      </c>
      <c r="B747" s="131" t="s">
        <v>17779</v>
      </c>
      <c r="C747" s="132" t="s">
        <v>18656</v>
      </c>
      <c r="D747" s="131" t="s">
        <v>31</v>
      </c>
      <c r="E747" s="110" t="s">
        <v>18657</v>
      </c>
      <c r="F747" s="131" t="s">
        <v>31</v>
      </c>
      <c r="G747" s="133">
        <v>96.25</v>
      </c>
      <c r="H747" s="134">
        <v>96.25</v>
      </c>
      <c r="I747" s="131" t="s">
        <v>17171</v>
      </c>
      <c r="J747" s="88"/>
    </row>
    <row r="748" ht="25.5">
      <c r="A748" s="108">
        <v>7281</v>
      </c>
      <c r="B748" s="131" t="s">
        <v>17801</v>
      </c>
      <c r="C748" s="132" t="s">
        <v>18658</v>
      </c>
      <c r="D748" s="131" t="s">
        <v>31</v>
      </c>
      <c r="E748" s="110" t="s">
        <v>18659</v>
      </c>
      <c r="F748" s="131" t="s">
        <v>31</v>
      </c>
      <c r="G748" s="133">
        <v>54.460000000000001</v>
      </c>
      <c r="H748" s="134">
        <v>54.460000000000001</v>
      </c>
      <c r="I748" s="131" t="s">
        <v>17171</v>
      </c>
      <c r="J748" s="88"/>
    </row>
    <row r="749" ht="25.5">
      <c r="A749" s="108">
        <v>7170</v>
      </c>
      <c r="B749" s="131" t="s">
        <v>17801</v>
      </c>
      <c r="C749" s="132" t="s">
        <v>18660</v>
      </c>
      <c r="D749" s="131" t="s">
        <v>31</v>
      </c>
      <c r="E749" s="110" t="s">
        <v>18661</v>
      </c>
      <c r="F749" s="131" t="s">
        <v>31</v>
      </c>
      <c r="G749" s="133">
        <v>75.219999999999999</v>
      </c>
      <c r="H749" s="134">
        <v>75.219999999999999</v>
      </c>
      <c r="I749" s="131" t="s">
        <v>17171</v>
      </c>
      <c r="J749" s="88"/>
    </row>
    <row r="750" ht="25.5">
      <c r="A750" s="108">
        <v>7280</v>
      </c>
      <c r="B750" s="131" t="s">
        <v>17801</v>
      </c>
      <c r="C750" s="132" t="s">
        <v>18662</v>
      </c>
      <c r="D750" s="131" t="s">
        <v>31</v>
      </c>
      <c r="E750" s="110" t="s">
        <v>18663</v>
      </c>
      <c r="F750" s="131" t="s">
        <v>31</v>
      </c>
      <c r="G750" s="133">
        <v>41.890000000000001</v>
      </c>
      <c r="H750" s="134">
        <v>41.890000000000001</v>
      </c>
      <c r="I750" s="131" t="s">
        <v>17171</v>
      </c>
      <c r="J750" s="88"/>
    </row>
    <row r="751" ht="25.5">
      <c r="A751" s="108">
        <v>7169</v>
      </c>
      <c r="B751" s="131" t="s">
        <v>17801</v>
      </c>
      <c r="C751" s="132" t="s">
        <v>18664</v>
      </c>
      <c r="D751" s="131" t="s">
        <v>31</v>
      </c>
      <c r="E751" s="110" t="s">
        <v>18665</v>
      </c>
      <c r="F751" s="131" t="s">
        <v>31</v>
      </c>
      <c r="G751" s="133">
        <v>51.030000000000001</v>
      </c>
      <c r="H751" s="134">
        <v>51.030000000000001</v>
      </c>
      <c r="I751" s="131" t="s">
        <v>17171</v>
      </c>
      <c r="J751" s="88"/>
    </row>
    <row r="752" ht="38.25">
      <c r="A752" s="108">
        <v>1813</v>
      </c>
      <c r="B752" s="131" t="s">
        <v>17215</v>
      </c>
      <c r="C752" s="132" t="s">
        <v>18666</v>
      </c>
      <c r="D752" s="131" t="s">
        <v>31</v>
      </c>
      <c r="E752" s="110" t="s">
        <v>18667</v>
      </c>
      <c r="F752" s="131" t="s">
        <v>31</v>
      </c>
      <c r="G752" s="133">
        <v>51.719999999999999</v>
      </c>
      <c r="H752" s="134">
        <v>49.210000000000001</v>
      </c>
      <c r="I752" s="131" t="s">
        <v>17190</v>
      </c>
      <c r="J752" s="88"/>
    </row>
    <row r="753" ht="38.25">
      <c r="A753" s="108">
        <v>1804</v>
      </c>
      <c r="B753" s="131" t="s">
        <v>17215</v>
      </c>
      <c r="C753" s="132" t="s">
        <v>18668</v>
      </c>
      <c r="D753" s="131" t="s">
        <v>31</v>
      </c>
      <c r="E753" s="110" t="s">
        <v>18669</v>
      </c>
      <c r="F753" s="131" t="s">
        <v>31</v>
      </c>
      <c r="G753" s="133">
        <v>32.789999999999999</v>
      </c>
      <c r="H753" s="134">
        <v>31.199999999999999</v>
      </c>
      <c r="I753" s="131" t="s">
        <v>17190</v>
      </c>
      <c r="J753" s="88"/>
    </row>
    <row r="754" ht="38.25">
      <c r="A754" s="108">
        <v>1812</v>
      </c>
      <c r="B754" s="131" t="s">
        <v>17215</v>
      </c>
      <c r="C754" s="132" t="s">
        <v>18670</v>
      </c>
      <c r="D754" s="131" t="s">
        <v>31</v>
      </c>
      <c r="E754" s="110" t="s">
        <v>18671</v>
      </c>
      <c r="F754" s="131" t="s">
        <v>31</v>
      </c>
      <c r="G754" s="133">
        <v>45.810000000000002</v>
      </c>
      <c r="H754" s="134">
        <v>43.609999999999999</v>
      </c>
      <c r="I754" s="131" t="s">
        <v>17190</v>
      </c>
      <c r="J754" s="88"/>
    </row>
    <row r="755" ht="38.25">
      <c r="A755" s="108">
        <v>3258</v>
      </c>
      <c r="B755" s="131" t="s">
        <v>17215</v>
      </c>
      <c r="C755" s="132" t="s">
        <v>18672</v>
      </c>
      <c r="D755" s="131" t="s">
        <v>31</v>
      </c>
      <c r="E755" s="110" t="s">
        <v>18673</v>
      </c>
      <c r="F755" s="131" t="s">
        <v>31</v>
      </c>
      <c r="G755" s="133">
        <v>26.93</v>
      </c>
      <c r="H755" s="134">
        <v>25.640000000000001</v>
      </c>
      <c r="I755" s="131" t="s">
        <v>17190</v>
      </c>
      <c r="J755" s="88"/>
    </row>
    <row r="756" ht="38.25">
      <c r="A756" s="108">
        <v>3260</v>
      </c>
      <c r="B756" s="131" t="s">
        <v>17215</v>
      </c>
      <c r="C756" s="132" t="s">
        <v>18674</v>
      </c>
      <c r="D756" s="131" t="s">
        <v>31</v>
      </c>
      <c r="E756" s="110" t="s">
        <v>18675</v>
      </c>
      <c r="F756" s="131" t="s">
        <v>31</v>
      </c>
      <c r="G756" s="133">
        <v>40.979999999999997</v>
      </c>
      <c r="H756" s="134">
        <v>39.090000000000003</v>
      </c>
      <c r="I756" s="131" t="s">
        <v>17190</v>
      </c>
      <c r="J756" s="88"/>
    </row>
    <row r="757" ht="25.5">
      <c r="A757" s="108">
        <v>7042</v>
      </c>
      <c r="B757" s="131" t="s">
        <v>17168</v>
      </c>
      <c r="C757" s="132" t="s">
        <v>18676</v>
      </c>
      <c r="D757" s="131" t="s">
        <v>31</v>
      </c>
      <c r="E757" s="110" t="s">
        <v>18677</v>
      </c>
      <c r="F757" s="131" t="s">
        <v>31</v>
      </c>
      <c r="G757" s="133">
        <v>411.81999999999999</v>
      </c>
      <c r="H757" s="134">
        <v>411.81999999999999</v>
      </c>
      <c r="I757" s="131" t="s">
        <v>17190</v>
      </c>
      <c r="J757" s="88"/>
    </row>
    <row r="758" ht="25.5">
      <c r="A758" s="108">
        <v>3265</v>
      </c>
      <c r="B758" s="131" t="s">
        <v>17407</v>
      </c>
      <c r="C758" s="132" t="s">
        <v>18678</v>
      </c>
      <c r="D758" s="131" t="s">
        <v>31</v>
      </c>
      <c r="E758" s="110" t="s">
        <v>18679</v>
      </c>
      <c r="F758" s="131" t="s">
        <v>31</v>
      </c>
      <c r="G758" s="133">
        <v>23.879999999999999</v>
      </c>
      <c r="H758" s="134">
        <v>23.879999999999999</v>
      </c>
      <c r="I758" s="131" t="s">
        <v>17190</v>
      </c>
      <c r="J758" s="88"/>
    </row>
    <row r="759" ht="38.25">
      <c r="A759" s="108">
        <v>3266</v>
      </c>
      <c r="B759" s="131" t="s">
        <v>17398</v>
      </c>
      <c r="C759" s="132" t="s">
        <v>18680</v>
      </c>
      <c r="D759" s="131" t="s">
        <v>31</v>
      </c>
      <c r="E759" s="110" t="s">
        <v>18681</v>
      </c>
      <c r="F759" s="131" t="s">
        <v>31</v>
      </c>
      <c r="G759" s="133">
        <v>4.79</v>
      </c>
      <c r="H759" s="134">
        <v>4.79</v>
      </c>
      <c r="I759" s="131" t="s">
        <v>17190</v>
      </c>
      <c r="J759" s="88"/>
    </row>
    <row r="760">
      <c r="A760" s="108">
        <v>7044</v>
      </c>
      <c r="B760" s="131" t="s">
        <v>17168</v>
      </c>
      <c r="C760" s="132" t="s">
        <v>18682</v>
      </c>
      <c r="D760" s="131" t="s">
        <v>31</v>
      </c>
      <c r="E760" s="110" t="s">
        <v>18683</v>
      </c>
      <c r="F760" s="131" t="s">
        <v>31</v>
      </c>
      <c r="G760" s="133">
        <v>296.32999999999998</v>
      </c>
      <c r="H760" s="134">
        <v>296.32999999999998</v>
      </c>
      <c r="I760" s="131" t="s">
        <v>17171</v>
      </c>
      <c r="J760" s="88"/>
    </row>
    <row r="761">
      <c r="A761" s="108">
        <v>7016</v>
      </c>
      <c r="B761" s="131" t="s">
        <v>17407</v>
      </c>
      <c r="C761" s="132" t="s">
        <v>16386</v>
      </c>
      <c r="D761" s="131" t="s">
        <v>31</v>
      </c>
      <c r="E761" s="110" t="s">
        <v>18684</v>
      </c>
      <c r="F761" s="131" t="s">
        <v>31</v>
      </c>
      <c r="G761" s="133">
        <v>87.159999999999997</v>
      </c>
      <c r="H761" s="134">
        <v>87.159999999999997</v>
      </c>
      <c r="I761" s="131" t="s">
        <v>17171</v>
      </c>
      <c r="J761" s="88"/>
    </row>
    <row r="762">
      <c r="A762" s="108">
        <v>3267</v>
      </c>
      <c r="B762" s="131" t="s">
        <v>17407</v>
      </c>
      <c r="C762" s="132" t="s">
        <v>18685</v>
      </c>
      <c r="D762" s="131" t="s">
        <v>31</v>
      </c>
      <c r="E762" s="110" t="s">
        <v>18686</v>
      </c>
      <c r="F762" s="131" t="s">
        <v>31</v>
      </c>
      <c r="G762" s="133">
        <v>133.34</v>
      </c>
      <c r="H762" s="134">
        <v>133.34</v>
      </c>
      <c r="I762" s="131" t="s">
        <v>17171</v>
      </c>
      <c r="J762" s="88"/>
    </row>
    <row r="763" ht="38.25">
      <c r="A763" s="108">
        <v>1896</v>
      </c>
      <c r="B763" s="131" t="s">
        <v>18687</v>
      </c>
      <c r="C763" s="132" t="s">
        <v>18688</v>
      </c>
      <c r="D763" s="131" t="s">
        <v>29</v>
      </c>
      <c r="E763" s="110" t="s">
        <v>18689</v>
      </c>
      <c r="F763" s="131" t="s">
        <v>29</v>
      </c>
      <c r="G763" s="133">
        <v>1372.25</v>
      </c>
      <c r="H763" s="134">
        <v>1372.25</v>
      </c>
      <c r="I763" s="131" t="s">
        <v>17171</v>
      </c>
      <c r="J763" s="88"/>
    </row>
    <row r="764" ht="63.75">
      <c r="A764" s="108">
        <v>1835</v>
      </c>
      <c r="B764" s="131" t="s">
        <v>17215</v>
      </c>
      <c r="C764" s="132" t="s">
        <v>18690</v>
      </c>
      <c r="D764" s="131" t="s">
        <v>29</v>
      </c>
      <c r="E764" s="110" t="s">
        <v>18691</v>
      </c>
      <c r="F764" s="131" t="s">
        <v>29</v>
      </c>
      <c r="G764" s="133">
        <v>472.38999999999999</v>
      </c>
      <c r="H764" s="134">
        <v>471.52999999999997</v>
      </c>
      <c r="I764" s="131" t="s">
        <v>17190</v>
      </c>
      <c r="J764" s="88"/>
    </row>
    <row r="765" ht="51">
      <c r="A765" s="108">
        <v>1834</v>
      </c>
      <c r="B765" s="131" t="s">
        <v>17215</v>
      </c>
      <c r="C765" s="132" t="s">
        <v>18692</v>
      </c>
      <c r="D765" s="131" t="s">
        <v>29</v>
      </c>
      <c r="E765" s="110" t="s">
        <v>18693</v>
      </c>
      <c r="F765" s="131" t="s">
        <v>29</v>
      </c>
      <c r="G765" s="133">
        <v>885.75999999999999</v>
      </c>
      <c r="H765" s="134">
        <v>883.00999999999999</v>
      </c>
      <c r="I765" s="131" t="s">
        <v>17190</v>
      </c>
      <c r="J765" s="88"/>
    </row>
    <row r="766" ht="38.25">
      <c r="A766" s="108">
        <v>1717</v>
      </c>
      <c r="B766" s="131" t="s">
        <v>18687</v>
      </c>
      <c r="C766" s="132" t="s">
        <v>18694</v>
      </c>
      <c r="D766" s="131" t="s">
        <v>29</v>
      </c>
      <c r="E766" s="110" t="s">
        <v>18695</v>
      </c>
      <c r="F766" s="131" t="s">
        <v>29</v>
      </c>
      <c r="G766" s="133">
        <v>1060.8299999999999</v>
      </c>
      <c r="H766" s="134">
        <v>1060.8299999999999</v>
      </c>
      <c r="I766" s="131" t="s">
        <v>17171</v>
      </c>
      <c r="J766" s="88"/>
    </row>
    <row r="767" ht="38.25">
      <c r="A767" s="108">
        <v>1718</v>
      </c>
      <c r="B767" s="131" t="s">
        <v>18687</v>
      </c>
      <c r="C767" s="132" t="s">
        <v>18696</v>
      </c>
      <c r="D767" s="131" t="s">
        <v>29</v>
      </c>
      <c r="E767" s="110" t="s">
        <v>18697</v>
      </c>
      <c r="F767" s="131" t="s">
        <v>29</v>
      </c>
      <c r="G767" s="133">
        <v>1372.25</v>
      </c>
      <c r="H767" s="134">
        <v>1372.25</v>
      </c>
      <c r="I767" s="131" t="s">
        <v>17171</v>
      </c>
      <c r="J767" s="88"/>
    </row>
    <row r="768" ht="38.25">
      <c r="A768" s="108">
        <v>1026</v>
      </c>
      <c r="B768" s="131" t="s">
        <v>17455</v>
      </c>
      <c r="C768" s="132" t="s">
        <v>18698</v>
      </c>
      <c r="D768" s="131" t="s">
        <v>31</v>
      </c>
      <c r="E768" s="110" t="s">
        <v>18699</v>
      </c>
      <c r="F768" s="131" t="s">
        <v>31</v>
      </c>
      <c r="G768" s="133">
        <v>381.01999999999998</v>
      </c>
      <c r="H768" s="134">
        <v>381.01999999999998</v>
      </c>
      <c r="I768" s="131" t="s">
        <v>17190</v>
      </c>
      <c r="J768" s="88"/>
    </row>
    <row r="769" ht="38.25">
      <c r="A769" s="108">
        <v>6320</v>
      </c>
      <c r="B769" s="131" t="s">
        <v>17215</v>
      </c>
      <c r="C769" s="132" t="s">
        <v>18698</v>
      </c>
      <c r="D769" s="131" t="s">
        <v>31</v>
      </c>
      <c r="E769" s="110" t="s">
        <v>18700</v>
      </c>
      <c r="F769" s="131" t="s">
        <v>31</v>
      </c>
      <c r="G769" s="133">
        <v>381.01999999999998</v>
      </c>
      <c r="H769" s="134">
        <v>381.01999999999998</v>
      </c>
      <c r="I769" s="131" t="s">
        <v>17190</v>
      </c>
      <c r="J769" s="88"/>
    </row>
    <row r="770" ht="25.5">
      <c r="A770" s="108">
        <v>4008</v>
      </c>
      <c r="B770" s="131" t="s">
        <v>17250</v>
      </c>
      <c r="C770" s="132" t="s">
        <v>18701</v>
      </c>
      <c r="D770" s="131" t="s">
        <v>2032</v>
      </c>
      <c r="E770" s="110" t="s">
        <v>18702</v>
      </c>
      <c r="F770" s="131" t="s">
        <v>2032</v>
      </c>
      <c r="G770" s="133">
        <v>24.59</v>
      </c>
      <c r="H770" s="134">
        <v>22.719999999999999</v>
      </c>
      <c r="I770" s="131" t="s">
        <v>17190</v>
      </c>
      <c r="J770" s="88"/>
    </row>
    <row r="771" ht="25.5">
      <c r="A771" s="108">
        <v>1599</v>
      </c>
      <c r="B771" s="131" t="s">
        <v>17273</v>
      </c>
      <c r="C771" s="132" t="s">
        <v>18703</v>
      </c>
      <c r="D771" s="131" t="s">
        <v>29</v>
      </c>
      <c r="E771" s="110" t="s">
        <v>18704</v>
      </c>
      <c r="F771" s="131" t="s">
        <v>29</v>
      </c>
      <c r="G771" s="133">
        <v>26.649999999999999</v>
      </c>
      <c r="H771" s="134">
        <v>26.370000000000001</v>
      </c>
      <c r="I771" s="131" t="s">
        <v>17190</v>
      </c>
      <c r="J771" s="88"/>
    </row>
    <row r="772" ht="51">
      <c r="A772" s="108">
        <v>1771</v>
      </c>
      <c r="B772" s="131" t="s">
        <v>17215</v>
      </c>
      <c r="C772" s="132" t="s">
        <v>18705</v>
      </c>
      <c r="D772" s="131" t="s">
        <v>31</v>
      </c>
      <c r="E772" s="110" t="s">
        <v>18706</v>
      </c>
      <c r="F772" s="131" t="s">
        <v>31</v>
      </c>
      <c r="G772" s="133">
        <v>10.42</v>
      </c>
      <c r="H772" s="134">
        <v>9.9700000000000006</v>
      </c>
      <c r="I772" s="131" t="s">
        <v>17190</v>
      </c>
      <c r="J772" s="88"/>
    </row>
    <row r="773" ht="51">
      <c r="A773" s="108">
        <v>1773</v>
      </c>
      <c r="B773" s="131" t="s">
        <v>17215</v>
      </c>
      <c r="C773" s="132" t="s">
        <v>18707</v>
      </c>
      <c r="D773" s="131" t="s">
        <v>31</v>
      </c>
      <c r="E773" s="110" t="s">
        <v>18708</v>
      </c>
      <c r="F773" s="131" t="s">
        <v>31</v>
      </c>
      <c r="G773" s="133">
        <v>15.68</v>
      </c>
      <c r="H773" s="134">
        <v>15.18</v>
      </c>
      <c r="I773" s="131" t="s">
        <v>17190</v>
      </c>
      <c r="J773" s="88"/>
    </row>
    <row r="774" ht="51">
      <c r="A774" s="108">
        <v>1774</v>
      </c>
      <c r="B774" s="131" t="s">
        <v>17215</v>
      </c>
      <c r="C774" s="132" t="s">
        <v>18709</v>
      </c>
      <c r="D774" s="131" t="s">
        <v>31</v>
      </c>
      <c r="E774" s="110" t="s">
        <v>18710</v>
      </c>
      <c r="F774" s="131" t="s">
        <v>31</v>
      </c>
      <c r="G774" s="133">
        <v>23.98</v>
      </c>
      <c r="H774" s="134">
        <v>23.399999999999999</v>
      </c>
      <c r="I774" s="131" t="s">
        <v>17190</v>
      </c>
      <c r="J774" s="88"/>
    </row>
    <row r="775" ht="38.25">
      <c r="A775" s="108">
        <v>1759</v>
      </c>
      <c r="B775" s="131" t="s">
        <v>17215</v>
      </c>
      <c r="C775" s="132" t="s">
        <v>18711</v>
      </c>
      <c r="D775" s="131" t="s">
        <v>31</v>
      </c>
      <c r="E775" s="110" t="s">
        <v>18712</v>
      </c>
      <c r="F775" s="131" t="s">
        <v>31</v>
      </c>
      <c r="G775" s="133">
        <v>9.9299999999999997</v>
      </c>
      <c r="H775" s="134">
        <v>9.3900000000000006</v>
      </c>
      <c r="I775" s="131" t="s">
        <v>17190</v>
      </c>
      <c r="J775" s="88"/>
    </row>
    <row r="776" ht="38.25">
      <c r="A776" s="108">
        <v>1761</v>
      </c>
      <c r="B776" s="131" t="s">
        <v>17215</v>
      </c>
      <c r="C776" s="132" t="s">
        <v>18713</v>
      </c>
      <c r="D776" s="131" t="s">
        <v>31</v>
      </c>
      <c r="E776" s="110" t="s">
        <v>18714</v>
      </c>
      <c r="F776" s="131" t="s">
        <v>31</v>
      </c>
      <c r="G776" s="133">
        <v>14.609999999999999</v>
      </c>
      <c r="H776" s="134">
        <v>13.970000000000001</v>
      </c>
      <c r="I776" s="131" t="s">
        <v>17190</v>
      </c>
      <c r="J776" s="88"/>
    </row>
    <row r="777" ht="51">
      <c r="A777" s="108">
        <v>1839</v>
      </c>
      <c r="B777" s="131" t="s">
        <v>17215</v>
      </c>
      <c r="C777" s="132" t="s">
        <v>18715</v>
      </c>
      <c r="D777" s="131" t="s">
        <v>31</v>
      </c>
      <c r="E777" s="110" t="s">
        <v>18716</v>
      </c>
      <c r="F777" s="131" t="s">
        <v>31</v>
      </c>
      <c r="G777" s="133">
        <v>5.9900000000000002</v>
      </c>
      <c r="H777" s="134">
        <v>5.7800000000000002</v>
      </c>
      <c r="I777" s="131" t="s">
        <v>17190</v>
      </c>
      <c r="J777" s="88"/>
    </row>
    <row r="778" ht="51">
      <c r="A778" s="108">
        <v>1770</v>
      </c>
      <c r="B778" s="131" t="s">
        <v>17215</v>
      </c>
      <c r="C778" s="132" t="s">
        <v>18717</v>
      </c>
      <c r="D778" s="131" t="s">
        <v>31</v>
      </c>
      <c r="E778" s="110" t="s">
        <v>18718</v>
      </c>
      <c r="F778" s="131" t="s">
        <v>31</v>
      </c>
      <c r="G778" s="133">
        <v>10.17</v>
      </c>
      <c r="H778" s="134">
        <v>9.7200000000000006</v>
      </c>
      <c r="I778" s="131" t="s">
        <v>17190</v>
      </c>
      <c r="J778" s="88"/>
    </row>
    <row r="779" ht="51">
      <c r="A779" s="108">
        <v>1772</v>
      </c>
      <c r="B779" s="131" t="s">
        <v>17215</v>
      </c>
      <c r="C779" s="132" t="s">
        <v>18719</v>
      </c>
      <c r="D779" s="131" t="s">
        <v>31</v>
      </c>
      <c r="E779" s="110" t="s">
        <v>18720</v>
      </c>
      <c r="F779" s="131" t="s">
        <v>31</v>
      </c>
      <c r="G779" s="133">
        <v>14.880000000000001</v>
      </c>
      <c r="H779" s="134">
        <v>14.380000000000001</v>
      </c>
      <c r="I779" s="131" t="s">
        <v>17190</v>
      </c>
      <c r="J779" s="88"/>
    </row>
    <row r="780" ht="38.25">
      <c r="A780" s="108">
        <v>1782</v>
      </c>
      <c r="B780" s="131" t="s">
        <v>17215</v>
      </c>
      <c r="C780" s="132" t="s">
        <v>18721</v>
      </c>
      <c r="D780" s="131" t="s">
        <v>31</v>
      </c>
      <c r="E780" s="110" t="s">
        <v>18722</v>
      </c>
      <c r="F780" s="131" t="s">
        <v>31</v>
      </c>
      <c r="G780" s="133">
        <v>7.0899999999999999</v>
      </c>
      <c r="H780" s="134">
        <v>6.7000000000000002</v>
      </c>
      <c r="I780" s="131" t="s">
        <v>17190</v>
      </c>
      <c r="J780" s="88"/>
    </row>
    <row r="781" ht="38.25">
      <c r="A781" s="108">
        <v>1758</v>
      </c>
      <c r="B781" s="131" t="s">
        <v>17215</v>
      </c>
      <c r="C781" s="132" t="s">
        <v>18723</v>
      </c>
      <c r="D781" s="131" t="s">
        <v>31</v>
      </c>
      <c r="E781" s="110" t="s">
        <v>18724</v>
      </c>
      <c r="F781" s="131" t="s">
        <v>31</v>
      </c>
      <c r="G781" s="133">
        <v>9.0800000000000001</v>
      </c>
      <c r="H781" s="134">
        <v>8.5399999999999991</v>
      </c>
      <c r="I781" s="131" t="s">
        <v>17190</v>
      </c>
      <c r="J781" s="88"/>
    </row>
    <row r="782" ht="38.25">
      <c r="A782" s="108">
        <v>1840</v>
      </c>
      <c r="B782" s="131" t="s">
        <v>17215</v>
      </c>
      <c r="C782" s="132" t="s">
        <v>18725</v>
      </c>
      <c r="D782" s="131" t="s">
        <v>31</v>
      </c>
      <c r="E782" s="110" t="s">
        <v>18726</v>
      </c>
      <c r="F782" s="131" t="s">
        <v>31</v>
      </c>
      <c r="G782" s="133">
        <v>7.7699999999999996</v>
      </c>
      <c r="H782" s="134">
        <v>7.5</v>
      </c>
      <c r="I782" s="131" t="s">
        <v>17190</v>
      </c>
      <c r="J782" s="88"/>
    </row>
    <row r="783" ht="38.25">
      <c r="A783" s="108">
        <v>1760</v>
      </c>
      <c r="B783" s="131" t="s">
        <v>17215</v>
      </c>
      <c r="C783" s="132" t="s">
        <v>18727</v>
      </c>
      <c r="D783" s="131" t="s">
        <v>31</v>
      </c>
      <c r="E783" s="110" t="s">
        <v>18728</v>
      </c>
      <c r="F783" s="131" t="s">
        <v>31</v>
      </c>
      <c r="G783" s="133">
        <v>12.720000000000001</v>
      </c>
      <c r="H783" s="134">
        <v>12.08</v>
      </c>
      <c r="I783" s="131" t="s">
        <v>17190</v>
      </c>
      <c r="J783" s="88"/>
    </row>
    <row r="784" ht="25.5">
      <c r="A784" s="108">
        <v>8201</v>
      </c>
      <c r="B784" s="131" t="s">
        <v>17224</v>
      </c>
      <c r="C784" s="132" t="s">
        <v>18729</v>
      </c>
      <c r="D784" s="131" t="s">
        <v>31</v>
      </c>
      <c r="E784" s="110" t="s">
        <v>18730</v>
      </c>
      <c r="F784" s="131" t="s">
        <v>31</v>
      </c>
      <c r="G784" s="133">
        <v>6.21</v>
      </c>
      <c r="H784" s="134">
        <v>6.21</v>
      </c>
      <c r="I784" s="131" t="s">
        <v>17190</v>
      </c>
      <c r="J784" s="88"/>
    </row>
    <row r="785" ht="25.5">
      <c r="A785" s="108">
        <v>8022</v>
      </c>
      <c r="B785" s="131" t="s">
        <v>17191</v>
      </c>
      <c r="C785" s="132" t="s">
        <v>18731</v>
      </c>
      <c r="D785" s="131" t="s">
        <v>31</v>
      </c>
      <c r="E785" s="110" t="s">
        <v>18732</v>
      </c>
      <c r="F785" s="131" t="s">
        <v>31</v>
      </c>
      <c r="G785" s="133">
        <v>20.5</v>
      </c>
      <c r="H785" s="134">
        <v>20.5</v>
      </c>
      <c r="I785" s="131" t="s">
        <v>17190</v>
      </c>
      <c r="J785" s="88"/>
    </row>
    <row r="786" ht="25.5">
      <c r="A786" s="108">
        <v>2277</v>
      </c>
      <c r="B786" s="131" t="s">
        <v>17224</v>
      </c>
      <c r="C786" s="132" t="s">
        <v>18733</v>
      </c>
      <c r="D786" s="131" t="s">
        <v>31</v>
      </c>
      <c r="E786" s="110" t="s">
        <v>18734</v>
      </c>
      <c r="F786" s="131" t="s">
        <v>31</v>
      </c>
      <c r="G786" s="133">
        <v>9.0999999999999996</v>
      </c>
      <c r="H786" s="134">
        <v>9.0999999999999996</v>
      </c>
      <c r="I786" s="131" t="s">
        <v>17190</v>
      </c>
      <c r="J786" s="88"/>
    </row>
    <row r="787" ht="51">
      <c r="A787" s="108">
        <v>1740</v>
      </c>
      <c r="B787" s="131" t="s">
        <v>17215</v>
      </c>
      <c r="C787" s="132" t="s">
        <v>18735</v>
      </c>
      <c r="D787" s="131" t="s">
        <v>31</v>
      </c>
      <c r="E787" s="110" t="s">
        <v>18736</v>
      </c>
      <c r="F787" s="131" t="s">
        <v>31</v>
      </c>
      <c r="G787" s="133">
        <v>44.25</v>
      </c>
      <c r="H787" s="134">
        <v>43.43</v>
      </c>
      <c r="I787" s="131" t="s">
        <v>17190</v>
      </c>
      <c r="J787" s="88"/>
    </row>
    <row r="788" ht="51">
      <c r="A788" s="108">
        <v>1742</v>
      </c>
      <c r="B788" s="131" t="s">
        <v>17215</v>
      </c>
      <c r="C788" s="132" t="s">
        <v>18737</v>
      </c>
      <c r="D788" s="131" t="s">
        <v>31</v>
      </c>
      <c r="E788" s="110" t="s">
        <v>18738</v>
      </c>
      <c r="F788" s="131" t="s">
        <v>31</v>
      </c>
      <c r="G788" s="133">
        <v>49.479999999999997</v>
      </c>
      <c r="H788" s="134">
        <v>48.619999999999997</v>
      </c>
      <c r="I788" s="131" t="s">
        <v>17190</v>
      </c>
      <c r="J788" s="88"/>
    </row>
    <row r="789" ht="51">
      <c r="A789" s="108">
        <v>1744</v>
      </c>
      <c r="B789" s="131" t="s">
        <v>17215</v>
      </c>
      <c r="C789" s="132" t="s">
        <v>18739</v>
      </c>
      <c r="D789" s="131" t="s">
        <v>31</v>
      </c>
      <c r="E789" s="110" t="s">
        <v>18740</v>
      </c>
      <c r="F789" s="131" t="s">
        <v>31</v>
      </c>
      <c r="G789" s="133">
        <v>31.109999999999999</v>
      </c>
      <c r="H789" s="134">
        <v>30.66</v>
      </c>
      <c r="I789" s="131" t="s">
        <v>17190</v>
      </c>
      <c r="J789" s="88"/>
    </row>
    <row r="790" ht="25.5">
      <c r="A790" s="108">
        <v>2291</v>
      </c>
      <c r="B790" s="131" t="s">
        <v>17224</v>
      </c>
      <c r="C790" s="132" t="s">
        <v>18741</v>
      </c>
      <c r="D790" s="131" t="s">
        <v>31</v>
      </c>
      <c r="E790" s="110" t="s">
        <v>18742</v>
      </c>
      <c r="F790" s="131" t="s">
        <v>31</v>
      </c>
      <c r="G790" s="133">
        <v>20.5</v>
      </c>
      <c r="H790" s="134">
        <v>20.5</v>
      </c>
      <c r="I790" s="131" t="s">
        <v>17190</v>
      </c>
      <c r="J790" s="88"/>
    </row>
    <row r="791" ht="25.5">
      <c r="A791" s="108">
        <v>2292</v>
      </c>
      <c r="B791" s="131" t="s">
        <v>17224</v>
      </c>
      <c r="C791" s="132" t="s">
        <v>18743</v>
      </c>
      <c r="D791" s="131" t="s">
        <v>31</v>
      </c>
      <c r="E791" s="110" t="s">
        <v>18744</v>
      </c>
      <c r="F791" s="131" t="s">
        <v>31</v>
      </c>
      <c r="G791" s="133">
        <v>26.510000000000002</v>
      </c>
      <c r="H791" s="134">
        <v>26.510000000000002</v>
      </c>
      <c r="I791" s="131" t="s">
        <v>17190</v>
      </c>
      <c r="J791" s="88"/>
    </row>
    <row r="792" ht="25.5">
      <c r="A792" s="108">
        <v>8312</v>
      </c>
      <c r="B792" s="131" t="s">
        <v>18150</v>
      </c>
      <c r="C792" s="132" t="s">
        <v>18745</v>
      </c>
      <c r="D792" s="131" t="s">
        <v>31</v>
      </c>
      <c r="E792" s="110" t="s">
        <v>18746</v>
      </c>
      <c r="F792" s="131" t="s">
        <v>31</v>
      </c>
      <c r="G792" s="133">
        <v>26.32</v>
      </c>
      <c r="H792" s="134">
        <v>26.32</v>
      </c>
      <c r="I792" s="131" t="s">
        <v>17190</v>
      </c>
      <c r="J792" s="88"/>
    </row>
    <row r="793" ht="25.5">
      <c r="A793" s="108">
        <v>8311</v>
      </c>
      <c r="B793" s="131" t="s">
        <v>18150</v>
      </c>
      <c r="C793" s="132" t="s">
        <v>18747</v>
      </c>
      <c r="D793" s="131" t="s">
        <v>31</v>
      </c>
      <c r="E793" s="110" t="s">
        <v>18748</v>
      </c>
      <c r="F793" s="131" t="s">
        <v>31</v>
      </c>
      <c r="G793" s="133">
        <v>20.460000000000001</v>
      </c>
      <c r="H793" s="134">
        <v>20.460000000000001</v>
      </c>
      <c r="I793" s="131" t="s">
        <v>17190</v>
      </c>
      <c r="J793" s="88"/>
    </row>
    <row r="794" ht="51">
      <c r="A794" s="108">
        <v>1776</v>
      </c>
      <c r="B794" s="131" t="s">
        <v>17215</v>
      </c>
      <c r="C794" s="132" t="s">
        <v>18749</v>
      </c>
      <c r="D794" s="131" t="s">
        <v>31</v>
      </c>
      <c r="E794" s="110" t="s">
        <v>18750</v>
      </c>
      <c r="F794" s="131" t="s">
        <v>31</v>
      </c>
      <c r="G794" s="133">
        <v>14.960000000000001</v>
      </c>
      <c r="H794" s="134">
        <v>14.369999999999999</v>
      </c>
      <c r="I794" s="131" t="s">
        <v>17190</v>
      </c>
      <c r="J794" s="88"/>
    </row>
    <row r="795" ht="51">
      <c r="A795" s="108">
        <v>1778</v>
      </c>
      <c r="B795" s="131" t="s">
        <v>17215</v>
      </c>
      <c r="C795" s="132" t="s">
        <v>18751</v>
      </c>
      <c r="D795" s="131" t="s">
        <v>31</v>
      </c>
      <c r="E795" s="110" t="s">
        <v>18752</v>
      </c>
      <c r="F795" s="131" t="s">
        <v>31</v>
      </c>
      <c r="G795" s="133">
        <v>27.039999999999999</v>
      </c>
      <c r="H795" s="134">
        <v>26.379999999999999</v>
      </c>
      <c r="I795" s="131" t="s">
        <v>17190</v>
      </c>
      <c r="J795" s="88"/>
    </row>
    <row r="796" ht="38.25">
      <c r="A796" s="108">
        <v>7181</v>
      </c>
      <c r="B796" s="131" t="s">
        <v>17828</v>
      </c>
      <c r="C796" s="132" t="s">
        <v>18753</v>
      </c>
      <c r="D796" s="131" t="s">
        <v>31</v>
      </c>
      <c r="E796" s="110" t="s">
        <v>18754</v>
      </c>
      <c r="F796" s="131" t="s">
        <v>31</v>
      </c>
      <c r="G796" s="133">
        <v>19.57</v>
      </c>
      <c r="H796" s="134">
        <v>19.57</v>
      </c>
      <c r="I796" s="131" t="s">
        <v>17190</v>
      </c>
      <c r="J796" s="88"/>
    </row>
    <row r="797">
      <c r="A797" s="108">
        <v>7046</v>
      </c>
      <c r="B797" s="131" t="s">
        <v>17168</v>
      </c>
      <c r="C797" s="132" t="s">
        <v>16394</v>
      </c>
      <c r="D797" s="131" t="s">
        <v>31</v>
      </c>
      <c r="E797" s="110" t="s">
        <v>18755</v>
      </c>
      <c r="F797" s="131" t="s">
        <v>31</v>
      </c>
      <c r="G797" s="133">
        <v>7.6399999999999997</v>
      </c>
      <c r="H797" s="134">
        <v>7.6399999999999997</v>
      </c>
      <c r="I797" s="131" t="s">
        <v>17171</v>
      </c>
      <c r="J797" s="88"/>
    </row>
    <row r="798">
      <c r="A798" s="108">
        <v>7045</v>
      </c>
      <c r="B798" s="131" t="s">
        <v>17168</v>
      </c>
      <c r="C798" s="132" t="s">
        <v>16392</v>
      </c>
      <c r="D798" s="131" t="s">
        <v>31</v>
      </c>
      <c r="E798" s="110" t="s">
        <v>18756</v>
      </c>
      <c r="F798" s="131" t="s">
        <v>31</v>
      </c>
      <c r="G798" s="133">
        <v>7.2800000000000002</v>
      </c>
      <c r="H798" s="134">
        <v>7.2800000000000002</v>
      </c>
      <c r="I798" s="131" t="s">
        <v>17171</v>
      </c>
      <c r="J798" s="88"/>
    </row>
    <row r="799" ht="51">
      <c r="A799" s="108">
        <v>6494</v>
      </c>
      <c r="B799" s="131" t="s">
        <v>17984</v>
      </c>
      <c r="C799" s="132" t="s">
        <v>18757</v>
      </c>
      <c r="D799" s="131" t="s">
        <v>29</v>
      </c>
      <c r="E799" s="110" t="s">
        <v>18758</v>
      </c>
      <c r="F799" s="131" t="s">
        <v>29</v>
      </c>
      <c r="G799" s="133">
        <v>79.200000000000003</v>
      </c>
      <c r="H799" s="134">
        <v>79.200000000000003</v>
      </c>
      <c r="I799" s="131" t="s">
        <v>17171</v>
      </c>
      <c r="J799" s="88"/>
    </row>
    <row r="800" ht="51">
      <c r="A800" s="108">
        <v>6495</v>
      </c>
      <c r="B800" s="131" t="s">
        <v>17984</v>
      </c>
      <c r="C800" s="132" t="s">
        <v>18759</v>
      </c>
      <c r="D800" s="131" t="s">
        <v>29</v>
      </c>
      <c r="E800" s="110" t="s">
        <v>18760</v>
      </c>
      <c r="F800" s="131" t="s">
        <v>29</v>
      </c>
      <c r="G800" s="133">
        <v>108.90000000000001</v>
      </c>
      <c r="H800" s="134">
        <v>108.90000000000001</v>
      </c>
      <c r="I800" s="131" t="s">
        <v>17171</v>
      </c>
      <c r="J800" s="88"/>
    </row>
    <row r="801" ht="51">
      <c r="A801" s="108">
        <v>6496</v>
      </c>
      <c r="B801" s="131" t="s">
        <v>17984</v>
      </c>
      <c r="C801" s="132" t="s">
        <v>18761</v>
      </c>
      <c r="D801" s="131" t="s">
        <v>29</v>
      </c>
      <c r="E801" s="110" t="s">
        <v>18762</v>
      </c>
      <c r="F801" s="131" t="s">
        <v>29</v>
      </c>
      <c r="G801" s="133">
        <v>126.5</v>
      </c>
      <c r="H801" s="134">
        <v>126.5</v>
      </c>
      <c r="I801" s="131" t="s">
        <v>17171</v>
      </c>
      <c r="J801" s="88"/>
    </row>
    <row r="802" ht="51">
      <c r="A802" s="108">
        <v>2722</v>
      </c>
      <c r="B802" s="131" t="s">
        <v>17984</v>
      </c>
      <c r="C802" s="132" t="s">
        <v>18763</v>
      </c>
      <c r="D802" s="131" t="s">
        <v>29</v>
      </c>
      <c r="E802" s="110" t="s">
        <v>18764</v>
      </c>
      <c r="F802" s="131" t="s">
        <v>29</v>
      </c>
      <c r="G802" s="133">
        <v>55.600000000000001</v>
      </c>
      <c r="H802" s="134">
        <v>55.600000000000001</v>
      </c>
      <c r="I802" s="131" t="s">
        <v>17171</v>
      </c>
      <c r="J802" s="88"/>
    </row>
    <row r="803" ht="51">
      <c r="A803" s="108">
        <v>2724</v>
      </c>
      <c r="B803" s="131" t="s">
        <v>17984</v>
      </c>
      <c r="C803" s="132" t="s">
        <v>18765</v>
      </c>
      <c r="D803" s="131" t="s">
        <v>29</v>
      </c>
      <c r="E803" s="110" t="s">
        <v>18766</v>
      </c>
      <c r="F803" s="131" t="s">
        <v>29</v>
      </c>
      <c r="G803" s="133">
        <v>77.209999999999994</v>
      </c>
      <c r="H803" s="134">
        <v>77.209999999999994</v>
      </c>
      <c r="I803" s="131" t="s">
        <v>17171</v>
      </c>
      <c r="J803" s="88"/>
    </row>
    <row r="804" ht="51">
      <c r="A804" s="108">
        <v>2726</v>
      </c>
      <c r="B804" s="131" t="s">
        <v>17984</v>
      </c>
      <c r="C804" s="132" t="s">
        <v>18767</v>
      </c>
      <c r="D804" s="131" t="s">
        <v>29</v>
      </c>
      <c r="E804" s="110" t="s">
        <v>18768</v>
      </c>
      <c r="F804" s="131" t="s">
        <v>29</v>
      </c>
      <c r="G804" s="133">
        <v>93.200000000000003</v>
      </c>
      <c r="H804" s="134">
        <v>93.200000000000003</v>
      </c>
      <c r="I804" s="131" t="s">
        <v>17171</v>
      </c>
      <c r="J804" s="88"/>
    </row>
    <row r="805" ht="51">
      <c r="A805" s="108">
        <v>2725</v>
      </c>
      <c r="B805" s="131" t="s">
        <v>17984</v>
      </c>
      <c r="C805" s="132" t="s">
        <v>18769</v>
      </c>
      <c r="D805" s="131" t="s">
        <v>29</v>
      </c>
      <c r="E805" s="110" t="s">
        <v>18770</v>
      </c>
      <c r="F805" s="131" t="s">
        <v>29</v>
      </c>
      <c r="G805" s="133">
        <v>93.200000000000003</v>
      </c>
      <c r="H805" s="134">
        <v>93.200000000000003</v>
      </c>
      <c r="I805" s="131" t="s">
        <v>17171</v>
      </c>
      <c r="J805" s="88"/>
    </row>
    <row r="806">
      <c r="A806" s="108">
        <v>7553</v>
      </c>
      <c r="B806" s="131" t="s">
        <v>17455</v>
      </c>
      <c r="C806" s="132" t="s">
        <v>18771</v>
      </c>
      <c r="D806" s="131" t="s">
        <v>38</v>
      </c>
      <c r="E806" s="110" t="s">
        <v>18772</v>
      </c>
      <c r="F806" s="131" t="s">
        <v>38</v>
      </c>
      <c r="G806" s="133">
        <v>49.299999999999997</v>
      </c>
      <c r="H806" s="134">
        <v>49.299999999999997</v>
      </c>
      <c r="I806" s="131" t="s">
        <v>17171</v>
      </c>
      <c r="J806" s="88"/>
    </row>
    <row r="807" ht="25.5">
      <c r="A807" s="108">
        <v>6372</v>
      </c>
      <c r="B807" s="131" t="s">
        <v>17487</v>
      </c>
      <c r="C807" s="132" t="s">
        <v>18773</v>
      </c>
      <c r="D807" s="131" t="s">
        <v>31</v>
      </c>
      <c r="E807" s="110" t="s">
        <v>18774</v>
      </c>
      <c r="F807" s="131" t="s">
        <v>31</v>
      </c>
      <c r="G807" s="133">
        <v>5.4500000000000002</v>
      </c>
      <c r="H807" s="134">
        <v>5.4500000000000002</v>
      </c>
      <c r="I807" s="131" t="s">
        <v>17190</v>
      </c>
      <c r="J807" s="88"/>
    </row>
    <row r="808" ht="25.5">
      <c r="A808" s="108">
        <v>6371</v>
      </c>
      <c r="B808" s="131" t="s">
        <v>17487</v>
      </c>
      <c r="C808" s="132" t="s">
        <v>18775</v>
      </c>
      <c r="D808" s="131" t="s">
        <v>31</v>
      </c>
      <c r="E808" s="110" t="s">
        <v>18776</v>
      </c>
      <c r="F808" s="131" t="s">
        <v>31</v>
      </c>
      <c r="G808" s="133">
        <v>7.9000000000000004</v>
      </c>
      <c r="H808" s="134">
        <v>7.9000000000000004</v>
      </c>
      <c r="I808" s="131" t="s">
        <v>17171</v>
      </c>
      <c r="J808" s="88"/>
    </row>
    <row r="809">
      <c r="A809" s="108">
        <v>3496</v>
      </c>
      <c r="B809" s="131" t="s">
        <v>17487</v>
      </c>
      <c r="C809" s="132" t="s">
        <v>18777</v>
      </c>
      <c r="D809" s="131" t="s">
        <v>31</v>
      </c>
      <c r="E809" s="110" t="s">
        <v>18778</v>
      </c>
      <c r="F809" s="131" t="s">
        <v>31</v>
      </c>
      <c r="G809" s="133">
        <v>127.66</v>
      </c>
      <c r="H809" s="134">
        <v>127.66</v>
      </c>
      <c r="I809" s="131" t="s">
        <v>17171</v>
      </c>
      <c r="J809" s="88"/>
    </row>
    <row r="810" ht="38.25">
      <c r="A810" s="108">
        <v>6333</v>
      </c>
      <c r="B810" s="131" t="s">
        <v>17215</v>
      </c>
      <c r="C810" s="132" t="s">
        <v>18779</v>
      </c>
      <c r="D810" s="131" t="s">
        <v>121</v>
      </c>
      <c r="E810" s="110" t="s">
        <v>18780</v>
      </c>
      <c r="F810" s="131" t="s">
        <v>121</v>
      </c>
      <c r="G810" s="133">
        <v>280.85000000000002</v>
      </c>
      <c r="H810" s="134">
        <v>260.18000000000001</v>
      </c>
      <c r="I810" s="131" t="s">
        <v>17190</v>
      </c>
      <c r="J810" s="88"/>
    </row>
    <row r="811" ht="25.5">
      <c r="A811" s="108">
        <v>6356</v>
      </c>
      <c r="B811" s="131" t="s">
        <v>17215</v>
      </c>
      <c r="C811" s="132" t="s">
        <v>18781</v>
      </c>
      <c r="D811" s="131" t="s">
        <v>121</v>
      </c>
      <c r="E811" s="110" t="s">
        <v>18782</v>
      </c>
      <c r="F811" s="131" t="s">
        <v>121</v>
      </c>
      <c r="G811" s="133">
        <v>136.72999999999999</v>
      </c>
      <c r="H811" s="134">
        <v>126.79000000000001</v>
      </c>
      <c r="I811" s="131" t="s">
        <v>17171</v>
      </c>
      <c r="J811" s="88"/>
    </row>
    <row r="812" ht="25.5">
      <c r="A812" s="108">
        <v>6306</v>
      </c>
      <c r="B812" s="131" t="s">
        <v>17215</v>
      </c>
      <c r="C812" s="132" t="s">
        <v>18783</v>
      </c>
      <c r="D812" s="131" t="s">
        <v>121</v>
      </c>
      <c r="E812" s="110" t="s">
        <v>18784</v>
      </c>
      <c r="F812" s="131" t="s">
        <v>121</v>
      </c>
      <c r="G812" s="133">
        <v>136.22999999999999</v>
      </c>
      <c r="H812" s="134">
        <v>126.29000000000001</v>
      </c>
      <c r="I812" s="131" t="s">
        <v>17171</v>
      </c>
      <c r="J812" s="88"/>
    </row>
    <row r="813" ht="38.25">
      <c r="A813" s="108">
        <v>1671</v>
      </c>
      <c r="B813" s="131" t="s">
        <v>17273</v>
      </c>
      <c r="C813" s="132" t="s">
        <v>18785</v>
      </c>
      <c r="D813" s="131" t="s">
        <v>121</v>
      </c>
      <c r="E813" s="110" t="s">
        <v>18786</v>
      </c>
      <c r="F813" s="131" t="s">
        <v>121</v>
      </c>
      <c r="G813" s="133">
        <v>170.65000000000001</v>
      </c>
      <c r="H813" s="134">
        <v>166.58000000000001</v>
      </c>
      <c r="I813" s="131" t="s">
        <v>17190</v>
      </c>
      <c r="J813" s="88"/>
    </row>
    <row r="814" ht="38.25">
      <c r="A814" s="108">
        <v>1850</v>
      </c>
      <c r="B814" s="131" t="s">
        <v>17215</v>
      </c>
      <c r="C814" s="132" t="s">
        <v>18787</v>
      </c>
      <c r="D814" s="131" t="s">
        <v>29</v>
      </c>
      <c r="E814" s="110" t="s">
        <v>18788</v>
      </c>
      <c r="F814" s="131" t="s">
        <v>29</v>
      </c>
      <c r="G814" s="133">
        <v>18.010000000000002</v>
      </c>
      <c r="H814" s="134">
        <v>17.420000000000002</v>
      </c>
      <c r="I814" s="131" t="s">
        <v>17190</v>
      </c>
      <c r="J814" s="88"/>
    </row>
    <row r="815" ht="38.25">
      <c r="A815" s="108">
        <v>1919</v>
      </c>
      <c r="B815" s="131" t="s">
        <v>17273</v>
      </c>
      <c r="C815" s="132" t="s">
        <v>18789</v>
      </c>
      <c r="D815" s="131" t="s">
        <v>29</v>
      </c>
      <c r="E815" s="110" t="s">
        <v>18790</v>
      </c>
      <c r="F815" s="131" t="s">
        <v>29</v>
      </c>
      <c r="G815" s="133">
        <v>34.710000000000001</v>
      </c>
      <c r="H815" s="134">
        <v>33.649999999999999</v>
      </c>
      <c r="I815" s="131" t="s">
        <v>17190</v>
      </c>
      <c r="J815" s="88"/>
    </row>
    <row r="816" ht="25.5">
      <c r="A816" s="108">
        <v>2735</v>
      </c>
      <c r="B816" s="131" t="s">
        <v>17429</v>
      </c>
      <c r="C816" s="132" t="s">
        <v>18791</v>
      </c>
      <c r="D816" s="131" t="s">
        <v>31</v>
      </c>
      <c r="E816" s="110" t="s">
        <v>18792</v>
      </c>
      <c r="F816" s="131" t="s">
        <v>31</v>
      </c>
      <c r="G816" s="133">
        <v>157.78999999999999</v>
      </c>
      <c r="H816" s="134">
        <v>157.78999999999999</v>
      </c>
      <c r="I816" s="131" t="s">
        <v>17190</v>
      </c>
      <c r="J816" s="88"/>
    </row>
    <row r="817" ht="25.5">
      <c r="A817" s="108">
        <v>9012</v>
      </c>
      <c r="B817" s="131" t="s">
        <v>17429</v>
      </c>
      <c r="C817" s="132" t="s">
        <v>18793</v>
      </c>
      <c r="D817" s="131" t="s">
        <v>31</v>
      </c>
      <c r="E817" s="110" t="s">
        <v>18794</v>
      </c>
      <c r="F817" s="131" t="s">
        <v>31</v>
      </c>
      <c r="G817" s="133">
        <v>789.89999999999998</v>
      </c>
      <c r="H817" s="134">
        <v>789.89999999999998</v>
      </c>
      <c r="I817" s="131" t="s">
        <v>17171</v>
      </c>
      <c r="J817" s="88"/>
    </row>
    <row r="818" ht="25.5">
      <c r="A818" s="108">
        <v>2297</v>
      </c>
      <c r="B818" s="131" t="s">
        <v>17429</v>
      </c>
      <c r="C818" s="132" t="s">
        <v>18795</v>
      </c>
      <c r="D818" s="131" t="s">
        <v>31</v>
      </c>
      <c r="E818" s="110" t="s">
        <v>18796</v>
      </c>
      <c r="F818" s="131" t="s">
        <v>31</v>
      </c>
      <c r="G818" s="133">
        <v>219.80000000000001</v>
      </c>
      <c r="H818" s="134">
        <v>219.80000000000001</v>
      </c>
      <c r="I818" s="131" t="s">
        <v>17171</v>
      </c>
      <c r="J818" s="88"/>
    </row>
    <row r="819" ht="63.75">
      <c r="A819" s="108">
        <v>1752</v>
      </c>
      <c r="B819" s="131" t="s">
        <v>17215</v>
      </c>
      <c r="C819" s="132" t="s">
        <v>18797</v>
      </c>
      <c r="D819" s="131" t="s">
        <v>31</v>
      </c>
      <c r="E819" s="110" t="s">
        <v>18798</v>
      </c>
      <c r="F819" s="131" t="s">
        <v>31</v>
      </c>
      <c r="G819" s="133">
        <v>280.17000000000002</v>
      </c>
      <c r="H819" s="134">
        <v>278</v>
      </c>
      <c r="I819" s="131" t="s">
        <v>17190</v>
      </c>
      <c r="J819" s="88"/>
    </row>
    <row r="820" ht="25.5">
      <c r="A820" s="108">
        <v>6458</v>
      </c>
      <c r="B820" s="131" t="s">
        <v>17273</v>
      </c>
      <c r="C820" s="132" t="s">
        <v>18799</v>
      </c>
      <c r="D820" s="131" t="s">
        <v>31</v>
      </c>
      <c r="E820" s="110" t="s">
        <v>18800</v>
      </c>
      <c r="F820" s="131" t="s">
        <v>31</v>
      </c>
      <c r="G820" s="133">
        <v>3.4700000000000002</v>
      </c>
      <c r="H820" s="134">
        <v>3.4700000000000002</v>
      </c>
      <c r="I820" s="131" t="s">
        <v>17190</v>
      </c>
      <c r="J820" s="88"/>
    </row>
    <row r="821">
      <c r="A821" s="108">
        <v>1122</v>
      </c>
      <c r="B821" s="131" t="s">
        <v>17246</v>
      </c>
      <c r="C821" s="132" t="s">
        <v>18801</v>
      </c>
      <c r="D821" s="131" t="s">
        <v>31</v>
      </c>
      <c r="E821" s="110" t="s">
        <v>18802</v>
      </c>
      <c r="F821" s="131" t="s">
        <v>31</v>
      </c>
      <c r="G821" s="133">
        <v>4</v>
      </c>
      <c r="H821" s="134">
        <v>4</v>
      </c>
      <c r="I821" s="131" t="s">
        <v>17190</v>
      </c>
      <c r="J821" s="88"/>
    </row>
    <row r="822" ht="25.5">
      <c r="A822" s="108">
        <v>1121</v>
      </c>
      <c r="B822" s="131" t="s">
        <v>17246</v>
      </c>
      <c r="C822" s="132" t="s">
        <v>18803</v>
      </c>
      <c r="D822" s="131" t="s">
        <v>31</v>
      </c>
      <c r="E822" s="110" t="s">
        <v>18804</v>
      </c>
      <c r="F822" s="131" t="s">
        <v>31</v>
      </c>
      <c r="G822" s="133">
        <v>1.3400000000000001</v>
      </c>
      <c r="H822" s="134">
        <v>1.3400000000000001</v>
      </c>
      <c r="I822" s="131" t="s">
        <v>17190</v>
      </c>
      <c r="J822" s="88"/>
    </row>
    <row r="823" ht="38.25">
      <c r="A823" s="108">
        <v>6374</v>
      </c>
      <c r="B823" s="131" t="s">
        <v>17215</v>
      </c>
      <c r="C823" s="132" t="s">
        <v>18805</v>
      </c>
      <c r="D823" s="131" t="s">
        <v>38</v>
      </c>
      <c r="E823" s="110" t="s">
        <v>18806</v>
      </c>
      <c r="F823" s="131" t="s">
        <v>38</v>
      </c>
      <c r="G823" s="133">
        <v>60.119999999999997</v>
      </c>
      <c r="H823" s="134">
        <v>57.450000000000003</v>
      </c>
      <c r="I823" s="131" t="s">
        <v>17190</v>
      </c>
      <c r="J823" s="88"/>
    </row>
    <row r="824" ht="63.75">
      <c r="A824" s="108">
        <v>6369</v>
      </c>
      <c r="B824" s="131" t="s">
        <v>18807</v>
      </c>
      <c r="C824" s="132" t="s">
        <v>18808</v>
      </c>
      <c r="D824" s="131" t="s">
        <v>13049</v>
      </c>
      <c r="E824" s="110" t="s">
        <v>18809</v>
      </c>
      <c r="F824" s="131" t="s">
        <v>13049</v>
      </c>
      <c r="G824" s="133">
        <v>28.5</v>
      </c>
      <c r="H824" s="134">
        <v>28.5</v>
      </c>
      <c r="I824" s="131" t="s">
        <v>17190</v>
      </c>
      <c r="J824" s="88"/>
    </row>
    <row r="825" ht="76.5">
      <c r="A825" s="108">
        <v>1509</v>
      </c>
      <c r="B825" s="131" t="s">
        <v>18807</v>
      </c>
      <c r="C825" s="132" t="s">
        <v>18810</v>
      </c>
      <c r="D825" s="131" t="s">
        <v>18811</v>
      </c>
      <c r="E825" s="110" t="s">
        <v>18812</v>
      </c>
      <c r="F825" s="131" t="s">
        <v>18811</v>
      </c>
      <c r="G825" s="133">
        <v>38</v>
      </c>
      <c r="H825" s="134">
        <v>38</v>
      </c>
      <c r="I825" s="131" t="s">
        <v>17190</v>
      </c>
      <c r="J825" s="88"/>
    </row>
    <row r="826" ht="25.5">
      <c r="A826" s="108">
        <v>1616</v>
      </c>
      <c r="B826" s="131" t="s">
        <v>18807</v>
      </c>
      <c r="C826" s="132" t="s">
        <v>18813</v>
      </c>
      <c r="D826" s="131" t="s">
        <v>7087</v>
      </c>
      <c r="E826" s="110" t="s">
        <v>18814</v>
      </c>
      <c r="F826" s="131" t="s">
        <v>7087</v>
      </c>
      <c r="G826" s="133">
        <v>1400</v>
      </c>
      <c r="H826" s="134">
        <v>1400</v>
      </c>
      <c r="I826" s="131" t="s">
        <v>17171</v>
      </c>
      <c r="J826" s="88"/>
    </row>
    <row r="827" ht="63.75">
      <c r="A827" s="108">
        <v>8630</v>
      </c>
      <c r="B827" s="131" t="s">
        <v>18807</v>
      </c>
      <c r="C827" s="132" t="s">
        <v>18815</v>
      </c>
      <c r="D827" s="131" t="s">
        <v>2032</v>
      </c>
      <c r="E827" s="110" t="s">
        <v>18816</v>
      </c>
      <c r="F827" s="131" t="s">
        <v>2032</v>
      </c>
      <c r="G827" s="133">
        <v>2.8199999999999998</v>
      </c>
      <c r="H827" s="134">
        <v>2.8199999999999998</v>
      </c>
      <c r="I827" s="131" t="s">
        <v>17190</v>
      </c>
      <c r="J827" s="88"/>
    </row>
    <row r="828">
      <c r="A828" s="108">
        <v>8036</v>
      </c>
      <c r="B828" s="131" t="s">
        <v>18807</v>
      </c>
      <c r="C828" s="132" t="s">
        <v>15637</v>
      </c>
      <c r="D828" s="131" t="s">
        <v>31</v>
      </c>
      <c r="E828" s="110" t="s">
        <v>18817</v>
      </c>
      <c r="F828" s="131" t="s">
        <v>31</v>
      </c>
      <c r="G828" s="133">
        <v>350</v>
      </c>
      <c r="H828" s="134">
        <v>350</v>
      </c>
      <c r="I828" s="131" t="s">
        <v>17171</v>
      </c>
      <c r="J828" s="88"/>
    </row>
    <row r="829" ht="51">
      <c r="A829" s="108">
        <v>6368</v>
      </c>
      <c r="B829" s="131" t="s">
        <v>18807</v>
      </c>
      <c r="C829" s="132" t="s">
        <v>18818</v>
      </c>
      <c r="D829" s="131" t="s">
        <v>7087</v>
      </c>
      <c r="E829" s="110" t="s">
        <v>18819</v>
      </c>
      <c r="F829" s="131" t="s">
        <v>7087</v>
      </c>
      <c r="G829" s="133">
        <v>945.23000000000002</v>
      </c>
      <c r="H829" s="134">
        <v>945.23000000000002</v>
      </c>
      <c r="I829" s="131" t="s">
        <v>17190</v>
      </c>
      <c r="J829" s="88"/>
    </row>
    <row r="830" ht="51">
      <c r="A830" s="108">
        <v>6366</v>
      </c>
      <c r="B830" s="131" t="s">
        <v>18807</v>
      </c>
      <c r="C830" s="132" t="s">
        <v>18820</v>
      </c>
      <c r="D830" s="131" t="s">
        <v>7087</v>
      </c>
      <c r="E830" s="110" t="s">
        <v>18821</v>
      </c>
      <c r="F830" s="131" t="s">
        <v>7087</v>
      </c>
      <c r="G830" s="133">
        <v>832.5</v>
      </c>
      <c r="H830" s="134">
        <v>832.5</v>
      </c>
      <c r="I830" s="131" t="s">
        <v>17190</v>
      </c>
      <c r="J830" s="88"/>
    </row>
    <row r="831" ht="38.25">
      <c r="A831" s="108">
        <v>3497</v>
      </c>
      <c r="B831" s="131" t="s">
        <v>18807</v>
      </c>
      <c r="C831" s="132" t="s">
        <v>18822</v>
      </c>
      <c r="D831" s="131" t="s">
        <v>7087</v>
      </c>
      <c r="E831" s="110" t="s">
        <v>18823</v>
      </c>
      <c r="F831" s="131" t="s">
        <v>7087</v>
      </c>
      <c r="G831" s="133">
        <v>650.38999999999999</v>
      </c>
      <c r="H831" s="134">
        <v>650.38999999999999</v>
      </c>
      <c r="I831" s="131" t="s">
        <v>17171</v>
      </c>
      <c r="J831" s="88"/>
    </row>
    <row r="832" ht="25.5">
      <c r="A832" s="108">
        <v>6557</v>
      </c>
      <c r="B832" s="131" t="s">
        <v>17273</v>
      </c>
      <c r="C832" s="132" t="s">
        <v>18824</v>
      </c>
      <c r="D832" s="131" t="s">
        <v>29</v>
      </c>
      <c r="E832" s="110" t="s">
        <v>18825</v>
      </c>
      <c r="F832" s="131" t="s">
        <v>29</v>
      </c>
      <c r="G832" s="133">
        <v>1.1299999999999999</v>
      </c>
      <c r="H832" s="134">
        <v>1.1299999999999999</v>
      </c>
      <c r="I832" s="131" t="s">
        <v>17190</v>
      </c>
      <c r="J832" s="88"/>
    </row>
    <row r="833" ht="63.75">
      <c r="A833" s="108">
        <v>1899</v>
      </c>
      <c r="B833" s="131" t="s">
        <v>17487</v>
      </c>
      <c r="C833" s="132" t="s">
        <v>16029</v>
      </c>
      <c r="D833" s="131" t="s">
        <v>31</v>
      </c>
      <c r="E833" s="110" t="s">
        <v>18826</v>
      </c>
      <c r="F833" s="131" t="s">
        <v>31</v>
      </c>
      <c r="G833" s="133">
        <v>482.97000000000003</v>
      </c>
      <c r="H833" s="134">
        <v>482.97000000000003</v>
      </c>
      <c r="I833" s="131" t="s">
        <v>17171</v>
      </c>
      <c r="J833" s="88"/>
    </row>
    <row r="834" ht="38.25">
      <c r="A834" s="108">
        <v>7592</v>
      </c>
      <c r="B834" s="131" t="s">
        <v>17487</v>
      </c>
      <c r="C834" s="132" t="s">
        <v>18827</v>
      </c>
      <c r="D834" s="131" t="s">
        <v>11798</v>
      </c>
      <c r="E834" s="110" t="s">
        <v>18828</v>
      </c>
      <c r="F834" s="131" t="s">
        <v>11798</v>
      </c>
      <c r="G834" s="133">
        <v>262</v>
      </c>
      <c r="H834" s="134">
        <v>262</v>
      </c>
      <c r="I834" s="131" t="s">
        <v>17171</v>
      </c>
      <c r="J834" s="88"/>
    </row>
    <row r="835" ht="38.25">
      <c r="A835" s="108">
        <v>7591</v>
      </c>
      <c r="B835" s="131" t="s">
        <v>17487</v>
      </c>
      <c r="C835" s="132" t="s">
        <v>18829</v>
      </c>
      <c r="D835" s="131" t="s">
        <v>11798</v>
      </c>
      <c r="E835" s="110" t="s">
        <v>18830</v>
      </c>
      <c r="F835" s="131" t="s">
        <v>11798</v>
      </c>
      <c r="G835" s="133">
        <v>196</v>
      </c>
      <c r="H835" s="134">
        <v>196</v>
      </c>
      <c r="I835" s="131" t="s">
        <v>17171</v>
      </c>
      <c r="J835" s="88"/>
    </row>
    <row r="836" ht="38.25">
      <c r="A836" s="108">
        <v>1856</v>
      </c>
      <c r="B836" s="131" t="s">
        <v>17215</v>
      </c>
      <c r="C836" s="132" t="s">
        <v>18831</v>
      </c>
      <c r="D836" s="131" t="s">
        <v>31</v>
      </c>
      <c r="E836" s="110" t="s">
        <v>18832</v>
      </c>
      <c r="F836" s="131" t="s">
        <v>31</v>
      </c>
      <c r="G836" s="133">
        <v>19.48</v>
      </c>
      <c r="H836" s="134">
        <v>19.030000000000001</v>
      </c>
      <c r="I836" s="131" t="s">
        <v>17190</v>
      </c>
      <c r="J836" s="88"/>
    </row>
    <row r="837" ht="38.25">
      <c r="A837" s="108">
        <v>1635</v>
      </c>
      <c r="B837" s="131" t="s">
        <v>17273</v>
      </c>
      <c r="C837" s="132" t="s">
        <v>18833</v>
      </c>
      <c r="D837" s="131" t="s">
        <v>31</v>
      </c>
      <c r="E837" s="110" t="s">
        <v>18834</v>
      </c>
      <c r="F837" s="131" t="s">
        <v>31</v>
      </c>
      <c r="G837" s="133">
        <v>259.16000000000003</v>
      </c>
      <c r="H837" s="134">
        <v>259.16000000000003</v>
      </c>
      <c r="I837" s="131" t="s">
        <v>17190</v>
      </c>
      <c r="J837" s="88"/>
    </row>
    <row r="838" ht="38.25">
      <c r="A838" s="108">
        <v>1877</v>
      </c>
      <c r="B838" s="131" t="s">
        <v>17273</v>
      </c>
      <c r="C838" s="132" t="s">
        <v>18835</v>
      </c>
      <c r="D838" s="131" t="s">
        <v>31</v>
      </c>
      <c r="E838" s="110" t="s">
        <v>18836</v>
      </c>
      <c r="F838" s="131" t="s">
        <v>31</v>
      </c>
      <c r="G838" s="133">
        <v>345.92000000000002</v>
      </c>
      <c r="H838" s="134">
        <v>345.92000000000002</v>
      </c>
      <c r="I838" s="131" t="s">
        <v>17190</v>
      </c>
      <c r="J838" s="88"/>
    </row>
    <row r="839" ht="63.75">
      <c r="A839" s="108">
        <v>1898</v>
      </c>
      <c r="B839" s="131" t="s">
        <v>17487</v>
      </c>
      <c r="C839" s="132" t="s">
        <v>16028</v>
      </c>
      <c r="D839" s="131" t="s">
        <v>31</v>
      </c>
      <c r="E839" s="110" t="s">
        <v>18837</v>
      </c>
      <c r="F839" s="131" t="s">
        <v>31</v>
      </c>
      <c r="G839" s="133">
        <v>466.33999999999997</v>
      </c>
      <c r="H839" s="134">
        <v>466.33999999999997</v>
      </c>
      <c r="I839" s="131" t="s">
        <v>17171</v>
      </c>
      <c r="J839" s="88"/>
    </row>
    <row r="840" ht="38.25">
      <c r="A840" s="108">
        <v>7631</v>
      </c>
      <c r="B840" s="131" t="s">
        <v>17487</v>
      </c>
      <c r="C840" s="132" t="s">
        <v>18838</v>
      </c>
      <c r="D840" s="131" t="s">
        <v>11798</v>
      </c>
      <c r="E840" s="110" t="s">
        <v>18839</v>
      </c>
      <c r="F840" s="131" t="s">
        <v>11798</v>
      </c>
      <c r="G840" s="133">
        <v>253.90000000000001</v>
      </c>
      <c r="H840" s="134">
        <v>253.90000000000001</v>
      </c>
      <c r="I840" s="131" t="s">
        <v>17171</v>
      </c>
      <c r="J840" s="88"/>
    </row>
    <row r="841" ht="38.25">
      <c r="A841" s="108">
        <v>7632</v>
      </c>
      <c r="B841" s="131" t="s">
        <v>17487</v>
      </c>
      <c r="C841" s="132" t="s">
        <v>18840</v>
      </c>
      <c r="D841" s="131" t="s">
        <v>11798</v>
      </c>
      <c r="E841" s="110" t="s">
        <v>18841</v>
      </c>
      <c r="F841" s="131" t="s">
        <v>11798</v>
      </c>
      <c r="G841" s="133">
        <v>182.80000000000001</v>
      </c>
      <c r="H841" s="134">
        <v>182.80000000000001</v>
      </c>
      <c r="I841" s="131" t="s">
        <v>17171</v>
      </c>
      <c r="J841" s="88"/>
    </row>
    <row r="842" ht="38.25">
      <c r="A842" s="108">
        <v>7421</v>
      </c>
      <c r="B842" s="131" t="s">
        <v>17487</v>
      </c>
      <c r="C842" s="132" t="s">
        <v>18842</v>
      </c>
      <c r="D842" s="131" t="s">
        <v>11798</v>
      </c>
      <c r="E842" s="110" t="s">
        <v>18843</v>
      </c>
      <c r="F842" s="131" t="s">
        <v>11798</v>
      </c>
      <c r="G842" s="133">
        <v>635.25</v>
      </c>
      <c r="H842" s="134">
        <v>635.25</v>
      </c>
      <c r="I842" s="131" t="s">
        <v>17171</v>
      </c>
      <c r="J842" s="88"/>
    </row>
    <row r="843" ht="25.5">
      <c r="A843" s="108">
        <v>6382</v>
      </c>
      <c r="B843" s="131" t="s">
        <v>17487</v>
      </c>
      <c r="C843" s="132" t="s">
        <v>18844</v>
      </c>
      <c r="D843" s="131" t="s">
        <v>31</v>
      </c>
      <c r="E843" s="110" t="s">
        <v>18845</v>
      </c>
      <c r="F843" s="131" t="s">
        <v>31</v>
      </c>
      <c r="G843" s="133">
        <v>38.689999999999998</v>
      </c>
      <c r="H843" s="134">
        <v>38.689999999999998</v>
      </c>
      <c r="I843" s="131" t="s">
        <v>17171</v>
      </c>
      <c r="J843" s="88"/>
    </row>
    <row r="844" ht="38.25">
      <c r="A844" s="108">
        <v>1855</v>
      </c>
      <c r="B844" s="131" t="s">
        <v>17215</v>
      </c>
      <c r="C844" s="132" t="s">
        <v>18846</v>
      </c>
      <c r="D844" s="131" t="s">
        <v>31</v>
      </c>
      <c r="E844" s="110" t="s">
        <v>18847</v>
      </c>
      <c r="F844" s="131" t="s">
        <v>31</v>
      </c>
      <c r="G844" s="133">
        <v>55.210000000000001</v>
      </c>
      <c r="H844" s="134">
        <v>53.960000000000001</v>
      </c>
      <c r="I844" s="131" t="s">
        <v>17171</v>
      </c>
      <c r="J844" s="88"/>
    </row>
    <row r="845" ht="38.25">
      <c r="A845" s="108">
        <v>3493</v>
      </c>
      <c r="B845" s="131" t="s">
        <v>17487</v>
      </c>
      <c r="C845" s="132" t="s">
        <v>18848</v>
      </c>
      <c r="D845" s="131" t="s">
        <v>31</v>
      </c>
      <c r="E845" s="110" t="s">
        <v>18849</v>
      </c>
      <c r="F845" s="131" t="s">
        <v>31</v>
      </c>
      <c r="G845" s="133">
        <v>71.659999999999997</v>
      </c>
      <c r="H845" s="134">
        <v>71.659999999999997</v>
      </c>
      <c r="I845" s="131" t="s">
        <v>17190</v>
      </c>
      <c r="J845" s="88"/>
    </row>
    <row r="846" ht="25.5">
      <c r="A846" s="108">
        <v>7112</v>
      </c>
      <c r="B846" s="131" t="s">
        <v>17487</v>
      </c>
      <c r="C846" s="132" t="s">
        <v>18850</v>
      </c>
      <c r="D846" s="131" t="s">
        <v>31</v>
      </c>
      <c r="E846" s="110" t="s">
        <v>18851</v>
      </c>
      <c r="F846" s="131" t="s">
        <v>31</v>
      </c>
      <c r="G846" s="133">
        <v>354.13999999999999</v>
      </c>
      <c r="H846" s="134">
        <v>354.13999999999999</v>
      </c>
      <c r="I846" s="131" t="s">
        <v>17171</v>
      </c>
      <c r="J846" s="88"/>
    </row>
    <row r="847" ht="38.25">
      <c r="A847" s="108">
        <v>3494</v>
      </c>
      <c r="B847" s="131" t="s">
        <v>17487</v>
      </c>
      <c r="C847" s="132" t="s">
        <v>18852</v>
      </c>
      <c r="D847" s="131" t="s">
        <v>31</v>
      </c>
      <c r="E847" s="110" t="s">
        <v>18853</v>
      </c>
      <c r="F847" s="131" t="s">
        <v>31</v>
      </c>
      <c r="G847" s="133">
        <v>76.200000000000003</v>
      </c>
      <c r="H847" s="134">
        <v>76.200000000000003</v>
      </c>
      <c r="I847" s="131" t="s">
        <v>17190</v>
      </c>
      <c r="J847" s="88"/>
    </row>
    <row r="848" ht="25.5">
      <c r="A848" s="108">
        <v>6295</v>
      </c>
      <c r="B848" s="131" t="s">
        <v>17487</v>
      </c>
      <c r="C848" s="132" t="s">
        <v>18854</v>
      </c>
      <c r="D848" s="131" t="s">
        <v>31</v>
      </c>
      <c r="E848" s="110" t="s">
        <v>18855</v>
      </c>
      <c r="F848" s="131" t="s">
        <v>31</v>
      </c>
      <c r="G848" s="133">
        <v>37.670000000000002</v>
      </c>
      <c r="H848" s="134">
        <v>37.670000000000002</v>
      </c>
      <c r="I848" s="131" t="s">
        <v>17171</v>
      </c>
      <c r="J848" s="88"/>
    </row>
    <row r="849" ht="38.25">
      <c r="A849" s="108">
        <v>6294</v>
      </c>
      <c r="B849" s="131" t="s">
        <v>17487</v>
      </c>
      <c r="C849" s="132" t="s">
        <v>18856</v>
      </c>
      <c r="D849" s="131" t="s">
        <v>31</v>
      </c>
      <c r="E849" s="110" t="s">
        <v>18857</v>
      </c>
      <c r="F849" s="131" t="s">
        <v>31</v>
      </c>
      <c r="G849" s="133">
        <v>46.25</v>
      </c>
      <c r="H849" s="134">
        <v>46.25</v>
      </c>
      <c r="I849" s="131" t="s">
        <v>17171</v>
      </c>
      <c r="J849" s="88"/>
    </row>
    <row r="850" ht="25.5">
      <c r="A850" s="108">
        <v>1716</v>
      </c>
      <c r="B850" s="131" t="s">
        <v>17487</v>
      </c>
      <c r="C850" s="132" t="s">
        <v>18858</v>
      </c>
      <c r="D850" s="131" t="s">
        <v>31</v>
      </c>
      <c r="E850" s="110" t="s">
        <v>18859</v>
      </c>
      <c r="F850" s="131" t="s">
        <v>31</v>
      </c>
      <c r="G850" s="133">
        <v>187.31999999999999</v>
      </c>
      <c r="H850" s="134">
        <v>187.31999999999999</v>
      </c>
      <c r="I850" s="131" t="s">
        <v>17171</v>
      </c>
      <c r="J850" s="88"/>
    </row>
    <row r="851" ht="38.25">
      <c r="A851" s="108">
        <v>1715</v>
      </c>
      <c r="B851" s="131" t="s">
        <v>17487</v>
      </c>
      <c r="C851" s="132" t="s">
        <v>18860</v>
      </c>
      <c r="D851" s="131" t="s">
        <v>31</v>
      </c>
      <c r="E851" s="110" t="s">
        <v>18861</v>
      </c>
      <c r="F851" s="131" t="s">
        <v>31</v>
      </c>
      <c r="G851" s="133">
        <v>199.90000000000001</v>
      </c>
      <c r="H851" s="134">
        <v>199.90000000000001</v>
      </c>
      <c r="I851" s="131" t="s">
        <v>17171</v>
      </c>
      <c r="J851" s="88"/>
    </row>
    <row r="852" ht="25.5">
      <c r="A852" s="108">
        <v>2345</v>
      </c>
      <c r="B852" s="131" t="s">
        <v>17194</v>
      </c>
      <c r="C852" s="132" t="s">
        <v>18862</v>
      </c>
      <c r="D852" s="131" t="s">
        <v>31</v>
      </c>
      <c r="E852" s="110" t="s">
        <v>18863</v>
      </c>
      <c r="F852" s="131" t="s">
        <v>31</v>
      </c>
      <c r="G852" s="133">
        <v>161.53999999999999</v>
      </c>
      <c r="H852" s="134">
        <v>161.53999999999999</v>
      </c>
      <c r="I852" s="131" t="s">
        <v>17190</v>
      </c>
      <c r="J852" s="88"/>
    </row>
    <row r="853" ht="25.5">
      <c r="A853" s="108">
        <v>6150</v>
      </c>
      <c r="B853" s="131" t="s">
        <v>17273</v>
      </c>
      <c r="C853" s="132" t="s">
        <v>18864</v>
      </c>
      <c r="D853" s="131" t="s">
        <v>31</v>
      </c>
      <c r="E853" s="110" t="s">
        <v>18865</v>
      </c>
      <c r="F853" s="131" t="s">
        <v>31</v>
      </c>
      <c r="G853" s="133">
        <v>2.71</v>
      </c>
      <c r="H853" s="134">
        <v>2.71</v>
      </c>
      <c r="I853" s="131" t="s">
        <v>17190</v>
      </c>
      <c r="J853" s="88"/>
    </row>
    <row r="854" ht="25.5">
      <c r="A854" s="108">
        <v>6176</v>
      </c>
      <c r="B854" s="131" t="s">
        <v>17273</v>
      </c>
      <c r="C854" s="132" t="s">
        <v>18866</v>
      </c>
      <c r="D854" s="131" t="s">
        <v>31</v>
      </c>
      <c r="E854" s="110" t="s">
        <v>18867</v>
      </c>
      <c r="F854" s="131" t="s">
        <v>31</v>
      </c>
      <c r="G854" s="133">
        <v>1.97</v>
      </c>
      <c r="H854" s="134">
        <v>1.97</v>
      </c>
      <c r="I854" s="131" t="s">
        <v>17190</v>
      </c>
      <c r="J854" s="88"/>
    </row>
    <row r="855" ht="25.5">
      <c r="A855" s="108">
        <v>6145</v>
      </c>
      <c r="B855" s="131" t="s">
        <v>17273</v>
      </c>
      <c r="C855" s="132" t="s">
        <v>18868</v>
      </c>
      <c r="D855" s="131" t="s">
        <v>31</v>
      </c>
      <c r="E855" s="110" t="s">
        <v>18869</v>
      </c>
      <c r="F855" s="131" t="s">
        <v>31</v>
      </c>
      <c r="G855" s="133">
        <v>1.27</v>
      </c>
      <c r="H855" s="134">
        <v>1.27</v>
      </c>
      <c r="I855" s="131" t="s">
        <v>17190</v>
      </c>
      <c r="J855" s="88"/>
    </row>
    <row r="856" ht="25.5">
      <c r="A856" s="108">
        <v>6155</v>
      </c>
      <c r="B856" s="131" t="s">
        <v>17273</v>
      </c>
      <c r="C856" s="132" t="s">
        <v>18870</v>
      </c>
      <c r="D856" s="131" t="s">
        <v>31</v>
      </c>
      <c r="E856" s="110" t="s">
        <v>18871</v>
      </c>
      <c r="F856" s="131" t="s">
        <v>31</v>
      </c>
      <c r="G856" s="133">
        <v>3.9199999999999999</v>
      </c>
      <c r="H856" s="134">
        <v>3.9199999999999999</v>
      </c>
      <c r="I856" s="131" t="s">
        <v>17190</v>
      </c>
      <c r="J856" s="88"/>
    </row>
    <row r="857" ht="25.5">
      <c r="A857" s="108">
        <v>6158</v>
      </c>
      <c r="B857" s="131" t="s">
        <v>17273</v>
      </c>
      <c r="C857" s="132" t="s">
        <v>18872</v>
      </c>
      <c r="D857" s="131" t="s">
        <v>31</v>
      </c>
      <c r="E857" s="110" t="s">
        <v>18873</v>
      </c>
      <c r="F857" s="131" t="s">
        <v>31</v>
      </c>
      <c r="G857" s="133">
        <v>11.710000000000001</v>
      </c>
      <c r="H857" s="134">
        <v>11.710000000000001</v>
      </c>
      <c r="I857" s="131" t="s">
        <v>17190</v>
      </c>
      <c r="J857" s="88"/>
    </row>
    <row r="858" ht="25.5">
      <c r="A858" s="108">
        <v>6138</v>
      </c>
      <c r="B858" s="131" t="s">
        <v>17273</v>
      </c>
      <c r="C858" s="132" t="s">
        <v>18874</v>
      </c>
      <c r="D858" s="131" t="s">
        <v>31</v>
      </c>
      <c r="E858" s="110" t="s">
        <v>18875</v>
      </c>
      <c r="F858" s="131" t="s">
        <v>31</v>
      </c>
      <c r="G858" s="133">
        <v>0.91000000000000003</v>
      </c>
      <c r="H858" s="134">
        <v>0.91000000000000003</v>
      </c>
      <c r="I858" s="131" t="s">
        <v>17190</v>
      </c>
      <c r="J858" s="88"/>
    </row>
    <row r="859" ht="25.5">
      <c r="A859" s="108">
        <v>6163</v>
      </c>
      <c r="B859" s="131" t="s">
        <v>17273</v>
      </c>
      <c r="C859" s="132" t="s">
        <v>18876</v>
      </c>
      <c r="D859" s="131" t="s">
        <v>31</v>
      </c>
      <c r="E859" s="110" t="s">
        <v>18877</v>
      </c>
      <c r="F859" s="131" t="s">
        <v>31</v>
      </c>
      <c r="G859" s="133">
        <v>20.579999999999998</v>
      </c>
      <c r="H859" s="134">
        <v>20.579999999999998</v>
      </c>
      <c r="I859" s="131" t="s">
        <v>17190</v>
      </c>
      <c r="J859" s="88"/>
    </row>
    <row r="860" ht="38.25">
      <c r="A860" s="108">
        <v>3295</v>
      </c>
      <c r="B860" s="131" t="s">
        <v>17407</v>
      </c>
      <c r="C860" s="132" t="s">
        <v>18878</v>
      </c>
      <c r="D860" s="131" t="s">
        <v>31</v>
      </c>
      <c r="E860" s="110" t="s">
        <v>18879</v>
      </c>
      <c r="F860" s="131" t="s">
        <v>31</v>
      </c>
      <c r="G860" s="133">
        <v>20.989999999999998</v>
      </c>
      <c r="H860" s="134">
        <v>20.989999999999998</v>
      </c>
      <c r="I860" s="131" t="s">
        <v>17190</v>
      </c>
      <c r="J860" s="88"/>
    </row>
    <row r="861" ht="38.25">
      <c r="A861" s="108">
        <v>3289</v>
      </c>
      <c r="B861" s="131" t="s">
        <v>17407</v>
      </c>
      <c r="C861" s="132" t="s">
        <v>18880</v>
      </c>
      <c r="D861" s="131" t="s">
        <v>31</v>
      </c>
      <c r="E861" s="110" t="s">
        <v>18881</v>
      </c>
      <c r="F861" s="131" t="s">
        <v>31</v>
      </c>
      <c r="G861" s="133">
        <v>1.3500000000000001</v>
      </c>
      <c r="H861" s="134">
        <v>1.3500000000000001</v>
      </c>
      <c r="I861" s="131" t="s">
        <v>17190</v>
      </c>
      <c r="J861" s="88"/>
    </row>
    <row r="862" ht="38.25">
      <c r="A862" s="108">
        <v>7358</v>
      </c>
      <c r="B862" s="131" t="s">
        <v>17398</v>
      </c>
      <c r="C862" s="132" t="s">
        <v>18882</v>
      </c>
      <c r="D862" s="131" t="s">
        <v>31</v>
      </c>
      <c r="E862" s="110" t="s">
        <v>18883</v>
      </c>
      <c r="F862" s="131" t="s">
        <v>31</v>
      </c>
      <c r="G862" s="133">
        <v>1.4399999999999999</v>
      </c>
      <c r="H862" s="134">
        <v>1.4399999999999999</v>
      </c>
      <c r="I862" s="131" t="s">
        <v>17190</v>
      </c>
      <c r="J862" s="88"/>
    </row>
    <row r="863" ht="38.25">
      <c r="A863" s="108">
        <v>7362</v>
      </c>
      <c r="B863" s="131" t="s">
        <v>17398</v>
      </c>
      <c r="C863" s="132" t="s">
        <v>18884</v>
      </c>
      <c r="D863" s="131" t="s">
        <v>31</v>
      </c>
      <c r="E863" s="110" t="s">
        <v>18885</v>
      </c>
      <c r="F863" s="131" t="s">
        <v>31</v>
      </c>
      <c r="G863" s="133">
        <v>1.6699999999999999</v>
      </c>
      <c r="H863" s="134">
        <v>1.6699999999999999</v>
      </c>
      <c r="I863" s="131" t="s">
        <v>17190</v>
      </c>
      <c r="J863" s="88"/>
    </row>
    <row r="864" ht="38.25">
      <c r="A864" s="108">
        <v>7366</v>
      </c>
      <c r="B864" s="131" t="s">
        <v>17398</v>
      </c>
      <c r="C864" s="132" t="s">
        <v>18886</v>
      </c>
      <c r="D864" s="131" t="s">
        <v>31</v>
      </c>
      <c r="E864" s="110" t="s">
        <v>18887</v>
      </c>
      <c r="F864" s="131" t="s">
        <v>31</v>
      </c>
      <c r="G864" s="133">
        <v>2.96</v>
      </c>
      <c r="H864" s="134">
        <v>2.96</v>
      </c>
      <c r="I864" s="131" t="s">
        <v>17190</v>
      </c>
      <c r="J864" s="88"/>
    </row>
    <row r="865" ht="38.25">
      <c r="A865" s="108">
        <v>7359</v>
      </c>
      <c r="B865" s="131" t="s">
        <v>17407</v>
      </c>
      <c r="C865" s="132" t="s">
        <v>18888</v>
      </c>
      <c r="D865" s="131" t="s">
        <v>31</v>
      </c>
      <c r="E865" s="110" t="s">
        <v>18889</v>
      </c>
      <c r="F865" s="131" t="s">
        <v>31</v>
      </c>
      <c r="G865" s="133">
        <v>4.29</v>
      </c>
      <c r="H865" s="134">
        <v>4.29</v>
      </c>
      <c r="I865" s="131" t="s">
        <v>17190</v>
      </c>
      <c r="J865" s="88"/>
    </row>
    <row r="866" ht="38.25">
      <c r="A866" s="108">
        <v>7369</v>
      </c>
      <c r="B866" s="131" t="s">
        <v>17398</v>
      </c>
      <c r="C866" s="132" t="s">
        <v>18890</v>
      </c>
      <c r="D866" s="131" t="s">
        <v>31</v>
      </c>
      <c r="E866" s="110" t="s">
        <v>18891</v>
      </c>
      <c r="F866" s="131" t="s">
        <v>31</v>
      </c>
      <c r="G866" s="133">
        <v>8.7300000000000004</v>
      </c>
      <c r="H866" s="134">
        <v>8.7300000000000004</v>
      </c>
      <c r="I866" s="131" t="s">
        <v>17190</v>
      </c>
      <c r="J866" s="88"/>
    </row>
    <row r="867" ht="38.25">
      <c r="A867" s="108">
        <v>3292</v>
      </c>
      <c r="B867" s="131" t="s">
        <v>17407</v>
      </c>
      <c r="C867" s="132" t="s">
        <v>18892</v>
      </c>
      <c r="D867" s="131" t="s">
        <v>31</v>
      </c>
      <c r="E867" s="110" t="s">
        <v>18893</v>
      </c>
      <c r="F867" s="131" t="s">
        <v>31</v>
      </c>
      <c r="G867" s="133">
        <v>13.300000000000001</v>
      </c>
      <c r="H867" s="134">
        <v>13.300000000000001</v>
      </c>
      <c r="I867" s="131" t="s">
        <v>17190</v>
      </c>
      <c r="J867" s="88"/>
    </row>
    <row r="868" ht="38.25">
      <c r="A868" s="108">
        <v>2306</v>
      </c>
      <c r="B868" s="131" t="s">
        <v>17407</v>
      </c>
      <c r="C868" s="132" t="s">
        <v>18894</v>
      </c>
      <c r="D868" s="131" t="s">
        <v>31</v>
      </c>
      <c r="E868" s="110" t="s">
        <v>18895</v>
      </c>
      <c r="F868" s="131" t="s">
        <v>31</v>
      </c>
      <c r="G868" s="133">
        <v>5.9800000000000004</v>
      </c>
      <c r="H868" s="134">
        <v>5.9800000000000004</v>
      </c>
      <c r="I868" s="131" t="s">
        <v>17190</v>
      </c>
      <c r="J868" s="88"/>
    </row>
    <row r="869" ht="25.5">
      <c r="A869" s="108">
        <v>8024</v>
      </c>
      <c r="B869" s="131" t="s">
        <v>17191</v>
      </c>
      <c r="C869" s="132" t="s">
        <v>18896</v>
      </c>
      <c r="D869" s="131" t="s">
        <v>31</v>
      </c>
      <c r="E869" s="110" t="s">
        <v>18897</v>
      </c>
      <c r="F869" s="131" t="s">
        <v>31</v>
      </c>
      <c r="G869" s="133">
        <v>6.5800000000000001</v>
      </c>
      <c r="H869" s="134">
        <v>6.5800000000000001</v>
      </c>
      <c r="I869" s="131" t="s">
        <v>17190</v>
      </c>
      <c r="J869" s="88"/>
    </row>
    <row r="870" ht="25.5">
      <c r="A870" s="108">
        <v>1876</v>
      </c>
      <c r="B870" s="131" t="s">
        <v>17273</v>
      </c>
      <c r="C870" s="132" t="s">
        <v>18898</v>
      </c>
      <c r="D870" s="131" t="s">
        <v>31</v>
      </c>
      <c r="E870" s="110" t="s">
        <v>18899</v>
      </c>
      <c r="F870" s="131" t="s">
        <v>31</v>
      </c>
      <c r="G870" s="133">
        <v>7.2199999999999998</v>
      </c>
      <c r="H870" s="134">
        <v>7.2199999999999998</v>
      </c>
      <c r="I870" s="131" t="s">
        <v>17190</v>
      </c>
      <c r="J870" s="88"/>
    </row>
    <row r="871" ht="25.5">
      <c r="A871" s="108">
        <v>6377</v>
      </c>
      <c r="B871" s="131" t="s">
        <v>17905</v>
      </c>
      <c r="C871" s="132" t="s">
        <v>18900</v>
      </c>
      <c r="D871" s="131" t="s">
        <v>38</v>
      </c>
      <c r="E871" s="110" t="s">
        <v>18901</v>
      </c>
      <c r="F871" s="131" t="s">
        <v>38</v>
      </c>
      <c r="G871" s="133">
        <v>38.829999999999998</v>
      </c>
      <c r="H871" s="134">
        <v>38.829999999999998</v>
      </c>
      <c r="I871" s="131" t="s">
        <v>17190</v>
      </c>
      <c r="J871" s="88"/>
    </row>
    <row r="872" ht="25.5">
      <c r="A872" s="108">
        <v>6378</v>
      </c>
      <c r="B872" s="131" t="s">
        <v>17905</v>
      </c>
      <c r="C872" s="132" t="s">
        <v>18902</v>
      </c>
      <c r="D872" s="131" t="s">
        <v>38</v>
      </c>
      <c r="E872" s="110" t="s">
        <v>18903</v>
      </c>
      <c r="F872" s="131" t="s">
        <v>38</v>
      </c>
      <c r="G872" s="133">
        <v>78.420000000000002</v>
      </c>
      <c r="H872" s="134">
        <v>78.420000000000002</v>
      </c>
      <c r="I872" s="131" t="s">
        <v>17190</v>
      </c>
      <c r="J872" s="88"/>
    </row>
    <row r="873" ht="25.5">
      <c r="A873" s="108">
        <v>1127</v>
      </c>
      <c r="B873" s="131" t="s">
        <v>17735</v>
      </c>
      <c r="C873" s="132" t="s">
        <v>18904</v>
      </c>
      <c r="D873" s="131" t="s">
        <v>121</v>
      </c>
      <c r="E873" s="110" t="s">
        <v>18905</v>
      </c>
      <c r="F873" s="131" t="s">
        <v>121</v>
      </c>
      <c r="G873" s="133">
        <v>1574.5999999999999</v>
      </c>
      <c r="H873" s="134">
        <v>1574.5999999999999</v>
      </c>
      <c r="I873" s="131" t="s">
        <v>17190</v>
      </c>
      <c r="J873" s="88"/>
    </row>
    <row r="874" ht="25.5">
      <c r="A874" s="108">
        <v>1647</v>
      </c>
      <c r="B874" s="131" t="s">
        <v>17273</v>
      </c>
      <c r="C874" s="132" t="s">
        <v>18906</v>
      </c>
      <c r="D874" s="131" t="s">
        <v>38</v>
      </c>
      <c r="E874" s="110" t="s">
        <v>18907</v>
      </c>
      <c r="F874" s="131" t="s">
        <v>38</v>
      </c>
      <c r="G874" s="133">
        <v>5.1699999999999999</v>
      </c>
      <c r="H874" s="134">
        <v>5.1699999999999999</v>
      </c>
      <c r="I874" s="131" t="s">
        <v>17190</v>
      </c>
      <c r="J874" s="88"/>
    </row>
    <row r="875" ht="51">
      <c r="A875" s="108">
        <v>8453</v>
      </c>
      <c r="B875" s="131" t="s">
        <v>17194</v>
      </c>
      <c r="C875" s="132" t="s">
        <v>18908</v>
      </c>
      <c r="D875" s="131" t="s">
        <v>31</v>
      </c>
      <c r="E875" s="110" t="s">
        <v>18909</v>
      </c>
      <c r="F875" s="131" t="s">
        <v>31</v>
      </c>
      <c r="G875" s="133">
        <v>710.49000000000001</v>
      </c>
      <c r="H875" s="134">
        <v>710.49000000000001</v>
      </c>
      <c r="I875" s="131" t="s">
        <v>17190</v>
      </c>
      <c r="J875" s="88"/>
    </row>
    <row r="876" ht="38.25">
      <c r="A876" s="108">
        <v>8455</v>
      </c>
      <c r="B876" s="131" t="s">
        <v>17194</v>
      </c>
      <c r="C876" s="132" t="s">
        <v>18910</v>
      </c>
      <c r="D876" s="131" t="s">
        <v>31</v>
      </c>
      <c r="E876" s="110" t="s">
        <v>18911</v>
      </c>
      <c r="F876" s="131" t="s">
        <v>31</v>
      </c>
      <c r="G876" s="133">
        <v>1116.8299999999999</v>
      </c>
      <c r="H876" s="134">
        <v>1116.8299999999999</v>
      </c>
      <c r="I876" s="131" t="s">
        <v>17190</v>
      </c>
      <c r="J876" s="88"/>
    </row>
    <row r="877">
      <c r="A877" s="108">
        <v>7018</v>
      </c>
      <c r="B877" s="131" t="s">
        <v>17168</v>
      </c>
      <c r="C877" s="132" t="s">
        <v>16388</v>
      </c>
      <c r="D877" s="131" t="s">
        <v>31</v>
      </c>
      <c r="E877" s="110" t="s">
        <v>18912</v>
      </c>
      <c r="F877" s="131" t="s">
        <v>31</v>
      </c>
      <c r="G877" s="133">
        <v>18.260000000000002</v>
      </c>
      <c r="H877" s="134">
        <v>18.260000000000002</v>
      </c>
      <c r="I877" s="131" t="s">
        <v>17171</v>
      </c>
      <c r="J877" s="88"/>
    </row>
    <row r="878" ht="25.5">
      <c r="A878" s="108">
        <v>1264</v>
      </c>
      <c r="B878" s="131" t="s">
        <v>17243</v>
      </c>
      <c r="C878" s="132" t="s">
        <v>18913</v>
      </c>
      <c r="D878" s="131" t="s">
        <v>29</v>
      </c>
      <c r="E878" s="110" t="s">
        <v>18914</v>
      </c>
      <c r="F878" s="131" t="s">
        <v>29</v>
      </c>
      <c r="G878" s="133">
        <v>52.490000000000002</v>
      </c>
      <c r="H878" s="134">
        <v>52.490000000000002</v>
      </c>
      <c r="I878" s="131" t="s">
        <v>17171</v>
      </c>
      <c r="J878" s="88"/>
    </row>
    <row r="879" ht="25.5">
      <c r="A879" s="108">
        <v>1259</v>
      </c>
      <c r="B879" s="131" t="s">
        <v>17243</v>
      </c>
      <c r="C879" s="132" t="s">
        <v>18915</v>
      </c>
      <c r="D879" s="131" t="s">
        <v>29</v>
      </c>
      <c r="E879" s="110" t="s">
        <v>18916</v>
      </c>
      <c r="F879" s="131" t="s">
        <v>29</v>
      </c>
      <c r="G879" s="133">
        <v>117.09</v>
      </c>
      <c r="H879" s="134">
        <v>117.09</v>
      </c>
      <c r="I879" s="131" t="s">
        <v>17190</v>
      </c>
      <c r="J879" s="88"/>
    </row>
    <row r="880" ht="51">
      <c r="A880" s="108">
        <v>1258</v>
      </c>
      <c r="B880" s="131" t="s">
        <v>17243</v>
      </c>
      <c r="C880" s="132" t="s">
        <v>18917</v>
      </c>
      <c r="D880" s="131" t="s">
        <v>29</v>
      </c>
      <c r="E880" s="110" t="s">
        <v>18918</v>
      </c>
      <c r="F880" s="131" t="s">
        <v>29</v>
      </c>
      <c r="G880" s="133">
        <v>54.130000000000003</v>
      </c>
      <c r="H880" s="134">
        <v>54.130000000000003</v>
      </c>
      <c r="I880" s="131" t="s">
        <v>17171</v>
      </c>
      <c r="J880" s="88"/>
    </row>
    <row r="881">
      <c r="A881" s="108">
        <v>3308</v>
      </c>
      <c r="B881" s="131" t="s">
        <v>17407</v>
      </c>
      <c r="C881" s="132" t="s">
        <v>16382</v>
      </c>
      <c r="D881" s="131" t="s">
        <v>31</v>
      </c>
      <c r="E881" s="110" t="s">
        <v>18919</v>
      </c>
      <c r="F881" s="131" t="s">
        <v>31</v>
      </c>
      <c r="G881" s="133">
        <v>43.630000000000003</v>
      </c>
      <c r="H881" s="134">
        <v>43.630000000000003</v>
      </c>
      <c r="I881" s="131" t="s">
        <v>17171</v>
      </c>
      <c r="J881" s="88"/>
    </row>
    <row r="882">
      <c r="A882" s="108">
        <v>3307</v>
      </c>
      <c r="B882" s="131" t="s">
        <v>17407</v>
      </c>
      <c r="C882" s="132" t="s">
        <v>18920</v>
      </c>
      <c r="D882" s="131" t="s">
        <v>31</v>
      </c>
      <c r="E882" s="110" t="s">
        <v>18921</v>
      </c>
      <c r="F882" s="131" t="s">
        <v>31</v>
      </c>
      <c r="G882" s="133">
        <v>146.75</v>
      </c>
      <c r="H882" s="134">
        <v>146.75</v>
      </c>
      <c r="I882" s="131" t="s">
        <v>17171</v>
      </c>
      <c r="J882" s="88"/>
    </row>
    <row r="883" ht="38.25">
      <c r="A883" s="108">
        <v>6435</v>
      </c>
      <c r="B883" s="131" t="s">
        <v>17235</v>
      </c>
      <c r="C883" s="132" t="s">
        <v>18922</v>
      </c>
      <c r="D883" s="131" t="s">
        <v>31</v>
      </c>
      <c r="E883" s="110" t="s">
        <v>18923</v>
      </c>
      <c r="F883" s="131" t="s">
        <v>31</v>
      </c>
      <c r="G883" s="133">
        <v>1313.51</v>
      </c>
      <c r="H883" s="134">
        <v>1313.51</v>
      </c>
      <c r="I883" s="131" t="s">
        <v>17171</v>
      </c>
      <c r="J883" s="88"/>
    </row>
    <row r="884" ht="25.5">
      <c r="A884" s="108">
        <v>4055</v>
      </c>
      <c r="B884" s="131" t="s">
        <v>17250</v>
      </c>
      <c r="C884" s="132" t="s">
        <v>18924</v>
      </c>
      <c r="D884" s="131" t="s">
        <v>2032</v>
      </c>
      <c r="E884" s="110" t="s">
        <v>18925</v>
      </c>
      <c r="F884" s="131" t="s">
        <v>2032</v>
      </c>
      <c r="G884" s="133">
        <v>23.98</v>
      </c>
      <c r="H884" s="134">
        <v>22.140000000000001</v>
      </c>
      <c r="I884" s="131" t="s">
        <v>17190</v>
      </c>
      <c r="J884" s="88"/>
    </row>
    <row r="885" ht="25.5">
      <c r="A885" s="108">
        <v>4058</v>
      </c>
      <c r="B885" s="131" t="s">
        <v>17250</v>
      </c>
      <c r="C885" s="132" t="s">
        <v>18926</v>
      </c>
      <c r="D885" s="131" t="s">
        <v>2032</v>
      </c>
      <c r="E885" s="110" t="s">
        <v>18927</v>
      </c>
      <c r="F885" s="131" t="s">
        <v>2032</v>
      </c>
      <c r="G885" s="133">
        <v>25.629999999999999</v>
      </c>
      <c r="H885" s="134">
        <v>23.649999999999999</v>
      </c>
      <c r="I885" s="131" t="s">
        <v>17190</v>
      </c>
      <c r="J885" s="88"/>
    </row>
    <row r="886" ht="25.5">
      <c r="A886" s="108">
        <v>1583</v>
      </c>
      <c r="B886" s="131" t="s">
        <v>17273</v>
      </c>
      <c r="C886" s="132" t="s">
        <v>18928</v>
      </c>
      <c r="D886" s="131" t="s">
        <v>1533</v>
      </c>
      <c r="E886" s="110" t="s">
        <v>18929</v>
      </c>
      <c r="F886" s="131" t="s">
        <v>1533</v>
      </c>
      <c r="G886" s="133">
        <v>27.469999999999999</v>
      </c>
      <c r="H886" s="134">
        <v>25.440000000000001</v>
      </c>
      <c r="I886" s="131" t="s">
        <v>17190</v>
      </c>
      <c r="J886" s="88"/>
    </row>
    <row r="887" ht="25.5">
      <c r="A887" s="108">
        <v>1582</v>
      </c>
      <c r="B887" s="131" t="s">
        <v>17273</v>
      </c>
      <c r="C887" s="132" t="s">
        <v>18930</v>
      </c>
      <c r="D887" s="131" t="s">
        <v>1535</v>
      </c>
      <c r="E887" s="110" t="s">
        <v>18931</v>
      </c>
      <c r="F887" s="131" t="s">
        <v>1535</v>
      </c>
      <c r="G887" s="133">
        <v>30.050000000000001</v>
      </c>
      <c r="H887" s="134">
        <v>28.02</v>
      </c>
      <c r="I887" s="131" t="s">
        <v>17190</v>
      </c>
      <c r="J887" s="88"/>
    </row>
    <row r="888" ht="25.5">
      <c r="A888" s="108">
        <v>6089</v>
      </c>
      <c r="B888" s="131" t="s">
        <v>17246</v>
      </c>
      <c r="C888" s="132" t="s">
        <v>18932</v>
      </c>
      <c r="D888" s="131" t="s">
        <v>302</v>
      </c>
      <c r="E888" s="110" t="s">
        <v>18933</v>
      </c>
      <c r="F888" s="131" t="s">
        <v>302</v>
      </c>
      <c r="G888" s="133">
        <v>7.1200000000000001</v>
      </c>
      <c r="H888" s="134">
        <v>7.1200000000000001</v>
      </c>
      <c r="I888" s="131" t="s">
        <v>17190</v>
      </c>
      <c r="J888" s="88"/>
    </row>
    <row r="889" ht="25.5">
      <c r="A889" s="108">
        <v>1271</v>
      </c>
      <c r="B889" s="131" t="s">
        <v>17246</v>
      </c>
      <c r="C889" s="132" t="s">
        <v>18934</v>
      </c>
      <c r="D889" s="131" t="s">
        <v>302</v>
      </c>
      <c r="E889" s="110" t="s">
        <v>18935</v>
      </c>
      <c r="F889" s="131" t="s">
        <v>302</v>
      </c>
      <c r="G889" s="133">
        <v>15.960000000000001</v>
      </c>
      <c r="H889" s="134">
        <v>15.960000000000001</v>
      </c>
      <c r="I889" s="131" t="s">
        <v>17190</v>
      </c>
      <c r="J889" s="88"/>
    </row>
    <row r="890" ht="25.5">
      <c r="A890" s="108">
        <v>6459</v>
      </c>
      <c r="B890" s="131" t="s">
        <v>17273</v>
      </c>
      <c r="C890" s="132" t="s">
        <v>18936</v>
      </c>
      <c r="D890" s="131" t="s">
        <v>302</v>
      </c>
      <c r="E890" s="110" t="s">
        <v>18937</v>
      </c>
      <c r="F890" s="131" t="s">
        <v>302</v>
      </c>
      <c r="G890" s="133">
        <v>40.869999999999997</v>
      </c>
      <c r="H890" s="134">
        <v>40.869999999999997</v>
      </c>
      <c r="I890" s="131" t="s">
        <v>17190</v>
      </c>
      <c r="J890" s="88"/>
    </row>
    <row r="891" ht="51">
      <c r="A891" s="108">
        <v>1666</v>
      </c>
      <c r="B891" s="131" t="s">
        <v>17273</v>
      </c>
      <c r="C891" s="132" t="s">
        <v>18938</v>
      </c>
      <c r="D891" s="131" t="s">
        <v>29</v>
      </c>
      <c r="E891" s="110" t="s">
        <v>18939</v>
      </c>
      <c r="F891" s="131" t="s">
        <v>29</v>
      </c>
      <c r="G891" s="133">
        <v>35</v>
      </c>
      <c r="H891" s="134">
        <v>33.420000000000002</v>
      </c>
      <c r="I891" s="131" t="s">
        <v>17190</v>
      </c>
      <c r="J891" s="88"/>
    </row>
    <row r="892">
      <c r="A892" s="108">
        <v>7507</v>
      </c>
      <c r="B892" s="131" t="s">
        <v>17455</v>
      </c>
      <c r="C892" s="132" t="s">
        <v>18940</v>
      </c>
      <c r="D892" s="131" t="s">
        <v>17457</v>
      </c>
      <c r="E892" s="110" t="s">
        <v>18941</v>
      </c>
      <c r="F892" s="131" t="s">
        <v>17457</v>
      </c>
      <c r="G892" s="133">
        <v>60.590000000000003</v>
      </c>
      <c r="H892" s="134">
        <v>60.590000000000003</v>
      </c>
      <c r="I892" s="131" t="s">
        <v>17171</v>
      </c>
      <c r="J892" s="88"/>
    </row>
    <row r="893">
      <c r="A893" s="108">
        <v>7508</v>
      </c>
      <c r="B893" s="131" t="s">
        <v>17455</v>
      </c>
      <c r="C893" s="132" t="s">
        <v>18942</v>
      </c>
      <c r="D893" s="131" t="s">
        <v>17457</v>
      </c>
      <c r="E893" s="110" t="s">
        <v>18943</v>
      </c>
      <c r="F893" s="131" t="s">
        <v>17457</v>
      </c>
      <c r="G893" s="133">
        <v>60.590000000000003</v>
      </c>
      <c r="H893" s="134">
        <v>60.590000000000003</v>
      </c>
      <c r="I893" s="131" t="s">
        <v>17171</v>
      </c>
      <c r="J893" s="88"/>
    </row>
    <row r="894" ht="25.5">
      <c r="A894" s="108">
        <v>7183</v>
      </c>
      <c r="B894" s="131" t="s">
        <v>17828</v>
      </c>
      <c r="C894" s="132" t="s">
        <v>18944</v>
      </c>
      <c r="D894" s="131" t="s">
        <v>31</v>
      </c>
      <c r="E894" s="110" t="s">
        <v>18945</v>
      </c>
      <c r="F894" s="131" t="s">
        <v>31</v>
      </c>
      <c r="G894" s="133">
        <v>3.0899999999999999</v>
      </c>
      <c r="H894" s="134">
        <v>3.0899999999999999</v>
      </c>
      <c r="I894" s="131" t="s">
        <v>17171</v>
      </c>
      <c r="J894" s="88"/>
    </row>
    <row r="895" ht="25.5">
      <c r="A895" s="108">
        <v>4064</v>
      </c>
      <c r="B895" s="131" t="s">
        <v>17250</v>
      </c>
      <c r="C895" s="132" t="s">
        <v>18946</v>
      </c>
      <c r="D895" s="131" t="s">
        <v>2032</v>
      </c>
      <c r="E895" s="110" t="s">
        <v>18947</v>
      </c>
      <c r="F895" s="131" t="s">
        <v>2032</v>
      </c>
      <c r="G895" s="133">
        <v>26.219999999999999</v>
      </c>
      <c r="H895" s="134">
        <v>24.190000000000001</v>
      </c>
      <c r="I895" s="131" t="s">
        <v>17190</v>
      </c>
      <c r="J895" s="88"/>
    </row>
    <row r="896" ht="25.5">
      <c r="A896" s="108">
        <v>4048</v>
      </c>
      <c r="B896" s="131" t="s">
        <v>17250</v>
      </c>
      <c r="C896" s="132" t="s">
        <v>18948</v>
      </c>
      <c r="D896" s="131" t="s">
        <v>2032</v>
      </c>
      <c r="E896" s="110" t="s">
        <v>18949</v>
      </c>
      <c r="F896" s="131" t="s">
        <v>2032</v>
      </c>
      <c r="G896" s="133">
        <v>32.039999999999999</v>
      </c>
      <c r="H896" s="134">
        <v>29.07</v>
      </c>
      <c r="I896" s="131" t="s">
        <v>17190</v>
      </c>
      <c r="J896" s="88"/>
    </row>
    <row r="897" ht="25.5">
      <c r="A897" s="108">
        <v>2363</v>
      </c>
      <c r="B897" s="131" t="s">
        <v>17429</v>
      </c>
      <c r="C897" s="132" t="s">
        <v>18950</v>
      </c>
      <c r="D897" s="131" t="s">
        <v>31</v>
      </c>
      <c r="E897" s="110" t="s">
        <v>18951</v>
      </c>
      <c r="F897" s="131" t="s">
        <v>31</v>
      </c>
      <c r="G897" s="133">
        <v>366.98000000000002</v>
      </c>
      <c r="H897" s="134">
        <v>366.98000000000002</v>
      </c>
      <c r="I897" s="131" t="s">
        <v>17190</v>
      </c>
      <c r="J897" s="88"/>
    </row>
    <row r="898" ht="25.5">
      <c r="A898" s="108">
        <v>1724</v>
      </c>
      <c r="B898" s="131" t="s">
        <v>17215</v>
      </c>
      <c r="C898" s="132" t="s">
        <v>18952</v>
      </c>
      <c r="D898" s="131" t="s">
        <v>31</v>
      </c>
      <c r="E898" s="110" t="s">
        <v>18953</v>
      </c>
      <c r="F898" s="131" t="s">
        <v>31</v>
      </c>
      <c r="G898" s="133">
        <v>625.82000000000005</v>
      </c>
      <c r="H898" s="134">
        <v>623.34000000000003</v>
      </c>
      <c r="I898" s="131" t="s">
        <v>17190</v>
      </c>
      <c r="J898" s="88"/>
    </row>
    <row r="899" ht="25.5">
      <c r="A899" s="108">
        <v>1700</v>
      </c>
      <c r="B899" s="131" t="s">
        <v>18576</v>
      </c>
      <c r="C899" s="132" t="s">
        <v>18954</v>
      </c>
      <c r="D899" s="131" t="s">
        <v>31</v>
      </c>
      <c r="E899" s="110" t="s">
        <v>18955</v>
      </c>
      <c r="F899" s="131" t="s">
        <v>31</v>
      </c>
      <c r="G899" s="133">
        <v>771.77999999999997</v>
      </c>
      <c r="H899" s="134">
        <v>771.77999999999997</v>
      </c>
      <c r="I899" s="131" t="s">
        <v>17171</v>
      </c>
      <c r="J899" s="88"/>
    </row>
    <row r="900" ht="25.5">
      <c r="A900" s="108">
        <v>1699</v>
      </c>
      <c r="B900" s="131" t="s">
        <v>18576</v>
      </c>
      <c r="C900" s="132" t="s">
        <v>18956</v>
      </c>
      <c r="D900" s="131" t="s">
        <v>31</v>
      </c>
      <c r="E900" s="110" t="s">
        <v>18957</v>
      </c>
      <c r="F900" s="131" t="s">
        <v>31</v>
      </c>
      <c r="G900" s="133">
        <v>812.26999999999998</v>
      </c>
      <c r="H900" s="134">
        <v>812.26999999999998</v>
      </c>
      <c r="I900" s="131" t="s">
        <v>17171</v>
      </c>
      <c r="J900" s="88"/>
    </row>
    <row r="901" ht="38.25">
      <c r="A901" s="108">
        <v>6323</v>
      </c>
      <c r="B901" s="131" t="s">
        <v>17215</v>
      </c>
      <c r="C901" s="132" t="s">
        <v>18958</v>
      </c>
      <c r="D901" s="131" t="s">
        <v>1533</v>
      </c>
      <c r="E901" s="110" t="s">
        <v>18959</v>
      </c>
      <c r="F901" s="131" t="s">
        <v>1533</v>
      </c>
      <c r="G901" s="133">
        <v>0.96999999999999997</v>
      </c>
      <c r="H901" s="134">
        <v>0.96999999999999997</v>
      </c>
      <c r="I901" s="131" t="s">
        <v>17190</v>
      </c>
      <c r="J901" s="88"/>
    </row>
    <row r="902" ht="38.25">
      <c r="A902" s="108">
        <v>6322</v>
      </c>
      <c r="B902" s="131" t="s">
        <v>17215</v>
      </c>
      <c r="C902" s="132" t="s">
        <v>18960</v>
      </c>
      <c r="D902" s="131" t="s">
        <v>1535</v>
      </c>
      <c r="E902" s="110" t="s">
        <v>18961</v>
      </c>
      <c r="F902" s="131" t="s">
        <v>1535</v>
      </c>
      <c r="G902" s="133">
        <v>5.25</v>
      </c>
      <c r="H902" s="134">
        <v>5.25</v>
      </c>
      <c r="I902" s="131" t="s">
        <v>17190</v>
      </c>
      <c r="J902" s="88"/>
    </row>
    <row r="903" ht="25.5">
      <c r="A903" s="108">
        <v>6430</v>
      </c>
      <c r="B903" s="131" t="s">
        <v>17168</v>
      </c>
      <c r="C903" s="132" t="s">
        <v>18962</v>
      </c>
      <c r="D903" s="131" t="s">
        <v>31</v>
      </c>
      <c r="E903" s="110" t="s">
        <v>18963</v>
      </c>
      <c r="F903" s="131" t="s">
        <v>31</v>
      </c>
      <c r="G903" s="133">
        <v>152.24000000000001</v>
      </c>
      <c r="H903" s="134">
        <v>152.24000000000001</v>
      </c>
      <c r="I903" s="131" t="s">
        <v>17171</v>
      </c>
      <c r="J903" s="88"/>
    </row>
    <row r="904" ht="25.5">
      <c r="A904" s="108">
        <v>3507</v>
      </c>
      <c r="B904" s="131" t="s">
        <v>17235</v>
      </c>
      <c r="C904" s="132" t="s">
        <v>18964</v>
      </c>
      <c r="D904" s="131" t="s">
        <v>31</v>
      </c>
      <c r="E904" s="110" t="s">
        <v>18965</v>
      </c>
      <c r="F904" s="131" t="s">
        <v>31</v>
      </c>
      <c r="G904" s="133">
        <v>178.44999999999999</v>
      </c>
      <c r="H904" s="134">
        <v>178.44999999999999</v>
      </c>
      <c r="I904" s="131" t="s">
        <v>17171</v>
      </c>
      <c r="J904" s="88"/>
    </row>
    <row r="905" ht="25.5">
      <c r="A905" s="108">
        <v>3508</v>
      </c>
      <c r="B905" s="131" t="s">
        <v>17235</v>
      </c>
      <c r="C905" s="132" t="s">
        <v>18966</v>
      </c>
      <c r="D905" s="131" t="s">
        <v>31</v>
      </c>
      <c r="E905" s="110" t="s">
        <v>18967</v>
      </c>
      <c r="F905" s="131" t="s">
        <v>31</v>
      </c>
      <c r="G905" s="133">
        <v>178.44999999999999</v>
      </c>
      <c r="H905" s="134">
        <v>178.44999999999999</v>
      </c>
      <c r="I905" s="131" t="s">
        <v>17171</v>
      </c>
      <c r="J905" s="88"/>
    </row>
    <row r="906" ht="38.25">
      <c r="A906" s="108">
        <v>3509</v>
      </c>
      <c r="B906" s="131" t="s">
        <v>17235</v>
      </c>
      <c r="C906" s="132" t="s">
        <v>18968</v>
      </c>
      <c r="D906" s="131" t="s">
        <v>31</v>
      </c>
      <c r="E906" s="110" t="s">
        <v>18969</v>
      </c>
      <c r="F906" s="131" t="s">
        <v>31</v>
      </c>
      <c r="G906" s="133">
        <v>173.25</v>
      </c>
      <c r="H906" s="134">
        <v>173.25</v>
      </c>
      <c r="I906" s="131" t="s">
        <v>17171</v>
      </c>
      <c r="J906" s="88"/>
    </row>
    <row r="907" ht="25.5">
      <c r="A907" s="108">
        <v>4057</v>
      </c>
      <c r="B907" s="131" t="s">
        <v>17250</v>
      </c>
      <c r="C907" s="132" t="s">
        <v>18970</v>
      </c>
      <c r="D907" s="131" t="s">
        <v>2032</v>
      </c>
      <c r="E907" s="110" t="s">
        <v>18971</v>
      </c>
      <c r="F907" s="131" t="s">
        <v>2032</v>
      </c>
      <c r="G907" s="133">
        <v>28.379999999999999</v>
      </c>
      <c r="H907" s="134">
        <v>26</v>
      </c>
      <c r="I907" s="131" t="s">
        <v>17190</v>
      </c>
      <c r="J907" s="88"/>
    </row>
    <row r="908" ht="51">
      <c r="A908" s="108">
        <v>6463</v>
      </c>
      <c r="B908" s="131" t="s">
        <v>17273</v>
      </c>
      <c r="C908" s="132" t="s">
        <v>18972</v>
      </c>
      <c r="D908" s="131" t="s">
        <v>29</v>
      </c>
      <c r="E908" s="110" t="s">
        <v>18973</v>
      </c>
      <c r="F908" s="131" t="s">
        <v>29</v>
      </c>
      <c r="G908" s="133">
        <v>139.13999999999999</v>
      </c>
      <c r="H908" s="134">
        <v>132.03999999999999</v>
      </c>
      <c r="I908" s="131" t="s">
        <v>17190</v>
      </c>
      <c r="J908" s="88"/>
    </row>
    <row r="909" ht="38.25">
      <c r="A909" s="108">
        <v>8513</v>
      </c>
      <c r="B909" s="131" t="s">
        <v>17215</v>
      </c>
      <c r="C909" s="132" t="s">
        <v>18974</v>
      </c>
      <c r="D909" s="131" t="s">
        <v>1535</v>
      </c>
      <c r="E909" s="110" t="s">
        <v>18975</v>
      </c>
      <c r="F909" s="131" t="s">
        <v>1535</v>
      </c>
      <c r="G909" s="133">
        <v>260.69</v>
      </c>
      <c r="H909" s="134">
        <v>257.14999999999998</v>
      </c>
      <c r="I909" s="131" t="s">
        <v>17190</v>
      </c>
      <c r="J909" s="88"/>
    </row>
    <row r="910" ht="25.5">
      <c r="A910" s="108">
        <v>2749</v>
      </c>
      <c r="B910" s="131" t="s">
        <v>17322</v>
      </c>
      <c r="C910" s="132" t="s">
        <v>18976</v>
      </c>
      <c r="D910" s="131" t="s">
        <v>31</v>
      </c>
      <c r="E910" s="110" t="s">
        <v>18977</v>
      </c>
      <c r="F910" s="131" t="s">
        <v>31</v>
      </c>
      <c r="G910" s="133">
        <v>71.140000000000001</v>
      </c>
      <c r="H910" s="134">
        <v>71.140000000000001</v>
      </c>
      <c r="I910" s="131" t="s">
        <v>17190</v>
      </c>
      <c r="J910" s="88"/>
    </row>
    <row r="911" ht="25.5">
      <c r="A911" s="108">
        <v>1126</v>
      </c>
      <c r="B911" s="131" t="s">
        <v>17322</v>
      </c>
      <c r="C911" s="132" t="s">
        <v>18978</v>
      </c>
      <c r="D911" s="131" t="s">
        <v>31</v>
      </c>
      <c r="E911" s="110" t="s">
        <v>18979</v>
      </c>
      <c r="F911" s="131" t="s">
        <v>31</v>
      </c>
      <c r="G911" s="133">
        <v>72.900000000000006</v>
      </c>
      <c r="H911" s="134">
        <v>72.900000000000006</v>
      </c>
      <c r="I911" s="131" t="s">
        <v>17190</v>
      </c>
      <c r="J911" s="88"/>
    </row>
    <row r="912" ht="38.25">
      <c r="A912" s="108">
        <v>6375</v>
      </c>
      <c r="B912" s="131" t="s">
        <v>17905</v>
      </c>
      <c r="C912" s="132" t="s">
        <v>18980</v>
      </c>
      <c r="D912" s="131" t="s">
        <v>38</v>
      </c>
      <c r="E912" s="110" t="s">
        <v>18981</v>
      </c>
      <c r="F912" s="131" t="s">
        <v>38</v>
      </c>
      <c r="G912" s="133">
        <v>44</v>
      </c>
      <c r="H912" s="134">
        <v>44</v>
      </c>
      <c r="I912" s="131" t="s">
        <v>17190</v>
      </c>
      <c r="J912" s="88"/>
    </row>
    <row r="913" ht="25.5">
      <c r="A913" s="108">
        <v>4039</v>
      </c>
      <c r="B913" s="131" t="s">
        <v>17250</v>
      </c>
      <c r="C913" s="132" t="s">
        <v>18982</v>
      </c>
      <c r="D913" s="131" t="s">
        <v>2032</v>
      </c>
      <c r="E913" s="110" t="s">
        <v>18983</v>
      </c>
      <c r="F913" s="131" t="s">
        <v>2032</v>
      </c>
      <c r="G913" s="133">
        <v>28.620000000000001</v>
      </c>
      <c r="H913" s="134">
        <v>26.219999999999999</v>
      </c>
      <c r="I913" s="131" t="s">
        <v>17190</v>
      </c>
      <c r="J913" s="88"/>
    </row>
    <row r="914" ht="25.5">
      <c r="A914" s="108">
        <v>4056</v>
      </c>
      <c r="B914" s="131" t="s">
        <v>17250</v>
      </c>
      <c r="C914" s="132" t="s">
        <v>18984</v>
      </c>
      <c r="D914" s="131" t="s">
        <v>2032</v>
      </c>
      <c r="E914" s="110" t="s">
        <v>18985</v>
      </c>
      <c r="F914" s="131" t="s">
        <v>2032</v>
      </c>
      <c r="G914" s="133">
        <v>25.739999999999998</v>
      </c>
      <c r="H914" s="134">
        <v>23.629999999999999</v>
      </c>
      <c r="I914" s="131" t="s">
        <v>17190</v>
      </c>
      <c r="J914" s="88"/>
    </row>
    <row r="915" ht="25.5">
      <c r="A915" s="108">
        <v>4049</v>
      </c>
      <c r="B915" s="131" t="s">
        <v>17250</v>
      </c>
      <c r="C915" s="132" t="s">
        <v>18986</v>
      </c>
      <c r="D915" s="131" t="s">
        <v>2032</v>
      </c>
      <c r="E915" s="110" t="s">
        <v>18987</v>
      </c>
      <c r="F915" s="131" t="s">
        <v>2032</v>
      </c>
      <c r="G915" s="133">
        <v>32.920000000000002</v>
      </c>
      <c r="H915" s="134">
        <v>30.079999999999998</v>
      </c>
      <c r="I915" s="131" t="s">
        <v>17190</v>
      </c>
      <c r="J915" s="88"/>
    </row>
    <row r="916">
      <c r="A916" s="108">
        <v>1129</v>
      </c>
      <c r="B916" s="131" t="s">
        <v>17246</v>
      </c>
      <c r="C916" s="132" t="s">
        <v>18988</v>
      </c>
      <c r="D916" s="131" t="s">
        <v>31</v>
      </c>
      <c r="E916" s="110" t="s">
        <v>18989</v>
      </c>
      <c r="F916" s="131" t="s">
        <v>31</v>
      </c>
      <c r="G916" s="133">
        <v>3.7799999999999998</v>
      </c>
      <c r="H916" s="134">
        <v>3.7799999999999998</v>
      </c>
      <c r="I916" s="131" t="s">
        <v>17171</v>
      </c>
      <c r="J916" s="88"/>
    </row>
    <row r="917">
      <c r="A917" s="108">
        <v>7533</v>
      </c>
      <c r="B917" s="131" t="s">
        <v>17455</v>
      </c>
      <c r="C917" s="132" t="s">
        <v>18990</v>
      </c>
      <c r="D917" s="131" t="s">
        <v>17457</v>
      </c>
      <c r="E917" s="110" t="s">
        <v>18991</v>
      </c>
      <c r="F917" s="131" t="s">
        <v>17457</v>
      </c>
      <c r="G917" s="133">
        <v>32.759999999999998</v>
      </c>
      <c r="H917" s="134">
        <v>32.759999999999998</v>
      </c>
      <c r="I917" s="131" t="s">
        <v>17171</v>
      </c>
      <c r="J917" s="88"/>
    </row>
    <row r="918" ht="25.5">
      <c r="A918" s="108">
        <v>6428</v>
      </c>
      <c r="B918" s="131" t="s">
        <v>17168</v>
      </c>
      <c r="C918" s="132" t="s">
        <v>18992</v>
      </c>
      <c r="D918" s="131" t="s">
        <v>31</v>
      </c>
      <c r="E918" s="110" t="s">
        <v>18993</v>
      </c>
      <c r="F918" s="131" t="s">
        <v>31</v>
      </c>
      <c r="G918" s="133">
        <v>1.9399999999999999</v>
      </c>
      <c r="H918" s="134">
        <v>1.9399999999999999</v>
      </c>
      <c r="I918" s="131" t="s">
        <v>17171</v>
      </c>
      <c r="J918" s="88"/>
    </row>
    <row r="919" ht="25.5">
      <c r="A919" s="108">
        <v>2395</v>
      </c>
      <c r="B919" s="131" t="s">
        <v>17429</v>
      </c>
      <c r="C919" s="132" t="s">
        <v>18994</v>
      </c>
      <c r="D919" s="131" t="s">
        <v>31</v>
      </c>
      <c r="E919" s="110" t="s">
        <v>18995</v>
      </c>
      <c r="F919" s="131" t="s">
        <v>31</v>
      </c>
      <c r="G919" s="133">
        <v>50.420000000000002</v>
      </c>
      <c r="H919" s="134">
        <v>50.420000000000002</v>
      </c>
      <c r="I919" s="131" t="s">
        <v>17190</v>
      </c>
      <c r="J919" s="88"/>
    </row>
    <row r="920" ht="51">
      <c r="A920" s="108">
        <v>6079</v>
      </c>
      <c r="B920" s="131" t="s">
        <v>18996</v>
      </c>
      <c r="C920" s="132" t="s">
        <v>18997</v>
      </c>
      <c r="D920" s="131" t="s">
        <v>31</v>
      </c>
      <c r="E920" s="110" t="s">
        <v>18998</v>
      </c>
      <c r="F920" s="131" t="s">
        <v>31</v>
      </c>
      <c r="G920" s="133">
        <v>3631.52</v>
      </c>
      <c r="H920" s="134">
        <v>3631.52</v>
      </c>
      <c r="I920" s="131" t="s">
        <v>17190</v>
      </c>
      <c r="J920" s="88"/>
    </row>
    <row r="921" ht="25.5">
      <c r="A921" s="108">
        <v>8545</v>
      </c>
      <c r="B921" s="131" t="s">
        <v>17492</v>
      </c>
      <c r="C921" s="132" t="s">
        <v>18999</v>
      </c>
      <c r="D921" s="131" t="s">
        <v>31</v>
      </c>
      <c r="E921" s="110" t="s">
        <v>19000</v>
      </c>
      <c r="F921" s="131" t="s">
        <v>31</v>
      </c>
      <c r="G921" s="133">
        <v>0.57999999999999996</v>
      </c>
      <c r="H921" s="134">
        <v>0.57999999999999996</v>
      </c>
      <c r="I921" s="131" t="s">
        <v>17171</v>
      </c>
      <c r="J921" s="88"/>
    </row>
    <row r="922" ht="38.25">
      <c r="A922" s="108">
        <v>1644</v>
      </c>
      <c r="B922" s="131" t="s">
        <v>17273</v>
      </c>
      <c r="C922" s="132" t="s">
        <v>19001</v>
      </c>
      <c r="D922" s="131" t="s">
        <v>31</v>
      </c>
      <c r="E922" s="110" t="s">
        <v>19002</v>
      </c>
      <c r="F922" s="131" t="s">
        <v>31</v>
      </c>
      <c r="G922" s="133">
        <v>0.62</v>
      </c>
      <c r="H922" s="134">
        <v>0.62</v>
      </c>
      <c r="I922" s="131" t="s">
        <v>17190</v>
      </c>
      <c r="J922" s="88"/>
    </row>
    <row r="923" ht="25.5">
      <c r="A923" s="108">
        <v>6521</v>
      </c>
      <c r="B923" s="131" t="s">
        <v>17531</v>
      </c>
      <c r="C923" s="132" t="s">
        <v>19003</v>
      </c>
      <c r="D923" s="131" t="s">
        <v>31</v>
      </c>
      <c r="E923" s="110" t="s">
        <v>19004</v>
      </c>
      <c r="F923" s="131" t="s">
        <v>31</v>
      </c>
      <c r="G923" s="133">
        <v>13.119999999999999</v>
      </c>
      <c r="H923" s="134">
        <v>13.119999999999999</v>
      </c>
      <c r="I923" s="131" t="s">
        <v>17190</v>
      </c>
      <c r="J923" s="88"/>
    </row>
    <row r="924" ht="25.5">
      <c r="A924" s="108">
        <v>7261</v>
      </c>
      <c r="B924" s="131" t="s">
        <v>17398</v>
      </c>
      <c r="C924" s="132" t="s">
        <v>19005</v>
      </c>
      <c r="D924" s="131" t="s">
        <v>31</v>
      </c>
      <c r="E924" s="110" t="s">
        <v>19006</v>
      </c>
      <c r="F924" s="131" t="s">
        <v>31</v>
      </c>
      <c r="G924" s="133">
        <v>7.3399999999999999</v>
      </c>
      <c r="H924" s="134">
        <v>7.3399999999999999</v>
      </c>
      <c r="I924" s="131" t="s">
        <v>17171</v>
      </c>
      <c r="J924" s="88"/>
    </row>
    <row r="925" ht="25.5">
      <c r="A925" s="108">
        <v>7260</v>
      </c>
      <c r="B925" s="131" t="s">
        <v>17398</v>
      </c>
      <c r="C925" s="132" t="s">
        <v>19007</v>
      </c>
      <c r="D925" s="131" t="s">
        <v>31</v>
      </c>
      <c r="E925" s="110" t="s">
        <v>19008</v>
      </c>
      <c r="F925" s="131" t="s">
        <v>31</v>
      </c>
      <c r="G925" s="133">
        <v>2.1600000000000001</v>
      </c>
      <c r="H925" s="134">
        <v>2.1600000000000001</v>
      </c>
      <c r="I925" s="131" t="s">
        <v>17171</v>
      </c>
      <c r="J925" s="88"/>
    </row>
    <row r="926">
      <c r="A926" s="108">
        <v>3320</v>
      </c>
      <c r="B926" s="131" t="s">
        <v>17407</v>
      </c>
      <c r="C926" s="132" t="s">
        <v>19009</v>
      </c>
      <c r="D926" s="131" t="s">
        <v>31</v>
      </c>
      <c r="E926" s="110" t="s">
        <v>19010</v>
      </c>
      <c r="F926" s="131" t="s">
        <v>31</v>
      </c>
      <c r="G926" s="133">
        <v>32.719999999999999</v>
      </c>
      <c r="H926" s="134">
        <v>32.719999999999999</v>
      </c>
      <c r="I926" s="131" t="s">
        <v>17171</v>
      </c>
      <c r="J926" s="88"/>
    </row>
    <row r="927" ht="38.25">
      <c r="A927" s="108">
        <v>7352</v>
      </c>
      <c r="B927" s="131" t="s">
        <v>17531</v>
      </c>
      <c r="C927" s="132" t="s">
        <v>19011</v>
      </c>
      <c r="D927" s="131" t="s">
        <v>31</v>
      </c>
      <c r="E927" s="110" t="s">
        <v>19012</v>
      </c>
      <c r="F927" s="131" t="s">
        <v>31</v>
      </c>
      <c r="G927" s="133">
        <v>12.130000000000001</v>
      </c>
      <c r="H927" s="134">
        <v>12.130000000000001</v>
      </c>
      <c r="I927" s="131" t="s">
        <v>17190</v>
      </c>
      <c r="J927" s="88"/>
    </row>
    <row r="928" ht="38.25">
      <c r="A928" s="108">
        <v>7036</v>
      </c>
      <c r="B928" s="131" t="s">
        <v>17398</v>
      </c>
      <c r="C928" s="132" t="s">
        <v>19013</v>
      </c>
      <c r="D928" s="131" t="s">
        <v>31</v>
      </c>
      <c r="E928" s="110" t="s">
        <v>19014</v>
      </c>
      <c r="F928" s="131" t="s">
        <v>31</v>
      </c>
      <c r="G928" s="133">
        <v>7.1699999999999999</v>
      </c>
      <c r="H928" s="134">
        <v>7.1699999999999999</v>
      </c>
      <c r="I928" s="131" t="s">
        <v>17190</v>
      </c>
      <c r="J928" s="88"/>
    </row>
    <row r="929" ht="25.5">
      <c r="A929" s="108">
        <v>7263</v>
      </c>
      <c r="B929" s="131" t="s">
        <v>17398</v>
      </c>
      <c r="C929" s="132" t="s">
        <v>19015</v>
      </c>
      <c r="D929" s="131" t="s">
        <v>31</v>
      </c>
      <c r="E929" s="110" t="s">
        <v>19016</v>
      </c>
      <c r="F929" s="131" t="s">
        <v>31</v>
      </c>
      <c r="G929" s="133">
        <v>34.710000000000001</v>
      </c>
      <c r="H929" s="134">
        <v>34.710000000000001</v>
      </c>
      <c r="I929" s="131" t="s">
        <v>17171</v>
      </c>
      <c r="J929" s="88"/>
    </row>
    <row r="930" ht="25.5">
      <c r="A930" s="108">
        <v>7262</v>
      </c>
      <c r="B930" s="131" t="s">
        <v>17398</v>
      </c>
      <c r="C930" s="132" t="s">
        <v>19017</v>
      </c>
      <c r="D930" s="131" t="s">
        <v>31</v>
      </c>
      <c r="E930" s="110" t="s">
        <v>19018</v>
      </c>
      <c r="F930" s="131" t="s">
        <v>31</v>
      </c>
      <c r="G930" s="133">
        <v>15.84</v>
      </c>
      <c r="H930" s="134">
        <v>15.84</v>
      </c>
      <c r="I930" s="131" t="s">
        <v>17171</v>
      </c>
      <c r="J930" s="88"/>
    </row>
    <row r="931" ht="38.25">
      <c r="A931" s="108">
        <v>3315</v>
      </c>
      <c r="B931" s="131" t="s">
        <v>17531</v>
      </c>
      <c r="C931" s="132" t="s">
        <v>19019</v>
      </c>
      <c r="D931" s="131" t="s">
        <v>31</v>
      </c>
      <c r="E931" s="110" t="s">
        <v>19020</v>
      </c>
      <c r="F931" s="131" t="s">
        <v>31</v>
      </c>
      <c r="G931" s="133">
        <v>10.85</v>
      </c>
      <c r="H931" s="134">
        <v>10.85</v>
      </c>
      <c r="I931" s="131" t="s">
        <v>17190</v>
      </c>
      <c r="J931" s="88"/>
    </row>
    <row r="932" ht="38.25">
      <c r="A932" s="108">
        <v>7033</v>
      </c>
      <c r="B932" s="131" t="s">
        <v>17398</v>
      </c>
      <c r="C932" s="132" t="s">
        <v>19021</v>
      </c>
      <c r="D932" s="131" t="s">
        <v>31</v>
      </c>
      <c r="E932" s="110" t="s">
        <v>19022</v>
      </c>
      <c r="F932" s="131" t="s">
        <v>31</v>
      </c>
      <c r="G932" s="133">
        <v>11.94</v>
      </c>
      <c r="H932" s="134">
        <v>11.94</v>
      </c>
      <c r="I932" s="131" t="s">
        <v>17190</v>
      </c>
      <c r="J932" s="88"/>
    </row>
    <row r="933" ht="38.25">
      <c r="A933" s="108">
        <v>3312</v>
      </c>
      <c r="B933" s="131" t="s">
        <v>17531</v>
      </c>
      <c r="C933" s="132" t="s">
        <v>19023</v>
      </c>
      <c r="D933" s="131" t="s">
        <v>31</v>
      </c>
      <c r="E933" s="110" t="s">
        <v>19024</v>
      </c>
      <c r="F933" s="131" t="s">
        <v>31</v>
      </c>
      <c r="G933" s="133">
        <v>14.42</v>
      </c>
      <c r="H933" s="134">
        <v>14.42</v>
      </c>
      <c r="I933" s="131" t="s">
        <v>17190</v>
      </c>
      <c r="J933" s="88"/>
    </row>
    <row r="934" ht="38.25">
      <c r="A934" s="108">
        <v>7034</v>
      </c>
      <c r="B934" s="131" t="s">
        <v>17398</v>
      </c>
      <c r="C934" s="132" t="s">
        <v>19025</v>
      </c>
      <c r="D934" s="131" t="s">
        <v>31</v>
      </c>
      <c r="E934" s="110" t="s">
        <v>19026</v>
      </c>
      <c r="F934" s="131" t="s">
        <v>31</v>
      </c>
      <c r="G934" s="133">
        <v>15.91</v>
      </c>
      <c r="H934" s="134">
        <v>15.91</v>
      </c>
      <c r="I934" s="131" t="s">
        <v>17190</v>
      </c>
      <c r="J934" s="88"/>
    </row>
    <row r="935" ht="38.25">
      <c r="A935" s="108">
        <v>1534</v>
      </c>
      <c r="B935" s="131" t="s">
        <v>17273</v>
      </c>
      <c r="C935" s="132" t="s">
        <v>19027</v>
      </c>
      <c r="D935" s="131" t="s">
        <v>31</v>
      </c>
      <c r="E935" s="110" t="s">
        <v>19028</v>
      </c>
      <c r="F935" s="131" t="s">
        <v>31</v>
      </c>
      <c r="G935" s="133">
        <v>21.34</v>
      </c>
      <c r="H935" s="134">
        <v>21.34</v>
      </c>
      <c r="I935" s="131" t="s">
        <v>17190</v>
      </c>
      <c r="J935" s="88"/>
    </row>
    <row r="936" ht="38.25">
      <c r="A936" s="108">
        <v>2385</v>
      </c>
      <c r="B936" s="131" t="s">
        <v>17429</v>
      </c>
      <c r="C936" s="132" t="s">
        <v>19029</v>
      </c>
      <c r="D936" s="131" t="s">
        <v>31</v>
      </c>
      <c r="E936" s="110" t="s">
        <v>19030</v>
      </c>
      <c r="F936" s="131" t="s">
        <v>31</v>
      </c>
      <c r="G936" s="133">
        <v>23.109999999999999</v>
      </c>
      <c r="H936" s="134">
        <v>23.109999999999999</v>
      </c>
      <c r="I936" s="131" t="s">
        <v>17190</v>
      </c>
      <c r="J936" s="88"/>
    </row>
    <row r="937" ht="38.25">
      <c r="A937" s="108">
        <v>6433</v>
      </c>
      <c r="B937" s="131" t="s">
        <v>17429</v>
      </c>
      <c r="C937" s="132" t="s">
        <v>19031</v>
      </c>
      <c r="D937" s="131" t="s">
        <v>31</v>
      </c>
      <c r="E937" s="110" t="s">
        <v>19032</v>
      </c>
      <c r="F937" s="131" t="s">
        <v>31</v>
      </c>
      <c r="G937" s="133">
        <v>31.170000000000002</v>
      </c>
      <c r="H937" s="134">
        <v>31.170000000000002</v>
      </c>
      <c r="I937" s="131" t="s">
        <v>17190</v>
      </c>
      <c r="J937" s="88"/>
    </row>
    <row r="938" ht="38.25">
      <c r="A938" s="108">
        <v>1130</v>
      </c>
      <c r="B938" s="131" t="s">
        <v>18028</v>
      </c>
      <c r="C938" s="132" t="s">
        <v>19033</v>
      </c>
      <c r="D938" s="131" t="s">
        <v>31</v>
      </c>
      <c r="E938" s="110" t="s">
        <v>19034</v>
      </c>
      <c r="F938" s="131" t="s">
        <v>31</v>
      </c>
      <c r="G938" s="133">
        <v>0.94999999999999996</v>
      </c>
      <c r="H938" s="134">
        <v>0.94999999999999996</v>
      </c>
      <c r="I938" s="131" t="s">
        <v>17190</v>
      </c>
      <c r="J938" s="88"/>
    </row>
    <row r="939" ht="25.5">
      <c r="A939" s="108">
        <v>6394</v>
      </c>
      <c r="B939" s="131" t="s">
        <v>17273</v>
      </c>
      <c r="C939" s="132" t="s">
        <v>19035</v>
      </c>
      <c r="D939" s="131" t="s">
        <v>12544</v>
      </c>
      <c r="E939" s="110" t="s">
        <v>19036</v>
      </c>
      <c r="F939" s="131" t="s">
        <v>12544</v>
      </c>
      <c r="G939" s="133">
        <v>37.869999999999997</v>
      </c>
      <c r="H939" s="134">
        <v>37.869999999999997</v>
      </c>
      <c r="I939" s="131" t="s">
        <v>17190</v>
      </c>
      <c r="J939" s="88"/>
    </row>
    <row r="940" ht="25.5">
      <c r="A940" s="108">
        <v>1642</v>
      </c>
      <c r="B940" s="131" t="s">
        <v>17273</v>
      </c>
      <c r="C940" s="132" t="s">
        <v>19037</v>
      </c>
      <c r="D940" s="131" t="s">
        <v>31</v>
      </c>
      <c r="E940" s="110" t="s">
        <v>19038</v>
      </c>
      <c r="F940" s="131" t="s">
        <v>31</v>
      </c>
      <c r="G940" s="133">
        <v>0.31</v>
      </c>
      <c r="H940" s="134">
        <v>0.31</v>
      </c>
      <c r="I940" s="131" t="s">
        <v>17190</v>
      </c>
      <c r="J940" s="88"/>
    </row>
    <row r="941" ht="25.5">
      <c r="A941" s="108">
        <v>1577</v>
      </c>
      <c r="B941" s="131" t="s">
        <v>17273</v>
      </c>
      <c r="C941" s="132" t="s">
        <v>19039</v>
      </c>
      <c r="D941" s="131" t="s">
        <v>31</v>
      </c>
      <c r="E941" s="110" t="s">
        <v>19040</v>
      </c>
      <c r="F941" s="131" t="s">
        <v>31</v>
      </c>
      <c r="G941" s="133">
        <v>0.93000000000000005</v>
      </c>
      <c r="H941" s="134">
        <v>0.93000000000000005</v>
      </c>
      <c r="I941" s="131" t="s">
        <v>17190</v>
      </c>
      <c r="J941" s="88"/>
    </row>
    <row r="942">
      <c r="A942" s="108">
        <v>3451</v>
      </c>
      <c r="B942" s="131" t="s">
        <v>17407</v>
      </c>
      <c r="C942" s="132" t="s">
        <v>19041</v>
      </c>
      <c r="D942" s="131" t="s">
        <v>31</v>
      </c>
      <c r="E942" s="110" t="s">
        <v>19042</v>
      </c>
      <c r="F942" s="131" t="s">
        <v>31</v>
      </c>
      <c r="G942" s="133">
        <v>232.74000000000001</v>
      </c>
      <c r="H942" s="134">
        <v>232.74000000000001</v>
      </c>
      <c r="I942" s="131" t="s">
        <v>17171</v>
      </c>
      <c r="J942" s="88"/>
    </row>
    <row r="943" ht="25.5">
      <c r="A943" s="108">
        <v>3453</v>
      </c>
      <c r="B943" s="131" t="s">
        <v>17407</v>
      </c>
      <c r="C943" s="132" t="s">
        <v>19043</v>
      </c>
      <c r="D943" s="131" t="s">
        <v>31</v>
      </c>
      <c r="E943" s="110" t="s">
        <v>19044</v>
      </c>
      <c r="F943" s="131" t="s">
        <v>31</v>
      </c>
      <c r="G943" s="133">
        <v>225.83000000000001</v>
      </c>
      <c r="H943" s="134">
        <v>225.83000000000001</v>
      </c>
      <c r="I943" s="131" t="s">
        <v>17190</v>
      </c>
      <c r="J943" s="88"/>
    </row>
    <row r="944" ht="51">
      <c r="A944" s="108">
        <v>1861</v>
      </c>
      <c r="B944" s="131" t="s">
        <v>17215</v>
      </c>
      <c r="C944" s="132" t="s">
        <v>19045</v>
      </c>
      <c r="D944" s="131" t="s">
        <v>29</v>
      </c>
      <c r="E944" s="110" t="s">
        <v>19046</v>
      </c>
      <c r="F944" s="131" t="s">
        <v>29</v>
      </c>
      <c r="G944" s="133">
        <v>107.97</v>
      </c>
      <c r="H944" s="134">
        <v>104.54000000000001</v>
      </c>
      <c r="I944" s="131" t="s">
        <v>17190</v>
      </c>
      <c r="J944" s="88"/>
    </row>
    <row r="945" ht="51">
      <c r="A945" s="108">
        <v>1862</v>
      </c>
      <c r="B945" s="131" t="s">
        <v>17215</v>
      </c>
      <c r="C945" s="132" t="s">
        <v>19047</v>
      </c>
      <c r="D945" s="131" t="s">
        <v>29</v>
      </c>
      <c r="E945" s="110" t="s">
        <v>19048</v>
      </c>
      <c r="F945" s="131" t="s">
        <v>29</v>
      </c>
      <c r="G945" s="133">
        <v>134.91</v>
      </c>
      <c r="H945" s="134">
        <v>129.99000000000001</v>
      </c>
      <c r="I945" s="131" t="s">
        <v>17190</v>
      </c>
      <c r="J945" s="88"/>
    </row>
    <row r="946" ht="38.25">
      <c r="A946" s="108">
        <v>1859</v>
      </c>
      <c r="B946" s="131" t="s">
        <v>17215</v>
      </c>
      <c r="C946" s="132" t="s">
        <v>19049</v>
      </c>
      <c r="D946" s="131" t="s">
        <v>29</v>
      </c>
      <c r="E946" s="110" t="s">
        <v>19050</v>
      </c>
      <c r="F946" s="131" t="s">
        <v>29</v>
      </c>
      <c r="G946" s="133">
        <v>93.469999999999999</v>
      </c>
      <c r="H946" s="134">
        <v>90.75</v>
      </c>
      <c r="I946" s="131" t="s">
        <v>17190</v>
      </c>
      <c r="J946" s="88"/>
    </row>
    <row r="947" ht="51">
      <c r="A947" s="108">
        <v>1863</v>
      </c>
      <c r="B947" s="131" t="s">
        <v>17215</v>
      </c>
      <c r="C947" s="132" t="s">
        <v>19051</v>
      </c>
      <c r="D947" s="131" t="s">
        <v>29</v>
      </c>
      <c r="E947" s="110" t="s">
        <v>19052</v>
      </c>
      <c r="F947" s="131" t="s">
        <v>29</v>
      </c>
      <c r="G947" s="133">
        <v>86.359999999999999</v>
      </c>
      <c r="H947" s="134">
        <v>84.400000000000006</v>
      </c>
      <c r="I947" s="131" t="s">
        <v>17190</v>
      </c>
      <c r="J947" s="88"/>
    </row>
    <row r="948" ht="51">
      <c r="A948" s="108">
        <v>1864</v>
      </c>
      <c r="B948" s="131" t="s">
        <v>17215</v>
      </c>
      <c r="C948" s="132" t="s">
        <v>19053</v>
      </c>
      <c r="D948" s="131" t="s">
        <v>29</v>
      </c>
      <c r="E948" s="110" t="s">
        <v>19054</v>
      </c>
      <c r="F948" s="131" t="s">
        <v>29</v>
      </c>
      <c r="G948" s="133">
        <v>107.81</v>
      </c>
      <c r="H948" s="134">
        <v>104.79000000000001</v>
      </c>
      <c r="I948" s="131" t="s">
        <v>17190</v>
      </c>
      <c r="J948" s="88"/>
    </row>
    <row r="949" ht="38.25">
      <c r="A949" s="108">
        <v>1860</v>
      </c>
      <c r="B949" s="131" t="s">
        <v>17215</v>
      </c>
      <c r="C949" s="132" t="s">
        <v>19055</v>
      </c>
      <c r="D949" s="131" t="s">
        <v>29</v>
      </c>
      <c r="E949" s="110" t="s">
        <v>19056</v>
      </c>
      <c r="F949" s="131" t="s">
        <v>29</v>
      </c>
      <c r="G949" s="133">
        <v>74.950000000000003</v>
      </c>
      <c r="H949" s="134">
        <v>73.480000000000004</v>
      </c>
      <c r="I949" s="131" t="s">
        <v>17190</v>
      </c>
      <c r="J949" s="88"/>
    </row>
    <row r="950" ht="38.25">
      <c r="A950" s="108">
        <v>6113</v>
      </c>
      <c r="B950" s="131" t="s">
        <v>17273</v>
      </c>
      <c r="C950" s="132" t="s">
        <v>19057</v>
      </c>
      <c r="D950" s="131" t="s">
        <v>31</v>
      </c>
      <c r="E950" s="110" t="s">
        <v>19058</v>
      </c>
      <c r="F950" s="131" t="s">
        <v>31</v>
      </c>
      <c r="G950" s="133">
        <v>31.440000000000001</v>
      </c>
      <c r="H950" s="134">
        <v>31.440000000000001</v>
      </c>
      <c r="I950" s="131" t="s">
        <v>17190</v>
      </c>
      <c r="J950" s="88"/>
    </row>
    <row r="951" ht="25.5">
      <c r="A951" s="108">
        <v>1651</v>
      </c>
      <c r="B951" s="131" t="s">
        <v>17273</v>
      </c>
      <c r="C951" s="132" t="s">
        <v>19059</v>
      </c>
      <c r="D951" s="131" t="s">
        <v>31</v>
      </c>
      <c r="E951" s="110" t="s">
        <v>19060</v>
      </c>
      <c r="F951" s="131" t="s">
        <v>31</v>
      </c>
      <c r="G951" s="133">
        <v>17.109999999999999</v>
      </c>
      <c r="H951" s="134">
        <v>17.109999999999999</v>
      </c>
      <c r="I951" s="131" t="s">
        <v>17190</v>
      </c>
      <c r="J951" s="88"/>
    </row>
    <row r="952" ht="25.5">
      <c r="A952" s="108">
        <v>1652</v>
      </c>
      <c r="B952" s="131" t="s">
        <v>17273</v>
      </c>
      <c r="C952" s="132" t="s">
        <v>19061</v>
      </c>
      <c r="D952" s="131" t="s">
        <v>31</v>
      </c>
      <c r="E952" s="110" t="s">
        <v>19062</v>
      </c>
      <c r="F952" s="131" t="s">
        <v>31</v>
      </c>
      <c r="G952" s="133">
        <v>32.539999999999999</v>
      </c>
      <c r="H952" s="134">
        <v>32.539999999999999</v>
      </c>
      <c r="I952" s="131" t="s">
        <v>17190</v>
      </c>
      <c r="J952" s="88"/>
    </row>
    <row r="953" ht="38.25">
      <c r="A953" s="108">
        <v>1672</v>
      </c>
      <c r="B953" s="131" t="s">
        <v>17273</v>
      </c>
      <c r="C953" s="132" t="s">
        <v>19063</v>
      </c>
      <c r="D953" s="131" t="s">
        <v>121</v>
      </c>
      <c r="E953" s="110" t="s">
        <v>19064</v>
      </c>
      <c r="F953" s="131" t="s">
        <v>121</v>
      </c>
      <c r="G953" s="133">
        <v>2062.9499999999998</v>
      </c>
      <c r="H953" s="134">
        <v>2009.6700000000001</v>
      </c>
      <c r="I953" s="131" t="s">
        <v>17190</v>
      </c>
      <c r="J953" s="88"/>
    </row>
    <row r="954" ht="25.5">
      <c r="A954" s="108">
        <v>6436</v>
      </c>
      <c r="B954" s="131" t="s">
        <v>17235</v>
      </c>
      <c r="C954" s="132" t="s">
        <v>19065</v>
      </c>
      <c r="D954" s="131" t="s">
        <v>31</v>
      </c>
      <c r="E954" s="110" t="s">
        <v>19066</v>
      </c>
      <c r="F954" s="131" t="s">
        <v>31</v>
      </c>
      <c r="G954" s="133">
        <v>829.51999999999998</v>
      </c>
      <c r="H954" s="134">
        <v>829.51999999999998</v>
      </c>
      <c r="I954" s="131" t="s">
        <v>17171</v>
      </c>
      <c r="J954" s="88"/>
    </row>
    <row r="955" ht="25.5">
      <c r="A955" s="108">
        <v>1021</v>
      </c>
      <c r="B955" s="131" t="s">
        <v>17198</v>
      </c>
      <c r="C955" s="132" t="s">
        <v>19067</v>
      </c>
      <c r="D955" s="131" t="s">
        <v>121</v>
      </c>
      <c r="E955" s="110" t="s">
        <v>19068</v>
      </c>
      <c r="F955" s="131" t="s">
        <v>121</v>
      </c>
      <c r="G955" s="133">
        <v>112.48</v>
      </c>
      <c r="H955" s="134">
        <v>112.48</v>
      </c>
      <c r="I955" s="131" t="s">
        <v>17190</v>
      </c>
      <c r="J955" s="88"/>
    </row>
    <row r="956" ht="25.5">
      <c r="A956" s="108">
        <v>1019</v>
      </c>
      <c r="B956" s="131" t="s">
        <v>17198</v>
      </c>
      <c r="C956" s="132" t="s">
        <v>19069</v>
      </c>
      <c r="D956" s="131" t="s">
        <v>121</v>
      </c>
      <c r="E956" s="110" t="s">
        <v>19070</v>
      </c>
      <c r="F956" s="131" t="s">
        <v>121</v>
      </c>
      <c r="G956" s="133">
        <v>97.420000000000002</v>
      </c>
      <c r="H956" s="134">
        <v>97.420000000000002</v>
      </c>
      <c r="I956" s="131" t="s">
        <v>17190</v>
      </c>
      <c r="J956" s="88"/>
    </row>
    <row r="957" ht="25.5">
      <c r="A957" s="108">
        <v>1022</v>
      </c>
      <c r="B957" s="131" t="s">
        <v>17198</v>
      </c>
      <c r="C957" s="132" t="s">
        <v>19071</v>
      </c>
      <c r="D957" s="131" t="s">
        <v>121</v>
      </c>
      <c r="E957" s="110" t="s">
        <v>19072</v>
      </c>
      <c r="F957" s="131" t="s">
        <v>121</v>
      </c>
      <c r="G957" s="133">
        <v>97.939999999999998</v>
      </c>
      <c r="H957" s="134">
        <v>97.939999999999998</v>
      </c>
      <c r="I957" s="131" t="s">
        <v>17190</v>
      </c>
      <c r="J957" s="88"/>
    </row>
    <row r="958" ht="38.25">
      <c r="A958" s="108">
        <v>1135</v>
      </c>
      <c r="B958" s="131" t="s">
        <v>17198</v>
      </c>
      <c r="C958" s="132" t="s">
        <v>19073</v>
      </c>
      <c r="D958" s="131" t="s">
        <v>121</v>
      </c>
      <c r="E958" s="110" t="s">
        <v>19074</v>
      </c>
      <c r="F958" s="131" t="s">
        <v>121</v>
      </c>
      <c r="G958" s="133">
        <v>91.569999999999993</v>
      </c>
      <c r="H958" s="134">
        <v>91.569999999999993</v>
      </c>
      <c r="I958" s="131" t="s">
        <v>17190</v>
      </c>
      <c r="J958" s="88"/>
    </row>
    <row r="959" ht="25.5">
      <c r="A959" s="108">
        <v>4011</v>
      </c>
      <c r="B959" s="131" t="s">
        <v>17250</v>
      </c>
      <c r="C959" s="132" t="s">
        <v>19075</v>
      </c>
      <c r="D959" s="131" t="s">
        <v>2032</v>
      </c>
      <c r="E959" s="110" t="s">
        <v>19076</v>
      </c>
      <c r="F959" s="131" t="s">
        <v>2032</v>
      </c>
      <c r="G959" s="133">
        <v>25.75</v>
      </c>
      <c r="H959" s="134">
        <v>23.760000000000002</v>
      </c>
      <c r="I959" s="131" t="s">
        <v>17190</v>
      </c>
      <c r="J959" s="88"/>
    </row>
    <row r="960" ht="25.5">
      <c r="A960" s="108">
        <v>6024</v>
      </c>
      <c r="B960" s="131" t="s">
        <v>17187</v>
      </c>
      <c r="C960" s="132" t="s">
        <v>19077</v>
      </c>
      <c r="D960" s="131" t="s">
        <v>29</v>
      </c>
      <c r="E960" s="110" t="s">
        <v>19078</v>
      </c>
      <c r="F960" s="131" t="s">
        <v>29</v>
      </c>
      <c r="G960" s="133">
        <v>94.340000000000003</v>
      </c>
      <c r="H960" s="134">
        <v>94.340000000000003</v>
      </c>
      <c r="I960" s="131" t="s">
        <v>17190</v>
      </c>
      <c r="J960" s="88"/>
    </row>
    <row r="961">
      <c r="A961" s="108">
        <v>7518</v>
      </c>
      <c r="B961" s="131" t="s">
        <v>17455</v>
      </c>
      <c r="C961" s="132" t="s">
        <v>19079</v>
      </c>
      <c r="D961" s="131" t="s">
        <v>17457</v>
      </c>
      <c r="E961" s="110" t="s">
        <v>19080</v>
      </c>
      <c r="F961" s="131" t="s">
        <v>17457</v>
      </c>
      <c r="G961" s="133">
        <v>15.539999999999999</v>
      </c>
      <c r="H961" s="134">
        <v>15.539999999999999</v>
      </c>
      <c r="I961" s="131" t="s">
        <v>17171</v>
      </c>
      <c r="J961" s="88"/>
    </row>
    <row r="962">
      <c r="A962" s="108">
        <v>7513</v>
      </c>
      <c r="B962" s="131" t="s">
        <v>17455</v>
      </c>
      <c r="C962" s="132" t="s">
        <v>19081</v>
      </c>
      <c r="D962" s="131" t="s">
        <v>17457</v>
      </c>
      <c r="E962" s="110" t="s">
        <v>19082</v>
      </c>
      <c r="F962" s="131" t="s">
        <v>17457</v>
      </c>
      <c r="G962" s="133">
        <v>46.200000000000003</v>
      </c>
      <c r="H962" s="134">
        <v>46.200000000000003</v>
      </c>
      <c r="I962" s="131" t="s">
        <v>17171</v>
      </c>
      <c r="J962" s="88"/>
    </row>
    <row r="963">
      <c r="A963" s="108">
        <v>7512</v>
      </c>
      <c r="B963" s="131" t="s">
        <v>17455</v>
      </c>
      <c r="C963" s="132" t="s">
        <v>19083</v>
      </c>
      <c r="D963" s="131" t="s">
        <v>17457</v>
      </c>
      <c r="E963" s="110" t="s">
        <v>19084</v>
      </c>
      <c r="F963" s="131" t="s">
        <v>17457</v>
      </c>
      <c r="G963" s="133">
        <v>47.100000000000001</v>
      </c>
      <c r="H963" s="134">
        <v>47.100000000000001</v>
      </c>
      <c r="I963" s="131" t="s">
        <v>17171</v>
      </c>
      <c r="J963" s="88"/>
    </row>
    <row r="964">
      <c r="A964" s="108">
        <v>7511</v>
      </c>
      <c r="B964" s="131" t="s">
        <v>17455</v>
      </c>
      <c r="C964" s="132" t="s">
        <v>19085</v>
      </c>
      <c r="D964" s="131" t="s">
        <v>17457</v>
      </c>
      <c r="E964" s="110" t="s">
        <v>19086</v>
      </c>
      <c r="F964" s="131" t="s">
        <v>17457</v>
      </c>
      <c r="G964" s="133">
        <v>65.939999999999998</v>
      </c>
      <c r="H964" s="134">
        <v>65.939999999999998</v>
      </c>
      <c r="I964" s="131" t="s">
        <v>17171</v>
      </c>
      <c r="J964" s="88"/>
    </row>
    <row r="965">
      <c r="A965" s="108">
        <v>7509</v>
      </c>
      <c r="B965" s="131" t="s">
        <v>17455</v>
      </c>
      <c r="C965" s="132" t="s">
        <v>19087</v>
      </c>
      <c r="D965" s="131" t="s">
        <v>17457</v>
      </c>
      <c r="E965" s="110" t="s">
        <v>19088</v>
      </c>
      <c r="F965" s="131" t="s">
        <v>17457</v>
      </c>
      <c r="G965" s="133">
        <v>61.880000000000003</v>
      </c>
      <c r="H965" s="134">
        <v>61.880000000000003</v>
      </c>
      <c r="I965" s="131" t="s">
        <v>17171</v>
      </c>
      <c r="J965" s="88"/>
    </row>
    <row r="966">
      <c r="A966" s="108">
        <v>7517</v>
      </c>
      <c r="B966" s="131" t="s">
        <v>17455</v>
      </c>
      <c r="C966" s="132" t="s">
        <v>19089</v>
      </c>
      <c r="D966" s="131" t="s">
        <v>17457</v>
      </c>
      <c r="E966" s="110" t="s">
        <v>19090</v>
      </c>
      <c r="F966" s="131" t="s">
        <v>17457</v>
      </c>
      <c r="G966" s="133">
        <v>61.710000000000001</v>
      </c>
      <c r="H966" s="134">
        <v>61.710000000000001</v>
      </c>
      <c r="I966" s="131" t="s">
        <v>17171</v>
      </c>
      <c r="J966" s="88"/>
    </row>
    <row r="967" ht="38.25">
      <c r="A967" s="108">
        <v>1597</v>
      </c>
      <c r="B967" s="131" t="s">
        <v>17273</v>
      </c>
      <c r="C967" s="132" t="s">
        <v>19091</v>
      </c>
      <c r="D967" s="131" t="s">
        <v>302</v>
      </c>
      <c r="E967" s="110" t="s">
        <v>19092</v>
      </c>
      <c r="F967" s="131" t="s">
        <v>302</v>
      </c>
      <c r="G967" s="133">
        <v>9.8499999999999996</v>
      </c>
      <c r="H967" s="134">
        <v>9.8499999999999996</v>
      </c>
      <c r="I967" s="131" t="s">
        <v>17190</v>
      </c>
      <c r="J967" s="88"/>
    </row>
    <row r="968" ht="38.25">
      <c r="A968" s="108">
        <v>1570</v>
      </c>
      <c r="B968" s="131" t="s">
        <v>17273</v>
      </c>
      <c r="C968" s="132" t="s">
        <v>19093</v>
      </c>
      <c r="D968" s="131" t="s">
        <v>38</v>
      </c>
      <c r="E968" s="110" t="s">
        <v>19094</v>
      </c>
      <c r="F968" s="131" t="s">
        <v>38</v>
      </c>
      <c r="G968" s="133">
        <v>5.0999999999999996</v>
      </c>
      <c r="H968" s="134">
        <v>5.0999999999999996</v>
      </c>
      <c r="I968" s="131" t="s">
        <v>17190</v>
      </c>
      <c r="J968" s="88"/>
    </row>
    <row r="969" ht="38.25">
      <c r="A969" s="108">
        <v>1695</v>
      </c>
      <c r="B969" s="131" t="s">
        <v>19095</v>
      </c>
      <c r="C969" s="132" t="s">
        <v>19096</v>
      </c>
      <c r="D969" s="131" t="s">
        <v>38</v>
      </c>
      <c r="E969" s="110" t="s">
        <v>19097</v>
      </c>
      <c r="F969" s="131" t="s">
        <v>38</v>
      </c>
      <c r="G969" s="133">
        <v>18.329999999999998</v>
      </c>
      <c r="H969" s="134">
        <v>18.329999999999998</v>
      </c>
      <c r="I969" s="131" t="s">
        <v>17171</v>
      </c>
      <c r="J969" s="88"/>
    </row>
    <row r="970" ht="38.25">
      <c r="A970" s="108">
        <v>1694</v>
      </c>
      <c r="B970" s="131" t="s">
        <v>19095</v>
      </c>
      <c r="C970" s="132" t="s">
        <v>19098</v>
      </c>
      <c r="D970" s="131" t="s">
        <v>38</v>
      </c>
      <c r="E970" s="110" t="s">
        <v>19099</v>
      </c>
      <c r="F970" s="131" t="s">
        <v>38</v>
      </c>
      <c r="G970" s="133">
        <v>21.140000000000001</v>
      </c>
      <c r="H970" s="134">
        <v>21.140000000000001</v>
      </c>
      <c r="I970" s="131" t="s">
        <v>17171</v>
      </c>
      <c r="J970" s="88"/>
    </row>
    <row r="971" ht="25.5">
      <c r="A971" s="108">
        <v>6471</v>
      </c>
      <c r="B971" s="131" t="s">
        <v>17426</v>
      </c>
      <c r="C971" s="132" t="s">
        <v>19100</v>
      </c>
      <c r="D971" s="131" t="s">
        <v>38</v>
      </c>
      <c r="E971" s="110" t="s">
        <v>19101</v>
      </c>
      <c r="F971" s="131" t="s">
        <v>38</v>
      </c>
      <c r="G971" s="133">
        <v>13.300000000000001</v>
      </c>
      <c r="H971" s="134">
        <v>13.300000000000001</v>
      </c>
      <c r="I971" s="131" t="s">
        <v>17190</v>
      </c>
      <c r="J971" s="88"/>
    </row>
    <row r="972" ht="38.25">
      <c r="A972" s="108">
        <v>1867</v>
      </c>
      <c r="B972" s="131" t="s">
        <v>17345</v>
      </c>
      <c r="C972" s="132" t="s">
        <v>16958</v>
      </c>
      <c r="D972" s="131" t="s">
        <v>38</v>
      </c>
      <c r="E972" s="110" t="s">
        <v>19102</v>
      </c>
      <c r="F972" s="131" t="s">
        <v>38</v>
      </c>
      <c r="G972" s="133">
        <v>20.899999999999999</v>
      </c>
      <c r="H972" s="134">
        <v>20.899999999999999</v>
      </c>
      <c r="I972" s="131" t="s">
        <v>17171</v>
      </c>
      <c r="J972" s="88"/>
    </row>
    <row r="973" ht="38.25">
      <c r="A973" s="108">
        <v>7561</v>
      </c>
      <c r="B973" s="131" t="s">
        <v>17455</v>
      </c>
      <c r="C973" s="132" t="s">
        <v>19103</v>
      </c>
      <c r="D973" s="131" t="s">
        <v>38</v>
      </c>
      <c r="E973" s="110" t="s">
        <v>19104</v>
      </c>
      <c r="F973" s="131" t="s">
        <v>38</v>
      </c>
      <c r="G973" s="133">
        <v>7.8200000000000003</v>
      </c>
      <c r="H973" s="134">
        <v>7.8200000000000003</v>
      </c>
      <c r="I973" s="131" t="s">
        <v>17190</v>
      </c>
      <c r="J973" s="88"/>
    </row>
    <row r="974">
      <c r="A974" s="108">
        <v>7516</v>
      </c>
      <c r="B974" s="131" t="s">
        <v>17455</v>
      </c>
      <c r="C974" s="132" t="s">
        <v>19105</v>
      </c>
      <c r="D974" s="131" t="s">
        <v>17457</v>
      </c>
      <c r="E974" s="110" t="s">
        <v>19106</v>
      </c>
      <c r="F974" s="131" t="s">
        <v>17457</v>
      </c>
      <c r="G974" s="133">
        <v>83.060000000000002</v>
      </c>
      <c r="H974" s="134">
        <v>83.060000000000002</v>
      </c>
      <c r="I974" s="131" t="s">
        <v>17171</v>
      </c>
      <c r="J974" s="88"/>
    </row>
    <row r="975">
      <c r="A975" s="108">
        <v>7515</v>
      </c>
      <c r="B975" s="131" t="s">
        <v>17455</v>
      </c>
      <c r="C975" s="132" t="s">
        <v>19107</v>
      </c>
      <c r="D975" s="131" t="s">
        <v>17457</v>
      </c>
      <c r="E975" s="110" t="s">
        <v>19108</v>
      </c>
      <c r="F975" s="131" t="s">
        <v>17457</v>
      </c>
      <c r="G975" s="133">
        <v>61.32</v>
      </c>
      <c r="H975" s="134">
        <v>61.32</v>
      </c>
      <c r="I975" s="131" t="s">
        <v>17171</v>
      </c>
      <c r="J975" s="88"/>
    </row>
    <row r="976">
      <c r="A976" s="108">
        <v>7514</v>
      </c>
      <c r="B976" s="131" t="s">
        <v>17455</v>
      </c>
      <c r="C976" s="132" t="s">
        <v>19109</v>
      </c>
      <c r="D976" s="131" t="s">
        <v>17457</v>
      </c>
      <c r="E976" s="110" t="s">
        <v>19110</v>
      </c>
      <c r="F976" s="131" t="s">
        <v>17457</v>
      </c>
      <c r="G976" s="133">
        <v>74.230000000000004</v>
      </c>
      <c r="H976" s="134">
        <v>74.230000000000004</v>
      </c>
      <c r="I976" s="131" t="s">
        <v>17171</v>
      </c>
      <c r="J976" s="88"/>
    </row>
    <row r="977" ht="38.25">
      <c r="A977" s="108">
        <v>1686</v>
      </c>
      <c r="B977" s="131" t="s">
        <v>17487</v>
      </c>
      <c r="C977" s="132" t="s">
        <v>19111</v>
      </c>
      <c r="D977" s="131" t="s">
        <v>38</v>
      </c>
      <c r="E977" s="110" t="s">
        <v>19112</v>
      </c>
      <c r="F977" s="131" t="s">
        <v>38</v>
      </c>
      <c r="G977" s="133">
        <v>32.899999999999999</v>
      </c>
      <c r="H977" s="134">
        <v>32.899999999999999</v>
      </c>
      <c r="I977" s="131" t="s">
        <v>17171</v>
      </c>
      <c r="J977" s="88"/>
    </row>
    <row r="978" ht="51">
      <c r="A978" s="108">
        <v>1687</v>
      </c>
      <c r="B978" s="131" t="s">
        <v>17487</v>
      </c>
      <c r="C978" s="132" t="s">
        <v>19113</v>
      </c>
      <c r="D978" s="131" t="s">
        <v>38</v>
      </c>
      <c r="E978" s="110" t="s">
        <v>19114</v>
      </c>
      <c r="F978" s="131" t="s">
        <v>38</v>
      </c>
      <c r="G978" s="133">
        <v>29.699999999999999</v>
      </c>
      <c r="H978" s="134">
        <v>29.699999999999999</v>
      </c>
      <c r="I978" s="131" t="s">
        <v>17171</v>
      </c>
      <c r="J978" s="88"/>
    </row>
    <row r="979" ht="25.5">
      <c r="A979" s="108">
        <v>1866</v>
      </c>
      <c r="B979" s="131" t="s">
        <v>17345</v>
      </c>
      <c r="C979" s="132" t="s">
        <v>19115</v>
      </c>
      <c r="D979" s="131" t="s">
        <v>38</v>
      </c>
      <c r="E979" s="110" t="s">
        <v>19116</v>
      </c>
      <c r="F979" s="131" t="s">
        <v>38</v>
      </c>
      <c r="G979" s="133">
        <v>27.260000000000002</v>
      </c>
      <c r="H979" s="134">
        <v>27.260000000000002</v>
      </c>
      <c r="I979" s="131" t="s">
        <v>17171</v>
      </c>
      <c r="J979" s="88"/>
    </row>
    <row r="980" ht="38.25">
      <c r="A980" s="108">
        <v>1540</v>
      </c>
      <c r="B980" s="131" t="s">
        <v>17273</v>
      </c>
      <c r="C980" s="132" t="s">
        <v>19117</v>
      </c>
      <c r="D980" s="131" t="s">
        <v>38</v>
      </c>
      <c r="E980" s="110" t="s">
        <v>19118</v>
      </c>
      <c r="F980" s="131" t="s">
        <v>38</v>
      </c>
      <c r="G980" s="133">
        <v>4.9400000000000004</v>
      </c>
      <c r="H980" s="134">
        <v>4.9400000000000004</v>
      </c>
      <c r="I980" s="131" t="s">
        <v>17190</v>
      </c>
      <c r="J980" s="88"/>
    </row>
    <row r="981" ht="63.75">
      <c r="A981" s="108">
        <v>1546</v>
      </c>
      <c r="B981" s="131" t="s">
        <v>17215</v>
      </c>
      <c r="C981" s="132" t="s">
        <v>19119</v>
      </c>
      <c r="D981" s="131" t="s">
        <v>1533</v>
      </c>
      <c r="E981" s="110" t="s">
        <v>19120</v>
      </c>
      <c r="F981" s="131" t="s">
        <v>1533</v>
      </c>
      <c r="G981" s="133">
        <v>167.08000000000001</v>
      </c>
      <c r="H981" s="134">
        <v>164.66</v>
      </c>
      <c r="I981" s="131" t="s">
        <v>17190</v>
      </c>
      <c r="J981" s="88"/>
    </row>
    <row r="982" ht="63.75">
      <c r="A982" s="108">
        <v>1545</v>
      </c>
      <c r="B982" s="131" t="s">
        <v>17215</v>
      </c>
      <c r="C982" s="132" t="s">
        <v>19121</v>
      </c>
      <c r="D982" s="131" t="s">
        <v>1535</v>
      </c>
      <c r="E982" s="110" t="s">
        <v>19122</v>
      </c>
      <c r="F982" s="131" t="s">
        <v>1535</v>
      </c>
      <c r="G982" s="133">
        <v>395.97000000000003</v>
      </c>
      <c r="H982" s="134">
        <v>393.55000000000001</v>
      </c>
      <c r="I982" s="131" t="s">
        <v>17190</v>
      </c>
      <c r="J982" s="88"/>
    </row>
    <row r="983" ht="38.25">
      <c r="A983" s="108">
        <v>1748</v>
      </c>
      <c r="B983" s="131" t="s">
        <v>17215</v>
      </c>
      <c r="C983" s="132" t="s">
        <v>19123</v>
      </c>
      <c r="D983" s="131" t="s">
        <v>38</v>
      </c>
      <c r="E983" s="110" t="s">
        <v>19124</v>
      </c>
      <c r="F983" s="131" t="s">
        <v>38</v>
      </c>
      <c r="G983" s="133">
        <v>109.45999999999999</v>
      </c>
      <c r="H983" s="134">
        <v>109.45999999999999</v>
      </c>
      <c r="I983" s="131" t="s">
        <v>17190</v>
      </c>
      <c r="J983" s="88"/>
    </row>
    <row r="984" ht="38.25">
      <c r="A984" s="108">
        <v>1081</v>
      </c>
      <c r="B984" s="131" t="s">
        <v>18028</v>
      </c>
      <c r="C984" s="132" t="s">
        <v>19125</v>
      </c>
      <c r="D984" s="131" t="s">
        <v>31</v>
      </c>
      <c r="E984" s="110" t="s">
        <v>19126</v>
      </c>
      <c r="F984" s="131" t="s">
        <v>31</v>
      </c>
      <c r="G984" s="133">
        <v>1.3999999999999999</v>
      </c>
      <c r="H984" s="134">
        <v>1.3999999999999999</v>
      </c>
      <c r="I984" s="131" t="s">
        <v>17190</v>
      </c>
      <c r="J984" s="88"/>
    </row>
    <row r="985" ht="25.5">
      <c r="A985" s="108">
        <v>3363</v>
      </c>
      <c r="B985" s="131" t="s">
        <v>17828</v>
      </c>
      <c r="C985" s="132" t="s">
        <v>19127</v>
      </c>
      <c r="D985" s="131" t="s">
        <v>12544</v>
      </c>
      <c r="E985" s="110" t="s">
        <v>19128</v>
      </c>
      <c r="F985" s="131" t="s">
        <v>12544</v>
      </c>
      <c r="G985" s="133">
        <v>44.780000000000001</v>
      </c>
      <c r="H985" s="134">
        <v>44.780000000000001</v>
      </c>
      <c r="I985" s="131" t="s">
        <v>17190</v>
      </c>
      <c r="J985" s="88"/>
    </row>
    <row r="986" ht="25.5">
      <c r="A986" s="108">
        <v>3362</v>
      </c>
      <c r="B986" s="131" t="s">
        <v>17828</v>
      </c>
      <c r="C986" s="132" t="s">
        <v>19129</v>
      </c>
      <c r="D986" s="131" t="s">
        <v>12544</v>
      </c>
      <c r="E986" s="110" t="s">
        <v>19130</v>
      </c>
      <c r="F986" s="131" t="s">
        <v>12544</v>
      </c>
      <c r="G986" s="133">
        <v>59.399999999999999</v>
      </c>
      <c r="H986" s="134">
        <v>59.399999999999999</v>
      </c>
      <c r="I986" s="131" t="s">
        <v>17190</v>
      </c>
      <c r="J986" s="88"/>
    </row>
    <row r="987">
      <c r="A987" s="108">
        <v>6609</v>
      </c>
      <c r="B987" s="131" t="s">
        <v>17168</v>
      </c>
      <c r="C987" s="132" t="s">
        <v>16487</v>
      </c>
      <c r="D987" s="131" t="s">
        <v>31</v>
      </c>
      <c r="E987" s="110" t="s">
        <v>19131</v>
      </c>
      <c r="F987" s="131" t="s">
        <v>31</v>
      </c>
      <c r="G987" s="133">
        <v>29.84</v>
      </c>
      <c r="H987" s="134">
        <v>29.84</v>
      </c>
      <c r="I987" s="131" t="s">
        <v>17171</v>
      </c>
      <c r="J987" s="88"/>
    </row>
    <row r="988" ht="38.25">
      <c r="A988" s="108">
        <v>3329</v>
      </c>
      <c r="B988" s="131" t="s">
        <v>17407</v>
      </c>
      <c r="C988" s="132" t="s">
        <v>19132</v>
      </c>
      <c r="D988" s="131" t="s">
        <v>31</v>
      </c>
      <c r="E988" s="110" t="s">
        <v>19133</v>
      </c>
      <c r="F988" s="131" t="s">
        <v>31</v>
      </c>
      <c r="G988" s="133">
        <v>46.950000000000003</v>
      </c>
      <c r="H988" s="134">
        <v>46.950000000000003</v>
      </c>
      <c r="I988" s="131" t="s">
        <v>17190</v>
      </c>
      <c r="J988" s="88"/>
    </row>
    <row r="989">
      <c r="A989" s="108">
        <v>4012</v>
      </c>
      <c r="B989" s="131" t="s">
        <v>17250</v>
      </c>
      <c r="C989" s="132" t="s">
        <v>19134</v>
      </c>
      <c r="D989" s="131" t="s">
        <v>2032</v>
      </c>
      <c r="E989" s="110" t="s">
        <v>19135</v>
      </c>
      <c r="F989" s="131" t="s">
        <v>2032</v>
      </c>
      <c r="G989" s="133">
        <v>27.440000000000001</v>
      </c>
      <c r="H989" s="134">
        <v>25.460000000000001</v>
      </c>
      <c r="I989" s="131" t="s">
        <v>17190</v>
      </c>
      <c r="J989" s="88"/>
    </row>
    <row r="990" ht="51">
      <c r="A990" s="108">
        <v>6317</v>
      </c>
      <c r="B990" s="131" t="s">
        <v>17215</v>
      </c>
      <c r="C990" s="132" t="s">
        <v>19136</v>
      </c>
      <c r="D990" s="131" t="s">
        <v>29</v>
      </c>
      <c r="E990" s="110" t="s">
        <v>19137</v>
      </c>
      <c r="F990" s="131" t="s">
        <v>29</v>
      </c>
      <c r="G990" s="133">
        <v>47.640000000000001</v>
      </c>
      <c r="H990" s="134">
        <v>44.960000000000001</v>
      </c>
      <c r="I990" s="131" t="s">
        <v>17190</v>
      </c>
      <c r="J990" s="88"/>
    </row>
    <row r="991" ht="51">
      <c r="A991" s="108">
        <v>1638</v>
      </c>
      <c r="B991" s="131" t="s">
        <v>17273</v>
      </c>
      <c r="C991" s="132" t="s">
        <v>19138</v>
      </c>
      <c r="D991" s="131" t="s">
        <v>29</v>
      </c>
      <c r="E991" s="110" t="s">
        <v>19139</v>
      </c>
      <c r="F991" s="131" t="s">
        <v>29</v>
      </c>
      <c r="G991" s="133">
        <v>46.780000000000001</v>
      </c>
      <c r="H991" s="134">
        <v>44.700000000000003</v>
      </c>
      <c r="I991" s="131" t="s">
        <v>17190</v>
      </c>
      <c r="J991" s="88"/>
    </row>
    <row r="992" ht="51">
      <c r="A992" s="108">
        <v>1722</v>
      </c>
      <c r="B992" s="131" t="s">
        <v>17273</v>
      </c>
      <c r="C992" s="132" t="s">
        <v>19138</v>
      </c>
      <c r="D992" s="131" t="s">
        <v>29</v>
      </c>
      <c r="E992" s="110" t="s">
        <v>19140</v>
      </c>
      <c r="F992" s="131" t="s">
        <v>29</v>
      </c>
      <c r="G992" s="133">
        <v>46.780000000000001</v>
      </c>
      <c r="H992" s="134">
        <v>44.700000000000003</v>
      </c>
      <c r="I992" s="131" t="s">
        <v>17190</v>
      </c>
      <c r="J992" s="88"/>
    </row>
    <row r="993" ht="38.25">
      <c r="A993" s="108">
        <v>6399</v>
      </c>
      <c r="B993" s="131" t="s">
        <v>17215</v>
      </c>
      <c r="C993" s="132" t="s">
        <v>19141</v>
      </c>
      <c r="D993" s="131" t="s">
        <v>29</v>
      </c>
      <c r="E993" s="110" t="s">
        <v>19142</v>
      </c>
      <c r="F993" s="131" t="s">
        <v>29</v>
      </c>
      <c r="G993" s="133">
        <v>10.57</v>
      </c>
      <c r="H993" s="134">
        <v>10.44</v>
      </c>
      <c r="I993" s="131" t="s">
        <v>17190</v>
      </c>
      <c r="J993" s="88"/>
    </row>
    <row r="994" ht="38.25">
      <c r="A994" s="108">
        <v>2754</v>
      </c>
      <c r="B994" s="131" t="s">
        <v>17215</v>
      </c>
      <c r="C994" s="132" t="s">
        <v>19143</v>
      </c>
      <c r="D994" s="131" t="s">
        <v>29</v>
      </c>
      <c r="E994" s="110" t="s">
        <v>19144</v>
      </c>
      <c r="F994" s="131" t="s">
        <v>29</v>
      </c>
      <c r="G994" s="133">
        <v>23.559999999999999</v>
      </c>
      <c r="H994" s="134">
        <v>22.510000000000002</v>
      </c>
      <c r="I994" s="131" t="s">
        <v>17171</v>
      </c>
      <c r="J994" s="88"/>
    </row>
    <row r="995" ht="25.5">
      <c r="A995" s="108">
        <v>1747</v>
      </c>
      <c r="B995" s="131" t="s">
        <v>17215</v>
      </c>
      <c r="C995" s="132" t="s">
        <v>19145</v>
      </c>
      <c r="D995" s="131" t="s">
        <v>29</v>
      </c>
      <c r="E995" s="110" t="s">
        <v>19146</v>
      </c>
      <c r="F995" s="131" t="s">
        <v>29</v>
      </c>
      <c r="G995" s="133">
        <v>8.8800000000000008</v>
      </c>
      <c r="H995" s="134">
        <v>8.4800000000000004</v>
      </c>
      <c r="I995" s="131" t="s">
        <v>17190</v>
      </c>
      <c r="J995" s="88"/>
    </row>
    <row r="996" ht="25.5">
      <c r="A996" s="108">
        <v>6314</v>
      </c>
      <c r="B996" s="131" t="s">
        <v>17215</v>
      </c>
      <c r="C996" s="132" t="s">
        <v>19147</v>
      </c>
      <c r="D996" s="131" t="s">
        <v>29</v>
      </c>
      <c r="E996" s="110" t="s">
        <v>19148</v>
      </c>
      <c r="F996" s="131" t="s">
        <v>29</v>
      </c>
      <c r="G996" s="133">
        <v>12.33</v>
      </c>
      <c r="H996" s="134">
        <v>11.93</v>
      </c>
      <c r="I996" s="131" t="s">
        <v>17190</v>
      </c>
      <c r="J996" s="88"/>
    </row>
    <row r="997" ht="38.25">
      <c r="A997" s="108">
        <v>1729</v>
      </c>
      <c r="B997" s="131" t="s">
        <v>17215</v>
      </c>
      <c r="C997" s="132" t="s">
        <v>19149</v>
      </c>
      <c r="D997" s="131" t="s">
        <v>29</v>
      </c>
      <c r="E997" s="110" t="s">
        <v>19150</v>
      </c>
      <c r="F997" s="131" t="s">
        <v>29</v>
      </c>
      <c r="G997" s="133">
        <v>15.66</v>
      </c>
      <c r="H997" s="134">
        <v>14.9</v>
      </c>
      <c r="I997" s="131" t="s">
        <v>17190</v>
      </c>
      <c r="J997" s="88"/>
    </row>
    <row r="998" ht="51">
      <c r="A998" s="108">
        <v>1675</v>
      </c>
      <c r="B998" s="131" t="s">
        <v>17215</v>
      </c>
      <c r="C998" s="132" t="s">
        <v>19151</v>
      </c>
      <c r="D998" s="131" t="s">
        <v>29</v>
      </c>
      <c r="E998" s="110" t="s">
        <v>19152</v>
      </c>
      <c r="F998" s="131" t="s">
        <v>29</v>
      </c>
      <c r="G998" s="133">
        <v>124.13</v>
      </c>
      <c r="H998" s="134">
        <v>121.08</v>
      </c>
      <c r="I998" s="131" t="s">
        <v>17171</v>
      </c>
      <c r="J998" s="88"/>
    </row>
    <row r="999" ht="38.25">
      <c r="A999" s="108">
        <v>8727</v>
      </c>
      <c r="B999" s="131" t="s">
        <v>17345</v>
      </c>
      <c r="C999" s="132" t="s">
        <v>19153</v>
      </c>
      <c r="D999" s="131" t="s">
        <v>31</v>
      </c>
      <c r="E999" s="110" t="s">
        <v>19154</v>
      </c>
      <c r="F999" s="131" t="s">
        <v>31</v>
      </c>
      <c r="G999" s="133">
        <v>15.84</v>
      </c>
      <c r="H999" s="134">
        <v>15.84</v>
      </c>
      <c r="I999" s="131" t="s">
        <v>17190</v>
      </c>
      <c r="J999" s="88"/>
    </row>
    <row r="1000" ht="38.25">
      <c r="A1000" s="108">
        <v>8728</v>
      </c>
      <c r="B1000" s="131" t="s">
        <v>17345</v>
      </c>
      <c r="C1000" s="132" t="s">
        <v>19153</v>
      </c>
      <c r="D1000" s="131" t="s">
        <v>31</v>
      </c>
      <c r="E1000" s="110" t="s">
        <v>19155</v>
      </c>
      <c r="F1000" s="131" t="s">
        <v>31</v>
      </c>
      <c r="G1000" s="133">
        <v>15.84</v>
      </c>
      <c r="H1000" s="134">
        <v>15.84</v>
      </c>
      <c r="I1000" s="131" t="s">
        <v>17190</v>
      </c>
      <c r="J1000" s="88"/>
    </row>
    <row r="1001" ht="38.25">
      <c r="A1001" s="108">
        <v>2707</v>
      </c>
      <c r="B1001" s="131" t="s">
        <v>17235</v>
      </c>
      <c r="C1001" s="132" t="s">
        <v>19156</v>
      </c>
      <c r="D1001" s="131" t="s">
        <v>29</v>
      </c>
      <c r="E1001" s="110" t="s">
        <v>19157</v>
      </c>
      <c r="F1001" s="131" t="s">
        <v>29</v>
      </c>
      <c r="G1001" s="133">
        <v>274.61000000000001</v>
      </c>
      <c r="H1001" s="134">
        <v>274.61000000000001</v>
      </c>
      <c r="I1001" s="131" t="s">
        <v>17190</v>
      </c>
      <c r="J1001" s="88"/>
    </row>
    <row r="1002" ht="38.25">
      <c r="A1002" s="108">
        <v>2709</v>
      </c>
      <c r="B1002" s="131" t="s">
        <v>17235</v>
      </c>
      <c r="C1002" s="132" t="s">
        <v>19158</v>
      </c>
      <c r="D1002" s="131" t="s">
        <v>29</v>
      </c>
      <c r="E1002" s="110" t="s">
        <v>19159</v>
      </c>
      <c r="F1002" s="131" t="s">
        <v>29</v>
      </c>
      <c r="G1002" s="133">
        <v>679.92999999999995</v>
      </c>
      <c r="H1002" s="134">
        <v>679.92999999999995</v>
      </c>
      <c r="I1002" s="131" t="s">
        <v>17190</v>
      </c>
      <c r="J1002" s="88"/>
    </row>
    <row r="1003">
      <c r="A1003" s="108">
        <v>8725</v>
      </c>
      <c r="B1003" s="131" t="s">
        <v>17345</v>
      </c>
      <c r="C1003" s="132" t="s">
        <v>19160</v>
      </c>
      <c r="D1003" s="131" t="s">
        <v>31</v>
      </c>
      <c r="E1003" s="110" t="s">
        <v>19161</v>
      </c>
      <c r="F1003" s="131" t="s">
        <v>31</v>
      </c>
      <c r="G1003" s="133">
        <v>5.0099999999999998</v>
      </c>
      <c r="H1003" s="134">
        <v>5.0099999999999998</v>
      </c>
      <c r="I1003" s="131" t="s">
        <v>17171</v>
      </c>
      <c r="J1003" s="88"/>
    </row>
    <row r="1004" ht="38.25">
      <c r="A1004" s="108">
        <v>1677</v>
      </c>
      <c r="B1004" s="131" t="s">
        <v>17215</v>
      </c>
      <c r="C1004" s="132" t="s">
        <v>19162</v>
      </c>
      <c r="D1004" s="131" t="s">
        <v>31</v>
      </c>
      <c r="E1004" s="110" t="s">
        <v>19163</v>
      </c>
      <c r="F1004" s="131" t="s">
        <v>31</v>
      </c>
      <c r="G1004" s="133">
        <v>27.890000000000001</v>
      </c>
      <c r="H1004" s="134">
        <v>27.120000000000001</v>
      </c>
      <c r="I1004" s="131" t="s">
        <v>17171</v>
      </c>
      <c r="J1004" s="88"/>
    </row>
    <row r="1005">
      <c r="A1005" s="108">
        <v>8726</v>
      </c>
      <c r="B1005" s="131" t="s">
        <v>17345</v>
      </c>
      <c r="C1005" s="132" t="s">
        <v>19164</v>
      </c>
      <c r="D1005" s="131" t="s">
        <v>31</v>
      </c>
      <c r="E1005" s="110" t="s">
        <v>19165</v>
      </c>
      <c r="F1005" s="131" t="s">
        <v>31</v>
      </c>
      <c r="G1005" s="133">
        <v>5.0899999999999999</v>
      </c>
      <c r="H1005" s="134">
        <v>5.0899999999999999</v>
      </c>
      <c r="I1005" s="131" t="s">
        <v>17171</v>
      </c>
      <c r="J1005" s="88"/>
    </row>
    <row r="1006" ht="38.25">
      <c r="A1006" s="108">
        <v>1678</v>
      </c>
      <c r="B1006" s="131" t="s">
        <v>17215</v>
      </c>
      <c r="C1006" s="132" t="s">
        <v>19166</v>
      </c>
      <c r="D1006" s="131" t="s">
        <v>38</v>
      </c>
      <c r="E1006" s="110" t="s">
        <v>19167</v>
      </c>
      <c r="F1006" s="131" t="s">
        <v>38</v>
      </c>
      <c r="G1006" s="133">
        <v>39.130000000000003</v>
      </c>
      <c r="H1006" s="134">
        <v>37.93</v>
      </c>
      <c r="I1006" s="131" t="s">
        <v>17171</v>
      </c>
      <c r="J1006" s="88"/>
    </row>
    <row r="1007" ht="25.5">
      <c r="A1007" s="108">
        <v>3489</v>
      </c>
      <c r="B1007" s="131" t="s">
        <v>17345</v>
      </c>
      <c r="C1007" s="132" t="s">
        <v>19168</v>
      </c>
      <c r="D1007" s="131" t="s">
        <v>29</v>
      </c>
      <c r="E1007" s="110" t="s">
        <v>19169</v>
      </c>
      <c r="F1007" s="131" t="s">
        <v>29</v>
      </c>
      <c r="G1007" s="133">
        <v>54.770000000000003</v>
      </c>
      <c r="H1007" s="134">
        <v>54.770000000000003</v>
      </c>
      <c r="I1007" s="131" t="s">
        <v>17171</v>
      </c>
      <c r="J1007" s="88"/>
    </row>
    <row r="1008" ht="38.25">
      <c r="A1008" s="108">
        <v>1689</v>
      </c>
      <c r="B1008" s="131" t="s">
        <v>17345</v>
      </c>
      <c r="C1008" s="132" t="s">
        <v>19170</v>
      </c>
      <c r="D1008" s="131" t="s">
        <v>29</v>
      </c>
      <c r="E1008" s="110" t="s">
        <v>19171</v>
      </c>
      <c r="F1008" s="131" t="s">
        <v>29</v>
      </c>
      <c r="G1008" s="133">
        <v>269.89999999999998</v>
      </c>
      <c r="H1008" s="134">
        <v>269.89999999999998</v>
      </c>
      <c r="I1008" s="131" t="s">
        <v>17171</v>
      </c>
      <c r="J1008" s="88"/>
    </row>
    <row r="1009" ht="51">
      <c r="A1009" s="108">
        <v>6069</v>
      </c>
      <c r="B1009" s="131" t="s">
        <v>17426</v>
      </c>
      <c r="C1009" s="132" t="s">
        <v>19172</v>
      </c>
      <c r="D1009" s="131" t="s">
        <v>31</v>
      </c>
      <c r="E1009" s="110" t="s">
        <v>19173</v>
      </c>
      <c r="F1009" s="131" t="s">
        <v>31</v>
      </c>
      <c r="G1009" s="133">
        <v>64.390000000000001</v>
      </c>
      <c r="H1009" s="134">
        <v>64.390000000000001</v>
      </c>
      <c r="I1009" s="131" t="s">
        <v>17190</v>
      </c>
      <c r="J1009" s="88"/>
    </row>
    <row r="1010" ht="25.5">
      <c r="A1010" s="108">
        <v>7257</v>
      </c>
      <c r="B1010" s="131" t="s">
        <v>17168</v>
      </c>
      <c r="C1010" s="132" t="s">
        <v>19174</v>
      </c>
      <c r="D1010" s="131" t="s">
        <v>31</v>
      </c>
      <c r="E1010" s="110" t="s">
        <v>19175</v>
      </c>
      <c r="F1010" s="131" t="s">
        <v>31</v>
      </c>
      <c r="G1010" s="133">
        <v>15.74</v>
      </c>
      <c r="H1010" s="134">
        <v>15.74</v>
      </c>
      <c r="I1010" s="131" t="s">
        <v>17171</v>
      </c>
      <c r="J1010" s="88"/>
    </row>
    <row r="1011" ht="25.5">
      <c r="A1011" s="108">
        <v>7258</v>
      </c>
      <c r="B1011" s="131" t="s">
        <v>17168</v>
      </c>
      <c r="C1011" s="132" t="s">
        <v>19176</v>
      </c>
      <c r="D1011" s="131" t="s">
        <v>31</v>
      </c>
      <c r="E1011" s="110" t="s">
        <v>19177</v>
      </c>
      <c r="F1011" s="131" t="s">
        <v>31</v>
      </c>
      <c r="G1011" s="133">
        <v>15.640000000000001</v>
      </c>
      <c r="H1011" s="134">
        <v>15.640000000000001</v>
      </c>
      <c r="I1011" s="131" t="s">
        <v>17171</v>
      </c>
      <c r="J1011" s="88"/>
    </row>
    <row r="1012" ht="38.25">
      <c r="A1012" s="108">
        <v>1136</v>
      </c>
      <c r="B1012" s="131" t="s">
        <v>17426</v>
      </c>
      <c r="C1012" s="132" t="s">
        <v>19178</v>
      </c>
      <c r="D1012" s="131" t="s">
        <v>29</v>
      </c>
      <c r="E1012" s="110" t="s">
        <v>19179</v>
      </c>
      <c r="F1012" s="131" t="s">
        <v>29</v>
      </c>
      <c r="G1012" s="133">
        <v>400</v>
      </c>
      <c r="H1012" s="134">
        <v>400</v>
      </c>
      <c r="I1012" s="131" t="s">
        <v>17190</v>
      </c>
      <c r="J1012" s="88"/>
    </row>
    <row r="1013" ht="51">
      <c r="A1013" s="108">
        <v>8486</v>
      </c>
      <c r="B1013" s="131" t="s">
        <v>17194</v>
      </c>
      <c r="C1013" s="132" t="s">
        <v>16877</v>
      </c>
      <c r="D1013" s="131" t="s">
        <v>31</v>
      </c>
      <c r="E1013" s="110" t="s">
        <v>19180</v>
      </c>
      <c r="F1013" s="131" t="s">
        <v>31</v>
      </c>
      <c r="G1013" s="133">
        <v>15</v>
      </c>
      <c r="H1013" s="134">
        <v>15</v>
      </c>
      <c r="I1013" s="131" t="s">
        <v>17171</v>
      </c>
      <c r="J1013" s="88"/>
    </row>
    <row r="1014" ht="51">
      <c r="A1014" s="108">
        <v>8485</v>
      </c>
      <c r="B1014" s="131" t="s">
        <v>17194</v>
      </c>
      <c r="C1014" s="132" t="s">
        <v>19181</v>
      </c>
      <c r="D1014" s="131" t="s">
        <v>31</v>
      </c>
      <c r="E1014" s="110" t="s">
        <v>19182</v>
      </c>
      <c r="F1014" s="131" t="s">
        <v>31</v>
      </c>
      <c r="G1014" s="133">
        <v>42.009999999999998</v>
      </c>
      <c r="H1014" s="134">
        <v>42.009999999999998</v>
      </c>
      <c r="I1014" s="131" t="s">
        <v>17190</v>
      </c>
      <c r="J1014" s="88"/>
    </row>
    <row r="1015" ht="51">
      <c r="A1015" s="108">
        <v>8488</v>
      </c>
      <c r="B1015" s="131" t="s">
        <v>17194</v>
      </c>
      <c r="C1015" s="132" t="s">
        <v>19183</v>
      </c>
      <c r="D1015" s="131" t="s">
        <v>31</v>
      </c>
      <c r="E1015" s="110" t="s">
        <v>19184</v>
      </c>
      <c r="F1015" s="131" t="s">
        <v>31</v>
      </c>
      <c r="G1015" s="133">
        <v>24.68</v>
      </c>
      <c r="H1015" s="134">
        <v>24.68</v>
      </c>
      <c r="I1015" s="131" t="s">
        <v>17190</v>
      </c>
      <c r="J1015" s="88"/>
    </row>
    <row r="1016" ht="51">
      <c r="A1016" s="108">
        <v>8487</v>
      </c>
      <c r="B1016" s="131" t="s">
        <v>17194</v>
      </c>
      <c r="C1016" s="132" t="s">
        <v>19185</v>
      </c>
      <c r="D1016" s="131" t="s">
        <v>31</v>
      </c>
      <c r="E1016" s="110" t="s">
        <v>19186</v>
      </c>
      <c r="F1016" s="131" t="s">
        <v>31</v>
      </c>
      <c r="G1016" s="133">
        <v>21.34</v>
      </c>
      <c r="H1016" s="134">
        <v>21.34</v>
      </c>
      <c r="I1016" s="131" t="s">
        <v>17190</v>
      </c>
      <c r="J1016" s="88"/>
    </row>
    <row r="1017" ht="25.5">
      <c r="A1017" s="108">
        <v>1219</v>
      </c>
      <c r="B1017" s="131" t="s">
        <v>18028</v>
      </c>
      <c r="C1017" s="132" t="s">
        <v>19187</v>
      </c>
      <c r="D1017" s="131" t="s">
        <v>31</v>
      </c>
      <c r="E1017" s="110" t="s">
        <v>19188</v>
      </c>
      <c r="F1017" s="131" t="s">
        <v>31</v>
      </c>
      <c r="G1017" s="133">
        <v>10.76</v>
      </c>
      <c r="H1017" s="134">
        <v>10.76</v>
      </c>
      <c r="I1017" s="131" t="s">
        <v>17190</v>
      </c>
      <c r="J1017" s="88"/>
    </row>
    <row r="1018" ht="25.5">
      <c r="A1018" s="108">
        <v>6619</v>
      </c>
      <c r="B1018" s="131" t="s">
        <v>17801</v>
      </c>
      <c r="C1018" s="132" t="s">
        <v>19189</v>
      </c>
      <c r="D1018" s="131" t="s">
        <v>31</v>
      </c>
      <c r="E1018" s="110" t="s">
        <v>19190</v>
      </c>
      <c r="F1018" s="131" t="s">
        <v>31</v>
      </c>
      <c r="G1018" s="133">
        <v>7.3300000000000001</v>
      </c>
      <c r="H1018" s="134">
        <v>7.3300000000000001</v>
      </c>
      <c r="I1018" s="131" t="s">
        <v>17171</v>
      </c>
      <c r="J1018" s="88"/>
    </row>
    <row r="1019" ht="51">
      <c r="A1019" s="108">
        <v>6473</v>
      </c>
      <c r="B1019" s="131" t="s">
        <v>17235</v>
      </c>
      <c r="C1019" s="132" t="s">
        <v>17033</v>
      </c>
      <c r="D1019" s="131" t="s">
        <v>31</v>
      </c>
      <c r="E1019" s="110" t="s">
        <v>19191</v>
      </c>
      <c r="F1019" s="131" t="s">
        <v>31</v>
      </c>
      <c r="G1019" s="133">
        <v>57.100000000000001</v>
      </c>
      <c r="H1019" s="134">
        <v>57.100000000000001</v>
      </c>
      <c r="I1019" s="131" t="s">
        <v>17171</v>
      </c>
      <c r="J1019" s="88"/>
    </row>
    <row r="1020" ht="51">
      <c r="A1020" s="108">
        <v>6474</v>
      </c>
      <c r="B1020" s="131" t="s">
        <v>17235</v>
      </c>
      <c r="C1020" s="132" t="s">
        <v>17034</v>
      </c>
      <c r="D1020" s="131" t="s">
        <v>31</v>
      </c>
      <c r="E1020" s="110" t="s">
        <v>19192</v>
      </c>
      <c r="F1020" s="131" t="s">
        <v>31</v>
      </c>
      <c r="G1020" s="133">
        <v>55.909999999999997</v>
      </c>
      <c r="H1020" s="134">
        <v>55.909999999999997</v>
      </c>
      <c r="I1020" s="131" t="s">
        <v>17171</v>
      </c>
      <c r="J1020" s="88"/>
    </row>
    <row r="1021" ht="38.25">
      <c r="A1021" s="108">
        <v>6386</v>
      </c>
      <c r="B1021" s="131" t="s">
        <v>17235</v>
      </c>
      <c r="C1021" s="132" t="s">
        <v>19193</v>
      </c>
      <c r="D1021" s="131" t="s">
        <v>31</v>
      </c>
      <c r="E1021" s="110" t="s">
        <v>19194</v>
      </c>
      <c r="F1021" s="131" t="s">
        <v>31</v>
      </c>
      <c r="G1021" s="133">
        <v>74.379999999999995</v>
      </c>
      <c r="H1021" s="134">
        <v>74.379999999999995</v>
      </c>
      <c r="I1021" s="131" t="s">
        <v>17171</v>
      </c>
      <c r="J1021" s="88"/>
    </row>
    <row r="1022" ht="38.25">
      <c r="A1022" s="108">
        <v>6385</v>
      </c>
      <c r="B1022" s="131" t="s">
        <v>17235</v>
      </c>
      <c r="C1022" s="132" t="s">
        <v>19195</v>
      </c>
      <c r="D1022" s="131" t="s">
        <v>31</v>
      </c>
      <c r="E1022" s="110" t="s">
        <v>19196</v>
      </c>
      <c r="F1022" s="131" t="s">
        <v>31</v>
      </c>
      <c r="G1022" s="133">
        <v>72.510000000000005</v>
      </c>
      <c r="H1022" s="134">
        <v>72.510000000000005</v>
      </c>
      <c r="I1022" s="131" t="s">
        <v>17171</v>
      </c>
      <c r="J1022" s="88"/>
    </row>
    <row r="1023" ht="25.5">
      <c r="A1023" s="108">
        <v>2704</v>
      </c>
      <c r="B1023" s="131" t="s">
        <v>17235</v>
      </c>
      <c r="C1023" s="132" t="s">
        <v>17035</v>
      </c>
      <c r="D1023" s="131" t="s">
        <v>31</v>
      </c>
      <c r="E1023" s="110" t="s">
        <v>19197</v>
      </c>
      <c r="F1023" s="131" t="s">
        <v>31</v>
      </c>
      <c r="G1023" s="133">
        <v>7.2699999999999996</v>
      </c>
      <c r="H1023" s="134">
        <v>7.2699999999999996</v>
      </c>
      <c r="I1023" s="131" t="s">
        <v>17171</v>
      </c>
      <c r="J1023" s="88"/>
    </row>
    <row r="1024" ht="38.25">
      <c r="A1024" s="108">
        <v>6410</v>
      </c>
      <c r="B1024" s="131" t="s">
        <v>17215</v>
      </c>
      <c r="C1024" s="132" t="s">
        <v>19198</v>
      </c>
      <c r="D1024" s="131" t="s">
        <v>1535</v>
      </c>
      <c r="E1024" s="110" t="s">
        <v>19199</v>
      </c>
      <c r="F1024" s="131" t="s">
        <v>1535</v>
      </c>
      <c r="G1024" s="133">
        <v>9.9299999999999997</v>
      </c>
      <c r="H1024" s="134">
        <v>9.9299999999999997</v>
      </c>
      <c r="I1024" s="131" t="s">
        <v>17190</v>
      </c>
      <c r="J1024" s="88"/>
    </row>
    <row r="1025">
      <c r="A1025" s="108">
        <v>4013</v>
      </c>
      <c r="B1025" s="131" t="s">
        <v>17250</v>
      </c>
      <c r="C1025" s="132" t="s">
        <v>19200</v>
      </c>
      <c r="D1025" s="131" t="s">
        <v>2032</v>
      </c>
      <c r="E1025" s="110" t="s">
        <v>19201</v>
      </c>
      <c r="F1025" s="131" t="s">
        <v>2032</v>
      </c>
      <c r="G1025" s="133">
        <v>27.32</v>
      </c>
      <c r="H1025" s="134">
        <v>25.039999999999999</v>
      </c>
      <c r="I1025" s="131" t="s">
        <v>17190</v>
      </c>
      <c r="J1025" s="88"/>
    </row>
    <row r="1026" ht="38.25">
      <c r="A1026" s="108">
        <v>1670</v>
      </c>
      <c r="B1026" s="131" t="s">
        <v>17273</v>
      </c>
      <c r="C1026" s="132" t="s">
        <v>19202</v>
      </c>
      <c r="D1026" s="131" t="s">
        <v>1533</v>
      </c>
      <c r="E1026" s="110" t="s">
        <v>19203</v>
      </c>
      <c r="F1026" s="131" t="s">
        <v>1533</v>
      </c>
      <c r="G1026" s="133">
        <v>0.59999999999999998</v>
      </c>
      <c r="H1026" s="134">
        <v>0.59999999999999998</v>
      </c>
      <c r="I1026" s="131" t="s">
        <v>17190</v>
      </c>
      <c r="J1026" s="88"/>
    </row>
    <row r="1027" ht="38.25">
      <c r="A1027" s="108">
        <v>8516</v>
      </c>
      <c r="B1027" s="131" t="s">
        <v>17215</v>
      </c>
      <c r="C1027" s="132" t="s">
        <v>19204</v>
      </c>
      <c r="D1027" s="131" t="s">
        <v>1535</v>
      </c>
      <c r="E1027" s="110" t="s">
        <v>19205</v>
      </c>
      <c r="F1027" s="131" t="s">
        <v>1535</v>
      </c>
      <c r="G1027" s="133">
        <v>3.7400000000000002</v>
      </c>
      <c r="H1027" s="134">
        <v>3.7400000000000002</v>
      </c>
      <c r="I1027" s="131" t="s">
        <v>17190</v>
      </c>
      <c r="J1027" s="88"/>
    </row>
    <row r="1028" ht="25.5">
      <c r="A1028" s="108">
        <v>7438</v>
      </c>
      <c r="B1028" s="131" t="s">
        <v>17273</v>
      </c>
      <c r="C1028" s="132" t="s">
        <v>19206</v>
      </c>
      <c r="D1028" s="131" t="s">
        <v>38</v>
      </c>
      <c r="E1028" s="110" t="s">
        <v>19207</v>
      </c>
      <c r="F1028" s="131" t="s">
        <v>38</v>
      </c>
      <c r="G1028" s="133">
        <v>6.9900000000000002</v>
      </c>
      <c r="H1028" s="134">
        <v>6.9900000000000002</v>
      </c>
      <c r="I1028" s="131" t="s">
        <v>17190</v>
      </c>
      <c r="J1028" s="88"/>
    </row>
    <row r="1029" ht="38.25">
      <c r="A1029" s="108">
        <v>1646</v>
      </c>
      <c r="B1029" s="131" t="s">
        <v>17273</v>
      </c>
      <c r="C1029" s="132" t="s">
        <v>19208</v>
      </c>
      <c r="D1029" s="131" t="s">
        <v>38</v>
      </c>
      <c r="E1029" s="110" t="s">
        <v>19209</v>
      </c>
      <c r="F1029" s="131" t="s">
        <v>38</v>
      </c>
      <c r="G1029" s="133">
        <v>5.1299999999999999</v>
      </c>
      <c r="H1029" s="134">
        <v>5.1299999999999999</v>
      </c>
      <c r="I1029" s="131" t="s">
        <v>17190</v>
      </c>
      <c r="J1029" s="88"/>
    </row>
    <row r="1030" ht="38.25">
      <c r="A1030" s="108">
        <v>1137</v>
      </c>
      <c r="B1030" s="131" t="s">
        <v>17735</v>
      </c>
      <c r="C1030" s="132" t="s">
        <v>19210</v>
      </c>
      <c r="D1030" s="131" t="s">
        <v>38</v>
      </c>
      <c r="E1030" s="110" t="s">
        <v>19211</v>
      </c>
      <c r="F1030" s="131" t="s">
        <v>38</v>
      </c>
      <c r="G1030" s="133">
        <v>6.3600000000000003</v>
      </c>
      <c r="H1030" s="134">
        <v>6.3600000000000003</v>
      </c>
      <c r="I1030" s="131" t="s">
        <v>17190</v>
      </c>
      <c r="J1030" s="88"/>
    </row>
    <row r="1031" ht="25.5">
      <c r="A1031" s="108">
        <v>1535</v>
      </c>
      <c r="B1031" s="131" t="s">
        <v>17273</v>
      </c>
      <c r="C1031" s="132" t="s">
        <v>19212</v>
      </c>
      <c r="D1031" s="131" t="s">
        <v>31</v>
      </c>
      <c r="E1031" s="110" t="s">
        <v>19213</v>
      </c>
      <c r="F1031" s="131" t="s">
        <v>31</v>
      </c>
      <c r="G1031" s="133">
        <v>21.120000000000001</v>
      </c>
      <c r="H1031" s="134">
        <v>21.120000000000001</v>
      </c>
      <c r="I1031" s="131" t="s">
        <v>17190</v>
      </c>
      <c r="J1031" s="88"/>
    </row>
    <row r="1032" ht="25.5">
      <c r="A1032" s="108">
        <v>6440</v>
      </c>
      <c r="B1032" s="131" t="s">
        <v>17273</v>
      </c>
      <c r="C1032" s="132" t="s">
        <v>19214</v>
      </c>
      <c r="D1032" s="131" t="s">
        <v>31</v>
      </c>
      <c r="E1032" s="110" t="s">
        <v>19215</v>
      </c>
      <c r="F1032" s="131" t="s">
        <v>31</v>
      </c>
      <c r="G1032" s="133">
        <v>0.41999999999999998</v>
      </c>
      <c r="H1032" s="134">
        <v>0.41999999999999998</v>
      </c>
      <c r="I1032" s="131" t="s">
        <v>17190</v>
      </c>
      <c r="J1032" s="88"/>
    </row>
    <row r="1033" ht="25.5">
      <c r="A1033" s="108">
        <v>6102</v>
      </c>
      <c r="B1033" s="131" t="s">
        <v>17273</v>
      </c>
      <c r="C1033" s="132" t="s">
        <v>19216</v>
      </c>
      <c r="D1033" s="131" t="s">
        <v>31</v>
      </c>
      <c r="E1033" s="110" t="s">
        <v>19217</v>
      </c>
      <c r="F1033" s="131" t="s">
        <v>31</v>
      </c>
      <c r="G1033" s="133">
        <v>7.3200000000000003</v>
      </c>
      <c r="H1033" s="134">
        <v>7.3200000000000003</v>
      </c>
      <c r="I1033" s="131" t="s">
        <v>17190</v>
      </c>
      <c r="J1033" s="88"/>
    </row>
    <row r="1034" ht="63.75">
      <c r="A1034" s="108">
        <v>1204</v>
      </c>
      <c r="B1034" s="131" t="s">
        <v>17273</v>
      </c>
      <c r="C1034" s="132" t="s">
        <v>19218</v>
      </c>
      <c r="D1034" s="131" t="s">
        <v>31</v>
      </c>
      <c r="E1034" s="110" t="s">
        <v>19219</v>
      </c>
      <c r="F1034" s="131" t="s">
        <v>31</v>
      </c>
      <c r="G1034" s="133">
        <v>412.29000000000002</v>
      </c>
      <c r="H1034" s="134">
        <v>412.29000000000002</v>
      </c>
      <c r="I1034" s="131" t="s">
        <v>17190</v>
      </c>
      <c r="J1034" s="88"/>
    </row>
    <row r="1035" ht="38.25">
      <c r="A1035" s="108">
        <v>1872</v>
      </c>
      <c r="B1035" s="131" t="s">
        <v>18687</v>
      </c>
      <c r="C1035" s="132" t="s">
        <v>19220</v>
      </c>
      <c r="D1035" s="131" t="s">
        <v>29</v>
      </c>
      <c r="E1035" s="110" t="s">
        <v>19221</v>
      </c>
      <c r="F1035" s="131" t="s">
        <v>29</v>
      </c>
      <c r="G1035" s="133">
        <v>1027.27</v>
      </c>
      <c r="H1035" s="134">
        <v>1027.27</v>
      </c>
      <c r="I1035" s="131" t="s">
        <v>17171</v>
      </c>
      <c r="J1035" s="88"/>
    </row>
    <row r="1036" ht="38.25">
      <c r="A1036" s="108">
        <v>1895</v>
      </c>
      <c r="B1036" s="131" t="s">
        <v>18687</v>
      </c>
      <c r="C1036" s="132" t="s">
        <v>19222</v>
      </c>
      <c r="D1036" s="131" t="s">
        <v>29</v>
      </c>
      <c r="E1036" s="110" t="s">
        <v>19223</v>
      </c>
      <c r="F1036" s="131" t="s">
        <v>29</v>
      </c>
      <c r="G1036" s="133">
        <v>1295.0899999999999</v>
      </c>
      <c r="H1036" s="134">
        <v>1295.0899999999999</v>
      </c>
      <c r="I1036" s="131" t="s">
        <v>17171</v>
      </c>
      <c r="J1036" s="88"/>
    </row>
    <row r="1037" ht="38.25">
      <c r="A1037" s="108">
        <v>1719</v>
      </c>
      <c r="B1037" s="131" t="s">
        <v>18687</v>
      </c>
      <c r="C1037" s="132" t="s">
        <v>19224</v>
      </c>
      <c r="D1037" s="131" t="s">
        <v>29</v>
      </c>
      <c r="E1037" s="110" t="s">
        <v>19225</v>
      </c>
      <c r="F1037" s="131" t="s">
        <v>29</v>
      </c>
      <c r="G1037" s="133">
        <v>1126.95</v>
      </c>
      <c r="H1037" s="134">
        <v>1126.95</v>
      </c>
      <c r="I1037" s="131" t="s">
        <v>17171</v>
      </c>
      <c r="J1037" s="88"/>
    </row>
    <row r="1038" ht="38.25">
      <c r="A1038" s="108">
        <v>1871</v>
      </c>
      <c r="B1038" s="131" t="s">
        <v>18687</v>
      </c>
      <c r="C1038" s="132" t="s">
        <v>19226</v>
      </c>
      <c r="D1038" s="131" t="s">
        <v>29</v>
      </c>
      <c r="E1038" s="110" t="s">
        <v>19227</v>
      </c>
      <c r="F1038" s="131" t="s">
        <v>29</v>
      </c>
      <c r="G1038" s="133">
        <v>1002.39</v>
      </c>
      <c r="H1038" s="134">
        <v>1002.39</v>
      </c>
      <c r="I1038" s="131" t="s">
        <v>17171</v>
      </c>
      <c r="J1038" s="88"/>
    </row>
    <row r="1039" ht="51">
      <c r="A1039" s="108">
        <v>1789</v>
      </c>
      <c r="B1039" s="131" t="s">
        <v>17215</v>
      </c>
      <c r="C1039" s="132" t="s">
        <v>19228</v>
      </c>
      <c r="D1039" s="131" t="s">
        <v>31</v>
      </c>
      <c r="E1039" s="110" t="s">
        <v>19229</v>
      </c>
      <c r="F1039" s="131" t="s">
        <v>31</v>
      </c>
      <c r="G1039" s="133">
        <v>382.63999999999999</v>
      </c>
      <c r="H1039" s="134">
        <v>378.94999999999999</v>
      </c>
      <c r="I1039" s="131" t="s">
        <v>17190</v>
      </c>
      <c r="J1039" s="88"/>
    </row>
    <row r="1040" ht="51">
      <c r="A1040" s="108">
        <v>1790</v>
      </c>
      <c r="B1040" s="131" t="s">
        <v>17215</v>
      </c>
      <c r="C1040" s="132" t="s">
        <v>19230</v>
      </c>
      <c r="D1040" s="131" t="s">
        <v>31</v>
      </c>
      <c r="E1040" s="110" t="s">
        <v>19231</v>
      </c>
      <c r="F1040" s="131" t="s">
        <v>31</v>
      </c>
      <c r="G1040" s="133">
        <v>410.49000000000001</v>
      </c>
      <c r="H1040" s="134">
        <v>406.44999999999999</v>
      </c>
      <c r="I1040" s="131" t="s">
        <v>17190</v>
      </c>
      <c r="J1040" s="88"/>
    </row>
    <row r="1041" ht="51">
      <c r="A1041" s="108">
        <v>1109</v>
      </c>
      <c r="B1041" s="131" t="s">
        <v>17470</v>
      </c>
      <c r="C1041" s="132" t="s">
        <v>19232</v>
      </c>
      <c r="D1041" s="131" t="s">
        <v>31</v>
      </c>
      <c r="E1041" s="110" t="s">
        <v>19233</v>
      </c>
      <c r="F1041" s="131" t="s">
        <v>31</v>
      </c>
      <c r="G1041" s="133">
        <v>280.27999999999997</v>
      </c>
      <c r="H1041" s="134">
        <v>280.27999999999997</v>
      </c>
      <c r="I1041" s="131" t="s">
        <v>17190</v>
      </c>
      <c r="J1041" s="88"/>
    </row>
    <row r="1042" ht="38.25">
      <c r="A1042" s="108">
        <v>6321</v>
      </c>
      <c r="B1042" s="131" t="s">
        <v>17215</v>
      </c>
      <c r="C1042" s="132" t="s">
        <v>19234</v>
      </c>
      <c r="D1042" s="131" t="s">
        <v>31</v>
      </c>
      <c r="E1042" s="110" t="s">
        <v>19235</v>
      </c>
      <c r="F1042" s="131" t="s">
        <v>31</v>
      </c>
      <c r="G1042" s="133">
        <v>600.37</v>
      </c>
      <c r="H1042" s="134">
        <v>597.73000000000002</v>
      </c>
      <c r="I1042" s="131" t="s">
        <v>17190</v>
      </c>
      <c r="J1042" s="88"/>
    </row>
    <row r="1043" ht="38.25">
      <c r="A1043" s="108">
        <v>6357</v>
      </c>
      <c r="B1043" s="131" t="s">
        <v>17215</v>
      </c>
      <c r="C1043" s="132" t="s">
        <v>19236</v>
      </c>
      <c r="D1043" s="131" t="s">
        <v>29</v>
      </c>
      <c r="E1043" s="110" t="s">
        <v>19237</v>
      </c>
      <c r="F1043" s="131" t="s">
        <v>29</v>
      </c>
      <c r="G1043" s="133">
        <v>764.74000000000001</v>
      </c>
      <c r="H1043" s="134">
        <v>763.69000000000005</v>
      </c>
      <c r="I1043" s="131" t="s">
        <v>17190</v>
      </c>
      <c r="J1043" s="88"/>
    </row>
    <row r="1044" ht="25.5">
      <c r="A1044" s="108">
        <v>8376</v>
      </c>
      <c r="B1044" s="131" t="s">
        <v>18037</v>
      </c>
      <c r="C1044" s="132" t="s">
        <v>19238</v>
      </c>
      <c r="D1044" s="131" t="s">
        <v>31</v>
      </c>
      <c r="E1044" s="110" t="s">
        <v>19239</v>
      </c>
      <c r="F1044" s="131" t="s">
        <v>31</v>
      </c>
      <c r="G1044" s="133">
        <v>64.900000000000006</v>
      </c>
      <c r="H1044" s="134">
        <v>64.900000000000006</v>
      </c>
      <c r="I1044" s="131" t="s">
        <v>17171</v>
      </c>
      <c r="J1044" s="88"/>
    </row>
    <row r="1045" ht="38.25">
      <c r="A1045" s="108">
        <v>1879</v>
      </c>
      <c r="B1045" s="131" t="s">
        <v>17273</v>
      </c>
      <c r="C1045" s="132" t="s">
        <v>19240</v>
      </c>
      <c r="D1045" s="131" t="s">
        <v>31</v>
      </c>
      <c r="E1045" s="110" t="s">
        <v>19241</v>
      </c>
      <c r="F1045" s="131" t="s">
        <v>31</v>
      </c>
      <c r="G1045" s="133">
        <v>1836.3599999999999</v>
      </c>
      <c r="H1045" s="134">
        <v>1836.3599999999999</v>
      </c>
      <c r="I1045" s="131" t="s">
        <v>17190</v>
      </c>
      <c r="J1045" s="88"/>
    </row>
    <row r="1046" ht="38.25">
      <c r="A1046" s="108">
        <v>1878</v>
      </c>
      <c r="B1046" s="131" t="s">
        <v>17273</v>
      </c>
      <c r="C1046" s="132" t="s">
        <v>19242</v>
      </c>
      <c r="D1046" s="131" t="s">
        <v>31</v>
      </c>
      <c r="E1046" s="110" t="s">
        <v>19243</v>
      </c>
      <c r="F1046" s="131" t="s">
        <v>31</v>
      </c>
      <c r="G1046" s="133">
        <v>1775.0799999999999</v>
      </c>
      <c r="H1046" s="134">
        <v>1775.0799999999999</v>
      </c>
      <c r="I1046" s="131" t="s">
        <v>17190</v>
      </c>
      <c r="J1046" s="88"/>
    </row>
    <row r="1047" ht="38.25">
      <c r="A1047" s="108">
        <v>3341</v>
      </c>
      <c r="B1047" s="131" t="s">
        <v>17168</v>
      </c>
      <c r="C1047" s="132" t="s">
        <v>19244</v>
      </c>
      <c r="D1047" s="131" t="s">
        <v>31</v>
      </c>
      <c r="E1047" s="110" t="s">
        <v>19245</v>
      </c>
      <c r="F1047" s="131" t="s">
        <v>31</v>
      </c>
      <c r="G1047" s="133">
        <v>1336.76</v>
      </c>
      <c r="H1047" s="134">
        <v>1336.76</v>
      </c>
      <c r="I1047" s="131" t="s">
        <v>17190</v>
      </c>
      <c r="J1047" s="88"/>
    </row>
    <row r="1048" ht="38.25">
      <c r="A1048" s="108">
        <v>3358</v>
      </c>
      <c r="B1048" s="131" t="s">
        <v>17168</v>
      </c>
      <c r="C1048" s="132" t="s">
        <v>19246</v>
      </c>
      <c r="D1048" s="131" t="s">
        <v>31</v>
      </c>
      <c r="E1048" s="110" t="s">
        <v>19247</v>
      </c>
      <c r="F1048" s="131" t="s">
        <v>31</v>
      </c>
      <c r="G1048" s="133">
        <v>2123.21</v>
      </c>
      <c r="H1048" s="134">
        <v>2123.21</v>
      </c>
      <c r="I1048" s="131" t="s">
        <v>17190</v>
      </c>
      <c r="J1048" s="88"/>
    </row>
    <row r="1049" ht="38.25">
      <c r="A1049" s="108">
        <v>1658</v>
      </c>
      <c r="B1049" s="131" t="s">
        <v>17273</v>
      </c>
      <c r="C1049" s="132" t="s">
        <v>19248</v>
      </c>
      <c r="D1049" s="131" t="s">
        <v>31</v>
      </c>
      <c r="E1049" s="110" t="s">
        <v>19249</v>
      </c>
      <c r="F1049" s="131" t="s">
        <v>31</v>
      </c>
      <c r="G1049" s="133">
        <v>6319.2399999999998</v>
      </c>
      <c r="H1049" s="134">
        <v>6319.2399999999998</v>
      </c>
      <c r="I1049" s="131" t="s">
        <v>17190</v>
      </c>
      <c r="J1049" s="88"/>
    </row>
    <row r="1050" ht="38.25">
      <c r="A1050" s="108">
        <v>3342</v>
      </c>
      <c r="B1050" s="131" t="s">
        <v>17168</v>
      </c>
      <c r="C1050" s="132" t="s">
        <v>19250</v>
      </c>
      <c r="D1050" s="131" t="s">
        <v>31</v>
      </c>
      <c r="E1050" s="110" t="s">
        <v>19251</v>
      </c>
      <c r="F1050" s="131" t="s">
        <v>31</v>
      </c>
      <c r="G1050" s="133">
        <v>898.14999999999998</v>
      </c>
      <c r="H1050" s="134">
        <v>898.14999999999998</v>
      </c>
      <c r="I1050" s="131" t="s">
        <v>17190</v>
      </c>
      <c r="J1050" s="88"/>
    </row>
    <row r="1051" ht="38.25">
      <c r="A1051" s="108">
        <v>3343</v>
      </c>
      <c r="B1051" s="131" t="s">
        <v>17168</v>
      </c>
      <c r="C1051" s="132" t="s">
        <v>19252</v>
      </c>
      <c r="D1051" s="131" t="s">
        <v>31</v>
      </c>
      <c r="E1051" s="110" t="s">
        <v>19253</v>
      </c>
      <c r="F1051" s="131" t="s">
        <v>31</v>
      </c>
      <c r="G1051" s="133">
        <v>1748.1199999999999</v>
      </c>
      <c r="H1051" s="134">
        <v>1748.1199999999999</v>
      </c>
      <c r="I1051" s="131" t="s">
        <v>17190</v>
      </c>
      <c r="J1051" s="88"/>
    </row>
    <row r="1052" ht="38.25">
      <c r="A1052" s="108">
        <v>3354</v>
      </c>
      <c r="B1052" s="131" t="s">
        <v>17168</v>
      </c>
      <c r="C1052" s="132" t="s">
        <v>19254</v>
      </c>
      <c r="D1052" s="131" t="s">
        <v>31</v>
      </c>
      <c r="E1052" s="110" t="s">
        <v>19255</v>
      </c>
      <c r="F1052" s="131" t="s">
        <v>31</v>
      </c>
      <c r="G1052" s="133">
        <v>1514.1500000000001</v>
      </c>
      <c r="H1052" s="134">
        <v>1514.1500000000001</v>
      </c>
      <c r="I1052" s="131" t="s">
        <v>17190</v>
      </c>
      <c r="J1052" s="88"/>
    </row>
    <row r="1053" ht="38.25">
      <c r="A1053" s="108">
        <v>3355</v>
      </c>
      <c r="B1053" s="131" t="s">
        <v>17168</v>
      </c>
      <c r="C1053" s="132" t="s">
        <v>19256</v>
      </c>
      <c r="D1053" s="131" t="s">
        <v>31</v>
      </c>
      <c r="E1053" s="110" t="s">
        <v>19257</v>
      </c>
      <c r="F1053" s="131" t="s">
        <v>31</v>
      </c>
      <c r="G1053" s="133">
        <v>2140.6300000000001</v>
      </c>
      <c r="H1053" s="134">
        <v>2140.6300000000001</v>
      </c>
      <c r="I1053" s="131" t="s">
        <v>17190</v>
      </c>
      <c r="J1053" s="88"/>
    </row>
    <row r="1054" ht="38.25">
      <c r="A1054" s="108">
        <v>1537</v>
      </c>
      <c r="B1054" s="131" t="s">
        <v>17273</v>
      </c>
      <c r="C1054" s="132" t="s">
        <v>19258</v>
      </c>
      <c r="D1054" s="131" t="s">
        <v>31</v>
      </c>
      <c r="E1054" s="110" t="s">
        <v>19259</v>
      </c>
      <c r="F1054" s="131" t="s">
        <v>31</v>
      </c>
      <c r="G1054" s="133">
        <v>2334.0900000000001</v>
      </c>
      <c r="H1054" s="134">
        <v>2334.0900000000001</v>
      </c>
      <c r="I1054" s="131" t="s">
        <v>17190</v>
      </c>
      <c r="J1054" s="88"/>
    </row>
    <row r="1055" ht="38.25">
      <c r="A1055" s="108">
        <v>1659</v>
      </c>
      <c r="B1055" s="131" t="s">
        <v>17273</v>
      </c>
      <c r="C1055" s="132" t="s">
        <v>19260</v>
      </c>
      <c r="D1055" s="131" t="s">
        <v>31</v>
      </c>
      <c r="E1055" s="110" t="s">
        <v>19261</v>
      </c>
      <c r="F1055" s="131" t="s">
        <v>31</v>
      </c>
      <c r="G1055" s="133">
        <v>4372.0600000000004</v>
      </c>
      <c r="H1055" s="134">
        <v>4372.0600000000004</v>
      </c>
      <c r="I1055" s="131" t="s">
        <v>17190</v>
      </c>
      <c r="J1055" s="88"/>
    </row>
    <row r="1056" ht="25.5">
      <c r="A1056" s="108">
        <v>3347</v>
      </c>
      <c r="B1056" s="131" t="s">
        <v>17168</v>
      </c>
      <c r="C1056" s="132" t="s">
        <v>19262</v>
      </c>
      <c r="D1056" s="131" t="s">
        <v>31</v>
      </c>
      <c r="E1056" s="110" t="s">
        <v>19263</v>
      </c>
      <c r="F1056" s="131" t="s">
        <v>31</v>
      </c>
      <c r="G1056" s="133">
        <v>1548.9000000000001</v>
      </c>
      <c r="H1056" s="134">
        <v>1548.9000000000001</v>
      </c>
      <c r="I1056" s="131" t="s">
        <v>17171</v>
      </c>
      <c r="J1056" s="88"/>
    </row>
    <row r="1057">
      <c r="A1057" s="108">
        <v>3339</v>
      </c>
      <c r="B1057" s="131" t="s">
        <v>17168</v>
      </c>
      <c r="C1057" s="132" t="s">
        <v>19264</v>
      </c>
      <c r="D1057" s="131" t="s">
        <v>31</v>
      </c>
      <c r="E1057" s="110" t="s">
        <v>19265</v>
      </c>
      <c r="F1057" s="131" t="s">
        <v>31</v>
      </c>
      <c r="G1057" s="133">
        <v>2138.8600000000001</v>
      </c>
      <c r="H1057" s="134">
        <v>2138.8600000000001</v>
      </c>
      <c r="I1057" s="131" t="s">
        <v>17171</v>
      </c>
      <c r="J1057" s="88"/>
    </row>
    <row r="1058">
      <c r="A1058" s="108">
        <v>6570</v>
      </c>
      <c r="B1058" s="131" t="s">
        <v>17168</v>
      </c>
      <c r="C1058" s="132" t="s">
        <v>19266</v>
      </c>
      <c r="D1058" s="131" t="s">
        <v>31</v>
      </c>
      <c r="E1058" s="110" t="s">
        <v>19267</v>
      </c>
      <c r="F1058" s="131" t="s">
        <v>31</v>
      </c>
      <c r="G1058" s="133">
        <v>963.89999999999998</v>
      </c>
      <c r="H1058" s="134">
        <v>963.89999999999998</v>
      </c>
      <c r="I1058" s="131" t="s">
        <v>17171</v>
      </c>
      <c r="J1058" s="88"/>
    </row>
    <row r="1059" ht="25.5">
      <c r="A1059" s="108">
        <v>7100</v>
      </c>
      <c r="B1059" s="131" t="s">
        <v>17168</v>
      </c>
      <c r="C1059" s="132" t="s">
        <v>19268</v>
      </c>
      <c r="D1059" s="131" t="s">
        <v>31</v>
      </c>
      <c r="E1059" s="110" t="s">
        <v>19269</v>
      </c>
      <c r="F1059" s="131" t="s">
        <v>31</v>
      </c>
      <c r="G1059" s="133">
        <v>1073.1600000000001</v>
      </c>
      <c r="H1059" s="134">
        <v>1073.1600000000001</v>
      </c>
      <c r="I1059" s="131" t="s">
        <v>17171</v>
      </c>
      <c r="J1059" s="88"/>
    </row>
    <row r="1060" ht="63.75">
      <c r="A1060" s="108">
        <v>1881</v>
      </c>
      <c r="B1060" s="131" t="s">
        <v>17487</v>
      </c>
      <c r="C1060" s="132" t="s">
        <v>19270</v>
      </c>
      <c r="D1060" s="131" t="s">
        <v>31</v>
      </c>
      <c r="E1060" s="110" t="s">
        <v>19271</v>
      </c>
      <c r="F1060" s="131" t="s">
        <v>31</v>
      </c>
      <c r="G1060" s="133">
        <v>1872.8599999999999</v>
      </c>
      <c r="H1060" s="134">
        <v>1872.8599999999999</v>
      </c>
      <c r="I1060" s="131" t="s">
        <v>17171</v>
      </c>
      <c r="J1060" s="88"/>
    </row>
    <row r="1061" ht="63.75">
      <c r="A1061" s="108">
        <v>1880</v>
      </c>
      <c r="B1061" s="131" t="s">
        <v>17487</v>
      </c>
      <c r="C1061" s="132" t="s">
        <v>19272</v>
      </c>
      <c r="D1061" s="131" t="s">
        <v>31</v>
      </c>
      <c r="E1061" s="110" t="s">
        <v>19273</v>
      </c>
      <c r="F1061" s="131" t="s">
        <v>31</v>
      </c>
      <c r="G1061" s="133">
        <v>1397.52</v>
      </c>
      <c r="H1061" s="134">
        <v>1397.52</v>
      </c>
      <c r="I1061" s="131" t="s">
        <v>17171</v>
      </c>
      <c r="J1061" s="88"/>
    </row>
    <row r="1062" ht="25.5">
      <c r="A1062" s="108">
        <v>1142</v>
      </c>
      <c r="B1062" s="131" t="s">
        <v>19274</v>
      </c>
      <c r="C1062" s="132" t="s">
        <v>19275</v>
      </c>
      <c r="D1062" s="131" t="s">
        <v>302</v>
      </c>
      <c r="E1062" s="110" t="s">
        <v>19276</v>
      </c>
      <c r="F1062" s="131" t="s">
        <v>302</v>
      </c>
      <c r="G1062" s="133">
        <v>26.739999999999998</v>
      </c>
      <c r="H1062" s="134">
        <v>26.739999999999998</v>
      </c>
      <c r="I1062" s="131" t="s">
        <v>17190</v>
      </c>
      <c r="J1062" s="88"/>
    </row>
    <row r="1063" ht="25.5">
      <c r="A1063" s="108">
        <v>1143</v>
      </c>
      <c r="B1063" s="131" t="s">
        <v>19274</v>
      </c>
      <c r="C1063" s="132" t="s">
        <v>19277</v>
      </c>
      <c r="D1063" s="131" t="s">
        <v>302</v>
      </c>
      <c r="E1063" s="110" t="s">
        <v>19278</v>
      </c>
      <c r="F1063" s="131" t="s">
        <v>302</v>
      </c>
      <c r="G1063" s="133">
        <v>22.469999999999999</v>
      </c>
      <c r="H1063" s="134">
        <v>22.469999999999999</v>
      </c>
      <c r="I1063" s="131" t="s">
        <v>17190</v>
      </c>
      <c r="J1063" s="88"/>
    </row>
    <row r="1064" ht="25.5">
      <c r="A1064" s="108">
        <v>1040</v>
      </c>
      <c r="B1064" s="131" t="s">
        <v>19274</v>
      </c>
      <c r="C1064" s="132" t="s">
        <v>19279</v>
      </c>
      <c r="D1064" s="131" t="s">
        <v>302</v>
      </c>
      <c r="E1064" s="110" t="s">
        <v>19280</v>
      </c>
      <c r="F1064" s="131" t="s">
        <v>302</v>
      </c>
      <c r="G1064" s="133">
        <v>20.289999999999999</v>
      </c>
      <c r="H1064" s="134">
        <v>20.289999999999999</v>
      </c>
      <c r="I1064" s="131" t="s">
        <v>17190</v>
      </c>
      <c r="J1064" s="88"/>
    </row>
    <row r="1065" ht="25.5">
      <c r="A1065" s="108">
        <v>1039</v>
      </c>
      <c r="B1065" s="131" t="s">
        <v>19274</v>
      </c>
      <c r="C1065" s="132" t="s">
        <v>19281</v>
      </c>
      <c r="D1065" s="131" t="s">
        <v>302</v>
      </c>
      <c r="E1065" s="110" t="s">
        <v>19282</v>
      </c>
      <c r="F1065" s="131" t="s">
        <v>302</v>
      </c>
      <c r="G1065" s="133">
        <v>20.68</v>
      </c>
      <c r="H1065" s="134">
        <v>20.68</v>
      </c>
      <c r="I1065" s="131" t="s">
        <v>17190</v>
      </c>
      <c r="J1065" s="88"/>
    </row>
    <row r="1066" ht="25.5">
      <c r="A1066" s="108">
        <v>7433</v>
      </c>
      <c r="B1066" s="131" t="s">
        <v>19274</v>
      </c>
      <c r="C1066" s="132" t="s">
        <v>19283</v>
      </c>
      <c r="D1066" s="131" t="s">
        <v>302</v>
      </c>
      <c r="E1066" s="110" t="s">
        <v>19284</v>
      </c>
      <c r="F1066" s="131" t="s">
        <v>302</v>
      </c>
      <c r="G1066" s="133">
        <v>19.949999999999999</v>
      </c>
      <c r="H1066" s="134">
        <v>19.949999999999999</v>
      </c>
      <c r="I1066" s="131" t="s">
        <v>17190</v>
      </c>
      <c r="J1066" s="88"/>
    </row>
    <row r="1067" ht="25.5">
      <c r="A1067" s="108">
        <v>1045</v>
      </c>
      <c r="B1067" s="131" t="s">
        <v>19274</v>
      </c>
      <c r="C1067" s="132" t="s">
        <v>19285</v>
      </c>
      <c r="D1067" s="131" t="s">
        <v>302</v>
      </c>
      <c r="E1067" s="110" t="s">
        <v>19286</v>
      </c>
      <c r="F1067" s="131" t="s">
        <v>302</v>
      </c>
      <c r="G1067" s="133">
        <v>20.289999999999999</v>
      </c>
      <c r="H1067" s="134">
        <v>20.289999999999999</v>
      </c>
      <c r="I1067" s="131" t="s">
        <v>17190</v>
      </c>
      <c r="J1067" s="88"/>
    </row>
    <row r="1068" ht="25.5">
      <c r="A1068" s="108">
        <v>1629</v>
      </c>
      <c r="B1068" s="131" t="s">
        <v>17273</v>
      </c>
      <c r="C1068" s="132" t="s">
        <v>19287</v>
      </c>
      <c r="D1068" s="131" t="s">
        <v>302</v>
      </c>
      <c r="E1068" s="110" t="s">
        <v>19288</v>
      </c>
      <c r="F1068" s="131" t="s">
        <v>302</v>
      </c>
      <c r="G1068" s="133">
        <v>25.050000000000001</v>
      </c>
      <c r="H1068" s="134">
        <v>25.050000000000001</v>
      </c>
      <c r="I1068" s="131" t="s">
        <v>17190</v>
      </c>
      <c r="J1068" s="88"/>
    </row>
    <row r="1069" ht="25.5">
      <c r="A1069" s="108">
        <v>6469</v>
      </c>
      <c r="B1069" s="131" t="s">
        <v>19274</v>
      </c>
      <c r="C1069" s="132" t="s">
        <v>19289</v>
      </c>
      <c r="D1069" s="131" t="s">
        <v>302</v>
      </c>
      <c r="E1069" s="110" t="s">
        <v>19290</v>
      </c>
      <c r="F1069" s="131" t="s">
        <v>302</v>
      </c>
      <c r="G1069" s="133">
        <v>22.82</v>
      </c>
      <c r="H1069" s="134">
        <v>22.82</v>
      </c>
      <c r="I1069" s="131" t="s">
        <v>17190</v>
      </c>
      <c r="J1069" s="88"/>
    </row>
    <row r="1070" ht="38.25">
      <c r="A1070" s="108">
        <v>1589</v>
      </c>
      <c r="B1070" s="131" t="s">
        <v>17273</v>
      </c>
      <c r="C1070" s="132" t="s">
        <v>19291</v>
      </c>
      <c r="D1070" s="131" t="s">
        <v>121</v>
      </c>
      <c r="E1070" s="110" t="s">
        <v>19292</v>
      </c>
      <c r="F1070" s="131" t="s">
        <v>121</v>
      </c>
      <c r="G1070" s="133">
        <v>195.25</v>
      </c>
      <c r="H1070" s="134">
        <v>191.40000000000001</v>
      </c>
      <c r="I1070" s="131" t="s">
        <v>17190</v>
      </c>
      <c r="J1070" s="88"/>
    </row>
    <row r="1071" ht="25.5">
      <c r="A1071" s="108">
        <v>1592</v>
      </c>
      <c r="B1071" s="131" t="s">
        <v>17273</v>
      </c>
      <c r="C1071" s="132" t="s">
        <v>19293</v>
      </c>
      <c r="D1071" s="131" t="s">
        <v>29</v>
      </c>
      <c r="E1071" s="110" t="s">
        <v>19294</v>
      </c>
      <c r="F1071" s="131" t="s">
        <v>29</v>
      </c>
      <c r="G1071" s="133">
        <v>6.0199999999999996</v>
      </c>
      <c r="H1071" s="134">
        <v>5.5700000000000003</v>
      </c>
      <c r="I1071" s="131" t="s">
        <v>17190</v>
      </c>
      <c r="J1071" s="88"/>
    </row>
    <row r="1072" ht="38.25">
      <c r="A1072" s="108">
        <v>1595</v>
      </c>
      <c r="B1072" s="131" t="s">
        <v>17273</v>
      </c>
      <c r="C1072" s="132" t="s">
        <v>19295</v>
      </c>
      <c r="D1072" s="131" t="s">
        <v>121</v>
      </c>
      <c r="E1072" s="110" t="s">
        <v>19296</v>
      </c>
      <c r="F1072" s="131" t="s">
        <v>121</v>
      </c>
      <c r="G1072" s="133">
        <v>218.58000000000001</v>
      </c>
      <c r="H1072" s="134">
        <v>209.72999999999999</v>
      </c>
      <c r="I1072" s="131" t="s">
        <v>17190</v>
      </c>
      <c r="J1072" s="88"/>
    </row>
    <row r="1073">
      <c r="A1073" s="108">
        <v>1579</v>
      </c>
      <c r="B1073" s="131" t="s">
        <v>17168</v>
      </c>
      <c r="C1073" s="132" t="s">
        <v>19297</v>
      </c>
      <c r="D1073" s="131" t="s">
        <v>31</v>
      </c>
      <c r="E1073" s="110" t="s">
        <v>19298</v>
      </c>
      <c r="F1073" s="131" t="s">
        <v>31</v>
      </c>
      <c r="G1073" s="133">
        <v>2.3500000000000001</v>
      </c>
      <c r="H1073" s="134">
        <v>2.3500000000000001</v>
      </c>
      <c r="I1073" s="131" t="s">
        <v>17171</v>
      </c>
      <c r="J1073" s="88"/>
    </row>
    <row r="1074" ht="38.25">
      <c r="A1074" s="108">
        <v>6398</v>
      </c>
      <c r="B1074" s="131" t="s">
        <v>17243</v>
      </c>
      <c r="C1074" s="132" t="s">
        <v>19299</v>
      </c>
      <c r="D1074" s="131" t="s">
        <v>9794</v>
      </c>
      <c r="E1074" s="110" t="s">
        <v>19300</v>
      </c>
      <c r="F1074" s="131" t="s">
        <v>9794</v>
      </c>
      <c r="G1074" s="133">
        <v>18.5</v>
      </c>
      <c r="H1074" s="134">
        <v>18.5</v>
      </c>
      <c r="I1074" s="131" t="s">
        <v>17190</v>
      </c>
      <c r="J1074" s="88"/>
    </row>
    <row r="1075" ht="25.5">
      <c r="A1075" s="108">
        <v>2536</v>
      </c>
      <c r="B1075" s="131" t="s">
        <v>17224</v>
      </c>
      <c r="C1075" s="132" t="s">
        <v>19301</v>
      </c>
      <c r="D1075" s="131" t="s">
        <v>31</v>
      </c>
      <c r="E1075" s="110" t="s">
        <v>19302</v>
      </c>
      <c r="F1075" s="131" t="s">
        <v>31</v>
      </c>
      <c r="G1075" s="133">
        <v>8.6199999999999992</v>
      </c>
      <c r="H1075" s="134">
        <v>8.6199999999999992</v>
      </c>
      <c r="I1075" s="131" t="s">
        <v>17190</v>
      </c>
      <c r="J1075" s="88"/>
    </row>
    <row r="1076" ht="25.5">
      <c r="A1076" s="108">
        <v>2537</v>
      </c>
      <c r="B1076" s="131" t="s">
        <v>17224</v>
      </c>
      <c r="C1076" s="132" t="s">
        <v>19303</v>
      </c>
      <c r="D1076" s="131" t="s">
        <v>31</v>
      </c>
      <c r="E1076" s="110" t="s">
        <v>19304</v>
      </c>
      <c r="F1076" s="131" t="s">
        <v>31</v>
      </c>
      <c r="G1076" s="133">
        <v>12.220000000000001</v>
      </c>
      <c r="H1076" s="134">
        <v>12.220000000000001</v>
      </c>
      <c r="I1076" s="131" t="s">
        <v>17190</v>
      </c>
      <c r="J1076" s="88"/>
    </row>
    <row r="1077" ht="25.5">
      <c r="A1077" s="108">
        <v>2703</v>
      </c>
      <c r="B1077" s="131" t="s">
        <v>17235</v>
      </c>
      <c r="C1077" s="132" t="s">
        <v>17032</v>
      </c>
      <c r="D1077" s="131" t="s">
        <v>31</v>
      </c>
      <c r="E1077" s="110" t="s">
        <v>19305</v>
      </c>
      <c r="F1077" s="131" t="s">
        <v>31</v>
      </c>
      <c r="G1077" s="133">
        <v>228.69</v>
      </c>
      <c r="H1077" s="134">
        <v>228.69</v>
      </c>
      <c r="I1077" s="131" t="s">
        <v>17171</v>
      </c>
      <c r="J1077" s="88"/>
    </row>
    <row r="1078" ht="38.25">
      <c r="A1078" s="108">
        <v>7601</v>
      </c>
      <c r="B1078" s="131" t="s">
        <v>17801</v>
      </c>
      <c r="C1078" s="132" t="s">
        <v>19306</v>
      </c>
      <c r="D1078" s="131" t="s">
        <v>31</v>
      </c>
      <c r="E1078" s="110" t="s">
        <v>19307</v>
      </c>
      <c r="F1078" s="131" t="s">
        <v>31</v>
      </c>
      <c r="G1078" s="133">
        <v>314.06</v>
      </c>
      <c r="H1078" s="134">
        <v>314.06</v>
      </c>
      <c r="I1078" s="131" t="s">
        <v>17190</v>
      </c>
      <c r="J1078" s="88"/>
    </row>
    <row r="1079" ht="38.25">
      <c r="A1079" s="108">
        <v>1434</v>
      </c>
      <c r="B1079" s="131" t="s">
        <v>17801</v>
      </c>
      <c r="C1079" s="132" t="s">
        <v>19308</v>
      </c>
      <c r="D1079" s="131" t="s">
        <v>31</v>
      </c>
      <c r="E1079" s="110" t="s">
        <v>19309</v>
      </c>
      <c r="F1079" s="131" t="s">
        <v>31</v>
      </c>
      <c r="G1079" s="133">
        <v>462.51999999999998</v>
      </c>
      <c r="H1079" s="134">
        <v>462.51999999999998</v>
      </c>
      <c r="I1079" s="131" t="s">
        <v>17190</v>
      </c>
      <c r="J1079" s="88"/>
    </row>
    <row r="1080" ht="38.25">
      <c r="A1080" s="108">
        <v>6387</v>
      </c>
      <c r="B1080" s="131" t="s">
        <v>17801</v>
      </c>
      <c r="C1080" s="132" t="s">
        <v>19310</v>
      </c>
      <c r="D1080" s="131" t="s">
        <v>31</v>
      </c>
      <c r="E1080" s="110" t="s">
        <v>19311</v>
      </c>
      <c r="F1080" s="131" t="s">
        <v>31</v>
      </c>
      <c r="G1080" s="133">
        <v>649.58000000000004</v>
      </c>
      <c r="H1080" s="134">
        <v>649.58000000000004</v>
      </c>
      <c r="I1080" s="131" t="s">
        <v>17190</v>
      </c>
      <c r="J1080" s="88"/>
    </row>
    <row r="1081" ht="38.25">
      <c r="A1081" s="108">
        <v>1437</v>
      </c>
      <c r="B1081" s="131" t="s">
        <v>17801</v>
      </c>
      <c r="C1081" s="132" t="s">
        <v>19312</v>
      </c>
      <c r="D1081" s="131" t="s">
        <v>31</v>
      </c>
      <c r="E1081" s="110" t="s">
        <v>19313</v>
      </c>
      <c r="F1081" s="131" t="s">
        <v>31</v>
      </c>
      <c r="G1081" s="133">
        <v>530.41999999999996</v>
      </c>
      <c r="H1081" s="134">
        <v>530.41999999999996</v>
      </c>
      <c r="I1081" s="131" t="s">
        <v>17190</v>
      </c>
      <c r="J1081" s="88"/>
    </row>
    <row r="1082" ht="38.25">
      <c r="A1082" s="108">
        <v>1435</v>
      </c>
      <c r="B1082" s="131" t="s">
        <v>17801</v>
      </c>
      <c r="C1082" s="132" t="s">
        <v>19314</v>
      </c>
      <c r="D1082" s="131" t="s">
        <v>31</v>
      </c>
      <c r="E1082" s="110" t="s">
        <v>19315</v>
      </c>
      <c r="F1082" s="131" t="s">
        <v>31</v>
      </c>
      <c r="G1082" s="133">
        <v>533.10000000000002</v>
      </c>
      <c r="H1082" s="134">
        <v>533.10000000000002</v>
      </c>
      <c r="I1082" s="131" t="s">
        <v>17190</v>
      </c>
      <c r="J1082" s="88"/>
    </row>
    <row r="1083" ht="38.25">
      <c r="A1083" s="108">
        <v>1436</v>
      </c>
      <c r="B1083" s="131" t="s">
        <v>17801</v>
      </c>
      <c r="C1083" s="132" t="s">
        <v>19316</v>
      </c>
      <c r="D1083" s="131" t="s">
        <v>31</v>
      </c>
      <c r="E1083" s="110" t="s">
        <v>19317</v>
      </c>
      <c r="F1083" s="131" t="s">
        <v>31</v>
      </c>
      <c r="G1083" s="133">
        <v>910.90999999999997</v>
      </c>
      <c r="H1083" s="134">
        <v>910.90999999999997</v>
      </c>
      <c r="I1083" s="131" t="s">
        <v>17190</v>
      </c>
      <c r="J1083" s="88"/>
    </row>
    <row r="1084" ht="38.25">
      <c r="A1084" s="108">
        <v>3429</v>
      </c>
      <c r="B1084" s="131" t="s">
        <v>17801</v>
      </c>
      <c r="C1084" s="132" t="s">
        <v>19318</v>
      </c>
      <c r="D1084" s="131" t="s">
        <v>31</v>
      </c>
      <c r="E1084" s="110" t="s">
        <v>19319</v>
      </c>
      <c r="F1084" s="131" t="s">
        <v>31</v>
      </c>
      <c r="G1084" s="133">
        <v>551.13999999999999</v>
      </c>
      <c r="H1084" s="134">
        <v>551.13999999999999</v>
      </c>
      <c r="I1084" s="131" t="s">
        <v>17171</v>
      </c>
      <c r="J1084" s="88"/>
    </row>
    <row r="1085" ht="38.25">
      <c r="A1085" s="108">
        <v>7607</v>
      </c>
      <c r="B1085" s="131" t="s">
        <v>17801</v>
      </c>
      <c r="C1085" s="132" t="s">
        <v>19320</v>
      </c>
      <c r="D1085" s="131" t="s">
        <v>31</v>
      </c>
      <c r="E1085" s="110" t="s">
        <v>19321</v>
      </c>
      <c r="F1085" s="131" t="s">
        <v>31</v>
      </c>
      <c r="G1085" s="133">
        <v>1001.6799999999999</v>
      </c>
      <c r="H1085" s="134">
        <v>1001.6799999999999</v>
      </c>
      <c r="I1085" s="131" t="s">
        <v>17171</v>
      </c>
      <c r="J1085" s="88"/>
    </row>
    <row r="1086" ht="38.25">
      <c r="A1086" s="108">
        <v>1439</v>
      </c>
      <c r="B1086" s="131" t="s">
        <v>17801</v>
      </c>
      <c r="C1086" s="132" t="s">
        <v>19322</v>
      </c>
      <c r="D1086" s="131" t="s">
        <v>31</v>
      </c>
      <c r="E1086" s="110" t="s">
        <v>19323</v>
      </c>
      <c r="F1086" s="131" t="s">
        <v>31</v>
      </c>
      <c r="G1086" s="133">
        <v>1061.55</v>
      </c>
      <c r="H1086" s="134">
        <v>1061.55</v>
      </c>
      <c r="I1086" s="131" t="s">
        <v>17171</v>
      </c>
      <c r="J1086" s="88"/>
    </row>
    <row r="1087" ht="38.25">
      <c r="A1087" s="108">
        <v>7609</v>
      </c>
      <c r="B1087" s="131" t="s">
        <v>17801</v>
      </c>
      <c r="C1087" s="132" t="s">
        <v>19324</v>
      </c>
      <c r="D1087" s="131" t="s">
        <v>31</v>
      </c>
      <c r="E1087" s="110" t="s">
        <v>19325</v>
      </c>
      <c r="F1087" s="131" t="s">
        <v>31</v>
      </c>
      <c r="G1087" s="133">
        <v>1459.48</v>
      </c>
      <c r="H1087" s="134">
        <v>1459.48</v>
      </c>
      <c r="I1087" s="131" t="s">
        <v>17171</v>
      </c>
      <c r="J1087" s="88"/>
    </row>
    <row r="1088" ht="38.25">
      <c r="A1088" s="108">
        <v>7610</v>
      </c>
      <c r="B1088" s="131" t="s">
        <v>17801</v>
      </c>
      <c r="C1088" s="132" t="s">
        <v>19326</v>
      </c>
      <c r="D1088" s="131" t="s">
        <v>31</v>
      </c>
      <c r="E1088" s="110" t="s">
        <v>19327</v>
      </c>
      <c r="F1088" s="131" t="s">
        <v>31</v>
      </c>
      <c r="G1088" s="133">
        <v>1765.26</v>
      </c>
      <c r="H1088" s="134">
        <v>1765.26</v>
      </c>
      <c r="I1088" s="131" t="s">
        <v>17171</v>
      </c>
      <c r="J1088" s="88"/>
    </row>
    <row r="1089" ht="51">
      <c r="A1089" s="108">
        <v>1727</v>
      </c>
      <c r="B1089" s="131" t="s">
        <v>17215</v>
      </c>
      <c r="C1089" s="132" t="s">
        <v>19328</v>
      </c>
      <c r="D1089" s="131" t="s">
        <v>31</v>
      </c>
      <c r="E1089" s="110" t="s">
        <v>19329</v>
      </c>
      <c r="F1089" s="131" t="s">
        <v>31</v>
      </c>
      <c r="G1089" s="133">
        <v>474.75</v>
      </c>
      <c r="H1089" s="134">
        <v>472.62</v>
      </c>
      <c r="I1089" s="131" t="s">
        <v>17190</v>
      </c>
      <c r="J1089" s="88"/>
    </row>
    <row r="1090" ht="51">
      <c r="A1090" s="108">
        <v>1726</v>
      </c>
      <c r="B1090" s="131" t="s">
        <v>17215</v>
      </c>
      <c r="C1090" s="132" t="s">
        <v>19330</v>
      </c>
      <c r="D1090" s="131" t="s">
        <v>31</v>
      </c>
      <c r="E1090" s="110" t="s">
        <v>19331</v>
      </c>
      <c r="F1090" s="131" t="s">
        <v>31</v>
      </c>
      <c r="G1090" s="133">
        <v>497.88999999999999</v>
      </c>
      <c r="H1090" s="134">
        <v>495.73000000000002</v>
      </c>
      <c r="I1090" s="131" t="s">
        <v>17190</v>
      </c>
      <c r="J1090" s="88"/>
    </row>
    <row r="1091" ht="38.25">
      <c r="A1091" s="108">
        <v>1922</v>
      </c>
      <c r="B1091" s="131" t="s">
        <v>17273</v>
      </c>
      <c r="C1091" s="132" t="s">
        <v>19332</v>
      </c>
      <c r="D1091" s="131" t="s">
        <v>31</v>
      </c>
      <c r="E1091" s="110" t="s">
        <v>19333</v>
      </c>
      <c r="F1091" s="131" t="s">
        <v>31</v>
      </c>
      <c r="G1091" s="133">
        <v>74.280000000000001</v>
      </c>
      <c r="H1091" s="134">
        <v>73.030000000000001</v>
      </c>
      <c r="I1091" s="131" t="s">
        <v>17190</v>
      </c>
      <c r="J1091" s="88"/>
    </row>
    <row r="1092" ht="38.25">
      <c r="A1092" s="108">
        <v>1654</v>
      </c>
      <c r="B1092" s="131" t="s">
        <v>17273</v>
      </c>
      <c r="C1092" s="132" t="s">
        <v>19334</v>
      </c>
      <c r="D1092" s="131" t="s">
        <v>31</v>
      </c>
      <c r="E1092" s="110" t="s">
        <v>19335</v>
      </c>
      <c r="F1092" s="131" t="s">
        <v>31</v>
      </c>
      <c r="G1092" s="133">
        <v>55.719999999999999</v>
      </c>
      <c r="H1092" s="134">
        <v>55.719999999999999</v>
      </c>
      <c r="I1092" s="131" t="s">
        <v>17190</v>
      </c>
      <c r="J1092" s="88"/>
    </row>
    <row r="1093" ht="38.25">
      <c r="A1093" s="108">
        <v>1655</v>
      </c>
      <c r="B1093" s="131" t="s">
        <v>17273</v>
      </c>
      <c r="C1093" s="132" t="s">
        <v>19336</v>
      </c>
      <c r="D1093" s="131" t="s">
        <v>31</v>
      </c>
      <c r="E1093" s="110" t="s">
        <v>19337</v>
      </c>
      <c r="F1093" s="131" t="s">
        <v>31</v>
      </c>
      <c r="G1093" s="133">
        <v>41.109999999999999</v>
      </c>
      <c r="H1093" s="134">
        <v>41.109999999999999</v>
      </c>
      <c r="I1093" s="131" t="s">
        <v>17190</v>
      </c>
      <c r="J1093" s="88"/>
    </row>
    <row r="1094" ht="51">
      <c r="A1094" s="108">
        <v>6493</v>
      </c>
      <c r="B1094" s="131" t="s">
        <v>17801</v>
      </c>
      <c r="C1094" s="132" t="s">
        <v>19338</v>
      </c>
      <c r="D1094" s="131" t="s">
        <v>31</v>
      </c>
      <c r="E1094" s="110" t="s">
        <v>19339</v>
      </c>
      <c r="F1094" s="131" t="s">
        <v>31</v>
      </c>
      <c r="G1094" s="133">
        <v>486.68000000000001</v>
      </c>
      <c r="H1094" s="134">
        <v>486.68000000000001</v>
      </c>
      <c r="I1094" s="131" t="s">
        <v>17171</v>
      </c>
      <c r="J1094" s="88"/>
    </row>
    <row r="1095" ht="38.25">
      <c r="A1095" s="108">
        <v>2202</v>
      </c>
      <c r="B1095" s="131" t="s">
        <v>17224</v>
      </c>
      <c r="C1095" s="132" t="s">
        <v>19340</v>
      </c>
      <c r="D1095" s="131" t="s">
        <v>31</v>
      </c>
      <c r="E1095" s="110" t="s">
        <v>19341</v>
      </c>
      <c r="F1095" s="131" t="s">
        <v>31</v>
      </c>
      <c r="G1095" s="133">
        <v>12.109999999999999</v>
      </c>
      <c r="H1095" s="134">
        <v>12.109999999999999</v>
      </c>
      <c r="I1095" s="131" t="s">
        <v>17190</v>
      </c>
      <c r="J1095" s="88"/>
    </row>
    <row r="1096" ht="38.25">
      <c r="A1096" s="108">
        <v>1766</v>
      </c>
      <c r="B1096" s="131" t="s">
        <v>17215</v>
      </c>
      <c r="C1096" s="132" t="s">
        <v>19342</v>
      </c>
      <c r="D1096" s="131" t="s">
        <v>31</v>
      </c>
      <c r="E1096" s="110" t="s">
        <v>19343</v>
      </c>
      <c r="F1096" s="131" t="s">
        <v>31</v>
      </c>
      <c r="G1096" s="133">
        <v>17.300000000000001</v>
      </c>
      <c r="H1096" s="134">
        <v>16.719999999999999</v>
      </c>
      <c r="I1096" s="131" t="s">
        <v>17190</v>
      </c>
      <c r="J1096" s="88"/>
    </row>
    <row r="1097" ht="38.25">
      <c r="A1097" s="108">
        <v>2700</v>
      </c>
      <c r="B1097" s="131" t="s">
        <v>17235</v>
      </c>
      <c r="C1097" s="132" t="s">
        <v>19344</v>
      </c>
      <c r="D1097" s="131" t="s">
        <v>31</v>
      </c>
      <c r="E1097" s="110" t="s">
        <v>19345</v>
      </c>
      <c r="F1097" s="131" t="s">
        <v>31</v>
      </c>
      <c r="G1097" s="133">
        <v>2159.25</v>
      </c>
      <c r="H1097" s="134">
        <v>2159.25</v>
      </c>
      <c r="I1097" s="131" t="s">
        <v>17171</v>
      </c>
      <c r="J1097" s="88"/>
    </row>
    <row r="1098" ht="51">
      <c r="A1098" s="108">
        <v>1791</v>
      </c>
      <c r="B1098" s="131" t="s">
        <v>17215</v>
      </c>
      <c r="C1098" s="132" t="s">
        <v>19346</v>
      </c>
      <c r="D1098" s="131" t="s">
        <v>38</v>
      </c>
      <c r="E1098" s="110" t="s">
        <v>19347</v>
      </c>
      <c r="F1098" s="131" t="s">
        <v>38</v>
      </c>
      <c r="G1098" s="133">
        <v>8.0399999999999991</v>
      </c>
      <c r="H1098" s="134">
        <v>7.4100000000000001</v>
      </c>
      <c r="I1098" s="131" t="s">
        <v>17190</v>
      </c>
      <c r="J1098" s="88"/>
    </row>
    <row r="1099" ht="38.25">
      <c r="A1099" s="108">
        <v>1786</v>
      </c>
      <c r="B1099" s="131" t="s">
        <v>17215</v>
      </c>
      <c r="C1099" s="132" t="s">
        <v>19348</v>
      </c>
      <c r="D1099" s="131" t="s">
        <v>38</v>
      </c>
      <c r="E1099" s="110" t="s">
        <v>19349</v>
      </c>
      <c r="F1099" s="131" t="s">
        <v>38</v>
      </c>
      <c r="G1099" s="133">
        <v>7.2300000000000004</v>
      </c>
      <c r="H1099" s="134">
        <v>6.6699999999999999</v>
      </c>
      <c r="I1099" s="131" t="s">
        <v>17190</v>
      </c>
      <c r="J1099" s="88"/>
    </row>
    <row r="1100" ht="25.5">
      <c r="A1100" s="108">
        <v>6304</v>
      </c>
      <c r="B1100" s="131" t="s">
        <v>17215</v>
      </c>
      <c r="C1100" s="132" t="s">
        <v>19350</v>
      </c>
      <c r="D1100" s="131" t="s">
        <v>121</v>
      </c>
      <c r="E1100" s="110" t="s">
        <v>19351</v>
      </c>
      <c r="F1100" s="131" t="s">
        <v>121</v>
      </c>
      <c r="G1100" s="133">
        <v>49.740000000000002</v>
      </c>
      <c r="H1100" s="134">
        <v>46.189999999999998</v>
      </c>
      <c r="I1100" s="131" t="s">
        <v>17171</v>
      </c>
      <c r="J1100" s="88"/>
    </row>
    <row r="1101">
      <c r="A1101" s="108">
        <v>3441</v>
      </c>
      <c r="B1101" s="131" t="s">
        <v>17487</v>
      </c>
      <c r="C1101" s="132" t="s">
        <v>16046</v>
      </c>
      <c r="D1101" s="131" t="s">
        <v>31</v>
      </c>
      <c r="E1101" s="110" t="s">
        <v>19352</v>
      </c>
      <c r="F1101" s="131" t="s">
        <v>31</v>
      </c>
      <c r="G1101" s="133">
        <v>121.44</v>
      </c>
      <c r="H1101" s="134">
        <v>121.44</v>
      </c>
      <c r="I1101" s="131" t="s">
        <v>17171</v>
      </c>
      <c r="J1101" s="88"/>
    </row>
    <row r="1102">
      <c r="A1102" s="108">
        <v>7402</v>
      </c>
      <c r="B1102" s="131" t="s">
        <v>17487</v>
      </c>
      <c r="C1102" s="132" t="s">
        <v>19353</v>
      </c>
      <c r="D1102" s="131" t="s">
        <v>31</v>
      </c>
      <c r="E1102" s="110" t="s">
        <v>19354</v>
      </c>
      <c r="F1102" s="131" t="s">
        <v>31</v>
      </c>
      <c r="G1102" s="133">
        <v>149.06</v>
      </c>
      <c r="H1102" s="134">
        <v>149.06</v>
      </c>
      <c r="I1102" s="131" t="s">
        <v>17171</v>
      </c>
      <c r="J1102" s="88"/>
    </row>
    <row r="1103" ht="38.25">
      <c r="A1103" s="108">
        <v>1624</v>
      </c>
      <c r="B1103" s="131" t="s">
        <v>17273</v>
      </c>
      <c r="C1103" s="132" t="s">
        <v>19355</v>
      </c>
      <c r="D1103" s="131" t="s">
        <v>302</v>
      </c>
      <c r="E1103" s="110" t="s">
        <v>19356</v>
      </c>
      <c r="F1103" s="131" t="s">
        <v>302</v>
      </c>
      <c r="G1103" s="133">
        <v>121.09999999999999</v>
      </c>
      <c r="H1103" s="134">
        <v>121.09999999999999</v>
      </c>
      <c r="I1103" s="131" t="s">
        <v>17190</v>
      </c>
      <c r="J1103" s="88"/>
    </row>
    <row r="1104" ht="25.5">
      <c r="A1104" s="108">
        <v>1663</v>
      </c>
      <c r="B1104" s="131" t="s">
        <v>17273</v>
      </c>
      <c r="C1104" s="132" t="s">
        <v>19357</v>
      </c>
      <c r="D1104" s="131" t="s">
        <v>31</v>
      </c>
      <c r="E1104" s="110" t="s">
        <v>19358</v>
      </c>
      <c r="F1104" s="131" t="s">
        <v>31</v>
      </c>
      <c r="G1104" s="133">
        <v>46.799999999999997</v>
      </c>
      <c r="H1104" s="134">
        <v>46.799999999999997</v>
      </c>
      <c r="I1104" s="131" t="s">
        <v>17190</v>
      </c>
      <c r="J1104" s="88"/>
    </row>
    <row r="1105" ht="25.5">
      <c r="A1105" s="108">
        <v>1612</v>
      </c>
      <c r="B1105" s="131" t="s">
        <v>17487</v>
      </c>
      <c r="C1105" s="132" t="s">
        <v>19359</v>
      </c>
      <c r="D1105" s="131" t="s">
        <v>31</v>
      </c>
      <c r="E1105" s="110" t="s">
        <v>19360</v>
      </c>
      <c r="F1105" s="131" t="s">
        <v>31</v>
      </c>
      <c r="G1105" s="133">
        <v>185.19999999999999</v>
      </c>
      <c r="H1105" s="134">
        <v>185.19999999999999</v>
      </c>
      <c r="I1105" s="131" t="s">
        <v>17171</v>
      </c>
      <c r="J1105" s="88"/>
    </row>
    <row r="1106" ht="38.25">
      <c r="A1106" s="108">
        <v>3495</v>
      </c>
      <c r="B1106" s="131" t="s">
        <v>17487</v>
      </c>
      <c r="C1106" s="132" t="s">
        <v>19361</v>
      </c>
      <c r="D1106" s="131" t="s">
        <v>31</v>
      </c>
      <c r="E1106" s="110" t="s">
        <v>19362</v>
      </c>
      <c r="F1106" s="131" t="s">
        <v>31</v>
      </c>
      <c r="G1106" s="133">
        <v>234.40000000000001</v>
      </c>
      <c r="H1106" s="134">
        <v>234.40000000000001</v>
      </c>
      <c r="I1106" s="131" t="s">
        <v>17171</v>
      </c>
      <c r="J1106" s="88"/>
    </row>
    <row r="1107" ht="38.25">
      <c r="A1107" s="108">
        <v>1832</v>
      </c>
      <c r="B1107" s="131" t="s">
        <v>17215</v>
      </c>
      <c r="C1107" s="132" t="s">
        <v>19363</v>
      </c>
      <c r="D1107" s="131" t="s">
        <v>31</v>
      </c>
      <c r="E1107" s="110" t="s">
        <v>19364</v>
      </c>
      <c r="F1107" s="131" t="s">
        <v>31</v>
      </c>
      <c r="G1107" s="133">
        <v>28.57</v>
      </c>
      <c r="H1107" s="134">
        <v>28.289999999999999</v>
      </c>
      <c r="I1107" s="131" t="s">
        <v>17190</v>
      </c>
      <c r="J1107" s="88"/>
    </row>
    <row r="1108" ht="38.25">
      <c r="A1108" s="108">
        <v>1833</v>
      </c>
      <c r="B1108" s="131" t="s">
        <v>17215</v>
      </c>
      <c r="C1108" s="132" t="s">
        <v>19365</v>
      </c>
      <c r="D1108" s="131" t="s">
        <v>31</v>
      </c>
      <c r="E1108" s="110" t="s">
        <v>19366</v>
      </c>
      <c r="F1108" s="131" t="s">
        <v>31</v>
      </c>
      <c r="G1108" s="133">
        <v>57.609999999999999</v>
      </c>
      <c r="H1108" s="134">
        <v>57.210000000000001</v>
      </c>
      <c r="I1108" s="131" t="s">
        <v>17190</v>
      </c>
      <c r="J1108" s="88"/>
    </row>
    <row r="1109" ht="38.25">
      <c r="A1109" s="108">
        <v>1847</v>
      </c>
      <c r="B1109" s="131" t="s">
        <v>17215</v>
      </c>
      <c r="C1109" s="132" t="s">
        <v>19367</v>
      </c>
      <c r="D1109" s="131" t="s">
        <v>31</v>
      </c>
      <c r="E1109" s="110" t="s">
        <v>19368</v>
      </c>
      <c r="F1109" s="131" t="s">
        <v>31</v>
      </c>
      <c r="G1109" s="133">
        <v>95.680000000000007</v>
      </c>
      <c r="H1109" s="134">
        <v>94.569999999999993</v>
      </c>
      <c r="I1109" s="131" t="s">
        <v>17190</v>
      </c>
      <c r="J1109" s="88"/>
    </row>
    <row r="1110" ht="38.25">
      <c r="A1110" s="108">
        <v>1846</v>
      </c>
      <c r="B1110" s="131" t="s">
        <v>17215</v>
      </c>
      <c r="C1110" s="132" t="s">
        <v>19369</v>
      </c>
      <c r="D1110" s="131" t="s">
        <v>31</v>
      </c>
      <c r="E1110" s="110" t="s">
        <v>19370</v>
      </c>
      <c r="F1110" s="131" t="s">
        <v>31</v>
      </c>
      <c r="G1110" s="133">
        <v>70.390000000000001</v>
      </c>
      <c r="H1110" s="134">
        <v>69.480000000000004</v>
      </c>
      <c r="I1110" s="131" t="s">
        <v>17190</v>
      </c>
      <c r="J1110" s="88"/>
    </row>
    <row r="1111" ht="38.25">
      <c r="A1111" s="108">
        <v>1736</v>
      </c>
      <c r="B1111" s="131" t="s">
        <v>17215</v>
      </c>
      <c r="C1111" s="132" t="s">
        <v>19371</v>
      </c>
      <c r="D1111" s="131" t="s">
        <v>31</v>
      </c>
      <c r="E1111" s="110" t="s">
        <v>19372</v>
      </c>
      <c r="F1111" s="131" t="s">
        <v>31</v>
      </c>
      <c r="G1111" s="133">
        <v>19.07</v>
      </c>
      <c r="H1111" s="134">
        <v>18.789999999999999</v>
      </c>
      <c r="I1111" s="131" t="s">
        <v>17190</v>
      </c>
      <c r="J1111" s="88"/>
    </row>
    <row r="1112" ht="25.5">
      <c r="A1112" s="108">
        <v>2403</v>
      </c>
      <c r="B1112" s="131" t="s">
        <v>19373</v>
      </c>
      <c r="C1112" s="132" t="s">
        <v>19374</v>
      </c>
      <c r="D1112" s="131" t="s">
        <v>31</v>
      </c>
      <c r="E1112" s="110" t="s">
        <v>19375</v>
      </c>
      <c r="F1112" s="131" t="s">
        <v>31</v>
      </c>
      <c r="G1112" s="133">
        <v>53.030000000000001</v>
      </c>
      <c r="H1112" s="134">
        <v>53.030000000000001</v>
      </c>
      <c r="I1112" s="131" t="s">
        <v>17190</v>
      </c>
      <c r="J1112" s="88"/>
    </row>
    <row r="1113" ht="25.5">
      <c r="A1113" s="108">
        <v>2400</v>
      </c>
      <c r="B1113" s="131" t="s">
        <v>19373</v>
      </c>
      <c r="C1113" s="132" t="s">
        <v>19376</v>
      </c>
      <c r="D1113" s="131" t="s">
        <v>31</v>
      </c>
      <c r="E1113" s="110" t="s">
        <v>19377</v>
      </c>
      <c r="F1113" s="131" t="s">
        <v>31</v>
      </c>
      <c r="G1113" s="133">
        <v>153.19999999999999</v>
      </c>
      <c r="H1113" s="134">
        <v>153.19999999999999</v>
      </c>
      <c r="I1113" s="131" t="s">
        <v>17190</v>
      </c>
      <c r="J1113" s="88"/>
    </row>
    <row r="1114" ht="25.5">
      <c r="A1114" s="108">
        <v>2401</v>
      </c>
      <c r="B1114" s="131" t="s">
        <v>19373</v>
      </c>
      <c r="C1114" s="132" t="s">
        <v>19378</v>
      </c>
      <c r="D1114" s="131" t="s">
        <v>31</v>
      </c>
      <c r="E1114" s="110" t="s">
        <v>19379</v>
      </c>
      <c r="F1114" s="131" t="s">
        <v>31</v>
      </c>
      <c r="G1114" s="133">
        <v>185.47999999999999</v>
      </c>
      <c r="H1114" s="134">
        <v>185.47999999999999</v>
      </c>
      <c r="I1114" s="131" t="s">
        <v>17190</v>
      </c>
      <c r="J1114" s="88"/>
    </row>
    <row r="1115" ht="25.5">
      <c r="A1115" s="108">
        <v>2410</v>
      </c>
      <c r="B1115" s="131" t="s">
        <v>19373</v>
      </c>
      <c r="C1115" s="132" t="s">
        <v>19380</v>
      </c>
      <c r="D1115" s="131" t="s">
        <v>31</v>
      </c>
      <c r="E1115" s="110" t="s">
        <v>19381</v>
      </c>
      <c r="F1115" s="131" t="s">
        <v>31</v>
      </c>
      <c r="G1115" s="133">
        <v>47.640000000000001</v>
      </c>
      <c r="H1115" s="134">
        <v>47.640000000000001</v>
      </c>
      <c r="I1115" s="131" t="s">
        <v>17190</v>
      </c>
      <c r="J1115" s="88"/>
    </row>
    <row r="1116" ht="51">
      <c r="A1116" s="108">
        <v>8459</v>
      </c>
      <c r="B1116" s="131" t="s">
        <v>17194</v>
      </c>
      <c r="C1116" s="132" t="s">
        <v>19382</v>
      </c>
      <c r="D1116" s="131" t="s">
        <v>31</v>
      </c>
      <c r="E1116" s="110" t="s">
        <v>19383</v>
      </c>
      <c r="F1116" s="131" t="s">
        <v>31</v>
      </c>
      <c r="G1116" s="133">
        <v>180</v>
      </c>
      <c r="H1116" s="134">
        <v>180</v>
      </c>
      <c r="I1116" s="131" t="s">
        <v>17190</v>
      </c>
      <c r="J1116" s="88"/>
    </row>
    <row r="1117" ht="25.5">
      <c r="A1117" s="108">
        <v>2414</v>
      </c>
      <c r="B1117" s="131" t="s">
        <v>19373</v>
      </c>
      <c r="C1117" s="132" t="s">
        <v>19384</v>
      </c>
      <c r="D1117" s="131" t="s">
        <v>31</v>
      </c>
      <c r="E1117" s="110" t="s">
        <v>19385</v>
      </c>
      <c r="F1117" s="131" t="s">
        <v>31</v>
      </c>
      <c r="G1117" s="133">
        <v>44.93</v>
      </c>
      <c r="H1117" s="134">
        <v>44.93</v>
      </c>
      <c r="I1117" s="131" t="s">
        <v>17190</v>
      </c>
      <c r="J1117" s="88"/>
    </row>
    <row r="1118" ht="25.5">
      <c r="A1118" s="108">
        <v>1704</v>
      </c>
      <c r="B1118" s="131" t="s">
        <v>18576</v>
      </c>
      <c r="C1118" s="132" t="s">
        <v>19386</v>
      </c>
      <c r="D1118" s="131" t="s">
        <v>31</v>
      </c>
      <c r="E1118" s="110" t="s">
        <v>19387</v>
      </c>
      <c r="F1118" s="131" t="s">
        <v>31</v>
      </c>
      <c r="G1118" s="133">
        <v>124.22</v>
      </c>
      <c r="H1118" s="134">
        <v>124.22</v>
      </c>
      <c r="I1118" s="131" t="s">
        <v>17171</v>
      </c>
      <c r="J1118" s="88"/>
    </row>
    <row r="1119" ht="38.25">
      <c r="A1119" s="108">
        <v>6308</v>
      </c>
      <c r="B1119" s="131" t="s">
        <v>17215</v>
      </c>
      <c r="C1119" s="132" t="s">
        <v>19388</v>
      </c>
      <c r="D1119" s="131" t="s">
        <v>29</v>
      </c>
      <c r="E1119" s="110" t="s">
        <v>19389</v>
      </c>
      <c r="F1119" s="131" t="s">
        <v>29</v>
      </c>
      <c r="G1119" s="133">
        <v>28.079999999999998</v>
      </c>
      <c r="H1119" s="134">
        <v>26.460000000000001</v>
      </c>
      <c r="I1119" s="131" t="s">
        <v>17171</v>
      </c>
      <c r="J1119" s="88"/>
    </row>
    <row r="1120" ht="25.5">
      <c r="A1120" s="108">
        <v>6303</v>
      </c>
      <c r="B1120" s="131" t="s">
        <v>17215</v>
      </c>
      <c r="C1120" s="132" t="s">
        <v>19390</v>
      </c>
      <c r="D1120" s="131" t="s">
        <v>29</v>
      </c>
      <c r="E1120" s="110" t="s">
        <v>19391</v>
      </c>
      <c r="F1120" s="131" t="s">
        <v>29</v>
      </c>
      <c r="G1120" s="133">
        <v>31.109999999999999</v>
      </c>
      <c r="H1120" s="134">
        <v>28.890000000000001</v>
      </c>
      <c r="I1120" s="131" t="s">
        <v>17171</v>
      </c>
      <c r="J1120" s="88"/>
    </row>
    <row r="1121">
      <c r="A1121" s="108">
        <v>2730</v>
      </c>
      <c r="B1121" s="131" t="s">
        <v>17345</v>
      </c>
      <c r="C1121" s="132" t="s">
        <v>19392</v>
      </c>
      <c r="D1121" s="131" t="s">
        <v>302</v>
      </c>
      <c r="E1121" s="110" t="s">
        <v>19393</v>
      </c>
      <c r="F1121" s="131" t="s">
        <v>302</v>
      </c>
      <c r="G1121" s="133">
        <v>4.9900000000000002</v>
      </c>
      <c r="H1121" s="134">
        <v>4.9900000000000002</v>
      </c>
      <c r="I1121" s="131" t="s">
        <v>17190</v>
      </c>
      <c r="J1121" s="88"/>
    </row>
    <row r="1122">
      <c r="A1122" s="108">
        <v>6063</v>
      </c>
      <c r="B1122" s="131" t="s">
        <v>17345</v>
      </c>
      <c r="C1122" s="132" t="s">
        <v>19392</v>
      </c>
      <c r="D1122" s="131" t="s">
        <v>302</v>
      </c>
      <c r="E1122" s="110" t="s">
        <v>19394</v>
      </c>
      <c r="F1122" s="131" t="s">
        <v>302</v>
      </c>
      <c r="G1122" s="133">
        <v>4.9900000000000002</v>
      </c>
      <c r="H1122" s="134">
        <v>4.9900000000000002</v>
      </c>
      <c r="I1122" s="131" t="s">
        <v>17190</v>
      </c>
      <c r="J1122" s="88"/>
    </row>
    <row r="1123">
      <c r="A1123" s="108">
        <v>2736</v>
      </c>
      <c r="B1123" s="131" t="s">
        <v>17345</v>
      </c>
      <c r="C1123" s="132" t="s">
        <v>19395</v>
      </c>
      <c r="D1123" s="131" t="s">
        <v>302</v>
      </c>
      <c r="E1123" s="110" t="s">
        <v>19396</v>
      </c>
      <c r="F1123" s="131" t="s">
        <v>302</v>
      </c>
      <c r="G1123" s="133">
        <v>105.12</v>
      </c>
      <c r="H1123" s="134">
        <v>105.12</v>
      </c>
      <c r="I1123" s="131" t="s">
        <v>17190</v>
      </c>
      <c r="J1123" s="88"/>
    </row>
    <row r="1124" ht="25.5">
      <c r="A1124" s="108">
        <v>6624</v>
      </c>
      <c r="B1124" s="131" t="s">
        <v>17801</v>
      </c>
      <c r="C1124" s="132" t="s">
        <v>19397</v>
      </c>
      <c r="D1124" s="131" t="s">
        <v>31</v>
      </c>
      <c r="E1124" s="110" t="s">
        <v>19398</v>
      </c>
      <c r="F1124" s="131" t="s">
        <v>31</v>
      </c>
      <c r="G1124" s="133">
        <v>133.33000000000001</v>
      </c>
      <c r="H1124" s="134">
        <v>133.33000000000001</v>
      </c>
      <c r="I1124" s="131" t="s">
        <v>17171</v>
      </c>
      <c r="J1124" s="88"/>
    </row>
    <row r="1125" ht="25.5">
      <c r="A1125" s="108">
        <v>6625</v>
      </c>
      <c r="B1125" s="131" t="s">
        <v>17801</v>
      </c>
      <c r="C1125" s="132" t="s">
        <v>19399</v>
      </c>
      <c r="D1125" s="131" t="s">
        <v>31</v>
      </c>
      <c r="E1125" s="110" t="s">
        <v>19400</v>
      </c>
      <c r="F1125" s="131" t="s">
        <v>31</v>
      </c>
      <c r="G1125" s="133">
        <v>165.86000000000001</v>
      </c>
      <c r="H1125" s="134">
        <v>165.86000000000001</v>
      </c>
      <c r="I1125" s="131" t="s">
        <v>17171</v>
      </c>
      <c r="J1125" s="88"/>
    </row>
    <row r="1126" ht="25.5">
      <c r="A1126" s="108">
        <v>6626</v>
      </c>
      <c r="B1126" s="131" t="s">
        <v>17801</v>
      </c>
      <c r="C1126" s="132" t="s">
        <v>19401</v>
      </c>
      <c r="D1126" s="131" t="s">
        <v>31</v>
      </c>
      <c r="E1126" s="110" t="s">
        <v>19402</v>
      </c>
      <c r="F1126" s="131" t="s">
        <v>31</v>
      </c>
      <c r="G1126" s="133">
        <v>153.28</v>
      </c>
      <c r="H1126" s="134">
        <v>153.28</v>
      </c>
      <c r="I1126" s="131" t="s">
        <v>17171</v>
      </c>
      <c r="J1126" s="88"/>
    </row>
    <row r="1127" ht="25.5">
      <c r="A1127" s="108">
        <v>6631</v>
      </c>
      <c r="B1127" s="131" t="s">
        <v>17801</v>
      </c>
      <c r="C1127" s="132" t="s">
        <v>19403</v>
      </c>
      <c r="D1127" s="131" t="s">
        <v>31</v>
      </c>
      <c r="E1127" s="110" t="s">
        <v>19404</v>
      </c>
      <c r="F1127" s="131" t="s">
        <v>31</v>
      </c>
      <c r="G1127" s="133">
        <v>289.77999999999997</v>
      </c>
      <c r="H1127" s="134">
        <v>289.77999999999997</v>
      </c>
      <c r="I1127" s="131" t="s">
        <v>17171</v>
      </c>
      <c r="J1127" s="88"/>
    </row>
    <row r="1128" ht="25.5">
      <c r="A1128" s="108">
        <v>6627</v>
      </c>
      <c r="B1128" s="131" t="s">
        <v>17801</v>
      </c>
      <c r="C1128" s="132" t="s">
        <v>19405</v>
      </c>
      <c r="D1128" s="131" t="s">
        <v>31</v>
      </c>
      <c r="E1128" s="110" t="s">
        <v>19406</v>
      </c>
      <c r="F1128" s="131" t="s">
        <v>31</v>
      </c>
      <c r="G1128" s="133">
        <v>358.02999999999997</v>
      </c>
      <c r="H1128" s="134">
        <v>358.02999999999997</v>
      </c>
      <c r="I1128" s="131" t="s">
        <v>17171</v>
      </c>
      <c r="J1128" s="88"/>
    </row>
    <row r="1129" ht="25.5">
      <c r="A1129" s="108">
        <v>6623</v>
      </c>
      <c r="B1129" s="131" t="s">
        <v>17801</v>
      </c>
      <c r="C1129" s="132" t="s">
        <v>19407</v>
      </c>
      <c r="D1129" s="131" t="s">
        <v>31</v>
      </c>
      <c r="E1129" s="110" t="s">
        <v>19408</v>
      </c>
      <c r="F1129" s="131" t="s">
        <v>31</v>
      </c>
      <c r="G1129" s="133">
        <v>187.33000000000001</v>
      </c>
      <c r="H1129" s="134">
        <v>187.33000000000001</v>
      </c>
      <c r="I1129" s="131" t="s">
        <v>17171</v>
      </c>
      <c r="J1129" s="88"/>
    </row>
    <row r="1130" ht="25.5">
      <c r="A1130" s="108">
        <v>7180</v>
      </c>
      <c r="B1130" s="131" t="s">
        <v>17828</v>
      </c>
      <c r="C1130" s="132" t="s">
        <v>19409</v>
      </c>
      <c r="D1130" s="131" t="s">
        <v>31</v>
      </c>
      <c r="E1130" s="110" t="s">
        <v>19410</v>
      </c>
      <c r="F1130" s="131" t="s">
        <v>31</v>
      </c>
      <c r="G1130" s="133">
        <v>35.460000000000001</v>
      </c>
      <c r="H1130" s="134">
        <v>35.460000000000001</v>
      </c>
      <c r="I1130" s="131" t="s">
        <v>17190</v>
      </c>
      <c r="J1130" s="88"/>
    </row>
    <row r="1131" ht="25.5">
      <c r="A1131" s="108">
        <v>1618</v>
      </c>
      <c r="B1131" s="131" t="s">
        <v>17182</v>
      </c>
      <c r="C1131" s="132" t="s">
        <v>19411</v>
      </c>
      <c r="D1131" s="131" t="s">
        <v>31</v>
      </c>
      <c r="E1131" s="110" t="s">
        <v>19412</v>
      </c>
      <c r="F1131" s="131" t="s">
        <v>31</v>
      </c>
      <c r="G1131" s="133">
        <v>333.89999999999998</v>
      </c>
      <c r="H1131" s="134">
        <v>333.89999999999998</v>
      </c>
      <c r="I1131" s="131" t="s">
        <v>17171</v>
      </c>
      <c r="J1131" s="88"/>
    </row>
    <row r="1132" ht="25.5">
      <c r="A1132" s="108">
        <v>2415</v>
      </c>
      <c r="B1132" s="131" t="s">
        <v>17182</v>
      </c>
      <c r="C1132" s="132" t="s">
        <v>19413</v>
      </c>
      <c r="D1132" s="131" t="s">
        <v>31</v>
      </c>
      <c r="E1132" s="110" t="s">
        <v>19414</v>
      </c>
      <c r="F1132" s="131" t="s">
        <v>31</v>
      </c>
      <c r="G1132" s="133">
        <v>114.65000000000001</v>
      </c>
      <c r="H1132" s="134">
        <v>114.65000000000001</v>
      </c>
      <c r="I1132" s="131" t="s">
        <v>17171</v>
      </c>
      <c r="J1132" s="88"/>
    </row>
    <row r="1133" ht="38.25">
      <c r="A1133" s="108">
        <v>8032</v>
      </c>
      <c r="B1133" s="131" t="s">
        <v>17182</v>
      </c>
      <c r="C1133" s="132" t="s">
        <v>19415</v>
      </c>
      <c r="D1133" s="131" t="s">
        <v>31</v>
      </c>
      <c r="E1133" s="110" t="s">
        <v>19416</v>
      </c>
      <c r="F1133" s="131" t="s">
        <v>31</v>
      </c>
      <c r="G1133" s="133">
        <v>28040</v>
      </c>
      <c r="H1133" s="134">
        <v>28040</v>
      </c>
      <c r="I1133" s="131" t="s">
        <v>17171</v>
      </c>
      <c r="J1133" s="88"/>
    </row>
    <row r="1134" ht="38.25">
      <c r="A1134" s="108">
        <v>8033</v>
      </c>
      <c r="B1134" s="131" t="s">
        <v>17182</v>
      </c>
      <c r="C1134" s="132" t="s">
        <v>19417</v>
      </c>
      <c r="D1134" s="131" t="s">
        <v>31</v>
      </c>
      <c r="E1134" s="110" t="s">
        <v>19418</v>
      </c>
      <c r="F1134" s="131" t="s">
        <v>31</v>
      </c>
      <c r="G1134" s="133">
        <v>35200</v>
      </c>
      <c r="H1134" s="134">
        <v>35200</v>
      </c>
      <c r="I1134" s="131" t="s">
        <v>17171</v>
      </c>
      <c r="J1134" s="88"/>
    </row>
    <row r="1135" ht="38.25">
      <c r="A1135" s="108">
        <v>8034</v>
      </c>
      <c r="B1135" s="131" t="s">
        <v>17182</v>
      </c>
      <c r="C1135" s="132" t="s">
        <v>19419</v>
      </c>
      <c r="D1135" s="131" t="s">
        <v>31</v>
      </c>
      <c r="E1135" s="110" t="s">
        <v>19420</v>
      </c>
      <c r="F1135" s="131" t="s">
        <v>31</v>
      </c>
      <c r="G1135" s="133">
        <v>47200</v>
      </c>
      <c r="H1135" s="134">
        <v>47200</v>
      </c>
      <c r="I1135" s="131" t="s">
        <v>17171</v>
      </c>
      <c r="J1135" s="88"/>
    </row>
    <row r="1136" ht="38.25">
      <c r="A1136" s="108">
        <v>8031</v>
      </c>
      <c r="B1136" s="131" t="s">
        <v>17182</v>
      </c>
      <c r="C1136" s="132" t="s">
        <v>19421</v>
      </c>
      <c r="D1136" s="131" t="s">
        <v>31</v>
      </c>
      <c r="E1136" s="110" t="s">
        <v>19422</v>
      </c>
      <c r="F1136" s="131" t="s">
        <v>31</v>
      </c>
      <c r="G1136" s="133">
        <v>19900</v>
      </c>
      <c r="H1136" s="134">
        <v>19900</v>
      </c>
      <c r="I1136" s="131" t="s">
        <v>17171</v>
      </c>
      <c r="J1136" s="88"/>
    </row>
    <row r="1137" ht="25.5">
      <c r="A1137" s="108">
        <v>6532</v>
      </c>
      <c r="B1137" s="131" t="s">
        <v>17187</v>
      </c>
      <c r="C1137" s="132" t="s">
        <v>19423</v>
      </c>
      <c r="D1137" s="131" t="s">
        <v>9794</v>
      </c>
      <c r="E1137" s="110" t="s">
        <v>19424</v>
      </c>
      <c r="F1137" s="131" t="s">
        <v>9794</v>
      </c>
      <c r="G1137" s="133">
        <v>32.689999999999998</v>
      </c>
      <c r="H1137" s="134">
        <v>32.689999999999998</v>
      </c>
      <c r="I1137" s="131" t="s">
        <v>17190</v>
      </c>
      <c r="J1137" s="88"/>
    </row>
    <row r="1138" ht="63.75">
      <c r="A1138" s="108">
        <v>1594</v>
      </c>
      <c r="B1138" s="131" t="s">
        <v>17273</v>
      </c>
      <c r="C1138" s="132" t="s">
        <v>19425</v>
      </c>
      <c r="D1138" s="131" t="s">
        <v>1533</v>
      </c>
      <c r="E1138" s="110" t="s">
        <v>19426</v>
      </c>
      <c r="F1138" s="131" t="s">
        <v>1533</v>
      </c>
      <c r="G1138" s="133">
        <v>63.659999999999997</v>
      </c>
      <c r="H1138" s="134">
        <v>60.939999999999998</v>
      </c>
      <c r="I1138" s="131" t="s">
        <v>17190</v>
      </c>
      <c r="J1138" s="88"/>
    </row>
    <row r="1139" ht="63.75">
      <c r="A1139" s="108">
        <v>1593</v>
      </c>
      <c r="B1139" s="131" t="s">
        <v>17273</v>
      </c>
      <c r="C1139" s="132" t="s">
        <v>19427</v>
      </c>
      <c r="D1139" s="131" t="s">
        <v>1535</v>
      </c>
      <c r="E1139" s="110" t="s">
        <v>19428</v>
      </c>
      <c r="F1139" s="131" t="s">
        <v>1535</v>
      </c>
      <c r="G1139" s="133">
        <v>146.91</v>
      </c>
      <c r="H1139" s="134">
        <v>144.19</v>
      </c>
      <c r="I1139" s="131" t="s">
        <v>17190</v>
      </c>
      <c r="J1139" s="88"/>
    </row>
    <row r="1140" ht="25.5">
      <c r="A1140" s="108">
        <v>2727</v>
      </c>
      <c r="B1140" s="131" t="s">
        <v>17345</v>
      </c>
      <c r="C1140" s="132" t="s">
        <v>19429</v>
      </c>
      <c r="D1140" s="131" t="s">
        <v>29</v>
      </c>
      <c r="E1140" s="110" t="s">
        <v>19430</v>
      </c>
      <c r="F1140" s="131" t="s">
        <v>29</v>
      </c>
      <c r="G1140" s="133">
        <v>100.7</v>
      </c>
      <c r="H1140" s="134">
        <v>100.7</v>
      </c>
      <c r="I1140" s="131" t="s">
        <v>17171</v>
      </c>
      <c r="J1140" s="88"/>
    </row>
    <row r="1141" ht="51">
      <c r="A1141" s="108">
        <v>1753</v>
      </c>
      <c r="B1141" s="131" t="s">
        <v>17215</v>
      </c>
      <c r="C1141" s="132" t="s">
        <v>19431</v>
      </c>
      <c r="D1141" s="131" t="s">
        <v>29</v>
      </c>
      <c r="E1141" s="110" t="s">
        <v>19432</v>
      </c>
      <c r="F1141" s="131" t="s">
        <v>29</v>
      </c>
      <c r="G1141" s="133">
        <v>64.290000000000006</v>
      </c>
      <c r="H1141" s="134">
        <v>62.479999999999997</v>
      </c>
      <c r="I1141" s="131" t="s">
        <v>17190</v>
      </c>
      <c r="J1141" s="88"/>
    </row>
    <row r="1142" ht="51">
      <c r="A1142" s="108">
        <v>1823</v>
      </c>
      <c r="B1142" s="131" t="s">
        <v>17215</v>
      </c>
      <c r="C1142" s="132" t="s">
        <v>19433</v>
      </c>
      <c r="D1142" s="131" t="s">
        <v>29</v>
      </c>
      <c r="E1142" s="110" t="s">
        <v>19434</v>
      </c>
      <c r="F1142" s="131" t="s">
        <v>29</v>
      </c>
      <c r="G1142" s="133">
        <v>67.739999999999995</v>
      </c>
      <c r="H1142" s="134">
        <v>66.109999999999999</v>
      </c>
      <c r="I1142" s="131" t="s">
        <v>17190</v>
      </c>
      <c r="J1142" s="88"/>
    </row>
    <row r="1143">
      <c r="A1143" s="108">
        <v>1322</v>
      </c>
      <c r="B1143" s="131" t="s">
        <v>17246</v>
      </c>
      <c r="C1143" s="132" t="s">
        <v>19435</v>
      </c>
      <c r="D1143" s="131" t="s">
        <v>302</v>
      </c>
      <c r="E1143" s="110" t="s">
        <v>19436</v>
      </c>
      <c r="F1143" s="131" t="s">
        <v>302</v>
      </c>
      <c r="G1143" s="133">
        <v>5.8200000000000003</v>
      </c>
      <c r="H1143" s="134">
        <v>5.8200000000000003</v>
      </c>
      <c r="I1143" s="131" t="s">
        <v>17171</v>
      </c>
      <c r="J1143" s="88"/>
    </row>
    <row r="1144" ht="25.5">
      <c r="A1144" s="108">
        <v>6053</v>
      </c>
      <c r="B1144" s="131" t="s">
        <v>17345</v>
      </c>
      <c r="C1144" s="132" t="s">
        <v>19437</v>
      </c>
      <c r="D1144" s="131" t="s">
        <v>29</v>
      </c>
      <c r="E1144" s="110" t="s">
        <v>19438</v>
      </c>
      <c r="F1144" s="131" t="s">
        <v>29</v>
      </c>
      <c r="G1144" s="133">
        <v>32.219999999999999</v>
      </c>
      <c r="H1144" s="134">
        <v>32.219999999999999</v>
      </c>
      <c r="I1144" s="131" t="s">
        <v>17190</v>
      </c>
      <c r="J1144" s="88"/>
    </row>
    <row r="1145" ht="38.25">
      <c r="A1145" s="108">
        <v>2728</v>
      </c>
      <c r="B1145" s="131" t="s">
        <v>17345</v>
      </c>
      <c r="C1145" s="132" t="s">
        <v>19439</v>
      </c>
      <c r="D1145" s="131" t="s">
        <v>29</v>
      </c>
      <c r="E1145" s="110" t="s">
        <v>19440</v>
      </c>
      <c r="F1145" s="131" t="s">
        <v>29</v>
      </c>
      <c r="G1145" s="133">
        <v>49.899999999999999</v>
      </c>
      <c r="H1145" s="134">
        <v>49.899999999999999</v>
      </c>
      <c r="I1145" s="131" t="s">
        <v>17171</v>
      </c>
      <c r="J1145" s="88"/>
    </row>
    <row r="1146" ht="38.25">
      <c r="A1146" s="108">
        <v>1711</v>
      </c>
      <c r="B1146" s="131" t="s">
        <v>17345</v>
      </c>
      <c r="C1146" s="132" t="s">
        <v>19441</v>
      </c>
      <c r="D1146" s="131" t="s">
        <v>29</v>
      </c>
      <c r="E1146" s="110" t="s">
        <v>19442</v>
      </c>
      <c r="F1146" s="131" t="s">
        <v>29</v>
      </c>
      <c r="G1146" s="133">
        <v>98.609999999999999</v>
      </c>
      <c r="H1146" s="134">
        <v>98.609999999999999</v>
      </c>
      <c r="I1146" s="131" t="s">
        <v>17171</v>
      </c>
      <c r="J1146" s="88"/>
    </row>
    <row r="1147" ht="38.25">
      <c r="A1147" s="108">
        <v>6403</v>
      </c>
      <c r="B1147" s="131" t="s">
        <v>17735</v>
      </c>
      <c r="C1147" s="132" t="s">
        <v>19443</v>
      </c>
      <c r="D1147" s="131" t="s">
        <v>38</v>
      </c>
      <c r="E1147" s="110" t="s">
        <v>19444</v>
      </c>
      <c r="F1147" s="131" t="s">
        <v>38</v>
      </c>
      <c r="G1147" s="133">
        <v>2.0699999999999998</v>
      </c>
      <c r="H1147" s="134">
        <v>2.0699999999999998</v>
      </c>
      <c r="I1147" s="131" t="s">
        <v>17190</v>
      </c>
      <c r="J1147" s="88"/>
    </row>
    <row r="1148" ht="38.25">
      <c r="A1148" s="108">
        <v>1145</v>
      </c>
      <c r="B1148" s="131" t="s">
        <v>17735</v>
      </c>
      <c r="C1148" s="132" t="s">
        <v>19445</v>
      </c>
      <c r="D1148" s="131" t="s">
        <v>38</v>
      </c>
      <c r="E1148" s="110" t="s">
        <v>19446</v>
      </c>
      <c r="F1148" s="131" t="s">
        <v>38</v>
      </c>
      <c r="G1148" s="133">
        <v>2.5800000000000001</v>
      </c>
      <c r="H1148" s="134">
        <v>2.5800000000000001</v>
      </c>
      <c r="I1148" s="131" t="s">
        <v>17190</v>
      </c>
      <c r="J1148" s="88"/>
    </row>
    <row r="1149" ht="51">
      <c r="A1149" s="108">
        <v>3510</v>
      </c>
      <c r="B1149" s="131" t="s">
        <v>18602</v>
      </c>
      <c r="C1149" s="132" t="s">
        <v>19447</v>
      </c>
      <c r="D1149" s="131" t="s">
        <v>38</v>
      </c>
      <c r="E1149" s="110" t="s">
        <v>19448</v>
      </c>
      <c r="F1149" s="131" t="s">
        <v>38</v>
      </c>
      <c r="G1149" s="133">
        <v>66.230000000000004</v>
      </c>
      <c r="H1149" s="134">
        <v>66.230000000000004</v>
      </c>
      <c r="I1149" s="131" t="s">
        <v>17190</v>
      </c>
      <c r="J1149" s="88"/>
    </row>
    <row r="1150" ht="25.5">
      <c r="A1150" s="108">
        <v>6025</v>
      </c>
      <c r="B1150" s="131" t="s">
        <v>17187</v>
      </c>
      <c r="C1150" s="132" t="s">
        <v>19449</v>
      </c>
      <c r="D1150" s="131" t="s">
        <v>38</v>
      </c>
      <c r="E1150" s="110" t="s">
        <v>19450</v>
      </c>
      <c r="F1150" s="131" t="s">
        <v>38</v>
      </c>
      <c r="G1150" s="133">
        <v>37.729999999999997</v>
      </c>
      <c r="H1150" s="134">
        <v>37.729999999999997</v>
      </c>
      <c r="I1150" s="131" t="s">
        <v>17190</v>
      </c>
      <c r="J1150" s="88"/>
    </row>
    <row r="1151" ht="51">
      <c r="A1151" s="108">
        <v>8514</v>
      </c>
      <c r="B1151" s="131" t="s">
        <v>17215</v>
      </c>
      <c r="C1151" s="132" t="s">
        <v>19451</v>
      </c>
      <c r="D1151" s="131" t="s">
        <v>1535</v>
      </c>
      <c r="E1151" s="110" t="s">
        <v>19452</v>
      </c>
      <c r="F1151" s="131" t="s">
        <v>1535</v>
      </c>
      <c r="G1151" s="133">
        <v>224.66</v>
      </c>
      <c r="H1151" s="134">
        <v>222.49000000000001</v>
      </c>
      <c r="I1151" s="131" t="s">
        <v>17190</v>
      </c>
      <c r="J1151" s="88"/>
    </row>
    <row r="1152" ht="51">
      <c r="A1152" s="108">
        <v>6415</v>
      </c>
      <c r="B1152" s="131" t="s">
        <v>17215</v>
      </c>
      <c r="C1152" s="132" t="s">
        <v>19453</v>
      </c>
      <c r="D1152" s="131" t="s">
        <v>1535</v>
      </c>
      <c r="E1152" s="110" t="s">
        <v>19454</v>
      </c>
      <c r="F1152" s="131" t="s">
        <v>1535</v>
      </c>
      <c r="G1152" s="133">
        <v>234.84999999999999</v>
      </c>
      <c r="H1152" s="134">
        <v>232.68000000000001</v>
      </c>
      <c r="I1152" s="131" t="s">
        <v>17190</v>
      </c>
      <c r="J1152" s="88"/>
    </row>
    <row r="1153" ht="38.25">
      <c r="A1153" s="108">
        <v>1637</v>
      </c>
      <c r="B1153" s="131" t="s">
        <v>17273</v>
      </c>
      <c r="C1153" s="132" t="s">
        <v>19455</v>
      </c>
      <c r="D1153" s="131" t="s">
        <v>38</v>
      </c>
      <c r="E1153" s="110" t="s">
        <v>19456</v>
      </c>
      <c r="F1153" s="131" t="s">
        <v>38</v>
      </c>
      <c r="G1153" s="133">
        <v>54.479999999999997</v>
      </c>
      <c r="H1153" s="134">
        <v>53.770000000000003</v>
      </c>
      <c r="I1153" s="131" t="s">
        <v>17190</v>
      </c>
      <c r="J1153" s="88"/>
    </row>
    <row r="1154" ht="25.5">
      <c r="A1154" s="108">
        <v>1626</v>
      </c>
      <c r="B1154" s="131" t="s">
        <v>17273</v>
      </c>
      <c r="C1154" s="132" t="s">
        <v>19457</v>
      </c>
      <c r="D1154" s="131" t="s">
        <v>38</v>
      </c>
      <c r="E1154" s="110" t="s">
        <v>19458</v>
      </c>
      <c r="F1154" s="131" t="s">
        <v>38</v>
      </c>
      <c r="G1154" s="133">
        <v>30.109999999999999</v>
      </c>
      <c r="H1154" s="134">
        <v>30.109999999999999</v>
      </c>
      <c r="I1154" s="131" t="s">
        <v>17190</v>
      </c>
      <c r="J1154" s="88"/>
    </row>
    <row r="1155" ht="25.5">
      <c r="A1155" s="108">
        <v>2416</v>
      </c>
      <c r="B1155" s="131" t="s">
        <v>17429</v>
      </c>
      <c r="C1155" s="132" t="s">
        <v>19459</v>
      </c>
      <c r="D1155" s="131" t="s">
        <v>31</v>
      </c>
      <c r="E1155" s="110" t="s">
        <v>19460</v>
      </c>
      <c r="F1155" s="131" t="s">
        <v>31</v>
      </c>
      <c r="G1155" s="133">
        <v>48.43</v>
      </c>
      <c r="H1155" s="134">
        <v>48.43</v>
      </c>
      <c r="I1155" s="131" t="s">
        <v>17190</v>
      </c>
      <c r="J1155" s="88"/>
    </row>
    <row r="1156" ht="25.5">
      <c r="A1156" s="108">
        <v>6587</v>
      </c>
      <c r="B1156" s="131" t="s">
        <v>17168</v>
      </c>
      <c r="C1156" s="132" t="s">
        <v>19461</v>
      </c>
      <c r="D1156" s="131" t="s">
        <v>31</v>
      </c>
      <c r="E1156" s="110" t="s">
        <v>19462</v>
      </c>
      <c r="F1156" s="131" t="s">
        <v>31</v>
      </c>
      <c r="G1156" s="133">
        <v>6.7300000000000004</v>
      </c>
      <c r="H1156" s="134">
        <v>6.7300000000000004</v>
      </c>
      <c r="I1156" s="131" t="s">
        <v>17190</v>
      </c>
      <c r="J1156" s="88"/>
    </row>
    <row r="1157" ht="25.5">
      <c r="A1157" s="108">
        <v>1148</v>
      </c>
      <c r="B1157" s="131" t="s">
        <v>17735</v>
      </c>
      <c r="C1157" s="132" t="s">
        <v>19463</v>
      </c>
      <c r="D1157" s="131" t="s">
        <v>38</v>
      </c>
      <c r="E1157" s="110" t="s">
        <v>19464</v>
      </c>
      <c r="F1157" s="131" t="s">
        <v>38</v>
      </c>
      <c r="G1157" s="133">
        <v>3.5499999999999998</v>
      </c>
      <c r="H1157" s="134">
        <v>3.5499999999999998</v>
      </c>
      <c r="I1157" s="131" t="s">
        <v>17190</v>
      </c>
      <c r="J1157" s="88"/>
    </row>
    <row r="1158" ht="25.5">
      <c r="A1158" s="108">
        <v>7431</v>
      </c>
      <c r="B1158" s="131" t="s">
        <v>17735</v>
      </c>
      <c r="C1158" s="132" t="s">
        <v>19463</v>
      </c>
      <c r="D1158" s="131" t="s">
        <v>38</v>
      </c>
      <c r="E1158" s="110" t="s">
        <v>19465</v>
      </c>
      <c r="F1158" s="131" t="s">
        <v>38</v>
      </c>
      <c r="G1158" s="133">
        <v>3.5499999999999998</v>
      </c>
      <c r="H1158" s="134">
        <v>3.5499999999999998</v>
      </c>
      <c r="I1158" s="131" t="s">
        <v>17190</v>
      </c>
      <c r="J1158" s="88"/>
    </row>
    <row r="1159" ht="25.5">
      <c r="A1159" s="108">
        <v>1149</v>
      </c>
      <c r="B1159" s="131" t="s">
        <v>17735</v>
      </c>
      <c r="C1159" s="132" t="s">
        <v>19466</v>
      </c>
      <c r="D1159" s="131" t="s">
        <v>38</v>
      </c>
      <c r="E1159" s="110" t="s">
        <v>19467</v>
      </c>
      <c r="F1159" s="131" t="s">
        <v>38</v>
      </c>
      <c r="G1159" s="133">
        <v>1.6899999999999999</v>
      </c>
      <c r="H1159" s="134">
        <v>1.6899999999999999</v>
      </c>
      <c r="I1159" s="131" t="s">
        <v>17190</v>
      </c>
      <c r="J1159" s="88"/>
    </row>
    <row r="1160" ht="25.5">
      <c r="A1160" s="108">
        <v>1241</v>
      </c>
      <c r="B1160" s="131" t="s">
        <v>17735</v>
      </c>
      <c r="C1160" s="132" t="s">
        <v>19468</v>
      </c>
      <c r="D1160" s="131" t="s">
        <v>38</v>
      </c>
      <c r="E1160" s="110" t="s">
        <v>19469</v>
      </c>
      <c r="F1160" s="131" t="s">
        <v>38</v>
      </c>
      <c r="G1160" s="133">
        <v>2.4399999999999999</v>
      </c>
      <c r="H1160" s="134">
        <v>2.4399999999999999</v>
      </c>
      <c r="I1160" s="131" t="s">
        <v>17190</v>
      </c>
      <c r="J1160" s="88"/>
    </row>
    <row r="1161" ht="38.25">
      <c r="A1161" s="108">
        <v>1601</v>
      </c>
      <c r="B1161" s="131" t="s">
        <v>17273</v>
      </c>
      <c r="C1161" s="132" t="s">
        <v>19470</v>
      </c>
      <c r="D1161" s="131" t="s">
        <v>38</v>
      </c>
      <c r="E1161" s="110" t="s">
        <v>19471</v>
      </c>
      <c r="F1161" s="131" t="s">
        <v>38</v>
      </c>
      <c r="G1161" s="133">
        <v>9.5600000000000005</v>
      </c>
      <c r="H1161" s="134">
        <v>9.5600000000000005</v>
      </c>
      <c r="I1161" s="131" t="s">
        <v>17190</v>
      </c>
      <c r="J1161" s="88"/>
    </row>
    <row r="1162" ht="38.25">
      <c r="A1162" s="108">
        <v>1194</v>
      </c>
      <c r="B1162" s="131" t="s">
        <v>17735</v>
      </c>
      <c r="C1162" s="132" t="s">
        <v>19472</v>
      </c>
      <c r="D1162" s="131" t="s">
        <v>38</v>
      </c>
      <c r="E1162" s="110" t="s">
        <v>19473</v>
      </c>
      <c r="F1162" s="131" t="s">
        <v>38</v>
      </c>
      <c r="G1162" s="133">
        <v>5.1200000000000001</v>
      </c>
      <c r="H1162" s="134">
        <v>5.1200000000000001</v>
      </c>
      <c r="I1162" s="131" t="s">
        <v>17190</v>
      </c>
      <c r="J1162" s="88"/>
    </row>
    <row r="1163" ht="38.25">
      <c r="A1163" s="108">
        <v>1197</v>
      </c>
      <c r="B1163" s="131" t="s">
        <v>17735</v>
      </c>
      <c r="C1163" s="132" t="s">
        <v>19474</v>
      </c>
      <c r="D1163" s="131" t="s">
        <v>38</v>
      </c>
      <c r="E1163" s="110" t="s">
        <v>19475</v>
      </c>
      <c r="F1163" s="131" t="s">
        <v>38</v>
      </c>
      <c r="G1163" s="133">
        <v>7.3700000000000001</v>
      </c>
      <c r="H1163" s="134">
        <v>7.3700000000000001</v>
      </c>
      <c r="I1163" s="131" t="s">
        <v>17190</v>
      </c>
      <c r="J1163" s="88"/>
    </row>
    <row r="1164" ht="25.5">
      <c r="A1164" s="108">
        <v>1886</v>
      </c>
      <c r="B1164" s="131" t="s">
        <v>17273</v>
      </c>
      <c r="C1164" s="132" t="s">
        <v>19476</v>
      </c>
      <c r="D1164" s="131" t="s">
        <v>2032</v>
      </c>
      <c r="E1164" s="110" t="s">
        <v>19477</v>
      </c>
      <c r="F1164" s="131" t="s">
        <v>2032</v>
      </c>
      <c r="G1164" s="133">
        <v>8.0000000000000002e-002</v>
      </c>
      <c r="H1164" s="134">
        <v>8.0000000000000002e-002</v>
      </c>
      <c r="I1164" s="131" t="s">
        <v>17190</v>
      </c>
      <c r="J1164" s="88"/>
    </row>
    <row r="1165" ht="25.5">
      <c r="A1165" s="108">
        <v>6015</v>
      </c>
      <c r="B1165" s="131" t="s">
        <v>17246</v>
      </c>
      <c r="C1165" s="132" t="s">
        <v>19478</v>
      </c>
      <c r="D1165" s="131" t="s">
        <v>9794</v>
      </c>
      <c r="E1165" s="110" t="s">
        <v>19479</v>
      </c>
      <c r="F1165" s="131" t="s">
        <v>9794</v>
      </c>
      <c r="G1165" s="133">
        <v>8</v>
      </c>
      <c r="H1165" s="134">
        <v>8</v>
      </c>
      <c r="I1165" s="131" t="s">
        <v>17190</v>
      </c>
      <c r="J1165" s="88"/>
    </row>
    <row r="1166">
      <c r="A1166" s="108">
        <v>1320</v>
      </c>
      <c r="B1166" s="131" t="s">
        <v>17246</v>
      </c>
      <c r="C1166" s="132" t="s">
        <v>19480</v>
      </c>
      <c r="D1166" s="131" t="s">
        <v>9794</v>
      </c>
      <c r="E1166" s="110" t="s">
        <v>19481</v>
      </c>
      <c r="F1166" s="131" t="s">
        <v>9794</v>
      </c>
      <c r="G1166" s="133">
        <v>8.3300000000000001</v>
      </c>
      <c r="H1166" s="134">
        <v>8.3300000000000001</v>
      </c>
      <c r="I1166" s="131" t="s">
        <v>17171</v>
      </c>
      <c r="J1166" s="88"/>
    </row>
    <row r="1167" ht="25.5">
      <c r="A1167" s="108">
        <v>6404</v>
      </c>
      <c r="B1167" s="131" t="s">
        <v>17273</v>
      </c>
      <c r="C1167" s="132" t="s">
        <v>19482</v>
      </c>
      <c r="D1167" s="131" t="s">
        <v>14284</v>
      </c>
      <c r="E1167" s="110" t="s">
        <v>19483</v>
      </c>
      <c r="F1167" s="131" t="s">
        <v>14284</v>
      </c>
      <c r="G1167" s="133">
        <v>38.840000000000003</v>
      </c>
      <c r="H1167" s="134">
        <v>38.840000000000003</v>
      </c>
      <c r="I1167" s="131" t="s">
        <v>17190</v>
      </c>
      <c r="J1167" s="88"/>
    </row>
    <row r="1168" ht="38.25">
      <c r="A1168" s="108">
        <v>1631</v>
      </c>
      <c r="B1168" s="131" t="s">
        <v>17273</v>
      </c>
      <c r="C1168" s="132" t="s">
        <v>19484</v>
      </c>
      <c r="D1168" s="131" t="s">
        <v>1533</v>
      </c>
      <c r="E1168" s="110" t="s">
        <v>19485</v>
      </c>
      <c r="F1168" s="131" t="s">
        <v>1533</v>
      </c>
      <c r="G1168" s="133">
        <v>28.899999999999999</v>
      </c>
      <c r="H1168" s="134">
        <v>26.48</v>
      </c>
      <c r="I1168" s="131" t="s">
        <v>17190</v>
      </c>
      <c r="J1168" s="88"/>
    </row>
    <row r="1169" ht="38.25">
      <c r="A1169" s="108">
        <v>1630</v>
      </c>
      <c r="B1169" s="131" t="s">
        <v>17273</v>
      </c>
      <c r="C1169" s="132" t="s">
        <v>19486</v>
      </c>
      <c r="D1169" s="131" t="s">
        <v>1535</v>
      </c>
      <c r="E1169" s="110" t="s">
        <v>19487</v>
      </c>
      <c r="F1169" s="131" t="s">
        <v>1535</v>
      </c>
      <c r="G1169" s="133">
        <v>30.449999999999999</v>
      </c>
      <c r="H1169" s="134">
        <v>28.030000000000001</v>
      </c>
      <c r="I1169" s="131" t="s">
        <v>17190</v>
      </c>
      <c r="J1169" s="88"/>
    </row>
    <row r="1170" ht="25.5">
      <c r="A1170" s="108">
        <v>4024</v>
      </c>
      <c r="B1170" s="131" t="s">
        <v>17250</v>
      </c>
      <c r="C1170" s="132" t="s">
        <v>19488</v>
      </c>
      <c r="D1170" s="131" t="s">
        <v>2032</v>
      </c>
      <c r="E1170" s="110" t="s">
        <v>19489</v>
      </c>
      <c r="F1170" s="131" t="s">
        <v>2032</v>
      </c>
      <c r="G1170" s="133">
        <v>26.02</v>
      </c>
      <c r="H1170" s="134">
        <v>24.010000000000002</v>
      </c>
      <c r="I1170" s="131" t="s">
        <v>17190</v>
      </c>
      <c r="J1170" s="88"/>
    </row>
    <row r="1171" ht="25.5">
      <c r="A1171" s="108">
        <v>4014</v>
      </c>
      <c r="B1171" s="131" t="s">
        <v>17250</v>
      </c>
      <c r="C1171" s="132" t="s">
        <v>19490</v>
      </c>
      <c r="D1171" s="131" t="s">
        <v>2032</v>
      </c>
      <c r="E1171" s="110" t="s">
        <v>19491</v>
      </c>
      <c r="F1171" s="131" t="s">
        <v>2032</v>
      </c>
      <c r="G1171" s="133">
        <v>20.739999999999998</v>
      </c>
      <c r="H1171" s="134">
        <v>19.260000000000002</v>
      </c>
      <c r="I1171" s="131" t="s">
        <v>17190</v>
      </c>
      <c r="J1171" s="88"/>
    </row>
    <row r="1172" ht="38.25">
      <c r="A1172" s="108">
        <v>2719</v>
      </c>
      <c r="B1172" s="131" t="s">
        <v>17273</v>
      </c>
      <c r="C1172" s="132" t="s">
        <v>19492</v>
      </c>
      <c r="D1172" s="131" t="s">
        <v>121</v>
      </c>
      <c r="E1172" s="110" t="s">
        <v>19493</v>
      </c>
      <c r="F1172" s="131" t="s">
        <v>121</v>
      </c>
      <c r="G1172" s="133">
        <v>56.799999999999997</v>
      </c>
      <c r="H1172" s="134">
        <v>56.799999999999997</v>
      </c>
      <c r="I1172" s="131" t="s">
        <v>17190</v>
      </c>
      <c r="J1172" s="88"/>
    </row>
    <row r="1173" ht="25.5">
      <c r="A1173" s="108">
        <v>2565</v>
      </c>
      <c r="B1173" s="131" t="s">
        <v>17429</v>
      </c>
      <c r="C1173" s="132" t="s">
        <v>19494</v>
      </c>
      <c r="D1173" s="131" t="s">
        <v>31</v>
      </c>
      <c r="E1173" s="110" t="s">
        <v>19495</v>
      </c>
      <c r="F1173" s="131" t="s">
        <v>31</v>
      </c>
      <c r="G1173" s="133">
        <v>347.67000000000002</v>
      </c>
      <c r="H1173" s="134">
        <v>347.00999999999999</v>
      </c>
      <c r="I1173" s="131" t="s">
        <v>17190</v>
      </c>
      <c r="J1173" s="88"/>
    </row>
    <row r="1174" ht="25.5">
      <c r="A1174" s="108">
        <v>2419</v>
      </c>
      <c r="B1174" s="131" t="s">
        <v>17182</v>
      </c>
      <c r="C1174" s="132" t="s">
        <v>19496</v>
      </c>
      <c r="D1174" s="131" t="s">
        <v>31</v>
      </c>
      <c r="E1174" s="110" t="s">
        <v>19497</v>
      </c>
      <c r="F1174" s="131" t="s">
        <v>31</v>
      </c>
      <c r="G1174" s="133">
        <v>431.13999999999999</v>
      </c>
      <c r="H1174" s="134">
        <v>431.13999999999999</v>
      </c>
      <c r="I1174" s="131" t="s">
        <v>17190</v>
      </c>
      <c r="J1174" s="88"/>
    </row>
    <row r="1175" ht="25.5">
      <c r="A1175" s="108">
        <v>2572</v>
      </c>
      <c r="B1175" s="131" t="s">
        <v>17182</v>
      </c>
      <c r="C1175" s="132" t="s">
        <v>19498</v>
      </c>
      <c r="D1175" s="131" t="s">
        <v>31</v>
      </c>
      <c r="E1175" s="110" t="s">
        <v>19499</v>
      </c>
      <c r="F1175" s="131" t="s">
        <v>31</v>
      </c>
      <c r="G1175" s="133">
        <v>338.89999999999998</v>
      </c>
      <c r="H1175" s="134">
        <v>338.89999999999998</v>
      </c>
      <c r="I1175" s="131" t="s">
        <v>17190</v>
      </c>
      <c r="J1175" s="88"/>
    </row>
    <row r="1176" ht="25.5">
      <c r="A1176" s="108">
        <v>2573</v>
      </c>
      <c r="B1176" s="131" t="s">
        <v>17182</v>
      </c>
      <c r="C1176" s="132" t="s">
        <v>19500</v>
      </c>
      <c r="D1176" s="131" t="s">
        <v>31</v>
      </c>
      <c r="E1176" s="110" t="s">
        <v>19501</v>
      </c>
      <c r="F1176" s="131" t="s">
        <v>31</v>
      </c>
      <c r="G1176" s="133">
        <v>19.109999999999999</v>
      </c>
      <c r="H1176" s="134">
        <v>19.109999999999999</v>
      </c>
      <c r="I1176" s="131" t="s">
        <v>17190</v>
      </c>
      <c r="J1176" s="88"/>
    </row>
    <row r="1177" ht="25.5">
      <c r="A1177" s="108">
        <v>1696</v>
      </c>
      <c r="B1177" s="131" t="s">
        <v>17182</v>
      </c>
      <c r="C1177" s="132" t="s">
        <v>19502</v>
      </c>
      <c r="D1177" s="131" t="s">
        <v>31</v>
      </c>
      <c r="E1177" s="110" t="s">
        <v>19503</v>
      </c>
      <c r="F1177" s="131" t="s">
        <v>31</v>
      </c>
      <c r="G1177" s="133">
        <v>36.689999999999998</v>
      </c>
      <c r="H1177" s="134">
        <v>36.689999999999998</v>
      </c>
      <c r="I1177" s="131" t="s">
        <v>17171</v>
      </c>
      <c r="J1177" s="88"/>
    </row>
    <row r="1178" ht="25.5">
      <c r="A1178" s="108">
        <v>6470</v>
      </c>
      <c r="B1178" s="131" t="s">
        <v>17426</v>
      </c>
      <c r="C1178" s="132" t="s">
        <v>19504</v>
      </c>
      <c r="D1178" s="131" t="s">
        <v>31</v>
      </c>
      <c r="E1178" s="110" t="s">
        <v>19505</v>
      </c>
      <c r="F1178" s="131" t="s">
        <v>31</v>
      </c>
      <c r="G1178" s="133">
        <v>25.670000000000002</v>
      </c>
      <c r="H1178" s="134">
        <v>25.670000000000002</v>
      </c>
      <c r="I1178" s="131" t="s">
        <v>17190</v>
      </c>
      <c r="J1178" s="88"/>
    </row>
    <row r="1179" ht="63.75">
      <c r="A1179" s="108">
        <v>2705</v>
      </c>
      <c r="B1179" s="131" t="s">
        <v>17235</v>
      </c>
      <c r="C1179" s="132" t="s">
        <v>19506</v>
      </c>
      <c r="D1179" s="131" t="s">
        <v>11798</v>
      </c>
      <c r="E1179" s="110" t="s">
        <v>19507</v>
      </c>
      <c r="F1179" s="131" t="s">
        <v>11798</v>
      </c>
      <c r="G1179" s="133">
        <v>235.69999999999999</v>
      </c>
      <c r="H1179" s="134">
        <v>235.69999999999999</v>
      </c>
      <c r="I1179" s="131" t="s">
        <v>17171</v>
      </c>
      <c r="J1179" s="88"/>
    </row>
    <row r="1180" ht="25.5">
      <c r="A1180" s="108">
        <v>7058</v>
      </c>
      <c r="B1180" s="131" t="s">
        <v>17168</v>
      </c>
      <c r="C1180" s="132" t="s">
        <v>19508</v>
      </c>
      <c r="D1180" s="131" t="s">
        <v>31</v>
      </c>
      <c r="E1180" s="110" t="s">
        <v>19509</v>
      </c>
      <c r="F1180" s="131" t="s">
        <v>31</v>
      </c>
      <c r="G1180" s="133">
        <v>198.63999999999999</v>
      </c>
      <c r="H1180" s="134">
        <v>198.63999999999999</v>
      </c>
      <c r="I1180" s="131" t="s">
        <v>17171</v>
      </c>
      <c r="J1180" s="88"/>
    </row>
    <row r="1181" ht="25.5">
      <c r="A1181" s="108">
        <v>6487</v>
      </c>
      <c r="B1181" s="131" t="s">
        <v>17235</v>
      </c>
      <c r="C1181" s="132" t="s">
        <v>19510</v>
      </c>
      <c r="D1181" s="131" t="s">
        <v>31</v>
      </c>
      <c r="E1181" s="110" t="s">
        <v>19511</v>
      </c>
      <c r="F1181" s="131" t="s">
        <v>31</v>
      </c>
      <c r="G1181" s="133">
        <v>2.8300000000000001</v>
      </c>
      <c r="H1181" s="134">
        <v>2.8300000000000001</v>
      </c>
      <c r="I1181" s="131" t="s">
        <v>17171</v>
      </c>
      <c r="J1181" s="88"/>
    </row>
    <row r="1182" ht="25.5">
      <c r="A1182" s="108">
        <v>3470</v>
      </c>
      <c r="B1182" s="131" t="s">
        <v>17779</v>
      </c>
      <c r="C1182" s="132" t="s">
        <v>19512</v>
      </c>
      <c r="D1182" s="131" t="s">
        <v>31</v>
      </c>
      <c r="E1182" s="110" t="s">
        <v>19513</v>
      </c>
      <c r="F1182" s="131" t="s">
        <v>31</v>
      </c>
      <c r="G1182" s="133">
        <v>183.75</v>
      </c>
      <c r="H1182" s="134">
        <v>183.75</v>
      </c>
      <c r="I1182" s="131" t="s">
        <v>17171</v>
      </c>
      <c r="J1182" s="88"/>
    </row>
    <row r="1183">
      <c r="A1183" s="108">
        <v>3439</v>
      </c>
      <c r="B1183" s="131" t="s">
        <v>17828</v>
      </c>
      <c r="C1183" s="132" t="s">
        <v>19514</v>
      </c>
      <c r="D1183" s="131" t="s">
        <v>31</v>
      </c>
      <c r="E1183" s="110" t="s">
        <v>19515</v>
      </c>
      <c r="F1183" s="131" t="s">
        <v>31</v>
      </c>
      <c r="G1183" s="133">
        <v>208</v>
      </c>
      <c r="H1183" s="134">
        <v>208</v>
      </c>
      <c r="I1183" s="131" t="s">
        <v>17171</v>
      </c>
      <c r="J1183" s="88"/>
    </row>
    <row r="1184" ht="25.5">
      <c r="A1184" s="108">
        <v>1625</v>
      </c>
      <c r="B1184" s="131" t="s">
        <v>17273</v>
      </c>
      <c r="C1184" s="132" t="s">
        <v>19516</v>
      </c>
      <c r="D1184" s="131" t="s">
        <v>302</v>
      </c>
      <c r="E1184" s="110" t="s">
        <v>19517</v>
      </c>
      <c r="F1184" s="131" t="s">
        <v>302</v>
      </c>
      <c r="G1184" s="133">
        <v>168.62</v>
      </c>
      <c r="H1184" s="134">
        <v>168.62</v>
      </c>
      <c r="I1184" s="131" t="s">
        <v>17190</v>
      </c>
      <c r="J1184" s="88"/>
    </row>
    <row r="1185" ht="25.5">
      <c r="A1185" s="108">
        <v>4023</v>
      </c>
      <c r="B1185" s="131" t="s">
        <v>17250</v>
      </c>
      <c r="C1185" s="132" t="s">
        <v>19518</v>
      </c>
      <c r="D1185" s="131" t="s">
        <v>2032</v>
      </c>
      <c r="E1185" s="110" t="s">
        <v>19519</v>
      </c>
      <c r="F1185" s="131" t="s">
        <v>2032</v>
      </c>
      <c r="G1185" s="133">
        <v>27.469999999999999</v>
      </c>
      <c r="H1185" s="134">
        <v>25.399999999999999</v>
      </c>
      <c r="I1185" s="131" t="s">
        <v>17190</v>
      </c>
      <c r="J1185" s="88"/>
    </row>
    <row r="1186" ht="25.5">
      <c r="A1186" s="108">
        <v>6028</v>
      </c>
      <c r="B1186" s="131" t="s">
        <v>17273</v>
      </c>
      <c r="C1186" s="132" t="s">
        <v>19520</v>
      </c>
      <c r="D1186" s="131" t="s">
        <v>38</v>
      </c>
      <c r="E1186" s="110" t="s">
        <v>19521</v>
      </c>
      <c r="F1186" s="131" t="s">
        <v>38</v>
      </c>
      <c r="G1186" s="133">
        <v>103.78</v>
      </c>
      <c r="H1186" s="134">
        <v>103.78</v>
      </c>
      <c r="I1186" s="131" t="s">
        <v>17190</v>
      </c>
      <c r="J1186" s="88"/>
    </row>
    <row r="1187" ht="25.5">
      <c r="A1187" s="108">
        <v>8000</v>
      </c>
      <c r="B1187" s="131" t="s">
        <v>17224</v>
      </c>
      <c r="C1187" s="132" t="s">
        <v>19522</v>
      </c>
      <c r="D1187" s="131" t="s">
        <v>31</v>
      </c>
      <c r="E1187" s="110" t="s">
        <v>19523</v>
      </c>
      <c r="F1187" s="131" t="s">
        <v>31</v>
      </c>
      <c r="G1187" s="133">
        <v>86.299999999999997</v>
      </c>
      <c r="H1187" s="134">
        <v>86.299999999999997</v>
      </c>
      <c r="I1187" s="131" t="s">
        <v>17190</v>
      </c>
      <c r="J1187" s="88"/>
    </row>
    <row r="1188" ht="25.5">
      <c r="A1188" s="108">
        <v>1086</v>
      </c>
      <c r="B1188" s="131" t="s">
        <v>18256</v>
      </c>
      <c r="C1188" s="132" t="s">
        <v>19524</v>
      </c>
      <c r="D1188" s="131" t="s">
        <v>38</v>
      </c>
      <c r="E1188" s="110" t="s">
        <v>19525</v>
      </c>
      <c r="F1188" s="131" t="s">
        <v>38</v>
      </c>
      <c r="G1188" s="133">
        <v>95</v>
      </c>
      <c r="H1188" s="134">
        <v>95</v>
      </c>
      <c r="I1188" s="131" t="s">
        <v>17171</v>
      </c>
      <c r="J1188" s="88"/>
    </row>
    <row r="1189" ht="25.5">
      <c r="A1189" s="108">
        <v>6451</v>
      </c>
      <c r="B1189" s="131" t="s">
        <v>17273</v>
      </c>
      <c r="C1189" s="132" t="s">
        <v>19526</v>
      </c>
      <c r="D1189" s="131" t="s">
        <v>31</v>
      </c>
      <c r="E1189" s="110" t="s">
        <v>19527</v>
      </c>
      <c r="F1189" s="131" t="s">
        <v>31</v>
      </c>
      <c r="G1189" s="133">
        <v>3.4500000000000002</v>
      </c>
      <c r="H1189" s="134">
        <v>3.4500000000000002</v>
      </c>
      <c r="I1189" s="131" t="s">
        <v>17190</v>
      </c>
      <c r="J1189" s="88"/>
    </row>
    <row r="1190" ht="25.5">
      <c r="A1190" s="108">
        <v>3360</v>
      </c>
      <c r="B1190" s="131" t="s">
        <v>17487</v>
      </c>
      <c r="C1190" s="132" t="s">
        <v>19528</v>
      </c>
      <c r="D1190" s="131" t="s">
        <v>31</v>
      </c>
      <c r="E1190" s="110" t="s">
        <v>19529</v>
      </c>
      <c r="F1190" s="131" t="s">
        <v>31</v>
      </c>
      <c r="G1190" s="133">
        <v>10.74</v>
      </c>
      <c r="H1190" s="134">
        <v>10.74</v>
      </c>
      <c r="I1190" s="131" t="s">
        <v>17190</v>
      </c>
      <c r="J1190" s="88"/>
    </row>
    <row r="1191">
      <c r="A1191" s="108">
        <v>6441</v>
      </c>
      <c r="B1191" s="131" t="s">
        <v>18262</v>
      </c>
      <c r="C1191" s="132" t="s">
        <v>19530</v>
      </c>
      <c r="D1191" s="131" t="s">
        <v>31</v>
      </c>
      <c r="E1191" s="110" t="s">
        <v>19531</v>
      </c>
      <c r="F1191" s="131" t="s">
        <v>31</v>
      </c>
      <c r="G1191" s="133">
        <v>5.2300000000000004</v>
      </c>
      <c r="H1191" s="134">
        <v>5.2300000000000004</v>
      </c>
      <c r="I1191" s="131" t="s">
        <v>17171</v>
      </c>
      <c r="J1191" s="88"/>
    </row>
    <row r="1192">
      <c r="A1192" s="108">
        <v>6443</v>
      </c>
      <c r="B1192" s="131" t="s">
        <v>18262</v>
      </c>
      <c r="C1192" s="132" t="s">
        <v>19532</v>
      </c>
      <c r="D1192" s="131" t="s">
        <v>31</v>
      </c>
      <c r="E1192" s="110" t="s">
        <v>19533</v>
      </c>
      <c r="F1192" s="131" t="s">
        <v>31</v>
      </c>
      <c r="G1192" s="133">
        <v>9.9800000000000004</v>
      </c>
      <c r="H1192" s="134">
        <v>9.9800000000000004</v>
      </c>
      <c r="I1192" s="131" t="s">
        <v>17171</v>
      </c>
      <c r="J1192" s="88"/>
    </row>
    <row r="1193">
      <c r="A1193" s="108">
        <v>1610</v>
      </c>
      <c r="B1193" s="131" t="s">
        <v>18262</v>
      </c>
      <c r="C1193" s="132" t="s">
        <v>19534</v>
      </c>
      <c r="D1193" s="131" t="s">
        <v>31</v>
      </c>
      <c r="E1193" s="110" t="s">
        <v>19535</v>
      </c>
      <c r="F1193" s="131" t="s">
        <v>31</v>
      </c>
      <c r="G1193" s="133">
        <v>3.4900000000000002</v>
      </c>
      <c r="H1193" s="134">
        <v>3.4900000000000002</v>
      </c>
      <c r="I1193" s="131" t="s">
        <v>17171</v>
      </c>
      <c r="J1193" s="88"/>
    </row>
    <row r="1194">
      <c r="A1194" s="108">
        <v>1607</v>
      </c>
      <c r="B1194" s="131" t="s">
        <v>18262</v>
      </c>
      <c r="C1194" s="132" t="s">
        <v>19536</v>
      </c>
      <c r="D1194" s="131" t="s">
        <v>31</v>
      </c>
      <c r="E1194" s="110" t="s">
        <v>19537</v>
      </c>
      <c r="F1194" s="131" t="s">
        <v>31</v>
      </c>
      <c r="G1194" s="133">
        <v>2.6099999999999999</v>
      </c>
      <c r="H1194" s="134">
        <v>2.6099999999999999</v>
      </c>
      <c r="I1194" s="131" t="s">
        <v>17171</v>
      </c>
      <c r="J1194" s="88"/>
    </row>
    <row r="1195">
      <c r="A1195" s="108">
        <v>6607</v>
      </c>
      <c r="B1195" s="131" t="s">
        <v>17168</v>
      </c>
      <c r="C1195" s="132" t="s">
        <v>16485</v>
      </c>
      <c r="D1195" s="131" t="s">
        <v>31</v>
      </c>
      <c r="E1195" s="110" t="s">
        <v>19538</v>
      </c>
      <c r="F1195" s="131" t="s">
        <v>31</v>
      </c>
      <c r="G1195" s="133">
        <v>146.47</v>
      </c>
      <c r="H1195" s="134">
        <v>146.47</v>
      </c>
      <c r="I1195" s="131" t="s">
        <v>17171</v>
      </c>
      <c r="J1195" s="88"/>
    </row>
    <row r="1196">
      <c r="A1196" s="108">
        <v>6606</v>
      </c>
      <c r="B1196" s="131" t="s">
        <v>17168</v>
      </c>
      <c r="C1196" s="132" t="s">
        <v>16484</v>
      </c>
      <c r="D1196" s="131" t="s">
        <v>31</v>
      </c>
      <c r="E1196" s="110" t="s">
        <v>19539</v>
      </c>
      <c r="F1196" s="131" t="s">
        <v>31</v>
      </c>
      <c r="G1196" s="133">
        <v>33.369999999999997</v>
      </c>
      <c r="H1196" s="134">
        <v>33.369999999999997</v>
      </c>
      <c r="I1196" s="131" t="s">
        <v>17171</v>
      </c>
      <c r="J1196" s="88"/>
    </row>
    <row r="1197" ht="38.25">
      <c r="A1197" s="108">
        <v>7210</v>
      </c>
      <c r="B1197" s="131" t="s">
        <v>17407</v>
      </c>
      <c r="C1197" s="132" t="s">
        <v>19540</v>
      </c>
      <c r="D1197" s="131" t="s">
        <v>31</v>
      </c>
      <c r="E1197" s="110" t="s">
        <v>19541</v>
      </c>
      <c r="F1197" s="131" t="s">
        <v>31</v>
      </c>
      <c r="G1197" s="133">
        <v>276.43000000000001</v>
      </c>
      <c r="H1197" s="134">
        <v>276.43000000000001</v>
      </c>
      <c r="I1197" s="131" t="s">
        <v>17190</v>
      </c>
      <c r="J1197" s="88"/>
    </row>
    <row r="1198" ht="38.25">
      <c r="A1198" s="108">
        <v>6452</v>
      </c>
      <c r="B1198" s="131" t="s">
        <v>17215</v>
      </c>
      <c r="C1198" s="132" t="s">
        <v>19542</v>
      </c>
      <c r="D1198" s="131" t="s">
        <v>31</v>
      </c>
      <c r="E1198" s="110" t="s">
        <v>19543</v>
      </c>
      <c r="F1198" s="131" t="s">
        <v>31</v>
      </c>
      <c r="G1198" s="133">
        <v>25.420000000000002</v>
      </c>
      <c r="H1198" s="134">
        <v>24.300000000000001</v>
      </c>
      <c r="I1198" s="131" t="s">
        <v>17190</v>
      </c>
      <c r="J1198" s="88"/>
    </row>
    <row r="1199" ht="25.5">
      <c r="A1199" s="108">
        <v>7064</v>
      </c>
      <c r="B1199" s="131" t="s">
        <v>17168</v>
      </c>
      <c r="C1199" s="132" t="s">
        <v>19544</v>
      </c>
      <c r="D1199" s="131" t="s">
        <v>31</v>
      </c>
      <c r="E1199" s="110" t="s">
        <v>19545</v>
      </c>
      <c r="F1199" s="131" t="s">
        <v>31</v>
      </c>
      <c r="G1199" s="133">
        <v>8.7400000000000002</v>
      </c>
      <c r="H1199" s="134">
        <v>8.7400000000000002</v>
      </c>
      <c r="I1199" s="131" t="s">
        <v>17190</v>
      </c>
      <c r="J1199" s="88"/>
    </row>
    <row r="1200" ht="25.5">
      <c r="A1200" s="108">
        <v>3482</v>
      </c>
      <c r="B1200" s="131" t="s">
        <v>17168</v>
      </c>
      <c r="C1200" s="132" t="s">
        <v>19546</v>
      </c>
      <c r="D1200" s="131" t="s">
        <v>31</v>
      </c>
      <c r="E1200" s="110" t="s">
        <v>19547</v>
      </c>
      <c r="F1200" s="131" t="s">
        <v>31</v>
      </c>
      <c r="G1200" s="133">
        <v>25.5</v>
      </c>
      <c r="H1200" s="134">
        <v>25.5</v>
      </c>
      <c r="I1200" s="131" t="s">
        <v>17171</v>
      </c>
      <c r="J1200" s="88"/>
    </row>
    <row r="1201" ht="25.5">
      <c r="A1201" s="108">
        <v>1648</v>
      </c>
      <c r="B1201" s="131" t="s">
        <v>17273</v>
      </c>
      <c r="C1201" s="132" t="s">
        <v>19548</v>
      </c>
      <c r="D1201" s="131" t="s">
        <v>31</v>
      </c>
      <c r="E1201" s="110" t="s">
        <v>19549</v>
      </c>
      <c r="F1201" s="131" t="s">
        <v>31</v>
      </c>
      <c r="G1201" s="133">
        <v>21.890000000000001</v>
      </c>
      <c r="H1201" s="134">
        <v>21.890000000000001</v>
      </c>
      <c r="I1201" s="131" t="s">
        <v>17190</v>
      </c>
      <c r="J1201" s="88"/>
    </row>
    <row r="1202" ht="25.5">
      <c r="A1202" s="108">
        <v>1712</v>
      </c>
      <c r="B1202" s="131" t="s">
        <v>17273</v>
      </c>
      <c r="C1202" s="132" t="s">
        <v>19548</v>
      </c>
      <c r="D1202" s="131" t="s">
        <v>31</v>
      </c>
      <c r="E1202" s="110" t="s">
        <v>19550</v>
      </c>
      <c r="F1202" s="131" t="s">
        <v>31</v>
      </c>
      <c r="G1202" s="133">
        <v>21.890000000000001</v>
      </c>
      <c r="H1202" s="134">
        <v>21.890000000000001</v>
      </c>
      <c r="I1202" s="131" t="s">
        <v>17190</v>
      </c>
      <c r="J1202" s="88"/>
    </row>
    <row r="1203" ht="25.5">
      <c r="A1203" s="108">
        <v>6569</v>
      </c>
      <c r="B1203" s="131" t="s">
        <v>17407</v>
      </c>
      <c r="C1203" s="132" t="s">
        <v>19551</v>
      </c>
      <c r="D1203" s="131" t="s">
        <v>31</v>
      </c>
      <c r="E1203" s="110" t="s">
        <v>19552</v>
      </c>
      <c r="F1203" s="131" t="s">
        <v>31</v>
      </c>
      <c r="G1203" s="133">
        <v>257.24000000000001</v>
      </c>
      <c r="H1203" s="134">
        <v>257.24000000000001</v>
      </c>
      <c r="I1203" s="131" t="s">
        <v>17171</v>
      </c>
      <c r="J1203" s="88"/>
    </row>
    <row r="1204" ht="25.5">
      <c r="A1204" s="108">
        <v>6571</v>
      </c>
      <c r="B1204" s="131" t="s">
        <v>17407</v>
      </c>
      <c r="C1204" s="132" t="s">
        <v>19553</v>
      </c>
      <c r="D1204" s="131" t="s">
        <v>31</v>
      </c>
      <c r="E1204" s="110" t="s">
        <v>19554</v>
      </c>
      <c r="F1204" s="131" t="s">
        <v>31</v>
      </c>
      <c r="G1204" s="133">
        <v>235.91</v>
      </c>
      <c r="H1204" s="134">
        <v>235.91</v>
      </c>
      <c r="I1204" s="131" t="s">
        <v>17171</v>
      </c>
      <c r="J1204" s="88"/>
    </row>
    <row r="1205">
      <c r="A1205" s="108">
        <v>1710</v>
      </c>
      <c r="B1205" s="131" t="s">
        <v>18576</v>
      </c>
      <c r="C1205" s="132" t="s">
        <v>19555</v>
      </c>
      <c r="D1205" s="131" t="s">
        <v>31</v>
      </c>
      <c r="E1205" s="110" t="s">
        <v>19556</v>
      </c>
      <c r="F1205" s="131" t="s">
        <v>31</v>
      </c>
      <c r="G1205" s="133">
        <v>468.73000000000002</v>
      </c>
      <c r="H1205" s="134">
        <v>468.73000000000002</v>
      </c>
      <c r="I1205" s="131" t="s">
        <v>17171</v>
      </c>
      <c r="J1205" s="88"/>
    </row>
    <row r="1206">
      <c r="A1206" s="108">
        <v>1709</v>
      </c>
      <c r="B1206" s="131" t="s">
        <v>18576</v>
      </c>
      <c r="C1206" s="132" t="s">
        <v>19557</v>
      </c>
      <c r="D1206" s="131" t="s">
        <v>31</v>
      </c>
      <c r="E1206" s="110" t="s">
        <v>19558</v>
      </c>
      <c r="F1206" s="131" t="s">
        <v>31</v>
      </c>
      <c r="G1206" s="133">
        <v>1122.51</v>
      </c>
      <c r="H1206" s="134">
        <v>1122.51</v>
      </c>
      <c r="I1206" s="131" t="s">
        <v>17171</v>
      </c>
      <c r="J1206" s="88"/>
    </row>
    <row r="1207" ht="25.5">
      <c r="A1207" s="108">
        <v>1138</v>
      </c>
      <c r="B1207" s="131" t="s">
        <v>17735</v>
      </c>
      <c r="C1207" s="132" t="s">
        <v>19559</v>
      </c>
      <c r="D1207" s="131" t="s">
        <v>38</v>
      </c>
      <c r="E1207" s="110" t="s">
        <v>19560</v>
      </c>
      <c r="F1207" s="131" t="s">
        <v>38</v>
      </c>
      <c r="G1207" s="133">
        <v>4.9900000000000002</v>
      </c>
      <c r="H1207" s="134">
        <v>4.9900000000000002</v>
      </c>
      <c r="I1207" s="131" t="s">
        <v>17190</v>
      </c>
      <c r="J1207" s="88"/>
    </row>
    <row r="1208" ht="25.5">
      <c r="A1208" s="108">
        <v>1664</v>
      </c>
      <c r="B1208" s="131" t="s">
        <v>17273</v>
      </c>
      <c r="C1208" s="132" t="s">
        <v>19561</v>
      </c>
      <c r="D1208" s="131" t="s">
        <v>38</v>
      </c>
      <c r="E1208" s="110" t="s">
        <v>19562</v>
      </c>
      <c r="F1208" s="131" t="s">
        <v>38</v>
      </c>
      <c r="G1208" s="133">
        <v>11.6</v>
      </c>
      <c r="H1208" s="134">
        <v>11.6</v>
      </c>
      <c r="I1208" s="131" t="s">
        <v>17190</v>
      </c>
      <c r="J1208" s="88"/>
    </row>
    <row r="1209" ht="38.25">
      <c r="A1209" s="108">
        <v>1211</v>
      </c>
      <c r="B1209" s="131" t="s">
        <v>17735</v>
      </c>
      <c r="C1209" s="132" t="s">
        <v>19563</v>
      </c>
      <c r="D1209" s="131" t="s">
        <v>29</v>
      </c>
      <c r="E1209" s="110" t="s">
        <v>19564</v>
      </c>
      <c r="F1209" s="131" t="s">
        <v>29</v>
      </c>
      <c r="G1209" s="133">
        <v>123.76000000000001</v>
      </c>
      <c r="H1209" s="134">
        <v>123.76000000000001</v>
      </c>
      <c r="I1209" s="131" t="s">
        <v>17190</v>
      </c>
      <c r="J1209" s="88"/>
    </row>
    <row r="1210" ht="38.25">
      <c r="A1210" s="108">
        <v>1212</v>
      </c>
      <c r="B1210" s="131" t="s">
        <v>17735</v>
      </c>
      <c r="C1210" s="132" t="s">
        <v>19565</v>
      </c>
      <c r="D1210" s="131" t="s">
        <v>38</v>
      </c>
      <c r="E1210" s="110" t="s">
        <v>19566</v>
      </c>
      <c r="F1210" s="131" t="s">
        <v>38</v>
      </c>
      <c r="G1210" s="133">
        <v>23.289999999999999</v>
      </c>
      <c r="H1210" s="134">
        <v>23.289999999999999</v>
      </c>
      <c r="I1210" s="131" t="s">
        <v>17190</v>
      </c>
      <c r="J1210" s="88"/>
    </row>
    <row r="1211" ht="38.25">
      <c r="A1211" s="108">
        <v>1214</v>
      </c>
      <c r="B1211" s="131" t="s">
        <v>17735</v>
      </c>
      <c r="C1211" s="132" t="s">
        <v>19567</v>
      </c>
      <c r="D1211" s="131" t="s">
        <v>38</v>
      </c>
      <c r="E1211" s="110" t="s">
        <v>19568</v>
      </c>
      <c r="F1211" s="131" t="s">
        <v>38</v>
      </c>
      <c r="G1211" s="133">
        <v>31.440000000000001</v>
      </c>
      <c r="H1211" s="134">
        <v>31.440000000000001</v>
      </c>
      <c r="I1211" s="131" t="s">
        <v>17190</v>
      </c>
      <c r="J1211" s="88"/>
    </row>
    <row r="1212" ht="38.25">
      <c r="A1212" s="108">
        <v>1139</v>
      </c>
      <c r="B1212" s="131" t="s">
        <v>17735</v>
      </c>
      <c r="C1212" s="132" t="s">
        <v>19569</v>
      </c>
      <c r="D1212" s="131" t="s">
        <v>38</v>
      </c>
      <c r="E1212" s="110" t="s">
        <v>19570</v>
      </c>
      <c r="F1212" s="131" t="s">
        <v>38</v>
      </c>
      <c r="G1212" s="133">
        <v>19.149999999999999</v>
      </c>
      <c r="H1212" s="134">
        <v>19.149999999999999</v>
      </c>
      <c r="I1212" s="131" t="s">
        <v>17190</v>
      </c>
      <c r="J1212" s="88"/>
    </row>
    <row r="1213" ht="38.25">
      <c r="A1213" s="108">
        <v>1151</v>
      </c>
      <c r="B1213" s="131" t="s">
        <v>17735</v>
      </c>
      <c r="C1213" s="132" t="s">
        <v>19571</v>
      </c>
      <c r="D1213" s="131" t="s">
        <v>38</v>
      </c>
      <c r="E1213" s="110" t="s">
        <v>19572</v>
      </c>
      <c r="F1213" s="131" t="s">
        <v>38</v>
      </c>
      <c r="G1213" s="133">
        <v>27.940000000000001</v>
      </c>
      <c r="H1213" s="134">
        <v>27.940000000000001</v>
      </c>
      <c r="I1213" s="131" t="s">
        <v>17190</v>
      </c>
      <c r="J1213" s="88"/>
    </row>
    <row r="1214" ht="38.25">
      <c r="A1214" s="108">
        <v>7432</v>
      </c>
      <c r="B1214" s="131" t="s">
        <v>17735</v>
      </c>
      <c r="C1214" s="132" t="s">
        <v>19571</v>
      </c>
      <c r="D1214" s="131" t="s">
        <v>38</v>
      </c>
      <c r="E1214" s="110" t="s">
        <v>19573</v>
      </c>
      <c r="F1214" s="131" t="s">
        <v>38</v>
      </c>
      <c r="G1214" s="133">
        <v>27.940000000000001</v>
      </c>
      <c r="H1214" s="134">
        <v>27.940000000000001</v>
      </c>
      <c r="I1214" s="131" t="s">
        <v>17190</v>
      </c>
      <c r="J1214" s="88"/>
    </row>
    <row r="1215" ht="25.5">
      <c r="A1215" s="108">
        <v>1586</v>
      </c>
      <c r="B1215" s="131" t="s">
        <v>17273</v>
      </c>
      <c r="C1215" s="132" t="s">
        <v>19574</v>
      </c>
      <c r="D1215" s="131" t="s">
        <v>31</v>
      </c>
      <c r="E1215" s="110" t="s">
        <v>19575</v>
      </c>
      <c r="F1215" s="131" t="s">
        <v>31</v>
      </c>
      <c r="G1215" s="133">
        <v>164.63</v>
      </c>
      <c r="H1215" s="134">
        <v>164.63</v>
      </c>
      <c r="I1215" s="131" t="s">
        <v>17190</v>
      </c>
      <c r="J1215" s="88"/>
    </row>
    <row r="1216" ht="25.5">
      <c r="A1216" s="108">
        <v>8002</v>
      </c>
      <c r="B1216" s="131" t="s">
        <v>17752</v>
      </c>
      <c r="C1216" s="132" t="s">
        <v>19576</v>
      </c>
      <c r="D1216" s="131" t="s">
        <v>31</v>
      </c>
      <c r="E1216" s="110" t="s">
        <v>19577</v>
      </c>
      <c r="F1216" s="131" t="s">
        <v>31</v>
      </c>
      <c r="G1216" s="133">
        <v>283.60000000000002</v>
      </c>
      <c r="H1216" s="134">
        <v>283.60000000000002</v>
      </c>
      <c r="I1216" s="131" t="s">
        <v>17171</v>
      </c>
      <c r="J1216" s="88"/>
    </row>
    <row r="1217" ht="25.5">
      <c r="A1217" s="108">
        <v>8457</v>
      </c>
      <c r="B1217" s="131" t="s">
        <v>17194</v>
      </c>
      <c r="C1217" s="132" t="s">
        <v>19578</v>
      </c>
      <c r="D1217" s="131" t="s">
        <v>31</v>
      </c>
      <c r="E1217" s="110" t="s">
        <v>19579</v>
      </c>
      <c r="F1217" s="131" t="s">
        <v>31</v>
      </c>
      <c r="G1217" s="133">
        <v>515.36000000000001</v>
      </c>
      <c r="H1217" s="134">
        <v>515.36000000000001</v>
      </c>
      <c r="I1217" s="131" t="s">
        <v>17171</v>
      </c>
      <c r="J1217" s="88"/>
    </row>
    <row r="1218">
      <c r="A1218" s="108">
        <v>7528</v>
      </c>
      <c r="B1218" s="131" t="s">
        <v>17455</v>
      </c>
      <c r="C1218" s="132" t="s">
        <v>19580</v>
      </c>
      <c r="D1218" s="131" t="s">
        <v>17457</v>
      </c>
      <c r="E1218" s="110" t="s">
        <v>19581</v>
      </c>
      <c r="F1218" s="131" t="s">
        <v>17457</v>
      </c>
      <c r="G1218" s="133">
        <v>19.109999999999999</v>
      </c>
      <c r="H1218" s="134">
        <v>19.109999999999999</v>
      </c>
      <c r="I1218" s="131" t="s">
        <v>17171</v>
      </c>
      <c r="J1218" s="88"/>
    </row>
    <row r="1219" ht="38.25">
      <c r="A1219" s="108">
        <v>6468</v>
      </c>
      <c r="B1219" s="131" t="s">
        <v>17273</v>
      </c>
      <c r="C1219" s="132" t="s">
        <v>19582</v>
      </c>
      <c r="D1219" s="131" t="s">
        <v>31</v>
      </c>
      <c r="E1219" s="110" t="s">
        <v>19583</v>
      </c>
      <c r="F1219" s="131" t="s">
        <v>31</v>
      </c>
      <c r="G1219" s="133">
        <v>253.12</v>
      </c>
      <c r="H1219" s="134">
        <v>249.91</v>
      </c>
      <c r="I1219" s="131" t="s">
        <v>17190</v>
      </c>
      <c r="J1219" s="88"/>
    </row>
    <row r="1220" ht="38.25">
      <c r="A1220" s="108">
        <v>6465</v>
      </c>
      <c r="B1220" s="131" t="s">
        <v>17273</v>
      </c>
      <c r="C1220" s="132" t="s">
        <v>19584</v>
      </c>
      <c r="D1220" s="131" t="s">
        <v>31</v>
      </c>
      <c r="E1220" s="110" t="s">
        <v>19585</v>
      </c>
      <c r="F1220" s="131" t="s">
        <v>31</v>
      </c>
      <c r="G1220" s="133">
        <v>602.36000000000001</v>
      </c>
      <c r="H1220" s="134">
        <v>597.07000000000005</v>
      </c>
      <c r="I1220" s="131" t="s">
        <v>17190</v>
      </c>
      <c r="J1220" s="88"/>
    </row>
    <row r="1221" ht="38.25">
      <c r="A1221" s="108">
        <v>6449</v>
      </c>
      <c r="B1221" s="131" t="s">
        <v>17273</v>
      </c>
      <c r="C1221" s="132" t="s">
        <v>19586</v>
      </c>
      <c r="D1221" s="131" t="s">
        <v>31</v>
      </c>
      <c r="E1221" s="110" t="s">
        <v>19587</v>
      </c>
      <c r="F1221" s="131" t="s">
        <v>31</v>
      </c>
      <c r="G1221" s="133">
        <v>70.280000000000001</v>
      </c>
      <c r="H1221" s="134">
        <v>70.280000000000001</v>
      </c>
      <c r="I1221" s="131" t="s">
        <v>17190</v>
      </c>
      <c r="J1221" s="88"/>
    </row>
    <row r="1222" ht="38.25">
      <c r="A1222" s="108">
        <v>8462</v>
      </c>
      <c r="B1222" s="131" t="s">
        <v>17194</v>
      </c>
      <c r="C1222" s="132" t="s">
        <v>19588</v>
      </c>
      <c r="D1222" s="131" t="s">
        <v>31</v>
      </c>
      <c r="E1222" s="110" t="s">
        <v>19589</v>
      </c>
      <c r="F1222" s="131" t="s">
        <v>31</v>
      </c>
      <c r="G1222" s="133">
        <v>94.280000000000001</v>
      </c>
      <c r="H1222" s="134">
        <v>94.280000000000001</v>
      </c>
      <c r="I1222" s="131" t="s">
        <v>17190</v>
      </c>
      <c r="J1222" s="88"/>
    </row>
    <row r="1223" ht="38.25">
      <c r="A1223" s="108">
        <v>6539</v>
      </c>
      <c r="B1223" s="131" t="s">
        <v>19590</v>
      </c>
      <c r="C1223" s="132" t="s">
        <v>19591</v>
      </c>
      <c r="D1223" s="131" t="s">
        <v>31</v>
      </c>
      <c r="E1223" s="110" t="s">
        <v>19592</v>
      </c>
      <c r="F1223" s="131" t="s">
        <v>31</v>
      </c>
      <c r="G1223" s="133">
        <v>499.06</v>
      </c>
      <c r="H1223" s="134">
        <v>499.06</v>
      </c>
      <c r="I1223" s="131" t="s">
        <v>17190</v>
      </c>
      <c r="J1223" s="88"/>
    </row>
    <row r="1224" ht="38.25">
      <c r="A1224" s="108">
        <v>1591</v>
      </c>
      <c r="B1224" s="131" t="s">
        <v>17273</v>
      </c>
      <c r="C1224" s="132" t="s">
        <v>19593</v>
      </c>
      <c r="D1224" s="131" t="s">
        <v>31</v>
      </c>
      <c r="E1224" s="110" t="s">
        <v>19594</v>
      </c>
      <c r="F1224" s="131" t="s">
        <v>31</v>
      </c>
      <c r="G1224" s="133">
        <v>97.510000000000005</v>
      </c>
      <c r="H1224" s="134">
        <v>97.510000000000005</v>
      </c>
      <c r="I1224" s="131" t="s">
        <v>17190</v>
      </c>
      <c r="J1224" s="88"/>
    </row>
    <row r="1225" ht="38.25">
      <c r="A1225" s="108">
        <v>7178</v>
      </c>
      <c r="B1225" s="131" t="s">
        <v>17752</v>
      </c>
      <c r="C1225" s="132" t="s">
        <v>19595</v>
      </c>
      <c r="D1225" s="131" t="s">
        <v>31</v>
      </c>
      <c r="E1225" s="110" t="s">
        <v>19596</v>
      </c>
      <c r="F1225" s="131" t="s">
        <v>31</v>
      </c>
      <c r="G1225" s="133">
        <v>149.13999999999999</v>
      </c>
      <c r="H1225" s="134">
        <v>149.13999999999999</v>
      </c>
      <c r="I1225" s="131" t="s">
        <v>17190</v>
      </c>
      <c r="J1225" s="88"/>
    </row>
    <row r="1226" ht="38.25">
      <c r="A1226" s="108">
        <v>7176</v>
      </c>
      <c r="B1226" s="131" t="s">
        <v>17752</v>
      </c>
      <c r="C1226" s="132" t="s">
        <v>19597</v>
      </c>
      <c r="D1226" s="131" t="s">
        <v>31</v>
      </c>
      <c r="E1226" s="110" t="s">
        <v>19598</v>
      </c>
      <c r="F1226" s="131" t="s">
        <v>31</v>
      </c>
      <c r="G1226" s="133">
        <v>208.22999999999999</v>
      </c>
      <c r="H1226" s="134">
        <v>208.22999999999999</v>
      </c>
      <c r="I1226" s="131" t="s">
        <v>17190</v>
      </c>
      <c r="J1226" s="88"/>
    </row>
    <row r="1227" ht="38.25">
      <c r="A1227" s="108">
        <v>7177</v>
      </c>
      <c r="B1227" s="131" t="s">
        <v>17752</v>
      </c>
      <c r="C1227" s="132" t="s">
        <v>19599</v>
      </c>
      <c r="D1227" s="131" t="s">
        <v>31</v>
      </c>
      <c r="E1227" s="110" t="s">
        <v>19600</v>
      </c>
      <c r="F1227" s="131" t="s">
        <v>31</v>
      </c>
      <c r="G1227" s="133">
        <v>528.32000000000005</v>
      </c>
      <c r="H1227" s="134">
        <v>528.32000000000005</v>
      </c>
      <c r="I1227" s="131" t="s">
        <v>17190</v>
      </c>
      <c r="J1227" s="88"/>
    </row>
    <row r="1228">
      <c r="A1228" s="108">
        <v>6628</v>
      </c>
      <c r="B1228" s="131" t="s">
        <v>18256</v>
      </c>
      <c r="C1228" s="132" t="s">
        <v>15696</v>
      </c>
      <c r="D1228" s="131" t="s">
        <v>31</v>
      </c>
      <c r="E1228" s="110" t="s">
        <v>19601</v>
      </c>
      <c r="F1228" s="131" t="s">
        <v>31</v>
      </c>
      <c r="G1228" s="133">
        <v>90</v>
      </c>
      <c r="H1228" s="134">
        <v>90</v>
      </c>
      <c r="I1228" s="131" t="s">
        <v>17171</v>
      </c>
      <c r="J1228" s="88"/>
    </row>
    <row r="1229" ht="38.25">
      <c r="A1229" s="108">
        <v>1763</v>
      </c>
      <c r="B1229" s="131" t="s">
        <v>17215</v>
      </c>
      <c r="C1229" s="132" t="s">
        <v>19602</v>
      </c>
      <c r="D1229" s="131" t="s">
        <v>31</v>
      </c>
      <c r="E1229" s="110" t="s">
        <v>19603</v>
      </c>
      <c r="F1229" s="131" t="s">
        <v>31</v>
      </c>
      <c r="G1229" s="133">
        <v>19.859999999999999</v>
      </c>
      <c r="H1229" s="134">
        <v>19.07</v>
      </c>
      <c r="I1229" s="131" t="s">
        <v>17190</v>
      </c>
      <c r="J1229" s="88"/>
    </row>
    <row r="1230" ht="38.25">
      <c r="A1230" s="108">
        <v>1738</v>
      </c>
      <c r="B1230" s="131" t="s">
        <v>17215</v>
      </c>
      <c r="C1230" s="132" t="s">
        <v>19604</v>
      </c>
      <c r="D1230" s="131" t="s">
        <v>31</v>
      </c>
      <c r="E1230" s="110" t="s">
        <v>19605</v>
      </c>
      <c r="F1230" s="131" t="s">
        <v>31</v>
      </c>
      <c r="G1230" s="133">
        <v>23.370000000000001</v>
      </c>
      <c r="H1230" s="134">
        <v>22.530000000000001</v>
      </c>
      <c r="I1230" s="131" t="s">
        <v>17190</v>
      </c>
      <c r="J1230" s="88"/>
    </row>
    <row r="1231" ht="38.25">
      <c r="A1231" s="108">
        <v>8025</v>
      </c>
      <c r="B1231" s="131" t="s">
        <v>17191</v>
      </c>
      <c r="C1231" s="132" t="s">
        <v>19606</v>
      </c>
      <c r="D1231" s="131" t="s">
        <v>31</v>
      </c>
      <c r="E1231" s="110" t="s">
        <v>19607</v>
      </c>
      <c r="F1231" s="131" t="s">
        <v>31</v>
      </c>
      <c r="G1231" s="133">
        <v>12.119999999999999</v>
      </c>
      <c r="H1231" s="134">
        <v>12.119999999999999</v>
      </c>
      <c r="I1231" s="131" t="s">
        <v>17190</v>
      </c>
      <c r="J1231" s="88"/>
    </row>
    <row r="1232" ht="25.5">
      <c r="A1232" s="108">
        <v>2457</v>
      </c>
      <c r="B1232" s="131" t="s">
        <v>17224</v>
      </c>
      <c r="C1232" s="132" t="s">
        <v>19608</v>
      </c>
      <c r="D1232" s="131" t="s">
        <v>31</v>
      </c>
      <c r="E1232" s="110" t="s">
        <v>19609</v>
      </c>
      <c r="F1232" s="131" t="s">
        <v>31</v>
      </c>
      <c r="G1232" s="133">
        <v>18.629999999999999</v>
      </c>
      <c r="H1232" s="134">
        <v>18.629999999999999</v>
      </c>
      <c r="I1232" s="131" t="s">
        <v>17190</v>
      </c>
      <c r="J1232" s="88"/>
    </row>
    <row r="1233" ht="25.5">
      <c r="A1233" s="108">
        <v>2458</v>
      </c>
      <c r="B1233" s="131" t="s">
        <v>17224</v>
      </c>
      <c r="C1233" s="132" t="s">
        <v>19610</v>
      </c>
      <c r="D1233" s="131" t="s">
        <v>31</v>
      </c>
      <c r="E1233" s="110" t="s">
        <v>19611</v>
      </c>
      <c r="F1233" s="131" t="s">
        <v>31</v>
      </c>
      <c r="G1233" s="133">
        <v>21.390000000000001</v>
      </c>
      <c r="H1233" s="134">
        <v>21.390000000000001</v>
      </c>
      <c r="I1233" s="131" t="s">
        <v>17190</v>
      </c>
      <c r="J1233" s="88"/>
    </row>
    <row r="1234" ht="25.5">
      <c r="A1234" s="108">
        <v>2456</v>
      </c>
      <c r="B1234" s="131" t="s">
        <v>17224</v>
      </c>
      <c r="C1234" s="132" t="s">
        <v>19612</v>
      </c>
      <c r="D1234" s="131" t="s">
        <v>31</v>
      </c>
      <c r="E1234" s="110" t="s">
        <v>19613</v>
      </c>
      <c r="F1234" s="131" t="s">
        <v>31</v>
      </c>
      <c r="G1234" s="133">
        <v>17.530000000000001</v>
      </c>
      <c r="H1234" s="134">
        <v>17.530000000000001</v>
      </c>
      <c r="I1234" s="131" t="s">
        <v>17190</v>
      </c>
      <c r="J1234" s="88"/>
    </row>
    <row r="1235" ht="51">
      <c r="A1235" s="108">
        <v>1739</v>
      </c>
      <c r="B1235" s="131" t="s">
        <v>17215</v>
      </c>
      <c r="C1235" s="132" t="s">
        <v>19614</v>
      </c>
      <c r="D1235" s="131" t="s">
        <v>31</v>
      </c>
      <c r="E1235" s="110" t="s">
        <v>19615</v>
      </c>
      <c r="F1235" s="131" t="s">
        <v>31</v>
      </c>
      <c r="G1235" s="133">
        <v>41.979999999999997</v>
      </c>
      <c r="H1235" s="134">
        <v>41.159999999999997</v>
      </c>
      <c r="I1235" s="131" t="s">
        <v>17190</v>
      </c>
      <c r="J1235" s="88"/>
    </row>
    <row r="1236" ht="51">
      <c r="A1236" s="108">
        <v>1741</v>
      </c>
      <c r="B1236" s="131" t="s">
        <v>17215</v>
      </c>
      <c r="C1236" s="132" t="s">
        <v>19616</v>
      </c>
      <c r="D1236" s="131" t="s">
        <v>31</v>
      </c>
      <c r="E1236" s="110" t="s">
        <v>19617</v>
      </c>
      <c r="F1236" s="131" t="s">
        <v>31</v>
      </c>
      <c r="G1236" s="133">
        <v>46.549999999999997</v>
      </c>
      <c r="H1236" s="134">
        <v>45.689999999999998</v>
      </c>
      <c r="I1236" s="131" t="s">
        <v>17190</v>
      </c>
      <c r="J1236" s="88"/>
    </row>
    <row r="1237" ht="51">
      <c r="A1237" s="108">
        <v>1777</v>
      </c>
      <c r="B1237" s="131" t="s">
        <v>17215</v>
      </c>
      <c r="C1237" s="132" t="s">
        <v>19618</v>
      </c>
      <c r="D1237" s="131" t="s">
        <v>31</v>
      </c>
      <c r="E1237" s="110" t="s">
        <v>19619</v>
      </c>
      <c r="F1237" s="131" t="s">
        <v>31</v>
      </c>
      <c r="G1237" s="133">
        <v>24.469999999999999</v>
      </c>
      <c r="H1237" s="134">
        <v>23.809999999999999</v>
      </c>
      <c r="I1237" s="131" t="s">
        <v>17190</v>
      </c>
      <c r="J1237" s="88"/>
    </row>
    <row r="1238" ht="51">
      <c r="A1238" s="108">
        <v>1779</v>
      </c>
      <c r="B1238" s="131" t="s">
        <v>17215</v>
      </c>
      <c r="C1238" s="132" t="s">
        <v>19620</v>
      </c>
      <c r="D1238" s="131" t="s">
        <v>31</v>
      </c>
      <c r="E1238" s="110" t="s">
        <v>19621</v>
      </c>
      <c r="F1238" s="131" t="s">
        <v>31</v>
      </c>
      <c r="G1238" s="133">
        <v>39.880000000000003</v>
      </c>
      <c r="H1238" s="134">
        <v>39.100000000000001</v>
      </c>
      <c r="I1238" s="131" t="s">
        <v>17190</v>
      </c>
      <c r="J1238" s="88"/>
    </row>
    <row r="1239" ht="38.25">
      <c r="A1239" s="108">
        <v>1783</v>
      </c>
      <c r="B1239" s="131" t="s">
        <v>17215</v>
      </c>
      <c r="C1239" s="132" t="s">
        <v>19622</v>
      </c>
      <c r="D1239" s="131" t="s">
        <v>31</v>
      </c>
      <c r="E1239" s="110" t="s">
        <v>19623</v>
      </c>
      <c r="F1239" s="131" t="s">
        <v>31</v>
      </c>
      <c r="G1239" s="133">
        <v>9.9100000000000001</v>
      </c>
      <c r="H1239" s="134">
        <v>9.3900000000000006</v>
      </c>
      <c r="I1239" s="131" t="s">
        <v>17190</v>
      </c>
      <c r="J1239" s="88"/>
    </row>
    <row r="1240" ht="38.25">
      <c r="A1240" s="108">
        <v>1762</v>
      </c>
      <c r="B1240" s="131" t="s">
        <v>17215</v>
      </c>
      <c r="C1240" s="132" t="s">
        <v>19624</v>
      </c>
      <c r="D1240" s="131" t="s">
        <v>31</v>
      </c>
      <c r="E1240" s="110" t="s">
        <v>19625</v>
      </c>
      <c r="F1240" s="131" t="s">
        <v>31</v>
      </c>
      <c r="G1240" s="133">
        <v>12.57</v>
      </c>
      <c r="H1240" s="134">
        <v>11.85</v>
      </c>
      <c r="I1240" s="131" t="s">
        <v>17190</v>
      </c>
      <c r="J1240" s="88"/>
    </row>
    <row r="1241" ht="38.25">
      <c r="A1241" s="108">
        <v>1841</v>
      </c>
      <c r="B1241" s="131" t="s">
        <v>17215</v>
      </c>
      <c r="C1241" s="132" t="s">
        <v>19626</v>
      </c>
      <c r="D1241" s="131" t="s">
        <v>31</v>
      </c>
      <c r="E1241" s="110" t="s">
        <v>19627</v>
      </c>
      <c r="F1241" s="131" t="s">
        <v>31</v>
      </c>
      <c r="G1241" s="133">
        <v>11.25</v>
      </c>
      <c r="H1241" s="134">
        <v>10.890000000000001</v>
      </c>
      <c r="I1241" s="131" t="s">
        <v>17190</v>
      </c>
      <c r="J1241" s="88"/>
    </row>
    <row r="1242" ht="38.25">
      <c r="A1242" s="108">
        <v>1842</v>
      </c>
      <c r="B1242" s="131" t="s">
        <v>17215</v>
      </c>
      <c r="C1242" s="132" t="s">
        <v>19628</v>
      </c>
      <c r="D1242" s="131" t="s">
        <v>31</v>
      </c>
      <c r="E1242" s="110" t="s">
        <v>19629</v>
      </c>
      <c r="F1242" s="131" t="s">
        <v>31</v>
      </c>
      <c r="G1242" s="133">
        <v>19.460000000000001</v>
      </c>
      <c r="H1242" s="134">
        <v>18.989999999999998</v>
      </c>
      <c r="I1242" s="131" t="s">
        <v>17190</v>
      </c>
      <c r="J1242" s="88"/>
    </row>
    <row r="1243">
      <c r="A1243" s="108">
        <v>7634</v>
      </c>
      <c r="B1243" s="131" t="s">
        <v>17455</v>
      </c>
      <c r="C1243" s="132" t="s">
        <v>19630</v>
      </c>
      <c r="D1243" s="131" t="s">
        <v>29</v>
      </c>
      <c r="E1243" s="110" t="s">
        <v>19631</v>
      </c>
      <c r="F1243" s="131" t="s">
        <v>29</v>
      </c>
      <c r="G1243" s="133">
        <v>110</v>
      </c>
      <c r="H1243" s="134">
        <v>110</v>
      </c>
      <c r="I1243" s="131" t="s">
        <v>17171</v>
      </c>
      <c r="J1243" s="88"/>
    </row>
    <row r="1244">
      <c r="A1244" s="108">
        <v>7545</v>
      </c>
      <c r="B1244" s="131" t="s">
        <v>17455</v>
      </c>
      <c r="C1244" s="132" t="s">
        <v>19632</v>
      </c>
      <c r="D1244" s="131" t="s">
        <v>29</v>
      </c>
      <c r="E1244" s="110" t="s">
        <v>19633</v>
      </c>
      <c r="F1244" s="131" t="s">
        <v>29</v>
      </c>
      <c r="G1244" s="133">
        <v>116</v>
      </c>
      <c r="H1244" s="134">
        <v>116</v>
      </c>
      <c r="I1244" s="131" t="s">
        <v>17171</v>
      </c>
      <c r="J1244" s="88"/>
    </row>
    <row r="1245" ht="38.25">
      <c r="A1245" s="108">
        <v>7546</v>
      </c>
      <c r="B1245" s="131" t="s">
        <v>17455</v>
      </c>
      <c r="C1245" s="132" t="s">
        <v>19634</v>
      </c>
      <c r="D1245" s="131" t="s">
        <v>29</v>
      </c>
      <c r="E1245" s="110" t="s">
        <v>19635</v>
      </c>
      <c r="F1245" s="131" t="s">
        <v>29</v>
      </c>
      <c r="G1245" s="133">
        <v>19.309999999999999</v>
      </c>
      <c r="H1245" s="134">
        <v>19.309999999999999</v>
      </c>
      <c r="I1245" s="131" t="s">
        <v>17190</v>
      </c>
      <c r="J1245" s="88"/>
    </row>
    <row r="1246" ht="38.25">
      <c r="A1246" s="108">
        <v>3498</v>
      </c>
      <c r="B1246" s="131" t="s">
        <v>19636</v>
      </c>
      <c r="C1246" s="132" t="s">
        <v>19637</v>
      </c>
      <c r="D1246" s="131" t="s">
        <v>29</v>
      </c>
      <c r="E1246" s="110" t="s">
        <v>19638</v>
      </c>
      <c r="F1246" s="131" t="s">
        <v>29</v>
      </c>
      <c r="G1246" s="133">
        <v>20.77</v>
      </c>
      <c r="H1246" s="134">
        <v>20.77</v>
      </c>
      <c r="I1246" s="131" t="s">
        <v>17190</v>
      </c>
      <c r="J1246" s="88"/>
    </row>
    <row r="1247" ht="38.25">
      <c r="A1247" s="108">
        <v>3490</v>
      </c>
      <c r="B1247" s="131" t="s">
        <v>19636</v>
      </c>
      <c r="C1247" s="132" t="s">
        <v>19639</v>
      </c>
      <c r="D1247" s="131" t="s">
        <v>29</v>
      </c>
      <c r="E1247" s="110" t="s">
        <v>19640</v>
      </c>
      <c r="F1247" s="131" t="s">
        <v>29</v>
      </c>
      <c r="G1247" s="133">
        <v>29.800000000000001</v>
      </c>
      <c r="H1247" s="134">
        <v>29.800000000000001</v>
      </c>
      <c r="I1247" s="131" t="s">
        <v>17190</v>
      </c>
      <c r="J1247" s="88"/>
    </row>
    <row r="1248" ht="51">
      <c r="A1248" s="108">
        <v>2750</v>
      </c>
      <c r="B1248" s="131" t="s">
        <v>19636</v>
      </c>
      <c r="C1248" s="132" t="s">
        <v>19641</v>
      </c>
      <c r="D1248" s="131" t="s">
        <v>29</v>
      </c>
      <c r="E1248" s="110" t="s">
        <v>19642</v>
      </c>
      <c r="F1248" s="131" t="s">
        <v>29</v>
      </c>
      <c r="G1248" s="133">
        <v>42.649999999999999</v>
      </c>
      <c r="H1248" s="134">
        <v>42.649999999999999</v>
      </c>
      <c r="I1248" s="131" t="s">
        <v>17190</v>
      </c>
      <c r="J1248" s="88"/>
    </row>
    <row r="1249" ht="51">
      <c r="A1249" s="108">
        <v>1227</v>
      </c>
      <c r="B1249" s="131" t="s">
        <v>19636</v>
      </c>
      <c r="C1249" s="132" t="s">
        <v>19643</v>
      </c>
      <c r="D1249" s="131" t="s">
        <v>29</v>
      </c>
      <c r="E1249" s="110" t="s">
        <v>19644</v>
      </c>
      <c r="F1249" s="131" t="s">
        <v>29</v>
      </c>
      <c r="G1249" s="133">
        <v>13.93</v>
      </c>
      <c r="H1249" s="134">
        <v>13.93</v>
      </c>
      <c r="I1249" s="131" t="s">
        <v>17190</v>
      </c>
      <c r="J1249" s="88"/>
    </row>
    <row r="1250" ht="38.25">
      <c r="A1250" s="108">
        <v>1272</v>
      </c>
      <c r="B1250" s="131" t="s">
        <v>19636</v>
      </c>
      <c r="C1250" s="132" t="s">
        <v>19645</v>
      </c>
      <c r="D1250" s="131" t="s">
        <v>29</v>
      </c>
      <c r="E1250" s="110" t="s">
        <v>19646</v>
      </c>
      <c r="F1250" s="131" t="s">
        <v>29</v>
      </c>
      <c r="G1250" s="133">
        <v>35.100000000000001</v>
      </c>
      <c r="H1250" s="134">
        <v>35.100000000000001</v>
      </c>
      <c r="I1250" s="131" t="s">
        <v>17190</v>
      </c>
      <c r="J1250" s="88"/>
    </row>
    <row r="1251" ht="38.25">
      <c r="A1251" s="108">
        <v>7566</v>
      </c>
      <c r="B1251" s="131" t="s">
        <v>17455</v>
      </c>
      <c r="C1251" s="132" t="s">
        <v>19647</v>
      </c>
      <c r="D1251" s="131" t="s">
        <v>29</v>
      </c>
      <c r="E1251" s="110" t="s">
        <v>19648</v>
      </c>
      <c r="F1251" s="131" t="s">
        <v>29</v>
      </c>
      <c r="G1251" s="133">
        <v>54.93</v>
      </c>
      <c r="H1251" s="134">
        <v>54.93</v>
      </c>
      <c r="I1251" s="131" t="s">
        <v>17190</v>
      </c>
      <c r="J1251" s="88"/>
    </row>
    <row r="1252" ht="25.5">
      <c r="A1252" s="108">
        <v>6179</v>
      </c>
      <c r="B1252" s="131" t="s">
        <v>19636</v>
      </c>
      <c r="C1252" s="132" t="s">
        <v>19649</v>
      </c>
      <c r="D1252" s="131" t="s">
        <v>29</v>
      </c>
      <c r="E1252" s="110" t="s">
        <v>19650</v>
      </c>
      <c r="F1252" s="131" t="s">
        <v>29</v>
      </c>
      <c r="G1252" s="133">
        <v>39.640000000000001</v>
      </c>
      <c r="H1252" s="134">
        <v>39.640000000000001</v>
      </c>
      <c r="I1252" s="131" t="s">
        <v>17190</v>
      </c>
      <c r="J1252" s="88"/>
    </row>
    <row r="1253" ht="51">
      <c r="A1253" s="108">
        <v>1215</v>
      </c>
      <c r="B1253" s="131" t="s">
        <v>17492</v>
      </c>
      <c r="C1253" s="132" t="s">
        <v>19651</v>
      </c>
      <c r="D1253" s="131" t="s">
        <v>31</v>
      </c>
      <c r="E1253" s="110" t="s">
        <v>19652</v>
      </c>
      <c r="F1253" s="131" t="s">
        <v>31</v>
      </c>
      <c r="G1253" s="133">
        <v>1.75</v>
      </c>
      <c r="H1253" s="134">
        <v>1.75</v>
      </c>
      <c r="I1253" s="131" t="s">
        <v>17190</v>
      </c>
      <c r="J1253" s="88"/>
    </row>
    <row r="1254" ht="25.5">
      <c r="A1254" s="108">
        <v>1165</v>
      </c>
      <c r="B1254" s="131" t="s">
        <v>18028</v>
      </c>
      <c r="C1254" s="132" t="s">
        <v>19653</v>
      </c>
      <c r="D1254" s="131" t="s">
        <v>29</v>
      </c>
      <c r="E1254" s="110" t="s">
        <v>19654</v>
      </c>
      <c r="F1254" s="131" t="s">
        <v>29</v>
      </c>
      <c r="G1254" s="133">
        <v>27.620000000000001</v>
      </c>
      <c r="H1254" s="134">
        <v>27.620000000000001</v>
      </c>
      <c r="I1254" s="131" t="s">
        <v>17190</v>
      </c>
      <c r="J1254" s="88"/>
    </row>
    <row r="1255" ht="25.5">
      <c r="A1255" s="108">
        <v>1159</v>
      </c>
      <c r="B1255" s="131" t="s">
        <v>18028</v>
      </c>
      <c r="C1255" s="132" t="s">
        <v>19655</v>
      </c>
      <c r="D1255" s="131" t="s">
        <v>31</v>
      </c>
      <c r="E1255" s="110" t="s">
        <v>19656</v>
      </c>
      <c r="F1255" s="131" t="s">
        <v>31</v>
      </c>
      <c r="G1255" s="133">
        <v>253.87</v>
      </c>
      <c r="H1255" s="134">
        <v>253.87</v>
      </c>
      <c r="I1255" s="131" t="s">
        <v>17190</v>
      </c>
      <c r="J1255" s="88"/>
    </row>
    <row r="1256" ht="25.5">
      <c r="A1256" s="108">
        <v>1160</v>
      </c>
      <c r="B1256" s="131" t="s">
        <v>18028</v>
      </c>
      <c r="C1256" s="132" t="s">
        <v>19657</v>
      </c>
      <c r="D1256" s="131" t="s">
        <v>31</v>
      </c>
      <c r="E1256" s="110" t="s">
        <v>19658</v>
      </c>
      <c r="F1256" s="131" t="s">
        <v>31</v>
      </c>
      <c r="G1256" s="133">
        <v>543.86000000000001</v>
      </c>
      <c r="H1256" s="134">
        <v>543.86000000000001</v>
      </c>
      <c r="I1256" s="131" t="s">
        <v>17190</v>
      </c>
      <c r="J1256" s="88"/>
    </row>
    <row r="1257" ht="38.25">
      <c r="A1257" s="108">
        <v>8541</v>
      </c>
      <c r="B1257" s="131" t="s">
        <v>17492</v>
      </c>
      <c r="C1257" s="132" t="s">
        <v>19659</v>
      </c>
      <c r="D1257" s="131" t="s">
        <v>29</v>
      </c>
      <c r="E1257" s="110" t="s">
        <v>19660</v>
      </c>
      <c r="F1257" s="131" t="s">
        <v>29</v>
      </c>
      <c r="G1257" s="133">
        <v>48.030000000000001</v>
      </c>
      <c r="H1257" s="134">
        <v>48.030000000000001</v>
      </c>
      <c r="I1257" s="131" t="s">
        <v>17190</v>
      </c>
      <c r="J1257" s="88"/>
    </row>
    <row r="1258" ht="38.25">
      <c r="A1258" s="108">
        <v>1620</v>
      </c>
      <c r="B1258" s="131" t="s">
        <v>17492</v>
      </c>
      <c r="C1258" s="132" t="s">
        <v>19661</v>
      </c>
      <c r="D1258" s="131" t="s">
        <v>29</v>
      </c>
      <c r="E1258" s="110" t="s">
        <v>19662</v>
      </c>
      <c r="F1258" s="131" t="s">
        <v>29</v>
      </c>
      <c r="G1258" s="133">
        <v>47.25</v>
      </c>
      <c r="H1258" s="134">
        <v>47.25</v>
      </c>
      <c r="I1258" s="131" t="s">
        <v>17171</v>
      </c>
      <c r="J1258" s="88"/>
    </row>
    <row r="1259" ht="38.25">
      <c r="A1259" s="108">
        <v>6334</v>
      </c>
      <c r="B1259" s="131" t="s">
        <v>17492</v>
      </c>
      <c r="C1259" s="132" t="s">
        <v>19663</v>
      </c>
      <c r="D1259" s="131" t="s">
        <v>29</v>
      </c>
      <c r="E1259" s="110" t="s">
        <v>19664</v>
      </c>
      <c r="F1259" s="131" t="s">
        <v>29</v>
      </c>
      <c r="G1259" s="133">
        <v>50.189999999999998</v>
      </c>
      <c r="H1259" s="134">
        <v>50.189999999999998</v>
      </c>
      <c r="I1259" s="131" t="s">
        <v>17190</v>
      </c>
      <c r="J1259" s="88"/>
    </row>
    <row r="1260" ht="38.25">
      <c r="A1260" s="108">
        <v>8540</v>
      </c>
      <c r="B1260" s="131" t="s">
        <v>17492</v>
      </c>
      <c r="C1260" s="132" t="s">
        <v>19663</v>
      </c>
      <c r="D1260" s="131" t="s">
        <v>29</v>
      </c>
      <c r="E1260" s="110" t="s">
        <v>19665</v>
      </c>
      <c r="F1260" s="131" t="s">
        <v>29</v>
      </c>
      <c r="G1260" s="133">
        <v>50.189999999999998</v>
      </c>
      <c r="H1260" s="134">
        <v>50.189999999999998</v>
      </c>
      <c r="I1260" s="131" t="s">
        <v>17190</v>
      </c>
      <c r="J1260" s="88"/>
    </row>
    <row r="1261" ht="25.5">
      <c r="A1261" s="108">
        <v>4016</v>
      </c>
      <c r="B1261" s="131" t="s">
        <v>17250</v>
      </c>
      <c r="C1261" s="132" t="s">
        <v>19666</v>
      </c>
      <c r="D1261" s="131" t="s">
        <v>2032</v>
      </c>
      <c r="E1261" s="110" t="s">
        <v>19667</v>
      </c>
      <c r="F1261" s="131" t="s">
        <v>2032</v>
      </c>
      <c r="G1261" s="133">
        <v>25.109999999999999</v>
      </c>
      <c r="H1261" s="134">
        <v>23.170000000000002</v>
      </c>
      <c r="I1261" s="131" t="s">
        <v>17190</v>
      </c>
      <c r="J1261" s="88"/>
    </row>
    <row r="1262" ht="51">
      <c r="A1262" s="108">
        <v>1831</v>
      </c>
      <c r="B1262" s="131" t="s">
        <v>17215</v>
      </c>
      <c r="C1262" s="132" t="s">
        <v>19668</v>
      </c>
      <c r="D1262" s="131" t="s">
        <v>29</v>
      </c>
      <c r="E1262" s="110" t="s">
        <v>19669</v>
      </c>
      <c r="F1262" s="131" t="s">
        <v>29</v>
      </c>
      <c r="G1262" s="133">
        <v>48.869999999999997</v>
      </c>
      <c r="H1262" s="134">
        <v>48.340000000000003</v>
      </c>
      <c r="I1262" s="131" t="s">
        <v>17190</v>
      </c>
      <c r="J1262" s="88"/>
    </row>
    <row r="1263" ht="38.25">
      <c r="A1263" s="108">
        <v>1645</v>
      </c>
      <c r="B1263" s="131" t="s">
        <v>17273</v>
      </c>
      <c r="C1263" s="132" t="s">
        <v>19670</v>
      </c>
      <c r="D1263" s="131" t="s">
        <v>31</v>
      </c>
      <c r="E1263" s="110" t="s">
        <v>19671</v>
      </c>
      <c r="F1263" s="131" t="s">
        <v>31</v>
      </c>
      <c r="G1263" s="133">
        <v>1.0900000000000001</v>
      </c>
      <c r="H1263" s="134">
        <v>1.0900000000000001</v>
      </c>
      <c r="I1263" s="131" t="s">
        <v>17190</v>
      </c>
      <c r="J1263" s="88"/>
    </row>
    <row r="1264" ht="38.25">
      <c r="A1264" s="108">
        <v>6455</v>
      </c>
      <c r="B1264" s="131" t="s">
        <v>17273</v>
      </c>
      <c r="C1264" s="132" t="s">
        <v>19672</v>
      </c>
      <c r="D1264" s="131" t="s">
        <v>31</v>
      </c>
      <c r="E1264" s="110" t="s">
        <v>19673</v>
      </c>
      <c r="F1264" s="131" t="s">
        <v>31</v>
      </c>
      <c r="G1264" s="133">
        <v>3.02</v>
      </c>
      <c r="H1264" s="134">
        <v>3.02</v>
      </c>
      <c r="I1264" s="131" t="s">
        <v>17190</v>
      </c>
      <c r="J1264" s="88"/>
    </row>
    <row r="1265" ht="38.25">
      <c r="A1265" s="108">
        <v>6456</v>
      </c>
      <c r="B1265" s="131" t="s">
        <v>17273</v>
      </c>
      <c r="C1265" s="132" t="s">
        <v>19674</v>
      </c>
      <c r="D1265" s="131" t="s">
        <v>31</v>
      </c>
      <c r="E1265" s="110" t="s">
        <v>19675</v>
      </c>
      <c r="F1265" s="131" t="s">
        <v>31</v>
      </c>
      <c r="G1265" s="133">
        <v>3.3999999999999999</v>
      </c>
      <c r="H1265" s="134">
        <v>3.3999999999999999</v>
      </c>
      <c r="I1265" s="131" t="s">
        <v>17190</v>
      </c>
      <c r="J1265" s="88"/>
    </row>
    <row r="1266" ht="38.25">
      <c r="A1266" s="108">
        <v>1611</v>
      </c>
      <c r="B1266" s="131" t="s">
        <v>17273</v>
      </c>
      <c r="C1266" s="132" t="s">
        <v>19676</v>
      </c>
      <c r="D1266" s="131" t="s">
        <v>31</v>
      </c>
      <c r="E1266" s="110" t="s">
        <v>19677</v>
      </c>
      <c r="F1266" s="131" t="s">
        <v>31</v>
      </c>
      <c r="G1266" s="133">
        <v>1.4199999999999999</v>
      </c>
      <c r="H1266" s="134">
        <v>1.4199999999999999</v>
      </c>
      <c r="I1266" s="131" t="s">
        <v>17190</v>
      </c>
      <c r="J1266" s="88"/>
    </row>
    <row r="1267">
      <c r="A1267" s="108">
        <v>6583</v>
      </c>
      <c r="B1267" s="131" t="s">
        <v>17168</v>
      </c>
      <c r="C1267" s="132" t="s">
        <v>16462</v>
      </c>
      <c r="D1267" s="131" t="s">
        <v>31</v>
      </c>
      <c r="E1267" s="110" t="s">
        <v>19678</v>
      </c>
      <c r="F1267" s="131" t="s">
        <v>31</v>
      </c>
      <c r="G1267" s="133">
        <v>21.640000000000001</v>
      </c>
      <c r="H1267" s="134">
        <v>21.640000000000001</v>
      </c>
      <c r="I1267" s="131" t="s">
        <v>17171</v>
      </c>
      <c r="J1267" s="88"/>
    </row>
    <row r="1268" ht="51">
      <c r="A1268" s="108">
        <v>1746</v>
      </c>
      <c r="B1268" s="131" t="s">
        <v>17215</v>
      </c>
      <c r="C1268" s="132" t="s">
        <v>19679</v>
      </c>
      <c r="D1268" s="131" t="s">
        <v>31</v>
      </c>
      <c r="E1268" s="110" t="s">
        <v>19680</v>
      </c>
      <c r="F1268" s="131" t="s">
        <v>31</v>
      </c>
      <c r="G1268" s="133">
        <v>32.649999999999999</v>
      </c>
      <c r="H1268" s="134">
        <v>32.390000000000001</v>
      </c>
      <c r="I1268" s="131" t="s">
        <v>17190</v>
      </c>
      <c r="J1268" s="88"/>
    </row>
    <row r="1269" ht="51">
      <c r="A1269" s="108">
        <v>1743</v>
      </c>
      <c r="B1269" s="131" t="s">
        <v>17215</v>
      </c>
      <c r="C1269" s="132" t="s">
        <v>19681</v>
      </c>
      <c r="D1269" s="131" t="s">
        <v>31</v>
      </c>
      <c r="E1269" s="110" t="s">
        <v>19682</v>
      </c>
      <c r="F1269" s="131" t="s">
        <v>31</v>
      </c>
      <c r="G1269" s="133">
        <v>12.02</v>
      </c>
      <c r="H1269" s="134">
        <v>11.98</v>
      </c>
      <c r="I1269" s="131" t="s">
        <v>17190</v>
      </c>
      <c r="J1269" s="88"/>
    </row>
    <row r="1270" ht="51">
      <c r="A1270" s="108">
        <v>1745</v>
      </c>
      <c r="B1270" s="131" t="s">
        <v>17215</v>
      </c>
      <c r="C1270" s="132" t="s">
        <v>19683</v>
      </c>
      <c r="D1270" s="131" t="s">
        <v>31</v>
      </c>
      <c r="E1270" s="110" t="s">
        <v>19684</v>
      </c>
      <c r="F1270" s="131" t="s">
        <v>31</v>
      </c>
      <c r="G1270" s="133">
        <v>24.73</v>
      </c>
      <c r="H1270" s="134">
        <v>24.59</v>
      </c>
      <c r="I1270" s="131" t="s">
        <v>17190</v>
      </c>
      <c r="J1270" s="88"/>
    </row>
    <row r="1271" ht="25.5">
      <c r="A1271" s="108">
        <v>3410</v>
      </c>
      <c r="B1271" s="131" t="s">
        <v>17828</v>
      </c>
      <c r="C1271" s="132" t="s">
        <v>19685</v>
      </c>
      <c r="D1271" s="131" t="s">
        <v>31</v>
      </c>
      <c r="E1271" s="110" t="s">
        <v>19686</v>
      </c>
      <c r="F1271" s="131" t="s">
        <v>31</v>
      </c>
      <c r="G1271" s="133">
        <v>28.109999999999999</v>
      </c>
      <c r="H1271" s="134">
        <v>28.109999999999999</v>
      </c>
      <c r="I1271" s="131" t="s">
        <v>17190</v>
      </c>
      <c r="J1271" s="88"/>
    </row>
    <row r="1272" ht="25.5">
      <c r="A1272" s="108">
        <v>3504</v>
      </c>
      <c r="B1272" s="131" t="s">
        <v>17828</v>
      </c>
      <c r="C1272" s="132" t="s">
        <v>19687</v>
      </c>
      <c r="D1272" s="131" t="s">
        <v>31</v>
      </c>
      <c r="E1272" s="110" t="s">
        <v>19688</v>
      </c>
      <c r="F1272" s="131" t="s">
        <v>31</v>
      </c>
      <c r="G1272" s="133">
        <v>31.350000000000001</v>
      </c>
      <c r="H1272" s="134">
        <v>31.350000000000001</v>
      </c>
      <c r="I1272" s="131" t="s">
        <v>17190</v>
      </c>
      <c r="J1272" s="88"/>
    </row>
    <row r="1273" ht="25.5">
      <c r="A1273" s="108">
        <v>3505</v>
      </c>
      <c r="B1273" s="131" t="s">
        <v>17828</v>
      </c>
      <c r="C1273" s="132" t="s">
        <v>19689</v>
      </c>
      <c r="D1273" s="131" t="s">
        <v>31</v>
      </c>
      <c r="E1273" s="110" t="s">
        <v>19690</v>
      </c>
      <c r="F1273" s="131" t="s">
        <v>31</v>
      </c>
      <c r="G1273" s="133">
        <v>41.369999999999997</v>
      </c>
      <c r="H1273" s="134">
        <v>41.369999999999997</v>
      </c>
      <c r="I1273" s="131" t="s">
        <v>17190</v>
      </c>
      <c r="J1273" s="88"/>
    </row>
    <row r="1274" ht="25.5">
      <c r="A1274" s="108">
        <v>7192</v>
      </c>
      <c r="B1274" s="131" t="s">
        <v>17828</v>
      </c>
      <c r="C1274" s="132" t="s">
        <v>19691</v>
      </c>
      <c r="D1274" s="131" t="s">
        <v>31</v>
      </c>
      <c r="E1274" s="110" t="s">
        <v>19692</v>
      </c>
      <c r="F1274" s="131" t="s">
        <v>31</v>
      </c>
      <c r="G1274" s="133">
        <v>7.4699999999999998</v>
      </c>
      <c r="H1274" s="134">
        <v>7.4699999999999998</v>
      </c>
      <c r="I1274" s="131" t="s">
        <v>17190</v>
      </c>
      <c r="J1274" s="88"/>
    </row>
    <row r="1275" ht="25.5">
      <c r="A1275" s="108">
        <v>3506</v>
      </c>
      <c r="B1275" s="131" t="s">
        <v>17828</v>
      </c>
      <c r="C1275" s="132" t="s">
        <v>19693</v>
      </c>
      <c r="D1275" s="131" t="s">
        <v>31</v>
      </c>
      <c r="E1275" s="110" t="s">
        <v>19694</v>
      </c>
      <c r="F1275" s="131" t="s">
        <v>31</v>
      </c>
      <c r="G1275" s="133">
        <v>60.189999999999998</v>
      </c>
      <c r="H1275" s="134">
        <v>60.189999999999998</v>
      </c>
      <c r="I1275" s="131" t="s">
        <v>17190</v>
      </c>
      <c r="J1275" s="88"/>
    </row>
    <row r="1276" ht="25.5">
      <c r="A1276" s="108">
        <v>3406</v>
      </c>
      <c r="B1276" s="131" t="s">
        <v>17828</v>
      </c>
      <c r="C1276" s="132" t="s">
        <v>19695</v>
      </c>
      <c r="D1276" s="131" t="s">
        <v>31</v>
      </c>
      <c r="E1276" s="110" t="s">
        <v>19696</v>
      </c>
      <c r="F1276" s="131" t="s">
        <v>31</v>
      </c>
      <c r="G1276" s="133">
        <v>10.44</v>
      </c>
      <c r="H1276" s="134">
        <v>10.44</v>
      </c>
      <c r="I1276" s="131" t="s">
        <v>17190</v>
      </c>
      <c r="J1276" s="88"/>
    </row>
    <row r="1277" ht="25.5">
      <c r="A1277" s="108">
        <v>3502</v>
      </c>
      <c r="B1277" s="131" t="s">
        <v>17828</v>
      </c>
      <c r="C1277" s="132" t="s">
        <v>19697</v>
      </c>
      <c r="D1277" s="131" t="s">
        <v>31</v>
      </c>
      <c r="E1277" s="110" t="s">
        <v>19698</v>
      </c>
      <c r="F1277" s="131" t="s">
        <v>31</v>
      </c>
      <c r="G1277" s="133">
        <v>6.0099999999999998</v>
      </c>
      <c r="H1277" s="134">
        <v>6.0099999999999998</v>
      </c>
      <c r="I1277" s="131" t="s">
        <v>17190</v>
      </c>
      <c r="J1277" s="88"/>
    </row>
    <row r="1278" ht="25.5">
      <c r="A1278" s="108">
        <v>3503</v>
      </c>
      <c r="B1278" s="131" t="s">
        <v>17828</v>
      </c>
      <c r="C1278" s="132" t="s">
        <v>19699</v>
      </c>
      <c r="D1278" s="131" t="s">
        <v>31</v>
      </c>
      <c r="E1278" s="110" t="s">
        <v>19700</v>
      </c>
      <c r="F1278" s="131" t="s">
        <v>31</v>
      </c>
      <c r="G1278" s="133">
        <v>10.77</v>
      </c>
      <c r="H1278" s="134">
        <v>10.77</v>
      </c>
      <c r="I1278" s="131" t="s">
        <v>17190</v>
      </c>
      <c r="J1278" s="88"/>
    </row>
    <row r="1279" ht="25.5">
      <c r="A1279" s="108">
        <v>3409</v>
      </c>
      <c r="B1279" s="131" t="s">
        <v>17828</v>
      </c>
      <c r="C1279" s="132" t="s">
        <v>19701</v>
      </c>
      <c r="D1279" s="131" t="s">
        <v>31</v>
      </c>
      <c r="E1279" s="110" t="s">
        <v>19702</v>
      </c>
      <c r="F1279" s="131" t="s">
        <v>31</v>
      </c>
      <c r="G1279" s="133">
        <v>18.960000000000001</v>
      </c>
      <c r="H1279" s="134">
        <v>18.960000000000001</v>
      </c>
      <c r="I1279" s="131" t="s">
        <v>17190</v>
      </c>
      <c r="J1279" s="88"/>
    </row>
    <row r="1280">
      <c r="A1280" s="108">
        <v>6416</v>
      </c>
      <c r="B1280" s="131" t="s">
        <v>17198</v>
      </c>
      <c r="C1280" s="132" t="s">
        <v>19703</v>
      </c>
      <c r="D1280" s="131" t="s">
        <v>121</v>
      </c>
      <c r="E1280" s="110" t="s">
        <v>19704</v>
      </c>
      <c r="F1280" s="131" t="s">
        <v>121</v>
      </c>
      <c r="G1280" s="133">
        <v>52.5</v>
      </c>
      <c r="H1280" s="134">
        <v>52.5</v>
      </c>
      <c r="I1280" s="131" t="s">
        <v>17171</v>
      </c>
      <c r="J1280" s="88"/>
    </row>
    <row r="1281" ht="25.5">
      <c r="A1281" s="108">
        <v>1170</v>
      </c>
      <c r="B1281" s="131" t="s">
        <v>17492</v>
      </c>
      <c r="C1281" s="132" t="s">
        <v>19705</v>
      </c>
      <c r="D1281" s="131" t="s">
        <v>31</v>
      </c>
      <c r="E1281" s="110" t="s">
        <v>19706</v>
      </c>
      <c r="F1281" s="131" t="s">
        <v>31</v>
      </c>
      <c r="G1281" s="133">
        <v>1.8799999999999999</v>
      </c>
      <c r="H1281" s="134">
        <v>1.8799999999999999</v>
      </c>
      <c r="I1281" s="131" t="s">
        <v>17190</v>
      </c>
      <c r="J1281" s="88"/>
    </row>
    <row r="1282" ht="25.5">
      <c r="A1282" s="108">
        <v>1172</v>
      </c>
      <c r="B1282" s="131" t="s">
        <v>17492</v>
      </c>
      <c r="C1282" s="132" t="s">
        <v>19707</v>
      </c>
      <c r="D1282" s="131" t="s">
        <v>31</v>
      </c>
      <c r="E1282" s="110" t="s">
        <v>19708</v>
      </c>
      <c r="F1282" s="131" t="s">
        <v>31</v>
      </c>
      <c r="G1282" s="133">
        <v>0.65000000000000002</v>
      </c>
      <c r="H1282" s="134">
        <v>0.65000000000000002</v>
      </c>
      <c r="I1282" s="131" t="s">
        <v>17190</v>
      </c>
      <c r="J1282" s="88"/>
    </row>
    <row r="1283" ht="25.5">
      <c r="A1283" s="108">
        <v>6041</v>
      </c>
      <c r="B1283" s="131" t="s">
        <v>17246</v>
      </c>
      <c r="C1283" s="132" t="s">
        <v>19709</v>
      </c>
      <c r="D1283" s="131" t="s">
        <v>9794</v>
      </c>
      <c r="E1283" s="110" t="s">
        <v>19710</v>
      </c>
      <c r="F1283" s="131" t="s">
        <v>9794</v>
      </c>
      <c r="G1283" s="133">
        <v>24.609999999999999</v>
      </c>
      <c r="H1283" s="134">
        <v>24.609999999999999</v>
      </c>
      <c r="I1283" s="131" t="s">
        <v>17190</v>
      </c>
      <c r="J1283" s="88"/>
    </row>
    <row r="1284">
      <c r="A1284" s="108">
        <v>6535</v>
      </c>
      <c r="B1284" s="131" t="s">
        <v>17246</v>
      </c>
      <c r="C1284" s="132" t="s">
        <v>19711</v>
      </c>
      <c r="D1284" s="131" t="s">
        <v>9794</v>
      </c>
      <c r="E1284" s="110" t="s">
        <v>19712</v>
      </c>
      <c r="F1284" s="131" t="s">
        <v>9794</v>
      </c>
      <c r="G1284" s="133">
        <v>19.780000000000001</v>
      </c>
      <c r="H1284" s="134">
        <v>19.780000000000001</v>
      </c>
      <c r="I1284" s="131" t="s">
        <v>17190</v>
      </c>
      <c r="J1284" s="88"/>
    </row>
    <row r="1285" ht="38.25">
      <c r="A1285" s="108">
        <v>6021</v>
      </c>
      <c r="B1285" s="131" t="s">
        <v>17246</v>
      </c>
      <c r="C1285" s="132" t="s">
        <v>19713</v>
      </c>
      <c r="D1285" s="131" t="s">
        <v>9794</v>
      </c>
      <c r="E1285" s="110" t="s">
        <v>19714</v>
      </c>
      <c r="F1285" s="131" t="s">
        <v>9794</v>
      </c>
      <c r="G1285" s="133">
        <v>19.780000000000001</v>
      </c>
      <c r="H1285" s="134">
        <v>19.780000000000001</v>
      </c>
      <c r="I1285" s="131" t="s">
        <v>17190</v>
      </c>
      <c r="J1285" s="88"/>
    </row>
    <row r="1286" ht="25.5">
      <c r="A1286" s="108">
        <v>6058</v>
      </c>
      <c r="B1286" s="131" t="s">
        <v>17246</v>
      </c>
      <c r="C1286" s="132" t="s">
        <v>19715</v>
      </c>
      <c r="D1286" s="131" t="s">
        <v>9794</v>
      </c>
      <c r="E1286" s="110" t="s">
        <v>19716</v>
      </c>
      <c r="F1286" s="131" t="s">
        <v>9794</v>
      </c>
      <c r="G1286" s="133">
        <v>38.009999999999998</v>
      </c>
      <c r="H1286" s="134">
        <v>38.009999999999998</v>
      </c>
      <c r="I1286" s="131" t="s">
        <v>17190</v>
      </c>
      <c r="J1286" s="88"/>
    </row>
    <row r="1287" ht="38.25">
      <c r="A1287" s="108">
        <v>6039</v>
      </c>
      <c r="B1287" s="131" t="s">
        <v>17246</v>
      </c>
      <c r="C1287" s="132" t="s">
        <v>19717</v>
      </c>
      <c r="D1287" s="131" t="s">
        <v>9794</v>
      </c>
      <c r="E1287" s="110" t="s">
        <v>19718</v>
      </c>
      <c r="F1287" s="131" t="s">
        <v>9794</v>
      </c>
      <c r="G1287" s="133">
        <v>42.049999999999997</v>
      </c>
      <c r="H1287" s="134">
        <v>42.049999999999997</v>
      </c>
      <c r="I1287" s="131" t="s">
        <v>17190</v>
      </c>
      <c r="J1287" s="88"/>
    </row>
    <row r="1288" ht="25.5">
      <c r="A1288" s="108">
        <v>6042</v>
      </c>
      <c r="B1288" s="131" t="s">
        <v>17246</v>
      </c>
      <c r="C1288" s="132" t="s">
        <v>19719</v>
      </c>
      <c r="D1288" s="131" t="s">
        <v>9794</v>
      </c>
      <c r="E1288" s="110" t="s">
        <v>19720</v>
      </c>
      <c r="F1288" s="131" t="s">
        <v>9794</v>
      </c>
      <c r="G1288" s="133">
        <v>46.409999999999997</v>
      </c>
      <c r="H1288" s="134">
        <v>46.409999999999997</v>
      </c>
      <c r="I1288" s="131" t="s">
        <v>17190</v>
      </c>
      <c r="J1288" s="88"/>
    </row>
    <row r="1289" ht="25.5">
      <c r="A1289" s="108">
        <v>7643</v>
      </c>
      <c r="B1289" s="131" t="s">
        <v>17246</v>
      </c>
      <c r="C1289" s="132" t="s">
        <v>19721</v>
      </c>
      <c r="D1289" s="131" t="s">
        <v>9794</v>
      </c>
      <c r="E1289" s="110" t="s">
        <v>19722</v>
      </c>
      <c r="F1289" s="131" t="s">
        <v>9794</v>
      </c>
      <c r="G1289" s="133">
        <v>38.530000000000001</v>
      </c>
      <c r="H1289" s="134">
        <v>38.530000000000001</v>
      </c>
      <c r="I1289" s="131" t="s">
        <v>17190</v>
      </c>
      <c r="J1289" s="88"/>
    </row>
    <row r="1290" ht="25.5">
      <c r="A1290" s="108">
        <v>6044</v>
      </c>
      <c r="B1290" s="131" t="s">
        <v>17246</v>
      </c>
      <c r="C1290" s="132" t="s">
        <v>19723</v>
      </c>
      <c r="D1290" s="131" t="s">
        <v>9794</v>
      </c>
      <c r="E1290" s="110" t="s">
        <v>19724</v>
      </c>
      <c r="F1290" s="131" t="s">
        <v>9794</v>
      </c>
      <c r="G1290" s="133">
        <v>12.300000000000001</v>
      </c>
      <c r="H1290" s="134">
        <v>12.300000000000001</v>
      </c>
      <c r="I1290" s="131" t="s">
        <v>17190</v>
      </c>
      <c r="J1290" s="88"/>
    </row>
    <row r="1291" ht="25.5">
      <c r="A1291" s="108">
        <v>6036</v>
      </c>
      <c r="B1291" s="131" t="s">
        <v>17246</v>
      </c>
      <c r="C1291" s="132" t="s">
        <v>19725</v>
      </c>
      <c r="D1291" s="131" t="s">
        <v>9794</v>
      </c>
      <c r="E1291" s="110" t="s">
        <v>19726</v>
      </c>
      <c r="F1291" s="131" t="s">
        <v>9794</v>
      </c>
      <c r="G1291" s="133">
        <v>29.5</v>
      </c>
      <c r="H1291" s="134">
        <v>29.5</v>
      </c>
      <c r="I1291" s="131" t="s">
        <v>17190</v>
      </c>
      <c r="J1291" s="88"/>
    </row>
    <row r="1292" ht="38.25">
      <c r="A1292" s="108">
        <v>1222</v>
      </c>
      <c r="B1292" s="131" t="s">
        <v>18028</v>
      </c>
      <c r="C1292" s="132" t="s">
        <v>19727</v>
      </c>
      <c r="D1292" s="131" t="s">
        <v>31</v>
      </c>
      <c r="E1292" s="110" t="s">
        <v>19728</v>
      </c>
      <c r="F1292" s="131" t="s">
        <v>31</v>
      </c>
      <c r="G1292" s="133">
        <v>35.68</v>
      </c>
      <c r="H1292" s="134">
        <v>35.68</v>
      </c>
      <c r="I1292" s="131" t="s">
        <v>17190</v>
      </c>
      <c r="J1292" s="88"/>
    </row>
    <row r="1293" ht="25.5">
      <c r="A1293" s="108">
        <v>2074</v>
      </c>
      <c r="B1293" s="131" t="s">
        <v>17182</v>
      </c>
      <c r="C1293" s="132" t="s">
        <v>19729</v>
      </c>
      <c r="D1293" s="131" t="s">
        <v>31</v>
      </c>
      <c r="E1293" s="110" t="s">
        <v>19730</v>
      </c>
      <c r="F1293" s="131" t="s">
        <v>31</v>
      </c>
      <c r="G1293" s="133">
        <v>50.420000000000002</v>
      </c>
      <c r="H1293" s="134">
        <v>50.420000000000002</v>
      </c>
      <c r="I1293" s="131" t="s">
        <v>17190</v>
      </c>
      <c r="J1293" s="88"/>
    </row>
    <row r="1294" ht="25.5">
      <c r="A1294" s="108">
        <v>7187</v>
      </c>
      <c r="B1294" s="131" t="s">
        <v>17828</v>
      </c>
      <c r="C1294" s="132" t="s">
        <v>19731</v>
      </c>
      <c r="D1294" s="131" t="s">
        <v>31</v>
      </c>
      <c r="E1294" s="110" t="s">
        <v>19732</v>
      </c>
      <c r="F1294" s="131" t="s">
        <v>31</v>
      </c>
      <c r="G1294" s="133">
        <v>30.34</v>
      </c>
      <c r="H1294" s="134">
        <v>30.34</v>
      </c>
      <c r="I1294" s="131" t="s">
        <v>17171</v>
      </c>
      <c r="J1294" s="88"/>
    </row>
    <row r="1295" ht="25.5">
      <c r="A1295" s="108">
        <v>3372</v>
      </c>
      <c r="B1295" s="131" t="s">
        <v>17779</v>
      </c>
      <c r="C1295" s="132" t="s">
        <v>19733</v>
      </c>
      <c r="D1295" s="131" t="s">
        <v>31</v>
      </c>
      <c r="E1295" s="110" t="s">
        <v>19734</v>
      </c>
      <c r="F1295" s="131" t="s">
        <v>31</v>
      </c>
      <c r="G1295" s="133">
        <v>7.9500000000000002</v>
      </c>
      <c r="H1295" s="134">
        <v>7.9500000000000002</v>
      </c>
      <c r="I1295" s="131" t="s">
        <v>17190</v>
      </c>
      <c r="J1295" s="88"/>
    </row>
    <row r="1296" ht="38.25">
      <c r="A1296" s="108">
        <v>1805</v>
      </c>
      <c r="B1296" s="131" t="s">
        <v>17215</v>
      </c>
      <c r="C1296" s="132" t="s">
        <v>19735</v>
      </c>
      <c r="D1296" s="131" t="s">
        <v>31</v>
      </c>
      <c r="E1296" s="110" t="s">
        <v>19736</v>
      </c>
      <c r="F1296" s="131" t="s">
        <v>31</v>
      </c>
      <c r="G1296" s="133">
        <v>41.07</v>
      </c>
      <c r="H1296" s="134">
        <v>38.780000000000001</v>
      </c>
      <c r="I1296" s="131" t="s">
        <v>17190</v>
      </c>
      <c r="J1296" s="88"/>
    </row>
    <row r="1297" ht="38.25">
      <c r="A1297" s="108">
        <v>1808</v>
      </c>
      <c r="B1297" s="131" t="s">
        <v>17215</v>
      </c>
      <c r="C1297" s="132" t="s">
        <v>19737</v>
      </c>
      <c r="D1297" s="131" t="s">
        <v>31</v>
      </c>
      <c r="E1297" s="110" t="s">
        <v>19738</v>
      </c>
      <c r="F1297" s="131" t="s">
        <v>31</v>
      </c>
      <c r="G1297" s="133">
        <v>28.219999999999999</v>
      </c>
      <c r="H1297" s="134">
        <v>26.899999999999999</v>
      </c>
      <c r="I1297" s="131" t="s">
        <v>17190</v>
      </c>
      <c r="J1297" s="88"/>
    </row>
    <row r="1298" ht="38.25">
      <c r="A1298" s="108">
        <v>1809</v>
      </c>
      <c r="B1298" s="131" t="s">
        <v>17215</v>
      </c>
      <c r="C1298" s="132" t="s">
        <v>19739</v>
      </c>
      <c r="D1298" s="131" t="s">
        <v>31</v>
      </c>
      <c r="E1298" s="110" t="s">
        <v>19740</v>
      </c>
      <c r="F1298" s="131" t="s">
        <v>31</v>
      </c>
      <c r="G1298" s="133">
        <v>30.109999999999999</v>
      </c>
      <c r="H1298" s="134">
        <v>28.789999999999999</v>
      </c>
      <c r="I1298" s="131" t="s">
        <v>17190</v>
      </c>
      <c r="J1298" s="88"/>
    </row>
    <row r="1299" ht="38.25">
      <c r="A1299" s="108">
        <v>1874</v>
      </c>
      <c r="B1299" s="131" t="s">
        <v>17273</v>
      </c>
      <c r="C1299" s="132" t="s">
        <v>19741</v>
      </c>
      <c r="D1299" s="131" t="s">
        <v>31</v>
      </c>
      <c r="E1299" s="110" t="s">
        <v>19742</v>
      </c>
      <c r="F1299" s="131" t="s">
        <v>31</v>
      </c>
      <c r="G1299" s="133">
        <v>43.530000000000001</v>
      </c>
      <c r="H1299" s="134">
        <v>41.57</v>
      </c>
      <c r="I1299" s="131" t="s">
        <v>17190</v>
      </c>
      <c r="J1299" s="88"/>
    </row>
    <row r="1300" ht="25.5">
      <c r="A1300" s="108">
        <v>1858</v>
      </c>
      <c r="B1300" s="131" t="s">
        <v>17215</v>
      </c>
      <c r="C1300" s="132" t="s">
        <v>19743</v>
      </c>
      <c r="D1300" s="131" t="s">
        <v>31</v>
      </c>
      <c r="E1300" s="110" t="s">
        <v>19744</v>
      </c>
      <c r="F1300" s="131" t="s">
        <v>31</v>
      </c>
      <c r="G1300" s="133">
        <v>40.75</v>
      </c>
      <c r="H1300" s="134">
        <v>40.020000000000003</v>
      </c>
      <c r="I1300" s="131" t="s">
        <v>17190</v>
      </c>
      <c r="J1300" s="88"/>
    </row>
    <row r="1301" ht="25.5">
      <c r="A1301" s="108">
        <v>1665</v>
      </c>
      <c r="B1301" s="131" t="s">
        <v>17273</v>
      </c>
      <c r="C1301" s="132" t="s">
        <v>19745</v>
      </c>
      <c r="D1301" s="131" t="s">
        <v>31</v>
      </c>
      <c r="E1301" s="110" t="s">
        <v>19746</v>
      </c>
      <c r="F1301" s="131" t="s">
        <v>31</v>
      </c>
      <c r="G1301" s="133">
        <v>36.880000000000003</v>
      </c>
      <c r="H1301" s="134">
        <v>36.880000000000003</v>
      </c>
      <c r="I1301" s="131" t="s">
        <v>17190</v>
      </c>
      <c r="J1301" s="88"/>
    </row>
    <row r="1302" ht="38.25">
      <c r="A1302" s="108">
        <v>1806</v>
      </c>
      <c r="B1302" s="131" t="s">
        <v>17215</v>
      </c>
      <c r="C1302" s="132" t="s">
        <v>19747</v>
      </c>
      <c r="D1302" s="131" t="s">
        <v>31</v>
      </c>
      <c r="E1302" s="110" t="s">
        <v>19748</v>
      </c>
      <c r="F1302" s="131" t="s">
        <v>31</v>
      </c>
      <c r="G1302" s="133">
        <v>31.809999999999999</v>
      </c>
      <c r="H1302" s="134">
        <v>30.219999999999999</v>
      </c>
      <c r="I1302" s="131" t="s">
        <v>17190</v>
      </c>
      <c r="J1302" s="88"/>
    </row>
    <row r="1303" ht="38.25">
      <c r="A1303" s="108">
        <v>1807</v>
      </c>
      <c r="B1303" s="131" t="s">
        <v>17215</v>
      </c>
      <c r="C1303" s="132" t="s">
        <v>19749</v>
      </c>
      <c r="D1303" s="131" t="s">
        <v>31</v>
      </c>
      <c r="E1303" s="110" t="s">
        <v>19750</v>
      </c>
      <c r="F1303" s="131" t="s">
        <v>31</v>
      </c>
      <c r="G1303" s="133">
        <v>33.700000000000003</v>
      </c>
      <c r="H1303" s="134">
        <v>32.109999999999999</v>
      </c>
      <c r="I1303" s="131" t="s">
        <v>17190</v>
      </c>
      <c r="J1303" s="88"/>
    </row>
    <row r="1304" ht="38.25">
      <c r="A1304" s="108">
        <v>1810</v>
      </c>
      <c r="B1304" s="131" t="s">
        <v>17215</v>
      </c>
      <c r="C1304" s="132" t="s">
        <v>19751</v>
      </c>
      <c r="D1304" s="131" t="s">
        <v>31</v>
      </c>
      <c r="E1304" s="110" t="s">
        <v>19752</v>
      </c>
      <c r="F1304" s="131" t="s">
        <v>31</v>
      </c>
      <c r="G1304" s="133">
        <v>50.740000000000002</v>
      </c>
      <c r="H1304" s="134">
        <v>48.229999999999997</v>
      </c>
      <c r="I1304" s="131" t="s">
        <v>17190</v>
      </c>
      <c r="J1304" s="88"/>
    </row>
    <row r="1305" ht="38.25">
      <c r="A1305" s="108">
        <v>1811</v>
      </c>
      <c r="B1305" s="131" t="s">
        <v>17215</v>
      </c>
      <c r="C1305" s="132" t="s">
        <v>19753</v>
      </c>
      <c r="D1305" s="131" t="s">
        <v>31</v>
      </c>
      <c r="E1305" s="110" t="s">
        <v>19754</v>
      </c>
      <c r="F1305" s="131" t="s">
        <v>31</v>
      </c>
      <c r="G1305" s="133">
        <v>54.520000000000003</v>
      </c>
      <c r="H1305" s="134">
        <v>52.009999999999998</v>
      </c>
      <c r="I1305" s="131" t="s">
        <v>17190</v>
      </c>
      <c r="J1305" s="88"/>
    </row>
    <row r="1306">
      <c r="A1306" s="108">
        <v>6482</v>
      </c>
      <c r="B1306" s="131" t="s">
        <v>17779</v>
      </c>
      <c r="C1306" s="132" t="s">
        <v>19755</v>
      </c>
      <c r="D1306" s="131" t="s">
        <v>31</v>
      </c>
      <c r="E1306" s="110" t="s">
        <v>19756</v>
      </c>
      <c r="F1306" s="131" t="s">
        <v>31</v>
      </c>
      <c r="G1306" s="133">
        <v>21.09</v>
      </c>
      <c r="H1306" s="134">
        <v>21.09</v>
      </c>
      <c r="I1306" s="131" t="s">
        <v>17171</v>
      </c>
      <c r="J1306" s="88"/>
    </row>
    <row r="1307" ht="25.5">
      <c r="A1307" s="108">
        <v>7188</v>
      </c>
      <c r="B1307" s="131" t="s">
        <v>17828</v>
      </c>
      <c r="C1307" s="132" t="s">
        <v>19757</v>
      </c>
      <c r="D1307" s="131" t="s">
        <v>31</v>
      </c>
      <c r="E1307" s="110" t="s">
        <v>19758</v>
      </c>
      <c r="F1307" s="131" t="s">
        <v>31</v>
      </c>
      <c r="G1307" s="133">
        <v>60.780000000000001</v>
      </c>
      <c r="H1307" s="134">
        <v>60.780000000000001</v>
      </c>
      <c r="I1307" s="131" t="s">
        <v>17171</v>
      </c>
      <c r="J1307" s="88"/>
    </row>
    <row r="1308" ht="38.25">
      <c r="A1308" s="108">
        <v>3259</v>
      </c>
      <c r="B1308" s="131" t="s">
        <v>17779</v>
      </c>
      <c r="C1308" s="132" t="s">
        <v>19759</v>
      </c>
      <c r="D1308" s="131" t="s">
        <v>31</v>
      </c>
      <c r="E1308" s="110" t="s">
        <v>19760</v>
      </c>
      <c r="F1308" s="131" t="s">
        <v>31</v>
      </c>
      <c r="G1308" s="133">
        <v>30.920000000000002</v>
      </c>
      <c r="H1308" s="134">
        <v>30.920000000000002</v>
      </c>
      <c r="I1308" s="131" t="s">
        <v>17190</v>
      </c>
      <c r="J1308" s="88"/>
    </row>
    <row r="1309" ht="25.5">
      <c r="A1309" s="108">
        <v>4018</v>
      </c>
      <c r="B1309" s="131" t="s">
        <v>17250</v>
      </c>
      <c r="C1309" s="132" t="s">
        <v>19761</v>
      </c>
      <c r="D1309" s="131" t="s">
        <v>2032</v>
      </c>
      <c r="E1309" s="110" t="s">
        <v>19762</v>
      </c>
      <c r="F1309" s="131" t="s">
        <v>2032</v>
      </c>
      <c r="G1309" s="133">
        <v>25.48</v>
      </c>
      <c r="H1309" s="134">
        <v>23.120000000000001</v>
      </c>
      <c r="I1309" s="131" t="s">
        <v>17190</v>
      </c>
      <c r="J1309" s="88"/>
    </row>
    <row r="1310" ht="38.25">
      <c r="A1310" s="108">
        <v>1749</v>
      </c>
      <c r="B1310" s="131" t="s">
        <v>17215</v>
      </c>
      <c r="C1310" s="132" t="s">
        <v>19763</v>
      </c>
      <c r="D1310" s="131" t="s">
        <v>31</v>
      </c>
      <c r="E1310" s="110" t="s">
        <v>19764</v>
      </c>
      <c r="F1310" s="131" t="s">
        <v>31</v>
      </c>
      <c r="G1310" s="133">
        <v>64.079999999999998</v>
      </c>
      <c r="H1310" s="134">
        <v>63.710000000000001</v>
      </c>
      <c r="I1310" s="131" t="s">
        <v>17190</v>
      </c>
      <c r="J1310" s="88"/>
    </row>
    <row r="1311" ht="25.5">
      <c r="A1311" s="108">
        <v>6577</v>
      </c>
      <c r="B1311" s="131" t="s">
        <v>19373</v>
      </c>
      <c r="C1311" s="132" t="s">
        <v>19765</v>
      </c>
      <c r="D1311" s="131" t="s">
        <v>31</v>
      </c>
      <c r="E1311" s="110" t="s">
        <v>19766</v>
      </c>
      <c r="F1311" s="131" t="s">
        <v>31</v>
      </c>
      <c r="G1311" s="133">
        <v>2291.1799999999998</v>
      </c>
      <c r="H1311" s="134">
        <v>2291.1799999999998</v>
      </c>
      <c r="I1311" s="131" t="s">
        <v>17171</v>
      </c>
      <c r="J1311" s="88"/>
    </row>
    <row r="1312" ht="25.5">
      <c r="A1312" s="108">
        <v>2683</v>
      </c>
      <c r="B1312" s="131" t="s">
        <v>19373</v>
      </c>
      <c r="C1312" s="132" t="s">
        <v>19767</v>
      </c>
      <c r="D1312" s="131" t="s">
        <v>31</v>
      </c>
      <c r="E1312" s="110" t="s">
        <v>19768</v>
      </c>
      <c r="F1312" s="131" t="s">
        <v>31</v>
      </c>
      <c r="G1312" s="133">
        <v>94.900000000000006</v>
      </c>
      <c r="H1312" s="134">
        <v>94.900000000000006</v>
      </c>
      <c r="I1312" s="131" t="s">
        <v>17171</v>
      </c>
      <c r="J1312" s="88"/>
    </row>
    <row r="1313" ht="25.5">
      <c r="A1313" s="108">
        <v>1848</v>
      </c>
      <c r="B1313" s="131" t="s">
        <v>17215</v>
      </c>
      <c r="C1313" s="132" t="s">
        <v>19769</v>
      </c>
      <c r="D1313" s="131" t="s">
        <v>31</v>
      </c>
      <c r="E1313" s="110" t="s">
        <v>19770</v>
      </c>
      <c r="F1313" s="131" t="s">
        <v>31</v>
      </c>
      <c r="G1313" s="133">
        <v>89.359999999999999</v>
      </c>
      <c r="H1313" s="134">
        <v>88.450000000000003</v>
      </c>
      <c r="I1313" s="131" t="s">
        <v>17190</v>
      </c>
      <c r="J1313" s="88"/>
    </row>
    <row r="1314" ht="25.5">
      <c r="A1314" s="108">
        <v>2588</v>
      </c>
      <c r="B1314" s="131" t="s">
        <v>19373</v>
      </c>
      <c r="C1314" s="132" t="s">
        <v>19771</v>
      </c>
      <c r="D1314" s="131" t="s">
        <v>31</v>
      </c>
      <c r="E1314" s="110" t="s">
        <v>19772</v>
      </c>
      <c r="F1314" s="131" t="s">
        <v>31</v>
      </c>
      <c r="G1314" s="133">
        <v>1119</v>
      </c>
      <c r="H1314" s="134">
        <v>1119</v>
      </c>
      <c r="I1314" s="131" t="s">
        <v>17171</v>
      </c>
      <c r="J1314" s="88"/>
    </row>
    <row r="1315" ht="51">
      <c r="A1315" s="108">
        <v>2500</v>
      </c>
      <c r="B1315" s="131" t="s">
        <v>19373</v>
      </c>
      <c r="C1315" s="132" t="s">
        <v>19773</v>
      </c>
      <c r="D1315" s="131" t="s">
        <v>31</v>
      </c>
      <c r="E1315" s="110" t="s">
        <v>19774</v>
      </c>
      <c r="F1315" s="131" t="s">
        <v>31</v>
      </c>
      <c r="G1315" s="133">
        <v>54.299999999999997</v>
      </c>
      <c r="H1315" s="134">
        <v>54.299999999999997</v>
      </c>
      <c r="I1315" s="131" t="s">
        <v>17190</v>
      </c>
      <c r="J1315" s="88"/>
    </row>
    <row r="1316" ht="25.5">
      <c r="A1316" s="108">
        <v>2592</v>
      </c>
      <c r="B1316" s="131" t="s">
        <v>19373</v>
      </c>
      <c r="C1316" s="132" t="s">
        <v>19775</v>
      </c>
      <c r="D1316" s="131" t="s">
        <v>31</v>
      </c>
      <c r="E1316" s="110" t="s">
        <v>19776</v>
      </c>
      <c r="F1316" s="131" t="s">
        <v>31</v>
      </c>
      <c r="G1316" s="133">
        <v>664.11000000000001</v>
      </c>
      <c r="H1316" s="134">
        <v>664.11000000000001</v>
      </c>
      <c r="I1316" s="131" t="s">
        <v>17171</v>
      </c>
      <c r="J1316" s="88"/>
    </row>
    <row r="1317" ht="25.5">
      <c r="A1317" s="108">
        <v>2660</v>
      </c>
      <c r="B1317" s="131" t="s">
        <v>19373</v>
      </c>
      <c r="C1317" s="132" t="s">
        <v>19777</v>
      </c>
      <c r="D1317" s="131" t="s">
        <v>31</v>
      </c>
      <c r="E1317" s="110" t="s">
        <v>19778</v>
      </c>
      <c r="F1317" s="131" t="s">
        <v>31</v>
      </c>
      <c r="G1317" s="133">
        <v>166.34999999999999</v>
      </c>
      <c r="H1317" s="134">
        <v>166.34999999999999</v>
      </c>
      <c r="I1317" s="131" t="s">
        <v>17190</v>
      </c>
      <c r="J1317" s="88"/>
    </row>
    <row r="1318" ht="38.25">
      <c r="A1318" s="108">
        <v>2672</v>
      </c>
      <c r="B1318" s="131" t="s">
        <v>19373</v>
      </c>
      <c r="C1318" s="132" t="s">
        <v>19779</v>
      </c>
      <c r="D1318" s="131" t="s">
        <v>31</v>
      </c>
      <c r="E1318" s="110" t="s">
        <v>19780</v>
      </c>
      <c r="F1318" s="131" t="s">
        <v>31</v>
      </c>
      <c r="G1318" s="133">
        <v>69.900000000000006</v>
      </c>
      <c r="H1318" s="134">
        <v>69.900000000000006</v>
      </c>
      <c r="I1318" s="131" t="s">
        <v>17190</v>
      </c>
      <c r="J1318" s="88"/>
    </row>
    <row r="1319" ht="25.5">
      <c r="A1319" s="108">
        <v>6578</v>
      </c>
      <c r="B1319" s="131" t="s">
        <v>19373</v>
      </c>
      <c r="C1319" s="132" t="s">
        <v>16676</v>
      </c>
      <c r="D1319" s="131" t="s">
        <v>31</v>
      </c>
      <c r="E1319" s="110" t="s">
        <v>19781</v>
      </c>
      <c r="F1319" s="131" t="s">
        <v>31</v>
      </c>
      <c r="G1319" s="133">
        <v>593.08000000000004</v>
      </c>
      <c r="H1319" s="134">
        <v>593.08000000000004</v>
      </c>
      <c r="I1319" s="131" t="s">
        <v>17171</v>
      </c>
      <c r="J1319" s="88"/>
    </row>
    <row r="1320" ht="25.5">
      <c r="A1320" s="108">
        <v>2590</v>
      </c>
      <c r="B1320" s="131" t="s">
        <v>19373</v>
      </c>
      <c r="C1320" s="132" t="s">
        <v>19782</v>
      </c>
      <c r="D1320" s="131" t="s">
        <v>31</v>
      </c>
      <c r="E1320" s="110" t="s">
        <v>19783</v>
      </c>
      <c r="F1320" s="131" t="s">
        <v>31</v>
      </c>
      <c r="G1320" s="133">
        <v>219.93000000000001</v>
      </c>
      <c r="H1320" s="134">
        <v>219.93000000000001</v>
      </c>
      <c r="I1320" s="131" t="s">
        <v>17171</v>
      </c>
      <c r="J1320" s="88"/>
    </row>
    <row r="1321" ht="25.5">
      <c r="A1321" s="108">
        <v>2589</v>
      </c>
      <c r="B1321" s="131" t="s">
        <v>19373</v>
      </c>
      <c r="C1321" s="132" t="s">
        <v>19784</v>
      </c>
      <c r="D1321" s="131" t="s">
        <v>31</v>
      </c>
      <c r="E1321" s="110" t="s">
        <v>19785</v>
      </c>
      <c r="F1321" s="131" t="s">
        <v>31</v>
      </c>
      <c r="G1321" s="133">
        <v>543.23000000000002</v>
      </c>
      <c r="H1321" s="134">
        <v>543.23000000000002</v>
      </c>
      <c r="I1321" s="131" t="s">
        <v>17171</v>
      </c>
      <c r="J1321" s="88"/>
    </row>
    <row r="1322" ht="25.5">
      <c r="A1322" s="108">
        <v>1641</v>
      </c>
      <c r="B1322" s="131" t="s">
        <v>17273</v>
      </c>
      <c r="C1322" s="132" t="s">
        <v>19786</v>
      </c>
      <c r="D1322" s="131" t="s">
        <v>31</v>
      </c>
      <c r="E1322" s="110" t="s">
        <v>19787</v>
      </c>
      <c r="F1322" s="131" t="s">
        <v>31</v>
      </c>
      <c r="G1322" s="133">
        <v>19.02</v>
      </c>
      <c r="H1322" s="134">
        <v>19.02</v>
      </c>
      <c r="I1322" s="131" t="s">
        <v>17190</v>
      </c>
      <c r="J1322" s="88"/>
    </row>
    <row r="1323" ht="51">
      <c r="A1323" s="108">
        <v>1814</v>
      </c>
      <c r="B1323" s="131" t="s">
        <v>17215</v>
      </c>
      <c r="C1323" s="132" t="s">
        <v>19788</v>
      </c>
      <c r="D1323" s="131" t="s">
        <v>29</v>
      </c>
      <c r="E1323" s="110" t="s">
        <v>19789</v>
      </c>
      <c r="F1323" s="131" t="s">
        <v>29</v>
      </c>
      <c r="G1323" s="133">
        <v>23.43</v>
      </c>
      <c r="H1323" s="134">
        <v>23.07</v>
      </c>
      <c r="I1323" s="131" t="s">
        <v>17190</v>
      </c>
      <c r="J1323" s="88"/>
    </row>
    <row r="1324" ht="51">
      <c r="A1324" s="108">
        <v>6466</v>
      </c>
      <c r="B1324" s="131" t="s">
        <v>17273</v>
      </c>
      <c r="C1324" s="132" t="s">
        <v>19790</v>
      </c>
      <c r="D1324" s="131" t="s">
        <v>31</v>
      </c>
      <c r="E1324" s="110" t="s">
        <v>19791</v>
      </c>
      <c r="F1324" s="131" t="s">
        <v>31</v>
      </c>
      <c r="G1324" s="133">
        <v>181452.95000000001</v>
      </c>
      <c r="H1324" s="134">
        <v>181452.95000000001</v>
      </c>
      <c r="I1324" s="131" t="s">
        <v>17190</v>
      </c>
      <c r="J1324" s="88"/>
    </row>
    <row r="1325" ht="51">
      <c r="A1325" s="108">
        <v>7222</v>
      </c>
      <c r="B1325" s="131" t="s">
        <v>17407</v>
      </c>
      <c r="C1325" s="132" t="s">
        <v>19792</v>
      </c>
      <c r="D1325" s="131" t="s">
        <v>31</v>
      </c>
      <c r="E1325" s="110" t="s">
        <v>19793</v>
      </c>
      <c r="F1325" s="131" t="s">
        <v>31</v>
      </c>
      <c r="G1325" s="133">
        <v>28048.740000000002</v>
      </c>
      <c r="H1325" s="134">
        <v>28048.740000000002</v>
      </c>
      <c r="I1325" s="131" t="s">
        <v>17190</v>
      </c>
      <c r="J1325" s="88"/>
    </row>
    <row r="1326" ht="38.25">
      <c r="A1326" s="108">
        <v>7012</v>
      </c>
      <c r="B1326" s="131" t="s">
        <v>17407</v>
      </c>
      <c r="C1326" s="132" t="s">
        <v>19794</v>
      </c>
      <c r="D1326" s="131" t="s">
        <v>31</v>
      </c>
      <c r="E1326" s="110" t="s">
        <v>19795</v>
      </c>
      <c r="F1326" s="131" t="s">
        <v>31</v>
      </c>
      <c r="G1326" s="133">
        <v>12866.389999999999</v>
      </c>
      <c r="H1326" s="134">
        <v>12866.389999999999</v>
      </c>
      <c r="I1326" s="131" t="s">
        <v>17190</v>
      </c>
      <c r="J1326" s="88"/>
    </row>
    <row r="1327" ht="51">
      <c r="A1327" s="108">
        <v>7230</v>
      </c>
      <c r="B1327" s="131" t="s">
        <v>17407</v>
      </c>
      <c r="C1327" s="132" t="s">
        <v>19796</v>
      </c>
      <c r="D1327" s="131" t="s">
        <v>31</v>
      </c>
      <c r="E1327" s="110" t="s">
        <v>19797</v>
      </c>
      <c r="F1327" s="131" t="s">
        <v>31</v>
      </c>
      <c r="G1327" s="133">
        <v>35376.150000000001</v>
      </c>
      <c r="H1327" s="134">
        <v>35376.150000000001</v>
      </c>
      <c r="I1327" s="131" t="s">
        <v>17190</v>
      </c>
      <c r="J1327" s="88"/>
    </row>
    <row r="1328" ht="51">
      <c r="A1328" s="108">
        <v>7017</v>
      </c>
      <c r="B1328" s="131" t="s">
        <v>17407</v>
      </c>
      <c r="C1328" s="132" t="s">
        <v>19798</v>
      </c>
      <c r="D1328" s="131" t="s">
        <v>31</v>
      </c>
      <c r="E1328" s="110" t="s">
        <v>19799</v>
      </c>
      <c r="F1328" s="131" t="s">
        <v>31</v>
      </c>
      <c r="G1328" s="133">
        <v>49627.519999999997</v>
      </c>
      <c r="H1328" s="134">
        <v>49627.519999999997</v>
      </c>
      <c r="I1328" s="131" t="s">
        <v>17190</v>
      </c>
      <c r="J1328" s="88"/>
    </row>
    <row r="1329" ht="38.25">
      <c r="A1329" s="108">
        <v>7196</v>
      </c>
      <c r="B1329" s="131" t="s">
        <v>17407</v>
      </c>
      <c r="C1329" s="132" t="s">
        <v>19800</v>
      </c>
      <c r="D1329" s="131" t="s">
        <v>31</v>
      </c>
      <c r="E1329" s="110" t="s">
        <v>19801</v>
      </c>
      <c r="F1329" s="131" t="s">
        <v>31</v>
      </c>
      <c r="G1329" s="133">
        <v>15715.379999999999</v>
      </c>
      <c r="H1329" s="134">
        <v>15715.379999999999</v>
      </c>
      <c r="I1329" s="131" t="s">
        <v>17190</v>
      </c>
      <c r="J1329" s="88"/>
    </row>
    <row r="1330" ht="51">
      <c r="A1330" s="108">
        <v>7013</v>
      </c>
      <c r="B1330" s="131" t="s">
        <v>17407</v>
      </c>
      <c r="C1330" s="132" t="s">
        <v>19802</v>
      </c>
      <c r="D1330" s="131" t="s">
        <v>31</v>
      </c>
      <c r="E1330" s="110" t="s">
        <v>19803</v>
      </c>
      <c r="F1330" s="131" t="s">
        <v>31</v>
      </c>
      <c r="G1330" s="133">
        <v>57898.779999999999</v>
      </c>
      <c r="H1330" s="134">
        <v>57898.779999999999</v>
      </c>
      <c r="I1330" s="131" t="s">
        <v>17190</v>
      </c>
      <c r="J1330" s="88"/>
    </row>
    <row r="1331" ht="38.25">
      <c r="A1331" s="108">
        <v>7205</v>
      </c>
      <c r="B1331" s="131" t="s">
        <v>17407</v>
      </c>
      <c r="C1331" s="132" t="s">
        <v>19804</v>
      </c>
      <c r="D1331" s="131" t="s">
        <v>31</v>
      </c>
      <c r="E1331" s="110" t="s">
        <v>19805</v>
      </c>
      <c r="F1331" s="131" t="s">
        <v>31</v>
      </c>
      <c r="G1331" s="133">
        <v>17553.439999999999</v>
      </c>
      <c r="H1331" s="134">
        <v>17553.439999999999</v>
      </c>
      <c r="I1331" s="131" t="s">
        <v>17190</v>
      </c>
      <c r="J1331" s="88"/>
    </row>
    <row r="1332" ht="51">
      <c r="A1332" s="108">
        <v>7014</v>
      </c>
      <c r="B1332" s="131" t="s">
        <v>17407</v>
      </c>
      <c r="C1332" s="132" t="s">
        <v>19806</v>
      </c>
      <c r="D1332" s="131" t="s">
        <v>31</v>
      </c>
      <c r="E1332" s="110" t="s">
        <v>19807</v>
      </c>
      <c r="F1332" s="131" t="s">
        <v>31</v>
      </c>
      <c r="G1332" s="133">
        <v>94481.619999999995</v>
      </c>
      <c r="H1332" s="134">
        <v>94481.619999999995</v>
      </c>
      <c r="I1332" s="131" t="s">
        <v>17190</v>
      </c>
      <c r="J1332" s="88"/>
    </row>
    <row r="1333" ht="38.25">
      <c r="A1333" s="108">
        <v>7215</v>
      </c>
      <c r="B1333" s="131" t="s">
        <v>17407</v>
      </c>
      <c r="C1333" s="132" t="s">
        <v>19808</v>
      </c>
      <c r="D1333" s="131" t="s">
        <v>31</v>
      </c>
      <c r="E1333" s="110" t="s">
        <v>19809</v>
      </c>
      <c r="F1333" s="131" t="s">
        <v>31</v>
      </c>
      <c r="G1333" s="133">
        <v>22700</v>
      </c>
      <c r="H1333" s="134">
        <v>22700</v>
      </c>
      <c r="I1333" s="131" t="s">
        <v>17190</v>
      </c>
      <c r="J1333" s="88"/>
    </row>
    <row r="1334" ht="51">
      <c r="A1334" s="108">
        <v>7015</v>
      </c>
      <c r="B1334" s="131" t="s">
        <v>17407</v>
      </c>
      <c r="C1334" s="132" t="s">
        <v>19810</v>
      </c>
      <c r="D1334" s="131" t="s">
        <v>31</v>
      </c>
      <c r="E1334" s="110" t="s">
        <v>19811</v>
      </c>
      <c r="F1334" s="131" t="s">
        <v>31</v>
      </c>
      <c r="G1334" s="133">
        <v>129597.69</v>
      </c>
      <c r="H1334" s="134">
        <v>129597.69</v>
      </c>
      <c r="I1334" s="131" t="s">
        <v>17190</v>
      </c>
      <c r="J1334" s="88"/>
    </row>
    <row r="1335" ht="25.5">
      <c r="A1335" s="108">
        <v>1925</v>
      </c>
      <c r="B1335" s="131" t="s">
        <v>17273</v>
      </c>
      <c r="C1335" s="132" t="s">
        <v>19812</v>
      </c>
      <c r="D1335" s="131" t="s">
        <v>2032</v>
      </c>
      <c r="E1335" s="110" t="s">
        <v>19813</v>
      </c>
      <c r="F1335" s="131" t="s">
        <v>2032</v>
      </c>
      <c r="G1335" s="133">
        <v>1.02</v>
      </c>
      <c r="H1335" s="134">
        <v>1.02</v>
      </c>
      <c r="I1335" s="131" t="s">
        <v>17190</v>
      </c>
      <c r="J1335" s="88"/>
    </row>
    <row r="1336" ht="38.25">
      <c r="A1336" s="108">
        <v>1548</v>
      </c>
      <c r="B1336" s="131" t="s">
        <v>17215</v>
      </c>
      <c r="C1336" s="132" t="s">
        <v>19814</v>
      </c>
      <c r="D1336" s="131" t="s">
        <v>9703</v>
      </c>
      <c r="E1336" s="110" t="s">
        <v>19815</v>
      </c>
      <c r="F1336" s="131" t="s">
        <v>9703</v>
      </c>
      <c r="G1336" s="133">
        <v>3.2000000000000002</v>
      </c>
      <c r="H1336" s="134">
        <v>3.1600000000000001</v>
      </c>
      <c r="I1336" s="131" t="s">
        <v>17190</v>
      </c>
      <c r="J1336" s="88"/>
    </row>
    <row r="1337" ht="38.25">
      <c r="A1337" s="108">
        <v>1574</v>
      </c>
      <c r="B1337" s="131" t="s">
        <v>17273</v>
      </c>
      <c r="C1337" s="132" t="s">
        <v>19816</v>
      </c>
      <c r="D1337" s="131" t="s">
        <v>9693</v>
      </c>
      <c r="E1337" s="110" t="s">
        <v>19817</v>
      </c>
      <c r="F1337" s="131" t="s">
        <v>9693</v>
      </c>
      <c r="G1337" s="133">
        <v>0.88</v>
      </c>
      <c r="H1337" s="134">
        <v>0.85999999999999999</v>
      </c>
      <c r="I1337" s="131" t="s">
        <v>17190</v>
      </c>
      <c r="J1337" s="88"/>
    </row>
    <row r="1338" ht="51">
      <c r="A1338" s="108">
        <v>2756</v>
      </c>
      <c r="B1338" s="131" t="s">
        <v>17215</v>
      </c>
      <c r="C1338" s="132" t="s">
        <v>19818</v>
      </c>
      <c r="D1338" s="131" t="s">
        <v>9719</v>
      </c>
      <c r="E1338" s="110" t="s">
        <v>19819</v>
      </c>
      <c r="F1338" s="131" t="s">
        <v>9719</v>
      </c>
      <c r="G1338" s="133">
        <v>12.68</v>
      </c>
      <c r="H1338" s="134">
        <v>11.779999999999999</v>
      </c>
      <c r="I1338" s="131" t="s">
        <v>17190</v>
      </c>
      <c r="J1338" s="88"/>
    </row>
    <row r="1339" ht="38.25">
      <c r="A1339" s="108">
        <v>1909</v>
      </c>
      <c r="B1339" s="131" t="s">
        <v>17215</v>
      </c>
      <c r="C1339" s="132" t="s">
        <v>19820</v>
      </c>
      <c r="D1339" s="131" t="s">
        <v>38</v>
      </c>
      <c r="E1339" s="110" t="s">
        <v>19821</v>
      </c>
      <c r="F1339" s="131" t="s">
        <v>38</v>
      </c>
      <c r="G1339" s="133">
        <v>69.200000000000003</v>
      </c>
      <c r="H1339" s="134">
        <v>66.159999999999997</v>
      </c>
      <c r="I1339" s="131" t="s">
        <v>17190</v>
      </c>
      <c r="J1339" s="88"/>
    </row>
    <row r="1340" ht="25.5">
      <c r="A1340" s="108">
        <v>6408</v>
      </c>
      <c r="B1340" s="131" t="s">
        <v>17273</v>
      </c>
      <c r="C1340" s="132" t="s">
        <v>19822</v>
      </c>
      <c r="D1340" s="131" t="s">
        <v>1535</v>
      </c>
      <c r="E1340" s="110" t="s">
        <v>19823</v>
      </c>
      <c r="F1340" s="131" t="s">
        <v>1535</v>
      </c>
      <c r="G1340" s="133">
        <v>276.07999999999998</v>
      </c>
      <c r="H1340" s="134">
        <v>273.66000000000003</v>
      </c>
      <c r="I1340" s="131" t="s">
        <v>17190</v>
      </c>
      <c r="J1340" s="88"/>
    </row>
    <row r="1341" ht="25.5">
      <c r="A1341" s="108">
        <v>6062</v>
      </c>
      <c r="B1341" s="131" t="s">
        <v>18241</v>
      </c>
      <c r="C1341" s="132" t="s">
        <v>19824</v>
      </c>
      <c r="D1341" s="131" t="s">
        <v>31</v>
      </c>
      <c r="E1341" s="110" t="s">
        <v>19825</v>
      </c>
      <c r="F1341" s="131" t="s">
        <v>31</v>
      </c>
      <c r="G1341" s="133">
        <v>34.009999999999998</v>
      </c>
      <c r="H1341" s="134">
        <v>34.009999999999998</v>
      </c>
      <c r="I1341" s="131" t="s">
        <v>17190</v>
      </c>
      <c r="J1341" s="88"/>
    </row>
    <row r="1342" ht="38.25">
      <c r="A1342" s="108">
        <v>2514</v>
      </c>
      <c r="B1342" s="131" t="s">
        <v>17194</v>
      </c>
      <c r="C1342" s="132" t="s">
        <v>19826</v>
      </c>
      <c r="D1342" s="131" t="s">
        <v>38</v>
      </c>
      <c r="E1342" s="110" t="s">
        <v>19827</v>
      </c>
      <c r="F1342" s="131" t="s">
        <v>38</v>
      </c>
      <c r="G1342" s="133">
        <v>163.78999999999999</v>
      </c>
      <c r="H1342" s="134">
        <v>163.78999999999999</v>
      </c>
      <c r="I1342" s="131" t="s">
        <v>17190</v>
      </c>
      <c r="J1342" s="88"/>
    </row>
    <row r="1343" ht="38.25">
      <c r="A1343" s="108">
        <v>2513</v>
      </c>
      <c r="B1343" s="131" t="s">
        <v>17194</v>
      </c>
      <c r="C1343" s="132" t="s">
        <v>19828</v>
      </c>
      <c r="D1343" s="131" t="s">
        <v>38</v>
      </c>
      <c r="E1343" s="110" t="s">
        <v>19829</v>
      </c>
      <c r="F1343" s="131" t="s">
        <v>38</v>
      </c>
      <c r="G1343" s="133">
        <v>98.370000000000005</v>
      </c>
      <c r="H1343" s="134">
        <v>98.370000000000005</v>
      </c>
      <c r="I1343" s="131" t="s">
        <v>17190</v>
      </c>
      <c r="J1343" s="88"/>
    </row>
    <row r="1344" ht="25.5">
      <c r="A1344" s="108">
        <v>2505</v>
      </c>
      <c r="B1344" s="131" t="s">
        <v>17194</v>
      </c>
      <c r="C1344" s="132" t="s">
        <v>19830</v>
      </c>
      <c r="D1344" s="131" t="s">
        <v>38</v>
      </c>
      <c r="E1344" s="110" t="s">
        <v>19831</v>
      </c>
      <c r="F1344" s="131" t="s">
        <v>38</v>
      </c>
      <c r="G1344" s="133">
        <v>113.02</v>
      </c>
      <c r="H1344" s="134">
        <v>113.02</v>
      </c>
      <c r="I1344" s="131" t="s">
        <v>17190</v>
      </c>
      <c r="J1344" s="88"/>
    </row>
    <row r="1345" ht="38.25">
      <c r="A1345" s="108">
        <v>6479</v>
      </c>
      <c r="B1345" s="131" t="s">
        <v>17273</v>
      </c>
      <c r="C1345" s="132" t="s">
        <v>19832</v>
      </c>
      <c r="D1345" s="131" t="s">
        <v>38</v>
      </c>
      <c r="E1345" s="110" t="s">
        <v>19833</v>
      </c>
      <c r="F1345" s="131" t="s">
        <v>38</v>
      </c>
      <c r="G1345" s="133">
        <v>96.510000000000005</v>
      </c>
      <c r="H1345" s="134">
        <v>96.510000000000005</v>
      </c>
      <c r="I1345" s="131" t="s">
        <v>17190</v>
      </c>
      <c r="J1345" s="88"/>
    </row>
    <row r="1346" ht="38.25">
      <c r="A1346" s="108">
        <v>6133</v>
      </c>
      <c r="B1346" s="131" t="s">
        <v>17273</v>
      </c>
      <c r="C1346" s="132" t="s">
        <v>19834</v>
      </c>
      <c r="D1346" s="131" t="s">
        <v>38</v>
      </c>
      <c r="E1346" s="110" t="s">
        <v>19835</v>
      </c>
      <c r="F1346" s="131" t="s">
        <v>38</v>
      </c>
      <c r="G1346" s="133">
        <v>129.87</v>
      </c>
      <c r="H1346" s="134">
        <v>129.87</v>
      </c>
      <c r="I1346" s="131" t="s">
        <v>17190</v>
      </c>
      <c r="J1346" s="88"/>
    </row>
    <row r="1347" ht="38.25">
      <c r="A1347" s="108">
        <v>6159</v>
      </c>
      <c r="B1347" s="131" t="s">
        <v>17273</v>
      </c>
      <c r="C1347" s="132" t="s">
        <v>19836</v>
      </c>
      <c r="D1347" s="131" t="s">
        <v>38</v>
      </c>
      <c r="E1347" s="110" t="s">
        <v>19837</v>
      </c>
      <c r="F1347" s="131" t="s">
        <v>38</v>
      </c>
      <c r="G1347" s="133">
        <v>178.86000000000001</v>
      </c>
      <c r="H1347" s="134">
        <v>178.86000000000001</v>
      </c>
      <c r="I1347" s="131" t="s">
        <v>17190</v>
      </c>
      <c r="J1347" s="88"/>
    </row>
    <row r="1348">
      <c r="A1348" s="108">
        <v>7567</v>
      </c>
      <c r="B1348" s="131" t="s">
        <v>17455</v>
      </c>
      <c r="C1348" s="132" t="s">
        <v>19838</v>
      </c>
      <c r="D1348" s="131" t="s">
        <v>17457</v>
      </c>
      <c r="E1348" s="110" t="s">
        <v>19839</v>
      </c>
      <c r="F1348" s="131" t="s">
        <v>17457</v>
      </c>
      <c r="G1348" s="133">
        <v>86.310000000000002</v>
      </c>
      <c r="H1348" s="134">
        <v>86.310000000000002</v>
      </c>
      <c r="I1348" s="131" t="s">
        <v>17171</v>
      </c>
      <c r="J1348" s="88"/>
    </row>
    <row r="1349" ht="25.5">
      <c r="A1349" s="108">
        <v>8302</v>
      </c>
      <c r="B1349" s="131" t="s">
        <v>18150</v>
      </c>
      <c r="C1349" s="132" t="s">
        <v>19840</v>
      </c>
      <c r="D1349" s="131" t="s">
        <v>38</v>
      </c>
      <c r="E1349" s="110" t="s">
        <v>19841</v>
      </c>
      <c r="F1349" s="131" t="s">
        <v>38</v>
      </c>
      <c r="G1349" s="133">
        <v>43.979999999999997</v>
      </c>
      <c r="H1349" s="134">
        <v>43.979999999999997</v>
      </c>
      <c r="I1349" s="131" t="s">
        <v>17190</v>
      </c>
      <c r="J1349" s="88"/>
    </row>
    <row r="1350" ht="25.5">
      <c r="A1350" s="108">
        <v>8304</v>
      </c>
      <c r="B1350" s="131" t="s">
        <v>18150</v>
      </c>
      <c r="C1350" s="132" t="s">
        <v>19842</v>
      </c>
      <c r="D1350" s="131" t="s">
        <v>38</v>
      </c>
      <c r="E1350" s="110" t="s">
        <v>19843</v>
      </c>
      <c r="F1350" s="131" t="s">
        <v>38</v>
      </c>
      <c r="G1350" s="133">
        <v>146.47999999999999</v>
      </c>
      <c r="H1350" s="134">
        <v>146.47999999999999</v>
      </c>
      <c r="I1350" s="131" t="s">
        <v>17190</v>
      </c>
      <c r="J1350" s="88"/>
    </row>
    <row r="1351" ht="25.5">
      <c r="A1351" s="108">
        <v>8305</v>
      </c>
      <c r="B1351" s="131" t="s">
        <v>18150</v>
      </c>
      <c r="C1351" s="132" t="s">
        <v>19844</v>
      </c>
      <c r="D1351" s="131" t="s">
        <v>38</v>
      </c>
      <c r="E1351" s="110" t="s">
        <v>19845</v>
      </c>
      <c r="F1351" s="131" t="s">
        <v>38</v>
      </c>
      <c r="G1351" s="133">
        <v>229.43000000000001</v>
      </c>
      <c r="H1351" s="134">
        <v>229.43000000000001</v>
      </c>
      <c r="I1351" s="131" t="s">
        <v>17190</v>
      </c>
      <c r="J1351" s="88"/>
    </row>
    <row r="1352" ht="25.5">
      <c r="A1352" s="108">
        <v>8306</v>
      </c>
      <c r="B1352" s="131" t="s">
        <v>18150</v>
      </c>
      <c r="C1352" s="132" t="s">
        <v>19846</v>
      </c>
      <c r="D1352" s="131" t="s">
        <v>38</v>
      </c>
      <c r="E1352" s="110" t="s">
        <v>19847</v>
      </c>
      <c r="F1352" s="131" t="s">
        <v>38</v>
      </c>
      <c r="G1352" s="133">
        <v>353.13</v>
      </c>
      <c r="H1352" s="134">
        <v>353.13</v>
      </c>
      <c r="I1352" s="131" t="s">
        <v>17190</v>
      </c>
      <c r="J1352" s="88"/>
    </row>
    <row r="1353" ht="25.5">
      <c r="A1353" s="108">
        <v>8303</v>
      </c>
      <c r="B1353" s="131" t="s">
        <v>18150</v>
      </c>
      <c r="C1353" s="132" t="s">
        <v>19848</v>
      </c>
      <c r="D1353" s="131" t="s">
        <v>38</v>
      </c>
      <c r="E1353" s="110" t="s">
        <v>19849</v>
      </c>
      <c r="F1353" s="131" t="s">
        <v>38</v>
      </c>
      <c r="G1353" s="133">
        <v>86.25</v>
      </c>
      <c r="H1353" s="134">
        <v>86.25</v>
      </c>
      <c r="I1353" s="131" t="s">
        <v>17190</v>
      </c>
      <c r="J1353" s="88"/>
    </row>
    <row r="1354" ht="25.5">
      <c r="A1354" s="108">
        <v>7350</v>
      </c>
      <c r="B1354" s="131" t="s">
        <v>17398</v>
      </c>
      <c r="C1354" s="132" t="s">
        <v>19850</v>
      </c>
      <c r="D1354" s="131" t="s">
        <v>38</v>
      </c>
      <c r="E1354" s="110" t="s">
        <v>19851</v>
      </c>
      <c r="F1354" s="131" t="s">
        <v>38</v>
      </c>
      <c r="G1354" s="133">
        <v>163.78999999999999</v>
      </c>
      <c r="H1354" s="134">
        <v>163.78999999999999</v>
      </c>
      <c r="I1354" s="131" t="s">
        <v>17171</v>
      </c>
      <c r="J1354" s="88"/>
    </row>
    <row r="1355" ht="51">
      <c r="A1355" s="108">
        <v>1653</v>
      </c>
      <c r="B1355" s="131" t="s">
        <v>17273</v>
      </c>
      <c r="C1355" s="132" t="s">
        <v>19852</v>
      </c>
      <c r="D1355" s="131" t="s">
        <v>38</v>
      </c>
      <c r="E1355" s="110" t="s">
        <v>19853</v>
      </c>
      <c r="F1355" s="131" t="s">
        <v>38</v>
      </c>
      <c r="G1355" s="133">
        <v>40.060000000000002</v>
      </c>
      <c r="H1355" s="134">
        <v>40.060000000000002</v>
      </c>
      <c r="I1355" s="131" t="s">
        <v>17190</v>
      </c>
      <c r="J1355" s="88"/>
    </row>
    <row r="1356" ht="38.25">
      <c r="A1356" s="108">
        <v>1692</v>
      </c>
      <c r="B1356" s="131" t="s">
        <v>19095</v>
      </c>
      <c r="C1356" s="132" t="s">
        <v>19854</v>
      </c>
      <c r="D1356" s="131" t="s">
        <v>38</v>
      </c>
      <c r="E1356" s="110" t="s">
        <v>19855</v>
      </c>
      <c r="F1356" s="131" t="s">
        <v>38</v>
      </c>
      <c r="G1356" s="133">
        <v>55.759999999999998</v>
      </c>
      <c r="H1356" s="134">
        <v>55.759999999999998</v>
      </c>
      <c r="I1356" s="131" t="s">
        <v>17171</v>
      </c>
      <c r="J1356" s="88"/>
    </row>
    <row r="1357" ht="38.25">
      <c r="A1357" s="108">
        <v>8620</v>
      </c>
      <c r="B1357" s="131" t="s">
        <v>19856</v>
      </c>
      <c r="C1357" s="132" t="s">
        <v>19857</v>
      </c>
      <c r="D1357" s="131" t="s">
        <v>38</v>
      </c>
      <c r="E1357" s="110" t="s">
        <v>19858</v>
      </c>
      <c r="F1357" s="131" t="s">
        <v>38</v>
      </c>
      <c r="G1357" s="133">
        <v>38.539999999999999</v>
      </c>
      <c r="H1357" s="134">
        <v>38.539999999999999</v>
      </c>
      <c r="I1357" s="131" t="s">
        <v>17190</v>
      </c>
      <c r="J1357" s="88"/>
    </row>
    <row r="1358" ht="25.5">
      <c r="A1358" s="108">
        <v>2574</v>
      </c>
      <c r="B1358" s="131" t="s">
        <v>17429</v>
      </c>
      <c r="C1358" s="132" t="s">
        <v>19859</v>
      </c>
      <c r="D1358" s="131" t="s">
        <v>31</v>
      </c>
      <c r="E1358" s="110" t="s">
        <v>19860</v>
      </c>
      <c r="F1358" s="131" t="s">
        <v>31</v>
      </c>
      <c r="G1358" s="133">
        <v>96.689999999999998</v>
      </c>
      <c r="H1358" s="134">
        <v>96.689999999999998</v>
      </c>
      <c r="I1358" s="131" t="s">
        <v>17171</v>
      </c>
      <c r="J1358" s="88"/>
    </row>
    <row r="1359" ht="25.5">
      <c r="A1359" s="108">
        <v>7636</v>
      </c>
      <c r="B1359" s="131" t="s">
        <v>17455</v>
      </c>
      <c r="C1359" s="132" t="s">
        <v>19861</v>
      </c>
      <c r="D1359" s="131" t="s">
        <v>17457</v>
      </c>
      <c r="E1359" s="110" t="s">
        <v>19862</v>
      </c>
      <c r="F1359" s="131" t="s">
        <v>17457</v>
      </c>
      <c r="G1359" s="133">
        <v>252.90000000000001</v>
      </c>
      <c r="H1359" s="134">
        <v>252.90000000000001</v>
      </c>
      <c r="I1359" s="131" t="s">
        <v>17171</v>
      </c>
      <c r="J1359" s="88"/>
    </row>
    <row r="1360" ht="25.5">
      <c r="A1360" s="108">
        <v>7638</v>
      </c>
      <c r="B1360" s="131" t="s">
        <v>17455</v>
      </c>
      <c r="C1360" s="132" t="s">
        <v>19863</v>
      </c>
      <c r="D1360" s="131" t="s">
        <v>17457</v>
      </c>
      <c r="E1360" s="110" t="s">
        <v>19864</v>
      </c>
      <c r="F1360" s="131" t="s">
        <v>17457</v>
      </c>
      <c r="G1360" s="133">
        <v>46</v>
      </c>
      <c r="H1360" s="134">
        <v>46</v>
      </c>
      <c r="I1360" s="131" t="s">
        <v>17171</v>
      </c>
      <c r="J1360" s="88"/>
    </row>
    <row r="1361">
      <c r="A1361" s="108">
        <v>7554</v>
      </c>
      <c r="B1361" s="131" t="s">
        <v>18241</v>
      </c>
      <c r="C1361" s="132" t="s">
        <v>19865</v>
      </c>
      <c r="D1361" s="131" t="s">
        <v>17457</v>
      </c>
      <c r="E1361" s="110" t="s">
        <v>19866</v>
      </c>
      <c r="F1361" s="131" t="s">
        <v>17457</v>
      </c>
      <c r="G1361" s="133">
        <v>73.400000000000006</v>
      </c>
      <c r="H1361" s="134">
        <v>73.400000000000006</v>
      </c>
      <c r="I1361" s="131" t="s">
        <v>17171</v>
      </c>
      <c r="J1361" s="88"/>
    </row>
    <row r="1362">
      <c r="A1362" s="108">
        <v>7573</v>
      </c>
      <c r="B1362" s="131" t="s">
        <v>17455</v>
      </c>
      <c r="C1362" s="132" t="s">
        <v>19867</v>
      </c>
      <c r="D1362" s="131" t="s">
        <v>17457</v>
      </c>
      <c r="E1362" s="110" t="s">
        <v>19868</v>
      </c>
      <c r="F1362" s="131" t="s">
        <v>17457</v>
      </c>
      <c r="G1362" s="133">
        <v>90.719999999999999</v>
      </c>
      <c r="H1362" s="134">
        <v>90.719999999999999</v>
      </c>
      <c r="I1362" s="131" t="s">
        <v>17171</v>
      </c>
      <c r="J1362" s="88"/>
    </row>
    <row r="1363" ht="25.5">
      <c r="A1363" s="108">
        <v>7640</v>
      </c>
      <c r="B1363" s="131" t="s">
        <v>17455</v>
      </c>
      <c r="C1363" s="132" t="s">
        <v>19869</v>
      </c>
      <c r="D1363" s="131" t="s">
        <v>17457</v>
      </c>
      <c r="E1363" s="110" t="s">
        <v>19870</v>
      </c>
      <c r="F1363" s="131" t="s">
        <v>17457</v>
      </c>
      <c r="G1363" s="133">
        <v>119</v>
      </c>
      <c r="H1363" s="134">
        <v>119</v>
      </c>
      <c r="I1363" s="131" t="s">
        <v>17171</v>
      </c>
      <c r="J1363" s="88"/>
    </row>
    <row r="1364">
      <c r="A1364" s="108">
        <v>1619</v>
      </c>
      <c r="B1364" s="131" t="s">
        <v>17182</v>
      </c>
      <c r="C1364" s="132" t="s">
        <v>19871</v>
      </c>
      <c r="D1364" s="131" t="s">
        <v>38</v>
      </c>
      <c r="E1364" s="110" t="s">
        <v>19872</v>
      </c>
      <c r="F1364" s="131" t="s">
        <v>38</v>
      </c>
      <c r="G1364" s="133">
        <v>46.299999999999997</v>
      </c>
      <c r="H1364" s="134">
        <v>46.299999999999997</v>
      </c>
      <c r="I1364" s="131" t="s">
        <v>17171</v>
      </c>
      <c r="J1364" s="88"/>
    </row>
    <row r="1365">
      <c r="A1365" s="108">
        <v>2575</v>
      </c>
      <c r="B1365" s="131" t="s">
        <v>17182</v>
      </c>
      <c r="C1365" s="132" t="s">
        <v>19873</v>
      </c>
      <c r="D1365" s="131" t="s">
        <v>31</v>
      </c>
      <c r="E1365" s="110" t="s">
        <v>19874</v>
      </c>
      <c r="F1365" s="131" t="s">
        <v>31</v>
      </c>
      <c r="G1365" s="133">
        <v>8.4000000000000004</v>
      </c>
      <c r="H1365" s="134">
        <v>8.4000000000000004</v>
      </c>
      <c r="I1365" s="131" t="s">
        <v>17171</v>
      </c>
      <c r="J1365" s="88"/>
    </row>
    <row r="1366" ht="25.5">
      <c r="A1366" s="108">
        <v>2532</v>
      </c>
      <c r="B1366" s="131" t="s">
        <v>17224</v>
      </c>
      <c r="C1366" s="132" t="s">
        <v>19875</v>
      </c>
      <c r="D1366" s="131" t="s">
        <v>38</v>
      </c>
      <c r="E1366" s="110" t="s">
        <v>19876</v>
      </c>
      <c r="F1366" s="131" t="s">
        <v>38</v>
      </c>
      <c r="G1366" s="133">
        <v>16.329999999999998</v>
      </c>
      <c r="H1366" s="134">
        <v>16.329999999999998</v>
      </c>
      <c r="I1366" s="131" t="s">
        <v>17190</v>
      </c>
      <c r="J1366" s="88"/>
    </row>
    <row r="1367" ht="25.5">
      <c r="A1367" s="108">
        <v>2531</v>
      </c>
      <c r="B1367" s="131" t="s">
        <v>17224</v>
      </c>
      <c r="C1367" s="132" t="s">
        <v>19877</v>
      </c>
      <c r="D1367" s="131" t="s">
        <v>38</v>
      </c>
      <c r="E1367" s="110" t="s">
        <v>19878</v>
      </c>
      <c r="F1367" s="131" t="s">
        <v>38</v>
      </c>
      <c r="G1367" s="133">
        <v>42.68</v>
      </c>
      <c r="H1367" s="134">
        <v>42.68</v>
      </c>
      <c r="I1367" s="131" t="s">
        <v>17190</v>
      </c>
      <c r="J1367" s="88"/>
    </row>
    <row r="1368" ht="25.5">
      <c r="A1368" s="108">
        <v>2535</v>
      </c>
      <c r="B1368" s="131" t="s">
        <v>17224</v>
      </c>
      <c r="C1368" s="132" t="s">
        <v>19879</v>
      </c>
      <c r="D1368" s="131" t="s">
        <v>38</v>
      </c>
      <c r="E1368" s="110" t="s">
        <v>19880</v>
      </c>
      <c r="F1368" s="131" t="s">
        <v>38</v>
      </c>
      <c r="G1368" s="133">
        <v>7.1299999999999999</v>
      </c>
      <c r="H1368" s="134">
        <v>7.1299999999999999</v>
      </c>
      <c r="I1368" s="131" t="s">
        <v>17190</v>
      </c>
      <c r="J1368" s="88"/>
    </row>
    <row r="1369" ht="25.5">
      <c r="A1369" s="108">
        <v>2533</v>
      </c>
      <c r="B1369" s="131" t="s">
        <v>17224</v>
      </c>
      <c r="C1369" s="132" t="s">
        <v>19881</v>
      </c>
      <c r="D1369" s="131" t="s">
        <v>38</v>
      </c>
      <c r="E1369" s="110" t="s">
        <v>19882</v>
      </c>
      <c r="F1369" s="131" t="s">
        <v>38</v>
      </c>
      <c r="G1369" s="133">
        <v>11.779999999999999</v>
      </c>
      <c r="H1369" s="134">
        <v>11.779999999999999</v>
      </c>
      <c r="I1369" s="131" t="s">
        <v>17190</v>
      </c>
      <c r="J1369" s="88"/>
    </row>
    <row r="1370" ht="25.5">
      <c r="A1370" s="108">
        <v>2534</v>
      </c>
      <c r="B1370" s="131" t="s">
        <v>17224</v>
      </c>
      <c r="C1370" s="132" t="s">
        <v>19883</v>
      </c>
      <c r="D1370" s="131" t="s">
        <v>38</v>
      </c>
      <c r="E1370" s="110" t="s">
        <v>19884</v>
      </c>
      <c r="F1370" s="131" t="s">
        <v>38</v>
      </c>
      <c r="G1370" s="133">
        <v>15.460000000000001</v>
      </c>
      <c r="H1370" s="134">
        <v>15.460000000000001</v>
      </c>
      <c r="I1370" s="131" t="s">
        <v>17190</v>
      </c>
      <c r="J1370" s="88"/>
    </row>
    <row r="1371" ht="25.5">
      <c r="A1371" s="108">
        <v>8301</v>
      </c>
      <c r="B1371" s="131" t="s">
        <v>18150</v>
      </c>
      <c r="C1371" s="132" t="s">
        <v>19883</v>
      </c>
      <c r="D1371" s="131" t="s">
        <v>38</v>
      </c>
      <c r="E1371" s="110" t="s">
        <v>19885</v>
      </c>
      <c r="F1371" s="131" t="s">
        <v>38</v>
      </c>
      <c r="G1371" s="133">
        <v>15.460000000000001</v>
      </c>
      <c r="H1371" s="134">
        <v>15.460000000000001</v>
      </c>
      <c r="I1371" s="131" t="s">
        <v>17190</v>
      </c>
      <c r="J1371" s="88"/>
    </row>
    <row r="1372" ht="38.25">
      <c r="A1372" s="108">
        <v>1769</v>
      </c>
      <c r="B1372" s="131" t="s">
        <v>17215</v>
      </c>
      <c r="C1372" s="132" t="s">
        <v>19886</v>
      </c>
      <c r="D1372" s="131" t="s">
        <v>38</v>
      </c>
      <c r="E1372" s="110" t="s">
        <v>19887</v>
      </c>
      <c r="F1372" s="131" t="s">
        <v>38</v>
      </c>
      <c r="G1372" s="133">
        <v>37.609999999999999</v>
      </c>
      <c r="H1372" s="134">
        <v>36.039999999999999</v>
      </c>
      <c r="I1372" s="131" t="s">
        <v>17190</v>
      </c>
      <c r="J1372" s="88"/>
    </row>
    <row r="1373" ht="38.25">
      <c r="A1373" s="108">
        <v>1767</v>
      </c>
      <c r="B1373" s="131" t="s">
        <v>17215</v>
      </c>
      <c r="C1373" s="132" t="s">
        <v>19888</v>
      </c>
      <c r="D1373" s="131" t="s">
        <v>38</v>
      </c>
      <c r="E1373" s="110" t="s">
        <v>19889</v>
      </c>
      <c r="F1373" s="131" t="s">
        <v>38</v>
      </c>
      <c r="G1373" s="133">
        <v>20.949999999999999</v>
      </c>
      <c r="H1373" s="134">
        <v>19.920000000000002</v>
      </c>
      <c r="I1373" s="131" t="s">
        <v>17190</v>
      </c>
      <c r="J1373" s="88"/>
    </row>
    <row r="1374" ht="38.25">
      <c r="A1374" s="108">
        <v>1768</v>
      </c>
      <c r="B1374" s="131" t="s">
        <v>17215</v>
      </c>
      <c r="C1374" s="132" t="s">
        <v>19890</v>
      </c>
      <c r="D1374" s="131" t="s">
        <v>38</v>
      </c>
      <c r="E1374" s="110" t="s">
        <v>19891</v>
      </c>
      <c r="F1374" s="131" t="s">
        <v>38</v>
      </c>
      <c r="G1374" s="133">
        <v>27.02</v>
      </c>
      <c r="H1374" s="134">
        <v>25.899999999999999</v>
      </c>
      <c r="I1374" s="131" t="s">
        <v>17190</v>
      </c>
      <c r="J1374" s="88"/>
    </row>
    <row r="1375" ht="38.25">
      <c r="A1375" s="108">
        <v>1780</v>
      </c>
      <c r="B1375" s="131" t="s">
        <v>17215</v>
      </c>
      <c r="C1375" s="132" t="s">
        <v>19892</v>
      </c>
      <c r="D1375" s="131" t="s">
        <v>38</v>
      </c>
      <c r="E1375" s="110" t="s">
        <v>19893</v>
      </c>
      <c r="F1375" s="131" t="s">
        <v>38</v>
      </c>
      <c r="G1375" s="133">
        <v>23.280000000000001</v>
      </c>
      <c r="H1375" s="134">
        <v>22.739999999999998</v>
      </c>
      <c r="I1375" s="131" t="s">
        <v>17190</v>
      </c>
      <c r="J1375" s="88"/>
    </row>
    <row r="1376" ht="25.5">
      <c r="A1376" s="108">
        <v>2920</v>
      </c>
      <c r="B1376" s="131" t="s">
        <v>17191</v>
      </c>
      <c r="C1376" s="132" t="s">
        <v>19894</v>
      </c>
      <c r="D1376" s="131" t="s">
        <v>38</v>
      </c>
      <c r="E1376" s="110" t="s">
        <v>19895</v>
      </c>
      <c r="F1376" s="131" t="s">
        <v>38</v>
      </c>
      <c r="G1376" s="133">
        <v>100.81999999999999</v>
      </c>
      <c r="H1376" s="134">
        <v>100.81999999999999</v>
      </c>
      <c r="I1376" s="131" t="s">
        <v>17190</v>
      </c>
      <c r="J1376" s="88"/>
    </row>
    <row r="1377" ht="25.5">
      <c r="A1377" s="108">
        <v>2913</v>
      </c>
      <c r="B1377" s="131" t="s">
        <v>17191</v>
      </c>
      <c r="C1377" s="132" t="s">
        <v>19896</v>
      </c>
      <c r="D1377" s="131" t="s">
        <v>38</v>
      </c>
      <c r="E1377" s="110" t="s">
        <v>19897</v>
      </c>
      <c r="F1377" s="131" t="s">
        <v>38</v>
      </c>
      <c r="G1377" s="133">
        <v>4.5700000000000003</v>
      </c>
      <c r="H1377" s="134">
        <v>4.5700000000000003</v>
      </c>
      <c r="I1377" s="131" t="s">
        <v>17190</v>
      </c>
      <c r="J1377" s="88"/>
    </row>
    <row r="1378" ht="25.5">
      <c r="A1378" s="108">
        <v>2914</v>
      </c>
      <c r="B1378" s="131" t="s">
        <v>17191</v>
      </c>
      <c r="C1378" s="132" t="s">
        <v>19898</v>
      </c>
      <c r="D1378" s="131" t="s">
        <v>38</v>
      </c>
      <c r="E1378" s="110" t="s">
        <v>19899</v>
      </c>
      <c r="F1378" s="131" t="s">
        <v>38</v>
      </c>
      <c r="G1378" s="133">
        <v>9.8599999999999994</v>
      </c>
      <c r="H1378" s="134">
        <v>9.8599999999999994</v>
      </c>
      <c r="I1378" s="131" t="s">
        <v>17190</v>
      </c>
      <c r="J1378" s="88"/>
    </row>
    <row r="1379" ht="25.5">
      <c r="A1379" s="108">
        <v>2915</v>
      </c>
      <c r="B1379" s="131" t="s">
        <v>17191</v>
      </c>
      <c r="C1379" s="132" t="s">
        <v>19900</v>
      </c>
      <c r="D1379" s="131" t="s">
        <v>38</v>
      </c>
      <c r="E1379" s="110" t="s">
        <v>19901</v>
      </c>
      <c r="F1379" s="131" t="s">
        <v>38</v>
      </c>
      <c r="G1379" s="133">
        <v>15.49</v>
      </c>
      <c r="H1379" s="134">
        <v>15.49</v>
      </c>
      <c r="I1379" s="131" t="s">
        <v>17190</v>
      </c>
      <c r="J1379" s="88"/>
    </row>
    <row r="1380" ht="25.5">
      <c r="A1380" s="108">
        <v>2916</v>
      </c>
      <c r="B1380" s="131" t="s">
        <v>17191</v>
      </c>
      <c r="C1380" s="132" t="s">
        <v>19902</v>
      </c>
      <c r="D1380" s="131" t="s">
        <v>38</v>
      </c>
      <c r="E1380" s="110" t="s">
        <v>19903</v>
      </c>
      <c r="F1380" s="131" t="s">
        <v>38</v>
      </c>
      <c r="G1380" s="133">
        <v>16.989999999999998</v>
      </c>
      <c r="H1380" s="134">
        <v>16.989999999999998</v>
      </c>
      <c r="I1380" s="131" t="s">
        <v>17190</v>
      </c>
      <c r="J1380" s="88"/>
    </row>
    <row r="1381" ht="25.5">
      <c r="A1381" s="108">
        <v>2917</v>
      </c>
      <c r="B1381" s="131" t="s">
        <v>17191</v>
      </c>
      <c r="C1381" s="132" t="s">
        <v>19904</v>
      </c>
      <c r="D1381" s="131" t="s">
        <v>38</v>
      </c>
      <c r="E1381" s="110" t="s">
        <v>19905</v>
      </c>
      <c r="F1381" s="131" t="s">
        <v>38</v>
      </c>
      <c r="G1381" s="133">
        <v>27.949999999999999</v>
      </c>
      <c r="H1381" s="134">
        <v>27.949999999999999</v>
      </c>
      <c r="I1381" s="131" t="s">
        <v>17190</v>
      </c>
      <c r="J1381" s="88"/>
    </row>
    <row r="1382" ht="25.5">
      <c r="A1382" s="108">
        <v>2918</v>
      </c>
      <c r="B1382" s="131" t="s">
        <v>17191</v>
      </c>
      <c r="C1382" s="132" t="s">
        <v>19906</v>
      </c>
      <c r="D1382" s="131" t="s">
        <v>38</v>
      </c>
      <c r="E1382" s="110" t="s">
        <v>19907</v>
      </c>
      <c r="F1382" s="131" t="s">
        <v>38</v>
      </c>
      <c r="G1382" s="133">
        <v>46.310000000000002</v>
      </c>
      <c r="H1382" s="134">
        <v>46.310000000000002</v>
      </c>
      <c r="I1382" s="131" t="s">
        <v>17190</v>
      </c>
      <c r="J1382" s="88"/>
    </row>
    <row r="1383" ht="25.5">
      <c r="A1383" s="108">
        <v>2919</v>
      </c>
      <c r="B1383" s="131" t="s">
        <v>17191</v>
      </c>
      <c r="C1383" s="132" t="s">
        <v>19908</v>
      </c>
      <c r="D1383" s="131" t="s">
        <v>38</v>
      </c>
      <c r="E1383" s="110" t="s">
        <v>19909</v>
      </c>
      <c r="F1383" s="131" t="s">
        <v>38</v>
      </c>
      <c r="G1383" s="133">
        <v>64.420000000000002</v>
      </c>
      <c r="H1383" s="134">
        <v>64.420000000000002</v>
      </c>
      <c r="I1383" s="131" t="s">
        <v>17190</v>
      </c>
      <c r="J1383" s="88"/>
    </row>
    <row r="1384">
      <c r="A1384" s="108">
        <v>7540</v>
      </c>
      <c r="B1384" s="131" t="s">
        <v>17455</v>
      </c>
      <c r="C1384" s="132" t="s">
        <v>19910</v>
      </c>
      <c r="D1384" s="131" t="s">
        <v>17457</v>
      </c>
      <c r="E1384" s="110" t="s">
        <v>19911</v>
      </c>
      <c r="F1384" s="131" t="s">
        <v>17457</v>
      </c>
      <c r="G1384" s="133">
        <v>227</v>
      </c>
      <c r="H1384" s="134">
        <v>227</v>
      </c>
      <c r="I1384" s="131" t="s">
        <v>17171</v>
      </c>
      <c r="J1384" s="88"/>
    </row>
    <row r="1385">
      <c r="A1385" s="108">
        <v>7541</v>
      </c>
      <c r="B1385" s="131" t="s">
        <v>17455</v>
      </c>
      <c r="C1385" s="132" t="s">
        <v>19912</v>
      </c>
      <c r="D1385" s="131" t="s">
        <v>17457</v>
      </c>
      <c r="E1385" s="110" t="s">
        <v>19913</v>
      </c>
      <c r="F1385" s="131" t="s">
        <v>17457</v>
      </c>
      <c r="G1385" s="133">
        <v>54.43</v>
      </c>
      <c r="H1385" s="134">
        <v>54.43</v>
      </c>
      <c r="I1385" s="131" t="s">
        <v>17171</v>
      </c>
      <c r="J1385" s="88"/>
    </row>
    <row r="1386">
      <c r="A1386" s="108">
        <v>7542</v>
      </c>
      <c r="B1386" s="131" t="s">
        <v>17455</v>
      </c>
      <c r="C1386" s="132" t="s">
        <v>19914</v>
      </c>
      <c r="D1386" s="131" t="s">
        <v>17457</v>
      </c>
      <c r="E1386" s="110" t="s">
        <v>19915</v>
      </c>
      <c r="F1386" s="131" t="s">
        <v>17457</v>
      </c>
      <c r="G1386" s="133">
        <v>92.5</v>
      </c>
      <c r="H1386" s="134">
        <v>92.5</v>
      </c>
      <c r="I1386" s="131" t="s">
        <v>17171</v>
      </c>
      <c r="J1386" s="88"/>
    </row>
    <row r="1387" ht="38.25">
      <c r="A1387" s="108">
        <v>1781</v>
      </c>
      <c r="B1387" s="131" t="s">
        <v>17215</v>
      </c>
      <c r="C1387" s="132" t="s">
        <v>19916</v>
      </c>
      <c r="D1387" s="131" t="s">
        <v>38</v>
      </c>
      <c r="E1387" s="110" t="s">
        <v>19917</v>
      </c>
      <c r="F1387" s="131" t="s">
        <v>38</v>
      </c>
      <c r="G1387" s="133">
        <v>16.52</v>
      </c>
      <c r="H1387" s="134">
        <v>15.619999999999999</v>
      </c>
      <c r="I1387" s="131" t="s">
        <v>17190</v>
      </c>
      <c r="J1387" s="88"/>
    </row>
    <row r="1388" ht="38.25">
      <c r="A1388" s="108">
        <v>1756</v>
      </c>
      <c r="B1388" s="131" t="s">
        <v>17215</v>
      </c>
      <c r="C1388" s="132" t="s">
        <v>19918</v>
      </c>
      <c r="D1388" s="131" t="s">
        <v>38</v>
      </c>
      <c r="E1388" s="110" t="s">
        <v>19919</v>
      </c>
      <c r="F1388" s="131" t="s">
        <v>38</v>
      </c>
      <c r="G1388" s="133">
        <v>22.449999999999999</v>
      </c>
      <c r="H1388" s="134">
        <v>21.109999999999999</v>
      </c>
      <c r="I1388" s="131" t="s">
        <v>17190</v>
      </c>
      <c r="J1388" s="88"/>
    </row>
    <row r="1389" ht="38.25">
      <c r="A1389" s="108">
        <v>1836</v>
      </c>
      <c r="B1389" s="131" t="s">
        <v>17215</v>
      </c>
      <c r="C1389" s="132" t="s">
        <v>19920</v>
      </c>
      <c r="D1389" s="131" t="s">
        <v>38</v>
      </c>
      <c r="E1389" s="110" t="s">
        <v>19921</v>
      </c>
      <c r="F1389" s="131" t="s">
        <v>38</v>
      </c>
      <c r="G1389" s="133">
        <v>6.9000000000000004</v>
      </c>
      <c r="H1389" s="134">
        <v>6.7400000000000002</v>
      </c>
      <c r="I1389" s="131" t="s">
        <v>17190</v>
      </c>
      <c r="J1389" s="88"/>
    </row>
    <row r="1390" ht="38.25">
      <c r="A1390" s="108">
        <v>1757</v>
      </c>
      <c r="B1390" s="131" t="s">
        <v>17215</v>
      </c>
      <c r="C1390" s="132" t="s">
        <v>19922</v>
      </c>
      <c r="D1390" s="131" t="s">
        <v>38</v>
      </c>
      <c r="E1390" s="110" t="s">
        <v>19923</v>
      </c>
      <c r="F1390" s="131" t="s">
        <v>38</v>
      </c>
      <c r="G1390" s="133">
        <v>31.399999999999999</v>
      </c>
      <c r="H1390" s="134">
        <v>29.809999999999999</v>
      </c>
      <c r="I1390" s="131" t="s">
        <v>17190</v>
      </c>
      <c r="J1390" s="88"/>
    </row>
    <row r="1391" ht="38.25">
      <c r="A1391" s="108">
        <v>1837</v>
      </c>
      <c r="B1391" s="131" t="s">
        <v>17215</v>
      </c>
      <c r="C1391" s="132" t="s">
        <v>19924</v>
      </c>
      <c r="D1391" s="131" t="s">
        <v>38</v>
      </c>
      <c r="E1391" s="110" t="s">
        <v>19925</v>
      </c>
      <c r="F1391" s="131" t="s">
        <v>38</v>
      </c>
      <c r="G1391" s="133">
        <v>13.119999999999999</v>
      </c>
      <c r="H1391" s="134">
        <v>12.9</v>
      </c>
      <c r="I1391" s="131" t="s">
        <v>17190</v>
      </c>
      <c r="J1391" s="88"/>
    </row>
    <row r="1392" ht="38.25">
      <c r="A1392" s="108">
        <v>1737</v>
      </c>
      <c r="B1392" s="131" t="s">
        <v>17215</v>
      </c>
      <c r="C1392" s="132" t="s">
        <v>19926</v>
      </c>
      <c r="D1392" s="131" t="s">
        <v>38</v>
      </c>
      <c r="E1392" s="110" t="s">
        <v>19927</v>
      </c>
      <c r="F1392" s="131" t="s">
        <v>38</v>
      </c>
      <c r="G1392" s="133">
        <v>26.57</v>
      </c>
      <c r="H1392" s="134">
        <v>25.780000000000001</v>
      </c>
      <c r="I1392" s="131" t="s">
        <v>17190</v>
      </c>
      <c r="J1392" s="88"/>
    </row>
    <row r="1393" ht="38.25">
      <c r="A1393" s="108">
        <v>1838</v>
      </c>
      <c r="B1393" s="131" t="s">
        <v>17215</v>
      </c>
      <c r="C1393" s="132" t="s">
        <v>19928</v>
      </c>
      <c r="D1393" s="131" t="s">
        <v>38</v>
      </c>
      <c r="E1393" s="110" t="s">
        <v>19929</v>
      </c>
      <c r="F1393" s="131" t="s">
        <v>38</v>
      </c>
      <c r="G1393" s="133">
        <v>19.969999999999999</v>
      </c>
      <c r="H1393" s="134">
        <v>19.68</v>
      </c>
      <c r="I1393" s="131" t="s">
        <v>17190</v>
      </c>
      <c r="J1393" s="88"/>
    </row>
    <row r="1394" ht="25.5">
      <c r="A1394" s="108">
        <v>2554</v>
      </c>
      <c r="B1394" s="131" t="s">
        <v>17191</v>
      </c>
      <c r="C1394" s="132" t="s">
        <v>19930</v>
      </c>
      <c r="D1394" s="131" t="s">
        <v>31</v>
      </c>
      <c r="E1394" s="110" t="s">
        <v>19931</v>
      </c>
      <c r="F1394" s="131" t="s">
        <v>31</v>
      </c>
      <c r="G1394" s="133">
        <v>79.109999999999999</v>
      </c>
      <c r="H1394" s="134">
        <v>79.109999999999999</v>
      </c>
      <c r="I1394" s="131" t="s">
        <v>17190</v>
      </c>
      <c r="J1394" s="88"/>
    </row>
    <row r="1395" ht="25.5">
      <c r="A1395" s="108">
        <v>1027</v>
      </c>
      <c r="B1395" s="131" t="s">
        <v>17182</v>
      </c>
      <c r="C1395" s="132" t="s">
        <v>19932</v>
      </c>
      <c r="D1395" s="131" t="s">
        <v>31</v>
      </c>
      <c r="E1395" s="110" t="s">
        <v>19933</v>
      </c>
      <c r="F1395" s="131" t="s">
        <v>31</v>
      </c>
      <c r="G1395" s="133">
        <v>209.80000000000001</v>
      </c>
      <c r="H1395" s="134">
        <v>209.80000000000001</v>
      </c>
      <c r="I1395" s="131" t="s">
        <v>17171</v>
      </c>
      <c r="J1395" s="88"/>
    </row>
    <row r="1396" ht="25.5">
      <c r="A1396" s="108">
        <v>2562</v>
      </c>
      <c r="B1396" s="131" t="s">
        <v>17182</v>
      </c>
      <c r="C1396" s="132" t="s">
        <v>19934</v>
      </c>
      <c r="D1396" s="131" t="s">
        <v>31</v>
      </c>
      <c r="E1396" s="110" t="s">
        <v>19935</v>
      </c>
      <c r="F1396" s="131" t="s">
        <v>31</v>
      </c>
      <c r="G1396" s="133">
        <v>198.87</v>
      </c>
      <c r="H1396" s="134">
        <v>198.87</v>
      </c>
      <c r="I1396" s="131" t="s">
        <v>17190</v>
      </c>
      <c r="J1396" s="88"/>
    </row>
    <row r="1397" ht="38.25">
      <c r="A1397" s="108">
        <v>2606</v>
      </c>
      <c r="B1397" s="131" t="s">
        <v>17191</v>
      </c>
      <c r="C1397" s="132" t="s">
        <v>19936</v>
      </c>
      <c r="D1397" s="131" t="s">
        <v>31</v>
      </c>
      <c r="E1397" s="110" t="s">
        <v>19937</v>
      </c>
      <c r="F1397" s="131" t="s">
        <v>31</v>
      </c>
      <c r="G1397" s="133">
        <v>137.09999999999999</v>
      </c>
      <c r="H1397" s="134">
        <v>137.09999999999999</v>
      </c>
      <c r="I1397" s="131" t="s">
        <v>17190</v>
      </c>
      <c r="J1397" s="88"/>
    </row>
    <row r="1398" ht="38.25">
      <c r="A1398" s="108">
        <v>2605</v>
      </c>
      <c r="B1398" s="131" t="s">
        <v>17191</v>
      </c>
      <c r="C1398" s="132" t="s">
        <v>19938</v>
      </c>
      <c r="D1398" s="131" t="s">
        <v>31</v>
      </c>
      <c r="E1398" s="110" t="s">
        <v>19939</v>
      </c>
      <c r="F1398" s="131" t="s">
        <v>31</v>
      </c>
      <c r="G1398" s="133">
        <v>128.47</v>
      </c>
      <c r="H1398" s="134">
        <v>128.47</v>
      </c>
      <c r="I1398" s="131" t="s">
        <v>17190</v>
      </c>
      <c r="J1398" s="88"/>
    </row>
    <row r="1399" ht="38.25">
      <c r="A1399" s="108">
        <v>2604</v>
      </c>
      <c r="B1399" s="131" t="s">
        <v>17191</v>
      </c>
      <c r="C1399" s="132" t="s">
        <v>19940</v>
      </c>
      <c r="D1399" s="131" t="s">
        <v>31</v>
      </c>
      <c r="E1399" s="110" t="s">
        <v>19941</v>
      </c>
      <c r="F1399" s="131" t="s">
        <v>31</v>
      </c>
      <c r="G1399" s="133">
        <v>80.930000000000007</v>
      </c>
      <c r="H1399" s="134">
        <v>80.930000000000007</v>
      </c>
      <c r="I1399" s="131" t="s">
        <v>17190</v>
      </c>
      <c r="J1399" s="88"/>
    </row>
    <row r="1400" ht="38.25">
      <c r="A1400" s="108">
        <v>2608</v>
      </c>
      <c r="B1400" s="131" t="s">
        <v>17191</v>
      </c>
      <c r="C1400" s="132" t="s">
        <v>19942</v>
      </c>
      <c r="D1400" s="131" t="s">
        <v>31</v>
      </c>
      <c r="E1400" s="110" t="s">
        <v>19943</v>
      </c>
      <c r="F1400" s="131" t="s">
        <v>31</v>
      </c>
      <c r="G1400" s="133">
        <v>371.11000000000001</v>
      </c>
      <c r="H1400" s="134">
        <v>371.11000000000001</v>
      </c>
      <c r="I1400" s="131" t="s">
        <v>17190</v>
      </c>
      <c r="J1400" s="88"/>
    </row>
    <row r="1401" ht="38.25">
      <c r="A1401" s="108">
        <v>2607</v>
      </c>
      <c r="B1401" s="131" t="s">
        <v>17191</v>
      </c>
      <c r="C1401" s="132" t="s">
        <v>19944</v>
      </c>
      <c r="D1401" s="131" t="s">
        <v>31</v>
      </c>
      <c r="E1401" s="110" t="s">
        <v>19945</v>
      </c>
      <c r="F1401" s="131" t="s">
        <v>31</v>
      </c>
      <c r="G1401" s="133">
        <v>207.66999999999999</v>
      </c>
      <c r="H1401" s="134">
        <v>207.66999999999999</v>
      </c>
      <c r="I1401" s="131" t="s">
        <v>17190</v>
      </c>
      <c r="J1401" s="88"/>
    </row>
    <row r="1402" ht="38.25">
      <c r="A1402" s="108">
        <v>2610</v>
      </c>
      <c r="B1402" s="131" t="s">
        <v>17191</v>
      </c>
      <c r="C1402" s="132" t="s">
        <v>19946</v>
      </c>
      <c r="D1402" s="131" t="s">
        <v>31</v>
      </c>
      <c r="E1402" s="110" t="s">
        <v>19947</v>
      </c>
      <c r="F1402" s="131" t="s">
        <v>31</v>
      </c>
      <c r="G1402" s="133">
        <v>508.75999999999999</v>
      </c>
      <c r="H1402" s="134">
        <v>508.75999999999999</v>
      </c>
      <c r="I1402" s="131" t="s">
        <v>17190</v>
      </c>
      <c r="J1402" s="88"/>
    </row>
    <row r="1403" ht="38.25">
      <c r="A1403" s="108">
        <v>2580</v>
      </c>
      <c r="B1403" s="131" t="s">
        <v>17191</v>
      </c>
      <c r="C1403" s="132" t="s">
        <v>19948</v>
      </c>
      <c r="D1403" s="131" t="s">
        <v>31</v>
      </c>
      <c r="E1403" s="110" t="s">
        <v>19949</v>
      </c>
      <c r="F1403" s="131" t="s">
        <v>31</v>
      </c>
      <c r="G1403" s="133">
        <v>372.67000000000002</v>
      </c>
      <c r="H1403" s="134">
        <v>372.67000000000002</v>
      </c>
      <c r="I1403" s="131" t="s">
        <v>17190</v>
      </c>
      <c r="J1403" s="88"/>
    </row>
    <row r="1404" ht="25.5">
      <c r="A1404" s="108">
        <v>2584</v>
      </c>
      <c r="B1404" s="131" t="s">
        <v>17191</v>
      </c>
      <c r="C1404" s="132" t="s">
        <v>19950</v>
      </c>
      <c r="D1404" s="131" t="s">
        <v>31</v>
      </c>
      <c r="E1404" s="110" t="s">
        <v>19951</v>
      </c>
      <c r="F1404" s="131" t="s">
        <v>31</v>
      </c>
      <c r="G1404" s="133">
        <v>330.63999999999999</v>
      </c>
      <c r="H1404" s="134">
        <v>330.63999999999999</v>
      </c>
      <c r="I1404" s="131" t="s">
        <v>17190</v>
      </c>
      <c r="J1404" s="88"/>
    </row>
    <row r="1405" ht="25.5">
      <c r="A1405" s="108">
        <v>2585</v>
      </c>
      <c r="B1405" s="131" t="s">
        <v>17191</v>
      </c>
      <c r="C1405" s="132" t="s">
        <v>19952</v>
      </c>
      <c r="D1405" s="131" t="s">
        <v>31</v>
      </c>
      <c r="E1405" s="110" t="s">
        <v>19953</v>
      </c>
      <c r="F1405" s="131" t="s">
        <v>31</v>
      </c>
      <c r="G1405" s="133">
        <v>451.50999999999999</v>
      </c>
      <c r="H1405" s="134">
        <v>451.50999999999999</v>
      </c>
      <c r="I1405" s="131" t="s">
        <v>17190</v>
      </c>
      <c r="J1405" s="88"/>
    </row>
    <row r="1406" ht="38.25">
      <c r="A1406" s="108">
        <v>2564</v>
      </c>
      <c r="B1406" s="131" t="s">
        <v>17429</v>
      </c>
      <c r="C1406" s="132" t="s">
        <v>19954</v>
      </c>
      <c r="D1406" s="131" t="s">
        <v>31</v>
      </c>
      <c r="E1406" s="110" t="s">
        <v>19955</v>
      </c>
      <c r="F1406" s="131" t="s">
        <v>31</v>
      </c>
      <c r="G1406" s="133">
        <v>112.31</v>
      </c>
      <c r="H1406" s="134">
        <v>111.89</v>
      </c>
      <c r="I1406" s="131" t="s">
        <v>17190</v>
      </c>
      <c r="J1406" s="88"/>
    </row>
    <row r="1407" ht="25.5">
      <c r="A1407" s="108">
        <v>2560</v>
      </c>
      <c r="B1407" s="131" t="s">
        <v>17182</v>
      </c>
      <c r="C1407" s="132" t="s">
        <v>19956</v>
      </c>
      <c r="D1407" s="131" t="s">
        <v>31</v>
      </c>
      <c r="E1407" s="110" t="s">
        <v>19957</v>
      </c>
      <c r="F1407" s="131" t="s">
        <v>31</v>
      </c>
      <c r="G1407" s="133">
        <v>115.73999999999999</v>
      </c>
      <c r="H1407" s="134">
        <v>115.73999999999999</v>
      </c>
      <c r="I1407" s="131" t="s">
        <v>17190</v>
      </c>
      <c r="J1407" s="88"/>
    </row>
    <row r="1408" ht="38.25">
      <c r="A1408" s="108">
        <v>2591</v>
      </c>
      <c r="B1408" s="131" t="s">
        <v>17182</v>
      </c>
      <c r="C1408" s="132" t="s">
        <v>19958</v>
      </c>
      <c r="D1408" s="131" t="s">
        <v>31</v>
      </c>
      <c r="E1408" s="110" t="s">
        <v>19959</v>
      </c>
      <c r="F1408" s="131" t="s">
        <v>31</v>
      </c>
      <c r="G1408" s="133">
        <v>873.78999999999996</v>
      </c>
      <c r="H1408" s="134">
        <v>873.78999999999996</v>
      </c>
      <c r="I1408" s="131" t="s">
        <v>17171</v>
      </c>
      <c r="J1408" s="88"/>
    </row>
    <row r="1409">
      <c r="A1409" s="108">
        <v>2452</v>
      </c>
      <c r="B1409" s="131" t="s">
        <v>17182</v>
      </c>
      <c r="C1409" s="132" t="s">
        <v>19960</v>
      </c>
      <c r="D1409" s="131" t="s">
        <v>31</v>
      </c>
      <c r="E1409" s="110" t="s">
        <v>19961</v>
      </c>
      <c r="F1409" s="131" t="s">
        <v>31</v>
      </c>
      <c r="G1409" s="133">
        <v>33.200000000000003</v>
      </c>
      <c r="H1409" s="134">
        <v>33.200000000000003</v>
      </c>
      <c r="I1409" s="131" t="s">
        <v>17171</v>
      </c>
      <c r="J1409" s="88"/>
    </row>
    <row r="1410" ht="25.5">
      <c r="A1410" s="108">
        <v>6431</v>
      </c>
      <c r="B1410" s="131" t="s">
        <v>17429</v>
      </c>
      <c r="C1410" s="132" t="s">
        <v>19962</v>
      </c>
      <c r="D1410" s="131" t="s">
        <v>31</v>
      </c>
      <c r="E1410" s="110" t="s">
        <v>19963</v>
      </c>
      <c r="F1410" s="131" t="s">
        <v>31</v>
      </c>
      <c r="G1410" s="133">
        <v>1166.9000000000001</v>
      </c>
      <c r="H1410" s="134">
        <v>1166.9000000000001</v>
      </c>
      <c r="I1410" s="131" t="s">
        <v>17171</v>
      </c>
      <c r="J1410" s="88"/>
    </row>
    <row r="1411" ht="51">
      <c r="A1411" s="108">
        <v>1750</v>
      </c>
      <c r="B1411" s="131" t="s">
        <v>17215</v>
      </c>
      <c r="C1411" s="132" t="s">
        <v>19964</v>
      </c>
      <c r="D1411" s="131" t="s">
        <v>31</v>
      </c>
      <c r="E1411" s="110" t="s">
        <v>19965</v>
      </c>
      <c r="F1411" s="131" t="s">
        <v>31</v>
      </c>
      <c r="G1411" s="133">
        <v>517.20000000000005</v>
      </c>
      <c r="H1411" s="134">
        <v>514.63</v>
      </c>
      <c r="I1411" s="131" t="s">
        <v>17190</v>
      </c>
      <c r="J1411" s="88"/>
    </row>
    <row r="1412" ht="25.5">
      <c r="A1412" s="108">
        <v>3468</v>
      </c>
      <c r="B1412" s="131" t="s">
        <v>17168</v>
      </c>
      <c r="C1412" s="132" t="s">
        <v>16313</v>
      </c>
      <c r="D1412" s="131" t="s">
        <v>31</v>
      </c>
      <c r="E1412" s="110" t="s">
        <v>19966</v>
      </c>
      <c r="F1412" s="131" t="s">
        <v>31</v>
      </c>
      <c r="G1412" s="133">
        <v>329</v>
      </c>
      <c r="H1412" s="134">
        <v>329</v>
      </c>
      <c r="I1412" s="131" t="s">
        <v>17171</v>
      </c>
      <c r="J1412" s="88"/>
    </row>
    <row r="1413" ht="25.5">
      <c r="A1413" s="108">
        <v>7055</v>
      </c>
      <c r="B1413" s="131" t="s">
        <v>17168</v>
      </c>
      <c r="C1413" s="132" t="s">
        <v>19967</v>
      </c>
      <c r="D1413" s="131" t="s">
        <v>38</v>
      </c>
      <c r="E1413" s="110" t="s">
        <v>19968</v>
      </c>
      <c r="F1413" s="131" t="s">
        <v>38</v>
      </c>
      <c r="G1413" s="133">
        <v>36.600000000000001</v>
      </c>
      <c r="H1413" s="134">
        <v>36.600000000000001</v>
      </c>
      <c r="I1413" s="131" t="s">
        <v>17171</v>
      </c>
      <c r="J1413" s="88"/>
    </row>
    <row r="1414" ht="25.5">
      <c r="A1414" s="108">
        <v>7056</v>
      </c>
      <c r="B1414" s="131" t="s">
        <v>17168</v>
      </c>
      <c r="C1414" s="132" t="s">
        <v>19969</v>
      </c>
      <c r="D1414" s="131" t="s">
        <v>38</v>
      </c>
      <c r="E1414" s="110" t="s">
        <v>19970</v>
      </c>
      <c r="F1414" s="131" t="s">
        <v>38</v>
      </c>
      <c r="G1414" s="133">
        <v>91.5</v>
      </c>
      <c r="H1414" s="134">
        <v>91.5</v>
      </c>
      <c r="I1414" s="131" t="s">
        <v>17171</v>
      </c>
      <c r="J1414" s="88"/>
    </row>
    <row r="1415" ht="25.5">
      <c r="A1415" s="108">
        <v>6439</v>
      </c>
      <c r="B1415" s="131" t="s">
        <v>18262</v>
      </c>
      <c r="C1415" s="132" t="s">
        <v>19971</v>
      </c>
      <c r="D1415" s="131" t="s">
        <v>38</v>
      </c>
      <c r="E1415" s="110" t="s">
        <v>19972</v>
      </c>
      <c r="F1415" s="131" t="s">
        <v>38</v>
      </c>
      <c r="G1415" s="133">
        <v>3.2400000000000002</v>
      </c>
      <c r="H1415" s="134">
        <v>3.2400000000000002</v>
      </c>
      <c r="I1415" s="131" t="s">
        <v>17190</v>
      </c>
      <c r="J1415" s="88"/>
    </row>
    <row r="1416" ht="38.25">
      <c r="A1416" s="108">
        <v>6045</v>
      </c>
      <c r="B1416" s="131" t="s">
        <v>17246</v>
      </c>
      <c r="C1416" s="132" t="s">
        <v>19973</v>
      </c>
      <c r="D1416" s="131" t="s">
        <v>9794</v>
      </c>
      <c r="E1416" s="110" t="s">
        <v>19974</v>
      </c>
      <c r="F1416" s="131" t="s">
        <v>9794</v>
      </c>
      <c r="G1416" s="133">
        <v>39.170000000000002</v>
      </c>
      <c r="H1416" s="134">
        <v>39.170000000000002</v>
      </c>
      <c r="I1416" s="131" t="s">
        <v>17190</v>
      </c>
      <c r="J1416" s="88"/>
    </row>
    <row r="1417" ht="25.5">
      <c r="A1417" s="108">
        <v>6043</v>
      </c>
      <c r="B1417" s="131" t="s">
        <v>17246</v>
      </c>
      <c r="C1417" s="132" t="s">
        <v>19975</v>
      </c>
      <c r="D1417" s="131" t="s">
        <v>9794</v>
      </c>
      <c r="E1417" s="110" t="s">
        <v>19976</v>
      </c>
      <c r="F1417" s="131" t="s">
        <v>9794</v>
      </c>
      <c r="G1417" s="133">
        <v>33.710000000000001</v>
      </c>
      <c r="H1417" s="134">
        <v>33.710000000000001</v>
      </c>
      <c r="I1417" s="131" t="s">
        <v>17190</v>
      </c>
      <c r="J1417" s="88"/>
    </row>
    <row r="1418" ht="25.5">
      <c r="A1418" s="108">
        <v>6396</v>
      </c>
      <c r="B1418" s="131" t="s">
        <v>17243</v>
      </c>
      <c r="C1418" s="132" t="s">
        <v>19977</v>
      </c>
      <c r="D1418" s="131" t="s">
        <v>29</v>
      </c>
      <c r="E1418" s="110" t="s">
        <v>19978</v>
      </c>
      <c r="F1418" s="131" t="s">
        <v>29</v>
      </c>
      <c r="G1418" s="133">
        <v>12.5</v>
      </c>
      <c r="H1418" s="134">
        <v>12.5</v>
      </c>
      <c r="I1418" s="131" t="s">
        <v>17190</v>
      </c>
      <c r="J1418" s="88"/>
    </row>
    <row r="1419" ht="38.25">
      <c r="A1419" s="108">
        <v>7430</v>
      </c>
      <c r="B1419" s="131" t="s">
        <v>17215</v>
      </c>
      <c r="C1419" s="132" t="s">
        <v>19979</v>
      </c>
      <c r="D1419" s="131" t="s">
        <v>1533</v>
      </c>
      <c r="E1419" s="110" t="s">
        <v>19980</v>
      </c>
      <c r="F1419" s="131" t="s">
        <v>1533</v>
      </c>
      <c r="G1419" s="133">
        <v>0.53000000000000003</v>
      </c>
      <c r="H1419" s="134">
        <v>0.53000000000000003</v>
      </c>
      <c r="I1419" s="131" t="s">
        <v>17190</v>
      </c>
      <c r="J1419" s="88"/>
    </row>
    <row r="1420" ht="38.25">
      <c r="A1420" s="108">
        <v>7429</v>
      </c>
      <c r="B1420" s="131" t="s">
        <v>17215</v>
      </c>
      <c r="C1420" s="132" t="s">
        <v>19981</v>
      </c>
      <c r="D1420" s="131" t="s">
        <v>1535</v>
      </c>
      <c r="E1420" s="110" t="s">
        <v>19982</v>
      </c>
      <c r="F1420" s="131" t="s">
        <v>1535</v>
      </c>
      <c r="G1420" s="133">
        <v>1.4199999999999999</v>
      </c>
      <c r="H1420" s="134">
        <v>1.4199999999999999</v>
      </c>
      <c r="I1420" s="131" t="s">
        <v>17190</v>
      </c>
      <c r="J1420" s="88"/>
    </row>
    <row r="1421" ht="25.5">
      <c r="A1421" s="108">
        <v>4061</v>
      </c>
      <c r="B1421" s="131" t="s">
        <v>17250</v>
      </c>
      <c r="C1421" s="132" t="s">
        <v>19983</v>
      </c>
      <c r="D1421" s="131" t="s">
        <v>2032</v>
      </c>
      <c r="E1421" s="110" t="s">
        <v>19984</v>
      </c>
      <c r="F1421" s="131" t="s">
        <v>2032</v>
      </c>
      <c r="G1421" s="133">
        <v>22.949999999999999</v>
      </c>
      <c r="H1421" s="134">
        <v>21.239999999999998</v>
      </c>
      <c r="I1421" s="131" t="s">
        <v>17190</v>
      </c>
      <c r="J1421" s="88"/>
    </row>
    <row r="1422" ht="25.5">
      <c r="A1422" s="108">
        <v>6047</v>
      </c>
      <c r="B1422" s="131" t="s">
        <v>19985</v>
      </c>
      <c r="C1422" s="132" t="s">
        <v>19986</v>
      </c>
      <c r="D1422" s="131" t="s">
        <v>29</v>
      </c>
      <c r="E1422" s="110" t="s">
        <v>19987</v>
      </c>
      <c r="F1422" s="131" t="s">
        <v>29</v>
      </c>
      <c r="G1422" s="133">
        <v>129.16</v>
      </c>
      <c r="H1422" s="134">
        <v>129.16</v>
      </c>
      <c r="I1422" s="131" t="s">
        <v>17190</v>
      </c>
      <c r="J1422" s="88"/>
    </row>
    <row r="1423" ht="38.25">
      <c r="A1423" s="108">
        <v>1196</v>
      </c>
      <c r="B1423" s="131" t="s">
        <v>17735</v>
      </c>
      <c r="C1423" s="132" t="s">
        <v>19988</v>
      </c>
      <c r="D1423" s="131" t="s">
        <v>38</v>
      </c>
      <c r="E1423" s="110" t="s">
        <v>19989</v>
      </c>
      <c r="F1423" s="131" t="s">
        <v>38</v>
      </c>
      <c r="G1423" s="133">
        <v>26.18</v>
      </c>
      <c r="H1423" s="134">
        <v>26.18</v>
      </c>
      <c r="I1423" s="131" t="s">
        <v>17190</v>
      </c>
      <c r="J1423" s="88"/>
    </row>
    <row r="1424" ht="38.25">
      <c r="A1424" s="108">
        <v>1203</v>
      </c>
      <c r="B1424" s="131" t="s">
        <v>17735</v>
      </c>
      <c r="C1424" s="132" t="s">
        <v>19990</v>
      </c>
      <c r="D1424" s="131" t="s">
        <v>38</v>
      </c>
      <c r="E1424" s="110" t="s">
        <v>19991</v>
      </c>
      <c r="F1424" s="131" t="s">
        <v>38</v>
      </c>
      <c r="G1424" s="133">
        <v>34.670000000000002</v>
      </c>
      <c r="H1424" s="134">
        <v>34.670000000000002</v>
      </c>
      <c r="I1424" s="131" t="s">
        <v>17190</v>
      </c>
      <c r="J1424" s="88"/>
    </row>
    <row r="1425" ht="25.5">
      <c r="A1425" s="108">
        <v>4050</v>
      </c>
      <c r="B1425" s="131" t="s">
        <v>17250</v>
      </c>
      <c r="C1425" s="132" t="s">
        <v>19992</v>
      </c>
      <c r="D1425" s="131" t="s">
        <v>2032</v>
      </c>
      <c r="E1425" s="110" t="s">
        <v>19993</v>
      </c>
      <c r="F1425" s="131" t="s">
        <v>2032</v>
      </c>
      <c r="G1425" s="133">
        <v>19.600000000000001</v>
      </c>
      <c r="H1425" s="134">
        <v>17.620000000000001</v>
      </c>
      <c r="I1425" s="131" t="s">
        <v>17171</v>
      </c>
      <c r="J1425" s="88"/>
    </row>
  </sheetData>
  <printOptions headings="0" gridLines="0"/>
  <pageMargins left="0.59055118110236193" right="0.31496062992126" top="0.82677165354330695" bottom="0.43307086614173207" header="0.51181102362204689" footer="0.31496062992126"/>
  <pageSetup paperSize="9" scale="88" firstPageNumber="2147483647" fitToWidth="1" fitToHeight="1" pageOrder="downThenOver" orientation="portrait" usePrinterDefaults="1" blackAndWhite="0" draft="0" cellComments="none" useFirstPageNumber="0" errors="displayed" horizontalDpi="600" verticalDpi="600" copies="1"/>
  <headerFooter>
    <oddHeader>&amp;L&amp;"Arial,Negrito"&amp;9
 DATA: JANEIRO/2025&amp;"Arial,Normal"&amp;10
&amp;C&amp;"Arial,Negrito"&amp;9AGÊNCIA ESTADUAL DE GESTÃO DE EMPREENDIMENTOS - AGESUL
CADASTRO DE MATERIAL E MÃO DE OBRA - COM DESONERAÇÃO&amp;R
&amp;"Arial,Negrito"&amp;8Pág.: &amp;P de &amp;N</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6">
    <tabColor theme="7" tint="-0.249977111117893"/>
    <outlinePr applyStyles="0" summaryBelow="1" summaryRight="1" showOutlineSymbols="1"/>
    <pageSetUpPr autoPageBreaks="1" fitToPage="0"/>
  </sheetPr>
  <sheetViews>
    <sheetView topLeftCell="A34" zoomScale="100" workbookViewId="0">
      <selection activeCell="C47" activeCellId="0" sqref="C47"/>
    </sheetView>
  </sheetViews>
  <sheetFormatPr defaultColWidth="9.140625" defaultRowHeight="13.5"/>
  <cols>
    <col customWidth="1" min="2" max="2" width="14.7109375"/>
    <col customWidth="1" min="3" max="3" width="42.140625"/>
    <col customWidth="1" min="4" max="4" width="44.7109375"/>
    <col customWidth="1" min="5" max="5" width="10"/>
    <col customWidth="1" min="6" max="6" width="10.140625"/>
    <col customWidth="1" min="7" max="7" width="15.5703125"/>
    <col customWidth="1" hidden="1" min="8" max="8" width="9.140625"/>
    <col customWidth="1" min="9" max="9" width="18.28515625"/>
    <col customWidth="1" min="10" max="10" width="16.140625"/>
    <col customWidth="1" min="11" max="11" width="12"/>
    <col customWidth="1" min="12" max="12" width="13.140625"/>
    <col customWidth="1" min="13" max="13" width="12.7109375"/>
    <col customWidth="1" min="14" max="14" width="12.42578125"/>
    <col min="15" max="19" width="9"/>
    <col customWidth="1" min="20" max="20" width="10.140625"/>
  </cols>
  <sheetData>
    <row r="1">
      <c r="A1" s="135" t="s">
        <v>15334</v>
      </c>
      <c r="B1" s="136"/>
      <c r="C1" s="135" t="s">
        <v>19994</v>
      </c>
      <c r="D1" s="135"/>
      <c r="E1" s="135"/>
      <c r="F1" s="135"/>
      <c r="G1" s="135"/>
      <c r="H1" s="50"/>
      <c r="I1" s="137">
        <v>45170</v>
      </c>
      <c r="J1" s="138" t="s">
        <v>19995</v>
      </c>
      <c r="K1" s="50"/>
      <c r="L1" s="50"/>
      <c r="M1" s="50"/>
      <c r="N1" s="50"/>
      <c r="O1" s="50"/>
      <c r="P1" s="50"/>
      <c r="Q1" s="50"/>
      <c r="R1" s="50"/>
      <c r="S1" s="50"/>
      <c r="T1" s="50"/>
    </row>
    <row r="2">
      <c r="A2" t="s">
        <v>19996</v>
      </c>
      <c r="B2" s="136" t="s">
        <v>19997</v>
      </c>
      <c r="C2" s="136" t="s">
        <v>19997</v>
      </c>
      <c r="D2" s="139" t="s">
        <v>19998</v>
      </c>
      <c r="E2" s="140" t="s">
        <v>15364</v>
      </c>
      <c r="F2" s="141"/>
      <c r="G2" s="142">
        <f>E6</f>
        <v>66.5</v>
      </c>
      <c r="H2" s="50"/>
      <c r="I2" s="143"/>
      <c r="J2" s="144"/>
      <c r="K2" s="145"/>
      <c r="L2" s="50"/>
      <c r="M2" s="143"/>
      <c r="N2" s="146"/>
      <c r="O2" s="145"/>
      <c r="P2" s="50"/>
      <c r="Q2" s="50"/>
      <c r="R2" s="50"/>
      <c r="S2" s="50"/>
      <c r="T2" s="50"/>
    </row>
    <row r="3">
      <c r="A3" t="s">
        <v>19996</v>
      </c>
      <c r="B3" s="136"/>
      <c r="C3" s="147" t="s">
        <v>19999</v>
      </c>
      <c r="D3" s="148" t="s">
        <v>20000</v>
      </c>
      <c r="E3" s="149" t="s">
        <v>15364</v>
      </c>
      <c r="F3" s="150"/>
      <c r="G3" s="151"/>
      <c r="H3" s="50"/>
      <c r="I3" s="143"/>
      <c r="J3" s="144"/>
      <c r="K3" s="145"/>
      <c r="L3" s="50"/>
      <c r="M3" s="143"/>
      <c r="N3" s="146"/>
      <c r="O3" s="145"/>
      <c r="P3" s="50"/>
      <c r="Q3" s="50"/>
      <c r="R3" s="50"/>
      <c r="S3" s="50"/>
      <c r="T3" s="50"/>
    </row>
    <row r="4">
      <c r="A4" t="s">
        <v>19996</v>
      </c>
      <c r="B4" s="136"/>
      <c r="C4" s="152" t="s">
        <v>20001</v>
      </c>
      <c r="D4" s="153" t="s">
        <v>20000</v>
      </c>
      <c r="E4" s="154" t="s">
        <v>15364</v>
      </c>
      <c r="F4" s="150"/>
      <c r="G4" s="155">
        <v>82.5</v>
      </c>
      <c r="H4" s="50"/>
      <c r="I4" s="143"/>
      <c r="J4" s="144"/>
      <c r="K4" s="145"/>
      <c r="L4" s="50"/>
      <c r="M4" s="143"/>
      <c r="N4" s="146"/>
      <c r="O4" s="145"/>
      <c r="P4" s="50"/>
      <c r="Q4" s="50"/>
      <c r="R4" s="50"/>
      <c r="S4" s="50"/>
      <c r="T4" s="50"/>
    </row>
    <row r="5">
      <c r="A5" t="s">
        <v>19996</v>
      </c>
      <c r="B5" s="136"/>
      <c r="C5" s="152" t="s">
        <v>20002</v>
      </c>
      <c r="D5" s="153" t="s">
        <v>20000</v>
      </c>
      <c r="E5" s="154" t="s">
        <v>15364</v>
      </c>
      <c r="F5" s="150"/>
      <c r="G5" s="156">
        <v>50.5</v>
      </c>
      <c r="H5" s="50"/>
      <c r="I5" s="143"/>
      <c r="J5" s="144"/>
      <c r="K5" s="145"/>
      <c r="L5" s="50"/>
      <c r="M5" s="143"/>
      <c r="N5" s="146"/>
      <c r="O5" s="145"/>
      <c r="P5" s="50"/>
      <c r="Q5" s="50"/>
      <c r="R5" s="50"/>
      <c r="S5" s="50"/>
      <c r="T5" s="50"/>
    </row>
    <row r="6">
      <c r="A6" t="s">
        <v>19996</v>
      </c>
      <c r="B6" s="136"/>
      <c r="C6" s="50"/>
      <c r="D6" s="157" t="s">
        <v>20003</v>
      </c>
      <c r="E6" s="158">
        <f>MEDIAN(G4:G5)</f>
        <v>66.5</v>
      </c>
      <c r="F6" s="159" t="e">
        <f>MEDIAN(D3:D4)</f>
        <v>#NUM!</v>
      </c>
      <c r="G6" s="160" t="e">
        <f>MEDIAN(E3:E4)</f>
        <v>#NUM!</v>
      </c>
      <c r="H6" s="50"/>
      <c r="I6" s="161"/>
      <c r="J6" s="144"/>
      <c r="K6" s="145"/>
      <c r="L6" s="50"/>
      <c r="M6" s="143"/>
      <c r="N6" s="146"/>
      <c r="O6" s="145"/>
      <c r="P6" s="50"/>
      <c r="Q6" s="50"/>
      <c r="R6" s="50"/>
      <c r="S6" s="50"/>
      <c r="T6" s="50"/>
    </row>
    <row r="7">
      <c r="A7" t="s">
        <v>19996</v>
      </c>
      <c r="B7" s="136" t="s">
        <v>20004</v>
      </c>
      <c r="C7" s="136" t="s">
        <v>20004</v>
      </c>
      <c r="D7" s="139" t="s">
        <v>20005</v>
      </c>
      <c r="E7" s="140" t="s">
        <v>15364</v>
      </c>
      <c r="F7" s="162"/>
      <c r="G7" s="142">
        <f>E11</f>
        <v>600</v>
      </c>
      <c r="H7" s="50"/>
      <c r="I7" s="143"/>
      <c r="J7" s="144"/>
      <c r="K7" s="145"/>
      <c r="L7" s="50"/>
      <c r="M7" s="143"/>
      <c r="N7" s="146"/>
      <c r="O7" s="145"/>
      <c r="P7" s="50"/>
      <c r="Q7" s="50"/>
      <c r="R7" s="50"/>
      <c r="S7" s="50"/>
      <c r="T7" s="50"/>
    </row>
    <row r="8">
      <c r="A8" t="s">
        <v>19996</v>
      </c>
      <c r="B8" s="136"/>
      <c r="C8" s="147" t="s">
        <v>19999</v>
      </c>
      <c r="D8" s="148" t="s">
        <v>20006</v>
      </c>
      <c r="E8" s="149" t="s">
        <v>15364</v>
      </c>
      <c r="F8" s="150"/>
      <c r="G8" s="151"/>
      <c r="H8" s="50"/>
      <c r="I8" s="137"/>
      <c r="J8" s="144"/>
      <c r="K8" s="145"/>
      <c r="L8" s="50"/>
      <c r="M8" s="143"/>
      <c r="N8" s="146"/>
      <c r="O8" s="145"/>
      <c r="P8" s="50"/>
      <c r="Q8" s="50"/>
      <c r="R8" s="50"/>
      <c r="S8" s="50"/>
      <c r="T8" s="50"/>
    </row>
    <row r="9">
      <c r="A9" t="s">
        <v>19996</v>
      </c>
      <c r="B9" s="136"/>
      <c r="C9" s="152" t="s">
        <v>20001</v>
      </c>
      <c r="D9" s="153" t="s">
        <v>20006</v>
      </c>
      <c r="E9" s="154" t="s">
        <v>15364</v>
      </c>
      <c r="F9" s="162"/>
      <c r="G9" s="155">
        <v>730</v>
      </c>
      <c r="H9" s="50"/>
      <c r="I9" s="143"/>
      <c r="J9" s="144"/>
      <c r="K9" s="145"/>
      <c r="L9" s="50"/>
      <c r="M9" s="143"/>
      <c r="N9" s="146"/>
      <c r="O9" s="145"/>
      <c r="P9" s="50"/>
      <c r="Q9" s="50"/>
      <c r="R9" s="50"/>
      <c r="S9" s="50"/>
      <c r="T9" s="50"/>
    </row>
    <row r="10">
      <c r="A10" t="s">
        <v>19996</v>
      </c>
      <c r="B10" s="136"/>
      <c r="C10" s="152" t="s">
        <v>20002</v>
      </c>
      <c r="D10" s="153" t="s">
        <v>20006</v>
      </c>
      <c r="E10" s="154" t="s">
        <v>15364</v>
      </c>
      <c r="F10" s="162"/>
      <c r="G10" s="156">
        <v>470</v>
      </c>
      <c r="H10" s="50"/>
      <c r="I10" s="143"/>
      <c r="J10" s="144"/>
      <c r="K10" s="145"/>
      <c r="L10" s="50"/>
      <c r="M10" s="143"/>
      <c r="N10" s="146"/>
      <c r="O10" s="145"/>
      <c r="P10" s="50"/>
      <c r="Q10" s="50"/>
      <c r="R10" s="50"/>
      <c r="S10" s="50"/>
      <c r="T10" s="50"/>
    </row>
    <row r="11">
      <c r="A11" t="s">
        <v>19996</v>
      </c>
      <c r="B11" s="136"/>
      <c r="C11" s="50"/>
      <c r="D11" s="157" t="s">
        <v>20003</v>
      </c>
      <c r="E11" s="158">
        <f>MEDIAN(G9:G10)</f>
        <v>600</v>
      </c>
      <c r="F11" s="159" t="e">
        <f>MEDIAN(D8:D9)</f>
        <v>#NUM!</v>
      </c>
      <c r="G11" s="160" t="e">
        <f>MEDIAN(E8:E9)</f>
        <v>#NUM!</v>
      </c>
      <c r="H11" s="50"/>
      <c r="I11" s="143"/>
      <c r="J11" s="144"/>
      <c r="K11" s="145"/>
      <c r="L11" s="50"/>
      <c r="M11" s="143"/>
      <c r="N11" s="146"/>
      <c r="O11" s="145"/>
      <c r="P11" s="50"/>
      <c r="Q11" s="50"/>
      <c r="R11" s="50"/>
      <c r="S11" s="50"/>
      <c r="T11" s="50"/>
    </row>
    <row r="12">
      <c r="A12" t="s">
        <v>19996</v>
      </c>
      <c r="B12" s="136" t="s">
        <v>20007</v>
      </c>
      <c r="C12" s="136" t="s">
        <v>20007</v>
      </c>
      <c r="D12" s="139" t="s">
        <v>20008</v>
      </c>
      <c r="E12" s="140" t="s">
        <v>15364</v>
      </c>
      <c r="F12" s="162"/>
      <c r="G12" s="163">
        <f>E16</f>
        <v>257.5</v>
      </c>
      <c r="H12" s="50"/>
      <c r="I12" s="143"/>
      <c r="J12" s="144"/>
      <c r="K12" s="145"/>
      <c r="L12" s="50"/>
      <c r="M12" s="143"/>
      <c r="N12" s="146"/>
      <c r="O12" s="145"/>
      <c r="P12" s="50"/>
      <c r="Q12" s="50"/>
      <c r="R12" s="50"/>
      <c r="S12" s="50"/>
      <c r="T12" s="50"/>
    </row>
    <row r="13">
      <c r="A13" t="s">
        <v>19996</v>
      </c>
      <c r="B13" s="136"/>
      <c r="C13" s="147" t="s">
        <v>19999</v>
      </c>
      <c r="D13" s="148" t="s">
        <v>20009</v>
      </c>
      <c r="E13" s="149" t="s">
        <v>15364</v>
      </c>
      <c r="F13" s="150"/>
      <c r="G13" s="164"/>
      <c r="H13" s="50"/>
      <c r="I13" s="143"/>
      <c r="J13" s="144"/>
      <c r="K13" s="145"/>
      <c r="L13" s="50"/>
      <c r="M13" s="143"/>
      <c r="N13" s="146"/>
      <c r="O13" s="145"/>
      <c r="P13" s="50"/>
      <c r="Q13" s="50"/>
      <c r="R13" s="50"/>
      <c r="S13" s="50"/>
      <c r="T13" s="50"/>
    </row>
    <row r="14">
      <c r="A14" t="s">
        <v>19996</v>
      </c>
      <c r="B14" s="136"/>
      <c r="C14" s="152" t="s">
        <v>20001</v>
      </c>
      <c r="D14" s="153" t="s">
        <v>20009</v>
      </c>
      <c r="E14" s="154" t="s">
        <v>15364</v>
      </c>
      <c r="F14" s="150"/>
      <c r="G14" s="156">
        <v>235</v>
      </c>
      <c r="H14" s="50"/>
      <c r="I14" s="161"/>
      <c r="J14" s="144"/>
      <c r="K14" s="145"/>
      <c r="L14" s="50"/>
      <c r="M14" s="143"/>
      <c r="N14" s="146"/>
      <c r="O14" s="145"/>
      <c r="P14" s="50"/>
      <c r="Q14" s="50"/>
      <c r="R14" s="50"/>
      <c r="S14" s="50"/>
      <c r="T14" s="50"/>
    </row>
    <row r="15">
      <c r="A15" t="s">
        <v>19996</v>
      </c>
      <c r="B15" s="136"/>
      <c r="C15" s="152" t="s">
        <v>20002</v>
      </c>
      <c r="D15" s="153" t="s">
        <v>20009</v>
      </c>
      <c r="E15" s="154" t="s">
        <v>15364</v>
      </c>
      <c r="F15" s="150"/>
      <c r="G15" s="156">
        <v>280</v>
      </c>
      <c r="H15" s="50"/>
      <c r="I15" s="143"/>
      <c r="J15" s="144"/>
      <c r="K15" s="145"/>
      <c r="L15" s="50"/>
      <c r="M15" s="143"/>
      <c r="N15" s="146"/>
      <c r="O15" s="145"/>
      <c r="P15" s="50"/>
      <c r="Q15" s="50"/>
      <c r="R15" s="50"/>
      <c r="S15" s="50"/>
      <c r="T15" s="50"/>
    </row>
    <row r="16">
      <c r="A16" t="s">
        <v>19996</v>
      </c>
      <c r="B16" s="136"/>
      <c r="C16" s="50"/>
      <c r="D16" s="157" t="s">
        <v>20003</v>
      </c>
      <c r="E16" s="158">
        <f>MEDIAN(G14:G15)</f>
        <v>257.5</v>
      </c>
      <c r="F16" s="159" t="e">
        <f>MEDIAN(D13:D14)</f>
        <v>#NUM!</v>
      </c>
      <c r="G16" s="160" t="e">
        <f>MEDIAN(E13:E14)</f>
        <v>#NUM!</v>
      </c>
      <c r="H16" s="50"/>
      <c r="I16" s="143"/>
      <c r="J16" s="144"/>
      <c r="K16" s="145"/>
      <c r="L16" s="50"/>
      <c r="M16" s="143"/>
      <c r="N16" s="146"/>
      <c r="O16" s="145"/>
      <c r="P16" s="50"/>
      <c r="Q16" s="50"/>
      <c r="R16" s="50"/>
      <c r="S16" s="50"/>
      <c r="T16" s="50"/>
    </row>
    <row r="17">
      <c r="A17" t="s">
        <v>19996</v>
      </c>
      <c r="B17" s="136"/>
      <c r="C17" s="135" t="s">
        <v>20010</v>
      </c>
      <c r="D17" s="135"/>
      <c r="E17" s="135"/>
      <c r="F17" s="135"/>
      <c r="G17" s="135"/>
      <c r="H17" s="50"/>
      <c r="I17" s="137">
        <v>46023</v>
      </c>
      <c r="J17" s="138"/>
      <c r="K17" s="145"/>
      <c r="L17" s="50"/>
      <c r="M17" s="143"/>
      <c r="N17" s="146"/>
      <c r="O17" s="145"/>
      <c r="P17" s="50"/>
      <c r="Q17" s="50"/>
      <c r="R17" s="50"/>
      <c r="S17" s="50"/>
      <c r="T17" s="50"/>
    </row>
    <row r="18">
      <c r="A18" t="s">
        <v>19996</v>
      </c>
      <c r="B18" s="136" t="s">
        <v>20011</v>
      </c>
      <c r="C18" s="136" t="s">
        <v>20011</v>
      </c>
      <c r="D18" s="139" t="s">
        <v>20012</v>
      </c>
      <c r="E18" s="140" t="s">
        <v>9591</v>
      </c>
      <c r="F18" s="141"/>
      <c r="G18" s="142">
        <f>E22</f>
        <v>5287</v>
      </c>
      <c r="H18" s="50"/>
      <c r="I18" s="143"/>
      <c r="J18" s="144"/>
      <c r="K18" s="145"/>
      <c r="L18" s="50"/>
      <c r="M18" s="143"/>
      <c r="N18" s="146"/>
      <c r="O18" s="145"/>
      <c r="P18" s="50"/>
      <c r="Q18" s="50"/>
      <c r="R18" s="50"/>
      <c r="S18" s="50"/>
      <c r="T18" s="50"/>
    </row>
    <row r="19">
      <c r="A19" t="s">
        <v>19996</v>
      </c>
      <c r="B19" s="136"/>
      <c r="C19" s="152" t="s">
        <v>20013</v>
      </c>
      <c r="D19" s="153" t="s">
        <v>20014</v>
      </c>
      <c r="E19" s="154" t="s">
        <v>20015</v>
      </c>
      <c r="F19" s="162"/>
      <c r="G19" s="155">
        <v>5290</v>
      </c>
      <c r="H19" s="50"/>
      <c r="I19" s="143"/>
      <c r="J19" s="144"/>
      <c r="K19" s="145"/>
      <c r="L19" s="50"/>
      <c r="M19" s="143"/>
      <c r="N19" s="146"/>
      <c r="O19" s="145"/>
      <c r="P19" s="50"/>
      <c r="Q19" s="50"/>
      <c r="R19" s="50"/>
      <c r="S19" s="50"/>
      <c r="T19" s="50"/>
    </row>
    <row r="20">
      <c r="A20" t="s">
        <v>19996</v>
      </c>
      <c r="B20" s="136"/>
      <c r="C20" s="152" t="s">
        <v>20016</v>
      </c>
      <c r="D20" s="153" t="s">
        <v>20017</v>
      </c>
      <c r="E20" s="154" t="s">
        <v>20015</v>
      </c>
      <c r="F20" s="150"/>
      <c r="G20" s="155">
        <v>4900</v>
      </c>
      <c r="H20" s="50"/>
      <c r="I20" s="137"/>
      <c r="J20" s="144"/>
      <c r="K20" s="145"/>
      <c r="L20" s="50"/>
      <c r="M20" s="143"/>
      <c r="N20" s="146"/>
      <c r="O20" s="145"/>
      <c r="P20" s="50"/>
      <c r="Q20" s="50"/>
      <c r="R20" s="50"/>
      <c r="S20" s="50"/>
      <c r="T20" s="50"/>
    </row>
    <row r="21">
      <c r="A21" t="s">
        <v>19996</v>
      </c>
      <c r="B21" s="136"/>
      <c r="C21" s="152" t="s">
        <v>20018</v>
      </c>
      <c r="D21" s="153" t="s">
        <v>20019</v>
      </c>
      <c r="E21" s="154" t="s">
        <v>20015</v>
      </c>
      <c r="F21" s="150"/>
      <c r="G21" s="155">
        <v>5287</v>
      </c>
      <c r="H21" s="50"/>
      <c r="I21" s="143"/>
      <c r="J21" s="144"/>
      <c r="K21" s="145"/>
      <c r="L21" s="50"/>
      <c r="M21" s="143"/>
      <c r="N21" s="146"/>
      <c r="O21" s="145"/>
      <c r="P21" s="50"/>
      <c r="Q21" s="50"/>
      <c r="R21" s="50"/>
      <c r="S21" s="50"/>
      <c r="T21" s="50"/>
    </row>
    <row r="22" ht="76.5">
      <c r="A22" t="s">
        <v>19996</v>
      </c>
      <c r="B22" s="136"/>
      <c r="C22" s="157" t="s">
        <v>20020</v>
      </c>
      <c r="D22" s="153" t="s">
        <v>20021</v>
      </c>
      <c r="E22" s="158">
        <f>MEDIAN(G19:G21)</f>
        <v>5287</v>
      </c>
      <c r="F22" s="159"/>
      <c r="G22" s="160"/>
      <c r="H22" s="50"/>
      <c r="I22" s="143"/>
      <c r="J22" s="144"/>
      <c r="K22" s="145"/>
      <c r="L22" s="50"/>
      <c r="M22" s="143"/>
      <c r="N22" s="146"/>
      <c r="O22" s="145"/>
      <c r="P22" s="50"/>
      <c r="Q22" s="50"/>
      <c r="R22" s="50"/>
      <c r="S22" s="50"/>
      <c r="T22" s="50"/>
    </row>
    <row r="23">
      <c r="A23" t="s">
        <v>19996</v>
      </c>
      <c r="B23" s="157"/>
      <c r="C23" s="135" t="s">
        <v>20022</v>
      </c>
      <c r="D23" s="135"/>
      <c r="E23" s="135"/>
      <c r="F23" s="135"/>
      <c r="G23" s="135"/>
      <c r="H23" s="50"/>
      <c r="I23" s="137">
        <v>44774</v>
      </c>
      <c r="J23" s="165"/>
      <c r="K23" s="166"/>
      <c r="L23" s="167"/>
      <c r="M23" s="50"/>
      <c r="N23" s="50"/>
      <c r="O23" s="50"/>
      <c r="P23" s="50"/>
      <c r="Q23" s="50"/>
      <c r="R23" s="50"/>
      <c r="S23" s="50"/>
      <c r="T23" s="50"/>
    </row>
    <row r="24">
      <c r="A24" t="s">
        <v>19996</v>
      </c>
      <c r="B24" s="157" t="s">
        <v>20023</v>
      </c>
      <c r="C24" s="157" t="s">
        <v>20023</v>
      </c>
      <c r="D24" s="139" t="s">
        <v>20024</v>
      </c>
      <c r="E24" s="140" t="s">
        <v>15344</v>
      </c>
      <c r="F24" s="141"/>
      <c r="G24" s="142">
        <f>MEDIAN(C29:C30)</f>
        <v>3.5499999999999998</v>
      </c>
      <c r="H24" s="50" t="e">
        <f>MEDIAN(F23:F23)</f>
        <v>#NUM!</v>
      </c>
      <c r="I24" s="143"/>
      <c r="J24" s="165"/>
      <c r="K24" s="166"/>
      <c r="L24" s="167"/>
      <c r="M24" s="50"/>
      <c r="N24" s="50"/>
      <c r="O24" s="50"/>
      <c r="P24" s="50"/>
      <c r="Q24" s="50"/>
      <c r="R24" s="50"/>
      <c r="S24" s="50"/>
      <c r="T24" s="50"/>
    </row>
    <row r="25">
      <c r="A25" t="s">
        <v>19996</v>
      </c>
      <c r="B25" s="157"/>
      <c r="C25" s="168" t="s">
        <v>20025</v>
      </c>
      <c r="D25" s="169" t="s">
        <v>20026</v>
      </c>
      <c r="E25" s="169"/>
      <c r="F25" s="169"/>
      <c r="G25" s="169"/>
      <c r="H25" s="50"/>
      <c r="I25" s="137"/>
      <c r="J25" s="165"/>
      <c r="K25" s="166"/>
      <c r="L25" s="167"/>
      <c r="M25" s="50"/>
      <c r="N25" s="50"/>
      <c r="O25" s="50"/>
      <c r="P25" s="50"/>
      <c r="Q25" s="50"/>
      <c r="R25" s="50"/>
      <c r="S25" s="50"/>
      <c r="T25" s="50"/>
    </row>
    <row r="26">
      <c r="A26" t="s">
        <v>19996</v>
      </c>
      <c r="B26" s="157"/>
      <c r="C26" s="168" t="s">
        <v>20027</v>
      </c>
      <c r="D26" s="170" t="s">
        <v>20028</v>
      </c>
      <c r="E26" s="171"/>
      <c r="F26" s="171"/>
      <c r="G26" s="172"/>
      <c r="H26" s="50"/>
      <c r="I26" s="137"/>
      <c r="J26" s="165"/>
      <c r="K26" s="173">
        <f>273.9/160</f>
        <v>1.71</v>
      </c>
      <c r="L26" s="167"/>
      <c r="M26" s="50"/>
      <c r="N26" s="50"/>
      <c r="O26" s="50"/>
      <c r="P26" s="50"/>
      <c r="Q26" s="50"/>
      <c r="R26" s="50"/>
      <c r="S26" s="50"/>
      <c r="T26" s="50"/>
    </row>
    <row r="27">
      <c r="A27" t="s">
        <v>19996</v>
      </c>
      <c r="B27" s="157"/>
      <c r="C27" s="174">
        <f>688/480</f>
        <v>1.4299999999999999</v>
      </c>
      <c r="D27" s="170" t="s">
        <v>20029</v>
      </c>
      <c r="E27" s="171"/>
      <c r="F27" s="171"/>
      <c r="G27" s="172"/>
      <c r="H27" s="50"/>
      <c r="I27" s="137"/>
      <c r="J27" s="165"/>
      <c r="K27" s="166"/>
      <c r="L27" s="167"/>
      <c r="M27" s="50"/>
      <c r="N27" s="50"/>
      <c r="O27" s="50"/>
      <c r="P27" s="50"/>
      <c r="Q27" s="50"/>
      <c r="R27" s="50"/>
      <c r="S27" s="50"/>
      <c r="T27" s="50"/>
    </row>
    <row r="28">
      <c r="A28" t="s">
        <v>19996</v>
      </c>
      <c r="B28" s="157"/>
      <c r="C28" s="175" t="s">
        <v>20030</v>
      </c>
      <c r="D28" s="175"/>
      <c r="E28" s="154"/>
      <c r="F28" s="162"/>
      <c r="G28" s="155"/>
      <c r="H28" s="50"/>
      <c r="I28" s="143"/>
      <c r="J28" s="165"/>
      <c r="K28" s="166"/>
      <c r="L28" s="167"/>
      <c r="M28" s="50"/>
      <c r="N28" s="50"/>
      <c r="O28" s="50"/>
      <c r="P28" s="50"/>
      <c r="Q28" s="50"/>
      <c r="R28" s="50"/>
      <c r="S28" s="50"/>
      <c r="T28" s="50"/>
    </row>
    <row r="29">
      <c r="A29" t="s">
        <v>19996</v>
      </c>
      <c r="B29" s="157"/>
      <c r="C29" s="152">
        <f>2.53+1.43</f>
        <v>3.96</v>
      </c>
      <c r="D29" s="153" t="s">
        <v>20031</v>
      </c>
      <c r="E29" s="154"/>
      <c r="F29" s="162"/>
      <c r="G29" s="155"/>
      <c r="H29" s="50"/>
      <c r="I29" s="143"/>
      <c r="J29" s="165"/>
      <c r="K29" s="166"/>
      <c r="L29" s="167"/>
      <c r="M29" s="50"/>
      <c r="N29" s="50"/>
      <c r="O29" s="50"/>
      <c r="P29" s="50"/>
      <c r="Q29" s="50"/>
      <c r="R29" s="50"/>
      <c r="S29" s="50"/>
      <c r="T29" s="50"/>
    </row>
    <row r="30">
      <c r="A30" t="s">
        <v>19996</v>
      </c>
      <c r="B30" s="157"/>
      <c r="C30" s="152">
        <f>1.71+1.43</f>
        <v>3.1400000000000001</v>
      </c>
      <c r="D30" s="153" t="s">
        <v>20032</v>
      </c>
      <c r="E30" s="154"/>
      <c r="F30" s="162"/>
      <c r="G30" s="155"/>
      <c r="H30" s="50"/>
      <c r="I30" s="143"/>
      <c r="J30" s="165"/>
      <c r="K30" s="166"/>
      <c r="L30" s="167"/>
      <c r="M30" s="50"/>
      <c r="N30" s="50"/>
      <c r="O30" s="50"/>
      <c r="P30" s="50"/>
      <c r="Q30" s="50"/>
      <c r="R30" s="50"/>
      <c r="S30" s="50"/>
      <c r="T30" s="50"/>
    </row>
    <row r="31">
      <c r="A31" t="s">
        <v>19996</v>
      </c>
      <c r="B31" s="157"/>
      <c r="C31" s="157" t="s">
        <v>20033</v>
      </c>
      <c r="D31" s="139" t="s">
        <v>20034</v>
      </c>
      <c r="E31" s="158">
        <f>G24</f>
        <v>3.5499999999999998</v>
      </c>
      <c r="F31" s="159"/>
      <c r="G31" s="160"/>
      <c r="H31" s="50"/>
      <c r="I31" s="143"/>
      <c r="J31" s="165"/>
      <c r="K31" s="166"/>
      <c r="L31" s="167"/>
      <c r="M31" s="50"/>
      <c r="N31" s="50"/>
      <c r="O31" s="50"/>
      <c r="P31" s="50"/>
      <c r="Q31" s="50"/>
      <c r="R31" s="50"/>
      <c r="S31" s="50"/>
      <c r="T31" s="50"/>
    </row>
    <row r="32">
      <c r="A32" t="s">
        <v>19996</v>
      </c>
      <c r="B32" s="136"/>
      <c r="C32" s="135" t="s">
        <v>20035</v>
      </c>
      <c r="D32" s="135"/>
      <c r="E32" s="135"/>
      <c r="F32" s="135"/>
      <c r="G32" s="135"/>
      <c r="H32" s="50"/>
      <c r="I32" s="143"/>
      <c r="J32" s="165"/>
      <c r="K32" s="166"/>
      <c r="L32" s="167"/>
      <c r="M32" s="50"/>
      <c r="N32" s="50"/>
      <c r="O32" s="50"/>
      <c r="P32" s="50"/>
      <c r="Q32" s="50"/>
      <c r="R32" s="50"/>
      <c r="S32" s="50"/>
      <c r="T32" s="50"/>
    </row>
    <row r="33">
      <c r="A33" t="s">
        <v>19996</v>
      </c>
      <c r="B33" s="136" t="s">
        <v>20036</v>
      </c>
      <c r="C33" s="136" t="s">
        <v>20036</v>
      </c>
      <c r="D33" s="139" t="s">
        <v>20037</v>
      </c>
      <c r="E33" s="140" t="s">
        <v>20038</v>
      </c>
      <c r="F33" s="141"/>
      <c r="G33" s="142">
        <f>E36</f>
        <v>162.38999999999999</v>
      </c>
      <c r="H33" s="50"/>
      <c r="I33" s="143"/>
      <c r="J33" s="165"/>
      <c r="K33" s="166"/>
      <c r="L33" s="167"/>
      <c r="M33" s="50"/>
      <c r="N33" s="50"/>
      <c r="O33" s="50"/>
      <c r="P33" s="50"/>
      <c r="Q33" s="50"/>
      <c r="R33" s="50"/>
      <c r="S33" s="50"/>
      <c r="T33" s="50"/>
    </row>
    <row r="34" ht="25.5">
      <c r="A34" t="s">
        <v>19996</v>
      </c>
      <c r="B34" s="136"/>
      <c r="C34" s="152" t="s">
        <v>20039</v>
      </c>
      <c r="D34" s="153" t="s">
        <v>20040</v>
      </c>
      <c r="E34" s="154" t="s">
        <v>20038</v>
      </c>
      <c r="F34" s="162"/>
      <c r="G34" s="155">
        <v>117.48999999999999</v>
      </c>
      <c r="H34" s="50"/>
      <c r="I34" s="143" t="s">
        <v>20041</v>
      </c>
      <c r="J34" s="165"/>
      <c r="K34" s="143"/>
      <c r="L34" s="143" t="s">
        <v>20042</v>
      </c>
      <c r="M34" s="50"/>
      <c r="N34" s="50"/>
      <c r="O34" s="50"/>
      <c r="P34" s="50"/>
      <c r="Q34" s="50"/>
      <c r="R34" s="50"/>
      <c r="S34" s="143" t="s">
        <v>20043</v>
      </c>
      <c r="T34" s="50"/>
    </row>
    <row r="35" ht="25.5">
      <c r="A35" t="s">
        <v>19996</v>
      </c>
      <c r="B35" s="136"/>
      <c r="C35" s="152" t="s">
        <v>20044</v>
      </c>
      <c r="D35" s="153" t="s">
        <v>20040</v>
      </c>
      <c r="E35" s="154" t="s">
        <v>20038</v>
      </c>
      <c r="F35" s="150"/>
      <c r="G35" s="155">
        <v>207.28</v>
      </c>
      <c r="H35" s="50"/>
      <c r="I35" s="143" t="s">
        <v>20045</v>
      </c>
      <c r="J35" s="165"/>
      <c r="K35" s="50"/>
      <c r="L35" s="143" t="s">
        <v>20046</v>
      </c>
      <c r="M35" s="50"/>
      <c r="N35" s="50"/>
      <c r="O35" s="50"/>
      <c r="P35" s="50"/>
      <c r="Q35" s="50"/>
      <c r="R35" s="50"/>
      <c r="S35" s="143" t="s">
        <v>20047</v>
      </c>
      <c r="T35" s="50"/>
    </row>
    <row r="36">
      <c r="A36" t="s">
        <v>19996</v>
      </c>
      <c r="B36" s="136"/>
      <c r="C36" s="157" t="s">
        <v>20048</v>
      </c>
      <c r="D36" s="139" t="s">
        <v>20049</v>
      </c>
      <c r="E36" s="158">
        <f>MEDIAN(G34:G35)</f>
        <v>162.38999999999999</v>
      </c>
      <c r="F36" s="159"/>
      <c r="G36" s="160"/>
      <c r="H36" s="50"/>
      <c r="I36" s="50"/>
      <c r="J36" s="165"/>
      <c r="K36" s="50"/>
      <c r="L36" s="50"/>
      <c r="M36" s="50"/>
      <c r="N36" s="50"/>
      <c r="O36" s="50"/>
      <c r="P36" s="50"/>
      <c r="Q36" s="50"/>
      <c r="R36" s="50"/>
      <c r="S36" s="50"/>
      <c r="T36" s="50"/>
    </row>
    <row r="37">
      <c r="A37" t="s">
        <v>20050</v>
      </c>
      <c r="C37" s="135" t="s">
        <v>20051</v>
      </c>
      <c r="D37" s="135"/>
      <c r="E37" s="135"/>
      <c r="F37" s="135"/>
      <c r="G37" s="135"/>
      <c r="H37" s="50"/>
      <c r="I37" s="143"/>
      <c r="J37" s="165"/>
      <c r="K37" s="143"/>
      <c r="L37" s="143"/>
      <c r="M37" s="50"/>
      <c r="N37" s="50"/>
      <c r="O37" s="50"/>
      <c r="P37" s="50"/>
      <c r="Q37" s="50"/>
      <c r="R37" s="50"/>
      <c r="S37" s="143"/>
      <c r="T37" s="50"/>
    </row>
    <row r="38" ht="25.5">
      <c r="A38" t="s">
        <v>20050</v>
      </c>
      <c r="B38" s="157" t="s">
        <v>20052</v>
      </c>
      <c r="C38" s="157" t="s">
        <v>20052</v>
      </c>
      <c r="D38" s="153" t="s">
        <v>20053</v>
      </c>
      <c r="E38" s="154" t="s">
        <v>15344</v>
      </c>
      <c r="F38" s="150"/>
      <c r="G38" s="176">
        <f>485.78/6</f>
        <v>80.959999999999994</v>
      </c>
      <c r="H38" s="50"/>
      <c r="I38" s="143" t="s">
        <v>20054</v>
      </c>
      <c r="J38" s="165"/>
      <c r="K38" s="50"/>
      <c r="L38" s="177" t="s">
        <v>20055</v>
      </c>
      <c r="M38" s="177"/>
      <c r="N38" s="177"/>
      <c r="O38" s="177"/>
      <c r="P38" s="177"/>
      <c r="Q38" s="177"/>
      <c r="R38" s="177"/>
      <c r="S38" s="177"/>
      <c r="T38" s="50"/>
    </row>
    <row r="39">
      <c r="A39" t="s">
        <v>20056</v>
      </c>
      <c r="B39" s="157"/>
      <c r="C39" s="135" t="s">
        <v>20057</v>
      </c>
      <c r="D39" s="135"/>
      <c r="E39" s="135"/>
      <c r="F39" s="135"/>
      <c r="G39" s="135"/>
      <c r="H39" s="50"/>
      <c r="I39" s="137">
        <v>46113</v>
      </c>
      <c r="J39" s="165"/>
      <c r="K39" s="50"/>
      <c r="L39" s="50"/>
      <c r="M39" s="50"/>
      <c r="N39" s="50"/>
      <c r="O39" s="50"/>
      <c r="P39" s="50"/>
      <c r="Q39" s="50"/>
      <c r="R39" s="50"/>
      <c r="S39" s="50"/>
      <c r="T39" s="50"/>
    </row>
    <row r="40">
      <c r="A40" t="s">
        <v>20056</v>
      </c>
      <c r="B40" s="157" t="s">
        <v>20058</v>
      </c>
      <c r="C40" s="157" t="s">
        <v>20058</v>
      </c>
      <c r="D40" s="178" t="s">
        <v>20059</v>
      </c>
      <c r="E40" s="140" t="s">
        <v>20038</v>
      </c>
      <c r="F40" s="141"/>
      <c r="G40" s="142">
        <f>E45</f>
        <v>4.2000000000000002</v>
      </c>
      <c r="H40" s="50"/>
      <c r="I40" s="50"/>
      <c r="J40" s="165"/>
      <c r="K40" s="50"/>
      <c r="L40" s="50"/>
      <c r="M40" s="50"/>
      <c r="N40" s="50"/>
      <c r="O40" s="50"/>
      <c r="P40" s="50"/>
      <c r="Q40" s="50"/>
      <c r="R40" s="50"/>
      <c r="S40" s="50"/>
      <c r="T40" s="50"/>
    </row>
    <row r="41">
      <c r="A41" t="s">
        <v>20056</v>
      </c>
      <c r="B41" s="157"/>
      <c r="C41" s="179" t="s">
        <v>20060</v>
      </c>
      <c r="D41" s="180" t="s">
        <v>20061</v>
      </c>
      <c r="E41" s="154" t="s">
        <v>20038</v>
      </c>
      <c r="F41" s="162"/>
      <c r="G41" s="155">
        <v>4</v>
      </c>
      <c r="H41" s="50"/>
      <c r="I41" s="143"/>
      <c r="J41" s="144"/>
      <c r="K41" s="145"/>
      <c r="L41" s="50"/>
      <c r="M41" s="143"/>
      <c r="N41" s="146"/>
      <c r="O41" s="145"/>
      <c r="P41" s="50"/>
      <c r="Q41" s="50"/>
      <c r="R41" s="50"/>
      <c r="S41" s="50"/>
      <c r="T41" s="181"/>
    </row>
    <row r="42">
      <c r="A42" t="s">
        <v>20056</v>
      </c>
      <c r="B42" s="157"/>
      <c r="C42" s="179" t="s">
        <v>20062</v>
      </c>
      <c r="D42" s="180" t="s">
        <v>20061</v>
      </c>
      <c r="E42" s="154" t="s">
        <v>20038</v>
      </c>
      <c r="F42" s="150"/>
      <c r="G42" s="155">
        <v>6</v>
      </c>
      <c r="H42" s="50"/>
      <c r="I42" s="45"/>
      <c r="J42" s="50"/>
      <c r="K42" s="47"/>
      <c r="L42" s="50"/>
      <c r="M42" s="143"/>
      <c r="N42" s="146"/>
      <c r="O42" s="145"/>
      <c r="P42" s="50"/>
      <c r="Q42" s="50"/>
      <c r="R42" s="50"/>
      <c r="S42" s="50"/>
      <c r="T42" s="50"/>
    </row>
    <row r="43">
      <c r="A43" t="s">
        <v>20056</v>
      </c>
      <c r="B43" s="157"/>
      <c r="C43" s="70" t="s">
        <v>20063</v>
      </c>
      <c r="D43" s="180" t="s">
        <v>20061</v>
      </c>
      <c r="E43" s="154" t="s">
        <v>20038</v>
      </c>
      <c r="F43" s="150"/>
      <c r="G43" s="155">
        <v>4.2000000000000002</v>
      </c>
      <c r="H43" s="50"/>
      <c r="I43" s="137"/>
      <c r="J43" s="144"/>
      <c r="K43" s="145"/>
      <c r="L43" s="50"/>
      <c r="M43" s="143"/>
      <c r="N43" s="146"/>
      <c r="O43" s="145"/>
      <c r="P43" s="50"/>
      <c r="Q43" s="50"/>
      <c r="R43" s="50"/>
      <c r="S43" s="50"/>
      <c r="T43" s="50"/>
    </row>
    <row r="44">
      <c r="A44" t="s">
        <v>20056</v>
      </c>
      <c r="B44" s="157"/>
      <c r="C44" s="182"/>
      <c r="D44" s="183"/>
      <c r="E44" s="154"/>
      <c r="F44" s="150"/>
      <c r="G44" s="155"/>
      <c r="H44" s="50"/>
      <c r="I44" s="143"/>
      <c r="J44" s="144"/>
      <c r="K44" s="145"/>
      <c r="L44" s="50"/>
      <c r="M44" s="143"/>
      <c r="N44" s="146"/>
      <c r="O44" s="145"/>
      <c r="P44" s="50"/>
      <c r="Q44" s="50"/>
      <c r="R44" s="50"/>
      <c r="S44" s="50"/>
      <c r="T44" s="50"/>
    </row>
    <row r="45" ht="76.5">
      <c r="A45" t="s">
        <v>20056</v>
      </c>
      <c r="B45" s="157"/>
      <c r="C45" s="157" t="s">
        <v>20020</v>
      </c>
      <c r="D45" s="183" t="s">
        <v>20021</v>
      </c>
      <c r="E45" s="142">
        <f>MEDIAN(G41:G43)</f>
        <v>4.2000000000000002</v>
      </c>
      <c r="F45" s="140"/>
      <c r="G45" s="140"/>
      <c r="H45" s="50"/>
      <c r="I45" s="143"/>
      <c r="J45" s="144"/>
      <c r="K45" s="145"/>
      <c r="L45" s="50"/>
      <c r="M45" s="143"/>
      <c r="N45" s="146"/>
      <c r="O45" s="145"/>
      <c r="P45" s="50"/>
      <c r="Q45" s="50"/>
      <c r="R45" s="50"/>
      <c r="S45" s="50"/>
      <c r="T45" s="50"/>
    </row>
    <row r="46">
      <c r="A46" t="s">
        <v>19996</v>
      </c>
      <c r="B46" s="157"/>
      <c r="C46" s="135" t="s">
        <v>20064</v>
      </c>
      <c r="D46" s="135"/>
      <c r="E46" s="135"/>
      <c r="F46" s="135"/>
      <c r="G46" s="135"/>
      <c r="H46" s="50"/>
      <c r="I46" s="137">
        <v>46113</v>
      </c>
      <c r="J46" s="138"/>
      <c r="K46" s="145"/>
      <c r="L46" s="50"/>
      <c r="M46" s="143"/>
      <c r="N46" s="146"/>
      <c r="O46" s="145"/>
      <c r="P46" s="50"/>
      <c r="Q46" s="50"/>
      <c r="R46" s="50"/>
      <c r="S46" s="50"/>
      <c r="T46" s="50"/>
    </row>
    <row r="47">
      <c r="A47" t="s">
        <v>19996</v>
      </c>
      <c r="B47" s="157" t="s">
        <v>20065</v>
      </c>
      <c r="C47" s="157" t="s">
        <v>20065</v>
      </c>
      <c r="D47" s="139" t="s">
        <v>20066</v>
      </c>
      <c r="E47" s="140" t="s">
        <v>15370</v>
      </c>
      <c r="F47" s="141"/>
      <c r="G47" s="142">
        <f>E52</f>
        <v>4.2400000000000002</v>
      </c>
      <c r="H47" s="50"/>
      <c r="I47" s="143"/>
      <c r="J47" s="144"/>
      <c r="K47" s="145"/>
      <c r="L47" s="50"/>
      <c r="M47" s="143"/>
      <c r="N47" s="146"/>
      <c r="O47" s="145"/>
      <c r="P47" s="50"/>
      <c r="Q47" s="50"/>
      <c r="R47" s="50"/>
      <c r="S47" s="50"/>
      <c r="T47" s="50"/>
    </row>
    <row r="48">
      <c r="A48" t="s">
        <v>19996</v>
      </c>
      <c r="B48" s="157"/>
      <c r="C48" s="152" t="s">
        <v>20013</v>
      </c>
      <c r="D48" s="153" t="s">
        <v>20067</v>
      </c>
      <c r="E48" s="154" t="s">
        <v>15370</v>
      </c>
      <c r="F48" s="162"/>
      <c r="G48" s="155">
        <f>4070/1000</f>
        <v>4.0700000000000003</v>
      </c>
      <c r="H48" s="50"/>
      <c r="I48" s="143"/>
      <c r="J48" s="144"/>
      <c r="K48" s="145"/>
      <c r="L48" s="50"/>
      <c r="M48" s="143"/>
      <c r="N48" s="146"/>
      <c r="O48" s="145"/>
      <c r="P48" s="50"/>
      <c r="Q48" s="50"/>
      <c r="R48" s="50"/>
      <c r="S48" s="50"/>
      <c r="T48" s="50"/>
    </row>
    <row r="49">
      <c r="A49" t="s">
        <v>19996</v>
      </c>
      <c r="B49" s="157"/>
      <c r="C49" s="152" t="s">
        <v>20016</v>
      </c>
      <c r="D49" s="153" t="s">
        <v>20068</v>
      </c>
      <c r="E49" s="154" t="s">
        <v>15370</v>
      </c>
      <c r="F49" s="150"/>
      <c r="G49" s="155">
        <f>4240/1000</f>
        <v>4.2400000000000002</v>
      </c>
      <c r="H49" s="50"/>
      <c r="I49" s="137"/>
      <c r="J49" s="144"/>
      <c r="K49" s="145"/>
      <c r="L49" s="50"/>
      <c r="M49" s="143"/>
      <c r="N49" s="146"/>
      <c r="O49" s="145"/>
      <c r="P49" s="50"/>
      <c r="Q49" s="50"/>
      <c r="R49" s="50"/>
      <c r="S49" s="50"/>
      <c r="T49" s="50"/>
    </row>
    <row r="50">
      <c r="A50" t="s">
        <v>19996</v>
      </c>
      <c r="B50" s="157"/>
      <c r="C50" s="152" t="s">
        <v>20018</v>
      </c>
      <c r="D50" s="153" t="s">
        <v>20069</v>
      </c>
      <c r="E50" s="154" t="s">
        <v>15370</v>
      </c>
      <c r="F50" s="150"/>
      <c r="G50" s="155">
        <f>4838/1000</f>
        <v>4.8399999999999999</v>
      </c>
      <c r="H50" s="50"/>
      <c r="I50" s="143"/>
      <c r="J50" s="144"/>
      <c r="K50" s="145"/>
      <c r="L50" s="50"/>
      <c r="M50" s="143"/>
      <c r="N50" s="146"/>
      <c r="O50" s="145"/>
      <c r="P50" s="50"/>
      <c r="Q50" s="50"/>
      <c r="R50" s="50"/>
      <c r="S50" s="50"/>
      <c r="T50" s="50"/>
    </row>
    <row r="51">
      <c r="A51" t="s">
        <v>19996</v>
      </c>
      <c r="B51" s="157"/>
      <c r="C51" s="152"/>
      <c r="D51" s="153"/>
      <c r="E51" s="154"/>
      <c r="F51" s="150"/>
      <c r="G51" s="155"/>
      <c r="H51" s="50"/>
      <c r="I51" s="143"/>
      <c r="J51" s="144"/>
      <c r="K51" s="145"/>
      <c r="L51" s="50"/>
      <c r="M51" s="143"/>
      <c r="N51" s="146"/>
      <c r="O51" s="145"/>
      <c r="P51" s="50"/>
      <c r="Q51" s="50"/>
      <c r="R51" s="50"/>
      <c r="S51" s="50"/>
      <c r="T51" s="50"/>
    </row>
    <row r="52" ht="76.5">
      <c r="A52" t="s">
        <v>19996</v>
      </c>
      <c r="B52" s="157"/>
      <c r="C52" s="157" t="s">
        <v>20020</v>
      </c>
      <c r="D52" s="153" t="s">
        <v>20021</v>
      </c>
      <c r="E52" s="158">
        <f>MEDIAN(G48:G50)</f>
        <v>4.2400000000000002</v>
      </c>
      <c r="F52" s="159"/>
      <c r="G52" s="160"/>
      <c r="H52" s="50"/>
      <c r="I52" s="143"/>
      <c r="J52" s="144"/>
      <c r="K52" s="145"/>
      <c r="L52" s="50"/>
      <c r="M52" s="143"/>
      <c r="N52" s="146"/>
      <c r="O52" s="145"/>
      <c r="P52" s="50"/>
      <c r="Q52" s="50"/>
      <c r="R52" s="50"/>
      <c r="S52" s="50"/>
      <c r="T52" s="50"/>
    </row>
    <row r="53">
      <c r="A53" t="s">
        <v>19996</v>
      </c>
      <c r="B53" s="136"/>
      <c r="C53" s="135" t="s">
        <v>20070</v>
      </c>
      <c r="D53" s="135"/>
      <c r="E53" s="135"/>
      <c r="F53" s="135"/>
      <c r="G53" s="135"/>
      <c r="H53" s="50"/>
      <c r="I53" s="137">
        <v>46113</v>
      </c>
      <c r="J53" s="138"/>
      <c r="K53" s="145"/>
      <c r="L53" s="50"/>
      <c r="M53" s="143"/>
      <c r="N53" s="146"/>
      <c r="O53" s="145"/>
      <c r="P53" s="50"/>
      <c r="Q53" s="50"/>
      <c r="R53" s="50"/>
      <c r="S53" s="50"/>
      <c r="T53" s="50"/>
    </row>
    <row r="54">
      <c r="A54" t="s">
        <v>19996</v>
      </c>
      <c r="B54" s="136" t="s">
        <v>20071</v>
      </c>
      <c r="C54" s="136" t="s">
        <v>20071</v>
      </c>
      <c r="D54" s="139" t="s">
        <v>20072</v>
      </c>
      <c r="E54" s="140" t="s">
        <v>15370</v>
      </c>
      <c r="F54" s="141"/>
      <c r="G54" s="142">
        <f>E59</f>
        <v>4.29</v>
      </c>
      <c r="H54" s="50"/>
      <c r="I54" s="143"/>
      <c r="J54" s="144"/>
      <c r="K54" s="145"/>
      <c r="L54" s="50"/>
      <c r="M54" s="143"/>
      <c r="N54" s="146"/>
      <c r="O54" s="145"/>
      <c r="P54" s="50"/>
      <c r="Q54" s="50"/>
      <c r="R54" s="50"/>
      <c r="S54" s="50"/>
      <c r="T54" s="50"/>
    </row>
    <row r="55">
      <c r="A55" t="s">
        <v>19996</v>
      </c>
      <c r="B55" s="136"/>
      <c r="C55" s="152" t="s">
        <v>20013</v>
      </c>
      <c r="D55" s="153" t="s">
        <v>20072</v>
      </c>
      <c r="E55" s="154" t="s">
        <v>15370</v>
      </c>
      <c r="F55" s="162"/>
      <c r="G55" s="155">
        <f>4690/1000</f>
        <v>4.6900000000000004</v>
      </c>
      <c r="H55" s="50"/>
      <c r="I55" s="143"/>
      <c r="J55" s="144"/>
      <c r="K55" s="145"/>
      <c r="L55" s="50"/>
      <c r="M55" s="143"/>
      <c r="N55" s="146"/>
      <c r="O55" s="145"/>
      <c r="P55" s="50"/>
      <c r="Q55" s="50"/>
      <c r="R55" s="50"/>
      <c r="S55" s="50"/>
      <c r="T55" s="50"/>
    </row>
    <row r="56">
      <c r="A56" t="s">
        <v>19996</v>
      </c>
      <c r="B56" s="136"/>
      <c r="C56" s="152" t="s">
        <v>20016</v>
      </c>
      <c r="D56" s="153" t="s">
        <v>20072</v>
      </c>
      <c r="E56" s="154" t="s">
        <v>15370</v>
      </c>
      <c r="F56" s="150"/>
      <c r="G56" s="155">
        <f>4160/1000</f>
        <v>4.1600000000000001</v>
      </c>
      <c r="H56" s="50"/>
      <c r="I56" s="137"/>
      <c r="J56" s="144"/>
      <c r="K56" s="145"/>
      <c r="L56" s="50"/>
      <c r="M56" s="143"/>
      <c r="N56" s="146"/>
      <c r="O56" s="145"/>
      <c r="P56" s="50"/>
      <c r="Q56" s="50"/>
      <c r="R56" s="50"/>
      <c r="S56" s="50"/>
      <c r="T56" s="50"/>
    </row>
    <row r="57">
      <c r="A57" t="s">
        <v>19996</v>
      </c>
      <c r="B57" s="136"/>
      <c r="C57" s="152" t="s">
        <v>20018</v>
      </c>
      <c r="D57" s="153" t="s">
        <v>20072</v>
      </c>
      <c r="E57" s="154" t="s">
        <v>15370</v>
      </c>
      <c r="F57" s="150"/>
      <c r="G57" s="155">
        <f>4292/1000</f>
        <v>4.29</v>
      </c>
      <c r="H57" s="50"/>
      <c r="I57" s="143"/>
      <c r="J57" s="144"/>
      <c r="K57" s="145"/>
      <c r="L57" s="50"/>
      <c r="M57" s="143"/>
      <c r="N57" s="146"/>
      <c r="O57" s="145"/>
      <c r="P57" s="50"/>
      <c r="Q57" s="50"/>
      <c r="R57" s="50"/>
      <c r="S57" s="50"/>
      <c r="T57" s="50"/>
    </row>
    <row r="58">
      <c r="A58" t="s">
        <v>19996</v>
      </c>
      <c r="B58" s="136"/>
      <c r="C58" s="152"/>
      <c r="D58" s="153"/>
      <c r="E58" s="154"/>
      <c r="F58" s="150"/>
      <c r="G58" s="155"/>
      <c r="H58" s="50"/>
      <c r="I58" s="143"/>
      <c r="J58" s="144"/>
      <c r="K58" s="145"/>
      <c r="L58" s="50"/>
      <c r="M58" s="143"/>
      <c r="N58" s="146"/>
      <c r="O58" s="145"/>
      <c r="P58" s="50"/>
      <c r="Q58" s="50"/>
      <c r="R58" s="50"/>
      <c r="S58" s="50"/>
      <c r="T58" s="50"/>
    </row>
    <row r="59" ht="76.5">
      <c r="A59" t="s">
        <v>19996</v>
      </c>
      <c r="B59" s="136"/>
      <c r="C59" s="157" t="s">
        <v>20020</v>
      </c>
      <c r="D59" s="153" t="s">
        <v>20021</v>
      </c>
      <c r="E59" s="158">
        <f>MEDIAN(G55:G57)</f>
        <v>4.29</v>
      </c>
      <c r="F59" s="159"/>
      <c r="G59" s="160"/>
      <c r="H59" s="50"/>
      <c r="I59" s="143"/>
      <c r="J59" s="144"/>
      <c r="K59" s="145"/>
      <c r="L59" s="50"/>
      <c r="M59" s="143"/>
      <c r="N59" s="146"/>
      <c r="O59" s="145"/>
      <c r="P59" s="50"/>
      <c r="Q59" s="50"/>
      <c r="R59" s="50"/>
      <c r="S59" s="50"/>
      <c r="T59" s="50"/>
    </row>
    <row r="60">
      <c r="A60" t="s">
        <v>20050</v>
      </c>
      <c r="B60" s="184"/>
      <c r="C60" s="185" t="s">
        <v>20073</v>
      </c>
      <c r="D60" s="185"/>
      <c r="E60" s="185"/>
      <c r="F60" s="185"/>
      <c r="G60" s="185"/>
      <c r="H60" s="50"/>
      <c r="I60" s="143"/>
      <c r="J60" s="144"/>
      <c r="K60" s="145"/>
      <c r="L60" s="50"/>
      <c r="M60" s="143"/>
      <c r="N60" s="146"/>
      <c r="O60" s="145"/>
      <c r="P60" s="50"/>
      <c r="Q60" s="50"/>
      <c r="R60" s="50"/>
      <c r="S60" s="50"/>
      <c r="T60" s="50"/>
    </row>
    <row r="61" ht="25.5">
      <c r="A61" t="s">
        <v>20050</v>
      </c>
      <c r="B61" s="184" t="s">
        <v>20074</v>
      </c>
      <c r="C61" s="184" t="s">
        <v>20074</v>
      </c>
      <c r="D61" s="153" t="s">
        <v>20075</v>
      </c>
      <c r="E61" s="154" t="s">
        <v>15344</v>
      </c>
      <c r="F61" s="150"/>
      <c r="G61" s="176">
        <f>1639.52/6</f>
        <v>273.25</v>
      </c>
      <c r="H61" s="50"/>
      <c r="I61" s="143" t="s">
        <v>20054</v>
      </c>
      <c r="J61" s="144"/>
      <c r="K61" s="145"/>
      <c r="L61" s="177" t="s">
        <v>20076</v>
      </c>
      <c r="M61" s="177"/>
      <c r="N61" s="177"/>
      <c r="O61" s="177"/>
      <c r="P61" s="177"/>
      <c r="Q61" s="177"/>
      <c r="R61" s="177"/>
      <c r="S61" s="177"/>
      <c r="T61" s="50"/>
    </row>
    <row r="62">
      <c r="A62" t="s">
        <v>20050</v>
      </c>
      <c r="B62" s="186"/>
      <c r="C62" s="135" t="s">
        <v>20077</v>
      </c>
      <c r="D62" s="135"/>
      <c r="E62" s="135"/>
      <c r="F62" s="135"/>
      <c r="G62" s="135"/>
      <c r="H62" s="50"/>
      <c r="I62" s="143"/>
      <c r="J62" s="144"/>
      <c r="K62" s="145"/>
      <c r="L62" s="50"/>
      <c r="M62" s="143"/>
      <c r="N62" s="146"/>
      <c r="O62" s="145"/>
      <c r="P62" s="50"/>
      <c r="Q62" s="50"/>
      <c r="R62" s="50"/>
      <c r="S62" s="50"/>
      <c r="T62" s="50"/>
    </row>
    <row r="63">
      <c r="A63" t="s">
        <v>20050</v>
      </c>
      <c r="B63" s="186" t="s">
        <v>20078</v>
      </c>
      <c r="C63" s="186" t="s">
        <v>20078</v>
      </c>
      <c r="D63" s="139" t="s">
        <v>20079</v>
      </c>
      <c r="E63" s="140" t="s">
        <v>15344</v>
      </c>
      <c r="F63" s="141"/>
      <c r="G63" s="142">
        <f>G64</f>
        <v>971.62</v>
      </c>
      <c r="H63" s="50"/>
      <c r="I63" s="137">
        <v>44958</v>
      </c>
      <c r="J63" s="144"/>
      <c r="K63" s="145"/>
      <c r="L63" s="50"/>
      <c r="M63" s="143"/>
      <c r="N63" s="146"/>
      <c r="O63" s="145"/>
      <c r="P63" s="50"/>
      <c r="Q63" s="50"/>
      <c r="R63" s="50"/>
      <c r="S63" s="50"/>
      <c r="T63" s="50"/>
    </row>
    <row r="64">
      <c r="A64" t="s">
        <v>20050</v>
      </c>
      <c r="B64" s="186"/>
      <c r="C64" s="152" t="s">
        <v>20080</v>
      </c>
      <c r="D64" s="153" t="s">
        <v>20079</v>
      </c>
      <c r="E64" s="154" t="s">
        <v>15344</v>
      </c>
      <c r="F64" s="162"/>
      <c r="G64" s="155">
        <f>2234.72/2.3</f>
        <v>971.62</v>
      </c>
      <c r="H64" s="50"/>
      <c r="I64" s="143" t="s">
        <v>20081</v>
      </c>
      <c r="J64" s="144"/>
      <c r="K64" s="145"/>
      <c r="L64" s="50"/>
      <c r="M64" s="143"/>
      <c r="N64" s="146"/>
      <c r="O64" s="145"/>
      <c r="P64" s="50"/>
      <c r="Q64" s="50"/>
      <c r="R64" s="50"/>
      <c r="S64" s="50"/>
      <c r="T64" s="50"/>
    </row>
    <row r="65">
      <c r="A65" t="s">
        <v>20050</v>
      </c>
      <c r="B65" s="186" t="s">
        <v>20082</v>
      </c>
      <c r="C65" s="186" t="s">
        <v>20082</v>
      </c>
      <c r="D65" s="139" t="s">
        <v>20083</v>
      </c>
      <c r="E65" s="140" t="s">
        <v>15344</v>
      </c>
      <c r="F65" s="162"/>
      <c r="G65" s="142">
        <f>G66</f>
        <v>618.39999999999998</v>
      </c>
      <c r="H65" s="50"/>
      <c r="I65" s="143"/>
      <c r="J65" s="144"/>
      <c r="K65" s="145"/>
      <c r="L65" s="50"/>
      <c r="M65" s="143"/>
      <c r="N65" s="146"/>
      <c r="O65" s="145"/>
      <c r="P65" s="50"/>
      <c r="Q65" s="50"/>
      <c r="R65" s="50"/>
      <c r="S65" s="50"/>
      <c r="T65" s="50"/>
    </row>
    <row r="66">
      <c r="A66" t="s">
        <v>20050</v>
      </c>
      <c r="B66" s="186"/>
      <c r="C66" s="152" t="s">
        <v>20080</v>
      </c>
      <c r="D66" s="153" t="s">
        <v>20083</v>
      </c>
      <c r="E66" s="154" t="s">
        <v>15344</v>
      </c>
      <c r="F66" s="150"/>
      <c r="G66" s="155">
        <f>1422.32/2.3</f>
        <v>618.39999999999998</v>
      </c>
      <c r="H66" s="50"/>
      <c r="I66" s="143"/>
      <c r="J66" s="144"/>
      <c r="K66" s="145"/>
      <c r="L66" s="50"/>
      <c r="M66" s="143"/>
      <c r="N66" s="146"/>
      <c r="O66" s="145"/>
      <c r="P66" s="50"/>
      <c r="Q66" s="50"/>
      <c r="R66" s="50"/>
      <c r="S66" s="50"/>
      <c r="T66" s="50"/>
    </row>
    <row r="67">
      <c r="A67" t="s">
        <v>19996</v>
      </c>
      <c r="B67" s="186" t="s">
        <v>20084</v>
      </c>
      <c r="C67" s="135" t="s">
        <v>20085</v>
      </c>
      <c r="D67" s="135"/>
      <c r="E67" s="135"/>
      <c r="F67" s="135"/>
      <c r="G67" s="135"/>
      <c r="H67" s="50"/>
      <c r="I67" s="137">
        <v>45870</v>
      </c>
      <c r="J67" s="167"/>
      <c r="K67" s="145"/>
      <c r="L67" s="50"/>
      <c r="M67" s="143"/>
      <c r="N67" s="146"/>
      <c r="O67" s="145"/>
      <c r="P67" s="50"/>
      <c r="Q67" s="50"/>
      <c r="R67" s="50"/>
      <c r="S67" s="50"/>
      <c r="T67" s="50"/>
    </row>
    <row r="68" ht="25.5">
      <c r="A68" t="s">
        <v>19996</v>
      </c>
      <c r="B68" s="186" t="s">
        <v>20084</v>
      </c>
      <c r="C68" s="136" t="s">
        <v>20084</v>
      </c>
      <c r="D68" s="139" t="s">
        <v>20086</v>
      </c>
      <c r="E68" s="140" t="s">
        <v>38</v>
      </c>
      <c r="F68" s="141"/>
      <c r="G68" s="142">
        <f>E72</f>
        <v>16.170000000000002</v>
      </c>
      <c r="H68" s="50"/>
      <c r="I68" s="143"/>
      <c r="J68" s="146"/>
      <c r="K68" s="145"/>
      <c r="L68" s="50"/>
      <c r="M68" s="143"/>
      <c r="N68" s="146"/>
      <c r="O68" s="145"/>
      <c r="P68" s="50"/>
      <c r="Q68" s="50"/>
      <c r="R68" s="50"/>
      <c r="S68" s="50"/>
      <c r="T68" s="50"/>
    </row>
    <row r="69">
      <c r="A69" t="s">
        <v>19996</v>
      </c>
      <c r="B69" s="186" t="s">
        <v>20084</v>
      </c>
      <c r="C69" s="153" t="s">
        <v>20087</v>
      </c>
      <c r="D69" s="187" t="s">
        <v>20088</v>
      </c>
      <c r="E69" s="154" t="s">
        <v>38</v>
      </c>
      <c r="F69" s="162"/>
      <c r="G69" s="155">
        <f>106/6</f>
        <v>17.670000000000002</v>
      </c>
      <c r="H69" s="50"/>
      <c r="I69" s="50"/>
      <c r="J69" s="146"/>
      <c r="K69" s="145"/>
      <c r="L69" s="50"/>
      <c r="M69" s="143"/>
      <c r="N69" s="146"/>
      <c r="O69" s="145"/>
      <c r="P69" s="50"/>
      <c r="Q69" s="50"/>
      <c r="R69" s="50"/>
      <c r="S69" s="50"/>
      <c r="T69" s="50"/>
    </row>
    <row r="70" ht="38.25">
      <c r="A70" t="s">
        <v>19996</v>
      </c>
      <c r="B70" s="186" t="s">
        <v>20084</v>
      </c>
      <c r="C70" s="153" t="s">
        <v>20089</v>
      </c>
      <c r="D70" s="187" t="s">
        <v>20088</v>
      </c>
      <c r="E70" s="154" t="s">
        <v>38</v>
      </c>
      <c r="F70" s="150"/>
      <c r="G70" s="155">
        <f>87.31/6</f>
        <v>14.550000000000001</v>
      </c>
      <c r="H70" s="50"/>
      <c r="I70" s="143" t="s">
        <v>20090</v>
      </c>
      <c r="J70" s="146"/>
      <c r="K70" s="145"/>
      <c r="L70" s="50"/>
      <c r="M70" s="143"/>
      <c r="N70" s="146"/>
      <c r="O70" s="145"/>
      <c r="P70" s="50"/>
      <c r="Q70" s="50"/>
      <c r="R70" s="50"/>
      <c r="S70" s="50"/>
      <c r="T70" s="50"/>
    </row>
    <row r="71" ht="25.5">
      <c r="A71" t="s">
        <v>19996</v>
      </c>
      <c r="B71" s="186" t="s">
        <v>20084</v>
      </c>
      <c r="C71" s="153" t="s">
        <v>20091</v>
      </c>
      <c r="D71" s="153" t="s">
        <v>20088</v>
      </c>
      <c r="E71" s="154" t="s">
        <v>38</v>
      </c>
      <c r="F71" s="150"/>
      <c r="G71" s="155">
        <f>97/6</f>
        <v>16.170000000000002</v>
      </c>
      <c r="H71" s="50"/>
      <c r="I71" s="143"/>
      <c r="J71" s="146"/>
      <c r="K71" s="145"/>
      <c r="L71" s="50"/>
      <c r="M71" s="143"/>
      <c r="N71" s="146"/>
      <c r="O71" s="145"/>
      <c r="P71" s="50"/>
      <c r="Q71" s="50"/>
      <c r="R71" s="50"/>
      <c r="S71" s="50"/>
      <c r="T71" s="50"/>
    </row>
    <row r="72" ht="76.5">
      <c r="A72" t="s">
        <v>19996</v>
      </c>
      <c r="B72" s="186" t="s">
        <v>20084</v>
      </c>
      <c r="C72" s="157" t="s">
        <v>20020</v>
      </c>
      <c r="D72" s="153" t="s">
        <v>20021</v>
      </c>
      <c r="E72" s="158">
        <f>MEDIAN(G69:G71)</f>
        <v>16.170000000000002</v>
      </c>
      <c r="F72" s="188"/>
      <c r="G72" s="163"/>
      <c r="H72" s="50"/>
      <c r="I72" s="143"/>
      <c r="J72" s="146"/>
      <c r="K72" s="145"/>
      <c r="L72" s="50"/>
      <c r="M72" s="143"/>
      <c r="N72" s="146"/>
      <c r="O72" s="145"/>
      <c r="P72" s="50"/>
      <c r="Q72" s="50"/>
      <c r="R72" s="50"/>
      <c r="S72" s="50"/>
      <c r="T72" s="50"/>
    </row>
    <row r="73">
      <c r="A73" t="s">
        <v>20092</v>
      </c>
      <c r="B73" s="186"/>
      <c r="C73" s="135" t="s">
        <v>20093</v>
      </c>
      <c r="D73" s="135"/>
      <c r="E73" s="135"/>
      <c r="F73" s="135"/>
      <c r="G73" s="135"/>
      <c r="H73" s="50"/>
      <c r="I73" s="143"/>
      <c r="J73" s="146"/>
      <c r="K73" s="145"/>
      <c r="L73" s="50"/>
      <c r="M73" s="143"/>
      <c r="N73" s="146"/>
      <c r="O73" s="145"/>
      <c r="P73" s="50"/>
      <c r="Q73" s="50"/>
      <c r="R73" s="50"/>
      <c r="S73" s="50"/>
      <c r="T73" s="50"/>
    </row>
    <row r="74">
      <c r="A74" t="s">
        <v>20092</v>
      </c>
      <c r="B74" s="186" t="s">
        <v>20094</v>
      </c>
      <c r="C74" s="186" t="s">
        <v>20094</v>
      </c>
      <c r="D74" s="139" t="s">
        <v>20095</v>
      </c>
      <c r="E74" s="142" t="s">
        <v>15364</v>
      </c>
      <c r="F74" s="150"/>
      <c r="G74" s="189">
        <f>MEDIAN(G75:G76)</f>
        <v>60.939999999999998</v>
      </c>
      <c r="H74" s="50"/>
      <c r="I74" s="143"/>
      <c r="J74" s="146"/>
      <c r="K74" s="145"/>
      <c r="L74" s="50"/>
      <c r="M74" s="143"/>
      <c r="N74" s="146"/>
      <c r="O74" s="145"/>
      <c r="P74" s="50"/>
      <c r="Q74" s="50"/>
      <c r="R74" s="50"/>
      <c r="S74" s="50"/>
      <c r="T74" s="50"/>
    </row>
    <row r="75" ht="76.5">
      <c r="A75" t="s">
        <v>20092</v>
      </c>
      <c r="B75" s="186"/>
      <c r="C75" s="190" t="s">
        <v>20096</v>
      </c>
      <c r="D75" s="153" t="s">
        <v>20097</v>
      </c>
      <c r="E75" s="154" t="s">
        <v>15364</v>
      </c>
      <c r="F75" s="150"/>
      <c r="G75" s="176">
        <f>195/3.2</f>
        <v>60.939999999999998</v>
      </c>
      <c r="H75" s="50"/>
      <c r="I75" s="191">
        <v>44866</v>
      </c>
      <c r="J75" s="167" t="s">
        <v>20098</v>
      </c>
      <c r="K75" s="50"/>
      <c r="L75" s="167"/>
      <c r="M75" s="167"/>
      <c r="N75" s="167"/>
      <c r="O75" s="167"/>
      <c r="P75" s="167"/>
      <c r="Q75" s="167"/>
      <c r="R75" s="167"/>
      <c r="S75" s="50"/>
      <c r="T75" s="50"/>
    </row>
    <row r="76" ht="38.25">
      <c r="A76" t="s">
        <v>20092</v>
      </c>
      <c r="B76" s="186"/>
      <c r="C76" s="190" t="s">
        <v>20099</v>
      </c>
      <c r="D76" s="153" t="s">
        <v>20100</v>
      </c>
      <c r="E76" s="154" t="s">
        <v>15364</v>
      </c>
      <c r="F76" s="150"/>
      <c r="G76" s="176"/>
      <c r="H76" s="50"/>
      <c r="I76" s="143" t="s">
        <v>20101</v>
      </c>
      <c r="J76" s="146"/>
      <c r="K76" s="161" t="s">
        <v>20102</v>
      </c>
      <c r="L76" s="50"/>
      <c r="M76" s="143"/>
      <c r="N76" s="146"/>
      <c r="O76" s="145"/>
      <c r="P76" s="50"/>
      <c r="Q76" s="50"/>
      <c r="R76" s="50"/>
      <c r="S76" s="50"/>
      <c r="T76" s="50"/>
    </row>
    <row r="77" ht="76.5">
      <c r="A77" t="s">
        <v>20092</v>
      </c>
      <c r="B77" s="186"/>
      <c r="C77" s="157" t="s">
        <v>20020</v>
      </c>
      <c r="D77" s="153" t="s">
        <v>20021</v>
      </c>
      <c r="E77" s="158">
        <f>MEDIAN(G75:G76)</f>
        <v>60.939999999999998</v>
      </c>
      <c r="F77" s="159"/>
      <c r="G77" s="160"/>
      <c r="H77" s="50"/>
      <c r="I77" s="192"/>
      <c r="J77" s="146"/>
      <c r="K77" s="161"/>
      <c r="L77" s="50"/>
      <c r="M77" s="143"/>
      <c r="N77" s="146"/>
      <c r="O77" s="145"/>
      <c r="P77" s="50"/>
      <c r="Q77" s="50"/>
      <c r="R77" s="50"/>
      <c r="S77" s="50"/>
      <c r="T77" s="50"/>
    </row>
    <row r="78">
      <c r="B78" s="186"/>
      <c r="C78" s="135" t="s">
        <v>20103</v>
      </c>
      <c r="D78" s="135"/>
      <c r="E78" s="135"/>
      <c r="F78" s="135"/>
      <c r="G78" s="135"/>
      <c r="H78" s="50"/>
      <c r="I78" s="192"/>
      <c r="J78" s="146"/>
      <c r="K78" s="161"/>
      <c r="L78" s="50"/>
      <c r="M78" s="143"/>
      <c r="N78" s="146"/>
      <c r="O78" s="145"/>
      <c r="P78" s="50"/>
      <c r="Q78" s="50"/>
      <c r="R78" s="50"/>
      <c r="S78" s="50"/>
      <c r="T78" s="50"/>
    </row>
    <row r="79">
      <c r="B79" s="186" t="s">
        <v>20104</v>
      </c>
      <c r="C79" s="186" t="s">
        <v>20104</v>
      </c>
      <c r="D79" s="139" t="s">
        <v>20105</v>
      </c>
      <c r="E79" s="142" t="s">
        <v>20106</v>
      </c>
      <c r="F79" s="180"/>
      <c r="G79" s="142">
        <f>E82</f>
        <v>3300</v>
      </c>
      <c r="H79" s="50"/>
      <c r="I79" s="193">
        <v>45108</v>
      </c>
      <c r="J79" s="146"/>
      <c r="K79" s="161"/>
      <c r="L79" s="50"/>
      <c r="M79" s="143"/>
      <c r="N79" s="146"/>
      <c r="O79" s="145"/>
      <c r="P79" s="50"/>
      <c r="Q79" s="50"/>
      <c r="R79" s="50"/>
      <c r="S79" s="50"/>
      <c r="T79" s="50"/>
    </row>
    <row r="80" ht="25.5">
      <c r="B80" s="186"/>
      <c r="C80" s="190" t="s">
        <v>20107</v>
      </c>
      <c r="D80" s="153" t="s">
        <v>20108</v>
      </c>
      <c r="E80" s="155" t="s">
        <v>20106</v>
      </c>
      <c r="F80" s="150"/>
      <c r="G80" s="194">
        <v>1400</v>
      </c>
      <c r="H80" s="50"/>
      <c r="I80" s="195" t="s">
        <v>20109</v>
      </c>
      <c r="J80" s="146"/>
      <c r="K80" s="161"/>
      <c r="L80" s="50"/>
      <c r="M80" s="143"/>
      <c r="N80" s="146"/>
      <c r="O80" s="145"/>
      <c r="P80" s="50"/>
      <c r="Q80" s="50"/>
      <c r="R80" s="50"/>
      <c r="S80" s="50"/>
      <c r="T80" s="50"/>
    </row>
    <row r="81" ht="25.5">
      <c r="B81" s="186"/>
      <c r="C81" s="190" t="s">
        <v>20110</v>
      </c>
      <c r="D81" s="153" t="s">
        <v>20108</v>
      </c>
      <c r="E81" s="155" t="s">
        <v>20106</v>
      </c>
      <c r="F81" s="150"/>
      <c r="G81" s="155">
        <v>5200</v>
      </c>
      <c r="H81" s="50"/>
      <c r="I81" s="195" t="s">
        <v>20111</v>
      </c>
      <c r="J81" s="146"/>
      <c r="K81" s="161"/>
      <c r="L81" s="50"/>
      <c r="M81" s="143"/>
      <c r="N81" s="146"/>
      <c r="O81" s="145"/>
      <c r="P81" s="50"/>
      <c r="Q81" s="50"/>
      <c r="R81" s="50"/>
      <c r="S81" s="50"/>
      <c r="T81" s="50"/>
    </row>
    <row r="82" ht="76.5">
      <c r="B82" s="186"/>
      <c r="C82" s="157" t="s">
        <v>20020</v>
      </c>
      <c r="D82" s="153" t="s">
        <v>20021</v>
      </c>
      <c r="E82" s="158">
        <f>MEDIAN(G80:G81)</f>
        <v>3300</v>
      </c>
      <c r="F82" s="159"/>
      <c r="G82" s="160"/>
      <c r="H82" s="50"/>
      <c r="I82" s="195"/>
      <c r="J82" s="146"/>
      <c r="K82" s="161"/>
      <c r="L82" s="50"/>
      <c r="M82" s="143"/>
      <c r="N82" s="146"/>
      <c r="O82" s="145"/>
      <c r="P82" s="50"/>
      <c r="Q82" s="50"/>
      <c r="R82" s="50"/>
      <c r="S82" s="50"/>
      <c r="T82" s="50"/>
    </row>
    <row r="83">
      <c r="A83" t="s">
        <v>20050</v>
      </c>
      <c r="B83" s="135"/>
      <c r="C83" s="135" t="s">
        <v>20112</v>
      </c>
      <c r="D83" s="135"/>
      <c r="E83" s="135"/>
      <c r="F83" s="135"/>
      <c r="G83" s="135"/>
      <c r="H83" s="50"/>
      <c r="I83" s="192"/>
      <c r="J83" s="146"/>
      <c r="K83" s="161"/>
      <c r="L83" s="50"/>
      <c r="M83" s="143"/>
      <c r="N83" s="146"/>
      <c r="O83" s="145"/>
      <c r="P83" s="50"/>
      <c r="Q83" s="50"/>
      <c r="R83" s="50"/>
      <c r="S83" s="50"/>
      <c r="T83" s="50"/>
    </row>
    <row r="84" ht="51">
      <c r="A84" t="s">
        <v>20050</v>
      </c>
      <c r="B84" s="186" t="s">
        <v>20113</v>
      </c>
      <c r="C84" s="186" t="s">
        <v>20113</v>
      </c>
      <c r="D84" s="139" t="s">
        <v>20114</v>
      </c>
      <c r="E84" s="142" t="s">
        <v>31</v>
      </c>
      <c r="F84" s="180"/>
      <c r="G84" s="142">
        <f>E88</f>
        <v>473.5</v>
      </c>
      <c r="H84" s="50"/>
      <c r="I84" s="196">
        <v>45047</v>
      </c>
      <c r="J84" s="146"/>
      <c r="K84" s="161"/>
      <c r="L84" s="50"/>
      <c r="M84" s="143"/>
      <c r="N84" s="146"/>
      <c r="O84" s="145"/>
      <c r="P84" s="50"/>
      <c r="Q84" s="50"/>
      <c r="R84" s="50"/>
      <c r="S84" s="50"/>
      <c r="T84" s="50"/>
    </row>
    <row r="85">
      <c r="A85" t="s">
        <v>20050</v>
      </c>
      <c r="B85" s="186"/>
      <c r="C85" s="190" t="s">
        <v>20115</v>
      </c>
      <c r="D85" s="153" t="s">
        <v>20116</v>
      </c>
      <c r="E85" s="155" t="s">
        <v>15364</v>
      </c>
      <c r="F85" s="150"/>
      <c r="G85" s="194">
        <v>473.5</v>
      </c>
      <c r="H85" s="50"/>
      <c r="I85" s="192"/>
      <c r="J85" s="146"/>
      <c r="K85" s="161"/>
      <c r="L85" s="50"/>
      <c r="M85" s="143"/>
      <c r="N85" s="146"/>
      <c r="O85" s="145"/>
      <c r="P85" s="50"/>
      <c r="Q85" s="50"/>
      <c r="R85" s="50"/>
      <c r="S85" s="50"/>
      <c r="T85" s="50"/>
    </row>
    <row r="86" ht="25.5">
      <c r="A86" t="s">
        <v>20050</v>
      </c>
      <c r="B86" s="186"/>
      <c r="C86" s="190" t="s">
        <v>20117</v>
      </c>
      <c r="D86" s="153" t="s">
        <v>20118</v>
      </c>
      <c r="E86" s="155" t="s">
        <v>15364</v>
      </c>
      <c r="F86" s="150"/>
      <c r="G86" s="155">
        <v>450</v>
      </c>
      <c r="H86" s="50"/>
      <c r="I86" s="192"/>
      <c r="J86" s="146"/>
      <c r="K86" s="161"/>
      <c r="L86" s="50"/>
      <c r="M86" s="143"/>
      <c r="N86" s="146"/>
      <c r="O86" s="145"/>
      <c r="P86" s="50"/>
      <c r="Q86" s="50"/>
      <c r="R86" s="50"/>
      <c r="S86" s="50"/>
      <c r="T86" s="50"/>
    </row>
    <row r="87">
      <c r="A87" t="s">
        <v>20050</v>
      </c>
      <c r="B87" s="186"/>
      <c r="C87" s="190" t="s">
        <v>20119</v>
      </c>
      <c r="D87" s="153" t="s">
        <v>20120</v>
      </c>
      <c r="E87" s="155" t="s">
        <v>15364</v>
      </c>
      <c r="F87" s="150"/>
      <c r="G87" s="155">
        <v>559</v>
      </c>
      <c r="H87" s="50"/>
      <c r="I87" s="192"/>
      <c r="J87" s="146"/>
      <c r="K87" s="161"/>
      <c r="L87" s="50"/>
      <c r="M87" s="143"/>
      <c r="N87" s="146"/>
      <c r="O87" s="145"/>
      <c r="P87" s="50"/>
      <c r="Q87" s="50"/>
      <c r="R87" s="50"/>
      <c r="S87" s="50"/>
      <c r="T87" s="50"/>
    </row>
    <row r="88" ht="76.5">
      <c r="A88" t="s">
        <v>20050</v>
      </c>
      <c r="B88" s="186"/>
      <c r="C88" s="157" t="s">
        <v>20020</v>
      </c>
      <c r="D88" s="153" t="s">
        <v>20021</v>
      </c>
      <c r="E88" s="158">
        <f>MEDIAN(G85:G87)</f>
        <v>473.5</v>
      </c>
      <c r="F88" s="159"/>
      <c r="G88" s="160"/>
      <c r="H88" s="50"/>
      <c r="I88" s="192"/>
      <c r="J88" s="146"/>
      <c r="K88" s="161"/>
      <c r="L88" s="50"/>
      <c r="M88" s="143"/>
      <c r="N88" s="146"/>
      <c r="O88" s="145"/>
      <c r="P88" s="50"/>
      <c r="Q88" s="50"/>
      <c r="R88" s="50"/>
      <c r="S88" s="50"/>
      <c r="T88" s="50"/>
    </row>
    <row r="89">
      <c r="B89" s="186"/>
      <c r="C89" s="135" t="s">
        <v>20121</v>
      </c>
      <c r="D89" s="135"/>
      <c r="E89" s="135"/>
      <c r="F89" s="135"/>
      <c r="G89" s="135"/>
      <c r="H89" s="50"/>
      <c r="I89" s="192"/>
      <c r="J89" s="146"/>
      <c r="K89" s="161"/>
      <c r="L89" s="50"/>
      <c r="M89" s="143"/>
      <c r="N89" s="146"/>
      <c r="O89" s="145"/>
      <c r="P89" s="50"/>
      <c r="Q89" s="50"/>
      <c r="R89" s="50"/>
      <c r="S89" s="50"/>
      <c r="T89" s="50"/>
    </row>
    <row r="90" ht="76.5">
      <c r="B90" s="186" t="s">
        <v>20122</v>
      </c>
      <c r="C90" s="186" t="s">
        <v>20122</v>
      </c>
      <c r="D90" s="197" t="s">
        <v>20123</v>
      </c>
      <c r="E90" s="142" t="s">
        <v>31</v>
      </c>
      <c r="F90" s="180"/>
      <c r="G90" s="142">
        <f>E94</f>
        <v>862450</v>
      </c>
      <c r="H90" s="50"/>
      <c r="I90" s="198">
        <v>44713</v>
      </c>
      <c r="J90" s="146"/>
      <c r="K90" s="161"/>
      <c r="L90" s="50"/>
      <c r="M90" s="143"/>
      <c r="N90" s="146"/>
      <c r="O90" s="145"/>
      <c r="P90" s="50"/>
      <c r="Q90" s="50"/>
      <c r="R90" s="50"/>
      <c r="S90" s="50"/>
      <c r="T90" s="50"/>
    </row>
    <row r="91">
      <c r="B91" s="186"/>
      <c r="C91" s="190" t="s">
        <v>20124</v>
      </c>
      <c r="D91" s="153" t="s">
        <v>20125</v>
      </c>
      <c r="E91" s="155" t="s">
        <v>15364</v>
      </c>
      <c r="F91" s="150"/>
      <c r="G91" s="194">
        <v>888720</v>
      </c>
      <c r="H91" s="50"/>
      <c r="I91" s="192"/>
      <c r="J91" s="146"/>
      <c r="K91" s="161"/>
      <c r="L91" s="50"/>
      <c r="M91" s="143"/>
      <c r="N91" s="146"/>
      <c r="O91" s="145"/>
      <c r="P91" s="50"/>
      <c r="Q91" s="50"/>
      <c r="R91" s="50"/>
      <c r="S91" s="50"/>
      <c r="T91" s="50"/>
    </row>
    <row r="92">
      <c r="B92" s="186"/>
      <c r="C92" s="190" t="s">
        <v>20126</v>
      </c>
      <c r="D92" s="153" t="s">
        <v>20125</v>
      </c>
      <c r="E92" s="155" t="s">
        <v>15364</v>
      </c>
      <c r="F92" s="150"/>
      <c r="G92" s="155">
        <v>862450</v>
      </c>
      <c r="H92" s="50"/>
      <c r="I92" s="192"/>
      <c r="J92" s="146"/>
      <c r="K92" s="161"/>
      <c r="L92" s="50"/>
      <c r="M92" s="143"/>
      <c r="N92" s="146"/>
      <c r="O92" s="145"/>
      <c r="P92" s="50"/>
      <c r="Q92" s="50"/>
      <c r="R92" s="50"/>
      <c r="S92" s="50"/>
      <c r="T92" s="50"/>
    </row>
    <row r="93">
      <c r="B93" s="186"/>
      <c r="C93" s="190" t="s">
        <v>20127</v>
      </c>
      <c r="D93" s="153" t="s">
        <v>20125</v>
      </c>
      <c r="E93" s="155" t="s">
        <v>15364</v>
      </c>
      <c r="F93" s="150"/>
      <c r="G93" s="155">
        <v>826350</v>
      </c>
      <c r="H93" s="50"/>
      <c r="I93" s="192"/>
      <c r="J93" s="146"/>
      <c r="K93" s="161"/>
      <c r="L93" s="50"/>
      <c r="M93" s="143"/>
      <c r="N93" s="146"/>
      <c r="O93" s="145"/>
      <c r="P93" s="50"/>
      <c r="Q93" s="50"/>
      <c r="R93" s="50"/>
      <c r="S93" s="50"/>
      <c r="T93" s="50"/>
    </row>
    <row r="94" ht="76.5">
      <c r="B94" s="186"/>
      <c r="C94" s="157" t="s">
        <v>20020</v>
      </c>
      <c r="D94" s="153" t="s">
        <v>20021</v>
      </c>
      <c r="E94" s="158">
        <f>MEDIAN(G91:G93)</f>
        <v>862450</v>
      </c>
      <c r="F94" s="159"/>
      <c r="G94" s="160"/>
      <c r="H94" s="50"/>
      <c r="I94" s="192"/>
      <c r="J94" s="146"/>
      <c r="K94" s="161"/>
      <c r="L94" s="50"/>
      <c r="M94" s="143"/>
      <c r="N94" s="146"/>
      <c r="O94" s="145"/>
      <c r="P94" s="50"/>
      <c r="Q94" s="50"/>
      <c r="R94" s="50"/>
      <c r="S94" s="50"/>
      <c r="T94" s="50"/>
    </row>
    <row r="95">
      <c r="B95" s="186"/>
      <c r="C95" s="135" t="s">
        <v>20128</v>
      </c>
      <c r="D95" s="135"/>
      <c r="E95" s="135"/>
      <c r="F95" s="135"/>
      <c r="G95" s="135"/>
      <c r="H95" s="50"/>
      <c r="I95" s="196">
        <v>44805</v>
      </c>
      <c r="J95" s="146"/>
      <c r="K95" s="161"/>
      <c r="L95" s="50"/>
      <c r="M95" s="143"/>
      <c r="N95" s="146"/>
      <c r="O95" s="145"/>
      <c r="P95" s="50"/>
      <c r="Q95" s="50"/>
      <c r="R95" s="50"/>
      <c r="S95" s="50"/>
      <c r="T95" s="50"/>
    </row>
    <row r="96">
      <c r="B96" s="186" t="s">
        <v>20129</v>
      </c>
      <c r="C96" s="186" t="s">
        <v>20129</v>
      </c>
      <c r="D96" s="197" t="s">
        <v>20130</v>
      </c>
      <c r="E96" s="142" t="s">
        <v>31</v>
      </c>
      <c r="F96" s="180"/>
      <c r="G96" s="142">
        <f>E100</f>
        <v>135.09</v>
      </c>
      <c r="H96" s="50"/>
      <c r="I96" s="192"/>
      <c r="J96" s="146"/>
      <c r="K96" s="161"/>
      <c r="L96" s="50"/>
      <c r="M96" s="143"/>
      <c r="N96" s="146"/>
      <c r="O96" s="145"/>
      <c r="P96" s="50"/>
      <c r="Q96" s="50"/>
      <c r="R96" s="50"/>
      <c r="S96" s="50"/>
      <c r="T96" s="50"/>
    </row>
    <row r="97">
      <c r="B97" s="186"/>
      <c r="C97" s="190" t="s">
        <v>20131</v>
      </c>
      <c r="D97" s="187" t="s">
        <v>20130</v>
      </c>
      <c r="E97" s="155" t="s">
        <v>15383</v>
      </c>
      <c r="F97" s="150"/>
      <c r="G97" s="194">
        <v>127.17</v>
      </c>
      <c r="H97" s="50"/>
      <c r="I97" s="196">
        <v>45108</v>
      </c>
      <c r="J97" s="167" t="s">
        <v>20132</v>
      </c>
      <c r="K97" s="161"/>
      <c r="L97" s="50"/>
      <c r="M97" s="143"/>
      <c r="N97" s="146"/>
      <c r="O97" s="145"/>
      <c r="P97" s="50"/>
      <c r="Q97" s="50"/>
      <c r="R97" s="50"/>
      <c r="S97" s="50"/>
      <c r="T97" s="50"/>
    </row>
    <row r="98">
      <c r="B98" s="186"/>
      <c r="C98" s="190" t="s">
        <v>20133</v>
      </c>
      <c r="D98" s="187" t="s">
        <v>20130</v>
      </c>
      <c r="E98" s="155" t="s">
        <v>15383</v>
      </c>
      <c r="F98" s="150"/>
      <c r="G98" s="155">
        <v>143</v>
      </c>
      <c r="H98" s="50"/>
      <c r="I98" s="192"/>
      <c r="J98" s="146"/>
      <c r="K98" s="161"/>
      <c r="L98" s="50"/>
      <c r="M98" s="143"/>
      <c r="N98" s="146"/>
      <c r="O98" s="145"/>
      <c r="P98" s="50"/>
      <c r="Q98" s="50"/>
      <c r="R98" s="50"/>
      <c r="S98" s="50"/>
      <c r="T98" s="50"/>
    </row>
    <row r="99">
      <c r="B99" s="186"/>
      <c r="C99" s="190"/>
      <c r="D99" s="153"/>
      <c r="E99" s="155"/>
      <c r="F99" s="150"/>
      <c r="G99" s="155"/>
      <c r="H99" s="50"/>
      <c r="I99" s="192"/>
      <c r="J99" s="167" t="s">
        <v>20134</v>
      </c>
      <c r="K99" s="161"/>
      <c r="L99" s="50"/>
      <c r="M99" s="143"/>
      <c r="N99" s="146"/>
      <c r="O99" s="145"/>
      <c r="P99" s="50"/>
      <c r="Q99" s="50"/>
      <c r="R99" s="50"/>
      <c r="S99" s="50"/>
      <c r="T99" s="50"/>
    </row>
    <row r="100" ht="76.5">
      <c r="B100" s="186"/>
      <c r="C100" s="157" t="s">
        <v>20020</v>
      </c>
      <c r="D100" s="153" t="s">
        <v>20021</v>
      </c>
      <c r="E100" s="158">
        <f>MEDIAN(G97:G98)</f>
        <v>135.09</v>
      </c>
      <c r="F100" s="159"/>
      <c r="G100" s="160"/>
      <c r="H100" s="50"/>
      <c r="I100" s="192"/>
      <c r="J100" s="146"/>
      <c r="K100" s="161"/>
      <c r="L100" s="50"/>
      <c r="M100" s="143"/>
      <c r="N100" s="146"/>
      <c r="O100" s="145"/>
      <c r="P100" s="50"/>
      <c r="Q100" s="50"/>
      <c r="R100" s="50"/>
      <c r="S100" s="50"/>
      <c r="T100" s="50"/>
    </row>
    <row r="101">
      <c r="B101" s="186" t="s">
        <v>20135</v>
      </c>
      <c r="C101" s="135" t="s">
        <v>20136</v>
      </c>
      <c r="D101" s="135"/>
      <c r="E101" s="135"/>
      <c r="F101" s="135"/>
      <c r="G101" s="135"/>
      <c r="H101" s="50"/>
      <c r="I101" s="50"/>
      <c r="J101" s="146"/>
      <c r="K101" s="161"/>
      <c r="L101" s="50"/>
      <c r="M101" s="143"/>
      <c r="N101" s="146"/>
      <c r="O101" s="145"/>
      <c r="P101" s="50"/>
      <c r="Q101" s="50"/>
      <c r="R101" s="50"/>
      <c r="S101" s="50"/>
      <c r="T101" s="50"/>
    </row>
    <row r="102">
      <c r="B102" s="186"/>
      <c r="C102" s="186" t="s">
        <v>20135</v>
      </c>
      <c r="D102" s="197" t="s">
        <v>20137</v>
      </c>
      <c r="E102" s="142" t="s">
        <v>31</v>
      </c>
      <c r="F102" s="180"/>
      <c r="G102" s="142">
        <f>E105</f>
        <v>11.25</v>
      </c>
      <c r="H102" s="50"/>
      <c r="I102" s="192"/>
      <c r="J102" s="146"/>
      <c r="K102" s="161"/>
      <c r="L102" s="50"/>
      <c r="M102" s="143"/>
      <c r="N102" s="146"/>
      <c r="O102" s="145"/>
      <c r="P102" s="50"/>
      <c r="Q102" s="50"/>
      <c r="R102" s="50"/>
      <c r="S102" s="50"/>
      <c r="T102" s="50"/>
    </row>
    <row r="103">
      <c r="B103" s="186"/>
      <c r="C103" s="190" t="s">
        <v>20138</v>
      </c>
      <c r="D103" s="187" t="s">
        <v>20137</v>
      </c>
      <c r="E103" s="155" t="s">
        <v>15418</v>
      </c>
      <c r="F103" s="150"/>
      <c r="G103" s="194">
        <v>12.5</v>
      </c>
      <c r="H103" s="50"/>
      <c r="I103" s="196">
        <v>45139</v>
      </c>
      <c r="J103" s="146"/>
      <c r="K103" s="161"/>
      <c r="L103" s="50"/>
      <c r="M103" s="143"/>
      <c r="N103" s="146"/>
      <c r="O103" s="145"/>
      <c r="P103" s="50"/>
      <c r="Q103" s="50"/>
      <c r="R103" s="50"/>
      <c r="S103" s="50"/>
      <c r="T103" s="50"/>
    </row>
    <row r="104">
      <c r="B104" s="186"/>
      <c r="C104" s="190" t="s">
        <v>20139</v>
      </c>
      <c r="D104" s="187" t="s">
        <v>20137</v>
      </c>
      <c r="E104" s="155" t="s">
        <v>15418</v>
      </c>
      <c r="F104" s="150"/>
      <c r="G104" s="155">
        <v>10</v>
      </c>
      <c r="H104" s="50"/>
      <c r="I104" s="196">
        <v>44835</v>
      </c>
      <c r="J104" s="146"/>
      <c r="K104" s="161"/>
      <c r="L104" s="50"/>
      <c r="M104" s="143"/>
      <c r="N104" s="146"/>
      <c r="O104" s="145"/>
      <c r="P104" s="50"/>
      <c r="Q104" s="50"/>
      <c r="R104" s="50"/>
      <c r="S104" s="50"/>
      <c r="T104" s="50"/>
    </row>
    <row r="105" ht="76.5">
      <c r="B105" s="186"/>
      <c r="C105" s="157" t="s">
        <v>20020</v>
      </c>
      <c r="D105" s="153" t="s">
        <v>20021</v>
      </c>
      <c r="E105" s="158">
        <f>MEDIAN(G103:G104)</f>
        <v>11.25</v>
      </c>
      <c r="F105" s="159"/>
      <c r="G105" s="160"/>
      <c r="H105" s="50"/>
      <c r="I105" s="192"/>
      <c r="J105" s="146"/>
      <c r="K105" s="161"/>
      <c r="L105" s="50"/>
      <c r="M105" s="143"/>
      <c r="N105" s="146"/>
      <c r="O105" s="145"/>
      <c r="P105" s="50"/>
      <c r="Q105" s="50"/>
      <c r="R105" s="50"/>
      <c r="S105" s="50"/>
      <c r="T105" s="50"/>
    </row>
    <row r="106">
      <c r="B106" s="136"/>
      <c r="C106" s="135" t="s">
        <v>20140</v>
      </c>
      <c r="D106" s="135"/>
      <c r="E106" s="135"/>
      <c r="F106" s="135"/>
      <c r="G106" s="135"/>
      <c r="H106" s="50"/>
      <c r="I106" s="196">
        <v>45108</v>
      </c>
      <c r="J106" s="146"/>
      <c r="K106" s="161"/>
      <c r="L106" s="50"/>
      <c r="M106" s="143"/>
      <c r="N106" s="146"/>
      <c r="O106" s="145"/>
      <c r="P106" s="50"/>
      <c r="Q106" s="50"/>
      <c r="R106" s="50"/>
      <c r="S106" s="50"/>
      <c r="T106" s="50"/>
    </row>
    <row r="107">
      <c r="B107" s="136" t="s">
        <v>20141</v>
      </c>
      <c r="C107" s="136" t="s">
        <v>20141</v>
      </c>
      <c r="D107" s="139" t="s">
        <v>20142</v>
      </c>
      <c r="E107" s="140" t="s">
        <v>38</v>
      </c>
      <c r="F107" s="141"/>
      <c r="G107" s="142">
        <f>E111</f>
        <v>32.740000000000002</v>
      </c>
      <c r="H107" s="50"/>
      <c r="I107" s="192"/>
      <c r="J107" s="146"/>
      <c r="K107" s="161"/>
      <c r="L107" s="50"/>
      <c r="M107" s="143"/>
      <c r="N107" s="146"/>
      <c r="O107" s="145"/>
      <c r="P107" s="50"/>
      <c r="Q107" s="50"/>
      <c r="R107" s="50"/>
      <c r="S107" s="50"/>
      <c r="T107" s="50"/>
    </row>
    <row r="108" ht="25.5">
      <c r="B108" s="136"/>
      <c r="C108" s="153" t="s">
        <v>20143</v>
      </c>
      <c r="D108" s="187" t="s">
        <v>20144</v>
      </c>
      <c r="E108" s="154" t="s">
        <v>38</v>
      </c>
      <c r="F108" s="162"/>
      <c r="G108" s="199">
        <f>192.86/6</f>
        <v>32.140000000000001</v>
      </c>
      <c r="H108" s="50"/>
      <c r="I108" s="192"/>
      <c r="J108" s="146"/>
      <c r="K108" s="161"/>
      <c r="L108" s="50"/>
      <c r="M108" s="143"/>
      <c r="N108" s="146"/>
      <c r="O108" s="145"/>
      <c r="P108" s="50"/>
      <c r="Q108" s="50"/>
      <c r="R108" s="50"/>
      <c r="S108" s="50"/>
      <c r="T108" s="50"/>
    </row>
    <row r="109" ht="38.25">
      <c r="B109" s="136"/>
      <c r="C109" s="153" t="s">
        <v>20089</v>
      </c>
      <c r="D109" s="187" t="s">
        <v>20145</v>
      </c>
      <c r="E109" s="154" t="s">
        <v>38</v>
      </c>
      <c r="F109" s="150"/>
      <c r="G109" s="155"/>
      <c r="H109" s="50"/>
      <c r="I109" s="192"/>
      <c r="J109" s="146"/>
      <c r="K109" s="161"/>
      <c r="L109" s="50"/>
      <c r="M109" s="143"/>
      <c r="N109" s="146"/>
      <c r="O109" s="145"/>
      <c r="P109" s="50"/>
      <c r="Q109" s="50"/>
      <c r="R109" s="50"/>
      <c r="S109" s="50"/>
      <c r="T109" s="50"/>
    </row>
    <row r="110" ht="25.5">
      <c r="B110" s="136"/>
      <c r="C110" s="153" t="s">
        <v>20146</v>
      </c>
      <c r="D110" s="153" t="s">
        <v>20147</v>
      </c>
      <c r="E110" s="154" t="s">
        <v>38</v>
      </c>
      <c r="F110" s="150"/>
      <c r="G110" s="155">
        <f>200/6</f>
        <v>33.329999999999998</v>
      </c>
      <c r="H110" s="50"/>
      <c r="I110" s="192"/>
      <c r="J110" s="146"/>
      <c r="K110" s="161"/>
      <c r="L110" s="50"/>
      <c r="M110" s="143"/>
      <c r="N110" s="146"/>
      <c r="O110" s="145"/>
      <c r="P110" s="50"/>
      <c r="Q110" s="50"/>
      <c r="R110" s="50"/>
      <c r="S110" s="50"/>
      <c r="T110" s="50"/>
    </row>
    <row r="111" ht="76.5">
      <c r="B111" s="136"/>
      <c r="C111" s="157" t="s">
        <v>20020</v>
      </c>
      <c r="D111" s="153" t="s">
        <v>20021</v>
      </c>
      <c r="E111" s="158">
        <f>MEDIAN(G108:G110)</f>
        <v>32.740000000000002</v>
      </c>
      <c r="F111" s="159"/>
      <c r="G111" s="160"/>
      <c r="H111" s="50"/>
      <c r="I111" s="192"/>
      <c r="J111" s="146"/>
      <c r="K111" s="161"/>
      <c r="L111" s="50"/>
      <c r="M111" s="143"/>
      <c r="N111" s="146"/>
      <c r="O111" s="145"/>
      <c r="P111" s="50"/>
      <c r="Q111" s="50"/>
      <c r="R111" s="50"/>
      <c r="S111" s="50"/>
      <c r="T111" s="50"/>
    </row>
    <row r="112">
      <c r="A112" t="s">
        <v>20050</v>
      </c>
      <c r="B112" s="136"/>
      <c r="C112" s="135" t="s">
        <v>20148</v>
      </c>
      <c r="D112" s="135"/>
      <c r="E112" s="135"/>
      <c r="F112" s="135"/>
      <c r="G112" s="135"/>
      <c r="H112" s="50"/>
      <c r="I112" s="192"/>
      <c r="J112" s="146"/>
      <c r="K112" s="161"/>
      <c r="L112" s="50"/>
      <c r="M112" s="143"/>
      <c r="N112" s="146"/>
      <c r="O112" s="145"/>
      <c r="P112" s="50"/>
      <c r="Q112" s="50"/>
      <c r="R112" s="50"/>
      <c r="S112" s="50"/>
      <c r="T112" s="50"/>
    </row>
    <row r="113">
      <c r="A113" t="s">
        <v>20050</v>
      </c>
      <c r="B113" s="136" t="s">
        <v>20149</v>
      </c>
      <c r="C113" s="136" t="s">
        <v>20149</v>
      </c>
      <c r="D113" s="139" t="s">
        <v>20150</v>
      </c>
      <c r="E113" s="140" t="s">
        <v>31</v>
      </c>
      <c r="F113" s="141"/>
      <c r="G113" s="142">
        <f>E115</f>
        <v>679.13999999999999</v>
      </c>
      <c r="H113" s="50"/>
      <c r="I113" s="192"/>
      <c r="J113" s="146"/>
      <c r="K113" s="161"/>
      <c r="L113" s="50"/>
      <c r="M113" s="143"/>
      <c r="N113" s="146"/>
      <c r="O113" s="145"/>
      <c r="P113" s="50"/>
      <c r="Q113" s="50"/>
      <c r="R113" s="50"/>
      <c r="S113" s="50"/>
      <c r="T113" s="50"/>
    </row>
    <row r="114">
      <c r="A114" t="s">
        <v>20050</v>
      </c>
      <c r="B114" s="136"/>
      <c r="C114" s="200" t="s">
        <v>20151</v>
      </c>
      <c r="D114" s="139" t="s">
        <v>20150</v>
      </c>
      <c r="E114" s="154" t="s">
        <v>31</v>
      </c>
      <c r="F114" s="162"/>
      <c r="G114" s="199">
        <v>679.13999999999999</v>
      </c>
      <c r="H114" s="50"/>
      <c r="I114" s="192"/>
      <c r="J114" s="146"/>
      <c r="K114" s="161"/>
      <c r="L114" s="50"/>
      <c r="M114" s="143"/>
      <c r="N114" s="146"/>
      <c r="O114" s="145"/>
      <c r="P114" s="50"/>
      <c r="Q114" s="50"/>
      <c r="R114" s="50"/>
      <c r="S114" s="50"/>
      <c r="T114" s="50"/>
    </row>
    <row r="115" ht="76.5">
      <c r="A115" t="s">
        <v>20050</v>
      </c>
      <c r="B115" s="136"/>
      <c r="C115" s="157" t="s">
        <v>20020</v>
      </c>
      <c r="D115" s="153" t="s">
        <v>20021</v>
      </c>
      <c r="E115" s="158">
        <f>MEDIAN(G114:G114)</f>
        <v>679.13999999999999</v>
      </c>
      <c r="F115" s="159"/>
      <c r="G115" s="160"/>
      <c r="H115" s="50"/>
      <c r="I115" s="192"/>
      <c r="J115" s="146"/>
      <c r="K115" s="161"/>
      <c r="L115" s="50"/>
      <c r="M115" s="143"/>
      <c r="N115" s="146"/>
      <c r="O115" s="145"/>
      <c r="P115" s="50"/>
      <c r="Q115" s="50"/>
      <c r="R115" s="50"/>
      <c r="S115" s="50"/>
      <c r="T115" s="50"/>
    </row>
    <row r="116">
      <c r="A116" t="s">
        <v>19996</v>
      </c>
      <c r="B116" s="157"/>
      <c r="C116" s="135" t="s">
        <v>20152</v>
      </c>
      <c r="D116" s="135"/>
      <c r="E116" s="135"/>
      <c r="F116" s="135"/>
      <c r="G116" s="135"/>
      <c r="H116" s="50"/>
      <c r="I116" s="137">
        <v>46113</v>
      </c>
      <c r="J116" s="146"/>
      <c r="K116" s="161"/>
      <c r="L116" s="50"/>
      <c r="M116" s="143"/>
      <c r="N116" s="146"/>
      <c r="O116" s="145"/>
      <c r="P116" s="50"/>
      <c r="Q116" s="50"/>
      <c r="R116" s="50"/>
      <c r="S116" s="50"/>
      <c r="T116" s="50"/>
    </row>
    <row r="117">
      <c r="A117" t="s">
        <v>19996</v>
      </c>
      <c r="B117" s="157" t="s">
        <v>20153</v>
      </c>
      <c r="C117" s="157" t="s">
        <v>20153</v>
      </c>
      <c r="D117" s="139" t="s">
        <v>20154</v>
      </c>
      <c r="E117" s="140" t="s">
        <v>15370</v>
      </c>
      <c r="F117" s="141"/>
      <c r="G117" s="142">
        <f>E121</f>
        <v>4.5199999999999996</v>
      </c>
      <c r="H117" s="50"/>
      <c r="I117" s="143"/>
      <c r="J117" s="146"/>
      <c r="K117" s="161"/>
      <c r="L117" s="50"/>
      <c r="M117" s="143"/>
      <c r="N117" s="146"/>
      <c r="O117" s="145"/>
      <c r="P117" s="50"/>
      <c r="Q117" s="50"/>
      <c r="R117" s="50"/>
      <c r="S117" s="50"/>
      <c r="T117" s="50"/>
    </row>
    <row r="118" ht="15">
      <c r="A118" t="s">
        <v>19996</v>
      </c>
      <c r="B118" s="157"/>
      <c r="C118" s="152" t="s">
        <v>20013</v>
      </c>
      <c r="D118" s="153" t="s">
        <v>20154</v>
      </c>
      <c r="E118" s="154" t="s">
        <v>15370</v>
      </c>
      <c r="F118" s="162"/>
      <c r="G118" s="155">
        <f>5030/1000</f>
        <v>5.0300000000000002</v>
      </c>
      <c r="H118" s="50"/>
      <c r="I118" s="143"/>
      <c r="J118" s="201"/>
      <c r="K118" s="161"/>
      <c r="L118" s="50"/>
      <c r="M118" s="143"/>
      <c r="N118" s="146"/>
      <c r="O118" s="145"/>
      <c r="P118" s="50"/>
      <c r="Q118" s="50"/>
      <c r="R118" s="50"/>
      <c r="S118" s="50"/>
      <c r="T118" s="50"/>
    </row>
    <row r="119" ht="15">
      <c r="A119" t="s">
        <v>19996</v>
      </c>
      <c r="B119" s="157"/>
      <c r="C119" s="152" t="s">
        <v>20016</v>
      </c>
      <c r="D119" s="153" t="s">
        <v>20154</v>
      </c>
      <c r="E119" s="154" t="s">
        <v>15370</v>
      </c>
      <c r="F119" s="150"/>
      <c r="G119" s="155">
        <f>4450/1000</f>
        <v>4.4500000000000002</v>
      </c>
      <c r="H119" s="50"/>
      <c r="I119" s="137"/>
      <c r="J119" s="201"/>
      <c r="K119" s="161"/>
      <c r="L119" s="50"/>
      <c r="M119" s="143"/>
      <c r="N119" s="146"/>
      <c r="O119" s="145"/>
      <c r="P119" s="50"/>
      <c r="Q119" s="50"/>
      <c r="R119" s="50"/>
      <c r="S119" s="50"/>
      <c r="T119" s="50"/>
    </row>
    <row r="120">
      <c r="A120" t="s">
        <v>19996</v>
      </c>
      <c r="B120" s="157"/>
      <c r="C120" s="152" t="s">
        <v>20018</v>
      </c>
      <c r="D120" s="153" t="s">
        <v>20154</v>
      </c>
      <c r="E120" s="154" t="s">
        <v>15370</v>
      </c>
      <c r="F120" s="150"/>
      <c r="G120" s="155">
        <f>4523/1000</f>
        <v>4.5199999999999996</v>
      </c>
      <c r="H120" s="50"/>
      <c r="I120" s="143"/>
      <c r="J120" s="146"/>
      <c r="K120" s="161"/>
      <c r="L120" s="50"/>
      <c r="M120" s="143"/>
      <c r="N120" s="146"/>
      <c r="O120" s="145"/>
      <c r="P120" s="50"/>
      <c r="Q120" s="50"/>
      <c r="R120" s="50"/>
      <c r="S120" s="50"/>
      <c r="T120" s="50"/>
    </row>
    <row r="121" ht="76.5">
      <c r="A121" t="s">
        <v>19996</v>
      </c>
      <c r="B121" s="157"/>
      <c r="C121" s="157" t="s">
        <v>20020</v>
      </c>
      <c r="D121" s="153" t="s">
        <v>20021</v>
      </c>
      <c r="E121" s="158">
        <f>MEDIAN(G118:G120)</f>
        <v>4.5199999999999996</v>
      </c>
      <c r="F121" s="159"/>
      <c r="G121" s="160"/>
      <c r="H121" s="50"/>
      <c r="I121" s="143"/>
      <c r="J121" s="146"/>
      <c r="K121" s="161"/>
      <c r="L121" s="50"/>
      <c r="M121" s="143"/>
      <c r="N121" s="146"/>
      <c r="O121" s="145"/>
      <c r="P121" s="50"/>
      <c r="Q121" s="50"/>
      <c r="R121" s="50"/>
      <c r="S121" s="50"/>
      <c r="T121" s="50"/>
    </row>
    <row r="122">
      <c r="A122" t="s">
        <v>20155</v>
      </c>
      <c r="B122" s="157"/>
      <c r="C122" s="135" t="s">
        <v>20156</v>
      </c>
      <c r="D122" s="135"/>
      <c r="E122" s="135"/>
      <c r="F122" s="135"/>
      <c r="G122" s="135"/>
      <c r="H122" s="50"/>
      <c r="I122" s="137">
        <v>45108</v>
      </c>
      <c r="J122" s="146"/>
      <c r="K122" s="161"/>
      <c r="L122" s="50"/>
      <c r="M122" s="143"/>
      <c r="N122" s="146"/>
      <c r="O122" s="145"/>
      <c r="P122" s="50"/>
      <c r="Q122" s="50"/>
      <c r="R122" s="50"/>
      <c r="S122" s="50"/>
      <c r="T122" s="50"/>
    </row>
    <row r="123">
      <c r="A123" t="s">
        <v>20155</v>
      </c>
      <c r="B123" s="157" t="s">
        <v>20157</v>
      </c>
      <c r="C123" s="157" t="s">
        <v>20157</v>
      </c>
      <c r="D123" s="139" t="s">
        <v>20158</v>
      </c>
      <c r="E123" s="140" t="s">
        <v>15515</v>
      </c>
      <c r="F123" s="141"/>
      <c r="G123" s="142">
        <f>E127</f>
        <v>234.38</v>
      </c>
      <c r="H123" s="50"/>
      <c r="I123" s="192"/>
      <c r="J123" s="146"/>
      <c r="K123" s="161"/>
      <c r="L123" s="50"/>
      <c r="M123" s="143"/>
      <c r="N123" s="146"/>
      <c r="O123" s="145"/>
      <c r="P123" s="50"/>
      <c r="Q123" s="50"/>
      <c r="R123" s="50"/>
      <c r="S123" s="50"/>
      <c r="T123" s="50"/>
    </row>
    <row r="124" ht="38.25">
      <c r="A124" t="s">
        <v>20155</v>
      </c>
      <c r="B124" s="157"/>
      <c r="C124" s="152" t="s">
        <v>20159</v>
      </c>
      <c r="D124" s="153" t="s">
        <v>20160</v>
      </c>
      <c r="E124" s="154" t="s">
        <v>15515</v>
      </c>
      <c r="F124" s="162"/>
      <c r="G124" s="155">
        <f>1325/2.4/1.2</f>
        <v>460.06999999999999</v>
      </c>
      <c r="H124" s="50"/>
      <c r="I124" s="192"/>
      <c r="J124" s="177" t="s">
        <v>20161</v>
      </c>
      <c r="K124" s="177"/>
      <c r="L124" s="177"/>
      <c r="M124" s="177"/>
      <c r="N124" s="177"/>
      <c r="O124" s="177"/>
      <c r="P124" s="177"/>
      <c r="Q124" s="177"/>
      <c r="R124" s="50"/>
      <c r="S124" s="50"/>
      <c r="T124" s="50"/>
    </row>
    <row r="125" ht="38.25">
      <c r="A125" t="s">
        <v>20155</v>
      </c>
      <c r="B125" s="157"/>
      <c r="C125" s="152" t="s">
        <v>20162</v>
      </c>
      <c r="D125" s="153" t="s">
        <v>20160</v>
      </c>
      <c r="E125" s="154" t="s">
        <v>15515</v>
      </c>
      <c r="F125" s="150"/>
      <c r="G125" s="155">
        <f>280/2.4/1.2</f>
        <v>97.219999999999999</v>
      </c>
      <c r="H125" s="50"/>
      <c r="I125" s="192"/>
      <c r="J125" s="146"/>
      <c r="K125" s="161"/>
      <c r="L125" s="50"/>
      <c r="M125" s="143"/>
      <c r="N125" s="146"/>
      <c r="O125" s="145"/>
      <c r="P125" s="50"/>
      <c r="Q125" s="50"/>
      <c r="R125" s="50"/>
      <c r="S125" s="50"/>
      <c r="T125" s="50"/>
    </row>
    <row r="126" ht="38.25">
      <c r="A126" t="s">
        <v>20155</v>
      </c>
      <c r="B126" s="157"/>
      <c r="C126" s="152" t="s">
        <v>20163</v>
      </c>
      <c r="D126" s="153" t="s">
        <v>20160</v>
      </c>
      <c r="E126" s="154" t="s">
        <v>15515</v>
      </c>
      <c r="F126" s="150"/>
      <c r="G126" s="155">
        <f>675/2.4/1.2</f>
        <v>234.38</v>
      </c>
      <c r="H126" s="50"/>
      <c r="I126" s="192"/>
      <c r="J126" s="146">
        <f>864/2.4/1.2</f>
        <v>300</v>
      </c>
      <c r="K126" s="202" t="s">
        <v>20164</v>
      </c>
      <c r="L126" s="50"/>
      <c r="M126" s="143"/>
      <c r="N126" s="146"/>
      <c r="O126" s="145"/>
      <c r="P126" s="50"/>
      <c r="Q126" s="50"/>
      <c r="R126" s="50"/>
      <c r="S126" s="50"/>
      <c r="T126" s="50"/>
    </row>
    <row r="127" ht="76.5">
      <c r="A127" t="s">
        <v>20155</v>
      </c>
      <c r="B127" s="157"/>
      <c r="C127" s="157" t="s">
        <v>20020</v>
      </c>
      <c r="D127" s="153" t="s">
        <v>20021</v>
      </c>
      <c r="E127" s="158">
        <f>MEDIAN(G124:G126)</f>
        <v>234.38</v>
      </c>
      <c r="F127" s="159"/>
      <c r="G127" s="160"/>
      <c r="H127" s="50"/>
      <c r="I127" s="192"/>
      <c r="J127" s="146"/>
      <c r="K127" s="161"/>
      <c r="L127" s="50"/>
      <c r="M127" s="143"/>
      <c r="N127" s="146"/>
      <c r="O127" s="145"/>
      <c r="P127" s="50"/>
      <c r="Q127" s="50"/>
      <c r="R127" s="50"/>
      <c r="S127" s="50"/>
      <c r="T127" s="50"/>
    </row>
    <row r="128">
      <c r="A128" t="s">
        <v>20050</v>
      </c>
      <c r="B128" s="157"/>
      <c r="C128" s="135" t="s">
        <v>20165</v>
      </c>
      <c r="D128" s="135"/>
      <c r="E128" s="135"/>
      <c r="F128" s="135"/>
      <c r="G128" s="135"/>
      <c r="H128" s="50"/>
      <c r="I128" s="137">
        <v>45231</v>
      </c>
      <c r="J128" s="146"/>
      <c r="K128" s="161"/>
      <c r="L128" s="50"/>
      <c r="M128" s="143"/>
      <c r="N128" s="146"/>
      <c r="O128" s="145"/>
      <c r="P128" s="50"/>
      <c r="Q128" s="50"/>
      <c r="R128" s="50"/>
      <c r="S128" s="50"/>
      <c r="T128" s="50"/>
    </row>
    <row r="129">
      <c r="A129" t="s">
        <v>20050</v>
      </c>
      <c r="B129" s="157" t="s">
        <v>20166</v>
      </c>
      <c r="C129" s="157" t="s">
        <v>20166</v>
      </c>
      <c r="D129" s="139" t="s">
        <v>20167</v>
      </c>
      <c r="E129" s="140" t="s">
        <v>38</v>
      </c>
      <c r="F129" s="141"/>
      <c r="G129" s="142">
        <f>E133</f>
        <v>206.66999999999999</v>
      </c>
      <c r="H129" s="50"/>
      <c r="I129" s="50"/>
      <c r="J129" s="146"/>
      <c r="K129" s="161"/>
      <c r="L129" s="50"/>
      <c r="M129" s="143"/>
      <c r="N129" s="146"/>
      <c r="O129" s="145"/>
      <c r="P129" s="50"/>
      <c r="Q129" s="50"/>
      <c r="R129" s="50"/>
      <c r="S129" s="50"/>
      <c r="T129" s="50"/>
    </row>
    <row r="130" ht="25.5">
      <c r="A130" t="s">
        <v>20050</v>
      </c>
      <c r="B130" s="157"/>
      <c r="C130" s="152" t="s">
        <v>20168</v>
      </c>
      <c r="D130" s="153" t="s">
        <v>20169</v>
      </c>
      <c r="E130" s="154" t="s">
        <v>38</v>
      </c>
      <c r="F130" s="162"/>
      <c r="G130" s="155">
        <f>(250/2)+155.7</f>
        <v>280.69999999999999</v>
      </c>
      <c r="H130" s="50"/>
      <c r="I130" s="192"/>
      <c r="J130" s="146" t="s">
        <v>20170</v>
      </c>
      <c r="K130" s="161"/>
      <c r="L130" s="50"/>
      <c r="M130" s="143"/>
      <c r="N130" s="146"/>
      <c r="O130" s="145"/>
      <c r="P130" s="50"/>
      <c r="Q130" s="50"/>
      <c r="R130" s="50"/>
      <c r="S130" s="50"/>
      <c r="T130" s="50"/>
    </row>
    <row r="131" ht="25.5">
      <c r="A131" t="s">
        <v>20050</v>
      </c>
      <c r="B131" s="157"/>
      <c r="C131" s="152" t="s">
        <v>20171</v>
      </c>
      <c r="D131" s="153" t="s">
        <v>20169</v>
      </c>
      <c r="E131" s="154" t="s">
        <v>38</v>
      </c>
      <c r="F131" s="150"/>
      <c r="G131" s="155">
        <v>140</v>
      </c>
      <c r="H131" s="50"/>
      <c r="I131" s="192"/>
      <c r="J131" s="146"/>
      <c r="K131" s="161"/>
      <c r="L131" s="50"/>
      <c r="M131" s="143"/>
      <c r="N131" s="146"/>
      <c r="O131" s="145"/>
      <c r="P131" s="50"/>
      <c r="Q131" s="50"/>
      <c r="R131" s="50"/>
      <c r="S131" s="50"/>
      <c r="T131" s="50"/>
    </row>
    <row r="132" ht="25.5">
      <c r="A132" t="s">
        <v>20050</v>
      </c>
      <c r="B132" s="157"/>
      <c r="C132" s="152" t="s">
        <v>20172</v>
      </c>
      <c r="D132" s="153" t="s">
        <v>20169</v>
      </c>
      <c r="E132" s="154" t="s">
        <v>38</v>
      </c>
      <c r="F132" s="150"/>
      <c r="G132" s="155">
        <f>310/1.5</f>
        <v>206.66999999999999</v>
      </c>
      <c r="H132" s="50"/>
      <c r="I132" s="192"/>
      <c r="J132" s="146"/>
      <c r="K132" s="161"/>
      <c r="L132" s="50"/>
      <c r="M132" s="143"/>
      <c r="N132" s="146"/>
      <c r="O132" s="145"/>
      <c r="P132" s="50"/>
      <c r="Q132" s="50"/>
      <c r="R132" s="50"/>
      <c r="S132" s="50"/>
      <c r="T132" s="50"/>
    </row>
    <row r="133" ht="76.5">
      <c r="A133" t="s">
        <v>20050</v>
      </c>
      <c r="B133" s="157"/>
      <c r="C133" s="157" t="s">
        <v>20020</v>
      </c>
      <c r="D133" s="153" t="s">
        <v>20021</v>
      </c>
      <c r="E133" s="158">
        <f>MEDIAN(G130:G132)</f>
        <v>206.66999999999999</v>
      </c>
      <c r="F133" s="159"/>
      <c r="G133" s="160"/>
      <c r="H133" s="50"/>
      <c r="I133" s="192"/>
      <c r="J133" s="146"/>
      <c r="K133" s="161"/>
      <c r="L133" s="50"/>
      <c r="M133" s="143"/>
      <c r="N133" s="146"/>
      <c r="O133" s="145"/>
      <c r="P133" s="50"/>
      <c r="Q133" s="50"/>
      <c r="R133" s="50"/>
      <c r="S133" s="50"/>
      <c r="T133" s="50"/>
    </row>
    <row r="134">
      <c r="A134" t="s">
        <v>20050</v>
      </c>
      <c r="B134" s="157"/>
      <c r="C134" s="135" t="s">
        <v>20173</v>
      </c>
      <c r="D134" s="135"/>
      <c r="E134" s="135"/>
      <c r="F134" s="135"/>
      <c r="G134" s="135"/>
      <c r="H134" s="50"/>
      <c r="I134" s="137">
        <v>45108</v>
      </c>
      <c r="J134" s="146"/>
      <c r="K134" s="161"/>
      <c r="L134" s="50"/>
      <c r="M134" s="143"/>
      <c r="N134" s="146"/>
      <c r="O134" s="145"/>
      <c r="P134" s="50"/>
      <c r="Q134" s="50"/>
      <c r="R134" s="50"/>
      <c r="S134" s="50"/>
      <c r="T134" s="50"/>
    </row>
    <row r="135">
      <c r="A135" t="s">
        <v>20050</v>
      </c>
      <c r="B135" s="157" t="s">
        <v>20174</v>
      </c>
      <c r="C135" s="157" t="s">
        <v>20174</v>
      </c>
      <c r="D135" s="139" t="s">
        <v>20175</v>
      </c>
      <c r="E135" s="140" t="s">
        <v>38</v>
      </c>
      <c r="F135" s="141"/>
      <c r="G135" s="142">
        <f>E139</f>
        <v>270</v>
      </c>
      <c r="H135" s="50"/>
      <c r="I135" s="192"/>
      <c r="J135" s="146"/>
      <c r="K135" s="161"/>
      <c r="L135" s="50"/>
      <c r="M135" s="143"/>
      <c r="N135" s="146"/>
      <c r="O135" s="145"/>
      <c r="P135" s="50"/>
      <c r="Q135" s="50"/>
      <c r="R135" s="50"/>
      <c r="S135" s="50"/>
      <c r="T135" s="50"/>
    </row>
    <row r="136" ht="25.5">
      <c r="A136" t="s">
        <v>20050</v>
      </c>
      <c r="B136" s="157"/>
      <c r="C136" s="152" t="s">
        <v>20168</v>
      </c>
      <c r="D136" s="153" t="s">
        <v>20176</v>
      </c>
      <c r="E136" s="154" t="s">
        <v>38</v>
      </c>
      <c r="F136" s="162"/>
      <c r="G136" s="155">
        <v>370</v>
      </c>
      <c r="H136" s="50"/>
      <c r="I136" s="192"/>
      <c r="J136" s="146"/>
      <c r="K136" s="161"/>
      <c r="L136" s="50"/>
      <c r="M136" s="143"/>
      <c r="N136" s="146"/>
      <c r="O136" s="145"/>
      <c r="P136" s="50"/>
      <c r="Q136" s="50"/>
      <c r="R136" s="50"/>
      <c r="S136" s="50"/>
      <c r="T136" s="50"/>
    </row>
    <row r="137" ht="25.5">
      <c r="A137" t="s">
        <v>20050</v>
      </c>
      <c r="B137" s="157"/>
      <c r="C137" s="152" t="s">
        <v>20171</v>
      </c>
      <c r="D137" s="153" t="s">
        <v>20176</v>
      </c>
      <c r="E137" s="154" t="s">
        <v>38</v>
      </c>
      <c r="F137" s="150"/>
      <c r="G137" s="155">
        <v>210</v>
      </c>
      <c r="H137" s="50"/>
      <c r="I137" s="192"/>
      <c r="J137" s="146"/>
      <c r="K137" s="161"/>
      <c r="L137" s="50"/>
      <c r="M137" s="143"/>
      <c r="N137" s="146"/>
      <c r="O137" s="145"/>
      <c r="P137" s="50"/>
      <c r="Q137" s="50"/>
      <c r="R137" s="50"/>
      <c r="S137" s="50"/>
      <c r="T137" s="50"/>
    </row>
    <row r="138" ht="25.5">
      <c r="A138" t="s">
        <v>20050</v>
      </c>
      <c r="B138" s="157"/>
      <c r="C138" s="152" t="s">
        <v>20172</v>
      </c>
      <c r="D138" s="153" t="s">
        <v>20176</v>
      </c>
      <c r="E138" s="154" t="s">
        <v>38</v>
      </c>
      <c r="F138" s="150"/>
      <c r="G138" s="155">
        <v>270</v>
      </c>
      <c r="H138" s="50"/>
      <c r="I138" s="192"/>
      <c r="J138" s="146"/>
      <c r="K138" s="161"/>
      <c r="L138" s="50"/>
      <c r="M138" s="143"/>
      <c r="N138" s="146"/>
      <c r="O138" s="145"/>
      <c r="P138" s="50"/>
      <c r="Q138" s="50"/>
      <c r="R138" s="50"/>
      <c r="S138" s="50"/>
      <c r="T138" s="50"/>
    </row>
    <row r="139" ht="76.5">
      <c r="A139" t="s">
        <v>20050</v>
      </c>
      <c r="B139" s="157"/>
      <c r="C139" s="157" t="s">
        <v>20020</v>
      </c>
      <c r="D139" s="153" t="s">
        <v>20021</v>
      </c>
      <c r="E139" s="158">
        <f>MEDIAN(G136:G138)</f>
        <v>270</v>
      </c>
      <c r="F139" s="159"/>
      <c r="G139" s="160"/>
      <c r="H139" s="50"/>
      <c r="I139" s="192"/>
      <c r="J139" s="146"/>
      <c r="K139" s="161"/>
      <c r="L139" s="50"/>
      <c r="M139" s="143"/>
      <c r="N139" s="146"/>
      <c r="O139" s="145"/>
      <c r="P139" s="50"/>
      <c r="Q139" s="50"/>
      <c r="R139" s="50"/>
      <c r="S139" s="50"/>
      <c r="T139" s="50"/>
    </row>
    <row r="140">
      <c r="A140" t="s">
        <v>20050</v>
      </c>
      <c r="B140" s="186"/>
      <c r="C140" s="135" t="s">
        <v>20177</v>
      </c>
      <c r="D140" s="135"/>
      <c r="E140" s="135"/>
      <c r="F140" s="135"/>
      <c r="G140" s="135"/>
      <c r="H140" s="50"/>
      <c r="I140" s="143"/>
      <c r="J140" s="146"/>
      <c r="K140" s="161"/>
      <c r="L140" s="50"/>
      <c r="M140" s="143"/>
      <c r="N140" s="146"/>
      <c r="O140" s="145"/>
      <c r="P140" s="50"/>
      <c r="Q140" s="50"/>
      <c r="R140" s="50"/>
      <c r="S140" s="50"/>
      <c r="T140" s="50"/>
    </row>
    <row r="141">
      <c r="A141" t="s">
        <v>20050</v>
      </c>
      <c r="B141" s="186" t="s">
        <v>20178</v>
      </c>
      <c r="C141" s="186" t="s">
        <v>20178</v>
      </c>
      <c r="D141" s="139" t="s">
        <v>20179</v>
      </c>
      <c r="E141" s="140" t="s">
        <v>15344</v>
      </c>
      <c r="F141" s="141"/>
      <c r="G141" s="142">
        <f>G142</f>
        <v>736</v>
      </c>
      <c r="H141" s="50"/>
      <c r="I141" s="137">
        <v>45190</v>
      </c>
      <c r="J141" s="146"/>
      <c r="K141" s="161"/>
      <c r="L141" s="50"/>
      <c r="M141" s="143"/>
      <c r="N141" s="146"/>
      <c r="O141" s="145"/>
      <c r="P141" s="50"/>
      <c r="Q141" s="50"/>
      <c r="R141" s="50"/>
      <c r="S141" s="50"/>
      <c r="T141" s="50"/>
    </row>
    <row r="142">
      <c r="A142" t="s">
        <v>20050</v>
      </c>
      <c r="B142" s="186"/>
      <c r="C142" s="152" t="s">
        <v>20080</v>
      </c>
      <c r="D142" s="153" t="s">
        <v>20179</v>
      </c>
      <c r="E142" s="154" t="s">
        <v>15344</v>
      </c>
      <c r="F142" s="162"/>
      <c r="G142" s="155">
        <v>736</v>
      </c>
      <c r="H142" s="50"/>
      <c r="I142" s="143" t="s">
        <v>20180</v>
      </c>
      <c r="J142" s="146"/>
      <c r="K142" s="161"/>
      <c r="L142" s="50"/>
      <c r="M142" s="143"/>
      <c r="N142" s="146"/>
      <c r="O142" s="145"/>
      <c r="P142" s="50"/>
      <c r="Q142" s="50"/>
      <c r="R142" s="50"/>
      <c r="S142" s="50"/>
      <c r="T142" s="50"/>
    </row>
    <row r="143">
      <c r="A143" t="s">
        <v>20050</v>
      </c>
      <c r="B143" s="184"/>
      <c r="C143" s="135" t="s">
        <v>20181</v>
      </c>
      <c r="D143" s="135"/>
      <c r="E143" s="135"/>
      <c r="F143" s="135"/>
      <c r="G143" s="135"/>
      <c r="H143" s="50"/>
      <c r="I143" s="143"/>
      <c r="J143" s="146"/>
      <c r="K143" s="161"/>
      <c r="L143" s="50"/>
      <c r="M143" s="143"/>
      <c r="N143" s="146"/>
      <c r="O143" s="145"/>
      <c r="P143" s="50"/>
      <c r="Q143" s="50"/>
      <c r="R143" s="50"/>
      <c r="S143" s="50"/>
      <c r="T143" s="50"/>
    </row>
    <row r="144" ht="25.5">
      <c r="A144" t="s">
        <v>20050</v>
      </c>
      <c r="B144" s="184" t="s">
        <v>20182</v>
      </c>
      <c r="C144" s="184" t="s">
        <v>20182</v>
      </c>
      <c r="D144" s="153" t="s">
        <v>20183</v>
      </c>
      <c r="E144" s="154" t="s">
        <v>15344</v>
      </c>
      <c r="F144" s="150"/>
      <c r="G144" s="176">
        <f>3096.86/6</f>
        <v>516.13999999999999</v>
      </c>
      <c r="H144" s="50"/>
      <c r="I144" s="143" t="s">
        <v>20054</v>
      </c>
      <c r="J144" s="146"/>
      <c r="K144" s="161"/>
      <c r="L144" s="50"/>
      <c r="M144" s="177" t="s">
        <v>20076</v>
      </c>
      <c r="N144" s="177"/>
      <c r="O144" s="177"/>
      <c r="P144" s="177"/>
      <c r="Q144" s="177"/>
      <c r="R144" s="177"/>
      <c r="S144" s="177"/>
      <c r="T144" s="177"/>
    </row>
    <row r="145">
      <c r="A145" t="s">
        <v>20050</v>
      </c>
      <c r="B145" s="184"/>
      <c r="C145" s="135" t="s">
        <v>20184</v>
      </c>
      <c r="D145" s="135"/>
      <c r="E145" s="135"/>
      <c r="F145" s="135"/>
      <c r="G145" s="135"/>
      <c r="H145" s="50"/>
      <c r="I145" s="143"/>
      <c r="J145" s="146"/>
      <c r="K145" s="161"/>
      <c r="L145" s="50"/>
      <c r="M145" s="50"/>
      <c r="N145" s="143"/>
      <c r="O145" s="146"/>
      <c r="P145" s="145"/>
      <c r="Q145" s="50"/>
      <c r="R145" s="50"/>
      <c r="S145" s="50"/>
      <c r="T145" s="50"/>
    </row>
    <row r="146" ht="25.5">
      <c r="A146" t="s">
        <v>20050</v>
      </c>
      <c r="B146" s="184" t="s">
        <v>20185</v>
      </c>
      <c r="C146" s="184" t="s">
        <v>20185</v>
      </c>
      <c r="D146" s="153" t="s">
        <v>20186</v>
      </c>
      <c r="E146" s="154" t="s">
        <v>15344</v>
      </c>
      <c r="F146" s="150"/>
      <c r="G146" s="176">
        <f>4159.51/6</f>
        <v>693.25</v>
      </c>
      <c r="H146" s="50"/>
      <c r="I146" s="143" t="s">
        <v>20054</v>
      </c>
      <c r="J146" s="146"/>
      <c r="K146" s="161"/>
      <c r="L146" s="50"/>
      <c r="M146" s="177" t="s">
        <v>20076</v>
      </c>
      <c r="N146" s="177"/>
      <c r="O146" s="177"/>
      <c r="P146" s="177"/>
      <c r="Q146" s="177"/>
      <c r="R146" s="177"/>
      <c r="S146" s="177"/>
      <c r="T146" s="177"/>
    </row>
    <row r="147">
      <c r="A147" t="s">
        <v>20050</v>
      </c>
      <c r="B147" s="184"/>
      <c r="C147" s="135" t="s">
        <v>20187</v>
      </c>
      <c r="D147" s="135"/>
      <c r="E147" s="135"/>
      <c r="F147" s="135"/>
      <c r="G147" s="135"/>
      <c r="H147" s="50"/>
      <c r="I147" s="143"/>
      <c r="J147" s="146"/>
      <c r="K147" s="161"/>
      <c r="L147" s="50"/>
      <c r="M147" s="50"/>
      <c r="N147" s="143"/>
      <c r="O147" s="146"/>
      <c r="P147" s="145"/>
      <c r="Q147" s="50"/>
      <c r="R147" s="50"/>
      <c r="S147" s="50"/>
      <c r="T147" s="50"/>
    </row>
    <row r="148" ht="25.5">
      <c r="A148" t="s">
        <v>20050</v>
      </c>
      <c r="B148" s="184" t="s">
        <v>20188</v>
      </c>
      <c r="C148" s="184" t="s">
        <v>20188</v>
      </c>
      <c r="D148" s="153" t="s">
        <v>20189</v>
      </c>
      <c r="E148" s="154" t="s">
        <v>15344</v>
      </c>
      <c r="F148" s="150"/>
      <c r="G148" s="176">
        <f>5616.86/6</f>
        <v>936.13999999999999</v>
      </c>
      <c r="H148" s="50"/>
      <c r="I148" s="143" t="s">
        <v>20054</v>
      </c>
      <c r="J148" s="146"/>
      <c r="K148" s="161"/>
      <c r="L148" s="50"/>
      <c r="M148" s="177" t="s">
        <v>20076</v>
      </c>
      <c r="N148" s="177"/>
      <c r="O148" s="177"/>
      <c r="P148" s="177"/>
      <c r="Q148" s="177"/>
      <c r="R148" s="177"/>
      <c r="S148" s="177"/>
      <c r="T148" s="177"/>
    </row>
    <row r="149">
      <c r="A149" t="s">
        <v>20050</v>
      </c>
      <c r="B149" s="184"/>
      <c r="C149" s="135" t="s">
        <v>20190</v>
      </c>
      <c r="D149" s="135"/>
      <c r="E149" s="135"/>
      <c r="F149" s="135"/>
      <c r="G149" s="135"/>
      <c r="H149" s="50"/>
      <c r="I149" s="143"/>
      <c r="J149" s="146"/>
      <c r="K149" s="161"/>
      <c r="L149" s="50"/>
      <c r="M149" s="50"/>
      <c r="N149" s="143"/>
      <c r="O149" s="146"/>
      <c r="P149" s="145"/>
      <c r="Q149" s="50"/>
      <c r="R149" s="50"/>
      <c r="S149" s="50"/>
      <c r="T149" s="50"/>
    </row>
    <row r="150" ht="25.5">
      <c r="A150" t="s">
        <v>20050</v>
      </c>
      <c r="B150" s="184" t="s">
        <v>20191</v>
      </c>
      <c r="C150" s="184" t="s">
        <v>20191</v>
      </c>
      <c r="D150" s="153" t="s">
        <v>20192</v>
      </c>
      <c r="E150" s="154" t="s">
        <v>15344</v>
      </c>
      <c r="F150" s="150"/>
      <c r="G150" s="194">
        <f>6315.16/6</f>
        <v>1052.53</v>
      </c>
      <c r="H150" s="50"/>
      <c r="I150" s="143" t="s">
        <v>20054</v>
      </c>
      <c r="J150" s="146"/>
      <c r="K150" s="161"/>
      <c r="L150" s="50"/>
      <c r="M150" s="177" t="s">
        <v>20076</v>
      </c>
      <c r="N150" s="177"/>
      <c r="O150" s="177"/>
      <c r="P150" s="177"/>
      <c r="Q150" s="177"/>
      <c r="R150" s="177"/>
      <c r="S150" s="177"/>
      <c r="T150" s="177"/>
    </row>
    <row r="151">
      <c r="A151" t="s">
        <v>20050</v>
      </c>
      <c r="B151" s="157"/>
      <c r="C151" s="135" t="s">
        <v>20193</v>
      </c>
      <c r="D151" s="135"/>
      <c r="E151" s="135"/>
      <c r="F151" s="135"/>
      <c r="G151" s="135"/>
      <c r="H151" s="50"/>
      <c r="I151" s="137">
        <v>45190</v>
      </c>
      <c r="J151" s="146"/>
      <c r="K151" s="161"/>
      <c r="L151" s="50"/>
      <c r="M151" s="177"/>
      <c r="N151" s="177"/>
      <c r="O151" s="177"/>
      <c r="P151" s="177"/>
      <c r="Q151" s="177"/>
      <c r="R151" s="177"/>
      <c r="S151" s="177"/>
      <c r="T151" s="177"/>
    </row>
    <row r="152" ht="25.5">
      <c r="A152" t="s">
        <v>20050</v>
      </c>
      <c r="B152" s="157" t="s">
        <v>20194</v>
      </c>
      <c r="C152" s="157" t="s">
        <v>20194</v>
      </c>
      <c r="D152" s="139" t="s">
        <v>20195</v>
      </c>
      <c r="E152" s="140" t="s">
        <v>20196</v>
      </c>
      <c r="F152" s="141"/>
      <c r="G152" s="142">
        <f>G153</f>
        <v>45.630000000000003</v>
      </c>
      <c r="H152" s="50"/>
      <c r="I152" s="143"/>
      <c r="J152" s="146"/>
      <c r="K152" s="161"/>
      <c r="L152" s="50"/>
      <c r="M152" s="177"/>
      <c r="N152" s="177"/>
      <c r="O152" s="177"/>
      <c r="P152" s="177"/>
      <c r="Q152" s="177"/>
      <c r="R152" s="177"/>
      <c r="S152" s="177"/>
      <c r="T152" s="177"/>
    </row>
    <row r="153" ht="38.25">
      <c r="A153" t="s">
        <v>20050</v>
      </c>
      <c r="B153" s="157"/>
      <c r="C153" s="203" t="s">
        <v>20197</v>
      </c>
      <c r="D153" s="153" t="s">
        <v>20198</v>
      </c>
      <c r="E153" s="154"/>
      <c r="F153" s="162"/>
      <c r="G153" s="155">
        <v>45.630000000000003</v>
      </c>
      <c r="H153" s="50"/>
      <c r="I153" s="143"/>
      <c r="J153" s="146"/>
      <c r="K153" s="161"/>
      <c r="L153" s="50"/>
      <c r="M153" s="177"/>
      <c r="N153" s="177"/>
      <c r="O153" s="177"/>
      <c r="P153" s="177"/>
      <c r="Q153" s="177"/>
      <c r="R153" s="177"/>
      <c r="S153" s="177"/>
      <c r="T153" s="177"/>
    </row>
    <row r="154">
      <c r="A154" t="s">
        <v>20050</v>
      </c>
      <c r="B154" s="157" t="s">
        <v>20199</v>
      </c>
      <c r="C154" s="135" t="s">
        <v>20200</v>
      </c>
      <c r="D154" s="135"/>
      <c r="E154" s="135"/>
      <c r="F154" s="135"/>
      <c r="G154" s="135"/>
      <c r="H154" s="50"/>
      <c r="I154" s="143"/>
      <c r="J154" s="146"/>
      <c r="K154" s="161"/>
      <c r="L154" s="50"/>
      <c r="M154" s="177"/>
      <c r="N154" s="177"/>
      <c r="O154" s="177"/>
      <c r="P154" s="177"/>
      <c r="Q154" s="177"/>
      <c r="R154" s="177"/>
      <c r="S154" s="177"/>
      <c r="T154" s="177"/>
    </row>
    <row r="155" ht="25.5">
      <c r="A155" t="s">
        <v>20050</v>
      </c>
      <c r="B155" s="184" t="s">
        <v>20199</v>
      </c>
      <c r="C155" s="184" t="s">
        <v>20199</v>
      </c>
      <c r="D155" s="153" t="s">
        <v>20201</v>
      </c>
      <c r="E155" s="154" t="s">
        <v>15344</v>
      </c>
      <c r="F155" s="150"/>
      <c r="G155" s="194">
        <f>12478.53/6</f>
        <v>2079.7600000000002</v>
      </c>
      <c r="H155" s="50"/>
      <c r="I155" s="143" t="s">
        <v>20054</v>
      </c>
      <c r="J155" s="146"/>
      <c r="K155" s="161"/>
      <c r="L155" s="50"/>
      <c r="M155" s="177"/>
      <c r="N155" s="177"/>
      <c r="O155" s="177"/>
      <c r="P155" s="177"/>
      <c r="Q155" s="177"/>
      <c r="R155" s="177"/>
      <c r="S155" s="177"/>
      <c r="T155" s="177"/>
    </row>
    <row r="156">
      <c r="A156" t="s">
        <v>20050</v>
      </c>
      <c r="B156" s="157" t="s">
        <v>20202</v>
      </c>
      <c r="C156" s="135" t="s">
        <v>20203</v>
      </c>
      <c r="D156" s="135"/>
      <c r="E156" s="135"/>
      <c r="F156" s="135"/>
      <c r="G156" s="135"/>
      <c r="H156" s="50"/>
      <c r="I156" s="137">
        <v>45231</v>
      </c>
      <c r="J156" s="146"/>
      <c r="K156" s="161"/>
      <c r="L156" s="50"/>
      <c r="M156" s="177"/>
      <c r="N156" s="177"/>
      <c r="O156" s="177"/>
      <c r="P156" s="177"/>
      <c r="Q156" s="177"/>
      <c r="R156" s="177"/>
      <c r="S156" s="177"/>
      <c r="T156" s="177"/>
    </row>
    <row r="157" ht="38.25">
      <c r="A157" t="s">
        <v>20050</v>
      </c>
      <c r="B157" s="157"/>
      <c r="C157" s="157" t="s">
        <v>20202</v>
      </c>
      <c r="D157" s="139" t="s">
        <v>20204</v>
      </c>
      <c r="E157" s="140" t="s">
        <v>31</v>
      </c>
      <c r="F157" s="141"/>
      <c r="G157" s="142">
        <f>E161</f>
        <v>560</v>
      </c>
      <c r="H157" s="50"/>
      <c r="I157" s="143"/>
      <c r="J157" s="146"/>
      <c r="K157" s="161"/>
      <c r="L157" s="50"/>
      <c r="M157" s="177"/>
      <c r="N157" s="177"/>
      <c r="O157" s="177"/>
      <c r="P157" s="177"/>
      <c r="Q157" s="177"/>
      <c r="R157" s="177"/>
      <c r="S157" s="177"/>
      <c r="T157" s="177"/>
    </row>
    <row r="158" ht="25.5">
      <c r="A158" t="s">
        <v>20050</v>
      </c>
      <c r="B158" s="157"/>
      <c r="C158" s="204" t="s">
        <v>20205</v>
      </c>
      <c r="D158" s="187" t="s">
        <v>20206</v>
      </c>
      <c r="E158" s="154" t="s">
        <v>31</v>
      </c>
      <c r="F158" s="162"/>
      <c r="G158" s="155">
        <v>447.30000000000001</v>
      </c>
      <c r="H158" s="50"/>
      <c r="I158" s="143"/>
      <c r="J158" s="146"/>
      <c r="K158" s="161"/>
      <c r="L158" s="50"/>
      <c r="M158" s="177"/>
      <c r="N158" s="177"/>
      <c r="O158" s="177"/>
      <c r="P158" s="177"/>
      <c r="Q158" s="177"/>
      <c r="R158" s="177"/>
      <c r="S158" s="177"/>
      <c r="T158" s="177"/>
    </row>
    <row r="159" ht="38.25">
      <c r="A159" t="s">
        <v>20050</v>
      </c>
      <c r="B159" s="157"/>
      <c r="C159" s="204" t="s">
        <v>20117</v>
      </c>
      <c r="D159" s="187" t="s">
        <v>20207</v>
      </c>
      <c r="E159" s="154" t="s">
        <v>31</v>
      </c>
      <c r="F159" s="150"/>
      <c r="G159" s="155">
        <v>560</v>
      </c>
      <c r="H159" s="50"/>
      <c r="I159" s="143"/>
      <c r="J159" s="146"/>
      <c r="K159" s="161"/>
      <c r="L159" s="50"/>
      <c r="M159" s="177"/>
      <c r="N159" s="177"/>
      <c r="O159" s="177"/>
      <c r="P159" s="177"/>
      <c r="Q159" s="177"/>
      <c r="R159" s="177"/>
      <c r="S159" s="177"/>
      <c r="T159" s="177"/>
    </row>
    <row r="160" ht="25.5">
      <c r="A160" t="s">
        <v>20050</v>
      </c>
      <c r="B160" s="157"/>
      <c r="C160" s="204" t="s">
        <v>20119</v>
      </c>
      <c r="D160" s="153" t="s">
        <v>20208</v>
      </c>
      <c r="E160" s="154" t="s">
        <v>31</v>
      </c>
      <c r="F160" s="150"/>
      <c r="G160" s="155">
        <v>640</v>
      </c>
      <c r="H160" s="50"/>
      <c r="I160" s="143"/>
      <c r="J160" s="146"/>
      <c r="K160" s="161"/>
      <c r="L160" s="50"/>
      <c r="M160" s="177"/>
      <c r="N160" s="177"/>
      <c r="O160" s="177"/>
      <c r="P160" s="177"/>
      <c r="Q160" s="177"/>
      <c r="R160" s="177"/>
      <c r="S160" s="177"/>
      <c r="T160" s="177"/>
    </row>
    <row r="161" ht="76.5">
      <c r="A161" t="s">
        <v>20050</v>
      </c>
      <c r="B161" s="157"/>
      <c r="C161" s="157" t="s">
        <v>20020</v>
      </c>
      <c r="D161" s="153" t="s">
        <v>20021</v>
      </c>
      <c r="E161" s="158">
        <f>MEDIAN(G158:G160)</f>
        <v>560</v>
      </c>
      <c r="F161" s="159"/>
      <c r="G161" s="160"/>
      <c r="H161" s="50"/>
      <c r="I161" s="143"/>
      <c r="J161" s="146"/>
      <c r="K161" s="161"/>
      <c r="L161" s="50"/>
      <c r="M161" s="177"/>
      <c r="N161" s="177"/>
      <c r="O161" s="177"/>
      <c r="P161" s="177"/>
      <c r="Q161" s="177"/>
      <c r="R161" s="177"/>
      <c r="S161" s="177"/>
      <c r="T161" s="177"/>
    </row>
    <row r="162">
      <c r="A162" t="s">
        <v>20050</v>
      </c>
      <c r="B162" s="157"/>
      <c r="C162" s="135" t="s">
        <v>20209</v>
      </c>
      <c r="D162" s="135"/>
      <c r="E162" s="135"/>
      <c r="F162" s="135"/>
      <c r="G162" s="135"/>
      <c r="H162" s="50"/>
      <c r="I162" s="137">
        <v>45231</v>
      </c>
      <c r="J162" s="146"/>
      <c r="K162" s="161"/>
      <c r="L162" s="50"/>
      <c r="M162" s="177"/>
      <c r="N162" s="177"/>
      <c r="O162" s="177"/>
      <c r="P162" s="177"/>
      <c r="Q162" s="177"/>
      <c r="R162" s="177"/>
      <c r="S162" s="177"/>
      <c r="T162" s="177"/>
    </row>
    <row r="163">
      <c r="A163" t="s">
        <v>20050</v>
      </c>
      <c r="B163" s="157" t="s">
        <v>20210</v>
      </c>
      <c r="C163" s="157" t="s">
        <v>20210</v>
      </c>
      <c r="D163" s="139" t="s">
        <v>20211</v>
      </c>
      <c r="E163" s="140" t="s">
        <v>38</v>
      </c>
      <c r="F163" s="141"/>
      <c r="G163" s="142">
        <f>E167</f>
        <v>110</v>
      </c>
      <c r="H163" s="50"/>
      <c r="I163" s="50"/>
      <c r="J163" s="146"/>
      <c r="K163" s="161"/>
      <c r="L163" s="50"/>
      <c r="M163" s="177"/>
      <c r="N163" s="177"/>
      <c r="O163" s="177"/>
      <c r="P163" s="177"/>
      <c r="Q163" s="177"/>
      <c r="R163" s="177"/>
      <c r="S163" s="177"/>
      <c r="T163" s="177"/>
    </row>
    <row r="164" ht="25.5">
      <c r="A164" t="s">
        <v>20050</v>
      </c>
      <c r="B164" s="157"/>
      <c r="C164" s="152" t="s">
        <v>20168</v>
      </c>
      <c r="D164" s="153" t="s">
        <v>20212</v>
      </c>
      <c r="E164" s="154" t="s">
        <v>38</v>
      </c>
      <c r="F164" s="162"/>
      <c r="G164" s="155">
        <f>(120/1.5)+82.43</f>
        <v>162.43000000000001</v>
      </c>
      <c r="H164" s="50"/>
      <c r="I164" s="192"/>
      <c r="J164" s="146" t="s">
        <v>20213</v>
      </c>
      <c r="K164" s="161"/>
      <c r="L164" s="50"/>
      <c r="M164" s="177"/>
      <c r="N164" s="177"/>
      <c r="O164" s="177"/>
      <c r="P164" s="177"/>
      <c r="Q164" s="177"/>
      <c r="R164" s="177"/>
      <c r="S164" s="177"/>
      <c r="T164" s="177"/>
    </row>
    <row r="165" ht="25.5">
      <c r="A165" t="s">
        <v>20050</v>
      </c>
      <c r="B165" s="157"/>
      <c r="C165" s="203" t="s">
        <v>20171</v>
      </c>
      <c r="D165" s="153" t="s">
        <v>20212</v>
      </c>
      <c r="E165" s="154" t="s">
        <v>38</v>
      </c>
      <c r="F165" s="150"/>
      <c r="G165" s="155">
        <v>80</v>
      </c>
      <c r="H165" s="50"/>
      <c r="I165" s="192"/>
      <c r="J165" s="146"/>
      <c r="K165" s="161"/>
      <c r="L165" s="50"/>
      <c r="M165" s="177"/>
      <c r="N165" s="177"/>
      <c r="O165" s="177"/>
      <c r="P165" s="177"/>
      <c r="Q165" s="177"/>
      <c r="R165" s="177"/>
      <c r="S165" s="177"/>
      <c r="T165" s="177"/>
    </row>
    <row r="166" ht="25.5">
      <c r="A166" t="s">
        <v>20050</v>
      </c>
      <c r="B166" s="157"/>
      <c r="C166" s="152" t="s">
        <v>20172</v>
      </c>
      <c r="D166" s="153" t="s">
        <v>20212</v>
      </c>
      <c r="E166" s="154" t="s">
        <v>38</v>
      </c>
      <c r="F166" s="150"/>
      <c r="G166" s="155">
        <f>165/1.5</f>
        <v>110</v>
      </c>
      <c r="H166" s="50"/>
      <c r="I166" s="192"/>
      <c r="J166" s="146"/>
      <c r="K166" s="161"/>
      <c r="L166" s="50"/>
      <c r="M166" s="177"/>
      <c r="N166" s="177"/>
      <c r="O166" s="177"/>
      <c r="P166" s="177"/>
      <c r="Q166" s="177"/>
      <c r="R166" s="177"/>
      <c r="S166" s="177"/>
      <c r="T166" s="177"/>
    </row>
    <row r="167" ht="76.5">
      <c r="A167" t="s">
        <v>20050</v>
      </c>
      <c r="B167" s="157"/>
      <c r="C167" s="157" t="s">
        <v>20020</v>
      </c>
      <c r="D167" s="153" t="s">
        <v>20021</v>
      </c>
      <c r="E167" s="158">
        <f>MEDIAN(G164:G166)</f>
        <v>110</v>
      </c>
      <c r="F167" s="159"/>
      <c r="G167" s="160"/>
      <c r="H167" s="50"/>
      <c r="I167" s="192"/>
      <c r="J167" s="146"/>
      <c r="K167" s="161"/>
      <c r="L167" s="50"/>
      <c r="M167" s="177"/>
      <c r="N167" s="177"/>
      <c r="O167" s="177"/>
      <c r="P167" s="177"/>
      <c r="Q167" s="177"/>
      <c r="R167" s="177"/>
      <c r="S167" s="177"/>
      <c r="T167" s="177"/>
    </row>
    <row r="168">
      <c r="B168" s="205"/>
      <c r="C168" s="135" t="s">
        <v>20214</v>
      </c>
      <c r="D168" s="135"/>
      <c r="E168" s="135"/>
      <c r="F168" s="135"/>
      <c r="G168" s="135"/>
      <c r="H168" s="50"/>
      <c r="I168" s="137">
        <v>45352</v>
      </c>
      <c r="J168" s="146"/>
      <c r="K168" s="161"/>
      <c r="L168" s="50"/>
      <c r="M168" s="177"/>
      <c r="N168" s="177"/>
      <c r="O168" s="177"/>
      <c r="P168" s="177"/>
      <c r="Q168" s="177"/>
      <c r="R168" s="177"/>
      <c r="S168" s="177"/>
      <c r="T168" s="177"/>
    </row>
    <row r="169">
      <c r="B169" s="205" t="s">
        <v>20215</v>
      </c>
      <c r="C169" s="205" t="s">
        <v>20215</v>
      </c>
      <c r="D169" s="197" t="s">
        <v>20216</v>
      </c>
      <c r="E169" s="140" t="s">
        <v>38</v>
      </c>
      <c r="F169" s="141"/>
      <c r="G169" s="142">
        <f>E173</f>
        <v>268</v>
      </c>
      <c r="H169" s="50"/>
      <c r="I169" s="192"/>
      <c r="J169" s="146"/>
      <c r="K169" s="161"/>
      <c r="L169" s="50"/>
      <c r="M169" s="177"/>
      <c r="N169" s="177"/>
      <c r="O169" s="177"/>
      <c r="P169" s="177"/>
      <c r="Q169" s="177"/>
      <c r="R169" s="177"/>
      <c r="S169" s="177"/>
      <c r="T169" s="177"/>
    </row>
    <row r="170" ht="38.25">
      <c r="B170" s="205"/>
      <c r="C170" s="206" t="s">
        <v>20217</v>
      </c>
      <c r="D170" s="153" t="s">
        <v>20218</v>
      </c>
      <c r="E170" s="154" t="s">
        <v>38</v>
      </c>
      <c r="F170" s="162"/>
      <c r="G170" s="155">
        <f>678.5/2.5</f>
        <v>271.39999999999998</v>
      </c>
      <c r="H170" s="50"/>
      <c r="I170" s="192"/>
      <c r="J170" s="146"/>
      <c r="K170" s="161"/>
      <c r="L170" s="50"/>
      <c r="M170" s="177"/>
      <c r="N170" s="177"/>
      <c r="O170" s="177"/>
      <c r="P170" s="177"/>
      <c r="Q170" s="177"/>
      <c r="R170" s="177"/>
      <c r="S170" s="177"/>
      <c r="T170" s="177"/>
    </row>
    <row r="171">
      <c r="B171" s="205"/>
      <c r="C171" s="203" t="s">
        <v>20219</v>
      </c>
      <c r="D171" s="153" t="s">
        <v>20216</v>
      </c>
      <c r="E171" s="154" t="s">
        <v>38</v>
      </c>
      <c r="F171" s="150"/>
      <c r="G171" s="155">
        <f>670/2.5</f>
        <v>268</v>
      </c>
      <c r="H171" s="50"/>
      <c r="I171" s="192"/>
      <c r="J171" s="146"/>
      <c r="K171" s="161"/>
      <c r="L171" s="50"/>
      <c r="M171" s="177"/>
      <c r="N171" s="177"/>
      <c r="O171" s="177"/>
      <c r="P171" s="177"/>
      <c r="Q171" s="177"/>
      <c r="R171" s="177"/>
      <c r="S171" s="177"/>
      <c r="T171" s="177"/>
    </row>
    <row r="172">
      <c r="B172" s="205"/>
      <c r="C172" s="152" t="s">
        <v>20220</v>
      </c>
      <c r="D172" s="153" t="s">
        <v>20221</v>
      </c>
      <c r="E172" s="154" t="s">
        <v>38</v>
      </c>
      <c r="F172" s="150"/>
      <c r="G172" s="155">
        <f>562.73/2.5</f>
        <v>225.09</v>
      </c>
      <c r="H172" s="50"/>
      <c r="I172" s="192"/>
      <c r="J172" s="146"/>
      <c r="K172" s="161"/>
      <c r="L172" s="50"/>
      <c r="M172" s="177"/>
      <c r="N172" s="177"/>
      <c r="O172" s="177"/>
      <c r="P172" s="177"/>
      <c r="Q172" s="177"/>
      <c r="R172" s="177"/>
      <c r="S172" s="177"/>
      <c r="T172" s="177"/>
    </row>
    <row r="173" ht="76.5">
      <c r="B173" s="205"/>
      <c r="C173" s="157" t="s">
        <v>20020</v>
      </c>
      <c r="D173" s="153" t="s">
        <v>20021</v>
      </c>
      <c r="E173" s="158">
        <f>MEDIAN(G170:G172)</f>
        <v>268</v>
      </c>
      <c r="F173" s="159"/>
      <c r="G173" s="160"/>
      <c r="H173" s="50"/>
      <c r="I173" s="192"/>
      <c r="J173" s="146"/>
      <c r="K173" s="161"/>
      <c r="L173" s="50"/>
      <c r="M173" s="177"/>
      <c r="N173" s="177"/>
      <c r="O173" s="177"/>
      <c r="P173" s="177"/>
      <c r="Q173" s="177"/>
      <c r="R173" s="177"/>
      <c r="S173" s="177"/>
      <c r="T173" s="177"/>
    </row>
    <row r="174">
      <c r="B174" s="157"/>
      <c r="C174" s="135" t="s">
        <v>20222</v>
      </c>
      <c r="D174" s="135"/>
      <c r="E174" s="135"/>
      <c r="F174" s="135"/>
      <c r="G174" s="135"/>
      <c r="H174" s="50"/>
      <c r="I174" s="137">
        <v>45352</v>
      </c>
      <c r="J174" s="146"/>
      <c r="K174" s="161"/>
      <c r="L174" s="50"/>
      <c r="M174" s="177"/>
      <c r="N174" s="177"/>
      <c r="O174" s="177"/>
      <c r="P174" s="177"/>
      <c r="Q174" s="177"/>
      <c r="R174" s="177"/>
      <c r="S174" s="177"/>
      <c r="T174" s="177"/>
    </row>
    <row r="175">
      <c r="B175" s="157" t="s">
        <v>20223</v>
      </c>
      <c r="C175" s="157" t="s">
        <v>20223</v>
      </c>
      <c r="D175" s="139" t="s">
        <v>20224</v>
      </c>
      <c r="E175" s="140" t="s">
        <v>38</v>
      </c>
      <c r="F175" s="141"/>
      <c r="G175" s="142">
        <f>E179</f>
        <v>287.86000000000001</v>
      </c>
      <c r="H175" s="50"/>
      <c r="I175" s="192"/>
      <c r="J175" s="146"/>
      <c r="K175" s="161"/>
      <c r="L175" s="50"/>
      <c r="M175" s="177"/>
      <c r="N175" s="177"/>
      <c r="O175" s="177"/>
      <c r="P175" s="177"/>
      <c r="Q175" s="177"/>
      <c r="R175" s="177"/>
      <c r="S175" s="177"/>
      <c r="T175" s="177"/>
    </row>
    <row r="176" ht="25.5">
      <c r="B176" s="157"/>
      <c r="C176" s="206" t="s">
        <v>20217</v>
      </c>
      <c r="D176" s="153" t="s">
        <v>20225</v>
      </c>
      <c r="E176" s="154" t="s">
        <v>38</v>
      </c>
      <c r="F176" s="162"/>
      <c r="G176" s="155">
        <f>239.5</f>
        <v>239.5</v>
      </c>
      <c r="H176" s="50"/>
      <c r="I176" s="192"/>
      <c r="J176" s="146"/>
      <c r="K176" s="161"/>
      <c r="L176" s="50"/>
      <c r="M176" s="177"/>
      <c r="N176" s="177"/>
      <c r="O176" s="177"/>
      <c r="P176" s="177"/>
      <c r="Q176" s="177"/>
      <c r="R176" s="177"/>
      <c r="S176" s="177"/>
      <c r="T176" s="177"/>
    </row>
    <row r="177">
      <c r="B177" s="157"/>
      <c r="C177" s="203" t="s">
        <v>20219</v>
      </c>
      <c r="D177" s="153" t="s">
        <v>20226</v>
      </c>
      <c r="E177" s="154" t="s">
        <v>38</v>
      </c>
      <c r="F177" s="150"/>
      <c r="G177" s="155">
        <f>380.77</f>
        <v>380.76999999999998</v>
      </c>
      <c r="H177" s="50"/>
      <c r="I177" s="192"/>
      <c r="J177" s="146"/>
      <c r="K177" s="161"/>
      <c r="L177" s="50"/>
      <c r="M177" s="177"/>
      <c r="N177" s="177"/>
      <c r="O177" s="177"/>
      <c r="P177" s="177"/>
      <c r="Q177" s="177"/>
      <c r="R177" s="177"/>
      <c r="S177" s="177"/>
      <c r="T177" s="177"/>
    </row>
    <row r="178" ht="25.5">
      <c r="B178" s="157"/>
      <c r="C178" s="152" t="s">
        <v>20220</v>
      </c>
      <c r="D178" s="153" t="s">
        <v>20227</v>
      </c>
      <c r="E178" s="154" t="s">
        <v>38</v>
      </c>
      <c r="F178" s="150"/>
      <c r="G178" s="155">
        <f>287.86</f>
        <v>287.86000000000001</v>
      </c>
      <c r="H178" s="50"/>
      <c r="I178" s="192"/>
      <c r="J178" s="146"/>
      <c r="K178" s="161"/>
      <c r="L178" s="50"/>
      <c r="M178" s="177"/>
      <c r="N178" s="177"/>
      <c r="O178" s="177"/>
      <c r="P178" s="177"/>
      <c r="Q178" s="177"/>
      <c r="R178" s="177"/>
      <c r="S178" s="177"/>
      <c r="T178" s="177"/>
    </row>
    <row r="179" ht="76.5">
      <c r="B179" s="157"/>
      <c r="C179" s="157" t="s">
        <v>20020</v>
      </c>
      <c r="D179" s="153" t="s">
        <v>20021</v>
      </c>
      <c r="E179" s="158">
        <f>MEDIAN(G176:G178)</f>
        <v>287.86000000000001</v>
      </c>
      <c r="F179" s="159"/>
      <c r="G179" s="160"/>
      <c r="H179" s="50"/>
      <c r="I179" s="192"/>
      <c r="J179" s="146"/>
      <c r="K179" s="161"/>
      <c r="L179" s="50"/>
      <c r="M179" s="177"/>
      <c r="N179" s="177"/>
      <c r="O179" s="177"/>
      <c r="P179" s="177"/>
      <c r="Q179" s="177"/>
      <c r="R179" s="177"/>
      <c r="S179" s="177"/>
      <c r="T179" s="177"/>
    </row>
    <row r="180">
      <c r="B180" s="157"/>
      <c r="C180" s="135" t="s">
        <v>20228</v>
      </c>
      <c r="D180" s="135"/>
      <c r="E180" s="135"/>
      <c r="F180" s="135"/>
      <c r="G180" s="135"/>
      <c r="H180" s="50"/>
      <c r="I180" s="137">
        <v>45352</v>
      </c>
      <c r="J180" s="146"/>
      <c r="K180" s="161"/>
      <c r="L180" s="50"/>
      <c r="M180" s="177"/>
      <c r="N180" s="177"/>
      <c r="O180" s="177"/>
      <c r="P180" s="177"/>
      <c r="Q180" s="177"/>
      <c r="R180" s="177"/>
      <c r="S180" s="177"/>
      <c r="T180" s="177"/>
    </row>
    <row r="181">
      <c r="B181" s="157" t="s">
        <v>20229</v>
      </c>
      <c r="C181" s="157" t="s">
        <v>20229</v>
      </c>
      <c r="D181" s="139" t="s">
        <v>20230</v>
      </c>
      <c r="E181" s="140" t="s">
        <v>38</v>
      </c>
      <c r="F181" s="141"/>
      <c r="G181" s="142">
        <f>E185</f>
        <v>8.5</v>
      </c>
      <c r="H181" s="50"/>
      <c r="I181" s="192"/>
      <c r="J181" s="146"/>
      <c r="K181" s="161"/>
      <c r="L181" s="50"/>
      <c r="M181" s="177"/>
      <c r="N181" s="177"/>
      <c r="O181" s="177"/>
      <c r="P181" s="177"/>
      <c r="Q181" s="177"/>
      <c r="R181" s="177"/>
      <c r="S181" s="177"/>
      <c r="T181" s="177"/>
    </row>
    <row r="182" ht="25.5">
      <c r="B182" s="157"/>
      <c r="C182" s="206" t="s">
        <v>20217</v>
      </c>
      <c r="D182" s="153" t="s">
        <v>20231</v>
      </c>
      <c r="E182" s="154" t="s">
        <v>38</v>
      </c>
      <c r="F182" s="162"/>
      <c r="G182" s="155">
        <f>6.5</f>
        <v>6.5</v>
      </c>
      <c r="H182" s="50"/>
      <c r="I182" s="192"/>
      <c r="J182" s="146"/>
      <c r="K182" s="161"/>
      <c r="L182" s="50"/>
      <c r="M182" s="177"/>
      <c r="N182" s="177"/>
      <c r="O182" s="177"/>
      <c r="P182" s="177"/>
      <c r="Q182" s="177"/>
      <c r="R182" s="177"/>
      <c r="S182" s="177"/>
      <c r="T182" s="177"/>
    </row>
    <row r="183">
      <c r="B183" s="157"/>
      <c r="C183" s="203" t="s">
        <v>20219</v>
      </c>
      <c r="D183" s="153" t="s">
        <v>20232</v>
      </c>
      <c r="E183" s="154" t="s">
        <v>38</v>
      </c>
      <c r="F183" s="150"/>
      <c r="G183" s="155">
        <f>8.5</f>
        <v>8.5</v>
      </c>
      <c r="H183" s="50"/>
      <c r="I183" s="192"/>
      <c r="J183" s="146"/>
      <c r="K183" s="161"/>
      <c r="L183" s="50"/>
      <c r="M183" s="177"/>
      <c r="N183" s="177"/>
      <c r="O183" s="177"/>
      <c r="P183" s="177"/>
      <c r="Q183" s="177"/>
      <c r="R183" s="177"/>
      <c r="S183" s="177"/>
      <c r="T183" s="177"/>
    </row>
    <row r="184">
      <c r="B184" s="157"/>
      <c r="C184" s="152" t="s">
        <v>20220</v>
      </c>
      <c r="D184" s="153" t="s">
        <v>20232</v>
      </c>
      <c r="E184" s="154" t="s">
        <v>38</v>
      </c>
      <c r="F184" s="150"/>
      <c r="G184" s="155">
        <f>9.13</f>
        <v>9.1300000000000008</v>
      </c>
      <c r="H184" s="50"/>
      <c r="I184" s="192"/>
      <c r="J184" s="146"/>
      <c r="K184" s="161"/>
      <c r="L184" s="50"/>
      <c r="M184" s="177"/>
      <c r="N184" s="177"/>
      <c r="O184" s="177"/>
      <c r="P184" s="177"/>
      <c r="Q184" s="177"/>
      <c r="R184" s="177"/>
      <c r="S184" s="177"/>
      <c r="T184" s="177"/>
    </row>
    <row r="185" ht="76.5">
      <c r="B185" s="157"/>
      <c r="C185" s="157" t="s">
        <v>20020</v>
      </c>
      <c r="D185" s="153" t="s">
        <v>20021</v>
      </c>
      <c r="E185" s="158">
        <f>MEDIAN(G182:G184)</f>
        <v>8.5</v>
      </c>
      <c r="F185" s="159"/>
      <c r="G185" s="160"/>
      <c r="H185" s="50"/>
      <c r="I185" s="192"/>
      <c r="J185" s="146"/>
      <c r="K185" s="161"/>
      <c r="L185" s="50"/>
      <c r="M185" s="177"/>
      <c r="N185" s="177"/>
      <c r="O185" s="177"/>
      <c r="P185" s="177"/>
      <c r="Q185" s="177"/>
      <c r="R185" s="177"/>
      <c r="S185" s="177"/>
      <c r="T185" s="177"/>
    </row>
    <row r="186" ht="51">
      <c r="A186" t="s">
        <v>20050</v>
      </c>
      <c r="B186" s="157" t="s">
        <v>20233</v>
      </c>
      <c r="C186" s="157" t="s">
        <v>20233</v>
      </c>
      <c r="D186" s="187" t="s">
        <v>20234</v>
      </c>
      <c r="E186" s="154" t="s">
        <v>15515</v>
      </c>
      <c r="F186" s="150"/>
      <c r="G186" s="176">
        <v>14.66</v>
      </c>
      <c r="H186" s="50"/>
      <c r="I186" s="192"/>
      <c r="J186" s="146"/>
      <c r="K186" s="161"/>
      <c r="L186" s="50"/>
      <c r="M186" s="177"/>
      <c r="N186" s="177"/>
      <c r="O186" s="177"/>
      <c r="P186" s="177"/>
      <c r="Q186" s="177"/>
      <c r="R186" s="177"/>
      <c r="S186" s="177"/>
      <c r="T186" s="177"/>
    </row>
    <row r="187">
      <c r="A187" t="s">
        <v>20050</v>
      </c>
      <c r="B187" s="157" t="s">
        <v>20235</v>
      </c>
      <c r="C187" s="207" t="s">
        <v>20236</v>
      </c>
      <c r="D187" s="207"/>
      <c r="E187" s="207"/>
      <c r="F187" s="207"/>
      <c r="G187" s="207"/>
      <c r="H187" s="50"/>
      <c r="I187" s="208" t="s">
        <v>20237</v>
      </c>
      <c r="J187" s="146"/>
      <c r="K187" s="161"/>
      <c r="L187" s="50"/>
      <c r="M187" s="177"/>
      <c r="N187" s="177"/>
      <c r="O187" s="177"/>
      <c r="P187" s="177"/>
      <c r="Q187" s="177"/>
      <c r="R187" s="177"/>
      <c r="S187" s="177"/>
      <c r="T187" s="177"/>
    </row>
    <row r="188" ht="38.25">
      <c r="B188" s="157"/>
      <c r="C188" s="157" t="s">
        <v>20235</v>
      </c>
      <c r="D188" s="153" t="s">
        <v>20238</v>
      </c>
      <c r="E188" s="154" t="s">
        <v>9591</v>
      </c>
      <c r="F188" s="150"/>
      <c r="G188" s="209">
        <f>E193</f>
        <v>325</v>
      </c>
      <c r="H188" s="50"/>
      <c r="I188" s="208"/>
      <c r="J188" s="146"/>
      <c r="K188" s="161"/>
      <c r="L188" s="50"/>
      <c r="M188" s="177"/>
      <c r="N188" s="177"/>
      <c r="O188" s="177"/>
      <c r="P188" s="177"/>
      <c r="Q188" s="177"/>
      <c r="R188" s="177"/>
      <c r="S188" s="177"/>
      <c r="T188" s="177"/>
    </row>
    <row r="189">
      <c r="B189" s="157"/>
      <c r="C189" s="190" t="s">
        <v>20239</v>
      </c>
      <c r="D189" s="187" t="s">
        <v>20240</v>
      </c>
      <c r="E189" s="155" t="s">
        <v>9591</v>
      </c>
      <c r="F189" s="150"/>
      <c r="G189" s="194">
        <v>325</v>
      </c>
      <c r="H189" s="50"/>
      <c r="I189" s="208"/>
      <c r="J189" s="146"/>
      <c r="K189" s="161"/>
      <c r="L189" s="50"/>
      <c r="M189" s="177"/>
      <c r="N189" s="177"/>
      <c r="O189" s="177"/>
      <c r="P189" s="177"/>
      <c r="Q189" s="177"/>
      <c r="R189" s="177"/>
      <c r="S189" s="177"/>
      <c r="T189" s="177"/>
    </row>
    <row r="190">
      <c r="B190" s="157"/>
      <c r="C190" s="190" t="s">
        <v>20241</v>
      </c>
      <c r="D190" s="187" t="s">
        <v>20240</v>
      </c>
      <c r="E190" s="155" t="s">
        <v>9591</v>
      </c>
      <c r="F190" s="150"/>
      <c r="G190" s="155">
        <v>300</v>
      </c>
      <c r="H190" s="50"/>
      <c r="I190" s="208"/>
      <c r="J190" s="146"/>
      <c r="K190" s="161"/>
      <c r="L190" s="50"/>
      <c r="M190" s="177"/>
      <c r="N190" s="177"/>
      <c r="O190" s="177"/>
      <c r="P190" s="177"/>
      <c r="Q190" s="177"/>
      <c r="R190" s="177"/>
      <c r="S190" s="177"/>
      <c r="T190" s="177"/>
    </row>
    <row r="191">
      <c r="B191" s="157"/>
      <c r="C191" s="190" t="s">
        <v>20242</v>
      </c>
      <c r="D191" s="187" t="s">
        <v>20240</v>
      </c>
      <c r="E191" s="155" t="s">
        <v>9591</v>
      </c>
      <c r="F191" s="150"/>
      <c r="G191" s="155">
        <v>340</v>
      </c>
      <c r="H191" s="50"/>
      <c r="I191" s="208"/>
      <c r="J191" s="146"/>
      <c r="K191" s="161"/>
      <c r="L191" s="50"/>
      <c r="M191" s="177"/>
      <c r="N191" s="177"/>
      <c r="O191" s="177"/>
      <c r="P191" s="177"/>
      <c r="Q191" s="177"/>
      <c r="R191" s="177"/>
      <c r="S191" s="177"/>
      <c r="T191" s="177"/>
    </row>
    <row r="192">
      <c r="B192" s="157"/>
      <c r="C192" s="152"/>
      <c r="D192" s="153"/>
      <c r="E192" s="210"/>
      <c r="F192" s="211"/>
      <c r="G192" s="156"/>
      <c r="H192" s="50"/>
      <c r="I192" s="208"/>
      <c r="J192" s="146"/>
      <c r="K192" s="161"/>
      <c r="L192" s="50"/>
      <c r="M192" s="177"/>
      <c r="N192" s="177"/>
      <c r="O192" s="177"/>
      <c r="P192" s="177"/>
      <c r="Q192" s="177"/>
      <c r="R192" s="177"/>
      <c r="S192" s="177"/>
      <c r="T192" s="177"/>
    </row>
    <row r="193" ht="76.5">
      <c r="B193" s="157"/>
      <c r="C193" s="157" t="s">
        <v>20020</v>
      </c>
      <c r="D193" s="153" t="s">
        <v>20021</v>
      </c>
      <c r="E193" s="158">
        <f>MEDIAN(G189:G191)</f>
        <v>325</v>
      </c>
      <c r="F193" s="159"/>
      <c r="G193" s="160"/>
      <c r="H193" s="50"/>
      <c r="I193" s="208"/>
      <c r="J193" s="146"/>
      <c r="K193" s="161"/>
      <c r="L193" s="50"/>
      <c r="M193" s="177"/>
      <c r="N193" s="177"/>
      <c r="O193" s="177"/>
      <c r="P193" s="177"/>
      <c r="Q193" s="177"/>
      <c r="R193" s="177"/>
      <c r="S193" s="177"/>
      <c r="T193" s="177"/>
    </row>
    <row r="194">
      <c r="B194" s="157" t="s">
        <v>20243</v>
      </c>
      <c r="C194" s="207" t="s">
        <v>20244</v>
      </c>
      <c r="D194" s="207"/>
      <c r="E194" s="207"/>
      <c r="F194" s="207"/>
      <c r="G194" s="207"/>
      <c r="H194" s="50"/>
      <c r="I194" s="208"/>
      <c r="J194" s="146"/>
      <c r="K194" s="161"/>
      <c r="L194" s="50"/>
      <c r="M194" s="177"/>
      <c r="N194" s="177"/>
      <c r="O194" s="177"/>
      <c r="P194" s="177"/>
      <c r="Q194" s="177"/>
      <c r="R194" s="177"/>
      <c r="S194" s="177"/>
      <c r="T194" s="177"/>
    </row>
    <row r="195" ht="25.5">
      <c r="B195" s="157"/>
      <c r="C195" s="157" t="s">
        <v>20243</v>
      </c>
      <c r="D195" s="153" t="s">
        <v>20245</v>
      </c>
      <c r="E195" s="154" t="s">
        <v>38</v>
      </c>
      <c r="F195" s="150"/>
      <c r="G195" s="142">
        <f>E200</f>
        <v>1800</v>
      </c>
      <c r="H195" s="50"/>
      <c r="I195" s="208"/>
      <c r="J195" s="146"/>
      <c r="K195" s="161"/>
      <c r="L195" s="50"/>
      <c r="M195" s="177"/>
      <c r="N195" s="177"/>
      <c r="O195" s="177"/>
      <c r="P195" s="177"/>
      <c r="Q195" s="177"/>
      <c r="R195" s="177"/>
      <c r="S195" s="177"/>
      <c r="T195" s="177"/>
    </row>
    <row r="196">
      <c r="B196" s="157"/>
      <c r="C196" s="190" t="s">
        <v>20246</v>
      </c>
      <c r="D196" s="187" t="s">
        <v>20247</v>
      </c>
      <c r="E196" s="155" t="s">
        <v>38</v>
      </c>
      <c r="F196" s="150"/>
      <c r="G196" s="194">
        <v>1596</v>
      </c>
      <c r="H196" s="50"/>
      <c r="I196" s="208"/>
      <c r="J196" s="146"/>
      <c r="K196" s="161"/>
      <c r="L196" s="50"/>
      <c r="M196" s="177"/>
      <c r="N196" s="177"/>
      <c r="O196" s="177"/>
      <c r="P196" s="177"/>
      <c r="Q196" s="177"/>
      <c r="R196" s="177"/>
      <c r="S196" s="177"/>
      <c r="T196" s="177"/>
    </row>
    <row r="197">
      <c r="B197" s="157"/>
      <c r="C197" s="190" t="s">
        <v>20248</v>
      </c>
      <c r="D197" s="187" t="s">
        <v>20247</v>
      </c>
      <c r="E197" s="155" t="s">
        <v>38</v>
      </c>
      <c r="F197" s="150"/>
      <c r="G197" s="155">
        <v>1800</v>
      </c>
      <c r="H197" s="50"/>
      <c r="I197" s="208"/>
      <c r="J197" s="146"/>
      <c r="K197" s="161"/>
      <c r="L197" s="50"/>
      <c r="M197" s="177"/>
      <c r="N197" s="177"/>
      <c r="O197" s="177"/>
      <c r="P197" s="177"/>
      <c r="Q197" s="177"/>
      <c r="R197" s="177"/>
      <c r="S197" s="177"/>
      <c r="T197" s="177"/>
    </row>
    <row r="198">
      <c r="B198" s="157"/>
      <c r="C198" s="190" t="s">
        <v>20249</v>
      </c>
      <c r="D198" s="187" t="s">
        <v>20247</v>
      </c>
      <c r="E198" s="155" t="s">
        <v>38</v>
      </c>
      <c r="F198" s="150"/>
      <c r="G198" s="155">
        <v>1840</v>
      </c>
      <c r="H198" s="50"/>
      <c r="I198" s="208"/>
      <c r="J198" s="146"/>
      <c r="K198" s="161"/>
      <c r="L198" s="50"/>
      <c r="M198" s="177"/>
      <c r="N198" s="177"/>
      <c r="O198" s="177"/>
      <c r="P198" s="177"/>
      <c r="Q198" s="177"/>
      <c r="R198" s="177"/>
      <c r="S198" s="177"/>
      <c r="T198" s="177"/>
    </row>
    <row r="199">
      <c r="B199" s="157"/>
      <c r="C199" s="152"/>
      <c r="D199" s="153"/>
      <c r="E199" s="210"/>
      <c r="F199" s="211"/>
      <c r="G199" s="156"/>
      <c r="H199" s="50"/>
      <c r="I199" s="208"/>
      <c r="J199" s="146"/>
      <c r="K199" s="161"/>
      <c r="L199" s="50"/>
      <c r="M199" s="177"/>
      <c r="N199" s="177"/>
      <c r="O199" s="177"/>
      <c r="P199" s="177"/>
      <c r="Q199" s="177"/>
      <c r="R199" s="177"/>
      <c r="S199" s="177"/>
      <c r="T199" s="177"/>
    </row>
    <row r="200" ht="76.5">
      <c r="B200" s="157"/>
      <c r="C200" s="157" t="s">
        <v>20020</v>
      </c>
      <c r="D200" s="153" t="s">
        <v>20021</v>
      </c>
      <c r="E200" s="158">
        <f>MEDIAN(G196:G198)</f>
        <v>1800</v>
      </c>
      <c r="F200" s="159"/>
      <c r="G200" s="160"/>
      <c r="H200" s="50"/>
      <c r="I200" s="208"/>
      <c r="J200" s="146"/>
      <c r="K200" s="161"/>
      <c r="L200" s="50"/>
      <c r="M200" s="177"/>
      <c r="N200" s="177"/>
      <c r="O200" s="177"/>
      <c r="P200" s="177"/>
      <c r="Q200" s="177"/>
      <c r="R200" s="177"/>
      <c r="S200" s="177"/>
      <c r="T200" s="177"/>
    </row>
    <row r="201">
      <c r="B201" s="157"/>
      <c r="C201" s="135" t="s">
        <v>20250</v>
      </c>
      <c r="D201" s="135"/>
      <c r="E201" s="135"/>
      <c r="F201" s="135"/>
      <c r="G201" s="135"/>
      <c r="H201" s="50"/>
      <c r="I201" s="208"/>
      <c r="J201" s="146"/>
      <c r="K201" s="161"/>
      <c r="L201" s="50"/>
      <c r="M201" s="177"/>
      <c r="N201" s="177"/>
      <c r="O201" s="177"/>
      <c r="P201" s="177"/>
      <c r="Q201" s="177"/>
      <c r="R201" s="177"/>
      <c r="S201" s="177"/>
      <c r="T201" s="177"/>
    </row>
    <row r="202">
      <c r="B202" s="157" t="s">
        <v>20251</v>
      </c>
      <c r="C202" s="157" t="s">
        <v>20251</v>
      </c>
      <c r="D202" s="139" t="s">
        <v>20252</v>
      </c>
      <c r="E202" s="140" t="s">
        <v>15528</v>
      </c>
      <c r="F202" s="141"/>
      <c r="G202" s="142">
        <f>E206</f>
        <v>75</v>
      </c>
      <c r="H202" s="50"/>
      <c r="I202" s="137">
        <v>46113</v>
      </c>
      <c r="J202" s="50"/>
      <c r="K202" s="212">
        <v>1.4666999999999999</v>
      </c>
      <c r="L202" s="50"/>
      <c r="M202" s="177"/>
      <c r="N202" s="177"/>
      <c r="O202" s="177"/>
      <c r="P202" s="177"/>
      <c r="Q202" s="177"/>
      <c r="R202" s="177"/>
      <c r="S202" s="177"/>
      <c r="T202" s="177"/>
    </row>
    <row r="203">
      <c r="B203" s="157"/>
      <c r="C203" s="206" t="s">
        <v>20253</v>
      </c>
      <c r="D203" s="153" t="s">
        <v>20252</v>
      </c>
      <c r="E203" s="154" t="s">
        <v>15528</v>
      </c>
      <c r="F203" s="162"/>
      <c r="G203" s="155">
        <f>46*1.6</f>
        <v>73.599999999999994</v>
      </c>
      <c r="H203" s="50"/>
      <c r="I203" s="208"/>
      <c r="J203" s="146"/>
      <c r="K203" s="161" t="s">
        <v>20254</v>
      </c>
      <c r="L203" s="50"/>
      <c r="M203" s="177"/>
      <c r="N203" s="177"/>
      <c r="O203" s="177"/>
      <c r="P203" s="177"/>
      <c r="Q203" s="177"/>
      <c r="R203" s="177"/>
      <c r="S203" s="177"/>
      <c r="T203" s="177"/>
    </row>
    <row r="204">
      <c r="B204" s="157"/>
      <c r="C204" s="203" t="s">
        <v>20255</v>
      </c>
      <c r="D204" s="153" t="s">
        <v>20252</v>
      </c>
      <c r="E204" s="154" t="s">
        <v>15528</v>
      </c>
      <c r="F204" s="150"/>
      <c r="G204" s="155">
        <v>85</v>
      </c>
      <c r="H204" s="50"/>
      <c r="I204" s="208"/>
      <c r="J204" s="146"/>
      <c r="K204" s="161"/>
      <c r="L204" s="50"/>
      <c r="M204" s="177"/>
      <c r="N204" s="177"/>
      <c r="O204" s="177"/>
      <c r="P204" s="177"/>
      <c r="Q204" s="177"/>
      <c r="R204" s="177"/>
      <c r="S204" s="177"/>
      <c r="T204" s="177"/>
    </row>
    <row r="205">
      <c r="B205" s="157"/>
      <c r="C205" s="152" t="s">
        <v>20256</v>
      </c>
      <c r="D205" s="153" t="s">
        <v>20252</v>
      </c>
      <c r="E205" s="154" t="s">
        <v>15528</v>
      </c>
      <c r="F205" s="150"/>
      <c r="G205" s="155">
        <f>75</f>
        <v>75</v>
      </c>
      <c r="H205" s="50"/>
      <c r="I205" s="208"/>
      <c r="J205" s="146"/>
      <c r="K205" s="161"/>
      <c r="L205" s="50"/>
      <c r="M205" s="177"/>
      <c r="N205" s="177"/>
      <c r="O205" s="177"/>
      <c r="P205" s="177"/>
      <c r="Q205" s="177"/>
      <c r="R205" s="177"/>
      <c r="S205" s="177"/>
      <c r="T205" s="177"/>
    </row>
    <row r="206" ht="76.5">
      <c r="B206" s="157"/>
      <c r="C206" s="157" t="s">
        <v>20020</v>
      </c>
      <c r="D206" s="153" t="s">
        <v>20021</v>
      </c>
      <c r="E206" s="213">
        <f>MEDIAN(G203:G205)</f>
        <v>75</v>
      </c>
      <c r="F206" s="214"/>
      <c r="G206" s="215"/>
      <c r="H206" s="50"/>
      <c r="I206" s="208"/>
      <c r="J206" s="146"/>
      <c r="K206" s="161"/>
      <c r="L206" s="50"/>
      <c r="M206" s="177"/>
      <c r="N206" s="177"/>
      <c r="O206" s="177"/>
      <c r="P206" s="177"/>
      <c r="Q206" s="177"/>
      <c r="R206" s="177"/>
      <c r="S206" s="177"/>
      <c r="T206" s="177"/>
    </row>
    <row r="207">
      <c r="A207" t="s">
        <v>20050</v>
      </c>
      <c r="B207" s="184"/>
      <c r="C207" s="135" t="s">
        <v>20257</v>
      </c>
      <c r="D207" s="135"/>
      <c r="E207" s="135"/>
      <c r="F207" s="135"/>
      <c r="G207" s="135"/>
      <c r="H207" s="50"/>
      <c r="I207" s="143"/>
      <c r="J207" s="146"/>
      <c r="K207" s="161"/>
      <c r="L207" s="50"/>
      <c r="M207" s="177"/>
      <c r="N207" s="177"/>
      <c r="O207" s="177"/>
      <c r="P207" s="177"/>
      <c r="Q207" s="177"/>
      <c r="R207" s="177"/>
      <c r="S207" s="177"/>
      <c r="T207" s="177"/>
    </row>
    <row r="208" ht="25.5">
      <c r="A208" t="s">
        <v>20050</v>
      </c>
      <c r="B208" s="184" t="s">
        <v>20258</v>
      </c>
      <c r="C208" s="184" t="s">
        <v>20258</v>
      </c>
      <c r="D208" s="153" t="s">
        <v>20259</v>
      </c>
      <c r="E208" s="154" t="s">
        <v>15344</v>
      </c>
      <c r="F208" s="150"/>
      <c r="G208" s="194">
        <f>789.39/6</f>
        <v>131.56999999999999</v>
      </c>
      <c r="H208" s="50"/>
      <c r="I208" s="143" t="s">
        <v>20260</v>
      </c>
      <c r="J208" s="146"/>
      <c r="K208" s="161"/>
      <c r="L208" s="50"/>
      <c r="M208" s="177"/>
      <c r="N208" s="177"/>
      <c r="O208" s="177"/>
      <c r="P208" s="177"/>
      <c r="Q208" s="177"/>
      <c r="R208" s="177"/>
      <c r="S208" s="177"/>
      <c r="T208" s="177"/>
    </row>
    <row r="209" ht="25.5">
      <c r="A209" t="s">
        <v>20050</v>
      </c>
      <c r="B209" s="184" t="s">
        <v>20261</v>
      </c>
      <c r="C209" s="184" t="s">
        <v>20261</v>
      </c>
      <c r="D209" s="153" t="s">
        <v>20262</v>
      </c>
      <c r="E209" s="154" t="s">
        <v>31</v>
      </c>
      <c r="F209" s="150"/>
      <c r="G209" s="155">
        <v>5.8300000000000001</v>
      </c>
      <c r="H209" s="50"/>
      <c r="I209" s="208"/>
      <c r="J209" s="146"/>
      <c r="K209" s="161"/>
      <c r="L209" s="50"/>
      <c r="M209" s="177"/>
      <c r="N209" s="177"/>
      <c r="O209" s="177"/>
      <c r="P209" s="177"/>
      <c r="Q209" s="177"/>
      <c r="R209" s="177"/>
      <c r="S209" s="177"/>
      <c r="T209" s="177"/>
    </row>
    <row r="210" ht="25.5">
      <c r="A210" t="s">
        <v>20050</v>
      </c>
      <c r="B210" s="184" t="s">
        <v>20263</v>
      </c>
      <c r="C210" s="184" t="s">
        <v>20263</v>
      </c>
      <c r="D210" s="153" t="s">
        <v>20264</v>
      </c>
      <c r="E210" s="154" t="s">
        <v>31</v>
      </c>
      <c r="F210" s="150"/>
      <c r="G210" s="155">
        <v>3.2999999999999998</v>
      </c>
      <c r="H210" s="50"/>
      <c r="I210" s="208"/>
      <c r="J210" s="146"/>
      <c r="K210" s="161"/>
      <c r="L210" s="50"/>
      <c r="M210" s="177"/>
      <c r="N210" s="177"/>
      <c r="O210" s="177"/>
      <c r="P210" s="177"/>
      <c r="Q210" s="177"/>
      <c r="R210" s="177"/>
      <c r="S210" s="177"/>
      <c r="T210" s="177"/>
    </row>
    <row r="211" ht="25.5">
      <c r="A211" t="s">
        <v>20050</v>
      </c>
      <c r="B211" s="184" t="s">
        <v>20265</v>
      </c>
      <c r="C211" s="184" t="s">
        <v>20265</v>
      </c>
      <c r="D211" s="153" t="s">
        <v>20266</v>
      </c>
      <c r="E211" s="154" t="s">
        <v>31</v>
      </c>
      <c r="F211" s="150"/>
      <c r="G211" s="155">
        <v>6.9199999999999999</v>
      </c>
      <c r="H211" s="50"/>
      <c r="I211" s="208"/>
      <c r="J211" s="146"/>
      <c r="K211" s="161"/>
      <c r="L211" s="50"/>
      <c r="M211" s="177"/>
      <c r="N211" s="177"/>
      <c r="O211" s="177"/>
      <c r="P211" s="177"/>
      <c r="Q211" s="177"/>
      <c r="R211" s="177"/>
      <c r="S211" s="177"/>
      <c r="T211" s="177"/>
    </row>
    <row r="212" ht="25.5">
      <c r="A212" t="s">
        <v>20050</v>
      </c>
      <c r="B212" s="216" t="s">
        <v>20267</v>
      </c>
      <c r="C212" s="216" t="s">
        <v>20268</v>
      </c>
      <c r="D212" s="153" t="s">
        <v>20269</v>
      </c>
      <c r="E212" s="154" t="s">
        <v>31</v>
      </c>
      <c r="F212" s="150"/>
      <c r="G212" s="155">
        <f>4406928.99</f>
        <v>4406928.9900000002</v>
      </c>
      <c r="H212" s="50"/>
      <c r="I212" s="208">
        <f>G212/3660</f>
        <v>1204.0789590163899</v>
      </c>
      <c r="J212" s="146"/>
      <c r="K212" s="161"/>
      <c r="L212" s="50"/>
      <c r="M212" s="177"/>
      <c r="N212" s="177"/>
      <c r="O212" s="177"/>
      <c r="P212" s="177"/>
      <c r="Q212" s="177"/>
      <c r="R212" s="177"/>
      <c r="S212" s="177"/>
      <c r="T212" s="177"/>
    </row>
    <row r="213">
      <c r="A213" t="s">
        <v>20050</v>
      </c>
      <c r="B213" s="216" t="s">
        <v>20270</v>
      </c>
      <c r="C213" s="216" t="s">
        <v>20271</v>
      </c>
      <c r="D213" s="153" t="s">
        <v>20272</v>
      </c>
      <c r="E213" s="154" t="s">
        <v>31</v>
      </c>
      <c r="F213" s="150"/>
      <c r="G213" s="155">
        <f>358567.19</f>
        <v>358567.19</v>
      </c>
      <c r="H213" s="50"/>
      <c r="I213" s="208"/>
      <c r="J213" s="146"/>
      <c r="K213" s="161"/>
      <c r="L213" s="50"/>
      <c r="M213" s="177"/>
      <c r="N213" s="177"/>
      <c r="O213" s="177"/>
      <c r="P213" s="177"/>
      <c r="Q213" s="177"/>
      <c r="R213" s="177"/>
      <c r="S213" s="177"/>
      <c r="T213" s="177"/>
    </row>
    <row r="214">
      <c r="A214" t="s">
        <v>20050</v>
      </c>
      <c r="B214" s="216" t="s">
        <v>20273</v>
      </c>
      <c r="C214" s="207" t="s">
        <v>20274</v>
      </c>
      <c r="D214" s="207"/>
      <c r="E214" s="207"/>
      <c r="F214" s="207"/>
      <c r="G214" s="207"/>
      <c r="H214" s="50"/>
      <c r="I214" s="208" t="s">
        <v>20237</v>
      </c>
      <c r="J214" s="146"/>
      <c r="K214" s="161"/>
      <c r="L214" s="50"/>
      <c r="M214" s="177"/>
      <c r="N214" s="177"/>
      <c r="O214" s="177"/>
      <c r="P214" s="177"/>
      <c r="Q214" s="177"/>
      <c r="R214" s="177"/>
      <c r="S214" s="177"/>
      <c r="T214" s="177"/>
    </row>
    <row r="215" ht="51">
      <c r="B215" s="217"/>
      <c r="C215" s="157" t="s">
        <v>20273</v>
      </c>
      <c r="D215" s="187" t="s">
        <v>20275</v>
      </c>
      <c r="E215" s="154" t="s">
        <v>9591</v>
      </c>
      <c r="F215" s="150"/>
      <c r="G215" s="209">
        <f>E220</f>
        <v>210</v>
      </c>
      <c r="I215" s="137">
        <v>46054</v>
      </c>
    </row>
    <row r="216">
      <c r="B216" s="217"/>
      <c r="C216" s="190" t="s">
        <v>20239</v>
      </c>
      <c r="D216" s="187" t="s">
        <v>20276</v>
      </c>
      <c r="E216" s="155" t="s">
        <v>9591</v>
      </c>
      <c r="F216" s="150"/>
      <c r="G216" s="194">
        <v>250</v>
      </c>
    </row>
    <row r="217">
      <c r="B217" s="217"/>
      <c r="C217" s="190" t="s">
        <v>20241</v>
      </c>
      <c r="D217" s="187" t="s">
        <v>20276</v>
      </c>
      <c r="E217" s="155" t="s">
        <v>9591</v>
      </c>
      <c r="F217" s="150"/>
      <c r="G217" s="155">
        <v>190</v>
      </c>
    </row>
    <row r="218">
      <c r="B218" s="217"/>
      <c r="C218" s="190" t="s">
        <v>20242</v>
      </c>
      <c r="D218" s="187" t="s">
        <v>20276</v>
      </c>
      <c r="E218" s="155" t="s">
        <v>9591</v>
      </c>
      <c r="F218" s="150"/>
      <c r="G218" s="155">
        <v>210</v>
      </c>
    </row>
    <row r="219">
      <c r="B219" s="217"/>
      <c r="C219" s="152"/>
      <c r="D219" s="153"/>
      <c r="E219" s="210"/>
      <c r="F219" s="211"/>
      <c r="G219" s="156"/>
    </row>
    <row r="220" ht="76.5">
      <c r="B220" s="217"/>
      <c r="C220" s="157" t="s">
        <v>20020</v>
      </c>
      <c r="D220" s="153" t="s">
        <v>20021</v>
      </c>
      <c r="E220" s="158">
        <f>MEDIAN(G216:G218)</f>
        <v>210</v>
      </c>
      <c r="F220" s="159"/>
      <c r="G220" s="160"/>
    </row>
    <row r="221">
      <c r="B221" s="216" t="s">
        <v>20277</v>
      </c>
      <c r="C221" s="207" t="s">
        <v>20278</v>
      </c>
      <c r="D221" s="207"/>
      <c r="E221" s="207"/>
      <c r="F221" s="207"/>
      <c r="G221" s="207"/>
    </row>
    <row r="222">
      <c r="B222" s="217"/>
      <c r="C222" s="157" t="s">
        <v>20277</v>
      </c>
      <c r="D222" s="197" t="s">
        <v>20279</v>
      </c>
      <c r="E222" s="154" t="s">
        <v>31</v>
      </c>
      <c r="F222" s="150"/>
      <c r="G222" s="209">
        <f>E227</f>
        <v>7500</v>
      </c>
    </row>
    <row r="223">
      <c r="B223" s="217"/>
      <c r="C223" s="190" t="s">
        <v>20280</v>
      </c>
      <c r="D223" s="187" t="s">
        <v>20279</v>
      </c>
      <c r="E223" s="154" t="s">
        <v>31</v>
      </c>
      <c r="F223" s="150"/>
      <c r="G223" s="194">
        <v>7500</v>
      </c>
    </row>
    <row r="224">
      <c r="B224" s="217"/>
      <c r="C224" s="190" t="s">
        <v>20281</v>
      </c>
      <c r="D224" s="187" t="s">
        <v>20279</v>
      </c>
      <c r="E224" s="154" t="s">
        <v>31</v>
      </c>
      <c r="F224" s="150"/>
      <c r="G224" s="155">
        <v>7860</v>
      </c>
    </row>
    <row r="225">
      <c r="B225" s="217"/>
      <c r="C225" s="190" t="s">
        <v>20282</v>
      </c>
      <c r="D225" s="187" t="s">
        <v>20279</v>
      </c>
      <c r="E225" s="154" t="s">
        <v>31</v>
      </c>
      <c r="F225" s="150"/>
      <c r="G225" s="155">
        <v>7280</v>
      </c>
    </row>
    <row r="226">
      <c r="B226" s="217"/>
      <c r="C226" s="152"/>
      <c r="D226" s="153"/>
      <c r="E226" s="210"/>
      <c r="F226" s="211"/>
      <c r="G226" s="156"/>
    </row>
    <row r="227" ht="76.5">
      <c r="B227" s="217"/>
      <c r="C227" s="157" t="s">
        <v>20020</v>
      </c>
      <c r="D227" s="153" t="s">
        <v>20021</v>
      </c>
      <c r="E227" s="158">
        <f>MEDIAN(G223:G225)</f>
        <v>7500</v>
      </c>
      <c r="F227" s="159"/>
      <c r="G227" s="160"/>
    </row>
    <row r="228">
      <c r="B228" s="216"/>
      <c r="C228" s="207" t="s">
        <v>20283</v>
      </c>
      <c r="D228" s="207"/>
      <c r="E228" s="207"/>
      <c r="F228" s="207"/>
      <c r="G228" s="207"/>
    </row>
    <row r="229">
      <c r="B229" s="216" t="s">
        <v>20284</v>
      </c>
      <c r="C229" s="157" t="str">
        <f>B229</f>
        <v xml:space="preserve">COTAÇÃO 51</v>
      </c>
      <c r="D229" s="197" t="s">
        <v>20285</v>
      </c>
      <c r="E229" s="154" t="s">
        <v>38</v>
      </c>
      <c r="F229" s="150"/>
      <c r="G229" s="209">
        <f>E234</f>
        <v>6.6699999999999999</v>
      </c>
    </row>
    <row r="230">
      <c r="B230" s="217"/>
      <c r="C230" s="190" t="s">
        <v>20286</v>
      </c>
      <c r="D230" s="187" t="s">
        <v>20285</v>
      </c>
      <c r="E230" s="154" t="s">
        <v>38</v>
      </c>
      <c r="F230" s="150"/>
      <c r="G230" s="194">
        <f>32.8/6</f>
        <v>5.4699999999999998</v>
      </c>
      <c r="I230" s="218" t="s">
        <v>20287</v>
      </c>
    </row>
    <row r="231">
      <c r="B231" s="217"/>
      <c r="C231" s="190" t="s">
        <v>20288</v>
      </c>
      <c r="D231" s="187" t="s">
        <v>20289</v>
      </c>
      <c r="E231" s="154" t="s">
        <v>38</v>
      </c>
      <c r="F231" s="150"/>
      <c r="G231" s="155">
        <f t="shared" ref="G231:G232" si="639">40/6</f>
        <v>6.6699999999999999</v>
      </c>
    </row>
    <row r="232">
      <c r="B232" s="217"/>
      <c r="C232" s="190" t="s">
        <v>20290</v>
      </c>
      <c r="D232" s="187" t="s">
        <v>20289</v>
      </c>
      <c r="E232" s="154" t="s">
        <v>38</v>
      </c>
      <c r="F232" s="150"/>
      <c r="G232" s="155">
        <f t="shared" si="639"/>
        <v>6.6699999999999999</v>
      </c>
    </row>
    <row r="233">
      <c r="B233" s="217"/>
      <c r="C233" s="152"/>
      <c r="D233" s="153"/>
      <c r="E233" s="210"/>
      <c r="F233" s="211"/>
      <c r="G233" s="156"/>
    </row>
    <row r="234" ht="76.5">
      <c r="B234" s="217"/>
      <c r="C234" s="157" t="s">
        <v>20020</v>
      </c>
      <c r="D234" s="153" t="s">
        <v>20021</v>
      </c>
      <c r="E234" s="158">
        <f>MEDIAN(G230:G232)</f>
        <v>6.6699999999999999</v>
      </c>
      <c r="F234" s="159"/>
      <c r="G234" s="160"/>
    </row>
    <row r="235">
      <c r="B235" s="216"/>
      <c r="C235" s="207" t="s">
        <v>20291</v>
      </c>
      <c r="D235" s="207"/>
      <c r="E235" s="207"/>
      <c r="F235" s="207"/>
      <c r="G235" s="207"/>
    </row>
    <row r="236">
      <c r="B236" s="216" t="s">
        <v>20292</v>
      </c>
      <c r="C236" s="157" t="str">
        <f>B236</f>
        <v xml:space="preserve">COTAÇÃO 52</v>
      </c>
      <c r="D236" s="197" t="s">
        <v>20293</v>
      </c>
      <c r="E236" s="154" t="s">
        <v>38</v>
      </c>
      <c r="F236" s="150"/>
      <c r="G236" s="209">
        <f>E241</f>
        <v>21.670000000000002</v>
      </c>
    </row>
    <row r="237">
      <c r="B237" s="217"/>
      <c r="C237" s="190" t="s">
        <v>20286</v>
      </c>
      <c r="D237" s="187" t="s">
        <v>20293</v>
      </c>
      <c r="E237" s="154" t="s">
        <v>38</v>
      </c>
      <c r="F237" s="150"/>
      <c r="G237" s="194">
        <f>108.5/6</f>
        <v>18.079999999999998</v>
      </c>
    </row>
    <row r="238">
      <c r="B238" s="217"/>
      <c r="C238" s="190" t="s">
        <v>20288</v>
      </c>
      <c r="D238" s="187" t="s">
        <v>20294</v>
      </c>
      <c r="E238" s="154" t="s">
        <v>38</v>
      </c>
      <c r="F238" s="150"/>
      <c r="G238" s="155">
        <f>138.65/6</f>
        <v>23.109999999999999</v>
      </c>
    </row>
    <row r="239">
      <c r="B239" s="217"/>
      <c r="C239" s="190" t="s">
        <v>20295</v>
      </c>
      <c r="D239" s="219" t="s">
        <v>20296</v>
      </c>
      <c r="E239" s="154" t="s">
        <v>38</v>
      </c>
      <c r="F239" s="150"/>
      <c r="G239" s="155">
        <f>130/6</f>
        <v>21.670000000000002</v>
      </c>
    </row>
    <row r="240">
      <c r="B240" s="217"/>
      <c r="C240" s="152"/>
      <c r="D240" s="153"/>
      <c r="E240" s="210"/>
      <c r="F240" s="211"/>
      <c r="G240" s="156"/>
    </row>
    <row r="241" ht="76.5">
      <c r="B241" s="217"/>
      <c r="C241" s="157" t="s">
        <v>20020</v>
      </c>
      <c r="D241" s="153" t="s">
        <v>20021</v>
      </c>
      <c r="E241" s="158">
        <f>MEDIAN(G237:G239)</f>
        <v>21.670000000000002</v>
      </c>
      <c r="F241" s="159"/>
      <c r="G241" s="160"/>
    </row>
    <row r="242">
      <c r="B242" s="216"/>
      <c r="C242" s="207" t="s">
        <v>20297</v>
      </c>
      <c r="D242" s="207"/>
      <c r="E242" s="207"/>
      <c r="F242" s="207"/>
      <c r="G242" s="207"/>
    </row>
    <row r="243">
      <c r="B243" s="220" t="s">
        <v>20298</v>
      </c>
      <c r="C243" s="157" t="str">
        <f>B243</f>
        <v xml:space="preserve">COTAÇÃO 53</v>
      </c>
      <c r="D243" s="197" t="s">
        <v>20299</v>
      </c>
      <c r="E243" s="154" t="s">
        <v>38</v>
      </c>
      <c r="F243" s="150"/>
      <c r="G243" s="209">
        <f>E248</f>
        <v>24.73</v>
      </c>
    </row>
    <row r="244">
      <c r="B244" s="217"/>
      <c r="C244" s="190" t="s">
        <v>20286</v>
      </c>
      <c r="D244" s="187" t="s">
        <v>20299</v>
      </c>
      <c r="E244" s="154" t="s">
        <v>38</v>
      </c>
      <c r="F244" s="150"/>
      <c r="G244" s="194">
        <f>136.7/6</f>
        <v>22.780000000000001</v>
      </c>
    </row>
    <row r="245">
      <c r="B245" s="217"/>
      <c r="C245" s="190" t="s">
        <v>20290</v>
      </c>
      <c r="D245" s="187" t="s">
        <v>20300</v>
      </c>
      <c r="E245" s="154" t="s">
        <v>38</v>
      </c>
      <c r="F245" s="150"/>
      <c r="G245" s="155">
        <f>160/6</f>
        <v>26.670000000000002</v>
      </c>
    </row>
    <row r="246">
      <c r="B246" s="217"/>
      <c r="C246" s="190"/>
      <c r="D246" s="187"/>
      <c r="E246" s="154"/>
      <c r="F246" s="150"/>
      <c r="G246" s="155"/>
    </row>
    <row r="247">
      <c r="B247" s="217"/>
      <c r="C247" s="152"/>
      <c r="D247" s="153"/>
      <c r="E247" s="210"/>
      <c r="F247" s="211"/>
      <c r="G247" s="156"/>
    </row>
    <row r="248" ht="76.5">
      <c r="B248" s="217"/>
      <c r="C248" s="157" t="s">
        <v>20020</v>
      </c>
      <c r="D248" s="153" t="s">
        <v>20021</v>
      </c>
      <c r="E248" s="158">
        <f>MEDIAN(G244:G246)</f>
        <v>24.73</v>
      </c>
      <c r="F248" s="159"/>
      <c r="G248" s="160"/>
    </row>
    <row r="249">
      <c r="B249" s="216"/>
      <c r="C249" s="207" t="s">
        <v>20301</v>
      </c>
      <c r="D249" s="207"/>
      <c r="E249" s="207"/>
      <c r="F249" s="207"/>
      <c r="G249" s="207"/>
    </row>
    <row r="250">
      <c r="B250" s="216" t="s">
        <v>20302</v>
      </c>
      <c r="C250" s="157" t="str">
        <f>B250</f>
        <v xml:space="preserve">COTAÇÃO 54</v>
      </c>
      <c r="D250" s="197" t="s">
        <v>20303</v>
      </c>
      <c r="E250" s="154" t="s">
        <v>302</v>
      </c>
      <c r="F250" s="150"/>
      <c r="G250" s="209">
        <f>E255</f>
        <v>7.1200000000000001</v>
      </c>
    </row>
    <row r="251">
      <c r="B251" s="217"/>
      <c r="C251" s="190" t="s">
        <v>20286</v>
      </c>
      <c r="D251" s="187" t="s">
        <v>20303</v>
      </c>
      <c r="E251" s="154" t="s">
        <v>302</v>
      </c>
      <c r="F251" s="150"/>
      <c r="G251" s="194">
        <f>535/3/1.2/24</f>
        <v>6.1900000000000004</v>
      </c>
    </row>
    <row r="252">
      <c r="B252" s="217"/>
      <c r="C252" s="190" t="s">
        <v>20304</v>
      </c>
      <c r="D252" s="187" t="s">
        <v>20305</v>
      </c>
      <c r="E252" s="154" t="s">
        <v>302</v>
      </c>
      <c r="F252" s="150"/>
      <c r="G252" s="155">
        <f>625/3/1.2/24</f>
        <v>7.2300000000000004</v>
      </c>
    </row>
    <row r="253">
      <c r="B253" s="217"/>
      <c r="C253" s="190" t="s">
        <v>20295</v>
      </c>
      <c r="D253" s="187" t="s">
        <v>20303</v>
      </c>
      <c r="E253" s="154" t="s">
        <v>302</v>
      </c>
      <c r="F253" s="150"/>
      <c r="G253" s="155">
        <f>615/3/1.2/24</f>
        <v>7.1200000000000001</v>
      </c>
    </row>
    <row r="254">
      <c r="B254" s="217"/>
      <c r="C254" s="152"/>
      <c r="D254" s="153"/>
      <c r="E254" s="210"/>
      <c r="F254" s="211"/>
      <c r="G254" s="156"/>
    </row>
    <row r="255" ht="76.5">
      <c r="B255" s="217"/>
      <c r="C255" s="157" t="s">
        <v>20020</v>
      </c>
      <c r="D255" s="153" t="s">
        <v>20021</v>
      </c>
      <c r="E255" s="158">
        <f>MEDIAN(G251:G253)</f>
        <v>7.1200000000000001</v>
      </c>
      <c r="F255" s="159"/>
      <c r="G255" s="160"/>
    </row>
    <row r="256">
      <c r="B256" s="216"/>
      <c r="C256" s="207" t="s">
        <v>20306</v>
      </c>
      <c r="D256" s="207"/>
      <c r="E256" s="207"/>
      <c r="F256" s="207"/>
      <c r="G256" s="207"/>
    </row>
    <row r="257">
      <c r="B257" s="216" t="s">
        <v>20307</v>
      </c>
      <c r="C257" s="157" t="str">
        <f>B257</f>
        <v xml:space="preserve">COTAÇÃO 55</v>
      </c>
      <c r="D257" s="197" t="s">
        <v>20308</v>
      </c>
      <c r="E257" s="154" t="s">
        <v>302</v>
      </c>
      <c r="F257" s="150"/>
      <c r="G257" s="209">
        <f>E262</f>
        <v>7.1200000000000001</v>
      </c>
    </row>
    <row r="258">
      <c r="B258" s="217"/>
      <c r="C258" s="190" t="s">
        <v>20309</v>
      </c>
      <c r="D258" s="187" t="s">
        <v>20308</v>
      </c>
      <c r="E258" s="154" t="s">
        <v>302</v>
      </c>
      <c r="F258" s="150"/>
      <c r="G258" s="194">
        <f>360/3/1.2/16</f>
        <v>6.25</v>
      </c>
    </row>
    <row r="259">
      <c r="B259" s="217"/>
      <c r="C259" s="190" t="s">
        <v>20304</v>
      </c>
      <c r="D259" s="187" t="s">
        <v>20310</v>
      </c>
      <c r="E259" s="154" t="s">
        <v>302</v>
      </c>
      <c r="F259" s="150"/>
      <c r="G259" s="155">
        <f>411/3/1.2/16</f>
        <v>7.1399999999999997</v>
      </c>
    </row>
    <row r="260">
      <c r="B260" s="217"/>
      <c r="C260" s="190" t="s">
        <v>20295</v>
      </c>
      <c r="D260" s="187" t="s">
        <v>20308</v>
      </c>
      <c r="E260" s="154" t="s">
        <v>302</v>
      </c>
      <c r="F260" s="150"/>
      <c r="G260" s="155">
        <f>410/3/1.2/16</f>
        <v>7.1200000000000001</v>
      </c>
    </row>
    <row r="261">
      <c r="B261" s="217"/>
      <c r="C261" s="152"/>
      <c r="D261" s="153"/>
      <c r="E261" s="210"/>
      <c r="F261" s="211"/>
      <c r="G261" s="156"/>
    </row>
    <row r="262" ht="76.5">
      <c r="B262" s="217"/>
      <c r="C262" s="157" t="s">
        <v>20020</v>
      </c>
      <c r="D262" s="153" t="s">
        <v>20021</v>
      </c>
      <c r="E262" s="158">
        <f>MEDIAN(G258:G260)</f>
        <v>7.1200000000000001</v>
      </c>
      <c r="F262" s="159"/>
      <c r="G262" s="160"/>
    </row>
    <row r="265">
      <c r="B265" s="216"/>
      <c r="C265" s="207" t="s">
        <v>20311</v>
      </c>
      <c r="D265" s="207"/>
      <c r="E265" s="207"/>
      <c r="F265" s="207"/>
      <c r="G265" s="207"/>
      <c r="H265" s="50"/>
      <c r="I265" s="146"/>
    </row>
    <row r="266">
      <c r="B266" s="216" t="s">
        <v>20312</v>
      </c>
      <c r="C266" s="157" t="str">
        <f>B266</f>
        <v xml:space="preserve">COTAÇÃO 56</v>
      </c>
      <c r="D266" s="197" t="s">
        <v>20313</v>
      </c>
      <c r="E266" s="154" t="s">
        <v>31</v>
      </c>
      <c r="F266" s="150"/>
      <c r="G266" s="142">
        <f>E271</f>
        <v>191100</v>
      </c>
      <c r="H266" s="221"/>
      <c r="I266" s="167" t="s">
        <v>20314</v>
      </c>
    </row>
    <row r="267">
      <c r="B267" s="217"/>
      <c r="C267" s="190" t="s">
        <v>20315</v>
      </c>
      <c r="D267" s="187" t="s">
        <v>20313</v>
      </c>
      <c r="E267" s="154" t="s">
        <v>31</v>
      </c>
      <c r="F267" s="150"/>
      <c r="G267" s="155"/>
      <c r="H267" s="50"/>
      <c r="I267" s="146"/>
    </row>
    <row r="268">
      <c r="B268" s="217"/>
      <c r="C268" s="190" t="s">
        <v>20316</v>
      </c>
      <c r="D268" s="187" t="s">
        <v>20313</v>
      </c>
      <c r="E268" s="154" t="s">
        <v>31</v>
      </c>
      <c r="F268" s="150"/>
      <c r="G268" s="155"/>
      <c r="H268" s="50"/>
      <c r="I268" s="146"/>
    </row>
    <row r="269">
      <c r="B269" s="217"/>
      <c r="C269" s="190" t="s">
        <v>20317</v>
      </c>
      <c r="D269" s="187" t="s">
        <v>20313</v>
      </c>
      <c r="E269" s="154" t="s">
        <v>31</v>
      </c>
      <c r="F269" s="150"/>
      <c r="G269" s="155"/>
      <c r="H269" s="50"/>
      <c r="I269" s="146"/>
    </row>
    <row r="270">
      <c r="B270" s="217"/>
      <c r="C270" s="152"/>
      <c r="D270" s="153"/>
      <c r="E270" s="210"/>
      <c r="F270" s="211"/>
      <c r="G270" s="156"/>
      <c r="H270" s="50"/>
      <c r="I270" s="146"/>
    </row>
    <row r="271" ht="76.5">
      <c r="B271" s="217"/>
      <c r="C271" s="157" t="s">
        <v>20020</v>
      </c>
      <c r="D271" s="153" t="s">
        <v>20021</v>
      </c>
      <c r="E271" s="158">
        <v>191100</v>
      </c>
      <c r="F271" s="159"/>
      <c r="G271" s="160"/>
      <c r="H271" s="50"/>
      <c r="I271" s="146"/>
    </row>
    <row r="272">
      <c r="C272" s="136"/>
      <c r="D272" s="222"/>
      <c r="E272" s="181"/>
      <c r="F272" s="223"/>
      <c r="G272" s="223"/>
      <c r="H272" s="50"/>
      <c r="I272" s="208"/>
    </row>
    <row r="273">
      <c r="C273" s="136"/>
      <c r="D273" s="222"/>
      <c r="E273" s="181"/>
      <c r="F273" s="223"/>
      <c r="G273" s="223"/>
      <c r="H273" s="50"/>
      <c r="I273" s="208"/>
    </row>
    <row r="274">
      <c r="B274" s="216"/>
      <c r="C274" s="207" t="s">
        <v>20318</v>
      </c>
      <c r="D274" s="207"/>
      <c r="E274" s="207"/>
      <c r="F274" s="207"/>
      <c r="G274" s="207"/>
      <c r="H274" s="50"/>
      <c r="I274" s="208"/>
    </row>
    <row r="275">
      <c r="B275" s="216" t="s">
        <v>20319</v>
      </c>
      <c r="C275" s="157" t="str">
        <f>B275</f>
        <v xml:space="preserve">COTAÇÃO 57</v>
      </c>
      <c r="D275" s="197" t="s">
        <v>20320</v>
      </c>
      <c r="E275" s="154" t="s">
        <v>31</v>
      </c>
      <c r="F275" s="150"/>
      <c r="G275" s="142">
        <f>E280</f>
        <v>23356.669999999998</v>
      </c>
      <c r="H275" s="50"/>
      <c r="I275" s="167" t="s">
        <v>20314</v>
      </c>
    </row>
    <row r="276">
      <c r="B276" s="217"/>
      <c r="C276" s="190" t="s">
        <v>20315</v>
      </c>
      <c r="D276" s="187" t="s">
        <v>20320</v>
      </c>
      <c r="E276" s="154" t="s">
        <v>31</v>
      </c>
      <c r="F276" s="150"/>
      <c r="G276" s="155"/>
      <c r="H276" s="50"/>
      <c r="I276" s="50"/>
    </row>
    <row r="277">
      <c r="B277" s="217"/>
      <c r="C277" s="190" t="s">
        <v>20316</v>
      </c>
      <c r="D277" s="187" t="s">
        <v>20320</v>
      </c>
      <c r="E277" s="154" t="s">
        <v>31</v>
      </c>
      <c r="F277" s="150"/>
      <c r="G277" s="155"/>
      <c r="H277" s="50"/>
      <c r="I277" s="208"/>
    </row>
    <row r="278">
      <c r="B278" s="217"/>
      <c r="C278" s="190" t="s">
        <v>20317</v>
      </c>
      <c r="D278" s="187" t="s">
        <v>20320</v>
      </c>
      <c r="E278" s="154" t="s">
        <v>31</v>
      </c>
      <c r="F278" s="150"/>
      <c r="G278" s="155"/>
      <c r="H278" s="50"/>
      <c r="I278" s="208"/>
    </row>
    <row r="279">
      <c r="B279" s="217"/>
      <c r="C279" s="152"/>
      <c r="D279" s="153"/>
      <c r="E279" s="210"/>
      <c r="F279" s="211"/>
      <c r="G279" s="156"/>
      <c r="H279" s="50"/>
      <c r="I279" s="208"/>
    </row>
    <row r="280" ht="76.5">
      <c r="B280" s="217"/>
      <c r="C280" s="157" t="s">
        <v>20020</v>
      </c>
      <c r="D280" s="153" t="s">
        <v>20021</v>
      </c>
      <c r="E280" s="158">
        <v>23356.669999999998</v>
      </c>
      <c r="F280" s="159"/>
      <c r="G280" s="160"/>
      <c r="H280" s="50"/>
      <c r="I280" s="208"/>
    </row>
    <row r="281">
      <c r="B281" s="216"/>
      <c r="C281" s="207" t="s">
        <v>20321</v>
      </c>
      <c r="D281" s="207"/>
      <c r="E281" s="207"/>
      <c r="F281" s="207"/>
      <c r="G281" s="207"/>
      <c r="H281" s="50"/>
      <c r="I281" s="208"/>
    </row>
    <row r="282" ht="25.5">
      <c r="B282" s="216" t="s">
        <v>20322</v>
      </c>
      <c r="C282" s="157" t="str">
        <f>B282</f>
        <v xml:space="preserve">SBC 58</v>
      </c>
      <c r="D282" s="197" t="s">
        <v>20323</v>
      </c>
      <c r="E282" s="154" t="s">
        <v>15344</v>
      </c>
      <c r="F282" s="150"/>
      <c r="G282" s="142">
        <v>853.32000000000005</v>
      </c>
      <c r="H282" s="50"/>
      <c r="I282" s="166">
        <v>45901</v>
      </c>
      <c r="J282" s="166" t="s">
        <v>20324</v>
      </c>
    </row>
    <row r="283">
      <c r="B283" s="217"/>
      <c r="C283" s="190"/>
      <c r="D283" s="187"/>
      <c r="E283" s="154"/>
      <c r="F283" s="150"/>
      <c r="G283" s="155">
        <v>853.22000000000003</v>
      </c>
      <c r="H283" s="50"/>
      <c r="I283" s="50"/>
    </row>
    <row r="284">
      <c r="B284" s="217"/>
      <c r="C284" s="190"/>
      <c r="D284" s="187"/>
      <c r="E284" s="154"/>
      <c r="F284" s="150"/>
      <c r="G284" s="155"/>
      <c r="H284" s="50"/>
      <c r="I284" s="208"/>
    </row>
    <row r="285">
      <c r="B285" s="217"/>
      <c r="C285" s="190"/>
      <c r="D285" s="187"/>
      <c r="E285" s="154"/>
      <c r="F285" s="150"/>
      <c r="G285" s="155"/>
      <c r="H285" s="50"/>
      <c r="I285" s="208"/>
    </row>
    <row r="286">
      <c r="B286" s="217"/>
      <c r="C286" s="152"/>
      <c r="D286" s="153"/>
      <c r="E286" s="210"/>
      <c r="F286" s="211"/>
      <c r="G286" s="156"/>
      <c r="H286" s="50"/>
      <c r="I286" s="208"/>
    </row>
    <row r="287" ht="76.5">
      <c r="B287" s="217"/>
      <c r="C287" s="157" t="s">
        <v>20020</v>
      </c>
      <c r="D287" s="153" t="s">
        <v>20021</v>
      </c>
      <c r="E287" s="158">
        <f>MEDIAN(G283:G285)</f>
        <v>853.22000000000003</v>
      </c>
      <c r="F287" s="159"/>
      <c r="G287" s="160"/>
      <c r="H287" s="50"/>
      <c r="I287" s="208"/>
    </row>
    <row r="288">
      <c r="B288" s="216"/>
      <c r="C288" s="207" t="s">
        <v>20325</v>
      </c>
      <c r="D288" s="207"/>
      <c r="E288" s="207"/>
      <c r="F288" s="207"/>
      <c r="G288" s="207"/>
      <c r="H288" s="50"/>
      <c r="I288" s="208"/>
    </row>
    <row r="289" ht="15">
      <c r="B289" s="216" t="s">
        <v>20326</v>
      </c>
      <c r="C289" s="157" t="str">
        <f>B289</f>
        <v xml:space="preserve">COTAÇÃO 59</v>
      </c>
      <c r="D289" s="197" t="s">
        <v>20327</v>
      </c>
      <c r="E289" s="154" t="s">
        <v>20328</v>
      </c>
      <c r="F289" s="150"/>
      <c r="G289" s="142">
        <v>37.899999999999999</v>
      </c>
      <c r="H289" s="50"/>
      <c r="I289" s="166">
        <v>46007</v>
      </c>
      <c r="J289" s="224" t="s">
        <v>20329</v>
      </c>
    </row>
    <row r="290">
      <c r="B290" s="217"/>
      <c r="C290" s="190"/>
      <c r="D290" s="187"/>
      <c r="E290" s="154"/>
      <c r="F290" s="150"/>
      <c r="G290" s="155">
        <v>37.899999999999999</v>
      </c>
      <c r="H290" s="50"/>
      <c r="I290" s="50"/>
    </row>
    <row r="291">
      <c r="B291" s="217"/>
      <c r="C291" s="190"/>
      <c r="D291" s="187"/>
      <c r="E291" s="154"/>
      <c r="F291" s="150"/>
      <c r="G291" s="155"/>
      <c r="H291" s="50"/>
      <c r="I291" s="208"/>
    </row>
    <row r="292">
      <c r="B292" s="217"/>
      <c r="C292" s="190"/>
      <c r="D292" s="187"/>
      <c r="E292" s="154"/>
      <c r="F292" s="150"/>
      <c r="G292" s="155"/>
      <c r="H292" s="50"/>
      <c r="I292" s="208"/>
    </row>
    <row r="293">
      <c r="B293" s="217"/>
      <c r="C293" s="152"/>
      <c r="D293" s="153"/>
      <c r="E293" s="210"/>
      <c r="F293" s="211"/>
      <c r="G293" s="156"/>
      <c r="H293" s="50"/>
      <c r="I293" s="208"/>
    </row>
    <row r="294" ht="76.5">
      <c r="B294" s="217"/>
      <c r="C294" s="157" t="s">
        <v>20020</v>
      </c>
      <c r="D294" s="153" t="s">
        <v>20021</v>
      </c>
      <c r="E294" s="158">
        <f>MEDIAN(G290:G292)</f>
        <v>37.899999999999999</v>
      </c>
      <c r="F294" s="159"/>
      <c r="G294" s="160"/>
      <c r="H294" s="50"/>
      <c r="I294" s="208"/>
    </row>
    <row r="295">
      <c r="B295" s="216"/>
      <c r="C295" s="207" t="s">
        <v>20330</v>
      </c>
      <c r="D295" s="207"/>
      <c r="E295" s="207"/>
      <c r="F295" s="207"/>
      <c r="G295" s="207"/>
    </row>
    <row r="296">
      <c r="B296" s="157" t="s">
        <v>20331</v>
      </c>
      <c r="C296" s="157" t="str">
        <f>B296</f>
        <v xml:space="preserve">COTAÇÃO 60</v>
      </c>
      <c r="D296" s="197" t="s">
        <v>20332</v>
      </c>
      <c r="E296" s="154" t="s">
        <v>15515</v>
      </c>
      <c r="F296" s="150"/>
      <c r="G296" s="142">
        <f>E301</f>
        <v>17.350000000000001</v>
      </c>
    </row>
    <row r="297">
      <c r="B297" s="217"/>
      <c r="C297" s="190" t="s">
        <v>20333</v>
      </c>
      <c r="D297" s="187" t="s">
        <v>20332</v>
      </c>
      <c r="E297" s="154" t="s">
        <v>15515</v>
      </c>
      <c r="F297" s="150"/>
      <c r="G297" s="155">
        <v>18.32</v>
      </c>
    </row>
    <row r="298">
      <c r="B298" s="217"/>
      <c r="C298" s="190" t="s">
        <v>20334</v>
      </c>
      <c r="D298" s="187" t="s">
        <v>20332</v>
      </c>
      <c r="E298" s="154" t="s">
        <v>15515</v>
      </c>
      <c r="F298" s="150"/>
      <c r="G298" s="155">
        <v>17.350000000000001</v>
      </c>
    </row>
    <row r="299">
      <c r="B299" s="217"/>
      <c r="C299" s="190" t="s">
        <v>20335</v>
      </c>
      <c r="D299" s="187" t="s">
        <v>20332</v>
      </c>
      <c r="E299" s="154" t="s">
        <v>15515</v>
      </c>
      <c r="F299" s="150"/>
      <c r="G299" s="155">
        <v>12.42</v>
      </c>
    </row>
    <row r="300">
      <c r="B300" s="217"/>
      <c r="C300" s="152"/>
      <c r="D300" s="153"/>
      <c r="E300" s="210"/>
      <c r="F300" s="211"/>
      <c r="G300" s="156"/>
    </row>
    <row r="301" ht="76.5">
      <c r="B301" s="217"/>
      <c r="C301" s="157" t="s">
        <v>20020</v>
      </c>
      <c r="D301" s="153" t="s">
        <v>20021</v>
      </c>
      <c r="E301" s="158">
        <f>MEDIAN(G297:G299)</f>
        <v>17.350000000000001</v>
      </c>
      <c r="F301" s="159"/>
      <c r="G301" s="160"/>
    </row>
    <row r="302">
      <c r="B302" s="216"/>
      <c r="C302" s="207" t="s">
        <v>20336</v>
      </c>
      <c r="D302" s="207"/>
      <c r="E302" s="207"/>
      <c r="F302" s="207"/>
      <c r="G302" s="207"/>
    </row>
    <row r="303">
      <c r="B303" s="157" t="s">
        <v>20337</v>
      </c>
      <c r="C303" s="157" t="str">
        <f>B303</f>
        <v xml:space="preserve">COTAÇÃO 61</v>
      </c>
      <c r="D303" s="197" t="s">
        <v>20338</v>
      </c>
      <c r="E303" s="154" t="s">
        <v>15515</v>
      </c>
      <c r="F303" s="150"/>
      <c r="G303" s="142">
        <f>E308</f>
        <v>23.18</v>
      </c>
    </row>
    <row r="304">
      <c r="B304" s="217"/>
      <c r="C304" s="190" t="s">
        <v>20333</v>
      </c>
      <c r="D304" s="187" t="s">
        <v>20338</v>
      </c>
      <c r="E304" s="154" t="s">
        <v>15515</v>
      </c>
      <c r="F304" s="150"/>
      <c r="G304" s="155">
        <v>23.18</v>
      </c>
    </row>
    <row r="305">
      <c r="B305" s="217"/>
      <c r="C305" s="190" t="s">
        <v>20334</v>
      </c>
      <c r="D305" s="187" t="s">
        <v>20338</v>
      </c>
      <c r="E305" s="154" t="s">
        <v>15515</v>
      </c>
      <c r="F305" s="150"/>
      <c r="G305" s="155">
        <v>26.43</v>
      </c>
    </row>
    <row r="306">
      <c r="B306" s="217"/>
      <c r="C306" s="190" t="s">
        <v>20335</v>
      </c>
      <c r="D306" s="187" t="s">
        <v>20338</v>
      </c>
      <c r="E306" s="154" t="s">
        <v>15515</v>
      </c>
      <c r="F306" s="150"/>
      <c r="G306" s="155">
        <v>20.75</v>
      </c>
    </row>
    <row r="307">
      <c r="B307" s="217"/>
      <c r="C307" s="152"/>
      <c r="D307" s="153"/>
      <c r="E307" s="210"/>
      <c r="F307" s="211"/>
      <c r="G307" s="156"/>
    </row>
    <row r="308" ht="76.5">
      <c r="B308" s="217"/>
      <c r="C308" s="157" t="s">
        <v>20020</v>
      </c>
      <c r="D308" s="153" t="s">
        <v>20021</v>
      </c>
      <c r="E308" s="158">
        <f>MEDIAN(G304:G306)</f>
        <v>23.18</v>
      </c>
      <c r="F308" s="159"/>
      <c r="G308" s="160"/>
    </row>
    <row r="309">
      <c r="B309" s="216"/>
      <c r="C309" s="207" t="s">
        <v>20339</v>
      </c>
      <c r="D309" s="207"/>
      <c r="E309" s="207"/>
      <c r="F309" s="207"/>
      <c r="G309" s="207"/>
    </row>
    <row r="310">
      <c r="B310" s="157" t="s">
        <v>20340</v>
      </c>
      <c r="C310" s="157" t="str">
        <f>B310</f>
        <v xml:space="preserve">COTAÇÃO 62</v>
      </c>
      <c r="D310" s="197" t="s">
        <v>20341</v>
      </c>
      <c r="E310" s="154" t="s">
        <v>15515</v>
      </c>
      <c r="F310" s="150"/>
      <c r="G310" s="142">
        <f>E315</f>
        <v>26.420000000000002</v>
      </c>
    </row>
    <row r="311">
      <c r="B311" s="217"/>
      <c r="C311" s="190" t="s">
        <v>20333</v>
      </c>
      <c r="D311" s="187" t="s">
        <v>20341</v>
      </c>
      <c r="E311" s="154" t="s">
        <v>15515</v>
      </c>
      <c r="F311" s="150"/>
      <c r="G311" s="155">
        <v>26.420000000000002</v>
      </c>
    </row>
    <row r="312">
      <c r="B312" s="217"/>
      <c r="C312" s="190" t="s">
        <v>20334</v>
      </c>
      <c r="D312" s="187" t="s">
        <v>20341</v>
      </c>
      <c r="E312" s="154" t="s">
        <v>15515</v>
      </c>
      <c r="F312" s="150"/>
      <c r="G312" s="155">
        <v>29.420000000000002</v>
      </c>
    </row>
    <row r="313">
      <c r="B313" s="217"/>
      <c r="C313" s="190" t="s">
        <v>20335</v>
      </c>
      <c r="D313" s="187" t="s">
        <v>20341</v>
      </c>
      <c r="E313" s="154" t="s">
        <v>15515</v>
      </c>
      <c r="F313" s="150"/>
      <c r="G313" s="155">
        <v>22.920000000000002</v>
      </c>
    </row>
    <row r="314">
      <c r="B314" s="217"/>
      <c r="C314" s="152"/>
      <c r="D314" s="153"/>
      <c r="E314" s="210"/>
      <c r="F314" s="211"/>
      <c r="G314" s="156"/>
    </row>
    <row r="315" ht="76.5">
      <c r="B315" s="217"/>
      <c r="C315" s="157" t="s">
        <v>20020</v>
      </c>
      <c r="D315" s="153" t="s">
        <v>20021</v>
      </c>
      <c r="E315" s="158">
        <f>MEDIAN(G311:G313)</f>
        <v>26.420000000000002</v>
      </c>
      <c r="F315" s="159"/>
      <c r="G315" s="160"/>
    </row>
  </sheetData>
  <mergeCells count="72">
    <mergeCell ref="E6:G6"/>
    <mergeCell ref="E11:G11"/>
    <mergeCell ref="E16:G16"/>
    <mergeCell ref="E22:G22"/>
    <mergeCell ref="D25:G25"/>
    <mergeCell ref="D26:G26"/>
    <mergeCell ref="D27:G27"/>
    <mergeCell ref="C28:D28"/>
    <mergeCell ref="E31:G31"/>
    <mergeCell ref="E36:G36"/>
    <mergeCell ref="L38:S38"/>
    <mergeCell ref="E45:G45"/>
    <mergeCell ref="E52:G52"/>
    <mergeCell ref="E59:G59"/>
    <mergeCell ref="C60:G60"/>
    <mergeCell ref="L61:S61"/>
    <mergeCell ref="E72:G72"/>
    <mergeCell ref="E77:G77"/>
    <mergeCell ref="E82:G82"/>
    <mergeCell ref="E88:G88"/>
    <mergeCell ref="E94:G94"/>
    <mergeCell ref="E100:G100"/>
    <mergeCell ref="E105:G105"/>
    <mergeCell ref="E111:G111"/>
    <mergeCell ref="E115:G115"/>
    <mergeCell ref="E121:G121"/>
    <mergeCell ref="J124:Q124"/>
    <mergeCell ref="E127:G127"/>
    <mergeCell ref="E133:G133"/>
    <mergeCell ref="E139:G139"/>
    <mergeCell ref="M144:T144"/>
    <mergeCell ref="M146:T146"/>
    <mergeCell ref="M148:T148"/>
    <mergeCell ref="M150:T150"/>
    <mergeCell ref="E161:G161"/>
    <mergeCell ref="E167:G167"/>
    <mergeCell ref="E173:G173"/>
    <mergeCell ref="E179:G179"/>
    <mergeCell ref="E185:G185"/>
    <mergeCell ref="C187:G187"/>
    <mergeCell ref="E193:G193"/>
    <mergeCell ref="C194:G194"/>
    <mergeCell ref="E200:G200"/>
    <mergeCell ref="E206:G206"/>
    <mergeCell ref="C214:G214"/>
    <mergeCell ref="E220:G220"/>
    <mergeCell ref="C221:G221"/>
    <mergeCell ref="E227:G227"/>
    <mergeCell ref="C228:G228"/>
    <mergeCell ref="E234:G234"/>
    <mergeCell ref="C235:G235"/>
    <mergeCell ref="E241:G241"/>
    <mergeCell ref="C242:G242"/>
    <mergeCell ref="E248:G248"/>
    <mergeCell ref="C249:G249"/>
    <mergeCell ref="E255:G255"/>
    <mergeCell ref="C256:G256"/>
    <mergeCell ref="E262:G262"/>
    <mergeCell ref="C265:G265"/>
    <mergeCell ref="E271:G271"/>
    <mergeCell ref="C274:G274"/>
    <mergeCell ref="E280:G280"/>
    <mergeCell ref="C281:G281"/>
    <mergeCell ref="E287:G287"/>
    <mergeCell ref="C288:G288"/>
    <mergeCell ref="E294:G294"/>
    <mergeCell ref="C295:G295"/>
    <mergeCell ref="E301:G301"/>
    <mergeCell ref="C302:G302"/>
    <mergeCell ref="E308:G308"/>
    <mergeCell ref="C309:G309"/>
    <mergeCell ref="E315:G315"/>
  </mergeCells>
  <hyperlinks>
    <hyperlink r:id="rId1" ref="J289"/>
  </hyperlinks>
  <printOptions headings="0" gridLines="0"/>
  <pageMargins left="0.75" right="0.75" top="1" bottom="1" header="0.5" footer="0.5"/>
  <pageSetup paperSize="9" scale="100" firstPageNumber="2147483647" fitToWidth="1" fitToHeight="1" pageOrder="downThenOver" orientation="portrait" usePrinterDefaults="1" blackAndWhite="0" draft="0" cellComments="none" useFirstPageNumber="0" errors="displayed" horizontalDpi="600" verticalDpi="600" copies="1"/>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7">
    <outlinePr applyStyles="0" summaryBelow="1" summaryRight="1" showOutlineSymbols="1"/>
    <pageSetUpPr autoPageBreaks="1" fitToPage="0"/>
  </sheetPr>
  <sheetViews>
    <sheetView zoomScale="100" workbookViewId="0">
      <selection activeCell="G7" activeCellId="0" sqref="G7"/>
    </sheetView>
  </sheetViews>
  <sheetFormatPr defaultColWidth="9.140625" defaultRowHeight="13.5"/>
  <cols>
    <col customWidth="1" min="1" max="1" width="42.140625"/>
    <col customWidth="1" min="2" max="2" width="44.7109375"/>
    <col customWidth="1" min="3" max="3" width="10"/>
    <col customWidth="1" min="4" max="4" width="10.140625"/>
    <col customWidth="1" min="5" max="5" width="15.5703125"/>
    <col customWidth="1" hidden="1" min="6" max="6" width="9.140625"/>
    <col customWidth="1" min="7" max="7" width="18.28515625"/>
  </cols>
  <sheetData>
    <row r="2">
      <c r="A2" s="70"/>
      <c r="B2" s="225" t="s">
        <v>20342</v>
      </c>
      <c r="C2" s="47"/>
      <c r="D2" s="50"/>
      <c r="E2" s="84"/>
      <c r="F2" s="50"/>
      <c r="G2" s="85"/>
    </row>
    <row r="3">
      <c r="A3" s="42" t="s">
        <v>15335</v>
      </c>
      <c r="B3" s="42" t="s">
        <v>15336</v>
      </c>
      <c r="C3" s="42" t="s">
        <v>15337</v>
      </c>
      <c r="D3" s="42"/>
      <c r="E3" s="42" t="s">
        <v>15338</v>
      </c>
      <c r="F3" s="50"/>
      <c r="G3" s="50"/>
    </row>
    <row r="4" ht="25.5">
      <c r="A4" s="70" t="s">
        <v>20343</v>
      </c>
      <c r="B4" s="81" t="s">
        <v>17070</v>
      </c>
      <c r="C4" s="47" t="s">
        <v>31</v>
      </c>
      <c r="D4" s="50"/>
      <c r="E4" s="226" t="e">
        <v>#REF!</v>
      </c>
      <c r="F4" s="50"/>
      <c r="G4" s="50"/>
    </row>
    <row r="5">
      <c r="A5" s="50"/>
      <c r="B5" s="50"/>
      <c r="C5" s="50"/>
      <c r="D5" s="50"/>
      <c r="E5" s="50"/>
      <c r="F5" s="50"/>
      <c r="G5" s="50"/>
    </row>
    <row r="6">
      <c r="A6" s="70"/>
      <c r="B6" s="225" t="s">
        <v>20344</v>
      </c>
      <c r="C6" s="47"/>
      <c r="D6" s="50"/>
      <c r="E6" s="84"/>
      <c r="F6" s="50"/>
      <c r="G6" s="50"/>
    </row>
    <row r="7">
      <c r="A7" s="42" t="s">
        <v>15335</v>
      </c>
      <c r="B7" s="42" t="s">
        <v>15336</v>
      </c>
      <c r="C7" s="42" t="s">
        <v>15337</v>
      </c>
      <c r="D7" s="42"/>
      <c r="E7" s="42" t="s">
        <v>15338</v>
      </c>
      <c r="F7" s="50"/>
      <c r="G7" s="191">
        <v>45992</v>
      </c>
    </row>
    <row r="8" ht="76.5">
      <c r="A8" s="79" t="s">
        <v>20345</v>
      </c>
      <c r="B8" s="81" t="s">
        <v>20346</v>
      </c>
      <c r="C8" s="47" t="s">
        <v>31</v>
      </c>
      <c r="D8" s="50"/>
      <c r="E8" s="50">
        <v>365.56</v>
      </c>
      <c r="F8" s="50"/>
      <c r="G8" s="50"/>
    </row>
    <row r="9" ht="76.5">
      <c r="A9" s="79" t="s">
        <v>20347</v>
      </c>
      <c r="B9" s="81" t="s">
        <v>20348</v>
      </c>
      <c r="C9" s="47" t="s">
        <v>15515</v>
      </c>
      <c r="D9" s="50"/>
      <c r="E9" s="227">
        <v>1130</v>
      </c>
      <c r="F9" s="50"/>
      <c r="G9" s="50"/>
    </row>
    <row r="10">
      <c r="A10" s="79"/>
      <c r="B10" s="81"/>
      <c r="C10" s="47"/>
      <c r="D10" s="50"/>
      <c r="E10" s="50"/>
      <c r="F10" s="50"/>
      <c r="G10" s="50"/>
    </row>
    <row r="11">
      <c r="A11" s="50"/>
      <c r="B11" s="225" t="s">
        <v>20349</v>
      </c>
      <c r="C11" s="50"/>
      <c r="D11" s="50"/>
      <c r="E11" s="50"/>
      <c r="F11" s="50"/>
      <c r="G11" s="50"/>
    </row>
    <row r="12">
      <c r="A12" s="42" t="s">
        <v>15335</v>
      </c>
      <c r="B12" s="42" t="s">
        <v>15336</v>
      </c>
      <c r="C12" s="42" t="s">
        <v>15337</v>
      </c>
      <c r="D12" s="228">
        <v>45474</v>
      </c>
      <c r="E12" s="42" t="s">
        <v>15338</v>
      </c>
      <c r="F12" s="50"/>
      <c r="G12" s="229"/>
    </row>
    <row r="13">
      <c r="A13" s="78" t="s">
        <v>20350</v>
      </c>
      <c r="B13" s="78" t="s">
        <v>20351</v>
      </c>
      <c r="C13" s="230" t="s">
        <v>2032</v>
      </c>
      <c r="D13" s="84">
        <v>8.6999999999999993</v>
      </c>
      <c r="E13" s="84">
        <v>8.6999999999999993</v>
      </c>
      <c r="F13" s="50"/>
      <c r="G13" s="50"/>
    </row>
    <row r="14">
      <c r="A14" s="78" t="s">
        <v>20352</v>
      </c>
      <c r="B14" s="78" t="s">
        <v>20353</v>
      </c>
      <c r="C14" s="230" t="s">
        <v>9794</v>
      </c>
      <c r="D14" s="84">
        <v>5.96</v>
      </c>
      <c r="E14" s="84">
        <v>5.9000000000000004</v>
      </c>
      <c r="F14" s="50"/>
      <c r="G14" s="50"/>
    </row>
    <row r="15">
      <c r="A15" s="78" t="s">
        <v>20354</v>
      </c>
      <c r="B15" s="78" t="s">
        <v>20355</v>
      </c>
      <c r="C15" s="230" t="s">
        <v>302</v>
      </c>
      <c r="D15" s="84">
        <v>40.159999999999997</v>
      </c>
      <c r="E15" s="84">
        <v>39.390000000000001</v>
      </c>
      <c r="F15" s="50"/>
      <c r="G15" s="50"/>
    </row>
    <row r="16">
      <c r="A16" s="78" t="s">
        <v>20356</v>
      </c>
      <c r="B16" s="78" t="s">
        <v>20357</v>
      </c>
      <c r="C16" s="230" t="s">
        <v>31</v>
      </c>
      <c r="D16" s="84">
        <v>598.27999999999997</v>
      </c>
      <c r="E16" s="84">
        <v>598.27999999999997</v>
      </c>
      <c r="F16" s="50"/>
      <c r="G16" s="50"/>
    </row>
    <row r="17" ht="38.25">
      <c r="A17" s="78" t="s">
        <v>20358</v>
      </c>
      <c r="B17" s="78" t="s">
        <v>20359</v>
      </c>
      <c r="C17" s="230" t="s">
        <v>20360</v>
      </c>
      <c r="D17" s="84">
        <v>107606.17</v>
      </c>
      <c r="E17" s="84">
        <v>107606.17</v>
      </c>
      <c r="F17" s="50"/>
      <c r="G17" s="50"/>
    </row>
    <row r="18" ht="38.25">
      <c r="A18" s="78" t="s">
        <v>20361</v>
      </c>
      <c r="B18" s="78" t="s">
        <v>20362</v>
      </c>
      <c r="C18" s="230" t="s">
        <v>20363</v>
      </c>
      <c r="D18" s="84">
        <v>107606.17</v>
      </c>
      <c r="E18" s="84">
        <v>107606.17</v>
      </c>
      <c r="F18" s="50"/>
      <c r="G18" s="50"/>
    </row>
    <row r="19" ht="38.25">
      <c r="A19" s="78" t="s">
        <v>20364</v>
      </c>
      <c r="B19" s="78" t="s">
        <v>20365</v>
      </c>
      <c r="C19" s="230" t="s">
        <v>20366</v>
      </c>
      <c r="D19" s="84">
        <v>107606.17</v>
      </c>
      <c r="E19" s="84">
        <v>107606.17</v>
      </c>
      <c r="F19" s="50"/>
      <c r="G19" s="50"/>
    </row>
    <row r="20" ht="38.25">
      <c r="A20" s="78" t="s">
        <v>20367</v>
      </c>
      <c r="B20" s="78" t="s">
        <v>20368</v>
      </c>
      <c r="C20" s="230" t="s">
        <v>20369</v>
      </c>
      <c r="D20" s="84">
        <v>107606.17</v>
      </c>
      <c r="E20" s="84">
        <v>107606.17</v>
      </c>
      <c r="F20" s="50"/>
      <c r="G20" s="50"/>
    </row>
    <row r="21">
      <c r="A21" s="50"/>
      <c r="B21" s="50"/>
      <c r="C21" s="50"/>
      <c r="D21" s="50"/>
      <c r="E21" s="50"/>
      <c r="F21" s="50"/>
      <c r="G21" s="50"/>
    </row>
  </sheetData>
  <printOptions headings="0" gridLines="0"/>
  <pageMargins left="0.75" right="0.75" top="1" bottom="1" header="0.5" footer="0.5"/>
  <pageSetup paperSize="9" scale="100" firstPageNumber="2147483647" fitToWidth="1" fitToHeight="1" pageOrder="downThenOver" orientation="portrait" usePrinterDefaults="1" blackAndWhite="0" draft="0" cellComments="none" useFirstPageNumber="0" errors="displayed" horizontalDpi="600" verticalDpi="600" copies="1"/>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zoomScale="100" workbookViewId="0">
      <selection activeCell="A3" activeCellId="0" sqref="A3:D3"/>
    </sheetView>
  </sheetViews>
  <sheetFormatPr defaultColWidth="9.140625" defaultRowHeight="13.5"/>
  <cols>
    <col min="1" max="1" style="231" width="9.140625"/>
    <col customWidth="1" min="2" max="2" style="231" width="42.28515625"/>
    <col customWidth="1" min="3" max="3" style="231" width="16.42578125"/>
    <col customWidth="1" min="4" max="4" style="231" width="22.5703125"/>
    <col min="5" max="6" style="231" width="9.140625"/>
    <col customWidth="1" min="7" max="7" style="231" width="11.7109375"/>
    <col customWidth="1" min="8" max="8" style="231" width="10.140625"/>
    <col min="9" max="16384" style="231" width="9.140625"/>
  </cols>
  <sheetData>
    <row r="1" ht="29.25" customHeight="1">
      <c r="A1" s="232" t="str">
        <f>ORÇAMENTO!A1</f>
        <v xml:space="preserve">OBJETO: RESTAURAÇÃO FUNCIONAL DO PAVIMENTO E SINALIZAÇÃO VIÁRIA</v>
      </c>
      <c r="B1" s="232"/>
      <c r="C1" s="232"/>
      <c r="D1" s="232"/>
      <c r="E1" s="233"/>
    </row>
    <row r="2" ht="55.5" customHeight="1">
      <c r="A2" s="234" t="str">
        <f>ORÇAMENTO!A2</f>
        <v xml:space="preserve">LOCAL: QUADRILÁTERO ENTRE AS RUAS JOSUÉ GARCIA PIRES, MANOEL RASSELEN, CAFELÂNDIA E AV. HAYEL BON FAKER / RUA ERNESTO M. DE CARVALHO E ADJACÊNCIAS</v>
      </c>
      <c r="B2" s="234"/>
      <c r="C2" s="234"/>
      <c r="D2" s="234"/>
      <c r="E2" s="233"/>
    </row>
    <row r="3" ht="18.75" customHeight="1">
      <c r="A3" s="235" t="str">
        <f>ORÇAMENTO!A3</f>
        <v xml:space="preserve">MUNICÍPIO:  DOURADOS/MS</v>
      </c>
      <c r="B3" s="235"/>
      <c r="C3" s="235"/>
      <c r="D3" s="235"/>
    </row>
    <row r="4" ht="18.75" customHeight="1">
      <c r="A4" s="236" t="str">
        <f>ORÇAMENTO!A4</f>
        <v xml:space="preserve">DATA/BASE: SINAPI (S) = MARÇO/2026 ONERADO </v>
      </c>
      <c r="B4" s="233"/>
      <c r="C4" s="233"/>
      <c r="D4" s="233"/>
      <c r="E4" s="233"/>
    </row>
    <row r="5" ht="15.75">
      <c r="A5" s="237"/>
      <c r="B5" s="237"/>
      <c r="C5" s="237"/>
      <c r="D5" s="237"/>
    </row>
    <row r="6" ht="15">
      <c r="A6" s="238"/>
      <c r="B6" s="238" t="s">
        <v>20370</v>
      </c>
      <c r="C6" s="238"/>
      <c r="D6" s="239"/>
    </row>
    <row r="7" ht="15.75">
      <c r="A7" s="238"/>
      <c r="B7" s="238"/>
      <c r="C7" s="238"/>
      <c r="D7" s="239"/>
    </row>
    <row r="8" ht="15">
      <c r="A8" s="240" t="s">
        <v>20371</v>
      </c>
      <c r="B8" s="241" t="s">
        <v>15352</v>
      </c>
      <c r="C8" s="242" t="s">
        <v>20372</v>
      </c>
      <c r="D8" s="240" t="s">
        <v>20373</v>
      </c>
    </row>
    <row r="9" ht="16.5" customHeight="1">
      <c r="A9" s="243" t="str">
        <f>ORÇAMENTO!B10</f>
        <v>1.0</v>
      </c>
      <c r="B9" s="244" t="str">
        <f>ORÇAMENTO!D10</f>
        <v xml:space="preserve">SERVIÇOS PRELIMINARES</v>
      </c>
      <c r="C9" s="245" t="e">
        <f t="shared" ref="C9:C15" si="640">D9/$D$17</f>
        <v>#VALUE!</v>
      </c>
      <c r="D9" s="246">
        <f>ORÇAMENTO!J15</f>
        <v>17039.440000000002</v>
      </c>
    </row>
    <row r="10" ht="17.25" customHeight="1">
      <c r="A10" s="243" t="str">
        <f>ORÇAMENTO!B16</f>
        <v>2.0</v>
      </c>
      <c r="B10" s="244" t="str">
        <f>ORÇAMENTO!D16</f>
        <v xml:space="preserve">ADMINISTRAÇÃO DA OBRA</v>
      </c>
      <c r="C10" s="245" t="e">
        <f t="shared" si="640"/>
        <v>#VALUE!</v>
      </c>
      <c r="D10" s="246">
        <f>ORÇAMENTO!J24</f>
        <v>208431.35999999999</v>
      </c>
    </row>
    <row r="11" ht="30">
      <c r="A11" s="243" t="str">
        <f>ORÇAMENTO!B25</f>
        <v>3.0</v>
      </c>
      <c r="B11" s="247" t="str">
        <f>ORÇAMENTO!D25</f>
        <v xml:space="preserve">RECUPERAÇÃO DOS DEFEITOS DO PAVIMENTO</v>
      </c>
      <c r="C11" s="245" t="e">
        <f t="shared" si="640"/>
        <v>#VALUE!</v>
      </c>
      <c r="D11" s="246">
        <f>ORÇAMENTO!J77</f>
        <v>835410.27999999991</v>
      </c>
    </row>
    <row r="12" ht="15">
      <c r="A12" s="243" t="str">
        <f>ORÇAMENTO!B78</f>
        <v>4.0</v>
      </c>
      <c r="B12" s="247" t="str">
        <f>ORÇAMENTO!D78</f>
        <v xml:space="preserve">RECAPEAMENTO ASFÁLTICO </v>
      </c>
      <c r="C12" s="245" t="e">
        <f t="shared" si="640"/>
        <v>#VALUE!</v>
      </c>
      <c r="D12" s="246">
        <f>ORÇAMENTO!J86</f>
        <v>231906.56</v>
      </c>
    </row>
    <row r="13" ht="30">
      <c r="A13" s="243" t="str">
        <f>ORÇAMENTO!B87</f>
        <v>5.0</v>
      </c>
      <c r="B13" s="247" t="str">
        <f>ORÇAMENTO!D87</f>
        <v xml:space="preserve">RECONSTRUÇÃO PAVIMENTAÇÃO ASFÁLTICA</v>
      </c>
      <c r="C13" s="245" t="e">
        <f t="shared" si="640"/>
        <v>#VALUE!</v>
      </c>
      <c r="D13" s="246" t="e">
        <f>ORÇAMENTO!J117</f>
        <v>#VALUE!</v>
      </c>
    </row>
    <row r="14" ht="15">
      <c r="A14" s="243" t="str">
        <f>ORÇAMENTO!B118</f>
        <v>6.0</v>
      </c>
      <c r="B14" s="247" t="str">
        <f>ORÇAMENTO!D118</f>
        <v xml:space="preserve">RECICLAGEM DO PAVIMENTO</v>
      </c>
      <c r="C14" s="245" t="e">
        <f t="shared" si="640"/>
        <v>#VALUE!</v>
      </c>
      <c r="D14" s="246" t="e">
        <f>ORÇAMENTO!J134</f>
        <v>#VALUE!</v>
      </c>
    </row>
    <row r="15" ht="15">
      <c r="A15" s="243" t="str">
        <f>ORÇAMENTO!B135</f>
        <v>7.0</v>
      </c>
      <c r="B15" s="244" t="str">
        <f>ORÇAMENTO!D135</f>
        <v xml:space="preserve">SINALIZAÇÃO VIÁRIA</v>
      </c>
      <c r="C15" s="245" t="e">
        <f t="shared" si="640"/>
        <v>#VALUE!</v>
      </c>
      <c r="D15" s="246">
        <f>ORÇAMENTO!J139</f>
        <v>72171.720000000001</v>
      </c>
    </row>
    <row r="16" ht="15">
      <c r="A16" s="243" t="str">
        <f>ORÇAMENTO!B140</f>
        <v>8.0</v>
      </c>
      <c r="B16" s="244" t="str">
        <f>ORÇAMENTO!D140</f>
        <v xml:space="preserve">SERVIÇOS COMPLEMENTARES</v>
      </c>
      <c r="C16" s="245" t="e">
        <f>D16/$D$17</f>
        <v>#VALUE!</v>
      </c>
      <c r="D16" s="246">
        <f>ORÇAMENTO!J153</f>
        <v>165473.68000000002</v>
      </c>
    </row>
    <row r="17" ht="15">
      <c r="A17" s="248"/>
      <c r="B17" s="249" t="s">
        <v>20374</v>
      </c>
      <c r="C17" s="250" t="e">
        <f>SUM(C9:C16)</f>
        <v>#VALUE!</v>
      </c>
      <c r="D17" s="251" t="e">
        <f>SUM(D9:D16)</f>
        <v>#VALUE!</v>
      </c>
      <c r="G17" s="252"/>
    </row>
    <row r="18" ht="15.75">
      <c r="A18" s="201"/>
      <c r="B18" s="253"/>
      <c r="C18" s="254"/>
      <c r="D18" s="255"/>
      <c r="G18" s="252"/>
      <c r="H18" s="255"/>
    </row>
    <row r="19">
      <c r="A19" s="256"/>
      <c r="B19" s="256"/>
      <c r="C19" s="256"/>
      <c r="D19" s="256"/>
    </row>
    <row r="21">
      <c r="D21" s="252"/>
    </row>
    <row r="22" ht="15">
      <c r="A22" s="257"/>
      <c r="B22" s="257"/>
      <c r="C22" s="258" t="s">
        <v>20375</v>
      </c>
      <c r="D22" s="257"/>
    </row>
    <row r="23" ht="15">
      <c r="C23" s="258" t="s">
        <v>20376</v>
      </c>
    </row>
    <row r="24">
      <c r="B24" s="259"/>
      <c r="C24" s="258"/>
    </row>
    <row r="25">
      <c r="B25" s="259"/>
      <c r="C25" s="258"/>
    </row>
  </sheetData>
  <mergeCells count="5">
    <mergeCell ref="A1:D1"/>
    <mergeCell ref="A2:D2"/>
    <mergeCell ref="A3:D3"/>
    <mergeCell ref="A5:D5"/>
    <mergeCell ref="A19:D19"/>
  </mergeCells>
  <printOptions headings="0" gridLines="0"/>
  <pageMargins left="0.70866141732283505" right="0.70866141732283505" top="1.25984251968504" bottom="1.1023622047244099" header="0.39370078740157494" footer="0.39370078740157494"/>
  <pageSetup paperSize="9" scale="98" firstPageNumber="2147483647" fitToWidth="1" fitToHeight="1" pageOrder="downThenOver" orientation="portrait" usePrinterDefaults="1" blackAndWhite="0" draft="0" cellComments="none" useFirstPageNumber="0" errors="displayed" horizontalDpi="600" verticalDpi="600" copies="1"/>
  <headerFooter scaleWithDoc="0">
    <oddFooter>&amp;R&amp;P/&amp;N</oddFooter>
  </headerFooter>
  <drawing r:id="rId1"/>
  <extLst>
    <ext xmlns:x14="http://schemas.microsoft.com/office/spreadsheetml/2009/9/main" uri="{78C0D931-6437-407d-A8EE-F0AAD7539E65}">
      <x14:conditionalFormattings>
        <x14:conditionalFormatting xmlns:xm="http://schemas.microsoft.com/office/excel/2006/main">
          <x14:cfRule type="duplicateValues" priority="4" stopIfTrue="1" id="{009A007B-00A5-4539-8B30-001900EB0080}">
            <x14:dxf>
              <font>
                <color rgb="FF9C0006"/>
              </font>
              <fill>
                <patternFill patternType="solid">
                  <fgColor rgb="FFFFC7CE"/>
                  <bgColor rgb="FFFFC7CE"/>
                </patternFill>
              </fill>
            </x14:dxf>
          </x14:cfRule>
          <xm:sqref>C24</xm:sqref>
        </x14:conditionalFormatting>
        <x14:conditionalFormatting xmlns:xm="http://schemas.microsoft.com/office/excel/2006/main">
          <x14:cfRule type="duplicateValues" priority="3" stopIfTrue="1" id="{00FD0070-00E8-4F54-A796-0052003A008C}">
            <x14:dxf>
              <font>
                <color rgb="FF9C0006"/>
              </font>
              <fill>
                <patternFill patternType="solid">
                  <fgColor rgb="FFFFC7CE"/>
                  <bgColor rgb="FFFFC7CE"/>
                </patternFill>
              </fill>
            </x14:dxf>
          </x14:cfRule>
          <xm:sqref>C25</xm:sqref>
        </x14:conditionalFormatting>
        <x14:conditionalFormatting xmlns:xm="http://schemas.microsoft.com/office/excel/2006/main">
          <x14:cfRule type="duplicateValues" priority="2" stopIfTrue="1" id="{003C0088-00FC-4BE1-9A7E-00B600EB0019}">
            <x14:dxf>
              <font>
                <color rgb="FF9C0006"/>
              </font>
              <fill>
                <patternFill patternType="solid">
                  <fgColor rgb="FFFFC7CE"/>
                  <bgColor rgb="FFFFC7CE"/>
                </patternFill>
              </fill>
            </x14:dxf>
          </x14:cfRule>
          <xm:sqref>C22</xm:sqref>
        </x14:conditionalFormatting>
        <x14:conditionalFormatting xmlns:xm="http://schemas.microsoft.com/office/excel/2006/main">
          <x14:cfRule type="duplicateValues" priority="1" stopIfTrue="1" id="{0009005C-0082-43D3-AFBE-007E00180048}">
            <x14:dxf>
              <font>
                <color rgb="FF9C0006"/>
              </font>
              <fill>
                <patternFill patternType="solid">
                  <fgColor rgb="FFFFC7CE"/>
                  <bgColor rgb="FFFFC7CE"/>
                </patternFill>
              </fill>
            </x14:dxf>
          </x14:cfRule>
          <xm:sqref>C23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topLeftCell="A152" zoomScale="90" workbookViewId="0">
      <selection activeCell="D152" activeCellId="0" sqref="D152"/>
    </sheetView>
  </sheetViews>
  <sheetFormatPr defaultColWidth="9.140625" defaultRowHeight="13.5"/>
  <cols>
    <col min="1" max="1" style="4" width="9.140625"/>
    <col customWidth="1" min="2" max="2" style="260" width="11.5703125"/>
    <col customWidth="1" min="3" max="3" style="260" width="13.7109375"/>
    <col customWidth="1" min="4" max="4" style="261" width="31.85546875"/>
    <col customWidth="1" min="5" max="5" style="260" width="7.28515625"/>
    <col customWidth="1" min="6" max="6" style="260" width="8.5703125"/>
    <col customWidth="1" min="7" max="8" style="262" width="12.7109375"/>
    <col customWidth="1" min="9" max="9" style="263" width="12.85546875"/>
    <col customWidth="1" min="10" max="10" style="264" width="14.42578125"/>
    <col customWidth="1" hidden="1" min="11" max="11" style="265" width="12.85546875"/>
    <col customWidth="1" hidden="1" min="12" max="12" style="266" width="14.42578125"/>
    <col customWidth="1" min="13" max="15" style="267" width="22.7109375"/>
    <col customWidth="1" min="16" max="16" style="268" width="12.7109375"/>
    <col customWidth="1" hidden="1" min="17" max="17" style="269" width="18.85546875"/>
    <col customWidth="1" min="18" max="18" style="270" width="42.140625"/>
    <col customWidth="1" min="19" max="19" style="270" width="5.5703125"/>
    <col min="20" max="16384" style="4" width="9.140625"/>
  </cols>
  <sheetData>
    <row r="1" s="212" customFormat="1" ht="24" customHeight="1">
      <c r="A1" s="271" t="s">
        <v>20377</v>
      </c>
      <c r="B1" s="271"/>
      <c r="C1" s="271"/>
      <c r="D1" s="271"/>
      <c r="E1" s="271"/>
      <c r="F1" s="271"/>
      <c r="G1" s="271"/>
      <c r="H1" s="271"/>
      <c r="I1" s="271"/>
      <c r="J1" s="271"/>
      <c r="K1" s="272"/>
      <c r="L1" s="272"/>
      <c r="M1" s="272"/>
      <c r="N1" s="272"/>
      <c r="O1" s="272"/>
      <c r="P1" s="273"/>
      <c r="Q1" s="269"/>
      <c r="R1" s="270"/>
      <c r="S1" s="270"/>
    </row>
    <row r="2" s="212" customFormat="1" ht="42" customHeight="1">
      <c r="A2" s="274" t="s">
        <v>20378</v>
      </c>
      <c r="B2" s="274"/>
      <c r="C2" s="274"/>
      <c r="D2" s="274"/>
      <c r="E2" s="274"/>
      <c r="F2" s="274"/>
      <c r="G2" s="274"/>
      <c r="H2" s="274"/>
      <c r="I2" s="274"/>
      <c r="J2" s="274"/>
      <c r="K2" s="275"/>
      <c r="L2" s="276"/>
      <c r="M2" s="277"/>
      <c r="N2" s="277"/>
      <c r="O2" s="277"/>
      <c r="P2" s="268"/>
      <c r="Q2" s="269"/>
      <c r="R2" s="270"/>
      <c r="S2" s="270"/>
    </row>
    <row r="3" s="212" customFormat="1" ht="21.75" customHeight="1">
      <c r="A3" s="278" t="s">
        <v>20379</v>
      </c>
      <c r="B3" s="279"/>
      <c r="C3" s="280"/>
      <c r="D3" s="280"/>
      <c r="E3" s="280"/>
      <c r="F3" s="280"/>
      <c r="G3" s="280"/>
      <c r="H3" s="280"/>
      <c r="I3" s="280"/>
      <c r="J3" s="280"/>
      <c r="K3" s="275"/>
      <c r="L3" s="276"/>
      <c r="M3" s="277"/>
      <c r="N3" s="277"/>
      <c r="O3" s="277"/>
      <c r="P3" s="268"/>
      <c r="Q3" s="269"/>
      <c r="R3" s="270"/>
      <c r="S3" s="270"/>
    </row>
    <row r="4" s="212" customFormat="1" ht="21.75" customHeight="1">
      <c r="A4" s="281" t="s">
        <v>20380</v>
      </c>
      <c r="B4" s="279"/>
      <c r="C4" s="282"/>
      <c r="D4" s="282"/>
      <c r="E4" s="282"/>
      <c r="F4" s="282"/>
      <c r="G4" s="282"/>
      <c r="H4" s="282"/>
      <c r="I4" s="279"/>
      <c r="J4" s="279"/>
      <c r="L4" s="276"/>
      <c r="M4" s="283" t="s">
        <v>20381</v>
      </c>
      <c r="N4" s="283"/>
      <c r="O4" s="283"/>
      <c r="P4" s="284"/>
      <c r="Q4" s="283" t="s">
        <v>20382</v>
      </c>
      <c r="R4" s="270"/>
      <c r="S4" s="270"/>
    </row>
    <row r="5" s="212" customFormat="1" ht="16.5">
      <c r="A5" s="278" t="s">
        <v>20383</v>
      </c>
      <c r="B5" s="279"/>
      <c r="C5" s="281"/>
      <c r="D5" s="281"/>
      <c r="E5" s="281"/>
      <c r="F5" s="281"/>
      <c r="G5" s="281"/>
      <c r="H5" s="281"/>
      <c r="I5" s="279"/>
      <c r="J5" s="279"/>
      <c r="L5" s="276"/>
      <c r="M5" s="285">
        <v>1.2373000000000001</v>
      </c>
      <c r="N5" s="285"/>
      <c r="O5" s="285"/>
      <c r="P5" s="286"/>
      <c r="Q5" s="285">
        <v>1.3</v>
      </c>
      <c r="R5" s="270"/>
      <c r="S5" s="270"/>
    </row>
    <row r="6" ht="15">
      <c r="A6" s="287" t="s">
        <v>20384</v>
      </c>
      <c r="B6" s="287"/>
      <c r="C6" s="287"/>
      <c r="D6" s="287"/>
      <c r="E6" s="287"/>
      <c r="F6" s="287"/>
      <c r="G6" s="287"/>
      <c r="H6" s="287"/>
      <c r="I6" s="287"/>
      <c r="J6" s="287"/>
      <c r="K6" s="288"/>
    </row>
    <row r="7" ht="15">
      <c r="A7" s="5"/>
      <c r="B7" s="289"/>
      <c r="C7" s="258"/>
      <c r="D7" s="258"/>
      <c r="E7" s="258"/>
      <c r="F7" s="258"/>
      <c r="G7" s="290"/>
      <c r="H7" s="290"/>
      <c r="I7" s="258"/>
      <c r="J7" s="258"/>
      <c r="M7" s="291"/>
      <c r="N7" s="291"/>
      <c r="O7" s="291"/>
      <c r="P7" s="268"/>
      <c r="Q7" s="269"/>
    </row>
    <row r="8" s="212" customFormat="1" ht="14.25">
      <c r="A8" s="292"/>
      <c r="B8" s="293" t="s">
        <v>20371</v>
      </c>
      <c r="C8" s="294" t="s">
        <v>20385</v>
      </c>
      <c r="D8" s="295" t="s">
        <v>15336</v>
      </c>
      <c r="E8" s="296" t="s">
        <v>20386</v>
      </c>
      <c r="F8" s="295" t="s">
        <v>20387</v>
      </c>
      <c r="G8" s="297" t="s">
        <v>20388</v>
      </c>
      <c r="H8" s="298" t="s">
        <v>20389</v>
      </c>
      <c r="I8" s="298" t="s">
        <v>20389</v>
      </c>
      <c r="J8" s="298" t="s">
        <v>20390</v>
      </c>
      <c r="K8" s="299"/>
      <c r="L8" s="300"/>
      <c r="M8" s="301"/>
      <c r="N8" s="301"/>
      <c r="O8" s="301"/>
      <c r="P8" s="268"/>
      <c r="Q8" s="269"/>
      <c r="R8" s="270"/>
      <c r="S8" s="270"/>
    </row>
    <row r="9" s="212" customFormat="1" ht="14.25">
      <c r="A9" s="292"/>
      <c r="B9" s="293"/>
      <c r="C9" s="294" t="s">
        <v>17167</v>
      </c>
      <c r="D9" s="295"/>
      <c r="E9" s="296" t="s">
        <v>20391</v>
      </c>
      <c r="F9" s="302"/>
      <c r="G9" s="303"/>
      <c r="H9" s="304" t="s">
        <v>20392</v>
      </c>
      <c r="I9" s="304" t="s">
        <v>20393</v>
      </c>
      <c r="J9" s="298"/>
      <c r="K9" s="305" t="s">
        <v>20389</v>
      </c>
      <c r="L9" s="306" t="s">
        <v>20390</v>
      </c>
      <c r="M9" s="307"/>
      <c r="N9" s="307"/>
      <c r="O9" s="307"/>
      <c r="P9" s="268"/>
      <c r="Q9" s="269"/>
      <c r="R9" s="308" t="s">
        <v>20394</v>
      </c>
      <c r="S9" s="270" t="s">
        <v>20394</v>
      </c>
    </row>
    <row r="10" s="212" customFormat="1" ht="16.5" customHeight="1">
      <c r="A10" s="292"/>
      <c r="B10" s="309" t="s">
        <v>20395</v>
      </c>
      <c r="C10" s="309"/>
      <c r="D10" s="310" t="s">
        <v>20396</v>
      </c>
      <c r="E10" s="309"/>
      <c r="F10" s="309"/>
      <c r="G10" s="311"/>
      <c r="H10" s="311"/>
      <c r="I10" s="312"/>
      <c r="J10" s="312"/>
      <c r="K10" s="313"/>
      <c r="L10" s="314"/>
      <c r="M10" s="277"/>
      <c r="N10" s="277"/>
      <c r="O10" s="277"/>
      <c r="P10" s="315" t="s">
        <v>5</v>
      </c>
      <c r="Q10" s="316" t="s">
        <v>6</v>
      </c>
      <c r="R10" s="317" t="s">
        <v>15336</v>
      </c>
      <c r="S10" s="317" t="s">
        <v>20397</v>
      </c>
    </row>
    <row r="11" s="212" customFormat="1" ht="88.5" customHeight="1">
      <c r="A11" s="318" t="s">
        <v>20398</v>
      </c>
      <c r="B11" s="319" t="s">
        <v>20399</v>
      </c>
      <c r="C11" s="320" t="s">
        <v>20400</v>
      </c>
      <c r="D11" s="321" t="s">
        <v>20401</v>
      </c>
      <c r="E11" s="322"/>
      <c r="F11" s="322" t="s">
        <v>15383</v>
      </c>
      <c r="G11" s="323">
        <f>2*4*1</f>
        <v>8</v>
      </c>
      <c r="H11" s="323">
        <f>P11</f>
        <v>546.82999999999993</v>
      </c>
      <c r="I11" s="323">
        <f>ROUND(P11*$M$5,2)</f>
        <v>676.59000000000003</v>
      </c>
      <c r="J11" s="323">
        <f t="shared" ref="J11:J14" si="641">ROUND(G11*I11,2)</f>
        <v>5412.7200000000003</v>
      </c>
      <c r="K11" s="324">
        <f>Q11*$Q$5</f>
        <v>705.57395999999994</v>
      </c>
      <c r="L11" s="324">
        <f t="shared" ref="L11:L14" si="642">ROUND(K11*G11,2)</f>
        <v>5644.5900000000001</v>
      </c>
      <c r="M11" s="277"/>
      <c r="N11" s="277"/>
      <c r="O11" s="277"/>
      <c r="P11" s="268">
        <f t="shared" ref="P11:P74" si="643">IFERROR(IF(A11="SINAPI",VLOOKUP(C11,SINCOMOD,4,FALSE),IF(A11="INSINAPI",VLOOKUP(C11,INSINOD,5,FALSE),IF(A11="SICRO",VLOOKUP(C11,SICRO,5,FALSE),IF(A11="COTACAO",VLOOKUP(C11,COTACAO,6,FALSE),IF(A11="PRÓPRIO",VLOOKUP(C11,COMPOD1,6,FALSE),IF(A11="AGESUL",VLOOKUP(C11,AGESULOD,6,FALSE),IF(A11="INSAGESUL",VLOOKUP(C11,INSAGESUL,7,FALSE),"SEM VALOR"))))))),"SEM VALOR")</f>
        <v>546.82999999999993</v>
      </c>
      <c r="Q11" s="269">
        <f t="shared" ref="Q11:Q74" si="644">IFERROR(IF(A11="SINAPI",VLOOKUP(C11,SINCOMOD,6,FALSE),IF(A11="INSINAPI",VLOOKUP(C11,INSINOD,6,FALSE),IF(A11="SICRO",VLOOKUP(C11,SICRO,5,FALSE),IF(A11="COTACAO",VLOOKUP(C11,COTACAO,6,FALSE),IF(A11="PRÓPRIO",VLOOKUP(C11,COMPOD1,8,FALSE),IF(A11="AGESUL",VLOOKUP(C11,AGESULOD,11,FALSE),IF(A11="INSAGESUL",VLOOKUP(C11,INSAGESUL,8,FALSE),"SEM VALOR"))))))),"SEM VALOR")</f>
        <v>542.74919999999997</v>
      </c>
      <c r="R11" s="308" t="str">
        <f t="shared" ref="R11:R74" si="645">IFERROR(IF(A11="SINAPI",VLOOKUP(C11,SINCOMOD,2,FALSE),IF(A11="INSINAPI",VLOOKUP(C11,INSINOD,2,FALSE),IF(A11="SICRO",VLOOKUP(C11,SICRO,2,FALSE),IF(A11="COTACAO",VLOOKUP(C11,COTACAO,3,FALSE),IF(A11="PRÓPRIO",VLOOKUP(C11,COMPOD1,2,FALSE),IF(A11="AGESUL",VLOOKUP(C11,AGESULOD,2,FALSE),IF(A11="INSAGESUL",VLOOKUP(C11,INSAGESUL,3,FALSE),""))))))),"")</f>
        <v xml:space="preserve">PLACA DE IDENTIFICAÇÃO DE OBRA PÚBLICA, INCLUSIVE PINTURA E ADESIVOS, ESTRUTURA E SUPORTE DE MADEIRA. INCLUSO FORNECIMENTO DE MATERIAL E INSTALAÇÃO. REF SINAPI, CÓD 74209/1)</v>
      </c>
      <c r="S11" s="270" t="str">
        <f t="shared" ref="S11:S74" si="646">IFERROR(IF(A11="SINAPI",VLOOKUP(C11,SINCOMOD,3,FALSE),IF(A11="INSINAPI",VLOOKUP(C11,INSINOD,3,FALSE),IF(A11="SICRO",VLOOKUP(C11,SICRO,3,FALSE),IF(A11="COTACAO",VLOOKUP(C11,COTACAO,4,FALSE),IF(A11="PRÓPRIO",VLOOKUP(C11,COMPOD1,3,FALSE),IF(A11="AGESUL",VLOOKUP(C11,AGESULOD,3,FALSE),IF(A11="INSAGESUL",VLOOKUP(C11,INSAGESUL,4,FALSE),""))))))),"")</f>
        <v>M²</v>
      </c>
    </row>
    <row r="12" s="212" customFormat="1" ht="47.25" customHeight="1">
      <c r="A12" s="318" t="s">
        <v>20398</v>
      </c>
      <c r="B12" s="319" t="s">
        <v>20402</v>
      </c>
      <c r="C12" s="320" t="s">
        <v>20403</v>
      </c>
      <c r="D12" s="321" t="s">
        <v>20404</v>
      </c>
      <c r="E12" s="325"/>
      <c r="F12" s="325" t="s">
        <v>15364</v>
      </c>
      <c r="G12" s="323">
        <v>1</v>
      </c>
      <c r="H12" s="323">
        <f>P12</f>
        <v>1017.3899999999999</v>
      </c>
      <c r="I12" s="323">
        <f>ROUND(P12*$M$5,2)</f>
        <v>1258.8199999999999</v>
      </c>
      <c r="J12" s="323">
        <f t="shared" si="641"/>
        <v>1258.8199999999999</v>
      </c>
      <c r="K12" s="324">
        <f>Q12*$Q$5</f>
        <v>1287.6534463</v>
      </c>
      <c r="L12" s="324">
        <f t="shared" si="642"/>
        <v>1287.6500000000001</v>
      </c>
      <c r="M12" s="267"/>
      <c r="N12" s="267"/>
      <c r="O12" s="267"/>
      <c r="P12" s="268">
        <f t="shared" si="643"/>
        <v>1017.3899999999999</v>
      </c>
      <c r="Q12" s="269">
        <f t="shared" si="644"/>
        <v>990.50265100000001</v>
      </c>
      <c r="R12" s="308" t="str">
        <f t="shared" si="645"/>
        <v xml:space="preserve">LIGAÇÃO PROVISÓRIA DE ÁGUA (REF AGESUL, CÓD IUD20017).</v>
      </c>
      <c r="S12" s="270" t="str">
        <f t="shared" si="646"/>
        <v xml:space="preserve">UN    </v>
      </c>
    </row>
    <row r="13" s="212" customFormat="1" ht="58.5" customHeight="1">
      <c r="A13" s="318" t="s">
        <v>20398</v>
      </c>
      <c r="B13" s="319" t="s">
        <v>20405</v>
      </c>
      <c r="C13" s="320" t="s">
        <v>20406</v>
      </c>
      <c r="D13" s="321" t="s">
        <v>20407</v>
      </c>
      <c r="E13" s="325"/>
      <c r="F13" s="325" t="s">
        <v>15364</v>
      </c>
      <c r="G13" s="323">
        <v>1</v>
      </c>
      <c r="H13" s="323">
        <f>P13</f>
        <v>2806.9699999999993</v>
      </c>
      <c r="I13" s="323">
        <f>ROUND(P13*$M$5,2)</f>
        <v>3473.0599999999999</v>
      </c>
      <c r="J13" s="323">
        <f t="shared" si="641"/>
        <v>3473.0599999999999</v>
      </c>
      <c r="K13" s="324">
        <f>Q13*$Q$5</f>
        <v>3617.5533293834997</v>
      </c>
      <c r="L13" s="324">
        <f t="shared" si="642"/>
        <v>3617.5500000000002</v>
      </c>
      <c r="M13" s="267"/>
      <c r="N13" s="267"/>
      <c r="O13" s="267"/>
      <c r="P13" s="268">
        <f t="shared" si="643"/>
        <v>2806.9699999999993</v>
      </c>
      <c r="Q13" s="269">
        <f t="shared" si="644"/>
        <v>2782.7333302949996</v>
      </c>
      <c r="R13" s="308" t="str">
        <f t="shared" si="645"/>
        <v xml:space="preserve">ENTRADA PROVISÓRIA DE ENERGIA ELÉTRICA AÉREA TRIFÁSICA 40A EM POSTE DE CONCRETO ARMADO DE SECAO DUPLO T </v>
      </c>
      <c r="S13" s="270" t="str">
        <f t="shared" si="646"/>
        <v>UN</v>
      </c>
    </row>
    <row r="14" s="212" customFormat="1" ht="51" customHeight="1">
      <c r="A14" s="318" t="s">
        <v>20408</v>
      </c>
      <c r="B14" s="319" t="s">
        <v>20409</v>
      </c>
      <c r="C14" s="326">
        <v>10775</v>
      </c>
      <c r="D14" s="327" t="s">
        <v>20410</v>
      </c>
      <c r="E14" s="325"/>
      <c r="F14" s="325" t="s">
        <v>15497</v>
      </c>
      <c r="G14" s="323">
        <v>6</v>
      </c>
      <c r="H14" s="323">
        <f>P14</f>
        <v>928.75</v>
      </c>
      <c r="I14" s="323">
        <f>ROUND(P14*$M$5,2)</f>
        <v>1149.1400000000001</v>
      </c>
      <c r="J14" s="323">
        <f t="shared" si="641"/>
        <v>6894.8400000000001</v>
      </c>
      <c r="K14" s="328">
        <f>Q14*$Q$5</f>
        <v>1207.375</v>
      </c>
      <c r="L14" s="328">
        <f t="shared" si="642"/>
        <v>7244.25</v>
      </c>
      <c r="M14" s="267"/>
      <c r="N14" s="267"/>
      <c r="O14" s="267"/>
      <c r="P14" s="268">
        <f t="shared" si="643"/>
        <v>928.75</v>
      </c>
      <c r="Q14" s="269">
        <f t="shared" si="644"/>
        <v>928.75</v>
      </c>
      <c r="R14" s="308" t="str">
        <f t="shared" si="645"/>
        <v xml:space="preserve">LOCACAO DE CONTAINER 2,30 X 6,00 M, ALT. 2,50 M, COM 1 SANITARIO, PARA ESCRITORIO, COMPLETO, SEM DIVISORIAS INTERNAS (NAO INCLUI MOBILIZACAO/DESMOBILIZACAO)</v>
      </c>
      <c r="S14" s="270" t="str">
        <f t="shared" si="646"/>
        <v>MES</v>
      </c>
    </row>
    <row r="15" s="212" customFormat="1" ht="14.25">
      <c r="A15" s="318"/>
      <c r="B15" s="329"/>
      <c r="C15" s="330"/>
      <c r="D15" s="331" t="s">
        <v>20411</v>
      </c>
      <c r="E15" s="332"/>
      <c r="F15" s="332"/>
      <c r="G15" s="323"/>
      <c r="H15" s="323"/>
      <c r="I15" s="333"/>
      <c r="J15" s="334">
        <f>SUM(J11:J14)</f>
        <v>17039.440000000002</v>
      </c>
      <c r="K15" s="335"/>
      <c r="L15" s="336">
        <f>SUM(L11:L14)</f>
        <v>17794.040000000001</v>
      </c>
      <c r="M15" s="337" t="e">
        <f>J15/$J$154</f>
        <v>#VALUE!</v>
      </c>
      <c r="N15" s="337"/>
      <c r="O15" s="337"/>
      <c r="P15" s="268"/>
      <c r="Q15" s="269"/>
      <c r="R15" s="308" t="str">
        <f t="shared" si="645"/>
        <v/>
      </c>
      <c r="S15" s="270" t="str">
        <f t="shared" si="646"/>
        <v/>
      </c>
    </row>
    <row r="16" s="212" customFormat="1" ht="18" customHeight="1">
      <c r="A16" s="318"/>
      <c r="B16" s="302" t="s">
        <v>20412</v>
      </c>
      <c r="C16" s="326"/>
      <c r="D16" s="338" t="s">
        <v>20413</v>
      </c>
      <c r="E16" s="322"/>
      <c r="F16" s="322"/>
      <c r="G16" s="323"/>
      <c r="H16" s="323"/>
      <c r="I16" s="339"/>
      <c r="J16" s="339"/>
      <c r="K16" s="335"/>
      <c r="L16" s="340"/>
      <c r="M16" s="341"/>
      <c r="N16" s="341"/>
      <c r="O16" s="341"/>
      <c r="P16" s="268"/>
      <c r="Q16" s="269"/>
      <c r="R16" s="308" t="str">
        <f t="shared" si="645"/>
        <v/>
      </c>
      <c r="S16" s="270" t="str">
        <f t="shared" si="646"/>
        <v/>
      </c>
    </row>
    <row r="17" s="212" customFormat="1" ht="40.5" customHeight="1">
      <c r="A17" s="318" t="s">
        <v>17167</v>
      </c>
      <c r="B17" s="342" t="s">
        <v>20414</v>
      </c>
      <c r="C17" s="343">
        <v>90781</v>
      </c>
      <c r="D17" s="344" t="s">
        <v>20415</v>
      </c>
      <c r="E17" s="343"/>
      <c r="F17" s="345" t="s">
        <v>15443</v>
      </c>
      <c r="G17" s="323">
        <f t="shared" ref="G17:G18" si="647">90*6</f>
        <v>540</v>
      </c>
      <c r="H17" s="323">
        <f>P17</f>
        <v>37.399999999999999</v>
      </c>
      <c r="I17" s="323">
        <f>ROUND(P17*$M$5,2)</f>
        <v>46.280000000000001</v>
      </c>
      <c r="J17" s="323">
        <f t="shared" ref="J17:J23" si="648">ROUND(G17*I17,2)</f>
        <v>24991.200000000001</v>
      </c>
      <c r="K17" s="328">
        <f>Q17*$Q$5</f>
        <v>45.5</v>
      </c>
      <c r="L17" s="328">
        <f t="shared" ref="L17:L23" si="649">ROUND(K17*G17,2)</f>
        <v>24570</v>
      </c>
      <c r="M17" s="341"/>
      <c r="N17" s="341"/>
      <c r="O17" s="341"/>
      <c r="P17" s="268">
        <f t="shared" si="643"/>
        <v>37.399999999999999</v>
      </c>
      <c r="Q17" s="269">
        <f t="shared" si="644"/>
        <v>35</v>
      </c>
      <c r="R17" s="308" t="str">
        <f t="shared" si="645"/>
        <v xml:space="preserve">TOPOGRAFO COM ENCARGOS COMPLEMENTARES</v>
      </c>
      <c r="S17" s="270" t="str">
        <f t="shared" si="646"/>
        <v>H</v>
      </c>
    </row>
    <row r="18" s="212" customFormat="1" ht="33.75" customHeight="1">
      <c r="A18" s="318" t="s">
        <v>17167</v>
      </c>
      <c r="B18" s="342" t="s">
        <v>20416</v>
      </c>
      <c r="C18" s="346">
        <v>88253</v>
      </c>
      <c r="D18" s="347" t="s">
        <v>20417</v>
      </c>
      <c r="E18" s="348"/>
      <c r="F18" s="348" t="s">
        <v>15443</v>
      </c>
      <c r="G18" s="323">
        <f t="shared" si="647"/>
        <v>540</v>
      </c>
      <c r="H18" s="323">
        <f>P18</f>
        <v>19.760000000000002</v>
      </c>
      <c r="I18" s="323">
        <f>ROUND(P18*$M$5,2)</f>
        <v>24.449999999999999</v>
      </c>
      <c r="J18" s="323">
        <f t="shared" si="648"/>
        <v>13203</v>
      </c>
      <c r="K18" s="328">
        <f>Q18*$Q$5</f>
        <v>24.283999999999999</v>
      </c>
      <c r="L18" s="328">
        <f t="shared" si="649"/>
        <v>13113.360000000001</v>
      </c>
      <c r="M18" s="341"/>
      <c r="N18" s="341"/>
      <c r="O18" s="341"/>
      <c r="P18" s="268">
        <f t="shared" si="643"/>
        <v>19.760000000000002</v>
      </c>
      <c r="Q18" s="269">
        <f t="shared" si="644"/>
        <v>18.68</v>
      </c>
      <c r="R18" s="308" t="str">
        <f t="shared" si="645"/>
        <v xml:space="preserve">AUXILIAR DE TOPÓGRAFO COM ENCARGOS COMPLEMENTARES</v>
      </c>
      <c r="S18" s="270" t="str">
        <f t="shared" si="646"/>
        <v>H</v>
      </c>
    </row>
    <row r="19" s="212" customFormat="1" ht="31.5" customHeight="1">
      <c r="A19" s="318" t="s">
        <v>17167</v>
      </c>
      <c r="B19" s="342" t="s">
        <v>20418</v>
      </c>
      <c r="C19" s="346">
        <v>90777</v>
      </c>
      <c r="D19" s="347" t="s">
        <v>20419</v>
      </c>
      <c r="E19" s="348"/>
      <c r="F19" s="348" t="s">
        <v>15443</v>
      </c>
      <c r="G19" s="323">
        <f>60*6</f>
        <v>360</v>
      </c>
      <c r="H19" s="323">
        <f>P19</f>
        <v>141.5</v>
      </c>
      <c r="I19" s="323">
        <f>ROUND(P19*$M$5,2)</f>
        <v>175.08000000000001</v>
      </c>
      <c r="J19" s="323">
        <f t="shared" si="648"/>
        <v>63028.800000000003</v>
      </c>
      <c r="K19" s="328">
        <f>Q19*$Q$5</f>
        <v>170.61200000000002</v>
      </c>
      <c r="L19" s="328">
        <f t="shared" si="649"/>
        <v>61420.32</v>
      </c>
      <c r="M19" s="341"/>
      <c r="N19" s="341"/>
      <c r="O19" s="341"/>
      <c r="P19" s="268">
        <f t="shared" si="643"/>
        <v>141.5</v>
      </c>
      <c r="Q19" s="269">
        <f t="shared" si="644"/>
        <v>131.24000000000001</v>
      </c>
      <c r="R19" s="308" t="str">
        <f t="shared" si="645"/>
        <v xml:space="preserve">ENGENHEIRO CIVIL DE OBRA JUNIOR COM ENCARGOS COMPLEMENTARES</v>
      </c>
      <c r="S19" s="270" t="str">
        <f t="shared" si="646"/>
        <v>H</v>
      </c>
    </row>
    <row r="20" s="212" customFormat="1" ht="39" customHeight="1">
      <c r="A20" s="318" t="s">
        <v>17167</v>
      </c>
      <c r="B20" s="342" t="s">
        <v>20420</v>
      </c>
      <c r="C20" s="346">
        <v>88321</v>
      </c>
      <c r="D20" s="347" t="s">
        <v>20421</v>
      </c>
      <c r="E20" s="348"/>
      <c r="F20" s="348" t="s">
        <v>15443</v>
      </c>
      <c r="G20" s="323">
        <f t="shared" ref="G20:G22" si="650">70*6</f>
        <v>420</v>
      </c>
      <c r="H20" s="323">
        <f>P20</f>
        <v>42.469999999999999</v>
      </c>
      <c r="I20" s="323">
        <f>ROUND(P20*$M$5,2)</f>
        <v>52.550000000000004</v>
      </c>
      <c r="J20" s="323">
        <f t="shared" si="648"/>
        <v>22071</v>
      </c>
      <c r="K20" s="328">
        <f>Q20*$Q$5</f>
        <v>51.597000000000001</v>
      </c>
      <c r="L20" s="328">
        <f t="shared" si="649"/>
        <v>21670.740000000002</v>
      </c>
      <c r="M20" s="341"/>
      <c r="N20" s="341"/>
      <c r="O20" s="341"/>
      <c r="P20" s="268">
        <f t="shared" si="643"/>
        <v>42.469999999999999</v>
      </c>
      <c r="Q20" s="269">
        <f t="shared" si="644"/>
        <v>39.689999999999998</v>
      </c>
      <c r="R20" s="308" t="str">
        <f t="shared" si="645"/>
        <v xml:space="preserve">TÉCNICO DE LABORATÓRIO COM ENCARGOS COMPLEMENTARES</v>
      </c>
      <c r="S20" s="270" t="str">
        <f t="shared" si="646"/>
        <v>H</v>
      </c>
    </row>
    <row r="21" s="212" customFormat="1" ht="33" customHeight="1">
      <c r="A21" s="318" t="s">
        <v>17167</v>
      </c>
      <c r="B21" s="342" t="s">
        <v>20422</v>
      </c>
      <c r="C21" s="346">
        <v>88249</v>
      </c>
      <c r="D21" s="347" t="s">
        <v>20423</v>
      </c>
      <c r="E21" s="348"/>
      <c r="F21" s="348" t="s">
        <v>15443</v>
      </c>
      <c r="G21" s="323">
        <f t="shared" si="650"/>
        <v>420</v>
      </c>
      <c r="H21" s="323">
        <f>P21</f>
        <v>36.140000000000001</v>
      </c>
      <c r="I21" s="323">
        <f>ROUND(P21*$M$5,2)</f>
        <v>44.719999999999999</v>
      </c>
      <c r="J21" s="323">
        <f t="shared" si="648"/>
        <v>18782.400000000001</v>
      </c>
      <c r="K21" s="328">
        <f>Q21*$Q$5</f>
        <v>43.978999999999999</v>
      </c>
      <c r="L21" s="328">
        <f t="shared" si="649"/>
        <v>18471.18</v>
      </c>
      <c r="M21" s="341"/>
      <c r="N21" s="341"/>
      <c r="O21" s="341"/>
      <c r="P21" s="268">
        <f t="shared" si="643"/>
        <v>36.140000000000001</v>
      </c>
      <c r="Q21" s="269">
        <f t="shared" si="644"/>
        <v>33.829999999999998</v>
      </c>
      <c r="R21" s="308" t="str">
        <f t="shared" si="645"/>
        <v xml:space="preserve">AUXILIAR DE LABORATÓRIO COM ENCARGOS COMPLEMENTARES</v>
      </c>
      <c r="S21" s="270" t="str">
        <f t="shared" si="646"/>
        <v>H</v>
      </c>
    </row>
    <row r="22" s="212" customFormat="1" ht="31.5" customHeight="1">
      <c r="A22" s="318" t="s">
        <v>17167</v>
      </c>
      <c r="B22" s="342" t="s">
        <v>20424</v>
      </c>
      <c r="C22" s="346">
        <v>100309</v>
      </c>
      <c r="D22" s="347" t="s">
        <v>20425</v>
      </c>
      <c r="E22" s="348"/>
      <c r="F22" s="348" t="s">
        <v>15443</v>
      </c>
      <c r="G22" s="323">
        <f t="shared" si="650"/>
        <v>420</v>
      </c>
      <c r="H22" s="323">
        <f>P22</f>
        <v>41.380000000000003</v>
      </c>
      <c r="I22" s="323">
        <f>ROUND(P22*$M$5,2)</f>
        <v>51.200000000000003</v>
      </c>
      <c r="J22" s="323">
        <f t="shared" si="648"/>
        <v>21504</v>
      </c>
      <c r="K22" s="328">
        <f>Q22*$Q$5</f>
        <v>50.271000000000001</v>
      </c>
      <c r="L22" s="328">
        <f t="shared" si="649"/>
        <v>21113.82</v>
      </c>
      <c r="M22" s="341"/>
      <c r="N22" s="341"/>
      <c r="O22" s="341"/>
      <c r="P22" s="268">
        <f t="shared" si="643"/>
        <v>41.380000000000003</v>
      </c>
      <c r="Q22" s="269">
        <f t="shared" si="644"/>
        <v>38.670000000000002</v>
      </c>
      <c r="R22" s="308" t="str">
        <f t="shared" si="645"/>
        <v xml:space="preserve">TÉCNICO EM SEGURANÇA DO TRABALHO COM ENCARGOS COMPLEMENTARES</v>
      </c>
      <c r="S22" s="270" t="str">
        <f t="shared" si="646"/>
        <v>H</v>
      </c>
    </row>
    <row r="23" s="212" customFormat="1" ht="35.25" customHeight="1">
      <c r="A23" s="318" t="s">
        <v>17167</v>
      </c>
      <c r="B23" s="342" t="s">
        <v>20426</v>
      </c>
      <c r="C23" s="346">
        <v>93572</v>
      </c>
      <c r="D23" s="347" t="s">
        <v>20427</v>
      </c>
      <c r="E23" s="343"/>
      <c r="F23" s="345" t="s">
        <v>15497</v>
      </c>
      <c r="G23" s="323">
        <v>6</v>
      </c>
      <c r="H23" s="323">
        <f>P23</f>
        <v>6041.5100000000002</v>
      </c>
      <c r="I23" s="323">
        <f>ROUND(P23*$M$5,2)</f>
        <v>7475.1599999999999</v>
      </c>
      <c r="J23" s="323">
        <f t="shared" si="648"/>
        <v>44850.959999999999</v>
      </c>
      <c r="K23" s="328">
        <f>Q23*$Q$5</f>
        <v>7361.5230000000001</v>
      </c>
      <c r="L23" s="328">
        <f t="shared" si="649"/>
        <v>44169.139999999999</v>
      </c>
      <c r="M23" s="341"/>
      <c r="N23" s="341"/>
      <c r="O23" s="341"/>
      <c r="P23" s="268">
        <f t="shared" si="643"/>
        <v>6041.5100000000002</v>
      </c>
      <c r="Q23" s="269">
        <f t="shared" si="644"/>
        <v>5662.71</v>
      </c>
      <c r="R23" s="308" t="str">
        <f t="shared" si="645"/>
        <v xml:space="preserve">ENCARREGADO GERAL DE OBRAS COM ENCARGOS COMPLEMENTARES</v>
      </c>
      <c r="S23" s="270" t="str">
        <f t="shared" si="646"/>
        <v>MES</v>
      </c>
    </row>
    <row r="24" s="212" customFormat="1" ht="14.25">
      <c r="A24" s="318"/>
      <c r="B24" s="349"/>
      <c r="C24" s="326"/>
      <c r="D24" s="338" t="s">
        <v>20428</v>
      </c>
      <c r="E24" s="322"/>
      <c r="F24" s="322"/>
      <c r="G24" s="323"/>
      <c r="H24" s="323"/>
      <c r="I24" s="339"/>
      <c r="J24" s="350">
        <f>SUM(J17:J23)</f>
        <v>208431.35999999999</v>
      </c>
      <c r="K24" s="335"/>
      <c r="L24" s="351">
        <f>SUM(L17:L23)</f>
        <v>204528.56</v>
      </c>
      <c r="M24" s="337" t="e">
        <f>J24/$J$154</f>
        <v>#VALUE!</v>
      </c>
      <c r="N24" s="337"/>
      <c r="O24" s="337"/>
      <c r="P24" s="268" t="str">
        <f t="shared" si="643"/>
        <v xml:space="preserve">SEM VALOR</v>
      </c>
      <c r="Q24" s="269" t="str">
        <f t="shared" si="644"/>
        <v xml:space="preserve">SEM VALOR</v>
      </c>
      <c r="R24" s="308" t="str">
        <f t="shared" si="645"/>
        <v/>
      </c>
      <c r="S24" s="270" t="str">
        <f t="shared" si="646"/>
        <v/>
      </c>
    </row>
    <row r="25" s="212" customFormat="1" ht="28.5">
      <c r="A25" s="318"/>
      <c r="B25" s="302" t="s">
        <v>20429</v>
      </c>
      <c r="C25" s="326"/>
      <c r="D25" s="352" t="s">
        <v>20430</v>
      </c>
      <c r="E25" s="322"/>
      <c r="F25" s="322"/>
      <c r="G25" s="323"/>
      <c r="H25" s="323"/>
      <c r="I25" s="339"/>
      <c r="J25" s="350"/>
      <c r="K25" s="353"/>
      <c r="L25" s="354"/>
      <c r="M25" s="341"/>
      <c r="N25" s="341"/>
      <c r="O25" s="341"/>
      <c r="P25" s="268" t="str">
        <f t="shared" si="643"/>
        <v xml:space="preserve">SEM VALOR</v>
      </c>
      <c r="Q25" s="269" t="str">
        <f t="shared" si="644"/>
        <v xml:space="preserve">SEM VALOR</v>
      </c>
      <c r="R25" s="308" t="str">
        <f t="shared" si="645"/>
        <v/>
      </c>
      <c r="S25" s="270" t="str">
        <f t="shared" si="646"/>
        <v/>
      </c>
    </row>
    <row r="26" s="212" customFormat="1" ht="14.25">
      <c r="A26" s="318"/>
      <c r="B26" s="309"/>
      <c r="C26" s="346"/>
      <c r="D26" s="352" t="s">
        <v>20431</v>
      </c>
      <c r="E26" s="348"/>
      <c r="F26" s="348"/>
      <c r="G26" s="323"/>
      <c r="H26" s="323"/>
      <c r="I26" s="339"/>
      <c r="J26" s="350"/>
      <c r="K26" s="353"/>
      <c r="L26" s="354"/>
      <c r="M26" s="341"/>
      <c r="N26" s="341"/>
      <c r="O26" s="341"/>
      <c r="P26" s="268" t="str">
        <f t="shared" si="643"/>
        <v xml:space="preserve">SEM VALOR</v>
      </c>
      <c r="Q26" s="269" t="str">
        <f t="shared" si="644"/>
        <v xml:space="preserve">SEM VALOR</v>
      </c>
      <c r="R26" s="308" t="str">
        <f t="shared" si="645"/>
        <v/>
      </c>
      <c r="S26" s="270" t="str">
        <f t="shared" si="646"/>
        <v/>
      </c>
    </row>
    <row r="27" s="212" customFormat="1" ht="44.25" customHeight="1">
      <c r="A27" s="318" t="s">
        <v>20398</v>
      </c>
      <c r="B27" s="319" t="s">
        <v>20432</v>
      </c>
      <c r="C27" s="343" t="s">
        <v>20433</v>
      </c>
      <c r="D27" s="347" t="s">
        <v>20434</v>
      </c>
      <c r="E27" s="343"/>
      <c r="F27" s="345" t="s">
        <v>15418</v>
      </c>
      <c r="G27" s="355">
        <v>1.6000000000000001</v>
      </c>
      <c r="H27" s="323">
        <f>P27</f>
        <v>291.63</v>
      </c>
      <c r="I27" s="323">
        <f>ROUND(P27*$M$5,2)</f>
        <v>360.82999999999998</v>
      </c>
      <c r="J27" s="323">
        <f t="shared" ref="J27:J29" si="651">ROUND(G27*I27,2)</f>
        <v>577.33000000000004</v>
      </c>
      <c r="K27" s="353"/>
      <c r="L27" s="354"/>
      <c r="M27" s="341"/>
      <c r="N27" s="341"/>
      <c r="O27" s="341"/>
      <c r="P27" s="268">
        <f t="shared" si="643"/>
        <v>291.63</v>
      </c>
      <c r="Q27" s="269">
        <f t="shared" si="644"/>
        <v>289.901319</v>
      </c>
      <c r="R27" s="308" t="str">
        <f t="shared" si="645"/>
        <v xml:space="preserve">FRESAGEM DESCONTÍNUA REVESTIMENTO BETUMINOSO (REF AGESUL, CÓD IUP30027).</v>
      </c>
      <c r="S27" s="270" t="str">
        <f t="shared" si="646"/>
        <v>M³</v>
      </c>
    </row>
    <row r="28" s="212" customFormat="1" ht="106.5" customHeight="1">
      <c r="A28" s="318" t="s">
        <v>20398</v>
      </c>
      <c r="B28" s="319" t="s">
        <v>20435</v>
      </c>
      <c r="C28" s="343" t="s">
        <v>20436</v>
      </c>
      <c r="D28" s="347" t="s">
        <v>20437</v>
      </c>
      <c r="E28" s="343"/>
      <c r="F28" s="345" t="s">
        <v>15418</v>
      </c>
      <c r="G28" s="355">
        <f>G27*1.05</f>
        <v>1.6799999999999999</v>
      </c>
      <c r="H28" s="323">
        <f>P28</f>
        <v>2.2000000000000002</v>
      </c>
      <c r="I28" s="323">
        <f>ROUND(P28*$M$5,2)</f>
        <v>2.7200000000000002</v>
      </c>
      <c r="J28" s="323">
        <f t="shared" si="651"/>
        <v>4.5700000000000003</v>
      </c>
      <c r="K28" s="353"/>
      <c r="L28" s="354"/>
      <c r="M28" s="341"/>
      <c r="N28" s="341"/>
      <c r="O28" s="341"/>
      <c r="P28" s="268">
        <f t="shared" si="643"/>
        <v>2.2000000000000002</v>
      </c>
      <c r="Q28" s="269">
        <f t="shared" si="644"/>
        <v>2.1879900000000001</v>
      </c>
      <c r="R28" s="308" t="str">
        <f t="shared" si="645"/>
        <v xml:space="preserve">CARGA E DESCARGA MECANICA DE SOLO UTILIZANDO CAMINHAO BASCULANTE 6,0 M³/16T E PÁ CARREGADEIRA SOBRE PNEUS 128 HP, CAPACIDADE DA CAÇAMBA 1,7 A 2,8 M³, PESO OPERACIONAL 11632 KG (REF SINAPI, CÓD 74010/1).</v>
      </c>
      <c r="S28" s="270" t="str">
        <f t="shared" si="646"/>
        <v>M³</v>
      </c>
    </row>
    <row r="29" s="212" customFormat="1" ht="68.25" customHeight="1">
      <c r="A29" s="318" t="s">
        <v>17167</v>
      </c>
      <c r="B29" s="319" t="s">
        <v>20438</v>
      </c>
      <c r="C29" s="343">
        <v>95875</v>
      </c>
      <c r="D29" s="347" t="s">
        <v>20439</v>
      </c>
      <c r="E29" s="356">
        <v>2.2999999999999998</v>
      </c>
      <c r="F29" s="345" t="s">
        <v>20440</v>
      </c>
      <c r="G29" s="357">
        <f>G28*E29</f>
        <v>3.8599999999999999</v>
      </c>
      <c r="H29" s="323">
        <f>P29</f>
        <v>2.7599999999999998</v>
      </c>
      <c r="I29" s="323">
        <f>ROUND(P29*$M$5,2)</f>
        <v>3.4100000000000001</v>
      </c>
      <c r="J29" s="323">
        <f t="shared" si="651"/>
        <v>13.16</v>
      </c>
      <c r="K29" s="353"/>
      <c r="L29" s="354"/>
      <c r="M29" s="341"/>
      <c r="N29" s="341"/>
      <c r="O29" s="341"/>
      <c r="P29" s="268">
        <f t="shared" si="643"/>
        <v>2.7599999999999998</v>
      </c>
      <c r="Q29" s="269">
        <f t="shared" si="644"/>
        <v>2.73</v>
      </c>
      <c r="R29" s="308" t="str">
        <f t="shared" si="645"/>
        <v xml:space="preserve">TRANSPORTE COM CAMINHÃO BASCULANTE DE 10 M³, EM VIA URBANA PAVIMENTADA, DMT ATÉ 30 KM (UNIDADE: M3XKM). AF_02/2026</v>
      </c>
      <c r="S29" s="270" t="str">
        <f t="shared" si="646"/>
        <v>M3XKM</v>
      </c>
    </row>
    <row r="30" s="212" customFormat="1" ht="56.25" customHeight="1">
      <c r="A30" s="318"/>
      <c r="B30" s="309"/>
      <c r="C30" s="346"/>
      <c r="D30" s="352" t="s">
        <v>20441</v>
      </c>
      <c r="E30" s="348"/>
      <c r="F30" s="348"/>
      <c r="G30" s="357"/>
      <c r="H30" s="323"/>
      <c r="I30" s="339"/>
      <c r="J30" s="339"/>
      <c r="K30" s="353"/>
      <c r="L30" s="354"/>
      <c r="M30" s="341"/>
      <c r="N30" s="341"/>
      <c r="O30" s="341"/>
      <c r="P30" s="268" t="str">
        <f t="shared" si="643"/>
        <v xml:space="preserve">SEM VALOR</v>
      </c>
      <c r="Q30" s="269" t="str">
        <f t="shared" si="644"/>
        <v xml:space="preserve">SEM VALOR</v>
      </c>
      <c r="R30" s="308" t="str">
        <f t="shared" si="645"/>
        <v/>
      </c>
      <c r="S30" s="270" t="str">
        <f t="shared" si="646"/>
        <v/>
      </c>
    </row>
    <row r="31" s="212" customFormat="1" ht="84.75" customHeight="1">
      <c r="A31" s="318" t="s">
        <v>20398</v>
      </c>
      <c r="B31" s="319" t="s">
        <v>20442</v>
      </c>
      <c r="C31" s="343" t="s">
        <v>20443</v>
      </c>
      <c r="D31" s="358" t="s">
        <v>20444</v>
      </c>
      <c r="E31" s="343"/>
      <c r="F31" s="345" t="s">
        <v>15383</v>
      </c>
      <c r="G31" s="357">
        <f>52.03*0.3</f>
        <v>15.609999999999999</v>
      </c>
      <c r="H31" s="323">
        <f>P31</f>
        <v>19.600000000000001</v>
      </c>
      <c r="I31" s="323">
        <f>ROUND(P31*$M$5,2)</f>
        <v>24.25</v>
      </c>
      <c r="J31" s="323">
        <f>ROUND(G31*I31,2)</f>
        <v>378.54000000000002</v>
      </c>
      <c r="K31" s="353"/>
      <c r="L31" s="354"/>
      <c r="M31" s="341"/>
      <c r="N31" s="341"/>
      <c r="O31" s="341"/>
      <c r="P31" s="268">
        <f t="shared" si="643"/>
        <v>19.600000000000001</v>
      </c>
      <c r="Q31" s="269">
        <f t="shared" si="644"/>
        <v>19.015000000000001</v>
      </c>
      <c r="R31" s="308" t="str">
        <f t="shared" si="645"/>
        <v xml:space="preserve">DEMOLIÇÃO DE PAVIMENTAÇÃO ASFÁLTICA COM UTILIZAÇÃO DE MARTELO PERFURADOR, ESPESSURA ATÉ 15 CM, EXCLUSIVE CARGA E TRANSPORTE (REF SINAPI, CÓD 92970). </v>
      </c>
      <c r="S31" s="270" t="str">
        <f t="shared" si="646"/>
        <v>M²</v>
      </c>
    </row>
    <row r="32" s="212" customFormat="1" ht="114.75" customHeight="1">
      <c r="A32" s="318" t="s">
        <v>20398</v>
      </c>
      <c r="B32" s="319" t="s">
        <v>20445</v>
      </c>
      <c r="C32" s="343" t="s">
        <v>20436</v>
      </c>
      <c r="D32" s="347" t="s">
        <v>20437</v>
      </c>
      <c r="E32" s="343"/>
      <c r="F32" s="345" t="s">
        <v>15418</v>
      </c>
      <c r="G32" s="357">
        <f>G31*0.19*1.25</f>
        <v>3.71</v>
      </c>
      <c r="H32" s="323">
        <f>P32</f>
        <v>2.2000000000000002</v>
      </c>
      <c r="I32" s="323">
        <f>ROUND(P32*$M$5,2)</f>
        <v>2.7200000000000002</v>
      </c>
      <c r="J32" s="323">
        <f>ROUND(G32*I32,2)</f>
        <v>10.09</v>
      </c>
      <c r="K32" s="353"/>
      <c r="L32" s="354"/>
      <c r="M32" s="341"/>
      <c r="N32" s="341"/>
      <c r="O32" s="341"/>
      <c r="P32" s="268">
        <f t="shared" si="643"/>
        <v>2.2000000000000002</v>
      </c>
      <c r="Q32" s="269">
        <f t="shared" si="644"/>
        <v>2.1879900000000001</v>
      </c>
      <c r="R32" s="308" t="str">
        <f t="shared" si="645"/>
        <v xml:space="preserve">CARGA E DESCARGA MECANICA DE SOLO UTILIZANDO CAMINHAO BASCULANTE 6,0 M³/16T E PÁ CARREGADEIRA SOBRE PNEUS 128 HP, CAPACIDADE DA CAÇAMBA 1,7 A 2,8 M³, PESO OPERACIONAL 11632 KG (REF SINAPI, CÓD 74010/1).</v>
      </c>
      <c r="S32" s="270" t="str">
        <f t="shared" si="646"/>
        <v>M³</v>
      </c>
    </row>
    <row r="33" s="212" customFormat="1" ht="69" customHeight="1">
      <c r="A33" s="318" t="s">
        <v>17167</v>
      </c>
      <c r="B33" s="319" t="s">
        <v>20446</v>
      </c>
      <c r="C33" s="343">
        <v>95875</v>
      </c>
      <c r="D33" s="347" t="s">
        <v>20439</v>
      </c>
      <c r="E33" s="356">
        <v>2.2999999999999998</v>
      </c>
      <c r="F33" s="345" t="s">
        <v>20440</v>
      </c>
      <c r="G33" s="357">
        <f>G32*E33</f>
        <v>8.5299999999999994</v>
      </c>
      <c r="H33" s="323">
        <f>P33</f>
        <v>2.7599999999999998</v>
      </c>
      <c r="I33" s="323">
        <f>ROUND(P33*$M$5,2)</f>
        <v>3.4100000000000001</v>
      </c>
      <c r="J33" s="323">
        <f>ROUND(G33*I33,2)</f>
        <v>29.09</v>
      </c>
      <c r="K33" s="353"/>
      <c r="L33" s="354"/>
      <c r="M33" s="341"/>
      <c r="N33" s="341"/>
      <c r="O33" s="341"/>
      <c r="P33" s="268">
        <f t="shared" si="643"/>
        <v>2.7599999999999998</v>
      </c>
      <c r="Q33" s="269">
        <f t="shared" si="644"/>
        <v>2.73</v>
      </c>
      <c r="R33" s="308" t="str">
        <f t="shared" si="645"/>
        <v xml:space="preserve">TRANSPORTE COM CAMINHÃO BASCULANTE DE 10 M³, EM VIA URBANA PAVIMENTADA, DMT ATÉ 30 KM (UNIDADE: M3XKM). AF_02/2026</v>
      </c>
      <c r="S33" s="270" t="str">
        <f t="shared" si="646"/>
        <v>M3XKM</v>
      </c>
    </row>
    <row r="34" s="212" customFormat="1" ht="61.5" customHeight="1">
      <c r="A34" s="318" t="s">
        <v>20398</v>
      </c>
      <c r="B34" s="319" t="s">
        <v>20447</v>
      </c>
      <c r="C34" s="343" t="s">
        <v>20448</v>
      </c>
      <c r="D34" s="347" t="s">
        <v>20449</v>
      </c>
      <c r="E34" s="319"/>
      <c r="F34" s="345" t="s">
        <v>15383</v>
      </c>
      <c r="G34" s="357">
        <f>G31</f>
        <v>15.609999999999999</v>
      </c>
      <c r="H34" s="323">
        <f>P34</f>
        <v>7.5700000000000003</v>
      </c>
      <c r="I34" s="323">
        <f>ROUND(P34*$M$5,2)</f>
        <v>9.370000000000001</v>
      </c>
      <c r="J34" s="323">
        <f>ROUND(G34*I34,2)</f>
        <v>146.27000000000001</v>
      </c>
      <c r="K34" s="353"/>
      <c r="L34" s="354"/>
      <c r="M34" s="341"/>
      <c r="N34" s="341"/>
      <c r="O34" s="341"/>
      <c r="P34" s="268">
        <f t="shared" si="643"/>
        <v>7.5700000000000003</v>
      </c>
      <c r="Q34" s="269">
        <f t="shared" si="644"/>
        <v>7.1846199999999998</v>
      </c>
      <c r="R34" s="308" t="str">
        <f t="shared" si="645"/>
        <v xml:space="preserve">REGULARIZAÇÃO MANUAL E COMPACTAÇÃO MECÂNICA DE TERRENO (REF AGESUL, CÓD IUD20075).</v>
      </c>
      <c r="S34" s="270" t="str">
        <f t="shared" si="646"/>
        <v>M²</v>
      </c>
    </row>
    <row r="35" s="212" customFormat="1" ht="59.25" customHeight="1">
      <c r="A35" s="318" t="s">
        <v>20398</v>
      </c>
      <c r="B35" s="319" t="s">
        <v>20450</v>
      </c>
      <c r="C35" s="343" t="s">
        <v>20451</v>
      </c>
      <c r="D35" s="347" t="s">
        <v>20452</v>
      </c>
      <c r="E35" s="343"/>
      <c r="F35" s="345" t="s">
        <v>15418</v>
      </c>
      <c r="G35" s="357">
        <f>52.03*0.15*0.3</f>
        <v>2.3399999999999999</v>
      </c>
      <c r="H35" s="323">
        <f>P35</f>
        <v>50.129999999999995</v>
      </c>
      <c r="I35" s="323">
        <f>ROUND(P35*$M$5,2)</f>
        <v>62.030000000000001</v>
      </c>
      <c r="J35" s="323">
        <f>ROUND(G35*I35,2)</f>
        <v>145.15000000000001</v>
      </c>
      <c r="K35" s="353"/>
      <c r="L35" s="354"/>
      <c r="M35" s="341"/>
      <c r="N35" s="341"/>
      <c r="O35" s="341"/>
      <c r="P35" s="268">
        <f t="shared" si="643"/>
        <v>50.129999999999995</v>
      </c>
      <c r="Q35" s="269">
        <f t="shared" si="644"/>
        <v>47.95675</v>
      </c>
      <c r="R35" s="308" t="str">
        <f t="shared" si="645"/>
        <v xml:space="preserve">EXECUÇÃO DE BASE ESTABILIZADA GRANULOMETRICAMENTE (PARA TAPA BURACO) (REF AGESUL, CÓD IUP30054).</v>
      </c>
      <c r="S35" s="270" t="str">
        <f t="shared" si="646"/>
        <v>M³</v>
      </c>
    </row>
    <row r="36" s="212" customFormat="1" ht="72.75" customHeight="1">
      <c r="A36" s="318" t="s">
        <v>20453</v>
      </c>
      <c r="B36" s="319" t="s">
        <v>20454</v>
      </c>
      <c r="C36" s="319" t="s">
        <v>20251</v>
      </c>
      <c r="D36" s="358" t="s">
        <v>20455</v>
      </c>
      <c r="E36" s="343"/>
      <c r="F36" s="345" t="s">
        <v>15418</v>
      </c>
      <c r="G36" s="357">
        <f>G35*1.375</f>
        <v>3.2200000000000002</v>
      </c>
      <c r="H36" s="323">
        <f>P36</f>
        <v>75</v>
      </c>
      <c r="I36" s="323">
        <f>ROUND(P36*$M$5,2)</f>
        <v>92.799999999999997</v>
      </c>
      <c r="J36" s="323">
        <f>ROUND(G36*I36,2)</f>
        <v>298.81999999999999</v>
      </c>
      <c r="K36" s="353"/>
      <c r="L36" s="354"/>
      <c r="M36" s="341"/>
      <c r="N36" s="341"/>
      <c r="O36" s="341"/>
      <c r="P36" s="268">
        <f t="shared" si="643"/>
        <v>75</v>
      </c>
      <c r="Q36" s="269">
        <f t="shared" si="644"/>
        <v>75</v>
      </c>
      <c r="R36" s="308" t="str">
        <f t="shared" si="645"/>
        <v xml:space="preserve">BICA CORRIDA</v>
      </c>
      <c r="S36" s="270" t="str">
        <f t="shared" si="646"/>
        <v>M³</v>
      </c>
    </row>
    <row r="37" s="212" customFormat="1" ht="55.5" customHeight="1">
      <c r="A37" s="318" t="s">
        <v>20398</v>
      </c>
      <c r="B37" s="319" t="s">
        <v>20456</v>
      </c>
      <c r="C37" s="343" t="s">
        <v>20457</v>
      </c>
      <c r="D37" s="347" t="s">
        <v>20458</v>
      </c>
      <c r="E37" s="356">
        <v>6.2999999999999998</v>
      </c>
      <c r="F37" s="345" t="s">
        <v>20440</v>
      </c>
      <c r="G37" s="357">
        <f>G36*E37</f>
        <v>20.289999999999999</v>
      </c>
      <c r="H37" s="323">
        <f>P37</f>
        <v>1.3436488080000002</v>
      </c>
      <c r="I37" s="323">
        <f>ROUND(P37*$M$5,2)</f>
        <v>1.6600000000000001</v>
      </c>
      <c r="J37" s="323">
        <f>ROUND(G37*I37,2)</f>
        <v>33.68</v>
      </c>
      <c r="K37" s="353"/>
      <c r="L37" s="354"/>
      <c r="M37" s="341"/>
      <c r="N37" s="341"/>
      <c r="O37" s="341"/>
      <c r="P37" s="268">
        <f t="shared" si="643"/>
        <v>1.3436488080000002</v>
      </c>
      <c r="Q37" s="269">
        <f t="shared" si="644"/>
        <v>1.335917376</v>
      </c>
      <c r="R37" s="308" t="str">
        <f t="shared" si="645"/>
        <v xml:space="preserve">TRANSPORTE COMERCIAL DE BRITA EM RODOVIA PAVIMENTADA (REF SINAPI, CÓD 83356).</v>
      </c>
      <c r="S37" s="270" t="str">
        <f t="shared" si="646"/>
        <v>M³XKM</v>
      </c>
    </row>
    <row r="38" s="212" customFormat="1" ht="64.5" customHeight="1">
      <c r="A38" s="318" t="s">
        <v>17167</v>
      </c>
      <c r="B38" s="319" t="s">
        <v>20459</v>
      </c>
      <c r="C38" s="343">
        <v>95875</v>
      </c>
      <c r="D38" s="347" t="s">
        <v>20439</v>
      </c>
      <c r="E38" s="356">
        <v>12</v>
      </c>
      <c r="F38" s="345" t="s">
        <v>20440</v>
      </c>
      <c r="G38" s="357">
        <f>G36*E38</f>
        <v>38.640000000000001</v>
      </c>
      <c r="H38" s="323">
        <f>P38</f>
        <v>2.7599999999999998</v>
      </c>
      <c r="I38" s="323">
        <f>ROUND(P38*$M$5,2)</f>
        <v>3.4100000000000001</v>
      </c>
      <c r="J38" s="323">
        <f>ROUND(G38*I38,2)</f>
        <v>131.75999999999999</v>
      </c>
      <c r="K38" s="353"/>
      <c r="L38" s="354"/>
      <c r="M38" s="341"/>
      <c r="N38" s="341"/>
      <c r="O38" s="341"/>
      <c r="P38" s="268">
        <f t="shared" si="643"/>
        <v>2.7599999999999998</v>
      </c>
      <c r="Q38" s="269">
        <f t="shared" si="644"/>
        <v>2.73</v>
      </c>
      <c r="R38" s="308" t="str">
        <f t="shared" si="645"/>
        <v xml:space="preserve">TRANSPORTE COM CAMINHÃO BASCULANTE DE 10 M³, EM VIA URBANA PAVIMENTADA, DMT ATÉ 30 KM (UNIDADE: M3XKM). AF_02/2026</v>
      </c>
      <c r="S38" s="270" t="str">
        <f t="shared" si="646"/>
        <v>M3XKM</v>
      </c>
    </row>
    <row r="39" s="212" customFormat="1" ht="57.75" customHeight="1">
      <c r="A39" s="318"/>
      <c r="B39" s="309"/>
      <c r="C39" s="346"/>
      <c r="D39" s="352" t="s">
        <v>20460</v>
      </c>
      <c r="E39" s="359"/>
      <c r="F39" s="348"/>
      <c r="G39" s="357"/>
      <c r="H39" s="323"/>
      <c r="I39" s="323"/>
      <c r="J39" s="323"/>
      <c r="K39" s="353"/>
      <c r="L39" s="354"/>
      <c r="M39" s="341"/>
      <c r="N39" s="341"/>
      <c r="O39" s="341"/>
      <c r="P39" s="268"/>
      <c r="Q39" s="269"/>
      <c r="R39" s="308"/>
      <c r="S39" s="270" t="str">
        <f t="shared" si="646"/>
        <v/>
      </c>
    </row>
    <row r="40" s="212" customFormat="1" ht="69" customHeight="1">
      <c r="A40" s="318" t="s">
        <v>20398</v>
      </c>
      <c r="B40" s="319" t="s">
        <v>20461</v>
      </c>
      <c r="C40" s="343" t="s">
        <v>20462</v>
      </c>
      <c r="D40" s="347" t="s">
        <v>20463</v>
      </c>
      <c r="E40" s="343" t="s">
        <v>20464</v>
      </c>
      <c r="F40" s="345" t="s">
        <v>15383</v>
      </c>
      <c r="G40" s="357">
        <f>52.03*0.7</f>
        <v>36.420000000000002</v>
      </c>
      <c r="H40" s="323">
        <f>P40</f>
        <v>4.5700000000000003</v>
      </c>
      <c r="I40" s="323">
        <f>ROUND(P40*$M$5,2)</f>
        <v>5.6500000000000004</v>
      </c>
      <c r="J40" s="323">
        <f>ROUND(G40*I40,2)</f>
        <v>205.77000000000001</v>
      </c>
      <c r="K40" s="353"/>
      <c r="L40" s="354"/>
      <c r="M40" s="341"/>
      <c r="N40" s="341"/>
      <c r="O40" s="341"/>
      <c r="P40" s="268">
        <f t="shared" si="643"/>
        <v>4.5700000000000003</v>
      </c>
      <c r="Q40" s="269">
        <f t="shared" si="644"/>
        <v>4.5529813099999998</v>
      </c>
      <c r="R40" s="308" t="str">
        <f t="shared" si="645"/>
        <v xml:space="preserve">EXECUÇÃO DE PINTURA DE LIGAÇÃO MANUAL COM CANETA (PARA TAPA BURACOS) (REF AGESUL, CÓD IUP30055).</v>
      </c>
      <c r="S40" s="270" t="str">
        <f t="shared" si="646"/>
        <v>M²</v>
      </c>
    </row>
    <row r="41" s="212" customFormat="1" ht="71.25">
      <c r="A41" s="318" t="s">
        <v>17167</v>
      </c>
      <c r="B41" s="319" t="s">
        <v>20465</v>
      </c>
      <c r="C41" s="343">
        <v>102330</v>
      </c>
      <c r="D41" s="347" t="s">
        <v>20466</v>
      </c>
      <c r="E41" s="360">
        <v>30</v>
      </c>
      <c r="F41" s="348" t="s">
        <v>20467</v>
      </c>
      <c r="G41" s="357">
        <f>(G40*0.5*E41)/1000</f>
        <v>0.55000000000000004</v>
      </c>
      <c r="H41" s="323">
        <f>P41</f>
        <v>1.5700000000000001</v>
      </c>
      <c r="I41" s="323">
        <f>ROUND(P41*$M$5,2)</f>
        <v>1.9399999999999999</v>
      </c>
      <c r="J41" s="323">
        <f>ROUND(G41*I41,2)</f>
        <v>1.0700000000000001</v>
      </c>
      <c r="K41" s="353"/>
      <c r="L41" s="354"/>
      <c r="M41" s="341"/>
      <c r="N41" s="341"/>
      <c r="O41" s="341"/>
      <c r="P41" s="268">
        <f t="shared" si="643"/>
        <v>1.5700000000000001</v>
      </c>
      <c r="Q41" s="269">
        <f t="shared" si="644"/>
        <v>1.5700000000000001</v>
      </c>
      <c r="R41" s="308" t="str">
        <f t="shared" si="645"/>
        <v xml:space="preserve">TRANSPORTE COM CAMINHÃO TANQUE DE TRANSPORTE DE MATERIAL ASFÁLTICO DE 30000 L, EM VIA URBANA PAVIMENTADA, DMT ATÉ 30KM (UNIDADE: TXKM). AF_02/2026</v>
      </c>
      <c r="S41" s="270" t="str">
        <f t="shared" si="646"/>
        <v>TXKM</v>
      </c>
    </row>
    <row r="42" s="212" customFormat="1" ht="95.25" customHeight="1">
      <c r="A42" s="318" t="s">
        <v>17167</v>
      </c>
      <c r="B42" s="319" t="s">
        <v>20468</v>
      </c>
      <c r="C42" s="343">
        <v>102331</v>
      </c>
      <c r="D42" s="347" t="s">
        <v>20469</v>
      </c>
      <c r="E42" s="360">
        <v>171</v>
      </c>
      <c r="F42" s="348" t="s">
        <v>20467</v>
      </c>
      <c r="G42" s="357">
        <f>(G40*0.5*E42)/1000</f>
        <v>3.1099999999999999</v>
      </c>
      <c r="H42" s="323">
        <f>P42</f>
        <v>0.58999999999999997</v>
      </c>
      <c r="I42" s="323">
        <f>ROUND(P42*$M$5,2)</f>
        <v>0.72999999999999998</v>
      </c>
      <c r="J42" s="323">
        <f>ROUND(G42*I42,2)</f>
        <v>2.27</v>
      </c>
      <c r="K42" s="353"/>
      <c r="L42" s="354"/>
      <c r="M42" s="341"/>
      <c r="N42" s="341"/>
      <c r="O42" s="341"/>
      <c r="P42" s="268">
        <f t="shared" si="643"/>
        <v>0.58999999999999997</v>
      </c>
      <c r="Q42" s="269">
        <f t="shared" si="644"/>
        <v>0.58999999999999997</v>
      </c>
      <c r="R42" s="308" t="str">
        <f t="shared" si="645"/>
        <v xml:space="preserve">TRANSPORTE COM CAMINHÃO TANQUE DE TRANSPORTE DE MATERIAL ASFÁLTICO DE 30000 L, EM VIA URBANA PAVIMENTADA, ADICIONAL PARA DMT EXCEDENTE A 30 KM (UNIDADE: TXKM). AF_02/2026</v>
      </c>
      <c r="S42" s="270" t="str">
        <f t="shared" si="646"/>
        <v>TXKM</v>
      </c>
    </row>
    <row r="43" s="212" customFormat="1" ht="56.25" customHeight="1">
      <c r="A43" s="318" t="s">
        <v>20398</v>
      </c>
      <c r="B43" s="319" t="s">
        <v>20470</v>
      </c>
      <c r="C43" s="343" t="s">
        <v>20471</v>
      </c>
      <c r="D43" s="347" t="s">
        <v>20472</v>
      </c>
      <c r="E43" s="361"/>
      <c r="F43" s="345" t="s">
        <v>15383</v>
      </c>
      <c r="G43" s="357">
        <f>52.03*0.3</f>
        <v>15.609999999999999</v>
      </c>
      <c r="H43" s="323">
        <f>P43</f>
        <v>7.3900000000000006</v>
      </c>
      <c r="I43" s="323">
        <f>ROUND(P43*$M$5,2)</f>
        <v>9.1400000000000006</v>
      </c>
      <c r="J43" s="323">
        <f>ROUND(G43*I43,2)</f>
        <v>142.68000000000001</v>
      </c>
      <c r="K43" s="353"/>
      <c r="L43" s="354"/>
      <c r="M43" s="341"/>
      <c r="N43" s="341"/>
      <c r="O43" s="341"/>
      <c r="P43" s="268">
        <f t="shared" si="643"/>
        <v>7.3900000000000006</v>
      </c>
      <c r="Q43" s="269">
        <f t="shared" si="644"/>
        <v>7.3809813100000001</v>
      </c>
      <c r="R43" s="308" t="str">
        <f t="shared" si="645"/>
        <v xml:space="preserve">EXECUÇÃO DE IMPRIMAÇÃO MANUAL COM CANETA (PARA TAPA BURACOS) (REF AGESUL, CÓD IUP30026)</v>
      </c>
      <c r="S43" s="270" t="str">
        <f t="shared" si="646"/>
        <v>M²</v>
      </c>
    </row>
    <row r="44" s="212" customFormat="1" ht="90" customHeight="1">
      <c r="A44" s="318" t="s">
        <v>17167</v>
      </c>
      <c r="B44" s="319" t="s">
        <v>20473</v>
      </c>
      <c r="C44" s="343">
        <v>102330</v>
      </c>
      <c r="D44" s="347" t="s">
        <v>20466</v>
      </c>
      <c r="E44" s="360">
        <v>30</v>
      </c>
      <c r="F44" s="348" t="s">
        <v>20467</v>
      </c>
      <c r="G44" s="357">
        <f>(G43*1.2*E44)/1000</f>
        <v>0.56000000000000005</v>
      </c>
      <c r="H44" s="323">
        <f>P44</f>
        <v>1.5700000000000001</v>
      </c>
      <c r="I44" s="323">
        <f>ROUND(P44*$M$5,2)</f>
        <v>1.9399999999999999</v>
      </c>
      <c r="J44" s="323">
        <f>ROUND(G44*I44,2)</f>
        <v>1.0900000000000001</v>
      </c>
      <c r="K44" s="353"/>
      <c r="L44" s="354"/>
      <c r="M44" s="341"/>
      <c r="N44" s="341"/>
      <c r="O44" s="341"/>
      <c r="P44" s="268">
        <f t="shared" si="643"/>
        <v>1.5700000000000001</v>
      </c>
      <c r="Q44" s="269">
        <f t="shared" si="644"/>
        <v>1.5700000000000001</v>
      </c>
      <c r="R44" s="308" t="str">
        <f t="shared" si="645"/>
        <v xml:space="preserve">TRANSPORTE COM CAMINHÃO TANQUE DE TRANSPORTE DE MATERIAL ASFÁLTICO DE 30000 L, EM VIA URBANA PAVIMENTADA, DMT ATÉ 30KM (UNIDADE: TXKM). AF_02/2026</v>
      </c>
      <c r="S44" s="270" t="str">
        <f t="shared" si="646"/>
        <v>TXKM</v>
      </c>
    </row>
    <row r="45" s="212" customFormat="1" ht="90" customHeight="1">
      <c r="A45" s="318" t="s">
        <v>17167</v>
      </c>
      <c r="B45" s="319" t="s">
        <v>20474</v>
      </c>
      <c r="C45" s="343">
        <v>102331</v>
      </c>
      <c r="D45" s="347" t="s">
        <v>20469</v>
      </c>
      <c r="E45" s="360">
        <v>171</v>
      </c>
      <c r="F45" s="348" t="s">
        <v>20467</v>
      </c>
      <c r="G45" s="357">
        <f>(G43*1.2*E45)/1000</f>
        <v>3.2000000000000002</v>
      </c>
      <c r="H45" s="323">
        <f>P45</f>
        <v>0.58999999999999997</v>
      </c>
      <c r="I45" s="323">
        <f>ROUND(P45*$M$5,2)</f>
        <v>0.72999999999999998</v>
      </c>
      <c r="J45" s="323">
        <f>ROUND(G45*I45,2)</f>
        <v>2.3399999999999999</v>
      </c>
      <c r="K45" s="353"/>
      <c r="L45" s="354"/>
      <c r="M45" s="341"/>
      <c r="N45" s="341"/>
      <c r="O45" s="341"/>
      <c r="P45" s="268">
        <f t="shared" si="643"/>
        <v>0.58999999999999997</v>
      </c>
      <c r="Q45" s="269">
        <f t="shared" si="644"/>
        <v>0.58999999999999997</v>
      </c>
      <c r="R45" s="308" t="str">
        <f t="shared" si="645"/>
        <v xml:space="preserve">TRANSPORTE COM CAMINHÃO TANQUE DE TRANSPORTE DE MATERIAL ASFÁLTICO DE 30000 L, EM VIA URBANA PAVIMENTADA, ADICIONAL PARA DMT EXCEDENTE A 30 KM (UNIDADE: TXKM). AF_02/2026</v>
      </c>
      <c r="S45" s="270" t="str">
        <f t="shared" si="646"/>
        <v>TXKM</v>
      </c>
    </row>
    <row r="46" s="212" customFormat="1" ht="76.5" customHeight="1">
      <c r="A46" s="318" t="s">
        <v>20408</v>
      </c>
      <c r="B46" s="319" t="s">
        <v>20475</v>
      </c>
      <c r="C46" s="343">
        <v>1518</v>
      </c>
      <c r="D46" s="344" t="s">
        <v>20476</v>
      </c>
      <c r="E46" s="361"/>
      <c r="F46" s="345" t="s">
        <v>20015</v>
      </c>
      <c r="G46" s="357">
        <f>1.6*2.5548</f>
        <v>4.0899999999999999</v>
      </c>
      <c r="H46" s="323">
        <f>P46</f>
        <v>643.5</v>
      </c>
      <c r="I46" s="323">
        <f>ROUND(P46*$M$5,2)</f>
        <v>796.20000000000005</v>
      </c>
      <c r="J46" s="323">
        <f>ROUND(G46*I46,2)</f>
        <v>3256.46</v>
      </c>
      <c r="K46" s="353"/>
      <c r="L46" s="354"/>
      <c r="M46" s="341"/>
      <c r="N46" s="341"/>
      <c r="O46" s="341"/>
      <c r="P46" s="268">
        <f t="shared" si="643"/>
        <v>643.5</v>
      </c>
      <c r="Q46" s="269">
        <f t="shared" si="644"/>
        <v>643.5</v>
      </c>
      <c r="R46" s="308" t="str">
        <f t="shared" si="645"/>
        <v xml:space="preserve">CONCRETO BETUMINOSO USINADO A QUENTE (CBUQ) PARA PAVIMENTACAO ASFALTICA, PADRAO DNIT, FAIXA C, COM CAP 50/70 - AQUISICAO POSTO USINA</v>
      </c>
      <c r="S46" s="270" t="str">
        <f t="shared" si="646"/>
        <v>T</v>
      </c>
    </row>
    <row r="47" s="212" customFormat="1" ht="43.5" customHeight="1">
      <c r="A47" s="318" t="s">
        <v>20398</v>
      </c>
      <c r="B47" s="319" t="s">
        <v>20477</v>
      </c>
      <c r="C47" s="343" t="s">
        <v>20478</v>
      </c>
      <c r="D47" s="344" t="s">
        <v>20479</v>
      </c>
      <c r="E47" s="343"/>
      <c r="F47" s="345" t="s">
        <v>20015</v>
      </c>
      <c r="G47" s="357">
        <f>G46</f>
        <v>4.0899999999999999</v>
      </c>
      <c r="H47" s="323">
        <f>P47</f>
        <v>45.640000000000001</v>
      </c>
      <c r="I47" s="323">
        <f>ROUND(P47*$M$5,2)</f>
        <v>56.469999999999999</v>
      </c>
      <c r="J47" s="323">
        <f>ROUND(G47*I47,2)</f>
        <v>230.96000000000001</v>
      </c>
      <c r="K47" s="353"/>
      <c r="L47" s="354"/>
      <c r="M47" s="341"/>
      <c r="N47" s="341"/>
      <c r="O47" s="341"/>
      <c r="P47" s="268">
        <f t="shared" si="643"/>
        <v>45.640000000000001</v>
      </c>
      <c r="Q47" s="269">
        <f t="shared" si="644"/>
        <v>251.1045</v>
      </c>
      <c r="R47" s="308" t="str">
        <f t="shared" si="645"/>
        <v xml:space="preserve">EXECUÇÃO DE CAPA ASFÁLTICA EM CBUQ, COM PRODUÇÃO DA EQUIPE DE 2,25 M³/H - PREÇO EM T</v>
      </c>
      <c r="S47" s="270" t="str">
        <f t="shared" si="646"/>
        <v>T</v>
      </c>
    </row>
    <row r="48" s="212" customFormat="1" ht="75.75" customHeight="1">
      <c r="A48" s="318" t="s">
        <v>20398</v>
      </c>
      <c r="B48" s="319" t="s">
        <v>20480</v>
      </c>
      <c r="C48" s="343" t="s">
        <v>20481</v>
      </c>
      <c r="D48" s="344" t="s">
        <v>20482</v>
      </c>
      <c r="E48" s="356">
        <v>6.2999999999999998</v>
      </c>
      <c r="F48" s="345" t="s">
        <v>20440</v>
      </c>
      <c r="G48" s="357">
        <f>(G46/2.5548)*E48</f>
        <v>10.09</v>
      </c>
      <c r="H48" s="323">
        <f>P48</f>
        <v>1.7173489560000001</v>
      </c>
      <c r="I48" s="323">
        <f>ROUND(P48*$M$5,2)</f>
        <v>2.1200000000000001</v>
      </c>
      <c r="J48" s="323">
        <f>ROUND(G48*I48,2)</f>
        <v>21.390000000000001</v>
      </c>
      <c r="K48" s="353"/>
      <c r="L48" s="354"/>
      <c r="M48" s="341"/>
      <c r="N48" s="341"/>
      <c r="O48" s="341"/>
      <c r="P48" s="268">
        <f t="shared" si="643"/>
        <v>1.7173489560000001</v>
      </c>
      <c r="Q48" s="269">
        <f t="shared" si="644"/>
        <v>1.7074672319999999</v>
      </c>
      <c r="R48" s="308" t="str">
        <f t="shared" si="645"/>
        <v xml:space="preserve">TRANSPORTE COMERCIAL DE MASSA ASFÁLTICA COM CAMINHÃO BASCULANTE 10 M³ EM RODOVIA PAVIMENTADA (REF SINAPI, CÓD 95303).</v>
      </c>
      <c r="S48" s="270" t="str">
        <f t="shared" si="646"/>
        <v>M³XKM</v>
      </c>
    </row>
    <row r="49" s="212" customFormat="1" ht="78" customHeight="1">
      <c r="A49" s="318" t="s">
        <v>17167</v>
      </c>
      <c r="B49" s="319" t="s">
        <v>20483</v>
      </c>
      <c r="C49" s="343">
        <v>95878</v>
      </c>
      <c r="D49" s="344" t="s">
        <v>20484</v>
      </c>
      <c r="E49" s="356">
        <v>12</v>
      </c>
      <c r="F49" s="345" t="s">
        <v>20467</v>
      </c>
      <c r="G49" s="323">
        <f>G46*E49</f>
        <v>49.079999999999998</v>
      </c>
      <c r="H49" s="323">
        <f>P49</f>
        <v>1.8400000000000001</v>
      </c>
      <c r="I49" s="323">
        <f>ROUND(P49*$M$5,2)</f>
        <v>2.2800000000000002</v>
      </c>
      <c r="J49" s="323">
        <f>ROUND(G49*I49,2)</f>
        <v>111.90000000000001</v>
      </c>
      <c r="K49" s="353"/>
      <c r="L49" s="354"/>
      <c r="M49" s="341"/>
      <c r="N49" s="341"/>
      <c r="O49" s="341"/>
      <c r="P49" s="268">
        <f t="shared" si="643"/>
        <v>1.8400000000000001</v>
      </c>
      <c r="Q49" s="269">
        <f t="shared" si="644"/>
        <v>1.8200000000000001</v>
      </c>
      <c r="R49" s="308" t="str">
        <f t="shared" si="645"/>
        <v xml:space="preserve">TRANSPORTE COM CAMINHÃO BASCULANTE DE 10 M³, EM VIA URBANA PAVIMENTADA, DMT ATÉ 30 KM (UNIDADE: TXKM). AF_02/2026</v>
      </c>
      <c r="S49" s="270" t="str">
        <f t="shared" si="646"/>
        <v>TXKM</v>
      </c>
    </row>
    <row r="50" s="212" customFormat="1" ht="21" customHeight="1">
      <c r="A50" s="318"/>
      <c r="B50" s="309"/>
      <c r="C50" s="330"/>
      <c r="D50" s="352" t="s">
        <v>20485</v>
      </c>
      <c r="E50" s="332"/>
      <c r="F50" s="332"/>
      <c r="G50" s="311"/>
      <c r="H50" s="311"/>
      <c r="I50" s="323"/>
      <c r="J50" s="323"/>
      <c r="K50" s="362"/>
      <c r="L50" s="340"/>
      <c r="M50" s="341"/>
      <c r="N50" s="341"/>
      <c r="O50" s="341"/>
      <c r="P50" s="268" t="str">
        <f t="shared" si="643"/>
        <v xml:space="preserve">SEM VALOR</v>
      </c>
      <c r="Q50" s="269" t="str">
        <f t="shared" si="644"/>
        <v xml:space="preserve">SEM VALOR</v>
      </c>
      <c r="R50" s="308"/>
      <c r="S50" s="270" t="str">
        <f t="shared" si="646"/>
        <v/>
      </c>
    </row>
    <row r="51" s="212" customFormat="1" ht="89.25" customHeight="1">
      <c r="A51" s="318" t="s">
        <v>20398</v>
      </c>
      <c r="B51" s="319" t="s">
        <v>20486</v>
      </c>
      <c r="C51" s="343" t="s">
        <v>20487</v>
      </c>
      <c r="D51" s="344" t="s">
        <v>20488</v>
      </c>
      <c r="E51" s="345"/>
      <c r="F51" s="345" t="s">
        <v>15418</v>
      </c>
      <c r="G51" s="355">
        <v>15.029999999999999</v>
      </c>
      <c r="H51" s="323">
        <f>P51</f>
        <v>19.439999999999998</v>
      </c>
      <c r="I51" s="323">
        <f>ROUND(P51*$M$5,2)</f>
        <v>24.050000000000001</v>
      </c>
      <c r="J51" s="323">
        <f>ROUND(G51*I51,2)</f>
        <v>361.47000000000003</v>
      </c>
      <c r="K51" s="328">
        <f>Q51*$Q$5</f>
        <v>24.552715856500001</v>
      </c>
      <c r="L51" s="328">
        <f t="shared" ref="L51:L75" si="652">ROUND(K51*G51,2)</f>
        <v>369.03000000000003</v>
      </c>
      <c r="M51" s="341"/>
      <c r="N51" s="341"/>
      <c r="O51" s="341"/>
      <c r="P51" s="268">
        <f t="shared" si="643"/>
        <v>19.439999999999998</v>
      </c>
      <c r="Q51" s="269">
        <f t="shared" si="644"/>
        <v>18.886704505000001</v>
      </c>
      <c r="R51" s="308" t="str">
        <f t="shared" si="645"/>
        <v xml:space="preserve">DEMOLIÇÃO DE PAVIMENTO ASFÁLTICO COM EMPREGO DE RETRO-ESCAVADEIRA E SERRA DE DISCO, EXCLUSIVE BOTA-FORA DO MATERIAL (REF AGESUL, CÓD IUP30005).</v>
      </c>
      <c r="S51" s="270" t="str">
        <f t="shared" si="646"/>
        <v>M³</v>
      </c>
    </row>
    <row r="52" s="212" customFormat="1" ht="123.75" customHeight="1">
      <c r="A52" s="318" t="s">
        <v>20398</v>
      </c>
      <c r="B52" s="319" t="s">
        <v>20489</v>
      </c>
      <c r="C52" s="343" t="s">
        <v>20436</v>
      </c>
      <c r="D52" s="347" t="s">
        <v>20437</v>
      </c>
      <c r="E52" s="343"/>
      <c r="F52" s="345" t="s">
        <v>15418</v>
      </c>
      <c r="G52" s="355">
        <f>G51*1.25</f>
        <v>18.789999999999999</v>
      </c>
      <c r="H52" s="323">
        <f>P52</f>
        <v>2.2000000000000002</v>
      </c>
      <c r="I52" s="323">
        <f>ROUND(P52*$M$5,2)</f>
        <v>2.7200000000000002</v>
      </c>
      <c r="J52" s="323">
        <f>ROUND(G52*I52,2)</f>
        <v>51.109999999999999</v>
      </c>
      <c r="K52" s="328">
        <f>Q52*$Q$5</f>
        <v>2.8443870000000002</v>
      </c>
      <c r="L52" s="328">
        <f t="shared" si="652"/>
        <v>53.450000000000003</v>
      </c>
      <c r="M52" s="341"/>
      <c r="N52" s="341"/>
      <c r="O52" s="341"/>
      <c r="P52" s="268">
        <f t="shared" si="643"/>
        <v>2.2000000000000002</v>
      </c>
      <c r="Q52" s="269">
        <f t="shared" si="644"/>
        <v>2.1879900000000001</v>
      </c>
      <c r="R52" s="308" t="str">
        <f t="shared" si="645"/>
        <v xml:space="preserve">CARGA E DESCARGA MECANICA DE SOLO UTILIZANDO CAMINHAO BASCULANTE 6,0 M³/16T E PÁ CARREGADEIRA SOBRE PNEUS 128 HP, CAPACIDADE DA CAÇAMBA 1,7 A 2,8 M³, PESO OPERACIONAL 11632 KG (REF SINAPI, CÓD 74010/1).</v>
      </c>
      <c r="S52" s="270" t="str">
        <f t="shared" si="646"/>
        <v>M³</v>
      </c>
    </row>
    <row r="53" s="212" customFormat="1" ht="63" customHeight="1">
      <c r="A53" s="318" t="s">
        <v>17167</v>
      </c>
      <c r="B53" s="319" t="s">
        <v>20490</v>
      </c>
      <c r="C53" s="343">
        <v>95875</v>
      </c>
      <c r="D53" s="347" t="s">
        <v>20439</v>
      </c>
      <c r="E53" s="356">
        <v>2.2999999999999998</v>
      </c>
      <c r="F53" s="345" t="s">
        <v>20440</v>
      </c>
      <c r="G53" s="357">
        <f>G52*E53</f>
        <v>43.219999999999999</v>
      </c>
      <c r="H53" s="323">
        <f>P53</f>
        <v>2.7599999999999998</v>
      </c>
      <c r="I53" s="323">
        <f>ROUND(P53*$M$5,2)</f>
        <v>3.4100000000000001</v>
      </c>
      <c r="J53" s="323">
        <f>ROUND(G53*I53,2)</f>
        <v>147.38</v>
      </c>
      <c r="K53" s="328">
        <f>Q53*$Q$5</f>
        <v>3.5489999999999999</v>
      </c>
      <c r="L53" s="328">
        <f t="shared" si="652"/>
        <v>153.39000000000001</v>
      </c>
      <c r="M53" s="341"/>
      <c r="N53" s="341"/>
      <c r="O53" s="341"/>
      <c r="P53" s="268">
        <f t="shared" si="643"/>
        <v>2.7599999999999998</v>
      </c>
      <c r="Q53" s="269">
        <f t="shared" si="644"/>
        <v>2.73</v>
      </c>
      <c r="R53" s="308" t="str">
        <f t="shared" si="645"/>
        <v xml:space="preserve">TRANSPORTE COM CAMINHÃO BASCULANTE DE 10 M³, EM VIA URBANA PAVIMENTADA, DMT ATÉ 30 KM (UNIDADE: M3XKM). AF_02/2026</v>
      </c>
      <c r="S53" s="270" t="str">
        <f t="shared" si="646"/>
        <v>M3XKM</v>
      </c>
    </row>
    <row r="54" s="212" customFormat="1" ht="62.25" customHeight="1">
      <c r="A54" s="318" t="s">
        <v>20398</v>
      </c>
      <c r="B54" s="319" t="s">
        <v>20491</v>
      </c>
      <c r="C54" s="343" t="s">
        <v>20448</v>
      </c>
      <c r="D54" s="347" t="s">
        <v>20449</v>
      </c>
      <c r="E54" s="319"/>
      <c r="F54" s="345" t="s">
        <v>15383</v>
      </c>
      <c r="G54" s="357">
        <v>58.289999999999999</v>
      </c>
      <c r="H54" s="323">
        <f>P54</f>
        <v>7.5700000000000003</v>
      </c>
      <c r="I54" s="323">
        <f>ROUND(P54*$M$5,2)</f>
        <v>9.370000000000001</v>
      </c>
      <c r="J54" s="323">
        <f>ROUND(G54*I54,2)</f>
        <v>546.18000000000006</v>
      </c>
      <c r="K54" s="328">
        <f>Q54*$Q$5</f>
        <v>9.3400060000000007</v>
      </c>
      <c r="L54" s="328">
        <f t="shared" si="652"/>
        <v>544.43000000000006</v>
      </c>
      <c r="M54" s="341"/>
      <c r="N54" s="341"/>
      <c r="O54" s="341"/>
      <c r="P54" s="268">
        <f t="shared" si="643"/>
        <v>7.5700000000000003</v>
      </c>
      <c r="Q54" s="269">
        <f t="shared" si="644"/>
        <v>7.1846199999999998</v>
      </c>
      <c r="R54" s="308" t="str">
        <f t="shared" si="645"/>
        <v xml:space="preserve">REGULARIZAÇÃO MANUAL E COMPACTAÇÃO MECÂNICA DE TERRENO (REF AGESUL, CÓD IUD20075).</v>
      </c>
      <c r="S54" s="270" t="str">
        <f t="shared" si="646"/>
        <v>M²</v>
      </c>
    </row>
    <row r="55" s="212" customFormat="1" ht="24" customHeight="1">
      <c r="A55" s="318"/>
      <c r="B55" s="319"/>
      <c r="C55" s="343"/>
      <c r="D55" s="352" t="s">
        <v>20492</v>
      </c>
      <c r="E55" s="319"/>
      <c r="F55" s="345"/>
      <c r="G55" s="357"/>
      <c r="H55" s="323"/>
      <c r="I55" s="323"/>
      <c r="J55" s="323"/>
      <c r="K55" s="328"/>
      <c r="L55" s="328"/>
      <c r="M55" s="341"/>
      <c r="N55" s="341"/>
      <c r="O55" s="341"/>
      <c r="P55" s="268"/>
      <c r="Q55" s="269"/>
      <c r="R55" s="308"/>
      <c r="S55" s="270"/>
    </row>
    <row r="56" s="212" customFormat="1" ht="90" customHeight="1">
      <c r="A56" s="318" t="s">
        <v>20398</v>
      </c>
      <c r="B56" s="319" t="s">
        <v>20493</v>
      </c>
      <c r="C56" s="343" t="s">
        <v>20487</v>
      </c>
      <c r="D56" s="344" t="s">
        <v>20488</v>
      </c>
      <c r="E56" s="345"/>
      <c r="F56" s="345" t="s">
        <v>15418</v>
      </c>
      <c r="G56" s="363">
        <v>948.67999999999995</v>
      </c>
      <c r="H56" s="323">
        <f>P56</f>
        <v>19.439999999999998</v>
      </c>
      <c r="I56" s="323">
        <f>ROUND(P56*$M$5,2)</f>
        <v>24.050000000000001</v>
      </c>
      <c r="J56" s="323">
        <f>ROUND(G56*I56,2)</f>
        <v>22815.75</v>
      </c>
      <c r="K56" s="328">
        <f>Q56*$Q$5</f>
        <v>24.552715856500001</v>
      </c>
      <c r="L56" s="328">
        <f t="shared" si="652"/>
        <v>23292.670000000002</v>
      </c>
      <c r="M56" s="341"/>
      <c r="N56" s="341"/>
      <c r="O56" s="341"/>
      <c r="P56" s="268">
        <f t="shared" si="643"/>
        <v>19.439999999999998</v>
      </c>
      <c r="Q56" s="269">
        <f t="shared" si="644"/>
        <v>18.886704505000001</v>
      </c>
      <c r="R56" s="308" t="str">
        <f t="shared" si="645"/>
        <v xml:space="preserve">DEMOLIÇÃO DE PAVIMENTO ASFÁLTICO COM EMPREGO DE RETRO-ESCAVADEIRA E SERRA DE DISCO, EXCLUSIVE BOTA-FORA DO MATERIAL (REF AGESUL, CÓD IUP30005).</v>
      </c>
      <c r="S56" s="270" t="str">
        <f t="shared" si="646"/>
        <v>M³</v>
      </c>
    </row>
    <row r="57" s="212" customFormat="1" ht="112.5" customHeight="1">
      <c r="A57" s="318" t="s">
        <v>20398</v>
      </c>
      <c r="B57" s="319" t="s">
        <v>20494</v>
      </c>
      <c r="C57" s="343" t="s">
        <v>20436</v>
      </c>
      <c r="D57" s="347" t="s">
        <v>20437</v>
      </c>
      <c r="E57" s="343"/>
      <c r="F57" s="345" t="s">
        <v>15418</v>
      </c>
      <c r="G57" s="357">
        <f>G56*1.25</f>
        <v>1185.8499999999999</v>
      </c>
      <c r="H57" s="323">
        <f>P57</f>
        <v>2.2000000000000002</v>
      </c>
      <c r="I57" s="323">
        <f>ROUND(P57*$M$5,2)</f>
        <v>2.7200000000000002</v>
      </c>
      <c r="J57" s="323">
        <f>ROUND(G57*I57,2)</f>
        <v>3225.5100000000002</v>
      </c>
      <c r="K57" s="328">
        <f>Q57*$Q$5</f>
        <v>2.8443870000000002</v>
      </c>
      <c r="L57" s="328">
        <f t="shared" si="652"/>
        <v>3373.02</v>
      </c>
      <c r="M57" s="341"/>
      <c r="N57" s="341"/>
      <c r="O57" s="341"/>
      <c r="P57" s="268">
        <f t="shared" si="643"/>
        <v>2.2000000000000002</v>
      </c>
      <c r="Q57" s="269">
        <f t="shared" si="644"/>
        <v>2.1879900000000001</v>
      </c>
      <c r="R57" s="308" t="str">
        <f t="shared" si="645"/>
        <v xml:space="preserve">CARGA E DESCARGA MECANICA DE SOLO UTILIZANDO CAMINHAO BASCULANTE 6,0 M³/16T E PÁ CARREGADEIRA SOBRE PNEUS 128 HP, CAPACIDADE DA CAÇAMBA 1,7 A 2,8 M³, PESO OPERACIONAL 11632 KG (REF SINAPI, CÓD 74010/1).</v>
      </c>
      <c r="S57" s="270" t="str">
        <f t="shared" si="646"/>
        <v>M³</v>
      </c>
    </row>
    <row r="58" s="212" customFormat="1" ht="69.75" customHeight="1">
      <c r="A58" s="318" t="s">
        <v>17167</v>
      </c>
      <c r="B58" s="319" t="s">
        <v>20495</v>
      </c>
      <c r="C58" s="343">
        <v>95875</v>
      </c>
      <c r="D58" s="347" t="s">
        <v>20439</v>
      </c>
      <c r="E58" s="356">
        <v>2.2999999999999998</v>
      </c>
      <c r="F58" s="345" t="s">
        <v>20440</v>
      </c>
      <c r="G58" s="357">
        <f>G57*E58</f>
        <v>2727.46</v>
      </c>
      <c r="H58" s="323">
        <f>P58</f>
        <v>2.7599999999999998</v>
      </c>
      <c r="I58" s="323">
        <f>ROUND(P58*$M$5,2)</f>
        <v>3.4100000000000001</v>
      </c>
      <c r="J58" s="323">
        <f>ROUND(G58*I58,2)</f>
        <v>9300.6399999999994</v>
      </c>
      <c r="K58" s="328">
        <f>Q58*$Q$5</f>
        <v>3.5489999999999999</v>
      </c>
      <c r="L58" s="328">
        <f t="shared" si="652"/>
        <v>9679.7600000000002</v>
      </c>
      <c r="M58" s="341"/>
      <c r="N58" s="341"/>
      <c r="O58" s="341"/>
      <c r="P58" s="268">
        <f t="shared" si="643"/>
        <v>2.7599999999999998</v>
      </c>
      <c r="Q58" s="269">
        <f t="shared" si="644"/>
        <v>2.73</v>
      </c>
      <c r="R58" s="308" t="str">
        <f t="shared" si="645"/>
        <v xml:space="preserve">TRANSPORTE COM CAMINHÃO BASCULANTE DE 10 M³, EM VIA URBANA PAVIMENTADA, DMT ATÉ 30 KM (UNIDADE: M3XKM). AF_02/2026</v>
      </c>
      <c r="S58" s="270" t="str">
        <f t="shared" si="646"/>
        <v>M3XKM</v>
      </c>
    </row>
    <row r="59" s="212" customFormat="1" ht="24.75" customHeight="1">
      <c r="A59" s="318"/>
      <c r="B59" s="319"/>
      <c r="C59" s="343"/>
      <c r="D59" s="352" t="s">
        <v>20496</v>
      </c>
      <c r="E59" s="356"/>
      <c r="F59" s="345"/>
      <c r="G59" s="357"/>
      <c r="H59" s="323"/>
      <c r="I59" s="323"/>
      <c r="J59" s="323"/>
      <c r="K59" s="328"/>
      <c r="L59" s="328"/>
      <c r="M59" s="341"/>
      <c r="N59" s="341"/>
      <c r="O59" s="341"/>
      <c r="P59" s="268"/>
      <c r="Q59" s="269"/>
      <c r="R59" s="308"/>
      <c r="S59" s="270"/>
    </row>
    <row r="60" s="212" customFormat="1" ht="132.75" customHeight="1">
      <c r="A60" s="318" t="s">
        <v>17167</v>
      </c>
      <c r="B60" s="342" t="s">
        <v>20497</v>
      </c>
      <c r="C60" s="364">
        <v>101267</v>
      </c>
      <c r="D60" s="344" t="s">
        <v>20498</v>
      </c>
      <c r="E60" s="360"/>
      <c r="F60" s="325" t="s">
        <v>15418</v>
      </c>
      <c r="G60" s="323">
        <f>G61</f>
        <v>4460.2799999999997</v>
      </c>
      <c r="H60" s="323">
        <f>P60</f>
        <v>11.73</v>
      </c>
      <c r="I60" s="323">
        <f>ROUND(P60*$M$5,2)</f>
        <v>14.51</v>
      </c>
      <c r="J60" s="323">
        <f>ROUND(G60*I60,2)</f>
        <v>64718.660000000003</v>
      </c>
      <c r="K60" s="328"/>
      <c r="L60" s="328"/>
      <c r="M60" s="341"/>
      <c r="N60" s="341"/>
      <c r="O60" s="341"/>
      <c r="P60" s="268">
        <f t="shared" si="643"/>
        <v>11.73</v>
      </c>
      <c r="Q60" s="269">
        <f t="shared" si="644"/>
        <v>11.630000000000001</v>
      </c>
      <c r="R60" s="308" t="str">
        <f t="shared" si="645"/>
        <v xml:space="preserve">ESCAVAÇÃO VERTICAL PARA INFRAESTRUTURA, COM CARGA, DESCARGA E TRANSPORTE DE SOLO DE 1ª CATEGORIA, COM ESCAVADEIRA HIDRÁULICA (CAÇAMBA: 1,2 M³ / 155HP), FROTA DE 4 CAMINHÕES BASCULANTES DE 10 M³, DMT ATÉ 1 KM E VELOCIDADE MÉDIA14 KM/H. AF_05/2020</v>
      </c>
      <c r="S60" s="270" t="str">
        <f t="shared" si="646"/>
        <v>M3</v>
      </c>
    </row>
    <row r="61" s="212" customFormat="1" ht="71.25" customHeight="1">
      <c r="A61" s="318" t="s">
        <v>20408</v>
      </c>
      <c r="B61" s="342" t="s">
        <v>20499</v>
      </c>
      <c r="C61" s="365">
        <v>6079</v>
      </c>
      <c r="D61" s="358" t="s">
        <v>20500</v>
      </c>
      <c r="E61" s="366"/>
      <c r="F61" s="367" t="s">
        <v>15418</v>
      </c>
      <c r="G61" s="323">
        <f>(G64-546.86)*1.1</f>
        <v>4460.2799999999997</v>
      </c>
      <c r="H61" s="323">
        <f>P61</f>
        <v>38.759999999999998</v>
      </c>
      <c r="I61" s="323">
        <f>ROUND(P61*$M$5,2)</f>
        <v>47.960000000000001</v>
      </c>
      <c r="J61" s="323">
        <f>ROUND(G61*I61,2)</f>
        <v>213915.03</v>
      </c>
      <c r="K61" s="328"/>
      <c r="L61" s="328"/>
      <c r="M61" s="341"/>
      <c r="N61" s="341"/>
      <c r="O61" s="341"/>
      <c r="P61" s="268">
        <f t="shared" si="643"/>
        <v>38.759999999999998</v>
      </c>
      <c r="Q61" s="269">
        <f t="shared" si="644"/>
        <v>38.759999999999998</v>
      </c>
      <c r="R61" s="308" t="str">
        <f t="shared" si="645"/>
        <v xml:space="preserve">ARGILA, ARGILA VERMELHA OU ARGILA ARENOSA (RETIRADA NA JAZIDA, SEM TRANSPORTE)</v>
      </c>
      <c r="S61" s="270" t="str">
        <f t="shared" si="646"/>
        <v>M3</v>
      </c>
    </row>
    <row r="62" s="212" customFormat="1" ht="57">
      <c r="A62" s="318" t="s">
        <v>20398</v>
      </c>
      <c r="B62" s="342" t="s">
        <v>20501</v>
      </c>
      <c r="C62" s="368" t="s">
        <v>20502</v>
      </c>
      <c r="D62" s="369" t="s">
        <v>20503</v>
      </c>
      <c r="E62" s="360">
        <v>17.100000000000001</v>
      </c>
      <c r="F62" s="348" t="s">
        <v>20440</v>
      </c>
      <c r="G62" s="323">
        <f>(G64-546.86)*E62*1.3</f>
        <v>90138.199999999997</v>
      </c>
      <c r="H62" s="323">
        <f>P62</f>
        <v>1.23</v>
      </c>
      <c r="I62" s="323">
        <f>ROUND(P62*$M$5,2)</f>
        <v>1.52</v>
      </c>
      <c r="J62" s="323">
        <f>ROUND(G62*I62,2)</f>
        <v>137010.06</v>
      </c>
      <c r="K62" s="328"/>
      <c r="L62" s="328"/>
      <c r="M62" s="341"/>
      <c r="N62" s="341"/>
      <c r="O62" s="341"/>
      <c r="P62" s="268">
        <f t="shared" si="643"/>
        <v>1.23</v>
      </c>
      <c r="Q62" s="269">
        <f t="shared" si="644"/>
        <v>1.22709</v>
      </c>
      <c r="R62" s="308" t="str">
        <f t="shared" si="645"/>
        <v xml:space="preserve">TRANSPORTE DE MATERIAL EM CAMINHÃO BASCULANTE, 10 M³, EM RODOVIA PAVIMENTADA (REF AGESUL, CÓD IUTR1003).</v>
      </c>
      <c r="S62" s="270" t="str">
        <f t="shared" si="646"/>
        <v>M³xKM</v>
      </c>
    </row>
    <row r="63" s="212" customFormat="1" ht="57">
      <c r="A63" s="318" t="s">
        <v>17167</v>
      </c>
      <c r="B63" s="342" t="s">
        <v>20504</v>
      </c>
      <c r="C63" s="343">
        <v>95875</v>
      </c>
      <c r="D63" s="347" t="s">
        <v>20439</v>
      </c>
      <c r="E63" s="356">
        <v>11.699999999999999</v>
      </c>
      <c r="F63" s="345" t="s">
        <v>20440</v>
      </c>
      <c r="G63" s="323">
        <f>(G64-546.86)*E63*1.3</f>
        <v>61673.510000000002</v>
      </c>
      <c r="H63" s="323">
        <f>P63</f>
        <v>2.7599999999999998</v>
      </c>
      <c r="I63" s="323">
        <f>ROUND(P63*$M$5,2)</f>
        <v>3.4100000000000001</v>
      </c>
      <c r="J63" s="323">
        <f>ROUND(G63*I63,2)</f>
        <v>210306.67000000001</v>
      </c>
      <c r="K63" s="328"/>
      <c r="L63" s="328"/>
      <c r="M63" s="341"/>
      <c r="N63" s="341"/>
      <c r="O63" s="341"/>
      <c r="P63" s="268">
        <f t="shared" si="643"/>
        <v>2.7599999999999998</v>
      </c>
      <c r="Q63" s="269">
        <f t="shared" si="644"/>
        <v>2.73</v>
      </c>
      <c r="R63" s="308" t="str">
        <f t="shared" si="645"/>
        <v xml:space="preserve">TRANSPORTE COM CAMINHÃO BASCULANTE DE 10 M³, EM VIA URBANA PAVIMENTADA, DMT ATÉ 30 KM (UNIDADE: M3XKM). AF_02/2026</v>
      </c>
      <c r="S63" s="270" t="str">
        <f t="shared" si="646"/>
        <v>M3XKM</v>
      </c>
    </row>
    <row r="64" s="212" customFormat="1" ht="48.75" customHeight="1">
      <c r="A64" s="318" t="s">
        <v>17167</v>
      </c>
      <c r="B64" s="342" t="s">
        <v>20505</v>
      </c>
      <c r="C64" s="319">
        <v>93382</v>
      </c>
      <c r="D64" s="358" t="s">
        <v>20506</v>
      </c>
      <c r="E64" s="348"/>
      <c r="F64" s="348" t="s">
        <v>15418</v>
      </c>
      <c r="G64" s="357">
        <f>9203.31*0.5</f>
        <v>4601.6599999999999</v>
      </c>
      <c r="H64" s="323">
        <f>P64</f>
        <v>27.52</v>
      </c>
      <c r="I64" s="323">
        <f>ROUND(P64*$M$5,2)</f>
        <v>34.049999999999997</v>
      </c>
      <c r="J64" s="323">
        <f>ROUND(G64*I64,2)</f>
        <v>156686.51999999999</v>
      </c>
      <c r="K64" s="328">
        <f>Q64*$Q$5</f>
        <v>34.047000000000004</v>
      </c>
      <c r="L64" s="328">
        <f t="shared" si="652"/>
        <v>156672.72</v>
      </c>
      <c r="M64" s="341"/>
      <c r="N64" s="341"/>
      <c r="O64" s="341"/>
      <c r="P64" s="268">
        <f t="shared" si="643"/>
        <v>27.52</v>
      </c>
      <c r="Q64" s="269">
        <f t="shared" si="644"/>
        <v>26.190000000000001</v>
      </c>
      <c r="R64" s="308" t="str">
        <f t="shared" si="645"/>
        <v xml:space="preserve">REATERRO MANUAL DE VALAS, COM COMPACTADOR DE SOLOS DE PERCUSSÃO. AF_08/2023</v>
      </c>
      <c r="S64" s="270" t="str">
        <f t="shared" si="646"/>
        <v>M3</v>
      </c>
    </row>
    <row r="65" s="212" customFormat="1" ht="58.5" customHeight="1">
      <c r="A65" s="318" t="s">
        <v>20398</v>
      </c>
      <c r="B65" s="342" t="s">
        <v>20507</v>
      </c>
      <c r="C65" s="319" t="s">
        <v>20451</v>
      </c>
      <c r="D65" s="358" t="s">
        <v>20452</v>
      </c>
      <c r="E65" s="343"/>
      <c r="F65" s="348" t="s">
        <v>15418</v>
      </c>
      <c r="G65" s="355">
        <f>(15.03-2.65)+(1.66-0.17)</f>
        <v>13.869999999999999</v>
      </c>
      <c r="H65" s="323">
        <f>P65</f>
        <v>50.129999999999995</v>
      </c>
      <c r="I65" s="323">
        <f>ROUND(P65*$M$5,2)</f>
        <v>62.030000000000001</v>
      </c>
      <c r="J65" s="323">
        <f>ROUND(G65*I65,2)</f>
        <v>860.36000000000001</v>
      </c>
      <c r="K65" s="328">
        <f>Q65*$Q$5</f>
        <v>62.343775000000001</v>
      </c>
      <c r="L65" s="328">
        <f t="shared" si="652"/>
        <v>864.71000000000004</v>
      </c>
      <c r="M65" s="341"/>
      <c r="N65" s="341"/>
      <c r="O65" s="341"/>
      <c r="P65" s="268">
        <f t="shared" si="643"/>
        <v>50.129999999999995</v>
      </c>
      <c r="Q65" s="269">
        <f t="shared" si="644"/>
        <v>47.95675</v>
      </c>
      <c r="R65" s="308" t="str">
        <f t="shared" si="645"/>
        <v xml:space="preserve">EXECUÇÃO DE BASE ESTABILIZADA GRANULOMETRICAMENTE (PARA TAPA BURACO) (REF AGESUL, CÓD IUP30054).</v>
      </c>
      <c r="S65" s="270" t="str">
        <f t="shared" si="646"/>
        <v>M³</v>
      </c>
    </row>
    <row r="66" s="212" customFormat="1" ht="72.75" customHeight="1">
      <c r="A66" s="318" t="s">
        <v>20453</v>
      </c>
      <c r="B66" s="342" t="s">
        <v>20508</v>
      </c>
      <c r="C66" s="319" t="s">
        <v>20251</v>
      </c>
      <c r="D66" s="358" t="s">
        <v>20455</v>
      </c>
      <c r="E66" s="343"/>
      <c r="F66" s="345" t="s">
        <v>15418</v>
      </c>
      <c r="G66" s="355">
        <f>G65*1.375</f>
        <v>19.07</v>
      </c>
      <c r="H66" s="323">
        <f>P66</f>
        <v>75</v>
      </c>
      <c r="I66" s="323">
        <f>ROUND(P66*$M$5,2)</f>
        <v>92.799999999999997</v>
      </c>
      <c r="J66" s="323">
        <f>ROUND(G66*I66,2)</f>
        <v>1769.7</v>
      </c>
      <c r="K66" s="328">
        <f>Q66*$Q$5</f>
        <v>97.5</v>
      </c>
      <c r="L66" s="328">
        <f t="shared" si="652"/>
        <v>1859.3299999999999</v>
      </c>
      <c r="M66" s="341"/>
      <c r="N66" s="341"/>
      <c r="O66" s="341"/>
      <c r="P66" s="268">
        <f t="shared" si="643"/>
        <v>75</v>
      </c>
      <c r="Q66" s="269">
        <f t="shared" si="644"/>
        <v>75</v>
      </c>
      <c r="R66" s="308" t="str">
        <f t="shared" si="645"/>
        <v xml:space="preserve">BICA CORRIDA</v>
      </c>
      <c r="S66" s="270" t="str">
        <f t="shared" si="646"/>
        <v>M³</v>
      </c>
    </row>
    <row r="67" s="212" customFormat="1" ht="56.25" customHeight="1">
      <c r="A67" s="318" t="s">
        <v>20398</v>
      </c>
      <c r="B67" s="342" t="s">
        <v>20509</v>
      </c>
      <c r="C67" s="343" t="s">
        <v>20457</v>
      </c>
      <c r="D67" s="347" t="s">
        <v>20458</v>
      </c>
      <c r="E67" s="356">
        <v>6.2999999999999998</v>
      </c>
      <c r="F67" s="345" t="s">
        <v>20440</v>
      </c>
      <c r="G67" s="357">
        <f>G66*E67</f>
        <v>120.14</v>
      </c>
      <c r="H67" s="323">
        <f>P67</f>
        <v>1.3436488080000002</v>
      </c>
      <c r="I67" s="323">
        <f>ROUND(P67*$M$5,2)</f>
        <v>1.6600000000000001</v>
      </c>
      <c r="J67" s="323">
        <f>ROUND(G67*I67,2)</f>
        <v>199.43000000000001</v>
      </c>
      <c r="K67" s="328">
        <f>Q67*$Q$5</f>
        <v>1.7366925888000002</v>
      </c>
      <c r="L67" s="328">
        <f t="shared" si="652"/>
        <v>208.65000000000001</v>
      </c>
      <c r="M67" s="341"/>
      <c r="N67" s="341"/>
      <c r="O67" s="341"/>
      <c r="P67" s="268">
        <f t="shared" si="643"/>
        <v>1.3436488080000002</v>
      </c>
      <c r="Q67" s="269">
        <f t="shared" si="644"/>
        <v>1.335917376</v>
      </c>
      <c r="R67" s="308" t="str">
        <f t="shared" si="645"/>
        <v xml:space="preserve">TRANSPORTE COMERCIAL DE BRITA EM RODOVIA PAVIMENTADA (REF SINAPI, CÓD 83356).</v>
      </c>
      <c r="S67" s="270" t="str">
        <f t="shared" si="646"/>
        <v>M³XKM</v>
      </c>
    </row>
    <row r="68" s="212" customFormat="1" ht="66.75" customHeight="1">
      <c r="A68" s="318" t="s">
        <v>17167</v>
      </c>
      <c r="B68" s="342" t="s">
        <v>20510</v>
      </c>
      <c r="C68" s="343">
        <v>95875</v>
      </c>
      <c r="D68" s="347" t="s">
        <v>20439</v>
      </c>
      <c r="E68" s="356">
        <v>12</v>
      </c>
      <c r="F68" s="345" t="s">
        <v>20440</v>
      </c>
      <c r="G68" s="357">
        <f>G66*E68</f>
        <v>228.84</v>
      </c>
      <c r="H68" s="323">
        <f>P68</f>
        <v>2.7599999999999998</v>
      </c>
      <c r="I68" s="323">
        <f>ROUND(P68*$M$5,2)</f>
        <v>3.4100000000000001</v>
      </c>
      <c r="J68" s="323">
        <f>ROUND(G68*I68,2)</f>
        <v>780.34000000000003</v>
      </c>
      <c r="K68" s="328">
        <f>Q68*$Q$5</f>
        <v>3.5489999999999999</v>
      </c>
      <c r="L68" s="328">
        <f t="shared" si="652"/>
        <v>812.14999999999998</v>
      </c>
      <c r="M68" s="341"/>
      <c r="N68" s="341"/>
      <c r="O68" s="341"/>
      <c r="P68" s="268">
        <f t="shared" si="643"/>
        <v>2.7599999999999998</v>
      </c>
      <c r="Q68" s="269">
        <f t="shared" si="644"/>
        <v>2.73</v>
      </c>
      <c r="R68" s="308" t="str">
        <f t="shared" si="645"/>
        <v xml:space="preserve">TRANSPORTE COM CAMINHÃO BASCULANTE DE 10 M³, EM VIA URBANA PAVIMENTADA, DMT ATÉ 30 KM (UNIDADE: M3XKM). AF_02/2026</v>
      </c>
      <c r="S68" s="270" t="str">
        <f t="shared" si="646"/>
        <v>M3XKM</v>
      </c>
    </row>
    <row r="69" s="212" customFormat="1" ht="23.25" customHeight="1">
      <c r="A69" s="318"/>
      <c r="B69" s="319"/>
      <c r="C69" s="343"/>
      <c r="D69" s="352" t="s">
        <v>20511</v>
      </c>
      <c r="E69" s="356"/>
      <c r="F69" s="345"/>
      <c r="G69" s="357"/>
      <c r="H69" s="323"/>
      <c r="I69" s="323"/>
      <c r="J69" s="323"/>
      <c r="K69" s="328"/>
      <c r="L69" s="328"/>
      <c r="M69" s="341"/>
      <c r="N69" s="341"/>
      <c r="O69" s="341"/>
      <c r="P69" s="268"/>
      <c r="Q69" s="269"/>
      <c r="R69" s="308"/>
      <c r="S69" s="270"/>
    </row>
    <row r="70" s="212" customFormat="1" ht="56.25" customHeight="1">
      <c r="A70" s="318" t="s">
        <v>20398</v>
      </c>
      <c r="B70" s="319" t="s">
        <v>20512</v>
      </c>
      <c r="C70" s="342" t="s">
        <v>20471</v>
      </c>
      <c r="D70" s="347" t="s">
        <v>20513</v>
      </c>
      <c r="E70" s="370"/>
      <c r="F70" s="345" t="s">
        <v>15383</v>
      </c>
      <c r="G70" s="355">
        <f>58.29+5.52</f>
        <v>63.810000000000002</v>
      </c>
      <c r="H70" s="323">
        <f>P70</f>
        <v>7.3900000000000006</v>
      </c>
      <c r="I70" s="323">
        <f>ROUND(P70*$M$5,2)</f>
        <v>9.1400000000000006</v>
      </c>
      <c r="J70" s="323">
        <f>ROUND(G70*I70,2)</f>
        <v>583.22000000000003</v>
      </c>
      <c r="K70" s="328">
        <f>Q70*$Q$5</f>
        <v>9.5952757030000004</v>
      </c>
      <c r="L70" s="328">
        <f t="shared" si="652"/>
        <v>612.26999999999998</v>
      </c>
      <c r="M70" s="341"/>
      <c r="N70" s="341"/>
      <c r="O70" s="341"/>
      <c r="P70" s="268">
        <f t="shared" si="643"/>
        <v>7.3900000000000006</v>
      </c>
      <c r="Q70" s="269">
        <f t="shared" si="644"/>
        <v>7.3809813100000001</v>
      </c>
      <c r="R70" s="308" t="str">
        <f t="shared" si="645"/>
        <v xml:space="preserve">EXECUÇÃO DE IMPRIMAÇÃO MANUAL COM CANETA (PARA TAPA BURACOS) (REF AGESUL, CÓD IUP30026)</v>
      </c>
      <c r="S70" s="270" t="str">
        <f t="shared" si="646"/>
        <v>M²</v>
      </c>
    </row>
    <row r="71" s="212" customFormat="1" ht="81.75" customHeight="1">
      <c r="A71" s="318" t="s">
        <v>17167</v>
      </c>
      <c r="B71" s="319" t="s">
        <v>20514</v>
      </c>
      <c r="C71" s="342">
        <v>102330</v>
      </c>
      <c r="D71" s="347" t="s">
        <v>20466</v>
      </c>
      <c r="E71" s="356">
        <v>30</v>
      </c>
      <c r="F71" s="345" t="s">
        <v>20467</v>
      </c>
      <c r="G71" s="355">
        <f>G70*1.2*E71/1000</f>
        <v>2.2999999999999998</v>
      </c>
      <c r="H71" s="323">
        <f>P71</f>
        <v>1.5700000000000001</v>
      </c>
      <c r="I71" s="323">
        <f>ROUND(P71*$M$5,2)</f>
        <v>1.9399999999999999</v>
      </c>
      <c r="J71" s="323">
        <f>ROUND(G71*I71,2)</f>
        <v>4.46</v>
      </c>
      <c r="K71" s="328">
        <f>Q71*$Q$5</f>
        <v>2.0410000000000004</v>
      </c>
      <c r="L71" s="328">
        <f t="shared" si="652"/>
        <v>4.6900000000000004</v>
      </c>
      <c r="M71" s="341"/>
      <c r="N71" s="341"/>
      <c r="O71" s="341"/>
      <c r="P71" s="268">
        <f t="shared" si="643"/>
        <v>1.5700000000000001</v>
      </c>
      <c r="Q71" s="269">
        <f t="shared" si="644"/>
        <v>1.5700000000000001</v>
      </c>
      <c r="R71" s="308" t="str">
        <f t="shared" si="645"/>
        <v xml:space="preserve">TRANSPORTE COM CAMINHÃO TANQUE DE TRANSPORTE DE MATERIAL ASFÁLTICO DE 30000 L, EM VIA URBANA PAVIMENTADA, DMT ATÉ 30KM (UNIDADE: TXKM). AF_02/2026</v>
      </c>
      <c r="S71" s="270" t="str">
        <f t="shared" si="646"/>
        <v>TXKM</v>
      </c>
    </row>
    <row r="72" s="212" customFormat="1" ht="102.75" customHeight="1">
      <c r="A72" s="318" t="s">
        <v>17167</v>
      </c>
      <c r="B72" s="319" t="s">
        <v>20515</v>
      </c>
      <c r="C72" s="342">
        <v>102331</v>
      </c>
      <c r="D72" s="347" t="s">
        <v>20469</v>
      </c>
      <c r="E72" s="356">
        <v>171</v>
      </c>
      <c r="F72" s="345" t="s">
        <v>20467</v>
      </c>
      <c r="G72" s="355">
        <f>G70*1.2*E72/1000</f>
        <v>13.09</v>
      </c>
      <c r="H72" s="323">
        <f>P72</f>
        <v>0.58999999999999997</v>
      </c>
      <c r="I72" s="323">
        <f>ROUND(P72*$M$5,2)</f>
        <v>0.72999999999999998</v>
      </c>
      <c r="J72" s="323">
        <f>ROUND(G72*I72,2)</f>
        <v>9.5600000000000005</v>
      </c>
      <c r="K72" s="328">
        <f>Q72*$Q$5</f>
        <v>0.76700000000000002</v>
      </c>
      <c r="L72" s="328">
        <f t="shared" si="652"/>
        <v>10.040000000000001</v>
      </c>
      <c r="M72" s="341"/>
      <c r="N72" s="341"/>
      <c r="O72" s="341"/>
      <c r="P72" s="268">
        <f t="shared" si="643"/>
        <v>0.58999999999999997</v>
      </c>
      <c r="Q72" s="269">
        <f t="shared" si="644"/>
        <v>0.58999999999999997</v>
      </c>
      <c r="R72" s="308" t="str">
        <f t="shared" si="645"/>
        <v xml:space="preserve">TRANSPORTE COM CAMINHÃO TANQUE DE TRANSPORTE DE MATERIAL ASFÁLTICO DE 30000 L, EM VIA URBANA PAVIMENTADA, ADICIONAL PARA DMT EXCEDENTE A 30 KM (UNIDADE: TXKM). AF_02/2026</v>
      </c>
      <c r="S72" s="270" t="str">
        <f t="shared" si="646"/>
        <v>TXKM</v>
      </c>
    </row>
    <row r="73" s="212" customFormat="1" ht="80.25" customHeight="1">
      <c r="A73" s="318" t="s">
        <v>20408</v>
      </c>
      <c r="B73" s="319" t="s">
        <v>20516</v>
      </c>
      <c r="C73" s="343">
        <v>1518</v>
      </c>
      <c r="D73" s="344" t="s">
        <v>20476</v>
      </c>
      <c r="E73" s="361"/>
      <c r="F73" s="345" t="s">
        <v>20015</v>
      </c>
      <c r="G73" s="355">
        <f>(2.65+0.17)*2.5548</f>
        <v>7.2000000000000002</v>
      </c>
      <c r="H73" s="323">
        <f>P73</f>
        <v>643.5</v>
      </c>
      <c r="I73" s="323">
        <f>ROUND(P73*$M$5,2)</f>
        <v>796.20000000000005</v>
      </c>
      <c r="J73" s="323">
        <f>ROUND(G73*I73,2)</f>
        <v>5732.6400000000003</v>
      </c>
      <c r="K73" s="328">
        <f>Q73*$Q$5</f>
        <v>836.55000000000007</v>
      </c>
      <c r="L73" s="328">
        <f t="shared" si="652"/>
        <v>6023.1599999999999</v>
      </c>
      <c r="M73" s="341"/>
      <c r="N73" s="341"/>
      <c r="O73" s="341"/>
      <c r="P73" s="268">
        <f t="shared" si="643"/>
        <v>643.5</v>
      </c>
      <c r="Q73" s="269">
        <f t="shared" si="644"/>
        <v>643.5</v>
      </c>
      <c r="R73" s="308" t="str">
        <f t="shared" si="645"/>
        <v xml:space="preserve">CONCRETO BETUMINOSO USINADO A QUENTE (CBUQ) PARA PAVIMENTACAO ASFALTICA, PADRAO DNIT, FAIXA C, COM CAP 50/70 - AQUISICAO POSTO USINA</v>
      </c>
      <c r="S73" s="270" t="str">
        <f t="shared" si="646"/>
        <v>T</v>
      </c>
    </row>
    <row r="74" s="212" customFormat="1" ht="56.25" customHeight="1">
      <c r="A74" s="318" t="s">
        <v>20398</v>
      </c>
      <c r="B74" s="319" t="s">
        <v>20517</v>
      </c>
      <c r="C74" s="343" t="s">
        <v>20478</v>
      </c>
      <c r="D74" s="344" t="s">
        <v>20518</v>
      </c>
      <c r="E74" s="361"/>
      <c r="F74" s="345" t="s">
        <v>20015</v>
      </c>
      <c r="G74" s="355">
        <f>G73</f>
        <v>7.2000000000000002</v>
      </c>
      <c r="H74" s="323">
        <f>P74</f>
        <v>45.640000000000001</v>
      </c>
      <c r="I74" s="323">
        <f>ROUND(P74*$M$5,2)</f>
        <v>56.469999999999999</v>
      </c>
      <c r="J74" s="323">
        <f>ROUND(G74*I74,2)</f>
        <v>406.57999999999998</v>
      </c>
      <c r="K74" s="328">
        <f>Q74*$Q$5</f>
        <v>326.43585000000002</v>
      </c>
      <c r="L74" s="328">
        <f t="shared" si="652"/>
        <v>2350.3400000000001</v>
      </c>
      <c r="M74" s="341"/>
      <c r="N74" s="341"/>
      <c r="O74" s="341"/>
      <c r="P74" s="268">
        <f t="shared" si="643"/>
        <v>45.640000000000001</v>
      </c>
      <c r="Q74" s="269">
        <f t="shared" si="644"/>
        <v>251.1045</v>
      </c>
      <c r="R74" s="308" t="str">
        <f t="shared" si="645"/>
        <v xml:space="preserve">EXECUÇÃO DE CAPA ASFÁLTICA EM CBUQ, COM PRODUÇÃO DA EQUIPE DE 2,25 M³/H - PREÇO EM T</v>
      </c>
      <c r="S74" s="270" t="str">
        <f t="shared" si="646"/>
        <v>T</v>
      </c>
    </row>
    <row r="75" s="212" customFormat="1" ht="70.5" customHeight="1">
      <c r="A75" s="318" t="s">
        <v>20398</v>
      </c>
      <c r="B75" s="319" t="s">
        <v>20519</v>
      </c>
      <c r="C75" s="343" t="s">
        <v>20481</v>
      </c>
      <c r="D75" s="344" t="s">
        <v>20482</v>
      </c>
      <c r="E75" s="356">
        <v>6.2999999999999998</v>
      </c>
      <c r="F75" s="345" t="s">
        <v>20440</v>
      </c>
      <c r="G75" s="355">
        <f>(G73/2.5548)*E75</f>
        <v>17.75</v>
      </c>
      <c r="H75" s="323">
        <f>P75</f>
        <v>1.7173489560000001</v>
      </c>
      <c r="I75" s="323">
        <f>ROUND(P75*$M$5,2)</f>
        <v>2.1200000000000001</v>
      </c>
      <c r="J75" s="323">
        <f>ROUND(G75*I75,2)</f>
        <v>37.630000000000003</v>
      </c>
      <c r="K75" s="328">
        <f>Q75*$Q$5</f>
        <v>2.2197074016</v>
      </c>
      <c r="L75" s="328">
        <f t="shared" si="652"/>
        <v>39.399999999999999</v>
      </c>
      <c r="M75" s="341"/>
      <c r="N75" s="341"/>
      <c r="O75" s="341"/>
      <c r="P75" s="268">
        <f t="shared" ref="P75:P116" si="653">IFERROR(IF(A75="SINAPI",VLOOKUP(C75,SINCOMOD,4,FALSE),IF(A75="INSINAPI",VLOOKUP(C75,INSINOD,5,FALSE),IF(A75="SICRO",VLOOKUP(C75,SICRO,5,FALSE),IF(A75="COTACAO",VLOOKUP(C75,COTACAO,6,FALSE),IF(A75="PRÓPRIO",VLOOKUP(C75,COMPOD1,6,FALSE),IF(A75="AGESUL",VLOOKUP(C75,AGESULOD,6,FALSE),IF(A75="INSAGESUL",VLOOKUP(C75,INSAGESUL,7,FALSE),"SEM VALOR"))))))),"SEM VALOR")</f>
        <v>1.7173489560000001</v>
      </c>
      <c r="Q75" s="269">
        <f t="shared" ref="Q75:Q116" si="654">IFERROR(IF(A75="SINAPI",VLOOKUP(C75,SINCOMOD,6,FALSE),IF(A75="INSINAPI",VLOOKUP(C75,INSINOD,6,FALSE),IF(A75="SICRO",VLOOKUP(C75,SICRO,5,FALSE),IF(A75="COTACAO",VLOOKUP(C75,COTACAO,6,FALSE),IF(A75="PRÓPRIO",VLOOKUP(C75,COMPOD1,8,FALSE),IF(A75="AGESUL",VLOOKUP(C75,AGESULOD,11,FALSE),IF(A75="INSAGESUL",VLOOKUP(C75,INSAGESUL,8,FALSE),"SEM VALOR"))))))),"SEM VALOR")</f>
        <v>1.7074672319999999</v>
      </c>
      <c r="R75" s="308" t="str">
        <f t="shared" ref="R75:R138" si="655">IFERROR(IF(A75="SINAPI",VLOOKUP(C75,SINCOMOD,2,FALSE),IF(A75="INSINAPI",VLOOKUP(C75,INSINOD,2,FALSE),IF(A75="SICRO",VLOOKUP(C75,SICRO,2,FALSE),IF(A75="COTACAO",VLOOKUP(C75,COTACAO,3,FALSE),IF(A75="PRÓPRIO",VLOOKUP(C75,COMPOD1,2,FALSE),IF(A75="AGESUL",VLOOKUP(C75,AGESULOD,2,FALSE),IF(A75="INSAGESUL",VLOOKUP(C75,INSAGESUL,3,FALSE),""))))))),"")</f>
        <v xml:space="preserve">TRANSPORTE COMERCIAL DE MASSA ASFÁLTICA COM CAMINHÃO BASCULANTE 10 M³ EM RODOVIA PAVIMENTADA (REF SINAPI, CÓD 95303).</v>
      </c>
      <c r="S75" s="270" t="str">
        <f t="shared" ref="S75:S138" si="656">IFERROR(IF(A75="SINAPI",VLOOKUP(C75,SINCOMOD,3,FALSE),IF(A75="INSINAPI",VLOOKUP(C75,INSINOD,3,FALSE),IF(A75="SICRO",VLOOKUP(C75,SICRO,3,FALSE),IF(A75="COTACAO",VLOOKUP(C75,COTACAO,4,FALSE),IF(A75="PRÓPRIO",VLOOKUP(C75,COMPOD1,3,FALSE),IF(A75="AGESUL",VLOOKUP(C75,AGESULOD,3,FALSE),IF(A75="INSAGESUL",VLOOKUP(C75,INSAGESUL,4,FALSE),""))))))),"")</f>
        <v>M³XKM</v>
      </c>
    </row>
    <row r="76" s="212" customFormat="1" ht="69" customHeight="1">
      <c r="A76" s="318" t="s">
        <v>17167</v>
      </c>
      <c r="B76" s="319" t="s">
        <v>20520</v>
      </c>
      <c r="C76" s="343">
        <v>95878</v>
      </c>
      <c r="D76" s="344" t="s">
        <v>20484</v>
      </c>
      <c r="E76" s="356">
        <v>12</v>
      </c>
      <c r="F76" s="345" t="s">
        <v>20467</v>
      </c>
      <c r="G76" s="323">
        <f>G73*E76</f>
        <v>86.400000000000006</v>
      </c>
      <c r="H76" s="323">
        <f>P76</f>
        <v>1.8400000000000001</v>
      </c>
      <c r="I76" s="323">
        <f>ROUND(P76*$M$5,2)</f>
        <v>2.2800000000000002</v>
      </c>
      <c r="J76" s="323">
        <f>ROUND(G76*I76,2)</f>
        <v>196.99000000000001</v>
      </c>
      <c r="K76" s="328"/>
      <c r="L76" s="328"/>
      <c r="M76" s="341"/>
      <c r="N76" s="341"/>
      <c r="O76" s="341"/>
      <c r="P76" s="268">
        <f t="shared" si="653"/>
        <v>1.8400000000000001</v>
      </c>
      <c r="Q76" s="269"/>
      <c r="R76" s="308" t="str">
        <f t="shared" si="655"/>
        <v xml:space="preserve">TRANSPORTE COM CAMINHÃO BASCULANTE DE 10 M³, EM VIA URBANA PAVIMENTADA, DMT ATÉ 30 KM (UNIDADE: TXKM). AF_02/2026</v>
      </c>
      <c r="S76" s="270" t="str">
        <f t="shared" si="656"/>
        <v>TXKM</v>
      </c>
    </row>
    <row r="77" s="212" customFormat="1" ht="14.25">
      <c r="A77" s="318"/>
      <c r="B77" s="349"/>
      <c r="C77" s="326"/>
      <c r="D77" s="371" t="s">
        <v>20521</v>
      </c>
      <c r="E77" s="322"/>
      <c r="F77" s="322"/>
      <c r="G77" s="323"/>
      <c r="H77" s="323"/>
      <c r="I77" s="323"/>
      <c r="J77" s="311">
        <f>SUM(J27:J76)</f>
        <v>835410.27999999991</v>
      </c>
      <c r="K77" s="324"/>
      <c r="L77" s="372">
        <f>SUM(L51:L76)</f>
        <v>206923.20999999996</v>
      </c>
      <c r="M77" s="337" t="e">
        <f>J77/$J$154</f>
        <v>#VALUE!</v>
      </c>
      <c r="N77" s="337"/>
      <c r="O77" s="337"/>
      <c r="P77" s="268"/>
      <c r="Q77" s="269"/>
      <c r="R77" s="308" t="str">
        <f t="shared" si="655"/>
        <v/>
      </c>
      <c r="S77" s="270" t="str">
        <f t="shared" si="656"/>
        <v/>
      </c>
    </row>
    <row r="78" s="212" customFormat="1" ht="14.25">
      <c r="A78" s="318"/>
      <c r="B78" s="309" t="s">
        <v>20522</v>
      </c>
      <c r="C78" s="373"/>
      <c r="D78" s="352" t="s">
        <v>20523</v>
      </c>
      <c r="E78" s="360"/>
      <c r="F78" s="374"/>
      <c r="G78" s="323"/>
      <c r="H78" s="323"/>
      <c r="I78" s="323"/>
      <c r="J78" s="323"/>
      <c r="K78" s="375"/>
      <c r="L78" s="375"/>
      <c r="M78" s="341"/>
      <c r="N78" s="341"/>
      <c r="O78" s="341"/>
      <c r="P78" s="268"/>
      <c r="Q78" s="269"/>
      <c r="R78" s="308" t="str">
        <f t="shared" si="655"/>
        <v/>
      </c>
      <c r="S78" s="270" t="str">
        <f t="shared" si="656"/>
        <v/>
      </c>
    </row>
    <row r="79" s="212" customFormat="1" ht="46.5" customHeight="1">
      <c r="A79" s="318" t="s">
        <v>17167</v>
      </c>
      <c r="B79" s="342" t="s">
        <v>20524</v>
      </c>
      <c r="C79" s="343">
        <v>99814</v>
      </c>
      <c r="D79" s="344" t="s">
        <v>20525</v>
      </c>
      <c r="E79" s="361"/>
      <c r="F79" s="345" t="s">
        <v>15383</v>
      </c>
      <c r="G79" s="376">
        <f>G80</f>
        <v>2925.23</v>
      </c>
      <c r="H79" s="323">
        <f>P79</f>
        <v>1.6100000000000001</v>
      </c>
      <c r="I79" s="323">
        <f>ROUND(P79*$M$5,2)</f>
        <v>1.99</v>
      </c>
      <c r="J79" s="323">
        <f>ROUND(G79*I79,2)</f>
        <v>5821.21</v>
      </c>
      <c r="K79" s="328">
        <f>Q79*$Q$5</f>
        <v>1.9890000000000001</v>
      </c>
      <c r="L79" s="328">
        <f t="shared" ref="L79:L85" si="657">ROUND(K79*G79,2)</f>
        <v>5818.2799999999997</v>
      </c>
      <c r="M79" s="341"/>
      <c r="N79" s="341"/>
      <c r="O79" s="341"/>
      <c r="P79" s="268">
        <f t="shared" si="653"/>
        <v>1.6100000000000001</v>
      </c>
      <c r="Q79" s="269">
        <f t="shared" si="654"/>
        <v>1.53</v>
      </c>
      <c r="R79" s="308" t="str">
        <f t="shared" si="655"/>
        <v xml:space="preserve">LIMPEZA DE SUPERFÍCIE PISO OU PAREDE COM JATO DE ALTA PRESSÃO. AF_10/2025</v>
      </c>
      <c r="S79" s="270" t="str">
        <f t="shared" si="656"/>
        <v>M2</v>
      </c>
    </row>
    <row r="80" s="212" customFormat="1" ht="60.75" customHeight="1">
      <c r="A80" s="318" t="s">
        <v>20398</v>
      </c>
      <c r="B80" s="342" t="s">
        <v>20526</v>
      </c>
      <c r="C80" s="343" t="s">
        <v>20527</v>
      </c>
      <c r="D80" s="344" t="s">
        <v>20528</v>
      </c>
      <c r="E80" s="343"/>
      <c r="F80" s="345" t="s">
        <v>15383</v>
      </c>
      <c r="G80" s="376">
        <f>2925.23</f>
        <v>2925.23</v>
      </c>
      <c r="H80" s="323">
        <f>P80</f>
        <v>2.8999999999999999</v>
      </c>
      <c r="I80" s="323">
        <f>ROUND(P80*$M$5,2)</f>
        <v>3.5899999999999999</v>
      </c>
      <c r="J80" s="323">
        <f>ROUND(G80*I80,2)</f>
        <v>10501.58</v>
      </c>
      <c r="K80" s="328">
        <f>Q80*$Q$5</f>
        <v>3.7963275999999997</v>
      </c>
      <c r="L80" s="328">
        <f t="shared" si="657"/>
        <v>11105.130000000001</v>
      </c>
      <c r="M80" s="341"/>
      <c r="N80" s="341"/>
      <c r="O80" s="341"/>
      <c r="P80" s="268">
        <f t="shared" si="653"/>
        <v>2.8999999999999999</v>
      </c>
      <c r="Q80" s="269">
        <f t="shared" si="654"/>
        <v>2.9202519999999996</v>
      </c>
      <c r="R80" s="308" t="str">
        <f t="shared" si="655"/>
        <v xml:space="preserve">EXECUÇÃO DE PINTURA DE LIGAÇÃO COM EMULSÃO ASFÁLTICA RR-1C (REF SINAPI, CÓD 96402).</v>
      </c>
      <c r="S80" s="270" t="str">
        <f t="shared" si="656"/>
        <v>M²</v>
      </c>
    </row>
    <row r="81" s="212" customFormat="1" ht="81.75" customHeight="1">
      <c r="A81" s="318" t="s">
        <v>17167</v>
      </c>
      <c r="B81" s="342" t="s">
        <v>20529</v>
      </c>
      <c r="C81" s="343">
        <v>95995</v>
      </c>
      <c r="D81" s="344" t="s">
        <v>20530</v>
      </c>
      <c r="E81" s="343"/>
      <c r="F81" s="345" t="s">
        <v>15418</v>
      </c>
      <c r="G81" s="357">
        <v>93.599999999999994</v>
      </c>
      <c r="H81" s="323">
        <f>P81</f>
        <v>1791.9100000000001</v>
      </c>
      <c r="I81" s="323">
        <f>ROUND(P81*$M$5,2)</f>
        <v>2217.1300000000001</v>
      </c>
      <c r="J81" s="323">
        <f>ROUND(G81*I81,2)</f>
        <v>207523.37</v>
      </c>
      <c r="K81" s="328">
        <f>Q81*$Q$5</f>
        <v>2325.7910000000002</v>
      </c>
      <c r="L81" s="328">
        <f t="shared" si="657"/>
        <v>217694.04000000001</v>
      </c>
      <c r="M81" s="341"/>
      <c r="N81" s="341"/>
      <c r="O81" s="341"/>
      <c r="P81" s="268">
        <f t="shared" si="653"/>
        <v>1791.9100000000001</v>
      </c>
      <c r="Q81" s="269">
        <f t="shared" si="654"/>
        <v>1789.0699999999999</v>
      </c>
      <c r="R81" s="308" t="str">
        <f t="shared" si="655"/>
        <v xml:space="preserve">EXECUÇÃO DE PAVIMENTO COM APLICAÇÃO DE CONCRETO ASFÁLTICO, CAMADA DE ROLAMENTO - EXCLUSIVE CARGA E TRANSPORTE. AF_10/2025</v>
      </c>
      <c r="S81" s="270" t="str">
        <f t="shared" si="656"/>
        <v>M3</v>
      </c>
    </row>
    <row r="82" s="212" customFormat="1" ht="74.25" customHeight="1">
      <c r="A82" s="318" t="s">
        <v>20398</v>
      </c>
      <c r="B82" s="342" t="s">
        <v>20531</v>
      </c>
      <c r="C82" s="343" t="s">
        <v>20481</v>
      </c>
      <c r="D82" s="344" t="s">
        <v>20482</v>
      </c>
      <c r="E82" s="356">
        <v>6.2999999999999998</v>
      </c>
      <c r="F82" s="345" t="s">
        <v>20440</v>
      </c>
      <c r="G82" s="376">
        <f>G81*E82</f>
        <v>589.67999999999995</v>
      </c>
      <c r="H82" s="323">
        <f>P82</f>
        <v>1.7173489560000001</v>
      </c>
      <c r="I82" s="323">
        <f>ROUND(P82*$M$5,2)</f>
        <v>2.1200000000000001</v>
      </c>
      <c r="J82" s="323">
        <f>ROUND(G82*I82,2)</f>
        <v>1250.1200000000001</v>
      </c>
      <c r="K82" s="324">
        <f>Q82*$Q$5</f>
        <v>2.2197074016</v>
      </c>
      <c r="L82" s="324">
        <f t="shared" si="657"/>
        <v>1308.9200000000001</v>
      </c>
      <c r="M82" s="341"/>
      <c r="N82" s="341"/>
      <c r="O82" s="341"/>
      <c r="P82" s="268">
        <f t="shared" si="653"/>
        <v>1.7173489560000001</v>
      </c>
      <c r="Q82" s="269">
        <f t="shared" si="654"/>
        <v>1.7074672319999999</v>
      </c>
      <c r="R82" s="308" t="str">
        <f t="shared" si="655"/>
        <v xml:space="preserve">TRANSPORTE COMERCIAL DE MASSA ASFÁLTICA COM CAMINHÃO BASCULANTE 10 M³ EM RODOVIA PAVIMENTADA (REF SINAPI, CÓD 95303).</v>
      </c>
      <c r="S82" s="270" t="str">
        <f t="shared" si="656"/>
        <v>M³XKM</v>
      </c>
    </row>
    <row r="83" s="212" customFormat="1" ht="69.75" customHeight="1">
      <c r="A83" s="318" t="s">
        <v>17167</v>
      </c>
      <c r="B83" s="342" t="s">
        <v>20532</v>
      </c>
      <c r="C83" s="343">
        <v>95878</v>
      </c>
      <c r="D83" s="344" t="s">
        <v>20484</v>
      </c>
      <c r="E83" s="356">
        <v>12</v>
      </c>
      <c r="F83" s="345" t="s">
        <v>20467</v>
      </c>
      <c r="G83" s="376">
        <f>(G81*2.5548)*E83</f>
        <v>2869.5500000000002</v>
      </c>
      <c r="H83" s="323">
        <f>P83</f>
        <v>1.8400000000000001</v>
      </c>
      <c r="I83" s="323">
        <f>ROUND(P83*$M$5,2)</f>
        <v>2.2800000000000002</v>
      </c>
      <c r="J83" s="323">
        <f>ROUND(G83*I83,2)</f>
        <v>6542.5699999999997</v>
      </c>
      <c r="K83" s="328">
        <f>Q83*$Q$5</f>
        <v>2.3660000000000001</v>
      </c>
      <c r="L83" s="328">
        <f t="shared" si="657"/>
        <v>6789.3600000000006</v>
      </c>
      <c r="M83" s="341"/>
      <c r="N83" s="341"/>
      <c r="O83" s="341"/>
      <c r="P83" s="268">
        <f t="shared" si="653"/>
        <v>1.8400000000000001</v>
      </c>
      <c r="Q83" s="269">
        <f t="shared" si="654"/>
        <v>1.8200000000000001</v>
      </c>
      <c r="R83" s="308" t="str">
        <f t="shared" si="655"/>
        <v xml:space="preserve">TRANSPORTE COM CAMINHÃO BASCULANTE DE 10 M³, EM VIA URBANA PAVIMENTADA, DMT ATÉ 30 KM (UNIDADE: TXKM). AF_02/2026</v>
      </c>
      <c r="S83" s="270" t="str">
        <f t="shared" si="656"/>
        <v>TXKM</v>
      </c>
    </row>
    <row r="84" s="212" customFormat="1" ht="84" customHeight="1">
      <c r="A84" s="318" t="s">
        <v>17167</v>
      </c>
      <c r="B84" s="342" t="s">
        <v>20533</v>
      </c>
      <c r="C84" s="343">
        <v>102330</v>
      </c>
      <c r="D84" s="344" t="s">
        <v>20534</v>
      </c>
      <c r="E84" s="356">
        <v>30</v>
      </c>
      <c r="F84" s="345" t="s">
        <v>20467</v>
      </c>
      <c r="G84" s="376">
        <f>0.5*G80*E84/1000</f>
        <v>43.880000000000003</v>
      </c>
      <c r="H84" s="323">
        <f>P84</f>
        <v>1.5700000000000001</v>
      </c>
      <c r="I84" s="323">
        <f>ROUND(P84*$M$5,2)</f>
        <v>1.9399999999999999</v>
      </c>
      <c r="J84" s="323">
        <f>ROUND(G84*I84,2)</f>
        <v>85.129999999999995</v>
      </c>
      <c r="K84" s="328">
        <f>Q84*$Q$5</f>
        <v>2.0410000000000004</v>
      </c>
      <c r="L84" s="328">
        <f t="shared" si="657"/>
        <v>89.560000000000002</v>
      </c>
      <c r="M84" s="341"/>
      <c r="N84" s="341"/>
      <c r="O84" s="341"/>
      <c r="P84" s="268">
        <f t="shared" si="653"/>
        <v>1.5700000000000001</v>
      </c>
      <c r="Q84" s="269">
        <f t="shared" si="654"/>
        <v>1.5700000000000001</v>
      </c>
      <c r="R84" s="308" t="str">
        <f t="shared" si="655"/>
        <v xml:space="preserve">TRANSPORTE COM CAMINHÃO TANQUE DE TRANSPORTE DE MATERIAL ASFÁLTICO DE 30000 L, EM VIA URBANA PAVIMENTADA, DMT ATÉ 30KM (UNIDADE: TXKM). AF_02/2026</v>
      </c>
      <c r="S84" s="270" t="str">
        <f t="shared" si="656"/>
        <v>TXKM</v>
      </c>
    </row>
    <row r="85" s="212" customFormat="1" ht="99.75" customHeight="1">
      <c r="A85" s="318" t="s">
        <v>17167</v>
      </c>
      <c r="B85" s="342" t="s">
        <v>20535</v>
      </c>
      <c r="C85" s="343">
        <v>102331</v>
      </c>
      <c r="D85" s="347" t="s">
        <v>20469</v>
      </c>
      <c r="E85" s="356">
        <v>171</v>
      </c>
      <c r="F85" s="345" t="s">
        <v>20467</v>
      </c>
      <c r="G85" s="376">
        <f>0.5*G80*E85/1000</f>
        <v>250.11000000000001</v>
      </c>
      <c r="H85" s="323">
        <f>P85</f>
        <v>0.58999999999999997</v>
      </c>
      <c r="I85" s="323">
        <f>ROUND(P85*$M$5,2)</f>
        <v>0.72999999999999998</v>
      </c>
      <c r="J85" s="323">
        <f>ROUND(G85*I85,2)</f>
        <v>182.58000000000001</v>
      </c>
      <c r="K85" s="328">
        <f>Q85*$Q$5</f>
        <v>0.76700000000000002</v>
      </c>
      <c r="L85" s="328">
        <f t="shared" si="657"/>
        <v>191.83000000000001</v>
      </c>
      <c r="M85" s="341"/>
      <c r="N85" s="341"/>
      <c r="O85" s="341"/>
      <c r="P85" s="268">
        <f t="shared" si="653"/>
        <v>0.58999999999999997</v>
      </c>
      <c r="Q85" s="269">
        <f t="shared" si="654"/>
        <v>0.58999999999999997</v>
      </c>
      <c r="R85" s="308" t="str">
        <f t="shared" si="655"/>
        <v xml:space="preserve">TRANSPORTE COM CAMINHÃO TANQUE DE TRANSPORTE DE MATERIAL ASFÁLTICO DE 30000 L, EM VIA URBANA PAVIMENTADA, ADICIONAL PARA DMT EXCEDENTE A 30 KM (UNIDADE: TXKM). AF_02/2026</v>
      </c>
      <c r="S85" s="270" t="str">
        <f t="shared" si="656"/>
        <v>TXKM</v>
      </c>
    </row>
    <row r="86" s="212" customFormat="1" ht="14.25">
      <c r="A86" s="318"/>
      <c r="B86" s="349"/>
      <c r="C86" s="326"/>
      <c r="D86" s="371" t="s">
        <v>20536</v>
      </c>
      <c r="E86" s="322"/>
      <c r="F86" s="322"/>
      <c r="G86" s="323"/>
      <c r="H86" s="323"/>
      <c r="I86" s="339"/>
      <c r="J86" s="350">
        <f>SUM(J79:J85)</f>
        <v>231906.56</v>
      </c>
      <c r="K86" s="335"/>
      <c r="L86" s="351">
        <f>SUM(L79:L85)</f>
        <v>242997.12000000002</v>
      </c>
      <c r="M86" s="337" t="e">
        <f>J86/$J$154</f>
        <v>#VALUE!</v>
      </c>
      <c r="N86" s="337"/>
      <c r="O86" s="337"/>
      <c r="P86" s="268"/>
      <c r="Q86" s="269"/>
      <c r="R86" s="308" t="str">
        <f t="shared" si="655"/>
        <v/>
      </c>
      <c r="S86" s="270" t="str">
        <f t="shared" si="656"/>
        <v/>
      </c>
    </row>
    <row r="87" s="212" customFormat="1" ht="28.5">
      <c r="A87" s="318"/>
      <c r="B87" s="302" t="s">
        <v>20537</v>
      </c>
      <c r="C87" s="326"/>
      <c r="D87" s="352" t="s">
        <v>20538</v>
      </c>
      <c r="E87" s="377"/>
      <c r="F87" s="377"/>
      <c r="G87" s="323"/>
      <c r="H87" s="323"/>
      <c r="I87" s="339"/>
      <c r="J87" s="350"/>
      <c r="K87" s="335"/>
      <c r="L87" s="351"/>
      <c r="M87" s="337"/>
      <c r="N87" s="337"/>
      <c r="O87" s="337"/>
      <c r="P87" s="268"/>
      <c r="Q87" s="269"/>
      <c r="R87" s="308"/>
      <c r="S87" s="270"/>
    </row>
    <row r="88" s="212" customFormat="1" ht="25.5" customHeight="1">
      <c r="A88" s="318"/>
      <c r="B88" s="302"/>
      <c r="C88" s="326"/>
      <c r="D88" s="352" t="s">
        <v>20539</v>
      </c>
      <c r="E88" s="377"/>
      <c r="F88" s="377"/>
      <c r="G88" s="323"/>
      <c r="H88" s="323"/>
      <c r="I88" s="339"/>
      <c r="J88" s="350"/>
      <c r="K88" s="335"/>
      <c r="L88" s="351"/>
      <c r="M88" s="337"/>
      <c r="N88" s="337"/>
      <c r="O88" s="337"/>
      <c r="P88" s="268"/>
      <c r="Q88" s="269"/>
      <c r="R88" s="308"/>
      <c r="S88" s="270"/>
    </row>
    <row r="89" s="212" customFormat="1" ht="81.75" customHeight="1">
      <c r="A89" s="318" t="s">
        <v>20398</v>
      </c>
      <c r="B89" s="342" t="s">
        <v>20540</v>
      </c>
      <c r="C89" s="319" t="s">
        <v>20541</v>
      </c>
      <c r="D89" s="347" t="s">
        <v>20542</v>
      </c>
      <c r="E89" s="356"/>
      <c r="F89" s="345" t="s">
        <v>15344</v>
      </c>
      <c r="G89" s="376">
        <v>1665.02</v>
      </c>
      <c r="H89" s="323">
        <f>P89</f>
        <v>3.2499999999999996</v>
      </c>
      <c r="I89" s="323">
        <f>ROUND(P89*$M$5,2)</f>
        <v>4.0200000000000005</v>
      </c>
      <c r="J89" s="323">
        <f>ROUND(G89*I89,2)</f>
        <v>6693.3800000000001</v>
      </c>
      <c r="K89" s="335"/>
      <c r="L89" s="351"/>
      <c r="M89" s="337"/>
      <c r="N89" s="378"/>
      <c r="O89" s="379"/>
      <c r="P89" s="268">
        <f t="shared" si="653"/>
        <v>3.2499999999999996</v>
      </c>
      <c r="Q89" s="269">
        <f t="shared" si="654"/>
        <v>3.1657000000000002</v>
      </c>
      <c r="R89" s="308" t="str">
        <f t="shared" si="655"/>
        <v xml:space="preserve">RECORTE MECÂNICO DE PAVIMENTO ASFÁLTICO OU PISO DE CONCRETO, COM SERRA DE DISCO DIAMANTADO PARA PISO/ASFALTO (REF AGESUL, CÓD IUP30002).</v>
      </c>
      <c r="S89" s="270" t="str">
        <f t="shared" si="656"/>
        <v>M</v>
      </c>
    </row>
    <row r="90" s="212" customFormat="1" ht="66" customHeight="1">
      <c r="A90" s="318" t="s">
        <v>20398</v>
      </c>
      <c r="B90" s="342" t="s">
        <v>20543</v>
      </c>
      <c r="C90" s="343" t="s">
        <v>20544</v>
      </c>
      <c r="D90" s="347" t="s">
        <v>20545</v>
      </c>
      <c r="E90" s="345"/>
      <c r="F90" s="345" t="s">
        <v>15418</v>
      </c>
      <c r="G90" s="376">
        <f>1180.21+(1665.02+145.31)*0.11*0.3</f>
        <v>1239.95</v>
      </c>
      <c r="H90" s="323">
        <f>P90</f>
        <v>35.600000000000001</v>
      </c>
      <c r="I90" s="323">
        <f>ROUND(P90*$M$5,2)</f>
        <v>44.050000000000004</v>
      </c>
      <c r="J90" s="323">
        <f>ROUND(G90*I90,2)</f>
        <v>54619.800000000003</v>
      </c>
      <c r="K90" s="335"/>
      <c r="L90" s="351"/>
      <c r="M90" s="337"/>
      <c r="N90" s="378"/>
      <c r="O90" s="379"/>
      <c r="P90" s="268">
        <f t="shared" si="653"/>
        <v>35.600000000000001</v>
      </c>
      <c r="Q90" s="269">
        <f t="shared" si="654"/>
        <v>0</v>
      </c>
      <c r="R90" s="308" t="str">
        <f t="shared" si="655"/>
        <v xml:space="preserve">RECICLAGEM SIMPLES COM INCORPORAÇÃO DO REVESTIMENTO ASFÁLTICO À BASE (REF SICRO, CÓD 4011481). </v>
      </c>
      <c r="S90" s="270" t="str">
        <f t="shared" si="656"/>
        <v>M³</v>
      </c>
    </row>
    <row r="91" s="212" customFormat="1" ht="109.5" customHeight="1">
      <c r="A91" s="318" t="s">
        <v>20398</v>
      </c>
      <c r="B91" s="342" t="s">
        <v>20546</v>
      </c>
      <c r="C91" s="343" t="s">
        <v>20436</v>
      </c>
      <c r="D91" s="347" t="s">
        <v>20437</v>
      </c>
      <c r="E91" s="345"/>
      <c r="F91" s="348" t="s">
        <v>15418</v>
      </c>
      <c r="G91" s="376">
        <f>G90*1.25</f>
        <v>1549.9400000000001</v>
      </c>
      <c r="H91" s="323">
        <f>P91</f>
        <v>2.2000000000000002</v>
      </c>
      <c r="I91" s="323">
        <f>ROUND(P91*$M$5,2)</f>
        <v>2.7200000000000002</v>
      </c>
      <c r="J91" s="323">
        <f>ROUND(G91*I91,2)</f>
        <v>4215.8400000000001</v>
      </c>
      <c r="K91" s="335"/>
      <c r="L91" s="351"/>
      <c r="M91" s="337"/>
      <c r="N91" s="378"/>
      <c r="O91" s="379"/>
      <c r="P91" s="268">
        <f t="shared" si="653"/>
        <v>2.2000000000000002</v>
      </c>
      <c r="Q91" s="269">
        <f t="shared" si="654"/>
        <v>2.1879900000000001</v>
      </c>
      <c r="R91" s="308" t="str">
        <f t="shared" si="655"/>
        <v xml:space="preserve">CARGA E DESCARGA MECANICA DE SOLO UTILIZANDO CAMINHAO BASCULANTE 6,0 M³/16T E PÁ CARREGADEIRA SOBRE PNEUS 128 HP, CAPACIDADE DA CAÇAMBA 1,7 A 2,8 M³, PESO OPERACIONAL 11632 KG (REF SINAPI, CÓD 74010/1).</v>
      </c>
      <c r="S91" s="270" t="str">
        <f t="shared" si="656"/>
        <v>M³</v>
      </c>
    </row>
    <row r="92" s="212" customFormat="1" ht="72" customHeight="1">
      <c r="A92" s="318" t="s">
        <v>17167</v>
      </c>
      <c r="B92" s="342" t="s">
        <v>20547</v>
      </c>
      <c r="C92" s="343">
        <v>95875</v>
      </c>
      <c r="D92" s="347" t="s">
        <v>20439</v>
      </c>
      <c r="E92" s="356">
        <v>2.2999999999999998</v>
      </c>
      <c r="F92" s="348" t="s">
        <v>20440</v>
      </c>
      <c r="G92" s="376">
        <f>G91*E92</f>
        <v>3564.8600000000001</v>
      </c>
      <c r="H92" s="323">
        <f>P92</f>
        <v>2.7599999999999998</v>
      </c>
      <c r="I92" s="323">
        <f>ROUND(P92*$M$5,2)</f>
        <v>3.4100000000000001</v>
      </c>
      <c r="J92" s="323">
        <f>ROUND(G92*I92,2)</f>
        <v>12156.17</v>
      </c>
      <c r="K92" s="335"/>
      <c r="L92" s="351"/>
      <c r="M92" s="337"/>
      <c r="N92" s="378"/>
      <c r="O92" s="379"/>
      <c r="P92" s="268">
        <f t="shared" si="653"/>
        <v>2.7599999999999998</v>
      </c>
      <c r="Q92" s="269">
        <f t="shared" si="654"/>
        <v>2.73</v>
      </c>
      <c r="R92" s="308" t="str">
        <f t="shared" si="655"/>
        <v xml:space="preserve">TRANSPORTE COM CAMINHÃO BASCULANTE DE 10 M³, EM VIA URBANA PAVIMENTADA, DMT ATÉ 30 KM (UNIDADE: M3XKM). AF_02/2026</v>
      </c>
      <c r="S92" s="270" t="str">
        <f t="shared" si="656"/>
        <v>M3XKM</v>
      </c>
    </row>
    <row r="93" s="212" customFormat="1" ht="82.5" customHeight="1">
      <c r="A93" s="318" t="s">
        <v>20398</v>
      </c>
      <c r="B93" s="342" t="s">
        <v>20548</v>
      </c>
      <c r="C93" s="343" t="s">
        <v>20487</v>
      </c>
      <c r="D93" s="347" t="s">
        <v>20549</v>
      </c>
      <c r="E93" s="345"/>
      <c r="F93" s="345" t="s">
        <v>15418</v>
      </c>
      <c r="G93" s="376">
        <f>46.61+(1665.02+145.31)*0.0285</f>
        <v>98.200000000000003</v>
      </c>
      <c r="H93" s="323">
        <f>P93</f>
        <v>19.439999999999998</v>
      </c>
      <c r="I93" s="323">
        <f>ROUND(P93*$M$5,2)</f>
        <v>24.050000000000001</v>
      </c>
      <c r="J93" s="323">
        <f>ROUND(G93*I93,2)</f>
        <v>2361.71</v>
      </c>
      <c r="K93" s="335"/>
      <c r="L93" s="351"/>
      <c r="M93" s="337"/>
      <c r="N93" s="378"/>
      <c r="O93" s="379"/>
      <c r="P93" s="268">
        <f t="shared" si="653"/>
        <v>19.439999999999998</v>
      </c>
      <c r="Q93" s="269">
        <f t="shared" si="654"/>
        <v>18.886704505000001</v>
      </c>
      <c r="R93" s="308" t="str">
        <f t="shared" si="655"/>
        <v xml:space="preserve">DEMOLIÇÃO DE PAVIMENTO ASFÁLTICO COM EMPREGO DE RETRO-ESCAVADEIRA E SERRA DE DISCO, EXCLUSIVE BOTA-FORA DO MATERIAL (REF AGESUL, CÓD IUP30005).</v>
      </c>
      <c r="S93" s="270" t="str">
        <f t="shared" si="656"/>
        <v>M³</v>
      </c>
    </row>
    <row r="94" s="212" customFormat="1" ht="98.25" customHeight="1">
      <c r="A94" s="318" t="s">
        <v>17167</v>
      </c>
      <c r="B94" s="342" t="s">
        <v>20550</v>
      </c>
      <c r="C94" s="343">
        <v>100998</v>
      </c>
      <c r="D94" s="347" t="s">
        <v>20551</v>
      </c>
      <c r="E94" s="345"/>
      <c r="F94" s="348" t="s">
        <v>20015</v>
      </c>
      <c r="G94" s="376">
        <f>G93*2.4</f>
        <v>235.68000000000001</v>
      </c>
      <c r="H94" s="323">
        <f>P94</f>
        <v>6.3099999999999996</v>
      </c>
      <c r="I94" s="323">
        <f>ROUND(P94*$M$5,2)</f>
        <v>7.8100000000000005</v>
      </c>
      <c r="J94" s="323">
        <f>ROUND(G94*I94,2)</f>
        <v>1840.6600000000001</v>
      </c>
      <c r="K94" s="335"/>
      <c r="L94" s="351"/>
      <c r="M94" s="337"/>
      <c r="N94" s="378"/>
      <c r="O94" s="379"/>
      <c r="P94" s="268">
        <f t="shared" si="653"/>
        <v>6.3099999999999996</v>
      </c>
      <c r="Q94" s="269">
        <f t="shared" si="654"/>
        <v>6.25</v>
      </c>
      <c r="R94" s="308" t="str">
        <f t="shared" si="655"/>
        <v xml:space="preserve">CARGA, MANOBRA E DESCARGA DE ENTULHO EM CAMINHÃO BASCULANTE 10 M³ - CARGA COM ESCAVADEIRA HIDRÁULICA (CAÇAMBA DE 0,80 M³ / 111 HP) E DESCARGA LIVRE (UNIDADE: T). AF_02/2026</v>
      </c>
      <c r="S94" s="270" t="str">
        <f t="shared" si="656"/>
        <v>T</v>
      </c>
    </row>
    <row r="95" s="212" customFormat="1" ht="71.25" customHeight="1">
      <c r="A95" s="318" t="s">
        <v>17167</v>
      </c>
      <c r="B95" s="342" t="s">
        <v>20552</v>
      </c>
      <c r="C95" s="320">
        <v>95878</v>
      </c>
      <c r="D95" s="380" t="s">
        <v>20484</v>
      </c>
      <c r="E95" s="356">
        <v>5</v>
      </c>
      <c r="F95" s="345" t="s">
        <v>20467</v>
      </c>
      <c r="G95" s="376">
        <f>G94*E95</f>
        <v>1178.4000000000001</v>
      </c>
      <c r="H95" s="323">
        <f>P95</f>
        <v>1.8400000000000001</v>
      </c>
      <c r="I95" s="323">
        <f>ROUND(P95*$M$5,2)</f>
        <v>2.2800000000000002</v>
      </c>
      <c r="J95" s="323">
        <f>ROUND(G95*I95,2)</f>
        <v>2686.75</v>
      </c>
      <c r="K95" s="335"/>
      <c r="L95" s="351"/>
      <c r="M95" s="337"/>
      <c r="N95" s="378"/>
      <c r="O95" s="379"/>
      <c r="P95" s="268">
        <f t="shared" si="653"/>
        <v>1.8400000000000001</v>
      </c>
      <c r="Q95" s="269">
        <f t="shared" si="654"/>
        <v>1.8200000000000001</v>
      </c>
      <c r="R95" s="308" t="str">
        <f t="shared" si="655"/>
        <v xml:space="preserve">TRANSPORTE COM CAMINHÃO BASCULANTE DE 10 M³, EM VIA URBANA PAVIMENTADA, DMT ATÉ 30 KM (UNIDADE: TXKM). AF_02/2026</v>
      </c>
      <c r="S95" s="270" t="str">
        <f t="shared" si="656"/>
        <v>TXKM</v>
      </c>
    </row>
    <row r="96" s="212" customFormat="1" ht="65.25" customHeight="1">
      <c r="A96" s="318" t="s">
        <v>17167</v>
      </c>
      <c r="B96" s="342" t="s">
        <v>20553</v>
      </c>
      <c r="C96" s="319">
        <v>100576</v>
      </c>
      <c r="D96" s="347" t="s">
        <v>20554</v>
      </c>
      <c r="E96" s="348"/>
      <c r="F96" s="348" t="s">
        <v>15383</v>
      </c>
      <c r="G96" s="376">
        <v>8734.5200000000004</v>
      </c>
      <c r="H96" s="323">
        <f>P96</f>
        <v>2.9500000000000002</v>
      </c>
      <c r="I96" s="323">
        <f>ROUND(P96*$M$5,2)</f>
        <v>3.6499999999999999</v>
      </c>
      <c r="J96" s="323">
        <f>ROUND(G96*I96,2)</f>
        <v>31881</v>
      </c>
      <c r="K96" s="335"/>
      <c r="L96" s="381"/>
      <c r="M96" s="337"/>
      <c r="N96" s="378"/>
      <c r="O96" s="379"/>
      <c r="P96" s="268">
        <f t="shared" si="653"/>
        <v>2.9500000000000002</v>
      </c>
      <c r="Q96" s="269">
        <f t="shared" si="654"/>
        <v>2.8700000000000001</v>
      </c>
      <c r="R96" s="308" t="str">
        <f t="shared" si="655"/>
        <v xml:space="preserve">REGULARIZAÇÃO E COMPACTAÇÃO DE SUBLEITO DE SOLO PREDOMINANTEMENTE ARGILOSO, PARA OBRAS DE CONSTRUÇÃO DE PAVIMENTOS. AF_09/2024</v>
      </c>
      <c r="S96" s="270" t="str">
        <f t="shared" si="656"/>
        <v>M2</v>
      </c>
    </row>
    <row r="97" s="212" customFormat="1" ht="72" customHeight="1">
      <c r="A97" s="318" t="s">
        <v>20398</v>
      </c>
      <c r="B97" s="342" t="s">
        <v>20555</v>
      </c>
      <c r="C97" s="319" t="s">
        <v>20556</v>
      </c>
      <c r="D97" s="347" t="s">
        <v>20557</v>
      </c>
      <c r="E97" s="320"/>
      <c r="F97" s="325" t="s">
        <v>15418</v>
      </c>
      <c r="G97" s="376">
        <v>607.62</v>
      </c>
      <c r="H97" s="323">
        <f>P97</f>
        <v>6.6399999999999997</v>
      </c>
      <c r="I97" s="323">
        <f>ROUND(P97*$M$5,2)</f>
        <v>8.2200000000000006</v>
      </c>
      <c r="J97" s="323">
        <f>ROUND(G97*I97,2)</f>
        <v>4994.6400000000003</v>
      </c>
      <c r="K97" s="335"/>
      <c r="L97" s="381"/>
      <c r="M97" s="382"/>
      <c r="N97" s="378"/>
      <c r="O97" s="379"/>
      <c r="P97" s="268">
        <f t="shared" si="653"/>
        <v>6.6399999999999997</v>
      </c>
      <c r="Q97" s="269">
        <f t="shared" si="654"/>
        <v>6.5294898730000011</v>
      </c>
      <c r="R97" s="308" t="str">
        <f t="shared" si="655"/>
        <v xml:space="preserve">PREPARO DO SUB-LEITO, ESCAVAÇÃO E CARGA, EXCLUSIVE TRANSPORTE  (REF AGESUL, CÓD IUP10002).</v>
      </c>
      <c r="S97" s="270" t="str">
        <f t="shared" si="656"/>
        <v>M³</v>
      </c>
      <c r="Z97" s="383"/>
    </row>
    <row r="98" s="212" customFormat="1" ht="63" customHeight="1">
      <c r="A98" s="318" t="s">
        <v>17167</v>
      </c>
      <c r="B98" s="342" t="s">
        <v>20558</v>
      </c>
      <c r="C98" s="343">
        <v>95875</v>
      </c>
      <c r="D98" s="347" t="s">
        <v>20439</v>
      </c>
      <c r="E98" s="356">
        <v>5</v>
      </c>
      <c r="F98" s="348" t="s">
        <v>20440</v>
      </c>
      <c r="G98" s="376">
        <f>(G97*0.1)*1.3*E98</f>
        <v>394.94999999999999</v>
      </c>
      <c r="H98" s="323">
        <f>P98</f>
        <v>2.7599999999999998</v>
      </c>
      <c r="I98" s="323">
        <f>ROUND(P98*$M$5,2)</f>
        <v>3.4100000000000001</v>
      </c>
      <c r="J98" s="323">
        <f>ROUND(G98*I98,2)</f>
        <v>1346.78</v>
      </c>
      <c r="K98" s="335"/>
      <c r="L98" s="381"/>
      <c r="M98" s="337"/>
      <c r="N98" s="378"/>
      <c r="O98" s="379"/>
      <c r="P98" s="268">
        <f t="shared" si="653"/>
        <v>2.7599999999999998</v>
      </c>
      <c r="Q98" s="269">
        <f t="shared" si="654"/>
        <v>2.73</v>
      </c>
      <c r="R98" s="308" t="str">
        <f t="shared" si="655"/>
        <v xml:space="preserve">TRANSPORTE COM CAMINHÃO BASCULANTE DE 10 M³, EM VIA URBANA PAVIMENTADA, DMT ATÉ 30 KM (UNIDADE: M3XKM). AF_02/2026</v>
      </c>
      <c r="S98" s="270" t="str">
        <f t="shared" si="656"/>
        <v>M3XKM</v>
      </c>
    </row>
    <row r="99" s="212" customFormat="1" ht="53.25" customHeight="1">
      <c r="A99" s="318" t="s">
        <v>20398</v>
      </c>
      <c r="B99" s="342" t="s">
        <v>20559</v>
      </c>
      <c r="C99" s="342" t="s">
        <v>20560</v>
      </c>
      <c r="D99" s="347" t="s">
        <v>20561</v>
      </c>
      <c r="E99" s="356"/>
      <c r="F99" s="348" t="s">
        <v>15418</v>
      </c>
      <c r="G99" s="376">
        <v>1572</v>
      </c>
      <c r="H99" s="323">
        <f>P99</f>
        <v>27.780000000000001</v>
      </c>
      <c r="I99" s="323">
        <f>ROUND(P99*$M$5,2)</f>
        <v>34.369999999999997</v>
      </c>
      <c r="J99" s="323">
        <f>ROUND(G99*I99,2)</f>
        <v>54029.639999999999</v>
      </c>
      <c r="K99" s="335"/>
      <c r="L99" s="351"/>
      <c r="M99" s="337"/>
      <c r="N99" s="378"/>
      <c r="O99" s="379"/>
      <c r="P99" s="268">
        <f t="shared" si="653"/>
        <v>27.780000000000001</v>
      </c>
      <c r="Q99" s="269">
        <f t="shared" si="654"/>
        <v>27.476135000000006</v>
      </c>
      <c r="R99" s="308" t="str">
        <f t="shared" si="655"/>
        <v xml:space="preserve">BASE ESTABILIZADA COM MISTURA NA PISTA, EXECUÇÃO</v>
      </c>
      <c r="S99" s="270" t="str">
        <f t="shared" si="656"/>
        <v>m³</v>
      </c>
    </row>
    <row r="100" s="212" customFormat="1" ht="119.25" customHeight="1">
      <c r="A100" s="318" t="s">
        <v>20398</v>
      </c>
      <c r="B100" s="342" t="s">
        <v>20562</v>
      </c>
      <c r="C100" s="343" t="s">
        <v>20436</v>
      </c>
      <c r="D100" s="347" t="s">
        <v>20437</v>
      </c>
      <c r="E100" s="345"/>
      <c r="F100" s="348" t="s">
        <v>15418</v>
      </c>
      <c r="G100" s="376">
        <f>G90*0.9*1.25</f>
        <v>1394.9400000000001</v>
      </c>
      <c r="H100" s="323">
        <f>P100</f>
        <v>2.2000000000000002</v>
      </c>
      <c r="I100" s="323">
        <f>ROUND(P100*$M$5,2)</f>
        <v>2.7200000000000002</v>
      </c>
      <c r="J100" s="323">
        <f>ROUND(G100*I100,2)</f>
        <v>3794.2400000000002</v>
      </c>
      <c r="K100" s="335"/>
      <c r="L100" s="351"/>
      <c r="M100" s="337"/>
      <c r="N100" s="378"/>
      <c r="O100" s="379"/>
      <c r="P100" s="268">
        <f t="shared" si="653"/>
        <v>2.2000000000000002</v>
      </c>
      <c r="Q100" s="269">
        <f t="shared" si="654"/>
        <v>2.1879900000000001</v>
      </c>
      <c r="R100" s="308" t="str">
        <f t="shared" si="655"/>
        <v xml:space="preserve">CARGA E DESCARGA MECANICA DE SOLO UTILIZANDO CAMINHAO BASCULANTE 6,0 M³/16T E PÁ CARREGADEIRA SOBRE PNEUS 128 HP, CAPACIDADE DA CAÇAMBA 1,7 A 2,8 M³, PESO OPERACIONAL 11632 KG (REF SINAPI, CÓD 74010/1).</v>
      </c>
      <c r="S100" s="270" t="str">
        <f t="shared" si="656"/>
        <v>M³</v>
      </c>
    </row>
    <row r="101" s="212" customFormat="1" ht="66" customHeight="1">
      <c r="A101" s="318" t="s">
        <v>17167</v>
      </c>
      <c r="B101" s="342" t="s">
        <v>20563</v>
      </c>
      <c r="C101" s="343">
        <v>95875</v>
      </c>
      <c r="D101" s="347" t="s">
        <v>20439</v>
      </c>
      <c r="E101" s="356">
        <v>2.2999999999999998</v>
      </c>
      <c r="F101" s="348" t="s">
        <v>20440</v>
      </c>
      <c r="G101" s="376">
        <f>G100*E101</f>
        <v>3208.3600000000001</v>
      </c>
      <c r="H101" s="323">
        <f>P101</f>
        <v>2.7599999999999998</v>
      </c>
      <c r="I101" s="323">
        <f>ROUND(P101*$M$5,2)</f>
        <v>3.4100000000000001</v>
      </c>
      <c r="J101" s="323">
        <f>ROUND(G101*I101,2)</f>
        <v>10940.51</v>
      </c>
      <c r="K101" s="335"/>
      <c r="L101" s="351"/>
      <c r="M101" s="337"/>
      <c r="N101" s="378"/>
      <c r="O101" s="379"/>
      <c r="P101" s="268">
        <f t="shared" si="653"/>
        <v>2.7599999999999998</v>
      </c>
      <c r="Q101" s="269">
        <f t="shared" si="654"/>
        <v>2.73</v>
      </c>
      <c r="R101" s="308" t="str">
        <f t="shared" si="655"/>
        <v xml:space="preserve">TRANSPORTE COM CAMINHÃO BASCULANTE DE 10 M³, EM VIA URBANA PAVIMENTADA, DMT ATÉ 30 KM (UNIDADE: M3XKM). AF_02/2026</v>
      </c>
      <c r="S101" s="270" t="str">
        <f t="shared" si="656"/>
        <v>M3XKM</v>
      </c>
    </row>
    <row r="102" s="212" customFormat="1" ht="44.25" customHeight="1">
      <c r="A102" s="318" t="s">
        <v>20453</v>
      </c>
      <c r="B102" s="342" t="s">
        <v>20564</v>
      </c>
      <c r="C102" s="342" t="s">
        <v>20251</v>
      </c>
      <c r="D102" s="344" t="s">
        <v>20565</v>
      </c>
      <c r="E102" s="343"/>
      <c r="F102" s="345" t="s">
        <v>15418</v>
      </c>
      <c r="G102" s="376">
        <f>(G99-(G90*0.9*1.25))*1.375</f>
        <v>243.44999999999999</v>
      </c>
      <c r="H102" s="323">
        <f>P102</f>
        <v>75</v>
      </c>
      <c r="I102" s="323">
        <f>ROUND(P102*$M$5,2)</f>
        <v>92.799999999999997</v>
      </c>
      <c r="J102" s="323">
        <f>ROUND(G102*I102,2)</f>
        <v>22592.16</v>
      </c>
      <c r="K102" s="335"/>
      <c r="L102" s="351"/>
      <c r="M102" s="337"/>
      <c r="N102" s="378"/>
      <c r="O102" s="379"/>
      <c r="P102" s="268">
        <f t="shared" si="653"/>
        <v>75</v>
      </c>
      <c r="Q102" s="269">
        <f t="shared" si="654"/>
        <v>75</v>
      </c>
      <c r="R102" s="308" t="str">
        <f t="shared" si="655"/>
        <v xml:space="preserve">BICA CORRIDA</v>
      </c>
      <c r="S102" s="270" t="str">
        <f t="shared" si="656"/>
        <v>M³</v>
      </c>
    </row>
    <row r="103" s="212" customFormat="1" ht="62.25" customHeight="1">
      <c r="A103" s="318" t="s">
        <v>20398</v>
      </c>
      <c r="B103" s="342" t="s">
        <v>20566</v>
      </c>
      <c r="C103" s="342" t="s">
        <v>20457</v>
      </c>
      <c r="D103" s="344" t="s">
        <v>20458</v>
      </c>
      <c r="E103" s="356">
        <v>6.2999999999999998</v>
      </c>
      <c r="F103" s="345" t="s">
        <v>20440</v>
      </c>
      <c r="G103" s="376">
        <f>G102*E103</f>
        <v>1533.74</v>
      </c>
      <c r="H103" s="323">
        <f>P103</f>
        <v>1.3436488080000002</v>
      </c>
      <c r="I103" s="323">
        <f>ROUND(P103*$M$5,2)</f>
        <v>1.6600000000000001</v>
      </c>
      <c r="J103" s="323">
        <f>ROUND(G103*I103,2)</f>
        <v>2546.0100000000002</v>
      </c>
      <c r="K103" s="335"/>
      <c r="L103" s="351"/>
      <c r="M103" s="337"/>
      <c r="N103" s="378"/>
      <c r="O103" s="379"/>
      <c r="P103" s="268">
        <f t="shared" si="653"/>
        <v>1.3436488080000002</v>
      </c>
      <c r="Q103" s="269">
        <f t="shared" si="654"/>
        <v>1.335917376</v>
      </c>
      <c r="R103" s="308" t="str">
        <f t="shared" si="655"/>
        <v xml:space="preserve">TRANSPORTE COMERCIAL DE BRITA EM RODOVIA PAVIMENTADA (REF SINAPI, CÓD 83356).</v>
      </c>
      <c r="S103" s="270" t="str">
        <f t="shared" si="656"/>
        <v>M³XKM</v>
      </c>
    </row>
    <row r="104" s="212" customFormat="1" ht="69.75" customHeight="1">
      <c r="A104" s="318" t="s">
        <v>17167</v>
      </c>
      <c r="B104" s="342" t="s">
        <v>20567</v>
      </c>
      <c r="C104" s="343">
        <v>95875</v>
      </c>
      <c r="D104" s="347" t="s">
        <v>20439</v>
      </c>
      <c r="E104" s="356">
        <v>12</v>
      </c>
      <c r="F104" s="348" t="s">
        <v>20440</v>
      </c>
      <c r="G104" s="376">
        <f>G102*E104</f>
        <v>2921.4000000000001</v>
      </c>
      <c r="H104" s="323">
        <f>P104</f>
        <v>2.7599999999999998</v>
      </c>
      <c r="I104" s="323">
        <f>ROUND(P104*$M$5,2)</f>
        <v>3.4100000000000001</v>
      </c>
      <c r="J104" s="323">
        <f>ROUND(G104*I104,2)</f>
        <v>9961.9699999999993</v>
      </c>
      <c r="K104" s="335"/>
      <c r="L104" s="351"/>
      <c r="M104" s="337"/>
      <c r="N104" s="378"/>
      <c r="O104" s="379"/>
      <c r="P104" s="268">
        <f t="shared" si="653"/>
        <v>2.7599999999999998</v>
      </c>
      <c r="Q104" s="269">
        <f t="shared" si="654"/>
        <v>2.73</v>
      </c>
      <c r="R104" s="308" t="str">
        <f t="shared" si="655"/>
        <v xml:space="preserve">TRANSPORTE COM CAMINHÃO BASCULANTE DE 10 M³, EM VIA URBANA PAVIMENTADA, DMT ATÉ 30 KM (UNIDADE: M3XKM). AF_02/2026</v>
      </c>
      <c r="S104" s="270" t="str">
        <f t="shared" si="656"/>
        <v>M3XKM</v>
      </c>
    </row>
    <row r="105" s="212" customFormat="1" ht="82.5" customHeight="1">
      <c r="A105" s="318" t="s">
        <v>20398</v>
      </c>
      <c r="B105" s="342" t="s">
        <v>20568</v>
      </c>
      <c r="C105" s="319" t="s">
        <v>20569</v>
      </c>
      <c r="D105" s="358" t="s">
        <v>20570</v>
      </c>
      <c r="E105" s="356"/>
      <c r="F105" s="345" t="s">
        <v>15383</v>
      </c>
      <c r="G105" s="376">
        <v>7612.1099999999997</v>
      </c>
      <c r="H105" s="323" t="str">
        <f>P105</f>
        <v xml:space="preserve">SEM VALOR</v>
      </c>
      <c r="I105" s="323" t="e">
        <f>ROUND(P105*$M$5,2)</f>
        <v>#VALUE!</v>
      </c>
      <c r="J105" s="323" t="e">
        <f>ROUND(G105*I105,2)</f>
        <v>#VALUE!</v>
      </c>
      <c r="K105" s="335"/>
      <c r="L105" s="351"/>
      <c r="M105" s="337"/>
      <c r="N105" s="378"/>
      <c r="O105" s="379"/>
      <c r="P105" s="268" t="str">
        <f t="shared" si="653"/>
        <v xml:space="preserve">SEM VALOR</v>
      </c>
      <c r="Q105" s="269" t="str">
        <f t="shared" si="654"/>
        <v xml:space="preserve">SEM VALOR</v>
      </c>
      <c r="R105" s="308" t="str">
        <f t="shared" si="655"/>
        <v xml:space="preserve">EXECUÇÃO DE IMPRIMAÇÃO COM EMULSÃO CATIÔNICA ISENTO DE SOLVENTE VOLÁTIL - EAI - EMULSÃO ASFÁLTICA DE IMPRIMAÇÃO (REF SINAPI, CÓD 96401). </v>
      </c>
      <c r="S105" s="270" t="str">
        <f t="shared" si="656"/>
        <v>M²</v>
      </c>
    </row>
    <row r="106" s="212" customFormat="1" ht="87.75" customHeight="1">
      <c r="A106" s="318" t="s">
        <v>17167</v>
      </c>
      <c r="B106" s="342" t="s">
        <v>20571</v>
      </c>
      <c r="C106" s="343">
        <v>102330</v>
      </c>
      <c r="D106" s="344" t="s">
        <v>20534</v>
      </c>
      <c r="E106" s="356">
        <v>30</v>
      </c>
      <c r="F106" s="345" t="s">
        <v>20467</v>
      </c>
      <c r="G106" s="376">
        <f>1.2*G105*E106/1000</f>
        <v>274.04000000000002</v>
      </c>
      <c r="H106" s="323">
        <f>P106</f>
        <v>1.5700000000000001</v>
      </c>
      <c r="I106" s="323">
        <f>ROUND(P106*$M$5,2)</f>
        <v>1.9399999999999999</v>
      </c>
      <c r="J106" s="323">
        <f>ROUND(G106*I106,2)</f>
        <v>531.63999999999999</v>
      </c>
      <c r="K106" s="335"/>
      <c r="L106" s="351"/>
      <c r="M106" s="337"/>
      <c r="N106" s="378"/>
      <c r="O106" s="379"/>
      <c r="P106" s="268">
        <f t="shared" si="653"/>
        <v>1.5700000000000001</v>
      </c>
      <c r="Q106" s="269">
        <f t="shared" si="654"/>
        <v>1.5700000000000001</v>
      </c>
      <c r="R106" s="308" t="str">
        <f t="shared" si="655"/>
        <v xml:space="preserve">TRANSPORTE COM CAMINHÃO TANQUE DE TRANSPORTE DE MATERIAL ASFÁLTICO DE 30000 L, EM VIA URBANA PAVIMENTADA, DMT ATÉ 30KM (UNIDADE: TXKM). AF_02/2026</v>
      </c>
      <c r="S106" s="270" t="str">
        <f t="shared" si="656"/>
        <v>TXKM</v>
      </c>
    </row>
    <row r="107" s="212" customFormat="1" ht="92.25" customHeight="1">
      <c r="A107" s="318" t="s">
        <v>17167</v>
      </c>
      <c r="B107" s="342" t="s">
        <v>20572</v>
      </c>
      <c r="C107" s="343">
        <v>102331</v>
      </c>
      <c r="D107" s="347" t="s">
        <v>20469</v>
      </c>
      <c r="E107" s="356">
        <v>171</v>
      </c>
      <c r="F107" s="345" t="s">
        <v>20467</v>
      </c>
      <c r="G107" s="376">
        <f>1.2*G105*E107/1000</f>
        <v>1562</v>
      </c>
      <c r="H107" s="323">
        <f>P107</f>
        <v>0.58999999999999997</v>
      </c>
      <c r="I107" s="323">
        <f>ROUND(P107*$M$5,2)</f>
        <v>0.72999999999999998</v>
      </c>
      <c r="J107" s="323">
        <f>ROUND(G107*I107,2)</f>
        <v>1140.26</v>
      </c>
      <c r="K107" s="335"/>
      <c r="L107" s="351"/>
      <c r="M107" s="337"/>
      <c r="N107" s="378"/>
      <c r="O107" s="379"/>
      <c r="P107" s="268">
        <f t="shared" si="653"/>
        <v>0.58999999999999997</v>
      </c>
      <c r="Q107" s="269">
        <f t="shared" si="654"/>
        <v>0.58999999999999997</v>
      </c>
      <c r="R107" s="308" t="str">
        <f t="shared" si="655"/>
        <v xml:space="preserve">TRANSPORTE COM CAMINHÃO TANQUE DE TRANSPORTE DE MATERIAL ASFÁLTICO DE 30000 L, EM VIA URBANA PAVIMENTADA, ADICIONAL PARA DMT EXCEDENTE A 30 KM (UNIDADE: TXKM). AF_02/2026</v>
      </c>
      <c r="S107" s="270" t="str">
        <f t="shared" si="656"/>
        <v>TXKM</v>
      </c>
    </row>
    <row r="108" s="212" customFormat="1" ht="92.25" customHeight="1">
      <c r="A108" s="318" t="s">
        <v>17167</v>
      </c>
      <c r="B108" s="342" t="s">
        <v>20573</v>
      </c>
      <c r="C108" s="319">
        <v>95995</v>
      </c>
      <c r="D108" s="347" t="s">
        <v>20530</v>
      </c>
      <c r="E108" s="356"/>
      <c r="F108" s="348" t="s">
        <v>15418</v>
      </c>
      <c r="G108" s="376">
        <v>280.82999999999998</v>
      </c>
      <c r="H108" s="323">
        <f>P108</f>
        <v>1791.9100000000001</v>
      </c>
      <c r="I108" s="323">
        <f>ROUND(P108*$M$5,2)</f>
        <v>2217.1300000000001</v>
      </c>
      <c r="J108" s="323">
        <f>ROUND(G108*I108,2)</f>
        <v>622636.62</v>
      </c>
      <c r="K108" s="335"/>
      <c r="L108" s="351"/>
      <c r="M108" s="337"/>
      <c r="N108" s="378"/>
      <c r="O108" s="379"/>
      <c r="P108" s="268">
        <f t="shared" si="653"/>
        <v>1791.9100000000001</v>
      </c>
      <c r="Q108" s="269">
        <f t="shared" si="654"/>
        <v>1789.0699999999999</v>
      </c>
      <c r="R108" s="308" t="str">
        <f t="shared" si="655"/>
        <v xml:space="preserve">EXECUÇÃO DE PAVIMENTO COM APLICAÇÃO DE CONCRETO ASFÁLTICO, CAMADA DE ROLAMENTO - EXCLUSIVE CARGA E TRANSPORTE. AF_10/2025</v>
      </c>
      <c r="S108" s="270" t="str">
        <f t="shared" si="656"/>
        <v>M3</v>
      </c>
    </row>
    <row r="109" s="212" customFormat="1" ht="78.75" customHeight="1">
      <c r="A109" s="318" t="s">
        <v>20398</v>
      </c>
      <c r="B109" s="342" t="s">
        <v>20574</v>
      </c>
      <c r="C109" s="343" t="s">
        <v>20481</v>
      </c>
      <c r="D109" s="344" t="s">
        <v>20482</v>
      </c>
      <c r="E109" s="356">
        <v>6.2999999999999998</v>
      </c>
      <c r="F109" s="345" t="s">
        <v>20440</v>
      </c>
      <c r="G109" s="376">
        <f>(G108)*E109</f>
        <v>1769.23</v>
      </c>
      <c r="H109" s="323">
        <f>P109</f>
        <v>1.7173489560000001</v>
      </c>
      <c r="I109" s="323">
        <f>ROUND(P109*$M$5,2)</f>
        <v>2.1200000000000001</v>
      </c>
      <c r="J109" s="323">
        <f>ROUND(G109*I109,2)</f>
        <v>3750.77</v>
      </c>
      <c r="K109" s="335"/>
      <c r="L109" s="351"/>
      <c r="M109" s="337"/>
      <c r="N109" s="378"/>
      <c r="O109" s="379"/>
      <c r="P109" s="268">
        <f t="shared" si="653"/>
        <v>1.7173489560000001</v>
      </c>
      <c r="Q109" s="269">
        <f t="shared" si="654"/>
        <v>1.7074672319999999</v>
      </c>
      <c r="R109" s="308" t="str">
        <f t="shared" si="655"/>
        <v xml:space="preserve">TRANSPORTE COMERCIAL DE MASSA ASFÁLTICA COM CAMINHÃO BASCULANTE 10 M³ EM RODOVIA PAVIMENTADA (REF SINAPI, CÓD 95303).</v>
      </c>
      <c r="S109" s="270" t="str">
        <f t="shared" si="656"/>
        <v>M³XKM</v>
      </c>
    </row>
    <row r="110" s="212" customFormat="1" ht="58.5" customHeight="1">
      <c r="A110" s="318" t="s">
        <v>17167</v>
      </c>
      <c r="B110" s="342" t="s">
        <v>20575</v>
      </c>
      <c r="C110" s="343">
        <v>95878</v>
      </c>
      <c r="D110" s="344" t="s">
        <v>20484</v>
      </c>
      <c r="E110" s="356">
        <v>12</v>
      </c>
      <c r="F110" s="345" t="s">
        <v>20467</v>
      </c>
      <c r="G110" s="376">
        <f>(G108*2.5548)*E110</f>
        <v>8609.5699999999997</v>
      </c>
      <c r="H110" s="323">
        <f>P110</f>
        <v>1.8400000000000001</v>
      </c>
      <c r="I110" s="323">
        <f>ROUND(P110*$M$5,2)</f>
        <v>2.2800000000000002</v>
      </c>
      <c r="J110" s="323">
        <f>ROUND(G110*I110,2)</f>
        <v>19629.82</v>
      </c>
      <c r="K110" s="335"/>
      <c r="L110" s="351"/>
      <c r="M110" s="337"/>
      <c r="N110" s="378"/>
      <c r="O110" s="379"/>
      <c r="P110" s="268">
        <f t="shared" si="653"/>
        <v>1.8400000000000001</v>
      </c>
      <c r="Q110" s="269">
        <f t="shared" si="654"/>
        <v>1.8200000000000001</v>
      </c>
      <c r="R110" s="308" t="str">
        <f t="shared" si="655"/>
        <v xml:space="preserve">TRANSPORTE COM CAMINHÃO BASCULANTE DE 10 M³, EM VIA URBANA PAVIMENTADA, DMT ATÉ 30 KM (UNIDADE: TXKM). AF_02/2026</v>
      </c>
      <c r="S110" s="270" t="str">
        <f t="shared" si="656"/>
        <v>TXKM</v>
      </c>
    </row>
    <row r="111" s="212" customFormat="1" ht="91.5" customHeight="1">
      <c r="A111" s="318" t="s">
        <v>20398</v>
      </c>
      <c r="B111" s="342" t="s">
        <v>20576</v>
      </c>
      <c r="C111" s="343" t="s">
        <v>20577</v>
      </c>
      <c r="D111" s="344" t="s">
        <v>20578</v>
      </c>
      <c r="E111" s="343"/>
      <c r="F111" s="345" t="s">
        <v>15344</v>
      </c>
      <c r="G111" s="357">
        <f>1665.02+145.31</f>
        <v>1810.3299999999999</v>
      </c>
      <c r="H111" s="323">
        <f>P111</f>
        <v>49.420000000000002</v>
      </c>
      <c r="I111" s="323">
        <f>ROUND(P111*$M$5,2)</f>
        <v>61.149999999999999</v>
      </c>
      <c r="J111" s="323">
        <f>ROUND(G111*I111,2)</f>
        <v>110701.68000000001</v>
      </c>
      <c r="K111" s="335"/>
      <c r="L111" s="351"/>
      <c r="M111" s="337"/>
      <c r="N111" s="378"/>
      <c r="O111" s="379"/>
      <c r="P111" s="268">
        <f t="shared" si="653"/>
        <v>49.420000000000002</v>
      </c>
      <c r="Q111" s="269">
        <f t="shared" si="654"/>
        <v>48.720744249999996</v>
      </c>
      <c r="R111" s="308" t="str">
        <f t="shared" si="655"/>
        <v xml:space="preserve">MEIO-FIO COM SARJETA, CONCRETO FCK=20 MPA, SEÇÃO 615 CM², MOLDADO NO LOCAL, INCLUSIVE ESCAVAÇÃO E PINTURA A CAL EM UMA DEMÃO.</v>
      </c>
      <c r="S111" s="270" t="str">
        <f t="shared" si="656"/>
        <v>M</v>
      </c>
    </row>
    <row r="112" s="212" customFormat="1" ht="72" customHeight="1">
      <c r="A112" s="318" t="s">
        <v>20398</v>
      </c>
      <c r="B112" s="342" t="s">
        <v>20579</v>
      </c>
      <c r="C112" s="342" t="s">
        <v>20457</v>
      </c>
      <c r="D112" s="344" t="s">
        <v>20458</v>
      </c>
      <c r="E112" s="356">
        <v>6.2999999999999998</v>
      </c>
      <c r="F112" s="345" t="s">
        <v>20440</v>
      </c>
      <c r="G112" s="355">
        <f>0.5872*((G111*0.0615))*E112*1.1</f>
        <v>453.06</v>
      </c>
      <c r="H112" s="323">
        <f>P112</f>
        <v>1.3436488080000002</v>
      </c>
      <c r="I112" s="323">
        <f>ROUND(P112*$M$5,2)</f>
        <v>1.6600000000000001</v>
      </c>
      <c r="J112" s="323">
        <f>ROUND(G112*I112,2)</f>
        <v>752.08000000000004</v>
      </c>
      <c r="K112" s="335"/>
      <c r="L112" s="351"/>
      <c r="M112" s="337"/>
      <c r="N112" s="378"/>
      <c r="O112" s="379"/>
      <c r="P112" s="268">
        <f t="shared" si="653"/>
        <v>1.3436488080000002</v>
      </c>
      <c r="Q112" s="269">
        <f t="shared" si="654"/>
        <v>1.335917376</v>
      </c>
      <c r="R112" s="308" t="str">
        <f t="shared" si="655"/>
        <v xml:space="preserve">TRANSPORTE COMERCIAL DE BRITA EM RODOVIA PAVIMENTADA (REF SINAPI, CÓD 83356).</v>
      </c>
      <c r="S112" s="270" t="str">
        <f t="shared" si="656"/>
        <v>M³XKM</v>
      </c>
    </row>
    <row r="113" s="212" customFormat="1" ht="60" customHeight="1">
      <c r="A113" s="318" t="s">
        <v>17167</v>
      </c>
      <c r="B113" s="342" t="s">
        <v>20580</v>
      </c>
      <c r="C113" s="343">
        <v>95875</v>
      </c>
      <c r="D113" s="347" t="s">
        <v>20439</v>
      </c>
      <c r="E113" s="356">
        <v>12</v>
      </c>
      <c r="F113" s="348" t="s">
        <v>20440</v>
      </c>
      <c r="G113" s="355">
        <f>0.5872*((G111*0.0615))*E113*1.1</f>
        <v>862.96000000000004</v>
      </c>
      <c r="H113" s="323">
        <f>P113</f>
        <v>2.7599999999999998</v>
      </c>
      <c r="I113" s="323">
        <f>ROUND(P113*$M$5,2)</f>
        <v>3.4100000000000001</v>
      </c>
      <c r="J113" s="323">
        <f>ROUND(G113*I113,2)</f>
        <v>2942.6900000000001</v>
      </c>
      <c r="K113" s="335"/>
      <c r="L113" s="351"/>
      <c r="M113" s="337"/>
      <c r="N113" s="378"/>
      <c r="O113" s="379"/>
      <c r="P113" s="268">
        <f t="shared" si="653"/>
        <v>2.7599999999999998</v>
      </c>
      <c r="Q113" s="269">
        <f t="shared" si="654"/>
        <v>2.73</v>
      </c>
      <c r="R113" s="308" t="str">
        <f t="shared" si="655"/>
        <v xml:space="preserve">TRANSPORTE COM CAMINHÃO BASCULANTE DE 10 M³, EM VIA URBANA PAVIMENTADA, DMT ATÉ 30 KM (UNIDADE: M3XKM). AF_02/2026</v>
      </c>
      <c r="S113" s="270" t="str">
        <f t="shared" si="656"/>
        <v>M3XKM</v>
      </c>
    </row>
    <row r="114" s="212" customFormat="1" ht="91.5" customHeight="1">
      <c r="A114" s="318" t="s">
        <v>17167</v>
      </c>
      <c r="B114" s="342" t="s">
        <v>20581</v>
      </c>
      <c r="C114" s="343">
        <v>94990</v>
      </c>
      <c r="D114" s="347" t="s">
        <v>20582</v>
      </c>
      <c r="E114" s="343"/>
      <c r="F114" s="348" t="s">
        <v>15418</v>
      </c>
      <c r="G114" s="355">
        <v>46.609999999999999</v>
      </c>
      <c r="H114" s="323">
        <f>P114</f>
        <v>779.29999999999995</v>
      </c>
      <c r="I114" s="323">
        <f>ROUND(P114*$M$5,2)</f>
        <v>964.23000000000002</v>
      </c>
      <c r="J114" s="323">
        <f>ROUND(G114*I114,2)</f>
        <v>44942.760000000002</v>
      </c>
      <c r="K114" s="335"/>
      <c r="L114" s="351"/>
      <c r="M114" s="337"/>
      <c r="N114" s="378"/>
      <c r="O114" s="379"/>
      <c r="P114" s="268">
        <f t="shared" si="653"/>
        <v>779.29999999999995</v>
      </c>
      <c r="Q114" s="269">
        <f t="shared" si="654"/>
        <v>763.62</v>
      </c>
      <c r="R114" s="308" t="str">
        <f t="shared" si="655"/>
        <v xml:space="preserve">EXECUÇÃO DE PASSEIO (CALÇADA) OU PISO DE CONCRETO COM CONCRETO MOLDADO IN LOCO, FEITO EM OBRA, ACABAMENTO CONVENCIONAL, NÃO ARMADO. AF_08/2022</v>
      </c>
      <c r="S114" s="270" t="str">
        <f t="shared" si="656"/>
        <v>M3</v>
      </c>
    </row>
    <row r="115" s="212" customFormat="1" ht="70.5" customHeight="1">
      <c r="A115" s="318" t="s">
        <v>20398</v>
      </c>
      <c r="B115" s="342" t="s">
        <v>20583</v>
      </c>
      <c r="C115" s="342" t="s">
        <v>20457</v>
      </c>
      <c r="D115" s="344" t="s">
        <v>20458</v>
      </c>
      <c r="E115" s="356">
        <v>6.2999999999999998</v>
      </c>
      <c r="F115" s="345" t="s">
        <v>20440</v>
      </c>
      <c r="G115" s="355">
        <f>0.5872*G114*E115*1.1</f>
        <v>189.66999999999999</v>
      </c>
      <c r="H115" s="323">
        <f>P115</f>
        <v>1.3436488080000002</v>
      </c>
      <c r="I115" s="323">
        <f>ROUND(P115*$M$5,2)</f>
        <v>1.6600000000000001</v>
      </c>
      <c r="J115" s="323">
        <f>ROUND(G115*I115,2)</f>
        <v>314.85000000000002</v>
      </c>
      <c r="K115" s="335"/>
      <c r="L115" s="351"/>
      <c r="M115" s="337"/>
      <c r="N115" s="378"/>
      <c r="O115" s="379"/>
      <c r="P115" s="268">
        <f t="shared" si="653"/>
        <v>1.3436488080000002</v>
      </c>
      <c r="Q115" s="269">
        <f t="shared" si="654"/>
        <v>1.335917376</v>
      </c>
      <c r="R115" s="308" t="str">
        <f t="shared" si="655"/>
        <v xml:space="preserve">TRANSPORTE COMERCIAL DE BRITA EM RODOVIA PAVIMENTADA (REF SINAPI, CÓD 83356).</v>
      </c>
      <c r="S115" s="270" t="str">
        <f t="shared" si="656"/>
        <v>M³XKM</v>
      </c>
    </row>
    <row r="116" s="212" customFormat="1" ht="63" customHeight="1">
      <c r="A116" s="318" t="s">
        <v>17167</v>
      </c>
      <c r="B116" s="342" t="s">
        <v>20584</v>
      </c>
      <c r="C116" s="343">
        <v>95875</v>
      </c>
      <c r="D116" s="347" t="s">
        <v>20439</v>
      </c>
      <c r="E116" s="356">
        <v>12</v>
      </c>
      <c r="F116" s="348" t="s">
        <v>20440</v>
      </c>
      <c r="G116" s="355">
        <f>0.5872*G114*E116*1.1</f>
        <v>361.27999999999997</v>
      </c>
      <c r="H116" s="323">
        <f>P116</f>
        <v>2.7599999999999998</v>
      </c>
      <c r="I116" s="323">
        <f>ROUND(P116*$M$5,2)</f>
        <v>3.4100000000000001</v>
      </c>
      <c r="J116" s="323">
        <f>ROUND(G116*I116,2)</f>
        <v>1231.96</v>
      </c>
      <c r="K116" s="335"/>
      <c r="L116" s="351"/>
      <c r="M116" s="337"/>
      <c r="N116" s="378"/>
      <c r="O116" s="379"/>
      <c r="P116" s="268">
        <f t="shared" si="653"/>
        <v>2.7599999999999998</v>
      </c>
      <c r="Q116" s="269">
        <f t="shared" si="654"/>
        <v>2.73</v>
      </c>
      <c r="R116" s="308" t="str">
        <f t="shared" si="655"/>
        <v xml:space="preserve">TRANSPORTE COM CAMINHÃO BASCULANTE DE 10 M³, EM VIA URBANA PAVIMENTADA, DMT ATÉ 30 KM (UNIDADE: M3XKM). AF_02/2026</v>
      </c>
      <c r="S116" s="270" t="str">
        <f t="shared" si="656"/>
        <v>M3XKM</v>
      </c>
    </row>
    <row r="117" s="212" customFormat="1" ht="14.25">
      <c r="A117" s="318"/>
      <c r="B117" s="342"/>
      <c r="C117" s="343"/>
      <c r="D117" s="338" t="s">
        <v>20585</v>
      </c>
      <c r="E117" s="356"/>
      <c r="F117" s="345"/>
      <c r="G117" s="323"/>
      <c r="H117" s="323"/>
      <c r="I117" s="339"/>
      <c r="J117" s="350" t="e">
        <f>SUM(J89:J116)</f>
        <v>#VALUE!</v>
      </c>
      <c r="K117" s="335"/>
      <c r="L117" s="351"/>
      <c r="M117" s="337" t="e">
        <f>J117/$J$154</f>
        <v>#VALUE!</v>
      </c>
      <c r="N117" s="337"/>
      <c r="O117" s="337"/>
      <c r="P117" s="268"/>
      <c r="Q117" s="269" t="str">
        <f t="shared" ref="Q117:Q152" si="658">IFERROR(IF(A117="SINAPI",VLOOKUP(C117,SINCOMOD,6,FALSE),IF(A117="INSINAPI",VLOOKUP(C117,INSINOD,6,FALSE),IF(A117="SICRO",VLOOKUP(C117,SICRO,5,FALSE),IF(A117="COTACAO",VLOOKUP(C117,COTACAO,6,FALSE),IF(A117="PRÓPRIO",VLOOKUP(C117,COMPOD1,8,FALSE),IF(A117="AGESUL",VLOOKUP(C117,AGESULOD,11,FALSE),IF(A117="INSAGESUL",VLOOKUP(C117,INSAGESUL,8,FALSE),"SEM VALOR"))))))),"SEM VALOR")</f>
        <v xml:space="preserve">SEM VALOR</v>
      </c>
      <c r="R117" s="308" t="str">
        <f t="shared" ref="R117:R133" si="659">IFERROR(IF(A117="SINAPI",VLOOKUP(C117,SINCOMOD,2,FALSE),IF(A117="INSINAPI",VLOOKUP(C117,INSINOD,2,FALSE),IF(A117="SICRO",VLOOKUP(C117,SICRO,2,FALSE),IF(A117="COTACAO",VLOOKUP(C117,COTACAO,3,FALSE),IF(A117="PRÓPRIO",VLOOKUP(C117,COMPOD1,2,FALSE),IF(A117="AGESUL",VLOOKUP(C117,AGESULOD,2,FALSE),IF(A117="INSAGESUL",VLOOKUP(C117,INSAGESUL,3,FALSE),""))))))),"")</f>
        <v/>
      </c>
      <c r="S117" s="270" t="str">
        <f t="shared" ref="S117:S133" si="660">IFERROR(IF(A117="SINAPI",VLOOKUP(C117,SINCOMOD,3,FALSE),IF(A117="INSINAPI",VLOOKUP(C117,INSINOD,3,FALSE),IF(A117="SICRO",VLOOKUP(C117,SICRO,3,FALSE),IF(A117="COTACAO",VLOOKUP(C117,COTACAO,4,FALSE),IF(A117="PRÓPRIO",VLOOKUP(C117,COMPOD1,3,FALSE),IF(A117="AGESUL",VLOOKUP(C117,AGESULOD,3,FALSE),IF(A117="INSAGESUL",VLOOKUP(C117,INSAGESUL,4,FALSE),""))))))),"")</f>
        <v/>
      </c>
    </row>
    <row r="118" s="212" customFormat="1" ht="27" customHeight="1">
      <c r="A118" s="318"/>
      <c r="B118" s="384" t="s">
        <v>20586</v>
      </c>
      <c r="C118" s="385"/>
      <c r="D118" s="352" t="s">
        <v>20587</v>
      </c>
      <c r="E118" s="332"/>
      <c r="F118" s="386"/>
      <c r="G118" s="323"/>
      <c r="H118" s="323"/>
      <c r="I118" s="339"/>
      <c r="J118" s="350"/>
      <c r="K118" s="335"/>
      <c r="L118" s="351"/>
      <c r="M118" s="337"/>
      <c r="N118" s="337"/>
      <c r="O118" s="337"/>
      <c r="P118" s="268"/>
      <c r="Q118" s="269" t="str">
        <f t="shared" si="658"/>
        <v xml:space="preserve">SEM VALOR</v>
      </c>
      <c r="R118" s="308" t="str">
        <f t="shared" si="659"/>
        <v/>
      </c>
      <c r="S118" s="270" t="str">
        <f t="shared" si="660"/>
        <v/>
      </c>
    </row>
    <row r="119" s="212" customFormat="1" ht="25.5" customHeight="1">
      <c r="A119" s="318"/>
      <c r="B119" s="384"/>
      <c r="C119" s="385"/>
      <c r="D119" s="352" t="s">
        <v>20496</v>
      </c>
      <c r="E119" s="332"/>
      <c r="F119" s="386"/>
      <c r="G119" s="323"/>
      <c r="H119" s="323"/>
      <c r="I119" s="339"/>
      <c r="J119" s="350"/>
      <c r="K119" s="335"/>
      <c r="L119" s="351"/>
      <c r="M119" s="337"/>
      <c r="N119" s="337"/>
      <c r="O119" s="337"/>
      <c r="P119" s="268"/>
      <c r="Q119" s="269" t="str">
        <f t="shared" si="658"/>
        <v xml:space="preserve">SEM VALOR</v>
      </c>
      <c r="R119" s="308" t="str">
        <f t="shared" si="659"/>
        <v/>
      </c>
      <c r="S119" s="270" t="str">
        <f t="shared" si="660"/>
        <v/>
      </c>
    </row>
    <row r="120" s="212" customFormat="1" ht="84.75" customHeight="1">
      <c r="A120" s="318" t="s">
        <v>20398</v>
      </c>
      <c r="B120" s="342" t="s">
        <v>20588</v>
      </c>
      <c r="C120" s="387" t="s">
        <v>20589</v>
      </c>
      <c r="D120" s="344" t="s">
        <v>20590</v>
      </c>
      <c r="E120" s="332"/>
      <c r="F120" s="348" t="s">
        <v>15344</v>
      </c>
      <c r="G120" s="363">
        <v>275.47000000000003</v>
      </c>
      <c r="H120" s="323">
        <f>P120</f>
        <v>15.35</v>
      </c>
      <c r="I120" s="323">
        <f>ROUND(P120*$M$5,2)</f>
        <v>18.990000000000002</v>
      </c>
      <c r="J120" s="323">
        <f>ROUND(G120*I120,2)</f>
        <v>5231.1800000000003</v>
      </c>
      <c r="K120" s="335"/>
      <c r="L120" s="351"/>
      <c r="M120" s="337"/>
      <c r="N120" s="337"/>
      <c r="O120" s="337"/>
      <c r="P120" s="268">
        <f t="shared" ref="P120:P152" si="661">IFERROR(IF(A120="SINAPI",VLOOKUP(C120,SINCOMOD,4,FALSE),IF(A120="INSINAPI",VLOOKUP(C120,INSINOD,5,FALSE),IF(A120="SICRO",VLOOKUP(C120,SICRO,5,FALSE),IF(A120="COTACAO",VLOOKUP(C120,COTACAO,6,FALSE),IF(A120="PRÓPRIO",VLOOKUP(C120,COMPOD1,6,FALSE),IF(A120="AGESUL",VLOOKUP(C120,AGESULOD,6,FALSE),IF(A120="INSAGESUL",VLOOKUP(C120,INSAGESUL,7,FALSE),"SEM VALOR"))))))),"SEM VALOR")</f>
        <v>15.35</v>
      </c>
      <c r="Q120" s="269">
        <f t="shared" si="658"/>
        <v>15.317222955</v>
      </c>
      <c r="R120" s="308" t="str">
        <f t="shared" si="659"/>
        <v xml:space="preserve">FORNECIMENTO E INSTALAÇÃO DE MANTA BIDIM RT-14, INCLUINDO 2 CAMADAS DE LIGANTE RR-2C E COMPACTAÇÃO </v>
      </c>
      <c r="S120" s="270" t="str">
        <f t="shared" si="660"/>
        <v>M²</v>
      </c>
    </row>
    <row r="121" s="212" customFormat="1" ht="70.5" customHeight="1">
      <c r="A121" s="318" t="s">
        <v>20398</v>
      </c>
      <c r="B121" s="342" t="s">
        <v>20591</v>
      </c>
      <c r="C121" s="343" t="s">
        <v>20592</v>
      </c>
      <c r="D121" s="344" t="s">
        <v>20593</v>
      </c>
      <c r="E121" s="343"/>
      <c r="F121" s="345" t="s">
        <v>15418</v>
      </c>
      <c r="G121" s="355">
        <f>1668.57+854.09</f>
        <v>2522.6599999999999</v>
      </c>
      <c r="H121" s="323">
        <f>P121</f>
        <v>73.579999999999984</v>
      </c>
      <c r="I121" s="323">
        <f>ROUND(P121*$M$5,2)</f>
        <v>91.040000000000006</v>
      </c>
      <c r="J121" s="323">
        <f>ROUND(G121*I121,2)</f>
        <v>229662.97</v>
      </c>
      <c r="K121" s="335"/>
      <c r="L121" s="351"/>
      <c r="M121" s="337"/>
      <c r="N121" s="337"/>
      <c r="O121" s="337"/>
      <c r="P121" s="268">
        <f t="shared" si="661"/>
        <v>73.579999999999984</v>
      </c>
      <c r="Q121" s="269">
        <f t="shared" si="658"/>
        <v>0</v>
      </c>
      <c r="R121" s="308" t="str">
        <f t="shared" si="659"/>
        <v xml:space="preserve">RECICLAGEM COM ADIÇÃO DE 2% DE CIMENTO E INCORPORAÇÃO DO REVESTIMENTO ASFÁLTICO À BASE (REF SICRO, CÓD 4011482). </v>
      </c>
      <c r="S121" s="270" t="str">
        <f t="shared" si="660"/>
        <v>M³</v>
      </c>
    </row>
    <row r="122" s="212" customFormat="1" ht="56.25" customHeight="1">
      <c r="A122" s="318" t="s">
        <v>20408</v>
      </c>
      <c r="B122" s="342" t="s">
        <v>20594</v>
      </c>
      <c r="C122" s="343">
        <v>4720</v>
      </c>
      <c r="D122" s="344" t="s">
        <v>20595</v>
      </c>
      <c r="E122" s="343"/>
      <c r="F122" s="345" t="s">
        <v>15418</v>
      </c>
      <c r="G122" s="355">
        <f>0.2*(0.3*G121+G126)</f>
        <v>266.98000000000002</v>
      </c>
      <c r="H122" s="323">
        <f>P122</f>
        <v>116.02</v>
      </c>
      <c r="I122" s="323">
        <f>ROUND(P122*$M$5,2)</f>
        <v>143.55000000000001</v>
      </c>
      <c r="J122" s="323">
        <f>ROUND(G122*I122,2)</f>
        <v>38324.980000000003</v>
      </c>
      <c r="K122" s="335"/>
      <c r="L122" s="351"/>
      <c r="M122" s="337"/>
      <c r="N122" s="337"/>
      <c r="O122" s="337"/>
      <c r="P122" s="268">
        <f t="shared" si="661"/>
        <v>116.02</v>
      </c>
      <c r="Q122" s="269">
        <f t="shared" si="658"/>
        <v>116.02</v>
      </c>
      <c r="R122" s="308" t="str">
        <f t="shared" si="659"/>
        <v xml:space="preserve">PEDRA BRITADA N. 0, OU PEDRISCO (4,8 A 9,5 MM) POSTO PEDREIRA/FORNECEDOR, SEM FRETE</v>
      </c>
      <c r="S122" s="270" t="str">
        <f t="shared" si="660"/>
        <v>M3</v>
      </c>
    </row>
    <row r="123" s="212" customFormat="1" ht="69" customHeight="1">
      <c r="A123" s="318" t="s">
        <v>20453</v>
      </c>
      <c r="B123" s="342" t="s">
        <v>20596</v>
      </c>
      <c r="C123" s="319" t="s">
        <v>20251</v>
      </c>
      <c r="D123" s="358" t="s">
        <v>20455</v>
      </c>
      <c r="E123" s="343"/>
      <c r="F123" s="345" t="s">
        <v>15418</v>
      </c>
      <c r="G123" s="355">
        <f>(3753.96-3678.84)*1.375</f>
        <v>103.29000000000001</v>
      </c>
      <c r="H123" s="323">
        <f>P123</f>
        <v>75</v>
      </c>
      <c r="I123" s="323">
        <f>ROUND(P123*$M$5,2)</f>
        <v>92.799999999999997</v>
      </c>
      <c r="J123" s="323">
        <f>ROUND(G123*I123,2)</f>
        <v>9585.3099999999995</v>
      </c>
      <c r="K123" s="335"/>
      <c r="L123" s="351"/>
      <c r="M123" s="337"/>
      <c r="N123" s="337"/>
      <c r="O123" s="337"/>
      <c r="P123" s="268">
        <f t="shared" si="661"/>
        <v>75</v>
      </c>
      <c r="Q123" s="269">
        <f t="shared" si="658"/>
        <v>75</v>
      </c>
      <c r="R123" s="308" t="str">
        <f t="shared" si="659"/>
        <v xml:space="preserve">BICA CORRIDA</v>
      </c>
      <c r="S123" s="270" t="str">
        <f t="shared" si="660"/>
        <v>M³</v>
      </c>
    </row>
    <row r="124" s="212" customFormat="1" ht="63.75" customHeight="1">
      <c r="A124" s="318" t="s">
        <v>20398</v>
      </c>
      <c r="B124" s="342" t="s">
        <v>20597</v>
      </c>
      <c r="C124" s="342" t="s">
        <v>20457</v>
      </c>
      <c r="D124" s="344" t="s">
        <v>20458</v>
      </c>
      <c r="E124" s="356">
        <v>6.2999999999999998</v>
      </c>
      <c r="F124" s="345" t="s">
        <v>20440</v>
      </c>
      <c r="G124" s="355">
        <f>(G122*E124*1.1)+(G123*E124)</f>
        <v>2500.9000000000001</v>
      </c>
      <c r="H124" s="323">
        <f>P124</f>
        <v>1.3436488080000002</v>
      </c>
      <c r="I124" s="323">
        <f>ROUND(P124*$M$5,2)</f>
        <v>1.6600000000000001</v>
      </c>
      <c r="J124" s="323">
        <f>ROUND(G124*I124,2)</f>
        <v>4151.4899999999998</v>
      </c>
      <c r="K124" s="335"/>
      <c r="L124" s="351"/>
      <c r="M124" s="337"/>
      <c r="N124" s="337"/>
      <c r="O124" s="337"/>
      <c r="P124" s="268">
        <f t="shared" si="661"/>
        <v>1.3436488080000002</v>
      </c>
      <c r="Q124" s="269">
        <f t="shared" si="658"/>
        <v>1.335917376</v>
      </c>
      <c r="R124" s="308" t="str">
        <f t="shared" si="659"/>
        <v xml:space="preserve">TRANSPORTE COMERCIAL DE BRITA EM RODOVIA PAVIMENTADA (REF SINAPI, CÓD 83356).</v>
      </c>
      <c r="S124" s="270" t="str">
        <f t="shared" si="660"/>
        <v>M³XKM</v>
      </c>
    </row>
    <row r="125" s="212" customFormat="1" ht="60" customHeight="1">
      <c r="A125" s="318" t="s">
        <v>17167</v>
      </c>
      <c r="B125" s="342" t="s">
        <v>20598</v>
      </c>
      <c r="C125" s="343">
        <v>95875</v>
      </c>
      <c r="D125" s="347" t="s">
        <v>20439</v>
      </c>
      <c r="E125" s="356">
        <v>12</v>
      </c>
      <c r="F125" s="348" t="s">
        <v>20440</v>
      </c>
      <c r="G125" s="355">
        <f>(G122*E125*1.1)+(G123*E125)</f>
        <v>4763.6199999999999</v>
      </c>
      <c r="H125" s="323">
        <f>P125</f>
        <v>2.7599999999999998</v>
      </c>
      <c r="I125" s="323">
        <f>ROUND(P125*$M$5,2)</f>
        <v>3.4100000000000001</v>
      </c>
      <c r="J125" s="323">
        <f>ROUND(G125*I125,2)</f>
        <v>16243.940000000001</v>
      </c>
      <c r="K125" s="335"/>
      <c r="L125" s="351"/>
      <c r="M125" s="337"/>
      <c r="N125" s="337"/>
      <c r="O125" s="337"/>
      <c r="P125" s="268">
        <f t="shared" si="661"/>
        <v>2.7599999999999998</v>
      </c>
      <c r="Q125" s="269">
        <f t="shared" si="658"/>
        <v>2.73</v>
      </c>
      <c r="R125" s="308" t="str">
        <f t="shared" si="659"/>
        <v xml:space="preserve">TRANSPORTE COM CAMINHÃO BASCULANTE DE 10 M³, EM VIA URBANA PAVIMENTADA, DMT ATÉ 30 KM (UNIDADE: M3XKM). AF_02/2026</v>
      </c>
      <c r="S125" s="270" t="str">
        <f t="shared" si="660"/>
        <v>M3XKM</v>
      </c>
    </row>
    <row r="126" s="212" customFormat="1" ht="67.5" customHeight="1">
      <c r="A126" s="318" t="s">
        <v>20398</v>
      </c>
      <c r="B126" s="342" t="s">
        <v>20599</v>
      </c>
      <c r="C126" s="343" t="s">
        <v>20600</v>
      </c>
      <c r="D126" s="347" t="s">
        <v>20601</v>
      </c>
      <c r="E126" s="356"/>
      <c r="F126" s="345" t="s">
        <v>15418</v>
      </c>
      <c r="G126" s="355">
        <f t="shared" ref="G126:G127" si="662">1156.18*0.5</f>
        <v>578.09000000000003</v>
      </c>
      <c r="H126" s="323">
        <f>P126</f>
        <v>38.990000000000002</v>
      </c>
      <c r="I126" s="323">
        <f>ROUND(P126*$M$5,2)</f>
        <v>48.240000000000002</v>
      </c>
      <c r="J126" s="323">
        <f>ROUND(G126*I126,2)</f>
        <v>27887.060000000001</v>
      </c>
      <c r="K126" s="335"/>
      <c r="L126" s="351"/>
      <c r="M126" s="337"/>
      <c r="N126" s="337"/>
      <c r="O126" s="337"/>
      <c r="P126" s="268">
        <f t="shared" si="661"/>
        <v>38.990000000000002</v>
      </c>
      <c r="Q126" s="269">
        <f t="shared" si="658"/>
        <v>0</v>
      </c>
      <c r="R126" s="308" t="str">
        <f t="shared" si="659"/>
        <v xml:space="preserve">RECICLAGEM COM ADIÇÃO DE AGREGADO (BRITA 0 / PEDRISCO) E INCORPORAÇÃO DO REVESTIMENTO ASFÁLTICO À BASE.</v>
      </c>
      <c r="S126" s="270" t="str">
        <f t="shared" si="660"/>
        <v>M³</v>
      </c>
    </row>
    <row r="127" s="212" customFormat="1" ht="74.25" customHeight="1">
      <c r="A127" s="318" t="s">
        <v>20398</v>
      </c>
      <c r="B127" s="342" t="s">
        <v>20602</v>
      </c>
      <c r="C127" s="343" t="s">
        <v>20544</v>
      </c>
      <c r="D127" s="344" t="s">
        <v>20603</v>
      </c>
      <c r="E127" s="356"/>
      <c r="F127" s="345" t="s">
        <v>15418</v>
      </c>
      <c r="G127" s="355">
        <f t="shared" si="662"/>
        <v>578.09000000000003</v>
      </c>
      <c r="H127" s="323">
        <f>P127</f>
        <v>35.600000000000001</v>
      </c>
      <c r="I127" s="323">
        <f>ROUND(P127*$M$5,2)</f>
        <v>44.050000000000004</v>
      </c>
      <c r="J127" s="323">
        <f>ROUND(G127*I127,2)</f>
        <v>25464.860000000001</v>
      </c>
      <c r="K127" s="335"/>
      <c r="L127" s="351"/>
      <c r="M127" s="337"/>
      <c r="N127" s="337"/>
      <c r="O127" s="337"/>
      <c r="P127" s="268">
        <f t="shared" si="661"/>
        <v>35.600000000000001</v>
      </c>
      <c r="Q127" s="269">
        <f t="shared" si="658"/>
        <v>0</v>
      </c>
      <c r="R127" s="308" t="str">
        <f t="shared" si="659"/>
        <v xml:space="preserve">RECICLAGEM SIMPLES COM INCORPORAÇÃO DO REVESTIMENTO ASFÁLTICO À BASE (REF SICRO, CÓD 4011481). </v>
      </c>
      <c r="S127" s="270" t="str">
        <f t="shared" si="660"/>
        <v>M³</v>
      </c>
    </row>
    <row r="128" s="212" customFormat="1" ht="83.25" customHeight="1">
      <c r="A128" s="318" t="s">
        <v>20398</v>
      </c>
      <c r="B128" s="342" t="s">
        <v>20604</v>
      </c>
      <c r="C128" s="343" t="s">
        <v>20569</v>
      </c>
      <c r="D128" s="344" t="s">
        <v>20605</v>
      </c>
      <c r="E128" s="361"/>
      <c r="F128" s="345" t="s">
        <v>15383</v>
      </c>
      <c r="G128" s="376">
        <v>23100.849999999999</v>
      </c>
      <c r="H128" s="323" t="str">
        <f>P128</f>
        <v xml:space="preserve">SEM VALOR</v>
      </c>
      <c r="I128" s="323" t="e">
        <f>ROUND(P128*$M$5,2)</f>
        <v>#VALUE!</v>
      </c>
      <c r="J128" s="323" t="e">
        <f>ROUND(G128*I128,2)</f>
        <v>#VALUE!</v>
      </c>
      <c r="K128" s="335"/>
      <c r="L128" s="351"/>
      <c r="M128" s="337"/>
      <c r="N128" s="337"/>
      <c r="O128" s="337"/>
      <c r="P128" s="268" t="str">
        <f t="shared" si="661"/>
        <v xml:space="preserve">SEM VALOR</v>
      </c>
      <c r="Q128" s="269" t="str">
        <f t="shared" si="658"/>
        <v xml:space="preserve">SEM VALOR</v>
      </c>
      <c r="R128" s="308" t="str">
        <f t="shared" si="659"/>
        <v xml:space="preserve">EXECUÇÃO DE IMPRIMAÇÃO COM EMULSÃO CATIÔNICA ISENTO DE SOLVENTE VOLÁTIL - EAI - EMULSÃO ASFÁLTICA DE IMPRIMAÇÃO (REF SINAPI, CÓD 96401). </v>
      </c>
      <c r="S128" s="270" t="str">
        <f t="shared" si="660"/>
        <v>M²</v>
      </c>
    </row>
    <row r="129" s="212" customFormat="1" ht="88.5" customHeight="1">
      <c r="A129" s="318" t="s">
        <v>17167</v>
      </c>
      <c r="B129" s="342" t="s">
        <v>20606</v>
      </c>
      <c r="C129" s="343">
        <v>102330</v>
      </c>
      <c r="D129" s="344" t="s">
        <v>20534</v>
      </c>
      <c r="E129" s="356">
        <v>30</v>
      </c>
      <c r="F129" s="345" t="s">
        <v>20467</v>
      </c>
      <c r="G129" s="376">
        <f>1.2*G128*E129/1000</f>
        <v>831.63</v>
      </c>
      <c r="H129" s="323">
        <f>P129</f>
        <v>1.5700000000000001</v>
      </c>
      <c r="I129" s="323">
        <f>ROUND(P129*$M$5,2)</f>
        <v>1.9399999999999999</v>
      </c>
      <c r="J129" s="323">
        <f>ROUND(G129*I129,2)</f>
        <v>1613.3600000000001</v>
      </c>
      <c r="K129" s="335"/>
      <c r="L129" s="351"/>
      <c r="M129" s="337"/>
      <c r="N129" s="337"/>
      <c r="O129" s="337"/>
      <c r="P129" s="268">
        <f t="shared" si="661"/>
        <v>1.5700000000000001</v>
      </c>
      <c r="Q129" s="269">
        <f t="shared" si="658"/>
        <v>1.5700000000000001</v>
      </c>
      <c r="R129" s="308" t="str">
        <f t="shared" si="659"/>
        <v xml:space="preserve">TRANSPORTE COM CAMINHÃO TANQUE DE TRANSPORTE DE MATERIAL ASFÁLTICO DE 30000 L, EM VIA URBANA PAVIMENTADA, DMT ATÉ 30KM (UNIDADE: TXKM). AF_02/2026</v>
      </c>
      <c r="S129" s="270" t="str">
        <f t="shared" si="660"/>
        <v>TXKM</v>
      </c>
    </row>
    <row r="130" s="212" customFormat="1" ht="96" customHeight="1">
      <c r="A130" s="318" t="s">
        <v>17167</v>
      </c>
      <c r="B130" s="342" t="s">
        <v>20607</v>
      </c>
      <c r="C130" s="343">
        <v>102331</v>
      </c>
      <c r="D130" s="347" t="s">
        <v>20469</v>
      </c>
      <c r="E130" s="356">
        <v>171</v>
      </c>
      <c r="F130" s="345" t="s">
        <v>20467</v>
      </c>
      <c r="G130" s="376">
        <f>1.2*G128*E130/1000</f>
        <v>4740.29</v>
      </c>
      <c r="H130" s="323">
        <f>P130</f>
        <v>0.58999999999999997</v>
      </c>
      <c r="I130" s="323">
        <f>ROUND(P130*$M$5,2)</f>
        <v>0.72999999999999998</v>
      </c>
      <c r="J130" s="323">
        <f>ROUND(G130*I130,2)</f>
        <v>3460.4099999999999</v>
      </c>
      <c r="K130" s="335"/>
      <c r="L130" s="351"/>
      <c r="M130" s="337"/>
      <c r="N130" s="337"/>
      <c r="O130" s="337"/>
      <c r="P130" s="268">
        <f t="shared" si="661"/>
        <v>0.58999999999999997</v>
      </c>
      <c r="Q130" s="269">
        <f t="shared" si="658"/>
        <v>0.58999999999999997</v>
      </c>
      <c r="R130" s="308" t="str">
        <f t="shared" si="659"/>
        <v xml:space="preserve">TRANSPORTE COM CAMINHÃO TANQUE DE TRANSPORTE DE MATERIAL ASFÁLTICO DE 30000 L, EM VIA URBANA PAVIMENTADA, ADICIONAL PARA DMT EXCEDENTE A 30 KM (UNIDADE: TXKM). AF_02/2026</v>
      </c>
      <c r="S130" s="270" t="str">
        <f t="shared" si="660"/>
        <v>TXKM</v>
      </c>
    </row>
    <row r="131" s="212" customFormat="1" ht="77.25" customHeight="1">
      <c r="A131" s="318" t="s">
        <v>17167</v>
      </c>
      <c r="B131" s="342" t="s">
        <v>20608</v>
      </c>
      <c r="C131" s="343">
        <v>95995</v>
      </c>
      <c r="D131" s="347" t="s">
        <v>20530</v>
      </c>
      <c r="E131" s="343"/>
      <c r="F131" s="345" t="s">
        <v>15418</v>
      </c>
      <c r="G131" s="357">
        <v>776.22000000000003</v>
      </c>
      <c r="H131" s="323">
        <f>P131</f>
        <v>1791.9100000000001</v>
      </c>
      <c r="I131" s="323">
        <f>ROUND(P131*$M$5,2)</f>
        <v>2217.1300000000001</v>
      </c>
      <c r="J131" s="323">
        <f>ROUND(G131*I131,2)</f>
        <v>1720980.6500000001</v>
      </c>
      <c r="K131" s="335"/>
      <c r="L131" s="351"/>
      <c r="M131" s="337"/>
      <c r="N131" s="337"/>
      <c r="O131" s="337"/>
      <c r="P131" s="268">
        <f t="shared" si="661"/>
        <v>1791.9100000000001</v>
      </c>
      <c r="Q131" s="269">
        <f t="shared" si="658"/>
        <v>1789.0699999999999</v>
      </c>
      <c r="R131" s="308" t="str">
        <f t="shared" si="659"/>
        <v xml:space="preserve">EXECUÇÃO DE PAVIMENTO COM APLICAÇÃO DE CONCRETO ASFÁLTICO, CAMADA DE ROLAMENTO - EXCLUSIVE CARGA E TRANSPORTE. AF_10/2025</v>
      </c>
      <c r="S131" s="270" t="str">
        <f t="shared" si="660"/>
        <v>M3</v>
      </c>
    </row>
    <row r="132" s="212" customFormat="1" ht="72.75" customHeight="1">
      <c r="A132" s="318" t="s">
        <v>20398</v>
      </c>
      <c r="B132" s="342" t="s">
        <v>20609</v>
      </c>
      <c r="C132" s="343" t="s">
        <v>20481</v>
      </c>
      <c r="D132" s="344" t="s">
        <v>20482</v>
      </c>
      <c r="E132" s="356">
        <v>6.2999999999999998</v>
      </c>
      <c r="F132" s="345" t="s">
        <v>20440</v>
      </c>
      <c r="G132" s="355">
        <f>G131*E132</f>
        <v>4890.1899999999996</v>
      </c>
      <c r="H132" s="323">
        <f>P132</f>
        <v>1.7173489560000001</v>
      </c>
      <c r="I132" s="323">
        <f>ROUND(P132*$M$5,2)</f>
        <v>2.1200000000000001</v>
      </c>
      <c r="J132" s="323">
        <f>ROUND(G132*I132,2)</f>
        <v>10367.200000000001</v>
      </c>
      <c r="K132" s="335"/>
      <c r="L132" s="351"/>
      <c r="M132" s="337"/>
      <c r="N132" s="337"/>
      <c r="O132" s="337"/>
      <c r="P132" s="268">
        <f t="shared" si="661"/>
        <v>1.7173489560000001</v>
      </c>
      <c r="Q132" s="269">
        <f t="shared" si="658"/>
        <v>1.7074672319999999</v>
      </c>
      <c r="R132" s="308" t="str">
        <f t="shared" si="659"/>
        <v xml:space="preserve">TRANSPORTE COMERCIAL DE MASSA ASFÁLTICA COM CAMINHÃO BASCULANTE 10 M³ EM RODOVIA PAVIMENTADA (REF SINAPI, CÓD 95303).</v>
      </c>
      <c r="S132" s="270" t="str">
        <f t="shared" si="660"/>
        <v>M³XKM</v>
      </c>
    </row>
    <row r="133" s="212" customFormat="1" ht="75.75" customHeight="1">
      <c r="A133" s="318" t="s">
        <v>17167</v>
      </c>
      <c r="B133" s="342" t="s">
        <v>20610</v>
      </c>
      <c r="C133" s="343">
        <v>95878</v>
      </c>
      <c r="D133" s="344" t="s">
        <v>20484</v>
      </c>
      <c r="E133" s="356">
        <v>12</v>
      </c>
      <c r="F133" s="345" t="s">
        <v>20467</v>
      </c>
      <c r="G133" s="355">
        <f>(G131*2.5548)*E133</f>
        <v>23797.040000000001</v>
      </c>
      <c r="H133" s="323">
        <f>P133</f>
        <v>1.8400000000000001</v>
      </c>
      <c r="I133" s="323">
        <f>ROUND(P133*$M$5,2)</f>
        <v>2.2800000000000002</v>
      </c>
      <c r="J133" s="323">
        <f>ROUND(G133*I133,2)</f>
        <v>54257.25</v>
      </c>
      <c r="K133" s="335"/>
      <c r="L133" s="351"/>
      <c r="M133" s="337"/>
      <c r="N133" s="337"/>
      <c r="O133" s="337"/>
      <c r="P133" s="268">
        <f t="shared" si="661"/>
        <v>1.8400000000000001</v>
      </c>
      <c r="Q133" s="269">
        <f t="shared" si="658"/>
        <v>1.8200000000000001</v>
      </c>
      <c r="R133" s="308" t="str">
        <f t="shared" si="659"/>
        <v xml:space="preserve">TRANSPORTE COM CAMINHÃO BASCULANTE DE 10 M³, EM VIA URBANA PAVIMENTADA, DMT ATÉ 30 KM (UNIDADE: TXKM). AF_02/2026</v>
      </c>
      <c r="S133" s="270" t="str">
        <f t="shared" si="660"/>
        <v>TXKM</v>
      </c>
    </row>
    <row r="134" s="212" customFormat="1" ht="16.5">
      <c r="A134" s="318"/>
      <c r="B134" s="388"/>
      <c r="C134" s="309"/>
      <c r="D134" s="338" t="s">
        <v>20611</v>
      </c>
      <c r="E134" s="309"/>
      <c r="F134" s="332"/>
      <c r="G134" s="311"/>
      <c r="H134" s="323"/>
      <c r="I134" s="339"/>
      <c r="J134" s="350" t="e">
        <f>SUM(J120:J133)</f>
        <v>#VALUE!</v>
      </c>
      <c r="K134" s="335"/>
      <c r="L134" s="351"/>
      <c r="M134" s="337" t="e">
        <f>J134/$J$154</f>
        <v>#VALUE!</v>
      </c>
      <c r="N134" s="337"/>
      <c r="O134" s="337"/>
      <c r="P134" s="268"/>
      <c r="Q134" s="269"/>
      <c r="R134" s="308"/>
      <c r="S134" s="270"/>
    </row>
    <row r="135" s="212" customFormat="1" ht="16.5">
      <c r="A135" s="318"/>
      <c r="B135" s="302" t="s">
        <v>20612</v>
      </c>
      <c r="C135" s="389"/>
      <c r="D135" s="390" t="s">
        <v>20613</v>
      </c>
      <c r="E135" s="377"/>
      <c r="F135" s="377"/>
      <c r="G135" s="323"/>
      <c r="H135" s="323"/>
      <c r="I135" s="391"/>
      <c r="J135" s="392"/>
      <c r="K135" s="335"/>
      <c r="L135" s="393"/>
      <c r="M135" s="341"/>
      <c r="N135" s="341"/>
      <c r="O135" s="341"/>
      <c r="P135" s="268"/>
      <c r="Q135" s="269"/>
      <c r="R135" s="308" t="str">
        <f t="shared" si="655"/>
        <v/>
      </c>
      <c r="S135" s="270" t="str">
        <f t="shared" si="656"/>
        <v/>
      </c>
    </row>
    <row r="136" s="212" customFormat="1" ht="85.5" customHeight="1">
      <c r="A136" s="318" t="s">
        <v>17167</v>
      </c>
      <c r="B136" s="349" t="s">
        <v>20614</v>
      </c>
      <c r="C136" s="394">
        <v>102509</v>
      </c>
      <c r="D136" s="395" t="s">
        <v>20615</v>
      </c>
      <c r="E136" s="396"/>
      <c r="F136" s="396" t="s">
        <v>15383</v>
      </c>
      <c r="G136" s="323">
        <f>53.96+70.08+225.48</f>
        <v>349.51999999999998</v>
      </c>
      <c r="H136" s="323">
        <f>P136</f>
        <v>29.800000000000001</v>
      </c>
      <c r="I136" s="323">
        <f>ROUND(P136*$M$5,2)</f>
        <v>36.869999999999997</v>
      </c>
      <c r="J136" s="323">
        <f>ROUND(G136*I136,2)</f>
        <v>12886.800000000001</v>
      </c>
      <c r="K136" s="328">
        <f>Q136*$Q$5</f>
        <v>37.752000000000002</v>
      </c>
      <c r="L136" s="328">
        <f t="shared" ref="L136:L138" si="663">ROUND(K136*G136,2)</f>
        <v>13195.08</v>
      </c>
      <c r="M136" s="341"/>
      <c r="N136" s="341"/>
      <c r="O136" s="341"/>
      <c r="P136" s="268">
        <f t="shared" si="661"/>
        <v>29.800000000000001</v>
      </c>
      <c r="Q136" s="269">
        <f t="shared" si="658"/>
        <v>29.039999999999999</v>
      </c>
      <c r="R136" s="308" t="str">
        <f t="shared" si="655"/>
        <v xml:space="preserve">PINTURA DE FAIXA DE PEDESTRE OU ZEBRADA TINTA RETRORREFLETIVA A BASE DE RESINA ACRÍLICA COM MICROESFERAS DE VIDRO, E = 30 CM, APLICAÇÃO MANUAL. AF_05/2021</v>
      </c>
      <c r="S136" s="270" t="str">
        <f t="shared" si="656"/>
        <v>M2</v>
      </c>
    </row>
    <row r="137" s="212" customFormat="1" ht="94.5" customHeight="1">
      <c r="A137" s="318" t="s">
        <v>17167</v>
      </c>
      <c r="B137" s="349" t="s">
        <v>20616</v>
      </c>
      <c r="C137" s="394">
        <v>102512</v>
      </c>
      <c r="D137" s="395" t="s">
        <v>20617</v>
      </c>
      <c r="E137" s="396"/>
      <c r="F137" s="396" t="s">
        <v>15344</v>
      </c>
      <c r="G137" s="323">
        <f>720+1816+520</f>
        <v>3056</v>
      </c>
      <c r="H137" s="323">
        <f>P137</f>
        <v>6.4000000000000004</v>
      </c>
      <c r="I137" s="323">
        <f>ROUND(P137*$M$5,2)</f>
        <v>7.9199999999999999</v>
      </c>
      <c r="J137" s="323">
        <f>ROUND(G137*I137,2)</f>
        <v>24203.52</v>
      </c>
      <c r="K137" s="328">
        <f>Q137*$Q$5</f>
        <v>8.1509999999999998</v>
      </c>
      <c r="L137" s="328">
        <f t="shared" si="663"/>
        <v>24909.459999999999</v>
      </c>
      <c r="M137" s="341"/>
      <c r="N137" s="341"/>
      <c r="O137" s="341"/>
      <c r="P137" s="268">
        <f t="shared" si="661"/>
        <v>6.4000000000000004</v>
      </c>
      <c r="Q137" s="269">
        <f t="shared" si="658"/>
        <v>6.2699999999999996</v>
      </c>
      <c r="R137" s="308" t="str">
        <f t="shared" si="655"/>
        <v xml:space="preserve">PINTURA DE EIXO VIÁRIO SOBRE ASFALTO COM TINTA RETRORREFLETIVA A BASE DE RESINA ACRÍLICA COM MICROESFERAS DE VIDRO, E = 10 CM, APLICAÇÃO MECÂNICA COM DEMARCADORA AUTOPROPELIDA. AF_05/2021</v>
      </c>
      <c r="S137" s="270" t="str">
        <f t="shared" si="656"/>
        <v>M</v>
      </c>
    </row>
    <row r="138" s="212" customFormat="1" ht="81.75" customHeight="1">
      <c r="A138" s="318" t="s">
        <v>20398</v>
      </c>
      <c r="B138" s="349" t="s">
        <v>20618</v>
      </c>
      <c r="C138" s="394" t="s">
        <v>20619</v>
      </c>
      <c r="D138" s="395" t="s">
        <v>20620</v>
      </c>
      <c r="E138" s="345"/>
      <c r="F138" s="345" t="s">
        <v>15364</v>
      </c>
      <c r="G138" s="323">
        <f>25+1+33</f>
        <v>59</v>
      </c>
      <c r="H138" s="323">
        <f>P138</f>
        <v>480.56</v>
      </c>
      <c r="I138" s="323">
        <f>ROUND(P138*$M$5,2)</f>
        <v>594.60000000000002</v>
      </c>
      <c r="J138" s="323">
        <f>ROUND(G138*I138,2)</f>
        <v>35081.400000000001</v>
      </c>
      <c r="K138" s="328">
        <f>Q138*$Q$5</f>
        <v>622.74126629520003</v>
      </c>
      <c r="L138" s="328">
        <f t="shared" si="663"/>
        <v>36741.730000000003</v>
      </c>
      <c r="M138" s="341"/>
      <c r="N138" s="341"/>
      <c r="O138" s="341"/>
      <c r="P138" s="268">
        <f t="shared" si="661"/>
        <v>480.56</v>
      </c>
      <c r="Q138" s="269">
        <f t="shared" si="658"/>
        <v>479.03174330399997</v>
      </c>
      <c r="R138" s="308" t="str">
        <f t="shared" si="655"/>
        <v xml:space="preserve">FORNECIMENTO E INSTALAÇÃO DE PLACA DE SINALIZAÇÃO VERTICAL COM PINTURA RETRORREFLETIVA (ATÉ 0,36 M²), INCLUINDO SUPORTE METÁLICO GALVANIZADO E 2".</v>
      </c>
      <c r="S138" s="270" t="str">
        <f t="shared" si="656"/>
        <v>UN</v>
      </c>
    </row>
    <row r="139" s="212" customFormat="1" ht="16.5">
      <c r="A139" s="318"/>
      <c r="B139" s="349"/>
      <c r="C139" s="394"/>
      <c r="D139" s="397" t="s">
        <v>20621</v>
      </c>
      <c r="E139" s="332"/>
      <c r="F139" s="386"/>
      <c r="G139" s="323"/>
      <c r="H139" s="323"/>
      <c r="I139" s="333"/>
      <c r="J139" s="350">
        <f>SUM(J136:J138)</f>
        <v>72171.720000000001</v>
      </c>
      <c r="K139" s="335"/>
      <c r="L139" s="398">
        <f>SUM(L136:L138)</f>
        <v>74846.270000000004</v>
      </c>
      <c r="M139" s="337" t="e">
        <f>J139/$J$154</f>
        <v>#VALUE!</v>
      </c>
      <c r="N139" s="337"/>
      <c r="O139" s="337"/>
      <c r="P139" s="268"/>
      <c r="Q139" s="269"/>
      <c r="R139" s="308" t="str">
        <f t="shared" ref="R139:R154" si="664">IFERROR(IF(A139="SINAPI",VLOOKUP(C139,SINCOMOD,2,FALSE),IF(A139="INSINAPI",VLOOKUP(C139,INSINOD,2,FALSE),IF(A139="SICRO",VLOOKUP(C139,SICRO,2,FALSE),IF(A139="COTACAO",VLOOKUP(C139,COTACAO,3,FALSE),IF(A139="PRÓPRIO",VLOOKUP(C139,COMPOD1,2,FALSE),IF(A139="AGESUL",VLOOKUP(C139,AGESULOD,2,FALSE),IF(A139="INSAGESUL",VLOOKUP(C139,INSAGESUL,3,FALSE),""))))))),"")</f>
        <v/>
      </c>
      <c r="S139" s="270" t="str">
        <f t="shared" ref="S139:S154" si="665">IFERROR(IF(A139="SINAPI",VLOOKUP(C139,SINCOMOD,3,FALSE),IF(A139="INSINAPI",VLOOKUP(C139,INSINOD,3,FALSE),IF(A139="SICRO",VLOOKUP(C139,SICRO,3,FALSE),IF(A139="COTACAO",VLOOKUP(C139,COTACAO,4,FALSE),IF(A139="PRÓPRIO",VLOOKUP(C139,COMPOD1,3,FALSE),IF(A139="AGESUL",VLOOKUP(C139,AGESULOD,3,FALSE),IF(A139="INSAGESUL",VLOOKUP(C139,INSAGESUL,4,FALSE),""))))))),"")</f>
        <v/>
      </c>
    </row>
    <row r="140" s="212" customFormat="1" ht="21.75" customHeight="1">
      <c r="A140" s="318"/>
      <c r="B140" s="384" t="s">
        <v>20622</v>
      </c>
      <c r="C140" s="385"/>
      <c r="D140" s="352" t="s">
        <v>20623</v>
      </c>
      <c r="E140" s="332"/>
      <c r="F140" s="386"/>
      <c r="G140" s="323"/>
      <c r="H140" s="323"/>
      <c r="I140" s="333"/>
      <c r="J140" s="350"/>
      <c r="K140" s="353"/>
      <c r="L140" s="399"/>
      <c r="M140" s="341"/>
      <c r="N140" s="341"/>
      <c r="O140" s="341"/>
      <c r="P140" s="268"/>
      <c r="Q140" s="269"/>
      <c r="R140" s="308" t="str">
        <f t="shared" si="664"/>
        <v/>
      </c>
      <c r="S140" s="270" t="str">
        <f t="shared" si="665"/>
        <v/>
      </c>
    </row>
    <row r="141" s="212" customFormat="1" ht="72" customHeight="1">
      <c r="A141" s="318" t="s">
        <v>20398</v>
      </c>
      <c r="B141" s="342" t="s">
        <v>20624</v>
      </c>
      <c r="C141" s="394" t="s">
        <v>20625</v>
      </c>
      <c r="D141" s="395" t="s">
        <v>20626</v>
      </c>
      <c r="E141" s="345"/>
      <c r="F141" s="345" t="s">
        <v>15364</v>
      </c>
      <c r="G141" s="323">
        <v>7</v>
      </c>
      <c r="H141" s="323">
        <f>P141</f>
        <v>347.85000000000002</v>
      </c>
      <c r="I141" s="323">
        <f>ROUND(P141*$M$5,2)</f>
        <v>430.38999999999999</v>
      </c>
      <c r="J141" s="323">
        <f>ROUND(G141*I141,2)</f>
        <v>3012.73</v>
      </c>
      <c r="K141" s="324">
        <f>Q141*$Q$5</f>
        <v>431.25836000000004</v>
      </c>
      <c r="L141" s="324">
        <f t="shared" ref="L141:L151" si="666">ROUND(K141*G141,2)</f>
        <v>3018.8099999999999</v>
      </c>
      <c r="M141" s="341"/>
      <c r="N141" s="341"/>
      <c r="O141" s="341"/>
      <c r="P141" s="268">
        <f t="shared" si="661"/>
        <v>347.85000000000002</v>
      </c>
      <c r="Q141" s="269">
        <f t="shared" si="658"/>
        <v>331.73720000000003</v>
      </c>
      <c r="R141" s="308" t="str">
        <f t="shared" si="664"/>
        <v xml:space="preserve">LEVANTAMENTO OU REBAIXAMENTO DE TAMPÃO DE POÇO DE VISITA (REF AGESUL, CÓD IUC10016).</v>
      </c>
      <c r="S141" s="270" t="str">
        <f t="shared" si="665"/>
        <v>UN</v>
      </c>
    </row>
    <row r="142" s="212" customFormat="1" ht="16.5">
      <c r="A142" s="318"/>
      <c r="B142" s="342"/>
      <c r="C142" s="326"/>
      <c r="D142" s="352" t="s">
        <v>20627</v>
      </c>
      <c r="E142" s="322"/>
      <c r="F142" s="322"/>
      <c r="G142" s="323"/>
      <c r="H142" s="323"/>
      <c r="I142" s="339"/>
      <c r="J142" s="350"/>
      <c r="K142" s="400"/>
      <c r="L142" s="393"/>
      <c r="M142" s="341"/>
      <c r="N142" s="341"/>
      <c r="O142" s="341"/>
      <c r="P142" s="268"/>
      <c r="Q142" s="269"/>
      <c r="R142" s="308" t="str">
        <f t="shared" si="664"/>
        <v/>
      </c>
      <c r="S142" s="270" t="str">
        <f t="shared" si="665"/>
        <v/>
      </c>
    </row>
    <row r="143" s="212" customFormat="1" ht="81" customHeight="1">
      <c r="A143" s="318" t="s">
        <v>20398</v>
      </c>
      <c r="B143" s="388" t="s">
        <v>20628</v>
      </c>
      <c r="C143" s="343" t="s">
        <v>20487</v>
      </c>
      <c r="D143" s="347" t="s">
        <v>20488</v>
      </c>
      <c r="E143" s="343"/>
      <c r="F143" s="345" t="s">
        <v>15418</v>
      </c>
      <c r="G143" s="376">
        <f>((1457.65+130.4)*0.0615)+40.83</f>
        <v>138.5</v>
      </c>
      <c r="H143" s="323">
        <f>P143</f>
        <v>19.439999999999998</v>
      </c>
      <c r="I143" s="323">
        <f>ROUND(P143*$M$5,2)</f>
        <v>24.050000000000001</v>
      </c>
      <c r="J143" s="323">
        <f>ROUND(G143*I143,2)</f>
        <v>3330.9300000000003</v>
      </c>
      <c r="K143" s="328">
        <f>Q143*$Q$5</f>
        <v>24.552715856500001</v>
      </c>
      <c r="L143" s="328">
        <f t="shared" si="666"/>
        <v>3400.5500000000002</v>
      </c>
      <c r="M143" s="341"/>
      <c r="N143" s="341"/>
      <c r="O143" s="341"/>
      <c r="P143" s="268">
        <f t="shared" si="661"/>
        <v>19.439999999999998</v>
      </c>
      <c r="Q143" s="269">
        <f t="shared" si="658"/>
        <v>18.886704505000001</v>
      </c>
      <c r="R143" s="308" t="str">
        <f t="shared" si="664"/>
        <v xml:space="preserve">DEMOLIÇÃO DE PAVIMENTO ASFÁLTICO COM EMPREGO DE RETRO-ESCAVADEIRA E SERRA DE DISCO, EXCLUSIVE BOTA-FORA DO MATERIAL (REF AGESUL, CÓD IUP30005).</v>
      </c>
      <c r="S143" s="270" t="str">
        <f t="shared" si="665"/>
        <v>M³</v>
      </c>
    </row>
    <row r="144" s="212" customFormat="1" ht="99" customHeight="1">
      <c r="A144" s="318" t="s">
        <v>17167</v>
      </c>
      <c r="B144" s="388" t="s">
        <v>20629</v>
      </c>
      <c r="C144" s="343">
        <v>100998</v>
      </c>
      <c r="D144" s="347" t="s">
        <v>20551</v>
      </c>
      <c r="E144" s="345"/>
      <c r="F144" s="348" t="s">
        <v>20015</v>
      </c>
      <c r="G144" s="376">
        <f>G143*2.4</f>
        <v>332.39999999999998</v>
      </c>
      <c r="H144" s="323">
        <f>P144</f>
        <v>6.3099999999999996</v>
      </c>
      <c r="I144" s="323">
        <f>ROUND(P144*$M$5,2)</f>
        <v>7.8100000000000005</v>
      </c>
      <c r="J144" s="323">
        <f>ROUND(G144*I144,2)</f>
        <v>2596.04</v>
      </c>
      <c r="K144" s="328">
        <f>Q144*$Q$5</f>
        <v>8.125</v>
      </c>
      <c r="L144" s="328">
        <f t="shared" si="666"/>
        <v>2700.75</v>
      </c>
      <c r="M144" s="341"/>
      <c r="N144" s="341"/>
      <c r="O144" s="341"/>
      <c r="P144" s="268">
        <f t="shared" si="661"/>
        <v>6.3099999999999996</v>
      </c>
      <c r="Q144" s="269">
        <f t="shared" si="658"/>
        <v>6.25</v>
      </c>
      <c r="R144" s="308" t="str">
        <f t="shared" si="664"/>
        <v xml:space="preserve">CARGA, MANOBRA E DESCARGA DE ENTULHO EM CAMINHÃO BASCULANTE 10 M³ - CARGA COM ESCAVADEIRA HIDRÁULICA (CAÇAMBA DE 0,80 M³ / 111 HP) E DESCARGA LIVRE (UNIDADE: T). AF_02/2026</v>
      </c>
      <c r="S144" s="270" t="str">
        <f t="shared" si="665"/>
        <v>T</v>
      </c>
    </row>
    <row r="145" s="212" customFormat="1" ht="78.75" customHeight="1">
      <c r="A145" s="318" t="s">
        <v>17167</v>
      </c>
      <c r="B145" s="388" t="s">
        <v>20630</v>
      </c>
      <c r="C145" s="320">
        <v>95878</v>
      </c>
      <c r="D145" s="380" t="s">
        <v>20484</v>
      </c>
      <c r="E145" s="356">
        <v>5</v>
      </c>
      <c r="F145" s="345" t="s">
        <v>20467</v>
      </c>
      <c r="G145" s="376">
        <f>G144*E145</f>
        <v>1662</v>
      </c>
      <c r="H145" s="323">
        <f>P145</f>
        <v>1.8400000000000001</v>
      </c>
      <c r="I145" s="323">
        <f>ROUND(P145*$M$5,2)</f>
        <v>2.2800000000000002</v>
      </c>
      <c r="J145" s="323">
        <f>ROUND(G145*I145,2)</f>
        <v>3789.3600000000001</v>
      </c>
      <c r="K145" s="328">
        <f>Q145*$Q$5</f>
        <v>2.3660000000000001</v>
      </c>
      <c r="L145" s="328">
        <f t="shared" si="666"/>
        <v>3932.29</v>
      </c>
      <c r="M145" s="341"/>
      <c r="N145" s="341"/>
      <c r="O145" s="341"/>
      <c r="P145" s="268">
        <f t="shared" si="661"/>
        <v>1.8400000000000001</v>
      </c>
      <c r="Q145" s="269">
        <f t="shared" si="658"/>
        <v>1.8200000000000001</v>
      </c>
      <c r="R145" s="308" t="str">
        <f t="shared" si="664"/>
        <v xml:space="preserve">TRANSPORTE COM CAMINHÃO BASCULANTE DE 10 M³, EM VIA URBANA PAVIMENTADA, DMT ATÉ 30 KM (UNIDADE: TXKM). AF_02/2026</v>
      </c>
      <c r="S145" s="270" t="str">
        <f t="shared" si="665"/>
        <v>TXKM</v>
      </c>
    </row>
    <row r="146" s="212" customFormat="1" ht="63" customHeight="1">
      <c r="A146" s="318" t="s">
        <v>20398</v>
      </c>
      <c r="B146" s="388" t="s">
        <v>20631</v>
      </c>
      <c r="C146" s="401" t="s">
        <v>20448</v>
      </c>
      <c r="D146" s="358" t="s">
        <v>20449</v>
      </c>
      <c r="E146" s="343"/>
      <c r="F146" s="345" t="s">
        <v>15383</v>
      </c>
      <c r="G146" s="376">
        <f>((1457.65+130.4)*0.42)+(40.83/0.07)</f>
        <v>1250.27</v>
      </c>
      <c r="H146" s="323">
        <f>P146</f>
        <v>7.5700000000000003</v>
      </c>
      <c r="I146" s="323">
        <f>ROUND(P146*$M$5,2)</f>
        <v>9.370000000000001</v>
      </c>
      <c r="J146" s="323">
        <f>ROUND(G146*I146,2)</f>
        <v>11715.030000000001</v>
      </c>
      <c r="K146" s="328">
        <f>Q146*$Q$5</f>
        <v>9.3400060000000007</v>
      </c>
      <c r="L146" s="328">
        <f t="shared" si="666"/>
        <v>11677.530000000001</v>
      </c>
      <c r="M146" s="341"/>
      <c r="N146" s="341"/>
      <c r="O146" s="341"/>
      <c r="P146" s="268">
        <f t="shared" si="661"/>
        <v>7.5700000000000003</v>
      </c>
      <c r="Q146" s="269">
        <f t="shared" si="658"/>
        <v>7.1846199999999998</v>
      </c>
      <c r="R146" s="308" t="str">
        <f t="shared" si="664"/>
        <v xml:space="preserve">REGULARIZAÇÃO MANUAL E COMPACTAÇÃO MECÂNICA DE TERRENO (REF AGESUL, CÓD IUD20075).</v>
      </c>
      <c r="S146" s="270" t="str">
        <f t="shared" si="665"/>
        <v>M²</v>
      </c>
    </row>
    <row r="147" s="212" customFormat="1" ht="87.75" customHeight="1">
      <c r="A147" s="318" t="s">
        <v>20398</v>
      </c>
      <c r="B147" s="388" t="s">
        <v>20632</v>
      </c>
      <c r="C147" s="401" t="s">
        <v>20577</v>
      </c>
      <c r="D147" s="358" t="s">
        <v>20633</v>
      </c>
      <c r="E147" s="343"/>
      <c r="F147" s="345" t="s">
        <v>15344</v>
      </c>
      <c r="G147" s="376">
        <f>1457.65+130.4</f>
        <v>1588.05</v>
      </c>
      <c r="H147" s="323">
        <f>P147</f>
        <v>49.420000000000002</v>
      </c>
      <c r="I147" s="323">
        <f>ROUND(P147*$M$5,2)</f>
        <v>61.149999999999999</v>
      </c>
      <c r="J147" s="323">
        <f>ROUND(G147*I147,2)</f>
        <v>97109.259999999995</v>
      </c>
      <c r="K147" s="328">
        <f>Q147*$Q$5</f>
        <v>63.336967524999999</v>
      </c>
      <c r="L147" s="328">
        <f t="shared" si="666"/>
        <v>100582.27</v>
      </c>
      <c r="M147" s="341"/>
      <c r="N147" s="341"/>
      <c r="O147" s="341"/>
      <c r="P147" s="268">
        <f t="shared" si="661"/>
        <v>49.420000000000002</v>
      </c>
      <c r="Q147" s="269">
        <f t="shared" si="658"/>
        <v>48.720744249999996</v>
      </c>
      <c r="R147" s="308" t="str">
        <f t="shared" si="664"/>
        <v xml:space="preserve">MEIO-FIO COM SARJETA, CONCRETO FCK=20 MPA, SEÇÃO 615 CM², MOLDADO NO LOCAL, INCLUSIVE ESCAVAÇÃO E PINTURA A CAL EM UMA DEMÃO.</v>
      </c>
      <c r="S147" s="270" t="str">
        <f t="shared" si="665"/>
        <v>M</v>
      </c>
    </row>
    <row r="148" s="212" customFormat="1" ht="62.25" customHeight="1">
      <c r="A148" s="318" t="s">
        <v>20398</v>
      </c>
      <c r="B148" s="388" t="s">
        <v>20634</v>
      </c>
      <c r="C148" s="342" t="s">
        <v>20457</v>
      </c>
      <c r="D148" s="347" t="s">
        <v>20458</v>
      </c>
      <c r="E148" s="356">
        <v>6.2999999999999998</v>
      </c>
      <c r="F148" s="345" t="s">
        <v>20440</v>
      </c>
      <c r="G148" s="355">
        <f>0.579*(G147*0.0615)*E148*1.1</f>
        <v>391.88</v>
      </c>
      <c r="H148" s="323">
        <f>P148</f>
        <v>1.3436488080000002</v>
      </c>
      <c r="I148" s="323">
        <f>ROUND(P148*$M$5,2)</f>
        <v>1.6600000000000001</v>
      </c>
      <c r="J148" s="323">
        <f>ROUND(G148*I148,2)</f>
        <v>650.51999999999998</v>
      </c>
      <c r="K148" s="328">
        <f>Q148*$Q$5</f>
        <v>1.7366925888000002</v>
      </c>
      <c r="L148" s="328">
        <f t="shared" si="666"/>
        <v>680.58000000000004</v>
      </c>
      <c r="M148" s="341"/>
      <c r="N148" s="341"/>
      <c r="O148" s="341"/>
      <c r="P148" s="268">
        <f t="shared" si="661"/>
        <v>1.3436488080000002</v>
      </c>
      <c r="Q148" s="269">
        <f t="shared" si="658"/>
        <v>1.335917376</v>
      </c>
      <c r="R148" s="308" t="str">
        <f t="shared" si="664"/>
        <v xml:space="preserve">TRANSPORTE COMERCIAL DE BRITA EM RODOVIA PAVIMENTADA (REF SINAPI, CÓD 83356).</v>
      </c>
      <c r="S148" s="270" t="str">
        <f t="shared" si="665"/>
        <v>M³XKM</v>
      </c>
    </row>
    <row r="149" s="212" customFormat="1" ht="65.25" customHeight="1">
      <c r="A149" s="318" t="s">
        <v>17167</v>
      </c>
      <c r="B149" s="388" t="s">
        <v>20635</v>
      </c>
      <c r="C149" s="401">
        <v>95875</v>
      </c>
      <c r="D149" s="358" t="s">
        <v>20439</v>
      </c>
      <c r="E149" s="356">
        <v>12</v>
      </c>
      <c r="F149" s="348" t="s">
        <v>20440</v>
      </c>
      <c r="G149" s="355">
        <f>0.579*(G147*0.0615)*E149*1.1</f>
        <v>746.42999999999995</v>
      </c>
      <c r="H149" s="323">
        <f>P149</f>
        <v>2.7599999999999998</v>
      </c>
      <c r="I149" s="323">
        <f>ROUND(P149*$M$5,2)</f>
        <v>3.4100000000000001</v>
      </c>
      <c r="J149" s="323">
        <f>ROUND(G149*I149,2)</f>
        <v>2545.3299999999999</v>
      </c>
      <c r="K149" s="328">
        <f>Q149*$Q$5</f>
        <v>3.5489999999999999</v>
      </c>
      <c r="L149" s="328">
        <f t="shared" si="666"/>
        <v>2649.0799999999999</v>
      </c>
      <c r="M149" s="341"/>
      <c r="N149" s="341"/>
      <c r="O149" s="341"/>
      <c r="P149" s="268">
        <f t="shared" si="661"/>
        <v>2.7599999999999998</v>
      </c>
      <c r="Q149" s="269">
        <f t="shared" si="658"/>
        <v>2.73</v>
      </c>
      <c r="R149" s="308" t="str">
        <f t="shared" si="664"/>
        <v xml:space="preserve">TRANSPORTE COM CAMINHÃO BASCULANTE DE 10 M³, EM VIA URBANA PAVIMENTADA, DMT ATÉ 30 KM (UNIDADE: M3XKM). AF_02/2026</v>
      </c>
      <c r="S149" s="270" t="str">
        <f t="shared" si="665"/>
        <v>M3XKM</v>
      </c>
    </row>
    <row r="150" s="212" customFormat="1" ht="84" customHeight="1">
      <c r="A150" s="318" t="s">
        <v>17167</v>
      </c>
      <c r="B150" s="388" t="s">
        <v>20636</v>
      </c>
      <c r="C150" s="346">
        <v>94990</v>
      </c>
      <c r="D150" s="358" t="s">
        <v>20637</v>
      </c>
      <c r="E150" s="348"/>
      <c r="F150" s="348" t="s">
        <v>15418</v>
      </c>
      <c r="G150" s="355">
        <v>40.829999999999998</v>
      </c>
      <c r="H150" s="323">
        <f>P150</f>
        <v>779.29999999999995</v>
      </c>
      <c r="I150" s="323">
        <f>ROUND(P150*$M$5,2)</f>
        <v>964.23000000000002</v>
      </c>
      <c r="J150" s="323">
        <f>ROUND(G150*I150,2)</f>
        <v>39369.510000000002</v>
      </c>
      <c r="K150" s="328">
        <f>Q150*$Q$5</f>
        <v>992.70600000000002</v>
      </c>
      <c r="L150" s="328">
        <f t="shared" si="666"/>
        <v>40532.190000000002</v>
      </c>
      <c r="M150" s="341"/>
      <c r="N150" s="341"/>
      <c r="O150" s="341"/>
      <c r="P150" s="268">
        <f t="shared" si="661"/>
        <v>779.29999999999995</v>
      </c>
      <c r="Q150" s="269">
        <f t="shared" si="658"/>
        <v>763.62</v>
      </c>
      <c r="R150" s="308" t="str">
        <f t="shared" si="664"/>
        <v xml:space="preserve">EXECUÇÃO DE PASSEIO (CALÇADA) OU PISO DE CONCRETO COM CONCRETO MOLDADO IN LOCO, FEITO EM OBRA, ACABAMENTO CONVENCIONAL, NÃO ARMADO. AF_08/2022</v>
      </c>
      <c r="S150" s="270" t="str">
        <f t="shared" si="665"/>
        <v>M3</v>
      </c>
    </row>
    <row r="151" s="212" customFormat="1" ht="62.25" customHeight="1">
      <c r="A151" s="318" t="s">
        <v>20398</v>
      </c>
      <c r="B151" s="388" t="s">
        <v>20638</v>
      </c>
      <c r="C151" s="346" t="s">
        <v>20457</v>
      </c>
      <c r="D151" s="347" t="s">
        <v>20458</v>
      </c>
      <c r="E151" s="356">
        <v>6.2999999999999998</v>
      </c>
      <c r="F151" s="348" t="s">
        <v>20440</v>
      </c>
      <c r="G151" s="355">
        <f>0.5872*G150*E151*1.1</f>
        <v>166.15000000000001</v>
      </c>
      <c r="H151" s="323">
        <f>P151</f>
        <v>1.3436488080000002</v>
      </c>
      <c r="I151" s="323">
        <f>ROUND(P151*$M$5,2)</f>
        <v>1.6600000000000001</v>
      </c>
      <c r="J151" s="323">
        <f>ROUND(G151*I151,2)</f>
        <v>275.81</v>
      </c>
      <c r="K151" s="328">
        <f>Q151*$Q$5</f>
        <v>1.7366925888000002</v>
      </c>
      <c r="L151" s="328">
        <f t="shared" si="666"/>
        <v>288.55000000000001</v>
      </c>
      <c r="M151" s="341"/>
      <c r="N151" s="341"/>
      <c r="O151" s="341"/>
      <c r="P151" s="268">
        <f t="shared" si="661"/>
        <v>1.3436488080000002</v>
      </c>
      <c r="Q151" s="269">
        <f t="shared" si="658"/>
        <v>1.335917376</v>
      </c>
      <c r="R151" s="308" t="str">
        <f t="shared" si="664"/>
        <v xml:space="preserve">TRANSPORTE COMERCIAL DE BRITA EM RODOVIA PAVIMENTADA (REF SINAPI, CÓD 83356).</v>
      </c>
      <c r="S151" s="270" t="str">
        <f t="shared" si="665"/>
        <v>M³XKM</v>
      </c>
    </row>
    <row r="152" s="212" customFormat="1" ht="73.5" customHeight="1">
      <c r="A152" s="318" t="s">
        <v>17167</v>
      </c>
      <c r="B152" s="388" t="s">
        <v>20639</v>
      </c>
      <c r="C152" s="401">
        <v>95875</v>
      </c>
      <c r="D152" s="358" t="s">
        <v>20439</v>
      </c>
      <c r="E152" s="356">
        <v>12</v>
      </c>
      <c r="F152" s="348" t="s">
        <v>20440</v>
      </c>
      <c r="G152" s="355">
        <f>0.5872*G150*E152*1.1</f>
        <v>316.47000000000003</v>
      </c>
      <c r="H152" s="323">
        <f>P152</f>
        <v>2.7599999999999998</v>
      </c>
      <c r="I152" s="323">
        <f>ROUND(P152*$M$5,2)</f>
        <v>3.4100000000000001</v>
      </c>
      <c r="J152" s="323">
        <f>ROUND(G152*I152,2)</f>
        <v>1079.1600000000001</v>
      </c>
      <c r="K152" s="328"/>
      <c r="L152" s="328"/>
      <c r="M152" s="341"/>
      <c r="N152" s="341"/>
      <c r="O152" s="341"/>
      <c r="P152" s="268">
        <f t="shared" si="661"/>
        <v>2.7599999999999998</v>
      </c>
      <c r="Q152" s="269">
        <f t="shared" si="658"/>
        <v>2.73</v>
      </c>
      <c r="R152" s="308" t="str">
        <f t="shared" si="664"/>
        <v xml:space="preserve">TRANSPORTE COM CAMINHÃO BASCULANTE DE 10 M³, EM VIA URBANA PAVIMENTADA, DMT ATÉ 30 KM (UNIDADE: M3XKM). AF_02/2026</v>
      </c>
      <c r="S152" s="270" t="str">
        <f t="shared" si="665"/>
        <v>M3XKM</v>
      </c>
    </row>
    <row r="153" s="212" customFormat="1" ht="16.5">
      <c r="A153" s="319"/>
      <c r="B153" s="388"/>
      <c r="C153" s="309"/>
      <c r="D153" s="397" t="s">
        <v>20640</v>
      </c>
      <c r="E153" s="309"/>
      <c r="F153" s="332"/>
      <c r="G153" s="311"/>
      <c r="H153" s="311"/>
      <c r="I153" s="333"/>
      <c r="J153" s="334">
        <f>SUM(J141:J152)</f>
        <v>165473.68000000002</v>
      </c>
      <c r="K153" s="335"/>
      <c r="L153" s="336">
        <f>SUM(L141:L152)</f>
        <v>169462.60000000001</v>
      </c>
      <c r="M153" s="337" t="e">
        <f>J153/$J$154</f>
        <v>#VALUE!</v>
      </c>
      <c r="N153" s="337"/>
      <c r="O153" s="337"/>
      <c r="P153" s="268"/>
      <c r="Q153" s="269"/>
      <c r="R153" s="308" t="str">
        <f t="shared" si="664"/>
        <v/>
      </c>
      <c r="S153" s="270" t="str">
        <f t="shared" si="665"/>
        <v/>
      </c>
    </row>
    <row r="154" s="212" customFormat="1" ht="16.5">
      <c r="A154" s="319"/>
      <c r="B154" s="302"/>
      <c r="C154" s="302"/>
      <c r="D154" s="338" t="s">
        <v>20374</v>
      </c>
      <c r="E154" s="309"/>
      <c r="F154" s="302"/>
      <c r="G154" s="311"/>
      <c r="H154" s="311"/>
      <c r="I154" s="402"/>
      <c r="J154" s="402" t="e">
        <f>J153+J139+J134+J117+J86+J77+J24+J15</f>
        <v>#VALUE!</v>
      </c>
      <c r="K154" s="403"/>
      <c r="L154" s="404">
        <f>L153+L139+L86+L77+L24+L15</f>
        <v>916551.80000000005</v>
      </c>
      <c r="M154" s="337" t="e">
        <f>M153+M139+M134+M117+M86+M77+M24+M15</f>
        <v>#VALUE!</v>
      </c>
      <c r="N154" s="337"/>
      <c r="O154" s="337"/>
      <c r="P154" s="268"/>
      <c r="Q154" s="269"/>
      <c r="R154" s="308" t="str">
        <f t="shared" si="664"/>
        <v/>
      </c>
      <c r="S154" s="270" t="str">
        <f t="shared" si="665"/>
        <v/>
      </c>
    </row>
    <row r="155" s="212" customFormat="1">
      <c r="A155" s="50"/>
      <c r="B155" s="405"/>
      <c r="C155" s="405"/>
      <c r="D155" s="406"/>
      <c r="E155" s="407"/>
      <c r="F155" s="405"/>
      <c r="G155" s="408"/>
      <c r="H155" s="408"/>
      <c r="I155" s="409"/>
      <c r="J155" s="409"/>
      <c r="K155" s="410"/>
      <c r="L155" s="411"/>
      <c r="M155" s="267"/>
      <c r="N155" s="267"/>
      <c r="O155" s="267"/>
      <c r="P155" s="268"/>
      <c r="Q155" s="269"/>
      <c r="R155" s="270"/>
      <c r="S155" s="270"/>
    </row>
    <row r="156" s="212" customFormat="1">
      <c r="A156" s="50"/>
      <c r="B156" s="405"/>
      <c r="C156" s="405"/>
      <c r="D156" s="406"/>
      <c r="E156" s="407"/>
      <c r="F156" s="405"/>
      <c r="G156" s="408"/>
      <c r="H156" s="408"/>
      <c r="I156" s="409"/>
      <c r="J156" s="409"/>
      <c r="K156" s="410"/>
      <c r="L156" s="411"/>
      <c r="M156" s="267"/>
      <c r="N156" s="267"/>
      <c r="O156" s="267"/>
      <c r="P156" s="268"/>
      <c r="Q156" s="269"/>
      <c r="R156" s="270"/>
      <c r="S156" s="270"/>
    </row>
    <row r="157" s="212" customFormat="1">
      <c r="A157" s="50"/>
      <c r="B157" s="405"/>
      <c r="C157" s="405"/>
      <c r="D157" s="406"/>
      <c r="E157" s="407"/>
      <c r="F157" s="405"/>
      <c r="G157" s="408"/>
      <c r="H157" s="408"/>
      <c r="I157" s="409"/>
      <c r="J157" s="409"/>
      <c r="K157" s="410"/>
      <c r="L157" s="411"/>
      <c r="M157" s="267"/>
      <c r="N157" s="267"/>
      <c r="O157" s="267"/>
      <c r="P157" s="268"/>
      <c r="Q157" s="269"/>
      <c r="R157" s="270"/>
      <c r="S157" s="270"/>
    </row>
    <row r="158" s="212" customFormat="1" ht="13.5" customHeight="1">
      <c r="A158" s="50"/>
      <c r="B158" s="70"/>
      <c r="C158" s="70"/>
      <c r="D158" s="70"/>
      <c r="E158" s="70"/>
      <c r="F158" s="70"/>
      <c r="G158" s="412"/>
      <c r="H158" s="412"/>
      <c r="I158" s="70"/>
      <c r="J158" s="70"/>
      <c r="K158" s="413"/>
      <c r="L158" s="414"/>
      <c r="M158" s="267"/>
      <c r="N158" s="267"/>
      <c r="O158" s="267"/>
      <c r="P158" s="268"/>
      <c r="Q158" s="269"/>
      <c r="R158" s="270"/>
      <c r="S158" s="270"/>
    </row>
    <row r="159" s="212" customFormat="1">
      <c r="A159" s="50"/>
      <c r="B159" s="405"/>
      <c r="C159" s="405"/>
      <c r="D159" s="406"/>
      <c r="E159" s="407"/>
      <c r="F159" s="405"/>
      <c r="G159" s="258" t="s">
        <v>20375</v>
      </c>
      <c r="H159" s="258"/>
      <c r="I159" s="409"/>
      <c r="J159" s="409"/>
      <c r="K159" s="413"/>
      <c r="L159" s="415"/>
      <c r="M159" s="267"/>
      <c r="N159" s="267"/>
      <c r="O159" s="267"/>
      <c r="P159" s="268"/>
      <c r="Q159" s="269"/>
      <c r="R159" s="270"/>
      <c r="S159" s="270"/>
    </row>
    <row r="160" s="212" customFormat="1" ht="12.75" customHeight="1">
      <c r="A160" s="50"/>
      <c r="B160" s="266"/>
      <c r="C160" s="266"/>
      <c r="D160" s="231"/>
      <c r="E160" s="231"/>
      <c r="F160" s="231"/>
      <c r="G160" s="258" t="s">
        <v>20376</v>
      </c>
      <c r="H160" s="258"/>
      <c r="I160" s="231"/>
      <c r="J160" s="231"/>
      <c r="K160" s="413"/>
      <c r="L160" s="414"/>
      <c r="M160" s="267"/>
      <c r="N160" s="267"/>
      <c r="O160" s="267"/>
      <c r="P160" s="268"/>
      <c r="Q160" s="269"/>
      <c r="R160" s="270"/>
      <c r="S160" s="270"/>
    </row>
    <row r="161" s="212" customFormat="1" ht="12.75" customHeight="1">
      <c r="A161" s="50"/>
      <c r="B161" s="50"/>
      <c r="C161" s="50"/>
      <c r="D161" s="256"/>
      <c r="E161" s="256"/>
      <c r="F161" s="256"/>
      <c r="G161" s="256"/>
      <c r="H161" s="256"/>
      <c r="I161" s="256"/>
      <c r="J161" s="256"/>
      <c r="K161" s="413"/>
      <c r="L161" s="416"/>
      <c r="M161" s="267"/>
      <c r="N161" s="267"/>
      <c r="O161" s="267"/>
      <c r="P161" s="268"/>
      <c r="Q161" s="269"/>
      <c r="R161" s="270"/>
      <c r="S161" s="270"/>
    </row>
    <row r="162" ht="12.75" customHeight="1">
      <c r="B162" s="417"/>
      <c r="C162" s="417"/>
      <c r="D162" s="417"/>
      <c r="E162" s="417"/>
      <c r="F162" s="417"/>
      <c r="G162" s="418"/>
      <c r="H162" s="418"/>
      <c r="I162" s="417"/>
      <c r="K162" s="419"/>
      <c r="L162" s="420"/>
    </row>
    <row r="163" ht="13.5" customHeight="1">
      <c r="B163" s="421"/>
      <c r="C163" s="422"/>
      <c r="D163" s="422"/>
      <c r="E163" s="422"/>
      <c r="F163" s="422"/>
      <c r="K163" s="419"/>
      <c r="L163" s="423"/>
    </row>
    <row r="164">
      <c r="L164" s="423"/>
    </row>
    <row r="165">
      <c r="L165" s="424"/>
    </row>
    <row r="166">
      <c r="L166" s="425"/>
    </row>
    <row r="167">
      <c r="L167" s="425"/>
    </row>
    <row r="168">
      <c r="L168" s="425"/>
    </row>
    <row r="169">
      <c r="K169" s="426"/>
      <c r="L169" s="425"/>
    </row>
    <row r="170">
      <c r="L170" s="427"/>
    </row>
    <row r="171">
      <c r="L171" s="428"/>
    </row>
    <row r="172">
      <c r="J172" s="429"/>
      <c r="K172" s="426"/>
      <c r="L172" s="425"/>
    </row>
    <row r="173">
      <c r="B173" s="261"/>
      <c r="D173" s="260"/>
      <c r="E173" s="430"/>
      <c r="F173" s="263"/>
      <c r="G173" s="431"/>
      <c r="H173" s="431"/>
    </row>
    <row r="175">
      <c r="G175" s="432"/>
      <c r="H175" s="432"/>
    </row>
    <row r="179">
      <c r="J179" s="263"/>
    </row>
  </sheetData>
  <autoFilter ref="A8:L154"/>
  <mergeCells count="4">
    <mergeCell ref="A1:J1"/>
    <mergeCell ref="A2:J2"/>
    <mergeCell ref="A6:J6"/>
    <mergeCell ref="D161:J161"/>
  </mergeCells>
  <printOptions headings="0" gridLines="0"/>
  <pageMargins left="0.70866141732283461" right="0.70866141732283461" top="1.2598425196850394" bottom="1.1023622047244095" header="0.39370078740157494" footer="0.39370078740157494"/>
  <pageSetup paperSize="9" scale="67" firstPageNumber="2147483647" fitToWidth="1" fitToHeight="0" pageOrder="downThenOver" orientation="portrait" usePrinterDefaults="1" blackAndWhite="0" draft="0" cellComments="none" useFirstPageNumber="0" errors="displayed" horizontalDpi="600" verticalDpi="600" copies="1"/>
  <headerFooter scaleWithDoc="0">
    <oddFooter>&amp;R&amp;P/&amp;N</oddFooter>
  </headerFooter>
  <drawing r:id="rId1"/>
  <extLst>
    <ext xmlns:x14="http://schemas.microsoft.com/office/spreadsheetml/2009/9/main" uri="{78C0D931-6437-407d-A8EE-F0AAD7539E65}">
      <x14:conditionalFormattings>
        <x14:conditionalFormatting xmlns:xm="http://schemas.microsoft.com/office/excel/2006/main">
          <x14:cfRule type="duplicateValues" priority="9" stopIfTrue="1" id="{002B002B-0091-40A4-8307-0045000B0082}">
            <x14:dxf>
              <font>
                <color rgb="FF9C0006"/>
              </font>
              <fill>
                <patternFill patternType="solid">
                  <fgColor rgb="FFFFC7CE"/>
                  <bgColor rgb="FFFFC7CE"/>
                </patternFill>
              </fill>
            </x14:dxf>
          </x14:cfRule>
          <xm:sqref>D160</xm:sqref>
        </x14:conditionalFormatting>
        <x14:conditionalFormatting xmlns:xm="http://schemas.microsoft.com/office/excel/2006/main">
          <x14:cfRule type="duplicateValues" priority="8" stopIfTrue="1" id="{00FE0056-0032-42D0-9857-008A00C600EF}">
            <x14:dxf>
              <font>
                <color rgb="FF9C0006"/>
              </font>
              <fill>
                <patternFill patternType="solid">
                  <fgColor rgb="FFFFC7CE"/>
                  <bgColor rgb="FFFFC7CE"/>
                </patternFill>
              </fill>
            </x14:dxf>
          </x14:cfRule>
          <xm:sqref>D161</xm:sqref>
        </x14:conditionalFormatting>
        <x14:conditionalFormatting xmlns:xm="http://schemas.microsoft.com/office/excel/2006/main">
          <x14:cfRule type="duplicateValues" priority="3" stopIfTrue="1" id="{00F000E2-00E5-4858-8486-0032007C0000}">
            <x14:dxf>
              <font>
                <color rgb="FF9C0006"/>
              </font>
              <fill>
                <patternFill patternType="solid">
                  <fgColor rgb="FFFFC7CE"/>
                  <bgColor rgb="FFFFC7CE"/>
                </patternFill>
              </fill>
            </x14:dxf>
          </x14:cfRule>
          <xm:sqref>G159:H159</xm:sqref>
        </x14:conditionalFormatting>
        <x14:conditionalFormatting xmlns:xm="http://schemas.microsoft.com/office/excel/2006/main">
          <x14:cfRule type="duplicateValues" priority="2" stopIfTrue="1" id="{000400F9-001A-4340-A5BB-0003001500E6}">
            <x14:dxf>
              <font>
                <color rgb="FF9C0006"/>
              </font>
              <fill>
                <patternFill patternType="solid">
                  <fgColor rgb="FFFFC7CE"/>
                  <bgColor rgb="FFFFC7CE"/>
                </patternFill>
              </fill>
            </x14:dxf>
          </x14:cfRule>
          <xm:sqref>G160:H160</xm:sqref>
        </x14:conditionalFormatting>
        <x14:conditionalFormatting xmlns:xm="http://schemas.microsoft.com/office/excel/2006/main">
          <x14:cfRule type="cellIs" priority="1" operator="equal" id="{0053006A-00B8-4011-ABF4-002A00AE0018}">
            <xm:f>"VERIFICAR"</xm:f>
            <x14:dxf>
              <font>
                <color rgb="FF9C0006"/>
              </font>
              <fill>
                <patternFill patternType="solid">
                  <fgColor rgb="FFFFC7CE"/>
                  <bgColor rgb="FFFFC7CE"/>
                </patternFill>
              </fill>
            </x14:dxf>
          </x14:cfRule>
          <xm:sqref>P11:Q154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codeName="Planilha8" filterMode="1">
    <outlinePr applyStyles="0" summaryBelow="1" summaryRight="1" showOutlineSymbols="1"/>
    <pageSetUpPr autoPageBreaks="1" fitToPage="1"/>
  </sheetPr>
  <sheetViews>
    <sheetView topLeftCell="A3083" zoomScale="80" workbookViewId="0">
      <selection activeCell="G204" activeCellId="0" sqref="G204"/>
    </sheetView>
  </sheetViews>
  <sheetFormatPr defaultColWidth="9.140625" defaultRowHeight="13.5"/>
  <cols>
    <col customWidth="1" hidden="1" min="1" max="1" width="13.140625"/>
    <col customWidth="1" min="2" max="2" width="14.5703125"/>
    <col customWidth="1" min="3" max="3" width="14.85546875"/>
    <col customWidth="1" min="4" max="4" width="10.140625"/>
    <col customWidth="1" min="5" max="5" width="8.7109375"/>
    <col customWidth="1" min="6" max="6" width="17.7109375"/>
    <col customWidth="1" min="7" max="7" width="47.42578125"/>
    <col customWidth="1" min="8" max="8" width="10"/>
    <col customWidth="1" min="9" max="9" width="17.7109375"/>
    <col customWidth="1" min="10" max="10" width="15.5703125"/>
    <col customWidth="1" min="11" max="11" width="17.85546875"/>
    <col customWidth="1" hidden="1" min="12" max="12" width="16.7109375"/>
    <col customWidth="1" hidden="1" min="13" max="13" width="17.85546875"/>
    <col customWidth="1" min="14" max="14" style="433" width="38.42578125"/>
    <col customWidth="1" min="15" max="15" style="434" width="12.7109375"/>
    <col customWidth="1" min="16" max="16" style="435" width="18.85546875"/>
    <col customWidth="1" min="18" max="18" width="28.140625"/>
    <col customWidth="1" min="20" max="20" width="12.5703125"/>
    <col customWidth="1" min="21" max="21" width="21.140625"/>
  </cols>
  <sheetData>
    <row r="1" ht="15">
      <c r="B1" s="436" t="s">
        <v>20641</v>
      </c>
      <c r="F1" s="437"/>
      <c r="G1" s="438"/>
      <c r="H1" s="439"/>
      <c r="I1" s="440"/>
      <c r="J1" s="441"/>
      <c r="K1" s="439"/>
      <c r="L1" s="441"/>
      <c r="M1" s="439"/>
      <c r="N1" s="442"/>
      <c r="T1" t="s">
        <v>17167</v>
      </c>
    </row>
    <row r="2" ht="15">
      <c r="B2" s="443" t="str">
        <f>ORÇAMENTO!A4</f>
        <v xml:space="preserve">DATA/BASE: SINAPI (S) = MARÇO/2026 ONERADO </v>
      </c>
      <c r="F2" s="437"/>
      <c r="G2" s="438"/>
      <c r="H2" s="444"/>
      <c r="I2" s="440"/>
      <c r="J2" s="445" t="s">
        <v>5</v>
      </c>
      <c r="K2" s="439"/>
      <c r="L2" s="446" t="s">
        <v>6</v>
      </c>
      <c r="M2" s="439"/>
      <c r="N2" s="442"/>
      <c r="T2" t="s">
        <v>20408</v>
      </c>
    </row>
    <row r="3" ht="15">
      <c r="B3" s="436" t="s">
        <v>20642</v>
      </c>
      <c r="E3" s="439"/>
      <c r="F3" s="447"/>
      <c r="G3" s="448"/>
      <c r="H3" s="439"/>
      <c r="I3" s="449" t="s">
        <v>20643</v>
      </c>
      <c r="J3" s="450">
        <v>1</v>
      </c>
      <c r="K3" s="439"/>
      <c r="L3" s="450">
        <v>1</v>
      </c>
      <c r="M3" s="439"/>
      <c r="N3" s="442"/>
      <c r="T3" t="s">
        <v>20398</v>
      </c>
    </row>
    <row r="4">
      <c r="T4" t="s">
        <v>20644</v>
      </c>
    </row>
    <row r="5" ht="90">
      <c r="A5" s="451" t="s">
        <v>15547</v>
      </c>
      <c r="B5" s="451" t="s">
        <v>20645</v>
      </c>
      <c r="C5" s="451" t="s">
        <v>15334</v>
      </c>
      <c r="D5" s="451" t="s">
        <v>20646</v>
      </c>
      <c r="E5" s="451" t="s">
        <v>20371</v>
      </c>
      <c r="F5" s="451" t="s">
        <v>15335</v>
      </c>
      <c r="G5" s="452" t="s">
        <v>15352</v>
      </c>
      <c r="H5" s="453" t="s">
        <v>20647</v>
      </c>
      <c r="I5" s="454" t="s">
        <v>20648</v>
      </c>
      <c r="J5" s="455" t="s">
        <v>20389</v>
      </c>
      <c r="K5" s="456" t="s">
        <v>20390</v>
      </c>
      <c r="L5" s="457" t="s">
        <v>20389</v>
      </c>
      <c r="M5" s="458" t="s">
        <v>20390</v>
      </c>
      <c r="N5" s="459" t="s">
        <v>20649</v>
      </c>
      <c r="T5" t="s">
        <v>20453</v>
      </c>
    </row>
    <row r="6" ht="50.25" customHeight="1">
      <c r="A6" s="460">
        <v>1000</v>
      </c>
      <c r="B6" s="460">
        <v>1000</v>
      </c>
      <c r="C6" s="460"/>
      <c r="D6" s="460"/>
      <c r="E6" s="461">
        <v>1</v>
      </c>
      <c r="F6" s="462" t="s">
        <v>20650</v>
      </c>
      <c r="G6" s="463" t="s">
        <v>20651</v>
      </c>
      <c r="H6" s="461" t="s">
        <v>15528</v>
      </c>
      <c r="I6" s="464"/>
      <c r="J6" s="465"/>
      <c r="K6" s="466">
        <f>SUM(K7:K9)</f>
        <v>149.904</v>
      </c>
      <c r="L6" s="465"/>
      <c r="M6" s="466">
        <f>SUM(M7:M9)</f>
        <v>141.76949999999999</v>
      </c>
      <c r="N6" s="467" t="s">
        <v>20652</v>
      </c>
      <c r="O6" s="434" t="str">
        <f t="shared" ref="O6:O9" si="667">IFERROR(IF(D6="SINAPI",VLOOKUP(F6,SINCOMOD,4,FALSE),IF(D6="INSINAPI",VLOOKUP(F6,INSINOD,5,FALSE),IF(D6="SICRO",VLOOKUP(F6,SICRO,5,FALSE),IF(D6="COTACAO",VLOOKUP(F6,COTACAO,6,FALSE),IF(D6="PRÓPRIO",VLOOKUP(F6,COMPOD,11,FALSE),IF(D6="AGESUL",VLOOKUP(F6,AGESULOD,6,FALSE),IF(D6="INSAGESUL",VLOOKUP(F6,INSAGESUL,7,FALSE),"SEM VALOR"))))))),"SEM VALOR")</f>
        <v xml:space="preserve">SEM VALOR</v>
      </c>
      <c r="P6" s="435" t="str">
        <f t="shared" ref="P6:P9" si="668">IFERROR(IF(D6="SINAPI",VLOOKUP(F6,SINCOMOD,6,FALSE),IF(D6="INSINAPI",VLOOKUP(F6,INSINOD,6,FALSE),IF(D6="SICRO",VLOOKUP(F6,SICRO,5,FALSE),IF(D6="COTACAO",VLOOKUP(F6,COTACAO,6,FALSE),IF(D6="PRÓPRIO",VLOOKUP(F6,COMPOD,13,FALSE),IF(D6="AGESUL",VLOOKUP(F6,AGESULOD,11,FALSE),IF(D6="INSAGESUL",VLOOKUP(F6,INSAGESUL,8,FALSE),"SEM VALOR"))))))),"SEM VALOR")</f>
        <v xml:space="preserve">SEM VALOR</v>
      </c>
      <c r="AE6" s="460">
        <v>1000</v>
      </c>
      <c r="AF6" s="460"/>
      <c r="AH6">
        <f t="shared" ref="AH6:AH31" si="669">IF(AF6:AF7=FALSE,AE6,AF6)</f>
        <v>1000</v>
      </c>
    </row>
    <row r="7" ht="30">
      <c r="A7" s="217"/>
      <c r="B7" s="217">
        <v>1000</v>
      </c>
      <c r="C7" s="217"/>
      <c r="D7" s="217" t="s">
        <v>17167</v>
      </c>
      <c r="E7" s="468" t="s">
        <v>20399</v>
      </c>
      <c r="F7" s="469">
        <v>88309</v>
      </c>
      <c r="G7" s="470" t="s">
        <v>7385</v>
      </c>
      <c r="H7" s="471" t="s">
        <v>2032</v>
      </c>
      <c r="I7" s="472">
        <v>1.6499999999999999</v>
      </c>
      <c r="J7" s="473">
        <f t="shared" ref="J7:J9" si="670">O7*$J$3</f>
        <v>28.5</v>
      </c>
      <c r="K7" s="474">
        <f t="shared" ref="K7:K9" si="671">I7*J7</f>
        <v>47.024999999999999</v>
      </c>
      <c r="L7" s="475">
        <f t="shared" ref="L7:L9" si="672">P7*$L$3</f>
        <v>26.870000000000001</v>
      </c>
      <c r="M7" s="474">
        <f t="shared" ref="M7:M9" si="673">L7*I7</f>
        <v>44.335499999999996</v>
      </c>
      <c r="N7" s="476"/>
      <c r="O7" s="434">
        <f t="shared" si="667"/>
        <v>28.5</v>
      </c>
      <c r="P7" s="435">
        <f t="shared" si="668"/>
        <v>26.870000000000001</v>
      </c>
      <c r="AE7" s="217"/>
      <c r="AF7" s="217">
        <v>1000</v>
      </c>
      <c r="AH7">
        <f t="shared" si="669"/>
        <v>1000</v>
      </c>
    </row>
    <row r="8" ht="30">
      <c r="A8" s="217"/>
      <c r="B8" s="217">
        <v>1000</v>
      </c>
      <c r="C8" s="217"/>
      <c r="D8" s="217" t="s">
        <v>17167</v>
      </c>
      <c r="E8" s="468" t="s">
        <v>20402</v>
      </c>
      <c r="F8" s="469">
        <v>88316</v>
      </c>
      <c r="G8" s="470" t="s">
        <v>7393</v>
      </c>
      <c r="H8" s="471" t="s">
        <v>2032</v>
      </c>
      <c r="I8" s="472">
        <v>4.5</v>
      </c>
      <c r="J8" s="473">
        <f t="shared" si="670"/>
        <v>22.760000000000002</v>
      </c>
      <c r="K8" s="474">
        <f t="shared" si="671"/>
        <v>102.42</v>
      </c>
      <c r="L8" s="475">
        <f t="shared" si="672"/>
        <v>21.550000000000001</v>
      </c>
      <c r="M8" s="474">
        <f t="shared" si="673"/>
        <v>96.975000000000009</v>
      </c>
      <c r="N8" s="448"/>
      <c r="O8" s="434">
        <f t="shared" si="667"/>
        <v>22.760000000000002</v>
      </c>
      <c r="P8" s="435">
        <f t="shared" si="668"/>
        <v>21.550000000000001</v>
      </c>
      <c r="AE8" s="217"/>
      <c r="AF8" s="217">
        <v>1000</v>
      </c>
      <c r="AH8">
        <f t="shared" si="669"/>
        <v>1000</v>
      </c>
    </row>
    <row r="9" ht="60">
      <c r="A9" s="217"/>
      <c r="B9" s="217">
        <v>1000</v>
      </c>
      <c r="C9" s="217"/>
      <c r="D9" s="217" t="s">
        <v>17167</v>
      </c>
      <c r="E9" s="468" t="s">
        <v>20405</v>
      </c>
      <c r="F9" s="469">
        <v>90586</v>
      </c>
      <c r="G9" s="470" t="s">
        <v>1957</v>
      </c>
      <c r="H9" s="471" t="s">
        <v>1535</v>
      </c>
      <c r="I9" s="472">
        <v>0.29999999999999999</v>
      </c>
      <c r="J9" s="473">
        <f t="shared" si="670"/>
        <v>1.53</v>
      </c>
      <c r="K9" s="474">
        <f t="shared" si="671"/>
        <v>0.45899999999999996</v>
      </c>
      <c r="L9" s="475">
        <f t="shared" si="672"/>
        <v>1.53</v>
      </c>
      <c r="M9" s="474">
        <f t="shared" si="673"/>
        <v>0.45899999999999996</v>
      </c>
      <c r="N9" s="467" t="s">
        <v>20653</v>
      </c>
      <c r="O9" s="434">
        <f t="shared" si="667"/>
        <v>1.53</v>
      </c>
      <c r="P9" s="435">
        <f t="shared" si="668"/>
        <v>1.53</v>
      </c>
      <c r="AE9" s="217"/>
      <c r="AF9" s="217">
        <v>1000</v>
      </c>
      <c r="AH9">
        <f t="shared" si="669"/>
        <v>1000</v>
      </c>
    </row>
    <row r="10" ht="113.25" hidden="1" customHeight="1">
      <c r="A10" s="460">
        <v>1001</v>
      </c>
      <c r="B10" s="460">
        <v>1001</v>
      </c>
      <c r="C10" s="460"/>
      <c r="D10" s="460"/>
      <c r="E10" s="461">
        <v>1</v>
      </c>
      <c r="F10" s="462" t="s">
        <v>20654</v>
      </c>
      <c r="G10" s="477" t="s">
        <v>20655</v>
      </c>
      <c r="H10" s="478" t="s">
        <v>15515</v>
      </c>
      <c r="I10" s="479"/>
      <c r="J10" s="480"/>
      <c r="K10" s="466">
        <f>SUM(K11:K13)</f>
        <v>44.575159999999997</v>
      </c>
      <c r="L10" s="481"/>
      <c r="M10" s="466">
        <f>SUM(M11:M13)</f>
        <v>43.366774000000007</v>
      </c>
      <c r="N10" s="467" t="s">
        <v>20656</v>
      </c>
      <c r="O10" s="434" t="str">
        <f t="shared" ref="O10:O73" si="674">IFERROR(IF(D10="SINAPI",VLOOKUP(F10,SINCOMOD,4,FALSE),IF(D10="INSINAPI",VLOOKUP(F10,INSINOD,5,FALSE),IF(D10="SICRO",VLOOKUP(F10,SICRO,5,FALSE),IF(D10="COTACAO",VLOOKUP(F10,COTACAO,6,FALSE),IF(D10="PRÓPRIO",VLOOKUP(F10,COMPOD,11,FALSE),IF(D10="AGESUL",VLOOKUP(F10,AGESULOD,6,FALSE),IF(D10="INSAGESUL",VLOOKUP(F10,INSAGESUL,7,FALSE),"SEM VALOR"))))))),"SEM VALOR")</f>
        <v xml:space="preserve">SEM VALOR</v>
      </c>
      <c r="P10" s="435" t="str">
        <f t="shared" ref="P10:P73" si="675">IFERROR(IF(D10="SINAPI",VLOOKUP(F10,SINCOMOD,6,FALSE),IF(D10="INSINAPI",VLOOKUP(F10,INSINOD,6,FALSE),IF(D10="SICRO",VLOOKUP(F10,SICRO,5,FALSE),IF(D10="COTACAO",VLOOKUP(F10,COTACAO,6,FALSE),IF(D10="PRÓPRIO",VLOOKUP(F10,COMPOD,13,FALSE),IF(D10="AGESUL",VLOOKUP(F10,AGESULOD,11,FALSE),IF(D10="INSAGESUL",VLOOKUP(F10,INSAGESUL,8,FALSE),"SEM VALOR"))))))),"SEM VALOR")</f>
        <v xml:space="preserve">SEM VALOR</v>
      </c>
      <c r="AE10" s="460">
        <v>1001</v>
      </c>
      <c r="AF10" s="460"/>
      <c r="AH10">
        <f t="shared" si="669"/>
        <v>1001</v>
      </c>
    </row>
    <row r="11" ht="75" hidden="1">
      <c r="A11" s="217"/>
      <c r="B11" s="217">
        <v>1001</v>
      </c>
      <c r="C11" s="217"/>
      <c r="D11" s="217" t="s">
        <v>17167</v>
      </c>
      <c r="E11" s="471" t="s">
        <v>20399</v>
      </c>
      <c r="F11" s="482">
        <v>100475</v>
      </c>
      <c r="G11" s="470" t="s">
        <v>205</v>
      </c>
      <c r="H11" s="482" t="s">
        <v>15528</v>
      </c>
      <c r="I11" s="483">
        <v>3.7600000000000001e-002</v>
      </c>
      <c r="J11" s="473">
        <f t="shared" ref="J11:J74" si="676">O11*$J$3</f>
        <v>725.75</v>
      </c>
      <c r="K11" s="474">
        <f t="shared" ref="K11:K13" si="677">I11*J11</f>
        <v>27.2882</v>
      </c>
      <c r="L11" s="475">
        <f t="shared" ref="L11:L74" si="678">P11*$L$3</f>
        <v>719.49000000000001</v>
      </c>
      <c r="M11" s="474">
        <f t="shared" ref="M11:M13" si="679">L11*I11</f>
        <v>27.052824000000001</v>
      </c>
      <c r="O11" s="434">
        <f t="shared" si="674"/>
        <v>725.75</v>
      </c>
      <c r="P11" s="435">
        <f t="shared" si="675"/>
        <v>719.49000000000001</v>
      </c>
      <c r="AE11" s="217"/>
      <c r="AF11" s="217">
        <v>1001</v>
      </c>
      <c r="AH11">
        <f t="shared" si="669"/>
        <v>1001</v>
      </c>
    </row>
    <row r="12" ht="30" hidden="1">
      <c r="A12" s="217"/>
      <c r="B12" s="217">
        <v>1001</v>
      </c>
      <c r="C12" s="217"/>
      <c r="D12" s="217" t="s">
        <v>17167</v>
      </c>
      <c r="E12" s="471" t="s">
        <v>20402</v>
      </c>
      <c r="F12" s="482">
        <v>88309</v>
      </c>
      <c r="G12" s="470" t="s">
        <v>7385</v>
      </c>
      <c r="H12" s="482" t="s">
        <v>2032</v>
      </c>
      <c r="I12" s="483">
        <v>0.46999999999999997</v>
      </c>
      <c r="J12" s="473">
        <f t="shared" si="676"/>
        <v>28.5</v>
      </c>
      <c r="K12" s="474">
        <f t="shared" si="677"/>
        <v>13.395</v>
      </c>
      <c r="L12" s="475">
        <f t="shared" si="678"/>
        <v>26.870000000000001</v>
      </c>
      <c r="M12" s="474">
        <f t="shared" si="679"/>
        <v>12.6289</v>
      </c>
      <c r="O12" s="434">
        <f t="shared" si="674"/>
        <v>28.5</v>
      </c>
      <c r="P12" s="435">
        <f t="shared" si="675"/>
        <v>26.870000000000001</v>
      </c>
      <c r="AE12" s="217"/>
      <c r="AF12" s="217">
        <v>1001</v>
      </c>
      <c r="AH12">
        <f t="shared" si="669"/>
        <v>1001</v>
      </c>
    </row>
    <row r="13" ht="30" hidden="1">
      <c r="A13" s="217"/>
      <c r="B13" s="217">
        <v>1001</v>
      </c>
      <c r="C13" s="217"/>
      <c r="D13" s="217" t="s">
        <v>17167</v>
      </c>
      <c r="E13" s="471" t="s">
        <v>20405</v>
      </c>
      <c r="F13" s="482">
        <v>88316</v>
      </c>
      <c r="G13" s="470" t="s">
        <v>7393</v>
      </c>
      <c r="H13" s="482" t="s">
        <v>2032</v>
      </c>
      <c r="I13" s="483">
        <v>0.17100000000000001</v>
      </c>
      <c r="J13" s="473">
        <f t="shared" si="676"/>
        <v>22.760000000000002</v>
      </c>
      <c r="K13" s="474">
        <f t="shared" si="677"/>
        <v>3.8919600000000005</v>
      </c>
      <c r="L13" s="475">
        <f t="shared" si="678"/>
        <v>21.550000000000001</v>
      </c>
      <c r="M13" s="474">
        <f t="shared" si="679"/>
        <v>3.6850500000000004</v>
      </c>
      <c r="O13" s="434">
        <f t="shared" si="674"/>
        <v>22.760000000000002</v>
      </c>
      <c r="P13" s="435">
        <f t="shared" si="675"/>
        <v>21.550000000000001</v>
      </c>
      <c r="AE13" s="217"/>
      <c r="AF13" s="217">
        <v>1001</v>
      </c>
      <c r="AH13">
        <f t="shared" si="669"/>
        <v>1001</v>
      </c>
    </row>
    <row r="14" ht="126" hidden="1">
      <c r="A14" s="460">
        <v>1002</v>
      </c>
      <c r="B14" s="460">
        <v>1002</v>
      </c>
      <c r="C14" s="460"/>
      <c r="D14" s="460"/>
      <c r="E14" s="461">
        <v>1</v>
      </c>
      <c r="F14" s="462" t="s">
        <v>20657</v>
      </c>
      <c r="G14" s="477" t="s">
        <v>20658</v>
      </c>
      <c r="H14" s="478" t="s">
        <v>20647</v>
      </c>
      <c r="I14" s="479"/>
      <c r="J14" s="480"/>
      <c r="K14" s="466">
        <f>SUM(K15:K32)</f>
        <v>4491.3718775200005</v>
      </c>
      <c r="L14" s="481"/>
      <c r="M14" s="466">
        <f>SUM(M15:M32)</f>
        <v>4357.104090216616</v>
      </c>
      <c r="O14" s="434" t="str">
        <f t="shared" si="674"/>
        <v xml:space="preserve">SEM VALOR</v>
      </c>
      <c r="P14" s="435" t="str">
        <f t="shared" si="675"/>
        <v xml:space="preserve">SEM VALOR</v>
      </c>
      <c r="AE14" s="460">
        <v>1002</v>
      </c>
      <c r="AF14" s="460"/>
      <c r="AH14">
        <f t="shared" si="669"/>
        <v>1002</v>
      </c>
    </row>
    <row r="15" ht="30" hidden="1">
      <c r="A15" s="217"/>
      <c r="B15" s="217">
        <v>1002</v>
      </c>
      <c r="C15" s="217"/>
      <c r="D15" s="217" t="s">
        <v>20398</v>
      </c>
      <c r="E15" s="471" t="s">
        <v>20399</v>
      </c>
      <c r="F15" s="482">
        <v>1003</v>
      </c>
      <c r="G15" s="470" t="s">
        <v>20659</v>
      </c>
      <c r="H15" s="482" t="s">
        <v>20647</v>
      </c>
      <c r="I15" s="483">
        <v>3</v>
      </c>
      <c r="J15" s="473">
        <f t="shared" si="676"/>
        <v>654.70647199999996</v>
      </c>
      <c r="K15" s="474">
        <f t="shared" ref="K15:K32" si="680">I15*J15</f>
        <v>1964.119416</v>
      </c>
      <c r="L15" s="475">
        <f t="shared" si="678"/>
        <v>633.82447200000001</v>
      </c>
      <c r="M15" s="474">
        <f t="shared" ref="M15:M32" si="681">L15*I15</f>
        <v>1901.473416</v>
      </c>
      <c r="O15" s="434">
        <f t="shared" si="674"/>
        <v>654.70647199999996</v>
      </c>
      <c r="P15" s="435">
        <f t="shared" si="675"/>
        <v>633.82447200000001</v>
      </c>
      <c r="AE15" s="217"/>
      <c r="AF15" s="217">
        <v>1002</v>
      </c>
      <c r="AH15">
        <f t="shared" si="669"/>
        <v>1002</v>
      </c>
    </row>
    <row r="16" ht="60" hidden="1">
      <c r="A16" s="217"/>
      <c r="B16" s="217">
        <v>1002</v>
      </c>
      <c r="C16" s="217"/>
      <c r="D16" s="217" t="s">
        <v>20398</v>
      </c>
      <c r="E16" s="471" t="s">
        <v>20402</v>
      </c>
      <c r="F16" s="482">
        <v>1258</v>
      </c>
      <c r="G16" s="470" t="s">
        <v>20660</v>
      </c>
      <c r="H16" s="482" t="s">
        <v>15515</v>
      </c>
      <c r="I16" s="483">
        <v>3.4199999999999999</v>
      </c>
      <c r="J16" s="473">
        <f t="shared" si="676"/>
        <v>7.5700000000000003</v>
      </c>
      <c r="K16" s="474">
        <f t="shared" si="680"/>
        <v>25.889400000000002</v>
      </c>
      <c r="L16" s="475">
        <f t="shared" si="678"/>
        <v>7.1846199999999998</v>
      </c>
      <c r="M16" s="474">
        <f t="shared" si="681"/>
        <v>24.571400399999998</v>
      </c>
      <c r="O16" s="434">
        <f t="shared" si="674"/>
        <v>7.5700000000000003</v>
      </c>
      <c r="P16" s="435">
        <f t="shared" si="675"/>
        <v>7.1846199999999998</v>
      </c>
      <c r="AE16" s="217"/>
      <c r="AF16" s="217">
        <v>1002</v>
      </c>
      <c r="AH16">
        <f t="shared" si="669"/>
        <v>1002</v>
      </c>
    </row>
    <row r="17" ht="45" hidden="1">
      <c r="A17" s="217"/>
      <c r="B17" s="217">
        <v>1002</v>
      </c>
      <c r="C17" s="217"/>
      <c r="D17" s="217" t="s">
        <v>17167</v>
      </c>
      <c r="E17" s="471" t="s">
        <v>20405</v>
      </c>
      <c r="F17" s="482">
        <v>93358</v>
      </c>
      <c r="G17" s="470" t="s">
        <v>20661</v>
      </c>
      <c r="H17" s="482" t="s">
        <v>15528</v>
      </c>
      <c r="I17" s="483">
        <v>3.5899999999999999</v>
      </c>
      <c r="J17" s="473">
        <f t="shared" si="676"/>
        <v>90.030000000000001</v>
      </c>
      <c r="K17" s="474">
        <f t="shared" si="680"/>
        <v>323.20769999999999</v>
      </c>
      <c r="L17" s="475">
        <f t="shared" si="678"/>
        <v>85.239999999999995</v>
      </c>
      <c r="M17" s="474">
        <f t="shared" si="681"/>
        <v>306.01159999999999</v>
      </c>
      <c r="O17" s="434">
        <f t="shared" si="674"/>
        <v>90.030000000000001</v>
      </c>
      <c r="P17" s="435">
        <f t="shared" si="675"/>
        <v>85.239999999999995</v>
      </c>
      <c r="AE17" s="217"/>
      <c r="AF17" s="217">
        <v>1002</v>
      </c>
      <c r="AH17">
        <f t="shared" si="669"/>
        <v>1002</v>
      </c>
    </row>
    <row r="18" ht="75" hidden="1">
      <c r="A18" s="217"/>
      <c r="B18" s="217">
        <v>1002</v>
      </c>
      <c r="C18" s="217"/>
      <c r="D18" s="217" t="s">
        <v>20398</v>
      </c>
      <c r="E18" s="471" t="s">
        <v>20409</v>
      </c>
      <c r="F18" s="482">
        <v>1267</v>
      </c>
      <c r="G18" s="470" t="s">
        <v>20662</v>
      </c>
      <c r="H18" s="482" t="s">
        <v>38</v>
      </c>
      <c r="I18" s="483">
        <v>11.859999999999999</v>
      </c>
      <c r="J18" s="473">
        <f t="shared" si="676"/>
        <v>3.2499999999999996</v>
      </c>
      <c r="K18" s="474">
        <f t="shared" si="680"/>
        <v>38.544999999999995</v>
      </c>
      <c r="L18" s="475">
        <f t="shared" si="678"/>
        <v>3.1657000000000002</v>
      </c>
      <c r="M18" s="474">
        <f t="shared" si="681"/>
        <v>37.545202000000003</v>
      </c>
      <c r="O18" s="434">
        <f t="shared" si="674"/>
        <v>3.2499999999999996</v>
      </c>
      <c r="P18" s="435">
        <f t="shared" si="675"/>
        <v>3.1657000000000002</v>
      </c>
      <c r="AE18" s="217"/>
      <c r="AF18" s="217">
        <v>1002</v>
      </c>
      <c r="AH18">
        <f t="shared" si="669"/>
        <v>1002</v>
      </c>
    </row>
    <row r="19" ht="75" hidden="1">
      <c r="A19" s="217"/>
      <c r="B19" s="217">
        <v>1002</v>
      </c>
      <c r="C19" s="217"/>
      <c r="D19" s="217" t="s">
        <v>20398</v>
      </c>
      <c r="E19" s="471" t="s">
        <v>20663</v>
      </c>
      <c r="F19" s="482">
        <v>1270</v>
      </c>
      <c r="G19" s="470" t="s">
        <v>20664</v>
      </c>
      <c r="H19" s="482" t="s">
        <v>15528</v>
      </c>
      <c r="I19" s="483">
        <f>4.24*0.18</f>
        <v>0.76319999999999999</v>
      </c>
      <c r="J19" s="473">
        <f t="shared" si="676"/>
        <v>19.439999999999998</v>
      </c>
      <c r="K19" s="474">
        <f t="shared" si="680"/>
        <v>14.836607999999998</v>
      </c>
      <c r="L19" s="475">
        <f t="shared" si="678"/>
        <v>18.886704505000001</v>
      </c>
      <c r="M19" s="474">
        <f t="shared" si="681"/>
        <v>14.414332878216001</v>
      </c>
      <c r="O19" s="434">
        <f t="shared" si="674"/>
        <v>19.439999999999998</v>
      </c>
      <c r="P19" s="435">
        <f t="shared" si="675"/>
        <v>18.886704505000001</v>
      </c>
      <c r="AE19" s="217"/>
      <c r="AF19" s="217">
        <v>1002</v>
      </c>
      <c r="AH19">
        <f t="shared" si="669"/>
        <v>1002</v>
      </c>
    </row>
    <row r="20" ht="105" hidden="1">
      <c r="A20" s="217"/>
      <c r="B20" s="217">
        <v>1002</v>
      </c>
      <c r="C20" s="217"/>
      <c r="D20" s="217" t="s">
        <v>20398</v>
      </c>
      <c r="E20" s="471" t="s">
        <v>20665</v>
      </c>
      <c r="F20" s="482">
        <v>1092</v>
      </c>
      <c r="G20" s="470" t="s">
        <v>20666</v>
      </c>
      <c r="H20" s="482" t="s">
        <v>15528</v>
      </c>
      <c r="I20" s="483">
        <f>1.3*I19</f>
        <v>0.99216000000000004</v>
      </c>
      <c r="J20" s="473">
        <f t="shared" si="676"/>
        <v>2.2000000000000002</v>
      </c>
      <c r="K20" s="474">
        <f t="shared" si="680"/>
        <v>2.1827520000000002</v>
      </c>
      <c r="L20" s="475">
        <f t="shared" si="678"/>
        <v>2.1879900000000001</v>
      </c>
      <c r="M20" s="474">
        <f t="shared" si="681"/>
        <v>2.1708361584000002</v>
      </c>
      <c r="O20" s="434">
        <f t="shared" si="674"/>
        <v>2.2000000000000002</v>
      </c>
      <c r="P20" s="435">
        <f t="shared" si="675"/>
        <v>2.1879900000000001</v>
      </c>
      <c r="AE20" s="217"/>
      <c r="AF20" s="217">
        <v>1002</v>
      </c>
      <c r="AH20">
        <f t="shared" si="669"/>
        <v>1002</v>
      </c>
    </row>
    <row r="21" ht="60" hidden="1">
      <c r="A21" s="217"/>
      <c r="B21" s="217">
        <v>1002</v>
      </c>
      <c r="C21" s="217"/>
      <c r="D21" s="217" t="s">
        <v>17167</v>
      </c>
      <c r="E21" s="471" t="s">
        <v>20667</v>
      </c>
      <c r="F21" s="482">
        <v>95875</v>
      </c>
      <c r="G21" s="470" t="s">
        <v>20668</v>
      </c>
      <c r="H21" s="482" t="s">
        <v>20669</v>
      </c>
      <c r="I21" s="483">
        <f>5*I20</f>
        <v>4.9607999999999999</v>
      </c>
      <c r="J21" s="473">
        <f t="shared" si="676"/>
        <v>2.7599999999999998</v>
      </c>
      <c r="K21" s="474">
        <f t="shared" si="680"/>
        <v>13.691807999999998</v>
      </c>
      <c r="L21" s="475">
        <f t="shared" si="678"/>
        <v>2.73</v>
      </c>
      <c r="M21" s="474">
        <f t="shared" si="681"/>
        <v>13.542983999999999</v>
      </c>
      <c r="N21" s="467" t="s">
        <v>20670</v>
      </c>
      <c r="O21" s="434">
        <f t="shared" si="674"/>
        <v>2.7599999999999998</v>
      </c>
      <c r="P21" s="435">
        <f t="shared" si="675"/>
        <v>2.73</v>
      </c>
      <c r="AE21" s="217"/>
      <c r="AF21" s="217">
        <v>1002</v>
      </c>
      <c r="AH21">
        <f t="shared" si="669"/>
        <v>1002</v>
      </c>
    </row>
    <row r="22" ht="105" hidden="1">
      <c r="A22" s="217"/>
      <c r="B22" s="217">
        <v>1002</v>
      </c>
      <c r="C22" s="217"/>
      <c r="D22" s="217" t="s">
        <v>17167</v>
      </c>
      <c r="E22" s="471" t="s">
        <v>20671</v>
      </c>
      <c r="F22" s="482">
        <v>5928</v>
      </c>
      <c r="G22" s="470" t="s">
        <v>1739</v>
      </c>
      <c r="H22" s="482" t="s">
        <v>1535</v>
      </c>
      <c r="I22" s="483">
        <v>0.10000000000000001</v>
      </c>
      <c r="J22" s="473">
        <f t="shared" si="676"/>
        <v>298.70999999999998</v>
      </c>
      <c r="K22" s="474">
        <f t="shared" si="680"/>
        <v>29.870999999999999</v>
      </c>
      <c r="L22" s="475">
        <f t="shared" si="678"/>
        <v>296.98000000000002</v>
      </c>
      <c r="M22" s="474">
        <f t="shared" si="681"/>
        <v>29.698000000000004</v>
      </c>
      <c r="O22" s="434">
        <f t="shared" si="674"/>
        <v>298.70999999999998</v>
      </c>
      <c r="P22" s="435">
        <f t="shared" si="675"/>
        <v>296.98000000000002</v>
      </c>
      <c r="AE22" s="217"/>
      <c r="AF22" s="217">
        <v>1002</v>
      </c>
      <c r="AH22">
        <f t="shared" si="669"/>
        <v>1002</v>
      </c>
    </row>
    <row r="23" ht="45" hidden="1">
      <c r="A23" s="217"/>
      <c r="B23" s="217">
        <v>1002</v>
      </c>
      <c r="C23" s="217"/>
      <c r="D23" s="217" t="s">
        <v>20398</v>
      </c>
      <c r="E23" s="471" t="s">
        <v>20672</v>
      </c>
      <c r="F23" s="482">
        <v>1000</v>
      </c>
      <c r="G23" s="470" t="s">
        <v>20651</v>
      </c>
      <c r="H23" s="482" t="s">
        <v>15528</v>
      </c>
      <c r="I23" s="483">
        <f>I30+I29</f>
        <v>0.59999999999999998</v>
      </c>
      <c r="J23" s="473">
        <f t="shared" si="676"/>
        <v>149.904</v>
      </c>
      <c r="K23" s="474">
        <f t="shared" si="680"/>
        <v>89.942399999999992</v>
      </c>
      <c r="L23" s="475">
        <f t="shared" si="678"/>
        <v>141.76949999999999</v>
      </c>
      <c r="M23" s="474">
        <f t="shared" si="681"/>
        <v>85.061699999999988</v>
      </c>
      <c r="O23" s="434">
        <f t="shared" si="674"/>
        <v>149.904</v>
      </c>
      <c r="P23" s="435">
        <f t="shared" si="675"/>
        <v>141.76949999999999</v>
      </c>
      <c r="AE23" s="217"/>
      <c r="AF23" s="217">
        <v>1002</v>
      </c>
      <c r="AH23">
        <f t="shared" si="669"/>
        <v>1002</v>
      </c>
    </row>
    <row r="24" ht="105" hidden="1">
      <c r="A24" s="217"/>
      <c r="B24" s="217">
        <v>1002</v>
      </c>
      <c r="C24" s="217"/>
      <c r="D24" s="217" t="s">
        <v>17167</v>
      </c>
      <c r="E24" s="471" t="s">
        <v>20673</v>
      </c>
      <c r="F24" s="482">
        <v>92431</v>
      </c>
      <c r="G24" s="470" t="s">
        <v>20674</v>
      </c>
      <c r="H24" s="482" t="s">
        <v>15515</v>
      </c>
      <c r="I24" s="483">
        <v>0.54000000000000004</v>
      </c>
      <c r="J24" s="473">
        <f t="shared" si="676"/>
        <v>70.030000000000001</v>
      </c>
      <c r="K24" s="474">
        <f t="shared" si="680"/>
        <v>37.816200000000002</v>
      </c>
      <c r="L24" s="475">
        <f t="shared" si="678"/>
        <v>68.510000000000005</v>
      </c>
      <c r="M24" s="474">
        <f t="shared" si="681"/>
        <v>36.995400000000004</v>
      </c>
      <c r="O24" s="434">
        <f t="shared" si="674"/>
        <v>70.030000000000001</v>
      </c>
      <c r="P24" s="435">
        <f t="shared" si="675"/>
        <v>68.510000000000005</v>
      </c>
      <c r="AE24" s="217"/>
      <c r="AF24" s="217">
        <v>1002</v>
      </c>
      <c r="AH24">
        <f t="shared" si="669"/>
        <v>1002</v>
      </c>
    </row>
    <row r="25" ht="45" hidden="1">
      <c r="A25" s="217"/>
      <c r="B25" s="217">
        <v>1002</v>
      </c>
      <c r="C25" s="217"/>
      <c r="D25" s="217" t="s">
        <v>17167</v>
      </c>
      <c r="E25" s="471" t="s">
        <v>20675</v>
      </c>
      <c r="F25" s="482">
        <v>96543</v>
      </c>
      <c r="G25" s="470" t="s">
        <v>20676</v>
      </c>
      <c r="H25" s="482" t="s">
        <v>302</v>
      </c>
      <c r="I25" s="483">
        <v>1.3400000000000001</v>
      </c>
      <c r="J25" s="473">
        <f t="shared" si="676"/>
        <v>19.829999999999998</v>
      </c>
      <c r="K25" s="474">
        <f t="shared" si="680"/>
        <v>26.572199999999999</v>
      </c>
      <c r="L25" s="475">
        <f t="shared" si="678"/>
        <v>19.210000000000001</v>
      </c>
      <c r="M25" s="474">
        <f t="shared" si="681"/>
        <v>25.741400000000002</v>
      </c>
      <c r="O25" s="434">
        <f t="shared" si="674"/>
        <v>19.829999999999998</v>
      </c>
      <c r="P25" s="435">
        <f t="shared" si="675"/>
        <v>19.210000000000001</v>
      </c>
      <c r="AE25" s="217"/>
      <c r="AF25" s="217">
        <v>1002</v>
      </c>
      <c r="AH25">
        <f t="shared" si="669"/>
        <v>1002</v>
      </c>
    </row>
    <row r="26" ht="45" hidden="1">
      <c r="A26" s="217"/>
      <c r="B26" s="217">
        <v>1002</v>
      </c>
      <c r="C26" s="217"/>
      <c r="D26" s="217" t="s">
        <v>17167</v>
      </c>
      <c r="E26" s="471" t="s">
        <v>20677</v>
      </c>
      <c r="F26" s="482">
        <v>96545</v>
      </c>
      <c r="G26" s="470" t="s">
        <v>20678</v>
      </c>
      <c r="H26" s="482" t="s">
        <v>302</v>
      </c>
      <c r="I26" s="483">
        <v>3</v>
      </c>
      <c r="J26" s="473">
        <f t="shared" si="676"/>
        <v>15.82</v>
      </c>
      <c r="K26" s="474">
        <f t="shared" si="680"/>
        <v>47.460000000000001</v>
      </c>
      <c r="L26" s="475">
        <f t="shared" si="678"/>
        <v>15.48</v>
      </c>
      <c r="M26" s="474">
        <f t="shared" si="681"/>
        <v>46.439999999999998</v>
      </c>
      <c r="O26" s="434">
        <f t="shared" si="674"/>
        <v>15.82</v>
      </c>
      <c r="P26" s="435">
        <f t="shared" si="675"/>
        <v>15.48</v>
      </c>
      <c r="AE26" s="217"/>
      <c r="AF26" s="217">
        <v>1002</v>
      </c>
      <c r="AH26">
        <f t="shared" si="669"/>
        <v>1002</v>
      </c>
    </row>
    <row r="27" ht="75" hidden="1">
      <c r="A27" s="217"/>
      <c r="B27" s="217">
        <v>1002</v>
      </c>
      <c r="C27" s="217"/>
      <c r="D27" s="217" t="s">
        <v>20398</v>
      </c>
      <c r="E27" s="471" t="s">
        <v>20679</v>
      </c>
      <c r="F27" s="482">
        <v>1064</v>
      </c>
      <c r="G27" s="470" t="s">
        <v>20680</v>
      </c>
      <c r="H27" s="482" t="s">
        <v>15515</v>
      </c>
      <c r="I27" s="483">
        <v>4.21</v>
      </c>
      <c r="J27" s="473">
        <f t="shared" si="676"/>
        <v>202.79016000000001</v>
      </c>
      <c r="K27" s="474">
        <f t="shared" si="680"/>
        <v>853.74657360000003</v>
      </c>
      <c r="L27" s="475">
        <f t="shared" si="678"/>
        <v>197.94299999999998</v>
      </c>
      <c r="M27" s="474">
        <f t="shared" si="681"/>
        <v>833.34002999999996</v>
      </c>
      <c r="O27" s="434">
        <f t="shared" si="674"/>
        <v>202.79016000000001</v>
      </c>
      <c r="P27" s="435">
        <f t="shared" si="675"/>
        <v>197.94299999999998</v>
      </c>
      <c r="AE27" s="217"/>
      <c r="AF27" s="217">
        <v>1002</v>
      </c>
      <c r="AH27">
        <f t="shared" si="669"/>
        <v>1002</v>
      </c>
    </row>
    <row r="28" ht="75" hidden="1">
      <c r="A28" s="217"/>
      <c r="B28" s="217">
        <v>1002</v>
      </c>
      <c r="C28" s="217"/>
      <c r="D28" s="217" t="s">
        <v>20398</v>
      </c>
      <c r="E28" s="471" t="s">
        <v>20681</v>
      </c>
      <c r="F28" s="482">
        <v>1065</v>
      </c>
      <c r="G28" s="470" t="s">
        <v>20682</v>
      </c>
      <c r="H28" s="482" t="s">
        <v>15515</v>
      </c>
      <c r="I28" s="483">
        <v>3.3999999999999999</v>
      </c>
      <c r="J28" s="473">
        <f t="shared" si="676"/>
        <v>104.37038079999999</v>
      </c>
      <c r="K28" s="474">
        <f t="shared" si="680"/>
        <v>354.85929471999998</v>
      </c>
      <c r="L28" s="475">
        <f t="shared" si="678"/>
        <v>101.735</v>
      </c>
      <c r="M28" s="474">
        <f t="shared" si="681"/>
        <v>345.899</v>
      </c>
      <c r="O28" s="434">
        <f t="shared" si="674"/>
        <v>104.37038079999999</v>
      </c>
      <c r="P28" s="435">
        <f t="shared" si="675"/>
        <v>101.735</v>
      </c>
      <c r="AE28" s="217"/>
      <c r="AF28" s="217">
        <v>1002</v>
      </c>
      <c r="AH28">
        <f t="shared" si="669"/>
        <v>1002</v>
      </c>
    </row>
    <row r="29" ht="60" hidden="1">
      <c r="A29" s="217"/>
      <c r="B29" s="217">
        <v>1002</v>
      </c>
      <c r="C29" s="217"/>
      <c r="D29" s="217" t="s">
        <v>17167</v>
      </c>
      <c r="E29" s="471" t="s">
        <v>20683</v>
      </c>
      <c r="F29" s="482">
        <v>94963</v>
      </c>
      <c r="G29" s="470" t="s">
        <v>20684</v>
      </c>
      <c r="H29" s="482" t="s">
        <v>15528</v>
      </c>
      <c r="I29" s="483">
        <v>0.34000000000000002</v>
      </c>
      <c r="J29" s="473">
        <f t="shared" si="676"/>
        <v>441.43000000000001</v>
      </c>
      <c r="K29" s="474">
        <f t="shared" si="680"/>
        <v>150.08620000000002</v>
      </c>
      <c r="L29" s="475">
        <f t="shared" si="678"/>
        <v>436.14999999999998</v>
      </c>
      <c r="M29" s="474">
        <f t="shared" si="681"/>
        <v>148.291</v>
      </c>
      <c r="O29" s="434">
        <f t="shared" si="674"/>
        <v>441.43000000000001</v>
      </c>
      <c r="P29" s="435">
        <f t="shared" si="675"/>
        <v>436.14999999999998</v>
      </c>
      <c r="AE29" s="217"/>
      <c r="AF29" s="217">
        <v>1002</v>
      </c>
      <c r="AH29">
        <f t="shared" si="669"/>
        <v>1002</v>
      </c>
    </row>
    <row r="30" ht="60" hidden="1">
      <c r="A30" s="217"/>
      <c r="B30" s="217">
        <v>1002</v>
      </c>
      <c r="C30" s="217"/>
      <c r="D30" s="217" t="s">
        <v>17167</v>
      </c>
      <c r="E30" s="471" t="s">
        <v>20685</v>
      </c>
      <c r="F30" s="482">
        <v>94964</v>
      </c>
      <c r="G30" s="470" t="s">
        <v>20686</v>
      </c>
      <c r="H30" s="482" t="s">
        <v>15528</v>
      </c>
      <c r="I30" s="483">
        <v>0.26000000000000001</v>
      </c>
      <c r="J30" s="473">
        <f t="shared" si="676"/>
        <v>488.52999999999997</v>
      </c>
      <c r="K30" s="474">
        <f t="shared" si="680"/>
        <v>127.01779999999999</v>
      </c>
      <c r="L30" s="475">
        <f t="shared" si="678"/>
        <v>482.79000000000002</v>
      </c>
      <c r="M30" s="474">
        <f t="shared" si="681"/>
        <v>125.5254</v>
      </c>
      <c r="O30" s="434">
        <f t="shared" si="674"/>
        <v>488.52999999999997</v>
      </c>
      <c r="P30" s="435">
        <f t="shared" si="675"/>
        <v>482.79000000000002</v>
      </c>
      <c r="AE30" s="217"/>
      <c r="AF30" s="217">
        <v>1002</v>
      </c>
      <c r="AH30">
        <f t="shared" si="669"/>
        <v>1002</v>
      </c>
    </row>
    <row r="31" ht="75" hidden="1">
      <c r="A31" s="217"/>
      <c r="B31" s="217">
        <v>1002</v>
      </c>
      <c r="C31" s="217"/>
      <c r="D31" s="217" t="s">
        <v>17167</v>
      </c>
      <c r="E31" s="471" t="s">
        <v>20687</v>
      </c>
      <c r="F31" s="482">
        <v>87879</v>
      </c>
      <c r="G31" s="470" t="s">
        <v>20688</v>
      </c>
      <c r="H31" s="482" t="s">
        <v>15515</v>
      </c>
      <c r="I31" s="483">
        <v>7.9699999999999998</v>
      </c>
      <c r="J31" s="473">
        <f t="shared" si="676"/>
        <v>4.5499999999999998</v>
      </c>
      <c r="K31" s="474">
        <f t="shared" si="680"/>
        <v>36.263500000000001</v>
      </c>
      <c r="L31" s="475">
        <f t="shared" si="678"/>
        <v>4.3600000000000003</v>
      </c>
      <c r="M31" s="474">
        <f t="shared" si="681"/>
        <v>34.749200000000002</v>
      </c>
      <c r="O31" s="434">
        <f t="shared" si="674"/>
        <v>4.5499999999999998</v>
      </c>
      <c r="P31" s="435">
        <f t="shared" si="675"/>
        <v>4.3600000000000003</v>
      </c>
      <c r="AE31" s="217"/>
      <c r="AF31" s="217">
        <v>1002</v>
      </c>
      <c r="AH31">
        <f t="shared" si="669"/>
        <v>1002</v>
      </c>
    </row>
    <row r="32" ht="90" hidden="1">
      <c r="A32" s="217"/>
      <c r="B32" s="217">
        <v>1002</v>
      </c>
      <c r="C32" s="217"/>
      <c r="D32" s="217" t="s">
        <v>20398</v>
      </c>
      <c r="E32" s="471" t="s">
        <v>20689</v>
      </c>
      <c r="F32" s="482">
        <v>1001</v>
      </c>
      <c r="G32" s="470" t="s">
        <v>20690</v>
      </c>
      <c r="H32" s="482" t="s">
        <v>15515</v>
      </c>
      <c r="I32" s="483">
        <f>I31</f>
        <v>7.9699999999999998</v>
      </c>
      <c r="J32" s="473">
        <f t="shared" si="676"/>
        <v>44.575159999999997</v>
      </c>
      <c r="K32" s="474">
        <f t="shared" si="680"/>
        <v>355.26402519999994</v>
      </c>
      <c r="L32" s="475">
        <f t="shared" si="678"/>
        <v>43.366774000000007</v>
      </c>
      <c r="M32" s="474">
        <f t="shared" si="681"/>
        <v>345.63318878000007</v>
      </c>
      <c r="O32" s="434">
        <f t="shared" si="674"/>
        <v>44.575159999999997</v>
      </c>
      <c r="P32" s="435">
        <f t="shared" si="675"/>
        <v>43.366774000000007</v>
      </c>
      <c r="AE32" s="217"/>
      <c r="AF32" s="217">
        <v>1002</v>
      </c>
      <c r="AH32">
        <f>IF(AF32:AF32=FALSE,AE32,AF32)</f>
        <v>1002</v>
      </c>
    </row>
    <row r="33" ht="31.5" hidden="1">
      <c r="A33" s="460">
        <v>1003</v>
      </c>
      <c r="B33" s="460">
        <v>1003</v>
      </c>
      <c r="C33" s="460"/>
      <c r="D33" s="460"/>
      <c r="E33" s="461">
        <v>1</v>
      </c>
      <c r="F33" s="462" t="s">
        <v>20691</v>
      </c>
      <c r="G33" s="477" t="s">
        <v>20659</v>
      </c>
      <c r="H33" s="478" t="s">
        <v>20647</v>
      </c>
      <c r="I33" s="479"/>
      <c r="J33" s="480"/>
      <c r="K33" s="466">
        <f>SUM(K34:K42)</f>
        <v>654.70647199999996</v>
      </c>
      <c r="L33" s="480"/>
      <c r="M33" s="466">
        <f>SUM(M34:M42)</f>
        <v>633.82447200000001</v>
      </c>
      <c r="O33" s="434" t="str">
        <f t="shared" si="674"/>
        <v xml:space="preserve">SEM VALOR</v>
      </c>
      <c r="P33" s="435" t="str">
        <f t="shared" si="675"/>
        <v xml:space="preserve">SEM VALOR</v>
      </c>
      <c r="AE33" s="460">
        <v>1003</v>
      </c>
      <c r="AF33" s="460"/>
      <c r="AH33">
        <f t="shared" ref="AH33:AH96" si="682">IF(AF33:AF34=FALSE,AE33,AF33)</f>
        <v>1003</v>
      </c>
    </row>
    <row r="34" ht="30" hidden="1">
      <c r="A34" s="217"/>
      <c r="B34" s="217">
        <v>1003</v>
      </c>
      <c r="C34" s="217"/>
      <c r="D34" s="217" t="s">
        <v>20408</v>
      </c>
      <c r="E34" s="471" t="s">
        <v>20399</v>
      </c>
      <c r="F34" s="482">
        <v>4777</v>
      </c>
      <c r="G34" s="470" t="s">
        <v>20692</v>
      </c>
      <c r="H34" s="482" t="s">
        <v>302</v>
      </c>
      <c r="I34" s="483">
        <f>6.3336</f>
        <v>6.3335999999999997</v>
      </c>
      <c r="J34" s="473">
        <f t="shared" si="676"/>
        <v>8.0199999999999996</v>
      </c>
      <c r="K34" s="474">
        <f t="shared" ref="K34:K42" si="683">I34*J34</f>
        <v>50.795471999999997</v>
      </c>
      <c r="L34" s="475">
        <f t="shared" si="678"/>
        <v>8.0199999999999996</v>
      </c>
      <c r="M34" s="474">
        <f t="shared" ref="M34:M42" si="684">L34*I34</f>
        <v>50.795471999999997</v>
      </c>
      <c r="O34" s="434">
        <f t="shared" si="674"/>
        <v>8.0199999999999996</v>
      </c>
      <c r="P34" s="435">
        <f t="shared" si="675"/>
        <v>8.0199999999999996</v>
      </c>
      <c r="AE34" s="217"/>
      <c r="AF34" s="217">
        <v>1003</v>
      </c>
      <c r="AH34">
        <f t="shared" si="682"/>
        <v>1003</v>
      </c>
    </row>
    <row r="35" ht="45" hidden="1">
      <c r="A35" s="217"/>
      <c r="B35" s="217">
        <v>1003</v>
      </c>
      <c r="C35" s="217"/>
      <c r="D35" s="217" t="s">
        <v>20408</v>
      </c>
      <c r="E35" s="471" t="s">
        <v>20402</v>
      </c>
      <c r="F35" s="482">
        <v>43054</v>
      </c>
      <c r="G35" s="470" t="s">
        <v>20693</v>
      </c>
      <c r="H35" s="482" t="s">
        <v>302</v>
      </c>
      <c r="I35" s="483">
        <v>14.940799999999999</v>
      </c>
      <c r="J35" s="473">
        <f t="shared" si="676"/>
        <v>8.3599999999999994</v>
      </c>
      <c r="K35" s="474">
        <f t="shared" si="683"/>
        <v>124.90508799999999</v>
      </c>
      <c r="L35" s="475">
        <f t="shared" si="678"/>
        <v>8.3599999999999994</v>
      </c>
      <c r="M35" s="474">
        <f t="shared" si="684"/>
        <v>124.90508799999999</v>
      </c>
      <c r="O35" s="434">
        <f t="shared" si="674"/>
        <v>8.3599999999999994</v>
      </c>
      <c r="P35" s="435">
        <f t="shared" si="675"/>
        <v>8.3599999999999994</v>
      </c>
      <c r="AE35" s="217"/>
      <c r="AF35" s="217">
        <v>1003</v>
      </c>
      <c r="AH35">
        <f t="shared" si="682"/>
        <v>1003</v>
      </c>
    </row>
    <row r="36" ht="60" hidden="1">
      <c r="A36" s="217"/>
      <c r="B36" s="217">
        <v>1003</v>
      </c>
      <c r="C36" s="217"/>
      <c r="D36" s="217" t="s">
        <v>20408</v>
      </c>
      <c r="E36" s="471" t="s">
        <v>20405</v>
      </c>
      <c r="F36" s="482">
        <v>546</v>
      </c>
      <c r="G36" s="470" t="s">
        <v>20694</v>
      </c>
      <c r="H36" s="482" t="s">
        <v>302</v>
      </c>
      <c r="I36" s="483">
        <v>5.8327999999999998</v>
      </c>
      <c r="J36" s="473">
        <f t="shared" si="676"/>
        <v>9.5899999999999999</v>
      </c>
      <c r="K36" s="474">
        <f t="shared" si="683"/>
        <v>55.936551999999999</v>
      </c>
      <c r="L36" s="475">
        <f t="shared" si="678"/>
        <v>9.5899999999999999</v>
      </c>
      <c r="M36" s="474">
        <f t="shared" si="684"/>
        <v>55.936551999999999</v>
      </c>
      <c r="O36" s="434">
        <f t="shared" si="674"/>
        <v>9.5899999999999999</v>
      </c>
      <c r="P36" s="435">
        <f t="shared" si="675"/>
        <v>9.5899999999999999</v>
      </c>
      <c r="AE36" s="217"/>
      <c r="AF36" s="217">
        <v>1003</v>
      </c>
      <c r="AH36">
        <f t="shared" si="682"/>
        <v>1003</v>
      </c>
    </row>
    <row r="37" hidden="1">
      <c r="A37" s="217"/>
      <c r="B37" s="217">
        <v>1003</v>
      </c>
      <c r="C37" s="217"/>
      <c r="D37" s="217" t="s">
        <v>20408</v>
      </c>
      <c r="E37" s="471" t="s">
        <v>20409</v>
      </c>
      <c r="F37" s="482">
        <v>34</v>
      </c>
      <c r="G37" s="470" t="s">
        <v>20695</v>
      </c>
      <c r="H37" s="482" t="s">
        <v>302</v>
      </c>
      <c r="I37" s="483">
        <v>0.372</v>
      </c>
      <c r="J37" s="473">
        <f t="shared" si="676"/>
        <v>7.7800000000000002</v>
      </c>
      <c r="K37" s="474">
        <f t="shared" si="683"/>
        <v>2.8941600000000003</v>
      </c>
      <c r="L37" s="475">
        <f t="shared" si="678"/>
        <v>7.7800000000000002</v>
      </c>
      <c r="M37" s="474">
        <f t="shared" si="684"/>
        <v>2.8941600000000003</v>
      </c>
      <c r="O37" s="434">
        <f t="shared" si="674"/>
        <v>7.7800000000000002</v>
      </c>
      <c r="P37" s="435">
        <f t="shared" si="675"/>
        <v>7.7800000000000002</v>
      </c>
      <c r="AE37" s="217"/>
      <c r="AF37" s="217">
        <v>1003</v>
      </c>
      <c r="AH37">
        <f t="shared" si="682"/>
        <v>1003</v>
      </c>
    </row>
    <row r="38" ht="30" hidden="1">
      <c r="A38" s="217"/>
      <c r="B38" s="217">
        <v>1003</v>
      </c>
      <c r="C38" s="217"/>
      <c r="D38" s="217" t="s">
        <v>17167</v>
      </c>
      <c r="E38" s="471" t="s">
        <v>20663</v>
      </c>
      <c r="F38" s="482">
        <v>88243</v>
      </c>
      <c r="G38" s="470" t="s">
        <v>20696</v>
      </c>
      <c r="H38" s="482" t="s">
        <v>2032</v>
      </c>
      <c r="I38" s="483">
        <v>6</v>
      </c>
      <c r="J38" s="473">
        <f t="shared" si="676"/>
        <v>23.739999999999998</v>
      </c>
      <c r="K38" s="474">
        <f t="shared" si="683"/>
        <v>142.44</v>
      </c>
      <c r="L38" s="475">
        <f t="shared" si="678"/>
        <v>22.460000000000001</v>
      </c>
      <c r="M38" s="474">
        <f t="shared" si="684"/>
        <v>134.75999999999999</v>
      </c>
      <c r="O38" s="434">
        <f t="shared" si="674"/>
        <v>23.739999999999998</v>
      </c>
      <c r="P38" s="435">
        <f t="shared" si="675"/>
        <v>22.460000000000001</v>
      </c>
      <c r="AE38" s="217"/>
      <c r="AF38" s="217">
        <v>1003</v>
      </c>
      <c r="AH38">
        <f t="shared" si="682"/>
        <v>1003</v>
      </c>
    </row>
    <row r="39" ht="30" hidden="1">
      <c r="A39" s="217"/>
      <c r="B39" s="217">
        <v>1003</v>
      </c>
      <c r="C39" s="217"/>
      <c r="D39" s="217" t="s">
        <v>17167</v>
      </c>
      <c r="E39" s="471" t="s">
        <v>20665</v>
      </c>
      <c r="F39" s="482">
        <v>88310</v>
      </c>
      <c r="G39" s="470" t="s">
        <v>7386</v>
      </c>
      <c r="H39" s="482" t="s">
        <v>2032</v>
      </c>
      <c r="I39" s="483">
        <v>2.2000000000000002</v>
      </c>
      <c r="J39" s="473">
        <f t="shared" si="676"/>
        <v>30.210000000000001</v>
      </c>
      <c r="K39" s="474">
        <f t="shared" si="683"/>
        <v>66.462000000000003</v>
      </c>
      <c r="L39" s="475">
        <f t="shared" si="678"/>
        <v>28.600000000000001</v>
      </c>
      <c r="M39" s="474">
        <f t="shared" si="684"/>
        <v>62.920000000000009</v>
      </c>
      <c r="O39" s="434">
        <f t="shared" si="674"/>
        <v>30.210000000000001</v>
      </c>
      <c r="P39" s="435">
        <f t="shared" si="675"/>
        <v>28.600000000000001</v>
      </c>
      <c r="AE39" s="217"/>
      <c r="AF39" s="217">
        <v>1003</v>
      </c>
      <c r="AH39">
        <f t="shared" si="682"/>
        <v>1003</v>
      </c>
    </row>
    <row r="40" ht="30" hidden="1">
      <c r="A40" s="217"/>
      <c r="B40" s="217">
        <v>1003</v>
      </c>
      <c r="C40" s="217"/>
      <c r="D40" s="217" t="s">
        <v>17167</v>
      </c>
      <c r="E40" s="471" t="s">
        <v>20667</v>
      </c>
      <c r="F40" s="482">
        <v>88317</v>
      </c>
      <c r="G40" s="470" t="s">
        <v>7396</v>
      </c>
      <c r="H40" s="482" t="s">
        <v>2032</v>
      </c>
      <c r="I40" s="483">
        <v>6</v>
      </c>
      <c r="J40" s="473">
        <f t="shared" si="676"/>
        <v>29.559999999999999</v>
      </c>
      <c r="K40" s="474">
        <f t="shared" si="683"/>
        <v>177.35999999999999</v>
      </c>
      <c r="L40" s="475">
        <f t="shared" si="678"/>
        <v>27.949999999999999</v>
      </c>
      <c r="M40" s="474">
        <f t="shared" si="684"/>
        <v>167.69999999999999</v>
      </c>
      <c r="O40" s="434">
        <f t="shared" si="674"/>
        <v>29.559999999999999</v>
      </c>
      <c r="P40" s="435">
        <f t="shared" si="675"/>
        <v>27.949999999999999</v>
      </c>
      <c r="AE40" s="217"/>
      <c r="AF40" s="217">
        <v>1003</v>
      </c>
      <c r="AH40">
        <f t="shared" si="682"/>
        <v>1003</v>
      </c>
    </row>
    <row r="41" ht="30" hidden="1">
      <c r="A41" s="217"/>
      <c r="B41" s="217">
        <v>1003</v>
      </c>
      <c r="C41" s="217"/>
      <c r="D41" s="217" t="s">
        <v>20408</v>
      </c>
      <c r="E41" s="471" t="s">
        <v>20671</v>
      </c>
      <c r="F41" s="482">
        <v>7307</v>
      </c>
      <c r="G41" s="470" t="s">
        <v>20697</v>
      </c>
      <c r="H41" s="482" t="s">
        <v>9794</v>
      </c>
      <c r="I41" s="483">
        <v>0.41999999999999998</v>
      </c>
      <c r="J41" s="473">
        <f t="shared" si="676"/>
        <v>41.960000000000001</v>
      </c>
      <c r="K41" s="474">
        <f t="shared" si="683"/>
        <v>17.623200000000001</v>
      </c>
      <c r="L41" s="475">
        <f t="shared" si="678"/>
        <v>41.960000000000001</v>
      </c>
      <c r="M41" s="474">
        <f t="shared" si="684"/>
        <v>17.623200000000001</v>
      </c>
      <c r="O41" s="434">
        <f t="shared" si="674"/>
        <v>41.960000000000001</v>
      </c>
      <c r="P41" s="435">
        <f t="shared" si="675"/>
        <v>41.960000000000001</v>
      </c>
      <c r="AE41" s="217"/>
      <c r="AF41" s="217">
        <v>1003</v>
      </c>
      <c r="AH41">
        <f t="shared" si="682"/>
        <v>1003</v>
      </c>
    </row>
    <row r="42" ht="30" hidden="1">
      <c r="A42" s="217"/>
      <c r="B42" s="217">
        <v>1003</v>
      </c>
      <c r="C42" s="217"/>
      <c r="D42" s="217" t="s">
        <v>20408</v>
      </c>
      <c r="E42" s="471" t="s">
        <v>20672</v>
      </c>
      <c r="F42" s="482">
        <v>10999</v>
      </c>
      <c r="G42" s="470" t="s">
        <v>20698</v>
      </c>
      <c r="H42" s="482" t="s">
        <v>302</v>
      </c>
      <c r="I42" s="483">
        <v>0.5</v>
      </c>
      <c r="J42" s="473">
        <f t="shared" si="676"/>
        <v>32.579999999999998</v>
      </c>
      <c r="K42" s="474">
        <f t="shared" si="683"/>
        <v>16.289999999999999</v>
      </c>
      <c r="L42" s="475">
        <f t="shared" si="678"/>
        <v>32.579999999999998</v>
      </c>
      <c r="M42" s="474">
        <f t="shared" si="684"/>
        <v>16.289999999999999</v>
      </c>
      <c r="O42" s="434">
        <f t="shared" si="674"/>
        <v>32.579999999999998</v>
      </c>
      <c r="P42" s="435">
        <f t="shared" si="675"/>
        <v>32.579999999999998</v>
      </c>
      <c r="AE42" s="217"/>
      <c r="AF42" s="217">
        <v>1003</v>
      </c>
      <c r="AH42">
        <f t="shared" si="682"/>
        <v>1003</v>
      </c>
    </row>
    <row r="43" ht="47.25" hidden="1">
      <c r="A43" s="460">
        <v>1004</v>
      </c>
      <c r="B43" s="460">
        <v>1004</v>
      </c>
      <c r="C43" s="460"/>
      <c r="D43" s="460"/>
      <c r="E43" s="461">
        <v>1</v>
      </c>
      <c r="F43" s="462" t="s">
        <v>20699</v>
      </c>
      <c r="G43" s="477" t="s">
        <v>20700</v>
      </c>
      <c r="H43" s="478" t="s">
        <v>15383</v>
      </c>
      <c r="I43" s="479"/>
      <c r="J43" s="480"/>
      <c r="K43" s="466">
        <f>SUM(K44:K50)</f>
        <v>546.83240000000001</v>
      </c>
      <c r="L43" s="480"/>
      <c r="M43" s="466">
        <f>SUM(M44:M50)</f>
        <v>542.74919999999997</v>
      </c>
      <c r="N43" s="467"/>
      <c r="O43" s="434" t="str">
        <f t="shared" si="674"/>
        <v xml:space="preserve">SEM VALOR</v>
      </c>
      <c r="P43" s="435" t="str">
        <f t="shared" si="675"/>
        <v xml:space="preserve">SEM VALOR</v>
      </c>
      <c r="R43" s="484" t="s">
        <v>20701</v>
      </c>
      <c r="AE43" s="460">
        <v>1004</v>
      </c>
      <c r="AF43" s="460"/>
      <c r="AH43">
        <f t="shared" si="682"/>
        <v>1004</v>
      </c>
    </row>
    <row r="44" ht="60" hidden="1">
      <c r="A44" s="217"/>
      <c r="B44" s="217">
        <v>1004</v>
      </c>
      <c r="C44" s="217"/>
      <c r="D44" s="217" t="s">
        <v>20408</v>
      </c>
      <c r="E44" s="471" t="s">
        <v>20399</v>
      </c>
      <c r="F44" s="482">
        <v>4417</v>
      </c>
      <c r="G44" s="470" t="s">
        <v>20702</v>
      </c>
      <c r="H44" s="482" t="s">
        <v>38</v>
      </c>
      <c r="I44" s="483">
        <v>1</v>
      </c>
      <c r="J44" s="473">
        <f t="shared" si="676"/>
        <v>8.0500000000000007</v>
      </c>
      <c r="K44" s="474">
        <f t="shared" ref="K44:K50" si="685">I44*J44</f>
        <v>8.0500000000000007</v>
      </c>
      <c r="L44" s="475">
        <f t="shared" si="678"/>
        <v>8.0500000000000007</v>
      </c>
      <c r="M44" s="474">
        <f t="shared" ref="M44:M50" si="686">L44*I44</f>
        <v>8.0500000000000007</v>
      </c>
      <c r="N44" s="467" t="s">
        <v>20703</v>
      </c>
      <c r="O44" s="434">
        <f t="shared" si="674"/>
        <v>8.0500000000000007</v>
      </c>
      <c r="P44" s="435">
        <f t="shared" si="675"/>
        <v>8.0500000000000007</v>
      </c>
      <c r="AE44" s="217"/>
      <c r="AF44" s="217">
        <v>1004</v>
      </c>
      <c r="AH44">
        <f t="shared" si="682"/>
        <v>1004</v>
      </c>
    </row>
    <row r="45" ht="60" hidden="1">
      <c r="A45" s="217"/>
      <c r="B45" s="217">
        <v>1004</v>
      </c>
      <c r="C45" s="217"/>
      <c r="D45" s="217" t="s">
        <v>20408</v>
      </c>
      <c r="E45" s="471" t="s">
        <v>20402</v>
      </c>
      <c r="F45" s="482">
        <v>4491</v>
      </c>
      <c r="G45" s="470" t="s">
        <v>20704</v>
      </c>
      <c r="H45" s="482" t="s">
        <v>38</v>
      </c>
      <c r="I45" s="483">
        <v>4</v>
      </c>
      <c r="J45" s="473">
        <f t="shared" si="676"/>
        <v>6.8399999999999999</v>
      </c>
      <c r="K45" s="474">
        <f t="shared" si="685"/>
        <v>27.359999999999999</v>
      </c>
      <c r="L45" s="475">
        <f t="shared" si="678"/>
        <v>6.8399999999999999</v>
      </c>
      <c r="M45" s="474">
        <f t="shared" si="686"/>
        <v>27.359999999999999</v>
      </c>
      <c r="N45" s="467" t="s">
        <v>20705</v>
      </c>
      <c r="O45" s="434">
        <f t="shared" si="674"/>
        <v>6.8399999999999999</v>
      </c>
      <c r="P45" s="435">
        <f t="shared" si="675"/>
        <v>6.8399999999999999</v>
      </c>
      <c r="AE45" s="217"/>
      <c r="AF45" s="217">
        <v>1004</v>
      </c>
      <c r="AH45">
        <f t="shared" si="682"/>
        <v>1004</v>
      </c>
    </row>
    <row r="46" ht="45" hidden="1">
      <c r="A46" s="217"/>
      <c r="B46" s="217">
        <v>1004</v>
      </c>
      <c r="C46" s="217"/>
      <c r="D46" s="217" t="s">
        <v>20408</v>
      </c>
      <c r="E46" s="471" t="s">
        <v>20405</v>
      </c>
      <c r="F46" s="482">
        <v>4813</v>
      </c>
      <c r="G46" s="470" t="s">
        <v>20706</v>
      </c>
      <c r="H46" s="482" t="s">
        <v>15515</v>
      </c>
      <c r="I46" s="483">
        <v>1</v>
      </c>
      <c r="J46" s="473">
        <f t="shared" si="676"/>
        <v>432</v>
      </c>
      <c r="K46" s="474">
        <f t="shared" si="685"/>
        <v>432</v>
      </c>
      <c r="L46" s="475">
        <f t="shared" si="678"/>
        <v>432</v>
      </c>
      <c r="M46" s="474">
        <f t="shared" si="686"/>
        <v>432</v>
      </c>
      <c r="O46" s="434">
        <f t="shared" si="674"/>
        <v>432</v>
      </c>
      <c r="P46" s="435">
        <f t="shared" si="675"/>
        <v>432</v>
      </c>
      <c r="AE46" s="217"/>
      <c r="AF46" s="217">
        <v>1004</v>
      </c>
      <c r="AH46">
        <f t="shared" si="682"/>
        <v>1004</v>
      </c>
    </row>
    <row r="47" ht="30" hidden="1">
      <c r="A47" s="217"/>
      <c r="B47" s="217">
        <v>1004</v>
      </c>
      <c r="C47" s="217"/>
      <c r="D47" s="217" t="s">
        <v>20408</v>
      </c>
      <c r="E47" s="471" t="s">
        <v>20409</v>
      </c>
      <c r="F47" s="482">
        <v>5075</v>
      </c>
      <c r="G47" s="470" t="s">
        <v>14049</v>
      </c>
      <c r="H47" s="482" t="s">
        <v>302</v>
      </c>
      <c r="I47" s="483">
        <v>0.11</v>
      </c>
      <c r="J47" s="473">
        <f t="shared" si="676"/>
        <v>20.289999999999999</v>
      </c>
      <c r="K47" s="474">
        <f t="shared" si="685"/>
        <v>2.2319</v>
      </c>
      <c r="L47" s="475">
        <f t="shared" si="678"/>
        <v>20.289999999999999</v>
      </c>
      <c r="M47" s="474">
        <f t="shared" si="686"/>
        <v>2.2319</v>
      </c>
      <c r="O47" s="434">
        <f t="shared" si="674"/>
        <v>20.289999999999999</v>
      </c>
      <c r="P47" s="435">
        <f t="shared" si="675"/>
        <v>20.289999999999999</v>
      </c>
      <c r="AE47" s="217"/>
      <c r="AF47" s="217">
        <v>1004</v>
      </c>
      <c r="AH47">
        <f t="shared" si="682"/>
        <v>1004</v>
      </c>
    </row>
    <row r="48" ht="30" hidden="1">
      <c r="A48" s="217"/>
      <c r="B48" s="217">
        <v>1004</v>
      </c>
      <c r="C48" s="217"/>
      <c r="D48" s="217" t="s">
        <v>17167</v>
      </c>
      <c r="E48" s="471" t="s">
        <v>20663</v>
      </c>
      <c r="F48" s="482">
        <v>88262</v>
      </c>
      <c r="G48" s="470" t="s">
        <v>7127</v>
      </c>
      <c r="H48" s="482" t="s">
        <v>2032</v>
      </c>
      <c r="I48" s="483">
        <v>1</v>
      </c>
      <c r="J48" s="473">
        <f t="shared" si="676"/>
        <v>27.739999999999998</v>
      </c>
      <c r="K48" s="474">
        <f t="shared" si="685"/>
        <v>27.739999999999998</v>
      </c>
      <c r="L48" s="475">
        <f t="shared" si="678"/>
        <v>26.129999999999999</v>
      </c>
      <c r="M48" s="474">
        <f t="shared" si="686"/>
        <v>26.129999999999999</v>
      </c>
      <c r="O48" s="434">
        <f t="shared" si="674"/>
        <v>27.739999999999998</v>
      </c>
      <c r="P48" s="435">
        <f t="shared" si="675"/>
        <v>26.129999999999999</v>
      </c>
      <c r="AE48" s="217"/>
      <c r="AF48" s="217">
        <v>1004</v>
      </c>
      <c r="AH48">
        <f t="shared" si="682"/>
        <v>1004</v>
      </c>
    </row>
    <row r="49" ht="30" hidden="1">
      <c r="A49" s="217"/>
      <c r="B49" s="217">
        <v>1004</v>
      </c>
      <c r="C49" s="217"/>
      <c r="D49" s="217" t="s">
        <v>17167</v>
      </c>
      <c r="E49" s="471" t="s">
        <v>20665</v>
      </c>
      <c r="F49" s="482">
        <v>88316</v>
      </c>
      <c r="G49" s="470" t="s">
        <v>7393</v>
      </c>
      <c r="H49" s="482" t="s">
        <v>2032</v>
      </c>
      <c r="I49" s="483">
        <v>2</v>
      </c>
      <c r="J49" s="473">
        <f t="shared" si="676"/>
        <v>22.760000000000002</v>
      </c>
      <c r="K49" s="474">
        <f t="shared" si="685"/>
        <v>45.520000000000003</v>
      </c>
      <c r="L49" s="475">
        <f t="shared" si="678"/>
        <v>21.550000000000001</v>
      </c>
      <c r="M49" s="474">
        <f t="shared" si="686"/>
        <v>43.100000000000001</v>
      </c>
      <c r="O49" s="434">
        <f t="shared" si="674"/>
        <v>22.760000000000002</v>
      </c>
      <c r="P49" s="435">
        <f t="shared" si="675"/>
        <v>21.550000000000001</v>
      </c>
      <c r="AE49" s="217"/>
      <c r="AF49" s="217">
        <v>1004</v>
      </c>
      <c r="AH49">
        <f t="shared" si="682"/>
        <v>1004</v>
      </c>
    </row>
    <row r="50" ht="60" hidden="1">
      <c r="A50" s="217"/>
      <c r="B50" s="217">
        <v>1004</v>
      </c>
      <c r="C50" s="217"/>
      <c r="D50" s="217" t="s">
        <v>17167</v>
      </c>
      <c r="E50" s="471" t="s">
        <v>20667</v>
      </c>
      <c r="F50" s="482">
        <v>94962</v>
      </c>
      <c r="G50" s="470" t="s">
        <v>20707</v>
      </c>
      <c r="H50" s="482" t="s">
        <v>15528</v>
      </c>
      <c r="I50" s="483">
        <v>1.e-002</v>
      </c>
      <c r="J50" s="473">
        <f t="shared" si="676"/>
        <v>393.05000000000001</v>
      </c>
      <c r="K50" s="474">
        <f t="shared" si="685"/>
        <v>3.9305000000000003</v>
      </c>
      <c r="L50" s="475">
        <f t="shared" si="678"/>
        <v>387.73000000000002</v>
      </c>
      <c r="M50" s="474">
        <f t="shared" si="686"/>
        <v>3.8773000000000004</v>
      </c>
      <c r="O50" s="434">
        <f t="shared" si="674"/>
        <v>393.05000000000001</v>
      </c>
      <c r="P50" s="435">
        <f t="shared" si="675"/>
        <v>387.73000000000002</v>
      </c>
      <c r="AE50" s="217"/>
      <c r="AF50" s="217">
        <v>1004</v>
      </c>
      <c r="AH50">
        <f t="shared" si="682"/>
        <v>1004</v>
      </c>
    </row>
    <row r="51" ht="31.5" hidden="1">
      <c r="A51" s="460">
        <v>1005</v>
      </c>
      <c r="B51" s="460">
        <v>1005</v>
      </c>
      <c r="C51" s="460"/>
      <c r="D51" s="460"/>
      <c r="E51" s="461">
        <v>1</v>
      </c>
      <c r="F51" s="462" t="s">
        <v>20708</v>
      </c>
      <c r="G51" s="477" t="s">
        <v>20709</v>
      </c>
      <c r="H51" s="478" t="s">
        <v>15528</v>
      </c>
      <c r="I51" s="479"/>
      <c r="J51" s="480"/>
      <c r="K51" s="466">
        <f>SUM(K52:K54)</f>
        <v>125.62850000000002</v>
      </c>
      <c r="L51" s="480"/>
      <c r="M51" s="466">
        <f>SUM(M52:M54)</f>
        <v>124.41850000000001</v>
      </c>
      <c r="N51" s="467" t="s">
        <v>20710</v>
      </c>
      <c r="O51" s="434" t="str">
        <f t="shared" si="674"/>
        <v xml:space="preserve">SEM VALOR</v>
      </c>
      <c r="P51" s="435" t="str">
        <f t="shared" si="675"/>
        <v xml:space="preserve">SEM VALOR</v>
      </c>
      <c r="AE51" s="460">
        <v>1005</v>
      </c>
      <c r="AF51" s="460"/>
      <c r="AH51">
        <f t="shared" si="682"/>
        <v>1005</v>
      </c>
    </row>
    <row r="52" ht="45" hidden="1">
      <c r="A52" s="217"/>
      <c r="B52" s="217">
        <v>1005</v>
      </c>
      <c r="C52" s="217"/>
      <c r="D52" s="217" t="s">
        <v>20408</v>
      </c>
      <c r="E52" s="471" t="s">
        <v>20399</v>
      </c>
      <c r="F52" s="482">
        <v>4718</v>
      </c>
      <c r="G52" s="470" t="s">
        <v>20711</v>
      </c>
      <c r="H52" s="482" t="s">
        <v>15528</v>
      </c>
      <c r="I52" s="483">
        <v>0.52500000000000002</v>
      </c>
      <c r="J52" s="473">
        <f t="shared" si="676"/>
        <v>101.02</v>
      </c>
      <c r="K52" s="474">
        <f t="shared" ref="K52:K54" si="687">I52*J52</f>
        <v>53.035499999999999</v>
      </c>
      <c r="L52" s="475">
        <f t="shared" si="678"/>
        <v>101.02</v>
      </c>
      <c r="M52" s="474">
        <f t="shared" ref="M52:M54" si="688">L52*I52</f>
        <v>53.035499999999999</v>
      </c>
      <c r="N52" s="467" t="s">
        <v>20712</v>
      </c>
      <c r="O52" s="434">
        <f t="shared" si="674"/>
        <v>101.02</v>
      </c>
      <c r="P52" s="435">
        <f t="shared" si="675"/>
        <v>101.02</v>
      </c>
      <c r="AE52" s="217"/>
      <c r="AF52" s="217">
        <v>1005</v>
      </c>
      <c r="AH52">
        <f t="shared" si="682"/>
        <v>1005</v>
      </c>
    </row>
    <row r="53" ht="45" hidden="1">
      <c r="A53" s="217"/>
      <c r="B53" s="217">
        <v>1005</v>
      </c>
      <c r="C53" s="217"/>
      <c r="D53" s="217" t="s">
        <v>20408</v>
      </c>
      <c r="E53" s="471" t="s">
        <v>20402</v>
      </c>
      <c r="F53" s="482">
        <v>4722</v>
      </c>
      <c r="G53" s="470" t="s">
        <v>20713</v>
      </c>
      <c r="H53" s="482" t="s">
        <v>15528</v>
      </c>
      <c r="I53" s="483">
        <v>0.52500000000000002</v>
      </c>
      <c r="J53" s="473">
        <f t="shared" si="676"/>
        <v>94.920000000000002</v>
      </c>
      <c r="K53" s="474">
        <f t="shared" si="687"/>
        <v>49.833000000000006</v>
      </c>
      <c r="L53" s="475">
        <f t="shared" si="678"/>
        <v>94.920000000000002</v>
      </c>
      <c r="M53" s="474">
        <f t="shared" si="688"/>
        <v>49.833000000000006</v>
      </c>
      <c r="N53" s="485"/>
      <c r="O53" s="434">
        <f t="shared" si="674"/>
        <v>94.920000000000002</v>
      </c>
      <c r="P53" s="435">
        <f t="shared" si="675"/>
        <v>94.920000000000002</v>
      </c>
      <c r="AE53" s="217"/>
      <c r="AF53" s="217">
        <v>1005</v>
      </c>
      <c r="AH53">
        <f t="shared" si="682"/>
        <v>1005</v>
      </c>
    </row>
    <row r="54" ht="30" hidden="1">
      <c r="A54" s="217"/>
      <c r="B54" s="217">
        <v>1005</v>
      </c>
      <c r="C54" s="217"/>
      <c r="D54" s="217" t="s">
        <v>17167</v>
      </c>
      <c r="E54" s="471" t="s">
        <v>20405</v>
      </c>
      <c r="F54" s="482">
        <v>88316</v>
      </c>
      <c r="G54" s="470" t="s">
        <v>7393</v>
      </c>
      <c r="H54" s="482" t="s">
        <v>2032</v>
      </c>
      <c r="I54" s="483">
        <v>1</v>
      </c>
      <c r="J54" s="473">
        <f t="shared" si="676"/>
        <v>22.760000000000002</v>
      </c>
      <c r="K54" s="474">
        <f t="shared" si="687"/>
        <v>22.760000000000002</v>
      </c>
      <c r="L54" s="475">
        <f t="shared" si="678"/>
        <v>21.550000000000001</v>
      </c>
      <c r="M54" s="474">
        <f t="shared" si="688"/>
        <v>21.550000000000001</v>
      </c>
      <c r="N54" s="485"/>
      <c r="O54" s="434">
        <f t="shared" si="674"/>
        <v>22.760000000000002</v>
      </c>
      <c r="P54" s="435">
        <f t="shared" si="675"/>
        <v>21.550000000000001</v>
      </c>
      <c r="AE54" s="217"/>
      <c r="AF54" s="217">
        <v>1005</v>
      </c>
      <c r="AH54">
        <f t="shared" si="682"/>
        <v>1005</v>
      </c>
    </row>
    <row r="55" ht="47.25" hidden="1">
      <c r="A55" s="460">
        <v>1006</v>
      </c>
      <c r="B55" s="460">
        <v>1006</v>
      </c>
      <c r="C55" s="460"/>
      <c r="D55" s="460"/>
      <c r="E55" s="461">
        <v>1</v>
      </c>
      <c r="F55" s="462" t="s">
        <v>20714</v>
      </c>
      <c r="G55" s="477" t="s">
        <v>20715</v>
      </c>
      <c r="H55" s="478" t="s">
        <v>15515</v>
      </c>
      <c r="I55" s="479"/>
      <c r="J55" s="480"/>
      <c r="K55" s="466">
        <f>SUM(K56:K57)</f>
        <v>11.396400000000002</v>
      </c>
      <c r="L55" s="480"/>
      <c r="M55" s="466">
        <f>SUM(M56:M57)</f>
        <v>11.360100000000001</v>
      </c>
      <c r="N55" s="467" t="s">
        <v>20716</v>
      </c>
      <c r="O55" s="434" t="str">
        <f t="shared" si="674"/>
        <v xml:space="preserve">SEM VALOR</v>
      </c>
      <c r="P55" s="435" t="str">
        <f t="shared" si="675"/>
        <v xml:space="preserve">SEM VALOR</v>
      </c>
      <c r="R55" s="484" t="s">
        <v>20717</v>
      </c>
      <c r="AE55" s="460">
        <v>1006</v>
      </c>
      <c r="AF55" s="460"/>
      <c r="AH55">
        <f t="shared" si="682"/>
        <v>1006</v>
      </c>
    </row>
    <row r="56" ht="60" hidden="1">
      <c r="A56" s="217"/>
      <c r="B56" s="217">
        <v>1006</v>
      </c>
      <c r="C56" s="217"/>
      <c r="D56" s="217" t="s">
        <v>20408</v>
      </c>
      <c r="E56" s="471" t="s">
        <v>20399</v>
      </c>
      <c r="F56" s="482">
        <v>4021</v>
      </c>
      <c r="G56" s="470" t="s">
        <v>12641</v>
      </c>
      <c r="H56" s="482" t="s">
        <v>15515</v>
      </c>
      <c r="I56" s="483">
        <v>1.0800000000000001</v>
      </c>
      <c r="J56" s="473">
        <f t="shared" si="676"/>
        <v>9.9199999999999999</v>
      </c>
      <c r="K56" s="474">
        <f t="shared" ref="K56:K57" si="689">I56*J56</f>
        <v>10.713600000000001</v>
      </c>
      <c r="L56" s="475">
        <f t="shared" si="678"/>
        <v>9.9199999999999999</v>
      </c>
      <c r="M56" s="474">
        <f t="shared" ref="M56:M57" si="690">L56*I56</f>
        <v>10.713600000000001</v>
      </c>
      <c r="N56" s="467"/>
      <c r="O56" s="434">
        <f t="shared" si="674"/>
        <v>9.9199999999999999</v>
      </c>
      <c r="P56" s="435">
        <f t="shared" si="675"/>
        <v>9.9199999999999999</v>
      </c>
      <c r="AE56" s="217"/>
      <c r="AF56" s="217">
        <v>1006</v>
      </c>
      <c r="AH56">
        <f t="shared" si="682"/>
        <v>1006</v>
      </c>
    </row>
    <row r="57" ht="30" hidden="1">
      <c r="A57" s="217"/>
      <c r="B57" s="217">
        <v>1006</v>
      </c>
      <c r="C57" s="217"/>
      <c r="D57" s="217" t="s">
        <v>17167</v>
      </c>
      <c r="E57" s="471" t="s">
        <v>20402</v>
      </c>
      <c r="F57" s="482">
        <v>88316</v>
      </c>
      <c r="G57" s="470" t="s">
        <v>7393</v>
      </c>
      <c r="H57" s="482" t="s">
        <v>2032</v>
      </c>
      <c r="I57" s="483">
        <v>2.9999999999999999e-002</v>
      </c>
      <c r="J57" s="473">
        <f t="shared" si="676"/>
        <v>22.760000000000002</v>
      </c>
      <c r="K57" s="474">
        <f t="shared" si="689"/>
        <v>0.68280000000000007</v>
      </c>
      <c r="L57" s="475">
        <f t="shared" si="678"/>
        <v>21.550000000000001</v>
      </c>
      <c r="M57" s="474">
        <f t="shared" si="690"/>
        <v>0.64649999999999996</v>
      </c>
      <c r="N57" s="467"/>
      <c r="O57" s="434">
        <f t="shared" si="674"/>
        <v>22.760000000000002</v>
      </c>
      <c r="P57" s="435">
        <f t="shared" si="675"/>
        <v>21.550000000000001</v>
      </c>
      <c r="AE57" s="217"/>
      <c r="AF57" s="217">
        <v>1006</v>
      </c>
      <c r="AH57">
        <f t="shared" si="682"/>
        <v>1006</v>
      </c>
    </row>
    <row r="58" ht="63" hidden="1">
      <c r="A58" s="460">
        <v>1007</v>
      </c>
      <c r="B58" s="460">
        <v>1007</v>
      </c>
      <c r="C58" s="460"/>
      <c r="D58" s="460"/>
      <c r="E58" s="461">
        <v>1</v>
      </c>
      <c r="F58" s="462" t="s">
        <v>20718</v>
      </c>
      <c r="G58" s="477" t="s">
        <v>20719</v>
      </c>
      <c r="H58" s="478" t="s">
        <v>38</v>
      </c>
      <c r="I58" s="479"/>
      <c r="J58" s="480"/>
      <c r="K58" s="466">
        <f>SUM(K59:K67)</f>
        <v>118.21688044000001</v>
      </c>
      <c r="L58" s="480"/>
      <c r="M58" s="466">
        <f>SUM(M59:M67)</f>
        <v>117.79396057100001</v>
      </c>
      <c r="N58" s="467" t="s">
        <v>20720</v>
      </c>
      <c r="O58" s="434" t="str">
        <f t="shared" si="674"/>
        <v xml:space="preserve">SEM VALOR</v>
      </c>
      <c r="P58" s="435" t="str">
        <f t="shared" si="675"/>
        <v xml:space="preserve">SEM VALOR</v>
      </c>
      <c r="AE58" s="460">
        <v>1007</v>
      </c>
      <c r="AF58" s="460"/>
      <c r="AH58">
        <f t="shared" si="682"/>
        <v>1007</v>
      </c>
    </row>
    <row r="59" ht="150" hidden="1">
      <c r="A59" s="217"/>
      <c r="B59" s="217">
        <v>1007</v>
      </c>
      <c r="C59" s="217"/>
      <c r="D59" s="217" t="s">
        <v>17167</v>
      </c>
      <c r="E59" s="471" t="s">
        <v>20399</v>
      </c>
      <c r="F59" s="482">
        <v>90105</v>
      </c>
      <c r="G59" s="470" t="s">
        <v>20721</v>
      </c>
      <c r="H59" s="482" t="s">
        <v>15528</v>
      </c>
      <c r="I59" s="483">
        <f>0.2*1*1</f>
        <v>0.20000000000000001</v>
      </c>
      <c r="J59" s="473">
        <f t="shared" si="676"/>
        <v>9.4800000000000004</v>
      </c>
      <c r="K59" s="474">
        <f t="shared" ref="K59:K67" si="691">I59*J59</f>
        <v>1.8960000000000001</v>
      </c>
      <c r="L59" s="475">
        <f t="shared" si="678"/>
        <v>9.2400000000000002</v>
      </c>
      <c r="M59" s="474">
        <f t="shared" ref="M59:M67" si="692">L59*I59</f>
        <v>1.8480000000000001</v>
      </c>
      <c r="O59" s="434">
        <f t="shared" si="674"/>
        <v>9.4800000000000004</v>
      </c>
      <c r="P59" s="435">
        <f t="shared" si="675"/>
        <v>9.2400000000000002</v>
      </c>
      <c r="AE59" s="217"/>
      <c r="AF59" s="217">
        <v>1007</v>
      </c>
      <c r="AH59">
        <f t="shared" si="682"/>
        <v>1007</v>
      </c>
    </row>
    <row r="60" ht="60" hidden="1">
      <c r="A60" s="217"/>
      <c r="B60" s="217">
        <v>1007</v>
      </c>
      <c r="C60" s="217"/>
      <c r="D60" s="217" t="s">
        <v>17167</v>
      </c>
      <c r="E60" s="471" t="s">
        <v>20402</v>
      </c>
      <c r="F60" s="482">
        <v>95875</v>
      </c>
      <c r="G60" s="470" t="s">
        <v>20668</v>
      </c>
      <c r="H60" s="482" t="s">
        <v>20669</v>
      </c>
      <c r="I60" s="483">
        <f>I59*5</f>
        <v>1</v>
      </c>
      <c r="J60" s="473">
        <f t="shared" si="676"/>
        <v>2.7599999999999998</v>
      </c>
      <c r="K60" s="474">
        <f t="shared" si="691"/>
        <v>2.7599999999999998</v>
      </c>
      <c r="L60" s="475">
        <f t="shared" si="678"/>
        <v>2.73</v>
      </c>
      <c r="M60" s="474">
        <f t="shared" si="692"/>
        <v>2.73</v>
      </c>
      <c r="O60" s="434">
        <f t="shared" si="674"/>
        <v>2.7599999999999998</v>
      </c>
      <c r="P60" s="435">
        <f t="shared" si="675"/>
        <v>2.73</v>
      </c>
      <c r="AE60" s="217"/>
      <c r="AF60" s="217">
        <v>1007</v>
      </c>
      <c r="AH60">
        <f t="shared" si="682"/>
        <v>1007</v>
      </c>
    </row>
    <row r="61" ht="45" hidden="1">
      <c r="A61" s="217"/>
      <c r="B61" s="217">
        <v>1007</v>
      </c>
      <c r="C61" s="217"/>
      <c r="D61" s="217" t="s">
        <v>17167</v>
      </c>
      <c r="E61" s="471" t="s">
        <v>20405</v>
      </c>
      <c r="F61" s="482">
        <v>93382</v>
      </c>
      <c r="G61" s="470" t="s">
        <v>20722</v>
      </c>
      <c r="H61" s="482" t="s">
        <v>15528</v>
      </c>
      <c r="I61" s="483">
        <f>I59-0.0314</f>
        <v>0.1686</v>
      </c>
      <c r="J61" s="473">
        <f t="shared" si="676"/>
        <v>27.52</v>
      </c>
      <c r="K61" s="474">
        <f t="shared" si="691"/>
        <v>4.6398719999999996</v>
      </c>
      <c r="L61" s="475">
        <f t="shared" si="678"/>
        <v>26.190000000000001</v>
      </c>
      <c r="M61" s="474">
        <f t="shared" si="692"/>
        <v>4.4156339999999998</v>
      </c>
      <c r="O61" s="434">
        <f t="shared" si="674"/>
        <v>27.52</v>
      </c>
      <c r="P61" s="435">
        <f t="shared" si="675"/>
        <v>26.190000000000001</v>
      </c>
      <c r="AE61" s="217"/>
      <c r="AF61" s="217">
        <v>1007</v>
      </c>
      <c r="AH61">
        <f t="shared" si="682"/>
        <v>1007</v>
      </c>
    </row>
    <row r="62" ht="30" hidden="1">
      <c r="A62" s="217"/>
      <c r="B62" s="217">
        <v>1007</v>
      </c>
      <c r="C62" s="217"/>
      <c r="D62" s="217" t="s">
        <v>17167</v>
      </c>
      <c r="E62" s="471" t="s">
        <v>20409</v>
      </c>
      <c r="F62" s="482">
        <v>88309</v>
      </c>
      <c r="G62" s="470" t="s">
        <v>7385</v>
      </c>
      <c r="H62" s="482" t="s">
        <v>2032</v>
      </c>
      <c r="I62" s="483">
        <f>1/132</f>
        <v>7.5757999999999997e-003</v>
      </c>
      <c r="J62" s="473">
        <f t="shared" si="676"/>
        <v>28.5</v>
      </c>
      <c r="K62" s="474">
        <f t="shared" si="691"/>
        <v>0.2159103</v>
      </c>
      <c r="L62" s="475">
        <f t="shared" si="678"/>
        <v>26.870000000000001</v>
      </c>
      <c r="M62" s="474">
        <f t="shared" si="692"/>
        <v>0.20356174599999999</v>
      </c>
      <c r="O62" s="434">
        <f t="shared" si="674"/>
        <v>28.5</v>
      </c>
      <c r="P62" s="435">
        <f t="shared" si="675"/>
        <v>26.870000000000001</v>
      </c>
      <c r="AE62" s="217"/>
      <c r="AF62" s="217">
        <v>1007</v>
      </c>
      <c r="AH62">
        <f t="shared" si="682"/>
        <v>1007</v>
      </c>
    </row>
    <row r="63" ht="30" hidden="1">
      <c r="A63" s="217"/>
      <c r="B63" s="217">
        <v>1007</v>
      </c>
      <c r="C63" s="217"/>
      <c r="D63" s="217" t="s">
        <v>17167</v>
      </c>
      <c r="E63" s="471" t="s">
        <v>20663</v>
      </c>
      <c r="F63" s="482">
        <v>88316</v>
      </c>
      <c r="G63" s="470" t="s">
        <v>7393</v>
      </c>
      <c r="H63" s="482" t="s">
        <v>2032</v>
      </c>
      <c r="I63" s="483">
        <f>2/132</f>
        <v>1.51515e-002</v>
      </c>
      <c r="J63" s="473">
        <f t="shared" si="676"/>
        <v>22.760000000000002</v>
      </c>
      <c r="K63" s="474">
        <f t="shared" si="691"/>
        <v>0.34484814000000003</v>
      </c>
      <c r="L63" s="475">
        <f t="shared" si="678"/>
        <v>21.550000000000001</v>
      </c>
      <c r="M63" s="474">
        <f t="shared" si="692"/>
        <v>0.32651482500000001</v>
      </c>
      <c r="O63" s="434">
        <f t="shared" si="674"/>
        <v>22.760000000000002</v>
      </c>
      <c r="P63" s="435">
        <f t="shared" si="675"/>
        <v>21.550000000000001</v>
      </c>
      <c r="AE63" s="217"/>
      <c r="AF63" s="217">
        <v>1007</v>
      </c>
      <c r="AH63">
        <f t="shared" si="682"/>
        <v>1007</v>
      </c>
    </row>
    <row r="64" ht="45" hidden="1">
      <c r="A64" s="217"/>
      <c r="B64" s="217">
        <v>1007</v>
      </c>
      <c r="C64" s="217"/>
      <c r="D64" s="217" t="s">
        <v>20408</v>
      </c>
      <c r="E64" s="471" t="s">
        <v>20665</v>
      </c>
      <c r="F64" s="482">
        <v>370</v>
      </c>
      <c r="G64" s="470" t="s">
        <v>10767</v>
      </c>
      <c r="H64" s="482" t="s">
        <v>15528</v>
      </c>
      <c r="I64" s="483">
        <f>0.2*1*1</f>
        <v>0.20000000000000001</v>
      </c>
      <c r="J64" s="473">
        <f t="shared" si="676"/>
        <v>76</v>
      </c>
      <c r="K64" s="474">
        <f t="shared" si="691"/>
        <v>15.200000000000001</v>
      </c>
      <c r="L64" s="475">
        <f t="shared" si="678"/>
        <v>76</v>
      </c>
      <c r="M64" s="474">
        <f t="shared" si="692"/>
        <v>15.200000000000001</v>
      </c>
      <c r="O64" s="434">
        <f t="shared" si="674"/>
        <v>76</v>
      </c>
      <c r="P64" s="435">
        <f t="shared" si="675"/>
        <v>76</v>
      </c>
      <c r="AE64" s="217"/>
      <c r="AF64" s="217">
        <v>1007</v>
      </c>
      <c r="AH64">
        <f t="shared" si="682"/>
        <v>1007</v>
      </c>
    </row>
    <row r="65" ht="60" hidden="1">
      <c r="A65" s="217"/>
      <c r="B65" s="217">
        <v>1007</v>
      </c>
      <c r="C65" s="217"/>
      <c r="D65" s="217" t="s">
        <v>17167</v>
      </c>
      <c r="E65" s="471" t="s">
        <v>20667</v>
      </c>
      <c r="F65" s="482">
        <v>95875</v>
      </c>
      <c r="G65" s="470" t="s">
        <v>20668</v>
      </c>
      <c r="H65" s="482" t="s">
        <v>20669</v>
      </c>
      <c r="I65" s="483">
        <f>I64*15</f>
        <v>3</v>
      </c>
      <c r="J65" s="473">
        <f t="shared" si="676"/>
        <v>2.7599999999999998</v>
      </c>
      <c r="K65" s="474">
        <f t="shared" si="691"/>
        <v>8.2799999999999994</v>
      </c>
      <c r="L65" s="475">
        <f t="shared" si="678"/>
        <v>2.73</v>
      </c>
      <c r="M65" s="474">
        <f t="shared" si="692"/>
        <v>8.1899999999999995</v>
      </c>
      <c r="O65" s="434">
        <f t="shared" si="674"/>
        <v>2.7599999999999998</v>
      </c>
      <c r="P65" s="435">
        <f t="shared" si="675"/>
        <v>2.73</v>
      </c>
      <c r="AE65" s="217"/>
      <c r="AF65" s="217">
        <v>1007</v>
      </c>
      <c r="AH65">
        <f t="shared" si="682"/>
        <v>1007</v>
      </c>
    </row>
    <row r="66" hidden="1">
      <c r="A66" s="217"/>
      <c r="B66" s="217">
        <v>1007</v>
      </c>
      <c r="C66" s="217"/>
      <c r="D66" s="217" t="s">
        <v>20644</v>
      </c>
      <c r="E66" s="471" t="s">
        <v>20671</v>
      </c>
      <c r="F66" s="482" t="s">
        <v>15381</v>
      </c>
      <c r="G66" s="470" t="s">
        <v>20723</v>
      </c>
      <c r="H66" s="482" t="s">
        <v>15515</v>
      </c>
      <c r="I66" s="483">
        <v>1.0029999999999999</v>
      </c>
      <c r="J66" s="473">
        <f t="shared" si="676"/>
        <v>46.75</v>
      </c>
      <c r="K66" s="474">
        <f t="shared" si="691"/>
        <v>46.890249999999995</v>
      </c>
      <c r="L66" s="475">
        <f t="shared" si="678"/>
        <v>46.75</v>
      </c>
      <c r="M66" s="474">
        <f t="shared" si="692"/>
        <v>46.890249999999995</v>
      </c>
      <c r="O66" s="434">
        <f t="shared" si="674"/>
        <v>46.75</v>
      </c>
      <c r="P66" s="435">
        <f t="shared" si="675"/>
        <v>46.75</v>
      </c>
      <c r="AE66" s="217"/>
      <c r="AF66" s="217">
        <v>1007</v>
      </c>
      <c r="AH66">
        <f t="shared" si="682"/>
        <v>1007</v>
      </c>
    </row>
    <row r="67" ht="105" hidden="1">
      <c r="A67" s="217"/>
      <c r="B67" s="217">
        <v>1007</v>
      </c>
      <c r="C67" s="217"/>
      <c r="D67" s="217" t="s">
        <v>20408</v>
      </c>
      <c r="E67" s="471" t="s">
        <v>20672</v>
      </c>
      <c r="F67" s="482">
        <v>38054</v>
      </c>
      <c r="G67" s="470" t="s">
        <v>20724</v>
      </c>
      <c r="H67" s="482" t="s">
        <v>38</v>
      </c>
      <c r="I67" s="483">
        <v>1</v>
      </c>
      <c r="J67" s="473">
        <f t="shared" si="676"/>
        <v>37.990000000000002</v>
      </c>
      <c r="K67" s="474">
        <f t="shared" si="691"/>
        <v>37.990000000000002</v>
      </c>
      <c r="L67" s="475">
        <f t="shared" si="678"/>
        <v>37.990000000000002</v>
      </c>
      <c r="M67" s="474">
        <f t="shared" si="692"/>
        <v>37.990000000000002</v>
      </c>
      <c r="O67" s="434">
        <f t="shared" si="674"/>
        <v>37.990000000000002</v>
      </c>
      <c r="P67" s="435">
        <f t="shared" si="675"/>
        <v>37.990000000000002</v>
      </c>
      <c r="AE67" s="217"/>
      <c r="AF67" s="217">
        <v>1007</v>
      </c>
      <c r="AH67">
        <f t="shared" si="682"/>
        <v>1007</v>
      </c>
    </row>
    <row r="68" ht="63" hidden="1">
      <c r="A68" s="460">
        <v>1008</v>
      </c>
      <c r="B68" s="460">
        <v>1008</v>
      </c>
      <c r="C68" s="460"/>
      <c r="D68" s="460"/>
      <c r="E68" s="461">
        <v>1</v>
      </c>
      <c r="F68" s="462" t="s">
        <v>20725</v>
      </c>
      <c r="G68" s="477" t="s">
        <v>20726</v>
      </c>
      <c r="H68" s="478" t="s">
        <v>38</v>
      </c>
      <c r="I68" s="479"/>
      <c r="J68" s="480"/>
      <c r="K68" s="466">
        <f>SUM(K69:K77)</f>
        <v>102.97497644000001</v>
      </c>
      <c r="L68" s="480"/>
      <c r="M68" s="466">
        <f>SUM(M69:M77)</f>
        <v>102.52073507099999</v>
      </c>
      <c r="N68" s="467" t="s">
        <v>20720</v>
      </c>
      <c r="O68" s="434" t="str">
        <f t="shared" si="674"/>
        <v xml:space="preserve">SEM VALOR</v>
      </c>
      <c r="P68" s="435" t="str">
        <f t="shared" si="675"/>
        <v xml:space="preserve">SEM VALOR</v>
      </c>
      <c r="AE68" s="460">
        <v>1008</v>
      </c>
      <c r="AF68" s="460"/>
      <c r="AH68">
        <f t="shared" si="682"/>
        <v>1008</v>
      </c>
    </row>
    <row r="69" ht="150" hidden="1">
      <c r="A69" s="217"/>
      <c r="B69" s="217">
        <v>1008</v>
      </c>
      <c r="C69" s="217"/>
      <c r="D69" s="217" t="s">
        <v>17167</v>
      </c>
      <c r="E69" s="471" t="s">
        <v>20399</v>
      </c>
      <c r="F69" s="482">
        <v>90105</v>
      </c>
      <c r="G69" s="470" t="s">
        <v>20721</v>
      </c>
      <c r="H69" s="482" t="s">
        <v>38</v>
      </c>
      <c r="I69" s="483">
        <f>0.2*1*1</f>
        <v>0.20000000000000001</v>
      </c>
      <c r="J69" s="473">
        <f t="shared" si="676"/>
        <v>9.4800000000000004</v>
      </c>
      <c r="K69" s="474">
        <f t="shared" ref="K69:K77" si="693">I69*J69</f>
        <v>1.8960000000000001</v>
      </c>
      <c r="L69" s="475">
        <f t="shared" si="678"/>
        <v>9.2400000000000002</v>
      </c>
      <c r="M69" s="474">
        <f t="shared" ref="M69:M77" si="694">L69*I69</f>
        <v>1.8480000000000001</v>
      </c>
      <c r="O69" s="434">
        <f t="shared" si="674"/>
        <v>9.4800000000000004</v>
      </c>
      <c r="P69" s="435">
        <f t="shared" si="675"/>
        <v>9.2400000000000002</v>
      </c>
      <c r="AE69" s="217"/>
      <c r="AF69" s="217">
        <v>1008</v>
      </c>
      <c r="AH69">
        <f t="shared" si="682"/>
        <v>1008</v>
      </c>
    </row>
    <row r="70" ht="60" hidden="1">
      <c r="A70" s="217"/>
      <c r="B70" s="217">
        <v>1008</v>
      </c>
      <c r="C70" s="217"/>
      <c r="D70" s="217" t="s">
        <v>17167</v>
      </c>
      <c r="E70" s="471" t="s">
        <v>20402</v>
      </c>
      <c r="F70" s="482">
        <v>95875</v>
      </c>
      <c r="G70" s="470" t="s">
        <v>20668</v>
      </c>
      <c r="H70" s="482" t="s">
        <v>20669</v>
      </c>
      <c r="I70" s="483">
        <f>I69*5</f>
        <v>1</v>
      </c>
      <c r="J70" s="473">
        <f t="shared" si="676"/>
        <v>2.7599999999999998</v>
      </c>
      <c r="K70" s="474">
        <f t="shared" si="693"/>
        <v>2.7599999999999998</v>
      </c>
      <c r="L70" s="475">
        <f t="shared" si="678"/>
        <v>2.73</v>
      </c>
      <c r="M70" s="474">
        <f t="shared" si="694"/>
        <v>2.73</v>
      </c>
      <c r="O70" s="434">
        <f t="shared" si="674"/>
        <v>2.7599999999999998</v>
      </c>
      <c r="P70" s="435">
        <f t="shared" si="675"/>
        <v>2.73</v>
      </c>
      <c r="AE70" s="217"/>
      <c r="AF70" s="217">
        <v>1008</v>
      </c>
      <c r="AH70">
        <f t="shared" si="682"/>
        <v>1008</v>
      </c>
    </row>
    <row r="71" ht="45" hidden="1">
      <c r="A71" s="217"/>
      <c r="B71" s="217">
        <v>1008</v>
      </c>
      <c r="C71" s="217"/>
      <c r="D71" s="217" t="s">
        <v>17167</v>
      </c>
      <c r="E71" s="471" t="s">
        <v>20405</v>
      </c>
      <c r="F71" s="482">
        <v>93382</v>
      </c>
      <c r="G71" s="470" t="s">
        <v>20722</v>
      </c>
      <c r="H71" s="482" t="s">
        <v>15528</v>
      </c>
      <c r="I71" s="483">
        <f>I69-0.00785</f>
        <v>0.19214999999999999</v>
      </c>
      <c r="J71" s="473">
        <f t="shared" si="676"/>
        <v>27.52</v>
      </c>
      <c r="K71" s="474">
        <f t="shared" si="693"/>
        <v>5.2879679999999993</v>
      </c>
      <c r="L71" s="475">
        <f t="shared" si="678"/>
        <v>26.190000000000001</v>
      </c>
      <c r="M71" s="474">
        <f t="shared" si="694"/>
        <v>5.0324084999999998</v>
      </c>
      <c r="O71" s="434">
        <f t="shared" si="674"/>
        <v>27.52</v>
      </c>
      <c r="P71" s="435">
        <f t="shared" si="675"/>
        <v>26.190000000000001</v>
      </c>
      <c r="AE71" s="217"/>
      <c r="AF71" s="217">
        <v>1008</v>
      </c>
      <c r="AH71">
        <f t="shared" si="682"/>
        <v>1008</v>
      </c>
    </row>
    <row r="72" ht="30" hidden="1">
      <c r="A72" s="217"/>
      <c r="B72" s="217">
        <v>1008</v>
      </c>
      <c r="C72" s="217"/>
      <c r="D72" s="217" t="s">
        <v>17167</v>
      </c>
      <c r="E72" s="471" t="s">
        <v>20409</v>
      </c>
      <c r="F72" s="482">
        <v>88309</v>
      </c>
      <c r="G72" s="470" t="s">
        <v>7385</v>
      </c>
      <c r="H72" s="482" t="s">
        <v>2032</v>
      </c>
      <c r="I72" s="483">
        <v>7.5757999999999997e-003</v>
      </c>
      <c r="J72" s="473">
        <f t="shared" si="676"/>
        <v>28.5</v>
      </c>
      <c r="K72" s="474">
        <f t="shared" si="693"/>
        <v>0.2159103</v>
      </c>
      <c r="L72" s="475">
        <f t="shared" si="678"/>
        <v>26.870000000000001</v>
      </c>
      <c r="M72" s="474">
        <f t="shared" si="694"/>
        <v>0.20356174599999999</v>
      </c>
      <c r="O72" s="434">
        <f t="shared" si="674"/>
        <v>28.5</v>
      </c>
      <c r="P72" s="435">
        <f t="shared" si="675"/>
        <v>26.870000000000001</v>
      </c>
      <c r="AE72" s="217"/>
      <c r="AF72" s="217">
        <v>1008</v>
      </c>
      <c r="AH72">
        <f t="shared" si="682"/>
        <v>1008</v>
      </c>
    </row>
    <row r="73" ht="30" hidden="1">
      <c r="A73" s="217"/>
      <c r="B73" s="217">
        <v>1008</v>
      </c>
      <c r="C73" s="217"/>
      <c r="D73" s="217" t="s">
        <v>17167</v>
      </c>
      <c r="E73" s="471" t="s">
        <v>20663</v>
      </c>
      <c r="F73" s="482">
        <v>88316</v>
      </c>
      <c r="G73" s="470" t="s">
        <v>7393</v>
      </c>
      <c r="H73" s="482" t="s">
        <v>2032</v>
      </c>
      <c r="I73" s="483">
        <v>1.51515e-002</v>
      </c>
      <c r="J73" s="473">
        <f t="shared" si="676"/>
        <v>22.760000000000002</v>
      </c>
      <c r="K73" s="474">
        <f t="shared" si="693"/>
        <v>0.34484814000000003</v>
      </c>
      <c r="L73" s="475">
        <f t="shared" si="678"/>
        <v>21.550000000000001</v>
      </c>
      <c r="M73" s="474">
        <f t="shared" si="694"/>
        <v>0.32651482500000001</v>
      </c>
      <c r="O73" s="434">
        <f t="shared" si="674"/>
        <v>22.760000000000002</v>
      </c>
      <c r="P73" s="435">
        <f t="shared" si="675"/>
        <v>21.550000000000001</v>
      </c>
      <c r="AE73" s="217"/>
      <c r="AF73" s="217">
        <v>1008</v>
      </c>
      <c r="AH73">
        <f t="shared" si="682"/>
        <v>1008</v>
      </c>
    </row>
    <row r="74" ht="45" hidden="1">
      <c r="A74" s="217"/>
      <c r="B74" s="217">
        <v>1008</v>
      </c>
      <c r="C74" s="217"/>
      <c r="D74" s="217" t="s">
        <v>20408</v>
      </c>
      <c r="E74" s="471" t="s">
        <v>20665</v>
      </c>
      <c r="F74" s="482">
        <v>370</v>
      </c>
      <c r="G74" s="470" t="s">
        <v>10767</v>
      </c>
      <c r="H74" s="482" t="s">
        <v>15528</v>
      </c>
      <c r="I74" s="483">
        <f>0.2*1*1</f>
        <v>0.20000000000000001</v>
      </c>
      <c r="J74" s="473">
        <f t="shared" si="676"/>
        <v>76</v>
      </c>
      <c r="K74" s="474">
        <f t="shared" si="693"/>
        <v>15.200000000000001</v>
      </c>
      <c r="L74" s="475">
        <f t="shared" si="678"/>
        <v>76</v>
      </c>
      <c r="M74" s="474">
        <f t="shared" si="694"/>
        <v>15.200000000000001</v>
      </c>
      <c r="O74" s="434">
        <f t="shared" ref="O74:O99" si="695">IFERROR(IF(D74="SINAPI",VLOOKUP(F74,SINCOMOD,4,FALSE),IF(D74="INSINAPI",VLOOKUP(F74,INSINOD,5,FALSE),IF(D74="SICRO",VLOOKUP(F74,SICRO,5,FALSE),IF(D74="COTACAO",VLOOKUP(F74,COTACAO,6,FALSE),IF(D74="PRÓPRIO",VLOOKUP(F74,COMPOD,11,FALSE),IF(D74="AGESUL",VLOOKUP(F74,AGESULOD,6,FALSE),IF(D74="INSAGESUL",VLOOKUP(F74,INSAGESUL,7,FALSE),"SEM VALOR"))))))),"SEM VALOR")</f>
        <v>76</v>
      </c>
      <c r="P74" s="435">
        <f t="shared" ref="P74:P99" si="696">IFERROR(IF(D74="SINAPI",VLOOKUP(F74,SINCOMOD,6,FALSE),IF(D74="INSINAPI",VLOOKUP(F74,INSINOD,6,FALSE),IF(D74="SICRO",VLOOKUP(F74,SICRO,5,FALSE),IF(D74="COTACAO",VLOOKUP(F74,COTACAO,6,FALSE),IF(D74="PRÓPRIO",VLOOKUP(F74,COMPOD,13,FALSE),IF(D74="AGESUL",VLOOKUP(F74,AGESULOD,11,FALSE),IF(D74="INSAGESUL",VLOOKUP(F74,INSAGESUL,8,FALSE),"SEM VALOR"))))))),"SEM VALOR")</f>
        <v>76</v>
      </c>
      <c r="AE74" s="217"/>
      <c r="AF74" s="217">
        <v>1008</v>
      </c>
      <c r="AH74">
        <f t="shared" si="682"/>
        <v>1008</v>
      </c>
    </row>
    <row r="75" ht="60" hidden="1">
      <c r="A75" s="217"/>
      <c r="B75" s="217">
        <v>1008</v>
      </c>
      <c r="C75" s="217"/>
      <c r="D75" s="217" t="s">
        <v>17167</v>
      </c>
      <c r="E75" s="471" t="s">
        <v>20667</v>
      </c>
      <c r="F75" s="482">
        <v>95875</v>
      </c>
      <c r="G75" s="470" t="s">
        <v>20668</v>
      </c>
      <c r="H75" s="482" t="s">
        <v>20669</v>
      </c>
      <c r="I75" s="483">
        <f>I74*15</f>
        <v>3</v>
      </c>
      <c r="J75" s="473">
        <f t="shared" ref="J75:J137" si="697">O75*$J$3</f>
        <v>2.7599999999999998</v>
      </c>
      <c r="K75" s="474">
        <f t="shared" si="693"/>
        <v>8.2799999999999994</v>
      </c>
      <c r="L75" s="475">
        <f t="shared" ref="L75:L137" si="698">P75*$L$3</f>
        <v>2.73</v>
      </c>
      <c r="M75" s="474">
        <f t="shared" si="694"/>
        <v>8.1899999999999995</v>
      </c>
      <c r="O75" s="434">
        <f t="shared" si="695"/>
        <v>2.7599999999999998</v>
      </c>
      <c r="P75" s="435">
        <f t="shared" si="696"/>
        <v>2.73</v>
      </c>
      <c r="AE75" s="217"/>
      <c r="AF75" s="217">
        <v>1008</v>
      </c>
      <c r="AH75">
        <f t="shared" si="682"/>
        <v>1008</v>
      </c>
    </row>
    <row r="76" hidden="1">
      <c r="A76" s="217"/>
      <c r="B76" s="217">
        <v>1008</v>
      </c>
      <c r="C76" s="217"/>
      <c r="D76" s="217" t="s">
        <v>20644</v>
      </c>
      <c r="E76" s="471" t="s">
        <v>20671</v>
      </c>
      <c r="F76" s="482" t="s">
        <v>15381</v>
      </c>
      <c r="G76" s="470" t="s">
        <v>20723</v>
      </c>
      <c r="H76" s="482" t="s">
        <v>15515</v>
      </c>
      <c r="I76" s="483">
        <v>1.0029999999999999</v>
      </c>
      <c r="J76" s="473">
        <f t="shared" si="697"/>
        <v>46.75</v>
      </c>
      <c r="K76" s="474">
        <f t="shared" si="693"/>
        <v>46.890249999999995</v>
      </c>
      <c r="L76" s="475">
        <f t="shared" si="698"/>
        <v>46.75</v>
      </c>
      <c r="M76" s="474">
        <f t="shared" si="694"/>
        <v>46.890249999999995</v>
      </c>
      <c r="O76" s="434">
        <f t="shared" si="695"/>
        <v>46.75</v>
      </c>
      <c r="P76" s="435">
        <f t="shared" si="696"/>
        <v>46.75</v>
      </c>
      <c r="AE76" s="217"/>
      <c r="AF76" s="217">
        <v>1008</v>
      </c>
      <c r="AH76">
        <f t="shared" si="682"/>
        <v>1008</v>
      </c>
    </row>
    <row r="77" ht="105" hidden="1">
      <c r="A77" s="217"/>
      <c r="B77" s="217">
        <v>1008</v>
      </c>
      <c r="C77" s="217"/>
      <c r="D77" s="217" t="s">
        <v>20408</v>
      </c>
      <c r="E77" s="471" t="s">
        <v>20672</v>
      </c>
      <c r="F77" s="482">
        <v>38052</v>
      </c>
      <c r="G77" s="470" t="s">
        <v>20727</v>
      </c>
      <c r="H77" s="482" t="s">
        <v>38</v>
      </c>
      <c r="I77" s="483">
        <v>1</v>
      </c>
      <c r="J77" s="473">
        <f t="shared" si="697"/>
        <v>22.100000000000001</v>
      </c>
      <c r="K77" s="474">
        <f t="shared" si="693"/>
        <v>22.100000000000001</v>
      </c>
      <c r="L77" s="475">
        <f t="shared" si="698"/>
        <v>22.100000000000001</v>
      </c>
      <c r="M77" s="474">
        <f t="shared" si="694"/>
        <v>22.100000000000001</v>
      </c>
      <c r="O77" s="434">
        <f t="shared" si="695"/>
        <v>22.100000000000001</v>
      </c>
      <c r="P77" s="435">
        <f t="shared" si="696"/>
        <v>22.100000000000001</v>
      </c>
      <c r="AE77" s="217"/>
      <c r="AF77" s="217">
        <v>1008</v>
      </c>
      <c r="AH77">
        <f t="shared" si="682"/>
        <v>1008</v>
      </c>
    </row>
    <row r="78" ht="94.5" hidden="1">
      <c r="A78" s="460">
        <v>1009</v>
      </c>
      <c r="B78" s="460">
        <v>1009</v>
      </c>
      <c r="C78" s="460"/>
      <c r="D78" s="460"/>
      <c r="E78" s="461">
        <v>1</v>
      </c>
      <c r="F78" s="462" t="s">
        <v>20728</v>
      </c>
      <c r="G78" s="477" t="s">
        <v>20729</v>
      </c>
      <c r="H78" s="478" t="s">
        <v>38</v>
      </c>
      <c r="I78" s="479"/>
      <c r="J78" s="480"/>
      <c r="K78" s="466" t="e">
        <f>SUM(K79:K85)</f>
        <v>#VALUE!</v>
      </c>
      <c r="L78" s="480"/>
      <c r="M78" s="466" t="e">
        <f>SUM(M79:M85)</f>
        <v>#VALUE!</v>
      </c>
      <c r="N78" s="467" t="s">
        <v>20730</v>
      </c>
      <c r="O78" s="434" t="str">
        <f t="shared" si="695"/>
        <v xml:space="preserve">SEM VALOR</v>
      </c>
      <c r="P78" s="435" t="str">
        <f t="shared" si="696"/>
        <v xml:space="preserve">SEM VALOR</v>
      </c>
      <c r="AE78" s="460">
        <v>1009</v>
      </c>
      <c r="AF78" s="460"/>
      <c r="AH78">
        <f t="shared" si="682"/>
        <v>1009</v>
      </c>
    </row>
    <row r="79" ht="45" hidden="1">
      <c r="A79" s="217"/>
      <c r="B79" s="217">
        <v>1009</v>
      </c>
      <c r="C79" s="217"/>
      <c r="D79" s="217" t="s">
        <v>20408</v>
      </c>
      <c r="E79" s="471" t="s">
        <v>20399</v>
      </c>
      <c r="F79" s="482">
        <v>310</v>
      </c>
      <c r="G79" s="470" t="s">
        <v>20731</v>
      </c>
      <c r="H79" s="482" t="s">
        <v>31</v>
      </c>
      <c r="I79" s="483" t="s">
        <v>20732</v>
      </c>
      <c r="J79" s="473">
        <f t="shared" si="697"/>
        <v>90.950000000000003</v>
      </c>
      <c r="K79" s="474" t="e">
        <f t="shared" ref="K79:K85" si="699">I79*J79</f>
        <v>#VALUE!</v>
      </c>
      <c r="L79" s="475">
        <f t="shared" si="698"/>
        <v>90.950000000000003</v>
      </c>
      <c r="M79" s="474" t="e">
        <f t="shared" ref="M79:M85" si="700">L79*I79</f>
        <v>#VALUE!</v>
      </c>
      <c r="N79" s="467" t="s">
        <v>20733</v>
      </c>
      <c r="O79" s="434">
        <f t="shared" si="695"/>
        <v>90.950000000000003</v>
      </c>
      <c r="P79" s="435">
        <f t="shared" si="696"/>
        <v>90.950000000000003</v>
      </c>
      <c r="AE79" s="217"/>
      <c r="AF79" s="217">
        <v>1009</v>
      </c>
      <c r="AH79">
        <f t="shared" si="682"/>
        <v>1009</v>
      </c>
    </row>
    <row r="80" ht="120" hidden="1">
      <c r="A80" s="217"/>
      <c r="B80" s="217">
        <v>1009</v>
      </c>
      <c r="C80" s="217"/>
      <c r="D80" s="217" t="s">
        <v>17167</v>
      </c>
      <c r="E80" s="471" t="s">
        <v>20402</v>
      </c>
      <c r="F80" s="482">
        <v>5678</v>
      </c>
      <c r="G80" s="470" t="s">
        <v>1875</v>
      </c>
      <c r="H80" s="482" t="s">
        <v>1535</v>
      </c>
      <c r="I80" s="483" t="s">
        <v>20734</v>
      </c>
      <c r="J80" s="473">
        <f t="shared" si="697"/>
        <v>157.62</v>
      </c>
      <c r="K80" s="474" t="e">
        <f t="shared" si="699"/>
        <v>#VALUE!</v>
      </c>
      <c r="L80" s="475">
        <f t="shared" si="698"/>
        <v>155.49000000000001</v>
      </c>
      <c r="M80" s="474" t="e">
        <f t="shared" si="700"/>
        <v>#VALUE!</v>
      </c>
      <c r="O80" s="434">
        <f t="shared" si="695"/>
        <v>157.62</v>
      </c>
      <c r="P80" s="435">
        <f t="shared" si="696"/>
        <v>155.49000000000001</v>
      </c>
      <c r="AE80" s="217"/>
      <c r="AF80" s="217">
        <v>1009</v>
      </c>
      <c r="AH80">
        <f t="shared" si="682"/>
        <v>1009</v>
      </c>
    </row>
    <row r="81" ht="120" hidden="1">
      <c r="A81" s="217"/>
      <c r="B81" s="217">
        <v>1009</v>
      </c>
      <c r="C81" s="217"/>
      <c r="D81" s="217" t="s">
        <v>17167</v>
      </c>
      <c r="E81" s="471" t="s">
        <v>20405</v>
      </c>
      <c r="F81" s="482">
        <v>5679</v>
      </c>
      <c r="G81" s="470" t="s">
        <v>1874</v>
      </c>
      <c r="H81" s="482" t="s">
        <v>1533</v>
      </c>
      <c r="I81" s="483" t="s">
        <v>20735</v>
      </c>
      <c r="J81" s="473">
        <f t="shared" si="697"/>
        <v>67.060000000000002</v>
      </c>
      <c r="K81" s="474" t="e">
        <f t="shared" si="699"/>
        <v>#VALUE!</v>
      </c>
      <c r="L81" s="475">
        <f t="shared" si="698"/>
        <v>64.930000000000007</v>
      </c>
      <c r="M81" s="474" t="e">
        <f t="shared" si="700"/>
        <v>#VALUE!</v>
      </c>
      <c r="O81" s="434">
        <f t="shared" si="695"/>
        <v>67.060000000000002</v>
      </c>
      <c r="P81" s="435">
        <f t="shared" si="696"/>
        <v>64.930000000000007</v>
      </c>
      <c r="AE81" s="217"/>
      <c r="AF81" s="217">
        <v>1009</v>
      </c>
      <c r="AH81">
        <f t="shared" si="682"/>
        <v>1009</v>
      </c>
    </row>
    <row r="82" ht="60" hidden="1">
      <c r="A82" s="217"/>
      <c r="B82" s="217">
        <v>1009</v>
      </c>
      <c r="C82" s="217"/>
      <c r="D82" s="217" t="s">
        <v>20408</v>
      </c>
      <c r="E82" s="471" t="s">
        <v>20409</v>
      </c>
      <c r="F82" s="482">
        <v>20078</v>
      </c>
      <c r="G82" s="470" t="s">
        <v>20736</v>
      </c>
      <c r="H82" s="482" t="s">
        <v>31</v>
      </c>
      <c r="I82" s="483" t="s">
        <v>20737</v>
      </c>
      <c r="J82" s="473">
        <f t="shared" si="697"/>
        <v>31.75</v>
      </c>
      <c r="K82" s="474" t="e">
        <f t="shared" si="699"/>
        <v>#VALUE!</v>
      </c>
      <c r="L82" s="475">
        <f t="shared" si="698"/>
        <v>31.75</v>
      </c>
      <c r="M82" s="474" t="e">
        <f t="shared" si="700"/>
        <v>#VALUE!</v>
      </c>
      <c r="O82" s="434">
        <f t="shared" si="695"/>
        <v>31.75</v>
      </c>
      <c r="P82" s="435">
        <f t="shared" si="696"/>
        <v>31.75</v>
      </c>
      <c r="AE82" s="217"/>
      <c r="AF82" s="217">
        <v>1009</v>
      </c>
      <c r="AH82">
        <f t="shared" si="682"/>
        <v>1009</v>
      </c>
    </row>
    <row r="83" ht="45" hidden="1">
      <c r="A83" s="217"/>
      <c r="B83" s="217">
        <v>1009</v>
      </c>
      <c r="C83" s="217"/>
      <c r="D83" s="217" t="s">
        <v>20644</v>
      </c>
      <c r="E83" s="471" t="s">
        <v>20663</v>
      </c>
      <c r="F83" s="482" t="s">
        <v>15345</v>
      </c>
      <c r="G83" s="470" t="s">
        <v>20075</v>
      </c>
      <c r="H83" s="482" t="s">
        <v>38</v>
      </c>
      <c r="I83" s="483" t="s">
        <v>20738</v>
      </c>
      <c r="J83" s="473">
        <f t="shared" si="697"/>
        <v>281.08999999999997</v>
      </c>
      <c r="K83" s="474">
        <f t="shared" si="699"/>
        <v>2951444999.9999995</v>
      </c>
      <c r="L83" s="475">
        <f t="shared" si="698"/>
        <v>281.08999999999997</v>
      </c>
      <c r="M83" s="474">
        <f t="shared" si="700"/>
        <v>2951444999.9999995</v>
      </c>
      <c r="O83" s="434">
        <f t="shared" si="695"/>
        <v>281.08999999999997</v>
      </c>
      <c r="P83" s="435">
        <f t="shared" si="696"/>
        <v>281.08999999999997</v>
      </c>
      <c r="AE83" s="217"/>
      <c r="AF83" s="217">
        <v>1009</v>
      </c>
      <c r="AH83">
        <f t="shared" si="682"/>
        <v>1009</v>
      </c>
    </row>
    <row r="84" ht="30" hidden="1">
      <c r="A84" s="217"/>
      <c r="B84" s="217">
        <v>1009</v>
      </c>
      <c r="C84" s="217"/>
      <c r="D84" s="217" t="s">
        <v>17167</v>
      </c>
      <c r="E84" s="471" t="s">
        <v>20665</v>
      </c>
      <c r="F84" s="482">
        <v>88246</v>
      </c>
      <c r="G84" s="470" t="s">
        <v>7107</v>
      </c>
      <c r="H84" s="482" t="s">
        <v>2032</v>
      </c>
      <c r="I84" s="483" t="s">
        <v>20739</v>
      </c>
      <c r="J84" s="473">
        <f t="shared" si="697"/>
        <v>19.960000000000001</v>
      </c>
      <c r="K84" s="474" t="e">
        <f t="shared" si="699"/>
        <v>#VALUE!</v>
      </c>
      <c r="L84" s="475">
        <f t="shared" si="698"/>
        <v>18.870000000000001</v>
      </c>
      <c r="M84" s="474" t="e">
        <f t="shared" si="700"/>
        <v>#VALUE!</v>
      </c>
      <c r="O84" s="434">
        <f t="shared" si="695"/>
        <v>19.960000000000001</v>
      </c>
      <c r="P84" s="435">
        <f t="shared" si="696"/>
        <v>18.870000000000001</v>
      </c>
      <c r="AE84" s="217"/>
      <c r="AF84" s="217">
        <v>1009</v>
      </c>
      <c r="AH84">
        <f t="shared" si="682"/>
        <v>1009</v>
      </c>
    </row>
    <row r="85" ht="30" hidden="1">
      <c r="A85" s="217"/>
      <c r="B85" s="217">
        <v>1009</v>
      </c>
      <c r="C85" s="217"/>
      <c r="D85" s="217" t="s">
        <v>17167</v>
      </c>
      <c r="E85" s="471" t="s">
        <v>20667</v>
      </c>
      <c r="F85" s="482">
        <v>88316</v>
      </c>
      <c r="G85" s="470" t="s">
        <v>7393</v>
      </c>
      <c r="H85" s="482" t="s">
        <v>2032</v>
      </c>
      <c r="I85" s="483" t="s">
        <v>20739</v>
      </c>
      <c r="J85" s="473">
        <f t="shared" si="697"/>
        <v>22.760000000000002</v>
      </c>
      <c r="K85" s="474" t="e">
        <f t="shared" si="699"/>
        <v>#VALUE!</v>
      </c>
      <c r="L85" s="475">
        <f t="shared" si="698"/>
        <v>21.550000000000001</v>
      </c>
      <c r="M85" s="474" t="e">
        <f t="shared" si="700"/>
        <v>#VALUE!</v>
      </c>
      <c r="O85" s="434">
        <f t="shared" si="695"/>
        <v>22.760000000000002</v>
      </c>
      <c r="P85" s="435">
        <f t="shared" si="696"/>
        <v>21.550000000000001</v>
      </c>
      <c r="AE85" s="217"/>
      <c r="AF85" s="217">
        <v>1009</v>
      </c>
      <c r="AH85">
        <f t="shared" si="682"/>
        <v>1009</v>
      </c>
    </row>
    <row r="86" ht="94.5" hidden="1">
      <c r="A86" s="460">
        <v>1010</v>
      </c>
      <c r="B86" s="460">
        <v>1010</v>
      </c>
      <c r="C86" s="460"/>
      <c r="D86" s="460"/>
      <c r="E86" s="461">
        <v>1</v>
      </c>
      <c r="F86" s="462" t="s">
        <v>20740</v>
      </c>
      <c r="G86" s="477" t="s">
        <v>20741</v>
      </c>
      <c r="H86" s="478" t="s">
        <v>38</v>
      </c>
      <c r="I86" s="479"/>
      <c r="J86" s="480"/>
      <c r="K86" s="466" t="e">
        <f>SUM(K87:K92)</f>
        <v>#VALUE!</v>
      </c>
      <c r="L86" s="480"/>
      <c r="M86" s="466" t="e">
        <f>SUM(M87:M92)</f>
        <v>#VALUE!</v>
      </c>
      <c r="N86" s="467" t="s">
        <v>20742</v>
      </c>
      <c r="O86" s="434" t="str">
        <f t="shared" si="695"/>
        <v xml:space="preserve">SEM VALOR</v>
      </c>
      <c r="P86" s="435" t="str">
        <f t="shared" si="696"/>
        <v xml:space="preserve">SEM VALOR</v>
      </c>
      <c r="AE86" s="460">
        <v>1010</v>
      </c>
      <c r="AF86" s="460"/>
      <c r="AH86">
        <f t="shared" si="682"/>
        <v>1010</v>
      </c>
    </row>
    <row r="87" ht="60" hidden="1">
      <c r="A87" s="217"/>
      <c r="B87" s="217">
        <v>1010</v>
      </c>
      <c r="C87" s="217"/>
      <c r="D87" s="217" t="s">
        <v>17167</v>
      </c>
      <c r="E87" s="471" t="s">
        <v>20402</v>
      </c>
      <c r="F87" s="486">
        <v>5631</v>
      </c>
      <c r="G87" s="470" t="s">
        <v>1679</v>
      </c>
      <c r="H87" s="482" t="s">
        <v>1535</v>
      </c>
      <c r="I87" s="483" t="s">
        <v>20743</v>
      </c>
      <c r="J87" s="473">
        <f t="shared" si="697"/>
        <v>220.5</v>
      </c>
      <c r="K87" s="474" t="e">
        <f t="shared" ref="K87:K92" si="701">I87*J87</f>
        <v>#VALUE!</v>
      </c>
      <c r="L87" s="475">
        <f t="shared" si="698"/>
        <v>218.37</v>
      </c>
      <c r="M87" s="474" t="e">
        <f t="shared" ref="M87:M92" si="702">L87*I87</f>
        <v>#VALUE!</v>
      </c>
      <c r="N87" s="467" t="s">
        <v>20744</v>
      </c>
      <c r="O87" s="434">
        <f t="shared" si="695"/>
        <v>220.5</v>
      </c>
      <c r="P87" s="435">
        <f t="shared" si="696"/>
        <v>218.37</v>
      </c>
      <c r="AE87" s="217"/>
      <c r="AF87" s="217">
        <v>1010</v>
      </c>
      <c r="AH87">
        <f t="shared" si="682"/>
        <v>1010</v>
      </c>
    </row>
    <row r="88" ht="60" hidden="1">
      <c r="A88" s="217"/>
      <c r="B88" s="217">
        <v>1010</v>
      </c>
      <c r="C88" s="217"/>
      <c r="D88" s="217" t="s">
        <v>17167</v>
      </c>
      <c r="E88" s="471" t="s">
        <v>20405</v>
      </c>
      <c r="F88" s="486">
        <v>5632</v>
      </c>
      <c r="G88" s="470" t="s">
        <v>1678</v>
      </c>
      <c r="H88" s="482" t="s">
        <v>1533</v>
      </c>
      <c r="I88" s="483" t="s">
        <v>20745</v>
      </c>
      <c r="J88" s="473">
        <f t="shared" si="697"/>
        <v>91.030000000000001</v>
      </c>
      <c r="K88" s="474" t="e">
        <f t="shared" si="701"/>
        <v>#VALUE!</v>
      </c>
      <c r="L88" s="475">
        <f t="shared" si="698"/>
        <v>88.900000000000006</v>
      </c>
      <c r="M88" s="474" t="e">
        <f t="shared" si="702"/>
        <v>#VALUE!</v>
      </c>
      <c r="O88" s="434">
        <f t="shared" si="695"/>
        <v>91.030000000000001</v>
      </c>
      <c r="P88" s="435">
        <f t="shared" si="696"/>
        <v>88.900000000000006</v>
      </c>
      <c r="AE88" s="217"/>
      <c r="AF88" s="217">
        <v>1010</v>
      </c>
      <c r="AH88">
        <f t="shared" si="682"/>
        <v>1010</v>
      </c>
    </row>
    <row r="89" ht="60" hidden="1">
      <c r="A89" s="217"/>
      <c r="B89" s="217">
        <v>1010</v>
      </c>
      <c r="C89" s="217"/>
      <c r="D89" s="217" t="s">
        <v>20408</v>
      </c>
      <c r="E89" s="471" t="s">
        <v>20409</v>
      </c>
      <c r="F89" s="486">
        <v>20078</v>
      </c>
      <c r="G89" s="470" t="s">
        <v>20736</v>
      </c>
      <c r="H89" s="482" t="s">
        <v>31</v>
      </c>
      <c r="I89" s="483" t="s">
        <v>20746</v>
      </c>
      <c r="J89" s="473">
        <f t="shared" si="697"/>
        <v>31.75</v>
      </c>
      <c r="K89" s="474" t="e">
        <f t="shared" si="701"/>
        <v>#VALUE!</v>
      </c>
      <c r="L89" s="475">
        <f t="shared" si="698"/>
        <v>31.75</v>
      </c>
      <c r="M89" s="474" t="e">
        <f t="shared" si="702"/>
        <v>#VALUE!</v>
      </c>
      <c r="O89" s="434">
        <f t="shared" si="695"/>
        <v>31.75</v>
      </c>
      <c r="P89" s="435">
        <f t="shared" si="696"/>
        <v>31.75</v>
      </c>
      <c r="AE89" s="217"/>
      <c r="AF89" s="217">
        <v>1010</v>
      </c>
      <c r="AH89">
        <f t="shared" si="682"/>
        <v>1010</v>
      </c>
    </row>
    <row r="90" ht="45" hidden="1">
      <c r="A90" s="217"/>
      <c r="B90" s="217">
        <v>1010</v>
      </c>
      <c r="C90" s="217"/>
      <c r="D90" s="217" t="s">
        <v>20644</v>
      </c>
      <c r="E90" s="471" t="s">
        <v>20663</v>
      </c>
      <c r="F90" s="486" t="s">
        <v>15359</v>
      </c>
      <c r="G90" s="470" t="s">
        <v>20747</v>
      </c>
      <c r="H90" s="482" t="s">
        <v>38</v>
      </c>
      <c r="I90" s="483" t="s">
        <v>20738</v>
      </c>
      <c r="J90" s="473">
        <f t="shared" si="697"/>
        <v>1376.25</v>
      </c>
      <c r="K90" s="474">
        <f t="shared" si="701"/>
        <v>14450625000</v>
      </c>
      <c r="L90" s="475">
        <f t="shared" si="698"/>
        <v>1376.25</v>
      </c>
      <c r="M90" s="474">
        <f t="shared" si="702"/>
        <v>14450625000</v>
      </c>
      <c r="O90" s="434">
        <f t="shared" si="695"/>
        <v>1376.25</v>
      </c>
      <c r="P90" s="435">
        <f t="shared" si="696"/>
        <v>1376.25</v>
      </c>
      <c r="AE90" s="217"/>
      <c r="AF90" s="217">
        <v>1010</v>
      </c>
      <c r="AH90">
        <f t="shared" si="682"/>
        <v>1010</v>
      </c>
    </row>
    <row r="91" ht="30" hidden="1">
      <c r="A91" s="217"/>
      <c r="B91" s="217">
        <v>1010</v>
      </c>
      <c r="C91" s="217"/>
      <c r="D91" s="217" t="s">
        <v>17167</v>
      </c>
      <c r="E91" s="471" t="s">
        <v>20665</v>
      </c>
      <c r="F91" s="486">
        <v>88246</v>
      </c>
      <c r="G91" s="470" t="s">
        <v>7107</v>
      </c>
      <c r="H91" s="482" t="s">
        <v>2032</v>
      </c>
      <c r="I91" s="483" t="s">
        <v>20748</v>
      </c>
      <c r="J91" s="473">
        <f t="shared" si="697"/>
        <v>19.960000000000001</v>
      </c>
      <c r="K91" s="474" t="e">
        <f t="shared" si="701"/>
        <v>#VALUE!</v>
      </c>
      <c r="L91" s="475">
        <f t="shared" si="698"/>
        <v>18.870000000000001</v>
      </c>
      <c r="M91" s="474" t="e">
        <f t="shared" si="702"/>
        <v>#VALUE!</v>
      </c>
      <c r="O91" s="434">
        <f t="shared" si="695"/>
        <v>19.960000000000001</v>
      </c>
      <c r="P91" s="435">
        <f t="shared" si="696"/>
        <v>18.870000000000001</v>
      </c>
      <c r="AE91" s="217"/>
      <c r="AF91" s="217">
        <v>1010</v>
      </c>
      <c r="AH91">
        <f t="shared" si="682"/>
        <v>1010</v>
      </c>
    </row>
    <row r="92" ht="30" hidden="1">
      <c r="A92" s="217"/>
      <c r="B92" s="217">
        <v>1010</v>
      </c>
      <c r="C92" s="217"/>
      <c r="D92" s="217" t="s">
        <v>17167</v>
      </c>
      <c r="E92" s="471" t="s">
        <v>20667</v>
      </c>
      <c r="F92" s="486">
        <v>88316</v>
      </c>
      <c r="G92" s="470" t="s">
        <v>7393</v>
      </c>
      <c r="H92" s="482" t="s">
        <v>2032</v>
      </c>
      <c r="I92" s="483" t="s">
        <v>20748</v>
      </c>
      <c r="J92" s="473">
        <f t="shared" si="697"/>
        <v>22.760000000000002</v>
      </c>
      <c r="K92" s="474" t="e">
        <f t="shared" si="701"/>
        <v>#VALUE!</v>
      </c>
      <c r="L92" s="475">
        <f t="shared" si="698"/>
        <v>21.550000000000001</v>
      </c>
      <c r="M92" s="474" t="e">
        <f t="shared" si="702"/>
        <v>#VALUE!</v>
      </c>
      <c r="O92" s="434">
        <f t="shared" si="695"/>
        <v>22.760000000000002</v>
      </c>
      <c r="P92" s="435">
        <f t="shared" si="696"/>
        <v>21.550000000000001</v>
      </c>
      <c r="AE92" s="217"/>
      <c r="AF92" s="217">
        <v>1010</v>
      </c>
      <c r="AH92">
        <f t="shared" si="682"/>
        <v>1010</v>
      </c>
    </row>
    <row r="93" ht="94.5" hidden="1">
      <c r="A93" s="460">
        <v>1011</v>
      </c>
      <c r="B93" s="460">
        <v>1011</v>
      </c>
      <c r="C93" s="460"/>
      <c r="D93" s="460"/>
      <c r="E93" s="461">
        <v>1</v>
      </c>
      <c r="F93" s="462" t="s">
        <v>20749</v>
      </c>
      <c r="G93" s="477" t="s">
        <v>20750</v>
      </c>
      <c r="H93" s="478" t="s">
        <v>38</v>
      </c>
      <c r="I93" s="479"/>
      <c r="J93" s="480"/>
      <c r="K93" s="466">
        <f>SUM(K94:K99)</f>
        <v>1587.0448450000001</v>
      </c>
      <c r="L93" s="480"/>
      <c r="M93" s="466">
        <f>SUM(M94:M99)</f>
        <v>1586.0772139999999</v>
      </c>
      <c r="N93" s="467" t="s">
        <v>20751</v>
      </c>
      <c r="O93" s="434" t="str">
        <f t="shared" si="695"/>
        <v xml:space="preserve">SEM VALOR</v>
      </c>
      <c r="P93" s="435" t="str">
        <f t="shared" si="696"/>
        <v xml:space="preserve">SEM VALOR</v>
      </c>
      <c r="AE93" s="460">
        <v>1011</v>
      </c>
      <c r="AF93" s="460"/>
      <c r="AH93">
        <f t="shared" si="682"/>
        <v>1011</v>
      </c>
    </row>
    <row r="94" ht="60" hidden="1">
      <c r="A94" s="217"/>
      <c r="B94" s="217">
        <v>1011</v>
      </c>
      <c r="C94" s="217"/>
      <c r="D94" s="217" t="s">
        <v>17167</v>
      </c>
      <c r="E94" s="471" t="s">
        <v>20402</v>
      </c>
      <c r="F94" s="482">
        <v>5631</v>
      </c>
      <c r="G94" s="470" t="s">
        <v>1679</v>
      </c>
      <c r="H94" s="482" t="s">
        <v>1535</v>
      </c>
      <c r="I94" s="483">
        <v>9.1700000000000004e-002</v>
      </c>
      <c r="J94" s="473">
        <f t="shared" si="697"/>
        <v>220.5</v>
      </c>
      <c r="K94" s="474">
        <f t="shared" ref="K94:K99" si="703">I94*J94</f>
        <v>20.219850000000001</v>
      </c>
      <c r="L94" s="475">
        <f t="shared" si="698"/>
        <v>218.37</v>
      </c>
      <c r="M94" s="474">
        <f t="shared" ref="M94:M99" si="704">L94*I94</f>
        <v>20.024529000000001</v>
      </c>
      <c r="N94" s="467" t="s">
        <v>20744</v>
      </c>
      <c r="O94" s="434">
        <f t="shared" si="695"/>
        <v>220.5</v>
      </c>
      <c r="P94" s="435">
        <f t="shared" si="696"/>
        <v>218.37</v>
      </c>
      <c r="AE94" s="217"/>
      <c r="AF94" s="217">
        <v>1011</v>
      </c>
      <c r="AH94">
        <f t="shared" si="682"/>
        <v>1011</v>
      </c>
    </row>
    <row r="95" ht="60" hidden="1">
      <c r="A95" s="217"/>
      <c r="B95" s="217">
        <v>1011</v>
      </c>
      <c r="C95" s="217"/>
      <c r="D95" s="217" t="s">
        <v>17167</v>
      </c>
      <c r="E95" s="471" t="s">
        <v>20405</v>
      </c>
      <c r="F95" s="482">
        <v>5632</v>
      </c>
      <c r="G95" s="470" t="s">
        <v>1678</v>
      </c>
      <c r="H95" s="482" t="s">
        <v>1533</v>
      </c>
      <c r="I95" s="483">
        <v>5.7000000000000002e-002</v>
      </c>
      <c r="J95" s="473">
        <f t="shared" si="697"/>
        <v>91.030000000000001</v>
      </c>
      <c r="K95" s="474">
        <f t="shared" si="703"/>
        <v>5.1887100000000004</v>
      </c>
      <c r="L95" s="475">
        <f t="shared" si="698"/>
        <v>88.900000000000006</v>
      </c>
      <c r="M95" s="474">
        <f t="shared" si="704"/>
        <v>5.0673000000000004</v>
      </c>
      <c r="O95" s="434">
        <f t="shared" si="695"/>
        <v>91.030000000000001</v>
      </c>
      <c r="P95" s="435">
        <f t="shared" si="696"/>
        <v>88.900000000000006</v>
      </c>
      <c r="AE95" s="217"/>
      <c r="AF95" s="217">
        <v>1011</v>
      </c>
      <c r="AH95">
        <f t="shared" si="682"/>
        <v>1011</v>
      </c>
    </row>
    <row r="96" ht="60" hidden="1">
      <c r="A96" s="217"/>
      <c r="B96" s="217">
        <v>1011</v>
      </c>
      <c r="C96" s="217"/>
      <c r="D96" s="217" t="s">
        <v>20408</v>
      </c>
      <c r="E96" s="471" t="s">
        <v>20409</v>
      </c>
      <c r="F96" s="482">
        <v>20078</v>
      </c>
      <c r="G96" s="470" t="s">
        <v>20736</v>
      </c>
      <c r="H96" s="482" t="s">
        <v>31</v>
      </c>
      <c r="I96" s="483">
        <v>0.20830000000000001</v>
      </c>
      <c r="J96" s="473">
        <f t="shared" si="697"/>
        <v>31.75</v>
      </c>
      <c r="K96" s="474">
        <f t="shared" si="703"/>
        <v>6.6135250000000001</v>
      </c>
      <c r="L96" s="475">
        <f t="shared" si="698"/>
        <v>31.75</v>
      </c>
      <c r="M96" s="474">
        <f t="shared" si="704"/>
        <v>6.6135250000000001</v>
      </c>
      <c r="O96" s="434">
        <f t="shared" si="695"/>
        <v>31.75</v>
      </c>
      <c r="P96" s="435">
        <f t="shared" si="696"/>
        <v>31.75</v>
      </c>
      <c r="AE96" s="217"/>
      <c r="AF96" s="217">
        <v>1011</v>
      </c>
      <c r="AH96">
        <f t="shared" si="682"/>
        <v>1011</v>
      </c>
    </row>
    <row r="97" ht="45" hidden="1">
      <c r="A97" s="217"/>
      <c r="B97" s="217">
        <v>1011</v>
      </c>
      <c r="C97" s="217"/>
      <c r="D97" s="217" t="s">
        <v>20644</v>
      </c>
      <c r="E97" s="471" t="s">
        <v>20663</v>
      </c>
      <c r="F97" s="482" t="s">
        <v>15372</v>
      </c>
      <c r="G97" s="470" t="s">
        <v>20752</v>
      </c>
      <c r="H97" s="482" t="s">
        <v>38</v>
      </c>
      <c r="I97" s="483">
        <v>1.05</v>
      </c>
      <c r="J97" s="473">
        <f t="shared" si="697"/>
        <v>1469.46</v>
      </c>
      <c r="K97" s="474">
        <f t="shared" si="703"/>
        <v>1542.933</v>
      </c>
      <c r="L97" s="475">
        <f t="shared" si="698"/>
        <v>1469.46</v>
      </c>
      <c r="M97" s="474">
        <f t="shared" si="704"/>
        <v>1542.933</v>
      </c>
      <c r="O97" s="434">
        <f t="shared" si="695"/>
        <v>1469.46</v>
      </c>
      <c r="P97" s="435">
        <f t="shared" si="696"/>
        <v>1469.46</v>
      </c>
      <c r="AE97" s="217"/>
      <c r="AF97" s="217">
        <v>1011</v>
      </c>
      <c r="AH97">
        <f t="shared" ref="AH97:AH160" si="705">IF(AF97:AF98=FALSE,AE97,AF97)</f>
        <v>1011</v>
      </c>
    </row>
    <row r="98" ht="30" hidden="1">
      <c r="A98" s="217"/>
      <c r="B98" s="217">
        <v>1011</v>
      </c>
      <c r="C98" s="217"/>
      <c r="D98" s="217" t="s">
        <v>17167</v>
      </c>
      <c r="E98" s="471" t="s">
        <v>20665</v>
      </c>
      <c r="F98" s="482">
        <v>88246</v>
      </c>
      <c r="G98" s="470" t="s">
        <v>7107</v>
      </c>
      <c r="H98" s="482" t="s">
        <v>2032</v>
      </c>
      <c r="I98" s="483">
        <v>0.28299999999999997</v>
      </c>
      <c r="J98" s="473">
        <f t="shared" si="697"/>
        <v>19.960000000000001</v>
      </c>
      <c r="K98" s="474">
        <f t="shared" si="703"/>
        <v>5.6486799999999997</v>
      </c>
      <c r="L98" s="475">
        <f t="shared" si="698"/>
        <v>18.870000000000001</v>
      </c>
      <c r="M98" s="474">
        <f t="shared" si="704"/>
        <v>5.3402099999999999</v>
      </c>
      <c r="O98" s="434">
        <f t="shared" si="695"/>
        <v>19.960000000000001</v>
      </c>
      <c r="P98" s="435">
        <f t="shared" si="696"/>
        <v>18.870000000000001</v>
      </c>
      <c r="AE98" s="217"/>
      <c r="AF98" s="217">
        <v>1011</v>
      </c>
      <c r="AH98">
        <f t="shared" si="705"/>
        <v>1011</v>
      </c>
    </row>
    <row r="99" ht="30" hidden="1">
      <c r="A99" s="217"/>
      <c r="B99" s="217">
        <v>1011</v>
      </c>
      <c r="C99" s="217"/>
      <c r="D99" s="217" t="s">
        <v>17167</v>
      </c>
      <c r="E99" s="471" t="s">
        <v>20667</v>
      </c>
      <c r="F99" s="482">
        <v>88316</v>
      </c>
      <c r="G99" s="470" t="s">
        <v>7393</v>
      </c>
      <c r="H99" s="482" t="s">
        <v>2032</v>
      </c>
      <c r="I99" s="483">
        <v>0.28299999999999997</v>
      </c>
      <c r="J99" s="473">
        <f t="shared" si="697"/>
        <v>22.760000000000002</v>
      </c>
      <c r="K99" s="474">
        <f t="shared" si="703"/>
        <v>6.4410799999999995</v>
      </c>
      <c r="L99" s="475">
        <f t="shared" si="698"/>
        <v>21.550000000000001</v>
      </c>
      <c r="M99" s="474">
        <f t="shared" si="704"/>
        <v>6.0986499999999992</v>
      </c>
      <c r="O99" s="434">
        <f t="shared" si="695"/>
        <v>22.760000000000002</v>
      </c>
      <c r="P99" s="435">
        <f t="shared" si="696"/>
        <v>21.550000000000001</v>
      </c>
      <c r="AE99" s="217"/>
      <c r="AF99" s="217">
        <v>1011</v>
      </c>
      <c r="AH99">
        <f>IF(AF99:AF138=FALSE,AE99,AF99)</f>
        <v>1011</v>
      </c>
    </row>
    <row r="100" ht="110.25" hidden="1">
      <c r="A100" s="217"/>
      <c r="B100" s="460">
        <v>1012</v>
      </c>
      <c r="C100" s="460"/>
      <c r="D100" s="460"/>
      <c r="E100" s="461">
        <v>1</v>
      </c>
      <c r="F100" s="462" t="s">
        <v>20753</v>
      </c>
      <c r="G100" s="477" t="s">
        <v>20754</v>
      </c>
      <c r="H100" s="478" t="s">
        <v>20647</v>
      </c>
      <c r="I100" s="479"/>
      <c r="J100" s="480"/>
      <c r="K100" s="466">
        <f>SUM(K101:K111)</f>
        <v>1669.4567579999998</v>
      </c>
      <c r="L100" s="481"/>
      <c r="M100" s="466">
        <f>SUM(M101:M111)</f>
        <v>1617.1194823499998</v>
      </c>
      <c r="N100" s="467" t="s">
        <v>20755</v>
      </c>
      <c r="O100" s="434" t="str">
        <f t="shared" ref="O100:O163" si="706">IFERROR(IF(D100="SINAPI",VLOOKUP(F100,SINCOMOD,4,FALSE),IF(D100="INSINAPI",VLOOKUP(F100,INSINOD,5,FALSE),IF(D100="SICRO",VLOOKUP(F100,SICRO,5,FALSE),IF(D100="COTACAO",VLOOKUP(F100,COTACAO,6,FALSE),IF(D100="PRÓPRIO",VLOOKUP(F100,COMPOD,11,FALSE),IF(D100="AGESUL",VLOOKUP(F100,AGESULOD,6,FALSE),IF(D100="INSAGESUL",VLOOKUP(F100,INSAGESUL,7,FALSE),"SEM VALOR"))))))),"SEM VALOR")</f>
        <v xml:space="preserve">SEM VALOR</v>
      </c>
      <c r="P100" s="435" t="str">
        <f t="shared" ref="P100:P163" si="707">IFERROR(IF(D100="SINAPI",VLOOKUP(F100,SINCOMOD,6,FALSE),IF(D100="INSINAPI",VLOOKUP(F100,INSINOD,6,FALSE),IF(D100="SICRO",VLOOKUP(F100,SICRO,5,FALSE),IF(D100="COTACAO",VLOOKUP(F100,COTACAO,6,FALSE),IF(D100="PRÓPRIO",VLOOKUP(F100,COMPOD,13,FALSE),IF(D100="AGESUL",VLOOKUP(F100,AGESULOD,11,FALSE),IF(D100="INSAGESUL",VLOOKUP(F100,INSAGESUL,8,FALSE),"SEM VALOR"))))))),"SEM VALOR")</f>
        <v xml:space="preserve">SEM VALOR</v>
      </c>
      <c r="R100" s="487" t="s">
        <v>20756</v>
      </c>
      <c r="AE100" s="217"/>
      <c r="AF100" s="217"/>
    </row>
    <row r="101" ht="33.75" hidden="1">
      <c r="A101" s="217"/>
      <c r="B101" s="217">
        <v>1012</v>
      </c>
      <c r="C101" s="217"/>
      <c r="D101" s="217" t="s">
        <v>20398</v>
      </c>
      <c r="E101" s="471" t="s">
        <v>20399</v>
      </c>
      <c r="F101" s="482">
        <v>1003</v>
      </c>
      <c r="G101" s="488" t="s">
        <v>20659</v>
      </c>
      <c r="H101" s="482" t="s">
        <v>20647</v>
      </c>
      <c r="I101" s="483">
        <v>1</v>
      </c>
      <c r="J101" s="473">
        <f t="shared" si="697"/>
        <v>654.70647199999996</v>
      </c>
      <c r="K101" s="474">
        <f t="shared" ref="K101:K111" si="708">I101*J101</f>
        <v>654.70647199999996</v>
      </c>
      <c r="L101" s="475">
        <f t="shared" si="698"/>
        <v>633.82447200000001</v>
      </c>
      <c r="M101" s="474">
        <f t="shared" ref="M101:M111" si="709">L101*I101</f>
        <v>633.82447200000001</v>
      </c>
      <c r="N101" s="467" t="s">
        <v>20757</v>
      </c>
      <c r="O101" s="434">
        <f t="shared" si="706"/>
        <v>654.70647199999996</v>
      </c>
      <c r="P101" s="435">
        <f t="shared" si="707"/>
        <v>633.82447200000001</v>
      </c>
      <c r="AE101" s="217"/>
      <c r="AF101" s="217"/>
    </row>
    <row r="102" ht="60" hidden="1">
      <c r="A102" s="217"/>
      <c r="B102" s="217">
        <v>1012</v>
      </c>
      <c r="C102" s="217"/>
      <c r="D102" s="217" t="s">
        <v>20398</v>
      </c>
      <c r="E102" s="471" t="s">
        <v>20402</v>
      </c>
      <c r="F102" s="482">
        <v>1258</v>
      </c>
      <c r="G102" s="488" t="s">
        <v>20660</v>
      </c>
      <c r="H102" s="482" t="s">
        <v>15515</v>
      </c>
      <c r="I102" s="483">
        <v>2.0600000000000001</v>
      </c>
      <c r="J102" s="473">
        <f t="shared" si="697"/>
        <v>7.5700000000000003</v>
      </c>
      <c r="K102" s="474">
        <f t="shared" si="708"/>
        <v>15.594200000000001</v>
      </c>
      <c r="L102" s="475">
        <f t="shared" si="698"/>
        <v>7.1846199999999998</v>
      </c>
      <c r="M102" s="474">
        <f t="shared" si="709"/>
        <v>14.8003172</v>
      </c>
      <c r="N102" s="467" t="s">
        <v>20758</v>
      </c>
      <c r="O102" s="434">
        <f t="shared" si="706"/>
        <v>7.5700000000000003</v>
      </c>
      <c r="P102" s="435">
        <f t="shared" si="707"/>
        <v>7.1846199999999998</v>
      </c>
      <c r="AE102" s="217"/>
      <c r="AF102" s="217"/>
    </row>
    <row r="103" ht="45" hidden="1">
      <c r="A103" s="217"/>
      <c r="B103" s="217">
        <v>1012</v>
      </c>
      <c r="C103" s="217"/>
      <c r="D103" s="217" t="s">
        <v>17167</v>
      </c>
      <c r="E103" s="471" t="s">
        <v>20405</v>
      </c>
      <c r="F103" s="482">
        <v>93358</v>
      </c>
      <c r="G103" s="470" t="s">
        <v>20661</v>
      </c>
      <c r="H103" s="482" t="s">
        <v>15528</v>
      </c>
      <c r="I103" s="483">
        <v>0.94999999999999996</v>
      </c>
      <c r="J103" s="473">
        <f t="shared" si="697"/>
        <v>90.030000000000001</v>
      </c>
      <c r="K103" s="474">
        <f t="shared" si="708"/>
        <v>85.528499999999994</v>
      </c>
      <c r="L103" s="475">
        <f t="shared" si="698"/>
        <v>85.239999999999995</v>
      </c>
      <c r="M103" s="474">
        <f t="shared" si="709"/>
        <v>80.977999999999994</v>
      </c>
      <c r="O103" s="434">
        <f t="shared" si="706"/>
        <v>90.030000000000001</v>
      </c>
      <c r="P103" s="435">
        <f t="shared" si="707"/>
        <v>85.239999999999995</v>
      </c>
      <c r="R103" s="487" t="s">
        <v>20759</v>
      </c>
      <c r="AE103" s="217"/>
      <c r="AF103" s="217"/>
    </row>
    <row r="104" ht="105" hidden="1">
      <c r="A104" s="217"/>
      <c r="B104" s="217">
        <v>1012</v>
      </c>
      <c r="C104" s="217"/>
      <c r="D104" s="217" t="s">
        <v>20398</v>
      </c>
      <c r="E104" s="471" t="s">
        <v>20409</v>
      </c>
      <c r="F104" s="482">
        <v>1092</v>
      </c>
      <c r="G104" s="470" t="s">
        <v>20666</v>
      </c>
      <c r="H104" s="482" t="s">
        <v>15528</v>
      </c>
      <c r="I104" s="483">
        <f>0.95*1.3</f>
        <v>1.2350000000000001</v>
      </c>
      <c r="J104" s="473">
        <f t="shared" si="697"/>
        <v>2.2000000000000002</v>
      </c>
      <c r="K104" s="474">
        <f t="shared" si="708"/>
        <v>2.7170000000000005</v>
      </c>
      <c r="L104" s="475">
        <f t="shared" si="698"/>
        <v>2.1879900000000001</v>
      </c>
      <c r="M104" s="474">
        <f t="shared" si="709"/>
        <v>2.7021676500000003</v>
      </c>
      <c r="O104" s="434">
        <f t="shared" si="706"/>
        <v>2.2000000000000002</v>
      </c>
      <c r="P104" s="435">
        <f t="shared" si="707"/>
        <v>2.1879900000000001</v>
      </c>
      <c r="AE104" s="217"/>
      <c r="AF104" s="217"/>
    </row>
    <row r="105" ht="60" hidden="1">
      <c r="A105" s="217"/>
      <c r="B105" s="217">
        <v>1012</v>
      </c>
      <c r="C105" s="217"/>
      <c r="D105" s="217" t="s">
        <v>17167</v>
      </c>
      <c r="E105" s="471" t="s">
        <v>20663</v>
      </c>
      <c r="F105" s="482">
        <v>95875</v>
      </c>
      <c r="G105" s="470" t="s">
        <v>20668</v>
      </c>
      <c r="H105" s="482" t="s">
        <v>20669</v>
      </c>
      <c r="I105" s="483">
        <f>I104*5</f>
        <v>6.1749999999999998</v>
      </c>
      <c r="J105" s="473">
        <f t="shared" si="697"/>
        <v>2.7599999999999998</v>
      </c>
      <c r="K105" s="474">
        <f t="shared" si="708"/>
        <v>17.042999999999999</v>
      </c>
      <c r="L105" s="475">
        <f t="shared" si="698"/>
        <v>2.73</v>
      </c>
      <c r="M105" s="474">
        <f t="shared" si="709"/>
        <v>16.857749999999999</v>
      </c>
      <c r="O105" s="434">
        <f t="shared" si="706"/>
        <v>2.7599999999999998</v>
      </c>
      <c r="P105" s="435">
        <f t="shared" si="707"/>
        <v>2.73</v>
      </c>
      <c r="R105" s="487" t="s">
        <v>20760</v>
      </c>
      <c r="AE105" s="217"/>
      <c r="AF105" s="217"/>
    </row>
    <row r="106" ht="105" hidden="1">
      <c r="A106" s="217"/>
      <c r="B106" s="217">
        <v>1012</v>
      </c>
      <c r="C106" s="217"/>
      <c r="D106" s="217" t="s">
        <v>17167</v>
      </c>
      <c r="E106" s="471" t="s">
        <v>20665</v>
      </c>
      <c r="F106" s="482">
        <v>5928</v>
      </c>
      <c r="G106" s="470" t="s">
        <v>1739</v>
      </c>
      <c r="H106" s="482" t="s">
        <v>1535</v>
      </c>
      <c r="I106" s="483">
        <v>0.10000000000000001</v>
      </c>
      <c r="J106" s="473">
        <f t="shared" si="697"/>
        <v>298.70999999999998</v>
      </c>
      <c r="K106" s="474">
        <f t="shared" si="708"/>
        <v>29.870999999999999</v>
      </c>
      <c r="L106" s="475">
        <f t="shared" si="698"/>
        <v>296.98000000000002</v>
      </c>
      <c r="M106" s="474">
        <f t="shared" si="709"/>
        <v>29.698000000000004</v>
      </c>
      <c r="N106" s="467"/>
      <c r="O106" s="434">
        <f t="shared" si="706"/>
        <v>298.70999999999998</v>
      </c>
      <c r="P106" s="435">
        <f t="shared" si="707"/>
        <v>296.98000000000002</v>
      </c>
      <c r="AE106" s="217"/>
      <c r="AF106" s="217"/>
    </row>
    <row r="107" ht="45" hidden="1">
      <c r="A107" s="217"/>
      <c r="B107" s="217">
        <v>1012</v>
      </c>
      <c r="C107" s="217"/>
      <c r="D107" s="217" t="s">
        <v>20398</v>
      </c>
      <c r="E107" s="471" t="s">
        <v>20667</v>
      </c>
      <c r="F107" s="482">
        <v>1000</v>
      </c>
      <c r="G107" s="470" t="s">
        <v>20651</v>
      </c>
      <c r="H107" s="482" t="s">
        <v>15528</v>
      </c>
      <c r="I107" s="483">
        <f>I111</f>
        <v>0.72899999999999998</v>
      </c>
      <c r="J107" s="473">
        <f t="shared" si="697"/>
        <v>149.904</v>
      </c>
      <c r="K107" s="474">
        <f t="shared" si="708"/>
        <v>109.28001599999999</v>
      </c>
      <c r="L107" s="475">
        <f t="shared" si="698"/>
        <v>141.76949999999999</v>
      </c>
      <c r="M107" s="474">
        <f t="shared" si="709"/>
        <v>103.3499655</v>
      </c>
      <c r="N107" s="467"/>
      <c r="O107" s="434">
        <f t="shared" si="706"/>
        <v>149.904</v>
      </c>
      <c r="P107" s="435">
        <f t="shared" si="707"/>
        <v>141.76949999999999</v>
      </c>
      <c r="AE107" s="217"/>
      <c r="AF107" s="217"/>
    </row>
    <row r="108" ht="75" hidden="1">
      <c r="A108" s="217"/>
      <c r="B108" s="217">
        <v>1012</v>
      </c>
      <c r="C108" s="217"/>
      <c r="D108" s="217" t="s">
        <v>17167</v>
      </c>
      <c r="E108" s="471" t="s">
        <v>20671</v>
      </c>
      <c r="F108" s="482">
        <v>96542</v>
      </c>
      <c r="G108" s="470" t="s">
        <v>20761</v>
      </c>
      <c r="H108" s="482" t="s">
        <v>15515</v>
      </c>
      <c r="I108" s="483">
        <f>3.04+0.58</f>
        <v>3.6200000000000001</v>
      </c>
      <c r="J108" s="473">
        <f t="shared" si="697"/>
        <v>92.189999999999998</v>
      </c>
      <c r="K108" s="474">
        <f t="shared" si="708"/>
        <v>333.7278</v>
      </c>
      <c r="L108" s="475">
        <f t="shared" si="698"/>
        <v>88.370000000000005</v>
      </c>
      <c r="M108" s="474">
        <f t="shared" si="709"/>
        <v>319.89940000000001</v>
      </c>
      <c r="O108" s="434">
        <f t="shared" si="706"/>
        <v>92.189999999999998</v>
      </c>
      <c r="P108" s="435">
        <f t="shared" si="707"/>
        <v>88.370000000000005</v>
      </c>
      <c r="R108" s="487" t="s">
        <v>20762</v>
      </c>
      <c r="AE108" s="217"/>
      <c r="AF108" s="217"/>
    </row>
    <row r="109" ht="45" hidden="1">
      <c r="A109" s="217"/>
      <c r="B109" s="217">
        <v>1012</v>
      </c>
      <c r="C109" s="217"/>
      <c r="D109" s="217" t="s">
        <v>17167</v>
      </c>
      <c r="E109" s="471" t="s">
        <v>20672</v>
      </c>
      <c r="F109" s="482">
        <v>96543</v>
      </c>
      <c r="G109" s="470" t="s">
        <v>20676</v>
      </c>
      <c r="H109" s="482" t="s">
        <v>302</v>
      </c>
      <c r="I109" s="472">
        <v>0.78000000000000003</v>
      </c>
      <c r="J109" s="473">
        <f t="shared" si="697"/>
        <v>19.829999999999998</v>
      </c>
      <c r="K109" s="474">
        <f t="shared" si="708"/>
        <v>15.4674</v>
      </c>
      <c r="L109" s="475">
        <f t="shared" si="698"/>
        <v>19.210000000000001</v>
      </c>
      <c r="M109" s="474">
        <f t="shared" si="709"/>
        <v>14.9838</v>
      </c>
      <c r="O109" s="434">
        <f t="shared" si="706"/>
        <v>19.829999999999998</v>
      </c>
      <c r="P109" s="435">
        <f t="shared" si="707"/>
        <v>19.210000000000001</v>
      </c>
      <c r="AE109" s="217"/>
      <c r="AF109" s="217"/>
    </row>
    <row r="110" ht="45" hidden="1">
      <c r="A110" s="217"/>
      <c r="B110" s="217">
        <v>1012</v>
      </c>
      <c r="C110" s="217"/>
      <c r="D110" s="217" t="s">
        <v>17167</v>
      </c>
      <c r="E110" s="471" t="s">
        <v>20673</v>
      </c>
      <c r="F110" s="482">
        <v>96544</v>
      </c>
      <c r="G110" s="470" t="s">
        <v>20763</v>
      </c>
      <c r="H110" s="482" t="s">
        <v>302</v>
      </c>
      <c r="I110" s="472">
        <v>2.79</v>
      </c>
      <c r="J110" s="473">
        <f t="shared" si="697"/>
        <v>17.699999999999999</v>
      </c>
      <c r="K110" s="474">
        <f t="shared" si="708"/>
        <v>49.382999999999996</v>
      </c>
      <c r="L110" s="475">
        <f t="shared" si="698"/>
        <v>17.23</v>
      </c>
      <c r="M110" s="474">
        <f t="shared" si="709"/>
        <v>48.0717</v>
      </c>
      <c r="O110" s="434">
        <f t="shared" si="706"/>
        <v>17.699999999999999</v>
      </c>
      <c r="P110" s="435">
        <f t="shared" si="707"/>
        <v>17.23</v>
      </c>
      <c r="AE110" s="217"/>
      <c r="AF110" s="217"/>
    </row>
    <row r="111" ht="60" hidden="1">
      <c r="A111" s="217"/>
      <c r="B111" s="217">
        <v>1012</v>
      </c>
      <c r="C111" s="217"/>
      <c r="D111" s="217" t="s">
        <v>17167</v>
      </c>
      <c r="E111" s="471" t="s">
        <v>20675</v>
      </c>
      <c r="F111" s="482">
        <v>94964</v>
      </c>
      <c r="G111" s="470" t="s">
        <v>20686</v>
      </c>
      <c r="H111" s="482" t="s">
        <v>15528</v>
      </c>
      <c r="I111" s="483">
        <f>0.027+0.702</f>
        <v>0.72899999999999998</v>
      </c>
      <c r="J111" s="473">
        <f t="shared" si="697"/>
        <v>488.52999999999997</v>
      </c>
      <c r="K111" s="474">
        <f t="shared" si="708"/>
        <v>356.13836999999995</v>
      </c>
      <c r="L111" s="475">
        <f t="shared" si="698"/>
        <v>482.79000000000002</v>
      </c>
      <c r="M111" s="474">
        <f t="shared" si="709"/>
        <v>351.95391000000001</v>
      </c>
      <c r="O111" s="434">
        <f t="shared" si="706"/>
        <v>488.52999999999997</v>
      </c>
      <c r="P111" s="435">
        <f t="shared" si="707"/>
        <v>482.79000000000002</v>
      </c>
      <c r="AE111" s="217"/>
      <c r="AF111" s="217"/>
    </row>
    <row r="112" ht="110.25" hidden="1">
      <c r="A112" s="217"/>
      <c r="B112" s="460">
        <v>1013</v>
      </c>
      <c r="C112" s="460"/>
      <c r="D112" s="460"/>
      <c r="E112" s="461">
        <v>1</v>
      </c>
      <c r="F112" s="462" t="s">
        <v>20764</v>
      </c>
      <c r="G112" s="477" t="s">
        <v>20765</v>
      </c>
      <c r="H112" s="478" t="s">
        <v>20647</v>
      </c>
      <c r="I112" s="479"/>
      <c r="J112" s="480"/>
      <c r="K112" s="466">
        <f>SUM(K113:K124)</f>
        <v>3120.344192</v>
      </c>
      <c r="L112" s="481"/>
      <c r="M112" s="466">
        <f>SUM(M113:M124)</f>
        <v>3021.7676095699999</v>
      </c>
      <c r="N112" s="467" t="s">
        <v>20757</v>
      </c>
      <c r="O112" s="434" t="str">
        <f t="shared" si="706"/>
        <v xml:space="preserve">SEM VALOR</v>
      </c>
      <c r="P112" s="435" t="str">
        <f t="shared" si="707"/>
        <v xml:space="preserve">SEM VALOR</v>
      </c>
      <c r="R112" s="487" t="s">
        <v>20756</v>
      </c>
      <c r="AE112" s="217"/>
      <c r="AF112" s="217"/>
    </row>
    <row r="113" ht="30" hidden="1">
      <c r="A113" s="217"/>
      <c r="B113" s="217">
        <v>1013</v>
      </c>
      <c r="C113" s="217"/>
      <c r="D113" s="217" t="s">
        <v>20398</v>
      </c>
      <c r="E113" s="471" t="s">
        <v>20399</v>
      </c>
      <c r="F113" s="482">
        <v>1003</v>
      </c>
      <c r="G113" s="470" t="s">
        <v>20659</v>
      </c>
      <c r="H113" s="482" t="s">
        <v>20647</v>
      </c>
      <c r="I113" s="483">
        <v>2</v>
      </c>
      <c r="J113" s="473">
        <f t="shared" si="697"/>
        <v>654.70647199999996</v>
      </c>
      <c r="K113" s="474">
        <f t="shared" ref="K113:K124" si="710">I113*J113</f>
        <v>1309.4129439999999</v>
      </c>
      <c r="L113" s="475">
        <f t="shared" si="698"/>
        <v>633.82447200000001</v>
      </c>
      <c r="M113" s="474">
        <f t="shared" ref="M113:M124" si="711">L113*I113</f>
        <v>1267.648944</v>
      </c>
      <c r="N113" s="467" t="s">
        <v>20758</v>
      </c>
      <c r="O113" s="434">
        <f t="shared" si="706"/>
        <v>654.70647199999996</v>
      </c>
      <c r="P113" s="435">
        <f t="shared" si="707"/>
        <v>633.82447200000001</v>
      </c>
      <c r="AE113" s="217"/>
      <c r="AF113" s="217"/>
    </row>
    <row r="114" ht="60" hidden="1">
      <c r="A114" s="217"/>
      <c r="B114" s="217">
        <v>1013</v>
      </c>
      <c r="C114" s="217"/>
      <c r="D114" s="217" t="s">
        <v>20398</v>
      </c>
      <c r="E114" s="471" t="s">
        <v>20402</v>
      </c>
      <c r="F114" s="482">
        <v>1258</v>
      </c>
      <c r="G114" s="470" t="s">
        <v>20660</v>
      </c>
      <c r="H114" s="482" t="s">
        <v>15515</v>
      </c>
      <c r="I114" s="483">
        <v>3.02</v>
      </c>
      <c r="J114" s="473">
        <f t="shared" si="697"/>
        <v>7.5700000000000003</v>
      </c>
      <c r="K114" s="474">
        <f t="shared" si="710"/>
        <v>22.8614</v>
      </c>
      <c r="L114" s="475">
        <f t="shared" si="698"/>
        <v>7.1846199999999998</v>
      </c>
      <c r="M114" s="474">
        <f t="shared" si="711"/>
        <v>21.697552399999999</v>
      </c>
      <c r="N114" s="467"/>
      <c r="O114" s="434">
        <f t="shared" si="706"/>
        <v>7.5700000000000003</v>
      </c>
      <c r="P114" s="435">
        <f t="shared" si="707"/>
        <v>7.1846199999999998</v>
      </c>
      <c r="AE114" s="217"/>
      <c r="AF114" s="217"/>
    </row>
    <row r="115" ht="45" hidden="1">
      <c r="A115" s="217"/>
      <c r="B115" s="217">
        <v>1013</v>
      </c>
      <c r="C115" s="217"/>
      <c r="D115" s="217" t="s">
        <v>17167</v>
      </c>
      <c r="E115" s="471" t="s">
        <v>20405</v>
      </c>
      <c r="F115" s="482">
        <v>93358</v>
      </c>
      <c r="G115" s="470" t="s">
        <v>20661</v>
      </c>
      <c r="H115" s="482" t="s">
        <v>15528</v>
      </c>
      <c r="I115" s="483">
        <v>1.9099999999999999</v>
      </c>
      <c r="J115" s="473">
        <f t="shared" si="697"/>
        <v>90.030000000000001</v>
      </c>
      <c r="K115" s="474">
        <f t="shared" si="710"/>
        <v>171.9573</v>
      </c>
      <c r="L115" s="475">
        <f t="shared" si="698"/>
        <v>85.239999999999995</v>
      </c>
      <c r="M115" s="474">
        <f t="shared" si="711"/>
        <v>162.80839999999998</v>
      </c>
      <c r="O115" s="434">
        <f t="shared" si="706"/>
        <v>90.030000000000001</v>
      </c>
      <c r="P115" s="435">
        <f t="shared" si="707"/>
        <v>85.239999999999995</v>
      </c>
      <c r="AE115" s="217"/>
      <c r="AF115" s="217"/>
    </row>
    <row r="116" ht="105" hidden="1">
      <c r="A116" s="217"/>
      <c r="B116" s="217">
        <v>1013</v>
      </c>
      <c r="C116" s="217"/>
      <c r="D116" s="217" t="s">
        <v>20398</v>
      </c>
      <c r="E116" s="471" t="s">
        <v>20409</v>
      </c>
      <c r="F116" s="482">
        <v>1092</v>
      </c>
      <c r="G116" s="470" t="s">
        <v>20666</v>
      </c>
      <c r="H116" s="482" t="s">
        <v>15528</v>
      </c>
      <c r="I116" s="483">
        <f>1.91*1.3</f>
        <v>2.4830000000000001</v>
      </c>
      <c r="J116" s="473">
        <f t="shared" si="697"/>
        <v>2.2000000000000002</v>
      </c>
      <c r="K116" s="474">
        <f t="shared" si="710"/>
        <v>5.462600000000001</v>
      </c>
      <c r="L116" s="475">
        <f t="shared" si="698"/>
        <v>2.1879900000000001</v>
      </c>
      <c r="M116" s="474">
        <f t="shared" si="711"/>
        <v>5.4327791700000008</v>
      </c>
      <c r="O116" s="434">
        <f t="shared" si="706"/>
        <v>2.2000000000000002</v>
      </c>
      <c r="P116" s="435">
        <f t="shared" si="707"/>
        <v>2.1879900000000001</v>
      </c>
      <c r="AE116" s="217"/>
      <c r="AF116" s="217"/>
    </row>
    <row r="117" ht="60" hidden="1">
      <c r="A117" s="217"/>
      <c r="B117" s="217">
        <v>1013</v>
      </c>
      <c r="C117" s="217"/>
      <c r="D117" s="217" t="s">
        <v>17167</v>
      </c>
      <c r="E117" s="471" t="s">
        <v>20663</v>
      </c>
      <c r="F117" s="482">
        <v>95875</v>
      </c>
      <c r="G117" s="470" t="s">
        <v>20668</v>
      </c>
      <c r="H117" s="482" t="s">
        <v>20669</v>
      </c>
      <c r="I117" s="483">
        <f>I116*5</f>
        <v>12.414999999999999</v>
      </c>
      <c r="J117" s="473">
        <f t="shared" si="697"/>
        <v>2.7599999999999998</v>
      </c>
      <c r="K117" s="474">
        <f t="shared" si="710"/>
        <v>34.265399999999993</v>
      </c>
      <c r="L117" s="475">
        <f t="shared" si="698"/>
        <v>2.73</v>
      </c>
      <c r="M117" s="474">
        <f t="shared" si="711"/>
        <v>33.892949999999999</v>
      </c>
      <c r="O117" s="434">
        <f t="shared" si="706"/>
        <v>2.7599999999999998</v>
      </c>
      <c r="P117" s="435">
        <f t="shared" si="707"/>
        <v>2.73</v>
      </c>
      <c r="AE117" s="217"/>
      <c r="AF117" s="217"/>
    </row>
    <row r="118" ht="105" hidden="1">
      <c r="A118" s="217"/>
      <c r="B118" s="217">
        <v>1013</v>
      </c>
      <c r="C118" s="217"/>
      <c r="D118" s="217" t="s">
        <v>17167</v>
      </c>
      <c r="E118" s="471" t="s">
        <v>20665</v>
      </c>
      <c r="F118" s="489">
        <v>5928</v>
      </c>
      <c r="G118" s="470" t="s">
        <v>1739</v>
      </c>
      <c r="H118" s="482" t="s">
        <v>1535</v>
      </c>
      <c r="I118" s="483">
        <v>0.10000000000000001</v>
      </c>
      <c r="J118" s="473">
        <f t="shared" si="697"/>
        <v>298.70999999999998</v>
      </c>
      <c r="K118" s="474">
        <f t="shared" si="710"/>
        <v>29.870999999999999</v>
      </c>
      <c r="L118" s="475">
        <f t="shared" si="698"/>
        <v>296.98000000000002</v>
      </c>
      <c r="M118" s="474">
        <f t="shared" si="711"/>
        <v>29.698000000000004</v>
      </c>
      <c r="O118" s="434">
        <f t="shared" si="706"/>
        <v>298.70999999999998</v>
      </c>
      <c r="P118" s="435">
        <f t="shared" si="707"/>
        <v>296.98000000000002</v>
      </c>
      <c r="AE118" s="217"/>
      <c r="AF118" s="217"/>
    </row>
    <row r="119" ht="45" hidden="1">
      <c r="A119" s="217"/>
      <c r="B119" s="217">
        <v>1013</v>
      </c>
      <c r="C119" s="217"/>
      <c r="D119" s="217" t="s">
        <v>20398</v>
      </c>
      <c r="E119" s="471" t="s">
        <v>20667</v>
      </c>
      <c r="F119" s="482">
        <v>1000</v>
      </c>
      <c r="G119" s="470" t="s">
        <v>20651</v>
      </c>
      <c r="H119" s="482" t="s">
        <v>15528</v>
      </c>
      <c r="I119" s="483">
        <f>I124</f>
        <v>1.272</v>
      </c>
      <c r="J119" s="473">
        <f t="shared" si="697"/>
        <v>149.904</v>
      </c>
      <c r="K119" s="474">
        <f t="shared" si="710"/>
        <v>190.677888</v>
      </c>
      <c r="L119" s="475">
        <f t="shared" si="698"/>
        <v>141.76949999999999</v>
      </c>
      <c r="M119" s="474">
        <f t="shared" si="711"/>
        <v>180.330804</v>
      </c>
      <c r="O119" s="434">
        <f t="shared" si="706"/>
        <v>149.904</v>
      </c>
      <c r="P119" s="435">
        <f t="shared" si="707"/>
        <v>141.76949999999999</v>
      </c>
      <c r="AE119" s="217"/>
      <c r="AF119" s="217"/>
    </row>
    <row r="120" ht="75" hidden="1">
      <c r="A120" s="217"/>
      <c r="B120" s="217">
        <v>1013</v>
      </c>
      <c r="C120" s="217"/>
      <c r="D120" s="217" t="s">
        <v>17167</v>
      </c>
      <c r="E120" s="471" t="s">
        <v>20671</v>
      </c>
      <c r="F120" s="482">
        <v>96542</v>
      </c>
      <c r="G120" s="470" t="s">
        <v>20761</v>
      </c>
      <c r="H120" s="482" t="s">
        <v>15515</v>
      </c>
      <c r="I120" s="483">
        <f>1.04+5.32</f>
        <v>6.3600000000000003</v>
      </c>
      <c r="J120" s="473">
        <f t="shared" si="697"/>
        <v>92.189999999999998</v>
      </c>
      <c r="K120" s="474">
        <f t="shared" si="710"/>
        <v>586.32839999999999</v>
      </c>
      <c r="L120" s="475">
        <f t="shared" si="698"/>
        <v>88.370000000000005</v>
      </c>
      <c r="M120" s="474">
        <f t="shared" si="711"/>
        <v>562.03320000000008</v>
      </c>
      <c r="O120" s="434">
        <f t="shared" si="706"/>
        <v>92.189999999999998</v>
      </c>
      <c r="P120" s="435">
        <f t="shared" si="707"/>
        <v>88.370000000000005</v>
      </c>
      <c r="AE120" s="217"/>
      <c r="AF120" s="217"/>
    </row>
    <row r="121" ht="45" hidden="1">
      <c r="A121" s="217"/>
      <c r="B121" s="217">
        <v>1013</v>
      </c>
      <c r="C121" s="217"/>
      <c r="D121" s="217" t="s">
        <v>17167</v>
      </c>
      <c r="E121" s="471" t="s">
        <v>20672</v>
      </c>
      <c r="F121" s="482">
        <v>96543</v>
      </c>
      <c r="G121" s="470" t="s">
        <v>20676</v>
      </c>
      <c r="H121" s="482" t="s">
        <v>302</v>
      </c>
      <c r="I121" s="472">
        <f>1.47+0.54</f>
        <v>2.0099999999999998</v>
      </c>
      <c r="J121" s="473">
        <f t="shared" si="697"/>
        <v>19.829999999999998</v>
      </c>
      <c r="K121" s="474">
        <f t="shared" si="710"/>
        <v>39.858299999999993</v>
      </c>
      <c r="L121" s="475">
        <f t="shared" si="698"/>
        <v>19.210000000000001</v>
      </c>
      <c r="M121" s="474">
        <f t="shared" si="711"/>
        <v>38.612099999999998</v>
      </c>
      <c r="O121" s="434">
        <f t="shared" si="706"/>
        <v>19.829999999999998</v>
      </c>
      <c r="P121" s="435">
        <f t="shared" si="707"/>
        <v>19.210000000000001</v>
      </c>
      <c r="AE121" s="217"/>
      <c r="AF121" s="217"/>
    </row>
    <row r="122" ht="45" hidden="1">
      <c r="A122" s="217"/>
      <c r="B122" s="217">
        <v>1013</v>
      </c>
      <c r="C122" s="217"/>
      <c r="D122" s="217" t="s">
        <v>17167</v>
      </c>
      <c r="E122" s="471" t="s">
        <v>20673</v>
      </c>
      <c r="F122" s="482">
        <v>96544</v>
      </c>
      <c r="G122" s="470" t="s">
        <v>20763</v>
      </c>
      <c r="H122" s="482" t="s">
        <v>302</v>
      </c>
      <c r="I122" s="472">
        <v>4.5599999999999996</v>
      </c>
      <c r="J122" s="473">
        <f t="shared" si="697"/>
        <v>17.699999999999999</v>
      </c>
      <c r="K122" s="474">
        <f t="shared" si="710"/>
        <v>80.711999999999989</v>
      </c>
      <c r="L122" s="475">
        <f t="shared" si="698"/>
        <v>17.23</v>
      </c>
      <c r="M122" s="474">
        <f t="shared" si="711"/>
        <v>78.568799999999996</v>
      </c>
      <c r="O122" s="434">
        <f t="shared" si="706"/>
        <v>17.699999999999999</v>
      </c>
      <c r="P122" s="435">
        <f t="shared" si="707"/>
        <v>17.23</v>
      </c>
      <c r="AE122" s="217"/>
      <c r="AF122" s="217"/>
    </row>
    <row r="123" ht="45" hidden="1">
      <c r="A123" s="217"/>
      <c r="B123" s="217">
        <v>1013</v>
      </c>
      <c r="C123" s="217"/>
      <c r="D123" s="217" t="s">
        <v>17167</v>
      </c>
      <c r="E123" s="471" t="s">
        <v>20675</v>
      </c>
      <c r="F123" s="482">
        <v>96545</v>
      </c>
      <c r="G123" s="470" t="s">
        <v>20678</v>
      </c>
      <c r="H123" s="482" t="s">
        <v>302</v>
      </c>
      <c r="I123" s="472">
        <v>1.74</v>
      </c>
      <c r="J123" s="473">
        <f t="shared" si="697"/>
        <v>15.82</v>
      </c>
      <c r="K123" s="474">
        <f t="shared" si="710"/>
        <v>27.526800000000001</v>
      </c>
      <c r="L123" s="475">
        <f t="shared" si="698"/>
        <v>15.48</v>
      </c>
      <c r="M123" s="474">
        <f t="shared" si="711"/>
        <v>26.935200000000002</v>
      </c>
      <c r="O123" s="434">
        <f t="shared" si="706"/>
        <v>15.82</v>
      </c>
      <c r="P123" s="435">
        <f t="shared" si="707"/>
        <v>15.48</v>
      </c>
      <c r="AE123" s="217"/>
      <c r="AF123" s="217"/>
    </row>
    <row r="124" ht="45" hidden="1">
      <c r="A124" s="217"/>
      <c r="B124" s="217">
        <v>1013</v>
      </c>
      <c r="C124" s="217"/>
      <c r="D124" s="217" t="s">
        <v>17167</v>
      </c>
      <c r="E124" s="471" t="s">
        <v>20677</v>
      </c>
      <c r="F124" s="482">
        <v>94964</v>
      </c>
      <c r="G124" s="470" t="str">
        <f>G109</f>
        <v xml:space="preserve">ARMAÇÃO DE BLOCO, VIGA BALDRAME E SAPATA UTILIZANDO AÇO CA-60 DE 5 MM - MONTAGEM. AF_06/2017</v>
      </c>
      <c r="H124" s="482" t="str">
        <f>H109</f>
        <v>KG</v>
      </c>
      <c r="I124" s="483">
        <f>1.222+0.05</f>
        <v>1.272</v>
      </c>
      <c r="J124" s="473">
        <f t="shared" si="697"/>
        <v>488.52999999999997</v>
      </c>
      <c r="K124" s="474">
        <f t="shared" si="710"/>
        <v>621.41016000000002</v>
      </c>
      <c r="L124" s="475">
        <f t="shared" si="698"/>
        <v>482.79000000000002</v>
      </c>
      <c r="M124" s="474">
        <f t="shared" si="711"/>
        <v>614.10888</v>
      </c>
      <c r="O124" s="434">
        <f t="shared" si="706"/>
        <v>488.52999999999997</v>
      </c>
      <c r="P124" s="435">
        <f t="shared" si="707"/>
        <v>482.79000000000002</v>
      </c>
      <c r="AE124" s="217"/>
      <c r="AF124" s="217"/>
    </row>
    <row r="125" ht="110.25" hidden="1">
      <c r="A125" s="217"/>
      <c r="B125" s="460">
        <v>1014</v>
      </c>
      <c r="C125" s="460"/>
      <c r="D125" s="460"/>
      <c r="E125" s="461">
        <v>1</v>
      </c>
      <c r="F125" s="462" t="s">
        <v>20766</v>
      </c>
      <c r="G125" s="477" t="s">
        <v>20767</v>
      </c>
      <c r="H125" s="478" t="s">
        <v>20647</v>
      </c>
      <c r="I125" s="479"/>
      <c r="J125" s="480"/>
      <c r="K125" s="466">
        <f>SUM(K126:K137)</f>
        <v>4551.6739260000004</v>
      </c>
      <c r="L125" s="481"/>
      <c r="M125" s="466">
        <f>SUM(M126:M137)</f>
        <v>4407.8811429199995</v>
      </c>
      <c r="N125" s="467" t="s">
        <v>20757</v>
      </c>
      <c r="O125" s="434" t="str">
        <f t="shared" si="706"/>
        <v xml:space="preserve">SEM VALOR</v>
      </c>
      <c r="P125" s="435" t="str">
        <f t="shared" si="707"/>
        <v xml:space="preserve">SEM VALOR</v>
      </c>
      <c r="AE125" s="217"/>
      <c r="AF125" s="217"/>
    </row>
    <row r="126" ht="30" hidden="1">
      <c r="A126" s="217"/>
      <c r="B126" s="217">
        <v>1014</v>
      </c>
      <c r="C126" s="217"/>
      <c r="D126" s="217" t="s">
        <v>20398</v>
      </c>
      <c r="E126" s="471" t="s">
        <v>20399</v>
      </c>
      <c r="F126" s="482">
        <v>1003</v>
      </c>
      <c r="G126" s="470" t="s">
        <v>20659</v>
      </c>
      <c r="H126" s="482" t="s">
        <v>20647</v>
      </c>
      <c r="I126" s="483">
        <v>3</v>
      </c>
      <c r="J126" s="473">
        <f t="shared" si="697"/>
        <v>654.70647199999996</v>
      </c>
      <c r="K126" s="474">
        <f t="shared" ref="K126:K137" si="712">I126*J126</f>
        <v>1964.119416</v>
      </c>
      <c r="L126" s="475">
        <f t="shared" si="698"/>
        <v>633.82447200000001</v>
      </c>
      <c r="M126" s="474">
        <f t="shared" ref="M126:M137" si="713">L126*I126</f>
        <v>1901.473416</v>
      </c>
      <c r="N126" s="467" t="s">
        <v>20758</v>
      </c>
      <c r="O126" s="434">
        <f t="shared" si="706"/>
        <v>654.70647199999996</v>
      </c>
      <c r="P126" s="435">
        <f t="shared" si="707"/>
        <v>633.82447200000001</v>
      </c>
      <c r="AE126" s="217"/>
      <c r="AF126" s="217"/>
    </row>
    <row r="127" ht="60" hidden="1">
      <c r="A127" s="217"/>
      <c r="B127" s="217">
        <v>1014</v>
      </c>
      <c r="C127" s="217"/>
      <c r="D127" s="217" t="s">
        <v>20398</v>
      </c>
      <c r="E127" s="471" t="s">
        <v>20402</v>
      </c>
      <c r="F127" s="482">
        <v>1258</v>
      </c>
      <c r="G127" s="470" t="s">
        <v>20660</v>
      </c>
      <c r="H127" s="482" t="s">
        <v>15515</v>
      </c>
      <c r="I127" s="483">
        <v>3.98</v>
      </c>
      <c r="J127" s="473">
        <f t="shared" si="697"/>
        <v>7.5700000000000003</v>
      </c>
      <c r="K127" s="474">
        <f t="shared" si="712"/>
        <v>30.128600000000002</v>
      </c>
      <c r="L127" s="475">
        <f t="shared" si="698"/>
        <v>7.1846199999999998</v>
      </c>
      <c r="M127" s="474">
        <f t="shared" si="713"/>
        <v>28.5947876</v>
      </c>
      <c r="O127" s="434">
        <f t="shared" si="706"/>
        <v>7.5700000000000003</v>
      </c>
      <c r="P127" s="435">
        <f t="shared" si="707"/>
        <v>7.1846199999999998</v>
      </c>
      <c r="AE127" s="217"/>
      <c r="AF127" s="217"/>
    </row>
    <row r="128" ht="45" hidden="1">
      <c r="A128" s="217"/>
      <c r="B128" s="217">
        <v>1014</v>
      </c>
      <c r="C128" s="217"/>
      <c r="D128" s="217" t="s">
        <v>17167</v>
      </c>
      <c r="E128" s="471" t="s">
        <v>20405</v>
      </c>
      <c r="F128" s="482">
        <v>93358</v>
      </c>
      <c r="G128" s="470" t="s">
        <v>20661</v>
      </c>
      <c r="H128" s="482" t="s">
        <v>15528</v>
      </c>
      <c r="I128" s="483">
        <v>2.8599999999999999</v>
      </c>
      <c r="J128" s="473">
        <f t="shared" si="697"/>
        <v>90.030000000000001</v>
      </c>
      <c r="K128" s="474">
        <f t="shared" si="712"/>
        <v>257.48579999999998</v>
      </c>
      <c r="L128" s="475">
        <f t="shared" si="698"/>
        <v>85.239999999999995</v>
      </c>
      <c r="M128" s="474">
        <f t="shared" si="713"/>
        <v>243.78639999999999</v>
      </c>
      <c r="O128" s="434">
        <f t="shared" si="706"/>
        <v>90.030000000000001</v>
      </c>
      <c r="P128" s="435">
        <f t="shared" si="707"/>
        <v>85.239999999999995</v>
      </c>
      <c r="AE128" s="217"/>
      <c r="AF128" s="217"/>
    </row>
    <row r="129" ht="105" hidden="1">
      <c r="A129" s="217"/>
      <c r="B129" s="217">
        <v>1014</v>
      </c>
      <c r="C129" s="217"/>
      <c r="D129" s="217" t="s">
        <v>20398</v>
      </c>
      <c r="E129" s="471" t="s">
        <v>20409</v>
      </c>
      <c r="F129" s="482">
        <v>1092</v>
      </c>
      <c r="G129" s="470" t="s">
        <v>20666</v>
      </c>
      <c r="H129" s="482" t="s">
        <v>15528</v>
      </c>
      <c r="I129" s="483">
        <f>2.86*1.3</f>
        <v>3.718</v>
      </c>
      <c r="J129" s="473">
        <f t="shared" si="697"/>
        <v>2.2000000000000002</v>
      </c>
      <c r="K129" s="474">
        <f t="shared" si="712"/>
        <v>8.1796000000000006</v>
      </c>
      <c r="L129" s="475">
        <f t="shared" si="698"/>
        <v>2.1879900000000001</v>
      </c>
      <c r="M129" s="474">
        <f t="shared" si="713"/>
        <v>8.1349468199999997</v>
      </c>
      <c r="O129" s="434">
        <f t="shared" si="706"/>
        <v>2.2000000000000002</v>
      </c>
      <c r="P129" s="435">
        <f t="shared" si="707"/>
        <v>2.1879900000000001</v>
      </c>
      <c r="AE129" s="217"/>
      <c r="AF129" s="217"/>
    </row>
    <row r="130" ht="60" hidden="1">
      <c r="A130" s="217"/>
      <c r="B130" s="217">
        <v>1014</v>
      </c>
      <c r="C130" s="217"/>
      <c r="D130" s="217" t="s">
        <v>17167</v>
      </c>
      <c r="E130" s="471" t="s">
        <v>20663</v>
      </c>
      <c r="F130" s="482">
        <v>95875</v>
      </c>
      <c r="G130" s="470" t="s">
        <v>20668</v>
      </c>
      <c r="H130" s="482" t="s">
        <v>20669</v>
      </c>
      <c r="I130" s="483">
        <f>I129*5</f>
        <v>18.59</v>
      </c>
      <c r="J130" s="473">
        <f t="shared" si="697"/>
        <v>2.7599999999999998</v>
      </c>
      <c r="K130" s="474">
        <f t="shared" si="712"/>
        <v>51.308399999999999</v>
      </c>
      <c r="L130" s="475">
        <f t="shared" si="698"/>
        <v>2.73</v>
      </c>
      <c r="M130" s="474">
        <f t="shared" si="713"/>
        <v>50.750700000000002</v>
      </c>
      <c r="O130" s="434">
        <f t="shared" si="706"/>
        <v>2.7599999999999998</v>
      </c>
      <c r="P130" s="435">
        <f t="shared" si="707"/>
        <v>2.73</v>
      </c>
      <c r="AE130" s="217"/>
      <c r="AF130" s="217"/>
    </row>
    <row r="131" ht="105" hidden="1">
      <c r="A131" s="217"/>
      <c r="B131" s="217">
        <v>1014</v>
      </c>
      <c r="C131" s="217"/>
      <c r="D131" s="217" t="s">
        <v>17167</v>
      </c>
      <c r="E131" s="471" t="s">
        <v>20665</v>
      </c>
      <c r="F131" s="482">
        <v>5928</v>
      </c>
      <c r="G131" s="470" t="s">
        <v>1739</v>
      </c>
      <c r="H131" s="482" t="s">
        <v>1535</v>
      </c>
      <c r="I131" s="483">
        <v>0.10000000000000001</v>
      </c>
      <c r="J131" s="473">
        <f t="shared" si="697"/>
        <v>298.70999999999998</v>
      </c>
      <c r="K131" s="474">
        <f t="shared" si="712"/>
        <v>29.870999999999999</v>
      </c>
      <c r="L131" s="475">
        <f t="shared" si="698"/>
        <v>296.98000000000002</v>
      </c>
      <c r="M131" s="474">
        <f t="shared" si="713"/>
        <v>29.698000000000004</v>
      </c>
      <c r="O131" s="434">
        <f t="shared" si="706"/>
        <v>298.70999999999998</v>
      </c>
      <c r="P131" s="435">
        <f t="shared" si="707"/>
        <v>296.98000000000002</v>
      </c>
      <c r="AE131" s="217"/>
      <c r="AF131" s="217"/>
    </row>
    <row r="132" ht="45" hidden="1">
      <c r="A132" s="217"/>
      <c r="B132" s="217">
        <v>1014</v>
      </c>
      <c r="C132" s="217"/>
      <c r="D132" s="217" t="s">
        <v>20398</v>
      </c>
      <c r="E132" s="471" t="s">
        <v>20667</v>
      </c>
      <c r="F132" s="482">
        <v>1000</v>
      </c>
      <c r="G132" s="470" t="s">
        <v>20651</v>
      </c>
      <c r="H132" s="482" t="s">
        <v>15528</v>
      </c>
      <c r="I132" s="483">
        <f>I137</f>
        <v>1.8149999999999999</v>
      </c>
      <c r="J132" s="473">
        <f t="shared" si="697"/>
        <v>149.904</v>
      </c>
      <c r="K132" s="474">
        <f t="shared" si="712"/>
        <v>272.07576</v>
      </c>
      <c r="L132" s="475">
        <f t="shared" si="698"/>
        <v>141.76949999999999</v>
      </c>
      <c r="M132" s="474">
        <f t="shared" si="713"/>
        <v>257.3116425</v>
      </c>
      <c r="O132" s="434">
        <f t="shared" si="706"/>
        <v>149.904</v>
      </c>
      <c r="P132" s="435">
        <f t="shared" si="707"/>
        <v>141.76949999999999</v>
      </c>
      <c r="AE132" s="217"/>
      <c r="AF132" s="217"/>
    </row>
    <row r="133" ht="75" hidden="1">
      <c r="A133" s="217"/>
      <c r="B133" s="217">
        <v>1014</v>
      </c>
      <c r="C133" s="217"/>
      <c r="D133" s="217" t="s">
        <v>17167</v>
      </c>
      <c r="E133" s="471" t="s">
        <v>20671</v>
      </c>
      <c r="F133" s="482">
        <v>96542</v>
      </c>
      <c r="G133" s="470" t="s">
        <v>20761</v>
      </c>
      <c r="H133" s="482" t="s">
        <v>15515</v>
      </c>
      <c r="I133" s="483">
        <v>9.0999999999999996</v>
      </c>
      <c r="J133" s="473">
        <f t="shared" si="697"/>
        <v>92.189999999999998</v>
      </c>
      <c r="K133" s="474">
        <f t="shared" si="712"/>
        <v>838.92899999999997</v>
      </c>
      <c r="L133" s="475">
        <f t="shared" si="698"/>
        <v>88.370000000000005</v>
      </c>
      <c r="M133" s="474">
        <f t="shared" si="713"/>
        <v>804.16700000000003</v>
      </c>
      <c r="O133" s="434">
        <f t="shared" si="706"/>
        <v>92.189999999999998</v>
      </c>
      <c r="P133" s="435">
        <f t="shared" si="707"/>
        <v>88.370000000000005</v>
      </c>
      <c r="AE133" s="217"/>
      <c r="AF133" s="217"/>
    </row>
    <row r="134" ht="45" hidden="1">
      <c r="A134" s="217"/>
      <c r="B134" s="217">
        <v>1014</v>
      </c>
      <c r="C134" s="217"/>
      <c r="D134" s="217" t="s">
        <v>17167</v>
      </c>
      <c r="E134" s="471" t="s">
        <v>20672</v>
      </c>
      <c r="F134" s="482">
        <v>92915</v>
      </c>
      <c r="G134" s="470" t="s">
        <v>20676</v>
      </c>
      <c r="H134" s="482" t="s">
        <v>302</v>
      </c>
      <c r="I134" s="472">
        <f>2.16+1.08</f>
        <v>3.2400000000000002</v>
      </c>
      <c r="J134" s="473">
        <f t="shared" si="697"/>
        <v>16.649999999999999</v>
      </c>
      <c r="K134" s="474">
        <f t="shared" si="712"/>
        <v>53.945999999999998</v>
      </c>
      <c r="L134" s="475">
        <f t="shared" si="698"/>
        <v>16.199999999999999</v>
      </c>
      <c r="M134" s="474">
        <f t="shared" si="713"/>
        <v>52.488</v>
      </c>
      <c r="O134" s="434">
        <f t="shared" si="706"/>
        <v>16.649999999999999</v>
      </c>
      <c r="P134" s="435">
        <f t="shared" si="707"/>
        <v>16.199999999999999</v>
      </c>
      <c r="AE134" s="217"/>
      <c r="AF134" s="217"/>
    </row>
    <row r="135" ht="45" hidden="1">
      <c r="A135" s="217"/>
      <c r="B135" s="217">
        <v>1014</v>
      </c>
      <c r="C135" s="217"/>
      <c r="D135" s="217" t="s">
        <v>17167</v>
      </c>
      <c r="E135" s="471" t="s">
        <v>20673</v>
      </c>
      <c r="F135" s="482">
        <v>96544</v>
      </c>
      <c r="G135" s="470" t="s">
        <v>20763</v>
      </c>
      <c r="H135" s="482" t="s">
        <v>302</v>
      </c>
      <c r="I135" s="472">
        <v>6.3200000000000003</v>
      </c>
      <c r="J135" s="473">
        <f t="shared" si="697"/>
        <v>17.699999999999999</v>
      </c>
      <c r="K135" s="474">
        <f t="shared" si="712"/>
        <v>111.864</v>
      </c>
      <c r="L135" s="475">
        <f t="shared" si="698"/>
        <v>17.23</v>
      </c>
      <c r="M135" s="474">
        <f t="shared" si="713"/>
        <v>108.89360000000001</v>
      </c>
      <c r="O135" s="434">
        <f t="shared" si="706"/>
        <v>17.699999999999999</v>
      </c>
      <c r="P135" s="435">
        <f t="shared" si="707"/>
        <v>17.23</v>
      </c>
      <c r="AE135" s="217"/>
      <c r="AF135" s="217"/>
    </row>
    <row r="136" ht="75" hidden="1">
      <c r="A136" s="217"/>
      <c r="B136" s="217">
        <v>1014</v>
      </c>
      <c r="C136" s="217"/>
      <c r="D136" s="217" t="s">
        <v>17167</v>
      </c>
      <c r="E136" s="471" t="s">
        <v>20675</v>
      </c>
      <c r="F136" s="482">
        <v>92917</v>
      </c>
      <c r="G136" s="470" t="s">
        <v>20768</v>
      </c>
      <c r="H136" s="482" t="s">
        <v>302</v>
      </c>
      <c r="I136" s="472">
        <v>3.48</v>
      </c>
      <c r="J136" s="473">
        <f t="shared" si="697"/>
        <v>13.529999999999999</v>
      </c>
      <c r="K136" s="474">
        <f t="shared" si="712"/>
        <v>47.084399999999995</v>
      </c>
      <c r="L136" s="475">
        <f t="shared" si="698"/>
        <v>13.31</v>
      </c>
      <c r="M136" s="474">
        <f t="shared" si="713"/>
        <v>46.318800000000003</v>
      </c>
      <c r="O136" s="434">
        <f t="shared" si="706"/>
        <v>13.529999999999999</v>
      </c>
      <c r="P136" s="435">
        <f t="shared" si="707"/>
        <v>13.31</v>
      </c>
      <c r="AE136" s="217"/>
      <c r="AF136" s="217"/>
    </row>
    <row r="137" ht="45" hidden="1">
      <c r="A137" s="217"/>
      <c r="B137" s="217">
        <v>1014</v>
      </c>
      <c r="C137" s="217"/>
      <c r="D137" s="217" t="s">
        <v>17167</v>
      </c>
      <c r="E137" s="471" t="s">
        <v>20677</v>
      </c>
      <c r="F137" s="482">
        <v>94964</v>
      </c>
      <c r="G137" s="470" t="str">
        <f>G122</f>
        <v xml:space="preserve">ARMAÇÃO DE BLOCO, VIGA BALDRAME E SAPATA UTILIZANDO AÇO CA-50 DE 6,3 MM - MONTAGEM. AF_06/2017</v>
      </c>
      <c r="H137" s="482" t="str">
        <f>H122</f>
        <v>KG</v>
      </c>
      <c r="I137" s="483">
        <f>1.743+0.072</f>
        <v>1.8149999999999999</v>
      </c>
      <c r="J137" s="473">
        <f t="shared" si="697"/>
        <v>488.52999999999997</v>
      </c>
      <c r="K137" s="474">
        <f t="shared" si="712"/>
        <v>886.68194999999992</v>
      </c>
      <c r="L137" s="475">
        <f t="shared" si="698"/>
        <v>482.79000000000002</v>
      </c>
      <c r="M137" s="474">
        <f t="shared" si="713"/>
        <v>876.26385000000005</v>
      </c>
      <c r="O137" s="434">
        <f t="shared" si="706"/>
        <v>488.52999999999997</v>
      </c>
      <c r="P137" s="435">
        <f t="shared" si="707"/>
        <v>482.79000000000002</v>
      </c>
      <c r="AE137" s="217"/>
      <c r="AF137" s="217"/>
    </row>
    <row r="138" ht="189" hidden="1">
      <c r="A138" s="460">
        <v>1015</v>
      </c>
      <c r="B138" s="460">
        <v>1015</v>
      </c>
      <c r="C138" s="460"/>
      <c r="D138" s="460"/>
      <c r="E138" s="461">
        <v>1</v>
      </c>
      <c r="F138" s="462" t="s">
        <v>20769</v>
      </c>
      <c r="G138" s="477" t="s">
        <v>20770</v>
      </c>
      <c r="H138" s="478" t="s">
        <v>31</v>
      </c>
      <c r="I138" s="479"/>
      <c r="J138" s="480"/>
      <c r="K138" s="466">
        <f>SUM(K139:K153)</f>
        <v>7240.9965425387163</v>
      </c>
      <c r="L138" s="480"/>
      <c r="M138" s="466">
        <f>SUM(M139:M153)</f>
        <v>7068.1446218697283</v>
      </c>
      <c r="N138" s="467" t="s">
        <v>20771</v>
      </c>
      <c r="O138" s="434" t="str">
        <f t="shared" si="706"/>
        <v xml:space="preserve">SEM VALOR</v>
      </c>
      <c r="P138" s="435" t="str">
        <f t="shared" si="707"/>
        <v xml:space="preserve">SEM VALOR</v>
      </c>
      <c r="Q138" s="467"/>
      <c r="AE138" s="460">
        <v>1015</v>
      </c>
      <c r="AF138" s="460"/>
      <c r="AH138">
        <f t="shared" si="705"/>
        <v>1015</v>
      </c>
    </row>
    <row r="139" ht="75" hidden="1">
      <c r="A139" s="217"/>
      <c r="B139" s="217">
        <v>1015</v>
      </c>
      <c r="C139" s="217"/>
      <c r="D139" s="217" t="s">
        <v>20398</v>
      </c>
      <c r="E139" s="471" t="s">
        <v>20399</v>
      </c>
      <c r="F139" s="482">
        <v>1257</v>
      </c>
      <c r="G139" s="470" t="s">
        <v>20772</v>
      </c>
      <c r="H139" s="482" t="s">
        <v>15515</v>
      </c>
      <c r="I139" s="483">
        <f>0.65*1.9*2+0.65*2.3*2+0.8*3.141592654*0.1</f>
        <v>5.7113274000000001</v>
      </c>
      <c r="J139" s="473">
        <f t="shared" ref="J139:J202" si="714">O139*$J$3</f>
        <v>202.65134000000003</v>
      </c>
      <c r="K139" s="474">
        <f t="shared" ref="K139:K153" si="715">I139*J139</f>
        <v>1157.4081507887163</v>
      </c>
      <c r="L139" s="475">
        <f t="shared" ref="L139:L202" si="716">P139*$L$3</f>
        <v>197.86072000000001</v>
      </c>
      <c r="M139" s="474">
        <f t="shared" ref="M139:M153" si="717">L139*I139</f>
        <v>1130.0473515197282</v>
      </c>
      <c r="N139" s="467" t="s">
        <v>20773</v>
      </c>
      <c r="O139" s="434">
        <f t="shared" si="706"/>
        <v>202.65134000000003</v>
      </c>
      <c r="P139" s="435">
        <f t="shared" si="707"/>
        <v>197.86072000000001</v>
      </c>
      <c r="AE139" s="217"/>
      <c r="AF139" s="217">
        <v>1015</v>
      </c>
      <c r="AH139">
        <f t="shared" si="705"/>
        <v>1015</v>
      </c>
    </row>
    <row r="140" ht="45" hidden="1">
      <c r="A140" s="217"/>
      <c r="B140" s="217">
        <v>1015</v>
      </c>
      <c r="C140" s="217"/>
      <c r="D140" s="217" t="s">
        <v>17167</v>
      </c>
      <c r="E140" s="471" t="s">
        <v>20402</v>
      </c>
      <c r="F140" s="482">
        <v>96543</v>
      </c>
      <c r="G140" s="470" t="s">
        <v>20676</v>
      </c>
      <c r="H140" s="482" t="s">
        <v>302</v>
      </c>
      <c r="I140" s="483">
        <f>6.12+6.4+9</f>
        <v>21.52</v>
      </c>
      <c r="J140" s="473">
        <f t="shared" si="714"/>
        <v>19.829999999999998</v>
      </c>
      <c r="K140" s="474">
        <f t="shared" si="715"/>
        <v>426.74159999999995</v>
      </c>
      <c r="L140" s="475">
        <f t="shared" si="716"/>
        <v>19.210000000000001</v>
      </c>
      <c r="M140" s="474">
        <f t="shared" si="717"/>
        <v>413.39920000000001</v>
      </c>
      <c r="O140" s="434">
        <f t="shared" si="706"/>
        <v>19.829999999999998</v>
      </c>
      <c r="P140" s="435">
        <f t="shared" si="707"/>
        <v>19.210000000000001</v>
      </c>
      <c r="AE140" s="217"/>
      <c r="AF140" s="217">
        <v>1015</v>
      </c>
      <c r="AH140">
        <f t="shared" si="705"/>
        <v>1015</v>
      </c>
    </row>
    <row r="141" ht="45" hidden="1">
      <c r="A141" s="217"/>
      <c r="B141" s="217">
        <v>1015</v>
      </c>
      <c r="C141" s="217"/>
      <c r="D141" s="217" t="s">
        <v>17167</v>
      </c>
      <c r="E141" s="471" t="s">
        <v>20405</v>
      </c>
      <c r="F141" s="482">
        <v>96545</v>
      </c>
      <c r="G141" s="470" t="s">
        <v>20774</v>
      </c>
      <c r="H141" s="482" t="s">
        <v>302</v>
      </c>
      <c r="I141" s="483">
        <f>60.51+81.81</f>
        <v>142.31999999999999</v>
      </c>
      <c r="J141" s="473">
        <f t="shared" si="714"/>
        <v>15.82</v>
      </c>
      <c r="K141" s="474">
        <f t="shared" si="715"/>
        <v>2251.5023999999999</v>
      </c>
      <c r="L141" s="475">
        <f t="shared" si="716"/>
        <v>15.48</v>
      </c>
      <c r="M141" s="474">
        <f t="shared" si="717"/>
        <v>2203.1136000000001</v>
      </c>
      <c r="O141" s="434">
        <f t="shared" si="706"/>
        <v>15.82</v>
      </c>
      <c r="P141" s="435">
        <f t="shared" si="707"/>
        <v>15.48</v>
      </c>
      <c r="AE141" s="217"/>
      <c r="AF141" s="217">
        <v>1015</v>
      </c>
      <c r="AH141">
        <f t="shared" si="705"/>
        <v>1015</v>
      </c>
    </row>
    <row r="142" ht="45" hidden="1">
      <c r="A142" s="217"/>
      <c r="B142" s="217">
        <v>1015</v>
      </c>
      <c r="C142" s="217"/>
      <c r="D142" s="217" t="s">
        <v>17167</v>
      </c>
      <c r="E142" s="471" t="s">
        <v>20409</v>
      </c>
      <c r="F142" s="482">
        <v>96546</v>
      </c>
      <c r="G142" s="470" t="s">
        <v>20775</v>
      </c>
      <c r="H142" s="482" t="s">
        <v>302</v>
      </c>
      <c r="I142" s="483">
        <v>21.84</v>
      </c>
      <c r="J142" s="473">
        <f t="shared" si="714"/>
        <v>13.77</v>
      </c>
      <c r="K142" s="474">
        <f t="shared" si="715"/>
        <v>300.73680000000002</v>
      </c>
      <c r="L142" s="475">
        <f t="shared" si="716"/>
        <v>13.51</v>
      </c>
      <c r="M142" s="474">
        <f t="shared" si="717"/>
        <v>295.05840000000001</v>
      </c>
      <c r="O142" s="434">
        <f t="shared" si="706"/>
        <v>13.77</v>
      </c>
      <c r="P142" s="435">
        <f t="shared" si="707"/>
        <v>13.51</v>
      </c>
      <c r="AE142" s="217"/>
      <c r="AF142" s="217">
        <v>1015</v>
      </c>
      <c r="AH142">
        <f t="shared" si="705"/>
        <v>1015</v>
      </c>
    </row>
    <row r="143" ht="75" hidden="1">
      <c r="A143" s="217"/>
      <c r="B143" s="217">
        <v>1015</v>
      </c>
      <c r="C143" s="217"/>
      <c r="D143" s="217" t="s">
        <v>17167</v>
      </c>
      <c r="E143" s="471" t="s">
        <v>20663</v>
      </c>
      <c r="F143" s="482">
        <v>87878</v>
      </c>
      <c r="G143" s="470" t="s">
        <v>20776</v>
      </c>
      <c r="H143" s="482" t="s">
        <v>15515</v>
      </c>
      <c r="I143" s="483">
        <f>(2.3*0.8*2+1.9*0.8*2)*1+(0.8+0.15)*1.9*2+(0.8+0.15)*2.3*2+0.6*3.141592654*0.1+0.8*3.141592654*0.1</f>
        <v>15.139823</v>
      </c>
      <c r="J143" s="473">
        <f t="shared" si="714"/>
        <v>5.0099999999999998</v>
      </c>
      <c r="K143" s="474">
        <f t="shared" si="715"/>
        <v>75.85051322999999</v>
      </c>
      <c r="L143" s="475">
        <f t="shared" si="716"/>
        <v>4.7999999999999998</v>
      </c>
      <c r="M143" s="474">
        <f t="shared" si="717"/>
        <v>72.671150400000002</v>
      </c>
      <c r="O143" s="434">
        <f t="shared" si="706"/>
        <v>5.0099999999999998</v>
      </c>
      <c r="P143" s="435">
        <f t="shared" si="707"/>
        <v>4.7999999999999998</v>
      </c>
      <c r="AE143" s="217"/>
      <c r="AF143" s="217">
        <v>1015</v>
      </c>
      <c r="AH143">
        <f t="shared" si="705"/>
        <v>1015</v>
      </c>
    </row>
    <row r="144" ht="105" hidden="1">
      <c r="A144" s="217"/>
      <c r="B144" s="217">
        <v>1015</v>
      </c>
      <c r="C144" s="217"/>
      <c r="D144" s="217" t="s">
        <v>17167</v>
      </c>
      <c r="E144" s="471" t="s">
        <v>20665</v>
      </c>
      <c r="F144" s="482">
        <v>87335</v>
      </c>
      <c r="G144" s="470" t="s">
        <v>20777</v>
      </c>
      <c r="H144" s="482" t="s">
        <v>15528</v>
      </c>
      <c r="I144" s="483">
        <f>I143*0.02</f>
        <v>0.30279650000000002</v>
      </c>
      <c r="J144" s="473">
        <f t="shared" si="714"/>
        <v>586.27999999999997</v>
      </c>
      <c r="K144" s="474">
        <f t="shared" si="715"/>
        <v>177.52353202</v>
      </c>
      <c r="L144" s="475">
        <f t="shared" si="716"/>
        <v>578</v>
      </c>
      <c r="M144" s="474">
        <f t="shared" si="717"/>
        <v>175.01637700000001</v>
      </c>
      <c r="O144" s="434">
        <f t="shared" si="706"/>
        <v>586.27999999999997</v>
      </c>
      <c r="P144" s="435">
        <f t="shared" si="707"/>
        <v>578</v>
      </c>
      <c r="AE144" s="217"/>
      <c r="AF144" s="217">
        <v>1015</v>
      </c>
      <c r="AH144">
        <f t="shared" si="705"/>
        <v>1015</v>
      </c>
    </row>
    <row r="145" ht="45" hidden="1">
      <c r="A145" s="217"/>
      <c r="B145" s="217">
        <v>1015</v>
      </c>
      <c r="C145" s="217"/>
      <c r="D145" s="217" t="s">
        <v>17167</v>
      </c>
      <c r="E145" s="471" t="s">
        <v>20667</v>
      </c>
      <c r="F145" s="482">
        <v>94963</v>
      </c>
      <c r="G145" s="470" t="s">
        <v>20778</v>
      </c>
      <c r="H145" s="482" t="s">
        <v>15528</v>
      </c>
      <c r="I145" s="483">
        <f>2.9*2.9*0.15</f>
        <v>1.2615000000000001</v>
      </c>
      <c r="J145" s="473">
        <f t="shared" si="714"/>
        <v>441.43000000000001</v>
      </c>
      <c r="K145" s="474">
        <f t="shared" si="715"/>
        <v>556.86394500000006</v>
      </c>
      <c r="L145" s="475">
        <f t="shared" si="716"/>
        <v>436.14999999999998</v>
      </c>
      <c r="M145" s="474">
        <f t="shared" si="717"/>
        <v>550.20322499999997</v>
      </c>
      <c r="O145" s="434">
        <f t="shared" si="706"/>
        <v>441.43000000000001</v>
      </c>
      <c r="P145" s="435">
        <f t="shared" si="707"/>
        <v>436.14999999999998</v>
      </c>
      <c r="AE145" s="217"/>
      <c r="AF145" s="217">
        <v>1015</v>
      </c>
      <c r="AH145">
        <f t="shared" si="705"/>
        <v>1015</v>
      </c>
    </row>
    <row r="146" ht="45" hidden="1">
      <c r="A146" s="217"/>
      <c r="B146" s="217">
        <v>1015</v>
      </c>
      <c r="C146" s="217"/>
      <c r="D146" s="217" t="s">
        <v>17167</v>
      </c>
      <c r="E146" s="471" t="s">
        <v>20671</v>
      </c>
      <c r="F146" s="482">
        <v>94964</v>
      </c>
      <c r="G146" s="470" t="s">
        <v>20779</v>
      </c>
      <c r="H146" s="482" t="s">
        <v>15528</v>
      </c>
      <c r="I146" s="483">
        <f>1.18+0.8</f>
        <v>1.98</v>
      </c>
      <c r="J146" s="473">
        <f t="shared" si="714"/>
        <v>488.52999999999997</v>
      </c>
      <c r="K146" s="474">
        <f t="shared" si="715"/>
        <v>967.28939999999989</v>
      </c>
      <c r="L146" s="475">
        <f t="shared" si="716"/>
        <v>482.79000000000002</v>
      </c>
      <c r="M146" s="474">
        <f t="shared" si="717"/>
        <v>955.92420000000004</v>
      </c>
      <c r="O146" s="434">
        <f t="shared" si="706"/>
        <v>488.52999999999997</v>
      </c>
      <c r="P146" s="435">
        <f t="shared" si="707"/>
        <v>482.79000000000002</v>
      </c>
      <c r="AE146" s="217"/>
      <c r="AF146" s="217">
        <v>1015</v>
      </c>
      <c r="AH146">
        <f t="shared" si="705"/>
        <v>1015</v>
      </c>
    </row>
    <row r="147" ht="120" hidden="1">
      <c r="A147" s="217"/>
      <c r="B147" s="217">
        <v>1015</v>
      </c>
      <c r="C147" s="217"/>
      <c r="D147" s="217" t="s">
        <v>17167</v>
      </c>
      <c r="E147" s="471" t="s">
        <v>20672</v>
      </c>
      <c r="F147" s="482">
        <v>90091</v>
      </c>
      <c r="G147" s="470" t="s">
        <v>20780</v>
      </c>
      <c r="H147" s="482" t="s">
        <v>15528</v>
      </c>
      <c r="I147" s="483">
        <f>2.9*2.9*(1.24+0.35)</f>
        <v>13.3719</v>
      </c>
      <c r="J147" s="473">
        <f t="shared" si="714"/>
        <v>6.1799999999999997</v>
      </c>
      <c r="K147" s="474">
        <f t="shared" si="715"/>
        <v>82.638341999999994</v>
      </c>
      <c r="L147" s="475">
        <f t="shared" si="716"/>
        <v>6.0700000000000003</v>
      </c>
      <c r="M147" s="474">
        <f t="shared" si="717"/>
        <v>81.167433000000003</v>
      </c>
      <c r="O147" s="434">
        <f t="shared" si="706"/>
        <v>6.1799999999999997</v>
      </c>
      <c r="P147" s="435">
        <f t="shared" si="707"/>
        <v>6.0700000000000003</v>
      </c>
      <c r="AE147" s="217"/>
      <c r="AF147" s="217">
        <v>1015</v>
      </c>
      <c r="AH147">
        <f t="shared" si="705"/>
        <v>1015</v>
      </c>
    </row>
    <row r="148" ht="45" hidden="1">
      <c r="A148" s="217"/>
      <c r="B148" s="217">
        <v>1015</v>
      </c>
      <c r="C148" s="217"/>
      <c r="D148" s="217" t="s">
        <v>17167</v>
      </c>
      <c r="E148" s="471" t="s">
        <v>20673</v>
      </c>
      <c r="F148" s="482">
        <v>96533</v>
      </c>
      <c r="G148" s="470" t="s">
        <v>20781</v>
      </c>
      <c r="H148" s="482" t="s">
        <v>15515</v>
      </c>
      <c r="I148" s="483">
        <f>0.2*0.8*8+0.15*2.3*2*2+0.15*1.9*2*2+0.15*2.3*2+0.15*1.9*2</f>
        <v>5.0599999999999996</v>
      </c>
      <c r="J148" s="473">
        <f t="shared" si="714"/>
        <v>85.980000000000004</v>
      </c>
      <c r="K148" s="474">
        <f t="shared" si="715"/>
        <v>435.05879999999996</v>
      </c>
      <c r="L148" s="475">
        <f t="shared" si="716"/>
        <v>83.200000000000003</v>
      </c>
      <c r="M148" s="474">
        <f t="shared" si="717"/>
        <v>420.99199999999996</v>
      </c>
      <c r="O148" s="434">
        <f t="shared" si="706"/>
        <v>85.980000000000004</v>
      </c>
      <c r="P148" s="435">
        <f t="shared" si="707"/>
        <v>83.200000000000003</v>
      </c>
      <c r="AE148" s="217"/>
      <c r="AF148" s="217">
        <v>1015</v>
      </c>
      <c r="AH148">
        <f t="shared" si="705"/>
        <v>1015</v>
      </c>
    </row>
    <row r="149" ht="90" hidden="1">
      <c r="A149" s="217"/>
      <c r="B149" s="217">
        <v>1015</v>
      </c>
      <c r="C149" s="217"/>
      <c r="D149" s="217" t="s">
        <v>17167</v>
      </c>
      <c r="E149" s="471" t="s">
        <v>20675</v>
      </c>
      <c r="F149" s="482">
        <v>5928</v>
      </c>
      <c r="G149" s="470" t="s">
        <v>20782</v>
      </c>
      <c r="H149" s="482" t="s">
        <v>1535</v>
      </c>
      <c r="I149" s="483">
        <v>0.10000000000000001</v>
      </c>
      <c r="J149" s="473">
        <f t="shared" si="714"/>
        <v>298.70999999999998</v>
      </c>
      <c r="K149" s="474">
        <f t="shared" si="715"/>
        <v>29.870999999999999</v>
      </c>
      <c r="L149" s="475">
        <f t="shared" si="716"/>
        <v>296.98000000000002</v>
      </c>
      <c r="M149" s="474">
        <f t="shared" si="717"/>
        <v>29.698000000000004</v>
      </c>
      <c r="O149" s="434">
        <f t="shared" si="706"/>
        <v>298.70999999999998</v>
      </c>
      <c r="P149" s="435">
        <f t="shared" si="707"/>
        <v>296.98000000000002</v>
      </c>
      <c r="AE149" s="217"/>
      <c r="AF149" s="217">
        <v>1015</v>
      </c>
      <c r="AH149">
        <f t="shared" si="705"/>
        <v>1015</v>
      </c>
    </row>
    <row r="150" ht="30" hidden="1">
      <c r="A150" s="217"/>
      <c r="B150" s="217">
        <v>1015</v>
      </c>
      <c r="C150" s="217"/>
      <c r="D150" s="217" t="s">
        <v>20398</v>
      </c>
      <c r="E150" s="471" t="s">
        <v>20677</v>
      </c>
      <c r="F150" s="482">
        <v>1000</v>
      </c>
      <c r="G150" s="470" t="s">
        <v>20783</v>
      </c>
      <c r="H150" s="482" t="s">
        <v>15528</v>
      </c>
      <c r="I150" s="483">
        <f>I145+I146</f>
        <v>3.2414999999999998</v>
      </c>
      <c r="J150" s="473">
        <f t="shared" si="714"/>
        <v>149.904</v>
      </c>
      <c r="K150" s="474">
        <f t="shared" si="715"/>
        <v>485.91381599999994</v>
      </c>
      <c r="L150" s="475">
        <f t="shared" si="716"/>
        <v>141.76949999999999</v>
      </c>
      <c r="M150" s="474">
        <f t="shared" si="717"/>
        <v>459.54583424999993</v>
      </c>
      <c r="O150" s="434">
        <f t="shared" si="706"/>
        <v>149.904</v>
      </c>
      <c r="P150" s="435">
        <f t="shared" si="707"/>
        <v>141.76949999999999</v>
      </c>
      <c r="AE150" s="217"/>
      <c r="AF150" s="217">
        <v>1015</v>
      </c>
      <c r="AH150">
        <f t="shared" si="705"/>
        <v>1015</v>
      </c>
    </row>
    <row r="151" ht="30" hidden="1">
      <c r="A151" s="217"/>
      <c r="B151" s="217">
        <v>1015</v>
      </c>
      <c r="C151" s="217"/>
      <c r="D151" s="217" t="s">
        <v>20398</v>
      </c>
      <c r="E151" s="471" t="s">
        <v>20679</v>
      </c>
      <c r="F151" s="482">
        <v>1242</v>
      </c>
      <c r="G151" s="470" t="s">
        <v>20784</v>
      </c>
      <c r="H151" s="482" t="s">
        <v>15528</v>
      </c>
      <c r="I151" s="483">
        <f>2.9*2.9*0.05</f>
        <v>0.42049999999999998</v>
      </c>
      <c r="J151" s="473">
        <f t="shared" si="714"/>
        <v>151.59100000000001</v>
      </c>
      <c r="K151" s="474">
        <f t="shared" si="715"/>
        <v>63.744015500000003</v>
      </c>
      <c r="L151" s="475">
        <f t="shared" si="716"/>
        <v>149.17099999999999</v>
      </c>
      <c r="M151" s="474">
        <f t="shared" si="717"/>
        <v>62.726405499999991</v>
      </c>
      <c r="O151" s="434">
        <f t="shared" si="706"/>
        <v>151.59100000000001</v>
      </c>
      <c r="P151" s="435">
        <f t="shared" si="707"/>
        <v>149.17099999999999</v>
      </c>
      <c r="AE151" s="217"/>
      <c r="AF151" s="217">
        <v>1015</v>
      </c>
      <c r="AH151">
        <f t="shared" si="705"/>
        <v>1015</v>
      </c>
    </row>
    <row r="152" ht="30" hidden="1">
      <c r="A152" s="217"/>
      <c r="B152" s="217">
        <v>1015</v>
      </c>
      <c r="C152" s="217"/>
      <c r="D152" s="217" t="s">
        <v>17167</v>
      </c>
      <c r="E152" s="471" t="s">
        <v>20681</v>
      </c>
      <c r="F152" s="482">
        <v>93382</v>
      </c>
      <c r="G152" s="470" t="s">
        <v>20785</v>
      </c>
      <c r="H152" s="482" t="s">
        <v>15528</v>
      </c>
      <c r="I152" s="483">
        <f>I147-2.3*2.3*(1.1)-2.9*2.9*0.05-2.7*2.7*0.15</f>
        <v>6.0388999999999999</v>
      </c>
      <c r="J152" s="473">
        <f t="shared" si="714"/>
        <v>27.52</v>
      </c>
      <c r="K152" s="474">
        <f t="shared" si="715"/>
        <v>166.190528</v>
      </c>
      <c r="L152" s="475">
        <f t="shared" si="716"/>
        <v>26.190000000000001</v>
      </c>
      <c r="M152" s="474">
        <f t="shared" si="717"/>
        <v>158.15879100000001</v>
      </c>
      <c r="O152" s="434">
        <f t="shared" si="706"/>
        <v>27.52</v>
      </c>
      <c r="P152" s="435">
        <f t="shared" si="707"/>
        <v>26.190000000000001</v>
      </c>
      <c r="AE152" s="217"/>
      <c r="AF152" s="217">
        <v>1015</v>
      </c>
      <c r="AH152">
        <f t="shared" si="705"/>
        <v>1015</v>
      </c>
    </row>
    <row r="153" ht="45" hidden="1">
      <c r="A153" s="217"/>
      <c r="B153" s="217">
        <v>1015</v>
      </c>
      <c r="C153" s="217"/>
      <c r="D153" s="217" t="s">
        <v>20398</v>
      </c>
      <c r="E153" s="471" t="s">
        <v>20683</v>
      </c>
      <c r="F153" s="482">
        <v>1258</v>
      </c>
      <c r="G153" s="470" t="s">
        <v>20449</v>
      </c>
      <c r="H153" s="482" t="s">
        <v>15515</v>
      </c>
      <c r="I153" s="483">
        <f>2.9*2.9</f>
        <v>8.4100000000000001</v>
      </c>
      <c r="J153" s="473">
        <f t="shared" si="714"/>
        <v>7.5700000000000003</v>
      </c>
      <c r="K153" s="474">
        <f t="shared" si="715"/>
        <v>63.663700000000006</v>
      </c>
      <c r="L153" s="475">
        <f t="shared" si="716"/>
        <v>7.1846199999999998</v>
      </c>
      <c r="M153" s="474">
        <f t="shared" si="717"/>
        <v>60.422654199999997</v>
      </c>
      <c r="O153" s="434">
        <f t="shared" si="706"/>
        <v>7.5700000000000003</v>
      </c>
      <c r="P153" s="435">
        <f t="shared" si="707"/>
        <v>7.1846199999999998</v>
      </c>
      <c r="AE153" s="217"/>
      <c r="AF153" s="217">
        <v>1015</v>
      </c>
      <c r="AH153">
        <f t="shared" si="705"/>
        <v>1015</v>
      </c>
    </row>
    <row r="154" ht="47.25" hidden="1">
      <c r="A154" s="460">
        <v>1016</v>
      </c>
      <c r="B154" s="460">
        <v>1016</v>
      </c>
      <c r="C154" s="460"/>
      <c r="D154" s="460"/>
      <c r="E154" s="461">
        <v>1</v>
      </c>
      <c r="F154" s="462" t="s">
        <v>20786</v>
      </c>
      <c r="G154" s="477" t="s">
        <v>20787</v>
      </c>
      <c r="H154" s="478" t="s">
        <v>38</v>
      </c>
      <c r="I154" s="479"/>
      <c r="J154" s="480"/>
      <c r="K154" s="466">
        <f>SUM(K155:K161)</f>
        <v>1019.7457839999997</v>
      </c>
      <c r="L154" s="480"/>
      <c r="M154" s="466">
        <f>SUM(M155:M161)</f>
        <v>990.34609999999998</v>
      </c>
      <c r="O154" s="434" t="str">
        <f t="shared" si="706"/>
        <v xml:space="preserve">SEM VALOR</v>
      </c>
      <c r="P154" s="435" t="str">
        <f t="shared" si="707"/>
        <v xml:space="preserve">SEM VALOR</v>
      </c>
      <c r="AE154" s="460">
        <v>1016</v>
      </c>
      <c r="AF154" s="460"/>
      <c r="AH154">
        <f t="shared" si="705"/>
        <v>1016</v>
      </c>
    </row>
    <row r="155" hidden="1">
      <c r="A155" s="217"/>
      <c r="B155" s="217">
        <v>1016</v>
      </c>
      <c r="C155" s="217"/>
      <c r="D155" s="217" t="s">
        <v>20408</v>
      </c>
      <c r="E155" s="471" t="s">
        <v>20399</v>
      </c>
      <c r="F155" s="482">
        <v>33</v>
      </c>
      <c r="G155" s="470" t="s">
        <v>10523</v>
      </c>
      <c r="H155" s="482" t="s">
        <v>302</v>
      </c>
      <c r="I155" s="483">
        <v>2.4500000000000002</v>
      </c>
      <c r="J155" s="473">
        <f t="shared" si="714"/>
        <v>8.25</v>
      </c>
      <c r="K155" s="474">
        <f t="shared" ref="K155:K161" si="718">I155*J155</f>
        <v>20.212500000000002</v>
      </c>
      <c r="L155" s="475">
        <f t="shared" si="716"/>
        <v>8.25</v>
      </c>
      <c r="M155" s="474">
        <f t="shared" ref="M155:M161" si="719">L155*I155</f>
        <v>20.212500000000002</v>
      </c>
      <c r="O155" s="434">
        <f t="shared" si="706"/>
        <v>8.25</v>
      </c>
      <c r="P155" s="435">
        <f t="shared" si="707"/>
        <v>8.25</v>
      </c>
      <c r="AE155" s="217"/>
      <c r="AF155" s="217">
        <v>1016</v>
      </c>
      <c r="AH155">
        <f t="shared" si="705"/>
        <v>1016</v>
      </c>
    </row>
    <row r="156" ht="75" hidden="1">
      <c r="A156" s="217"/>
      <c r="B156" s="217">
        <v>1016</v>
      </c>
      <c r="C156" s="217"/>
      <c r="D156" s="217" t="s">
        <v>20398</v>
      </c>
      <c r="E156" s="471" t="s">
        <v>20402</v>
      </c>
      <c r="F156" s="482">
        <v>1066</v>
      </c>
      <c r="G156" s="470" t="s">
        <v>20788</v>
      </c>
      <c r="H156" s="482" t="s">
        <v>15515</v>
      </c>
      <c r="I156" s="483">
        <v>2.3999999999999999</v>
      </c>
      <c r="J156" s="473">
        <f t="shared" si="714"/>
        <v>352.84015999999997</v>
      </c>
      <c r="K156" s="474">
        <f t="shared" si="718"/>
        <v>846.81638399999986</v>
      </c>
      <c r="L156" s="475">
        <f t="shared" si="716"/>
        <v>343.45400000000001</v>
      </c>
      <c r="M156" s="474">
        <f t="shared" si="719"/>
        <v>824.28959999999995</v>
      </c>
      <c r="N156" s="467" t="s">
        <v>20789</v>
      </c>
      <c r="O156" s="434">
        <f t="shared" si="706"/>
        <v>352.84015999999997</v>
      </c>
      <c r="P156" s="435">
        <f t="shared" si="707"/>
        <v>343.45400000000001</v>
      </c>
      <c r="AE156" s="217"/>
      <c r="AF156" s="217">
        <v>1016</v>
      </c>
      <c r="AH156">
        <f t="shared" si="705"/>
        <v>1016</v>
      </c>
    </row>
    <row r="157" ht="45" hidden="1">
      <c r="A157" s="217"/>
      <c r="B157" s="217">
        <v>1016</v>
      </c>
      <c r="C157" s="217"/>
      <c r="D157" s="217" t="s">
        <v>17167</v>
      </c>
      <c r="E157" s="471" t="s">
        <v>20405</v>
      </c>
      <c r="F157" s="482">
        <v>87372</v>
      </c>
      <c r="G157" s="470" t="s">
        <v>20790</v>
      </c>
      <c r="H157" s="482" t="s">
        <v>15528</v>
      </c>
      <c r="I157" s="483">
        <v>5.0000000000000003e-002</v>
      </c>
      <c r="J157" s="473">
        <f t="shared" si="714"/>
        <v>827.91999999999996</v>
      </c>
      <c r="K157" s="474">
        <f t="shared" si="718"/>
        <v>41.396000000000001</v>
      </c>
      <c r="L157" s="475">
        <f t="shared" si="716"/>
        <v>813.82000000000005</v>
      </c>
      <c r="M157" s="474">
        <f t="shared" si="719"/>
        <v>40.691000000000003</v>
      </c>
      <c r="O157" s="434">
        <f t="shared" si="706"/>
        <v>827.91999999999996</v>
      </c>
      <c r="P157" s="435">
        <f t="shared" si="707"/>
        <v>813.82000000000005</v>
      </c>
      <c r="AE157" s="217"/>
      <c r="AF157" s="217">
        <v>1016</v>
      </c>
      <c r="AH157">
        <f t="shared" si="705"/>
        <v>1016</v>
      </c>
    </row>
    <row r="158" ht="30" hidden="1">
      <c r="A158" s="217"/>
      <c r="B158" s="217">
        <v>1016</v>
      </c>
      <c r="C158" s="217"/>
      <c r="D158" s="217" t="s">
        <v>17167</v>
      </c>
      <c r="E158" s="471" t="s">
        <v>20409</v>
      </c>
      <c r="F158" s="482">
        <v>88238</v>
      </c>
      <c r="G158" s="470" t="s">
        <v>7086</v>
      </c>
      <c r="H158" s="482" t="s">
        <v>2032</v>
      </c>
      <c r="I158" s="483">
        <v>0.17000000000000001</v>
      </c>
      <c r="J158" s="473">
        <f t="shared" si="714"/>
        <v>23.48</v>
      </c>
      <c r="K158" s="474">
        <f t="shared" si="718"/>
        <v>3.9916000000000005</v>
      </c>
      <c r="L158" s="475">
        <f t="shared" si="716"/>
        <v>22.219999999999999</v>
      </c>
      <c r="M158" s="474">
        <f t="shared" si="719"/>
        <v>3.7774000000000001</v>
      </c>
      <c r="O158" s="434">
        <f t="shared" si="706"/>
        <v>23.48</v>
      </c>
      <c r="P158" s="435">
        <f t="shared" si="707"/>
        <v>22.219999999999999</v>
      </c>
      <c r="AE158" s="217"/>
      <c r="AF158" s="217">
        <v>1016</v>
      </c>
      <c r="AH158">
        <f t="shared" si="705"/>
        <v>1016</v>
      </c>
    </row>
    <row r="159" ht="30" hidden="1">
      <c r="A159" s="217"/>
      <c r="B159" s="217">
        <v>1016</v>
      </c>
      <c r="C159" s="217"/>
      <c r="D159" s="217" t="s">
        <v>17167</v>
      </c>
      <c r="E159" s="471" t="s">
        <v>20663</v>
      </c>
      <c r="F159" s="482">
        <v>88245</v>
      </c>
      <c r="G159" s="470" t="s">
        <v>7099</v>
      </c>
      <c r="H159" s="482" t="s">
        <v>2032</v>
      </c>
      <c r="I159" s="483">
        <v>0.17000000000000001</v>
      </c>
      <c r="J159" s="473">
        <f t="shared" si="714"/>
        <v>28.289999999999999</v>
      </c>
      <c r="K159" s="474">
        <f t="shared" si="718"/>
        <v>4.8093000000000004</v>
      </c>
      <c r="L159" s="475">
        <f t="shared" si="716"/>
        <v>26.68</v>
      </c>
      <c r="M159" s="474">
        <f t="shared" si="719"/>
        <v>4.5356000000000005</v>
      </c>
      <c r="O159" s="434">
        <f t="shared" si="706"/>
        <v>28.289999999999999</v>
      </c>
      <c r="P159" s="435">
        <f t="shared" si="707"/>
        <v>26.68</v>
      </c>
      <c r="AE159" s="217"/>
      <c r="AF159" s="217">
        <v>1016</v>
      </c>
      <c r="AH159">
        <f t="shared" si="705"/>
        <v>1016</v>
      </c>
    </row>
    <row r="160" ht="30" hidden="1">
      <c r="A160" s="217"/>
      <c r="B160" s="217">
        <v>1016</v>
      </c>
      <c r="C160" s="217"/>
      <c r="D160" s="217" t="s">
        <v>17167</v>
      </c>
      <c r="E160" s="471" t="s">
        <v>20665</v>
      </c>
      <c r="F160" s="482">
        <v>88309</v>
      </c>
      <c r="G160" s="470" t="s">
        <v>7385</v>
      </c>
      <c r="H160" s="482" t="s">
        <v>2032</v>
      </c>
      <c r="I160" s="483">
        <v>2</v>
      </c>
      <c r="J160" s="473">
        <f t="shared" si="714"/>
        <v>28.5</v>
      </c>
      <c r="K160" s="474">
        <f t="shared" si="718"/>
        <v>57</v>
      </c>
      <c r="L160" s="475">
        <f t="shared" si="716"/>
        <v>26.870000000000001</v>
      </c>
      <c r="M160" s="474">
        <f t="shared" si="719"/>
        <v>53.740000000000002</v>
      </c>
      <c r="O160" s="434">
        <f t="shared" si="706"/>
        <v>28.5</v>
      </c>
      <c r="P160" s="435">
        <f t="shared" si="707"/>
        <v>26.870000000000001</v>
      </c>
      <c r="AE160" s="217"/>
      <c r="AF160" s="217">
        <v>1016</v>
      </c>
      <c r="AH160">
        <f t="shared" si="705"/>
        <v>1016</v>
      </c>
    </row>
    <row r="161" ht="30" hidden="1">
      <c r="A161" s="217"/>
      <c r="B161" s="217">
        <v>1016</v>
      </c>
      <c r="C161" s="217"/>
      <c r="D161" s="217" t="s">
        <v>17167</v>
      </c>
      <c r="E161" s="471" t="s">
        <v>20667</v>
      </c>
      <c r="F161" s="482">
        <v>88316</v>
      </c>
      <c r="G161" s="470" t="s">
        <v>7393</v>
      </c>
      <c r="H161" s="482" t="s">
        <v>2032</v>
      </c>
      <c r="I161" s="483">
        <v>2</v>
      </c>
      <c r="J161" s="473">
        <f t="shared" si="714"/>
        <v>22.760000000000002</v>
      </c>
      <c r="K161" s="474">
        <f t="shared" si="718"/>
        <v>45.520000000000003</v>
      </c>
      <c r="L161" s="475">
        <f t="shared" si="716"/>
        <v>21.550000000000001</v>
      </c>
      <c r="M161" s="474">
        <f t="shared" si="719"/>
        <v>43.100000000000001</v>
      </c>
      <c r="O161" s="434">
        <f t="shared" si="706"/>
        <v>22.760000000000002</v>
      </c>
      <c r="P161" s="435">
        <f t="shared" si="707"/>
        <v>21.550000000000001</v>
      </c>
      <c r="AE161" s="217"/>
      <c r="AF161" s="217">
        <v>1016</v>
      </c>
      <c r="AH161">
        <f t="shared" ref="AH161:AH224" si="720">IF(AF161:AF162=FALSE,AE161,AF161)</f>
        <v>1016</v>
      </c>
    </row>
    <row r="162" ht="47.25" hidden="1">
      <c r="A162" s="460">
        <v>1017</v>
      </c>
      <c r="B162" s="460">
        <v>1017</v>
      </c>
      <c r="C162" s="460"/>
      <c r="D162" s="460"/>
      <c r="E162" s="461">
        <v>1</v>
      </c>
      <c r="F162" s="462" t="s">
        <v>20791</v>
      </c>
      <c r="G162" s="477" t="s">
        <v>20792</v>
      </c>
      <c r="H162" s="478" t="s">
        <v>31</v>
      </c>
      <c r="I162" s="479"/>
      <c r="J162" s="480"/>
      <c r="K162" s="466">
        <f>SUM(K163:K166)</f>
        <v>117.18000000000001</v>
      </c>
      <c r="L162" s="480"/>
      <c r="M162" s="466">
        <f>SUM(M163:M166)</f>
        <v>111.5</v>
      </c>
      <c r="N162" s="467" t="s">
        <v>20793</v>
      </c>
      <c r="O162" s="434" t="str">
        <f t="shared" si="706"/>
        <v xml:space="preserve">SEM VALOR</v>
      </c>
      <c r="P162" s="435" t="str">
        <f t="shared" si="707"/>
        <v xml:space="preserve">SEM VALOR</v>
      </c>
      <c r="AE162" s="460">
        <v>1017</v>
      </c>
      <c r="AF162" s="460"/>
      <c r="AH162">
        <f t="shared" si="720"/>
        <v>1017</v>
      </c>
    </row>
    <row r="163" ht="45" hidden="1">
      <c r="A163" s="217"/>
      <c r="B163" s="217">
        <v>1017</v>
      </c>
      <c r="C163" s="217"/>
      <c r="D163" s="217" t="s">
        <v>20408</v>
      </c>
      <c r="E163" s="471" t="s">
        <v>20399</v>
      </c>
      <c r="F163" s="482">
        <v>370</v>
      </c>
      <c r="G163" s="470" t="s">
        <v>10767</v>
      </c>
      <c r="H163" s="482" t="s">
        <v>121</v>
      </c>
      <c r="I163" s="483">
        <v>4.0000000000000001e-002</v>
      </c>
      <c r="J163" s="473">
        <f t="shared" si="714"/>
        <v>76</v>
      </c>
      <c r="K163" s="474">
        <f t="shared" ref="K163:K166" si="721">I163*J163</f>
        <v>3.04</v>
      </c>
      <c r="L163" s="475">
        <f t="shared" si="716"/>
        <v>76</v>
      </c>
      <c r="M163" s="474">
        <f t="shared" ref="M163:M166" si="722">L163*I163</f>
        <v>3.04</v>
      </c>
      <c r="O163" s="434">
        <f t="shared" si="706"/>
        <v>76</v>
      </c>
      <c r="P163" s="435">
        <f t="shared" si="707"/>
        <v>76</v>
      </c>
      <c r="AE163" s="217"/>
      <c r="AF163" s="217">
        <v>1017</v>
      </c>
      <c r="AH163">
        <f t="shared" si="720"/>
        <v>1017</v>
      </c>
    </row>
    <row r="164" ht="30" hidden="1">
      <c r="A164" s="217"/>
      <c r="B164" s="217">
        <v>1017</v>
      </c>
      <c r="C164" s="217"/>
      <c r="D164" s="217" t="s">
        <v>20408</v>
      </c>
      <c r="E164" s="471" t="s">
        <v>20402</v>
      </c>
      <c r="F164" s="482">
        <v>1379</v>
      </c>
      <c r="G164" s="470" t="s">
        <v>11588</v>
      </c>
      <c r="H164" s="482" t="s">
        <v>302</v>
      </c>
      <c r="I164" s="483">
        <v>14</v>
      </c>
      <c r="J164" s="473">
        <f t="shared" si="714"/>
        <v>0.82999999999999996</v>
      </c>
      <c r="K164" s="474">
        <f t="shared" si="721"/>
        <v>11.619999999999999</v>
      </c>
      <c r="L164" s="475">
        <f t="shared" si="716"/>
        <v>0.82999999999999996</v>
      </c>
      <c r="M164" s="474">
        <f t="shared" si="722"/>
        <v>11.619999999999999</v>
      </c>
      <c r="O164" s="434">
        <f t="shared" ref="O164:O227" si="723">IFERROR(IF(D164="SINAPI",VLOOKUP(F164,SINCOMOD,4,FALSE),IF(D164="INSINAPI",VLOOKUP(F164,INSINOD,5,FALSE),IF(D164="SICRO",VLOOKUP(F164,SICRO,5,FALSE),IF(D164="COTACAO",VLOOKUP(F164,COTACAO,6,FALSE),IF(D164="PRÓPRIO",VLOOKUP(F164,COMPOD,11,FALSE),IF(D164="AGESUL",VLOOKUP(F164,AGESULOD,6,FALSE),IF(D164="INSAGESUL",VLOOKUP(F164,INSAGESUL,7,FALSE),"SEM VALOR"))))))),"SEM VALOR")</f>
        <v>0.82999999999999996</v>
      </c>
      <c r="P164" s="435">
        <f t="shared" ref="P164:P227" si="724">IFERROR(IF(D164="SINAPI",VLOOKUP(F164,SINCOMOD,6,FALSE),IF(D164="INSINAPI",VLOOKUP(F164,INSINOD,6,FALSE),IF(D164="SICRO",VLOOKUP(F164,SICRO,5,FALSE),IF(D164="COTACAO",VLOOKUP(F164,COTACAO,6,FALSE),IF(D164="PRÓPRIO",VLOOKUP(F164,COMPOD,13,FALSE),IF(D164="AGESUL",VLOOKUP(F164,AGESULOD,11,FALSE),IF(D164="INSAGESUL",VLOOKUP(F164,INSAGESUL,8,FALSE),"SEM VALOR"))))))),"SEM VALOR")</f>
        <v>0.82999999999999996</v>
      </c>
      <c r="AE164" s="217"/>
      <c r="AF164" s="217">
        <v>1017</v>
      </c>
      <c r="AH164">
        <f t="shared" si="720"/>
        <v>1017</v>
      </c>
    </row>
    <row r="165" ht="30" hidden="1">
      <c r="A165" s="217"/>
      <c r="B165" s="217">
        <v>1017</v>
      </c>
      <c r="C165" s="217"/>
      <c r="D165" s="217" t="s">
        <v>17167</v>
      </c>
      <c r="E165" s="471" t="s">
        <v>20405</v>
      </c>
      <c r="F165" s="482">
        <v>88309</v>
      </c>
      <c r="G165" s="470" t="s">
        <v>7385</v>
      </c>
      <c r="H165" s="482" t="s">
        <v>2032</v>
      </c>
      <c r="I165" s="483">
        <v>2</v>
      </c>
      <c r="J165" s="473">
        <f t="shared" si="714"/>
        <v>28.5</v>
      </c>
      <c r="K165" s="474">
        <f t="shared" si="721"/>
        <v>57</v>
      </c>
      <c r="L165" s="475">
        <f t="shared" si="716"/>
        <v>26.870000000000001</v>
      </c>
      <c r="M165" s="474">
        <f t="shared" si="722"/>
        <v>53.740000000000002</v>
      </c>
      <c r="O165" s="434">
        <f t="shared" si="723"/>
        <v>28.5</v>
      </c>
      <c r="P165" s="435">
        <f t="shared" si="724"/>
        <v>26.870000000000001</v>
      </c>
      <c r="AE165" s="217"/>
      <c r="AF165" s="217">
        <v>1017</v>
      </c>
      <c r="AH165">
        <f t="shared" si="720"/>
        <v>1017</v>
      </c>
    </row>
    <row r="166" ht="30" hidden="1">
      <c r="A166" s="217"/>
      <c r="B166" s="217">
        <v>1017</v>
      </c>
      <c r="C166" s="217"/>
      <c r="D166" s="217" t="s">
        <v>17167</v>
      </c>
      <c r="E166" s="471" t="s">
        <v>20409</v>
      </c>
      <c r="F166" s="482">
        <v>88316</v>
      </c>
      <c r="G166" s="470" t="s">
        <v>7393</v>
      </c>
      <c r="H166" s="482" t="s">
        <v>2032</v>
      </c>
      <c r="I166" s="483">
        <v>2</v>
      </c>
      <c r="J166" s="473">
        <f t="shared" si="714"/>
        <v>22.760000000000002</v>
      </c>
      <c r="K166" s="474">
        <f t="shared" si="721"/>
        <v>45.520000000000003</v>
      </c>
      <c r="L166" s="475">
        <f t="shared" si="716"/>
        <v>21.550000000000001</v>
      </c>
      <c r="M166" s="474">
        <f t="shared" si="722"/>
        <v>43.100000000000001</v>
      </c>
      <c r="O166" s="434">
        <f t="shared" si="723"/>
        <v>22.760000000000002</v>
      </c>
      <c r="P166" s="435">
        <f t="shared" si="724"/>
        <v>21.550000000000001</v>
      </c>
      <c r="AE166" s="217"/>
      <c r="AF166" s="217">
        <v>1017</v>
      </c>
      <c r="AH166">
        <f t="shared" si="720"/>
        <v>1017</v>
      </c>
    </row>
    <row r="167" ht="63" hidden="1">
      <c r="A167" s="460">
        <v>1018</v>
      </c>
      <c r="B167" s="460">
        <v>1018</v>
      </c>
      <c r="C167" s="460"/>
      <c r="D167" s="460"/>
      <c r="E167" s="461">
        <v>1</v>
      </c>
      <c r="F167" s="462" t="s">
        <v>20794</v>
      </c>
      <c r="G167" s="477" t="s">
        <v>20795</v>
      </c>
      <c r="H167" s="478" t="s">
        <v>20647</v>
      </c>
      <c r="I167" s="479"/>
      <c r="J167" s="480"/>
      <c r="K167" s="466">
        <f>SUM(K168:K177)</f>
        <v>1831.381795968</v>
      </c>
      <c r="L167" s="480"/>
      <c r="M167" s="466">
        <f>SUM(M168:M177)</f>
        <v>1777.3247228799999</v>
      </c>
      <c r="O167" s="434" t="str">
        <f t="shared" si="723"/>
        <v xml:space="preserve">SEM VALOR</v>
      </c>
      <c r="P167" s="435" t="str">
        <f t="shared" si="724"/>
        <v xml:space="preserve">SEM VALOR</v>
      </c>
      <c r="AE167" s="460">
        <v>1018</v>
      </c>
      <c r="AF167" s="460"/>
      <c r="AH167">
        <f t="shared" si="720"/>
        <v>1018</v>
      </c>
    </row>
    <row r="168" ht="45" hidden="1">
      <c r="A168" s="217"/>
      <c r="B168" s="217">
        <v>1018</v>
      </c>
      <c r="C168" s="217"/>
      <c r="D168" s="217" t="s">
        <v>20398</v>
      </c>
      <c r="E168" s="471" t="s">
        <v>20399</v>
      </c>
      <c r="F168" s="482">
        <v>1259</v>
      </c>
      <c r="G168" s="470" t="s">
        <v>20796</v>
      </c>
      <c r="H168" s="482" t="s">
        <v>15528</v>
      </c>
      <c r="I168" s="483">
        <v>7.4400000000000004</v>
      </c>
      <c r="J168" s="473">
        <f t="shared" si="714"/>
        <v>45.520000000000003</v>
      </c>
      <c r="K168" s="474">
        <f t="shared" ref="K168:K177" si="725">I168*J168</f>
        <v>338.66880000000003</v>
      </c>
      <c r="L168" s="475">
        <f t="shared" si="716"/>
        <v>43.100000000000001</v>
      </c>
      <c r="M168" s="474">
        <f t="shared" ref="M168:M177" si="726">L168*I168</f>
        <v>320.66400000000004</v>
      </c>
      <c r="O168" s="434">
        <f t="shared" si="723"/>
        <v>45.520000000000003</v>
      </c>
      <c r="P168" s="435">
        <f t="shared" si="724"/>
        <v>43.100000000000001</v>
      </c>
      <c r="AE168" s="217"/>
      <c r="AF168" s="217">
        <v>1018</v>
      </c>
      <c r="AH168">
        <f t="shared" si="720"/>
        <v>1018</v>
      </c>
    </row>
    <row r="169" ht="60" hidden="1">
      <c r="A169" s="217"/>
      <c r="B169" s="217">
        <v>1018</v>
      </c>
      <c r="C169" s="217"/>
      <c r="D169" s="217" t="s">
        <v>20398</v>
      </c>
      <c r="E169" s="471" t="s">
        <v>20402</v>
      </c>
      <c r="F169" s="482">
        <v>1258</v>
      </c>
      <c r="G169" s="470" t="s">
        <v>20660</v>
      </c>
      <c r="H169" s="482" t="s">
        <v>15515</v>
      </c>
      <c r="I169" s="483">
        <v>1.54</v>
      </c>
      <c r="J169" s="473">
        <f t="shared" si="714"/>
        <v>7.5700000000000003</v>
      </c>
      <c r="K169" s="474">
        <f t="shared" si="725"/>
        <v>11.6578</v>
      </c>
      <c r="L169" s="475">
        <f t="shared" si="716"/>
        <v>7.1846199999999998</v>
      </c>
      <c r="M169" s="474">
        <f t="shared" si="726"/>
        <v>11.0643148</v>
      </c>
      <c r="O169" s="434">
        <f t="shared" si="723"/>
        <v>7.5700000000000003</v>
      </c>
      <c r="P169" s="435">
        <f t="shared" si="724"/>
        <v>7.1846199999999998</v>
      </c>
      <c r="AE169" s="217"/>
      <c r="AF169" s="217">
        <v>1018</v>
      </c>
      <c r="AH169">
        <f t="shared" si="720"/>
        <v>1018</v>
      </c>
    </row>
    <row r="170" ht="60" hidden="1">
      <c r="A170" s="217"/>
      <c r="B170" s="217">
        <v>1018</v>
      </c>
      <c r="C170" s="217"/>
      <c r="D170" s="217" t="s">
        <v>17167</v>
      </c>
      <c r="E170" s="471" t="s">
        <v>20405</v>
      </c>
      <c r="F170" s="482">
        <v>94962</v>
      </c>
      <c r="G170" s="470" t="s">
        <v>20797</v>
      </c>
      <c r="H170" s="482" t="s">
        <v>15528</v>
      </c>
      <c r="I170" s="483">
        <v>0.14999999999999999</v>
      </c>
      <c r="J170" s="473">
        <f t="shared" si="714"/>
        <v>393.05000000000001</v>
      </c>
      <c r="K170" s="474">
        <f t="shared" si="725"/>
        <v>58.957499999999996</v>
      </c>
      <c r="L170" s="475">
        <f t="shared" si="716"/>
        <v>387.73000000000002</v>
      </c>
      <c r="M170" s="474">
        <f t="shared" si="726"/>
        <v>58.159500000000001</v>
      </c>
      <c r="O170" s="434">
        <f t="shared" si="723"/>
        <v>393.05000000000001</v>
      </c>
      <c r="P170" s="435">
        <f t="shared" si="724"/>
        <v>387.73000000000002</v>
      </c>
      <c r="AE170" s="217"/>
      <c r="AF170" s="217">
        <v>1018</v>
      </c>
      <c r="AH170">
        <f t="shared" si="720"/>
        <v>1018</v>
      </c>
    </row>
    <row r="171" ht="120" hidden="1">
      <c r="A171" s="217"/>
      <c r="B171" s="217">
        <v>1018</v>
      </c>
      <c r="C171" s="217"/>
      <c r="D171" s="217" t="s">
        <v>17167</v>
      </c>
      <c r="E171" s="471" t="s">
        <v>20409</v>
      </c>
      <c r="F171" s="482">
        <v>93367</v>
      </c>
      <c r="G171" s="470" t="s">
        <v>20798</v>
      </c>
      <c r="H171" s="482" t="s">
        <v>1535</v>
      </c>
      <c r="I171" s="483">
        <v>5.5199999999999996</v>
      </c>
      <c r="J171" s="473">
        <f t="shared" si="714"/>
        <v>24.16</v>
      </c>
      <c r="K171" s="474">
        <f t="shared" si="725"/>
        <v>133.36319999999998</v>
      </c>
      <c r="L171" s="475">
        <f t="shared" si="716"/>
        <v>23.59</v>
      </c>
      <c r="M171" s="474">
        <f t="shared" si="726"/>
        <v>130.21679999999998</v>
      </c>
      <c r="O171" s="434">
        <f t="shared" si="723"/>
        <v>24.16</v>
      </c>
      <c r="P171" s="435">
        <f t="shared" si="724"/>
        <v>23.59</v>
      </c>
      <c r="AE171" s="217"/>
      <c r="AF171" s="217">
        <v>1018</v>
      </c>
      <c r="AH171">
        <f t="shared" si="720"/>
        <v>1018</v>
      </c>
    </row>
    <row r="172" ht="60" hidden="1">
      <c r="A172" s="217"/>
      <c r="B172" s="217">
        <v>1018</v>
      </c>
      <c r="C172" s="217"/>
      <c r="D172" s="217" t="s">
        <v>17167</v>
      </c>
      <c r="E172" s="471" t="s">
        <v>20663</v>
      </c>
      <c r="F172" s="482">
        <v>94964</v>
      </c>
      <c r="G172" s="470" t="s">
        <v>20686</v>
      </c>
      <c r="H172" s="482" t="s">
        <v>15528</v>
      </c>
      <c r="I172" s="483">
        <v>0.23000000000000001</v>
      </c>
      <c r="J172" s="473">
        <f t="shared" si="714"/>
        <v>488.52999999999997</v>
      </c>
      <c r="K172" s="474">
        <f t="shared" si="725"/>
        <v>112.36190000000001</v>
      </c>
      <c r="L172" s="475">
        <f t="shared" si="716"/>
        <v>482.79000000000002</v>
      </c>
      <c r="M172" s="474">
        <f t="shared" si="726"/>
        <v>111.04170000000001</v>
      </c>
      <c r="O172" s="434">
        <f t="shared" si="723"/>
        <v>488.52999999999997</v>
      </c>
      <c r="P172" s="435">
        <f t="shared" si="724"/>
        <v>482.79000000000002</v>
      </c>
      <c r="AE172" s="217"/>
      <c r="AF172" s="217">
        <v>1018</v>
      </c>
      <c r="AH172">
        <f t="shared" si="720"/>
        <v>1018</v>
      </c>
    </row>
    <row r="173" ht="45" hidden="1">
      <c r="A173" s="217"/>
      <c r="B173" s="217">
        <v>1018</v>
      </c>
      <c r="C173" s="217"/>
      <c r="D173" s="217" t="s">
        <v>20398</v>
      </c>
      <c r="E173" s="471" t="s">
        <v>20665</v>
      </c>
      <c r="F173" s="482">
        <v>1000</v>
      </c>
      <c r="G173" s="470" t="s">
        <v>20651</v>
      </c>
      <c r="H173" s="482" t="s">
        <v>15528</v>
      </c>
      <c r="I173" s="483">
        <f>I172+I170</f>
        <v>0.38</v>
      </c>
      <c r="J173" s="473">
        <f t="shared" si="714"/>
        <v>149.904</v>
      </c>
      <c r="K173" s="474">
        <f t="shared" si="725"/>
        <v>56.963520000000003</v>
      </c>
      <c r="L173" s="475">
        <f t="shared" si="716"/>
        <v>141.76949999999999</v>
      </c>
      <c r="M173" s="474">
        <f t="shared" si="726"/>
        <v>53.872409999999995</v>
      </c>
      <c r="O173" s="434">
        <f t="shared" si="723"/>
        <v>149.904</v>
      </c>
      <c r="P173" s="435">
        <f t="shared" si="724"/>
        <v>141.76949999999999</v>
      </c>
      <c r="AE173" s="217"/>
      <c r="AF173" s="217">
        <v>1018</v>
      </c>
      <c r="AH173">
        <f t="shared" si="720"/>
        <v>1018</v>
      </c>
    </row>
    <row r="174" ht="45" hidden="1">
      <c r="A174" s="217"/>
      <c r="B174" s="217">
        <v>1018</v>
      </c>
      <c r="C174" s="217"/>
      <c r="D174" s="217" t="s">
        <v>17167</v>
      </c>
      <c r="E174" s="471" t="s">
        <v>20667</v>
      </c>
      <c r="F174" s="482">
        <v>92267</v>
      </c>
      <c r="G174" s="470" t="s">
        <v>20799</v>
      </c>
      <c r="H174" s="482" t="s">
        <v>15515</v>
      </c>
      <c r="I174" s="483">
        <v>2.2799999999999998</v>
      </c>
      <c r="J174" s="473">
        <f t="shared" si="714"/>
        <v>50.18</v>
      </c>
      <c r="K174" s="474">
        <f t="shared" si="725"/>
        <v>114.4104</v>
      </c>
      <c r="L174" s="475">
        <f t="shared" si="716"/>
        <v>50.109999999999999</v>
      </c>
      <c r="M174" s="474">
        <f t="shared" si="726"/>
        <v>114.25079999999998</v>
      </c>
      <c r="O174" s="434">
        <f t="shared" si="723"/>
        <v>50.18</v>
      </c>
      <c r="P174" s="435">
        <f t="shared" si="724"/>
        <v>50.109999999999999</v>
      </c>
      <c r="AE174" s="217"/>
      <c r="AF174" s="217">
        <v>1018</v>
      </c>
      <c r="AH174">
        <f t="shared" si="720"/>
        <v>1018</v>
      </c>
    </row>
    <row r="175" ht="75" hidden="1">
      <c r="A175" s="217"/>
      <c r="B175" s="217">
        <v>1018</v>
      </c>
      <c r="C175" s="217"/>
      <c r="D175" s="217" t="s">
        <v>20398</v>
      </c>
      <c r="E175" s="471" t="s">
        <v>20671</v>
      </c>
      <c r="F175" s="482">
        <v>1065</v>
      </c>
      <c r="G175" s="470" t="s">
        <v>20800</v>
      </c>
      <c r="H175" s="482" t="s">
        <v>15515</v>
      </c>
      <c r="I175" s="483">
        <v>4.96</v>
      </c>
      <c r="J175" s="473">
        <f t="shared" si="714"/>
        <v>104.37038079999999</v>
      </c>
      <c r="K175" s="474">
        <f t="shared" si="725"/>
        <v>517.67708876799998</v>
      </c>
      <c r="L175" s="475">
        <f t="shared" si="716"/>
        <v>101.735</v>
      </c>
      <c r="M175" s="474">
        <f t="shared" si="726"/>
        <v>504.60559999999998</v>
      </c>
      <c r="O175" s="434">
        <f t="shared" si="723"/>
        <v>104.37038079999999</v>
      </c>
      <c r="P175" s="435">
        <f t="shared" si="724"/>
        <v>101.735</v>
      </c>
      <c r="AE175" s="217"/>
      <c r="AF175" s="217">
        <v>1018</v>
      </c>
      <c r="AH175">
        <f t="shared" si="720"/>
        <v>1018</v>
      </c>
    </row>
    <row r="176" ht="75" hidden="1">
      <c r="A176" s="217"/>
      <c r="B176" s="217">
        <v>1018</v>
      </c>
      <c r="C176" s="217"/>
      <c r="D176" s="217" t="s">
        <v>17167</v>
      </c>
      <c r="E176" s="471" t="s">
        <v>20672</v>
      </c>
      <c r="F176" s="482">
        <v>87879</v>
      </c>
      <c r="G176" s="470" t="s">
        <v>20688</v>
      </c>
      <c r="H176" s="482" t="s">
        <v>15515</v>
      </c>
      <c r="I176" s="483">
        <v>9.9199999999999999</v>
      </c>
      <c r="J176" s="473">
        <f t="shared" si="714"/>
        <v>4.5499999999999998</v>
      </c>
      <c r="K176" s="474">
        <f t="shared" si="725"/>
        <v>45.135999999999996</v>
      </c>
      <c r="L176" s="475">
        <f t="shared" si="716"/>
        <v>4.3600000000000003</v>
      </c>
      <c r="M176" s="474">
        <f t="shared" si="726"/>
        <v>43.251200000000004</v>
      </c>
      <c r="O176" s="434">
        <f t="shared" si="723"/>
        <v>4.5499999999999998</v>
      </c>
      <c r="P176" s="435">
        <f t="shared" si="724"/>
        <v>4.3600000000000003</v>
      </c>
      <c r="AE176" s="217"/>
      <c r="AF176" s="217">
        <v>1018</v>
      </c>
      <c r="AH176">
        <f t="shared" si="720"/>
        <v>1018</v>
      </c>
    </row>
    <row r="177" ht="90" hidden="1">
      <c r="A177" s="217"/>
      <c r="B177" s="217">
        <v>1018</v>
      </c>
      <c r="C177" s="217"/>
      <c r="D177" s="217" t="s">
        <v>20398</v>
      </c>
      <c r="E177" s="471" t="s">
        <v>20673</v>
      </c>
      <c r="F177" s="482">
        <v>1001</v>
      </c>
      <c r="G177" s="470" t="s">
        <v>20690</v>
      </c>
      <c r="H177" s="482" t="s">
        <v>15515</v>
      </c>
      <c r="I177" s="483">
        <f>I176</f>
        <v>9.9199999999999999</v>
      </c>
      <c r="J177" s="473">
        <f t="shared" si="714"/>
        <v>44.575159999999997</v>
      </c>
      <c r="K177" s="474">
        <f t="shared" si="725"/>
        <v>442.18558719999999</v>
      </c>
      <c r="L177" s="475">
        <f t="shared" si="716"/>
        <v>43.366774000000007</v>
      </c>
      <c r="M177" s="474">
        <f t="shared" si="726"/>
        <v>430.19839808000006</v>
      </c>
      <c r="O177" s="434">
        <f t="shared" si="723"/>
        <v>44.575159999999997</v>
      </c>
      <c r="P177" s="435">
        <f t="shared" si="724"/>
        <v>43.366774000000007</v>
      </c>
      <c r="AE177" s="217"/>
      <c r="AF177" s="217">
        <v>1018</v>
      </c>
      <c r="AH177">
        <f t="shared" si="720"/>
        <v>1018</v>
      </c>
    </row>
    <row r="178" ht="63" hidden="1">
      <c r="A178" s="460">
        <v>1019</v>
      </c>
      <c r="B178" s="460">
        <v>1019</v>
      </c>
      <c r="C178" s="460"/>
      <c r="D178" s="460"/>
      <c r="E178" s="461">
        <v>1</v>
      </c>
      <c r="F178" s="462" t="s">
        <v>20801</v>
      </c>
      <c r="G178" s="477" t="s">
        <v>20802</v>
      </c>
      <c r="H178" s="478" t="s">
        <v>15383</v>
      </c>
      <c r="I178" s="479"/>
      <c r="J178" s="480"/>
      <c r="K178" s="466">
        <f>SUM(K179:K186)</f>
        <v>28651315.250278</v>
      </c>
      <c r="L178" s="480"/>
      <c r="M178" s="466">
        <f>SUM(M179:M186)</f>
        <v>28651314.161390003</v>
      </c>
      <c r="N178" s="467" t="s">
        <v>20803</v>
      </c>
      <c r="O178" s="434" t="str">
        <f t="shared" si="723"/>
        <v xml:space="preserve">SEM VALOR</v>
      </c>
      <c r="P178" s="435" t="str">
        <f t="shared" si="724"/>
        <v xml:space="preserve">SEM VALOR</v>
      </c>
      <c r="AE178" s="460">
        <v>1019</v>
      </c>
      <c r="AF178" s="460"/>
      <c r="AH178">
        <f t="shared" si="720"/>
        <v>1019</v>
      </c>
    </row>
    <row r="179" hidden="1">
      <c r="A179" s="217"/>
      <c r="B179" s="217">
        <v>1019</v>
      </c>
      <c r="C179" s="217"/>
      <c r="D179" s="217" t="s">
        <v>20408</v>
      </c>
      <c r="E179" s="471" t="s">
        <v>20399</v>
      </c>
      <c r="F179" s="482">
        <v>3777</v>
      </c>
      <c r="G179" s="470" t="s">
        <v>20804</v>
      </c>
      <c r="H179" s="482" t="s">
        <v>15515</v>
      </c>
      <c r="I179" s="483" t="s">
        <v>20805</v>
      </c>
      <c r="J179" s="473">
        <f t="shared" si="714"/>
        <v>2.54</v>
      </c>
      <c r="K179" s="474">
        <f t="shared" ref="K179:K186" si="727">I179*J179</f>
        <v>28651200</v>
      </c>
      <c r="L179" s="475">
        <f t="shared" si="716"/>
        <v>2.54</v>
      </c>
      <c r="M179" s="474">
        <f t="shared" ref="M179:M186" si="728">L179*I179</f>
        <v>28651200</v>
      </c>
      <c r="O179" s="434">
        <f t="shared" si="723"/>
        <v>2.54</v>
      </c>
      <c r="P179" s="435">
        <f t="shared" si="724"/>
        <v>2.54</v>
      </c>
      <c r="AE179" s="217"/>
      <c r="AF179" s="217">
        <v>1019</v>
      </c>
      <c r="AH179">
        <f t="shared" si="720"/>
        <v>1019</v>
      </c>
    </row>
    <row r="180" ht="60" hidden="1">
      <c r="A180" s="217"/>
      <c r="B180" s="217">
        <v>1019</v>
      </c>
      <c r="C180" s="217"/>
      <c r="D180" s="217" t="s">
        <v>20408</v>
      </c>
      <c r="E180" s="471" t="s">
        <v>20402</v>
      </c>
      <c r="F180" s="482">
        <v>4460</v>
      </c>
      <c r="G180" s="470" t="s">
        <v>20806</v>
      </c>
      <c r="H180" s="482" t="s">
        <v>38</v>
      </c>
      <c r="I180" s="483">
        <v>0.25</v>
      </c>
      <c r="J180" s="473">
        <f t="shared" si="714"/>
        <v>10.44</v>
      </c>
      <c r="K180" s="474">
        <f t="shared" si="727"/>
        <v>2.6099999999999999</v>
      </c>
      <c r="L180" s="475">
        <f t="shared" si="716"/>
        <v>10.44</v>
      </c>
      <c r="M180" s="474">
        <f t="shared" si="728"/>
        <v>2.6099999999999999</v>
      </c>
      <c r="O180" s="434">
        <f t="shared" si="723"/>
        <v>10.44</v>
      </c>
      <c r="P180" s="435">
        <f t="shared" si="724"/>
        <v>10.44</v>
      </c>
      <c r="AE180" s="217"/>
      <c r="AF180" s="217">
        <v>1019</v>
      </c>
      <c r="AH180">
        <f t="shared" si="720"/>
        <v>1019</v>
      </c>
    </row>
    <row r="181" ht="45" hidden="1">
      <c r="A181" s="217"/>
      <c r="B181" s="217">
        <v>1019</v>
      </c>
      <c r="C181" s="217"/>
      <c r="D181" s="217" t="s">
        <v>20408</v>
      </c>
      <c r="E181" s="471" t="s">
        <v>20405</v>
      </c>
      <c r="F181" s="482">
        <v>4517</v>
      </c>
      <c r="G181" s="470" t="s">
        <v>20807</v>
      </c>
      <c r="H181" s="482" t="s">
        <v>38</v>
      </c>
      <c r="I181" s="483">
        <v>0.20000000000000001</v>
      </c>
      <c r="J181" s="473">
        <f t="shared" si="714"/>
        <v>2.3900000000000001</v>
      </c>
      <c r="K181" s="474">
        <f t="shared" si="727"/>
        <v>0.47800000000000004</v>
      </c>
      <c r="L181" s="475">
        <f t="shared" si="716"/>
        <v>2.3900000000000001</v>
      </c>
      <c r="M181" s="474">
        <f t="shared" si="728"/>
        <v>0.47800000000000004</v>
      </c>
      <c r="O181" s="434">
        <f t="shared" si="723"/>
        <v>2.3900000000000001</v>
      </c>
      <c r="P181" s="435">
        <f t="shared" si="724"/>
        <v>2.3900000000000001</v>
      </c>
      <c r="AE181" s="217"/>
      <c r="AF181" s="217">
        <v>1019</v>
      </c>
      <c r="AH181">
        <f t="shared" si="720"/>
        <v>1019</v>
      </c>
    </row>
    <row r="182" ht="60" hidden="1">
      <c r="A182" s="217"/>
      <c r="B182" s="217">
        <v>1019</v>
      </c>
      <c r="C182" s="217"/>
      <c r="D182" s="217" t="s">
        <v>20408</v>
      </c>
      <c r="E182" s="471" t="s">
        <v>20409</v>
      </c>
      <c r="F182" s="482">
        <v>7155</v>
      </c>
      <c r="G182" s="470" t="s">
        <v>20808</v>
      </c>
      <c r="H182" s="482" t="s">
        <v>15515</v>
      </c>
      <c r="I182" s="483">
        <v>1.1224000000000001</v>
      </c>
      <c r="J182" s="473">
        <f t="shared" si="714"/>
        <v>17.879999999999999</v>
      </c>
      <c r="K182" s="474">
        <f t="shared" si="727"/>
        <v>20.068511999999998</v>
      </c>
      <c r="L182" s="475">
        <f t="shared" si="716"/>
        <v>17.879999999999999</v>
      </c>
      <c r="M182" s="474">
        <f t="shared" si="728"/>
        <v>20.068511999999998</v>
      </c>
      <c r="O182" s="434">
        <f t="shared" si="723"/>
        <v>17.879999999999999</v>
      </c>
      <c r="P182" s="435">
        <f t="shared" si="724"/>
        <v>17.879999999999999</v>
      </c>
      <c r="AE182" s="217"/>
      <c r="AF182" s="217">
        <v>1019</v>
      </c>
      <c r="AH182">
        <f t="shared" si="720"/>
        <v>1019</v>
      </c>
    </row>
    <row r="183" ht="75" hidden="1">
      <c r="A183" s="217"/>
      <c r="B183" s="217">
        <v>1019</v>
      </c>
      <c r="C183" s="217"/>
      <c r="D183" s="217" t="s">
        <v>20408</v>
      </c>
      <c r="E183" s="471" t="s">
        <v>20663</v>
      </c>
      <c r="F183" s="482">
        <v>38405</v>
      </c>
      <c r="G183" s="470" t="s">
        <v>20809</v>
      </c>
      <c r="H183" s="482" t="s">
        <v>15528</v>
      </c>
      <c r="I183" s="483">
        <v>0.12130000000000001</v>
      </c>
      <c r="J183" s="473">
        <f t="shared" si="714"/>
        <v>597.94000000000005</v>
      </c>
      <c r="K183" s="474">
        <f t="shared" si="727"/>
        <v>72.530122000000006</v>
      </c>
      <c r="L183" s="475">
        <f t="shared" si="716"/>
        <v>597.94000000000005</v>
      </c>
      <c r="M183" s="474">
        <f t="shared" si="728"/>
        <v>72.530122000000006</v>
      </c>
      <c r="O183" s="434">
        <f t="shared" si="723"/>
        <v>597.94000000000005</v>
      </c>
      <c r="P183" s="435">
        <f t="shared" si="724"/>
        <v>597.94000000000005</v>
      </c>
      <c r="AE183" s="217"/>
      <c r="AF183" s="217">
        <v>1019</v>
      </c>
      <c r="AH183">
        <f t="shared" si="720"/>
        <v>1019</v>
      </c>
    </row>
    <row r="184" ht="30" hidden="1">
      <c r="A184" s="217"/>
      <c r="B184" s="217">
        <v>1019</v>
      </c>
      <c r="C184" s="217"/>
      <c r="D184" s="217" t="s">
        <v>17167</v>
      </c>
      <c r="E184" s="471" t="s">
        <v>20665</v>
      </c>
      <c r="F184" s="482">
        <v>88262</v>
      </c>
      <c r="G184" s="470" t="s">
        <v>7127</v>
      </c>
      <c r="H184" s="482" t="s">
        <v>2032</v>
      </c>
      <c r="I184" s="483">
        <v>0.22559999999999999</v>
      </c>
      <c r="J184" s="473">
        <f t="shared" si="714"/>
        <v>27.739999999999998</v>
      </c>
      <c r="K184" s="474">
        <f t="shared" si="727"/>
        <v>6.2581439999999997</v>
      </c>
      <c r="L184" s="475">
        <f t="shared" si="716"/>
        <v>26.129999999999999</v>
      </c>
      <c r="M184" s="474">
        <f t="shared" si="728"/>
        <v>5.8949279999999993</v>
      </c>
      <c r="O184" s="434">
        <f t="shared" si="723"/>
        <v>27.739999999999998</v>
      </c>
      <c r="P184" s="435">
        <f t="shared" si="724"/>
        <v>26.129999999999999</v>
      </c>
      <c r="AE184" s="217"/>
      <c r="AF184" s="217">
        <v>1019</v>
      </c>
      <c r="AH184">
        <f t="shared" si="720"/>
        <v>1019</v>
      </c>
    </row>
    <row r="185" ht="30" hidden="1">
      <c r="A185" s="217"/>
      <c r="B185" s="217">
        <v>1019</v>
      </c>
      <c r="C185" s="217"/>
      <c r="D185" s="217" t="s">
        <v>17167</v>
      </c>
      <c r="E185" s="471" t="s">
        <v>20667</v>
      </c>
      <c r="F185" s="482">
        <v>88309</v>
      </c>
      <c r="G185" s="470" t="s">
        <v>7385</v>
      </c>
      <c r="H185" s="482" t="s">
        <v>2032</v>
      </c>
      <c r="I185" s="483">
        <v>0.15939999999999999</v>
      </c>
      <c r="J185" s="473">
        <f t="shared" si="714"/>
        <v>28.5</v>
      </c>
      <c r="K185" s="474">
        <f t="shared" si="727"/>
        <v>4.5428999999999995</v>
      </c>
      <c r="L185" s="475">
        <f t="shared" si="716"/>
        <v>26.870000000000001</v>
      </c>
      <c r="M185" s="474">
        <f t="shared" si="728"/>
        <v>4.2830779999999997</v>
      </c>
      <c r="O185" s="434">
        <f t="shared" si="723"/>
        <v>28.5</v>
      </c>
      <c r="P185" s="435">
        <f t="shared" si="724"/>
        <v>26.870000000000001</v>
      </c>
      <c r="AE185" s="217"/>
      <c r="AF185" s="217">
        <v>1019</v>
      </c>
      <c r="AH185">
        <f t="shared" si="720"/>
        <v>1019</v>
      </c>
    </row>
    <row r="186" ht="30" hidden="1">
      <c r="A186" s="217"/>
      <c r="B186" s="217">
        <v>1019</v>
      </c>
      <c r="C186" s="217"/>
      <c r="D186" s="217" t="s">
        <v>17167</v>
      </c>
      <c r="E186" s="471" t="s">
        <v>20671</v>
      </c>
      <c r="F186" s="482">
        <v>88316</v>
      </c>
      <c r="G186" s="470" t="s">
        <v>7393</v>
      </c>
      <c r="H186" s="482" t="s">
        <v>2032</v>
      </c>
      <c r="I186" s="483">
        <v>0.38500000000000001</v>
      </c>
      <c r="J186" s="473">
        <f t="shared" si="714"/>
        <v>22.760000000000002</v>
      </c>
      <c r="K186" s="474">
        <f t="shared" si="727"/>
        <v>8.7626000000000008</v>
      </c>
      <c r="L186" s="475">
        <f t="shared" si="716"/>
        <v>21.550000000000001</v>
      </c>
      <c r="M186" s="474">
        <f t="shared" si="728"/>
        <v>8.2967500000000012</v>
      </c>
      <c r="O186" s="434">
        <f t="shared" si="723"/>
        <v>22.760000000000002</v>
      </c>
      <c r="P186" s="435">
        <f t="shared" si="724"/>
        <v>21.550000000000001</v>
      </c>
      <c r="AE186" s="217"/>
      <c r="AF186" s="217">
        <v>1019</v>
      </c>
      <c r="AH186">
        <f t="shared" si="720"/>
        <v>1019</v>
      </c>
    </row>
    <row r="187" ht="47.25" hidden="1">
      <c r="A187" s="460">
        <v>1020</v>
      </c>
      <c r="B187" s="460">
        <v>1020</v>
      </c>
      <c r="C187" s="460"/>
      <c r="D187" s="460"/>
      <c r="E187" s="461">
        <v>1</v>
      </c>
      <c r="F187" s="462" t="s">
        <v>20810</v>
      </c>
      <c r="G187" s="477" t="s">
        <v>20811</v>
      </c>
      <c r="H187" s="478" t="s">
        <v>15528</v>
      </c>
      <c r="I187" s="479"/>
      <c r="J187" s="480"/>
      <c r="K187" s="466">
        <f>SUM(K188:K189)</f>
        <v>29.304120600000001</v>
      </c>
      <c r="L187" s="480"/>
      <c r="M187" s="466">
        <f>SUM(M188:M189)</f>
        <v>28.667281050000003</v>
      </c>
      <c r="O187" s="434" t="str">
        <f t="shared" si="723"/>
        <v xml:space="preserve">SEM VALOR</v>
      </c>
      <c r="P187" s="435" t="str">
        <f t="shared" si="724"/>
        <v xml:space="preserve">SEM VALOR</v>
      </c>
      <c r="AE187" s="460">
        <v>1020</v>
      </c>
      <c r="AF187" s="460"/>
      <c r="AH187">
        <f t="shared" si="720"/>
        <v>1020</v>
      </c>
    </row>
    <row r="188" ht="60" hidden="1">
      <c r="A188" s="217"/>
      <c r="B188" s="217">
        <v>1020</v>
      </c>
      <c r="C188" s="217"/>
      <c r="D188" s="217" t="s">
        <v>17167</v>
      </c>
      <c r="E188" s="471" t="s">
        <v>20399</v>
      </c>
      <c r="F188" s="482">
        <v>94964</v>
      </c>
      <c r="G188" s="470" t="s">
        <v>20686</v>
      </c>
      <c r="H188" s="482" t="s">
        <v>15528</v>
      </c>
      <c r="I188" s="483">
        <v>4.5900000000000003e-002</v>
      </c>
      <c r="J188" s="473">
        <f t="shared" si="714"/>
        <v>488.52999999999997</v>
      </c>
      <c r="K188" s="474">
        <f t="shared" ref="K188:K189" si="729">I188*J188</f>
        <v>22.423527</v>
      </c>
      <c r="L188" s="475">
        <f t="shared" si="716"/>
        <v>482.79000000000002</v>
      </c>
      <c r="M188" s="474">
        <f t="shared" ref="M188:M189" si="730">L188*I188</f>
        <v>22.160061000000002</v>
      </c>
      <c r="O188" s="434">
        <f t="shared" si="723"/>
        <v>488.52999999999997</v>
      </c>
      <c r="P188" s="435">
        <f t="shared" si="724"/>
        <v>482.79000000000002</v>
      </c>
      <c r="AE188" s="217"/>
      <c r="AF188" s="217">
        <v>1020</v>
      </c>
      <c r="AH188">
        <f t="shared" si="720"/>
        <v>1020</v>
      </c>
    </row>
    <row r="189" ht="45" hidden="1">
      <c r="A189" s="217"/>
      <c r="B189" s="217">
        <v>1020</v>
      </c>
      <c r="C189" s="217"/>
      <c r="D189" s="217" t="s">
        <v>20398</v>
      </c>
      <c r="E189" s="471" t="s">
        <v>20402</v>
      </c>
      <c r="F189" s="482">
        <v>1000</v>
      </c>
      <c r="G189" s="470" t="s">
        <v>20651</v>
      </c>
      <c r="H189" s="482" t="s">
        <v>15528</v>
      </c>
      <c r="I189" s="483">
        <f>I188</f>
        <v>4.5900000000000003e-002</v>
      </c>
      <c r="J189" s="473">
        <f t="shared" si="714"/>
        <v>149.904</v>
      </c>
      <c r="K189" s="474">
        <f t="shared" si="729"/>
        <v>6.8805936000000001</v>
      </c>
      <c r="L189" s="475">
        <f t="shared" si="716"/>
        <v>141.76949999999999</v>
      </c>
      <c r="M189" s="474">
        <f t="shared" si="730"/>
        <v>6.5072200499999999</v>
      </c>
      <c r="O189" s="434">
        <f t="shared" si="723"/>
        <v>149.904</v>
      </c>
      <c r="P189" s="435">
        <f t="shared" si="724"/>
        <v>141.76949999999999</v>
      </c>
      <c r="AE189" s="217"/>
      <c r="AF189" s="217">
        <v>1020</v>
      </c>
      <c r="AH189">
        <f t="shared" si="720"/>
        <v>1020</v>
      </c>
    </row>
    <row r="190" ht="94.5" hidden="1">
      <c r="A190" s="460">
        <v>1021</v>
      </c>
      <c r="B190" s="460">
        <v>1021</v>
      </c>
      <c r="C190" s="460"/>
      <c r="D190" s="460"/>
      <c r="E190" s="461">
        <v>1</v>
      </c>
      <c r="F190" s="462" t="s">
        <v>20812</v>
      </c>
      <c r="G190" s="477" t="s">
        <v>20813</v>
      </c>
      <c r="H190" s="478" t="s">
        <v>38</v>
      </c>
      <c r="I190" s="479"/>
      <c r="J190" s="480"/>
      <c r="K190" s="466">
        <f>SUM(K191:K194)</f>
        <v>26.408000000000001</v>
      </c>
      <c r="L190" s="480"/>
      <c r="M190" s="466">
        <f>SUM(M191:M194)</f>
        <v>25.985000000000003</v>
      </c>
      <c r="O190" s="434" t="str">
        <f t="shared" si="723"/>
        <v xml:space="preserve">SEM VALOR</v>
      </c>
      <c r="P190" s="435" t="str">
        <f t="shared" si="724"/>
        <v xml:space="preserve">SEM VALOR</v>
      </c>
      <c r="AE190" s="460">
        <v>1021</v>
      </c>
      <c r="AF190" s="460"/>
      <c r="AH190">
        <f t="shared" si="720"/>
        <v>1021</v>
      </c>
    </row>
    <row r="191" ht="30" hidden="1">
      <c r="A191" s="217"/>
      <c r="B191" s="217">
        <v>1021</v>
      </c>
      <c r="C191" s="217"/>
      <c r="D191" s="217" t="s">
        <v>17167</v>
      </c>
      <c r="E191" s="471" t="s">
        <v>20399</v>
      </c>
      <c r="F191" s="482">
        <v>88256</v>
      </c>
      <c r="G191" s="470" t="s">
        <v>20814</v>
      </c>
      <c r="H191" s="482" t="s">
        <v>2032</v>
      </c>
      <c r="I191" s="483">
        <v>0.14999999999999999</v>
      </c>
      <c r="J191" s="473">
        <f t="shared" si="714"/>
        <v>28.359999999999999</v>
      </c>
      <c r="K191" s="474">
        <f t="shared" ref="K191:K194" si="731">I191*J191</f>
        <v>4.2539999999999996</v>
      </c>
      <c r="L191" s="475">
        <f t="shared" si="716"/>
        <v>26.75</v>
      </c>
      <c r="M191" s="474">
        <f t="shared" ref="M191:M194" si="732">L191*I191</f>
        <v>4.0125000000000002</v>
      </c>
      <c r="O191" s="434">
        <f t="shared" si="723"/>
        <v>28.359999999999999</v>
      </c>
      <c r="P191" s="435">
        <f t="shared" si="724"/>
        <v>26.75</v>
      </c>
      <c r="AE191" s="217"/>
      <c r="AF191" s="217">
        <v>1021</v>
      </c>
      <c r="AH191">
        <f t="shared" si="720"/>
        <v>1021</v>
      </c>
    </row>
    <row r="192" ht="30" hidden="1">
      <c r="A192" s="217"/>
      <c r="B192" s="217">
        <v>1021</v>
      </c>
      <c r="C192" s="217"/>
      <c r="D192" s="217" t="s">
        <v>17167</v>
      </c>
      <c r="E192" s="471" t="s">
        <v>20402</v>
      </c>
      <c r="F192" s="482">
        <v>88316</v>
      </c>
      <c r="G192" s="470" t="s">
        <v>7393</v>
      </c>
      <c r="H192" s="482" t="s">
        <v>2032</v>
      </c>
      <c r="I192" s="483">
        <v>0.14999999999999999</v>
      </c>
      <c r="J192" s="473">
        <f t="shared" si="714"/>
        <v>22.760000000000002</v>
      </c>
      <c r="K192" s="474">
        <f t="shared" si="731"/>
        <v>3.4140000000000001</v>
      </c>
      <c r="L192" s="475">
        <f t="shared" si="716"/>
        <v>21.550000000000001</v>
      </c>
      <c r="M192" s="474">
        <f t="shared" si="732"/>
        <v>3.2324999999999999</v>
      </c>
      <c r="O192" s="434">
        <f t="shared" si="723"/>
        <v>22.760000000000002</v>
      </c>
      <c r="P192" s="435">
        <f t="shared" si="724"/>
        <v>21.550000000000001</v>
      </c>
      <c r="AE192" s="217"/>
      <c r="AF192" s="217">
        <v>1021</v>
      </c>
      <c r="AH192">
        <f t="shared" si="720"/>
        <v>1021</v>
      </c>
    </row>
    <row r="193" ht="60" hidden="1">
      <c r="A193" s="217"/>
      <c r="B193" s="217">
        <v>1021</v>
      </c>
      <c r="C193" s="217"/>
      <c r="D193" s="217" t="s">
        <v>20453</v>
      </c>
      <c r="E193" s="471" t="s">
        <v>20405</v>
      </c>
      <c r="F193" s="482" t="s">
        <v>20058</v>
      </c>
      <c r="G193" s="470" t="s">
        <v>20815</v>
      </c>
      <c r="H193" s="482" t="s">
        <v>31</v>
      </c>
      <c r="I193" s="483">
        <v>4.2000000000000002</v>
      </c>
      <c r="J193" s="473">
        <f t="shared" si="714"/>
        <v>4.2000000000000002</v>
      </c>
      <c r="K193" s="474">
        <f t="shared" si="731"/>
        <v>17.640000000000001</v>
      </c>
      <c r="L193" s="475">
        <f t="shared" si="716"/>
        <v>4.2000000000000002</v>
      </c>
      <c r="M193" s="474">
        <f t="shared" si="732"/>
        <v>17.640000000000001</v>
      </c>
      <c r="O193" s="434">
        <f t="shared" si="723"/>
        <v>4.2000000000000002</v>
      </c>
      <c r="P193" s="435">
        <f t="shared" si="724"/>
        <v>4.2000000000000002</v>
      </c>
      <c r="AE193" s="217"/>
      <c r="AF193" s="217">
        <v>1021</v>
      </c>
      <c r="AH193">
        <f t="shared" si="720"/>
        <v>1021</v>
      </c>
    </row>
    <row r="194" ht="30" hidden="1">
      <c r="A194" s="217"/>
      <c r="B194" s="217">
        <v>1021</v>
      </c>
      <c r="C194" s="217"/>
      <c r="D194" s="217" t="s">
        <v>20408</v>
      </c>
      <c r="E194" s="471" t="s">
        <v>20409</v>
      </c>
      <c r="F194" s="482">
        <v>1381</v>
      </c>
      <c r="G194" s="470" t="s">
        <v>10770</v>
      </c>
      <c r="H194" s="482" t="s">
        <v>302</v>
      </c>
      <c r="I194" s="483">
        <v>1.1000000000000001</v>
      </c>
      <c r="J194" s="473">
        <f t="shared" si="714"/>
        <v>1</v>
      </c>
      <c r="K194" s="474">
        <f t="shared" si="731"/>
        <v>1.1000000000000001</v>
      </c>
      <c r="L194" s="475">
        <f t="shared" si="716"/>
        <v>1</v>
      </c>
      <c r="M194" s="474">
        <f t="shared" si="732"/>
        <v>1.1000000000000001</v>
      </c>
      <c r="O194" s="434">
        <f t="shared" si="723"/>
        <v>1</v>
      </c>
      <c r="P194" s="435">
        <f t="shared" si="724"/>
        <v>1</v>
      </c>
      <c r="AE194" s="217"/>
      <c r="AF194" s="217">
        <v>1021</v>
      </c>
      <c r="AH194">
        <f t="shared" si="720"/>
        <v>1021</v>
      </c>
    </row>
    <row r="195" ht="94.5" hidden="1">
      <c r="A195" s="460">
        <v>1022</v>
      </c>
      <c r="B195" s="460">
        <v>1022</v>
      </c>
      <c r="C195" s="460"/>
      <c r="D195" s="460"/>
      <c r="E195" s="461" t="s">
        <v>20816</v>
      </c>
      <c r="F195" s="462" t="s">
        <v>20817</v>
      </c>
      <c r="G195" s="477" t="s">
        <v>20818</v>
      </c>
      <c r="H195" s="478" t="s">
        <v>38</v>
      </c>
      <c r="I195" s="479"/>
      <c r="J195" s="480"/>
      <c r="K195" s="466">
        <f>SUM(K196:K199)</f>
        <v>26.408000000000001</v>
      </c>
      <c r="L195" s="480"/>
      <c r="M195" s="466">
        <f>SUM(M196:M199)</f>
        <v>25.985000000000003</v>
      </c>
      <c r="O195" s="434" t="str">
        <f t="shared" si="723"/>
        <v xml:space="preserve">SEM VALOR</v>
      </c>
      <c r="P195" s="435" t="str">
        <f t="shared" si="724"/>
        <v xml:space="preserve">SEM VALOR</v>
      </c>
      <c r="AE195" s="460">
        <v>1022</v>
      </c>
      <c r="AF195" s="460"/>
      <c r="AH195">
        <f t="shared" si="720"/>
        <v>1022</v>
      </c>
    </row>
    <row r="196" ht="30" hidden="1">
      <c r="A196" s="217"/>
      <c r="B196" s="217">
        <v>1022</v>
      </c>
      <c r="C196" s="217"/>
      <c r="D196" s="217" t="s">
        <v>17167</v>
      </c>
      <c r="E196" s="471" t="s">
        <v>20399</v>
      </c>
      <c r="F196" s="482">
        <v>88256</v>
      </c>
      <c r="G196" s="470" t="s">
        <v>20814</v>
      </c>
      <c r="H196" s="482" t="s">
        <v>2032</v>
      </c>
      <c r="I196" s="483">
        <v>0.14999999999999999</v>
      </c>
      <c r="J196" s="473">
        <f t="shared" si="714"/>
        <v>28.359999999999999</v>
      </c>
      <c r="K196" s="474">
        <f t="shared" ref="K196:K199" si="733">I196*J196</f>
        <v>4.2539999999999996</v>
      </c>
      <c r="L196" s="475">
        <f t="shared" si="716"/>
        <v>26.75</v>
      </c>
      <c r="M196" s="474">
        <f t="shared" ref="M196:M199" si="734">L196*I196</f>
        <v>4.0125000000000002</v>
      </c>
      <c r="O196" s="434">
        <f t="shared" si="723"/>
        <v>28.359999999999999</v>
      </c>
      <c r="P196" s="435">
        <f t="shared" si="724"/>
        <v>26.75</v>
      </c>
      <c r="AE196" s="217"/>
      <c r="AF196" s="217">
        <v>1022</v>
      </c>
      <c r="AH196">
        <f t="shared" si="720"/>
        <v>1022</v>
      </c>
    </row>
    <row r="197" ht="30" hidden="1">
      <c r="A197" s="217"/>
      <c r="B197" s="217">
        <v>1022</v>
      </c>
      <c r="C197" s="217"/>
      <c r="D197" s="217" t="s">
        <v>17167</v>
      </c>
      <c r="E197" s="471" t="s">
        <v>20402</v>
      </c>
      <c r="F197" s="482">
        <v>88316</v>
      </c>
      <c r="G197" s="470" t="s">
        <v>7393</v>
      </c>
      <c r="H197" s="482" t="s">
        <v>2032</v>
      </c>
      <c r="I197" s="483">
        <v>0.14999999999999999</v>
      </c>
      <c r="J197" s="473">
        <f t="shared" si="714"/>
        <v>22.760000000000002</v>
      </c>
      <c r="K197" s="474">
        <f t="shared" si="733"/>
        <v>3.4140000000000001</v>
      </c>
      <c r="L197" s="475">
        <f t="shared" si="716"/>
        <v>21.550000000000001</v>
      </c>
      <c r="M197" s="474">
        <f t="shared" si="734"/>
        <v>3.2324999999999999</v>
      </c>
      <c r="O197" s="434">
        <f t="shared" si="723"/>
        <v>22.760000000000002</v>
      </c>
      <c r="P197" s="435">
        <f t="shared" si="724"/>
        <v>21.550000000000001</v>
      </c>
      <c r="AE197" s="217"/>
      <c r="AF197" s="217">
        <v>1022</v>
      </c>
      <c r="AH197">
        <f t="shared" si="720"/>
        <v>1022</v>
      </c>
    </row>
    <row r="198" ht="60" hidden="1">
      <c r="A198" s="217"/>
      <c r="B198" s="217">
        <v>1022</v>
      </c>
      <c r="C198" s="217"/>
      <c r="D198" s="217" t="s">
        <v>20453</v>
      </c>
      <c r="E198" s="471" t="s">
        <v>20405</v>
      </c>
      <c r="F198" s="482" t="s">
        <v>20058</v>
      </c>
      <c r="G198" s="470" t="s">
        <v>20815</v>
      </c>
      <c r="H198" s="482" t="s">
        <v>31</v>
      </c>
      <c r="I198" s="483">
        <v>4.2000000000000002</v>
      </c>
      <c r="J198" s="473">
        <f t="shared" si="714"/>
        <v>4.2000000000000002</v>
      </c>
      <c r="K198" s="474">
        <f t="shared" si="733"/>
        <v>17.640000000000001</v>
      </c>
      <c r="L198" s="475">
        <f t="shared" si="716"/>
        <v>4.2000000000000002</v>
      </c>
      <c r="M198" s="474">
        <f t="shared" si="734"/>
        <v>17.640000000000001</v>
      </c>
      <c r="O198" s="434">
        <f t="shared" si="723"/>
        <v>4.2000000000000002</v>
      </c>
      <c r="P198" s="435">
        <f t="shared" si="724"/>
        <v>4.2000000000000002</v>
      </c>
      <c r="AE198" s="217"/>
      <c r="AF198" s="217">
        <v>1022</v>
      </c>
      <c r="AH198">
        <f t="shared" si="720"/>
        <v>1022</v>
      </c>
    </row>
    <row r="199" ht="30" hidden="1">
      <c r="A199" s="217"/>
      <c r="B199" s="217">
        <v>1022</v>
      </c>
      <c r="C199" s="217"/>
      <c r="D199" s="217" t="s">
        <v>20408</v>
      </c>
      <c r="E199" s="471" t="s">
        <v>20409</v>
      </c>
      <c r="F199" s="482">
        <v>1381</v>
      </c>
      <c r="G199" s="470" t="s">
        <v>10770</v>
      </c>
      <c r="H199" s="482" t="s">
        <v>302</v>
      </c>
      <c r="I199" s="483">
        <v>1.1000000000000001</v>
      </c>
      <c r="J199" s="473">
        <f t="shared" si="714"/>
        <v>1</v>
      </c>
      <c r="K199" s="474">
        <f t="shared" si="733"/>
        <v>1.1000000000000001</v>
      </c>
      <c r="L199" s="475">
        <f t="shared" si="716"/>
        <v>1</v>
      </c>
      <c r="M199" s="474">
        <f t="shared" si="734"/>
        <v>1.1000000000000001</v>
      </c>
      <c r="O199" s="434">
        <f t="shared" si="723"/>
        <v>1</v>
      </c>
      <c r="P199" s="435">
        <f t="shared" si="724"/>
        <v>1</v>
      </c>
      <c r="AE199" s="217"/>
      <c r="AF199" s="217">
        <v>1022</v>
      </c>
      <c r="AH199">
        <f t="shared" si="720"/>
        <v>1022</v>
      </c>
    </row>
    <row r="200" ht="70.5" customHeight="1">
      <c r="A200" s="490">
        <v>1023</v>
      </c>
      <c r="B200" s="460">
        <v>1023</v>
      </c>
      <c r="C200" s="460"/>
      <c r="D200" s="460"/>
      <c r="E200" s="461">
        <v>1</v>
      </c>
      <c r="F200" s="462" t="s">
        <v>20478</v>
      </c>
      <c r="G200" s="477" t="s">
        <v>20819</v>
      </c>
      <c r="H200" s="478" t="s">
        <v>9591</v>
      </c>
      <c r="I200" s="479"/>
      <c r="J200" s="480"/>
      <c r="K200" s="466">
        <f>K208</f>
        <v>45.640000000000001</v>
      </c>
      <c r="L200" s="491"/>
      <c r="M200" s="492">
        <f>SUM(M201:M203)</f>
        <v>251.1045</v>
      </c>
      <c r="N200" s="493"/>
      <c r="O200" s="434" t="str">
        <f t="shared" si="723"/>
        <v xml:space="preserve">SEM VALOR</v>
      </c>
      <c r="P200" s="435" t="str">
        <f t="shared" si="724"/>
        <v xml:space="preserve">SEM VALOR</v>
      </c>
      <c r="AE200" s="490">
        <v>1023</v>
      </c>
      <c r="AF200" s="490"/>
      <c r="AH200">
        <f t="shared" si="720"/>
        <v>1023</v>
      </c>
    </row>
    <row r="201" ht="90">
      <c r="A201" s="217"/>
      <c r="B201" s="217">
        <v>1023</v>
      </c>
      <c r="C201" s="217"/>
      <c r="D201" s="217" t="s">
        <v>17167</v>
      </c>
      <c r="E201" s="471" t="s">
        <v>20399</v>
      </c>
      <c r="F201" s="482">
        <v>5684</v>
      </c>
      <c r="G201" s="470" t="s">
        <v>20820</v>
      </c>
      <c r="H201" s="482" t="s">
        <v>1535</v>
      </c>
      <c r="I201" s="483">
        <v>0.34999999999999998</v>
      </c>
      <c r="J201" s="473">
        <f t="shared" si="714"/>
        <v>164.22</v>
      </c>
      <c r="K201" s="474">
        <f>TRUNC(I201*J201,2)</f>
        <v>57.469999999999999</v>
      </c>
      <c r="L201" s="475">
        <f t="shared" si="716"/>
        <v>162.52000000000001</v>
      </c>
      <c r="M201" s="474">
        <f t="shared" ref="M201:M203" si="735">L201*I201</f>
        <v>56.881999999999998</v>
      </c>
      <c r="N201" s="493" t="s">
        <v>20821</v>
      </c>
      <c r="O201" s="434">
        <f t="shared" si="723"/>
        <v>164.22</v>
      </c>
      <c r="P201" s="435">
        <f t="shared" si="724"/>
        <v>162.52000000000001</v>
      </c>
      <c r="AE201" s="217"/>
      <c r="AF201" s="217">
        <v>1023</v>
      </c>
      <c r="AH201">
        <f t="shared" si="720"/>
        <v>1023</v>
      </c>
    </row>
    <row r="202" ht="90">
      <c r="A202" s="217"/>
      <c r="B202" s="217">
        <v>1023</v>
      </c>
      <c r="C202" s="217"/>
      <c r="D202" s="217" t="s">
        <v>17167</v>
      </c>
      <c r="E202" s="471" t="s">
        <v>20402</v>
      </c>
      <c r="F202" s="482">
        <v>5685</v>
      </c>
      <c r="G202" s="470" t="s">
        <v>20822</v>
      </c>
      <c r="H202" s="482" t="s">
        <v>1533</v>
      </c>
      <c r="I202" s="483">
        <v>0.34999999999999998</v>
      </c>
      <c r="J202" s="473">
        <f t="shared" si="714"/>
        <v>64.049999999999997</v>
      </c>
      <c r="K202" s="474">
        <f>TRUNC(I202*J202,2)</f>
        <v>22.41</v>
      </c>
      <c r="L202" s="475">
        <f t="shared" si="716"/>
        <v>62.350000000000001</v>
      </c>
      <c r="M202" s="474">
        <f t="shared" si="735"/>
        <v>21.822499999999998</v>
      </c>
      <c r="O202" s="434">
        <f t="shared" si="723"/>
        <v>64.049999999999997</v>
      </c>
      <c r="P202" s="435">
        <f t="shared" si="724"/>
        <v>62.350000000000001</v>
      </c>
      <c r="R202" s="494" t="s">
        <v>20823</v>
      </c>
      <c r="U202" s="494" t="s">
        <v>20824</v>
      </c>
      <c r="AE202" s="217"/>
      <c r="AF202" s="217">
        <v>1023</v>
      </c>
      <c r="AH202">
        <f t="shared" si="720"/>
        <v>1023</v>
      </c>
    </row>
    <row r="203" ht="30" customHeight="1">
      <c r="A203" s="217"/>
      <c r="B203" s="217">
        <v>1023</v>
      </c>
      <c r="C203" s="217"/>
      <c r="D203" s="217" t="s">
        <v>17167</v>
      </c>
      <c r="E203" s="471" t="s">
        <v>20405</v>
      </c>
      <c r="F203" s="482">
        <v>88316</v>
      </c>
      <c r="G203" s="470" t="s">
        <v>7393</v>
      </c>
      <c r="H203" s="482" t="s">
        <v>2032</v>
      </c>
      <c r="I203" s="483">
        <v>8</v>
      </c>
      <c r="J203" s="473">
        <f t="shared" ref="J203:J266" si="736">O203*$J$3</f>
        <v>22.760000000000002</v>
      </c>
      <c r="K203" s="474">
        <f>TRUNC(I203*J203,2)</f>
        <v>182.08000000000001</v>
      </c>
      <c r="L203" s="475">
        <f t="shared" ref="L203:L266" si="737">P203*$L$3</f>
        <v>21.550000000000001</v>
      </c>
      <c r="M203" s="474">
        <f t="shared" si="735"/>
        <v>172.40000000000001</v>
      </c>
      <c r="O203" s="434">
        <f t="shared" si="723"/>
        <v>22.760000000000002</v>
      </c>
      <c r="P203" s="435">
        <f t="shared" si="724"/>
        <v>21.550000000000001</v>
      </c>
      <c r="R203" s="495" t="s">
        <v>20825</v>
      </c>
      <c r="S203" s="496">
        <f>K207</f>
        <v>116.42</v>
      </c>
      <c r="U203" s="497">
        <f>K207</f>
        <v>116.42</v>
      </c>
      <c r="AE203" s="217"/>
      <c r="AF203" s="217">
        <v>1023</v>
      </c>
      <c r="AH203">
        <f>IF(AF203:AF209=FALSE,AE203,AF203)</f>
        <v>1023</v>
      </c>
    </row>
    <row r="204">
      <c r="A204" s="217"/>
      <c r="B204" s="217">
        <v>1023</v>
      </c>
      <c r="C204" s="217"/>
      <c r="D204" s="217"/>
      <c r="E204" s="471"/>
      <c r="F204" s="482"/>
      <c r="G204" s="498" t="s">
        <v>20826</v>
      </c>
      <c r="H204" s="499"/>
      <c r="I204" s="483"/>
      <c r="J204" s="473"/>
      <c r="K204" s="474">
        <f>K201+K202</f>
        <v>79.879999999999995</v>
      </c>
      <c r="L204" s="475"/>
      <c r="M204" s="474"/>
      <c r="R204" s="495" t="s">
        <v>20827</v>
      </c>
      <c r="S204" s="496">
        <v>2.5499999999999998</v>
      </c>
      <c r="U204" s="497">
        <v>2.5499999999999998</v>
      </c>
      <c r="AE204" s="217"/>
      <c r="AF204" s="217"/>
    </row>
    <row r="205">
      <c r="A205" s="217"/>
      <c r="B205" s="217">
        <v>1023</v>
      </c>
      <c r="C205" s="217"/>
      <c r="D205" s="217"/>
      <c r="E205" s="471"/>
      <c r="F205" s="482"/>
      <c r="G205" s="498" t="s">
        <v>20828</v>
      </c>
      <c r="H205" s="499"/>
      <c r="I205" s="483"/>
      <c r="J205" s="473"/>
      <c r="K205" s="474">
        <f>K203</f>
        <v>182.08000000000001</v>
      </c>
      <c r="L205" s="475"/>
      <c r="M205" s="474"/>
      <c r="U205" s="500">
        <f>U203/U204</f>
        <v>45.654901960784315</v>
      </c>
      <c r="AE205" s="217"/>
      <c r="AF205" s="217"/>
    </row>
    <row r="206">
      <c r="A206" s="217"/>
      <c r="B206" s="217">
        <v>1023</v>
      </c>
      <c r="C206" s="217"/>
      <c r="D206" s="217"/>
      <c r="E206" s="471"/>
      <c r="F206" s="482"/>
      <c r="G206" s="498" t="s">
        <v>20829</v>
      </c>
      <c r="H206" s="499"/>
      <c r="I206" s="483"/>
      <c r="J206" s="473"/>
      <c r="K206" s="474">
        <f>TRUNC(K204+K205,2)</f>
        <v>261.95999999999998</v>
      </c>
      <c r="L206" s="475"/>
      <c r="M206" s="474"/>
      <c r="AE206" s="217"/>
      <c r="AF206" s="217"/>
    </row>
    <row r="207">
      <c r="A207" s="217"/>
      <c r="B207" s="217">
        <v>1023</v>
      </c>
      <c r="C207" s="217"/>
      <c r="D207" s="217"/>
      <c r="E207" s="471"/>
      <c r="F207" s="482"/>
      <c r="G207" s="498" t="s">
        <v>20830</v>
      </c>
      <c r="H207" s="499"/>
      <c r="I207" s="483"/>
      <c r="J207" s="473"/>
      <c r="K207" s="474">
        <f>TRUNC(K206/2.25,2)</f>
        <v>116.42</v>
      </c>
      <c r="L207" s="475"/>
      <c r="M207" s="474"/>
      <c r="AE207" s="217"/>
      <c r="AF207" s="217"/>
    </row>
    <row r="208">
      <c r="A208" s="217"/>
      <c r="B208" s="217">
        <v>1023</v>
      </c>
      <c r="C208" s="217"/>
      <c r="D208" s="217"/>
      <c r="E208" s="471"/>
      <c r="F208" s="482"/>
      <c r="G208" s="501" t="s">
        <v>20831</v>
      </c>
      <c r="H208" s="499"/>
      <c r="I208" s="483"/>
      <c r="J208" s="473"/>
      <c r="K208" s="502">
        <f>TRUNC(K207/2.5505,2)</f>
        <v>45.640000000000001</v>
      </c>
      <c r="L208" s="475"/>
      <c r="M208" s="474"/>
      <c r="AE208" s="217"/>
      <c r="AF208" s="217"/>
    </row>
    <row r="209" ht="110.25" hidden="1">
      <c r="A209" s="460">
        <v>1024</v>
      </c>
      <c r="B209" s="460">
        <v>1024</v>
      </c>
      <c r="C209" s="460"/>
      <c r="D209" s="460"/>
      <c r="E209" s="461">
        <v>1</v>
      </c>
      <c r="F209" s="462" t="s">
        <v>20832</v>
      </c>
      <c r="G209" s="477" t="s">
        <v>20833</v>
      </c>
      <c r="H209" s="478" t="s">
        <v>20647</v>
      </c>
      <c r="I209" s="479"/>
      <c r="J209" s="480"/>
      <c r="K209" s="466">
        <f>SUM(K210:K221)</f>
        <v>1456.1704099999997</v>
      </c>
      <c r="L209" s="480"/>
      <c r="M209" s="466">
        <f>SUM(M210:M221)</f>
        <v>1416.0391839007418</v>
      </c>
      <c r="O209" s="434" t="str">
        <f t="shared" si="723"/>
        <v xml:space="preserve">SEM VALOR</v>
      </c>
      <c r="P209" s="435" t="str">
        <f t="shared" si="724"/>
        <v xml:space="preserve">SEM VALOR</v>
      </c>
      <c r="AE209" s="460">
        <v>1024</v>
      </c>
      <c r="AF209" s="460"/>
      <c r="AH209">
        <f t="shared" si="720"/>
        <v>1024</v>
      </c>
    </row>
    <row r="210" ht="30" hidden="1">
      <c r="A210" s="217"/>
      <c r="B210" s="217">
        <v>1024</v>
      </c>
      <c r="C210" s="217"/>
      <c r="D210" s="217" t="s">
        <v>20398</v>
      </c>
      <c r="E210" s="471" t="s">
        <v>20399</v>
      </c>
      <c r="F210" s="482">
        <v>1003</v>
      </c>
      <c r="G210" s="470" t="s">
        <v>20659</v>
      </c>
      <c r="H210" s="482" t="s">
        <v>20647</v>
      </c>
      <c r="I210" s="483">
        <v>1</v>
      </c>
      <c r="J210" s="473">
        <f t="shared" si="736"/>
        <v>654.70647199999996</v>
      </c>
      <c r="K210" s="474">
        <f t="shared" ref="K210:K221" si="738">I210*J210</f>
        <v>654.70647199999996</v>
      </c>
      <c r="L210" s="475">
        <f t="shared" si="737"/>
        <v>633.82447200000001</v>
      </c>
      <c r="M210" s="474">
        <f t="shared" ref="M210:M221" si="739">L210*I210</f>
        <v>633.82447200000001</v>
      </c>
      <c r="O210" s="434">
        <f t="shared" si="723"/>
        <v>654.70647199999996</v>
      </c>
      <c r="P210" s="435">
        <f t="shared" si="724"/>
        <v>633.82447200000001</v>
      </c>
      <c r="AE210" s="217"/>
      <c r="AF210" s="217">
        <v>1024</v>
      </c>
      <c r="AH210">
        <f t="shared" si="720"/>
        <v>1024</v>
      </c>
    </row>
    <row r="211" ht="60" hidden="1">
      <c r="A211" s="217"/>
      <c r="B211" s="217">
        <v>1024</v>
      </c>
      <c r="C211" s="217"/>
      <c r="D211" s="217" t="s">
        <v>20398</v>
      </c>
      <c r="E211" s="471" t="s">
        <v>20402</v>
      </c>
      <c r="F211" s="482">
        <v>1258</v>
      </c>
      <c r="G211" s="470" t="s">
        <v>20660</v>
      </c>
      <c r="H211" s="482" t="s">
        <v>15515</v>
      </c>
      <c r="I211" s="483">
        <v>2.6000000000000001</v>
      </c>
      <c r="J211" s="473">
        <f t="shared" si="736"/>
        <v>7.5700000000000003</v>
      </c>
      <c r="K211" s="474">
        <f t="shared" si="738"/>
        <v>19.682000000000002</v>
      </c>
      <c r="L211" s="475">
        <f t="shared" si="737"/>
        <v>7.1846199999999998</v>
      </c>
      <c r="M211" s="474">
        <f t="shared" si="739"/>
        <v>18.680012000000001</v>
      </c>
      <c r="O211" s="434">
        <f t="shared" si="723"/>
        <v>7.5700000000000003</v>
      </c>
      <c r="P211" s="435">
        <f t="shared" si="724"/>
        <v>7.1846199999999998</v>
      </c>
      <c r="AE211" s="217"/>
      <c r="AF211" s="217">
        <v>1024</v>
      </c>
      <c r="AH211">
        <f t="shared" si="720"/>
        <v>1024</v>
      </c>
    </row>
    <row r="212" ht="45" hidden="1">
      <c r="A212" s="217"/>
      <c r="B212" s="217">
        <v>1024</v>
      </c>
      <c r="C212" s="217"/>
      <c r="D212" s="217" t="s">
        <v>20398</v>
      </c>
      <c r="E212" s="471" t="s">
        <v>20405</v>
      </c>
      <c r="F212" s="482">
        <v>1259</v>
      </c>
      <c r="G212" s="470" t="s">
        <v>20796</v>
      </c>
      <c r="H212" s="482" t="s">
        <v>15528</v>
      </c>
      <c r="I212" s="483">
        <v>0.77000000000000002</v>
      </c>
      <c r="J212" s="473">
        <f t="shared" si="736"/>
        <v>45.520000000000003</v>
      </c>
      <c r="K212" s="474">
        <f t="shared" si="738"/>
        <v>35.050400000000003</v>
      </c>
      <c r="L212" s="475">
        <f t="shared" si="737"/>
        <v>43.100000000000001</v>
      </c>
      <c r="M212" s="474">
        <f t="shared" si="739"/>
        <v>33.187000000000005</v>
      </c>
      <c r="O212" s="434">
        <f t="shared" si="723"/>
        <v>45.520000000000003</v>
      </c>
      <c r="P212" s="435">
        <f t="shared" si="724"/>
        <v>43.100000000000001</v>
      </c>
      <c r="AE212" s="217"/>
      <c r="AF212" s="217">
        <v>1024</v>
      </c>
      <c r="AH212">
        <f t="shared" si="720"/>
        <v>1024</v>
      </c>
    </row>
    <row r="213" ht="75" hidden="1">
      <c r="A213" s="217"/>
      <c r="B213" s="217">
        <v>1024</v>
      </c>
      <c r="C213" s="217"/>
      <c r="D213" s="217" t="s">
        <v>20398</v>
      </c>
      <c r="E213" s="471" t="s">
        <v>20409</v>
      </c>
      <c r="F213" s="482">
        <v>1267</v>
      </c>
      <c r="G213" s="470" t="s">
        <v>20662</v>
      </c>
      <c r="H213" s="482" t="s">
        <v>38</v>
      </c>
      <c r="I213" s="483">
        <v>7.0800000000000001</v>
      </c>
      <c r="J213" s="473">
        <f t="shared" si="736"/>
        <v>3.2499999999999996</v>
      </c>
      <c r="K213" s="474">
        <f t="shared" si="738"/>
        <v>23.009999999999998</v>
      </c>
      <c r="L213" s="475">
        <f t="shared" si="737"/>
        <v>3.1657000000000002</v>
      </c>
      <c r="M213" s="474">
        <f t="shared" si="739"/>
        <v>22.413156000000001</v>
      </c>
      <c r="O213" s="434">
        <f t="shared" si="723"/>
        <v>3.2499999999999996</v>
      </c>
      <c r="P213" s="435">
        <f t="shared" si="724"/>
        <v>3.1657000000000002</v>
      </c>
      <c r="AE213" s="217"/>
      <c r="AF213" s="217">
        <v>1024</v>
      </c>
      <c r="AH213">
        <f t="shared" si="720"/>
        <v>1024</v>
      </c>
    </row>
    <row r="214" ht="75" hidden="1">
      <c r="A214" s="217"/>
      <c r="B214" s="217">
        <v>1024</v>
      </c>
      <c r="C214" s="217"/>
      <c r="D214" s="217" t="s">
        <v>20398</v>
      </c>
      <c r="E214" s="471" t="s">
        <v>20663</v>
      </c>
      <c r="F214" s="482">
        <v>1270</v>
      </c>
      <c r="G214" s="470" t="s">
        <v>20664</v>
      </c>
      <c r="H214" s="482" t="s">
        <v>15528</v>
      </c>
      <c r="I214" s="483">
        <f>2.38*0.18</f>
        <v>0.4284</v>
      </c>
      <c r="J214" s="473">
        <f t="shared" si="736"/>
        <v>19.439999999999998</v>
      </c>
      <c r="K214" s="474">
        <f t="shared" si="738"/>
        <v>8.3280959999999986</v>
      </c>
      <c r="L214" s="475">
        <f t="shared" si="737"/>
        <v>18.886704505000001</v>
      </c>
      <c r="M214" s="474">
        <f t="shared" si="739"/>
        <v>8.0910642099420009</v>
      </c>
      <c r="O214" s="434">
        <f t="shared" si="723"/>
        <v>19.439999999999998</v>
      </c>
      <c r="P214" s="435">
        <f t="shared" si="724"/>
        <v>18.886704505000001</v>
      </c>
      <c r="AE214" s="217"/>
      <c r="AF214" s="217">
        <v>1024</v>
      </c>
      <c r="AH214">
        <f t="shared" si="720"/>
        <v>1024</v>
      </c>
    </row>
    <row r="215" ht="105" hidden="1">
      <c r="A215" s="217"/>
      <c r="B215" s="217">
        <v>1024</v>
      </c>
      <c r="C215" s="217"/>
      <c r="D215" s="217" t="s">
        <v>20398</v>
      </c>
      <c r="E215" s="471" t="s">
        <v>20665</v>
      </c>
      <c r="F215" s="482">
        <v>1092</v>
      </c>
      <c r="G215" s="470" t="s">
        <v>20666</v>
      </c>
      <c r="H215" s="482" t="s">
        <v>15528</v>
      </c>
      <c r="I215" s="483">
        <f>1.3*I214</f>
        <v>0.55691999999999997</v>
      </c>
      <c r="J215" s="473">
        <f t="shared" si="736"/>
        <v>2.2000000000000002</v>
      </c>
      <c r="K215" s="474">
        <f t="shared" si="738"/>
        <v>1.2252240000000001</v>
      </c>
      <c r="L215" s="475">
        <f t="shared" si="737"/>
        <v>2.1879900000000001</v>
      </c>
      <c r="M215" s="474">
        <f t="shared" si="739"/>
        <v>1.2185353908000001</v>
      </c>
      <c r="O215" s="434">
        <f t="shared" si="723"/>
        <v>2.2000000000000002</v>
      </c>
      <c r="P215" s="435">
        <f t="shared" si="724"/>
        <v>2.1879900000000001</v>
      </c>
      <c r="AE215" s="217"/>
      <c r="AF215" s="217">
        <v>1024</v>
      </c>
      <c r="AH215">
        <f t="shared" si="720"/>
        <v>1024</v>
      </c>
    </row>
    <row r="216" ht="60" hidden="1">
      <c r="A216" s="217"/>
      <c r="B216" s="217">
        <v>1024</v>
      </c>
      <c r="C216" s="217"/>
      <c r="D216" s="217" t="s">
        <v>17167</v>
      </c>
      <c r="E216" s="471" t="s">
        <v>20667</v>
      </c>
      <c r="F216" s="482">
        <v>95875</v>
      </c>
      <c r="G216" s="470" t="s">
        <v>20668</v>
      </c>
      <c r="H216" s="482" t="s">
        <v>20669</v>
      </c>
      <c r="I216" s="483">
        <f>5*I215</f>
        <v>2.7846000000000002</v>
      </c>
      <c r="J216" s="473">
        <f t="shared" si="736"/>
        <v>2.7599999999999998</v>
      </c>
      <c r="K216" s="474">
        <f t="shared" si="738"/>
        <v>7.6854959999999997</v>
      </c>
      <c r="L216" s="475">
        <f t="shared" si="737"/>
        <v>2.73</v>
      </c>
      <c r="M216" s="474">
        <f t="shared" si="739"/>
        <v>7.6019580000000007</v>
      </c>
      <c r="N216" s="467" t="s">
        <v>20670</v>
      </c>
      <c r="O216" s="434">
        <f t="shared" si="723"/>
        <v>2.7599999999999998</v>
      </c>
      <c r="P216" s="435">
        <f t="shared" si="724"/>
        <v>2.73</v>
      </c>
      <c r="AE216" s="217"/>
      <c r="AF216" s="217">
        <v>1024</v>
      </c>
      <c r="AH216">
        <f t="shared" si="720"/>
        <v>1024</v>
      </c>
    </row>
    <row r="217" ht="105" hidden="1">
      <c r="A217" s="217"/>
      <c r="B217" s="217">
        <v>1024</v>
      </c>
      <c r="C217" s="217"/>
      <c r="D217" s="217" t="s">
        <v>17167</v>
      </c>
      <c r="E217" s="471" t="s">
        <v>20671</v>
      </c>
      <c r="F217" s="482">
        <v>5928</v>
      </c>
      <c r="G217" s="470" t="s">
        <v>1739</v>
      </c>
      <c r="H217" s="482" t="s">
        <v>1535</v>
      </c>
      <c r="I217" s="483">
        <v>0.10000000000000001</v>
      </c>
      <c r="J217" s="473">
        <f t="shared" si="736"/>
        <v>298.70999999999998</v>
      </c>
      <c r="K217" s="474">
        <f t="shared" si="738"/>
        <v>29.870999999999999</v>
      </c>
      <c r="L217" s="475">
        <f t="shared" si="737"/>
        <v>296.98000000000002</v>
      </c>
      <c r="M217" s="474">
        <f t="shared" si="739"/>
        <v>29.698000000000004</v>
      </c>
      <c r="O217" s="434">
        <f t="shared" si="723"/>
        <v>298.70999999999998</v>
      </c>
      <c r="P217" s="435">
        <f t="shared" si="724"/>
        <v>296.98000000000002</v>
      </c>
      <c r="AE217" s="217"/>
      <c r="AF217" s="217">
        <v>1024</v>
      </c>
      <c r="AH217">
        <f t="shared" si="720"/>
        <v>1024</v>
      </c>
    </row>
    <row r="218" ht="45" hidden="1">
      <c r="A218" s="217"/>
      <c r="B218" s="217">
        <v>1024</v>
      </c>
      <c r="C218" s="217"/>
      <c r="D218" s="217" t="s">
        <v>20398</v>
      </c>
      <c r="E218" s="471" t="s">
        <v>20672</v>
      </c>
      <c r="F218" s="482">
        <v>1000</v>
      </c>
      <c r="G218" s="470" t="s">
        <v>20651</v>
      </c>
      <c r="H218" s="482" t="s">
        <v>15528</v>
      </c>
      <c r="I218" s="483">
        <f>I220</f>
        <v>0.62</v>
      </c>
      <c r="J218" s="473">
        <f t="shared" si="736"/>
        <v>149.904</v>
      </c>
      <c r="K218" s="474">
        <f t="shared" si="738"/>
        <v>92.940479999999994</v>
      </c>
      <c r="L218" s="475">
        <f t="shared" si="737"/>
        <v>141.76949999999999</v>
      </c>
      <c r="M218" s="474">
        <f t="shared" si="739"/>
        <v>87.897089999999992</v>
      </c>
      <c r="O218" s="434">
        <f t="shared" si="723"/>
        <v>149.904</v>
      </c>
      <c r="P218" s="435">
        <f t="shared" si="724"/>
        <v>141.76949999999999</v>
      </c>
      <c r="AE218" s="217"/>
      <c r="AF218" s="217">
        <v>1024</v>
      </c>
      <c r="AH218">
        <f t="shared" si="720"/>
        <v>1024</v>
      </c>
    </row>
    <row r="219" ht="105" hidden="1">
      <c r="A219" s="217"/>
      <c r="B219" s="217">
        <v>1024</v>
      </c>
      <c r="C219" s="217"/>
      <c r="D219" s="217" t="s">
        <v>17167</v>
      </c>
      <c r="E219" s="471" t="s">
        <v>20673</v>
      </c>
      <c r="F219" s="482">
        <v>92431</v>
      </c>
      <c r="G219" s="470" t="s">
        <v>20674</v>
      </c>
      <c r="H219" s="482" t="s">
        <v>15515</v>
      </c>
      <c r="I219" s="483">
        <v>2.4500000000000002</v>
      </c>
      <c r="J219" s="473">
        <f t="shared" si="736"/>
        <v>70.030000000000001</v>
      </c>
      <c r="K219" s="474">
        <f t="shared" si="738"/>
        <v>171.57350000000002</v>
      </c>
      <c r="L219" s="475">
        <f t="shared" si="737"/>
        <v>68.510000000000005</v>
      </c>
      <c r="M219" s="474">
        <f t="shared" si="739"/>
        <v>167.84950000000003</v>
      </c>
      <c r="O219" s="434">
        <f t="shared" si="723"/>
        <v>70.030000000000001</v>
      </c>
      <c r="P219" s="435">
        <f t="shared" si="724"/>
        <v>68.510000000000005</v>
      </c>
      <c r="AE219" s="217"/>
      <c r="AF219" s="217">
        <v>1024</v>
      </c>
      <c r="AH219">
        <f t="shared" si="720"/>
        <v>1024</v>
      </c>
    </row>
    <row r="220" ht="60" hidden="1">
      <c r="A220" s="217"/>
      <c r="B220" s="217">
        <v>1024</v>
      </c>
      <c r="C220" s="217"/>
      <c r="D220" s="217" t="s">
        <v>17167</v>
      </c>
      <c r="E220" s="471" t="s">
        <v>20675</v>
      </c>
      <c r="F220" s="482">
        <v>94964</v>
      </c>
      <c r="G220" s="470" t="s">
        <v>20686</v>
      </c>
      <c r="H220" s="482" t="s">
        <v>15528</v>
      </c>
      <c r="I220" s="483">
        <v>0.62</v>
      </c>
      <c r="J220" s="473">
        <f t="shared" si="736"/>
        <v>488.52999999999997</v>
      </c>
      <c r="K220" s="474">
        <f t="shared" si="738"/>
        <v>302.8886</v>
      </c>
      <c r="L220" s="475">
        <f t="shared" si="737"/>
        <v>482.79000000000002</v>
      </c>
      <c r="M220" s="474">
        <f t="shared" si="739"/>
        <v>299.32980000000003</v>
      </c>
      <c r="O220" s="434">
        <f t="shared" si="723"/>
        <v>488.52999999999997</v>
      </c>
      <c r="P220" s="435">
        <f t="shared" si="724"/>
        <v>482.79000000000002</v>
      </c>
      <c r="AE220" s="217"/>
      <c r="AF220" s="217">
        <v>1024</v>
      </c>
      <c r="AH220">
        <f t="shared" si="720"/>
        <v>1024</v>
      </c>
    </row>
    <row r="221" ht="90" hidden="1">
      <c r="A221" s="217"/>
      <c r="B221" s="217">
        <v>1024</v>
      </c>
      <c r="C221" s="217"/>
      <c r="D221" s="217" t="s">
        <v>20398</v>
      </c>
      <c r="E221" s="471" t="s">
        <v>20677</v>
      </c>
      <c r="F221" s="482">
        <v>1001</v>
      </c>
      <c r="G221" s="470" t="s">
        <v>20690</v>
      </c>
      <c r="H221" s="482" t="s">
        <v>15515</v>
      </c>
      <c r="I221" s="483">
        <v>2.4500000000000002</v>
      </c>
      <c r="J221" s="473">
        <f t="shared" si="736"/>
        <v>44.575159999999997</v>
      </c>
      <c r="K221" s="474">
        <f t="shared" si="738"/>
        <v>109.209142</v>
      </c>
      <c r="L221" s="475">
        <f t="shared" si="737"/>
        <v>43.366774000000007</v>
      </c>
      <c r="M221" s="474">
        <f t="shared" si="739"/>
        <v>106.24859630000002</v>
      </c>
      <c r="O221" s="434">
        <f t="shared" si="723"/>
        <v>44.575159999999997</v>
      </c>
      <c r="P221" s="435">
        <f t="shared" si="724"/>
        <v>43.366774000000007</v>
      </c>
      <c r="AE221" s="217"/>
      <c r="AF221" s="217">
        <v>1024</v>
      </c>
      <c r="AH221">
        <f t="shared" si="720"/>
        <v>1024</v>
      </c>
    </row>
    <row r="222" ht="110.25" hidden="1">
      <c r="A222" s="460">
        <v>1025</v>
      </c>
      <c r="B222" s="460">
        <v>1025</v>
      </c>
      <c r="C222" s="460"/>
      <c r="D222" s="460"/>
      <c r="E222" s="461">
        <v>1</v>
      </c>
      <c r="F222" s="462" t="s">
        <v>20834</v>
      </c>
      <c r="G222" s="477" t="s">
        <v>20835</v>
      </c>
      <c r="H222" s="478" t="s">
        <v>20647</v>
      </c>
      <c r="I222" s="479"/>
      <c r="J222" s="480"/>
      <c r="K222" s="466">
        <f>SUM(K223:K236)</f>
        <v>2762.0526715999999</v>
      </c>
      <c r="L222" s="480"/>
      <c r="M222" s="466">
        <f>SUM(M223:M236)</f>
        <v>2684.8367201646051</v>
      </c>
      <c r="O222" s="434" t="str">
        <f t="shared" si="723"/>
        <v xml:space="preserve">SEM VALOR</v>
      </c>
      <c r="P222" s="435" t="str">
        <f t="shared" si="724"/>
        <v xml:space="preserve">SEM VALOR</v>
      </c>
      <c r="AE222" s="460">
        <v>1025</v>
      </c>
      <c r="AF222" s="460"/>
      <c r="AH222">
        <f t="shared" si="720"/>
        <v>1025</v>
      </c>
    </row>
    <row r="223" ht="30" hidden="1">
      <c r="A223" s="217"/>
      <c r="B223" s="217">
        <v>1025</v>
      </c>
      <c r="C223" s="217"/>
      <c r="D223" s="217" t="s">
        <v>20398</v>
      </c>
      <c r="E223" s="471" t="s">
        <v>20399</v>
      </c>
      <c r="F223" s="482">
        <v>1003</v>
      </c>
      <c r="G223" s="470" t="s">
        <v>20659</v>
      </c>
      <c r="H223" s="482" t="s">
        <v>20647</v>
      </c>
      <c r="I223" s="483">
        <v>2</v>
      </c>
      <c r="J223" s="473">
        <f t="shared" si="736"/>
        <v>654.70647199999996</v>
      </c>
      <c r="K223" s="474">
        <f t="shared" ref="K223:K236" si="740">I223*J223</f>
        <v>1309.4129439999999</v>
      </c>
      <c r="L223" s="475">
        <f t="shared" si="737"/>
        <v>633.82447200000001</v>
      </c>
      <c r="M223" s="474">
        <f t="shared" ref="M223:M236" si="741">L223*I223</f>
        <v>1267.648944</v>
      </c>
      <c r="O223" s="434">
        <f t="shared" si="723"/>
        <v>654.70647199999996</v>
      </c>
      <c r="P223" s="435">
        <f t="shared" si="724"/>
        <v>633.82447200000001</v>
      </c>
      <c r="AE223" s="217"/>
      <c r="AF223" s="217">
        <v>1025</v>
      </c>
      <c r="AH223">
        <f t="shared" si="720"/>
        <v>1025</v>
      </c>
    </row>
    <row r="224" ht="60" hidden="1">
      <c r="A224" s="217"/>
      <c r="B224" s="217">
        <v>1025</v>
      </c>
      <c r="C224" s="217"/>
      <c r="D224" s="217" t="s">
        <v>20398</v>
      </c>
      <c r="E224" s="471" t="s">
        <v>20402</v>
      </c>
      <c r="F224" s="482">
        <v>1258</v>
      </c>
      <c r="G224" s="470" t="s">
        <v>20660</v>
      </c>
      <c r="H224" s="482" t="s">
        <v>15515</v>
      </c>
      <c r="I224" s="483">
        <v>4.0099999999999998</v>
      </c>
      <c r="J224" s="473">
        <f t="shared" si="736"/>
        <v>7.5700000000000003</v>
      </c>
      <c r="K224" s="474">
        <f t="shared" si="740"/>
        <v>30.355699999999999</v>
      </c>
      <c r="L224" s="475">
        <f t="shared" si="737"/>
        <v>7.1846199999999998</v>
      </c>
      <c r="M224" s="474">
        <f t="shared" si="741"/>
        <v>28.810326199999999</v>
      </c>
      <c r="O224" s="434">
        <f t="shared" si="723"/>
        <v>7.5700000000000003</v>
      </c>
      <c r="P224" s="435">
        <f t="shared" si="724"/>
        <v>7.1846199999999998</v>
      </c>
      <c r="AE224" s="217"/>
      <c r="AF224" s="217">
        <v>1025</v>
      </c>
      <c r="AH224">
        <f t="shared" si="720"/>
        <v>1025</v>
      </c>
    </row>
    <row r="225" ht="45" hidden="1">
      <c r="A225" s="217"/>
      <c r="B225" s="217">
        <v>1025</v>
      </c>
      <c r="C225" s="217"/>
      <c r="D225" s="217" t="s">
        <v>20398</v>
      </c>
      <c r="E225" s="471" t="s">
        <v>20405</v>
      </c>
      <c r="F225" s="482">
        <v>1259</v>
      </c>
      <c r="G225" s="470" t="s">
        <v>20796</v>
      </c>
      <c r="H225" s="482" t="s">
        <v>15528</v>
      </c>
      <c r="I225" s="483">
        <v>1.55</v>
      </c>
      <c r="J225" s="473">
        <f t="shared" si="736"/>
        <v>45.520000000000003</v>
      </c>
      <c r="K225" s="474">
        <f t="shared" si="740"/>
        <v>70.556000000000012</v>
      </c>
      <c r="L225" s="475">
        <f t="shared" si="737"/>
        <v>43.100000000000001</v>
      </c>
      <c r="M225" s="474">
        <f t="shared" si="741"/>
        <v>66.805000000000007</v>
      </c>
      <c r="O225" s="434">
        <f t="shared" si="723"/>
        <v>45.520000000000003</v>
      </c>
      <c r="P225" s="435">
        <f t="shared" si="724"/>
        <v>43.100000000000001</v>
      </c>
      <c r="AE225" s="217"/>
      <c r="AF225" s="217">
        <v>1025</v>
      </c>
      <c r="AH225">
        <f t="shared" ref="AH225:AH288" si="742">IF(AF225:AF226=FALSE,AE225,AF225)</f>
        <v>1025</v>
      </c>
    </row>
    <row r="226" ht="75" hidden="1">
      <c r="A226" s="217"/>
      <c r="B226" s="217">
        <v>1025</v>
      </c>
      <c r="C226" s="217"/>
      <c r="D226" s="217" t="s">
        <v>20398</v>
      </c>
      <c r="E226" s="471" t="s">
        <v>20409</v>
      </c>
      <c r="F226" s="482">
        <v>1267</v>
      </c>
      <c r="G226" s="470" t="s">
        <v>20662</v>
      </c>
      <c r="H226" s="482" t="s">
        <v>38</v>
      </c>
      <c r="I226" s="483">
        <v>9.4199999999999999</v>
      </c>
      <c r="J226" s="473">
        <f t="shared" si="736"/>
        <v>3.2499999999999996</v>
      </c>
      <c r="K226" s="474">
        <f t="shared" si="740"/>
        <v>30.614999999999995</v>
      </c>
      <c r="L226" s="475">
        <f t="shared" si="737"/>
        <v>3.1657000000000002</v>
      </c>
      <c r="M226" s="474">
        <f t="shared" si="741"/>
        <v>29.820894000000003</v>
      </c>
      <c r="O226" s="434">
        <f t="shared" si="723"/>
        <v>3.2499999999999996</v>
      </c>
      <c r="P226" s="435">
        <f t="shared" si="724"/>
        <v>3.1657000000000002</v>
      </c>
      <c r="AE226" s="217"/>
      <c r="AF226" s="217">
        <v>1025</v>
      </c>
      <c r="AH226">
        <f t="shared" si="742"/>
        <v>1025</v>
      </c>
    </row>
    <row r="227" ht="75" hidden="1">
      <c r="A227" s="217"/>
      <c r="B227" s="217">
        <v>1025</v>
      </c>
      <c r="C227" s="217"/>
      <c r="D227" s="217" t="s">
        <v>20398</v>
      </c>
      <c r="E227" s="471" t="s">
        <v>20663</v>
      </c>
      <c r="F227" s="482">
        <v>1270</v>
      </c>
      <c r="G227" s="470" t="s">
        <v>20664</v>
      </c>
      <c r="H227" s="482" t="s">
        <v>15528</v>
      </c>
      <c r="I227" s="483">
        <f>3.45*0.18</f>
        <v>0.621</v>
      </c>
      <c r="J227" s="473">
        <f t="shared" si="736"/>
        <v>19.439999999999998</v>
      </c>
      <c r="K227" s="474">
        <f t="shared" si="740"/>
        <v>12.072239999999999</v>
      </c>
      <c r="L227" s="475">
        <f t="shared" si="737"/>
        <v>18.886704505000001</v>
      </c>
      <c r="M227" s="474">
        <f t="shared" si="741"/>
        <v>11.728643497605001</v>
      </c>
      <c r="O227" s="434">
        <f t="shared" si="723"/>
        <v>19.439999999999998</v>
      </c>
      <c r="P227" s="435">
        <f t="shared" si="724"/>
        <v>18.886704505000001</v>
      </c>
      <c r="AE227" s="217"/>
      <c r="AF227" s="217">
        <v>1025</v>
      </c>
      <c r="AH227">
        <f t="shared" si="742"/>
        <v>1025</v>
      </c>
    </row>
    <row r="228" ht="105" hidden="1">
      <c r="A228" s="217"/>
      <c r="B228" s="217">
        <v>1025</v>
      </c>
      <c r="C228" s="217"/>
      <c r="D228" s="217" t="s">
        <v>20398</v>
      </c>
      <c r="E228" s="471" t="s">
        <v>20665</v>
      </c>
      <c r="F228" s="482">
        <v>1092</v>
      </c>
      <c r="G228" s="470" t="s">
        <v>20666</v>
      </c>
      <c r="H228" s="482" t="s">
        <v>15528</v>
      </c>
      <c r="I228" s="483">
        <f>1.3*I227</f>
        <v>0.80730000000000002</v>
      </c>
      <c r="J228" s="473">
        <f t="shared" si="736"/>
        <v>2.2000000000000002</v>
      </c>
      <c r="K228" s="474">
        <f t="shared" si="740"/>
        <v>1.7760600000000002</v>
      </c>
      <c r="L228" s="475">
        <f t="shared" si="737"/>
        <v>2.1879900000000001</v>
      </c>
      <c r="M228" s="474">
        <f t="shared" si="741"/>
        <v>1.766364327</v>
      </c>
      <c r="O228" s="434">
        <f t="shared" ref="O228:O291" si="743">IFERROR(IF(D228="SINAPI",VLOOKUP(F228,SINCOMOD,4,FALSE),IF(D228="INSINAPI",VLOOKUP(F228,INSINOD,5,FALSE),IF(D228="SICRO",VLOOKUP(F228,SICRO,5,FALSE),IF(D228="COTACAO",VLOOKUP(F228,COTACAO,6,FALSE),IF(D228="PRÓPRIO",VLOOKUP(F228,COMPOD,11,FALSE),IF(D228="AGESUL",VLOOKUP(F228,AGESULOD,6,FALSE),IF(D228="INSAGESUL",VLOOKUP(F228,INSAGESUL,7,FALSE),"SEM VALOR"))))))),"SEM VALOR")</f>
        <v>2.2000000000000002</v>
      </c>
      <c r="P228" s="435">
        <f t="shared" ref="P228:P291" si="744">IFERROR(IF(D228="SINAPI",VLOOKUP(F228,SINCOMOD,6,FALSE),IF(D228="INSINAPI",VLOOKUP(F228,INSINOD,6,FALSE),IF(D228="SICRO",VLOOKUP(F228,SICRO,5,FALSE),IF(D228="COTACAO",VLOOKUP(F228,COTACAO,6,FALSE),IF(D228="PRÓPRIO",VLOOKUP(F228,COMPOD,13,FALSE),IF(D228="AGESUL",VLOOKUP(F228,AGESULOD,11,FALSE),IF(D228="INSAGESUL",VLOOKUP(F228,INSAGESUL,8,FALSE),"SEM VALOR"))))))),"SEM VALOR")</f>
        <v>2.1879900000000001</v>
      </c>
      <c r="AE228" s="217"/>
      <c r="AF228" s="217">
        <v>1025</v>
      </c>
      <c r="AH228">
        <f t="shared" si="742"/>
        <v>1025</v>
      </c>
    </row>
    <row r="229" ht="60" hidden="1">
      <c r="A229" s="217"/>
      <c r="B229" s="217">
        <v>1025</v>
      </c>
      <c r="C229" s="217"/>
      <c r="D229" s="217" t="s">
        <v>17167</v>
      </c>
      <c r="E229" s="471" t="s">
        <v>20667</v>
      </c>
      <c r="F229" s="482">
        <v>95875</v>
      </c>
      <c r="G229" s="470" t="s">
        <v>20668</v>
      </c>
      <c r="H229" s="482" t="s">
        <v>20669</v>
      </c>
      <c r="I229" s="483">
        <f>5*I228</f>
        <v>4.0365000000000002</v>
      </c>
      <c r="J229" s="473">
        <f t="shared" si="736"/>
        <v>2.7599999999999998</v>
      </c>
      <c r="K229" s="474">
        <f t="shared" si="740"/>
        <v>11.140739999999999</v>
      </c>
      <c r="L229" s="475">
        <f t="shared" si="737"/>
        <v>2.73</v>
      </c>
      <c r="M229" s="474">
        <f t="shared" si="741"/>
        <v>11.019645000000001</v>
      </c>
      <c r="N229" s="467" t="s">
        <v>20670</v>
      </c>
      <c r="O229" s="434">
        <f t="shared" si="743"/>
        <v>2.7599999999999998</v>
      </c>
      <c r="P229" s="435">
        <f t="shared" si="744"/>
        <v>2.73</v>
      </c>
      <c r="AE229" s="217"/>
      <c r="AF229" s="217">
        <v>1025</v>
      </c>
      <c r="AH229">
        <f t="shared" si="742"/>
        <v>1025</v>
      </c>
    </row>
    <row r="230" ht="105" hidden="1">
      <c r="A230" s="217"/>
      <c r="B230" s="217">
        <v>1025</v>
      </c>
      <c r="C230" s="217"/>
      <c r="D230" s="217" t="s">
        <v>17167</v>
      </c>
      <c r="E230" s="471" t="s">
        <v>20671</v>
      </c>
      <c r="F230" s="482">
        <v>5928</v>
      </c>
      <c r="G230" s="470" t="s">
        <v>1739</v>
      </c>
      <c r="H230" s="482" t="s">
        <v>1535</v>
      </c>
      <c r="I230" s="483">
        <v>0.10000000000000001</v>
      </c>
      <c r="J230" s="473">
        <f t="shared" si="736"/>
        <v>298.70999999999998</v>
      </c>
      <c r="K230" s="474">
        <f t="shared" si="740"/>
        <v>29.870999999999999</v>
      </c>
      <c r="L230" s="475">
        <f t="shared" si="737"/>
        <v>296.98000000000002</v>
      </c>
      <c r="M230" s="474">
        <f t="shared" si="741"/>
        <v>29.698000000000004</v>
      </c>
      <c r="O230" s="434">
        <f t="shared" si="743"/>
        <v>298.70999999999998</v>
      </c>
      <c r="P230" s="435">
        <f t="shared" si="744"/>
        <v>296.98000000000002</v>
      </c>
      <c r="AE230" s="217"/>
      <c r="AF230" s="217">
        <v>1025</v>
      </c>
      <c r="AH230">
        <f t="shared" si="742"/>
        <v>1025</v>
      </c>
    </row>
    <row r="231" ht="45" hidden="1">
      <c r="A231" s="217"/>
      <c r="B231" s="217">
        <v>1025</v>
      </c>
      <c r="C231" s="217"/>
      <c r="D231" s="217" t="s">
        <v>20398</v>
      </c>
      <c r="E231" s="471" t="s">
        <v>20672</v>
      </c>
      <c r="F231" s="482">
        <v>1000</v>
      </c>
      <c r="G231" s="470" t="s">
        <v>20651</v>
      </c>
      <c r="H231" s="482" t="s">
        <v>15528</v>
      </c>
      <c r="I231" s="483">
        <f>I235</f>
        <v>1.05</v>
      </c>
      <c r="J231" s="473">
        <f t="shared" si="736"/>
        <v>149.904</v>
      </c>
      <c r="K231" s="474">
        <f t="shared" si="740"/>
        <v>157.39920000000001</v>
      </c>
      <c r="L231" s="475">
        <f t="shared" si="737"/>
        <v>141.76949999999999</v>
      </c>
      <c r="M231" s="474">
        <f t="shared" si="741"/>
        <v>148.85797500000001</v>
      </c>
      <c r="O231" s="434">
        <f t="shared" si="743"/>
        <v>149.904</v>
      </c>
      <c r="P231" s="435">
        <f t="shared" si="744"/>
        <v>141.76949999999999</v>
      </c>
      <c r="AE231" s="217"/>
      <c r="AF231" s="217">
        <v>1025</v>
      </c>
      <c r="AH231">
        <f t="shared" si="742"/>
        <v>1025</v>
      </c>
    </row>
    <row r="232" ht="105" hidden="1">
      <c r="A232" s="217"/>
      <c r="B232" s="217">
        <v>1025</v>
      </c>
      <c r="C232" s="217"/>
      <c r="D232" s="217" t="s">
        <v>17167</v>
      </c>
      <c r="E232" s="471" t="s">
        <v>20673</v>
      </c>
      <c r="F232" s="482">
        <v>92431</v>
      </c>
      <c r="G232" s="470" t="s">
        <v>20674</v>
      </c>
      <c r="H232" s="482" t="s">
        <v>15515</v>
      </c>
      <c r="I232" s="483">
        <v>5.0999999999999996</v>
      </c>
      <c r="J232" s="473">
        <f t="shared" si="736"/>
        <v>70.030000000000001</v>
      </c>
      <c r="K232" s="474">
        <f t="shared" si="740"/>
        <v>357.15299999999996</v>
      </c>
      <c r="L232" s="475">
        <f t="shared" si="737"/>
        <v>68.510000000000005</v>
      </c>
      <c r="M232" s="474">
        <f t="shared" si="741"/>
        <v>349.40100000000001</v>
      </c>
      <c r="O232" s="434">
        <f t="shared" si="743"/>
        <v>70.030000000000001</v>
      </c>
      <c r="P232" s="435">
        <f t="shared" si="744"/>
        <v>68.510000000000005</v>
      </c>
      <c r="AE232" s="217"/>
      <c r="AF232" s="217">
        <v>1025</v>
      </c>
      <c r="AH232">
        <f t="shared" si="742"/>
        <v>1025</v>
      </c>
    </row>
    <row r="233" ht="45" hidden="1">
      <c r="A233" s="217"/>
      <c r="B233" s="217">
        <v>1025</v>
      </c>
      <c r="C233" s="217"/>
      <c r="D233" s="217" t="s">
        <v>17167</v>
      </c>
      <c r="E233" s="471" t="s">
        <v>20675</v>
      </c>
      <c r="F233" s="482">
        <v>96543</v>
      </c>
      <c r="G233" s="470" t="s">
        <v>20676</v>
      </c>
      <c r="H233" s="482" t="s">
        <v>302</v>
      </c>
      <c r="I233" s="483">
        <v>0.56000000000000005</v>
      </c>
      <c r="J233" s="473">
        <f t="shared" si="736"/>
        <v>19.829999999999998</v>
      </c>
      <c r="K233" s="474">
        <f t="shared" si="740"/>
        <v>11.104800000000001</v>
      </c>
      <c r="L233" s="475">
        <f t="shared" si="737"/>
        <v>19.210000000000001</v>
      </c>
      <c r="M233" s="474">
        <f t="shared" si="741"/>
        <v>10.757600000000002</v>
      </c>
      <c r="O233" s="434">
        <f t="shared" si="743"/>
        <v>19.829999999999998</v>
      </c>
      <c r="P233" s="435">
        <f t="shared" si="744"/>
        <v>19.210000000000001</v>
      </c>
      <c r="AE233" s="217"/>
      <c r="AF233" s="217">
        <v>1025</v>
      </c>
      <c r="AH233">
        <f t="shared" si="742"/>
        <v>1025</v>
      </c>
    </row>
    <row r="234" ht="45" hidden="1">
      <c r="A234" s="217"/>
      <c r="B234" s="217">
        <v>1025</v>
      </c>
      <c r="C234" s="217"/>
      <c r="D234" s="217" t="s">
        <v>17167</v>
      </c>
      <c r="E234" s="471" t="s">
        <v>20677</v>
      </c>
      <c r="F234" s="482">
        <v>96545</v>
      </c>
      <c r="G234" s="470" t="s">
        <v>20678</v>
      </c>
      <c r="H234" s="482" t="s">
        <v>302</v>
      </c>
      <c r="I234" s="483">
        <v>1.3999999999999999</v>
      </c>
      <c r="J234" s="473">
        <f t="shared" si="736"/>
        <v>15.82</v>
      </c>
      <c r="K234" s="474">
        <f t="shared" si="740"/>
        <v>22.148</v>
      </c>
      <c r="L234" s="475">
        <f t="shared" si="737"/>
        <v>15.48</v>
      </c>
      <c r="M234" s="474">
        <f t="shared" si="741"/>
        <v>21.672000000000001</v>
      </c>
      <c r="O234" s="434">
        <f t="shared" si="743"/>
        <v>15.82</v>
      </c>
      <c r="P234" s="435">
        <f t="shared" si="744"/>
        <v>15.48</v>
      </c>
      <c r="AE234" s="217"/>
      <c r="AF234" s="217">
        <v>1025</v>
      </c>
      <c r="AH234">
        <f t="shared" si="742"/>
        <v>1025</v>
      </c>
    </row>
    <row r="235" ht="60" hidden="1">
      <c r="A235" s="217"/>
      <c r="B235" s="217">
        <v>1025</v>
      </c>
      <c r="C235" s="217"/>
      <c r="D235" s="217" t="s">
        <v>17167</v>
      </c>
      <c r="E235" s="471" t="s">
        <v>20679</v>
      </c>
      <c r="F235" s="482">
        <v>94964</v>
      </c>
      <c r="G235" s="470" t="s">
        <v>20686</v>
      </c>
      <c r="H235" s="482" t="s">
        <v>15528</v>
      </c>
      <c r="I235" s="483">
        <v>1.05</v>
      </c>
      <c r="J235" s="473">
        <f t="shared" si="736"/>
        <v>488.52999999999997</v>
      </c>
      <c r="K235" s="474">
        <f t="shared" si="740"/>
        <v>512.95650000000001</v>
      </c>
      <c r="L235" s="475">
        <f t="shared" si="737"/>
        <v>482.79000000000002</v>
      </c>
      <c r="M235" s="474">
        <f t="shared" si="741"/>
        <v>506.92950000000002</v>
      </c>
      <c r="O235" s="434">
        <f t="shared" si="743"/>
        <v>488.52999999999997</v>
      </c>
      <c r="P235" s="435">
        <f t="shared" si="744"/>
        <v>482.79000000000002</v>
      </c>
      <c r="AE235" s="217"/>
      <c r="AF235" s="217">
        <v>1025</v>
      </c>
      <c r="AH235">
        <f t="shared" si="742"/>
        <v>1025</v>
      </c>
    </row>
    <row r="236" ht="90" hidden="1">
      <c r="A236" s="217"/>
      <c r="B236" s="217">
        <v>1025</v>
      </c>
      <c r="C236" s="217"/>
      <c r="D236" s="217" t="s">
        <v>20398</v>
      </c>
      <c r="E236" s="471" t="s">
        <v>20681</v>
      </c>
      <c r="F236" s="482">
        <v>1001</v>
      </c>
      <c r="G236" s="470" t="s">
        <v>20690</v>
      </c>
      <c r="H236" s="482" t="s">
        <v>15515</v>
      </c>
      <c r="I236" s="483">
        <v>4.6100000000000003</v>
      </c>
      <c r="J236" s="473">
        <f t="shared" si="736"/>
        <v>44.575159999999997</v>
      </c>
      <c r="K236" s="474">
        <f t="shared" si="740"/>
        <v>205.4914876</v>
      </c>
      <c r="L236" s="475">
        <f t="shared" si="737"/>
        <v>43.366774000000007</v>
      </c>
      <c r="M236" s="474">
        <f t="shared" si="741"/>
        <v>199.92082814000005</v>
      </c>
      <c r="O236" s="434">
        <f t="shared" si="743"/>
        <v>44.575159999999997</v>
      </c>
      <c r="P236" s="435">
        <f t="shared" si="744"/>
        <v>43.366774000000007</v>
      </c>
      <c r="AE236" s="217"/>
      <c r="AF236" s="217">
        <v>1025</v>
      </c>
      <c r="AH236">
        <f t="shared" si="742"/>
        <v>1025</v>
      </c>
    </row>
    <row r="237" ht="110.25" hidden="1">
      <c r="A237" s="460">
        <v>1026</v>
      </c>
      <c r="B237" s="460">
        <v>1026</v>
      </c>
      <c r="C237" s="460"/>
      <c r="D237" s="460"/>
      <c r="E237" s="461">
        <v>1</v>
      </c>
      <c r="F237" s="462" t="s">
        <v>20836</v>
      </c>
      <c r="G237" s="477" t="s">
        <v>20837</v>
      </c>
      <c r="H237" s="478" t="s">
        <v>20647</v>
      </c>
      <c r="I237" s="479"/>
      <c r="J237" s="480"/>
      <c r="K237" s="466">
        <f>SUM(K238:K251)</f>
        <v>4223.0646692</v>
      </c>
      <c r="L237" s="480"/>
      <c r="M237" s="466">
        <f>SUM(M238:M251)</f>
        <v>4104.5740932990502</v>
      </c>
      <c r="O237" s="434" t="str">
        <f t="shared" si="743"/>
        <v xml:space="preserve">SEM VALOR</v>
      </c>
      <c r="P237" s="435" t="str">
        <f t="shared" si="744"/>
        <v xml:space="preserve">SEM VALOR</v>
      </c>
      <c r="AE237" s="460">
        <v>1026</v>
      </c>
      <c r="AF237" s="460"/>
      <c r="AH237">
        <f t="shared" si="742"/>
        <v>1026</v>
      </c>
    </row>
    <row r="238" ht="30" hidden="1">
      <c r="A238" s="217"/>
      <c r="B238" s="217">
        <v>1026</v>
      </c>
      <c r="C238" s="217"/>
      <c r="D238" s="217" t="s">
        <v>20398</v>
      </c>
      <c r="E238" s="471" t="s">
        <v>20399</v>
      </c>
      <c r="F238" s="482">
        <v>1003</v>
      </c>
      <c r="G238" s="470" t="s">
        <v>20659</v>
      </c>
      <c r="H238" s="482" t="s">
        <v>20647</v>
      </c>
      <c r="I238" s="483">
        <v>3</v>
      </c>
      <c r="J238" s="473">
        <f t="shared" si="736"/>
        <v>654.70647199999996</v>
      </c>
      <c r="K238" s="474">
        <f t="shared" ref="K238:K251" si="745">I238*J238</f>
        <v>1964.119416</v>
      </c>
      <c r="L238" s="475">
        <f t="shared" si="737"/>
        <v>633.82447200000001</v>
      </c>
      <c r="M238" s="474">
        <f t="shared" ref="M238:M251" si="746">L238*I238</f>
        <v>1901.473416</v>
      </c>
      <c r="O238" s="434">
        <f t="shared" si="743"/>
        <v>654.70647199999996</v>
      </c>
      <c r="P238" s="435">
        <f t="shared" si="744"/>
        <v>633.82447200000001</v>
      </c>
      <c r="AE238" s="217"/>
      <c r="AF238" s="217">
        <v>1026</v>
      </c>
      <c r="AH238">
        <f t="shared" si="742"/>
        <v>1026</v>
      </c>
    </row>
    <row r="239" ht="60" hidden="1">
      <c r="A239" s="217"/>
      <c r="B239" s="217">
        <v>1026</v>
      </c>
      <c r="C239" s="217"/>
      <c r="D239" s="217" t="s">
        <v>20398</v>
      </c>
      <c r="E239" s="471" t="s">
        <v>20402</v>
      </c>
      <c r="F239" s="482">
        <v>1258</v>
      </c>
      <c r="G239" s="470" t="s">
        <v>20660</v>
      </c>
      <c r="H239" s="482" t="s">
        <v>15515</v>
      </c>
      <c r="I239" s="483">
        <v>5.3600000000000003</v>
      </c>
      <c r="J239" s="473">
        <f t="shared" si="736"/>
        <v>7.5700000000000003</v>
      </c>
      <c r="K239" s="474">
        <f t="shared" si="745"/>
        <v>40.575200000000002</v>
      </c>
      <c r="L239" s="475">
        <f t="shared" si="737"/>
        <v>7.1846199999999998</v>
      </c>
      <c r="M239" s="474">
        <f t="shared" si="746"/>
        <v>38.509563200000002</v>
      </c>
      <c r="O239" s="434">
        <f t="shared" si="743"/>
        <v>7.5700000000000003</v>
      </c>
      <c r="P239" s="435">
        <f t="shared" si="744"/>
        <v>7.1846199999999998</v>
      </c>
      <c r="AE239" s="217"/>
      <c r="AF239" s="217">
        <v>1026</v>
      </c>
      <c r="AH239">
        <f t="shared" si="742"/>
        <v>1026</v>
      </c>
    </row>
    <row r="240" ht="45" hidden="1">
      <c r="A240" s="217"/>
      <c r="B240" s="217">
        <v>1026</v>
      </c>
      <c r="C240" s="217"/>
      <c r="D240" s="217" t="s">
        <v>20398</v>
      </c>
      <c r="E240" s="471" t="s">
        <v>20405</v>
      </c>
      <c r="F240" s="482">
        <v>1259</v>
      </c>
      <c r="G240" s="470" t="s">
        <v>20796</v>
      </c>
      <c r="H240" s="482" t="s">
        <v>15528</v>
      </c>
      <c r="I240" s="483">
        <v>2.3300000000000001</v>
      </c>
      <c r="J240" s="473">
        <f t="shared" si="736"/>
        <v>45.520000000000003</v>
      </c>
      <c r="K240" s="474">
        <f t="shared" si="745"/>
        <v>106.06160000000001</v>
      </c>
      <c r="L240" s="475">
        <f t="shared" si="737"/>
        <v>43.100000000000001</v>
      </c>
      <c r="M240" s="474">
        <f t="shared" si="746"/>
        <v>100.423</v>
      </c>
      <c r="O240" s="434">
        <f t="shared" si="743"/>
        <v>45.520000000000003</v>
      </c>
      <c r="P240" s="435">
        <f t="shared" si="744"/>
        <v>43.100000000000001</v>
      </c>
      <c r="AE240" s="217"/>
      <c r="AF240" s="217">
        <v>1026</v>
      </c>
      <c r="AH240">
        <f t="shared" si="742"/>
        <v>1026</v>
      </c>
    </row>
    <row r="241" ht="75" hidden="1">
      <c r="A241" s="217"/>
      <c r="B241" s="217">
        <v>1026</v>
      </c>
      <c r="C241" s="217"/>
      <c r="D241" s="217" t="s">
        <v>20398</v>
      </c>
      <c r="E241" s="471" t="s">
        <v>20409</v>
      </c>
      <c r="F241" s="482">
        <v>1267</v>
      </c>
      <c r="G241" s="470" t="s">
        <v>20662</v>
      </c>
      <c r="H241" s="482" t="s">
        <v>38</v>
      </c>
      <c r="I241" s="483">
        <v>11.800000000000001</v>
      </c>
      <c r="J241" s="473">
        <f t="shared" si="736"/>
        <v>3.2499999999999996</v>
      </c>
      <c r="K241" s="474">
        <f t="shared" si="745"/>
        <v>38.349999999999994</v>
      </c>
      <c r="L241" s="475">
        <f t="shared" si="737"/>
        <v>3.1657000000000002</v>
      </c>
      <c r="M241" s="474">
        <f t="shared" si="746"/>
        <v>37.355260000000001</v>
      </c>
      <c r="O241" s="434">
        <f t="shared" si="743"/>
        <v>3.2499999999999996</v>
      </c>
      <c r="P241" s="435">
        <f t="shared" si="744"/>
        <v>3.1657000000000002</v>
      </c>
      <c r="AE241" s="217"/>
      <c r="AF241" s="217">
        <v>1026</v>
      </c>
      <c r="AH241">
        <f t="shared" si="742"/>
        <v>1026</v>
      </c>
    </row>
    <row r="242" ht="75" hidden="1">
      <c r="A242" s="217"/>
      <c r="B242" s="217">
        <v>1026</v>
      </c>
      <c r="C242" s="217"/>
      <c r="D242" s="217" t="s">
        <v>20398</v>
      </c>
      <c r="E242" s="471" t="s">
        <v>20663</v>
      </c>
      <c r="F242" s="482">
        <v>1270</v>
      </c>
      <c r="G242" s="470" t="s">
        <v>20664</v>
      </c>
      <c r="H242" s="482" t="s">
        <v>15528</v>
      </c>
      <c r="I242" s="483">
        <f>4.5*0.18</f>
        <v>0.81000000000000005</v>
      </c>
      <c r="J242" s="473">
        <f t="shared" si="736"/>
        <v>19.439999999999998</v>
      </c>
      <c r="K242" s="474">
        <f t="shared" si="745"/>
        <v>15.7464</v>
      </c>
      <c r="L242" s="475">
        <f t="shared" si="737"/>
        <v>18.886704505000001</v>
      </c>
      <c r="M242" s="474">
        <f t="shared" si="746"/>
        <v>15.298230649050002</v>
      </c>
      <c r="O242" s="434">
        <f t="shared" si="743"/>
        <v>19.439999999999998</v>
      </c>
      <c r="P242" s="435">
        <f t="shared" si="744"/>
        <v>18.886704505000001</v>
      </c>
      <c r="AE242" s="217"/>
      <c r="AF242" s="217">
        <v>1026</v>
      </c>
      <c r="AH242">
        <f t="shared" si="742"/>
        <v>1026</v>
      </c>
    </row>
    <row r="243" ht="105" hidden="1">
      <c r="A243" s="217"/>
      <c r="B243" s="217">
        <v>1026</v>
      </c>
      <c r="C243" s="217"/>
      <c r="D243" s="217" t="s">
        <v>20398</v>
      </c>
      <c r="E243" s="471" t="s">
        <v>20665</v>
      </c>
      <c r="F243" s="482">
        <v>1092</v>
      </c>
      <c r="G243" s="470" t="s">
        <v>20666</v>
      </c>
      <c r="H243" s="482" t="s">
        <v>15528</v>
      </c>
      <c r="I243" s="483">
        <f>1.3*I242</f>
        <v>1.0529999999999999</v>
      </c>
      <c r="J243" s="473">
        <f t="shared" si="736"/>
        <v>2.2000000000000002</v>
      </c>
      <c r="K243" s="474">
        <f t="shared" si="745"/>
        <v>2.3166000000000002</v>
      </c>
      <c r="L243" s="475">
        <f t="shared" si="737"/>
        <v>2.1879900000000001</v>
      </c>
      <c r="M243" s="474">
        <f t="shared" si="746"/>
        <v>2.3039534700000002</v>
      </c>
      <c r="O243" s="434">
        <f t="shared" si="743"/>
        <v>2.2000000000000002</v>
      </c>
      <c r="P243" s="435">
        <f t="shared" si="744"/>
        <v>2.1879900000000001</v>
      </c>
      <c r="AE243" s="217"/>
      <c r="AF243" s="217">
        <v>1026</v>
      </c>
      <c r="AH243">
        <f t="shared" si="742"/>
        <v>1026</v>
      </c>
    </row>
    <row r="244" ht="60" hidden="1">
      <c r="A244" s="217"/>
      <c r="B244" s="217">
        <v>1026</v>
      </c>
      <c r="C244" s="217"/>
      <c r="D244" s="217" t="s">
        <v>17167</v>
      </c>
      <c r="E244" s="471" t="s">
        <v>20667</v>
      </c>
      <c r="F244" s="482">
        <v>95875</v>
      </c>
      <c r="G244" s="470" t="s">
        <v>20668</v>
      </c>
      <c r="H244" s="482" t="s">
        <v>20669</v>
      </c>
      <c r="I244" s="483">
        <f>5*I243</f>
        <v>5.2649999999999997</v>
      </c>
      <c r="J244" s="473">
        <f t="shared" si="736"/>
        <v>2.7599999999999998</v>
      </c>
      <c r="K244" s="474">
        <f t="shared" si="745"/>
        <v>14.531399999999998</v>
      </c>
      <c r="L244" s="475">
        <f t="shared" si="737"/>
        <v>2.73</v>
      </c>
      <c r="M244" s="474">
        <f t="shared" si="746"/>
        <v>14.373449999999998</v>
      </c>
      <c r="N244" s="467" t="s">
        <v>20670</v>
      </c>
      <c r="O244" s="434">
        <f t="shared" si="743"/>
        <v>2.7599999999999998</v>
      </c>
      <c r="P244" s="435">
        <f t="shared" si="744"/>
        <v>2.73</v>
      </c>
      <c r="AE244" s="217"/>
      <c r="AF244" s="217">
        <v>1026</v>
      </c>
      <c r="AH244">
        <f t="shared" si="742"/>
        <v>1026</v>
      </c>
    </row>
    <row r="245" ht="105" hidden="1">
      <c r="A245" s="217"/>
      <c r="B245" s="217">
        <v>1026</v>
      </c>
      <c r="C245" s="217"/>
      <c r="D245" s="217" t="s">
        <v>17167</v>
      </c>
      <c r="E245" s="471" t="s">
        <v>20671</v>
      </c>
      <c r="F245" s="482">
        <v>5928</v>
      </c>
      <c r="G245" s="470" t="s">
        <v>1739</v>
      </c>
      <c r="H245" s="482" t="s">
        <v>1535</v>
      </c>
      <c r="I245" s="483">
        <v>0.10000000000000001</v>
      </c>
      <c r="J245" s="473">
        <f t="shared" si="736"/>
        <v>298.70999999999998</v>
      </c>
      <c r="K245" s="474">
        <f t="shared" si="745"/>
        <v>29.870999999999999</v>
      </c>
      <c r="L245" s="475">
        <f t="shared" si="737"/>
        <v>296.98000000000002</v>
      </c>
      <c r="M245" s="474">
        <f t="shared" si="746"/>
        <v>29.698000000000004</v>
      </c>
      <c r="O245" s="434">
        <f t="shared" si="743"/>
        <v>298.70999999999998</v>
      </c>
      <c r="P245" s="435">
        <f t="shared" si="744"/>
        <v>296.98000000000002</v>
      </c>
      <c r="AE245" s="217"/>
      <c r="AF245" s="217">
        <v>1026</v>
      </c>
      <c r="AH245">
        <f t="shared" si="742"/>
        <v>1026</v>
      </c>
    </row>
    <row r="246" ht="45" hidden="1">
      <c r="A246" s="217"/>
      <c r="B246" s="217">
        <v>1026</v>
      </c>
      <c r="C246" s="217"/>
      <c r="D246" s="217" t="s">
        <v>20398</v>
      </c>
      <c r="E246" s="471" t="s">
        <v>20672</v>
      </c>
      <c r="F246" s="482">
        <v>1000</v>
      </c>
      <c r="G246" s="470" t="s">
        <v>20651</v>
      </c>
      <c r="H246" s="482" t="s">
        <v>15528</v>
      </c>
      <c r="I246" s="483">
        <f>I250</f>
        <v>1.48</v>
      </c>
      <c r="J246" s="473">
        <f t="shared" si="736"/>
        <v>149.904</v>
      </c>
      <c r="K246" s="474">
        <f t="shared" si="745"/>
        <v>221.85791999999998</v>
      </c>
      <c r="L246" s="475">
        <f t="shared" si="737"/>
        <v>141.76949999999999</v>
      </c>
      <c r="M246" s="474">
        <f t="shared" si="746"/>
        <v>209.81886</v>
      </c>
      <c r="O246" s="434">
        <f t="shared" si="743"/>
        <v>149.904</v>
      </c>
      <c r="P246" s="435">
        <f t="shared" si="744"/>
        <v>141.76949999999999</v>
      </c>
      <c r="AE246" s="217"/>
      <c r="AF246" s="217">
        <v>1026</v>
      </c>
      <c r="AH246">
        <f t="shared" si="742"/>
        <v>1026</v>
      </c>
    </row>
    <row r="247" ht="105" hidden="1">
      <c r="A247" s="217"/>
      <c r="B247" s="217">
        <v>1026</v>
      </c>
      <c r="C247" s="217"/>
      <c r="D247" s="217" t="s">
        <v>17167</v>
      </c>
      <c r="E247" s="471" t="s">
        <v>20673</v>
      </c>
      <c r="F247" s="482">
        <v>92431</v>
      </c>
      <c r="G247" s="470" t="s">
        <v>20674</v>
      </c>
      <c r="H247" s="482" t="s">
        <v>15515</v>
      </c>
      <c r="I247" s="483">
        <v>7.75</v>
      </c>
      <c r="J247" s="473">
        <f t="shared" si="736"/>
        <v>70.030000000000001</v>
      </c>
      <c r="K247" s="474">
        <f t="shared" si="745"/>
        <v>542.73249999999996</v>
      </c>
      <c r="L247" s="475">
        <f t="shared" si="737"/>
        <v>68.510000000000005</v>
      </c>
      <c r="M247" s="474">
        <f t="shared" si="746"/>
        <v>530.95249999999999</v>
      </c>
      <c r="O247" s="434">
        <f t="shared" si="743"/>
        <v>70.030000000000001</v>
      </c>
      <c r="P247" s="435">
        <f t="shared" si="744"/>
        <v>68.510000000000005</v>
      </c>
      <c r="AE247" s="217"/>
      <c r="AF247" s="217">
        <v>1026</v>
      </c>
      <c r="AH247">
        <f t="shared" si="742"/>
        <v>1026</v>
      </c>
    </row>
    <row r="248" ht="45" hidden="1">
      <c r="A248" s="217"/>
      <c r="B248" s="217">
        <v>1026</v>
      </c>
      <c r="C248" s="217"/>
      <c r="D248" s="217" t="s">
        <v>17167</v>
      </c>
      <c r="E248" s="471" t="s">
        <v>20675</v>
      </c>
      <c r="F248" s="482">
        <v>96543</v>
      </c>
      <c r="G248" s="470" t="s">
        <v>20676</v>
      </c>
      <c r="H248" s="482" t="s">
        <v>302</v>
      </c>
      <c r="I248" s="483">
        <v>5.5999999999999996</v>
      </c>
      <c r="J248" s="473">
        <f t="shared" si="736"/>
        <v>19.829999999999998</v>
      </c>
      <c r="K248" s="474">
        <f t="shared" si="745"/>
        <v>111.04799999999999</v>
      </c>
      <c r="L248" s="475">
        <f t="shared" si="737"/>
        <v>19.210000000000001</v>
      </c>
      <c r="M248" s="474">
        <f t="shared" si="746"/>
        <v>107.57599999999999</v>
      </c>
      <c r="O248" s="434">
        <f t="shared" si="743"/>
        <v>19.829999999999998</v>
      </c>
      <c r="P248" s="435">
        <f t="shared" si="744"/>
        <v>19.210000000000001</v>
      </c>
      <c r="AE248" s="217"/>
      <c r="AF248" s="217">
        <v>1026</v>
      </c>
      <c r="AH248">
        <f t="shared" si="742"/>
        <v>1026</v>
      </c>
    </row>
    <row r="249" ht="45" hidden="1">
      <c r="A249" s="217"/>
      <c r="B249" s="217">
        <v>1026</v>
      </c>
      <c r="C249" s="217"/>
      <c r="D249" s="217" t="s">
        <v>17167</v>
      </c>
      <c r="E249" s="471" t="s">
        <v>20677</v>
      </c>
      <c r="F249" s="482">
        <v>96545</v>
      </c>
      <c r="G249" s="470" t="s">
        <v>20678</v>
      </c>
      <c r="H249" s="482" t="s">
        <v>302</v>
      </c>
      <c r="I249" s="483">
        <v>7.0199999999999996</v>
      </c>
      <c r="J249" s="473">
        <f t="shared" si="736"/>
        <v>15.82</v>
      </c>
      <c r="K249" s="474">
        <f t="shared" si="745"/>
        <v>111.0564</v>
      </c>
      <c r="L249" s="475">
        <f t="shared" si="737"/>
        <v>15.48</v>
      </c>
      <c r="M249" s="474">
        <f t="shared" si="746"/>
        <v>108.6696</v>
      </c>
      <c r="O249" s="434">
        <f t="shared" si="743"/>
        <v>15.82</v>
      </c>
      <c r="P249" s="435">
        <f t="shared" si="744"/>
        <v>15.48</v>
      </c>
      <c r="AE249" s="217"/>
      <c r="AF249" s="217">
        <v>1026</v>
      </c>
      <c r="AH249">
        <f t="shared" si="742"/>
        <v>1026</v>
      </c>
    </row>
    <row r="250" ht="60" hidden="1">
      <c r="A250" s="217"/>
      <c r="B250" s="217">
        <v>1026</v>
      </c>
      <c r="C250" s="217"/>
      <c r="D250" s="217" t="s">
        <v>17167</v>
      </c>
      <c r="E250" s="471" t="s">
        <v>20679</v>
      </c>
      <c r="F250" s="482">
        <v>94964</v>
      </c>
      <c r="G250" s="470" t="s">
        <v>20686</v>
      </c>
      <c r="H250" s="482" t="s">
        <v>15528</v>
      </c>
      <c r="I250" s="483">
        <v>1.48</v>
      </c>
      <c r="J250" s="473">
        <f t="shared" si="736"/>
        <v>488.52999999999997</v>
      </c>
      <c r="K250" s="474">
        <f t="shared" si="745"/>
        <v>723.0243999999999</v>
      </c>
      <c r="L250" s="475">
        <f t="shared" si="737"/>
        <v>482.79000000000002</v>
      </c>
      <c r="M250" s="474">
        <f t="shared" si="746"/>
        <v>714.52920000000006</v>
      </c>
      <c r="O250" s="434">
        <f t="shared" si="743"/>
        <v>488.52999999999997</v>
      </c>
      <c r="P250" s="435">
        <f t="shared" si="744"/>
        <v>482.79000000000002</v>
      </c>
      <c r="AE250" s="217"/>
      <c r="AF250" s="217">
        <v>1026</v>
      </c>
      <c r="AH250">
        <f t="shared" si="742"/>
        <v>1026</v>
      </c>
    </row>
    <row r="251" ht="90" hidden="1">
      <c r="A251" s="217"/>
      <c r="B251" s="217">
        <v>1026</v>
      </c>
      <c r="C251" s="217"/>
      <c r="D251" s="217" t="s">
        <v>20398</v>
      </c>
      <c r="E251" s="471" t="s">
        <v>20681</v>
      </c>
      <c r="F251" s="482">
        <v>1001</v>
      </c>
      <c r="G251" s="470" t="s">
        <v>20690</v>
      </c>
      <c r="H251" s="482" t="s">
        <v>15515</v>
      </c>
      <c r="I251" s="483">
        <v>6.7699999999999996</v>
      </c>
      <c r="J251" s="473">
        <f t="shared" si="736"/>
        <v>44.575159999999997</v>
      </c>
      <c r="K251" s="474">
        <f t="shared" si="745"/>
        <v>301.77383319999996</v>
      </c>
      <c r="L251" s="475">
        <f t="shared" si="737"/>
        <v>43.366774000000007</v>
      </c>
      <c r="M251" s="474">
        <f t="shared" si="746"/>
        <v>293.59305998000002</v>
      </c>
      <c r="O251" s="434">
        <f t="shared" si="743"/>
        <v>44.575159999999997</v>
      </c>
      <c r="P251" s="435">
        <f t="shared" si="744"/>
        <v>43.366774000000007</v>
      </c>
      <c r="AE251" s="217"/>
      <c r="AF251" s="217">
        <v>1026</v>
      </c>
      <c r="AH251">
        <f t="shared" si="742"/>
        <v>1026</v>
      </c>
    </row>
    <row r="252" ht="78.75" hidden="1">
      <c r="A252" s="460">
        <v>1027</v>
      </c>
      <c r="B252" s="460">
        <v>1027</v>
      </c>
      <c r="C252" s="460"/>
      <c r="D252" s="460"/>
      <c r="E252" s="461">
        <v>1</v>
      </c>
      <c r="F252" s="462" t="s">
        <v>20838</v>
      </c>
      <c r="G252" s="477" t="s">
        <v>20839</v>
      </c>
      <c r="H252" s="478" t="s">
        <v>15515</v>
      </c>
      <c r="I252" s="479"/>
      <c r="J252" s="480"/>
      <c r="K252" s="466">
        <f>SUM(K253:K260)</f>
        <v>365.51981999999998</v>
      </c>
      <c r="L252" s="480"/>
      <c r="M252" s="466">
        <f>SUM(M253:M260)</f>
        <v>358.72910739999998</v>
      </c>
      <c r="O252" s="434" t="str">
        <f t="shared" si="743"/>
        <v xml:space="preserve">SEM VALOR</v>
      </c>
      <c r="P252" s="435" t="str">
        <f t="shared" si="744"/>
        <v xml:space="preserve">SEM VALOR</v>
      </c>
      <c r="AE252" s="460">
        <v>1027</v>
      </c>
      <c r="AF252" s="460"/>
      <c r="AH252">
        <f t="shared" si="742"/>
        <v>1027</v>
      </c>
    </row>
    <row r="253" ht="45" hidden="1">
      <c r="A253" s="217"/>
      <c r="B253" s="217">
        <v>1027</v>
      </c>
      <c r="C253" s="217"/>
      <c r="D253" s="217" t="s">
        <v>17167</v>
      </c>
      <c r="E253" s="471" t="s">
        <v>20399</v>
      </c>
      <c r="F253" s="482">
        <v>92267</v>
      </c>
      <c r="G253" s="470" t="s">
        <v>20799</v>
      </c>
      <c r="H253" s="482" t="s">
        <v>15515</v>
      </c>
      <c r="I253" s="483">
        <v>1.3600000000000001</v>
      </c>
      <c r="J253" s="473">
        <f t="shared" si="736"/>
        <v>50.18</v>
      </c>
      <c r="K253" s="474">
        <f t="shared" ref="K253:K260" si="747">I253*J253</f>
        <v>68.244799999999998</v>
      </c>
      <c r="L253" s="475">
        <f t="shared" si="737"/>
        <v>50.109999999999999</v>
      </c>
      <c r="M253" s="474">
        <f t="shared" ref="M253:M260" si="748">L253*I253</f>
        <v>68.149600000000007</v>
      </c>
      <c r="O253" s="434">
        <f t="shared" si="743"/>
        <v>50.18</v>
      </c>
      <c r="P253" s="435">
        <f t="shared" si="744"/>
        <v>50.109999999999999</v>
      </c>
      <c r="AE253" s="217"/>
      <c r="AF253" s="217">
        <v>1027</v>
      </c>
      <c r="AH253">
        <f t="shared" si="742"/>
        <v>1027</v>
      </c>
    </row>
    <row r="254" ht="45" hidden="1">
      <c r="A254" s="217"/>
      <c r="B254" s="217">
        <v>1027</v>
      </c>
      <c r="C254" s="217"/>
      <c r="D254" s="217" t="s">
        <v>20398</v>
      </c>
      <c r="E254" s="471" t="s">
        <v>20402</v>
      </c>
      <c r="F254" s="482">
        <v>1028</v>
      </c>
      <c r="G254" s="470" t="s">
        <v>20840</v>
      </c>
      <c r="H254" s="482" t="s">
        <v>302</v>
      </c>
      <c r="I254" s="483">
        <v>0.29999999999999999</v>
      </c>
      <c r="J254" s="473">
        <f t="shared" si="736"/>
        <v>18.1998</v>
      </c>
      <c r="K254" s="474">
        <f t="shared" si="747"/>
        <v>5.4599399999999996</v>
      </c>
      <c r="L254" s="475">
        <f t="shared" si="737"/>
        <v>17.669228</v>
      </c>
      <c r="M254" s="474">
        <f t="shared" si="748"/>
        <v>5.3007683999999999</v>
      </c>
      <c r="O254" s="434">
        <f t="shared" si="743"/>
        <v>18.1998</v>
      </c>
      <c r="P254" s="435">
        <f t="shared" si="744"/>
        <v>17.669228</v>
      </c>
      <c r="AE254" s="217"/>
      <c r="AF254" s="217">
        <v>1027</v>
      </c>
      <c r="AH254">
        <f t="shared" si="742"/>
        <v>1027</v>
      </c>
    </row>
    <row r="255" ht="45" hidden="1">
      <c r="A255" s="217"/>
      <c r="B255" s="217">
        <v>1027</v>
      </c>
      <c r="C255" s="217"/>
      <c r="D255" s="217" t="s">
        <v>17167</v>
      </c>
      <c r="E255" s="471" t="s">
        <v>20405</v>
      </c>
      <c r="F255" s="482">
        <v>96544</v>
      </c>
      <c r="G255" s="470" t="s">
        <v>20841</v>
      </c>
      <c r="H255" s="482" t="s">
        <v>302</v>
      </c>
      <c r="I255" s="483">
        <v>10.1</v>
      </c>
      <c r="J255" s="473">
        <f t="shared" si="736"/>
        <v>17.699999999999999</v>
      </c>
      <c r="K255" s="474">
        <f t="shared" si="747"/>
        <v>178.76999999999998</v>
      </c>
      <c r="L255" s="475">
        <f t="shared" si="737"/>
        <v>17.23</v>
      </c>
      <c r="M255" s="474">
        <f t="shared" si="748"/>
        <v>174.023</v>
      </c>
      <c r="O255" s="434">
        <f t="shared" si="743"/>
        <v>17.699999999999999</v>
      </c>
      <c r="P255" s="435">
        <f t="shared" si="744"/>
        <v>17.23</v>
      </c>
      <c r="AE255" s="217"/>
      <c r="AF255" s="217">
        <v>1027</v>
      </c>
      <c r="AH255">
        <f t="shared" si="742"/>
        <v>1027</v>
      </c>
    </row>
    <row r="256" ht="120" hidden="1">
      <c r="A256" s="217"/>
      <c r="B256" s="217">
        <v>1027</v>
      </c>
      <c r="C256" s="217"/>
      <c r="D256" s="217" t="s">
        <v>17167</v>
      </c>
      <c r="E256" s="471" t="s">
        <v>20409</v>
      </c>
      <c r="F256" s="482">
        <v>5928</v>
      </c>
      <c r="G256" s="470" t="s">
        <v>20842</v>
      </c>
      <c r="H256" s="482" t="s">
        <v>1535</v>
      </c>
      <c r="I256" s="483">
        <v>0.10000000000000001</v>
      </c>
      <c r="J256" s="473">
        <f t="shared" si="736"/>
        <v>298.70999999999998</v>
      </c>
      <c r="K256" s="474">
        <f t="shared" si="747"/>
        <v>29.870999999999999</v>
      </c>
      <c r="L256" s="475">
        <f t="shared" si="737"/>
        <v>296.98000000000002</v>
      </c>
      <c r="M256" s="474">
        <f t="shared" si="748"/>
        <v>29.698000000000004</v>
      </c>
      <c r="O256" s="434">
        <f t="shared" si="743"/>
        <v>298.70999999999998</v>
      </c>
      <c r="P256" s="435">
        <f t="shared" si="744"/>
        <v>296.98000000000002</v>
      </c>
      <c r="AE256" s="217"/>
      <c r="AF256" s="217">
        <v>1027</v>
      </c>
      <c r="AH256">
        <f t="shared" si="742"/>
        <v>1027</v>
      </c>
    </row>
    <row r="257" ht="105" hidden="1">
      <c r="A257" s="217"/>
      <c r="B257" s="217">
        <v>1027</v>
      </c>
      <c r="C257" s="217"/>
      <c r="D257" s="217" t="s">
        <v>20398</v>
      </c>
      <c r="E257" s="471" t="s">
        <v>20663</v>
      </c>
      <c r="F257" s="482">
        <v>1092</v>
      </c>
      <c r="G257" s="470" t="s">
        <v>20666</v>
      </c>
      <c r="H257" s="482" t="s">
        <v>15528</v>
      </c>
      <c r="I257" s="483">
        <f>0.1</f>
        <v>0.10000000000000001</v>
      </c>
      <c r="J257" s="473">
        <f t="shared" si="736"/>
        <v>2.2000000000000002</v>
      </c>
      <c r="K257" s="474">
        <f t="shared" si="747"/>
        <v>0.22000000000000003</v>
      </c>
      <c r="L257" s="475">
        <f t="shared" si="737"/>
        <v>2.1879900000000001</v>
      </c>
      <c r="M257" s="474">
        <f t="shared" si="748"/>
        <v>0.21879900000000002</v>
      </c>
      <c r="O257" s="434">
        <f t="shared" si="743"/>
        <v>2.2000000000000002</v>
      </c>
      <c r="P257" s="435">
        <f t="shared" si="744"/>
        <v>2.1879900000000001</v>
      </c>
      <c r="AE257" s="217"/>
      <c r="AF257" s="217">
        <v>1027</v>
      </c>
      <c r="AH257">
        <f t="shared" si="742"/>
        <v>1027</v>
      </c>
    </row>
    <row r="258" ht="60" hidden="1">
      <c r="A258" s="217"/>
      <c r="B258" s="217">
        <v>1027</v>
      </c>
      <c r="C258" s="217"/>
      <c r="D258" s="217" t="s">
        <v>17167</v>
      </c>
      <c r="E258" s="471" t="s">
        <v>20665</v>
      </c>
      <c r="F258" s="482">
        <v>95875</v>
      </c>
      <c r="G258" s="470" t="s">
        <v>20668</v>
      </c>
      <c r="H258" s="482" t="s">
        <v>20669</v>
      </c>
      <c r="I258" s="483">
        <f>I257*5</f>
        <v>0.5</v>
      </c>
      <c r="J258" s="473">
        <f t="shared" si="736"/>
        <v>2.7599999999999998</v>
      </c>
      <c r="K258" s="474">
        <f t="shared" si="747"/>
        <v>1.3799999999999999</v>
      </c>
      <c r="L258" s="475">
        <f t="shared" si="737"/>
        <v>2.73</v>
      </c>
      <c r="M258" s="474">
        <f t="shared" si="748"/>
        <v>1.365</v>
      </c>
      <c r="N258" s="467" t="s">
        <v>20670</v>
      </c>
      <c r="O258" s="434">
        <f t="shared" si="743"/>
        <v>2.7599999999999998</v>
      </c>
      <c r="P258" s="435">
        <f t="shared" si="744"/>
        <v>2.73</v>
      </c>
      <c r="AE258" s="217"/>
      <c r="AF258" s="217">
        <v>1027</v>
      </c>
      <c r="AH258">
        <f t="shared" si="742"/>
        <v>1027</v>
      </c>
    </row>
    <row r="259" ht="60" hidden="1">
      <c r="A259" s="217"/>
      <c r="B259" s="217">
        <v>1027</v>
      </c>
      <c r="C259" s="217"/>
      <c r="D259" s="217" t="s">
        <v>17167</v>
      </c>
      <c r="E259" s="471" t="s">
        <v>20667</v>
      </c>
      <c r="F259" s="482">
        <v>94966</v>
      </c>
      <c r="G259" s="470" t="s">
        <v>20843</v>
      </c>
      <c r="H259" s="482" t="s">
        <v>15528</v>
      </c>
      <c r="I259" s="483">
        <v>0.12</v>
      </c>
      <c r="J259" s="473">
        <f t="shared" si="736"/>
        <v>529.88</v>
      </c>
      <c r="K259" s="474">
        <f t="shared" si="747"/>
        <v>63.585599999999999</v>
      </c>
      <c r="L259" s="475">
        <f t="shared" si="737"/>
        <v>524.67999999999995</v>
      </c>
      <c r="M259" s="474">
        <f t="shared" si="748"/>
        <v>62.96159999999999</v>
      </c>
      <c r="O259" s="434">
        <f t="shared" si="743"/>
        <v>529.88</v>
      </c>
      <c r="P259" s="435">
        <f t="shared" si="744"/>
        <v>524.67999999999995</v>
      </c>
      <c r="AE259" s="217"/>
      <c r="AF259" s="217">
        <v>1027</v>
      </c>
      <c r="AH259">
        <f t="shared" si="742"/>
        <v>1027</v>
      </c>
    </row>
    <row r="260" ht="45" hidden="1">
      <c r="A260" s="217"/>
      <c r="B260" s="217">
        <v>1027</v>
      </c>
      <c r="C260" s="217"/>
      <c r="D260" s="217" t="s">
        <v>20398</v>
      </c>
      <c r="E260" s="471" t="s">
        <v>20671</v>
      </c>
      <c r="F260" s="482">
        <v>1000</v>
      </c>
      <c r="G260" s="470" t="s">
        <v>20651</v>
      </c>
      <c r="H260" s="482" t="s">
        <v>15528</v>
      </c>
      <c r="I260" s="483">
        <f>I259</f>
        <v>0.12</v>
      </c>
      <c r="J260" s="473">
        <f t="shared" si="736"/>
        <v>149.904</v>
      </c>
      <c r="K260" s="474">
        <f t="shared" si="747"/>
        <v>17.988479999999999</v>
      </c>
      <c r="L260" s="475">
        <f t="shared" si="737"/>
        <v>141.76949999999999</v>
      </c>
      <c r="M260" s="474">
        <f t="shared" si="748"/>
        <v>17.012339999999998</v>
      </c>
      <c r="O260" s="434">
        <f t="shared" si="743"/>
        <v>149.904</v>
      </c>
      <c r="P260" s="435">
        <f t="shared" si="744"/>
        <v>141.76949999999999</v>
      </c>
      <c r="AE260" s="217"/>
      <c r="AF260" s="217">
        <v>1027</v>
      </c>
      <c r="AH260">
        <f t="shared" si="742"/>
        <v>1027</v>
      </c>
    </row>
    <row r="261" ht="47.25" hidden="1">
      <c r="A261" s="460">
        <v>1028</v>
      </c>
      <c r="B261" s="460">
        <v>1028</v>
      </c>
      <c r="C261" s="460"/>
      <c r="D261" s="460"/>
      <c r="E261" s="461">
        <v>1</v>
      </c>
      <c r="F261" s="462" t="s">
        <v>20844</v>
      </c>
      <c r="G261" s="477" t="s">
        <v>20845</v>
      </c>
      <c r="H261" s="478" t="s">
        <v>15370</v>
      </c>
      <c r="I261" s="479"/>
      <c r="J261" s="480"/>
      <c r="K261" s="466">
        <f>SUM(K262:K269)</f>
        <v>18.1998</v>
      </c>
      <c r="L261" s="480"/>
      <c r="M261" s="466">
        <f>SUM(M262:M269)</f>
        <v>17.669228</v>
      </c>
      <c r="O261" s="434" t="str">
        <f t="shared" si="743"/>
        <v xml:space="preserve">SEM VALOR</v>
      </c>
      <c r="P261" s="435" t="str">
        <f t="shared" si="744"/>
        <v xml:space="preserve">SEM VALOR</v>
      </c>
      <c r="AE261" s="460">
        <v>1028</v>
      </c>
      <c r="AF261" s="460"/>
      <c r="AH261">
        <f t="shared" si="742"/>
        <v>1028</v>
      </c>
    </row>
    <row r="262" ht="60" hidden="1">
      <c r="A262" s="217"/>
      <c r="B262" s="217">
        <v>1028</v>
      </c>
      <c r="C262" s="217"/>
      <c r="D262" s="217" t="s">
        <v>20408</v>
      </c>
      <c r="E262" s="471" t="s">
        <v>20399</v>
      </c>
      <c r="F262" s="482">
        <v>39017</v>
      </c>
      <c r="G262" s="470" t="s">
        <v>12419</v>
      </c>
      <c r="H262" s="482" t="s">
        <v>31</v>
      </c>
      <c r="I262" s="483">
        <v>1.9664999999999999</v>
      </c>
      <c r="J262" s="473">
        <f t="shared" si="736"/>
        <v>0.22</v>
      </c>
      <c r="K262" s="474">
        <f t="shared" ref="K262:K269" si="749">I262*J262</f>
        <v>0.43262999999999996</v>
      </c>
      <c r="L262" s="475">
        <f t="shared" si="737"/>
        <v>0.22</v>
      </c>
      <c r="M262" s="474">
        <f t="shared" ref="M262:M269" si="750">L262*I262</f>
        <v>0.43262999999999996</v>
      </c>
      <c r="O262" s="434">
        <f t="shared" si="743"/>
        <v>0.22</v>
      </c>
      <c r="P262" s="435">
        <f t="shared" si="744"/>
        <v>0.22</v>
      </c>
      <c r="AE262" s="217"/>
      <c r="AF262" s="217">
        <v>1028</v>
      </c>
      <c r="AH262">
        <f t="shared" si="742"/>
        <v>1028</v>
      </c>
    </row>
    <row r="263" ht="45" hidden="1">
      <c r="A263" s="217"/>
      <c r="B263" s="217">
        <v>1028</v>
      </c>
      <c r="C263" s="217"/>
      <c r="D263" s="217" t="s">
        <v>20408</v>
      </c>
      <c r="E263" s="471" t="s">
        <v>20402</v>
      </c>
      <c r="F263" s="482">
        <v>43132</v>
      </c>
      <c r="G263" s="470" t="s">
        <v>20846</v>
      </c>
      <c r="H263" s="482" t="s">
        <v>302</v>
      </c>
      <c r="I263" s="483">
        <v>2.5000000000000001e-002</v>
      </c>
      <c r="J263" s="473">
        <f t="shared" si="736"/>
        <v>18.780000000000001</v>
      </c>
      <c r="K263" s="474">
        <f t="shared" si="749"/>
        <v>0.46950000000000003</v>
      </c>
      <c r="L263" s="475">
        <f t="shared" si="737"/>
        <v>18.780000000000001</v>
      </c>
      <c r="M263" s="474">
        <f t="shared" si="750"/>
        <v>0.46950000000000003</v>
      </c>
      <c r="O263" s="434">
        <f t="shared" si="743"/>
        <v>18.780000000000001</v>
      </c>
      <c r="P263" s="435">
        <f t="shared" si="744"/>
        <v>18.780000000000001</v>
      </c>
      <c r="AE263" s="217"/>
      <c r="AF263" s="217">
        <v>1028</v>
      </c>
      <c r="AH263">
        <f t="shared" si="742"/>
        <v>1028</v>
      </c>
    </row>
    <row r="264" ht="30" hidden="1">
      <c r="A264" s="217"/>
      <c r="B264" s="217">
        <v>1028</v>
      </c>
      <c r="C264" s="217"/>
      <c r="D264" s="217" t="s">
        <v>17167</v>
      </c>
      <c r="E264" s="471" t="s">
        <v>20405</v>
      </c>
      <c r="F264" s="482">
        <v>88238</v>
      </c>
      <c r="G264" s="470" t="s">
        <v>7086</v>
      </c>
      <c r="H264" s="482" t="s">
        <v>2032</v>
      </c>
      <c r="I264" s="483">
        <v>6.3500000000000001e-002</v>
      </c>
      <c r="J264" s="473">
        <f t="shared" si="736"/>
        <v>23.48</v>
      </c>
      <c r="K264" s="474">
        <f t="shared" si="749"/>
        <v>1.49098</v>
      </c>
      <c r="L264" s="475">
        <f t="shared" si="737"/>
        <v>22.219999999999999</v>
      </c>
      <c r="M264" s="474">
        <f t="shared" si="750"/>
        <v>1.4109700000000001</v>
      </c>
      <c r="O264" s="434">
        <f t="shared" si="743"/>
        <v>23.48</v>
      </c>
      <c r="P264" s="435">
        <f t="shared" si="744"/>
        <v>22.219999999999999</v>
      </c>
      <c r="AE264" s="217"/>
      <c r="AF264" s="217">
        <v>1028</v>
      </c>
      <c r="AH264">
        <f t="shared" si="742"/>
        <v>1028</v>
      </c>
    </row>
    <row r="265" ht="30" hidden="1">
      <c r="A265" s="217"/>
      <c r="B265" s="217">
        <v>1028</v>
      </c>
      <c r="C265" s="217"/>
      <c r="D265" s="217" t="s">
        <v>17167</v>
      </c>
      <c r="E265" s="471" t="s">
        <v>20409</v>
      </c>
      <c r="F265" s="482">
        <v>88245</v>
      </c>
      <c r="G265" s="470" t="s">
        <v>7099</v>
      </c>
      <c r="H265" s="482" t="s">
        <v>2032</v>
      </c>
      <c r="I265" s="483">
        <v>0.19450000000000001</v>
      </c>
      <c r="J265" s="473">
        <f t="shared" si="736"/>
        <v>28.289999999999999</v>
      </c>
      <c r="K265" s="474">
        <f t="shared" si="749"/>
        <v>5.5024050000000004</v>
      </c>
      <c r="L265" s="475">
        <f t="shared" si="737"/>
        <v>26.68</v>
      </c>
      <c r="M265" s="474">
        <f t="shared" si="750"/>
        <v>5.18926</v>
      </c>
      <c r="O265" s="434">
        <f t="shared" si="743"/>
        <v>28.289999999999999</v>
      </c>
      <c r="P265" s="435">
        <f t="shared" si="744"/>
        <v>26.68</v>
      </c>
      <c r="AE265" s="217"/>
      <c r="AF265" s="217">
        <v>1028</v>
      </c>
      <c r="AH265">
        <f t="shared" si="742"/>
        <v>1028</v>
      </c>
    </row>
    <row r="266" ht="63" hidden="1">
      <c r="A266" s="460"/>
      <c r="B266" s="217">
        <v>1028</v>
      </c>
      <c r="C266" s="460"/>
      <c r="D266" s="460"/>
      <c r="E266" s="503"/>
      <c r="F266" s="504"/>
      <c r="G266" s="505" t="s">
        <v>20847</v>
      </c>
      <c r="H266" s="504" t="s">
        <v>302</v>
      </c>
      <c r="I266" s="506">
        <v>1</v>
      </c>
      <c r="J266" s="507"/>
      <c r="K266" s="508"/>
      <c r="L266" s="481"/>
      <c r="M266" s="508"/>
      <c r="O266" s="434" t="str">
        <f t="shared" si="743"/>
        <v xml:space="preserve">SEM VALOR</v>
      </c>
      <c r="P266" s="435" t="str">
        <f t="shared" si="744"/>
        <v xml:space="preserve">SEM VALOR</v>
      </c>
      <c r="AE266" s="460"/>
      <c r="AF266" s="460"/>
      <c r="AH266">
        <f t="shared" si="742"/>
        <v>0</v>
      </c>
    </row>
    <row r="267" ht="30" hidden="1">
      <c r="A267" s="217"/>
      <c r="B267" s="217">
        <v>1028</v>
      </c>
      <c r="C267" s="217"/>
      <c r="D267" s="217" t="s">
        <v>20408</v>
      </c>
      <c r="E267" s="471" t="s">
        <v>20663</v>
      </c>
      <c r="F267" s="482">
        <v>43059</v>
      </c>
      <c r="G267" s="470" t="s">
        <v>10525</v>
      </c>
      <c r="H267" s="482" t="s">
        <v>302</v>
      </c>
      <c r="I267" s="483">
        <v>1.0700000000000001</v>
      </c>
      <c r="J267" s="473">
        <f t="shared" ref="J267:J330" si="751">O267*$J$3</f>
        <v>7.3600000000000003</v>
      </c>
      <c r="K267" s="474">
        <f t="shared" si="749"/>
        <v>7.8752000000000004</v>
      </c>
      <c r="L267" s="475">
        <f t="shared" ref="L267:L330" si="752">P267*$L$3</f>
        <v>7.3600000000000003</v>
      </c>
      <c r="M267" s="474">
        <f t="shared" si="750"/>
        <v>7.8752000000000004</v>
      </c>
      <c r="O267" s="434">
        <f t="shared" si="743"/>
        <v>7.3600000000000003</v>
      </c>
      <c r="P267" s="435">
        <f t="shared" si="744"/>
        <v>7.3600000000000003</v>
      </c>
      <c r="AE267" s="217"/>
      <c r="AF267" s="217">
        <v>1028</v>
      </c>
      <c r="AH267">
        <f t="shared" si="742"/>
        <v>1028</v>
      </c>
    </row>
    <row r="268" ht="30" hidden="1">
      <c r="A268" s="217"/>
      <c r="B268" s="217">
        <v>1028</v>
      </c>
      <c r="C268" s="217"/>
      <c r="D268" s="217" t="s">
        <v>17167</v>
      </c>
      <c r="E268" s="471" t="s">
        <v>20665</v>
      </c>
      <c r="F268" s="482">
        <v>88238</v>
      </c>
      <c r="G268" s="470" t="s">
        <v>7086</v>
      </c>
      <c r="H268" s="482" t="s">
        <v>2032</v>
      </c>
      <c r="I268" s="483">
        <v>1.0800000000000001e-002</v>
      </c>
      <c r="J268" s="473">
        <f t="shared" si="751"/>
        <v>23.48</v>
      </c>
      <c r="K268" s="474">
        <f t="shared" si="749"/>
        <v>0.25358400000000003</v>
      </c>
      <c r="L268" s="475">
        <f t="shared" si="752"/>
        <v>22.219999999999999</v>
      </c>
      <c r="M268" s="474">
        <f t="shared" si="750"/>
        <v>0.23997599999999999</v>
      </c>
      <c r="O268" s="434">
        <f t="shared" si="743"/>
        <v>23.48</v>
      </c>
      <c r="P268" s="435">
        <f t="shared" si="744"/>
        <v>22.219999999999999</v>
      </c>
      <c r="AE268" s="217"/>
      <c r="AF268" s="217">
        <v>1028</v>
      </c>
      <c r="AH268">
        <f t="shared" si="742"/>
        <v>1028</v>
      </c>
    </row>
    <row r="269" ht="30" hidden="1">
      <c r="A269" s="217"/>
      <c r="B269" s="217">
        <v>1028</v>
      </c>
      <c r="C269" s="217"/>
      <c r="D269" s="217" t="s">
        <v>17167</v>
      </c>
      <c r="E269" s="471" t="s">
        <v>20667</v>
      </c>
      <c r="F269" s="482">
        <v>88245</v>
      </c>
      <c r="G269" s="470" t="s">
        <v>7099</v>
      </c>
      <c r="H269" s="482" t="s">
        <v>2032</v>
      </c>
      <c r="I269" s="483">
        <v>7.6899999999999996e-002</v>
      </c>
      <c r="J269" s="473">
        <f t="shared" si="751"/>
        <v>28.289999999999999</v>
      </c>
      <c r="K269" s="474">
        <f t="shared" si="749"/>
        <v>2.1755009999999997</v>
      </c>
      <c r="L269" s="475">
        <f t="shared" si="752"/>
        <v>26.68</v>
      </c>
      <c r="M269" s="474">
        <f t="shared" si="750"/>
        <v>2.0516920000000001</v>
      </c>
      <c r="O269" s="434">
        <f t="shared" si="743"/>
        <v>28.289999999999999</v>
      </c>
      <c r="P269" s="435">
        <f t="shared" si="744"/>
        <v>26.68</v>
      </c>
      <c r="AE269" s="217"/>
      <c r="AF269" s="217">
        <v>1028</v>
      </c>
      <c r="AH269">
        <f t="shared" si="742"/>
        <v>1028</v>
      </c>
    </row>
    <row r="270" ht="31.5" hidden="1">
      <c r="A270" s="460">
        <v>1029</v>
      </c>
      <c r="B270" s="460">
        <v>1029</v>
      </c>
      <c r="C270" s="460"/>
      <c r="D270" s="460"/>
      <c r="E270" s="461">
        <v>1</v>
      </c>
      <c r="F270" s="462" t="s">
        <v>20848</v>
      </c>
      <c r="G270" s="477" t="s">
        <v>20849</v>
      </c>
      <c r="H270" s="478" t="s">
        <v>20647</v>
      </c>
      <c r="I270" s="479"/>
      <c r="J270" s="480"/>
      <c r="K270" s="466">
        <f>SUM(K271:K278)</f>
        <v>17229.28264664</v>
      </c>
      <c r="L270" s="480"/>
      <c r="M270" s="466">
        <f>SUM(M271:M278)</f>
        <v>16845.455457740001</v>
      </c>
      <c r="O270" s="434" t="str">
        <f t="shared" si="743"/>
        <v xml:space="preserve">SEM VALOR</v>
      </c>
      <c r="P270" s="435" t="str">
        <f t="shared" si="744"/>
        <v xml:space="preserve">SEM VALOR</v>
      </c>
      <c r="AE270" s="460">
        <v>1029</v>
      </c>
      <c r="AF270" s="460"/>
      <c r="AH270">
        <f t="shared" si="742"/>
        <v>1029</v>
      </c>
    </row>
    <row r="271" ht="60" hidden="1">
      <c r="A271" s="217"/>
      <c r="B271" s="217">
        <v>1029</v>
      </c>
      <c r="C271" s="217"/>
      <c r="D271" s="217" t="s">
        <v>20398</v>
      </c>
      <c r="E271" s="471" t="s">
        <v>20399</v>
      </c>
      <c r="F271" s="482">
        <v>1095</v>
      </c>
      <c r="G271" s="470" t="s">
        <v>20850</v>
      </c>
      <c r="H271" s="482" t="s">
        <v>15528</v>
      </c>
      <c r="I271" s="483">
        <v>52.390000000000001</v>
      </c>
      <c r="J271" s="473">
        <f t="shared" si="751"/>
        <v>3.7665760000000001</v>
      </c>
      <c r="K271" s="474">
        <f t="shared" ref="K271:K278" si="753">I271*J271</f>
        <v>197.33091664</v>
      </c>
      <c r="L271" s="475">
        <f t="shared" si="752"/>
        <v>3.7331360000000005</v>
      </c>
      <c r="M271" s="474">
        <f t="shared" ref="M271:M278" si="754">L271*I271</f>
        <v>195.57899504000002</v>
      </c>
      <c r="O271" s="434">
        <f t="shared" si="743"/>
        <v>3.7665760000000001</v>
      </c>
      <c r="P271" s="435">
        <f t="shared" si="744"/>
        <v>3.7331360000000005</v>
      </c>
      <c r="AE271" s="217"/>
      <c r="AF271" s="217">
        <v>1029</v>
      </c>
      <c r="AH271">
        <f t="shared" si="742"/>
        <v>1029</v>
      </c>
    </row>
    <row r="272" ht="60" hidden="1">
      <c r="A272" s="217"/>
      <c r="B272" s="217">
        <v>1029</v>
      </c>
      <c r="C272" s="217"/>
      <c r="D272" s="217" t="s">
        <v>20398</v>
      </c>
      <c r="E272" s="471" t="s">
        <v>20402</v>
      </c>
      <c r="F272" s="482">
        <v>1258</v>
      </c>
      <c r="G272" s="488" t="s">
        <v>20660</v>
      </c>
      <c r="H272" s="482" t="s">
        <v>15515</v>
      </c>
      <c r="I272" s="483">
        <v>17.239999999999998</v>
      </c>
      <c r="J272" s="473">
        <f t="shared" si="751"/>
        <v>7.5700000000000003</v>
      </c>
      <c r="K272" s="474">
        <f t="shared" si="753"/>
        <v>130.5068</v>
      </c>
      <c r="L272" s="475">
        <f t="shared" si="752"/>
        <v>7.1846199999999998</v>
      </c>
      <c r="M272" s="474">
        <f t="shared" si="754"/>
        <v>123.86284879999998</v>
      </c>
      <c r="O272" s="434">
        <f t="shared" si="743"/>
        <v>7.5700000000000003</v>
      </c>
      <c r="P272" s="435">
        <f t="shared" si="744"/>
        <v>7.1846199999999998</v>
      </c>
      <c r="AE272" s="217"/>
      <c r="AF272" s="217">
        <v>1029</v>
      </c>
      <c r="AH272">
        <f t="shared" si="742"/>
        <v>1029</v>
      </c>
    </row>
    <row r="273" ht="60" hidden="1">
      <c r="A273" s="217"/>
      <c r="B273" s="217">
        <v>1029</v>
      </c>
      <c r="C273" s="217"/>
      <c r="D273" s="217" t="s">
        <v>17167</v>
      </c>
      <c r="E273" s="471" t="s">
        <v>20405</v>
      </c>
      <c r="F273" s="482">
        <v>94964</v>
      </c>
      <c r="G273" s="470" t="s">
        <v>20686</v>
      </c>
      <c r="H273" s="482" t="s">
        <v>15528</v>
      </c>
      <c r="I273" s="483">
        <v>16.469999999999999</v>
      </c>
      <c r="J273" s="473">
        <f t="shared" si="751"/>
        <v>488.52999999999997</v>
      </c>
      <c r="K273" s="474">
        <f t="shared" si="753"/>
        <v>8046.0890999999992</v>
      </c>
      <c r="L273" s="475">
        <f t="shared" si="752"/>
        <v>482.79000000000002</v>
      </c>
      <c r="M273" s="474">
        <f t="shared" si="754"/>
        <v>7951.5513000000001</v>
      </c>
      <c r="O273" s="434">
        <f t="shared" si="743"/>
        <v>488.52999999999997</v>
      </c>
      <c r="P273" s="435">
        <f t="shared" si="744"/>
        <v>482.79000000000002</v>
      </c>
      <c r="AE273" s="217"/>
      <c r="AF273" s="217">
        <v>1029</v>
      </c>
      <c r="AH273">
        <f t="shared" si="742"/>
        <v>1029</v>
      </c>
    </row>
    <row r="274" ht="45" hidden="1">
      <c r="A274" s="217"/>
      <c r="B274" s="217">
        <v>1029</v>
      </c>
      <c r="C274" s="217"/>
      <c r="D274" s="217" t="s">
        <v>20398</v>
      </c>
      <c r="E274" s="471" t="s">
        <v>20409</v>
      </c>
      <c r="F274" s="482">
        <v>1000</v>
      </c>
      <c r="G274" s="470" t="s">
        <v>20651</v>
      </c>
      <c r="H274" s="482" t="s">
        <v>15528</v>
      </c>
      <c r="I274" s="483">
        <f>I273</f>
        <v>16.469999999999999</v>
      </c>
      <c r="J274" s="473">
        <f t="shared" si="751"/>
        <v>149.904</v>
      </c>
      <c r="K274" s="474">
        <f t="shared" si="753"/>
        <v>2468.9188799999997</v>
      </c>
      <c r="L274" s="475">
        <f t="shared" si="752"/>
        <v>141.76949999999999</v>
      </c>
      <c r="M274" s="474">
        <f t="shared" si="754"/>
        <v>2334.9436649999998</v>
      </c>
      <c r="O274" s="434">
        <f t="shared" si="743"/>
        <v>149.904</v>
      </c>
      <c r="P274" s="435">
        <f t="shared" si="744"/>
        <v>141.76949999999999</v>
      </c>
      <c r="AE274" s="217"/>
      <c r="AF274" s="217">
        <v>1029</v>
      </c>
      <c r="AH274">
        <f t="shared" si="742"/>
        <v>1029</v>
      </c>
    </row>
    <row r="275" ht="105" hidden="1">
      <c r="A275" s="217"/>
      <c r="B275" s="217">
        <v>1029</v>
      </c>
      <c r="C275" s="217"/>
      <c r="D275" s="217" t="s">
        <v>17167</v>
      </c>
      <c r="E275" s="471" t="s">
        <v>20663</v>
      </c>
      <c r="F275" s="482">
        <v>92431</v>
      </c>
      <c r="G275" s="470" t="s">
        <v>20674</v>
      </c>
      <c r="H275" s="482" t="s">
        <v>15515</v>
      </c>
      <c r="I275" s="483">
        <v>40.439999999999998</v>
      </c>
      <c r="J275" s="473">
        <f t="shared" si="751"/>
        <v>70.030000000000001</v>
      </c>
      <c r="K275" s="474">
        <f t="shared" si="753"/>
        <v>2832.0131999999999</v>
      </c>
      <c r="L275" s="475">
        <f t="shared" si="752"/>
        <v>68.510000000000005</v>
      </c>
      <c r="M275" s="474">
        <f t="shared" si="754"/>
        <v>2770.5444000000002</v>
      </c>
      <c r="O275" s="434">
        <f t="shared" si="743"/>
        <v>70.030000000000001</v>
      </c>
      <c r="P275" s="435">
        <f t="shared" si="744"/>
        <v>68.510000000000005</v>
      </c>
      <c r="AE275" s="217"/>
      <c r="AF275" s="217">
        <v>1029</v>
      </c>
      <c r="AH275">
        <f t="shared" si="742"/>
        <v>1029</v>
      </c>
    </row>
    <row r="276" ht="105" hidden="1">
      <c r="A276" s="217"/>
      <c r="B276" s="217">
        <v>1029</v>
      </c>
      <c r="C276" s="217"/>
      <c r="D276" s="217" t="s">
        <v>20398</v>
      </c>
      <c r="E276" s="471" t="s">
        <v>20665</v>
      </c>
      <c r="F276" s="482">
        <v>1092</v>
      </c>
      <c r="G276" s="470" t="s">
        <v>20666</v>
      </c>
      <c r="H276" s="482" t="s">
        <v>15528</v>
      </c>
      <c r="I276" s="483">
        <v>68.109999999999999</v>
      </c>
      <c r="J276" s="473">
        <f t="shared" si="751"/>
        <v>2.2000000000000002</v>
      </c>
      <c r="K276" s="474">
        <f t="shared" si="753"/>
        <v>149.84200000000001</v>
      </c>
      <c r="L276" s="475">
        <f t="shared" si="752"/>
        <v>2.1879900000000001</v>
      </c>
      <c r="M276" s="474">
        <f t="shared" si="754"/>
        <v>149.02399890000001</v>
      </c>
      <c r="O276" s="434">
        <f t="shared" si="743"/>
        <v>2.2000000000000002</v>
      </c>
      <c r="P276" s="435">
        <f t="shared" si="744"/>
        <v>2.1879900000000001</v>
      </c>
      <c r="AE276" s="217"/>
      <c r="AF276" s="217">
        <v>1029</v>
      </c>
      <c r="AH276">
        <f t="shared" si="742"/>
        <v>1029</v>
      </c>
    </row>
    <row r="277" ht="60" hidden="1">
      <c r="A277" s="217"/>
      <c r="B277" s="217">
        <v>1029</v>
      </c>
      <c r="C277" s="217"/>
      <c r="D277" s="217" t="s">
        <v>17167</v>
      </c>
      <c r="E277" s="471" t="s">
        <v>20667</v>
      </c>
      <c r="F277" s="482">
        <v>95875</v>
      </c>
      <c r="G277" s="470" t="s">
        <v>20668</v>
      </c>
      <c r="H277" s="482" t="s">
        <v>20669</v>
      </c>
      <c r="I277" s="483">
        <f>I276*5</f>
        <v>340.55000000000001</v>
      </c>
      <c r="J277" s="473">
        <f t="shared" si="751"/>
        <v>2.7599999999999998</v>
      </c>
      <c r="K277" s="474">
        <f t="shared" si="753"/>
        <v>939.91800000000001</v>
      </c>
      <c r="L277" s="475">
        <f t="shared" si="752"/>
        <v>2.73</v>
      </c>
      <c r="M277" s="474">
        <f t="shared" si="754"/>
        <v>929.70150000000001</v>
      </c>
      <c r="N277" s="467" t="s">
        <v>20670</v>
      </c>
      <c r="O277" s="434">
        <f t="shared" si="743"/>
        <v>2.7599999999999998</v>
      </c>
      <c r="P277" s="435">
        <f t="shared" si="744"/>
        <v>2.73</v>
      </c>
      <c r="AE277" s="217"/>
      <c r="AF277" s="217">
        <v>1029</v>
      </c>
      <c r="AH277">
        <f t="shared" si="742"/>
        <v>1029</v>
      </c>
    </row>
    <row r="278" ht="45" hidden="1">
      <c r="A278" s="217"/>
      <c r="B278" s="217">
        <v>1029</v>
      </c>
      <c r="C278" s="217"/>
      <c r="D278" s="217" t="s">
        <v>20398</v>
      </c>
      <c r="E278" s="471" t="s">
        <v>20672</v>
      </c>
      <c r="F278" s="482">
        <v>1031</v>
      </c>
      <c r="G278" s="470" t="s">
        <v>20851</v>
      </c>
      <c r="H278" s="482" t="s">
        <v>15528</v>
      </c>
      <c r="I278" s="483">
        <v>10.25</v>
      </c>
      <c r="J278" s="473">
        <f t="shared" si="751"/>
        <v>240.45500000000001</v>
      </c>
      <c r="K278" s="474">
        <f t="shared" si="753"/>
        <v>2464.6637500000002</v>
      </c>
      <c r="L278" s="475">
        <f t="shared" si="752"/>
        <v>233.19500000000002</v>
      </c>
      <c r="M278" s="474">
        <f t="shared" si="754"/>
        <v>2390.2487500000002</v>
      </c>
      <c r="O278" s="434">
        <f t="shared" si="743"/>
        <v>240.45500000000001</v>
      </c>
      <c r="P278" s="435">
        <f t="shared" si="744"/>
        <v>233.19500000000002</v>
      </c>
      <c r="AE278" s="217"/>
      <c r="AF278" s="217">
        <v>1029</v>
      </c>
      <c r="AH278">
        <f t="shared" si="742"/>
        <v>1029</v>
      </c>
    </row>
    <row r="279" ht="47.25" hidden="1">
      <c r="A279" s="460">
        <v>1030</v>
      </c>
      <c r="B279" s="460">
        <v>1030</v>
      </c>
      <c r="C279" s="460"/>
      <c r="D279" s="460"/>
      <c r="E279" s="461">
        <v>1</v>
      </c>
      <c r="F279" s="462" t="s">
        <v>20852</v>
      </c>
      <c r="G279" s="477" t="s">
        <v>20853</v>
      </c>
      <c r="H279" s="478" t="s">
        <v>20647</v>
      </c>
      <c r="I279" s="479"/>
      <c r="J279" s="480"/>
      <c r="K279" s="466">
        <f>SUM(K280:K288)</f>
        <v>17653.406757919998</v>
      </c>
      <c r="L279" s="480"/>
      <c r="M279" s="466">
        <f>SUM(M280:M288)</f>
        <v>17192.019899020001</v>
      </c>
      <c r="N279" s="467" t="s">
        <v>20854</v>
      </c>
      <c r="O279" s="434" t="str">
        <f t="shared" si="743"/>
        <v xml:space="preserve">SEM VALOR</v>
      </c>
      <c r="P279" s="435" t="str">
        <f t="shared" si="744"/>
        <v xml:space="preserve">SEM VALOR</v>
      </c>
      <c r="AE279" s="460">
        <v>1030</v>
      </c>
      <c r="AF279" s="460"/>
      <c r="AH279">
        <f t="shared" si="742"/>
        <v>1030</v>
      </c>
    </row>
    <row r="280" ht="60" hidden="1">
      <c r="A280" s="217"/>
      <c r="B280" s="217">
        <v>1030</v>
      </c>
      <c r="C280" s="217"/>
      <c r="D280" s="217" t="s">
        <v>20398</v>
      </c>
      <c r="E280" s="471" t="s">
        <v>20399</v>
      </c>
      <c r="F280" s="482">
        <v>1095</v>
      </c>
      <c r="G280" s="470" t="s">
        <v>20850</v>
      </c>
      <c r="H280" s="482" t="s">
        <v>15528</v>
      </c>
      <c r="I280" s="483">
        <v>67.670000000000002</v>
      </c>
      <c r="J280" s="473">
        <f t="shared" si="751"/>
        <v>3.7665760000000001</v>
      </c>
      <c r="K280" s="474">
        <f t="shared" ref="K280:K288" si="755">I280*J280</f>
        <v>254.88419792000002</v>
      </c>
      <c r="L280" s="475">
        <f t="shared" si="752"/>
        <v>3.7331360000000005</v>
      </c>
      <c r="M280" s="474">
        <f t="shared" ref="M280:M288" si="756">L280*I280</f>
        <v>252.62131312000002</v>
      </c>
      <c r="O280" s="434">
        <f t="shared" si="743"/>
        <v>3.7665760000000001</v>
      </c>
      <c r="P280" s="435">
        <f t="shared" si="744"/>
        <v>3.7331360000000005</v>
      </c>
      <c r="AE280" s="217"/>
      <c r="AF280" s="217">
        <v>1030</v>
      </c>
      <c r="AH280">
        <f t="shared" si="742"/>
        <v>1030</v>
      </c>
    </row>
    <row r="281" ht="60" hidden="1">
      <c r="A281" s="217"/>
      <c r="B281" s="217">
        <v>1030</v>
      </c>
      <c r="C281" s="217"/>
      <c r="D281" s="217" t="s">
        <v>20398</v>
      </c>
      <c r="E281" s="471" t="s">
        <v>20402</v>
      </c>
      <c r="F281" s="482">
        <v>1258</v>
      </c>
      <c r="G281" s="470" t="s">
        <v>20660</v>
      </c>
      <c r="H281" s="482" t="s">
        <v>15515</v>
      </c>
      <c r="I281" s="483">
        <v>50.130000000000003</v>
      </c>
      <c r="J281" s="473">
        <f t="shared" si="751"/>
        <v>7.5700000000000003</v>
      </c>
      <c r="K281" s="474">
        <f t="shared" si="755"/>
        <v>379.48410000000001</v>
      </c>
      <c r="L281" s="475">
        <f t="shared" si="752"/>
        <v>7.1846199999999998</v>
      </c>
      <c r="M281" s="474">
        <f t="shared" si="756"/>
        <v>360.16500059999998</v>
      </c>
      <c r="O281" s="434">
        <f t="shared" si="743"/>
        <v>7.5700000000000003</v>
      </c>
      <c r="P281" s="435">
        <f t="shared" si="744"/>
        <v>7.1846199999999998</v>
      </c>
      <c r="AE281" s="217"/>
      <c r="AF281" s="217">
        <v>1030</v>
      </c>
      <c r="AH281">
        <f t="shared" si="742"/>
        <v>1030</v>
      </c>
    </row>
    <row r="282" ht="45" hidden="1">
      <c r="A282" s="217"/>
      <c r="B282" s="217">
        <v>1030</v>
      </c>
      <c r="C282" s="217"/>
      <c r="D282" s="217" t="s">
        <v>20398</v>
      </c>
      <c r="E282" s="471" t="s">
        <v>20405</v>
      </c>
      <c r="F282" s="482">
        <v>1032</v>
      </c>
      <c r="G282" s="470" t="s">
        <v>20855</v>
      </c>
      <c r="H282" s="482" t="s">
        <v>15528</v>
      </c>
      <c r="I282" s="483">
        <v>7.2199999999999998</v>
      </c>
      <c r="J282" s="473">
        <f t="shared" si="751"/>
        <v>318.81000000000006</v>
      </c>
      <c r="K282" s="474">
        <f t="shared" si="755"/>
        <v>2301.8082000000004</v>
      </c>
      <c r="L282" s="475">
        <f t="shared" si="752"/>
        <v>306.99000000000001</v>
      </c>
      <c r="M282" s="474">
        <f t="shared" si="756"/>
        <v>2216.4677999999999</v>
      </c>
      <c r="O282" s="434">
        <f t="shared" si="743"/>
        <v>318.81000000000006</v>
      </c>
      <c r="P282" s="435">
        <f t="shared" si="744"/>
        <v>306.99000000000001</v>
      </c>
      <c r="AE282" s="217"/>
      <c r="AF282" s="217">
        <v>1030</v>
      </c>
      <c r="AH282">
        <f t="shared" si="742"/>
        <v>1030</v>
      </c>
    </row>
    <row r="283" ht="45" hidden="1">
      <c r="A283" s="217"/>
      <c r="B283" s="217">
        <v>1030</v>
      </c>
      <c r="C283" s="217"/>
      <c r="D283" s="217" t="s">
        <v>17167</v>
      </c>
      <c r="E283" s="471" t="s">
        <v>20409</v>
      </c>
      <c r="F283" s="482">
        <v>94964</v>
      </c>
      <c r="G283" s="470" t="s">
        <v>20855</v>
      </c>
      <c r="H283" s="482" t="s">
        <v>15528</v>
      </c>
      <c r="I283" s="483">
        <v>10.390000000000001</v>
      </c>
      <c r="J283" s="473">
        <f t="shared" si="751"/>
        <v>488.52999999999997</v>
      </c>
      <c r="K283" s="474">
        <f t="shared" si="755"/>
        <v>5075.8266999999996</v>
      </c>
      <c r="L283" s="475">
        <f t="shared" si="752"/>
        <v>482.79000000000002</v>
      </c>
      <c r="M283" s="474">
        <f t="shared" si="756"/>
        <v>5016.1881000000003</v>
      </c>
      <c r="O283" s="434">
        <f t="shared" si="743"/>
        <v>488.52999999999997</v>
      </c>
      <c r="P283" s="435">
        <f t="shared" si="744"/>
        <v>482.79000000000002</v>
      </c>
      <c r="AE283" s="217"/>
      <c r="AF283" s="217">
        <v>1030</v>
      </c>
      <c r="AH283">
        <f t="shared" si="742"/>
        <v>1030</v>
      </c>
    </row>
    <row r="284" ht="45" hidden="1">
      <c r="A284" s="217"/>
      <c r="B284" s="217">
        <v>1030</v>
      </c>
      <c r="C284" s="217"/>
      <c r="D284" s="217" t="s">
        <v>20398</v>
      </c>
      <c r="E284" s="471" t="s">
        <v>20663</v>
      </c>
      <c r="F284" s="482">
        <v>1000</v>
      </c>
      <c r="G284" s="470" t="s">
        <v>20651</v>
      </c>
      <c r="H284" s="482" t="str">
        <f>H272</f>
        <v>M²</v>
      </c>
      <c r="I284" s="483">
        <f>I283</f>
        <v>10.390000000000001</v>
      </c>
      <c r="J284" s="473">
        <f t="shared" si="751"/>
        <v>149.904</v>
      </c>
      <c r="K284" s="474">
        <f t="shared" si="755"/>
        <v>1557.5025600000001</v>
      </c>
      <c r="L284" s="475">
        <f t="shared" si="752"/>
        <v>141.76949999999999</v>
      </c>
      <c r="M284" s="474">
        <f t="shared" si="756"/>
        <v>1472.985105</v>
      </c>
      <c r="O284" s="434">
        <f t="shared" si="743"/>
        <v>149.904</v>
      </c>
      <c r="P284" s="435">
        <f t="shared" si="744"/>
        <v>141.76949999999999</v>
      </c>
      <c r="AE284" s="217"/>
      <c r="AF284" s="217">
        <v>1030</v>
      </c>
      <c r="AH284">
        <f t="shared" si="742"/>
        <v>1030</v>
      </c>
    </row>
    <row r="285" ht="105" hidden="1">
      <c r="A285" s="217"/>
      <c r="B285" s="217">
        <v>1030</v>
      </c>
      <c r="C285" s="217"/>
      <c r="D285" s="217" t="s">
        <v>17167</v>
      </c>
      <c r="E285" s="471" t="s">
        <v>20665</v>
      </c>
      <c r="F285" s="482">
        <v>92431</v>
      </c>
      <c r="G285" s="470" t="s">
        <v>20674</v>
      </c>
      <c r="H285" s="482" t="s">
        <v>15515</v>
      </c>
      <c r="I285" s="483">
        <v>9.2899999999999991</v>
      </c>
      <c r="J285" s="473">
        <f t="shared" si="751"/>
        <v>70.030000000000001</v>
      </c>
      <c r="K285" s="474">
        <f t="shared" si="755"/>
        <v>650.57869999999991</v>
      </c>
      <c r="L285" s="475">
        <f t="shared" si="752"/>
        <v>68.510000000000005</v>
      </c>
      <c r="M285" s="474">
        <f t="shared" si="756"/>
        <v>636.4579</v>
      </c>
      <c r="O285" s="434">
        <f t="shared" si="743"/>
        <v>70.030000000000001</v>
      </c>
      <c r="P285" s="435">
        <f t="shared" si="744"/>
        <v>68.510000000000005</v>
      </c>
      <c r="AE285" s="217"/>
      <c r="AF285" s="217">
        <v>1030</v>
      </c>
      <c r="AH285">
        <f t="shared" si="742"/>
        <v>1030</v>
      </c>
    </row>
    <row r="286" ht="105" hidden="1">
      <c r="A286" s="217"/>
      <c r="B286" s="217">
        <v>1030</v>
      </c>
      <c r="C286" s="217"/>
      <c r="D286" s="217" t="s">
        <v>20398</v>
      </c>
      <c r="E286" s="471" t="s">
        <v>20667</v>
      </c>
      <c r="F286" s="482">
        <v>1092</v>
      </c>
      <c r="G286" s="470" t="s">
        <v>20666</v>
      </c>
      <c r="H286" s="482" t="s">
        <v>15528</v>
      </c>
      <c r="I286" s="483">
        <v>87.969999999999999</v>
      </c>
      <c r="J286" s="473">
        <f t="shared" si="751"/>
        <v>2.2000000000000002</v>
      </c>
      <c r="K286" s="474">
        <f t="shared" si="755"/>
        <v>193.53400000000002</v>
      </c>
      <c r="L286" s="475">
        <f t="shared" si="752"/>
        <v>2.1879900000000001</v>
      </c>
      <c r="M286" s="474">
        <f t="shared" si="756"/>
        <v>192.4774803</v>
      </c>
      <c r="O286" s="434">
        <f t="shared" si="743"/>
        <v>2.2000000000000002</v>
      </c>
      <c r="P286" s="435">
        <f t="shared" si="744"/>
        <v>2.1879900000000001</v>
      </c>
      <c r="AE286" s="217"/>
      <c r="AF286" s="217">
        <v>1030</v>
      </c>
      <c r="AH286">
        <f t="shared" si="742"/>
        <v>1030</v>
      </c>
    </row>
    <row r="287" ht="60" hidden="1">
      <c r="A287" s="217"/>
      <c r="B287" s="217">
        <v>1030</v>
      </c>
      <c r="C287" s="217"/>
      <c r="D287" s="217" t="s">
        <v>17167</v>
      </c>
      <c r="E287" s="471" t="s">
        <v>20671</v>
      </c>
      <c r="F287" s="482">
        <v>95875</v>
      </c>
      <c r="G287" s="470" t="s">
        <v>20668</v>
      </c>
      <c r="H287" s="482" t="s">
        <v>20669</v>
      </c>
      <c r="I287" s="483">
        <f>5*I286</f>
        <v>439.85000000000002</v>
      </c>
      <c r="J287" s="473">
        <f t="shared" si="751"/>
        <v>2.7599999999999998</v>
      </c>
      <c r="K287" s="474">
        <f t="shared" si="755"/>
        <v>1213.9859999999999</v>
      </c>
      <c r="L287" s="475">
        <f t="shared" si="752"/>
        <v>2.73</v>
      </c>
      <c r="M287" s="474">
        <f t="shared" si="756"/>
        <v>1200.7905000000001</v>
      </c>
      <c r="N287" s="467" t="s">
        <v>20670</v>
      </c>
      <c r="O287" s="434">
        <f t="shared" si="743"/>
        <v>2.7599999999999998</v>
      </c>
      <c r="P287" s="435">
        <f t="shared" si="744"/>
        <v>2.73</v>
      </c>
      <c r="AE287" s="217"/>
      <c r="AF287" s="217">
        <v>1030</v>
      </c>
      <c r="AH287">
        <f t="shared" si="742"/>
        <v>1030</v>
      </c>
    </row>
    <row r="288" ht="45" hidden="1">
      <c r="A288" s="217"/>
      <c r="B288" s="217">
        <v>1030</v>
      </c>
      <c r="C288" s="217"/>
      <c r="D288" s="217" t="s">
        <v>20398</v>
      </c>
      <c r="E288" s="471" t="s">
        <v>20672</v>
      </c>
      <c r="F288" s="482">
        <v>1031</v>
      </c>
      <c r="G288" s="470" t="s">
        <v>20851</v>
      </c>
      <c r="H288" s="482" t="s">
        <v>15528</v>
      </c>
      <c r="I288" s="483">
        <v>25.059999999999999</v>
      </c>
      <c r="J288" s="473">
        <f t="shared" si="751"/>
        <v>240.45500000000001</v>
      </c>
      <c r="K288" s="474">
        <f t="shared" si="755"/>
        <v>6025.8023000000003</v>
      </c>
      <c r="L288" s="475">
        <f t="shared" si="752"/>
        <v>233.19500000000002</v>
      </c>
      <c r="M288" s="474">
        <f t="shared" si="756"/>
        <v>5843.8667000000005</v>
      </c>
      <c r="O288" s="434">
        <f t="shared" si="743"/>
        <v>240.45500000000001</v>
      </c>
      <c r="P288" s="435">
        <f t="shared" si="744"/>
        <v>233.19500000000002</v>
      </c>
      <c r="AE288" s="217"/>
      <c r="AF288" s="217">
        <v>1030</v>
      </c>
      <c r="AH288">
        <f t="shared" si="742"/>
        <v>1030</v>
      </c>
    </row>
    <row r="289" ht="47.25" hidden="1">
      <c r="A289" s="460">
        <v>1031</v>
      </c>
      <c r="B289" s="460">
        <v>1031</v>
      </c>
      <c r="C289" s="460"/>
      <c r="D289" s="460"/>
      <c r="E289" s="461">
        <v>1</v>
      </c>
      <c r="F289" s="462" t="s">
        <v>20856</v>
      </c>
      <c r="G289" s="477" t="s">
        <v>20851</v>
      </c>
      <c r="H289" s="478" t="s">
        <v>15528</v>
      </c>
      <c r="I289" s="479"/>
      <c r="J289" s="480"/>
      <c r="K289" s="466">
        <f>SUM(K290:K291)</f>
        <v>240.45500000000001</v>
      </c>
      <c r="L289" s="480"/>
      <c r="M289" s="466">
        <f>SUM(M290:M291)</f>
        <v>233.19500000000002</v>
      </c>
      <c r="N289" s="467" t="s">
        <v>20857</v>
      </c>
      <c r="O289" s="434" t="str">
        <f t="shared" si="743"/>
        <v xml:space="preserve">SEM VALOR</v>
      </c>
      <c r="P289" s="435" t="str">
        <f t="shared" si="744"/>
        <v xml:space="preserve">SEM VALOR</v>
      </c>
      <c r="AE289" s="460">
        <v>1031</v>
      </c>
      <c r="AF289" s="460"/>
      <c r="AH289">
        <f t="shared" ref="AH289:AH352" si="757">IF(AF289:AF290=FALSE,AE289,AF289)</f>
        <v>1031</v>
      </c>
    </row>
    <row r="290" ht="45" hidden="1">
      <c r="A290" s="217"/>
      <c r="B290" s="217">
        <v>1031</v>
      </c>
      <c r="C290" s="217"/>
      <c r="D290" s="217" t="s">
        <v>20408</v>
      </c>
      <c r="E290" s="471" t="s">
        <v>20399</v>
      </c>
      <c r="F290" s="482">
        <v>4730</v>
      </c>
      <c r="G290" s="470" t="s">
        <v>13722</v>
      </c>
      <c r="H290" s="482" t="s">
        <v>15528</v>
      </c>
      <c r="I290" s="483">
        <v>1.1000000000000001</v>
      </c>
      <c r="J290" s="473">
        <f t="shared" si="751"/>
        <v>94.450000000000003</v>
      </c>
      <c r="K290" s="474">
        <f t="shared" ref="K290:K291" si="758">I290*J290</f>
        <v>103.89500000000001</v>
      </c>
      <c r="L290" s="475">
        <f t="shared" si="752"/>
        <v>94.450000000000003</v>
      </c>
      <c r="M290" s="474">
        <f t="shared" ref="M290:M291" si="759">L290*I290</f>
        <v>103.89500000000001</v>
      </c>
      <c r="O290" s="434">
        <f t="shared" si="743"/>
        <v>94.450000000000003</v>
      </c>
      <c r="P290" s="435">
        <f t="shared" si="744"/>
        <v>94.450000000000003</v>
      </c>
      <c r="AE290" s="217"/>
      <c r="AF290" s="217">
        <v>1031</v>
      </c>
      <c r="AH290">
        <f t="shared" si="757"/>
        <v>1031</v>
      </c>
    </row>
    <row r="291" ht="30" hidden="1">
      <c r="A291" s="217"/>
      <c r="B291" s="217">
        <v>1031</v>
      </c>
      <c r="C291" s="217"/>
      <c r="D291" s="217" t="s">
        <v>17167</v>
      </c>
      <c r="E291" s="471" t="s">
        <v>20402</v>
      </c>
      <c r="F291" s="482">
        <v>88316</v>
      </c>
      <c r="G291" s="470" t="s">
        <v>7393</v>
      </c>
      <c r="H291" s="482" t="s">
        <v>2032</v>
      </c>
      <c r="I291" s="483">
        <v>6</v>
      </c>
      <c r="J291" s="473">
        <f t="shared" si="751"/>
        <v>22.760000000000002</v>
      </c>
      <c r="K291" s="474">
        <f t="shared" si="758"/>
        <v>136.56</v>
      </c>
      <c r="L291" s="475">
        <f t="shared" si="752"/>
        <v>21.550000000000001</v>
      </c>
      <c r="M291" s="474">
        <f t="shared" si="759"/>
        <v>129.30000000000001</v>
      </c>
      <c r="O291" s="434">
        <f t="shared" si="743"/>
        <v>22.760000000000002</v>
      </c>
      <c r="P291" s="435">
        <f t="shared" si="744"/>
        <v>21.550000000000001</v>
      </c>
      <c r="AE291" s="217"/>
      <c r="AF291" s="217">
        <v>1031</v>
      </c>
      <c r="AH291">
        <f t="shared" si="757"/>
        <v>1031</v>
      </c>
    </row>
    <row r="292" ht="47.25" hidden="1">
      <c r="A292" s="460">
        <v>1032</v>
      </c>
      <c r="B292" s="460">
        <v>1032</v>
      </c>
      <c r="C292" s="460"/>
      <c r="D292" s="460"/>
      <c r="E292" s="461">
        <v>1</v>
      </c>
      <c r="F292" s="462" t="s">
        <v>20858</v>
      </c>
      <c r="G292" s="477" t="s">
        <v>20855</v>
      </c>
      <c r="H292" s="478" t="s">
        <v>15528</v>
      </c>
      <c r="I292" s="479"/>
      <c r="J292" s="480"/>
      <c r="K292" s="466">
        <f>SUM(K293:K295)</f>
        <v>318.81000000000006</v>
      </c>
      <c r="L292" s="480"/>
      <c r="M292" s="466">
        <f>SUM(M293:M295)</f>
        <v>306.99000000000001</v>
      </c>
      <c r="N292" s="467" t="s">
        <v>20859</v>
      </c>
      <c r="O292" s="434" t="str">
        <f t="shared" ref="O292:O355" si="760">IFERROR(IF(D292="SINAPI",VLOOKUP(F292,SINCOMOD,4,FALSE),IF(D292="INSINAPI",VLOOKUP(F292,INSINOD,5,FALSE),IF(D292="SICRO",VLOOKUP(F292,SICRO,5,FALSE),IF(D292="COTACAO",VLOOKUP(F292,COTACAO,6,FALSE),IF(D292="PRÓPRIO",VLOOKUP(F292,COMPOD,11,FALSE),IF(D292="AGESUL",VLOOKUP(F292,AGESULOD,6,FALSE),IF(D292="INSAGESUL",VLOOKUP(F292,INSAGESUL,7,FALSE),"SEM VALOR"))))))),"SEM VALOR")</f>
        <v xml:space="preserve">SEM VALOR</v>
      </c>
      <c r="P292" s="435" t="str">
        <f t="shared" ref="P292:P355" si="761">IFERROR(IF(D292="SINAPI",VLOOKUP(F292,SINCOMOD,6,FALSE),IF(D292="INSINAPI",VLOOKUP(F292,INSINOD,6,FALSE),IF(D292="SICRO",VLOOKUP(F292,SICRO,5,FALSE),IF(D292="COTACAO",VLOOKUP(F292,COTACAO,6,FALSE),IF(D292="PRÓPRIO",VLOOKUP(F292,COMPOD,13,FALSE),IF(D292="AGESUL",VLOOKUP(F292,AGESULOD,11,FALSE),IF(D292="INSAGESUL",VLOOKUP(F292,INSAGESUL,8,FALSE),"SEM VALOR"))))))),"SEM VALOR")</f>
        <v xml:space="preserve">SEM VALOR</v>
      </c>
      <c r="AE292" s="460">
        <v>1032</v>
      </c>
      <c r="AF292" s="460"/>
      <c r="AH292">
        <f t="shared" si="757"/>
        <v>1032</v>
      </c>
    </row>
    <row r="293" ht="45" hidden="1">
      <c r="A293" s="217"/>
      <c r="B293" s="217">
        <v>1032</v>
      </c>
      <c r="C293" s="217"/>
      <c r="D293" s="217" t="s">
        <v>20408</v>
      </c>
      <c r="E293" s="471" t="s">
        <v>20399</v>
      </c>
      <c r="F293" s="482">
        <v>4730</v>
      </c>
      <c r="G293" s="470" t="s">
        <v>13722</v>
      </c>
      <c r="H293" s="482" t="s">
        <v>15515</v>
      </c>
      <c r="I293" s="483">
        <v>1.1000000000000001</v>
      </c>
      <c r="J293" s="473">
        <f t="shared" si="751"/>
        <v>94.450000000000003</v>
      </c>
      <c r="K293" s="474">
        <f t="shared" ref="K293:K295" si="762">I293*J293</f>
        <v>103.89500000000001</v>
      </c>
      <c r="L293" s="475">
        <f t="shared" si="752"/>
        <v>94.450000000000003</v>
      </c>
      <c r="M293" s="474">
        <f t="shared" ref="M293:M295" si="763">L293*I293</f>
        <v>103.89500000000001</v>
      </c>
      <c r="O293" s="434">
        <f t="shared" si="760"/>
        <v>94.450000000000003</v>
      </c>
      <c r="P293" s="435">
        <f t="shared" si="761"/>
        <v>94.450000000000003</v>
      </c>
      <c r="AE293" s="217"/>
      <c r="AF293" s="217">
        <v>1032</v>
      </c>
      <c r="AH293">
        <f t="shared" si="757"/>
        <v>1032</v>
      </c>
    </row>
    <row r="294" ht="30" hidden="1">
      <c r="A294" s="217"/>
      <c r="B294" s="217">
        <v>1032</v>
      </c>
      <c r="C294" s="217"/>
      <c r="D294" s="217" t="s">
        <v>17167</v>
      </c>
      <c r="E294" s="471" t="s">
        <v>20402</v>
      </c>
      <c r="F294" s="482">
        <v>88242</v>
      </c>
      <c r="G294" s="470" t="s">
        <v>7093</v>
      </c>
      <c r="H294" s="482" t="s">
        <v>15528</v>
      </c>
      <c r="I294" s="483">
        <v>5.5</v>
      </c>
      <c r="J294" s="473">
        <f t="shared" si="751"/>
        <v>23.530000000000001</v>
      </c>
      <c r="K294" s="474">
        <f t="shared" si="762"/>
        <v>129.41500000000002</v>
      </c>
      <c r="L294" s="475">
        <f t="shared" si="752"/>
        <v>22.27</v>
      </c>
      <c r="M294" s="474">
        <f t="shared" si="763"/>
        <v>122.485</v>
      </c>
      <c r="O294" s="434">
        <f t="shared" si="760"/>
        <v>23.530000000000001</v>
      </c>
      <c r="P294" s="435">
        <f t="shared" si="761"/>
        <v>22.27</v>
      </c>
      <c r="AE294" s="217"/>
      <c r="AF294" s="217">
        <v>1032</v>
      </c>
      <c r="AH294">
        <f t="shared" si="757"/>
        <v>1032</v>
      </c>
    </row>
    <row r="295" ht="30" hidden="1">
      <c r="A295" s="217"/>
      <c r="B295" s="217">
        <v>1032</v>
      </c>
      <c r="C295" s="217"/>
      <c r="D295" s="217" t="s">
        <v>17167</v>
      </c>
      <c r="E295" s="471" t="s">
        <v>20405</v>
      </c>
      <c r="F295" s="482">
        <v>88309</v>
      </c>
      <c r="G295" s="470" t="s">
        <v>7385</v>
      </c>
      <c r="H295" s="482" t="s">
        <v>15528</v>
      </c>
      <c r="I295" s="483">
        <v>3</v>
      </c>
      <c r="J295" s="473">
        <f t="shared" si="751"/>
        <v>28.5</v>
      </c>
      <c r="K295" s="474">
        <f t="shared" si="762"/>
        <v>85.5</v>
      </c>
      <c r="L295" s="475">
        <f t="shared" si="752"/>
        <v>26.870000000000001</v>
      </c>
      <c r="M295" s="474">
        <f t="shared" si="763"/>
        <v>80.609999999999999</v>
      </c>
      <c r="O295" s="434">
        <f t="shared" si="760"/>
        <v>28.5</v>
      </c>
      <c r="P295" s="435">
        <f t="shared" si="761"/>
        <v>26.870000000000001</v>
      </c>
      <c r="AE295" s="217"/>
      <c r="AF295" s="217">
        <v>1032</v>
      </c>
      <c r="AH295">
        <f t="shared" si="757"/>
        <v>1032</v>
      </c>
    </row>
    <row r="296" ht="63" hidden="1">
      <c r="A296" s="460">
        <v>1033</v>
      </c>
      <c r="B296" s="460">
        <v>1033</v>
      </c>
      <c r="C296" s="460"/>
      <c r="D296" s="460"/>
      <c r="E296" s="461">
        <v>1</v>
      </c>
      <c r="F296" s="462" t="s">
        <v>20860</v>
      </c>
      <c r="G296" s="477" t="s">
        <v>20861</v>
      </c>
      <c r="H296" s="478" t="s">
        <v>15528</v>
      </c>
      <c r="I296" s="479"/>
      <c r="J296" s="480"/>
      <c r="K296" s="466">
        <f>SUM(K297:K315)</f>
        <v>139.43296885300001</v>
      </c>
      <c r="L296" s="480"/>
      <c r="M296" s="466">
        <f>SUM(M297:M315)</f>
        <v>138.83388926399999</v>
      </c>
      <c r="N296" s="467" t="s">
        <v>20862</v>
      </c>
      <c r="O296" s="434" t="str">
        <f t="shared" si="760"/>
        <v xml:space="preserve">SEM VALOR</v>
      </c>
      <c r="P296" s="435" t="str">
        <f t="shared" si="761"/>
        <v xml:space="preserve">SEM VALOR</v>
      </c>
      <c r="AE296" s="460">
        <v>1033</v>
      </c>
      <c r="AF296" s="460"/>
      <c r="AH296">
        <f t="shared" si="757"/>
        <v>1033</v>
      </c>
    </row>
    <row r="297" ht="37.5" hidden="1" customHeight="1">
      <c r="A297" s="217"/>
      <c r="B297" s="217">
        <v>1033</v>
      </c>
      <c r="C297" s="217"/>
      <c r="D297" s="217" t="s">
        <v>20408</v>
      </c>
      <c r="E297" s="471" t="s">
        <v>20399</v>
      </c>
      <c r="F297" s="482">
        <v>1379</v>
      </c>
      <c r="G297" s="470" t="s">
        <v>20863</v>
      </c>
      <c r="H297" s="482" t="s">
        <v>15370</v>
      </c>
      <c r="I297" s="483">
        <v>69</v>
      </c>
      <c r="J297" s="473">
        <f t="shared" si="751"/>
        <v>0.82999999999999996</v>
      </c>
      <c r="K297" s="474">
        <f t="shared" ref="K297:K315" si="764">I297*J297</f>
        <v>57.269999999999996</v>
      </c>
      <c r="L297" s="475">
        <f t="shared" si="752"/>
        <v>0.82999999999999996</v>
      </c>
      <c r="M297" s="474">
        <f t="shared" ref="M297:M315" si="765">L297*I297</f>
        <v>57.269999999999996</v>
      </c>
      <c r="N297" s="467" t="s">
        <v>20864</v>
      </c>
      <c r="O297" s="434">
        <f t="shared" si="760"/>
        <v>0.82999999999999996</v>
      </c>
      <c r="P297" s="435">
        <f t="shared" si="761"/>
        <v>0.82999999999999996</v>
      </c>
      <c r="AE297" s="217"/>
      <c r="AF297" s="217">
        <v>1033</v>
      </c>
      <c r="AH297">
        <f t="shared" si="757"/>
        <v>1033</v>
      </c>
    </row>
    <row r="298" hidden="1">
      <c r="A298" s="217"/>
      <c r="B298" s="217">
        <v>1033</v>
      </c>
      <c r="C298" s="217"/>
      <c r="D298" s="217" t="s">
        <v>20453</v>
      </c>
      <c r="E298" s="471" t="s">
        <v>20402</v>
      </c>
      <c r="F298" s="482" t="s">
        <v>19997</v>
      </c>
      <c r="G298" s="470" t="s">
        <v>20865</v>
      </c>
      <c r="H298" s="482" t="s">
        <v>15364</v>
      </c>
      <c r="I298" s="483">
        <v>9.3439999999999995e-002</v>
      </c>
      <c r="J298" s="473">
        <f t="shared" si="751"/>
        <v>66.5</v>
      </c>
      <c r="K298" s="474">
        <f t="shared" si="764"/>
        <v>6.2137599999999997</v>
      </c>
      <c r="L298" s="475">
        <f t="shared" si="752"/>
        <v>66.5</v>
      </c>
      <c r="M298" s="474">
        <f t="shared" si="765"/>
        <v>6.2137599999999997</v>
      </c>
      <c r="N298" s="467">
        <v>36.939999999999998</v>
      </c>
      <c r="O298" s="434">
        <f t="shared" si="760"/>
        <v>66.5</v>
      </c>
      <c r="P298" s="435">
        <f t="shared" si="761"/>
        <v>66.5</v>
      </c>
      <c r="AE298" s="217"/>
      <c r="AF298" s="217">
        <v>1033</v>
      </c>
      <c r="AH298">
        <f t="shared" si="757"/>
        <v>1033</v>
      </c>
    </row>
    <row r="299" hidden="1">
      <c r="A299" s="217"/>
      <c r="B299" s="217">
        <v>1033</v>
      </c>
      <c r="C299" s="217"/>
      <c r="D299" s="217" t="s">
        <v>20453</v>
      </c>
      <c r="E299" s="471" t="s">
        <v>20405</v>
      </c>
      <c r="F299" s="482" t="s">
        <v>20004</v>
      </c>
      <c r="G299" s="470" t="s">
        <v>20866</v>
      </c>
      <c r="H299" s="482" t="s">
        <v>15364</v>
      </c>
      <c r="I299" s="483">
        <v>4.4999999999999997e-003</v>
      </c>
      <c r="J299" s="473">
        <f t="shared" si="751"/>
        <v>600</v>
      </c>
      <c r="K299" s="474">
        <f t="shared" si="764"/>
        <v>2.6999999999999997</v>
      </c>
      <c r="L299" s="475">
        <f t="shared" si="752"/>
        <v>600</v>
      </c>
      <c r="M299" s="474">
        <f t="shared" si="765"/>
        <v>2.6999999999999997</v>
      </c>
      <c r="O299" s="434">
        <f t="shared" si="760"/>
        <v>600</v>
      </c>
      <c r="P299" s="435">
        <f t="shared" si="761"/>
        <v>600</v>
      </c>
      <c r="AE299" s="217"/>
      <c r="AF299" s="217">
        <v>1033</v>
      </c>
      <c r="AH299">
        <f t="shared" si="757"/>
        <v>1033</v>
      </c>
    </row>
    <row r="300" hidden="1">
      <c r="A300" s="217"/>
      <c r="B300" s="217">
        <v>1033</v>
      </c>
      <c r="C300" s="217"/>
      <c r="D300" s="217" t="s">
        <v>20453</v>
      </c>
      <c r="E300" s="471" t="s">
        <v>20409</v>
      </c>
      <c r="F300" s="482" t="s">
        <v>20007</v>
      </c>
      <c r="G300" s="470" t="s">
        <v>20867</v>
      </c>
      <c r="H300" s="482" t="s">
        <v>15364</v>
      </c>
      <c r="I300" s="483">
        <v>1.6e-002</v>
      </c>
      <c r="J300" s="473">
        <f t="shared" si="751"/>
        <v>257.5</v>
      </c>
      <c r="K300" s="474">
        <f t="shared" si="764"/>
        <v>4.1200000000000001</v>
      </c>
      <c r="L300" s="475">
        <f t="shared" si="752"/>
        <v>257.5</v>
      </c>
      <c r="M300" s="474">
        <f t="shared" si="765"/>
        <v>4.1200000000000001</v>
      </c>
      <c r="O300" s="434">
        <f t="shared" si="760"/>
        <v>257.5</v>
      </c>
      <c r="P300" s="435">
        <f t="shared" si="761"/>
        <v>257.5</v>
      </c>
      <c r="AE300" s="217"/>
      <c r="AF300" s="217">
        <v>1033</v>
      </c>
      <c r="AH300">
        <f t="shared" si="757"/>
        <v>1033</v>
      </c>
    </row>
    <row r="301" hidden="1">
      <c r="A301" s="217"/>
      <c r="B301" s="217">
        <v>1033</v>
      </c>
      <c r="C301" s="217"/>
      <c r="D301" s="217" t="s">
        <v>17167</v>
      </c>
      <c r="E301" s="471" t="s">
        <v>20663</v>
      </c>
      <c r="F301" s="482">
        <v>88316</v>
      </c>
      <c r="G301" s="470" t="s">
        <v>20868</v>
      </c>
      <c r="H301" s="482" t="s">
        <v>15443</v>
      </c>
      <c r="I301" s="483">
        <v>0.1624256</v>
      </c>
      <c r="J301" s="473">
        <f t="shared" si="751"/>
        <v>22.760000000000002</v>
      </c>
      <c r="K301" s="474">
        <f t="shared" si="764"/>
        <v>3.6968066560000001</v>
      </c>
      <c r="L301" s="475">
        <f t="shared" si="752"/>
        <v>21.550000000000001</v>
      </c>
      <c r="M301" s="474">
        <f t="shared" si="765"/>
        <v>3.50027168</v>
      </c>
      <c r="O301" s="434">
        <f t="shared" si="760"/>
        <v>22.760000000000002</v>
      </c>
      <c r="P301" s="435">
        <f t="shared" si="761"/>
        <v>21.550000000000001</v>
      </c>
      <c r="AE301" s="217"/>
      <c r="AF301" s="217">
        <v>1033</v>
      </c>
      <c r="AH301">
        <f t="shared" si="757"/>
        <v>1033</v>
      </c>
    </row>
    <row r="302" ht="45" hidden="1">
      <c r="A302" s="217"/>
      <c r="B302" s="217">
        <v>1033</v>
      </c>
      <c r="C302" s="217"/>
      <c r="D302" s="217" t="s">
        <v>17167</v>
      </c>
      <c r="E302" s="471" t="s">
        <v>20665</v>
      </c>
      <c r="F302" s="482">
        <v>95127</v>
      </c>
      <c r="G302" s="470" t="s">
        <v>20869</v>
      </c>
      <c r="H302" s="482" t="s">
        <v>15410</v>
      </c>
      <c r="I302" s="509">
        <f>0.33/$N$298</f>
        <v>8.9333999999999993e-003</v>
      </c>
      <c r="J302" s="473">
        <f t="shared" si="751"/>
        <v>246.74000000000001</v>
      </c>
      <c r="K302" s="474">
        <f t="shared" si="764"/>
        <v>2.2042271159999998</v>
      </c>
      <c r="L302" s="475">
        <f t="shared" si="752"/>
        <v>244.84</v>
      </c>
      <c r="M302" s="474">
        <f t="shared" si="765"/>
        <v>2.1872536559999998</v>
      </c>
      <c r="O302" s="434">
        <f t="shared" si="760"/>
        <v>246.74000000000001</v>
      </c>
      <c r="P302" s="435">
        <f t="shared" si="761"/>
        <v>244.84</v>
      </c>
      <c r="AE302" s="217"/>
      <c r="AF302" s="217">
        <v>1033</v>
      </c>
      <c r="AH302">
        <f t="shared" si="757"/>
        <v>1033</v>
      </c>
    </row>
    <row r="303" ht="45" hidden="1">
      <c r="A303" s="217"/>
      <c r="B303" s="217">
        <v>1033</v>
      </c>
      <c r="C303" s="217"/>
      <c r="D303" s="217" t="s">
        <v>17167</v>
      </c>
      <c r="E303" s="471" t="s">
        <v>20667</v>
      </c>
      <c r="F303" s="482">
        <v>95128</v>
      </c>
      <c r="G303" s="470" t="s">
        <v>20870</v>
      </c>
      <c r="H303" s="482" t="s">
        <v>15414</v>
      </c>
      <c r="I303" s="509">
        <f>0.67/$N$298</f>
        <v>1.8137500000000001e-002</v>
      </c>
      <c r="J303" s="473">
        <f t="shared" si="751"/>
        <v>57.420000000000002</v>
      </c>
      <c r="K303" s="474">
        <f t="shared" si="764"/>
        <v>1.0414552500000001</v>
      </c>
      <c r="L303" s="475">
        <f t="shared" si="752"/>
        <v>55.520000000000003</v>
      </c>
      <c r="M303" s="474">
        <f t="shared" si="765"/>
        <v>1.0069940000000002</v>
      </c>
      <c r="O303" s="434">
        <f t="shared" si="760"/>
        <v>57.420000000000002</v>
      </c>
      <c r="P303" s="435">
        <f t="shared" si="761"/>
        <v>55.520000000000003</v>
      </c>
      <c r="AE303" s="217"/>
      <c r="AF303" s="217">
        <v>1033</v>
      </c>
      <c r="AH303">
        <f t="shared" si="757"/>
        <v>1033</v>
      </c>
    </row>
    <row r="304" ht="75" hidden="1">
      <c r="A304" s="217"/>
      <c r="B304" s="217">
        <v>1033</v>
      </c>
      <c r="C304" s="217"/>
      <c r="D304" s="217" t="s">
        <v>17167</v>
      </c>
      <c r="E304" s="471" t="s">
        <v>20671</v>
      </c>
      <c r="F304" s="482">
        <v>5901</v>
      </c>
      <c r="G304" s="470" t="s">
        <v>20871</v>
      </c>
      <c r="H304" s="482" t="s">
        <v>15410</v>
      </c>
      <c r="I304" s="509">
        <f>0.26*2/$N$298</f>
        <v>1.40769e-002</v>
      </c>
      <c r="J304" s="473">
        <f t="shared" si="751"/>
        <v>346.31999999999999</v>
      </c>
      <c r="K304" s="474">
        <f t="shared" si="764"/>
        <v>4.8751120079999994</v>
      </c>
      <c r="L304" s="475">
        <f t="shared" si="752"/>
        <v>344.72000000000003</v>
      </c>
      <c r="M304" s="474">
        <f t="shared" si="765"/>
        <v>4.8525889680000001</v>
      </c>
      <c r="O304" s="434">
        <f t="shared" si="760"/>
        <v>346.31999999999999</v>
      </c>
      <c r="P304" s="435">
        <f t="shared" si="761"/>
        <v>344.72000000000003</v>
      </c>
      <c r="AE304" s="217"/>
      <c r="AF304" s="217">
        <v>1033</v>
      </c>
      <c r="AH304">
        <f t="shared" si="757"/>
        <v>1033</v>
      </c>
    </row>
    <row r="305" ht="75" hidden="1">
      <c r="A305" s="217"/>
      <c r="B305" s="217">
        <v>1033</v>
      </c>
      <c r="C305" s="217"/>
      <c r="D305" s="217" t="s">
        <v>17167</v>
      </c>
      <c r="E305" s="471" t="s">
        <v>20672</v>
      </c>
      <c r="F305" s="482">
        <v>5903</v>
      </c>
      <c r="G305" s="470" t="s">
        <v>20872</v>
      </c>
      <c r="H305" s="482" t="s">
        <v>15414</v>
      </c>
      <c r="I305" s="509">
        <f>0.74*2/$N$298</f>
        <v>4.0065000000000003e-002</v>
      </c>
      <c r="J305" s="473">
        <f t="shared" si="751"/>
        <v>73.879999999999995</v>
      </c>
      <c r="K305" s="474">
        <f t="shared" si="764"/>
        <v>2.9600021999999999</v>
      </c>
      <c r="L305" s="475">
        <f t="shared" si="752"/>
        <v>72.280000000000001</v>
      </c>
      <c r="M305" s="474">
        <f t="shared" si="765"/>
        <v>2.8958982000000004</v>
      </c>
      <c r="O305" s="434">
        <f t="shared" si="760"/>
        <v>73.879999999999995</v>
      </c>
      <c r="P305" s="435">
        <f t="shared" si="761"/>
        <v>72.280000000000001</v>
      </c>
      <c r="AE305" s="217"/>
      <c r="AF305" s="217">
        <v>1033</v>
      </c>
      <c r="AH305">
        <f t="shared" si="757"/>
        <v>1033</v>
      </c>
    </row>
    <row r="306" ht="60" hidden="1">
      <c r="A306" s="217"/>
      <c r="B306" s="217">
        <v>1033</v>
      </c>
      <c r="C306" s="217"/>
      <c r="D306" s="217" t="s">
        <v>17167</v>
      </c>
      <c r="E306" s="471" t="s">
        <v>20673</v>
      </c>
      <c r="F306" s="482">
        <v>5932</v>
      </c>
      <c r="G306" s="470" t="s">
        <v>20873</v>
      </c>
      <c r="H306" s="482" t="s">
        <v>15410</v>
      </c>
      <c r="I306" s="509">
        <f>0.53/$N$298</f>
        <v>1.43476e-002</v>
      </c>
      <c r="J306" s="473">
        <f t="shared" si="751"/>
        <v>294.49000000000001</v>
      </c>
      <c r="K306" s="474">
        <f t="shared" si="764"/>
        <v>4.2252247240000003</v>
      </c>
      <c r="L306" s="475">
        <f t="shared" si="752"/>
        <v>291.70999999999998</v>
      </c>
      <c r="M306" s="474">
        <f t="shared" si="765"/>
        <v>4.1853383959999997</v>
      </c>
      <c r="O306" s="434">
        <f t="shared" si="760"/>
        <v>294.49000000000001</v>
      </c>
      <c r="P306" s="435">
        <f t="shared" si="761"/>
        <v>291.70999999999998</v>
      </c>
      <c r="AE306" s="217"/>
      <c r="AF306" s="217">
        <v>1033</v>
      </c>
      <c r="AH306">
        <f t="shared" si="757"/>
        <v>1033</v>
      </c>
    </row>
    <row r="307" ht="60" hidden="1">
      <c r="A307" s="217"/>
      <c r="B307" s="217">
        <v>1033</v>
      </c>
      <c r="C307" s="217"/>
      <c r="D307" s="217" t="s">
        <v>17167</v>
      </c>
      <c r="E307" s="471" t="s">
        <v>20675</v>
      </c>
      <c r="F307" s="482">
        <v>5934</v>
      </c>
      <c r="G307" s="470" t="s">
        <v>20874</v>
      </c>
      <c r="H307" s="482" t="s">
        <v>15414</v>
      </c>
      <c r="I307" s="509">
        <f>0.47/$N$298</f>
        <v>1.27233e-002</v>
      </c>
      <c r="J307" s="473">
        <f t="shared" si="751"/>
        <v>114.31</v>
      </c>
      <c r="K307" s="474">
        <f t="shared" si="764"/>
        <v>1.4544004230000001</v>
      </c>
      <c r="L307" s="475">
        <f t="shared" si="752"/>
        <v>111.53</v>
      </c>
      <c r="M307" s="474">
        <f t="shared" si="765"/>
        <v>1.4190296490000001</v>
      </c>
      <c r="O307" s="434">
        <f t="shared" si="760"/>
        <v>114.31</v>
      </c>
      <c r="P307" s="435">
        <f t="shared" si="761"/>
        <v>111.53</v>
      </c>
      <c r="AE307" s="217"/>
      <c r="AF307" s="217">
        <v>1033</v>
      </c>
      <c r="AH307">
        <f t="shared" si="757"/>
        <v>1033</v>
      </c>
    </row>
    <row r="308" ht="45" hidden="1">
      <c r="A308" s="217"/>
      <c r="B308" s="217">
        <v>1033</v>
      </c>
      <c r="C308" s="217"/>
      <c r="D308" s="217" t="s">
        <v>17167</v>
      </c>
      <c r="E308" s="471" t="s">
        <v>20677</v>
      </c>
      <c r="F308" s="482">
        <v>89250</v>
      </c>
      <c r="G308" s="470" t="s">
        <v>20875</v>
      </c>
      <c r="H308" s="482" t="s">
        <v>15410</v>
      </c>
      <c r="I308" s="509">
        <f>1/$N$298</f>
        <v>2.7070899999999998e-002</v>
      </c>
      <c r="J308" s="473">
        <f t="shared" si="751"/>
        <v>1229.3800000000001</v>
      </c>
      <c r="K308" s="474">
        <f t="shared" si="764"/>
        <v>33.280423042000002</v>
      </c>
      <c r="L308" s="475">
        <f t="shared" si="752"/>
        <v>1227.49</v>
      </c>
      <c r="M308" s="474">
        <f t="shared" si="765"/>
        <v>33.229259040999999</v>
      </c>
      <c r="O308" s="434">
        <f t="shared" si="760"/>
        <v>1229.3800000000001</v>
      </c>
      <c r="P308" s="435">
        <f t="shared" si="761"/>
        <v>1227.49</v>
      </c>
      <c r="AE308" s="217"/>
      <c r="AF308" s="217">
        <v>1033</v>
      </c>
      <c r="AH308">
        <f t="shared" si="757"/>
        <v>1033</v>
      </c>
    </row>
    <row r="309" ht="45" hidden="1">
      <c r="A309" s="217"/>
      <c r="B309" s="217">
        <v>1033</v>
      </c>
      <c r="C309" s="217"/>
      <c r="D309" s="217" t="s">
        <v>17167</v>
      </c>
      <c r="E309" s="471" t="s">
        <v>20679</v>
      </c>
      <c r="F309" s="482">
        <v>89251</v>
      </c>
      <c r="G309" s="470" t="s">
        <v>20876</v>
      </c>
      <c r="H309" s="482" t="s">
        <v>15414</v>
      </c>
      <c r="I309" s="509">
        <v>0</v>
      </c>
      <c r="J309" s="473">
        <f t="shared" si="751"/>
        <v>356.70999999999998</v>
      </c>
      <c r="K309" s="474">
        <f t="shared" si="764"/>
        <v>0</v>
      </c>
      <c r="L309" s="475">
        <f t="shared" si="752"/>
        <v>354.81999999999999</v>
      </c>
      <c r="M309" s="474">
        <f t="shared" si="765"/>
        <v>0</v>
      </c>
      <c r="O309" s="434">
        <f t="shared" si="760"/>
        <v>356.70999999999998</v>
      </c>
      <c r="P309" s="435">
        <f t="shared" si="761"/>
        <v>354.81999999999999</v>
      </c>
      <c r="AE309" s="217"/>
      <c r="AF309" s="217">
        <v>1033</v>
      </c>
      <c r="AH309">
        <f t="shared" si="757"/>
        <v>1033</v>
      </c>
    </row>
    <row r="310" ht="60" hidden="1">
      <c r="A310" s="217"/>
      <c r="B310" s="217">
        <v>1033</v>
      </c>
      <c r="C310" s="217"/>
      <c r="D310" s="217" t="s">
        <v>17167</v>
      </c>
      <c r="E310" s="471" t="s">
        <v>20681</v>
      </c>
      <c r="F310" s="482">
        <v>6879</v>
      </c>
      <c r="G310" s="470" t="s">
        <v>20877</v>
      </c>
      <c r="H310" s="482" t="s">
        <v>15410</v>
      </c>
      <c r="I310" s="509">
        <f>0.8/$N$298</f>
        <v>2.1656700000000001e-002</v>
      </c>
      <c r="J310" s="473">
        <f t="shared" si="751"/>
        <v>212.56</v>
      </c>
      <c r="K310" s="474">
        <f t="shared" si="764"/>
        <v>4.6033481520000006</v>
      </c>
      <c r="L310" s="475">
        <f t="shared" si="752"/>
        <v>210.86000000000001</v>
      </c>
      <c r="M310" s="474">
        <f t="shared" si="765"/>
        <v>4.5665317620000003</v>
      </c>
      <c r="O310" s="434">
        <f t="shared" si="760"/>
        <v>212.56</v>
      </c>
      <c r="P310" s="435">
        <f t="shared" si="761"/>
        <v>210.86000000000001</v>
      </c>
      <c r="AE310" s="217"/>
      <c r="AF310" s="217">
        <v>1033</v>
      </c>
      <c r="AH310">
        <f t="shared" si="757"/>
        <v>1033</v>
      </c>
    </row>
    <row r="311" ht="60" hidden="1">
      <c r="A311" s="217"/>
      <c r="B311" s="217">
        <v>1033</v>
      </c>
      <c r="C311" s="217"/>
      <c r="D311" s="217" t="s">
        <v>17167</v>
      </c>
      <c r="E311" s="471" t="s">
        <v>20683</v>
      </c>
      <c r="F311" s="482">
        <v>6880</v>
      </c>
      <c r="G311" s="470" t="s">
        <v>20878</v>
      </c>
      <c r="H311" s="482" t="s">
        <v>15414</v>
      </c>
      <c r="I311" s="509">
        <f>0.2/$N$298</f>
        <v>5.4142000000000001e-003</v>
      </c>
      <c r="J311" s="473">
        <f t="shared" si="751"/>
        <v>84.219999999999999</v>
      </c>
      <c r="K311" s="474">
        <f t="shared" si="764"/>
        <v>0.45598392399999998</v>
      </c>
      <c r="L311" s="475">
        <f t="shared" si="752"/>
        <v>82.519999999999996</v>
      </c>
      <c r="M311" s="474">
        <f t="shared" si="765"/>
        <v>0.44677978400000001</v>
      </c>
      <c r="O311" s="434">
        <f t="shared" si="760"/>
        <v>84.219999999999999</v>
      </c>
      <c r="P311" s="435">
        <f t="shared" si="761"/>
        <v>82.519999999999996</v>
      </c>
      <c r="AE311" s="217"/>
      <c r="AF311" s="217">
        <v>1033</v>
      </c>
      <c r="AH311">
        <f t="shared" si="757"/>
        <v>1033</v>
      </c>
    </row>
    <row r="312" ht="60" hidden="1">
      <c r="A312" s="217"/>
      <c r="B312" s="217">
        <v>1033</v>
      </c>
      <c r="C312" s="217"/>
      <c r="D312" s="217" t="s">
        <v>17167</v>
      </c>
      <c r="E312" s="471" t="s">
        <v>20685</v>
      </c>
      <c r="F312" s="482">
        <v>95631</v>
      </c>
      <c r="G312" s="470" t="s">
        <v>20879</v>
      </c>
      <c r="H312" s="482" t="s">
        <v>15410</v>
      </c>
      <c r="I312" s="509">
        <f>0.64/$N$298</f>
        <v>1.7325400000000001e-002</v>
      </c>
      <c r="J312" s="473">
        <f t="shared" si="751"/>
        <v>235.97999999999999</v>
      </c>
      <c r="K312" s="474">
        <f t="shared" si="764"/>
        <v>4.0884478920000005</v>
      </c>
      <c r="L312" s="475">
        <f t="shared" si="752"/>
        <v>234.28</v>
      </c>
      <c r="M312" s="474">
        <f t="shared" si="765"/>
        <v>4.0589947120000005</v>
      </c>
      <c r="O312" s="434">
        <f t="shared" si="760"/>
        <v>235.97999999999999</v>
      </c>
      <c r="P312" s="435">
        <f t="shared" si="761"/>
        <v>234.28</v>
      </c>
      <c r="AE312" s="217"/>
      <c r="AF312" s="217">
        <v>1033</v>
      </c>
      <c r="AH312">
        <f t="shared" si="757"/>
        <v>1033</v>
      </c>
    </row>
    <row r="313" ht="60" hidden="1">
      <c r="A313" s="217"/>
      <c r="B313" s="217">
        <v>1033</v>
      </c>
      <c r="C313" s="217"/>
      <c r="D313" s="217" t="s">
        <v>17167</v>
      </c>
      <c r="E313" s="471" t="s">
        <v>20687</v>
      </c>
      <c r="F313" s="482">
        <v>95632</v>
      </c>
      <c r="G313" s="470" t="s">
        <v>20880</v>
      </c>
      <c r="H313" s="482" t="s">
        <v>15414</v>
      </c>
      <c r="I313" s="509">
        <f>0.36/$N$298</f>
        <v>9.7455000000000007e-003</v>
      </c>
      <c r="J313" s="473">
        <f t="shared" si="751"/>
        <v>81.819999999999993</v>
      </c>
      <c r="K313" s="474">
        <f t="shared" si="764"/>
        <v>0.79737680999999994</v>
      </c>
      <c r="L313" s="475">
        <f t="shared" si="752"/>
        <v>80.120000000000005</v>
      </c>
      <c r="M313" s="474">
        <f t="shared" si="765"/>
        <v>0.78080946000000007</v>
      </c>
      <c r="O313" s="434">
        <f t="shared" si="760"/>
        <v>81.819999999999993</v>
      </c>
      <c r="P313" s="435">
        <f t="shared" si="761"/>
        <v>80.120000000000005</v>
      </c>
      <c r="AE313" s="217"/>
      <c r="AF313" s="217">
        <v>1033</v>
      </c>
      <c r="AH313">
        <f t="shared" si="757"/>
        <v>1033</v>
      </c>
    </row>
    <row r="314" ht="75" hidden="1">
      <c r="A314" s="217"/>
      <c r="B314" s="217">
        <v>1033</v>
      </c>
      <c r="C314" s="217"/>
      <c r="D314" s="217" t="s">
        <v>17167</v>
      </c>
      <c r="E314" s="471" t="s">
        <v>20689</v>
      </c>
      <c r="F314" s="482">
        <v>7049</v>
      </c>
      <c r="G314" s="470" t="s">
        <v>20881</v>
      </c>
      <c r="H314" s="482" t="s">
        <v>15410</v>
      </c>
      <c r="I314" s="509">
        <f>0.82/$N$298</f>
        <v>2.2198200000000001e-002</v>
      </c>
      <c r="J314" s="473">
        <f t="shared" si="751"/>
        <v>228.24000000000001</v>
      </c>
      <c r="K314" s="474">
        <f t="shared" si="764"/>
        <v>5.0665171680000007</v>
      </c>
      <c r="L314" s="475">
        <f t="shared" si="752"/>
        <v>226.53999999999999</v>
      </c>
      <c r="M314" s="474">
        <f t="shared" si="765"/>
        <v>5.0287802280000005</v>
      </c>
      <c r="O314" s="434">
        <f t="shared" si="760"/>
        <v>228.24000000000001</v>
      </c>
      <c r="P314" s="435">
        <f t="shared" si="761"/>
        <v>226.53999999999999</v>
      </c>
      <c r="AE314" s="217"/>
      <c r="AF314" s="217">
        <v>1033</v>
      </c>
      <c r="AH314">
        <f t="shared" si="757"/>
        <v>1033</v>
      </c>
    </row>
    <row r="315" ht="75" hidden="1">
      <c r="A315" s="217"/>
      <c r="B315" s="217">
        <v>1033</v>
      </c>
      <c r="C315" s="217"/>
      <c r="D315" s="217" t="s">
        <v>17167</v>
      </c>
      <c r="E315" s="471" t="s">
        <v>20882</v>
      </c>
      <c r="F315" s="482">
        <v>7050</v>
      </c>
      <c r="G315" s="470" t="s">
        <v>20883</v>
      </c>
      <c r="H315" s="482" t="s">
        <v>15414</v>
      </c>
      <c r="I315" s="509">
        <f>0.18/$N$298</f>
        <v>4.8728e-003</v>
      </c>
      <c r="J315" s="473">
        <f t="shared" si="751"/>
        <v>77.959999999999994</v>
      </c>
      <c r="K315" s="474">
        <f t="shared" si="764"/>
        <v>0.37988348799999999</v>
      </c>
      <c r="L315" s="475">
        <f t="shared" si="752"/>
        <v>76.260000000000005</v>
      </c>
      <c r="M315" s="474">
        <f t="shared" si="765"/>
        <v>0.37159972800000002</v>
      </c>
      <c r="O315" s="434">
        <f t="shared" si="760"/>
        <v>77.959999999999994</v>
      </c>
      <c r="P315" s="435">
        <f t="shared" si="761"/>
        <v>76.260000000000005</v>
      </c>
      <c r="AE315" s="217"/>
      <c r="AF315" s="217">
        <v>1033</v>
      </c>
      <c r="AH315">
        <f t="shared" si="757"/>
        <v>1033</v>
      </c>
    </row>
    <row r="316" ht="31.5" hidden="1">
      <c r="A316" s="460">
        <v>1034</v>
      </c>
      <c r="B316" s="460">
        <v>1034</v>
      </c>
      <c r="C316" s="460"/>
      <c r="D316" s="460"/>
      <c r="E316" s="461">
        <v>1</v>
      </c>
      <c r="F316" s="462" t="s">
        <v>20884</v>
      </c>
      <c r="G316" s="477" t="s">
        <v>20885</v>
      </c>
      <c r="H316" s="478" t="s">
        <v>15418</v>
      </c>
      <c r="I316" s="479"/>
      <c r="J316" s="480"/>
      <c r="K316" s="466">
        <f>SUM(K317:K318)</f>
        <v>30.322000000000003</v>
      </c>
      <c r="L316" s="480"/>
      <c r="M316" s="466">
        <f>SUM(M317:M318)</f>
        <v>28.7789</v>
      </c>
      <c r="N316" s="467" t="s">
        <v>20886</v>
      </c>
      <c r="O316" s="434" t="str">
        <f t="shared" si="760"/>
        <v xml:space="preserve">SEM VALOR</v>
      </c>
      <c r="P316" s="435" t="str">
        <f t="shared" si="761"/>
        <v xml:space="preserve">SEM VALOR</v>
      </c>
      <c r="AE316" s="460">
        <v>1034</v>
      </c>
      <c r="AF316" s="460"/>
      <c r="AH316">
        <f t="shared" si="757"/>
        <v>1034</v>
      </c>
    </row>
    <row r="317" ht="75" hidden="1">
      <c r="A317" s="217"/>
      <c r="B317" s="217">
        <v>1034</v>
      </c>
      <c r="C317" s="217"/>
      <c r="D317" s="217" t="s">
        <v>17167</v>
      </c>
      <c r="E317" s="471" t="s">
        <v>20399</v>
      </c>
      <c r="F317" s="482">
        <v>91533</v>
      </c>
      <c r="G317" s="470" t="s">
        <v>20887</v>
      </c>
      <c r="H317" s="482" t="s">
        <v>1535</v>
      </c>
      <c r="I317" s="483">
        <v>0.35999999999999999</v>
      </c>
      <c r="J317" s="473">
        <f t="shared" si="751"/>
        <v>39.340000000000003</v>
      </c>
      <c r="K317" s="474">
        <f t="shared" ref="K317:K318" si="766">I317*J317</f>
        <v>14.1624</v>
      </c>
      <c r="L317" s="475">
        <f t="shared" si="752"/>
        <v>37.439999999999998</v>
      </c>
      <c r="M317" s="474">
        <f t="shared" ref="M317:M318" si="767">L317*I317</f>
        <v>13.478399999999999</v>
      </c>
      <c r="O317" s="434">
        <f t="shared" si="760"/>
        <v>39.340000000000003</v>
      </c>
      <c r="P317" s="435">
        <f t="shared" si="761"/>
        <v>37.439999999999998</v>
      </c>
      <c r="AE317" s="217"/>
      <c r="AF317" s="217">
        <v>1034</v>
      </c>
      <c r="AH317">
        <f t="shared" si="757"/>
        <v>1034</v>
      </c>
    </row>
    <row r="318" ht="30" hidden="1">
      <c r="A318" s="217"/>
      <c r="B318" s="217">
        <v>1034</v>
      </c>
      <c r="C318" s="217"/>
      <c r="D318" s="217" t="s">
        <v>17167</v>
      </c>
      <c r="E318" s="471" t="s">
        <v>20402</v>
      </c>
      <c r="F318" s="482">
        <v>88316</v>
      </c>
      <c r="G318" s="470" t="s">
        <v>7393</v>
      </c>
      <c r="H318" s="482" t="s">
        <v>2032</v>
      </c>
      <c r="I318" s="483">
        <v>0.70999999999999996</v>
      </c>
      <c r="J318" s="473">
        <f t="shared" si="751"/>
        <v>22.760000000000002</v>
      </c>
      <c r="K318" s="474">
        <f t="shared" si="766"/>
        <v>16.159600000000001</v>
      </c>
      <c r="L318" s="475">
        <f t="shared" si="752"/>
        <v>21.550000000000001</v>
      </c>
      <c r="M318" s="474">
        <f t="shared" si="767"/>
        <v>15.3005</v>
      </c>
      <c r="O318" s="434">
        <f t="shared" si="760"/>
        <v>22.760000000000002</v>
      </c>
      <c r="P318" s="435">
        <f t="shared" si="761"/>
        <v>21.550000000000001</v>
      </c>
      <c r="AE318" s="217"/>
      <c r="AF318" s="217">
        <v>1034</v>
      </c>
      <c r="AH318">
        <f t="shared" si="757"/>
        <v>1034</v>
      </c>
    </row>
    <row r="319" ht="78.75" hidden="1">
      <c r="A319" s="460">
        <v>1035</v>
      </c>
      <c r="B319" s="460">
        <v>1035</v>
      </c>
      <c r="C319" s="460"/>
      <c r="D319" s="460"/>
      <c r="E319" s="461">
        <v>1</v>
      </c>
      <c r="F319" s="462" t="s">
        <v>20888</v>
      </c>
      <c r="G319" s="477" t="s">
        <v>20889</v>
      </c>
      <c r="H319" s="478" t="s">
        <v>38</v>
      </c>
      <c r="I319" s="479"/>
      <c r="J319" s="480"/>
      <c r="K319" s="466">
        <f>SUM(K320:K328)</f>
        <v>202.7554999174173</v>
      </c>
      <c r="L319" s="480"/>
      <c r="M319" s="466">
        <f>SUM(M320:M328)</f>
        <v>198.39211242975614</v>
      </c>
      <c r="N319" s="467" t="s">
        <v>20890</v>
      </c>
      <c r="O319" s="434" t="str">
        <f t="shared" si="760"/>
        <v xml:space="preserve">SEM VALOR</v>
      </c>
      <c r="P319" s="435" t="str">
        <f t="shared" si="761"/>
        <v xml:space="preserve">SEM VALOR</v>
      </c>
      <c r="AE319" s="460">
        <v>1035</v>
      </c>
      <c r="AF319" s="460"/>
      <c r="AH319">
        <f t="shared" si="757"/>
        <v>1035</v>
      </c>
    </row>
    <row r="320" ht="75" hidden="1">
      <c r="A320" s="217"/>
      <c r="B320" s="217">
        <v>1035</v>
      </c>
      <c r="C320" s="217"/>
      <c r="D320" s="217" t="s">
        <v>20398</v>
      </c>
      <c r="E320" s="471" t="s">
        <v>20399</v>
      </c>
      <c r="F320" s="482">
        <v>1267</v>
      </c>
      <c r="G320" s="470" t="s">
        <v>20662</v>
      </c>
      <c r="H320" s="482" t="s">
        <v>38</v>
      </c>
      <c r="I320" s="483">
        <f>(2*8+0.8*2)/N$320</f>
        <v>2.2000000000000002</v>
      </c>
      <c r="J320" s="473">
        <f t="shared" si="751"/>
        <v>3.2499999999999996</v>
      </c>
      <c r="K320" s="474">
        <f t="shared" ref="K320:K328" si="768">I320*J320</f>
        <v>7.1499999999999995</v>
      </c>
      <c r="L320" s="475">
        <f t="shared" si="752"/>
        <v>3.1657000000000002</v>
      </c>
      <c r="M320" s="474">
        <f t="shared" ref="M320:M328" si="769">L320*I320</f>
        <v>6.9645400000000013</v>
      </c>
      <c r="N320" s="510">
        <v>8</v>
      </c>
      <c r="O320" s="434">
        <f t="shared" si="760"/>
        <v>3.2499999999999996</v>
      </c>
      <c r="P320" s="435">
        <f t="shared" si="761"/>
        <v>3.1657000000000002</v>
      </c>
      <c r="AE320" s="217"/>
      <c r="AF320" s="217">
        <v>1035</v>
      </c>
      <c r="AH320">
        <f t="shared" si="757"/>
        <v>1035</v>
      </c>
    </row>
    <row r="321" ht="75" hidden="1">
      <c r="A321" s="217"/>
      <c r="B321" s="217">
        <v>1035</v>
      </c>
      <c r="C321" s="217"/>
      <c r="D321" s="217" t="s">
        <v>20398</v>
      </c>
      <c r="E321" s="471" t="s">
        <v>20402</v>
      </c>
      <c r="F321" s="482">
        <v>1036</v>
      </c>
      <c r="G321" s="470" t="s">
        <v>20891</v>
      </c>
      <c r="H321" s="482" t="s">
        <v>15528</v>
      </c>
      <c r="I321" s="483">
        <f>(0.18*0.8*8)/$N$320</f>
        <v>0.14399999999999999</v>
      </c>
      <c r="J321" s="473">
        <f t="shared" si="751"/>
        <v>19.600000000000001</v>
      </c>
      <c r="K321" s="474">
        <f t="shared" si="768"/>
        <v>2.8224</v>
      </c>
      <c r="L321" s="475">
        <f t="shared" si="752"/>
        <v>19.015000000000001</v>
      </c>
      <c r="M321" s="474">
        <f t="shared" si="769"/>
        <v>2.7381599999999997</v>
      </c>
      <c r="O321" s="434">
        <f t="shared" si="760"/>
        <v>19.600000000000001</v>
      </c>
      <c r="P321" s="435">
        <f t="shared" si="761"/>
        <v>19.015000000000001</v>
      </c>
      <c r="AE321" s="217"/>
      <c r="AF321" s="217">
        <v>1035</v>
      </c>
      <c r="AH321">
        <f t="shared" si="757"/>
        <v>1035</v>
      </c>
    </row>
    <row r="322" ht="105" hidden="1">
      <c r="A322" s="217"/>
      <c r="B322" s="217">
        <v>1035</v>
      </c>
      <c r="C322" s="217"/>
      <c r="D322" s="217" t="s">
        <v>20398</v>
      </c>
      <c r="E322" s="471" t="s">
        <v>20405</v>
      </c>
      <c r="F322" s="482">
        <v>1092</v>
      </c>
      <c r="G322" s="470" t="s">
        <v>20666</v>
      </c>
      <c r="H322" s="482" t="s">
        <v>15528</v>
      </c>
      <c r="I322" s="483">
        <f>I321*1.3+I324*1.3</f>
        <v>0.41599999999999998</v>
      </c>
      <c r="J322" s="473">
        <f t="shared" si="751"/>
        <v>2.2000000000000002</v>
      </c>
      <c r="K322" s="474">
        <f t="shared" si="768"/>
        <v>0.91520000000000001</v>
      </c>
      <c r="L322" s="475">
        <f t="shared" si="752"/>
        <v>2.1879900000000001</v>
      </c>
      <c r="M322" s="474">
        <f t="shared" si="769"/>
        <v>0.91020383999999999</v>
      </c>
      <c r="O322" s="434">
        <f t="shared" si="760"/>
        <v>2.2000000000000002</v>
      </c>
      <c r="P322" s="435">
        <f t="shared" si="761"/>
        <v>2.1879900000000001</v>
      </c>
      <c r="AE322" s="217"/>
      <c r="AF322" s="217">
        <v>1035</v>
      </c>
      <c r="AH322">
        <f t="shared" si="757"/>
        <v>1035</v>
      </c>
    </row>
    <row r="323" ht="60" hidden="1">
      <c r="A323" s="217"/>
      <c r="B323" s="217">
        <v>1035</v>
      </c>
      <c r="C323" s="217"/>
      <c r="D323" s="217" t="s">
        <v>17167</v>
      </c>
      <c r="E323" s="471" t="s">
        <v>20409</v>
      </c>
      <c r="F323" s="482">
        <v>95875</v>
      </c>
      <c r="G323" s="470" t="s">
        <v>20668</v>
      </c>
      <c r="H323" s="482" t="s">
        <v>20669</v>
      </c>
      <c r="I323" s="483">
        <f>I322*5</f>
        <v>2.0800000000000001</v>
      </c>
      <c r="J323" s="473">
        <f t="shared" si="751"/>
        <v>2.7599999999999998</v>
      </c>
      <c r="K323" s="474">
        <f t="shared" si="768"/>
        <v>5.7408000000000001</v>
      </c>
      <c r="L323" s="475">
        <f t="shared" si="752"/>
        <v>2.73</v>
      </c>
      <c r="M323" s="474">
        <f t="shared" si="769"/>
        <v>5.6783999999999999</v>
      </c>
      <c r="N323" s="467" t="s">
        <v>20670</v>
      </c>
      <c r="O323" s="434">
        <f t="shared" si="760"/>
        <v>2.7599999999999998</v>
      </c>
      <c r="P323" s="435">
        <f t="shared" si="761"/>
        <v>2.73</v>
      </c>
      <c r="AE323" s="217"/>
      <c r="AF323" s="217">
        <v>1035</v>
      </c>
      <c r="AH323">
        <f t="shared" si="757"/>
        <v>1035</v>
      </c>
    </row>
    <row r="324" ht="30" hidden="1">
      <c r="A324" s="217"/>
      <c r="B324" s="217">
        <v>1035</v>
      </c>
      <c r="C324" s="217"/>
      <c r="D324" s="217" t="s">
        <v>17167</v>
      </c>
      <c r="E324" s="471" t="s">
        <v>20663</v>
      </c>
      <c r="F324" s="482">
        <v>97082</v>
      </c>
      <c r="G324" s="470" t="s">
        <v>20892</v>
      </c>
      <c r="H324" s="482" t="s">
        <v>15528</v>
      </c>
      <c r="I324" s="483">
        <f>((0.4-0.18)*0.8*8)/$N$320</f>
        <v>0.17599999999999999</v>
      </c>
      <c r="J324" s="473">
        <f t="shared" si="751"/>
        <v>66.090000000000003</v>
      </c>
      <c r="K324" s="474">
        <f t="shared" si="768"/>
        <v>11.63184</v>
      </c>
      <c r="L324" s="475">
        <f t="shared" si="752"/>
        <v>62.579999999999998</v>
      </c>
      <c r="M324" s="474">
        <f t="shared" si="769"/>
        <v>11.01408</v>
      </c>
      <c r="O324" s="434">
        <f t="shared" si="760"/>
        <v>66.090000000000003</v>
      </c>
      <c r="P324" s="435">
        <f t="shared" si="761"/>
        <v>62.579999999999998</v>
      </c>
      <c r="AE324" s="217"/>
      <c r="AF324" s="217">
        <v>1035</v>
      </c>
      <c r="AH324">
        <f t="shared" si="757"/>
        <v>1035</v>
      </c>
    </row>
    <row r="325" ht="60" hidden="1">
      <c r="A325" s="217"/>
      <c r="B325" s="217">
        <v>1035</v>
      </c>
      <c r="C325" s="217"/>
      <c r="D325" s="217" t="s">
        <v>17167</v>
      </c>
      <c r="E325" s="471" t="s">
        <v>20665</v>
      </c>
      <c r="F325" s="482">
        <v>94966</v>
      </c>
      <c r="G325" s="470" t="s">
        <v>20843</v>
      </c>
      <c r="H325" s="482" t="s">
        <v>15528</v>
      </c>
      <c r="I325" s="483">
        <f>(0.243*8)/$N$320</f>
        <v>0.24299999999999999</v>
      </c>
      <c r="J325" s="473">
        <f t="shared" si="751"/>
        <v>529.88</v>
      </c>
      <c r="K325" s="474">
        <f t="shared" si="768"/>
        <v>128.76084</v>
      </c>
      <c r="L325" s="475">
        <f t="shared" si="752"/>
        <v>524.67999999999995</v>
      </c>
      <c r="M325" s="474">
        <f t="shared" si="769"/>
        <v>127.49723999999999</v>
      </c>
      <c r="O325" s="434">
        <f t="shared" si="760"/>
        <v>529.88</v>
      </c>
      <c r="P325" s="435">
        <f t="shared" si="761"/>
        <v>524.67999999999995</v>
      </c>
      <c r="AE325" s="217"/>
      <c r="AF325" s="217">
        <v>1035</v>
      </c>
      <c r="AH325">
        <f t="shared" si="757"/>
        <v>1035</v>
      </c>
    </row>
    <row r="326" ht="45" hidden="1">
      <c r="A326" s="217"/>
      <c r="B326" s="217">
        <v>1035</v>
      </c>
      <c r="C326" s="217"/>
      <c r="D326" s="217" t="s">
        <v>20398</v>
      </c>
      <c r="E326" s="471" t="s">
        <v>20667</v>
      </c>
      <c r="F326" s="482">
        <v>1000</v>
      </c>
      <c r="G326" s="470" t="s">
        <v>20651</v>
      </c>
      <c r="H326" s="482" t="s">
        <v>15528</v>
      </c>
      <c r="I326" s="483">
        <f>I325</f>
        <v>0.24299999999999999</v>
      </c>
      <c r="J326" s="473">
        <f t="shared" si="751"/>
        <v>149.904</v>
      </c>
      <c r="K326" s="474">
        <f t="shared" si="768"/>
        <v>36.426671999999996</v>
      </c>
      <c r="L326" s="475">
        <f t="shared" si="752"/>
        <v>141.76949999999999</v>
      </c>
      <c r="M326" s="474">
        <f t="shared" si="769"/>
        <v>34.449988499999996</v>
      </c>
      <c r="O326" s="434">
        <f t="shared" si="760"/>
        <v>149.904</v>
      </c>
      <c r="P326" s="435">
        <f t="shared" si="761"/>
        <v>141.76949999999999</v>
      </c>
      <c r="AE326" s="217"/>
      <c r="AF326" s="217">
        <v>1035</v>
      </c>
      <c r="AH326">
        <f t="shared" si="757"/>
        <v>1035</v>
      </c>
    </row>
    <row r="327" ht="45" hidden="1">
      <c r="A327" s="217"/>
      <c r="B327" s="217">
        <v>1035</v>
      </c>
      <c r="C327" s="217"/>
      <c r="D327" s="217" t="s">
        <v>17167</v>
      </c>
      <c r="E327" s="471" t="s">
        <v>20671</v>
      </c>
      <c r="F327" s="482">
        <v>96622</v>
      </c>
      <c r="G327" s="470" t="s">
        <v>20893</v>
      </c>
      <c r="H327" s="482" t="s">
        <v>15528</v>
      </c>
      <c r="I327" s="483">
        <f>(0.8*8*0.05)/$N$320</f>
        <v>4.0000000000000001e-002</v>
      </c>
      <c r="J327" s="473">
        <f t="shared" si="751"/>
        <v>212.5</v>
      </c>
      <c r="K327" s="474">
        <f t="shared" si="768"/>
        <v>8.5</v>
      </c>
      <c r="L327" s="475">
        <f t="shared" si="752"/>
        <v>208.41</v>
      </c>
      <c r="M327" s="474">
        <f t="shared" si="769"/>
        <v>8.3363999999999994</v>
      </c>
      <c r="O327" s="434">
        <f t="shared" si="760"/>
        <v>212.5</v>
      </c>
      <c r="P327" s="435">
        <f t="shared" si="761"/>
        <v>208.41</v>
      </c>
      <c r="AE327" s="217"/>
      <c r="AF327" s="217">
        <v>1035</v>
      </c>
      <c r="AH327">
        <f t="shared" si="757"/>
        <v>1035</v>
      </c>
    </row>
    <row r="328" ht="30" hidden="1">
      <c r="A328" s="217"/>
      <c r="B328" s="217">
        <v>1035</v>
      </c>
      <c r="C328" s="217"/>
      <c r="D328" s="217" t="s">
        <v>20398</v>
      </c>
      <c r="E328" s="471" t="s">
        <v>20672</v>
      </c>
      <c r="F328" s="482">
        <v>1096</v>
      </c>
      <c r="G328" s="470" t="s">
        <v>20894</v>
      </c>
      <c r="H328" s="482" t="s">
        <v>20669</v>
      </c>
      <c r="I328" s="483">
        <f>1.13*I327*13.3</f>
        <v>0.60116000000000003</v>
      </c>
      <c r="J328" s="473">
        <f t="shared" si="751"/>
        <v>1.3436488080000002</v>
      </c>
      <c r="K328" s="474">
        <f t="shared" si="768"/>
        <v>0.80774791741728014</v>
      </c>
      <c r="L328" s="475">
        <f t="shared" si="752"/>
        <v>1.335917376</v>
      </c>
      <c r="M328" s="474">
        <f t="shared" si="769"/>
        <v>0.8031000897561601</v>
      </c>
      <c r="N328" s="467" t="s">
        <v>20895</v>
      </c>
      <c r="O328" s="434">
        <f t="shared" si="760"/>
        <v>1.3436488080000002</v>
      </c>
      <c r="P328" s="435">
        <f t="shared" si="761"/>
        <v>1.335917376</v>
      </c>
      <c r="AE328" s="217"/>
      <c r="AF328" s="217">
        <v>1035</v>
      </c>
      <c r="AH328">
        <f t="shared" si="757"/>
        <v>1035</v>
      </c>
    </row>
    <row r="329" ht="94.5">
      <c r="A329" s="460">
        <v>1036</v>
      </c>
      <c r="B329" s="460">
        <v>1036</v>
      </c>
      <c r="C329" s="460"/>
      <c r="D329" s="460"/>
      <c r="E329" s="461">
        <v>1</v>
      </c>
      <c r="F329" s="462" t="s">
        <v>20443</v>
      </c>
      <c r="G329" s="477" t="s">
        <v>20891</v>
      </c>
      <c r="H329" s="478" t="s">
        <v>15515</v>
      </c>
      <c r="I329" s="479"/>
      <c r="J329" s="480"/>
      <c r="K329" s="466">
        <f>SUM(K330:K332)</f>
        <v>19.600000000000001</v>
      </c>
      <c r="L329" s="480"/>
      <c r="M329" s="466">
        <f>SUM(M330:M332)</f>
        <v>19.015000000000001</v>
      </c>
      <c r="N329" s="467" t="s">
        <v>20896</v>
      </c>
      <c r="O329" s="434" t="str">
        <f t="shared" si="760"/>
        <v xml:space="preserve">SEM VALOR</v>
      </c>
      <c r="P329" s="435" t="str">
        <f t="shared" si="761"/>
        <v xml:space="preserve">SEM VALOR</v>
      </c>
      <c r="AE329" s="460">
        <v>1036</v>
      </c>
      <c r="AF329" s="460"/>
      <c r="AH329">
        <f t="shared" si="757"/>
        <v>1036</v>
      </c>
    </row>
    <row r="330" ht="30">
      <c r="A330" s="217"/>
      <c r="B330" s="217">
        <v>1036</v>
      </c>
      <c r="C330" s="217"/>
      <c r="D330" s="217" t="s">
        <v>17167</v>
      </c>
      <c r="E330" s="471" t="s">
        <v>20399</v>
      </c>
      <c r="F330" s="482">
        <v>88316</v>
      </c>
      <c r="G330" s="470" t="s">
        <v>7393</v>
      </c>
      <c r="H330" s="482" t="s">
        <v>2032</v>
      </c>
      <c r="I330" s="483">
        <v>0.10000000000000001</v>
      </c>
      <c r="J330" s="473">
        <f t="shared" si="751"/>
        <v>22.760000000000002</v>
      </c>
      <c r="K330" s="474">
        <f>TRUNC(I330*J330,2)</f>
        <v>2.27</v>
      </c>
      <c r="L330" s="475">
        <f t="shared" si="752"/>
        <v>21.550000000000001</v>
      </c>
      <c r="M330" s="474">
        <f t="shared" ref="M330:M332" si="770">L330*I330</f>
        <v>2.1550000000000002</v>
      </c>
      <c r="O330" s="434">
        <f t="shared" si="760"/>
        <v>22.760000000000002</v>
      </c>
      <c r="P330" s="435">
        <f t="shared" si="761"/>
        <v>21.550000000000001</v>
      </c>
      <c r="AE330" s="217"/>
      <c r="AF330" s="217">
        <v>1036</v>
      </c>
      <c r="AH330">
        <f t="shared" si="757"/>
        <v>1036</v>
      </c>
    </row>
    <row r="331" ht="75">
      <c r="A331" s="217"/>
      <c r="B331" s="217">
        <v>1036</v>
      </c>
      <c r="C331" s="217"/>
      <c r="D331" s="217" t="s">
        <v>17167</v>
      </c>
      <c r="E331" s="471" t="s">
        <v>20402</v>
      </c>
      <c r="F331" s="482">
        <v>90972</v>
      </c>
      <c r="G331" s="470" t="s">
        <v>1631</v>
      </c>
      <c r="H331" s="482" t="s">
        <v>1535</v>
      </c>
      <c r="I331" s="483">
        <v>0.10000000000000001</v>
      </c>
      <c r="J331" s="473">
        <f t="shared" ref="J331:J394" si="771">O331*$J$3</f>
        <v>86.519999999999996</v>
      </c>
      <c r="K331" s="474">
        <f>TRUNC(I331*J331,2)</f>
        <v>8.6500000000000004</v>
      </c>
      <c r="L331" s="475">
        <f t="shared" ref="L331:L394" si="772">P331*$L$3</f>
        <v>86.519999999999996</v>
      </c>
      <c r="M331" s="474">
        <f t="shared" si="770"/>
        <v>8.6519999999999992</v>
      </c>
      <c r="O331" s="434">
        <f t="shared" si="760"/>
        <v>86.519999999999996</v>
      </c>
      <c r="P331" s="435">
        <f t="shared" si="761"/>
        <v>86.519999999999996</v>
      </c>
      <c r="AE331" s="217"/>
      <c r="AF331" s="217">
        <v>1036</v>
      </c>
      <c r="AH331">
        <f t="shared" si="757"/>
        <v>1036</v>
      </c>
    </row>
    <row r="332" ht="45">
      <c r="A332" s="217"/>
      <c r="B332" s="217">
        <v>1036</v>
      </c>
      <c r="C332" s="217"/>
      <c r="D332" s="217" t="s">
        <v>17167</v>
      </c>
      <c r="E332" s="471" t="s">
        <v>20405</v>
      </c>
      <c r="F332" s="482">
        <v>105916</v>
      </c>
      <c r="G332" s="470" t="s">
        <v>1763</v>
      </c>
      <c r="H332" s="482" t="s">
        <v>1535</v>
      </c>
      <c r="I332" s="483">
        <v>0.29999999999999999</v>
      </c>
      <c r="J332" s="473">
        <f t="shared" si="771"/>
        <v>28.949999999999999</v>
      </c>
      <c r="K332" s="474">
        <f>TRUNC(I332*J332,2)</f>
        <v>8.6799999999999997</v>
      </c>
      <c r="L332" s="475">
        <f t="shared" si="772"/>
        <v>27.359999999999999</v>
      </c>
      <c r="M332" s="474">
        <f t="shared" si="770"/>
        <v>8.2080000000000002</v>
      </c>
      <c r="O332" s="434">
        <f t="shared" si="760"/>
        <v>28.949999999999999</v>
      </c>
      <c r="P332" s="435">
        <f t="shared" si="761"/>
        <v>27.359999999999999</v>
      </c>
      <c r="AE332" s="217"/>
      <c r="AF332" s="217">
        <v>1036</v>
      </c>
      <c r="AH332">
        <f t="shared" si="757"/>
        <v>1036</v>
      </c>
    </row>
    <row r="333" ht="47.25" hidden="1">
      <c r="A333" s="460">
        <v>1037</v>
      </c>
      <c r="B333" s="460">
        <v>1037</v>
      </c>
      <c r="C333" s="460"/>
      <c r="D333" s="460"/>
      <c r="E333" s="461">
        <v>1</v>
      </c>
      <c r="F333" s="462" t="s">
        <v>20897</v>
      </c>
      <c r="G333" s="477" t="s">
        <v>20898</v>
      </c>
      <c r="H333" s="478" t="s">
        <v>15418</v>
      </c>
      <c r="I333" s="479"/>
      <c r="J333" s="480"/>
      <c r="K333" s="466">
        <f>SUM(K334:K352)</f>
        <v>119.512968853</v>
      </c>
      <c r="L333" s="480"/>
      <c r="M333" s="466">
        <f>SUM(M334:M352)</f>
        <v>118.91388926400002</v>
      </c>
      <c r="N333" s="467" t="s">
        <v>20862</v>
      </c>
      <c r="O333" s="434" t="str">
        <f t="shared" si="760"/>
        <v xml:space="preserve">SEM VALOR</v>
      </c>
      <c r="P333" s="435" t="str">
        <f t="shared" si="761"/>
        <v xml:space="preserve">SEM VALOR</v>
      </c>
      <c r="AE333" s="460">
        <v>1037</v>
      </c>
      <c r="AF333" s="460"/>
      <c r="AH333">
        <f t="shared" si="757"/>
        <v>1037</v>
      </c>
    </row>
    <row r="334" ht="31.5" hidden="1" customHeight="1">
      <c r="A334" s="217"/>
      <c r="B334" s="217">
        <v>1037</v>
      </c>
      <c r="C334" s="217"/>
      <c r="D334" s="217" t="s">
        <v>20408</v>
      </c>
      <c r="E334" s="471" t="s">
        <v>20399</v>
      </c>
      <c r="F334" s="482">
        <v>1379</v>
      </c>
      <c r="G334" s="470" t="s">
        <v>20863</v>
      </c>
      <c r="H334" s="482" t="s">
        <v>15370</v>
      </c>
      <c r="I334" s="483">
        <v>45</v>
      </c>
      <c r="J334" s="473">
        <f t="shared" si="771"/>
        <v>0.82999999999999996</v>
      </c>
      <c r="K334" s="474">
        <f t="shared" ref="K334:K352" si="773">I334*J334</f>
        <v>37.350000000000001</v>
      </c>
      <c r="L334" s="475">
        <f t="shared" si="772"/>
        <v>0.82999999999999996</v>
      </c>
      <c r="M334" s="474">
        <f t="shared" ref="M334:M352" si="774">L334*I334</f>
        <v>37.350000000000001</v>
      </c>
      <c r="N334" s="467" t="s">
        <v>20864</v>
      </c>
      <c r="O334" s="434">
        <f t="shared" si="760"/>
        <v>0.82999999999999996</v>
      </c>
      <c r="P334" s="435">
        <f t="shared" si="761"/>
        <v>0.82999999999999996</v>
      </c>
      <c r="AE334" s="217"/>
      <c r="AF334" s="217">
        <v>1037</v>
      </c>
      <c r="AH334">
        <f t="shared" si="757"/>
        <v>1037</v>
      </c>
    </row>
    <row r="335" hidden="1">
      <c r="A335" s="217"/>
      <c r="B335" s="217">
        <v>1037</v>
      </c>
      <c r="C335" s="217"/>
      <c r="D335" s="217" t="s">
        <v>20453</v>
      </c>
      <c r="E335" s="471" t="s">
        <v>20402</v>
      </c>
      <c r="F335" s="482" t="s">
        <v>19997</v>
      </c>
      <c r="G335" s="470" t="s">
        <v>20865</v>
      </c>
      <c r="H335" s="482" t="s">
        <v>15364</v>
      </c>
      <c r="I335" s="483">
        <v>9.3439999999999995e-002</v>
      </c>
      <c r="J335" s="473">
        <f t="shared" si="771"/>
        <v>66.5</v>
      </c>
      <c r="K335" s="474">
        <f t="shared" si="773"/>
        <v>6.2137599999999997</v>
      </c>
      <c r="L335" s="475">
        <f t="shared" si="772"/>
        <v>66.5</v>
      </c>
      <c r="M335" s="474">
        <f t="shared" si="774"/>
        <v>6.2137599999999997</v>
      </c>
      <c r="N335" s="467">
        <v>36.939999999999998</v>
      </c>
      <c r="O335" s="434">
        <f t="shared" si="760"/>
        <v>66.5</v>
      </c>
      <c r="P335" s="435">
        <f t="shared" si="761"/>
        <v>66.5</v>
      </c>
      <c r="AE335" s="217"/>
      <c r="AF335" s="217">
        <v>1037</v>
      </c>
      <c r="AH335">
        <f t="shared" si="757"/>
        <v>1037</v>
      </c>
    </row>
    <row r="336" hidden="1">
      <c r="A336" s="217"/>
      <c r="B336" s="217">
        <v>1037</v>
      </c>
      <c r="C336" s="217"/>
      <c r="D336" s="217" t="s">
        <v>20453</v>
      </c>
      <c r="E336" s="471" t="s">
        <v>20405</v>
      </c>
      <c r="F336" s="482" t="s">
        <v>20004</v>
      </c>
      <c r="G336" s="470" t="s">
        <v>20866</v>
      </c>
      <c r="H336" s="482" t="s">
        <v>15364</v>
      </c>
      <c r="I336" s="483">
        <v>4.4999999999999997e-003</v>
      </c>
      <c r="J336" s="473">
        <f t="shared" si="771"/>
        <v>600</v>
      </c>
      <c r="K336" s="474">
        <f t="shared" si="773"/>
        <v>2.6999999999999997</v>
      </c>
      <c r="L336" s="475">
        <f t="shared" si="772"/>
        <v>600</v>
      </c>
      <c r="M336" s="474">
        <f t="shared" si="774"/>
        <v>2.6999999999999997</v>
      </c>
      <c r="O336" s="434">
        <f t="shared" si="760"/>
        <v>600</v>
      </c>
      <c r="P336" s="435">
        <f t="shared" si="761"/>
        <v>600</v>
      </c>
      <c r="AE336" s="217"/>
      <c r="AF336" s="217">
        <v>1037</v>
      </c>
      <c r="AH336">
        <f t="shared" si="757"/>
        <v>1037</v>
      </c>
    </row>
    <row r="337" hidden="1">
      <c r="A337" s="217"/>
      <c r="B337" s="217">
        <v>1037</v>
      </c>
      <c r="C337" s="217"/>
      <c r="D337" s="217" t="s">
        <v>20453</v>
      </c>
      <c r="E337" s="471" t="s">
        <v>20409</v>
      </c>
      <c r="F337" s="482" t="s">
        <v>20007</v>
      </c>
      <c r="G337" s="470" t="s">
        <v>20867</v>
      </c>
      <c r="H337" s="482" t="s">
        <v>15364</v>
      </c>
      <c r="I337" s="483">
        <v>1.6e-002</v>
      </c>
      <c r="J337" s="473">
        <f t="shared" si="771"/>
        <v>257.5</v>
      </c>
      <c r="K337" s="474">
        <f t="shared" si="773"/>
        <v>4.1200000000000001</v>
      </c>
      <c r="L337" s="475">
        <f t="shared" si="772"/>
        <v>257.5</v>
      </c>
      <c r="M337" s="474">
        <f t="shared" si="774"/>
        <v>4.1200000000000001</v>
      </c>
      <c r="O337" s="434">
        <f t="shared" si="760"/>
        <v>257.5</v>
      </c>
      <c r="P337" s="435">
        <f t="shared" si="761"/>
        <v>257.5</v>
      </c>
      <c r="AE337" s="217"/>
      <c r="AF337" s="217">
        <v>1037</v>
      </c>
      <c r="AH337">
        <f t="shared" si="757"/>
        <v>1037</v>
      </c>
    </row>
    <row r="338" hidden="1">
      <c r="A338" s="217"/>
      <c r="B338" s="217">
        <v>1037</v>
      </c>
      <c r="C338" s="217"/>
      <c r="D338" s="217" t="s">
        <v>17167</v>
      </c>
      <c r="E338" s="471" t="s">
        <v>20663</v>
      </c>
      <c r="F338" s="482">
        <v>88316</v>
      </c>
      <c r="G338" s="470" t="s">
        <v>20868</v>
      </c>
      <c r="H338" s="482" t="s">
        <v>15443</v>
      </c>
      <c r="I338" s="483">
        <v>0.1624256</v>
      </c>
      <c r="J338" s="473">
        <f t="shared" si="771"/>
        <v>22.760000000000002</v>
      </c>
      <c r="K338" s="474">
        <f t="shared" si="773"/>
        <v>3.6968066560000001</v>
      </c>
      <c r="L338" s="475">
        <f t="shared" si="772"/>
        <v>21.550000000000001</v>
      </c>
      <c r="M338" s="474">
        <f t="shared" si="774"/>
        <v>3.50027168</v>
      </c>
      <c r="O338" s="434">
        <f t="shared" si="760"/>
        <v>22.760000000000002</v>
      </c>
      <c r="P338" s="435">
        <f t="shared" si="761"/>
        <v>21.550000000000001</v>
      </c>
      <c r="AE338" s="217"/>
      <c r="AF338" s="217">
        <v>1037</v>
      </c>
      <c r="AH338">
        <f t="shared" si="757"/>
        <v>1037</v>
      </c>
    </row>
    <row r="339" ht="45" hidden="1">
      <c r="A339" s="217"/>
      <c r="B339" s="217">
        <v>1037</v>
      </c>
      <c r="C339" s="217"/>
      <c r="D339" s="217" t="s">
        <v>17167</v>
      </c>
      <c r="E339" s="471" t="s">
        <v>20665</v>
      </c>
      <c r="F339" s="482">
        <v>95127</v>
      </c>
      <c r="G339" s="470" t="s">
        <v>20869</v>
      </c>
      <c r="H339" s="482" t="s">
        <v>15410</v>
      </c>
      <c r="I339" s="483">
        <f>0.33/$N$335</f>
        <v>8.9333999999999993e-003</v>
      </c>
      <c r="J339" s="473">
        <f t="shared" si="771"/>
        <v>246.74000000000001</v>
      </c>
      <c r="K339" s="474">
        <f t="shared" si="773"/>
        <v>2.2042271159999998</v>
      </c>
      <c r="L339" s="475">
        <f t="shared" si="772"/>
        <v>244.84</v>
      </c>
      <c r="M339" s="474">
        <f t="shared" si="774"/>
        <v>2.1872536559999998</v>
      </c>
      <c r="O339" s="434">
        <f t="shared" si="760"/>
        <v>246.74000000000001</v>
      </c>
      <c r="P339" s="435">
        <f t="shared" si="761"/>
        <v>244.84</v>
      </c>
      <c r="AE339" s="217"/>
      <c r="AF339" s="217">
        <v>1037</v>
      </c>
      <c r="AH339">
        <f t="shared" si="757"/>
        <v>1037</v>
      </c>
    </row>
    <row r="340" ht="45" hidden="1">
      <c r="A340" s="217"/>
      <c r="B340" s="217">
        <v>1037</v>
      </c>
      <c r="C340" s="217"/>
      <c r="D340" s="217" t="s">
        <v>17167</v>
      </c>
      <c r="E340" s="471" t="s">
        <v>20667</v>
      </c>
      <c r="F340" s="482">
        <v>95128</v>
      </c>
      <c r="G340" s="470" t="s">
        <v>20870</v>
      </c>
      <c r="H340" s="482" t="s">
        <v>15414</v>
      </c>
      <c r="I340" s="483">
        <f>0.67/$N$335</f>
        <v>1.8137500000000001e-002</v>
      </c>
      <c r="J340" s="473">
        <f t="shared" si="771"/>
        <v>57.420000000000002</v>
      </c>
      <c r="K340" s="474">
        <f t="shared" si="773"/>
        <v>1.0414552500000001</v>
      </c>
      <c r="L340" s="475">
        <f t="shared" si="772"/>
        <v>55.520000000000003</v>
      </c>
      <c r="M340" s="474">
        <f t="shared" si="774"/>
        <v>1.0069940000000002</v>
      </c>
      <c r="O340" s="434">
        <f t="shared" si="760"/>
        <v>57.420000000000002</v>
      </c>
      <c r="P340" s="435">
        <f t="shared" si="761"/>
        <v>55.520000000000003</v>
      </c>
      <c r="AE340" s="217"/>
      <c r="AF340" s="217">
        <v>1037</v>
      </c>
      <c r="AH340">
        <f t="shared" si="757"/>
        <v>1037</v>
      </c>
    </row>
    <row r="341" ht="75" hidden="1">
      <c r="A341" s="217"/>
      <c r="B341" s="217">
        <v>1037</v>
      </c>
      <c r="C341" s="217"/>
      <c r="D341" s="217" t="s">
        <v>17167</v>
      </c>
      <c r="E341" s="471" t="s">
        <v>20671</v>
      </c>
      <c r="F341" s="482">
        <v>5901</v>
      </c>
      <c r="G341" s="470" t="s">
        <v>20871</v>
      </c>
      <c r="H341" s="482" t="s">
        <v>15410</v>
      </c>
      <c r="I341" s="483">
        <f>0.26*2/$N$335</f>
        <v>1.40769e-002</v>
      </c>
      <c r="J341" s="473">
        <f t="shared" si="771"/>
        <v>346.31999999999999</v>
      </c>
      <c r="K341" s="474">
        <f t="shared" si="773"/>
        <v>4.8751120079999994</v>
      </c>
      <c r="L341" s="475">
        <f t="shared" si="772"/>
        <v>344.72000000000003</v>
      </c>
      <c r="M341" s="474">
        <f t="shared" si="774"/>
        <v>4.8525889680000001</v>
      </c>
      <c r="O341" s="434">
        <f t="shared" si="760"/>
        <v>346.31999999999999</v>
      </c>
      <c r="P341" s="435">
        <f t="shared" si="761"/>
        <v>344.72000000000003</v>
      </c>
      <c r="AE341" s="217"/>
      <c r="AF341" s="217">
        <v>1037</v>
      </c>
      <c r="AH341">
        <f t="shared" si="757"/>
        <v>1037</v>
      </c>
    </row>
    <row r="342" ht="75" hidden="1">
      <c r="A342" s="217"/>
      <c r="B342" s="217">
        <v>1037</v>
      </c>
      <c r="C342" s="217"/>
      <c r="D342" s="217" t="s">
        <v>17167</v>
      </c>
      <c r="E342" s="471" t="s">
        <v>20672</v>
      </c>
      <c r="F342" s="482">
        <v>5903</v>
      </c>
      <c r="G342" s="470" t="s">
        <v>20872</v>
      </c>
      <c r="H342" s="482" t="s">
        <v>15414</v>
      </c>
      <c r="I342" s="483">
        <f>0.74*2/$N$335</f>
        <v>4.0065000000000003e-002</v>
      </c>
      <c r="J342" s="473">
        <f t="shared" si="771"/>
        <v>73.879999999999995</v>
      </c>
      <c r="K342" s="474">
        <f t="shared" si="773"/>
        <v>2.9600021999999999</v>
      </c>
      <c r="L342" s="475">
        <f t="shared" si="772"/>
        <v>72.280000000000001</v>
      </c>
      <c r="M342" s="474">
        <f t="shared" si="774"/>
        <v>2.8958982000000004</v>
      </c>
      <c r="O342" s="434">
        <f t="shared" si="760"/>
        <v>73.879999999999995</v>
      </c>
      <c r="P342" s="435">
        <f t="shared" si="761"/>
        <v>72.280000000000001</v>
      </c>
      <c r="AE342" s="217"/>
      <c r="AF342" s="217">
        <v>1037</v>
      </c>
      <c r="AH342">
        <f t="shared" si="757"/>
        <v>1037</v>
      </c>
    </row>
    <row r="343" ht="60" hidden="1">
      <c r="A343" s="217"/>
      <c r="B343" s="217">
        <v>1037</v>
      </c>
      <c r="C343" s="217"/>
      <c r="D343" s="217" t="s">
        <v>17167</v>
      </c>
      <c r="E343" s="471" t="s">
        <v>20673</v>
      </c>
      <c r="F343" s="482">
        <v>5932</v>
      </c>
      <c r="G343" s="470" t="s">
        <v>20873</v>
      </c>
      <c r="H343" s="482" t="s">
        <v>15410</v>
      </c>
      <c r="I343" s="483">
        <f>0.53/$N$335</f>
        <v>1.43476e-002</v>
      </c>
      <c r="J343" s="473">
        <f t="shared" si="771"/>
        <v>294.49000000000001</v>
      </c>
      <c r="K343" s="474">
        <f t="shared" si="773"/>
        <v>4.2252247240000003</v>
      </c>
      <c r="L343" s="475">
        <f t="shared" si="772"/>
        <v>291.70999999999998</v>
      </c>
      <c r="M343" s="474">
        <f t="shared" si="774"/>
        <v>4.1853383959999997</v>
      </c>
      <c r="O343" s="434">
        <f t="shared" si="760"/>
        <v>294.49000000000001</v>
      </c>
      <c r="P343" s="435">
        <f t="shared" si="761"/>
        <v>291.70999999999998</v>
      </c>
      <c r="AE343" s="217"/>
      <c r="AF343" s="217">
        <v>1037</v>
      </c>
      <c r="AH343">
        <f t="shared" si="757"/>
        <v>1037</v>
      </c>
    </row>
    <row r="344" ht="60" hidden="1">
      <c r="A344" s="217"/>
      <c r="B344" s="217">
        <v>1037</v>
      </c>
      <c r="C344" s="217"/>
      <c r="D344" s="217" t="s">
        <v>17167</v>
      </c>
      <c r="E344" s="471" t="s">
        <v>20675</v>
      </c>
      <c r="F344" s="482">
        <v>5934</v>
      </c>
      <c r="G344" s="470" t="s">
        <v>20874</v>
      </c>
      <c r="H344" s="482" t="s">
        <v>15414</v>
      </c>
      <c r="I344" s="483">
        <f>0.47/$N$335</f>
        <v>1.27233e-002</v>
      </c>
      <c r="J344" s="473">
        <f t="shared" si="771"/>
        <v>114.31</v>
      </c>
      <c r="K344" s="474">
        <f t="shared" si="773"/>
        <v>1.4544004230000001</v>
      </c>
      <c r="L344" s="475">
        <f t="shared" si="772"/>
        <v>111.53</v>
      </c>
      <c r="M344" s="474">
        <f t="shared" si="774"/>
        <v>1.4190296490000001</v>
      </c>
      <c r="O344" s="434">
        <f t="shared" si="760"/>
        <v>114.31</v>
      </c>
      <c r="P344" s="435">
        <f t="shared" si="761"/>
        <v>111.53</v>
      </c>
      <c r="AE344" s="217"/>
      <c r="AF344" s="217">
        <v>1037</v>
      </c>
      <c r="AH344">
        <f t="shared" si="757"/>
        <v>1037</v>
      </c>
    </row>
    <row r="345" ht="45" hidden="1">
      <c r="A345" s="217"/>
      <c r="B345" s="217">
        <v>1037</v>
      </c>
      <c r="C345" s="217"/>
      <c r="D345" s="217" t="s">
        <v>17167</v>
      </c>
      <c r="E345" s="471" t="s">
        <v>20677</v>
      </c>
      <c r="F345" s="482">
        <v>89250</v>
      </c>
      <c r="G345" s="470" t="s">
        <v>20875</v>
      </c>
      <c r="H345" s="482" t="s">
        <v>15410</v>
      </c>
      <c r="I345" s="483">
        <f>1/$N$335</f>
        <v>2.7070899999999998e-002</v>
      </c>
      <c r="J345" s="473">
        <f t="shared" si="771"/>
        <v>1229.3800000000001</v>
      </c>
      <c r="K345" s="474">
        <f t="shared" si="773"/>
        <v>33.280423042000002</v>
      </c>
      <c r="L345" s="475">
        <f t="shared" si="772"/>
        <v>1227.49</v>
      </c>
      <c r="M345" s="474">
        <f t="shared" si="774"/>
        <v>33.229259040999999</v>
      </c>
      <c r="O345" s="434">
        <f t="shared" si="760"/>
        <v>1229.3800000000001</v>
      </c>
      <c r="P345" s="435">
        <f t="shared" si="761"/>
        <v>1227.49</v>
      </c>
      <c r="AE345" s="217"/>
      <c r="AF345" s="217">
        <v>1037</v>
      </c>
      <c r="AH345">
        <f t="shared" si="757"/>
        <v>1037</v>
      </c>
    </row>
    <row r="346" ht="45" hidden="1">
      <c r="A346" s="217"/>
      <c r="B346" s="217">
        <v>1037</v>
      </c>
      <c r="C346" s="217"/>
      <c r="D346" s="217" t="s">
        <v>17167</v>
      </c>
      <c r="E346" s="471" t="s">
        <v>20679</v>
      </c>
      <c r="F346" s="482">
        <v>89251</v>
      </c>
      <c r="G346" s="470" t="s">
        <v>20876</v>
      </c>
      <c r="H346" s="482" t="s">
        <v>15414</v>
      </c>
      <c r="I346" s="483">
        <v>0</v>
      </c>
      <c r="J346" s="473">
        <f t="shared" si="771"/>
        <v>356.70999999999998</v>
      </c>
      <c r="K346" s="474">
        <f t="shared" si="773"/>
        <v>0</v>
      </c>
      <c r="L346" s="475">
        <f t="shared" si="772"/>
        <v>354.81999999999999</v>
      </c>
      <c r="M346" s="474">
        <f t="shared" si="774"/>
        <v>0</v>
      </c>
      <c r="O346" s="434">
        <f t="shared" si="760"/>
        <v>356.70999999999998</v>
      </c>
      <c r="P346" s="435">
        <f t="shared" si="761"/>
        <v>354.81999999999999</v>
      </c>
      <c r="AE346" s="217"/>
      <c r="AF346" s="217">
        <v>1037</v>
      </c>
      <c r="AH346">
        <f t="shared" si="757"/>
        <v>1037</v>
      </c>
    </row>
    <row r="347" ht="60" hidden="1">
      <c r="A347" s="217"/>
      <c r="B347" s="217">
        <v>1037</v>
      </c>
      <c r="C347" s="217"/>
      <c r="D347" s="217" t="s">
        <v>17167</v>
      </c>
      <c r="E347" s="471" t="s">
        <v>20681</v>
      </c>
      <c r="F347" s="482">
        <v>6879</v>
      </c>
      <c r="G347" s="470" t="s">
        <v>20877</v>
      </c>
      <c r="H347" s="482" t="s">
        <v>15410</v>
      </c>
      <c r="I347" s="483">
        <f>0.8/$N$335</f>
        <v>2.1656700000000001e-002</v>
      </c>
      <c r="J347" s="473">
        <f t="shared" si="771"/>
        <v>212.56</v>
      </c>
      <c r="K347" s="474">
        <f t="shared" si="773"/>
        <v>4.6033481520000006</v>
      </c>
      <c r="L347" s="475">
        <f t="shared" si="772"/>
        <v>210.86000000000001</v>
      </c>
      <c r="M347" s="474">
        <f t="shared" si="774"/>
        <v>4.5665317620000003</v>
      </c>
      <c r="O347" s="434">
        <f t="shared" si="760"/>
        <v>212.56</v>
      </c>
      <c r="P347" s="435">
        <f t="shared" si="761"/>
        <v>210.86000000000001</v>
      </c>
      <c r="AE347" s="217"/>
      <c r="AF347" s="217">
        <v>1037</v>
      </c>
      <c r="AH347">
        <f t="shared" si="757"/>
        <v>1037</v>
      </c>
    </row>
    <row r="348" ht="60" hidden="1">
      <c r="A348" s="217"/>
      <c r="B348" s="217">
        <v>1037</v>
      </c>
      <c r="C348" s="217"/>
      <c r="D348" s="217" t="s">
        <v>17167</v>
      </c>
      <c r="E348" s="471" t="s">
        <v>20683</v>
      </c>
      <c r="F348" s="482">
        <v>6880</v>
      </c>
      <c r="G348" s="470" t="s">
        <v>20878</v>
      </c>
      <c r="H348" s="482" t="s">
        <v>15414</v>
      </c>
      <c r="I348" s="483">
        <f>0.2/$N$335</f>
        <v>5.4142000000000001e-003</v>
      </c>
      <c r="J348" s="473">
        <f t="shared" si="771"/>
        <v>84.219999999999999</v>
      </c>
      <c r="K348" s="474">
        <f t="shared" si="773"/>
        <v>0.45598392399999998</v>
      </c>
      <c r="L348" s="475">
        <f t="shared" si="772"/>
        <v>82.519999999999996</v>
      </c>
      <c r="M348" s="474">
        <f t="shared" si="774"/>
        <v>0.44677978400000001</v>
      </c>
      <c r="O348" s="434">
        <f t="shared" si="760"/>
        <v>84.219999999999999</v>
      </c>
      <c r="P348" s="435">
        <f t="shared" si="761"/>
        <v>82.519999999999996</v>
      </c>
      <c r="AE348" s="217"/>
      <c r="AF348" s="217">
        <v>1037</v>
      </c>
      <c r="AH348">
        <f t="shared" si="757"/>
        <v>1037</v>
      </c>
    </row>
    <row r="349" ht="60" hidden="1">
      <c r="A349" s="217"/>
      <c r="B349" s="217">
        <v>1037</v>
      </c>
      <c r="C349" s="217"/>
      <c r="D349" s="217" t="s">
        <v>17167</v>
      </c>
      <c r="E349" s="471" t="s">
        <v>20685</v>
      </c>
      <c r="F349" s="482">
        <v>95631</v>
      </c>
      <c r="G349" s="470" t="s">
        <v>20879</v>
      </c>
      <c r="H349" s="482" t="s">
        <v>15410</v>
      </c>
      <c r="I349" s="483">
        <f>0.64/$N$335</f>
        <v>1.7325400000000001e-002</v>
      </c>
      <c r="J349" s="473">
        <f t="shared" si="771"/>
        <v>235.97999999999999</v>
      </c>
      <c r="K349" s="474">
        <f t="shared" si="773"/>
        <v>4.0884478920000005</v>
      </c>
      <c r="L349" s="475">
        <f t="shared" si="772"/>
        <v>234.28</v>
      </c>
      <c r="M349" s="474">
        <f t="shared" si="774"/>
        <v>4.0589947120000005</v>
      </c>
      <c r="O349" s="434">
        <f t="shared" si="760"/>
        <v>235.97999999999999</v>
      </c>
      <c r="P349" s="435">
        <f t="shared" si="761"/>
        <v>234.28</v>
      </c>
      <c r="AE349" s="217"/>
      <c r="AF349" s="217">
        <v>1037</v>
      </c>
      <c r="AH349">
        <f t="shared" si="757"/>
        <v>1037</v>
      </c>
    </row>
    <row r="350" ht="60" hidden="1">
      <c r="A350" s="217"/>
      <c r="B350" s="217">
        <v>1037</v>
      </c>
      <c r="C350" s="217"/>
      <c r="D350" s="217" t="s">
        <v>17167</v>
      </c>
      <c r="E350" s="471" t="s">
        <v>20687</v>
      </c>
      <c r="F350" s="482">
        <v>95632</v>
      </c>
      <c r="G350" s="470" t="s">
        <v>20880</v>
      </c>
      <c r="H350" s="482" t="s">
        <v>15414</v>
      </c>
      <c r="I350" s="483">
        <f>0.36/$N$335</f>
        <v>9.7455000000000007e-003</v>
      </c>
      <c r="J350" s="473">
        <f t="shared" si="771"/>
        <v>81.819999999999993</v>
      </c>
      <c r="K350" s="474">
        <f t="shared" si="773"/>
        <v>0.79737680999999994</v>
      </c>
      <c r="L350" s="475">
        <f t="shared" si="772"/>
        <v>80.120000000000005</v>
      </c>
      <c r="M350" s="474">
        <f t="shared" si="774"/>
        <v>0.78080946000000007</v>
      </c>
      <c r="O350" s="434">
        <f t="shared" si="760"/>
        <v>81.819999999999993</v>
      </c>
      <c r="P350" s="435">
        <f t="shared" si="761"/>
        <v>80.120000000000005</v>
      </c>
      <c r="AE350" s="217"/>
      <c r="AF350" s="217">
        <v>1037</v>
      </c>
      <c r="AH350">
        <f t="shared" si="757"/>
        <v>1037</v>
      </c>
    </row>
    <row r="351" ht="75" hidden="1">
      <c r="A351" s="217"/>
      <c r="B351" s="217">
        <v>1037</v>
      </c>
      <c r="C351" s="217"/>
      <c r="D351" s="217" t="s">
        <v>17167</v>
      </c>
      <c r="E351" s="471" t="s">
        <v>20689</v>
      </c>
      <c r="F351" s="482">
        <v>7049</v>
      </c>
      <c r="G351" s="470" t="s">
        <v>20881</v>
      </c>
      <c r="H351" s="482" t="s">
        <v>15410</v>
      </c>
      <c r="I351" s="483">
        <f>0.82/$N$335</f>
        <v>2.2198200000000001e-002</v>
      </c>
      <c r="J351" s="473">
        <f t="shared" si="771"/>
        <v>228.24000000000001</v>
      </c>
      <c r="K351" s="474">
        <f t="shared" si="773"/>
        <v>5.0665171680000007</v>
      </c>
      <c r="L351" s="475">
        <f t="shared" si="772"/>
        <v>226.53999999999999</v>
      </c>
      <c r="M351" s="474">
        <f t="shared" si="774"/>
        <v>5.0287802280000005</v>
      </c>
      <c r="O351" s="434">
        <f t="shared" si="760"/>
        <v>228.24000000000001</v>
      </c>
      <c r="P351" s="435">
        <f t="shared" si="761"/>
        <v>226.53999999999999</v>
      </c>
      <c r="AE351" s="217"/>
      <c r="AF351" s="217">
        <v>1037</v>
      </c>
      <c r="AH351">
        <f t="shared" si="757"/>
        <v>1037</v>
      </c>
    </row>
    <row r="352" ht="75" hidden="1">
      <c r="A352" s="217"/>
      <c r="B352" s="217">
        <v>1037</v>
      </c>
      <c r="C352" s="217"/>
      <c r="D352" s="217" t="s">
        <v>17167</v>
      </c>
      <c r="E352" s="471" t="s">
        <v>20882</v>
      </c>
      <c r="F352" s="482">
        <v>7050</v>
      </c>
      <c r="G352" s="470" t="s">
        <v>20883</v>
      </c>
      <c r="H352" s="482" t="s">
        <v>15414</v>
      </c>
      <c r="I352" s="483">
        <f>0.18/$N$335</f>
        <v>4.8728e-003</v>
      </c>
      <c r="J352" s="473">
        <f t="shared" si="771"/>
        <v>77.959999999999994</v>
      </c>
      <c r="K352" s="474">
        <f t="shared" si="773"/>
        <v>0.37988348799999999</v>
      </c>
      <c r="L352" s="475">
        <f t="shared" si="772"/>
        <v>76.260000000000005</v>
      </c>
      <c r="M352" s="474">
        <f t="shared" si="774"/>
        <v>0.37159972800000002</v>
      </c>
      <c r="O352" s="434">
        <f t="shared" si="760"/>
        <v>77.959999999999994</v>
      </c>
      <c r="P352" s="435">
        <f t="shared" si="761"/>
        <v>76.260000000000005</v>
      </c>
      <c r="AE352" s="217"/>
      <c r="AF352" s="217">
        <v>1037</v>
      </c>
      <c r="AH352">
        <f t="shared" si="757"/>
        <v>1037</v>
      </c>
    </row>
    <row r="353" ht="78.75" hidden="1">
      <c r="A353" s="460">
        <v>1038</v>
      </c>
      <c r="B353" s="511">
        <v>1038</v>
      </c>
      <c r="C353" s="511"/>
      <c r="D353" s="511"/>
      <c r="E353" s="512">
        <v>1</v>
      </c>
      <c r="F353" s="513" t="s">
        <v>20899</v>
      </c>
      <c r="G353" s="514" t="s">
        <v>20900</v>
      </c>
      <c r="H353" s="515" t="s">
        <v>15528</v>
      </c>
      <c r="I353" s="516"/>
      <c r="J353" s="517"/>
      <c r="K353" s="518" t="e">
        <f>SUM(K354:K356)</f>
        <v>#VALUE!</v>
      </c>
      <c r="L353" s="480"/>
      <c r="M353" s="466" t="e">
        <f>SUM(M354:M356)</f>
        <v>#VALUE!</v>
      </c>
      <c r="O353" s="434" t="str">
        <f t="shared" si="760"/>
        <v xml:space="preserve">SEM VALOR</v>
      </c>
      <c r="P353" s="435" t="str">
        <f t="shared" si="761"/>
        <v xml:space="preserve">SEM VALOR</v>
      </c>
      <c r="R353" s="519" t="s">
        <v>20901</v>
      </c>
      <c r="AE353" s="460">
        <v>1038</v>
      </c>
      <c r="AF353" s="460"/>
      <c r="AH353">
        <f t="shared" ref="AH353:AH416" si="775">IF(AF353:AF354=FALSE,AE353,AF353)</f>
        <v>1038</v>
      </c>
    </row>
    <row r="354" ht="63.75" hidden="1" customHeight="1">
      <c r="A354" s="217"/>
      <c r="B354" s="217">
        <v>1038</v>
      </c>
      <c r="C354" s="217"/>
      <c r="D354" s="217" t="s">
        <v>17167</v>
      </c>
      <c r="E354" s="471" t="s">
        <v>20399</v>
      </c>
      <c r="F354" s="482">
        <v>95127</v>
      </c>
      <c r="G354" s="470" t="s">
        <v>1657</v>
      </c>
      <c r="H354" s="482" t="s">
        <v>1535</v>
      </c>
      <c r="I354" s="483">
        <f>0.33/$N$355</f>
        <v>8.9333999999999993e-003</v>
      </c>
      <c r="J354" s="473">
        <f t="shared" si="771"/>
        <v>246.74000000000001</v>
      </c>
      <c r="K354" s="474">
        <f t="shared" ref="K354:K356" si="776">I354*J354</f>
        <v>2.2042271159999998</v>
      </c>
      <c r="L354" s="475">
        <f t="shared" si="772"/>
        <v>244.84</v>
      </c>
      <c r="M354" s="474">
        <f t="shared" ref="M354:M356" si="777">L354*I354</f>
        <v>2.1872536559999998</v>
      </c>
      <c r="N354" s="467" t="s">
        <v>20864</v>
      </c>
      <c r="O354" s="434">
        <f t="shared" si="760"/>
        <v>246.74000000000001</v>
      </c>
      <c r="P354" s="435">
        <f t="shared" si="761"/>
        <v>244.84</v>
      </c>
      <c r="AE354" s="217"/>
      <c r="AF354" s="217">
        <v>1038</v>
      </c>
      <c r="AH354">
        <f t="shared" si="775"/>
        <v>1038</v>
      </c>
    </row>
    <row r="355" ht="60" hidden="1">
      <c r="A355" s="217"/>
      <c r="B355" s="217">
        <v>1038</v>
      </c>
      <c r="C355" s="217"/>
      <c r="D355" s="217" t="s">
        <v>17167</v>
      </c>
      <c r="E355" s="471" t="s">
        <v>20402</v>
      </c>
      <c r="F355" s="482">
        <v>95128</v>
      </c>
      <c r="G355" s="470" t="s">
        <v>1656</v>
      </c>
      <c r="H355" s="482" t="s">
        <v>1533</v>
      </c>
      <c r="I355" s="483">
        <f>0.67/$N$355</f>
        <v>1.8137500000000001e-002</v>
      </c>
      <c r="J355" s="473">
        <f t="shared" si="771"/>
        <v>57.420000000000002</v>
      </c>
      <c r="K355" s="474">
        <f t="shared" si="776"/>
        <v>1.0414552500000001</v>
      </c>
      <c r="L355" s="475">
        <f t="shared" si="772"/>
        <v>55.520000000000003</v>
      </c>
      <c r="M355" s="474">
        <f t="shared" si="777"/>
        <v>1.0069940000000002</v>
      </c>
      <c r="N355" s="467">
        <v>36.939999999999998</v>
      </c>
      <c r="O355" s="434">
        <f t="shared" si="760"/>
        <v>57.420000000000002</v>
      </c>
      <c r="P355" s="435">
        <f t="shared" si="761"/>
        <v>55.520000000000003</v>
      </c>
      <c r="AE355" s="217"/>
      <c r="AF355" s="217">
        <v>1038</v>
      </c>
      <c r="AH355">
        <f t="shared" si="775"/>
        <v>1038</v>
      </c>
    </row>
    <row r="356" ht="30" hidden="1">
      <c r="A356" s="217"/>
      <c r="B356" s="217">
        <v>1038</v>
      </c>
      <c r="C356" s="217"/>
      <c r="D356" s="217" t="s">
        <v>20408</v>
      </c>
      <c r="E356" s="471" t="s">
        <v>20405</v>
      </c>
      <c r="F356" s="482">
        <v>4748</v>
      </c>
      <c r="G356" s="470" t="s">
        <v>20902</v>
      </c>
      <c r="H356" s="482" t="s">
        <v>15528</v>
      </c>
      <c r="I356" s="483">
        <v>1</v>
      </c>
      <c r="J356" s="473" t="e">
        <f t="shared" si="771"/>
        <v>#VALUE!</v>
      </c>
      <c r="K356" s="474" t="e">
        <f t="shared" si="776"/>
        <v>#VALUE!</v>
      </c>
      <c r="L356" s="475" t="e">
        <f t="shared" si="772"/>
        <v>#VALUE!</v>
      </c>
      <c r="M356" s="474" t="e">
        <f t="shared" si="777"/>
        <v>#VALUE!</v>
      </c>
      <c r="O356" s="434" t="str">
        <f t="shared" ref="O356:O419" si="778">IFERROR(IF(D356="SINAPI",VLOOKUP(F356,SINCOMOD,4,FALSE),IF(D356="INSINAPI",VLOOKUP(F356,INSINOD,5,FALSE),IF(D356="SICRO",VLOOKUP(F356,SICRO,5,FALSE),IF(D356="COTACAO",VLOOKUP(F356,COTACAO,6,FALSE),IF(D356="PRÓPRIO",VLOOKUP(F356,COMPOD,11,FALSE),IF(D356="AGESUL",VLOOKUP(F356,AGESULOD,6,FALSE),IF(D356="INSAGESUL",VLOOKUP(F356,INSAGESUL,7,FALSE),"SEM VALOR"))))))),"SEM VALOR")</f>
        <v xml:space="preserve">SEM VALOR</v>
      </c>
      <c r="P356" s="435" t="str">
        <f t="shared" ref="P356:P419" si="779">IFERROR(IF(D356="SINAPI",VLOOKUP(F356,SINCOMOD,6,FALSE),IF(D356="INSINAPI",VLOOKUP(F356,INSINOD,6,FALSE),IF(D356="SICRO",VLOOKUP(F356,SICRO,5,FALSE),IF(D356="COTACAO",VLOOKUP(F356,COTACAO,6,FALSE),IF(D356="PRÓPRIO",VLOOKUP(F356,COMPOD,13,FALSE),IF(D356="AGESUL",VLOOKUP(F356,AGESULOD,11,FALSE),IF(D356="INSAGESUL",VLOOKUP(F356,INSAGESUL,8,FALSE),"SEM VALOR"))))))),"SEM VALOR")</f>
        <v xml:space="preserve">SEM VALOR</v>
      </c>
      <c r="AE356" s="217"/>
      <c r="AF356" s="217">
        <v>1038</v>
      </c>
      <c r="AH356">
        <f t="shared" si="775"/>
        <v>1038</v>
      </c>
    </row>
    <row r="357" ht="141.75" hidden="1">
      <c r="A357" s="460">
        <v>1039</v>
      </c>
      <c r="B357" s="460">
        <v>1039</v>
      </c>
      <c r="C357" s="460"/>
      <c r="D357" s="460"/>
      <c r="E357" s="461">
        <v>1</v>
      </c>
      <c r="F357" s="462" t="s">
        <v>20903</v>
      </c>
      <c r="G357" s="477" t="s">
        <v>20904</v>
      </c>
      <c r="H357" s="478" t="s">
        <v>20647</v>
      </c>
      <c r="I357" s="479"/>
      <c r="J357" s="480"/>
      <c r="K357" s="466">
        <f>SUM(K358:K371)</f>
        <v>11246.364243068001</v>
      </c>
      <c r="L357" s="480"/>
      <c r="M357" s="466">
        <f>SUM(M358:M371)</f>
        <v>10957.326556145999</v>
      </c>
      <c r="O357" s="434" t="str">
        <f t="shared" si="778"/>
        <v xml:space="preserve">SEM VALOR</v>
      </c>
      <c r="P357" s="435" t="str">
        <f t="shared" si="779"/>
        <v xml:space="preserve">SEM VALOR</v>
      </c>
      <c r="AE357" s="460">
        <v>1039</v>
      </c>
      <c r="AF357" s="460"/>
      <c r="AH357">
        <f t="shared" si="775"/>
        <v>1039</v>
      </c>
    </row>
    <row r="358" ht="30" hidden="1">
      <c r="A358" s="217"/>
      <c r="B358" s="217">
        <v>1039</v>
      </c>
      <c r="C358" s="217"/>
      <c r="D358" s="217" t="s">
        <v>20398</v>
      </c>
      <c r="E358" s="471" t="s">
        <v>20399</v>
      </c>
      <c r="F358" s="482">
        <v>1242</v>
      </c>
      <c r="G358" s="470" t="s">
        <v>20905</v>
      </c>
      <c r="H358" s="482" t="s">
        <v>15528</v>
      </c>
      <c r="I358" s="483">
        <f>(1.9+0.8)*(3.4+0.8)*0.05</f>
        <v>0.56699999999999995</v>
      </c>
      <c r="J358" s="473">
        <f t="shared" si="771"/>
        <v>151.59100000000001</v>
      </c>
      <c r="K358" s="474">
        <f t="shared" ref="K358:K371" si="780">I358*J358</f>
        <v>85.952096999999995</v>
      </c>
      <c r="L358" s="475">
        <f t="shared" si="772"/>
        <v>149.17099999999999</v>
      </c>
      <c r="M358" s="474">
        <f t="shared" ref="M358:M371" si="781">L358*I358</f>
        <v>84.579956999999993</v>
      </c>
      <c r="O358" s="434">
        <f t="shared" si="778"/>
        <v>151.59100000000001</v>
      </c>
      <c r="P358" s="435">
        <f t="shared" si="779"/>
        <v>149.17099999999999</v>
      </c>
      <c r="AE358" s="217"/>
      <c r="AF358" s="217">
        <v>1039</v>
      </c>
      <c r="AH358">
        <f t="shared" si="775"/>
        <v>1039</v>
      </c>
    </row>
    <row r="359" ht="75" hidden="1">
      <c r="A359" s="217"/>
      <c r="B359" s="217">
        <v>1039</v>
      </c>
      <c r="C359" s="217"/>
      <c r="D359" s="217" t="s">
        <v>20398</v>
      </c>
      <c r="E359" s="471" t="s">
        <v>20402</v>
      </c>
      <c r="F359" s="482">
        <v>1257</v>
      </c>
      <c r="G359" s="470" t="s">
        <v>20906</v>
      </c>
      <c r="H359" s="482" t="s">
        <v>15515</v>
      </c>
      <c r="I359" s="483">
        <f>((1.9+0.4)*2+(3.4+0.4)*2)*1.7</f>
        <v>20.739999999999998</v>
      </c>
      <c r="J359" s="473">
        <f t="shared" si="771"/>
        <v>202.65134000000003</v>
      </c>
      <c r="K359" s="474">
        <f t="shared" si="780"/>
        <v>4202.9887916000007</v>
      </c>
      <c r="L359" s="475">
        <f t="shared" si="772"/>
        <v>197.86072000000001</v>
      </c>
      <c r="M359" s="474">
        <f t="shared" si="781"/>
        <v>4103.6313327999997</v>
      </c>
      <c r="O359" s="434">
        <f t="shared" si="778"/>
        <v>202.65134000000003</v>
      </c>
      <c r="P359" s="435">
        <f t="shared" si="779"/>
        <v>197.86072000000001</v>
      </c>
      <c r="AE359" s="217"/>
      <c r="AF359" s="217">
        <v>1039</v>
      </c>
      <c r="AH359">
        <f t="shared" si="775"/>
        <v>1039</v>
      </c>
    </row>
    <row r="360" ht="60" hidden="1">
      <c r="A360" s="217"/>
      <c r="B360" s="217">
        <v>1039</v>
      </c>
      <c r="C360" s="217"/>
      <c r="D360" s="217" t="s">
        <v>20398</v>
      </c>
      <c r="E360" s="471" t="s">
        <v>20405</v>
      </c>
      <c r="F360" s="482">
        <v>1258</v>
      </c>
      <c r="G360" s="470" t="s">
        <v>20660</v>
      </c>
      <c r="H360" s="482" t="s">
        <v>15515</v>
      </c>
      <c r="I360" s="483">
        <f>(1.9+0.8)*(3.4+0.8)</f>
        <v>11.34</v>
      </c>
      <c r="J360" s="473">
        <f t="shared" si="771"/>
        <v>7.5700000000000003</v>
      </c>
      <c r="K360" s="474">
        <f t="shared" si="780"/>
        <v>85.843800000000002</v>
      </c>
      <c r="L360" s="475">
        <f t="shared" si="772"/>
        <v>7.1846199999999998</v>
      </c>
      <c r="M360" s="474">
        <f t="shared" si="781"/>
        <v>81.473590799999997</v>
      </c>
      <c r="O360" s="434">
        <f t="shared" si="778"/>
        <v>7.5700000000000003</v>
      </c>
      <c r="P360" s="435">
        <f t="shared" si="779"/>
        <v>7.1846199999999998</v>
      </c>
      <c r="AE360" s="217"/>
      <c r="AF360" s="217">
        <v>1039</v>
      </c>
      <c r="AH360">
        <f t="shared" si="775"/>
        <v>1039</v>
      </c>
    </row>
    <row r="361" ht="120" hidden="1">
      <c r="A361" s="217"/>
      <c r="B361" s="217">
        <v>1039</v>
      </c>
      <c r="C361" s="217"/>
      <c r="D361" s="217" t="s">
        <v>17167</v>
      </c>
      <c r="E361" s="471" t="s">
        <v>20409</v>
      </c>
      <c r="F361" s="482">
        <v>90108</v>
      </c>
      <c r="G361" s="470" t="s">
        <v>20907</v>
      </c>
      <c r="H361" s="482" t="s">
        <v>15528</v>
      </c>
      <c r="I361" s="483">
        <f>((1.9+0.8)*(3.4+0.8))*(2.2+0.18+0.15+0.05)</f>
        <v>29.257200000000001</v>
      </c>
      <c r="J361" s="473">
        <f t="shared" si="771"/>
        <v>7.8099999999999996</v>
      </c>
      <c r="K361" s="474">
        <f t="shared" si="780"/>
        <v>228.49873199999999</v>
      </c>
      <c r="L361" s="475">
        <f t="shared" si="772"/>
        <v>7.6100000000000003</v>
      </c>
      <c r="M361" s="474">
        <f t="shared" si="781"/>
        <v>222.64729200000002</v>
      </c>
      <c r="N361" s="467" t="s">
        <v>20908</v>
      </c>
      <c r="O361" s="434">
        <f t="shared" si="778"/>
        <v>7.8099999999999996</v>
      </c>
      <c r="P361" s="435">
        <f t="shared" si="779"/>
        <v>7.6100000000000003</v>
      </c>
      <c r="AE361" s="217"/>
      <c r="AF361" s="217">
        <v>1039</v>
      </c>
      <c r="AH361">
        <f t="shared" si="775"/>
        <v>1039</v>
      </c>
    </row>
    <row r="362" ht="105" hidden="1">
      <c r="A362" s="217"/>
      <c r="B362" s="217">
        <v>1039</v>
      </c>
      <c r="C362" s="217"/>
      <c r="D362" s="217" t="s">
        <v>17167</v>
      </c>
      <c r="E362" s="471" t="s">
        <v>20663</v>
      </c>
      <c r="F362" s="482">
        <v>5928</v>
      </c>
      <c r="G362" s="470" t="s">
        <v>1739</v>
      </c>
      <c r="H362" s="482" t="s">
        <v>1535</v>
      </c>
      <c r="I362" s="483">
        <v>0.10000000000000001</v>
      </c>
      <c r="J362" s="473">
        <f t="shared" si="771"/>
        <v>298.70999999999998</v>
      </c>
      <c r="K362" s="474">
        <f t="shared" si="780"/>
        <v>29.870999999999999</v>
      </c>
      <c r="L362" s="475">
        <f t="shared" si="772"/>
        <v>296.98000000000002</v>
      </c>
      <c r="M362" s="474">
        <f t="shared" si="781"/>
        <v>29.698000000000004</v>
      </c>
      <c r="O362" s="434">
        <f t="shared" si="778"/>
        <v>298.70999999999998</v>
      </c>
      <c r="P362" s="435">
        <f t="shared" si="779"/>
        <v>296.98000000000002</v>
      </c>
      <c r="AE362" s="217"/>
      <c r="AF362" s="217">
        <v>1039</v>
      </c>
      <c r="AH362">
        <f t="shared" si="775"/>
        <v>1039</v>
      </c>
    </row>
    <row r="363" ht="45" hidden="1">
      <c r="A363" s="217"/>
      <c r="B363" s="217">
        <v>1039</v>
      </c>
      <c r="C363" s="217"/>
      <c r="D363" s="217" t="s">
        <v>20398</v>
      </c>
      <c r="E363" s="471" t="s">
        <v>20665</v>
      </c>
      <c r="F363" s="482">
        <v>1000</v>
      </c>
      <c r="G363" s="470" t="s">
        <v>20651</v>
      </c>
      <c r="H363" s="482" t="s">
        <v>15528</v>
      </c>
      <c r="I363" s="483">
        <f>I369+I370</f>
        <v>4.7420499999999999</v>
      </c>
      <c r="J363" s="473">
        <f t="shared" si="771"/>
        <v>149.904</v>
      </c>
      <c r="K363" s="474">
        <f t="shared" si="780"/>
        <v>710.85226319999992</v>
      </c>
      <c r="L363" s="475">
        <f t="shared" si="772"/>
        <v>141.76949999999999</v>
      </c>
      <c r="M363" s="474">
        <f t="shared" si="781"/>
        <v>672.27805747499997</v>
      </c>
      <c r="O363" s="434">
        <f t="shared" si="778"/>
        <v>149.904</v>
      </c>
      <c r="P363" s="435">
        <f t="shared" si="779"/>
        <v>141.76949999999999</v>
      </c>
      <c r="AE363" s="217"/>
      <c r="AF363" s="217">
        <v>1039</v>
      </c>
      <c r="AH363">
        <f t="shared" si="775"/>
        <v>1039</v>
      </c>
    </row>
    <row r="364" ht="60" hidden="1">
      <c r="A364" s="217"/>
      <c r="B364" s="217">
        <v>1039</v>
      </c>
      <c r="C364" s="217"/>
      <c r="D364" s="217" t="s">
        <v>17167</v>
      </c>
      <c r="E364" s="471" t="s">
        <v>20667</v>
      </c>
      <c r="F364" s="482">
        <v>87313</v>
      </c>
      <c r="G364" s="470" t="s">
        <v>20909</v>
      </c>
      <c r="H364" s="482" t="s">
        <v>15528</v>
      </c>
      <c r="I364" s="483">
        <f>(1.9*2+3.4*2)*1.7*0.02</f>
        <v>0.3604</v>
      </c>
      <c r="J364" s="473">
        <f t="shared" si="771"/>
        <v>549.88</v>
      </c>
      <c r="K364" s="474">
        <f t="shared" si="780"/>
        <v>198.17675199999999</v>
      </c>
      <c r="L364" s="475">
        <f t="shared" si="772"/>
        <v>542.65999999999997</v>
      </c>
      <c r="M364" s="474">
        <f t="shared" si="781"/>
        <v>195.57466399999998</v>
      </c>
      <c r="O364" s="434">
        <f t="shared" si="778"/>
        <v>549.88</v>
      </c>
      <c r="P364" s="435">
        <f t="shared" si="779"/>
        <v>542.65999999999997</v>
      </c>
      <c r="AE364" s="217"/>
      <c r="AF364" s="217">
        <v>1039</v>
      </c>
      <c r="AH364">
        <f t="shared" si="775"/>
        <v>1039</v>
      </c>
    </row>
    <row r="365" ht="75" hidden="1">
      <c r="A365" s="217"/>
      <c r="B365" s="217">
        <v>1039</v>
      </c>
      <c r="C365" s="217"/>
      <c r="D365" s="217" t="s">
        <v>17167</v>
      </c>
      <c r="E365" s="471" t="s">
        <v>20671</v>
      </c>
      <c r="F365" s="482">
        <v>87878</v>
      </c>
      <c r="G365" s="470" t="s">
        <v>20910</v>
      </c>
      <c r="H365" s="482" t="s">
        <v>15515</v>
      </c>
      <c r="I365" s="483">
        <f>(1.9*2+3.4*2)*1.7</f>
        <v>18.02</v>
      </c>
      <c r="J365" s="473">
        <f t="shared" si="771"/>
        <v>5.0099999999999998</v>
      </c>
      <c r="K365" s="474">
        <f t="shared" si="780"/>
        <v>90.280199999999994</v>
      </c>
      <c r="L365" s="475">
        <f t="shared" si="772"/>
        <v>4.7999999999999998</v>
      </c>
      <c r="M365" s="474">
        <f t="shared" si="781"/>
        <v>86.495999999999995</v>
      </c>
      <c r="O365" s="434">
        <f t="shared" si="778"/>
        <v>5.0099999999999998</v>
      </c>
      <c r="P365" s="435">
        <f t="shared" si="779"/>
        <v>4.7999999999999998</v>
      </c>
      <c r="AE365" s="217"/>
      <c r="AF365" s="217">
        <v>1039</v>
      </c>
      <c r="AH365">
        <f t="shared" si="775"/>
        <v>1039</v>
      </c>
    </row>
    <row r="366" ht="45" hidden="1">
      <c r="A366" s="217"/>
      <c r="B366" s="217">
        <v>1039</v>
      </c>
      <c r="C366" s="217"/>
      <c r="D366" s="217" t="s">
        <v>17167</v>
      </c>
      <c r="E366" s="471" t="s">
        <v>20672</v>
      </c>
      <c r="F366" s="482">
        <v>96543</v>
      </c>
      <c r="G366" s="470" t="s">
        <v>20676</v>
      </c>
      <c r="H366" s="482" t="s">
        <v>302</v>
      </c>
      <c r="I366" s="483">
        <v>8.5</v>
      </c>
      <c r="J366" s="473">
        <f t="shared" si="771"/>
        <v>19.829999999999998</v>
      </c>
      <c r="K366" s="474">
        <f t="shared" si="780"/>
        <v>168.55499999999998</v>
      </c>
      <c r="L366" s="475">
        <f t="shared" si="772"/>
        <v>19.210000000000001</v>
      </c>
      <c r="M366" s="474">
        <f t="shared" si="781"/>
        <v>163.285</v>
      </c>
      <c r="O366" s="434">
        <f t="shared" si="778"/>
        <v>19.829999999999998</v>
      </c>
      <c r="P366" s="435">
        <f t="shared" si="779"/>
        <v>19.210000000000001</v>
      </c>
      <c r="AE366" s="217"/>
      <c r="AF366" s="217">
        <v>1039</v>
      </c>
      <c r="AH366">
        <f t="shared" si="775"/>
        <v>1039</v>
      </c>
    </row>
    <row r="367" ht="45" hidden="1">
      <c r="A367" s="217"/>
      <c r="B367" s="217">
        <v>1039</v>
      </c>
      <c r="C367" s="217"/>
      <c r="D367" s="217" t="s">
        <v>17167</v>
      </c>
      <c r="E367" s="471" t="s">
        <v>20673</v>
      </c>
      <c r="F367" s="482">
        <v>96544</v>
      </c>
      <c r="G367" s="470" t="s">
        <v>20763</v>
      </c>
      <c r="H367" s="482" t="s">
        <v>302</v>
      </c>
      <c r="I367" s="483">
        <v>84.579999999999998</v>
      </c>
      <c r="J367" s="473">
        <f t="shared" si="771"/>
        <v>17.699999999999999</v>
      </c>
      <c r="K367" s="474">
        <f t="shared" si="780"/>
        <v>1497.0659999999998</v>
      </c>
      <c r="L367" s="475">
        <f t="shared" si="772"/>
        <v>17.23</v>
      </c>
      <c r="M367" s="474">
        <f t="shared" si="781"/>
        <v>1457.3134</v>
      </c>
      <c r="O367" s="434">
        <f t="shared" si="778"/>
        <v>17.699999999999999</v>
      </c>
      <c r="P367" s="435">
        <f t="shared" si="779"/>
        <v>17.23</v>
      </c>
      <c r="AE367" s="217"/>
      <c r="AF367" s="217">
        <v>1039</v>
      </c>
      <c r="AH367">
        <f t="shared" si="775"/>
        <v>1039</v>
      </c>
    </row>
    <row r="368" ht="45" hidden="1">
      <c r="A368" s="217"/>
      <c r="B368" s="217">
        <v>1039</v>
      </c>
      <c r="C368" s="217"/>
      <c r="D368" s="217" t="s">
        <v>17167</v>
      </c>
      <c r="E368" s="471" t="s">
        <v>20675</v>
      </c>
      <c r="F368" s="482">
        <v>93382</v>
      </c>
      <c r="G368" s="470" t="s">
        <v>20722</v>
      </c>
      <c r="H368" s="482" t="s">
        <v>15528</v>
      </c>
      <c r="I368" s="483">
        <f>I361-2.7*4.2*0.2-2.3*3.8*1.88-3.141592654*1*1/4*0.5</f>
        <v>10.1653009</v>
      </c>
      <c r="J368" s="473">
        <f t="shared" si="771"/>
        <v>27.52</v>
      </c>
      <c r="K368" s="474">
        <f t="shared" si="780"/>
        <v>279.749080768</v>
      </c>
      <c r="L368" s="475">
        <f t="shared" si="772"/>
        <v>26.190000000000001</v>
      </c>
      <c r="M368" s="474">
        <f t="shared" si="781"/>
        <v>266.22923057100002</v>
      </c>
      <c r="O368" s="434">
        <f t="shared" si="778"/>
        <v>27.52</v>
      </c>
      <c r="P368" s="435">
        <f t="shared" si="779"/>
        <v>26.190000000000001</v>
      </c>
      <c r="AE368" s="217"/>
      <c r="AF368" s="217">
        <v>1039</v>
      </c>
      <c r="AH368">
        <f t="shared" si="775"/>
        <v>1039</v>
      </c>
    </row>
    <row r="369" ht="60" hidden="1">
      <c r="A369" s="217"/>
      <c r="B369" s="217">
        <v>1039</v>
      </c>
      <c r="C369" s="217"/>
      <c r="D369" s="217" t="s">
        <v>17167</v>
      </c>
      <c r="E369" s="471" t="s">
        <v>20677</v>
      </c>
      <c r="F369" s="482">
        <v>94963</v>
      </c>
      <c r="G369" s="470" t="s">
        <v>20911</v>
      </c>
      <c r="H369" s="482" t="s">
        <v>15528</v>
      </c>
      <c r="I369" s="483">
        <f>(1.9+0.8)*(3.4+0.8)*0.15+2.3*3.8*0.18</f>
        <v>3.2742</v>
      </c>
      <c r="J369" s="473">
        <f t="shared" si="771"/>
        <v>441.43000000000001</v>
      </c>
      <c r="K369" s="474">
        <f t="shared" si="780"/>
        <v>1445.3301060000001</v>
      </c>
      <c r="L369" s="475">
        <f t="shared" si="772"/>
        <v>436.14999999999998</v>
      </c>
      <c r="M369" s="474">
        <f t="shared" si="781"/>
        <v>1428.04233</v>
      </c>
      <c r="O369" s="434">
        <f t="shared" si="778"/>
        <v>441.43000000000001</v>
      </c>
      <c r="P369" s="435">
        <f t="shared" si="779"/>
        <v>436.14999999999998</v>
      </c>
      <c r="AE369" s="217"/>
      <c r="AF369" s="217">
        <v>1039</v>
      </c>
      <c r="AH369">
        <f t="shared" si="775"/>
        <v>1039</v>
      </c>
    </row>
    <row r="370" ht="60" hidden="1">
      <c r="A370" s="217"/>
      <c r="B370" s="217">
        <v>1039</v>
      </c>
      <c r="C370" s="217"/>
      <c r="D370" s="217" t="s">
        <v>17167</v>
      </c>
      <c r="E370" s="471" t="s">
        <v>20679</v>
      </c>
      <c r="F370" s="482">
        <v>94964</v>
      </c>
      <c r="G370" s="470" t="s">
        <v>20686</v>
      </c>
      <c r="H370" s="482" t="s">
        <v>15528</v>
      </c>
      <c r="I370" s="483">
        <f>(2.3+1.5)*2.3*0.12+3.8*0.17*0.17*2+2.3*0.17*0.17*3</f>
        <v>1.4678500000000001</v>
      </c>
      <c r="J370" s="473">
        <f t="shared" si="771"/>
        <v>488.52999999999997</v>
      </c>
      <c r="K370" s="474">
        <f t="shared" si="780"/>
        <v>717.08876050000003</v>
      </c>
      <c r="L370" s="475">
        <f t="shared" si="772"/>
        <v>482.79000000000002</v>
      </c>
      <c r="M370" s="474">
        <f t="shared" si="781"/>
        <v>708.6633015000001</v>
      </c>
      <c r="O370" s="434">
        <f t="shared" si="778"/>
        <v>488.52999999999997</v>
      </c>
      <c r="P370" s="435">
        <f t="shared" si="779"/>
        <v>482.79000000000002</v>
      </c>
      <c r="AE370" s="217"/>
      <c r="AF370" s="217">
        <v>1039</v>
      </c>
      <c r="AH370">
        <f t="shared" si="775"/>
        <v>1039</v>
      </c>
    </row>
    <row r="371" ht="60" hidden="1">
      <c r="A371" s="217"/>
      <c r="B371" s="217">
        <v>1039</v>
      </c>
      <c r="C371" s="217"/>
      <c r="D371" s="217" t="s">
        <v>17167</v>
      </c>
      <c r="E371" s="471" t="s">
        <v>20681</v>
      </c>
      <c r="F371" s="482">
        <v>96533</v>
      </c>
      <c r="G371" s="470" t="s">
        <v>20912</v>
      </c>
      <c r="H371" s="482" t="s">
        <v>15515</v>
      </c>
      <c r="I371" s="483">
        <f>3.8*2.3+(3.8*2+2.3*2)*0.12+(3.8*2+2.3*2)*0.17*2+0.17*3*1.9*1+0.18*(2.3*2+3.8*2)</f>
        <v>17.516999999999999</v>
      </c>
      <c r="J371" s="473">
        <f t="shared" si="771"/>
        <v>85.980000000000004</v>
      </c>
      <c r="K371" s="474">
        <f t="shared" si="780"/>
        <v>1506.11166</v>
      </c>
      <c r="L371" s="475">
        <f t="shared" si="772"/>
        <v>83.200000000000003</v>
      </c>
      <c r="M371" s="474">
        <f t="shared" si="781"/>
        <v>1457.4144000000001</v>
      </c>
      <c r="O371" s="434">
        <f t="shared" si="778"/>
        <v>85.980000000000004</v>
      </c>
      <c r="P371" s="435">
        <f t="shared" si="779"/>
        <v>83.200000000000003</v>
      </c>
      <c r="AE371" s="217"/>
      <c r="AF371" s="217">
        <v>1039</v>
      </c>
      <c r="AH371">
        <f t="shared" si="775"/>
        <v>1039</v>
      </c>
    </row>
    <row r="372" ht="141.75" hidden="1">
      <c r="A372" s="460">
        <v>1040</v>
      </c>
      <c r="B372" s="460">
        <v>1040</v>
      </c>
      <c r="C372" s="460"/>
      <c r="D372" s="460"/>
      <c r="E372" s="461">
        <v>1</v>
      </c>
      <c r="F372" s="462" t="s">
        <v>20913</v>
      </c>
      <c r="G372" s="477" t="s">
        <v>20914</v>
      </c>
      <c r="H372" s="478" t="s">
        <v>20647</v>
      </c>
      <c r="I372" s="479"/>
      <c r="J372" s="480"/>
      <c r="K372" s="466">
        <f>SUM(K373:K386)</f>
        <v>14709.080215348</v>
      </c>
      <c r="L372" s="480"/>
      <c r="M372" s="466">
        <f>SUM(M373:M386)</f>
        <v>14330.353164010998</v>
      </c>
      <c r="O372" s="434" t="str">
        <f t="shared" si="778"/>
        <v xml:space="preserve">SEM VALOR</v>
      </c>
      <c r="P372" s="435" t="str">
        <f t="shared" si="779"/>
        <v xml:space="preserve">SEM VALOR</v>
      </c>
      <c r="AE372" s="460">
        <v>1040</v>
      </c>
      <c r="AF372" s="460"/>
      <c r="AH372">
        <f t="shared" si="775"/>
        <v>1040</v>
      </c>
    </row>
    <row r="373" ht="30" hidden="1">
      <c r="A373" s="217"/>
      <c r="B373" s="217">
        <v>1040</v>
      </c>
      <c r="C373" s="217"/>
      <c r="D373" s="217" t="s">
        <v>20398</v>
      </c>
      <c r="E373" s="471" t="s">
        <v>20399</v>
      </c>
      <c r="F373" s="482">
        <v>1242</v>
      </c>
      <c r="G373" s="470" t="s">
        <v>20905</v>
      </c>
      <c r="H373" s="482" t="s">
        <v>15528</v>
      </c>
      <c r="I373" s="483">
        <f>(1.9+0.8)*(4.9+0.8)*0.05</f>
        <v>0.76949999999999996</v>
      </c>
      <c r="J373" s="473">
        <f t="shared" si="771"/>
        <v>151.59100000000001</v>
      </c>
      <c r="K373" s="474">
        <f t="shared" ref="K373:K386" si="782">I373*J373</f>
        <v>116.6492745</v>
      </c>
      <c r="L373" s="475">
        <f t="shared" si="772"/>
        <v>149.17099999999999</v>
      </c>
      <c r="M373" s="474">
        <f t="shared" ref="M373:M386" si="783">L373*I373</f>
        <v>114.78708449999999</v>
      </c>
      <c r="O373" s="434">
        <f t="shared" si="778"/>
        <v>151.59100000000001</v>
      </c>
      <c r="P373" s="435">
        <f t="shared" si="779"/>
        <v>149.17099999999999</v>
      </c>
      <c r="AE373" s="217"/>
      <c r="AF373" s="217">
        <v>1040</v>
      </c>
      <c r="AH373">
        <f t="shared" si="775"/>
        <v>1040</v>
      </c>
    </row>
    <row r="374" ht="75" hidden="1">
      <c r="A374" s="217"/>
      <c r="B374" s="217">
        <v>1040</v>
      </c>
      <c r="C374" s="217"/>
      <c r="D374" s="217" t="s">
        <v>20398</v>
      </c>
      <c r="E374" s="471" t="s">
        <v>20402</v>
      </c>
      <c r="F374" s="482">
        <v>1257</v>
      </c>
      <c r="G374" s="470" t="s">
        <v>20906</v>
      </c>
      <c r="H374" s="482" t="s">
        <v>15515</v>
      </c>
      <c r="I374" s="483">
        <f>((1.9+0.4)*2+(4.9+0.4)*2)*1.7</f>
        <v>25.84</v>
      </c>
      <c r="J374" s="473">
        <f t="shared" si="771"/>
        <v>202.65134000000003</v>
      </c>
      <c r="K374" s="474">
        <f t="shared" si="782"/>
        <v>5236.5106256000008</v>
      </c>
      <c r="L374" s="475">
        <f t="shared" si="772"/>
        <v>197.86072000000001</v>
      </c>
      <c r="M374" s="474">
        <f t="shared" si="783"/>
        <v>5112.7210048000006</v>
      </c>
      <c r="O374" s="434">
        <f t="shared" si="778"/>
        <v>202.65134000000003</v>
      </c>
      <c r="P374" s="435">
        <f t="shared" si="779"/>
        <v>197.86072000000001</v>
      </c>
      <c r="AE374" s="217"/>
      <c r="AF374" s="217">
        <v>1040</v>
      </c>
      <c r="AH374">
        <f t="shared" si="775"/>
        <v>1040</v>
      </c>
    </row>
    <row r="375" ht="60" hidden="1">
      <c r="A375" s="217"/>
      <c r="B375" s="217">
        <v>1040</v>
      </c>
      <c r="C375" s="217"/>
      <c r="D375" s="217" t="s">
        <v>20398</v>
      </c>
      <c r="E375" s="471" t="s">
        <v>20405</v>
      </c>
      <c r="F375" s="482">
        <v>1258</v>
      </c>
      <c r="G375" s="470" t="s">
        <v>20660</v>
      </c>
      <c r="H375" s="482" t="s">
        <v>15515</v>
      </c>
      <c r="I375" s="483">
        <f>(1.9+0.8)*(4.9+0.8)</f>
        <v>15.390000000000001</v>
      </c>
      <c r="J375" s="473">
        <f t="shared" si="771"/>
        <v>7.5700000000000003</v>
      </c>
      <c r="K375" s="474">
        <f t="shared" si="782"/>
        <v>116.50230000000001</v>
      </c>
      <c r="L375" s="475">
        <f t="shared" si="772"/>
        <v>7.1846199999999998</v>
      </c>
      <c r="M375" s="474">
        <f t="shared" si="783"/>
        <v>110.5713018</v>
      </c>
      <c r="O375" s="434">
        <f t="shared" si="778"/>
        <v>7.5700000000000003</v>
      </c>
      <c r="P375" s="435">
        <f t="shared" si="779"/>
        <v>7.1846199999999998</v>
      </c>
      <c r="AE375" s="217"/>
      <c r="AF375" s="217">
        <v>1040</v>
      </c>
      <c r="AH375">
        <f t="shared" si="775"/>
        <v>1040</v>
      </c>
    </row>
    <row r="376" ht="120" hidden="1">
      <c r="A376" s="217"/>
      <c r="B376" s="217">
        <v>1040</v>
      </c>
      <c r="C376" s="217"/>
      <c r="D376" s="217" t="s">
        <v>17167</v>
      </c>
      <c r="E376" s="471" t="s">
        <v>20409</v>
      </c>
      <c r="F376" s="482">
        <v>90108</v>
      </c>
      <c r="G376" s="470" t="s">
        <v>20907</v>
      </c>
      <c r="H376" s="482" t="s">
        <v>15528</v>
      </c>
      <c r="I376" s="483">
        <f>((1.9+0.8)*(4.9+0.8))*(2.2+0.18+0.15+0.05)</f>
        <v>39.706200000000003</v>
      </c>
      <c r="J376" s="473">
        <f t="shared" si="771"/>
        <v>7.8099999999999996</v>
      </c>
      <c r="K376" s="474">
        <f t="shared" si="782"/>
        <v>310.10542200000003</v>
      </c>
      <c r="L376" s="475">
        <f t="shared" si="772"/>
        <v>7.6100000000000003</v>
      </c>
      <c r="M376" s="474">
        <f t="shared" si="783"/>
        <v>302.16418200000004</v>
      </c>
      <c r="N376" s="467" t="s">
        <v>20908</v>
      </c>
      <c r="O376" s="434">
        <f t="shared" si="778"/>
        <v>7.8099999999999996</v>
      </c>
      <c r="P376" s="435">
        <f t="shared" si="779"/>
        <v>7.6100000000000003</v>
      </c>
      <c r="AE376" s="217"/>
      <c r="AF376" s="217">
        <v>1040</v>
      </c>
      <c r="AH376">
        <f t="shared" si="775"/>
        <v>1040</v>
      </c>
    </row>
    <row r="377" ht="105" hidden="1">
      <c r="A377" s="217"/>
      <c r="B377" s="217">
        <v>1040</v>
      </c>
      <c r="C377" s="217"/>
      <c r="D377" s="217" t="s">
        <v>17167</v>
      </c>
      <c r="E377" s="471" t="s">
        <v>20663</v>
      </c>
      <c r="F377" s="482">
        <v>5928</v>
      </c>
      <c r="G377" s="470" t="s">
        <v>1739</v>
      </c>
      <c r="H377" s="482" t="s">
        <v>1535</v>
      </c>
      <c r="I377" s="483">
        <v>0.10000000000000001</v>
      </c>
      <c r="J377" s="473">
        <f t="shared" si="771"/>
        <v>298.70999999999998</v>
      </c>
      <c r="K377" s="474">
        <f t="shared" si="782"/>
        <v>29.870999999999999</v>
      </c>
      <c r="L377" s="475">
        <f t="shared" si="772"/>
        <v>296.98000000000002</v>
      </c>
      <c r="M377" s="474">
        <f t="shared" si="783"/>
        <v>29.698000000000004</v>
      </c>
      <c r="O377" s="434">
        <f t="shared" si="778"/>
        <v>298.70999999999998</v>
      </c>
      <c r="P377" s="435">
        <f t="shared" si="779"/>
        <v>296.98000000000002</v>
      </c>
      <c r="AE377" s="217"/>
      <c r="AF377" s="217">
        <v>1040</v>
      </c>
      <c r="AH377">
        <f t="shared" si="775"/>
        <v>1040</v>
      </c>
    </row>
    <row r="378" ht="45" hidden="1">
      <c r="A378" s="217"/>
      <c r="B378" s="217">
        <v>1040</v>
      </c>
      <c r="C378" s="217"/>
      <c r="D378" s="217" t="s">
        <v>20398</v>
      </c>
      <c r="E378" s="471" t="s">
        <v>20665</v>
      </c>
      <c r="F378" s="482">
        <v>1000</v>
      </c>
      <c r="G378" s="470" t="s">
        <v>20651</v>
      </c>
      <c r="H378" s="482" t="s">
        <v>15528</v>
      </c>
      <c r="I378" s="483">
        <f>I384+I385</f>
        <v>6.5377200000000002</v>
      </c>
      <c r="J378" s="473">
        <f t="shared" si="771"/>
        <v>149.904</v>
      </c>
      <c r="K378" s="474">
        <f t="shared" si="782"/>
        <v>980.03037888000006</v>
      </c>
      <c r="L378" s="475">
        <f t="shared" si="772"/>
        <v>141.76949999999999</v>
      </c>
      <c r="M378" s="474">
        <f t="shared" si="783"/>
        <v>926.84929553999996</v>
      </c>
      <c r="O378" s="434">
        <f t="shared" si="778"/>
        <v>149.904</v>
      </c>
      <c r="P378" s="435">
        <f t="shared" si="779"/>
        <v>141.76949999999999</v>
      </c>
      <c r="AE378" s="217"/>
      <c r="AF378" s="217">
        <v>1040</v>
      </c>
      <c r="AH378">
        <f t="shared" si="775"/>
        <v>1040</v>
      </c>
    </row>
    <row r="379" ht="60" hidden="1">
      <c r="A379" s="217"/>
      <c r="B379" s="217">
        <v>1040</v>
      </c>
      <c r="C379" s="217"/>
      <c r="D379" s="217" t="s">
        <v>17167</v>
      </c>
      <c r="E379" s="471" t="s">
        <v>20667</v>
      </c>
      <c r="F379" s="482">
        <v>87313</v>
      </c>
      <c r="G379" s="470" t="s">
        <v>20909</v>
      </c>
      <c r="H379" s="482" t="s">
        <v>15528</v>
      </c>
      <c r="I379" s="483">
        <f>(1.9*2+4.9*2)*1.7*0.02</f>
        <v>0.46239999999999998</v>
      </c>
      <c r="J379" s="473">
        <f t="shared" si="771"/>
        <v>549.88</v>
      </c>
      <c r="K379" s="474">
        <f t="shared" si="782"/>
        <v>254.264512</v>
      </c>
      <c r="L379" s="475">
        <f t="shared" si="772"/>
        <v>542.65999999999997</v>
      </c>
      <c r="M379" s="474">
        <f t="shared" si="783"/>
        <v>250.92598399999997</v>
      </c>
      <c r="O379" s="434">
        <f t="shared" si="778"/>
        <v>549.88</v>
      </c>
      <c r="P379" s="435">
        <f t="shared" si="779"/>
        <v>542.65999999999997</v>
      </c>
      <c r="AE379" s="217"/>
      <c r="AF379" s="217">
        <v>1040</v>
      </c>
      <c r="AH379">
        <f t="shared" si="775"/>
        <v>1040</v>
      </c>
    </row>
    <row r="380" ht="75" hidden="1">
      <c r="A380" s="217"/>
      <c r="B380" s="217">
        <v>1040</v>
      </c>
      <c r="C380" s="217"/>
      <c r="D380" s="217" t="s">
        <v>17167</v>
      </c>
      <c r="E380" s="471" t="s">
        <v>20671</v>
      </c>
      <c r="F380" s="482">
        <v>87878</v>
      </c>
      <c r="G380" s="470" t="s">
        <v>20910</v>
      </c>
      <c r="H380" s="482" t="s">
        <v>15515</v>
      </c>
      <c r="I380" s="483">
        <f>(1.9*2+4.9*2)*1.7</f>
        <v>23.120000000000001</v>
      </c>
      <c r="J380" s="473">
        <f t="shared" si="771"/>
        <v>5.0099999999999998</v>
      </c>
      <c r="K380" s="474">
        <f t="shared" si="782"/>
        <v>115.8312</v>
      </c>
      <c r="L380" s="475">
        <f t="shared" si="772"/>
        <v>4.7999999999999998</v>
      </c>
      <c r="M380" s="474">
        <f t="shared" si="783"/>
        <v>110.976</v>
      </c>
      <c r="O380" s="434">
        <f t="shared" si="778"/>
        <v>5.0099999999999998</v>
      </c>
      <c r="P380" s="435">
        <f t="shared" si="779"/>
        <v>4.7999999999999998</v>
      </c>
      <c r="AE380" s="217"/>
      <c r="AF380" s="217">
        <v>1040</v>
      </c>
      <c r="AH380">
        <f t="shared" si="775"/>
        <v>1040</v>
      </c>
    </row>
    <row r="381" ht="45" hidden="1">
      <c r="A381" s="217"/>
      <c r="B381" s="217">
        <v>1040</v>
      </c>
      <c r="C381" s="217"/>
      <c r="D381" s="217" t="s">
        <v>17167</v>
      </c>
      <c r="E381" s="471" t="s">
        <v>20672</v>
      </c>
      <c r="F381" s="482">
        <v>96543</v>
      </c>
      <c r="G381" s="470" t="s">
        <v>20676</v>
      </c>
      <c r="H381" s="482" t="s">
        <v>302</v>
      </c>
      <c r="I381" s="483">
        <v>11.56</v>
      </c>
      <c r="J381" s="473">
        <f t="shared" si="771"/>
        <v>19.829999999999998</v>
      </c>
      <c r="K381" s="474">
        <f t="shared" si="782"/>
        <v>229.23479999999998</v>
      </c>
      <c r="L381" s="475">
        <f t="shared" si="772"/>
        <v>19.210000000000001</v>
      </c>
      <c r="M381" s="474">
        <f t="shared" si="783"/>
        <v>222.06760000000003</v>
      </c>
      <c r="O381" s="434">
        <f t="shared" si="778"/>
        <v>19.829999999999998</v>
      </c>
      <c r="P381" s="435">
        <f t="shared" si="779"/>
        <v>19.210000000000001</v>
      </c>
      <c r="AE381" s="217"/>
      <c r="AF381" s="217">
        <v>1040</v>
      </c>
      <c r="AH381">
        <f t="shared" si="775"/>
        <v>1040</v>
      </c>
    </row>
    <row r="382" ht="45" hidden="1">
      <c r="A382" s="217"/>
      <c r="B382" s="217">
        <v>1040</v>
      </c>
      <c r="C382" s="217"/>
      <c r="D382" s="217" t="s">
        <v>17167</v>
      </c>
      <c r="E382" s="471" t="s">
        <v>20673</v>
      </c>
      <c r="F382" s="482">
        <v>96544</v>
      </c>
      <c r="G382" s="470" t="s">
        <v>20763</v>
      </c>
      <c r="H382" s="482" t="s">
        <v>302</v>
      </c>
      <c r="I382" s="483">
        <v>108.51000000000001</v>
      </c>
      <c r="J382" s="473">
        <f t="shared" si="771"/>
        <v>17.699999999999999</v>
      </c>
      <c r="K382" s="474">
        <f t="shared" si="782"/>
        <v>1920.627</v>
      </c>
      <c r="L382" s="475">
        <f t="shared" si="772"/>
        <v>17.23</v>
      </c>
      <c r="M382" s="474">
        <f t="shared" si="783"/>
        <v>1869.6273000000001</v>
      </c>
      <c r="O382" s="434">
        <f t="shared" si="778"/>
        <v>17.699999999999999</v>
      </c>
      <c r="P382" s="435">
        <f t="shared" si="779"/>
        <v>17.23</v>
      </c>
      <c r="AE382" s="217"/>
      <c r="AF382" s="217">
        <v>1040</v>
      </c>
      <c r="AH382">
        <f t="shared" si="775"/>
        <v>1040</v>
      </c>
    </row>
    <row r="383" ht="45" hidden="1">
      <c r="A383" s="217"/>
      <c r="B383" s="217">
        <v>1040</v>
      </c>
      <c r="C383" s="217"/>
      <c r="D383" s="217" t="s">
        <v>17167</v>
      </c>
      <c r="E383" s="471" t="s">
        <v>20675</v>
      </c>
      <c r="F383" s="482">
        <v>93382</v>
      </c>
      <c r="G383" s="470" t="s">
        <v>20722</v>
      </c>
      <c r="H383" s="482" t="s">
        <v>15528</v>
      </c>
      <c r="I383" s="483">
        <f>I376-2.7*5.7*0.2-2.3*5.3*1.88-3.141592654*1*1/4*0.5</f>
        <v>13.318300900000001</v>
      </c>
      <c r="J383" s="473">
        <f t="shared" si="771"/>
        <v>27.52</v>
      </c>
      <c r="K383" s="474">
        <f t="shared" si="782"/>
        <v>366.51964076799999</v>
      </c>
      <c r="L383" s="475">
        <f t="shared" si="772"/>
        <v>26.190000000000001</v>
      </c>
      <c r="M383" s="474">
        <f t="shared" si="783"/>
        <v>348.80630057100001</v>
      </c>
      <c r="O383" s="434">
        <f t="shared" si="778"/>
        <v>27.52</v>
      </c>
      <c r="P383" s="435">
        <f t="shared" si="779"/>
        <v>26.190000000000001</v>
      </c>
      <c r="AE383" s="217"/>
      <c r="AF383" s="217">
        <v>1040</v>
      </c>
      <c r="AH383">
        <f t="shared" si="775"/>
        <v>1040</v>
      </c>
    </row>
    <row r="384" ht="60" hidden="1">
      <c r="A384" s="217"/>
      <c r="B384" s="217">
        <v>1040</v>
      </c>
      <c r="C384" s="217"/>
      <c r="D384" s="217" t="s">
        <v>17167</v>
      </c>
      <c r="E384" s="471" t="s">
        <v>20677</v>
      </c>
      <c r="F384" s="482">
        <v>94963</v>
      </c>
      <c r="G384" s="470" t="s">
        <v>20911</v>
      </c>
      <c r="H384" s="482" t="s">
        <v>15528</v>
      </c>
      <c r="I384" s="483">
        <f>(1.9+0.8)*(4.9+0.8)*0.15+2.3*5.3*0.18</f>
        <v>4.5026999999999999</v>
      </c>
      <c r="J384" s="473">
        <f t="shared" si="771"/>
        <v>441.43000000000001</v>
      </c>
      <c r="K384" s="474">
        <f t="shared" si="782"/>
        <v>1987.626861</v>
      </c>
      <c r="L384" s="475">
        <f t="shared" si="772"/>
        <v>436.14999999999998</v>
      </c>
      <c r="M384" s="474">
        <f t="shared" si="783"/>
        <v>1963.8526049999998</v>
      </c>
      <c r="O384" s="434">
        <f t="shared" si="778"/>
        <v>441.43000000000001</v>
      </c>
      <c r="P384" s="435">
        <f t="shared" si="779"/>
        <v>436.14999999999998</v>
      </c>
      <c r="AE384" s="217"/>
      <c r="AF384" s="217">
        <v>1040</v>
      </c>
      <c r="AH384">
        <f t="shared" si="775"/>
        <v>1040</v>
      </c>
    </row>
    <row r="385" ht="60" hidden="1">
      <c r="A385" s="217"/>
      <c r="B385" s="217">
        <v>1040</v>
      </c>
      <c r="C385" s="217"/>
      <c r="D385" s="217" t="s">
        <v>17167</v>
      </c>
      <c r="E385" s="471" t="s">
        <v>20679</v>
      </c>
      <c r="F385" s="482">
        <v>94964</v>
      </c>
      <c r="G385" s="470" t="s">
        <v>20686</v>
      </c>
      <c r="H385" s="482" t="s">
        <v>15528</v>
      </c>
      <c r="I385" s="483">
        <f>(2.3*1+1.5*2)*2.3*0.12+5.3*0.17*0.17*2+2.3*0.17*0.17*4</f>
        <v>2.0350199999999998</v>
      </c>
      <c r="J385" s="473">
        <f t="shared" si="771"/>
        <v>488.52999999999997</v>
      </c>
      <c r="K385" s="474">
        <f t="shared" si="782"/>
        <v>994.1683205999999</v>
      </c>
      <c r="L385" s="475">
        <f t="shared" si="772"/>
        <v>482.79000000000002</v>
      </c>
      <c r="M385" s="474">
        <f t="shared" si="783"/>
        <v>982.48730579999994</v>
      </c>
      <c r="O385" s="434">
        <f t="shared" si="778"/>
        <v>488.52999999999997</v>
      </c>
      <c r="P385" s="435">
        <f t="shared" si="779"/>
        <v>482.79000000000002</v>
      </c>
      <c r="AE385" s="217"/>
      <c r="AF385" s="217">
        <v>1040</v>
      </c>
      <c r="AH385">
        <f t="shared" si="775"/>
        <v>1040</v>
      </c>
    </row>
    <row r="386" ht="60" hidden="1">
      <c r="A386" s="217"/>
      <c r="B386" s="217">
        <v>1040</v>
      </c>
      <c r="C386" s="217"/>
      <c r="D386" s="217" t="s">
        <v>17167</v>
      </c>
      <c r="E386" s="471" t="s">
        <v>20681</v>
      </c>
      <c r="F386" s="482">
        <v>96533</v>
      </c>
      <c r="G386" s="470" t="s">
        <v>20912</v>
      </c>
      <c r="H386" s="482" t="s">
        <v>15515</v>
      </c>
      <c r="I386" s="483">
        <f>5.3*2.3+(5.3*2+2.3*2)*0.12+(5.3*2+2.3*2)*0.17*2+0.17*3*1.9*2+0.18*(2.3*2+5.3*2)</f>
        <v>23.856000000000002</v>
      </c>
      <c r="J386" s="473">
        <f t="shared" si="771"/>
        <v>85.980000000000004</v>
      </c>
      <c r="K386" s="474">
        <f t="shared" si="782"/>
        <v>2051.1388800000004</v>
      </c>
      <c r="L386" s="475">
        <f t="shared" si="772"/>
        <v>83.200000000000003</v>
      </c>
      <c r="M386" s="474">
        <f t="shared" si="783"/>
        <v>1984.8192000000001</v>
      </c>
      <c r="O386" s="434">
        <f t="shared" si="778"/>
        <v>85.980000000000004</v>
      </c>
      <c r="P386" s="435">
        <f t="shared" si="779"/>
        <v>83.200000000000003</v>
      </c>
      <c r="AE386" s="217"/>
      <c r="AF386" s="217">
        <v>1040</v>
      </c>
      <c r="AH386">
        <f t="shared" si="775"/>
        <v>1040</v>
      </c>
    </row>
    <row r="387" ht="141.75" hidden="1">
      <c r="A387" s="460">
        <v>1041</v>
      </c>
      <c r="B387" s="460">
        <v>1041</v>
      </c>
      <c r="C387" s="460"/>
      <c r="D387" s="460"/>
      <c r="E387" s="461">
        <v>1</v>
      </c>
      <c r="F387" s="462" t="s">
        <v>20915</v>
      </c>
      <c r="G387" s="477" t="s">
        <v>20916</v>
      </c>
      <c r="H387" s="478" t="s">
        <v>20647</v>
      </c>
      <c r="I387" s="479"/>
      <c r="J387" s="480"/>
      <c r="K387" s="466">
        <f>SUM(K388:K401)</f>
        <v>18962.400749268003</v>
      </c>
      <c r="L387" s="480"/>
      <c r="M387" s="466">
        <f>SUM(M388:M401)</f>
        <v>18473.567057771001</v>
      </c>
      <c r="O387" s="434" t="str">
        <f t="shared" si="778"/>
        <v xml:space="preserve">SEM VALOR</v>
      </c>
      <c r="P387" s="435" t="str">
        <f t="shared" si="779"/>
        <v xml:space="preserve">SEM VALOR</v>
      </c>
      <c r="AE387" s="460">
        <v>1041</v>
      </c>
      <c r="AF387" s="460"/>
      <c r="AH387">
        <f t="shared" si="775"/>
        <v>1041</v>
      </c>
    </row>
    <row r="388" ht="30" hidden="1">
      <c r="A388" s="217"/>
      <c r="B388" s="217">
        <v>1041</v>
      </c>
      <c r="C388" s="217"/>
      <c r="D388" s="217" t="s">
        <v>20398</v>
      </c>
      <c r="E388" s="471" t="s">
        <v>20399</v>
      </c>
      <c r="F388" s="482">
        <v>1242</v>
      </c>
      <c r="G388" s="470" t="s">
        <v>20905</v>
      </c>
      <c r="H388" s="482" t="s">
        <v>15528</v>
      </c>
      <c r="I388" s="483">
        <f>(1.9+0.8)*(6.5+0.8)*0.05</f>
        <v>0.98550000000000004</v>
      </c>
      <c r="J388" s="473">
        <f t="shared" si="771"/>
        <v>151.59100000000001</v>
      </c>
      <c r="K388" s="474">
        <f t="shared" ref="K388:K401" si="784">I388*J388</f>
        <v>149.39293050000001</v>
      </c>
      <c r="L388" s="475">
        <f t="shared" si="772"/>
        <v>149.17099999999999</v>
      </c>
      <c r="M388" s="474">
        <f t="shared" ref="M388:M401" si="785">L388*I388</f>
        <v>147.00802049999999</v>
      </c>
      <c r="O388" s="434">
        <f t="shared" si="778"/>
        <v>151.59100000000001</v>
      </c>
      <c r="P388" s="435">
        <f t="shared" si="779"/>
        <v>149.17099999999999</v>
      </c>
      <c r="AE388" s="217"/>
      <c r="AF388" s="217">
        <v>1041</v>
      </c>
      <c r="AH388">
        <f t="shared" si="775"/>
        <v>1041</v>
      </c>
    </row>
    <row r="389" ht="75" hidden="1">
      <c r="A389" s="217"/>
      <c r="B389" s="217">
        <v>1041</v>
      </c>
      <c r="C389" s="217"/>
      <c r="D389" s="217" t="s">
        <v>20398</v>
      </c>
      <c r="E389" s="471" t="s">
        <v>20402</v>
      </c>
      <c r="F389" s="482">
        <v>1257</v>
      </c>
      <c r="G389" s="470" t="s">
        <v>20906</v>
      </c>
      <c r="H389" s="482" t="s">
        <v>15515</v>
      </c>
      <c r="I389" s="483">
        <f>((1.9+0.4)*2+(6.5+0.4)*2)*1.7</f>
        <v>31.280000000000001</v>
      </c>
      <c r="J389" s="473">
        <f t="shared" si="771"/>
        <v>202.65134000000003</v>
      </c>
      <c r="K389" s="474">
        <f t="shared" si="784"/>
        <v>6338.9339152000011</v>
      </c>
      <c r="L389" s="475">
        <f t="shared" si="772"/>
        <v>197.86072000000001</v>
      </c>
      <c r="M389" s="474">
        <f t="shared" si="785"/>
        <v>6189.083321600001</v>
      </c>
      <c r="O389" s="434">
        <f t="shared" si="778"/>
        <v>202.65134000000003</v>
      </c>
      <c r="P389" s="435">
        <f t="shared" si="779"/>
        <v>197.86072000000001</v>
      </c>
      <c r="AE389" s="217"/>
      <c r="AF389" s="217">
        <v>1041</v>
      </c>
      <c r="AH389">
        <f t="shared" si="775"/>
        <v>1041</v>
      </c>
    </row>
    <row r="390" ht="60" hidden="1">
      <c r="A390" s="217"/>
      <c r="B390" s="217">
        <v>1041</v>
      </c>
      <c r="C390" s="217"/>
      <c r="D390" s="217" t="s">
        <v>20398</v>
      </c>
      <c r="E390" s="471" t="s">
        <v>20405</v>
      </c>
      <c r="F390" s="482">
        <v>1258</v>
      </c>
      <c r="G390" s="470" t="s">
        <v>20660</v>
      </c>
      <c r="H390" s="482" t="s">
        <v>15515</v>
      </c>
      <c r="I390" s="483">
        <f>(1.9+0.8)*(6.5+0.8)</f>
        <v>19.710000000000001</v>
      </c>
      <c r="J390" s="473">
        <f t="shared" si="771"/>
        <v>7.5700000000000003</v>
      </c>
      <c r="K390" s="474">
        <f t="shared" si="784"/>
        <v>149.2047</v>
      </c>
      <c r="L390" s="475">
        <f t="shared" si="772"/>
        <v>7.1846199999999998</v>
      </c>
      <c r="M390" s="474">
        <f t="shared" si="785"/>
        <v>141.60886020000001</v>
      </c>
      <c r="O390" s="434">
        <f t="shared" si="778"/>
        <v>7.5700000000000003</v>
      </c>
      <c r="P390" s="435">
        <f t="shared" si="779"/>
        <v>7.1846199999999998</v>
      </c>
      <c r="AE390" s="217"/>
      <c r="AF390" s="217">
        <v>1041</v>
      </c>
      <c r="AH390">
        <f t="shared" si="775"/>
        <v>1041</v>
      </c>
    </row>
    <row r="391" ht="120" hidden="1">
      <c r="A391" s="217"/>
      <c r="B391" s="217">
        <v>1041</v>
      </c>
      <c r="C391" s="217"/>
      <c r="D391" s="217" t="s">
        <v>17167</v>
      </c>
      <c r="E391" s="471" t="s">
        <v>20409</v>
      </c>
      <c r="F391" s="482">
        <v>90108</v>
      </c>
      <c r="G391" s="470" t="s">
        <v>20907</v>
      </c>
      <c r="H391" s="482" t="s">
        <v>15528</v>
      </c>
      <c r="I391" s="483">
        <f>((1.9+0.8)*(6.5+0.8))*(2.2+0.18+0.15+0.05)</f>
        <v>50.851799999999997</v>
      </c>
      <c r="J391" s="473">
        <f t="shared" si="771"/>
        <v>7.8099999999999996</v>
      </c>
      <c r="K391" s="474">
        <f t="shared" si="784"/>
        <v>397.15255799999994</v>
      </c>
      <c r="L391" s="475">
        <f t="shared" si="772"/>
        <v>7.6100000000000003</v>
      </c>
      <c r="M391" s="474">
        <f t="shared" si="785"/>
        <v>386.98219799999998</v>
      </c>
      <c r="N391" s="467" t="s">
        <v>20908</v>
      </c>
      <c r="O391" s="434">
        <f t="shared" si="778"/>
        <v>7.8099999999999996</v>
      </c>
      <c r="P391" s="435">
        <f t="shared" si="779"/>
        <v>7.6100000000000003</v>
      </c>
      <c r="AE391" s="217"/>
      <c r="AF391" s="217">
        <v>1041</v>
      </c>
      <c r="AH391">
        <f t="shared" si="775"/>
        <v>1041</v>
      </c>
    </row>
    <row r="392" ht="105" hidden="1">
      <c r="A392" s="217"/>
      <c r="B392" s="217">
        <v>1041</v>
      </c>
      <c r="C392" s="217"/>
      <c r="D392" s="217" t="s">
        <v>17167</v>
      </c>
      <c r="E392" s="471" t="s">
        <v>20663</v>
      </c>
      <c r="F392" s="482">
        <v>5928</v>
      </c>
      <c r="G392" s="470" t="s">
        <v>1739</v>
      </c>
      <c r="H392" s="482" t="s">
        <v>1535</v>
      </c>
      <c r="I392" s="483">
        <v>0.10000000000000001</v>
      </c>
      <c r="J392" s="473">
        <f t="shared" si="771"/>
        <v>298.70999999999998</v>
      </c>
      <c r="K392" s="474">
        <f t="shared" si="784"/>
        <v>29.870999999999999</v>
      </c>
      <c r="L392" s="475">
        <f t="shared" si="772"/>
        <v>296.98000000000002</v>
      </c>
      <c r="M392" s="474">
        <f t="shared" si="785"/>
        <v>29.698000000000004</v>
      </c>
      <c r="O392" s="434">
        <f t="shared" si="778"/>
        <v>298.70999999999998</v>
      </c>
      <c r="P392" s="435">
        <f t="shared" si="779"/>
        <v>296.98000000000002</v>
      </c>
      <c r="AE392" s="217"/>
      <c r="AF392" s="217">
        <v>1041</v>
      </c>
      <c r="AH392">
        <f t="shared" si="775"/>
        <v>1041</v>
      </c>
    </row>
    <row r="393" ht="45" hidden="1">
      <c r="A393" s="217"/>
      <c r="B393" s="217">
        <v>1041</v>
      </c>
      <c r="C393" s="217"/>
      <c r="D393" s="217" t="s">
        <v>20398</v>
      </c>
      <c r="E393" s="471" t="s">
        <v>20665</v>
      </c>
      <c r="F393" s="482">
        <v>1000</v>
      </c>
      <c r="G393" s="470" t="s">
        <v>20651</v>
      </c>
      <c r="H393" s="482" t="s">
        <v>15528</v>
      </c>
      <c r="I393" s="483">
        <f>I399+I400</f>
        <v>8.3821999999999992</v>
      </c>
      <c r="J393" s="473">
        <f t="shared" si="771"/>
        <v>149.904</v>
      </c>
      <c r="K393" s="474">
        <f t="shared" si="784"/>
        <v>1256.5253087999999</v>
      </c>
      <c r="L393" s="475">
        <f t="shared" si="772"/>
        <v>141.76949999999999</v>
      </c>
      <c r="M393" s="474">
        <f t="shared" si="785"/>
        <v>1188.3403028999999</v>
      </c>
      <c r="O393" s="434">
        <f t="shared" si="778"/>
        <v>149.904</v>
      </c>
      <c r="P393" s="435">
        <f t="shared" si="779"/>
        <v>141.76949999999999</v>
      </c>
      <c r="AE393" s="217"/>
      <c r="AF393" s="217">
        <v>1041</v>
      </c>
      <c r="AH393">
        <f t="shared" si="775"/>
        <v>1041</v>
      </c>
    </row>
    <row r="394" ht="60" hidden="1">
      <c r="A394" s="217"/>
      <c r="B394" s="217">
        <v>1041</v>
      </c>
      <c r="C394" s="217"/>
      <c r="D394" s="217" t="s">
        <v>17167</v>
      </c>
      <c r="E394" s="471" t="s">
        <v>20667</v>
      </c>
      <c r="F394" s="482">
        <v>87313</v>
      </c>
      <c r="G394" s="470" t="s">
        <v>20909</v>
      </c>
      <c r="H394" s="482" t="s">
        <v>15528</v>
      </c>
      <c r="I394" s="483">
        <f>(1.9*2+6.5*2)*1.7*0.02</f>
        <v>0.57120000000000004</v>
      </c>
      <c r="J394" s="473">
        <f t="shared" si="771"/>
        <v>549.88</v>
      </c>
      <c r="K394" s="474">
        <f t="shared" si="784"/>
        <v>314.09145599999999</v>
      </c>
      <c r="L394" s="475">
        <f t="shared" si="772"/>
        <v>542.65999999999997</v>
      </c>
      <c r="M394" s="474">
        <f t="shared" si="785"/>
        <v>309.96739200000002</v>
      </c>
      <c r="O394" s="434">
        <f t="shared" si="778"/>
        <v>549.88</v>
      </c>
      <c r="P394" s="435">
        <f t="shared" si="779"/>
        <v>542.65999999999997</v>
      </c>
      <c r="AE394" s="217"/>
      <c r="AF394" s="217">
        <v>1041</v>
      </c>
      <c r="AH394">
        <f t="shared" si="775"/>
        <v>1041</v>
      </c>
    </row>
    <row r="395" ht="75" hidden="1">
      <c r="A395" s="217"/>
      <c r="B395" s="217">
        <v>1041</v>
      </c>
      <c r="C395" s="217"/>
      <c r="D395" s="217" t="s">
        <v>17167</v>
      </c>
      <c r="E395" s="471" t="s">
        <v>20671</v>
      </c>
      <c r="F395" s="482">
        <v>87878</v>
      </c>
      <c r="G395" s="470" t="s">
        <v>20910</v>
      </c>
      <c r="H395" s="482" t="s">
        <v>15515</v>
      </c>
      <c r="I395" s="483">
        <f>(1.9*2+6.5*2)*1.7</f>
        <v>28.559999999999999</v>
      </c>
      <c r="J395" s="473">
        <f t="shared" ref="J395:J458" si="786">O395*$J$3</f>
        <v>5.0099999999999998</v>
      </c>
      <c r="K395" s="474">
        <f t="shared" si="784"/>
        <v>143.0856</v>
      </c>
      <c r="L395" s="475">
        <f t="shared" ref="L395:L458" si="787">P395*$L$3</f>
        <v>4.7999999999999998</v>
      </c>
      <c r="M395" s="474">
        <f t="shared" si="785"/>
        <v>137.08799999999999</v>
      </c>
      <c r="O395" s="434">
        <f t="shared" si="778"/>
        <v>5.0099999999999998</v>
      </c>
      <c r="P395" s="435">
        <f t="shared" si="779"/>
        <v>4.7999999999999998</v>
      </c>
      <c r="AE395" s="217"/>
      <c r="AF395" s="217">
        <v>1041</v>
      </c>
      <c r="AH395">
        <f t="shared" si="775"/>
        <v>1041</v>
      </c>
    </row>
    <row r="396" ht="45" hidden="1">
      <c r="A396" s="217"/>
      <c r="B396" s="217">
        <v>1041</v>
      </c>
      <c r="C396" s="217"/>
      <c r="D396" s="217" t="s">
        <v>17167</v>
      </c>
      <c r="E396" s="471" t="s">
        <v>20672</v>
      </c>
      <c r="F396" s="482">
        <v>96543</v>
      </c>
      <c r="G396" s="470" t="s">
        <v>20676</v>
      </c>
      <c r="H396" s="482" t="s">
        <v>302</v>
      </c>
      <c r="I396" s="483">
        <v>13.43</v>
      </c>
      <c r="J396" s="473">
        <f t="shared" si="786"/>
        <v>19.829999999999998</v>
      </c>
      <c r="K396" s="474">
        <f t="shared" si="784"/>
        <v>266.31689999999998</v>
      </c>
      <c r="L396" s="475">
        <f t="shared" si="787"/>
        <v>19.210000000000001</v>
      </c>
      <c r="M396" s="474">
        <f t="shared" si="785"/>
        <v>257.99029999999999</v>
      </c>
      <c r="O396" s="434">
        <f t="shared" si="778"/>
        <v>19.829999999999998</v>
      </c>
      <c r="P396" s="435">
        <f t="shared" si="779"/>
        <v>19.210000000000001</v>
      </c>
      <c r="AE396" s="217"/>
      <c r="AF396" s="217">
        <v>1041</v>
      </c>
      <c r="AH396">
        <f t="shared" si="775"/>
        <v>1041</v>
      </c>
    </row>
    <row r="397" ht="45" hidden="1">
      <c r="A397" s="217"/>
      <c r="B397" s="217">
        <v>1041</v>
      </c>
      <c r="C397" s="217"/>
      <c r="D397" s="217" t="s">
        <v>17167</v>
      </c>
      <c r="E397" s="471" t="s">
        <v>20673</v>
      </c>
      <c r="F397" s="482">
        <v>96544</v>
      </c>
      <c r="G397" s="470" t="s">
        <v>20763</v>
      </c>
      <c r="H397" s="482" t="s">
        <v>302</v>
      </c>
      <c r="I397" s="483">
        <v>174.80000000000001</v>
      </c>
      <c r="J397" s="473">
        <f t="shared" si="786"/>
        <v>17.699999999999999</v>
      </c>
      <c r="K397" s="474">
        <f t="shared" si="784"/>
        <v>3093.96</v>
      </c>
      <c r="L397" s="475">
        <f t="shared" si="787"/>
        <v>17.23</v>
      </c>
      <c r="M397" s="474">
        <f t="shared" si="785"/>
        <v>3011.8040000000001</v>
      </c>
      <c r="O397" s="434">
        <f t="shared" si="778"/>
        <v>17.699999999999999</v>
      </c>
      <c r="P397" s="435">
        <f t="shared" si="779"/>
        <v>17.23</v>
      </c>
      <c r="AE397" s="217"/>
      <c r="AF397" s="217">
        <v>1041</v>
      </c>
      <c r="AH397">
        <f t="shared" si="775"/>
        <v>1041</v>
      </c>
    </row>
    <row r="398" ht="45" hidden="1">
      <c r="A398" s="217"/>
      <c r="B398" s="217">
        <v>1041</v>
      </c>
      <c r="C398" s="217"/>
      <c r="D398" s="217" t="s">
        <v>17167</v>
      </c>
      <c r="E398" s="471" t="s">
        <v>20675</v>
      </c>
      <c r="F398" s="482">
        <v>93382</v>
      </c>
      <c r="G398" s="470" t="s">
        <v>20722</v>
      </c>
      <c r="H398" s="482" t="s">
        <v>15528</v>
      </c>
      <c r="I398" s="483">
        <f>I391-2.7*7.3*0.2-2.3*6.9*1.88-3.141592654*1*1/4*0.5</f>
        <v>16.6815009</v>
      </c>
      <c r="J398" s="473">
        <f t="shared" si="786"/>
        <v>27.52</v>
      </c>
      <c r="K398" s="474">
        <f t="shared" si="784"/>
        <v>459.07490476800001</v>
      </c>
      <c r="L398" s="475">
        <f t="shared" si="787"/>
        <v>26.190000000000001</v>
      </c>
      <c r="M398" s="474">
        <f t="shared" si="785"/>
        <v>436.88850857099999</v>
      </c>
      <c r="O398" s="434">
        <f t="shared" si="778"/>
        <v>27.52</v>
      </c>
      <c r="P398" s="435">
        <f t="shared" si="779"/>
        <v>26.190000000000001</v>
      </c>
      <c r="AE398" s="217"/>
      <c r="AF398" s="217">
        <v>1041</v>
      </c>
      <c r="AH398">
        <f t="shared" si="775"/>
        <v>1041</v>
      </c>
    </row>
    <row r="399" ht="60" hidden="1">
      <c r="A399" s="217"/>
      <c r="B399" s="217">
        <v>1041</v>
      </c>
      <c r="C399" s="217"/>
      <c r="D399" s="217" t="s">
        <v>17167</v>
      </c>
      <c r="E399" s="471" t="s">
        <v>20677</v>
      </c>
      <c r="F399" s="482">
        <v>94963</v>
      </c>
      <c r="G399" s="470" t="s">
        <v>20911</v>
      </c>
      <c r="H399" s="482" t="s">
        <v>15528</v>
      </c>
      <c r="I399" s="483">
        <f>(1.9+0.8)*(6.5+0.8)*0.15+2.3*6.9*0.18</f>
        <v>5.8131000000000004</v>
      </c>
      <c r="J399" s="473">
        <f t="shared" si="786"/>
        <v>441.43000000000001</v>
      </c>
      <c r="K399" s="474">
        <f t="shared" si="784"/>
        <v>2566.0767330000003</v>
      </c>
      <c r="L399" s="475">
        <f t="shared" si="787"/>
        <v>436.14999999999998</v>
      </c>
      <c r="M399" s="474">
        <f t="shared" si="785"/>
        <v>2535.3835650000001</v>
      </c>
      <c r="O399" s="434">
        <f t="shared" si="778"/>
        <v>441.43000000000001</v>
      </c>
      <c r="P399" s="435">
        <f t="shared" si="779"/>
        <v>436.14999999999998</v>
      </c>
      <c r="AE399" s="217"/>
      <c r="AF399" s="217">
        <v>1041</v>
      </c>
      <c r="AH399">
        <f t="shared" si="775"/>
        <v>1041</v>
      </c>
    </row>
    <row r="400" ht="60" hidden="1">
      <c r="A400" s="217"/>
      <c r="B400" s="217">
        <v>1041</v>
      </c>
      <c r="C400" s="217"/>
      <c r="D400" s="217" t="s">
        <v>17167</v>
      </c>
      <c r="E400" s="471" t="s">
        <v>20679</v>
      </c>
      <c r="F400" s="482">
        <v>94964</v>
      </c>
      <c r="G400" s="470" t="s">
        <v>20686</v>
      </c>
      <c r="H400" s="482" t="s">
        <v>15528</v>
      </c>
      <c r="I400" s="483">
        <f>(2.3*3)*2.3*0.12+6.9*0.17*0.17*2+2.3*0.17*0.17*4</f>
        <v>2.5691000000000002</v>
      </c>
      <c r="J400" s="473">
        <f t="shared" si="786"/>
        <v>488.52999999999997</v>
      </c>
      <c r="K400" s="474">
        <f t="shared" si="784"/>
        <v>1255.0824230000001</v>
      </c>
      <c r="L400" s="475">
        <f t="shared" si="787"/>
        <v>482.79000000000002</v>
      </c>
      <c r="M400" s="474">
        <f t="shared" si="785"/>
        <v>1240.3357890000002</v>
      </c>
      <c r="O400" s="434">
        <f t="shared" si="778"/>
        <v>488.52999999999997</v>
      </c>
      <c r="P400" s="435">
        <f t="shared" si="779"/>
        <v>482.79000000000002</v>
      </c>
      <c r="AE400" s="217"/>
      <c r="AF400" s="217">
        <v>1041</v>
      </c>
      <c r="AH400">
        <f t="shared" si="775"/>
        <v>1041</v>
      </c>
    </row>
    <row r="401" ht="60" hidden="1">
      <c r="A401" s="217"/>
      <c r="B401" s="217">
        <v>1041</v>
      </c>
      <c r="C401" s="217"/>
      <c r="D401" s="217" t="s">
        <v>17167</v>
      </c>
      <c r="E401" s="471" t="s">
        <v>20681</v>
      </c>
      <c r="F401" s="482">
        <v>96533</v>
      </c>
      <c r="G401" s="470" t="s">
        <v>20912</v>
      </c>
      <c r="H401" s="482" t="s">
        <v>15515</v>
      </c>
      <c r="I401" s="483">
        <f>6.9*2.3+(6.9*2+2.3*2)*0.12+(6.9*2+2.3*2)*0.17*2+0.17*3*1.9*2+0.18*(2.3*2+6.9*2)</f>
        <v>29.584</v>
      </c>
      <c r="J401" s="473">
        <f t="shared" si="786"/>
        <v>85.980000000000004</v>
      </c>
      <c r="K401" s="474">
        <f t="shared" si="784"/>
        <v>2543.6323200000002</v>
      </c>
      <c r="L401" s="475">
        <f t="shared" si="787"/>
        <v>83.200000000000003</v>
      </c>
      <c r="M401" s="474">
        <f t="shared" si="785"/>
        <v>2461.3888000000002</v>
      </c>
      <c r="O401" s="434">
        <f t="shared" si="778"/>
        <v>85.980000000000004</v>
      </c>
      <c r="P401" s="435">
        <f t="shared" si="779"/>
        <v>83.200000000000003</v>
      </c>
      <c r="AE401" s="217"/>
      <c r="AF401" s="217">
        <v>1041</v>
      </c>
      <c r="AH401">
        <f t="shared" si="775"/>
        <v>1041</v>
      </c>
    </row>
    <row r="402" ht="141.75" hidden="1">
      <c r="A402" s="460">
        <v>1042</v>
      </c>
      <c r="B402" s="460">
        <v>1042</v>
      </c>
      <c r="C402" s="460"/>
      <c r="D402" s="460"/>
      <c r="E402" s="461">
        <v>1</v>
      </c>
      <c r="F402" s="462" t="s">
        <v>20917</v>
      </c>
      <c r="G402" s="477" t="s">
        <v>20918</v>
      </c>
      <c r="H402" s="478" t="s">
        <v>31</v>
      </c>
      <c r="I402" s="479"/>
      <c r="J402" s="480"/>
      <c r="K402" s="466">
        <f>SUM(K403:K416)</f>
        <v>23807.727476868</v>
      </c>
      <c r="L402" s="480"/>
      <c r="M402" s="466">
        <f>SUM(M403:M416)</f>
        <v>23193.324226621</v>
      </c>
      <c r="O402" s="434" t="str">
        <f t="shared" si="778"/>
        <v xml:space="preserve">SEM VALOR</v>
      </c>
      <c r="P402" s="435" t="str">
        <f t="shared" si="779"/>
        <v xml:space="preserve">SEM VALOR</v>
      </c>
      <c r="AE402" s="460">
        <v>1042</v>
      </c>
      <c r="AF402" s="460"/>
      <c r="AH402">
        <f t="shared" si="775"/>
        <v>1042</v>
      </c>
    </row>
    <row r="403" ht="30" hidden="1">
      <c r="A403" s="217"/>
      <c r="B403" s="217">
        <v>1042</v>
      </c>
      <c r="C403" s="217"/>
      <c r="D403" s="217" t="s">
        <v>20398</v>
      </c>
      <c r="E403" s="471" t="s">
        <v>20399</v>
      </c>
      <c r="F403" s="482">
        <v>1242</v>
      </c>
      <c r="G403" s="470" t="s">
        <v>20905</v>
      </c>
      <c r="H403" s="482" t="s">
        <v>15528</v>
      </c>
      <c r="I403" s="483">
        <f>(1.9+0.8)*(8.7+0.8)*0.05</f>
        <v>1.2825</v>
      </c>
      <c r="J403" s="473">
        <f t="shared" si="786"/>
        <v>151.59100000000001</v>
      </c>
      <c r="K403" s="474">
        <f t="shared" ref="K403:K416" si="788">I403*J403</f>
        <v>194.4154575</v>
      </c>
      <c r="L403" s="475">
        <f t="shared" si="787"/>
        <v>149.17099999999999</v>
      </c>
      <c r="M403" s="474">
        <f t="shared" ref="M403:M416" si="789">L403*I403</f>
        <v>191.31180749999999</v>
      </c>
      <c r="O403" s="434">
        <f t="shared" si="778"/>
        <v>151.59100000000001</v>
      </c>
      <c r="P403" s="435">
        <f t="shared" si="779"/>
        <v>149.17099999999999</v>
      </c>
      <c r="AE403" s="217"/>
      <c r="AF403" s="217">
        <v>1042</v>
      </c>
      <c r="AH403">
        <f t="shared" si="775"/>
        <v>1042</v>
      </c>
    </row>
    <row r="404" ht="75" hidden="1">
      <c r="A404" s="217"/>
      <c r="B404" s="217">
        <v>1042</v>
      </c>
      <c r="C404" s="217"/>
      <c r="D404" s="217" t="s">
        <v>20398</v>
      </c>
      <c r="E404" s="471" t="s">
        <v>20402</v>
      </c>
      <c r="F404" s="482">
        <v>1257</v>
      </c>
      <c r="G404" s="470" t="s">
        <v>20906</v>
      </c>
      <c r="H404" s="482" t="s">
        <v>15515</v>
      </c>
      <c r="I404" s="483">
        <f>((1.9+0.4)*2+(8.7+0.4)*2)*1.7</f>
        <v>38.759999999999998</v>
      </c>
      <c r="J404" s="473">
        <f t="shared" si="786"/>
        <v>202.65134000000003</v>
      </c>
      <c r="K404" s="474">
        <f t="shared" si="788"/>
        <v>7854.7659384000008</v>
      </c>
      <c r="L404" s="475">
        <f t="shared" si="787"/>
        <v>197.86072000000001</v>
      </c>
      <c r="M404" s="474">
        <f t="shared" si="789"/>
        <v>7669.0815072000005</v>
      </c>
      <c r="O404" s="434">
        <f t="shared" si="778"/>
        <v>202.65134000000003</v>
      </c>
      <c r="P404" s="435">
        <f t="shared" si="779"/>
        <v>197.86072000000001</v>
      </c>
      <c r="AE404" s="217"/>
      <c r="AF404" s="217">
        <v>1042</v>
      </c>
      <c r="AH404">
        <f t="shared" si="775"/>
        <v>1042</v>
      </c>
    </row>
    <row r="405" ht="60" hidden="1">
      <c r="A405" s="217"/>
      <c r="B405" s="217">
        <v>1042</v>
      </c>
      <c r="C405" s="217"/>
      <c r="D405" s="217" t="s">
        <v>20398</v>
      </c>
      <c r="E405" s="471" t="s">
        <v>20405</v>
      </c>
      <c r="F405" s="482">
        <v>1258</v>
      </c>
      <c r="G405" s="470" t="s">
        <v>20660</v>
      </c>
      <c r="H405" s="482" t="s">
        <v>15515</v>
      </c>
      <c r="I405" s="483">
        <f>(1.9+0.8)*(8.7+0.8)</f>
        <v>25.649999999999999</v>
      </c>
      <c r="J405" s="473">
        <f t="shared" si="786"/>
        <v>7.5700000000000003</v>
      </c>
      <c r="K405" s="474">
        <f t="shared" si="788"/>
        <v>194.1705</v>
      </c>
      <c r="L405" s="475">
        <f t="shared" si="787"/>
        <v>7.1846199999999998</v>
      </c>
      <c r="M405" s="474">
        <f t="shared" si="789"/>
        <v>184.28550299999998</v>
      </c>
      <c r="O405" s="434">
        <f t="shared" si="778"/>
        <v>7.5700000000000003</v>
      </c>
      <c r="P405" s="435">
        <f t="shared" si="779"/>
        <v>7.1846199999999998</v>
      </c>
      <c r="AE405" s="217"/>
      <c r="AF405" s="217">
        <v>1042</v>
      </c>
      <c r="AH405">
        <f t="shared" si="775"/>
        <v>1042</v>
      </c>
    </row>
    <row r="406" ht="120" hidden="1">
      <c r="A406" s="217"/>
      <c r="B406" s="217">
        <v>1042</v>
      </c>
      <c r="C406" s="217"/>
      <c r="D406" s="217" t="s">
        <v>17167</v>
      </c>
      <c r="E406" s="471" t="s">
        <v>20409</v>
      </c>
      <c r="F406" s="482">
        <v>90108</v>
      </c>
      <c r="G406" s="470" t="s">
        <v>20907</v>
      </c>
      <c r="H406" s="482" t="s">
        <v>15528</v>
      </c>
      <c r="I406" s="483">
        <f>((1.9+0.8)*(8.7+0.8))*(2.2+0.18+0.15+0.05)</f>
        <v>66.177000000000007</v>
      </c>
      <c r="J406" s="473">
        <f t="shared" si="786"/>
        <v>7.8099999999999996</v>
      </c>
      <c r="K406" s="474">
        <f t="shared" si="788"/>
        <v>516.84237000000007</v>
      </c>
      <c r="L406" s="475">
        <f t="shared" si="787"/>
        <v>7.6100000000000003</v>
      </c>
      <c r="M406" s="474">
        <f t="shared" si="789"/>
        <v>503.60697000000005</v>
      </c>
      <c r="O406" s="434">
        <f t="shared" si="778"/>
        <v>7.8099999999999996</v>
      </c>
      <c r="P406" s="435">
        <f t="shared" si="779"/>
        <v>7.6100000000000003</v>
      </c>
      <c r="AE406" s="217"/>
      <c r="AF406" s="217">
        <v>1042</v>
      </c>
      <c r="AH406">
        <f t="shared" si="775"/>
        <v>1042</v>
      </c>
    </row>
    <row r="407" ht="105" hidden="1">
      <c r="A407" s="217"/>
      <c r="B407" s="217">
        <v>1042</v>
      </c>
      <c r="C407" s="217"/>
      <c r="D407" s="217" t="s">
        <v>17167</v>
      </c>
      <c r="E407" s="471" t="s">
        <v>20663</v>
      </c>
      <c r="F407" s="482">
        <v>5928</v>
      </c>
      <c r="G407" s="470" t="s">
        <v>1739</v>
      </c>
      <c r="H407" s="482" t="s">
        <v>1535</v>
      </c>
      <c r="I407" s="483">
        <v>0.10000000000000001</v>
      </c>
      <c r="J407" s="473">
        <f t="shared" si="786"/>
        <v>298.70999999999998</v>
      </c>
      <c r="K407" s="474">
        <f t="shared" si="788"/>
        <v>29.870999999999999</v>
      </c>
      <c r="L407" s="475">
        <f t="shared" si="787"/>
        <v>296.98000000000002</v>
      </c>
      <c r="M407" s="474">
        <f t="shared" si="789"/>
        <v>29.698000000000004</v>
      </c>
      <c r="O407" s="434">
        <f t="shared" si="778"/>
        <v>298.70999999999998</v>
      </c>
      <c r="P407" s="435">
        <f t="shared" si="779"/>
        <v>296.98000000000002</v>
      </c>
      <c r="AE407" s="217"/>
      <c r="AF407" s="217">
        <v>1042</v>
      </c>
      <c r="AH407">
        <f t="shared" si="775"/>
        <v>1042</v>
      </c>
    </row>
    <row r="408" ht="45" hidden="1">
      <c r="A408" s="217"/>
      <c r="B408" s="217">
        <v>1042</v>
      </c>
      <c r="C408" s="217"/>
      <c r="D408" s="217" t="s">
        <v>20398</v>
      </c>
      <c r="E408" s="471" t="s">
        <v>20665</v>
      </c>
      <c r="F408" s="482">
        <v>1000</v>
      </c>
      <c r="G408" s="470" t="s">
        <v>20651</v>
      </c>
      <c r="H408" s="482" t="s">
        <v>15528</v>
      </c>
      <c r="I408" s="483">
        <f>I414+I415</f>
        <v>11.051299999999999</v>
      </c>
      <c r="J408" s="473">
        <f t="shared" si="786"/>
        <v>149.904</v>
      </c>
      <c r="K408" s="474">
        <f t="shared" si="788"/>
        <v>1656.6340751999999</v>
      </c>
      <c r="L408" s="475">
        <f t="shared" si="787"/>
        <v>141.76949999999999</v>
      </c>
      <c r="M408" s="474">
        <f t="shared" si="789"/>
        <v>1566.7372753499999</v>
      </c>
      <c r="O408" s="434">
        <f t="shared" si="778"/>
        <v>149.904</v>
      </c>
      <c r="P408" s="435">
        <f t="shared" si="779"/>
        <v>141.76949999999999</v>
      </c>
      <c r="AE408" s="217"/>
      <c r="AF408" s="217">
        <v>1042</v>
      </c>
      <c r="AH408">
        <f t="shared" si="775"/>
        <v>1042</v>
      </c>
    </row>
    <row r="409" ht="60" hidden="1">
      <c r="A409" s="217"/>
      <c r="B409" s="217">
        <v>1042</v>
      </c>
      <c r="C409" s="217"/>
      <c r="D409" s="217" t="s">
        <v>17167</v>
      </c>
      <c r="E409" s="471" t="s">
        <v>20667</v>
      </c>
      <c r="F409" s="482">
        <v>87313</v>
      </c>
      <c r="G409" s="470" t="s">
        <v>20909</v>
      </c>
      <c r="H409" s="482" t="s">
        <v>15528</v>
      </c>
      <c r="I409" s="483">
        <f>(1.9*2+8.7*2)*1.7*0.02</f>
        <v>0.7208</v>
      </c>
      <c r="J409" s="473">
        <f t="shared" si="786"/>
        <v>549.88</v>
      </c>
      <c r="K409" s="474">
        <f t="shared" si="788"/>
        <v>396.35350399999999</v>
      </c>
      <c r="L409" s="475">
        <f t="shared" si="787"/>
        <v>542.65999999999997</v>
      </c>
      <c r="M409" s="474">
        <f t="shared" si="789"/>
        <v>391.14932799999997</v>
      </c>
      <c r="O409" s="434">
        <f t="shared" si="778"/>
        <v>549.88</v>
      </c>
      <c r="P409" s="435">
        <f t="shared" si="779"/>
        <v>542.65999999999997</v>
      </c>
      <c r="AE409" s="217"/>
      <c r="AF409" s="217">
        <v>1042</v>
      </c>
      <c r="AH409">
        <f t="shared" si="775"/>
        <v>1042</v>
      </c>
    </row>
    <row r="410" ht="75" hidden="1">
      <c r="A410" s="217"/>
      <c r="B410" s="217">
        <v>1042</v>
      </c>
      <c r="C410" s="217"/>
      <c r="D410" s="217" t="s">
        <v>17167</v>
      </c>
      <c r="E410" s="471" t="s">
        <v>20671</v>
      </c>
      <c r="F410" s="482">
        <v>87878</v>
      </c>
      <c r="G410" s="470" t="s">
        <v>20910</v>
      </c>
      <c r="H410" s="482" t="s">
        <v>15515</v>
      </c>
      <c r="I410" s="483">
        <f>(1.9*2+8.7*2)*1.7</f>
        <v>36.039999999999999</v>
      </c>
      <c r="J410" s="473">
        <f t="shared" si="786"/>
        <v>5.0099999999999998</v>
      </c>
      <c r="K410" s="474">
        <f t="shared" si="788"/>
        <v>180.56039999999999</v>
      </c>
      <c r="L410" s="475">
        <f t="shared" si="787"/>
        <v>4.7999999999999998</v>
      </c>
      <c r="M410" s="474">
        <f t="shared" si="789"/>
        <v>172.99199999999999</v>
      </c>
      <c r="O410" s="434">
        <f t="shared" si="778"/>
        <v>5.0099999999999998</v>
      </c>
      <c r="P410" s="435">
        <f t="shared" si="779"/>
        <v>4.7999999999999998</v>
      </c>
      <c r="AE410" s="217"/>
      <c r="AF410" s="217">
        <v>1042</v>
      </c>
      <c r="AH410">
        <f t="shared" si="775"/>
        <v>1042</v>
      </c>
    </row>
    <row r="411" ht="45" hidden="1">
      <c r="A411" s="217"/>
      <c r="B411" s="217">
        <v>1042</v>
      </c>
      <c r="C411" s="217"/>
      <c r="D411" s="217" t="s">
        <v>17167</v>
      </c>
      <c r="E411" s="471" t="s">
        <v>20672</v>
      </c>
      <c r="F411" s="482">
        <v>96543</v>
      </c>
      <c r="G411" s="470" t="s">
        <v>20676</v>
      </c>
      <c r="H411" s="482" t="s">
        <v>302</v>
      </c>
      <c r="I411" s="483">
        <v>18.699999999999999</v>
      </c>
      <c r="J411" s="473">
        <f t="shared" si="786"/>
        <v>19.829999999999998</v>
      </c>
      <c r="K411" s="474">
        <f t="shared" si="788"/>
        <v>370.82099999999997</v>
      </c>
      <c r="L411" s="475">
        <f t="shared" si="787"/>
        <v>19.210000000000001</v>
      </c>
      <c r="M411" s="474">
        <f t="shared" si="789"/>
        <v>359.22699999999998</v>
      </c>
      <c r="O411" s="434">
        <f t="shared" si="778"/>
        <v>19.829999999999998</v>
      </c>
      <c r="P411" s="435">
        <f t="shared" si="779"/>
        <v>19.210000000000001</v>
      </c>
      <c r="AE411" s="217"/>
      <c r="AF411" s="217">
        <v>1042</v>
      </c>
      <c r="AH411">
        <f t="shared" si="775"/>
        <v>1042</v>
      </c>
    </row>
    <row r="412" ht="45" hidden="1">
      <c r="A412" s="217"/>
      <c r="B412" s="217">
        <v>1042</v>
      </c>
      <c r="C412" s="217"/>
      <c r="D412" s="217" t="s">
        <v>17167</v>
      </c>
      <c r="E412" s="471" t="s">
        <v>20673</v>
      </c>
      <c r="F412" s="482">
        <v>96544</v>
      </c>
      <c r="G412" s="470" t="s">
        <v>20763</v>
      </c>
      <c r="H412" s="482" t="s">
        <v>302</v>
      </c>
      <c r="I412" s="483">
        <v>192.05000000000001</v>
      </c>
      <c r="J412" s="473">
        <f t="shared" si="786"/>
        <v>17.699999999999999</v>
      </c>
      <c r="K412" s="474">
        <f t="shared" si="788"/>
        <v>3399.2849999999999</v>
      </c>
      <c r="L412" s="475">
        <f t="shared" si="787"/>
        <v>17.23</v>
      </c>
      <c r="M412" s="474">
        <f t="shared" si="789"/>
        <v>3309.0215000000003</v>
      </c>
      <c r="O412" s="434">
        <f t="shared" si="778"/>
        <v>17.699999999999999</v>
      </c>
      <c r="P412" s="435">
        <f t="shared" si="779"/>
        <v>17.23</v>
      </c>
      <c r="AE412" s="217"/>
      <c r="AF412" s="217">
        <v>1042</v>
      </c>
      <c r="AH412">
        <f t="shared" si="775"/>
        <v>1042</v>
      </c>
    </row>
    <row r="413" ht="45" hidden="1">
      <c r="A413" s="217"/>
      <c r="B413" s="217">
        <v>1042</v>
      </c>
      <c r="C413" s="217"/>
      <c r="D413" s="217" t="s">
        <v>17167</v>
      </c>
      <c r="E413" s="471" t="s">
        <v>20675</v>
      </c>
      <c r="F413" s="482">
        <v>93382</v>
      </c>
      <c r="G413" s="470" t="s">
        <v>20722</v>
      </c>
      <c r="H413" s="482" t="s">
        <v>15528</v>
      </c>
      <c r="I413" s="483">
        <f>I406-2.7*9.5*0.2-2.3*9.1*1.88-3.141592654*1*1/4*0.5</f>
        <v>21.305900900000001</v>
      </c>
      <c r="J413" s="473">
        <f t="shared" si="786"/>
        <v>27.52</v>
      </c>
      <c r="K413" s="474">
        <f t="shared" si="788"/>
        <v>586.33839276800006</v>
      </c>
      <c r="L413" s="475">
        <f t="shared" si="787"/>
        <v>26.190000000000001</v>
      </c>
      <c r="M413" s="474">
        <f t="shared" si="789"/>
        <v>558.00154457100007</v>
      </c>
      <c r="O413" s="434">
        <f t="shared" si="778"/>
        <v>27.52</v>
      </c>
      <c r="P413" s="435">
        <f t="shared" si="779"/>
        <v>26.190000000000001</v>
      </c>
      <c r="AE413" s="217"/>
      <c r="AF413" s="217">
        <v>1042</v>
      </c>
      <c r="AH413">
        <f t="shared" si="775"/>
        <v>1042</v>
      </c>
    </row>
    <row r="414" ht="60" hidden="1">
      <c r="A414" s="217"/>
      <c r="B414" s="217">
        <v>1042</v>
      </c>
      <c r="C414" s="217"/>
      <c r="D414" s="217" t="s">
        <v>17167</v>
      </c>
      <c r="E414" s="471" t="s">
        <v>20677</v>
      </c>
      <c r="F414" s="482">
        <v>94963</v>
      </c>
      <c r="G414" s="470" t="s">
        <v>20911</v>
      </c>
      <c r="H414" s="482" t="s">
        <v>15528</v>
      </c>
      <c r="I414" s="483">
        <f>(1.9+0.8)*(8.7+0.8)*0.15+2.3*9.1*0.18</f>
        <v>7.6148999999999996</v>
      </c>
      <c r="J414" s="473">
        <f t="shared" si="786"/>
        <v>441.43000000000001</v>
      </c>
      <c r="K414" s="474">
        <f t="shared" si="788"/>
        <v>3361.445307</v>
      </c>
      <c r="L414" s="475">
        <f t="shared" si="787"/>
        <v>436.14999999999998</v>
      </c>
      <c r="M414" s="474">
        <f t="shared" si="789"/>
        <v>3321.2386349999997</v>
      </c>
      <c r="O414" s="434">
        <f t="shared" si="778"/>
        <v>441.43000000000001</v>
      </c>
      <c r="P414" s="435">
        <f t="shared" si="779"/>
        <v>436.14999999999998</v>
      </c>
      <c r="AE414" s="217"/>
      <c r="AF414" s="217">
        <v>1042</v>
      </c>
      <c r="AH414">
        <f t="shared" si="775"/>
        <v>1042</v>
      </c>
    </row>
    <row r="415" ht="60" hidden="1">
      <c r="A415" s="217"/>
      <c r="B415" s="217">
        <v>1042</v>
      </c>
      <c r="C415" s="217"/>
      <c r="D415" s="217" t="s">
        <v>17167</v>
      </c>
      <c r="E415" s="471" t="s">
        <v>20679</v>
      </c>
      <c r="F415" s="482">
        <v>94964</v>
      </c>
      <c r="G415" s="470" t="s">
        <v>20686</v>
      </c>
      <c r="H415" s="482" t="s">
        <v>15528</v>
      </c>
      <c r="I415" s="483">
        <f>(2.3*2+1.5*3)*2.3*0.12+9.1*0.17*0.17*2+2.3*0.17*0.17*6</f>
        <v>3.4363999999999999</v>
      </c>
      <c r="J415" s="473">
        <f t="shared" si="786"/>
        <v>488.52999999999997</v>
      </c>
      <c r="K415" s="474">
        <f t="shared" si="788"/>
        <v>1678.7844919999998</v>
      </c>
      <c r="L415" s="475">
        <f t="shared" si="787"/>
        <v>482.79000000000002</v>
      </c>
      <c r="M415" s="474">
        <f t="shared" si="789"/>
        <v>1659.0595559999999</v>
      </c>
      <c r="O415" s="434">
        <f t="shared" si="778"/>
        <v>488.52999999999997</v>
      </c>
      <c r="P415" s="435">
        <f t="shared" si="779"/>
        <v>482.79000000000002</v>
      </c>
      <c r="AE415" s="217"/>
      <c r="AF415" s="217">
        <v>1042</v>
      </c>
      <c r="AH415">
        <f t="shared" si="775"/>
        <v>1042</v>
      </c>
    </row>
    <row r="416" ht="60" hidden="1">
      <c r="A416" s="217"/>
      <c r="B416" s="217">
        <v>1042</v>
      </c>
      <c r="C416" s="217"/>
      <c r="D416" s="217" t="s">
        <v>17167</v>
      </c>
      <c r="E416" s="471" t="s">
        <v>20681</v>
      </c>
      <c r="F416" s="482">
        <v>96533</v>
      </c>
      <c r="G416" s="470" t="s">
        <v>20912</v>
      </c>
      <c r="H416" s="482" t="s">
        <v>15515</v>
      </c>
      <c r="I416" s="483">
        <f>9.1*2.3+(9.1*2+2.3*2)*0.12+(9.1*2+2.3*2)*0.17*2+0.17*3*1.9*4+0.18*(2.3*2+9.1*2)</f>
        <v>39.398000000000003</v>
      </c>
      <c r="J416" s="473">
        <f t="shared" si="786"/>
        <v>85.980000000000004</v>
      </c>
      <c r="K416" s="474">
        <f t="shared" si="788"/>
        <v>3387.4400400000004</v>
      </c>
      <c r="L416" s="475">
        <f t="shared" si="787"/>
        <v>83.200000000000003</v>
      </c>
      <c r="M416" s="474">
        <f t="shared" si="789"/>
        <v>3277.9136000000003</v>
      </c>
      <c r="O416" s="434">
        <f t="shared" si="778"/>
        <v>85.980000000000004</v>
      </c>
      <c r="P416" s="435">
        <f t="shared" si="779"/>
        <v>83.200000000000003</v>
      </c>
      <c r="AE416" s="217"/>
      <c r="AF416" s="217">
        <v>1042</v>
      </c>
      <c r="AH416">
        <f t="shared" si="775"/>
        <v>1042</v>
      </c>
    </row>
    <row r="417" ht="47.25">
      <c r="A417" s="460">
        <v>1043</v>
      </c>
      <c r="B417" s="460">
        <v>1043</v>
      </c>
      <c r="C417" s="460"/>
      <c r="D417" s="460"/>
      <c r="E417" s="461">
        <v>1</v>
      </c>
      <c r="F417" s="462" t="s">
        <v>20527</v>
      </c>
      <c r="G417" s="477" t="s">
        <v>20919</v>
      </c>
      <c r="H417" s="478" t="s">
        <v>15515</v>
      </c>
      <c r="I417" s="479"/>
      <c r="J417" s="480"/>
      <c r="K417" s="466">
        <f>SUM(K418:K425)</f>
        <v>2.8999999999999999</v>
      </c>
      <c r="L417" s="480"/>
      <c r="M417" s="466">
        <f>SUM(M418:M425)</f>
        <v>2.9202519999999996</v>
      </c>
      <c r="N417" s="467" t="s">
        <v>20920</v>
      </c>
      <c r="O417" s="434" t="str">
        <f t="shared" si="778"/>
        <v xml:space="preserve">SEM VALOR</v>
      </c>
      <c r="P417" s="435" t="str">
        <f t="shared" si="779"/>
        <v xml:space="preserve">SEM VALOR</v>
      </c>
      <c r="AE417" s="460">
        <v>1043</v>
      </c>
      <c r="AF417" s="460"/>
      <c r="AH417">
        <f t="shared" ref="AH417:AH480" si="790">IF(AF417:AF418=FALSE,AE417,AF417)</f>
        <v>1043</v>
      </c>
    </row>
    <row r="418" ht="60">
      <c r="A418" s="217"/>
      <c r="B418" s="217">
        <v>1043</v>
      </c>
      <c r="C418" s="217"/>
      <c r="D418" s="217" t="s">
        <v>17167</v>
      </c>
      <c r="E418" s="471" t="s">
        <v>20399</v>
      </c>
      <c r="F418" s="482">
        <v>5839</v>
      </c>
      <c r="G418" s="470" t="s">
        <v>1955</v>
      </c>
      <c r="H418" s="482" t="s">
        <v>1535</v>
      </c>
      <c r="I418" s="483">
        <v>2.e-003</v>
      </c>
      <c r="J418" s="473">
        <f t="shared" si="786"/>
        <v>9.4299999999999997</v>
      </c>
      <c r="K418" s="474">
        <f>TRUNC(I418*J418,2)</f>
        <v>1.e-002</v>
      </c>
      <c r="L418" s="475">
        <f t="shared" si="787"/>
        <v>9.4299999999999997</v>
      </c>
      <c r="M418" s="474">
        <f t="shared" ref="M418:M425" si="791">L418*I418</f>
        <v>1.8859999999999998e-002</v>
      </c>
      <c r="O418" s="434">
        <f t="shared" si="778"/>
        <v>9.4299999999999997</v>
      </c>
      <c r="P418" s="435">
        <f t="shared" si="779"/>
        <v>9.4299999999999997</v>
      </c>
      <c r="AE418" s="217"/>
      <c r="AF418" s="217">
        <v>1043</v>
      </c>
      <c r="AH418">
        <f t="shared" si="790"/>
        <v>1043</v>
      </c>
    </row>
    <row r="419" ht="60">
      <c r="A419" s="217"/>
      <c r="B419" s="217">
        <v>1043</v>
      </c>
      <c r="C419" s="217"/>
      <c r="D419" s="217" t="s">
        <v>17167</v>
      </c>
      <c r="E419" s="471" t="s">
        <v>20402</v>
      </c>
      <c r="F419" s="482">
        <v>5841</v>
      </c>
      <c r="G419" s="470" t="s">
        <v>1954</v>
      </c>
      <c r="H419" s="482" t="s">
        <v>1533</v>
      </c>
      <c r="I419" s="483">
        <v>4.0000000000000001e-003</v>
      </c>
      <c r="J419" s="473">
        <f t="shared" si="786"/>
        <v>4.7400000000000002</v>
      </c>
      <c r="K419" s="474">
        <f>TRUNC(I419*J419,2)</f>
        <v>1.e-002</v>
      </c>
      <c r="L419" s="475">
        <f t="shared" si="787"/>
        <v>4.7400000000000002</v>
      </c>
      <c r="M419" s="474">
        <f t="shared" si="791"/>
        <v>1.8960000000000001e-002</v>
      </c>
      <c r="O419" s="434">
        <f t="shared" si="778"/>
        <v>4.7400000000000002</v>
      </c>
      <c r="P419" s="435">
        <f t="shared" si="779"/>
        <v>4.7400000000000002</v>
      </c>
      <c r="AE419" s="217"/>
      <c r="AF419" s="217">
        <v>1043</v>
      </c>
      <c r="AH419">
        <f t="shared" si="790"/>
        <v>1043</v>
      </c>
    </row>
    <row r="420" ht="60">
      <c r="A420" s="217"/>
      <c r="B420" s="217">
        <v>1043</v>
      </c>
      <c r="C420" s="217"/>
      <c r="D420" s="217" t="s">
        <v>20453</v>
      </c>
      <c r="E420" s="471" t="s">
        <v>20405</v>
      </c>
      <c r="F420" s="482" t="s">
        <v>20071</v>
      </c>
      <c r="G420" s="470" t="s">
        <v>20921</v>
      </c>
      <c r="H420" s="482" t="s">
        <v>302</v>
      </c>
      <c r="I420" s="483">
        <v>0.45000000000000001</v>
      </c>
      <c r="J420" s="473">
        <f t="shared" si="786"/>
        <v>4.29</v>
      </c>
      <c r="K420" s="474">
        <f>TRUNC(I420*J420,2)</f>
        <v>1.9299999999999999</v>
      </c>
      <c r="L420" s="475">
        <f t="shared" si="787"/>
        <v>4.29</v>
      </c>
      <c r="M420" s="474">
        <f t="shared" si="791"/>
        <v>1.9305000000000001</v>
      </c>
      <c r="O420" s="434">
        <f t="shared" ref="O420:O483" si="792">IFERROR(IF(D420="SINAPI",VLOOKUP(F420,SINCOMOD,4,FALSE),IF(D420="INSINAPI",VLOOKUP(F420,INSINOD,5,FALSE),IF(D420="SICRO",VLOOKUP(F420,SICRO,5,FALSE),IF(D420="COTACAO",VLOOKUP(F420,COTACAO,6,FALSE),IF(D420="PRÓPRIO",VLOOKUP(F420,COMPOD,11,FALSE),IF(D420="AGESUL",VLOOKUP(F420,AGESULOD,6,FALSE),IF(D420="INSAGESUL",VLOOKUP(F420,INSAGESUL,7,FALSE),"SEM VALOR"))))))),"SEM VALOR")</f>
        <v>4.29</v>
      </c>
      <c r="P420" s="435">
        <f t="shared" ref="P420:P483" si="793">IFERROR(IF(D420="SINAPI",VLOOKUP(F420,SINCOMOD,6,FALSE),IF(D420="INSINAPI",VLOOKUP(F420,INSINOD,6,FALSE),IF(D420="SICRO",VLOOKUP(F420,SICRO,5,FALSE),IF(D420="COTACAO",VLOOKUP(F420,COTACAO,6,FALSE),IF(D420="PRÓPRIO",VLOOKUP(F420,COMPOD,13,FALSE),IF(D420="AGESUL",VLOOKUP(F420,AGESULOD,11,FALSE),IF(D420="INSAGESUL",VLOOKUP(F420,INSAGESUL,8,FALSE),"SEM VALOR"))))))),"SEM VALOR")</f>
        <v>4.29</v>
      </c>
      <c r="AE420" s="217"/>
      <c r="AF420" s="217">
        <v>1043</v>
      </c>
      <c r="AH420">
        <f t="shared" si="790"/>
        <v>1043</v>
      </c>
    </row>
    <row r="421" ht="120">
      <c r="A421" s="217"/>
      <c r="B421" s="217">
        <v>1043</v>
      </c>
      <c r="C421" s="217"/>
      <c r="D421" s="217" t="s">
        <v>17167</v>
      </c>
      <c r="E421" s="471" t="s">
        <v>20409</v>
      </c>
      <c r="F421" s="482">
        <v>83362</v>
      </c>
      <c r="G421" s="470" t="s">
        <v>20922</v>
      </c>
      <c r="H421" s="482" t="s">
        <v>1535</v>
      </c>
      <c r="I421" s="483">
        <v>1.e-004</v>
      </c>
      <c r="J421" s="473">
        <f t="shared" si="786"/>
        <v>290.72000000000003</v>
      </c>
      <c r="K421" s="474">
        <f>TRUNC(I421*J421,2)</f>
        <v>2.e-002</v>
      </c>
      <c r="L421" s="475">
        <f t="shared" si="787"/>
        <v>289.12</v>
      </c>
      <c r="M421" s="474">
        <f t="shared" si="791"/>
        <v>2.8912e-002</v>
      </c>
      <c r="O421" s="434">
        <f t="shared" si="792"/>
        <v>290.72000000000003</v>
      </c>
      <c r="P421" s="435">
        <f t="shared" si="793"/>
        <v>289.12</v>
      </c>
      <c r="AE421" s="217"/>
      <c r="AF421" s="217">
        <v>1043</v>
      </c>
      <c r="AH421">
        <f t="shared" si="790"/>
        <v>1043</v>
      </c>
    </row>
    <row r="422" ht="30">
      <c r="A422" s="217"/>
      <c r="B422" s="217">
        <v>1043</v>
      </c>
      <c r="C422" s="217"/>
      <c r="D422" s="217" t="s">
        <v>17167</v>
      </c>
      <c r="E422" s="471" t="s">
        <v>20663</v>
      </c>
      <c r="F422" s="482">
        <v>88316</v>
      </c>
      <c r="G422" s="470" t="s">
        <v>7393</v>
      </c>
      <c r="H422" s="482" t="s">
        <v>2032</v>
      </c>
      <c r="I422" s="483">
        <v>6.0000000000000001e-003</v>
      </c>
      <c r="J422" s="473">
        <f t="shared" si="786"/>
        <v>22.760000000000002</v>
      </c>
      <c r="K422" s="474">
        <f>TRUNC(I422*J422,2)</f>
        <v>0.13</v>
      </c>
      <c r="L422" s="475">
        <f t="shared" si="787"/>
        <v>21.550000000000001</v>
      </c>
      <c r="M422" s="474">
        <f t="shared" si="791"/>
        <v>0.1293</v>
      </c>
      <c r="O422" s="434">
        <f t="shared" si="792"/>
        <v>22.760000000000002</v>
      </c>
      <c r="P422" s="435">
        <f t="shared" si="793"/>
        <v>21.550000000000001</v>
      </c>
      <c r="AE422" s="217"/>
      <c r="AF422" s="217">
        <v>1043</v>
      </c>
      <c r="AH422">
        <f t="shared" si="790"/>
        <v>1043</v>
      </c>
    </row>
    <row r="423" ht="45">
      <c r="A423" s="217"/>
      <c r="B423" s="217">
        <v>1043</v>
      </c>
      <c r="C423" s="217"/>
      <c r="D423" s="217" t="s">
        <v>17167</v>
      </c>
      <c r="E423" s="471" t="s">
        <v>20665</v>
      </c>
      <c r="F423" s="482">
        <v>89035</v>
      </c>
      <c r="G423" s="470" t="s">
        <v>1935</v>
      </c>
      <c r="H423" s="482" t="s">
        <v>1535</v>
      </c>
      <c r="I423" s="483">
        <v>2.e-003</v>
      </c>
      <c r="J423" s="473">
        <f t="shared" si="786"/>
        <v>138.31</v>
      </c>
      <c r="K423" s="474">
        <f>TRUNC(I423*J423,2)</f>
        <v>0.27000000000000002</v>
      </c>
      <c r="L423" s="475">
        <f t="shared" si="787"/>
        <v>136.41</v>
      </c>
      <c r="M423" s="474">
        <f t="shared" si="791"/>
        <v>0.27282000000000001</v>
      </c>
      <c r="O423" s="434">
        <f t="shared" si="792"/>
        <v>138.31</v>
      </c>
      <c r="P423" s="435">
        <f t="shared" si="793"/>
        <v>136.41</v>
      </c>
      <c r="AE423" s="217"/>
      <c r="AF423" s="217">
        <v>1043</v>
      </c>
      <c r="AH423">
        <f t="shared" si="790"/>
        <v>1043</v>
      </c>
    </row>
    <row r="424" ht="45">
      <c r="A424" s="217"/>
      <c r="B424" s="217">
        <v>1043</v>
      </c>
      <c r="C424" s="217"/>
      <c r="D424" s="217" t="s">
        <v>17167</v>
      </c>
      <c r="E424" s="471" t="s">
        <v>20667</v>
      </c>
      <c r="F424" s="482">
        <v>89036</v>
      </c>
      <c r="G424" s="470" t="s">
        <v>1934</v>
      </c>
      <c r="H424" s="482" t="s">
        <v>1533</v>
      </c>
      <c r="I424" s="483">
        <v>4.0000000000000001e-003</v>
      </c>
      <c r="J424" s="473">
        <f t="shared" si="786"/>
        <v>47.5</v>
      </c>
      <c r="K424" s="474">
        <f>TRUNC(I424*J424,2)</f>
        <v>0.19</v>
      </c>
      <c r="L424" s="475">
        <f t="shared" si="787"/>
        <v>45.600000000000001</v>
      </c>
      <c r="M424" s="474">
        <f t="shared" si="791"/>
        <v>0.18240000000000001</v>
      </c>
      <c r="O424" s="434">
        <f t="shared" si="792"/>
        <v>47.5</v>
      </c>
      <c r="P424" s="435">
        <f t="shared" si="793"/>
        <v>45.600000000000001</v>
      </c>
      <c r="AE424" s="217"/>
      <c r="AF424" s="217">
        <v>1043</v>
      </c>
      <c r="AH424">
        <f t="shared" si="790"/>
        <v>1043</v>
      </c>
    </row>
    <row r="425" ht="120">
      <c r="A425" s="217"/>
      <c r="B425" s="217">
        <v>1043</v>
      </c>
      <c r="C425" s="217"/>
      <c r="D425" s="217" t="s">
        <v>17167</v>
      </c>
      <c r="E425" s="471" t="s">
        <v>20671</v>
      </c>
      <c r="F425" s="482">
        <v>91486</v>
      </c>
      <c r="G425" s="470" t="s">
        <v>20923</v>
      </c>
      <c r="H425" s="482" t="s">
        <v>1533</v>
      </c>
      <c r="I425" s="483">
        <v>5.0000000000000001e-003</v>
      </c>
      <c r="J425" s="473">
        <f t="shared" si="786"/>
        <v>69.299999999999997</v>
      </c>
      <c r="K425" s="474">
        <f>TRUNC(I425*J425,2)</f>
        <v>0.34000000000000002</v>
      </c>
      <c r="L425" s="475">
        <f t="shared" si="787"/>
        <v>67.700000000000003</v>
      </c>
      <c r="M425" s="474">
        <f t="shared" si="791"/>
        <v>0.33850000000000002</v>
      </c>
      <c r="O425" s="434">
        <f t="shared" si="792"/>
        <v>69.299999999999997</v>
      </c>
      <c r="P425" s="435">
        <f t="shared" si="793"/>
        <v>67.700000000000003</v>
      </c>
      <c r="AE425" s="217"/>
      <c r="AF425" s="217">
        <v>1043</v>
      </c>
      <c r="AH425">
        <f t="shared" si="790"/>
        <v>1043</v>
      </c>
    </row>
    <row r="426" ht="141.75" hidden="1">
      <c r="A426" s="460">
        <v>1044</v>
      </c>
      <c r="B426" s="460">
        <v>1044</v>
      </c>
      <c r="C426" s="460"/>
      <c r="D426" s="460"/>
      <c r="E426" s="461">
        <v>1</v>
      </c>
      <c r="F426" s="462" t="s">
        <v>20924</v>
      </c>
      <c r="G426" s="477" t="s">
        <v>20925</v>
      </c>
      <c r="H426" s="478" t="s">
        <v>31</v>
      </c>
      <c r="I426" s="479"/>
      <c r="J426" s="480"/>
      <c r="K426" s="466">
        <f>SUM(K427:K432)</f>
        <v>333.26943119999999</v>
      </c>
      <c r="L426" s="480"/>
      <c r="M426" s="466">
        <f>SUM(M427:M432)</f>
        <v>321.71030239999999</v>
      </c>
      <c r="N426" s="467" t="s">
        <v>20926</v>
      </c>
      <c r="O426" s="434" t="str">
        <f t="shared" si="792"/>
        <v xml:space="preserve">SEM VALOR</v>
      </c>
      <c r="P426" s="435" t="str">
        <f t="shared" si="793"/>
        <v xml:space="preserve">SEM VALOR</v>
      </c>
      <c r="AE426" s="460">
        <v>1044</v>
      </c>
      <c r="AF426" s="460"/>
      <c r="AH426">
        <f t="shared" si="790"/>
        <v>1044</v>
      </c>
    </row>
    <row r="427" ht="45" hidden="1">
      <c r="A427" s="217"/>
      <c r="B427" s="217">
        <v>1044</v>
      </c>
      <c r="C427" s="217"/>
      <c r="D427" s="217" t="s">
        <v>17167</v>
      </c>
      <c r="E427" s="471" t="s">
        <v>20399</v>
      </c>
      <c r="F427" s="482">
        <v>93358</v>
      </c>
      <c r="G427" s="470" t="s">
        <v>20927</v>
      </c>
      <c r="H427" s="482" t="s">
        <v>15528</v>
      </c>
      <c r="I427" s="483">
        <f>(0.15+0.2)*0.25*5.6</f>
        <v>0.48999999999999999</v>
      </c>
      <c r="J427" s="473">
        <f t="shared" si="786"/>
        <v>90.030000000000001</v>
      </c>
      <c r="K427" s="474">
        <f t="shared" ref="K427:K432" si="794">I427*J427</f>
        <v>44.114699999999999</v>
      </c>
      <c r="L427" s="475">
        <f t="shared" si="787"/>
        <v>85.239999999999995</v>
      </c>
      <c r="M427" s="474">
        <f t="shared" ref="M427:M432" si="795">L427*I427</f>
        <v>41.767599999999995</v>
      </c>
      <c r="O427" s="434">
        <f t="shared" si="792"/>
        <v>90.030000000000001</v>
      </c>
      <c r="P427" s="435">
        <f t="shared" si="793"/>
        <v>85.239999999999995</v>
      </c>
      <c r="AE427" s="217"/>
      <c r="AF427" s="217">
        <v>1044</v>
      </c>
      <c r="AH427">
        <f t="shared" si="790"/>
        <v>1044</v>
      </c>
    </row>
    <row r="428" ht="30" hidden="1">
      <c r="A428" s="217"/>
      <c r="B428" s="217">
        <v>1044</v>
      </c>
      <c r="C428" s="217"/>
      <c r="D428" s="217" t="s">
        <v>20398</v>
      </c>
      <c r="E428" s="471" t="s">
        <v>20402</v>
      </c>
      <c r="F428" s="482">
        <v>1376</v>
      </c>
      <c r="G428" s="470" t="s">
        <v>20928</v>
      </c>
      <c r="H428" s="482" t="s">
        <v>15528</v>
      </c>
      <c r="I428" s="483">
        <f>I427-0.25*0.15*5.6</f>
        <v>0.28000000000000003</v>
      </c>
      <c r="J428" s="473">
        <f t="shared" si="786"/>
        <v>54.592136000000004</v>
      </c>
      <c r="K428" s="474">
        <f t="shared" si="794"/>
        <v>15.285798080000003</v>
      </c>
      <c r="L428" s="475">
        <f t="shared" si="787"/>
        <v>51.689830000000001</v>
      </c>
      <c r="M428" s="474">
        <f t="shared" si="795"/>
        <v>14.473152400000002</v>
      </c>
      <c r="O428" s="434">
        <f t="shared" si="792"/>
        <v>54.592136000000004</v>
      </c>
      <c r="P428" s="435">
        <f t="shared" si="793"/>
        <v>51.689830000000001</v>
      </c>
      <c r="AE428" s="217"/>
      <c r="AF428" s="217">
        <v>1044</v>
      </c>
      <c r="AH428">
        <f t="shared" si="790"/>
        <v>1044</v>
      </c>
    </row>
    <row r="429" ht="45" hidden="1">
      <c r="A429" s="217"/>
      <c r="B429" s="217">
        <v>1044</v>
      </c>
      <c r="C429" s="217"/>
      <c r="D429" s="217" t="s">
        <v>17167</v>
      </c>
      <c r="E429" s="471" t="s">
        <v>20405</v>
      </c>
      <c r="F429" s="482">
        <v>101616</v>
      </c>
      <c r="G429" s="470" t="s">
        <v>20929</v>
      </c>
      <c r="H429" s="482" t="s">
        <v>15515</v>
      </c>
      <c r="I429" s="483">
        <f>5.6*0.15</f>
        <v>0.83999999999999997</v>
      </c>
      <c r="J429" s="473">
        <f t="shared" si="786"/>
        <v>7.7800000000000002</v>
      </c>
      <c r="K429" s="474">
        <f t="shared" si="794"/>
        <v>6.5351999999999997</v>
      </c>
      <c r="L429" s="475">
        <f t="shared" si="787"/>
        <v>7.3499999999999996</v>
      </c>
      <c r="M429" s="474">
        <f t="shared" si="795"/>
        <v>6.1739999999999995</v>
      </c>
      <c r="O429" s="434">
        <f t="shared" si="792"/>
        <v>7.7800000000000002</v>
      </c>
      <c r="P429" s="435">
        <f t="shared" si="793"/>
        <v>7.3499999999999996</v>
      </c>
      <c r="AE429" s="217"/>
      <c r="AF429" s="217">
        <v>1044</v>
      </c>
      <c r="AH429">
        <f t="shared" si="790"/>
        <v>1044</v>
      </c>
    </row>
    <row r="430" ht="75" hidden="1">
      <c r="A430" s="217"/>
      <c r="B430" s="217">
        <v>1044</v>
      </c>
      <c r="C430" s="217"/>
      <c r="D430" s="217" t="s">
        <v>20398</v>
      </c>
      <c r="E430" s="471" t="s">
        <v>20409</v>
      </c>
      <c r="F430" s="482">
        <v>1065</v>
      </c>
      <c r="G430" s="470" t="s">
        <v>20800</v>
      </c>
      <c r="H430" s="482" t="s">
        <v>15515</v>
      </c>
      <c r="I430" s="483">
        <f>5.6*0.25</f>
        <v>1.3999999999999999</v>
      </c>
      <c r="J430" s="473">
        <f t="shared" si="786"/>
        <v>104.37038079999999</v>
      </c>
      <c r="K430" s="474">
        <f t="shared" si="794"/>
        <v>146.11853311999997</v>
      </c>
      <c r="L430" s="475">
        <f t="shared" si="787"/>
        <v>101.735</v>
      </c>
      <c r="M430" s="474">
        <f t="shared" si="795"/>
        <v>142.429</v>
      </c>
      <c r="O430" s="434">
        <f t="shared" si="792"/>
        <v>104.37038079999999</v>
      </c>
      <c r="P430" s="435">
        <f t="shared" si="793"/>
        <v>101.735</v>
      </c>
      <c r="AE430" s="217"/>
      <c r="AF430" s="217">
        <v>1044</v>
      </c>
      <c r="AH430">
        <f t="shared" si="790"/>
        <v>1044</v>
      </c>
    </row>
    <row r="431" ht="90" hidden="1">
      <c r="A431" s="217"/>
      <c r="B431" s="217">
        <v>1044</v>
      </c>
      <c r="C431" s="217"/>
      <c r="D431" s="217" t="s">
        <v>17167</v>
      </c>
      <c r="E431" s="471" t="s">
        <v>20663</v>
      </c>
      <c r="F431" s="482">
        <v>87894</v>
      </c>
      <c r="G431" s="470" t="s">
        <v>20930</v>
      </c>
      <c r="H431" s="482" t="s">
        <v>15515</v>
      </c>
      <c r="I431" s="483">
        <f>5.6*0.25+5.6*0.15+1.5*0.15+1.8*0.15/2*2</f>
        <v>2.7349999999999999</v>
      </c>
      <c r="J431" s="473">
        <f t="shared" si="786"/>
        <v>7.0499999999999998</v>
      </c>
      <c r="K431" s="474">
        <f t="shared" si="794"/>
        <v>19.281749999999999</v>
      </c>
      <c r="L431" s="475">
        <f t="shared" si="787"/>
        <v>6.7400000000000002</v>
      </c>
      <c r="M431" s="474">
        <f t="shared" si="795"/>
        <v>18.433900000000001</v>
      </c>
      <c r="O431" s="434">
        <f t="shared" si="792"/>
        <v>7.0499999999999998</v>
      </c>
      <c r="P431" s="435">
        <f t="shared" si="793"/>
        <v>6.7400000000000002</v>
      </c>
      <c r="AE431" s="217"/>
      <c r="AF431" s="217">
        <v>1044</v>
      </c>
      <c r="AH431">
        <f t="shared" si="790"/>
        <v>1044</v>
      </c>
    </row>
    <row r="432" ht="105" hidden="1">
      <c r="A432" s="217"/>
      <c r="B432" s="217">
        <v>1044</v>
      </c>
      <c r="C432" s="217"/>
      <c r="D432" s="217" t="s">
        <v>17167</v>
      </c>
      <c r="E432" s="471" t="s">
        <v>20665</v>
      </c>
      <c r="F432" s="482">
        <v>87529</v>
      </c>
      <c r="G432" s="470" t="s">
        <v>20931</v>
      </c>
      <c r="H432" s="482" t="s">
        <v>15515</v>
      </c>
      <c r="I432" s="483">
        <f>I431</f>
        <v>2.7349999999999999</v>
      </c>
      <c r="J432" s="473">
        <f t="shared" si="786"/>
        <v>37.270000000000003</v>
      </c>
      <c r="K432" s="474">
        <f t="shared" si="794"/>
        <v>101.93345000000001</v>
      </c>
      <c r="L432" s="475">
        <f t="shared" si="787"/>
        <v>35.990000000000002</v>
      </c>
      <c r="M432" s="474">
        <f t="shared" si="795"/>
        <v>98.432649999999995</v>
      </c>
      <c r="O432" s="434">
        <f t="shared" si="792"/>
        <v>37.270000000000003</v>
      </c>
      <c r="P432" s="435">
        <f t="shared" si="793"/>
        <v>35.990000000000002</v>
      </c>
      <c r="AE432" s="217"/>
      <c r="AF432" s="217">
        <v>1044</v>
      </c>
      <c r="AH432">
        <f t="shared" si="790"/>
        <v>1044</v>
      </c>
    </row>
    <row r="433" ht="63">
      <c r="A433" s="460">
        <v>1045</v>
      </c>
      <c r="B433" s="460">
        <v>1045</v>
      </c>
      <c r="C433" s="460"/>
      <c r="D433" s="460"/>
      <c r="E433" s="461">
        <v>1</v>
      </c>
      <c r="F433" s="462" t="s">
        <v>20589</v>
      </c>
      <c r="G433" s="477" t="s">
        <v>20932</v>
      </c>
      <c r="H433" s="478" t="s">
        <v>15515</v>
      </c>
      <c r="I433" s="479"/>
      <c r="J433" s="480"/>
      <c r="K433" s="466">
        <f>SUM(K434:K439)</f>
        <v>15.35</v>
      </c>
      <c r="L433" s="480"/>
      <c r="M433" s="466">
        <f>SUM(M434:M439)</f>
        <v>15.317222955</v>
      </c>
      <c r="N433" s="467" t="s">
        <v>20933</v>
      </c>
      <c r="O433" s="434" t="str">
        <f t="shared" si="792"/>
        <v xml:space="preserve">SEM VALOR</v>
      </c>
      <c r="P433" s="435" t="str">
        <f t="shared" si="793"/>
        <v xml:space="preserve">SEM VALOR</v>
      </c>
      <c r="AE433" s="460">
        <v>1045</v>
      </c>
      <c r="AF433" s="460"/>
      <c r="AH433">
        <f t="shared" si="790"/>
        <v>1045</v>
      </c>
    </row>
    <row r="434" ht="75">
      <c r="A434" s="217"/>
      <c r="B434" s="217">
        <v>1045</v>
      </c>
      <c r="C434" s="217"/>
      <c r="D434" s="217" t="s">
        <v>17167</v>
      </c>
      <c r="E434" s="471" t="s">
        <v>20399</v>
      </c>
      <c r="F434" s="482">
        <v>5940</v>
      </c>
      <c r="G434" s="470" t="s">
        <v>1863</v>
      </c>
      <c r="H434" s="482" t="s">
        <v>1535</v>
      </c>
      <c r="I434" s="483">
        <f t="shared" ref="I434:I435" si="796">1/$N$436</f>
        <v>2.8689999999999998e-004</v>
      </c>
      <c r="J434" s="473">
        <f t="shared" si="786"/>
        <v>171.97999999999999</v>
      </c>
      <c r="K434" s="474">
        <f>TRUNC(I434*J434,2)</f>
        <v>4.0000000000000001e-002</v>
      </c>
      <c r="L434" s="475">
        <f t="shared" si="787"/>
        <v>170.09</v>
      </c>
      <c r="M434" s="474">
        <f t="shared" ref="M434:M439" si="797">L434*I434</f>
        <v>4.8798820999999999e-002</v>
      </c>
      <c r="N434" s="467" t="s">
        <v>20934</v>
      </c>
      <c r="O434" s="434">
        <f t="shared" si="792"/>
        <v>171.97999999999999</v>
      </c>
      <c r="P434" s="435">
        <f t="shared" si="793"/>
        <v>170.09</v>
      </c>
      <c r="AE434" s="217"/>
      <c r="AF434" s="217">
        <v>1045</v>
      </c>
      <c r="AH434">
        <f t="shared" si="790"/>
        <v>1045</v>
      </c>
    </row>
    <row r="435" ht="90">
      <c r="A435" s="217"/>
      <c r="B435" s="217">
        <v>1045</v>
      </c>
      <c r="C435" s="217"/>
      <c r="D435" s="217" t="s">
        <v>17167</v>
      </c>
      <c r="E435" s="471" t="s">
        <v>20402</v>
      </c>
      <c r="F435" s="482">
        <v>6879</v>
      </c>
      <c r="G435" s="470" t="s">
        <v>1877</v>
      </c>
      <c r="H435" s="482" t="s">
        <v>1535</v>
      </c>
      <c r="I435" s="483">
        <f t="shared" si="796"/>
        <v>2.8689999999999998e-004</v>
      </c>
      <c r="J435" s="473">
        <f t="shared" si="786"/>
        <v>212.56</v>
      </c>
      <c r="K435" s="474">
        <f>TRUNC(I435*J435,2)</f>
        <v>5.9999999999999998e-002</v>
      </c>
      <c r="L435" s="475">
        <f t="shared" si="787"/>
        <v>210.86000000000001</v>
      </c>
      <c r="M435" s="474">
        <f t="shared" si="797"/>
        <v>6.0495734000000002e-002</v>
      </c>
      <c r="N435" s="467" t="s">
        <v>20935</v>
      </c>
      <c r="O435" s="434">
        <f t="shared" si="792"/>
        <v>212.56</v>
      </c>
      <c r="P435" s="435">
        <f t="shared" si="793"/>
        <v>210.86000000000001</v>
      </c>
      <c r="AE435" s="217"/>
      <c r="AF435" s="217">
        <v>1045</v>
      </c>
      <c r="AH435">
        <f t="shared" si="790"/>
        <v>1045</v>
      </c>
    </row>
    <row r="436" ht="30">
      <c r="A436" s="217"/>
      <c r="B436" s="217">
        <v>1045</v>
      </c>
      <c r="C436" s="217"/>
      <c r="D436" s="217" t="s">
        <v>17167</v>
      </c>
      <c r="E436" s="471" t="s">
        <v>20405</v>
      </c>
      <c r="F436" s="482">
        <v>88316</v>
      </c>
      <c r="G436" s="470" t="s">
        <v>7393</v>
      </c>
      <c r="H436" s="482" t="s">
        <v>2032</v>
      </c>
      <c r="I436" s="483">
        <f>6/$N$436+2*0.006667</f>
        <v>1.5055199999999999e-002</v>
      </c>
      <c r="J436" s="473">
        <f t="shared" si="786"/>
        <v>22.760000000000002</v>
      </c>
      <c r="K436" s="474">
        <f>TRUNC(I436*J436,2)</f>
        <v>0.34000000000000002</v>
      </c>
      <c r="L436" s="475">
        <f t="shared" si="787"/>
        <v>21.550000000000001</v>
      </c>
      <c r="M436" s="474">
        <f t="shared" si="797"/>
        <v>0.32443956000000002</v>
      </c>
      <c r="N436" s="467">
        <v>3486</v>
      </c>
      <c r="O436" s="434">
        <f t="shared" si="792"/>
        <v>22.760000000000002</v>
      </c>
      <c r="P436" s="435">
        <f t="shared" si="793"/>
        <v>21.550000000000001</v>
      </c>
      <c r="AE436" s="217"/>
      <c r="AF436" s="217">
        <v>1045</v>
      </c>
      <c r="AH436">
        <f t="shared" si="790"/>
        <v>1045</v>
      </c>
    </row>
    <row r="437" ht="30">
      <c r="A437" s="217"/>
      <c r="B437" s="217">
        <v>1045</v>
      </c>
      <c r="C437" s="217"/>
      <c r="D437" s="217" t="s">
        <v>17167</v>
      </c>
      <c r="E437" s="471" t="s">
        <v>20409</v>
      </c>
      <c r="F437" s="482">
        <v>90776</v>
      </c>
      <c r="G437" s="470" t="s">
        <v>7322</v>
      </c>
      <c r="H437" s="482" t="s">
        <v>2032</v>
      </c>
      <c r="I437" s="483">
        <f>2*0.006667</f>
        <v>1.3334e-002</v>
      </c>
      <c r="J437" s="473">
        <f t="shared" si="786"/>
        <v>35.469999999999999</v>
      </c>
      <c r="K437" s="474">
        <f>TRUNC(I437*J437,2)</f>
        <v>0.46999999999999997</v>
      </c>
      <c r="L437" s="475">
        <f t="shared" si="787"/>
        <v>33.259999999999998</v>
      </c>
      <c r="M437" s="474">
        <f t="shared" si="797"/>
        <v>0.44348884</v>
      </c>
      <c r="O437" s="434">
        <f t="shared" si="792"/>
        <v>35.469999999999999</v>
      </c>
      <c r="P437" s="435">
        <f t="shared" si="793"/>
        <v>33.259999999999998</v>
      </c>
      <c r="AE437" s="217"/>
      <c r="AF437" s="217">
        <v>1045</v>
      </c>
      <c r="AH437">
        <f t="shared" si="790"/>
        <v>1045</v>
      </c>
    </row>
    <row r="438" ht="60">
      <c r="A438" s="217"/>
      <c r="B438" s="217">
        <v>1045</v>
      </c>
      <c r="C438" s="217"/>
      <c r="D438" s="217" t="s">
        <v>20408</v>
      </c>
      <c r="E438" s="471" t="s">
        <v>20663</v>
      </c>
      <c r="F438" s="482">
        <v>4021</v>
      </c>
      <c r="G438" s="470" t="s">
        <v>12641</v>
      </c>
      <c r="H438" s="482" t="s">
        <v>15515</v>
      </c>
      <c r="I438" s="483">
        <v>1</v>
      </c>
      <c r="J438" s="473">
        <f t="shared" si="786"/>
        <v>9.9199999999999999</v>
      </c>
      <c r="K438" s="474">
        <f>TRUNC(I438*J438,2)</f>
        <v>9.9199999999999999</v>
      </c>
      <c r="L438" s="475">
        <f t="shared" si="787"/>
        <v>9.9199999999999999</v>
      </c>
      <c r="M438" s="474">
        <f t="shared" si="797"/>
        <v>9.9199999999999999</v>
      </c>
      <c r="O438" s="434">
        <f t="shared" si="792"/>
        <v>9.9199999999999999</v>
      </c>
      <c r="P438" s="435">
        <f t="shared" si="793"/>
        <v>9.9199999999999999</v>
      </c>
      <c r="AE438" s="217"/>
      <c r="AF438" s="217">
        <v>1045</v>
      </c>
      <c r="AH438">
        <f t="shared" si="790"/>
        <v>1045</v>
      </c>
    </row>
    <row r="439" ht="45">
      <c r="A439" s="217"/>
      <c r="B439" s="217">
        <v>1045</v>
      </c>
      <c r="C439" s="217"/>
      <c r="D439" s="217" t="s">
        <v>20453</v>
      </c>
      <c r="E439" s="471" t="s">
        <v>20665</v>
      </c>
      <c r="F439" s="482" t="s">
        <v>20153</v>
      </c>
      <c r="G439" s="470" t="s">
        <v>20936</v>
      </c>
      <c r="H439" s="482" t="s">
        <v>302</v>
      </c>
      <c r="I439" s="483">
        <v>1</v>
      </c>
      <c r="J439" s="473">
        <f t="shared" si="786"/>
        <v>4.5199999999999996</v>
      </c>
      <c r="K439" s="474">
        <v>4.5199999999999996</v>
      </c>
      <c r="L439" s="475">
        <f t="shared" si="787"/>
        <v>4.5199999999999996</v>
      </c>
      <c r="M439" s="474">
        <f t="shared" si="797"/>
        <v>4.5199999999999996</v>
      </c>
      <c r="O439" s="434">
        <f t="shared" si="792"/>
        <v>4.5199999999999996</v>
      </c>
      <c r="P439" s="435">
        <f t="shared" si="793"/>
        <v>4.5199999999999996</v>
      </c>
      <c r="AE439" s="217"/>
      <c r="AF439" s="217">
        <v>1045</v>
      </c>
      <c r="AH439">
        <f t="shared" si="790"/>
        <v>1045</v>
      </c>
    </row>
    <row r="440" ht="47.25" hidden="1">
      <c r="A440" s="460">
        <v>1046</v>
      </c>
      <c r="B440" s="460">
        <v>1046</v>
      </c>
      <c r="C440" s="460"/>
      <c r="D440" s="460"/>
      <c r="E440" s="461">
        <v>1</v>
      </c>
      <c r="F440" s="462" t="s">
        <v>20937</v>
      </c>
      <c r="G440" s="477" t="s">
        <v>20938</v>
      </c>
      <c r="H440" s="478" t="s">
        <v>15515</v>
      </c>
      <c r="I440" s="479"/>
      <c r="J440" s="480"/>
      <c r="K440" s="466">
        <f>SUM(K441:K441)</f>
        <v>9.104000000000001</v>
      </c>
      <c r="L440" s="480"/>
      <c r="M440" s="466">
        <f>SUM(M441:M441)</f>
        <v>8.620000000000001</v>
      </c>
      <c r="N440" s="467" t="s">
        <v>20939</v>
      </c>
      <c r="O440" s="434" t="str">
        <f t="shared" si="792"/>
        <v xml:space="preserve">SEM VALOR</v>
      </c>
      <c r="P440" s="435" t="str">
        <f t="shared" si="793"/>
        <v xml:space="preserve">SEM VALOR</v>
      </c>
      <c r="AE440" s="460">
        <v>1046</v>
      </c>
      <c r="AF440" s="460"/>
      <c r="AH440">
        <f t="shared" si="790"/>
        <v>1046</v>
      </c>
    </row>
    <row r="441" ht="30" hidden="1">
      <c r="A441" s="217"/>
      <c r="B441" s="217">
        <v>1046</v>
      </c>
      <c r="C441" s="217"/>
      <c r="D441" s="217" t="s">
        <v>17167</v>
      </c>
      <c r="E441" s="471" t="s">
        <v>20399</v>
      </c>
      <c r="F441" s="482">
        <v>88316</v>
      </c>
      <c r="G441" s="470" t="s">
        <v>7393</v>
      </c>
      <c r="H441" s="482" t="s">
        <v>2032</v>
      </c>
      <c r="I441" s="483">
        <v>0.40000000000000002</v>
      </c>
      <c r="J441" s="473">
        <f t="shared" si="786"/>
        <v>22.760000000000002</v>
      </c>
      <c r="K441" s="474">
        <f>I441*J441</f>
        <v>9.104000000000001</v>
      </c>
      <c r="L441" s="475">
        <f t="shared" si="787"/>
        <v>21.550000000000001</v>
      </c>
      <c r="M441" s="474">
        <f>L441*I441</f>
        <v>8.620000000000001</v>
      </c>
      <c r="O441" s="434">
        <f t="shared" si="792"/>
        <v>22.760000000000002</v>
      </c>
      <c r="P441" s="435">
        <f t="shared" si="793"/>
        <v>21.550000000000001</v>
      </c>
      <c r="AE441" s="217"/>
      <c r="AF441" s="217">
        <v>1046</v>
      </c>
      <c r="AH441">
        <f t="shared" si="790"/>
        <v>1046</v>
      </c>
    </row>
    <row r="442" ht="31.5" hidden="1">
      <c r="A442" s="460">
        <v>1047</v>
      </c>
      <c r="B442" s="460">
        <v>1047</v>
      </c>
      <c r="C442" s="460"/>
      <c r="D442" s="460"/>
      <c r="E442" s="461">
        <v>1</v>
      </c>
      <c r="F442" s="462" t="s">
        <v>20940</v>
      </c>
      <c r="G442" s="477" t="s">
        <v>20941</v>
      </c>
      <c r="H442" s="478" t="s">
        <v>38</v>
      </c>
      <c r="I442" s="479"/>
      <c r="J442" s="480"/>
      <c r="K442" s="466" t="e">
        <f>SUM(K443:K449)</f>
        <v>#VALUE!</v>
      </c>
      <c r="L442" s="480"/>
      <c r="M442" s="466" t="e">
        <f>SUM(M443:M449)</f>
        <v>#VALUE!</v>
      </c>
      <c r="N442" s="467" t="s">
        <v>20942</v>
      </c>
      <c r="O442" s="434" t="str">
        <f t="shared" si="792"/>
        <v xml:space="preserve">SEM VALOR</v>
      </c>
      <c r="P442" s="435" t="str">
        <f t="shared" si="793"/>
        <v xml:space="preserve">SEM VALOR</v>
      </c>
      <c r="AE442" s="460">
        <v>1047</v>
      </c>
      <c r="AF442" s="460"/>
      <c r="AH442">
        <f t="shared" si="790"/>
        <v>1047</v>
      </c>
    </row>
    <row r="443" ht="45" hidden="1">
      <c r="A443" s="217"/>
      <c r="B443" s="217">
        <v>1047</v>
      </c>
      <c r="C443" s="217"/>
      <c r="D443" s="217" t="s">
        <v>20408</v>
      </c>
      <c r="E443" s="471" t="s">
        <v>20399</v>
      </c>
      <c r="F443" s="482">
        <v>939</v>
      </c>
      <c r="G443" s="470" t="s">
        <v>12548</v>
      </c>
      <c r="H443" s="482" t="s">
        <v>38</v>
      </c>
      <c r="I443" s="483">
        <v>0.29999999999999999</v>
      </c>
      <c r="J443" s="473">
        <f t="shared" si="786"/>
        <v>3.1299999999999999</v>
      </c>
      <c r="K443" s="474">
        <f t="shared" ref="K443:K449" si="798">I443*J443</f>
        <v>0.93899999999999995</v>
      </c>
      <c r="L443" s="475">
        <f t="shared" si="787"/>
        <v>3.1299999999999999</v>
      </c>
      <c r="M443" s="474">
        <f t="shared" ref="M443:M449" si="799">L443*I443</f>
        <v>0.93899999999999995</v>
      </c>
      <c r="O443" s="434">
        <f t="shared" si="792"/>
        <v>3.1299999999999999</v>
      </c>
      <c r="P443" s="435">
        <f t="shared" si="793"/>
        <v>3.1299999999999999</v>
      </c>
      <c r="AE443" s="217"/>
      <c r="AF443" s="217">
        <v>1047</v>
      </c>
      <c r="AH443">
        <f t="shared" si="790"/>
        <v>1047</v>
      </c>
    </row>
    <row r="444" ht="30" hidden="1">
      <c r="A444" s="217"/>
      <c r="B444" s="217">
        <v>1047</v>
      </c>
      <c r="C444" s="217"/>
      <c r="D444" s="217" t="s">
        <v>20408</v>
      </c>
      <c r="E444" s="471" t="s">
        <v>20402</v>
      </c>
      <c r="F444" s="482">
        <v>2705</v>
      </c>
      <c r="G444" s="470" t="s">
        <v>12364</v>
      </c>
      <c r="H444" s="482" t="s">
        <v>20943</v>
      </c>
      <c r="I444" s="483">
        <v>0.23999999999999999</v>
      </c>
      <c r="J444" s="473">
        <f t="shared" si="786"/>
        <v>1.1299999999999999</v>
      </c>
      <c r="K444" s="474">
        <f t="shared" si="798"/>
        <v>0.27119999999999994</v>
      </c>
      <c r="L444" s="475">
        <f t="shared" si="787"/>
        <v>1.1299999999999999</v>
      </c>
      <c r="M444" s="474">
        <f t="shared" si="799"/>
        <v>0.27119999999999994</v>
      </c>
      <c r="O444" s="434">
        <f t="shared" si="792"/>
        <v>1.1299999999999999</v>
      </c>
      <c r="P444" s="435">
        <f t="shared" si="793"/>
        <v>1.1299999999999999</v>
      </c>
      <c r="AE444" s="217"/>
      <c r="AF444" s="217">
        <v>1047</v>
      </c>
      <c r="AH444">
        <f t="shared" si="790"/>
        <v>1047</v>
      </c>
    </row>
    <row r="445" ht="30" hidden="1">
      <c r="A445" s="217"/>
      <c r="B445" s="217">
        <v>1047</v>
      </c>
      <c r="C445" s="217"/>
      <c r="D445" s="217" t="s">
        <v>20408</v>
      </c>
      <c r="E445" s="471" t="s">
        <v>20405</v>
      </c>
      <c r="F445" s="482">
        <v>3753</v>
      </c>
      <c r="G445" s="470" t="s">
        <v>20944</v>
      </c>
      <c r="H445" s="482" t="s">
        <v>31</v>
      </c>
      <c r="I445" s="483">
        <v>8.9999999999999993e-003</v>
      </c>
      <c r="J445" s="473" t="e">
        <f t="shared" si="786"/>
        <v>#VALUE!</v>
      </c>
      <c r="K445" s="474" t="e">
        <f t="shared" si="798"/>
        <v>#VALUE!</v>
      </c>
      <c r="L445" s="475" t="e">
        <f t="shared" si="787"/>
        <v>#VALUE!</v>
      </c>
      <c r="M445" s="474" t="e">
        <f t="shared" si="799"/>
        <v>#VALUE!</v>
      </c>
      <c r="O445" s="434" t="str">
        <f t="shared" si="792"/>
        <v xml:space="preserve">SEM VALOR</v>
      </c>
      <c r="P445" s="435" t="str">
        <f t="shared" si="793"/>
        <v xml:space="preserve">SEM VALOR</v>
      </c>
      <c r="AE445" s="217"/>
      <c r="AF445" s="217">
        <v>1047</v>
      </c>
      <c r="AH445">
        <f t="shared" si="790"/>
        <v>1047</v>
      </c>
    </row>
    <row r="446" ht="30" hidden="1">
      <c r="A446" s="217"/>
      <c r="B446" s="217">
        <v>1047</v>
      </c>
      <c r="C446" s="217"/>
      <c r="D446" s="217" t="s">
        <v>20408</v>
      </c>
      <c r="E446" s="471" t="s">
        <v>20409</v>
      </c>
      <c r="F446" s="482">
        <v>4815</v>
      </c>
      <c r="G446" s="470" t="s">
        <v>10855</v>
      </c>
      <c r="H446" s="482" t="s">
        <v>31</v>
      </c>
      <c r="I446" s="483">
        <v>8.9999999999999993e-003</v>
      </c>
      <c r="J446" s="473">
        <f t="shared" si="786"/>
        <v>10.460000000000001</v>
      </c>
      <c r="K446" s="474">
        <f t="shared" si="798"/>
        <v>9.4140000000000001e-002</v>
      </c>
      <c r="L446" s="475">
        <f t="shared" si="787"/>
        <v>10.460000000000001</v>
      </c>
      <c r="M446" s="474">
        <f t="shared" si="799"/>
        <v>9.4140000000000001e-002</v>
      </c>
      <c r="O446" s="434">
        <f t="shared" si="792"/>
        <v>10.460000000000001</v>
      </c>
      <c r="P446" s="435">
        <f t="shared" si="793"/>
        <v>10.460000000000001</v>
      </c>
      <c r="AE446" s="217"/>
      <c r="AF446" s="217">
        <v>1047</v>
      </c>
      <c r="AH446">
        <f t="shared" si="790"/>
        <v>1047</v>
      </c>
    </row>
    <row r="447" ht="45" hidden="1">
      <c r="A447" s="217"/>
      <c r="B447" s="217">
        <v>1047</v>
      </c>
      <c r="C447" s="217"/>
      <c r="D447" s="217" t="s">
        <v>20408</v>
      </c>
      <c r="E447" s="471" t="s">
        <v>20663</v>
      </c>
      <c r="F447" s="482">
        <v>12294</v>
      </c>
      <c r="G447" s="488" t="s">
        <v>14334</v>
      </c>
      <c r="H447" s="482" t="s">
        <v>31</v>
      </c>
      <c r="I447" s="483">
        <v>8.9999999999999993e-003</v>
      </c>
      <c r="J447" s="473">
        <f t="shared" si="786"/>
        <v>9.1899999999999995</v>
      </c>
      <c r="K447" s="474">
        <f t="shared" si="798"/>
        <v>8.2709999999999992e-002</v>
      </c>
      <c r="L447" s="475">
        <f t="shared" si="787"/>
        <v>9.1899999999999995</v>
      </c>
      <c r="M447" s="474">
        <f t="shared" si="799"/>
        <v>8.2709999999999992e-002</v>
      </c>
      <c r="O447" s="434">
        <f t="shared" si="792"/>
        <v>9.1899999999999995</v>
      </c>
      <c r="P447" s="435">
        <f t="shared" si="793"/>
        <v>9.1899999999999995</v>
      </c>
      <c r="AE447" s="217"/>
      <c r="AF447" s="217">
        <v>1047</v>
      </c>
      <c r="AH447">
        <f t="shared" si="790"/>
        <v>1047</v>
      </c>
    </row>
    <row r="448" ht="30" hidden="1">
      <c r="A448" s="217"/>
      <c r="B448" s="217">
        <v>1047</v>
      </c>
      <c r="C448" s="217"/>
      <c r="D448" s="217" t="s">
        <v>17167</v>
      </c>
      <c r="E448" s="471" t="s">
        <v>20665</v>
      </c>
      <c r="F448" s="482">
        <v>88264</v>
      </c>
      <c r="G448" s="470" t="s">
        <v>7319</v>
      </c>
      <c r="H448" s="482" t="s">
        <v>2032</v>
      </c>
      <c r="I448" s="483">
        <v>5.0000000000000003e-002</v>
      </c>
      <c r="J448" s="473">
        <f t="shared" si="786"/>
        <v>31.140000000000001</v>
      </c>
      <c r="K448" s="474">
        <f t="shared" si="798"/>
        <v>1.5570000000000002</v>
      </c>
      <c r="L448" s="475">
        <f t="shared" si="787"/>
        <v>29.32</v>
      </c>
      <c r="M448" s="474">
        <f t="shared" si="799"/>
        <v>1.4660000000000002</v>
      </c>
      <c r="O448" s="434">
        <f t="shared" si="792"/>
        <v>31.140000000000001</v>
      </c>
      <c r="P448" s="435">
        <f t="shared" si="793"/>
        <v>29.32</v>
      </c>
      <c r="AE448" s="217"/>
      <c r="AF448" s="217">
        <v>1047</v>
      </c>
      <c r="AH448">
        <f t="shared" si="790"/>
        <v>1047</v>
      </c>
    </row>
    <row r="449" ht="30" hidden="1">
      <c r="A449" s="217"/>
      <c r="B449" s="217">
        <v>1047</v>
      </c>
      <c r="C449" s="217"/>
      <c r="D449" s="217" t="s">
        <v>17167</v>
      </c>
      <c r="E449" s="471" t="s">
        <v>20667</v>
      </c>
      <c r="F449" s="482">
        <v>88316</v>
      </c>
      <c r="G449" s="470" t="s">
        <v>7393</v>
      </c>
      <c r="H449" s="482" t="s">
        <v>2032</v>
      </c>
      <c r="I449" s="483">
        <v>5.0000000000000003e-002</v>
      </c>
      <c r="J449" s="473">
        <f t="shared" si="786"/>
        <v>22.760000000000002</v>
      </c>
      <c r="K449" s="474">
        <f t="shared" si="798"/>
        <v>1.1380000000000001</v>
      </c>
      <c r="L449" s="475">
        <f t="shared" si="787"/>
        <v>21.550000000000001</v>
      </c>
      <c r="M449" s="474">
        <f t="shared" si="799"/>
        <v>1.0775000000000001</v>
      </c>
      <c r="O449" s="434">
        <f t="shared" si="792"/>
        <v>22.760000000000002</v>
      </c>
      <c r="P449" s="435">
        <f t="shared" si="793"/>
        <v>21.550000000000001</v>
      </c>
      <c r="AE449" s="217"/>
      <c r="AF449" s="217">
        <v>1047</v>
      </c>
      <c r="AH449">
        <f t="shared" si="790"/>
        <v>1047</v>
      </c>
    </row>
    <row r="450" ht="78.75" hidden="1">
      <c r="A450" s="460">
        <v>1048</v>
      </c>
      <c r="B450" s="460">
        <v>1048</v>
      </c>
      <c r="C450" s="460"/>
      <c r="D450" s="460"/>
      <c r="E450" s="461">
        <v>1</v>
      </c>
      <c r="F450" s="462" t="s">
        <v>20945</v>
      </c>
      <c r="G450" s="477" t="s">
        <v>20946</v>
      </c>
      <c r="H450" s="478" t="s">
        <v>15528</v>
      </c>
      <c r="I450" s="479"/>
      <c r="J450" s="480"/>
      <c r="K450" s="466" t="e">
        <f>SUM(K451:K452)</f>
        <v>#VALUE!</v>
      </c>
      <c r="L450" s="480"/>
      <c r="M450" s="466" t="e">
        <f>SUM(M451:M452)</f>
        <v>#VALUE!</v>
      </c>
      <c r="N450" s="467" t="s">
        <v>20710</v>
      </c>
      <c r="O450" s="434" t="str">
        <f t="shared" si="792"/>
        <v xml:space="preserve">SEM VALOR</v>
      </c>
      <c r="P450" s="435" t="str">
        <f t="shared" si="793"/>
        <v xml:space="preserve">SEM VALOR</v>
      </c>
      <c r="AE450" s="460">
        <v>1048</v>
      </c>
      <c r="AF450" s="460"/>
      <c r="AH450">
        <f t="shared" si="790"/>
        <v>1048</v>
      </c>
    </row>
    <row r="451" ht="30" hidden="1">
      <c r="A451" s="217"/>
      <c r="B451" s="217">
        <v>1048</v>
      </c>
      <c r="C451" s="217"/>
      <c r="D451" s="217" t="s">
        <v>20408</v>
      </c>
      <c r="E451" s="471" t="s">
        <v>20399</v>
      </c>
      <c r="F451" s="482">
        <v>4748</v>
      </c>
      <c r="G451" s="470" t="s">
        <v>20902</v>
      </c>
      <c r="H451" s="482" t="s">
        <v>15528</v>
      </c>
      <c r="I451" s="483">
        <v>1</v>
      </c>
      <c r="J451" s="473" t="e">
        <f t="shared" si="786"/>
        <v>#VALUE!</v>
      </c>
      <c r="K451" s="474" t="e">
        <f t="shared" ref="K451:K452" si="800">I451*J451</f>
        <v>#VALUE!</v>
      </c>
      <c r="L451" s="475" t="e">
        <f t="shared" si="787"/>
        <v>#VALUE!</v>
      </c>
      <c r="M451" s="474" t="e">
        <f t="shared" ref="M451:M452" si="801">L451*I451</f>
        <v>#VALUE!</v>
      </c>
      <c r="O451" s="434" t="str">
        <f t="shared" si="792"/>
        <v xml:space="preserve">SEM VALOR</v>
      </c>
      <c r="P451" s="435" t="str">
        <f t="shared" si="793"/>
        <v xml:space="preserve">SEM VALOR</v>
      </c>
      <c r="AE451" s="217"/>
      <c r="AF451" s="217">
        <v>1048</v>
      </c>
      <c r="AH451">
        <f t="shared" si="790"/>
        <v>1048</v>
      </c>
    </row>
    <row r="452" ht="30" hidden="1">
      <c r="A452" s="217"/>
      <c r="B452" s="217">
        <v>1048</v>
      </c>
      <c r="C452" s="217"/>
      <c r="D452" s="217" t="s">
        <v>17167</v>
      </c>
      <c r="E452" s="471" t="s">
        <v>20402</v>
      </c>
      <c r="F452" s="482">
        <v>88316</v>
      </c>
      <c r="G452" s="470" t="s">
        <v>7393</v>
      </c>
      <c r="H452" s="482" t="s">
        <v>2032</v>
      </c>
      <c r="I452" s="483">
        <v>1</v>
      </c>
      <c r="J452" s="473">
        <f t="shared" si="786"/>
        <v>22.760000000000002</v>
      </c>
      <c r="K452" s="474">
        <f t="shared" si="800"/>
        <v>22.760000000000002</v>
      </c>
      <c r="L452" s="475">
        <f t="shared" si="787"/>
        <v>21.550000000000001</v>
      </c>
      <c r="M452" s="474">
        <f t="shared" si="801"/>
        <v>21.550000000000001</v>
      </c>
      <c r="O452" s="434">
        <f t="shared" si="792"/>
        <v>22.760000000000002</v>
      </c>
      <c r="P452" s="435">
        <f t="shared" si="793"/>
        <v>21.550000000000001</v>
      </c>
      <c r="AE452" s="217"/>
      <c r="AF452" s="217">
        <v>1048</v>
      </c>
      <c r="AH452">
        <f t="shared" si="790"/>
        <v>1048</v>
      </c>
    </row>
    <row r="453" ht="47.25" hidden="1">
      <c r="A453" s="460">
        <v>1049</v>
      </c>
      <c r="B453" s="460">
        <v>1049</v>
      </c>
      <c r="C453" s="460"/>
      <c r="D453" s="460"/>
      <c r="E453" s="461">
        <v>1</v>
      </c>
      <c r="F453" s="462" t="s">
        <v>20947</v>
      </c>
      <c r="G453" s="477" t="s">
        <v>20948</v>
      </c>
      <c r="H453" s="478" t="s">
        <v>15383</v>
      </c>
      <c r="I453" s="479"/>
      <c r="J453" s="480"/>
      <c r="K453" s="466">
        <f>SUM(K454:K455)</f>
        <v>9.3967133999999994</v>
      </c>
      <c r="L453" s="480"/>
      <c r="M453" s="466">
        <f>SUM(M454:M455)</f>
        <v>8.8796885999999997</v>
      </c>
      <c r="N453" s="467" t="s">
        <v>20949</v>
      </c>
      <c r="O453" s="434" t="str">
        <f t="shared" si="792"/>
        <v xml:space="preserve">SEM VALOR</v>
      </c>
      <c r="P453" s="435" t="str">
        <f t="shared" si="793"/>
        <v xml:space="preserve">SEM VALOR</v>
      </c>
      <c r="AE453" s="460">
        <v>1049</v>
      </c>
      <c r="AF453" s="460"/>
      <c r="AH453">
        <f t="shared" si="790"/>
        <v>1049</v>
      </c>
    </row>
    <row r="454" ht="30" hidden="1">
      <c r="A454" s="217"/>
      <c r="B454" s="217">
        <v>1049</v>
      </c>
      <c r="C454" s="217"/>
      <c r="D454" s="217" t="s">
        <v>17167</v>
      </c>
      <c r="E454" s="471" t="s">
        <v>20399</v>
      </c>
      <c r="F454" s="482">
        <v>88260</v>
      </c>
      <c r="G454" s="470" t="s">
        <v>7124</v>
      </c>
      <c r="H454" s="482" t="s">
        <v>2032</v>
      </c>
      <c r="I454" s="483">
        <f>0.6*0.4591</f>
        <v>0.27545999999999998</v>
      </c>
      <c r="J454" s="473">
        <f t="shared" si="786"/>
        <v>26.27</v>
      </c>
      <c r="K454" s="474">
        <f t="shared" ref="K454:K455" si="802">I454*J454</f>
        <v>7.2363341999999991</v>
      </c>
      <c r="L454" s="475">
        <f t="shared" si="787"/>
        <v>24.809999999999999</v>
      </c>
      <c r="M454" s="474">
        <f t="shared" ref="M454:M455" si="803">L454*I454</f>
        <v>6.8341625999999991</v>
      </c>
      <c r="N454" s="467" t="s">
        <v>20950</v>
      </c>
      <c r="O454" s="434">
        <f t="shared" si="792"/>
        <v>26.27</v>
      </c>
      <c r="P454" s="435">
        <f t="shared" si="793"/>
        <v>24.809999999999999</v>
      </c>
      <c r="AE454" s="217"/>
      <c r="AF454" s="217">
        <v>1049</v>
      </c>
      <c r="AH454">
        <f t="shared" si="790"/>
        <v>1049</v>
      </c>
    </row>
    <row r="455" ht="30" hidden="1">
      <c r="A455" s="217"/>
      <c r="B455" s="217">
        <v>1049</v>
      </c>
      <c r="C455" s="217"/>
      <c r="D455" s="217" t="s">
        <v>17167</v>
      </c>
      <c r="E455" s="471" t="s">
        <v>20402</v>
      </c>
      <c r="F455" s="482">
        <v>88316</v>
      </c>
      <c r="G455" s="470" t="s">
        <v>7393</v>
      </c>
      <c r="H455" s="482" t="s">
        <v>2032</v>
      </c>
      <c r="I455" s="483">
        <f>0.6*0.1582</f>
        <v>9.4920000000000004e-002</v>
      </c>
      <c r="J455" s="473">
        <f t="shared" si="786"/>
        <v>22.760000000000002</v>
      </c>
      <c r="K455" s="474">
        <f t="shared" si="802"/>
        <v>2.1603792000000004</v>
      </c>
      <c r="L455" s="475">
        <f t="shared" si="787"/>
        <v>21.550000000000001</v>
      </c>
      <c r="M455" s="474">
        <f t="shared" si="803"/>
        <v>2.0455260000000002</v>
      </c>
      <c r="O455" s="434">
        <f t="shared" si="792"/>
        <v>22.760000000000002</v>
      </c>
      <c r="P455" s="435">
        <f t="shared" si="793"/>
        <v>21.550000000000001</v>
      </c>
      <c r="AE455" s="217"/>
      <c r="AF455" s="217">
        <v>1049</v>
      </c>
      <c r="AH455">
        <f t="shared" si="790"/>
        <v>1049</v>
      </c>
    </row>
    <row r="456" ht="31.5">
      <c r="A456" s="460">
        <v>1050</v>
      </c>
      <c r="B456" s="460">
        <v>1050</v>
      </c>
      <c r="C456" s="460"/>
      <c r="D456" s="460"/>
      <c r="E456" s="461">
        <v>1</v>
      </c>
      <c r="F456" s="462" t="s">
        <v>20560</v>
      </c>
      <c r="G456" s="477" t="s">
        <v>20951</v>
      </c>
      <c r="H456" s="478" t="s">
        <v>15418</v>
      </c>
      <c r="I456" s="479"/>
      <c r="J456" s="480"/>
      <c r="K456" s="466">
        <f>SUM(K457:K469)</f>
        <v>27.780000000000001</v>
      </c>
      <c r="L456" s="480"/>
      <c r="M456" s="466">
        <f>SUM(M457:M469)</f>
        <v>27.476135000000006</v>
      </c>
      <c r="N456" s="467" t="s">
        <v>20952</v>
      </c>
      <c r="O456" s="434" t="str">
        <f t="shared" si="792"/>
        <v xml:space="preserve">SEM VALOR</v>
      </c>
      <c r="P456" s="435" t="str">
        <f t="shared" si="793"/>
        <v xml:space="preserve">SEM VALOR</v>
      </c>
      <c r="AE456" s="460">
        <v>1050</v>
      </c>
      <c r="AF456" s="460"/>
      <c r="AH456">
        <f t="shared" si="790"/>
        <v>1050</v>
      </c>
    </row>
    <row r="457" ht="90">
      <c r="A457" s="217"/>
      <c r="B457" s="217">
        <v>1050</v>
      </c>
      <c r="C457" s="217"/>
      <c r="D457" s="217" t="s">
        <v>17167</v>
      </c>
      <c r="E457" s="471" t="s">
        <v>20399</v>
      </c>
      <c r="F457" s="482">
        <v>5684</v>
      </c>
      <c r="G457" s="470" t="s">
        <v>1885</v>
      </c>
      <c r="H457" s="482" t="s">
        <v>1535</v>
      </c>
      <c r="I457" s="483">
        <v>1.9e-002</v>
      </c>
      <c r="J457" s="473">
        <f t="shared" si="786"/>
        <v>164.22</v>
      </c>
      <c r="K457" s="474">
        <f>TRUNC(I457*J457,2)</f>
        <v>3.1200000000000001</v>
      </c>
      <c r="L457" s="475">
        <f t="shared" si="787"/>
        <v>162.52000000000001</v>
      </c>
      <c r="M457" s="474">
        <f t="shared" ref="M457:M469" si="804">L457*I457</f>
        <v>3.0878800000000002</v>
      </c>
      <c r="O457" s="434">
        <f t="shared" si="792"/>
        <v>164.22</v>
      </c>
      <c r="P457" s="435">
        <f t="shared" si="793"/>
        <v>162.52000000000001</v>
      </c>
      <c r="AE457" s="217"/>
      <c r="AF457" s="217">
        <v>1050</v>
      </c>
      <c r="AH457">
        <f t="shared" si="790"/>
        <v>1050</v>
      </c>
    </row>
    <row r="458" ht="90">
      <c r="A458" s="217"/>
      <c r="B458" s="217">
        <v>1050</v>
      </c>
      <c r="C458" s="217"/>
      <c r="D458" s="217" t="s">
        <v>17167</v>
      </c>
      <c r="E458" s="471" t="s">
        <v>20402</v>
      </c>
      <c r="F458" s="482">
        <v>5685</v>
      </c>
      <c r="G458" s="470" t="s">
        <v>1884</v>
      </c>
      <c r="H458" s="482" t="s">
        <v>1533</v>
      </c>
      <c r="I458" s="483">
        <v>6.0000000000000001e-003</v>
      </c>
      <c r="J458" s="473">
        <f t="shared" si="786"/>
        <v>64.049999999999997</v>
      </c>
      <c r="K458" s="474">
        <f>TRUNC(I458*J458,2)</f>
        <v>0.38</v>
      </c>
      <c r="L458" s="475">
        <f t="shared" si="787"/>
        <v>62.350000000000001</v>
      </c>
      <c r="M458" s="474">
        <f t="shared" si="804"/>
        <v>0.37410000000000004</v>
      </c>
      <c r="O458" s="434">
        <f t="shared" si="792"/>
        <v>64.049999999999997</v>
      </c>
      <c r="P458" s="435">
        <f t="shared" si="793"/>
        <v>62.350000000000001</v>
      </c>
      <c r="AE458" s="217"/>
      <c r="AF458" s="217">
        <v>1050</v>
      </c>
      <c r="AH458">
        <f t="shared" si="790"/>
        <v>1050</v>
      </c>
    </row>
    <row r="459" ht="45">
      <c r="A459" s="217"/>
      <c r="B459" s="217">
        <v>1050</v>
      </c>
      <c r="C459" s="217"/>
      <c r="D459" s="217" t="s">
        <v>17167</v>
      </c>
      <c r="E459" s="471" t="s">
        <v>20405</v>
      </c>
      <c r="F459" s="482">
        <v>5843</v>
      </c>
      <c r="G459" s="470" t="s">
        <v>1933</v>
      </c>
      <c r="H459" s="482" t="s">
        <v>1535</v>
      </c>
      <c r="I459" s="483">
        <v>2.0500000000000001e-002</v>
      </c>
      <c r="J459" s="473">
        <f t="shared" ref="J459:J522" si="805">O459*$J$3</f>
        <v>182.91999999999999</v>
      </c>
      <c r="K459" s="474">
        <f>TRUNC(I459*J459,2)</f>
        <v>3.7400000000000002</v>
      </c>
      <c r="L459" s="475">
        <f t="shared" ref="L459:L522" si="806">P459*$L$3</f>
        <v>181.02000000000001</v>
      </c>
      <c r="M459" s="474">
        <f t="shared" si="804"/>
        <v>3.7109100000000002</v>
      </c>
      <c r="O459" s="434">
        <f t="shared" si="792"/>
        <v>182.91999999999999</v>
      </c>
      <c r="P459" s="435">
        <f t="shared" si="793"/>
        <v>181.02000000000001</v>
      </c>
      <c r="AE459" s="217"/>
      <c r="AF459" s="217">
        <v>1050</v>
      </c>
      <c r="AH459">
        <f t="shared" si="790"/>
        <v>1050</v>
      </c>
    </row>
    <row r="460" ht="45">
      <c r="A460" s="217"/>
      <c r="B460" s="217">
        <v>1050</v>
      </c>
      <c r="C460" s="217"/>
      <c r="D460" s="217" t="s">
        <v>17167</v>
      </c>
      <c r="E460" s="471" t="s">
        <v>20409</v>
      </c>
      <c r="F460" s="482">
        <v>5845</v>
      </c>
      <c r="G460" s="470" t="s">
        <v>1932</v>
      </c>
      <c r="H460" s="482" t="s">
        <v>1533</v>
      </c>
      <c r="I460" s="483">
        <v>4.4999999999999998e-002</v>
      </c>
      <c r="J460" s="473">
        <f t="shared" si="805"/>
        <v>53.600000000000001</v>
      </c>
      <c r="K460" s="474">
        <f>TRUNC(I460*J460,2)</f>
        <v>2.4100000000000001</v>
      </c>
      <c r="L460" s="475">
        <f t="shared" si="806"/>
        <v>51.700000000000003</v>
      </c>
      <c r="M460" s="474">
        <f t="shared" si="804"/>
        <v>2.3265000000000002</v>
      </c>
      <c r="O460" s="434">
        <f t="shared" si="792"/>
        <v>53.600000000000001</v>
      </c>
      <c r="P460" s="435">
        <f t="shared" si="793"/>
        <v>51.700000000000003</v>
      </c>
      <c r="AE460" s="217"/>
      <c r="AF460" s="217">
        <v>1050</v>
      </c>
      <c r="AH460">
        <f t="shared" si="790"/>
        <v>1050</v>
      </c>
    </row>
    <row r="461" ht="90">
      <c r="A461" s="217"/>
      <c r="B461" s="217">
        <v>1050</v>
      </c>
      <c r="C461" s="217"/>
      <c r="D461" s="217" t="s">
        <v>17167</v>
      </c>
      <c r="E461" s="471" t="s">
        <v>20663</v>
      </c>
      <c r="F461" s="482">
        <v>6259</v>
      </c>
      <c r="G461" s="470" t="s">
        <v>1597</v>
      </c>
      <c r="H461" s="482" t="s">
        <v>1535</v>
      </c>
      <c r="I461" s="483">
        <v>1.6250000000000001e-002</v>
      </c>
      <c r="J461" s="473">
        <f t="shared" si="805"/>
        <v>278.72000000000003</v>
      </c>
      <c r="K461" s="474">
        <f>TRUNC(I461*J461,2)</f>
        <v>4.5199999999999996</v>
      </c>
      <c r="L461" s="475">
        <f t="shared" si="806"/>
        <v>277.12</v>
      </c>
      <c r="M461" s="474">
        <f t="shared" si="804"/>
        <v>4.5032000000000005</v>
      </c>
      <c r="O461" s="434">
        <f t="shared" si="792"/>
        <v>278.72000000000003</v>
      </c>
      <c r="P461" s="435">
        <f t="shared" si="793"/>
        <v>277.12</v>
      </c>
      <c r="AE461" s="217"/>
      <c r="AF461" s="217">
        <v>1050</v>
      </c>
      <c r="AH461">
        <f t="shared" si="790"/>
        <v>1050</v>
      </c>
    </row>
    <row r="462" ht="90">
      <c r="A462" s="217"/>
      <c r="B462" s="217">
        <v>1050</v>
      </c>
      <c r="C462" s="217"/>
      <c r="D462" s="217" t="s">
        <v>17167</v>
      </c>
      <c r="E462" s="471" t="s">
        <v>20665</v>
      </c>
      <c r="F462" s="482">
        <v>6260</v>
      </c>
      <c r="G462" s="470" t="s">
        <v>1596</v>
      </c>
      <c r="H462" s="482" t="s">
        <v>1533</v>
      </c>
      <c r="I462" s="483">
        <v>8.7500000000000008e-003</v>
      </c>
      <c r="J462" s="473">
        <f t="shared" si="805"/>
        <v>60.640000000000001</v>
      </c>
      <c r="K462" s="474">
        <f>TRUNC(I462*J462,2)</f>
        <v>0.53000000000000003</v>
      </c>
      <c r="L462" s="475">
        <f t="shared" si="806"/>
        <v>59.039999999999999</v>
      </c>
      <c r="M462" s="474">
        <f t="shared" si="804"/>
        <v>0.51660000000000006</v>
      </c>
      <c r="O462" s="434">
        <f t="shared" si="792"/>
        <v>60.640000000000001</v>
      </c>
      <c r="P462" s="435">
        <f t="shared" si="793"/>
        <v>59.039999999999999</v>
      </c>
      <c r="AE462" s="217"/>
      <c r="AF462" s="217">
        <v>1050</v>
      </c>
      <c r="AH462">
        <f t="shared" si="790"/>
        <v>1050</v>
      </c>
    </row>
    <row r="463" ht="75">
      <c r="A463" s="217"/>
      <c r="B463" s="217">
        <v>1050</v>
      </c>
      <c r="C463" s="217"/>
      <c r="D463" s="217" t="s">
        <v>17167</v>
      </c>
      <c r="E463" s="471" t="s">
        <v>20667</v>
      </c>
      <c r="F463" s="482">
        <v>5932</v>
      </c>
      <c r="G463" s="470" t="s">
        <v>1787</v>
      </c>
      <c r="H463" s="482" t="s">
        <v>1535</v>
      </c>
      <c r="I463" s="483">
        <v>1.7000000000000001e-002</v>
      </c>
      <c r="J463" s="473">
        <f t="shared" si="805"/>
        <v>294.49000000000001</v>
      </c>
      <c r="K463" s="474">
        <f>TRUNC(I463*J463,2)</f>
        <v>5</v>
      </c>
      <c r="L463" s="475">
        <f t="shared" si="806"/>
        <v>291.70999999999998</v>
      </c>
      <c r="M463" s="474">
        <f t="shared" si="804"/>
        <v>4.9590699999999996</v>
      </c>
      <c r="O463" s="434">
        <f t="shared" si="792"/>
        <v>294.49000000000001</v>
      </c>
      <c r="P463" s="435">
        <f t="shared" si="793"/>
        <v>291.70999999999998</v>
      </c>
      <c r="AE463" s="217"/>
      <c r="AF463" s="217">
        <v>1050</v>
      </c>
      <c r="AH463">
        <f t="shared" si="790"/>
        <v>1050</v>
      </c>
    </row>
    <row r="464" ht="75">
      <c r="A464" s="217"/>
      <c r="B464" s="217">
        <v>1050</v>
      </c>
      <c r="C464" s="217"/>
      <c r="D464" s="217" t="s">
        <v>17167</v>
      </c>
      <c r="E464" s="471" t="s">
        <v>20671</v>
      </c>
      <c r="F464" s="482">
        <v>5934</v>
      </c>
      <c r="G464" s="470" t="s">
        <v>1786</v>
      </c>
      <c r="H464" s="482" t="s">
        <v>1533</v>
      </c>
      <c r="I464" s="483">
        <v>8.0000000000000002e-003</v>
      </c>
      <c r="J464" s="473">
        <f t="shared" si="805"/>
        <v>114.31</v>
      </c>
      <c r="K464" s="474">
        <f>TRUNC(I464*J464,2)</f>
        <v>0.91000000000000003</v>
      </c>
      <c r="L464" s="475">
        <f t="shared" si="806"/>
        <v>111.53</v>
      </c>
      <c r="M464" s="474">
        <f t="shared" si="804"/>
        <v>0.89224000000000003</v>
      </c>
      <c r="O464" s="434">
        <f t="shared" si="792"/>
        <v>114.31</v>
      </c>
      <c r="P464" s="435">
        <f t="shared" si="793"/>
        <v>111.53</v>
      </c>
      <c r="AE464" s="217"/>
      <c r="AF464" s="217">
        <v>1050</v>
      </c>
      <c r="AH464">
        <f t="shared" si="790"/>
        <v>1050</v>
      </c>
    </row>
    <row r="465" ht="90">
      <c r="A465" s="217"/>
      <c r="B465" s="217">
        <v>1050</v>
      </c>
      <c r="C465" s="217"/>
      <c r="D465" s="217" t="s">
        <v>17167</v>
      </c>
      <c r="E465" s="471" t="s">
        <v>20672</v>
      </c>
      <c r="F465" s="482">
        <v>6879</v>
      </c>
      <c r="G465" s="470" t="s">
        <v>1877</v>
      </c>
      <c r="H465" s="482" t="s">
        <v>1535</v>
      </c>
      <c r="I465" s="483">
        <v>6.0000000000000001e-003</v>
      </c>
      <c r="J465" s="473">
        <f t="shared" si="805"/>
        <v>212.56</v>
      </c>
      <c r="K465" s="474">
        <f>TRUNC(I465*J465,2)</f>
        <v>1.27</v>
      </c>
      <c r="L465" s="475">
        <f t="shared" si="806"/>
        <v>210.86000000000001</v>
      </c>
      <c r="M465" s="474">
        <f t="shared" si="804"/>
        <v>1.2651600000000001</v>
      </c>
      <c r="O465" s="434">
        <f t="shared" si="792"/>
        <v>212.56</v>
      </c>
      <c r="P465" s="435">
        <f t="shared" si="793"/>
        <v>210.86000000000001</v>
      </c>
      <c r="AE465" s="217"/>
      <c r="AF465" s="217">
        <v>1050</v>
      </c>
      <c r="AH465">
        <f t="shared" si="790"/>
        <v>1050</v>
      </c>
    </row>
    <row r="466" ht="90">
      <c r="A466" s="217"/>
      <c r="B466" s="217">
        <v>1050</v>
      </c>
      <c r="C466" s="217"/>
      <c r="D466" s="217" t="s">
        <v>17167</v>
      </c>
      <c r="E466" s="471" t="s">
        <v>20673</v>
      </c>
      <c r="F466" s="482">
        <v>6880</v>
      </c>
      <c r="G466" s="470" t="s">
        <v>1876</v>
      </c>
      <c r="H466" s="482" t="s">
        <v>1533</v>
      </c>
      <c r="I466" s="483">
        <v>1.9e-002</v>
      </c>
      <c r="J466" s="473">
        <f t="shared" si="805"/>
        <v>84.219999999999999</v>
      </c>
      <c r="K466" s="474">
        <f>TRUNC(I466*J466,2)</f>
        <v>1.6000000000000001</v>
      </c>
      <c r="L466" s="475">
        <f t="shared" si="806"/>
        <v>82.519999999999996</v>
      </c>
      <c r="M466" s="474">
        <f t="shared" si="804"/>
        <v>1.5678799999999999</v>
      </c>
      <c r="O466" s="434">
        <f t="shared" si="792"/>
        <v>84.219999999999999</v>
      </c>
      <c r="P466" s="435">
        <f t="shared" si="793"/>
        <v>82.519999999999996</v>
      </c>
      <c r="AE466" s="217"/>
      <c r="AF466" s="217">
        <v>1050</v>
      </c>
      <c r="AH466">
        <f t="shared" si="790"/>
        <v>1050</v>
      </c>
    </row>
    <row r="467" ht="105">
      <c r="A467" s="217"/>
      <c r="B467" s="217">
        <v>1050</v>
      </c>
      <c r="C467" s="217"/>
      <c r="D467" s="217" t="s">
        <v>17167</v>
      </c>
      <c r="E467" s="471" t="s">
        <v>20675</v>
      </c>
      <c r="F467" s="482">
        <v>7049</v>
      </c>
      <c r="G467" s="470" t="s">
        <v>1881</v>
      </c>
      <c r="H467" s="482" t="s">
        <v>1535</v>
      </c>
      <c r="I467" s="483">
        <v>1.15e-002</v>
      </c>
      <c r="J467" s="473">
        <f t="shared" si="805"/>
        <v>228.24000000000001</v>
      </c>
      <c r="K467" s="474">
        <f>TRUNC(I467*J467,2)</f>
        <v>2.6200000000000001</v>
      </c>
      <c r="L467" s="475">
        <f t="shared" si="806"/>
        <v>226.53999999999999</v>
      </c>
      <c r="M467" s="474">
        <f t="shared" si="804"/>
        <v>2.60521</v>
      </c>
      <c r="O467" s="434">
        <f t="shared" si="792"/>
        <v>228.24000000000001</v>
      </c>
      <c r="P467" s="435">
        <f t="shared" si="793"/>
        <v>226.53999999999999</v>
      </c>
      <c r="AE467" s="217"/>
      <c r="AF467" s="217">
        <v>1050</v>
      </c>
      <c r="AH467">
        <f t="shared" si="790"/>
        <v>1050</v>
      </c>
    </row>
    <row r="468" ht="105">
      <c r="A468" s="217"/>
      <c r="B468" s="217">
        <v>1050</v>
      </c>
      <c r="C468" s="217"/>
      <c r="D468" s="217" t="s">
        <v>17167</v>
      </c>
      <c r="E468" s="471" t="s">
        <v>20677</v>
      </c>
      <c r="F468" s="482">
        <v>7050</v>
      </c>
      <c r="G468" s="470" t="s">
        <v>1880</v>
      </c>
      <c r="H468" s="482" t="s">
        <v>1533</v>
      </c>
      <c r="I468" s="483">
        <v>1.35e-002</v>
      </c>
      <c r="J468" s="473">
        <f t="shared" si="805"/>
        <v>77.959999999999994</v>
      </c>
      <c r="K468" s="474">
        <f>TRUNC(I468*J468,2)</f>
        <v>1.05</v>
      </c>
      <c r="L468" s="475">
        <f t="shared" si="806"/>
        <v>76.260000000000005</v>
      </c>
      <c r="M468" s="474">
        <f t="shared" si="804"/>
        <v>1.0295100000000001</v>
      </c>
      <c r="O468" s="434">
        <f t="shared" si="792"/>
        <v>77.959999999999994</v>
      </c>
      <c r="P468" s="435">
        <f t="shared" si="793"/>
        <v>76.260000000000005</v>
      </c>
      <c r="AE468" s="217"/>
      <c r="AF468" s="217">
        <v>1050</v>
      </c>
      <c r="AH468">
        <f t="shared" si="790"/>
        <v>1050</v>
      </c>
    </row>
    <row r="469">
      <c r="A469" s="217"/>
      <c r="B469" s="217">
        <v>1050</v>
      </c>
      <c r="C469" s="217"/>
      <c r="D469" s="217" t="s">
        <v>20408</v>
      </c>
      <c r="E469" s="471" t="s">
        <v>20679</v>
      </c>
      <c r="F469" s="482">
        <v>248</v>
      </c>
      <c r="G469" s="470" t="s">
        <v>20953</v>
      </c>
      <c r="H469" s="482" t="s">
        <v>2032</v>
      </c>
      <c r="I469" s="483">
        <v>3.7499999999999999e-002</v>
      </c>
      <c r="J469" s="473">
        <f t="shared" si="805"/>
        <v>17.010000000000002</v>
      </c>
      <c r="K469" s="474">
        <f>TRUNC(I469*J469,2)</f>
        <v>0.63</v>
      </c>
      <c r="L469" s="475">
        <f t="shared" si="806"/>
        <v>17.010000000000002</v>
      </c>
      <c r="M469" s="474">
        <f t="shared" si="804"/>
        <v>0.63787500000000008</v>
      </c>
      <c r="O469" s="434">
        <f t="shared" si="792"/>
        <v>17.010000000000002</v>
      </c>
      <c r="P469" s="435">
        <f t="shared" si="793"/>
        <v>17.010000000000002</v>
      </c>
      <c r="AE469" s="217"/>
      <c r="AF469" s="217">
        <v>1050</v>
      </c>
      <c r="AH469">
        <f t="shared" si="790"/>
        <v>1050</v>
      </c>
    </row>
    <row r="470" ht="47.25" hidden="1">
      <c r="A470" s="460">
        <v>1051</v>
      </c>
      <c r="B470" s="460">
        <v>1051</v>
      </c>
      <c r="C470" s="460"/>
      <c r="D470" s="460"/>
      <c r="E470" s="461">
        <v>1</v>
      </c>
      <c r="F470" s="462" t="s">
        <v>20954</v>
      </c>
      <c r="G470" s="477" t="s">
        <v>20955</v>
      </c>
      <c r="H470" s="478" t="s">
        <v>15515</v>
      </c>
      <c r="I470" s="479"/>
      <c r="J470" s="480"/>
      <c r="K470" s="466">
        <f>SUM(K471:K472)</f>
        <v>8.3724000000000007</v>
      </c>
      <c r="L470" s="480"/>
      <c r="M470" s="466">
        <f>SUM(M471:M472)</f>
        <v>8.3361000000000001</v>
      </c>
      <c r="N470" s="467" t="s">
        <v>20716</v>
      </c>
      <c r="O470" s="434" t="str">
        <f t="shared" si="792"/>
        <v xml:space="preserve">SEM VALOR</v>
      </c>
      <c r="P470" s="435" t="str">
        <f t="shared" si="793"/>
        <v xml:space="preserve">SEM VALOR</v>
      </c>
      <c r="AE470" s="460">
        <v>1051</v>
      </c>
      <c r="AF470" s="460"/>
      <c r="AH470">
        <f t="shared" si="790"/>
        <v>1051</v>
      </c>
    </row>
    <row r="471" ht="60" hidden="1">
      <c r="A471" s="217"/>
      <c r="B471" s="217">
        <v>1051</v>
      </c>
      <c r="C471" s="217"/>
      <c r="D471" s="217" t="s">
        <v>20408</v>
      </c>
      <c r="E471" s="471" t="s">
        <v>20399</v>
      </c>
      <c r="F471" s="482">
        <v>4013</v>
      </c>
      <c r="G471" s="470" t="s">
        <v>12639</v>
      </c>
      <c r="H471" s="482" t="s">
        <v>29</v>
      </c>
      <c r="I471" s="483">
        <v>1.0800000000000001</v>
      </c>
      <c r="J471" s="473">
        <f t="shared" si="805"/>
        <v>7.1200000000000001</v>
      </c>
      <c r="K471" s="474">
        <f t="shared" ref="K471:K472" si="807">I471*J471</f>
        <v>7.6896000000000004</v>
      </c>
      <c r="L471" s="475">
        <f t="shared" si="806"/>
        <v>7.1200000000000001</v>
      </c>
      <c r="M471" s="474">
        <f t="shared" ref="M471:M472" si="808">L471*I471</f>
        <v>7.6896000000000004</v>
      </c>
      <c r="O471" s="434">
        <f t="shared" si="792"/>
        <v>7.1200000000000001</v>
      </c>
      <c r="P471" s="435">
        <f t="shared" si="793"/>
        <v>7.1200000000000001</v>
      </c>
      <c r="AE471" s="217"/>
      <c r="AF471" s="217">
        <v>1051</v>
      </c>
      <c r="AH471">
        <f t="shared" si="790"/>
        <v>1051</v>
      </c>
    </row>
    <row r="472" ht="30" hidden="1">
      <c r="A472" s="217"/>
      <c r="B472" s="217">
        <v>1051</v>
      </c>
      <c r="C472" s="217"/>
      <c r="D472" s="217" t="s">
        <v>17167</v>
      </c>
      <c r="E472" s="471" t="s">
        <v>20402</v>
      </c>
      <c r="F472" s="482">
        <v>88316</v>
      </c>
      <c r="G472" s="470" t="s">
        <v>7393</v>
      </c>
      <c r="H472" s="482" t="s">
        <v>2032</v>
      </c>
      <c r="I472" s="483">
        <v>2.9999999999999999e-002</v>
      </c>
      <c r="J472" s="473">
        <f t="shared" si="805"/>
        <v>22.760000000000002</v>
      </c>
      <c r="K472" s="474">
        <f t="shared" si="807"/>
        <v>0.68280000000000007</v>
      </c>
      <c r="L472" s="475">
        <f t="shared" si="806"/>
        <v>21.550000000000001</v>
      </c>
      <c r="M472" s="474">
        <f t="shared" si="808"/>
        <v>0.64649999999999996</v>
      </c>
      <c r="O472" s="434">
        <f t="shared" si="792"/>
        <v>22.760000000000002</v>
      </c>
      <c r="P472" s="435">
        <f t="shared" si="793"/>
        <v>21.550000000000001</v>
      </c>
      <c r="AE472" s="217"/>
      <c r="AF472" s="217">
        <v>1051</v>
      </c>
      <c r="AH472">
        <f t="shared" si="790"/>
        <v>1051</v>
      </c>
    </row>
    <row r="473" ht="47.25" hidden="1">
      <c r="A473" s="460">
        <v>1052</v>
      </c>
      <c r="B473" s="460">
        <v>1052</v>
      </c>
      <c r="C473" s="460"/>
      <c r="D473" s="460"/>
      <c r="E473" s="461">
        <v>1</v>
      </c>
      <c r="F473" s="462" t="s">
        <v>20956</v>
      </c>
      <c r="G473" s="477" t="s">
        <v>20957</v>
      </c>
      <c r="H473" s="478" t="s">
        <v>15515</v>
      </c>
      <c r="I473" s="479"/>
      <c r="J473" s="480"/>
      <c r="K473" s="466">
        <f>SUM(K474:K475)</f>
        <v>9.2796000000000003</v>
      </c>
      <c r="L473" s="480"/>
      <c r="M473" s="466">
        <f>SUM(M474:M475)</f>
        <v>9.2432999999999996</v>
      </c>
      <c r="N473" s="467" t="s">
        <v>20716</v>
      </c>
      <c r="O473" s="434" t="str">
        <f t="shared" si="792"/>
        <v xml:space="preserve">SEM VALOR</v>
      </c>
      <c r="P473" s="435" t="str">
        <f t="shared" si="793"/>
        <v xml:space="preserve">SEM VALOR</v>
      </c>
      <c r="AE473" s="460">
        <v>1052</v>
      </c>
      <c r="AF473" s="460"/>
      <c r="AH473">
        <f t="shared" si="790"/>
        <v>1052</v>
      </c>
    </row>
    <row r="474" ht="60" hidden="1">
      <c r="A474" s="217"/>
      <c r="B474" s="217">
        <v>1052</v>
      </c>
      <c r="C474" s="217"/>
      <c r="D474" s="217" t="s">
        <v>20408</v>
      </c>
      <c r="E474" s="471" t="s">
        <v>20399</v>
      </c>
      <c r="F474" s="482">
        <v>4011</v>
      </c>
      <c r="G474" s="470" t="s">
        <v>12640</v>
      </c>
      <c r="H474" s="482" t="s">
        <v>29</v>
      </c>
      <c r="I474" s="483">
        <v>1.0800000000000001</v>
      </c>
      <c r="J474" s="473">
        <f t="shared" si="805"/>
        <v>7.96</v>
      </c>
      <c r="K474" s="474">
        <f t="shared" ref="K474:K475" si="809">I474*J474</f>
        <v>8.5968</v>
      </c>
      <c r="L474" s="475">
        <f t="shared" si="806"/>
        <v>7.96</v>
      </c>
      <c r="M474" s="474">
        <f t="shared" ref="M474:M475" si="810">L474*I474</f>
        <v>8.5968</v>
      </c>
      <c r="O474" s="434">
        <f t="shared" si="792"/>
        <v>7.96</v>
      </c>
      <c r="P474" s="435">
        <f t="shared" si="793"/>
        <v>7.96</v>
      </c>
      <c r="AE474" s="217"/>
      <c r="AF474" s="217">
        <v>1052</v>
      </c>
      <c r="AH474">
        <f t="shared" si="790"/>
        <v>1052</v>
      </c>
    </row>
    <row r="475" ht="30" hidden="1">
      <c r="A475" s="217"/>
      <c r="B475" s="217">
        <v>1052</v>
      </c>
      <c r="C475" s="217"/>
      <c r="D475" s="217" t="s">
        <v>17167</v>
      </c>
      <c r="E475" s="471" t="s">
        <v>20402</v>
      </c>
      <c r="F475" s="482">
        <v>88316</v>
      </c>
      <c r="G475" s="470" t="s">
        <v>7393</v>
      </c>
      <c r="H475" s="482" t="s">
        <v>2032</v>
      </c>
      <c r="I475" s="483">
        <v>2.9999999999999999e-002</v>
      </c>
      <c r="J475" s="473">
        <f t="shared" si="805"/>
        <v>22.760000000000002</v>
      </c>
      <c r="K475" s="474">
        <f t="shared" si="809"/>
        <v>0.68280000000000007</v>
      </c>
      <c r="L475" s="475">
        <f t="shared" si="806"/>
        <v>21.550000000000001</v>
      </c>
      <c r="M475" s="474">
        <f t="shared" si="810"/>
        <v>0.64649999999999996</v>
      </c>
      <c r="O475" s="434">
        <f t="shared" si="792"/>
        <v>22.760000000000002</v>
      </c>
      <c r="P475" s="435">
        <f t="shared" si="793"/>
        <v>21.550000000000001</v>
      </c>
      <c r="AE475" s="217"/>
      <c r="AF475" s="217">
        <v>1052</v>
      </c>
      <c r="AH475">
        <f t="shared" si="790"/>
        <v>1052</v>
      </c>
    </row>
    <row r="476" ht="33.75" hidden="1" customHeight="1">
      <c r="A476" s="460">
        <v>1053</v>
      </c>
      <c r="B476" s="460">
        <v>1053</v>
      </c>
      <c r="C476" s="460"/>
      <c r="D476" s="460"/>
      <c r="E476" s="461" t="s">
        <v>20395</v>
      </c>
      <c r="F476" s="462" t="s">
        <v>20958</v>
      </c>
      <c r="G476" s="477" t="s">
        <v>20959</v>
      </c>
      <c r="H476" s="478" t="s">
        <v>20387</v>
      </c>
      <c r="I476" s="479"/>
      <c r="J476" s="480"/>
      <c r="K476" s="466">
        <f>SUM(K477:K495)</f>
        <v>15812.726322320001</v>
      </c>
      <c r="L476" s="480"/>
      <c r="M476" s="466">
        <f>SUM(M477:M495)</f>
        <v>15488.56276592</v>
      </c>
      <c r="N476" s="467" t="s">
        <v>20960</v>
      </c>
      <c r="O476" s="434" t="str">
        <f t="shared" si="792"/>
        <v xml:space="preserve">SEM VALOR</v>
      </c>
      <c r="P476" s="435" t="str">
        <f t="shared" si="793"/>
        <v xml:space="preserve">SEM VALOR</v>
      </c>
      <c r="AE476" s="460">
        <v>1053</v>
      </c>
      <c r="AF476" s="460"/>
      <c r="AH476">
        <f t="shared" si="790"/>
        <v>1053</v>
      </c>
    </row>
    <row r="477" ht="120" hidden="1">
      <c r="A477" s="217"/>
      <c r="B477" s="217">
        <v>1053</v>
      </c>
      <c r="C477" s="217"/>
      <c r="D477" s="217" t="s">
        <v>17167</v>
      </c>
      <c r="E477" s="471" t="s">
        <v>20399</v>
      </c>
      <c r="F477" s="482">
        <v>90091</v>
      </c>
      <c r="G477" s="470" t="s">
        <v>20961</v>
      </c>
      <c r="H477" s="482" t="s">
        <v>15528</v>
      </c>
      <c r="I477" s="483">
        <v>5.5099999999999998</v>
      </c>
      <c r="J477" s="473">
        <f t="shared" si="805"/>
        <v>6.1799999999999997</v>
      </c>
      <c r="K477" s="474">
        <f t="shared" ref="K477:K495" si="811">I477*J477</f>
        <v>34.0518</v>
      </c>
      <c r="L477" s="475">
        <f t="shared" si="806"/>
        <v>6.0700000000000003</v>
      </c>
      <c r="M477" s="474">
        <f t="shared" ref="M477:M495" si="812">L477*I477</f>
        <v>33.445700000000002</v>
      </c>
      <c r="O477" s="434">
        <f t="shared" si="792"/>
        <v>6.1799999999999997</v>
      </c>
      <c r="P477" s="435">
        <f t="shared" si="793"/>
        <v>6.0700000000000003</v>
      </c>
      <c r="AE477" s="217"/>
      <c r="AF477" s="217">
        <v>1053</v>
      </c>
      <c r="AH477">
        <f t="shared" si="790"/>
        <v>1053</v>
      </c>
    </row>
    <row r="478" ht="135" hidden="1">
      <c r="A478" s="217"/>
      <c r="B478" s="217">
        <v>1053</v>
      </c>
      <c r="C478" s="217"/>
      <c r="D478" s="217" t="s">
        <v>17167</v>
      </c>
      <c r="E478" s="471" t="s">
        <v>20402</v>
      </c>
      <c r="F478" s="482">
        <v>102281</v>
      </c>
      <c r="G478" s="470" t="s">
        <v>20962</v>
      </c>
      <c r="H478" s="482" t="s">
        <v>15528</v>
      </c>
      <c r="I478" s="483">
        <v>22.030000000000001</v>
      </c>
      <c r="J478" s="473">
        <f t="shared" si="805"/>
        <v>5.8300000000000001</v>
      </c>
      <c r="K478" s="474">
        <f t="shared" si="811"/>
        <v>128.4349</v>
      </c>
      <c r="L478" s="475">
        <f t="shared" si="806"/>
        <v>5.7199999999999998</v>
      </c>
      <c r="M478" s="474">
        <f t="shared" si="812"/>
        <v>126.0116</v>
      </c>
      <c r="O478" s="434">
        <f t="shared" si="792"/>
        <v>5.8300000000000001</v>
      </c>
      <c r="P478" s="435">
        <f t="shared" si="793"/>
        <v>5.7199999999999998</v>
      </c>
      <c r="AE478" s="217"/>
      <c r="AF478" s="217">
        <v>1053</v>
      </c>
      <c r="AH478">
        <f t="shared" si="790"/>
        <v>1053</v>
      </c>
    </row>
    <row r="479" ht="75" hidden="1">
      <c r="A479" s="217"/>
      <c r="B479" s="217">
        <v>1053</v>
      </c>
      <c r="C479" s="217"/>
      <c r="D479" s="217" t="s">
        <v>17167</v>
      </c>
      <c r="E479" s="471" t="s">
        <v>20405</v>
      </c>
      <c r="F479" s="482">
        <v>101617</v>
      </c>
      <c r="G479" s="470" t="s">
        <v>20963</v>
      </c>
      <c r="H479" s="482" t="s">
        <v>15515</v>
      </c>
      <c r="I479" s="483">
        <v>11.869999999999999</v>
      </c>
      <c r="J479" s="473">
        <f t="shared" si="805"/>
        <v>3.5299999999999998</v>
      </c>
      <c r="K479" s="474">
        <f t="shared" si="811"/>
        <v>41.901099999999992</v>
      </c>
      <c r="L479" s="475">
        <f t="shared" si="806"/>
        <v>3.3399999999999999</v>
      </c>
      <c r="M479" s="474">
        <f t="shared" si="812"/>
        <v>39.645799999999994</v>
      </c>
      <c r="O479" s="434">
        <f t="shared" si="792"/>
        <v>3.5299999999999998</v>
      </c>
      <c r="P479" s="435">
        <f t="shared" si="793"/>
        <v>3.3399999999999999</v>
      </c>
      <c r="AE479" s="217"/>
      <c r="AF479" s="217">
        <v>1053</v>
      </c>
      <c r="AH479">
        <f t="shared" si="790"/>
        <v>1053</v>
      </c>
    </row>
    <row r="480" ht="75" hidden="1">
      <c r="A480" s="217"/>
      <c r="B480" s="217">
        <v>1053</v>
      </c>
      <c r="C480" s="217"/>
      <c r="D480" s="217" t="s">
        <v>20398</v>
      </c>
      <c r="E480" s="471" t="s">
        <v>20409</v>
      </c>
      <c r="F480" s="482">
        <v>1255</v>
      </c>
      <c r="G480" s="470" t="s">
        <v>20964</v>
      </c>
      <c r="H480" s="482" t="s">
        <v>15528</v>
      </c>
      <c r="I480" s="483">
        <v>14.779999999999999</v>
      </c>
      <c r="J480" s="473">
        <f t="shared" si="805"/>
        <v>29.707014000000001</v>
      </c>
      <c r="K480" s="474">
        <f t="shared" si="811"/>
        <v>439.06966691999997</v>
      </c>
      <c r="L480" s="475">
        <f t="shared" si="806"/>
        <v>28.497014</v>
      </c>
      <c r="M480" s="474">
        <f t="shared" si="812"/>
        <v>421.18586691999997</v>
      </c>
      <c r="O480" s="434">
        <f t="shared" si="792"/>
        <v>29.707014000000001</v>
      </c>
      <c r="P480" s="435">
        <f t="shared" si="793"/>
        <v>28.497014</v>
      </c>
      <c r="AE480" s="217"/>
      <c r="AF480" s="217">
        <v>1053</v>
      </c>
      <c r="AH480">
        <f t="shared" si="790"/>
        <v>1053</v>
      </c>
    </row>
    <row r="481" ht="60" hidden="1">
      <c r="A481" s="217"/>
      <c r="B481" s="217">
        <v>1053</v>
      </c>
      <c r="C481" s="217"/>
      <c r="D481" s="217" t="s">
        <v>20398</v>
      </c>
      <c r="E481" s="471" t="s">
        <v>20663</v>
      </c>
      <c r="F481" s="482">
        <v>1059</v>
      </c>
      <c r="G481" s="470" t="s">
        <v>20965</v>
      </c>
      <c r="H481" s="482" t="s">
        <v>15528</v>
      </c>
      <c r="I481" s="483">
        <v>0.10000000000000001</v>
      </c>
      <c r="J481" s="473">
        <f t="shared" si="805"/>
        <v>453.00401999999997</v>
      </c>
      <c r="K481" s="474">
        <f t="shared" si="811"/>
        <v>45.300401999999998</v>
      </c>
      <c r="L481" s="475">
        <f t="shared" si="806"/>
        <v>445.74401999999998</v>
      </c>
      <c r="M481" s="474">
        <f t="shared" si="812"/>
        <v>44.574401999999999</v>
      </c>
      <c r="O481" s="434">
        <f t="shared" si="792"/>
        <v>453.00401999999997</v>
      </c>
      <c r="P481" s="435">
        <f t="shared" si="793"/>
        <v>445.74401999999998</v>
      </c>
      <c r="AE481" s="217"/>
      <c r="AF481" s="217">
        <v>1053</v>
      </c>
      <c r="AH481">
        <f t="shared" ref="AH481:AH544" si="813">IF(AF481:AF482=FALSE,AE481,AF481)</f>
        <v>1053</v>
      </c>
    </row>
    <row r="482" ht="45" hidden="1">
      <c r="A482" s="217"/>
      <c r="B482" s="217">
        <v>1053</v>
      </c>
      <c r="C482" s="217"/>
      <c r="D482" s="217" t="s">
        <v>20398</v>
      </c>
      <c r="E482" s="471" t="s">
        <v>20665</v>
      </c>
      <c r="F482" s="482">
        <v>1000</v>
      </c>
      <c r="G482" s="470" t="s">
        <v>20651</v>
      </c>
      <c r="H482" s="482" t="s">
        <v>15528</v>
      </c>
      <c r="I482" s="483">
        <v>0.10000000000000001</v>
      </c>
      <c r="J482" s="473">
        <f t="shared" si="805"/>
        <v>149.904</v>
      </c>
      <c r="K482" s="474">
        <f t="shared" si="811"/>
        <v>14.990400000000001</v>
      </c>
      <c r="L482" s="475">
        <f t="shared" si="806"/>
        <v>141.76949999999999</v>
      </c>
      <c r="M482" s="474">
        <f t="shared" si="812"/>
        <v>14.17695</v>
      </c>
      <c r="O482" s="434">
        <f t="shared" si="792"/>
        <v>149.904</v>
      </c>
      <c r="P482" s="435">
        <f t="shared" si="793"/>
        <v>141.76949999999999</v>
      </c>
      <c r="AE482" s="217"/>
      <c r="AF482" s="217">
        <v>1053</v>
      </c>
      <c r="AH482">
        <f t="shared" si="813"/>
        <v>1053</v>
      </c>
    </row>
    <row r="483" ht="60" hidden="1">
      <c r="A483" s="217"/>
      <c r="B483" s="217">
        <v>1053</v>
      </c>
      <c r="C483" s="217"/>
      <c r="D483" s="217" t="s">
        <v>17167</v>
      </c>
      <c r="E483" s="471" t="s">
        <v>20667</v>
      </c>
      <c r="F483" s="482">
        <v>96530</v>
      </c>
      <c r="G483" s="470" t="s">
        <v>20966</v>
      </c>
      <c r="H483" s="482" t="s">
        <v>15515</v>
      </c>
      <c r="I483" s="483">
        <v>20.920000000000002</v>
      </c>
      <c r="J483" s="473">
        <f t="shared" si="805"/>
        <v>129.25999999999999</v>
      </c>
      <c r="K483" s="474">
        <f t="shared" si="811"/>
        <v>2704.1192000000001</v>
      </c>
      <c r="L483" s="475">
        <f t="shared" si="806"/>
        <v>125.91</v>
      </c>
      <c r="M483" s="474">
        <f t="shared" si="812"/>
        <v>2634.0372000000002</v>
      </c>
      <c r="O483" s="434">
        <f t="shared" si="792"/>
        <v>129.25999999999999</v>
      </c>
      <c r="P483" s="435">
        <f t="shared" si="793"/>
        <v>125.91</v>
      </c>
      <c r="AE483" s="217"/>
      <c r="AF483" s="217">
        <v>1053</v>
      </c>
      <c r="AH483">
        <f t="shared" si="813"/>
        <v>1053</v>
      </c>
    </row>
    <row r="484" ht="75" hidden="1">
      <c r="A484" s="217"/>
      <c r="B484" s="217">
        <v>1053</v>
      </c>
      <c r="C484" s="217"/>
      <c r="D484" s="217" t="s">
        <v>20398</v>
      </c>
      <c r="E484" s="471" t="s">
        <v>20671</v>
      </c>
      <c r="F484" s="482">
        <v>1064</v>
      </c>
      <c r="G484" s="470" t="s">
        <v>20967</v>
      </c>
      <c r="H484" s="482" t="s">
        <v>15515</v>
      </c>
      <c r="I484" s="483">
        <v>10.58</v>
      </c>
      <c r="J484" s="473">
        <f t="shared" si="805"/>
        <v>202.79016000000001</v>
      </c>
      <c r="K484" s="474">
        <f t="shared" si="811"/>
        <v>2145.5198928</v>
      </c>
      <c r="L484" s="475">
        <f t="shared" si="806"/>
        <v>197.94299999999998</v>
      </c>
      <c r="M484" s="474">
        <f t="shared" si="812"/>
        <v>2094.2369399999998</v>
      </c>
      <c r="O484" s="434">
        <f t="shared" ref="O484:O547" si="814">IFERROR(IF(D484="SINAPI",VLOOKUP(F484,SINCOMOD,4,FALSE),IF(D484="INSINAPI",VLOOKUP(F484,INSINOD,5,FALSE),IF(D484="SICRO",VLOOKUP(F484,SICRO,5,FALSE),IF(D484="COTACAO",VLOOKUP(F484,COTACAO,6,FALSE),IF(D484="PRÓPRIO",VLOOKUP(F484,COMPOD,11,FALSE),IF(D484="AGESUL",VLOOKUP(F484,AGESULOD,6,FALSE),IF(D484="INSAGESUL",VLOOKUP(F484,INSAGESUL,7,FALSE),"SEM VALOR"))))))),"SEM VALOR")</f>
        <v>202.79016000000001</v>
      </c>
      <c r="P484" s="435">
        <f t="shared" ref="P484:P547" si="815">IFERROR(IF(D484="SINAPI",VLOOKUP(F484,SINCOMOD,6,FALSE),IF(D484="INSINAPI",VLOOKUP(F484,INSINOD,6,FALSE),IF(D484="SICRO",VLOOKUP(F484,SICRO,5,FALSE),IF(D484="COTACAO",VLOOKUP(F484,COTACAO,6,FALSE),IF(D484="PRÓPRIO",VLOOKUP(F484,COMPOD,13,FALSE),IF(D484="AGESUL",VLOOKUP(F484,AGESULOD,11,FALSE),IF(D484="INSAGESUL",VLOOKUP(F484,INSAGESUL,8,FALSE),"SEM VALOR"))))))),"SEM VALOR")</f>
        <v>197.94299999999998</v>
      </c>
      <c r="AE484" s="217"/>
      <c r="AF484" s="217">
        <v>1053</v>
      </c>
      <c r="AH484">
        <f t="shared" si="813"/>
        <v>1053</v>
      </c>
    </row>
    <row r="485" ht="75" hidden="1">
      <c r="A485" s="217"/>
      <c r="B485" s="217">
        <v>1053</v>
      </c>
      <c r="C485" s="217"/>
      <c r="D485" s="217" t="s">
        <v>17167</v>
      </c>
      <c r="E485" s="471" t="s">
        <v>20672</v>
      </c>
      <c r="F485" s="482">
        <v>87878</v>
      </c>
      <c r="G485" s="470" t="s">
        <v>20910</v>
      </c>
      <c r="H485" s="482" t="s">
        <v>15515</v>
      </c>
      <c r="I485" s="483">
        <v>20.100000000000001</v>
      </c>
      <c r="J485" s="473">
        <f t="shared" si="805"/>
        <v>5.0099999999999998</v>
      </c>
      <c r="K485" s="474">
        <f t="shared" si="811"/>
        <v>100.70100000000001</v>
      </c>
      <c r="L485" s="475">
        <f t="shared" si="806"/>
        <v>4.7999999999999998</v>
      </c>
      <c r="M485" s="474">
        <f t="shared" si="812"/>
        <v>96.480000000000004</v>
      </c>
      <c r="O485" s="434">
        <f t="shared" si="814"/>
        <v>5.0099999999999998</v>
      </c>
      <c r="P485" s="435">
        <f t="shared" si="815"/>
        <v>4.7999999999999998</v>
      </c>
      <c r="AE485" s="217"/>
      <c r="AF485" s="217">
        <v>1053</v>
      </c>
      <c r="AH485">
        <f t="shared" si="813"/>
        <v>1053</v>
      </c>
    </row>
    <row r="486" ht="60" hidden="1">
      <c r="A486" s="217"/>
      <c r="B486" s="217">
        <v>1053</v>
      </c>
      <c r="C486" s="217"/>
      <c r="D486" s="217" t="s">
        <v>20398</v>
      </c>
      <c r="E486" s="471" t="s">
        <v>20673</v>
      </c>
      <c r="F486" s="482">
        <v>1421</v>
      </c>
      <c r="G486" s="470" t="s">
        <v>20968</v>
      </c>
      <c r="H486" s="482" t="s">
        <v>15515</v>
      </c>
      <c r="I486" s="483">
        <v>10.58</v>
      </c>
      <c r="J486" s="473">
        <f t="shared" si="805"/>
        <v>46.577570000000001</v>
      </c>
      <c r="K486" s="474">
        <f t="shared" si="811"/>
        <v>492.7906906</v>
      </c>
      <c r="L486" s="475">
        <f t="shared" si="806"/>
        <v>44.735900000000001</v>
      </c>
      <c r="M486" s="474">
        <f t="shared" si="812"/>
        <v>473.30582200000003</v>
      </c>
      <c r="O486" s="434">
        <f t="shared" si="814"/>
        <v>46.577570000000001</v>
      </c>
      <c r="P486" s="435">
        <f t="shared" si="815"/>
        <v>44.735900000000001</v>
      </c>
      <c r="AE486" s="217"/>
      <c r="AF486" s="217">
        <v>1053</v>
      </c>
      <c r="AH486">
        <f t="shared" si="813"/>
        <v>1053</v>
      </c>
    </row>
    <row r="487" ht="60" hidden="1">
      <c r="A487" s="217"/>
      <c r="B487" s="217">
        <v>1053</v>
      </c>
      <c r="C487" s="217"/>
      <c r="D487" s="217" t="s">
        <v>17167</v>
      </c>
      <c r="E487" s="471" t="s">
        <v>20675</v>
      </c>
      <c r="F487" s="482">
        <v>94963</v>
      </c>
      <c r="G487" s="470" t="s">
        <v>20911</v>
      </c>
      <c r="H487" s="482" t="s">
        <v>15528</v>
      </c>
      <c r="I487" s="483">
        <v>1.3600000000000001</v>
      </c>
      <c r="J487" s="473">
        <f t="shared" si="805"/>
        <v>441.43000000000001</v>
      </c>
      <c r="K487" s="474">
        <f t="shared" si="811"/>
        <v>600.34480000000008</v>
      </c>
      <c r="L487" s="475">
        <f t="shared" si="806"/>
        <v>436.14999999999998</v>
      </c>
      <c r="M487" s="474">
        <f t="shared" si="812"/>
        <v>593.16399999999999</v>
      </c>
      <c r="O487" s="434">
        <f t="shared" si="814"/>
        <v>441.43000000000001</v>
      </c>
      <c r="P487" s="435">
        <f t="shared" si="815"/>
        <v>436.14999999999998</v>
      </c>
      <c r="AE487" s="217"/>
      <c r="AF487" s="217">
        <v>1053</v>
      </c>
      <c r="AH487">
        <f t="shared" si="813"/>
        <v>1053</v>
      </c>
    </row>
    <row r="488" ht="45" hidden="1">
      <c r="A488" s="217"/>
      <c r="B488" s="217">
        <v>1053</v>
      </c>
      <c r="C488" s="217"/>
      <c r="D488" s="217" t="s">
        <v>20398</v>
      </c>
      <c r="E488" s="471" t="s">
        <v>20677</v>
      </c>
      <c r="F488" s="482">
        <v>1000</v>
      </c>
      <c r="G488" s="470" t="s">
        <v>20651</v>
      </c>
      <c r="H488" s="482" t="s">
        <v>15528</v>
      </c>
      <c r="I488" s="483">
        <v>1.3600000000000001</v>
      </c>
      <c r="J488" s="473">
        <f t="shared" si="805"/>
        <v>149.904</v>
      </c>
      <c r="K488" s="474">
        <f t="shared" si="811"/>
        <v>203.86944</v>
      </c>
      <c r="L488" s="475">
        <f t="shared" si="806"/>
        <v>141.76949999999999</v>
      </c>
      <c r="M488" s="474">
        <f t="shared" si="812"/>
        <v>192.80652000000001</v>
      </c>
      <c r="O488" s="434">
        <f t="shared" si="814"/>
        <v>149.904</v>
      </c>
      <c r="P488" s="435">
        <f t="shared" si="815"/>
        <v>141.76949999999999</v>
      </c>
      <c r="AE488" s="217"/>
      <c r="AF488" s="217">
        <v>1053</v>
      </c>
      <c r="AH488">
        <f t="shared" si="813"/>
        <v>1053</v>
      </c>
    </row>
    <row r="489" ht="60" hidden="1">
      <c r="A489" s="217"/>
      <c r="B489" s="217">
        <v>1053</v>
      </c>
      <c r="C489" s="217"/>
      <c r="D489" s="217" t="s">
        <v>17167</v>
      </c>
      <c r="E489" s="471" t="s">
        <v>20679</v>
      </c>
      <c r="F489" s="482">
        <v>94964</v>
      </c>
      <c r="G489" s="470" t="s">
        <v>20686</v>
      </c>
      <c r="H489" s="482" t="s">
        <v>15528</v>
      </c>
      <c r="I489" s="483">
        <v>3.23</v>
      </c>
      <c r="J489" s="473">
        <f t="shared" si="805"/>
        <v>488.52999999999997</v>
      </c>
      <c r="K489" s="474">
        <f t="shared" si="811"/>
        <v>1577.9518999999998</v>
      </c>
      <c r="L489" s="475">
        <f t="shared" si="806"/>
        <v>482.79000000000002</v>
      </c>
      <c r="M489" s="474">
        <f t="shared" si="812"/>
        <v>1559.4117000000001</v>
      </c>
      <c r="O489" s="434">
        <f t="shared" si="814"/>
        <v>488.52999999999997</v>
      </c>
      <c r="P489" s="435">
        <f t="shared" si="815"/>
        <v>482.79000000000002</v>
      </c>
      <c r="AE489" s="217"/>
      <c r="AF489" s="217">
        <v>1053</v>
      </c>
      <c r="AH489">
        <f t="shared" si="813"/>
        <v>1053</v>
      </c>
    </row>
    <row r="490" ht="45" hidden="1">
      <c r="A490" s="217"/>
      <c r="B490" s="217">
        <v>1053</v>
      </c>
      <c r="C490" s="217"/>
      <c r="D490" s="217" t="s">
        <v>20398</v>
      </c>
      <c r="E490" s="471" t="s">
        <v>20681</v>
      </c>
      <c r="F490" s="482">
        <v>1000</v>
      </c>
      <c r="G490" s="470" t="s">
        <v>20651</v>
      </c>
      <c r="H490" s="482" t="s">
        <v>15528</v>
      </c>
      <c r="I490" s="483">
        <v>3.23</v>
      </c>
      <c r="J490" s="473">
        <f t="shared" si="805"/>
        <v>149.904</v>
      </c>
      <c r="K490" s="474">
        <f t="shared" si="811"/>
        <v>484.18991999999997</v>
      </c>
      <c r="L490" s="475">
        <f t="shared" si="806"/>
        <v>141.76949999999999</v>
      </c>
      <c r="M490" s="474">
        <f t="shared" si="812"/>
        <v>457.91548499999999</v>
      </c>
      <c r="O490" s="434">
        <f t="shared" si="814"/>
        <v>149.904</v>
      </c>
      <c r="P490" s="435">
        <f t="shared" si="815"/>
        <v>141.76949999999999</v>
      </c>
      <c r="AE490" s="217"/>
      <c r="AF490" s="217">
        <v>1053</v>
      </c>
      <c r="AH490">
        <f t="shared" si="813"/>
        <v>1053</v>
      </c>
    </row>
    <row r="491" ht="75" hidden="1">
      <c r="A491" s="217"/>
      <c r="B491" s="217">
        <v>1053</v>
      </c>
      <c r="C491" s="217"/>
      <c r="D491" s="217" t="s">
        <v>17167</v>
      </c>
      <c r="E491" s="471" t="s">
        <v>20683</v>
      </c>
      <c r="F491" s="482">
        <v>92916</v>
      </c>
      <c r="G491" s="470" t="s">
        <v>20969</v>
      </c>
      <c r="H491" s="482" t="s">
        <v>302</v>
      </c>
      <c r="I491" s="483">
        <v>81.840000000000003</v>
      </c>
      <c r="J491" s="473">
        <f t="shared" si="805"/>
        <v>15</v>
      </c>
      <c r="K491" s="474">
        <f t="shared" si="811"/>
        <v>1227.6000000000001</v>
      </c>
      <c r="L491" s="475">
        <f t="shared" si="806"/>
        <v>14.69</v>
      </c>
      <c r="M491" s="474">
        <f t="shared" si="812"/>
        <v>1202.2296000000001</v>
      </c>
      <c r="O491" s="434">
        <f t="shared" si="814"/>
        <v>15</v>
      </c>
      <c r="P491" s="435">
        <f t="shared" si="815"/>
        <v>14.69</v>
      </c>
      <c r="AE491" s="217"/>
      <c r="AF491" s="217">
        <v>1053</v>
      </c>
      <c r="AH491">
        <f t="shared" si="813"/>
        <v>1053</v>
      </c>
    </row>
    <row r="492" ht="75" hidden="1">
      <c r="A492" s="217"/>
      <c r="B492" s="217">
        <v>1053</v>
      </c>
      <c r="C492" s="217"/>
      <c r="D492" s="217" t="s">
        <v>17167</v>
      </c>
      <c r="E492" s="471" t="s">
        <v>20685</v>
      </c>
      <c r="F492" s="482">
        <v>92915</v>
      </c>
      <c r="G492" s="470" t="s">
        <v>20970</v>
      </c>
      <c r="H492" s="482" t="s">
        <v>302</v>
      </c>
      <c r="I492" s="483">
        <v>16.489999999999998</v>
      </c>
      <c r="J492" s="473">
        <f t="shared" si="805"/>
        <v>16.649999999999999</v>
      </c>
      <c r="K492" s="474">
        <f t="shared" si="811"/>
        <v>274.55849999999992</v>
      </c>
      <c r="L492" s="475">
        <f t="shared" si="806"/>
        <v>16.199999999999999</v>
      </c>
      <c r="M492" s="474">
        <f t="shared" si="812"/>
        <v>267.13799999999998</v>
      </c>
      <c r="O492" s="434">
        <f t="shared" si="814"/>
        <v>16.649999999999999</v>
      </c>
      <c r="P492" s="435">
        <f t="shared" si="815"/>
        <v>16.199999999999999</v>
      </c>
      <c r="AE492" s="217"/>
      <c r="AF492" s="217">
        <v>1053</v>
      </c>
      <c r="AH492">
        <f t="shared" si="813"/>
        <v>1053</v>
      </c>
    </row>
    <row r="493" ht="60" hidden="1">
      <c r="A493" s="217"/>
      <c r="B493" s="217">
        <v>1053</v>
      </c>
      <c r="C493" s="217"/>
      <c r="D493" s="217" t="s">
        <v>17167</v>
      </c>
      <c r="E493" s="471" t="s">
        <v>20687</v>
      </c>
      <c r="F493" s="482">
        <v>91593</v>
      </c>
      <c r="G493" s="470" t="s">
        <v>20971</v>
      </c>
      <c r="H493" s="482" t="s">
        <v>302</v>
      </c>
      <c r="I493" s="483">
        <v>31.68</v>
      </c>
      <c r="J493" s="473">
        <f t="shared" si="805"/>
        <v>10.199999999999999</v>
      </c>
      <c r="K493" s="474">
        <f t="shared" si="811"/>
        <v>323.13599999999997</v>
      </c>
      <c r="L493" s="475">
        <f t="shared" si="806"/>
        <v>10.16</v>
      </c>
      <c r="M493" s="474">
        <f t="shared" si="812"/>
        <v>321.86880000000002</v>
      </c>
      <c r="O493" s="434">
        <f t="shared" si="814"/>
        <v>10.199999999999999</v>
      </c>
      <c r="P493" s="435">
        <f t="shared" si="815"/>
        <v>10.16</v>
      </c>
      <c r="AE493" s="217"/>
      <c r="AF493" s="217">
        <v>1053</v>
      </c>
      <c r="AH493">
        <f t="shared" si="813"/>
        <v>1053</v>
      </c>
    </row>
    <row r="494" ht="75" hidden="1">
      <c r="A494" s="217"/>
      <c r="B494" s="217">
        <v>1053</v>
      </c>
      <c r="C494" s="217"/>
      <c r="D494" s="217" t="s">
        <v>20398</v>
      </c>
      <c r="E494" s="471" t="s">
        <v>20689</v>
      </c>
      <c r="F494" s="482">
        <v>1058</v>
      </c>
      <c r="G494" s="470" t="s">
        <v>20972</v>
      </c>
      <c r="H494" s="482" t="s">
        <v>15515</v>
      </c>
      <c r="I494" s="483">
        <v>4.0999999999999996</v>
      </c>
      <c r="J494" s="473">
        <f t="shared" si="805"/>
        <v>30.214100000000002</v>
      </c>
      <c r="K494" s="474">
        <f t="shared" si="811"/>
        <v>123.87781</v>
      </c>
      <c r="L494" s="475">
        <f t="shared" si="806"/>
        <v>29.332799999999999</v>
      </c>
      <c r="M494" s="474">
        <f t="shared" si="812"/>
        <v>120.26447999999999</v>
      </c>
      <c r="O494" s="434">
        <f t="shared" si="814"/>
        <v>30.214100000000002</v>
      </c>
      <c r="P494" s="435">
        <f t="shared" si="815"/>
        <v>29.332799999999999</v>
      </c>
      <c r="AE494" s="217"/>
      <c r="AF494" s="217">
        <v>1053</v>
      </c>
      <c r="AH494">
        <f t="shared" si="813"/>
        <v>1053</v>
      </c>
    </row>
    <row r="495" ht="45" hidden="1">
      <c r="A495" s="217"/>
      <c r="B495" s="217">
        <v>1053</v>
      </c>
      <c r="C495" s="217"/>
      <c r="D495" s="217" t="s">
        <v>20398</v>
      </c>
      <c r="E495" s="471" t="s">
        <v>20882</v>
      </c>
      <c r="F495" s="482">
        <v>1060</v>
      </c>
      <c r="G495" s="470" t="s">
        <v>20973</v>
      </c>
      <c r="H495" s="482" t="s">
        <v>31</v>
      </c>
      <c r="I495" s="483">
        <v>1</v>
      </c>
      <c r="J495" s="473">
        <f t="shared" si="805"/>
        <v>4850.3189000000002</v>
      </c>
      <c r="K495" s="474">
        <f t="shared" si="811"/>
        <v>4850.3189000000002</v>
      </c>
      <c r="L495" s="475">
        <f t="shared" si="806"/>
        <v>4796.6638999999996</v>
      </c>
      <c r="M495" s="474">
        <f t="shared" si="812"/>
        <v>4796.6638999999996</v>
      </c>
      <c r="O495" s="434">
        <f t="shared" si="814"/>
        <v>4850.3189000000002</v>
      </c>
      <c r="P495" s="435">
        <f t="shared" si="815"/>
        <v>4796.6638999999996</v>
      </c>
      <c r="AE495" s="217"/>
      <c r="AF495" s="217">
        <v>1053</v>
      </c>
      <c r="AH495">
        <f t="shared" si="813"/>
        <v>1053</v>
      </c>
    </row>
    <row r="496" hidden="1">
      <c r="A496" s="460">
        <v>1054</v>
      </c>
      <c r="B496" s="460">
        <v>1054</v>
      </c>
      <c r="C496" s="460"/>
      <c r="D496" s="460"/>
      <c r="E496" s="461" t="s">
        <v>20395</v>
      </c>
      <c r="F496" s="462" t="s">
        <v>20974</v>
      </c>
      <c r="G496" s="477" t="s">
        <v>20975</v>
      </c>
      <c r="H496" s="478" t="s">
        <v>20387</v>
      </c>
      <c r="I496" s="479"/>
      <c r="J496" s="480"/>
      <c r="K496" s="466">
        <f>SUM(K497:K515)</f>
        <v>20056.686930379998</v>
      </c>
      <c r="L496" s="480"/>
      <c r="M496" s="466">
        <f>SUM(M497:M515)</f>
        <v>19651.128742380002</v>
      </c>
      <c r="O496" s="434" t="str">
        <f t="shared" si="814"/>
        <v xml:space="preserve">SEM VALOR</v>
      </c>
      <c r="P496" s="435" t="str">
        <f t="shared" si="815"/>
        <v xml:space="preserve">SEM VALOR</v>
      </c>
      <c r="AE496" s="460">
        <v>1054</v>
      </c>
      <c r="AF496" s="460"/>
      <c r="AH496">
        <f t="shared" si="813"/>
        <v>1054</v>
      </c>
    </row>
    <row r="497" ht="120" hidden="1">
      <c r="A497" s="217"/>
      <c r="B497" s="217">
        <v>1054</v>
      </c>
      <c r="C497" s="217"/>
      <c r="D497" s="217" t="s">
        <v>17167</v>
      </c>
      <c r="E497" s="471" t="s">
        <v>20399</v>
      </c>
      <c r="F497" s="482">
        <v>90091</v>
      </c>
      <c r="G497" s="470" t="s">
        <v>20961</v>
      </c>
      <c r="H497" s="482" t="str">
        <f t="shared" ref="H497:H515" si="816">H475</f>
        <v>H</v>
      </c>
      <c r="I497" s="483">
        <v>6.5700000000000003</v>
      </c>
      <c r="J497" s="473">
        <f t="shared" si="805"/>
        <v>6.1799999999999997</v>
      </c>
      <c r="K497" s="474">
        <f t="shared" ref="K497:K515" si="817">I497*J497</f>
        <v>40.602600000000002</v>
      </c>
      <c r="L497" s="475">
        <f t="shared" si="806"/>
        <v>6.0700000000000003</v>
      </c>
      <c r="M497" s="474">
        <f t="shared" ref="M497:M515" si="818">L497*I497</f>
        <v>39.879900000000006</v>
      </c>
      <c r="O497" s="434">
        <f t="shared" si="814"/>
        <v>6.1799999999999997</v>
      </c>
      <c r="P497" s="435">
        <f t="shared" si="815"/>
        <v>6.0700000000000003</v>
      </c>
      <c r="AE497" s="217"/>
      <c r="AF497" s="217">
        <v>1054</v>
      </c>
      <c r="AH497">
        <f t="shared" si="813"/>
        <v>1054</v>
      </c>
    </row>
    <row r="498" ht="135" hidden="1">
      <c r="A498" s="217"/>
      <c r="B498" s="217">
        <v>1054</v>
      </c>
      <c r="C498" s="217"/>
      <c r="D498" s="217" t="s">
        <v>17167</v>
      </c>
      <c r="E498" s="471" t="s">
        <v>20402</v>
      </c>
      <c r="F498" s="482">
        <v>102281</v>
      </c>
      <c r="G498" s="470" t="s">
        <v>20962</v>
      </c>
      <c r="H498" s="482" t="str">
        <f t="shared" si="816"/>
        <v>UN.</v>
      </c>
      <c r="I498" s="483">
        <v>26.260000000000002</v>
      </c>
      <c r="J498" s="473">
        <f t="shared" si="805"/>
        <v>5.8300000000000001</v>
      </c>
      <c r="K498" s="474">
        <f t="shared" si="817"/>
        <v>153.0958</v>
      </c>
      <c r="L498" s="475">
        <f t="shared" si="806"/>
        <v>5.7199999999999998</v>
      </c>
      <c r="M498" s="474">
        <f t="shared" si="818"/>
        <v>150.2072</v>
      </c>
      <c r="O498" s="434">
        <f t="shared" si="814"/>
        <v>5.8300000000000001</v>
      </c>
      <c r="P498" s="435">
        <f t="shared" si="815"/>
        <v>5.7199999999999998</v>
      </c>
      <c r="AE498" s="217"/>
      <c r="AF498" s="217">
        <v>1054</v>
      </c>
      <c r="AH498">
        <f t="shared" si="813"/>
        <v>1054</v>
      </c>
    </row>
    <row r="499" ht="75" hidden="1">
      <c r="A499" s="217"/>
      <c r="B499" s="217">
        <v>1054</v>
      </c>
      <c r="C499" s="217"/>
      <c r="D499" s="217" t="s">
        <v>17167</v>
      </c>
      <c r="E499" s="471" t="s">
        <v>20405</v>
      </c>
      <c r="F499" s="482">
        <v>101617</v>
      </c>
      <c r="G499" s="470" t="s">
        <v>20963</v>
      </c>
      <c r="H499" s="482" t="str">
        <f t="shared" si="816"/>
        <v>M³</v>
      </c>
      <c r="I499" s="483">
        <v>14.77</v>
      </c>
      <c r="J499" s="473">
        <f t="shared" si="805"/>
        <v>3.5299999999999998</v>
      </c>
      <c r="K499" s="474">
        <f t="shared" si="817"/>
        <v>52.138099999999994</v>
      </c>
      <c r="L499" s="475">
        <f t="shared" si="806"/>
        <v>3.3399999999999999</v>
      </c>
      <c r="M499" s="474">
        <f t="shared" si="818"/>
        <v>49.331799999999994</v>
      </c>
      <c r="O499" s="434">
        <f t="shared" si="814"/>
        <v>3.5299999999999998</v>
      </c>
      <c r="P499" s="435">
        <f t="shared" si="815"/>
        <v>3.3399999999999999</v>
      </c>
      <c r="AE499" s="217"/>
      <c r="AF499" s="217">
        <v>1054</v>
      </c>
      <c r="AH499">
        <f t="shared" si="813"/>
        <v>1054</v>
      </c>
    </row>
    <row r="500" ht="75" hidden="1">
      <c r="A500" s="217"/>
      <c r="B500" s="217">
        <v>1054</v>
      </c>
      <c r="C500" s="217"/>
      <c r="D500" s="217" t="s">
        <v>20398</v>
      </c>
      <c r="E500" s="471" t="s">
        <v>20409</v>
      </c>
      <c r="F500" s="482">
        <v>1255</v>
      </c>
      <c r="G500" s="470" t="s">
        <v>20964</v>
      </c>
      <c r="H500" s="482" t="str">
        <f t="shared" si="816"/>
        <v>M³</v>
      </c>
      <c r="I500" s="483">
        <v>17.170000000000002</v>
      </c>
      <c r="J500" s="473">
        <f t="shared" si="805"/>
        <v>29.707014000000001</v>
      </c>
      <c r="K500" s="474">
        <f t="shared" si="817"/>
        <v>510.06943038000009</v>
      </c>
      <c r="L500" s="475">
        <f t="shared" si="806"/>
        <v>28.497014</v>
      </c>
      <c r="M500" s="474">
        <f t="shared" si="818"/>
        <v>489.29373038000006</v>
      </c>
      <c r="O500" s="434">
        <f t="shared" si="814"/>
        <v>29.707014000000001</v>
      </c>
      <c r="P500" s="435">
        <f t="shared" si="815"/>
        <v>28.497014</v>
      </c>
      <c r="AE500" s="217"/>
      <c r="AF500" s="217">
        <v>1054</v>
      </c>
      <c r="AH500">
        <f t="shared" si="813"/>
        <v>1054</v>
      </c>
    </row>
    <row r="501" ht="60" hidden="1">
      <c r="A501" s="217"/>
      <c r="B501" s="217">
        <v>1054</v>
      </c>
      <c r="C501" s="217"/>
      <c r="D501" s="217" t="s">
        <v>20398</v>
      </c>
      <c r="E501" s="471" t="s">
        <v>20663</v>
      </c>
      <c r="F501" s="482">
        <v>1059</v>
      </c>
      <c r="G501" s="470" t="s">
        <v>20965</v>
      </c>
      <c r="H501" s="482" t="str">
        <f t="shared" si="816"/>
        <v>M²</v>
      </c>
      <c r="I501" s="483">
        <v>0.10000000000000001</v>
      </c>
      <c r="J501" s="473">
        <f t="shared" si="805"/>
        <v>453.00401999999997</v>
      </c>
      <c r="K501" s="474">
        <f t="shared" si="817"/>
        <v>45.300401999999998</v>
      </c>
      <c r="L501" s="475">
        <f t="shared" si="806"/>
        <v>445.74401999999998</v>
      </c>
      <c r="M501" s="474">
        <f t="shared" si="818"/>
        <v>44.574401999999999</v>
      </c>
      <c r="O501" s="434">
        <f t="shared" si="814"/>
        <v>453.00401999999997</v>
      </c>
      <c r="P501" s="435">
        <f t="shared" si="815"/>
        <v>445.74401999999998</v>
      </c>
      <c r="AE501" s="217"/>
      <c r="AF501" s="217">
        <v>1054</v>
      </c>
      <c r="AH501">
        <f t="shared" si="813"/>
        <v>1054</v>
      </c>
    </row>
    <row r="502" ht="30" hidden="1">
      <c r="A502" s="217"/>
      <c r="B502" s="217">
        <v>1054</v>
      </c>
      <c r="C502" s="217"/>
      <c r="D502" s="217" t="s">
        <v>20398</v>
      </c>
      <c r="E502" s="471" t="s">
        <v>20665</v>
      </c>
      <c r="F502" s="482">
        <v>1000</v>
      </c>
      <c r="G502" s="470" t="s">
        <v>20976</v>
      </c>
      <c r="H502" s="482" t="str">
        <f t="shared" si="816"/>
        <v>M³</v>
      </c>
      <c r="I502" s="483">
        <v>0.10000000000000001</v>
      </c>
      <c r="J502" s="473">
        <f t="shared" si="805"/>
        <v>149.904</v>
      </c>
      <c r="K502" s="474">
        <f t="shared" si="817"/>
        <v>14.990400000000001</v>
      </c>
      <c r="L502" s="475">
        <f t="shared" si="806"/>
        <v>141.76949999999999</v>
      </c>
      <c r="M502" s="474">
        <f t="shared" si="818"/>
        <v>14.17695</v>
      </c>
      <c r="O502" s="434">
        <f t="shared" si="814"/>
        <v>149.904</v>
      </c>
      <c r="P502" s="435">
        <f t="shared" si="815"/>
        <v>141.76949999999999</v>
      </c>
      <c r="AE502" s="217"/>
      <c r="AF502" s="217">
        <v>1054</v>
      </c>
      <c r="AH502">
        <f t="shared" si="813"/>
        <v>1054</v>
      </c>
    </row>
    <row r="503" ht="60" hidden="1">
      <c r="A503" s="217"/>
      <c r="B503" s="217">
        <v>1054</v>
      </c>
      <c r="C503" s="217"/>
      <c r="D503" s="217" t="s">
        <v>17167</v>
      </c>
      <c r="E503" s="471" t="s">
        <v>20667</v>
      </c>
      <c r="F503" s="482">
        <v>96530</v>
      </c>
      <c r="G503" s="470" t="s">
        <v>20966</v>
      </c>
      <c r="H503" s="482" t="str">
        <f t="shared" si="816"/>
        <v>M³</v>
      </c>
      <c r="I503" s="483">
        <v>26.68</v>
      </c>
      <c r="J503" s="473">
        <f t="shared" si="805"/>
        <v>129.25999999999999</v>
      </c>
      <c r="K503" s="474">
        <f t="shared" si="817"/>
        <v>3448.6567999999997</v>
      </c>
      <c r="L503" s="475">
        <f t="shared" si="806"/>
        <v>125.91</v>
      </c>
      <c r="M503" s="474">
        <f t="shared" si="818"/>
        <v>3359.2788</v>
      </c>
      <c r="O503" s="434">
        <f t="shared" si="814"/>
        <v>129.25999999999999</v>
      </c>
      <c r="P503" s="435">
        <f t="shared" si="815"/>
        <v>125.91</v>
      </c>
      <c r="AE503" s="217"/>
      <c r="AF503" s="217">
        <v>1054</v>
      </c>
      <c r="AH503">
        <f t="shared" si="813"/>
        <v>1054</v>
      </c>
    </row>
    <row r="504" ht="75" hidden="1">
      <c r="A504" s="217"/>
      <c r="B504" s="217">
        <v>1054</v>
      </c>
      <c r="C504" s="217"/>
      <c r="D504" s="217" t="s">
        <v>20398</v>
      </c>
      <c r="E504" s="471" t="s">
        <v>20671</v>
      </c>
      <c r="F504" s="482">
        <v>1064</v>
      </c>
      <c r="G504" s="470" t="s">
        <v>20967</v>
      </c>
      <c r="H504" s="482" t="str">
        <f t="shared" si="816"/>
        <v>M³</v>
      </c>
      <c r="I504" s="483">
        <v>12.1</v>
      </c>
      <c r="J504" s="473">
        <f t="shared" si="805"/>
        <v>202.79016000000001</v>
      </c>
      <c r="K504" s="474">
        <f t="shared" si="817"/>
        <v>2453.7609360000001</v>
      </c>
      <c r="L504" s="475">
        <f t="shared" si="806"/>
        <v>197.94299999999998</v>
      </c>
      <c r="M504" s="474">
        <f t="shared" si="818"/>
        <v>2395.1102999999998</v>
      </c>
      <c r="O504" s="434">
        <f t="shared" si="814"/>
        <v>202.79016000000001</v>
      </c>
      <c r="P504" s="435">
        <f t="shared" si="815"/>
        <v>197.94299999999998</v>
      </c>
      <c r="AE504" s="217"/>
      <c r="AF504" s="217">
        <v>1054</v>
      </c>
      <c r="AH504">
        <f t="shared" si="813"/>
        <v>1054</v>
      </c>
    </row>
    <row r="505" ht="75" hidden="1">
      <c r="A505" s="217"/>
      <c r="B505" s="217">
        <v>1054</v>
      </c>
      <c r="C505" s="217"/>
      <c r="D505" s="217" t="s">
        <v>17167</v>
      </c>
      <c r="E505" s="471" t="s">
        <v>20672</v>
      </c>
      <c r="F505" s="482">
        <v>87878</v>
      </c>
      <c r="G505" s="470" t="s">
        <v>20910</v>
      </c>
      <c r="H505" s="482" t="str">
        <f t="shared" si="816"/>
        <v>M²</v>
      </c>
      <c r="I505" s="483">
        <v>23.140000000000001</v>
      </c>
      <c r="J505" s="473">
        <f t="shared" si="805"/>
        <v>5.0099999999999998</v>
      </c>
      <c r="K505" s="474">
        <f t="shared" si="817"/>
        <v>115.9314</v>
      </c>
      <c r="L505" s="475">
        <f t="shared" si="806"/>
        <v>4.7999999999999998</v>
      </c>
      <c r="M505" s="474">
        <f t="shared" si="818"/>
        <v>111.072</v>
      </c>
      <c r="O505" s="434">
        <f t="shared" si="814"/>
        <v>5.0099999999999998</v>
      </c>
      <c r="P505" s="435">
        <f t="shared" si="815"/>
        <v>4.7999999999999998</v>
      </c>
      <c r="AE505" s="217"/>
      <c r="AF505" s="217">
        <v>1054</v>
      </c>
      <c r="AH505">
        <f t="shared" si="813"/>
        <v>1054</v>
      </c>
    </row>
    <row r="506" ht="60" hidden="1">
      <c r="A506" s="217"/>
      <c r="B506" s="217">
        <v>1054</v>
      </c>
      <c r="C506" s="217"/>
      <c r="D506" s="217" t="s">
        <v>20398</v>
      </c>
      <c r="E506" s="471" t="s">
        <v>20673</v>
      </c>
      <c r="F506" s="482">
        <v>1421</v>
      </c>
      <c r="G506" s="470" t="s">
        <v>20968</v>
      </c>
      <c r="H506" s="482" t="str">
        <f t="shared" si="816"/>
        <v>M²</v>
      </c>
      <c r="I506" s="483">
        <v>12.1</v>
      </c>
      <c r="J506" s="473">
        <f t="shared" si="805"/>
        <v>46.577570000000001</v>
      </c>
      <c r="K506" s="474">
        <f t="shared" si="817"/>
        <v>563.58859700000005</v>
      </c>
      <c r="L506" s="475">
        <f t="shared" si="806"/>
        <v>44.735900000000001</v>
      </c>
      <c r="M506" s="474">
        <f t="shared" si="818"/>
        <v>541.30439000000001</v>
      </c>
      <c r="O506" s="434">
        <f t="shared" si="814"/>
        <v>46.577570000000001</v>
      </c>
      <c r="P506" s="435">
        <f t="shared" si="815"/>
        <v>44.735900000000001</v>
      </c>
      <c r="AE506" s="217"/>
      <c r="AF506" s="217">
        <v>1054</v>
      </c>
      <c r="AH506">
        <f t="shared" si="813"/>
        <v>1054</v>
      </c>
    </row>
    <row r="507" ht="60" hidden="1">
      <c r="A507" s="217"/>
      <c r="B507" s="217">
        <v>1054</v>
      </c>
      <c r="C507" s="217"/>
      <c r="D507" s="217" t="s">
        <v>17167</v>
      </c>
      <c r="E507" s="471" t="s">
        <v>20675</v>
      </c>
      <c r="F507" s="482">
        <v>94963</v>
      </c>
      <c r="G507" s="470" t="s">
        <v>20911</v>
      </c>
      <c r="H507" s="482" t="str">
        <f t="shared" si="816"/>
        <v>M²</v>
      </c>
      <c r="I507" s="483">
        <v>1.6499999999999999</v>
      </c>
      <c r="J507" s="473">
        <f t="shared" si="805"/>
        <v>441.43000000000001</v>
      </c>
      <c r="K507" s="474">
        <f t="shared" si="817"/>
        <v>728.35950000000003</v>
      </c>
      <c r="L507" s="475">
        <f t="shared" si="806"/>
        <v>436.14999999999998</v>
      </c>
      <c r="M507" s="474">
        <f t="shared" si="818"/>
        <v>719.64749999999992</v>
      </c>
      <c r="O507" s="434">
        <f t="shared" si="814"/>
        <v>441.43000000000001</v>
      </c>
      <c r="P507" s="435">
        <f t="shared" si="815"/>
        <v>436.14999999999998</v>
      </c>
      <c r="AE507" s="217"/>
      <c r="AF507" s="217">
        <v>1054</v>
      </c>
      <c r="AH507">
        <f t="shared" si="813"/>
        <v>1054</v>
      </c>
    </row>
    <row r="508" ht="30" hidden="1">
      <c r="A508" s="217"/>
      <c r="B508" s="217">
        <v>1054</v>
      </c>
      <c r="C508" s="217"/>
      <c r="D508" s="217" t="s">
        <v>20398</v>
      </c>
      <c r="E508" s="471" t="s">
        <v>20677</v>
      </c>
      <c r="F508" s="482">
        <v>1000</v>
      </c>
      <c r="G508" s="470" t="s">
        <v>20976</v>
      </c>
      <c r="H508" s="482" t="str">
        <f t="shared" si="816"/>
        <v>M²</v>
      </c>
      <c r="I508" s="483">
        <v>1.6499999999999999</v>
      </c>
      <c r="J508" s="473">
        <f t="shared" si="805"/>
        <v>149.904</v>
      </c>
      <c r="K508" s="474">
        <f t="shared" si="817"/>
        <v>247.34159999999997</v>
      </c>
      <c r="L508" s="475">
        <f t="shared" si="806"/>
        <v>141.76949999999999</v>
      </c>
      <c r="M508" s="474">
        <f t="shared" si="818"/>
        <v>233.91967499999998</v>
      </c>
      <c r="O508" s="434">
        <f t="shared" si="814"/>
        <v>149.904</v>
      </c>
      <c r="P508" s="435">
        <f t="shared" si="815"/>
        <v>141.76949999999999</v>
      </c>
      <c r="AE508" s="217"/>
      <c r="AF508" s="217">
        <v>1054</v>
      </c>
      <c r="AH508">
        <f t="shared" si="813"/>
        <v>1054</v>
      </c>
    </row>
    <row r="509" ht="60" hidden="1">
      <c r="A509" s="217"/>
      <c r="B509" s="217">
        <v>1054</v>
      </c>
      <c r="C509" s="217"/>
      <c r="D509" s="217" t="s">
        <v>17167</v>
      </c>
      <c r="E509" s="471" t="s">
        <v>20679</v>
      </c>
      <c r="F509" s="482">
        <v>94964</v>
      </c>
      <c r="G509" s="470" t="s">
        <v>20686</v>
      </c>
      <c r="H509" s="482" t="str">
        <f t="shared" si="816"/>
        <v>M³</v>
      </c>
      <c r="I509" s="483">
        <v>4.2199999999999998</v>
      </c>
      <c r="J509" s="473">
        <f t="shared" si="805"/>
        <v>488.52999999999997</v>
      </c>
      <c r="K509" s="474">
        <f t="shared" si="817"/>
        <v>2061.5965999999999</v>
      </c>
      <c r="L509" s="475">
        <f t="shared" si="806"/>
        <v>482.79000000000002</v>
      </c>
      <c r="M509" s="474">
        <f t="shared" si="818"/>
        <v>2037.3738000000001</v>
      </c>
      <c r="O509" s="434">
        <f t="shared" si="814"/>
        <v>488.52999999999997</v>
      </c>
      <c r="P509" s="435">
        <f t="shared" si="815"/>
        <v>482.79000000000002</v>
      </c>
      <c r="AE509" s="217"/>
      <c r="AF509" s="217">
        <v>1054</v>
      </c>
      <c r="AH509">
        <f t="shared" si="813"/>
        <v>1054</v>
      </c>
    </row>
    <row r="510" ht="30" hidden="1">
      <c r="A510" s="217"/>
      <c r="B510" s="217">
        <v>1054</v>
      </c>
      <c r="C510" s="217"/>
      <c r="D510" s="217" t="s">
        <v>20398</v>
      </c>
      <c r="E510" s="471" t="s">
        <v>20681</v>
      </c>
      <c r="F510" s="482">
        <v>1000</v>
      </c>
      <c r="G510" s="470" t="s">
        <v>20976</v>
      </c>
      <c r="H510" s="482" t="str">
        <f t="shared" si="816"/>
        <v>M³</v>
      </c>
      <c r="I510" s="483">
        <v>4.2199999999999998</v>
      </c>
      <c r="J510" s="473">
        <f t="shared" si="805"/>
        <v>149.904</v>
      </c>
      <c r="K510" s="474">
        <f t="shared" si="817"/>
        <v>632.59487999999999</v>
      </c>
      <c r="L510" s="475">
        <f t="shared" si="806"/>
        <v>141.76949999999999</v>
      </c>
      <c r="M510" s="474">
        <f t="shared" si="818"/>
        <v>598.26728999999989</v>
      </c>
      <c r="O510" s="434">
        <f t="shared" si="814"/>
        <v>149.904</v>
      </c>
      <c r="P510" s="435">
        <f t="shared" si="815"/>
        <v>141.76949999999999</v>
      </c>
      <c r="AE510" s="217"/>
      <c r="AF510" s="217">
        <v>1054</v>
      </c>
      <c r="AH510">
        <f t="shared" si="813"/>
        <v>1054</v>
      </c>
    </row>
    <row r="511" ht="75" hidden="1">
      <c r="A511" s="217"/>
      <c r="B511" s="217">
        <v>1054</v>
      </c>
      <c r="C511" s="217"/>
      <c r="D511" s="217" t="s">
        <v>17167</v>
      </c>
      <c r="E511" s="471" t="s">
        <v>20683</v>
      </c>
      <c r="F511" s="482">
        <v>92916</v>
      </c>
      <c r="G511" s="470" t="s">
        <v>20969</v>
      </c>
      <c r="H511" s="482" t="str">
        <f t="shared" si="816"/>
        <v>M³</v>
      </c>
      <c r="I511" s="483">
        <v>104.47</v>
      </c>
      <c r="J511" s="473">
        <f t="shared" si="805"/>
        <v>15</v>
      </c>
      <c r="K511" s="474">
        <f t="shared" si="817"/>
        <v>1567.05</v>
      </c>
      <c r="L511" s="475">
        <f t="shared" si="806"/>
        <v>14.69</v>
      </c>
      <c r="M511" s="474">
        <f t="shared" si="818"/>
        <v>1534.6642999999999</v>
      </c>
      <c r="O511" s="434">
        <f t="shared" si="814"/>
        <v>15</v>
      </c>
      <c r="P511" s="435">
        <f t="shared" si="815"/>
        <v>14.69</v>
      </c>
      <c r="AE511" s="217"/>
      <c r="AF511" s="217">
        <v>1054</v>
      </c>
      <c r="AH511">
        <f t="shared" si="813"/>
        <v>1054</v>
      </c>
    </row>
    <row r="512" ht="75" hidden="1">
      <c r="A512" s="217"/>
      <c r="B512" s="217">
        <v>1054</v>
      </c>
      <c r="C512" s="217"/>
      <c r="D512" s="217" t="s">
        <v>17167</v>
      </c>
      <c r="E512" s="471" t="s">
        <v>20685</v>
      </c>
      <c r="F512" s="482">
        <v>92915</v>
      </c>
      <c r="G512" s="470" t="s">
        <v>20970</v>
      </c>
      <c r="H512" s="482" t="str">
        <f t="shared" si="816"/>
        <v>M³</v>
      </c>
      <c r="I512" s="483">
        <v>22.57</v>
      </c>
      <c r="J512" s="473">
        <f t="shared" si="805"/>
        <v>16.649999999999999</v>
      </c>
      <c r="K512" s="474">
        <f t="shared" si="817"/>
        <v>375.79049999999995</v>
      </c>
      <c r="L512" s="475">
        <f t="shared" si="806"/>
        <v>16.199999999999999</v>
      </c>
      <c r="M512" s="474">
        <f t="shared" si="818"/>
        <v>365.63400000000001</v>
      </c>
      <c r="O512" s="434">
        <f t="shared" si="814"/>
        <v>16.649999999999999</v>
      </c>
      <c r="P512" s="435">
        <f t="shared" si="815"/>
        <v>16.199999999999999</v>
      </c>
      <c r="AE512" s="217"/>
      <c r="AF512" s="217">
        <v>1054</v>
      </c>
      <c r="AH512">
        <f t="shared" si="813"/>
        <v>1054</v>
      </c>
    </row>
    <row r="513" ht="60" hidden="1">
      <c r="A513" s="217"/>
      <c r="B513" s="217">
        <v>1054</v>
      </c>
      <c r="C513" s="217"/>
      <c r="D513" s="217" t="s">
        <v>17167</v>
      </c>
      <c r="E513" s="471" t="s">
        <v>20687</v>
      </c>
      <c r="F513" s="482">
        <v>91593</v>
      </c>
      <c r="G513" s="470" t="s">
        <v>20971</v>
      </c>
      <c r="H513" s="482" t="str">
        <f t="shared" si="816"/>
        <v>KG</v>
      </c>
      <c r="I513" s="483">
        <v>42.240000000000002</v>
      </c>
      <c r="J513" s="473">
        <f t="shared" si="805"/>
        <v>10.199999999999999</v>
      </c>
      <c r="K513" s="474">
        <f t="shared" si="817"/>
        <v>430.84800000000001</v>
      </c>
      <c r="L513" s="475">
        <f t="shared" si="806"/>
        <v>10.16</v>
      </c>
      <c r="M513" s="474">
        <f t="shared" si="818"/>
        <v>429.15840000000003</v>
      </c>
      <c r="O513" s="434">
        <f t="shared" si="814"/>
        <v>10.199999999999999</v>
      </c>
      <c r="P513" s="435">
        <f t="shared" si="815"/>
        <v>10.16</v>
      </c>
      <c r="AE513" s="217"/>
      <c r="AF513" s="217">
        <v>1054</v>
      </c>
      <c r="AH513">
        <f t="shared" si="813"/>
        <v>1054</v>
      </c>
    </row>
    <row r="514" ht="75" hidden="1">
      <c r="A514" s="217"/>
      <c r="B514" s="217">
        <v>1054</v>
      </c>
      <c r="C514" s="217"/>
      <c r="D514" s="217" t="s">
        <v>20398</v>
      </c>
      <c r="E514" s="471" t="s">
        <v>20689</v>
      </c>
      <c r="F514" s="482">
        <v>1058</v>
      </c>
      <c r="G514" s="470" t="s">
        <v>20972</v>
      </c>
      <c r="H514" s="482" t="str">
        <f t="shared" si="816"/>
        <v>KG</v>
      </c>
      <c r="I514" s="483">
        <v>6.0999999999999996</v>
      </c>
      <c r="J514" s="473">
        <f t="shared" si="805"/>
        <v>30.214100000000002</v>
      </c>
      <c r="K514" s="474">
        <f t="shared" si="817"/>
        <v>184.30601000000001</v>
      </c>
      <c r="L514" s="475">
        <f t="shared" si="806"/>
        <v>29.332799999999999</v>
      </c>
      <c r="M514" s="474">
        <f t="shared" si="818"/>
        <v>178.93007999999998</v>
      </c>
      <c r="O514" s="434">
        <f t="shared" si="814"/>
        <v>30.214100000000002</v>
      </c>
      <c r="P514" s="435">
        <f t="shared" si="815"/>
        <v>29.332799999999999</v>
      </c>
      <c r="AE514" s="217"/>
      <c r="AF514" s="217">
        <v>1054</v>
      </c>
      <c r="AH514">
        <f t="shared" si="813"/>
        <v>1054</v>
      </c>
    </row>
    <row r="515" ht="45" hidden="1">
      <c r="A515" s="217"/>
      <c r="B515" s="217">
        <v>1054</v>
      </c>
      <c r="C515" s="217"/>
      <c r="D515" s="217" t="s">
        <v>20398</v>
      </c>
      <c r="E515" s="471" t="s">
        <v>20882</v>
      </c>
      <c r="F515" s="482">
        <v>1061</v>
      </c>
      <c r="G515" s="470" t="s">
        <v>20973</v>
      </c>
      <c r="H515" s="482" t="str">
        <f t="shared" si="816"/>
        <v>KG</v>
      </c>
      <c r="I515" s="483">
        <v>1</v>
      </c>
      <c r="J515" s="473">
        <f t="shared" si="805"/>
        <v>6430.6653750000005</v>
      </c>
      <c r="K515" s="474">
        <f t="shared" si="817"/>
        <v>6430.6653750000005</v>
      </c>
      <c r="L515" s="475">
        <f t="shared" si="806"/>
        <v>6359.3042250000008</v>
      </c>
      <c r="M515" s="474">
        <f t="shared" si="818"/>
        <v>6359.3042250000008</v>
      </c>
      <c r="O515" s="434">
        <f t="shared" si="814"/>
        <v>6430.6653750000005</v>
      </c>
      <c r="P515" s="435">
        <f t="shared" si="815"/>
        <v>6359.3042250000008</v>
      </c>
      <c r="AE515" s="217"/>
      <c r="AF515" s="217">
        <v>1054</v>
      </c>
      <c r="AH515">
        <f t="shared" si="813"/>
        <v>1054</v>
      </c>
    </row>
    <row r="516" hidden="1">
      <c r="A516" s="460">
        <v>1055</v>
      </c>
      <c r="B516" s="460">
        <v>1055</v>
      </c>
      <c r="C516" s="460"/>
      <c r="D516" s="460"/>
      <c r="E516" s="461" t="s">
        <v>20395</v>
      </c>
      <c r="F516" s="462" t="s">
        <v>20977</v>
      </c>
      <c r="G516" s="477" t="s">
        <v>20978</v>
      </c>
      <c r="H516" s="478" t="s">
        <v>20387</v>
      </c>
      <c r="I516" s="479"/>
      <c r="J516" s="480"/>
      <c r="K516" s="466">
        <f>SUM(K517:K535)</f>
        <v>24475.001633579996</v>
      </c>
      <c r="L516" s="480"/>
      <c r="M516" s="466">
        <f>SUM(M517:M535)</f>
        <v>23986.432223979999</v>
      </c>
      <c r="O516" s="434" t="str">
        <f t="shared" si="814"/>
        <v xml:space="preserve">SEM VALOR</v>
      </c>
      <c r="P516" s="435" t="str">
        <f t="shared" si="815"/>
        <v xml:space="preserve">SEM VALOR</v>
      </c>
      <c r="AE516" s="460">
        <v>1055</v>
      </c>
      <c r="AF516" s="460"/>
      <c r="AH516">
        <f t="shared" si="813"/>
        <v>1055</v>
      </c>
    </row>
    <row r="517" ht="120" hidden="1">
      <c r="A517" s="217"/>
      <c r="B517" s="217">
        <v>1055</v>
      </c>
      <c r="C517" s="217"/>
      <c r="D517" s="217" t="s">
        <v>17167</v>
      </c>
      <c r="E517" s="471" t="s">
        <v>20399</v>
      </c>
      <c r="F517" s="482">
        <v>90091</v>
      </c>
      <c r="G517" s="470" t="s">
        <v>20961</v>
      </c>
      <c r="H517" s="482" t="s">
        <v>15528</v>
      </c>
      <c r="I517" s="483">
        <v>7.6299999999999999</v>
      </c>
      <c r="J517" s="473">
        <f t="shared" si="805"/>
        <v>6.1799999999999997</v>
      </c>
      <c r="K517" s="474">
        <f t="shared" ref="K517:K535" si="819">I517*J517</f>
        <v>47.153399999999998</v>
      </c>
      <c r="L517" s="475">
        <f t="shared" si="806"/>
        <v>6.0700000000000003</v>
      </c>
      <c r="M517" s="474">
        <f t="shared" ref="M517:M535" si="820">L517*I517</f>
        <v>46.314100000000003</v>
      </c>
      <c r="O517" s="434">
        <f t="shared" si="814"/>
        <v>6.1799999999999997</v>
      </c>
      <c r="P517" s="435">
        <f t="shared" si="815"/>
        <v>6.0700000000000003</v>
      </c>
      <c r="AE517" s="217"/>
      <c r="AF517" s="217">
        <v>1055</v>
      </c>
      <c r="AH517">
        <f t="shared" si="813"/>
        <v>1055</v>
      </c>
    </row>
    <row r="518" ht="135" hidden="1">
      <c r="A518" s="217"/>
      <c r="B518" s="217">
        <v>1055</v>
      </c>
      <c r="C518" s="217"/>
      <c r="D518" s="217" t="s">
        <v>17167</v>
      </c>
      <c r="E518" s="471" t="s">
        <v>20402</v>
      </c>
      <c r="F518" s="482">
        <v>102281</v>
      </c>
      <c r="G518" s="470" t="s">
        <v>20962</v>
      </c>
      <c r="H518" s="482" t="s">
        <v>15528</v>
      </c>
      <c r="I518" s="483">
        <v>30.5</v>
      </c>
      <c r="J518" s="473">
        <f t="shared" si="805"/>
        <v>5.8300000000000001</v>
      </c>
      <c r="K518" s="474">
        <f t="shared" si="819"/>
        <v>177.815</v>
      </c>
      <c r="L518" s="475">
        <f t="shared" si="806"/>
        <v>5.7199999999999998</v>
      </c>
      <c r="M518" s="474">
        <f t="shared" si="820"/>
        <v>174.45999999999998</v>
      </c>
      <c r="O518" s="434">
        <f t="shared" si="814"/>
        <v>5.8300000000000001</v>
      </c>
      <c r="P518" s="435">
        <f t="shared" si="815"/>
        <v>5.7199999999999998</v>
      </c>
      <c r="AE518" s="217"/>
      <c r="AF518" s="217">
        <v>1055</v>
      </c>
      <c r="AH518">
        <f t="shared" si="813"/>
        <v>1055</v>
      </c>
    </row>
    <row r="519" ht="75" hidden="1">
      <c r="A519" s="217"/>
      <c r="B519" s="217">
        <v>1055</v>
      </c>
      <c r="C519" s="217"/>
      <c r="D519" s="217" t="s">
        <v>17167</v>
      </c>
      <c r="E519" s="471" t="s">
        <v>20405</v>
      </c>
      <c r="F519" s="482">
        <v>101617</v>
      </c>
      <c r="G519" s="470" t="s">
        <v>20963</v>
      </c>
      <c r="H519" s="482" t="s">
        <v>15515</v>
      </c>
      <c r="I519" s="483">
        <v>17.670000000000002</v>
      </c>
      <c r="J519" s="473">
        <f t="shared" si="805"/>
        <v>3.5299999999999998</v>
      </c>
      <c r="K519" s="474">
        <f t="shared" si="819"/>
        <v>62.375100000000003</v>
      </c>
      <c r="L519" s="475">
        <f t="shared" si="806"/>
        <v>3.3399999999999999</v>
      </c>
      <c r="M519" s="474">
        <f t="shared" si="820"/>
        <v>59.017800000000001</v>
      </c>
      <c r="O519" s="434">
        <f t="shared" si="814"/>
        <v>3.5299999999999998</v>
      </c>
      <c r="P519" s="435">
        <f t="shared" si="815"/>
        <v>3.3399999999999999</v>
      </c>
      <c r="AE519" s="217"/>
      <c r="AF519" s="217">
        <v>1055</v>
      </c>
      <c r="AH519">
        <f t="shared" si="813"/>
        <v>1055</v>
      </c>
    </row>
    <row r="520" ht="75" hidden="1">
      <c r="A520" s="217"/>
      <c r="B520" s="217">
        <v>1055</v>
      </c>
      <c r="C520" s="217"/>
      <c r="D520" s="217" t="s">
        <v>20398</v>
      </c>
      <c r="E520" s="471" t="s">
        <v>20409</v>
      </c>
      <c r="F520" s="482">
        <v>1255</v>
      </c>
      <c r="G520" s="470" t="s">
        <v>20964</v>
      </c>
      <c r="H520" s="482" t="s">
        <v>15528</v>
      </c>
      <c r="I520" s="483">
        <v>19.57</v>
      </c>
      <c r="J520" s="473">
        <f t="shared" si="805"/>
        <v>29.707014000000001</v>
      </c>
      <c r="K520" s="474">
        <f t="shared" si="819"/>
        <v>581.36626397999999</v>
      </c>
      <c r="L520" s="475">
        <f t="shared" si="806"/>
        <v>28.497014</v>
      </c>
      <c r="M520" s="474">
        <f t="shared" si="820"/>
        <v>557.68656397999996</v>
      </c>
      <c r="O520" s="434">
        <f t="shared" si="814"/>
        <v>29.707014000000001</v>
      </c>
      <c r="P520" s="435">
        <f t="shared" si="815"/>
        <v>28.497014</v>
      </c>
      <c r="AE520" s="217"/>
      <c r="AF520" s="217">
        <v>1055</v>
      </c>
      <c r="AH520">
        <f t="shared" si="813"/>
        <v>1055</v>
      </c>
    </row>
    <row r="521" ht="60" hidden="1">
      <c r="A521" s="217"/>
      <c r="B521" s="217">
        <v>1055</v>
      </c>
      <c r="C521" s="217"/>
      <c r="D521" s="217" t="s">
        <v>20398</v>
      </c>
      <c r="E521" s="471" t="s">
        <v>20663</v>
      </c>
      <c r="F521" s="482">
        <v>1059</v>
      </c>
      <c r="G521" s="470" t="s">
        <v>20965</v>
      </c>
      <c r="H521" s="482" t="s">
        <v>15528</v>
      </c>
      <c r="I521" s="483">
        <v>0.10000000000000001</v>
      </c>
      <c r="J521" s="473">
        <f t="shared" si="805"/>
        <v>453.00401999999997</v>
      </c>
      <c r="K521" s="474">
        <f t="shared" si="819"/>
        <v>45.300401999999998</v>
      </c>
      <c r="L521" s="475">
        <f t="shared" si="806"/>
        <v>445.74401999999998</v>
      </c>
      <c r="M521" s="474">
        <f t="shared" si="820"/>
        <v>44.574401999999999</v>
      </c>
      <c r="O521" s="434">
        <f t="shared" si="814"/>
        <v>453.00401999999997</v>
      </c>
      <c r="P521" s="435">
        <f t="shared" si="815"/>
        <v>445.74401999999998</v>
      </c>
      <c r="AE521" s="217"/>
      <c r="AF521" s="217">
        <v>1055</v>
      </c>
      <c r="AH521">
        <f t="shared" si="813"/>
        <v>1055</v>
      </c>
    </row>
    <row r="522" ht="30" hidden="1">
      <c r="A522" s="217"/>
      <c r="B522" s="217">
        <v>1055</v>
      </c>
      <c r="C522" s="217"/>
      <c r="D522" s="217" t="s">
        <v>20398</v>
      </c>
      <c r="E522" s="471" t="s">
        <v>20665</v>
      </c>
      <c r="F522" s="482">
        <v>1000</v>
      </c>
      <c r="G522" s="470" t="s">
        <v>20976</v>
      </c>
      <c r="H522" s="482" t="s">
        <v>15528</v>
      </c>
      <c r="I522" s="483">
        <v>0.10000000000000001</v>
      </c>
      <c r="J522" s="473">
        <f t="shared" si="805"/>
        <v>149.904</v>
      </c>
      <c r="K522" s="474">
        <f t="shared" si="819"/>
        <v>14.990400000000001</v>
      </c>
      <c r="L522" s="475">
        <f t="shared" si="806"/>
        <v>141.76949999999999</v>
      </c>
      <c r="M522" s="474">
        <f t="shared" si="820"/>
        <v>14.17695</v>
      </c>
      <c r="O522" s="434">
        <f t="shared" si="814"/>
        <v>149.904</v>
      </c>
      <c r="P522" s="435">
        <f t="shared" si="815"/>
        <v>141.76949999999999</v>
      </c>
      <c r="AE522" s="217"/>
      <c r="AF522" s="217">
        <v>1055</v>
      </c>
      <c r="AH522">
        <f t="shared" si="813"/>
        <v>1055</v>
      </c>
    </row>
    <row r="523" ht="60" hidden="1">
      <c r="A523" s="217"/>
      <c r="B523" s="217">
        <v>1055</v>
      </c>
      <c r="C523" s="217"/>
      <c r="D523" s="217" t="s">
        <v>17167</v>
      </c>
      <c r="E523" s="471" t="s">
        <v>20667</v>
      </c>
      <c r="F523" s="482">
        <v>96530</v>
      </c>
      <c r="G523" s="470" t="s">
        <v>20966</v>
      </c>
      <c r="H523" s="482" t="s">
        <v>15515</v>
      </c>
      <c r="I523" s="483">
        <v>32.439999999999998</v>
      </c>
      <c r="J523" s="473">
        <f t="shared" ref="J523:J586" si="821">O523*$J$3</f>
        <v>129.25999999999999</v>
      </c>
      <c r="K523" s="474">
        <f t="shared" si="819"/>
        <v>4193.1943999999994</v>
      </c>
      <c r="L523" s="475">
        <f t="shared" ref="L523:L586" si="822">P523*$L$3</f>
        <v>125.91</v>
      </c>
      <c r="M523" s="474">
        <f t="shared" si="820"/>
        <v>4084.5203999999994</v>
      </c>
      <c r="O523" s="434">
        <f t="shared" si="814"/>
        <v>129.25999999999999</v>
      </c>
      <c r="P523" s="435">
        <f t="shared" si="815"/>
        <v>125.91</v>
      </c>
      <c r="AE523" s="217"/>
      <c r="AF523" s="217">
        <v>1055</v>
      </c>
      <c r="AH523">
        <f t="shared" si="813"/>
        <v>1055</v>
      </c>
    </row>
    <row r="524" ht="75" hidden="1">
      <c r="A524" s="217"/>
      <c r="B524" s="217">
        <v>1055</v>
      </c>
      <c r="C524" s="217"/>
      <c r="D524" s="217" t="s">
        <v>20398</v>
      </c>
      <c r="E524" s="471" t="s">
        <v>20671</v>
      </c>
      <c r="F524" s="482">
        <v>1064</v>
      </c>
      <c r="G524" s="470" t="s">
        <v>20967</v>
      </c>
      <c r="H524" s="482" t="s">
        <v>15515</v>
      </c>
      <c r="I524" s="483">
        <v>13.619999999999999</v>
      </c>
      <c r="J524" s="473">
        <f t="shared" si="821"/>
        <v>202.79016000000001</v>
      </c>
      <c r="K524" s="474">
        <f t="shared" si="819"/>
        <v>2762.0019791999998</v>
      </c>
      <c r="L524" s="475">
        <f t="shared" si="822"/>
        <v>197.94299999999998</v>
      </c>
      <c r="M524" s="474">
        <f t="shared" si="820"/>
        <v>2695.9836599999994</v>
      </c>
      <c r="O524" s="434">
        <f t="shared" si="814"/>
        <v>202.79016000000001</v>
      </c>
      <c r="P524" s="435">
        <f t="shared" si="815"/>
        <v>197.94299999999998</v>
      </c>
      <c r="AE524" s="217"/>
      <c r="AF524" s="217">
        <v>1055</v>
      </c>
      <c r="AH524">
        <f t="shared" si="813"/>
        <v>1055</v>
      </c>
    </row>
    <row r="525" ht="75" hidden="1">
      <c r="A525" s="217"/>
      <c r="B525" s="217">
        <v>1055</v>
      </c>
      <c r="C525" s="217"/>
      <c r="D525" s="217" t="s">
        <v>17167</v>
      </c>
      <c r="E525" s="471" t="s">
        <v>20672</v>
      </c>
      <c r="F525" s="482">
        <v>87878</v>
      </c>
      <c r="G525" s="470" t="s">
        <v>20910</v>
      </c>
      <c r="H525" s="482" t="s">
        <v>15515</v>
      </c>
      <c r="I525" s="483">
        <v>26.18</v>
      </c>
      <c r="J525" s="473">
        <f t="shared" si="821"/>
        <v>5.0099999999999998</v>
      </c>
      <c r="K525" s="474">
        <f t="shared" si="819"/>
        <v>131.1618</v>
      </c>
      <c r="L525" s="475">
        <f t="shared" si="822"/>
        <v>4.7999999999999998</v>
      </c>
      <c r="M525" s="474">
        <f t="shared" si="820"/>
        <v>125.66399999999999</v>
      </c>
      <c r="O525" s="434">
        <f t="shared" si="814"/>
        <v>5.0099999999999998</v>
      </c>
      <c r="P525" s="435">
        <f t="shared" si="815"/>
        <v>4.7999999999999998</v>
      </c>
      <c r="AE525" s="217"/>
      <c r="AF525" s="217">
        <v>1055</v>
      </c>
      <c r="AH525">
        <f t="shared" si="813"/>
        <v>1055</v>
      </c>
    </row>
    <row r="526" ht="60" hidden="1">
      <c r="A526" s="217"/>
      <c r="B526" s="217">
        <v>1055</v>
      </c>
      <c r="C526" s="217"/>
      <c r="D526" s="217" t="s">
        <v>20398</v>
      </c>
      <c r="E526" s="471" t="s">
        <v>20673</v>
      </c>
      <c r="F526" s="482">
        <v>1421</v>
      </c>
      <c r="G526" s="470" t="s">
        <v>20968</v>
      </c>
      <c r="H526" s="482" t="s">
        <v>15515</v>
      </c>
      <c r="I526" s="483">
        <v>13.619999999999999</v>
      </c>
      <c r="J526" s="473">
        <f t="shared" si="821"/>
        <v>46.577570000000001</v>
      </c>
      <c r="K526" s="474">
        <f t="shared" si="819"/>
        <v>634.38650340000004</v>
      </c>
      <c r="L526" s="475">
        <f t="shared" si="822"/>
        <v>44.735900000000001</v>
      </c>
      <c r="M526" s="474">
        <f t="shared" si="820"/>
        <v>609.30295799999999</v>
      </c>
      <c r="O526" s="434">
        <f t="shared" si="814"/>
        <v>46.577570000000001</v>
      </c>
      <c r="P526" s="435">
        <f t="shared" si="815"/>
        <v>44.735900000000001</v>
      </c>
      <c r="AE526" s="217"/>
      <c r="AF526" s="217">
        <v>1055</v>
      </c>
      <c r="AH526">
        <f t="shared" si="813"/>
        <v>1055</v>
      </c>
    </row>
    <row r="527" ht="60" hidden="1">
      <c r="A527" s="217"/>
      <c r="B527" s="217">
        <v>1055</v>
      </c>
      <c r="C527" s="217"/>
      <c r="D527" s="217" t="s">
        <v>17167</v>
      </c>
      <c r="E527" s="471" t="s">
        <v>20675</v>
      </c>
      <c r="F527" s="482">
        <v>94963</v>
      </c>
      <c r="G527" s="470" t="s">
        <v>20911</v>
      </c>
      <c r="H527" s="482" t="s">
        <v>15528</v>
      </c>
      <c r="I527" s="483">
        <v>1.9399999999999999</v>
      </c>
      <c r="J527" s="473">
        <f t="shared" si="821"/>
        <v>441.43000000000001</v>
      </c>
      <c r="K527" s="474">
        <f t="shared" si="819"/>
        <v>856.37419999999997</v>
      </c>
      <c r="L527" s="475">
        <f t="shared" si="822"/>
        <v>436.14999999999998</v>
      </c>
      <c r="M527" s="474">
        <f t="shared" si="820"/>
        <v>846.13099999999997</v>
      </c>
      <c r="O527" s="434">
        <f t="shared" si="814"/>
        <v>441.43000000000001</v>
      </c>
      <c r="P527" s="435">
        <f t="shared" si="815"/>
        <v>436.14999999999998</v>
      </c>
      <c r="AE527" s="217"/>
      <c r="AF527" s="217">
        <v>1055</v>
      </c>
      <c r="AH527">
        <f t="shared" si="813"/>
        <v>1055</v>
      </c>
    </row>
    <row r="528" ht="30" hidden="1">
      <c r="A528" s="217"/>
      <c r="B528" s="217">
        <v>1055</v>
      </c>
      <c r="C528" s="217"/>
      <c r="D528" s="217" t="s">
        <v>20398</v>
      </c>
      <c r="E528" s="471" t="s">
        <v>20677</v>
      </c>
      <c r="F528" s="482">
        <v>1000</v>
      </c>
      <c r="G528" s="470" t="s">
        <v>20976</v>
      </c>
      <c r="H528" s="482" t="s">
        <v>15528</v>
      </c>
      <c r="I528" s="483">
        <v>1.9399999999999999</v>
      </c>
      <c r="J528" s="473">
        <f t="shared" si="821"/>
        <v>149.904</v>
      </c>
      <c r="K528" s="474">
        <f t="shared" si="819"/>
        <v>290.81376</v>
      </c>
      <c r="L528" s="475">
        <f t="shared" si="822"/>
        <v>141.76949999999999</v>
      </c>
      <c r="M528" s="474">
        <f t="shared" si="820"/>
        <v>275.03282999999999</v>
      </c>
      <c r="O528" s="434">
        <f t="shared" si="814"/>
        <v>149.904</v>
      </c>
      <c r="P528" s="435">
        <f t="shared" si="815"/>
        <v>141.76949999999999</v>
      </c>
      <c r="AE528" s="217"/>
      <c r="AF528" s="217">
        <v>1055</v>
      </c>
      <c r="AH528">
        <f t="shared" si="813"/>
        <v>1055</v>
      </c>
    </row>
    <row r="529" ht="60" hidden="1">
      <c r="A529" s="217"/>
      <c r="B529" s="217">
        <v>1055</v>
      </c>
      <c r="C529" s="217"/>
      <c r="D529" s="217" t="s">
        <v>17167</v>
      </c>
      <c r="E529" s="471" t="s">
        <v>20679</v>
      </c>
      <c r="F529" s="482">
        <v>94964</v>
      </c>
      <c r="G529" s="470" t="s">
        <v>20686</v>
      </c>
      <c r="H529" s="482" t="s">
        <v>15528</v>
      </c>
      <c r="I529" s="483">
        <v>5.5499999999999998</v>
      </c>
      <c r="J529" s="473">
        <f t="shared" si="821"/>
        <v>488.52999999999997</v>
      </c>
      <c r="K529" s="474">
        <f t="shared" si="819"/>
        <v>2711.3414999999995</v>
      </c>
      <c r="L529" s="475">
        <f t="shared" si="822"/>
        <v>482.79000000000002</v>
      </c>
      <c r="M529" s="474">
        <f t="shared" si="820"/>
        <v>2679.4845</v>
      </c>
      <c r="O529" s="434">
        <f t="shared" si="814"/>
        <v>488.52999999999997</v>
      </c>
      <c r="P529" s="435">
        <f t="shared" si="815"/>
        <v>482.79000000000002</v>
      </c>
      <c r="AE529" s="217"/>
      <c r="AF529" s="217">
        <v>1055</v>
      </c>
      <c r="AH529">
        <f t="shared" si="813"/>
        <v>1055</v>
      </c>
    </row>
    <row r="530" ht="30" hidden="1">
      <c r="A530" s="217"/>
      <c r="B530" s="217">
        <v>1055</v>
      </c>
      <c r="C530" s="217"/>
      <c r="D530" s="217" t="s">
        <v>20398</v>
      </c>
      <c r="E530" s="471" t="s">
        <v>20681</v>
      </c>
      <c r="F530" s="482">
        <v>1000</v>
      </c>
      <c r="G530" s="470" t="s">
        <v>20976</v>
      </c>
      <c r="H530" s="482" t="s">
        <v>15528</v>
      </c>
      <c r="I530" s="483">
        <v>5.2199999999999998</v>
      </c>
      <c r="J530" s="473">
        <f t="shared" si="821"/>
        <v>149.904</v>
      </c>
      <c r="K530" s="474">
        <f t="shared" si="819"/>
        <v>782.49887999999999</v>
      </c>
      <c r="L530" s="475">
        <f t="shared" si="822"/>
        <v>141.76949999999999</v>
      </c>
      <c r="M530" s="474">
        <f t="shared" si="820"/>
        <v>740.03678999999988</v>
      </c>
      <c r="O530" s="434">
        <f t="shared" si="814"/>
        <v>149.904</v>
      </c>
      <c r="P530" s="435">
        <f t="shared" si="815"/>
        <v>141.76949999999999</v>
      </c>
      <c r="AE530" s="217"/>
      <c r="AF530" s="217">
        <v>1055</v>
      </c>
      <c r="AH530">
        <f t="shared" si="813"/>
        <v>1055</v>
      </c>
    </row>
    <row r="531" ht="75" hidden="1">
      <c r="A531" s="217"/>
      <c r="B531" s="217">
        <v>1055</v>
      </c>
      <c r="C531" s="217"/>
      <c r="D531" s="217" t="s">
        <v>17167</v>
      </c>
      <c r="E531" s="471" t="s">
        <v>20683</v>
      </c>
      <c r="F531" s="482">
        <v>92916</v>
      </c>
      <c r="G531" s="470" t="s">
        <v>20969</v>
      </c>
      <c r="H531" s="482" t="s">
        <v>302</v>
      </c>
      <c r="I531" s="483">
        <v>127.09999999999999</v>
      </c>
      <c r="J531" s="473">
        <f t="shared" si="821"/>
        <v>15</v>
      </c>
      <c r="K531" s="474">
        <f t="shared" si="819"/>
        <v>1906.5</v>
      </c>
      <c r="L531" s="475">
        <f t="shared" si="822"/>
        <v>14.69</v>
      </c>
      <c r="M531" s="474">
        <f t="shared" si="820"/>
        <v>1867.0989999999999</v>
      </c>
      <c r="O531" s="434">
        <f t="shared" si="814"/>
        <v>15</v>
      </c>
      <c r="P531" s="435">
        <f t="shared" si="815"/>
        <v>14.69</v>
      </c>
      <c r="AE531" s="217"/>
      <c r="AF531" s="217">
        <v>1055</v>
      </c>
      <c r="AH531">
        <f t="shared" si="813"/>
        <v>1055</v>
      </c>
    </row>
    <row r="532" ht="75" hidden="1">
      <c r="A532" s="217"/>
      <c r="B532" s="217">
        <v>1055</v>
      </c>
      <c r="C532" s="217"/>
      <c r="D532" s="217" t="s">
        <v>17167</v>
      </c>
      <c r="E532" s="471" t="s">
        <v>20685</v>
      </c>
      <c r="F532" s="482">
        <v>92915</v>
      </c>
      <c r="G532" s="470" t="s">
        <v>20970</v>
      </c>
      <c r="H532" s="482" t="s">
        <v>302</v>
      </c>
      <c r="I532" s="483">
        <v>27.390000000000001</v>
      </c>
      <c r="J532" s="473">
        <f t="shared" si="821"/>
        <v>16.649999999999999</v>
      </c>
      <c r="K532" s="474">
        <f t="shared" si="819"/>
        <v>456.04349999999999</v>
      </c>
      <c r="L532" s="475">
        <f t="shared" si="822"/>
        <v>16.199999999999999</v>
      </c>
      <c r="M532" s="474">
        <f t="shared" si="820"/>
        <v>443.71800000000002</v>
      </c>
      <c r="O532" s="434">
        <f t="shared" si="814"/>
        <v>16.649999999999999</v>
      </c>
      <c r="P532" s="435">
        <f t="shared" si="815"/>
        <v>16.199999999999999</v>
      </c>
      <c r="AE532" s="217"/>
      <c r="AF532" s="217">
        <v>1055</v>
      </c>
      <c r="AH532">
        <f t="shared" si="813"/>
        <v>1055</v>
      </c>
    </row>
    <row r="533" ht="60" hidden="1">
      <c r="A533" s="217"/>
      <c r="B533" s="217">
        <v>1055</v>
      </c>
      <c r="C533" s="217"/>
      <c r="D533" s="217" t="s">
        <v>17167</v>
      </c>
      <c r="E533" s="471" t="s">
        <v>20687</v>
      </c>
      <c r="F533" s="482">
        <v>91593</v>
      </c>
      <c r="G533" s="470" t="s">
        <v>20971</v>
      </c>
      <c r="H533" s="482" t="s">
        <v>302</v>
      </c>
      <c r="I533" s="483">
        <v>52.799999999999997</v>
      </c>
      <c r="J533" s="473">
        <f t="shared" si="821"/>
        <v>10.199999999999999</v>
      </c>
      <c r="K533" s="474">
        <f t="shared" si="819"/>
        <v>538.55999999999995</v>
      </c>
      <c r="L533" s="475">
        <f t="shared" si="822"/>
        <v>10.16</v>
      </c>
      <c r="M533" s="474">
        <f t="shared" si="820"/>
        <v>536.44799999999998</v>
      </c>
      <c r="O533" s="434">
        <f t="shared" si="814"/>
        <v>10.199999999999999</v>
      </c>
      <c r="P533" s="435">
        <f t="shared" si="815"/>
        <v>10.16</v>
      </c>
      <c r="AE533" s="217"/>
      <c r="AF533" s="217">
        <v>1055</v>
      </c>
      <c r="AH533">
        <f t="shared" si="813"/>
        <v>1055</v>
      </c>
    </row>
    <row r="534" ht="75" hidden="1">
      <c r="A534" s="217"/>
      <c r="B534" s="217">
        <v>1055</v>
      </c>
      <c r="C534" s="217"/>
      <c r="D534" s="217" t="s">
        <v>20398</v>
      </c>
      <c r="E534" s="471" t="s">
        <v>20689</v>
      </c>
      <c r="F534" s="482">
        <v>1058</v>
      </c>
      <c r="G534" s="470" t="s">
        <v>20972</v>
      </c>
      <c r="H534" s="482" t="s">
        <v>15515</v>
      </c>
      <c r="I534" s="483">
        <v>8.0999999999999996</v>
      </c>
      <c r="J534" s="473">
        <f t="shared" si="821"/>
        <v>30.214100000000002</v>
      </c>
      <c r="K534" s="474">
        <f t="shared" si="819"/>
        <v>244.73421000000002</v>
      </c>
      <c r="L534" s="475">
        <f t="shared" si="822"/>
        <v>29.332799999999999</v>
      </c>
      <c r="M534" s="474">
        <f t="shared" si="820"/>
        <v>237.59567999999999</v>
      </c>
      <c r="O534" s="434">
        <f t="shared" si="814"/>
        <v>30.214100000000002</v>
      </c>
      <c r="P534" s="435">
        <f t="shared" si="815"/>
        <v>29.332799999999999</v>
      </c>
      <c r="AE534" s="217"/>
      <c r="AF534" s="217">
        <v>1055</v>
      </c>
      <c r="AH534">
        <f t="shared" si="813"/>
        <v>1055</v>
      </c>
    </row>
    <row r="535" ht="45" hidden="1">
      <c r="A535" s="217"/>
      <c r="B535" s="217">
        <v>1055</v>
      </c>
      <c r="C535" s="217"/>
      <c r="D535" s="217" t="s">
        <v>20398</v>
      </c>
      <c r="E535" s="471" t="s">
        <v>20882</v>
      </c>
      <c r="F535" s="482">
        <v>1062</v>
      </c>
      <c r="G535" s="470" t="s">
        <v>20973</v>
      </c>
      <c r="H535" s="482" t="s">
        <v>31</v>
      </c>
      <c r="I535" s="483">
        <v>1</v>
      </c>
      <c r="J535" s="473">
        <f t="shared" si="821"/>
        <v>8038.3903349999991</v>
      </c>
      <c r="K535" s="474">
        <f t="shared" si="819"/>
        <v>8038.3903349999991</v>
      </c>
      <c r="L535" s="475">
        <f t="shared" si="822"/>
        <v>7949.18559</v>
      </c>
      <c r="M535" s="474">
        <f t="shared" si="820"/>
        <v>7949.18559</v>
      </c>
      <c r="O535" s="434">
        <f t="shared" si="814"/>
        <v>8038.3903349999991</v>
      </c>
      <c r="P535" s="435">
        <f t="shared" si="815"/>
        <v>7949.18559</v>
      </c>
      <c r="AE535" s="217"/>
      <c r="AF535" s="217">
        <v>1055</v>
      </c>
      <c r="AH535">
        <f t="shared" si="813"/>
        <v>1055</v>
      </c>
    </row>
    <row r="536" ht="31.5" hidden="1">
      <c r="A536" s="460">
        <v>1056</v>
      </c>
      <c r="B536" s="460">
        <v>1056</v>
      </c>
      <c r="C536" s="460"/>
      <c r="D536" s="460"/>
      <c r="E536" s="461" t="s">
        <v>20395</v>
      </c>
      <c r="F536" s="462" t="s">
        <v>20979</v>
      </c>
      <c r="G536" s="477" t="s">
        <v>20980</v>
      </c>
      <c r="H536" s="478" t="s">
        <v>20387</v>
      </c>
      <c r="I536" s="479"/>
      <c r="J536" s="480"/>
      <c r="K536" s="466">
        <f>SUM(K537:K555)</f>
        <v>17446.40258098</v>
      </c>
      <c r="L536" s="480"/>
      <c r="M536" s="466">
        <f>SUM(M537:M555)</f>
        <v>17081.927691680001</v>
      </c>
      <c r="O536" s="434" t="str">
        <f t="shared" si="814"/>
        <v xml:space="preserve">SEM VALOR</v>
      </c>
      <c r="P536" s="435" t="str">
        <f t="shared" si="815"/>
        <v xml:space="preserve">SEM VALOR</v>
      </c>
      <c r="AE536" s="460">
        <v>1056</v>
      </c>
      <c r="AF536" s="460"/>
      <c r="AH536">
        <f t="shared" si="813"/>
        <v>1056</v>
      </c>
    </row>
    <row r="537" ht="120" hidden="1">
      <c r="A537" s="217"/>
      <c r="B537" s="217">
        <v>1056</v>
      </c>
      <c r="C537" s="217"/>
      <c r="D537" s="217" t="s">
        <v>17167</v>
      </c>
      <c r="E537" s="471" t="s">
        <v>20399</v>
      </c>
      <c r="F537" s="482">
        <v>90091</v>
      </c>
      <c r="G537" s="470" t="s">
        <v>20961</v>
      </c>
      <c r="H537" s="482" t="s">
        <v>15528</v>
      </c>
      <c r="I537" s="483">
        <v>6.0899999999999999</v>
      </c>
      <c r="J537" s="473">
        <f t="shared" si="821"/>
        <v>6.1799999999999997</v>
      </c>
      <c r="K537" s="474">
        <f t="shared" ref="K537:K555" si="823">I537*J537</f>
        <v>37.636199999999995</v>
      </c>
      <c r="L537" s="475">
        <f t="shared" si="822"/>
        <v>6.0700000000000003</v>
      </c>
      <c r="M537" s="474">
        <f t="shared" ref="M537:M555" si="824">L537*I537</f>
        <v>36.966300000000004</v>
      </c>
      <c r="O537" s="434">
        <f t="shared" si="814"/>
        <v>6.1799999999999997</v>
      </c>
      <c r="P537" s="435">
        <f t="shared" si="815"/>
        <v>6.0700000000000003</v>
      </c>
      <c r="AE537" s="217"/>
      <c r="AF537" s="217">
        <v>1056</v>
      </c>
      <c r="AH537">
        <f t="shared" si="813"/>
        <v>1056</v>
      </c>
    </row>
    <row r="538" ht="135" hidden="1">
      <c r="A538" s="217"/>
      <c r="B538" s="217">
        <v>1056</v>
      </c>
      <c r="C538" s="217"/>
      <c r="D538" s="217" t="s">
        <v>17167</v>
      </c>
      <c r="E538" s="471" t="s">
        <v>20402</v>
      </c>
      <c r="F538" s="482">
        <v>102281</v>
      </c>
      <c r="G538" s="470" t="s">
        <v>20962</v>
      </c>
      <c r="H538" s="482" t="s">
        <v>15528</v>
      </c>
      <c r="I538" s="483">
        <v>24.379999999999999</v>
      </c>
      <c r="J538" s="473">
        <f t="shared" si="821"/>
        <v>5.8300000000000001</v>
      </c>
      <c r="K538" s="474">
        <f t="shared" si="823"/>
        <v>142.1354</v>
      </c>
      <c r="L538" s="475">
        <f t="shared" si="822"/>
        <v>5.7199999999999998</v>
      </c>
      <c r="M538" s="474">
        <f t="shared" si="824"/>
        <v>139.45359999999999</v>
      </c>
      <c r="O538" s="434">
        <f t="shared" si="814"/>
        <v>5.8300000000000001</v>
      </c>
      <c r="P538" s="435">
        <f t="shared" si="815"/>
        <v>5.7199999999999998</v>
      </c>
      <c r="AE538" s="217"/>
      <c r="AF538" s="217">
        <v>1056</v>
      </c>
      <c r="AH538">
        <f t="shared" si="813"/>
        <v>1056</v>
      </c>
    </row>
    <row r="539" ht="75" hidden="1">
      <c r="A539" s="217"/>
      <c r="B539" s="217">
        <v>1056</v>
      </c>
      <c r="C539" s="217"/>
      <c r="D539" s="217" t="s">
        <v>17167</v>
      </c>
      <c r="E539" s="471" t="s">
        <v>20405</v>
      </c>
      <c r="F539" s="482">
        <v>101617</v>
      </c>
      <c r="G539" s="470" t="s">
        <v>20963</v>
      </c>
      <c r="H539" s="482" t="s">
        <v>15515</v>
      </c>
      <c r="I539" s="483">
        <v>14.26</v>
      </c>
      <c r="J539" s="473">
        <f t="shared" si="821"/>
        <v>3.5299999999999998</v>
      </c>
      <c r="K539" s="474">
        <f t="shared" si="823"/>
        <v>50.337799999999994</v>
      </c>
      <c r="L539" s="475">
        <f t="shared" si="822"/>
        <v>3.3399999999999999</v>
      </c>
      <c r="M539" s="474">
        <f t="shared" si="824"/>
        <v>47.628399999999999</v>
      </c>
      <c r="O539" s="434">
        <f t="shared" si="814"/>
        <v>3.5299999999999998</v>
      </c>
      <c r="P539" s="435">
        <f t="shared" si="815"/>
        <v>3.3399999999999999</v>
      </c>
      <c r="AE539" s="217"/>
      <c r="AF539" s="217">
        <v>1056</v>
      </c>
      <c r="AH539">
        <f t="shared" si="813"/>
        <v>1056</v>
      </c>
    </row>
    <row r="540" ht="75" hidden="1">
      <c r="A540" s="217"/>
      <c r="B540" s="217">
        <v>1056</v>
      </c>
      <c r="C540" s="217"/>
      <c r="D540" s="217" t="s">
        <v>20398</v>
      </c>
      <c r="E540" s="471" t="s">
        <v>20409</v>
      </c>
      <c r="F540" s="482">
        <v>1255</v>
      </c>
      <c r="G540" s="470" t="s">
        <v>20964</v>
      </c>
      <c r="H540" s="482" t="s">
        <v>15528</v>
      </c>
      <c r="I540" s="483">
        <v>15.619999999999999</v>
      </c>
      <c r="J540" s="473">
        <f t="shared" si="821"/>
        <v>29.707014000000001</v>
      </c>
      <c r="K540" s="474">
        <f t="shared" si="823"/>
        <v>464.02355868000001</v>
      </c>
      <c r="L540" s="475">
        <f t="shared" si="822"/>
        <v>28.497014</v>
      </c>
      <c r="M540" s="474">
        <f t="shared" si="824"/>
        <v>445.12335867999997</v>
      </c>
      <c r="O540" s="434">
        <f t="shared" si="814"/>
        <v>29.707014000000001</v>
      </c>
      <c r="P540" s="435">
        <f t="shared" si="815"/>
        <v>28.497014</v>
      </c>
      <c r="AE540" s="217"/>
      <c r="AF540" s="217">
        <v>1056</v>
      </c>
      <c r="AH540">
        <f t="shared" si="813"/>
        <v>1056</v>
      </c>
    </row>
    <row r="541" ht="60" hidden="1">
      <c r="A541" s="217"/>
      <c r="B541" s="217">
        <v>1056</v>
      </c>
      <c r="C541" s="217"/>
      <c r="D541" s="217" t="s">
        <v>20398</v>
      </c>
      <c r="E541" s="471" t="s">
        <v>20663</v>
      </c>
      <c r="F541" s="482">
        <v>1059</v>
      </c>
      <c r="G541" s="470" t="s">
        <v>20965</v>
      </c>
      <c r="H541" s="482" t="s">
        <v>15528</v>
      </c>
      <c r="I541" s="483">
        <v>0.20000000000000001</v>
      </c>
      <c r="J541" s="473">
        <f t="shared" si="821"/>
        <v>453.00401999999997</v>
      </c>
      <c r="K541" s="474">
        <f t="shared" si="823"/>
        <v>90.600803999999997</v>
      </c>
      <c r="L541" s="475">
        <f t="shared" si="822"/>
        <v>445.74401999999998</v>
      </c>
      <c r="M541" s="474">
        <f t="shared" si="824"/>
        <v>89.148803999999998</v>
      </c>
      <c r="O541" s="434">
        <f t="shared" si="814"/>
        <v>453.00401999999997</v>
      </c>
      <c r="P541" s="435">
        <f t="shared" si="815"/>
        <v>445.74401999999998</v>
      </c>
      <c r="AE541" s="217"/>
      <c r="AF541" s="217">
        <v>1056</v>
      </c>
      <c r="AH541">
        <f t="shared" si="813"/>
        <v>1056</v>
      </c>
    </row>
    <row r="542" ht="45" hidden="1">
      <c r="A542" s="217"/>
      <c r="B542" s="217">
        <v>1056</v>
      </c>
      <c r="C542" s="217"/>
      <c r="D542" s="217" t="s">
        <v>20398</v>
      </c>
      <c r="E542" s="471" t="s">
        <v>20665</v>
      </c>
      <c r="F542" s="482">
        <v>1000</v>
      </c>
      <c r="G542" s="470" t="s">
        <v>20651</v>
      </c>
      <c r="H542" s="482" t="s">
        <v>15528</v>
      </c>
      <c r="I542" s="483">
        <v>0.20000000000000001</v>
      </c>
      <c r="J542" s="473">
        <f t="shared" si="821"/>
        <v>149.904</v>
      </c>
      <c r="K542" s="474">
        <f t="shared" si="823"/>
        <v>29.980800000000002</v>
      </c>
      <c r="L542" s="475">
        <f t="shared" si="822"/>
        <v>141.76949999999999</v>
      </c>
      <c r="M542" s="474">
        <f t="shared" si="824"/>
        <v>28.353899999999999</v>
      </c>
      <c r="O542" s="434">
        <f t="shared" si="814"/>
        <v>149.904</v>
      </c>
      <c r="P542" s="435">
        <f t="shared" si="815"/>
        <v>141.76949999999999</v>
      </c>
      <c r="AE542" s="217"/>
      <c r="AF542" s="217">
        <v>1056</v>
      </c>
      <c r="AH542">
        <f t="shared" si="813"/>
        <v>1056</v>
      </c>
    </row>
    <row r="543" ht="60" hidden="1">
      <c r="A543" s="217"/>
      <c r="B543" s="217">
        <v>1056</v>
      </c>
      <c r="C543" s="217"/>
      <c r="D543" s="217" t="s">
        <v>17167</v>
      </c>
      <c r="E543" s="471" t="s">
        <v>20667</v>
      </c>
      <c r="F543" s="482">
        <v>96530</v>
      </c>
      <c r="G543" s="470" t="s">
        <v>20966</v>
      </c>
      <c r="H543" s="482" t="s">
        <v>15515</v>
      </c>
      <c r="I543" s="483">
        <v>22.91</v>
      </c>
      <c r="J543" s="473">
        <f t="shared" si="821"/>
        <v>129.25999999999999</v>
      </c>
      <c r="K543" s="474">
        <f t="shared" si="823"/>
        <v>2961.3465999999999</v>
      </c>
      <c r="L543" s="475">
        <f t="shared" si="822"/>
        <v>125.91</v>
      </c>
      <c r="M543" s="474">
        <f t="shared" si="824"/>
        <v>2884.5981000000002</v>
      </c>
      <c r="O543" s="434">
        <f t="shared" si="814"/>
        <v>129.25999999999999</v>
      </c>
      <c r="P543" s="435">
        <f t="shared" si="815"/>
        <v>125.91</v>
      </c>
      <c r="AE543" s="217"/>
      <c r="AF543" s="217">
        <v>1056</v>
      </c>
      <c r="AH543">
        <f t="shared" si="813"/>
        <v>1056</v>
      </c>
    </row>
    <row r="544" ht="75" hidden="1">
      <c r="A544" s="217"/>
      <c r="B544" s="217">
        <v>1056</v>
      </c>
      <c r="C544" s="217"/>
      <c r="D544" s="217" t="s">
        <v>20398</v>
      </c>
      <c r="E544" s="471" t="s">
        <v>20671</v>
      </c>
      <c r="F544" s="482">
        <v>1064</v>
      </c>
      <c r="G544" s="470" t="s">
        <v>20967</v>
      </c>
      <c r="H544" s="482" t="s">
        <v>15515</v>
      </c>
      <c r="I544" s="483">
        <v>12.710000000000001</v>
      </c>
      <c r="J544" s="473">
        <f t="shared" si="821"/>
        <v>202.79016000000001</v>
      </c>
      <c r="K544" s="474">
        <f t="shared" si="823"/>
        <v>2577.4629336000003</v>
      </c>
      <c r="L544" s="475">
        <f t="shared" si="822"/>
        <v>197.94299999999998</v>
      </c>
      <c r="M544" s="474">
        <f t="shared" si="824"/>
        <v>2515.8555299999998</v>
      </c>
      <c r="O544" s="434">
        <f t="shared" si="814"/>
        <v>202.79016000000001</v>
      </c>
      <c r="P544" s="435">
        <f t="shared" si="815"/>
        <v>197.94299999999998</v>
      </c>
      <c r="AE544" s="217"/>
      <c r="AF544" s="217">
        <v>1056</v>
      </c>
      <c r="AH544">
        <f t="shared" si="813"/>
        <v>1056</v>
      </c>
    </row>
    <row r="545" ht="75" hidden="1">
      <c r="A545" s="217"/>
      <c r="B545" s="217">
        <v>1056</v>
      </c>
      <c r="C545" s="217"/>
      <c r="D545" s="217" t="s">
        <v>17167</v>
      </c>
      <c r="E545" s="471" t="s">
        <v>20672</v>
      </c>
      <c r="F545" s="482">
        <v>87878</v>
      </c>
      <c r="G545" s="470" t="s">
        <v>20910</v>
      </c>
      <c r="H545" s="482" t="s">
        <v>15515</v>
      </c>
      <c r="I545" s="483">
        <v>24.359999999999999</v>
      </c>
      <c r="J545" s="473">
        <f t="shared" si="821"/>
        <v>5.0099999999999998</v>
      </c>
      <c r="K545" s="474">
        <f t="shared" si="823"/>
        <v>122.0436</v>
      </c>
      <c r="L545" s="475">
        <f t="shared" si="822"/>
        <v>4.7999999999999998</v>
      </c>
      <c r="M545" s="474">
        <f t="shared" si="824"/>
        <v>116.928</v>
      </c>
      <c r="O545" s="434">
        <f t="shared" si="814"/>
        <v>5.0099999999999998</v>
      </c>
      <c r="P545" s="435">
        <f t="shared" si="815"/>
        <v>4.7999999999999998</v>
      </c>
      <c r="AE545" s="217"/>
      <c r="AF545" s="217">
        <v>1056</v>
      </c>
      <c r="AH545">
        <f t="shared" ref="AH545:AH608" si="825">IF(AF545:AF546=FALSE,AE545,AF545)</f>
        <v>1056</v>
      </c>
    </row>
    <row r="546" ht="60" hidden="1">
      <c r="A546" s="217"/>
      <c r="B546" s="217">
        <v>1056</v>
      </c>
      <c r="C546" s="217"/>
      <c r="D546" s="217" t="s">
        <v>20398</v>
      </c>
      <c r="E546" s="471" t="s">
        <v>20673</v>
      </c>
      <c r="F546" s="482">
        <v>1421</v>
      </c>
      <c r="G546" s="470" t="s">
        <v>20968</v>
      </c>
      <c r="H546" s="482" t="s">
        <v>15515</v>
      </c>
      <c r="I546" s="483">
        <v>12.710000000000001</v>
      </c>
      <c r="J546" s="473">
        <f t="shared" si="821"/>
        <v>46.577570000000001</v>
      </c>
      <c r="K546" s="474">
        <f t="shared" si="823"/>
        <v>592.00091470000007</v>
      </c>
      <c r="L546" s="475">
        <f t="shared" si="822"/>
        <v>44.735900000000001</v>
      </c>
      <c r="M546" s="474">
        <f t="shared" si="824"/>
        <v>568.59328900000003</v>
      </c>
      <c r="O546" s="434">
        <f t="shared" si="814"/>
        <v>46.577570000000001</v>
      </c>
      <c r="P546" s="435">
        <f t="shared" si="815"/>
        <v>44.735900000000001</v>
      </c>
      <c r="AE546" s="217"/>
      <c r="AF546" s="217">
        <v>1056</v>
      </c>
      <c r="AH546">
        <f t="shared" si="825"/>
        <v>1056</v>
      </c>
    </row>
    <row r="547" ht="60" hidden="1">
      <c r="A547" s="217"/>
      <c r="B547" s="217">
        <v>1056</v>
      </c>
      <c r="C547" s="217"/>
      <c r="D547" s="217" t="s">
        <v>17167</v>
      </c>
      <c r="E547" s="471" t="s">
        <v>20675</v>
      </c>
      <c r="F547" s="482">
        <v>94963</v>
      </c>
      <c r="G547" s="470" t="s">
        <v>20911</v>
      </c>
      <c r="H547" s="482" t="s">
        <v>15528</v>
      </c>
      <c r="I547" s="483">
        <v>1.48</v>
      </c>
      <c r="J547" s="473">
        <f t="shared" si="821"/>
        <v>441.43000000000001</v>
      </c>
      <c r="K547" s="474">
        <f t="shared" si="823"/>
        <v>653.31640000000004</v>
      </c>
      <c r="L547" s="475">
        <f t="shared" si="822"/>
        <v>436.14999999999998</v>
      </c>
      <c r="M547" s="474">
        <f t="shared" si="824"/>
        <v>645.50199999999995</v>
      </c>
      <c r="O547" s="434">
        <f t="shared" si="814"/>
        <v>441.43000000000001</v>
      </c>
      <c r="P547" s="435">
        <f t="shared" si="815"/>
        <v>436.14999999999998</v>
      </c>
      <c r="AE547" s="217"/>
      <c r="AF547" s="217">
        <v>1056</v>
      </c>
      <c r="AH547">
        <f t="shared" si="825"/>
        <v>1056</v>
      </c>
    </row>
    <row r="548" ht="30" hidden="1">
      <c r="A548" s="217"/>
      <c r="B548" s="217">
        <v>1056</v>
      </c>
      <c r="C548" s="217"/>
      <c r="D548" s="217" t="s">
        <v>20398</v>
      </c>
      <c r="E548" s="471" t="s">
        <v>20677</v>
      </c>
      <c r="F548" s="482">
        <v>1000</v>
      </c>
      <c r="G548" s="470" t="s">
        <v>20976</v>
      </c>
      <c r="H548" s="482" t="s">
        <v>15528</v>
      </c>
      <c r="I548" s="483">
        <v>1.48</v>
      </c>
      <c r="J548" s="473">
        <f t="shared" si="821"/>
        <v>149.904</v>
      </c>
      <c r="K548" s="474">
        <f t="shared" si="823"/>
        <v>221.85791999999998</v>
      </c>
      <c r="L548" s="475">
        <f t="shared" si="822"/>
        <v>141.76949999999999</v>
      </c>
      <c r="M548" s="474">
        <f t="shared" si="824"/>
        <v>209.81886</v>
      </c>
      <c r="O548" s="434">
        <f t="shared" ref="O548:O611" si="826">IFERROR(IF(D548="SINAPI",VLOOKUP(F548,SINCOMOD,4,FALSE),IF(D548="INSINAPI",VLOOKUP(F548,INSINOD,5,FALSE),IF(D548="SICRO",VLOOKUP(F548,SICRO,5,FALSE),IF(D548="COTACAO",VLOOKUP(F548,COTACAO,6,FALSE),IF(D548="PRÓPRIO",VLOOKUP(F548,COMPOD,11,FALSE),IF(D548="AGESUL",VLOOKUP(F548,AGESULOD,6,FALSE),IF(D548="INSAGESUL",VLOOKUP(F548,INSAGESUL,7,FALSE),"SEM VALOR"))))))),"SEM VALOR")</f>
        <v>149.904</v>
      </c>
      <c r="P548" s="435">
        <f t="shared" ref="P548:P611" si="827">IFERROR(IF(D548="SINAPI",VLOOKUP(F548,SINCOMOD,6,FALSE),IF(D548="INSINAPI",VLOOKUP(F548,INSINOD,6,FALSE),IF(D548="SICRO",VLOOKUP(F548,SICRO,5,FALSE),IF(D548="COTACAO",VLOOKUP(F548,COTACAO,6,FALSE),IF(D548="PRÓPRIO",VLOOKUP(F548,COMPOD,13,FALSE),IF(D548="AGESUL",VLOOKUP(F548,AGESULOD,11,FALSE),IF(D548="INSAGESUL",VLOOKUP(F548,INSAGESUL,8,FALSE),"SEM VALOR"))))))),"SEM VALOR")</f>
        <v>141.76949999999999</v>
      </c>
      <c r="AE548" s="217"/>
      <c r="AF548" s="217">
        <v>1056</v>
      </c>
      <c r="AH548">
        <f t="shared" si="825"/>
        <v>1056</v>
      </c>
    </row>
    <row r="549" ht="60" hidden="1">
      <c r="A549" s="217"/>
      <c r="B549" s="217">
        <v>1056</v>
      </c>
      <c r="C549" s="217"/>
      <c r="D549" s="217" t="s">
        <v>17167</v>
      </c>
      <c r="E549" s="471" t="s">
        <v>20679</v>
      </c>
      <c r="F549" s="482">
        <v>94964</v>
      </c>
      <c r="G549" s="470" t="s">
        <v>20686</v>
      </c>
      <c r="H549" s="482" t="s">
        <v>15528</v>
      </c>
      <c r="I549" s="483">
        <v>3.6600000000000001</v>
      </c>
      <c r="J549" s="473">
        <f t="shared" si="821"/>
        <v>488.52999999999997</v>
      </c>
      <c r="K549" s="474">
        <f t="shared" si="823"/>
        <v>1788.0198</v>
      </c>
      <c r="L549" s="475">
        <f t="shared" si="822"/>
        <v>482.79000000000002</v>
      </c>
      <c r="M549" s="474">
        <f t="shared" si="824"/>
        <v>1767.0114000000001</v>
      </c>
      <c r="O549" s="434">
        <f t="shared" si="826"/>
        <v>488.52999999999997</v>
      </c>
      <c r="P549" s="435">
        <f t="shared" si="827"/>
        <v>482.79000000000002</v>
      </c>
      <c r="AE549" s="217"/>
      <c r="AF549" s="217">
        <v>1056</v>
      </c>
      <c r="AH549">
        <f t="shared" si="825"/>
        <v>1056</v>
      </c>
    </row>
    <row r="550" ht="30" hidden="1">
      <c r="A550" s="217"/>
      <c r="B550" s="217">
        <v>1056</v>
      </c>
      <c r="C550" s="217"/>
      <c r="D550" s="217" t="s">
        <v>20398</v>
      </c>
      <c r="E550" s="471" t="s">
        <v>20681</v>
      </c>
      <c r="F550" s="482">
        <v>1000</v>
      </c>
      <c r="G550" s="470" t="s">
        <v>20976</v>
      </c>
      <c r="H550" s="482" t="s">
        <v>15528</v>
      </c>
      <c r="I550" s="483">
        <v>3.6600000000000001</v>
      </c>
      <c r="J550" s="473">
        <f t="shared" si="821"/>
        <v>149.904</v>
      </c>
      <c r="K550" s="474">
        <f t="shared" si="823"/>
        <v>548.64864</v>
      </c>
      <c r="L550" s="475">
        <f t="shared" si="822"/>
        <v>141.76949999999999</v>
      </c>
      <c r="M550" s="474">
        <f t="shared" si="824"/>
        <v>518.87636999999995</v>
      </c>
      <c r="O550" s="434">
        <f t="shared" si="826"/>
        <v>149.904</v>
      </c>
      <c r="P550" s="435">
        <f t="shared" si="827"/>
        <v>141.76949999999999</v>
      </c>
      <c r="AE550" s="217"/>
      <c r="AF550" s="217">
        <v>1056</v>
      </c>
      <c r="AH550">
        <f t="shared" si="825"/>
        <v>1056</v>
      </c>
    </row>
    <row r="551" ht="75" hidden="1">
      <c r="A551" s="217"/>
      <c r="B551" s="217">
        <v>1056</v>
      </c>
      <c r="C551" s="217"/>
      <c r="D551" s="217" t="s">
        <v>17167</v>
      </c>
      <c r="E551" s="471" t="s">
        <v>20683</v>
      </c>
      <c r="F551" s="482">
        <v>92916</v>
      </c>
      <c r="G551" s="470" t="s">
        <v>20969</v>
      </c>
      <c r="H551" s="482" t="s">
        <v>302</v>
      </c>
      <c r="I551" s="483">
        <v>106.34</v>
      </c>
      <c r="J551" s="473">
        <f t="shared" si="821"/>
        <v>15</v>
      </c>
      <c r="K551" s="474">
        <f t="shared" si="823"/>
        <v>1595.1000000000001</v>
      </c>
      <c r="L551" s="475">
        <f t="shared" si="822"/>
        <v>14.69</v>
      </c>
      <c r="M551" s="474">
        <f t="shared" si="824"/>
        <v>1562.1346000000001</v>
      </c>
      <c r="O551" s="434">
        <f t="shared" si="826"/>
        <v>15</v>
      </c>
      <c r="P551" s="435">
        <f t="shared" si="827"/>
        <v>14.69</v>
      </c>
      <c r="AE551" s="217"/>
      <c r="AF551" s="217">
        <v>1056</v>
      </c>
      <c r="AH551">
        <f t="shared" si="825"/>
        <v>1056</v>
      </c>
    </row>
    <row r="552" ht="75" hidden="1">
      <c r="A552" s="217"/>
      <c r="B552" s="217">
        <v>1056</v>
      </c>
      <c r="C552" s="217"/>
      <c r="D552" s="217" t="s">
        <v>17167</v>
      </c>
      <c r="E552" s="471" t="s">
        <v>20685</v>
      </c>
      <c r="F552" s="482">
        <v>92915</v>
      </c>
      <c r="G552" s="470" t="s">
        <v>20970</v>
      </c>
      <c r="H552" s="482" t="s">
        <v>302</v>
      </c>
      <c r="I552" s="483">
        <v>16.489999999999998</v>
      </c>
      <c r="J552" s="473">
        <f t="shared" si="821"/>
        <v>16.649999999999999</v>
      </c>
      <c r="K552" s="474">
        <f t="shared" si="823"/>
        <v>274.55849999999992</v>
      </c>
      <c r="L552" s="475">
        <f t="shared" si="822"/>
        <v>16.199999999999999</v>
      </c>
      <c r="M552" s="474">
        <f t="shared" si="824"/>
        <v>267.13799999999998</v>
      </c>
      <c r="O552" s="434">
        <f t="shared" si="826"/>
        <v>16.649999999999999</v>
      </c>
      <c r="P552" s="435">
        <f t="shared" si="827"/>
        <v>16.199999999999999</v>
      </c>
      <c r="AE552" s="217"/>
      <c r="AF552" s="217">
        <v>1056</v>
      </c>
      <c r="AH552">
        <f t="shared" si="825"/>
        <v>1056</v>
      </c>
    </row>
    <row r="553" ht="60" hidden="1">
      <c r="A553" s="217"/>
      <c r="B553" s="217">
        <v>1056</v>
      </c>
      <c r="C553" s="217"/>
      <c r="D553" s="217" t="s">
        <v>17167</v>
      </c>
      <c r="E553" s="471" t="s">
        <v>20687</v>
      </c>
      <c r="F553" s="482">
        <v>91593</v>
      </c>
      <c r="G553" s="470" t="s">
        <v>20971</v>
      </c>
      <c r="H553" s="482" t="s">
        <v>302</v>
      </c>
      <c r="I553" s="483">
        <v>31.68</v>
      </c>
      <c r="J553" s="473">
        <f t="shared" si="821"/>
        <v>10.199999999999999</v>
      </c>
      <c r="K553" s="474">
        <f t="shared" si="823"/>
        <v>323.13599999999997</v>
      </c>
      <c r="L553" s="475">
        <f t="shared" si="822"/>
        <v>10.16</v>
      </c>
      <c r="M553" s="474">
        <f t="shared" si="824"/>
        <v>321.86880000000002</v>
      </c>
      <c r="O553" s="434">
        <f t="shared" si="826"/>
        <v>10.199999999999999</v>
      </c>
      <c r="P553" s="435">
        <f t="shared" si="827"/>
        <v>10.16</v>
      </c>
      <c r="AE553" s="217"/>
      <c r="AF553" s="217">
        <v>1056</v>
      </c>
      <c r="AH553">
        <f t="shared" si="825"/>
        <v>1056</v>
      </c>
    </row>
    <row r="554" ht="75" hidden="1">
      <c r="A554" s="217"/>
      <c r="B554" s="217">
        <v>1056</v>
      </c>
      <c r="C554" s="217"/>
      <c r="D554" s="217" t="s">
        <v>20398</v>
      </c>
      <c r="E554" s="471" t="s">
        <v>20689</v>
      </c>
      <c r="F554" s="482">
        <v>1058</v>
      </c>
      <c r="G554" s="470" t="s">
        <v>20972</v>
      </c>
      <c r="H554" s="482" t="s">
        <v>15515</v>
      </c>
      <c r="I554" s="483">
        <v>4.0999999999999996</v>
      </c>
      <c r="J554" s="473">
        <f t="shared" si="821"/>
        <v>30.214100000000002</v>
      </c>
      <c r="K554" s="474">
        <f t="shared" si="823"/>
        <v>123.87781</v>
      </c>
      <c r="L554" s="475">
        <f t="shared" si="822"/>
        <v>29.332799999999999</v>
      </c>
      <c r="M554" s="474">
        <f t="shared" si="824"/>
        <v>120.26447999999999</v>
      </c>
      <c r="O554" s="434">
        <f t="shared" si="826"/>
        <v>30.214100000000002</v>
      </c>
      <c r="P554" s="435">
        <f t="shared" si="827"/>
        <v>29.332799999999999</v>
      </c>
      <c r="AE554" s="217"/>
      <c r="AF554" s="217">
        <v>1056</v>
      </c>
      <c r="AH554">
        <f t="shared" si="825"/>
        <v>1056</v>
      </c>
    </row>
    <row r="555" ht="45" hidden="1">
      <c r="A555" s="217"/>
      <c r="B555" s="217">
        <v>1056</v>
      </c>
      <c r="C555" s="217"/>
      <c r="D555" s="217" t="s">
        <v>20398</v>
      </c>
      <c r="E555" s="471" t="s">
        <v>20882</v>
      </c>
      <c r="F555" s="482">
        <v>1063</v>
      </c>
      <c r="G555" s="470" t="s">
        <v>20973</v>
      </c>
      <c r="H555" s="482" t="s">
        <v>31</v>
      </c>
      <c r="I555" s="483">
        <v>1</v>
      </c>
      <c r="J555" s="473">
        <f t="shared" si="821"/>
        <v>4850.3189000000002</v>
      </c>
      <c r="K555" s="474">
        <f t="shared" si="823"/>
        <v>4850.3189000000002</v>
      </c>
      <c r="L555" s="475">
        <f t="shared" si="822"/>
        <v>4796.6638999999996</v>
      </c>
      <c r="M555" s="474">
        <f t="shared" si="824"/>
        <v>4796.6638999999996</v>
      </c>
      <c r="O555" s="434">
        <f t="shared" si="826"/>
        <v>4850.3189000000002</v>
      </c>
      <c r="P555" s="435">
        <f t="shared" si="827"/>
        <v>4796.6638999999996</v>
      </c>
      <c r="AE555" s="217"/>
      <c r="AF555" s="217">
        <v>1056</v>
      </c>
      <c r="AH555">
        <f t="shared" si="825"/>
        <v>1056</v>
      </c>
    </row>
    <row r="556" ht="31.5" hidden="1">
      <c r="A556" s="460">
        <v>1057</v>
      </c>
      <c r="B556" s="460">
        <v>1057</v>
      </c>
      <c r="C556" s="460"/>
      <c r="D556" s="460"/>
      <c r="E556" s="461" t="s">
        <v>20395</v>
      </c>
      <c r="F556" s="462" t="s">
        <v>20981</v>
      </c>
      <c r="G556" s="477" t="s">
        <v>20982</v>
      </c>
      <c r="H556" s="478" t="s">
        <v>20387</v>
      </c>
      <c r="I556" s="479"/>
      <c r="J556" s="480"/>
      <c r="K556" s="466">
        <f>SUM(K557:K575)</f>
        <v>23519.173263100001</v>
      </c>
      <c r="L556" s="480"/>
      <c r="M556" s="466">
        <f>SUM(M557:M575)</f>
        <v>23024.460828199994</v>
      </c>
      <c r="O556" s="434" t="str">
        <f t="shared" si="826"/>
        <v xml:space="preserve">SEM VALOR</v>
      </c>
      <c r="P556" s="435" t="str">
        <f t="shared" si="827"/>
        <v xml:space="preserve">SEM VALOR</v>
      </c>
      <c r="AE556" s="460">
        <v>1057</v>
      </c>
      <c r="AF556" s="460"/>
      <c r="AH556">
        <f t="shared" si="825"/>
        <v>1057</v>
      </c>
    </row>
    <row r="557" ht="120" hidden="1">
      <c r="A557" s="217"/>
      <c r="B557" s="217">
        <v>1057</v>
      </c>
      <c r="C557" s="217"/>
      <c r="D557" s="217" t="s">
        <v>17167</v>
      </c>
      <c r="E557" s="471" t="s">
        <v>20399</v>
      </c>
      <c r="F557" s="486">
        <v>90091</v>
      </c>
      <c r="G557" s="470" t="s">
        <v>20961</v>
      </c>
      <c r="H557" s="482" t="s">
        <v>15528</v>
      </c>
      <c r="I557" s="483">
        <v>8.0999999999999996</v>
      </c>
      <c r="J557" s="473">
        <f t="shared" si="821"/>
        <v>6.1799999999999997</v>
      </c>
      <c r="K557" s="474">
        <f t="shared" ref="K557:K575" si="828">I557*J557</f>
        <v>50.057999999999993</v>
      </c>
      <c r="L557" s="475">
        <f t="shared" si="822"/>
        <v>6.0700000000000003</v>
      </c>
      <c r="M557" s="474">
        <f t="shared" ref="M557:M575" si="829">L557*I557</f>
        <v>49.167000000000002</v>
      </c>
      <c r="O557" s="434">
        <f t="shared" si="826"/>
        <v>6.1799999999999997</v>
      </c>
      <c r="P557" s="435">
        <f t="shared" si="827"/>
        <v>6.0700000000000003</v>
      </c>
      <c r="AE557" s="217"/>
      <c r="AF557" s="217">
        <v>1057</v>
      </c>
      <c r="AH557">
        <f t="shared" si="825"/>
        <v>1057</v>
      </c>
    </row>
    <row r="558" ht="135" hidden="1">
      <c r="A558" s="217"/>
      <c r="B558" s="217">
        <v>1057</v>
      </c>
      <c r="C558" s="217"/>
      <c r="D558" s="217" t="s">
        <v>17167</v>
      </c>
      <c r="E558" s="471" t="s">
        <v>20402</v>
      </c>
      <c r="F558" s="486">
        <v>102281</v>
      </c>
      <c r="G558" s="470" t="s">
        <v>20962</v>
      </c>
      <c r="H558" s="482" t="s">
        <v>15528</v>
      </c>
      <c r="I558" s="483">
        <v>32.390000000000001</v>
      </c>
      <c r="J558" s="473">
        <f t="shared" si="821"/>
        <v>5.8300000000000001</v>
      </c>
      <c r="K558" s="474">
        <f t="shared" si="828"/>
        <v>188.83369999999999</v>
      </c>
      <c r="L558" s="475">
        <f t="shared" si="822"/>
        <v>5.7199999999999998</v>
      </c>
      <c r="M558" s="474">
        <f t="shared" si="829"/>
        <v>185.27080000000001</v>
      </c>
      <c r="O558" s="434">
        <f t="shared" si="826"/>
        <v>5.8300000000000001</v>
      </c>
      <c r="P558" s="435">
        <f t="shared" si="827"/>
        <v>5.7199999999999998</v>
      </c>
      <c r="AE558" s="217"/>
      <c r="AF558" s="217">
        <v>1057</v>
      </c>
      <c r="AH558">
        <f t="shared" si="825"/>
        <v>1057</v>
      </c>
    </row>
    <row r="559" ht="75" hidden="1">
      <c r="A559" s="217"/>
      <c r="B559" s="217">
        <v>1057</v>
      </c>
      <c r="C559" s="217"/>
      <c r="D559" s="217" t="s">
        <v>17167</v>
      </c>
      <c r="E559" s="471" t="s">
        <v>20405</v>
      </c>
      <c r="F559" s="486">
        <v>101617</v>
      </c>
      <c r="G559" s="470" t="s">
        <v>20963</v>
      </c>
      <c r="H559" s="482" t="s">
        <v>15515</v>
      </c>
      <c r="I559" s="483">
        <v>16.140000000000001</v>
      </c>
      <c r="J559" s="473">
        <f t="shared" si="821"/>
        <v>3.5299999999999998</v>
      </c>
      <c r="K559" s="474">
        <f t="shared" si="828"/>
        <v>56.974199999999996</v>
      </c>
      <c r="L559" s="475">
        <f t="shared" si="822"/>
        <v>3.3399999999999999</v>
      </c>
      <c r="M559" s="474">
        <f t="shared" si="829"/>
        <v>53.907600000000002</v>
      </c>
      <c r="O559" s="434">
        <f t="shared" si="826"/>
        <v>3.5299999999999998</v>
      </c>
      <c r="P559" s="435">
        <f t="shared" si="827"/>
        <v>3.3399999999999999</v>
      </c>
      <c r="AE559" s="217"/>
      <c r="AF559" s="217">
        <v>1057</v>
      </c>
      <c r="AH559">
        <f t="shared" si="825"/>
        <v>1057</v>
      </c>
    </row>
    <row r="560" ht="75" hidden="1">
      <c r="A560" s="217"/>
      <c r="B560" s="217">
        <v>1057</v>
      </c>
      <c r="C560" s="217"/>
      <c r="D560" s="217" t="s">
        <v>20398</v>
      </c>
      <c r="E560" s="471" t="s">
        <v>20409</v>
      </c>
      <c r="F560" s="486">
        <v>1255</v>
      </c>
      <c r="G560" s="470" t="s">
        <v>20964</v>
      </c>
      <c r="H560" s="482" t="s">
        <v>15528</v>
      </c>
      <c r="I560" s="483">
        <v>20.699999999999999</v>
      </c>
      <c r="J560" s="473">
        <f t="shared" si="821"/>
        <v>29.707014000000001</v>
      </c>
      <c r="K560" s="474">
        <f t="shared" si="828"/>
        <v>614.93518979999999</v>
      </c>
      <c r="L560" s="475">
        <f t="shared" si="822"/>
        <v>28.497014</v>
      </c>
      <c r="M560" s="474">
        <f t="shared" si="829"/>
        <v>589.88818979999996</v>
      </c>
      <c r="O560" s="434">
        <f t="shared" si="826"/>
        <v>29.707014000000001</v>
      </c>
      <c r="P560" s="435">
        <f t="shared" si="827"/>
        <v>28.497014</v>
      </c>
      <c r="AE560" s="217"/>
      <c r="AF560" s="217">
        <v>1057</v>
      </c>
      <c r="AH560">
        <f t="shared" si="825"/>
        <v>1057</v>
      </c>
    </row>
    <row r="561" ht="60" hidden="1">
      <c r="A561" s="217"/>
      <c r="B561" s="217">
        <v>1057</v>
      </c>
      <c r="C561" s="217"/>
      <c r="D561" s="217" t="s">
        <v>20398</v>
      </c>
      <c r="E561" s="471" t="s">
        <v>20663</v>
      </c>
      <c r="F561" s="486">
        <v>1059</v>
      </c>
      <c r="G561" s="470" t="s">
        <v>20965</v>
      </c>
      <c r="H561" s="482" t="s">
        <v>15528</v>
      </c>
      <c r="I561" s="483">
        <v>0.32000000000000001</v>
      </c>
      <c r="J561" s="473">
        <f t="shared" si="821"/>
        <v>453.00401999999997</v>
      </c>
      <c r="K561" s="474">
        <f t="shared" si="828"/>
        <v>144.96128640000001</v>
      </c>
      <c r="L561" s="475">
        <f t="shared" si="822"/>
        <v>445.74401999999998</v>
      </c>
      <c r="M561" s="474">
        <f t="shared" si="829"/>
        <v>142.63808639999999</v>
      </c>
      <c r="O561" s="434">
        <f t="shared" si="826"/>
        <v>453.00401999999997</v>
      </c>
      <c r="P561" s="435">
        <f t="shared" si="827"/>
        <v>445.74401999999998</v>
      </c>
      <c r="AE561" s="217"/>
      <c r="AF561" s="217">
        <v>1057</v>
      </c>
      <c r="AH561">
        <f t="shared" si="825"/>
        <v>1057</v>
      </c>
    </row>
    <row r="562" ht="45" hidden="1">
      <c r="A562" s="217"/>
      <c r="B562" s="217">
        <v>1057</v>
      </c>
      <c r="C562" s="217"/>
      <c r="D562" s="217" t="s">
        <v>20398</v>
      </c>
      <c r="E562" s="471" t="s">
        <v>20665</v>
      </c>
      <c r="F562" s="486">
        <v>1000</v>
      </c>
      <c r="G562" s="470" t="s">
        <v>20651</v>
      </c>
      <c r="H562" s="482" t="s">
        <v>15528</v>
      </c>
      <c r="I562" s="483">
        <v>0.32000000000000001</v>
      </c>
      <c r="J562" s="473">
        <f t="shared" si="821"/>
        <v>149.904</v>
      </c>
      <c r="K562" s="474">
        <f t="shared" si="828"/>
        <v>47.969279999999998</v>
      </c>
      <c r="L562" s="475">
        <f t="shared" si="822"/>
        <v>141.76949999999999</v>
      </c>
      <c r="M562" s="474">
        <f t="shared" si="829"/>
        <v>45.366239999999998</v>
      </c>
      <c r="O562" s="434">
        <f t="shared" si="826"/>
        <v>149.904</v>
      </c>
      <c r="P562" s="435">
        <f t="shared" si="827"/>
        <v>141.76949999999999</v>
      </c>
      <c r="AE562" s="217"/>
      <c r="AF562" s="217">
        <v>1057</v>
      </c>
      <c r="AH562">
        <f t="shared" si="825"/>
        <v>1057</v>
      </c>
    </row>
    <row r="563" ht="60" hidden="1">
      <c r="A563" s="217"/>
      <c r="B563" s="217">
        <v>1057</v>
      </c>
      <c r="C563" s="217"/>
      <c r="D563" s="217" t="s">
        <v>17167</v>
      </c>
      <c r="E563" s="471" t="s">
        <v>20667</v>
      </c>
      <c r="F563" s="486">
        <v>96530</v>
      </c>
      <c r="G563" s="470" t="s">
        <v>20966</v>
      </c>
      <c r="H563" s="482" t="s">
        <v>15515</v>
      </c>
      <c r="I563" s="483">
        <v>34.420000000000002</v>
      </c>
      <c r="J563" s="473">
        <f t="shared" si="821"/>
        <v>129.25999999999999</v>
      </c>
      <c r="K563" s="474">
        <f t="shared" si="828"/>
        <v>4449.1292000000003</v>
      </c>
      <c r="L563" s="475">
        <f t="shared" si="822"/>
        <v>125.91</v>
      </c>
      <c r="M563" s="474">
        <f t="shared" si="829"/>
        <v>4333.8222000000005</v>
      </c>
      <c r="O563" s="434">
        <f t="shared" si="826"/>
        <v>129.25999999999999</v>
      </c>
      <c r="P563" s="435">
        <f t="shared" si="827"/>
        <v>125.91</v>
      </c>
      <c r="AE563" s="217"/>
      <c r="AF563" s="217">
        <v>1057</v>
      </c>
      <c r="AH563">
        <f t="shared" si="825"/>
        <v>1057</v>
      </c>
    </row>
    <row r="564" ht="75" hidden="1">
      <c r="A564" s="217"/>
      <c r="B564" s="217">
        <v>1057</v>
      </c>
      <c r="C564" s="217"/>
      <c r="D564" s="217" t="s">
        <v>20398</v>
      </c>
      <c r="E564" s="471" t="s">
        <v>20671</v>
      </c>
      <c r="F564" s="486">
        <v>1064</v>
      </c>
      <c r="G564" s="470" t="s">
        <v>20967</v>
      </c>
      <c r="H564" s="482" t="s">
        <v>15515</v>
      </c>
      <c r="I564" s="483">
        <v>17.030000000000001</v>
      </c>
      <c r="J564" s="473">
        <f t="shared" si="821"/>
        <v>202.79016000000001</v>
      </c>
      <c r="K564" s="474">
        <f t="shared" si="828"/>
        <v>3453.5164248000006</v>
      </c>
      <c r="L564" s="475">
        <f t="shared" si="822"/>
        <v>197.94299999999998</v>
      </c>
      <c r="M564" s="474">
        <f t="shared" si="829"/>
        <v>3370.96929</v>
      </c>
      <c r="O564" s="434">
        <f t="shared" si="826"/>
        <v>202.79016000000001</v>
      </c>
      <c r="P564" s="435">
        <f t="shared" si="827"/>
        <v>197.94299999999998</v>
      </c>
      <c r="AE564" s="217"/>
      <c r="AF564" s="217">
        <v>1057</v>
      </c>
      <c r="AH564">
        <f t="shared" si="825"/>
        <v>1057</v>
      </c>
    </row>
    <row r="565" ht="75" hidden="1">
      <c r="A565" s="217"/>
      <c r="B565" s="217">
        <v>1057</v>
      </c>
      <c r="C565" s="217"/>
      <c r="D565" s="217" t="s">
        <v>17167</v>
      </c>
      <c r="E565" s="471" t="s">
        <v>20672</v>
      </c>
      <c r="F565" s="486">
        <v>87878</v>
      </c>
      <c r="G565" s="470" t="s">
        <v>20910</v>
      </c>
      <c r="H565" s="482" t="s">
        <v>15515</v>
      </c>
      <c r="I565" s="483">
        <v>34.060000000000002</v>
      </c>
      <c r="J565" s="473">
        <f t="shared" si="821"/>
        <v>5.0099999999999998</v>
      </c>
      <c r="K565" s="474">
        <f t="shared" si="828"/>
        <v>170.64060000000001</v>
      </c>
      <c r="L565" s="475">
        <f t="shared" si="822"/>
        <v>4.7999999999999998</v>
      </c>
      <c r="M565" s="474">
        <f t="shared" si="829"/>
        <v>163.488</v>
      </c>
      <c r="O565" s="434">
        <f t="shared" si="826"/>
        <v>5.0099999999999998</v>
      </c>
      <c r="P565" s="435">
        <f t="shared" si="827"/>
        <v>4.7999999999999998</v>
      </c>
      <c r="AE565" s="217"/>
      <c r="AF565" s="217">
        <v>1057</v>
      </c>
      <c r="AH565">
        <f t="shared" si="825"/>
        <v>1057</v>
      </c>
    </row>
    <row r="566" ht="60" hidden="1">
      <c r="A566" s="217"/>
      <c r="B566" s="217">
        <v>1057</v>
      </c>
      <c r="C566" s="217"/>
      <c r="D566" s="217" t="s">
        <v>20398</v>
      </c>
      <c r="E566" s="471" t="s">
        <v>20673</v>
      </c>
      <c r="F566" s="486">
        <v>1421</v>
      </c>
      <c r="G566" s="470" t="s">
        <v>20968</v>
      </c>
      <c r="H566" s="482" t="s">
        <v>15515</v>
      </c>
      <c r="I566" s="483">
        <v>17.030000000000001</v>
      </c>
      <c r="J566" s="473">
        <f t="shared" si="821"/>
        <v>46.577570000000001</v>
      </c>
      <c r="K566" s="474">
        <f t="shared" si="828"/>
        <v>793.21601710000004</v>
      </c>
      <c r="L566" s="475">
        <f t="shared" si="822"/>
        <v>44.735900000000001</v>
      </c>
      <c r="M566" s="474">
        <f t="shared" si="829"/>
        <v>761.85237700000005</v>
      </c>
      <c r="O566" s="434">
        <f t="shared" si="826"/>
        <v>46.577570000000001</v>
      </c>
      <c r="P566" s="435">
        <f t="shared" si="827"/>
        <v>44.735900000000001</v>
      </c>
      <c r="AE566" s="217"/>
      <c r="AF566" s="217">
        <v>1057</v>
      </c>
      <c r="AH566">
        <f t="shared" si="825"/>
        <v>1057</v>
      </c>
    </row>
    <row r="567" ht="60" hidden="1">
      <c r="A567" s="217"/>
      <c r="B567" s="217">
        <v>1057</v>
      </c>
      <c r="C567" s="217"/>
      <c r="D567" s="217" t="s">
        <v>17167</v>
      </c>
      <c r="E567" s="471" t="s">
        <v>20675</v>
      </c>
      <c r="F567" s="486">
        <v>94963</v>
      </c>
      <c r="G567" s="470" t="s">
        <v>20911</v>
      </c>
      <c r="H567" s="482" t="s">
        <v>15528</v>
      </c>
      <c r="I567" s="483">
        <v>2.0699999999999998</v>
      </c>
      <c r="J567" s="473">
        <f t="shared" si="821"/>
        <v>441.43000000000001</v>
      </c>
      <c r="K567" s="474">
        <f t="shared" si="828"/>
        <v>913.76009999999997</v>
      </c>
      <c r="L567" s="475">
        <f t="shared" si="822"/>
        <v>436.14999999999998</v>
      </c>
      <c r="M567" s="474">
        <f t="shared" si="829"/>
        <v>902.83049999999992</v>
      </c>
      <c r="O567" s="434">
        <f t="shared" si="826"/>
        <v>441.43000000000001</v>
      </c>
      <c r="P567" s="435">
        <f t="shared" si="827"/>
        <v>436.14999999999998</v>
      </c>
      <c r="AE567" s="217"/>
      <c r="AF567" s="217">
        <v>1057</v>
      </c>
      <c r="AH567">
        <f t="shared" si="825"/>
        <v>1057</v>
      </c>
    </row>
    <row r="568" ht="30" hidden="1">
      <c r="A568" s="217"/>
      <c r="B568" s="217">
        <v>1057</v>
      </c>
      <c r="C568" s="217"/>
      <c r="D568" s="217" t="s">
        <v>20398</v>
      </c>
      <c r="E568" s="471" t="s">
        <v>20677</v>
      </c>
      <c r="F568" s="486">
        <v>1000</v>
      </c>
      <c r="G568" s="470" t="s">
        <v>20976</v>
      </c>
      <c r="H568" s="482" t="s">
        <v>15528</v>
      </c>
      <c r="I568" s="483">
        <v>2.0699999999999998</v>
      </c>
      <c r="J568" s="473">
        <f t="shared" si="821"/>
        <v>149.904</v>
      </c>
      <c r="K568" s="474">
        <f t="shared" si="828"/>
        <v>310.30127999999996</v>
      </c>
      <c r="L568" s="475">
        <f t="shared" si="822"/>
        <v>141.76949999999999</v>
      </c>
      <c r="M568" s="474">
        <f t="shared" si="829"/>
        <v>293.46286499999997</v>
      </c>
      <c r="O568" s="434">
        <f t="shared" si="826"/>
        <v>149.904</v>
      </c>
      <c r="P568" s="435">
        <f t="shared" si="827"/>
        <v>141.76949999999999</v>
      </c>
      <c r="AE568" s="217"/>
      <c r="AF568" s="217">
        <v>1057</v>
      </c>
      <c r="AH568">
        <f t="shared" si="825"/>
        <v>1057</v>
      </c>
    </row>
    <row r="569" ht="60" hidden="1">
      <c r="A569" s="217"/>
      <c r="B569" s="217">
        <v>1057</v>
      </c>
      <c r="C569" s="217"/>
      <c r="D569" s="217" t="s">
        <v>17167</v>
      </c>
      <c r="E569" s="471" t="s">
        <v>20679</v>
      </c>
      <c r="F569" s="486">
        <v>94964</v>
      </c>
      <c r="G569" s="470" t="s">
        <v>20686</v>
      </c>
      <c r="H569" s="482" t="s">
        <v>15528</v>
      </c>
      <c r="I569" s="483">
        <v>4.6500000000000004</v>
      </c>
      <c r="J569" s="473">
        <f t="shared" si="821"/>
        <v>488.52999999999997</v>
      </c>
      <c r="K569" s="474">
        <f t="shared" si="828"/>
        <v>2271.6644999999999</v>
      </c>
      <c r="L569" s="475">
        <f t="shared" si="822"/>
        <v>482.79000000000002</v>
      </c>
      <c r="M569" s="474">
        <f t="shared" si="829"/>
        <v>2244.9735000000001</v>
      </c>
      <c r="O569" s="434">
        <f t="shared" si="826"/>
        <v>488.52999999999997</v>
      </c>
      <c r="P569" s="435">
        <f t="shared" si="827"/>
        <v>482.79000000000002</v>
      </c>
      <c r="AE569" s="217"/>
      <c r="AF569" s="217">
        <v>1057</v>
      </c>
      <c r="AH569">
        <f t="shared" si="825"/>
        <v>1057</v>
      </c>
    </row>
    <row r="570" ht="30" hidden="1">
      <c r="A570" s="217"/>
      <c r="B570" s="217">
        <v>1057</v>
      </c>
      <c r="C570" s="217"/>
      <c r="D570" s="217" t="s">
        <v>20398</v>
      </c>
      <c r="E570" s="471" t="s">
        <v>20681</v>
      </c>
      <c r="F570" s="486">
        <v>1000</v>
      </c>
      <c r="G570" s="470" t="s">
        <v>20976</v>
      </c>
      <c r="H570" s="482" t="s">
        <v>15528</v>
      </c>
      <c r="I570" s="483">
        <v>4.6500000000000004</v>
      </c>
      <c r="J570" s="473">
        <f t="shared" si="821"/>
        <v>149.904</v>
      </c>
      <c r="K570" s="474">
        <f t="shared" si="828"/>
        <v>697.05360000000007</v>
      </c>
      <c r="L570" s="475">
        <f t="shared" si="822"/>
        <v>141.76949999999999</v>
      </c>
      <c r="M570" s="474">
        <f t="shared" si="829"/>
        <v>659.22817499999996</v>
      </c>
      <c r="O570" s="434">
        <f t="shared" si="826"/>
        <v>149.904</v>
      </c>
      <c r="P570" s="435">
        <f t="shared" si="827"/>
        <v>141.76949999999999</v>
      </c>
      <c r="AE570" s="217"/>
      <c r="AF570" s="217">
        <v>1057</v>
      </c>
      <c r="AH570">
        <f t="shared" si="825"/>
        <v>1057</v>
      </c>
    </row>
    <row r="571" ht="75" hidden="1">
      <c r="A571" s="217"/>
      <c r="B571" s="217">
        <v>1057</v>
      </c>
      <c r="C571" s="217"/>
      <c r="D571" s="217" t="s">
        <v>17167</v>
      </c>
      <c r="E571" s="471" t="s">
        <v>20683</v>
      </c>
      <c r="F571" s="486">
        <v>92916</v>
      </c>
      <c r="G571" s="470" t="s">
        <v>20969</v>
      </c>
      <c r="H571" s="482" t="s">
        <v>302</v>
      </c>
      <c r="I571" s="483">
        <v>128.97</v>
      </c>
      <c r="J571" s="473">
        <f t="shared" si="821"/>
        <v>15</v>
      </c>
      <c r="K571" s="474">
        <f t="shared" si="828"/>
        <v>1934.55</v>
      </c>
      <c r="L571" s="475">
        <f t="shared" si="822"/>
        <v>14.69</v>
      </c>
      <c r="M571" s="474">
        <f t="shared" si="829"/>
        <v>1894.5692999999999</v>
      </c>
      <c r="O571" s="434">
        <f t="shared" si="826"/>
        <v>15</v>
      </c>
      <c r="P571" s="435">
        <f t="shared" si="827"/>
        <v>14.69</v>
      </c>
      <c r="AE571" s="217"/>
      <c r="AF571" s="217">
        <v>1057</v>
      </c>
      <c r="AH571">
        <f t="shared" si="825"/>
        <v>1057</v>
      </c>
    </row>
    <row r="572" ht="75" hidden="1">
      <c r="A572" s="217"/>
      <c r="B572" s="217">
        <v>1057</v>
      </c>
      <c r="C572" s="217"/>
      <c r="D572" s="217" t="s">
        <v>17167</v>
      </c>
      <c r="E572" s="471" t="s">
        <v>20685</v>
      </c>
      <c r="F572" s="486">
        <v>92915</v>
      </c>
      <c r="G572" s="470" t="s">
        <v>20970</v>
      </c>
      <c r="H572" s="482" t="s">
        <v>302</v>
      </c>
      <c r="I572" s="483">
        <v>22.57</v>
      </c>
      <c r="J572" s="473">
        <f t="shared" si="821"/>
        <v>16.649999999999999</v>
      </c>
      <c r="K572" s="474">
        <f t="shared" si="828"/>
        <v>375.79049999999995</v>
      </c>
      <c r="L572" s="475">
        <f t="shared" si="822"/>
        <v>16.199999999999999</v>
      </c>
      <c r="M572" s="474">
        <f t="shared" si="829"/>
        <v>365.63400000000001</v>
      </c>
      <c r="O572" s="434">
        <f t="shared" si="826"/>
        <v>16.649999999999999</v>
      </c>
      <c r="P572" s="435">
        <f t="shared" si="827"/>
        <v>16.199999999999999</v>
      </c>
      <c r="AE572" s="217"/>
      <c r="AF572" s="217">
        <v>1057</v>
      </c>
      <c r="AH572">
        <f t="shared" si="825"/>
        <v>1057</v>
      </c>
    </row>
    <row r="573" ht="60" hidden="1">
      <c r="A573" s="217"/>
      <c r="B573" s="217">
        <v>1057</v>
      </c>
      <c r="C573" s="217"/>
      <c r="D573" s="217" t="s">
        <v>17167</v>
      </c>
      <c r="E573" s="471" t="s">
        <v>20687</v>
      </c>
      <c r="F573" s="486">
        <v>91593</v>
      </c>
      <c r="G573" s="470" t="s">
        <v>20971</v>
      </c>
      <c r="H573" s="482" t="s">
        <v>302</v>
      </c>
      <c r="I573" s="483">
        <v>42.240000000000002</v>
      </c>
      <c r="J573" s="473">
        <f t="shared" si="821"/>
        <v>10.199999999999999</v>
      </c>
      <c r="K573" s="474">
        <f t="shared" si="828"/>
        <v>430.84800000000001</v>
      </c>
      <c r="L573" s="475">
        <f t="shared" si="822"/>
        <v>10.16</v>
      </c>
      <c r="M573" s="474">
        <f t="shared" si="829"/>
        <v>429.15840000000003</v>
      </c>
      <c r="O573" s="434">
        <f t="shared" si="826"/>
        <v>10.199999999999999</v>
      </c>
      <c r="P573" s="435">
        <f t="shared" si="827"/>
        <v>10.16</v>
      </c>
      <c r="AE573" s="217"/>
      <c r="AF573" s="217">
        <v>1057</v>
      </c>
      <c r="AH573">
        <f t="shared" si="825"/>
        <v>1057</v>
      </c>
    </row>
    <row r="574" ht="75" hidden="1">
      <c r="A574" s="217"/>
      <c r="B574" s="217">
        <v>1057</v>
      </c>
      <c r="C574" s="217"/>
      <c r="D574" s="217" t="s">
        <v>20398</v>
      </c>
      <c r="E574" s="471" t="s">
        <v>20689</v>
      </c>
      <c r="F574" s="486">
        <v>1058</v>
      </c>
      <c r="G574" s="470" t="s">
        <v>20972</v>
      </c>
      <c r="H574" s="482" t="s">
        <v>15515</v>
      </c>
      <c r="I574" s="483">
        <v>6.0999999999999996</v>
      </c>
      <c r="J574" s="473">
        <f t="shared" si="821"/>
        <v>30.214100000000002</v>
      </c>
      <c r="K574" s="474">
        <f t="shared" si="828"/>
        <v>184.30601000000001</v>
      </c>
      <c r="L574" s="475">
        <f t="shared" si="822"/>
        <v>29.332799999999999</v>
      </c>
      <c r="M574" s="474">
        <f t="shared" si="829"/>
        <v>178.93007999999998</v>
      </c>
      <c r="O574" s="434">
        <f t="shared" si="826"/>
        <v>30.214100000000002</v>
      </c>
      <c r="P574" s="435">
        <f t="shared" si="827"/>
        <v>29.332799999999999</v>
      </c>
      <c r="AE574" s="217"/>
      <c r="AF574" s="217">
        <v>1057</v>
      </c>
      <c r="AH574">
        <f t="shared" si="825"/>
        <v>1057</v>
      </c>
    </row>
    <row r="575" ht="45" hidden="1">
      <c r="A575" s="217"/>
      <c r="B575" s="217">
        <v>1057</v>
      </c>
      <c r="C575" s="217"/>
      <c r="D575" s="217" t="s">
        <v>20398</v>
      </c>
      <c r="E575" s="471" t="s">
        <v>20882</v>
      </c>
      <c r="F575" s="486">
        <v>1061</v>
      </c>
      <c r="G575" s="470" t="s">
        <v>20973</v>
      </c>
      <c r="H575" s="482" t="s">
        <v>31</v>
      </c>
      <c r="I575" s="483">
        <v>1</v>
      </c>
      <c r="J575" s="473">
        <f t="shared" si="821"/>
        <v>6430.6653750000005</v>
      </c>
      <c r="K575" s="474">
        <f t="shared" si="828"/>
        <v>6430.6653750000005</v>
      </c>
      <c r="L575" s="475">
        <f t="shared" si="822"/>
        <v>6359.3042250000008</v>
      </c>
      <c r="M575" s="474">
        <f t="shared" si="829"/>
        <v>6359.3042250000008</v>
      </c>
      <c r="O575" s="434">
        <f t="shared" si="826"/>
        <v>6430.6653750000005</v>
      </c>
      <c r="P575" s="435">
        <f t="shared" si="827"/>
        <v>6359.3042250000008</v>
      </c>
      <c r="AE575" s="217"/>
      <c r="AF575" s="217">
        <v>1057</v>
      </c>
      <c r="AH575">
        <f t="shared" si="825"/>
        <v>1057</v>
      </c>
    </row>
    <row r="576" hidden="1">
      <c r="A576" s="460">
        <v>1078</v>
      </c>
      <c r="B576" s="460">
        <v>1078</v>
      </c>
      <c r="C576" s="460"/>
      <c r="D576" s="460"/>
      <c r="E576" s="461" t="s">
        <v>20395</v>
      </c>
      <c r="F576" s="462" t="s">
        <v>20983</v>
      </c>
      <c r="G576" s="477" t="s">
        <v>20984</v>
      </c>
      <c r="H576" s="478" t="s">
        <v>20387</v>
      </c>
      <c r="I576" s="479"/>
      <c r="J576" s="480"/>
      <c r="K576" s="466">
        <f>SUM(K577:K595)</f>
        <v>19834.297249685202</v>
      </c>
      <c r="L576" s="480"/>
      <c r="M576" s="466">
        <f>SUM(M577:M595)</f>
        <v>19458.683781965203</v>
      </c>
      <c r="O576" s="434" t="str">
        <f t="shared" si="826"/>
        <v xml:space="preserve">SEM VALOR</v>
      </c>
      <c r="P576" s="435" t="str">
        <f t="shared" si="827"/>
        <v xml:space="preserve">SEM VALOR</v>
      </c>
      <c r="AE576" s="460">
        <v>1078</v>
      </c>
      <c r="AF576" s="460"/>
      <c r="AH576">
        <f t="shared" si="825"/>
        <v>1078</v>
      </c>
    </row>
    <row r="577" ht="120" hidden="1">
      <c r="A577" s="217"/>
      <c r="B577" s="217">
        <v>1078</v>
      </c>
      <c r="C577" s="217"/>
      <c r="D577" s="217" t="s">
        <v>17167</v>
      </c>
      <c r="E577" s="471" t="s">
        <v>20399</v>
      </c>
      <c r="F577" s="482">
        <v>90091</v>
      </c>
      <c r="G577" s="470" t="s">
        <v>20961</v>
      </c>
      <c r="H577" s="482" t="s">
        <v>15528</v>
      </c>
      <c r="I577" s="483">
        <f>1.45*9*2+0.83*1.45*0.15*2+0.83*9*0.15*2</f>
        <v>28.70205</v>
      </c>
      <c r="J577" s="473">
        <f t="shared" si="821"/>
        <v>6.1799999999999997</v>
      </c>
      <c r="K577" s="474">
        <f t="shared" ref="K577:K595" si="830">I577*J577</f>
        <v>177.378669</v>
      </c>
      <c r="L577" s="475">
        <f t="shared" si="822"/>
        <v>6.0700000000000003</v>
      </c>
      <c r="M577" s="474">
        <f t="shared" ref="M577:M595" si="831">L577*I577</f>
        <v>174.22144350000002</v>
      </c>
      <c r="O577" s="434">
        <f t="shared" si="826"/>
        <v>6.1799999999999997</v>
      </c>
      <c r="P577" s="435">
        <f t="shared" si="827"/>
        <v>6.0700000000000003</v>
      </c>
      <c r="S577" s="520"/>
      <c r="AE577" s="217"/>
      <c r="AF577" s="217">
        <v>1078</v>
      </c>
      <c r="AH577">
        <f t="shared" si="825"/>
        <v>1078</v>
      </c>
    </row>
    <row r="578" ht="135" hidden="1">
      <c r="A578" s="217"/>
      <c r="B578" s="217">
        <v>1078</v>
      </c>
      <c r="C578" s="217"/>
      <c r="D578" s="217" t="s">
        <v>17167</v>
      </c>
      <c r="E578" s="471" t="s">
        <v>20402</v>
      </c>
      <c r="F578" s="482">
        <v>102281</v>
      </c>
      <c r="G578" s="470" t="s">
        <v>20962</v>
      </c>
      <c r="H578" s="482" t="s">
        <v>15528</v>
      </c>
      <c r="I578" s="483">
        <f>0.97*1.45*2.65</f>
        <v>3.7272249999999998</v>
      </c>
      <c r="J578" s="473">
        <f t="shared" si="821"/>
        <v>5.8300000000000001</v>
      </c>
      <c r="K578" s="474">
        <f t="shared" si="830"/>
        <v>21.72972175</v>
      </c>
      <c r="L578" s="475">
        <f t="shared" si="822"/>
        <v>5.7199999999999998</v>
      </c>
      <c r="M578" s="474">
        <f t="shared" si="831"/>
        <v>21.319726999999997</v>
      </c>
      <c r="O578" s="434">
        <f t="shared" si="826"/>
        <v>5.8300000000000001</v>
      </c>
      <c r="P578" s="435">
        <f t="shared" si="827"/>
        <v>5.7199999999999998</v>
      </c>
      <c r="S578" s="520"/>
      <c r="AE578" s="217"/>
      <c r="AF578" s="217">
        <v>1078</v>
      </c>
      <c r="AH578">
        <f t="shared" si="825"/>
        <v>1078</v>
      </c>
    </row>
    <row r="579" ht="75" hidden="1">
      <c r="A579" s="217"/>
      <c r="B579" s="217">
        <v>1078</v>
      </c>
      <c r="C579" s="217"/>
      <c r="D579" s="217" t="s">
        <v>17167</v>
      </c>
      <c r="E579" s="471" t="s">
        <v>20405</v>
      </c>
      <c r="F579" s="482">
        <v>101617</v>
      </c>
      <c r="G579" s="470" t="s">
        <v>20963</v>
      </c>
      <c r="H579" s="482" t="s">
        <v>15515</v>
      </c>
      <c r="I579" s="483">
        <f>(8.6+0.24+0.08)*1.45+0.15*1.45*2</f>
        <v>13.369</v>
      </c>
      <c r="J579" s="473">
        <f t="shared" si="821"/>
        <v>3.5299999999999998</v>
      </c>
      <c r="K579" s="474">
        <f t="shared" si="830"/>
        <v>47.192569999999996</v>
      </c>
      <c r="L579" s="475">
        <f t="shared" si="822"/>
        <v>3.3399999999999999</v>
      </c>
      <c r="M579" s="474">
        <f t="shared" si="831"/>
        <v>44.652459999999998</v>
      </c>
      <c r="O579" s="434">
        <f t="shared" si="826"/>
        <v>3.5299999999999998</v>
      </c>
      <c r="P579" s="435">
        <f t="shared" si="827"/>
        <v>3.3399999999999999</v>
      </c>
      <c r="S579" s="520"/>
      <c r="AE579" s="217"/>
      <c r="AF579" s="217">
        <v>1078</v>
      </c>
      <c r="AH579">
        <f t="shared" si="825"/>
        <v>1078</v>
      </c>
    </row>
    <row r="580" ht="75" hidden="1">
      <c r="A580" s="217"/>
      <c r="B580" s="217">
        <v>1078</v>
      </c>
      <c r="C580" s="217"/>
      <c r="D580" s="217" t="s">
        <v>20398</v>
      </c>
      <c r="E580" s="471" t="s">
        <v>20409</v>
      </c>
      <c r="F580" s="482">
        <v>1255</v>
      </c>
      <c r="G580" s="470" t="s">
        <v>20964</v>
      </c>
      <c r="H580" s="482" t="s">
        <v>15528</v>
      </c>
      <c r="I580" s="483">
        <f>0.83*1.45*0.15*2+0.83*9*0.15*2</f>
        <v>2.6020500000000002</v>
      </c>
      <c r="J580" s="473">
        <f t="shared" si="821"/>
        <v>29.707014000000001</v>
      </c>
      <c r="K580" s="474">
        <f t="shared" si="830"/>
        <v>77.299135778700006</v>
      </c>
      <c r="L580" s="475">
        <f t="shared" si="822"/>
        <v>28.497014</v>
      </c>
      <c r="M580" s="474">
        <f t="shared" si="831"/>
        <v>74.1506552787</v>
      </c>
      <c r="O580" s="434">
        <f t="shared" si="826"/>
        <v>29.707014000000001</v>
      </c>
      <c r="P580" s="435">
        <f t="shared" si="827"/>
        <v>28.497014</v>
      </c>
      <c r="S580" s="520"/>
      <c r="AE580" s="217"/>
      <c r="AF580" s="217">
        <v>1078</v>
      </c>
      <c r="AH580">
        <f t="shared" si="825"/>
        <v>1078</v>
      </c>
    </row>
    <row r="581" ht="60" hidden="1">
      <c r="A581" s="217"/>
      <c r="B581" s="217">
        <v>1078</v>
      </c>
      <c r="C581" s="217"/>
      <c r="D581" s="217" t="s">
        <v>20398</v>
      </c>
      <c r="E581" s="471" t="s">
        <v>20663</v>
      </c>
      <c r="F581" s="482">
        <v>1059</v>
      </c>
      <c r="G581" s="470" t="s">
        <v>20965</v>
      </c>
      <c r="H581" s="482" t="s">
        <v>15528</v>
      </c>
      <c r="I581" s="483">
        <f>1.05*1.9*(0.11+0.16)/2</f>
        <v>0.26932499999999998</v>
      </c>
      <c r="J581" s="473">
        <f t="shared" si="821"/>
        <v>453.00401999999997</v>
      </c>
      <c r="K581" s="474">
        <f t="shared" si="830"/>
        <v>122.00530768649999</v>
      </c>
      <c r="L581" s="475">
        <f t="shared" si="822"/>
        <v>445.74401999999998</v>
      </c>
      <c r="M581" s="474">
        <f t="shared" si="831"/>
        <v>120.05000818649998</v>
      </c>
      <c r="O581" s="434">
        <f t="shared" si="826"/>
        <v>453.00401999999997</v>
      </c>
      <c r="P581" s="435">
        <f t="shared" si="827"/>
        <v>445.74401999999998</v>
      </c>
      <c r="S581" s="520"/>
      <c r="AE581" s="217"/>
      <c r="AF581" s="217">
        <v>1078</v>
      </c>
      <c r="AH581">
        <f t="shared" si="825"/>
        <v>1078</v>
      </c>
    </row>
    <row r="582" ht="45" hidden="1">
      <c r="A582" s="217"/>
      <c r="B582" s="217">
        <v>1078</v>
      </c>
      <c r="C582" s="217"/>
      <c r="D582" s="217" t="s">
        <v>20398</v>
      </c>
      <c r="E582" s="471" t="s">
        <v>20665</v>
      </c>
      <c r="F582" s="482">
        <v>1000</v>
      </c>
      <c r="G582" s="470" t="s">
        <v>20651</v>
      </c>
      <c r="H582" s="482" t="s">
        <v>15528</v>
      </c>
      <c r="I582" s="483">
        <f>I581</f>
        <v>0.26932499999999998</v>
      </c>
      <c r="J582" s="473">
        <f t="shared" si="821"/>
        <v>149.904</v>
      </c>
      <c r="K582" s="474">
        <f t="shared" si="830"/>
        <v>40.372894799999997</v>
      </c>
      <c r="L582" s="475">
        <f t="shared" si="822"/>
        <v>141.76949999999999</v>
      </c>
      <c r="M582" s="474">
        <f t="shared" si="831"/>
        <v>38.182070587499993</v>
      </c>
      <c r="O582" s="434">
        <f t="shared" si="826"/>
        <v>149.904</v>
      </c>
      <c r="P582" s="435">
        <f t="shared" si="827"/>
        <v>141.76949999999999</v>
      </c>
      <c r="S582" s="520"/>
      <c r="AE582" s="217"/>
      <c r="AF582" s="217">
        <v>1078</v>
      </c>
      <c r="AH582">
        <f t="shared" si="825"/>
        <v>1078</v>
      </c>
    </row>
    <row r="583" ht="60" hidden="1">
      <c r="A583" s="217"/>
      <c r="B583" s="217">
        <v>1078</v>
      </c>
      <c r="C583" s="217"/>
      <c r="D583" s="217" t="s">
        <v>17167</v>
      </c>
      <c r="E583" s="471" t="s">
        <v>20667</v>
      </c>
      <c r="F583" s="482">
        <v>96530</v>
      </c>
      <c r="G583" s="470" t="s">
        <v>20966</v>
      </c>
      <c r="H583" s="482" t="s">
        <v>15515</v>
      </c>
      <c r="I583" s="483">
        <f>(0.15*1+0.325*2)*8*1.05+0.4*2*2*1.05+9*0.4*2*2</f>
        <v>22.800000000000001</v>
      </c>
      <c r="J583" s="473">
        <f t="shared" si="821"/>
        <v>129.25999999999999</v>
      </c>
      <c r="K583" s="474">
        <f t="shared" si="830"/>
        <v>2947.1279999999997</v>
      </c>
      <c r="L583" s="475">
        <f t="shared" si="822"/>
        <v>125.91</v>
      </c>
      <c r="M583" s="474">
        <f t="shared" si="831"/>
        <v>2870.748</v>
      </c>
      <c r="O583" s="434">
        <f t="shared" si="826"/>
        <v>129.25999999999999</v>
      </c>
      <c r="P583" s="435">
        <f t="shared" si="827"/>
        <v>125.91</v>
      </c>
      <c r="S583" s="520"/>
      <c r="AE583" s="217"/>
      <c r="AF583" s="217">
        <v>1078</v>
      </c>
      <c r="AH583">
        <f t="shared" si="825"/>
        <v>1078</v>
      </c>
    </row>
    <row r="584" ht="75" hidden="1">
      <c r="A584" s="217"/>
      <c r="B584" s="217">
        <v>1078</v>
      </c>
      <c r="C584" s="217"/>
      <c r="D584" s="217" t="s">
        <v>20398</v>
      </c>
      <c r="E584" s="471" t="s">
        <v>20671</v>
      </c>
      <c r="F584" s="482">
        <v>1064</v>
      </c>
      <c r="G584" s="470" t="s">
        <v>20967</v>
      </c>
      <c r="H584" s="482" t="s">
        <v>15515</v>
      </c>
      <c r="I584" s="483">
        <f>0.82*(1.45*2+1.9*2)+0.46*(9*2+1.45*2)</f>
        <v>15.108000000000001</v>
      </c>
      <c r="J584" s="473">
        <f t="shared" si="821"/>
        <v>202.79016000000001</v>
      </c>
      <c r="K584" s="474">
        <f t="shared" si="830"/>
        <v>3063.7537372800002</v>
      </c>
      <c r="L584" s="475">
        <f t="shared" si="822"/>
        <v>197.94299999999998</v>
      </c>
      <c r="M584" s="474">
        <f t="shared" si="831"/>
        <v>2990.5228440000001</v>
      </c>
      <c r="O584" s="434">
        <f t="shared" si="826"/>
        <v>202.79016000000001</v>
      </c>
      <c r="P584" s="435">
        <f t="shared" si="827"/>
        <v>197.94299999999998</v>
      </c>
      <c r="S584" s="520"/>
      <c r="AE584" s="217"/>
      <c r="AF584" s="217">
        <v>1078</v>
      </c>
      <c r="AH584">
        <f t="shared" si="825"/>
        <v>1078</v>
      </c>
    </row>
    <row r="585" ht="75" hidden="1">
      <c r="A585" s="217"/>
      <c r="B585" s="217">
        <v>1078</v>
      </c>
      <c r="C585" s="217"/>
      <c r="D585" s="217" t="s">
        <v>17167</v>
      </c>
      <c r="E585" s="471" t="s">
        <v>20672</v>
      </c>
      <c r="F585" s="482">
        <v>87878</v>
      </c>
      <c r="G585" s="470" t="s">
        <v>20910</v>
      </c>
      <c r="H585" s="482" t="s">
        <v>15515</v>
      </c>
      <c r="I585" s="483">
        <f t="shared" ref="I585:I586" si="832">0.46*(1.05*2+8.6*2)+0.82*(1.9*2+1.45*2)</f>
        <v>14.372</v>
      </c>
      <c r="J585" s="473">
        <f t="shared" si="821"/>
        <v>5.0099999999999998</v>
      </c>
      <c r="K585" s="474">
        <f t="shared" si="830"/>
        <v>72.003720000000001</v>
      </c>
      <c r="L585" s="475">
        <f t="shared" si="822"/>
        <v>4.7999999999999998</v>
      </c>
      <c r="M585" s="474">
        <f t="shared" si="831"/>
        <v>68.985599999999991</v>
      </c>
      <c r="O585" s="434">
        <f t="shared" si="826"/>
        <v>5.0099999999999998</v>
      </c>
      <c r="P585" s="435">
        <f t="shared" si="827"/>
        <v>4.7999999999999998</v>
      </c>
      <c r="S585" s="520"/>
      <c r="AE585" s="217"/>
      <c r="AF585" s="217">
        <v>1078</v>
      </c>
      <c r="AH585">
        <f t="shared" si="825"/>
        <v>1078</v>
      </c>
    </row>
    <row r="586" ht="60" hidden="1">
      <c r="A586" s="217"/>
      <c r="B586" s="217">
        <v>1078</v>
      </c>
      <c r="C586" s="217"/>
      <c r="D586" s="217" t="s">
        <v>20398</v>
      </c>
      <c r="E586" s="471" t="s">
        <v>20673</v>
      </c>
      <c r="F586" s="482">
        <v>1421</v>
      </c>
      <c r="G586" s="470" t="s">
        <v>20968</v>
      </c>
      <c r="H586" s="482" t="s">
        <v>15515</v>
      </c>
      <c r="I586" s="483">
        <f t="shared" si="832"/>
        <v>14.372</v>
      </c>
      <c r="J586" s="473">
        <f t="shared" si="821"/>
        <v>46.577570000000001</v>
      </c>
      <c r="K586" s="474">
        <f t="shared" si="830"/>
        <v>669.41283604</v>
      </c>
      <c r="L586" s="475">
        <f t="shared" si="822"/>
        <v>44.735900000000001</v>
      </c>
      <c r="M586" s="474">
        <f t="shared" si="831"/>
        <v>642.94435480000004</v>
      </c>
      <c r="O586" s="434">
        <f t="shared" si="826"/>
        <v>46.577570000000001</v>
      </c>
      <c r="P586" s="435">
        <f t="shared" si="827"/>
        <v>44.735900000000001</v>
      </c>
      <c r="S586" s="520"/>
      <c r="AE586" s="217"/>
      <c r="AF586" s="217">
        <v>1078</v>
      </c>
      <c r="AH586">
        <f t="shared" si="825"/>
        <v>1078</v>
      </c>
    </row>
    <row r="587" ht="60" hidden="1">
      <c r="A587" s="217"/>
      <c r="B587" s="217">
        <v>1078</v>
      </c>
      <c r="C587" s="217"/>
      <c r="D587" s="217" t="s">
        <v>17167</v>
      </c>
      <c r="E587" s="471" t="s">
        <v>20675</v>
      </c>
      <c r="F587" s="482">
        <v>94963</v>
      </c>
      <c r="G587" s="470" t="s">
        <v>20911</v>
      </c>
      <c r="H587" s="482" t="s">
        <v>15528</v>
      </c>
      <c r="I587" s="483">
        <f>2.65*1.45*0.15+3.53*2*0.1*1.45+(1.2*(0.15+0.2)/2*2+1.45*0.2*2)*0.12</f>
        <v>1.720075</v>
      </c>
      <c r="J587" s="473">
        <f t="shared" ref="J587:J650" si="833">O587*$J$3</f>
        <v>441.43000000000001</v>
      </c>
      <c r="K587" s="474">
        <f t="shared" si="830"/>
        <v>759.29270725000003</v>
      </c>
      <c r="L587" s="475">
        <f t="shared" ref="L587:L650" si="834">P587*$L$3</f>
        <v>436.14999999999998</v>
      </c>
      <c r="M587" s="474">
        <f t="shared" si="831"/>
        <v>750.21071124999992</v>
      </c>
      <c r="O587" s="434">
        <f t="shared" si="826"/>
        <v>441.43000000000001</v>
      </c>
      <c r="P587" s="435">
        <f t="shared" si="827"/>
        <v>436.14999999999998</v>
      </c>
      <c r="S587" s="520"/>
      <c r="AE587" s="217"/>
      <c r="AF587" s="217">
        <v>1078</v>
      </c>
      <c r="AH587">
        <f t="shared" si="825"/>
        <v>1078</v>
      </c>
    </row>
    <row r="588" ht="45" hidden="1">
      <c r="A588" s="217"/>
      <c r="B588" s="217">
        <v>1078</v>
      </c>
      <c r="C588" s="217"/>
      <c r="D588" s="217" t="s">
        <v>20398</v>
      </c>
      <c r="E588" s="471" t="s">
        <v>20677</v>
      </c>
      <c r="F588" s="482">
        <v>1000</v>
      </c>
      <c r="G588" s="470" t="s">
        <v>20651</v>
      </c>
      <c r="H588" s="482" t="s">
        <v>15528</v>
      </c>
      <c r="I588" s="483">
        <f>I587</f>
        <v>1.720075</v>
      </c>
      <c r="J588" s="473">
        <f t="shared" si="833"/>
        <v>149.904</v>
      </c>
      <c r="K588" s="474">
        <f t="shared" si="830"/>
        <v>257.84612279999999</v>
      </c>
      <c r="L588" s="475">
        <f t="shared" si="834"/>
        <v>141.76949999999999</v>
      </c>
      <c r="M588" s="474">
        <f t="shared" si="831"/>
        <v>243.8541727125</v>
      </c>
      <c r="O588" s="434">
        <f t="shared" si="826"/>
        <v>149.904</v>
      </c>
      <c r="P588" s="435">
        <f t="shared" si="827"/>
        <v>141.76949999999999</v>
      </c>
      <c r="S588" s="520"/>
      <c r="AE588" s="217"/>
      <c r="AF588" s="217">
        <v>1078</v>
      </c>
      <c r="AH588">
        <f t="shared" si="825"/>
        <v>1078</v>
      </c>
    </row>
    <row r="589" ht="60" hidden="1">
      <c r="A589" s="217"/>
      <c r="B589" s="217">
        <v>1078</v>
      </c>
      <c r="C589" s="217"/>
      <c r="D589" s="217" t="s">
        <v>17167</v>
      </c>
      <c r="E589" s="471" t="s">
        <v>20679</v>
      </c>
      <c r="F589" s="482">
        <v>94964</v>
      </c>
      <c r="G589" s="470" t="s">
        <v>20686</v>
      </c>
      <c r="H589" s="482" t="s">
        <v>15528</v>
      </c>
      <c r="I589" s="483">
        <f>0.2*0.4*(1.45)*2+0.15*0.325*1.05*8+0.2*0.4*2*9+1*8*2*0.12</f>
        <v>4.0015000000000001</v>
      </c>
      <c r="J589" s="473">
        <f t="shared" si="833"/>
        <v>488.52999999999997</v>
      </c>
      <c r="K589" s="474">
        <f t="shared" si="830"/>
        <v>1954.852795</v>
      </c>
      <c r="L589" s="475">
        <f t="shared" si="834"/>
        <v>482.79000000000002</v>
      </c>
      <c r="M589" s="474">
        <f t="shared" si="831"/>
        <v>1931.8841850000001</v>
      </c>
      <c r="O589" s="434">
        <f t="shared" si="826"/>
        <v>488.52999999999997</v>
      </c>
      <c r="P589" s="435">
        <f t="shared" si="827"/>
        <v>482.79000000000002</v>
      </c>
      <c r="S589" s="520"/>
      <c r="AE589" s="217"/>
      <c r="AF589" s="217">
        <v>1078</v>
      </c>
      <c r="AH589">
        <f t="shared" si="825"/>
        <v>1078</v>
      </c>
    </row>
    <row r="590" ht="45" hidden="1">
      <c r="A590" s="217"/>
      <c r="B590" s="217">
        <v>1078</v>
      </c>
      <c r="C590" s="217"/>
      <c r="D590" s="217" t="s">
        <v>20398</v>
      </c>
      <c r="E590" s="471" t="s">
        <v>20681</v>
      </c>
      <c r="F590" s="482">
        <v>1000</v>
      </c>
      <c r="G590" s="470" t="s">
        <v>20651</v>
      </c>
      <c r="H590" s="482" t="s">
        <v>15528</v>
      </c>
      <c r="I590" s="483">
        <f>I589</f>
        <v>4.0015000000000001</v>
      </c>
      <c r="J590" s="473">
        <f t="shared" si="833"/>
        <v>149.904</v>
      </c>
      <c r="K590" s="474">
        <f t="shared" si="830"/>
        <v>599.84085600000003</v>
      </c>
      <c r="L590" s="475">
        <f t="shared" si="834"/>
        <v>141.76949999999999</v>
      </c>
      <c r="M590" s="474">
        <f t="shared" si="831"/>
        <v>567.29065424999999</v>
      </c>
      <c r="O590" s="434">
        <f t="shared" si="826"/>
        <v>149.904</v>
      </c>
      <c r="P590" s="435">
        <f t="shared" si="827"/>
        <v>141.76949999999999</v>
      </c>
      <c r="S590" s="520"/>
      <c r="AE590" s="217"/>
      <c r="AF590" s="217">
        <v>1078</v>
      </c>
      <c r="AH590">
        <f t="shared" si="825"/>
        <v>1078</v>
      </c>
    </row>
    <row r="591" ht="75" hidden="1">
      <c r="A591" s="217"/>
      <c r="B591" s="217">
        <v>1078</v>
      </c>
      <c r="C591" s="217"/>
      <c r="D591" s="217" t="s">
        <v>17167</v>
      </c>
      <c r="E591" s="471" t="s">
        <v>20683</v>
      </c>
      <c r="F591" s="482">
        <v>92919</v>
      </c>
      <c r="G591" s="470" t="s">
        <v>20985</v>
      </c>
      <c r="H591" s="482" t="s">
        <v>302</v>
      </c>
      <c r="I591" s="483">
        <v>108.19</v>
      </c>
      <c r="J591" s="473">
        <f t="shared" si="833"/>
        <v>11.74</v>
      </c>
      <c r="K591" s="474">
        <f t="shared" si="830"/>
        <v>1270.1505999999999</v>
      </c>
      <c r="L591" s="475">
        <f t="shared" si="834"/>
        <v>11.6</v>
      </c>
      <c r="M591" s="474">
        <f t="shared" si="831"/>
        <v>1255.0039999999999</v>
      </c>
      <c r="O591" s="434">
        <f t="shared" si="826"/>
        <v>11.74</v>
      </c>
      <c r="P591" s="435">
        <f t="shared" si="827"/>
        <v>11.6</v>
      </c>
      <c r="S591" s="520"/>
      <c r="AE591" s="217"/>
      <c r="AF591" s="217">
        <v>1078</v>
      </c>
      <c r="AH591">
        <f t="shared" si="825"/>
        <v>1078</v>
      </c>
    </row>
    <row r="592" ht="75" hidden="1">
      <c r="A592" s="217"/>
      <c r="B592" s="217">
        <v>1078</v>
      </c>
      <c r="C592" s="217"/>
      <c r="D592" s="217" t="s">
        <v>17167</v>
      </c>
      <c r="E592" s="471" t="s">
        <v>20685</v>
      </c>
      <c r="F592" s="482">
        <v>92915</v>
      </c>
      <c r="G592" s="470" t="s">
        <v>20970</v>
      </c>
      <c r="H592" s="482" t="s">
        <v>302</v>
      </c>
      <c r="I592" s="483">
        <v>22.579999999999998</v>
      </c>
      <c r="J592" s="473">
        <f t="shared" si="833"/>
        <v>16.649999999999999</v>
      </c>
      <c r="K592" s="474">
        <f t="shared" si="830"/>
        <v>375.95699999999994</v>
      </c>
      <c r="L592" s="475">
        <f t="shared" si="834"/>
        <v>16.199999999999999</v>
      </c>
      <c r="M592" s="474">
        <f t="shared" si="831"/>
        <v>365.79599999999994</v>
      </c>
      <c r="O592" s="434">
        <f t="shared" si="826"/>
        <v>16.649999999999999</v>
      </c>
      <c r="P592" s="435">
        <f t="shared" si="827"/>
        <v>16.199999999999999</v>
      </c>
      <c r="S592" s="520"/>
      <c r="AE592" s="217"/>
      <c r="AF592" s="217">
        <v>1078</v>
      </c>
      <c r="AH592">
        <f t="shared" si="825"/>
        <v>1078</v>
      </c>
    </row>
    <row r="593" ht="60" hidden="1">
      <c r="A593" s="217"/>
      <c r="B593" s="217">
        <v>1078</v>
      </c>
      <c r="C593" s="217"/>
      <c r="D593" s="217" t="s">
        <v>17167</v>
      </c>
      <c r="E593" s="471" t="s">
        <v>20687</v>
      </c>
      <c r="F593" s="482">
        <v>91593</v>
      </c>
      <c r="G593" s="470" t="s">
        <v>20971</v>
      </c>
      <c r="H593" s="482" t="s">
        <v>302</v>
      </c>
      <c r="I593" s="483">
        <v>42.240000000000002</v>
      </c>
      <c r="J593" s="473">
        <f t="shared" si="833"/>
        <v>10.199999999999999</v>
      </c>
      <c r="K593" s="474">
        <f t="shared" si="830"/>
        <v>430.84800000000001</v>
      </c>
      <c r="L593" s="475">
        <f t="shared" si="834"/>
        <v>10.16</v>
      </c>
      <c r="M593" s="474">
        <f t="shared" si="831"/>
        <v>429.15840000000003</v>
      </c>
      <c r="O593" s="434">
        <f t="shared" si="826"/>
        <v>10.199999999999999</v>
      </c>
      <c r="P593" s="435">
        <f t="shared" si="827"/>
        <v>10.16</v>
      </c>
      <c r="S593" s="520"/>
      <c r="AE593" s="217"/>
      <c r="AF593" s="217">
        <v>1078</v>
      </c>
      <c r="AH593">
        <f t="shared" si="825"/>
        <v>1078</v>
      </c>
    </row>
    <row r="594" ht="75" hidden="1">
      <c r="A594" s="217"/>
      <c r="B594" s="217">
        <v>1078</v>
      </c>
      <c r="C594" s="217"/>
      <c r="D594" s="217" t="s">
        <v>20398</v>
      </c>
      <c r="E594" s="471" t="s">
        <v>20689</v>
      </c>
      <c r="F594" s="482">
        <v>1058</v>
      </c>
      <c r="G594" s="470" t="s">
        <v>20972</v>
      </c>
      <c r="H594" s="482" t="s">
        <v>15515</v>
      </c>
      <c r="I594" s="483">
        <f>3.33*1.05*2</f>
        <v>6.9930000000000003</v>
      </c>
      <c r="J594" s="473">
        <f t="shared" si="833"/>
        <v>30.214100000000002</v>
      </c>
      <c r="K594" s="474">
        <f t="shared" si="830"/>
        <v>211.28720130000002</v>
      </c>
      <c r="L594" s="475">
        <f t="shared" si="834"/>
        <v>29.332799999999999</v>
      </c>
      <c r="M594" s="474">
        <f t="shared" si="831"/>
        <v>205.1242704</v>
      </c>
      <c r="O594" s="434">
        <f t="shared" si="826"/>
        <v>30.214100000000002</v>
      </c>
      <c r="P594" s="435">
        <f t="shared" si="827"/>
        <v>29.332799999999999</v>
      </c>
      <c r="S594" s="520"/>
      <c r="AE594" s="217"/>
      <c r="AF594" s="217">
        <v>1078</v>
      </c>
      <c r="AH594">
        <f t="shared" si="825"/>
        <v>1078</v>
      </c>
    </row>
    <row r="595" ht="45" hidden="1">
      <c r="A595" s="217"/>
      <c r="B595" s="217">
        <v>1078</v>
      </c>
      <c r="C595" s="217"/>
      <c r="D595" s="217" t="s">
        <v>20398</v>
      </c>
      <c r="E595" s="471" t="s">
        <v>20882</v>
      </c>
      <c r="F595" s="482">
        <v>1079</v>
      </c>
      <c r="G595" s="470" t="s">
        <v>20973</v>
      </c>
      <c r="H595" s="482" t="s">
        <v>31</v>
      </c>
      <c r="I595" s="483">
        <v>1</v>
      </c>
      <c r="J595" s="473">
        <f t="shared" si="833"/>
        <v>6735.9453749999993</v>
      </c>
      <c r="K595" s="474">
        <f t="shared" si="830"/>
        <v>6735.9453749999993</v>
      </c>
      <c r="L595" s="475">
        <f t="shared" si="834"/>
        <v>6664.5842249999996</v>
      </c>
      <c r="M595" s="474">
        <f t="shared" si="831"/>
        <v>6664.5842249999996</v>
      </c>
      <c r="O595" s="434">
        <f t="shared" si="826"/>
        <v>6735.9453749999993</v>
      </c>
      <c r="P595" s="435">
        <f t="shared" si="827"/>
        <v>6664.5842249999996</v>
      </c>
      <c r="S595" s="520"/>
      <c r="AE595" s="217"/>
      <c r="AF595" s="217">
        <v>1078</v>
      </c>
      <c r="AH595">
        <f t="shared" si="825"/>
        <v>1078</v>
      </c>
    </row>
    <row r="596" ht="63" hidden="1">
      <c r="A596" s="460">
        <v>1058</v>
      </c>
      <c r="B596" s="460">
        <v>1058</v>
      </c>
      <c r="C596" s="460"/>
      <c r="D596" s="460"/>
      <c r="E596" s="461">
        <v>1</v>
      </c>
      <c r="F596" s="462" t="s">
        <v>20986</v>
      </c>
      <c r="G596" s="477" t="s">
        <v>20987</v>
      </c>
      <c r="H596" s="478" t="s">
        <v>15515</v>
      </c>
      <c r="I596" s="479"/>
      <c r="J596" s="480"/>
      <c r="K596" s="466">
        <f>SUM(K597:K599)</f>
        <v>30.214100000000002</v>
      </c>
      <c r="L596" s="480"/>
      <c r="M596" s="466">
        <f>SUM(M597:M599)</f>
        <v>29.332799999999999</v>
      </c>
      <c r="N596" s="467" t="s">
        <v>20988</v>
      </c>
      <c r="O596" s="434" t="str">
        <f t="shared" si="826"/>
        <v xml:space="preserve">SEM VALOR</v>
      </c>
      <c r="P596" s="435" t="str">
        <f t="shared" si="827"/>
        <v xml:space="preserve">SEM VALOR</v>
      </c>
      <c r="AE596" s="460">
        <v>1058</v>
      </c>
      <c r="AF596" s="460"/>
      <c r="AH596">
        <f t="shared" si="825"/>
        <v>1058</v>
      </c>
    </row>
    <row r="597" ht="45" hidden="1">
      <c r="A597" s="217"/>
      <c r="B597" s="217">
        <v>1058</v>
      </c>
      <c r="C597" s="217"/>
      <c r="D597" s="217" t="s">
        <v>17167</v>
      </c>
      <c r="E597" s="471" t="s">
        <v>20399</v>
      </c>
      <c r="F597" s="482">
        <v>88628</v>
      </c>
      <c r="G597" s="470" t="s">
        <v>20989</v>
      </c>
      <c r="H597" s="482" t="s">
        <v>15528</v>
      </c>
      <c r="I597" s="483">
        <v>2.9999999999999999e-002</v>
      </c>
      <c r="J597" s="473">
        <f t="shared" si="833"/>
        <v>579.97000000000003</v>
      </c>
      <c r="K597" s="474">
        <f t="shared" ref="K597:K599" si="835">I597*J597</f>
        <v>17.399100000000001</v>
      </c>
      <c r="L597" s="475">
        <f t="shared" si="834"/>
        <v>574.25999999999999</v>
      </c>
      <c r="M597" s="474">
        <f t="shared" ref="M597:M599" si="836">L597*I597</f>
        <v>17.227799999999998</v>
      </c>
      <c r="O597" s="434">
        <f t="shared" si="826"/>
        <v>579.97000000000003</v>
      </c>
      <c r="P597" s="435">
        <f t="shared" si="827"/>
        <v>574.25999999999999</v>
      </c>
      <c r="AE597" s="217"/>
      <c r="AF597" s="217">
        <v>1058</v>
      </c>
      <c r="AH597">
        <f t="shared" si="825"/>
        <v>1058</v>
      </c>
    </row>
    <row r="598" ht="30" hidden="1">
      <c r="A598" s="217"/>
      <c r="B598" s="217">
        <v>1058</v>
      </c>
      <c r="C598" s="217"/>
      <c r="D598" s="217" t="s">
        <v>17167</v>
      </c>
      <c r="E598" s="471" t="s">
        <v>20402</v>
      </c>
      <c r="F598" s="482">
        <v>88309</v>
      </c>
      <c r="G598" s="470" t="s">
        <v>7385</v>
      </c>
      <c r="H598" s="482" t="s">
        <v>2032</v>
      </c>
      <c r="I598" s="483">
        <v>0.25</v>
      </c>
      <c r="J598" s="473">
        <f t="shared" si="833"/>
        <v>28.5</v>
      </c>
      <c r="K598" s="474">
        <f t="shared" si="835"/>
        <v>7.125</v>
      </c>
      <c r="L598" s="475">
        <f t="shared" si="834"/>
        <v>26.870000000000001</v>
      </c>
      <c r="M598" s="474">
        <f t="shared" si="836"/>
        <v>6.7175000000000002</v>
      </c>
      <c r="O598" s="434">
        <f t="shared" si="826"/>
        <v>28.5</v>
      </c>
      <c r="P598" s="435">
        <f t="shared" si="827"/>
        <v>26.870000000000001</v>
      </c>
      <c r="AE598" s="217"/>
      <c r="AF598" s="217">
        <v>1058</v>
      </c>
      <c r="AH598">
        <f t="shared" si="825"/>
        <v>1058</v>
      </c>
    </row>
    <row r="599" ht="30" hidden="1">
      <c r="A599" s="217"/>
      <c r="B599" s="217">
        <v>1058</v>
      </c>
      <c r="C599" s="217"/>
      <c r="D599" s="217" t="s">
        <v>17167</v>
      </c>
      <c r="E599" s="471" t="s">
        <v>20405</v>
      </c>
      <c r="F599" s="482">
        <v>88316</v>
      </c>
      <c r="G599" s="470" t="s">
        <v>7393</v>
      </c>
      <c r="H599" s="482" t="s">
        <v>2032</v>
      </c>
      <c r="I599" s="483">
        <v>0.25</v>
      </c>
      <c r="J599" s="473">
        <f t="shared" si="833"/>
        <v>22.760000000000002</v>
      </c>
      <c r="K599" s="474">
        <f t="shared" si="835"/>
        <v>5.6900000000000004</v>
      </c>
      <c r="L599" s="475">
        <f t="shared" si="834"/>
        <v>21.550000000000001</v>
      </c>
      <c r="M599" s="474">
        <f t="shared" si="836"/>
        <v>5.3875000000000002</v>
      </c>
      <c r="O599" s="434">
        <f t="shared" si="826"/>
        <v>22.760000000000002</v>
      </c>
      <c r="P599" s="435">
        <f t="shared" si="827"/>
        <v>21.550000000000001</v>
      </c>
      <c r="AE599" s="217"/>
      <c r="AF599" s="217">
        <v>1058</v>
      </c>
      <c r="AH599">
        <f t="shared" si="825"/>
        <v>1058</v>
      </c>
    </row>
    <row r="600" ht="47.25" hidden="1">
      <c r="A600" s="460">
        <v>1059</v>
      </c>
      <c r="B600" s="460">
        <v>1059</v>
      </c>
      <c r="C600" s="460"/>
      <c r="D600" s="460"/>
      <c r="E600" s="461">
        <v>1</v>
      </c>
      <c r="F600" s="462" t="s">
        <v>20990</v>
      </c>
      <c r="G600" s="477" t="s">
        <v>20991</v>
      </c>
      <c r="H600" s="478" t="s">
        <v>15528</v>
      </c>
      <c r="I600" s="479"/>
      <c r="J600" s="480"/>
      <c r="K600" s="466">
        <f>SUM(K601:K605)</f>
        <v>453.00401999999997</v>
      </c>
      <c r="L600" s="480"/>
      <c r="M600" s="466">
        <f>SUM(M601:M605)</f>
        <v>445.74401999999998</v>
      </c>
      <c r="N600" s="467" t="s">
        <v>20992</v>
      </c>
      <c r="O600" s="434" t="str">
        <f t="shared" si="826"/>
        <v xml:space="preserve">SEM VALOR</v>
      </c>
      <c r="P600" s="435" t="str">
        <f t="shared" si="827"/>
        <v xml:space="preserve">SEM VALOR</v>
      </c>
      <c r="AE600" s="460">
        <v>1059</v>
      </c>
      <c r="AF600" s="460"/>
      <c r="AH600">
        <f t="shared" si="825"/>
        <v>1059</v>
      </c>
    </row>
    <row r="601" ht="30" hidden="1">
      <c r="A601" s="217"/>
      <c r="B601" s="217">
        <v>1059</v>
      </c>
      <c r="C601" s="217"/>
      <c r="D601" s="217" t="s">
        <v>17167</v>
      </c>
      <c r="E601" s="471" t="s">
        <v>20399</v>
      </c>
      <c r="F601" s="482">
        <v>88316</v>
      </c>
      <c r="G601" s="470" t="s">
        <v>7393</v>
      </c>
      <c r="H601" s="482" t="s">
        <v>2032</v>
      </c>
      <c r="I601" s="483">
        <v>6</v>
      </c>
      <c r="J601" s="473">
        <f t="shared" si="833"/>
        <v>22.760000000000002</v>
      </c>
      <c r="K601" s="474">
        <f t="shared" ref="K601:K605" si="837">I601*J601</f>
        <v>136.56</v>
      </c>
      <c r="L601" s="475">
        <f t="shared" si="834"/>
        <v>21.550000000000001</v>
      </c>
      <c r="M601" s="474">
        <f t="shared" ref="M601:M605" si="838">L601*I601</f>
        <v>129.30000000000001</v>
      </c>
      <c r="O601" s="434">
        <f t="shared" si="826"/>
        <v>22.760000000000002</v>
      </c>
      <c r="P601" s="435">
        <f t="shared" si="827"/>
        <v>21.550000000000001</v>
      </c>
      <c r="AE601" s="217"/>
      <c r="AF601" s="217">
        <v>1059</v>
      </c>
      <c r="AH601">
        <f t="shared" si="825"/>
        <v>1059</v>
      </c>
    </row>
    <row r="602" ht="75" hidden="1">
      <c r="A602" s="217"/>
      <c r="B602" s="217">
        <v>1059</v>
      </c>
      <c r="C602" s="217"/>
      <c r="D602" s="217" t="s">
        <v>17167</v>
      </c>
      <c r="E602" s="471" t="s">
        <v>20402</v>
      </c>
      <c r="F602" s="482">
        <v>88830</v>
      </c>
      <c r="G602" s="470" t="s">
        <v>20993</v>
      </c>
      <c r="H602" s="482" t="s">
        <v>1535</v>
      </c>
      <c r="I602" s="483">
        <v>0.71399999999999997</v>
      </c>
      <c r="J602" s="473">
        <f t="shared" si="833"/>
        <v>2.1299999999999999</v>
      </c>
      <c r="K602" s="474">
        <f t="shared" si="837"/>
        <v>1.5208199999999998</v>
      </c>
      <c r="L602" s="475">
        <f t="shared" si="834"/>
        <v>2.1299999999999999</v>
      </c>
      <c r="M602" s="474">
        <f t="shared" si="838"/>
        <v>1.5208199999999998</v>
      </c>
      <c r="O602" s="434">
        <f t="shared" si="826"/>
        <v>2.1299999999999999</v>
      </c>
      <c r="P602" s="435">
        <f t="shared" si="827"/>
        <v>2.1299999999999999</v>
      </c>
      <c r="AE602" s="217"/>
      <c r="AF602" s="217">
        <v>1059</v>
      </c>
      <c r="AH602">
        <f t="shared" si="825"/>
        <v>1059</v>
      </c>
    </row>
    <row r="603" ht="30" hidden="1">
      <c r="A603" s="217"/>
      <c r="B603" s="217">
        <v>1059</v>
      </c>
      <c r="C603" s="217"/>
      <c r="D603" s="217" t="s">
        <v>20408</v>
      </c>
      <c r="E603" s="471" t="s">
        <v>20405</v>
      </c>
      <c r="F603" s="482">
        <v>367</v>
      </c>
      <c r="G603" s="470" t="s">
        <v>20994</v>
      </c>
      <c r="H603" s="482" t="s">
        <v>121</v>
      </c>
      <c r="I603" s="483">
        <v>0.57999999999999996</v>
      </c>
      <c r="J603" s="473">
        <f t="shared" si="833"/>
        <v>76.989999999999995</v>
      </c>
      <c r="K603" s="474">
        <f t="shared" si="837"/>
        <v>44.654199999999996</v>
      </c>
      <c r="L603" s="475">
        <f t="shared" si="834"/>
        <v>76.989999999999995</v>
      </c>
      <c r="M603" s="474">
        <f t="shared" si="838"/>
        <v>44.654199999999996</v>
      </c>
      <c r="O603" s="434">
        <f t="shared" si="826"/>
        <v>76.989999999999995</v>
      </c>
      <c r="P603" s="435">
        <f t="shared" si="827"/>
        <v>76.989999999999995</v>
      </c>
      <c r="AE603" s="217"/>
      <c r="AF603" s="217">
        <v>1059</v>
      </c>
      <c r="AH603">
        <f t="shared" si="825"/>
        <v>1059</v>
      </c>
    </row>
    <row r="604" ht="30" hidden="1">
      <c r="A604" s="217"/>
      <c r="B604" s="217">
        <v>1059</v>
      </c>
      <c r="C604" s="217"/>
      <c r="D604" s="217" t="s">
        <v>20408</v>
      </c>
      <c r="E604" s="471" t="s">
        <v>20409</v>
      </c>
      <c r="F604" s="482">
        <v>1379</v>
      </c>
      <c r="G604" s="470" t="s">
        <v>11588</v>
      </c>
      <c r="H604" s="482" t="s">
        <v>302</v>
      </c>
      <c r="I604" s="483">
        <v>210</v>
      </c>
      <c r="J604" s="473">
        <f t="shared" si="833"/>
        <v>0.82999999999999996</v>
      </c>
      <c r="K604" s="474">
        <f t="shared" si="837"/>
        <v>174.29999999999998</v>
      </c>
      <c r="L604" s="475">
        <f t="shared" si="834"/>
        <v>0.82999999999999996</v>
      </c>
      <c r="M604" s="474">
        <f t="shared" si="838"/>
        <v>174.29999999999998</v>
      </c>
      <c r="O604" s="434">
        <f t="shared" si="826"/>
        <v>0.82999999999999996</v>
      </c>
      <c r="P604" s="435">
        <f t="shared" si="827"/>
        <v>0.82999999999999996</v>
      </c>
      <c r="AE604" s="217"/>
      <c r="AF604" s="217">
        <v>1059</v>
      </c>
      <c r="AH604">
        <f t="shared" si="825"/>
        <v>1059</v>
      </c>
    </row>
    <row r="605" ht="45" hidden="1">
      <c r="A605" s="217"/>
      <c r="B605" s="217">
        <v>1059</v>
      </c>
      <c r="C605" s="217"/>
      <c r="D605" s="217" t="s">
        <v>20408</v>
      </c>
      <c r="E605" s="471" t="s">
        <v>20663</v>
      </c>
      <c r="F605" s="482">
        <v>4718</v>
      </c>
      <c r="G605" s="470" t="s">
        <v>13720</v>
      </c>
      <c r="H605" s="482" t="s">
        <v>121</v>
      </c>
      <c r="I605" s="483">
        <v>0.94999999999999996</v>
      </c>
      <c r="J605" s="473">
        <f t="shared" si="833"/>
        <v>101.02</v>
      </c>
      <c r="K605" s="474">
        <f t="shared" si="837"/>
        <v>95.968999999999994</v>
      </c>
      <c r="L605" s="475">
        <f t="shared" si="834"/>
        <v>101.02</v>
      </c>
      <c r="M605" s="474">
        <f t="shared" si="838"/>
        <v>95.968999999999994</v>
      </c>
      <c r="O605" s="434">
        <f t="shared" si="826"/>
        <v>101.02</v>
      </c>
      <c r="P605" s="435">
        <f t="shared" si="827"/>
        <v>101.02</v>
      </c>
      <c r="AE605" s="217"/>
      <c r="AF605" s="217">
        <v>1059</v>
      </c>
      <c r="AH605">
        <f t="shared" si="825"/>
        <v>1059</v>
      </c>
    </row>
    <row r="606" ht="31.5" hidden="1">
      <c r="A606" s="460">
        <v>1060</v>
      </c>
      <c r="B606" s="460">
        <v>1060</v>
      </c>
      <c r="C606" s="460"/>
      <c r="D606" s="460"/>
      <c r="E606" s="461">
        <v>1</v>
      </c>
      <c r="F606" s="462" t="s">
        <v>20995</v>
      </c>
      <c r="G606" s="477" t="s">
        <v>20996</v>
      </c>
      <c r="H606" s="478" t="s">
        <v>20647</v>
      </c>
      <c r="I606" s="479"/>
      <c r="J606" s="480"/>
      <c r="K606" s="466">
        <f>SUM(K607:K615)</f>
        <v>4850.3189000000002</v>
      </c>
      <c r="L606" s="480"/>
      <c r="M606" s="466">
        <f>SUM(M607:M615)</f>
        <v>4796.6638999999996</v>
      </c>
      <c r="O606" s="434" t="str">
        <f t="shared" si="826"/>
        <v xml:space="preserve">SEM VALOR</v>
      </c>
      <c r="P606" s="435" t="str">
        <f t="shared" si="827"/>
        <v xml:space="preserve">SEM VALOR</v>
      </c>
      <c r="AE606" s="460">
        <v>1060</v>
      </c>
      <c r="AF606" s="460"/>
      <c r="AH606">
        <f t="shared" si="825"/>
        <v>1060</v>
      </c>
    </row>
    <row r="607" ht="30" hidden="1">
      <c r="A607" s="217"/>
      <c r="B607" s="217">
        <v>1060</v>
      </c>
      <c r="C607" s="217"/>
      <c r="D607" s="217" t="s">
        <v>20408</v>
      </c>
      <c r="E607" s="471" t="s">
        <v>20399</v>
      </c>
      <c r="F607" s="482">
        <v>43082</v>
      </c>
      <c r="G607" s="470" t="s">
        <v>13739</v>
      </c>
      <c r="H607" s="482" t="s">
        <v>302</v>
      </c>
      <c r="I607" s="483">
        <v>305.27999999999997</v>
      </c>
      <c r="J607" s="473">
        <f t="shared" si="833"/>
        <v>10</v>
      </c>
      <c r="K607" s="474">
        <f t="shared" ref="K607:K614" si="839">I607*J607</f>
        <v>3052.7999999999997</v>
      </c>
      <c r="L607" s="475">
        <f t="shared" si="834"/>
        <v>10</v>
      </c>
      <c r="M607" s="474">
        <f t="shared" ref="M607:M614" si="840">L607*I607</f>
        <v>3052.7999999999997</v>
      </c>
      <c r="O607" s="434">
        <f t="shared" si="826"/>
        <v>10</v>
      </c>
      <c r="P607" s="435">
        <f t="shared" si="827"/>
        <v>10</v>
      </c>
      <c r="AE607" s="217"/>
      <c r="AF607" s="217">
        <v>1060</v>
      </c>
      <c r="AH607">
        <f t="shared" si="825"/>
        <v>1060</v>
      </c>
    </row>
    <row r="608" ht="30" hidden="1">
      <c r="A608" s="217"/>
      <c r="B608" s="217">
        <v>1060</v>
      </c>
      <c r="C608" s="217"/>
      <c r="D608" s="217" t="s">
        <v>20408</v>
      </c>
      <c r="E608" s="471" t="s">
        <v>20402</v>
      </c>
      <c r="F608" s="482">
        <v>546</v>
      </c>
      <c r="G608" s="470" t="s">
        <v>20997</v>
      </c>
      <c r="H608" s="482" t="s">
        <v>302</v>
      </c>
      <c r="I608" s="483">
        <v>13.02</v>
      </c>
      <c r="J608" s="473">
        <f t="shared" si="833"/>
        <v>9.5899999999999999</v>
      </c>
      <c r="K608" s="474">
        <f t="shared" si="839"/>
        <v>124.86179999999999</v>
      </c>
      <c r="L608" s="475">
        <f t="shared" si="834"/>
        <v>9.5899999999999999</v>
      </c>
      <c r="M608" s="474">
        <f t="shared" si="840"/>
        <v>124.86179999999999</v>
      </c>
      <c r="O608" s="434">
        <f t="shared" si="826"/>
        <v>9.5899999999999999</v>
      </c>
      <c r="P608" s="435">
        <f t="shared" si="827"/>
        <v>9.5899999999999999</v>
      </c>
      <c r="AE608" s="217"/>
      <c r="AF608" s="217">
        <v>1060</v>
      </c>
      <c r="AH608">
        <f t="shared" si="825"/>
        <v>1060</v>
      </c>
    </row>
    <row r="609" ht="45" hidden="1">
      <c r="A609" s="217"/>
      <c r="B609" s="217">
        <v>1060</v>
      </c>
      <c r="C609" s="217"/>
      <c r="D609" s="217" t="s">
        <v>20408</v>
      </c>
      <c r="E609" s="471" t="s">
        <v>20405</v>
      </c>
      <c r="F609" s="482">
        <v>43054</v>
      </c>
      <c r="G609" s="470" t="s">
        <v>10509</v>
      </c>
      <c r="H609" s="482" t="s">
        <v>302</v>
      </c>
      <c r="I609" s="483">
        <v>6.2999999999999998</v>
      </c>
      <c r="J609" s="473">
        <f t="shared" si="833"/>
        <v>8.3599999999999994</v>
      </c>
      <c r="K609" s="474">
        <f t="shared" si="839"/>
        <v>52.667999999999992</v>
      </c>
      <c r="L609" s="475">
        <f t="shared" si="834"/>
        <v>8.3599999999999994</v>
      </c>
      <c r="M609" s="474">
        <f t="shared" si="840"/>
        <v>52.667999999999992</v>
      </c>
      <c r="O609" s="434">
        <f t="shared" si="826"/>
        <v>8.3599999999999994</v>
      </c>
      <c r="P609" s="435">
        <f t="shared" si="827"/>
        <v>8.3599999999999994</v>
      </c>
      <c r="AE609" s="217"/>
      <c r="AF609" s="217">
        <v>1060</v>
      </c>
      <c r="AH609">
        <f t="shared" ref="AH609:AH672" si="841">IF(AF609:AF610=FALSE,AE609,AF609)</f>
        <v>1060</v>
      </c>
    </row>
    <row r="610" ht="30" hidden="1">
      <c r="A610" s="217"/>
      <c r="B610" s="217">
        <v>1060</v>
      </c>
      <c r="C610" s="217"/>
      <c r="D610" s="217" t="s">
        <v>17167</v>
      </c>
      <c r="E610" s="471" t="s">
        <v>20409</v>
      </c>
      <c r="F610" s="482">
        <v>88317</v>
      </c>
      <c r="G610" s="470" t="s">
        <v>7396</v>
      </c>
      <c r="H610" s="482" t="s">
        <v>2032</v>
      </c>
      <c r="I610" s="483">
        <v>15</v>
      </c>
      <c r="J610" s="473">
        <f t="shared" si="833"/>
        <v>29.559999999999999</v>
      </c>
      <c r="K610" s="474">
        <f t="shared" si="839"/>
        <v>443.39999999999998</v>
      </c>
      <c r="L610" s="475">
        <f t="shared" si="834"/>
        <v>27.949999999999999</v>
      </c>
      <c r="M610" s="474">
        <f t="shared" si="840"/>
        <v>419.25</v>
      </c>
      <c r="O610" s="434">
        <f t="shared" si="826"/>
        <v>29.559999999999999</v>
      </c>
      <c r="P610" s="435">
        <f t="shared" si="827"/>
        <v>27.949999999999999</v>
      </c>
      <c r="AE610" s="217"/>
      <c r="AF610" s="217">
        <v>1060</v>
      </c>
      <c r="AH610">
        <f t="shared" si="841"/>
        <v>1060</v>
      </c>
    </row>
    <row r="611" ht="30" hidden="1">
      <c r="A611" s="217"/>
      <c r="B611" s="217">
        <v>1060</v>
      </c>
      <c r="C611" s="217"/>
      <c r="D611" s="217" t="s">
        <v>17167</v>
      </c>
      <c r="E611" s="471" t="s">
        <v>20663</v>
      </c>
      <c r="F611" s="482">
        <v>88239</v>
      </c>
      <c r="G611" s="470" t="s">
        <v>20696</v>
      </c>
      <c r="H611" s="482" t="s">
        <v>2032</v>
      </c>
      <c r="I611" s="483">
        <v>15</v>
      </c>
      <c r="J611" s="473">
        <f t="shared" si="833"/>
        <v>22.98</v>
      </c>
      <c r="K611" s="474">
        <f t="shared" si="839"/>
        <v>344.69999999999999</v>
      </c>
      <c r="L611" s="475">
        <f t="shared" si="834"/>
        <v>21.719999999999999</v>
      </c>
      <c r="M611" s="474">
        <f t="shared" si="840"/>
        <v>325.79999999999995</v>
      </c>
      <c r="O611" s="434">
        <f t="shared" si="826"/>
        <v>22.98</v>
      </c>
      <c r="P611" s="435">
        <f t="shared" si="827"/>
        <v>21.719999999999999</v>
      </c>
      <c r="AE611" s="217"/>
      <c r="AF611" s="217">
        <v>1060</v>
      </c>
      <c r="AH611">
        <f t="shared" si="841"/>
        <v>1060</v>
      </c>
    </row>
    <row r="612" ht="30" hidden="1">
      <c r="A612" s="217"/>
      <c r="B612" s="217">
        <v>1060</v>
      </c>
      <c r="C612" s="217"/>
      <c r="D612" s="217" t="s">
        <v>17167</v>
      </c>
      <c r="E612" s="471" t="s">
        <v>20665</v>
      </c>
      <c r="F612" s="482">
        <v>88310</v>
      </c>
      <c r="G612" s="470" t="s">
        <v>7386</v>
      </c>
      <c r="H612" s="482" t="s">
        <v>2032</v>
      </c>
      <c r="I612" s="483">
        <v>5</v>
      </c>
      <c r="J612" s="473">
        <f t="shared" si="833"/>
        <v>30.210000000000001</v>
      </c>
      <c r="K612" s="474">
        <f t="shared" si="839"/>
        <v>151.05000000000001</v>
      </c>
      <c r="L612" s="475">
        <f t="shared" si="834"/>
        <v>28.600000000000001</v>
      </c>
      <c r="M612" s="474">
        <f t="shared" si="840"/>
        <v>143</v>
      </c>
      <c r="O612" s="434">
        <f t="shared" ref="O612:O675" si="842">IFERROR(IF(D612="SINAPI",VLOOKUP(F612,SINCOMOD,4,FALSE),IF(D612="INSINAPI",VLOOKUP(F612,INSINOD,5,FALSE),IF(D612="SICRO",VLOOKUP(F612,SICRO,5,FALSE),IF(D612="COTACAO",VLOOKUP(F612,COTACAO,6,FALSE),IF(D612="PRÓPRIO",VLOOKUP(F612,COMPOD,11,FALSE),IF(D612="AGESUL",VLOOKUP(F612,AGESULOD,6,FALSE),IF(D612="INSAGESUL",VLOOKUP(F612,INSAGESUL,7,FALSE),"SEM VALOR"))))))),"SEM VALOR")</f>
        <v>30.210000000000001</v>
      </c>
      <c r="P612" s="435">
        <f t="shared" ref="P612:P675" si="843">IFERROR(IF(D612="SINAPI",VLOOKUP(F612,SINCOMOD,6,FALSE),IF(D612="INSINAPI",VLOOKUP(F612,INSINOD,6,FALSE),IF(D612="SICRO",VLOOKUP(F612,SICRO,5,FALSE),IF(D612="COTACAO",VLOOKUP(F612,COTACAO,6,FALSE),IF(D612="PRÓPRIO",VLOOKUP(F612,COMPOD,13,FALSE),IF(D612="AGESUL",VLOOKUP(F612,AGESULOD,11,FALSE),IF(D612="INSAGESUL",VLOOKUP(F612,INSAGESUL,8,FALSE),"SEM VALOR"))))))),"SEM VALOR")</f>
        <v>28.600000000000001</v>
      </c>
      <c r="AE612" s="217"/>
      <c r="AF612" s="217">
        <v>1060</v>
      </c>
      <c r="AH612">
        <f t="shared" si="841"/>
        <v>1060</v>
      </c>
    </row>
    <row r="613" ht="30" hidden="1">
      <c r="A613" s="217"/>
      <c r="B613" s="217">
        <v>1060</v>
      </c>
      <c r="C613" s="217"/>
      <c r="D613" s="217" t="s">
        <v>20408</v>
      </c>
      <c r="E613" s="471" t="s">
        <v>20667</v>
      </c>
      <c r="F613" s="482">
        <v>7307</v>
      </c>
      <c r="G613" s="470" t="s">
        <v>20998</v>
      </c>
      <c r="H613" s="482" t="s">
        <v>9794</v>
      </c>
      <c r="I613" s="483">
        <v>3.46</v>
      </c>
      <c r="J613" s="473">
        <f t="shared" si="833"/>
        <v>41.960000000000001</v>
      </c>
      <c r="K613" s="474">
        <f t="shared" si="839"/>
        <v>145.1816</v>
      </c>
      <c r="L613" s="475">
        <f t="shared" si="834"/>
        <v>41.960000000000001</v>
      </c>
      <c r="M613" s="474">
        <f t="shared" si="840"/>
        <v>145.1816</v>
      </c>
      <c r="O613" s="434">
        <f t="shared" si="842"/>
        <v>41.960000000000001</v>
      </c>
      <c r="P613" s="435">
        <f t="shared" si="843"/>
        <v>41.960000000000001</v>
      </c>
      <c r="AE613" s="217"/>
      <c r="AF613" s="217">
        <v>1060</v>
      </c>
      <c r="AH613">
        <f t="shared" si="841"/>
        <v>1060</v>
      </c>
    </row>
    <row r="614" ht="30" hidden="1">
      <c r="A614" s="217"/>
      <c r="B614" s="217">
        <v>1060</v>
      </c>
      <c r="C614" s="217"/>
      <c r="D614" s="217" t="s">
        <v>20408</v>
      </c>
      <c r="E614" s="471" t="s">
        <v>20671</v>
      </c>
      <c r="F614" s="482">
        <v>10999</v>
      </c>
      <c r="G614" s="470" t="s">
        <v>20999</v>
      </c>
      <c r="H614" s="482" t="s">
        <v>302</v>
      </c>
      <c r="I614" s="483">
        <v>15</v>
      </c>
      <c r="J614" s="473">
        <f t="shared" si="833"/>
        <v>32.579999999999998</v>
      </c>
      <c r="K614" s="474">
        <f t="shared" si="839"/>
        <v>488.69999999999999</v>
      </c>
      <c r="L614" s="475">
        <f t="shared" si="834"/>
        <v>32.579999999999998</v>
      </c>
      <c r="M614" s="474">
        <f t="shared" si="840"/>
        <v>488.69999999999999</v>
      </c>
      <c r="O614" s="434">
        <f t="shared" si="842"/>
        <v>32.579999999999998</v>
      </c>
      <c r="P614" s="435">
        <f t="shared" si="843"/>
        <v>32.579999999999998</v>
      </c>
      <c r="AE614" s="217"/>
      <c r="AF614" s="217">
        <v>1060</v>
      </c>
      <c r="AH614">
        <f t="shared" si="841"/>
        <v>1060</v>
      </c>
    </row>
    <row r="615" hidden="1">
      <c r="A615" s="217"/>
      <c r="B615" s="217">
        <v>1060</v>
      </c>
      <c r="C615" s="217"/>
      <c r="D615" s="217"/>
      <c r="E615" s="471"/>
      <c r="F615" s="486"/>
      <c r="G615" s="470" t="s">
        <v>21000</v>
      </c>
      <c r="H615" s="482"/>
      <c r="I615" s="483"/>
      <c r="J615" s="473"/>
      <c r="K615" s="474">
        <f>(K610+K611+K612)/100*5</f>
        <v>46.957499999999996</v>
      </c>
      <c r="L615" s="475"/>
      <c r="M615" s="474">
        <f>(M610+M611+M612)/100*5</f>
        <v>44.402499999999996</v>
      </c>
      <c r="O615" s="434" t="str">
        <f t="shared" si="842"/>
        <v xml:space="preserve">SEM VALOR</v>
      </c>
      <c r="P615" s="435" t="str">
        <f t="shared" si="843"/>
        <v xml:space="preserve">SEM VALOR</v>
      </c>
      <c r="AE615" s="217"/>
      <c r="AF615" s="217">
        <v>1060</v>
      </c>
      <c r="AH615">
        <f t="shared" si="841"/>
        <v>1060</v>
      </c>
    </row>
    <row r="616" ht="31.5" hidden="1">
      <c r="A616" s="460">
        <v>1061</v>
      </c>
      <c r="B616" s="460">
        <v>1061</v>
      </c>
      <c r="C616" s="460"/>
      <c r="D616" s="460"/>
      <c r="E616" s="461">
        <v>1</v>
      </c>
      <c r="F616" s="462" t="s">
        <v>21001</v>
      </c>
      <c r="G616" s="477" t="s">
        <v>21002</v>
      </c>
      <c r="H616" s="478" t="s">
        <v>20647</v>
      </c>
      <c r="I616" s="479"/>
      <c r="J616" s="480"/>
      <c r="K616" s="466">
        <f>SUM(K617:K625)</f>
        <v>6430.6653750000005</v>
      </c>
      <c r="L616" s="480"/>
      <c r="M616" s="466">
        <f>SUM(M617:M625)</f>
        <v>6359.3042250000008</v>
      </c>
      <c r="O616" s="434" t="str">
        <f t="shared" si="842"/>
        <v xml:space="preserve">SEM VALOR</v>
      </c>
      <c r="P616" s="435" t="str">
        <f t="shared" si="843"/>
        <v xml:space="preserve">SEM VALOR</v>
      </c>
      <c r="AE616" s="460">
        <v>1061</v>
      </c>
      <c r="AF616" s="460"/>
      <c r="AH616">
        <f t="shared" si="841"/>
        <v>1061</v>
      </c>
    </row>
    <row r="617" ht="30" hidden="1">
      <c r="A617" s="217"/>
      <c r="B617" s="217">
        <v>1061</v>
      </c>
      <c r="C617" s="217"/>
      <c r="D617" s="217" t="s">
        <v>20408</v>
      </c>
      <c r="E617" s="471" t="s">
        <v>20399</v>
      </c>
      <c r="F617" s="482">
        <v>43082</v>
      </c>
      <c r="G617" s="470" t="s">
        <v>13739</v>
      </c>
      <c r="H617" s="482" t="s">
        <v>302</v>
      </c>
      <c r="I617" s="483">
        <v>407.04000000000002</v>
      </c>
      <c r="J617" s="473">
        <f t="shared" si="833"/>
        <v>10</v>
      </c>
      <c r="K617" s="474">
        <f t="shared" ref="K617:K624" si="844">I617*J617</f>
        <v>4070.4000000000001</v>
      </c>
      <c r="L617" s="475">
        <f t="shared" si="834"/>
        <v>10</v>
      </c>
      <c r="M617" s="474">
        <f t="shared" ref="M617:M624" si="845">L617*I617</f>
        <v>4070.4000000000001</v>
      </c>
      <c r="O617" s="434">
        <f t="shared" si="842"/>
        <v>10</v>
      </c>
      <c r="P617" s="435">
        <f t="shared" si="843"/>
        <v>10</v>
      </c>
      <c r="AE617" s="217"/>
      <c r="AF617" s="217">
        <v>1061</v>
      </c>
      <c r="AH617">
        <f t="shared" si="841"/>
        <v>1061</v>
      </c>
    </row>
    <row r="618" ht="30" hidden="1">
      <c r="A618" s="217"/>
      <c r="B618" s="217">
        <v>1061</v>
      </c>
      <c r="C618" s="217"/>
      <c r="D618" s="217" t="s">
        <v>20408</v>
      </c>
      <c r="E618" s="471" t="s">
        <v>20402</v>
      </c>
      <c r="F618" s="482">
        <v>546</v>
      </c>
      <c r="G618" s="470" t="s">
        <v>20997</v>
      </c>
      <c r="H618" s="482" t="s">
        <v>302</v>
      </c>
      <c r="I618" s="483">
        <v>17.359999999999999</v>
      </c>
      <c r="J618" s="473">
        <f t="shared" si="833"/>
        <v>9.5899999999999999</v>
      </c>
      <c r="K618" s="474">
        <f t="shared" si="844"/>
        <v>166.48239999999998</v>
      </c>
      <c r="L618" s="475">
        <f t="shared" si="834"/>
        <v>9.5899999999999999</v>
      </c>
      <c r="M618" s="474">
        <f t="shared" si="845"/>
        <v>166.48239999999998</v>
      </c>
      <c r="O618" s="434">
        <f t="shared" si="842"/>
        <v>9.5899999999999999</v>
      </c>
      <c r="P618" s="435">
        <f t="shared" si="843"/>
        <v>9.5899999999999999</v>
      </c>
      <c r="AE618" s="217"/>
      <c r="AF618" s="217">
        <v>1061</v>
      </c>
      <c r="AH618">
        <f t="shared" si="841"/>
        <v>1061</v>
      </c>
    </row>
    <row r="619" ht="45" hidden="1">
      <c r="A619" s="217"/>
      <c r="B619" s="217">
        <v>1061</v>
      </c>
      <c r="C619" s="217"/>
      <c r="D619" s="217" t="s">
        <v>20408</v>
      </c>
      <c r="E619" s="471" t="s">
        <v>20405</v>
      </c>
      <c r="F619" s="482">
        <v>43054</v>
      </c>
      <c r="G619" s="470" t="s">
        <v>10509</v>
      </c>
      <c r="H619" s="482" t="s">
        <v>302</v>
      </c>
      <c r="I619" s="483">
        <v>8.4000000000000004</v>
      </c>
      <c r="J619" s="473">
        <f t="shared" si="833"/>
        <v>8.3599999999999994</v>
      </c>
      <c r="K619" s="474">
        <f t="shared" si="844"/>
        <v>70.224000000000004</v>
      </c>
      <c r="L619" s="475">
        <f t="shared" si="834"/>
        <v>8.3599999999999994</v>
      </c>
      <c r="M619" s="474">
        <f t="shared" si="845"/>
        <v>70.224000000000004</v>
      </c>
      <c r="O619" s="434">
        <f t="shared" si="842"/>
        <v>8.3599999999999994</v>
      </c>
      <c r="P619" s="435">
        <f t="shared" si="843"/>
        <v>8.3599999999999994</v>
      </c>
      <c r="AE619" s="217"/>
      <c r="AF619" s="217">
        <v>1061</v>
      </c>
      <c r="AH619">
        <f t="shared" si="841"/>
        <v>1061</v>
      </c>
    </row>
    <row r="620" ht="30" hidden="1">
      <c r="A620" s="217"/>
      <c r="B620" s="217">
        <v>1061</v>
      </c>
      <c r="C620" s="217"/>
      <c r="D620" s="217" t="s">
        <v>17167</v>
      </c>
      <c r="E620" s="471" t="s">
        <v>20409</v>
      </c>
      <c r="F620" s="482">
        <v>88317</v>
      </c>
      <c r="G620" s="470" t="s">
        <v>7396</v>
      </c>
      <c r="H620" s="482" t="s">
        <v>2032</v>
      </c>
      <c r="I620" s="483">
        <v>19.949999999999999</v>
      </c>
      <c r="J620" s="473">
        <f t="shared" si="833"/>
        <v>29.559999999999999</v>
      </c>
      <c r="K620" s="474">
        <f t="shared" si="844"/>
        <v>589.72199999999998</v>
      </c>
      <c r="L620" s="475">
        <f t="shared" si="834"/>
        <v>27.949999999999999</v>
      </c>
      <c r="M620" s="474">
        <f t="shared" si="845"/>
        <v>557.60249999999996</v>
      </c>
      <c r="O620" s="434">
        <f t="shared" si="842"/>
        <v>29.559999999999999</v>
      </c>
      <c r="P620" s="435">
        <f t="shared" si="843"/>
        <v>27.949999999999999</v>
      </c>
      <c r="AE620" s="217"/>
      <c r="AF620" s="217">
        <v>1061</v>
      </c>
      <c r="AH620">
        <f t="shared" si="841"/>
        <v>1061</v>
      </c>
    </row>
    <row r="621" ht="30" hidden="1">
      <c r="A621" s="217"/>
      <c r="B621" s="217">
        <v>1061</v>
      </c>
      <c r="C621" s="217"/>
      <c r="D621" s="217" t="s">
        <v>17167</v>
      </c>
      <c r="E621" s="471" t="s">
        <v>20663</v>
      </c>
      <c r="F621" s="482">
        <v>88239</v>
      </c>
      <c r="G621" s="470" t="s">
        <v>20696</v>
      </c>
      <c r="H621" s="482" t="s">
        <v>2032</v>
      </c>
      <c r="I621" s="483">
        <v>19.949999999999999</v>
      </c>
      <c r="J621" s="473">
        <f t="shared" si="833"/>
        <v>22.98</v>
      </c>
      <c r="K621" s="474">
        <f t="shared" si="844"/>
        <v>458.45099999999996</v>
      </c>
      <c r="L621" s="475">
        <f t="shared" si="834"/>
        <v>21.719999999999999</v>
      </c>
      <c r="M621" s="474">
        <f t="shared" si="845"/>
        <v>433.31399999999996</v>
      </c>
      <c r="O621" s="434">
        <f t="shared" si="842"/>
        <v>22.98</v>
      </c>
      <c r="P621" s="435">
        <f t="shared" si="843"/>
        <v>21.719999999999999</v>
      </c>
      <c r="AE621" s="217"/>
      <c r="AF621" s="217">
        <v>1061</v>
      </c>
      <c r="AH621">
        <f t="shared" si="841"/>
        <v>1061</v>
      </c>
    </row>
    <row r="622" ht="30" hidden="1">
      <c r="A622" s="217"/>
      <c r="B622" s="217">
        <v>1061</v>
      </c>
      <c r="C622" s="217"/>
      <c r="D622" s="217" t="s">
        <v>17167</v>
      </c>
      <c r="E622" s="471" t="s">
        <v>20665</v>
      </c>
      <c r="F622" s="482">
        <v>88310</v>
      </c>
      <c r="G622" s="470" t="s">
        <v>7386</v>
      </c>
      <c r="H622" s="482" t="s">
        <v>2032</v>
      </c>
      <c r="I622" s="483">
        <v>6.6500000000000004</v>
      </c>
      <c r="J622" s="473">
        <f t="shared" si="833"/>
        <v>30.210000000000001</v>
      </c>
      <c r="K622" s="474">
        <f t="shared" si="844"/>
        <v>200.8965</v>
      </c>
      <c r="L622" s="475">
        <f t="shared" si="834"/>
        <v>28.600000000000001</v>
      </c>
      <c r="M622" s="474">
        <f t="shared" si="845"/>
        <v>190.19000000000003</v>
      </c>
      <c r="O622" s="434">
        <f t="shared" si="842"/>
        <v>30.210000000000001</v>
      </c>
      <c r="P622" s="435">
        <f t="shared" si="843"/>
        <v>28.600000000000001</v>
      </c>
      <c r="AE622" s="217"/>
      <c r="AF622" s="217">
        <v>1061</v>
      </c>
      <c r="AH622">
        <f t="shared" si="841"/>
        <v>1061</v>
      </c>
    </row>
    <row r="623" ht="30" hidden="1">
      <c r="A623" s="217"/>
      <c r="B623" s="217">
        <v>1061</v>
      </c>
      <c r="C623" s="217"/>
      <c r="D623" s="217" t="s">
        <v>20408</v>
      </c>
      <c r="E623" s="471" t="s">
        <v>20667</v>
      </c>
      <c r="F623" s="482">
        <v>7307</v>
      </c>
      <c r="G623" s="470" t="s">
        <v>20998</v>
      </c>
      <c r="H623" s="482" t="s">
        <v>9794</v>
      </c>
      <c r="I623" s="483">
        <v>4.5999999999999996</v>
      </c>
      <c r="J623" s="473">
        <f t="shared" si="833"/>
        <v>41.960000000000001</v>
      </c>
      <c r="K623" s="474">
        <f t="shared" si="844"/>
        <v>193.01599999999999</v>
      </c>
      <c r="L623" s="475">
        <f t="shared" si="834"/>
        <v>41.960000000000001</v>
      </c>
      <c r="M623" s="474">
        <f t="shared" si="845"/>
        <v>193.01599999999999</v>
      </c>
      <c r="O623" s="434">
        <f t="shared" si="842"/>
        <v>41.960000000000001</v>
      </c>
      <c r="P623" s="435">
        <f t="shared" si="843"/>
        <v>41.960000000000001</v>
      </c>
      <c r="AE623" s="217"/>
      <c r="AF623" s="217">
        <v>1061</v>
      </c>
      <c r="AH623">
        <f t="shared" si="841"/>
        <v>1061</v>
      </c>
    </row>
    <row r="624" ht="30" hidden="1">
      <c r="A624" s="217"/>
      <c r="B624" s="217">
        <v>1061</v>
      </c>
      <c r="C624" s="217"/>
      <c r="D624" s="217" t="s">
        <v>20408</v>
      </c>
      <c r="E624" s="471" t="s">
        <v>20671</v>
      </c>
      <c r="F624" s="482">
        <v>10999</v>
      </c>
      <c r="G624" s="470" t="s">
        <v>20999</v>
      </c>
      <c r="H624" s="482" t="s">
        <v>302</v>
      </c>
      <c r="I624" s="483">
        <v>19</v>
      </c>
      <c r="J624" s="473">
        <f t="shared" si="833"/>
        <v>32.579999999999998</v>
      </c>
      <c r="K624" s="474">
        <f t="shared" si="844"/>
        <v>619.01999999999998</v>
      </c>
      <c r="L624" s="475">
        <f t="shared" si="834"/>
        <v>32.579999999999998</v>
      </c>
      <c r="M624" s="474">
        <f t="shared" si="845"/>
        <v>619.01999999999998</v>
      </c>
      <c r="O624" s="434">
        <f t="shared" si="842"/>
        <v>32.579999999999998</v>
      </c>
      <c r="P624" s="435">
        <f t="shared" si="843"/>
        <v>32.579999999999998</v>
      </c>
      <c r="AE624" s="217"/>
      <c r="AF624" s="217">
        <v>1061</v>
      </c>
      <c r="AH624">
        <f t="shared" si="841"/>
        <v>1061</v>
      </c>
    </row>
    <row r="625" hidden="1">
      <c r="A625" s="217"/>
      <c r="B625" s="217">
        <v>1061</v>
      </c>
      <c r="C625" s="217"/>
      <c r="D625" s="217"/>
      <c r="E625" s="471"/>
      <c r="F625" s="486"/>
      <c r="G625" s="470" t="s">
        <v>21000</v>
      </c>
      <c r="H625" s="482"/>
      <c r="I625" s="483"/>
      <c r="J625" s="473"/>
      <c r="K625" s="474">
        <f>(K620+K621+K622)/100*5</f>
        <v>62.453475000000005</v>
      </c>
      <c r="L625" s="475"/>
      <c r="M625" s="474">
        <f>(M620+M621+M622)/100*5</f>
        <v>59.055324999999996</v>
      </c>
      <c r="O625" s="434" t="str">
        <f t="shared" si="842"/>
        <v xml:space="preserve">SEM VALOR</v>
      </c>
      <c r="P625" s="435" t="str">
        <f t="shared" si="843"/>
        <v xml:space="preserve">SEM VALOR</v>
      </c>
      <c r="AE625" s="217"/>
      <c r="AF625" s="217">
        <v>1061</v>
      </c>
      <c r="AH625">
        <f t="shared" si="841"/>
        <v>1061</v>
      </c>
    </row>
    <row r="626" ht="31.5" hidden="1">
      <c r="A626" s="460">
        <v>1062</v>
      </c>
      <c r="B626" s="460">
        <v>1062</v>
      </c>
      <c r="C626" s="460"/>
      <c r="D626" s="460"/>
      <c r="E626" s="461">
        <v>1</v>
      </c>
      <c r="F626" s="462" t="s">
        <v>21003</v>
      </c>
      <c r="G626" s="477" t="s">
        <v>21004</v>
      </c>
      <c r="H626" s="478" t="s">
        <v>20647</v>
      </c>
      <c r="I626" s="479"/>
      <c r="J626" s="480"/>
      <c r="K626" s="466">
        <f>SUM(K627:K635)</f>
        <v>8038.3903349999991</v>
      </c>
      <c r="L626" s="480"/>
      <c r="M626" s="466">
        <f>SUM(M627:M635)</f>
        <v>7949.18559</v>
      </c>
      <c r="O626" s="434" t="str">
        <f t="shared" si="842"/>
        <v xml:space="preserve">SEM VALOR</v>
      </c>
      <c r="P626" s="435" t="str">
        <f t="shared" si="843"/>
        <v xml:space="preserve">SEM VALOR</v>
      </c>
      <c r="AE626" s="460">
        <v>1062</v>
      </c>
      <c r="AF626" s="460"/>
      <c r="AH626">
        <f t="shared" si="841"/>
        <v>1062</v>
      </c>
    </row>
    <row r="627" ht="30" hidden="1">
      <c r="A627" s="217"/>
      <c r="B627" s="217">
        <v>1062</v>
      </c>
      <c r="C627" s="217"/>
      <c r="D627" s="217" t="s">
        <v>20408</v>
      </c>
      <c r="E627" s="471" t="s">
        <v>20399</v>
      </c>
      <c r="F627" s="482">
        <v>43082</v>
      </c>
      <c r="G627" s="470" t="s">
        <v>13739</v>
      </c>
      <c r="H627" s="482" t="s">
        <v>302</v>
      </c>
      <c r="I627" s="483">
        <v>508.80000000000001</v>
      </c>
      <c r="J627" s="473">
        <f t="shared" si="833"/>
        <v>10</v>
      </c>
      <c r="K627" s="474">
        <f t="shared" ref="K627:K634" si="846">I627*J627</f>
        <v>5088</v>
      </c>
      <c r="L627" s="475">
        <f t="shared" si="834"/>
        <v>10</v>
      </c>
      <c r="M627" s="474">
        <f t="shared" ref="M627:M634" si="847">L627*I627</f>
        <v>5088</v>
      </c>
      <c r="O627" s="434">
        <f t="shared" si="842"/>
        <v>10</v>
      </c>
      <c r="P627" s="435">
        <f t="shared" si="843"/>
        <v>10</v>
      </c>
      <c r="AE627" s="217"/>
      <c r="AF627" s="217">
        <v>1062</v>
      </c>
      <c r="AH627">
        <f t="shared" si="841"/>
        <v>1062</v>
      </c>
    </row>
    <row r="628" ht="30" hidden="1">
      <c r="A628" s="217"/>
      <c r="B628" s="217">
        <v>1062</v>
      </c>
      <c r="C628" s="217"/>
      <c r="D628" s="217" t="s">
        <v>20408</v>
      </c>
      <c r="E628" s="471" t="s">
        <v>20402</v>
      </c>
      <c r="F628" s="482">
        <v>546</v>
      </c>
      <c r="G628" s="470" t="s">
        <v>20997</v>
      </c>
      <c r="H628" s="482" t="s">
        <v>302</v>
      </c>
      <c r="I628" s="483">
        <v>21.699999999999999</v>
      </c>
      <c r="J628" s="473">
        <f t="shared" si="833"/>
        <v>9.5899999999999999</v>
      </c>
      <c r="K628" s="474">
        <f t="shared" si="846"/>
        <v>208.10299999999998</v>
      </c>
      <c r="L628" s="475">
        <f t="shared" si="834"/>
        <v>9.5899999999999999</v>
      </c>
      <c r="M628" s="474">
        <f t="shared" si="847"/>
        <v>208.10299999999998</v>
      </c>
      <c r="O628" s="434">
        <f t="shared" si="842"/>
        <v>9.5899999999999999</v>
      </c>
      <c r="P628" s="435">
        <f t="shared" si="843"/>
        <v>9.5899999999999999</v>
      </c>
      <c r="AE628" s="217"/>
      <c r="AF628" s="217">
        <v>1062</v>
      </c>
      <c r="AH628">
        <f t="shared" si="841"/>
        <v>1062</v>
      </c>
    </row>
    <row r="629" ht="45" hidden="1">
      <c r="A629" s="217"/>
      <c r="B629" s="217">
        <v>1062</v>
      </c>
      <c r="C629" s="217"/>
      <c r="D629" s="217" t="s">
        <v>20408</v>
      </c>
      <c r="E629" s="471" t="s">
        <v>20405</v>
      </c>
      <c r="F629" s="482">
        <v>43054</v>
      </c>
      <c r="G629" s="470" t="s">
        <v>10509</v>
      </c>
      <c r="H629" s="482" t="s">
        <v>302</v>
      </c>
      <c r="I629" s="483">
        <v>10.5</v>
      </c>
      <c r="J629" s="473">
        <f t="shared" si="833"/>
        <v>8.3599999999999994</v>
      </c>
      <c r="K629" s="474">
        <f t="shared" si="846"/>
        <v>87.780000000000001</v>
      </c>
      <c r="L629" s="475">
        <f t="shared" si="834"/>
        <v>8.3599999999999994</v>
      </c>
      <c r="M629" s="474">
        <f t="shared" si="847"/>
        <v>87.780000000000001</v>
      </c>
      <c r="O629" s="434">
        <f t="shared" si="842"/>
        <v>8.3599999999999994</v>
      </c>
      <c r="P629" s="435">
        <f t="shared" si="843"/>
        <v>8.3599999999999994</v>
      </c>
      <c r="AE629" s="217"/>
      <c r="AF629" s="217">
        <v>1062</v>
      </c>
      <c r="AH629">
        <f t="shared" si="841"/>
        <v>1062</v>
      </c>
    </row>
    <row r="630" ht="30" hidden="1">
      <c r="A630" s="217"/>
      <c r="B630" s="217">
        <v>1062</v>
      </c>
      <c r="C630" s="217"/>
      <c r="D630" s="217" t="s">
        <v>17167</v>
      </c>
      <c r="E630" s="471" t="s">
        <v>20409</v>
      </c>
      <c r="F630" s="482">
        <v>88317</v>
      </c>
      <c r="G630" s="470" t="s">
        <v>7396</v>
      </c>
      <c r="H630" s="482" t="s">
        <v>2032</v>
      </c>
      <c r="I630" s="483">
        <v>24.940000000000001</v>
      </c>
      <c r="J630" s="473">
        <f t="shared" si="833"/>
        <v>29.559999999999999</v>
      </c>
      <c r="K630" s="474">
        <f t="shared" si="846"/>
        <v>737.22640000000001</v>
      </c>
      <c r="L630" s="475">
        <f t="shared" si="834"/>
        <v>27.949999999999999</v>
      </c>
      <c r="M630" s="474">
        <f t="shared" si="847"/>
        <v>697.07299999999998</v>
      </c>
      <c r="O630" s="434">
        <f t="shared" si="842"/>
        <v>29.559999999999999</v>
      </c>
      <c r="P630" s="435">
        <f t="shared" si="843"/>
        <v>27.949999999999999</v>
      </c>
      <c r="AE630" s="217"/>
      <c r="AF630" s="217">
        <v>1062</v>
      </c>
      <c r="AH630">
        <f t="shared" si="841"/>
        <v>1062</v>
      </c>
    </row>
    <row r="631" ht="30" hidden="1">
      <c r="A631" s="217"/>
      <c r="B631" s="217">
        <v>1062</v>
      </c>
      <c r="C631" s="217"/>
      <c r="D631" s="217" t="s">
        <v>17167</v>
      </c>
      <c r="E631" s="471" t="s">
        <v>20663</v>
      </c>
      <c r="F631" s="482">
        <v>88239</v>
      </c>
      <c r="G631" s="470" t="s">
        <v>20696</v>
      </c>
      <c r="H631" s="482" t="s">
        <v>2032</v>
      </c>
      <c r="I631" s="483">
        <v>24.940000000000001</v>
      </c>
      <c r="J631" s="473">
        <f t="shared" si="833"/>
        <v>22.98</v>
      </c>
      <c r="K631" s="474">
        <f t="shared" si="846"/>
        <v>573.12120000000004</v>
      </c>
      <c r="L631" s="475">
        <f t="shared" si="834"/>
        <v>21.719999999999999</v>
      </c>
      <c r="M631" s="474">
        <f t="shared" si="847"/>
        <v>541.69680000000005</v>
      </c>
      <c r="O631" s="434">
        <f t="shared" si="842"/>
        <v>22.98</v>
      </c>
      <c r="P631" s="435">
        <f t="shared" si="843"/>
        <v>21.719999999999999</v>
      </c>
      <c r="AE631" s="217"/>
      <c r="AF631" s="217">
        <v>1062</v>
      </c>
      <c r="AH631">
        <f t="shared" si="841"/>
        <v>1062</v>
      </c>
    </row>
    <row r="632" ht="30" hidden="1">
      <c r="A632" s="217"/>
      <c r="B632" s="217">
        <v>1062</v>
      </c>
      <c r="C632" s="217"/>
      <c r="D632" s="217" t="s">
        <v>17167</v>
      </c>
      <c r="E632" s="471" t="s">
        <v>20665</v>
      </c>
      <c r="F632" s="482">
        <v>88310</v>
      </c>
      <c r="G632" s="470" t="s">
        <v>7386</v>
      </c>
      <c r="H632" s="482" t="s">
        <v>2032</v>
      </c>
      <c r="I632" s="483">
        <v>8.3100000000000005</v>
      </c>
      <c r="J632" s="473">
        <f t="shared" si="833"/>
        <v>30.210000000000001</v>
      </c>
      <c r="K632" s="474">
        <f t="shared" si="846"/>
        <v>251.04510000000002</v>
      </c>
      <c r="L632" s="475">
        <f t="shared" si="834"/>
        <v>28.600000000000001</v>
      </c>
      <c r="M632" s="474">
        <f t="shared" si="847"/>
        <v>237.66600000000003</v>
      </c>
      <c r="O632" s="434">
        <f t="shared" si="842"/>
        <v>30.210000000000001</v>
      </c>
      <c r="P632" s="435">
        <f t="shared" si="843"/>
        <v>28.600000000000001</v>
      </c>
      <c r="AE632" s="217"/>
      <c r="AF632" s="217">
        <v>1062</v>
      </c>
      <c r="AH632">
        <f t="shared" si="841"/>
        <v>1062</v>
      </c>
    </row>
    <row r="633" ht="30" hidden="1">
      <c r="A633" s="217"/>
      <c r="B633" s="217">
        <v>1062</v>
      </c>
      <c r="C633" s="217"/>
      <c r="D633" s="217" t="s">
        <v>20408</v>
      </c>
      <c r="E633" s="471" t="s">
        <v>20667</v>
      </c>
      <c r="F633" s="482">
        <v>7307</v>
      </c>
      <c r="G633" s="470" t="s">
        <v>20998</v>
      </c>
      <c r="H633" s="482" t="s">
        <v>9794</v>
      </c>
      <c r="I633" s="483">
        <v>5.75</v>
      </c>
      <c r="J633" s="473">
        <f t="shared" si="833"/>
        <v>41.960000000000001</v>
      </c>
      <c r="K633" s="474">
        <f t="shared" si="846"/>
        <v>241.27000000000001</v>
      </c>
      <c r="L633" s="475">
        <f t="shared" si="834"/>
        <v>41.960000000000001</v>
      </c>
      <c r="M633" s="474">
        <f t="shared" si="847"/>
        <v>241.27000000000001</v>
      </c>
      <c r="O633" s="434">
        <f t="shared" si="842"/>
        <v>41.960000000000001</v>
      </c>
      <c r="P633" s="435">
        <f t="shared" si="843"/>
        <v>41.960000000000001</v>
      </c>
      <c r="AE633" s="217"/>
      <c r="AF633" s="217">
        <v>1062</v>
      </c>
      <c r="AH633">
        <f t="shared" si="841"/>
        <v>1062</v>
      </c>
    </row>
    <row r="634" ht="30" hidden="1">
      <c r="A634" s="217"/>
      <c r="B634" s="217">
        <v>1062</v>
      </c>
      <c r="C634" s="217"/>
      <c r="D634" s="217" t="s">
        <v>20408</v>
      </c>
      <c r="E634" s="471" t="s">
        <v>20671</v>
      </c>
      <c r="F634" s="482">
        <v>10999</v>
      </c>
      <c r="G634" s="470" t="s">
        <v>20999</v>
      </c>
      <c r="H634" s="482" t="s">
        <v>302</v>
      </c>
      <c r="I634" s="483">
        <v>23.75</v>
      </c>
      <c r="J634" s="473">
        <f t="shared" si="833"/>
        <v>32.579999999999998</v>
      </c>
      <c r="K634" s="474">
        <f t="shared" si="846"/>
        <v>773.77499999999998</v>
      </c>
      <c r="L634" s="475">
        <f t="shared" si="834"/>
        <v>32.579999999999998</v>
      </c>
      <c r="M634" s="474">
        <f t="shared" si="847"/>
        <v>773.77499999999998</v>
      </c>
      <c r="O634" s="434">
        <f t="shared" si="842"/>
        <v>32.579999999999998</v>
      </c>
      <c r="P634" s="435">
        <f t="shared" si="843"/>
        <v>32.579999999999998</v>
      </c>
      <c r="AE634" s="217"/>
      <c r="AF634" s="217">
        <v>1062</v>
      </c>
      <c r="AH634">
        <f t="shared" si="841"/>
        <v>1062</v>
      </c>
    </row>
    <row r="635" hidden="1">
      <c r="A635" s="217"/>
      <c r="B635" s="217">
        <v>1062</v>
      </c>
      <c r="C635" s="217"/>
      <c r="D635" s="217"/>
      <c r="E635" s="471"/>
      <c r="F635" s="486"/>
      <c r="G635" s="470" t="s">
        <v>21000</v>
      </c>
      <c r="H635" s="482"/>
      <c r="I635" s="483"/>
      <c r="J635" s="473"/>
      <c r="K635" s="474">
        <f>(K630+K631+K632)/100*5</f>
        <v>78.069635000000005</v>
      </c>
      <c r="L635" s="475"/>
      <c r="M635" s="474">
        <f>(M630+M631+M632)/100*5</f>
        <v>73.821789999999993</v>
      </c>
      <c r="O635" s="434" t="str">
        <f t="shared" si="842"/>
        <v xml:space="preserve">SEM VALOR</v>
      </c>
      <c r="P635" s="435" t="str">
        <f t="shared" si="843"/>
        <v xml:space="preserve">SEM VALOR</v>
      </c>
      <c r="AE635" s="217"/>
      <c r="AF635" s="217">
        <v>1062</v>
      </c>
      <c r="AH635">
        <f t="shared" si="841"/>
        <v>1062</v>
      </c>
    </row>
    <row r="636" ht="31.5" hidden="1">
      <c r="A636" s="460">
        <v>1063</v>
      </c>
      <c r="B636" s="460">
        <v>1063</v>
      </c>
      <c r="C636" s="460"/>
      <c r="D636" s="460"/>
      <c r="E636" s="461">
        <v>1</v>
      </c>
      <c r="F636" s="462" t="s">
        <v>21005</v>
      </c>
      <c r="G636" s="477" t="s">
        <v>21006</v>
      </c>
      <c r="H636" s="478" t="s">
        <v>20647</v>
      </c>
      <c r="I636" s="479"/>
      <c r="J636" s="480"/>
      <c r="K636" s="466">
        <f>SUM(K637:K645)</f>
        <v>4850.3189000000002</v>
      </c>
      <c r="L636" s="480"/>
      <c r="M636" s="466">
        <f>SUM(M637:M645)</f>
        <v>4796.6638999999996</v>
      </c>
      <c r="O636" s="434" t="str">
        <f t="shared" si="842"/>
        <v xml:space="preserve">SEM VALOR</v>
      </c>
      <c r="P636" s="435" t="str">
        <f t="shared" si="843"/>
        <v xml:space="preserve">SEM VALOR</v>
      </c>
      <c r="AE636" s="460">
        <v>1063</v>
      </c>
      <c r="AF636" s="460"/>
      <c r="AH636">
        <f t="shared" si="841"/>
        <v>1063</v>
      </c>
    </row>
    <row r="637" ht="30" hidden="1">
      <c r="A637" s="217"/>
      <c r="B637" s="217">
        <v>1063</v>
      </c>
      <c r="C637" s="217"/>
      <c r="D637" s="217" t="s">
        <v>20408</v>
      </c>
      <c r="E637" s="471" t="s">
        <v>20399</v>
      </c>
      <c r="F637" s="482">
        <v>43082</v>
      </c>
      <c r="G637" s="470" t="s">
        <v>13739</v>
      </c>
      <c r="H637" s="482" t="s">
        <v>302</v>
      </c>
      <c r="I637" s="483">
        <v>305.27999999999997</v>
      </c>
      <c r="J637" s="473">
        <f t="shared" si="833"/>
        <v>10</v>
      </c>
      <c r="K637" s="474">
        <f t="shared" ref="K637:K644" si="848">I637*J637</f>
        <v>3052.7999999999997</v>
      </c>
      <c r="L637" s="475">
        <f t="shared" si="834"/>
        <v>10</v>
      </c>
      <c r="M637" s="474">
        <f t="shared" ref="M637:M644" si="849">L637*I637</f>
        <v>3052.7999999999997</v>
      </c>
      <c r="O637" s="434">
        <f t="shared" si="842"/>
        <v>10</v>
      </c>
      <c r="P637" s="435">
        <f t="shared" si="843"/>
        <v>10</v>
      </c>
      <c r="AE637" s="217"/>
      <c r="AF637" s="217">
        <v>1063</v>
      </c>
      <c r="AH637">
        <f t="shared" si="841"/>
        <v>1063</v>
      </c>
    </row>
    <row r="638" ht="30" hidden="1">
      <c r="A638" s="217"/>
      <c r="B638" s="217">
        <v>1063</v>
      </c>
      <c r="C638" s="217"/>
      <c r="D638" s="217" t="s">
        <v>20408</v>
      </c>
      <c r="E638" s="471" t="s">
        <v>20402</v>
      </c>
      <c r="F638" s="482">
        <v>546</v>
      </c>
      <c r="G638" s="470" t="s">
        <v>20997</v>
      </c>
      <c r="H638" s="482" t="s">
        <v>302</v>
      </c>
      <c r="I638" s="483">
        <v>13.02</v>
      </c>
      <c r="J638" s="473">
        <f t="shared" si="833"/>
        <v>9.5899999999999999</v>
      </c>
      <c r="K638" s="474">
        <f t="shared" si="848"/>
        <v>124.86179999999999</v>
      </c>
      <c r="L638" s="475">
        <f t="shared" si="834"/>
        <v>9.5899999999999999</v>
      </c>
      <c r="M638" s="474">
        <f t="shared" si="849"/>
        <v>124.86179999999999</v>
      </c>
      <c r="O638" s="434">
        <f t="shared" si="842"/>
        <v>9.5899999999999999</v>
      </c>
      <c r="P638" s="435">
        <f t="shared" si="843"/>
        <v>9.5899999999999999</v>
      </c>
      <c r="AE638" s="217"/>
      <c r="AF638" s="217">
        <v>1063</v>
      </c>
      <c r="AH638">
        <f t="shared" si="841"/>
        <v>1063</v>
      </c>
    </row>
    <row r="639" ht="45" hidden="1">
      <c r="A639" s="217"/>
      <c r="B639" s="217">
        <v>1063</v>
      </c>
      <c r="C639" s="217"/>
      <c r="D639" s="217" t="s">
        <v>20408</v>
      </c>
      <c r="E639" s="471" t="s">
        <v>20405</v>
      </c>
      <c r="F639" s="482">
        <v>43054</v>
      </c>
      <c r="G639" s="470" t="s">
        <v>10509</v>
      </c>
      <c r="H639" s="482" t="s">
        <v>302</v>
      </c>
      <c r="I639" s="483">
        <v>6.2999999999999998</v>
      </c>
      <c r="J639" s="473">
        <f t="shared" si="833"/>
        <v>8.3599999999999994</v>
      </c>
      <c r="K639" s="474">
        <f t="shared" si="848"/>
        <v>52.667999999999992</v>
      </c>
      <c r="L639" s="475">
        <f t="shared" si="834"/>
        <v>8.3599999999999994</v>
      </c>
      <c r="M639" s="474">
        <f t="shared" si="849"/>
        <v>52.667999999999992</v>
      </c>
      <c r="O639" s="434">
        <f t="shared" si="842"/>
        <v>8.3599999999999994</v>
      </c>
      <c r="P639" s="435">
        <f t="shared" si="843"/>
        <v>8.3599999999999994</v>
      </c>
      <c r="AE639" s="217"/>
      <c r="AF639" s="217">
        <v>1063</v>
      </c>
      <c r="AH639">
        <f t="shared" si="841"/>
        <v>1063</v>
      </c>
    </row>
    <row r="640" ht="30" hidden="1">
      <c r="A640" s="217"/>
      <c r="B640" s="217">
        <v>1063</v>
      </c>
      <c r="C640" s="217"/>
      <c r="D640" s="217" t="s">
        <v>17167</v>
      </c>
      <c r="E640" s="471" t="s">
        <v>20663</v>
      </c>
      <c r="F640" s="482">
        <v>88317</v>
      </c>
      <c r="G640" s="470" t="s">
        <v>7396</v>
      </c>
      <c r="H640" s="482" t="s">
        <v>2032</v>
      </c>
      <c r="I640" s="483">
        <v>15</v>
      </c>
      <c r="J640" s="473">
        <f t="shared" si="833"/>
        <v>29.559999999999999</v>
      </c>
      <c r="K640" s="474">
        <f t="shared" si="848"/>
        <v>443.39999999999998</v>
      </c>
      <c r="L640" s="475">
        <f t="shared" si="834"/>
        <v>27.949999999999999</v>
      </c>
      <c r="M640" s="474">
        <f t="shared" si="849"/>
        <v>419.25</v>
      </c>
      <c r="O640" s="434">
        <f t="shared" si="842"/>
        <v>29.559999999999999</v>
      </c>
      <c r="P640" s="435">
        <f t="shared" si="843"/>
        <v>27.949999999999999</v>
      </c>
      <c r="AE640" s="217"/>
      <c r="AF640" s="217">
        <v>1063</v>
      </c>
      <c r="AH640">
        <f t="shared" si="841"/>
        <v>1063</v>
      </c>
    </row>
    <row r="641" ht="30" hidden="1">
      <c r="A641" s="217"/>
      <c r="B641" s="217">
        <v>1063</v>
      </c>
      <c r="C641" s="217"/>
      <c r="D641" s="217" t="s">
        <v>17167</v>
      </c>
      <c r="E641" s="471" t="s">
        <v>20667</v>
      </c>
      <c r="F641" s="482">
        <v>88239</v>
      </c>
      <c r="G641" s="470" t="s">
        <v>20696</v>
      </c>
      <c r="H641" s="482" t="s">
        <v>2032</v>
      </c>
      <c r="I641" s="483">
        <v>15</v>
      </c>
      <c r="J641" s="473">
        <f t="shared" si="833"/>
        <v>22.98</v>
      </c>
      <c r="K641" s="474">
        <f t="shared" si="848"/>
        <v>344.69999999999999</v>
      </c>
      <c r="L641" s="475">
        <f t="shared" si="834"/>
        <v>21.719999999999999</v>
      </c>
      <c r="M641" s="474">
        <f t="shared" si="849"/>
        <v>325.79999999999995</v>
      </c>
      <c r="O641" s="434">
        <f t="shared" si="842"/>
        <v>22.98</v>
      </c>
      <c r="P641" s="435">
        <f t="shared" si="843"/>
        <v>21.719999999999999</v>
      </c>
      <c r="AE641" s="217"/>
      <c r="AF641" s="217">
        <v>1063</v>
      </c>
      <c r="AH641">
        <f t="shared" si="841"/>
        <v>1063</v>
      </c>
    </row>
    <row r="642" ht="30" hidden="1">
      <c r="A642" s="217"/>
      <c r="B642" s="217">
        <v>1063</v>
      </c>
      <c r="C642" s="217"/>
      <c r="D642" s="217" t="s">
        <v>17167</v>
      </c>
      <c r="E642" s="471" t="s">
        <v>20671</v>
      </c>
      <c r="F642" s="482">
        <v>88310</v>
      </c>
      <c r="G642" s="470" t="s">
        <v>7386</v>
      </c>
      <c r="H642" s="482" t="s">
        <v>2032</v>
      </c>
      <c r="I642" s="483">
        <v>5</v>
      </c>
      <c r="J642" s="473">
        <f t="shared" si="833"/>
        <v>30.210000000000001</v>
      </c>
      <c r="K642" s="474">
        <f t="shared" si="848"/>
        <v>151.05000000000001</v>
      </c>
      <c r="L642" s="475">
        <f t="shared" si="834"/>
        <v>28.600000000000001</v>
      </c>
      <c r="M642" s="474">
        <f t="shared" si="849"/>
        <v>143</v>
      </c>
      <c r="O642" s="434">
        <f t="shared" si="842"/>
        <v>30.210000000000001</v>
      </c>
      <c r="P642" s="435">
        <f t="shared" si="843"/>
        <v>28.600000000000001</v>
      </c>
      <c r="AE642" s="217"/>
      <c r="AF642" s="217">
        <v>1063</v>
      </c>
      <c r="AH642">
        <f t="shared" si="841"/>
        <v>1063</v>
      </c>
    </row>
    <row r="643" ht="30" hidden="1">
      <c r="A643" s="217"/>
      <c r="B643" s="217">
        <v>1063</v>
      </c>
      <c r="C643" s="217"/>
      <c r="D643" s="217" t="s">
        <v>20408</v>
      </c>
      <c r="E643" s="471" t="s">
        <v>20672</v>
      </c>
      <c r="F643" s="482">
        <v>7307</v>
      </c>
      <c r="G643" s="470" t="s">
        <v>20998</v>
      </c>
      <c r="H643" s="482" t="s">
        <v>9794</v>
      </c>
      <c r="I643" s="483">
        <v>3.46</v>
      </c>
      <c r="J643" s="473">
        <f t="shared" si="833"/>
        <v>41.960000000000001</v>
      </c>
      <c r="K643" s="474">
        <f t="shared" si="848"/>
        <v>145.1816</v>
      </c>
      <c r="L643" s="475">
        <f t="shared" si="834"/>
        <v>41.960000000000001</v>
      </c>
      <c r="M643" s="474">
        <f t="shared" si="849"/>
        <v>145.1816</v>
      </c>
      <c r="O643" s="434">
        <f t="shared" si="842"/>
        <v>41.960000000000001</v>
      </c>
      <c r="P643" s="435">
        <f t="shared" si="843"/>
        <v>41.960000000000001</v>
      </c>
      <c r="AE643" s="217"/>
      <c r="AF643" s="217">
        <v>1063</v>
      </c>
      <c r="AH643">
        <f t="shared" si="841"/>
        <v>1063</v>
      </c>
    </row>
    <row r="644" ht="30" hidden="1">
      <c r="A644" s="217"/>
      <c r="B644" s="217">
        <v>1063</v>
      </c>
      <c r="C644" s="217"/>
      <c r="D644" s="217" t="s">
        <v>20408</v>
      </c>
      <c r="E644" s="471" t="s">
        <v>20673</v>
      </c>
      <c r="F644" s="482">
        <v>10999</v>
      </c>
      <c r="G644" s="470" t="s">
        <v>20999</v>
      </c>
      <c r="H644" s="482" t="s">
        <v>302</v>
      </c>
      <c r="I644" s="483">
        <v>15</v>
      </c>
      <c r="J644" s="473">
        <f t="shared" si="833"/>
        <v>32.579999999999998</v>
      </c>
      <c r="K644" s="474">
        <f t="shared" si="848"/>
        <v>488.69999999999999</v>
      </c>
      <c r="L644" s="475">
        <f t="shared" si="834"/>
        <v>32.579999999999998</v>
      </c>
      <c r="M644" s="474">
        <f t="shared" si="849"/>
        <v>488.69999999999999</v>
      </c>
      <c r="O644" s="434">
        <f t="shared" si="842"/>
        <v>32.579999999999998</v>
      </c>
      <c r="P644" s="435">
        <f t="shared" si="843"/>
        <v>32.579999999999998</v>
      </c>
      <c r="AE644" s="217"/>
      <c r="AF644" s="217">
        <v>1063</v>
      </c>
      <c r="AH644">
        <f t="shared" si="841"/>
        <v>1063</v>
      </c>
    </row>
    <row r="645" hidden="1">
      <c r="A645" s="217"/>
      <c r="B645" s="217">
        <v>1063</v>
      </c>
      <c r="C645" s="217"/>
      <c r="D645" s="217"/>
      <c r="E645" s="471"/>
      <c r="F645" s="486"/>
      <c r="G645" s="470" t="s">
        <v>21000</v>
      </c>
      <c r="H645" s="482"/>
      <c r="I645" s="483"/>
      <c r="J645" s="473"/>
      <c r="K645" s="474">
        <f>(K640+K641+K642)/100*5</f>
        <v>46.957499999999996</v>
      </c>
      <c r="L645" s="475"/>
      <c r="M645" s="474">
        <f>(M640+M641+M642)/100*5</f>
        <v>44.402499999999996</v>
      </c>
      <c r="O645" s="434" t="str">
        <f t="shared" si="842"/>
        <v xml:space="preserve">SEM VALOR</v>
      </c>
      <c r="P645" s="435" t="str">
        <f t="shared" si="843"/>
        <v xml:space="preserve">SEM VALOR</v>
      </c>
      <c r="AE645" s="217"/>
      <c r="AF645" s="217">
        <v>1063</v>
      </c>
      <c r="AH645">
        <f t="shared" si="841"/>
        <v>1063</v>
      </c>
    </row>
    <row r="646" ht="31.5" hidden="1">
      <c r="A646" s="460">
        <v>1079</v>
      </c>
      <c r="B646" s="460">
        <v>1079</v>
      </c>
      <c r="C646" s="460"/>
      <c r="D646" s="460"/>
      <c r="E646" s="461">
        <v>1</v>
      </c>
      <c r="F646" s="462" t="s">
        <v>21007</v>
      </c>
      <c r="G646" s="477" t="s">
        <v>21008</v>
      </c>
      <c r="H646" s="478" t="s">
        <v>20647</v>
      </c>
      <c r="I646" s="479"/>
      <c r="J646" s="480"/>
      <c r="K646" s="466">
        <f>SUM(K647:K655)</f>
        <v>6735.9453749999993</v>
      </c>
      <c r="L646" s="480"/>
      <c r="M646" s="466">
        <f>SUM(M647:M655)</f>
        <v>6664.5842249999996</v>
      </c>
      <c r="O646" s="434" t="str">
        <f t="shared" si="842"/>
        <v xml:space="preserve">SEM VALOR</v>
      </c>
      <c r="P646" s="435" t="str">
        <f t="shared" si="843"/>
        <v xml:space="preserve">SEM VALOR</v>
      </c>
      <c r="AE646" s="460">
        <v>1079</v>
      </c>
      <c r="AF646" s="460"/>
      <c r="AH646">
        <f t="shared" si="841"/>
        <v>1079</v>
      </c>
    </row>
    <row r="647" ht="30" hidden="1">
      <c r="A647" s="217"/>
      <c r="B647" s="217">
        <v>1079</v>
      </c>
      <c r="C647" s="217"/>
      <c r="D647" s="217" t="s">
        <v>20408</v>
      </c>
      <c r="E647" s="471" t="s">
        <v>20399</v>
      </c>
      <c r="F647" s="482">
        <v>43082</v>
      </c>
      <c r="G647" s="470" t="s">
        <v>13739</v>
      </c>
      <c r="H647" s="482" t="s">
        <v>302</v>
      </c>
      <c r="I647" s="483">
        <v>437.56799999999998</v>
      </c>
      <c r="J647" s="473">
        <f t="shared" si="833"/>
        <v>10</v>
      </c>
      <c r="K647" s="474">
        <f t="shared" ref="K647:K654" si="850">I647*J647</f>
        <v>4375.6800000000003</v>
      </c>
      <c r="L647" s="475">
        <f t="shared" si="834"/>
        <v>10</v>
      </c>
      <c r="M647" s="474">
        <f t="shared" ref="M647:M654" si="851">L647*I647</f>
        <v>4375.6800000000003</v>
      </c>
      <c r="O647" s="434">
        <f t="shared" si="842"/>
        <v>10</v>
      </c>
      <c r="P647" s="435">
        <f t="shared" si="843"/>
        <v>10</v>
      </c>
      <c r="AE647" s="217"/>
      <c r="AF647" s="217">
        <v>1079</v>
      </c>
      <c r="AH647">
        <f t="shared" si="841"/>
        <v>1079</v>
      </c>
    </row>
    <row r="648" ht="30" hidden="1">
      <c r="A648" s="217"/>
      <c r="B648" s="217">
        <v>1079</v>
      </c>
      <c r="C648" s="217"/>
      <c r="D648" s="217" t="s">
        <v>20408</v>
      </c>
      <c r="E648" s="471" t="s">
        <v>20402</v>
      </c>
      <c r="F648" s="482">
        <v>546</v>
      </c>
      <c r="G648" s="470" t="s">
        <v>20997</v>
      </c>
      <c r="H648" s="482" t="s">
        <v>302</v>
      </c>
      <c r="I648" s="483">
        <v>17.359999999999999</v>
      </c>
      <c r="J648" s="473">
        <f t="shared" si="833"/>
        <v>9.5899999999999999</v>
      </c>
      <c r="K648" s="474">
        <f t="shared" si="850"/>
        <v>166.48239999999998</v>
      </c>
      <c r="L648" s="475">
        <f t="shared" si="834"/>
        <v>9.5899999999999999</v>
      </c>
      <c r="M648" s="474">
        <f t="shared" si="851"/>
        <v>166.48239999999998</v>
      </c>
      <c r="O648" s="434">
        <f t="shared" si="842"/>
        <v>9.5899999999999999</v>
      </c>
      <c r="P648" s="435">
        <f t="shared" si="843"/>
        <v>9.5899999999999999</v>
      </c>
      <c r="AE648" s="217"/>
      <c r="AF648" s="217">
        <v>1079</v>
      </c>
      <c r="AH648">
        <f t="shared" si="841"/>
        <v>1079</v>
      </c>
    </row>
    <row r="649" ht="45" hidden="1">
      <c r="A649" s="217"/>
      <c r="B649" s="217">
        <v>1079</v>
      </c>
      <c r="C649" s="217"/>
      <c r="D649" s="217" t="s">
        <v>20408</v>
      </c>
      <c r="E649" s="471" t="s">
        <v>20405</v>
      </c>
      <c r="F649" s="482">
        <v>43054</v>
      </c>
      <c r="G649" s="470" t="s">
        <v>10509</v>
      </c>
      <c r="H649" s="482" t="s">
        <v>302</v>
      </c>
      <c r="I649" s="483">
        <v>8.4000000000000004</v>
      </c>
      <c r="J649" s="473">
        <f t="shared" si="833"/>
        <v>8.3599999999999994</v>
      </c>
      <c r="K649" s="474">
        <f t="shared" si="850"/>
        <v>70.224000000000004</v>
      </c>
      <c r="L649" s="475">
        <f t="shared" si="834"/>
        <v>8.3599999999999994</v>
      </c>
      <c r="M649" s="474">
        <f t="shared" si="851"/>
        <v>70.224000000000004</v>
      </c>
      <c r="O649" s="434">
        <f t="shared" si="842"/>
        <v>8.3599999999999994</v>
      </c>
      <c r="P649" s="435">
        <f t="shared" si="843"/>
        <v>8.3599999999999994</v>
      </c>
      <c r="AE649" s="217"/>
      <c r="AF649" s="217">
        <v>1079</v>
      </c>
      <c r="AH649">
        <f t="shared" si="841"/>
        <v>1079</v>
      </c>
    </row>
    <row r="650" ht="30" hidden="1">
      <c r="A650" s="217"/>
      <c r="B650" s="217">
        <v>1079</v>
      </c>
      <c r="C650" s="217"/>
      <c r="D650" s="217" t="s">
        <v>17167</v>
      </c>
      <c r="E650" s="471" t="s">
        <v>20409</v>
      </c>
      <c r="F650" s="482">
        <v>88317</v>
      </c>
      <c r="G650" s="470" t="s">
        <v>7396</v>
      </c>
      <c r="H650" s="482" t="s">
        <v>2032</v>
      </c>
      <c r="I650" s="483">
        <v>19.949999999999999</v>
      </c>
      <c r="J650" s="473">
        <f t="shared" si="833"/>
        <v>29.559999999999999</v>
      </c>
      <c r="K650" s="474">
        <f t="shared" si="850"/>
        <v>589.72199999999998</v>
      </c>
      <c r="L650" s="475">
        <f t="shared" si="834"/>
        <v>27.949999999999999</v>
      </c>
      <c r="M650" s="474">
        <f t="shared" si="851"/>
        <v>557.60249999999996</v>
      </c>
      <c r="O650" s="434">
        <f t="shared" si="842"/>
        <v>29.559999999999999</v>
      </c>
      <c r="P650" s="435">
        <f t="shared" si="843"/>
        <v>27.949999999999999</v>
      </c>
      <c r="AE650" s="217"/>
      <c r="AF650" s="217">
        <v>1079</v>
      </c>
      <c r="AH650">
        <f t="shared" si="841"/>
        <v>1079</v>
      </c>
    </row>
    <row r="651" ht="30" hidden="1">
      <c r="A651" s="217"/>
      <c r="B651" s="217">
        <v>1079</v>
      </c>
      <c r="C651" s="217"/>
      <c r="D651" s="217" t="s">
        <v>17167</v>
      </c>
      <c r="E651" s="471" t="s">
        <v>20663</v>
      </c>
      <c r="F651" s="482">
        <v>88239</v>
      </c>
      <c r="G651" s="470" t="s">
        <v>20696</v>
      </c>
      <c r="H651" s="482" t="s">
        <v>2032</v>
      </c>
      <c r="I651" s="483">
        <v>19.949999999999999</v>
      </c>
      <c r="J651" s="473">
        <f t="shared" ref="J651:J714" si="852">O651*$J$3</f>
        <v>22.98</v>
      </c>
      <c r="K651" s="474">
        <f t="shared" si="850"/>
        <v>458.45099999999996</v>
      </c>
      <c r="L651" s="475">
        <f t="shared" ref="L651:L714" si="853">P651*$L$3</f>
        <v>21.719999999999999</v>
      </c>
      <c r="M651" s="474">
        <f t="shared" si="851"/>
        <v>433.31399999999996</v>
      </c>
      <c r="O651" s="434">
        <f t="shared" si="842"/>
        <v>22.98</v>
      </c>
      <c r="P651" s="435">
        <f t="shared" si="843"/>
        <v>21.719999999999999</v>
      </c>
      <c r="AE651" s="217"/>
      <c r="AF651" s="217">
        <v>1079</v>
      </c>
      <c r="AH651">
        <f t="shared" si="841"/>
        <v>1079</v>
      </c>
    </row>
    <row r="652" ht="30" hidden="1">
      <c r="A652" s="217"/>
      <c r="B652" s="217">
        <v>1079</v>
      </c>
      <c r="C652" s="217"/>
      <c r="D652" s="217" t="s">
        <v>17167</v>
      </c>
      <c r="E652" s="471" t="s">
        <v>20665</v>
      </c>
      <c r="F652" s="482">
        <v>88310</v>
      </c>
      <c r="G652" s="470" t="s">
        <v>7386</v>
      </c>
      <c r="H652" s="482" t="s">
        <v>2032</v>
      </c>
      <c r="I652" s="483">
        <v>6.6500000000000004</v>
      </c>
      <c r="J652" s="473">
        <f t="shared" si="852"/>
        <v>30.210000000000001</v>
      </c>
      <c r="K652" s="474">
        <f t="shared" si="850"/>
        <v>200.8965</v>
      </c>
      <c r="L652" s="475">
        <f t="shared" si="853"/>
        <v>28.600000000000001</v>
      </c>
      <c r="M652" s="474">
        <f t="shared" si="851"/>
        <v>190.19000000000003</v>
      </c>
      <c r="O652" s="434">
        <f t="shared" si="842"/>
        <v>30.210000000000001</v>
      </c>
      <c r="P652" s="435">
        <f t="shared" si="843"/>
        <v>28.600000000000001</v>
      </c>
      <c r="AE652" s="217"/>
      <c r="AF652" s="217">
        <v>1079</v>
      </c>
      <c r="AH652">
        <f t="shared" si="841"/>
        <v>1079</v>
      </c>
    </row>
    <row r="653" ht="30" hidden="1">
      <c r="A653" s="217"/>
      <c r="B653" s="217">
        <v>1079</v>
      </c>
      <c r="C653" s="217"/>
      <c r="D653" s="217" t="s">
        <v>20408</v>
      </c>
      <c r="E653" s="471" t="s">
        <v>20667</v>
      </c>
      <c r="F653" s="482">
        <v>7307</v>
      </c>
      <c r="G653" s="470" t="s">
        <v>20998</v>
      </c>
      <c r="H653" s="482" t="s">
        <v>9794</v>
      </c>
      <c r="I653" s="483">
        <v>4.5999999999999996</v>
      </c>
      <c r="J653" s="473">
        <f t="shared" si="852"/>
        <v>41.960000000000001</v>
      </c>
      <c r="K653" s="474">
        <f t="shared" si="850"/>
        <v>193.01599999999999</v>
      </c>
      <c r="L653" s="475">
        <f t="shared" si="853"/>
        <v>41.960000000000001</v>
      </c>
      <c r="M653" s="474">
        <f t="shared" si="851"/>
        <v>193.01599999999999</v>
      </c>
      <c r="O653" s="434">
        <f t="shared" si="842"/>
        <v>41.960000000000001</v>
      </c>
      <c r="P653" s="435">
        <f t="shared" si="843"/>
        <v>41.960000000000001</v>
      </c>
      <c r="AE653" s="217"/>
      <c r="AF653" s="217">
        <v>1079</v>
      </c>
      <c r="AH653">
        <f t="shared" si="841"/>
        <v>1079</v>
      </c>
    </row>
    <row r="654" ht="30" hidden="1">
      <c r="A654" s="217"/>
      <c r="B654" s="217">
        <v>1079</v>
      </c>
      <c r="C654" s="217"/>
      <c r="D654" s="217" t="s">
        <v>20408</v>
      </c>
      <c r="E654" s="471" t="s">
        <v>20671</v>
      </c>
      <c r="F654" s="482">
        <v>10999</v>
      </c>
      <c r="G654" s="470" t="s">
        <v>20999</v>
      </c>
      <c r="H654" s="482" t="s">
        <v>302</v>
      </c>
      <c r="I654" s="483">
        <v>19</v>
      </c>
      <c r="J654" s="473">
        <f t="shared" si="852"/>
        <v>32.579999999999998</v>
      </c>
      <c r="K654" s="474">
        <f t="shared" si="850"/>
        <v>619.01999999999998</v>
      </c>
      <c r="L654" s="475">
        <f t="shared" si="853"/>
        <v>32.579999999999998</v>
      </c>
      <c r="M654" s="474">
        <f t="shared" si="851"/>
        <v>619.01999999999998</v>
      </c>
      <c r="O654" s="434">
        <f t="shared" si="842"/>
        <v>32.579999999999998</v>
      </c>
      <c r="P654" s="435">
        <f t="shared" si="843"/>
        <v>32.579999999999998</v>
      </c>
      <c r="AE654" s="217"/>
      <c r="AF654" s="217">
        <v>1079</v>
      </c>
      <c r="AH654">
        <f t="shared" si="841"/>
        <v>1079</v>
      </c>
    </row>
    <row r="655" hidden="1">
      <c r="A655" s="217"/>
      <c r="B655" s="217">
        <v>1079</v>
      </c>
      <c r="C655" s="217"/>
      <c r="D655" s="217"/>
      <c r="E655" s="471"/>
      <c r="F655" s="486"/>
      <c r="G655" s="470" t="s">
        <v>21000</v>
      </c>
      <c r="H655" s="482"/>
      <c r="I655" s="483"/>
      <c r="J655" s="473"/>
      <c r="K655" s="474">
        <f>(K650+K651+K652)/100*5</f>
        <v>62.453475000000005</v>
      </c>
      <c r="L655" s="475"/>
      <c r="M655" s="474">
        <f>(M650+M651+M652)/100*5</f>
        <v>59.055324999999996</v>
      </c>
      <c r="O655" s="434" t="str">
        <f t="shared" si="842"/>
        <v xml:space="preserve">SEM VALOR</v>
      </c>
      <c r="P655" s="435" t="str">
        <f t="shared" si="843"/>
        <v xml:space="preserve">SEM VALOR</v>
      </c>
      <c r="AE655" s="217"/>
      <c r="AF655" s="217">
        <v>1079</v>
      </c>
      <c r="AH655">
        <f t="shared" si="841"/>
        <v>1079</v>
      </c>
    </row>
    <row r="656" ht="86.25" hidden="1" customHeight="1">
      <c r="A656" s="460">
        <v>1064</v>
      </c>
      <c r="B656" s="460">
        <v>1064</v>
      </c>
      <c r="C656" s="460"/>
      <c r="D656" s="460"/>
      <c r="E656" s="461">
        <v>1</v>
      </c>
      <c r="F656" s="462" t="s">
        <v>21009</v>
      </c>
      <c r="G656" s="477" t="s">
        <v>20967</v>
      </c>
      <c r="H656" s="478" t="s">
        <v>15515</v>
      </c>
      <c r="I656" s="479"/>
      <c r="J656" s="480"/>
      <c r="K656" s="466">
        <f>SUM(K657:K660)</f>
        <v>202.79016000000001</v>
      </c>
      <c r="L656" s="480"/>
      <c r="M656" s="466">
        <f>SUM(M657:M660)</f>
        <v>197.94299999999998</v>
      </c>
      <c r="N656" s="467" t="s">
        <v>21010</v>
      </c>
      <c r="O656" s="434" t="str">
        <f t="shared" si="842"/>
        <v xml:space="preserve">SEM VALOR</v>
      </c>
      <c r="P656" s="435" t="str">
        <f t="shared" si="843"/>
        <v xml:space="preserve">SEM VALOR</v>
      </c>
      <c r="AE656" s="460">
        <v>1064</v>
      </c>
      <c r="AF656" s="460"/>
      <c r="AH656">
        <f t="shared" si="841"/>
        <v>1064</v>
      </c>
    </row>
    <row r="657" ht="17.25" hidden="1" customHeight="1">
      <c r="A657" s="217"/>
      <c r="B657" s="217">
        <v>1064</v>
      </c>
      <c r="C657" s="217"/>
      <c r="D657" s="217" t="s">
        <v>20408</v>
      </c>
      <c r="E657" s="471" t="s">
        <v>20399</v>
      </c>
      <c r="F657" s="482">
        <v>7258</v>
      </c>
      <c r="G657" s="470" t="s">
        <v>21011</v>
      </c>
      <c r="H657" s="482" t="s">
        <v>31</v>
      </c>
      <c r="I657" s="483">
        <v>160</v>
      </c>
      <c r="J657" s="473">
        <f t="shared" si="852"/>
        <v>0.66000000000000003</v>
      </c>
      <c r="K657" s="474">
        <f t="shared" ref="K657:K660" si="854">I657*J657</f>
        <v>105.60000000000001</v>
      </c>
      <c r="L657" s="475">
        <f t="shared" si="853"/>
        <v>0.66000000000000003</v>
      </c>
      <c r="M657" s="474">
        <f t="shared" ref="M657:M660" si="855">L657*I657</f>
        <v>105.60000000000001</v>
      </c>
      <c r="O657" s="434">
        <f t="shared" si="842"/>
        <v>0.66000000000000003</v>
      </c>
      <c r="P657" s="435">
        <f t="shared" si="843"/>
        <v>0.66000000000000003</v>
      </c>
      <c r="AE657" s="217"/>
      <c r="AF657" s="217">
        <v>1064</v>
      </c>
      <c r="AH657">
        <f t="shared" si="841"/>
        <v>1064</v>
      </c>
    </row>
    <row r="658" ht="93" hidden="1" customHeight="1">
      <c r="A658" s="217"/>
      <c r="B658" s="217">
        <v>1064</v>
      </c>
      <c r="C658" s="217"/>
      <c r="D658" s="217" t="s">
        <v>17167</v>
      </c>
      <c r="E658" s="471" t="s">
        <v>20402</v>
      </c>
      <c r="F658" s="482">
        <v>87335</v>
      </c>
      <c r="G658" s="470" t="s">
        <v>181</v>
      </c>
      <c r="H658" s="482" t="s">
        <v>15528</v>
      </c>
      <c r="I658" s="483">
        <v>2.1999999999999999e-002</v>
      </c>
      <c r="J658" s="473">
        <f t="shared" si="852"/>
        <v>586.27999999999997</v>
      </c>
      <c r="K658" s="474">
        <f t="shared" si="854"/>
        <v>12.898159999999999</v>
      </c>
      <c r="L658" s="475">
        <f t="shared" si="853"/>
        <v>578</v>
      </c>
      <c r="M658" s="474">
        <f t="shared" si="855"/>
        <v>12.715999999999999</v>
      </c>
      <c r="O658" s="434">
        <f t="shared" si="842"/>
        <v>586.27999999999997</v>
      </c>
      <c r="P658" s="435">
        <f t="shared" si="843"/>
        <v>578</v>
      </c>
      <c r="AE658" s="217"/>
      <c r="AF658" s="217">
        <v>1064</v>
      </c>
      <c r="AH658">
        <f t="shared" si="841"/>
        <v>1064</v>
      </c>
    </row>
    <row r="659" ht="30" hidden="1">
      <c r="A659" s="217"/>
      <c r="B659" s="217">
        <v>1064</v>
      </c>
      <c r="C659" s="217"/>
      <c r="D659" s="217" t="s">
        <v>17167</v>
      </c>
      <c r="E659" s="471" t="s">
        <v>20405</v>
      </c>
      <c r="F659" s="482">
        <v>88309</v>
      </c>
      <c r="G659" s="470" t="s">
        <v>7385</v>
      </c>
      <c r="H659" s="482" t="s">
        <v>2032</v>
      </c>
      <c r="I659" s="483">
        <v>1.6000000000000001</v>
      </c>
      <c r="J659" s="473">
        <f t="shared" si="852"/>
        <v>28.5</v>
      </c>
      <c r="K659" s="474">
        <f t="shared" si="854"/>
        <v>45.600000000000001</v>
      </c>
      <c r="L659" s="475">
        <f t="shared" si="853"/>
        <v>26.870000000000001</v>
      </c>
      <c r="M659" s="474">
        <f t="shared" si="855"/>
        <v>42.992000000000004</v>
      </c>
      <c r="O659" s="434">
        <f t="shared" si="842"/>
        <v>28.5</v>
      </c>
      <c r="P659" s="435">
        <f t="shared" si="843"/>
        <v>26.870000000000001</v>
      </c>
      <c r="AE659" s="217"/>
      <c r="AF659" s="217">
        <v>1064</v>
      </c>
      <c r="AH659">
        <f t="shared" si="841"/>
        <v>1064</v>
      </c>
    </row>
    <row r="660" ht="30" hidden="1">
      <c r="A660" s="217"/>
      <c r="B660" s="217">
        <v>1064</v>
      </c>
      <c r="C660" s="217"/>
      <c r="D660" s="217" t="s">
        <v>17167</v>
      </c>
      <c r="E660" s="471" t="s">
        <v>20409</v>
      </c>
      <c r="F660" s="482">
        <v>88316</v>
      </c>
      <c r="G660" s="470" t="s">
        <v>7393</v>
      </c>
      <c r="H660" s="482" t="s">
        <v>2032</v>
      </c>
      <c r="I660" s="483">
        <v>1.7</v>
      </c>
      <c r="J660" s="473">
        <f t="shared" si="852"/>
        <v>22.760000000000002</v>
      </c>
      <c r="K660" s="474">
        <f t="shared" si="854"/>
        <v>38.692</v>
      </c>
      <c r="L660" s="475">
        <f t="shared" si="853"/>
        <v>21.550000000000001</v>
      </c>
      <c r="M660" s="474">
        <f t="shared" si="855"/>
        <v>36.634999999999998</v>
      </c>
      <c r="O660" s="434">
        <f t="shared" si="842"/>
        <v>22.760000000000002</v>
      </c>
      <c r="P660" s="435">
        <f t="shared" si="843"/>
        <v>21.550000000000001</v>
      </c>
      <c r="AE660" s="217"/>
      <c r="AF660" s="217">
        <v>1064</v>
      </c>
      <c r="AH660">
        <f t="shared" si="841"/>
        <v>1064</v>
      </c>
    </row>
    <row r="661" ht="78.75" hidden="1">
      <c r="A661" s="460">
        <v>1065</v>
      </c>
      <c r="B661" s="460">
        <v>1065</v>
      </c>
      <c r="C661" s="460"/>
      <c r="D661" s="460"/>
      <c r="E661" s="461">
        <v>1</v>
      </c>
      <c r="F661" s="462" t="s">
        <v>21012</v>
      </c>
      <c r="G661" s="477" t="s">
        <v>20800</v>
      </c>
      <c r="H661" s="478" t="s">
        <v>15515</v>
      </c>
      <c r="I661" s="479"/>
      <c r="J661" s="480"/>
      <c r="K661" s="466">
        <f>SUM(K662:K665)</f>
        <v>104.37038079999999</v>
      </c>
      <c r="L661" s="480"/>
      <c r="M661" s="466">
        <f>SUM(M662:M665)</f>
        <v>101.735</v>
      </c>
      <c r="N661" s="467" t="s">
        <v>21013</v>
      </c>
      <c r="O661" s="434" t="str">
        <f t="shared" si="842"/>
        <v xml:space="preserve">SEM VALOR</v>
      </c>
      <c r="P661" s="435" t="str">
        <f t="shared" si="843"/>
        <v xml:space="preserve">SEM VALOR</v>
      </c>
      <c r="AE661" s="460">
        <v>1065</v>
      </c>
      <c r="AF661" s="460"/>
      <c r="AH661">
        <f t="shared" si="841"/>
        <v>1065</v>
      </c>
    </row>
    <row r="662" ht="30" hidden="1">
      <c r="A662" s="217"/>
      <c r="B662" s="217">
        <v>1065</v>
      </c>
      <c r="C662" s="217"/>
      <c r="D662" s="217" t="s">
        <v>20408</v>
      </c>
      <c r="E662" s="471" t="s">
        <v>20399</v>
      </c>
      <c r="F662" s="482">
        <v>7258</v>
      </c>
      <c r="G662" s="470" t="s">
        <v>21011</v>
      </c>
      <c r="H662" s="482" t="s">
        <v>31</v>
      </c>
      <c r="I662" s="483">
        <v>83</v>
      </c>
      <c r="J662" s="473">
        <f t="shared" si="852"/>
        <v>0.66000000000000003</v>
      </c>
      <c r="K662" s="474">
        <f t="shared" ref="K662:K665" si="856">I662*J662</f>
        <v>54.780000000000001</v>
      </c>
      <c r="L662" s="475">
        <f t="shared" si="853"/>
        <v>0.66000000000000003</v>
      </c>
      <c r="M662" s="474">
        <f t="shared" ref="M662:M665" si="857">L662*I662</f>
        <v>54.780000000000001</v>
      </c>
      <c r="O662" s="434">
        <f t="shared" si="842"/>
        <v>0.66000000000000003</v>
      </c>
      <c r="P662" s="435">
        <f t="shared" si="843"/>
        <v>0.66000000000000003</v>
      </c>
      <c r="AE662" s="217"/>
      <c r="AF662" s="217">
        <v>1065</v>
      </c>
      <c r="AH662">
        <f t="shared" si="841"/>
        <v>1065</v>
      </c>
    </row>
    <row r="663" ht="105" hidden="1">
      <c r="A663" s="217"/>
      <c r="B663" s="217">
        <v>1065</v>
      </c>
      <c r="C663" s="217"/>
      <c r="D663" s="217" t="s">
        <v>17167</v>
      </c>
      <c r="E663" s="471" t="s">
        <v>20402</v>
      </c>
      <c r="F663" s="482">
        <v>87335</v>
      </c>
      <c r="G663" s="470" t="s">
        <v>181</v>
      </c>
      <c r="H663" s="482" t="s">
        <v>15528</v>
      </c>
      <c r="I663" s="483">
        <v>4.5599999999999998e-003</v>
      </c>
      <c r="J663" s="473">
        <f t="shared" si="852"/>
        <v>586.27999999999997</v>
      </c>
      <c r="K663" s="474">
        <f t="shared" si="856"/>
        <v>2.6734367999999997</v>
      </c>
      <c r="L663" s="475">
        <f t="shared" si="853"/>
        <v>578</v>
      </c>
      <c r="M663" s="474">
        <f t="shared" si="857"/>
        <v>2.6356799999999998</v>
      </c>
      <c r="O663" s="434">
        <f t="shared" si="842"/>
        <v>586.27999999999997</v>
      </c>
      <c r="P663" s="435">
        <f t="shared" si="843"/>
        <v>578</v>
      </c>
      <c r="AE663" s="217"/>
      <c r="AF663" s="217">
        <v>1065</v>
      </c>
      <c r="AH663">
        <f t="shared" si="841"/>
        <v>1065</v>
      </c>
    </row>
    <row r="664" ht="30" hidden="1">
      <c r="A664" s="217"/>
      <c r="B664" s="217">
        <v>1065</v>
      </c>
      <c r="C664" s="217"/>
      <c r="D664" s="217" t="s">
        <v>17167</v>
      </c>
      <c r="E664" s="471" t="s">
        <v>20405</v>
      </c>
      <c r="F664" s="482">
        <v>88309</v>
      </c>
      <c r="G664" s="470" t="s">
        <v>7385</v>
      </c>
      <c r="H664" s="482" t="s">
        <v>2032</v>
      </c>
      <c r="I664" s="483">
        <v>0.90000000000000002</v>
      </c>
      <c r="J664" s="473">
        <f t="shared" si="852"/>
        <v>28.5</v>
      </c>
      <c r="K664" s="474">
        <f t="shared" si="856"/>
        <v>25.650000000000002</v>
      </c>
      <c r="L664" s="475">
        <f t="shared" si="853"/>
        <v>26.870000000000001</v>
      </c>
      <c r="M664" s="474">
        <f t="shared" si="857"/>
        <v>24.183</v>
      </c>
      <c r="O664" s="434">
        <f t="shared" si="842"/>
        <v>28.5</v>
      </c>
      <c r="P664" s="435">
        <f t="shared" si="843"/>
        <v>26.870000000000001</v>
      </c>
      <c r="AE664" s="217"/>
      <c r="AF664" s="217">
        <v>1065</v>
      </c>
      <c r="AH664">
        <f t="shared" si="841"/>
        <v>1065</v>
      </c>
    </row>
    <row r="665" ht="30" hidden="1">
      <c r="A665" s="217"/>
      <c r="B665" s="217">
        <v>1065</v>
      </c>
      <c r="C665" s="217"/>
      <c r="D665" s="217" t="s">
        <v>17167</v>
      </c>
      <c r="E665" s="471" t="s">
        <v>20409</v>
      </c>
      <c r="F665" s="482">
        <v>88316</v>
      </c>
      <c r="G665" s="470" t="s">
        <v>7393</v>
      </c>
      <c r="H665" s="482" t="s">
        <v>2032</v>
      </c>
      <c r="I665" s="483">
        <v>0.93440000000000001</v>
      </c>
      <c r="J665" s="473">
        <f t="shared" si="852"/>
        <v>22.760000000000002</v>
      </c>
      <c r="K665" s="474">
        <f t="shared" si="856"/>
        <v>21.266944000000002</v>
      </c>
      <c r="L665" s="475">
        <f t="shared" si="853"/>
        <v>21.550000000000001</v>
      </c>
      <c r="M665" s="474">
        <f t="shared" si="857"/>
        <v>20.136320000000001</v>
      </c>
      <c r="O665" s="434">
        <f t="shared" si="842"/>
        <v>22.760000000000002</v>
      </c>
      <c r="P665" s="435">
        <f t="shared" si="843"/>
        <v>21.550000000000001</v>
      </c>
      <c r="AE665" s="217"/>
      <c r="AF665" s="217">
        <v>1065</v>
      </c>
      <c r="AH665">
        <f t="shared" si="841"/>
        <v>1065</v>
      </c>
    </row>
    <row r="666" ht="78.75" hidden="1">
      <c r="A666" s="460">
        <v>1066</v>
      </c>
      <c r="B666" s="460">
        <v>1066</v>
      </c>
      <c r="C666" s="460"/>
      <c r="D666" s="460"/>
      <c r="E666" s="461">
        <v>1</v>
      </c>
      <c r="F666" s="462" t="s">
        <v>21014</v>
      </c>
      <c r="G666" s="477" t="s">
        <v>20788</v>
      </c>
      <c r="H666" s="478" t="s">
        <v>15515</v>
      </c>
      <c r="I666" s="479"/>
      <c r="J666" s="480"/>
      <c r="K666" s="466">
        <f>SUM(K667:K670)</f>
        <v>352.84015999999997</v>
      </c>
      <c r="L666" s="480"/>
      <c r="M666" s="466">
        <f>SUM(M667:M670)</f>
        <v>343.45400000000001</v>
      </c>
      <c r="N666" s="467" t="s">
        <v>21015</v>
      </c>
      <c r="O666" s="434" t="str">
        <f t="shared" si="842"/>
        <v xml:space="preserve">SEM VALOR</v>
      </c>
      <c r="P666" s="435" t="str">
        <f t="shared" si="843"/>
        <v xml:space="preserve">SEM VALOR</v>
      </c>
      <c r="AE666" s="460">
        <v>1066</v>
      </c>
      <c r="AF666" s="460"/>
      <c r="AH666">
        <f t="shared" si="841"/>
        <v>1066</v>
      </c>
    </row>
    <row r="667" ht="30" hidden="1">
      <c r="A667" s="217"/>
      <c r="B667" s="217">
        <v>1066</v>
      </c>
      <c r="C667" s="217"/>
      <c r="D667" s="217" t="s">
        <v>20408</v>
      </c>
      <c r="E667" s="471" t="s">
        <v>20399</v>
      </c>
      <c r="F667" s="482">
        <v>7258</v>
      </c>
      <c r="G667" s="470" t="s">
        <v>21011</v>
      </c>
      <c r="H667" s="482" t="s">
        <v>31</v>
      </c>
      <c r="I667" s="483">
        <v>243</v>
      </c>
      <c r="J667" s="473">
        <f t="shared" si="852"/>
        <v>0.66000000000000003</v>
      </c>
      <c r="K667" s="474">
        <f t="shared" ref="K667:K670" si="858">I667*J667</f>
        <v>160.38</v>
      </c>
      <c r="L667" s="475">
        <f t="shared" si="853"/>
        <v>0.66000000000000003</v>
      </c>
      <c r="M667" s="474">
        <f t="shared" ref="M667:M670" si="859">L667*I667</f>
        <v>160.38</v>
      </c>
      <c r="O667" s="434">
        <f t="shared" si="842"/>
        <v>0.66000000000000003</v>
      </c>
      <c r="P667" s="435">
        <f t="shared" si="843"/>
        <v>0.66000000000000003</v>
      </c>
      <c r="AE667" s="217"/>
      <c r="AF667" s="217">
        <v>1066</v>
      </c>
      <c r="AH667">
        <f t="shared" si="841"/>
        <v>1066</v>
      </c>
    </row>
    <row r="668" ht="105" hidden="1">
      <c r="A668" s="217"/>
      <c r="B668" s="217">
        <v>1066</v>
      </c>
      <c r="C668" s="217"/>
      <c r="D668" s="217" t="s">
        <v>17167</v>
      </c>
      <c r="E668" s="471" t="s">
        <v>20402</v>
      </c>
      <c r="F668" s="482">
        <v>87335</v>
      </c>
      <c r="G668" s="470" t="s">
        <v>181</v>
      </c>
      <c r="H668" s="482" t="s">
        <v>15528</v>
      </c>
      <c r="I668" s="483">
        <v>5.1999999999999998e-002</v>
      </c>
      <c r="J668" s="473">
        <f t="shared" si="852"/>
        <v>586.27999999999997</v>
      </c>
      <c r="K668" s="474">
        <f t="shared" si="858"/>
        <v>30.486559999999997</v>
      </c>
      <c r="L668" s="475">
        <f t="shared" si="853"/>
        <v>578</v>
      </c>
      <c r="M668" s="474">
        <f t="shared" si="859"/>
        <v>30.055999999999997</v>
      </c>
      <c r="O668" s="434">
        <f t="shared" si="842"/>
        <v>586.27999999999997</v>
      </c>
      <c r="P668" s="435">
        <f t="shared" si="843"/>
        <v>578</v>
      </c>
      <c r="AE668" s="217"/>
      <c r="AF668" s="217">
        <v>1066</v>
      </c>
      <c r="AH668">
        <f t="shared" si="841"/>
        <v>1066</v>
      </c>
    </row>
    <row r="669" ht="30" hidden="1">
      <c r="A669" s="217"/>
      <c r="B669" s="217">
        <v>1066</v>
      </c>
      <c r="C669" s="217"/>
      <c r="D669" s="217" t="s">
        <v>17167</v>
      </c>
      <c r="E669" s="471" t="s">
        <v>20405</v>
      </c>
      <c r="F669" s="482">
        <v>88309</v>
      </c>
      <c r="G669" s="470" t="s">
        <v>7385</v>
      </c>
      <c r="H669" s="482" t="s">
        <v>2032</v>
      </c>
      <c r="I669" s="483">
        <v>3</v>
      </c>
      <c r="J669" s="473">
        <f t="shared" si="852"/>
        <v>28.5</v>
      </c>
      <c r="K669" s="474">
        <f t="shared" si="858"/>
        <v>85.5</v>
      </c>
      <c r="L669" s="475">
        <f t="shared" si="853"/>
        <v>26.870000000000001</v>
      </c>
      <c r="M669" s="474">
        <f t="shared" si="859"/>
        <v>80.609999999999999</v>
      </c>
      <c r="O669" s="434">
        <f t="shared" si="842"/>
        <v>28.5</v>
      </c>
      <c r="P669" s="435">
        <f t="shared" si="843"/>
        <v>26.870000000000001</v>
      </c>
      <c r="AE669" s="217"/>
      <c r="AF669" s="217">
        <v>1066</v>
      </c>
      <c r="AH669">
        <f t="shared" si="841"/>
        <v>1066</v>
      </c>
    </row>
    <row r="670" ht="30" hidden="1">
      <c r="A670" s="217"/>
      <c r="B670" s="217">
        <v>1066</v>
      </c>
      <c r="C670" s="217"/>
      <c r="D670" s="217" t="s">
        <v>17167</v>
      </c>
      <c r="E670" s="471" t="s">
        <v>20409</v>
      </c>
      <c r="F670" s="482">
        <v>88316</v>
      </c>
      <c r="G670" s="470" t="s">
        <v>7393</v>
      </c>
      <c r="H670" s="482" t="s">
        <v>2032</v>
      </c>
      <c r="I670" s="483">
        <v>3.3599999999999999</v>
      </c>
      <c r="J670" s="473">
        <f t="shared" si="852"/>
        <v>22.760000000000002</v>
      </c>
      <c r="K670" s="474">
        <f t="shared" si="858"/>
        <v>76.473600000000005</v>
      </c>
      <c r="L670" s="475">
        <f t="shared" si="853"/>
        <v>21.550000000000001</v>
      </c>
      <c r="M670" s="474">
        <f t="shared" si="859"/>
        <v>72.408000000000001</v>
      </c>
      <c r="O670" s="434">
        <f t="shared" si="842"/>
        <v>22.760000000000002</v>
      </c>
      <c r="P670" s="435">
        <f t="shared" si="843"/>
        <v>21.550000000000001</v>
      </c>
      <c r="AE670" s="217"/>
      <c r="AF670" s="217">
        <v>1066</v>
      </c>
      <c r="AH670">
        <f t="shared" si="841"/>
        <v>1066</v>
      </c>
    </row>
    <row r="671" ht="96" customHeight="1">
      <c r="A671" s="460">
        <v>1067</v>
      </c>
      <c r="B671" s="460">
        <v>1067</v>
      </c>
      <c r="C671" s="460"/>
      <c r="D671" s="460"/>
      <c r="E671" s="461">
        <v>1</v>
      </c>
      <c r="F671" s="462" t="s">
        <v>21016</v>
      </c>
      <c r="G671" s="477" t="s">
        <v>21017</v>
      </c>
      <c r="H671" s="478" t="s">
        <v>15515</v>
      </c>
      <c r="I671" s="479"/>
      <c r="J671" s="480"/>
      <c r="K671" s="466">
        <f>SUM(K672:K675)</f>
        <v>1050.6098</v>
      </c>
      <c r="L671" s="480"/>
      <c r="M671" s="466">
        <f>SUM(M672:M675)</f>
        <v>1028.3700000000001</v>
      </c>
      <c r="N671" s="467" t="s">
        <v>21018</v>
      </c>
      <c r="O671" s="434" t="str">
        <f t="shared" si="842"/>
        <v xml:space="preserve">SEM VALOR</v>
      </c>
      <c r="P671" s="435" t="str">
        <f t="shared" si="843"/>
        <v xml:space="preserve">SEM VALOR</v>
      </c>
      <c r="AE671" s="460">
        <v>1067</v>
      </c>
      <c r="AF671" s="460"/>
      <c r="AH671">
        <f t="shared" si="841"/>
        <v>1067</v>
      </c>
    </row>
    <row r="672" ht="30">
      <c r="A672" s="217"/>
      <c r="B672" s="217">
        <v>1067</v>
      </c>
      <c r="C672" s="217"/>
      <c r="D672" s="217" t="s">
        <v>20408</v>
      </c>
      <c r="E672" s="471" t="s">
        <v>20399</v>
      </c>
      <c r="F672" s="482">
        <v>7258</v>
      </c>
      <c r="G672" s="470" t="s">
        <v>21011</v>
      </c>
      <c r="H672" s="482" t="s">
        <v>31</v>
      </c>
      <c r="I672" s="483">
        <v>795</v>
      </c>
      <c r="J672" s="473">
        <f t="shared" si="852"/>
        <v>0.66000000000000003</v>
      </c>
      <c r="K672" s="474">
        <f t="shared" ref="K672:K675" si="860">I672*J672</f>
        <v>524.70000000000005</v>
      </c>
      <c r="L672" s="475">
        <f t="shared" si="853"/>
        <v>0.66000000000000003</v>
      </c>
      <c r="M672" s="474">
        <f t="shared" ref="M672:M675" si="861">L672*I672</f>
        <v>524.70000000000005</v>
      </c>
      <c r="O672" s="434">
        <f t="shared" si="842"/>
        <v>0.66000000000000003</v>
      </c>
      <c r="P672" s="435">
        <f t="shared" si="843"/>
        <v>0.66000000000000003</v>
      </c>
      <c r="AE672" s="217"/>
      <c r="AF672" s="217">
        <v>1067</v>
      </c>
      <c r="AH672">
        <f t="shared" si="841"/>
        <v>1067</v>
      </c>
    </row>
    <row r="673" ht="105">
      <c r="A673" s="217"/>
      <c r="B673" s="217">
        <v>1067</v>
      </c>
      <c r="C673" s="217"/>
      <c r="D673" s="217" t="s">
        <v>17167</v>
      </c>
      <c r="E673" s="471" t="s">
        <v>20402</v>
      </c>
      <c r="F673" s="482">
        <v>87335</v>
      </c>
      <c r="G673" s="470" t="s">
        <v>181</v>
      </c>
      <c r="H673" s="482" t="s">
        <v>15528</v>
      </c>
      <c r="I673" s="483">
        <v>0.28499999999999998</v>
      </c>
      <c r="J673" s="473">
        <f t="shared" si="852"/>
        <v>586.27999999999997</v>
      </c>
      <c r="K673" s="474">
        <f t="shared" si="860"/>
        <v>167.08979999999997</v>
      </c>
      <c r="L673" s="475">
        <f t="shared" si="853"/>
        <v>578</v>
      </c>
      <c r="M673" s="474">
        <f t="shared" si="861"/>
        <v>164.72999999999999</v>
      </c>
      <c r="O673" s="434">
        <f t="shared" si="842"/>
        <v>586.27999999999997</v>
      </c>
      <c r="P673" s="435">
        <f t="shared" si="843"/>
        <v>578</v>
      </c>
      <c r="AE673" s="217"/>
      <c r="AF673" s="217">
        <v>1067</v>
      </c>
      <c r="AH673">
        <f t="shared" ref="AH673:AH736" si="862">IF(AF673:AF674=FALSE,AE673,AF673)</f>
        <v>1067</v>
      </c>
    </row>
    <row r="674" ht="30">
      <c r="A674" s="217"/>
      <c r="B674" s="217">
        <v>1067</v>
      </c>
      <c r="C674" s="217"/>
      <c r="D674" s="217" t="s">
        <v>17167</v>
      </c>
      <c r="E674" s="471" t="s">
        <v>20405</v>
      </c>
      <c r="F674" s="482">
        <v>88309</v>
      </c>
      <c r="G674" s="470" t="s">
        <v>7385</v>
      </c>
      <c r="H674" s="482" t="s">
        <v>2032</v>
      </c>
      <c r="I674" s="483">
        <v>7</v>
      </c>
      <c r="J674" s="473">
        <f t="shared" si="852"/>
        <v>28.5</v>
      </c>
      <c r="K674" s="474">
        <f t="shared" si="860"/>
        <v>199.5</v>
      </c>
      <c r="L674" s="475">
        <f t="shared" si="853"/>
        <v>26.870000000000001</v>
      </c>
      <c r="M674" s="474">
        <f t="shared" si="861"/>
        <v>188.09</v>
      </c>
      <c r="O674" s="434">
        <f t="shared" si="842"/>
        <v>28.5</v>
      </c>
      <c r="P674" s="435">
        <f t="shared" si="843"/>
        <v>26.870000000000001</v>
      </c>
      <c r="AE674" s="217"/>
      <c r="AF674" s="217">
        <v>1067</v>
      </c>
      <c r="AH674">
        <f t="shared" si="862"/>
        <v>1067</v>
      </c>
    </row>
    <row r="675" ht="30">
      <c r="A675" s="217"/>
      <c r="B675" s="217">
        <v>1067</v>
      </c>
      <c r="C675" s="217"/>
      <c r="D675" s="217" t="s">
        <v>17167</v>
      </c>
      <c r="E675" s="471" t="s">
        <v>20409</v>
      </c>
      <c r="F675" s="482">
        <v>88316</v>
      </c>
      <c r="G675" s="470" t="s">
        <v>7393</v>
      </c>
      <c r="H675" s="482" t="s">
        <v>2032</v>
      </c>
      <c r="I675" s="483">
        <v>7</v>
      </c>
      <c r="J675" s="473">
        <f t="shared" si="852"/>
        <v>22.760000000000002</v>
      </c>
      <c r="K675" s="474">
        <f t="shared" si="860"/>
        <v>159.32000000000002</v>
      </c>
      <c r="L675" s="475">
        <f t="shared" si="853"/>
        <v>21.550000000000001</v>
      </c>
      <c r="M675" s="474">
        <f t="shared" si="861"/>
        <v>150.84999999999999</v>
      </c>
      <c r="O675" s="434">
        <f t="shared" si="842"/>
        <v>22.760000000000002</v>
      </c>
      <c r="P675" s="435">
        <f t="shared" si="843"/>
        <v>21.550000000000001</v>
      </c>
      <c r="AE675" s="217"/>
      <c r="AF675" s="217">
        <v>1067</v>
      </c>
      <c r="AH675">
        <f t="shared" si="862"/>
        <v>1067</v>
      </c>
    </row>
    <row r="676" ht="78.75" hidden="1">
      <c r="A676" s="460">
        <v>1068</v>
      </c>
      <c r="B676" s="460">
        <v>1068</v>
      </c>
      <c r="C676" s="460"/>
      <c r="D676" s="460"/>
      <c r="E676" s="461">
        <v>1</v>
      </c>
      <c r="F676" s="462" t="s">
        <v>21019</v>
      </c>
      <c r="G676" s="477" t="s">
        <v>21020</v>
      </c>
      <c r="H676" s="478" t="s">
        <v>15528</v>
      </c>
      <c r="I676" s="479"/>
      <c r="J676" s="480"/>
      <c r="K676" s="466">
        <f>SUM(K677:K683)</f>
        <v>9.4792500000000004</v>
      </c>
      <c r="L676" s="480"/>
      <c r="M676" s="466">
        <f>SUM(M677:M683)</f>
        <v>9.3685500000000008</v>
      </c>
      <c r="N676" s="467" t="s">
        <v>21021</v>
      </c>
      <c r="O676" s="434" t="str">
        <f t="shared" ref="O676:O739" si="863">IFERROR(IF(D676="SINAPI",VLOOKUP(F676,SINCOMOD,4,FALSE),IF(D676="INSINAPI",VLOOKUP(F676,INSINOD,5,FALSE),IF(D676="SICRO",VLOOKUP(F676,SICRO,5,FALSE),IF(D676="COTACAO",VLOOKUP(F676,COTACAO,6,FALSE),IF(D676="PRÓPRIO",VLOOKUP(F676,COMPOD,11,FALSE),IF(D676="AGESUL",VLOOKUP(F676,AGESULOD,6,FALSE),IF(D676="INSAGESUL",VLOOKUP(F676,INSAGESUL,7,FALSE),"SEM VALOR"))))))),"SEM VALOR")</f>
        <v xml:space="preserve">SEM VALOR</v>
      </c>
      <c r="P676" s="435" t="str">
        <f t="shared" ref="P676:P739" si="864">IFERROR(IF(D676="SINAPI",VLOOKUP(F676,SINCOMOD,6,FALSE),IF(D676="INSINAPI",VLOOKUP(F676,INSINOD,6,FALSE),IF(D676="SICRO",VLOOKUP(F676,SICRO,5,FALSE),IF(D676="COTACAO",VLOOKUP(F676,COTACAO,6,FALSE),IF(D676="PRÓPRIO",VLOOKUP(F676,COMPOD,13,FALSE),IF(D676="AGESUL",VLOOKUP(F676,AGESULOD,11,FALSE),IF(D676="INSAGESUL",VLOOKUP(F676,INSAGESUL,8,FALSE),"SEM VALOR"))))))),"SEM VALOR")</f>
        <v xml:space="preserve">SEM VALOR</v>
      </c>
      <c r="AE676" s="460">
        <v>1068</v>
      </c>
      <c r="AF676" s="460"/>
      <c r="AH676">
        <f t="shared" si="862"/>
        <v>1068</v>
      </c>
    </row>
    <row r="677" ht="90" hidden="1">
      <c r="A677" s="217"/>
      <c r="B677" s="217">
        <v>1068</v>
      </c>
      <c r="C677" s="217"/>
      <c r="D677" s="217" t="s">
        <v>17167</v>
      </c>
      <c r="E677" s="471" t="s">
        <v>20399</v>
      </c>
      <c r="F677" s="482">
        <v>5684</v>
      </c>
      <c r="G677" s="470" t="s">
        <v>1885</v>
      </c>
      <c r="H677" s="482" t="s">
        <v>1535</v>
      </c>
      <c r="I677" s="483">
        <v>5.0000000000000001e-003</v>
      </c>
      <c r="J677" s="473">
        <f t="shared" si="852"/>
        <v>164.22</v>
      </c>
      <c r="K677" s="474">
        <f t="shared" ref="K677:K683" si="865">I677*J677</f>
        <v>0.82110000000000005</v>
      </c>
      <c r="L677" s="475">
        <f t="shared" si="853"/>
        <v>162.52000000000001</v>
      </c>
      <c r="M677" s="474">
        <f t="shared" ref="M677:M683" si="866">L677*I677</f>
        <v>0.8126000000000001</v>
      </c>
      <c r="O677" s="434">
        <f t="shared" si="863"/>
        <v>164.22</v>
      </c>
      <c r="P677" s="435">
        <f t="shared" si="864"/>
        <v>162.52000000000001</v>
      </c>
      <c r="AE677" s="217"/>
      <c r="AF677" s="217">
        <v>1068</v>
      </c>
      <c r="AH677">
        <f t="shared" si="862"/>
        <v>1068</v>
      </c>
    </row>
    <row r="678" ht="60" hidden="1">
      <c r="A678" s="217"/>
      <c r="B678" s="217">
        <v>1068</v>
      </c>
      <c r="C678" s="217"/>
      <c r="D678" s="217" t="s">
        <v>17167</v>
      </c>
      <c r="E678" s="471" t="s">
        <v>20402</v>
      </c>
      <c r="F678" s="482">
        <v>5921</v>
      </c>
      <c r="G678" s="470" t="s">
        <v>1699</v>
      </c>
      <c r="H678" s="482" t="s">
        <v>1535</v>
      </c>
      <c r="I678" s="483">
        <v>1.e-002</v>
      </c>
      <c r="J678" s="473">
        <f t="shared" si="852"/>
        <v>5.0199999999999996</v>
      </c>
      <c r="K678" s="474">
        <f t="shared" si="865"/>
        <v>5.0199999999999995e-002</v>
      </c>
      <c r="L678" s="475">
        <f t="shared" si="853"/>
        <v>5.0199999999999996</v>
      </c>
      <c r="M678" s="474">
        <f t="shared" si="866"/>
        <v>5.0199999999999995e-002</v>
      </c>
      <c r="O678" s="434">
        <f t="shared" si="863"/>
        <v>5.0199999999999996</v>
      </c>
      <c r="P678" s="435">
        <f t="shared" si="864"/>
        <v>5.0199999999999996</v>
      </c>
      <c r="AE678" s="217"/>
      <c r="AF678" s="217">
        <v>1068</v>
      </c>
      <c r="AH678">
        <f t="shared" si="862"/>
        <v>1068</v>
      </c>
    </row>
    <row r="679" ht="75" hidden="1">
      <c r="A679" s="217"/>
      <c r="B679" s="217">
        <v>1068</v>
      </c>
      <c r="C679" s="217"/>
      <c r="D679" s="217" t="s">
        <v>17167</v>
      </c>
      <c r="E679" s="471" t="s">
        <v>20405</v>
      </c>
      <c r="F679" s="482">
        <v>5932</v>
      </c>
      <c r="G679" s="470" t="s">
        <v>1787</v>
      </c>
      <c r="H679" s="482" t="s">
        <v>1535</v>
      </c>
      <c r="I679" s="483">
        <v>5.0000000000000001e-003</v>
      </c>
      <c r="J679" s="473">
        <f t="shared" si="852"/>
        <v>294.49000000000001</v>
      </c>
      <c r="K679" s="474">
        <f t="shared" si="865"/>
        <v>1.47245</v>
      </c>
      <c r="L679" s="475">
        <f t="shared" si="853"/>
        <v>291.70999999999998</v>
      </c>
      <c r="M679" s="474">
        <f t="shared" si="866"/>
        <v>1.45855</v>
      </c>
      <c r="O679" s="434">
        <f t="shared" si="863"/>
        <v>294.49000000000001</v>
      </c>
      <c r="P679" s="435">
        <f t="shared" si="864"/>
        <v>291.70999999999998</v>
      </c>
      <c r="AE679" s="217"/>
      <c r="AF679" s="217">
        <v>1068</v>
      </c>
      <c r="AH679">
        <f t="shared" si="862"/>
        <v>1068</v>
      </c>
    </row>
    <row r="680" ht="90" hidden="1">
      <c r="A680" s="217"/>
      <c r="B680" s="217">
        <v>1068</v>
      </c>
      <c r="C680" s="217"/>
      <c r="D680" s="217" t="s">
        <v>17167</v>
      </c>
      <c r="E680" s="471" t="s">
        <v>20409</v>
      </c>
      <c r="F680" s="482">
        <v>6259</v>
      </c>
      <c r="G680" s="470" t="s">
        <v>1597</v>
      </c>
      <c r="H680" s="482" t="s">
        <v>1535</v>
      </c>
      <c r="I680" s="483">
        <v>1.e-002</v>
      </c>
      <c r="J680" s="473">
        <f t="shared" si="852"/>
        <v>278.72000000000003</v>
      </c>
      <c r="K680" s="474">
        <f t="shared" si="865"/>
        <v>2.7872000000000003</v>
      </c>
      <c r="L680" s="475">
        <f t="shared" si="853"/>
        <v>277.12</v>
      </c>
      <c r="M680" s="474">
        <f t="shared" si="866"/>
        <v>2.7711999999999999</v>
      </c>
      <c r="O680" s="434">
        <f t="shared" si="863"/>
        <v>278.72000000000003</v>
      </c>
      <c r="P680" s="435">
        <f t="shared" si="864"/>
        <v>277.12</v>
      </c>
      <c r="AE680" s="217"/>
      <c r="AF680" s="217">
        <v>1068</v>
      </c>
      <c r="AH680">
        <f t="shared" si="862"/>
        <v>1068</v>
      </c>
    </row>
    <row r="681" ht="105" hidden="1">
      <c r="A681" s="217"/>
      <c r="B681" s="217">
        <v>1068</v>
      </c>
      <c r="C681" s="217"/>
      <c r="D681" s="217" t="s">
        <v>17167</v>
      </c>
      <c r="E681" s="471" t="s">
        <v>20663</v>
      </c>
      <c r="F681" s="482">
        <v>7049</v>
      </c>
      <c r="G681" s="470" t="s">
        <v>1881</v>
      </c>
      <c r="H681" s="482" t="s">
        <v>1535</v>
      </c>
      <c r="I681" s="483">
        <v>1.e-002</v>
      </c>
      <c r="J681" s="473">
        <f t="shared" si="852"/>
        <v>228.24000000000001</v>
      </c>
      <c r="K681" s="474">
        <f t="shared" si="865"/>
        <v>2.2824</v>
      </c>
      <c r="L681" s="475">
        <f t="shared" si="853"/>
        <v>226.53999999999999</v>
      </c>
      <c r="M681" s="474">
        <f t="shared" si="866"/>
        <v>2.2654000000000001</v>
      </c>
      <c r="O681" s="434">
        <f t="shared" si="863"/>
        <v>228.24000000000001</v>
      </c>
      <c r="P681" s="435">
        <f t="shared" si="864"/>
        <v>226.53999999999999</v>
      </c>
      <c r="AE681" s="217"/>
      <c r="AF681" s="217">
        <v>1068</v>
      </c>
      <c r="AH681">
        <f t="shared" si="862"/>
        <v>1068</v>
      </c>
    </row>
    <row r="682" ht="30" hidden="1">
      <c r="A682" s="217"/>
      <c r="B682" s="217">
        <v>1068</v>
      </c>
      <c r="C682" s="217"/>
      <c r="D682" s="217" t="s">
        <v>17167</v>
      </c>
      <c r="E682" s="471" t="s">
        <v>20665</v>
      </c>
      <c r="F682" s="482">
        <v>88316</v>
      </c>
      <c r="G682" s="470" t="s">
        <v>7393</v>
      </c>
      <c r="H682" s="482" t="s">
        <v>2032</v>
      </c>
      <c r="I682" s="483">
        <v>2.9999999999999999e-002</v>
      </c>
      <c r="J682" s="473">
        <f t="shared" si="852"/>
        <v>22.760000000000002</v>
      </c>
      <c r="K682" s="474">
        <f t="shared" si="865"/>
        <v>0.68280000000000007</v>
      </c>
      <c r="L682" s="475">
        <f t="shared" si="853"/>
        <v>21.550000000000001</v>
      </c>
      <c r="M682" s="474">
        <f t="shared" si="866"/>
        <v>0.64649999999999996</v>
      </c>
      <c r="O682" s="434">
        <f t="shared" si="863"/>
        <v>22.760000000000002</v>
      </c>
      <c r="P682" s="435">
        <f t="shared" si="864"/>
        <v>21.550000000000001</v>
      </c>
      <c r="AE682" s="217"/>
      <c r="AF682" s="217">
        <v>1068</v>
      </c>
      <c r="AH682">
        <f t="shared" si="862"/>
        <v>1068</v>
      </c>
    </row>
    <row r="683" ht="45" hidden="1">
      <c r="A683" s="217"/>
      <c r="B683" s="217">
        <v>1068</v>
      </c>
      <c r="C683" s="217"/>
      <c r="D683" s="217" t="s">
        <v>17167</v>
      </c>
      <c r="E683" s="471" t="s">
        <v>20667</v>
      </c>
      <c r="F683" s="482">
        <v>89035</v>
      </c>
      <c r="G683" s="470" t="s">
        <v>1935</v>
      </c>
      <c r="H683" s="482" t="s">
        <v>1535</v>
      </c>
      <c r="I683" s="483">
        <v>1.e-002</v>
      </c>
      <c r="J683" s="473">
        <f t="shared" si="852"/>
        <v>138.31</v>
      </c>
      <c r="K683" s="474">
        <f t="shared" si="865"/>
        <v>1.3831</v>
      </c>
      <c r="L683" s="475">
        <f t="shared" si="853"/>
        <v>136.41</v>
      </c>
      <c r="M683" s="474">
        <f t="shared" si="866"/>
        <v>1.3641000000000001</v>
      </c>
      <c r="O683" s="434">
        <f t="shared" si="863"/>
        <v>138.31</v>
      </c>
      <c r="P683" s="435">
        <f t="shared" si="864"/>
        <v>136.41</v>
      </c>
      <c r="AE683" s="217"/>
      <c r="AF683" s="217">
        <v>1068</v>
      </c>
      <c r="AH683">
        <f t="shared" si="862"/>
        <v>1068</v>
      </c>
    </row>
    <row r="684" ht="47.25" hidden="1">
      <c r="A684" s="460">
        <v>1069</v>
      </c>
      <c r="B684" s="460">
        <v>1069</v>
      </c>
      <c r="C684" s="460"/>
      <c r="D684" s="460"/>
      <c r="E684" s="461">
        <v>1</v>
      </c>
      <c r="F684" s="462" t="s">
        <v>21022</v>
      </c>
      <c r="G684" s="477" t="s">
        <v>21023</v>
      </c>
      <c r="H684" s="478" t="s">
        <v>15515</v>
      </c>
      <c r="I684" s="479"/>
      <c r="J684" s="480"/>
      <c r="K684" s="466">
        <f>SUM(K685:K686)</f>
        <v>26.5488</v>
      </c>
      <c r="L684" s="480"/>
      <c r="M684" s="466">
        <f>SUM(M685:M686)</f>
        <v>26.512499999999999</v>
      </c>
      <c r="N684" s="467" t="s">
        <v>21024</v>
      </c>
      <c r="O684" s="434" t="str">
        <f t="shared" si="863"/>
        <v xml:space="preserve">SEM VALOR</v>
      </c>
      <c r="P684" s="435" t="str">
        <f t="shared" si="864"/>
        <v xml:space="preserve">SEM VALOR</v>
      </c>
      <c r="AE684" s="460">
        <v>1069</v>
      </c>
      <c r="AF684" s="460"/>
      <c r="AH684">
        <f t="shared" si="862"/>
        <v>1069</v>
      </c>
    </row>
    <row r="685" ht="60" hidden="1">
      <c r="A685" s="217"/>
      <c r="B685" s="217">
        <v>1069</v>
      </c>
      <c r="C685" s="217"/>
      <c r="D685" s="217" t="s">
        <v>20408</v>
      </c>
      <c r="E685" s="471" t="s">
        <v>20399</v>
      </c>
      <c r="F685" s="471">
        <v>4018</v>
      </c>
      <c r="G685" s="470" t="s">
        <v>12645</v>
      </c>
      <c r="H685" s="470" t="s">
        <v>15515</v>
      </c>
      <c r="I685" s="483">
        <v>1.0800000000000001</v>
      </c>
      <c r="J685" s="473">
        <f t="shared" si="852"/>
        <v>23.949999999999999</v>
      </c>
      <c r="K685" s="474">
        <f t="shared" ref="K685:K686" si="867">I685*J685</f>
        <v>25.866</v>
      </c>
      <c r="L685" s="475">
        <f t="shared" si="853"/>
        <v>23.949999999999999</v>
      </c>
      <c r="M685" s="474">
        <f t="shared" ref="M685:M686" si="868">L685*I685</f>
        <v>25.866</v>
      </c>
      <c r="N685" s="442"/>
      <c r="O685" s="434">
        <f t="shared" si="863"/>
        <v>23.949999999999999</v>
      </c>
      <c r="P685" s="435">
        <f t="shared" si="864"/>
        <v>23.949999999999999</v>
      </c>
      <c r="AE685" s="217"/>
      <c r="AF685" s="217">
        <v>1069</v>
      </c>
      <c r="AH685">
        <f t="shared" si="862"/>
        <v>1069</v>
      </c>
    </row>
    <row r="686" ht="30" hidden="1">
      <c r="A686" s="217"/>
      <c r="B686" s="217">
        <v>1069</v>
      </c>
      <c r="C686" s="217"/>
      <c r="D686" s="217" t="s">
        <v>17167</v>
      </c>
      <c r="E686" s="471" t="s">
        <v>20402</v>
      </c>
      <c r="F686" s="471">
        <v>88316</v>
      </c>
      <c r="G686" s="470" t="s">
        <v>7393</v>
      </c>
      <c r="H686" s="470" t="s">
        <v>2032</v>
      </c>
      <c r="I686" s="483">
        <v>2.9999999999999999e-002</v>
      </c>
      <c r="J686" s="473">
        <f t="shared" si="852"/>
        <v>22.760000000000002</v>
      </c>
      <c r="K686" s="474">
        <f t="shared" si="867"/>
        <v>0.68280000000000007</v>
      </c>
      <c r="L686" s="475">
        <f t="shared" si="853"/>
        <v>21.550000000000001</v>
      </c>
      <c r="M686" s="474">
        <f t="shared" si="868"/>
        <v>0.64649999999999996</v>
      </c>
      <c r="O686" s="434">
        <f t="shared" si="863"/>
        <v>22.760000000000002</v>
      </c>
      <c r="P686" s="435">
        <f t="shared" si="864"/>
        <v>21.550000000000001</v>
      </c>
      <c r="AE686" s="217"/>
      <c r="AF686" s="217">
        <v>1069</v>
      </c>
      <c r="AH686">
        <f t="shared" si="862"/>
        <v>1069</v>
      </c>
    </row>
    <row r="687" ht="63" hidden="1">
      <c r="A687" s="460">
        <v>1070</v>
      </c>
      <c r="B687" s="460">
        <v>1070</v>
      </c>
      <c r="C687" s="460"/>
      <c r="D687" s="460"/>
      <c r="E687" s="461">
        <v>1</v>
      </c>
      <c r="F687" s="462" t="s">
        <v>21025</v>
      </c>
      <c r="G687" s="477" t="s">
        <v>21026</v>
      </c>
      <c r="H687" s="478" t="s">
        <v>15528</v>
      </c>
      <c r="I687" s="479"/>
      <c r="J687" s="480"/>
      <c r="K687" s="466">
        <f>SUM(K688:K689)</f>
        <v>6.9925000000000006</v>
      </c>
      <c r="L687" s="480"/>
      <c r="M687" s="466">
        <f>SUM(M688:M689)</f>
        <v>6.6900000000000004</v>
      </c>
      <c r="N687" s="467" t="s">
        <v>21027</v>
      </c>
      <c r="O687" s="434" t="str">
        <f t="shared" si="863"/>
        <v xml:space="preserve">SEM VALOR</v>
      </c>
      <c r="P687" s="435" t="str">
        <f t="shared" si="864"/>
        <v xml:space="preserve">SEM VALOR</v>
      </c>
      <c r="AE687" s="460">
        <v>1070</v>
      </c>
      <c r="AF687" s="460"/>
      <c r="AH687">
        <f t="shared" si="862"/>
        <v>1070</v>
      </c>
    </row>
    <row r="688" ht="30" hidden="1">
      <c r="A688" s="217"/>
      <c r="B688" s="217">
        <v>1070</v>
      </c>
      <c r="C688" s="217"/>
      <c r="D688" s="217" t="s">
        <v>17167</v>
      </c>
      <c r="E688" s="471" t="s">
        <v>20399</v>
      </c>
      <c r="F688" s="471">
        <v>88316</v>
      </c>
      <c r="G688" s="470" t="s">
        <v>7393</v>
      </c>
      <c r="H688" s="482" t="s">
        <v>2032</v>
      </c>
      <c r="I688" s="483">
        <v>0.25</v>
      </c>
      <c r="J688" s="473">
        <f t="shared" si="852"/>
        <v>22.760000000000002</v>
      </c>
      <c r="K688" s="474">
        <f t="shared" ref="K688:K689" si="869">I688*J688</f>
        <v>5.6900000000000004</v>
      </c>
      <c r="L688" s="475">
        <f t="shared" si="853"/>
        <v>21.550000000000001</v>
      </c>
      <c r="M688" s="474">
        <f t="shared" ref="M688:M689" si="870">L688*I688</f>
        <v>5.3875000000000002</v>
      </c>
      <c r="N688" s="442"/>
      <c r="O688" s="434">
        <f t="shared" si="863"/>
        <v>22.760000000000002</v>
      </c>
      <c r="P688" s="435">
        <f t="shared" si="864"/>
        <v>21.550000000000001</v>
      </c>
      <c r="AE688" s="217"/>
      <c r="AF688" s="217">
        <v>1070</v>
      </c>
      <c r="AH688">
        <f t="shared" si="862"/>
        <v>1070</v>
      </c>
    </row>
    <row r="689" ht="75" hidden="1">
      <c r="A689" s="217"/>
      <c r="B689" s="217">
        <v>1070</v>
      </c>
      <c r="C689" s="217"/>
      <c r="D689" s="217" t="s">
        <v>17167</v>
      </c>
      <c r="E689" s="471" t="s">
        <v>20402</v>
      </c>
      <c r="F689" s="471">
        <v>91277</v>
      </c>
      <c r="G689" s="470" t="s">
        <v>1845</v>
      </c>
      <c r="H689" s="482" t="s">
        <v>1535</v>
      </c>
      <c r="I689" s="483">
        <v>0.125</v>
      </c>
      <c r="J689" s="473">
        <f t="shared" si="852"/>
        <v>10.42</v>
      </c>
      <c r="K689" s="474">
        <f t="shared" si="869"/>
        <v>1.3025</v>
      </c>
      <c r="L689" s="475">
        <f t="shared" si="853"/>
        <v>10.42</v>
      </c>
      <c r="M689" s="474">
        <f t="shared" si="870"/>
        <v>1.3025</v>
      </c>
      <c r="O689" s="434">
        <f t="shared" si="863"/>
        <v>10.42</v>
      </c>
      <c r="P689" s="435">
        <f t="shared" si="864"/>
        <v>10.42</v>
      </c>
      <c r="AE689" s="217"/>
      <c r="AF689" s="217">
        <v>1070</v>
      </c>
      <c r="AH689">
        <f t="shared" si="862"/>
        <v>1070</v>
      </c>
    </row>
    <row r="690" ht="63">
      <c r="A690" s="460">
        <v>1071</v>
      </c>
      <c r="B690" s="460">
        <v>1071</v>
      </c>
      <c r="C690" s="460"/>
      <c r="D690" s="460"/>
      <c r="E690" s="461">
        <v>1</v>
      </c>
      <c r="F690" s="462" t="s">
        <v>20406</v>
      </c>
      <c r="G690" s="477" t="s">
        <v>21028</v>
      </c>
      <c r="H690" s="478" t="s">
        <v>31</v>
      </c>
      <c r="I690" s="479"/>
      <c r="J690" s="480"/>
      <c r="K690" s="466">
        <f>SUM(K691:K709)</f>
        <v>2806.9699999999993</v>
      </c>
      <c r="L690" s="480"/>
      <c r="M690" s="466">
        <f>SUM(M691:M709)</f>
        <v>2782.7333302949996</v>
      </c>
      <c r="N690" s="467" t="s">
        <v>21029</v>
      </c>
      <c r="O690" s="434" t="str">
        <f t="shared" si="863"/>
        <v xml:space="preserve">SEM VALOR</v>
      </c>
      <c r="P690" s="435" t="str">
        <f t="shared" si="864"/>
        <v xml:space="preserve">SEM VALOR</v>
      </c>
      <c r="AE690" s="460">
        <v>1071</v>
      </c>
      <c r="AF690" s="460"/>
      <c r="AH690">
        <f t="shared" si="862"/>
        <v>1071</v>
      </c>
    </row>
    <row r="691" ht="30">
      <c r="A691" s="217"/>
      <c r="B691" s="217">
        <v>1071</v>
      </c>
      <c r="C691" s="217"/>
      <c r="D691" s="217" t="s">
        <v>20408</v>
      </c>
      <c r="E691" s="471" t="s">
        <v>20399</v>
      </c>
      <c r="F691" s="471">
        <v>406</v>
      </c>
      <c r="G691" s="470" t="s">
        <v>12552</v>
      </c>
      <c r="H691" s="482" t="s">
        <v>31</v>
      </c>
      <c r="I691" s="483">
        <v>0.13333329999999999</v>
      </c>
      <c r="J691" s="473">
        <f t="shared" si="852"/>
        <v>91.150000000000006</v>
      </c>
      <c r="K691" s="474">
        <f t="shared" ref="K691:K709" si="871">TRUNC(I691*J691,2)</f>
        <v>12.15</v>
      </c>
      <c r="L691" s="475">
        <f t="shared" si="853"/>
        <v>91.150000000000006</v>
      </c>
      <c r="M691" s="474">
        <f t="shared" ref="M691:M709" si="872">L691*I691</f>
        <v>12.153330295</v>
      </c>
      <c r="N691" s="467" t="s">
        <v>21030</v>
      </c>
      <c r="O691" s="434">
        <f t="shared" si="863"/>
        <v>91.150000000000006</v>
      </c>
      <c r="P691" s="435">
        <f t="shared" si="864"/>
        <v>91.150000000000006</v>
      </c>
      <c r="AE691" s="217"/>
      <c r="AF691" s="217">
        <v>1071</v>
      </c>
      <c r="AH691">
        <f t="shared" si="862"/>
        <v>1071</v>
      </c>
    </row>
    <row r="692" ht="75">
      <c r="A692" s="217"/>
      <c r="B692" s="217">
        <v>1071</v>
      </c>
      <c r="C692" s="217"/>
      <c r="D692" s="217" t="s">
        <v>20408</v>
      </c>
      <c r="E692" s="471" t="s">
        <v>20402</v>
      </c>
      <c r="F692" s="471">
        <v>420</v>
      </c>
      <c r="G692" s="470" t="s">
        <v>11592</v>
      </c>
      <c r="H692" s="482" t="s">
        <v>31</v>
      </c>
      <c r="I692" s="483">
        <v>2</v>
      </c>
      <c r="J692" s="473">
        <f t="shared" si="852"/>
        <v>53.560000000000002</v>
      </c>
      <c r="K692" s="474">
        <f t="shared" si="871"/>
        <v>107.12</v>
      </c>
      <c r="L692" s="475">
        <f t="shared" si="853"/>
        <v>53.560000000000002</v>
      </c>
      <c r="M692" s="474">
        <f t="shared" si="872"/>
        <v>107.12</v>
      </c>
      <c r="O692" s="434">
        <f t="shared" si="863"/>
        <v>53.560000000000002</v>
      </c>
      <c r="P692" s="435">
        <f t="shared" si="864"/>
        <v>53.560000000000002</v>
      </c>
      <c r="AE692" s="217"/>
      <c r="AF692" s="217">
        <v>1071</v>
      </c>
      <c r="AH692">
        <f t="shared" si="862"/>
        <v>1071</v>
      </c>
    </row>
    <row r="693" ht="30">
      <c r="A693" s="217"/>
      <c r="B693" s="217">
        <v>1071</v>
      </c>
      <c r="C693" s="217"/>
      <c r="D693" s="217" t="s">
        <v>20408</v>
      </c>
      <c r="E693" s="471" t="s">
        <v>20405</v>
      </c>
      <c r="F693" s="471">
        <v>857</v>
      </c>
      <c r="G693" s="470" t="s">
        <v>11171</v>
      </c>
      <c r="H693" s="482" t="s">
        <v>38</v>
      </c>
      <c r="I693" s="483">
        <v>3</v>
      </c>
      <c r="J693" s="473">
        <f t="shared" si="852"/>
        <v>22.100000000000001</v>
      </c>
      <c r="K693" s="474">
        <f t="shared" si="871"/>
        <v>66.299999999999997</v>
      </c>
      <c r="L693" s="475">
        <f t="shared" si="853"/>
        <v>22.100000000000001</v>
      </c>
      <c r="M693" s="474">
        <f t="shared" si="872"/>
        <v>66.300000000000011</v>
      </c>
      <c r="O693" s="434">
        <f t="shared" si="863"/>
        <v>22.100000000000001</v>
      </c>
      <c r="P693" s="435">
        <f t="shared" si="864"/>
        <v>22.100000000000001</v>
      </c>
      <c r="AE693" s="217"/>
      <c r="AF693" s="217">
        <v>1071</v>
      </c>
      <c r="AH693">
        <f t="shared" si="862"/>
        <v>1071</v>
      </c>
    </row>
    <row r="694" ht="45">
      <c r="A694" s="217"/>
      <c r="B694" s="217">
        <v>1071</v>
      </c>
      <c r="C694" s="217"/>
      <c r="D694" s="217" t="s">
        <v>20408</v>
      </c>
      <c r="E694" s="471" t="s">
        <v>20409</v>
      </c>
      <c r="F694" s="471">
        <v>937</v>
      </c>
      <c r="G694" s="470" t="s">
        <v>12547</v>
      </c>
      <c r="H694" s="482" t="s">
        <v>38</v>
      </c>
      <c r="I694" s="483">
        <v>27</v>
      </c>
      <c r="J694" s="473">
        <f t="shared" si="852"/>
        <v>11.289999999999999</v>
      </c>
      <c r="K694" s="474">
        <f t="shared" si="871"/>
        <v>304.82999999999998</v>
      </c>
      <c r="L694" s="475">
        <f t="shared" si="853"/>
        <v>11.289999999999999</v>
      </c>
      <c r="M694" s="474">
        <f t="shared" si="872"/>
        <v>304.82999999999998</v>
      </c>
      <c r="O694" s="434">
        <f t="shared" si="863"/>
        <v>11.289999999999999</v>
      </c>
      <c r="P694" s="435">
        <f t="shared" si="864"/>
        <v>11.289999999999999</v>
      </c>
      <c r="AE694" s="217"/>
      <c r="AF694" s="217">
        <v>1071</v>
      </c>
      <c r="AH694">
        <f t="shared" si="862"/>
        <v>1071</v>
      </c>
    </row>
    <row r="695" ht="60">
      <c r="A695" s="217"/>
      <c r="B695" s="217">
        <v>1071</v>
      </c>
      <c r="C695" s="217"/>
      <c r="D695" s="217" t="s">
        <v>20408</v>
      </c>
      <c r="E695" s="471" t="s">
        <v>20663</v>
      </c>
      <c r="F695" s="471">
        <v>1062</v>
      </c>
      <c r="G695" s="470" t="s">
        <v>11361</v>
      </c>
      <c r="H695" s="482" t="s">
        <v>31</v>
      </c>
      <c r="I695" s="483">
        <v>1</v>
      </c>
      <c r="J695" s="473">
        <f t="shared" si="852"/>
        <v>226.09</v>
      </c>
      <c r="K695" s="474">
        <f t="shared" si="871"/>
        <v>226.09</v>
      </c>
      <c r="L695" s="475">
        <f t="shared" si="853"/>
        <v>226.09</v>
      </c>
      <c r="M695" s="474">
        <f t="shared" si="872"/>
        <v>226.09</v>
      </c>
      <c r="O695" s="434">
        <f t="shared" si="863"/>
        <v>226.09</v>
      </c>
      <c r="P695" s="435">
        <f t="shared" si="864"/>
        <v>226.09</v>
      </c>
      <c r="AE695" s="217"/>
      <c r="AF695" s="217">
        <v>1071</v>
      </c>
      <c r="AH695">
        <f t="shared" si="862"/>
        <v>1071</v>
      </c>
    </row>
    <row r="696" ht="60">
      <c r="A696" s="217"/>
      <c r="B696" s="217">
        <v>1071</v>
      </c>
      <c r="C696" s="217"/>
      <c r="D696" s="217" t="s">
        <v>20408</v>
      </c>
      <c r="E696" s="471" t="s">
        <v>20665</v>
      </c>
      <c r="F696" s="471">
        <v>1096</v>
      </c>
      <c r="G696" s="470" t="s">
        <v>10793</v>
      </c>
      <c r="H696" s="482" t="s">
        <v>31</v>
      </c>
      <c r="I696" s="483">
        <v>2</v>
      </c>
      <c r="J696" s="473">
        <f t="shared" si="852"/>
        <v>177.75</v>
      </c>
      <c r="K696" s="474">
        <f t="shared" si="871"/>
        <v>355.5</v>
      </c>
      <c r="L696" s="475">
        <f t="shared" si="853"/>
        <v>177.75</v>
      </c>
      <c r="M696" s="474">
        <f t="shared" si="872"/>
        <v>355.5</v>
      </c>
      <c r="O696" s="434">
        <f t="shared" si="863"/>
        <v>177.75</v>
      </c>
      <c r="P696" s="435">
        <f t="shared" si="864"/>
        <v>177.75</v>
      </c>
      <c r="AE696" s="217"/>
      <c r="AF696" s="217">
        <v>1071</v>
      </c>
      <c r="AH696">
        <f t="shared" si="862"/>
        <v>1071</v>
      </c>
    </row>
    <row r="697" ht="45">
      <c r="A697" s="217"/>
      <c r="B697" s="217">
        <v>1071</v>
      </c>
      <c r="C697" s="217"/>
      <c r="D697" s="217" t="s">
        <v>20408</v>
      </c>
      <c r="E697" s="471" t="s">
        <v>20667</v>
      </c>
      <c r="F697" s="471">
        <v>1539</v>
      </c>
      <c r="G697" s="470" t="s">
        <v>11759</v>
      </c>
      <c r="H697" s="482" t="s">
        <v>31</v>
      </c>
      <c r="I697" s="483">
        <v>8</v>
      </c>
      <c r="J697" s="473">
        <f t="shared" si="852"/>
        <v>8.1099999999999994</v>
      </c>
      <c r="K697" s="474">
        <f t="shared" si="871"/>
        <v>64.879999999999995</v>
      </c>
      <c r="L697" s="475">
        <f t="shared" si="853"/>
        <v>8.1099999999999994</v>
      </c>
      <c r="M697" s="474">
        <f t="shared" si="872"/>
        <v>64.879999999999995</v>
      </c>
      <c r="O697" s="434">
        <f t="shared" si="863"/>
        <v>8.1099999999999994</v>
      </c>
      <c r="P697" s="435">
        <f t="shared" si="864"/>
        <v>8.1099999999999994</v>
      </c>
      <c r="AE697" s="217"/>
      <c r="AF697" s="217">
        <v>1071</v>
      </c>
      <c r="AH697">
        <f t="shared" si="862"/>
        <v>1071</v>
      </c>
    </row>
    <row r="698" ht="30">
      <c r="A698" s="217"/>
      <c r="B698" s="217">
        <v>1071</v>
      </c>
      <c r="C698" s="217"/>
      <c r="D698" s="217" t="s">
        <v>20408</v>
      </c>
      <c r="E698" s="471" t="s">
        <v>20671</v>
      </c>
      <c r="F698" s="471">
        <v>1892</v>
      </c>
      <c r="G698" s="470" t="s">
        <v>13219</v>
      </c>
      <c r="H698" s="482" t="s">
        <v>31</v>
      </c>
      <c r="I698" s="483">
        <v>4</v>
      </c>
      <c r="J698" s="473">
        <f t="shared" si="852"/>
        <v>1.1899999999999999</v>
      </c>
      <c r="K698" s="474">
        <f t="shared" si="871"/>
        <v>4.7599999999999998</v>
      </c>
      <c r="L698" s="475">
        <f t="shared" si="853"/>
        <v>1.1899999999999999</v>
      </c>
      <c r="M698" s="474">
        <f t="shared" si="872"/>
        <v>4.7599999999999998</v>
      </c>
      <c r="O698" s="434">
        <f t="shared" si="863"/>
        <v>1.1899999999999999</v>
      </c>
      <c r="P698" s="435">
        <f t="shared" si="864"/>
        <v>1.1899999999999999</v>
      </c>
      <c r="AE698" s="217"/>
      <c r="AF698" s="217">
        <v>1071</v>
      </c>
      <c r="AH698">
        <f t="shared" si="862"/>
        <v>1071</v>
      </c>
    </row>
    <row r="699" ht="30">
      <c r="A699" s="217"/>
      <c r="B699" s="217">
        <v>1071</v>
      </c>
      <c r="C699" s="217"/>
      <c r="D699" s="217" t="s">
        <v>20408</v>
      </c>
      <c r="E699" s="471" t="s">
        <v>20672</v>
      </c>
      <c r="F699" s="471">
        <v>2392</v>
      </c>
      <c r="G699" s="470" t="s">
        <v>21031</v>
      </c>
      <c r="H699" s="482" t="s">
        <v>31</v>
      </c>
      <c r="I699" s="483">
        <v>1</v>
      </c>
      <c r="J699" s="473">
        <f t="shared" si="852"/>
        <v>80.549999999999997</v>
      </c>
      <c r="K699" s="474">
        <f t="shared" si="871"/>
        <v>80.549999999999997</v>
      </c>
      <c r="L699" s="475">
        <f t="shared" si="853"/>
        <v>80.549999999999997</v>
      </c>
      <c r="M699" s="474">
        <f t="shared" si="872"/>
        <v>80.549999999999997</v>
      </c>
      <c r="O699" s="434">
        <f t="shared" si="863"/>
        <v>80.549999999999997</v>
      </c>
      <c r="P699" s="435">
        <f t="shared" si="864"/>
        <v>80.549999999999997</v>
      </c>
      <c r="AE699" s="217"/>
      <c r="AF699" s="217">
        <v>1071</v>
      </c>
      <c r="AH699">
        <f t="shared" si="862"/>
        <v>1071</v>
      </c>
    </row>
    <row r="700" ht="30">
      <c r="A700" s="217"/>
      <c r="B700" s="217">
        <v>1071</v>
      </c>
      <c r="C700" s="217"/>
      <c r="D700" s="217" t="s">
        <v>20408</v>
      </c>
      <c r="E700" s="471" t="s">
        <v>20673</v>
      </c>
      <c r="F700" s="471">
        <v>2685</v>
      </c>
      <c r="G700" s="470" t="s">
        <v>21032</v>
      </c>
      <c r="H700" s="482" t="s">
        <v>38</v>
      </c>
      <c r="I700" s="483">
        <v>8</v>
      </c>
      <c r="J700" s="473">
        <f t="shared" si="852"/>
        <v>8.1699999999999999</v>
      </c>
      <c r="K700" s="474">
        <f t="shared" si="871"/>
        <v>65.359999999999999</v>
      </c>
      <c r="L700" s="475">
        <f t="shared" si="853"/>
        <v>8.1699999999999999</v>
      </c>
      <c r="M700" s="474">
        <f t="shared" si="872"/>
        <v>65.359999999999999</v>
      </c>
      <c r="O700" s="434">
        <f t="shared" si="863"/>
        <v>8.1699999999999999</v>
      </c>
      <c r="P700" s="435">
        <f t="shared" si="864"/>
        <v>8.1699999999999999</v>
      </c>
      <c r="AE700" s="217"/>
      <c r="AF700" s="217">
        <v>1071</v>
      </c>
      <c r="AH700">
        <f t="shared" si="862"/>
        <v>1071</v>
      </c>
    </row>
    <row r="701" ht="45">
      <c r="A701" s="217"/>
      <c r="B701" s="217">
        <v>1071</v>
      </c>
      <c r="C701" s="217"/>
      <c r="D701" s="217" t="s">
        <v>20408</v>
      </c>
      <c r="E701" s="471" t="s">
        <v>20675</v>
      </c>
      <c r="F701" s="471">
        <v>41199</v>
      </c>
      <c r="G701" s="470" t="s">
        <v>13992</v>
      </c>
      <c r="H701" s="482" t="s">
        <v>31</v>
      </c>
      <c r="I701" s="483">
        <v>1</v>
      </c>
      <c r="J701" s="473">
        <f t="shared" si="852"/>
        <v>996.84000000000003</v>
      </c>
      <c r="K701" s="474">
        <f t="shared" si="871"/>
        <v>996.84000000000003</v>
      </c>
      <c r="L701" s="475">
        <f t="shared" si="853"/>
        <v>996.84000000000003</v>
      </c>
      <c r="M701" s="474">
        <f t="shared" si="872"/>
        <v>996.84000000000003</v>
      </c>
      <c r="O701" s="434">
        <f t="shared" si="863"/>
        <v>996.84000000000003</v>
      </c>
      <c r="P701" s="435">
        <f t="shared" si="864"/>
        <v>996.84000000000003</v>
      </c>
      <c r="AE701" s="217"/>
      <c r="AF701" s="217">
        <v>1071</v>
      </c>
      <c r="AH701">
        <f t="shared" si="862"/>
        <v>1071</v>
      </c>
    </row>
    <row r="702" ht="60">
      <c r="A702" s="217"/>
      <c r="B702" s="217">
        <v>1071</v>
      </c>
      <c r="C702" s="217"/>
      <c r="D702" s="217" t="s">
        <v>20408</v>
      </c>
      <c r="E702" s="471" t="s">
        <v>20677</v>
      </c>
      <c r="F702" s="471">
        <v>3379</v>
      </c>
      <c r="G702" s="470" t="s">
        <v>12709</v>
      </c>
      <c r="H702" s="482" t="s">
        <v>31</v>
      </c>
      <c r="I702" s="483">
        <v>1</v>
      </c>
      <c r="J702" s="473">
        <f t="shared" si="852"/>
        <v>53.969999999999999</v>
      </c>
      <c r="K702" s="474">
        <f t="shared" si="871"/>
        <v>53.969999999999999</v>
      </c>
      <c r="L702" s="475">
        <f t="shared" si="853"/>
        <v>53.969999999999999</v>
      </c>
      <c r="M702" s="474">
        <f t="shared" si="872"/>
        <v>53.969999999999999</v>
      </c>
      <c r="O702" s="434">
        <f t="shared" si="863"/>
        <v>53.969999999999999</v>
      </c>
      <c r="P702" s="435">
        <f t="shared" si="864"/>
        <v>53.969999999999999</v>
      </c>
      <c r="AE702" s="217"/>
      <c r="AF702" s="217">
        <v>1071</v>
      </c>
      <c r="AH702">
        <f t="shared" si="862"/>
        <v>1071</v>
      </c>
    </row>
    <row r="703" ht="75">
      <c r="A703" s="217"/>
      <c r="B703" s="217">
        <v>1071</v>
      </c>
      <c r="C703" s="217"/>
      <c r="D703" s="217" t="s">
        <v>20408</v>
      </c>
      <c r="E703" s="471" t="s">
        <v>20679</v>
      </c>
      <c r="F703" s="471">
        <v>4346</v>
      </c>
      <c r="G703" s="470" t="s">
        <v>13632</v>
      </c>
      <c r="H703" s="482" t="s">
        <v>31</v>
      </c>
      <c r="I703" s="483">
        <v>2</v>
      </c>
      <c r="J703" s="473">
        <f t="shared" si="852"/>
        <v>11.710000000000001</v>
      </c>
      <c r="K703" s="474">
        <f t="shared" si="871"/>
        <v>23.420000000000002</v>
      </c>
      <c r="L703" s="475">
        <f t="shared" si="853"/>
        <v>11.710000000000001</v>
      </c>
      <c r="M703" s="474">
        <f t="shared" si="872"/>
        <v>23.420000000000002</v>
      </c>
      <c r="O703" s="434">
        <f t="shared" si="863"/>
        <v>11.710000000000001</v>
      </c>
      <c r="P703" s="435">
        <f t="shared" si="864"/>
        <v>11.710000000000001</v>
      </c>
      <c r="AE703" s="217"/>
      <c r="AF703" s="217">
        <v>1071</v>
      </c>
      <c r="AH703">
        <f t="shared" si="862"/>
        <v>1071</v>
      </c>
    </row>
    <row r="704" ht="60">
      <c r="A704" s="217"/>
      <c r="B704" s="217">
        <v>1071</v>
      </c>
      <c r="C704" s="217"/>
      <c r="D704" s="217" t="s">
        <v>20408</v>
      </c>
      <c r="E704" s="471" t="s">
        <v>20681</v>
      </c>
      <c r="F704" s="471">
        <v>11267</v>
      </c>
      <c r="G704" s="470" t="s">
        <v>21033</v>
      </c>
      <c r="H704" s="482" t="s">
        <v>31</v>
      </c>
      <c r="I704" s="483">
        <v>2</v>
      </c>
      <c r="J704" s="473">
        <f t="shared" si="852"/>
        <v>1.29</v>
      </c>
      <c r="K704" s="474">
        <f t="shared" si="871"/>
        <v>2.5800000000000001</v>
      </c>
      <c r="L704" s="475">
        <f t="shared" si="853"/>
        <v>1.29</v>
      </c>
      <c r="M704" s="474">
        <f t="shared" si="872"/>
        <v>2.5800000000000001</v>
      </c>
      <c r="O704" s="434">
        <f t="shared" si="863"/>
        <v>1.29</v>
      </c>
      <c r="P704" s="435">
        <f t="shared" si="864"/>
        <v>1.29</v>
      </c>
      <c r="AE704" s="217"/>
      <c r="AF704" s="217">
        <v>1071</v>
      </c>
      <c r="AH704">
        <f t="shared" si="862"/>
        <v>1071</v>
      </c>
    </row>
    <row r="705" ht="45">
      <c r="A705" s="217"/>
      <c r="B705" s="217">
        <v>1071</v>
      </c>
      <c r="C705" s="217"/>
      <c r="D705" s="217" t="s">
        <v>20408</v>
      </c>
      <c r="E705" s="471" t="s">
        <v>20683</v>
      </c>
      <c r="F705" s="471">
        <v>12034</v>
      </c>
      <c r="G705" s="470" t="s">
        <v>11969</v>
      </c>
      <c r="H705" s="482" t="s">
        <v>31</v>
      </c>
      <c r="I705" s="483">
        <v>2</v>
      </c>
      <c r="J705" s="473">
        <f t="shared" si="852"/>
        <v>3.3900000000000001</v>
      </c>
      <c r="K705" s="474">
        <f t="shared" si="871"/>
        <v>6.7800000000000002</v>
      </c>
      <c r="L705" s="475">
        <f t="shared" si="853"/>
        <v>3.3900000000000001</v>
      </c>
      <c r="M705" s="474">
        <f t="shared" si="872"/>
        <v>6.7800000000000002</v>
      </c>
      <c r="O705" s="434">
        <f t="shared" si="863"/>
        <v>3.3900000000000001</v>
      </c>
      <c r="P705" s="435">
        <f t="shared" si="864"/>
        <v>3.3900000000000001</v>
      </c>
      <c r="AE705" s="217"/>
      <c r="AF705" s="217">
        <v>1071</v>
      </c>
      <c r="AH705">
        <f t="shared" si="862"/>
        <v>1071</v>
      </c>
    </row>
    <row r="706" ht="30">
      <c r="A706" s="217"/>
      <c r="B706" s="217">
        <v>1071</v>
      </c>
      <c r="C706" s="217"/>
      <c r="D706" s="217" t="s">
        <v>20408</v>
      </c>
      <c r="E706" s="471" t="s">
        <v>20685</v>
      </c>
      <c r="F706" s="471">
        <v>39176</v>
      </c>
      <c r="G706" s="470" t="s">
        <v>11129</v>
      </c>
      <c r="H706" s="482" t="s">
        <v>31</v>
      </c>
      <c r="I706" s="483">
        <v>2</v>
      </c>
      <c r="J706" s="473">
        <f t="shared" si="852"/>
        <v>1.3300000000000001</v>
      </c>
      <c r="K706" s="474">
        <f t="shared" si="871"/>
        <v>2.6600000000000001</v>
      </c>
      <c r="L706" s="475">
        <f t="shared" si="853"/>
        <v>1.3300000000000001</v>
      </c>
      <c r="M706" s="474">
        <f t="shared" si="872"/>
        <v>2.6600000000000001</v>
      </c>
      <c r="O706" s="434">
        <f t="shared" si="863"/>
        <v>1.3300000000000001</v>
      </c>
      <c r="P706" s="435">
        <f t="shared" si="864"/>
        <v>1.3300000000000001</v>
      </c>
      <c r="AE706" s="217"/>
      <c r="AF706" s="217">
        <v>1071</v>
      </c>
      <c r="AH706">
        <f t="shared" si="862"/>
        <v>1071</v>
      </c>
    </row>
    <row r="707" ht="30">
      <c r="A707" s="217"/>
      <c r="B707" s="217">
        <v>1071</v>
      </c>
      <c r="C707" s="217"/>
      <c r="D707" s="217" t="s">
        <v>20408</v>
      </c>
      <c r="E707" s="471" t="s">
        <v>20687</v>
      </c>
      <c r="F707" s="471">
        <v>39210</v>
      </c>
      <c r="G707" s="470" t="s">
        <v>10806</v>
      </c>
      <c r="H707" s="482" t="s">
        <v>31</v>
      </c>
      <c r="I707" s="483">
        <v>2</v>
      </c>
      <c r="J707" s="473">
        <f t="shared" si="852"/>
        <v>0.98999999999999999</v>
      </c>
      <c r="K707" s="474">
        <f t="shared" si="871"/>
        <v>1.98</v>
      </c>
      <c r="L707" s="475">
        <f t="shared" si="853"/>
        <v>0.98999999999999999</v>
      </c>
      <c r="M707" s="474">
        <f t="shared" si="872"/>
        <v>1.98</v>
      </c>
      <c r="O707" s="434">
        <f t="shared" si="863"/>
        <v>0.98999999999999999</v>
      </c>
      <c r="P707" s="435">
        <f t="shared" si="864"/>
        <v>0.98999999999999999</v>
      </c>
      <c r="AE707" s="217"/>
      <c r="AF707" s="217">
        <v>1071</v>
      </c>
      <c r="AH707">
        <f t="shared" si="862"/>
        <v>1071</v>
      </c>
    </row>
    <row r="708" ht="30">
      <c r="A708" s="217"/>
      <c r="B708" s="217">
        <v>1071</v>
      </c>
      <c r="C708" s="217"/>
      <c r="D708" s="217" t="s">
        <v>17167</v>
      </c>
      <c r="E708" s="471" t="s">
        <v>20689</v>
      </c>
      <c r="F708" s="471">
        <v>88264</v>
      </c>
      <c r="G708" s="470" t="s">
        <v>7319</v>
      </c>
      <c r="H708" s="482" t="s">
        <v>2032</v>
      </c>
      <c r="I708" s="483">
        <v>8</v>
      </c>
      <c r="J708" s="473">
        <f t="shared" si="852"/>
        <v>31.140000000000001</v>
      </c>
      <c r="K708" s="474">
        <f t="shared" si="871"/>
        <v>249.12</v>
      </c>
      <c r="L708" s="475">
        <f t="shared" si="853"/>
        <v>29.32</v>
      </c>
      <c r="M708" s="474">
        <f t="shared" si="872"/>
        <v>234.56</v>
      </c>
      <c r="O708" s="434">
        <f t="shared" si="863"/>
        <v>31.140000000000001</v>
      </c>
      <c r="P708" s="435">
        <f t="shared" si="864"/>
        <v>29.32</v>
      </c>
      <c r="AE708" s="217"/>
      <c r="AF708" s="217">
        <v>1071</v>
      </c>
      <c r="AH708">
        <f t="shared" si="862"/>
        <v>1071</v>
      </c>
    </row>
    <row r="709" ht="30">
      <c r="A709" s="217"/>
      <c r="B709" s="217">
        <v>1071</v>
      </c>
      <c r="C709" s="217"/>
      <c r="D709" s="217" t="s">
        <v>17167</v>
      </c>
      <c r="E709" s="471" t="s">
        <v>20882</v>
      </c>
      <c r="F709" s="471">
        <v>88316</v>
      </c>
      <c r="G709" s="470" t="s">
        <v>7393</v>
      </c>
      <c r="H709" s="482" t="s">
        <v>2032</v>
      </c>
      <c r="I709" s="483">
        <v>8</v>
      </c>
      <c r="J709" s="473">
        <f t="shared" si="852"/>
        <v>22.760000000000002</v>
      </c>
      <c r="K709" s="474">
        <f t="shared" si="871"/>
        <v>182.08000000000001</v>
      </c>
      <c r="L709" s="475">
        <f t="shared" si="853"/>
        <v>21.550000000000001</v>
      </c>
      <c r="M709" s="474">
        <f t="shared" si="872"/>
        <v>172.40000000000001</v>
      </c>
      <c r="O709" s="434">
        <f t="shared" si="863"/>
        <v>22.760000000000002</v>
      </c>
      <c r="P709" s="435">
        <f t="shared" si="864"/>
        <v>21.550000000000001</v>
      </c>
      <c r="AE709" s="217"/>
      <c r="AF709" s="217">
        <v>1071</v>
      </c>
      <c r="AH709">
        <f t="shared" si="862"/>
        <v>1071</v>
      </c>
    </row>
    <row r="710" ht="94.5" hidden="1">
      <c r="A710" s="460">
        <v>1072</v>
      </c>
      <c r="B710" s="460">
        <v>1072</v>
      </c>
      <c r="C710" s="460"/>
      <c r="D710" s="460"/>
      <c r="E710" s="461">
        <v>1</v>
      </c>
      <c r="F710" s="462" t="s">
        <v>21034</v>
      </c>
      <c r="G710" s="477" t="s">
        <v>21035</v>
      </c>
      <c r="H710" s="478" t="s">
        <v>31</v>
      </c>
      <c r="I710" s="479"/>
      <c r="J710" s="480"/>
      <c r="K710" s="466">
        <f>SUM(K711:K715)</f>
        <v>30.686799999999998</v>
      </c>
      <c r="L710" s="480"/>
      <c r="M710" s="466">
        <f>SUM(M711:M715)</f>
        <v>29.080725000000001</v>
      </c>
      <c r="O710" s="434" t="str">
        <f t="shared" si="863"/>
        <v xml:space="preserve">SEM VALOR</v>
      </c>
      <c r="P710" s="435" t="str">
        <f t="shared" si="864"/>
        <v xml:space="preserve">SEM VALOR</v>
      </c>
      <c r="AE710" s="460">
        <v>1072</v>
      </c>
      <c r="AF710" s="460"/>
      <c r="AH710">
        <f t="shared" si="862"/>
        <v>1072</v>
      </c>
    </row>
    <row r="711" ht="45" hidden="1">
      <c r="A711" s="217"/>
      <c r="B711" s="217">
        <v>1072</v>
      </c>
      <c r="C711" s="217"/>
      <c r="D711" s="217" t="s">
        <v>20398</v>
      </c>
      <c r="E711" s="471" t="s">
        <v>20399</v>
      </c>
      <c r="F711" s="482">
        <v>1243</v>
      </c>
      <c r="G711" s="470" t="s">
        <v>21036</v>
      </c>
      <c r="H711" s="482" t="s">
        <v>15515</v>
      </c>
      <c r="I711" s="483">
        <v>0.5</v>
      </c>
      <c r="J711" s="473">
        <f t="shared" si="852"/>
        <v>10.1928</v>
      </c>
      <c r="K711" s="474">
        <f t="shared" ref="K711:K715" si="873">I711*J711</f>
        <v>5.0964</v>
      </c>
      <c r="L711" s="475">
        <f t="shared" si="853"/>
        <v>9.6916499999999992</v>
      </c>
      <c r="M711" s="474">
        <f t="shared" ref="M711:M715" si="874">L711*I711</f>
        <v>4.8458249999999996</v>
      </c>
      <c r="O711" s="434">
        <f t="shared" si="863"/>
        <v>10.1928</v>
      </c>
      <c r="P711" s="435">
        <f t="shared" si="864"/>
        <v>9.6916499999999992</v>
      </c>
      <c r="AE711" s="217"/>
      <c r="AF711" s="217">
        <v>1072</v>
      </c>
      <c r="AH711">
        <f t="shared" si="862"/>
        <v>1072</v>
      </c>
    </row>
    <row r="712" ht="45" hidden="1">
      <c r="A712" s="217"/>
      <c r="B712" s="217">
        <v>1072</v>
      </c>
      <c r="C712" s="217"/>
      <c r="D712" s="217" t="s">
        <v>20398</v>
      </c>
      <c r="E712" s="471" t="s">
        <v>20402</v>
      </c>
      <c r="F712" s="482">
        <v>1259</v>
      </c>
      <c r="G712" s="470" t="s">
        <v>20796</v>
      </c>
      <c r="H712" s="482" t="s">
        <v>15528</v>
      </c>
      <c r="I712" s="483">
        <v>0.20999999999999999</v>
      </c>
      <c r="J712" s="473">
        <f t="shared" si="852"/>
        <v>45.520000000000003</v>
      </c>
      <c r="K712" s="474">
        <f t="shared" si="873"/>
        <v>9.5592000000000006</v>
      </c>
      <c r="L712" s="475">
        <f t="shared" si="853"/>
        <v>43.100000000000001</v>
      </c>
      <c r="M712" s="474">
        <f t="shared" si="874"/>
        <v>9.0510000000000002</v>
      </c>
      <c r="O712" s="434">
        <f t="shared" si="863"/>
        <v>45.520000000000003</v>
      </c>
      <c r="P712" s="435">
        <f t="shared" si="864"/>
        <v>43.100000000000001</v>
      </c>
      <c r="AE712" s="217"/>
      <c r="AF712" s="217">
        <v>1072</v>
      </c>
      <c r="AH712">
        <f t="shared" si="862"/>
        <v>1072</v>
      </c>
    </row>
    <row r="713" ht="45" hidden="1">
      <c r="A713" s="217"/>
      <c r="B713" s="217">
        <v>1072</v>
      </c>
      <c r="C713" s="217"/>
      <c r="D713" s="217" t="s">
        <v>17167</v>
      </c>
      <c r="E713" s="471" t="s">
        <v>20405</v>
      </c>
      <c r="F713" s="482">
        <v>93382</v>
      </c>
      <c r="G713" s="470" t="s">
        <v>20722</v>
      </c>
      <c r="H713" s="482" t="s">
        <v>15528</v>
      </c>
      <c r="I713" s="483">
        <v>0.20999999999999999</v>
      </c>
      <c r="J713" s="473">
        <f t="shared" si="852"/>
        <v>27.52</v>
      </c>
      <c r="K713" s="474">
        <f t="shared" si="873"/>
        <v>5.7791999999999994</v>
      </c>
      <c r="L713" s="475">
        <f t="shared" si="853"/>
        <v>26.190000000000001</v>
      </c>
      <c r="M713" s="474">
        <f t="shared" si="874"/>
        <v>5.4999000000000002</v>
      </c>
      <c r="O713" s="434">
        <f t="shared" si="863"/>
        <v>27.52</v>
      </c>
      <c r="P713" s="435">
        <f t="shared" si="864"/>
        <v>26.190000000000001</v>
      </c>
      <c r="AE713" s="217"/>
      <c r="AF713" s="217">
        <v>1072</v>
      </c>
      <c r="AH713">
        <f t="shared" si="862"/>
        <v>1072</v>
      </c>
    </row>
    <row r="714" ht="30" hidden="1">
      <c r="A714" s="217"/>
      <c r="B714" s="217">
        <v>1072</v>
      </c>
      <c r="C714" s="217"/>
      <c r="D714" s="217" t="s">
        <v>17167</v>
      </c>
      <c r="E714" s="471" t="s">
        <v>20409</v>
      </c>
      <c r="F714" s="482">
        <v>88309</v>
      </c>
      <c r="G714" s="470" t="s">
        <v>7385</v>
      </c>
      <c r="H714" s="482" t="s">
        <v>2032</v>
      </c>
      <c r="I714" s="483">
        <v>0.20000000000000001</v>
      </c>
      <c r="J714" s="473">
        <f t="shared" si="852"/>
        <v>28.5</v>
      </c>
      <c r="K714" s="474">
        <f t="shared" si="873"/>
        <v>5.7000000000000002</v>
      </c>
      <c r="L714" s="475">
        <f t="shared" si="853"/>
        <v>26.870000000000001</v>
      </c>
      <c r="M714" s="474">
        <f t="shared" si="874"/>
        <v>5.3740000000000006</v>
      </c>
      <c r="O714" s="434">
        <f t="shared" si="863"/>
        <v>28.5</v>
      </c>
      <c r="P714" s="435">
        <f t="shared" si="864"/>
        <v>26.870000000000001</v>
      </c>
      <c r="AE714" s="217"/>
      <c r="AF714" s="217">
        <v>1072</v>
      </c>
      <c r="AH714">
        <f t="shared" si="862"/>
        <v>1072</v>
      </c>
    </row>
    <row r="715" ht="30" hidden="1">
      <c r="A715" s="217"/>
      <c r="B715" s="217">
        <v>1072</v>
      </c>
      <c r="C715" s="217"/>
      <c r="D715" s="217" t="s">
        <v>17167</v>
      </c>
      <c r="E715" s="471" t="s">
        <v>20663</v>
      </c>
      <c r="F715" s="482">
        <v>88316</v>
      </c>
      <c r="G715" s="470" t="s">
        <v>7393</v>
      </c>
      <c r="H715" s="482" t="s">
        <v>2032</v>
      </c>
      <c r="I715" s="483">
        <v>0.20000000000000001</v>
      </c>
      <c r="J715" s="473">
        <f t="shared" ref="J715:J721" si="875">O715*$J$3</f>
        <v>22.760000000000002</v>
      </c>
      <c r="K715" s="474">
        <f t="shared" si="873"/>
        <v>4.5520000000000005</v>
      </c>
      <c r="L715" s="475">
        <f t="shared" ref="L715:L778" si="876">P715*$L$3</f>
        <v>21.550000000000001</v>
      </c>
      <c r="M715" s="474">
        <f t="shared" si="874"/>
        <v>4.3100000000000005</v>
      </c>
      <c r="O715" s="434">
        <f t="shared" si="863"/>
        <v>22.760000000000002</v>
      </c>
      <c r="P715" s="435">
        <f t="shared" si="864"/>
        <v>21.550000000000001</v>
      </c>
      <c r="AE715" s="217"/>
      <c r="AF715" s="217">
        <v>1072</v>
      </c>
      <c r="AH715">
        <f t="shared" si="862"/>
        <v>1072</v>
      </c>
    </row>
    <row r="716" ht="47.25" hidden="1">
      <c r="A716" s="460">
        <v>1073</v>
      </c>
      <c r="B716" s="460">
        <v>1073</v>
      </c>
      <c r="C716" s="460"/>
      <c r="D716" s="460"/>
      <c r="E716" s="461">
        <v>1</v>
      </c>
      <c r="F716" s="462" t="s">
        <v>21037</v>
      </c>
      <c r="G716" s="477" t="s">
        <v>21038</v>
      </c>
      <c r="H716" s="478" t="s">
        <v>31</v>
      </c>
      <c r="I716" s="479"/>
      <c r="J716" s="480"/>
      <c r="K716" s="466">
        <f>SUM(K717:K721)</f>
        <v>30.686799999999998</v>
      </c>
      <c r="L716" s="480"/>
      <c r="M716" s="466">
        <f>SUM(M717:M721)</f>
        <v>29.080725000000001</v>
      </c>
      <c r="O716" s="434" t="str">
        <f t="shared" si="863"/>
        <v xml:space="preserve">SEM VALOR</v>
      </c>
      <c r="P716" s="435" t="str">
        <f t="shared" si="864"/>
        <v xml:space="preserve">SEM VALOR</v>
      </c>
      <c r="AE716" s="460">
        <v>1073</v>
      </c>
      <c r="AF716" s="460"/>
      <c r="AH716">
        <f t="shared" si="862"/>
        <v>1073</v>
      </c>
    </row>
    <row r="717" ht="45" hidden="1">
      <c r="A717" s="217"/>
      <c r="B717" s="217">
        <v>1073</v>
      </c>
      <c r="C717" s="217"/>
      <c r="D717" s="217" t="s">
        <v>20398</v>
      </c>
      <c r="E717" s="471" t="s">
        <v>20399</v>
      </c>
      <c r="F717" s="482">
        <v>1243</v>
      </c>
      <c r="G717" s="470" t="s">
        <v>21036</v>
      </c>
      <c r="H717" s="482" t="s">
        <v>15515</v>
      </c>
      <c r="I717" s="483">
        <v>0.5</v>
      </c>
      <c r="J717" s="473">
        <f t="shared" si="875"/>
        <v>10.1928</v>
      </c>
      <c r="K717" s="474">
        <f t="shared" ref="K717:K721" si="877">I717*J717</f>
        <v>5.0964</v>
      </c>
      <c r="L717" s="475">
        <f t="shared" si="876"/>
        <v>9.6916499999999992</v>
      </c>
      <c r="M717" s="474">
        <f t="shared" ref="M717:M721" si="878">L717*I717</f>
        <v>4.8458249999999996</v>
      </c>
      <c r="O717" s="434">
        <f t="shared" si="863"/>
        <v>10.1928</v>
      </c>
      <c r="P717" s="435">
        <f t="shared" si="864"/>
        <v>9.6916499999999992</v>
      </c>
      <c r="AE717" s="217"/>
      <c r="AF717" s="217">
        <v>1073</v>
      </c>
      <c r="AH717">
        <f t="shared" si="862"/>
        <v>1073</v>
      </c>
    </row>
    <row r="718" ht="45" hidden="1">
      <c r="A718" s="217"/>
      <c r="B718" s="217">
        <v>1073</v>
      </c>
      <c r="C718" s="217"/>
      <c r="D718" s="217" t="s">
        <v>20398</v>
      </c>
      <c r="E718" s="471" t="s">
        <v>20402</v>
      </c>
      <c r="F718" s="482">
        <v>1259</v>
      </c>
      <c r="G718" s="470" t="s">
        <v>20796</v>
      </c>
      <c r="H718" s="482" t="s">
        <v>15528</v>
      </c>
      <c r="I718" s="483">
        <v>0.20999999999999999</v>
      </c>
      <c r="J718" s="473">
        <f t="shared" si="875"/>
        <v>45.520000000000003</v>
      </c>
      <c r="K718" s="474">
        <f t="shared" si="877"/>
        <v>9.5592000000000006</v>
      </c>
      <c r="L718" s="475">
        <f t="shared" si="876"/>
        <v>43.100000000000001</v>
      </c>
      <c r="M718" s="474">
        <f t="shared" si="878"/>
        <v>9.0510000000000002</v>
      </c>
      <c r="O718" s="434">
        <f t="shared" si="863"/>
        <v>45.520000000000003</v>
      </c>
      <c r="P718" s="435">
        <f t="shared" si="864"/>
        <v>43.100000000000001</v>
      </c>
      <c r="AE718" s="217"/>
      <c r="AF718" s="217">
        <v>1073</v>
      </c>
      <c r="AH718">
        <f t="shared" si="862"/>
        <v>1073</v>
      </c>
    </row>
    <row r="719" ht="45" hidden="1">
      <c r="A719" s="217"/>
      <c r="B719" s="217">
        <v>1073</v>
      </c>
      <c r="C719" s="217"/>
      <c r="D719" s="217" t="s">
        <v>17167</v>
      </c>
      <c r="E719" s="471" t="s">
        <v>20405</v>
      </c>
      <c r="F719" s="482">
        <v>93382</v>
      </c>
      <c r="G719" s="470" t="s">
        <v>20722</v>
      </c>
      <c r="H719" s="482" t="s">
        <v>15528</v>
      </c>
      <c r="I719" s="483">
        <v>0.20999999999999999</v>
      </c>
      <c r="J719" s="473">
        <f t="shared" si="875"/>
        <v>27.52</v>
      </c>
      <c r="K719" s="474">
        <f t="shared" si="877"/>
        <v>5.7791999999999994</v>
      </c>
      <c r="L719" s="475">
        <f t="shared" si="876"/>
        <v>26.190000000000001</v>
      </c>
      <c r="M719" s="474">
        <f t="shared" si="878"/>
        <v>5.4999000000000002</v>
      </c>
      <c r="O719" s="434">
        <f t="shared" si="863"/>
        <v>27.52</v>
      </c>
      <c r="P719" s="435">
        <f t="shared" si="864"/>
        <v>26.190000000000001</v>
      </c>
      <c r="AE719" s="217"/>
      <c r="AF719" s="217">
        <v>1073</v>
      </c>
      <c r="AH719">
        <f t="shared" si="862"/>
        <v>1073</v>
      </c>
    </row>
    <row r="720" ht="30" hidden="1">
      <c r="A720" s="217"/>
      <c r="B720" s="217">
        <v>1073</v>
      </c>
      <c r="C720" s="217"/>
      <c r="D720" s="217" t="s">
        <v>17167</v>
      </c>
      <c r="E720" s="471" t="s">
        <v>20409</v>
      </c>
      <c r="F720" s="482">
        <v>88309</v>
      </c>
      <c r="G720" s="470" t="s">
        <v>7385</v>
      </c>
      <c r="H720" s="482" t="s">
        <v>2032</v>
      </c>
      <c r="I720" s="483">
        <v>0.20000000000000001</v>
      </c>
      <c r="J720" s="473">
        <f t="shared" si="875"/>
        <v>28.5</v>
      </c>
      <c r="K720" s="474">
        <f t="shared" si="877"/>
        <v>5.7000000000000002</v>
      </c>
      <c r="L720" s="475">
        <f t="shared" si="876"/>
        <v>26.870000000000001</v>
      </c>
      <c r="M720" s="474">
        <f t="shared" si="878"/>
        <v>5.3740000000000006</v>
      </c>
      <c r="O720" s="434">
        <f t="shared" si="863"/>
        <v>28.5</v>
      </c>
      <c r="P720" s="435">
        <f t="shared" si="864"/>
        <v>26.870000000000001</v>
      </c>
      <c r="AE720" s="217"/>
      <c r="AF720" s="217">
        <v>1073</v>
      </c>
      <c r="AH720">
        <f t="shared" si="862"/>
        <v>1073</v>
      </c>
    </row>
    <row r="721" ht="30" hidden="1">
      <c r="A721" s="217"/>
      <c r="B721" s="217">
        <v>1073</v>
      </c>
      <c r="C721" s="217"/>
      <c r="D721" s="217" t="s">
        <v>17167</v>
      </c>
      <c r="E721" s="471" t="s">
        <v>20663</v>
      </c>
      <c r="F721" s="482">
        <v>88316</v>
      </c>
      <c r="G721" s="470" t="s">
        <v>7393</v>
      </c>
      <c r="H721" s="482" t="s">
        <v>2032</v>
      </c>
      <c r="I721" s="483">
        <v>0.20000000000000001</v>
      </c>
      <c r="J721" s="473">
        <f t="shared" si="875"/>
        <v>22.760000000000002</v>
      </c>
      <c r="K721" s="474">
        <f t="shared" si="877"/>
        <v>4.5520000000000005</v>
      </c>
      <c r="L721" s="475">
        <f t="shared" si="876"/>
        <v>21.550000000000001</v>
      </c>
      <c r="M721" s="474">
        <f t="shared" si="878"/>
        <v>4.3100000000000005</v>
      </c>
      <c r="O721" s="434">
        <f t="shared" si="863"/>
        <v>22.760000000000002</v>
      </c>
      <c r="P721" s="435">
        <f t="shared" si="864"/>
        <v>21.550000000000001</v>
      </c>
      <c r="AE721" s="217"/>
      <c r="AF721" s="217">
        <v>1073</v>
      </c>
      <c r="AH721">
        <f t="shared" si="862"/>
        <v>1073</v>
      </c>
    </row>
    <row r="722" ht="31.5" hidden="1">
      <c r="A722" s="460">
        <v>1074</v>
      </c>
      <c r="B722" s="460">
        <v>1074</v>
      </c>
      <c r="C722" s="460"/>
      <c r="D722" s="460"/>
      <c r="E722" s="461">
        <v>1</v>
      </c>
      <c r="F722" s="462" t="s">
        <v>21039</v>
      </c>
      <c r="G722" s="477" t="s">
        <v>21040</v>
      </c>
      <c r="H722" s="478" t="s">
        <v>15515</v>
      </c>
      <c r="I722" s="479"/>
      <c r="J722" s="480"/>
      <c r="K722" s="466">
        <f>SUM(K723:K726)</f>
        <v>1602.553064745111</v>
      </c>
      <c r="L722" s="480"/>
      <c r="M722" s="466">
        <f>SUM(M723:M726)</f>
        <v>773.82188948399994</v>
      </c>
      <c r="N722" s="467" t="s">
        <v>21041</v>
      </c>
      <c r="O722" s="434" t="str">
        <f t="shared" si="863"/>
        <v xml:space="preserve">SEM VALOR</v>
      </c>
      <c r="P722" s="435" t="str">
        <f t="shared" si="864"/>
        <v xml:space="preserve">SEM VALOR</v>
      </c>
      <c r="AE722" s="460">
        <v>1074</v>
      </c>
      <c r="AF722" s="460"/>
      <c r="AH722">
        <f t="shared" si="862"/>
        <v>1074</v>
      </c>
    </row>
    <row r="723" ht="30" hidden="1">
      <c r="A723" s="217"/>
      <c r="B723" s="217">
        <v>1074</v>
      </c>
      <c r="C723" s="217"/>
      <c r="D723" s="217" t="s">
        <v>20398</v>
      </c>
      <c r="E723" s="471" t="s">
        <v>20399</v>
      </c>
      <c r="F723" s="482">
        <v>1003</v>
      </c>
      <c r="G723" s="470" t="s">
        <v>20659</v>
      </c>
      <c r="H723" s="482" t="s">
        <v>15515</v>
      </c>
      <c r="I723" s="483">
        <v>1</v>
      </c>
      <c r="J723" s="474">
        <f>O723*$J$3/(0.45*1)</f>
        <v>1454.9032711111111</v>
      </c>
      <c r="K723" s="474">
        <f t="shared" ref="K723:K726" si="879">I723*J723</f>
        <v>1454.9032711111111</v>
      </c>
      <c r="L723" s="475">
        <f t="shared" si="876"/>
        <v>633.82447200000001</v>
      </c>
      <c r="M723" s="474">
        <f t="shared" ref="M723:M726" si="880">L723*I723</f>
        <v>633.82447200000001</v>
      </c>
      <c r="O723" s="434">
        <f t="shared" si="863"/>
        <v>654.70647199999996</v>
      </c>
      <c r="P723" s="435">
        <f t="shared" si="864"/>
        <v>633.82447200000001</v>
      </c>
      <c r="AE723" s="217"/>
      <c r="AF723" s="217">
        <v>1074</v>
      </c>
      <c r="AH723">
        <f t="shared" si="862"/>
        <v>1074</v>
      </c>
    </row>
    <row r="724" ht="75" hidden="1">
      <c r="A724" s="217"/>
      <c r="B724" s="217">
        <v>1074</v>
      </c>
      <c r="C724" s="217"/>
      <c r="D724" s="217" t="s">
        <v>17167</v>
      </c>
      <c r="E724" s="471" t="s">
        <v>20402</v>
      </c>
      <c r="F724" s="482">
        <v>87316</v>
      </c>
      <c r="G724" s="470" t="s">
        <v>237</v>
      </c>
      <c r="H724" s="482" t="s">
        <v>15528</v>
      </c>
      <c r="I724" s="483">
        <v>2.6666599999999999e-002</v>
      </c>
      <c r="J724" s="473">
        <f t="shared" ref="J724:J787" si="881">O724*$J$3</f>
        <v>495.49000000000001</v>
      </c>
      <c r="K724" s="474">
        <f t="shared" si="879"/>
        <v>13.213033634</v>
      </c>
      <c r="L724" s="475">
        <f t="shared" si="876"/>
        <v>487.74000000000001</v>
      </c>
      <c r="M724" s="474">
        <f t="shared" si="880"/>
        <v>13.006367484</v>
      </c>
      <c r="O724" s="434">
        <f t="shared" si="863"/>
        <v>495.49000000000001</v>
      </c>
      <c r="P724" s="435">
        <f t="shared" si="864"/>
        <v>487.74000000000001</v>
      </c>
      <c r="AE724" s="217"/>
      <c r="AF724" s="217">
        <v>1074</v>
      </c>
      <c r="AH724">
        <f t="shared" si="862"/>
        <v>1074</v>
      </c>
    </row>
    <row r="725" ht="30" hidden="1">
      <c r="A725" s="217"/>
      <c r="B725" s="217">
        <v>1074</v>
      </c>
      <c r="C725" s="217"/>
      <c r="D725" s="217" t="s">
        <v>17167</v>
      </c>
      <c r="E725" s="471" t="s">
        <v>20405</v>
      </c>
      <c r="F725" s="482">
        <v>88309</v>
      </c>
      <c r="G725" s="470" t="s">
        <v>7385</v>
      </c>
      <c r="H725" s="482" t="s">
        <v>2032</v>
      </c>
      <c r="I725" s="483">
        <v>2.6000000000000001</v>
      </c>
      <c r="J725" s="473">
        <f t="shared" si="881"/>
        <v>28.5</v>
      </c>
      <c r="K725" s="474">
        <f t="shared" si="879"/>
        <v>74.100000000000009</v>
      </c>
      <c r="L725" s="475">
        <f t="shared" si="876"/>
        <v>26.870000000000001</v>
      </c>
      <c r="M725" s="474">
        <f t="shared" si="880"/>
        <v>69.862000000000009</v>
      </c>
      <c r="O725" s="434">
        <f t="shared" si="863"/>
        <v>28.5</v>
      </c>
      <c r="P725" s="435">
        <f t="shared" si="864"/>
        <v>26.870000000000001</v>
      </c>
      <c r="AE725" s="217"/>
      <c r="AF725" s="217">
        <v>1074</v>
      </c>
      <c r="AH725">
        <f t="shared" si="862"/>
        <v>1074</v>
      </c>
    </row>
    <row r="726" ht="30" hidden="1">
      <c r="A726" s="217"/>
      <c r="B726" s="217">
        <v>1074</v>
      </c>
      <c r="C726" s="217"/>
      <c r="D726" s="217" t="s">
        <v>17167</v>
      </c>
      <c r="E726" s="471" t="s">
        <v>20409</v>
      </c>
      <c r="F726" s="482">
        <v>88316</v>
      </c>
      <c r="G726" s="470" t="s">
        <v>7393</v>
      </c>
      <c r="H726" s="482" t="s">
        <v>2032</v>
      </c>
      <c r="I726" s="483">
        <v>2.6509999999999998</v>
      </c>
      <c r="J726" s="473">
        <f t="shared" si="881"/>
        <v>22.760000000000002</v>
      </c>
      <c r="K726" s="474">
        <f t="shared" si="879"/>
        <v>60.336759999999998</v>
      </c>
      <c r="L726" s="475">
        <f t="shared" si="876"/>
        <v>21.550000000000001</v>
      </c>
      <c r="M726" s="474">
        <f t="shared" si="880"/>
        <v>57.129049999999999</v>
      </c>
      <c r="O726" s="434">
        <f t="shared" si="863"/>
        <v>22.760000000000002</v>
      </c>
      <c r="P726" s="435">
        <f t="shared" si="864"/>
        <v>21.550000000000001</v>
      </c>
      <c r="AE726" s="217"/>
      <c r="AF726" s="217">
        <v>1074</v>
      </c>
      <c r="AH726">
        <f t="shared" si="862"/>
        <v>1074</v>
      </c>
    </row>
    <row r="727" ht="78.75" hidden="1">
      <c r="A727" s="460">
        <v>1075</v>
      </c>
      <c r="B727" s="460">
        <v>1075</v>
      </c>
      <c r="C727" s="460"/>
      <c r="D727" s="460"/>
      <c r="E727" s="461">
        <v>1</v>
      </c>
      <c r="F727" s="462" t="s">
        <v>21042</v>
      </c>
      <c r="G727" s="477" t="s">
        <v>21043</v>
      </c>
      <c r="H727" s="478" t="s">
        <v>38</v>
      </c>
      <c r="I727" s="479"/>
      <c r="J727" s="480"/>
      <c r="K727" s="466">
        <f>SUM(K728:K732)</f>
        <v>38.405834399999996</v>
      </c>
      <c r="L727" s="480"/>
      <c r="M727" s="466">
        <f>SUM(M728:M732)</f>
        <v>37.457194199999996</v>
      </c>
      <c r="N727" s="467" t="s">
        <v>21044</v>
      </c>
      <c r="O727" s="434" t="str">
        <f t="shared" si="863"/>
        <v xml:space="preserve">SEM VALOR</v>
      </c>
      <c r="P727" s="435" t="str">
        <f t="shared" si="864"/>
        <v xml:space="preserve">SEM VALOR</v>
      </c>
      <c r="AE727" s="460">
        <v>1075</v>
      </c>
      <c r="AF727" s="460"/>
      <c r="AH727">
        <f t="shared" si="862"/>
        <v>1075</v>
      </c>
    </row>
    <row r="728" ht="45" hidden="1">
      <c r="A728" s="217"/>
      <c r="B728" s="217">
        <v>1075</v>
      </c>
      <c r="C728" s="217"/>
      <c r="D728" s="217" t="s">
        <v>20398</v>
      </c>
      <c r="E728" s="471" t="s">
        <v>20399</v>
      </c>
      <c r="F728" s="482">
        <v>1259</v>
      </c>
      <c r="G728" s="470" t="s">
        <v>20796</v>
      </c>
      <c r="H728" s="482" t="s">
        <v>15528</v>
      </c>
      <c r="I728" s="483">
        <v>4.07e-002</v>
      </c>
      <c r="J728" s="473">
        <f t="shared" si="881"/>
        <v>45.520000000000003</v>
      </c>
      <c r="K728" s="474">
        <f t="shared" ref="K728:K732" si="882">I728*J728</f>
        <v>1.8526640000000001</v>
      </c>
      <c r="L728" s="475">
        <f t="shared" si="876"/>
        <v>43.100000000000001</v>
      </c>
      <c r="M728" s="474">
        <f t="shared" ref="M728:M732" si="883">L728*I728</f>
        <v>1.75417</v>
      </c>
      <c r="O728" s="434">
        <f t="shared" si="863"/>
        <v>45.520000000000003</v>
      </c>
      <c r="P728" s="435">
        <f t="shared" si="864"/>
        <v>43.100000000000001</v>
      </c>
      <c r="AE728" s="217"/>
      <c r="AF728" s="217">
        <v>1075</v>
      </c>
      <c r="AH728">
        <f t="shared" si="862"/>
        <v>1075</v>
      </c>
    </row>
    <row r="729" ht="75" hidden="1">
      <c r="A729" s="217"/>
      <c r="B729" s="217">
        <v>1075</v>
      </c>
      <c r="C729" s="217"/>
      <c r="D729" s="217" t="s">
        <v>20398</v>
      </c>
      <c r="E729" s="471" t="s">
        <v>20402</v>
      </c>
      <c r="F729" s="482">
        <v>1267</v>
      </c>
      <c r="G729" s="470" t="s">
        <v>20662</v>
      </c>
      <c r="H729" s="482" t="s">
        <v>38</v>
      </c>
      <c r="I729" s="483">
        <v>1</v>
      </c>
      <c r="J729" s="473">
        <f t="shared" si="881"/>
        <v>3.2499999999999996</v>
      </c>
      <c r="K729" s="474">
        <f t="shared" si="882"/>
        <v>3.2499999999999996</v>
      </c>
      <c r="L729" s="475">
        <f t="shared" si="876"/>
        <v>3.1657000000000002</v>
      </c>
      <c r="M729" s="474">
        <f t="shared" si="883"/>
        <v>3.1657000000000002</v>
      </c>
      <c r="O729" s="434">
        <f t="shared" si="863"/>
        <v>3.2499999999999996</v>
      </c>
      <c r="P729" s="435">
        <f t="shared" si="864"/>
        <v>3.1657000000000002</v>
      </c>
      <c r="AE729" s="217"/>
      <c r="AF729" s="217">
        <v>1075</v>
      </c>
      <c r="AH729">
        <f t="shared" si="862"/>
        <v>1075</v>
      </c>
    </row>
    <row r="730" ht="45" hidden="1">
      <c r="A730" s="217"/>
      <c r="B730" s="217">
        <v>1075</v>
      </c>
      <c r="C730" s="217"/>
      <c r="D730" s="217" t="s">
        <v>17167</v>
      </c>
      <c r="E730" s="471" t="s">
        <v>20405</v>
      </c>
      <c r="F730" s="482">
        <v>102498</v>
      </c>
      <c r="G730" s="470" t="s">
        <v>8369</v>
      </c>
      <c r="H730" s="482" t="s">
        <v>15515</v>
      </c>
      <c r="I730" s="483">
        <v>0.25</v>
      </c>
      <c r="J730" s="473">
        <f t="shared" si="881"/>
        <v>1.7</v>
      </c>
      <c r="K730" s="474">
        <f t="shared" si="882"/>
        <v>0.42499999999999999</v>
      </c>
      <c r="L730" s="475">
        <f t="shared" si="876"/>
        <v>1.6200000000000001</v>
      </c>
      <c r="M730" s="474">
        <f t="shared" si="883"/>
        <v>0.40500000000000003</v>
      </c>
      <c r="O730" s="434">
        <f t="shared" si="863"/>
        <v>1.7</v>
      </c>
      <c r="P730" s="435">
        <f t="shared" si="864"/>
        <v>1.6200000000000001</v>
      </c>
      <c r="AE730" s="217"/>
      <c r="AF730" s="217">
        <v>1075</v>
      </c>
      <c r="AH730">
        <f t="shared" si="862"/>
        <v>1075</v>
      </c>
    </row>
    <row r="731" ht="45" hidden="1">
      <c r="A731" s="217"/>
      <c r="B731" s="217">
        <v>1075</v>
      </c>
      <c r="C731" s="217"/>
      <c r="D731" s="217" t="s">
        <v>20398</v>
      </c>
      <c r="E731" s="471" t="s">
        <v>20409</v>
      </c>
      <c r="F731" s="482">
        <v>1000</v>
      </c>
      <c r="G731" s="470" t="s">
        <v>20651</v>
      </c>
      <c r="H731" s="482" t="s">
        <v>15528</v>
      </c>
      <c r="I731" s="483">
        <v>5.5599999999999997e-002</v>
      </c>
      <c r="J731" s="473">
        <f t="shared" si="881"/>
        <v>149.904</v>
      </c>
      <c r="K731" s="474">
        <f t="shared" si="882"/>
        <v>8.3346623999999991</v>
      </c>
      <c r="L731" s="475">
        <f t="shared" si="876"/>
        <v>141.76949999999999</v>
      </c>
      <c r="M731" s="474">
        <f t="shared" si="883"/>
        <v>7.8823841999999988</v>
      </c>
      <c r="O731" s="434">
        <f t="shared" si="863"/>
        <v>149.904</v>
      </c>
      <c r="P731" s="435">
        <f t="shared" si="864"/>
        <v>141.76949999999999</v>
      </c>
      <c r="AE731" s="217"/>
      <c r="AF731" s="217">
        <v>1075</v>
      </c>
      <c r="AH731">
        <f t="shared" si="862"/>
        <v>1075</v>
      </c>
    </row>
    <row r="732" ht="60" hidden="1">
      <c r="A732" s="217"/>
      <c r="B732" s="217">
        <v>1075</v>
      </c>
      <c r="C732" s="217"/>
      <c r="D732" s="217" t="s">
        <v>17167</v>
      </c>
      <c r="E732" s="471" t="s">
        <v>20663</v>
      </c>
      <c r="F732" s="482">
        <v>94963</v>
      </c>
      <c r="G732" s="470" t="s">
        <v>20911</v>
      </c>
      <c r="H732" s="482" t="s">
        <v>15528</v>
      </c>
      <c r="I732" s="483">
        <v>5.5599999999999997e-002</v>
      </c>
      <c r="J732" s="473">
        <f t="shared" si="881"/>
        <v>441.43000000000001</v>
      </c>
      <c r="K732" s="474">
        <f t="shared" si="882"/>
        <v>24.543507999999999</v>
      </c>
      <c r="L732" s="475">
        <f t="shared" si="876"/>
        <v>436.14999999999998</v>
      </c>
      <c r="M732" s="474">
        <f t="shared" si="883"/>
        <v>24.249939999999999</v>
      </c>
      <c r="O732" s="434">
        <f t="shared" si="863"/>
        <v>441.43000000000001</v>
      </c>
      <c r="P732" s="435">
        <f t="shared" si="864"/>
        <v>436.14999999999998</v>
      </c>
      <c r="AE732" s="217"/>
      <c r="AF732" s="217">
        <v>1075</v>
      </c>
      <c r="AH732">
        <f t="shared" si="862"/>
        <v>1075</v>
      </c>
    </row>
    <row r="733" ht="78.75" hidden="1">
      <c r="A733" s="460">
        <v>1076</v>
      </c>
      <c r="B733" s="460">
        <v>1076</v>
      </c>
      <c r="C733" s="460"/>
      <c r="D733" s="460"/>
      <c r="E733" s="461">
        <v>1</v>
      </c>
      <c r="F733" s="462" t="s">
        <v>21045</v>
      </c>
      <c r="G733" s="477" t="s">
        <v>21046</v>
      </c>
      <c r="H733" s="478" t="s">
        <v>38</v>
      </c>
      <c r="I733" s="479"/>
      <c r="J733" s="480"/>
      <c r="K733" s="466">
        <f>SUM(K734:K738)</f>
        <v>53.053519000000009</v>
      </c>
      <c r="L733" s="480"/>
      <c r="M733" s="466">
        <f>SUM(M734:M738)</f>
        <v>51.73888075</v>
      </c>
      <c r="N733" s="467" t="s">
        <v>21044</v>
      </c>
      <c r="O733" s="434" t="str">
        <f t="shared" si="863"/>
        <v xml:space="preserve">SEM VALOR</v>
      </c>
      <c r="P733" s="435" t="str">
        <f t="shared" si="864"/>
        <v xml:space="preserve">SEM VALOR</v>
      </c>
      <c r="AE733" s="460">
        <v>1076</v>
      </c>
      <c r="AF733" s="460"/>
      <c r="AH733">
        <f t="shared" si="862"/>
        <v>1076</v>
      </c>
    </row>
    <row r="734" ht="45" hidden="1">
      <c r="A734" s="217"/>
      <c r="B734" s="217">
        <v>1076</v>
      </c>
      <c r="C734" s="217"/>
      <c r="D734" s="217" t="s">
        <v>20398</v>
      </c>
      <c r="E734" s="471" t="s">
        <v>20399</v>
      </c>
      <c r="F734" s="482">
        <v>1259</v>
      </c>
      <c r="G734" s="470" t="s">
        <v>20796</v>
      </c>
      <c r="H734" s="482" t="s">
        <v>15528</v>
      </c>
      <c r="I734" s="483">
        <v>6.5000000000000002e-002</v>
      </c>
      <c r="J734" s="473">
        <f t="shared" si="881"/>
        <v>45.520000000000003</v>
      </c>
      <c r="K734" s="474">
        <f t="shared" ref="K734:K738" si="884">I734*J734</f>
        <v>2.9588000000000001</v>
      </c>
      <c r="L734" s="475">
        <f t="shared" si="876"/>
        <v>43.100000000000001</v>
      </c>
      <c r="M734" s="474">
        <f t="shared" ref="M734:M738" si="885">L734*I734</f>
        <v>2.8015000000000003</v>
      </c>
      <c r="O734" s="434">
        <f t="shared" si="863"/>
        <v>45.520000000000003</v>
      </c>
      <c r="P734" s="435">
        <f t="shared" si="864"/>
        <v>43.100000000000001</v>
      </c>
      <c r="AE734" s="217"/>
      <c r="AF734" s="217">
        <v>1076</v>
      </c>
      <c r="AH734">
        <f t="shared" si="862"/>
        <v>1076</v>
      </c>
    </row>
    <row r="735" ht="75" hidden="1">
      <c r="A735" s="217"/>
      <c r="B735" s="217">
        <v>1076</v>
      </c>
      <c r="C735" s="217"/>
      <c r="D735" s="217" t="s">
        <v>20398</v>
      </c>
      <c r="E735" s="471" t="s">
        <v>20402</v>
      </c>
      <c r="F735" s="482">
        <v>1267</v>
      </c>
      <c r="G735" s="470" t="s">
        <v>20662</v>
      </c>
      <c r="H735" s="482" t="s">
        <v>38</v>
      </c>
      <c r="I735" s="483">
        <v>1</v>
      </c>
      <c r="J735" s="473">
        <f t="shared" si="881"/>
        <v>3.2499999999999996</v>
      </c>
      <c r="K735" s="474">
        <f t="shared" si="884"/>
        <v>3.2499999999999996</v>
      </c>
      <c r="L735" s="475">
        <f t="shared" si="876"/>
        <v>3.1657000000000002</v>
      </c>
      <c r="M735" s="474">
        <f t="shared" si="885"/>
        <v>3.1657000000000002</v>
      </c>
      <c r="O735" s="434">
        <f t="shared" si="863"/>
        <v>3.2499999999999996</v>
      </c>
      <c r="P735" s="435">
        <f t="shared" si="864"/>
        <v>3.1657000000000002</v>
      </c>
      <c r="AE735" s="217"/>
      <c r="AF735" s="217">
        <v>1076</v>
      </c>
      <c r="AH735">
        <f t="shared" si="862"/>
        <v>1076</v>
      </c>
    </row>
    <row r="736" ht="45" hidden="1">
      <c r="A736" s="217"/>
      <c r="B736" s="217">
        <v>1076</v>
      </c>
      <c r="C736" s="217"/>
      <c r="D736" s="217" t="s">
        <v>17167</v>
      </c>
      <c r="E736" s="471" t="s">
        <v>20405</v>
      </c>
      <c r="F736" s="482">
        <v>102498</v>
      </c>
      <c r="G736" s="470" t="s">
        <v>8369</v>
      </c>
      <c r="H736" s="482" t="s">
        <v>15515</v>
      </c>
      <c r="I736" s="483">
        <v>0.25</v>
      </c>
      <c r="J736" s="473">
        <f t="shared" si="881"/>
        <v>1.7</v>
      </c>
      <c r="K736" s="474">
        <f t="shared" si="884"/>
        <v>0.42499999999999999</v>
      </c>
      <c r="L736" s="475">
        <f t="shared" si="876"/>
        <v>1.6200000000000001</v>
      </c>
      <c r="M736" s="474">
        <f t="shared" si="885"/>
        <v>0.40500000000000003</v>
      </c>
      <c r="O736" s="434">
        <f t="shared" si="863"/>
        <v>1.7</v>
      </c>
      <c r="P736" s="435">
        <f t="shared" si="864"/>
        <v>1.6200000000000001</v>
      </c>
      <c r="AE736" s="217"/>
      <c r="AF736" s="217">
        <v>1076</v>
      </c>
      <c r="AH736">
        <f t="shared" si="862"/>
        <v>1076</v>
      </c>
    </row>
    <row r="737" ht="45" hidden="1">
      <c r="A737" s="217"/>
      <c r="B737" s="217">
        <v>1076</v>
      </c>
      <c r="C737" s="217"/>
      <c r="D737" s="217" t="s">
        <v>20398</v>
      </c>
      <c r="E737" s="471" t="s">
        <v>20409</v>
      </c>
      <c r="F737" s="482">
        <v>1000</v>
      </c>
      <c r="G737" s="470" t="s">
        <v>20651</v>
      </c>
      <c r="H737" s="482" t="s">
        <v>15528</v>
      </c>
      <c r="I737" s="483">
        <v>7.85e-002</v>
      </c>
      <c r="J737" s="473">
        <f t="shared" si="881"/>
        <v>149.904</v>
      </c>
      <c r="K737" s="474">
        <f t="shared" si="884"/>
        <v>11.767464</v>
      </c>
      <c r="L737" s="475">
        <f t="shared" si="876"/>
        <v>141.76949999999999</v>
      </c>
      <c r="M737" s="474">
        <f t="shared" si="885"/>
        <v>11.128905749999999</v>
      </c>
      <c r="O737" s="434">
        <f t="shared" si="863"/>
        <v>149.904</v>
      </c>
      <c r="P737" s="435">
        <f t="shared" si="864"/>
        <v>141.76949999999999</v>
      </c>
      <c r="AE737" s="217"/>
      <c r="AF737" s="217">
        <v>1076</v>
      </c>
      <c r="AH737">
        <f t="shared" ref="AH737:AH800" si="886">IF(AF737:AF738=FALSE,AE737,AF737)</f>
        <v>1076</v>
      </c>
    </row>
    <row r="738" ht="60" hidden="1">
      <c r="A738" s="217"/>
      <c r="B738" s="217">
        <v>1076</v>
      </c>
      <c r="C738" s="217"/>
      <c r="D738" s="217" t="s">
        <v>17167</v>
      </c>
      <c r="E738" s="471" t="s">
        <v>20663</v>
      </c>
      <c r="F738" s="482">
        <v>94963</v>
      </c>
      <c r="G738" s="470" t="s">
        <v>20911</v>
      </c>
      <c r="H738" s="482" t="s">
        <v>15528</v>
      </c>
      <c r="I738" s="483">
        <v>7.85e-002</v>
      </c>
      <c r="J738" s="473">
        <f t="shared" si="881"/>
        <v>441.43000000000001</v>
      </c>
      <c r="K738" s="474">
        <f t="shared" si="884"/>
        <v>34.652255000000004</v>
      </c>
      <c r="L738" s="475">
        <f t="shared" si="876"/>
        <v>436.14999999999998</v>
      </c>
      <c r="M738" s="474">
        <f t="shared" si="885"/>
        <v>34.237774999999999</v>
      </c>
      <c r="O738" s="434">
        <f t="shared" si="863"/>
        <v>441.43000000000001</v>
      </c>
      <c r="P738" s="435">
        <f t="shared" si="864"/>
        <v>436.14999999999998</v>
      </c>
      <c r="AE738" s="217"/>
      <c r="AF738" s="217">
        <v>1076</v>
      </c>
      <c r="AH738">
        <f t="shared" si="886"/>
        <v>1076</v>
      </c>
    </row>
    <row r="739" ht="63" hidden="1">
      <c r="A739" s="460">
        <v>1077</v>
      </c>
      <c r="B739" s="460">
        <v>1077</v>
      </c>
      <c r="C739" s="460"/>
      <c r="D739" s="460"/>
      <c r="E739" s="461">
        <v>1</v>
      </c>
      <c r="F739" s="462" t="s">
        <v>21047</v>
      </c>
      <c r="G739" s="477" t="s">
        <v>21048</v>
      </c>
      <c r="H739" s="478" t="s">
        <v>31</v>
      </c>
      <c r="I739" s="479"/>
      <c r="J739" s="480"/>
      <c r="K739" s="466" t="e">
        <f>SUM(K740:K742)</f>
        <v>#VALUE!</v>
      </c>
      <c r="L739" s="480"/>
      <c r="M739" s="466" t="e">
        <f>SUM(M740:M742)</f>
        <v>#VALUE!</v>
      </c>
      <c r="N739" s="467" t="s">
        <v>21049</v>
      </c>
      <c r="O739" s="434" t="str">
        <f t="shared" si="863"/>
        <v xml:space="preserve">SEM VALOR</v>
      </c>
      <c r="P739" s="435" t="str">
        <f t="shared" si="864"/>
        <v xml:space="preserve">SEM VALOR</v>
      </c>
      <c r="AE739" s="460">
        <v>1077</v>
      </c>
      <c r="AF739" s="460"/>
      <c r="AH739">
        <f t="shared" si="886"/>
        <v>1077</v>
      </c>
    </row>
    <row r="740" ht="60" hidden="1">
      <c r="A740" s="217"/>
      <c r="B740" s="217">
        <v>1077</v>
      </c>
      <c r="C740" s="217"/>
      <c r="D740" s="217" t="s">
        <v>20408</v>
      </c>
      <c r="E740" s="471" t="s">
        <v>20399</v>
      </c>
      <c r="F740" s="482">
        <v>11950</v>
      </c>
      <c r="G740" s="470" t="s">
        <v>11033</v>
      </c>
      <c r="H740" s="482" t="s">
        <v>31</v>
      </c>
      <c r="I740" s="483">
        <v>4</v>
      </c>
      <c r="J740" s="473">
        <f t="shared" si="881"/>
        <v>0.14000000000000001</v>
      </c>
      <c r="K740" s="474">
        <f t="shared" ref="K740:K742" si="887">I740*J740</f>
        <v>0.56000000000000005</v>
      </c>
      <c r="L740" s="475">
        <f t="shared" si="876"/>
        <v>0.14000000000000001</v>
      </c>
      <c r="M740" s="474">
        <f t="shared" ref="M740:M742" si="888">L740*I740</f>
        <v>0.56000000000000005</v>
      </c>
      <c r="N740" s="442"/>
      <c r="O740" s="434">
        <f t="shared" ref="O740:O803" si="889">IFERROR(IF(D740="SINAPI",VLOOKUP(F740,SINCOMOD,4,FALSE),IF(D740="INSINAPI",VLOOKUP(F740,INSINOD,5,FALSE),IF(D740="SICRO",VLOOKUP(F740,SICRO,5,FALSE),IF(D740="COTACAO",VLOOKUP(F740,COTACAO,6,FALSE),IF(D740="PRÓPRIO",VLOOKUP(F740,COMPOD,11,FALSE),IF(D740="AGESUL",VLOOKUP(F740,AGESULOD,6,FALSE),IF(D740="INSAGESUL",VLOOKUP(F740,INSAGESUL,7,FALSE),"SEM VALOR"))))))),"SEM VALOR")</f>
        <v>0.14000000000000001</v>
      </c>
      <c r="P740" s="435">
        <f t="shared" ref="P740:P803" si="890">IFERROR(IF(D740="SINAPI",VLOOKUP(F740,SINCOMOD,6,FALSE),IF(D740="INSINAPI",VLOOKUP(F740,INSINOD,6,FALSE),IF(D740="SICRO",VLOOKUP(F740,SICRO,5,FALSE),IF(D740="COTACAO",VLOOKUP(F740,COTACAO,6,FALSE),IF(D740="PRÓPRIO",VLOOKUP(F740,COMPOD,13,FALSE),IF(D740="AGESUL",VLOOKUP(F740,AGESULOD,11,FALSE),IF(D740="INSAGESUL",VLOOKUP(F740,INSAGESUL,8,FALSE),"SEM VALOR"))))))),"SEM VALOR")</f>
        <v>0.14000000000000001</v>
      </c>
      <c r="AE740" s="217"/>
      <c r="AF740" s="217">
        <v>1077</v>
      </c>
      <c r="AH740">
        <f t="shared" si="886"/>
        <v>1077</v>
      </c>
    </row>
    <row r="741" ht="45" hidden="1">
      <c r="A741" s="217"/>
      <c r="B741" s="217">
        <v>1077</v>
      </c>
      <c r="C741" s="217"/>
      <c r="D741" s="217" t="s">
        <v>20408</v>
      </c>
      <c r="E741" s="468" t="s">
        <v>20402</v>
      </c>
      <c r="F741" s="482">
        <v>13521</v>
      </c>
      <c r="G741" s="470" t="s">
        <v>21050</v>
      </c>
      <c r="H741" s="521" t="s">
        <v>31</v>
      </c>
      <c r="I741" s="522">
        <v>1</v>
      </c>
      <c r="J741" s="473" t="e">
        <f t="shared" si="881"/>
        <v>#VALUE!</v>
      </c>
      <c r="K741" s="474" t="e">
        <f t="shared" si="887"/>
        <v>#VALUE!</v>
      </c>
      <c r="L741" s="475" t="e">
        <f t="shared" si="876"/>
        <v>#VALUE!</v>
      </c>
      <c r="M741" s="474" t="e">
        <f t="shared" si="888"/>
        <v>#VALUE!</v>
      </c>
      <c r="O741" s="434" t="str">
        <f t="shared" si="889"/>
        <v>VERIFICAR</v>
      </c>
      <c r="P741" s="435" t="str">
        <f t="shared" si="890"/>
        <v>VERIFICAR</v>
      </c>
      <c r="AE741" s="217"/>
      <c r="AF741" s="217">
        <v>1077</v>
      </c>
      <c r="AH741">
        <f t="shared" si="886"/>
        <v>1077</v>
      </c>
    </row>
    <row r="742" ht="30" hidden="1">
      <c r="A742" s="217"/>
      <c r="B742" s="217">
        <v>1077</v>
      </c>
      <c r="C742" s="217"/>
      <c r="D742" s="217" t="s">
        <v>17167</v>
      </c>
      <c r="E742" s="468" t="s">
        <v>20405</v>
      </c>
      <c r="F742" s="482">
        <v>88316</v>
      </c>
      <c r="G742" s="470" t="s">
        <v>7393</v>
      </c>
      <c r="H742" s="521" t="s">
        <v>2032</v>
      </c>
      <c r="I742" s="522">
        <v>0.40000000000000002</v>
      </c>
      <c r="J742" s="473">
        <f t="shared" si="881"/>
        <v>22.760000000000002</v>
      </c>
      <c r="K742" s="474">
        <f t="shared" si="887"/>
        <v>9.104000000000001</v>
      </c>
      <c r="L742" s="475">
        <f t="shared" si="876"/>
        <v>21.550000000000001</v>
      </c>
      <c r="M742" s="474">
        <f t="shared" si="888"/>
        <v>8.620000000000001</v>
      </c>
      <c r="O742" s="434">
        <f t="shared" si="889"/>
        <v>22.760000000000002</v>
      </c>
      <c r="P742" s="435">
        <f t="shared" si="890"/>
        <v>21.550000000000001</v>
      </c>
      <c r="AE742" s="217"/>
      <c r="AF742" s="217">
        <v>1077</v>
      </c>
      <c r="AH742">
        <f t="shared" si="886"/>
        <v>1077</v>
      </c>
    </row>
    <row r="743" ht="47.25" hidden="1">
      <c r="A743" s="460">
        <v>1080</v>
      </c>
      <c r="B743" s="460">
        <v>1080</v>
      </c>
      <c r="C743" s="460"/>
      <c r="D743" s="460"/>
      <c r="E743" s="461">
        <v>1</v>
      </c>
      <c r="F743" s="462" t="s">
        <v>21051</v>
      </c>
      <c r="G743" s="477" t="s">
        <v>21052</v>
      </c>
      <c r="H743" s="478" t="s">
        <v>15515</v>
      </c>
      <c r="I743" s="479"/>
      <c r="J743" s="480"/>
      <c r="K743" s="466">
        <f>SUM(K744:K759)</f>
        <v>21.225774773000001</v>
      </c>
      <c r="L743" s="480"/>
      <c r="M743" s="466">
        <f>SUM(M744:M759)</f>
        <v>21.190700170000003</v>
      </c>
      <c r="O743" s="434" t="str">
        <f t="shared" si="889"/>
        <v xml:space="preserve">SEM VALOR</v>
      </c>
      <c r="P743" s="435" t="str">
        <f t="shared" si="890"/>
        <v xml:space="preserve">SEM VALOR</v>
      </c>
      <c r="AE743" s="460">
        <v>1080</v>
      </c>
      <c r="AF743" s="460"/>
      <c r="AH743">
        <f t="shared" si="886"/>
        <v>1080</v>
      </c>
    </row>
    <row r="744" hidden="1">
      <c r="A744" s="217"/>
      <c r="B744" s="217">
        <v>1080</v>
      </c>
      <c r="C744" s="217"/>
      <c r="D744" s="217" t="s">
        <v>20453</v>
      </c>
      <c r="E744" s="471" t="s">
        <v>20399</v>
      </c>
      <c r="F744" s="482" t="s">
        <v>20011</v>
      </c>
      <c r="G744" s="470" t="s">
        <v>21053</v>
      </c>
      <c r="H744" s="482" t="s">
        <v>9591</v>
      </c>
      <c r="I744" s="483">
        <v>3.2000000000000002e-003</v>
      </c>
      <c r="J744" s="473">
        <f t="shared" si="881"/>
        <v>5287</v>
      </c>
      <c r="K744" s="474">
        <f t="shared" ref="K744:K759" si="891">I744*J744</f>
        <v>16.918400000000002</v>
      </c>
      <c r="L744" s="475">
        <f t="shared" si="876"/>
        <v>5287</v>
      </c>
      <c r="M744" s="474">
        <f t="shared" ref="M744:M759" si="892">L744*I744</f>
        <v>16.918400000000002</v>
      </c>
      <c r="O744" s="434">
        <f t="shared" si="889"/>
        <v>5287</v>
      </c>
      <c r="P744" s="435">
        <f t="shared" si="890"/>
        <v>5287</v>
      </c>
      <c r="AE744" s="217"/>
      <c r="AF744" s="217">
        <v>1080</v>
      </c>
      <c r="AH744">
        <f t="shared" si="886"/>
        <v>1080</v>
      </c>
    </row>
    <row r="745" ht="30" hidden="1">
      <c r="A745" s="217"/>
      <c r="B745" s="217">
        <v>1080</v>
      </c>
      <c r="C745" s="217"/>
      <c r="D745" s="217" t="s">
        <v>20408</v>
      </c>
      <c r="E745" s="471" t="s">
        <v>20402</v>
      </c>
      <c r="F745" s="482">
        <v>1107</v>
      </c>
      <c r="G745" s="470" t="s">
        <v>11380</v>
      </c>
      <c r="H745" s="482" t="s">
        <v>302</v>
      </c>
      <c r="I745" s="483">
        <v>0.33750000000000002</v>
      </c>
      <c r="J745" s="473">
        <f t="shared" si="881"/>
        <v>1.1100000000000001</v>
      </c>
      <c r="K745" s="474">
        <f t="shared" si="891"/>
        <v>0.37462500000000004</v>
      </c>
      <c r="L745" s="475">
        <f t="shared" si="876"/>
        <v>1.1100000000000001</v>
      </c>
      <c r="M745" s="474">
        <f t="shared" si="892"/>
        <v>0.37462500000000004</v>
      </c>
      <c r="O745" s="434">
        <f t="shared" si="889"/>
        <v>1.1100000000000001</v>
      </c>
      <c r="P745" s="435">
        <f t="shared" si="890"/>
        <v>1.1100000000000001</v>
      </c>
      <c r="AE745" s="217"/>
      <c r="AF745" s="217">
        <v>1080</v>
      </c>
      <c r="AH745">
        <f t="shared" si="886"/>
        <v>1080</v>
      </c>
    </row>
    <row r="746" ht="45" hidden="1">
      <c r="A746" s="217"/>
      <c r="B746" s="217">
        <v>1080</v>
      </c>
      <c r="C746" s="217"/>
      <c r="D746" s="217" t="s">
        <v>20408</v>
      </c>
      <c r="E746" s="471" t="s">
        <v>20405</v>
      </c>
      <c r="F746" s="482">
        <v>4720</v>
      </c>
      <c r="G746" s="470" t="s">
        <v>13718</v>
      </c>
      <c r="H746" s="482" t="s">
        <v>15528</v>
      </c>
      <c r="I746" s="483">
        <v>1.4999999999999999e-002</v>
      </c>
      <c r="J746" s="473">
        <f t="shared" si="881"/>
        <v>116.02</v>
      </c>
      <c r="K746" s="474">
        <f t="shared" si="891"/>
        <v>1.7403</v>
      </c>
      <c r="L746" s="475">
        <f t="shared" si="876"/>
        <v>116.02</v>
      </c>
      <c r="M746" s="474">
        <f t="shared" si="892"/>
        <v>1.7403</v>
      </c>
      <c r="O746" s="434">
        <f t="shared" si="889"/>
        <v>116.02</v>
      </c>
      <c r="P746" s="435">
        <f t="shared" si="890"/>
        <v>116.02</v>
      </c>
      <c r="AE746" s="217"/>
      <c r="AF746" s="217">
        <v>1080</v>
      </c>
      <c r="AH746">
        <f t="shared" si="886"/>
        <v>1080</v>
      </c>
    </row>
    <row r="747" ht="105" hidden="1">
      <c r="A747" s="217"/>
      <c r="B747" s="217">
        <v>1080</v>
      </c>
      <c r="C747" s="217"/>
      <c r="D747" s="217" t="s">
        <v>17167</v>
      </c>
      <c r="E747" s="471" t="s">
        <v>20409</v>
      </c>
      <c r="F747" s="482">
        <v>5824</v>
      </c>
      <c r="G747" s="470" t="s">
        <v>1603</v>
      </c>
      <c r="H747" s="482" t="s">
        <v>1535</v>
      </c>
      <c r="I747" s="483">
        <v>1.506e-003</v>
      </c>
      <c r="J747" s="473">
        <f t="shared" si="881"/>
        <v>233.72</v>
      </c>
      <c r="K747" s="474">
        <f t="shared" si="891"/>
        <v>0.35198232000000002</v>
      </c>
      <c r="L747" s="475">
        <f t="shared" si="876"/>
        <v>232.12</v>
      </c>
      <c r="M747" s="474">
        <f t="shared" si="892"/>
        <v>0.34957272</v>
      </c>
      <c r="O747" s="434">
        <f t="shared" si="889"/>
        <v>233.72</v>
      </c>
      <c r="P747" s="435">
        <f t="shared" si="890"/>
        <v>232.12</v>
      </c>
      <c r="AE747" s="217"/>
      <c r="AF747" s="217">
        <v>1080</v>
      </c>
      <c r="AH747">
        <f t="shared" si="886"/>
        <v>1080</v>
      </c>
    </row>
    <row r="748" ht="60" hidden="1">
      <c r="A748" s="217"/>
      <c r="B748" s="217">
        <v>1080</v>
      </c>
      <c r="C748" s="217"/>
      <c r="D748" s="217" t="s">
        <v>17167</v>
      </c>
      <c r="E748" s="471" t="s">
        <v>20663</v>
      </c>
      <c r="F748" s="482">
        <v>5839</v>
      </c>
      <c r="G748" s="470" t="s">
        <v>1955</v>
      </c>
      <c r="H748" s="482" t="s">
        <v>1535</v>
      </c>
      <c r="I748" s="483">
        <v>2.8610000000000002e-004</v>
      </c>
      <c r="J748" s="473">
        <f t="shared" si="881"/>
        <v>9.4299999999999997</v>
      </c>
      <c r="K748" s="474">
        <f t="shared" si="891"/>
        <v>2.6979230000000001e-003</v>
      </c>
      <c r="L748" s="475">
        <f t="shared" si="876"/>
        <v>9.4299999999999997</v>
      </c>
      <c r="M748" s="474">
        <f t="shared" si="892"/>
        <v>2.6979230000000001e-003</v>
      </c>
      <c r="O748" s="434">
        <f t="shared" si="889"/>
        <v>9.4299999999999997</v>
      </c>
      <c r="P748" s="435">
        <f t="shared" si="890"/>
        <v>9.4299999999999997</v>
      </c>
      <c r="AE748" s="217"/>
      <c r="AF748" s="217">
        <v>1080</v>
      </c>
      <c r="AH748">
        <f t="shared" si="886"/>
        <v>1080</v>
      </c>
    </row>
    <row r="749" ht="60" hidden="1">
      <c r="A749" s="217"/>
      <c r="B749" s="217">
        <v>1080</v>
      </c>
      <c r="C749" s="217"/>
      <c r="D749" s="217" t="s">
        <v>17167</v>
      </c>
      <c r="E749" s="471" t="s">
        <v>20665</v>
      </c>
      <c r="F749" s="482">
        <v>5841</v>
      </c>
      <c r="G749" s="470" t="s">
        <v>1954</v>
      </c>
      <c r="H749" s="482" t="s">
        <v>1533</v>
      </c>
      <c r="I749" s="483">
        <v>1.2198000000000001e-003</v>
      </c>
      <c r="J749" s="473">
        <f t="shared" si="881"/>
        <v>4.7400000000000002</v>
      </c>
      <c r="K749" s="474">
        <f t="shared" si="891"/>
        <v>5.7818520000000005e-003</v>
      </c>
      <c r="L749" s="475">
        <f t="shared" si="876"/>
        <v>4.7400000000000002</v>
      </c>
      <c r="M749" s="474">
        <f t="shared" si="892"/>
        <v>5.7818520000000005e-003</v>
      </c>
      <c r="O749" s="434">
        <f t="shared" si="889"/>
        <v>4.7400000000000002</v>
      </c>
      <c r="P749" s="435">
        <f t="shared" si="890"/>
        <v>4.7400000000000002</v>
      </c>
      <c r="AE749" s="217"/>
      <c r="AF749" s="217">
        <v>1080</v>
      </c>
      <c r="AH749">
        <f t="shared" si="886"/>
        <v>1080</v>
      </c>
    </row>
    <row r="750" ht="45" hidden="1">
      <c r="A750" s="217"/>
      <c r="B750" s="217">
        <v>1080</v>
      </c>
      <c r="C750" s="217"/>
      <c r="D750" s="217" t="s">
        <v>17167</v>
      </c>
      <c r="E750" s="471" t="s">
        <v>20667</v>
      </c>
      <c r="F750" s="482">
        <v>5843</v>
      </c>
      <c r="G750" s="470" t="s">
        <v>1933</v>
      </c>
      <c r="H750" s="482" t="s">
        <v>1535</v>
      </c>
      <c r="I750" s="483">
        <v>2.8610000000000002e-004</v>
      </c>
      <c r="J750" s="473">
        <f t="shared" si="881"/>
        <v>182.91999999999999</v>
      </c>
      <c r="K750" s="474">
        <f t="shared" si="891"/>
        <v>5.2333411999999996e-002</v>
      </c>
      <c r="L750" s="475">
        <f t="shared" si="876"/>
        <v>181.02000000000001</v>
      </c>
      <c r="M750" s="474">
        <f t="shared" si="892"/>
        <v>5.1789822000000006e-002</v>
      </c>
      <c r="O750" s="434">
        <f t="shared" si="889"/>
        <v>182.91999999999999</v>
      </c>
      <c r="P750" s="435">
        <f t="shared" si="890"/>
        <v>181.02000000000001</v>
      </c>
      <c r="AE750" s="217"/>
      <c r="AF750" s="217">
        <v>1080</v>
      </c>
      <c r="AH750">
        <f t="shared" si="886"/>
        <v>1080</v>
      </c>
    </row>
    <row r="751" ht="45" hidden="1">
      <c r="A751" s="217"/>
      <c r="B751" s="217">
        <v>1080</v>
      </c>
      <c r="C751" s="217"/>
      <c r="D751" s="217" t="s">
        <v>17167</v>
      </c>
      <c r="E751" s="471" t="s">
        <v>20671</v>
      </c>
      <c r="F751" s="482">
        <v>5845</v>
      </c>
      <c r="G751" s="470" t="s">
        <v>1932</v>
      </c>
      <c r="H751" s="482" t="s">
        <v>1533</v>
      </c>
      <c r="I751" s="483">
        <v>1.2198000000000001e-003</v>
      </c>
      <c r="J751" s="473">
        <f t="shared" si="881"/>
        <v>53.600000000000001</v>
      </c>
      <c r="K751" s="474">
        <f t="shared" si="891"/>
        <v>6.538128e-002</v>
      </c>
      <c r="L751" s="475">
        <f t="shared" si="876"/>
        <v>51.700000000000003</v>
      </c>
      <c r="M751" s="474">
        <f t="shared" si="892"/>
        <v>6.3063660000000007e-002</v>
      </c>
      <c r="O751" s="434">
        <f t="shared" si="889"/>
        <v>53.600000000000001</v>
      </c>
      <c r="P751" s="435">
        <f t="shared" si="890"/>
        <v>51.700000000000003</v>
      </c>
      <c r="AE751" s="217"/>
      <c r="AF751" s="217">
        <v>1080</v>
      </c>
      <c r="AH751">
        <f t="shared" si="886"/>
        <v>1080</v>
      </c>
    </row>
    <row r="752" ht="165" hidden="1">
      <c r="A752" s="217"/>
      <c r="B752" s="217">
        <v>1080</v>
      </c>
      <c r="C752" s="217"/>
      <c r="D752" s="217" t="s">
        <v>17167</v>
      </c>
      <c r="E752" s="471" t="s">
        <v>20672</v>
      </c>
      <c r="F752" s="482">
        <v>106094</v>
      </c>
      <c r="G752" s="488" t="s">
        <v>1945</v>
      </c>
      <c r="H752" s="482" t="s">
        <v>1535</v>
      </c>
      <c r="I752" s="483">
        <v>1.506e-003</v>
      </c>
      <c r="J752" s="473">
        <f t="shared" si="881"/>
        <v>346.58999999999997</v>
      </c>
      <c r="K752" s="474">
        <f t="shared" si="891"/>
        <v>0.52196453999999992</v>
      </c>
      <c r="L752" s="475">
        <f t="shared" si="876"/>
        <v>344.99000000000001</v>
      </c>
      <c r="M752" s="474">
        <f t="shared" si="892"/>
        <v>0.51955494000000002</v>
      </c>
      <c r="N752" s="523" t="s">
        <v>21054</v>
      </c>
      <c r="O752" s="434">
        <f t="shared" si="889"/>
        <v>346.58999999999997</v>
      </c>
      <c r="P752" s="435">
        <f t="shared" si="890"/>
        <v>344.99000000000001</v>
      </c>
      <c r="AE752" s="217"/>
      <c r="AF752" s="217">
        <v>1080</v>
      </c>
      <c r="AH752">
        <f t="shared" si="886"/>
        <v>1080</v>
      </c>
    </row>
    <row r="753" ht="75" hidden="1">
      <c r="A753" s="217"/>
      <c r="B753" s="217">
        <v>1080</v>
      </c>
      <c r="C753" s="217"/>
      <c r="D753" s="217" t="s">
        <v>17167</v>
      </c>
      <c r="E753" s="471" t="s">
        <v>20673</v>
      </c>
      <c r="F753" s="482">
        <v>5940</v>
      </c>
      <c r="G753" s="470" t="s">
        <v>1863</v>
      </c>
      <c r="H753" s="482" t="s">
        <v>1535</v>
      </c>
      <c r="I753" s="483">
        <v>1.3549999999999999e-004</v>
      </c>
      <c r="J753" s="473">
        <f t="shared" si="881"/>
        <v>171.97999999999999</v>
      </c>
      <c r="K753" s="474">
        <f t="shared" si="891"/>
        <v>2.3303289999999997e-002</v>
      </c>
      <c r="L753" s="475">
        <f t="shared" si="876"/>
        <v>170.09</v>
      </c>
      <c r="M753" s="474">
        <f t="shared" si="892"/>
        <v>2.3047194999999999e-002</v>
      </c>
      <c r="O753" s="434">
        <f t="shared" si="889"/>
        <v>171.97999999999999</v>
      </c>
      <c r="P753" s="435">
        <f t="shared" si="890"/>
        <v>170.09</v>
      </c>
      <c r="AE753" s="217"/>
      <c r="AF753" s="217">
        <v>1080</v>
      </c>
      <c r="AH753">
        <f t="shared" si="886"/>
        <v>1080</v>
      </c>
    </row>
    <row r="754" ht="75" hidden="1">
      <c r="A754" s="217"/>
      <c r="B754" s="217">
        <v>1080</v>
      </c>
      <c r="C754" s="217"/>
      <c r="D754" s="217" t="s">
        <v>17167</v>
      </c>
      <c r="E754" s="471" t="s">
        <v>20675</v>
      </c>
      <c r="F754" s="482">
        <v>5942</v>
      </c>
      <c r="G754" s="470" t="s">
        <v>1862</v>
      </c>
      <c r="H754" s="482" t="s">
        <v>1533</v>
      </c>
      <c r="I754" s="483">
        <v>1.3703999999999999e-003</v>
      </c>
      <c r="J754" s="473">
        <f t="shared" si="881"/>
        <v>75.659999999999997</v>
      </c>
      <c r="K754" s="474">
        <f t="shared" si="891"/>
        <v>0.10368446399999999</v>
      </c>
      <c r="L754" s="475">
        <f t="shared" si="876"/>
        <v>73.769999999999996</v>
      </c>
      <c r="M754" s="474">
        <f t="shared" si="892"/>
        <v>0.10109440799999998</v>
      </c>
      <c r="O754" s="434">
        <f t="shared" si="889"/>
        <v>75.659999999999997</v>
      </c>
      <c r="P754" s="435">
        <f t="shared" si="890"/>
        <v>73.769999999999996</v>
      </c>
      <c r="AE754" s="217"/>
      <c r="AF754" s="217">
        <v>1080</v>
      </c>
      <c r="AH754">
        <f t="shared" si="886"/>
        <v>1080</v>
      </c>
    </row>
    <row r="755" ht="45" hidden="1">
      <c r="A755" s="217"/>
      <c r="B755" s="217">
        <v>1080</v>
      </c>
      <c r="C755" s="217"/>
      <c r="D755" s="217" t="s">
        <v>17167</v>
      </c>
      <c r="E755" s="471" t="s">
        <v>20677</v>
      </c>
      <c r="F755" s="482">
        <v>7030</v>
      </c>
      <c r="G755" s="470" t="s">
        <v>21055</v>
      </c>
      <c r="H755" s="482" t="s">
        <v>1535</v>
      </c>
      <c r="I755" s="483">
        <v>1.506e-003</v>
      </c>
      <c r="J755" s="473">
        <f t="shared" si="881"/>
        <v>303.69999999999999</v>
      </c>
      <c r="K755" s="474">
        <f t="shared" si="891"/>
        <v>0.45737219999999995</v>
      </c>
      <c r="L755" s="475">
        <f t="shared" si="876"/>
        <v>303.69999999999999</v>
      </c>
      <c r="M755" s="474">
        <f t="shared" si="892"/>
        <v>0.45737219999999995</v>
      </c>
      <c r="O755" s="434">
        <f t="shared" si="889"/>
        <v>303.69999999999999</v>
      </c>
      <c r="P755" s="435">
        <f t="shared" si="890"/>
        <v>303.69999999999999</v>
      </c>
      <c r="AE755" s="217"/>
      <c r="AF755" s="217">
        <v>1080</v>
      </c>
      <c r="AH755">
        <f t="shared" si="886"/>
        <v>1080</v>
      </c>
    </row>
    <row r="756" ht="30" hidden="1">
      <c r="A756" s="217"/>
      <c r="B756" s="217">
        <v>1080</v>
      </c>
      <c r="C756" s="217"/>
      <c r="D756" s="217" t="s">
        <v>17167</v>
      </c>
      <c r="E756" s="471" t="s">
        <v>20679</v>
      </c>
      <c r="F756" s="482">
        <v>88316</v>
      </c>
      <c r="G756" s="470" t="s">
        <v>7393</v>
      </c>
      <c r="H756" s="482" t="s">
        <v>2032</v>
      </c>
      <c r="I756" s="483">
        <v>1.5060199999999999e-002</v>
      </c>
      <c r="J756" s="473">
        <f t="shared" si="881"/>
        <v>22.760000000000002</v>
      </c>
      <c r="K756" s="474">
        <f t="shared" si="891"/>
        <v>0.34277015199999999</v>
      </c>
      <c r="L756" s="475">
        <f t="shared" si="876"/>
        <v>21.550000000000001</v>
      </c>
      <c r="M756" s="474">
        <f t="shared" si="892"/>
        <v>0.32454730999999998</v>
      </c>
      <c r="O756" s="434">
        <f t="shared" si="889"/>
        <v>22.760000000000002</v>
      </c>
      <c r="P756" s="435">
        <f t="shared" si="890"/>
        <v>21.550000000000001</v>
      </c>
      <c r="AE756" s="217"/>
      <c r="AF756" s="217">
        <v>1080</v>
      </c>
      <c r="AH756">
        <f t="shared" si="886"/>
        <v>1080</v>
      </c>
    </row>
    <row r="757" ht="30" hidden="1">
      <c r="A757" s="217"/>
      <c r="B757" s="217">
        <v>1080</v>
      </c>
      <c r="C757" s="217"/>
      <c r="D757" s="217" t="s">
        <v>17167</v>
      </c>
      <c r="E757" s="471" t="s">
        <v>20681</v>
      </c>
      <c r="F757" s="482">
        <v>90776</v>
      </c>
      <c r="G757" s="470" t="s">
        <v>7322</v>
      </c>
      <c r="H757" s="482" t="s">
        <v>2032</v>
      </c>
      <c r="I757" s="483">
        <v>1.506e-003</v>
      </c>
      <c r="J757" s="473">
        <f t="shared" si="881"/>
        <v>35.469999999999999</v>
      </c>
      <c r="K757" s="474">
        <f t="shared" si="891"/>
        <v>5.3417819999999998e-002</v>
      </c>
      <c r="L757" s="475">
        <f t="shared" si="876"/>
        <v>33.259999999999998</v>
      </c>
      <c r="M757" s="474">
        <f t="shared" si="892"/>
        <v>5.0089559999999998e-002</v>
      </c>
      <c r="O757" s="434">
        <f t="shared" si="889"/>
        <v>35.469999999999999</v>
      </c>
      <c r="P757" s="435">
        <f t="shared" si="890"/>
        <v>33.259999999999998</v>
      </c>
      <c r="AE757" s="217"/>
      <c r="AF757" s="217">
        <v>1080</v>
      </c>
      <c r="AH757">
        <f t="shared" si="886"/>
        <v>1080</v>
      </c>
    </row>
    <row r="758" ht="105" hidden="1">
      <c r="A758" s="217"/>
      <c r="B758" s="217">
        <v>1080</v>
      </c>
      <c r="C758" s="217"/>
      <c r="D758" s="217" t="s">
        <v>17167</v>
      </c>
      <c r="E758" s="471" t="s">
        <v>20683</v>
      </c>
      <c r="F758" s="482">
        <v>92242</v>
      </c>
      <c r="G758" s="470" t="s">
        <v>1587</v>
      </c>
      <c r="H758" s="482" t="s">
        <v>1535</v>
      </c>
      <c r="I758" s="483">
        <v>2.5599999999999999e-004</v>
      </c>
      <c r="J758" s="473">
        <f t="shared" si="881"/>
        <v>444.67000000000002</v>
      </c>
      <c r="K758" s="474">
        <f t="shared" si="891"/>
        <v>0.11383552</v>
      </c>
      <c r="L758" s="475">
        <f t="shared" si="876"/>
        <v>442.68000000000001</v>
      </c>
      <c r="M758" s="474">
        <f t="shared" si="892"/>
        <v>0.11332608</v>
      </c>
      <c r="O758" s="434">
        <f t="shared" si="889"/>
        <v>444.67000000000002</v>
      </c>
      <c r="P758" s="435">
        <f t="shared" si="890"/>
        <v>442.68000000000001</v>
      </c>
      <c r="AE758" s="217"/>
      <c r="AF758" s="217">
        <v>1080</v>
      </c>
      <c r="AH758">
        <f t="shared" si="886"/>
        <v>1080</v>
      </c>
    </row>
    <row r="759" ht="105" hidden="1">
      <c r="A759" s="217"/>
      <c r="B759" s="217">
        <v>1080</v>
      </c>
      <c r="C759" s="217"/>
      <c r="D759" s="217" t="s">
        <v>17167</v>
      </c>
      <c r="E759" s="471" t="s">
        <v>20685</v>
      </c>
      <c r="F759" s="482">
        <v>92243</v>
      </c>
      <c r="G759" s="470" t="s">
        <v>1586</v>
      </c>
      <c r="H759" s="482" t="s">
        <v>1533</v>
      </c>
      <c r="I759" s="483">
        <v>1.25e-003</v>
      </c>
      <c r="J759" s="473">
        <f t="shared" si="881"/>
        <v>78.340000000000003</v>
      </c>
      <c r="K759" s="474">
        <f t="shared" si="891"/>
        <v>9.7925000000000012e-002</v>
      </c>
      <c r="L759" s="475">
        <f t="shared" si="876"/>
        <v>76.349999999999994</v>
      </c>
      <c r="M759" s="474">
        <f t="shared" si="892"/>
        <v>9.5437499999999995e-002</v>
      </c>
      <c r="O759" s="434">
        <f t="shared" si="889"/>
        <v>78.340000000000003</v>
      </c>
      <c r="P759" s="435">
        <f t="shared" si="890"/>
        <v>76.349999999999994</v>
      </c>
      <c r="AE759" s="217"/>
      <c r="AF759" s="217">
        <v>1080</v>
      </c>
      <c r="AH759">
        <f t="shared" si="886"/>
        <v>1080</v>
      </c>
    </row>
    <row r="760" ht="63" hidden="1">
      <c r="A760" s="460">
        <v>1081</v>
      </c>
      <c r="B760" s="460">
        <v>1081</v>
      </c>
      <c r="C760" s="460"/>
      <c r="D760" s="460"/>
      <c r="E760" s="461">
        <v>1</v>
      </c>
      <c r="F760" s="462" t="s">
        <v>21056</v>
      </c>
      <c r="G760" s="477" t="s">
        <v>21057</v>
      </c>
      <c r="H760" s="478" t="s">
        <v>31</v>
      </c>
      <c r="I760" s="479"/>
      <c r="J760" s="480"/>
      <c r="K760" s="466">
        <f>SUM(K761:K768)</f>
        <v>86.387129267999995</v>
      </c>
      <c r="L760" s="480"/>
      <c r="M760" s="466">
        <f>SUM(M761:M768)</f>
        <v>85.950843868999996</v>
      </c>
      <c r="O760" s="434" t="str">
        <f t="shared" si="889"/>
        <v xml:space="preserve">SEM VALOR</v>
      </c>
      <c r="P760" s="435" t="str">
        <f t="shared" si="890"/>
        <v xml:space="preserve">SEM VALOR</v>
      </c>
      <c r="AE760" s="460">
        <v>1081</v>
      </c>
      <c r="AF760" s="460">
        <v>1081</v>
      </c>
      <c r="AH760">
        <f t="shared" si="886"/>
        <v>1081</v>
      </c>
    </row>
    <row r="761" ht="45" hidden="1">
      <c r="A761" s="217"/>
      <c r="B761" s="217">
        <v>1081</v>
      </c>
      <c r="C761" s="217"/>
      <c r="D761" s="217" t="s">
        <v>17167</v>
      </c>
      <c r="E761" s="471" t="s">
        <v>20399</v>
      </c>
      <c r="F761" s="486">
        <v>5894</v>
      </c>
      <c r="G761" s="470" t="s">
        <v>21058</v>
      </c>
      <c r="H761" s="482" t="s">
        <v>1535</v>
      </c>
      <c r="I761" s="483">
        <v>2.85714e-002</v>
      </c>
      <c r="J761" s="473">
        <f t="shared" si="881"/>
        <v>229.09</v>
      </c>
      <c r="K761" s="474">
        <f t="shared" ref="K761:K768" si="893">I761*J761</f>
        <v>6.5454220259999998</v>
      </c>
      <c r="L761" s="473">
        <f t="shared" si="876"/>
        <v>227.49000000000001</v>
      </c>
      <c r="M761" s="474">
        <f t="shared" ref="M761:M768" si="894">L761*I761</f>
        <v>6.4997077860000001</v>
      </c>
      <c r="O761" s="434">
        <f t="shared" si="889"/>
        <v>229.09</v>
      </c>
      <c r="P761" s="435">
        <f t="shared" si="890"/>
        <v>227.49000000000001</v>
      </c>
      <c r="AE761" s="217"/>
      <c r="AF761" s="217">
        <v>1081</v>
      </c>
      <c r="AH761">
        <f t="shared" si="886"/>
        <v>1081</v>
      </c>
    </row>
    <row r="762" ht="30" hidden="1">
      <c r="A762" s="217"/>
      <c r="B762" s="217">
        <v>1081</v>
      </c>
      <c r="C762" s="217"/>
      <c r="D762" s="217" t="s">
        <v>20644</v>
      </c>
      <c r="E762" s="468" t="s">
        <v>20402</v>
      </c>
      <c r="F762" s="524" t="s">
        <v>15476</v>
      </c>
      <c r="G762" s="525" t="s">
        <v>21059</v>
      </c>
      <c r="H762" s="524" t="s">
        <v>302</v>
      </c>
      <c r="I762" s="472">
        <v>0.20000000000000001</v>
      </c>
      <c r="J762" s="473">
        <f t="shared" si="881"/>
        <v>28.91</v>
      </c>
      <c r="K762" s="474">
        <f t="shared" si="893"/>
        <v>5.782</v>
      </c>
      <c r="L762" s="473">
        <f t="shared" si="876"/>
        <v>28.91</v>
      </c>
      <c r="M762" s="474">
        <f t="shared" si="894"/>
        <v>5.782</v>
      </c>
      <c r="O762" s="434">
        <f t="shared" si="889"/>
        <v>28.91</v>
      </c>
      <c r="P762" s="435">
        <f t="shared" si="890"/>
        <v>28.91</v>
      </c>
      <c r="AE762" s="217"/>
      <c r="AF762" s="217">
        <v>1081</v>
      </c>
      <c r="AH762">
        <f t="shared" si="886"/>
        <v>1081</v>
      </c>
    </row>
    <row r="763" ht="30" hidden="1">
      <c r="A763" s="217"/>
      <c r="B763" s="217">
        <v>1081</v>
      </c>
      <c r="C763" s="217"/>
      <c r="D763" s="217" t="s">
        <v>17167</v>
      </c>
      <c r="E763" s="468" t="s">
        <v>20405</v>
      </c>
      <c r="F763" s="526">
        <v>90776</v>
      </c>
      <c r="G763" s="525" t="s">
        <v>7322</v>
      </c>
      <c r="H763" s="524" t="s">
        <v>2032</v>
      </c>
      <c r="I763" s="472">
        <v>2.85714e-002</v>
      </c>
      <c r="J763" s="473">
        <f t="shared" si="881"/>
        <v>35.469999999999999</v>
      </c>
      <c r="K763" s="474">
        <f t="shared" si="893"/>
        <v>1.0134275580000001</v>
      </c>
      <c r="L763" s="473">
        <f t="shared" si="876"/>
        <v>33.259999999999998</v>
      </c>
      <c r="M763" s="474">
        <f t="shared" si="894"/>
        <v>0.95028476399999995</v>
      </c>
      <c r="O763" s="434">
        <f t="shared" si="889"/>
        <v>35.469999999999999</v>
      </c>
      <c r="P763" s="435">
        <f t="shared" si="890"/>
        <v>33.259999999999998</v>
      </c>
      <c r="AE763" s="217"/>
      <c r="AF763" s="217">
        <v>1081</v>
      </c>
      <c r="AH763">
        <f t="shared" si="886"/>
        <v>1081</v>
      </c>
    </row>
    <row r="764" ht="30" hidden="1">
      <c r="A764" s="217"/>
      <c r="B764" s="217">
        <v>1081</v>
      </c>
      <c r="C764" s="217"/>
      <c r="D764" s="217" t="s">
        <v>17167</v>
      </c>
      <c r="E764" s="468" t="s">
        <v>20409</v>
      </c>
      <c r="F764" s="526">
        <v>93421</v>
      </c>
      <c r="G764" s="525" t="s">
        <v>21060</v>
      </c>
      <c r="H764" s="524" t="s">
        <v>1535</v>
      </c>
      <c r="I764" s="472">
        <v>2.85714e-002</v>
      </c>
      <c r="J764" s="473">
        <f t="shared" si="881"/>
        <v>86.900000000000006</v>
      </c>
      <c r="K764" s="474">
        <f t="shared" si="893"/>
        <v>2.4828546600000001</v>
      </c>
      <c r="L764" s="473">
        <f t="shared" si="876"/>
        <v>86.900000000000006</v>
      </c>
      <c r="M764" s="474">
        <f t="shared" si="894"/>
        <v>2.4828546600000001</v>
      </c>
      <c r="O764" s="434">
        <f t="shared" si="889"/>
        <v>86.900000000000006</v>
      </c>
      <c r="P764" s="435">
        <f t="shared" si="890"/>
        <v>86.900000000000006</v>
      </c>
      <c r="AE764" s="217"/>
      <c r="AF764" s="217">
        <v>1081</v>
      </c>
      <c r="AH764">
        <f t="shared" si="886"/>
        <v>1081</v>
      </c>
    </row>
    <row r="765" ht="60" hidden="1">
      <c r="A765" s="217"/>
      <c r="B765" s="217">
        <v>1081</v>
      </c>
      <c r="C765" s="217"/>
      <c r="D765" s="217" t="s">
        <v>17167</v>
      </c>
      <c r="E765" s="468" t="s">
        <v>20464</v>
      </c>
      <c r="F765" s="526">
        <v>5795</v>
      </c>
      <c r="G765" s="525" t="s">
        <v>21061</v>
      </c>
      <c r="H765" s="524" t="s">
        <v>1535</v>
      </c>
      <c r="I765" s="472">
        <v>5.7142800000000001e-002</v>
      </c>
      <c r="J765" s="473">
        <f t="shared" si="881"/>
        <v>28.030000000000001</v>
      </c>
      <c r="K765" s="474">
        <f t="shared" si="893"/>
        <v>1.601712684</v>
      </c>
      <c r="L765" s="473">
        <f t="shared" si="876"/>
        <v>26.440000000000001</v>
      </c>
      <c r="M765" s="474">
        <f t="shared" si="894"/>
        <v>1.5108556320000002</v>
      </c>
      <c r="O765" s="434">
        <f t="shared" si="889"/>
        <v>28.030000000000001</v>
      </c>
      <c r="P765" s="435">
        <f t="shared" si="890"/>
        <v>26.440000000000001</v>
      </c>
      <c r="AE765" s="217"/>
      <c r="AF765" s="217">
        <v>1081</v>
      </c>
      <c r="AH765">
        <f t="shared" si="886"/>
        <v>1081</v>
      </c>
    </row>
    <row r="766" ht="45" hidden="1">
      <c r="A766" s="217"/>
      <c r="B766" s="217">
        <v>1081</v>
      </c>
      <c r="C766" s="217"/>
      <c r="D766" s="217" t="s">
        <v>17167</v>
      </c>
      <c r="E766" s="468" t="s">
        <v>20665</v>
      </c>
      <c r="F766" s="526">
        <v>88277</v>
      </c>
      <c r="G766" s="525" t="s">
        <v>7341</v>
      </c>
      <c r="H766" s="524" t="s">
        <v>2032</v>
      </c>
      <c r="I766" s="472">
        <v>5.7142800000000001e-002</v>
      </c>
      <c r="J766" s="473">
        <f t="shared" si="881"/>
        <v>28.359999999999999</v>
      </c>
      <c r="K766" s="474">
        <f t="shared" si="893"/>
        <v>1.6205698079999999</v>
      </c>
      <c r="L766" s="473">
        <f t="shared" si="876"/>
        <v>26.640000000000001</v>
      </c>
      <c r="M766" s="474">
        <f t="shared" si="894"/>
        <v>1.5222841920000001</v>
      </c>
      <c r="O766" s="434">
        <f t="shared" si="889"/>
        <v>28.359999999999999</v>
      </c>
      <c r="P766" s="435">
        <f t="shared" si="890"/>
        <v>26.640000000000001</v>
      </c>
      <c r="AE766" s="217"/>
      <c r="AF766" s="217">
        <v>1081</v>
      </c>
      <c r="AH766">
        <f t="shared" si="886"/>
        <v>1081</v>
      </c>
    </row>
    <row r="767" ht="30" hidden="1">
      <c r="A767" s="217"/>
      <c r="B767" s="217">
        <v>1081</v>
      </c>
      <c r="C767" s="217"/>
      <c r="D767" s="217" t="s">
        <v>17167</v>
      </c>
      <c r="E767" s="468" t="s">
        <v>20667</v>
      </c>
      <c r="F767" s="526">
        <v>88316</v>
      </c>
      <c r="G767" s="525" t="s">
        <v>7393</v>
      </c>
      <c r="H767" s="524" t="s">
        <v>2032</v>
      </c>
      <c r="I767" s="472">
        <v>0.1142857</v>
      </c>
      <c r="J767" s="473">
        <f t="shared" si="881"/>
        <v>22.760000000000002</v>
      </c>
      <c r="K767" s="474">
        <f t="shared" si="893"/>
        <v>2.6011425320000003</v>
      </c>
      <c r="L767" s="473">
        <f t="shared" si="876"/>
        <v>21.550000000000001</v>
      </c>
      <c r="M767" s="474">
        <f t="shared" si="894"/>
        <v>2.4628568350000002</v>
      </c>
      <c r="O767" s="434">
        <f t="shared" si="889"/>
        <v>22.760000000000002</v>
      </c>
      <c r="P767" s="435">
        <f t="shared" si="890"/>
        <v>21.550000000000001</v>
      </c>
      <c r="AE767" s="217"/>
      <c r="AF767" s="217">
        <v>1081</v>
      </c>
      <c r="AH767">
        <f t="shared" si="886"/>
        <v>1081</v>
      </c>
    </row>
    <row r="768" ht="30" hidden="1">
      <c r="A768" s="217"/>
      <c r="B768" s="217">
        <v>1081</v>
      </c>
      <c r="C768" s="217"/>
      <c r="D768" s="217" t="s">
        <v>20644</v>
      </c>
      <c r="E768" s="468" t="s">
        <v>20671</v>
      </c>
      <c r="F768" s="524" t="s">
        <v>15480</v>
      </c>
      <c r="G768" s="525" t="s">
        <v>21062</v>
      </c>
      <c r="H768" s="524" t="s">
        <v>31</v>
      </c>
      <c r="I768" s="472">
        <v>1</v>
      </c>
      <c r="J768" s="473">
        <f t="shared" si="881"/>
        <v>64.739999999999995</v>
      </c>
      <c r="K768" s="474">
        <f t="shared" si="893"/>
        <v>64.739999999999995</v>
      </c>
      <c r="L768" s="473">
        <f t="shared" si="876"/>
        <v>64.739999999999995</v>
      </c>
      <c r="M768" s="474">
        <f t="shared" si="894"/>
        <v>64.739999999999995</v>
      </c>
      <c r="O768" s="434">
        <f t="shared" si="889"/>
        <v>64.739999999999995</v>
      </c>
      <c r="P768" s="435">
        <f t="shared" si="890"/>
        <v>64.739999999999995</v>
      </c>
      <c r="AE768" s="217"/>
      <c r="AF768" s="217">
        <v>1081</v>
      </c>
      <c r="AH768">
        <f t="shared" si="886"/>
        <v>1081</v>
      </c>
    </row>
    <row r="769" ht="51.75" hidden="1" customHeight="1">
      <c r="A769" s="217"/>
      <c r="B769" s="217">
        <v>1081</v>
      </c>
      <c r="C769" s="217"/>
      <c r="D769" s="217"/>
      <c r="E769" s="468"/>
      <c r="F769" s="526"/>
      <c r="G769" s="470" t="s">
        <v>21063</v>
      </c>
      <c r="H769" s="524"/>
      <c r="I769" s="527"/>
      <c r="J769" s="473"/>
      <c r="K769" s="528"/>
      <c r="L769" s="473"/>
      <c r="M769" s="528"/>
      <c r="O769" s="434" t="str">
        <f t="shared" si="889"/>
        <v xml:space="preserve">SEM VALOR</v>
      </c>
      <c r="P769" s="435" t="str">
        <f t="shared" si="890"/>
        <v xml:space="preserve">SEM VALOR</v>
      </c>
      <c r="AE769" s="217"/>
      <c r="AF769" s="217">
        <v>1081</v>
      </c>
      <c r="AH769">
        <f t="shared" si="886"/>
        <v>1081</v>
      </c>
    </row>
    <row r="770" hidden="1">
      <c r="A770" s="217"/>
      <c r="B770" s="217">
        <v>1081</v>
      </c>
      <c r="C770" s="217"/>
      <c r="D770" s="217"/>
      <c r="E770" s="468"/>
      <c r="F770" s="526"/>
      <c r="G770" s="470" t="s">
        <v>21064</v>
      </c>
      <c r="H770" s="524"/>
      <c r="I770" s="527"/>
      <c r="J770" s="529"/>
      <c r="K770" s="528"/>
      <c r="L770" s="529"/>
      <c r="M770" s="528"/>
      <c r="O770" s="434" t="str">
        <f t="shared" si="889"/>
        <v xml:space="preserve">SEM VALOR</v>
      </c>
      <c r="P770" s="435" t="str">
        <f t="shared" si="890"/>
        <v xml:space="preserve">SEM VALOR</v>
      </c>
      <c r="AE770" s="217"/>
      <c r="AF770" s="217">
        <v>1081</v>
      </c>
      <c r="AH770">
        <f t="shared" si="886"/>
        <v>1081</v>
      </c>
    </row>
    <row r="771" ht="63">
      <c r="A771" s="460">
        <v>1082</v>
      </c>
      <c r="B771" s="460">
        <v>1082</v>
      </c>
      <c r="C771" s="460"/>
      <c r="D771" s="460"/>
      <c r="E771" s="461">
        <v>1</v>
      </c>
      <c r="F771" s="462" t="s">
        <v>21065</v>
      </c>
      <c r="G771" s="477" t="s">
        <v>21066</v>
      </c>
      <c r="H771" s="478" t="s">
        <v>15515</v>
      </c>
      <c r="I771" s="479"/>
      <c r="J771" s="480"/>
      <c r="K771" s="466">
        <f>SUM(K772:K778)</f>
        <v>14.290563038</v>
      </c>
      <c r="L771" s="480"/>
      <c r="M771" s="466">
        <f>SUM(M772:M778)</f>
        <v>14.256610414999999</v>
      </c>
      <c r="N771" s="467" t="s">
        <v>21067</v>
      </c>
      <c r="O771" s="434" t="str">
        <f t="shared" si="889"/>
        <v xml:space="preserve">SEM VALOR</v>
      </c>
      <c r="P771" s="435" t="str">
        <f t="shared" si="890"/>
        <v xml:space="preserve">SEM VALOR</v>
      </c>
      <c r="AE771" s="460">
        <v>1082</v>
      </c>
      <c r="AF771" s="460"/>
      <c r="AH771">
        <f t="shared" si="886"/>
        <v>1082</v>
      </c>
    </row>
    <row r="772" ht="75">
      <c r="A772" s="217"/>
      <c r="B772" s="217">
        <v>1082</v>
      </c>
      <c r="C772" s="217"/>
      <c r="D772" s="217" t="s">
        <v>17167</v>
      </c>
      <c r="E772" s="471" t="s">
        <v>20399</v>
      </c>
      <c r="F772" s="482">
        <v>5940</v>
      </c>
      <c r="G772" s="470" t="s">
        <v>1863</v>
      </c>
      <c r="H772" s="482" t="s">
        <v>1535</v>
      </c>
      <c r="I772" s="483">
        <f t="shared" ref="I772:I773" si="895">1/$N$773</f>
        <v>2.8689999999999998e-004</v>
      </c>
      <c r="J772" s="473">
        <f t="shared" si="881"/>
        <v>171.97999999999999</v>
      </c>
      <c r="K772" s="474">
        <f t="shared" ref="K772:K778" si="896">I772*J772</f>
        <v>4.9341061999999991e-002</v>
      </c>
      <c r="L772" s="475">
        <f t="shared" si="876"/>
        <v>170.09</v>
      </c>
      <c r="M772" s="474">
        <f t="shared" ref="M772:M778" si="897">L772*I772</f>
        <v>4.8798820999999999e-002</v>
      </c>
      <c r="N772" s="467" t="s">
        <v>20935</v>
      </c>
      <c r="O772" s="434">
        <f t="shared" si="889"/>
        <v>171.97999999999999</v>
      </c>
      <c r="P772" s="435">
        <f t="shared" si="890"/>
        <v>170.09</v>
      </c>
      <c r="AE772" s="217"/>
      <c r="AF772" s="217">
        <v>1082</v>
      </c>
      <c r="AH772">
        <f t="shared" si="886"/>
        <v>1082</v>
      </c>
    </row>
    <row r="773" ht="90">
      <c r="A773" s="217"/>
      <c r="B773" s="217">
        <v>1082</v>
      </c>
      <c r="C773" s="217"/>
      <c r="D773" s="217" t="s">
        <v>17167</v>
      </c>
      <c r="E773" s="471" t="s">
        <v>20402</v>
      </c>
      <c r="F773" s="482">
        <v>6879</v>
      </c>
      <c r="G773" s="470" t="s">
        <v>1877</v>
      </c>
      <c r="H773" s="482" t="s">
        <v>1535</v>
      </c>
      <c r="I773" s="483">
        <f t="shared" si="895"/>
        <v>2.8689999999999998e-004</v>
      </c>
      <c r="J773" s="473">
        <f t="shared" si="881"/>
        <v>212.56</v>
      </c>
      <c r="K773" s="474">
        <f t="shared" si="896"/>
        <v>6.0983463999999994e-002</v>
      </c>
      <c r="L773" s="475">
        <f t="shared" si="876"/>
        <v>210.86000000000001</v>
      </c>
      <c r="M773" s="474">
        <f t="shared" si="897"/>
        <v>6.0495734000000002e-002</v>
      </c>
      <c r="N773" s="467">
        <v>3486</v>
      </c>
      <c r="O773" s="434">
        <f t="shared" si="889"/>
        <v>212.56</v>
      </c>
      <c r="P773" s="435">
        <f t="shared" si="890"/>
        <v>210.86000000000001</v>
      </c>
      <c r="AE773" s="217"/>
      <c r="AF773" s="217">
        <v>1082</v>
      </c>
      <c r="AH773">
        <f t="shared" si="886"/>
        <v>1082</v>
      </c>
    </row>
    <row r="774" ht="120">
      <c r="A774" s="217"/>
      <c r="B774" s="217">
        <v>1082</v>
      </c>
      <c r="C774" s="217"/>
      <c r="D774" s="217" t="s">
        <v>17167</v>
      </c>
      <c r="E774" s="471" t="s">
        <v>20405</v>
      </c>
      <c r="F774" s="482">
        <v>83362</v>
      </c>
      <c r="G774" s="470" t="s">
        <v>20922</v>
      </c>
      <c r="H774" s="482" t="s">
        <v>1535</v>
      </c>
      <c r="I774" s="483">
        <f>0.0001*2</f>
        <v>2.0000000000000001e-004</v>
      </c>
      <c r="J774" s="473">
        <f t="shared" si="881"/>
        <v>290.72000000000003</v>
      </c>
      <c r="K774" s="474">
        <f t="shared" si="896"/>
        <v>5.8144000000000008e-002</v>
      </c>
      <c r="L774" s="475">
        <f t="shared" si="876"/>
        <v>289.12</v>
      </c>
      <c r="M774" s="474">
        <f t="shared" si="897"/>
        <v>5.7824e-002</v>
      </c>
      <c r="N774" s="467" t="s">
        <v>21068</v>
      </c>
      <c r="O774" s="434">
        <f t="shared" si="889"/>
        <v>290.72000000000003</v>
      </c>
      <c r="P774" s="435">
        <f t="shared" si="890"/>
        <v>289.12</v>
      </c>
      <c r="AE774" s="217"/>
      <c r="AF774" s="217">
        <v>1082</v>
      </c>
      <c r="AH774">
        <f t="shared" si="886"/>
        <v>1082</v>
      </c>
    </row>
    <row r="775" ht="120">
      <c r="A775" s="217"/>
      <c r="B775" s="217">
        <v>1082</v>
      </c>
      <c r="C775" s="217"/>
      <c r="D775" s="217" t="s">
        <v>17167</v>
      </c>
      <c r="E775" s="471" t="s">
        <v>20409</v>
      </c>
      <c r="F775" s="482">
        <v>91486</v>
      </c>
      <c r="G775" s="470" t="s">
        <v>20923</v>
      </c>
      <c r="H775" s="482" t="s">
        <v>1533</v>
      </c>
      <c r="I775" s="483">
        <f>0.005*2</f>
        <v>1.e-002</v>
      </c>
      <c r="J775" s="473">
        <f t="shared" si="881"/>
        <v>69.299999999999997</v>
      </c>
      <c r="K775" s="474">
        <f t="shared" si="896"/>
        <v>0.69299999999999995</v>
      </c>
      <c r="L775" s="475">
        <f t="shared" si="876"/>
        <v>67.700000000000003</v>
      </c>
      <c r="M775" s="474">
        <f t="shared" si="897"/>
        <v>0.67700000000000005</v>
      </c>
      <c r="N775" s="467" t="s">
        <v>21068</v>
      </c>
      <c r="O775" s="434">
        <f t="shared" si="889"/>
        <v>69.299999999999997</v>
      </c>
      <c r="P775" s="435">
        <f t="shared" si="890"/>
        <v>67.700000000000003</v>
      </c>
      <c r="AE775" s="217"/>
      <c r="AF775" s="217">
        <v>1082</v>
      </c>
      <c r="AH775">
        <f t="shared" si="886"/>
        <v>1082</v>
      </c>
    </row>
    <row r="776" ht="30">
      <c r="A776" s="217"/>
      <c r="B776" s="217">
        <v>1082</v>
      </c>
      <c r="C776" s="217"/>
      <c r="D776" s="217" t="s">
        <v>17167</v>
      </c>
      <c r="E776" s="471" t="s">
        <v>20663</v>
      </c>
      <c r="F776" s="482">
        <v>88316</v>
      </c>
      <c r="G776" s="470" t="s">
        <v>7393</v>
      </c>
      <c r="H776" s="482" t="s">
        <v>2032</v>
      </c>
      <c r="I776" s="483">
        <f>6/N773+2*0.006</f>
        <v>1.3721199999999999e-002</v>
      </c>
      <c r="J776" s="473">
        <f t="shared" si="881"/>
        <v>22.760000000000002</v>
      </c>
      <c r="K776" s="474">
        <f t="shared" si="896"/>
        <v>0.31229451200000002</v>
      </c>
      <c r="L776" s="475">
        <f t="shared" si="876"/>
        <v>21.550000000000001</v>
      </c>
      <c r="M776" s="474">
        <f t="shared" si="897"/>
        <v>0.29569185999999997</v>
      </c>
      <c r="O776" s="434">
        <f t="shared" si="889"/>
        <v>22.760000000000002</v>
      </c>
      <c r="P776" s="435">
        <f t="shared" si="890"/>
        <v>21.550000000000001</v>
      </c>
      <c r="AE776" s="217"/>
      <c r="AF776" s="217">
        <v>1082</v>
      </c>
      <c r="AH776">
        <f t="shared" si="886"/>
        <v>1082</v>
      </c>
    </row>
    <row r="777" ht="60">
      <c r="A777" s="217"/>
      <c r="B777" s="217">
        <v>1082</v>
      </c>
      <c r="C777" s="217"/>
      <c r="D777" s="217" t="s">
        <v>20408</v>
      </c>
      <c r="E777" s="471" t="s">
        <v>20665</v>
      </c>
      <c r="F777" s="482">
        <v>4011</v>
      </c>
      <c r="G777" s="470" t="s">
        <v>12640</v>
      </c>
      <c r="H777" s="482" t="s">
        <v>29</v>
      </c>
      <c r="I777" s="483">
        <v>1.0800000000000001</v>
      </c>
      <c r="J777" s="473">
        <f t="shared" si="881"/>
        <v>7.96</v>
      </c>
      <c r="K777" s="474">
        <f t="shared" si="896"/>
        <v>8.5968</v>
      </c>
      <c r="L777" s="475">
        <f t="shared" si="876"/>
        <v>7.96</v>
      </c>
      <c r="M777" s="474">
        <f t="shared" si="897"/>
        <v>8.5968</v>
      </c>
      <c r="O777" s="434">
        <f t="shared" si="889"/>
        <v>7.96</v>
      </c>
      <c r="P777" s="435">
        <f t="shared" si="890"/>
        <v>7.96</v>
      </c>
      <c r="AE777" s="217"/>
      <c r="AF777" s="217">
        <v>1082</v>
      </c>
      <c r="AH777">
        <f t="shared" si="886"/>
        <v>1082</v>
      </c>
    </row>
    <row r="778" ht="45">
      <c r="A778" s="217"/>
      <c r="B778" s="217">
        <v>1082</v>
      </c>
      <c r="C778" s="217"/>
      <c r="D778" s="217" t="s">
        <v>20453</v>
      </c>
      <c r="E778" s="471" t="s">
        <v>20667</v>
      </c>
      <c r="F778" s="482" t="s">
        <v>20153</v>
      </c>
      <c r="G778" s="470" t="s">
        <v>20936</v>
      </c>
      <c r="H778" s="482" t="s">
        <v>302</v>
      </c>
      <c r="I778" s="483">
        <v>1</v>
      </c>
      <c r="J778" s="473">
        <f t="shared" si="881"/>
        <v>4.5199999999999996</v>
      </c>
      <c r="K778" s="474">
        <f t="shared" si="896"/>
        <v>4.5199999999999996</v>
      </c>
      <c r="L778" s="475">
        <f t="shared" si="876"/>
        <v>4.5199999999999996</v>
      </c>
      <c r="M778" s="474">
        <f t="shared" si="897"/>
        <v>4.5199999999999996</v>
      </c>
      <c r="O778" s="434">
        <f t="shared" si="889"/>
        <v>4.5199999999999996</v>
      </c>
      <c r="P778" s="435">
        <f t="shared" si="890"/>
        <v>4.5199999999999996</v>
      </c>
      <c r="AE778" s="217"/>
      <c r="AF778" s="217">
        <v>1082</v>
      </c>
      <c r="AH778">
        <f t="shared" si="886"/>
        <v>1082</v>
      </c>
    </row>
    <row r="779" ht="47.25" hidden="1">
      <c r="A779" s="460">
        <v>1083</v>
      </c>
      <c r="B779" s="460">
        <v>1083</v>
      </c>
      <c r="C779" s="460"/>
      <c r="D779" s="460"/>
      <c r="E779" s="461">
        <v>1</v>
      </c>
      <c r="F779" s="462" t="s">
        <v>21069</v>
      </c>
      <c r="G779" s="477" t="s">
        <v>21070</v>
      </c>
      <c r="H779" s="478" t="s">
        <v>15528</v>
      </c>
      <c r="I779" s="479"/>
      <c r="J779" s="480"/>
      <c r="K779" s="466">
        <f>SUM(K780:K797)</f>
        <v>95.860172729400006</v>
      </c>
      <c r="L779" s="480"/>
      <c r="M779" s="466">
        <f>SUM(M780:M797)</f>
        <v>95.341924712800008</v>
      </c>
      <c r="N779" s="467" t="s">
        <v>20862</v>
      </c>
      <c r="O779" s="434" t="str">
        <f t="shared" si="889"/>
        <v xml:space="preserve">SEM VALOR</v>
      </c>
      <c r="P779" s="435" t="str">
        <f t="shared" si="890"/>
        <v xml:space="preserve">SEM VALOR</v>
      </c>
      <c r="AE779" s="460">
        <v>1083</v>
      </c>
      <c r="AF779" s="460"/>
      <c r="AH779">
        <f t="shared" si="886"/>
        <v>1083</v>
      </c>
    </row>
    <row r="780" ht="33.75" hidden="1" customHeight="1">
      <c r="A780" s="217"/>
      <c r="B780" s="217">
        <v>1083</v>
      </c>
      <c r="C780" s="217"/>
      <c r="D780" s="217" t="s">
        <v>20408</v>
      </c>
      <c r="E780" s="471" t="s">
        <v>20399</v>
      </c>
      <c r="F780" s="482">
        <v>4741</v>
      </c>
      <c r="G780" s="488" t="s">
        <v>21071</v>
      </c>
      <c r="H780" s="482" t="s">
        <v>15418</v>
      </c>
      <c r="I780" s="483">
        <v>0.14999999999999999</v>
      </c>
      <c r="J780" s="473">
        <f t="shared" si="881"/>
        <v>94.920000000000002</v>
      </c>
      <c r="K780" s="474">
        <f t="shared" ref="K780:K797" si="898">I780*J780</f>
        <v>14.238</v>
      </c>
      <c r="L780" s="475">
        <f t="shared" ref="L779:L842" si="899">P780*$L$3</f>
        <v>94.920000000000002</v>
      </c>
      <c r="M780" s="474">
        <f t="shared" ref="M780:M797" si="900">L780*I780</f>
        <v>14.238</v>
      </c>
      <c r="N780" s="467" t="s">
        <v>20864</v>
      </c>
      <c r="O780" s="434">
        <f t="shared" si="889"/>
        <v>94.920000000000002</v>
      </c>
      <c r="P780" s="435">
        <f t="shared" si="890"/>
        <v>94.920000000000002</v>
      </c>
      <c r="AE780" s="217"/>
      <c r="AF780" s="217">
        <v>1083</v>
      </c>
      <c r="AH780">
        <f t="shared" si="886"/>
        <v>1083</v>
      </c>
    </row>
    <row r="781" hidden="1">
      <c r="A781" s="217"/>
      <c r="B781" s="217">
        <v>1083</v>
      </c>
      <c r="C781" s="217"/>
      <c r="D781" s="217" t="s">
        <v>20453</v>
      </c>
      <c r="E781" s="471" t="s">
        <v>20402</v>
      </c>
      <c r="F781" s="482" t="s">
        <v>19997</v>
      </c>
      <c r="G781" s="470" t="s">
        <v>20865</v>
      </c>
      <c r="H781" s="482" t="s">
        <v>15364</v>
      </c>
      <c r="I781" s="483">
        <v>9.3439999999999995e-002</v>
      </c>
      <c r="J781" s="473">
        <f t="shared" si="881"/>
        <v>66.5</v>
      </c>
      <c r="K781" s="474">
        <f t="shared" si="898"/>
        <v>6.2137599999999997</v>
      </c>
      <c r="L781" s="475">
        <f t="shared" si="899"/>
        <v>66.5</v>
      </c>
      <c r="M781" s="474">
        <f t="shared" si="900"/>
        <v>6.2137599999999997</v>
      </c>
      <c r="N781" s="467">
        <v>36.939999999999998</v>
      </c>
      <c r="O781" s="434">
        <f t="shared" si="889"/>
        <v>66.5</v>
      </c>
      <c r="P781" s="435">
        <f t="shared" si="890"/>
        <v>66.5</v>
      </c>
      <c r="AE781" s="217"/>
      <c r="AF781" s="217">
        <v>1083</v>
      </c>
      <c r="AH781">
        <f t="shared" si="886"/>
        <v>1083</v>
      </c>
    </row>
    <row r="782" hidden="1">
      <c r="A782" s="217"/>
      <c r="B782" s="217">
        <v>1083</v>
      </c>
      <c r="C782" s="217"/>
      <c r="D782" s="217" t="s">
        <v>20453</v>
      </c>
      <c r="E782" s="471" t="s">
        <v>20405</v>
      </c>
      <c r="F782" s="482" t="s">
        <v>20004</v>
      </c>
      <c r="G782" s="470" t="s">
        <v>20866</v>
      </c>
      <c r="H782" s="482" t="s">
        <v>15364</v>
      </c>
      <c r="I782" s="483">
        <v>4.4999999999999997e-003</v>
      </c>
      <c r="J782" s="473">
        <f t="shared" si="881"/>
        <v>600</v>
      </c>
      <c r="K782" s="474">
        <f t="shared" si="898"/>
        <v>2.6999999999999997</v>
      </c>
      <c r="L782" s="475">
        <f t="shared" si="899"/>
        <v>600</v>
      </c>
      <c r="M782" s="474">
        <f t="shared" si="900"/>
        <v>2.6999999999999997</v>
      </c>
      <c r="O782" s="434">
        <f t="shared" si="889"/>
        <v>600</v>
      </c>
      <c r="P782" s="435">
        <f t="shared" si="890"/>
        <v>600</v>
      </c>
      <c r="AE782" s="217"/>
      <c r="AF782" s="217">
        <v>1083</v>
      </c>
      <c r="AH782">
        <f t="shared" si="886"/>
        <v>1083</v>
      </c>
    </row>
    <row r="783" hidden="1">
      <c r="A783" s="217"/>
      <c r="B783" s="217">
        <v>1083</v>
      </c>
      <c r="C783" s="217"/>
      <c r="D783" s="217" t="s">
        <v>20453</v>
      </c>
      <c r="E783" s="471" t="s">
        <v>20409</v>
      </c>
      <c r="F783" s="482" t="s">
        <v>20007</v>
      </c>
      <c r="G783" s="470" t="s">
        <v>20867</v>
      </c>
      <c r="H783" s="482" t="s">
        <v>15364</v>
      </c>
      <c r="I783" s="483">
        <v>1.6e-002</v>
      </c>
      <c r="J783" s="473">
        <f t="shared" si="881"/>
        <v>257.5</v>
      </c>
      <c r="K783" s="474">
        <f t="shared" si="898"/>
        <v>4.1200000000000001</v>
      </c>
      <c r="L783" s="475">
        <f t="shared" si="899"/>
        <v>257.5</v>
      </c>
      <c r="M783" s="474">
        <f t="shared" si="900"/>
        <v>4.1200000000000001</v>
      </c>
      <c r="O783" s="434">
        <f t="shared" si="889"/>
        <v>257.5</v>
      </c>
      <c r="P783" s="435">
        <f t="shared" si="890"/>
        <v>257.5</v>
      </c>
      <c r="AE783" s="217"/>
      <c r="AF783" s="217">
        <v>1083</v>
      </c>
      <c r="AH783">
        <f t="shared" si="886"/>
        <v>1083</v>
      </c>
    </row>
    <row r="784" hidden="1">
      <c r="A784" s="217"/>
      <c r="B784" s="217">
        <v>1083</v>
      </c>
      <c r="C784" s="217"/>
      <c r="D784" s="217" t="s">
        <v>17167</v>
      </c>
      <c r="E784" s="471" t="s">
        <v>20663</v>
      </c>
      <c r="F784" s="482">
        <v>88316</v>
      </c>
      <c r="G784" s="470" t="s">
        <v>20868</v>
      </c>
      <c r="H784" s="482" t="s">
        <v>15443</v>
      </c>
      <c r="I784" s="483">
        <f>6/$N$781</f>
        <v>0.1624256</v>
      </c>
      <c r="J784" s="473">
        <f t="shared" si="881"/>
        <v>22.760000000000002</v>
      </c>
      <c r="K784" s="474">
        <f t="shared" si="898"/>
        <v>3.6968066560000001</v>
      </c>
      <c r="L784" s="475">
        <f t="shared" si="899"/>
        <v>21.550000000000001</v>
      </c>
      <c r="M784" s="474">
        <f t="shared" si="900"/>
        <v>3.50027168</v>
      </c>
      <c r="O784" s="434">
        <f t="shared" si="889"/>
        <v>22.760000000000002</v>
      </c>
      <c r="P784" s="435">
        <f t="shared" si="890"/>
        <v>21.550000000000001</v>
      </c>
      <c r="AE784" s="217"/>
      <c r="AF784" s="217">
        <v>1083</v>
      </c>
      <c r="AH784">
        <f t="shared" si="886"/>
        <v>1083</v>
      </c>
    </row>
    <row r="785" ht="75" hidden="1">
      <c r="A785" s="217"/>
      <c r="B785" s="217">
        <v>1083</v>
      </c>
      <c r="C785" s="217"/>
      <c r="D785" s="217" t="s">
        <v>17167</v>
      </c>
      <c r="E785" s="471" t="s">
        <v>20665</v>
      </c>
      <c r="F785" s="482">
        <v>5901</v>
      </c>
      <c r="G785" s="470" t="s">
        <v>20871</v>
      </c>
      <c r="H785" s="482" t="s">
        <v>15410</v>
      </c>
      <c r="I785" s="483">
        <f>0.83/$N$781</f>
        <v>2.24689e-002</v>
      </c>
      <c r="J785" s="473">
        <f t="shared" si="881"/>
        <v>346.31999999999999</v>
      </c>
      <c r="K785" s="474">
        <f t="shared" si="898"/>
        <v>7.7814294479999999</v>
      </c>
      <c r="L785" s="475">
        <f t="shared" si="899"/>
        <v>344.72000000000003</v>
      </c>
      <c r="M785" s="474">
        <f t="shared" si="900"/>
        <v>7.7454792080000008</v>
      </c>
      <c r="O785" s="434">
        <f t="shared" si="889"/>
        <v>346.31999999999999</v>
      </c>
      <c r="P785" s="435">
        <f t="shared" si="890"/>
        <v>344.72000000000003</v>
      </c>
      <c r="AE785" s="217"/>
      <c r="AF785" s="217">
        <v>1083</v>
      </c>
      <c r="AH785">
        <f t="shared" si="886"/>
        <v>1083</v>
      </c>
    </row>
    <row r="786" ht="75" hidden="1">
      <c r="A786" s="217"/>
      <c r="B786" s="217">
        <v>1083</v>
      </c>
      <c r="C786" s="217"/>
      <c r="D786" s="217" t="s">
        <v>17167</v>
      </c>
      <c r="E786" s="471" t="s">
        <v>20667</v>
      </c>
      <c r="F786" s="482">
        <v>5903</v>
      </c>
      <c r="G786" s="470" t="s">
        <v>20872</v>
      </c>
      <c r="H786" s="482" t="s">
        <v>15414</v>
      </c>
      <c r="I786" s="483">
        <f>0.17/$N$781</f>
        <v>4.6020999999999996e-003</v>
      </c>
      <c r="J786" s="473">
        <f t="shared" si="881"/>
        <v>73.879999999999995</v>
      </c>
      <c r="K786" s="474">
        <f t="shared" si="898"/>
        <v>0.34000314799999992</v>
      </c>
      <c r="L786" s="475">
        <f t="shared" si="899"/>
        <v>72.280000000000001</v>
      </c>
      <c r="M786" s="474">
        <f t="shared" si="900"/>
        <v>0.33263978799999999</v>
      </c>
      <c r="O786" s="434">
        <f t="shared" si="889"/>
        <v>73.879999999999995</v>
      </c>
      <c r="P786" s="435">
        <f t="shared" si="890"/>
        <v>72.280000000000001</v>
      </c>
      <c r="AE786" s="217"/>
      <c r="AF786" s="217">
        <v>1083</v>
      </c>
      <c r="AH786">
        <f t="shared" si="886"/>
        <v>1083</v>
      </c>
    </row>
    <row r="787" ht="60" hidden="1">
      <c r="A787" s="217"/>
      <c r="B787" s="217">
        <v>1083</v>
      </c>
      <c r="C787" s="217"/>
      <c r="D787" s="217" t="s">
        <v>17167</v>
      </c>
      <c r="E787" s="471" t="s">
        <v>20671</v>
      </c>
      <c r="F787" s="482">
        <v>5932</v>
      </c>
      <c r="G787" s="470" t="s">
        <v>20873</v>
      </c>
      <c r="H787" s="482" t="s">
        <v>15410</v>
      </c>
      <c r="I787" s="483">
        <f>0.53/$N$781</f>
        <v>1.43476e-002</v>
      </c>
      <c r="J787" s="473">
        <f t="shared" si="881"/>
        <v>294.49000000000001</v>
      </c>
      <c r="K787" s="474">
        <f t="shared" si="898"/>
        <v>4.2252247240000003</v>
      </c>
      <c r="L787" s="475">
        <f t="shared" si="899"/>
        <v>291.70999999999998</v>
      </c>
      <c r="M787" s="474">
        <f t="shared" si="900"/>
        <v>4.1853383959999997</v>
      </c>
      <c r="O787" s="434">
        <f t="shared" si="889"/>
        <v>294.49000000000001</v>
      </c>
      <c r="P787" s="435">
        <f t="shared" si="890"/>
        <v>291.70999999999998</v>
      </c>
      <c r="AE787" s="217"/>
      <c r="AF787" s="217">
        <v>1083</v>
      </c>
      <c r="AH787">
        <f t="shared" si="886"/>
        <v>1083</v>
      </c>
    </row>
    <row r="788" ht="60" hidden="1">
      <c r="A788" s="217"/>
      <c r="B788" s="217">
        <v>1083</v>
      </c>
      <c r="C788" s="217"/>
      <c r="D788" s="217" t="s">
        <v>17167</v>
      </c>
      <c r="E788" s="471" t="s">
        <v>20672</v>
      </c>
      <c r="F788" s="482">
        <v>5934</v>
      </c>
      <c r="G788" s="470" t="s">
        <v>20874</v>
      </c>
      <c r="H788" s="482" t="s">
        <v>15414</v>
      </c>
      <c r="I788" s="483">
        <f>0.47/$N$781</f>
        <v>1.27233e-002</v>
      </c>
      <c r="J788" s="473">
        <f t="shared" ref="J788:J851" si="901">O788*$J$3</f>
        <v>114.31</v>
      </c>
      <c r="K788" s="474">
        <f t="shared" si="898"/>
        <v>1.4544004230000001</v>
      </c>
      <c r="L788" s="475">
        <f t="shared" si="899"/>
        <v>111.53</v>
      </c>
      <c r="M788" s="474">
        <f t="shared" si="900"/>
        <v>1.4190296490000001</v>
      </c>
      <c r="O788" s="434">
        <f t="shared" si="889"/>
        <v>114.31</v>
      </c>
      <c r="P788" s="435">
        <f t="shared" si="890"/>
        <v>111.53</v>
      </c>
      <c r="AE788" s="217"/>
      <c r="AF788" s="217">
        <v>1083</v>
      </c>
      <c r="AH788">
        <f t="shared" si="886"/>
        <v>1083</v>
      </c>
    </row>
    <row r="789" ht="45" hidden="1">
      <c r="A789" s="217"/>
      <c r="B789" s="217">
        <v>1083</v>
      </c>
      <c r="C789" s="217"/>
      <c r="D789" s="217" t="s">
        <v>17167</v>
      </c>
      <c r="E789" s="471" t="s">
        <v>20673</v>
      </c>
      <c r="F789" s="482">
        <v>89250</v>
      </c>
      <c r="G789" s="470" t="s">
        <v>20875</v>
      </c>
      <c r="H789" s="482" t="s">
        <v>15410</v>
      </c>
      <c r="I789" s="483">
        <f>1/$N$781</f>
        <v>2.7070899999999998e-002</v>
      </c>
      <c r="J789" s="473">
        <f t="shared" si="901"/>
        <v>1229.3800000000001</v>
      </c>
      <c r="K789" s="474">
        <f t="shared" si="898"/>
        <v>33.280423042000002</v>
      </c>
      <c r="L789" s="475">
        <f t="shared" si="899"/>
        <v>1227.49</v>
      </c>
      <c r="M789" s="474">
        <f t="shared" si="900"/>
        <v>33.229259040999999</v>
      </c>
      <c r="O789" s="434">
        <f t="shared" si="889"/>
        <v>1229.3800000000001</v>
      </c>
      <c r="P789" s="435">
        <f t="shared" si="890"/>
        <v>1227.49</v>
      </c>
      <c r="AE789" s="217"/>
      <c r="AF789" s="217">
        <v>1083</v>
      </c>
      <c r="AH789">
        <f t="shared" si="886"/>
        <v>1083</v>
      </c>
    </row>
    <row r="790" ht="45" hidden="1">
      <c r="A790" s="217"/>
      <c r="B790" s="217">
        <v>1083</v>
      </c>
      <c r="C790" s="217"/>
      <c r="D790" s="217" t="s">
        <v>17167</v>
      </c>
      <c r="E790" s="471" t="s">
        <v>20675</v>
      </c>
      <c r="F790" s="482">
        <v>89251</v>
      </c>
      <c r="G790" s="470" t="s">
        <v>20876</v>
      </c>
      <c r="H790" s="482" t="s">
        <v>15414</v>
      </c>
      <c r="I790" s="483">
        <f>0/$N$781</f>
        <v>0</v>
      </c>
      <c r="J790" s="473">
        <f t="shared" si="901"/>
        <v>356.70999999999998</v>
      </c>
      <c r="K790" s="474">
        <f t="shared" si="898"/>
        <v>0</v>
      </c>
      <c r="L790" s="475">
        <f t="shared" si="899"/>
        <v>354.81999999999999</v>
      </c>
      <c r="M790" s="474">
        <f t="shared" si="900"/>
        <v>0</v>
      </c>
      <c r="O790" s="434">
        <f t="shared" si="889"/>
        <v>356.70999999999998</v>
      </c>
      <c r="P790" s="435">
        <f t="shared" si="890"/>
        <v>354.81999999999999</v>
      </c>
      <c r="AE790" s="217"/>
      <c r="AF790" s="217">
        <v>1083</v>
      </c>
      <c r="AH790">
        <f t="shared" si="886"/>
        <v>1083</v>
      </c>
    </row>
    <row r="791" ht="60" hidden="1">
      <c r="A791" s="217"/>
      <c r="B791" s="217">
        <v>1083</v>
      </c>
      <c r="C791" s="217"/>
      <c r="D791" s="217" t="s">
        <v>17167</v>
      </c>
      <c r="E791" s="471" t="s">
        <v>20677</v>
      </c>
      <c r="F791" s="482">
        <v>6879</v>
      </c>
      <c r="G791" s="470" t="s">
        <v>20877</v>
      </c>
      <c r="H791" s="482" t="s">
        <v>15410</v>
      </c>
      <c r="I791" s="483">
        <f>0.8/$N$781</f>
        <v>2.1656700000000001e-002</v>
      </c>
      <c r="J791" s="473">
        <f t="shared" si="901"/>
        <v>212.56</v>
      </c>
      <c r="K791" s="474">
        <f t="shared" si="898"/>
        <v>4.6033481520000006</v>
      </c>
      <c r="L791" s="475">
        <f t="shared" si="899"/>
        <v>210.86000000000001</v>
      </c>
      <c r="M791" s="474">
        <f t="shared" si="900"/>
        <v>4.5665317620000003</v>
      </c>
      <c r="O791" s="434">
        <f t="shared" si="889"/>
        <v>212.56</v>
      </c>
      <c r="P791" s="435">
        <f t="shared" si="890"/>
        <v>210.86000000000001</v>
      </c>
      <c r="AE791" s="217"/>
      <c r="AF791" s="217">
        <v>1083</v>
      </c>
      <c r="AH791">
        <f t="shared" si="886"/>
        <v>1083</v>
      </c>
    </row>
    <row r="792" ht="60" hidden="1">
      <c r="A792" s="217"/>
      <c r="B792" s="217">
        <v>1083</v>
      </c>
      <c r="C792" s="217"/>
      <c r="D792" s="217" t="s">
        <v>17167</v>
      </c>
      <c r="E792" s="471" t="s">
        <v>20679</v>
      </c>
      <c r="F792" s="482">
        <v>6880</v>
      </c>
      <c r="G792" s="470" t="s">
        <v>20878</v>
      </c>
      <c r="H792" s="482" t="s">
        <v>15414</v>
      </c>
      <c r="I792" s="483">
        <f>0.2/$N$781</f>
        <v>5.4142000000000001e-003</v>
      </c>
      <c r="J792" s="473">
        <f t="shared" si="901"/>
        <v>84.219999999999999</v>
      </c>
      <c r="K792" s="474">
        <f t="shared" si="898"/>
        <v>0.45598392399999998</v>
      </c>
      <c r="L792" s="475">
        <f t="shared" si="899"/>
        <v>82.519999999999996</v>
      </c>
      <c r="M792" s="474">
        <f t="shared" si="900"/>
        <v>0.44677978400000001</v>
      </c>
      <c r="O792" s="434">
        <f t="shared" si="889"/>
        <v>84.219999999999999</v>
      </c>
      <c r="P792" s="435">
        <f t="shared" si="890"/>
        <v>82.519999999999996</v>
      </c>
      <c r="AE792" s="217"/>
      <c r="AF792" s="217">
        <v>1083</v>
      </c>
      <c r="AH792">
        <f t="shared" si="886"/>
        <v>1083</v>
      </c>
    </row>
    <row r="793" ht="60" hidden="1">
      <c r="A793" s="217"/>
      <c r="B793" s="217">
        <v>1083</v>
      </c>
      <c r="C793" s="217"/>
      <c r="D793" s="217" t="s">
        <v>17167</v>
      </c>
      <c r="E793" s="471" t="s">
        <v>20681</v>
      </c>
      <c r="F793" s="482">
        <v>95631</v>
      </c>
      <c r="G793" s="470" t="s">
        <v>20879</v>
      </c>
      <c r="H793" s="482" t="s">
        <v>15410</v>
      </c>
      <c r="I793" s="483">
        <f>0.64/N781</f>
        <v>1.7325400000000001e-002</v>
      </c>
      <c r="J793" s="473">
        <f t="shared" si="901"/>
        <v>235.97999999999999</v>
      </c>
      <c r="K793" s="474">
        <f t="shared" si="898"/>
        <v>4.0884478920000005</v>
      </c>
      <c r="L793" s="475">
        <f t="shared" si="899"/>
        <v>234.28</v>
      </c>
      <c r="M793" s="474">
        <f t="shared" si="900"/>
        <v>4.0589947120000005</v>
      </c>
      <c r="O793" s="434">
        <f t="shared" si="889"/>
        <v>235.97999999999999</v>
      </c>
      <c r="P793" s="435">
        <f t="shared" si="890"/>
        <v>234.28</v>
      </c>
      <c r="AE793" s="217"/>
      <c r="AF793" s="217">
        <v>1083</v>
      </c>
      <c r="AH793">
        <f t="shared" si="886"/>
        <v>1083</v>
      </c>
    </row>
    <row r="794" ht="60" hidden="1">
      <c r="A794" s="217"/>
      <c r="B794" s="217">
        <v>1083</v>
      </c>
      <c r="C794" s="217"/>
      <c r="D794" s="217" t="s">
        <v>17167</v>
      </c>
      <c r="E794" s="471" t="s">
        <v>20683</v>
      </c>
      <c r="F794" s="482">
        <v>95632</v>
      </c>
      <c r="G794" s="470" t="s">
        <v>20880</v>
      </c>
      <c r="H794" s="482" t="s">
        <v>15414</v>
      </c>
      <c r="I794" s="483">
        <f>0.36/$N$781</f>
        <v>9.7455000000000007e-003</v>
      </c>
      <c r="J794" s="473">
        <f t="shared" si="901"/>
        <v>81.819999999999993</v>
      </c>
      <c r="K794" s="474">
        <f t="shared" si="898"/>
        <v>0.79737680999999994</v>
      </c>
      <c r="L794" s="475">
        <f t="shared" si="899"/>
        <v>80.120000000000005</v>
      </c>
      <c r="M794" s="474">
        <f t="shared" si="900"/>
        <v>0.78080946000000007</v>
      </c>
      <c r="O794" s="434">
        <f t="shared" si="889"/>
        <v>81.819999999999993</v>
      </c>
      <c r="P794" s="435">
        <f t="shared" si="890"/>
        <v>80.120000000000005</v>
      </c>
      <c r="AE794" s="217"/>
      <c r="AF794" s="217">
        <v>1083</v>
      </c>
      <c r="AH794">
        <f t="shared" si="886"/>
        <v>1083</v>
      </c>
    </row>
    <row r="795" ht="75" hidden="1">
      <c r="A795" s="217"/>
      <c r="B795" s="217">
        <v>1083</v>
      </c>
      <c r="C795" s="217"/>
      <c r="D795" s="217" t="s">
        <v>17167</v>
      </c>
      <c r="E795" s="471" t="s">
        <v>20685</v>
      </c>
      <c r="F795" s="482">
        <v>7049</v>
      </c>
      <c r="G795" s="470" t="s">
        <v>20881</v>
      </c>
      <c r="H795" s="482" t="s">
        <v>15410</v>
      </c>
      <c r="I795" s="483">
        <f>0.82/$N$781</f>
        <v>2.2198200000000001e-002</v>
      </c>
      <c r="J795" s="473">
        <f t="shared" si="901"/>
        <v>228.24000000000001</v>
      </c>
      <c r="K795" s="474">
        <f t="shared" si="898"/>
        <v>5.0665171680000007</v>
      </c>
      <c r="L795" s="475">
        <f t="shared" si="899"/>
        <v>226.53999999999999</v>
      </c>
      <c r="M795" s="474">
        <f t="shared" si="900"/>
        <v>5.0287802280000005</v>
      </c>
      <c r="O795" s="434">
        <f t="shared" si="889"/>
        <v>228.24000000000001</v>
      </c>
      <c r="P795" s="435">
        <f t="shared" si="890"/>
        <v>226.53999999999999</v>
      </c>
      <c r="AE795" s="217"/>
      <c r="AF795" s="217">
        <v>1083</v>
      </c>
      <c r="AH795">
        <f t="shared" si="886"/>
        <v>1083</v>
      </c>
    </row>
    <row r="796" ht="75" hidden="1">
      <c r="A796" s="217"/>
      <c r="B796" s="217">
        <v>1083</v>
      </c>
      <c r="C796" s="217"/>
      <c r="D796" s="217" t="s">
        <v>17167</v>
      </c>
      <c r="E796" s="471" t="s">
        <v>20687</v>
      </c>
      <c r="F796" s="482">
        <v>7050</v>
      </c>
      <c r="G796" s="470" t="s">
        <v>20883</v>
      </c>
      <c r="H796" s="482" t="s">
        <v>15414</v>
      </c>
      <c r="I796" s="483">
        <f>0.18/$N$781</f>
        <v>4.8728e-003</v>
      </c>
      <c r="J796" s="473">
        <f t="shared" si="901"/>
        <v>77.959999999999994</v>
      </c>
      <c r="K796" s="474">
        <f t="shared" si="898"/>
        <v>0.37988348799999999</v>
      </c>
      <c r="L796" s="475">
        <f t="shared" si="899"/>
        <v>76.260000000000005</v>
      </c>
      <c r="M796" s="474">
        <f t="shared" si="900"/>
        <v>0.37159972800000002</v>
      </c>
      <c r="N796" s="467" t="s">
        <v>21072</v>
      </c>
      <c r="O796" s="434">
        <f t="shared" si="889"/>
        <v>77.959999999999994</v>
      </c>
      <c r="P796" s="435">
        <f t="shared" si="890"/>
        <v>76.260000000000005</v>
      </c>
      <c r="AE796" s="217"/>
      <c r="AF796" s="217">
        <v>1083</v>
      </c>
      <c r="AH796">
        <f t="shared" si="886"/>
        <v>1083</v>
      </c>
    </row>
    <row r="797" hidden="1">
      <c r="A797" s="217"/>
      <c r="B797" s="217">
        <v>1083</v>
      </c>
      <c r="C797" s="217"/>
      <c r="D797" s="217" t="s">
        <v>20398</v>
      </c>
      <c r="E797" s="471" t="s">
        <v>20689</v>
      </c>
      <c r="F797" s="482">
        <v>1096</v>
      </c>
      <c r="G797" s="470" t="s">
        <v>21073</v>
      </c>
      <c r="H797" s="482" t="s">
        <v>20440</v>
      </c>
      <c r="I797" s="483">
        <f>I780*10*1.2</f>
        <v>1.8</v>
      </c>
      <c r="J797" s="473">
        <f t="shared" si="901"/>
        <v>1.3436488080000002</v>
      </c>
      <c r="K797" s="474">
        <f t="shared" si="898"/>
        <v>2.4185678544000004</v>
      </c>
      <c r="L797" s="475">
        <f t="shared" si="899"/>
        <v>1.335917376</v>
      </c>
      <c r="M797" s="474">
        <f t="shared" si="900"/>
        <v>2.4046512768000001</v>
      </c>
      <c r="N797" s="467" t="s">
        <v>21074</v>
      </c>
      <c r="O797" s="434">
        <f t="shared" si="889"/>
        <v>1.3436488080000002</v>
      </c>
      <c r="P797" s="435">
        <f t="shared" si="890"/>
        <v>1.335917376</v>
      </c>
      <c r="AE797" s="217"/>
      <c r="AF797" s="217">
        <v>1083</v>
      </c>
      <c r="AH797">
        <f t="shared" si="886"/>
        <v>1083</v>
      </c>
    </row>
    <row r="798" ht="47.25" hidden="1">
      <c r="A798" s="460">
        <v>1084</v>
      </c>
      <c r="B798" s="530">
        <v>1084</v>
      </c>
      <c r="C798" s="530"/>
      <c r="D798" s="460"/>
      <c r="E798" s="461">
        <v>1</v>
      </c>
      <c r="F798" s="462" t="s">
        <v>21075</v>
      </c>
      <c r="G798" s="477" t="s">
        <v>21076</v>
      </c>
      <c r="H798" s="478" t="s">
        <v>15528</v>
      </c>
      <c r="I798" s="479"/>
      <c r="J798" s="479"/>
      <c r="K798" s="466">
        <f>SUM(K799:K810)</f>
        <v>143.96176983237456</v>
      </c>
      <c r="L798" s="480"/>
      <c r="M798" s="466">
        <f>SUM(M799:M810)</f>
        <v>142.69763087640268</v>
      </c>
      <c r="N798" s="467" t="s">
        <v>21077</v>
      </c>
      <c r="O798" s="434" t="str">
        <f t="shared" si="889"/>
        <v xml:space="preserve">SEM VALOR</v>
      </c>
      <c r="P798" s="435" t="str">
        <f t="shared" si="890"/>
        <v xml:space="preserve">SEM VALOR</v>
      </c>
      <c r="AE798" s="460">
        <v>1084</v>
      </c>
      <c r="AF798" s="530"/>
      <c r="AH798">
        <f t="shared" si="886"/>
        <v>1084</v>
      </c>
    </row>
    <row r="799" ht="45" hidden="1">
      <c r="A799" s="217"/>
      <c r="B799" s="217">
        <v>1084</v>
      </c>
      <c r="C799" s="217"/>
      <c r="D799" s="217" t="s">
        <v>17167</v>
      </c>
      <c r="E799" s="471" t="s">
        <v>20399</v>
      </c>
      <c r="F799" s="531">
        <v>93421</v>
      </c>
      <c r="G799" s="470" t="s">
        <v>1715</v>
      </c>
      <c r="H799" s="531" t="s">
        <v>1535</v>
      </c>
      <c r="I799" s="532">
        <v>0.19578000000000001</v>
      </c>
      <c r="J799" s="473">
        <f t="shared" si="901"/>
        <v>86.900000000000006</v>
      </c>
      <c r="K799" s="474">
        <f t="shared" ref="K799:K810" si="902">I799*J799</f>
        <v>17.013282</v>
      </c>
      <c r="L799" s="475">
        <f t="shared" si="899"/>
        <v>86.900000000000006</v>
      </c>
      <c r="M799" s="474">
        <f t="shared" ref="M799:M810" si="903">L799*I799</f>
        <v>17.013282</v>
      </c>
      <c r="N799" s="467" t="s">
        <v>21078</v>
      </c>
      <c r="O799" s="434">
        <f t="shared" si="889"/>
        <v>86.900000000000006</v>
      </c>
      <c r="P799" s="435">
        <f t="shared" si="890"/>
        <v>86.900000000000006</v>
      </c>
      <c r="AE799" s="217"/>
      <c r="AF799" s="217">
        <v>1084</v>
      </c>
      <c r="AH799">
        <f t="shared" si="886"/>
        <v>1084</v>
      </c>
    </row>
    <row r="800" ht="60" hidden="1">
      <c r="A800" s="217"/>
      <c r="B800" s="217">
        <v>1084</v>
      </c>
      <c r="C800" s="217"/>
      <c r="D800" s="217" t="s">
        <v>17167</v>
      </c>
      <c r="E800" s="471" t="s">
        <v>20402</v>
      </c>
      <c r="F800" s="533">
        <v>91692</v>
      </c>
      <c r="G800" s="470" t="s">
        <v>1897</v>
      </c>
      <c r="H800" s="531" t="s">
        <v>1535</v>
      </c>
      <c r="I800" s="532">
        <v>0.19578000000000001</v>
      </c>
      <c r="J800" s="473">
        <f t="shared" si="901"/>
        <v>32.590000000000003</v>
      </c>
      <c r="K800" s="474">
        <f t="shared" si="902"/>
        <v>6.3804702000000013</v>
      </c>
      <c r="L800" s="475">
        <f t="shared" si="899"/>
        <v>30.690000000000001</v>
      </c>
      <c r="M800" s="474">
        <f t="shared" si="903"/>
        <v>6.0084882000000004</v>
      </c>
      <c r="O800" s="434">
        <f t="shared" si="889"/>
        <v>32.590000000000003</v>
      </c>
      <c r="P800" s="435">
        <f t="shared" si="890"/>
        <v>30.690000000000001</v>
      </c>
      <c r="AE800" s="217"/>
      <c r="AF800" s="217">
        <v>1084</v>
      </c>
      <c r="AH800">
        <f t="shared" si="886"/>
        <v>1084</v>
      </c>
    </row>
    <row r="801" ht="30" hidden="1">
      <c r="A801" s="217"/>
      <c r="B801" s="217">
        <v>1084</v>
      </c>
      <c r="C801" s="217"/>
      <c r="D801" s="217" t="s">
        <v>17167</v>
      </c>
      <c r="E801" s="471" t="s">
        <v>20405</v>
      </c>
      <c r="F801" s="533">
        <v>88262</v>
      </c>
      <c r="G801" s="470" t="s">
        <v>7127</v>
      </c>
      <c r="H801" s="531" t="s">
        <v>2032</v>
      </c>
      <c r="I801" s="532">
        <v>0.29999999999999999</v>
      </c>
      <c r="J801" s="473">
        <f t="shared" si="901"/>
        <v>27.739999999999998</v>
      </c>
      <c r="K801" s="474">
        <f t="shared" si="902"/>
        <v>8.3219999999999992</v>
      </c>
      <c r="L801" s="475">
        <f t="shared" si="899"/>
        <v>26.129999999999999</v>
      </c>
      <c r="M801" s="474">
        <f t="shared" si="903"/>
        <v>7.8389999999999995</v>
      </c>
      <c r="O801" s="434">
        <f t="shared" si="889"/>
        <v>27.739999999999998</v>
      </c>
      <c r="P801" s="435">
        <f t="shared" si="890"/>
        <v>26.129999999999999</v>
      </c>
      <c r="AE801" s="217"/>
      <c r="AF801" s="217">
        <v>1084</v>
      </c>
      <c r="AH801">
        <f t="shared" ref="AH801:AH864" si="904">IF(AF801:AF802=FALSE,AE801,AF801)</f>
        <v>1084</v>
      </c>
    </row>
    <row r="802" ht="30" hidden="1">
      <c r="A802" s="217"/>
      <c r="B802" s="217">
        <v>1084</v>
      </c>
      <c r="C802" s="217"/>
      <c r="D802" s="217" t="s">
        <v>17167</v>
      </c>
      <c r="E802" s="471" t="s">
        <v>20409</v>
      </c>
      <c r="F802" s="533">
        <v>88239</v>
      </c>
      <c r="G802" s="470" t="s">
        <v>7088</v>
      </c>
      <c r="H802" s="531" t="s">
        <v>2032</v>
      </c>
      <c r="I802" s="532">
        <v>0.29999999999999999</v>
      </c>
      <c r="J802" s="473">
        <f t="shared" si="901"/>
        <v>22.98</v>
      </c>
      <c r="K802" s="474">
        <f t="shared" si="902"/>
        <v>6.8940000000000001</v>
      </c>
      <c r="L802" s="475">
        <f t="shared" si="899"/>
        <v>21.719999999999999</v>
      </c>
      <c r="M802" s="474">
        <f t="shared" si="903"/>
        <v>6.5159999999999991</v>
      </c>
      <c r="O802" s="434">
        <f t="shared" si="889"/>
        <v>22.98</v>
      </c>
      <c r="P802" s="435">
        <f t="shared" si="890"/>
        <v>21.719999999999999</v>
      </c>
      <c r="AE802" s="217"/>
      <c r="AF802" s="217">
        <v>1084</v>
      </c>
      <c r="AH802">
        <f t="shared" si="904"/>
        <v>1084</v>
      </c>
    </row>
    <row r="803" ht="45" hidden="1">
      <c r="A803" s="217"/>
      <c r="B803" s="217">
        <v>1084</v>
      </c>
      <c r="C803" s="217"/>
      <c r="D803" s="217" t="s">
        <v>20408</v>
      </c>
      <c r="E803" s="471" t="s">
        <v>20663</v>
      </c>
      <c r="F803" s="534">
        <v>4115</v>
      </c>
      <c r="G803" s="470" t="s">
        <v>21079</v>
      </c>
      <c r="H803" s="531" t="s">
        <v>38</v>
      </c>
      <c r="I803" s="532">
        <v>1.1000000000000001</v>
      </c>
      <c r="J803" s="473">
        <f t="shared" si="901"/>
        <v>43.780000000000001</v>
      </c>
      <c r="K803" s="474">
        <f t="shared" si="902"/>
        <v>48.158000000000008</v>
      </c>
      <c r="L803" s="475">
        <f t="shared" si="899"/>
        <v>43.780000000000001</v>
      </c>
      <c r="M803" s="474">
        <f t="shared" si="903"/>
        <v>48.158000000000008</v>
      </c>
      <c r="O803" s="434">
        <f t="shared" si="889"/>
        <v>43.780000000000001</v>
      </c>
      <c r="P803" s="435">
        <f t="shared" si="890"/>
        <v>43.780000000000001</v>
      </c>
      <c r="AE803" s="217"/>
      <c r="AF803" s="217">
        <v>1084</v>
      </c>
      <c r="AH803">
        <f t="shared" si="904"/>
        <v>1084</v>
      </c>
    </row>
    <row r="804" ht="45" hidden="1">
      <c r="A804" s="217"/>
      <c r="B804" s="217">
        <v>1084</v>
      </c>
      <c r="C804" s="217"/>
      <c r="D804" s="217" t="s">
        <v>20408</v>
      </c>
      <c r="E804" s="471" t="s">
        <v>20665</v>
      </c>
      <c r="F804" s="533">
        <v>20208</v>
      </c>
      <c r="G804" s="470" t="s">
        <v>21080</v>
      </c>
      <c r="H804" s="531" t="s">
        <v>38</v>
      </c>
      <c r="I804" s="532">
        <v>0.27500000000000002</v>
      </c>
      <c r="J804" s="473">
        <f t="shared" si="901"/>
        <v>122.09999999999999</v>
      </c>
      <c r="K804" s="474">
        <f t="shared" si="902"/>
        <v>33.577500000000001</v>
      </c>
      <c r="L804" s="475">
        <f t="shared" si="899"/>
        <v>122.09999999999999</v>
      </c>
      <c r="M804" s="474">
        <f t="shared" si="903"/>
        <v>33.577500000000001</v>
      </c>
      <c r="O804" s="434">
        <f t="shared" ref="O804:O867" si="905">IFERROR(IF(D804="SINAPI",VLOOKUP(F804,SINCOMOD,4,FALSE),IF(D804="INSINAPI",VLOOKUP(F804,INSINOD,5,FALSE),IF(D804="SICRO",VLOOKUP(F804,SICRO,5,FALSE),IF(D804="COTACAO",VLOOKUP(F804,COTACAO,6,FALSE),IF(D804="PRÓPRIO",VLOOKUP(F804,COMPOD,11,FALSE),IF(D804="AGESUL",VLOOKUP(F804,AGESULOD,6,FALSE),IF(D804="INSAGESUL",VLOOKUP(F804,INSAGESUL,7,FALSE),"SEM VALOR"))))))),"SEM VALOR")</f>
        <v>122.09999999999999</v>
      </c>
      <c r="P804" s="435">
        <f t="shared" ref="P804:P867" si="906">IFERROR(IF(D804="SINAPI",VLOOKUP(F804,SINCOMOD,6,FALSE),IF(D804="INSINAPI",VLOOKUP(F804,INSINOD,6,FALSE),IF(D804="SICRO",VLOOKUP(F804,SICRO,5,FALSE),IF(D804="COTACAO",VLOOKUP(F804,COTACAO,6,FALSE),IF(D804="PRÓPRIO",VLOOKUP(F804,COMPOD,13,FALSE),IF(D804="AGESUL",VLOOKUP(F804,AGESULOD,11,FALSE),IF(D804="INSAGESUL",VLOOKUP(F804,INSAGESUL,8,FALSE),"SEM VALOR"))))))),"SEM VALOR")</f>
        <v>122.09999999999999</v>
      </c>
      <c r="AE804" s="217"/>
      <c r="AF804" s="217">
        <v>1084</v>
      </c>
      <c r="AH804">
        <f t="shared" si="904"/>
        <v>1084</v>
      </c>
    </row>
    <row r="805" ht="30" hidden="1">
      <c r="A805" s="217"/>
      <c r="B805" s="217">
        <v>1084</v>
      </c>
      <c r="C805" s="217"/>
      <c r="D805" s="217" t="s">
        <v>20408</v>
      </c>
      <c r="E805" s="471" t="s">
        <v>20667</v>
      </c>
      <c r="F805" s="533">
        <v>5075</v>
      </c>
      <c r="G805" s="470" t="s">
        <v>14049</v>
      </c>
      <c r="H805" s="531" t="s">
        <v>302</v>
      </c>
      <c r="I805" s="532">
        <v>0.10731</v>
      </c>
      <c r="J805" s="473">
        <f t="shared" si="901"/>
        <v>20.289999999999999</v>
      </c>
      <c r="K805" s="474">
        <f t="shared" si="902"/>
        <v>2.1773199000000001</v>
      </c>
      <c r="L805" s="475">
        <f t="shared" si="899"/>
        <v>20.289999999999999</v>
      </c>
      <c r="M805" s="474">
        <f t="shared" si="903"/>
        <v>2.1773199000000001</v>
      </c>
      <c r="O805" s="434">
        <f t="shared" si="905"/>
        <v>20.289999999999999</v>
      </c>
      <c r="P805" s="435">
        <f t="shared" si="906"/>
        <v>20.289999999999999</v>
      </c>
      <c r="AE805" s="217"/>
      <c r="AF805" s="217">
        <v>1084</v>
      </c>
      <c r="AH805">
        <f t="shared" si="904"/>
        <v>1084</v>
      </c>
    </row>
    <row r="806" ht="45" hidden="1">
      <c r="A806" s="217"/>
      <c r="B806" s="217">
        <v>1084</v>
      </c>
      <c r="C806" s="217"/>
      <c r="D806" s="217" t="s">
        <v>20408</v>
      </c>
      <c r="E806" s="471" t="s">
        <v>20671</v>
      </c>
      <c r="F806" s="533">
        <v>6194</v>
      </c>
      <c r="G806" s="470" t="s">
        <v>21081</v>
      </c>
      <c r="H806" s="531" t="s">
        <v>38</v>
      </c>
      <c r="I806" s="532">
        <v>4.1524999999999999</v>
      </c>
      <c r="J806" s="473">
        <f t="shared" si="901"/>
        <v>4.8799999999999999</v>
      </c>
      <c r="K806" s="474">
        <f t="shared" si="902"/>
        <v>20.264199999999999</v>
      </c>
      <c r="L806" s="475">
        <f t="shared" si="899"/>
        <v>4.8799999999999999</v>
      </c>
      <c r="M806" s="474">
        <f t="shared" si="903"/>
        <v>20.264199999999999</v>
      </c>
      <c r="O806" s="434">
        <f t="shared" si="905"/>
        <v>4.8799999999999999</v>
      </c>
      <c r="P806" s="435">
        <f t="shared" si="906"/>
        <v>4.8799999999999999</v>
      </c>
      <c r="AE806" s="217"/>
      <c r="AF806" s="217">
        <v>1084</v>
      </c>
      <c r="AH806">
        <f t="shared" si="904"/>
        <v>1084</v>
      </c>
    </row>
    <row r="807" ht="60" hidden="1">
      <c r="A807" s="217"/>
      <c r="B807" s="217">
        <v>1084</v>
      </c>
      <c r="C807" s="217"/>
      <c r="D807" s="217" t="s">
        <v>20398</v>
      </c>
      <c r="E807" s="471" t="s">
        <v>20672</v>
      </c>
      <c r="F807" s="533">
        <v>1085</v>
      </c>
      <c r="G807" s="470" t="s">
        <v>21082</v>
      </c>
      <c r="H807" s="531" t="s">
        <v>9591</v>
      </c>
      <c r="I807" s="532">
        <v>1.9439999999999999e-002</v>
      </c>
      <c r="J807" s="473">
        <f t="shared" si="901"/>
        <v>28.443421263000001</v>
      </c>
      <c r="K807" s="474">
        <f t="shared" si="902"/>
        <v>0.55294010935271998</v>
      </c>
      <c r="L807" s="475">
        <f t="shared" si="899"/>
        <v>27.689198170000004</v>
      </c>
      <c r="M807" s="474">
        <f t="shared" si="903"/>
        <v>0.53827801242480011</v>
      </c>
      <c r="O807" s="434">
        <f t="shared" si="905"/>
        <v>28.443421263000001</v>
      </c>
      <c r="P807" s="435">
        <f t="shared" si="906"/>
        <v>27.689198170000004</v>
      </c>
      <c r="AE807" s="217"/>
      <c r="AF807" s="217">
        <v>1084</v>
      </c>
      <c r="AH807">
        <f t="shared" si="904"/>
        <v>1084</v>
      </c>
    </row>
    <row r="808" ht="60" hidden="1">
      <c r="A808" s="217"/>
      <c r="B808" s="217">
        <v>1084</v>
      </c>
      <c r="C808" s="217"/>
      <c r="D808" s="217" t="s">
        <v>20398</v>
      </c>
      <c r="E808" s="471" t="s">
        <v>20673</v>
      </c>
      <c r="F808" s="533">
        <v>1085</v>
      </c>
      <c r="G808" s="470" t="s">
        <v>21083</v>
      </c>
      <c r="H808" s="531" t="s">
        <v>9591</v>
      </c>
      <c r="I808" s="532">
        <v>6.1900000000000002e-003</v>
      </c>
      <c r="J808" s="473">
        <f t="shared" si="901"/>
        <v>28.443421263000001</v>
      </c>
      <c r="K808" s="474">
        <f t="shared" si="902"/>
        <v>0.17606477761797001</v>
      </c>
      <c r="L808" s="475">
        <f t="shared" si="899"/>
        <v>27.689198170000004</v>
      </c>
      <c r="M808" s="474">
        <f t="shared" si="903"/>
        <v>0.17139613667230003</v>
      </c>
      <c r="O808" s="434">
        <f t="shared" si="905"/>
        <v>28.443421263000001</v>
      </c>
      <c r="P808" s="435">
        <f t="shared" si="906"/>
        <v>27.689198170000004</v>
      </c>
      <c r="AE808" s="217"/>
      <c r="AF808" s="217">
        <v>1084</v>
      </c>
      <c r="AH808">
        <f t="shared" si="904"/>
        <v>1084</v>
      </c>
    </row>
    <row r="809" ht="45" hidden="1">
      <c r="A809" s="217"/>
      <c r="B809" s="217">
        <v>1084</v>
      </c>
      <c r="C809" s="217"/>
      <c r="D809" s="217" t="s">
        <v>20398</v>
      </c>
      <c r="E809" s="471" t="s">
        <v>20675</v>
      </c>
      <c r="F809" s="533">
        <v>1085</v>
      </c>
      <c r="G809" s="470" t="s">
        <v>21084</v>
      </c>
      <c r="H809" s="531" t="s">
        <v>9591</v>
      </c>
      <c r="I809" s="532">
        <v>1.1e-004</v>
      </c>
      <c r="J809" s="473">
        <f t="shared" si="901"/>
        <v>28.443421263000001</v>
      </c>
      <c r="K809" s="474">
        <f t="shared" si="902"/>
        <v>3.1287763389300002e-003</v>
      </c>
      <c r="L809" s="475">
        <f t="shared" si="899"/>
        <v>27.689198170000004</v>
      </c>
      <c r="M809" s="474">
        <f t="shared" si="903"/>
        <v>3.0458117987000005e-003</v>
      </c>
      <c r="O809" s="434">
        <f t="shared" si="905"/>
        <v>28.443421263000001</v>
      </c>
      <c r="P809" s="435">
        <f t="shared" si="906"/>
        <v>27.689198170000004</v>
      </c>
      <c r="AE809" s="217"/>
      <c r="AF809" s="217">
        <v>1084</v>
      </c>
      <c r="AH809">
        <f t="shared" si="904"/>
        <v>1084</v>
      </c>
    </row>
    <row r="810" ht="60" hidden="1">
      <c r="A810" s="217"/>
      <c r="B810" s="217">
        <v>1084</v>
      </c>
      <c r="C810" s="217"/>
      <c r="D810" s="217" t="s">
        <v>20398</v>
      </c>
      <c r="E810" s="471" t="s">
        <v>20677</v>
      </c>
      <c r="F810" s="533">
        <v>1085</v>
      </c>
      <c r="G810" s="470" t="s">
        <v>21085</v>
      </c>
      <c r="H810" s="531" t="s">
        <v>9591</v>
      </c>
      <c r="I810" s="532">
        <v>1.5570000000000001e-002</v>
      </c>
      <c r="J810" s="473">
        <f t="shared" si="901"/>
        <v>28.443421263000001</v>
      </c>
      <c r="K810" s="474">
        <f t="shared" si="902"/>
        <v>0.44286406906491005</v>
      </c>
      <c r="L810" s="475">
        <f t="shared" si="899"/>
        <v>27.689198170000004</v>
      </c>
      <c r="M810" s="474">
        <f t="shared" si="903"/>
        <v>0.43112081550690007</v>
      </c>
      <c r="O810" s="434">
        <f t="shared" si="905"/>
        <v>28.443421263000001</v>
      </c>
      <c r="P810" s="435">
        <f t="shared" si="906"/>
        <v>27.689198170000004</v>
      </c>
      <c r="AE810" s="217"/>
      <c r="AF810" s="217">
        <v>1084</v>
      </c>
      <c r="AH810">
        <f t="shared" si="904"/>
        <v>1084</v>
      </c>
    </row>
    <row r="811" ht="78.75" hidden="1">
      <c r="A811" s="460">
        <v>1085</v>
      </c>
      <c r="B811" s="460">
        <v>1085</v>
      </c>
      <c r="C811" s="460"/>
      <c r="D811" s="460"/>
      <c r="E811" s="461">
        <v>1</v>
      </c>
      <c r="F811" s="462" t="s">
        <v>21086</v>
      </c>
      <c r="G811" s="477" t="s">
        <v>21087</v>
      </c>
      <c r="H811" s="478" t="s">
        <v>9591</v>
      </c>
      <c r="I811" s="479"/>
      <c r="J811" s="480"/>
      <c r="K811" s="466">
        <f>SUM(K812:K813)</f>
        <v>28.443421263000001</v>
      </c>
      <c r="L811" s="480"/>
      <c r="M811" s="466">
        <f>SUM(M812:M813)</f>
        <v>27.689198170000004</v>
      </c>
      <c r="N811" s="467" t="s">
        <v>21088</v>
      </c>
      <c r="O811" s="434" t="str">
        <f t="shared" si="905"/>
        <v xml:space="preserve">SEM VALOR</v>
      </c>
      <c r="P811" s="435" t="str">
        <f t="shared" si="906"/>
        <v xml:space="preserve">SEM VALOR</v>
      </c>
      <c r="AE811" s="460">
        <v>1085</v>
      </c>
      <c r="AF811" s="460"/>
      <c r="AH811">
        <f t="shared" si="904"/>
        <v>1085</v>
      </c>
    </row>
    <row r="812" ht="90" hidden="1">
      <c r="A812" s="217"/>
      <c r="B812" s="217">
        <v>1085</v>
      </c>
      <c r="C812" s="217"/>
      <c r="D812" s="217" t="s">
        <v>17167</v>
      </c>
      <c r="E812" s="471" t="s">
        <v>20399</v>
      </c>
      <c r="F812" s="533">
        <v>67826</v>
      </c>
      <c r="G812" s="470" t="s">
        <v>1579</v>
      </c>
      <c r="H812" s="531" t="s">
        <v>1535</v>
      </c>
      <c r="I812" s="532">
        <f>1/11.84</f>
        <v>8.4459500000000007e-002</v>
      </c>
      <c r="J812" s="473">
        <f t="shared" si="901"/>
        <v>200.21000000000001</v>
      </c>
      <c r="K812" s="474">
        <f t="shared" ref="K812:K813" si="907">I812*J812</f>
        <v>16.909636495000001</v>
      </c>
      <c r="L812" s="475">
        <f t="shared" si="899"/>
        <v>198.53999999999999</v>
      </c>
      <c r="M812" s="474">
        <f t="shared" ref="M812:M813" si="908">L812*I812</f>
        <v>16.768589130000002</v>
      </c>
      <c r="N812" s="467" t="s">
        <v>21089</v>
      </c>
      <c r="O812" s="434">
        <f t="shared" si="905"/>
        <v>200.21000000000001</v>
      </c>
      <c r="P812" s="435">
        <f t="shared" si="906"/>
        <v>198.53999999999999</v>
      </c>
      <c r="AE812" s="217"/>
      <c r="AF812" s="217">
        <v>1085</v>
      </c>
      <c r="AH812">
        <f t="shared" si="904"/>
        <v>1085</v>
      </c>
    </row>
    <row r="813" ht="30" hidden="1">
      <c r="A813" s="217"/>
      <c r="B813" s="217">
        <v>1085</v>
      </c>
      <c r="C813" s="217"/>
      <c r="D813" s="217" t="s">
        <v>17167</v>
      </c>
      <c r="E813" s="471" t="s">
        <v>20402</v>
      </c>
      <c r="F813" s="533">
        <v>88316</v>
      </c>
      <c r="G813" s="470" t="s">
        <v>7393</v>
      </c>
      <c r="H813" s="531" t="s">
        <v>2032</v>
      </c>
      <c r="I813" s="532">
        <f>6/11.84</f>
        <v>0.50675680000000001</v>
      </c>
      <c r="J813" s="473">
        <f t="shared" si="901"/>
        <v>22.760000000000002</v>
      </c>
      <c r="K813" s="474">
        <f t="shared" si="907"/>
        <v>11.533784768</v>
      </c>
      <c r="L813" s="475">
        <f t="shared" si="899"/>
        <v>21.550000000000001</v>
      </c>
      <c r="M813" s="474">
        <f t="shared" si="908"/>
        <v>10.92060904</v>
      </c>
      <c r="O813" s="434">
        <f t="shared" si="905"/>
        <v>22.760000000000002</v>
      </c>
      <c r="P813" s="435">
        <f t="shared" si="906"/>
        <v>21.550000000000001</v>
      </c>
      <c r="AE813" s="217"/>
      <c r="AF813" s="217">
        <v>1085</v>
      </c>
      <c r="AH813">
        <f t="shared" si="904"/>
        <v>1085</v>
      </c>
    </row>
    <row r="814" ht="31.5" hidden="1">
      <c r="A814" s="460">
        <v>1086</v>
      </c>
      <c r="B814" s="460">
        <v>1086</v>
      </c>
      <c r="C814" s="460"/>
      <c r="D814" s="460"/>
      <c r="E814" s="461">
        <v>1</v>
      </c>
      <c r="F814" s="462" t="s">
        <v>21090</v>
      </c>
      <c r="G814" s="477" t="s">
        <v>21091</v>
      </c>
      <c r="H814" s="478" t="s">
        <v>31</v>
      </c>
      <c r="I814" s="479"/>
      <c r="J814" s="480"/>
      <c r="K814" s="466">
        <f>SUM(K815:K818)</f>
        <v>1340.4241</v>
      </c>
      <c r="L814" s="480"/>
      <c r="M814" s="466">
        <f>SUM(M815:M818)</f>
        <v>1303.1899249999999</v>
      </c>
      <c r="O814" s="434" t="str">
        <f t="shared" si="905"/>
        <v xml:space="preserve">SEM VALOR</v>
      </c>
      <c r="P814" s="435" t="str">
        <f t="shared" si="906"/>
        <v xml:space="preserve">SEM VALOR</v>
      </c>
      <c r="AE814" s="460">
        <v>1086</v>
      </c>
      <c r="AF814" s="460"/>
      <c r="AH814">
        <f t="shared" si="904"/>
        <v>1086</v>
      </c>
    </row>
    <row r="815" ht="60" hidden="1">
      <c r="A815" s="217"/>
      <c r="B815" s="217">
        <v>1086</v>
      </c>
      <c r="C815" s="217"/>
      <c r="D815" s="217" t="s">
        <v>17167</v>
      </c>
      <c r="E815" s="471" t="s">
        <v>20399</v>
      </c>
      <c r="F815" s="489">
        <v>94963</v>
      </c>
      <c r="G815" s="470" t="s">
        <v>21092</v>
      </c>
      <c r="H815" s="471" t="s">
        <v>15528</v>
      </c>
      <c r="I815" s="473">
        <v>1.1499999999999999</v>
      </c>
      <c r="J815" s="473">
        <f t="shared" si="901"/>
        <v>441.43000000000001</v>
      </c>
      <c r="K815" s="474">
        <f t="shared" ref="K815:K818" si="909">I815*J815</f>
        <v>507.64449999999999</v>
      </c>
      <c r="L815" s="473">
        <f t="shared" si="899"/>
        <v>436.14999999999998</v>
      </c>
      <c r="M815" s="474">
        <f t="shared" ref="M815:M818" si="910">L815*I815</f>
        <v>501.57249999999993</v>
      </c>
      <c r="O815" s="434">
        <f t="shared" si="905"/>
        <v>441.43000000000001</v>
      </c>
      <c r="P815" s="435">
        <f t="shared" si="906"/>
        <v>436.14999999999998</v>
      </c>
      <c r="AE815" s="217"/>
      <c r="AF815" s="217">
        <v>1086</v>
      </c>
      <c r="AH815">
        <f t="shared" si="904"/>
        <v>1086</v>
      </c>
    </row>
    <row r="816" ht="45" hidden="1">
      <c r="A816" s="217"/>
      <c r="B816" s="217">
        <v>1086</v>
      </c>
      <c r="C816" s="217"/>
      <c r="D816" s="217" t="s">
        <v>20398</v>
      </c>
      <c r="E816" s="471" t="s">
        <v>20402</v>
      </c>
      <c r="F816" s="482">
        <v>1000</v>
      </c>
      <c r="G816" s="470" t="s">
        <v>20651</v>
      </c>
      <c r="H816" s="471" t="s">
        <v>15528</v>
      </c>
      <c r="I816" s="473">
        <v>1.1499999999999999</v>
      </c>
      <c r="J816" s="473">
        <f t="shared" si="901"/>
        <v>149.904</v>
      </c>
      <c r="K816" s="474">
        <f t="shared" si="909"/>
        <v>172.38959999999997</v>
      </c>
      <c r="L816" s="473">
        <f t="shared" si="899"/>
        <v>141.76949999999999</v>
      </c>
      <c r="M816" s="474">
        <f t="shared" si="910"/>
        <v>163.03492499999999</v>
      </c>
      <c r="O816" s="434">
        <f t="shared" si="905"/>
        <v>149.904</v>
      </c>
      <c r="P816" s="435">
        <f t="shared" si="906"/>
        <v>141.76949999999999</v>
      </c>
      <c r="AE816" s="217"/>
      <c r="AF816" s="217">
        <v>1086</v>
      </c>
      <c r="AH816">
        <f t="shared" si="904"/>
        <v>1086</v>
      </c>
    </row>
    <row r="817" ht="60" hidden="1">
      <c r="A817" s="217"/>
      <c r="B817" s="217">
        <v>1086</v>
      </c>
      <c r="C817" s="217"/>
      <c r="D817" s="217" t="s">
        <v>17167</v>
      </c>
      <c r="E817" s="471" t="s">
        <v>20405</v>
      </c>
      <c r="F817" s="489">
        <v>96533</v>
      </c>
      <c r="G817" s="470" t="s">
        <v>20912</v>
      </c>
      <c r="H817" s="471" t="s">
        <v>15515</v>
      </c>
      <c r="I817" s="473">
        <v>7.4500000000000002</v>
      </c>
      <c r="J817" s="473">
        <f t="shared" si="901"/>
        <v>85.980000000000004</v>
      </c>
      <c r="K817" s="474">
        <f t="shared" si="909"/>
        <v>640.55100000000004</v>
      </c>
      <c r="L817" s="473">
        <f t="shared" si="899"/>
        <v>83.200000000000003</v>
      </c>
      <c r="M817" s="474">
        <f t="shared" si="910"/>
        <v>619.84000000000003</v>
      </c>
      <c r="O817" s="434">
        <f t="shared" si="905"/>
        <v>85.980000000000004</v>
      </c>
      <c r="P817" s="435">
        <f t="shared" si="906"/>
        <v>83.200000000000003</v>
      </c>
      <c r="AE817" s="217"/>
      <c r="AF817" s="217">
        <v>1086</v>
      </c>
      <c r="AH817">
        <f t="shared" si="904"/>
        <v>1086</v>
      </c>
    </row>
    <row r="818" ht="60" hidden="1">
      <c r="A818" s="217"/>
      <c r="B818" s="217">
        <v>1086</v>
      </c>
      <c r="C818" s="217"/>
      <c r="D818" s="217" t="s">
        <v>17167</v>
      </c>
      <c r="E818" s="471" t="s">
        <v>20409</v>
      </c>
      <c r="F818" s="489">
        <v>101616</v>
      </c>
      <c r="G818" s="470" t="s">
        <v>21093</v>
      </c>
      <c r="H818" s="471" t="s">
        <v>15515</v>
      </c>
      <c r="I818" s="473">
        <v>2.5499999999999998</v>
      </c>
      <c r="J818" s="473">
        <f t="shared" si="901"/>
        <v>7.7800000000000002</v>
      </c>
      <c r="K818" s="474">
        <f t="shared" si="909"/>
        <v>19.838999999999999</v>
      </c>
      <c r="L818" s="473">
        <f t="shared" si="899"/>
        <v>7.3499999999999996</v>
      </c>
      <c r="M818" s="474">
        <f t="shared" si="910"/>
        <v>18.742499999999996</v>
      </c>
      <c r="O818" s="434">
        <f t="shared" si="905"/>
        <v>7.7800000000000002</v>
      </c>
      <c r="P818" s="435">
        <f t="shared" si="906"/>
        <v>7.3499999999999996</v>
      </c>
      <c r="AE818" s="217"/>
      <c r="AF818" s="217">
        <v>1086</v>
      </c>
      <c r="AH818">
        <f t="shared" si="904"/>
        <v>1086</v>
      </c>
    </row>
    <row r="819" ht="34.5" hidden="1" customHeight="1">
      <c r="A819" s="460">
        <v>1087</v>
      </c>
      <c r="B819" s="460">
        <v>1087</v>
      </c>
      <c r="C819" s="460"/>
      <c r="D819" s="460"/>
      <c r="E819" s="461">
        <v>1</v>
      </c>
      <c r="F819" s="462" t="s">
        <v>21094</v>
      </c>
      <c r="G819" s="477" t="s">
        <v>21095</v>
      </c>
      <c r="H819" s="478" t="s">
        <v>31</v>
      </c>
      <c r="I819" s="479"/>
      <c r="J819" s="480"/>
      <c r="K819" s="466">
        <f>SUM(K820:K823)</f>
        <v>2252.53676</v>
      </c>
      <c r="L819" s="480"/>
      <c r="M819" s="466">
        <f>SUM(M820:M823)</f>
        <v>2191.3022300000002</v>
      </c>
      <c r="O819" s="434" t="str">
        <f t="shared" si="905"/>
        <v xml:space="preserve">SEM VALOR</v>
      </c>
      <c r="P819" s="435" t="str">
        <f t="shared" si="906"/>
        <v xml:space="preserve">SEM VALOR</v>
      </c>
      <c r="AE819" s="460">
        <v>1087</v>
      </c>
      <c r="AF819" s="460"/>
      <c r="AH819">
        <f t="shared" si="904"/>
        <v>1087</v>
      </c>
    </row>
    <row r="820" ht="60" hidden="1">
      <c r="A820" s="217"/>
      <c r="B820" s="217">
        <v>1087</v>
      </c>
      <c r="C820" s="217"/>
      <c r="D820" s="217" t="s">
        <v>17167</v>
      </c>
      <c r="E820" s="471" t="s">
        <v>20399</v>
      </c>
      <c r="F820" s="489">
        <v>94963</v>
      </c>
      <c r="G820" s="470" t="s">
        <v>21092</v>
      </c>
      <c r="H820" s="471" t="s">
        <v>15528</v>
      </c>
      <c r="I820" s="473">
        <v>2.1400000000000001</v>
      </c>
      <c r="J820" s="473">
        <f t="shared" si="901"/>
        <v>441.43000000000001</v>
      </c>
      <c r="K820" s="474">
        <f t="shared" ref="K820:K823" si="911">I820*J820</f>
        <v>944.66020000000003</v>
      </c>
      <c r="L820" s="473">
        <f t="shared" si="899"/>
        <v>436.14999999999998</v>
      </c>
      <c r="M820" s="474">
        <f t="shared" ref="M820:M823" si="912">L820*I820</f>
        <v>933.36099999999999</v>
      </c>
      <c r="O820" s="434">
        <f t="shared" si="905"/>
        <v>441.43000000000001</v>
      </c>
      <c r="P820" s="435">
        <f t="shared" si="906"/>
        <v>436.14999999999998</v>
      </c>
      <c r="AE820" s="217"/>
      <c r="AF820" s="217">
        <v>1087</v>
      </c>
      <c r="AH820">
        <f t="shared" si="904"/>
        <v>1087</v>
      </c>
    </row>
    <row r="821" ht="45" hidden="1">
      <c r="A821" s="217"/>
      <c r="B821" s="217">
        <v>1087</v>
      </c>
      <c r="C821" s="217"/>
      <c r="D821" s="217" t="s">
        <v>20398</v>
      </c>
      <c r="E821" s="471" t="s">
        <v>20402</v>
      </c>
      <c r="F821" s="482">
        <v>1000</v>
      </c>
      <c r="G821" s="470" t="s">
        <v>20651</v>
      </c>
      <c r="H821" s="471" t="s">
        <v>15528</v>
      </c>
      <c r="I821" s="473">
        <v>2.1400000000000001</v>
      </c>
      <c r="J821" s="473">
        <f t="shared" si="901"/>
        <v>149.904</v>
      </c>
      <c r="K821" s="474">
        <f t="shared" si="911"/>
        <v>320.79455999999999</v>
      </c>
      <c r="L821" s="473">
        <f t="shared" si="899"/>
        <v>141.76949999999999</v>
      </c>
      <c r="M821" s="474">
        <f t="shared" si="912"/>
        <v>303.38673</v>
      </c>
      <c r="O821" s="434">
        <f t="shared" si="905"/>
        <v>149.904</v>
      </c>
      <c r="P821" s="435">
        <f t="shared" si="906"/>
        <v>141.76949999999999</v>
      </c>
      <c r="AE821" s="217"/>
      <c r="AF821" s="217">
        <v>1087</v>
      </c>
      <c r="AH821">
        <f t="shared" si="904"/>
        <v>1087</v>
      </c>
    </row>
    <row r="822" ht="60" hidden="1">
      <c r="A822" s="217"/>
      <c r="B822" s="217">
        <v>1087</v>
      </c>
      <c r="C822" s="217"/>
      <c r="D822" s="217" t="s">
        <v>17167</v>
      </c>
      <c r="E822" s="471" t="s">
        <v>20405</v>
      </c>
      <c r="F822" s="489">
        <v>96533</v>
      </c>
      <c r="G822" s="470" t="s">
        <v>20912</v>
      </c>
      <c r="H822" s="471" t="s">
        <v>15515</v>
      </c>
      <c r="I822" s="473">
        <v>11.17</v>
      </c>
      <c r="J822" s="473">
        <f t="shared" si="901"/>
        <v>85.980000000000004</v>
      </c>
      <c r="K822" s="474">
        <f t="shared" si="911"/>
        <v>960.39660000000003</v>
      </c>
      <c r="L822" s="473">
        <f t="shared" si="899"/>
        <v>83.200000000000003</v>
      </c>
      <c r="M822" s="474">
        <f t="shared" si="912"/>
        <v>929.34400000000005</v>
      </c>
      <c r="O822" s="434">
        <f t="shared" si="905"/>
        <v>85.980000000000004</v>
      </c>
      <c r="P822" s="435">
        <f t="shared" si="906"/>
        <v>83.200000000000003</v>
      </c>
      <c r="AE822" s="217"/>
      <c r="AF822" s="217">
        <v>1087</v>
      </c>
      <c r="AH822">
        <f t="shared" si="904"/>
        <v>1087</v>
      </c>
    </row>
    <row r="823" ht="60" hidden="1">
      <c r="A823" s="217"/>
      <c r="B823" s="217">
        <v>1087</v>
      </c>
      <c r="C823" s="217"/>
      <c r="D823" s="217" t="s">
        <v>17167</v>
      </c>
      <c r="E823" s="471" t="s">
        <v>20409</v>
      </c>
      <c r="F823" s="489">
        <v>101616</v>
      </c>
      <c r="G823" s="470" t="s">
        <v>21093</v>
      </c>
      <c r="H823" s="471" t="s">
        <v>15515</v>
      </c>
      <c r="I823" s="473">
        <v>3.4300000000000002</v>
      </c>
      <c r="J823" s="473">
        <f t="shared" si="901"/>
        <v>7.7800000000000002</v>
      </c>
      <c r="K823" s="474">
        <f t="shared" si="911"/>
        <v>26.685400000000001</v>
      </c>
      <c r="L823" s="473">
        <f t="shared" si="899"/>
        <v>7.3499999999999996</v>
      </c>
      <c r="M823" s="474">
        <f t="shared" si="912"/>
        <v>25.2105</v>
      </c>
      <c r="O823" s="434">
        <f t="shared" si="905"/>
        <v>7.7800000000000002</v>
      </c>
      <c r="P823" s="435">
        <f t="shared" si="906"/>
        <v>7.3499999999999996</v>
      </c>
      <c r="AE823" s="217"/>
      <c r="AF823" s="217">
        <v>1087</v>
      </c>
      <c r="AH823">
        <f t="shared" si="904"/>
        <v>1087</v>
      </c>
    </row>
    <row r="824" ht="47.25" hidden="1">
      <c r="A824" s="460">
        <v>1088</v>
      </c>
      <c r="B824" s="460">
        <v>1088</v>
      </c>
      <c r="C824" s="460"/>
      <c r="D824" s="460"/>
      <c r="E824" s="461">
        <v>1</v>
      </c>
      <c r="F824" s="462" t="s">
        <v>21096</v>
      </c>
      <c r="G824" s="477" t="s">
        <v>21097</v>
      </c>
      <c r="H824" s="478" t="s">
        <v>15528</v>
      </c>
      <c r="I824" s="479"/>
      <c r="J824" s="480"/>
      <c r="K824" s="466">
        <f>SUM(K825:K840)</f>
        <v>79.203604875000011</v>
      </c>
      <c r="L824" s="480"/>
      <c r="M824" s="466">
        <f>SUM(M825:M840)</f>
        <v>78.699273436000013</v>
      </c>
      <c r="N824" s="467" t="s">
        <v>20862</v>
      </c>
      <c r="O824" s="434" t="str">
        <f t="shared" si="905"/>
        <v xml:space="preserve">SEM VALOR</v>
      </c>
      <c r="P824" s="435" t="str">
        <f t="shared" si="906"/>
        <v xml:space="preserve">SEM VALOR</v>
      </c>
      <c r="AE824" s="460">
        <v>1088</v>
      </c>
      <c r="AF824" s="460"/>
      <c r="AH824">
        <f t="shared" si="904"/>
        <v>1088</v>
      </c>
    </row>
    <row r="825" ht="24.75" hidden="1" customHeight="1">
      <c r="A825" s="217"/>
      <c r="B825" s="217">
        <v>1088</v>
      </c>
      <c r="C825" s="217"/>
      <c r="D825" s="217" t="s">
        <v>20453</v>
      </c>
      <c r="E825" s="471" t="s">
        <v>20402</v>
      </c>
      <c r="F825" s="486" t="s">
        <v>19997</v>
      </c>
      <c r="G825" s="470" t="s">
        <v>20865</v>
      </c>
      <c r="H825" s="482" t="s">
        <v>15364</v>
      </c>
      <c r="I825" s="522">
        <v>9.3439999999999995e-002</v>
      </c>
      <c r="J825" s="473">
        <f t="shared" si="901"/>
        <v>66.5</v>
      </c>
      <c r="K825" s="474">
        <f t="shared" ref="K825:K840" si="913">I825*J825</f>
        <v>6.2137599999999997</v>
      </c>
      <c r="L825" s="475">
        <f t="shared" si="899"/>
        <v>66.5</v>
      </c>
      <c r="M825" s="474">
        <f t="shared" ref="M825:M840" si="914">L825*I825</f>
        <v>6.2137599999999997</v>
      </c>
      <c r="N825" s="467" t="s">
        <v>20864</v>
      </c>
      <c r="O825" s="434">
        <f t="shared" si="905"/>
        <v>66.5</v>
      </c>
      <c r="P825" s="435">
        <f t="shared" si="906"/>
        <v>66.5</v>
      </c>
      <c r="AE825" s="217"/>
      <c r="AF825" s="217">
        <v>1088</v>
      </c>
      <c r="AH825">
        <f t="shared" si="904"/>
        <v>1088</v>
      </c>
    </row>
    <row r="826" hidden="1">
      <c r="A826" s="217"/>
      <c r="B826" s="217">
        <v>1088</v>
      </c>
      <c r="C826" s="217"/>
      <c r="D826" s="217" t="s">
        <v>20453</v>
      </c>
      <c r="E826" s="471" t="s">
        <v>20405</v>
      </c>
      <c r="F826" s="486" t="s">
        <v>20004</v>
      </c>
      <c r="G826" s="470" t="s">
        <v>20866</v>
      </c>
      <c r="H826" s="482" t="s">
        <v>15364</v>
      </c>
      <c r="I826" s="522">
        <v>4.4999999999999997e-003</v>
      </c>
      <c r="J826" s="473">
        <f t="shared" si="901"/>
        <v>600</v>
      </c>
      <c r="K826" s="474">
        <f t="shared" si="913"/>
        <v>2.6999999999999997</v>
      </c>
      <c r="L826" s="475">
        <f t="shared" si="899"/>
        <v>600</v>
      </c>
      <c r="M826" s="474">
        <f t="shared" si="914"/>
        <v>2.6999999999999997</v>
      </c>
      <c r="N826" s="467">
        <v>36.939999999999998</v>
      </c>
      <c r="O826" s="434">
        <f t="shared" si="905"/>
        <v>600</v>
      </c>
      <c r="P826" s="435">
        <f t="shared" si="906"/>
        <v>600</v>
      </c>
      <c r="AE826" s="217"/>
      <c r="AF826" s="217">
        <v>1088</v>
      </c>
      <c r="AH826">
        <f t="shared" si="904"/>
        <v>1088</v>
      </c>
    </row>
    <row r="827" hidden="1">
      <c r="A827" s="217"/>
      <c r="B827" s="217">
        <v>1088</v>
      </c>
      <c r="C827" s="217"/>
      <c r="D827" s="217" t="s">
        <v>20453</v>
      </c>
      <c r="E827" s="471" t="s">
        <v>20409</v>
      </c>
      <c r="F827" s="486" t="s">
        <v>20007</v>
      </c>
      <c r="G827" s="470" t="s">
        <v>20867</v>
      </c>
      <c r="H827" s="482" t="s">
        <v>15364</v>
      </c>
      <c r="I827" s="522">
        <v>1.6e-002</v>
      </c>
      <c r="J827" s="473">
        <f t="shared" si="901"/>
        <v>257.5</v>
      </c>
      <c r="K827" s="474">
        <f t="shared" si="913"/>
        <v>4.1200000000000001</v>
      </c>
      <c r="L827" s="475">
        <f t="shared" si="899"/>
        <v>257.5</v>
      </c>
      <c r="M827" s="474">
        <f t="shared" si="914"/>
        <v>4.1200000000000001</v>
      </c>
      <c r="O827" s="434">
        <f t="shared" si="905"/>
        <v>257.5</v>
      </c>
      <c r="P827" s="435">
        <f t="shared" si="906"/>
        <v>257.5</v>
      </c>
      <c r="AE827" s="217"/>
      <c r="AF827" s="217">
        <v>1088</v>
      </c>
      <c r="AH827">
        <f t="shared" si="904"/>
        <v>1088</v>
      </c>
    </row>
    <row r="828" hidden="1">
      <c r="A828" s="217"/>
      <c r="B828" s="217">
        <v>1088</v>
      </c>
      <c r="C828" s="217"/>
      <c r="D828" s="217" t="s">
        <v>17167</v>
      </c>
      <c r="E828" s="471" t="s">
        <v>20663</v>
      </c>
      <c r="F828" s="486">
        <v>88316</v>
      </c>
      <c r="G828" s="470" t="s">
        <v>20868</v>
      </c>
      <c r="H828" s="482" t="s">
        <v>15443</v>
      </c>
      <c r="I828" s="522">
        <f>6/N826</f>
        <v>0.1624256</v>
      </c>
      <c r="J828" s="473">
        <f t="shared" si="901"/>
        <v>22.760000000000002</v>
      </c>
      <c r="K828" s="474">
        <f t="shared" si="913"/>
        <v>3.6968066560000001</v>
      </c>
      <c r="L828" s="475">
        <f t="shared" si="899"/>
        <v>21.550000000000001</v>
      </c>
      <c r="M828" s="474">
        <f t="shared" si="914"/>
        <v>3.50027168</v>
      </c>
      <c r="O828" s="434">
        <f t="shared" si="905"/>
        <v>22.760000000000002</v>
      </c>
      <c r="P828" s="435">
        <f t="shared" si="906"/>
        <v>21.550000000000001</v>
      </c>
      <c r="AE828" s="217"/>
      <c r="AF828" s="217">
        <v>1088</v>
      </c>
      <c r="AH828">
        <f t="shared" si="904"/>
        <v>1088</v>
      </c>
    </row>
    <row r="829" ht="75" hidden="1">
      <c r="A829" s="217"/>
      <c r="B829" s="217">
        <v>1088</v>
      </c>
      <c r="C829" s="217"/>
      <c r="D829" s="217" t="s">
        <v>17167</v>
      </c>
      <c r="E829" s="471" t="s">
        <v>20665</v>
      </c>
      <c r="F829" s="489">
        <v>5901</v>
      </c>
      <c r="G829" s="488" t="s">
        <v>20871</v>
      </c>
      <c r="H829" s="471" t="s">
        <v>15410</v>
      </c>
      <c r="I829" s="509">
        <f>0.83/N826</f>
        <v>2.24689e-002</v>
      </c>
      <c r="J829" s="473">
        <f t="shared" si="901"/>
        <v>346.31999999999999</v>
      </c>
      <c r="K829" s="474">
        <f t="shared" si="913"/>
        <v>7.7814294479999999</v>
      </c>
      <c r="L829" s="475">
        <f t="shared" si="899"/>
        <v>344.72000000000003</v>
      </c>
      <c r="M829" s="474">
        <f t="shared" si="914"/>
        <v>7.7454792080000008</v>
      </c>
      <c r="O829" s="434">
        <f t="shared" si="905"/>
        <v>346.31999999999999</v>
      </c>
      <c r="P829" s="435">
        <f t="shared" si="906"/>
        <v>344.72000000000003</v>
      </c>
      <c r="AE829" s="217"/>
      <c r="AF829" s="217">
        <v>1088</v>
      </c>
      <c r="AH829">
        <f t="shared" si="904"/>
        <v>1088</v>
      </c>
    </row>
    <row r="830" ht="75" hidden="1">
      <c r="A830" s="217"/>
      <c r="B830" s="217">
        <v>1088</v>
      </c>
      <c r="C830" s="217"/>
      <c r="D830" s="217" t="s">
        <v>17167</v>
      </c>
      <c r="E830" s="471" t="s">
        <v>20667</v>
      </c>
      <c r="F830" s="489">
        <v>5903</v>
      </c>
      <c r="G830" s="488" t="s">
        <v>20872</v>
      </c>
      <c r="H830" s="471" t="s">
        <v>15414</v>
      </c>
      <c r="I830" s="509">
        <f>0.17/N826</f>
        <v>4.6020999999999996e-003</v>
      </c>
      <c r="J830" s="473">
        <f t="shared" si="901"/>
        <v>73.879999999999995</v>
      </c>
      <c r="K830" s="474">
        <f t="shared" si="913"/>
        <v>0.34000314799999992</v>
      </c>
      <c r="L830" s="475">
        <f t="shared" si="899"/>
        <v>72.280000000000001</v>
      </c>
      <c r="M830" s="474">
        <f t="shared" si="914"/>
        <v>0.33263978799999999</v>
      </c>
      <c r="O830" s="434">
        <f t="shared" si="905"/>
        <v>73.879999999999995</v>
      </c>
      <c r="P830" s="435">
        <f t="shared" si="906"/>
        <v>72.280000000000001</v>
      </c>
      <c r="AE830" s="217"/>
      <c r="AF830" s="217">
        <v>1088</v>
      </c>
      <c r="AH830">
        <f t="shared" si="904"/>
        <v>1088</v>
      </c>
    </row>
    <row r="831" ht="60" hidden="1">
      <c r="A831" s="217"/>
      <c r="B831" s="217">
        <v>1088</v>
      </c>
      <c r="C831" s="217"/>
      <c r="D831" s="217" t="s">
        <v>17167</v>
      </c>
      <c r="E831" s="471" t="s">
        <v>20671</v>
      </c>
      <c r="F831" s="489">
        <v>5932</v>
      </c>
      <c r="G831" s="488" t="s">
        <v>20873</v>
      </c>
      <c r="H831" s="471" t="s">
        <v>15410</v>
      </c>
      <c r="I831" s="509">
        <f>0.53/N826</f>
        <v>1.43476e-002</v>
      </c>
      <c r="J831" s="473">
        <f t="shared" si="901"/>
        <v>294.49000000000001</v>
      </c>
      <c r="K831" s="474">
        <f t="shared" si="913"/>
        <v>4.2252247240000003</v>
      </c>
      <c r="L831" s="475">
        <f t="shared" si="899"/>
        <v>291.70999999999998</v>
      </c>
      <c r="M831" s="474">
        <f t="shared" si="914"/>
        <v>4.1853383959999997</v>
      </c>
      <c r="O831" s="434">
        <f t="shared" si="905"/>
        <v>294.49000000000001</v>
      </c>
      <c r="P831" s="435">
        <f t="shared" si="906"/>
        <v>291.70999999999998</v>
      </c>
      <c r="AE831" s="217"/>
      <c r="AF831" s="217">
        <v>1088</v>
      </c>
      <c r="AH831">
        <f t="shared" si="904"/>
        <v>1088</v>
      </c>
    </row>
    <row r="832" ht="60" hidden="1">
      <c r="A832" s="217"/>
      <c r="B832" s="217">
        <v>1088</v>
      </c>
      <c r="C832" s="217"/>
      <c r="D832" s="217" t="s">
        <v>17167</v>
      </c>
      <c r="E832" s="471" t="s">
        <v>20672</v>
      </c>
      <c r="F832" s="489">
        <v>5934</v>
      </c>
      <c r="G832" s="488" t="s">
        <v>20874</v>
      </c>
      <c r="H832" s="471" t="s">
        <v>15414</v>
      </c>
      <c r="I832" s="509">
        <f>0.47/N826</f>
        <v>1.27233e-002</v>
      </c>
      <c r="J832" s="473">
        <f t="shared" si="901"/>
        <v>114.31</v>
      </c>
      <c r="K832" s="474">
        <f t="shared" si="913"/>
        <v>1.4544004230000001</v>
      </c>
      <c r="L832" s="475">
        <f t="shared" si="899"/>
        <v>111.53</v>
      </c>
      <c r="M832" s="474">
        <f t="shared" si="914"/>
        <v>1.4190296490000001</v>
      </c>
      <c r="O832" s="434">
        <f t="shared" si="905"/>
        <v>114.31</v>
      </c>
      <c r="P832" s="435">
        <f t="shared" si="906"/>
        <v>111.53</v>
      </c>
      <c r="AE832" s="217"/>
      <c r="AF832" s="217">
        <v>1088</v>
      </c>
      <c r="AH832">
        <f t="shared" si="904"/>
        <v>1088</v>
      </c>
    </row>
    <row r="833" ht="45" hidden="1">
      <c r="A833" s="217"/>
      <c r="B833" s="217">
        <v>1088</v>
      </c>
      <c r="C833" s="217"/>
      <c r="D833" s="217" t="s">
        <v>17167</v>
      </c>
      <c r="E833" s="471" t="s">
        <v>20673</v>
      </c>
      <c r="F833" s="489">
        <v>89250</v>
      </c>
      <c r="G833" s="488" t="s">
        <v>20875</v>
      </c>
      <c r="H833" s="471" t="s">
        <v>15410</v>
      </c>
      <c r="I833" s="509">
        <f>1/N826</f>
        <v>2.7070899999999998e-002</v>
      </c>
      <c r="J833" s="473">
        <f t="shared" si="901"/>
        <v>1229.3800000000001</v>
      </c>
      <c r="K833" s="474">
        <f t="shared" si="913"/>
        <v>33.280423042000002</v>
      </c>
      <c r="L833" s="475">
        <f t="shared" si="899"/>
        <v>1227.49</v>
      </c>
      <c r="M833" s="474">
        <f t="shared" si="914"/>
        <v>33.229259040999999</v>
      </c>
      <c r="O833" s="434">
        <f t="shared" si="905"/>
        <v>1229.3800000000001</v>
      </c>
      <c r="P833" s="435">
        <f t="shared" si="906"/>
        <v>1227.49</v>
      </c>
      <c r="AE833" s="217"/>
      <c r="AF833" s="217">
        <v>1088</v>
      </c>
      <c r="AH833">
        <f t="shared" si="904"/>
        <v>1088</v>
      </c>
    </row>
    <row r="834" ht="45" hidden="1">
      <c r="A834" s="217"/>
      <c r="B834" s="217">
        <v>1088</v>
      </c>
      <c r="C834" s="217"/>
      <c r="D834" s="217" t="s">
        <v>17167</v>
      </c>
      <c r="E834" s="471" t="s">
        <v>20675</v>
      </c>
      <c r="F834" s="489">
        <v>89251</v>
      </c>
      <c r="G834" s="488" t="s">
        <v>20876</v>
      </c>
      <c r="H834" s="471" t="s">
        <v>15414</v>
      </c>
      <c r="I834" s="509">
        <f>0/N826</f>
        <v>0</v>
      </c>
      <c r="J834" s="473">
        <f t="shared" si="901"/>
        <v>356.70999999999998</v>
      </c>
      <c r="K834" s="474">
        <f t="shared" si="913"/>
        <v>0</v>
      </c>
      <c r="L834" s="475">
        <f t="shared" si="899"/>
        <v>354.81999999999999</v>
      </c>
      <c r="M834" s="474">
        <f t="shared" si="914"/>
        <v>0</v>
      </c>
      <c r="O834" s="434">
        <f t="shared" si="905"/>
        <v>356.70999999999998</v>
      </c>
      <c r="P834" s="435">
        <f t="shared" si="906"/>
        <v>354.81999999999999</v>
      </c>
      <c r="AE834" s="217"/>
      <c r="AF834" s="217">
        <v>1088</v>
      </c>
      <c r="AH834">
        <f t="shared" si="904"/>
        <v>1088</v>
      </c>
    </row>
    <row r="835" ht="60" hidden="1">
      <c r="A835" s="217"/>
      <c r="B835" s="217">
        <v>1088</v>
      </c>
      <c r="C835" s="217"/>
      <c r="D835" s="217" t="s">
        <v>17167</v>
      </c>
      <c r="E835" s="471" t="s">
        <v>20677</v>
      </c>
      <c r="F835" s="489">
        <v>6879</v>
      </c>
      <c r="G835" s="488" t="s">
        <v>20877</v>
      </c>
      <c r="H835" s="471" t="s">
        <v>15410</v>
      </c>
      <c r="I835" s="509">
        <f>0.8/N826</f>
        <v>2.1656700000000001e-002</v>
      </c>
      <c r="J835" s="473">
        <f t="shared" si="901"/>
        <v>212.56</v>
      </c>
      <c r="K835" s="474">
        <f t="shared" si="913"/>
        <v>4.6033481520000006</v>
      </c>
      <c r="L835" s="475">
        <f t="shared" si="899"/>
        <v>210.86000000000001</v>
      </c>
      <c r="M835" s="474">
        <f t="shared" si="914"/>
        <v>4.5665317620000003</v>
      </c>
      <c r="O835" s="434">
        <f t="shared" si="905"/>
        <v>212.56</v>
      </c>
      <c r="P835" s="435">
        <f t="shared" si="906"/>
        <v>210.86000000000001</v>
      </c>
      <c r="AE835" s="217"/>
      <c r="AF835" s="217">
        <v>1088</v>
      </c>
      <c r="AH835">
        <f t="shared" si="904"/>
        <v>1088</v>
      </c>
    </row>
    <row r="836" ht="60" hidden="1">
      <c r="A836" s="217"/>
      <c r="B836" s="217">
        <v>1088</v>
      </c>
      <c r="C836" s="217"/>
      <c r="D836" s="217" t="s">
        <v>17167</v>
      </c>
      <c r="E836" s="471" t="s">
        <v>20679</v>
      </c>
      <c r="F836" s="489">
        <v>6880</v>
      </c>
      <c r="G836" s="488" t="s">
        <v>20878</v>
      </c>
      <c r="H836" s="471" t="s">
        <v>15414</v>
      </c>
      <c r="I836" s="509">
        <f>0.2/N826</f>
        <v>5.4142000000000001e-003</v>
      </c>
      <c r="J836" s="473">
        <f t="shared" si="901"/>
        <v>84.219999999999999</v>
      </c>
      <c r="K836" s="474">
        <f t="shared" si="913"/>
        <v>0.45598392399999998</v>
      </c>
      <c r="L836" s="475">
        <f t="shared" si="899"/>
        <v>82.519999999999996</v>
      </c>
      <c r="M836" s="474">
        <f t="shared" si="914"/>
        <v>0.44677978400000001</v>
      </c>
      <c r="O836" s="434">
        <f t="shared" si="905"/>
        <v>84.219999999999999</v>
      </c>
      <c r="P836" s="435">
        <f t="shared" si="906"/>
        <v>82.519999999999996</v>
      </c>
      <c r="AE836" s="217"/>
      <c r="AF836" s="217">
        <v>1088</v>
      </c>
      <c r="AH836">
        <f t="shared" si="904"/>
        <v>1088</v>
      </c>
    </row>
    <row r="837" ht="60" hidden="1">
      <c r="A837" s="217"/>
      <c r="B837" s="217">
        <v>1088</v>
      </c>
      <c r="C837" s="217"/>
      <c r="D837" s="217" t="s">
        <v>17167</v>
      </c>
      <c r="E837" s="471" t="s">
        <v>20681</v>
      </c>
      <c r="F837" s="489">
        <v>95631</v>
      </c>
      <c r="G837" s="488" t="s">
        <v>20879</v>
      </c>
      <c r="H837" s="471" t="s">
        <v>15410</v>
      </c>
      <c r="I837" s="509">
        <f>0.64/N826</f>
        <v>1.7325400000000001e-002</v>
      </c>
      <c r="J837" s="473">
        <f t="shared" si="901"/>
        <v>235.97999999999999</v>
      </c>
      <c r="K837" s="474">
        <f t="shared" si="913"/>
        <v>4.0884478920000005</v>
      </c>
      <c r="L837" s="475">
        <f t="shared" si="899"/>
        <v>234.28</v>
      </c>
      <c r="M837" s="474">
        <f t="shared" si="914"/>
        <v>4.0589947120000005</v>
      </c>
      <c r="O837" s="434">
        <f t="shared" si="905"/>
        <v>235.97999999999999</v>
      </c>
      <c r="P837" s="435">
        <f t="shared" si="906"/>
        <v>234.28</v>
      </c>
      <c r="AE837" s="217"/>
      <c r="AF837" s="217">
        <v>1088</v>
      </c>
      <c r="AH837">
        <f t="shared" si="904"/>
        <v>1088</v>
      </c>
    </row>
    <row r="838" ht="60" hidden="1">
      <c r="A838" s="217"/>
      <c r="B838" s="217">
        <v>1088</v>
      </c>
      <c r="C838" s="217"/>
      <c r="D838" s="217" t="s">
        <v>17167</v>
      </c>
      <c r="E838" s="471" t="s">
        <v>20683</v>
      </c>
      <c r="F838" s="489">
        <v>95632</v>
      </c>
      <c r="G838" s="488" t="s">
        <v>20880</v>
      </c>
      <c r="H838" s="471" t="s">
        <v>15414</v>
      </c>
      <c r="I838" s="509">
        <f>0.36/N826</f>
        <v>9.7455000000000007e-003</v>
      </c>
      <c r="J838" s="473">
        <f t="shared" si="901"/>
        <v>81.819999999999993</v>
      </c>
      <c r="K838" s="474">
        <f t="shared" si="913"/>
        <v>0.79737680999999994</v>
      </c>
      <c r="L838" s="475">
        <f t="shared" si="899"/>
        <v>80.120000000000005</v>
      </c>
      <c r="M838" s="474">
        <f t="shared" si="914"/>
        <v>0.78080946000000007</v>
      </c>
      <c r="O838" s="434">
        <f t="shared" si="905"/>
        <v>81.819999999999993</v>
      </c>
      <c r="P838" s="435">
        <f t="shared" si="906"/>
        <v>80.120000000000005</v>
      </c>
      <c r="AE838" s="217"/>
      <c r="AF838" s="217">
        <v>1088</v>
      </c>
      <c r="AH838">
        <f t="shared" si="904"/>
        <v>1088</v>
      </c>
    </row>
    <row r="839" ht="75" hidden="1">
      <c r="A839" s="217"/>
      <c r="B839" s="217">
        <v>1088</v>
      </c>
      <c r="C839" s="217"/>
      <c r="D839" s="217" t="s">
        <v>17167</v>
      </c>
      <c r="E839" s="471" t="s">
        <v>20685</v>
      </c>
      <c r="F839" s="489">
        <v>7049</v>
      </c>
      <c r="G839" s="488" t="s">
        <v>20881</v>
      </c>
      <c r="H839" s="471" t="s">
        <v>15410</v>
      </c>
      <c r="I839" s="509">
        <f>0.82/N826</f>
        <v>2.2198200000000001e-002</v>
      </c>
      <c r="J839" s="473">
        <f t="shared" si="901"/>
        <v>228.24000000000001</v>
      </c>
      <c r="K839" s="474">
        <f t="shared" si="913"/>
        <v>5.0665171680000007</v>
      </c>
      <c r="L839" s="475">
        <f t="shared" si="899"/>
        <v>226.53999999999999</v>
      </c>
      <c r="M839" s="474">
        <f t="shared" si="914"/>
        <v>5.0287802280000005</v>
      </c>
      <c r="O839" s="434">
        <f t="shared" si="905"/>
        <v>228.24000000000001</v>
      </c>
      <c r="P839" s="435">
        <f t="shared" si="906"/>
        <v>226.53999999999999</v>
      </c>
      <c r="AE839" s="217"/>
      <c r="AF839" s="217">
        <v>1088</v>
      </c>
      <c r="AH839">
        <f t="shared" si="904"/>
        <v>1088</v>
      </c>
    </row>
    <row r="840" ht="75" hidden="1">
      <c r="A840" s="217"/>
      <c r="B840" s="217">
        <v>1088</v>
      </c>
      <c r="C840" s="217"/>
      <c r="D840" s="217" t="s">
        <v>17167</v>
      </c>
      <c r="E840" s="471" t="s">
        <v>20687</v>
      </c>
      <c r="F840" s="489">
        <v>7050</v>
      </c>
      <c r="G840" s="488" t="s">
        <v>20883</v>
      </c>
      <c r="H840" s="471" t="s">
        <v>15414</v>
      </c>
      <c r="I840" s="509">
        <f>0.18/N826</f>
        <v>4.8728e-003</v>
      </c>
      <c r="J840" s="473">
        <f t="shared" si="901"/>
        <v>77.959999999999994</v>
      </c>
      <c r="K840" s="474">
        <f t="shared" si="913"/>
        <v>0.37988348799999999</v>
      </c>
      <c r="L840" s="475">
        <f t="shared" si="899"/>
        <v>76.260000000000005</v>
      </c>
      <c r="M840" s="474">
        <f t="shared" si="914"/>
        <v>0.37159972800000002</v>
      </c>
      <c r="O840" s="434">
        <f t="shared" si="905"/>
        <v>77.959999999999994</v>
      </c>
      <c r="P840" s="435">
        <f t="shared" si="906"/>
        <v>76.260000000000005</v>
      </c>
      <c r="AE840" s="217"/>
      <c r="AF840" s="217">
        <v>1088</v>
      </c>
      <c r="AH840">
        <f t="shared" si="904"/>
        <v>1088</v>
      </c>
    </row>
    <row r="841" ht="63" hidden="1">
      <c r="A841" s="460">
        <v>1089</v>
      </c>
      <c r="B841" s="460">
        <v>1089</v>
      </c>
      <c r="C841" s="460"/>
      <c r="D841" s="460"/>
      <c r="E841" s="461">
        <v>1</v>
      </c>
      <c r="F841" s="462" t="s">
        <v>21098</v>
      </c>
      <c r="G841" s="477" t="s">
        <v>21099</v>
      </c>
      <c r="H841" s="478" t="s">
        <v>15528</v>
      </c>
      <c r="I841" s="479"/>
      <c r="J841" s="480"/>
      <c r="K841" s="466">
        <f>SUM(K842:K844)</f>
        <v>101.013282366</v>
      </c>
      <c r="L841" s="480"/>
      <c r="M841" s="466">
        <f>SUM(M842:M844)</f>
        <v>100.961847656</v>
      </c>
      <c r="N841" s="467" t="s">
        <v>20864</v>
      </c>
      <c r="O841" s="434" t="str">
        <f t="shared" si="905"/>
        <v xml:space="preserve">SEM VALOR</v>
      </c>
      <c r="P841" s="435" t="str">
        <f t="shared" si="906"/>
        <v xml:space="preserve">SEM VALOR</v>
      </c>
      <c r="AE841" s="460">
        <v>1089</v>
      </c>
      <c r="AF841" s="460"/>
      <c r="AH841">
        <f t="shared" si="904"/>
        <v>1089</v>
      </c>
    </row>
    <row r="842" ht="60" hidden="1">
      <c r="A842" s="217"/>
      <c r="B842" s="217">
        <v>1089</v>
      </c>
      <c r="C842" s="217"/>
      <c r="D842" s="217" t="s">
        <v>17167</v>
      </c>
      <c r="E842" s="471" t="s">
        <v>20399</v>
      </c>
      <c r="F842" s="471">
        <v>95127</v>
      </c>
      <c r="G842" s="535" t="s">
        <v>1657</v>
      </c>
      <c r="H842" s="471" t="s">
        <v>1535</v>
      </c>
      <c r="I842" s="509">
        <f>0.33/N842</f>
        <v>8.9333999999999993e-003</v>
      </c>
      <c r="J842" s="473">
        <f t="shared" si="901"/>
        <v>246.74000000000001</v>
      </c>
      <c r="K842" s="474">
        <f t="shared" ref="K842:K844" si="915">I842*J842</f>
        <v>2.2042271159999998</v>
      </c>
      <c r="L842" s="473">
        <f t="shared" si="899"/>
        <v>244.84</v>
      </c>
      <c r="M842" s="474">
        <f t="shared" ref="M842:M844" si="916">L842*I842</f>
        <v>2.1872536559999998</v>
      </c>
      <c r="N842" s="467">
        <v>36.939999999999998</v>
      </c>
      <c r="O842" s="434">
        <f t="shared" si="905"/>
        <v>246.74000000000001</v>
      </c>
      <c r="P842" s="435">
        <f t="shared" si="906"/>
        <v>244.84</v>
      </c>
      <c r="AE842" s="217"/>
      <c r="AF842" s="217">
        <v>1089</v>
      </c>
      <c r="AH842">
        <f t="shared" si="904"/>
        <v>1089</v>
      </c>
    </row>
    <row r="843" ht="60" hidden="1">
      <c r="A843" s="217"/>
      <c r="B843" s="217">
        <v>1089</v>
      </c>
      <c r="C843" s="217"/>
      <c r="D843" s="217" t="s">
        <v>17167</v>
      </c>
      <c r="E843" s="471" t="s">
        <v>20402</v>
      </c>
      <c r="F843" s="486">
        <v>95128</v>
      </c>
      <c r="G843" s="470" t="s">
        <v>1656</v>
      </c>
      <c r="H843" s="471" t="s">
        <v>1533</v>
      </c>
      <c r="I843" s="509">
        <f>0.67/N842</f>
        <v>1.8137500000000001e-002</v>
      </c>
      <c r="J843" s="473">
        <f t="shared" si="901"/>
        <v>57.420000000000002</v>
      </c>
      <c r="K843" s="474">
        <f t="shared" si="915"/>
        <v>1.0414552500000001</v>
      </c>
      <c r="L843" s="473">
        <f t="shared" ref="L843:L906" si="917">P843*$L$3</f>
        <v>55.520000000000003</v>
      </c>
      <c r="M843" s="474">
        <f t="shared" si="916"/>
        <v>1.0069940000000002</v>
      </c>
      <c r="O843" s="434">
        <f t="shared" si="905"/>
        <v>57.420000000000002</v>
      </c>
      <c r="P843" s="435">
        <f t="shared" si="906"/>
        <v>55.520000000000003</v>
      </c>
      <c r="AE843" s="217"/>
      <c r="AF843" s="217">
        <v>1089</v>
      </c>
      <c r="AH843">
        <f t="shared" si="904"/>
        <v>1089</v>
      </c>
    </row>
    <row r="844" ht="16.5" hidden="1" customHeight="1">
      <c r="A844" s="217"/>
      <c r="B844" s="217">
        <v>1089</v>
      </c>
      <c r="C844" s="217"/>
      <c r="D844" s="217" t="s">
        <v>20408</v>
      </c>
      <c r="E844" s="471" t="s">
        <v>20405</v>
      </c>
      <c r="F844" s="469">
        <v>4741</v>
      </c>
      <c r="G844" s="470" t="s">
        <v>21100</v>
      </c>
      <c r="H844" s="471" t="s">
        <v>15528</v>
      </c>
      <c r="I844" s="509">
        <v>1.03</v>
      </c>
      <c r="J844" s="473">
        <f t="shared" si="901"/>
        <v>94.920000000000002</v>
      </c>
      <c r="K844" s="474">
        <f t="shared" si="915"/>
        <v>97.767600000000002</v>
      </c>
      <c r="L844" s="473">
        <f t="shared" si="917"/>
        <v>94.920000000000002</v>
      </c>
      <c r="M844" s="474">
        <f t="shared" si="916"/>
        <v>97.767600000000002</v>
      </c>
      <c r="O844" s="434">
        <f t="shared" si="905"/>
        <v>94.920000000000002</v>
      </c>
      <c r="P844" s="435">
        <f t="shared" si="906"/>
        <v>94.920000000000002</v>
      </c>
      <c r="AE844" s="217"/>
      <c r="AF844" s="217">
        <v>1089</v>
      </c>
      <c r="AH844">
        <f t="shared" si="904"/>
        <v>1089</v>
      </c>
    </row>
    <row r="845" ht="78.75" hidden="1">
      <c r="A845" s="460">
        <v>1090</v>
      </c>
      <c r="B845" s="460">
        <v>1090</v>
      </c>
      <c r="C845" s="460"/>
      <c r="D845" s="460"/>
      <c r="E845" s="461">
        <v>1</v>
      </c>
      <c r="F845" s="462" t="s">
        <v>21101</v>
      </c>
      <c r="G845" s="477" t="s">
        <v>21102</v>
      </c>
      <c r="H845" s="478" t="s">
        <v>15515</v>
      </c>
      <c r="I845" s="479"/>
      <c r="J845" s="480"/>
      <c r="K845" s="466">
        <f>SUM(K846:K850)</f>
        <v>68.199535999999995</v>
      </c>
      <c r="L845" s="480"/>
      <c r="M845" s="466">
        <f>SUM(M846:M850)</f>
        <v>66.288984999999997</v>
      </c>
      <c r="N845" s="487" t="s">
        <v>21103</v>
      </c>
      <c r="O845" s="434" t="str">
        <f t="shared" si="905"/>
        <v xml:space="preserve">SEM VALOR</v>
      </c>
      <c r="P845" s="435" t="str">
        <f t="shared" si="906"/>
        <v xml:space="preserve">SEM VALOR</v>
      </c>
      <c r="AE845" s="460">
        <v>1090</v>
      </c>
      <c r="AF845" s="460"/>
      <c r="AH845">
        <f t="shared" si="904"/>
        <v>1090</v>
      </c>
    </row>
    <row r="846" ht="45" hidden="1">
      <c r="A846" s="217"/>
      <c r="B846" s="217">
        <v>1090</v>
      </c>
      <c r="C846" s="217"/>
      <c r="D846" s="217" t="s">
        <v>20408</v>
      </c>
      <c r="E846" s="471" t="s">
        <v>20399</v>
      </c>
      <c r="F846" s="536">
        <v>4408</v>
      </c>
      <c r="G846" s="537" t="s">
        <v>21104</v>
      </c>
      <c r="H846" s="526" t="s">
        <v>38</v>
      </c>
      <c r="I846" s="538">
        <v>2</v>
      </c>
      <c r="J846" s="473">
        <f t="shared" si="901"/>
        <v>2.8199999999999998</v>
      </c>
      <c r="K846" s="474">
        <f t="shared" ref="K846:K850" si="918">I846*J846</f>
        <v>5.6399999999999997</v>
      </c>
      <c r="L846" s="473">
        <f t="shared" si="917"/>
        <v>2.8199999999999998</v>
      </c>
      <c r="M846" s="474">
        <f t="shared" ref="M846:M850" si="919">L846*I846</f>
        <v>5.6399999999999997</v>
      </c>
      <c r="O846" s="434">
        <f t="shared" si="905"/>
        <v>2.8199999999999998</v>
      </c>
      <c r="P846" s="435">
        <f t="shared" si="906"/>
        <v>2.8199999999999998</v>
      </c>
      <c r="AE846" s="217"/>
      <c r="AF846" s="217">
        <v>1090</v>
      </c>
      <c r="AH846">
        <f t="shared" si="904"/>
        <v>1090</v>
      </c>
    </row>
    <row r="847" ht="30" hidden="1">
      <c r="A847" s="217"/>
      <c r="B847" s="217">
        <v>1090</v>
      </c>
      <c r="C847" s="217"/>
      <c r="D847" s="217" t="s">
        <v>17167</v>
      </c>
      <c r="E847" s="471" t="s">
        <v>20402</v>
      </c>
      <c r="F847" s="536">
        <v>88262</v>
      </c>
      <c r="G847" s="539" t="s">
        <v>7127</v>
      </c>
      <c r="H847" s="526" t="s">
        <v>2032</v>
      </c>
      <c r="I847" s="538">
        <v>6.83e-002</v>
      </c>
      <c r="J847" s="473">
        <f t="shared" si="901"/>
        <v>27.739999999999998</v>
      </c>
      <c r="K847" s="474">
        <f t="shared" si="918"/>
        <v>1.8946419999999999</v>
      </c>
      <c r="L847" s="473">
        <f t="shared" si="917"/>
        <v>26.129999999999999</v>
      </c>
      <c r="M847" s="474">
        <f t="shared" si="919"/>
        <v>1.7846789999999999</v>
      </c>
      <c r="O847" s="434">
        <f t="shared" si="905"/>
        <v>27.739999999999998</v>
      </c>
      <c r="P847" s="435">
        <f t="shared" si="906"/>
        <v>26.129999999999999</v>
      </c>
      <c r="AE847" s="217"/>
      <c r="AF847" s="217">
        <v>1090</v>
      </c>
      <c r="AH847">
        <f t="shared" si="904"/>
        <v>1090</v>
      </c>
    </row>
    <row r="848" ht="30" hidden="1">
      <c r="A848" s="217"/>
      <c r="B848" s="217">
        <v>1090</v>
      </c>
      <c r="C848" s="217"/>
      <c r="D848" s="217" t="s">
        <v>17167</v>
      </c>
      <c r="E848" s="471" t="s">
        <v>20405</v>
      </c>
      <c r="F848" s="536">
        <v>88309</v>
      </c>
      <c r="G848" s="539" t="s">
        <v>7385</v>
      </c>
      <c r="H848" s="526" t="s">
        <v>2032</v>
      </c>
      <c r="I848" s="538">
        <v>0.39190000000000003</v>
      </c>
      <c r="J848" s="473">
        <f t="shared" si="901"/>
        <v>28.5</v>
      </c>
      <c r="K848" s="474">
        <f t="shared" si="918"/>
        <v>11.16915</v>
      </c>
      <c r="L848" s="473">
        <f t="shared" si="917"/>
        <v>26.870000000000001</v>
      </c>
      <c r="M848" s="474">
        <f t="shared" si="919"/>
        <v>10.530353000000002</v>
      </c>
      <c r="O848" s="434">
        <f t="shared" si="905"/>
        <v>28.5</v>
      </c>
      <c r="P848" s="435">
        <f t="shared" si="906"/>
        <v>26.870000000000001</v>
      </c>
      <c r="AE848" s="217"/>
      <c r="AF848" s="217">
        <v>1090</v>
      </c>
      <c r="AH848">
        <f t="shared" si="904"/>
        <v>1090</v>
      </c>
    </row>
    <row r="849" ht="30" hidden="1">
      <c r="A849" s="217"/>
      <c r="B849" s="217">
        <v>1090</v>
      </c>
      <c r="C849" s="217"/>
      <c r="D849" s="217" t="s">
        <v>17167</v>
      </c>
      <c r="E849" s="471" t="s">
        <v>20409</v>
      </c>
      <c r="F849" s="536">
        <v>88316</v>
      </c>
      <c r="G849" s="539" t="s">
        <v>7393</v>
      </c>
      <c r="H849" s="526" t="s">
        <v>2032</v>
      </c>
      <c r="I849" s="538">
        <v>0.68989999999999996</v>
      </c>
      <c r="J849" s="473">
        <f t="shared" si="901"/>
        <v>22.760000000000002</v>
      </c>
      <c r="K849" s="474">
        <f t="shared" si="918"/>
        <v>15.702124</v>
      </c>
      <c r="L849" s="473">
        <f t="shared" si="917"/>
        <v>21.550000000000001</v>
      </c>
      <c r="M849" s="474">
        <f t="shared" si="919"/>
        <v>14.867345</v>
      </c>
      <c r="O849" s="434">
        <f t="shared" si="905"/>
        <v>22.760000000000002</v>
      </c>
      <c r="P849" s="435">
        <f t="shared" si="906"/>
        <v>21.550000000000001</v>
      </c>
      <c r="AE849" s="217"/>
      <c r="AF849" s="217">
        <v>1090</v>
      </c>
      <c r="AH849">
        <f t="shared" si="904"/>
        <v>1090</v>
      </c>
    </row>
    <row r="850" ht="60" hidden="1">
      <c r="A850" s="217"/>
      <c r="B850" s="217">
        <v>1090</v>
      </c>
      <c r="C850" s="217"/>
      <c r="D850" s="217" t="s">
        <v>17167</v>
      </c>
      <c r="E850" s="471" t="s">
        <v>20663</v>
      </c>
      <c r="F850" s="526">
        <v>94970</v>
      </c>
      <c r="G850" s="539" t="s">
        <v>21105</v>
      </c>
      <c r="H850" s="526" t="s">
        <v>15528</v>
      </c>
      <c r="I850" s="538">
        <v>7.1400000000000005e-002</v>
      </c>
      <c r="J850" s="473">
        <f t="shared" si="901"/>
        <v>473.30000000000001</v>
      </c>
      <c r="K850" s="474">
        <f t="shared" si="918"/>
        <v>33.793620000000004</v>
      </c>
      <c r="L850" s="473">
        <f t="shared" si="917"/>
        <v>468.72000000000003</v>
      </c>
      <c r="M850" s="474">
        <f t="shared" si="919"/>
        <v>33.466608000000001</v>
      </c>
      <c r="O850" s="434">
        <f t="shared" si="905"/>
        <v>473.30000000000001</v>
      </c>
      <c r="P850" s="435">
        <f t="shared" si="906"/>
        <v>468.72000000000003</v>
      </c>
      <c r="AE850" s="217"/>
      <c r="AF850" s="217">
        <v>1090</v>
      </c>
      <c r="AH850">
        <f t="shared" si="904"/>
        <v>1090</v>
      </c>
    </row>
    <row r="851" ht="78.75">
      <c r="A851" s="460">
        <v>1091</v>
      </c>
      <c r="B851" s="460">
        <v>1091</v>
      </c>
      <c r="C851" s="460"/>
      <c r="D851" s="460"/>
      <c r="E851" s="461">
        <v>1</v>
      </c>
      <c r="F851" s="462" t="s">
        <v>20481</v>
      </c>
      <c r="G851" s="477" t="s">
        <v>21106</v>
      </c>
      <c r="H851" s="478" t="s">
        <v>21107</v>
      </c>
      <c r="I851" s="479"/>
      <c r="J851" s="480"/>
      <c r="K851" s="466">
        <f>SUM(K852)</f>
        <v>1.7173489560000001</v>
      </c>
      <c r="L851" s="480"/>
      <c r="M851" s="466">
        <f>SUM(M852)</f>
        <v>1.7074672319999999</v>
      </c>
      <c r="N851" s="487" t="s">
        <v>21108</v>
      </c>
      <c r="O851" s="434" t="str">
        <f t="shared" si="905"/>
        <v xml:space="preserve">SEM VALOR</v>
      </c>
      <c r="P851" s="435" t="str">
        <f t="shared" si="906"/>
        <v xml:space="preserve">SEM VALOR</v>
      </c>
      <c r="AE851" s="460">
        <v>1091</v>
      </c>
      <c r="AF851" s="460"/>
      <c r="AH851">
        <f t="shared" si="904"/>
        <v>1091</v>
      </c>
    </row>
    <row r="852" ht="105">
      <c r="A852" s="217"/>
      <c r="B852" s="217">
        <v>1091</v>
      </c>
      <c r="C852" s="217"/>
      <c r="D852" s="217" t="s">
        <v>17167</v>
      </c>
      <c r="E852" s="471" t="s">
        <v>20399</v>
      </c>
      <c r="F852" s="540">
        <v>91386</v>
      </c>
      <c r="G852" s="541" t="s">
        <v>1571</v>
      </c>
      <c r="H852" s="542" t="s">
        <v>1535</v>
      </c>
      <c r="I852" s="509">
        <v>5.9172000000000001e-003</v>
      </c>
      <c r="J852" s="473">
        <f t="shared" ref="J852:J915" si="920">O852*$J$3</f>
        <v>290.23000000000002</v>
      </c>
      <c r="K852" s="474">
        <f>I852*J852</f>
        <v>1.7173489560000001</v>
      </c>
      <c r="L852" s="473">
        <f t="shared" si="917"/>
        <v>288.56</v>
      </c>
      <c r="M852" s="474">
        <f>L852*I852</f>
        <v>1.7074672319999999</v>
      </c>
      <c r="O852" s="434">
        <f t="shared" si="905"/>
        <v>290.23000000000002</v>
      </c>
      <c r="P852" s="435">
        <f t="shared" si="906"/>
        <v>288.56</v>
      </c>
      <c r="AE852" s="217"/>
      <c r="AF852" s="217">
        <v>1091</v>
      </c>
      <c r="AH852">
        <f t="shared" si="904"/>
        <v>1091</v>
      </c>
    </row>
    <row r="853" ht="113.25" customHeight="1">
      <c r="A853" s="460">
        <v>1092</v>
      </c>
      <c r="B853" s="460">
        <v>1092</v>
      </c>
      <c r="C853" s="460"/>
      <c r="D853" s="460"/>
      <c r="E853" s="461">
        <v>1</v>
      </c>
      <c r="F853" s="462" t="s">
        <v>20436</v>
      </c>
      <c r="G853" s="477" t="s">
        <v>20666</v>
      </c>
      <c r="H853" s="478" t="s">
        <v>15528</v>
      </c>
      <c r="I853" s="479"/>
      <c r="J853" s="480"/>
      <c r="K853" s="466">
        <f>SUM(K854:K856)</f>
        <v>2.2000000000000002</v>
      </c>
      <c r="L853" s="480"/>
      <c r="M853" s="466">
        <f>SUM(M854:M856)</f>
        <v>2.1879900000000001</v>
      </c>
      <c r="N853" s="487" t="s">
        <v>21109</v>
      </c>
      <c r="O853" s="434" t="str">
        <f t="shared" si="905"/>
        <v xml:space="preserve">SEM VALOR</v>
      </c>
      <c r="P853" s="435" t="str">
        <f t="shared" si="906"/>
        <v xml:space="preserve">SEM VALOR</v>
      </c>
      <c r="AE853" s="460">
        <v>1092</v>
      </c>
      <c r="AF853" s="460"/>
      <c r="AH853">
        <f t="shared" si="904"/>
        <v>1092</v>
      </c>
    </row>
    <row r="854" ht="90">
      <c r="A854" s="217"/>
      <c r="B854" s="217">
        <v>1092</v>
      </c>
      <c r="C854" s="217"/>
      <c r="D854" s="217" t="s">
        <v>17167</v>
      </c>
      <c r="E854" s="471" t="s">
        <v>20399</v>
      </c>
      <c r="F854" s="540">
        <v>5811</v>
      </c>
      <c r="G854" s="541" t="s">
        <v>1581</v>
      </c>
      <c r="H854" s="542" t="s">
        <v>1535</v>
      </c>
      <c r="I854" s="509">
        <v>3.0000000000000001e-003</v>
      </c>
      <c r="J854" s="473">
        <f t="shared" si="920"/>
        <v>219.96000000000001</v>
      </c>
      <c r="K854" s="474">
        <f>TRUNC(I854*J854,2)</f>
        <v>0.65000000000000002</v>
      </c>
      <c r="L854" s="473">
        <f t="shared" si="917"/>
        <v>218.28999999999999</v>
      </c>
      <c r="M854" s="474">
        <f t="shared" ref="M854:M856" si="921">L854*I854</f>
        <v>0.65486999999999995</v>
      </c>
      <c r="O854" s="434">
        <f t="shared" si="905"/>
        <v>219.96000000000001</v>
      </c>
      <c r="P854" s="435">
        <f t="shared" si="906"/>
        <v>218.28999999999999</v>
      </c>
      <c r="AE854" s="217"/>
      <c r="AF854" s="217">
        <v>1092</v>
      </c>
      <c r="AH854">
        <f t="shared" si="904"/>
        <v>1092</v>
      </c>
    </row>
    <row r="855" ht="75">
      <c r="A855" s="217"/>
      <c r="B855" s="217">
        <v>1092</v>
      </c>
      <c r="C855" s="217"/>
      <c r="D855" s="217" t="s">
        <v>17167</v>
      </c>
      <c r="E855" s="471" t="s">
        <v>20402</v>
      </c>
      <c r="F855" s="540">
        <v>5940</v>
      </c>
      <c r="G855" s="541" t="s">
        <v>1863</v>
      </c>
      <c r="H855" s="542" t="s">
        <v>1535</v>
      </c>
      <c r="I855" s="509">
        <v>8.0000000000000002e-003</v>
      </c>
      <c r="J855" s="473">
        <f t="shared" si="920"/>
        <v>171.97999999999999</v>
      </c>
      <c r="K855" s="474">
        <f>TRUNC(I855*J855,2)</f>
        <v>1.3700000000000001</v>
      </c>
      <c r="L855" s="473">
        <f t="shared" si="917"/>
        <v>170.09</v>
      </c>
      <c r="M855" s="474">
        <f t="shared" si="921"/>
        <v>1.3607200000000002</v>
      </c>
      <c r="O855" s="434">
        <f t="shared" si="905"/>
        <v>171.97999999999999</v>
      </c>
      <c r="P855" s="435">
        <f t="shared" si="906"/>
        <v>170.09</v>
      </c>
      <c r="AE855" s="217"/>
      <c r="AF855" s="217">
        <v>1092</v>
      </c>
      <c r="AH855">
        <f t="shared" si="904"/>
        <v>1092</v>
      </c>
    </row>
    <row r="856" ht="30">
      <c r="A856" s="217"/>
      <c r="B856" s="217">
        <v>1092</v>
      </c>
      <c r="C856" s="217"/>
      <c r="D856" s="217" t="s">
        <v>17167</v>
      </c>
      <c r="E856" s="471" t="s">
        <v>20405</v>
      </c>
      <c r="F856" s="540">
        <v>88316</v>
      </c>
      <c r="G856" s="541" t="s">
        <v>7393</v>
      </c>
      <c r="H856" s="542" t="s">
        <v>2032</v>
      </c>
      <c r="I856" s="509">
        <v>8.0000000000000002e-003</v>
      </c>
      <c r="J856" s="473">
        <f t="shared" si="920"/>
        <v>22.760000000000002</v>
      </c>
      <c r="K856" s="474">
        <f>TRUNC(I856*J856,2)</f>
        <v>0.17999999999999999</v>
      </c>
      <c r="L856" s="473">
        <f t="shared" si="917"/>
        <v>21.550000000000001</v>
      </c>
      <c r="M856" s="474">
        <f t="shared" si="921"/>
        <v>0.1724</v>
      </c>
      <c r="O856" s="434">
        <f t="shared" si="905"/>
        <v>22.760000000000002</v>
      </c>
      <c r="P856" s="435">
        <f t="shared" si="906"/>
        <v>21.550000000000001</v>
      </c>
      <c r="AE856" s="217"/>
      <c r="AF856" s="217">
        <v>1092</v>
      </c>
      <c r="AH856">
        <f t="shared" si="904"/>
        <v>1092</v>
      </c>
    </row>
    <row r="857" ht="47.25" hidden="1">
      <c r="A857" s="460">
        <v>1093</v>
      </c>
      <c r="B857" s="460">
        <v>1093</v>
      </c>
      <c r="C857" s="460"/>
      <c r="D857" s="460"/>
      <c r="E857" s="461">
        <v>1</v>
      </c>
      <c r="F857" s="462" t="s">
        <v>21110</v>
      </c>
      <c r="G857" s="477" t="s">
        <v>21111</v>
      </c>
      <c r="H857" s="478" t="s">
        <v>15528</v>
      </c>
      <c r="I857" s="479"/>
      <c r="J857" s="480"/>
      <c r="K857" s="466">
        <f>SUM(K858:K859)</f>
        <v>31.7545</v>
      </c>
      <c r="L857" s="480"/>
      <c r="M857" s="466">
        <f>SUM(M858:M859)</f>
        <v>30.489999999999998</v>
      </c>
      <c r="O857" s="434" t="str">
        <f t="shared" si="905"/>
        <v xml:space="preserve">SEM VALOR</v>
      </c>
      <c r="P857" s="435" t="str">
        <f t="shared" si="906"/>
        <v xml:space="preserve">SEM VALOR</v>
      </c>
      <c r="AE857" s="460">
        <v>1093</v>
      </c>
      <c r="AF857" s="460"/>
      <c r="AH857">
        <f t="shared" si="904"/>
        <v>1093</v>
      </c>
    </row>
    <row r="858" ht="90" hidden="1">
      <c r="A858" s="217"/>
      <c r="B858" s="217">
        <v>1093</v>
      </c>
      <c r="C858" s="217"/>
      <c r="D858" s="217" t="s">
        <v>17167</v>
      </c>
      <c r="E858" s="471" t="s">
        <v>20399</v>
      </c>
      <c r="F858" s="540">
        <v>5961</v>
      </c>
      <c r="G858" s="541" t="s">
        <v>1580</v>
      </c>
      <c r="H858" s="542" t="s">
        <v>1533</v>
      </c>
      <c r="I858" s="509">
        <v>0.25</v>
      </c>
      <c r="J858" s="473">
        <f t="shared" si="920"/>
        <v>63.289999999999999</v>
      </c>
      <c r="K858" s="474">
        <f t="shared" ref="K858:K859" si="922">I858*J858</f>
        <v>15.8225</v>
      </c>
      <c r="L858" s="473">
        <f t="shared" si="917"/>
        <v>61.619999999999997</v>
      </c>
      <c r="M858" s="474">
        <f t="shared" ref="M858:M859" si="923">L858*I858</f>
        <v>15.404999999999999</v>
      </c>
      <c r="O858" s="434">
        <f t="shared" si="905"/>
        <v>63.289999999999999</v>
      </c>
      <c r="P858" s="435">
        <f t="shared" si="906"/>
        <v>61.619999999999997</v>
      </c>
      <c r="AE858" s="217"/>
      <c r="AF858" s="217">
        <v>1093</v>
      </c>
      <c r="AH858">
        <f t="shared" si="904"/>
        <v>1093</v>
      </c>
    </row>
    <row r="859" ht="30" hidden="1">
      <c r="A859" s="217"/>
      <c r="B859" s="217">
        <v>1093</v>
      </c>
      <c r="C859" s="217"/>
      <c r="D859" s="217" t="s">
        <v>17167</v>
      </c>
      <c r="E859" s="471" t="s">
        <v>20402</v>
      </c>
      <c r="F859" s="540">
        <v>88316</v>
      </c>
      <c r="G859" s="541" t="s">
        <v>7393</v>
      </c>
      <c r="H859" s="542" t="s">
        <v>2032</v>
      </c>
      <c r="I859" s="509">
        <v>0.69999999999999996</v>
      </c>
      <c r="J859" s="473">
        <f t="shared" si="920"/>
        <v>22.760000000000002</v>
      </c>
      <c r="K859" s="474">
        <f t="shared" si="922"/>
        <v>15.932</v>
      </c>
      <c r="L859" s="473">
        <f t="shared" si="917"/>
        <v>21.550000000000001</v>
      </c>
      <c r="M859" s="474">
        <f t="shared" si="923"/>
        <v>15.084999999999999</v>
      </c>
      <c r="O859" s="434">
        <f t="shared" si="905"/>
        <v>22.760000000000002</v>
      </c>
      <c r="P859" s="435">
        <f t="shared" si="906"/>
        <v>21.550000000000001</v>
      </c>
      <c r="AE859" s="217"/>
      <c r="AF859" s="217">
        <v>1093</v>
      </c>
      <c r="AH859">
        <f t="shared" si="904"/>
        <v>1093</v>
      </c>
    </row>
    <row r="860" ht="94.5" hidden="1">
      <c r="A860" s="460">
        <v>1094</v>
      </c>
      <c r="B860" s="460">
        <v>1094</v>
      </c>
      <c r="C860" s="460"/>
      <c r="D860" s="460"/>
      <c r="E860" s="461">
        <v>1</v>
      </c>
      <c r="F860" s="462" t="s">
        <v>21112</v>
      </c>
      <c r="G860" s="477" t="s">
        <v>21113</v>
      </c>
      <c r="H860" s="478" t="s">
        <v>15528</v>
      </c>
      <c r="I860" s="479"/>
      <c r="J860" s="480"/>
      <c r="K860" s="466">
        <f>SUM(K861:K864)</f>
        <v>4.7049462340000003</v>
      </c>
      <c r="L860" s="480"/>
      <c r="M860" s="466">
        <f>SUM(M861:M864)</f>
        <v>4.6469088160000007</v>
      </c>
      <c r="N860" s="487" t="s">
        <v>21114</v>
      </c>
      <c r="O860" s="434" t="str">
        <f t="shared" si="905"/>
        <v xml:space="preserve">SEM VALOR</v>
      </c>
      <c r="P860" s="435" t="str">
        <f t="shared" si="906"/>
        <v xml:space="preserve">SEM VALOR</v>
      </c>
      <c r="AE860" s="460">
        <v>1094</v>
      </c>
      <c r="AF860" s="460"/>
      <c r="AH860">
        <f t="shared" si="904"/>
        <v>1094</v>
      </c>
    </row>
    <row r="861" ht="60" hidden="1">
      <c r="A861" s="217"/>
      <c r="B861" s="217">
        <v>1094</v>
      </c>
      <c r="C861" s="217"/>
      <c r="D861" s="217" t="s">
        <v>17167</v>
      </c>
      <c r="E861" s="471" t="s">
        <v>20399</v>
      </c>
      <c r="F861" s="540">
        <v>5851</v>
      </c>
      <c r="G861" s="541" t="s">
        <v>1919</v>
      </c>
      <c r="H861" s="542" t="s">
        <v>1535</v>
      </c>
      <c r="I861" s="509">
        <v>9.3457999999999996e-003</v>
      </c>
      <c r="J861" s="473">
        <f t="shared" si="920"/>
        <v>282.81</v>
      </c>
      <c r="K861" s="474">
        <f t="shared" ref="K861:K864" si="924">I861*J861</f>
        <v>2.6430856979999997</v>
      </c>
      <c r="L861" s="473">
        <f t="shared" si="917"/>
        <v>280.91000000000003</v>
      </c>
      <c r="M861" s="474">
        <f t="shared" ref="M861:M864" si="925">L861*I861</f>
        <v>2.6253286780000002</v>
      </c>
      <c r="O861" s="434">
        <f t="shared" si="905"/>
        <v>282.81</v>
      </c>
      <c r="P861" s="435">
        <f t="shared" si="906"/>
        <v>280.91000000000003</v>
      </c>
      <c r="AE861" s="217"/>
      <c r="AF861" s="217">
        <v>1094</v>
      </c>
      <c r="AH861">
        <f t="shared" si="904"/>
        <v>1094</v>
      </c>
    </row>
    <row r="862" ht="75" hidden="1">
      <c r="A862" s="217"/>
      <c r="B862" s="217">
        <v>1094</v>
      </c>
      <c r="C862" s="217"/>
      <c r="D862" s="217" t="s">
        <v>17167</v>
      </c>
      <c r="E862" s="471" t="s">
        <v>20402</v>
      </c>
      <c r="F862" s="540">
        <v>5944</v>
      </c>
      <c r="G862" s="541" t="s">
        <v>1861</v>
      </c>
      <c r="H862" s="542" t="s">
        <v>1535</v>
      </c>
      <c r="I862" s="509">
        <v>5.4206000000000002e-003</v>
      </c>
      <c r="J862" s="473">
        <f t="shared" si="920"/>
        <v>234.52000000000001</v>
      </c>
      <c r="K862" s="474">
        <f t="shared" si="924"/>
        <v>1.2712391120000002</v>
      </c>
      <c r="L862" s="473">
        <f t="shared" si="917"/>
        <v>232.63</v>
      </c>
      <c r="M862" s="474">
        <f t="shared" si="925"/>
        <v>1.260994178</v>
      </c>
      <c r="O862" s="434">
        <f t="shared" si="905"/>
        <v>234.52000000000001</v>
      </c>
      <c r="P862" s="435">
        <f t="shared" si="906"/>
        <v>232.63</v>
      </c>
      <c r="AE862" s="217"/>
      <c r="AF862" s="217">
        <v>1094</v>
      </c>
      <c r="AH862">
        <f t="shared" si="904"/>
        <v>1094</v>
      </c>
    </row>
    <row r="863" ht="75" hidden="1">
      <c r="A863" s="217"/>
      <c r="B863" s="217">
        <v>1094</v>
      </c>
      <c r="C863" s="217"/>
      <c r="D863" s="217" t="s">
        <v>17167</v>
      </c>
      <c r="E863" s="471" t="s">
        <v>20405</v>
      </c>
      <c r="F863" s="540">
        <v>5946</v>
      </c>
      <c r="G863" s="541" t="s">
        <v>1860</v>
      </c>
      <c r="H863" s="542" t="s">
        <v>1533</v>
      </c>
      <c r="I863" s="509">
        <v>3.9252000000000002e-003</v>
      </c>
      <c r="J863" s="473">
        <f t="shared" si="920"/>
        <v>93.040000000000006</v>
      </c>
      <c r="K863" s="474">
        <f t="shared" si="924"/>
        <v>0.36520060800000004</v>
      </c>
      <c r="L863" s="473">
        <f t="shared" si="917"/>
        <v>91.150000000000006</v>
      </c>
      <c r="M863" s="474">
        <f t="shared" si="925"/>
        <v>0.35778198000000005</v>
      </c>
      <c r="O863" s="434">
        <f t="shared" si="905"/>
        <v>93.040000000000006</v>
      </c>
      <c r="P863" s="435">
        <f t="shared" si="906"/>
        <v>91.150000000000006</v>
      </c>
      <c r="AE863" s="217"/>
      <c r="AF863" s="217">
        <v>1094</v>
      </c>
      <c r="AH863">
        <f t="shared" si="904"/>
        <v>1094</v>
      </c>
    </row>
    <row r="864" ht="30" hidden="1">
      <c r="A864" s="217"/>
      <c r="B864" s="217">
        <v>1094</v>
      </c>
      <c r="C864" s="217"/>
      <c r="D864" s="217" t="s">
        <v>17167</v>
      </c>
      <c r="E864" s="471" t="s">
        <v>20409</v>
      </c>
      <c r="F864" s="540">
        <v>88316</v>
      </c>
      <c r="G864" s="541" t="s">
        <v>7393</v>
      </c>
      <c r="H864" s="542" t="s">
        <v>2032</v>
      </c>
      <c r="I864" s="509">
        <v>1.8691599999999999e-002</v>
      </c>
      <c r="J864" s="473">
        <f t="shared" si="920"/>
        <v>22.760000000000002</v>
      </c>
      <c r="K864" s="474">
        <f t="shared" si="924"/>
        <v>0.42542081600000003</v>
      </c>
      <c r="L864" s="473">
        <f t="shared" si="917"/>
        <v>21.550000000000001</v>
      </c>
      <c r="M864" s="474">
        <f t="shared" si="925"/>
        <v>0.40280398000000001</v>
      </c>
      <c r="O864" s="434">
        <f t="shared" si="905"/>
        <v>22.760000000000002</v>
      </c>
      <c r="P864" s="435">
        <f t="shared" si="906"/>
        <v>21.550000000000001</v>
      </c>
      <c r="AE864" s="217"/>
      <c r="AF864" s="217">
        <v>1094</v>
      </c>
      <c r="AH864">
        <f t="shared" si="904"/>
        <v>1094</v>
      </c>
    </row>
    <row r="865" ht="63" hidden="1">
      <c r="A865" s="460">
        <v>1095</v>
      </c>
      <c r="B865" s="460">
        <v>1095</v>
      </c>
      <c r="C865" s="460"/>
      <c r="D865" s="460"/>
      <c r="E865" s="461">
        <v>1</v>
      </c>
      <c r="F865" s="462" t="s">
        <v>21115</v>
      </c>
      <c r="G865" s="477" t="s">
        <v>20850</v>
      </c>
      <c r="H865" s="478" t="s">
        <v>15528</v>
      </c>
      <c r="I865" s="479"/>
      <c r="J865" s="480"/>
      <c r="K865" s="466">
        <f>SUM(K866)</f>
        <v>3.7665760000000001</v>
      </c>
      <c r="L865" s="480"/>
      <c r="M865" s="466">
        <f>SUM(M866)</f>
        <v>3.7331360000000005</v>
      </c>
      <c r="N865" s="487" t="s">
        <v>21116</v>
      </c>
      <c r="O865" s="434" t="str">
        <f t="shared" si="905"/>
        <v xml:space="preserve">SEM VALOR</v>
      </c>
      <c r="P865" s="435" t="str">
        <f t="shared" si="906"/>
        <v xml:space="preserve">SEM VALOR</v>
      </c>
      <c r="AE865" s="460">
        <v>1095</v>
      </c>
      <c r="AF865" s="460"/>
      <c r="AH865">
        <f t="shared" ref="AH865:AH928" si="926">IF(AF865:AF866=FALSE,AE865,AF865)</f>
        <v>1095</v>
      </c>
    </row>
    <row r="866" ht="60" hidden="1">
      <c r="A866" s="217"/>
      <c r="B866" s="217">
        <v>1095</v>
      </c>
      <c r="C866" s="217"/>
      <c r="D866" s="217" t="s">
        <v>17167</v>
      </c>
      <c r="E866" s="471" t="s">
        <v>20399</v>
      </c>
      <c r="F866" s="540">
        <v>89032</v>
      </c>
      <c r="G866" s="543" t="s">
        <v>1915</v>
      </c>
      <c r="H866" s="542" t="s">
        <v>1535</v>
      </c>
      <c r="I866" s="509">
        <v>1.7600000000000001e-002</v>
      </c>
      <c r="J866" s="473">
        <f t="shared" si="920"/>
        <v>214.00999999999999</v>
      </c>
      <c r="K866" s="474">
        <f>I866*J866</f>
        <v>3.7665760000000001</v>
      </c>
      <c r="L866" s="473">
        <f t="shared" si="917"/>
        <v>212.11000000000001</v>
      </c>
      <c r="M866" s="474">
        <f>L866*I866</f>
        <v>3.7331360000000005</v>
      </c>
      <c r="O866" s="434">
        <f t="shared" si="905"/>
        <v>214.00999999999999</v>
      </c>
      <c r="P866" s="435">
        <f t="shared" si="906"/>
        <v>212.11000000000001</v>
      </c>
      <c r="AE866" s="217"/>
      <c r="AF866" s="217">
        <v>1095</v>
      </c>
      <c r="AH866">
        <f t="shared" si="926"/>
        <v>1095</v>
      </c>
    </row>
    <row r="867" ht="47.25">
      <c r="A867" s="460">
        <v>1096</v>
      </c>
      <c r="B867" s="460">
        <v>1096</v>
      </c>
      <c r="C867" s="460"/>
      <c r="D867" s="460"/>
      <c r="E867" s="461">
        <v>1</v>
      </c>
      <c r="F867" s="462" t="s">
        <v>20457</v>
      </c>
      <c r="G867" s="477" t="s">
        <v>21117</v>
      </c>
      <c r="H867" s="478" t="s">
        <v>21107</v>
      </c>
      <c r="I867" s="479"/>
      <c r="J867" s="480"/>
      <c r="K867" s="466">
        <f>SUM(K868)</f>
        <v>1.3436488080000002</v>
      </c>
      <c r="L867" s="480"/>
      <c r="M867" s="466">
        <f>SUM(M868)</f>
        <v>1.335917376</v>
      </c>
      <c r="N867" s="487" t="s">
        <v>21118</v>
      </c>
      <c r="O867" s="434" t="str">
        <f t="shared" si="905"/>
        <v xml:space="preserve">SEM VALOR</v>
      </c>
      <c r="P867" s="435" t="str">
        <f t="shared" si="906"/>
        <v xml:space="preserve">SEM VALOR</v>
      </c>
      <c r="AE867" s="460">
        <v>1096</v>
      </c>
      <c r="AF867" s="460"/>
      <c r="AH867">
        <f t="shared" si="926"/>
        <v>1096</v>
      </c>
    </row>
    <row r="868" ht="105">
      <c r="A868" s="217"/>
      <c r="B868" s="217">
        <v>1096</v>
      </c>
      <c r="C868" s="217"/>
      <c r="D868" s="217" t="s">
        <v>17167</v>
      </c>
      <c r="E868" s="471" t="s">
        <v>20399</v>
      </c>
      <c r="F868" s="540">
        <v>91386</v>
      </c>
      <c r="G868" s="541" t="s">
        <v>1571</v>
      </c>
      <c r="H868" s="542" t="s">
        <v>1535</v>
      </c>
      <c r="I868" s="509">
        <v>4.6296000000000002e-003</v>
      </c>
      <c r="J868" s="473">
        <f t="shared" si="920"/>
        <v>290.23000000000002</v>
      </c>
      <c r="K868" s="474">
        <f>I868*J868</f>
        <v>1.3436488080000002</v>
      </c>
      <c r="L868" s="473">
        <f t="shared" si="917"/>
        <v>288.56</v>
      </c>
      <c r="M868" s="474">
        <f>L868*I868</f>
        <v>1.335917376</v>
      </c>
      <c r="O868" s="434">
        <f t="shared" ref="O868:O931" si="927">IFERROR(IF(D868="SINAPI",VLOOKUP(F868,SINCOMOD,4,FALSE),IF(D868="INSINAPI",VLOOKUP(F868,INSINOD,5,FALSE),IF(D868="SICRO",VLOOKUP(F868,SICRO,5,FALSE),IF(D868="COTACAO",VLOOKUP(F868,COTACAO,6,FALSE),IF(D868="PRÓPRIO",VLOOKUP(F868,COMPOD,11,FALSE),IF(D868="AGESUL",VLOOKUP(F868,AGESULOD,6,FALSE),IF(D868="INSAGESUL",VLOOKUP(F868,INSAGESUL,7,FALSE),"SEM VALOR"))))))),"SEM VALOR")</f>
        <v>290.23000000000002</v>
      </c>
      <c r="P868" s="435">
        <f t="shared" ref="P868:P931" si="928">IFERROR(IF(D868="SINAPI",VLOOKUP(F868,SINCOMOD,6,FALSE),IF(D868="INSINAPI",VLOOKUP(F868,INSINOD,6,FALSE),IF(D868="SICRO",VLOOKUP(F868,SICRO,5,FALSE),IF(D868="COTACAO",VLOOKUP(F868,COTACAO,6,FALSE),IF(D868="PRÓPRIO",VLOOKUP(F868,COMPOD,13,FALSE),IF(D868="AGESUL",VLOOKUP(F868,AGESULOD,11,FALSE),IF(D868="INSAGESUL",VLOOKUP(F868,INSAGESUL,8,FALSE),"SEM VALOR"))))))),"SEM VALOR")</f>
        <v>288.56</v>
      </c>
      <c r="AE868" s="217"/>
      <c r="AF868" s="217">
        <v>1096</v>
      </c>
      <c r="AH868">
        <f t="shared" si="926"/>
        <v>1096</v>
      </c>
    </row>
    <row r="869" ht="94.5" hidden="1">
      <c r="A869" s="544">
        <v>1097</v>
      </c>
      <c r="B869" s="460">
        <v>1097</v>
      </c>
      <c r="C869" s="460"/>
      <c r="D869" s="460"/>
      <c r="E869" s="461">
        <v>1</v>
      </c>
      <c r="F869" s="462" t="s">
        <v>21119</v>
      </c>
      <c r="G869" s="477" t="s">
        <v>21120</v>
      </c>
      <c r="H869" s="478" t="s">
        <v>20647</v>
      </c>
      <c r="I869" s="479"/>
      <c r="J869" s="480"/>
      <c r="K869" s="466">
        <f>SUM(K870:K877)</f>
        <v>1439.8367520000002</v>
      </c>
      <c r="L869" s="545"/>
      <c r="M869" s="546">
        <f>SUM(M870:M877)</f>
        <v>1398.5763084</v>
      </c>
      <c r="N869" s="467" t="s">
        <v>20757</v>
      </c>
      <c r="O869" s="434" t="str">
        <f t="shared" si="927"/>
        <v xml:space="preserve">SEM VALOR</v>
      </c>
      <c r="P869" s="435" t="str">
        <f t="shared" si="928"/>
        <v xml:space="preserve">SEM VALOR</v>
      </c>
      <c r="AE869" s="544">
        <v>1097</v>
      </c>
      <c r="AF869" s="544"/>
      <c r="AH869">
        <f t="shared" si="926"/>
        <v>1097</v>
      </c>
    </row>
    <row r="870" ht="75" hidden="1">
      <c r="A870" s="217"/>
      <c r="B870" s="217">
        <v>1097</v>
      </c>
      <c r="C870" s="217"/>
      <c r="D870" s="217" t="s">
        <v>20398</v>
      </c>
      <c r="E870" s="471" t="s">
        <v>20399</v>
      </c>
      <c r="F870" s="540">
        <v>1267</v>
      </c>
      <c r="G870" s="541" t="s">
        <v>20662</v>
      </c>
      <c r="H870" s="542" t="s">
        <v>38</v>
      </c>
      <c r="I870" s="509">
        <v>3.3100000000000001</v>
      </c>
      <c r="J870" s="473">
        <f t="shared" si="920"/>
        <v>3.2499999999999996</v>
      </c>
      <c r="K870" s="474">
        <f t="shared" ref="K870:K877" si="929">I870*J870</f>
        <v>10.757499999999999</v>
      </c>
      <c r="L870" s="473">
        <f t="shared" si="917"/>
        <v>3.1657000000000002</v>
      </c>
      <c r="M870" s="474">
        <f t="shared" ref="M870:M877" si="930">L870*I870</f>
        <v>10.478467</v>
      </c>
      <c r="O870" s="434">
        <f t="shared" si="927"/>
        <v>3.2499999999999996</v>
      </c>
      <c r="P870" s="435">
        <f t="shared" si="928"/>
        <v>3.1657000000000002</v>
      </c>
      <c r="AE870" s="217"/>
      <c r="AF870" s="217">
        <v>1097</v>
      </c>
      <c r="AH870">
        <f t="shared" si="926"/>
        <v>1097</v>
      </c>
    </row>
    <row r="871" ht="45" hidden="1">
      <c r="A871" s="217"/>
      <c r="B871" s="217">
        <v>1097</v>
      </c>
      <c r="C871" s="217"/>
      <c r="D871" s="217" t="s">
        <v>17167</v>
      </c>
      <c r="E871" s="471" t="s">
        <v>20402</v>
      </c>
      <c r="F871" s="540">
        <v>93358</v>
      </c>
      <c r="G871" s="541" t="s">
        <v>20661</v>
      </c>
      <c r="H871" s="542" t="s">
        <v>15528</v>
      </c>
      <c r="I871" s="509">
        <v>1.1200000000000001</v>
      </c>
      <c r="J871" s="473">
        <f t="shared" si="920"/>
        <v>90.030000000000001</v>
      </c>
      <c r="K871" s="474">
        <f t="shared" si="929"/>
        <v>100.8336</v>
      </c>
      <c r="L871" s="473">
        <f t="shared" si="917"/>
        <v>85.239999999999995</v>
      </c>
      <c r="M871" s="474">
        <f t="shared" si="930"/>
        <v>95.468800000000002</v>
      </c>
      <c r="O871" s="434">
        <f t="shared" si="927"/>
        <v>90.030000000000001</v>
      </c>
      <c r="P871" s="435">
        <f t="shared" si="928"/>
        <v>85.239999999999995</v>
      </c>
      <c r="AE871" s="217"/>
      <c r="AF871" s="217">
        <v>1097</v>
      </c>
      <c r="AH871">
        <f t="shared" si="926"/>
        <v>1097</v>
      </c>
    </row>
    <row r="872" ht="60" hidden="1">
      <c r="A872" s="217"/>
      <c r="B872" s="217">
        <v>1097</v>
      </c>
      <c r="C872" s="217"/>
      <c r="D872" s="217" t="s">
        <v>20398</v>
      </c>
      <c r="E872" s="471" t="s">
        <v>20405</v>
      </c>
      <c r="F872" s="540">
        <v>1258</v>
      </c>
      <c r="G872" s="547" t="s">
        <v>20660</v>
      </c>
      <c r="H872" s="542" t="s">
        <v>15515</v>
      </c>
      <c r="I872" s="509">
        <v>2.6200000000000001</v>
      </c>
      <c r="J872" s="473">
        <f t="shared" si="920"/>
        <v>7.5700000000000003</v>
      </c>
      <c r="K872" s="474">
        <f t="shared" si="929"/>
        <v>19.833400000000001</v>
      </c>
      <c r="L872" s="473">
        <f t="shared" si="917"/>
        <v>7.1846199999999998</v>
      </c>
      <c r="M872" s="474">
        <f t="shared" si="930"/>
        <v>18.8237044</v>
      </c>
      <c r="O872" s="434">
        <f t="shared" si="927"/>
        <v>7.5700000000000003</v>
      </c>
      <c r="P872" s="435">
        <f t="shared" si="928"/>
        <v>7.1846199999999998</v>
      </c>
      <c r="AE872" s="217"/>
      <c r="AF872" s="217">
        <v>1097</v>
      </c>
      <c r="AH872">
        <f t="shared" si="926"/>
        <v>1097</v>
      </c>
    </row>
    <row r="873" ht="105" hidden="1">
      <c r="A873" s="217"/>
      <c r="B873" s="217">
        <v>1097</v>
      </c>
      <c r="C873" s="217"/>
      <c r="D873" s="217" t="s">
        <v>17167</v>
      </c>
      <c r="E873" s="471" t="s">
        <v>20409</v>
      </c>
      <c r="F873" s="540">
        <v>92431</v>
      </c>
      <c r="G873" s="541" t="s">
        <v>20674</v>
      </c>
      <c r="H873" s="542" t="s">
        <v>15515</v>
      </c>
      <c r="I873" s="509">
        <v>2.7999999999999998</v>
      </c>
      <c r="J873" s="473">
        <f t="shared" si="920"/>
        <v>70.030000000000001</v>
      </c>
      <c r="K873" s="474">
        <f t="shared" si="929"/>
        <v>196.084</v>
      </c>
      <c r="L873" s="473">
        <f t="shared" si="917"/>
        <v>68.510000000000005</v>
      </c>
      <c r="M873" s="474">
        <f t="shared" si="930"/>
        <v>191.828</v>
      </c>
      <c r="O873" s="434">
        <f t="shared" si="927"/>
        <v>70.030000000000001</v>
      </c>
      <c r="P873" s="435">
        <f t="shared" si="928"/>
        <v>68.510000000000005</v>
      </c>
      <c r="AE873" s="217"/>
      <c r="AF873" s="217">
        <v>1097</v>
      </c>
      <c r="AH873">
        <f t="shared" si="926"/>
        <v>1097</v>
      </c>
    </row>
    <row r="874" ht="60" hidden="1">
      <c r="A874" s="217"/>
      <c r="B874" s="217">
        <v>1097</v>
      </c>
      <c r="C874" s="217"/>
      <c r="D874" s="217" t="s">
        <v>17167</v>
      </c>
      <c r="E874" s="471" t="s">
        <v>20663</v>
      </c>
      <c r="F874" s="540">
        <v>94964</v>
      </c>
      <c r="G874" s="541" t="s">
        <v>20686</v>
      </c>
      <c r="H874" s="542" t="s">
        <v>15528</v>
      </c>
      <c r="I874" s="509">
        <v>0.67000000000000004</v>
      </c>
      <c r="J874" s="473">
        <f t="shared" si="920"/>
        <v>488.52999999999997</v>
      </c>
      <c r="K874" s="474">
        <f t="shared" si="929"/>
        <v>327.31510000000003</v>
      </c>
      <c r="L874" s="473">
        <f t="shared" si="917"/>
        <v>482.79000000000002</v>
      </c>
      <c r="M874" s="474">
        <f t="shared" si="930"/>
        <v>323.46930000000003</v>
      </c>
      <c r="O874" s="434">
        <f t="shared" si="927"/>
        <v>488.52999999999997</v>
      </c>
      <c r="P874" s="435">
        <f t="shared" si="928"/>
        <v>482.79000000000002</v>
      </c>
      <c r="AE874" s="217"/>
      <c r="AF874" s="217">
        <v>1097</v>
      </c>
      <c r="AH874">
        <f t="shared" si="926"/>
        <v>1097</v>
      </c>
    </row>
    <row r="875" ht="45" hidden="1">
      <c r="A875" s="217"/>
      <c r="B875" s="217">
        <v>1097</v>
      </c>
      <c r="C875" s="217"/>
      <c r="D875" s="217" t="s">
        <v>20398</v>
      </c>
      <c r="E875" s="471" t="s">
        <v>20665</v>
      </c>
      <c r="F875" s="540">
        <v>1000</v>
      </c>
      <c r="G875" s="541" t="s">
        <v>20651</v>
      </c>
      <c r="H875" s="542" t="s">
        <v>15528</v>
      </c>
      <c r="I875" s="509">
        <v>0.67000000000000004</v>
      </c>
      <c r="J875" s="473">
        <f t="shared" si="920"/>
        <v>149.904</v>
      </c>
      <c r="K875" s="474">
        <f t="shared" si="929"/>
        <v>100.43568</v>
      </c>
      <c r="L875" s="473">
        <f t="shared" si="917"/>
        <v>141.76949999999999</v>
      </c>
      <c r="M875" s="474">
        <f t="shared" si="930"/>
        <v>94.985565000000008</v>
      </c>
      <c r="O875" s="434">
        <f t="shared" si="927"/>
        <v>149.904</v>
      </c>
      <c r="P875" s="435">
        <f t="shared" si="928"/>
        <v>141.76949999999999</v>
      </c>
      <c r="AE875" s="217"/>
      <c r="AF875" s="217">
        <v>1097</v>
      </c>
      <c r="AH875">
        <f t="shared" si="926"/>
        <v>1097</v>
      </c>
    </row>
    <row r="876" ht="105" hidden="1">
      <c r="A876" s="217"/>
      <c r="B876" s="217">
        <v>1097</v>
      </c>
      <c r="C876" s="217"/>
      <c r="D876" s="217" t="s">
        <v>17167</v>
      </c>
      <c r="E876" s="471" t="s">
        <v>20667</v>
      </c>
      <c r="F876" s="540">
        <v>5928</v>
      </c>
      <c r="G876" s="541" t="s">
        <v>1739</v>
      </c>
      <c r="H876" s="542" t="s">
        <v>1535</v>
      </c>
      <c r="I876" s="509">
        <v>0.10000000000000001</v>
      </c>
      <c r="J876" s="473">
        <f t="shared" si="920"/>
        <v>298.70999999999998</v>
      </c>
      <c r="K876" s="474">
        <f t="shared" si="929"/>
        <v>29.870999999999999</v>
      </c>
      <c r="L876" s="473">
        <f t="shared" si="917"/>
        <v>296.98000000000002</v>
      </c>
      <c r="M876" s="474">
        <f t="shared" si="930"/>
        <v>29.698000000000004</v>
      </c>
      <c r="O876" s="434">
        <f t="shared" si="927"/>
        <v>298.70999999999998</v>
      </c>
      <c r="P876" s="435">
        <f t="shared" si="928"/>
        <v>296.98000000000002</v>
      </c>
      <c r="AE876" s="217"/>
      <c r="AF876" s="217">
        <v>1097</v>
      </c>
      <c r="AH876">
        <f t="shared" si="926"/>
        <v>1097</v>
      </c>
    </row>
    <row r="877" ht="30" hidden="1">
      <c r="A877" s="217"/>
      <c r="B877" s="217">
        <v>1097</v>
      </c>
      <c r="C877" s="217"/>
      <c r="D877" s="217" t="s">
        <v>20398</v>
      </c>
      <c r="E877" s="471" t="s">
        <v>20671</v>
      </c>
      <c r="F877" s="486">
        <v>1003</v>
      </c>
      <c r="G877" s="548" t="s">
        <v>20659</v>
      </c>
      <c r="H877" s="542" t="s">
        <v>20647</v>
      </c>
      <c r="I877" s="509">
        <v>1</v>
      </c>
      <c r="J877" s="473">
        <f t="shared" si="920"/>
        <v>654.70647199999996</v>
      </c>
      <c r="K877" s="474">
        <f t="shared" si="929"/>
        <v>654.70647199999996</v>
      </c>
      <c r="L877" s="473">
        <f t="shared" si="917"/>
        <v>633.82447200000001</v>
      </c>
      <c r="M877" s="474">
        <f t="shared" si="930"/>
        <v>633.82447200000001</v>
      </c>
      <c r="O877" s="434">
        <f t="shared" si="927"/>
        <v>654.70647199999996</v>
      </c>
      <c r="P877" s="435">
        <f t="shared" si="928"/>
        <v>633.82447200000001</v>
      </c>
      <c r="AE877" s="217"/>
      <c r="AF877" s="217">
        <v>1097</v>
      </c>
      <c r="AH877">
        <f t="shared" si="926"/>
        <v>1097</v>
      </c>
    </row>
    <row r="878" ht="78.75" hidden="1">
      <c r="A878" s="460">
        <v>1098</v>
      </c>
      <c r="B878" s="460">
        <v>1098</v>
      </c>
      <c r="C878" s="460"/>
      <c r="D878" s="460"/>
      <c r="E878" s="461">
        <v>1</v>
      </c>
      <c r="F878" s="462" t="s">
        <v>21121</v>
      </c>
      <c r="G878" s="477" t="s">
        <v>21122</v>
      </c>
      <c r="H878" s="478" t="s">
        <v>20647</v>
      </c>
      <c r="I878" s="479"/>
      <c r="J878" s="480"/>
      <c r="K878" s="466">
        <f>SUM(K879:K884)</f>
        <v>7907.4704239999992</v>
      </c>
      <c r="L878" s="480"/>
      <c r="M878" s="466">
        <f>SUM(M879:M884)</f>
        <v>7861.4648927999997</v>
      </c>
      <c r="O878" s="434" t="str">
        <f t="shared" si="927"/>
        <v xml:space="preserve">SEM VALOR</v>
      </c>
      <c r="P878" s="435" t="str">
        <f t="shared" si="928"/>
        <v xml:space="preserve">SEM VALOR</v>
      </c>
      <c r="AE878" s="460">
        <v>1098</v>
      </c>
      <c r="AF878" s="460"/>
      <c r="AH878">
        <f t="shared" si="926"/>
        <v>1098</v>
      </c>
    </row>
    <row r="879" ht="75" hidden="1">
      <c r="A879" s="217"/>
      <c r="B879" s="217">
        <v>1098</v>
      </c>
      <c r="C879" s="217"/>
      <c r="D879" s="217" t="s">
        <v>20398</v>
      </c>
      <c r="E879" s="471" t="s">
        <v>20399</v>
      </c>
      <c r="F879" s="540">
        <v>1267</v>
      </c>
      <c r="G879" s="541" t="s">
        <v>20662</v>
      </c>
      <c r="H879" s="542" t="s">
        <v>38</v>
      </c>
      <c r="I879" s="509">
        <f>5.48*2+8*2</f>
        <v>26.960000000000001</v>
      </c>
      <c r="J879" s="473">
        <f t="shared" si="920"/>
        <v>3.2499999999999996</v>
      </c>
      <c r="K879" s="474">
        <f t="shared" ref="K879:K884" si="931">I879*J879</f>
        <v>87.61999999999999</v>
      </c>
      <c r="L879" s="473">
        <f t="shared" si="917"/>
        <v>3.1657000000000002</v>
      </c>
      <c r="M879" s="474">
        <f t="shared" ref="M879:M884" si="932">L879*I879</f>
        <v>85.347272000000004</v>
      </c>
      <c r="O879" s="434">
        <f t="shared" si="927"/>
        <v>3.2499999999999996</v>
      </c>
      <c r="P879" s="435">
        <f t="shared" si="928"/>
        <v>3.1657000000000002</v>
      </c>
      <c r="AE879" s="217"/>
      <c r="AF879" s="217">
        <v>1098</v>
      </c>
      <c r="AH879">
        <f t="shared" si="926"/>
        <v>1098</v>
      </c>
    </row>
    <row r="880" ht="45" hidden="1">
      <c r="A880" s="217"/>
      <c r="B880" s="217">
        <v>1098</v>
      </c>
      <c r="C880" s="217"/>
      <c r="D880" s="217" t="s">
        <v>20398</v>
      </c>
      <c r="E880" s="471" t="s">
        <v>20402</v>
      </c>
      <c r="F880" s="540">
        <v>1259</v>
      </c>
      <c r="G880" s="541" t="s">
        <v>21123</v>
      </c>
      <c r="H880" s="542" t="s">
        <v>15528</v>
      </c>
      <c r="I880" s="509">
        <f>8*0.08*5.48</f>
        <v>3.5072000000000001</v>
      </c>
      <c r="J880" s="473">
        <f t="shared" si="920"/>
        <v>45.520000000000003</v>
      </c>
      <c r="K880" s="474">
        <f t="shared" si="931"/>
        <v>159.64774400000002</v>
      </c>
      <c r="L880" s="473">
        <f t="shared" si="917"/>
        <v>43.100000000000001</v>
      </c>
      <c r="M880" s="474">
        <f t="shared" si="932"/>
        <v>151.16032000000001</v>
      </c>
      <c r="O880" s="434">
        <f t="shared" si="927"/>
        <v>45.520000000000003</v>
      </c>
      <c r="P880" s="435">
        <f t="shared" si="928"/>
        <v>43.100000000000001</v>
      </c>
      <c r="AE880" s="217"/>
      <c r="AF880" s="217">
        <v>1098</v>
      </c>
      <c r="AH880">
        <f t="shared" si="926"/>
        <v>1098</v>
      </c>
    </row>
    <row r="881" ht="60" hidden="1">
      <c r="A881" s="217"/>
      <c r="B881" s="217">
        <v>1098</v>
      </c>
      <c r="C881" s="217"/>
      <c r="D881" s="217" t="s">
        <v>20398</v>
      </c>
      <c r="E881" s="471" t="s">
        <v>20405</v>
      </c>
      <c r="F881" s="540">
        <v>1258</v>
      </c>
      <c r="G881" s="547" t="s">
        <v>20660</v>
      </c>
      <c r="H881" s="542" t="s">
        <v>15515</v>
      </c>
      <c r="I881" s="509">
        <f>8*5.48</f>
        <v>43.840000000000003</v>
      </c>
      <c r="J881" s="473">
        <f t="shared" si="920"/>
        <v>7.5700000000000003</v>
      </c>
      <c r="K881" s="474">
        <f t="shared" si="931"/>
        <v>331.86880000000002</v>
      </c>
      <c r="L881" s="473">
        <f t="shared" si="917"/>
        <v>7.1846199999999998</v>
      </c>
      <c r="M881" s="474">
        <f t="shared" si="932"/>
        <v>314.97374080000003</v>
      </c>
      <c r="O881" s="434">
        <f t="shared" si="927"/>
        <v>7.5700000000000003</v>
      </c>
      <c r="P881" s="435">
        <f t="shared" si="928"/>
        <v>7.1846199999999998</v>
      </c>
      <c r="AE881" s="217"/>
      <c r="AF881" s="217">
        <v>1098</v>
      </c>
      <c r="AH881">
        <f t="shared" si="926"/>
        <v>1098</v>
      </c>
    </row>
    <row r="882" ht="75" hidden="1">
      <c r="A882" s="217"/>
      <c r="B882" s="217">
        <v>1098</v>
      </c>
      <c r="C882" s="217"/>
      <c r="D882" s="217" t="s">
        <v>20408</v>
      </c>
      <c r="E882" s="471" t="s">
        <v>20409</v>
      </c>
      <c r="F882" s="540">
        <v>11145</v>
      </c>
      <c r="G882" s="541" t="s">
        <v>21124</v>
      </c>
      <c r="H882" s="542" t="s">
        <v>15528</v>
      </c>
      <c r="I882" s="509">
        <f>8*0.08*5.48+(8+4)*0.15/2*5.48+0.4*0.05*4*2</f>
        <v>8.5991999999999997</v>
      </c>
      <c r="J882" s="473">
        <f t="shared" si="920"/>
        <v>662.14999999999998</v>
      </c>
      <c r="K882" s="474">
        <f t="shared" si="931"/>
        <v>5693.9602799999993</v>
      </c>
      <c r="L882" s="473">
        <f t="shared" si="917"/>
        <v>662.14999999999998</v>
      </c>
      <c r="M882" s="474">
        <f t="shared" si="932"/>
        <v>5693.9602799999993</v>
      </c>
      <c r="O882" s="434">
        <f t="shared" si="927"/>
        <v>662.14999999999998</v>
      </c>
      <c r="P882" s="435">
        <f t="shared" si="928"/>
        <v>662.14999999999998</v>
      </c>
      <c r="AE882" s="217"/>
      <c r="AF882" s="217">
        <v>1098</v>
      </c>
      <c r="AH882">
        <f t="shared" si="926"/>
        <v>1098</v>
      </c>
    </row>
    <row r="883" ht="60" hidden="1">
      <c r="A883" s="217"/>
      <c r="B883" s="217">
        <v>1098</v>
      </c>
      <c r="C883" s="217"/>
      <c r="D883" s="217" t="s">
        <v>17167</v>
      </c>
      <c r="E883" s="471" t="s">
        <v>20663</v>
      </c>
      <c r="F883" s="540">
        <v>96530</v>
      </c>
      <c r="G883" s="541" t="s">
        <v>20966</v>
      </c>
      <c r="H883" s="542" t="s">
        <v>15515</v>
      </c>
      <c r="I883" s="509">
        <f>0.3*4*2+0.15*4*2+0.15*2/2*2*2</f>
        <v>4.2000000000000002</v>
      </c>
      <c r="J883" s="473">
        <f t="shared" si="920"/>
        <v>129.25999999999999</v>
      </c>
      <c r="K883" s="474">
        <f t="shared" si="931"/>
        <v>542.89199999999994</v>
      </c>
      <c r="L883" s="473">
        <f t="shared" si="917"/>
        <v>125.91</v>
      </c>
      <c r="M883" s="474">
        <f t="shared" si="932"/>
        <v>528.822</v>
      </c>
      <c r="O883" s="434">
        <f t="shared" si="927"/>
        <v>129.25999999999999</v>
      </c>
      <c r="P883" s="435">
        <f t="shared" si="928"/>
        <v>125.91</v>
      </c>
      <c r="AE883" s="217"/>
      <c r="AF883" s="217">
        <v>1098</v>
      </c>
      <c r="AH883">
        <f t="shared" si="926"/>
        <v>1098</v>
      </c>
    </row>
    <row r="884" ht="75" hidden="1">
      <c r="A884" s="217"/>
      <c r="B884" s="217">
        <v>1098</v>
      </c>
      <c r="C884" s="217"/>
      <c r="D884" s="217" t="s">
        <v>17167</v>
      </c>
      <c r="E884" s="471" t="s">
        <v>20665</v>
      </c>
      <c r="F884" s="540">
        <v>91593</v>
      </c>
      <c r="G884" s="547" t="s">
        <v>21125</v>
      </c>
      <c r="H884" s="542" t="s">
        <v>302</v>
      </c>
      <c r="I884" s="509">
        <f>8*5.48*Q884+0.6*2*4*Q884</f>
        <v>107.008</v>
      </c>
      <c r="J884" s="473">
        <f t="shared" si="920"/>
        <v>10.199999999999999</v>
      </c>
      <c r="K884" s="474">
        <f t="shared" si="931"/>
        <v>1091.4815999999998</v>
      </c>
      <c r="L884" s="473">
        <f t="shared" si="917"/>
        <v>10.16</v>
      </c>
      <c r="M884" s="474">
        <f t="shared" si="932"/>
        <v>1087.20128</v>
      </c>
      <c r="O884" s="434">
        <f t="shared" si="927"/>
        <v>10.199999999999999</v>
      </c>
      <c r="P884" s="435">
        <f t="shared" si="928"/>
        <v>10.16</v>
      </c>
      <c r="Q884" s="549">
        <v>2.2000000000000002</v>
      </c>
      <c r="R884" s="550" t="s">
        <v>21126</v>
      </c>
      <c r="AE884" s="217"/>
      <c r="AF884" s="217">
        <v>1098</v>
      </c>
      <c r="AH884">
        <f t="shared" si="926"/>
        <v>1098</v>
      </c>
    </row>
    <row r="885" ht="78.75" hidden="1">
      <c r="A885" s="460">
        <v>1099</v>
      </c>
      <c r="B885" s="460">
        <v>1099</v>
      </c>
      <c r="C885" s="460"/>
      <c r="D885" s="460"/>
      <c r="E885" s="461">
        <v>1</v>
      </c>
      <c r="F885" s="462" t="s">
        <v>21127</v>
      </c>
      <c r="G885" s="477" t="s">
        <v>21128</v>
      </c>
      <c r="H885" s="478" t="s">
        <v>20647</v>
      </c>
      <c r="I885" s="479"/>
      <c r="J885" s="480"/>
      <c r="K885" s="466">
        <f>SUM(K886:K891)</f>
        <v>17387.117400000003</v>
      </c>
      <c r="L885" s="480"/>
      <c r="M885" s="466">
        <f>SUM(M886:M891)</f>
        <v>17303.949679999998</v>
      </c>
      <c r="O885" s="434" t="str">
        <f t="shared" si="927"/>
        <v xml:space="preserve">SEM VALOR</v>
      </c>
      <c r="P885" s="435" t="str">
        <f t="shared" si="928"/>
        <v xml:space="preserve">SEM VALOR</v>
      </c>
      <c r="AE885" s="460">
        <v>1099</v>
      </c>
      <c r="AF885" s="460"/>
      <c r="AH885">
        <f t="shared" si="926"/>
        <v>1099</v>
      </c>
    </row>
    <row r="886" ht="75" hidden="1">
      <c r="A886" s="217"/>
      <c r="B886" s="217">
        <v>1099</v>
      </c>
      <c r="C886" s="217"/>
      <c r="D886" s="217" t="s">
        <v>20398</v>
      </c>
      <c r="E886" s="471" t="s">
        <v>20399</v>
      </c>
      <c r="F886" s="540">
        <v>1267</v>
      </c>
      <c r="G886" s="541" t="s">
        <v>20662</v>
      </c>
      <c r="H886" s="542" t="s">
        <v>38</v>
      </c>
      <c r="I886" s="509">
        <f>13*2+8*2</f>
        <v>42</v>
      </c>
      <c r="J886" s="473">
        <f t="shared" si="920"/>
        <v>3.2499999999999996</v>
      </c>
      <c r="K886" s="474">
        <f t="shared" ref="K886:K891" si="933">I886*J886</f>
        <v>136.49999999999997</v>
      </c>
      <c r="L886" s="473">
        <f t="shared" si="917"/>
        <v>3.1657000000000002</v>
      </c>
      <c r="M886" s="474">
        <f t="shared" ref="M886:M891" si="934">L886*I886</f>
        <v>132.95940000000002</v>
      </c>
      <c r="O886" s="434">
        <f t="shared" si="927"/>
        <v>3.2499999999999996</v>
      </c>
      <c r="P886" s="435">
        <f t="shared" si="928"/>
        <v>3.1657000000000002</v>
      </c>
      <c r="AE886" s="217"/>
      <c r="AF886" s="217">
        <v>1099</v>
      </c>
      <c r="AH886">
        <f t="shared" si="926"/>
        <v>1099</v>
      </c>
    </row>
    <row r="887" ht="45" hidden="1">
      <c r="A887" s="217"/>
      <c r="B887" s="217">
        <v>1099</v>
      </c>
      <c r="C887" s="217"/>
      <c r="D887" s="217" t="s">
        <v>20398</v>
      </c>
      <c r="E887" s="471" t="s">
        <v>20402</v>
      </c>
      <c r="F887" s="540">
        <v>1259</v>
      </c>
      <c r="G887" s="541" t="s">
        <v>21123</v>
      </c>
      <c r="H887" s="542" t="s">
        <v>15528</v>
      </c>
      <c r="I887" s="509">
        <f>8*0.08*13</f>
        <v>8.3200000000000003</v>
      </c>
      <c r="J887" s="473">
        <f t="shared" si="920"/>
        <v>45.520000000000003</v>
      </c>
      <c r="K887" s="474">
        <f t="shared" si="933"/>
        <v>378.72640000000001</v>
      </c>
      <c r="L887" s="473">
        <f t="shared" si="917"/>
        <v>43.100000000000001</v>
      </c>
      <c r="M887" s="474">
        <f t="shared" si="934"/>
        <v>358.59200000000004</v>
      </c>
      <c r="O887" s="434">
        <f t="shared" si="927"/>
        <v>45.520000000000003</v>
      </c>
      <c r="P887" s="435">
        <f t="shared" si="928"/>
        <v>43.100000000000001</v>
      </c>
      <c r="AE887" s="217"/>
      <c r="AF887" s="217">
        <v>1099</v>
      </c>
      <c r="AH887">
        <f t="shared" si="926"/>
        <v>1099</v>
      </c>
    </row>
    <row r="888" ht="60" hidden="1">
      <c r="A888" s="217"/>
      <c r="B888" s="217">
        <v>1099</v>
      </c>
      <c r="C888" s="217"/>
      <c r="D888" s="217" t="s">
        <v>20398</v>
      </c>
      <c r="E888" s="471" t="s">
        <v>20405</v>
      </c>
      <c r="F888" s="540">
        <v>1258</v>
      </c>
      <c r="G888" s="547" t="s">
        <v>20660</v>
      </c>
      <c r="H888" s="542" t="s">
        <v>15515</v>
      </c>
      <c r="I888" s="509">
        <f>8*13</f>
        <v>104</v>
      </c>
      <c r="J888" s="473">
        <f t="shared" si="920"/>
        <v>7.5700000000000003</v>
      </c>
      <c r="K888" s="474">
        <f t="shared" si="933"/>
        <v>787.27999999999997</v>
      </c>
      <c r="L888" s="473">
        <f t="shared" si="917"/>
        <v>7.1846199999999998</v>
      </c>
      <c r="M888" s="474">
        <f t="shared" si="934"/>
        <v>747.20047999999997</v>
      </c>
      <c r="O888" s="434">
        <f t="shared" si="927"/>
        <v>7.5700000000000003</v>
      </c>
      <c r="P888" s="435">
        <f t="shared" si="928"/>
        <v>7.1846199999999998</v>
      </c>
      <c r="AE888" s="217"/>
      <c r="AF888" s="217">
        <v>1099</v>
      </c>
      <c r="AH888">
        <f t="shared" si="926"/>
        <v>1099</v>
      </c>
    </row>
    <row r="889" ht="75" hidden="1">
      <c r="A889" s="217"/>
      <c r="B889" s="217">
        <v>1099</v>
      </c>
      <c r="C889" s="217"/>
      <c r="D889" s="217" t="s">
        <v>20408</v>
      </c>
      <c r="E889" s="471" t="s">
        <v>20409</v>
      </c>
      <c r="F889" s="540">
        <v>11145</v>
      </c>
      <c r="G889" s="541" t="s">
        <v>21124</v>
      </c>
      <c r="H889" s="542" t="s">
        <v>15528</v>
      </c>
      <c r="I889" s="509">
        <f>8*0.08*13+(8+4)*0.15/2*13+0.4*0.05*4</f>
        <v>20.100000000000001</v>
      </c>
      <c r="J889" s="473">
        <f t="shared" si="920"/>
        <v>662.14999999999998</v>
      </c>
      <c r="K889" s="474">
        <f t="shared" si="933"/>
        <v>13309.215</v>
      </c>
      <c r="L889" s="473">
        <f t="shared" si="917"/>
        <v>662.14999999999998</v>
      </c>
      <c r="M889" s="474">
        <f t="shared" si="934"/>
        <v>13309.215</v>
      </c>
      <c r="O889" s="434">
        <f t="shared" si="927"/>
        <v>662.14999999999998</v>
      </c>
      <c r="P889" s="435">
        <f t="shared" si="928"/>
        <v>662.14999999999998</v>
      </c>
      <c r="AE889" s="217"/>
      <c r="AF889" s="217">
        <v>1099</v>
      </c>
      <c r="AH889">
        <f t="shared" si="926"/>
        <v>1099</v>
      </c>
    </row>
    <row r="890" ht="60" hidden="1">
      <c r="A890" s="217"/>
      <c r="B890" s="217">
        <v>1099</v>
      </c>
      <c r="C890" s="217"/>
      <c r="D890" s="217" t="s">
        <v>17167</v>
      </c>
      <c r="E890" s="471" t="s">
        <v>20663</v>
      </c>
      <c r="F890" s="540">
        <v>96530</v>
      </c>
      <c r="G890" s="541" t="s">
        <v>20966</v>
      </c>
      <c r="H890" s="542" t="s">
        <v>15515</v>
      </c>
      <c r="I890" s="509">
        <f>0.3*4+0.15*4*2+0.15*2/2*2*2</f>
        <v>3</v>
      </c>
      <c r="J890" s="473">
        <f t="shared" si="920"/>
        <v>129.25999999999999</v>
      </c>
      <c r="K890" s="474">
        <f t="shared" si="933"/>
        <v>387.77999999999997</v>
      </c>
      <c r="L890" s="473">
        <f t="shared" si="917"/>
        <v>125.91</v>
      </c>
      <c r="M890" s="474">
        <f t="shared" si="934"/>
        <v>377.73000000000002</v>
      </c>
      <c r="O890" s="434">
        <f t="shared" si="927"/>
        <v>129.25999999999999</v>
      </c>
      <c r="P890" s="435">
        <f t="shared" si="928"/>
        <v>125.91</v>
      </c>
      <c r="AE890" s="217"/>
      <c r="AF890" s="217">
        <v>1099</v>
      </c>
      <c r="AH890">
        <f t="shared" si="926"/>
        <v>1099</v>
      </c>
    </row>
    <row r="891" ht="75" hidden="1">
      <c r="A891" s="217"/>
      <c r="B891" s="217">
        <v>1099</v>
      </c>
      <c r="C891" s="217"/>
      <c r="D891" s="217" t="s">
        <v>17167</v>
      </c>
      <c r="E891" s="471" t="s">
        <v>20665</v>
      </c>
      <c r="F891" s="540">
        <v>91593</v>
      </c>
      <c r="G891" s="547" t="s">
        <v>21125</v>
      </c>
      <c r="H891" s="542" t="s">
        <v>302</v>
      </c>
      <c r="I891" s="509">
        <f>8*13*Q891+0.6*4*Q891</f>
        <v>234.08000000000001</v>
      </c>
      <c r="J891" s="473">
        <f t="shared" si="920"/>
        <v>10.199999999999999</v>
      </c>
      <c r="K891" s="474">
        <f t="shared" si="933"/>
        <v>2387.616</v>
      </c>
      <c r="L891" s="473">
        <f t="shared" si="917"/>
        <v>10.16</v>
      </c>
      <c r="M891" s="474">
        <f t="shared" si="934"/>
        <v>2378.2528000000002</v>
      </c>
      <c r="O891" s="434">
        <f t="shared" si="927"/>
        <v>10.199999999999999</v>
      </c>
      <c r="P891" s="435">
        <f t="shared" si="928"/>
        <v>10.16</v>
      </c>
      <c r="Q891" s="549">
        <v>2.2000000000000002</v>
      </c>
      <c r="R891" s="550" t="s">
        <v>21126</v>
      </c>
      <c r="AE891" s="217"/>
      <c r="AF891" s="217">
        <v>1099</v>
      </c>
      <c r="AH891">
        <f t="shared" si="926"/>
        <v>1099</v>
      </c>
    </row>
    <row r="892" ht="78.75" hidden="1">
      <c r="A892" s="460">
        <v>1100</v>
      </c>
      <c r="B892" s="460">
        <v>1100</v>
      </c>
      <c r="C892" s="460"/>
      <c r="D892" s="460"/>
      <c r="E892" s="461">
        <v>1</v>
      </c>
      <c r="F892" s="462" t="s">
        <v>21129</v>
      </c>
      <c r="G892" s="477" t="s">
        <v>21130</v>
      </c>
      <c r="H892" s="478" t="s">
        <v>20647</v>
      </c>
      <c r="I892" s="479"/>
      <c r="J892" s="480"/>
      <c r="K892" s="466">
        <f>SUM(K893:K898)</f>
        <v>12853.134100000001</v>
      </c>
      <c r="L892" s="480"/>
      <c r="M892" s="466">
        <f>SUM(M893:M898)</f>
        <v>12789.23192</v>
      </c>
      <c r="O892" s="434" t="str">
        <f t="shared" si="927"/>
        <v xml:space="preserve">SEM VALOR</v>
      </c>
      <c r="P892" s="435" t="str">
        <f t="shared" si="928"/>
        <v xml:space="preserve">SEM VALOR</v>
      </c>
      <c r="AE892" s="460">
        <v>1100</v>
      </c>
      <c r="AF892" s="460"/>
      <c r="AH892">
        <f t="shared" si="926"/>
        <v>1100</v>
      </c>
    </row>
    <row r="893" ht="75" hidden="1">
      <c r="A893" s="217"/>
      <c r="B893" s="217">
        <v>1100</v>
      </c>
      <c r="C893" s="217"/>
      <c r="D893" s="217" t="s">
        <v>20398</v>
      </c>
      <c r="E893" s="471" t="s">
        <v>20399</v>
      </c>
      <c r="F893" s="540">
        <v>1267</v>
      </c>
      <c r="G893" s="541" t="s">
        <v>20662</v>
      </c>
      <c r="H893" s="542" t="s">
        <v>38</v>
      </c>
      <c r="I893" s="509">
        <f>9.5*2+8*2</f>
        <v>35</v>
      </c>
      <c r="J893" s="473">
        <f t="shared" si="920"/>
        <v>3.2499999999999996</v>
      </c>
      <c r="K893" s="474">
        <f t="shared" ref="K893:K898" si="935">I893*J893</f>
        <v>113.74999999999999</v>
      </c>
      <c r="L893" s="473">
        <f t="shared" si="917"/>
        <v>3.1657000000000002</v>
      </c>
      <c r="M893" s="474">
        <f t="shared" ref="M893:M898" si="936">L893*I893</f>
        <v>110.79950000000001</v>
      </c>
      <c r="O893" s="434">
        <f t="shared" si="927"/>
        <v>3.2499999999999996</v>
      </c>
      <c r="P893" s="435">
        <f t="shared" si="928"/>
        <v>3.1657000000000002</v>
      </c>
      <c r="AE893" s="217"/>
      <c r="AF893" s="217">
        <v>1100</v>
      </c>
      <c r="AH893">
        <f t="shared" si="926"/>
        <v>1100</v>
      </c>
    </row>
    <row r="894" ht="45" hidden="1">
      <c r="A894" s="217"/>
      <c r="B894" s="217">
        <v>1100</v>
      </c>
      <c r="C894" s="217"/>
      <c r="D894" s="217" t="s">
        <v>20398</v>
      </c>
      <c r="E894" s="471" t="s">
        <v>20402</v>
      </c>
      <c r="F894" s="540">
        <v>1259</v>
      </c>
      <c r="G894" s="541" t="s">
        <v>21123</v>
      </c>
      <c r="H894" s="542" t="s">
        <v>15528</v>
      </c>
      <c r="I894" s="509">
        <f>8*0.08*9.5</f>
        <v>6.0800000000000001</v>
      </c>
      <c r="J894" s="473">
        <f t="shared" si="920"/>
        <v>45.520000000000003</v>
      </c>
      <c r="K894" s="474">
        <f t="shared" si="935"/>
        <v>276.76160000000004</v>
      </c>
      <c r="L894" s="473">
        <f t="shared" si="917"/>
        <v>43.100000000000001</v>
      </c>
      <c r="M894" s="474">
        <f t="shared" si="936"/>
        <v>262.048</v>
      </c>
      <c r="O894" s="434">
        <f t="shared" si="927"/>
        <v>45.520000000000003</v>
      </c>
      <c r="P894" s="435">
        <f t="shared" si="928"/>
        <v>43.100000000000001</v>
      </c>
      <c r="AE894" s="217"/>
      <c r="AF894" s="217">
        <v>1100</v>
      </c>
      <c r="AH894">
        <f t="shared" si="926"/>
        <v>1100</v>
      </c>
    </row>
    <row r="895" ht="60" hidden="1">
      <c r="A895" s="217"/>
      <c r="B895" s="217">
        <v>1100</v>
      </c>
      <c r="C895" s="217"/>
      <c r="D895" s="217" t="s">
        <v>20398</v>
      </c>
      <c r="E895" s="471" t="s">
        <v>20405</v>
      </c>
      <c r="F895" s="540">
        <v>1258</v>
      </c>
      <c r="G895" s="547" t="s">
        <v>20660</v>
      </c>
      <c r="H895" s="542" t="s">
        <v>15515</v>
      </c>
      <c r="I895" s="509">
        <f>8*9.5</f>
        <v>76</v>
      </c>
      <c r="J895" s="473">
        <f t="shared" si="920"/>
        <v>7.5700000000000003</v>
      </c>
      <c r="K895" s="474">
        <f t="shared" si="935"/>
        <v>575.32000000000005</v>
      </c>
      <c r="L895" s="473">
        <f t="shared" si="917"/>
        <v>7.1846199999999998</v>
      </c>
      <c r="M895" s="474">
        <f t="shared" si="936"/>
        <v>546.03111999999999</v>
      </c>
      <c r="O895" s="434">
        <f t="shared" si="927"/>
        <v>7.5700000000000003</v>
      </c>
      <c r="P895" s="435">
        <f t="shared" si="928"/>
        <v>7.1846199999999998</v>
      </c>
      <c r="AE895" s="217"/>
      <c r="AF895" s="217">
        <v>1100</v>
      </c>
      <c r="AH895">
        <f t="shared" si="926"/>
        <v>1100</v>
      </c>
    </row>
    <row r="896" ht="75" hidden="1">
      <c r="A896" s="217"/>
      <c r="B896" s="217">
        <v>1100</v>
      </c>
      <c r="C896" s="217"/>
      <c r="D896" s="217" t="s">
        <v>20408</v>
      </c>
      <c r="E896" s="471" t="s">
        <v>20409</v>
      </c>
      <c r="F896" s="540">
        <v>11145</v>
      </c>
      <c r="G896" s="541" t="s">
        <v>21124</v>
      </c>
      <c r="H896" s="542" t="s">
        <v>15528</v>
      </c>
      <c r="I896" s="509">
        <f>8*0.08*9.5+(8+4)*0.15/2*9.5+0.4*0.05*4</f>
        <v>14.710000000000001</v>
      </c>
      <c r="J896" s="473">
        <f t="shared" si="920"/>
        <v>662.14999999999998</v>
      </c>
      <c r="K896" s="474">
        <f t="shared" si="935"/>
        <v>9740.2265000000007</v>
      </c>
      <c r="L896" s="473">
        <f t="shared" si="917"/>
        <v>662.14999999999998</v>
      </c>
      <c r="M896" s="474">
        <f t="shared" si="936"/>
        <v>9740.2265000000007</v>
      </c>
      <c r="O896" s="434">
        <f t="shared" si="927"/>
        <v>662.14999999999998</v>
      </c>
      <c r="P896" s="435">
        <f t="shared" si="928"/>
        <v>662.14999999999998</v>
      </c>
      <c r="AE896" s="217"/>
      <c r="AF896" s="217">
        <v>1100</v>
      </c>
      <c r="AH896">
        <f t="shared" si="926"/>
        <v>1100</v>
      </c>
    </row>
    <row r="897" ht="60" hidden="1">
      <c r="A897" s="217"/>
      <c r="B897" s="217">
        <v>1100</v>
      </c>
      <c r="C897" s="217"/>
      <c r="D897" s="217" t="s">
        <v>17167</v>
      </c>
      <c r="E897" s="471" t="s">
        <v>20663</v>
      </c>
      <c r="F897" s="540">
        <v>96530</v>
      </c>
      <c r="G897" s="541" t="s">
        <v>20966</v>
      </c>
      <c r="H897" s="542" t="s">
        <v>15515</v>
      </c>
      <c r="I897" s="509">
        <f>0.3*4+0.15*4*2+0.15*2/2*2*2</f>
        <v>3</v>
      </c>
      <c r="J897" s="473">
        <f t="shared" si="920"/>
        <v>129.25999999999999</v>
      </c>
      <c r="K897" s="474">
        <f t="shared" si="935"/>
        <v>387.77999999999997</v>
      </c>
      <c r="L897" s="473">
        <f t="shared" si="917"/>
        <v>125.91</v>
      </c>
      <c r="M897" s="474">
        <f t="shared" si="936"/>
        <v>377.73000000000002</v>
      </c>
      <c r="O897" s="434">
        <f t="shared" si="927"/>
        <v>129.25999999999999</v>
      </c>
      <c r="P897" s="435">
        <f t="shared" si="928"/>
        <v>125.91</v>
      </c>
      <c r="AE897" s="217"/>
      <c r="AF897" s="217">
        <v>1100</v>
      </c>
      <c r="AH897">
        <f t="shared" si="926"/>
        <v>1100</v>
      </c>
    </row>
    <row r="898" ht="75" hidden="1">
      <c r="A898" s="217"/>
      <c r="B898" s="217">
        <v>1100</v>
      </c>
      <c r="C898" s="217"/>
      <c r="D898" s="217" t="s">
        <v>17167</v>
      </c>
      <c r="E898" s="471" t="s">
        <v>20665</v>
      </c>
      <c r="F898" s="540">
        <v>91593</v>
      </c>
      <c r="G898" s="547" t="s">
        <v>21125</v>
      </c>
      <c r="H898" s="542" t="s">
        <v>302</v>
      </c>
      <c r="I898" s="509">
        <f>8*9.5*Q898+0.6*4*Q898</f>
        <v>172.47999999999999</v>
      </c>
      <c r="J898" s="473">
        <f t="shared" si="920"/>
        <v>10.199999999999999</v>
      </c>
      <c r="K898" s="474">
        <f t="shared" si="935"/>
        <v>1759.2959999999998</v>
      </c>
      <c r="L898" s="473">
        <f t="shared" si="917"/>
        <v>10.16</v>
      </c>
      <c r="M898" s="474">
        <f t="shared" si="936"/>
        <v>1752.3968</v>
      </c>
      <c r="O898" s="434">
        <f t="shared" si="927"/>
        <v>10.199999999999999</v>
      </c>
      <c r="P898" s="435">
        <f t="shared" si="928"/>
        <v>10.16</v>
      </c>
      <c r="Q898" s="549">
        <v>2.2000000000000002</v>
      </c>
      <c r="R898" s="550" t="s">
        <v>21126</v>
      </c>
      <c r="AE898" s="217"/>
      <c r="AF898" s="217">
        <v>1100</v>
      </c>
      <c r="AH898">
        <f t="shared" si="926"/>
        <v>1100</v>
      </c>
    </row>
    <row r="899" ht="51" hidden="1" customHeight="1">
      <c r="A899" s="460">
        <v>1101</v>
      </c>
      <c r="B899" s="460">
        <v>1101</v>
      </c>
      <c r="C899" s="460"/>
      <c r="D899" s="460"/>
      <c r="E899" s="461">
        <v>1</v>
      </c>
      <c r="F899" s="462" t="s">
        <v>21131</v>
      </c>
      <c r="G899" s="477" t="s">
        <v>21132</v>
      </c>
      <c r="H899" s="478" t="s">
        <v>20647</v>
      </c>
      <c r="I899" s="479"/>
      <c r="J899" s="480"/>
      <c r="K899" s="466">
        <f>SUM(K900:K910)</f>
        <v>1394.8384419080003</v>
      </c>
      <c r="L899" s="480"/>
      <c r="M899" s="466">
        <f>SUM(M900:M910)</f>
        <v>1368.0357483543748</v>
      </c>
      <c r="O899" s="434" t="str">
        <f t="shared" si="927"/>
        <v xml:space="preserve">SEM VALOR</v>
      </c>
      <c r="P899" s="435" t="str">
        <f t="shared" si="928"/>
        <v xml:space="preserve">SEM VALOR</v>
      </c>
      <c r="AE899" s="460">
        <v>1101</v>
      </c>
      <c r="AF899" s="460"/>
      <c r="AH899">
        <f t="shared" si="926"/>
        <v>1101</v>
      </c>
    </row>
    <row r="900" ht="45" hidden="1">
      <c r="A900" s="217"/>
      <c r="B900" s="217">
        <v>1101</v>
      </c>
      <c r="C900" s="217"/>
      <c r="D900" s="217" t="s">
        <v>20398</v>
      </c>
      <c r="E900" s="471" t="s">
        <v>20399</v>
      </c>
      <c r="F900" s="540">
        <v>1259</v>
      </c>
      <c r="G900" s="541" t="s">
        <v>21123</v>
      </c>
      <c r="H900" s="542" t="s">
        <v>15528</v>
      </c>
      <c r="I900" s="509">
        <v>1.4726250000000001</v>
      </c>
      <c r="J900" s="473">
        <f t="shared" si="920"/>
        <v>45.520000000000003</v>
      </c>
      <c r="K900" s="474">
        <f t="shared" ref="K900:K910" si="937">I900*J900</f>
        <v>67.033890000000014</v>
      </c>
      <c r="L900" s="473">
        <f t="shared" si="917"/>
        <v>43.100000000000001</v>
      </c>
      <c r="M900" s="474">
        <f t="shared" ref="M900:M910" si="938">L900*I900</f>
        <v>63.470137500000007</v>
      </c>
      <c r="O900" s="434">
        <f t="shared" si="927"/>
        <v>45.520000000000003</v>
      </c>
      <c r="P900" s="435">
        <f t="shared" si="928"/>
        <v>43.100000000000001</v>
      </c>
      <c r="AE900" s="217"/>
      <c r="AF900" s="217">
        <v>1101</v>
      </c>
      <c r="AH900">
        <f t="shared" si="926"/>
        <v>1101</v>
      </c>
    </row>
    <row r="901" ht="75" hidden="1">
      <c r="A901" s="217"/>
      <c r="B901" s="217">
        <v>1101</v>
      </c>
      <c r="C901" s="217"/>
      <c r="D901" s="217" t="s">
        <v>20398</v>
      </c>
      <c r="E901" s="471" t="s">
        <v>20402</v>
      </c>
      <c r="F901" s="540">
        <v>1267</v>
      </c>
      <c r="G901" s="541" t="s">
        <v>20662</v>
      </c>
      <c r="H901" s="542" t="s">
        <v>38</v>
      </c>
      <c r="I901" s="509">
        <v>3.1000000000000001</v>
      </c>
      <c r="J901" s="473">
        <f t="shared" si="920"/>
        <v>3.2499999999999996</v>
      </c>
      <c r="K901" s="474">
        <f t="shared" si="937"/>
        <v>10.074999999999999</v>
      </c>
      <c r="L901" s="473">
        <f t="shared" si="917"/>
        <v>3.1657000000000002</v>
      </c>
      <c r="M901" s="474">
        <f t="shared" si="938"/>
        <v>9.8136700000000001</v>
      </c>
      <c r="O901" s="434">
        <f t="shared" si="927"/>
        <v>3.2499999999999996</v>
      </c>
      <c r="P901" s="435">
        <f t="shared" si="928"/>
        <v>3.1657000000000002</v>
      </c>
      <c r="AE901" s="217"/>
      <c r="AF901" s="217">
        <v>1101</v>
      </c>
      <c r="AH901">
        <f t="shared" si="926"/>
        <v>1101</v>
      </c>
    </row>
    <row r="902" ht="105" hidden="1">
      <c r="A902" s="217"/>
      <c r="B902" s="217">
        <v>1101</v>
      </c>
      <c r="C902" s="217"/>
      <c r="D902" s="217" t="s">
        <v>20398</v>
      </c>
      <c r="E902" s="471" t="s">
        <v>20405</v>
      </c>
      <c r="F902" s="540">
        <v>1092</v>
      </c>
      <c r="G902" s="547" t="s">
        <v>20666</v>
      </c>
      <c r="H902" s="542" t="s">
        <v>15528</v>
      </c>
      <c r="I902" s="509">
        <v>2.0081625000000001</v>
      </c>
      <c r="J902" s="473">
        <f t="shared" si="920"/>
        <v>2.2000000000000002</v>
      </c>
      <c r="K902" s="474">
        <f t="shared" si="937"/>
        <v>4.4179575000000009</v>
      </c>
      <c r="L902" s="473">
        <f t="shared" si="917"/>
        <v>2.1879900000000001</v>
      </c>
      <c r="M902" s="474">
        <f t="shared" si="938"/>
        <v>4.3938394683749999</v>
      </c>
      <c r="O902" s="434">
        <f t="shared" si="927"/>
        <v>2.2000000000000002</v>
      </c>
      <c r="P902" s="435">
        <f t="shared" si="928"/>
        <v>2.1879900000000001</v>
      </c>
      <c r="AE902" s="217"/>
      <c r="AF902" s="217">
        <v>1101</v>
      </c>
      <c r="AH902">
        <f t="shared" si="926"/>
        <v>1101</v>
      </c>
    </row>
    <row r="903" ht="60" hidden="1">
      <c r="A903" s="217"/>
      <c r="B903" s="217">
        <v>1101</v>
      </c>
      <c r="C903" s="217"/>
      <c r="D903" s="217" t="s">
        <v>17167</v>
      </c>
      <c r="E903" s="471" t="s">
        <v>20409</v>
      </c>
      <c r="F903" s="540">
        <v>95875</v>
      </c>
      <c r="G903" s="541" t="s">
        <v>20668</v>
      </c>
      <c r="H903" s="542" t="s">
        <v>20669</v>
      </c>
      <c r="I903" s="509">
        <v>10.040812499999999</v>
      </c>
      <c r="J903" s="473">
        <f t="shared" si="920"/>
        <v>2.7599999999999998</v>
      </c>
      <c r="K903" s="474">
        <f t="shared" si="937"/>
        <v>27.712642499999998</v>
      </c>
      <c r="L903" s="473">
        <f t="shared" si="917"/>
        <v>2.73</v>
      </c>
      <c r="M903" s="474">
        <f t="shared" si="938"/>
        <v>27.411418124999997</v>
      </c>
      <c r="O903" s="434">
        <f t="shared" si="927"/>
        <v>2.7599999999999998</v>
      </c>
      <c r="P903" s="435">
        <f t="shared" si="928"/>
        <v>2.73</v>
      </c>
      <c r="Q903" s="551" t="s">
        <v>20670</v>
      </c>
      <c r="AE903" s="217"/>
      <c r="AF903" s="217">
        <v>1101</v>
      </c>
      <c r="AH903">
        <f t="shared" si="926"/>
        <v>1101</v>
      </c>
    </row>
    <row r="904" ht="105" hidden="1">
      <c r="A904" s="217"/>
      <c r="B904" s="217">
        <v>1101</v>
      </c>
      <c r="C904" s="217"/>
      <c r="D904" s="217" t="s">
        <v>17167</v>
      </c>
      <c r="E904" s="471" t="s">
        <v>20663</v>
      </c>
      <c r="F904" s="540">
        <v>5928</v>
      </c>
      <c r="G904" s="541" t="s">
        <v>1739</v>
      </c>
      <c r="H904" s="542" t="s">
        <v>1535</v>
      </c>
      <c r="I904" s="509">
        <v>0.10000000000000001</v>
      </c>
      <c r="J904" s="473">
        <f t="shared" si="920"/>
        <v>298.70999999999998</v>
      </c>
      <c r="K904" s="474">
        <f t="shared" si="937"/>
        <v>29.870999999999999</v>
      </c>
      <c r="L904" s="473">
        <f t="shared" si="917"/>
        <v>296.98000000000002</v>
      </c>
      <c r="M904" s="474">
        <f t="shared" si="938"/>
        <v>29.698000000000004</v>
      </c>
      <c r="O904" s="434">
        <f t="shared" si="927"/>
        <v>298.70999999999998</v>
      </c>
      <c r="P904" s="435">
        <f t="shared" si="928"/>
        <v>296.98000000000002</v>
      </c>
      <c r="AE904" s="217"/>
      <c r="AF904" s="217">
        <v>1101</v>
      </c>
      <c r="AH904">
        <f t="shared" si="926"/>
        <v>1101</v>
      </c>
    </row>
    <row r="905" ht="60" hidden="1">
      <c r="A905" s="217"/>
      <c r="B905" s="217">
        <v>1101</v>
      </c>
      <c r="C905" s="217"/>
      <c r="D905" s="217" t="s">
        <v>20398</v>
      </c>
      <c r="E905" s="471" t="s">
        <v>20665</v>
      </c>
      <c r="F905" s="540">
        <v>1258</v>
      </c>
      <c r="G905" s="547" t="s">
        <v>20660</v>
      </c>
      <c r="H905" s="542" t="s">
        <v>15515</v>
      </c>
      <c r="I905" s="509">
        <v>1.1780999999999999</v>
      </c>
      <c r="J905" s="473">
        <f t="shared" si="920"/>
        <v>7.5700000000000003</v>
      </c>
      <c r="K905" s="474">
        <f t="shared" si="937"/>
        <v>8.9182170000000003</v>
      </c>
      <c r="L905" s="473">
        <f t="shared" si="917"/>
        <v>7.1846199999999998</v>
      </c>
      <c r="M905" s="474">
        <f t="shared" si="938"/>
        <v>8.4642008219999987</v>
      </c>
      <c r="O905" s="434">
        <f t="shared" si="927"/>
        <v>7.5700000000000003</v>
      </c>
      <c r="P905" s="435">
        <f t="shared" si="928"/>
        <v>7.1846199999999998</v>
      </c>
      <c r="AE905" s="217"/>
      <c r="AF905" s="217">
        <v>1101</v>
      </c>
      <c r="AH905">
        <f t="shared" si="926"/>
        <v>1101</v>
      </c>
    </row>
    <row r="906" ht="105" hidden="1">
      <c r="A906" s="217"/>
      <c r="B906" s="217">
        <v>1101</v>
      </c>
      <c r="C906" s="217"/>
      <c r="D906" s="217" t="s">
        <v>17167</v>
      </c>
      <c r="E906" s="471" t="s">
        <v>20667</v>
      </c>
      <c r="F906" s="540">
        <v>92431</v>
      </c>
      <c r="G906" s="547" t="s">
        <v>20674</v>
      </c>
      <c r="H906" s="542" t="s">
        <v>15515</v>
      </c>
      <c r="I906" s="509">
        <v>5.2625000000000002</v>
      </c>
      <c r="J906" s="473">
        <f t="shared" si="920"/>
        <v>70.030000000000001</v>
      </c>
      <c r="K906" s="474">
        <f t="shared" si="937"/>
        <v>368.53287500000005</v>
      </c>
      <c r="L906" s="473">
        <f t="shared" si="917"/>
        <v>68.510000000000005</v>
      </c>
      <c r="M906" s="474">
        <f t="shared" si="938"/>
        <v>360.53387500000002</v>
      </c>
      <c r="O906" s="434">
        <f t="shared" si="927"/>
        <v>70.030000000000001</v>
      </c>
      <c r="P906" s="435">
        <f t="shared" si="928"/>
        <v>68.510000000000005</v>
      </c>
      <c r="AE906" s="217"/>
      <c r="AF906" s="217">
        <v>1101</v>
      </c>
      <c r="AH906">
        <f t="shared" si="926"/>
        <v>1101</v>
      </c>
    </row>
    <row r="907" ht="45" hidden="1">
      <c r="A907" s="217"/>
      <c r="B907" s="217">
        <v>1101</v>
      </c>
      <c r="C907" s="217"/>
      <c r="D907" s="217" t="s">
        <v>17167</v>
      </c>
      <c r="E907" s="471" t="s">
        <v>20671</v>
      </c>
      <c r="F907" s="540">
        <v>96546</v>
      </c>
      <c r="G907" s="547" t="s">
        <v>21133</v>
      </c>
      <c r="H907" s="542" t="s">
        <v>302</v>
      </c>
      <c r="I907" s="509">
        <v>11.76</v>
      </c>
      <c r="J907" s="473">
        <f t="shared" si="920"/>
        <v>13.77</v>
      </c>
      <c r="K907" s="474">
        <f t="shared" si="937"/>
        <v>161.93519999999998</v>
      </c>
      <c r="L907" s="473">
        <f t="shared" ref="L907:L970" si="939">P907*$L$3</f>
        <v>13.51</v>
      </c>
      <c r="M907" s="474">
        <f t="shared" si="938"/>
        <v>158.8776</v>
      </c>
      <c r="O907" s="434">
        <f t="shared" si="927"/>
        <v>13.77</v>
      </c>
      <c r="P907" s="435">
        <f t="shared" si="928"/>
        <v>13.51</v>
      </c>
      <c r="AE907" s="217"/>
      <c r="AF907" s="217">
        <v>1101</v>
      </c>
      <c r="AH907">
        <f t="shared" si="926"/>
        <v>1101</v>
      </c>
    </row>
    <row r="908" ht="60" hidden="1">
      <c r="A908" s="217"/>
      <c r="B908" s="217">
        <v>1101</v>
      </c>
      <c r="C908" s="217"/>
      <c r="D908" s="217" t="s">
        <v>17167</v>
      </c>
      <c r="E908" s="471" t="s">
        <v>20672</v>
      </c>
      <c r="F908" s="540">
        <v>94964</v>
      </c>
      <c r="G908" s="547" t="s">
        <v>20686</v>
      </c>
      <c r="H908" s="542" t="s">
        <v>15528</v>
      </c>
      <c r="I908" s="509">
        <v>0.79056199999999999</v>
      </c>
      <c r="J908" s="473">
        <f t="shared" si="920"/>
        <v>488.52999999999997</v>
      </c>
      <c r="K908" s="474">
        <f t="shared" si="937"/>
        <v>386.21325385999995</v>
      </c>
      <c r="L908" s="473">
        <f t="shared" si="939"/>
        <v>482.79000000000002</v>
      </c>
      <c r="M908" s="474">
        <f t="shared" si="938"/>
        <v>381.67542797999999</v>
      </c>
      <c r="O908" s="434">
        <f t="shared" si="927"/>
        <v>488.52999999999997</v>
      </c>
      <c r="P908" s="435">
        <f t="shared" si="928"/>
        <v>482.79000000000002</v>
      </c>
      <c r="AE908" s="217"/>
      <c r="AF908" s="217">
        <v>1101</v>
      </c>
      <c r="AH908">
        <f t="shared" si="926"/>
        <v>1101</v>
      </c>
    </row>
    <row r="909" ht="45" hidden="1">
      <c r="A909" s="217"/>
      <c r="B909" s="217">
        <v>1101</v>
      </c>
      <c r="C909" s="217"/>
      <c r="D909" s="217" t="s">
        <v>20398</v>
      </c>
      <c r="E909" s="471" t="s">
        <v>20673</v>
      </c>
      <c r="F909" s="540">
        <v>1000</v>
      </c>
      <c r="G909" s="547" t="s">
        <v>20651</v>
      </c>
      <c r="H909" s="542" t="s">
        <v>15528</v>
      </c>
      <c r="I909" s="509">
        <v>0.79056199999999999</v>
      </c>
      <c r="J909" s="473">
        <f t="shared" si="920"/>
        <v>149.904</v>
      </c>
      <c r="K909" s="474">
        <f t="shared" si="937"/>
        <v>118.508406048</v>
      </c>
      <c r="L909" s="473">
        <f t="shared" si="939"/>
        <v>141.76949999999999</v>
      </c>
      <c r="M909" s="474">
        <f t="shared" si="938"/>
        <v>112.07757945899999</v>
      </c>
      <c r="O909" s="434">
        <f t="shared" si="927"/>
        <v>149.904</v>
      </c>
      <c r="P909" s="435">
        <f t="shared" si="928"/>
        <v>141.76949999999999</v>
      </c>
      <c r="AE909" s="217"/>
      <c r="AF909" s="217">
        <v>1101</v>
      </c>
      <c r="AH909">
        <f t="shared" si="926"/>
        <v>1101</v>
      </c>
    </row>
    <row r="910" ht="45" hidden="1">
      <c r="A910" s="217"/>
      <c r="B910" s="217">
        <v>1101</v>
      </c>
      <c r="C910" s="217"/>
      <c r="D910" s="217" t="s">
        <v>20408</v>
      </c>
      <c r="E910" s="471" t="s">
        <v>20675</v>
      </c>
      <c r="F910" s="540">
        <v>11241</v>
      </c>
      <c r="G910" s="547" t="s">
        <v>21134</v>
      </c>
      <c r="H910" s="542" t="s">
        <v>21135</v>
      </c>
      <c r="I910" s="509">
        <v>1</v>
      </c>
      <c r="J910" s="473">
        <f t="shared" si="920"/>
        <v>211.62</v>
      </c>
      <c r="K910" s="474">
        <f t="shared" si="937"/>
        <v>211.62</v>
      </c>
      <c r="L910" s="473">
        <f t="shared" si="939"/>
        <v>211.62</v>
      </c>
      <c r="M910" s="474">
        <f t="shared" si="938"/>
        <v>211.62</v>
      </c>
      <c r="O910" s="434">
        <f t="shared" si="927"/>
        <v>211.62</v>
      </c>
      <c r="P910" s="435">
        <f t="shared" si="928"/>
        <v>211.62</v>
      </c>
      <c r="AE910" s="217"/>
      <c r="AF910" s="217">
        <v>1101</v>
      </c>
      <c r="AH910">
        <f t="shared" si="926"/>
        <v>1101</v>
      </c>
    </row>
    <row r="911" ht="47.25" hidden="1">
      <c r="A911" s="460">
        <v>1102</v>
      </c>
      <c r="B911" s="460">
        <v>1102</v>
      </c>
      <c r="C911" s="460"/>
      <c r="D911" s="460"/>
      <c r="E911" s="461">
        <v>1</v>
      </c>
      <c r="F911" s="462" t="s">
        <v>21136</v>
      </c>
      <c r="G911" s="477" t="s">
        <v>21137</v>
      </c>
      <c r="H911" s="478" t="s">
        <v>20647</v>
      </c>
      <c r="I911" s="479"/>
      <c r="J911" s="480"/>
      <c r="K911" s="466">
        <f>SUM(K912:K924)</f>
        <v>2565.8901604980001</v>
      </c>
      <c r="L911" s="480"/>
      <c r="M911" s="466">
        <f>SUM(M912:M924)</f>
        <v>2511.9983327877503</v>
      </c>
      <c r="O911" s="434" t="str">
        <f t="shared" si="927"/>
        <v xml:space="preserve">SEM VALOR</v>
      </c>
      <c r="P911" s="435" t="str">
        <f t="shared" si="928"/>
        <v xml:space="preserve">SEM VALOR</v>
      </c>
      <c r="AE911" s="460">
        <v>1102</v>
      </c>
      <c r="AF911" s="460"/>
      <c r="AH911">
        <f t="shared" si="926"/>
        <v>1102</v>
      </c>
    </row>
    <row r="912" ht="45" hidden="1">
      <c r="A912" s="217"/>
      <c r="B912" s="217">
        <v>1102</v>
      </c>
      <c r="C912" s="217"/>
      <c r="D912" s="217" t="s">
        <v>20398</v>
      </c>
      <c r="E912" s="471" t="s">
        <v>20399</v>
      </c>
      <c r="F912" s="540">
        <v>1259</v>
      </c>
      <c r="G912" s="541" t="s">
        <v>21123</v>
      </c>
      <c r="H912" s="542" t="s">
        <v>15528</v>
      </c>
      <c r="I912" s="509">
        <v>2.9700000000000002</v>
      </c>
      <c r="J912" s="473">
        <f t="shared" si="920"/>
        <v>45.520000000000003</v>
      </c>
      <c r="K912" s="474">
        <f t="shared" ref="K912:K924" si="940">I912*J912</f>
        <v>135.19440000000003</v>
      </c>
      <c r="L912" s="473">
        <f t="shared" si="939"/>
        <v>43.100000000000001</v>
      </c>
      <c r="M912" s="474">
        <f t="shared" ref="M912:M924" si="941">L912*I912</f>
        <v>128.00700000000001</v>
      </c>
      <c r="O912" s="434">
        <f t="shared" si="927"/>
        <v>45.520000000000003</v>
      </c>
      <c r="P912" s="435">
        <f t="shared" si="928"/>
        <v>43.100000000000001</v>
      </c>
      <c r="AE912" s="217"/>
      <c r="AF912" s="217">
        <v>1102</v>
      </c>
      <c r="AH912">
        <f t="shared" si="926"/>
        <v>1102</v>
      </c>
    </row>
    <row r="913" ht="75" hidden="1">
      <c r="A913" s="217"/>
      <c r="B913" s="217">
        <v>1102</v>
      </c>
      <c r="C913" s="217"/>
      <c r="D913" s="217" t="s">
        <v>20398</v>
      </c>
      <c r="E913" s="471" t="s">
        <v>20402</v>
      </c>
      <c r="F913" s="540">
        <v>1267</v>
      </c>
      <c r="G913" s="541" t="s">
        <v>20662</v>
      </c>
      <c r="H913" s="542" t="s">
        <v>38</v>
      </c>
      <c r="I913" s="509">
        <v>4.4500000000000002</v>
      </c>
      <c r="J913" s="473">
        <f t="shared" si="920"/>
        <v>3.2499999999999996</v>
      </c>
      <c r="K913" s="474">
        <f t="shared" si="940"/>
        <v>14.462499999999999</v>
      </c>
      <c r="L913" s="473">
        <f t="shared" si="939"/>
        <v>3.1657000000000002</v>
      </c>
      <c r="M913" s="474">
        <f t="shared" si="941"/>
        <v>14.087365000000002</v>
      </c>
      <c r="O913" s="434">
        <f t="shared" si="927"/>
        <v>3.2499999999999996</v>
      </c>
      <c r="P913" s="435">
        <f t="shared" si="928"/>
        <v>3.1657000000000002</v>
      </c>
      <c r="AE913" s="217"/>
      <c r="AF913" s="217">
        <v>1102</v>
      </c>
      <c r="AH913">
        <f t="shared" si="926"/>
        <v>1102</v>
      </c>
    </row>
    <row r="914" ht="105" hidden="1">
      <c r="A914" s="217"/>
      <c r="B914" s="217">
        <v>1102</v>
      </c>
      <c r="C914" s="217"/>
      <c r="D914" s="217" t="s">
        <v>20398</v>
      </c>
      <c r="E914" s="471" t="s">
        <v>20405</v>
      </c>
      <c r="F914" s="540">
        <v>1092</v>
      </c>
      <c r="G914" s="547" t="s">
        <v>20666</v>
      </c>
      <c r="H914" s="542" t="s">
        <v>15528</v>
      </c>
      <c r="I914" s="509">
        <v>4.0053749999999999</v>
      </c>
      <c r="J914" s="473">
        <f t="shared" si="920"/>
        <v>2.2000000000000002</v>
      </c>
      <c r="K914" s="474">
        <f t="shared" si="940"/>
        <v>8.8118250000000007</v>
      </c>
      <c r="L914" s="473">
        <f t="shared" si="939"/>
        <v>2.1879900000000001</v>
      </c>
      <c r="M914" s="474">
        <f t="shared" si="941"/>
        <v>8.7637204462499998</v>
      </c>
      <c r="O914" s="434">
        <f t="shared" si="927"/>
        <v>2.2000000000000002</v>
      </c>
      <c r="P914" s="435">
        <f t="shared" si="928"/>
        <v>2.1879900000000001</v>
      </c>
      <c r="AE914" s="217"/>
      <c r="AF914" s="217">
        <v>1102</v>
      </c>
      <c r="AH914">
        <f t="shared" si="926"/>
        <v>1102</v>
      </c>
    </row>
    <row r="915" ht="60" hidden="1">
      <c r="A915" s="217"/>
      <c r="B915" s="217">
        <v>1102</v>
      </c>
      <c r="C915" s="217"/>
      <c r="D915" s="217" t="s">
        <v>17167</v>
      </c>
      <c r="E915" s="471" t="s">
        <v>20409</v>
      </c>
      <c r="F915" s="540">
        <v>95875</v>
      </c>
      <c r="G915" s="541" t="s">
        <v>20668</v>
      </c>
      <c r="H915" s="542" t="s">
        <v>20669</v>
      </c>
      <c r="I915" s="509">
        <v>20.026875</v>
      </c>
      <c r="J915" s="473">
        <f t="shared" si="920"/>
        <v>2.7599999999999998</v>
      </c>
      <c r="K915" s="474">
        <f t="shared" si="940"/>
        <v>55.274175</v>
      </c>
      <c r="L915" s="473">
        <f t="shared" si="939"/>
        <v>2.73</v>
      </c>
      <c r="M915" s="474">
        <f t="shared" si="941"/>
        <v>54.673368750000002</v>
      </c>
      <c r="O915" s="434">
        <f t="shared" si="927"/>
        <v>2.7599999999999998</v>
      </c>
      <c r="P915" s="435">
        <f t="shared" si="928"/>
        <v>2.73</v>
      </c>
      <c r="AE915" s="217"/>
      <c r="AF915" s="217">
        <v>1102</v>
      </c>
      <c r="AH915">
        <f t="shared" si="926"/>
        <v>1102</v>
      </c>
    </row>
    <row r="916" ht="105" hidden="1">
      <c r="A916" s="217"/>
      <c r="B916" s="217">
        <v>1102</v>
      </c>
      <c r="C916" s="217"/>
      <c r="D916" s="217" t="s">
        <v>17167</v>
      </c>
      <c r="E916" s="471" t="s">
        <v>20663</v>
      </c>
      <c r="F916" s="540">
        <v>5928</v>
      </c>
      <c r="G916" s="541" t="s">
        <v>1739</v>
      </c>
      <c r="H916" s="542" t="s">
        <v>1535</v>
      </c>
      <c r="I916" s="509">
        <v>0.10000000000000001</v>
      </c>
      <c r="J916" s="473">
        <f t="shared" ref="J916:J979" si="942">O916*$J$3</f>
        <v>298.70999999999998</v>
      </c>
      <c r="K916" s="474">
        <f t="shared" si="940"/>
        <v>29.870999999999999</v>
      </c>
      <c r="L916" s="473">
        <f t="shared" si="939"/>
        <v>296.98000000000002</v>
      </c>
      <c r="M916" s="474">
        <f t="shared" si="941"/>
        <v>29.698000000000004</v>
      </c>
      <c r="O916" s="434">
        <f t="shared" si="927"/>
        <v>298.70999999999998</v>
      </c>
      <c r="P916" s="435">
        <f t="shared" si="928"/>
        <v>296.98000000000002</v>
      </c>
      <c r="AE916" s="217"/>
      <c r="AF916" s="217">
        <v>1102</v>
      </c>
      <c r="AH916">
        <f t="shared" si="926"/>
        <v>1102</v>
      </c>
    </row>
    <row r="917" ht="60" hidden="1">
      <c r="A917" s="217"/>
      <c r="B917" s="217">
        <v>1102</v>
      </c>
      <c r="C917" s="217"/>
      <c r="D917" s="217" t="s">
        <v>20398</v>
      </c>
      <c r="E917" s="471" t="s">
        <v>20665</v>
      </c>
      <c r="F917" s="540">
        <v>1258</v>
      </c>
      <c r="G917" s="547" t="s">
        <v>20660</v>
      </c>
      <c r="H917" s="542" t="s">
        <v>15515</v>
      </c>
      <c r="I917" s="509">
        <v>2.3759999999999999</v>
      </c>
      <c r="J917" s="473">
        <f t="shared" si="942"/>
        <v>7.5700000000000003</v>
      </c>
      <c r="K917" s="474">
        <f t="shared" si="940"/>
        <v>17.986319999999999</v>
      </c>
      <c r="L917" s="473">
        <f t="shared" si="939"/>
        <v>7.1846199999999998</v>
      </c>
      <c r="M917" s="474">
        <f t="shared" si="941"/>
        <v>17.07065712</v>
      </c>
      <c r="O917" s="434">
        <f t="shared" si="927"/>
        <v>7.5700000000000003</v>
      </c>
      <c r="P917" s="435">
        <f t="shared" si="928"/>
        <v>7.1846199999999998</v>
      </c>
      <c r="AE917" s="217"/>
      <c r="AF917" s="217">
        <v>1102</v>
      </c>
      <c r="AH917">
        <f t="shared" si="926"/>
        <v>1102</v>
      </c>
    </row>
    <row r="918" ht="105" hidden="1">
      <c r="A918" s="217"/>
      <c r="B918" s="217">
        <v>1102</v>
      </c>
      <c r="C918" s="217"/>
      <c r="D918" s="217" t="s">
        <v>17167</v>
      </c>
      <c r="E918" s="471" t="s">
        <v>20667</v>
      </c>
      <c r="F918" s="540">
        <v>92431</v>
      </c>
      <c r="G918" s="547" t="s">
        <v>20674</v>
      </c>
      <c r="H918" s="542" t="s">
        <v>15515</v>
      </c>
      <c r="I918" s="509">
        <v>10.805</v>
      </c>
      <c r="J918" s="473">
        <f t="shared" si="942"/>
        <v>70.030000000000001</v>
      </c>
      <c r="K918" s="474">
        <f t="shared" si="940"/>
        <v>756.67414999999994</v>
      </c>
      <c r="L918" s="473">
        <f t="shared" si="939"/>
        <v>68.510000000000005</v>
      </c>
      <c r="M918" s="474">
        <f t="shared" si="941"/>
        <v>740.25055000000009</v>
      </c>
      <c r="O918" s="434">
        <f t="shared" si="927"/>
        <v>70.030000000000001</v>
      </c>
      <c r="P918" s="435">
        <f t="shared" si="928"/>
        <v>68.510000000000005</v>
      </c>
      <c r="AE918" s="217"/>
      <c r="AF918" s="217">
        <v>1102</v>
      </c>
      <c r="AH918">
        <f t="shared" si="926"/>
        <v>1102</v>
      </c>
    </row>
    <row r="919" ht="45" hidden="1">
      <c r="A919" s="217"/>
      <c r="B919" s="217">
        <v>1102</v>
      </c>
      <c r="C919" s="217"/>
      <c r="D919" s="217" t="s">
        <v>17167</v>
      </c>
      <c r="E919" s="471" t="s">
        <v>20671</v>
      </c>
      <c r="F919" s="526">
        <v>96543</v>
      </c>
      <c r="G919" s="552" t="s">
        <v>20676</v>
      </c>
      <c r="H919" s="553" t="s">
        <v>302</v>
      </c>
      <c r="I919" s="509">
        <v>0.95999999999999996</v>
      </c>
      <c r="J919" s="473">
        <f t="shared" si="942"/>
        <v>19.829999999999998</v>
      </c>
      <c r="K919" s="474">
        <f t="shared" si="940"/>
        <v>19.036799999999996</v>
      </c>
      <c r="L919" s="473">
        <f t="shared" si="939"/>
        <v>19.210000000000001</v>
      </c>
      <c r="M919" s="474">
        <f t="shared" si="941"/>
        <v>18.441600000000001</v>
      </c>
      <c r="O919" s="434">
        <f t="shared" si="927"/>
        <v>19.829999999999998</v>
      </c>
      <c r="P919" s="435">
        <f t="shared" si="928"/>
        <v>19.210000000000001</v>
      </c>
      <c r="AE919" s="217"/>
      <c r="AF919" s="217">
        <v>1102</v>
      </c>
      <c r="AH919">
        <f t="shared" si="926"/>
        <v>1102</v>
      </c>
    </row>
    <row r="920" ht="45" hidden="1">
      <c r="A920" s="217"/>
      <c r="B920" s="217">
        <v>1102</v>
      </c>
      <c r="C920" s="217"/>
      <c r="D920" s="217" t="s">
        <v>17167</v>
      </c>
      <c r="E920" s="471" t="s">
        <v>20672</v>
      </c>
      <c r="F920" s="526">
        <v>96545</v>
      </c>
      <c r="G920" s="552" t="s">
        <v>20678</v>
      </c>
      <c r="H920" s="553" t="s">
        <v>302</v>
      </c>
      <c r="I920" s="509">
        <v>1.48</v>
      </c>
      <c r="J920" s="473">
        <f t="shared" si="942"/>
        <v>15.82</v>
      </c>
      <c r="K920" s="474">
        <f t="shared" si="940"/>
        <v>23.413599999999999</v>
      </c>
      <c r="L920" s="473">
        <f t="shared" si="939"/>
        <v>15.48</v>
      </c>
      <c r="M920" s="474">
        <f t="shared" si="941"/>
        <v>22.910399999999999</v>
      </c>
      <c r="O920" s="434">
        <f t="shared" si="927"/>
        <v>15.82</v>
      </c>
      <c r="P920" s="435">
        <f t="shared" si="928"/>
        <v>15.48</v>
      </c>
      <c r="AE920" s="217"/>
      <c r="AF920" s="217">
        <v>1102</v>
      </c>
      <c r="AH920">
        <f t="shared" si="926"/>
        <v>1102</v>
      </c>
    </row>
    <row r="921" ht="45" hidden="1">
      <c r="A921" s="217"/>
      <c r="B921" s="217">
        <v>1102</v>
      </c>
      <c r="C921" s="217"/>
      <c r="D921" s="217" t="s">
        <v>17167</v>
      </c>
      <c r="E921" s="471" t="s">
        <v>20673</v>
      </c>
      <c r="F921" s="526">
        <v>96546</v>
      </c>
      <c r="G921" s="552" t="s">
        <v>21133</v>
      </c>
      <c r="H921" s="553" t="s">
        <v>302</v>
      </c>
      <c r="I921" s="509">
        <v>26.539999999999999</v>
      </c>
      <c r="J921" s="473">
        <f t="shared" si="942"/>
        <v>13.77</v>
      </c>
      <c r="K921" s="474">
        <f t="shared" si="940"/>
        <v>365.45579999999995</v>
      </c>
      <c r="L921" s="473">
        <f t="shared" si="939"/>
        <v>13.51</v>
      </c>
      <c r="M921" s="474">
        <f t="shared" si="941"/>
        <v>358.55539999999996</v>
      </c>
      <c r="O921" s="434">
        <f t="shared" si="927"/>
        <v>13.77</v>
      </c>
      <c r="P921" s="435">
        <f t="shared" si="928"/>
        <v>13.51</v>
      </c>
      <c r="AE921" s="217"/>
      <c r="AF921" s="217">
        <v>1102</v>
      </c>
      <c r="AH921">
        <f t="shared" si="926"/>
        <v>1102</v>
      </c>
    </row>
    <row r="922" ht="60" hidden="1">
      <c r="A922" s="217"/>
      <c r="B922" s="217">
        <v>1102</v>
      </c>
      <c r="C922" s="217"/>
      <c r="D922" s="217" t="s">
        <v>17167</v>
      </c>
      <c r="E922" s="471" t="s">
        <v>20675</v>
      </c>
      <c r="F922" s="540">
        <v>94964</v>
      </c>
      <c r="G922" s="547" t="s">
        <v>20686</v>
      </c>
      <c r="H922" s="542" t="s">
        <v>15528</v>
      </c>
      <c r="I922" s="509">
        <v>1.453697</v>
      </c>
      <c r="J922" s="473">
        <f t="shared" si="942"/>
        <v>488.52999999999997</v>
      </c>
      <c r="K922" s="474">
        <f t="shared" si="940"/>
        <v>710.17459540999994</v>
      </c>
      <c r="L922" s="473">
        <f t="shared" si="939"/>
        <v>482.79000000000002</v>
      </c>
      <c r="M922" s="474">
        <f t="shared" si="941"/>
        <v>701.83037463000005</v>
      </c>
      <c r="O922" s="434">
        <f t="shared" si="927"/>
        <v>488.52999999999997</v>
      </c>
      <c r="P922" s="435">
        <f t="shared" si="928"/>
        <v>482.79000000000002</v>
      </c>
      <c r="AE922" s="217"/>
      <c r="AF922" s="217">
        <v>1102</v>
      </c>
      <c r="AH922">
        <f t="shared" si="926"/>
        <v>1102</v>
      </c>
    </row>
    <row r="923" ht="45" hidden="1">
      <c r="A923" s="217"/>
      <c r="B923" s="217">
        <v>1102</v>
      </c>
      <c r="C923" s="217"/>
      <c r="D923" s="217" t="s">
        <v>20398</v>
      </c>
      <c r="E923" s="471" t="s">
        <v>20677</v>
      </c>
      <c r="F923" s="540">
        <v>1000</v>
      </c>
      <c r="G923" s="547" t="s">
        <v>20651</v>
      </c>
      <c r="H923" s="542" t="s">
        <v>15528</v>
      </c>
      <c r="I923" s="509">
        <v>1.453697</v>
      </c>
      <c r="J923" s="473">
        <f t="shared" si="942"/>
        <v>149.904</v>
      </c>
      <c r="K923" s="474">
        <f t="shared" si="940"/>
        <v>217.91499508799998</v>
      </c>
      <c r="L923" s="473">
        <f t="shared" si="939"/>
        <v>141.76949999999999</v>
      </c>
      <c r="M923" s="474">
        <f t="shared" si="941"/>
        <v>206.08989684150001</v>
      </c>
      <c r="O923" s="434">
        <f t="shared" si="927"/>
        <v>149.904</v>
      </c>
      <c r="P923" s="435">
        <f t="shared" si="928"/>
        <v>141.76949999999999</v>
      </c>
      <c r="AE923" s="217"/>
      <c r="AF923" s="217">
        <v>1102</v>
      </c>
      <c r="AH923">
        <f t="shared" si="926"/>
        <v>1102</v>
      </c>
    </row>
    <row r="924" ht="45" hidden="1">
      <c r="A924" s="217"/>
      <c r="B924" s="217">
        <v>1102</v>
      </c>
      <c r="C924" s="217"/>
      <c r="D924" s="217" t="s">
        <v>20408</v>
      </c>
      <c r="E924" s="471" t="s">
        <v>20679</v>
      </c>
      <c r="F924" s="540">
        <v>11241</v>
      </c>
      <c r="G924" s="547" t="s">
        <v>21134</v>
      </c>
      <c r="H924" s="542" t="s">
        <v>21135</v>
      </c>
      <c r="I924" s="509">
        <v>1</v>
      </c>
      <c r="J924" s="473">
        <f t="shared" si="942"/>
        <v>211.62</v>
      </c>
      <c r="K924" s="474">
        <f t="shared" si="940"/>
        <v>211.62</v>
      </c>
      <c r="L924" s="473">
        <f t="shared" si="939"/>
        <v>211.62</v>
      </c>
      <c r="M924" s="474">
        <f t="shared" si="941"/>
        <v>211.62</v>
      </c>
      <c r="O924" s="434">
        <f t="shared" si="927"/>
        <v>211.62</v>
      </c>
      <c r="P924" s="435">
        <f t="shared" si="928"/>
        <v>211.62</v>
      </c>
      <c r="AE924" s="217"/>
      <c r="AF924" s="217">
        <v>1102</v>
      </c>
      <c r="AH924">
        <f t="shared" si="926"/>
        <v>1102</v>
      </c>
    </row>
    <row r="925" ht="47.25" hidden="1">
      <c r="A925" s="460">
        <v>1103</v>
      </c>
      <c r="B925" s="460">
        <v>1103</v>
      </c>
      <c r="C925" s="460"/>
      <c r="D925" s="460"/>
      <c r="E925" s="461">
        <v>1</v>
      </c>
      <c r="F925" s="462" t="s">
        <v>21138</v>
      </c>
      <c r="G925" s="477" t="s">
        <v>21139</v>
      </c>
      <c r="H925" s="478" t="s">
        <v>20647</v>
      </c>
      <c r="I925" s="479"/>
      <c r="J925" s="480"/>
      <c r="K925" s="466">
        <f>SUM(K926:K938)</f>
        <v>4040.4461558200001</v>
      </c>
      <c r="L925" s="480"/>
      <c r="M925" s="466">
        <f>SUM(M926:M938)</f>
        <v>3952.8981046875001</v>
      </c>
      <c r="O925" s="434" t="str">
        <f t="shared" si="927"/>
        <v xml:space="preserve">SEM VALOR</v>
      </c>
      <c r="P925" s="435" t="str">
        <f t="shared" si="928"/>
        <v xml:space="preserve">SEM VALOR</v>
      </c>
      <c r="AE925" s="460">
        <v>1103</v>
      </c>
      <c r="AF925" s="460"/>
      <c r="AH925">
        <f t="shared" si="926"/>
        <v>1103</v>
      </c>
    </row>
    <row r="926" ht="45" hidden="1">
      <c r="A926" s="217"/>
      <c r="B926" s="217">
        <v>1103</v>
      </c>
      <c r="C926" s="217"/>
      <c r="D926" s="217" t="s">
        <v>20398</v>
      </c>
      <c r="E926" s="471" t="s">
        <v>20399</v>
      </c>
      <c r="F926" s="540">
        <v>1259</v>
      </c>
      <c r="G926" s="541" t="s">
        <v>21123</v>
      </c>
      <c r="H926" s="542" t="s">
        <v>15528</v>
      </c>
      <c r="I926" s="509">
        <v>4.4550000000000001</v>
      </c>
      <c r="J926" s="473">
        <f t="shared" si="942"/>
        <v>45.520000000000003</v>
      </c>
      <c r="K926" s="474">
        <f t="shared" ref="K926:K938" si="943">I926*J926</f>
        <v>202.79160000000002</v>
      </c>
      <c r="L926" s="473">
        <f t="shared" si="939"/>
        <v>43.100000000000001</v>
      </c>
      <c r="M926" s="474">
        <f t="shared" ref="M926:M938" si="944">L926*I926</f>
        <v>192.01050000000001</v>
      </c>
      <c r="O926" s="434">
        <f t="shared" si="927"/>
        <v>45.520000000000003</v>
      </c>
      <c r="P926" s="435">
        <f t="shared" si="928"/>
        <v>43.100000000000001</v>
      </c>
      <c r="AE926" s="217"/>
      <c r="AF926" s="217">
        <v>1103</v>
      </c>
      <c r="AH926">
        <f t="shared" si="926"/>
        <v>1103</v>
      </c>
    </row>
    <row r="927" ht="75" hidden="1">
      <c r="A927" s="217"/>
      <c r="B927" s="217">
        <v>1103</v>
      </c>
      <c r="C927" s="217"/>
      <c r="D927" s="217" t="s">
        <v>20398</v>
      </c>
      <c r="E927" s="471" t="s">
        <v>20402</v>
      </c>
      <c r="F927" s="540">
        <v>1267</v>
      </c>
      <c r="G927" s="541" t="s">
        <v>20662</v>
      </c>
      <c r="H927" s="542" t="s">
        <v>38</v>
      </c>
      <c r="I927" s="509">
        <v>5.2999999999999998</v>
      </c>
      <c r="J927" s="473">
        <f t="shared" si="942"/>
        <v>3.2499999999999996</v>
      </c>
      <c r="K927" s="474">
        <f t="shared" si="943"/>
        <v>17.224999999999998</v>
      </c>
      <c r="L927" s="473">
        <f t="shared" si="939"/>
        <v>3.1657000000000002</v>
      </c>
      <c r="M927" s="474">
        <f t="shared" si="944"/>
        <v>16.778210000000001</v>
      </c>
      <c r="O927" s="434">
        <f t="shared" si="927"/>
        <v>3.2499999999999996</v>
      </c>
      <c r="P927" s="435">
        <f t="shared" si="928"/>
        <v>3.1657000000000002</v>
      </c>
      <c r="AE927" s="217"/>
      <c r="AF927" s="217">
        <v>1103</v>
      </c>
      <c r="AH927">
        <f t="shared" si="926"/>
        <v>1103</v>
      </c>
    </row>
    <row r="928" ht="105" hidden="1">
      <c r="A928" s="217"/>
      <c r="B928" s="217">
        <v>1103</v>
      </c>
      <c r="C928" s="217"/>
      <c r="D928" s="217" t="s">
        <v>20398</v>
      </c>
      <c r="E928" s="471" t="s">
        <v>20405</v>
      </c>
      <c r="F928" s="540">
        <v>1092</v>
      </c>
      <c r="G928" s="547" t="s">
        <v>20666</v>
      </c>
      <c r="H928" s="542" t="s">
        <v>15528</v>
      </c>
      <c r="I928" s="509">
        <v>5.9677499999999997</v>
      </c>
      <c r="J928" s="473">
        <f t="shared" si="942"/>
        <v>2.2000000000000002</v>
      </c>
      <c r="K928" s="474">
        <f t="shared" si="943"/>
        <v>13.129049999999999</v>
      </c>
      <c r="L928" s="473">
        <f t="shared" si="939"/>
        <v>2.1879900000000001</v>
      </c>
      <c r="M928" s="474">
        <f t="shared" si="944"/>
        <v>13.057377322500001</v>
      </c>
      <c r="O928" s="434">
        <f t="shared" si="927"/>
        <v>2.2000000000000002</v>
      </c>
      <c r="P928" s="435">
        <f t="shared" si="928"/>
        <v>2.1879900000000001</v>
      </c>
      <c r="AE928" s="217"/>
      <c r="AF928" s="217">
        <v>1103</v>
      </c>
      <c r="AH928">
        <f t="shared" si="926"/>
        <v>1103</v>
      </c>
    </row>
    <row r="929" ht="60" hidden="1">
      <c r="A929" s="217"/>
      <c r="B929" s="217">
        <v>1103</v>
      </c>
      <c r="C929" s="217"/>
      <c r="D929" s="217" t="s">
        <v>17167</v>
      </c>
      <c r="E929" s="471" t="s">
        <v>20409</v>
      </c>
      <c r="F929" s="540">
        <v>95875</v>
      </c>
      <c r="G929" s="541" t="s">
        <v>20668</v>
      </c>
      <c r="H929" s="542" t="s">
        <v>20669</v>
      </c>
      <c r="I929" s="509">
        <v>29.838750000000001</v>
      </c>
      <c r="J929" s="473">
        <f t="shared" si="942"/>
        <v>2.7599999999999998</v>
      </c>
      <c r="K929" s="474">
        <f t="shared" si="943"/>
        <v>82.354950000000002</v>
      </c>
      <c r="L929" s="473">
        <f t="shared" si="939"/>
        <v>2.73</v>
      </c>
      <c r="M929" s="474">
        <f t="shared" si="944"/>
        <v>81.459787500000004</v>
      </c>
      <c r="O929" s="434">
        <f t="shared" si="927"/>
        <v>2.7599999999999998</v>
      </c>
      <c r="P929" s="435">
        <f t="shared" si="928"/>
        <v>2.73</v>
      </c>
      <c r="AE929" s="217"/>
      <c r="AF929" s="217">
        <v>1103</v>
      </c>
      <c r="AH929">
        <f t="shared" ref="AH929:AH992" si="945">IF(AF929:AF930=FALSE,AE929,AF929)</f>
        <v>1103</v>
      </c>
    </row>
    <row r="930" ht="105" hidden="1">
      <c r="A930" s="217"/>
      <c r="B930" s="217">
        <v>1103</v>
      </c>
      <c r="C930" s="217"/>
      <c r="D930" s="217" t="s">
        <v>17167</v>
      </c>
      <c r="E930" s="471" t="s">
        <v>20663</v>
      </c>
      <c r="F930" s="540">
        <v>5928</v>
      </c>
      <c r="G930" s="541" t="s">
        <v>1739</v>
      </c>
      <c r="H930" s="542" t="s">
        <v>1535</v>
      </c>
      <c r="I930" s="509">
        <v>0.10000000000000001</v>
      </c>
      <c r="J930" s="473">
        <f t="shared" si="942"/>
        <v>298.70999999999998</v>
      </c>
      <c r="K930" s="474">
        <f t="shared" si="943"/>
        <v>29.870999999999999</v>
      </c>
      <c r="L930" s="473">
        <f t="shared" si="939"/>
        <v>296.98000000000002</v>
      </c>
      <c r="M930" s="474">
        <f t="shared" si="944"/>
        <v>29.698000000000004</v>
      </c>
      <c r="O930" s="434">
        <f t="shared" si="927"/>
        <v>298.70999999999998</v>
      </c>
      <c r="P930" s="435">
        <f t="shared" si="928"/>
        <v>296.98000000000002</v>
      </c>
      <c r="AE930" s="217"/>
      <c r="AF930" s="217">
        <v>1103</v>
      </c>
      <c r="AH930">
        <f t="shared" si="945"/>
        <v>1103</v>
      </c>
    </row>
    <row r="931" ht="60" hidden="1">
      <c r="A931" s="217"/>
      <c r="B931" s="217">
        <v>1103</v>
      </c>
      <c r="C931" s="217"/>
      <c r="D931" s="217" t="s">
        <v>20398</v>
      </c>
      <c r="E931" s="471" t="s">
        <v>20665</v>
      </c>
      <c r="F931" s="540">
        <v>1258</v>
      </c>
      <c r="G931" s="547" t="s">
        <v>20660</v>
      </c>
      <c r="H931" s="542" t="s">
        <v>15515</v>
      </c>
      <c r="I931" s="509">
        <v>3.5640000000000001</v>
      </c>
      <c r="J931" s="473">
        <f t="shared" si="942"/>
        <v>7.5700000000000003</v>
      </c>
      <c r="K931" s="474">
        <f t="shared" si="943"/>
        <v>26.979480000000002</v>
      </c>
      <c r="L931" s="473">
        <f t="shared" si="939"/>
        <v>7.1846199999999998</v>
      </c>
      <c r="M931" s="474">
        <f t="shared" si="944"/>
        <v>25.60598568</v>
      </c>
      <c r="O931" s="434">
        <f t="shared" si="927"/>
        <v>7.5700000000000003</v>
      </c>
      <c r="P931" s="435">
        <f t="shared" si="928"/>
        <v>7.1846199999999998</v>
      </c>
      <c r="AE931" s="217"/>
      <c r="AF931" s="217">
        <v>1103</v>
      </c>
      <c r="AH931">
        <f t="shared" si="945"/>
        <v>1103</v>
      </c>
    </row>
    <row r="932" ht="105" hidden="1">
      <c r="A932" s="217"/>
      <c r="B932" s="217">
        <v>1103</v>
      </c>
      <c r="C932" s="217"/>
      <c r="D932" s="217" t="s">
        <v>17167</v>
      </c>
      <c r="E932" s="471" t="s">
        <v>20667</v>
      </c>
      <c r="F932" s="540">
        <v>92431</v>
      </c>
      <c r="G932" s="547" t="s">
        <v>20674</v>
      </c>
      <c r="H932" s="542" t="s">
        <v>15515</v>
      </c>
      <c r="I932" s="509">
        <v>20.791</v>
      </c>
      <c r="J932" s="473">
        <f t="shared" si="942"/>
        <v>70.030000000000001</v>
      </c>
      <c r="K932" s="474">
        <f t="shared" si="943"/>
        <v>1455.9937300000001</v>
      </c>
      <c r="L932" s="473">
        <f t="shared" si="939"/>
        <v>68.510000000000005</v>
      </c>
      <c r="M932" s="474">
        <f t="shared" si="944"/>
        <v>1424.3914100000002</v>
      </c>
      <c r="O932" s="434">
        <f t="shared" ref="O932:O995" si="946">IFERROR(IF(D932="SINAPI",VLOOKUP(F932,SINCOMOD,4,FALSE),IF(D932="INSINAPI",VLOOKUP(F932,INSINOD,5,FALSE),IF(D932="SICRO",VLOOKUP(F932,SICRO,5,FALSE),IF(D932="COTACAO",VLOOKUP(F932,COTACAO,6,FALSE),IF(D932="PRÓPRIO",VLOOKUP(F932,COMPOD,11,FALSE),IF(D932="AGESUL",VLOOKUP(F932,AGESULOD,6,FALSE),IF(D932="INSAGESUL",VLOOKUP(F932,INSAGESUL,7,FALSE),"SEM VALOR"))))))),"SEM VALOR")</f>
        <v>70.030000000000001</v>
      </c>
      <c r="P932" s="435">
        <f t="shared" ref="P932:P995" si="947">IFERROR(IF(D932="SINAPI",VLOOKUP(F932,SINCOMOD,6,FALSE),IF(D932="INSINAPI",VLOOKUP(F932,INSINOD,6,FALSE),IF(D932="SICRO",VLOOKUP(F932,SICRO,5,FALSE),IF(D932="COTACAO",VLOOKUP(F932,COTACAO,6,FALSE),IF(D932="PRÓPRIO",VLOOKUP(F932,COMPOD,13,FALSE),IF(D932="AGESUL",VLOOKUP(F932,AGESULOD,11,FALSE),IF(D932="INSAGESUL",VLOOKUP(F932,INSAGESUL,8,FALSE),"SEM VALOR"))))))),"SEM VALOR")</f>
        <v>68.510000000000005</v>
      </c>
      <c r="AE932" s="217"/>
      <c r="AF932" s="217">
        <v>1103</v>
      </c>
      <c r="AH932">
        <f t="shared" si="945"/>
        <v>1103</v>
      </c>
    </row>
    <row r="933" ht="45" hidden="1">
      <c r="A933" s="217"/>
      <c r="B933" s="217">
        <v>1103</v>
      </c>
      <c r="C933" s="217"/>
      <c r="D933" s="217" t="s">
        <v>17167</v>
      </c>
      <c r="E933" s="471" t="s">
        <v>20671</v>
      </c>
      <c r="F933" s="526">
        <v>96543</v>
      </c>
      <c r="G933" s="552" t="s">
        <v>20676</v>
      </c>
      <c r="H933" s="553" t="s">
        <v>302</v>
      </c>
      <c r="I933" s="509">
        <v>1.9199999999999999</v>
      </c>
      <c r="J933" s="473">
        <f t="shared" si="942"/>
        <v>19.829999999999998</v>
      </c>
      <c r="K933" s="474">
        <f t="shared" si="943"/>
        <v>38.073599999999992</v>
      </c>
      <c r="L933" s="473">
        <f t="shared" si="939"/>
        <v>19.210000000000001</v>
      </c>
      <c r="M933" s="474">
        <f t="shared" si="944"/>
        <v>36.883200000000002</v>
      </c>
      <c r="O933" s="434">
        <f t="shared" si="946"/>
        <v>19.829999999999998</v>
      </c>
      <c r="P933" s="435">
        <f t="shared" si="947"/>
        <v>19.210000000000001</v>
      </c>
      <c r="AE933" s="217"/>
      <c r="AF933" s="217">
        <v>1103</v>
      </c>
      <c r="AH933">
        <f t="shared" si="945"/>
        <v>1103</v>
      </c>
    </row>
    <row r="934" ht="45" hidden="1">
      <c r="A934" s="217"/>
      <c r="B934" s="217">
        <v>1103</v>
      </c>
      <c r="C934" s="217"/>
      <c r="D934" s="217" t="s">
        <v>17167</v>
      </c>
      <c r="E934" s="471" t="s">
        <v>20672</v>
      </c>
      <c r="F934" s="526">
        <v>96545</v>
      </c>
      <c r="G934" s="552" t="s">
        <v>20678</v>
      </c>
      <c r="H934" s="553" t="s">
        <v>302</v>
      </c>
      <c r="I934" s="509">
        <v>2.96</v>
      </c>
      <c r="J934" s="473">
        <f t="shared" si="942"/>
        <v>15.82</v>
      </c>
      <c r="K934" s="474">
        <f t="shared" si="943"/>
        <v>46.827199999999998</v>
      </c>
      <c r="L934" s="473">
        <f t="shared" si="939"/>
        <v>15.48</v>
      </c>
      <c r="M934" s="474">
        <f t="shared" si="944"/>
        <v>45.820799999999998</v>
      </c>
      <c r="O934" s="434">
        <f t="shared" si="946"/>
        <v>15.82</v>
      </c>
      <c r="P934" s="435">
        <f t="shared" si="947"/>
        <v>15.48</v>
      </c>
      <c r="AE934" s="217"/>
      <c r="AF934" s="217">
        <v>1103</v>
      </c>
      <c r="AH934">
        <f t="shared" si="945"/>
        <v>1103</v>
      </c>
    </row>
    <row r="935" ht="45" hidden="1">
      <c r="A935" s="217"/>
      <c r="B935" s="217">
        <v>1103</v>
      </c>
      <c r="C935" s="217"/>
      <c r="D935" s="217" t="s">
        <v>17167</v>
      </c>
      <c r="E935" s="471" t="s">
        <v>20673</v>
      </c>
      <c r="F935" s="526">
        <v>96546</v>
      </c>
      <c r="G935" s="552" t="s">
        <v>21133</v>
      </c>
      <c r="H935" s="553" t="s">
        <v>302</v>
      </c>
      <c r="I935" s="509">
        <v>41.32</v>
      </c>
      <c r="J935" s="473">
        <f t="shared" si="942"/>
        <v>13.77</v>
      </c>
      <c r="K935" s="474">
        <f t="shared" si="943"/>
        <v>568.97640000000001</v>
      </c>
      <c r="L935" s="473">
        <f t="shared" si="939"/>
        <v>13.51</v>
      </c>
      <c r="M935" s="474">
        <f t="shared" si="944"/>
        <v>558.23320000000001</v>
      </c>
      <c r="O935" s="434">
        <f t="shared" si="946"/>
        <v>13.77</v>
      </c>
      <c r="P935" s="435">
        <f t="shared" si="947"/>
        <v>13.51</v>
      </c>
      <c r="AE935" s="217"/>
      <c r="AF935" s="217">
        <v>1103</v>
      </c>
      <c r="AH935">
        <f t="shared" si="945"/>
        <v>1103</v>
      </c>
    </row>
    <row r="936" ht="60" hidden="1">
      <c r="A936" s="217"/>
      <c r="B936" s="217">
        <v>1103</v>
      </c>
      <c r="C936" s="217"/>
      <c r="D936" s="217" t="s">
        <v>17167</v>
      </c>
      <c r="E936" s="471" t="s">
        <v>20675</v>
      </c>
      <c r="F936" s="540">
        <v>94964</v>
      </c>
      <c r="G936" s="547" t="s">
        <v>20686</v>
      </c>
      <c r="H936" s="542" t="s">
        <v>15528</v>
      </c>
      <c r="I936" s="509">
        <v>2.1092300000000002</v>
      </c>
      <c r="J936" s="473">
        <f t="shared" si="942"/>
        <v>488.52999999999997</v>
      </c>
      <c r="K936" s="474">
        <f t="shared" si="943"/>
        <v>1030.4221319000001</v>
      </c>
      <c r="L936" s="473">
        <f t="shared" si="939"/>
        <v>482.79000000000002</v>
      </c>
      <c r="M936" s="474">
        <f t="shared" si="944"/>
        <v>1018.3151517000001</v>
      </c>
      <c r="O936" s="434">
        <f t="shared" si="946"/>
        <v>488.52999999999997</v>
      </c>
      <c r="P936" s="435">
        <f t="shared" si="947"/>
        <v>482.79000000000002</v>
      </c>
      <c r="AE936" s="217"/>
      <c r="AF936" s="217">
        <v>1103</v>
      </c>
      <c r="AH936">
        <f t="shared" si="945"/>
        <v>1103</v>
      </c>
    </row>
    <row r="937" ht="45" hidden="1">
      <c r="A937" s="217"/>
      <c r="B937" s="217">
        <v>1103</v>
      </c>
      <c r="C937" s="217"/>
      <c r="D937" s="217" t="s">
        <v>20398</v>
      </c>
      <c r="E937" s="471" t="s">
        <v>20677</v>
      </c>
      <c r="F937" s="540">
        <v>1000</v>
      </c>
      <c r="G937" s="547" t="s">
        <v>20651</v>
      </c>
      <c r="H937" s="542" t="s">
        <v>15528</v>
      </c>
      <c r="I937" s="509">
        <v>2.1092300000000002</v>
      </c>
      <c r="J937" s="473">
        <f t="shared" si="942"/>
        <v>149.904</v>
      </c>
      <c r="K937" s="474">
        <f t="shared" si="943"/>
        <v>316.18201392000003</v>
      </c>
      <c r="L937" s="473">
        <f t="shared" si="939"/>
        <v>141.76949999999999</v>
      </c>
      <c r="M937" s="474">
        <f t="shared" si="944"/>
        <v>299.02448248500002</v>
      </c>
      <c r="O937" s="434">
        <f t="shared" si="946"/>
        <v>149.904</v>
      </c>
      <c r="P937" s="435">
        <f t="shared" si="947"/>
        <v>141.76949999999999</v>
      </c>
      <c r="AE937" s="217"/>
      <c r="AF937" s="217">
        <v>1103</v>
      </c>
      <c r="AH937">
        <f t="shared" si="945"/>
        <v>1103</v>
      </c>
    </row>
    <row r="938" ht="45" hidden="1">
      <c r="A938" s="217"/>
      <c r="B938" s="217">
        <v>1103</v>
      </c>
      <c r="C938" s="217"/>
      <c r="D938" s="217" t="s">
        <v>20408</v>
      </c>
      <c r="E938" s="471" t="s">
        <v>20679</v>
      </c>
      <c r="F938" s="540">
        <v>11241</v>
      </c>
      <c r="G938" s="547" t="s">
        <v>21134</v>
      </c>
      <c r="H938" s="542" t="s">
        <v>21135</v>
      </c>
      <c r="I938" s="509">
        <v>1</v>
      </c>
      <c r="J938" s="473">
        <f t="shared" si="942"/>
        <v>211.62</v>
      </c>
      <c r="K938" s="474">
        <f t="shared" si="943"/>
        <v>211.62</v>
      </c>
      <c r="L938" s="473">
        <f t="shared" si="939"/>
        <v>211.62</v>
      </c>
      <c r="M938" s="474">
        <f t="shared" si="944"/>
        <v>211.62</v>
      </c>
      <c r="O938" s="434">
        <f t="shared" si="946"/>
        <v>211.62</v>
      </c>
      <c r="P938" s="435">
        <f t="shared" si="947"/>
        <v>211.62</v>
      </c>
      <c r="AE938" s="217"/>
      <c r="AF938" s="217">
        <v>1103</v>
      </c>
      <c r="AH938">
        <f t="shared" si="945"/>
        <v>1103</v>
      </c>
    </row>
    <row r="939" ht="94.5" hidden="1">
      <c r="A939" s="460">
        <v>1104</v>
      </c>
      <c r="B939" s="460">
        <v>1104</v>
      </c>
      <c r="C939" s="460"/>
      <c r="D939" s="460"/>
      <c r="E939" s="461">
        <v>1</v>
      </c>
      <c r="F939" s="462" t="s">
        <v>21140</v>
      </c>
      <c r="G939" s="477" t="s">
        <v>21141</v>
      </c>
      <c r="H939" s="478" t="s">
        <v>20647</v>
      </c>
      <c r="I939" s="479"/>
      <c r="J939" s="480"/>
      <c r="K939" s="466">
        <f>SUM(K940:K949)</f>
        <v>31840.598950333519</v>
      </c>
      <c r="L939" s="480"/>
      <c r="M939" s="466">
        <f>SUM(M940:M949)</f>
        <v>87967.949569989563</v>
      </c>
      <c r="O939" s="434" t="str">
        <f t="shared" si="946"/>
        <v xml:space="preserve">SEM VALOR</v>
      </c>
      <c r="P939" s="435" t="str">
        <f t="shared" si="947"/>
        <v xml:space="preserve">SEM VALOR</v>
      </c>
      <c r="AE939" s="460">
        <v>1104</v>
      </c>
      <c r="AF939" s="460"/>
      <c r="AH939">
        <f t="shared" si="945"/>
        <v>1104</v>
      </c>
    </row>
    <row r="940" ht="75" hidden="1">
      <c r="A940" s="217"/>
      <c r="B940" s="217">
        <v>1104</v>
      </c>
      <c r="C940" s="217"/>
      <c r="D940" s="217" t="s">
        <v>17167</v>
      </c>
      <c r="E940" s="471" t="s">
        <v>20399</v>
      </c>
      <c r="F940" s="526">
        <v>96542</v>
      </c>
      <c r="G940" s="552" t="s">
        <v>20761</v>
      </c>
      <c r="H940" s="526" t="s">
        <v>15515</v>
      </c>
      <c r="I940" s="472">
        <f>4*0.2*3.5+2*0.3*3.5*2+25*2*0.2+0.5*0.1/2*4+1.5*0.3*4</f>
        <v>18.899999999999999</v>
      </c>
      <c r="J940" s="473">
        <f t="shared" si="942"/>
        <v>92.189999999999998</v>
      </c>
      <c r="K940" s="474">
        <f t="shared" ref="K940:K949" si="948">I940*J940</f>
        <v>1742.3909999999998</v>
      </c>
      <c r="L940" s="473">
        <f t="shared" si="939"/>
        <v>88.370000000000005</v>
      </c>
      <c r="M940" s="474">
        <f t="shared" ref="M940:M949" si="949">L940*I940</f>
        <v>1670.193</v>
      </c>
      <c r="O940" s="434">
        <f t="shared" si="946"/>
        <v>92.189999999999998</v>
      </c>
      <c r="P940" s="435">
        <f t="shared" si="947"/>
        <v>88.370000000000005</v>
      </c>
      <c r="AE940" s="217"/>
      <c r="AF940" s="217">
        <v>1104</v>
      </c>
      <c r="AH940">
        <f t="shared" si="945"/>
        <v>1104</v>
      </c>
    </row>
    <row r="941" ht="30" hidden="1">
      <c r="A941" s="217"/>
      <c r="B941" s="217">
        <v>1104</v>
      </c>
      <c r="C941" s="217"/>
      <c r="D941" s="217" t="s">
        <v>17167</v>
      </c>
      <c r="E941" s="471" t="s">
        <v>20402</v>
      </c>
      <c r="F941" s="526">
        <v>92888</v>
      </c>
      <c r="G941" s="552" t="s">
        <v>21142</v>
      </c>
      <c r="H941" s="538" t="s">
        <v>302</v>
      </c>
      <c r="I941" s="472">
        <f>12*0.5*6*3.853</f>
        <v>138.708</v>
      </c>
      <c r="J941" s="473">
        <f t="shared" si="942"/>
        <v>10.33</v>
      </c>
      <c r="K941" s="474">
        <f t="shared" si="948"/>
        <v>1432.85364</v>
      </c>
      <c r="L941" s="473">
        <f t="shared" si="939"/>
        <v>10.300000000000001</v>
      </c>
      <c r="M941" s="474">
        <f t="shared" si="949"/>
        <v>1428.6924000000001</v>
      </c>
      <c r="O941" s="434">
        <f t="shared" si="946"/>
        <v>10.33</v>
      </c>
      <c r="P941" s="435">
        <f t="shared" si="947"/>
        <v>10.300000000000001</v>
      </c>
      <c r="AE941" s="217"/>
      <c r="AF941" s="217">
        <v>1104</v>
      </c>
      <c r="AH941">
        <f t="shared" si="945"/>
        <v>1104</v>
      </c>
    </row>
    <row r="942" ht="60" hidden="1">
      <c r="A942" s="217"/>
      <c r="B942" s="217">
        <v>1104</v>
      </c>
      <c r="C942" s="217"/>
      <c r="D942" s="217" t="s">
        <v>20408</v>
      </c>
      <c r="E942" s="471" t="s">
        <v>20405</v>
      </c>
      <c r="F942" s="526">
        <v>42407</v>
      </c>
      <c r="G942" s="552" t="s">
        <v>14852</v>
      </c>
      <c r="H942" s="538" t="s">
        <v>38</v>
      </c>
      <c r="I942" s="472">
        <f>3.45*6</f>
        <v>20.699999999999999</v>
      </c>
      <c r="J942" s="473">
        <f t="shared" si="942"/>
        <v>5.8499999999999996</v>
      </c>
      <c r="K942" s="474">
        <f t="shared" si="948"/>
        <v>121.09499999999998</v>
      </c>
      <c r="L942" s="473">
        <f t="shared" si="939"/>
        <v>5.8499999999999996</v>
      </c>
      <c r="M942" s="474">
        <f t="shared" si="949"/>
        <v>121.09499999999998</v>
      </c>
      <c r="O942" s="434">
        <f t="shared" si="946"/>
        <v>5.8499999999999996</v>
      </c>
      <c r="P942" s="435">
        <f t="shared" si="947"/>
        <v>5.8499999999999996</v>
      </c>
      <c r="AE942" s="217"/>
      <c r="AF942" s="217">
        <v>1104</v>
      </c>
      <c r="AH942">
        <f t="shared" si="945"/>
        <v>1104</v>
      </c>
    </row>
    <row r="943" ht="60" hidden="1">
      <c r="A943" s="217"/>
      <c r="B943" s="217">
        <v>1104</v>
      </c>
      <c r="C943" s="217"/>
      <c r="D943" s="217" t="s">
        <v>17167</v>
      </c>
      <c r="E943" s="471" t="s">
        <v>20409</v>
      </c>
      <c r="F943" s="526">
        <v>91598</v>
      </c>
      <c r="G943" s="552" t="s">
        <v>21143</v>
      </c>
      <c r="H943" s="526" t="s">
        <v>302</v>
      </c>
      <c r="I943" s="472">
        <f>(4.95)*3.45*Q943*5</f>
        <v>153.69749999999999</v>
      </c>
      <c r="J943" s="473">
        <f t="shared" si="942"/>
        <v>9.8800000000000008</v>
      </c>
      <c r="K943" s="474">
        <f t="shared" si="948"/>
        <v>1518.5313000000001</v>
      </c>
      <c r="L943" s="473">
        <f t="shared" si="939"/>
        <v>9.8499999999999996</v>
      </c>
      <c r="M943" s="474">
        <f t="shared" si="949"/>
        <v>1513.9203749999999</v>
      </c>
      <c r="O943" s="434">
        <f t="shared" si="946"/>
        <v>9.8800000000000008</v>
      </c>
      <c r="P943" s="435">
        <f t="shared" si="947"/>
        <v>9.8499999999999996</v>
      </c>
      <c r="Q943" s="554">
        <v>1.8</v>
      </c>
      <c r="R943" s="554" t="s">
        <v>21144</v>
      </c>
      <c r="AE943" s="217"/>
      <c r="AF943" s="217">
        <v>1104</v>
      </c>
      <c r="AH943">
        <f t="shared" si="945"/>
        <v>1104</v>
      </c>
    </row>
    <row r="944" ht="30" hidden="1">
      <c r="A944" s="217"/>
      <c r="B944" s="217">
        <v>1104</v>
      </c>
      <c r="C944" s="217"/>
      <c r="D944" s="217" t="s">
        <v>20408</v>
      </c>
      <c r="E944" s="471" t="s">
        <v>20663</v>
      </c>
      <c r="F944" s="526">
        <v>3777</v>
      </c>
      <c r="G944" s="537" t="s">
        <v>13072</v>
      </c>
      <c r="H944" s="538" t="s">
        <v>15515</v>
      </c>
      <c r="I944" s="472">
        <f>28*3.5</f>
        <v>98</v>
      </c>
      <c r="J944" s="473">
        <f t="shared" si="942"/>
        <v>2.54</v>
      </c>
      <c r="K944" s="474">
        <f t="shared" si="948"/>
        <v>248.92000000000002</v>
      </c>
      <c r="L944" s="473">
        <f t="shared" si="939"/>
        <v>2.54</v>
      </c>
      <c r="M944" s="474">
        <f t="shared" si="949"/>
        <v>248.92000000000002</v>
      </c>
      <c r="O944" s="434">
        <f t="shared" si="946"/>
        <v>2.54</v>
      </c>
      <c r="P944" s="435">
        <f t="shared" si="947"/>
        <v>2.54</v>
      </c>
      <c r="AE944" s="217"/>
      <c r="AF944" s="217">
        <v>1104</v>
      </c>
      <c r="AH944">
        <f t="shared" si="945"/>
        <v>1104</v>
      </c>
    </row>
    <row r="945" ht="60" hidden="1">
      <c r="A945" s="217"/>
      <c r="B945" s="217">
        <v>1104</v>
      </c>
      <c r="C945" s="217"/>
      <c r="D945" s="217" t="s">
        <v>17167</v>
      </c>
      <c r="E945" s="471" t="s">
        <v>20665</v>
      </c>
      <c r="F945" s="526">
        <v>94973</v>
      </c>
      <c r="G945" s="552" t="s">
        <v>21145</v>
      </c>
      <c r="H945" s="526" t="s">
        <v>15528</v>
      </c>
      <c r="I945" s="472">
        <f>25*3.5*0.2+0.5*0.1/2*3.5*2+(0.15+0.25)*1.5/2*3.5*2</f>
        <v>19.774999999999999</v>
      </c>
      <c r="J945" s="473">
        <f t="shared" si="942"/>
        <v>601.63</v>
      </c>
      <c r="K945" s="474">
        <f t="shared" si="948"/>
        <v>11897.233249999999</v>
      </c>
      <c r="L945" s="473">
        <f t="shared" si="939"/>
        <v>597.03999999999996</v>
      </c>
      <c r="M945" s="474">
        <f t="shared" si="949"/>
        <v>11806.465999999999</v>
      </c>
      <c r="O945" s="434">
        <f t="shared" si="946"/>
        <v>601.63</v>
      </c>
      <c r="P945" s="435">
        <f t="shared" si="947"/>
        <v>597.03999999999996</v>
      </c>
      <c r="AE945" s="217"/>
      <c r="AF945" s="217">
        <v>1104</v>
      </c>
      <c r="AH945">
        <f t="shared" si="945"/>
        <v>1104</v>
      </c>
    </row>
    <row r="946" ht="60" hidden="1">
      <c r="A946" s="217"/>
      <c r="B946" s="217">
        <v>1104</v>
      </c>
      <c r="C946" s="217"/>
      <c r="D946" s="217" t="s">
        <v>17167</v>
      </c>
      <c r="E946" s="471" t="s">
        <v>20667</v>
      </c>
      <c r="F946" s="526">
        <v>103670</v>
      </c>
      <c r="G946" s="552" t="s">
        <v>1387</v>
      </c>
      <c r="H946" s="526" t="s">
        <v>15528</v>
      </c>
      <c r="I946" s="472">
        <f>I945</f>
        <v>19.774999999999999</v>
      </c>
      <c r="J946" s="473">
        <f t="shared" si="942"/>
        <v>308.60000000000002</v>
      </c>
      <c r="K946" s="474">
        <f t="shared" si="948"/>
        <v>6102.5649999999996</v>
      </c>
      <c r="L946" s="473">
        <f t="shared" si="939"/>
        <v>291.69999999999999</v>
      </c>
      <c r="M946" s="474">
        <f t="shared" si="949"/>
        <v>5768.3674999999994</v>
      </c>
      <c r="O946" s="434">
        <f t="shared" si="946"/>
        <v>308.60000000000002</v>
      </c>
      <c r="P946" s="435">
        <f t="shared" si="947"/>
        <v>291.69999999999999</v>
      </c>
      <c r="AE946" s="217"/>
      <c r="AF946" s="217">
        <v>1104</v>
      </c>
      <c r="AH946">
        <f t="shared" si="945"/>
        <v>1104</v>
      </c>
    </row>
    <row r="947" ht="45" hidden="1">
      <c r="A947" s="217"/>
      <c r="B947" s="217">
        <v>1104</v>
      </c>
      <c r="C947" s="217"/>
      <c r="D947" s="217" t="s">
        <v>20453</v>
      </c>
      <c r="E947" s="471" t="s">
        <v>20671</v>
      </c>
      <c r="F947" s="526" t="s">
        <v>20023</v>
      </c>
      <c r="G947" s="552" t="s">
        <v>21146</v>
      </c>
      <c r="H947" s="526" t="s">
        <v>38</v>
      </c>
      <c r="I947" s="472">
        <f>3.5*2+28</f>
        <v>35</v>
      </c>
      <c r="J947" s="473">
        <f t="shared" si="942"/>
        <v>3.5499999999999998</v>
      </c>
      <c r="K947" s="474">
        <f t="shared" si="948"/>
        <v>124.25</v>
      </c>
      <c r="L947" s="473">
        <f t="shared" si="939"/>
        <v>3.5499999999999998</v>
      </c>
      <c r="M947" s="474">
        <f t="shared" si="949"/>
        <v>124.25</v>
      </c>
      <c r="O947" s="434">
        <f t="shared" si="946"/>
        <v>3.5499999999999998</v>
      </c>
      <c r="P947" s="435">
        <f t="shared" si="947"/>
        <v>3.5499999999999998</v>
      </c>
      <c r="AE947" s="217"/>
      <c r="AF947" s="217">
        <v>1104</v>
      </c>
      <c r="AH947">
        <f t="shared" si="945"/>
        <v>1104</v>
      </c>
    </row>
    <row r="948" ht="45" hidden="1">
      <c r="A948" s="217"/>
      <c r="B948" s="217">
        <v>1104</v>
      </c>
      <c r="C948" s="217"/>
      <c r="D948" s="217" t="s">
        <v>20453</v>
      </c>
      <c r="E948" s="471" t="s">
        <v>20672</v>
      </c>
      <c r="F948" s="526" t="s">
        <v>20036</v>
      </c>
      <c r="G948" s="552" t="s">
        <v>21147</v>
      </c>
      <c r="H948" s="526" t="s">
        <v>21135</v>
      </c>
      <c r="I948" s="472">
        <f>26*1.1</f>
        <v>28.600000000000001</v>
      </c>
      <c r="J948" s="473">
        <f t="shared" si="942"/>
        <v>162.38999999999999</v>
      </c>
      <c r="K948" s="474">
        <f t="shared" si="948"/>
        <v>4644.3540000000003</v>
      </c>
      <c r="L948" s="473">
        <f t="shared" si="939"/>
        <v>162.38999999999999</v>
      </c>
      <c r="M948" s="474">
        <f t="shared" si="949"/>
        <v>4644.3540000000003</v>
      </c>
      <c r="O948" s="434">
        <f t="shared" si="946"/>
        <v>162.38999999999999</v>
      </c>
      <c r="P948" s="435">
        <f t="shared" si="947"/>
        <v>162.38999999999999</v>
      </c>
      <c r="AE948" s="217"/>
      <c r="AF948" s="217">
        <v>1104</v>
      </c>
      <c r="AH948">
        <f t="shared" si="945"/>
        <v>1104</v>
      </c>
    </row>
    <row r="949" ht="45" hidden="1">
      <c r="A949" s="217"/>
      <c r="B949" s="217">
        <v>1104</v>
      </c>
      <c r="C949" s="217"/>
      <c r="D949" s="217" t="s">
        <v>20398</v>
      </c>
      <c r="E949" s="471" t="s">
        <v>20673</v>
      </c>
      <c r="F949" s="526">
        <v>1105</v>
      </c>
      <c r="G949" s="552" t="s">
        <v>21148</v>
      </c>
      <c r="H949" s="526" t="s">
        <v>15528</v>
      </c>
      <c r="I949" s="472">
        <f>28*3.5*0.1</f>
        <v>9.8000000000000007</v>
      </c>
      <c r="J949" s="473">
        <f t="shared" si="942"/>
        <v>409.02099595239997</v>
      </c>
      <c r="K949" s="474">
        <f t="shared" si="948"/>
        <v>4008.40576033352</v>
      </c>
      <c r="L949" s="473">
        <f t="shared" si="939"/>
        <v>6187.9276831622001</v>
      </c>
      <c r="M949" s="474">
        <f t="shared" si="949"/>
        <v>60641.691294989563</v>
      </c>
      <c r="O949" s="434">
        <f t="shared" si="946"/>
        <v>409.02099595239997</v>
      </c>
      <c r="P949" s="435">
        <f t="shared" si="947"/>
        <v>6187.9276831622001</v>
      </c>
      <c r="AE949" s="217"/>
      <c r="AF949" s="217">
        <v>1104</v>
      </c>
      <c r="AH949">
        <f t="shared" si="945"/>
        <v>1104</v>
      </c>
    </row>
    <row r="950" ht="47.25" hidden="1">
      <c r="A950" s="460">
        <v>1105</v>
      </c>
      <c r="B950" s="460">
        <v>1105</v>
      </c>
      <c r="C950" s="460"/>
      <c r="D950" s="460"/>
      <c r="E950" s="461">
        <v>1</v>
      </c>
      <c r="F950" s="462" t="s">
        <v>21149</v>
      </c>
      <c r="G950" s="477" t="s">
        <v>21148</v>
      </c>
      <c r="H950" s="478" t="s">
        <v>15528</v>
      </c>
      <c r="I950" s="479"/>
      <c r="J950" s="480"/>
      <c r="K950" s="466">
        <f>SUM(K951:K958)</f>
        <v>409.02099595239997</v>
      </c>
      <c r="L950" s="480"/>
      <c r="M950" s="466">
        <f>SUM(M951:M958)</f>
        <v>6187.9276831622001</v>
      </c>
      <c r="N950" s="555" t="s">
        <v>21150</v>
      </c>
      <c r="O950" s="434" t="str">
        <f t="shared" si="946"/>
        <v xml:space="preserve">SEM VALOR</v>
      </c>
      <c r="P950" s="435" t="str">
        <f t="shared" si="947"/>
        <v xml:space="preserve">SEM VALOR</v>
      </c>
      <c r="AE950" s="460">
        <v>1105</v>
      </c>
      <c r="AF950" s="460"/>
      <c r="AH950">
        <f t="shared" si="945"/>
        <v>1105</v>
      </c>
    </row>
    <row r="951" ht="75" hidden="1">
      <c r="A951" s="217"/>
      <c r="B951" s="217">
        <v>1105</v>
      </c>
      <c r="C951" s="217"/>
      <c r="D951" s="217" t="s">
        <v>17167</v>
      </c>
      <c r="E951" s="471" t="s">
        <v>20399</v>
      </c>
      <c r="F951" s="526">
        <v>95631</v>
      </c>
      <c r="G951" s="552" t="s">
        <v>1883</v>
      </c>
      <c r="H951" s="526" t="s">
        <v>1535</v>
      </c>
      <c r="I951" s="538">
        <f>0.61/124.5</f>
        <v>4.8995999999999996e-003</v>
      </c>
      <c r="J951" s="473">
        <f t="shared" si="942"/>
        <v>235.97999999999999</v>
      </c>
      <c r="K951" s="474">
        <f t="shared" ref="K951:K958" si="950">I951*J951</f>
        <v>1.1562076079999999</v>
      </c>
      <c r="L951" s="473">
        <f t="shared" si="939"/>
        <v>234.28</v>
      </c>
      <c r="M951" s="474">
        <f t="shared" ref="M951:M958" si="951">L951*I951</f>
        <v>1.147878288</v>
      </c>
      <c r="N951" s="555" t="s">
        <v>21151</v>
      </c>
      <c r="O951" s="434">
        <f t="shared" si="946"/>
        <v>235.97999999999999</v>
      </c>
      <c r="P951" s="435">
        <f t="shared" si="947"/>
        <v>234.28</v>
      </c>
      <c r="AE951" s="217"/>
      <c r="AF951" s="217">
        <v>1105</v>
      </c>
      <c r="AH951">
        <f t="shared" si="945"/>
        <v>1105</v>
      </c>
    </row>
    <row r="952" ht="75" hidden="1">
      <c r="A952" s="217"/>
      <c r="B952" s="217">
        <v>1105</v>
      </c>
      <c r="C952" s="217"/>
      <c r="D952" s="217" t="s">
        <v>17167</v>
      </c>
      <c r="E952" s="471" t="s">
        <v>20402</v>
      </c>
      <c r="F952" s="526">
        <v>95632</v>
      </c>
      <c r="G952" s="552" t="s">
        <v>1882</v>
      </c>
      <c r="H952" s="538" t="s">
        <v>1533</v>
      </c>
      <c r="I952" s="538">
        <f>0.39/124.5</f>
        <v>3.1324999999999999e-003</v>
      </c>
      <c r="J952" s="473">
        <f t="shared" si="942"/>
        <v>81.819999999999993</v>
      </c>
      <c r="K952" s="474">
        <f t="shared" si="950"/>
        <v>0.25630114999999998</v>
      </c>
      <c r="L952" s="473">
        <f t="shared" si="939"/>
        <v>80.120000000000005</v>
      </c>
      <c r="M952" s="474">
        <f t="shared" si="951"/>
        <v>0.25097590000000003</v>
      </c>
      <c r="O952" s="434">
        <f t="shared" si="946"/>
        <v>81.819999999999993</v>
      </c>
      <c r="P952" s="435">
        <f t="shared" si="947"/>
        <v>80.120000000000005</v>
      </c>
      <c r="AE952" s="217"/>
      <c r="AF952" s="217">
        <v>1105</v>
      </c>
      <c r="AH952">
        <f t="shared" si="945"/>
        <v>1105</v>
      </c>
    </row>
    <row r="953" ht="75" hidden="1">
      <c r="A953" s="217"/>
      <c r="B953" s="217">
        <v>1105</v>
      </c>
      <c r="C953" s="217"/>
      <c r="D953" s="217" t="s">
        <v>17167</v>
      </c>
      <c r="E953" s="471" t="s">
        <v>20405</v>
      </c>
      <c r="F953" s="526">
        <v>89257</v>
      </c>
      <c r="G953" s="552" t="s">
        <v>1964</v>
      </c>
      <c r="H953" s="538" t="s">
        <v>1535</v>
      </c>
      <c r="I953" s="538">
        <f>1/124.5</f>
        <v>8.0321000000000004e-003</v>
      </c>
      <c r="J953" s="473">
        <f t="shared" si="942"/>
        <v>340.72000000000003</v>
      </c>
      <c r="K953" s="474">
        <f t="shared" si="950"/>
        <v>2.7366971120000003</v>
      </c>
      <c r="L953" s="473">
        <f t="shared" si="939"/>
        <v>338.82999999999998</v>
      </c>
      <c r="M953" s="474">
        <f t="shared" si="951"/>
        <v>2.7215164430000001</v>
      </c>
      <c r="O953" s="434">
        <f t="shared" si="946"/>
        <v>340.72000000000003</v>
      </c>
      <c r="P953" s="435">
        <f t="shared" si="947"/>
        <v>338.82999999999998</v>
      </c>
      <c r="AE953" s="217"/>
      <c r="AF953" s="217">
        <v>1105</v>
      </c>
      <c r="AH953">
        <f t="shared" si="945"/>
        <v>1105</v>
      </c>
    </row>
    <row r="954" ht="75" hidden="1">
      <c r="A954" s="217"/>
      <c r="B954" s="217">
        <v>1105</v>
      </c>
      <c r="C954" s="217"/>
      <c r="D954" s="217" t="s">
        <v>17167</v>
      </c>
      <c r="E954" s="471" t="s">
        <v>20409</v>
      </c>
      <c r="F954" s="526">
        <v>89258</v>
      </c>
      <c r="G954" s="552" t="s">
        <v>1965</v>
      </c>
      <c r="H954" s="526" t="s">
        <v>1533</v>
      </c>
      <c r="I954" s="538">
        <v>0</v>
      </c>
      <c r="J954" s="473">
        <f t="shared" si="942"/>
        <v>128.40000000000001</v>
      </c>
      <c r="K954" s="474">
        <f t="shared" si="950"/>
        <v>0</v>
      </c>
      <c r="L954" s="473">
        <f t="shared" si="939"/>
        <v>126.51000000000001</v>
      </c>
      <c r="M954" s="474">
        <f t="shared" si="951"/>
        <v>0</v>
      </c>
      <c r="O954" s="434">
        <f t="shared" si="946"/>
        <v>128.40000000000001</v>
      </c>
      <c r="P954" s="435">
        <f t="shared" si="947"/>
        <v>126.51000000000001</v>
      </c>
      <c r="AE954" s="217"/>
      <c r="AF954" s="217">
        <v>1105</v>
      </c>
      <c r="AH954">
        <f t="shared" si="945"/>
        <v>1105</v>
      </c>
    </row>
    <row r="955" ht="30" hidden="1">
      <c r="A955" s="217"/>
      <c r="B955" s="217">
        <v>1105</v>
      </c>
      <c r="C955" s="217"/>
      <c r="D955" s="217" t="s">
        <v>17167</v>
      </c>
      <c r="E955" s="471" t="s">
        <v>20663</v>
      </c>
      <c r="F955" s="526">
        <v>88316</v>
      </c>
      <c r="G955" s="552" t="s">
        <v>7393</v>
      </c>
      <c r="H955" s="538" t="s">
        <v>2032</v>
      </c>
      <c r="I955" s="538">
        <f>6/124.5</f>
        <v>4.8192800000000001e-002</v>
      </c>
      <c r="J955" s="473">
        <f t="shared" si="942"/>
        <v>22.760000000000002</v>
      </c>
      <c r="K955" s="474">
        <f t="shared" si="950"/>
        <v>1.0968681280000001</v>
      </c>
      <c r="L955" s="473">
        <f t="shared" si="939"/>
        <v>21.550000000000001</v>
      </c>
      <c r="M955" s="474">
        <f t="shared" si="951"/>
        <v>1.03855484</v>
      </c>
      <c r="O955" s="434">
        <f t="shared" si="946"/>
        <v>22.760000000000002</v>
      </c>
      <c r="P955" s="435">
        <f t="shared" si="947"/>
        <v>21.550000000000001</v>
      </c>
      <c r="AE955" s="217"/>
      <c r="AF955" s="217">
        <v>1105</v>
      </c>
      <c r="AH955">
        <f t="shared" si="945"/>
        <v>1105</v>
      </c>
    </row>
    <row r="956" ht="30" hidden="1">
      <c r="A956" s="217"/>
      <c r="B956" s="217">
        <v>1105</v>
      </c>
      <c r="C956" s="217"/>
      <c r="D956" s="217" t="s">
        <v>17167</v>
      </c>
      <c r="E956" s="471" t="s">
        <v>20665</v>
      </c>
      <c r="F956" s="526">
        <v>96395</v>
      </c>
      <c r="G956" s="552" t="s">
        <v>21152</v>
      </c>
      <c r="H956" s="526" t="s">
        <v>15528</v>
      </c>
      <c r="I956" s="538">
        <f>1</f>
        <v>1</v>
      </c>
      <c r="J956" s="473">
        <f t="shared" si="942"/>
        <v>328.57999999999998</v>
      </c>
      <c r="K956" s="474">
        <f t="shared" si="950"/>
        <v>328.57999999999998</v>
      </c>
      <c r="L956" s="473">
        <f t="shared" si="939"/>
        <v>328.25999999999999</v>
      </c>
      <c r="M956" s="474">
        <f t="shared" si="951"/>
        <v>328.25999999999999</v>
      </c>
      <c r="O956" s="434">
        <f t="shared" si="946"/>
        <v>328.57999999999998</v>
      </c>
      <c r="P956" s="435">
        <f t="shared" si="947"/>
        <v>328.25999999999999</v>
      </c>
      <c r="AE956" s="217"/>
      <c r="AF956" s="217">
        <v>1105</v>
      </c>
      <c r="AH956">
        <f t="shared" si="945"/>
        <v>1105</v>
      </c>
    </row>
    <row r="957" ht="90" hidden="1">
      <c r="A957" s="217"/>
      <c r="B957" s="217">
        <v>1105</v>
      </c>
      <c r="C957" s="217"/>
      <c r="D957" s="217" t="s">
        <v>20398</v>
      </c>
      <c r="E957" s="471" t="s">
        <v>20667</v>
      </c>
      <c r="F957" s="526">
        <v>1106</v>
      </c>
      <c r="G957" s="552" t="s">
        <v>21153</v>
      </c>
      <c r="H957" s="526" t="s">
        <v>9693</v>
      </c>
      <c r="I957" s="538">
        <v>2.3999999999999999</v>
      </c>
      <c r="J957" s="473">
        <f t="shared" si="942"/>
        <v>2.4412174810000002</v>
      </c>
      <c r="K957" s="474">
        <f t="shared" si="950"/>
        <v>5.8589219544000004</v>
      </c>
      <c r="L957" s="473">
        <f t="shared" si="939"/>
        <v>2410.8898990380003</v>
      </c>
      <c r="M957" s="474">
        <f t="shared" si="951"/>
        <v>5786.1357576912005</v>
      </c>
      <c r="O957" s="434">
        <f t="shared" si="946"/>
        <v>2.4412174810000002</v>
      </c>
      <c r="P957" s="435">
        <f t="shared" si="947"/>
        <v>2410.8898990380003</v>
      </c>
      <c r="AE957" s="217"/>
      <c r="AF957" s="217">
        <v>1105</v>
      </c>
      <c r="AH957">
        <f t="shared" si="945"/>
        <v>1105</v>
      </c>
    </row>
    <row r="958" ht="60" hidden="1">
      <c r="A958" s="217"/>
      <c r="B958" s="217">
        <v>1105</v>
      </c>
      <c r="C958" s="217"/>
      <c r="D958" s="217" t="s">
        <v>17167</v>
      </c>
      <c r="E958" s="471" t="s">
        <v>20671</v>
      </c>
      <c r="F958" s="526">
        <v>97918</v>
      </c>
      <c r="G958" s="552" t="s">
        <v>21154</v>
      </c>
      <c r="H958" s="526" t="s">
        <v>9693</v>
      </c>
      <c r="I958" s="538">
        <f>2.14*15</f>
        <v>32.100000000000001</v>
      </c>
      <c r="J958" s="473">
        <f t="shared" si="942"/>
        <v>2.1600000000000001</v>
      </c>
      <c r="K958" s="474">
        <f t="shared" si="950"/>
        <v>69.336000000000013</v>
      </c>
      <c r="L958" s="473">
        <f t="shared" si="939"/>
        <v>2.1299999999999999</v>
      </c>
      <c r="M958" s="474">
        <f t="shared" si="951"/>
        <v>68.373000000000005</v>
      </c>
      <c r="O958" s="434">
        <f t="shared" si="946"/>
        <v>2.1600000000000001</v>
      </c>
      <c r="P958" s="435">
        <f t="shared" si="947"/>
        <v>2.1299999999999999</v>
      </c>
      <c r="Q958" s="556" t="s">
        <v>21155</v>
      </c>
      <c r="AE958" s="217"/>
      <c r="AF958" s="217">
        <v>1105</v>
      </c>
      <c r="AH958">
        <f t="shared" si="945"/>
        <v>1105</v>
      </c>
    </row>
    <row r="959" ht="110.25" hidden="1">
      <c r="A959" s="460">
        <v>1106</v>
      </c>
      <c r="B959" s="460">
        <v>1106</v>
      </c>
      <c r="C959" s="460"/>
      <c r="D959" s="460"/>
      <c r="E959" s="461">
        <v>1</v>
      </c>
      <c r="F959" s="462" t="s">
        <v>21156</v>
      </c>
      <c r="G959" s="477" t="s">
        <v>21153</v>
      </c>
      <c r="H959" s="478" t="s">
        <v>9591</v>
      </c>
      <c r="I959" s="479"/>
      <c r="J959" s="480"/>
      <c r="K959" s="466">
        <f>SUM(K960:K961)</f>
        <v>2.4412174810000002</v>
      </c>
      <c r="L959" s="480"/>
      <c r="M959" s="466">
        <f>SUM(M960:M967)</f>
        <v>2410.8898990380003</v>
      </c>
      <c r="N959" s="467" t="s">
        <v>21157</v>
      </c>
      <c r="O959" s="434" t="str">
        <f t="shared" si="946"/>
        <v xml:space="preserve">SEM VALOR</v>
      </c>
      <c r="P959" s="435" t="str">
        <f t="shared" si="947"/>
        <v xml:space="preserve">SEM VALOR</v>
      </c>
      <c r="AE959" s="460">
        <v>1106</v>
      </c>
      <c r="AF959" s="460"/>
      <c r="AH959">
        <f t="shared" si="945"/>
        <v>1106</v>
      </c>
    </row>
    <row r="960" ht="90" hidden="1">
      <c r="A960" s="217"/>
      <c r="B960" s="217">
        <v>1106</v>
      </c>
      <c r="C960" s="217"/>
      <c r="D960" s="217" t="s">
        <v>17167</v>
      </c>
      <c r="E960" s="471" t="s">
        <v>20399</v>
      </c>
      <c r="F960" s="526">
        <v>5811</v>
      </c>
      <c r="G960" s="552" t="s">
        <v>1581</v>
      </c>
      <c r="H960" s="526" t="s">
        <v>1535</v>
      </c>
      <c r="I960" s="538">
        <f>4/298.8*0.76</f>
        <v>1.0174000000000001e-002</v>
      </c>
      <c r="J960" s="473">
        <f t="shared" si="942"/>
        <v>219.96000000000001</v>
      </c>
      <c r="K960" s="474">
        <f t="shared" ref="K960:K961" si="952">I960*J960</f>
        <v>2.2378730400000002</v>
      </c>
      <c r="L960" s="473">
        <f t="shared" si="939"/>
        <v>218.28999999999999</v>
      </c>
      <c r="M960" s="474">
        <f t="shared" ref="M960:M961" si="953">L960*I960</f>
        <v>2.2208824599999999</v>
      </c>
      <c r="N960" s="467" t="s">
        <v>21158</v>
      </c>
      <c r="O960" s="434">
        <f t="shared" si="946"/>
        <v>219.96000000000001</v>
      </c>
      <c r="P960" s="435">
        <f t="shared" si="947"/>
        <v>218.28999999999999</v>
      </c>
      <c r="AE960" s="217"/>
      <c r="AF960" s="217">
        <v>1106</v>
      </c>
      <c r="AH960">
        <f t="shared" si="945"/>
        <v>1106</v>
      </c>
    </row>
    <row r="961" ht="90" hidden="1">
      <c r="A961" s="217"/>
      <c r="B961" s="217">
        <v>1106</v>
      </c>
      <c r="C961" s="217"/>
      <c r="D961" s="217" t="s">
        <v>17167</v>
      </c>
      <c r="E961" s="471" t="s">
        <v>20402</v>
      </c>
      <c r="F961" s="526">
        <v>5961</v>
      </c>
      <c r="G961" s="552" t="s">
        <v>1580</v>
      </c>
      <c r="H961" s="538" t="s">
        <v>1533</v>
      </c>
      <c r="I961" s="538">
        <f>4/298.8*0.24</f>
        <v>3.2128999999999999e-003</v>
      </c>
      <c r="J961" s="473">
        <f t="shared" si="942"/>
        <v>63.289999999999999</v>
      </c>
      <c r="K961" s="474">
        <f t="shared" si="952"/>
        <v>0.20334444099999999</v>
      </c>
      <c r="L961" s="473">
        <f t="shared" si="939"/>
        <v>61.619999999999997</v>
      </c>
      <c r="M961" s="474">
        <f t="shared" si="953"/>
        <v>0.19797889799999999</v>
      </c>
      <c r="O961" s="434">
        <f t="shared" si="946"/>
        <v>63.289999999999999</v>
      </c>
      <c r="P961" s="435">
        <f t="shared" si="947"/>
        <v>61.619999999999997</v>
      </c>
      <c r="AE961" s="217"/>
      <c r="AF961" s="217">
        <v>1106</v>
      </c>
      <c r="AH961">
        <f t="shared" si="945"/>
        <v>1106</v>
      </c>
    </row>
    <row r="962" ht="51" hidden="1" customHeight="1">
      <c r="A962" s="460">
        <v>1107</v>
      </c>
      <c r="B962" s="460">
        <v>1107</v>
      </c>
      <c r="C962" s="460"/>
      <c r="D962" s="460"/>
      <c r="E962" s="461">
        <v>1</v>
      </c>
      <c r="F962" s="462" t="s">
        <v>21159</v>
      </c>
      <c r="G962" s="477" t="s">
        <v>21160</v>
      </c>
      <c r="H962" s="478" t="s">
        <v>20647</v>
      </c>
      <c r="I962" s="479"/>
      <c r="J962" s="480"/>
      <c r="K962" s="466">
        <f>SUM(K963:K972)</f>
        <v>1831.381795968</v>
      </c>
      <c r="L962" s="480"/>
      <c r="M962" s="466">
        <f>SUM(M963:M972)</f>
        <v>1777.3247228799999</v>
      </c>
      <c r="O962" s="434" t="str">
        <f t="shared" si="946"/>
        <v xml:space="preserve">SEM VALOR</v>
      </c>
      <c r="P962" s="435" t="str">
        <f t="shared" si="947"/>
        <v xml:space="preserve">SEM VALOR</v>
      </c>
      <c r="AE962" s="460">
        <v>1107</v>
      </c>
      <c r="AF962" s="460"/>
      <c r="AH962">
        <f t="shared" si="945"/>
        <v>1107</v>
      </c>
    </row>
    <row r="963" ht="45" hidden="1">
      <c r="A963" s="217"/>
      <c r="B963" s="217">
        <v>1107</v>
      </c>
      <c r="C963" s="217"/>
      <c r="D963" s="217" t="s">
        <v>20398</v>
      </c>
      <c r="E963" s="471" t="s">
        <v>20399</v>
      </c>
      <c r="F963" s="482">
        <v>1259</v>
      </c>
      <c r="G963" s="470" t="s">
        <v>21123</v>
      </c>
      <c r="H963" s="472" t="s">
        <v>15528</v>
      </c>
      <c r="I963" s="472">
        <v>7.4400000000000004</v>
      </c>
      <c r="J963" s="473">
        <f t="shared" si="942"/>
        <v>45.520000000000003</v>
      </c>
      <c r="K963" s="474">
        <f t="shared" ref="K963:K972" si="954">I963*J963</f>
        <v>338.66880000000003</v>
      </c>
      <c r="L963" s="473">
        <f t="shared" si="939"/>
        <v>43.100000000000001</v>
      </c>
      <c r="M963" s="474">
        <f t="shared" ref="M963:M972" si="955">L963*I963</f>
        <v>320.66400000000004</v>
      </c>
      <c r="O963" s="434">
        <f t="shared" si="946"/>
        <v>45.520000000000003</v>
      </c>
      <c r="P963" s="435">
        <f t="shared" si="947"/>
        <v>43.100000000000001</v>
      </c>
      <c r="AE963" s="217"/>
      <c r="AF963" s="217">
        <v>1107</v>
      </c>
      <c r="AH963">
        <f t="shared" si="945"/>
        <v>1107</v>
      </c>
    </row>
    <row r="964" ht="60" hidden="1">
      <c r="A964" s="217"/>
      <c r="B964" s="217">
        <v>1107</v>
      </c>
      <c r="C964" s="217"/>
      <c r="D964" s="217" t="s">
        <v>20398</v>
      </c>
      <c r="E964" s="471" t="s">
        <v>20402</v>
      </c>
      <c r="F964" s="482">
        <v>1258</v>
      </c>
      <c r="G964" s="488" t="s">
        <v>20660</v>
      </c>
      <c r="H964" s="471" t="s">
        <v>15515</v>
      </c>
      <c r="I964" s="472">
        <v>1.54</v>
      </c>
      <c r="J964" s="473">
        <f t="shared" si="942"/>
        <v>7.5700000000000003</v>
      </c>
      <c r="K964" s="474">
        <f t="shared" si="954"/>
        <v>11.6578</v>
      </c>
      <c r="L964" s="473">
        <f t="shared" si="939"/>
        <v>7.1846199999999998</v>
      </c>
      <c r="M964" s="474">
        <f t="shared" si="955"/>
        <v>11.0643148</v>
      </c>
      <c r="O964" s="434">
        <f t="shared" si="946"/>
        <v>7.5700000000000003</v>
      </c>
      <c r="P964" s="435">
        <f t="shared" si="947"/>
        <v>7.1846199999999998</v>
      </c>
      <c r="AE964" s="217"/>
      <c r="AF964" s="217">
        <v>1107</v>
      </c>
      <c r="AH964">
        <f t="shared" si="945"/>
        <v>1107</v>
      </c>
    </row>
    <row r="965" ht="60" hidden="1">
      <c r="A965" s="217"/>
      <c r="B965" s="217">
        <v>1107</v>
      </c>
      <c r="C965" s="217"/>
      <c r="D965" s="217" t="s">
        <v>17167</v>
      </c>
      <c r="E965" s="471" t="s">
        <v>20405</v>
      </c>
      <c r="F965" s="482">
        <v>94962</v>
      </c>
      <c r="G965" s="470" t="s">
        <v>20797</v>
      </c>
      <c r="H965" s="471" t="s">
        <v>15528</v>
      </c>
      <c r="I965" s="472">
        <v>0.14999999999999999</v>
      </c>
      <c r="J965" s="473">
        <f t="shared" si="942"/>
        <v>393.05000000000001</v>
      </c>
      <c r="K965" s="474">
        <f t="shared" si="954"/>
        <v>58.957499999999996</v>
      </c>
      <c r="L965" s="473">
        <f t="shared" si="939"/>
        <v>387.73000000000002</v>
      </c>
      <c r="M965" s="474">
        <f t="shared" si="955"/>
        <v>58.159500000000001</v>
      </c>
      <c r="O965" s="434">
        <f t="shared" si="946"/>
        <v>393.05000000000001</v>
      </c>
      <c r="P965" s="435">
        <f t="shared" si="947"/>
        <v>387.73000000000002</v>
      </c>
      <c r="AE965" s="217"/>
      <c r="AF965" s="217">
        <v>1107</v>
      </c>
      <c r="AH965">
        <f t="shared" si="945"/>
        <v>1107</v>
      </c>
    </row>
    <row r="966" ht="120" hidden="1">
      <c r="A966" s="217"/>
      <c r="B966" s="217">
        <v>1107</v>
      </c>
      <c r="C966" s="217"/>
      <c r="D966" s="217" t="s">
        <v>17167</v>
      </c>
      <c r="E966" s="471" t="s">
        <v>20409</v>
      </c>
      <c r="F966" s="489">
        <v>93367</v>
      </c>
      <c r="G966" s="470" t="s">
        <v>20798</v>
      </c>
      <c r="H966" s="471" t="s">
        <v>1535</v>
      </c>
      <c r="I966" s="472">
        <v>5.5199999999999996</v>
      </c>
      <c r="J966" s="473">
        <f t="shared" si="942"/>
        <v>24.16</v>
      </c>
      <c r="K966" s="474">
        <f t="shared" si="954"/>
        <v>133.36319999999998</v>
      </c>
      <c r="L966" s="473">
        <f t="shared" si="939"/>
        <v>23.59</v>
      </c>
      <c r="M966" s="474">
        <f t="shared" si="955"/>
        <v>130.21679999999998</v>
      </c>
      <c r="O966" s="434">
        <f t="shared" si="946"/>
        <v>24.16</v>
      </c>
      <c r="P966" s="435">
        <f t="shared" si="947"/>
        <v>23.59</v>
      </c>
      <c r="AE966" s="217"/>
      <c r="AF966" s="217">
        <v>1107</v>
      </c>
      <c r="AH966">
        <f t="shared" si="945"/>
        <v>1107</v>
      </c>
    </row>
    <row r="967" ht="60" hidden="1">
      <c r="A967" s="217"/>
      <c r="B967" s="217">
        <v>1107</v>
      </c>
      <c r="C967" s="217"/>
      <c r="D967" s="217" t="s">
        <v>17167</v>
      </c>
      <c r="E967" s="471" t="s">
        <v>20663</v>
      </c>
      <c r="F967" s="489">
        <v>94964</v>
      </c>
      <c r="G967" s="470" t="s">
        <v>20686</v>
      </c>
      <c r="H967" s="471" t="s">
        <v>15528</v>
      </c>
      <c r="I967" s="472">
        <v>0.23000000000000001</v>
      </c>
      <c r="J967" s="473">
        <f t="shared" si="942"/>
        <v>488.52999999999997</v>
      </c>
      <c r="K967" s="474">
        <f t="shared" si="954"/>
        <v>112.36190000000001</v>
      </c>
      <c r="L967" s="473">
        <f t="shared" si="939"/>
        <v>482.79000000000002</v>
      </c>
      <c r="M967" s="474">
        <f t="shared" si="955"/>
        <v>111.04170000000001</v>
      </c>
      <c r="O967" s="434">
        <f t="shared" si="946"/>
        <v>488.52999999999997</v>
      </c>
      <c r="P967" s="435">
        <f t="shared" si="947"/>
        <v>482.79000000000002</v>
      </c>
      <c r="AE967" s="217"/>
      <c r="AF967" s="217">
        <v>1107</v>
      </c>
      <c r="AH967">
        <f t="shared" si="945"/>
        <v>1107</v>
      </c>
    </row>
    <row r="968" ht="45" hidden="1">
      <c r="A968" s="217"/>
      <c r="B968" s="217">
        <v>1107</v>
      </c>
      <c r="C968" s="217"/>
      <c r="D968" s="217" t="s">
        <v>20398</v>
      </c>
      <c r="E968" s="471" t="s">
        <v>20665</v>
      </c>
      <c r="F968" s="489">
        <v>1000</v>
      </c>
      <c r="G968" s="470" t="s">
        <v>20651</v>
      </c>
      <c r="H968" s="471" t="s">
        <v>15528</v>
      </c>
      <c r="I968" s="472">
        <f>I967+I965</f>
        <v>0.38</v>
      </c>
      <c r="J968" s="473">
        <f t="shared" si="942"/>
        <v>149.904</v>
      </c>
      <c r="K968" s="474">
        <f t="shared" si="954"/>
        <v>56.963520000000003</v>
      </c>
      <c r="L968" s="473">
        <f t="shared" si="939"/>
        <v>141.76949999999999</v>
      </c>
      <c r="M968" s="474">
        <f t="shared" si="955"/>
        <v>53.872409999999995</v>
      </c>
      <c r="O968" s="434">
        <f t="shared" si="946"/>
        <v>149.904</v>
      </c>
      <c r="P968" s="435">
        <f t="shared" si="947"/>
        <v>141.76949999999999</v>
      </c>
      <c r="AE968" s="217"/>
      <c r="AF968" s="217">
        <v>1107</v>
      </c>
      <c r="AH968">
        <f t="shared" si="945"/>
        <v>1107</v>
      </c>
    </row>
    <row r="969" ht="45" hidden="1">
      <c r="A969" s="217"/>
      <c r="B969" s="217">
        <v>1107</v>
      </c>
      <c r="C969" s="217"/>
      <c r="D969" s="217" t="s">
        <v>17167</v>
      </c>
      <c r="E969" s="471" t="s">
        <v>20667</v>
      </c>
      <c r="F969" s="489">
        <v>92267</v>
      </c>
      <c r="G969" s="470" t="s">
        <v>20799</v>
      </c>
      <c r="H969" s="471" t="s">
        <v>15515</v>
      </c>
      <c r="I969" s="472">
        <v>2.2799999999999998</v>
      </c>
      <c r="J969" s="473">
        <f t="shared" si="942"/>
        <v>50.18</v>
      </c>
      <c r="K969" s="474">
        <f t="shared" si="954"/>
        <v>114.4104</v>
      </c>
      <c r="L969" s="473">
        <f t="shared" si="939"/>
        <v>50.109999999999999</v>
      </c>
      <c r="M969" s="474">
        <f t="shared" si="955"/>
        <v>114.25079999999998</v>
      </c>
      <c r="O969" s="434">
        <f t="shared" si="946"/>
        <v>50.18</v>
      </c>
      <c r="P969" s="435">
        <f t="shared" si="947"/>
        <v>50.109999999999999</v>
      </c>
      <c r="AE969" s="217"/>
      <c r="AF969" s="217">
        <v>1107</v>
      </c>
      <c r="AH969">
        <f t="shared" si="945"/>
        <v>1107</v>
      </c>
    </row>
    <row r="970" ht="75" hidden="1">
      <c r="A970" s="217"/>
      <c r="B970" s="217">
        <v>1107</v>
      </c>
      <c r="C970" s="217"/>
      <c r="D970" s="217" t="s">
        <v>20398</v>
      </c>
      <c r="E970" s="471" t="s">
        <v>20671</v>
      </c>
      <c r="F970" s="489">
        <v>1065</v>
      </c>
      <c r="G970" s="470" t="s">
        <v>20800</v>
      </c>
      <c r="H970" s="471" t="s">
        <v>15515</v>
      </c>
      <c r="I970" s="472">
        <v>4.96</v>
      </c>
      <c r="J970" s="473">
        <f t="shared" si="942"/>
        <v>104.37038079999999</v>
      </c>
      <c r="K970" s="474">
        <f t="shared" si="954"/>
        <v>517.67708876799998</v>
      </c>
      <c r="L970" s="473">
        <f t="shared" si="939"/>
        <v>101.735</v>
      </c>
      <c r="M970" s="474">
        <f t="shared" si="955"/>
        <v>504.60559999999998</v>
      </c>
      <c r="O970" s="434">
        <f t="shared" si="946"/>
        <v>104.37038079999999</v>
      </c>
      <c r="P970" s="435">
        <f t="shared" si="947"/>
        <v>101.735</v>
      </c>
      <c r="AE970" s="217"/>
      <c r="AF970" s="217">
        <v>1107</v>
      </c>
      <c r="AH970">
        <f t="shared" si="945"/>
        <v>1107</v>
      </c>
    </row>
    <row r="971" ht="75" hidden="1">
      <c r="A971" s="217"/>
      <c r="B971" s="217">
        <v>1107</v>
      </c>
      <c r="C971" s="217"/>
      <c r="D971" s="217" t="s">
        <v>17167</v>
      </c>
      <c r="E971" s="471" t="s">
        <v>20672</v>
      </c>
      <c r="F971" s="489">
        <v>87879</v>
      </c>
      <c r="G971" s="470" t="s">
        <v>20688</v>
      </c>
      <c r="H971" s="471" t="s">
        <v>15515</v>
      </c>
      <c r="I971" s="472">
        <v>9.9199999999999999</v>
      </c>
      <c r="J971" s="473">
        <f t="shared" si="942"/>
        <v>4.5499999999999998</v>
      </c>
      <c r="K971" s="474">
        <f t="shared" si="954"/>
        <v>45.135999999999996</v>
      </c>
      <c r="L971" s="473">
        <f t="shared" ref="L971:L1001" si="956">P971*$L$3</f>
        <v>4.3600000000000003</v>
      </c>
      <c r="M971" s="474">
        <f t="shared" si="955"/>
        <v>43.251200000000004</v>
      </c>
      <c r="O971" s="434">
        <f t="shared" si="946"/>
        <v>4.5499999999999998</v>
      </c>
      <c r="P971" s="435">
        <f t="shared" si="947"/>
        <v>4.3600000000000003</v>
      </c>
      <c r="AE971" s="217"/>
      <c r="AF971" s="217">
        <v>1107</v>
      </c>
      <c r="AH971">
        <f t="shared" si="945"/>
        <v>1107</v>
      </c>
    </row>
    <row r="972" ht="90" hidden="1">
      <c r="A972" s="217"/>
      <c r="B972" s="217">
        <v>1107</v>
      </c>
      <c r="C972" s="217"/>
      <c r="D972" s="217" t="s">
        <v>20398</v>
      </c>
      <c r="E972" s="471" t="s">
        <v>20673</v>
      </c>
      <c r="F972" s="489">
        <v>1001</v>
      </c>
      <c r="G972" s="470" t="s">
        <v>20690</v>
      </c>
      <c r="H972" s="471" t="s">
        <v>15515</v>
      </c>
      <c r="I972" s="472">
        <f>I971</f>
        <v>9.9199999999999999</v>
      </c>
      <c r="J972" s="473">
        <f t="shared" si="942"/>
        <v>44.575159999999997</v>
      </c>
      <c r="K972" s="474">
        <f t="shared" si="954"/>
        <v>442.18558719999999</v>
      </c>
      <c r="L972" s="473">
        <f t="shared" si="956"/>
        <v>43.366774000000007</v>
      </c>
      <c r="M972" s="474">
        <f t="shared" si="955"/>
        <v>430.19839808000006</v>
      </c>
      <c r="O972" s="434">
        <f t="shared" si="946"/>
        <v>44.575159999999997</v>
      </c>
      <c r="P972" s="435">
        <f t="shared" si="947"/>
        <v>43.366774000000007</v>
      </c>
      <c r="AE972" s="217"/>
      <c r="AF972" s="217">
        <v>1107</v>
      </c>
      <c r="AH972">
        <f t="shared" si="945"/>
        <v>1107</v>
      </c>
    </row>
    <row r="973" ht="54" hidden="1" customHeight="1">
      <c r="A973" s="460">
        <v>1108</v>
      </c>
      <c r="B973" s="460">
        <v>1108</v>
      </c>
      <c r="C973" s="460"/>
      <c r="D973" s="460"/>
      <c r="E973" s="461">
        <v>1</v>
      </c>
      <c r="F973" s="462" t="s">
        <v>21161</v>
      </c>
      <c r="G973" s="477" t="s">
        <v>21162</v>
      </c>
      <c r="H973" s="478" t="s">
        <v>38</v>
      </c>
      <c r="I973" s="479"/>
      <c r="J973" s="480"/>
      <c r="K973" s="466">
        <f>SUM(K974:K977)</f>
        <v>57.267724999999999</v>
      </c>
      <c r="L973" s="480"/>
      <c r="M973" s="466">
        <f>SUM(M974:M977)</f>
        <v>55.888656249999997</v>
      </c>
      <c r="N973" s="467" t="s">
        <v>21044</v>
      </c>
      <c r="O973" s="434" t="str">
        <f t="shared" si="946"/>
        <v xml:space="preserve">SEM VALOR</v>
      </c>
      <c r="P973" s="435" t="str">
        <f t="shared" si="947"/>
        <v xml:space="preserve">SEM VALOR</v>
      </c>
      <c r="AE973" s="460">
        <v>1108</v>
      </c>
      <c r="AF973" s="460"/>
      <c r="AH973">
        <f t="shared" si="945"/>
        <v>1108</v>
      </c>
    </row>
    <row r="974" ht="45" hidden="1">
      <c r="A974" s="217"/>
      <c r="B974" s="217">
        <v>1108</v>
      </c>
      <c r="C974" s="217"/>
      <c r="D974" s="217" t="s">
        <v>20398</v>
      </c>
      <c r="E974" s="471" t="s">
        <v>20399</v>
      </c>
      <c r="F974" s="540">
        <v>1259</v>
      </c>
      <c r="G974" s="557" t="s">
        <v>21123</v>
      </c>
      <c r="H974" s="542" t="s">
        <v>15528</v>
      </c>
      <c r="I974" s="558">
        <f>0.1*0.5*1</f>
        <v>5.0000000000000003e-002</v>
      </c>
      <c r="J974" s="473">
        <f t="shared" si="942"/>
        <v>45.520000000000003</v>
      </c>
      <c r="K974" s="474">
        <f t="shared" ref="K974:K977" si="957">I974*J974</f>
        <v>2.2760000000000002</v>
      </c>
      <c r="L974" s="473">
        <f t="shared" si="956"/>
        <v>43.100000000000001</v>
      </c>
      <c r="M974" s="474">
        <f t="shared" ref="M974:M977" si="958">L974*I974</f>
        <v>2.1550000000000002</v>
      </c>
      <c r="O974" s="434">
        <f t="shared" si="946"/>
        <v>45.520000000000003</v>
      </c>
      <c r="P974" s="435">
        <f t="shared" si="947"/>
        <v>43.100000000000001</v>
      </c>
      <c r="AE974" s="217"/>
      <c r="AF974" s="217">
        <v>1108</v>
      </c>
      <c r="AH974">
        <f t="shared" si="945"/>
        <v>1108</v>
      </c>
    </row>
    <row r="975" ht="75" hidden="1">
      <c r="A975" s="217"/>
      <c r="B975" s="217">
        <v>1108</v>
      </c>
      <c r="C975" s="217"/>
      <c r="D975" s="217" t="s">
        <v>20398</v>
      </c>
      <c r="E975" s="471" t="s">
        <v>20402</v>
      </c>
      <c r="F975" s="540">
        <v>1267</v>
      </c>
      <c r="G975" s="557" t="s">
        <v>20662</v>
      </c>
      <c r="H975" s="542" t="s">
        <v>38</v>
      </c>
      <c r="I975" s="558">
        <v>1</v>
      </c>
      <c r="J975" s="473">
        <f t="shared" si="942"/>
        <v>3.2499999999999996</v>
      </c>
      <c r="K975" s="474">
        <f t="shared" si="957"/>
        <v>3.2499999999999996</v>
      </c>
      <c r="L975" s="473">
        <f t="shared" si="956"/>
        <v>3.1657000000000002</v>
      </c>
      <c r="M975" s="474">
        <f t="shared" si="958"/>
        <v>3.1657000000000002</v>
      </c>
      <c r="O975" s="434">
        <f t="shared" si="946"/>
        <v>3.2499999999999996</v>
      </c>
      <c r="P975" s="435">
        <f t="shared" si="947"/>
        <v>3.1657000000000002</v>
      </c>
      <c r="AE975" s="217"/>
      <c r="AF975" s="217">
        <v>1108</v>
      </c>
      <c r="AH975">
        <f t="shared" si="945"/>
        <v>1108</v>
      </c>
    </row>
    <row r="976" ht="45" hidden="1">
      <c r="A976" s="217"/>
      <c r="B976" s="217">
        <v>1108</v>
      </c>
      <c r="C976" s="217"/>
      <c r="D976" s="217" t="s">
        <v>20398</v>
      </c>
      <c r="E976" s="471" t="s">
        <v>20405</v>
      </c>
      <c r="F976" s="540">
        <v>1000</v>
      </c>
      <c r="G976" s="557" t="s">
        <v>20651</v>
      </c>
      <c r="H976" s="542" t="s">
        <v>15528</v>
      </c>
      <c r="I976" s="559">
        <v>8.7499999999999994e-002</v>
      </c>
      <c r="J976" s="473">
        <f t="shared" si="942"/>
        <v>149.904</v>
      </c>
      <c r="K976" s="474">
        <f t="shared" si="957"/>
        <v>13.116599999999998</v>
      </c>
      <c r="L976" s="473">
        <f t="shared" si="956"/>
        <v>141.76949999999999</v>
      </c>
      <c r="M976" s="474">
        <f t="shared" si="958"/>
        <v>12.404831249999999</v>
      </c>
      <c r="O976" s="434">
        <f t="shared" si="946"/>
        <v>149.904</v>
      </c>
      <c r="P976" s="435">
        <f t="shared" si="947"/>
        <v>141.76949999999999</v>
      </c>
      <c r="AE976" s="217"/>
      <c r="AF976" s="217">
        <v>1108</v>
      </c>
      <c r="AH976">
        <f t="shared" si="945"/>
        <v>1108</v>
      </c>
    </row>
    <row r="977" ht="60" hidden="1">
      <c r="A977" s="217"/>
      <c r="B977" s="217">
        <v>1108</v>
      </c>
      <c r="C977" s="217"/>
      <c r="D977" s="217" t="s">
        <v>17167</v>
      </c>
      <c r="E977" s="471" t="s">
        <v>20409</v>
      </c>
      <c r="F977" s="540">
        <v>94963</v>
      </c>
      <c r="G977" s="557" t="s">
        <v>20911</v>
      </c>
      <c r="H977" s="542" t="s">
        <v>15528</v>
      </c>
      <c r="I977" s="558">
        <v>8.7499999999999994e-002</v>
      </c>
      <c r="J977" s="473">
        <f t="shared" si="942"/>
        <v>441.43000000000001</v>
      </c>
      <c r="K977" s="474">
        <f t="shared" si="957"/>
        <v>38.625124999999997</v>
      </c>
      <c r="L977" s="473">
        <f t="shared" si="956"/>
        <v>436.14999999999998</v>
      </c>
      <c r="M977" s="474">
        <f t="shared" si="958"/>
        <v>38.163124999999994</v>
      </c>
      <c r="O977" s="434">
        <f t="shared" si="946"/>
        <v>441.43000000000001</v>
      </c>
      <c r="P977" s="435">
        <f t="shared" si="947"/>
        <v>436.14999999999998</v>
      </c>
      <c r="AE977" s="217"/>
      <c r="AF977" s="217">
        <v>1108</v>
      </c>
      <c r="AH977">
        <f t="shared" si="945"/>
        <v>1108</v>
      </c>
    </row>
    <row r="978" ht="51" hidden="1" customHeight="1">
      <c r="A978" s="460">
        <v>1109</v>
      </c>
      <c r="B978" s="460">
        <v>1109</v>
      </c>
      <c r="C978" s="460"/>
      <c r="D978" s="460"/>
      <c r="E978" s="461">
        <v>1</v>
      </c>
      <c r="F978" s="462" t="s">
        <v>21163</v>
      </c>
      <c r="G978" s="477" t="s">
        <v>21164</v>
      </c>
      <c r="H978" s="478" t="s">
        <v>15528</v>
      </c>
      <c r="I978" s="479"/>
      <c r="J978" s="480"/>
      <c r="K978" s="466">
        <f>SUM(K979:K981)</f>
        <v>4.888456906</v>
      </c>
      <c r="L978" s="480"/>
      <c r="M978" s="466">
        <f>SUM(M979:M981)</f>
        <v>4.7718882490000007</v>
      </c>
      <c r="O978" s="434" t="str">
        <f t="shared" si="946"/>
        <v xml:space="preserve">SEM VALOR</v>
      </c>
      <c r="P978" s="435" t="str">
        <f t="shared" si="947"/>
        <v xml:space="preserve">SEM VALOR</v>
      </c>
      <c r="AE978" s="460">
        <v>1109</v>
      </c>
      <c r="AF978" s="460"/>
      <c r="AH978">
        <f t="shared" si="945"/>
        <v>1109</v>
      </c>
    </row>
    <row r="979" ht="75" hidden="1">
      <c r="A979" s="217"/>
      <c r="B979" s="217">
        <v>1109</v>
      </c>
      <c r="C979" s="217"/>
      <c r="D979" s="217" t="s">
        <v>17167</v>
      </c>
      <c r="E979" s="471" t="s">
        <v>20399</v>
      </c>
      <c r="F979" s="560">
        <v>5940</v>
      </c>
      <c r="G979" s="557" t="s">
        <v>1863</v>
      </c>
      <c r="H979" s="542" t="s">
        <v>1535</v>
      </c>
      <c r="I979" s="558">
        <f>0.010238+0.0047619</f>
        <v>1.49999e-002</v>
      </c>
      <c r="J979" s="473">
        <f t="shared" si="942"/>
        <v>171.97999999999999</v>
      </c>
      <c r="K979" s="474">
        <f t="shared" ref="K979:K981" si="959">I979*J979</f>
        <v>2.5796828019999998</v>
      </c>
      <c r="L979" s="473">
        <f t="shared" si="956"/>
        <v>170.09</v>
      </c>
      <c r="M979" s="474">
        <f t="shared" ref="M979:M981" si="960">L979*I979</f>
        <v>2.5513329910000002</v>
      </c>
      <c r="O979" s="434">
        <f t="shared" si="946"/>
        <v>171.97999999999999</v>
      </c>
      <c r="P979" s="435">
        <f t="shared" si="947"/>
        <v>170.09</v>
      </c>
      <c r="AE979" s="217"/>
      <c r="AF979" s="217">
        <v>1109</v>
      </c>
      <c r="AH979">
        <f t="shared" si="945"/>
        <v>1109</v>
      </c>
    </row>
    <row r="980" ht="75" hidden="1">
      <c r="A980" s="217"/>
      <c r="B980" s="217">
        <v>1109</v>
      </c>
      <c r="C980" s="217"/>
      <c r="D980" s="217" t="s">
        <v>17167</v>
      </c>
      <c r="E980" s="471" t="s">
        <v>20402</v>
      </c>
      <c r="F980" s="560">
        <v>5942</v>
      </c>
      <c r="G980" s="557" t="s">
        <v>1862</v>
      </c>
      <c r="H980" s="542" t="s">
        <v>1533</v>
      </c>
      <c r="I980" s="558">
        <f>0.0135714+0.002619</f>
        <v>1.6190400000000001e-002</v>
      </c>
      <c r="J980" s="473">
        <f t="shared" ref="J980:J1001" si="961">O980*$J$3</f>
        <v>75.659999999999997</v>
      </c>
      <c r="K980" s="474">
        <f t="shared" si="959"/>
        <v>1.224965664</v>
      </c>
      <c r="L980" s="473">
        <f t="shared" si="956"/>
        <v>73.769999999999996</v>
      </c>
      <c r="M980" s="474">
        <f t="shared" si="960"/>
        <v>1.1943658079999999</v>
      </c>
      <c r="O980" s="434">
        <f t="shared" si="946"/>
        <v>75.659999999999997</v>
      </c>
      <c r="P980" s="435">
        <f t="shared" si="947"/>
        <v>73.769999999999996</v>
      </c>
      <c r="AE980" s="217"/>
      <c r="AF980" s="217">
        <v>1109</v>
      </c>
      <c r="AH980">
        <f t="shared" si="945"/>
        <v>1109</v>
      </c>
    </row>
    <row r="981" ht="30" hidden="1">
      <c r="A981" s="217"/>
      <c r="B981" s="217">
        <v>1109</v>
      </c>
      <c r="C981" s="217"/>
      <c r="D981" s="217" t="s">
        <v>17167</v>
      </c>
      <c r="E981" s="471" t="s">
        <v>20405</v>
      </c>
      <c r="F981" s="560">
        <v>88316</v>
      </c>
      <c r="G981" s="557" t="s">
        <v>7393</v>
      </c>
      <c r="H981" s="542" t="s">
        <v>2032</v>
      </c>
      <c r="I981" s="558">
        <v>4.7619000000000002e-002</v>
      </c>
      <c r="J981" s="473">
        <f t="shared" si="961"/>
        <v>22.760000000000002</v>
      </c>
      <c r="K981" s="474">
        <f t="shared" si="959"/>
        <v>1.0838084400000001</v>
      </c>
      <c r="L981" s="473">
        <f t="shared" si="956"/>
        <v>21.550000000000001</v>
      </c>
      <c r="M981" s="474">
        <f t="shared" si="960"/>
        <v>1.0261894500000002</v>
      </c>
      <c r="O981" s="434">
        <f t="shared" si="946"/>
        <v>22.760000000000002</v>
      </c>
      <c r="P981" s="435">
        <f t="shared" si="947"/>
        <v>21.550000000000001</v>
      </c>
      <c r="AE981" s="217"/>
      <c r="AF981" s="217">
        <v>1109</v>
      </c>
      <c r="AH981">
        <f t="shared" si="945"/>
        <v>1109</v>
      </c>
    </row>
    <row r="982" ht="78.75" hidden="1">
      <c r="A982" s="460">
        <v>1110</v>
      </c>
      <c r="B982" s="460">
        <v>1110</v>
      </c>
      <c r="C982" s="460"/>
      <c r="D982" s="460"/>
      <c r="E982" s="461">
        <v>1</v>
      </c>
      <c r="F982" s="462" t="s">
        <v>21165</v>
      </c>
      <c r="G982" s="463" t="s">
        <v>21166</v>
      </c>
      <c r="H982" s="464" t="s">
        <v>20647</v>
      </c>
      <c r="I982" s="479"/>
      <c r="J982" s="480"/>
      <c r="K982" s="466">
        <f>SUM(K983:K990)</f>
        <v>84.117129267999999</v>
      </c>
      <c r="L982" s="480"/>
      <c r="M982" s="466">
        <f>SUM(M983:M990)</f>
        <v>83.680843869</v>
      </c>
      <c r="O982" s="434" t="str">
        <f t="shared" si="946"/>
        <v xml:space="preserve">SEM VALOR</v>
      </c>
      <c r="P982" s="435" t="str">
        <f t="shared" si="947"/>
        <v xml:space="preserve">SEM VALOR</v>
      </c>
      <c r="AE982" s="460">
        <v>1110</v>
      </c>
      <c r="AF982" s="460">
        <v>1110</v>
      </c>
      <c r="AH982">
        <f t="shared" si="945"/>
        <v>1110</v>
      </c>
    </row>
    <row r="983" ht="45" hidden="1">
      <c r="A983" s="217"/>
      <c r="B983" s="217">
        <v>1110</v>
      </c>
      <c r="C983" s="217"/>
      <c r="D983" s="217" t="s">
        <v>17167</v>
      </c>
      <c r="E983" s="468" t="s">
        <v>20399</v>
      </c>
      <c r="F983" s="526">
        <v>5894</v>
      </c>
      <c r="G983" s="525" t="s">
        <v>21167</v>
      </c>
      <c r="H983" s="524" t="s">
        <v>1535</v>
      </c>
      <c r="I983" s="472">
        <v>2.85714e-002</v>
      </c>
      <c r="J983" s="473">
        <f t="shared" si="961"/>
        <v>229.09</v>
      </c>
      <c r="K983" s="474">
        <f t="shared" ref="K983:K990" si="962">I983*J983</f>
        <v>6.5454220259999998</v>
      </c>
      <c r="L983" s="473">
        <f t="shared" si="956"/>
        <v>227.49000000000001</v>
      </c>
      <c r="M983" s="474">
        <f t="shared" ref="M983:M990" si="963">L983*I983</f>
        <v>6.4997077860000001</v>
      </c>
      <c r="O983" s="434">
        <f t="shared" si="946"/>
        <v>229.09</v>
      </c>
      <c r="P983" s="435">
        <f t="shared" si="947"/>
        <v>227.49000000000001</v>
      </c>
      <c r="AE983" s="217"/>
      <c r="AF983" s="217">
        <v>1110</v>
      </c>
      <c r="AH983">
        <f t="shared" si="945"/>
        <v>1110</v>
      </c>
    </row>
    <row r="984" ht="30" hidden="1">
      <c r="A984" s="217"/>
      <c r="B984" s="217">
        <v>1110</v>
      </c>
      <c r="C984" s="217"/>
      <c r="D984" s="217" t="s">
        <v>20644</v>
      </c>
      <c r="E984" s="468" t="s">
        <v>20402</v>
      </c>
      <c r="F984" s="524" t="s">
        <v>15476</v>
      </c>
      <c r="G984" s="525" t="s">
        <v>21059</v>
      </c>
      <c r="H984" s="524" t="s">
        <v>302</v>
      </c>
      <c r="I984" s="472">
        <v>0.20000000000000001</v>
      </c>
      <c r="J984" s="473">
        <f t="shared" si="961"/>
        <v>28.91</v>
      </c>
      <c r="K984" s="474">
        <f t="shared" si="962"/>
        <v>5.782</v>
      </c>
      <c r="L984" s="473">
        <f t="shared" si="956"/>
        <v>28.91</v>
      </c>
      <c r="M984" s="474">
        <f t="shared" si="963"/>
        <v>5.782</v>
      </c>
      <c r="O984" s="434">
        <f t="shared" si="946"/>
        <v>28.91</v>
      </c>
      <c r="P984" s="435">
        <f t="shared" si="947"/>
        <v>28.91</v>
      </c>
      <c r="AE984" s="217"/>
      <c r="AF984" s="217">
        <v>1110</v>
      </c>
      <c r="AH984">
        <f t="shared" si="945"/>
        <v>1110</v>
      </c>
    </row>
    <row r="985" ht="30" hidden="1">
      <c r="A985" s="217"/>
      <c r="B985" s="217">
        <v>1110</v>
      </c>
      <c r="C985" s="217"/>
      <c r="D985" s="217" t="s">
        <v>17167</v>
      </c>
      <c r="E985" s="468" t="s">
        <v>20405</v>
      </c>
      <c r="F985" s="526">
        <v>90776</v>
      </c>
      <c r="G985" s="525" t="s">
        <v>7322</v>
      </c>
      <c r="H985" s="524" t="s">
        <v>2032</v>
      </c>
      <c r="I985" s="472">
        <v>2.85714e-002</v>
      </c>
      <c r="J985" s="473">
        <f t="shared" si="961"/>
        <v>35.469999999999999</v>
      </c>
      <c r="K985" s="474">
        <f t="shared" si="962"/>
        <v>1.0134275580000001</v>
      </c>
      <c r="L985" s="473">
        <f t="shared" si="956"/>
        <v>33.259999999999998</v>
      </c>
      <c r="M985" s="474">
        <f t="shared" si="963"/>
        <v>0.95028476399999995</v>
      </c>
      <c r="O985" s="434">
        <f t="shared" si="946"/>
        <v>35.469999999999999</v>
      </c>
      <c r="P985" s="435">
        <f t="shared" si="947"/>
        <v>33.259999999999998</v>
      </c>
      <c r="AE985" s="217"/>
      <c r="AF985" s="217">
        <v>1110</v>
      </c>
      <c r="AH985">
        <f t="shared" si="945"/>
        <v>1110</v>
      </c>
    </row>
    <row r="986" ht="30" hidden="1">
      <c r="A986" s="217"/>
      <c r="B986" s="217">
        <v>1110</v>
      </c>
      <c r="C986" s="217"/>
      <c r="D986" s="217" t="s">
        <v>17167</v>
      </c>
      <c r="E986" s="468" t="s">
        <v>20409</v>
      </c>
      <c r="F986" s="526">
        <v>93421</v>
      </c>
      <c r="G986" s="525" t="s">
        <v>21060</v>
      </c>
      <c r="H986" s="524" t="s">
        <v>1535</v>
      </c>
      <c r="I986" s="472">
        <v>2.85714e-002</v>
      </c>
      <c r="J986" s="473">
        <f t="shared" si="961"/>
        <v>86.900000000000006</v>
      </c>
      <c r="K986" s="474">
        <f t="shared" si="962"/>
        <v>2.4828546600000001</v>
      </c>
      <c r="L986" s="473">
        <f t="shared" si="956"/>
        <v>86.900000000000006</v>
      </c>
      <c r="M986" s="474">
        <f t="shared" si="963"/>
        <v>2.4828546600000001</v>
      </c>
      <c r="O986" s="434">
        <f t="shared" si="946"/>
        <v>86.900000000000006</v>
      </c>
      <c r="P986" s="435">
        <f t="shared" si="947"/>
        <v>86.900000000000006</v>
      </c>
      <c r="AE986" s="217"/>
      <c r="AF986" s="217">
        <v>1110</v>
      </c>
      <c r="AH986">
        <f t="shared" si="945"/>
        <v>1110</v>
      </c>
    </row>
    <row r="987" ht="60" hidden="1">
      <c r="A987" s="217"/>
      <c r="B987" s="217">
        <v>1110</v>
      </c>
      <c r="C987" s="217"/>
      <c r="D987" s="217" t="s">
        <v>17167</v>
      </c>
      <c r="E987" s="468" t="s">
        <v>20663</v>
      </c>
      <c r="F987" s="526">
        <v>5795</v>
      </c>
      <c r="G987" s="525" t="s">
        <v>21061</v>
      </c>
      <c r="H987" s="524" t="s">
        <v>1535</v>
      </c>
      <c r="I987" s="472">
        <v>5.7142800000000001e-002</v>
      </c>
      <c r="J987" s="473">
        <f t="shared" si="961"/>
        <v>28.030000000000001</v>
      </c>
      <c r="K987" s="474">
        <f t="shared" si="962"/>
        <v>1.601712684</v>
      </c>
      <c r="L987" s="473">
        <f t="shared" si="956"/>
        <v>26.440000000000001</v>
      </c>
      <c r="M987" s="474">
        <f t="shared" si="963"/>
        <v>1.5108556320000002</v>
      </c>
      <c r="O987" s="434">
        <f t="shared" si="946"/>
        <v>28.030000000000001</v>
      </c>
      <c r="P987" s="435">
        <f t="shared" si="947"/>
        <v>26.440000000000001</v>
      </c>
      <c r="AE987" s="217"/>
      <c r="AF987" s="217">
        <v>1110</v>
      </c>
      <c r="AH987">
        <f t="shared" si="945"/>
        <v>1110</v>
      </c>
    </row>
    <row r="988" ht="45" hidden="1">
      <c r="A988" s="217"/>
      <c r="B988" s="217">
        <v>1110</v>
      </c>
      <c r="C988" s="217"/>
      <c r="D988" s="217" t="s">
        <v>17167</v>
      </c>
      <c r="E988" s="468" t="s">
        <v>20665</v>
      </c>
      <c r="F988" s="526">
        <v>88277</v>
      </c>
      <c r="G988" s="525" t="s">
        <v>7341</v>
      </c>
      <c r="H988" s="524" t="s">
        <v>2032</v>
      </c>
      <c r="I988" s="472">
        <v>5.7142800000000001e-002</v>
      </c>
      <c r="J988" s="473">
        <f t="shared" si="961"/>
        <v>28.359999999999999</v>
      </c>
      <c r="K988" s="474">
        <f t="shared" si="962"/>
        <v>1.6205698079999999</v>
      </c>
      <c r="L988" s="473">
        <f t="shared" si="956"/>
        <v>26.640000000000001</v>
      </c>
      <c r="M988" s="474">
        <f t="shared" si="963"/>
        <v>1.5222841920000001</v>
      </c>
      <c r="O988" s="434">
        <f t="shared" si="946"/>
        <v>28.359999999999999</v>
      </c>
      <c r="P988" s="435">
        <f t="shared" si="947"/>
        <v>26.640000000000001</v>
      </c>
      <c r="AE988" s="217"/>
      <c r="AF988" s="217">
        <v>1110</v>
      </c>
      <c r="AH988">
        <f t="shared" si="945"/>
        <v>1110</v>
      </c>
    </row>
    <row r="989" ht="30" hidden="1">
      <c r="A989" s="217"/>
      <c r="B989" s="217">
        <v>1110</v>
      </c>
      <c r="C989" s="217"/>
      <c r="D989" s="217" t="s">
        <v>17167</v>
      </c>
      <c r="E989" s="468" t="s">
        <v>20667</v>
      </c>
      <c r="F989" s="526">
        <v>88316</v>
      </c>
      <c r="G989" s="525" t="s">
        <v>7393</v>
      </c>
      <c r="H989" s="524" t="s">
        <v>2032</v>
      </c>
      <c r="I989" s="472">
        <v>0.1142857</v>
      </c>
      <c r="J989" s="473">
        <f t="shared" si="961"/>
        <v>22.760000000000002</v>
      </c>
      <c r="K989" s="474">
        <f t="shared" si="962"/>
        <v>2.6011425320000003</v>
      </c>
      <c r="L989" s="473">
        <f t="shared" si="956"/>
        <v>21.550000000000001</v>
      </c>
      <c r="M989" s="474">
        <f t="shared" si="963"/>
        <v>2.4628568350000002</v>
      </c>
      <c r="O989" s="434">
        <f t="shared" si="946"/>
        <v>22.760000000000002</v>
      </c>
      <c r="P989" s="435">
        <f t="shared" si="947"/>
        <v>21.550000000000001</v>
      </c>
      <c r="AE989" s="217"/>
      <c r="AF989" s="217">
        <v>1110</v>
      </c>
      <c r="AH989">
        <f t="shared" si="945"/>
        <v>1110</v>
      </c>
    </row>
    <row r="990" ht="30" hidden="1">
      <c r="A990" s="217"/>
      <c r="B990" s="217">
        <v>1110</v>
      </c>
      <c r="C990" s="217"/>
      <c r="D990" s="217" t="s">
        <v>20644</v>
      </c>
      <c r="E990" s="468" t="s">
        <v>20671</v>
      </c>
      <c r="F990" s="524" t="s">
        <v>15478</v>
      </c>
      <c r="G990" s="525" t="s">
        <v>21168</v>
      </c>
      <c r="H990" s="524" t="s">
        <v>31</v>
      </c>
      <c r="I990" s="472">
        <v>1</v>
      </c>
      <c r="J990" s="473">
        <f t="shared" si="961"/>
        <v>62.469999999999999</v>
      </c>
      <c r="K990" s="474">
        <f t="shared" si="962"/>
        <v>62.469999999999999</v>
      </c>
      <c r="L990" s="473">
        <f t="shared" si="956"/>
        <v>62.469999999999999</v>
      </c>
      <c r="M990" s="474">
        <f t="shared" si="963"/>
        <v>62.469999999999999</v>
      </c>
      <c r="O990" s="434">
        <f t="shared" si="946"/>
        <v>62.469999999999999</v>
      </c>
      <c r="P990" s="435">
        <f t="shared" si="947"/>
        <v>62.469999999999999</v>
      </c>
      <c r="AE990" s="217"/>
      <c r="AF990" s="217">
        <v>1110</v>
      </c>
      <c r="AH990">
        <f t="shared" si="945"/>
        <v>1110</v>
      </c>
    </row>
    <row r="991" ht="49.5" hidden="1" customHeight="1">
      <c r="A991" s="217"/>
      <c r="B991" s="217">
        <v>1110</v>
      </c>
      <c r="C991" s="217"/>
      <c r="D991" s="217"/>
      <c r="E991" s="468"/>
      <c r="F991" s="524"/>
      <c r="G991" s="488" t="s">
        <v>21169</v>
      </c>
      <c r="H991" s="524"/>
      <c r="I991" s="527"/>
      <c r="J991" s="529"/>
      <c r="K991" s="528"/>
      <c r="L991" s="529"/>
      <c r="M991" s="528"/>
      <c r="O991" s="434" t="str">
        <f t="shared" si="946"/>
        <v xml:space="preserve">SEM VALOR</v>
      </c>
      <c r="P991" s="435" t="str">
        <f t="shared" si="947"/>
        <v xml:space="preserve">SEM VALOR</v>
      </c>
      <c r="AE991" s="217"/>
      <c r="AF991" s="217">
        <v>1110</v>
      </c>
      <c r="AH991">
        <f t="shared" si="945"/>
        <v>1110</v>
      </c>
    </row>
    <row r="992" ht="22.5" hidden="1" customHeight="1">
      <c r="A992" s="217"/>
      <c r="B992" s="217">
        <v>1110</v>
      </c>
      <c r="C992" s="217"/>
      <c r="D992" s="217"/>
      <c r="E992" s="468"/>
      <c r="F992" s="524"/>
      <c r="G992" s="488" t="s">
        <v>21170</v>
      </c>
      <c r="H992" s="524"/>
      <c r="I992" s="527"/>
      <c r="J992" s="529"/>
      <c r="K992" s="528"/>
      <c r="L992" s="529"/>
      <c r="M992" s="528"/>
      <c r="O992" s="434" t="str">
        <f t="shared" si="946"/>
        <v xml:space="preserve">SEM VALOR</v>
      </c>
      <c r="P992" s="435" t="str">
        <f t="shared" si="947"/>
        <v xml:space="preserve">SEM VALOR</v>
      </c>
      <c r="AE992" s="217"/>
      <c r="AF992" s="217">
        <v>1110</v>
      </c>
      <c r="AH992">
        <f t="shared" si="945"/>
        <v>1110</v>
      </c>
    </row>
    <row r="993" ht="63" hidden="1">
      <c r="A993" s="460">
        <v>1111</v>
      </c>
      <c r="B993" s="460">
        <v>1111</v>
      </c>
      <c r="C993" s="460"/>
      <c r="D993" s="460"/>
      <c r="E993" s="461">
        <v>1</v>
      </c>
      <c r="F993" s="462" t="s">
        <v>21171</v>
      </c>
      <c r="G993" s="505" t="s">
        <v>21172</v>
      </c>
      <c r="H993" s="464" t="s">
        <v>20647</v>
      </c>
      <c r="I993" s="479"/>
      <c r="J993" s="480"/>
      <c r="K993" s="466">
        <f>SUM(K994:K1001)</f>
        <v>44.757129268</v>
      </c>
      <c r="L993" s="480"/>
      <c r="M993" s="466">
        <f>SUM(M994:M1001)</f>
        <v>44.320843869000001</v>
      </c>
      <c r="O993" s="434" t="str">
        <f t="shared" si="946"/>
        <v xml:space="preserve">SEM VALOR</v>
      </c>
      <c r="P993" s="435" t="str">
        <f t="shared" si="947"/>
        <v xml:space="preserve">SEM VALOR</v>
      </c>
      <c r="AE993" s="460">
        <v>1111</v>
      </c>
      <c r="AF993" s="460">
        <v>1111</v>
      </c>
      <c r="AH993">
        <f t="shared" ref="AH993:AH1030" si="964">IF(AF993:AF994=FALSE,AE993,AF993)</f>
        <v>1111</v>
      </c>
    </row>
    <row r="994" ht="45" hidden="1">
      <c r="A994" s="217"/>
      <c r="B994" s="217">
        <v>1111</v>
      </c>
      <c r="C994" s="217"/>
      <c r="D994" s="217" t="s">
        <v>17167</v>
      </c>
      <c r="E994" s="468" t="s">
        <v>20399</v>
      </c>
      <c r="F994" s="526">
        <v>5894</v>
      </c>
      <c r="G994" s="525" t="s">
        <v>21058</v>
      </c>
      <c r="H994" s="524" t="s">
        <v>1535</v>
      </c>
      <c r="I994" s="472">
        <v>2.85714e-002</v>
      </c>
      <c r="J994" s="473">
        <f t="shared" si="961"/>
        <v>229.09</v>
      </c>
      <c r="K994" s="474">
        <f t="shared" ref="K994:K1001" si="965">I994*J994</f>
        <v>6.5454220259999998</v>
      </c>
      <c r="L994" s="473">
        <f t="shared" si="956"/>
        <v>227.49000000000001</v>
      </c>
      <c r="M994" s="474">
        <f t="shared" ref="M994:M1001" si="966">L994*I994</f>
        <v>6.4997077860000001</v>
      </c>
      <c r="O994" s="434">
        <f t="shared" si="946"/>
        <v>229.09</v>
      </c>
      <c r="P994" s="435">
        <f t="shared" si="947"/>
        <v>227.49000000000001</v>
      </c>
      <c r="AE994" s="217"/>
      <c r="AF994" s="217">
        <v>1111</v>
      </c>
      <c r="AH994">
        <f t="shared" si="964"/>
        <v>1111</v>
      </c>
    </row>
    <row r="995" ht="30" hidden="1">
      <c r="A995" s="217"/>
      <c r="B995" s="217">
        <v>1111</v>
      </c>
      <c r="C995" s="217"/>
      <c r="D995" s="217" t="s">
        <v>20644</v>
      </c>
      <c r="E995" s="468" t="s">
        <v>20402</v>
      </c>
      <c r="F995" s="524" t="s">
        <v>15476</v>
      </c>
      <c r="G995" s="525" t="s">
        <v>21059</v>
      </c>
      <c r="H995" s="524" t="s">
        <v>302</v>
      </c>
      <c r="I995" s="472">
        <v>0.20000000000000001</v>
      </c>
      <c r="J995" s="473">
        <f t="shared" si="961"/>
        <v>28.91</v>
      </c>
      <c r="K995" s="474">
        <f t="shared" si="965"/>
        <v>5.782</v>
      </c>
      <c r="L995" s="473">
        <f t="shared" si="956"/>
        <v>28.91</v>
      </c>
      <c r="M995" s="474">
        <f t="shared" si="966"/>
        <v>5.782</v>
      </c>
      <c r="O995" s="434">
        <f t="shared" si="946"/>
        <v>28.91</v>
      </c>
      <c r="P995" s="435">
        <f t="shared" si="947"/>
        <v>28.91</v>
      </c>
      <c r="AE995" s="217"/>
      <c r="AF995" s="217">
        <v>1111</v>
      </c>
      <c r="AH995">
        <f t="shared" si="964"/>
        <v>1111</v>
      </c>
    </row>
    <row r="996" ht="30" hidden="1">
      <c r="A996" s="217"/>
      <c r="B996" s="217">
        <v>1111</v>
      </c>
      <c r="C996" s="217"/>
      <c r="D996" s="217" t="s">
        <v>17167</v>
      </c>
      <c r="E996" s="468" t="s">
        <v>20405</v>
      </c>
      <c r="F996" s="526">
        <v>90776</v>
      </c>
      <c r="G996" s="525" t="s">
        <v>7322</v>
      </c>
      <c r="H996" s="524" t="s">
        <v>2032</v>
      </c>
      <c r="I996" s="472">
        <v>2.85714e-002</v>
      </c>
      <c r="J996" s="473">
        <f t="shared" si="961"/>
        <v>35.469999999999999</v>
      </c>
      <c r="K996" s="474">
        <f t="shared" si="965"/>
        <v>1.0134275580000001</v>
      </c>
      <c r="L996" s="473">
        <f t="shared" si="956"/>
        <v>33.259999999999998</v>
      </c>
      <c r="M996" s="474">
        <f t="shared" si="966"/>
        <v>0.95028476399999995</v>
      </c>
      <c r="O996" s="434">
        <f t="shared" ref="O996:O1003" si="967">IFERROR(IF(D996="SINAPI",VLOOKUP(F996,SINCOMOD,4,FALSE),IF(D996="INSINAPI",VLOOKUP(F996,INSINOD,5,FALSE),IF(D996="SICRO",VLOOKUP(F996,SICRO,5,FALSE),IF(D996="COTACAO",VLOOKUP(F996,COTACAO,6,FALSE),IF(D996="PRÓPRIO",VLOOKUP(F996,COMPOD,11,FALSE),IF(D996="AGESUL",VLOOKUP(F996,AGESULOD,6,FALSE),IF(D996="INSAGESUL",VLOOKUP(F996,INSAGESUL,7,FALSE),"SEM VALOR"))))))),"SEM VALOR")</f>
        <v>35.469999999999999</v>
      </c>
      <c r="P996" s="435">
        <f t="shared" ref="P996:P1003" si="968">IFERROR(IF(D996="SINAPI",VLOOKUP(F996,SINCOMOD,6,FALSE),IF(D996="INSINAPI",VLOOKUP(F996,INSINOD,6,FALSE),IF(D996="SICRO",VLOOKUP(F996,SICRO,5,FALSE),IF(D996="COTACAO",VLOOKUP(F996,COTACAO,6,FALSE),IF(D996="PRÓPRIO",VLOOKUP(F996,COMPOD,13,FALSE),IF(D996="AGESUL",VLOOKUP(F996,AGESULOD,11,FALSE),IF(D996="INSAGESUL",VLOOKUP(F996,INSAGESUL,8,FALSE),"SEM VALOR"))))))),"SEM VALOR")</f>
        <v>33.259999999999998</v>
      </c>
      <c r="AE996" s="217"/>
      <c r="AF996" s="217">
        <v>1111</v>
      </c>
      <c r="AH996">
        <f t="shared" si="964"/>
        <v>1111</v>
      </c>
    </row>
    <row r="997" ht="30" hidden="1">
      <c r="A997" s="217"/>
      <c r="B997" s="217">
        <v>1111</v>
      </c>
      <c r="C997" s="217"/>
      <c r="D997" s="217" t="s">
        <v>17167</v>
      </c>
      <c r="E997" s="468" t="s">
        <v>20409</v>
      </c>
      <c r="F997" s="526">
        <v>93421</v>
      </c>
      <c r="G997" s="525" t="s">
        <v>21060</v>
      </c>
      <c r="H997" s="524" t="s">
        <v>1535</v>
      </c>
      <c r="I997" s="472">
        <v>2.85714e-002</v>
      </c>
      <c r="J997" s="473">
        <f t="shared" si="961"/>
        <v>86.900000000000006</v>
      </c>
      <c r="K997" s="474">
        <f t="shared" si="965"/>
        <v>2.4828546600000001</v>
      </c>
      <c r="L997" s="473">
        <f t="shared" si="956"/>
        <v>86.900000000000006</v>
      </c>
      <c r="M997" s="474">
        <f t="shared" si="966"/>
        <v>2.4828546600000001</v>
      </c>
      <c r="O997" s="434">
        <f t="shared" si="967"/>
        <v>86.900000000000006</v>
      </c>
      <c r="P997" s="435">
        <f t="shared" si="968"/>
        <v>86.900000000000006</v>
      </c>
      <c r="AE997" s="217"/>
      <c r="AF997" s="217">
        <v>1111</v>
      </c>
      <c r="AH997">
        <f t="shared" si="964"/>
        <v>1111</v>
      </c>
    </row>
    <row r="998" ht="60" hidden="1">
      <c r="A998" s="217"/>
      <c r="B998" s="217">
        <v>1111</v>
      </c>
      <c r="C998" s="217"/>
      <c r="D998" s="217" t="s">
        <v>17167</v>
      </c>
      <c r="E998" s="468" t="s">
        <v>20663</v>
      </c>
      <c r="F998" s="526">
        <v>5795</v>
      </c>
      <c r="G998" s="525" t="s">
        <v>21061</v>
      </c>
      <c r="H998" s="524" t="s">
        <v>1535</v>
      </c>
      <c r="I998" s="472">
        <v>5.7142800000000001e-002</v>
      </c>
      <c r="J998" s="473">
        <f t="shared" si="961"/>
        <v>28.030000000000001</v>
      </c>
      <c r="K998" s="474">
        <f t="shared" si="965"/>
        <v>1.601712684</v>
      </c>
      <c r="L998" s="473">
        <f t="shared" si="956"/>
        <v>26.440000000000001</v>
      </c>
      <c r="M998" s="474">
        <f t="shared" si="966"/>
        <v>1.5108556320000002</v>
      </c>
      <c r="O998" s="434">
        <f t="shared" si="967"/>
        <v>28.030000000000001</v>
      </c>
      <c r="P998" s="435">
        <f t="shared" si="968"/>
        <v>26.440000000000001</v>
      </c>
      <c r="AE998" s="217"/>
      <c r="AF998" s="217">
        <v>1111</v>
      </c>
      <c r="AH998">
        <f t="shared" si="964"/>
        <v>1111</v>
      </c>
    </row>
    <row r="999" ht="45" hidden="1">
      <c r="A999" s="217"/>
      <c r="B999" s="217">
        <v>1111</v>
      </c>
      <c r="C999" s="217"/>
      <c r="D999" s="217" t="s">
        <v>17167</v>
      </c>
      <c r="E999" s="468" t="s">
        <v>20665</v>
      </c>
      <c r="F999" s="526">
        <v>88277</v>
      </c>
      <c r="G999" s="525" t="s">
        <v>7341</v>
      </c>
      <c r="H999" s="524" t="s">
        <v>2032</v>
      </c>
      <c r="I999" s="472">
        <v>5.7142800000000001e-002</v>
      </c>
      <c r="J999" s="473">
        <f t="shared" si="961"/>
        <v>28.359999999999999</v>
      </c>
      <c r="K999" s="474">
        <f t="shared" si="965"/>
        <v>1.6205698079999999</v>
      </c>
      <c r="L999" s="473">
        <f t="shared" si="956"/>
        <v>26.640000000000001</v>
      </c>
      <c r="M999" s="474">
        <f t="shared" si="966"/>
        <v>1.5222841920000001</v>
      </c>
      <c r="O999" s="434">
        <f t="shared" si="967"/>
        <v>28.359999999999999</v>
      </c>
      <c r="P999" s="435">
        <f t="shared" si="968"/>
        <v>26.640000000000001</v>
      </c>
      <c r="AE999" s="217"/>
      <c r="AF999" s="217">
        <v>1111</v>
      </c>
      <c r="AH999">
        <f t="shared" si="964"/>
        <v>1111</v>
      </c>
    </row>
    <row r="1000" ht="30" hidden="1">
      <c r="A1000" s="217"/>
      <c r="B1000" s="217">
        <v>1111</v>
      </c>
      <c r="C1000" s="217"/>
      <c r="D1000" s="217" t="s">
        <v>17167</v>
      </c>
      <c r="E1000" s="468" t="s">
        <v>20667</v>
      </c>
      <c r="F1000" s="526">
        <v>88316</v>
      </c>
      <c r="G1000" s="525" t="s">
        <v>7393</v>
      </c>
      <c r="H1000" s="524" t="s">
        <v>2032</v>
      </c>
      <c r="I1000" s="472">
        <v>0.1142857</v>
      </c>
      <c r="J1000" s="473">
        <f t="shared" si="961"/>
        <v>22.760000000000002</v>
      </c>
      <c r="K1000" s="474">
        <f t="shared" si="965"/>
        <v>2.6011425320000003</v>
      </c>
      <c r="L1000" s="473">
        <f t="shared" si="956"/>
        <v>21.550000000000001</v>
      </c>
      <c r="M1000" s="474">
        <f t="shared" si="966"/>
        <v>2.4628568350000002</v>
      </c>
      <c r="O1000" s="434">
        <f t="shared" si="967"/>
        <v>22.760000000000002</v>
      </c>
      <c r="P1000" s="435">
        <f t="shared" si="968"/>
        <v>21.550000000000001</v>
      </c>
      <c r="AE1000" s="217"/>
      <c r="AF1000" s="217">
        <v>1111</v>
      </c>
      <c r="AH1000">
        <f t="shared" si="964"/>
        <v>1111</v>
      </c>
    </row>
    <row r="1001" ht="45" hidden="1">
      <c r="A1001" s="217"/>
      <c r="B1001" s="217">
        <v>1111</v>
      </c>
      <c r="C1001" s="217"/>
      <c r="D1001" s="217" t="s">
        <v>20644</v>
      </c>
      <c r="E1001" s="468" t="s">
        <v>20671</v>
      </c>
      <c r="F1001" s="526" t="s">
        <v>15482</v>
      </c>
      <c r="G1001" s="525" t="s">
        <v>21173</v>
      </c>
      <c r="H1001" s="524" t="s">
        <v>31</v>
      </c>
      <c r="I1001" s="472">
        <v>1</v>
      </c>
      <c r="J1001" s="473">
        <f t="shared" si="961"/>
        <v>23.109999999999999</v>
      </c>
      <c r="K1001" s="474">
        <f t="shared" si="965"/>
        <v>23.109999999999999</v>
      </c>
      <c r="L1001" s="473">
        <f t="shared" si="956"/>
        <v>23.109999999999999</v>
      </c>
      <c r="M1001" s="474">
        <f t="shared" si="966"/>
        <v>23.109999999999999</v>
      </c>
      <c r="O1001" s="434">
        <f t="shared" si="967"/>
        <v>23.109999999999999</v>
      </c>
      <c r="P1001" s="435">
        <f t="shared" si="968"/>
        <v>23.109999999999999</v>
      </c>
      <c r="AE1001" s="217"/>
      <c r="AF1001" s="217">
        <v>1111</v>
      </c>
      <c r="AH1001">
        <f t="shared" si="964"/>
        <v>1111</v>
      </c>
    </row>
    <row r="1002" ht="49.5" hidden="1" customHeight="1">
      <c r="A1002" s="217"/>
      <c r="B1002" s="217">
        <v>1111</v>
      </c>
      <c r="C1002" s="217"/>
      <c r="D1002" s="217"/>
      <c r="E1002" s="217"/>
      <c r="F1002" s="217"/>
      <c r="G1002" s="488" t="s">
        <v>21174</v>
      </c>
      <c r="H1002" s="217"/>
      <c r="I1002" s="217"/>
      <c r="J1002" s="217"/>
      <c r="K1002" s="217"/>
      <c r="L1002" s="217"/>
      <c r="M1002" s="217"/>
      <c r="O1002" s="434" t="str">
        <f t="shared" si="967"/>
        <v xml:space="preserve">SEM VALOR</v>
      </c>
      <c r="P1002" s="435" t="str">
        <f t="shared" si="968"/>
        <v xml:space="preserve">SEM VALOR</v>
      </c>
      <c r="AE1002" s="217"/>
      <c r="AF1002" s="217">
        <v>1111</v>
      </c>
      <c r="AH1002">
        <f t="shared" si="964"/>
        <v>1111</v>
      </c>
    </row>
    <row r="1003" ht="21.75" hidden="1" customHeight="1">
      <c r="A1003" s="217"/>
      <c r="B1003" s="217">
        <v>1111</v>
      </c>
      <c r="C1003" s="217"/>
      <c r="D1003" s="217"/>
      <c r="E1003" s="217"/>
      <c r="F1003" s="217"/>
      <c r="G1003" s="488" t="s">
        <v>21064</v>
      </c>
      <c r="H1003" s="217"/>
      <c r="I1003" s="217"/>
      <c r="J1003" s="217"/>
      <c r="K1003" s="217"/>
      <c r="L1003" s="217"/>
      <c r="M1003" s="217"/>
      <c r="O1003" s="434" t="str">
        <f t="shared" si="967"/>
        <v xml:space="preserve">SEM VALOR</v>
      </c>
      <c r="P1003" s="435" t="str">
        <f t="shared" si="968"/>
        <v xml:space="preserve">SEM VALOR</v>
      </c>
      <c r="AE1003" s="217"/>
      <c r="AF1003" s="217">
        <v>1111</v>
      </c>
      <c r="AH1003">
        <f t="shared" si="964"/>
        <v>1111</v>
      </c>
    </row>
    <row r="1004" ht="47.25" hidden="1">
      <c r="A1004" s="460">
        <v>1112</v>
      </c>
      <c r="B1004" s="460">
        <v>1112</v>
      </c>
      <c r="C1004" s="460"/>
      <c r="D1004" s="460"/>
      <c r="E1004" s="461">
        <v>1</v>
      </c>
      <c r="F1004" s="462" t="s">
        <v>21175</v>
      </c>
      <c r="G1004" s="477" t="s">
        <v>21176</v>
      </c>
      <c r="H1004" s="478" t="s">
        <v>15528</v>
      </c>
      <c r="I1004" s="479"/>
      <c r="J1004" s="480"/>
      <c r="K1004" s="466">
        <f>SUM(K1005:K1007)</f>
        <v>257.97250000000003</v>
      </c>
      <c r="L1004" s="480"/>
      <c r="M1004" s="466">
        <f>SUM(M1005:M1007)</f>
        <v>250.56999999999999</v>
      </c>
      <c r="N1004" s="467" t="s">
        <v>21177</v>
      </c>
      <c r="O1004" s="434" t="str">
        <f t="shared" ref="O1004:O1067" si="969">IFERROR(IF(D1004="SINAPI",VLOOKUP(F1004,SINCOMOD,4,FALSE),IF(D1004="INSINAPI",VLOOKUP(F1004,INSINOD,5,FALSE),IF(D1004="SICRO",VLOOKUP(F1004,SICRO,5,FALSE),IF(D1004="COTACAO",VLOOKUP(F1004,COTACAO,6,FALSE),IF(D1004="PRÓPRIO",VLOOKUP(F1004,COMPOD,11,FALSE),IF(D1004="AGESUL",VLOOKUP(F1004,AGESULOD,6,FALSE),IF(D1004="INSAGESUL",VLOOKUP(F1004,INSAGESUL,7,FALSE),"SEM VALOR"))))))),"SEM VALOR")</f>
        <v xml:space="preserve">SEM VALOR</v>
      </c>
      <c r="P1004" s="435" t="str">
        <f t="shared" ref="P1004:P1067" si="970">IFERROR(IF(D1004="SINAPI",VLOOKUP(F1004,SINCOMOD,6,FALSE),IF(D1004="INSINAPI",VLOOKUP(F1004,INSINOD,6,FALSE),IF(D1004="SICRO",VLOOKUP(F1004,SICRO,5,FALSE),IF(D1004="COTACAO",VLOOKUP(F1004,COTACAO,6,FALSE),IF(D1004="PRÓPRIO",VLOOKUP(F1004,COMPOD,13,FALSE),IF(D1004="AGESUL",VLOOKUP(F1004,AGESULOD,11,FALSE),IF(D1004="INSAGESUL",VLOOKUP(F1004,INSAGESUL,8,FALSE),"SEM VALOR"))))))),"SEM VALOR")</f>
        <v xml:space="preserve">SEM VALOR</v>
      </c>
      <c r="AE1004" s="460">
        <v>1112</v>
      </c>
      <c r="AF1004" s="460"/>
      <c r="AH1004">
        <f t="shared" si="964"/>
        <v>1112</v>
      </c>
    </row>
    <row r="1005" ht="105" hidden="1">
      <c r="A1005" s="217"/>
      <c r="B1005" s="217">
        <v>1112</v>
      </c>
      <c r="C1005" s="217"/>
      <c r="D1005" s="217" t="s">
        <v>17167</v>
      </c>
      <c r="E1005" s="471" t="s">
        <v>20399</v>
      </c>
      <c r="F1005" s="526">
        <v>73467</v>
      </c>
      <c r="G1005" s="525" t="s">
        <v>21178</v>
      </c>
      <c r="H1005" s="524" t="s">
        <v>1535</v>
      </c>
      <c r="I1005" s="472">
        <v>0.5</v>
      </c>
      <c r="J1005" s="473">
        <f t="shared" ref="J1005:J1031" si="971">O1005*$J$3</f>
        <v>270.61000000000001</v>
      </c>
      <c r="K1005" s="474">
        <f t="shared" ref="K1005:K1007" si="972">I1005*J1005</f>
        <v>135.30500000000001</v>
      </c>
      <c r="L1005" s="473">
        <f t="shared" ref="L1005:L1068" si="973">P1005*$L$3</f>
        <v>269.00999999999999</v>
      </c>
      <c r="M1005" s="474">
        <f t="shared" ref="M1005:M1007" si="974">L1005*I1005</f>
        <v>134.505</v>
      </c>
      <c r="O1005" s="434">
        <f t="shared" si="969"/>
        <v>270.61000000000001</v>
      </c>
      <c r="P1005" s="435">
        <f t="shared" si="970"/>
        <v>269.00999999999999</v>
      </c>
      <c r="AE1005" s="217"/>
      <c r="AF1005" s="217">
        <v>1112</v>
      </c>
      <c r="AH1005">
        <f t="shared" si="964"/>
        <v>1112</v>
      </c>
    </row>
    <row r="1006" ht="30" hidden="1">
      <c r="A1006" s="217"/>
      <c r="B1006" s="217">
        <v>1112</v>
      </c>
      <c r="C1006" s="217"/>
      <c r="D1006" s="217" t="s">
        <v>17167</v>
      </c>
      <c r="E1006" s="471" t="s">
        <v>20402</v>
      </c>
      <c r="F1006" s="526">
        <v>90776</v>
      </c>
      <c r="G1006" s="525" t="s">
        <v>7322</v>
      </c>
      <c r="H1006" s="524" t="s">
        <v>2032</v>
      </c>
      <c r="I1006" s="472">
        <v>0.25</v>
      </c>
      <c r="J1006" s="473">
        <f t="shared" si="971"/>
        <v>35.469999999999999</v>
      </c>
      <c r="K1006" s="474">
        <f t="shared" si="972"/>
        <v>8.8674999999999997</v>
      </c>
      <c r="L1006" s="473">
        <f t="shared" si="973"/>
        <v>33.259999999999998</v>
      </c>
      <c r="M1006" s="474">
        <f t="shared" si="974"/>
        <v>8.3149999999999995</v>
      </c>
      <c r="O1006" s="434">
        <f t="shared" si="969"/>
        <v>35.469999999999999</v>
      </c>
      <c r="P1006" s="435">
        <f t="shared" si="970"/>
        <v>33.259999999999998</v>
      </c>
      <c r="AE1006" s="217"/>
      <c r="AF1006" s="217">
        <v>1112</v>
      </c>
      <c r="AH1006">
        <f t="shared" si="964"/>
        <v>1112</v>
      </c>
    </row>
    <row r="1007" ht="30" hidden="1">
      <c r="A1007" s="217"/>
      <c r="B1007" s="217">
        <v>1112</v>
      </c>
      <c r="C1007" s="217"/>
      <c r="D1007" s="217" t="s">
        <v>17167</v>
      </c>
      <c r="E1007" s="471" t="s">
        <v>20405</v>
      </c>
      <c r="F1007" s="526">
        <v>88316</v>
      </c>
      <c r="G1007" s="525" t="s">
        <v>7393</v>
      </c>
      <c r="H1007" s="524" t="s">
        <v>2032</v>
      </c>
      <c r="I1007" s="472">
        <v>5</v>
      </c>
      <c r="J1007" s="473">
        <f t="shared" si="971"/>
        <v>22.760000000000002</v>
      </c>
      <c r="K1007" s="474">
        <f t="shared" si="972"/>
        <v>113.80000000000001</v>
      </c>
      <c r="L1007" s="473">
        <f t="shared" si="973"/>
        <v>21.550000000000001</v>
      </c>
      <c r="M1007" s="474">
        <f t="shared" si="974"/>
        <v>107.75</v>
      </c>
      <c r="O1007" s="434">
        <f t="shared" si="969"/>
        <v>22.760000000000002</v>
      </c>
      <c r="P1007" s="435">
        <f t="shared" si="970"/>
        <v>21.550000000000001</v>
      </c>
      <c r="AE1007" s="217"/>
      <c r="AF1007" s="217">
        <v>1112</v>
      </c>
      <c r="AH1007">
        <f t="shared" si="964"/>
        <v>1112</v>
      </c>
    </row>
    <row r="1008" ht="114" hidden="1" customHeight="1">
      <c r="A1008" s="460">
        <v>1113</v>
      </c>
      <c r="B1008" s="460">
        <v>1113</v>
      </c>
      <c r="C1008" s="460"/>
      <c r="D1008" s="460"/>
      <c r="E1008" s="461">
        <v>1</v>
      </c>
      <c r="F1008" s="462" t="s">
        <v>21179</v>
      </c>
      <c r="G1008" s="477" t="s">
        <v>21180</v>
      </c>
      <c r="H1008" s="478" t="s">
        <v>20647</v>
      </c>
      <c r="I1008" s="479"/>
      <c r="J1008" s="480"/>
      <c r="K1008" s="466">
        <f>SUM(K1009:K1024)</f>
        <v>3399.8963119999999</v>
      </c>
      <c r="L1008" s="480"/>
      <c r="M1008" s="466">
        <f>SUM(M1009:M1024)</f>
        <v>4394.537112</v>
      </c>
      <c r="O1008" s="434" t="str">
        <f t="shared" si="969"/>
        <v xml:space="preserve">SEM VALOR</v>
      </c>
      <c r="P1008" s="435" t="str">
        <f t="shared" si="970"/>
        <v xml:space="preserve">SEM VALOR</v>
      </c>
      <c r="AE1008" s="460">
        <v>1113</v>
      </c>
      <c r="AF1008" s="460"/>
      <c r="AH1008">
        <f t="shared" si="964"/>
        <v>1113</v>
      </c>
    </row>
    <row r="1009" ht="45" hidden="1">
      <c r="A1009" s="217"/>
      <c r="B1009" s="217">
        <v>1113</v>
      </c>
      <c r="C1009" s="217"/>
      <c r="D1009" s="217" t="s">
        <v>20398</v>
      </c>
      <c r="E1009" s="471" t="s">
        <v>20399</v>
      </c>
      <c r="F1009" s="486">
        <v>1259</v>
      </c>
      <c r="G1009" s="470" t="s">
        <v>20796</v>
      </c>
      <c r="H1009" s="471" t="s">
        <v>15528</v>
      </c>
      <c r="I1009" s="483">
        <v>0.59999999999999998</v>
      </c>
      <c r="J1009" s="473">
        <f t="shared" si="971"/>
        <v>45.520000000000003</v>
      </c>
      <c r="K1009" s="474">
        <f t="shared" ref="K1009:K1024" si="975">I1009*J1009</f>
        <v>27.312000000000001</v>
      </c>
      <c r="L1009" s="473">
        <f t="shared" si="973"/>
        <v>43.100000000000001</v>
      </c>
      <c r="M1009" s="474">
        <f t="shared" ref="M1009:M1024" si="976">L1009*I1009</f>
        <v>25.859999999999999</v>
      </c>
      <c r="O1009" s="434">
        <f t="shared" si="969"/>
        <v>45.520000000000003</v>
      </c>
      <c r="P1009" s="435">
        <f t="shared" si="970"/>
        <v>43.100000000000001</v>
      </c>
      <c r="AE1009" s="217"/>
      <c r="AF1009" s="217">
        <v>1113</v>
      </c>
      <c r="AH1009">
        <f t="shared" si="964"/>
        <v>1113</v>
      </c>
    </row>
    <row r="1010" ht="60" hidden="1">
      <c r="A1010" s="217"/>
      <c r="B1010" s="217">
        <v>1113</v>
      </c>
      <c r="C1010" s="217"/>
      <c r="D1010" s="217" t="s">
        <v>20398</v>
      </c>
      <c r="E1010" s="471" t="s">
        <v>20402</v>
      </c>
      <c r="F1010" s="486">
        <v>1241</v>
      </c>
      <c r="G1010" s="470" t="s">
        <v>21181</v>
      </c>
      <c r="H1010" s="471" t="s">
        <v>15528</v>
      </c>
      <c r="I1010" s="509">
        <v>0.59999999999999998</v>
      </c>
      <c r="J1010" s="473">
        <f t="shared" si="971"/>
        <v>453.00401999999997</v>
      </c>
      <c r="K1010" s="474">
        <f t="shared" si="975"/>
        <v>271.80241199999995</v>
      </c>
      <c r="L1010" s="473">
        <f t="shared" si="973"/>
        <v>445.74401999999998</v>
      </c>
      <c r="M1010" s="474">
        <f t="shared" si="976"/>
        <v>267.44641199999995</v>
      </c>
      <c r="O1010" s="434">
        <f t="shared" si="969"/>
        <v>453.00401999999997</v>
      </c>
      <c r="P1010" s="435">
        <f t="shared" si="970"/>
        <v>445.74401999999998</v>
      </c>
      <c r="AE1010" s="217"/>
      <c r="AF1010" s="217">
        <v>1113</v>
      </c>
      <c r="AH1010">
        <f t="shared" si="964"/>
        <v>1113</v>
      </c>
    </row>
    <row r="1011" ht="60" hidden="1">
      <c r="A1011" s="217"/>
      <c r="B1011" s="217">
        <v>1113</v>
      </c>
      <c r="C1011" s="217"/>
      <c r="D1011" s="217" t="s">
        <v>17167</v>
      </c>
      <c r="E1011" s="471" t="s">
        <v>20405</v>
      </c>
      <c r="F1011" s="486">
        <v>103670</v>
      </c>
      <c r="G1011" s="470" t="s">
        <v>1387</v>
      </c>
      <c r="H1011" s="471" t="s">
        <v>15528</v>
      </c>
      <c r="I1011" s="509">
        <f>I1010</f>
        <v>0.59999999999999998</v>
      </c>
      <c r="J1011" s="473">
        <f t="shared" si="971"/>
        <v>308.60000000000002</v>
      </c>
      <c r="K1011" s="474">
        <f t="shared" si="975"/>
        <v>185.16</v>
      </c>
      <c r="L1011" s="473">
        <f t="shared" si="973"/>
        <v>291.69999999999999</v>
      </c>
      <c r="M1011" s="474">
        <f t="shared" si="976"/>
        <v>175.01999999999998</v>
      </c>
      <c r="O1011" s="434">
        <f t="shared" si="969"/>
        <v>308.60000000000002</v>
      </c>
      <c r="P1011" s="435">
        <f t="shared" si="970"/>
        <v>291.69999999999999</v>
      </c>
      <c r="AE1011" s="217"/>
      <c r="AF1011" s="217">
        <v>1113</v>
      </c>
      <c r="AH1011">
        <f t="shared" si="964"/>
        <v>1113</v>
      </c>
    </row>
    <row r="1012" ht="45" hidden="1">
      <c r="A1012" s="217"/>
      <c r="B1012" s="217">
        <v>1113</v>
      </c>
      <c r="C1012" s="217"/>
      <c r="D1012" s="217" t="s">
        <v>17167</v>
      </c>
      <c r="E1012" s="471" t="s">
        <v>20409</v>
      </c>
      <c r="F1012" s="486">
        <v>96545</v>
      </c>
      <c r="G1012" s="470" t="s">
        <v>20678</v>
      </c>
      <c r="H1012" s="471" t="s">
        <v>302</v>
      </c>
      <c r="I1012" s="509">
        <v>10.15</v>
      </c>
      <c r="J1012" s="473">
        <f t="shared" si="971"/>
        <v>15.82</v>
      </c>
      <c r="K1012" s="474">
        <f t="shared" si="975"/>
        <v>160.57300000000001</v>
      </c>
      <c r="L1012" s="473">
        <f t="shared" si="973"/>
        <v>15.48</v>
      </c>
      <c r="M1012" s="474">
        <f t="shared" si="976"/>
        <v>157.12200000000001</v>
      </c>
      <c r="O1012" s="434">
        <f t="shared" si="969"/>
        <v>15.82</v>
      </c>
      <c r="P1012" s="435">
        <f t="shared" si="970"/>
        <v>15.48</v>
      </c>
      <c r="AE1012" s="217"/>
      <c r="AF1012" s="217">
        <v>1113</v>
      </c>
      <c r="AH1012">
        <f t="shared" si="964"/>
        <v>1113</v>
      </c>
    </row>
    <row r="1013" ht="45" hidden="1">
      <c r="A1013" s="217"/>
      <c r="B1013" s="217">
        <v>1113</v>
      </c>
      <c r="C1013" s="217"/>
      <c r="D1013" s="217" t="s">
        <v>17167</v>
      </c>
      <c r="E1013" s="471" t="s">
        <v>20663</v>
      </c>
      <c r="F1013" s="486">
        <v>96546</v>
      </c>
      <c r="G1013" s="470" t="s">
        <v>21133</v>
      </c>
      <c r="H1013" s="471" t="s">
        <v>302</v>
      </c>
      <c r="I1013" s="509">
        <v>4.46</v>
      </c>
      <c r="J1013" s="473">
        <f t="shared" si="971"/>
        <v>13.77</v>
      </c>
      <c r="K1013" s="474">
        <f t="shared" si="975"/>
        <v>61.414200000000001</v>
      </c>
      <c r="L1013" s="473">
        <f t="shared" si="973"/>
        <v>13.51</v>
      </c>
      <c r="M1013" s="474">
        <f t="shared" si="976"/>
        <v>60.254599999999996</v>
      </c>
      <c r="O1013" s="434">
        <f t="shared" si="969"/>
        <v>13.77</v>
      </c>
      <c r="P1013" s="435">
        <f t="shared" si="970"/>
        <v>13.51</v>
      </c>
      <c r="AE1013" s="217"/>
      <c r="AF1013" s="217">
        <v>1113</v>
      </c>
      <c r="AH1013">
        <f t="shared" si="964"/>
        <v>1113</v>
      </c>
    </row>
    <row r="1014" ht="30" hidden="1">
      <c r="A1014" s="217"/>
      <c r="B1014" s="217">
        <v>1113</v>
      </c>
      <c r="C1014" s="217"/>
      <c r="D1014" s="217" t="s">
        <v>20408</v>
      </c>
      <c r="E1014" s="471" t="s">
        <v>20665</v>
      </c>
      <c r="F1014" s="486">
        <v>43082</v>
      </c>
      <c r="G1014" s="470" t="s">
        <v>21182</v>
      </c>
      <c r="H1014" s="471" t="s">
        <v>302</v>
      </c>
      <c r="I1014" s="509">
        <f>102.7+16.9</f>
        <v>119.59999999999999</v>
      </c>
      <c r="J1014" s="473">
        <f t="shared" si="971"/>
        <v>10</v>
      </c>
      <c r="K1014" s="474">
        <f t="shared" si="975"/>
        <v>1196</v>
      </c>
      <c r="L1014" s="473">
        <f t="shared" si="973"/>
        <v>10</v>
      </c>
      <c r="M1014" s="474">
        <f t="shared" si="976"/>
        <v>1196</v>
      </c>
      <c r="O1014" s="434">
        <f t="shared" si="969"/>
        <v>10</v>
      </c>
      <c r="P1014" s="435">
        <f t="shared" si="970"/>
        <v>10</v>
      </c>
      <c r="AE1014" s="217"/>
      <c r="AF1014" s="217">
        <v>1113</v>
      </c>
      <c r="AH1014">
        <f t="shared" si="964"/>
        <v>1113</v>
      </c>
    </row>
    <row r="1015" ht="45" hidden="1">
      <c r="A1015" s="217"/>
      <c r="B1015" s="217">
        <v>1113</v>
      </c>
      <c r="C1015" s="217"/>
      <c r="D1015" s="217" t="s">
        <v>20408</v>
      </c>
      <c r="E1015" s="471" t="s">
        <v>20667</v>
      </c>
      <c r="F1015" s="486">
        <v>40839</v>
      </c>
      <c r="G1015" s="470" t="s">
        <v>21183</v>
      </c>
      <c r="H1015" s="471" t="s">
        <v>31</v>
      </c>
      <c r="I1015" s="509">
        <v>8</v>
      </c>
      <c r="J1015" s="473">
        <f>O1015*$J$3/100</f>
        <v>1.3077000000000001</v>
      </c>
      <c r="K1015" s="474">
        <f t="shared" si="975"/>
        <v>10.461600000000001</v>
      </c>
      <c r="L1015" s="473">
        <f t="shared" si="973"/>
        <v>130.77000000000001</v>
      </c>
      <c r="M1015" s="474">
        <f t="shared" si="976"/>
        <v>1046.1600000000001</v>
      </c>
      <c r="O1015" s="434">
        <f t="shared" si="969"/>
        <v>130.77000000000001</v>
      </c>
      <c r="P1015" s="435">
        <f t="shared" si="970"/>
        <v>130.77000000000001</v>
      </c>
      <c r="AE1015" s="217"/>
      <c r="AF1015" s="217">
        <v>1113</v>
      </c>
      <c r="AH1015">
        <f t="shared" si="964"/>
        <v>1113</v>
      </c>
    </row>
    <row r="1016" ht="30" hidden="1">
      <c r="A1016" s="217"/>
      <c r="B1016" s="217">
        <v>1113</v>
      </c>
      <c r="C1016" s="217"/>
      <c r="D1016" s="217" t="s">
        <v>20408</v>
      </c>
      <c r="E1016" s="471" t="s">
        <v>20671</v>
      </c>
      <c r="F1016" s="486">
        <v>34723</v>
      </c>
      <c r="G1016" s="470" t="s">
        <v>21184</v>
      </c>
      <c r="H1016" s="471" t="s">
        <v>15515</v>
      </c>
      <c r="I1016" s="509">
        <f>1.4*0.7</f>
        <v>0.97999999999999998</v>
      </c>
      <c r="J1016" s="473">
        <f>O1016*$J$3</f>
        <v>997.91999999999996</v>
      </c>
      <c r="K1016" s="474">
        <f t="shared" si="975"/>
        <v>977.96159999999998</v>
      </c>
      <c r="L1016" s="473">
        <f t="shared" si="973"/>
        <v>997.91999999999996</v>
      </c>
      <c r="M1016" s="474">
        <f t="shared" si="976"/>
        <v>977.96159999999998</v>
      </c>
      <c r="O1016" s="434">
        <f t="shared" si="969"/>
        <v>997.91999999999996</v>
      </c>
      <c r="P1016" s="435">
        <f t="shared" si="970"/>
        <v>997.91999999999996</v>
      </c>
      <c r="AE1016" s="217"/>
      <c r="AF1016" s="217">
        <v>1113</v>
      </c>
      <c r="AH1016">
        <f t="shared" si="964"/>
        <v>1113</v>
      </c>
    </row>
    <row r="1017" ht="105" hidden="1">
      <c r="A1017" s="217"/>
      <c r="B1017" s="217">
        <v>1113</v>
      </c>
      <c r="C1017" s="217"/>
      <c r="D1017" s="217" t="s">
        <v>17167</v>
      </c>
      <c r="E1017" s="471" t="s">
        <v>20672</v>
      </c>
      <c r="F1017" s="486">
        <v>73467</v>
      </c>
      <c r="G1017" s="470" t="s">
        <v>1601</v>
      </c>
      <c r="H1017" s="471" t="s">
        <v>1535</v>
      </c>
      <c r="I1017" s="509">
        <v>1.e-002</v>
      </c>
      <c r="J1017" s="473">
        <f t="shared" si="971"/>
        <v>270.61000000000001</v>
      </c>
      <c r="K1017" s="474">
        <f t="shared" si="975"/>
        <v>2.7061000000000002</v>
      </c>
      <c r="L1017" s="473">
        <f t="shared" si="973"/>
        <v>269.00999999999999</v>
      </c>
      <c r="M1017" s="474">
        <f t="shared" si="976"/>
        <v>2.6901000000000002</v>
      </c>
      <c r="O1017" s="434">
        <f t="shared" si="969"/>
        <v>270.61000000000001</v>
      </c>
      <c r="P1017" s="435">
        <f t="shared" si="970"/>
        <v>269.00999999999999</v>
      </c>
      <c r="AE1017" s="217"/>
      <c r="AF1017" s="217">
        <v>1113</v>
      </c>
      <c r="AH1017">
        <f t="shared" si="964"/>
        <v>1113</v>
      </c>
    </row>
    <row r="1018" ht="30" hidden="1">
      <c r="A1018" s="217"/>
      <c r="B1018" s="217">
        <v>1113</v>
      </c>
      <c r="C1018" s="217"/>
      <c r="D1018" s="217" t="s">
        <v>17167</v>
      </c>
      <c r="E1018" s="471" t="s">
        <v>20673</v>
      </c>
      <c r="F1018" s="486">
        <v>88242</v>
      </c>
      <c r="G1018" s="470" t="s">
        <v>7093</v>
      </c>
      <c r="H1018" s="471" t="s">
        <v>2032</v>
      </c>
      <c r="I1018" s="509">
        <f>2/4</f>
        <v>0.5</v>
      </c>
      <c r="J1018" s="473">
        <f t="shared" si="971"/>
        <v>23.530000000000001</v>
      </c>
      <c r="K1018" s="474">
        <f t="shared" si="975"/>
        <v>11.765000000000001</v>
      </c>
      <c r="L1018" s="473">
        <f t="shared" si="973"/>
        <v>22.27</v>
      </c>
      <c r="M1018" s="474">
        <f t="shared" si="976"/>
        <v>11.135</v>
      </c>
      <c r="O1018" s="434">
        <f t="shared" si="969"/>
        <v>23.530000000000001</v>
      </c>
      <c r="P1018" s="435">
        <f t="shared" si="970"/>
        <v>22.27</v>
      </c>
      <c r="AE1018" s="217"/>
      <c r="AF1018" s="217">
        <v>1113</v>
      </c>
      <c r="AH1018">
        <f t="shared" si="964"/>
        <v>1113</v>
      </c>
    </row>
    <row r="1019" ht="30" hidden="1">
      <c r="A1019" s="217"/>
      <c r="B1019" s="217">
        <v>1113</v>
      </c>
      <c r="C1019" s="217"/>
      <c r="D1019" s="217" t="s">
        <v>17167</v>
      </c>
      <c r="E1019" s="471" t="s">
        <v>20675</v>
      </c>
      <c r="F1019" s="486">
        <v>88278</v>
      </c>
      <c r="G1019" s="470" t="s">
        <v>21185</v>
      </c>
      <c r="H1019" s="471" t="s">
        <v>2032</v>
      </c>
      <c r="I1019" s="509">
        <f t="shared" ref="I1019:I1020" si="977">1/4</f>
        <v>0.25</v>
      </c>
      <c r="J1019" s="473">
        <f t="shared" si="971"/>
        <v>30.440000000000001</v>
      </c>
      <c r="K1019" s="474">
        <f t="shared" si="975"/>
        <v>7.6100000000000003</v>
      </c>
      <c r="L1019" s="473">
        <f t="shared" si="973"/>
        <v>28.57</v>
      </c>
      <c r="M1019" s="474">
        <f t="shared" si="976"/>
        <v>7.1425000000000001</v>
      </c>
      <c r="O1019" s="434">
        <f t="shared" si="969"/>
        <v>30.440000000000001</v>
      </c>
      <c r="P1019" s="435">
        <f t="shared" si="970"/>
        <v>28.57</v>
      </c>
      <c r="AE1019" s="217"/>
      <c r="AF1019" s="217">
        <v>1113</v>
      </c>
      <c r="AH1019">
        <f t="shared" si="964"/>
        <v>1113</v>
      </c>
    </row>
    <row r="1020" ht="30" hidden="1">
      <c r="A1020" s="217"/>
      <c r="B1020" s="217">
        <v>1113</v>
      </c>
      <c r="C1020" s="217"/>
      <c r="D1020" s="217" t="s">
        <v>17167</v>
      </c>
      <c r="E1020" s="471" t="s">
        <v>20677</v>
      </c>
      <c r="F1020" s="486">
        <v>88315</v>
      </c>
      <c r="G1020" s="470" t="s">
        <v>7392</v>
      </c>
      <c r="H1020" s="471" t="s">
        <v>2032</v>
      </c>
      <c r="I1020" s="509">
        <f t="shared" si="977"/>
        <v>0.25</v>
      </c>
      <c r="J1020" s="473">
        <f t="shared" si="971"/>
        <v>28.800000000000001</v>
      </c>
      <c r="K1020" s="474">
        <f t="shared" si="975"/>
        <v>7.2000000000000002</v>
      </c>
      <c r="L1020" s="473">
        <f t="shared" si="973"/>
        <v>27.149999999999999</v>
      </c>
      <c r="M1020" s="474">
        <f t="shared" si="976"/>
        <v>6.7874999999999996</v>
      </c>
      <c r="O1020" s="434">
        <f t="shared" si="969"/>
        <v>28.800000000000001</v>
      </c>
      <c r="P1020" s="435">
        <f t="shared" si="970"/>
        <v>27.149999999999999</v>
      </c>
      <c r="AE1020" s="217"/>
      <c r="AF1020" s="217">
        <v>1113</v>
      </c>
      <c r="AH1020">
        <f t="shared" si="964"/>
        <v>1113</v>
      </c>
    </row>
    <row r="1021" ht="30" hidden="1">
      <c r="A1021" s="217"/>
      <c r="B1021" s="217">
        <v>1113</v>
      </c>
      <c r="C1021" s="217"/>
      <c r="D1021" s="217" t="s">
        <v>17167</v>
      </c>
      <c r="E1021" s="471" t="s">
        <v>20679</v>
      </c>
      <c r="F1021" s="486">
        <v>88316</v>
      </c>
      <c r="G1021" s="470" t="s">
        <v>7393</v>
      </c>
      <c r="H1021" s="471" t="s">
        <v>2032</v>
      </c>
      <c r="I1021" s="509">
        <f>2/4</f>
        <v>0.5</v>
      </c>
      <c r="J1021" s="473">
        <f t="shared" si="971"/>
        <v>22.760000000000002</v>
      </c>
      <c r="K1021" s="474">
        <f t="shared" si="975"/>
        <v>11.380000000000001</v>
      </c>
      <c r="L1021" s="473">
        <f t="shared" si="973"/>
        <v>21.550000000000001</v>
      </c>
      <c r="M1021" s="474">
        <f t="shared" si="976"/>
        <v>10.775</v>
      </c>
      <c r="O1021" s="434">
        <f t="shared" si="969"/>
        <v>22.760000000000002</v>
      </c>
      <c r="P1021" s="435">
        <f t="shared" si="970"/>
        <v>21.550000000000001</v>
      </c>
      <c r="AE1021" s="217"/>
      <c r="AF1021" s="217">
        <v>1113</v>
      </c>
      <c r="AH1021">
        <f t="shared" si="964"/>
        <v>1113</v>
      </c>
    </row>
    <row r="1022" ht="90" hidden="1">
      <c r="A1022" s="217"/>
      <c r="B1022" s="217">
        <v>1113</v>
      </c>
      <c r="C1022" s="217"/>
      <c r="D1022" s="217" t="s">
        <v>17167</v>
      </c>
      <c r="E1022" s="471" t="s">
        <v>20681</v>
      </c>
      <c r="F1022" s="486">
        <v>100758</v>
      </c>
      <c r="G1022" s="470" t="s">
        <v>21186</v>
      </c>
      <c r="H1022" s="471" t="s">
        <v>15515</v>
      </c>
      <c r="I1022" s="509">
        <v>5.5999999999999996</v>
      </c>
      <c r="J1022" s="473">
        <f t="shared" si="971"/>
        <v>51.649999999999999</v>
      </c>
      <c r="K1022" s="474">
        <f t="shared" si="975"/>
        <v>289.23999999999995</v>
      </c>
      <c r="L1022" s="473">
        <f t="shared" si="973"/>
        <v>49.460000000000001</v>
      </c>
      <c r="M1022" s="474">
        <f t="shared" si="976"/>
        <v>276.976</v>
      </c>
      <c r="O1022" s="434">
        <f t="shared" si="969"/>
        <v>51.649999999999999</v>
      </c>
      <c r="P1022" s="435">
        <f t="shared" si="970"/>
        <v>49.460000000000001</v>
      </c>
      <c r="AE1022" s="217"/>
      <c r="AF1022" s="217">
        <v>1113</v>
      </c>
      <c r="AH1022">
        <f t="shared" si="964"/>
        <v>1113</v>
      </c>
    </row>
    <row r="1023" ht="75" hidden="1">
      <c r="A1023" s="217"/>
      <c r="B1023" s="217">
        <v>1113</v>
      </c>
      <c r="C1023" s="217"/>
      <c r="D1023" s="217" t="s">
        <v>17167</v>
      </c>
      <c r="E1023" s="471" t="s">
        <v>20683</v>
      </c>
      <c r="F1023" s="486">
        <v>100722</v>
      </c>
      <c r="G1023" s="470" t="s">
        <v>21187</v>
      </c>
      <c r="H1023" s="471" t="s">
        <v>15515</v>
      </c>
      <c r="I1023" s="509">
        <v>5.5999999999999996</v>
      </c>
      <c r="J1023" s="473">
        <f t="shared" si="971"/>
        <v>25.260000000000002</v>
      </c>
      <c r="K1023" s="474">
        <f t="shared" si="975"/>
        <v>141.45599999999999</v>
      </c>
      <c r="L1023" s="473">
        <f t="shared" si="973"/>
        <v>24.170000000000002</v>
      </c>
      <c r="M1023" s="474">
        <f t="shared" si="976"/>
        <v>135.352</v>
      </c>
      <c r="O1023" s="434">
        <f t="shared" si="969"/>
        <v>25.260000000000002</v>
      </c>
      <c r="P1023" s="435">
        <f t="shared" si="970"/>
        <v>24.170000000000002</v>
      </c>
      <c r="AE1023" s="217"/>
      <c r="AF1023" s="217">
        <v>1113</v>
      </c>
      <c r="AH1023">
        <f t="shared" si="964"/>
        <v>1113</v>
      </c>
    </row>
    <row r="1024" ht="45" hidden="1">
      <c r="A1024" s="217"/>
      <c r="B1024" s="217">
        <v>1113</v>
      </c>
      <c r="C1024" s="217"/>
      <c r="D1024" s="217" t="s">
        <v>20408</v>
      </c>
      <c r="E1024" s="471" t="s">
        <v>20685</v>
      </c>
      <c r="F1024" s="486">
        <v>4777</v>
      </c>
      <c r="G1024" s="470" t="s">
        <v>11427</v>
      </c>
      <c r="H1024" s="471" t="s">
        <v>302</v>
      </c>
      <c r="I1024" s="509">
        <v>4.7199999999999998</v>
      </c>
      <c r="J1024" s="473">
        <f t="shared" si="971"/>
        <v>8.0199999999999996</v>
      </c>
      <c r="K1024" s="474">
        <f t="shared" si="975"/>
        <v>37.854399999999998</v>
      </c>
      <c r="L1024" s="473">
        <f t="shared" si="973"/>
        <v>8.0199999999999996</v>
      </c>
      <c r="M1024" s="474">
        <f t="shared" si="976"/>
        <v>37.854399999999998</v>
      </c>
      <c r="O1024" s="434">
        <f t="shared" si="969"/>
        <v>8.0199999999999996</v>
      </c>
      <c r="P1024" s="435">
        <f t="shared" si="970"/>
        <v>8.0199999999999996</v>
      </c>
      <c r="AE1024" s="217"/>
      <c r="AF1024" s="217">
        <v>1113</v>
      </c>
      <c r="AH1024">
        <f t="shared" si="964"/>
        <v>1113</v>
      </c>
    </row>
    <row r="1025" ht="116.25" hidden="1" customHeight="1">
      <c r="A1025" s="460">
        <v>1114</v>
      </c>
      <c r="B1025" s="460">
        <v>1114</v>
      </c>
      <c r="C1025" s="460"/>
      <c r="D1025" s="460"/>
      <c r="E1025" s="461">
        <v>1</v>
      </c>
      <c r="F1025" s="462" t="s">
        <v>21188</v>
      </c>
      <c r="G1025" s="477" t="s">
        <v>21189</v>
      </c>
      <c r="H1025" s="478" t="s">
        <v>20647</v>
      </c>
      <c r="I1025" s="479"/>
      <c r="J1025" s="480"/>
      <c r="K1025" s="466">
        <f>SUM(K1026:K1041)</f>
        <v>3814.1683120000002</v>
      </c>
      <c r="L1025" s="480"/>
      <c r="M1025" s="466">
        <f>SUM(M1026:M1041)</f>
        <v>4808.809111999999</v>
      </c>
      <c r="O1025" s="434" t="str">
        <f t="shared" si="969"/>
        <v xml:space="preserve">SEM VALOR</v>
      </c>
      <c r="P1025" s="435" t="str">
        <f t="shared" si="970"/>
        <v xml:space="preserve">SEM VALOR</v>
      </c>
      <c r="AE1025" s="460">
        <v>1114</v>
      </c>
      <c r="AF1025" s="460"/>
      <c r="AH1025">
        <f t="shared" si="964"/>
        <v>1114</v>
      </c>
    </row>
    <row r="1026" ht="45" hidden="1">
      <c r="A1026" s="217"/>
      <c r="B1026" s="217">
        <v>1114</v>
      </c>
      <c r="C1026" s="217"/>
      <c r="D1026" s="217" t="s">
        <v>20398</v>
      </c>
      <c r="E1026" s="471" t="s">
        <v>20399</v>
      </c>
      <c r="F1026" s="486">
        <v>1259</v>
      </c>
      <c r="G1026" s="470" t="s">
        <v>20796</v>
      </c>
      <c r="H1026" s="471" t="s">
        <v>15528</v>
      </c>
      <c r="I1026" s="483">
        <v>0.59999999999999998</v>
      </c>
      <c r="J1026" s="473">
        <f t="shared" si="971"/>
        <v>45.520000000000003</v>
      </c>
      <c r="K1026" s="474">
        <f t="shared" ref="K1026:K1041" si="978">I1026*J1026</f>
        <v>27.312000000000001</v>
      </c>
      <c r="L1026" s="473">
        <f t="shared" si="973"/>
        <v>43.100000000000001</v>
      </c>
      <c r="M1026" s="474">
        <f t="shared" ref="M1026:M1041" si="979">L1026*I1026</f>
        <v>25.859999999999999</v>
      </c>
      <c r="O1026" s="434">
        <f t="shared" si="969"/>
        <v>45.520000000000003</v>
      </c>
      <c r="P1026" s="435">
        <f t="shared" si="970"/>
        <v>43.100000000000001</v>
      </c>
      <c r="AE1026" s="217"/>
      <c r="AF1026" s="217">
        <v>1114</v>
      </c>
      <c r="AH1026">
        <f t="shared" si="964"/>
        <v>1114</v>
      </c>
    </row>
    <row r="1027" ht="60" hidden="1">
      <c r="A1027" s="217"/>
      <c r="B1027" s="217">
        <v>1114</v>
      </c>
      <c r="C1027" s="217"/>
      <c r="D1027" s="217" t="s">
        <v>20398</v>
      </c>
      <c r="E1027" s="471" t="s">
        <v>20402</v>
      </c>
      <c r="F1027" s="486">
        <v>1241</v>
      </c>
      <c r="G1027" s="470" t="s">
        <v>21181</v>
      </c>
      <c r="H1027" s="471" t="s">
        <v>15528</v>
      </c>
      <c r="I1027" s="509">
        <v>0.59999999999999998</v>
      </c>
      <c r="J1027" s="473">
        <f t="shared" si="971"/>
        <v>453.00401999999997</v>
      </c>
      <c r="K1027" s="474">
        <f t="shared" si="978"/>
        <v>271.80241199999995</v>
      </c>
      <c r="L1027" s="473">
        <f t="shared" si="973"/>
        <v>445.74401999999998</v>
      </c>
      <c r="M1027" s="474">
        <f t="shared" si="979"/>
        <v>267.44641199999995</v>
      </c>
      <c r="O1027" s="434">
        <f t="shared" si="969"/>
        <v>453.00401999999997</v>
      </c>
      <c r="P1027" s="435">
        <f t="shared" si="970"/>
        <v>445.74401999999998</v>
      </c>
      <c r="AE1027" s="217"/>
      <c r="AF1027" s="217">
        <v>1114</v>
      </c>
      <c r="AH1027">
        <f t="shared" si="964"/>
        <v>1114</v>
      </c>
    </row>
    <row r="1028" ht="60" hidden="1">
      <c r="A1028" s="217"/>
      <c r="B1028" s="217">
        <v>1114</v>
      </c>
      <c r="C1028" s="217"/>
      <c r="D1028" s="217" t="s">
        <v>17167</v>
      </c>
      <c r="E1028" s="471" t="s">
        <v>20405</v>
      </c>
      <c r="F1028" s="486">
        <v>103670</v>
      </c>
      <c r="G1028" s="470" t="s">
        <v>1387</v>
      </c>
      <c r="H1028" s="471" t="s">
        <v>15528</v>
      </c>
      <c r="I1028" s="509">
        <f>I1027</f>
        <v>0.59999999999999998</v>
      </c>
      <c r="J1028" s="473">
        <f t="shared" si="971"/>
        <v>308.60000000000002</v>
      </c>
      <c r="K1028" s="474">
        <f t="shared" si="978"/>
        <v>185.16</v>
      </c>
      <c r="L1028" s="473">
        <f t="shared" si="973"/>
        <v>291.69999999999999</v>
      </c>
      <c r="M1028" s="474">
        <f t="shared" si="979"/>
        <v>175.01999999999998</v>
      </c>
      <c r="O1028" s="434">
        <f t="shared" si="969"/>
        <v>308.60000000000002</v>
      </c>
      <c r="P1028" s="435">
        <f t="shared" si="970"/>
        <v>291.69999999999999</v>
      </c>
      <c r="AE1028" s="217"/>
      <c r="AF1028" s="217">
        <v>1114</v>
      </c>
      <c r="AH1028">
        <f t="shared" si="964"/>
        <v>1114</v>
      </c>
    </row>
    <row r="1029" ht="45" hidden="1">
      <c r="A1029" s="217"/>
      <c r="B1029" s="217">
        <v>1114</v>
      </c>
      <c r="C1029" s="217"/>
      <c r="D1029" s="217" t="s">
        <v>17167</v>
      </c>
      <c r="E1029" s="471" t="s">
        <v>20409</v>
      </c>
      <c r="F1029" s="486">
        <v>96545</v>
      </c>
      <c r="G1029" s="470" t="s">
        <v>20678</v>
      </c>
      <c r="H1029" s="471" t="s">
        <v>302</v>
      </c>
      <c r="I1029" s="509">
        <v>10.15</v>
      </c>
      <c r="J1029" s="473">
        <f t="shared" si="971"/>
        <v>15.82</v>
      </c>
      <c r="K1029" s="474">
        <f t="shared" si="978"/>
        <v>160.57300000000001</v>
      </c>
      <c r="L1029" s="473">
        <f t="shared" si="973"/>
        <v>15.48</v>
      </c>
      <c r="M1029" s="474">
        <f t="shared" si="979"/>
        <v>157.12200000000001</v>
      </c>
      <c r="O1029" s="434">
        <f t="shared" si="969"/>
        <v>15.82</v>
      </c>
      <c r="P1029" s="435">
        <f t="shared" si="970"/>
        <v>15.48</v>
      </c>
      <c r="AE1029" s="217"/>
      <c r="AF1029" s="217">
        <v>1114</v>
      </c>
      <c r="AH1029">
        <f t="shared" si="964"/>
        <v>1114</v>
      </c>
    </row>
    <row r="1030" ht="45" hidden="1">
      <c r="A1030" s="217"/>
      <c r="B1030" s="217">
        <v>1114</v>
      </c>
      <c r="C1030" s="217"/>
      <c r="D1030" s="217" t="s">
        <v>17167</v>
      </c>
      <c r="E1030" s="471" t="s">
        <v>20663</v>
      </c>
      <c r="F1030" s="486">
        <v>96546</v>
      </c>
      <c r="G1030" s="470" t="s">
        <v>21133</v>
      </c>
      <c r="H1030" s="471" t="s">
        <v>302</v>
      </c>
      <c r="I1030" s="509">
        <v>4.46</v>
      </c>
      <c r="J1030" s="473">
        <f t="shared" si="971"/>
        <v>13.77</v>
      </c>
      <c r="K1030" s="474">
        <f t="shared" si="978"/>
        <v>61.414200000000001</v>
      </c>
      <c r="L1030" s="473">
        <f t="shared" si="973"/>
        <v>13.51</v>
      </c>
      <c r="M1030" s="474">
        <f t="shared" si="979"/>
        <v>60.254599999999996</v>
      </c>
      <c r="O1030" s="434">
        <f t="shared" si="969"/>
        <v>13.77</v>
      </c>
      <c r="P1030" s="435">
        <f t="shared" si="970"/>
        <v>13.51</v>
      </c>
      <c r="AE1030" s="217"/>
      <c r="AF1030" s="217">
        <v>1114</v>
      </c>
      <c r="AH1030">
        <f t="shared" si="964"/>
        <v>1114</v>
      </c>
    </row>
    <row r="1031" ht="30" hidden="1">
      <c r="A1031" s="217"/>
      <c r="B1031" s="217">
        <v>1114</v>
      </c>
      <c r="C1031" s="217"/>
      <c r="D1031" s="217" t="s">
        <v>20408</v>
      </c>
      <c r="E1031" s="471" t="s">
        <v>20665</v>
      </c>
      <c r="F1031" s="486">
        <v>43082</v>
      </c>
      <c r="G1031" s="470" t="s">
        <v>21182</v>
      </c>
      <c r="H1031" s="471" t="s">
        <v>302</v>
      </c>
      <c r="I1031" s="509">
        <f>102.7+23.4</f>
        <v>126.09999999999999</v>
      </c>
      <c r="J1031" s="473">
        <f t="shared" si="971"/>
        <v>10</v>
      </c>
      <c r="K1031" s="474">
        <f t="shared" si="978"/>
        <v>1261</v>
      </c>
      <c r="L1031" s="473">
        <f t="shared" si="973"/>
        <v>10</v>
      </c>
      <c r="M1031" s="474">
        <f t="shared" si="979"/>
        <v>1261</v>
      </c>
      <c r="O1031" s="434">
        <f t="shared" si="969"/>
        <v>10</v>
      </c>
      <c r="P1031" s="435">
        <f t="shared" si="970"/>
        <v>10</v>
      </c>
      <c r="AE1031" s="217"/>
      <c r="AF1031" s="217">
        <v>1114</v>
      </c>
      <c r="AH1031">
        <f t="shared" ref="AH1031:AH1094" si="980">IF(AF1031:AF1032=FALSE,AE1031,AF1031)</f>
        <v>1114</v>
      </c>
    </row>
    <row r="1032" ht="45" hidden="1">
      <c r="A1032" s="217"/>
      <c r="B1032" s="217">
        <v>1114</v>
      </c>
      <c r="C1032" s="217"/>
      <c r="D1032" s="217" t="s">
        <v>20408</v>
      </c>
      <c r="E1032" s="471" t="s">
        <v>20667</v>
      </c>
      <c r="F1032" s="486">
        <v>40839</v>
      </c>
      <c r="G1032" s="470" t="s">
        <v>21183</v>
      </c>
      <c r="H1032" s="471" t="s">
        <v>31</v>
      </c>
      <c r="I1032" s="509">
        <v>8</v>
      </c>
      <c r="J1032" s="473">
        <f>O1032*$J$3/100</f>
        <v>1.3077000000000001</v>
      </c>
      <c r="K1032" s="474">
        <f t="shared" si="978"/>
        <v>10.461600000000001</v>
      </c>
      <c r="L1032" s="473">
        <f t="shared" si="973"/>
        <v>130.77000000000001</v>
      </c>
      <c r="M1032" s="474">
        <f t="shared" si="979"/>
        <v>1046.1600000000001</v>
      </c>
      <c r="O1032" s="434">
        <f t="shared" si="969"/>
        <v>130.77000000000001</v>
      </c>
      <c r="P1032" s="435">
        <f t="shared" si="970"/>
        <v>130.77000000000001</v>
      </c>
      <c r="AE1032" s="217"/>
      <c r="AF1032" s="217">
        <v>1114</v>
      </c>
      <c r="AH1032">
        <f t="shared" si="980"/>
        <v>1114</v>
      </c>
    </row>
    <row r="1033" ht="30" hidden="1">
      <c r="A1033" s="217"/>
      <c r="B1033" s="217">
        <v>1114</v>
      </c>
      <c r="C1033" s="217"/>
      <c r="D1033" s="217" t="s">
        <v>20408</v>
      </c>
      <c r="E1033" s="471" t="s">
        <v>20671</v>
      </c>
      <c r="F1033" s="486">
        <v>34723</v>
      </c>
      <c r="G1033" s="470" t="s">
        <v>21184</v>
      </c>
      <c r="H1033" s="471" t="s">
        <v>15515</v>
      </c>
      <c r="I1033" s="509">
        <f>1.9*0.7</f>
        <v>1.3300000000000001</v>
      </c>
      <c r="J1033" s="473">
        <f t="shared" ref="J1033:J1048" si="981">O1033*$J$3</f>
        <v>997.91999999999996</v>
      </c>
      <c r="K1033" s="474">
        <f t="shared" si="978"/>
        <v>1327.2336</v>
      </c>
      <c r="L1033" s="473">
        <f t="shared" si="973"/>
        <v>997.91999999999996</v>
      </c>
      <c r="M1033" s="474">
        <f t="shared" si="979"/>
        <v>1327.2336</v>
      </c>
      <c r="O1033" s="434">
        <f t="shared" si="969"/>
        <v>997.91999999999996</v>
      </c>
      <c r="P1033" s="435">
        <f t="shared" si="970"/>
        <v>997.91999999999996</v>
      </c>
      <c r="AE1033" s="217"/>
      <c r="AF1033" s="217">
        <v>1114</v>
      </c>
      <c r="AH1033">
        <f t="shared" si="980"/>
        <v>1114</v>
      </c>
    </row>
    <row r="1034" ht="105" hidden="1">
      <c r="A1034" s="217"/>
      <c r="B1034" s="217">
        <v>1114</v>
      </c>
      <c r="C1034" s="217"/>
      <c r="D1034" s="217" t="s">
        <v>17167</v>
      </c>
      <c r="E1034" s="471" t="s">
        <v>20672</v>
      </c>
      <c r="F1034" s="486">
        <v>73467</v>
      </c>
      <c r="G1034" s="470" t="s">
        <v>1601</v>
      </c>
      <c r="H1034" s="471" t="s">
        <v>1535</v>
      </c>
      <c r="I1034" s="509">
        <v>1.e-002</v>
      </c>
      <c r="J1034" s="473">
        <f t="shared" si="981"/>
        <v>270.61000000000001</v>
      </c>
      <c r="K1034" s="474">
        <f t="shared" si="978"/>
        <v>2.7061000000000002</v>
      </c>
      <c r="L1034" s="473">
        <f t="shared" si="973"/>
        <v>269.00999999999999</v>
      </c>
      <c r="M1034" s="474">
        <f t="shared" si="979"/>
        <v>2.6901000000000002</v>
      </c>
      <c r="O1034" s="434">
        <f t="shared" si="969"/>
        <v>270.61000000000001</v>
      </c>
      <c r="P1034" s="435">
        <f t="shared" si="970"/>
        <v>269.00999999999999</v>
      </c>
      <c r="AE1034" s="217"/>
      <c r="AF1034" s="217">
        <v>1114</v>
      </c>
      <c r="AH1034">
        <f t="shared" si="980"/>
        <v>1114</v>
      </c>
    </row>
    <row r="1035" ht="30" hidden="1">
      <c r="A1035" s="217"/>
      <c r="B1035" s="217">
        <v>1114</v>
      </c>
      <c r="C1035" s="217"/>
      <c r="D1035" s="217" t="s">
        <v>17167</v>
      </c>
      <c r="E1035" s="471" t="s">
        <v>20673</v>
      </c>
      <c r="F1035" s="486">
        <v>88242</v>
      </c>
      <c r="G1035" s="470" t="s">
        <v>7093</v>
      </c>
      <c r="H1035" s="471" t="s">
        <v>2032</v>
      </c>
      <c r="I1035" s="509">
        <f>2/4</f>
        <v>0.5</v>
      </c>
      <c r="J1035" s="473">
        <f t="shared" si="981"/>
        <v>23.530000000000001</v>
      </c>
      <c r="K1035" s="474">
        <f t="shared" si="978"/>
        <v>11.765000000000001</v>
      </c>
      <c r="L1035" s="473">
        <f t="shared" si="973"/>
        <v>22.27</v>
      </c>
      <c r="M1035" s="474">
        <f t="shared" si="979"/>
        <v>11.135</v>
      </c>
      <c r="O1035" s="434">
        <f t="shared" si="969"/>
        <v>23.530000000000001</v>
      </c>
      <c r="P1035" s="435">
        <f t="shared" si="970"/>
        <v>22.27</v>
      </c>
      <c r="AE1035" s="217"/>
      <c r="AF1035" s="217">
        <v>1114</v>
      </c>
      <c r="AH1035">
        <f t="shared" si="980"/>
        <v>1114</v>
      </c>
    </row>
    <row r="1036" ht="30" hidden="1">
      <c r="A1036" s="217"/>
      <c r="B1036" s="217">
        <v>1114</v>
      </c>
      <c r="C1036" s="217"/>
      <c r="D1036" s="217" t="s">
        <v>17167</v>
      </c>
      <c r="E1036" s="471" t="s">
        <v>20675</v>
      </c>
      <c r="F1036" s="486">
        <v>88278</v>
      </c>
      <c r="G1036" s="470" t="s">
        <v>21185</v>
      </c>
      <c r="H1036" s="471" t="s">
        <v>2032</v>
      </c>
      <c r="I1036" s="509">
        <f t="shared" ref="I1036:I1037" si="982">1/4</f>
        <v>0.25</v>
      </c>
      <c r="J1036" s="473">
        <f t="shared" si="981"/>
        <v>30.440000000000001</v>
      </c>
      <c r="K1036" s="474">
        <f t="shared" si="978"/>
        <v>7.6100000000000003</v>
      </c>
      <c r="L1036" s="473">
        <f t="shared" si="973"/>
        <v>28.57</v>
      </c>
      <c r="M1036" s="474">
        <f t="shared" si="979"/>
        <v>7.1425000000000001</v>
      </c>
      <c r="O1036" s="434">
        <f t="shared" si="969"/>
        <v>30.440000000000001</v>
      </c>
      <c r="P1036" s="435">
        <f t="shared" si="970"/>
        <v>28.57</v>
      </c>
      <c r="AE1036" s="217"/>
      <c r="AF1036" s="217">
        <v>1114</v>
      </c>
      <c r="AH1036">
        <f t="shared" si="980"/>
        <v>1114</v>
      </c>
    </row>
    <row r="1037" ht="30" hidden="1">
      <c r="A1037" s="217"/>
      <c r="B1037" s="217">
        <v>1114</v>
      </c>
      <c r="C1037" s="217"/>
      <c r="D1037" s="217" t="s">
        <v>17167</v>
      </c>
      <c r="E1037" s="471" t="s">
        <v>20677</v>
      </c>
      <c r="F1037" s="486">
        <v>88315</v>
      </c>
      <c r="G1037" s="470" t="s">
        <v>7392</v>
      </c>
      <c r="H1037" s="471" t="s">
        <v>2032</v>
      </c>
      <c r="I1037" s="509">
        <f t="shared" si="982"/>
        <v>0.25</v>
      </c>
      <c r="J1037" s="473">
        <f t="shared" si="981"/>
        <v>28.800000000000001</v>
      </c>
      <c r="K1037" s="474">
        <f t="shared" si="978"/>
        <v>7.2000000000000002</v>
      </c>
      <c r="L1037" s="473">
        <f t="shared" si="973"/>
        <v>27.149999999999999</v>
      </c>
      <c r="M1037" s="474">
        <f t="shared" si="979"/>
        <v>6.7874999999999996</v>
      </c>
      <c r="O1037" s="434">
        <f t="shared" si="969"/>
        <v>28.800000000000001</v>
      </c>
      <c r="P1037" s="435">
        <f t="shared" si="970"/>
        <v>27.149999999999999</v>
      </c>
      <c r="AE1037" s="217"/>
      <c r="AF1037" s="217">
        <v>1114</v>
      </c>
      <c r="AH1037">
        <f t="shared" si="980"/>
        <v>1114</v>
      </c>
    </row>
    <row r="1038" ht="30" hidden="1">
      <c r="A1038" s="217"/>
      <c r="B1038" s="217">
        <v>1114</v>
      </c>
      <c r="C1038" s="217"/>
      <c r="D1038" s="217" t="s">
        <v>17167</v>
      </c>
      <c r="E1038" s="471" t="s">
        <v>20679</v>
      </c>
      <c r="F1038" s="486">
        <v>88316</v>
      </c>
      <c r="G1038" s="470" t="s">
        <v>7393</v>
      </c>
      <c r="H1038" s="471" t="s">
        <v>2032</v>
      </c>
      <c r="I1038" s="509">
        <f>2/4</f>
        <v>0.5</v>
      </c>
      <c r="J1038" s="473">
        <f t="shared" si="981"/>
        <v>22.760000000000002</v>
      </c>
      <c r="K1038" s="474">
        <f t="shared" si="978"/>
        <v>11.380000000000001</v>
      </c>
      <c r="L1038" s="473">
        <f t="shared" si="973"/>
        <v>21.550000000000001</v>
      </c>
      <c r="M1038" s="474">
        <f t="shared" si="979"/>
        <v>10.775</v>
      </c>
      <c r="O1038" s="434">
        <f t="shared" si="969"/>
        <v>22.760000000000002</v>
      </c>
      <c r="P1038" s="435">
        <f t="shared" si="970"/>
        <v>21.550000000000001</v>
      </c>
      <c r="AE1038" s="217"/>
      <c r="AF1038" s="217">
        <v>1114</v>
      </c>
      <c r="AH1038">
        <f t="shared" si="980"/>
        <v>1114</v>
      </c>
    </row>
    <row r="1039" ht="90" hidden="1">
      <c r="A1039" s="217"/>
      <c r="B1039" s="217">
        <v>1114</v>
      </c>
      <c r="C1039" s="217"/>
      <c r="D1039" s="217" t="s">
        <v>17167</v>
      </c>
      <c r="E1039" s="471" t="s">
        <v>20681</v>
      </c>
      <c r="F1039" s="486">
        <v>100758</v>
      </c>
      <c r="G1039" s="470" t="s">
        <v>21186</v>
      </c>
      <c r="H1039" s="471" t="s">
        <v>15515</v>
      </c>
      <c r="I1039" s="509">
        <v>5.5999999999999996</v>
      </c>
      <c r="J1039" s="473">
        <f t="shared" si="981"/>
        <v>51.649999999999999</v>
      </c>
      <c r="K1039" s="474">
        <f t="shared" si="978"/>
        <v>289.23999999999995</v>
      </c>
      <c r="L1039" s="473">
        <f t="shared" si="973"/>
        <v>49.460000000000001</v>
      </c>
      <c r="M1039" s="474">
        <f t="shared" si="979"/>
        <v>276.976</v>
      </c>
      <c r="O1039" s="434">
        <f t="shared" si="969"/>
        <v>51.649999999999999</v>
      </c>
      <c r="P1039" s="435">
        <f t="shared" si="970"/>
        <v>49.460000000000001</v>
      </c>
      <c r="AE1039" s="217"/>
      <c r="AF1039" s="217">
        <v>1114</v>
      </c>
      <c r="AH1039">
        <f t="shared" si="980"/>
        <v>1114</v>
      </c>
    </row>
    <row r="1040" ht="75" hidden="1">
      <c r="A1040" s="217"/>
      <c r="B1040" s="217">
        <v>1114</v>
      </c>
      <c r="C1040" s="217"/>
      <c r="D1040" s="217" t="s">
        <v>17167</v>
      </c>
      <c r="E1040" s="471" t="s">
        <v>20683</v>
      </c>
      <c r="F1040" s="486">
        <v>100722</v>
      </c>
      <c r="G1040" s="470" t="s">
        <v>21187</v>
      </c>
      <c r="H1040" s="471" t="s">
        <v>15515</v>
      </c>
      <c r="I1040" s="509">
        <v>5.5999999999999996</v>
      </c>
      <c r="J1040" s="473">
        <f t="shared" si="981"/>
        <v>25.260000000000002</v>
      </c>
      <c r="K1040" s="474">
        <f t="shared" si="978"/>
        <v>141.45599999999999</v>
      </c>
      <c r="L1040" s="473">
        <f t="shared" si="973"/>
        <v>24.170000000000002</v>
      </c>
      <c r="M1040" s="474">
        <f t="shared" si="979"/>
        <v>135.352</v>
      </c>
      <c r="O1040" s="434">
        <f t="shared" si="969"/>
        <v>25.260000000000002</v>
      </c>
      <c r="P1040" s="435">
        <f t="shared" si="970"/>
        <v>24.170000000000002</v>
      </c>
      <c r="AE1040" s="217"/>
      <c r="AF1040" s="217">
        <v>1114</v>
      </c>
      <c r="AH1040">
        <f t="shared" si="980"/>
        <v>1114</v>
      </c>
    </row>
    <row r="1041" ht="45" hidden="1">
      <c r="A1041" s="217"/>
      <c r="B1041" s="217">
        <v>1114</v>
      </c>
      <c r="C1041" s="217"/>
      <c r="D1041" s="217" t="s">
        <v>20408</v>
      </c>
      <c r="E1041" s="471" t="s">
        <v>20685</v>
      </c>
      <c r="F1041" s="486">
        <v>4777</v>
      </c>
      <c r="G1041" s="470" t="s">
        <v>11427</v>
      </c>
      <c r="H1041" s="471" t="s">
        <v>302</v>
      </c>
      <c r="I1041" s="509">
        <v>4.7199999999999998</v>
      </c>
      <c r="J1041" s="473">
        <f t="shared" si="981"/>
        <v>8.0199999999999996</v>
      </c>
      <c r="K1041" s="474">
        <f t="shared" si="978"/>
        <v>37.854399999999998</v>
      </c>
      <c r="L1041" s="473">
        <f t="shared" si="973"/>
        <v>8.0199999999999996</v>
      </c>
      <c r="M1041" s="474">
        <f t="shared" si="979"/>
        <v>37.854399999999998</v>
      </c>
      <c r="O1041" s="434">
        <f t="shared" si="969"/>
        <v>8.0199999999999996</v>
      </c>
      <c r="P1041" s="435">
        <f t="shared" si="970"/>
        <v>8.0199999999999996</v>
      </c>
      <c r="AE1041" s="217"/>
      <c r="AF1041" s="217">
        <v>1114</v>
      </c>
      <c r="AH1041">
        <f t="shared" si="980"/>
        <v>1114</v>
      </c>
    </row>
    <row r="1042" ht="110.25" hidden="1">
      <c r="A1042" s="460">
        <v>1115</v>
      </c>
      <c r="B1042" s="460">
        <v>1115</v>
      </c>
      <c r="C1042" s="460"/>
      <c r="D1042" s="460"/>
      <c r="E1042" s="461">
        <v>1</v>
      </c>
      <c r="F1042" s="462" t="s">
        <v>21190</v>
      </c>
      <c r="G1042" s="477" t="s">
        <v>21191</v>
      </c>
      <c r="H1042" s="478" t="s">
        <v>20647</v>
      </c>
      <c r="I1042" s="479"/>
      <c r="J1042" s="480"/>
      <c r="K1042" s="466">
        <f>SUM(K1043:K1058)</f>
        <v>6345.0935120000004</v>
      </c>
      <c r="L1042" s="480"/>
      <c r="M1042" s="466">
        <f>SUM(M1043:M1058)</f>
        <v>7337.6351119999999</v>
      </c>
      <c r="O1042" s="434" t="str">
        <f t="shared" si="969"/>
        <v xml:space="preserve">SEM VALOR</v>
      </c>
      <c r="P1042" s="435" t="str">
        <f t="shared" si="970"/>
        <v xml:space="preserve">SEM VALOR</v>
      </c>
      <c r="AE1042" s="460">
        <v>1115</v>
      </c>
      <c r="AF1042" s="460"/>
      <c r="AH1042">
        <f t="shared" si="980"/>
        <v>1115</v>
      </c>
    </row>
    <row r="1043" ht="45" hidden="1">
      <c r="A1043" s="217"/>
      <c r="B1043" s="217">
        <v>1115</v>
      </c>
      <c r="C1043" s="217"/>
      <c r="D1043" s="217" t="s">
        <v>20398</v>
      </c>
      <c r="E1043" s="471" t="s">
        <v>20399</v>
      </c>
      <c r="F1043" s="486">
        <v>1259</v>
      </c>
      <c r="G1043" s="470" t="s">
        <v>20796</v>
      </c>
      <c r="H1043" s="471" t="s">
        <v>15528</v>
      </c>
      <c r="I1043" s="483">
        <v>0.59999999999999998</v>
      </c>
      <c r="J1043" s="473">
        <f t="shared" si="981"/>
        <v>45.520000000000003</v>
      </c>
      <c r="K1043" s="474">
        <f t="shared" ref="K1043:K1058" si="983">I1043*J1043</f>
        <v>27.312000000000001</v>
      </c>
      <c r="L1043" s="473">
        <f t="shared" si="973"/>
        <v>43.100000000000001</v>
      </c>
      <c r="M1043" s="474">
        <f t="shared" ref="M1043:M1058" si="984">L1043*I1043</f>
        <v>25.859999999999999</v>
      </c>
      <c r="O1043" s="434">
        <f t="shared" si="969"/>
        <v>45.520000000000003</v>
      </c>
      <c r="P1043" s="435">
        <f t="shared" si="970"/>
        <v>43.100000000000001</v>
      </c>
      <c r="AE1043" s="217"/>
      <c r="AF1043" s="217">
        <v>1115</v>
      </c>
      <c r="AH1043">
        <f t="shared" si="980"/>
        <v>1115</v>
      </c>
    </row>
    <row r="1044" ht="60" hidden="1">
      <c r="A1044" s="217"/>
      <c r="B1044" s="217">
        <v>1115</v>
      </c>
      <c r="C1044" s="217"/>
      <c r="D1044" s="217" t="s">
        <v>20398</v>
      </c>
      <c r="E1044" s="471" t="s">
        <v>20402</v>
      </c>
      <c r="F1044" s="486">
        <v>1241</v>
      </c>
      <c r="G1044" s="470" t="s">
        <v>21181</v>
      </c>
      <c r="H1044" s="471" t="s">
        <v>15528</v>
      </c>
      <c r="I1044" s="509">
        <v>0.59999999999999998</v>
      </c>
      <c r="J1044" s="473">
        <f t="shared" si="981"/>
        <v>453.00401999999997</v>
      </c>
      <c r="K1044" s="474">
        <f t="shared" si="983"/>
        <v>271.80241199999995</v>
      </c>
      <c r="L1044" s="473">
        <f t="shared" si="973"/>
        <v>445.74401999999998</v>
      </c>
      <c r="M1044" s="474">
        <f t="shared" si="984"/>
        <v>267.44641199999995</v>
      </c>
      <c r="O1044" s="434">
        <f t="shared" si="969"/>
        <v>453.00401999999997</v>
      </c>
      <c r="P1044" s="435">
        <f t="shared" si="970"/>
        <v>445.74401999999998</v>
      </c>
      <c r="AE1044" s="217"/>
      <c r="AF1044" s="217">
        <v>1115</v>
      </c>
      <c r="AH1044">
        <f t="shared" si="980"/>
        <v>1115</v>
      </c>
    </row>
    <row r="1045" ht="60" hidden="1">
      <c r="A1045" s="217"/>
      <c r="B1045" s="217">
        <v>1115</v>
      </c>
      <c r="C1045" s="217"/>
      <c r="D1045" s="217" t="s">
        <v>17167</v>
      </c>
      <c r="E1045" s="471" t="s">
        <v>20405</v>
      </c>
      <c r="F1045" s="486">
        <v>103670</v>
      </c>
      <c r="G1045" s="470" t="s">
        <v>1387</v>
      </c>
      <c r="H1045" s="471" t="s">
        <v>15528</v>
      </c>
      <c r="I1045" s="509">
        <f>I1044</f>
        <v>0.59999999999999998</v>
      </c>
      <c r="J1045" s="473">
        <f t="shared" si="981"/>
        <v>308.60000000000002</v>
      </c>
      <c r="K1045" s="474">
        <f t="shared" si="983"/>
        <v>185.16</v>
      </c>
      <c r="L1045" s="473">
        <f t="shared" si="973"/>
        <v>291.69999999999999</v>
      </c>
      <c r="M1045" s="474">
        <f t="shared" si="984"/>
        <v>175.01999999999998</v>
      </c>
      <c r="O1045" s="434">
        <f t="shared" si="969"/>
        <v>308.60000000000002</v>
      </c>
      <c r="P1045" s="435">
        <f t="shared" si="970"/>
        <v>291.69999999999999</v>
      </c>
      <c r="AE1045" s="217"/>
      <c r="AF1045" s="217">
        <v>1115</v>
      </c>
      <c r="AH1045">
        <f t="shared" si="980"/>
        <v>1115</v>
      </c>
    </row>
    <row r="1046" ht="45" hidden="1">
      <c r="A1046" s="217"/>
      <c r="B1046" s="217">
        <v>1115</v>
      </c>
      <c r="C1046" s="217"/>
      <c r="D1046" s="217" t="s">
        <v>17167</v>
      </c>
      <c r="E1046" s="471" t="s">
        <v>20409</v>
      </c>
      <c r="F1046" s="486">
        <v>96545</v>
      </c>
      <c r="G1046" s="470" t="s">
        <v>20678</v>
      </c>
      <c r="H1046" s="471" t="s">
        <v>302</v>
      </c>
      <c r="I1046" s="509">
        <v>10.15</v>
      </c>
      <c r="J1046" s="473">
        <f t="shared" si="981"/>
        <v>15.82</v>
      </c>
      <c r="K1046" s="474">
        <f t="shared" si="983"/>
        <v>160.57300000000001</v>
      </c>
      <c r="L1046" s="473">
        <f t="shared" si="973"/>
        <v>15.48</v>
      </c>
      <c r="M1046" s="474">
        <f t="shared" si="984"/>
        <v>157.12200000000001</v>
      </c>
      <c r="O1046" s="434">
        <f t="shared" si="969"/>
        <v>15.82</v>
      </c>
      <c r="P1046" s="435">
        <f t="shared" si="970"/>
        <v>15.48</v>
      </c>
      <c r="AE1046" s="217"/>
      <c r="AF1046" s="217">
        <v>1115</v>
      </c>
      <c r="AH1046">
        <f t="shared" si="980"/>
        <v>1115</v>
      </c>
    </row>
    <row r="1047" ht="45" hidden="1">
      <c r="A1047" s="217"/>
      <c r="B1047" s="217">
        <v>1115</v>
      </c>
      <c r="C1047" s="217"/>
      <c r="D1047" s="217" t="s">
        <v>17167</v>
      </c>
      <c r="E1047" s="471" t="s">
        <v>20663</v>
      </c>
      <c r="F1047" s="486">
        <v>96546</v>
      </c>
      <c r="G1047" s="470" t="s">
        <v>21133</v>
      </c>
      <c r="H1047" s="471" t="s">
        <v>302</v>
      </c>
      <c r="I1047" s="509">
        <v>4.46</v>
      </c>
      <c r="J1047" s="473">
        <f t="shared" si="981"/>
        <v>13.77</v>
      </c>
      <c r="K1047" s="474">
        <f t="shared" si="983"/>
        <v>61.414200000000001</v>
      </c>
      <c r="L1047" s="473">
        <f t="shared" si="973"/>
        <v>13.51</v>
      </c>
      <c r="M1047" s="474">
        <f t="shared" si="984"/>
        <v>60.254599999999996</v>
      </c>
      <c r="O1047" s="434">
        <f t="shared" si="969"/>
        <v>13.77</v>
      </c>
      <c r="P1047" s="435">
        <f t="shared" si="970"/>
        <v>13.51</v>
      </c>
      <c r="AE1047" s="217"/>
      <c r="AF1047" s="217">
        <v>1115</v>
      </c>
      <c r="AH1047">
        <f t="shared" si="980"/>
        <v>1115</v>
      </c>
    </row>
    <row r="1048" ht="30" hidden="1">
      <c r="A1048" s="217"/>
      <c r="B1048" s="217">
        <v>1115</v>
      </c>
      <c r="C1048" s="217"/>
      <c r="D1048" s="217" t="s">
        <v>20408</v>
      </c>
      <c r="E1048" s="471" t="s">
        <v>20665</v>
      </c>
      <c r="F1048" s="486">
        <v>43082</v>
      </c>
      <c r="G1048" s="470" t="s">
        <v>21182</v>
      </c>
      <c r="H1048" s="471" t="s">
        <v>302</v>
      </c>
      <c r="I1048" s="509">
        <f>113.1+40.3</f>
        <v>153.40000000000001</v>
      </c>
      <c r="J1048" s="473">
        <f t="shared" si="981"/>
        <v>10</v>
      </c>
      <c r="K1048" s="474">
        <f t="shared" si="983"/>
        <v>1534</v>
      </c>
      <c r="L1048" s="473">
        <f t="shared" si="973"/>
        <v>10</v>
      </c>
      <c r="M1048" s="474">
        <f t="shared" si="984"/>
        <v>1534</v>
      </c>
      <c r="O1048" s="434">
        <f t="shared" si="969"/>
        <v>10</v>
      </c>
      <c r="P1048" s="435">
        <f t="shared" si="970"/>
        <v>10</v>
      </c>
      <c r="AE1048" s="217"/>
      <c r="AF1048" s="217">
        <v>1115</v>
      </c>
      <c r="AH1048">
        <f t="shared" si="980"/>
        <v>1115</v>
      </c>
    </row>
    <row r="1049" ht="45" hidden="1">
      <c r="A1049" s="217"/>
      <c r="B1049" s="217">
        <v>1115</v>
      </c>
      <c r="C1049" s="217"/>
      <c r="D1049" s="217" t="s">
        <v>20408</v>
      </c>
      <c r="E1049" s="471" t="s">
        <v>20667</v>
      </c>
      <c r="F1049" s="486">
        <v>40839</v>
      </c>
      <c r="G1049" s="470" t="s">
        <v>21183</v>
      </c>
      <c r="H1049" s="471" t="s">
        <v>31</v>
      </c>
      <c r="I1049" s="509">
        <v>8</v>
      </c>
      <c r="J1049" s="473">
        <f>O1049*$J$3/100</f>
        <v>1.3077000000000001</v>
      </c>
      <c r="K1049" s="474">
        <f t="shared" si="983"/>
        <v>10.461600000000001</v>
      </c>
      <c r="L1049" s="473">
        <f t="shared" si="973"/>
        <v>130.77000000000001</v>
      </c>
      <c r="M1049" s="474">
        <f t="shared" si="984"/>
        <v>1046.1600000000001</v>
      </c>
      <c r="O1049" s="434">
        <f t="shared" si="969"/>
        <v>130.77000000000001</v>
      </c>
      <c r="P1049" s="435">
        <f t="shared" si="970"/>
        <v>130.77000000000001</v>
      </c>
      <c r="AE1049" s="217"/>
      <c r="AF1049" s="217">
        <v>1115</v>
      </c>
      <c r="AH1049">
        <f t="shared" si="980"/>
        <v>1115</v>
      </c>
    </row>
    <row r="1050" ht="30" hidden="1">
      <c r="A1050" s="217"/>
      <c r="B1050" s="217">
        <v>1115</v>
      </c>
      <c r="C1050" s="217"/>
      <c r="D1050" s="217" t="s">
        <v>20408</v>
      </c>
      <c r="E1050" s="471" t="s">
        <v>20671</v>
      </c>
      <c r="F1050" s="486">
        <v>34723</v>
      </c>
      <c r="G1050" s="470" t="s">
        <v>21184</v>
      </c>
      <c r="H1050" s="471" t="s">
        <v>15515</v>
      </c>
      <c r="I1050" s="509">
        <f>3.2*1.1</f>
        <v>3.52</v>
      </c>
      <c r="J1050" s="473">
        <f t="shared" ref="J1050:J1065" si="985">O1050*$J$3</f>
        <v>997.91999999999996</v>
      </c>
      <c r="K1050" s="474">
        <f t="shared" si="983"/>
        <v>3512.6783999999998</v>
      </c>
      <c r="L1050" s="473">
        <f t="shared" si="973"/>
        <v>997.91999999999996</v>
      </c>
      <c r="M1050" s="474">
        <f t="shared" si="984"/>
        <v>3512.6783999999998</v>
      </c>
      <c r="O1050" s="434">
        <f t="shared" si="969"/>
        <v>997.91999999999996</v>
      </c>
      <c r="P1050" s="435">
        <f t="shared" si="970"/>
        <v>997.91999999999996</v>
      </c>
      <c r="AE1050" s="217"/>
      <c r="AF1050" s="217">
        <v>1115</v>
      </c>
      <c r="AH1050">
        <f t="shared" si="980"/>
        <v>1115</v>
      </c>
    </row>
    <row r="1051" ht="105" hidden="1">
      <c r="A1051" s="217"/>
      <c r="B1051" s="217">
        <v>1115</v>
      </c>
      <c r="C1051" s="217"/>
      <c r="D1051" s="217" t="s">
        <v>17167</v>
      </c>
      <c r="E1051" s="471" t="s">
        <v>20672</v>
      </c>
      <c r="F1051" s="486">
        <v>73467</v>
      </c>
      <c r="G1051" s="470" t="s">
        <v>1601</v>
      </c>
      <c r="H1051" s="471" t="s">
        <v>1535</v>
      </c>
      <c r="I1051" s="509">
        <v>1.e-002</v>
      </c>
      <c r="J1051" s="473">
        <f t="shared" si="985"/>
        <v>270.61000000000001</v>
      </c>
      <c r="K1051" s="474">
        <f t="shared" si="983"/>
        <v>2.7061000000000002</v>
      </c>
      <c r="L1051" s="473">
        <f t="shared" si="973"/>
        <v>269.00999999999999</v>
      </c>
      <c r="M1051" s="474">
        <f t="shared" si="984"/>
        <v>2.6901000000000002</v>
      </c>
      <c r="O1051" s="434">
        <f t="shared" si="969"/>
        <v>270.61000000000001</v>
      </c>
      <c r="P1051" s="435">
        <f t="shared" si="970"/>
        <v>269.00999999999999</v>
      </c>
      <c r="AE1051" s="217"/>
      <c r="AF1051" s="217">
        <v>1115</v>
      </c>
      <c r="AH1051">
        <f t="shared" si="980"/>
        <v>1115</v>
      </c>
    </row>
    <row r="1052" ht="30" hidden="1">
      <c r="A1052" s="217"/>
      <c r="B1052" s="217">
        <v>1115</v>
      </c>
      <c r="C1052" s="217"/>
      <c r="D1052" s="217" t="s">
        <v>17167</v>
      </c>
      <c r="E1052" s="471" t="s">
        <v>20673</v>
      </c>
      <c r="F1052" s="486">
        <v>88242</v>
      </c>
      <c r="G1052" s="470" t="s">
        <v>7093</v>
      </c>
      <c r="H1052" s="471" t="s">
        <v>2032</v>
      </c>
      <c r="I1052" s="509">
        <f>2/4</f>
        <v>0.5</v>
      </c>
      <c r="J1052" s="473">
        <f t="shared" si="985"/>
        <v>23.530000000000001</v>
      </c>
      <c r="K1052" s="474">
        <f t="shared" si="983"/>
        <v>11.765000000000001</v>
      </c>
      <c r="L1052" s="473">
        <f t="shared" si="973"/>
        <v>22.27</v>
      </c>
      <c r="M1052" s="474">
        <f t="shared" si="984"/>
        <v>11.135</v>
      </c>
      <c r="O1052" s="434">
        <f t="shared" si="969"/>
        <v>23.530000000000001</v>
      </c>
      <c r="P1052" s="435">
        <f t="shared" si="970"/>
        <v>22.27</v>
      </c>
      <c r="AE1052" s="217"/>
      <c r="AF1052" s="217">
        <v>1115</v>
      </c>
      <c r="AH1052">
        <f t="shared" si="980"/>
        <v>1115</v>
      </c>
    </row>
    <row r="1053" ht="30" hidden="1">
      <c r="A1053" s="217"/>
      <c r="B1053" s="217">
        <v>1115</v>
      </c>
      <c r="C1053" s="217"/>
      <c r="D1053" s="217" t="s">
        <v>17167</v>
      </c>
      <c r="E1053" s="471" t="s">
        <v>20675</v>
      </c>
      <c r="F1053" s="486">
        <v>88278</v>
      </c>
      <c r="G1053" s="470" t="s">
        <v>21185</v>
      </c>
      <c r="H1053" s="471" t="s">
        <v>2032</v>
      </c>
      <c r="I1053" s="509">
        <f t="shared" ref="I1053:I1054" si="986">1/4</f>
        <v>0.25</v>
      </c>
      <c r="J1053" s="473">
        <f t="shared" si="985"/>
        <v>30.440000000000001</v>
      </c>
      <c r="K1053" s="474">
        <f t="shared" si="983"/>
        <v>7.6100000000000003</v>
      </c>
      <c r="L1053" s="473">
        <f t="shared" si="973"/>
        <v>28.57</v>
      </c>
      <c r="M1053" s="474">
        <f t="shared" si="984"/>
        <v>7.1425000000000001</v>
      </c>
      <c r="O1053" s="434">
        <f t="shared" si="969"/>
        <v>30.440000000000001</v>
      </c>
      <c r="P1053" s="435">
        <f t="shared" si="970"/>
        <v>28.57</v>
      </c>
      <c r="AE1053" s="217"/>
      <c r="AF1053" s="217">
        <v>1115</v>
      </c>
      <c r="AH1053">
        <f t="shared" si="980"/>
        <v>1115</v>
      </c>
    </row>
    <row r="1054" ht="30" hidden="1">
      <c r="A1054" s="217"/>
      <c r="B1054" s="217">
        <v>1115</v>
      </c>
      <c r="C1054" s="217"/>
      <c r="D1054" s="217" t="s">
        <v>17167</v>
      </c>
      <c r="E1054" s="471" t="s">
        <v>20677</v>
      </c>
      <c r="F1054" s="486">
        <v>88315</v>
      </c>
      <c r="G1054" s="470" t="s">
        <v>7392</v>
      </c>
      <c r="H1054" s="471" t="s">
        <v>2032</v>
      </c>
      <c r="I1054" s="509">
        <f t="shared" si="986"/>
        <v>0.25</v>
      </c>
      <c r="J1054" s="473">
        <f t="shared" si="985"/>
        <v>28.800000000000001</v>
      </c>
      <c r="K1054" s="474">
        <f t="shared" si="983"/>
        <v>7.2000000000000002</v>
      </c>
      <c r="L1054" s="473">
        <f t="shared" si="973"/>
        <v>27.149999999999999</v>
      </c>
      <c r="M1054" s="474">
        <f t="shared" si="984"/>
        <v>6.7874999999999996</v>
      </c>
      <c r="O1054" s="434">
        <f t="shared" si="969"/>
        <v>28.800000000000001</v>
      </c>
      <c r="P1054" s="435">
        <f t="shared" si="970"/>
        <v>27.149999999999999</v>
      </c>
      <c r="AE1054" s="217"/>
      <c r="AF1054" s="217">
        <v>1115</v>
      </c>
      <c r="AH1054">
        <f t="shared" si="980"/>
        <v>1115</v>
      </c>
    </row>
    <row r="1055" ht="30" hidden="1">
      <c r="A1055" s="217"/>
      <c r="B1055" s="217">
        <v>1115</v>
      </c>
      <c r="C1055" s="217"/>
      <c r="D1055" s="217" t="s">
        <v>17167</v>
      </c>
      <c r="E1055" s="471" t="s">
        <v>20679</v>
      </c>
      <c r="F1055" s="486">
        <v>88316</v>
      </c>
      <c r="G1055" s="470" t="s">
        <v>7393</v>
      </c>
      <c r="H1055" s="471" t="s">
        <v>2032</v>
      </c>
      <c r="I1055" s="509">
        <f>2/4</f>
        <v>0.5</v>
      </c>
      <c r="J1055" s="473">
        <f t="shared" si="985"/>
        <v>22.760000000000002</v>
      </c>
      <c r="K1055" s="474">
        <f t="shared" si="983"/>
        <v>11.380000000000001</v>
      </c>
      <c r="L1055" s="473">
        <f t="shared" si="973"/>
        <v>21.550000000000001</v>
      </c>
      <c r="M1055" s="474">
        <f t="shared" si="984"/>
        <v>10.775</v>
      </c>
      <c r="O1055" s="434">
        <f t="shared" si="969"/>
        <v>22.760000000000002</v>
      </c>
      <c r="P1055" s="435">
        <f t="shared" si="970"/>
        <v>21.550000000000001</v>
      </c>
      <c r="AE1055" s="217"/>
      <c r="AF1055" s="217">
        <v>1115</v>
      </c>
      <c r="AH1055">
        <f t="shared" si="980"/>
        <v>1115</v>
      </c>
    </row>
    <row r="1056" ht="90" hidden="1">
      <c r="A1056" s="217"/>
      <c r="B1056" s="217">
        <v>1115</v>
      </c>
      <c r="C1056" s="217"/>
      <c r="D1056" s="217" t="s">
        <v>17167</v>
      </c>
      <c r="E1056" s="471" t="s">
        <v>20681</v>
      </c>
      <c r="F1056" s="486">
        <v>100758</v>
      </c>
      <c r="G1056" s="470" t="s">
        <v>21186</v>
      </c>
      <c r="H1056" s="471" t="s">
        <v>15515</v>
      </c>
      <c r="I1056" s="509">
        <v>6.2400000000000002</v>
      </c>
      <c r="J1056" s="473">
        <f t="shared" si="985"/>
        <v>51.649999999999999</v>
      </c>
      <c r="K1056" s="474">
        <f t="shared" si="983"/>
        <v>322.29599999999999</v>
      </c>
      <c r="L1056" s="473">
        <f t="shared" si="973"/>
        <v>49.460000000000001</v>
      </c>
      <c r="M1056" s="474">
        <f t="shared" si="984"/>
        <v>308.63040000000001</v>
      </c>
      <c r="O1056" s="434">
        <f t="shared" si="969"/>
        <v>51.649999999999999</v>
      </c>
      <c r="P1056" s="435">
        <f t="shared" si="970"/>
        <v>49.460000000000001</v>
      </c>
      <c r="AE1056" s="217"/>
      <c r="AF1056" s="217">
        <v>1115</v>
      </c>
      <c r="AH1056">
        <f t="shared" si="980"/>
        <v>1115</v>
      </c>
    </row>
    <row r="1057" ht="75" hidden="1">
      <c r="A1057" s="217"/>
      <c r="B1057" s="217">
        <v>1115</v>
      </c>
      <c r="C1057" s="217"/>
      <c r="D1057" s="217" t="s">
        <v>17167</v>
      </c>
      <c r="E1057" s="471" t="s">
        <v>20683</v>
      </c>
      <c r="F1057" s="486">
        <v>100722</v>
      </c>
      <c r="G1057" s="470" t="s">
        <v>21187</v>
      </c>
      <c r="H1057" s="471" t="s">
        <v>15515</v>
      </c>
      <c r="I1057" s="509">
        <v>6.2400000000000002</v>
      </c>
      <c r="J1057" s="473">
        <f t="shared" si="985"/>
        <v>25.260000000000002</v>
      </c>
      <c r="K1057" s="474">
        <f t="shared" si="983"/>
        <v>157.62240000000003</v>
      </c>
      <c r="L1057" s="473">
        <f t="shared" si="973"/>
        <v>24.170000000000002</v>
      </c>
      <c r="M1057" s="474">
        <f t="shared" si="984"/>
        <v>150.82080000000002</v>
      </c>
      <c r="O1057" s="434">
        <f t="shared" si="969"/>
        <v>25.260000000000002</v>
      </c>
      <c r="P1057" s="435">
        <f t="shared" si="970"/>
        <v>24.170000000000002</v>
      </c>
      <c r="AE1057" s="217"/>
      <c r="AF1057" s="217">
        <v>1115</v>
      </c>
      <c r="AH1057">
        <f t="shared" si="980"/>
        <v>1115</v>
      </c>
    </row>
    <row r="1058" ht="45" hidden="1">
      <c r="A1058" s="217"/>
      <c r="B1058" s="217">
        <v>1115</v>
      </c>
      <c r="C1058" s="217"/>
      <c r="D1058" s="217" t="s">
        <v>20408</v>
      </c>
      <c r="E1058" s="471" t="s">
        <v>20685</v>
      </c>
      <c r="F1058" s="486">
        <v>4777</v>
      </c>
      <c r="G1058" s="470" t="s">
        <v>11427</v>
      </c>
      <c r="H1058" s="471" t="s">
        <v>302</v>
      </c>
      <c r="I1058" s="509">
        <v>7.6200000000000001</v>
      </c>
      <c r="J1058" s="473">
        <f t="shared" si="985"/>
        <v>8.0199999999999996</v>
      </c>
      <c r="K1058" s="474">
        <f t="shared" si="983"/>
        <v>61.112400000000001</v>
      </c>
      <c r="L1058" s="473">
        <f t="shared" si="973"/>
        <v>8.0199999999999996</v>
      </c>
      <c r="M1058" s="474">
        <f t="shared" si="984"/>
        <v>61.112400000000001</v>
      </c>
      <c r="O1058" s="434">
        <f t="shared" si="969"/>
        <v>8.0199999999999996</v>
      </c>
      <c r="P1058" s="435">
        <f t="shared" si="970"/>
        <v>8.0199999999999996</v>
      </c>
      <c r="AE1058" s="217"/>
      <c r="AF1058" s="217">
        <v>1115</v>
      </c>
      <c r="AH1058">
        <f t="shared" si="980"/>
        <v>1115</v>
      </c>
    </row>
    <row r="1059" ht="114" hidden="1" customHeight="1">
      <c r="A1059" s="460">
        <v>1116</v>
      </c>
      <c r="B1059" s="460">
        <v>1116</v>
      </c>
      <c r="C1059" s="460"/>
      <c r="D1059" s="460"/>
      <c r="E1059" s="461">
        <v>1</v>
      </c>
      <c r="F1059" s="462" t="s">
        <v>21192</v>
      </c>
      <c r="G1059" s="477" t="s">
        <v>21193</v>
      </c>
      <c r="H1059" s="478" t="s">
        <v>20647</v>
      </c>
      <c r="I1059" s="479"/>
      <c r="J1059" s="480"/>
      <c r="K1059" s="466">
        <f>SUM(K1060:K1075)</f>
        <v>4849.848312000001</v>
      </c>
      <c r="L1059" s="480"/>
      <c r="M1059" s="466">
        <f>SUM(M1060:M1075)</f>
        <v>5844.4891119999993</v>
      </c>
      <c r="O1059" s="434" t="str">
        <f t="shared" si="969"/>
        <v xml:space="preserve">SEM VALOR</v>
      </c>
      <c r="P1059" s="435" t="str">
        <f t="shared" si="970"/>
        <v xml:space="preserve">SEM VALOR</v>
      </c>
      <c r="AE1059" s="460">
        <v>1116</v>
      </c>
      <c r="AF1059" s="460"/>
      <c r="AH1059">
        <f t="shared" si="980"/>
        <v>1116</v>
      </c>
    </row>
    <row r="1060" ht="45" hidden="1">
      <c r="A1060" s="217"/>
      <c r="B1060" s="217">
        <v>1116</v>
      </c>
      <c r="C1060" s="217"/>
      <c r="D1060" s="217" t="s">
        <v>20398</v>
      </c>
      <c r="E1060" s="471" t="s">
        <v>20399</v>
      </c>
      <c r="F1060" s="486">
        <v>1259</v>
      </c>
      <c r="G1060" s="470" t="s">
        <v>20796</v>
      </c>
      <c r="H1060" s="471" t="s">
        <v>15528</v>
      </c>
      <c r="I1060" s="483">
        <v>0.59999999999999998</v>
      </c>
      <c r="J1060" s="473">
        <f t="shared" si="985"/>
        <v>45.520000000000003</v>
      </c>
      <c r="K1060" s="474">
        <f t="shared" ref="K1060:K1075" si="987">I1060*J1060</f>
        <v>27.312000000000001</v>
      </c>
      <c r="L1060" s="473">
        <f t="shared" si="973"/>
        <v>43.100000000000001</v>
      </c>
      <c r="M1060" s="474">
        <f t="shared" ref="M1060:M1075" si="988">L1060*I1060</f>
        <v>25.859999999999999</v>
      </c>
      <c r="O1060" s="434">
        <f t="shared" si="969"/>
        <v>45.520000000000003</v>
      </c>
      <c r="P1060" s="435">
        <f t="shared" si="970"/>
        <v>43.100000000000001</v>
      </c>
      <c r="AE1060" s="217"/>
      <c r="AF1060" s="217">
        <v>1116</v>
      </c>
      <c r="AH1060">
        <f t="shared" si="980"/>
        <v>1116</v>
      </c>
    </row>
    <row r="1061" ht="60" hidden="1">
      <c r="A1061" s="217"/>
      <c r="B1061" s="217">
        <v>1116</v>
      </c>
      <c r="C1061" s="217"/>
      <c r="D1061" s="217" t="s">
        <v>20398</v>
      </c>
      <c r="E1061" s="471" t="s">
        <v>20402</v>
      </c>
      <c r="F1061" s="486">
        <v>1241</v>
      </c>
      <c r="G1061" s="470" t="s">
        <v>21181</v>
      </c>
      <c r="H1061" s="471" t="s">
        <v>15528</v>
      </c>
      <c r="I1061" s="509">
        <v>0.59999999999999998</v>
      </c>
      <c r="J1061" s="473">
        <f t="shared" si="985"/>
        <v>453.00401999999997</v>
      </c>
      <c r="K1061" s="474">
        <f t="shared" si="987"/>
        <v>271.80241199999995</v>
      </c>
      <c r="L1061" s="473">
        <f t="shared" si="973"/>
        <v>445.74401999999998</v>
      </c>
      <c r="M1061" s="474">
        <f t="shared" si="988"/>
        <v>267.44641199999995</v>
      </c>
      <c r="O1061" s="434">
        <f t="shared" si="969"/>
        <v>453.00401999999997</v>
      </c>
      <c r="P1061" s="435">
        <f t="shared" si="970"/>
        <v>445.74401999999998</v>
      </c>
      <c r="AE1061" s="217"/>
      <c r="AF1061" s="217">
        <v>1116</v>
      </c>
      <c r="AH1061">
        <f t="shared" si="980"/>
        <v>1116</v>
      </c>
    </row>
    <row r="1062" ht="60" hidden="1">
      <c r="A1062" s="217"/>
      <c r="B1062" s="217">
        <v>1116</v>
      </c>
      <c r="C1062" s="217"/>
      <c r="D1062" s="217" t="s">
        <v>17167</v>
      </c>
      <c r="E1062" s="471" t="s">
        <v>20405</v>
      </c>
      <c r="F1062" s="486">
        <v>103670</v>
      </c>
      <c r="G1062" s="470" t="s">
        <v>1387</v>
      </c>
      <c r="H1062" s="471" t="s">
        <v>15528</v>
      </c>
      <c r="I1062" s="509">
        <f>I1061</f>
        <v>0.59999999999999998</v>
      </c>
      <c r="J1062" s="473">
        <f t="shared" si="985"/>
        <v>308.60000000000002</v>
      </c>
      <c r="K1062" s="474">
        <f t="shared" si="987"/>
        <v>185.16</v>
      </c>
      <c r="L1062" s="473">
        <f t="shared" si="973"/>
        <v>291.69999999999999</v>
      </c>
      <c r="M1062" s="474">
        <f t="shared" si="988"/>
        <v>175.01999999999998</v>
      </c>
      <c r="O1062" s="434">
        <f t="shared" si="969"/>
        <v>308.60000000000002</v>
      </c>
      <c r="P1062" s="435">
        <f t="shared" si="970"/>
        <v>291.69999999999999</v>
      </c>
      <c r="AE1062" s="217"/>
      <c r="AF1062" s="217">
        <v>1116</v>
      </c>
      <c r="AH1062">
        <f t="shared" si="980"/>
        <v>1116</v>
      </c>
    </row>
    <row r="1063" ht="45" hidden="1">
      <c r="A1063" s="217"/>
      <c r="B1063" s="217">
        <v>1116</v>
      </c>
      <c r="C1063" s="217"/>
      <c r="D1063" s="217" t="s">
        <v>17167</v>
      </c>
      <c r="E1063" s="471" t="s">
        <v>20409</v>
      </c>
      <c r="F1063" s="486">
        <v>96545</v>
      </c>
      <c r="G1063" s="470" t="s">
        <v>20678</v>
      </c>
      <c r="H1063" s="471" t="s">
        <v>302</v>
      </c>
      <c r="I1063" s="509">
        <v>10.15</v>
      </c>
      <c r="J1063" s="473">
        <f t="shared" si="985"/>
        <v>15.82</v>
      </c>
      <c r="K1063" s="474">
        <f t="shared" si="987"/>
        <v>160.57300000000001</v>
      </c>
      <c r="L1063" s="473">
        <f t="shared" si="973"/>
        <v>15.48</v>
      </c>
      <c r="M1063" s="474">
        <f t="shared" si="988"/>
        <v>157.12200000000001</v>
      </c>
      <c r="O1063" s="434">
        <f t="shared" si="969"/>
        <v>15.82</v>
      </c>
      <c r="P1063" s="435">
        <f t="shared" si="970"/>
        <v>15.48</v>
      </c>
      <c r="AE1063" s="217"/>
      <c r="AF1063" s="217">
        <v>1116</v>
      </c>
      <c r="AH1063">
        <f t="shared" si="980"/>
        <v>1116</v>
      </c>
    </row>
    <row r="1064" ht="45" hidden="1">
      <c r="A1064" s="217"/>
      <c r="B1064" s="217">
        <v>1116</v>
      </c>
      <c r="C1064" s="217"/>
      <c r="D1064" s="217" t="s">
        <v>17167</v>
      </c>
      <c r="E1064" s="471" t="s">
        <v>20663</v>
      </c>
      <c r="F1064" s="486">
        <v>96546</v>
      </c>
      <c r="G1064" s="470" t="s">
        <v>21133</v>
      </c>
      <c r="H1064" s="471" t="s">
        <v>302</v>
      </c>
      <c r="I1064" s="509">
        <v>4.46</v>
      </c>
      <c r="J1064" s="473">
        <f t="shared" si="985"/>
        <v>13.77</v>
      </c>
      <c r="K1064" s="474">
        <f t="shared" si="987"/>
        <v>61.414200000000001</v>
      </c>
      <c r="L1064" s="473">
        <f t="shared" si="973"/>
        <v>13.51</v>
      </c>
      <c r="M1064" s="474">
        <f t="shared" si="988"/>
        <v>60.254599999999996</v>
      </c>
      <c r="O1064" s="434">
        <f t="shared" si="969"/>
        <v>13.77</v>
      </c>
      <c r="P1064" s="435">
        <f t="shared" si="970"/>
        <v>13.51</v>
      </c>
      <c r="AE1064" s="217"/>
      <c r="AF1064" s="217">
        <v>1116</v>
      </c>
      <c r="AH1064">
        <f t="shared" si="980"/>
        <v>1116</v>
      </c>
    </row>
    <row r="1065" ht="30" hidden="1">
      <c r="A1065" s="217"/>
      <c r="B1065" s="217">
        <v>1116</v>
      </c>
      <c r="C1065" s="217"/>
      <c r="D1065" s="217" t="s">
        <v>20408</v>
      </c>
      <c r="E1065" s="471" t="s">
        <v>20665</v>
      </c>
      <c r="F1065" s="486">
        <v>43082</v>
      </c>
      <c r="G1065" s="470" t="s">
        <v>21182</v>
      </c>
      <c r="H1065" s="471" t="s">
        <v>302</v>
      </c>
      <c r="I1065" s="509">
        <f>102.7+39.65</f>
        <v>142.34999999999999</v>
      </c>
      <c r="J1065" s="473">
        <f t="shared" si="985"/>
        <v>10</v>
      </c>
      <c r="K1065" s="474">
        <f t="shared" si="987"/>
        <v>1423.5</v>
      </c>
      <c r="L1065" s="473">
        <f t="shared" si="973"/>
        <v>10</v>
      </c>
      <c r="M1065" s="474">
        <f t="shared" si="988"/>
        <v>1423.5</v>
      </c>
      <c r="O1065" s="434">
        <f t="shared" si="969"/>
        <v>10</v>
      </c>
      <c r="P1065" s="435">
        <f t="shared" si="970"/>
        <v>10</v>
      </c>
      <c r="AE1065" s="217"/>
      <c r="AF1065" s="217">
        <v>1116</v>
      </c>
      <c r="AH1065">
        <f t="shared" si="980"/>
        <v>1116</v>
      </c>
    </row>
    <row r="1066" ht="45" hidden="1">
      <c r="A1066" s="217"/>
      <c r="B1066" s="217">
        <v>1116</v>
      </c>
      <c r="C1066" s="217"/>
      <c r="D1066" s="217" t="s">
        <v>20408</v>
      </c>
      <c r="E1066" s="471" t="s">
        <v>20667</v>
      </c>
      <c r="F1066" s="486">
        <v>40839</v>
      </c>
      <c r="G1066" s="470" t="s">
        <v>21183</v>
      </c>
      <c r="H1066" s="471" t="s">
        <v>31</v>
      </c>
      <c r="I1066" s="509">
        <v>8</v>
      </c>
      <c r="J1066" s="473">
        <f>O1066*$J$3/100</f>
        <v>1.3077000000000001</v>
      </c>
      <c r="K1066" s="474">
        <f t="shared" si="987"/>
        <v>10.461600000000001</v>
      </c>
      <c r="L1066" s="473">
        <f t="shared" si="973"/>
        <v>130.77000000000001</v>
      </c>
      <c r="M1066" s="474">
        <f t="shared" si="988"/>
        <v>1046.1600000000001</v>
      </c>
      <c r="O1066" s="434">
        <f t="shared" si="969"/>
        <v>130.77000000000001</v>
      </c>
      <c r="P1066" s="435">
        <f t="shared" si="970"/>
        <v>130.77000000000001</v>
      </c>
      <c r="AE1066" s="217"/>
      <c r="AF1066" s="217">
        <v>1116</v>
      </c>
      <c r="AH1066">
        <f t="shared" si="980"/>
        <v>1116</v>
      </c>
    </row>
    <row r="1067" ht="30" hidden="1">
      <c r="A1067" s="217"/>
      <c r="B1067" s="217">
        <v>1116</v>
      </c>
      <c r="C1067" s="217"/>
      <c r="D1067" s="217" t="s">
        <v>20408</v>
      </c>
      <c r="E1067" s="471" t="s">
        <v>20671</v>
      </c>
      <c r="F1067" s="486">
        <v>34723</v>
      </c>
      <c r="G1067" s="470" t="s">
        <v>21184</v>
      </c>
      <c r="H1067" s="471" t="s">
        <v>15515</v>
      </c>
      <c r="I1067" s="509">
        <f>3.15*0.7</f>
        <v>2.2050000000000001</v>
      </c>
      <c r="J1067" s="473">
        <f t="shared" ref="J1067:J1082" si="989">O1067*$J$3</f>
        <v>997.91999999999996</v>
      </c>
      <c r="K1067" s="474">
        <f t="shared" si="987"/>
        <v>2200.4135999999999</v>
      </c>
      <c r="L1067" s="473">
        <f t="shared" si="973"/>
        <v>997.91999999999996</v>
      </c>
      <c r="M1067" s="474">
        <f t="shared" si="988"/>
        <v>2200.4135999999999</v>
      </c>
      <c r="O1067" s="434">
        <f t="shared" si="969"/>
        <v>997.91999999999996</v>
      </c>
      <c r="P1067" s="435">
        <f t="shared" si="970"/>
        <v>997.91999999999996</v>
      </c>
      <c r="AE1067" s="217"/>
      <c r="AF1067" s="217">
        <v>1116</v>
      </c>
      <c r="AH1067">
        <f t="shared" si="980"/>
        <v>1116</v>
      </c>
    </row>
    <row r="1068" ht="105" hidden="1">
      <c r="A1068" s="217"/>
      <c r="B1068" s="217">
        <v>1116</v>
      </c>
      <c r="C1068" s="217"/>
      <c r="D1068" s="217" t="s">
        <v>17167</v>
      </c>
      <c r="E1068" s="471" t="s">
        <v>20672</v>
      </c>
      <c r="F1068" s="486">
        <v>73467</v>
      </c>
      <c r="G1068" s="470" t="s">
        <v>1601</v>
      </c>
      <c r="H1068" s="471" t="s">
        <v>1535</v>
      </c>
      <c r="I1068" s="509">
        <v>1.e-002</v>
      </c>
      <c r="J1068" s="473">
        <f t="shared" si="989"/>
        <v>270.61000000000001</v>
      </c>
      <c r="K1068" s="474">
        <f t="shared" si="987"/>
        <v>2.7061000000000002</v>
      </c>
      <c r="L1068" s="473">
        <f t="shared" si="973"/>
        <v>269.00999999999999</v>
      </c>
      <c r="M1068" s="474">
        <f t="shared" si="988"/>
        <v>2.6901000000000002</v>
      </c>
      <c r="O1068" s="434">
        <f t="shared" ref="O1068:O1131" si="990">IFERROR(IF(D1068="SINAPI",VLOOKUP(F1068,SINCOMOD,4,FALSE),IF(D1068="INSINAPI",VLOOKUP(F1068,INSINOD,5,FALSE),IF(D1068="SICRO",VLOOKUP(F1068,SICRO,5,FALSE),IF(D1068="COTACAO",VLOOKUP(F1068,COTACAO,6,FALSE),IF(D1068="PRÓPRIO",VLOOKUP(F1068,COMPOD,11,FALSE),IF(D1068="AGESUL",VLOOKUP(F1068,AGESULOD,6,FALSE),IF(D1068="INSAGESUL",VLOOKUP(F1068,INSAGESUL,7,FALSE),"SEM VALOR"))))))),"SEM VALOR")</f>
        <v>270.61000000000001</v>
      </c>
      <c r="P1068" s="435">
        <f t="shared" ref="P1068:P1131" si="991">IFERROR(IF(D1068="SINAPI",VLOOKUP(F1068,SINCOMOD,6,FALSE),IF(D1068="INSINAPI",VLOOKUP(F1068,INSINOD,6,FALSE),IF(D1068="SICRO",VLOOKUP(F1068,SICRO,5,FALSE),IF(D1068="COTACAO",VLOOKUP(F1068,COTACAO,6,FALSE),IF(D1068="PRÓPRIO",VLOOKUP(F1068,COMPOD,13,FALSE),IF(D1068="AGESUL",VLOOKUP(F1068,AGESULOD,11,FALSE),IF(D1068="INSAGESUL",VLOOKUP(F1068,INSAGESUL,8,FALSE),"SEM VALOR"))))))),"SEM VALOR")</f>
        <v>269.00999999999999</v>
      </c>
      <c r="AE1068" s="217"/>
      <c r="AF1068" s="217">
        <v>1116</v>
      </c>
      <c r="AH1068">
        <f t="shared" si="980"/>
        <v>1116</v>
      </c>
    </row>
    <row r="1069" ht="30" hidden="1">
      <c r="A1069" s="217"/>
      <c r="B1069" s="217">
        <v>1116</v>
      </c>
      <c r="C1069" s="217"/>
      <c r="D1069" s="217" t="s">
        <v>17167</v>
      </c>
      <c r="E1069" s="471" t="s">
        <v>20673</v>
      </c>
      <c r="F1069" s="486">
        <v>88242</v>
      </c>
      <c r="G1069" s="470" t="s">
        <v>7093</v>
      </c>
      <c r="H1069" s="471" t="s">
        <v>2032</v>
      </c>
      <c r="I1069" s="509">
        <f>2/4</f>
        <v>0.5</v>
      </c>
      <c r="J1069" s="473">
        <f t="shared" si="989"/>
        <v>23.530000000000001</v>
      </c>
      <c r="K1069" s="474">
        <f t="shared" si="987"/>
        <v>11.765000000000001</v>
      </c>
      <c r="L1069" s="473">
        <f t="shared" ref="L1069:L1132" si="992">P1069*$L$3</f>
        <v>22.27</v>
      </c>
      <c r="M1069" s="474">
        <f t="shared" si="988"/>
        <v>11.135</v>
      </c>
      <c r="O1069" s="434">
        <f t="shared" si="990"/>
        <v>23.530000000000001</v>
      </c>
      <c r="P1069" s="435">
        <f t="shared" si="991"/>
        <v>22.27</v>
      </c>
      <c r="AE1069" s="217"/>
      <c r="AF1069" s="217">
        <v>1116</v>
      </c>
      <c r="AH1069">
        <f t="shared" si="980"/>
        <v>1116</v>
      </c>
    </row>
    <row r="1070" ht="30" hidden="1">
      <c r="A1070" s="217"/>
      <c r="B1070" s="217">
        <v>1116</v>
      </c>
      <c r="C1070" s="217"/>
      <c r="D1070" s="217" t="s">
        <v>17167</v>
      </c>
      <c r="E1070" s="471" t="s">
        <v>20675</v>
      </c>
      <c r="F1070" s="486">
        <v>88278</v>
      </c>
      <c r="G1070" s="470" t="s">
        <v>21185</v>
      </c>
      <c r="H1070" s="471" t="s">
        <v>2032</v>
      </c>
      <c r="I1070" s="509">
        <f t="shared" ref="I1070:I1071" si="993">1/4</f>
        <v>0.25</v>
      </c>
      <c r="J1070" s="473">
        <f t="shared" si="989"/>
        <v>30.440000000000001</v>
      </c>
      <c r="K1070" s="474">
        <f t="shared" si="987"/>
        <v>7.6100000000000003</v>
      </c>
      <c r="L1070" s="473">
        <f t="shared" si="992"/>
        <v>28.57</v>
      </c>
      <c r="M1070" s="474">
        <f t="shared" si="988"/>
        <v>7.1425000000000001</v>
      </c>
      <c r="O1070" s="434">
        <f t="shared" si="990"/>
        <v>30.440000000000001</v>
      </c>
      <c r="P1070" s="435">
        <f t="shared" si="991"/>
        <v>28.57</v>
      </c>
      <c r="AE1070" s="217"/>
      <c r="AF1070" s="217">
        <v>1116</v>
      </c>
      <c r="AH1070">
        <f t="shared" si="980"/>
        <v>1116</v>
      </c>
    </row>
    <row r="1071" ht="30" hidden="1">
      <c r="A1071" s="217"/>
      <c r="B1071" s="217">
        <v>1116</v>
      </c>
      <c r="C1071" s="217"/>
      <c r="D1071" s="217" t="s">
        <v>17167</v>
      </c>
      <c r="E1071" s="471" t="s">
        <v>20677</v>
      </c>
      <c r="F1071" s="486">
        <v>88315</v>
      </c>
      <c r="G1071" s="470" t="s">
        <v>7392</v>
      </c>
      <c r="H1071" s="471" t="s">
        <v>2032</v>
      </c>
      <c r="I1071" s="509">
        <f t="shared" si="993"/>
        <v>0.25</v>
      </c>
      <c r="J1071" s="473">
        <f t="shared" si="989"/>
        <v>28.800000000000001</v>
      </c>
      <c r="K1071" s="474">
        <f t="shared" si="987"/>
        <v>7.2000000000000002</v>
      </c>
      <c r="L1071" s="473">
        <f t="shared" si="992"/>
        <v>27.149999999999999</v>
      </c>
      <c r="M1071" s="474">
        <f t="shared" si="988"/>
        <v>6.7874999999999996</v>
      </c>
      <c r="O1071" s="434">
        <f t="shared" si="990"/>
        <v>28.800000000000001</v>
      </c>
      <c r="P1071" s="435">
        <f t="shared" si="991"/>
        <v>27.149999999999999</v>
      </c>
      <c r="AE1071" s="217"/>
      <c r="AF1071" s="217">
        <v>1116</v>
      </c>
      <c r="AH1071">
        <f t="shared" si="980"/>
        <v>1116</v>
      </c>
    </row>
    <row r="1072" ht="30" hidden="1">
      <c r="A1072" s="217"/>
      <c r="B1072" s="217">
        <v>1116</v>
      </c>
      <c r="C1072" s="217"/>
      <c r="D1072" s="217" t="s">
        <v>17167</v>
      </c>
      <c r="E1072" s="471" t="s">
        <v>20679</v>
      </c>
      <c r="F1072" s="486">
        <v>88316</v>
      </c>
      <c r="G1072" s="470" t="s">
        <v>7393</v>
      </c>
      <c r="H1072" s="471" t="s">
        <v>2032</v>
      </c>
      <c r="I1072" s="509">
        <f>2/4</f>
        <v>0.5</v>
      </c>
      <c r="J1072" s="473">
        <f t="shared" si="989"/>
        <v>22.760000000000002</v>
      </c>
      <c r="K1072" s="474">
        <f t="shared" si="987"/>
        <v>11.380000000000001</v>
      </c>
      <c r="L1072" s="473">
        <f t="shared" si="992"/>
        <v>21.550000000000001</v>
      </c>
      <c r="M1072" s="474">
        <f t="shared" si="988"/>
        <v>10.775</v>
      </c>
      <c r="O1072" s="434">
        <f t="shared" si="990"/>
        <v>22.760000000000002</v>
      </c>
      <c r="P1072" s="435">
        <f t="shared" si="991"/>
        <v>21.550000000000001</v>
      </c>
      <c r="AE1072" s="217"/>
      <c r="AF1072" s="217">
        <v>1116</v>
      </c>
      <c r="AH1072">
        <f t="shared" si="980"/>
        <v>1116</v>
      </c>
    </row>
    <row r="1073" ht="90" hidden="1">
      <c r="A1073" s="217"/>
      <c r="B1073" s="217">
        <v>1116</v>
      </c>
      <c r="C1073" s="217"/>
      <c r="D1073" s="217" t="s">
        <v>17167</v>
      </c>
      <c r="E1073" s="471" t="s">
        <v>20681</v>
      </c>
      <c r="F1073" s="486">
        <v>100758</v>
      </c>
      <c r="G1073" s="470" t="s">
        <v>21186</v>
      </c>
      <c r="H1073" s="471" t="s">
        <v>15515</v>
      </c>
      <c r="I1073" s="509">
        <v>5.5999999999999996</v>
      </c>
      <c r="J1073" s="473">
        <f t="shared" si="989"/>
        <v>51.649999999999999</v>
      </c>
      <c r="K1073" s="474">
        <f t="shared" si="987"/>
        <v>289.23999999999995</v>
      </c>
      <c r="L1073" s="473">
        <f t="shared" si="992"/>
        <v>49.460000000000001</v>
      </c>
      <c r="M1073" s="474">
        <f t="shared" si="988"/>
        <v>276.976</v>
      </c>
      <c r="O1073" s="434">
        <f t="shared" si="990"/>
        <v>51.649999999999999</v>
      </c>
      <c r="P1073" s="435">
        <f t="shared" si="991"/>
        <v>49.460000000000001</v>
      </c>
      <c r="AE1073" s="217"/>
      <c r="AF1073" s="217">
        <v>1116</v>
      </c>
      <c r="AH1073">
        <f t="shared" si="980"/>
        <v>1116</v>
      </c>
    </row>
    <row r="1074" ht="75" hidden="1">
      <c r="A1074" s="217"/>
      <c r="B1074" s="217">
        <v>1116</v>
      </c>
      <c r="C1074" s="217"/>
      <c r="D1074" s="217" t="s">
        <v>17167</v>
      </c>
      <c r="E1074" s="471" t="s">
        <v>20683</v>
      </c>
      <c r="F1074" s="486">
        <v>100722</v>
      </c>
      <c r="G1074" s="470" t="s">
        <v>21187</v>
      </c>
      <c r="H1074" s="471" t="s">
        <v>15515</v>
      </c>
      <c r="I1074" s="509">
        <v>5.5999999999999996</v>
      </c>
      <c r="J1074" s="473">
        <f t="shared" si="989"/>
        <v>25.260000000000002</v>
      </c>
      <c r="K1074" s="474">
        <f t="shared" si="987"/>
        <v>141.45599999999999</v>
      </c>
      <c r="L1074" s="473">
        <f t="shared" si="992"/>
        <v>24.170000000000002</v>
      </c>
      <c r="M1074" s="474">
        <f t="shared" si="988"/>
        <v>135.352</v>
      </c>
      <c r="O1074" s="434">
        <f t="shared" si="990"/>
        <v>25.260000000000002</v>
      </c>
      <c r="P1074" s="435">
        <f t="shared" si="991"/>
        <v>24.170000000000002</v>
      </c>
      <c r="AE1074" s="217"/>
      <c r="AF1074" s="217">
        <v>1116</v>
      </c>
      <c r="AH1074">
        <f t="shared" si="980"/>
        <v>1116</v>
      </c>
    </row>
    <row r="1075" ht="45" hidden="1">
      <c r="A1075" s="217"/>
      <c r="B1075" s="217">
        <v>1116</v>
      </c>
      <c r="C1075" s="217"/>
      <c r="D1075" s="217" t="s">
        <v>20408</v>
      </c>
      <c r="E1075" s="471" t="s">
        <v>20685</v>
      </c>
      <c r="F1075" s="486">
        <v>4777</v>
      </c>
      <c r="G1075" s="470" t="s">
        <v>11427</v>
      </c>
      <c r="H1075" s="471" t="s">
        <v>302</v>
      </c>
      <c r="I1075" s="509">
        <v>4.7199999999999998</v>
      </c>
      <c r="J1075" s="473">
        <f t="shared" si="989"/>
        <v>8.0199999999999996</v>
      </c>
      <c r="K1075" s="474">
        <f t="shared" si="987"/>
        <v>37.854399999999998</v>
      </c>
      <c r="L1075" s="473">
        <f t="shared" si="992"/>
        <v>8.0199999999999996</v>
      </c>
      <c r="M1075" s="474">
        <f t="shared" si="988"/>
        <v>37.854399999999998</v>
      </c>
      <c r="O1075" s="434">
        <f t="shared" si="990"/>
        <v>8.0199999999999996</v>
      </c>
      <c r="P1075" s="435">
        <f t="shared" si="991"/>
        <v>8.0199999999999996</v>
      </c>
      <c r="AE1075" s="217"/>
      <c r="AF1075" s="217">
        <v>1116</v>
      </c>
      <c r="AH1075">
        <f t="shared" si="980"/>
        <v>1116</v>
      </c>
    </row>
    <row r="1076" ht="113.25" hidden="1" customHeight="1">
      <c r="A1076" s="460">
        <v>1117</v>
      </c>
      <c r="B1076" s="460">
        <v>1117</v>
      </c>
      <c r="C1076" s="460"/>
      <c r="D1076" s="460"/>
      <c r="E1076" s="461">
        <v>1</v>
      </c>
      <c r="F1076" s="462" t="s">
        <v>21194</v>
      </c>
      <c r="G1076" s="477" t="s">
        <v>21195</v>
      </c>
      <c r="H1076" s="478" t="s">
        <v>20647</v>
      </c>
      <c r="I1076" s="479"/>
      <c r="J1076" s="480"/>
      <c r="K1076" s="466">
        <f>SUM(K1077:K1092)</f>
        <v>4725.5667120000007</v>
      </c>
      <c r="L1076" s="480"/>
      <c r="M1076" s="466">
        <f>SUM(M1077:M1092)</f>
        <v>5720.207511999999</v>
      </c>
      <c r="O1076" s="434" t="str">
        <f t="shared" si="990"/>
        <v xml:space="preserve">SEM VALOR</v>
      </c>
      <c r="P1076" s="435" t="str">
        <f t="shared" si="991"/>
        <v xml:space="preserve">SEM VALOR</v>
      </c>
      <c r="AE1076" s="460">
        <v>1117</v>
      </c>
      <c r="AF1076" s="460"/>
      <c r="AH1076">
        <f t="shared" si="980"/>
        <v>1117</v>
      </c>
    </row>
    <row r="1077" ht="45" hidden="1">
      <c r="A1077" s="217"/>
      <c r="B1077" s="217">
        <v>1117</v>
      </c>
      <c r="C1077" s="217"/>
      <c r="D1077" s="217" t="s">
        <v>20398</v>
      </c>
      <c r="E1077" s="471" t="s">
        <v>20399</v>
      </c>
      <c r="F1077" s="486">
        <v>1259</v>
      </c>
      <c r="G1077" s="470" t="s">
        <v>20796</v>
      </c>
      <c r="H1077" s="471" t="s">
        <v>15528</v>
      </c>
      <c r="I1077" s="483">
        <v>0.59999999999999998</v>
      </c>
      <c r="J1077" s="473">
        <f t="shared" si="989"/>
        <v>45.520000000000003</v>
      </c>
      <c r="K1077" s="474">
        <f t="shared" ref="K1077:K1092" si="994">I1077*J1077</f>
        <v>27.312000000000001</v>
      </c>
      <c r="L1077" s="473">
        <f t="shared" si="992"/>
        <v>43.100000000000001</v>
      </c>
      <c r="M1077" s="474">
        <f t="shared" ref="M1077:M1092" si="995">L1077*I1077</f>
        <v>25.859999999999999</v>
      </c>
      <c r="O1077" s="434">
        <f t="shared" si="990"/>
        <v>45.520000000000003</v>
      </c>
      <c r="P1077" s="435">
        <f t="shared" si="991"/>
        <v>43.100000000000001</v>
      </c>
      <c r="AE1077" s="217"/>
      <c r="AF1077" s="217">
        <v>1117</v>
      </c>
      <c r="AH1077">
        <f t="shared" si="980"/>
        <v>1117</v>
      </c>
    </row>
    <row r="1078" ht="60" hidden="1">
      <c r="A1078" s="217"/>
      <c r="B1078" s="217">
        <v>1117</v>
      </c>
      <c r="C1078" s="217"/>
      <c r="D1078" s="217" t="s">
        <v>20398</v>
      </c>
      <c r="E1078" s="471" t="s">
        <v>20402</v>
      </c>
      <c r="F1078" s="486">
        <v>1241</v>
      </c>
      <c r="G1078" s="470" t="s">
        <v>21181</v>
      </c>
      <c r="H1078" s="471" t="s">
        <v>15528</v>
      </c>
      <c r="I1078" s="509">
        <v>0.59999999999999998</v>
      </c>
      <c r="J1078" s="473">
        <f t="shared" si="989"/>
        <v>453.00401999999997</v>
      </c>
      <c r="K1078" s="474">
        <f t="shared" si="994"/>
        <v>271.80241199999995</v>
      </c>
      <c r="L1078" s="473">
        <f t="shared" si="992"/>
        <v>445.74401999999998</v>
      </c>
      <c r="M1078" s="474">
        <f t="shared" si="995"/>
        <v>267.44641199999995</v>
      </c>
      <c r="O1078" s="434">
        <f t="shared" si="990"/>
        <v>453.00401999999997</v>
      </c>
      <c r="P1078" s="435">
        <f t="shared" si="991"/>
        <v>445.74401999999998</v>
      </c>
      <c r="AE1078" s="217"/>
      <c r="AF1078" s="217">
        <v>1117</v>
      </c>
      <c r="AH1078">
        <f t="shared" si="980"/>
        <v>1117</v>
      </c>
    </row>
    <row r="1079" ht="60" hidden="1">
      <c r="A1079" s="217"/>
      <c r="B1079" s="217">
        <v>1117</v>
      </c>
      <c r="C1079" s="217"/>
      <c r="D1079" s="217" t="s">
        <v>17167</v>
      </c>
      <c r="E1079" s="471" t="s">
        <v>20405</v>
      </c>
      <c r="F1079" s="486">
        <v>103670</v>
      </c>
      <c r="G1079" s="470" t="s">
        <v>1387</v>
      </c>
      <c r="H1079" s="471" t="s">
        <v>15528</v>
      </c>
      <c r="I1079" s="509">
        <f>I1078</f>
        <v>0.59999999999999998</v>
      </c>
      <c r="J1079" s="473">
        <f t="shared" si="989"/>
        <v>308.60000000000002</v>
      </c>
      <c r="K1079" s="474">
        <f t="shared" si="994"/>
        <v>185.16</v>
      </c>
      <c r="L1079" s="473">
        <f t="shared" si="992"/>
        <v>291.69999999999999</v>
      </c>
      <c r="M1079" s="474">
        <f t="shared" si="995"/>
        <v>175.01999999999998</v>
      </c>
      <c r="O1079" s="434">
        <f t="shared" si="990"/>
        <v>308.60000000000002</v>
      </c>
      <c r="P1079" s="435">
        <f t="shared" si="991"/>
        <v>291.69999999999999</v>
      </c>
      <c r="AE1079" s="217"/>
      <c r="AF1079" s="217">
        <v>1117</v>
      </c>
      <c r="AH1079">
        <f t="shared" si="980"/>
        <v>1117</v>
      </c>
    </row>
    <row r="1080" ht="45" hidden="1">
      <c r="A1080" s="217"/>
      <c r="B1080" s="217">
        <v>1117</v>
      </c>
      <c r="C1080" s="217"/>
      <c r="D1080" s="217" t="s">
        <v>17167</v>
      </c>
      <c r="E1080" s="471" t="s">
        <v>20409</v>
      </c>
      <c r="F1080" s="486">
        <v>96545</v>
      </c>
      <c r="G1080" s="470" t="s">
        <v>20678</v>
      </c>
      <c r="H1080" s="471" t="s">
        <v>302</v>
      </c>
      <c r="I1080" s="509">
        <v>10.15</v>
      </c>
      <c r="J1080" s="473">
        <f t="shared" si="989"/>
        <v>15.82</v>
      </c>
      <c r="K1080" s="474">
        <f t="shared" si="994"/>
        <v>160.57300000000001</v>
      </c>
      <c r="L1080" s="473">
        <f t="shared" si="992"/>
        <v>15.48</v>
      </c>
      <c r="M1080" s="474">
        <f t="shared" si="995"/>
        <v>157.12200000000001</v>
      </c>
      <c r="O1080" s="434">
        <f t="shared" si="990"/>
        <v>15.82</v>
      </c>
      <c r="P1080" s="435">
        <f t="shared" si="991"/>
        <v>15.48</v>
      </c>
      <c r="AE1080" s="217"/>
      <c r="AF1080" s="217">
        <v>1117</v>
      </c>
      <c r="AH1080">
        <f t="shared" si="980"/>
        <v>1117</v>
      </c>
    </row>
    <row r="1081" ht="45" hidden="1">
      <c r="A1081" s="217"/>
      <c r="B1081" s="217">
        <v>1117</v>
      </c>
      <c r="C1081" s="217"/>
      <c r="D1081" s="217" t="s">
        <v>17167</v>
      </c>
      <c r="E1081" s="471" t="s">
        <v>20663</v>
      </c>
      <c r="F1081" s="486">
        <v>96546</v>
      </c>
      <c r="G1081" s="470" t="s">
        <v>21133</v>
      </c>
      <c r="H1081" s="471" t="s">
        <v>302</v>
      </c>
      <c r="I1081" s="509">
        <v>4.46</v>
      </c>
      <c r="J1081" s="473">
        <f t="shared" si="989"/>
        <v>13.77</v>
      </c>
      <c r="K1081" s="474">
        <f t="shared" si="994"/>
        <v>61.414200000000001</v>
      </c>
      <c r="L1081" s="473">
        <f t="shared" si="992"/>
        <v>13.51</v>
      </c>
      <c r="M1081" s="474">
        <f t="shared" si="995"/>
        <v>60.254599999999996</v>
      </c>
      <c r="O1081" s="434">
        <f t="shared" si="990"/>
        <v>13.77</v>
      </c>
      <c r="P1081" s="435">
        <f t="shared" si="991"/>
        <v>13.51</v>
      </c>
      <c r="AE1081" s="217"/>
      <c r="AF1081" s="217">
        <v>1117</v>
      </c>
      <c r="AH1081">
        <f t="shared" si="980"/>
        <v>1117</v>
      </c>
    </row>
    <row r="1082" ht="30" hidden="1">
      <c r="A1082" s="217"/>
      <c r="B1082" s="217">
        <v>1117</v>
      </c>
      <c r="C1082" s="217"/>
      <c r="D1082" s="217" t="s">
        <v>20408</v>
      </c>
      <c r="E1082" s="471" t="s">
        <v>20665</v>
      </c>
      <c r="F1082" s="486">
        <v>43082</v>
      </c>
      <c r="G1082" s="470" t="s">
        <v>21182</v>
      </c>
      <c r="H1082" s="471" t="s">
        <v>302</v>
      </c>
      <c r="I1082" s="509">
        <f>102.7+37.7</f>
        <v>140.40000000000001</v>
      </c>
      <c r="J1082" s="473">
        <f t="shared" si="989"/>
        <v>10</v>
      </c>
      <c r="K1082" s="474">
        <f t="shared" si="994"/>
        <v>1404</v>
      </c>
      <c r="L1082" s="473">
        <f t="shared" si="992"/>
        <v>10</v>
      </c>
      <c r="M1082" s="474">
        <f t="shared" si="995"/>
        <v>1404</v>
      </c>
      <c r="O1082" s="434">
        <f t="shared" si="990"/>
        <v>10</v>
      </c>
      <c r="P1082" s="435">
        <f t="shared" si="991"/>
        <v>10</v>
      </c>
      <c r="AE1082" s="217"/>
      <c r="AF1082" s="217">
        <v>1117</v>
      </c>
      <c r="AH1082">
        <f t="shared" si="980"/>
        <v>1117</v>
      </c>
    </row>
    <row r="1083" ht="45" hidden="1">
      <c r="A1083" s="217"/>
      <c r="B1083" s="217">
        <v>1117</v>
      </c>
      <c r="C1083" s="217"/>
      <c r="D1083" s="217" t="s">
        <v>20408</v>
      </c>
      <c r="E1083" s="471" t="s">
        <v>20667</v>
      </c>
      <c r="F1083" s="486">
        <v>40839</v>
      </c>
      <c r="G1083" s="470" t="s">
        <v>21183</v>
      </c>
      <c r="H1083" s="471" t="s">
        <v>31</v>
      </c>
      <c r="I1083" s="509">
        <v>8</v>
      </c>
      <c r="J1083" s="473">
        <f>O1083*$J$3/100</f>
        <v>1.3077000000000001</v>
      </c>
      <c r="K1083" s="474">
        <f t="shared" si="994"/>
        <v>10.461600000000001</v>
      </c>
      <c r="L1083" s="473">
        <f t="shared" si="992"/>
        <v>130.77000000000001</v>
      </c>
      <c r="M1083" s="474">
        <f t="shared" si="995"/>
        <v>1046.1600000000001</v>
      </c>
      <c r="O1083" s="434">
        <f t="shared" si="990"/>
        <v>130.77000000000001</v>
      </c>
      <c r="P1083" s="435">
        <f t="shared" si="991"/>
        <v>130.77000000000001</v>
      </c>
      <c r="AE1083" s="217"/>
      <c r="AF1083" s="217">
        <v>1117</v>
      </c>
      <c r="AH1083">
        <f t="shared" si="980"/>
        <v>1117</v>
      </c>
    </row>
    <row r="1084" ht="30" hidden="1">
      <c r="A1084" s="217"/>
      <c r="B1084" s="217">
        <v>1117</v>
      </c>
      <c r="C1084" s="217"/>
      <c r="D1084" s="217" t="s">
        <v>20408</v>
      </c>
      <c r="E1084" s="471" t="s">
        <v>20671</v>
      </c>
      <c r="F1084" s="486">
        <v>34723</v>
      </c>
      <c r="G1084" s="470" t="s">
        <v>21184</v>
      </c>
      <c r="H1084" s="471" t="s">
        <v>15515</v>
      </c>
      <c r="I1084" s="509">
        <f>3*0.7</f>
        <v>2.1000000000000001</v>
      </c>
      <c r="J1084" s="473">
        <f t="shared" ref="J1084:J1099" si="996">O1084*$J$3</f>
        <v>997.91999999999996</v>
      </c>
      <c r="K1084" s="474">
        <f t="shared" si="994"/>
        <v>2095.6320000000001</v>
      </c>
      <c r="L1084" s="473">
        <f t="shared" si="992"/>
        <v>997.91999999999996</v>
      </c>
      <c r="M1084" s="474">
        <f t="shared" si="995"/>
        <v>2095.6320000000001</v>
      </c>
      <c r="O1084" s="434">
        <f t="shared" si="990"/>
        <v>997.91999999999996</v>
      </c>
      <c r="P1084" s="435">
        <f t="shared" si="991"/>
        <v>997.91999999999996</v>
      </c>
      <c r="AE1084" s="217"/>
      <c r="AF1084" s="217">
        <v>1117</v>
      </c>
      <c r="AH1084">
        <f t="shared" si="980"/>
        <v>1117</v>
      </c>
    </row>
    <row r="1085" ht="105" hidden="1">
      <c r="A1085" s="217"/>
      <c r="B1085" s="217">
        <v>1117</v>
      </c>
      <c r="C1085" s="217"/>
      <c r="D1085" s="217" t="s">
        <v>17167</v>
      </c>
      <c r="E1085" s="471" t="s">
        <v>20672</v>
      </c>
      <c r="F1085" s="486">
        <v>73467</v>
      </c>
      <c r="G1085" s="470" t="s">
        <v>1601</v>
      </c>
      <c r="H1085" s="471" t="s">
        <v>1535</v>
      </c>
      <c r="I1085" s="509">
        <v>1.e-002</v>
      </c>
      <c r="J1085" s="473">
        <f t="shared" si="996"/>
        <v>270.61000000000001</v>
      </c>
      <c r="K1085" s="474">
        <f t="shared" si="994"/>
        <v>2.7061000000000002</v>
      </c>
      <c r="L1085" s="473">
        <f t="shared" si="992"/>
        <v>269.00999999999999</v>
      </c>
      <c r="M1085" s="474">
        <f t="shared" si="995"/>
        <v>2.6901000000000002</v>
      </c>
      <c r="O1085" s="434">
        <f t="shared" si="990"/>
        <v>270.61000000000001</v>
      </c>
      <c r="P1085" s="435">
        <f t="shared" si="991"/>
        <v>269.00999999999999</v>
      </c>
      <c r="AE1085" s="217"/>
      <c r="AF1085" s="217">
        <v>1117</v>
      </c>
      <c r="AH1085">
        <f t="shared" si="980"/>
        <v>1117</v>
      </c>
    </row>
    <row r="1086" ht="30" hidden="1">
      <c r="A1086" s="217"/>
      <c r="B1086" s="217">
        <v>1117</v>
      </c>
      <c r="C1086" s="217"/>
      <c r="D1086" s="217" t="s">
        <v>17167</v>
      </c>
      <c r="E1086" s="471" t="s">
        <v>20673</v>
      </c>
      <c r="F1086" s="486">
        <v>88242</v>
      </c>
      <c r="G1086" s="470" t="s">
        <v>7093</v>
      </c>
      <c r="H1086" s="471" t="s">
        <v>2032</v>
      </c>
      <c r="I1086" s="509">
        <f>2/4</f>
        <v>0.5</v>
      </c>
      <c r="J1086" s="473">
        <f t="shared" si="996"/>
        <v>23.530000000000001</v>
      </c>
      <c r="K1086" s="474">
        <f t="shared" si="994"/>
        <v>11.765000000000001</v>
      </c>
      <c r="L1086" s="473">
        <f t="shared" si="992"/>
        <v>22.27</v>
      </c>
      <c r="M1086" s="474">
        <f t="shared" si="995"/>
        <v>11.135</v>
      </c>
      <c r="O1086" s="434">
        <f t="shared" si="990"/>
        <v>23.530000000000001</v>
      </c>
      <c r="P1086" s="435">
        <f t="shared" si="991"/>
        <v>22.27</v>
      </c>
      <c r="AE1086" s="217"/>
      <c r="AF1086" s="217">
        <v>1117</v>
      </c>
      <c r="AH1086">
        <f t="shared" si="980"/>
        <v>1117</v>
      </c>
    </row>
    <row r="1087" ht="30" hidden="1">
      <c r="A1087" s="217"/>
      <c r="B1087" s="217">
        <v>1117</v>
      </c>
      <c r="C1087" s="217"/>
      <c r="D1087" s="217" t="s">
        <v>17167</v>
      </c>
      <c r="E1087" s="471" t="s">
        <v>20675</v>
      </c>
      <c r="F1087" s="486">
        <v>88278</v>
      </c>
      <c r="G1087" s="470" t="s">
        <v>21185</v>
      </c>
      <c r="H1087" s="471" t="s">
        <v>2032</v>
      </c>
      <c r="I1087" s="509">
        <f t="shared" ref="I1087:I1088" si="997">1/4</f>
        <v>0.25</v>
      </c>
      <c r="J1087" s="473">
        <f t="shared" si="996"/>
        <v>30.440000000000001</v>
      </c>
      <c r="K1087" s="474">
        <f t="shared" si="994"/>
        <v>7.6100000000000003</v>
      </c>
      <c r="L1087" s="473">
        <f t="shared" si="992"/>
        <v>28.57</v>
      </c>
      <c r="M1087" s="474">
        <f t="shared" si="995"/>
        <v>7.1425000000000001</v>
      </c>
      <c r="O1087" s="434">
        <f t="shared" si="990"/>
        <v>30.440000000000001</v>
      </c>
      <c r="P1087" s="435">
        <f t="shared" si="991"/>
        <v>28.57</v>
      </c>
      <c r="AE1087" s="217"/>
      <c r="AF1087" s="217">
        <v>1117</v>
      </c>
      <c r="AH1087">
        <f t="shared" si="980"/>
        <v>1117</v>
      </c>
    </row>
    <row r="1088" ht="30" hidden="1">
      <c r="A1088" s="217"/>
      <c r="B1088" s="217">
        <v>1117</v>
      </c>
      <c r="C1088" s="217"/>
      <c r="D1088" s="217" t="s">
        <v>17167</v>
      </c>
      <c r="E1088" s="471" t="s">
        <v>20677</v>
      </c>
      <c r="F1088" s="486">
        <v>88315</v>
      </c>
      <c r="G1088" s="470" t="s">
        <v>7392</v>
      </c>
      <c r="H1088" s="471" t="s">
        <v>2032</v>
      </c>
      <c r="I1088" s="509">
        <f t="shared" si="997"/>
        <v>0.25</v>
      </c>
      <c r="J1088" s="473">
        <f t="shared" si="996"/>
        <v>28.800000000000001</v>
      </c>
      <c r="K1088" s="474">
        <f t="shared" si="994"/>
        <v>7.2000000000000002</v>
      </c>
      <c r="L1088" s="473">
        <f t="shared" si="992"/>
        <v>27.149999999999999</v>
      </c>
      <c r="M1088" s="474">
        <f t="shared" si="995"/>
        <v>6.7874999999999996</v>
      </c>
      <c r="O1088" s="434">
        <f t="shared" si="990"/>
        <v>28.800000000000001</v>
      </c>
      <c r="P1088" s="435">
        <f t="shared" si="991"/>
        <v>27.149999999999999</v>
      </c>
      <c r="AE1088" s="217"/>
      <c r="AF1088" s="217">
        <v>1117</v>
      </c>
      <c r="AH1088">
        <f t="shared" si="980"/>
        <v>1117</v>
      </c>
    </row>
    <row r="1089" ht="30" hidden="1">
      <c r="A1089" s="217"/>
      <c r="B1089" s="217">
        <v>1117</v>
      </c>
      <c r="C1089" s="217"/>
      <c r="D1089" s="217" t="s">
        <v>17167</v>
      </c>
      <c r="E1089" s="471" t="s">
        <v>20679</v>
      </c>
      <c r="F1089" s="486">
        <v>88316</v>
      </c>
      <c r="G1089" s="470" t="s">
        <v>7393</v>
      </c>
      <c r="H1089" s="471" t="s">
        <v>2032</v>
      </c>
      <c r="I1089" s="509">
        <f>2/4</f>
        <v>0.5</v>
      </c>
      <c r="J1089" s="473">
        <f t="shared" si="996"/>
        <v>22.760000000000002</v>
      </c>
      <c r="K1089" s="474">
        <f t="shared" si="994"/>
        <v>11.380000000000001</v>
      </c>
      <c r="L1089" s="473">
        <f t="shared" si="992"/>
        <v>21.550000000000001</v>
      </c>
      <c r="M1089" s="474">
        <f t="shared" si="995"/>
        <v>10.775</v>
      </c>
      <c r="O1089" s="434">
        <f t="shared" si="990"/>
        <v>22.760000000000002</v>
      </c>
      <c r="P1089" s="435">
        <f t="shared" si="991"/>
        <v>21.550000000000001</v>
      </c>
      <c r="AE1089" s="217"/>
      <c r="AF1089" s="217">
        <v>1117</v>
      </c>
      <c r="AH1089">
        <f t="shared" si="980"/>
        <v>1117</v>
      </c>
    </row>
    <row r="1090" ht="90" hidden="1">
      <c r="A1090" s="217"/>
      <c r="B1090" s="217">
        <v>1117</v>
      </c>
      <c r="C1090" s="217"/>
      <c r="D1090" s="217" t="s">
        <v>17167</v>
      </c>
      <c r="E1090" s="471" t="s">
        <v>20681</v>
      </c>
      <c r="F1090" s="486">
        <v>100758</v>
      </c>
      <c r="G1090" s="470" t="s">
        <v>21186</v>
      </c>
      <c r="H1090" s="471" t="s">
        <v>15515</v>
      </c>
      <c r="I1090" s="509">
        <v>5.5999999999999996</v>
      </c>
      <c r="J1090" s="473">
        <f t="shared" si="996"/>
        <v>51.649999999999999</v>
      </c>
      <c r="K1090" s="474">
        <f t="shared" si="994"/>
        <v>289.23999999999995</v>
      </c>
      <c r="L1090" s="473">
        <f t="shared" si="992"/>
        <v>49.460000000000001</v>
      </c>
      <c r="M1090" s="474">
        <f t="shared" si="995"/>
        <v>276.976</v>
      </c>
      <c r="O1090" s="434">
        <f t="shared" si="990"/>
        <v>51.649999999999999</v>
      </c>
      <c r="P1090" s="435">
        <f t="shared" si="991"/>
        <v>49.460000000000001</v>
      </c>
      <c r="AE1090" s="217"/>
      <c r="AF1090" s="217">
        <v>1117</v>
      </c>
      <c r="AH1090">
        <f t="shared" si="980"/>
        <v>1117</v>
      </c>
    </row>
    <row r="1091" ht="75" hidden="1">
      <c r="A1091" s="217"/>
      <c r="B1091" s="217">
        <v>1117</v>
      </c>
      <c r="C1091" s="217"/>
      <c r="D1091" s="217" t="s">
        <v>17167</v>
      </c>
      <c r="E1091" s="471" t="s">
        <v>20683</v>
      </c>
      <c r="F1091" s="486">
        <v>100722</v>
      </c>
      <c r="G1091" s="470" t="s">
        <v>21187</v>
      </c>
      <c r="H1091" s="471" t="s">
        <v>15515</v>
      </c>
      <c r="I1091" s="509">
        <v>5.5999999999999996</v>
      </c>
      <c r="J1091" s="473">
        <f t="shared" si="996"/>
        <v>25.260000000000002</v>
      </c>
      <c r="K1091" s="474">
        <f t="shared" si="994"/>
        <v>141.45599999999999</v>
      </c>
      <c r="L1091" s="473">
        <f t="shared" si="992"/>
        <v>24.170000000000002</v>
      </c>
      <c r="M1091" s="474">
        <f t="shared" si="995"/>
        <v>135.352</v>
      </c>
      <c r="O1091" s="434">
        <f t="shared" si="990"/>
        <v>25.260000000000002</v>
      </c>
      <c r="P1091" s="435">
        <f t="shared" si="991"/>
        <v>24.170000000000002</v>
      </c>
      <c r="AE1091" s="217"/>
      <c r="AF1091" s="217">
        <v>1117</v>
      </c>
      <c r="AH1091">
        <f t="shared" si="980"/>
        <v>1117</v>
      </c>
    </row>
    <row r="1092" ht="45" hidden="1">
      <c r="A1092" s="217"/>
      <c r="B1092" s="217">
        <v>1117</v>
      </c>
      <c r="C1092" s="217"/>
      <c r="D1092" s="217" t="s">
        <v>20408</v>
      </c>
      <c r="E1092" s="471" t="s">
        <v>20685</v>
      </c>
      <c r="F1092" s="486">
        <v>4777</v>
      </c>
      <c r="G1092" s="470" t="s">
        <v>11427</v>
      </c>
      <c r="H1092" s="471" t="s">
        <v>302</v>
      </c>
      <c r="I1092" s="509">
        <v>4.7199999999999998</v>
      </c>
      <c r="J1092" s="473">
        <f t="shared" si="996"/>
        <v>8.0199999999999996</v>
      </c>
      <c r="K1092" s="474">
        <f t="shared" si="994"/>
        <v>37.854399999999998</v>
      </c>
      <c r="L1092" s="473">
        <f t="shared" si="992"/>
        <v>8.0199999999999996</v>
      </c>
      <c r="M1092" s="474">
        <f t="shared" si="995"/>
        <v>37.854399999999998</v>
      </c>
      <c r="O1092" s="434">
        <f t="shared" si="990"/>
        <v>8.0199999999999996</v>
      </c>
      <c r="P1092" s="435">
        <f t="shared" si="991"/>
        <v>8.0199999999999996</v>
      </c>
      <c r="AE1092" s="217"/>
      <c r="AF1092" s="217">
        <v>1117</v>
      </c>
      <c r="AH1092">
        <f t="shared" si="980"/>
        <v>1117</v>
      </c>
    </row>
    <row r="1093" ht="110.25" hidden="1">
      <c r="A1093" s="460">
        <v>1118</v>
      </c>
      <c r="B1093" s="460">
        <v>1118</v>
      </c>
      <c r="C1093" s="460"/>
      <c r="D1093" s="460"/>
      <c r="E1093" s="461">
        <v>1</v>
      </c>
      <c r="F1093" s="462" t="s">
        <v>21196</v>
      </c>
      <c r="G1093" s="477" t="s">
        <v>21197</v>
      </c>
      <c r="H1093" s="478" t="s">
        <v>20647</v>
      </c>
      <c r="I1093" s="479"/>
      <c r="J1093" s="480"/>
      <c r="K1093" s="466">
        <f>SUM(K1094:K1109)</f>
        <v>3979.8771119999997</v>
      </c>
      <c r="L1093" s="480"/>
      <c r="M1093" s="466">
        <f>SUM(M1094:M1109)</f>
        <v>4974.5179119999993</v>
      </c>
      <c r="O1093" s="434" t="str">
        <f t="shared" si="990"/>
        <v xml:space="preserve">SEM VALOR</v>
      </c>
      <c r="P1093" s="435" t="str">
        <f t="shared" si="991"/>
        <v xml:space="preserve">SEM VALOR</v>
      </c>
      <c r="AE1093" s="460">
        <v>1118</v>
      </c>
      <c r="AF1093" s="460"/>
      <c r="AH1093">
        <f t="shared" si="980"/>
        <v>1118</v>
      </c>
    </row>
    <row r="1094" ht="45" hidden="1">
      <c r="A1094" s="217"/>
      <c r="B1094" s="217">
        <v>1118</v>
      </c>
      <c r="C1094" s="217"/>
      <c r="D1094" s="217" t="s">
        <v>20398</v>
      </c>
      <c r="E1094" s="471" t="s">
        <v>20399</v>
      </c>
      <c r="F1094" s="486">
        <v>1259</v>
      </c>
      <c r="G1094" s="470" t="s">
        <v>20796</v>
      </c>
      <c r="H1094" s="471" t="s">
        <v>15528</v>
      </c>
      <c r="I1094" s="483">
        <v>0.59999999999999998</v>
      </c>
      <c r="J1094" s="473">
        <f t="shared" si="996"/>
        <v>45.520000000000003</v>
      </c>
      <c r="K1094" s="474">
        <f t="shared" ref="K1094:K1109" si="998">I1094*J1094</f>
        <v>27.312000000000001</v>
      </c>
      <c r="L1094" s="473">
        <f t="shared" si="992"/>
        <v>43.100000000000001</v>
      </c>
      <c r="M1094" s="474">
        <f t="shared" ref="M1094:M1109" si="999">L1094*I1094</f>
        <v>25.859999999999999</v>
      </c>
      <c r="O1094" s="434">
        <f t="shared" si="990"/>
        <v>45.520000000000003</v>
      </c>
      <c r="P1094" s="435">
        <f t="shared" si="991"/>
        <v>43.100000000000001</v>
      </c>
      <c r="AE1094" s="217"/>
      <c r="AF1094" s="217">
        <v>1118</v>
      </c>
      <c r="AH1094">
        <f t="shared" si="980"/>
        <v>1118</v>
      </c>
    </row>
    <row r="1095" ht="60" hidden="1">
      <c r="A1095" s="217"/>
      <c r="B1095" s="217">
        <v>1118</v>
      </c>
      <c r="C1095" s="217"/>
      <c r="D1095" s="217" t="s">
        <v>20398</v>
      </c>
      <c r="E1095" s="471" t="s">
        <v>20402</v>
      </c>
      <c r="F1095" s="486">
        <v>1241</v>
      </c>
      <c r="G1095" s="470" t="s">
        <v>21181</v>
      </c>
      <c r="H1095" s="471" t="s">
        <v>15528</v>
      </c>
      <c r="I1095" s="509">
        <v>0.59999999999999998</v>
      </c>
      <c r="J1095" s="473">
        <f t="shared" si="996"/>
        <v>453.00401999999997</v>
      </c>
      <c r="K1095" s="474">
        <f t="shared" si="998"/>
        <v>271.80241199999995</v>
      </c>
      <c r="L1095" s="473">
        <f t="shared" si="992"/>
        <v>445.74401999999998</v>
      </c>
      <c r="M1095" s="474">
        <f t="shared" si="999"/>
        <v>267.44641199999995</v>
      </c>
      <c r="O1095" s="434">
        <f t="shared" si="990"/>
        <v>453.00401999999997</v>
      </c>
      <c r="P1095" s="435">
        <f t="shared" si="991"/>
        <v>445.74401999999998</v>
      </c>
      <c r="AE1095" s="217"/>
      <c r="AF1095" s="217">
        <v>1118</v>
      </c>
      <c r="AH1095">
        <f t="shared" ref="AH1095:AH1158" si="1000">IF(AF1095:AF1096=FALSE,AE1095,AF1095)</f>
        <v>1118</v>
      </c>
    </row>
    <row r="1096" ht="60" hidden="1">
      <c r="A1096" s="217"/>
      <c r="B1096" s="217">
        <v>1118</v>
      </c>
      <c r="C1096" s="217"/>
      <c r="D1096" s="217" t="s">
        <v>17167</v>
      </c>
      <c r="E1096" s="471" t="s">
        <v>20405</v>
      </c>
      <c r="F1096" s="486">
        <v>103670</v>
      </c>
      <c r="G1096" s="470" t="s">
        <v>1387</v>
      </c>
      <c r="H1096" s="471" t="s">
        <v>15528</v>
      </c>
      <c r="I1096" s="509">
        <f>I1095</f>
        <v>0.59999999999999998</v>
      </c>
      <c r="J1096" s="473">
        <f t="shared" si="996"/>
        <v>308.60000000000002</v>
      </c>
      <c r="K1096" s="474">
        <f t="shared" si="998"/>
        <v>185.16</v>
      </c>
      <c r="L1096" s="473">
        <f t="shared" si="992"/>
        <v>291.69999999999999</v>
      </c>
      <c r="M1096" s="474">
        <f t="shared" si="999"/>
        <v>175.01999999999998</v>
      </c>
      <c r="O1096" s="434">
        <f t="shared" si="990"/>
        <v>308.60000000000002</v>
      </c>
      <c r="P1096" s="435">
        <f t="shared" si="991"/>
        <v>291.69999999999999</v>
      </c>
      <c r="AE1096" s="217"/>
      <c r="AF1096" s="217">
        <v>1118</v>
      </c>
      <c r="AH1096">
        <f t="shared" si="1000"/>
        <v>1118</v>
      </c>
    </row>
    <row r="1097" ht="45" hidden="1">
      <c r="A1097" s="217"/>
      <c r="B1097" s="217">
        <v>1118</v>
      </c>
      <c r="C1097" s="217"/>
      <c r="D1097" s="217" t="s">
        <v>17167</v>
      </c>
      <c r="E1097" s="471" t="s">
        <v>20409</v>
      </c>
      <c r="F1097" s="486">
        <v>96545</v>
      </c>
      <c r="G1097" s="470" t="s">
        <v>20678</v>
      </c>
      <c r="H1097" s="471" t="s">
        <v>302</v>
      </c>
      <c r="I1097" s="509">
        <v>10.15</v>
      </c>
      <c r="J1097" s="473">
        <f t="shared" si="996"/>
        <v>15.82</v>
      </c>
      <c r="K1097" s="474">
        <f t="shared" si="998"/>
        <v>160.57300000000001</v>
      </c>
      <c r="L1097" s="473">
        <f t="shared" si="992"/>
        <v>15.48</v>
      </c>
      <c r="M1097" s="474">
        <f t="shared" si="999"/>
        <v>157.12200000000001</v>
      </c>
      <c r="O1097" s="434">
        <f t="shared" si="990"/>
        <v>15.82</v>
      </c>
      <c r="P1097" s="435">
        <f t="shared" si="991"/>
        <v>15.48</v>
      </c>
      <c r="AE1097" s="217"/>
      <c r="AF1097" s="217">
        <v>1118</v>
      </c>
      <c r="AH1097">
        <f t="shared" si="1000"/>
        <v>1118</v>
      </c>
    </row>
    <row r="1098" ht="45" hidden="1">
      <c r="A1098" s="217"/>
      <c r="B1098" s="217">
        <v>1118</v>
      </c>
      <c r="C1098" s="217"/>
      <c r="D1098" s="217" t="s">
        <v>17167</v>
      </c>
      <c r="E1098" s="471" t="s">
        <v>20663</v>
      </c>
      <c r="F1098" s="486">
        <v>96546</v>
      </c>
      <c r="G1098" s="470" t="s">
        <v>21133</v>
      </c>
      <c r="H1098" s="471" t="s">
        <v>302</v>
      </c>
      <c r="I1098" s="509">
        <v>4.46</v>
      </c>
      <c r="J1098" s="473">
        <f t="shared" si="996"/>
        <v>13.77</v>
      </c>
      <c r="K1098" s="474">
        <f t="shared" si="998"/>
        <v>61.414200000000001</v>
      </c>
      <c r="L1098" s="473">
        <f t="shared" si="992"/>
        <v>13.51</v>
      </c>
      <c r="M1098" s="474">
        <f t="shared" si="999"/>
        <v>60.254599999999996</v>
      </c>
      <c r="O1098" s="434">
        <f t="shared" si="990"/>
        <v>13.77</v>
      </c>
      <c r="P1098" s="435">
        <f t="shared" si="991"/>
        <v>13.51</v>
      </c>
      <c r="AE1098" s="217"/>
      <c r="AF1098" s="217">
        <v>1118</v>
      </c>
      <c r="AH1098">
        <f t="shared" si="1000"/>
        <v>1118</v>
      </c>
    </row>
    <row r="1099" ht="30" hidden="1">
      <c r="A1099" s="217"/>
      <c r="B1099" s="217">
        <v>1118</v>
      </c>
      <c r="C1099" s="217"/>
      <c r="D1099" s="217" t="s">
        <v>20408</v>
      </c>
      <c r="E1099" s="471" t="s">
        <v>20665</v>
      </c>
      <c r="F1099" s="486">
        <v>43082</v>
      </c>
      <c r="G1099" s="470" t="s">
        <v>21182</v>
      </c>
      <c r="H1099" s="471" t="s">
        <v>302</v>
      </c>
      <c r="I1099" s="509">
        <f>102.7+26</f>
        <v>128.69999999999999</v>
      </c>
      <c r="J1099" s="473">
        <f t="shared" si="996"/>
        <v>10</v>
      </c>
      <c r="K1099" s="474">
        <f t="shared" si="998"/>
        <v>1287</v>
      </c>
      <c r="L1099" s="473">
        <f t="shared" si="992"/>
        <v>10</v>
      </c>
      <c r="M1099" s="474">
        <f t="shared" si="999"/>
        <v>1287</v>
      </c>
      <c r="O1099" s="434">
        <f t="shared" si="990"/>
        <v>10</v>
      </c>
      <c r="P1099" s="435">
        <f t="shared" si="991"/>
        <v>10</v>
      </c>
      <c r="AE1099" s="217"/>
      <c r="AF1099" s="217">
        <v>1118</v>
      </c>
      <c r="AH1099">
        <f t="shared" si="1000"/>
        <v>1118</v>
      </c>
    </row>
    <row r="1100" ht="45" hidden="1">
      <c r="A1100" s="217"/>
      <c r="B1100" s="217">
        <v>1118</v>
      </c>
      <c r="C1100" s="217"/>
      <c r="D1100" s="217" t="s">
        <v>20408</v>
      </c>
      <c r="E1100" s="471" t="s">
        <v>20667</v>
      </c>
      <c r="F1100" s="486">
        <v>40839</v>
      </c>
      <c r="G1100" s="470" t="s">
        <v>21183</v>
      </c>
      <c r="H1100" s="471" t="s">
        <v>31</v>
      </c>
      <c r="I1100" s="509">
        <v>8</v>
      </c>
      <c r="J1100" s="473">
        <f>O1100*$J$3/100</f>
        <v>1.3077000000000001</v>
      </c>
      <c r="K1100" s="474">
        <f t="shared" si="998"/>
        <v>10.461600000000001</v>
      </c>
      <c r="L1100" s="473">
        <f t="shared" si="992"/>
        <v>130.77000000000001</v>
      </c>
      <c r="M1100" s="474">
        <f t="shared" si="999"/>
        <v>1046.1600000000001</v>
      </c>
      <c r="O1100" s="434">
        <f t="shared" si="990"/>
        <v>130.77000000000001</v>
      </c>
      <c r="P1100" s="435">
        <f t="shared" si="991"/>
        <v>130.77000000000001</v>
      </c>
      <c r="AE1100" s="217"/>
      <c r="AF1100" s="217">
        <v>1118</v>
      </c>
      <c r="AH1100">
        <f t="shared" si="1000"/>
        <v>1118</v>
      </c>
    </row>
    <row r="1101" ht="30" hidden="1">
      <c r="A1101" s="217"/>
      <c r="B1101" s="217">
        <v>1118</v>
      </c>
      <c r="C1101" s="217"/>
      <c r="D1101" s="217" t="s">
        <v>20408</v>
      </c>
      <c r="E1101" s="471" t="s">
        <v>20671</v>
      </c>
      <c r="F1101" s="486">
        <v>34723</v>
      </c>
      <c r="G1101" s="470" t="s">
        <v>21184</v>
      </c>
      <c r="H1101" s="471" t="s">
        <v>15515</v>
      </c>
      <c r="I1101" s="509">
        <f>2.1*0.7</f>
        <v>1.47</v>
      </c>
      <c r="J1101" s="473">
        <f t="shared" ref="J1101:J1116" si="1001">O1101*$J$3</f>
        <v>997.91999999999996</v>
      </c>
      <c r="K1101" s="474">
        <f t="shared" si="998"/>
        <v>1466.9423999999999</v>
      </c>
      <c r="L1101" s="473">
        <f t="shared" si="992"/>
        <v>997.91999999999996</v>
      </c>
      <c r="M1101" s="474">
        <f t="shared" si="999"/>
        <v>1466.9423999999999</v>
      </c>
      <c r="O1101" s="434">
        <f t="shared" si="990"/>
        <v>997.91999999999996</v>
      </c>
      <c r="P1101" s="435">
        <f t="shared" si="991"/>
        <v>997.91999999999996</v>
      </c>
      <c r="AE1101" s="217"/>
      <c r="AF1101" s="217">
        <v>1118</v>
      </c>
      <c r="AH1101">
        <f t="shared" si="1000"/>
        <v>1118</v>
      </c>
    </row>
    <row r="1102" ht="105" hidden="1">
      <c r="A1102" s="217"/>
      <c r="B1102" s="217">
        <v>1118</v>
      </c>
      <c r="C1102" s="217"/>
      <c r="D1102" s="217" t="s">
        <v>17167</v>
      </c>
      <c r="E1102" s="471" t="s">
        <v>20672</v>
      </c>
      <c r="F1102" s="486">
        <v>73467</v>
      </c>
      <c r="G1102" s="470" t="s">
        <v>1601</v>
      </c>
      <c r="H1102" s="471" t="s">
        <v>1535</v>
      </c>
      <c r="I1102" s="509">
        <v>1.e-002</v>
      </c>
      <c r="J1102" s="473">
        <f t="shared" si="1001"/>
        <v>270.61000000000001</v>
      </c>
      <c r="K1102" s="474">
        <f t="shared" si="998"/>
        <v>2.7061000000000002</v>
      </c>
      <c r="L1102" s="473">
        <f t="shared" si="992"/>
        <v>269.00999999999999</v>
      </c>
      <c r="M1102" s="474">
        <f t="shared" si="999"/>
        <v>2.6901000000000002</v>
      </c>
      <c r="O1102" s="434">
        <f t="shared" si="990"/>
        <v>270.61000000000001</v>
      </c>
      <c r="P1102" s="435">
        <f t="shared" si="991"/>
        <v>269.00999999999999</v>
      </c>
      <c r="AE1102" s="217"/>
      <c r="AF1102" s="217">
        <v>1118</v>
      </c>
      <c r="AH1102">
        <f t="shared" si="1000"/>
        <v>1118</v>
      </c>
    </row>
    <row r="1103" ht="30" hidden="1">
      <c r="A1103" s="217"/>
      <c r="B1103" s="217">
        <v>1118</v>
      </c>
      <c r="C1103" s="217"/>
      <c r="D1103" s="217" t="s">
        <v>17167</v>
      </c>
      <c r="E1103" s="471" t="s">
        <v>20673</v>
      </c>
      <c r="F1103" s="486">
        <v>88242</v>
      </c>
      <c r="G1103" s="470" t="s">
        <v>7093</v>
      </c>
      <c r="H1103" s="471" t="s">
        <v>2032</v>
      </c>
      <c r="I1103" s="509">
        <f>2/4</f>
        <v>0.5</v>
      </c>
      <c r="J1103" s="473">
        <f t="shared" si="1001"/>
        <v>23.530000000000001</v>
      </c>
      <c r="K1103" s="474">
        <f t="shared" si="998"/>
        <v>11.765000000000001</v>
      </c>
      <c r="L1103" s="473">
        <f t="shared" si="992"/>
        <v>22.27</v>
      </c>
      <c r="M1103" s="474">
        <f t="shared" si="999"/>
        <v>11.135</v>
      </c>
      <c r="O1103" s="434">
        <f t="shared" si="990"/>
        <v>23.530000000000001</v>
      </c>
      <c r="P1103" s="435">
        <f t="shared" si="991"/>
        <v>22.27</v>
      </c>
      <c r="AE1103" s="217"/>
      <c r="AF1103" s="217">
        <v>1118</v>
      </c>
      <c r="AH1103">
        <f t="shared" si="1000"/>
        <v>1118</v>
      </c>
    </row>
    <row r="1104" ht="30" hidden="1">
      <c r="A1104" s="217"/>
      <c r="B1104" s="217">
        <v>1118</v>
      </c>
      <c r="C1104" s="217"/>
      <c r="D1104" s="217" t="s">
        <v>17167</v>
      </c>
      <c r="E1104" s="471" t="s">
        <v>20675</v>
      </c>
      <c r="F1104" s="486">
        <v>88278</v>
      </c>
      <c r="G1104" s="470" t="s">
        <v>21185</v>
      </c>
      <c r="H1104" s="471" t="s">
        <v>2032</v>
      </c>
      <c r="I1104" s="509">
        <f t="shared" ref="I1104:I1105" si="1002">1/4</f>
        <v>0.25</v>
      </c>
      <c r="J1104" s="473">
        <f t="shared" si="1001"/>
        <v>30.440000000000001</v>
      </c>
      <c r="K1104" s="474">
        <f t="shared" si="998"/>
        <v>7.6100000000000003</v>
      </c>
      <c r="L1104" s="473">
        <f t="shared" si="992"/>
        <v>28.57</v>
      </c>
      <c r="M1104" s="474">
        <f t="shared" si="999"/>
        <v>7.1425000000000001</v>
      </c>
      <c r="O1104" s="434">
        <f t="shared" si="990"/>
        <v>30.440000000000001</v>
      </c>
      <c r="P1104" s="435">
        <f t="shared" si="991"/>
        <v>28.57</v>
      </c>
      <c r="AE1104" s="217"/>
      <c r="AF1104" s="217">
        <v>1118</v>
      </c>
      <c r="AH1104">
        <f t="shared" si="1000"/>
        <v>1118</v>
      </c>
    </row>
    <row r="1105" ht="30" hidden="1">
      <c r="A1105" s="217"/>
      <c r="B1105" s="217">
        <v>1118</v>
      </c>
      <c r="C1105" s="217"/>
      <c r="D1105" s="217" t="s">
        <v>17167</v>
      </c>
      <c r="E1105" s="471" t="s">
        <v>20677</v>
      </c>
      <c r="F1105" s="486">
        <v>88315</v>
      </c>
      <c r="G1105" s="470" t="s">
        <v>7392</v>
      </c>
      <c r="H1105" s="471" t="s">
        <v>2032</v>
      </c>
      <c r="I1105" s="509">
        <f t="shared" si="1002"/>
        <v>0.25</v>
      </c>
      <c r="J1105" s="473">
        <f t="shared" si="1001"/>
        <v>28.800000000000001</v>
      </c>
      <c r="K1105" s="474">
        <f t="shared" si="998"/>
        <v>7.2000000000000002</v>
      </c>
      <c r="L1105" s="473">
        <f t="shared" si="992"/>
        <v>27.149999999999999</v>
      </c>
      <c r="M1105" s="474">
        <f t="shared" si="999"/>
        <v>6.7874999999999996</v>
      </c>
      <c r="O1105" s="434">
        <f t="shared" si="990"/>
        <v>28.800000000000001</v>
      </c>
      <c r="P1105" s="435">
        <f t="shared" si="991"/>
        <v>27.149999999999999</v>
      </c>
      <c r="AE1105" s="217"/>
      <c r="AF1105" s="217">
        <v>1118</v>
      </c>
      <c r="AH1105">
        <f t="shared" si="1000"/>
        <v>1118</v>
      </c>
    </row>
    <row r="1106" ht="30" hidden="1">
      <c r="A1106" s="217"/>
      <c r="B1106" s="217">
        <v>1118</v>
      </c>
      <c r="C1106" s="217"/>
      <c r="D1106" s="217" t="s">
        <v>17167</v>
      </c>
      <c r="E1106" s="471" t="s">
        <v>20679</v>
      </c>
      <c r="F1106" s="486">
        <v>88316</v>
      </c>
      <c r="G1106" s="470" t="s">
        <v>7393</v>
      </c>
      <c r="H1106" s="471" t="s">
        <v>2032</v>
      </c>
      <c r="I1106" s="509">
        <f>2/4</f>
        <v>0.5</v>
      </c>
      <c r="J1106" s="473">
        <f t="shared" si="1001"/>
        <v>22.760000000000002</v>
      </c>
      <c r="K1106" s="474">
        <f t="shared" si="998"/>
        <v>11.380000000000001</v>
      </c>
      <c r="L1106" s="473">
        <f t="shared" si="992"/>
        <v>21.550000000000001</v>
      </c>
      <c r="M1106" s="474">
        <f t="shared" si="999"/>
        <v>10.775</v>
      </c>
      <c r="O1106" s="434">
        <f t="shared" si="990"/>
        <v>22.760000000000002</v>
      </c>
      <c r="P1106" s="435">
        <f t="shared" si="991"/>
        <v>21.550000000000001</v>
      </c>
      <c r="AE1106" s="217"/>
      <c r="AF1106" s="217">
        <v>1118</v>
      </c>
      <c r="AH1106">
        <f t="shared" si="1000"/>
        <v>1118</v>
      </c>
    </row>
    <row r="1107" ht="90" hidden="1">
      <c r="A1107" s="217"/>
      <c r="B1107" s="217">
        <v>1118</v>
      </c>
      <c r="C1107" s="217"/>
      <c r="D1107" s="217" t="s">
        <v>17167</v>
      </c>
      <c r="E1107" s="471" t="s">
        <v>20681</v>
      </c>
      <c r="F1107" s="486">
        <v>100758</v>
      </c>
      <c r="G1107" s="470" t="s">
        <v>21186</v>
      </c>
      <c r="H1107" s="471" t="s">
        <v>15515</v>
      </c>
      <c r="I1107" s="509">
        <v>5.5999999999999996</v>
      </c>
      <c r="J1107" s="473">
        <f t="shared" si="1001"/>
        <v>51.649999999999999</v>
      </c>
      <c r="K1107" s="474">
        <f t="shared" si="998"/>
        <v>289.23999999999995</v>
      </c>
      <c r="L1107" s="473">
        <f t="shared" si="992"/>
        <v>49.460000000000001</v>
      </c>
      <c r="M1107" s="474">
        <f t="shared" si="999"/>
        <v>276.976</v>
      </c>
      <c r="O1107" s="434">
        <f t="shared" si="990"/>
        <v>51.649999999999999</v>
      </c>
      <c r="P1107" s="435">
        <f t="shared" si="991"/>
        <v>49.460000000000001</v>
      </c>
      <c r="AE1107" s="217"/>
      <c r="AF1107" s="217">
        <v>1118</v>
      </c>
      <c r="AH1107">
        <f t="shared" si="1000"/>
        <v>1118</v>
      </c>
    </row>
    <row r="1108" ht="75" hidden="1">
      <c r="A1108" s="217"/>
      <c r="B1108" s="217">
        <v>1118</v>
      </c>
      <c r="C1108" s="217"/>
      <c r="D1108" s="217" t="s">
        <v>17167</v>
      </c>
      <c r="E1108" s="471" t="s">
        <v>20683</v>
      </c>
      <c r="F1108" s="486">
        <v>100722</v>
      </c>
      <c r="G1108" s="470" t="s">
        <v>21187</v>
      </c>
      <c r="H1108" s="471" t="s">
        <v>15515</v>
      </c>
      <c r="I1108" s="509">
        <v>5.5999999999999996</v>
      </c>
      <c r="J1108" s="473">
        <f t="shared" si="1001"/>
        <v>25.260000000000002</v>
      </c>
      <c r="K1108" s="474">
        <f t="shared" si="998"/>
        <v>141.45599999999999</v>
      </c>
      <c r="L1108" s="473">
        <f t="shared" si="992"/>
        <v>24.170000000000002</v>
      </c>
      <c r="M1108" s="474">
        <f t="shared" si="999"/>
        <v>135.352</v>
      </c>
      <c r="O1108" s="434">
        <f t="shared" si="990"/>
        <v>25.260000000000002</v>
      </c>
      <c r="P1108" s="435">
        <f t="shared" si="991"/>
        <v>24.170000000000002</v>
      </c>
      <c r="AE1108" s="217"/>
      <c r="AF1108" s="217">
        <v>1118</v>
      </c>
      <c r="AH1108">
        <f t="shared" si="1000"/>
        <v>1118</v>
      </c>
    </row>
    <row r="1109" ht="45" hidden="1">
      <c r="A1109" s="217"/>
      <c r="B1109" s="217">
        <v>1118</v>
      </c>
      <c r="C1109" s="217"/>
      <c r="D1109" s="217" t="s">
        <v>20408</v>
      </c>
      <c r="E1109" s="471" t="s">
        <v>20685</v>
      </c>
      <c r="F1109" s="486">
        <v>4777</v>
      </c>
      <c r="G1109" s="470" t="s">
        <v>11427</v>
      </c>
      <c r="H1109" s="471" t="s">
        <v>302</v>
      </c>
      <c r="I1109" s="509">
        <v>4.7199999999999998</v>
      </c>
      <c r="J1109" s="473">
        <f t="shared" si="1001"/>
        <v>8.0199999999999996</v>
      </c>
      <c r="K1109" s="474">
        <f t="shared" si="998"/>
        <v>37.854399999999998</v>
      </c>
      <c r="L1109" s="473">
        <f t="shared" si="992"/>
        <v>8.0199999999999996</v>
      </c>
      <c r="M1109" s="474">
        <f t="shared" si="999"/>
        <v>37.854399999999998</v>
      </c>
      <c r="O1109" s="434">
        <f t="shared" si="990"/>
        <v>8.0199999999999996</v>
      </c>
      <c r="P1109" s="435">
        <f t="shared" si="991"/>
        <v>8.0199999999999996</v>
      </c>
      <c r="AE1109" s="217"/>
      <c r="AF1109" s="217">
        <v>1118</v>
      </c>
      <c r="AH1109">
        <f t="shared" si="1000"/>
        <v>1118</v>
      </c>
    </row>
    <row r="1110" ht="113.25" hidden="1" customHeight="1">
      <c r="A1110" s="460">
        <v>1119</v>
      </c>
      <c r="B1110" s="460">
        <v>1119</v>
      </c>
      <c r="C1110" s="460"/>
      <c r="D1110" s="460"/>
      <c r="E1110" s="461">
        <v>1</v>
      </c>
      <c r="F1110" s="462" t="s">
        <v>21198</v>
      </c>
      <c r="G1110" s="477" t="s">
        <v>21199</v>
      </c>
      <c r="H1110" s="478" t="s">
        <v>20647</v>
      </c>
      <c r="I1110" s="479"/>
      <c r="J1110" s="480"/>
      <c r="K1110" s="466">
        <f>SUM(K1111:K1126)</f>
        <v>3731.3139120000001</v>
      </c>
      <c r="L1110" s="480"/>
      <c r="M1110" s="466">
        <f>SUM(M1111:M1126)</f>
        <v>4725.9547119999988</v>
      </c>
      <c r="O1110" s="434" t="str">
        <f t="shared" si="990"/>
        <v xml:space="preserve">SEM VALOR</v>
      </c>
      <c r="P1110" s="435" t="str">
        <f t="shared" si="991"/>
        <v xml:space="preserve">SEM VALOR</v>
      </c>
      <c r="AE1110" s="460">
        <v>1119</v>
      </c>
      <c r="AF1110" s="460"/>
      <c r="AH1110">
        <f t="shared" si="1000"/>
        <v>1119</v>
      </c>
    </row>
    <row r="1111" ht="45" hidden="1">
      <c r="A1111" s="217"/>
      <c r="B1111" s="217">
        <v>1119</v>
      </c>
      <c r="C1111" s="217"/>
      <c r="D1111" s="217" t="s">
        <v>20398</v>
      </c>
      <c r="E1111" s="471" t="s">
        <v>20399</v>
      </c>
      <c r="F1111" s="486">
        <v>1259</v>
      </c>
      <c r="G1111" s="470" t="s">
        <v>20796</v>
      </c>
      <c r="H1111" s="471" t="s">
        <v>15528</v>
      </c>
      <c r="I1111" s="483">
        <v>0.59999999999999998</v>
      </c>
      <c r="J1111" s="473">
        <f t="shared" si="1001"/>
        <v>45.520000000000003</v>
      </c>
      <c r="K1111" s="474">
        <f t="shared" ref="K1111:K1126" si="1003">I1111*J1111</f>
        <v>27.312000000000001</v>
      </c>
      <c r="L1111" s="473">
        <f t="shared" si="992"/>
        <v>43.100000000000001</v>
      </c>
      <c r="M1111" s="474">
        <f t="shared" ref="M1111:M1126" si="1004">L1111*I1111</f>
        <v>25.859999999999999</v>
      </c>
      <c r="O1111" s="434">
        <f t="shared" si="990"/>
        <v>45.520000000000003</v>
      </c>
      <c r="P1111" s="435">
        <f t="shared" si="991"/>
        <v>43.100000000000001</v>
      </c>
      <c r="AE1111" s="217"/>
      <c r="AF1111" s="217">
        <v>1119</v>
      </c>
      <c r="AH1111">
        <f t="shared" si="1000"/>
        <v>1119</v>
      </c>
    </row>
    <row r="1112" ht="60" hidden="1">
      <c r="A1112" s="217"/>
      <c r="B1112" s="217">
        <v>1119</v>
      </c>
      <c r="C1112" s="217"/>
      <c r="D1112" s="217" t="s">
        <v>20398</v>
      </c>
      <c r="E1112" s="471" t="s">
        <v>20402</v>
      </c>
      <c r="F1112" s="486">
        <v>1241</v>
      </c>
      <c r="G1112" s="470" t="s">
        <v>21181</v>
      </c>
      <c r="H1112" s="471" t="s">
        <v>15528</v>
      </c>
      <c r="I1112" s="509">
        <v>0.59999999999999998</v>
      </c>
      <c r="J1112" s="473">
        <f t="shared" si="1001"/>
        <v>453.00401999999997</v>
      </c>
      <c r="K1112" s="474">
        <f t="shared" si="1003"/>
        <v>271.80241199999995</v>
      </c>
      <c r="L1112" s="473">
        <f t="shared" si="992"/>
        <v>445.74401999999998</v>
      </c>
      <c r="M1112" s="474">
        <f t="shared" si="1004"/>
        <v>267.44641199999995</v>
      </c>
      <c r="O1112" s="434">
        <f t="shared" si="990"/>
        <v>453.00401999999997</v>
      </c>
      <c r="P1112" s="435">
        <f t="shared" si="991"/>
        <v>445.74401999999998</v>
      </c>
      <c r="AE1112" s="217"/>
      <c r="AF1112" s="217">
        <v>1119</v>
      </c>
      <c r="AH1112">
        <f t="shared" si="1000"/>
        <v>1119</v>
      </c>
    </row>
    <row r="1113" ht="60" hidden="1">
      <c r="A1113" s="217"/>
      <c r="B1113" s="217">
        <v>1119</v>
      </c>
      <c r="C1113" s="217"/>
      <c r="D1113" s="217" t="s">
        <v>17167</v>
      </c>
      <c r="E1113" s="471" t="s">
        <v>20405</v>
      </c>
      <c r="F1113" s="486">
        <v>103670</v>
      </c>
      <c r="G1113" s="470" t="s">
        <v>1387</v>
      </c>
      <c r="H1113" s="471" t="s">
        <v>15528</v>
      </c>
      <c r="I1113" s="509">
        <f>I1112</f>
        <v>0.59999999999999998</v>
      </c>
      <c r="J1113" s="473">
        <f t="shared" si="1001"/>
        <v>308.60000000000002</v>
      </c>
      <c r="K1113" s="474">
        <f t="shared" si="1003"/>
        <v>185.16</v>
      </c>
      <c r="L1113" s="473">
        <f t="shared" si="992"/>
        <v>291.69999999999999</v>
      </c>
      <c r="M1113" s="474">
        <f t="shared" si="1004"/>
        <v>175.01999999999998</v>
      </c>
      <c r="O1113" s="434">
        <f t="shared" si="990"/>
        <v>308.60000000000002</v>
      </c>
      <c r="P1113" s="435">
        <f t="shared" si="991"/>
        <v>291.69999999999999</v>
      </c>
      <c r="AE1113" s="217"/>
      <c r="AF1113" s="217">
        <v>1119</v>
      </c>
      <c r="AH1113">
        <f t="shared" si="1000"/>
        <v>1119</v>
      </c>
    </row>
    <row r="1114" ht="45" hidden="1">
      <c r="A1114" s="217"/>
      <c r="B1114" s="217">
        <v>1119</v>
      </c>
      <c r="C1114" s="217"/>
      <c r="D1114" s="217" t="s">
        <v>17167</v>
      </c>
      <c r="E1114" s="471" t="s">
        <v>20409</v>
      </c>
      <c r="F1114" s="486">
        <v>96545</v>
      </c>
      <c r="G1114" s="470" t="s">
        <v>20678</v>
      </c>
      <c r="H1114" s="471" t="s">
        <v>302</v>
      </c>
      <c r="I1114" s="509">
        <v>10.15</v>
      </c>
      <c r="J1114" s="473">
        <f t="shared" si="1001"/>
        <v>15.82</v>
      </c>
      <c r="K1114" s="474">
        <f t="shared" si="1003"/>
        <v>160.57300000000001</v>
      </c>
      <c r="L1114" s="473">
        <f t="shared" si="992"/>
        <v>15.48</v>
      </c>
      <c r="M1114" s="474">
        <f t="shared" si="1004"/>
        <v>157.12200000000001</v>
      </c>
      <c r="O1114" s="434">
        <f t="shared" si="990"/>
        <v>15.82</v>
      </c>
      <c r="P1114" s="435">
        <f t="shared" si="991"/>
        <v>15.48</v>
      </c>
      <c r="AE1114" s="217"/>
      <c r="AF1114" s="217">
        <v>1119</v>
      </c>
      <c r="AH1114">
        <f t="shared" si="1000"/>
        <v>1119</v>
      </c>
    </row>
    <row r="1115" ht="45" hidden="1">
      <c r="A1115" s="217"/>
      <c r="B1115" s="217">
        <v>1119</v>
      </c>
      <c r="C1115" s="217"/>
      <c r="D1115" s="217" t="s">
        <v>17167</v>
      </c>
      <c r="E1115" s="471" t="s">
        <v>20663</v>
      </c>
      <c r="F1115" s="486">
        <v>96546</v>
      </c>
      <c r="G1115" s="470" t="s">
        <v>21133</v>
      </c>
      <c r="H1115" s="471" t="s">
        <v>302</v>
      </c>
      <c r="I1115" s="509">
        <v>4.46</v>
      </c>
      <c r="J1115" s="473">
        <f t="shared" si="1001"/>
        <v>13.77</v>
      </c>
      <c r="K1115" s="474">
        <f t="shared" si="1003"/>
        <v>61.414200000000001</v>
      </c>
      <c r="L1115" s="473">
        <f t="shared" si="992"/>
        <v>13.51</v>
      </c>
      <c r="M1115" s="474">
        <f t="shared" si="1004"/>
        <v>60.254599999999996</v>
      </c>
      <c r="O1115" s="434">
        <f t="shared" si="990"/>
        <v>13.77</v>
      </c>
      <c r="P1115" s="435">
        <f t="shared" si="991"/>
        <v>13.51</v>
      </c>
      <c r="AE1115" s="217"/>
      <c r="AF1115" s="217">
        <v>1119</v>
      </c>
      <c r="AH1115">
        <f t="shared" si="1000"/>
        <v>1119</v>
      </c>
    </row>
    <row r="1116" ht="30" hidden="1">
      <c r="A1116" s="217"/>
      <c r="B1116" s="217">
        <v>1119</v>
      </c>
      <c r="C1116" s="217"/>
      <c r="D1116" s="217" t="s">
        <v>20408</v>
      </c>
      <c r="E1116" s="471" t="s">
        <v>20665</v>
      </c>
      <c r="F1116" s="486">
        <v>43082</v>
      </c>
      <c r="G1116" s="470" t="s">
        <v>21182</v>
      </c>
      <c r="H1116" s="471" t="s">
        <v>302</v>
      </c>
      <c r="I1116" s="509">
        <f>102.7+22.1</f>
        <v>124.8</v>
      </c>
      <c r="J1116" s="473">
        <f t="shared" si="1001"/>
        <v>10</v>
      </c>
      <c r="K1116" s="474">
        <f t="shared" si="1003"/>
        <v>1248</v>
      </c>
      <c r="L1116" s="473">
        <f t="shared" si="992"/>
        <v>10</v>
      </c>
      <c r="M1116" s="474">
        <f t="shared" si="1004"/>
        <v>1248</v>
      </c>
      <c r="O1116" s="434">
        <f t="shared" si="990"/>
        <v>10</v>
      </c>
      <c r="P1116" s="435">
        <f t="shared" si="991"/>
        <v>10</v>
      </c>
      <c r="AE1116" s="217"/>
      <c r="AF1116" s="217">
        <v>1119</v>
      </c>
      <c r="AH1116">
        <f t="shared" si="1000"/>
        <v>1119</v>
      </c>
    </row>
    <row r="1117" ht="45" hidden="1">
      <c r="A1117" s="217"/>
      <c r="B1117" s="217">
        <v>1119</v>
      </c>
      <c r="C1117" s="217"/>
      <c r="D1117" s="217" t="s">
        <v>20408</v>
      </c>
      <c r="E1117" s="471" t="s">
        <v>20667</v>
      </c>
      <c r="F1117" s="486">
        <v>40839</v>
      </c>
      <c r="G1117" s="470" t="s">
        <v>21183</v>
      </c>
      <c r="H1117" s="471" t="s">
        <v>31</v>
      </c>
      <c r="I1117" s="509">
        <v>8</v>
      </c>
      <c r="J1117" s="473">
        <f>O1117*$J$3/100</f>
        <v>1.3077000000000001</v>
      </c>
      <c r="K1117" s="474">
        <f t="shared" si="1003"/>
        <v>10.461600000000001</v>
      </c>
      <c r="L1117" s="473">
        <f t="shared" si="992"/>
        <v>130.77000000000001</v>
      </c>
      <c r="M1117" s="474">
        <f t="shared" si="1004"/>
        <v>1046.1600000000001</v>
      </c>
      <c r="O1117" s="434">
        <f t="shared" si="990"/>
        <v>130.77000000000001</v>
      </c>
      <c r="P1117" s="435">
        <f t="shared" si="991"/>
        <v>130.77000000000001</v>
      </c>
      <c r="AE1117" s="217"/>
      <c r="AF1117" s="217">
        <v>1119</v>
      </c>
      <c r="AH1117">
        <f t="shared" si="1000"/>
        <v>1119</v>
      </c>
    </row>
    <row r="1118" ht="30" hidden="1">
      <c r="A1118" s="217"/>
      <c r="B1118" s="217">
        <v>1119</v>
      </c>
      <c r="C1118" s="217"/>
      <c r="D1118" s="217" t="s">
        <v>20408</v>
      </c>
      <c r="E1118" s="471" t="s">
        <v>20671</v>
      </c>
      <c r="F1118" s="486">
        <v>34723</v>
      </c>
      <c r="G1118" s="470" t="s">
        <v>21184</v>
      </c>
      <c r="H1118" s="471" t="s">
        <v>15515</v>
      </c>
      <c r="I1118" s="509">
        <f>1.8*0.7</f>
        <v>1.26</v>
      </c>
      <c r="J1118" s="473">
        <f t="shared" ref="J1118:J1181" si="1005">O1118*$J$3</f>
        <v>997.91999999999996</v>
      </c>
      <c r="K1118" s="474">
        <f t="shared" si="1003"/>
        <v>1257.3791999999999</v>
      </c>
      <c r="L1118" s="473">
        <f t="shared" si="992"/>
        <v>997.91999999999996</v>
      </c>
      <c r="M1118" s="474">
        <f t="shared" si="1004"/>
        <v>1257.3791999999999</v>
      </c>
      <c r="O1118" s="434">
        <f t="shared" si="990"/>
        <v>997.91999999999996</v>
      </c>
      <c r="P1118" s="435">
        <f t="shared" si="991"/>
        <v>997.91999999999996</v>
      </c>
      <c r="AE1118" s="217"/>
      <c r="AF1118" s="217">
        <v>1119</v>
      </c>
      <c r="AH1118">
        <f t="shared" si="1000"/>
        <v>1119</v>
      </c>
    </row>
    <row r="1119" ht="105" hidden="1">
      <c r="A1119" s="217"/>
      <c r="B1119" s="217">
        <v>1119</v>
      </c>
      <c r="C1119" s="217"/>
      <c r="D1119" s="217" t="s">
        <v>17167</v>
      </c>
      <c r="E1119" s="471" t="s">
        <v>20672</v>
      </c>
      <c r="F1119" s="486">
        <v>73467</v>
      </c>
      <c r="G1119" s="470" t="s">
        <v>1601</v>
      </c>
      <c r="H1119" s="471" t="s">
        <v>1535</v>
      </c>
      <c r="I1119" s="509">
        <v>1.e-002</v>
      </c>
      <c r="J1119" s="473">
        <f t="shared" si="1005"/>
        <v>270.61000000000001</v>
      </c>
      <c r="K1119" s="474">
        <f t="shared" si="1003"/>
        <v>2.7061000000000002</v>
      </c>
      <c r="L1119" s="473">
        <f t="shared" si="992"/>
        <v>269.00999999999999</v>
      </c>
      <c r="M1119" s="474">
        <f t="shared" si="1004"/>
        <v>2.6901000000000002</v>
      </c>
      <c r="O1119" s="434">
        <f t="shared" si="990"/>
        <v>270.61000000000001</v>
      </c>
      <c r="P1119" s="435">
        <f t="shared" si="991"/>
        <v>269.00999999999999</v>
      </c>
      <c r="AE1119" s="217"/>
      <c r="AF1119" s="217">
        <v>1119</v>
      </c>
      <c r="AH1119">
        <f t="shared" si="1000"/>
        <v>1119</v>
      </c>
    </row>
    <row r="1120" ht="30" hidden="1">
      <c r="A1120" s="217"/>
      <c r="B1120" s="217">
        <v>1119</v>
      </c>
      <c r="C1120" s="217"/>
      <c r="D1120" s="217" t="s">
        <v>17167</v>
      </c>
      <c r="E1120" s="471" t="s">
        <v>20673</v>
      </c>
      <c r="F1120" s="486">
        <v>88242</v>
      </c>
      <c r="G1120" s="470" t="s">
        <v>7093</v>
      </c>
      <c r="H1120" s="471" t="s">
        <v>2032</v>
      </c>
      <c r="I1120" s="509">
        <f>2/4</f>
        <v>0.5</v>
      </c>
      <c r="J1120" s="473">
        <f t="shared" si="1005"/>
        <v>23.530000000000001</v>
      </c>
      <c r="K1120" s="474">
        <f t="shared" si="1003"/>
        <v>11.765000000000001</v>
      </c>
      <c r="L1120" s="473">
        <f t="shared" si="992"/>
        <v>22.27</v>
      </c>
      <c r="M1120" s="474">
        <f t="shared" si="1004"/>
        <v>11.135</v>
      </c>
      <c r="O1120" s="434">
        <f t="shared" si="990"/>
        <v>23.530000000000001</v>
      </c>
      <c r="P1120" s="435">
        <f t="shared" si="991"/>
        <v>22.27</v>
      </c>
      <c r="AE1120" s="217"/>
      <c r="AF1120" s="217">
        <v>1119</v>
      </c>
      <c r="AH1120">
        <f t="shared" si="1000"/>
        <v>1119</v>
      </c>
    </row>
    <row r="1121" ht="30" hidden="1">
      <c r="A1121" s="217"/>
      <c r="B1121" s="217">
        <v>1119</v>
      </c>
      <c r="C1121" s="217"/>
      <c r="D1121" s="217" t="s">
        <v>17167</v>
      </c>
      <c r="E1121" s="471" t="s">
        <v>20675</v>
      </c>
      <c r="F1121" s="486">
        <v>88278</v>
      </c>
      <c r="G1121" s="470" t="s">
        <v>21185</v>
      </c>
      <c r="H1121" s="471" t="s">
        <v>2032</v>
      </c>
      <c r="I1121" s="509">
        <f t="shared" ref="I1121:I1122" si="1006">1/4</f>
        <v>0.25</v>
      </c>
      <c r="J1121" s="473">
        <f t="shared" si="1005"/>
        <v>30.440000000000001</v>
      </c>
      <c r="K1121" s="474">
        <f t="shared" si="1003"/>
        <v>7.6100000000000003</v>
      </c>
      <c r="L1121" s="473">
        <f t="shared" si="992"/>
        <v>28.57</v>
      </c>
      <c r="M1121" s="474">
        <f t="shared" si="1004"/>
        <v>7.1425000000000001</v>
      </c>
      <c r="O1121" s="434">
        <f t="shared" si="990"/>
        <v>30.440000000000001</v>
      </c>
      <c r="P1121" s="435">
        <f t="shared" si="991"/>
        <v>28.57</v>
      </c>
      <c r="AE1121" s="217"/>
      <c r="AF1121" s="217">
        <v>1119</v>
      </c>
      <c r="AH1121">
        <f t="shared" si="1000"/>
        <v>1119</v>
      </c>
    </row>
    <row r="1122" ht="30" hidden="1">
      <c r="A1122" s="217"/>
      <c r="B1122" s="217">
        <v>1119</v>
      </c>
      <c r="C1122" s="217"/>
      <c r="D1122" s="217" t="s">
        <v>17167</v>
      </c>
      <c r="E1122" s="471" t="s">
        <v>20677</v>
      </c>
      <c r="F1122" s="486">
        <v>88315</v>
      </c>
      <c r="G1122" s="470" t="s">
        <v>7392</v>
      </c>
      <c r="H1122" s="471" t="s">
        <v>2032</v>
      </c>
      <c r="I1122" s="509">
        <f t="shared" si="1006"/>
        <v>0.25</v>
      </c>
      <c r="J1122" s="473">
        <f t="shared" si="1005"/>
        <v>28.800000000000001</v>
      </c>
      <c r="K1122" s="474">
        <f t="shared" si="1003"/>
        <v>7.2000000000000002</v>
      </c>
      <c r="L1122" s="473">
        <f t="shared" si="992"/>
        <v>27.149999999999999</v>
      </c>
      <c r="M1122" s="474">
        <f t="shared" si="1004"/>
        <v>6.7874999999999996</v>
      </c>
      <c r="O1122" s="434">
        <f t="shared" si="990"/>
        <v>28.800000000000001</v>
      </c>
      <c r="P1122" s="435">
        <f t="shared" si="991"/>
        <v>27.149999999999999</v>
      </c>
      <c r="AE1122" s="217"/>
      <c r="AF1122" s="217">
        <v>1119</v>
      </c>
      <c r="AH1122">
        <f t="shared" si="1000"/>
        <v>1119</v>
      </c>
    </row>
    <row r="1123" ht="30" hidden="1">
      <c r="A1123" s="217"/>
      <c r="B1123" s="217">
        <v>1119</v>
      </c>
      <c r="C1123" s="217"/>
      <c r="D1123" s="217" t="s">
        <v>17167</v>
      </c>
      <c r="E1123" s="471" t="s">
        <v>20679</v>
      </c>
      <c r="F1123" s="486">
        <v>88316</v>
      </c>
      <c r="G1123" s="470" t="s">
        <v>7393</v>
      </c>
      <c r="H1123" s="471" t="s">
        <v>2032</v>
      </c>
      <c r="I1123" s="509">
        <f>2/4</f>
        <v>0.5</v>
      </c>
      <c r="J1123" s="473">
        <f t="shared" si="1005"/>
        <v>22.760000000000002</v>
      </c>
      <c r="K1123" s="474">
        <f t="shared" si="1003"/>
        <v>11.380000000000001</v>
      </c>
      <c r="L1123" s="473">
        <f t="shared" si="992"/>
        <v>21.550000000000001</v>
      </c>
      <c r="M1123" s="474">
        <f t="shared" si="1004"/>
        <v>10.775</v>
      </c>
      <c r="O1123" s="434">
        <f t="shared" si="990"/>
        <v>22.760000000000002</v>
      </c>
      <c r="P1123" s="435">
        <f t="shared" si="991"/>
        <v>21.550000000000001</v>
      </c>
      <c r="AE1123" s="217"/>
      <c r="AF1123" s="217">
        <v>1119</v>
      </c>
      <c r="AH1123">
        <f t="shared" si="1000"/>
        <v>1119</v>
      </c>
    </row>
    <row r="1124" ht="90" hidden="1">
      <c r="A1124" s="217"/>
      <c r="B1124" s="217">
        <v>1119</v>
      </c>
      <c r="C1124" s="217"/>
      <c r="D1124" s="217" t="s">
        <v>17167</v>
      </c>
      <c r="E1124" s="471" t="s">
        <v>20681</v>
      </c>
      <c r="F1124" s="486">
        <v>100758</v>
      </c>
      <c r="G1124" s="470" t="s">
        <v>21186</v>
      </c>
      <c r="H1124" s="471" t="s">
        <v>15515</v>
      </c>
      <c r="I1124" s="509">
        <v>5.5999999999999996</v>
      </c>
      <c r="J1124" s="473">
        <f t="shared" si="1005"/>
        <v>51.649999999999999</v>
      </c>
      <c r="K1124" s="474">
        <f t="shared" si="1003"/>
        <v>289.23999999999995</v>
      </c>
      <c r="L1124" s="473">
        <f t="shared" si="992"/>
        <v>49.460000000000001</v>
      </c>
      <c r="M1124" s="474">
        <f t="shared" si="1004"/>
        <v>276.976</v>
      </c>
      <c r="O1124" s="434">
        <f t="shared" si="990"/>
        <v>51.649999999999999</v>
      </c>
      <c r="P1124" s="435">
        <f t="shared" si="991"/>
        <v>49.460000000000001</v>
      </c>
      <c r="AE1124" s="217"/>
      <c r="AF1124" s="217">
        <v>1119</v>
      </c>
      <c r="AH1124">
        <f t="shared" si="1000"/>
        <v>1119</v>
      </c>
    </row>
    <row r="1125" ht="75" hidden="1">
      <c r="A1125" s="217"/>
      <c r="B1125" s="217">
        <v>1119</v>
      </c>
      <c r="C1125" s="217"/>
      <c r="D1125" s="217" t="s">
        <v>17167</v>
      </c>
      <c r="E1125" s="471" t="s">
        <v>20683</v>
      </c>
      <c r="F1125" s="486">
        <v>100722</v>
      </c>
      <c r="G1125" s="470" t="s">
        <v>21187</v>
      </c>
      <c r="H1125" s="471" t="s">
        <v>15515</v>
      </c>
      <c r="I1125" s="509">
        <v>5.5999999999999996</v>
      </c>
      <c r="J1125" s="473">
        <f t="shared" si="1005"/>
        <v>25.260000000000002</v>
      </c>
      <c r="K1125" s="474">
        <f t="shared" si="1003"/>
        <v>141.45599999999999</v>
      </c>
      <c r="L1125" s="473">
        <f t="shared" si="992"/>
        <v>24.170000000000002</v>
      </c>
      <c r="M1125" s="474">
        <f t="shared" si="1004"/>
        <v>135.352</v>
      </c>
      <c r="O1125" s="434">
        <f t="shared" si="990"/>
        <v>25.260000000000002</v>
      </c>
      <c r="P1125" s="435">
        <f t="shared" si="991"/>
        <v>24.170000000000002</v>
      </c>
      <c r="AE1125" s="217"/>
      <c r="AF1125" s="217">
        <v>1119</v>
      </c>
      <c r="AH1125">
        <f t="shared" si="1000"/>
        <v>1119</v>
      </c>
    </row>
    <row r="1126" ht="45" hidden="1">
      <c r="A1126" s="217"/>
      <c r="B1126" s="217">
        <v>1119</v>
      </c>
      <c r="C1126" s="217"/>
      <c r="D1126" s="217" t="s">
        <v>20408</v>
      </c>
      <c r="E1126" s="471" t="s">
        <v>20685</v>
      </c>
      <c r="F1126" s="486">
        <v>4777</v>
      </c>
      <c r="G1126" s="470" t="s">
        <v>11427</v>
      </c>
      <c r="H1126" s="471" t="s">
        <v>302</v>
      </c>
      <c r="I1126" s="509">
        <v>4.7199999999999998</v>
      </c>
      <c r="J1126" s="473">
        <f t="shared" si="1005"/>
        <v>8.0199999999999996</v>
      </c>
      <c r="K1126" s="474">
        <f t="shared" si="1003"/>
        <v>37.854399999999998</v>
      </c>
      <c r="L1126" s="473">
        <f t="shared" si="992"/>
        <v>8.0199999999999996</v>
      </c>
      <c r="M1126" s="474">
        <f t="shared" si="1004"/>
        <v>37.854399999999998</v>
      </c>
      <c r="O1126" s="434">
        <f t="shared" si="990"/>
        <v>8.0199999999999996</v>
      </c>
      <c r="P1126" s="435">
        <f t="shared" si="991"/>
        <v>8.0199999999999996</v>
      </c>
      <c r="AE1126" s="217"/>
      <c r="AF1126" s="217">
        <v>1119</v>
      </c>
      <c r="AH1126">
        <f t="shared" si="1000"/>
        <v>1119</v>
      </c>
    </row>
    <row r="1127" ht="83.25" hidden="1" customHeight="1">
      <c r="A1127" s="460">
        <v>1120</v>
      </c>
      <c r="B1127" s="460">
        <v>1120</v>
      </c>
      <c r="C1127" s="460"/>
      <c r="D1127" s="460"/>
      <c r="E1127" s="461">
        <v>1</v>
      </c>
      <c r="F1127" s="462" t="s">
        <v>21200</v>
      </c>
      <c r="G1127" s="477" t="s">
        <v>21201</v>
      </c>
      <c r="H1127" s="478" t="s">
        <v>20647</v>
      </c>
      <c r="I1127" s="479"/>
      <c r="J1127" s="480"/>
      <c r="K1127" s="466">
        <f>SUM(K1128:K1136)</f>
        <v>411.47092950000001</v>
      </c>
      <c r="L1127" s="480"/>
      <c r="M1127" s="466">
        <f>SUM(M1128:M1136)</f>
        <v>409.29525550000005</v>
      </c>
      <c r="N1127" s="487" t="s">
        <v>20703</v>
      </c>
      <c r="O1127" s="434" t="str">
        <f t="shared" si="990"/>
        <v xml:space="preserve">SEM VALOR</v>
      </c>
      <c r="P1127" s="435" t="str">
        <f t="shared" si="991"/>
        <v xml:space="preserve">SEM VALOR</v>
      </c>
      <c r="AE1127" s="460">
        <v>1120</v>
      </c>
      <c r="AF1127" s="460"/>
      <c r="AH1127">
        <f t="shared" si="1000"/>
        <v>1120</v>
      </c>
    </row>
    <row r="1128" ht="30" hidden="1">
      <c r="A1128" s="217"/>
      <c r="B1128" s="217">
        <v>1120</v>
      </c>
      <c r="C1128" s="217"/>
      <c r="D1128" s="217" t="s">
        <v>20408</v>
      </c>
      <c r="E1128" s="471" t="s">
        <v>20399</v>
      </c>
      <c r="F1128" s="468">
        <v>34723</v>
      </c>
      <c r="G1128" s="470" t="s">
        <v>21184</v>
      </c>
      <c r="H1128" s="471" t="s">
        <v>15515</v>
      </c>
      <c r="I1128" s="509">
        <v>0.27000000000000002</v>
      </c>
      <c r="J1128" s="473">
        <f t="shared" si="1005"/>
        <v>997.91999999999996</v>
      </c>
      <c r="K1128" s="474">
        <f t="shared" ref="K1128:K1136" si="1007">I1128*J1128</f>
        <v>269.4384</v>
      </c>
      <c r="L1128" s="473">
        <f t="shared" si="992"/>
        <v>997.91999999999996</v>
      </c>
      <c r="M1128" s="474">
        <f t="shared" ref="M1128:M1136" si="1008">L1128*I1128</f>
        <v>269.4384</v>
      </c>
      <c r="O1128" s="434">
        <f t="shared" si="990"/>
        <v>997.91999999999996</v>
      </c>
      <c r="P1128" s="435">
        <f t="shared" si="991"/>
        <v>997.91999999999996</v>
      </c>
      <c r="AE1128" s="217"/>
      <c r="AF1128" s="217">
        <v>1120</v>
      </c>
      <c r="AH1128">
        <f t="shared" si="1000"/>
        <v>1120</v>
      </c>
    </row>
    <row r="1129" ht="45" hidden="1">
      <c r="A1129" s="217"/>
      <c r="B1129" s="217">
        <v>1120</v>
      </c>
      <c r="C1129" s="217"/>
      <c r="D1129" s="217" t="s">
        <v>20408</v>
      </c>
      <c r="E1129" s="471" t="s">
        <v>20402</v>
      </c>
      <c r="F1129" s="468">
        <v>4433</v>
      </c>
      <c r="G1129" s="470" t="s">
        <v>21202</v>
      </c>
      <c r="H1129" s="471" t="s">
        <v>38</v>
      </c>
      <c r="I1129" s="509">
        <v>2.6000000000000001</v>
      </c>
      <c r="J1129" s="473">
        <f t="shared" si="1005"/>
        <v>28.940000000000001</v>
      </c>
      <c r="K1129" s="474">
        <f t="shared" si="1007"/>
        <v>75.244</v>
      </c>
      <c r="L1129" s="473">
        <f t="shared" si="992"/>
        <v>28.940000000000001</v>
      </c>
      <c r="M1129" s="474">
        <f t="shared" si="1008"/>
        <v>75.244</v>
      </c>
      <c r="O1129" s="434">
        <f t="shared" si="990"/>
        <v>28.940000000000001</v>
      </c>
      <c r="P1129" s="435">
        <f t="shared" si="991"/>
        <v>28.940000000000001</v>
      </c>
      <c r="AE1129" s="217"/>
      <c r="AF1129" s="217">
        <v>1120</v>
      </c>
      <c r="AH1129">
        <f t="shared" si="1000"/>
        <v>1120</v>
      </c>
    </row>
    <row r="1130" ht="60" hidden="1">
      <c r="A1130" s="217"/>
      <c r="B1130" s="217">
        <v>1120</v>
      </c>
      <c r="C1130" s="217"/>
      <c r="D1130" s="217" t="s">
        <v>20398</v>
      </c>
      <c r="E1130" s="471" t="s">
        <v>20405</v>
      </c>
      <c r="F1130" s="486">
        <v>1241</v>
      </c>
      <c r="G1130" s="470" t="s">
        <v>21181</v>
      </c>
      <c r="H1130" s="471" t="s">
        <v>15528</v>
      </c>
      <c r="I1130" s="509">
        <v>7.4999999999999997e-002</v>
      </c>
      <c r="J1130" s="473">
        <f t="shared" si="1005"/>
        <v>453.00401999999997</v>
      </c>
      <c r="K1130" s="474">
        <f t="shared" si="1007"/>
        <v>33.975301499999993</v>
      </c>
      <c r="L1130" s="473">
        <f t="shared" si="992"/>
        <v>445.74401999999998</v>
      </c>
      <c r="M1130" s="474">
        <f t="shared" si="1008"/>
        <v>33.430801499999994</v>
      </c>
      <c r="O1130" s="434">
        <f t="shared" si="990"/>
        <v>453.00401999999997</v>
      </c>
      <c r="P1130" s="435">
        <f t="shared" si="991"/>
        <v>445.74401999999998</v>
      </c>
      <c r="AE1130" s="217"/>
      <c r="AF1130" s="217">
        <v>1120</v>
      </c>
      <c r="AH1130">
        <f t="shared" si="1000"/>
        <v>1120</v>
      </c>
    </row>
    <row r="1131" ht="45" hidden="1">
      <c r="A1131" s="217"/>
      <c r="B1131" s="217">
        <v>1120</v>
      </c>
      <c r="C1131" s="217"/>
      <c r="D1131" s="217" t="s">
        <v>20398</v>
      </c>
      <c r="E1131" s="471" t="s">
        <v>20409</v>
      </c>
      <c r="F1131" s="486">
        <v>1243</v>
      </c>
      <c r="G1131" s="470" t="s">
        <v>21036</v>
      </c>
      <c r="H1131" s="471" t="s">
        <v>15515</v>
      </c>
      <c r="I1131" s="509">
        <v>0.51000000000000001</v>
      </c>
      <c r="J1131" s="473">
        <f t="shared" si="1005"/>
        <v>10.1928</v>
      </c>
      <c r="K1131" s="474">
        <f t="shared" si="1007"/>
        <v>5.1983280000000001</v>
      </c>
      <c r="L1131" s="473">
        <f t="shared" si="992"/>
        <v>9.6916499999999992</v>
      </c>
      <c r="M1131" s="474">
        <f t="shared" si="1008"/>
        <v>4.9427414999999995</v>
      </c>
      <c r="O1131" s="434">
        <f t="shared" si="990"/>
        <v>10.1928</v>
      </c>
      <c r="P1131" s="435">
        <f t="shared" si="991"/>
        <v>9.6916499999999992</v>
      </c>
      <c r="AE1131" s="217"/>
      <c r="AF1131" s="217">
        <v>1120</v>
      </c>
      <c r="AH1131">
        <f t="shared" si="1000"/>
        <v>1120</v>
      </c>
    </row>
    <row r="1132" ht="45" hidden="1">
      <c r="A1132" s="217"/>
      <c r="B1132" s="217">
        <v>1120</v>
      </c>
      <c r="C1132" s="217"/>
      <c r="D1132" s="217" t="s">
        <v>20398</v>
      </c>
      <c r="E1132" s="471" t="s">
        <v>20663</v>
      </c>
      <c r="F1132" s="486">
        <v>1259</v>
      </c>
      <c r="G1132" s="470" t="s">
        <v>20796</v>
      </c>
      <c r="H1132" s="471" t="s">
        <v>15528</v>
      </c>
      <c r="I1132" s="509">
        <v>7.4999999999999997e-002</v>
      </c>
      <c r="J1132" s="473">
        <f t="shared" si="1005"/>
        <v>45.520000000000003</v>
      </c>
      <c r="K1132" s="474">
        <f t="shared" si="1007"/>
        <v>3.4140000000000001</v>
      </c>
      <c r="L1132" s="473">
        <f t="shared" si="992"/>
        <v>43.100000000000001</v>
      </c>
      <c r="M1132" s="474">
        <f t="shared" si="1008"/>
        <v>3.2324999999999999</v>
      </c>
      <c r="O1132" s="434">
        <f t="shared" ref="O1132:O1195" si="1009">IFERROR(IF(D1132="SINAPI",VLOOKUP(F1132,SINCOMOD,4,FALSE),IF(D1132="INSINAPI",VLOOKUP(F1132,INSINOD,5,FALSE),IF(D1132="SICRO",VLOOKUP(F1132,SICRO,5,FALSE),IF(D1132="COTACAO",VLOOKUP(F1132,COTACAO,6,FALSE),IF(D1132="PRÓPRIO",VLOOKUP(F1132,COMPOD,11,FALSE),IF(D1132="AGESUL",VLOOKUP(F1132,AGESULOD,6,FALSE),IF(D1132="INSAGESUL",VLOOKUP(F1132,INSAGESUL,7,FALSE),"SEM VALOR"))))))),"SEM VALOR")</f>
        <v>45.520000000000003</v>
      </c>
      <c r="P1132" s="435">
        <f t="shared" ref="P1132:P1195" si="1010">IFERROR(IF(D1132="SINAPI",VLOOKUP(F1132,SINCOMOD,6,FALSE),IF(D1132="INSINAPI",VLOOKUP(F1132,INSINOD,6,FALSE),IF(D1132="SICRO",VLOOKUP(F1132,SICRO,5,FALSE),IF(D1132="COTACAO",VLOOKUP(F1132,COTACAO,6,FALSE),IF(D1132="PRÓPRIO",VLOOKUP(F1132,COMPOD,13,FALSE),IF(D1132="AGESUL",VLOOKUP(F1132,AGESULOD,11,FALSE),IF(D1132="INSAGESUL",VLOOKUP(F1132,INSAGESUL,8,FALSE),"SEM VALOR"))))))),"SEM VALOR")</f>
        <v>43.100000000000001</v>
      </c>
      <c r="AE1132" s="217"/>
      <c r="AF1132" s="217">
        <v>1120</v>
      </c>
      <c r="AH1132">
        <f t="shared" si="1000"/>
        <v>1120</v>
      </c>
    </row>
    <row r="1133" ht="105" hidden="1">
      <c r="A1133" s="217"/>
      <c r="B1133" s="217">
        <v>1120</v>
      </c>
      <c r="C1133" s="217"/>
      <c r="D1133" s="217" t="s">
        <v>17167</v>
      </c>
      <c r="E1133" s="471" t="s">
        <v>20665</v>
      </c>
      <c r="F1133" s="468">
        <v>73467</v>
      </c>
      <c r="G1133" s="470" t="s">
        <v>1601</v>
      </c>
      <c r="H1133" s="471" t="s">
        <v>1535</v>
      </c>
      <c r="I1133" s="509">
        <v>1.e-002</v>
      </c>
      <c r="J1133" s="473">
        <f t="shared" si="1005"/>
        <v>270.61000000000001</v>
      </c>
      <c r="K1133" s="474">
        <f t="shared" si="1007"/>
        <v>2.7061000000000002</v>
      </c>
      <c r="L1133" s="473">
        <f t="shared" ref="L1133:L1196" si="1011">P1133*$L$3</f>
        <v>269.00999999999999</v>
      </c>
      <c r="M1133" s="474">
        <f t="shared" si="1008"/>
        <v>2.6901000000000002</v>
      </c>
      <c r="O1133" s="434">
        <f t="shared" si="1009"/>
        <v>270.61000000000001</v>
      </c>
      <c r="P1133" s="435">
        <f t="shared" si="1010"/>
        <v>269.00999999999999</v>
      </c>
      <c r="AE1133" s="217"/>
      <c r="AF1133" s="217">
        <v>1120</v>
      </c>
      <c r="AH1133">
        <f t="shared" si="1000"/>
        <v>1120</v>
      </c>
    </row>
    <row r="1134" ht="45" hidden="1">
      <c r="A1134" s="217"/>
      <c r="B1134" s="217">
        <v>1120</v>
      </c>
      <c r="C1134" s="217"/>
      <c r="D1134" s="217" t="s">
        <v>20398</v>
      </c>
      <c r="E1134" s="471" t="s">
        <v>20667</v>
      </c>
      <c r="F1134" s="468">
        <v>1000</v>
      </c>
      <c r="G1134" s="470" t="s">
        <v>20651</v>
      </c>
      <c r="H1134" s="471" t="s">
        <v>15528</v>
      </c>
      <c r="I1134" s="509">
        <v>7.4999999999999997e-002</v>
      </c>
      <c r="J1134" s="473">
        <f t="shared" si="1005"/>
        <v>149.904</v>
      </c>
      <c r="K1134" s="474">
        <f t="shared" si="1007"/>
        <v>11.242799999999999</v>
      </c>
      <c r="L1134" s="473">
        <f t="shared" si="1011"/>
        <v>141.76949999999999</v>
      </c>
      <c r="M1134" s="474">
        <f t="shared" si="1008"/>
        <v>10.632712499999998</v>
      </c>
      <c r="O1134" s="434">
        <f t="shared" si="1009"/>
        <v>149.904</v>
      </c>
      <c r="P1134" s="435">
        <f t="shared" si="1010"/>
        <v>141.76949999999999</v>
      </c>
      <c r="AE1134" s="217"/>
      <c r="AF1134" s="217">
        <v>1120</v>
      </c>
      <c r="AH1134">
        <f t="shared" si="1000"/>
        <v>1120</v>
      </c>
    </row>
    <row r="1135" ht="30" hidden="1">
      <c r="A1135" s="217"/>
      <c r="B1135" s="217">
        <v>1120</v>
      </c>
      <c r="C1135" s="217"/>
      <c r="D1135" s="217" t="s">
        <v>17167</v>
      </c>
      <c r="E1135" s="471" t="s">
        <v>20671</v>
      </c>
      <c r="F1135" s="468">
        <v>88309</v>
      </c>
      <c r="G1135" s="470" t="s">
        <v>7385</v>
      </c>
      <c r="H1135" s="471" t="s">
        <v>2032</v>
      </c>
      <c r="I1135" s="509">
        <v>0.20000000000000001</v>
      </c>
      <c r="J1135" s="473">
        <f t="shared" si="1005"/>
        <v>28.5</v>
      </c>
      <c r="K1135" s="474">
        <f t="shared" si="1007"/>
        <v>5.7000000000000002</v>
      </c>
      <c r="L1135" s="473">
        <f t="shared" si="1011"/>
        <v>26.870000000000001</v>
      </c>
      <c r="M1135" s="474">
        <f t="shared" si="1008"/>
        <v>5.3740000000000006</v>
      </c>
      <c r="O1135" s="434">
        <f t="shared" si="1009"/>
        <v>28.5</v>
      </c>
      <c r="P1135" s="435">
        <f t="shared" si="1010"/>
        <v>26.870000000000001</v>
      </c>
      <c r="AE1135" s="217"/>
      <c r="AF1135" s="217">
        <v>1120</v>
      </c>
      <c r="AH1135">
        <f t="shared" si="1000"/>
        <v>1120</v>
      </c>
    </row>
    <row r="1136" ht="30" hidden="1">
      <c r="A1136" s="217"/>
      <c r="B1136" s="217">
        <v>1120</v>
      </c>
      <c r="C1136" s="217"/>
      <c r="D1136" s="217" t="s">
        <v>17167</v>
      </c>
      <c r="E1136" s="471" t="s">
        <v>20672</v>
      </c>
      <c r="F1136" s="468">
        <v>88316</v>
      </c>
      <c r="G1136" s="470" t="s">
        <v>7393</v>
      </c>
      <c r="H1136" s="471" t="s">
        <v>2032</v>
      </c>
      <c r="I1136" s="509">
        <v>0.20000000000000001</v>
      </c>
      <c r="J1136" s="473">
        <f t="shared" si="1005"/>
        <v>22.760000000000002</v>
      </c>
      <c r="K1136" s="474">
        <f t="shared" si="1007"/>
        <v>4.5520000000000005</v>
      </c>
      <c r="L1136" s="473">
        <f t="shared" si="1011"/>
        <v>21.550000000000001</v>
      </c>
      <c r="M1136" s="474">
        <f t="shared" si="1008"/>
        <v>4.3100000000000005</v>
      </c>
      <c r="O1136" s="434">
        <f t="shared" si="1009"/>
        <v>22.760000000000002</v>
      </c>
      <c r="P1136" s="435">
        <f t="shared" si="1010"/>
        <v>21.550000000000001</v>
      </c>
      <c r="AE1136" s="217"/>
      <c r="AF1136" s="217">
        <v>1120</v>
      </c>
      <c r="AH1136">
        <f t="shared" si="1000"/>
        <v>1120</v>
      </c>
    </row>
    <row r="1137" ht="31.5" hidden="1">
      <c r="A1137" s="460">
        <v>1121</v>
      </c>
      <c r="B1137" s="460">
        <v>1121</v>
      </c>
      <c r="C1137" s="460"/>
      <c r="D1137" s="460"/>
      <c r="E1137" s="461">
        <v>1</v>
      </c>
      <c r="F1137" s="462" t="s">
        <v>21203</v>
      </c>
      <c r="G1137" s="477" t="s">
        <v>21204</v>
      </c>
      <c r="H1137" s="478" t="s">
        <v>15528</v>
      </c>
      <c r="I1137" s="479"/>
      <c r="J1137" s="480"/>
      <c r="K1137" s="466">
        <f>SUM(K1138:K1139)</f>
        <v>53.613485000000004</v>
      </c>
      <c r="L1137" s="480"/>
      <c r="M1137" s="466">
        <f>SUM(M1138:M1139)</f>
        <v>51.326699999999995</v>
      </c>
      <c r="O1137" s="434" t="str">
        <f t="shared" si="1009"/>
        <v xml:space="preserve">SEM VALOR</v>
      </c>
      <c r="P1137" s="435" t="str">
        <f t="shared" si="1010"/>
        <v xml:space="preserve">SEM VALOR</v>
      </c>
      <c r="AE1137" s="460">
        <v>1121</v>
      </c>
      <c r="AF1137" s="460"/>
      <c r="AH1137">
        <f t="shared" si="1000"/>
        <v>1121</v>
      </c>
    </row>
    <row r="1138" ht="30" hidden="1">
      <c r="A1138" s="217"/>
      <c r="B1138" s="217">
        <v>1121</v>
      </c>
      <c r="C1138" s="217"/>
      <c r="D1138" s="217" t="s">
        <v>17167</v>
      </c>
      <c r="E1138" s="471" t="s">
        <v>20399</v>
      </c>
      <c r="F1138" s="526">
        <v>88316</v>
      </c>
      <c r="G1138" s="525" t="s">
        <v>7393</v>
      </c>
      <c r="H1138" s="471" t="s">
        <v>2032</v>
      </c>
      <c r="I1138" s="473">
        <v>0.5</v>
      </c>
      <c r="J1138" s="473">
        <f t="shared" si="1005"/>
        <v>22.760000000000002</v>
      </c>
      <c r="K1138" s="474">
        <f t="shared" ref="K1138:K1139" si="1012">I1138*J1138</f>
        <v>11.380000000000001</v>
      </c>
      <c r="L1138" s="473">
        <f t="shared" si="1011"/>
        <v>21.550000000000001</v>
      </c>
      <c r="M1138" s="474">
        <f t="shared" ref="M1138:M1139" si="1013">L1138*I1138</f>
        <v>10.775</v>
      </c>
      <c r="O1138" s="434">
        <f t="shared" si="1009"/>
        <v>22.760000000000002</v>
      </c>
      <c r="P1138" s="435">
        <f t="shared" si="1010"/>
        <v>21.550000000000001</v>
      </c>
      <c r="AE1138" s="217"/>
      <c r="AF1138" s="217">
        <v>1121</v>
      </c>
      <c r="AH1138">
        <f t="shared" si="1000"/>
        <v>1121</v>
      </c>
    </row>
    <row r="1139" ht="45" hidden="1">
      <c r="A1139" s="217"/>
      <c r="B1139" s="217">
        <v>1121</v>
      </c>
      <c r="C1139" s="217"/>
      <c r="D1139" s="217" t="s">
        <v>20398</v>
      </c>
      <c r="E1139" s="471" t="s">
        <v>20402</v>
      </c>
      <c r="F1139" s="526">
        <v>1093</v>
      </c>
      <c r="G1139" s="525" t="s">
        <v>21111</v>
      </c>
      <c r="H1139" s="471" t="s">
        <v>15528</v>
      </c>
      <c r="I1139" s="473">
        <f>0.05*26.66</f>
        <v>1.3300000000000001</v>
      </c>
      <c r="J1139" s="473">
        <f t="shared" si="1005"/>
        <v>31.7545</v>
      </c>
      <c r="K1139" s="474">
        <f t="shared" si="1012"/>
        <v>42.233485000000002</v>
      </c>
      <c r="L1139" s="473">
        <f t="shared" si="1011"/>
        <v>30.489999999999998</v>
      </c>
      <c r="M1139" s="474">
        <f t="shared" si="1013"/>
        <v>40.551699999999997</v>
      </c>
      <c r="O1139" s="434">
        <f t="shared" si="1009"/>
        <v>31.7545</v>
      </c>
      <c r="P1139" s="435">
        <f t="shared" si="1010"/>
        <v>30.489999999999998</v>
      </c>
      <c r="AE1139" s="217"/>
      <c r="AF1139" s="217">
        <v>1121</v>
      </c>
      <c r="AH1139">
        <f t="shared" si="1000"/>
        <v>1121</v>
      </c>
    </row>
    <row r="1140" ht="94.5" hidden="1">
      <c r="A1140" s="460">
        <v>1122</v>
      </c>
      <c r="B1140" s="460">
        <v>1122</v>
      </c>
      <c r="C1140" s="460"/>
      <c r="D1140" s="460"/>
      <c r="E1140" s="461">
        <v>1</v>
      </c>
      <c r="F1140" s="462" t="s">
        <v>21205</v>
      </c>
      <c r="G1140" s="477" t="s">
        <v>21206</v>
      </c>
      <c r="H1140" s="478" t="s">
        <v>38</v>
      </c>
      <c r="I1140" s="479"/>
      <c r="J1140" s="480"/>
      <c r="K1140" s="466" t="e">
        <f>SUM(K1141:K1144)</f>
        <v>#VALUE!</v>
      </c>
      <c r="L1140" s="480"/>
      <c r="M1140" s="466" t="e">
        <f>SUM(M1141:M1144)</f>
        <v>#VALUE!</v>
      </c>
      <c r="N1140" s="487" t="s">
        <v>21207</v>
      </c>
      <c r="O1140" s="434" t="str">
        <f t="shared" si="1009"/>
        <v xml:space="preserve">SEM VALOR</v>
      </c>
      <c r="P1140" s="435" t="str">
        <f t="shared" si="1010"/>
        <v xml:space="preserve">SEM VALOR</v>
      </c>
      <c r="AE1140" s="460">
        <v>1122</v>
      </c>
      <c r="AF1140" s="460"/>
      <c r="AH1140">
        <f t="shared" si="1000"/>
        <v>1122</v>
      </c>
    </row>
    <row r="1141" ht="60" hidden="1">
      <c r="A1141" s="217"/>
      <c r="B1141" s="217">
        <v>1122</v>
      </c>
      <c r="C1141" s="217"/>
      <c r="D1141" s="217" t="s">
        <v>20408</v>
      </c>
      <c r="E1141" s="471" t="s">
        <v>20399</v>
      </c>
      <c r="F1141" s="469">
        <v>20078</v>
      </c>
      <c r="G1141" s="470" t="s">
        <v>20736</v>
      </c>
      <c r="H1141" s="471" t="s">
        <v>31</v>
      </c>
      <c r="I1141" s="472" t="s">
        <v>21208</v>
      </c>
      <c r="J1141" s="473">
        <f t="shared" si="1005"/>
        <v>31.75</v>
      </c>
      <c r="K1141" s="474" t="e">
        <f t="shared" ref="K1141:K1144" si="1014">I1141*J1141</f>
        <v>#VALUE!</v>
      </c>
      <c r="L1141" s="473">
        <f t="shared" si="1011"/>
        <v>31.75</v>
      </c>
      <c r="M1141" s="474" t="e">
        <f t="shared" ref="M1141:M1144" si="1015">L1141*I1141</f>
        <v>#VALUE!</v>
      </c>
      <c r="O1141" s="434">
        <f t="shared" si="1009"/>
        <v>31.75</v>
      </c>
      <c r="P1141" s="435">
        <f t="shared" si="1010"/>
        <v>31.75</v>
      </c>
      <c r="AE1141" s="217"/>
      <c r="AF1141" s="217">
        <v>1122</v>
      </c>
      <c r="AH1141">
        <f t="shared" si="1000"/>
        <v>1122</v>
      </c>
    </row>
    <row r="1142" ht="45" hidden="1">
      <c r="A1142" s="217"/>
      <c r="B1142" s="217">
        <v>1122</v>
      </c>
      <c r="C1142" s="217"/>
      <c r="D1142" s="217" t="s">
        <v>20453</v>
      </c>
      <c r="E1142" s="471" t="s">
        <v>20402</v>
      </c>
      <c r="F1142" s="469" t="s">
        <v>20052</v>
      </c>
      <c r="G1142" s="470" t="s">
        <v>20053</v>
      </c>
      <c r="H1142" s="471" t="s">
        <v>38</v>
      </c>
      <c r="I1142" s="472" t="s">
        <v>20738</v>
      </c>
      <c r="J1142" s="473">
        <f t="shared" si="1005"/>
        <v>80.959999999999994</v>
      </c>
      <c r="K1142" s="474">
        <f t="shared" si="1014"/>
        <v>850079999.99999988</v>
      </c>
      <c r="L1142" s="473">
        <f t="shared" si="1011"/>
        <v>80.959999999999994</v>
      </c>
      <c r="M1142" s="474">
        <f t="shared" si="1015"/>
        <v>850079999.99999988</v>
      </c>
      <c r="O1142" s="434">
        <f t="shared" si="1009"/>
        <v>80.959999999999994</v>
      </c>
      <c r="P1142" s="435">
        <f t="shared" si="1010"/>
        <v>80.959999999999994</v>
      </c>
      <c r="AE1142" s="217"/>
      <c r="AF1142" s="217">
        <v>1122</v>
      </c>
      <c r="AH1142">
        <f t="shared" si="1000"/>
        <v>1122</v>
      </c>
    </row>
    <row r="1143" ht="30" hidden="1">
      <c r="A1143" s="217"/>
      <c r="B1143" s="217">
        <v>1122</v>
      </c>
      <c r="C1143" s="217"/>
      <c r="D1143" s="217" t="s">
        <v>17167</v>
      </c>
      <c r="E1143" s="471" t="s">
        <v>20405</v>
      </c>
      <c r="F1143" s="469">
        <v>88246</v>
      </c>
      <c r="G1143" s="470" t="s">
        <v>7107</v>
      </c>
      <c r="H1143" s="471" t="s">
        <v>2032</v>
      </c>
      <c r="I1143" s="472" t="s">
        <v>21209</v>
      </c>
      <c r="J1143" s="473">
        <f t="shared" si="1005"/>
        <v>19.960000000000001</v>
      </c>
      <c r="K1143" s="474" t="e">
        <f t="shared" si="1014"/>
        <v>#VALUE!</v>
      </c>
      <c r="L1143" s="473">
        <f t="shared" si="1011"/>
        <v>18.870000000000001</v>
      </c>
      <c r="M1143" s="474" t="e">
        <f t="shared" si="1015"/>
        <v>#VALUE!</v>
      </c>
      <c r="O1143" s="434">
        <f t="shared" si="1009"/>
        <v>19.960000000000001</v>
      </c>
      <c r="P1143" s="435">
        <f t="shared" si="1010"/>
        <v>18.870000000000001</v>
      </c>
      <c r="AE1143" s="217"/>
      <c r="AF1143" s="217">
        <v>1122</v>
      </c>
      <c r="AH1143">
        <f t="shared" si="1000"/>
        <v>1122</v>
      </c>
    </row>
    <row r="1144" ht="30" hidden="1">
      <c r="A1144" s="217"/>
      <c r="B1144" s="217">
        <v>1122</v>
      </c>
      <c r="C1144" s="217"/>
      <c r="D1144" s="217" t="s">
        <v>17167</v>
      </c>
      <c r="E1144" s="471" t="s">
        <v>20409</v>
      </c>
      <c r="F1144" s="469">
        <v>88316</v>
      </c>
      <c r="G1144" s="470" t="s">
        <v>7393</v>
      </c>
      <c r="H1144" s="471" t="s">
        <v>2032</v>
      </c>
      <c r="I1144" s="472" t="s">
        <v>21209</v>
      </c>
      <c r="J1144" s="473">
        <f t="shared" si="1005"/>
        <v>22.760000000000002</v>
      </c>
      <c r="K1144" s="474" t="e">
        <f t="shared" si="1014"/>
        <v>#VALUE!</v>
      </c>
      <c r="L1144" s="473">
        <f t="shared" si="1011"/>
        <v>21.550000000000001</v>
      </c>
      <c r="M1144" s="474" t="e">
        <f t="shared" si="1015"/>
        <v>#VALUE!</v>
      </c>
      <c r="O1144" s="434">
        <f t="shared" si="1009"/>
        <v>22.760000000000002</v>
      </c>
      <c r="P1144" s="435">
        <f t="shared" si="1010"/>
        <v>21.550000000000001</v>
      </c>
      <c r="AE1144" s="217"/>
      <c r="AF1144" s="217">
        <v>1122</v>
      </c>
      <c r="AH1144">
        <f t="shared" si="1000"/>
        <v>1122</v>
      </c>
    </row>
    <row r="1145" ht="78.75" hidden="1">
      <c r="A1145" s="460">
        <v>1123</v>
      </c>
      <c r="B1145" s="460">
        <v>1123</v>
      </c>
      <c r="C1145" s="460"/>
      <c r="D1145" s="460"/>
      <c r="E1145" s="461">
        <v>1</v>
      </c>
      <c r="F1145" s="462" t="s">
        <v>21210</v>
      </c>
      <c r="G1145" s="477" t="s">
        <v>21211</v>
      </c>
      <c r="H1145" s="478" t="s">
        <v>38</v>
      </c>
      <c r="I1145" s="479"/>
      <c r="J1145" s="480"/>
      <c r="K1145" s="466">
        <f>SUM(K1146:K1150)</f>
        <v>31.636973999999995</v>
      </c>
      <c r="L1145" s="480"/>
      <c r="M1145" s="466">
        <f>SUM(M1146:M1150)</f>
        <v>30.857147499999996</v>
      </c>
      <c r="N1145" s="467" t="s">
        <v>21044</v>
      </c>
      <c r="O1145" s="434" t="str">
        <f t="shared" si="1009"/>
        <v xml:space="preserve">SEM VALOR</v>
      </c>
      <c r="P1145" s="435" t="str">
        <f t="shared" si="1010"/>
        <v xml:space="preserve">SEM VALOR</v>
      </c>
      <c r="AE1145" s="460">
        <v>1123</v>
      </c>
      <c r="AF1145" s="460"/>
      <c r="AH1145">
        <f t="shared" si="1000"/>
        <v>1123</v>
      </c>
    </row>
    <row r="1146" ht="45" hidden="1">
      <c r="A1146" s="217"/>
      <c r="B1146" s="217">
        <v>1123</v>
      </c>
      <c r="C1146" s="217"/>
      <c r="D1146" s="217" t="s">
        <v>20398</v>
      </c>
      <c r="E1146" s="471" t="s">
        <v>20399</v>
      </c>
      <c r="F1146" s="540">
        <v>1259</v>
      </c>
      <c r="G1146" s="557" t="s">
        <v>20796</v>
      </c>
      <c r="H1146" s="542" t="s">
        <v>15528</v>
      </c>
      <c r="I1146" s="558">
        <v>2.9700000000000001e-002</v>
      </c>
      <c r="J1146" s="473">
        <f t="shared" si="1005"/>
        <v>45.520000000000003</v>
      </c>
      <c r="K1146" s="474">
        <f t="shared" ref="K1146:K1150" si="1016">I1146*J1146</f>
        <v>1.351944</v>
      </c>
      <c r="L1146" s="473">
        <f t="shared" si="1011"/>
        <v>43.100000000000001</v>
      </c>
      <c r="M1146" s="474">
        <f t="shared" ref="M1146:M1150" si="1017">L1146*I1146</f>
        <v>1.28007</v>
      </c>
      <c r="O1146" s="434">
        <f t="shared" si="1009"/>
        <v>45.520000000000003</v>
      </c>
      <c r="P1146" s="435">
        <f t="shared" si="1010"/>
        <v>43.100000000000001</v>
      </c>
      <c r="AE1146" s="217"/>
      <c r="AF1146" s="217">
        <v>1123</v>
      </c>
      <c r="AH1146">
        <f t="shared" si="1000"/>
        <v>1123</v>
      </c>
    </row>
    <row r="1147" ht="75" hidden="1">
      <c r="A1147" s="217"/>
      <c r="B1147" s="217">
        <v>1123</v>
      </c>
      <c r="C1147" s="217"/>
      <c r="D1147" s="217" t="s">
        <v>20398</v>
      </c>
      <c r="E1147" s="471" t="s">
        <v>20402</v>
      </c>
      <c r="F1147" s="540">
        <v>1267</v>
      </c>
      <c r="G1147" s="557" t="s">
        <v>20662</v>
      </c>
      <c r="H1147" s="542" t="s">
        <v>38</v>
      </c>
      <c r="I1147" s="558">
        <v>1</v>
      </c>
      <c r="J1147" s="473">
        <f t="shared" si="1005"/>
        <v>3.2499999999999996</v>
      </c>
      <c r="K1147" s="474">
        <f t="shared" si="1016"/>
        <v>3.2499999999999996</v>
      </c>
      <c r="L1147" s="473">
        <f t="shared" si="1011"/>
        <v>3.1657000000000002</v>
      </c>
      <c r="M1147" s="474">
        <f t="shared" si="1017"/>
        <v>3.1657000000000002</v>
      </c>
      <c r="O1147" s="434">
        <f t="shared" si="1009"/>
        <v>3.2499999999999996</v>
      </c>
      <c r="P1147" s="435">
        <f t="shared" si="1010"/>
        <v>3.1657000000000002</v>
      </c>
      <c r="AE1147" s="217"/>
      <c r="AF1147" s="217">
        <v>1123</v>
      </c>
      <c r="AH1147">
        <f t="shared" si="1000"/>
        <v>1123</v>
      </c>
    </row>
    <row r="1148" ht="45" hidden="1">
      <c r="A1148" s="217"/>
      <c r="B1148" s="217">
        <v>1123</v>
      </c>
      <c r="C1148" s="217"/>
      <c r="D1148" s="217" t="s">
        <v>17167</v>
      </c>
      <c r="E1148" s="471" t="s">
        <v>20405</v>
      </c>
      <c r="F1148" s="540">
        <v>102498</v>
      </c>
      <c r="G1148" s="557" t="s">
        <v>8369</v>
      </c>
      <c r="H1148" s="561" t="s">
        <v>15515</v>
      </c>
      <c r="I1148" s="559">
        <v>0.25</v>
      </c>
      <c r="J1148" s="473">
        <f t="shared" si="1005"/>
        <v>1.7</v>
      </c>
      <c r="K1148" s="474">
        <f t="shared" si="1016"/>
        <v>0.42499999999999999</v>
      </c>
      <c r="L1148" s="473">
        <f t="shared" si="1011"/>
        <v>1.6200000000000001</v>
      </c>
      <c r="M1148" s="474">
        <f t="shared" si="1017"/>
        <v>0.40500000000000003</v>
      </c>
      <c r="O1148" s="434">
        <f t="shared" si="1009"/>
        <v>1.7</v>
      </c>
      <c r="P1148" s="435">
        <f t="shared" si="1010"/>
        <v>1.6200000000000001</v>
      </c>
      <c r="AE1148" s="217"/>
      <c r="AF1148" s="217">
        <v>1123</v>
      </c>
      <c r="AH1148">
        <f t="shared" si="1000"/>
        <v>1123</v>
      </c>
    </row>
    <row r="1149" ht="45" hidden="1">
      <c r="A1149" s="217"/>
      <c r="B1149" s="217">
        <v>1123</v>
      </c>
      <c r="C1149" s="217"/>
      <c r="D1149" s="217" t="s">
        <v>20398</v>
      </c>
      <c r="E1149" s="471" t="s">
        <v>20409</v>
      </c>
      <c r="F1149" s="540">
        <v>1000</v>
      </c>
      <c r="G1149" s="557" t="s">
        <v>20651</v>
      </c>
      <c r="H1149" s="542" t="s">
        <v>15528</v>
      </c>
      <c r="I1149" s="559">
        <v>4.4999999999999998e-002</v>
      </c>
      <c r="J1149" s="473">
        <f t="shared" si="1005"/>
        <v>149.904</v>
      </c>
      <c r="K1149" s="474">
        <f t="shared" si="1016"/>
        <v>6.7456799999999992</v>
      </c>
      <c r="L1149" s="473">
        <f t="shared" si="1011"/>
        <v>141.76949999999999</v>
      </c>
      <c r="M1149" s="474">
        <f t="shared" si="1017"/>
        <v>6.3796274999999998</v>
      </c>
      <c r="O1149" s="434">
        <f t="shared" si="1009"/>
        <v>149.904</v>
      </c>
      <c r="P1149" s="435">
        <f t="shared" si="1010"/>
        <v>141.76949999999999</v>
      </c>
      <c r="AE1149" s="217"/>
      <c r="AF1149" s="217">
        <v>1123</v>
      </c>
      <c r="AH1149">
        <f t="shared" si="1000"/>
        <v>1123</v>
      </c>
    </row>
    <row r="1150" ht="60" hidden="1">
      <c r="A1150" s="217"/>
      <c r="B1150" s="217">
        <v>1123</v>
      </c>
      <c r="C1150" s="217"/>
      <c r="D1150" s="217" t="s">
        <v>17167</v>
      </c>
      <c r="E1150" s="471" t="s">
        <v>20663</v>
      </c>
      <c r="F1150" s="540">
        <v>94963</v>
      </c>
      <c r="G1150" s="557" t="s">
        <v>20911</v>
      </c>
      <c r="H1150" s="542" t="s">
        <v>15528</v>
      </c>
      <c r="I1150" s="559">
        <v>4.4999999999999998e-002</v>
      </c>
      <c r="J1150" s="473">
        <f t="shared" si="1005"/>
        <v>441.43000000000001</v>
      </c>
      <c r="K1150" s="474">
        <f t="shared" si="1016"/>
        <v>19.864349999999998</v>
      </c>
      <c r="L1150" s="473">
        <f t="shared" si="1011"/>
        <v>436.14999999999998</v>
      </c>
      <c r="M1150" s="474">
        <f t="shared" si="1017"/>
        <v>19.626749999999998</v>
      </c>
      <c r="O1150" s="434">
        <f t="shared" si="1009"/>
        <v>441.43000000000001</v>
      </c>
      <c r="P1150" s="435">
        <f t="shared" si="1010"/>
        <v>436.14999999999998</v>
      </c>
      <c r="AE1150" s="217"/>
      <c r="AF1150" s="217">
        <v>1123</v>
      </c>
      <c r="AH1150">
        <f t="shared" si="1000"/>
        <v>1123</v>
      </c>
    </row>
    <row r="1151" ht="82.5" hidden="1" customHeight="1">
      <c r="A1151" s="460">
        <v>1124</v>
      </c>
      <c r="B1151" s="460">
        <v>1124</v>
      </c>
      <c r="C1151" s="460"/>
      <c r="D1151" s="460"/>
      <c r="E1151" s="461">
        <v>1</v>
      </c>
      <c r="F1151" s="462" t="s">
        <v>21212</v>
      </c>
      <c r="G1151" s="477" t="s">
        <v>21213</v>
      </c>
      <c r="H1151" s="478" t="s">
        <v>31</v>
      </c>
      <c r="I1151" s="479"/>
      <c r="J1151" s="480"/>
      <c r="K1151" s="466">
        <f>SUM(K1152:K1157)</f>
        <v>10621.235008</v>
      </c>
      <c r="L1151" s="480"/>
      <c r="M1151" s="466">
        <f>SUM(M1152:M1157)</f>
        <v>10559.7385256</v>
      </c>
      <c r="O1151" s="434" t="str">
        <f t="shared" si="1009"/>
        <v xml:space="preserve">SEM VALOR</v>
      </c>
      <c r="P1151" s="435" t="str">
        <f t="shared" si="1010"/>
        <v xml:space="preserve">SEM VALOR</v>
      </c>
      <c r="AE1151" s="460">
        <v>1124</v>
      </c>
      <c r="AF1151" s="460"/>
      <c r="AH1151">
        <f t="shared" si="1000"/>
        <v>1124</v>
      </c>
    </row>
    <row r="1152" ht="75" hidden="1">
      <c r="A1152" s="217"/>
      <c r="B1152" s="217">
        <v>1124</v>
      </c>
      <c r="C1152" s="217"/>
      <c r="D1152" s="217" t="s">
        <v>20398</v>
      </c>
      <c r="E1152" s="471" t="s">
        <v>20399</v>
      </c>
      <c r="F1152" s="540">
        <v>1267</v>
      </c>
      <c r="G1152" s="557" t="s">
        <v>20662</v>
      </c>
      <c r="H1152" s="542" t="s">
        <v>38</v>
      </c>
      <c r="I1152" s="559">
        <f>5.48*2+11*2</f>
        <v>32.960000000000001</v>
      </c>
      <c r="J1152" s="473">
        <f t="shared" si="1005"/>
        <v>3.2499999999999996</v>
      </c>
      <c r="K1152" s="474">
        <f t="shared" ref="K1152:K1157" si="1018">I1152*J1152</f>
        <v>107.11999999999999</v>
      </c>
      <c r="L1152" s="473">
        <f t="shared" si="1011"/>
        <v>3.1657000000000002</v>
      </c>
      <c r="M1152" s="474">
        <f t="shared" ref="M1152:M1157" si="1019">L1152*I1152</f>
        <v>104.34147200000001</v>
      </c>
      <c r="O1152" s="434">
        <f t="shared" si="1009"/>
        <v>3.2499999999999996</v>
      </c>
      <c r="P1152" s="435">
        <f t="shared" si="1010"/>
        <v>3.1657000000000002</v>
      </c>
      <c r="AE1152" s="217"/>
      <c r="AF1152" s="217">
        <v>1124</v>
      </c>
      <c r="AH1152">
        <f t="shared" si="1000"/>
        <v>1124</v>
      </c>
    </row>
    <row r="1153" ht="45" hidden="1">
      <c r="A1153" s="217"/>
      <c r="B1153" s="217">
        <v>1124</v>
      </c>
      <c r="C1153" s="217"/>
      <c r="D1153" s="217" t="s">
        <v>20398</v>
      </c>
      <c r="E1153" s="471" t="s">
        <v>20402</v>
      </c>
      <c r="F1153" s="540">
        <v>1259</v>
      </c>
      <c r="G1153" s="557" t="s">
        <v>21123</v>
      </c>
      <c r="H1153" s="542" t="s">
        <v>15528</v>
      </c>
      <c r="I1153" s="559">
        <f>11*0.08*5.48</f>
        <v>4.8224</v>
      </c>
      <c r="J1153" s="473">
        <f t="shared" si="1005"/>
        <v>45.520000000000003</v>
      </c>
      <c r="K1153" s="474">
        <f t="shared" si="1018"/>
        <v>219.51564800000003</v>
      </c>
      <c r="L1153" s="473">
        <f t="shared" si="1011"/>
        <v>43.100000000000001</v>
      </c>
      <c r="M1153" s="474">
        <f t="shared" si="1019"/>
        <v>207.84544</v>
      </c>
      <c r="O1153" s="434">
        <f t="shared" si="1009"/>
        <v>45.520000000000003</v>
      </c>
      <c r="P1153" s="435">
        <f t="shared" si="1010"/>
        <v>43.100000000000001</v>
      </c>
      <c r="AE1153" s="217"/>
      <c r="AF1153" s="217">
        <v>1124</v>
      </c>
      <c r="AH1153">
        <f t="shared" si="1000"/>
        <v>1124</v>
      </c>
    </row>
    <row r="1154" ht="60" hidden="1">
      <c r="A1154" s="217"/>
      <c r="B1154" s="217">
        <v>1124</v>
      </c>
      <c r="C1154" s="217"/>
      <c r="D1154" s="217" t="s">
        <v>20398</v>
      </c>
      <c r="E1154" s="471" t="s">
        <v>20405</v>
      </c>
      <c r="F1154" s="540">
        <v>1258</v>
      </c>
      <c r="G1154" s="557" t="s">
        <v>20660</v>
      </c>
      <c r="H1154" s="542" t="s">
        <v>15515</v>
      </c>
      <c r="I1154" s="559">
        <f>11*5.48</f>
        <v>60.280000000000001</v>
      </c>
      <c r="J1154" s="473">
        <f t="shared" si="1005"/>
        <v>7.5700000000000003</v>
      </c>
      <c r="K1154" s="474">
        <f t="shared" si="1018"/>
        <v>456.31960000000004</v>
      </c>
      <c r="L1154" s="473">
        <f t="shared" si="1011"/>
        <v>7.1846199999999998</v>
      </c>
      <c r="M1154" s="474">
        <f t="shared" si="1019"/>
        <v>433.08889360000001</v>
      </c>
      <c r="O1154" s="434">
        <f t="shared" si="1009"/>
        <v>7.5700000000000003</v>
      </c>
      <c r="P1154" s="435">
        <f t="shared" si="1010"/>
        <v>7.1846199999999998</v>
      </c>
      <c r="AE1154" s="217"/>
      <c r="AF1154" s="217">
        <v>1124</v>
      </c>
      <c r="AH1154">
        <f t="shared" si="1000"/>
        <v>1124</v>
      </c>
    </row>
    <row r="1155" ht="75" hidden="1">
      <c r="A1155" s="217"/>
      <c r="B1155" s="217">
        <v>1124</v>
      </c>
      <c r="C1155" s="217"/>
      <c r="D1155" s="217" t="s">
        <v>20408</v>
      </c>
      <c r="E1155" s="471" t="s">
        <v>20409</v>
      </c>
      <c r="F1155" s="540">
        <v>11145</v>
      </c>
      <c r="G1155" s="557" t="s">
        <v>21124</v>
      </c>
      <c r="H1155" s="542" t="s">
        <v>15528</v>
      </c>
      <c r="I1155" s="559">
        <f>11*0.08*5.48+(11+5)*0.15/2*5.48+0.4*0.05*5*2</f>
        <v>11.5984</v>
      </c>
      <c r="J1155" s="473">
        <f t="shared" si="1005"/>
        <v>662.14999999999998</v>
      </c>
      <c r="K1155" s="474">
        <f t="shared" si="1018"/>
        <v>7679.8805599999996</v>
      </c>
      <c r="L1155" s="473">
        <f t="shared" si="1011"/>
        <v>662.14999999999998</v>
      </c>
      <c r="M1155" s="474">
        <f t="shared" si="1019"/>
        <v>7679.8805599999996</v>
      </c>
      <c r="O1155" s="434">
        <f t="shared" si="1009"/>
        <v>662.14999999999998</v>
      </c>
      <c r="P1155" s="435">
        <f t="shared" si="1010"/>
        <v>662.14999999999998</v>
      </c>
      <c r="AE1155" s="217"/>
      <c r="AF1155" s="217">
        <v>1124</v>
      </c>
      <c r="AH1155">
        <f t="shared" si="1000"/>
        <v>1124</v>
      </c>
    </row>
    <row r="1156" ht="60" hidden="1">
      <c r="A1156" s="217"/>
      <c r="B1156" s="217">
        <v>1124</v>
      </c>
      <c r="C1156" s="217"/>
      <c r="D1156" s="217" t="s">
        <v>17167</v>
      </c>
      <c r="E1156" s="471" t="s">
        <v>20663</v>
      </c>
      <c r="F1156" s="540">
        <v>96530</v>
      </c>
      <c r="G1156" s="557" t="s">
        <v>20966</v>
      </c>
      <c r="H1156" s="542" t="s">
        <v>15515</v>
      </c>
      <c r="I1156" s="559">
        <f>0.3*5*2+0.15*5*2+0.15*3/2*2*2</f>
        <v>5.4000000000000004</v>
      </c>
      <c r="J1156" s="473">
        <f t="shared" si="1005"/>
        <v>129.25999999999999</v>
      </c>
      <c r="K1156" s="474">
        <f t="shared" si="1018"/>
        <v>698.00400000000002</v>
      </c>
      <c r="L1156" s="473">
        <f t="shared" si="1011"/>
        <v>125.91</v>
      </c>
      <c r="M1156" s="474">
        <f t="shared" si="1019"/>
        <v>679.91399999999999</v>
      </c>
      <c r="O1156" s="434">
        <f t="shared" si="1009"/>
        <v>129.25999999999999</v>
      </c>
      <c r="P1156" s="435">
        <f t="shared" si="1010"/>
        <v>125.91</v>
      </c>
      <c r="AE1156" s="217"/>
      <c r="AF1156" s="217">
        <v>1124</v>
      </c>
      <c r="AH1156">
        <f t="shared" si="1000"/>
        <v>1124</v>
      </c>
    </row>
    <row r="1157" ht="75" hidden="1">
      <c r="A1157" s="217"/>
      <c r="B1157" s="217">
        <v>1124</v>
      </c>
      <c r="C1157" s="217"/>
      <c r="D1157" s="217" t="s">
        <v>17167</v>
      </c>
      <c r="E1157" s="471" t="s">
        <v>20665</v>
      </c>
      <c r="F1157" s="540">
        <v>91593</v>
      </c>
      <c r="G1157" s="557" t="s">
        <v>21125</v>
      </c>
      <c r="H1157" s="542" t="s">
        <v>302</v>
      </c>
      <c r="I1157" s="559">
        <f>11*5.48*Q1157+0.6*2*4*Q1157</f>
        <v>143.17599999999999</v>
      </c>
      <c r="J1157" s="473">
        <f t="shared" si="1005"/>
        <v>10.199999999999999</v>
      </c>
      <c r="K1157" s="474">
        <f t="shared" si="1018"/>
        <v>1460.3951999999997</v>
      </c>
      <c r="L1157" s="473">
        <f t="shared" si="1011"/>
        <v>10.16</v>
      </c>
      <c r="M1157" s="474">
        <f t="shared" si="1019"/>
        <v>1454.6681599999999</v>
      </c>
      <c r="O1157" s="434">
        <f t="shared" si="1009"/>
        <v>10.199999999999999</v>
      </c>
      <c r="P1157" s="435">
        <f t="shared" si="1010"/>
        <v>10.16</v>
      </c>
      <c r="Q1157" s="549">
        <v>2.2000000000000002</v>
      </c>
      <c r="R1157" s="550" t="s">
        <v>21126</v>
      </c>
      <c r="AE1157" s="217"/>
      <c r="AF1157" s="217">
        <v>1124</v>
      </c>
      <c r="AH1157">
        <f t="shared" si="1000"/>
        <v>1124</v>
      </c>
    </row>
    <row r="1158" ht="78.75" hidden="1">
      <c r="A1158" s="460">
        <v>1125</v>
      </c>
      <c r="B1158" s="460">
        <v>1125</v>
      </c>
      <c r="C1158" s="460"/>
      <c r="D1158" s="460"/>
      <c r="E1158" s="461">
        <v>1</v>
      </c>
      <c r="F1158" s="462" t="s">
        <v>21214</v>
      </c>
      <c r="G1158" s="477" t="s">
        <v>21215</v>
      </c>
      <c r="H1158" s="478" t="s">
        <v>31</v>
      </c>
      <c r="I1158" s="479"/>
      <c r="J1158" s="480"/>
      <c r="K1158" s="466">
        <f>SUM(K1159:K1164)</f>
        <v>23810.860799999999</v>
      </c>
      <c r="L1158" s="480"/>
      <c r="M1158" s="466">
        <f>SUM(M1159:M1164)</f>
        <v>23692.923859999995</v>
      </c>
      <c r="O1158" s="434" t="str">
        <f t="shared" si="1009"/>
        <v xml:space="preserve">SEM VALOR</v>
      </c>
      <c r="P1158" s="435" t="str">
        <f t="shared" si="1010"/>
        <v xml:space="preserve">SEM VALOR</v>
      </c>
      <c r="AE1158" s="460">
        <v>1125</v>
      </c>
      <c r="AF1158" s="460"/>
      <c r="AH1158">
        <f t="shared" si="1000"/>
        <v>1125</v>
      </c>
    </row>
    <row r="1159" ht="75" hidden="1">
      <c r="A1159" s="217"/>
      <c r="B1159" s="217">
        <v>1125</v>
      </c>
      <c r="C1159" s="217"/>
      <c r="D1159" s="217" t="s">
        <v>20398</v>
      </c>
      <c r="E1159" s="471" t="s">
        <v>20399</v>
      </c>
      <c r="F1159" s="540">
        <v>1267</v>
      </c>
      <c r="G1159" s="557" t="s">
        <v>20662</v>
      </c>
      <c r="H1159" s="542" t="s">
        <v>38</v>
      </c>
      <c r="I1159" s="483">
        <f>13*2+11*2</f>
        <v>48</v>
      </c>
      <c r="J1159" s="473">
        <f t="shared" si="1005"/>
        <v>3.2499999999999996</v>
      </c>
      <c r="K1159" s="474">
        <f t="shared" ref="K1159:K1164" si="1020">I1159*J1159</f>
        <v>155.99999999999997</v>
      </c>
      <c r="L1159" s="473">
        <f t="shared" si="1011"/>
        <v>3.1657000000000002</v>
      </c>
      <c r="M1159" s="474">
        <f t="shared" ref="M1159:M1164" si="1021">L1159*I1159</f>
        <v>151.95359999999999</v>
      </c>
      <c r="O1159" s="434">
        <f t="shared" si="1009"/>
        <v>3.2499999999999996</v>
      </c>
      <c r="P1159" s="435">
        <f t="shared" si="1010"/>
        <v>3.1657000000000002</v>
      </c>
      <c r="AE1159" s="217"/>
      <c r="AF1159" s="217">
        <v>1125</v>
      </c>
      <c r="AH1159">
        <f t="shared" ref="AH1159:AH1222" si="1022">IF(AF1159:AF1160=FALSE,AE1159,AF1159)</f>
        <v>1125</v>
      </c>
    </row>
    <row r="1160" ht="45" hidden="1">
      <c r="A1160" s="217"/>
      <c r="B1160" s="217">
        <v>1125</v>
      </c>
      <c r="C1160" s="217"/>
      <c r="D1160" s="217" t="s">
        <v>20398</v>
      </c>
      <c r="E1160" s="471" t="s">
        <v>20402</v>
      </c>
      <c r="F1160" s="540">
        <v>1259</v>
      </c>
      <c r="G1160" s="557" t="s">
        <v>21123</v>
      </c>
      <c r="H1160" s="542" t="s">
        <v>15528</v>
      </c>
      <c r="I1160" s="483">
        <f>11*0.08*13</f>
        <v>11.44</v>
      </c>
      <c r="J1160" s="473">
        <f t="shared" si="1005"/>
        <v>45.520000000000003</v>
      </c>
      <c r="K1160" s="474">
        <f t="shared" si="1020"/>
        <v>520.74879999999996</v>
      </c>
      <c r="L1160" s="473">
        <f t="shared" si="1011"/>
        <v>43.100000000000001</v>
      </c>
      <c r="M1160" s="474">
        <f t="shared" si="1021"/>
        <v>493.06400000000002</v>
      </c>
      <c r="O1160" s="434">
        <f t="shared" si="1009"/>
        <v>45.520000000000003</v>
      </c>
      <c r="P1160" s="435">
        <f t="shared" si="1010"/>
        <v>43.100000000000001</v>
      </c>
      <c r="AE1160" s="217"/>
      <c r="AF1160" s="217">
        <v>1125</v>
      </c>
      <c r="AH1160">
        <f t="shared" si="1022"/>
        <v>1125</v>
      </c>
    </row>
    <row r="1161" ht="60" hidden="1">
      <c r="A1161" s="217"/>
      <c r="B1161" s="217">
        <v>1125</v>
      </c>
      <c r="C1161" s="217"/>
      <c r="D1161" s="217" t="s">
        <v>20398</v>
      </c>
      <c r="E1161" s="471" t="s">
        <v>20405</v>
      </c>
      <c r="F1161" s="540">
        <v>1258</v>
      </c>
      <c r="G1161" s="557" t="s">
        <v>20660</v>
      </c>
      <c r="H1161" s="542" t="s">
        <v>15515</v>
      </c>
      <c r="I1161" s="483">
        <f>11*13</f>
        <v>143</v>
      </c>
      <c r="J1161" s="473">
        <f t="shared" si="1005"/>
        <v>7.5700000000000003</v>
      </c>
      <c r="K1161" s="474">
        <f t="shared" si="1020"/>
        <v>1082.51</v>
      </c>
      <c r="L1161" s="473">
        <f t="shared" si="1011"/>
        <v>7.1846199999999998</v>
      </c>
      <c r="M1161" s="474">
        <f t="shared" si="1021"/>
        <v>1027.40066</v>
      </c>
      <c r="O1161" s="434">
        <f t="shared" si="1009"/>
        <v>7.5700000000000003</v>
      </c>
      <c r="P1161" s="435">
        <f t="shared" si="1010"/>
        <v>7.1846199999999998</v>
      </c>
      <c r="AE1161" s="217"/>
      <c r="AF1161" s="217">
        <v>1125</v>
      </c>
      <c r="AH1161">
        <f t="shared" si="1022"/>
        <v>1125</v>
      </c>
    </row>
    <row r="1162" ht="75" hidden="1">
      <c r="A1162" s="217"/>
      <c r="B1162" s="217">
        <v>1125</v>
      </c>
      <c r="C1162" s="217"/>
      <c r="D1162" s="217" t="s">
        <v>20408</v>
      </c>
      <c r="E1162" s="471" t="s">
        <v>20409</v>
      </c>
      <c r="F1162" s="540">
        <v>11145</v>
      </c>
      <c r="G1162" s="557" t="s">
        <v>21124</v>
      </c>
      <c r="H1162" s="542" t="s">
        <v>15528</v>
      </c>
      <c r="I1162" s="483">
        <f>11*0.08*13+(11+5)*0.15/2*13+0.4*0.05*5*2</f>
        <v>27.239999999999998</v>
      </c>
      <c r="J1162" s="473">
        <f t="shared" si="1005"/>
        <v>662.14999999999998</v>
      </c>
      <c r="K1162" s="474">
        <f t="shared" si="1020"/>
        <v>18036.965999999997</v>
      </c>
      <c r="L1162" s="473">
        <f t="shared" si="1011"/>
        <v>662.14999999999998</v>
      </c>
      <c r="M1162" s="474">
        <f t="shared" si="1021"/>
        <v>18036.965999999997</v>
      </c>
      <c r="O1162" s="434">
        <f t="shared" si="1009"/>
        <v>662.14999999999998</v>
      </c>
      <c r="P1162" s="435">
        <f t="shared" si="1010"/>
        <v>662.14999999999998</v>
      </c>
      <c r="AE1162" s="217"/>
      <c r="AF1162" s="217">
        <v>1125</v>
      </c>
      <c r="AH1162">
        <f t="shared" si="1022"/>
        <v>1125</v>
      </c>
    </row>
    <row r="1163" ht="60" hidden="1">
      <c r="A1163" s="217"/>
      <c r="B1163" s="217">
        <v>1125</v>
      </c>
      <c r="C1163" s="217"/>
      <c r="D1163" s="217" t="s">
        <v>17167</v>
      </c>
      <c r="E1163" s="471" t="s">
        <v>20663</v>
      </c>
      <c r="F1163" s="540">
        <v>96530</v>
      </c>
      <c r="G1163" s="557" t="s">
        <v>20966</v>
      </c>
      <c r="H1163" s="542" t="s">
        <v>15515</v>
      </c>
      <c r="I1163" s="483">
        <f>0.3*5*2+0.15*5*2+0.15*3/2*2*2</f>
        <v>5.4000000000000004</v>
      </c>
      <c r="J1163" s="473">
        <f t="shared" si="1005"/>
        <v>129.25999999999999</v>
      </c>
      <c r="K1163" s="474">
        <f t="shared" si="1020"/>
        <v>698.00400000000002</v>
      </c>
      <c r="L1163" s="473">
        <f t="shared" si="1011"/>
        <v>125.91</v>
      </c>
      <c r="M1163" s="474">
        <f t="shared" si="1021"/>
        <v>679.91399999999999</v>
      </c>
      <c r="O1163" s="434">
        <f t="shared" si="1009"/>
        <v>129.25999999999999</v>
      </c>
      <c r="P1163" s="435">
        <f t="shared" si="1010"/>
        <v>125.91</v>
      </c>
      <c r="AE1163" s="217"/>
      <c r="AF1163" s="217">
        <v>1125</v>
      </c>
      <c r="AH1163">
        <f t="shared" si="1022"/>
        <v>1125</v>
      </c>
    </row>
    <row r="1164" ht="75" hidden="1">
      <c r="A1164" s="217"/>
      <c r="B1164" s="217">
        <v>1125</v>
      </c>
      <c r="C1164" s="217"/>
      <c r="D1164" s="217" t="s">
        <v>17167</v>
      </c>
      <c r="E1164" s="471" t="s">
        <v>20665</v>
      </c>
      <c r="F1164" s="540">
        <v>91593</v>
      </c>
      <c r="G1164" s="557" t="s">
        <v>21125</v>
      </c>
      <c r="H1164" s="542" t="s">
        <v>302</v>
      </c>
      <c r="I1164" s="483">
        <f>11*13*Q1164+0.6*2*4*Q1164</f>
        <v>325.16000000000003</v>
      </c>
      <c r="J1164" s="473">
        <f t="shared" si="1005"/>
        <v>10.199999999999999</v>
      </c>
      <c r="K1164" s="474">
        <f t="shared" si="1020"/>
        <v>3316.6320000000001</v>
      </c>
      <c r="L1164" s="473">
        <f t="shared" si="1011"/>
        <v>10.16</v>
      </c>
      <c r="M1164" s="474">
        <f t="shared" si="1021"/>
        <v>3303.6256000000003</v>
      </c>
      <c r="O1164" s="434">
        <f t="shared" si="1009"/>
        <v>10.199999999999999</v>
      </c>
      <c r="P1164" s="435">
        <f t="shared" si="1010"/>
        <v>10.16</v>
      </c>
      <c r="Q1164" s="549">
        <v>2.2000000000000002</v>
      </c>
      <c r="R1164" s="550" t="s">
        <v>21126</v>
      </c>
      <c r="AE1164" s="217"/>
      <c r="AF1164" s="217">
        <v>1125</v>
      </c>
      <c r="AH1164">
        <f t="shared" si="1022"/>
        <v>1125</v>
      </c>
    </row>
    <row r="1165" ht="78.75" hidden="1">
      <c r="A1165" s="460">
        <v>1126</v>
      </c>
      <c r="B1165" s="460">
        <v>1126</v>
      </c>
      <c r="C1165" s="460"/>
      <c r="D1165" s="460"/>
      <c r="E1165" s="461">
        <v>1</v>
      </c>
      <c r="F1165" s="462" t="s">
        <v>21216</v>
      </c>
      <c r="G1165" s="477" t="s">
        <v>21217</v>
      </c>
      <c r="H1165" s="478" t="s">
        <v>31</v>
      </c>
      <c r="I1165" s="479"/>
      <c r="J1165" s="480"/>
      <c r="K1165" s="466">
        <f>SUM(K1166:K1171)</f>
        <v>17672.072199999999</v>
      </c>
      <c r="L1165" s="480"/>
      <c r="M1165" s="466">
        <f>SUM(M1166:M1171)</f>
        <v>17580.40409</v>
      </c>
      <c r="O1165" s="434" t="str">
        <f t="shared" si="1009"/>
        <v xml:space="preserve">SEM VALOR</v>
      </c>
      <c r="P1165" s="435" t="str">
        <f t="shared" si="1010"/>
        <v xml:space="preserve">SEM VALOR</v>
      </c>
      <c r="AE1165" s="460">
        <v>1126</v>
      </c>
      <c r="AF1165" s="460"/>
      <c r="AH1165">
        <f t="shared" si="1022"/>
        <v>1126</v>
      </c>
    </row>
    <row r="1166" ht="75" hidden="1">
      <c r="A1166" s="217"/>
      <c r="B1166" s="217">
        <v>1126</v>
      </c>
      <c r="C1166" s="217"/>
      <c r="D1166" s="217" t="s">
        <v>20398</v>
      </c>
      <c r="E1166" s="471" t="s">
        <v>20399</v>
      </c>
      <c r="F1166" s="540">
        <v>1267</v>
      </c>
      <c r="G1166" s="557" t="s">
        <v>20662</v>
      </c>
      <c r="H1166" s="542" t="s">
        <v>38</v>
      </c>
      <c r="I1166" s="483">
        <f>9.5*2+11*2</f>
        <v>41</v>
      </c>
      <c r="J1166" s="473">
        <f t="shared" si="1005"/>
        <v>3.2499999999999996</v>
      </c>
      <c r="K1166" s="474">
        <f t="shared" ref="K1166:K1171" si="1023">I1166*J1166</f>
        <v>133.24999999999997</v>
      </c>
      <c r="L1166" s="473">
        <f t="shared" si="1011"/>
        <v>3.1657000000000002</v>
      </c>
      <c r="M1166" s="474">
        <f t="shared" ref="M1166:M1171" si="1024">L1166*I1166</f>
        <v>129.7937</v>
      </c>
      <c r="O1166" s="434">
        <f t="shared" si="1009"/>
        <v>3.2499999999999996</v>
      </c>
      <c r="P1166" s="435">
        <f t="shared" si="1010"/>
        <v>3.1657000000000002</v>
      </c>
      <c r="AE1166" s="217"/>
      <c r="AF1166" s="217">
        <v>1126</v>
      </c>
      <c r="AH1166">
        <f t="shared" si="1022"/>
        <v>1126</v>
      </c>
    </row>
    <row r="1167" ht="45" hidden="1">
      <c r="A1167" s="217"/>
      <c r="B1167" s="217">
        <v>1126</v>
      </c>
      <c r="C1167" s="217"/>
      <c r="D1167" s="217" t="s">
        <v>20398</v>
      </c>
      <c r="E1167" s="471" t="s">
        <v>20402</v>
      </c>
      <c r="F1167" s="540">
        <v>1259</v>
      </c>
      <c r="G1167" s="557" t="s">
        <v>21123</v>
      </c>
      <c r="H1167" s="542" t="s">
        <v>15528</v>
      </c>
      <c r="I1167" s="483">
        <f>11*0.08*9.5</f>
        <v>8.3599999999999994</v>
      </c>
      <c r="J1167" s="473">
        <f t="shared" si="1005"/>
        <v>45.520000000000003</v>
      </c>
      <c r="K1167" s="474">
        <f t="shared" si="1023"/>
        <v>380.54719999999998</v>
      </c>
      <c r="L1167" s="473">
        <f t="shared" si="1011"/>
        <v>43.100000000000001</v>
      </c>
      <c r="M1167" s="474">
        <f t="shared" si="1024"/>
        <v>360.31599999999997</v>
      </c>
      <c r="O1167" s="434">
        <f t="shared" si="1009"/>
        <v>45.520000000000003</v>
      </c>
      <c r="P1167" s="435">
        <f t="shared" si="1010"/>
        <v>43.100000000000001</v>
      </c>
      <c r="AE1167" s="217"/>
      <c r="AF1167" s="217">
        <v>1126</v>
      </c>
      <c r="AH1167">
        <f t="shared" si="1022"/>
        <v>1126</v>
      </c>
    </row>
    <row r="1168" ht="60" hidden="1">
      <c r="A1168" s="217"/>
      <c r="B1168" s="217">
        <v>1126</v>
      </c>
      <c r="C1168" s="217"/>
      <c r="D1168" s="217" t="s">
        <v>20398</v>
      </c>
      <c r="E1168" s="471" t="s">
        <v>20405</v>
      </c>
      <c r="F1168" s="540">
        <v>1258</v>
      </c>
      <c r="G1168" s="557" t="s">
        <v>20660</v>
      </c>
      <c r="H1168" s="542" t="s">
        <v>15515</v>
      </c>
      <c r="I1168" s="483">
        <f>11*9.5</f>
        <v>104.5</v>
      </c>
      <c r="J1168" s="473">
        <f t="shared" si="1005"/>
        <v>7.5700000000000003</v>
      </c>
      <c r="K1168" s="474">
        <f t="shared" si="1023"/>
        <v>791.06500000000005</v>
      </c>
      <c r="L1168" s="473">
        <f t="shared" si="1011"/>
        <v>7.1846199999999998</v>
      </c>
      <c r="M1168" s="474">
        <f t="shared" si="1024"/>
        <v>750.79278999999997</v>
      </c>
      <c r="O1168" s="434">
        <f t="shared" si="1009"/>
        <v>7.5700000000000003</v>
      </c>
      <c r="P1168" s="435">
        <f t="shared" si="1010"/>
        <v>7.1846199999999998</v>
      </c>
      <c r="AE1168" s="217"/>
      <c r="AF1168" s="217">
        <v>1126</v>
      </c>
      <c r="AH1168">
        <f t="shared" si="1022"/>
        <v>1126</v>
      </c>
    </row>
    <row r="1169" ht="75" hidden="1">
      <c r="A1169" s="217"/>
      <c r="B1169" s="217">
        <v>1126</v>
      </c>
      <c r="C1169" s="217"/>
      <c r="D1169" s="217" t="s">
        <v>20408</v>
      </c>
      <c r="E1169" s="471" t="s">
        <v>20409</v>
      </c>
      <c r="F1169" s="540">
        <v>11145</v>
      </c>
      <c r="G1169" s="557" t="s">
        <v>21124</v>
      </c>
      <c r="H1169" s="542" t="s">
        <v>15528</v>
      </c>
      <c r="I1169" s="483">
        <f>11*0.08*9.5+(11+5)*0.15/2*9.5+0.4*0.05*5*2</f>
        <v>19.960000000000001</v>
      </c>
      <c r="J1169" s="473">
        <f t="shared" si="1005"/>
        <v>662.14999999999998</v>
      </c>
      <c r="K1169" s="474">
        <f t="shared" si="1023"/>
        <v>13216.513999999999</v>
      </c>
      <c r="L1169" s="473">
        <f t="shared" si="1011"/>
        <v>662.14999999999998</v>
      </c>
      <c r="M1169" s="474">
        <f t="shared" si="1024"/>
        <v>13216.513999999999</v>
      </c>
      <c r="O1169" s="434">
        <f t="shared" si="1009"/>
        <v>662.14999999999998</v>
      </c>
      <c r="P1169" s="435">
        <f t="shared" si="1010"/>
        <v>662.14999999999998</v>
      </c>
      <c r="AE1169" s="217"/>
      <c r="AF1169" s="217">
        <v>1126</v>
      </c>
      <c r="AH1169">
        <f t="shared" si="1022"/>
        <v>1126</v>
      </c>
    </row>
    <row r="1170" ht="60" hidden="1">
      <c r="A1170" s="217"/>
      <c r="B1170" s="217">
        <v>1126</v>
      </c>
      <c r="C1170" s="217"/>
      <c r="D1170" s="217" t="s">
        <v>17167</v>
      </c>
      <c r="E1170" s="471" t="s">
        <v>20663</v>
      </c>
      <c r="F1170" s="540">
        <v>96530</v>
      </c>
      <c r="G1170" s="557" t="s">
        <v>20966</v>
      </c>
      <c r="H1170" s="542" t="s">
        <v>15515</v>
      </c>
      <c r="I1170" s="483">
        <f>0.3*5*2+0.15*5*2+0.15*3/2*2*2</f>
        <v>5.4000000000000004</v>
      </c>
      <c r="J1170" s="473">
        <f t="shared" si="1005"/>
        <v>129.25999999999999</v>
      </c>
      <c r="K1170" s="474">
        <f t="shared" si="1023"/>
        <v>698.00400000000002</v>
      </c>
      <c r="L1170" s="473">
        <f t="shared" si="1011"/>
        <v>125.91</v>
      </c>
      <c r="M1170" s="474">
        <f t="shared" si="1024"/>
        <v>679.91399999999999</v>
      </c>
      <c r="O1170" s="434">
        <f t="shared" si="1009"/>
        <v>129.25999999999999</v>
      </c>
      <c r="P1170" s="435">
        <f t="shared" si="1010"/>
        <v>125.91</v>
      </c>
      <c r="AE1170" s="217"/>
      <c r="AF1170" s="217">
        <v>1126</v>
      </c>
      <c r="AH1170">
        <f t="shared" si="1022"/>
        <v>1126</v>
      </c>
    </row>
    <row r="1171" ht="75" hidden="1">
      <c r="A1171" s="217"/>
      <c r="B1171" s="217">
        <v>1126</v>
      </c>
      <c r="C1171" s="217"/>
      <c r="D1171" s="217" t="s">
        <v>17167</v>
      </c>
      <c r="E1171" s="471" t="s">
        <v>20665</v>
      </c>
      <c r="F1171" s="540">
        <v>91593</v>
      </c>
      <c r="G1171" s="557" t="s">
        <v>21125</v>
      </c>
      <c r="H1171" s="542" t="s">
        <v>302</v>
      </c>
      <c r="I1171" s="483">
        <f>11*9.5*Q1171+0.6*2*4*Q1171</f>
        <v>240.46000000000001</v>
      </c>
      <c r="J1171" s="473">
        <f t="shared" si="1005"/>
        <v>10.199999999999999</v>
      </c>
      <c r="K1171" s="474">
        <f t="shared" si="1023"/>
        <v>2452.692</v>
      </c>
      <c r="L1171" s="473">
        <f t="shared" si="1011"/>
        <v>10.16</v>
      </c>
      <c r="M1171" s="474">
        <f t="shared" si="1024"/>
        <v>2443.0736000000002</v>
      </c>
      <c r="O1171" s="434">
        <f t="shared" si="1009"/>
        <v>10.199999999999999</v>
      </c>
      <c r="P1171" s="435">
        <f t="shared" si="1010"/>
        <v>10.16</v>
      </c>
      <c r="Q1171" s="549">
        <v>2.2000000000000002</v>
      </c>
      <c r="R1171" s="550" t="s">
        <v>21126</v>
      </c>
      <c r="AE1171" s="217"/>
      <c r="AF1171" s="217">
        <v>1126</v>
      </c>
      <c r="AH1171">
        <f t="shared" si="1022"/>
        <v>1126</v>
      </c>
    </row>
    <row r="1172" ht="81" hidden="1" customHeight="1">
      <c r="A1172" s="460">
        <v>1127</v>
      </c>
      <c r="B1172" s="460">
        <v>1127</v>
      </c>
      <c r="C1172" s="460"/>
      <c r="D1172" s="460"/>
      <c r="E1172" s="461">
        <v>1</v>
      </c>
      <c r="F1172" s="462" t="s">
        <v>21218</v>
      </c>
      <c r="G1172" s="477" t="s">
        <v>21219</v>
      </c>
      <c r="H1172" s="478" t="s">
        <v>31</v>
      </c>
      <c r="I1172" s="479"/>
      <c r="J1172" s="480"/>
      <c r="K1172" s="466">
        <f>SUM(K1173:K1178)</f>
        <v>15391.950720000001</v>
      </c>
      <c r="L1172" s="480"/>
      <c r="M1172" s="466">
        <f>SUM(M1173:M1178)</f>
        <v>15310.039604000001</v>
      </c>
      <c r="O1172" s="434" t="str">
        <f t="shared" si="1009"/>
        <v xml:space="preserve">SEM VALOR</v>
      </c>
      <c r="P1172" s="435" t="str">
        <f t="shared" si="1010"/>
        <v xml:space="preserve">SEM VALOR</v>
      </c>
      <c r="AE1172" s="460">
        <v>1127</v>
      </c>
      <c r="AF1172" s="460"/>
      <c r="AH1172">
        <f t="shared" si="1022"/>
        <v>1127</v>
      </c>
    </row>
    <row r="1173" ht="75" hidden="1">
      <c r="A1173" s="217"/>
      <c r="B1173" s="217">
        <v>1127</v>
      </c>
      <c r="C1173" s="217"/>
      <c r="D1173" s="217" t="s">
        <v>20398</v>
      </c>
      <c r="E1173" s="471" t="s">
        <v>20399</v>
      </c>
      <c r="F1173" s="540">
        <v>1267</v>
      </c>
      <c r="G1173" s="557" t="s">
        <v>20662</v>
      </c>
      <c r="H1173" s="542" t="s">
        <v>38</v>
      </c>
      <c r="I1173" s="483">
        <f>8.2*2+11*2</f>
        <v>38.399999999999999</v>
      </c>
      <c r="J1173" s="473">
        <f t="shared" si="1005"/>
        <v>3.2499999999999996</v>
      </c>
      <c r="K1173" s="474">
        <f t="shared" ref="K1173:K1178" si="1025">I1173*J1173</f>
        <v>124.79999999999998</v>
      </c>
      <c r="L1173" s="473">
        <f t="shared" si="1011"/>
        <v>3.1657000000000002</v>
      </c>
      <c r="M1173" s="474">
        <f t="shared" ref="M1173:M1178" si="1026">L1173*I1173</f>
        <v>121.56288000000001</v>
      </c>
      <c r="O1173" s="434">
        <f t="shared" si="1009"/>
        <v>3.2499999999999996</v>
      </c>
      <c r="P1173" s="435">
        <f t="shared" si="1010"/>
        <v>3.1657000000000002</v>
      </c>
      <c r="AE1173" s="217"/>
      <c r="AF1173" s="217">
        <v>1127</v>
      </c>
      <c r="AH1173">
        <f t="shared" si="1022"/>
        <v>1127</v>
      </c>
    </row>
    <row r="1174" ht="45" hidden="1">
      <c r="A1174" s="217"/>
      <c r="B1174" s="217">
        <v>1127</v>
      </c>
      <c r="C1174" s="217"/>
      <c r="D1174" s="217" t="s">
        <v>20398</v>
      </c>
      <c r="E1174" s="471" t="s">
        <v>20402</v>
      </c>
      <c r="F1174" s="540">
        <v>1259</v>
      </c>
      <c r="G1174" s="557" t="s">
        <v>21123</v>
      </c>
      <c r="H1174" s="542" t="s">
        <v>15528</v>
      </c>
      <c r="I1174" s="483">
        <f>11*0.08*8.2</f>
        <v>7.2160000000000002</v>
      </c>
      <c r="J1174" s="473">
        <f t="shared" si="1005"/>
        <v>45.520000000000003</v>
      </c>
      <c r="K1174" s="474">
        <f t="shared" si="1025"/>
        <v>328.47232000000002</v>
      </c>
      <c r="L1174" s="473">
        <f t="shared" si="1011"/>
        <v>43.100000000000001</v>
      </c>
      <c r="M1174" s="474">
        <f t="shared" si="1026"/>
        <v>311.00960000000003</v>
      </c>
      <c r="O1174" s="434">
        <f t="shared" si="1009"/>
        <v>45.520000000000003</v>
      </c>
      <c r="P1174" s="435">
        <f t="shared" si="1010"/>
        <v>43.100000000000001</v>
      </c>
      <c r="AE1174" s="217"/>
      <c r="AF1174" s="217">
        <v>1127</v>
      </c>
      <c r="AH1174">
        <f t="shared" si="1022"/>
        <v>1127</v>
      </c>
    </row>
    <row r="1175" ht="60" hidden="1">
      <c r="A1175" s="217"/>
      <c r="B1175" s="217">
        <v>1127</v>
      </c>
      <c r="C1175" s="217"/>
      <c r="D1175" s="217" t="s">
        <v>20398</v>
      </c>
      <c r="E1175" s="471" t="s">
        <v>20405</v>
      </c>
      <c r="F1175" s="540">
        <v>1258</v>
      </c>
      <c r="G1175" s="557" t="s">
        <v>20660</v>
      </c>
      <c r="H1175" s="542" t="s">
        <v>15515</v>
      </c>
      <c r="I1175" s="483">
        <f>11*8.2</f>
        <v>90.200000000000003</v>
      </c>
      <c r="J1175" s="473">
        <f t="shared" si="1005"/>
        <v>7.5700000000000003</v>
      </c>
      <c r="K1175" s="474">
        <f t="shared" si="1025"/>
        <v>682.81400000000008</v>
      </c>
      <c r="L1175" s="473">
        <f t="shared" si="1011"/>
        <v>7.1846199999999998</v>
      </c>
      <c r="M1175" s="474">
        <f t="shared" si="1026"/>
        <v>648.05272400000001</v>
      </c>
      <c r="O1175" s="434">
        <f t="shared" si="1009"/>
        <v>7.5700000000000003</v>
      </c>
      <c r="P1175" s="435">
        <f t="shared" si="1010"/>
        <v>7.1846199999999998</v>
      </c>
      <c r="AE1175" s="217"/>
      <c r="AF1175" s="217">
        <v>1127</v>
      </c>
      <c r="AH1175">
        <f t="shared" si="1022"/>
        <v>1127</v>
      </c>
    </row>
    <row r="1176" ht="75" hidden="1">
      <c r="A1176" s="217"/>
      <c r="B1176" s="217">
        <v>1127</v>
      </c>
      <c r="C1176" s="217"/>
      <c r="D1176" s="217" t="s">
        <v>20408</v>
      </c>
      <c r="E1176" s="471" t="s">
        <v>20409</v>
      </c>
      <c r="F1176" s="540">
        <v>11145</v>
      </c>
      <c r="G1176" s="557" t="s">
        <v>21124</v>
      </c>
      <c r="H1176" s="542" t="s">
        <v>15528</v>
      </c>
      <c r="I1176" s="483">
        <f>11*0.08*8.2+(11+5)*0.15/2*8.2+0.4*0.05*5*2</f>
        <v>17.256</v>
      </c>
      <c r="J1176" s="473">
        <f t="shared" si="1005"/>
        <v>662.14999999999998</v>
      </c>
      <c r="K1176" s="474">
        <f t="shared" si="1025"/>
        <v>11426.0604</v>
      </c>
      <c r="L1176" s="473">
        <f t="shared" si="1011"/>
        <v>662.14999999999998</v>
      </c>
      <c r="M1176" s="474">
        <f t="shared" si="1026"/>
        <v>11426.0604</v>
      </c>
      <c r="O1176" s="434">
        <f t="shared" si="1009"/>
        <v>662.14999999999998</v>
      </c>
      <c r="P1176" s="435">
        <f t="shared" si="1010"/>
        <v>662.14999999999998</v>
      </c>
      <c r="AE1176" s="217"/>
      <c r="AF1176" s="217">
        <v>1127</v>
      </c>
      <c r="AH1176">
        <f t="shared" si="1022"/>
        <v>1127</v>
      </c>
    </row>
    <row r="1177" ht="60" hidden="1">
      <c r="A1177" s="217"/>
      <c r="B1177" s="217">
        <v>1127</v>
      </c>
      <c r="C1177" s="217"/>
      <c r="D1177" s="217" t="s">
        <v>17167</v>
      </c>
      <c r="E1177" s="471" t="s">
        <v>20663</v>
      </c>
      <c r="F1177" s="540">
        <v>96530</v>
      </c>
      <c r="G1177" s="557" t="s">
        <v>20966</v>
      </c>
      <c r="H1177" s="542" t="s">
        <v>15515</v>
      </c>
      <c r="I1177" s="483">
        <f>0.3*5*2+0.15*5*2+0.15*3/2*2*2</f>
        <v>5.4000000000000004</v>
      </c>
      <c r="J1177" s="473">
        <f t="shared" si="1005"/>
        <v>129.25999999999999</v>
      </c>
      <c r="K1177" s="474">
        <f t="shared" si="1025"/>
        <v>698.00400000000002</v>
      </c>
      <c r="L1177" s="473">
        <f t="shared" si="1011"/>
        <v>125.91</v>
      </c>
      <c r="M1177" s="474">
        <f t="shared" si="1026"/>
        <v>679.91399999999999</v>
      </c>
      <c r="O1177" s="434">
        <f t="shared" si="1009"/>
        <v>129.25999999999999</v>
      </c>
      <c r="P1177" s="435">
        <f t="shared" si="1010"/>
        <v>125.91</v>
      </c>
      <c r="AE1177" s="217"/>
      <c r="AF1177" s="217">
        <v>1127</v>
      </c>
      <c r="AH1177">
        <f t="shared" si="1022"/>
        <v>1127</v>
      </c>
    </row>
    <row r="1178" ht="75" hidden="1">
      <c r="A1178" s="217"/>
      <c r="B1178" s="217">
        <v>1127</v>
      </c>
      <c r="C1178" s="217"/>
      <c r="D1178" s="217" t="s">
        <v>17167</v>
      </c>
      <c r="E1178" s="471" t="s">
        <v>20665</v>
      </c>
      <c r="F1178" s="540">
        <v>91593</v>
      </c>
      <c r="G1178" s="557" t="s">
        <v>21125</v>
      </c>
      <c r="H1178" s="542" t="s">
        <v>302</v>
      </c>
      <c r="I1178" s="483">
        <f>11*8.2*Q1178+0.6*2*4*Q1178</f>
        <v>209</v>
      </c>
      <c r="J1178" s="473">
        <f t="shared" si="1005"/>
        <v>10.199999999999999</v>
      </c>
      <c r="K1178" s="474">
        <f t="shared" si="1025"/>
        <v>2131.7999999999997</v>
      </c>
      <c r="L1178" s="473">
        <f t="shared" si="1011"/>
        <v>10.16</v>
      </c>
      <c r="M1178" s="474">
        <f t="shared" si="1026"/>
        <v>2123.4400000000001</v>
      </c>
      <c r="O1178" s="434">
        <f t="shared" si="1009"/>
        <v>10.199999999999999</v>
      </c>
      <c r="P1178" s="435">
        <f t="shared" si="1010"/>
        <v>10.16</v>
      </c>
      <c r="Q1178" s="549">
        <v>2.2000000000000002</v>
      </c>
      <c r="R1178" s="550" t="s">
        <v>21126</v>
      </c>
      <c r="AE1178" s="217"/>
      <c r="AF1178" s="217">
        <v>1127</v>
      </c>
      <c r="AH1178">
        <f t="shared" si="1022"/>
        <v>1127</v>
      </c>
    </row>
    <row r="1179" ht="63" hidden="1">
      <c r="A1179" s="460">
        <v>1128</v>
      </c>
      <c r="B1179" s="460">
        <v>1128</v>
      </c>
      <c r="C1179" s="460"/>
      <c r="D1179" s="460"/>
      <c r="E1179" s="461">
        <v>1</v>
      </c>
      <c r="F1179" s="462" t="s">
        <v>21220</v>
      </c>
      <c r="G1179" s="505" t="s">
        <v>21221</v>
      </c>
      <c r="H1179" s="464" t="s">
        <v>20647</v>
      </c>
      <c r="I1179" s="479"/>
      <c r="J1179" s="480"/>
      <c r="K1179" s="466">
        <f>SUM(K1180:K1187)</f>
        <v>40.357129268000001</v>
      </c>
      <c r="L1179" s="480"/>
      <c r="M1179" s="466">
        <f>SUM(M1180:M1187)</f>
        <v>39.920843868999995</v>
      </c>
      <c r="O1179" s="434" t="str">
        <f t="shared" si="1009"/>
        <v xml:space="preserve">SEM VALOR</v>
      </c>
      <c r="P1179" s="435" t="str">
        <f t="shared" si="1010"/>
        <v xml:space="preserve">SEM VALOR</v>
      </c>
      <c r="Q1179" s="549"/>
      <c r="R1179" s="550"/>
      <c r="AE1179" s="460">
        <v>1128</v>
      </c>
      <c r="AF1179" s="460">
        <v>1128</v>
      </c>
      <c r="AH1179">
        <f t="shared" si="1022"/>
        <v>1128</v>
      </c>
    </row>
    <row r="1180" ht="45" hidden="1">
      <c r="A1180" s="217"/>
      <c r="B1180" s="217">
        <v>1128</v>
      </c>
      <c r="C1180" s="217"/>
      <c r="D1180" s="217" t="s">
        <v>17167</v>
      </c>
      <c r="E1180" s="468" t="s">
        <v>20399</v>
      </c>
      <c r="F1180" s="526">
        <v>5894</v>
      </c>
      <c r="G1180" s="525" t="s">
        <v>21058</v>
      </c>
      <c r="H1180" s="524" t="s">
        <v>1535</v>
      </c>
      <c r="I1180" s="472">
        <v>2.85714e-002</v>
      </c>
      <c r="J1180" s="473">
        <f t="shared" si="1005"/>
        <v>229.09</v>
      </c>
      <c r="K1180" s="474">
        <f t="shared" ref="K1180:K1187" si="1027">I1180*J1180</f>
        <v>6.5454220259999998</v>
      </c>
      <c r="L1180" s="473">
        <f t="shared" si="1011"/>
        <v>227.49000000000001</v>
      </c>
      <c r="M1180" s="474">
        <f t="shared" ref="M1180:M1187" si="1028">L1180*I1180</f>
        <v>6.4997077860000001</v>
      </c>
      <c r="O1180" s="434">
        <f t="shared" si="1009"/>
        <v>229.09</v>
      </c>
      <c r="P1180" s="435">
        <f t="shared" si="1010"/>
        <v>227.49000000000001</v>
      </c>
      <c r="Q1180" s="549"/>
      <c r="R1180" s="550"/>
      <c r="AE1180" s="217"/>
      <c r="AF1180" s="217">
        <v>1128</v>
      </c>
      <c r="AH1180">
        <f t="shared" si="1022"/>
        <v>1128</v>
      </c>
    </row>
    <row r="1181" ht="30" hidden="1">
      <c r="A1181" s="217"/>
      <c r="B1181" s="217">
        <v>1128</v>
      </c>
      <c r="C1181" s="217"/>
      <c r="D1181" s="217" t="s">
        <v>20644</v>
      </c>
      <c r="E1181" s="468" t="s">
        <v>20402</v>
      </c>
      <c r="F1181" s="524" t="s">
        <v>15476</v>
      </c>
      <c r="G1181" s="525" t="s">
        <v>21059</v>
      </c>
      <c r="H1181" s="524" t="s">
        <v>302</v>
      </c>
      <c r="I1181" s="472">
        <v>0.20000000000000001</v>
      </c>
      <c r="J1181" s="473">
        <f t="shared" si="1005"/>
        <v>28.91</v>
      </c>
      <c r="K1181" s="474">
        <f t="shared" si="1027"/>
        <v>5.782</v>
      </c>
      <c r="L1181" s="473">
        <f t="shared" si="1011"/>
        <v>28.91</v>
      </c>
      <c r="M1181" s="474">
        <f t="shared" si="1028"/>
        <v>5.782</v>
      </c>
      <c r="O1181" s="434">
        <f t="shared" si="1009"/>
        <v>28.91</v>
      </c>
      <c r="P1181" s="435">
        <f t="shared" si="1010"/>
        <v>28.91</v>
      </c>
      <c r="Q1181" s="549"/>
      <c r="R1181" s="550"/>
      <c r="AE1181" s="217"/>
      <c r="AF1181" s="217">
        <v>1128</v>
      </c>
      <c r="AH1181">
        <f t="shared" si="1022"/>
        <v>1128</v>
      </c>
    </row>
    <row r="1182" ht="30" hidden="1">
      <c r="A1182" s="217"/>
      <c r="B1182" s="217">
        <v>1128</v>
      </c>
      <c r="C1182" s="217"/>
      <c r="D1182" s="217" t="s">
        <v>17167</v>
      </c>
      <c r="E1182" s="468" t="s">
        <v>20405</v>
      </c>
      <c r="F1182" s="526">
        <v>90776</v>
      </c>
      <c r="G1182" s="525" t="s">
        <v>7322</v>
      </c>
      <c r="H1182" s="524" t="s">
        <v>2032</v>
      </c>
      <c r="I1182" s="472">
        <v>2.85714e-002</v>
      </c>
      <c r="J1182" s="473">
        <f t="shared" ref="J1182:J1245" si="1029">O1182*$J$3</f>
        <v>35.469999999999999</v>
      </c>
      <c r="K1182" s="474">
        <f t="shared" si="1027"/>
        <v>1.0134275580000001</v>
      </c>
      <c r="L1182" s="473">
        <f t="shared" si="1011"/>
        <v>33.259999999999998</v>
      </c>
      <c r="M1182" s="474">
        <f t="shared" si="1028"/>
        <v>0.95028476399999995</v>
      </c>
      <c r="O1182" s="434">
        <f t="shared" si="1009"/>
        <v>35.469999999999999</v>
      </c>
      <c r="P1182" s="435">
        <f t="shared" si="1010"/>
        <v>33.259999999999998</v>
      </c>
      <c r="Q1182" s="549"/>
      <c r="R1182" s="550"/>
      <c r="AE1182" s="217"/>
      <c r="AF1182" s="217">
        <v>1128</v>
      </c>
      <c r="AH1182">
        <f t="shared" si="1022"/>
        <v>1128</v>
      </c>
    </row>
    <row r="1183" ht="30" hidden="1">
      <c r="A1183" s="217"/>
      <c r="B1183" s="217">
        <v>1128</v>
      </c>
      <c r="C1183" s="217"/>
      <c r="D1183" s="217" t="s">
        <v>17167</v>
      </c>
      <c r="E1183" s="468" t="s">
        <v>20409</v>
      </c>
      <c r="F1183" s="526">
        <v>93421</v>
      </c>
      <c r="G1183" s="525" t="s">
        <v>21060</v>
      </c>
      <c r="H1183" s="524" t="s">
        <v>1535</v>
      </c>
      <c r="I1183" s="472">
        <v>2.85714e-002</v>
      </c>
      <c r="J1183" s="473">
        <f t="shared" si="1029"/>
        <v>86.900000000000006</v>
      </c>
      <c r="K1183" s="474">
        <f t="shared" si="1027"/>
        <v>2.4828546600000001</v>
      </c>
      <c r="L1183" s="473">
        <f t="shared" si="1011"/>
        <v>86.900000000000006</v>
      </c>
      <c r="M1183" s="474">
        <f t="shared" si="1028"/>
        <v>2.4828546600000001</v>
      </c>
      <c r="O1183" s="434">
        <f t="shared" si="1009"/>
        <v>86.900000000000006</v>
      </c>
      <c r="P1183" s="435">
        <f t="shared" si="1010"/>
        <v>86.900000000000006</v>
      </c>
      <c r="Q1183" s="549"/>
      <c r="R1183" s="550"/>
      <c r="AE1183" s="217"/>
      <c r="AF1183" s="217">
        <v>1128</v>
      </c>
      <c r="AH1183">
        <f t="shared" si="1022"/>
        <v>1128</v>
      </c>
    </row>
    <row r="1184" ht="60" hidden="1">
      <c r="A1184" s="217"/>
      <c r="B1184" s="217">
        <v>1128</v>
      </c>
      <c r="C1184" s="217"/>
      <c r="D1184" s="217" t="s">
        <v>17167</v>
      </c>
      <c r="E1184" s="468" t="s">
        <v>20663</v>
      </c>
      <c r="F1184" s="526">
        <v>5795</v>
      </c>
      <c r="G1184" s="525" t="s">
        <v>21061</v>
      </c>
      <c r="H1184" s="524" t="s">
        <v>1535</v>
      </c>
      <c r="I1184" s="472">
        <v>5.7142800000000001e-002</v>
      </c>
      <c r="J1184" s="473">
        <f t="shared" si="1029"/>
        <v>28.030000000000001</v>
      </c>
      <c r="K1184" s="474">
        <f t="shared" si="1027"/>
        <v>1.601712684</v>
      </c>
      <c r="L1184" s="473">
        <f t="shared" si="1011"/>
        <v>26.440000000000001</v>
      </c>
      <c r="M1184" s="474">
        <f t="shared" si="1028"/>
        <v>1.5108556320000002</v>
      </c>
      <c r="O1184" s="434">
        <f t="shared" si="1009"/>
        <v>28.030000000000001</v>
      </c>
      <c r="P1184" s="435">
        <f t="shared" si="1010"/>
        <v>26.440000000000001</v>
      </c>
      <c r="Q1184" s="549"/>
      <c r="R1184" s="550"/>
      <c r="AE1184" s="217"/>
      <c r="AF1184" s="217">
        <v>1128</v>
      </c>
      <c r="AH1184">
        <f t="shared" si="1022"/>
        <v>1128</v>
      </c>
    </row>
    <row r="1185" ht="45" hidden="1">
      <c r="A1185" s="217"/>
      <c r="B1185" s="217">
        <v>1128</v>
      </c>
      <c r="C1185" s="217"/>
      <c r="D1185" s="217" t="s">
        <v>17167</v>
      </c>
      <c r="E1185" s="468" t="s">
        <v>20665</v>
      </c>
      <c r="F1185" s="526">
        <v>88277</v>
      </c>
      <c r="G1185" s="525" t="s">
        <v>7341</v>
      </c>
      <c r="H1185" s="524" t="s">
        <v>2032</v>
      </c>
      <c r="I1185" s="472">
        <v>5.7142800000000001e-002</v>
      </c>
      <c r="J1185" s="473">
        <f t="shared" si="1029"/>
        <v>28.359999999999999</v>
      </c>
      <c r="K1185" s="474">
        <f t="shared" si="1027"/>
        <v>1.6205698079999999</v>
      </c>
      <c r="L1185" s="473">
        <f t="shared" si="1011"/>
        <v>26.640000000000001</v>
      </c>
      <c r="M1185" s="474">
        <f t="shared" si="1028"/>
        <v>1.5222841920000001</v>
      </c>
      <c r="O1185" s="434">
        <f t="shared" si="1009"/>
        <v>28.359999999999999</v>
      </c>
      <c r="P1185" s="435">
        <f t="shared" si="1010"/>
        <v>26.640000000000001</v>
      </c>
      <c r="Q1185" s="549"/>
      <c r="R1185" s="550"/>
      <c r="AE1185" s="217"/>
      <c r="AF1185" s="217">
        <v>1128</v>
      </c>
      <c r="AH1185">
        <f t="shared" si="1022"/>
        <v>1128</v>
      </c>
    </row>
    <row r="1186" ht="30" hidden="1">
      <c r="A1186" s="217"/>
      <c r="B1186" s="217">
        <v>1128</v>
      </c>
      <c r="C1186" s="217"/>
      <c r="D1186" s="217" t="s">
        <v>17167</v>
      </c>
      <c r="E1186" s="468" t="s">
        <v>20667</v>
      </c>
      <c r="F1186" s="526">
        <v>88316</v>
      </c>
      <c r="G1186" s="525" t="s">
        <v>7393</v>
      </c>
      <c r="H1186" s="524" t="s">
        <v>2032</v>
      </c>
      <c r="I1186" s="472">
        <v>0.1142857</v>
      </c>
      <c r="J1186" s="473">
        <f t="shared" si="1029"/>
        <v>22.760000000000002</v>
      </c>
      <c r="K1186" s="474">
        <f t="shared" si="1027"/>
        <v>2.6011425320000003</v>
      </c>
      <c r="L1186" s="473">
        <f t="shared" si="1011"/>
        <v>21.550000000000001</v>
      </c>
      <c r="M1186" s="474">
        <f t="shared" si="1028"/>
        <v>2.4628568350000002</v>
      </c>
      <c r="O1186" s="434">
        <f t="shared" si="1009"/>
        <v>22.760000000000002</v>
      </c>
      <c r="P1186" s="435">
        <f t="shared" si="1010"/>
        <v>21.550000000000001</v>
      </c>
      <c r="Q1186" s="549"/>
      <c r="R1186" s="550"/>
      <c r="AE1186" s="217"/>
      <c r="AF1186" s="217">
        <v>1128</v>
      </c>
      <c r="AH1186">
        <f t="shared" si="1022"/>
        <v>1128</v>
      </c>
    </row>
    <row r="1187" ht="45" hidden="1">
      <c r="A1187" s="217"/>
      <c r="B1187" s="217">
        <v>1128</v>
      </c>
      <c r="C1187" s="217"/>
      <c r="D1187" s="217" t="s">
        <v>20644</v>
      </c>
      <c r="E1187" s="468" t="s">
        <v>20671</v>
      </c>
      <c r="F1187" s="526" t="s">
        <v>15484</v>
      </c>
      <c r="G1187" s="525" t="s">
        <v>21222</v>
      </c>
      <c r="H1187" s="524" t="s">
        <v>31</v>
      </c>
      <c r="I1187" s="472">
        <v>1</v>
      </c>
      <c r="J1187" s="473">
        <f t="shared" si="1029"/>
        <v>18.710000000000001</v>
      </c>
      <c r="K1187" s="474">
        <f t="shared" si="1027"/>
        <v>18.710000000000001</v>
      </c>
      <c r="L1187" s="473">
        <f t="shared" si="1011"/>
        <v>18.710000000000001</v>
      </c>
      <c r="M1187" s="474">
        <f t="shared" si="1028"/>
        <v>18.710000000000001</v>
      </c>
      <c r="O1187" s="434">
        <f t="shared" si="1009"/>
        <v>18.710000000000001</v>
      </c>
      <c r="P1187" s="435">
        <f t="shared" si="1010"/>
        <v>18.710000000000001</v>
      </c>
      <c r="Q1187" s="549"/>
      <c r="R1187" s="550"/>
      <c r="AE1187" s="217"/>
      <c r="AF1187" s="217">
        <v>1128</v>
      </c>
      <c r="AH1187">
        <f t="shared" si="1022"/>
        <v>1128</v>
      </c>
    </row>
    <row r="1188" ht="49.5" hidden="1" customHeight="1">
      <c r="A1188" s="217"/>
      <c r="B1188" s="217">
        <v>1128</v>
      </c>
      <c r="C1188" s="217"/>
      <c r="D1188" s="217"/>
      <c r="E1188" s="468"/>
      <c r="F1188" s="524"/>
      <c r="G1188" s="488" t="s">
        <v>21223</v>
      </c>
      <c r="H1188" s="524"/>
      <c r="I1188" s="527"/>
      <c r="J1188" s="529"/>
      <c r="K1188" s="528"/>
      <c r="L1188" s="529"/>
      <c r="M1188" s="528"/>
      <c r="O1188" s="434" t="str">
        <f t="shared" si="1009"/>
        <v xml:space="preserve">SEM VALOR</v>
      </c>
      <c r="P1188" s="435" t="str">
        <f t="shared" si="1010"/>
        <v xml:space="preserve">SEM VALOR</v>
      </c>
      <c r="Q1188" s="549"/>
      <c r="R1188" s="550"/>
      <c r="AE1188" s="217"/>
      <c r="AF1188" s="217">
        <v>1128</v>
      </c>
      <c r="AH1188">
        <f t="shared" si="1022"/>
        <v>1128</v>
      </c>
    </row>
    <row r="1189" ht="23.25" hidden="1" customHeight="1">
      <c r="A1189" s="217"/>
      <c r="B1189" s="217">
        <v>1128</v>
      </c>
      <c r="C1189" s="217"/>
      <c r="D1189" s="217"/>
      <c r="E1189" s="468"/>
      <c r="F1189" s="524"/>
      <c r="G1189" s="488" t="s">
        <v>21064</v>
      </c>
      <c r="H1189" s="524"/>
      <c r="I1189" s="527"/>
      <c r="J1189" s="529"/>
      <c r="K1189" s="528"/>
      <c r="L1189" s="529"/>
      <c r="M1189" s="528"/>
      <c r="O1189" s="434" t="str">
        <f t="shared" si="1009"/>
        <v xml:space="preserve">SEM VALOR</v>
      </c>
      <c r="P1189" s="435" t="str">
        <f t="shared" si="1010"/>
        <v xml:space="preserve">SEM VALOR</v>
      </c>
      <c r="Q1189" s="549"/>
      <c r="R1189" s="550"/>
      <c r="AE1189" s="217"/>
      <c r="AF1189" s="217">
        <v>1128</v>
      </c>
      <c r="AH1189">
        <f t="shared" si="1022"/>
        <v>1128</v>
      </c>
    </row>
    <row r="1190" ht="66.75" hidden="1" customHeight="1">
      <c r="A1190" s="460">
        <v>1129</v>
      </c>
      <c r="B1190" s="460">
        <v>1129</v>
      </c>
      <c r="C1190" s="460"/>
      <c r="D1190" s="460"/>
      <c r="E1190" s="461">
        <v>1</v>
      </c>
      <c r="F1190" s="462" t="s">
        <v>21224</v>
      </c>
      <c r="G1190" s="477" t="s">
        <v>21225</v>
      </c>
      <c r="H1190" s="478" t="s">
        <v>38</v>
      </c>
      <c r="I1190" s="479"/>
      <c r="J1190" s="480"/>
      <c r="K1190" s="466">
        <f>SUM(K1191:K1193)</f>
        <v>250.43560471999999</v>
      </c>
      <c r="L1190" s="480"/>
      <c r="M1190" s="466">
        <f>SUM(M1191:M1193)</f>
        <v>246.52712500000001</v>
      </c>
      <c r="O1190" s="434" t="str">
        <f t="shared" si="1009"/>
        <v xml:space="preserve">SEM VALOR</v>
      </c>
      <c r="P1190" s="435" t="str">
        <f t="shared" si="1010"/>
        <v xml:space="preserve">SEM VALOR</v>
      </c>
      <c r="AE1190" s="460">
        <v>1129</v>
      </c>
      <c r="AF1190" s="460"/>
      <c r="AH1190">
        <f t="shared" si="1022"/>
        <v>1129</v>
      </c>
    </row>
    <row r="1191" ht="57" hidden="1">
      <c r="A1191" s="217"/>
      <c r="B1191" s="217">
        <v>1129</v>
      </c>
      <c r="C1191" s="217"/>
      <c r="D1191" s="217" t="s">
        <v>20398</v>
      </c>
      <c r="E1191" s="471" t="s">
        <v>20399</v>
      </c>
      <c r="F1191" s="562">
        <v>1065</v>
      </c>
      <c r="G1191" s="563" t="s">
        <v>21226</v>
      </c>
      <c r="H1191" s="472" t="s">
        <v>15515</v>
      </c>
      <c r="I1191" s="472">
        <v>0.27500000000000002</v>
      </c>
      <c r="J1191" s="473">
        <f t="shared" si="1029"/>
        <v>104.37038079999999</v>
      </c>
      <c r="K1191" s="474">
        <f t="shared" ref="K1191:K1193" si="1030">I1191*J1191</f>
        <v>28.70185472</v>
      </c>
      <c r="L1191" s="473">
        <f t="shared" si="1011"/>
        <v>101.735</v>
      </c>
      <c r="M1191" s="474">
        <f t="shared" ref="M1191:M1193" si="1031">L1191*I1191</f>
        <v>27.977125000000001</v>
      </c>
      <c r="O1191" s="434">
        <f t="shared" si="1009"/>
        <v>104.37038079999999</v>
      </c>
      <c r="P1191" s="435">
        <f t="shared" si="1010"/>
        <v>101.735</v>
      </c>
      <c r="AE1191" s="217"/>
      <c r="AF1191" s="217">
        <v>1129</v>
      </c>
      <c r="AH1191">
        <f t="shared" si="1022"/>
        <v>1129</v>
      </c>
    </row>
    <row r="1192" ht="105" hidden="1">
      <c r="A1192" s="217"/>
      <c r="B1192" s="217">
        <v>1129</v>
      </c>
      <c r="C1192" s="217"/>
      <c r="D1192" s="217" t="s">
        <v>17167</v>
      </c>
      <c r="E1192" s="471" t="s">
        <v>20402</v>
      </c>
      <c r="F1192" s="482">
        <v>87335</v>
      </c>
      <c r="G1192" s="470" t="s">
        <v>181</v>
      </c>
      <c r="H1192" s="471" t="s">
        <v>15528</v>
      </c>
      <c r="I1192" s="472">
        <v>0.375</v>
      </c>
      <c r="J1192" s="473">
        <f t="shared" si="1029"/>
        <v>586.27999999999997</v>
      </c>
      <c r="K1192" s="474">
        <f t="shared" si="1030"/>
        <v>219.85499999999999</v>
      </c>
      <c r="L1192" s="473">
        <f t="shared" si="1011"/>
        <v>578</v>
      </c>
      <c r="M1192" s="474">
        <f t="shared" si="1031"/>
        <v>216.75</v>
      </c>
      <c r="O1192" s="434">
        <f t="shared" si="1009"/>
        <v>586.27999999999997</v>
      </c>
      <c r="P1192" s="435">
        <f t="shared" si="1010"/>
        <v>578</v>
      </c>
      <c r="AE1192" s="217"/>
      <c r="AF1192" s="217">
        <v>1129</v>
      </c>
      <c r="AH1192">
        <f t="shared" si="1022"/>
        <v>1129</v>
      </c>
    </row>
    <row r="1193" ht="71.25" hidden="1">
      <c r="A1193" s="217"/>
      <c r="B1193" s="217">
        <v>1129</v>
      </c>
      <c r="C1193" s="217"/>
      <c r="D1193" s="217" t="s">
        <v>17167</v>
      </c>
      <c r="E1193" s="471" t="s">
        <v>20405</v>
      </c>
      <c r="F1193" s="562">
        <v>87878</v>
      </c>
      <c r="G1193" s="563" t="s">
        <v>20776</v>
      </c>
      <c r="H1193" s="472" t="s">
        <v>15515</v>
      </c>
      <c r="I1193" s="472">
        <v>0.375</v>
      </c>
      <c r="J1193" s="473">
        <f t="shared" si="1029"/>
        <v>5.0099999999999998</v>
      </c>
      <c r="K1193" s="474">
        <f t="shared" si="1030"/>
        <v>1.8787499999999999</v>
      </c>
      <c r="L1193" s="473">
        <f t="shared" si="1011"/>
        <v>4.7999999999999998</v>
      </c>
      <c r="M1193" s="474">
        <f t="shared" si="1031"/>
        <v>1.7999999999999998</v>
      </c>
      <c r="O1193" s="434">
        <f t="shared" si="1009"/>
        <v>5.0099999999999998</v>
      </c>
      <c r="P1193" s="435">
        <f t="shared" si="1010"/>
        <v>4.7999999999999998</v>
      </c>
      <c r="AE1193" s="217"/>
      <c r="AF1193" s="217">
        <v>1129</v>
      </c>
      <c r="AH1193">
        <f t="shared" si="1022"/>
        <v>1129</v>
      </c>
    </row>
    <row r="1194" ht="78.75">
      <c r="A1194" s="460">
        <v>1130</v>
      </c>
      <c r="B1194" s="460">
        <v>1130</v>
      </c>
      <c r="C1194" s="460"/>
      <c r="D1194" s="460"/>
      <c r="E1194" s="461">
        <v>1</v>
      </c>
      <c r="F1194" s="462" t="s">
        <v>20569</v>
      </c>
      <c r="G1194" s="477" t="s">
        <v>21227</v>
      </c>
      <c r="H1194" s="478" t="s">
        <v>15515</v>
      </c>
      <c r="I1194" s="479"/>
      <c r="J1194" s="480"/>
      <c r="K1194" s="466" t="e">
        <f>SUM(K1195:K1202)</f>
        <v>#VALUE!</v>
      </c>
      <c r="L1194" s="480"/>
      <c r="M1194" s="466" t="e">
        <f>SUM(M1195:M1202)</f>
        <v>#VALUE!</v>
      </c>
      <c r="N1194" s="487" t="s">
        <v>21228</v>
      </c>
      <c r="O1194" s="434" t="str">
        <f t="shared" si="1009"/>
        <v xml:space="preserve">SEM VALOR</v>
      </c>
      <c r="P1194" s="435" t="str">
        <f t="shared" si="1010"/>
        <v xml:space="preserve">SEM VALOR</v>
      </c>
      <c r="AE1194" s="460">
        <v>1130</v>
      </c>
      <c r="AF1194" s="460"/>
      <c r="AH1194">
        <f t="shared" si="1022"/>
        <v>1130</v>
      </c>
    </row>
    <row r="1195" ht="60">
      <c r="A1195" s="217"/>
      <c r="B1195" s="217">
        <v>1130</v>
      </c>
      <c r="C1195" s="217"/>
      <c r="D1195" s="217" t="s">
        <v>17167</v>
      </c>
      <c r="E1195" s="471" t="s">
        <v>20399</v>
      </c>
      <c r="F1195" s="471">
        <v>5839</v>
      </c>
      <c r="G1195" s="535" t="s">
        <v>1955</v>
      </c>
      <c r="H1195" s="471" t="s">
        <v>1535</v>
      </c>
      <c r="I1195" s="509" t="s">
        <v>21229</v>
      </c>
      <c r="J1195" s="473">
        <f t="shared" si="1029"/>
        <v>9.4299999999999997</v>
      </c>
      <c r="K1195" s="474" t="e">
        <f>TRUNC(I1195*J1195,2)</f>
        <v>#VALUE!</v>
      </c>
      <c r="L1195" s="473">
        <f t="shared" si="1011"/>
        <v>9.4299999999999997</v>
      </c>
      <c r="M1195" s="474" t="e">
        <f t="shared" ref="M1195:M1202" si="1032">L1195*I1195</f>
        <v>#VALUE!</v>
      </c>
      <c r="O1195" s="434">
        <f t="shared" si="1009"/>
        <v>9.4299999999999997</v>
      </c>
      <c r="P1195" s="435">
        <f t="shared" si="1010"/>
        <v>9.4299999999999997</v>
      </c>
      <c r="AE1195" s="217"/>
      <c r="AF1195" s="217">
        <v>1130</v>
      </c>
      <c r="AH1195">
        <f t="shared" si="1022"/>
        <v>1130</v>
      </c>
    </row>
    <row r="1196" ht="60">
      <c r="A1196" s="217"/>
      <c r="B1196" s="217">
        <v>1130</v>
      </c>
      <c r="C1196" s="217"/>
      <c r="D1196" s="217" t="s">
        <v>17167</v>
      </c>
      <c r="E1196" s="471" t="s">
        <v>20402</v>
      </c>
      <c r="F1196" s="482">
        <v>5841</v>
      </c>
      <c r="G1196" s="470" t="s">
        <v>1954</v>
      </c>
      <c r="H1196" s="471" t="s">
        <v>1533</v>
      </c>
      <c r="I1196" s="509" t="s">
        <v>21230</v>
      </c>
      <c r="J1196" s="473">
        <f t="shared" si="1029"/>
        <v>4.7400000000000002</v>
      </c>
      <c r="K1196" s="474" t="e">
        <f>TRUNC(I1196*J1196,2)</f>
        <v>#VALUE!</v>
      </c>
      <c r="L1196" s="473">
        <f t="shared" si="1011"/>
        <v>4.7400000000000002</v>
      </c>
      <c r="M1196" s="474" t="e">
        <f t="shared" si="1032"/>
        <v>#VALUE!</v>
      </c>
      <c r="O1196" s="434">
        <f t="shared" ref="O1196:O1259" si="1033">IFERROR(IF(D1196="SINAPI",VLOOKUP(F1196,SINCOMOD,4,FALSE),IF(D1196="INSINAPI",VLOOKUP(F1196,INSINOD,5,FALSE),IF(D1196="SICRO",VLOOKUP(F1196,SICRO,5,FALSE),IF(D1196="COTACAO",VLOOKUP(F1196,COTACAO,6,FALSE),IF(D1196="PRÓPRIO",VLOOKUP(F1196,COMPOD,11,FALSE),IF(D1196="AGESUL",VLOOKUP(F1196,AGESULOD,6,FALSE),IF(D1196="INSAGESUL",VLOOKUP(F1196,INSAGESUL,7,FALSE),"SEM VALOR"))))))),"SEM VALOR")</f>
        <v>4.7400000000000002</v>
      </c>
      <c r="P1196" s="435">
        <f t="shared" ref="P1196:P1259" si="1034">IFERROR(IF(D1196="SINAPI",VLOOKUP(F1196,SINCOMOD,6,FALSE),IF(D1196="INSINAPI",VLOOKUP(F1196,INSINOD,6,FALSE),IF(D1196="SICRO",VLOOKUP(F1196,SICRO,5,FALSE),IF(D1196="COTACAO",VLOOKUP(F1196,COTACAO,6,FALSE),IF(D1196="PRÓPRIO",VLOOKUP(F1196,COMPOD,13,FALSE),IF(D1196="AGESUL",VLOOKUP(F1196,AGESULOD,11,FALSE),IF(D1196="INSAGESUL",VLOOKUP(F1196,INSAGESUL,8,FALSE),"SEM VALOR"))))))),"SEM VALOR")</f>
        <v>4.7400000000000002</v>
      </c>
      <c r="AE1196" s="217"/>
      <c r="AF1196" s="217">
        <v>1130</v>
      </c>
      <c r="AH1196">
        <f t="shared" si="1022"/>
        <v>1130</v>
      </c>
    </row>
    <row r="1197">
      <c r="A1197" s="217"/>
      <c r="B1197" s="217">
        <v>1130</v>
      </c>
      <c r="C1197" s="217"/>
      <c r="D1197" s="217" t="s">
        <v>20453</v>
      </c>
      <c r="E1197" s="471" t="s">
        <v>20405</v>
      </c>
      <c r="F1197" s="564" t="s">
        <v>20065</v>
      </c>
      <c r="G1197" s="488" t="s">
        <v>21231</v>
      </c>
      <c r="H1197" s="471" t="s">
        <v>302</v>
      </c>
      <c r="I1197" s="509" t="s">
        <v>21232</v>
      </c>
      <c r="J1197" s="473">
        <f t="shared" si="1029"/>
        <v>4.2400000000000002</v>
      </c>
      <c r="K1197" s="474">
        <f>TRUNC(I1197*J1197,2)</f>
        <v>50880000</v>
      </c>
      <c r="L1197" s="473">
        <f t="shared" ref="L1197:L1260" si="1035">P1197*$L$3</f>
        <v>4.2400000000000002</v>
      </c>
      <c r="M1197" s="474">
        <f t="shared" si="1032"/>
        <v>50880000</v>
      </c>
      <c r="O1197" s="434">
        <f t="shared" si="1033"/>
        <v>4.2400000000000002</v>
      </c>
      <c r="P1197" s="435">
        <f t="shared" si="1034"/>
        <v>4.2400000000000002</v>
      </c>
      <c r="AE1197" s="217"/>
      <c r="AF1197" s="217">
        <v>1130</v>
      </c>
      <c r="AH1197">
        <f t="shared" si="1022"/>
        <v>1130</v>
      </c>
    </row>
    <row r="1198" ht="120">
      <c r="A1198" s="217"/>
      <c r="B1198" s="217">
        <v>1130</v>
      </c>
      <c r="C1198" s="217"/>
      <c r="D1198" s="217" t="s">
        <v>17167</v>
      </c>
      <c r="E1198" s="471" t="s">
        <v>20409</v>
      </c>
      <c r="F1198" s="564">
        <v>83362</v>
      </c>
      <c r="G1198" s="488" t="s">
        <v>20922</v>
      </c>
      <c r="H1198" s="471" t="s">
        <v>1535</v>
      </c>
      <c r="I1198" s="509" t="s">
        <v>21233</v>
      </c>
      <c r="J1198" s="473">
        <f t="shared" si="1029"/>
        <v>290.72000000000003</v>
      </c>
      <c r="K1198" s="474" t="e">
        <f>TRUNC(I1198*J1198,2)</f>
        <v>#VALUE!</v>
      </c>
      <c r="L1198" s="473">
        <f t="shared" si="1035"/>
        <v>289.12</v>
      </c>
      <c r="M1198" s="474" t="e">
        <f t="shared" si="1032"/>
        <v>#VALUE!</v>
      </c>
      <c r="O1198" s="434">
        <f t="shared" si="1033"/>
        <v>290.72000000000003</v>
      </c>
      <c r="P1198" s="435">
        <f t="shared" si="1034"/>
        <v>289.12</v>
      </c>
      <c r="AE1198" s="217"/>
      <c r="AF1198" s="217">
        <v>1130</v>
      </c>
      <c r="AH1198">
        <f t="shared" si="1022"/>
        <v>1130</v>
      </c>
    </row>
    <row r="1199" ht="30">
      <c r="A1199" s="217"/>
      <c r="B1199" s="217">
        <v>1130</v>
      </c>
      <c r="C1199" s="217"/>
      <c r="D1199" s="217" t="s">
        <v>17167</v>
      </c>
      <c r="E1199" s="471" t="s">
        <v>20663</v>
      </c>
      <c r="F1199" s="564">
        <v>88316</v>
      </c>
      <c r="G1199" s="488" t="s">
        <v>7393</v>
      </c>
      <c r="H1199" s="471" t="s">
        <v>2032</v>
      </c>
      <c r="I1199" s="509" t="s">
        <v>21234</v>
      </c>
      <c r="J1199" s="473">
        <f t="shared" si="1029"/>
        <v>22.760000000000002</v>
      </c>
      <c r="K1199" s="474" t="e">
        <f>TRUNC(I1199*J1199,2)</f>
        <v>#VALUE!</v>
      </c>
      <c r="L1199" s="473">
        <f t="shared" si="1035"/>
        <v>21.550000000000001</v>
      </c>
      <c r="M1199" s="474" t="e">
        <f t="shared" si="1032"/>
        <v>#VALUE!</v>
      </c>
      <c r="O1199" s="434">
        <f t="shared" si="1033"/>
        <v>22.760000000000002</v>
      </c>
      <c r="P1199" s="435">
        <f t="shared" si="1034"/>
        <v>21.550000000000001</v>
      </c>
      <c r="AE1199" s="217"/>
      <c r="AF1199" s="217">
        <v>1130</v>
      </c>
      <c r="AH1199">
        <f t="shared" si="1022"/>
        <v>1130</v>
      </c>
    </row>
    <row r="1200" ht="45">
      <c r="A1200" s="217"/>
      <c r="B1200" s="217">
        <v>1130</v>
      </c>
      <c r="C1200" s="217"/>
      <c r="D1200" s="217" t="s">
        <v>17167</v>
      </c>
      <c r="E1200" s="471" t="s">
        <v>20665</v>
      </c>
      <c r="F1200" s="564">
        <v>89035</v>
      </c>
      <c r="G1200" s="488" t="s">
        <v>1935</v>
      </c>
      <c r="H1200" s="471" t="s">
        <v>1535</v>
      </c>
      <c r="I1200" s="509" t="s">
        <v>21235</v>
      </c>
      <c r="J1200" s="473">
        <f t="shared" si="1029"/>
        <v>138.31</v>
      </c>
      <c r="K1200" s="474" t="e">
        <f>TRUNC(I1200*J1200,2)</f>
        <v>#VALUE!</v>
      </c>
      <c r="L1200" s="473">
        <f t="shared" si="1035"/>
        <v>136.41</v>
      </c>
      <c r="M1200" s="474" t="e">
        <f t="shared" si="1032"/>
        <v>#VALUE!</v>
      </c>
      <c r="O1200" s="434">
        <f t="shared" si="1033"/>
        <v>138.31</v>
      </c>
      <c r="P1200" s="435">
        <f t="shared" si="1034"/>
        <v>136.41</v>
      </c>
      <c r="AE1200" s="217"/>
      <c r="AF1200" s="217">
        <v>1130</v>
      </c>
      <c r="AH1200">
        <f t="shared" si="1022"/>
        <v>1130</v>
      </c>
    </row>
    <row r="1201" ht="45">
      <c r="A1201" s="217"/>
      <c r="B1201" s="217">
        <v>1130</v>
      </c>
      <c r="C1201" s="217"/>
      <c r="D1201" s="217" t="s">
        <v>17167</v>
      </c>
      <c r="E1201" s="471" t="s">
        <v>20667</v>
      </c>
      <c r="F1201" s="564">
        <v>89036</v>
      </c>
      <c r="G1201" s="488" t="s">
        <v>1934</v>
      </c>
      <c r="H1201" s="471" t="s">
        <v>1533</v>
      </c>
      <c r="I1201" s="509" t="s">
        <v>21236</v>
      </c>
      <c r="J1201" s="473">
        <f t="shared" si="1029"/>
        <v>47.5</v>
      </c>
      <c r="K1201" s="474" t="e">
        <f>TRUNC(I1201*J1201,2)</f>
        <v>#VALUE!</v>
      </c>
      <c r="L1201" s="473">
        <f t="shared" si="1035"/>
        <v>45.600000000000001</v>
      </c>
      <c r="M1201" s="474" t="e">
        <f t="shared" si="1032"/>
        <v>#VALUE!</v>
      </c>
      <c r="O1201" s="434">
        <f t="shared" si="1033"/>
        <v>47.5</v>
      </c>
      <c r="P1201" s="435">
        <f t="shared" si="1034"/>
        <v>45.600000000000001</v>
      </c>
      <c r="AE1201" s="217"/>
      <c r="AF1201" s="217">
        <v>1130</v>
      </c>
      <c r="AH1201">
        <f t="shared" si="1022"/>
        <v>1130</v>
      </c>
    </row>
    <row r="1202" ht="120">
      <c r="A1202" s="217"/>
      <c r="B1202" s="217">
        <v>1130</v>
      </c>
      <c r="C1202" s="217"/>
      <c r="D1202" s="217" t="s">
        <v>17167</v>
      </c>
      <c r="E1202" s="471" t="s">
        <v>20671</v>
      </c>
      <c r="F1202" s="564">
        <v>91486</v>
      </c>
      <c r="G1202" s="488" t="s">
        <v>20923</v>
      </c>
      <c r="H1202" s="471" t="s">
        <v>1533</v>
      </c>
      <c r="I1202" s="509" t="s">
        <v>21237</v>
      </c>
      <c r="J1202" s="473">
        <f t="shared" si="1029"/>
        <v>69.299999999999997</v>
      </c>
      <c r="K1202" s="474" t="e">
        <f>TRUNC(I1202*J1202,2)</f>
        <v>#VALUE!</v>
      </c>
      <c r="L1202" s="473">
        <f t="shared" si="1035"/>
        <v>67.700000000000003</v>
      </c>
      <c r="M1202" s="474" t="e">
        <f t="shared" si="1032"/>
        <v>#VALUE!</v>
      </c>
      <c r="O1202" s="434">
        <f t="shared" si="1033"/>
        <v>69.299999999999997</v>
      </c>
      <c r="P1202" s="435">
        <f t="shared" si="1034"/>
        <v>67.700000000000003</v>
      </c>
      <c r="AE1202" s="217"/>
      <c r="AF1202" s="217">
        <v>1130</v>
      </c>
      <c r="AH1202">
        <f t="shared" si="1022"/>
        <v>1130</v>
      </c>
    </row>
    <row r="1203" ht="40.5" hidden="1" customHeight="1">
      <c r="A1203" s="460">
        <v>1131</v>
      </c>
      <c r="B1203" s="460">
        <v>1131</v>
      </c>
      <c r="C1203" s="460"/>
      <c r="D1203" s="460"/>
      <c r="E1203" s="461">
        <v>1</v>
      </c>
      <c r="F1203" s="462" t="s">
        <v>21238</v>
      </c>
      <c r="G1203" s="477" t="s">
        <v>21239</v>
      </c>
      <c r="H1203" s="478" t="s">
        <v>20647</v>
      </c>
      <c r="I1203" s="479"/>
      <c r="J1203" s="480"/>
      <c r="K1203" s="466">
        <f>SUM(K1204:K1212)</f>
        <v>8793.1245500000005</v>
      </c>
      <c r="L1203" s="480"/>
      <c r="M1203" s="466">
        <f>SUM(M1204:M1212)</f>
        <v>8721.5281999999988</v>
      </c>
      <c r="O1203" s="434" t="str">
        <f t="shared" si="1033"/>
        <v xml:space="preserve">SEM VALOR</v>
      </c>
      <c r="P1203" s="435" t="str">
        <f t="shared" si="1034"/>
        <v xml:space="preserve">SEM VALOR</v>
      </c>
      <c r="AE1203" s="460">
        <v>1131</v>
      </c>
      <c r="AF1203" s="460"/>
      <c r="AH1203">
        <f t="shared" si="1022"/>
        <v>1131</v>
      </c>
    </row>
    <row r="1204" ht="30" hidden="1">
      <c r="A1204" s="217"/>
      <c r="B1204" s="217">
        <v>1131</v>
      </c>
      <c r="C1204" s="217"/>
      <c r="D1204" s="217" t="s">
        <v>20408</v>
      </c>
      <c r="E1204" s="471" t="s">
        <v>20399</v>
      </c>
      <c r="F1204" s="482">
        <v>43082</v>
      </c>
      <c r="G1204" s="488" t="s">
        <v>13739</v>
      </c>
      <c r="H1204" s="471" t="s">
        <v>302</v>
      </c>
      <c r="I1204" s="509">
        <v>594.78999999999996</v>
      </c>
      <c r="J1204" s="473">
        <f t="shared" si="1029"/>
        <v>10</v>
      </c>
      <c r="K1204" s="474">
        <f t="shared" ref="K1204:K1211" si="1036">I1204*J1204</f>
        <v>5947.8999999999996</v>
      </c>
      <c r="L1204" s="473">
        <f t="shared" si="1035"/>
        <v>10</v>
      </c>
      <c r="M1204" s="474">
        <f t="shared" ref="M1204:M1211" si="1037">L1204*I1204</f>
        <v>5947.8999999999996</v>
      </c>
      <c r="O1204" s="434">
        <f t="shared" si="1033"/>
        <v>10</v>
      </c>
      <c r="P1204" s="435">
        <f t="shared" si="1034"/>
        <v>10</v>
      </c>
      <c r="AE1204" s="217"/>
      <c r="AF1204" s="217">
        <v>1131</v>
      </c>
      <c r="AH1204">
        <f t="shared" si="1022"/>
        <v>1131</v>
      </c>
    </row>
    <row r="1205" ht="30" hidden="1">
      <c r="A1205" s="217"/>
      <c r="B1205" s="217">
        <v>1131</v>
      </c>
      <c r="C1205" s="217"/>
      <c r="D1205" s="217" t="s">
        <v>20408</v>
      </c>
      <c r="E1205" s="471" t="s">
        <v>20402</v>
      </c>
      <c r="F1205" s="564">
        <v>546</v>
      </c>
      <c r="G1205" s="488" t="s">
        <v>20997</v>
      </c>
      <c r="H1205" s="471" t="s">
        <v>302</v>
      </c>
      <c r="I1205" s="509">
        <v>64.239999999999995</v>
      </c>
      <c r="J1205" s="473">
        <f t="shared" si="1029"/>
        <v>9.5899999999999999</v>
      </c>
      <c r="K1205" s="474">
        <f t="shared" si="1036"/>
        <v>616.0616</v>
      </c>
      <c r="L1205" s="473">
        <f t="shared" si="1035"/>
        <v>9.5899999999999999</v>
      </c>
      <c r="M1205" s="474">
        <f t="shared" si="1037"/>
        <v>616.0616</v>
      </c>
      <c r="O1205" s="434">
        <f t="shared" si="1033"/>
        <v>9.5899999999999999</v>
      </c>
      <c r="P1205" s="435">
        <f t="shared" si="1034"/>
        <v>9.5899999999999999</v>
      </c>
      <c r="AE1205" s="217"/>
      <c r="AF1205" s="217">
        <v>1131</v>
      </c>
      <c r="AH1205">
        <f t="shared" si="1022"/>
        <v>1131</v>
      </c>
    </row>
    <row r="1206" ht="45" hidden="1">
      <c r="A1206" s="217"/>
      <c r="B1206" s="217">
        <v>1131</v>
      </c>
      <c r="C1206" s="217"/>
      <c r="D1206" s="217" t="s">
        <v>20408</v>
      </c>
      <c r="E1206" s="471" t="s">
        <v>20405</v>
      </c>
      <c r="F1206" s="564">
        <v>43054</v>
      </c>
      <c r="G1206" s="488" t="s">
        <v>10509</v>
      </c>
      <c r="H1206" s="471" t="s">
        <v>302</v>
      </c>
      <c r="I1206" s="509">
        <v>9.1600000000000001</v>
      </c>
      <c r="J1206" s="473">
        <f t="shared" si="1029"/>
        <v>8.3599999999999994</v>
      </c>
      <c r="K1206" s="474">
        <f t="shared" si="1036"/>
        <v>76.57759999999999</v>
      </c>
      <c r="L1206" s="473">
        <f t="shared" si="1035"/>
        <v>8.3599999999999994</v>
      </c>
      <c r="M1206" s="474">
        <f t="shared" si="1037"/>
        <v>76.57759999999999</v>
      </c>
      <c r="O1206" s="434">
        <f t="shared" si="1033"/>
        <v>8.3599999999999994</v>
      </c>
      <c r="P1206" s="435">
        <f t="shared" si="1034"/>
        <v>8.3599999999999994</v>
      </c>
      <c r="AE1206" s="217"/>
      <c r="AF1206" s="217">
        <v>1131</v>
      </c>
      <c r="AH1206">
        <f t="shared" si="1022"/>
        <v>1131</v>
      </c>
    </row>
    <row r="1207" ht="30" hidden="1">
      <c r="A1207" s="217"/>
      <c r="B1207" s="217">
        <v>1131</v>
      </c>
      <c r="C1207" s="217"/>
      <c r="D1207" s="217" t="s">
        <v>17167</v>
      </c>
      <c r="E1207" s="471" t="s">
        <v>20409</v>
      </c>
      <c r="F1207" s="564">
        <v>88317</v>
      </c>
      <c r="G1207" s="488" t="s">
        <v>7396</v>
      </c>
      <c r="H1207" s="471" t="s">
        <v>2032</v>
      </c>
      <c r="I1207" s="509">
        <v>20</v>
      </c>
      <c r="J1207" s="473">
        <f t="shared" si="1029"/>
        <v>29.559999999999999</v>
      </c>
      <c r="K1207" s="474">
        <f t="shared" si="1036"/>
        <v>591.19999999999993</v>
      </c>
      <c r="L1207" s="473">
        <f t="shared" si="1035"/>
        <v>27.949999999999999</v>
      </c>
      <c r="M1207" s="474">
        <f t="shared" si="1037"/>
        <v>559</v>
      </c>
      <c r="O1207" s="434">
        <f t="shared" si="1033"/>
        <v>29.559999999999999</v>
      </c>
      <c r="P1207" s="435">
        <f t="shared" si="1034"/>
        <v>27.949999999999999</v>
      </c>
      <c r="AE1207" s="217"/>
      <c r="AF1207" s="217">
        <v>1131</v>
      </c>
      <c r="AH1207">
        <f t="shared" si="1022"/>
        <v>1131</v>
      </c>
    </row>
    <row r="1208" ht="30" hidden="1">
      <c r="A1208" s="217"/>
      <c r="B1208" s="217">
        <v>1131</v>
      </c>
      <c r="C1208" s="217"/>
      <c r="D1208" s="217" t="s">
        <v>17167</v>
      </c>
      <c r="E1208" s="471" t="s">
        <v>20663</v>
      </c>
      <c r="F1208" s="564">
        <v>88239</v>
      </c>
      <c r="G1208" s="488" t="s">
        <v>20696</v>
      </c>
      <c r="H1208" s="471" t="s">
        <v>2032</v>
      </c>
      <c r="I1208" s="509">
        <v>20</v>
      </c>
      <c r="J1208" s="473">
        <f t="shared" si="1029"/>
        <v>22.98</v>
      </c>
      <c r="K1208" s="474">
        <f t="shared" si="1036"/>
        <v>459.60000000000002</v>
      </c>
      <c r="L1208" s="473">
        <f t="shared" si="1035"/>
        <v>21.719999999999999</v>
      </c>
      <c r="M1208" s="474">
        <f t="shared" si="1037"/>
        <v>434.39999999999998</v>
      </c>
      <c r="O1208" s="434">
        <f t="shared" si="1033"/>
        <v>22.98</v>
      </c>
      <c r="P1208" s="435">
        <f t="shared" si="1034"/>
        <v>21.719999999999999</v>
      </c>
      <c r="AE1208" s="217"/>
      <c r="AF1208" s="217">
        <v>1131</v>
      </c>
      <c r="AH1208">
        <f t="shared" si="1022"/>
        <v>1131</v>
      </c>
    </row>
    <row r="1209" ht="30" hidden="1">
      <c r="A1209" s="217"/>
      <c r="B1209" s="217">
        <v>1131</v>
      </c>
      <c r="C1209" s="217"/>
      <c r="D1209" s="217" t="s">
        <v>17167</v>
      </c>
      <c r="E1209" s="471" t="s">
        <v>20665</v>
      </c>
      <c r="F1209" s="564">
        <v>88310</v>
      </c>
      <c r="G1209" s="488" t="s">
        <v>7386</v>
      </c>
      <c r="H1209" s="471" t="s">
        <v>2032</v>
      </c>
      <c r="I1209" s="509">
        <v>6.7000000000000002</v>
      </c>
      <c r="J1209" s="473">
        <f t="shared" si="1029"/>
        <v>30.210000000000001</v>
      </c>
      <c r="K1209" s="474">
        <f t="shared" si="1036"/>
        <v>202.40700000000001</v>
      </c>
      <c r="L1209" s="473">
        <f t="shared" si="1035"/>
        <v>28.600000000000001</v>
      </c>
      <c r="M1209" s="474">
        <f t="shared" si="1037"/>
        <v>191.62</v>
      </c>
      <c r="O1209" s="434">
        <f t="shared" si="1033"/>
        <v>30.210000000000001</v>
      </c>
      <c r="P1209" s="435">
        <f t="shared" si="1034"/>
        <v>28.600000000000001</v>
      </c>
      <c r="AE1209" s="217"/>
      <c r="AF1209" s="217">
        <v>1131</v>
      </c>
      <c r="AH1209">
        <f t="shared" si="1022"/>
        <v>1131</v>
      </c>
    </row>
    <row r="1210" ht="30" hidden="1">
      <c r="A1210" s="217"/>
      <c r="B1210" s="217">
        <v>1131</v>
      </c>
      <c r="C1210" s="217"/>
      <c r="D1210" s="217" t="s">
        <v>20408</v>
      </c>
      <c r="E1210" s="471" t="s">
        <v>20667</v>
      </c>
      <c r="F1210" s="564">
        <v>7307</v>
      </c>
      <c r="G1210" s="488" t="s">
        <v>20998</v>
      </c>
      <c r="H1210" s="471" t="s">
        <v>9794</v>
      </c>
      <c r="I1210" s="509">
        <v>4.7999999999999998</v>
      </c>
      <c r="J1210" s="473">
        <f t="shared" si="1029"/>
        <v>41.960000000000001</v>
      </c>
      <c r="K1210" s="474">
        <f t="shared" si="1036"/>
        <v>201.40799999999999</v>
      </c>
      <c r="L1210" s="473">
        <f t="shared" si="1035"/>
        <v>41.960000000000001</v>
      </c>
      <c r="M1210" s="474">
        <f t="shared" si="1037"/>
        <v>201.40799999999999</v>
      </c>
      <c r="O1210" s="434">
        <f t="shared" si="1033"/>
        <v>41.960000000000001</v>
      </c>
      <c r="P1210" s="435">
        <f t="shared" si="1034"/>
        <v>41.960000000000001</v>
      </c>
      <c r="AE1210" s="217"/>
      <c r="AF1210" s="217">
        <v>1131</v>
      </c>
      <c r="AH1210">
        <f t="shared" si="1022"/>
        <v>1131</v>
      </c>
    </row>
    <row r="1211" ht="30" hidden="1">
      <c r="A1211" s="217"/>
      <c r="B1211" s="217">
        <v>1131</v>
      </c>
      <c r="C1211" s="217"/>
      <c r="D1211" s="217" t="s">
        <v>20408</v>
      </c>
      <c r="E1211" s="471" t="s">
        <v>20671</v>
      </c>
      <c r="F1211" s="564">
        <v>10999</v>
      </c>
      <c r="G1211" s="488" t="s">
        <v>20999</v>
      </c>
      <c r="H1211" s="471" t="s">
        <v>302</v>
      </c>
      <c r="I1211" s="509">
        <v>19.5</v>
      </c>
      <c r="J1211" s="473">
        <f t="shared" si="1029"/>
        <v>32.579999999999998</v>
      </c>
      <c r="K1211" s="474">
        <f t="shared" si="1036"/>
        <v>635.30999999999995</v>
      </c>
      <c r="L1211" s="473">
        <f t="shared" si="1035"/>
        <v>32.579999999999998</v>
      </c>
      <c r="M1211" s="474">
        <f t="shared" si="1037"/>
        <v>635.30999999999995</v>
      </c>
      <c r="O1211" s="434">
        <f t="shared" si="1033"/>
        <v>32.579999999999998</v>
      </c>
      <c r="P1211" s="435">
        <f t="shared" si="1034"/>
        <v>32.579999999999998</v>
      </c>
      <c r="AE1211" s="217"/>
      <c r="AF1211" s="217">
        <v>1131</v>
      </c>
      <c r="AH1211">
        <f t="shared" si="1022"/>
        <v>1131</v>
      </c>
      <c r="AJ1211" s="565">
        <f>0.06*2*2+0.075*2</f>
        <v>0.39000000000000001</v>
      </c>
    </row>
    <row r="1212" ht="19.5" hidden="1" customHeight="1">
      <c r="A1212" s="217"/>
      <c r="B1212" s="217">
        <v>1131</v>
      </c>
      <c r="C1212" s="217"/>
      <c r="D1212" s="217"/>
      <c r="E1212" s="471"/>
      <c r="F1212" s="564"/>
      <c r="G1212" s="488" t="s">
        <v>21000</v>
      </c>
      <c r="H1212" s="471"/>
      <c r="I1212" s="509"/>
      <c r="J1212" s="217"/>
      <c r="K1212" s="473">
        <f>(K1207+K1208+K1209)/100*5</f>
        <v>62.660349999999994</v>
      </c>
      <c r="L1212" s="473"/>
      <c r="M1212" s="474">
        <f>(M1207+M1208+M1209)/100*5</f>
        <v>59.250999999999998</v>
      </c>
      <c r="O1212" s="434" t="str">
        <f t="shared" si="1033"/>
        <v xml:space="preserve">SEM VALOR</v>
      </c>
      <c r="P1212" s="435" t="str">
        <f t="shared" si="1034"/>
        <v xml:space="preserve">SEM VALOR</v>
      </c>
      <c r="AE1212" s="217"/>
      <c r="AF1212" s="217"/>
      <c r="AH1212">
        <f t="shared" si="1022"/>
        <v>0</v>
      </c>
      <c r="AJ1212" s="565"/>
    </row>
    <row r="1213" ht="47.25" hidden="1">
      <c r="A1213" s="460">
        <v>1132</v>
      </c>
      <c r="B1213" s="460">
        <v>1132</v>
      </c>
      <c r="C1213" s="460"/>
      <c r="D1213" s="460"/>
      <c r="E1213" s="461">
        <v>1</v>
      </c>
      <c r="F1213" s="462" t="s">
        <v>21240</v>
      </c>
      <c r="G1213" s="477" t="s">
        <v>21241</v>
      </c>
      <c r="H1213" s="478" t="s">
        <v>20647</v>
      </c>
      <c r="I1213" s="479"/>
      <c r="J1213" s="480"/>
      <c r="K1213" s="466">
        <f>SUM(K1214:K1222)</f>
        <v>11661.863049999998</v>
      </c>
      <c r="L1213" s="480"/>
      <c r="M1213" s="466">
        <f>SUM(M1214:M1222)</f>
        <v>11569.1428</v>
      </c>
      <c r="O1213" s="434" t="str">
        <f t="shared" si="1033"/>
        <v xml:space="preserve">SEM VALOR</v>
      </c>
      <c r="P1213" s="435" t="str">
        <f t="shared" si="1034"/>
        <v xml:space="preserve">SEM VALOR</v>
      </c>
      <c r="AE1213" s="460">
        <v>1132</v>
      </c>
      <c r="AF1213" s="460"/>
      <c r="AH1213">
        <f t="shared" si="1022"/>
        <v>1132</v>
      </c>
      <c r="AJ1213" s="565"/>
    </row>
    <row r="1214" ht="30" hidden="1">
      <c r="A1214" s="217"/>
      <c r="B1214" s="217">
        <v>1132</v>
      </c>
      <c r="C1214" s="217"/>
      <c r="D1214" s="217" t="s">
        <v>20408</v>
      </c>
      <c r="E1214" s="471" t="s">
        <v>20399</v>
      </c>
      <c r="F1214" s="482">
        <v>43082</v>
      </c>
      <c r="G1214" s="488" t="s">
        <v>13739</v>
      </c>
      <c r="H1214" s="471" t="s">
        <v>302</v>
      </c>
      <c r="I1214" s="509">
        <v>782.20000000000005</v>
      </c>
      <c r="J1214" s="473">
        <f t="shared" si="1029"/>
        <v>10</v>
      </c>
      <c r="K1214" s="474">
        <f t="shared" ref="K1214:K1221" si="1038">I1214*J1214</f>
        <v>7822</v>
      </c>
      <c r="L1214" s="473">
        <f t="shared" si="1035"/>
        <v>10</v>
      </c>
      <c r="M1214" s="474">
        <f t="shared" ref="M1214:M1221" si="1039">L1214*I1214</f>
        <v>7822</v>
      </c>
      <c r="O1214" s="434">
        <f t="shared" si="1033"/>
        <v>10</v>
      </c>
      <c r="P1214" s="435">
        <f t="shared" si="1034"/>
        <v>10</v>
      </c>
      <c r="AE1214" s="217"/>
      <c r="AF1214" s="217">
        <v>1132</v>
      </c>
      <c r="AH1214">
        <f t="shared" si="1022"/>
        <v>1132</v>
      </c>
      <c r="AJ1214" s="565"/>
    </row>
    <row r="1215" ht="30" hidden="1">
      <c r="A1215" s="217"/>
      <c r="B1215" s="217">
        <v>1132</v>
      </c>
      <c r="C1215" s="217"/>
      <c r="D1215" s="217" t="s">
        <v>20408</v>
      </c>
      <c r="E1215" s="471" t="s">
        <v>20402</v>
      </c>
      <c r="F1215" s="564">
        <v>546</v>
      </c>
      <c r="G1215" s="488" t="s">
        <v>20997</v>
      </c>
      <c r="H1215" s="471" t="s">
        <v>302</v>
      </c>
      <c r="I1215" s="509">
        <v>100.31999999999999</v>
      </c>
      <c r="J1215" s="473">
        <f t="shared" si="1029"/>
        <v>9.5899999999999999</v>
      </c>
      <c r="K1215" s="474">
        <f t="shared" si="1038"/>
        <v>962.0687999999999</v>
      </c>
      <c r="L1215" s="473">
        <f t="shared" si="1035"/>
        <v>9.5899999999999999</v>
      </c>
      <c r="M1215" s="474">
        <f t="shared" si="1039"/>
        <v>962.0687999999999</v>
      </c>
      <c r="O1215" s="434">
        <f t="shared" si="1033"/>
        <v>9.5899999999999999</v>
      </c>
      <c r="P1215" s="435">
        <f t="shared" si="1034"/>
        <v>9.5899999999999999</v>
      </c>
      <c r="AE1215" s="217"/>
      <c r="AF1215" s="217">
        <v>1132</v>
      </c>
      <c r="AH1215">
        <f t="shared" si="1022"/>
        <v>1132</v>
      </c>
    </row>
    <row r="1216" ht="45" hidden="1">
      <c r="A1216" s="217"/>
      <c r="B1216" s="217">
        <v>1132</v>
      </c>
      <c r="C1216" s="217"/>
      <c r="D1216" s="217" t="s">
        <v>20408</v>
      </c>
      <c r="E1216" s="471" t="s">
        <v>20405</v>
      </c>
      <c r="F1216" s="564">
        <v>43054</v>
      </c>
      <c r="G1216" s="488" t="s">
        <v>10509</v>
      </c>
      <c r="H1216" s="471" t="s">
        <v>302</v>
      </c>
      <c r="I1216" s="509">
        <v>13.359999999999999</v>
      </c>
      <c r="J1216" s="473">
        <f t="shared" si="1029"/>
        <v>8.3599999999999994</v>
      </c>
      <c r="K1216" s="474">
        <f t="shared" si="1038"/>
        <v>111.68959999999998</v>
      </c>
      <c r="L1216" s="473">
        <f t="shared" si="1035"/>
        <v>8.3599999999999994</v>
      </c>
      <c r="M1216" s="474">
        <f t="shared" si="1039"/>
        <v>111.68959999999998</v>
      </c>
      <c r="O1216" s="434">
        <f t="shared" si="1033"/>
        <v>8.3599999999999994</v>
      </c>
      <c r="P1216" s="435">
        <f t="shared" si="1034"/>
        <v>8.3599999999999994</v>
      </c>
      <c r="AE1216" s="217"/>
      <c r="AF1216" s="217">
        <v>1132</v>
      </c>
      <c r="AH1216">
        <f t="shared" si="1022"/>
        <v>1132</v>
      </c>
    </row>
    <row r="1217" ht="30" hidden="1">
      <c r="A1217" s="217"/>
      <c r="B1217" s="217">
        <v>1132</v>
      </c>
      <c r="C1217" s="217"/>
      <c r="D1217" s="217" t="s">
        <v>17167</v>
      </c>
      <c r="E1217" s="471" t="s">
        <v>20409</v>
      </c>
      <c r="F1217" s="564">
        <v>88317</v>
      </c>
      <c r="G1217" s="488" t="s">
        <v>7396</v>
      </c>
      <c r="H1217" s="471" t="s">
        <v>2032</v>
      </c>
      <c r="I1217" s="509">
        <v>26</v>
      </c>
      <c r="J1217" s="473">
        <f t="shared" si="1029"/>
        <v>29.559999999999999</v>
      </c>
      <c r="K1217" s="474">
        <f t="shared" si="1038"/>
        <v>768.55999999999995</v>
      </c>
      <c r="L1217" s="473">
        <f t="shared" si="1035"/>
        <v>27.949999999999999</v>
      </c>
      <c r="M1217" s="474">
        <f t="shared" si="1039"/>
        <v>726.69999999999993</v>
      </c>
      <c r="O1217" s="434">
        <f t="shared" si="1033"/>
        <v>29.559999999999999</v>
      </c>
      <c r="P1217" s="435">
        <f t="shared" si="1034"/>
        <v>27.949999999999999</v>
      </c>
      <c r="AE1217" s="217"/>
      <c r="AF1217" s="217">
        <v>1132</v>
      </c>
      <c r="AH1217">
        <f t="shared" si="1022"/>
        <v>1132</v>
      </c>
    </row>
    <row r="1218" ht="30" hidden="1">
      <c r="A1218" s="217"/>
      <c r="B1218" s="217">
        <v>1132</v>
      </c>
      <c r="C1218" s="217"/>
      <c r="D1218" s="217" t="s">
        <v>17167</v>
      </c>
      <c r="E1218" s="471" t="s">
        <v>20663</v>
      </c>
      <c r="F1218" s="564">
        <v>88239</v>
      </c>
      <c r="G1218" s="488" t="s">
        <v>20696</v>
      </c>
      <c r="H1218" s="471" t="s">
        <v>2032</v>
      </c>
      <c r="I1218" s="509">
        <v>26</v>
      </c>
      <c r="J1218" s="473">
        <f t="shared" si="1029"/>
        <v>22.98</v>
      </c>
      <c r="K1218" s="474">
        <f t="shared" si="1038"/>
        <v>597.48000000000002</v>
      </c>
      <c r="L1218" s="473">
        <f t="shared" si="1035"/>
        <v>21.719999999999999</v>
      </c>
      <c r="M1218" s="474">
        <f t="shared" si="1039"/>
        <v>564.72000000000003</v>
      </c>
      <c r="O1218" s="434">
        <f t="shared" si="1033"/>
        <v>22.98</v>
      </c>
      <c r="P1218" s="435">
        <f t="shared" si="1034"/>
        <v>21.719999999999999</v>
      </c>
      <c r="AE1218" s="217"/>
      <c r="AF1218" s="217">
        <v>1132</v>
      </c>
      <c r="AH1218">
        <f t="shared" si="1022"/>
        <v>1132</v>
      </c>
    </row>
    <row r="1219" ht="30" hidden="1">
      <c r="A1219" s="217"/>
      <c r="B1219" s="217">
        <v>1132</v>
      </c>
      <c r="C1219" s="217"/>
      <c r="D1219" s="217" t="s">
        <v>17167</v>
      </c>
      <c r="E1219" s="471" t="s">
        <v>20665</v>
      </c>
      <c r="F1219" s="564">
        <v>88310</v>
      </c>
      <c r="G1219" s="488" t="s">
        <v>7386</v>
      </c>
      <c r="H1219" s="471" t="s">
        <v>2032</v>
      </c>
      <c r="I1219" s="509">
        <v>8.5</v>
      </c>
      <c r="J1219" s="473">
        <f t="shared" si="1029"/>
        <v>30.210000000000001</v>
      </c>
      <c r="K1219" s="474">
        <f t="shared" si="1038"/>
        <v>256.78500000000003</v>
      </c>
      <c r="L1219" s="473">
        <f t="shared" si="1035"/>
        <v>28.600000000000001</v>
      </c>
      <c r="M1219" s="474">
        <f t="shared" si="1039"/>
        <v>243.10000000000002</v>
      </c>
      <c r="O1219" s="434">
        <f t="shared" si="1033"/>
        <v>30.210000000000001</v>
      </c>
      <c r="P1219" s="435">
        <f t="shared" si="1034"/>
        <v>28.600000000000001</v>
      </c>
      <c r="AE1219" s="217"/>
      <c r="AF1219" s="217">
        <v>1132</v>
      </c>
      <c r="AH1219">
        <f t="shared" si="1022"/>
        <v>1132</v>
      </c>
    </row>
    <row r="1220" ht="30" hidden="1">
      <c r="A1220" s="217"/>
      <c r="B1220" s="217">
        <v>1132</v>
      </c>
      <c r="C1220" s="217"/>
      <c r="D1220" s="217" t="s">
        <v>20408</v>
      </c>
      <c r="E1220" s="471" t="s">
        <v>20667</v>
      </c>
      <c r="F1220" s="564">
        <v>7307</v>
      </c>
      <c r="G1220" s="488" t="s">
        <v>20998</v>
      </c>
      <c r="H1220" s="471" t="s">
        <v>9794</v>
      </c>
      <c r="I1220" s="509">
        <v>6.29</v>
      </c>
      <c r="J1220" s="473">
        <f t="shared" si="1029"/>
        <v>41.960000000000001</v>
      </c>
      <c r="K1220" s="474">
        <f t="shared" si="1038"/>
        <v>263.92840000000001</v>
      </c>
      <c r="L1220" s="473">
        <f t="shared" si="1035"/>
        <v>41.960000000000001</v>
      </c>
      <c r="M1220" s="474">
        <f t="shared" si="1039"/>
        <v>263.92840000000001</v>
      </c>
      <c r="O1220" s="434">
        <f t="shared" si="1033"/>
        <v>41.960000000000001</v>
      </c>
      <c r="P1220" s="435">
        <f t="shared" si="1034"/>
        <v>41.960000000000001</v>
      </c>
      <c r="AE1220" s="217"/>
      <c r="AF1220" s="217">
        <v>1132</v>
      </c>
      <c r="AH1220">
        <f t="shared" si="1022"/>
        <v>1132</v>
      </c>
    </row>
    <row r="1221" ht="30" hidden="1">
      <c r="A1221" s="217"/>
      <c r="B1221" s="217">
        <v>1132</v>
      </c>
      <c r="C1221" s="217"/>
      <c r="D1221" s="217" t="s">
        <v>20408</v>
      </c>
      <c r="E1221" s="471" t="s">
        <v>20671</v>
      </c>
      <c r="F1221" s="564">
        <v>10999</v>
      </c>
      <c r="G1221" s="488" t="s">
        <v>20999</v>
      </c>
      <c r="H1221" s="471" t="s">
        <v>302</v>
      </c>
      <c r="I1221" s="509">
        <v>24.5</v>
      </c>
      <c r="J1221" s="473">
        <f t="shared" si="1029"/>
        <v>32.579999999999998</v>
      </c>
      <c r="K1221" s="474">
        <f t="shared" si="1038"/>
        <v>798.20999999999992</v>
      </c>
      <c r="L1221" s="473">
        <f t="shared" si="1035"/>
        <v>32.579999999999998</v>
      </c>
      <c r="M1221" s="474">
        <f t="shared" si="1039"/>
        <v>798.20999999999992</v>
      </c>
      <c r="O1221" s="434">
        <f t="shared" si="1033"/>
        <v>32.579999999999998</v>
      </c>
      <c r="P1221" s="435">
        <f t="shared" si="1034"/>
        <v>32.579999999999998</v>
      </c>
      <c r="AE1221" s="217"/>
      <c r="AF1221" s="217">
        <v>1132</v>
      </c>
      <c r="AH1221">
        <f t="shared" si="1022"/>
        <v>1132</v>
      </c>
    </row>
    <row r="1222" hidden="1">
      <c r="A1222" s="217"/>
      <c r="B1222" s="217">
        <v>1132</v>
      </c>
      <c r="C1222" s="217"/>
      <c r="D1222" s="217"/>
      <c r="E1222" s="471"/>
      <c r="F1222" s="564"/>
      <c r="G1222" s="488" t="s">
        <v>21000</v>
      </c>
      <c r="H1222" s="471"/>
      <c r="I1222" s="509"/>
      <c r="J1222" s="217"/>
      <c r="K1222" s="473">
        <f>(K1217+K1218+K1219)/100*5</f>
        <v>81.141249999999999</v>
      </c>
      <c r="L1222" s="473"/>
      <c r="M1222" s="474">
        <f>(M1217+M1218+M1219)/100*5</f>
        <v>76.725999999999999</v>
      </c>
      <c r="O1222" s="434" t="str">
        <f t="shared" si="1033"/>
        <v xml:space="preserve">SEM VALOR</v>
      </c>
      <c r="P1222" s="435" t="str">
        <f t="shared" si="1034"/>
        <v xml:space="preserve">SEM VALOR</v>
      </c>
      <c r="AE1222" s="217"/>
      <c r="AF1222" s="217"/>
      <c r="AH1222">
        <f t="shared" si="1022"/>
        <v>0</v>
      </c>
    </row>
    <row r="1223" ht="47.25" hidden="1">
      <c r="A1223" s="460">
        <v>1133</v>
      </c>
      <c r="B1223" s="460">
        <v>1133</v>
      </c>
      <c r="C1223" s="460"/>
      <c r="D1223" s="460"/>
      <c r="E1223" s="461">
        <v>1</v>
      </c>
      <c r="F1223" s="462" t="s">
        <v>21242</v>
      </c>
      <c r="G1223" s="477" t="s">
        <v>21243</v>
      </c>
      <c r="H1223" s="478" t="s">
        <v>20647</v>
      </c>
      <c r="I1223" s="479"/>
      <c r="J1223" s="480"/>
      <c r="K1223" s="466">
        <f>SUM(K1224:K1232)</f>
        <v>11794.063049999999</v>
      </c>
      <c r="L1223" s="480"/>
      <c r="M1223" s="466">
        <f>SUM(M1224:M1232)</f>
        <v>11701.3428</v>
      </c>
      <c r="O1223" s="434" t="str">
        <f t="shared" si="1033"/>
        <v xml:space="preserve">SEM VALOR</v>
      </c>
      <c r="P1223" s="435" t="str">
        <f t="shared" si="1034"/>
        <v xml:space="preserve">SEM VALOR</v>
      </c>
      <c r="AE1223" s="460">
        <v>1133</v>
      </c>
      <c r="AF1223" s="460"/>
      <c r="AH1223">
        <f t="shared" ref="AH1223:AH1286" si="1040">IF(AF1223:AF1224=FALSE,AE1223,AF1223)</f>
        <v>1133</v>
      </c>
    </row>
    <row r="1224" ht="30" hidden="1">
      <c r="A1224" s="217"/>
      <c r="B1224" s="217">
        <v>1133</v>
      </c>
      <c r="C1224" s="217"/>
      <c r="D1224" s="217" t="s">
        <v>20408</v>
      </c>
      <c r="E1224" s="471" t="s">
        <v>20399</v>
      </c>
      <c r="F1224" s="482">
        <v>43082</v>
      </c>
      <c r="G1224" s="488" t="s">
        <v>13739</v>
      </c>
      <c r="H1224" s="471" t="s">
        <v>302</v>
      </c>
      <c r="I1224" s="509">
        <v>795.41999999999996</v>
      </c>
      <c r="J1224" s="473">
        <f t="shared" si="1029"/>
        <v>10</v>
      </c>
      <c r="K1224" s="474">
        <f t="shared" ref="K1224:K1231" si="1041">I1224*J1224</f>
        <v>7954.1999999999998</v>
      </c>
      <c r="L1224" s="473">
        <f t="shared" si="1035"/>
        <v>10</v>
      </c>
      <c r="M1224" s="474">
        <f t="shared" ref="M1224:M1231" si="1042">L1224*I1224</f>
        <v>7954.1999999999998</v>
      </c>
      <c r="O1224" s="434">
        <f t="shared" si="1033"/>
        <v>10</v>
      </c>
      <c r="P1224" s="435">
        <f t="shared" si="1034"/>
        <v>10</v>
      </c>
      <c r="AE1224" s="217"/>
      <c r="AF1224" s="217">
        <v>1133</v>
      </c>
      <c r="AH1224">
        <f t="shared" si="1040"/>
        <v>1133</v>
      </c>
    </row>
    <row r="1225" ht="30" hidden="1">
      <c r="A1225" s="217"/>
      <c r="B1225" s="217">
        <v>1133</v>
      </c>
      <c r="C1225" s="217"/>
      <c r="D1225" s="217" t="s">
        <v>20408</v>
      </c>
      <c r="E1225" s="471" t="s">
        <v>20402</v>
      </c>
      <c r="F1225" s="564">
        <v>546</v>
      </c>
      <c r="G1225" s="488" t="s">
        <v>20997</v>
      </c>
      <c r="H1225" s="471" t="s">
        <v>302</v>
      </c>
      <c r="I1225" s="509">
        <v>100.31999999999999</v>
      </c>
      <c r="J1225" s="473">
        <f t="shared" si="1029"/>
        <v>9.5899999999999999</v>
      </c>
      <c r="K1225" s="474">
        <f t="shared" si="1041"/>
        <v>962.0687999999999</v>
      </c>
      <c r="L1225" s="473">
        <f t="shared" si="1035"/>
        <v>9.5899999999999999</v>
      </c>
      <c r="M1225" s="474">
        <f t="shared" si="1042"/>
        <v>962.0687999999999</v>
      </c>
      <c r="O1225" s="434">
        <f t="shared" si="1033"/>
        <v>9.5899999999999999</v>
      </c>
      <c r="P1225" s="435">
        <f t="shared" si="1034"/>
        <v>9.5899999999999999</v>
      </c>
      <c r="AE1225" s="217"/>
      <c r="AF1225" s="217">
        <v>1133</v>
      </c>
      <c r="AH1225">
        <f t="shared" si="1040"/>
        <v>1133</v>
      </c>
    </row>
    <row r="1226" ht="45" hidden="1">
      <c r="A1226" s="217"/>
      <c r="B1226" s="217">
        <v>1133</v>
      </c>
      <c r="C1226" s="217"/>
      <c r="D1226" s="217" t="s">
        <v>20408</v>
      </c>
      <c r="E1226" s="471" t="s">
        <v>20405</v>
      </c>
      <c r="F1226" s="564">
        <v>43054</v>
      </c>
      <c r="G1226" s="488" t="s">
        <v>10509</v>
      </c>
      <c r="H1226" s="471" t="s">
        <v>302</v>
      </c>
      <c r="I1226" s="509">
        <v>13.359999999999999</v>
      </c>
      <c r="J1226" s="473">
        <f t="shared" si="1029"/>
        <v>8.3599999999999994</v>
      </c>
      <c r="K1226" s="474">
        <f t="shared" si="1041"/>
        <v>111.68959999999998</v>
      </c>
      <c r="L1226" s="473">
        <f t="shared" si="1035"/>
        <v>8.3599999999999994</v>
      </c>
      <c r="M1226" s="474">
        <f t="shared" si="1042"/>
        <v>111.68959999999998</v>
      </c>
      <c r="O1226" s="434">
        <f t="shared" si="1033"/>
        <v>8.3599999999999994</v>
      </c>
      <c r="P1226" s="435">
        <f t="shared" si="1034"/>
        <v>8.3599999999999994</v>
      </c>
      <c r="AE1226" s="217"/>
      <c r="AF1226" s="217">
        <v>1133</v>
      </c>
      <c r="AH1226">
        <f t="shared" si="1040"/>
        <v>1133</v>
      </c>
    </row>
    <row r="1227" ht="30" hidden="1">
      <c r="A1227" s="217"/>
      <c r="B1227" s="217">
        <v>1133</v>
      </c>
      <c r="C1227" s="217"/>
      <c r="D1227" s="217" t="s">
        <v>17167</v>
      </c>
      <c r="E1227" s="471" t="s">
        <v>20409</v>
      </c>
      <c r="F1227" s="564">
        <v>88317</v>
      </c>
      <c r="G1227" s="488" t="s">
        <v>7396</v>
      </c>
      <c r="H1227" s="471" t="s">
        <v>2032</v>
      </c>
      <c r="I1227" s="509">
        <v>26</v>
      </c>
      <c r="J1227" s="473">
        <f t="shared" si="1029"/>
        <v>29.559999999999999</v>
      </c>
      <c r="K1227" s="474">
        <f t="shared" si="1041"/>
        <v>768.55999999999995</v>
      </c>
      <c r="L1227" s="473">
        <f t="shared" si="1035"/>
        <v>27.949999999999999</v>
      </c>
      <c r="M1227" s="474">
        <f t="shared" si="1042"/>
        <v>726.69999999999993</v>
      </c>
      <c r="O1227" s="434">
        <f t="shared" si="1033"/>
        <v>29.559999999999999</v>
      </c>
      <c r="P1227" s="435">
        <f t="shared" si="1034"/>
        <v>27.949999999999999</v>
      </c>
      <c r="AE1227" s="217"/>
      <c r="AF1227" s="217">
        <v>1133</v>
      </c>
      <c r="AH1227">
        <f t="shared" si="1040"/>
        <v>1133</v>
      </c>
    </row>
    <row r="1228" ht="30" hidden="1">
      <c r="A1228" s="217"/>
      <c r="B1228" s="217">
        <v>1133</v>
      </c>
      <c r="C1228" s="217"/>
      <c r="D1228" s="217" t="s">
        <v>17167</v>
      </c>
      <c r="E1228" s="471" t="s">
        <v>20663</v>
      </c>
      <c r="F1228" s="564">
        <v>88239</v>
      </c>
      <c r="G1228" s="488" t="s">
        <v>20696</v>
      </c>
      <c r="H1228" s="471" t="s">
        <v>2032</v>
      </c>
      <c r="I1228" s="509">
        <v>26</v>
      </c>
      <c r="J1228" s="473">
        <f t="shared" si="1029"/>
        <v>22.98</v>
      </c>
      <c r="K1228" s="474">
        <f t="shared" si="1041"/>
        <v>597.48000000000002</v>
      </c>
      <c r="L1228" s="473">
        <f t="shared" si="1035"/>
        <v>21.719999999999999</v>
      </c>
      <c r="M1228" s="474">
        <f t="shared" si="1042"/>
        <v>564.72000000000003</v>
      </c>
      <c r="O1228" s="434">
        <f t="shared" si="1033"/>
        <v>22.98</v>
      </c>
      <c r="P1228" s="435">
        <f t="shared" si="1034"/>
        <v>21.719999999999999</v>
      </c>
      <c r="AE1228" s="217"/>
      <c r="AF1228" s="217">
        <v>1133</v>
      </c>
      <c r="AH1228">
        <f t="shared" si="1040"/>
        <v>1133</v>
      </c>
    </row>
    <row r="1229" ht="30" hidden="1">
      <c r="A1229" s="217"/>
      <c r="B1229" s="217">
        <v>1133</v>
      </c>
      <c r="C1229" s="217"/>
      <c r="D1229" s="217" t="s">
        <v>17167</v>
      </c>
      <c r="E1229" s="471" t="s">
        <v>20665</v>
      </c>
      <c r="F1229" s="564">
        <v>88310</v>
      </c>
      <c r="G1229" s="488" t="s">
        <v>7386</v>
      </c>
      <c r="H1229" s="471" t="s">
        <v>2032</v>
      </c>
      <c r="I1229" s="509">
        <v>8.5</v>
      </c>
      <c r="J1229" s="473">
        <f t="shared" si="1029"/>
        <v>30.210000000000001</v>
      </c>
      <c r="K1229" s="474">
        <f t="shared" si="1041"/>
        <v>256.78500000000003</v>
      </c>
      <c r="L1229" s="473">
        <f t="shared" si="1035"/>
        <v>28.600000000000001</v>
      </c>
      <c r="M1229" s="474">
        <f t="shared" si="1042"/>
        <v>243.10000000000002</v>
      </c>
      <c r="O1229" s="434">
        <f t="shared" si="1033"/>
        <v>30.210000000000001</v>
      </c>
      <c r="P1229" s="435">
        <f t="shared" si="1034"/>
        <v>28.600000000000001</v>
      </c>
      <c r="AE1229" s="217"/>
      <c r="AF1229" s="217">
        <v>1133</v>
      </c>
      <c r="AH1229">
        <f t="shared" si="1040"/>
        <v>1133</v>
      </c>
    </row>
    <row r="1230" ht="30" hidden="1">
      <c r="A1230" s="217"/>
      <c r="B1230" s="217">
        <v>1133</v>
      </c>
      <c r="C1230" s="217"/>
      <c r="D1230" s="217" t="s">
        <v>20408</v>
      </c>
      <c r="E1230" s="471" t="s">
        <v>20667</v>
      </c>
      <c r="F1230" s="564">
        <v>7307</v>
      </c>
      <c r="G1230" s="488" t="s">
        <v>20998</v>
      </c>
      <c r="H1230" s="471" t="s">
        <v>9794</v>
      </c>
      <c r="I1230" s="509">
        <v>6.29</v>
      </c>
      <c r="J1230" s="473">
        <f t="shared" si="1029"/>
        <v>41.960000000000001</v>
      </c>
      <c r="K1230" s="474">
        <f t="shared" si="1041"/>
        <v>263.92840000000001</v>
      </c>
      <c r="L1230" s="473">
        <f t="shared" si="1035"/>
        <v>41.960000000000001</v>
      </c>
      <c r="M1230" s="474">
        <f t="shared" si="1042"/>
        <v>263.92840000000001</v>
      </c>
      <c r="O1230" s="434">
        <f t="shared" si="1033"/>
        <v>41.960000000000001</v>
      </c>
      <c r="P1230" s="435">
        <f t="shared" si="1034"/>
        <v>41.960000000000001</v>
      </c>
      <c r="AE1230" s="217"/>
      <c r="AF1230" s="217">
        <v>1133</v>
      </c>
      <c r="AH1230">
        <f t="shared" si="1040"/>
        <v>1133</v>
      </c>
    </row>
    <row r="1231" ht="30" hidden="1">
      <c r="A1231" s="217"/>
      <c r="B1231" s="217">
        <v>1133</v>
      </c>
      <c r="C1231" s="217"/>
      <c r="D1231" s="217" t="s">
        <v>20408</v>
      </c>
      <c r="E1231" s="471" t="s">
        <v>20671</v>
      </c>
      <c r="F1231" s="564">
        <v>10999</v>
      </c>
      <c r="G1231" s="488" t="s">
        <v>20999</v>
      </c>
      <c r="H1231" s="471" t="s">
        <v>302</v>
      </c>
      <c r="I1231" s="509">
        <v>24.5</v>
      </c>
      <c r="J1231" s="473">
        <f t="shared" si="1029"/>
        <v>32.579999999999998</v>
      </c>
      <c r="K1231" s="474">
        <f t="shared" si="1041"/>
        <v>798.20999999999992</v>
      </c>
      <c r="L1231" s="473">
        <f t="shared" si="1035"/>
        <v>32.579999999999998</v>
      </c>
      <c r="M1231" s="474">
        <f t="shared" si="1042"/>
        <v>798.20999999999992</v>
      </c>
      <c r="O1231" s="434">
        <f t="shared" si="1033"/>
        <v>32.579999999999998</v>
      </c>
      <c r="P1231" s="435">
        <f t="shared" si="1034"/>
        <v>32.579999999999998</v>
      </c>
      <c r="AE1231" s="217"/>
      <c r="AF1231" s="217">
        <v>1133</v>
      </c>
      <c r="AH1231">
        <f t="shared" si="1040"/>
        <v>1133</v>
      </c>
    </row>
    <row r="1232" hidden="1">
      <c r="A1232" s="217"/>
      <c r="B1232" s="217">
        <v>1133</v>
      </c>
      <c r="C1232" s="217"/>
      <c r="D1232" s="217"/>
      <c r="E1232" s="471"/>
      <c r="F1232" s="564"/>
      <c r="G1232" s="488" t="s">
        <v>21000</v>
      </c>
      <c r="H1232" s="471"/>
      <c r="I1232" s="509"/>
      <c r="J1232" s="217"/>
      <c r="K1232" s="473">
        <f>(K1227+K1228+K1229)/100*5</f>
        <v>81.141249999999999</v>
      </c>
      <c r="L1232" s="473"/>
      <c r="M1232" s="474">
        <f>(M1227+M1228+M1229)/100*5</f>
        <v>76.725999999999999</v>
      </c>
      <c r="O1232" s="434" t="str">
        <f t="shared" si="1033"/>
        <v xml:space="preserve">SEM VALOR</v>
      </c>
      <c r="P1232" s="435" t="str">
        <f t="shared" si="1034"/>
        <v xml:space="preserve">SEM VALOR</v>
      </c>
      <c r="AE1232" s="217"/>
      <c r="AF1232" s="217"/>
      <c r="AH1232">
        <f t="shared" si="1040"/>
        <v>0</v>
      </c>
    </row>
    <row r="1233" ht="63" hidden="1">
      <c r="A1233" s="460">
        <v>1134</v>
      </c>
      <c r="B1233" s="460">
        <v>1134</v>
      </c>
      <c r="C1233" s="460"/>
      <c r="D1233" s="460"/>
      <c r="E1233" s="461">
        <v>1</v>
      </c>
      <c r="F1233" s="462" t="s">
        <v>21244</v>
      </c>
      <c r="G1233" s="477" t="s">
        <v>21245</v>
      </c>
      <c r="H1233" s="478" t="s">
        <v>38</v>
      </c>
      <c r="I1233" s="479"/>
      <c r="J1233" s="480"/>
      <c r="K1233" s="466">
        <f>SUM(K1234:K1242)</f>
        <v>74.308243000000004</v>
      </c>
      <c r="L1233" s="480"/>
      <c r="M1233" s="466">
        <f>SUM(M1234:M1242)</f>
        <v>73.653283500000015</v>
      </c>
      <c r="N1233" s="467" t="s">
        <v>21246</v>
      </c>
      <c r="O1233" s="434" t="str">
        <f t="shared" si="1033"/>
        <v xml:space="preserve">SEM VALOR</v>
      </c>
      <c r="P1233" s="435" t="str">
        <f t="shared" si="1034"/>
        <v xml:space="preserve">SEM VALOR</v>
      </c>
      <c r="AE1233" s="460">
        <v>1134</v>
      </c>
      <c r="AF1233" s="460"/>
      <c r="AH1233">
        <f t="shared" si="1040"/>
        <v>1134</v>
      </c>
    </row>
    <row r="1234" ht="150" hidden="1">
      <c r="A1234" s="217"/>
      <c r="B1234" s="217">
        <v>1134</v>
      </c>
      <c r="C1234" s="217"/>
      <c r="D1234" s="217" t="s">
        <v>17167</v>
      </c>
      <c r="E1234" s="471" t="s">
        <v>20399</v>
      </c>
      <c r="F1234" s="489">
        <v>90105</v>
      </c>
      <c r="G1234" s="470" t="s">
        <v>20721</v>
      </c>
      <c r="H1234" s="471" t="s">
        <v>15528</v>
      </c>
      <c r="I1234" s="509">
        <f>0.2*1*0.6</f>
        <v>0.12</v>
      </c>
      <c r="J1234" s="473">
        <f t="shared" si="1029"/>
        <v>9.4800000000000004</v>
      </c>
      <c r="K1234" s="474">
        <f t="shared" ref="K1234:K1242" si="1043">I1234*J1234</f>
        <v>1.1375999999999999</v>
      </c>
      <c r="L1234" s="473">
        <f t="shared" si="1035"/>
        <v>9.2400000000000002</v>
      </c>
      <c r="M1234" s="474">
        <f t="shared" ref="M1234:M1242" si="1044">L1234*I1234</f>
        <v>1.1088</v>
      </c>
      <c r="O1234" s="434">
        <f t="shared" si="1033"/>
        <v>9.4800000000000004</v>
      </c>
      <c r="P1234" s="435">
        <f t="shared" si="1034"/>
        <v>9.2400000000000002</v>
      </c>
      <c r="AE1234" s="217"/>
      <c r="AF1234" s="217">
        <v>1134</v>
      </c>
      <c r="AH1234">
        <f t="shared" si="1040"/>
        <v>1134</v>
      </c>
    </row>
    <row r="1235" ht="60" hidden="1">
      <c r="A1235" s="217"/>
      <c r="B1235" s="217">
        <v>1134</v>
      </c>
      <c r="C1235" s="217"/>
      <c r="D1235" s="217" t="s">
        <v>17167</v>
      </c>
      <c r="E1235" s="471" t="s">
        <v>20402</v>
      </c>
      <c r="F1235" s="489">
        <v>95875</v>
      </c>
      <c r="G1235" s="470" t="s">
        <v>20668</v>
      </c>
      <c r="H1235" s="471" t="s">
        <v>20669</v>
      </c>
      <c r="I1235" s="483">
        <f>I1234*5</f>
        <v>0.59999999999999998</v>
      </c>
      <c r="J1235" s="473">
        <f t="shared" si="1029"/>
        <v>2.7599999999999998</v>
      </c>
      <c r="K1235" s="474">
        <f t="shared" si="1043"/>
        <v>1.6559999999999999</v>
      </c>
      <c r="L1235" s="473">
        <f t="shared" si="1035"/>
        <v>2.73</v>
      </c>
      <c r="M1235" s="474">
        <f t="shared" si="1044"/>
        <v>1.6379999999999999</v>
      </c>
      <c r="O1235" s="434">
        <f t="shared" si="1033"/>
        <v>2.7599999999999998</v>
      </c>
      <c r="P1235" s="435">
        <f t="shared" si="1034"/>
        <v>2.73</v>
      </c>
      <c r="AE1235" s="217"/>
      <c r="AF1235" s="217">
        <v>1134</v>
      </c>
      <c r="AH1235">
        <f t="shared" si="1040"/>
        <v>1134</v>
      </c>
    </row>
    <row r="1236" ht="45" hidden="1">
      <c r="A1236" s="217"/>
      <c r="B1236" s="217">
        <v>1134</v>
      </c>
      <c r="C1236" s="217"/>
      <c r="D1236" s="217" t="s">
        <v>17167</v>
      </c>
      <c r="E1236" s="471" t="s">
        <v>20405</v>
      </c>
      <c r="F1236" s="489">
        <v>93382</v>
      </c>
      <c r="G1236" s="470" t="s">
        <v>20722</v>
      </c>
      <c r="H1236" s="471" t="s">
        <v>15528</v>
      </c>
      <c r="I1236" s="483">
        <f>I1234-0.00785</f>
        <v>0.11215</v>
      </c>
      <c r="J1236" s="473">
        <f t="shared" si="1029"/>
        <v>27.52</v>
      </c>
      <c r="K1236" s="474">
        <f t="shared" si="1043"/>
        <v>3.0863679999999998</v>
      </c>
      <c r="L1236" s="473">
        <f t="shared" si="1035"/>
        <v>26.190000000000001</v>
      </c>
      <c r="M1236" s="474">
        <f t="shared" si="1044"/>
        <v>2.9372085000000001</v>
      </c>
      <c r="O1236" s="434">
        <f t="shared" si="1033"/>
        <v>27.52</v>
      </c>
      <c r="P1236" s="435">
        <f t="shared" si="1034"/>
        <v>26.190000000000001</v>
      </c>
      <c r="AE1236" s="217"/>
      <c r="AF1236" s="217">
        <v>1134</v>
      </c>
      <c r="AH1236">
        <f t="shared" si="1040"/>
        <v>1134</v>
      </c>
    </row>
    <row r="1237" ht="30" hidden="1">
      <c r="A1237" s="217"/>
      <c r="B1237" s="217">
        <v>1134</v>
      </c>
      <c r="C1237" s="217"/>
      <c r="D1237" s="217" t="s">
        <v>17167</v>
      </c>
      <c r="E1237" s="471" t="s">
        <v>20409</v>
      </c>
      <c r="F1237" s="482">
        <v>88309</v>
      </c>
      <c r="G1237" s="470" t="s">
        <v>7385</v>
      </c>
      <c r="H1237" s="471" t="s">
        <v>2032</v>
      </c>
      <c r="I1237" s="509">
        <f>1/10</f>
        <v>0.10000000000000001</v>
      </c>
      <c r="J1237" s="473">
        <f t="shared" si="1029"/>
        <v>28.5</v>
      </c>
      <c r="K1237" s="474">
        <f t="shared" si="1043"/>
        <v>2.8500000000000001</v>
      </c>
      <c r="L1237" s="473">
        <f t="shared" si="1035"/>
        <v>26.870000000000001</v>
      </c>
      <c r="M1237" s="474">
        <f t="shared" si="1044"/>
        <v>2.6870000000000003</v>
      </c>
      <c r="O1237" s="434">
        <f t="shared" si="1033"/>
        <v>28.5</v>
      </c>
      <c r="P1237" s="435">
        <f t="shared" si="1034"/>
        <v>26.870000000000001</v>
      </c>
      <c r="AE1237" s="217"/>
      <c r="AF1237" s="217">
        <v>1134</v>
      </c>
      <c r="AH1237">
        <f t="shared" si="1040"/>
        <v>1134</v>
      </c>
    </row>
    <row r="1238" ht="30" hidden="1">
      <c r="A1238" s="217"/>
      <c r="B1238" s="217">
        <v>1134</v>
      </c>
      <c r="C1238" s="217"/>
      <c r="D1238" s="217" t="s">
        <v>17167</v>
      </c>
      <c r="E1238" s="471" t="s">
        <v>20663</v>
      </c>
      <c r="F1238" s="482">
        <v>88316</v>
      </c>
      <c r="G1238" s="470" t="s">
        <v>7393</v>
      </c>
      <c r="H1238" s="471" t="s">
        <v>2032</v>
      </c>
      <c r="I1238" s="509">
        <f>2/10</f>
        <v>0.20000000000000001</v>
      </c>
      <c r="J1238" s="473">
        <f t="shared" si="1029"/>
        <v>22.760000000000002</v>
      </c>
      <c r="K1238" s="474">
        <f t="shared" si="1043"/>
        <v>4.5520000000000005</v>
      </c>
      <c r="L1238" s="473">
        <f t="shared" si="1035"/>
        <v>21.550000000000001</v>
      </c>
      <c r="M1238" s="474">
        <f t="shared" si="1044"/>
        <v>4.3100000000000005</v>
      </c>
      <c r="O1238" s="434">
        <f t="shared" si="1033"/>
        <v>22.760000000000002</v>
      </c>
      <c r="P1238" s="435">
        <f t="shared" si="1034"/>
        <v>21.550000000000001</v>
      </c>
      <c r="AE1238" s="217"/>
      <c r="AF1238" s="217">
        <v>1134</v>
      </c>
      <c r="AH1238">
        <f t="shared" si="1040"/>
        <v>1134</v>
      </c>
    </row>
    <row r="1239" ht="45" hidden="1">
      <c r="A1239" s="217"/>
      <c r="B1239" s="217">
        <v>1134</v>
      </c>
      <c r="C1239" s="217"/>
      <c r="D1239" s="217" t="s">
        <v>20408</v>
      </c>
      <c r="E1239" s="471" t="s">
        <v>20665</v>
      </c>
      <c r="F1239" s="482">
        <v>370</v>
      </c>
      <c r="G1239" s="470" t="s">
        <v>10767</v>
      </c>
      <c r="H1239" s="471" t="s">
        <v>15528</v>
      </c>
      <c r="I1239" s="509">
        <f>0.2*1*0.6</f>
        <v>0.12</v>
      </c>
      <c r="J1239" s="473">
        <f t="shared" si="1029"/>
        <v>76</v>
      </c>
      <c r="K1239" s="474">
        <f t="shared" si="1043"/>
        <v>9.1199999999999992</v>
      </c>
      <c r="L1239" s="473">
        <f t="shared" si="1035"/>
        <v>76</v>
      </c>
      <c r="M1239" s="474">
        <f t="shared" si="1044"/>
        <v>9.1199999999999992</v>
      </c>
      <c r="O1239" s="434">
        <f t="shared" si="1033"/>
        <v>76</v>
      </c>
      <c r="P1239" s="435">
        <f t="shared" si="1034"/>
        <v>76</v>
      </c>
      <c r="AE1239" s="217"/>
      <c r="AF1239" s="217">
        <v>1134</v>
      </c>
      <c r="AH1239">
        <f t="shared" si="1040"/>
        <v>1134</v>
      </c>
    </row>
    <row r="1240" ht="60" hidden="1">
      <c r="A1240" s="217"/>
      <c r="B1240" s="217">
        <v>1134</v>
      </c>
      <c r="C1240" s="217"/>
      <c r="D1240" s="217" t="s">
        <v>17167</v>
      </c>
      <c r="E1240" s="471" t="s">
        <v>20667</v>
      </c>
      <c r="F1240" s="489">
        <v>95875</v>
      </c>
      <c r="G1240" s="470" t="s">
        <v>20668</v>
      </c>
      <c r="H1240" s="471" t="s">
        <v>20669</v>
      </c>
      <c r="I1240" s="509">
        <f>I1239*15</f>
        <v>1.8</v>
      </c>
      <c r="J1240" s="473">
        <f t="shared" si="1029"/>
        <v>2.7599999999999998</v>
      </c>
      <c r="K1240" s="474">
        <f t="shared" si="1043"/>
        <v>4.968</v>
      </c>
      <c r="L1240" s="473">
        <f t="shared" si="1035"/>
        <v>2.73</v>
      </c>
      <c r="M1240" s="474">
        <f t="shared" si="1044"/>
        <v>4.9139999999999997</v>
      </c>
      <c r="O1240" s="434">
        <f t="shared" si="1033"/>
        <v>2.7599999999999998</v>
      </c>
      <c r="P1240" s="435">
        <f t="shared" si="1034"/>
        <v>2.73</v>
      </c>
      <c r="AE1240" s="217"/>
      <c r="AF1240" s="217">
        <v>1134</v>
      </c>
      <c r="AH1240">
        <f t="shared" si="1040"/>
        <v>1134</v>
      </c>
    </row>
    <row r="1241" hidden="1">
      <c r="A1241" s="217"/>
      <c r="B1241" s="217">
        <v>1134</v>
      </c>
      <c r="C1241" s="217"/>
      <c r="D1241" s="217" t="s">
        <v>20644</v>
      </c>
      <c r="E1241" s="471" t="s">
        <v>20671</v>
      </c>
      <c r="F1241" s="489" t="s">
        <v>15381</v>
      </c>
      <c r="G1241" s="470" t="s">
        <v>20723</v>
      </c>
      <c r="H1241" s="472" t="s">
        <v>15515</v>
      </c>
      <c r="I1241" s="509">
        <v>0.53129999999999999</v>
      </c>
      <c r="J1241" s="473">
        <f t="shared" si="1029"/>
        <v>46.75</v>
      </c>
      <c r="K1241" s="474">
        <f t="shared" si="1043"/>
        <v>24.838274999999999</v>
      </c>
      <c r="L1241" s="473">
        <f t="shared" si="1035"/>
        <v>46.75</v>
      </c>
      <c r="M1241" s="474">
        <f t="shared" si="1044"/>
        <v>24.838274999999999</v>
      </c>
      <c r="O1241" s="434">
        <f t="shared" si="1033"/>
        <v>46.75</v>
      </c>
      <c r="P1241" s="435">
        <f t="shared" si="1034"/>
        <v>46.75</v>
      </c>
      <c r="AE1241" s="217"/>
      <c r="AF1241" s="217">
        <v>1134</v>
      </c>
      <c r="AH1241">
        <f t="shared" si="1040"/>
        <v>1134</v>
      </c>
    </row>
    <row r="1242" ht="105" hidden="1">
      <c r="A1242" s="217"/>
      <c r="B1242" s="217">
        <v>1134</v>
      </c>
      <c r="C1242" s="217"/>
      <c r="D1242" s="217" t="s">
        <v>20408</v>
      </c>
      <c r="E1242" s="471" t="s">
        <v>20672</v>
      </c>
      <c r="F1242" s="489">
        <v>38052</v>
      </c>
      <c r="G1242" s="470" t="s">
        <v>20727</v>
      </c>
      <c r="H1242" s="472" t="s">
        <v>38</v>
      </c>
      <c r="I1242" s="509">
        <v>1</v>
      </c>
      <c r="J1242" s="473">
        <f t="shared" si="1029"/>
        <v>22.100000000000001</v>
      </c>
      <c r="K1242" s="474">
        <f t="shared" si="1043"/>
        <v>22.100000000000001</v>
      </c>
      <c r="L1242" s="473">
        <f t="shared" si="1035"/>
        <v>22.100000000000001</v>
      </c>
      <c r="M1242" s="474">
        <f t="shared" si="1044"/>
        <v>22.100000000000001</v>
      </c>
      <c r="O1242" s="434">
        <f t="shared" si="1033"/>
        <v>22.100000000000001</v>
      </c>
      <c r="P1242" s="435">
        <f t="shared" si="1034"/>
        <v>22.100000000000001</v>
      </c>
      <c r="AE1242" s="217"/>
      <c r="AF1242" s="217">
        <v>1134</v>
      </c>
      <c r="AH1242">
        <f t="shared" si="1040"/>
        <v>1134</v>
      </c>
    </row>
    <row r="1243" ht="78.75" hidden="1">
      <c r="A1243" s="460">
        <v>1135</v>
      </c>
      <c r="B1243" s="460">
        <v>1135</v>
      </c>
      <c r="C1243" s="460"/>
      <c r="D1243" s="460"/>
      <c r="E1243" s="461">
        <v>1</v>
      </c>
      <c r="F1243" s="462" t="s">
        <v>21247</v>
      </c>
      <c r="G1243" s="477" t="s">
        <v>21248</v>
      </c>
      <c r="H1243" s="478" t="s">
        <v>15515</v>
      </c>
      <c r="I1243" s="479"/>
      <c r="J1243" s="480"/>
      <c r="K1243" s="466" t="e">
        <f>SUM(K1244:K1246)</f>
        <v>#VALUE!</v>
      </c>
      <c r="L1243" s="480"/>
      <c r="M1243" s="466" t="e">
        <f>SUM(M1244:M1246)</f>
        <v>#VALUE!</v>
      </c>
      <c r="N1243" s="467" t="s">
        <v>21249</v>
      </c>
      <c r="O1243" s="434" t="str">
        <f t="shared" si="1033"/>
        <v xml:space="preserve">SEM VALOR</v>
      </c>
      <c r="P1243" s="435" t="str">
        <f t="shared" si="1034"/>
        <v xml:space="preserve">SEM VALOR</v>
      </c>
      <c r="AE1243" s="460">
        <v>1135</v>
      </c>
      <c r="AF1243" s="460"/>
      <c r="AH1243">
        <f t="shared" si="1040"/>
        <v>1135</v>
      </c>
    </row>
    <row r="1244" ht="45" hidden="1">
      <c r="A1244" s="217"/>
      <c r="B1244" s="217">
        <v>1135</v>
      </c>
      <c r="C1244" s="217"/>
      <c r="D1244" s="217" t="s">
        <v>20408</v>
      </c>
      <c r="E1244" s="471" t="s">
        <v>20399</v>
      </c>
      <c r="F1244" s="469">
        <v>7343</v>
      </c>
      <c r="G1244" s="470" t="s">
        <v>21250</v>
      </c>
      <c r="H1244" s="471" t="s">
        <v>9794</v>
      </c>
      <c r="I1244" s="472" t="s">
        <v>21251</v>
      </c>
      <c r="J1244" s="473">
        <f t="shared" si="1029"/>
        <v>23.109999999999999</v>
      </c>
      <c r="K1244" s="474" t="e">
        <f t="shared" ref="K1244:K1246" si="1045">I1244*J1244</f>
        <v>#VALUE!</v>
      </c>
      <c r="L1244" s="473">
        <f t="shared" si="1035"/>
        <v>23.109999999999999</v>
      </c>
      <c r="M1244" s="474" t="e">
        <f t="shared" ref="M1244:M1246" si="1046">L1244*I1244</f>
        <v>#VALUE!</v>
      </c>
      <c r="O1244" s="434">
        <f t="shared" si="1033"/>
        <v>23.109999999999999</v>
      </c>
      <c r="P1244" s="435">
        <f t="shared" si="1034"/>
        <v>23.109999999999999</v>
      </c>
      <c r="AE1244" s="217"/>
      <c r="AF1244" s="217">
        <v>1135</v>
      </c>
      <c r="AH1244">
        <f t="shared" si="1040"/>
        <v>1135</v>
      </c>
    </row>
    <row r="1245" ht="30" hidden="1">
      <c r="A1245" s="217"/>
      <c r="B1245" s="217">
        <v>1135</v>
      </c>
      <c r="C1245" s="217"/>
      <c r="D1245" s="217" t="s">
        <v>17167</v>
      </c>
      <c r="E1245" s="471" t="s">
        <v>20402</v>
      </c>
      <c r="F1245" s="469">
        <v>88310</v>
      </c>
      <c r="G1245" s="470" t="s">
        <v>7386</v>
      </c>
      <c r="H1245" s="471" t="s">
        <v>2032</v>
      </c>
      <c r="I1245" s="472" t="s">
        <v>21252</v>
      </c>
      <c r="J1245" s="473">
        <f t="shared" si="1029"/>
        <v>30.210000000000001</v>
      </c>
      <c r="K1245" s="474" t="e">
        <f t="shared" si="1045"/>
        <v>#VALUE!</v>
      </c>
      <c r="L1245" s="473">
        <f t="shared" si="1035"/>
        <v>28.600000000000001</v>
      </c>
      <c r="M1245" s="474" t="e">
        <f t="shared" si="1046"/>
        <v>#VALUE!</v>
      </c>
      <c r="O1245" s="434">
        <f t="shared" si="1033"/>
        <v>30.210000000000001</v>
      </c>
      <c r="P1245" s="435">
        <f t="shared" si="1034"/>
        <v>28.600000000000001</v>
      </c>
      <c r="AE1245" s="217"/>
      <c r="AF1245" s="217">
        <v>1135</v>
      </c>
      <c r="AH1245">
        <f t="shared" si="1040"/>
        <v>1135</v>
      </c>
    </row>
    <row r="1246" ht="30" hidden="1">
      <c r="A1246" s="217"/>
      <c r="B1246" s="217">
        <v>1135</v>
      </c>
      <c r="C1246" s="217"/>
      <c r="D1246" s="217" t="s">
        <v>17167</v>
      </c>
      <c r="E1246" s="471" t="s">
        <v>20405</v>
      </c>
      <c r="F1246" s="469">
        <v>88316</v>
      </c>
      <c r="G1246" s="470" t="s">
        <v>7393</v>
      </c>
      <c r="H1246" s="471" t="s">
        <v>2032</v>
      </c>
      <c r="I1246" s="472" t="s">
        <v>21253</v>
      </c>
      <c r="J1246" s="473">
        <f t="shared" ref="J1246:J1309" si="1047">O1246*$J$3</f>
        <v>22.760000000000002</v>
      </c>
      <c r="K1246" s="474" t="e">
        <f t="shared" si="1045"/>
        <v>#VALUE!</v>
      </c>
      <c r="L1246" s="473">
        <f t="shared" si="1035"/>
        <v>21.550000000000001</v>
      </c>
      <c r="M1246" s="474" t="e">
        <f t="shared" si="1046"/>
        <v>#VALUE!</v>
      </c>
      <c r="O1246" s="434">
        <f t="shared" si="1033"/>
        <v>22.760000000000002</v>
      </c>
      <c r="P1246" s="435">
        <f t="shared" si="1034"/>
        <v>21.550000000000001</v>
      </c>
      <c r="AE1246" s="217"/>
      <c r="AF1246" s="217">
        <v>1135</v>
      </c>
      <c r="AH1246">
        <f t="shared" si="1040"/>
        <v>1135</v>
      </c>
    </row>
    <row r="1247" ht="51.75" hidden="1" customHeight="1">
      <c r="A1247" s="460">
        <v>1136</v>
      </c>
      <c r="B1247" s="460">
        <v>1136</v>
      </c>
      <c r="C1247" s="460"/>
      <c r="D1247" s="460"/>
      <c r="E1247" s="461">
        <v>1</v>
      </c>
      <c r="F1247" s="462" t="s">
        <v>21254</v>
      </c>
      <c r="G1247" s="477" t="s">
        <v>21255</v>
      </c>
      <c r="H1247" s="478" t="s">
        <v>15528</v>
      </c>
      <c r="I1247" s="479"/>
      <c r="J1247" s="480"/>
      <c r="K1247" s="466">
        <f>SUM(K1248:K1253)</f>
        <v>675.2113516500001</v>
      </c>
      <c r="L1247" s="480"/>
      <c r="M1247" s="466">
        <f>SUM(M1248:M1253)</f>
        <v>658.81786165000017</v>
      </c>
      <c r="N1247" s="467" t="s">
        <v>21256</v>
      </c>
      <c r="O1247" s="434" t="str">
        <f t="shared" si="1033"/>
        <v xml:space="preserve">SEM VALOR</v>
      </c>
      <c r="P1247" s="435" t="str">
        <f t="shared" si="1034"/>
        <v xml:space="preserve">SEM VALOR</v>
      </c>
      <c r="S1247" s="566" t="s">
        <v>21257</v>
      </c>
      <c r="AE1247" s="460">
        <v>1136</v>
      </c>
      <c r="AF1247" s="460"/>
      <c r="AH1247">
        <f t="shared" si="1040"/>
        <v>1136</v>
      </c>
    </row>
    <row r="1248" ht="45" hidden="1">
      <c r="A1248" s="217"/>
      <c r="B1248" s="217">
        <v>1136</v>
      </c>
      <c r="C1248" s="217"/>
      <c r="D1248" s="217" t="s">
        <v>20408</v>
      </c>
      <c r="E1248" s="471" t="s">
        <v>20399</v>
      </c>
      <c r="F1248" s="489">
        <v>4730</v>
      </c>
      <c r="G1248" s="470" t="s">
        <v>13722</v>
      </c>
      <c r="H1248" s="471" t="s">
        <v>15528</v>
      </c>
      <c r="I1248" s="509">
        <v>0.45429999999999998</v>
      </c>
      <c r="J1248" s="473">
        <f t="shared" si="1047"/>
        <v>94.450000000000003</v>
      </c>
      <c r="K1248" s="474">
        <f t="shared" ref="K1248:K1253" si="1048">I1248*J1248</f>
        <v>42.908634999999997</v>
      </c>
      <c r="L1248" s="473">
        <f t="shared" si="1035"/>
        <v>94.450000000000003</v>
      </c>
      <c r="M1248" s="474">
        <f t="shared" ref="M1248:M1253" si="1049">L1248*I1248</f>
        <v>42.908634999999997</v>
      </c>
      <c r="O1248" s="434">
        <f t="shared" si="1033"/>
        <v>94.450000000000003</v>
      </c>
      <c r="P1248" s="435">
        <f t="shared" si="1034"/>
        <v>94.450000000000003</v>
      </c>
      <c r="AE1248" s="217"/>
      <c r="AF1248" s="217">
        <v>1136</v>
      </c>
      <c r="AH1248">
        <f t="shared" si="1040"/>
        <v>1136</v>
      </c>
    </row>
    <row r="1249" ht="30" hidden="1">
      <c r="A1249" s="217"/>
      <c r="B1249" s="217">
        <v>1136</v>
      </c>
      <c r="C1249" s="217"/>
      <c r="D1249" s="217" t="s">
        <v>17167</v>
      </c>
      <c r="E1249" s="471" t="s">
        <v>20402</v>
      </c>
      <c r="F1249" s="486">
        <v>88309</v>
      </c>
      <c r="G1249" s="470" t="s">
        <v>7385</v>
      </c>
      <c r="H1249" s="471" t="s">
        <v>2032</v>
      </c>
      <c r="I1249" s="483">
        <v>1.6701999999999999</v>
      </c>
      <c r="J1249" s="473">
        <f t="shared" si="1047"/>
        <v>28.5</v>
      </c>
      <c r="K1249" s="474">
        <f t="shared" si="1048"/>
        <v>47.600699999999996</v>
      </c>
      <c r="L1249" s="473">
        <f t="shared" si="1035"/>
        <v>26.870000000000001</v>
      </c>
      <c r="M1249" s="474">
        <f t="shared" si="1049"/>
        <v>44.878273999999998</v>
      </c>
      <c r="O1249" s="434">
        <f t="shared" si="1033"/>
        <v>28.5</v>
      </c>
      <c r="P1249" s="435">
        <f t="shared" si="1034"/>
        <v>26.870000000000001</v>
      </c>
      <c r="AE1249" s="217"/>
      <c r="AF1249" s="217">
        <v>1136</v>
      </c>
      <c r="AH1249">
        <f t="shared" si="1040"/>
        <v>1136</v>
      </c>
    </row>
    <row r="1250" ht="30" hidden="1">
      <c r="A1250" s="217"/>
      <c r="B1250" s="217">
        <v>1136</v>
      </c>
      <c r="C1250" s="217"/>
      <c r="D1250" s="217" t="s">
        <v>17167</v>
      </c>
      <c r="E1250" s="471" t="s">
        <v>20405</v>
      </c>
      <c r="F1250" s="489">
        <v>88316</v>
      </c>
      <c r="G1250" s="470" t="s">
        <v>7393</v>
      </c>
      <c r="H1250" s="471" t="s">
        <v>2032</v>
      </c>
      <c r="I1250" s="483">
        <v>6.4683999999999999</v>
      </c>
      <c r="J1250" s="473">
        <f t="shared" si="1047"/>
        <v>22.760000000000002</v>
      </c>
      <c r="K1250" s="474">
        <f t="shared" si="1048"/>
        <v>147.22078400000001</v>
      </c>
      <c r="L1250" s="473">
        <f t="shared" si="1035"/>
        <v>21.550000000000001</v>
      </c>
      <c r="M1250" s="474">
        <f t="shared" si="1049"/>
        <v>139.39402000000001</v>
      </c>
      <c r="O1250" s="434">
        <f t="shared" si="1033"/>
        <v>22.760000000000002</v>
      </c>
      <c r="P1250" s="435">
        <f t="shared" si="1034"/>
        <v>21.550000000000001</v>
      </c>
      <c r="AE1250" s="217"/>
      <c r="AF1250" s="217">
        <v>1136</v>
      </c>
      <c r="AH1250">
        <f t="shared" si="1040"/>
        <v>1136</v>
      </c>
    </row>
    <row r="1251" ht="60" hidden="1">
      <c r="A1251" s="217"/>
      <c r="B1251" s="217">
        <v>1136</v>
      </c>
      <c r="C1251" s="217"/>
      <c r="D1251" s="217" t="s">
        <v>17167</v>
      </c>
      <c r="E1251" s="471" t="s">
        <v>20409</v>
      </c>
      <c r="F1251" s="486">
        <v>90586</v>
      </c>
      <c r="G1251" s="470" t="s">
        <v>1957</v>
      </c>
      <c r="H1251" s="471" t="s">
        <v>1535</v>
      </c>
      <c r="I1251" s="509">
        <v>0.2198</v>
      </c>
      <c r="J1251" s="473">
        <f t="shared" si="1047"/>
        <v>1.53</v>
      </c>
      <c r="K1251" s="474">
        <f t="shared" si="1048"/>
        <v>0.33629399999999998</v>
      </c>
      <c r="L1251" s="473">
        <f t="shared" si="1035"/>
        <v>1.53</v>
      </c>
      <c r="M1251" s="474">
        <f t="shared" si="1049"/>
        <v>0.33629399999999998</v>
      </c>
      <c r="O1251" s="434">
        <f t="shared" si="1033"/>
        <v>1.53</v>
      </c>
      <c r="P1251" s="435">
        <f t="shared" si="1034"/>
        <v>1.53</v>
      </c>
      <c r="AE1251" s="217"/>
      <c r="AF1251" s="217">
        <v>1136</v>
      </c>
      <c r="AH1251">
        <f t="shared" si="1040"/>
        <v>1136</v>
      </c>
    </row>
    <row r="1252" ht="60" hidden="1">
      <c r="A1252" s="217"/>
      <c r="B1252" s="217">
        <v>1136</v>
      </c>
      <c r="C1252" s="217"/>
      <c r="D1252" s="217" t="s">
        <v>17167</v>
      </c>
      <c r="E1252" s="471" t="s">
        <v>20663</v>
      </c>
      <c r="F1252" s="486">
        <v>90587</v>
      </c>
      <c r="G1252" s="470" t="s">
        <v>1956</v>
      </c>
      <c r="H1252" s="471" t="s">
        <v>1533</v>
      </c>
      <c r="I1252" s="509">
        <v>0.63770000000000004</v>
      </c>
      <c r="J1252" s="473">
        <f t="shared" si="1047"/>
        <v>0.57999999999999996</v>
      </c>
      <c r="K1252" s="474">
        <f t="shared" si="1048"/>
        <v>0.36986600000000003</v>
      </c>
      <c r="L1252" s="473">
        <f t="shared" si="1035"/>
        <v>0.57999999999999996</v>
      </c>
      <c r="M1252" s="474">
        <f t="shared" si="1049"/>
        <v>0.36986600000000003</v>
      </c>
      <c r="O1252" s="434">
        <f t="shared" si="1033"/>
        <v>0.57999999999999996</v>
      </c>
      <c r="P1252" s="435">
        <f t="shared" si="1034"/>
        <v>0.57999999999999996</v>
      </c>
      <c r="AE1252" s="217"/>
      <c r="AF1252" s="217">
        <v>1136</v>
      </c>
      <c r="AH1252">
        <f t="shared" si="1040"/>
        <v>1136</v>
      </c>
    </row>
    <row r="1253" ht="60" hidden="1">
      <c r="A1253" s="217"/>
      <c r="B1253" s="217">
        <v>1136</v>
      </c>
      <c r="C1253" s="217"/>
      <c r="D1253" s="217" t="s">
        <v>20398</v>
      </c>
      <c r="E1253" s="471"/>
      <c r="F1253" s="486">
        <v>1467</v>
      </c>
      <c r="G1253" s="470" t="s">
        <v>21258</v>
      </c>
      <c r="H1253" s="471" t="s">
        <v>15528</v>
      </c>
      <c r="I1253" s="509">
        <v>0.80500000000000005</v>
      </c>
      <c r="J1253" s="473">
        <f t="shared" si="1047"/>
        <v>542.57773000000009</v>
      </c>
      <c r="K1253" s="474">
        <f t="shared" si="1048"/>
        <v>436.77507265000008</v>
      </c>
      <c r="L1253" s="473">
        <f t="shared" si="1035"/>
        <v>535.3177300000001</v>
      </c>
      <c r="M1253" s="474">
        <f t="shared" si="1049"/>
        <v>430.93077265000011</v>
      </c>
      <c r="N1253" s="467" t="s">
        <v>21259</v>
      </c>
      <c r="O1253" s="434">
        <f t="shared" si="1033"/>
        <v>542.57773000000009</v>
      </c>
      <c r="P1253" s="435">
        <f t="shared" si="1034"/>
        <v>535.3177300000001</v>
      </c>
      <c r="AE1253" s="217"/>
      <c r="AF1253" s="217">
        <v>1136</v>
      </c>
      <c r="AH1253">
        <f t="shared" si="1040"/>
        <v>1136</v>
      </c>
    </row>
    <row r="1254" ht="63" hidden="1">
      <c r="A1254" s="460">
        <v>1137</v>
      </c>
      <c r="B1254" s="460">
        <v>1137</v>
      </c>
      <c r="C1254" s="460"/>
      <c r="D1254" s="460"/>
      <c r="E1254" s="461">
        <v>1</v>
      </c>
      <c r="F1254" s="462" t="s">
        <v>21260</v>
      </c>
      <c r="G1254" s="477" t="s">
        <v>21261</v>
      </c>
      <c r="H1254" s="478" t="s">
        <v>15528</v>
      </c>
      <c r="I1254" s="479"/>
      <c r="J1254" s="480"/>
      <c r="K1254" s="466">
        <f>SUM(K1255)</f>
        <v>7.9185599999999994</v>
      </c>
      <c r="L1254" s="480"/>
      <c r="M1254" s="466">
        <f>SUM(M1255)</f>
        <v>7.858439999999999</v>
      </c>
      <c r="N1254" s="467" t="s">
        <v>21262</v>
      </c>
      <c r="O1254" s="434" t="str">
        <f t="shared" si="1033"/>
        <v xml:space="preserve">SEM VALOR</v>
      </c>
      <c r="P1254" s="435" t="str">
        <f t="shared" si="1034"/>
        <v xml:space="preserve">SEM VALOR</v>
      </c>
      <c r="AE1254" s="460">
        <v>1137</v>
      </c>
      <c r="AF1254" s="460"/>
      <c r="AH1254">
        <f t="shared" si="1040"/>
        <v>1137</v>
      </c>
    </row>
    <row r="1255" ht="90" hidden="1">
      <c r="A1255" s="217"/>
      <c r="B1255" s="217">
        <v>1137</v>
      </c>
      <c r="C1255" s="217"/>
      <c r="D1255" s="217" t="s">
        <v>17167</v>
      </c>
      <c r="E1255" s="471" t="s">
        <v>20399</v>
      </c>
      <c r="F1255" s="489">
        <v>5811</v>
      </c>
      <c r="G1255" s="470" t="s">
        <v>1581</v>
      </c>
      <c r="H1255" s="471" t="s">
        <v>1535</v>
      </c>
      <c r="I1255" s="472">
        <v>3.5999999999999997e-002</v>
      </c>
      <c r="J1255" s="473">
        <f t="shared" si="1047"/>
        <v>219.96000000000001</v>
      </c>
      <c r="K1255" s="474">
        <f>I1255*J1255</f>
        <v>7.9185599999999994</v>
      </c>
      <c r="L1255" s="473">
        <f t="shared" si="1035"/>
        <v>218.28999999999999</v>
      </c>
      <c r="M1255" s="474">
        <f>L1255*I1255</f>
        <v>7.858439999999999</v>
      </c>
      <c r="O1255" s="434">
        <f t="shared" si="1033"/>
        <v>219.96000000000001</v>
      </c>
      <c r="P1255" s="435">
        <f t="shared" si="1034"/>
        <v>218.28999999999999</v>
      </c>
      <c r="AE1255" s="217"/>
      <c r="AF1255" s="217">
        <v>1137</v>
      </c>
      <c r="AH1255">
        <f t="shared" si="1040"/>
        <v>1137</v>
      </c>
    </row>
    <row r="1256" ht="63" hidden="1">
      <c r="A1256" s="460">
        <v>1138</v>
      </c>
      <c r="B1256" s="460">
        <v>1138</v>
      </c>
      <c r="C1256" s="460"/>
      <c r="D1256" s="460"/>
      <c r="E1256" s="461">
        <v>1</v>
      </c>
      <c r="F1256" s="462" t="s">
        <v>21263</v>
      </c>
      <c r="G1256" s="477" t="s">
        <v>21264</v>
      </c>
      <c r="H1256" s="478" t="s">
        <v>15528</v>
      </c>
      <c r="I1256" s="479"/>
      <c r="J1256" s="480"/>
      <c r="K1256" s="466">
        <f>SUM(K1257:K1259)</f>
        <v>5.0450399999999993</v>
      </c>
      <c r="L1256" s="480"/>
      <c r="M1256" s="466">
        <f>SUM(M1257:M1259)</f>
        <v>4.9775499999999999</v>
      </c>
      <c r="N1256" s="467" t="s">
        <v>21265</v>
      </c>
      <c r="O1256" s="434" t="str">
        <f t="shared" si="1033"/>
        <v xml:space="preserve">SEM VALOR</v>
      </c>
      <c r="P1256" s="435" t="str">
        <f t="shared" si="1034"/>
        <v xml:space="preserve">SEM VALOR</v>
      </c>
      <c r="AE1256" s="460">
        <v>1138</v>
      </c>
      <c r="AF1256" s="460"/>
      <c r="AH1256">
        <f t="shared" si="1040"/>
        <v>1138</v>
      </c>
    </row>
    <row r="1257" ht="90" hidden="1">
      <c r="A1257" s="217"/>
      <c r="B1257" s="217">
        <v>1138</v>
      </c>
      <c r="C1257" s="217"/>
      <c r="D1257" s="217" t="s">
        <v>17167</v>
      </c>
      <c r="E1257" s="471" t="s">
        <v>20399</v>
      </c>
      <c r="F1257" s="489">
        <v>5811</v>
      </c>
      <c r="G1257" s="470" t="s">
        <v>1581</v>
      </c>
      <c r="H1257" s="471" t="s">
        <v>1535</v>
      </c>
      <c r="I1257" s="483">
        <v>7.0000000000000001e-003</v>
      </c>
      <c r="J1257" s="473">
        <f t="shared" si="1047"/>
        <v>219.96000000000001</v>
      </c>
      <c r="K1257" s="474">
        <f t="shared" ref="K1257:K1259" si="1050">I1257*J1257</f>
        <v>1.53972</v>
      </c>
      <c r="L1257" s="473">
        <f t="shared" si="1035"/>
        <v>218.28999999999999</v>
      </c>
      <c r="M1257" s="474">
        <f t="shared" ref="M1257:M1259" si="1051">L1257*I1257</f>
        <v>1.52803</v>
      </c>
      <c r="O1257" s="434">
        <f t="shared" si="1033"/>
        <v>219.96000000000001</v>
      </c>
      <c r="P1257" s="435">
        <f t="shared" si="1034"/>
        <v>218.28999999999999</v>
      </c>
      <c r="AE1257" s="217"/>
      <c r="AF1257" s="217">
        <v>1138</v>
      </c>
      <c r="AH1257">
        <f t="shared" si="1040"/>
        <v>1138</v>
      </c>
    </row>
    <row r="1258" ht="75" hidden="1">
      <c r="A1258" s="217"/>
      <c r="B1258" s="217">
        <v>1138</v>
      </c>
      <c r="C1258" s="217"/>
      <c r="D1258" s="217" t="s">
        <v>17167</v>
      </c>
      <c r="E1258" s="471" t="s">
        <v>20402</v>
      </c>
      <c r="F1258" s="489">
        <v>5940</v>
      </c>
      <c r="G1258" s="470" t="s">
        <v>1863</v>
      </c>
      <c r="H1258" s="471" t="s">
        <v>1535</v>
      </c>
      <c r="I1258" s="483">
        <v>1.7999999999999999e-002</v>
      </c>
      <c r="J1258" s="473">
        <f t="shared" si="1047"/>
        <v>171.97999999999999</v>
      </c>
      <c r="K1258" s="474">
        <f t="shared" si="1050"/>
        <v>3.0956399999999995</v>
      </c>
      <c r="L1258" s="473">
        <f t="shared" si="1035"/>
        <v>170.09</v>
      </c>
      <c r="M1258" s="474">
        <f t="shared" si="1051"/>
        <v>3.06162</v>
      </c>
      <c r="O1258" s="434">
        <f t="shared" si="1033"/>
        <v>171.97999999999999</v>
      </c>
      <c r="P1258" s="435">
        <f t="shared" si="1034"/>
        <v>170.09</v>
      </c>
      <c r="AE1258" s="217"/>
      <c r="AF1258" s="217">
        <v>1138</v>
      </c>
      <c r="AH1258">
        <f t="shared" si="1040"/>
        <v>1138</v>
      </c>
    </row>
    <row r="1259" ht="30" hidden="1">
      <c r="A1259" s="217"/>
      <c r="B1259" s="217">
        <v>1138</v>
      </c>
      <c r="C1259" s="217"/>
      <c r="D1259" s="217" t="s">
        <v>17167</v>
      </c>
      <c r="E1259" s="471" t="s">
        <v>20405</v>
      </c>
      <c r="F1259" s="489">
        <v>88316</v>
      </c>
      <c r="G1259" s="470" t="s">
        <v>7393</v>
      </c>
      <c r="H1259" s="471" t="s">
        <v>2032</v>
      </c>
      <c r="I1259" s="483">
        <v>1.7999999999999999e-002</v>
      </c>
      <c r="J1259" s="473">
        <f t="shared" si="1047"/>
        <v>22.760000000000002</v>
      </c>
      <c r="K1259" s="474">
        <f t="shared" si="1050"/>
        <v>0.40967999999999999</v>
      </c>
      <c r="L1259" s="473">
        <f t="shared" si="1035"/>
        <v>21.550000000000001</v>
      </c>
      <c r="M1259" s="474">
        <f t="shared" si="1051"/>
        <v>0.38789999999999997</v>
      </c>
      <c r="O1259" s="434">
        <f t="shared" si="1033"/>
        <v>22.760000000000002</v>
      </c>
      <c r="P1259" s="435">
        <f t="shared" si="1034"/>
        <v>21.550000000000001</v>
      </c>
      <c r="AE1259" s="217"/>
      <c r="AF1259" s="217">
        <v>1138</v>
      </c>
      <c r="AH1259">
        <f t="shared" si="1040"/>
        <v>1138</v>
      </c>
    </row>
    <row r="1260" ht="49.5" hidden="1" customHeight="1">
      <c r="A1260" s="460">
        <v>1139</v>
      </c>
      <c r="B1260" s="460">
        <v>1139</v>
      </c>
      <c r="C1260" s="460"/>
      <c r="D1260" s="460"/>
      <c r="E1260" s="461">
        <v>1</v>
      </c>
      <c r="F1260" s="462" t="s">
        <v>21266</v>
      </c>
      <c r="G1260" s="477" t="s">
        <v>21267</v>
      </c>
      <c r="H1260" s="478" t="s">
        <v>31</v>
      </c>
      <c r="I1260" s="479"/>
      <c r="J1260" s="480"/>
      <c r="K1260" s="466">
        <f>SUM(K1261:K1266)</f>
        <v>2287.0135335800001</v>
      </c>
      <c r="L1260" s="480"/>
      <c r="M1260" s="466">
        <f>SUM(M1261:M1266)</f>
        <v>2229.5379546149998</v>
      </c>
      <c r="O1260" s="434" t="str">
        <f t="shared" ref="O1260:O1323" si="1052">IFERROR(IF(D1260="SINAPI",VLOOKUP(F1260,SINCOMOD,4,FALSE),IF(D1260="INSINAPI",VLOOKUP(F1260,INSINOD,5,FALSE),IF(D1260="SICRO",VLOOKUP(F1260,SICRO,5,FALSE),IF(D1260="COTACAO",VLOOKUP(F1260,COTACAO,6,FALSE),IF(D1260="PRÓPRIO",VLOOKUP(F1260,COMPOD,11,FALSE),IF(D1260="AGESUL",VLOOKUP(F1260,AGESULOD,6,FALSE),IF(D1260="INSAGESUL",VLOOKUP(F1260,INSAGESUL,7,FALSE),"SEM VALOR"))))))),"SEM VALOR")</f>
        <v xml:space="preserve">SEM VALOR</v>
      </c>
      <c r="P1260" s="435" t="str">
        <f t="shared" ref="P1260:P1323" si="1053">IFERROR(IF(D1260="SINAPI",VLOOKUP(F1260,SINCOMOD,6,FALSE),IF(D1260="INSINAPI",VLOOKUP(F1260,INSINOD,6,FALSE),IF(D1260="SICRO",VLOOKUP(F1260,SICRO,5,FALSE),IF(D1260="COTACAO",VLOOKUP(F1260,COTACAO,6,FALSE),IF(D1260="PRÓPRIO",VLOOKUP(F1260,COMPOD,13,FALSE),IF(D1260="AGESUL",VLOOKUP(F1260,AGESULOD,11,FALSE),IF(D1260="INSAGESUL",VLOOKUP(F1260,INSAGESUL,8,FALSE),"SEM VALOR"))))))),"SEM VALOR")</f>
        <v xml:space="preserve">SEM VALOR</v>
      </c>
      <c r="AE1260" s="460">
        <v>1139</v>
      </c>
      <c r="AF1260" s="460"/>
      <c r="AH1260">
        <f t="shared" si="1040"/>
        <v>1139</v>
      </c>
    </row>
    <row r="1261" ht="120" hidden="1">
      <c r="A1261" s="217"/>
      <c r="B1261" s="217">
        <v>1139</v>
      </c>
      <c r="C1261" s="217"/>
      <c r="D1261" s="217" t="s">
        <v>17167</v>
      </c>
      <c r="E1261" s="471" t="s">
        <v>20399</v>
      </c>
      <c r="F1261" s="540">
        <v>102281</v>
      </c>
      <c r="G1261" s="567" t="s">
        <v>21268</v>
      </c>
      <c r="H1261" s="540" t="s">
        <v>15528</v>
      </c>
      <c r="I1261" s="483">
        <v>50.490000000000002</v>
      </c>
      <c r="J1261" s="473">
        <f t="shared" si="1047"/>
        <v>5.8300000000000001</v>
      </c>
      <c r="K1261" s="474">
        <f t="shared" ref="K1261:K1266" si="1054">I1261*J1261</f>
        <v>294.35669999999999</v>
      </c>
      <c r="L1261" s="473">
        <f t="shared" ref="L1261:L1324" si="1055">P1261*$L$3</f>
        <v>5.7199999999999998</v>
      </c>
      <c r="M1261" s="474">
        <f t="shared" ref="M1261:M1266" si="1056">L1261*I1261</f>
        <v>288.80279999999999</v>
      </c>
      <c r="O1261" s="434">
        <f t="shared" si="1052"/>
        <v>5.8300000000000001</v>
      </c>
      <c r="P1261" s="435">
        <f t="shared" si="1053"/>
        <v>5.7199999999999998</v>
      </c>
      <c r="AE1261" s="217"/>
      <c r="AF1261" s="217">
        <v>1139</v>
      </c>
      <c r="AH1261">
        <f t="shared" si="1040"/>
        <v>1139</v>
      </c>
    </row>
    <row r="1262" ht="60" hidden="1">
      <c r="A1262" s="217"/>
      <c r="B1262" s="217">
        <v>1139</v>
      </c>
      <c r="C1262" s="217"/>
      <c r="D1262" s="217" t="s">
        <v>17167</v>
      </c>
      <c r="E1262" s="471" t="s">
        <v>20402</v>
      </c>
      <c r="F1262" s="540">
        <v>101616</v>
      </c>
      <c r="G1262" s="567" t="s">
        <v>21269</v>
      </c>
      <c r="H1262" s="540" t="s">
        <v>15515</v>
      </c>
      <c r="I1262" s="483">
        <v>50.57</v>
      </c>
      <c r="J1262" s="473">
        <f t="shared" si="1047"/>
        <v>7.7800000000000002</v>
      </c>
      <c r="K1262" s="474">
        <f t="shared" si="1054"/>
        <v>393.43459999999999</v>
      </c>
      <c r="L1262" s="473">
        <f t="shared" si="1055"/>
        <v>7.3499999999999996</v>
      </c>
      <c r="M1262" s="474">
        <f t="shared" si="1056"/>
        <v>371.68950000000001</v>
      </c>
      <c r="O1262" s="434">
        <f t="shared" si="1052"/>
        <v>7.7800000000000002</v>
      </c>
      <c r="P1262" s="435">
        <f t="shared" si="1053"/>
        <v>7.3499999999999996</v>
      </c>
      <c r="AE1262" s="217"/>
      <c r="AF1262" s="217">
        <v>1139</v>
      </c>
      <c r="AH1262">
        <f t="shared" si="1040"/>
        <v>1139</v>
      </c>
    </row>
    <row r="1263" ht="105" hidden="1">
      <c r="A1263" s="217"/>
      <c r="B1263" s="217">
        <v>1139</v>
      </c>
      <c r="C1263" s="217"/>
      <c r="D1263" s="217" t="s">
        <v>20398</v>
      </c>
      <c r="E1263" s="471" t="s">
        <v>20405</v>
      </c>
      <c r="F1263" s="540">
        <v>1092</v>
      </c>
      <c r="G1263" s="470" t="s">
        <v>20666</v>
      </c>
      <c r="H1263" s="540" t="s">
        <v>15528</v>
      </c>
      <c r="I1263" s="483">
        <v>65.640000000000001</v>
      </c>
      <c r="J1263" s="473">
        <f t="shared" si="1047"/>
        <v>2.2000000000000002</v>
      </c>
      <c r="K1263" s="474">
        <f t="shared" si="1054"/>
        <v>144.40800000000002</v>
      </c>
      <c r="L1263" s="473">
        <f t="shared" si="1055"/>
        <v>2.1879900000000001</v>
      </c>
      <c r="M1263" s="474">
        <f t="shared" si="1056"/>
        <v>143.6196636</v>
      </c>
      <c r="O1263" s="434">
        <f t="shared" si="1052"/>
        <v>2.2000000000000002</v>
      </c>
      <c r="P1263" s="435">
        <f t="shared" si="1053"/>
        <v>2.1879900000000001</v>
      </c>
      <c r="AE1263" s="217"/>
      <c r="AF1263" s="217">
        <v>1139</v>
      </c>
      <c r="AH1263">
        <f t="shared" si="1040"/>
        <v>1139</v>
      </c>
    </row>
    <row r="1264" ht="60" hidden="1">
      <c r="A1264" s="217"/>
      <c r="B1264" s="217">
        <v>1139</v>
      </c>
      <c r="C1264" s="217"/>
      <c r="D1264" s="217" t="s">
        <v>17167</v>
      </c>
      <c r="E1264" s="471" t="s">
        <v>20409</v>
      </c>
      <c r="F1264" s="482">
        <v>95875</v>
      </c>
      <c r="G1264" s="470" t="s">
        <v>20668</v>
      </c>
      <c r="H1264" s="540" t="s">
        <v>20669</v>
      </c>
      <c r="I1264" s="483">
        <v>65.640000000000001</v>
      </c>
      <c r="J1264" s="473">
        <f t="shared" si="1047"/>
        <v>2.7599999999999998</v>
      </c>
      <c r="K1264" s="474">
        <f t="shared" si="1054"/>
        <v>181.16639999999998</v>
      </c>
      <c r="L1264" s="473">
        <f t="shared" si="1055"/>
        <v>2.73</v>
      </c>
      <c r="M1264" s="474">
        <f t="shared" si="1056"/>
        <v>179.19720000000001</v>
      </c>
      <c r="O1264" s="434">
        <f t="shared" si="1052"/>
        <v>2.7599999999999998</v>
      </c>
      <c r="P1264" s="435">
        <f t="shared" si="1053"/>
        <v>2.73</v>
      </c>
      <c r="AE1264" s="217"/>
      <c r="AF1264" s="217">
        <v>1139</v>
      </c>
      <c r="AH1264">
        <f t="shared" si="1040"/>
        <v>1139</v>
      </c>
    </row>
    <row r="1265" ht="16.5" hidden="1" customHeight="1">
      <c r="A1265" s="217"/>
      <c r="B1265" s="217">
        <v>1139</v>
      </c>
      <c r="C1265" s="217"/>
      <c r="D1265" s="217" t="s">
        <v>17167</v>
      </c>
      <c r="E1265" s="471" t="s">
        <v>20663</v>
      </c>
      <c r="F1265" s="540">
        <v>98504</v>
      </c>
      <c r="G1265" s="568" t="s">
        <v>21270</v>
      </c>
      <c r="H1265" s="540" t="s">
        <v>15515</v>
      </c>
      <c r="I1265" s="483">
        <v>59.219999999999999</v>
      </c>
      <c r="J1265" s="473">
        <f t="shared" si="1047"/>
        <v>11.390000000000001</v>
      </c>
      <c r="K1265" s="474">
        <f t="shared" si="1054"/>
        <v>674.51580000000001</v>
      </c>
      <c r="L1265" s="473">
        <f t="shared" si="1055"/>
        <v>11.18</v>
      </c>
      <c r="M1265" s="474">
        <f t="shared" si="1056"/>
        <v>662.07959999999991</v>
      </c>
      <c r="O1265" s="434">
        <f t="shared" si="1052"/>
        <v>11.390000000000001</v>
      </c>
      <c r="P1265" s="435">
        <f t="shared" si="1053"/>
        <v>11.18</v>
      </c>
      <c r="AE1265" s="217"/>
      <c r="AF1265" s="217">
        <v>1139</v>
      </c>
      <c r="AH1265">
        <f t="shared" si="1040"/>
        <v>1139</v>
      </c>
    </row>
    <row r="1266" ht="75" hidden="1">
      <c r="A1266" s="217"/>
      <c r="B1266" s="217">
        <v>1139</v>
      </c>
      <c r="C1266" s="217"/>
      <c r="D1266" s="217" t="s">
        <v>20398</v>
      </c>
      <c r="E1266" s="471" t="s">
        <v>20665</v>
      </c>
      <c r="F1266" s="540">
        <v>1268</v>
      </c>
      <c r="G1266" s="568" t="s">
        <v>21271</v>
      </c>
      <c r="H1266" s="540" t="s">
        <v>38</v>
      </c>
      <c r="I1266" s="483">
        <v>24.690000000000001</v>
      </c>
      <c r="J1266" s="473">
        <f t="shared" si="1047"/>
        <v>24.266182000000001</v>
      </c>
      <c r="K1266" s="474">
        <f t="shared" si="1054"/>
        <v>599.1320335800001</v>
      </c>
      <c r="L1266" s="473">
        <f t="shared" si="1055"/>
        <v>23.659343499999999</v>
      </c>
      <c r="M1266" s="474">
        <f t="shared" si="1056"/>
        <v>584.14919101500004</v>
      </c>
      <c r="O1266" s="434">
        <f t="shared" si="1052"/>
        <v>24.266182000000001</v>
      </c>
      <c r="P1266" s="435">
        <f t="shared" si="1053"/>
        <v>23.659343499999999</v>
      </c>
      <c r="AE1266" s="217"/>
      <c r="AF1266" s="217">
        <v>1139</v>
      </c>
      <c r="AH1266">
        <f t="shared" si="1040"/>
        <v>1139</v>
      </c>
    </row>
    <row r="1267" ht="47.25" hidden="1">
      <c r="A1267" s="460">
        <v>1140</v>
      </c>
      <c r="B1267" s="460">
        <v>1140</v>
      </c>
      <c r="C1267" s="460"/>
      <c r="D1267" s="460"/>
      <c r="E1267" s="461">
        <v>1</v>
      </c>
      <c r="F1267" s="462" t="s">
        <v>21272</v>
      </c>
      <c r="G1267" s="477" t="s">
        <v>21273</v>
      </c>
      <c r="H1267" s="478" t="s">
        <v>31</v>
      </c>
      <c r="I1267" s="479"/>
      <c r="J1267" s="480"/>
      <c r="K1267" s="466">
        <f>SUM(K1268:K1273)</f>
        <v>10228.8351091</v>
      </c>
      <c r="L1267" s="480"/>
      <c r="M1267" s="466">
        <f>SUM(M1268:M1273)</f>
        <v>9997.3712850749998</v>
      </c>
      <c r="O1267" s="434" t="str">
        <f t="shared" si="1052"/>
        <v xml:space="preserve">SEM VALOR</v>
      </c>
      <c r="P1267" s="435" t="str">
        <f t="shared" si="1053"/>
        <v xml:space="preserve">SEM VALOR</v>
      </c>
      <c r="AE1267" s="460">
        <v>1140</v>
      </c>
      <c r="AF1267" s="460"/>
      <c r="AH1267">
        <f t="shared" si="1040"/>
        <v>1140</v>
      </c>
    </row>
    <row r="1268" ht="120" hidden="1">
      <c r="A1268" s="217"/>
      <c r="B1268" s="217">
        <v>1140</v>
      </c>
      <c r="C1268" s="217"/>
      <c r="D1268" s="217" t="s">
        <v>17167</v>
      </c>
      <c r="E1268" s="471" t="s">
        <v>20399</v>
      </c>
      <c r="F1268" s="540">
        <v>102281</v>
      </c>
      <c r="G1268" s="567" t="s">
        <v>21268</v>
      </c>
      <c r="H1268" s="540" t="s">
        <v>15528</v>
      </c>
      <c r="I1268" s="483">
        <v>395.16000000000003</v>
      </c>
      <c r="J1268" s="473">
        <f t="shared" si="1047"/>
        <v>5.8300000000000001</v>
      </c>
      <c r="K1268" s="474">
        <f t="shared" ref="K1268:K1273" si="1057">I1268*J1268</f>
        <v>2303.7828</v>
      </c>
      <c r="L1268" s="473">
        <f t="shared" si="1055"/>
        <v>5.7199999999999998</v>
      </c>
      <c r="M1268" s="474">
        <f t="shared" ref="M1268:M1273" si="1058">L1268*I1268</f>
        <v>2260.3152</v>
      </c>
      <c r="O1268" s="434">
        <f t="shared" si="1052"/>
        <v>5.8300000000000001</v>
      </c>
      <c r="P1268" s="435">
        <f t="shared" si="1053"/>
        <v>5.7199999999999998</v>
      </c>
      <c r="AE1268" s="217"/>
      <c r="AF1268" s="217">
        <v>1140</v>
      </c>
      <c r="AH1268">
        <f t="shared" si="1040"/>
        <v>1140</v>
      </c>
    </row>
    <row r="1269" ht="60" hidden="1">
      <c r="A1269" s="217"/>
      <c r="B1269" s="217">
        <v>1140</v>
      </c>
      <c r="C1269" s="217"/>
      <c r="D1269" s="217" t="s">
        <v>17167</v>
      </c>
      <c r="E1269" s="471" t="s">
        <v>20402</v>
      </c>
      <c r="F1269" s="540">
        <v>101616</v>
      </c>
      <c r="G1269" s="567" t="s">
        <v>21269</v>
      </c>
      <c r="H1269" s="540" t="s">
        <v>15515</v>
      </c>
      <c r="I1269" s="483">
        <v>206.93000000000001</v>
      </c>
      <c r="J1269" s="473">
        <f t="shared" si="1047"/>
        <v>7.7800000000000002</v>
      </c>
      <c r="K1269" s="474">
        <f t="shared" si="1057"/>
        <v>1609.9154000000001</v>
      </c>
      <c r="L1269" s="473">
        <f t="shared" si="1055"/>
        <v>7.3499999999999996</v>
      </c>
      <c r="M1269" s="474">
        <f t="shared" si="1058"/>
        <v>1520.9355</v>
      </c>
      <c r="O1269" s="434">
        <f t="shared" si="1052"/>
        <v>7.7800000000000002</v>
      </c>
      <c r="P1269" s="435">
        <f t="shared" si="1053"/>
        <v>7.3499999999999996</v>
      </c>
      <c r="AE1269" s="217"/>
      <c r="AF1269" s="217">
        <v>1140</v>
      </c>
      <c r="AH1269">
        <f t="shared" si="1040"/>
        <v>1140</v>
      </c>
    </row>
    <row r="1270" ht="105" hidden="1">
      <c r="A1270" s="217"/>
      <c r="B1270" s="217">
        <v>1140</v>
      </c>
      <c r="C1270" s="217"/>
      <c r="D1270" s="217" t="s">
        <v>20398</v>
      </c>
      <c r="E1270" s="471" t="s">
        <v>20405</v>
      </c>
      <c r="F1270" s="569">
        <v>1092</v>
      </c>
      <c r="G1270" s="470" t="s">
        <v>20666</v>
      </c>
      <c r="H1270" s="540" t="s">
        <v>15528</v>
      </c>
      <c r="I1270" s="483">
        <v>513.71000000000004</v>
      </c>
      <c r="J1270" s="473">
        <f t="shared" si="1047"/>
        <v>2.2000000000000002</v>
      </c>
      <c r="K1270" s="474">
        <f t="shared" si="1057"/>
        <v>1130.1620000000003</v>
      </c>
      <c r="L1270" s="473">
        <f t="shared" si="1055"/>
        <v>2.1879900000000001</v>
      </c>
      <c r="M1270" s="474">
        <f t="shared" si="1058"/>
        <v>1123.9923429</v>
      </c>
      <c r="O1270" s="434">
        <f t="shared" si="1052"/>
        <v>2.2000000000000002</v>
      </c>
      <c r="P1270" s="435">
        <f t="shared" si="1053"/>
        <v>2.1879900000000001</v>
      </c>
      <c r="AE1270" s="217"/>
      <c r="AF1270" s="217">
        <v>1140</v>
      </c>
      <c r="AH1270">
        <f t="shared" si="1040"/>
        <v>1140</v>
      </c>
    </row>
    <row r="1271" ht="60" hidden="1">
      <c r="A1271" s="217"/>
      <c r="B1271" s="217">
        <v>1140</v>
      </c>
      <c r="C1271" s="217"/>
      <c r="D1271" s="217" t="s">
        <v>17167</v>
      </c>
      <c r="E1271" s="471" t="s">
        <v>20409</v>
      </c>
      <c r="F1271" s="482">
        <v>95875</v>
      </c>
      <c r="G1271" s="470" t="s">
        <v>20668</v>
      </c>
      <c r="H1271" s="540" t="s">
        <v>20669</v>
      </c>
      <c r="I1271" s="483">
        <v>513.71000000000004</v>
      </c>
      <c r="J1271" s="473">
        <f t="shared" si="1047"/>
        <v>2.7599999999999998</v>
      </c>
      <c r="K1271" s="474">
        <f t="shared" si="1057"/>
        <v>1417.8396</v>
      </c>
      <c r="L1271" s="473">
        <f t="shared" si="1055"/>
        <v>2.73</v>
      </c>
      <c r="M1271" s="474">
        <f t="shared" si="1058"/>
        <v>1402.4283</v>
      </c>
      <c r="O1271" s="434">
        <f t="shared" si="1052"/>
        <v>2.7599999999999998</v>
      </c>
      <c r="P1271" s="435">
        <f t="shared" si="1053"/>
        <v>2.73</v>
      </c>
      <c r="AE1271" s="217"/>
      <c r="AF1271" s="217">
        <v>1140</v>
      </c>
      <c r="AH1271">
        <f t="shared" si="1040"/>
        <v>1140</v>
      </c>
    </row>
    <row r="1272" hidden="1">
      <c r="A1272" s="217"/>
      <c r="B1272" s="217">
        <v>1140</v>
      </c>
      <c r="C1272" s="217"/>
      <c r="D1272" s="217" t="s">
        <v>17167</v>
      </c>
      <c r="E1272" s="471" t="s">
        <v>20663</v>
      </c>
      <c r="F1272" s="540">
        <v>98504</v>
      </c>
      <c r="G1272" s="568" t="s">
        <v>21270</v>
      </c>
      <c r="H1272" s="540" t="s">
        <v>15515</v>
      </c>
      <c r="I1272" s="483">
        <v>224.11000000000001</v>
      </c>
      <c r="J1272" s="473">
        <f t="shared" si="1047"/>
        <v>11.390000000000001</v>
      </c>
      <c r="K1272" s="474">
        <f t="shared" si="1057"/>
        <v>2552.6129000000001</v>
      </c>
      <c r="L1272" s="473">
        <f t="shared" si="1055"/>
        <v>11.18</v>
      </c>
      <c r="M1272" s="474">
        <f t="shared" si="1058"/>
        <v>2505.5498000000002</v>
      </c>
      <c r="O1272" s="434">
        <f t="shared" si="1052"/>
        <v>11.390000000000001</v>
      </c>
      <c r="P1272" s="435">
        <f t="shared" si="1053"/>
        <v>11.18</v>
      </c>
      <c r="AE1272" s="217"/>
      <c r="AF1272" s="217">
        <v>1140</v>
      </c>
      <c r="AH1272">
        <f t="shared" si="1040"/>
        <v>1140</v>
      </c>
    </row>
    <row r="1273" ht="75" hidden="1">
      <c r="A1273" s="217"/>
      <c r="B1273" s="217">
        <v>1140</v>
      </c>
      <c r="C1273" s="217"/>
      <c r="D1273" s="217" t="s">
        <v>20398</v>
      </c>
      <c r="E1273" s="471" t="s">
        <v>20665</v>
      </c>
      <c r="F1273" s="540">
        <v>1268</v>
      </c>
      <c r="G1273" s="568" t="s">
        <v>21271</v>
      </c>
      <c r="H1273" s="540" t="s">
        <v>38</v>
      </c>
      <c r="I1273" s="483">
        <v>50.049999999999997</v>
      </c>
      <c r="J1273" s="473">
        <f t="shared" si="1047"/>
        <v>24.266182000000001</v>
      </c>
      <c r="K1273" s="474">
        <f t="shared" si="1057"/>
        <v>1214.5224091</v>
      </c>
      <c r="L1273" s="473">
        <f t="shared" si="1055"/>
        <v>23.659343499999999</v>
      </c>
      <c r="M1273" s="474">
        <f t="shared" si="1058"/>
        <v>1184.1501421749999</v>
      </c>
      <c r="O1273" s="434">
        <f t="shared" si="1052"/>
        <v>24.266182000000001</v>
      </c>
      <c r="P1273" s="435">
        <f t="shared" si="1053"/>
        <v>23.659343499999999</v>
      </c>
      <c r="AE1273" s="217"/>
      <c r="AF1273" s="217">
        <v>1140</v>
      </c>
      <c r="AH1273">
        <f t="shared" si="1040"/>
        <v>1140</v>
      </c>
    </row>
    <row r="1274" ht="35.25" hidden="1" customHeight="1">
      <c r="A1274" s="460">
        <v>1141</v>
      </c>
      <c r="B1274" s="460">
        <v>1141</v>
      </c>
      <c r="C1274" s="460"/>
      <c r="D1274" s="460"/>
      <c r="E1274" s="461">
        <v>1</v>
      </c>
      <c r="F1274" s="462" t="s">
        <v>21274</v>
      </c>
      <c r="G1274" s="477" t="s">
        <v>21275</v>
      </c>
      <c r="H1274" s="478" t="s">
        <v>31</v>
      </c>
      <c r="I1274" s="479"/>
      <c r="J1274" s="480"/>
      <c r="K1274" s="466">
        <f>SUM(K1275:K1293)</f>
        <v>24708.039283377795</v>
      </c>
      <c r="L1274" s="480"/>
      <c r="M1274" s="466">
        <f>SUM(M1275:M1293)</f>
        <v>24243.903348220287</v>
      </c>
      <c r="O1274" s="434" t="str">
        <f t="shared" si="1052"/>
        <v xml:space="preserve">SEM VALOR</v>
      </c>
      <c r="P1274" s="435" t="str">
        <f t="shared" si="1053"/>
        <v xml:space="preserve">SEM VALOR</v>
      </c>
      <c r="AE1274" s="460">
        <v>1141</v>
      </c>
      <c r="AF1274" s="460"/>
      <c r="AH1274">
        <f t="shared" si="1040"/>
        <v>1141</v>
      </c>
    </row>
    <row r="1275" ht="120" hidden="1">
      <c r="A1275" s="217"/>
      <c r="B1275" s="217">
        <v>1141</v>
      </c>
      <c r="C1275" s="217"/>
      <c r="D1275" s="217" t="s">
        <v>17167</v>
      </c>
      <c r="E1275" s="471" t="s">
        <v>20399</v>
      </c>
      <c r="F1275" s="540">
        <v>90091</v>
      </c>
      <c r="G1275" s="568" t="s">
        <v>20961</v>
      </c>
      <c r="H1275" s="540" t="s">
        <v>15528</v>
      </c>
      <c r="I1275" s="483">
        <f>(0.2+0.075+0.325+0.48+0.1)*(9.04-2.65+0.3*2)*(1.44+0.3*2)</f>
        <v>16.826328</v>
      </c>
      <c r="J1275" s="473">
        <f t="shared" si="1047"/>
        <v>6.1799999999999997</v>
      </c>
      <c r="K1275" s="474">
        <f t="shared" ref="K1275:K1293" si="1059">I1275*J1275</f>
        <v>103.98670704</v>
      </c>
      <c r="L1275" s="473">
        <f t="shared" si="1055"/>
        <v>6.0700000000000003</v>
      </c>
      <c r="M1275" s="474">
        <f t="shared" ref="M1275:M1293" si="1060">L1275*I1275</f>
        <v>102.13581096</v>
      </c>
      <c r="O1275" s="434">
        <f t="shared" si="1052"/>
        <v>6.1799999999999997</v>
      </c>
      <c r="P1275" s="435">
        <f t="shared" si="1053"/>
        <v>6.0700000000000003</v>
      </c>
      <c r="T1275" s="143" t="s">
        <v>21276</v>
      </c>
      <c r="Z1275" s="81">
        <f>(9.04-1.9-0.2*2)</f>
        <v>6.7400000000000002</v>
      </c>
      <c r="AA1275" s="81">
        <f>(0.2+0.075+0.325+0.48+0.1)</f>
        <v>1.1799999999999999</v>
      </c>
      <c r="AE1275" s="217"/>
      <c r="AF1275" s="217">
        <v>1141</v>
      </c>
      <c r="AH1275">
        <f t="shared" si="1040"/>
        <v>1141</v>
      </c>
    </row>
    <row r="1276" ht="75" hidden="1">
      <c r="A1276" s="217"/>
      <c r="B1276" s="217">
        <v>1141</v>
      </c>
      <c r="C1276" s="217"/>
      <c r="D1276" s="217" t="s">
        <v>17167</v>
      </c>
      <c r="E1276" s="471" t="s">
        <v>20402</v>
      </c>
      <c r="F1276" s="540">
        <v>102281</v>
      </c>
      <c r="G1276" s="568" t="s">
        <v>21277</v>
      </c>
      <c r="H1276" s="540" t="s">
        <v>15528</v>
      </c>
      <c r="I1276" s="483">
        <f>(0.2+0.075+0.325+0.48+0.1+0.82+0.15)*1.74*2.65</f>
        <v>9.9136500000000005</v>
      </c>
      <c r="J1276" s="473">
        <f t="shared" si="1047"/>
        <v>5.8300000000000001</v>
      </c>
      <c r="K1276" s="474">
        <f t="shared" si="1059"/>
        <v>57.796579500000007</v>
      </c>
      <c r="L1276" s="473">
        <f t="shared" si="1055"/>
        <v>5.7199999999999998</v>
      </c>
      <c r="M1276" s="474">
        <f t="shared" si="1060"/>
        <v>56.706077999999998</v>
      </c>
      <c r="O1276" s="434">
        <f t="shared" si="1052"/>
        <v>5.8300000000000001</v>
      </c>
      <c r="P1276" s="435">
        <f t="shared" si="1053"/>
        <v>5.7199999999999998</v>
      </c>
      <c r="T1276" s="143" t="s">
        <v>21278</v>
      </c>
      <c r="Z1276" s="570">
        <f>1.9+0.2*2</f>
        <v>2.2999999999999998</v>
      </c>
      <c r="AA1276" s="81"/>
      <c r="AE1276" s="217"/>
      <c r="AF1276" s="217">
        <v>1141</v>
      </c>
      <c r="AH1276">
        <f t="shared" si="1040"/>
        <v>1141</v>
      </c>
    </row>
    <row r="1277" ht="75" hidden="1">
      <c r="A1277" s="217"/>
      <c r="B1277" s="217">
        <v>1141</v>
      </c>
      <c r="C1277" s="217"/>
      <c r="D1277" s="217" t="s">
        <v>17167</v>
      </c>
      <c r="E1277" s="471" t="s">
        <v>20405</v>
      </c>
      <c r="F1277" s="540">
        <v>101617</v>
      </c>
      <c r="G1277" s="568" t="s">
        <v>20963</v>
      </c>
      <c r="H1277" s="540" t="s">
        <v>15515</v>
      </c>
      <c r="I1277" s="483">
        <f>1.74*2.65+1.44*(9.04-1.9-0.2*2)</f>
        <v>14.316599999999999</v>
      </c>
      <c r="J1277" s="473">
        <f t="shared" si="1047"/>
        <v>3.5299999999999998</v>
      </c>
      <c r="K1277" s="474">
        <f t="shared" si="1059"/>
        <v>50.537597999999996</v>
      </c>
      <c r="L1277" s="473">
        <f t="shared" si="1055"/>
        <v>3.3399999999999999</v>
      </c>
      <c r="M1277" s="474">
        <f t="shared" si="1060"/>
        <v>47.817443999999995</v>
      </c>
      <c r="O1277" s="434">
        <f t="shared" si="1052"/>
        <v>3.5299999999999998</v>
      </c>
      <c r="P1277" s="435">
        <f t="shared" si="1053"/>
        <v>3.3399999999999999</v>
      </c>
      <c r="AE1277" s="217"/>
      <c r="AF1277" s="217">
        <v>1141</v>
      </c>
      <c r="AH1277">
        <f t="shared" si="1040"/>
        <v>1141</v>
      </c>
    </row>
    <row r="1278" ht="75" hidden="1">
      <c r="A1278" s="217"/>
      <c r="B1278" s="217">
        <v>1141</v>
      </c>
      <c r="C1278" s="217"/>
      <c r="D1278" s="217" t="s">
        <v>20398</v>
      </c>
      <c r="E1278" s="471" t="s">
        <v>20409</v>
      </c>
      <c r="F1278" s="540">
        <v>1255</v>
      </c>
      <c r="G1278" s="568" t="s">
        <v>20964</v>
      </c>
      <c r="H1278" s="540" t="s">
        <v>15528</v>
      </c>
      <c r="I1278" s="483">
        <f>I1275+I1276-1.74*2.65*0.15-2.3*0.82-6.74*1.18</f>
        <v>16.209128</v>
      </c>
      <c r="J1278" s="473">
        <f t="shared" si="1047"/>
        <v>29.707014000000001</v>
      </c>
      <c r="K1278" s="474">
        <f t="shared" si="1059"/>
        <v>481.52479242379201</v>
      </c>
      <c r="L1278" s="473">
        <f t="shared" si="1055"/>
        <v>28.497014</v>
      </c>
      <c r="M1278" s="474">
        <f t="shared" si="1060"/>
        <v>461.91174754379199</v>
      </c>
      <c r="O1278" s="434">
        <f t="shared" si="1052"/>
        <v>29.707014000000001</v>
      </c>
      <c r="P1278" s="435">
        <f t="shared" si="1053"/>
        <v>28.497014</v>
      </c>
      <c r="AE1278" s="217"/>
      <c r="AF1278" s="217">
        <v>1141</v>
      </c>
      <c r="AH1278">
        <f t="shared" si="1040"/>
        <v>1141</v>
      </c>
    </row>
    <row r="1279" ht="105" hidden="1">
      <c r="A1279" s="217"/>
      <c r="B1279" s="217">
        <v>1141</v>
      </c>
      <c r="C1279" s="217"/>
      <c r="D1279" s="217" t="s">
        <v>20398</v>
      </c>
      <c r="E1279" s="471" t="s">
        <v>20663</v>
      </c>
      <c r="F1279" s="540">
        <v>1092</v>
      </c>
      <c r="G1279" s="568" t="s">
        <v>20666</v>
      </c>
      <c r="H1279" s="540" t="s">
        <v>15528</v>
      </c>
      <c r="I1279" s="483">
        <f>I1275+I1276-I1278</f>
        <v>10.530849999999999</v>
      </c>
      <c r="J1279" s="473">
        <f t="shared" si="1047"/>
        <v>2.2000000000000002</v>
      </c>
      <c r="K1279" s="474">
        <f t="shared" si="1059"/>
        <v>23.167870000000001</v>
      </c>
      <c r="L1279" s="473">
        <f t="shared" si="1055"/>
        <v>2.1879900000000001</v>
      </c>
      <c r="M1279" s="474">
        <f t="shared" si="1060"/>
        <v>23.0413944915</v>
      </c>
      <c r="O1279" s="434">
        <f t="shared" si="1052"/>
        <v>2.2000000000000002</v>
      </c>
      <c r="P1279" s="435">
        <f t="shared" si="1053"/>
        <v>2.1879900000000001</v>
      </c>
      <c r="AE1279" s="217"/>
      <c r="AF1279" s="217">
        <v>1141</v>
      </c>
      <c r="AH1279">
        <f t="shared" si="1040"/>
        <v>1141</v>
      </c>
    </row>
    <row r="1280" ht="60" hidden="1">
      <c r="A1280" s="217"/>
      <c r="B1280" s="217">
        <v>1141</v>
      </c>
      <c r="C1280" s="217"/>
      <c r="D1280" s="217" t="s">
        <v>17167</v>
      </c>
      <c r="E1280" s="471" t="s">
        <v>20665</v>
      </c>
      <c r="F1280" s="540">
        <v>95875</v>
      </c>
      <c r="G1280" s="568" t="s">
        <v>20668</v>
      </c>
      <c r="H1280" s="540" t="s">
        <v>20669</v>
      </c>
      <c r="I1280" s="483">
        <f>I1279*5*1.3</f>
        <v>68.450524999999999</v>
      </c>
      <c r="J1280" s="473">
        <f t="shared" si="1047"/>
        <v>2.7599999999999998</v>
      </c>
      <c r="K1280" s="474">
        <f t="shared" si="1059"/>
        <v>188.92344899999998</v>
      </c>
      <c r="L1280" s="473">
        <f t="shared" si="1055"/>
        <v>2.73</v>
      </c>
      <c r="M1280" s="474">
        <f t="shared" si="1060"/>
        <v>186.86993325</v>
      </c>
      <c r="O1280" s="434">
        <f t="shared" si="1052"/>
        <v>2.7599999999999998</v>
      </c>
      <c r="P1280" s="435">
        <f t="shared" si="1053"/>
        <v>2.73</v>
      </c>
      <c r="AE1280" s="217"/>
      <c r="AF1280" s="217">
        <v>1141</v>
      </c>
      <c r="AH1280">
        <f t="shared" si="1040"/>
        <v>1141</v>
      </c>
    </row>
    <row r="1281" ht="60" hidden="1">
      <c r="A1281" s="217"/>
      <c r="B1281" s="217">
        <v>1141</v>
      </c>
      <c r="C1281" s="217"/>
      <c r="D1281" s="217" t="s">
        <v>17167</v>
      </c>
      <c r="E1281" s="471" t="s">
        <v>20667</v>
      </c>
      <c r="F1281" s="540">
        <v>96530</v>
      </c>
      <c r="G1281" s="568" t="s">
        <v>20966</v>
      </c>
      <c r="H1281" s="540" t="s">
        <v>15515</v>
      </c>
      <c r="I1281" s="483">
        <f>0.4*(1.44*2*2+9.04*2*2)+0.325*(2*8)+0.2*1*8</f>
        <v>23.568000000000001</v>
      </c>
      <c r="J1281" s="473">
        <f t="shared" si="1047"/>
        <v>129.25999999999999</v>
      </c>
      <c r="K1281" s="474">
        <f t="shared" si="1059"/>
        <v>3046.39968</v>
      </c>
      <c r="L1281" s="473">
        <f t="shared" si="1055"/>
        <v>125.91</v>
      </c>
      <c r="M1281" s="474">
        <f t="shared" si="1060"/>
        <v>2967.44688</v>
      </c>
      <c r="O1281" s="434">
        <f t="shared" si="1052"/>
        <v>129.25999999999999</v>
      </c>
      <c r="P1281" s="435">
        <f t="shared" si="1053"/>
        <v>125.91</v>
      </c>
      <c r="AE1281" s="217"/>
      <c r="AF1281" s="217">
        <v>1141</v>
      </c>
      <c r="AH1281">
        <f t="shared" si="1040"/>
        <v>1141</v>
      </c>
    </row>
    <row r="1282" ht="75" hidden="1">
      <c r="A1282" s="217"/>
      <c r="B1282" s="217">
        <v>1141</v>
      </c>
      <c r="C1282" s="217"/>
      <c r="D1282" s="217" t="s">
        <v>20398</v>
      </c>
      <c r="E1282" s="471" t="s">
        <v>20671</v>
      </c>
      <c r="F1282" s="540">
        <v>1064</v>
      </c>
      <c r="G1282" s="568" t="s">
        <v>20967</v>
      </c>
      <c r="H1282" s="540" t="s">
        <v>15515</v>
      </c>
      <c r="I1282" s="483">
        <f>0.82*(1.95*2+1.44*2)+0.48*(9.04*2+1.44*2)</f>
        <v>15.6204</v>
      </c>
      <c r="J1282" s="473">
        <f t="shared" si="1047"/>
        <v>202.79016000000001</v>
      </c>
      <c r="K1282" s="474">
        <f t="shared" si="1059"/>
        <v>3167.6634152640004</v>
      </c>
      <c r="L1282" s="473">
        <f t="shared" si="1055"/>
        <v>197.94299999999998</v>
      </c>
      <c r="M1282" s="474">
        <f t="shared" si="1060"/>
        <v>3091.9488371999996</v>
      </c>
      <c r="O1282" s="434">
        <f t="shared" si="1052"/>
        <v>202.79016000000001</v>
      </c>
      <c r="P1282" s="435">
        <f t="shared" si="1053"/>
        <v>197.94299999999998</v>
      </c>
      <c r="AE1282" s="217"/>
      <c r="AF1282" s="217">
        <v>1141</v>
      </c>
      <c r="AH1282">
        <f t="shared" si="1040"/>
        <v>1141</v>
      </c>
    </row>
    <row r="1283" ht="75" hidden="1">
      <c r="A1283" s="217"/>
      <c r="B1283" s="217">
        <v>1141</v>
      </c>
      <c r="C1283" s="217"/>
      <c r="D1283" s="217" t="s">
        <v>17167</v>
      </c>
      <c r="E1283" s="471" t="s">
        <v>20672</v>
      </c>
      <c r="F1283" s="540">
        <v>87878</v>
      </c>
      <c r="G1283" s="568" t="s">
        <v>20910</v>
      </c>
      <c r="H1283" s="540" t="s">
        <v>15515</v>
      </c>
      <c r="I1283" s="483">
        <f>1.72*9.04*2*2+1.72*1.44*2*2</f>
        <v>72.102400000000003</v>
      </c>
      <c r="J1283" s="473">
        <f t="shared" si="1047"/>
        <v>5.0099999999999998</v>
      </c>
      <c r="K1283" s="474">
        <f t="shared" si="1059"/>
        <v>361.233024</v>
      </c>
      <c r="L1283" s="473">
        <f t="shared" si="1055"/>
        <v>4.7999999999999998</v>
      </c>
      <c r="M1283" s="474">
        <f t="shared" si="1060"/>
        <v>346.09152</v>
      </c>
      <c r="O1283" s="434">
        <f t="shared" si="1052"/>
        <v>5.0099999999999998</v>
      </c>
      <c r="P1283" s="435">
        <f t="shared" si="1053"/>
        <v>4.7999999999999998</v>
      </c>
      <c r="AE1283" s="217"/>
      <c r="AF1283" s="217">
        <v>1141</v>
      </c>
      <c r="AH1283">
        <f t="shared" si="1040"/>
        <v>1141</v>
      </c>
    </row>
    <row r="1284" ht="60" hidden="1">
      <c r="A1284" s="217"/>
      <c r="B1284" s="217">
        <v>1141</v>
      </c>
      <c r="C1284" s="217"/>
      <c r="D1284" s="217" t="s">
        <v>20398</v>
      </c>
      <c r="E1284" s="471" t="s">
        <v>20673</v>
      </c>
      <c r="F1284" s="540">
        <v>1421</v>
      </c>
      <c r="G1284" s="568" t="s">
        <v>21279</v>
      </c>
      <c r="H1284" s="540" t="s">
        <v>15515</v>
      </c>
      <c r="I1284" s="483">
        <f>(0.82+0.1+0.48)*2*8.88+(0.82+0.1+0.48)*1*2</f>
        <v>27.664000000000001</v>
      </c>
      <c r="J1284" s="473">
        <f t="shared" si="1047"/>
        <v>46.577570000000001</v>
      </c>
      <c r="K1284" s="474">
        <f t="shared" si="1059"/>
        <v>1288.5218964800001</v>
      </c>
      <c r="L1284" s="473">
        <f t="shared" si="1055"/>
        <v>44.735900000000001</v>
      </c>
      <c r="M1284" s="474">
        <f t="shared" si="1060"/>
        <v>1237.5739376000001</v>
      </c>
      <c r="O1284" s="434">
        <f t="shared" si="1052"/>
        <v>46.577570000000001</v>
      </c>
      <c r="P1284" s="435">
        <f t="shared" si="1053"/>
        <v>44.735900000000001</v>
      </c>
      <c r="AE1284" s="217"/>
      <c r="AF1284" s="217">
        <v>1141</v>
      </c>
      <c r="AH1284">
        <f t="shared" si="1040"/>
        <v>1141</v>
      </c>
    </row>
    <row r="1285" ht="60" hidden="1">
      <c r="A1285" s="217"/>
      <c r="B1285" s="217">
        <v>1141</v>
      </c>
      <c r="C1285" s="217"/>
      <c r="D1285" s="217" t="s">
        <v>20398</v>
      </c>
      <c r="E1285" s="471" t="s">
        <v>20675</v>
      </c>
      <c r="F1285" s="540">
        <v>1059</v>
      </c>
      <c r="G1285" s="568" t="s">
        <v>20965</v>
      </c>
      <c r="H1285" s="540" t="s">
        <v>15528</v>
      </c>
      <c r="I1285" s="483">
        <f>1.9*(0.16+0.11)/2*1</f>
        <v>0.25650000000000001</v>
      </c>
      <c r="J1285" s="473">
        <f t="shared" si="1047"/>
        <v>453.00401999999997</v>
      </c>
      <c r="K1285" s="474">
        <f t="shared" si="1059"/>
        <v>116.19553112999999</v>
      </c>
      <c r="L1285" s="473">
        <f t="shared" si="1055"/>
        <v>445.74401999999998</v>
      </c>
      <c r="M1285" s="474">
        <f t="shared" si="1060"/>
        <v>114.33334112999999</v>
      </c>
      <c r="O1285" s="434">
        <f t="shared" si="1052"/>
        <v>453.00401999999997</v>
      </c>
      <c r="P1285" s="435">
        <f t="shared" si="1053"/>
        <v>445.74401999999998</v>
      </c>
      <c r="AE1285" s="217"/>
      <c r="AF1285" s="217">
        <v>1141</v>
      </c>
      <c r="AH1285">
        <f t="shared" si="1040"/>
        <v>1141</v>
      </c>
    </row>
    <row r="1286" ht="75" hidden="1">
      <c r="A1286" s="217"/>
      <c r="B1286" s="217">
        <v>1141</v>
      </c>
      <c r="C1286" s="217"/>
      <c r="D1286" s="217" t="s">
        <v>17167</v>
      </c>
      <c r="E1286" s="471" t="s">
        <v>20677</v>
      </c>
      <c r="F1286" s="540">
        <v>94963</v>
      </c>
      <c r="G1286" s="568" t="s">
        <v>8707</v>
      </c>
      <c r="H1286" s="540" t="s">
        <v>15528</v>
      </c>
      <c r="I1286" s="483">
        <f>1.74*2.65*0.15+7.14*0.1*1.44+1.2*0.15*8.88*2</f>
        <v>4.9166100000000004</v>
      </c>
      <c r="J1286" s="473">
        <f t="shared" si="1047"/>
        <v>441.43000000000001</v>
      </c>
      <c r="K1286" s="474">
        <f t="shared" si="1059"/>
        <v>2170.3391523</v>
      </c>
      <c r="L1286" s="473">
        <f t="shared" si="1055"/>
        <v>436.14999999999998</v>
      </c>
      <c r="M1286" s="474">
        <f t="shared" si="1060"/>
        <v>2144.3794515</v>
      </c>
      <c r="O1286" s="434">
        <f t="shared" si="1052"/>
        <v>441.43000000000001</v>
      </c>
      <c r="P1286" s="435">
        <f t="shared" si="1053"/>
        <v>436.14999999999998</v>
      </c>
      <c r="T1286" s="143" t="s">
        <v>21280</v>
      </c>
      <c r="AE1286" s="217"/>
      <c r="AF1286" s="217">
        <v>1141</v>
      </c>
      <c r="AH1286" s="570">
        <f t="shared" si="1040"/>
        <v>1141</v>
      </c>
    </row>
    <row r="1287" ht="60" hidden="1">
      <c r="A1287" s="217"/>
      <c r="B1287" s="217">
        <v>1141</v>
      </c>
      <c r="C1287" s="217"/>
      <c r="D1287" s="217" t="s">
        <v>17167</v>
      </c>
      <c r="E1287" s="471" t="s">
        <v>20679</v>
      </c>
      <c r="F1287" s="540">
        <v>94964</v>
      </c>
      <c r="G1287" s="568" t="s">
        <v>20686</v>
      </c>
      <c r="H1287" s="540" t="s">
        <v>15528</v>
      </c>
      <c r="I1287" s="483">
        <f>0.2*0.4*9.04*2+0.2*0.4*1*2+0.2*0.325*8</f>
        <v>2.1263999999999998</v>
      </c>
      <c r="J1287" s="473">
        <f t="shared" si="1047"/>
        <v>488.52999999999997</v>
      </c>
      <c r="K1287" s="474">
        <f t="shared" si="1059"/>
        <v>1038.8101919999999</v>
      </c>
      <c r="L1287" s="473">
        <f t="shared" si="1055"/>
        <v>482.79000000000002</v>
      </c>
      <c r="M1287" s="474">
        <f t="shared" si="1060"/>
        <v>1026.604656</v>
      </c>
      <c r="O1287" s="434">
        <f t="shared" si="1052"/>
        <v>488.52999999999997</v>
      </c>
      <c r="P1287" s="435">
        <f t="shared" si="1053"/>
        <v>482.79000000000002</v>
      </c>
      <c r="AE1287" s="217"/>
      <c r="AF1287" s="217">
        <v>1141</v>
      </c>
      <c r="AH1287">
        <f t="shared" ref="AH1287:AH1350" si="1061">IF(AF1287:AF1288=FALSE,AE1287,AF1287)</f>
        <v>1141</v>
      </c>
    </row>
    <row r="1288" ht="45" hidden="1">
      <c r="A1288" s="217"/>
      <c r="B1288" s="217">
        <v>1141</v>
      </c>
      <c r="C1288" s="217"/>
      <c r="D1288" s="217" t="s">
        <v>20398</v>
      </c>
      <c r="E1288" s="471" t="s">
        <v>20681</v>
      </c>
      <c r="F1288" s="540">
        <v>1000</v>
      </c>
      <c r="G1288" s="568" t="s">
        <v>20651</v>
      </c>
      <c r="H1288" s="540" t="s">
        <v>15528</v>
      </c>
      <c r="I1288" s="483">
        <f>I1285+I1286+I1287</f>
        <v>7.2995099999999997</v>
      </c>
      <c r="J1288" s="473">
        <f t="shared" si="1047"/>
        <v>149.904</v>
      </c>
      <c r="K1288" s="474">
        <f t="shared" si="1059"/>
        <v>1094.22574704</v>
      </c>
      <c r="L1288" s="473">
        <f t="shared" si="1055"/>
        <v>141.76949999999999</v>
      </c>
      <c r="M1288" s="474">
        <f t="shared" si="1060"/>
        <v>1034.8478829449998</v>
      </c>
      <c r="O1288" s="434">
        <f t="shared" si="1052"/>
        <v>149.904</v>
      </c>
      <c r="P1288" s="435">
        <f t="shared" si="1053"/>
        <v>141.76949999999999</v>
      </c>
      <c r="AE1288" s="217"/>
      <c r="AF1288" s="217">
        <v>1141</v>
      </c>
      <c r="AH1288">
        <f t="shared" si="1061"/>
        <v>1141</v>
      </c>
    </row>
    <row r="1289" ht="75" hidden="1">
      <c r="A1289" s="217"/>
      <c r="B1289" s="217">
        <v>1141</v>
      </c>
      <c r="C1289" s="217"/>
      <c r="D1289" s="217" t="s">
        <v>17167</v>
      </c>
      <c r="E1289" s="471" t="s">
        <v>20683</v>
      </c>
      <c r="F1289" s="540">
        <v>92919</v>
      </c>
      <c r="G1289" s="568" t="s">
        <v>20985</v>
      </c>
      <c r="H1289" s="540" t="s">
        <v>302</v>
      </c>
      <c r="I1289" s="483">
        <v>108.13</v>
      </c>
      <c r="J1289" s="473">
        <f t="shared" si="1047"/>
        <v>11.74</v>
      </c>
      <c r="K1289" s="474">
        <f t="shared" si="1059"/>
        <v>1269.4461999999999</v>
      </c>
      <c r="L1289" s="473">
        <f t="shared" si="1055"/>
        <v>11.6</v>
      </c>
      <c r="M1289" s="474">
        <f t="shared" si="1060"/>
        <v>1254.308</v>
      </c>
      <c r="O1289" s="434">
        <f t="shared" si="1052"/>
        <v>11.74</v>
      </c>
      <c r="P1289" s="435">
        <f t="shared" si="1053"/>
        <v>11.6</v>
      </c>
      <c r="AE1289" s="217"/>
      <c r="AF1289" s="217">
        <v>1141</v>
      </c>
      <c r="AH1289">
        <f t="shared" si="1061"/>
        <v>1141</v>
      </c>
    </row>
    <row r="1290" ht="75" hidden="1">
      <c r="A1290" s="217"/>
      <c r="B1290" s="217">
        <v>1141</v>
      </c>
      <c r="C1290" s="217"/>
      <c r="D1290" s="217" t="s">
        <v>17167</v>
      </c>
      <c r="E1290" s="471" t="s">
        <v>20685</v>
      </c>
      <c r="F1290" s="540">
        <v>92915</v>
      </c>
      <c r="G1290" s="568" t="s">
        <v>20970</v>
      </c>
      <c r="H1290" s="540" t="s">
        <v>302</v>
      </c>
      <c r="I1290" s="483">
        <f>20.32</f>
        <v>20.32</v>
      </c>
      <c r="J1290" s="473">
        <f t="shared" si="1047"/>
        <v>16.649999999999999</v>
      </c>
      <c r="K1290" s="474">
        <f t="shared" si="1059"/>
        <v>338.32799999999997</v>
      </c>
      <c r="L1290" s="473">
        <f t="shared" si="1055"/>
        <v>16.199999999999999</v>
      </c>
      <c r="M1290" s="474">
        <f t="shared" si="1060"/>
        <v>329.18399999999997</v>
      </c>
      <c r="O1290" s="434">
        <f t="shared" si="1052"/>
        <v>16.649999999999999</v>
      </c>
      <c r="P1290" s="435">
        <f t="shared" si="1053"/>
        <v>16.199999999999999</v>
      </c>
      <c r="AE1290" s="217"/>
      <c r="AF1290" s="217">
        <v>1141</v>
      </c>
      <c r="AH1290">
        <f t="shared" si="1061"/>
        <v>1141</v>
      </c>
    </row>
    <row r="1291" ht="60" hidden="1">
      <c r="A1291" s="217"/>
      <c r="B1291" s="217">
        <v>1141</v>
      </c>
      <c r="C1291" s="217"/>
      <c r="D1291" s="217" t="s">
        <v>17167</v>
      </c>
      <c r="E1291" s="471" t="s">
        <v>20687</v>
      </c>
      <c r="F1291" s="540">
        <v>91593</v>
      </c>
      <c r="G1291" s="568" t="s">
        <v>20971</v>
      </c>
      <c r="H1291" s="540" t="s">
        <v>302</v>
      </c>
      <c r="I1291" s="483">
        <v>46.460000000000001</v>
      </c>
      <c r="J1291" s="473">
        <f t="shared" si="1047"/>
        <v>10.199999999999999</v>
      </c>
      <c r="K1291" s="474">
        <f t="shared" si="1059"/>
        <v>473.892</v>
      </c>
      <c r="L1291" s="473">
        <f t="shared" si="1055"/>
        <v>10.16</v>
      </c>
      <c r="M1291" s="474">
        <f t="shared" si="1060"/>
        <v>472.03360000000004</v>
      </c>
      <c r="O1291" s="434">
        <f t="shared" si="1052"/>
        <v>10.199999999999999</v>
      </c>
      <c r="P1291" s="435">
        <f t="shared" si="1053"/>
        <v>10.16</v>
      </c>
      <c r="AE1291" s="217"/>
      <c r="AF1291" s="217">
        <v>1141</v>
      </c>
      <c r="AH1291">
        <f t="shared" si="1061"/>
        <v>1141</v>
      </c>
    </row>
    <row r="1292" ht="75" hidden="1">
      <c r="A1292" s="217"/>
      <c r="B1292" s="217">
        <v>1141</v>
      </c>
      <c r="C1292" s="217"/>
      <c r="D1292" s="217" t="s">
        <v>20398</v>
      </c>
      <c r="E1292" s="471" t="s">
        <v>20689</v>
      </c>
      <c r="F1292" s="540">
        <v>1058</v>
      </c>
      <c r="G1292" s="568" t="s">
        <v>21281</v>
      </c>
      <c r="H1292" s="540" t="s">
        <v>15515</v>
      </c>
      <c r="I1292" s="483">
        <f>1.2*8.88*2</f>
        <v>21.312000000000001</v>
      </c>
      <c r="J1292" s="473">
        <f t="shared" si="1047"/>
        <v>30.214100000000002</v>
      </c>
      <c r="K1292" s="474">
        <f t="shared" si="1059"/>
        <v>643.92289920000007</v>
      </c>
      <c r="L1292" s="473">
        <f t="shared" si="1055"/>
        <v>29.332799999999999</v>
      </c>
      <c r="M1292" s="474">
        <f t="shared" si="1060"/>
        <v>625.1406336</v>
      </c>
      <c r="O1292" s="434">
        <f t="shared" si="1052"/>
        <v>30.214100000000002</v>
      </c>
      <c r="P1292" s="435">
        <f t="shared" si="1053"/>
        <v>29.332799999999999</v>
      </c>
      <c r="AE1292" s="217"/>
      <c r="AF1292" s="217">
        <v>1141</v>
      </c>
      <c r="AH1292">
        <f t="shared" si="1061"/>
        <v>1141</v>
      </c>
    </row>
    <row r="1293" ht="30" hidden="1">
      <c r="A1293" s="217"/>
      <c r="B1293" s="217">
        <v>1141</v>
      </c>
      <c r="C1293" s="217"/>
      <c r="D1293" s="217" t="s">
        <v>20398</v>
      </c>
      <c r="E1293" s="471" t="s">
        <v>20882</v>
      </c>
      <c r="F1293" s="540">
        <v>1131</v>
      </c>
      <c r="G1293" s="568" t="s">
        <v>21239</v>
      </c>
      <c r="H1293" s="540" t="s">
        <v>31</v>
      </c>
      <c r="I1293" s="483">
        <v>1</v>
      </c>
      <c r="J1293" s="474">
        <f t="shared" si="1047"/>
        <v>8793.1245500000005</v>
      </c>
      <c r="K1293" s="474">
        <f t="shared" si="1059"/>
        <v>8793.1245500000005</v>
      </c>
      <c r="L1293" s="474">
        <f t="shared" si="1055"/>
        <v>8721.5281999999988</v>
      </c>
      <c r="M1293" s="474">
        <f t="shared" si="1060"/>
        <v>8721.5281999999988</v>
      </c>
      <c r="O1293" s="434">
        <f t="shared" si="1052"/>
        <v>8793.1245500000005</v>
      </c>
      <c r="P1293" s="435">
        <f t="shared" si="1053"/>
        <v>8721.5281999999988</v>
      </c>
      <c r="AE1293" s="217"/>
      <c r="AF1293" s="217">
        <v>1141</v>
      </c>
      <c r="AH1293">
        <f t="shared" si="1061"/>
        <v>1141</v>
      </c>
    </row>
    <row r="1294" ht="31.5" hidden="1">
      <c r="A1294" s="460">
        <v>1142</v>
      </c>
      <c r="B1294" s="460">
        <v>1142</v>
      </c>
      <c r="C1294" s="460"/>
      <c r="D1294" s="460"/>
      <c r="E1294" s="461">
        <v>1</v>
      </c>
      <c r="F1294" s="462" t="s">
        <v>21282</v>
      </c>
      <c r="G1294" s="477" t="s">
        <v>21283</v>
      </c>
      <c r="H1294" s="478" t="s">
        <v>31</v>
      </c>
      <c r="I1294" s="479"/>
      <c r="J1294" s="480"/>
      <c r="K1294" s="466">
        <f>SUM(K1295:K1313)</f>
        <v>31808.201918510611</v>
      </c>
      <c r="L1294" s="480"/>
      <c r="M1294" s="466">
        <f>SUM(M1295:M1313)</f>
        <v>31220.865182445108</v>
      </c>
      <c r="O1294" s="434" t="str">
        <f t="shared" si="1052"/>
        <v xml:space="preserve">SEM VALOR</v>
      </c>
      <c r="P1294" s="435" t="str">
        <f t="shared" si="1053"/>
        <v xml:space="preserve">SEM VALOR</v>
      </c>
      <c r="AE1294" s="460">
        <v>1142</v>
      </c>
      <c r="AF1294" s="460"/>
      <c r="AH1294">
        <f t="shared" si="1061"/>
        <v>1142</v>
      </c>
    </row>
    <row r="1295" ht="120" hidden="1">
      <c r="A1295" s="217"/>
      <c r="B1295" s="217">
        <v>1142</v>
      </c>
      <c r="C1295" s="217"/>
      <c r="D1295" s="217" t="s">
        <v>17167</v>
      </c>
      <c r="E1295" s="471" t="s">
        <v>20399</v>
      </c>
      <c r="F1295" s="540">
        <v>90091</v>
      </c>
      <c r="G1295" s="568" t="s">
        <v>20961</v>
      </c>
      <c r="H1295" s="540" t="s">
        <v>15528</v>
      </c>
      <c r="I1295" s="483">
        <f>(0.2+0.075+0.325+0.48+0.1)*(11.81-2.65+0.3*2)*(1.44+0.3*2)</f>
        <v>23.494271999999999</v>
      </c>
      <c r="J1295" s="473">
        <f t="shared" si="1047"/>
        <v>6.1799999999999997</v>
      </c>
      <c r="K1295" s="474">
        <f t="shared" ref="K1295:K1313" si="1062">I1295*J1295</f>
        <v>145.19460095999997</v>
      </c>
      <c r="L1295" s="473">
        <f t="shared" si="1055"/>
        <v>6.0700000000000003</v>
      </c>
      <c r="M1295" s="474">
        <f t="shared" ref="M1295:M1313" si="1063">L1295*I1295</f>
        <v>142.61023104</v>
      </c>
      <c r="O1295" s="434">
        <f t="shared" si="1052"/>
        <v>6.1799999999999997</v>
      </c>
      <c r="P1295" s="435">
        <f t="shared" si="1053"/>
        <v>6.0700000000000003</v>
      </c>
      <c r="T1295" s="143" t="s">
        <v>21284</v>
      </c>
      <c r="Z1295" s="81"/>
      <c r="AE1295" s="217"/>
      <c r="AF1295" s="217">
        <v>1142</v>
      </c>
      <c r="AH1295">
        <f t="shared" si="1061"/>
        <v>1142</v>
      </c>
      <c r="AI1295" s="81">
        <f>11.81-2.65</f>
        <v>9.1600000000000001</v>
      </c>
    </row>
    <row r="1296" ht="75" hidden="1">
      <c r="A1296" s="217"/>
      <c r="B1296" s="217">
        <v>1142</v>
      </c>
      <c r="C1296" s="217"/>
      <c r="D1296" s="217" t="s">
        <v>17167</v>
      </c>
      <c r="E1296" s="471" t="s">
        <v>20402</v>
      </c>
      <c r="F1296" s="540">
        <v>102281</v>
      </c>
      <c r="G1296" s="568" t="s">
        <v>21277</v>
      </c>
      <c r="H1296" s="540" t="s">
        <v>15528</v>
      </c>
      <c r="I1296" s="483">
        <f>(0.2+0.075+0.325+0.48+0.1+0.82+0.15)*1.74*2.65</f>
        <v>9.9136500000000005</v>
      </c>
      <c r="J1296" s="473">
        <f t="shared" si="1047"/>
        <v>5.8300000000000001</v>
      </c>
      <c r="K1296" s="474">
        <f t="shared" si="1062"/>
        <v>57.796579500000007</v>
      </c>
      <c r="L1296" s="473">
        <f t="shared" si="1055"/>
        <v>5.7199999999999998</v>
      </c>
      <c r="M1296" s="474">
        <f t="shared" si="1063"/>
        <v>56.706077999999998</v>
      </c>
      <c r="O1296" s="434">
        <f t="shared" si="1052"/>
        <v>5.8300000000000001</v>
      </c>
      <c r="P1296" s="435">
        <f t="shared" si="1053"/>
        <v>5.7199999999999998</v>
      </c>
      <c r="T1296" s="143" t="s">
        <v>21278</v>
      </c>
      <c r="Z1296" s="81">
        <f>(0.2+0.075+0.325+0.48+0.1)</f>
        <v>1.1799999999999999</v>
      </c>
      <c r="AE1296" s="217"/>
      <c r="AF1296" s="217">
        <v>1142</v>
      </c>
      <c r="AH1296">
        <f t="shared" si="1061"/>
        <v>1142</v>
      </c>
      <c r="AI1296" s="81">
        <f>(9.04-1.9-0.2*2)</f>
        <v>6.7400000000000002</v>
      </c>
    </row>
    <row r="1297" ht="75" hidden="1">
      <c r="A1297" s="217"/>
      <c r="B1297" s="217">
        <v>1142</v>
      </c>
      <c r="C1297" s="217"/>
      <c r="D1297" s="217" t="s">
        <v>17167</v>
      </c>
      <c r="E1297" s="471" t="s">
        <v>20405</v>
      </c>
      <c r="F1297" s="540">
        <v>101617</v>
      </c>
      <c r="G1297" s="568" t="s">
        <v>20963</v>
      </c>
      <c r="H1297" s="540" t="s">
        <v>15515</v>
      </c>
      <c r="I1297" s="483">
        <f>1.74*2.65+1.44*(11.81-1.9-0.2*2)</f>
        <v>18.305399999999999</v>
      </c>
      <c r="J1297" s="473">
        <f t="shared" si="1047"/>
        <v>3.5299999999999998</v>
      </c>
      <c r="K1297" s="474">
        <f t="shared" si="1062"/>
        <v>64.618061999999995</v>
      </c>
      <c r="L1297" s="473">
        <f t="shared" si="1055"/>
        <v>3.3399999999999999</v>
      </c>
      <c r="M1297" s="474">
        <f t="shared" si="1063"/>
        <v>61.140035999999995</v>
      </c>
      <c r="O1297" s="434">
        <f t="shared" si="1052"/>
        <v>3.5299999999999998</v>
      </c>
      <c r="P1297" s="435">
        <f t="shared" si="1053"/>
        <v>3.3399999999999999</v>
      </c>
      <c r="Z1297" s="81"/>
      <c r="AE1297" s="217"/>
      <c r="AF1297" s="217">
        <v>1142</v>
      </c>
      <c r="AH1297">
        <f t="shared" si="1061"/>
        <v>1142</v>
      </c>
      <c r="AI1297" s="570">
        <f>1.9+0.2*2</f>
        <v>2.2999999999999998</v>
      </c>
    </row>
    <row r="1298" ht="75" hidden="1">
      <c r="A1298" s="217"/>
      <c r="B1298" s="217">
        <v>1142</v>
      </c>
      <c r="C1298" s="217"/>
      <c r="D1298" s="217" t="s">
        <v>20398</v>
      </c>
      <c r="E1298" s="471" t="s">
        <v>20409</v>
      </c>
      <c r="F1298" s="540">
        <v>1255</v>
      </c>
      <c r="G1298" s="568" t="s">
        <v>20964</v>
      </c>
      <c r="H1298" s="540" t="s">
        <v>15528</v>
      </c>
      <c r="I1298" s="483">
        <f>I1295+I1296-1.74*2.65*0.15-2.3*0.82-9.16*1.18</f>
        <v>20.021471999999999</v>
      </c>
      <c r="J1298" s="473">
        <f t="shared" si="1047"/>
        <v>29.707014000000001</v>
      </c>
      <c r="K1298" s="474">
        <f t="shared" si="1062"/>
        <v>594.77814900460805</v>
      </c>
      <c r="L1298" s="473">
        <f t="shared" si="1055"/>
        <v>28.497014</v>
      </c>
      <c r="M1298" s="474">
        <f t="shared" si="1063"/>
        <v>570.55216788460802</v>
      </c>
      <c r="O1298" s="434">
        <f t="shared" si="1052"/>
        <v>29.707014000000001</v>
      </c>
      <c r="P1298" s="435">
        <f t="shared" si="1053"/>
        <v>28.497014</v>
      </c>
      <c r="AE1298" s="217"/>
      <c r="AF1298" s="217">
        <v>1142</v>
      </c>
      <c r="AH1298">
        <f t="shared" si="1061"/>
        <v>1142</v>
      </c>
    </row>
    <row r="1299" ht="105" hidden="1">
      <c r="A1299" s="217"/>
      <c r="B1299" s="217">
        <v>1142</v>
      </c>
      <c r="C1299" s="217"/>
      <c r="D1299" s="217" t="s">
        <v>20398</v>
      </c>
      <c r="E1299" s="471" t="s">
        <v>20663</v>
      </c>
      <c r="F1299" s="540">
        <v>1092</v>
      </c>
      <c r="G1299" s="568" t="s">
        <v>20666</v>
      </c>
      <c r="H1299" s="540" t="s">
        <v>15528</v>
      </c>
      <c r="I1299" s="483">
        <f>I1295+I1296-I1298</f>
        <v>13.38645</v>
      </c>
      <c r="J1299" s="473">
        <f t="shared" si="1047"/>
        <v>2.2000000000000002</v>
      </c>
      <c r="K1299" s="474">
        <f t="shared" si="1062"/>
        <v>29.450190000000003</v>
      </c>
      <c r="L1299" s="473">
        <f t="shared" si="1055"/>
        <v>2.1879900000000001</v>
      </c>
      <c r="M1299" s="474">
        <f t="shared" si="1063"/>
        <v>29.2894187355</v>
      </c>
      <c r="O1299" s="434">
        <f t="shared" si="1052"/>
        <v>2.2000000000000002</v>
      </c>
      <c r="P1299" s="435">
        <f t="shared" si="1053"/>
        <v>2.1879900000000001</v>
      </c>
      <c r="AE1299" s="217"/>
      <c r="AF1299" s="217">
        <v>1142</v>
      </c>
      <c r="AH1299">
        <f t="shared" si="1061"/>
        <v>1142</v>
      </c>
    </row>
    <row r="1300" ht="60" hidden="1">
      <c r="A1300" s="217"/>
      <c r="B1300" s="217">
        <v>1142</v>
      </c>
      <c r="C1300" s="217"/>
      <c r="D1300" s="217" t="s">
        <v>17167</v>
      </c>
      <c r="E1300" s="471" t="s">
        <v>20665</v>
      </c>
      <c r="F1300" s="540">
        <v>95875</v>
      </c>
      <c r="G1300" s="568" t="s">
        <v>20668</v>
      </c>
      <c r="H1300" s="540" t="s">
        <v>20669</v>
      </c>
      <c r="I1300" s="483">
        <f>I1299*5*1.3</f>
        <v>87.011925000000005</v>
      </c>
      <c r="J1300" s="473">
        <f t="shared" si="1047"/>
        <v>2.7599999999999998</v>
      </c>
      <c r="K1300" s="474">
        <f t="shared" si="1062"/>
        <v>240.15291299999998</v>
      </c>
      <c r="L1300" s="473">
        <f t="shared" si="1055"/>
        <v>2.73</v>
      </c>
      <c r="M1300" s="474">
        <f t="shared" si="1063"/>
        <v>237.54255525000002</v>
      </c>
      <c r="O1300" s="434">
        <f t="shared" si="1052"/>
        <v>2.7599999999999998</v>
      </c>
      <c r="P1300" s="435">
        <f t="shared" si="1053"/>
        <v>2.73</v>
      </c>
      <c r="AE1300" s="217"/>
      <c r="AF1300" s="217">
        <v>1142</v>
      </c>
      <c r="AH1300">
        <f t="shared" si="1061"/>
        <v>1142</v>
      </c>
    </row>
    <row r="1301" ht="60" hidden="1">
      <c r="A1301" s="217"/>
      <c r="B1301" s="217">
        <v>1142</v>
      </c>
      <c r="C1301" s="217"/>
      <c r="D1301" s="217" t="s">
        <v>17167</v>
      </c>
      <c r="E1301" s="471" t="s">
        <v>20667</v>
      </c>
      <c r="F1301" s="540">
        <v>96530</v>
      </c>
      <c r="G1301" s="568" t="s">
        <v>20966</v>
      </c>
      <c r="H1301" s="540" t="s">
        <v>15515</v>
      </c>
      <c r="I1301" s="483">
        <f>0.4*(1.44*2*2+11.81*2*2)+0.325*(2*12)+0.2*1*12</f>
        <v>31.399999999999999</v>
      </c>
      <c r="J1301" s="473">
        <f t="shared" si="1047"/>
        <v>129.25999999999999</v>
      </c>
      <c r="K1301" s="474">
        <f t="shared" si="1062"/>
        <v>4058.7639999999997</v>
      </c>
      <c r="L1301" s="473">
        <f t="shared" si="1055"/>
        <v>125.91</v>
      </c>
      <c r="M1301" s="474">
        <f t="shared" si="1063"/>
        <v>3953.5739999999996</v>
      </c>
      <c r="O1301" s="434">
        <f t="shared" si="1052"/>
        <v>129.25999999999999</v>
      </c>
      <c r="P1301" s="435">
        <f t="shared" si="1053"/>
        <v>125.91</v>
      </c>
      <c r="AE1301" s="217"/>
      <c r="AF1301" s="217">
        <v>1142</v>
      </c>
      <c r="AH1301">
        <f t="shared" si="1061"/>
        <v>1142</v>
      </c>
    </row>
    <row r="1302" ht="75" hidden="1">
      <c r="A1302" s="217"/>
      <c r="B1302" s="217">
        <v>1142</v>
      </c>
      <c r="C1302" s="217"/>
      <c r="D1302" s="217" t="s">
        <v>20398</v>
      </c>
      <c r="E1302" s="471" t="s">
        <v>20671</v>
      </c>
      <c r="F1302" s="540">
        <v>1064</v>
      </c>
      <c r="G1302" s="568" t="s">
        <v>20967</v>
      </c>
      <c r="H1302" s="540" t="s">
        <v>15515</v>
      </c>
      <c r="I1302" s="483">
        <f>0.82*(1.95*2+1.44*2)+0.48*(11.81*2+1.44*2)</f>
        <v>18.279599999999999</v>
      </c>
      <c r="J1302" s="473">
        <f t="shared" si="1047"/>
        <v>202.79016000000001</v>
      </c>
      <c r="K1302" s="474">
        <f t="shared" si="1062"/>
        <v>3706.9230087360002</v>
      </c>
      <c r="L1302" s="473">
        <f t="shared" si="1055"/>
        <v>197.94299999999998</v>
      </c>
      <c r="M1302" s="474">
        <f t="shared" si="1063"/>
        <v>3618.3188627999994</v>
      </c>
      <c r="O1302" s="434">
        <f t="shared" si="1052"/>
        <v>202.79016000000001</v>
      </c>
      <c r="P1302" s="435">
        <f t="shared" si="1053"/>
        <v>197.94299999999998</v>
      </c>
      <c r="AE1302" s="217"/>
      <c r="AF1302" s="217">
        <v>1142</v>
      </c>
      <c r="AH1302">
        <f t="shared" si="1061"/>
        <v>1142</v>
      </c>
    </row>
    <row r="1303" ht="75" hidden="1">
      <c r="A1303" s="217"/>
      <c r="B1303" s="217">
        <v>1142</v>
      </c>
      <c r="C1303" s="217"/>
      <c r="D1303" s="217" t="s">
        <v>17167</v>
      </c>
      <c r="E1303" s="471" t="s">
        <v>20672</v>
      </c>
      <c r="F1303" s="540">
        <v>87878</v>
      </c>
      <c r="G1303" s="568" t="s">
        <v>20910</v>
      </c>
      <c r="H1303" s="540" t="s">
        <v>15515</v>
      </c>
      <c r="I1303" s="483">
        <f>1.72*11.81*2*2+1.72*1.44*2*2</f>
        <v>91.159999999999997</v>
      </c>
      <c r="J1303" s="473">
        <f t="shared" si="1047"/>
        <v>5.0099999999999998</v>
      </c>
      <c r="K1303" s="474">
        <f t="shared" si="1062"/>
        <v>456.71159999999998</v>
      </c>
      <c r="L1303" s="473">
        <f t="shared" si="1055"/>
        <v>4.7999999999999998</v>
      </c>
      <c r="M1303" s="474">
        <f t="shared" si="1063"/>
        <v>437.56799999999998</v>
      </c>
      <c r="O1303" s="434">
        <f t="shared" si="1052"/>
        <v>5.0099999999999998</v>
      </c>
      <c r="P1303" s="435">
        <f t="shared" si="1053"/>
        <v>4.7999999999999998</v>
      </c>
      <c r="AE1303" s="217"/>
      <c r="AF1303" s="217">
        <v>1142</v>
      </c>
      <c r="AH1303">
        <f t="shared" si="1061"/>
        <v>1142</v>
      </c>
    </row>
    <row r="1304" ht="60" hidden="1">
      <c r="A1304" s="217"/>
      <c r="B1304" s="217">
        <v>1142</v>
      </c>
      <c r="C1304" s="217"/>
      <c r="D1304" s="217" t="s">
        <v>20398</v>
      </c>
      <c r="E1304" s="471" t="s">
        <v>20673</v>
      </c>
      <c r="F1304" s="540">
        <v>1421</v>
      </c>
      <c r="G1304" s="568" t="s">
        <v>21279</v>
      </c>
      <c r="H1304" s="540" t="s">
        <v>15515</v>
      </c>
      <c r="I1304" s="483">
        <f>(0.82+0.1+0.48)*2*11.57+(0.82+0.1+0.48)*1*2</f>
        <v>35.195999999999998</v>
      </c>
      <c r="J1304" s="473">
        <f t="shared" si="1047"/>
        <v>46.577570000000001</v>
      </c>
      <c r="K1304" s="474">
        <f t="shared" si="1062"/>
        <v>1639.3441537199999</v>
      </c>
      <c r="L1304" s="473">
        <f t="shared" si="1055"/>
        <v>44.735900000000001</v>
      </c>
      <c r="M1304" s="474">
        <f t="shared" si="1063"/>
        <v>1574.5247363999999</v>
      </c>
      <c r="O1304" s="434">
        <f t="shared" si="1052"/>
        <v>46.577570000000001</v>
      </c>
      <c r="P1304" s="435">
        <f t="shared" si="1053"/>
        <v>44.735900000000001</v>
      </c>
      <c r="AE1304" s="217"/>
      <c r="AF1304" s="217">
        <v>1142</v>
      </c>
      <c r="AH1304">
        <f t="shared" si="1061"/>
        <v>1142</v>
      </c>
    </row>
    <row r="1305" ht="60" hidden="1">
      <c r="A1305" s="217"/>
      <c r="B1305" s="217">
        <v>1142</v>
      </c>
      <c r="C1305" s="217"/>
      <c r="D1305" s="217" t="s">
        <v>20398</v>
      </c>
      <c r="E1305" s="471" t="s">
        <v>20675</v>
      </c>
      <c r="F1305" s="540">
        <v>1059</v>
      </c>
      <c r="G1305" s="568" t="s">
        <v>20965</v>
      </c>
      <c r="H1305" s="540" t="s">
        <v>15528</v>
      </c>
      <c r="I1305" s="483">
        <f>1.9*(0.16+0.11)/2*1</f>
        <v>0.25650000000000001</v>
      </c>
      <c r="J1305" s="473">
        <f t="shared" si="1047"/>
        <v>453.00401999999997</v>
      </c>
      <c r="K1305" s="474">
        <f t="shared" si="1062"/>
        <v>116.19553112999999</v>
      </c>
      <c r="L1305" s="473">
        <f t="shared" si="1055"/>
        <v>445.74401999999998</v>
      </c>
      <c r="M1305" s="474">
        <f t="shared" si="1063"/>
        <v>114.33334112999999</v>
      </c>
      <c r="O1305" s="434">
        <f t="shared" si="1052"/>
        <v>453.00401999999997</v>
      </c>
      <c r="P1305" s="435">
        <f t="shared" si="1053"/>
        <v>445.74401999999998</v>
      </c>
      <c r="AE1305" s="217"/>
      <c r="AF1305" s="217">
        <v>1142</v>
      </c>
      <c r="AH1305">
        <f t="shared" si="1061"/>
        <v>1142</v>
      </c>
    </row>
    <row r="1306" ht="75" hidden="1">
      <c r="A1306" s="217"/>
      <c r="B1306" s="217">
        <v>1142</v>
      </c>
      <c r="C1306" s="217"/>
      <c r="D1306" s="217" t="s">
        <v>17167</v>
      </c>
      <c r="E1306" s="471" t="s">
        <v>20677</v>
      </c>
      <c r="F1306" s="540">
        <v>94963</v>
      </c>
      <c r="G1306" s="568" t="s">
        <v>8707</v>
      </c>
      <c r="H1306" s="540" t="s">
        <v>15528</v>
      </c>
      <c r="I1306" s="483">
        <f>1.74*2.65*0.15+9.91*0.1*1.44+1.2*0.15*11.57*2</f>
        <v>6.2838900000000004</v>
      </c>
      <c r="J1306" s="473">
        <f t="shared" si="1047"/>
        <v>441.43000000000001</v>
      </c>
      <c r="K1306" s="474">
        <f t="shared" si="1062"/>
        <v>2773.8975627000004</v>
      </c>
      <c r="L1306" s="473">
        <f t="shared" si="1055"/>
        <v>436.14999999999998</v>
      </c>
      <c r="M1306" s="474">
        <f t="shared" si="1063"/>
        <v>2740.7186234999999</v>
      </c>
      <c r="O1306" s="434">
        <f t="shared" si="1052"/>
        <v>441.43000000000001</v>
      </c>
      <c r="P1306" s="435">
        <f t="shared" si="1053"/>
        <v>436.14999999999998</v>
      </c>
      <c r="T1306" s="143" t="s">
        <v>21280</v>
      </c>
      <c r="AE1306" s="217"/>
      <c r="AF1306" s="217">
        <v>1142</v>
      </c>
      <c r="AH1306" s="570">
        <f t="shared" si="1061"/>
        <v>1142</v>
      </c>
    </row>
    <row r="1307" ht="60" hidden="1">
      <c r="A1307" s="217"/>
      <c r="B1307" s="217">
        <v>1142</v>
      </c>
      <c r="C1307" s="217"/>
      <c r="D1307" s="217" t="s">
        <v>17167</v>
      </c>
      <c r="E1307" s="471" t="s">
        <v>20679</v>
      </c>
      <c r="F1307" s="540">
        <v>94964</v>
      </c>
      <c r="G1307" s="568" t="s">
        <v>20686</v>
      </c>
      <c r="H1307" s="540" t="s">
        <v>15528</v>
      </c>
      <c r="I1307" s="483">
        <f>0.2*0.4*11.81*2+0.2*0.4*1*2+0.2*0.325*12</f>
        <v>2.8296000000000001</v>
      </c>
      <c r="J1307" s="473">
        <f t="shared" si="1047"/>
        <v>488.52999999999997</v>
      </c>
      <c r="K1307" s="474">
        <f t="shared" si="1062"/>
        <v>1382.344488</v>
      </c>
      <c r="L1307" s="473">
        <f t="shared" si="1055"/>
        <v>482.79000000000002</v>
      </c>
      <c r="M1307" s="474">
        <f t="shared" si="1063"/>
        <v>1366.1025840000002</v>
      </c>
      <c r="O1307" s="434">
        <f t="shared" si="1052"/>
        <v>488.52999999999997</v>
      </c>
      <c r="P1307" s="435">
        <f t="shared" si="1053"/>
        <v>482.79000000000002</v>
      </c>
      <c r="AE1307" s="217"/>
      <c r="AF1307" s="217">
        <v>1142</v>
      </c>
      <c r="AH1307">
        <f t="shared" si="1061"/>
        <v>1142</v>
      </c>
    </row>
    <row r="1308" ht="45" hidden="1">
      <c r="A1308" s="217"/>
      <c r="B1308" s="217">
        <v>1142</v>
      </c>
      <c r="C1308" s="217"/>
      <c r="D1308" s="217" t="s">
        <v>20398</v>
      </c>
      <c r="E1308" s="471" t="s">
        <v>20681</v>
      </c>
      <c r="F1308" s="540">
        <v>1000</v>
      </c>
      <c r="G1308" s="568" t="s">
        <v>20651</v>
      </c>
      <c r="H1308" s="540" t="s">
        <v>15528</v>
      </c>
      <c r="I1308" s="483">
        <f>I1305+I1306+I1307</f>
        <v>9.3699899999999996</v>
      </c>
      <c r="J1308" s="473">
        <f t="shared" si="1047"/>
        <v>149.904</v>
      </c>
      <c r="K1308" s="474">
        <f t="shared" si="1062"/>
        <v>1404.5989809599998</v>
      </c>
      <c r="L1308" s="473">
        <f t="shared" si="1055"/>
        <v>141.76949999999999</v>
      </c>
      <c r="M1308" s="474">
        <f t="shared" si="1063"/>
        <v>1328.3787973049998</v>
      </c>
      <c r="O1308" s="434">
        <f t="shared" si="1052"/>
        <v>149.904</v>
      </c>
      <c r="P1308" s="435">
        <f t="shared" si="1053"/>
        <v>141.76949999999999</v>
      </c>
      <c r="AE1308" s="217"/>
      <c r="AF1308" s="217">
        <v>1142</v>
      </c>
      <c r="AH1308">
        <f t="shared" si="1061"/>
        <v>1142</v>
      </c>
    </row>
    <row r="1309" ht="75" hidden="1">
      <c r="A1309" s="217"/>
      <c r="B1309" s="217">
        <v>1142</v>
      </c>
      <c r="C1309" s="217"/>
      <c r="D1309" s="217" t="s">
        <v>17167</v>
      </c>
      <c r="E1309" s="471" t="s">
        <v>20683</v>
      </c>
      <c r="F1309" s="540">
        <v>92919</v>
      </c>
      <c r="G1309" s="568" t="s">
        <v>20985</v>
      </c>
      <c r="H1309" s="540" t="s">
        <v>302</v>
      </c>
      <c r="I1309" s="483">
        <v>145.63999999999999</v>
      </c>
      <c r="J1309" s="473">
        <f t="shared" si="1047"/>
        <v>11.74</v>
      </c>
      <c r="K1309" s="474">
        <f t="shared" si="1062"/>
        <v>1709.8136</v>
      </c>
      <c r="L1309" s="473">
        <f t="shared" si="1055"/>
        <v>11.6</v>
      </c>
      <c r="M1309" s="474">
        <f t="shared" si="1063"/>
        <v>1689.4239999999998</v>
      </c>
      <c r="O1309" s="434">
        <f t="shared" si="1052"/>
        <v>11.74</v>
      </c>
      <c r="P1309" s="435">
        <f t="shared" si="1053"/>
        <v>11.6</v>
      </c>
      <c r="AE1309" s="217"/>
      <c r="AF1309" s="217">
        <v>1142</v>
      </c>
      <c r="AH1309">
        <f t="shared" si="1061"/>
        <v>1142</v>
      </c>
    </row>
    <row r="1310" ht="75" hidden="1">
      <c r="A1310" s="217"/>
      <c r="B1310" s="217">
        <v>1142</v>
      </c>
      <c r="C1310" s="217"/>
      <c r="D1310" s="217" t="s">
        <v>17167</v>
      </c>
      <c r="E1310" s="471" t="s">
        <v>20685</v>
      </c>
      <c r="F1310" s="540">
        <v>92915</v>
      </c>
      <c r="G1310" s="568" t="s">
        <v>20970</v>
      </c>
      <c r="H1310" s="540" t="s">
        <v>302</v>
      </c>
      <c r="I1310" s="483">
        <v>26.960000000000001</v>
      </c>
      <c r="J1310" s="473">
        <f t="shared" ref="J1310:J1373" si="1064">O1310*$J$3</f>
        <v>16.649999999999999</v>
      </c>
      <c r="K1310" s="474">
        <f t="shared" si="1062"/>
        <v>448.88399999999996</v>
      </c>
      <c r="L1310" s="473">
        <f t="shared" si="1055"/>
        <v>16.199999999999999</v>
      </c>
      <c r="M1310" s="474">
        <f t="shared" si="1063"/>
        <v>436.75200000000001</v>
      </c>
      <c r="O1310" s="434">
        <f t="shared" si="1052"/>
        <v>16.649999999999999</v>
      </c>
      <c r="P1310" s="435">
        <f t="shared" si="1053"/>
        <v>16.199999999999999</v>
      </c>
      <c r="AE1310" s="217"/>
      <c r="AF1310" s="217">
        <v>1142</v>
      </c>
      <c r="AH1310">
        <f t="shared" si="1061"/>
        <v>1142</v>
      </c>
    </row>
    <row r="1311" ht="60" hidden="1">
      <c r="A1311" s="217"/>
      <c r="B1311" s="217">
        <v>1142</v>
      </c>
      <c r="C1311" s="217"/>
      <c r="D1311" s="217" t="s">
        <v>17167</v>
      </c>
      <c r="E1311" s="471" t="s">
        <v>20687</v>
      </c>
      <c r="F1311" s="540">
        <v>91593</v>
      </c>
      <c r="G1311" s="568" t="s">
        <v>20971</v>
      </c>
      <c r="H1311" s="540" t="s">
        <v>302</v>
      </c>
      <c r="I1311" s="483">
        <v>61.07</v>
      </c>
      <c r="J1311" s="473">
        <f t="shared" si="1064"/>
        <v>10.199999999999999</v>
      </c>
      <c r="K1311" s="474">
        <f t="shared" si="1062"/>
        <v>622.91399999999999</v>
      </c>
      <c r="L1311" s="473">
        <f t="shared" si="1055"/>
        <v>10.16</v>
      </c>
      <c r="M1311" s="474">
        <f t="shared" si="1063"/>
        <v>620.47120000000007</v>
      </c>
      <c r="O1311" s="434">
        <f t="shared" si="1052"/>
        <v>10.199999999999999</v>
      </c>
      <c r="P1311" s="435">
        <f t="shared" si="1053"/>
        <v>10.16</v>
      </c>
      <c r="AE1311" s="217"/>
      <c r="AF1311" s="217">
        <v>1142</v>
      </c>
      <c r="AH1311">
        <f t="shared" si="1061"/>
        <v>1142</v>
      </c>
    </row>
    <row r="1312" ht="75" hidden="1">
      <c r="A1312" s="217"/>
      <c r="B1312" s="217">
        <v>1142</v>
      </c>
      <c r="C1312" s="217"/>
      <c r="D1312" s="217" t="s">
        <v>20398</v>
      </c>
      <c r="E1312" s="471" t="s">
        <v>20689</v>
      </c>
      <c r="F1312" s="540">
        <v>1058</v>
      </c>
      <c r="G1312" s="568" t="s">
        <v>21281</v>
      </c>
      <c r="H1312" s="540" t="s">
        <v>15515</v>
      </c>
      <c r="I1312" s="483">
        <f>1.2*9.57*2</f>
        <v>22.968</v>
      </c>
      <c r="J1312" s="473">
        <f t="shared" si="1064"/>
        <v>30.214100000000002</v>
      </c>
      <c r="K1312" s="474">
        <f t="shared" si="1062"/>
        <v>693.95744880000007</v>
      </c>
      <c r="L1312" s="473">
        <f t="shared" si="1055"/>
        <v>29.332799999999999</v>
      </c>
      <c r="M1312" s="474">
        <f t="shared" si="1063"/>
        <v>673.71575039999993</v>
      </c>
      <c r="O1312" s="434">
        <f t="shared" si="1052"/>
        <v>30.214100000000002</v>
      </c>
      <c r="P1312" s="435">
        <f t="shared" si="1053"/>
        <v>29.332799999999999</v>
      </c>
      <c r="AE1312" s="217"/>
      <c r="AF1312" s="217">
        <v>1142</v>
      </c>
      <c r="AH1312">
        <f t="shared" si="1061"/>
        <v>1142</v>
      </c>
    </row>
    <row r="1313" ht="30" hidden="1">
      <c r="A1313" s="217"/>
      <c r="B1313" s="217">
        <v>1142</v>
      </c>
      <c r="C1313" s="217"/>
      <c r="D1313" s="217" t="s">
        <v>20398</v>
      </c>
      <c r="E1313" s="471" t="s">
        <v>20882</v>
      </c>
      <c r="F1313" s="540">
        <v>1132</v>
      </c>
      <c r="G1313" s="568" t="s">
        <v>21241</v>
      </c>
      <c r="H1313" s="540" t="s">
        <v>31</v>
      </c>
      <c r="I1313" s="483">
        <v>1</v>
      </c>
      <c r="J1313" s="474">
        <f t="shared" si="1064"/>
        <v>11661.863049999998</v>
      </c>
      <c r="K1313" s="474">
        <f t="shared" si="1062"/>
        <v>11661.863049999998</v>
      </c>
      <c r="L1313" s="474">
        <f t="shared" si="1055"/>
        <v>11569.1428</v>
      </c>
      <c r="M1313" s="474">
        <f t="shared" si="1063"/>
        <v>11569.1428</v>
      </c>
      <c r="O1313" s="434">
        <f t="shared" si="1052"/>
        <v>11661.863049999998</v>
      </c>
      <c r="P1313" s="435">
        <f t="shared" si="1053"/>
        <v>11569.1428</v>
      </c>
      <c r="AE1313" s="217"/>
      <c r="AF1313" s="217">
        <v>1142</v>
      </c>
      <c r="AH1313">
        <f t="shared" si="1061"/>
        <v>1142</v>
      </c>
    </row>
    <row r="1314" ht="31.5" hidden="1">
      <c r="A1314" s="460">
        <v>1143</v>
      </c>
      <c r="B1314" s="460">
        <v>1143</v>
      </c>
      <c r="C1314" s="460"/>
      <c r="D1314" s="460"/>
      <c r="E1314" s="461">
        <v>1</v>
      </c>
      <c r="F1314" s="462" t="s">
        <v>21285</v>
      </c>
      <c r="G1314" s="477" t="s">
        <v>21286</v>
      </c>
      <c r="H1314" s="478" t="s">
        <v>31</v>
      </c>
      <c r="I1314" s="479"/>
      <c r="J1314" s="480"/>
      <c r="K1314" s="466">
        <f>SUM(K1315:K1333)</f>
        <v>32193.728275763155</v>
      </c>
      <c r="L1314" s="480"/>
      <c r="M1314" s="466">
        <f>SUM(M1315:M1333)</f>
        <v>31599.968209685649</v>
      </c>
      <c r="O1314" s="434" t="str">
        <f t="shared" si="1052"/>
        <v xml:space="preserve">SEM VALOR</v>
      </c>
      <c r="P1314" s="435" t="str">
        <f t="shared" si="1053"/>
        <v xml:space="preserve">SEM VALOR</v>
      </c>
      <c r="AE1314" s="460">
        <v>1143</v>
      </c>
      <c r="AF1314" s="460"/>
      <c r="AH1314">
        <f t="shared" si="1061"/>
        <v>1143</v>
      </c>
    </row>
    <row r="1315" ht="120" hidden="1">
      <c r="A1315" s="217"/>
      <c r="B1315" s="217">
        <v>1143</v>
      </c>
      <c r="C1315" s="217"/>
      <c r="D1315" s="217" t="s">
        <v>17167</v>
      </c>
      <c r="E1315" s="471" t="s">
        <v>20399</v>
      </c>
      <c r="F1315" s="540">
        <v>90091</v>
      </c>
      <c r="G1315" s="568" t="s">
        <v>20961</v>
      </c>
      <c r="H1315" s="540" t="s">
        <v>15528</v>
      </c>
      <c r="I1315" s="483">
        <f>(0.2+0.075+0.325+0.48+0.1)*(11.99-2.65+0.3*2)*(1.44+0.3*2)</f>
        <v>23.927568000000001</v>
      </c>
      <c r="J1315" s="473">
        <f t="shared" si="1064"/>
        <v>6.1799999999999997</v>
      </c>
      <c r="K1315" s="474">
        <f t="shared" ref="K1315:K1333" si="1065">I1315*J1315</f>
        <v>147.87237024000001</v>
      </c>
      <c r="L1315" s="473">
        <f t="shared" si="1055"/>
        <v>6.0700000000000003</v>
      </c>
      <c r="M1315" s="474">
        <f t="shared" ref="M1315:M1333" si="1066">L1315*I1315</f>
        <v>145.24033776000002</v>
      </c>
      <c r="O1315" s="434">
        <f t="shared" si="1052"/>
        <v>6.1799999999999997</v>
      </c>
      <c r="P1315" s="435">
        <f t="shared" si="1053"/>
        <v>6.0700000000000003</v>
      </c>
      <c r="T1315" s="143" t="s">
        <v>21287</v>
      </c>
      <c r="Z1315" s="571">
        <f>11.99-2.65</f>
        <v>9.3399999999999999</v>
      </c>
      <c r="AE1315" s="217"/>
      <c r="AF1315" s="217">
        <v>1143</v>
      </c>
      <c r="AH1315">
        <f t="shared" si="1061"/>
        <v>1143</v>
      </c>
    </row>
    <row r="1316" ht="75" hidden="1">
      <c r="A1316" s="217"/>
      <c r="B1316" s="217">
        <v>1143</v>
      </c>
      <c r="C1316" s="217"/>
      <c r="D1316" s="217" t="s">
        <v>17167</v>
      </c>
      <c r="E1316" s="471" t="s">
        <v>20402</v>
      </c>
      <c r="F1316" s="540">
        <v>102281</v>
      </c>
      <c r="G1316" s="568" t="s">
        <v>21277</v>
      </c>
      <c r="H1316" s="540" t="s">
        <v>15528</v>
      </c>
      <c r="I1316" s="483">
        <f>(0.2+0.075+0.325+0.48+0.1+0.82+0.15)*1.74*2.65</f>
        <v>9.9136500000000005</v>
      </c>
      <c r="J1316" s="473">
        <f t="shared" si="1064"/>
        <v>5.8300000000000001</v>
      </c>
      <c r="K1316" s="474">
        <f t="shared" si="1065"/>
        <v>57.796579500000007</v>
      </c>
      <c r="L1316" s="473">
        <f t="shared" si="1055"/>
        <v>5.7199999999999998</v>
      </c>
      <c r="M1316" s="474">
        <f t="shared" si="1066"/>
        <v>56.706077999999998</v>
      </c>
      <c r="O1316" s="434">
        <f t="shared" si="1052"/>
        <v>5.8300000000000001</v>
      </c>
      <c r="P1316" s="435">
        <f t="shared" si="1053"/>
        <v>5.7199999999999998</v>
      </c>
      <c r="T1316" s="143" t="s">
        <v>21278</v>
      </c>
      <c r="Z1316" s="81">
        <f>(9.04-1.9-0.2*2)</f>
        <v>6.7400000000000002</v>
      </c>
      <c r="AE1316" s="217"/>
      <c r="AF1316" s="217">
        <v>1143</v>
      </c>
      <c r="AH1316">
        <f t="shared" si="1061"/>
        <v>1143</v>
      </c>
    </row>
    <row r="1317" ht="75" hidden="1">
      <c r="A1317" s="217"/>
      <c r="B1317" s="217">
        <v>1143</v>
      </c>
      <c r="C1317" s="217"/>
      <c r="D1317" s="217" t="s">
        <v>17167</v>
      </c>
      <c r="E1317" s="471" t="s">
        <v>20405</v>
      </c>
      <c r="F1317" s="540">
        <v>101617</v>
      </c>
      <c r="G1317" s="568" t="s">
        <v>20963</v>
      </c>
      <c r="H1317" s="540" t="s">
        <v>15515</v>
      </c>
      <c r="I1317" s="483">
        <f>1.74*2.65+1.44*(11.99-1.9-0.2*2)</f>
        <v>18.564599999999999</v>
      </c>
      <c r="J1317" s="473">
        <f t="shared" si="1064"/>
        <v>3.5299999999999998</v>
      </c>
      <c r="K1317" s="474">
        <f t="shared" si="1065"/>
        <v>65.533037999999991</v>
      </c>
      <c r="L1317" s="473">
        <f t="shared" si="1055"/>
        <v>3.3399999999999999</v>
      </c>
      <c r="M1317" s="474">
        <f t="shared" si="1066"/>
        <v>62.005763999999992</v>
      </c>
      <c r="O1317" s="434">
        <f t="shared" si="1052"/>
        <v>3.5299999999999998</v>
      </c>
      <c r="P1317" s="435">
        <f t="shared" si="1053"/>
        <v>3.3399999999999999</v>
      </c>
      <c r="Z1317" s="570">
        <f>1.9+0.2*2</f>
        <v>2.2999999999999998</v>
      </c>
      <c r="AE1317" s="217"/>
      <c r="AF1317" s="217">
        <v>1143</v>
      </c>
      <c r="AH1317">
        <f t="shared" si="1061"/>
        <v>1143</v>
      </c>
    </row>
    <row r="1318" ht="75" hidden="1">
      <c r="A1318" s="217"/>
      <c r="B1318" s="217">
        <v>1143</v>
      </c>
      <c r="C1318" s="217"/>
      <c r="D1318" s="217" t="s">
        <v>20398</v>
      </c>
      <c r="E1318" s="471" t="s">
        <v>20409</v>
      </c>
      <c r="F1318" s="540">
        <v>1255</v>
      </c>
      <c r="G1318" s="568" t="s">
        <v>20964</v>
      </c>
      <c r="H1318" s="540" t="s">
        <v>15528</v>
      </c>
      <c r="I1318" s="483">
        <f>I1315+I1316-1.74*2.65*0.15-2.3*0.82-9.34*1.18</f>
        <v>20.242367999999999</v>
      </c>
      <c r="J1318" s="473">
        <f t="shared" si="1064"/>
        <v>29.707014000000001</v>
      </c>
      <c r="K1318" s="474">
        <f t="shared" si="1065"/>
        <v>601.34030956915194</v>
      </c>
      <c r="L1318" s="473">
        <f t="shared" si="1055"/>
        <v>28.497014</v>
      </c>
      <c r="M1318" s="474">
        <f t="shared" si="1066"/>
        <v>576.847044289152</v>
      </c>
      <c r="O1318" s="434">
        <f t="shared" si="1052"/>
        <v>29.707014000000001</v>
      </c>
      <c r="P1318" s="435">
        <f t="shared" si="1053"/>
        <v>28.497014</v>
      </c>
      <c r="AE1318" s="217"/>
      <c r="AF1318" s="217">
        <v>1143</v>
      </c>
      <c r="AH1318">
        <f t="shared" si="1061"/>
        <v>1143</v>
      </c>
    </row>
    <row r="1319" ht="105" hidden="1">
      <c r="A1319" s="217"/>
      <c r="B1319" s="217">
        <v>1143</v>
      </c>
      <c r="C1319" s="217"/>
      <c r="D1319" s="217" t="s">
        <v>20398</v>
      </c>
      <c r="E1319" s="471" t="s">
        <v>20663</v>
      </c>
      <c r="F1319" s="540">
        <v>1092</v>
      </c>
      <c r="G1319" s="568" t="s">
        <v>20666</v>
      </c>
      <c r="H1319" s="540" t="s">
        <v>15528</v>
      </c>
      <c r="I1319" s="483">
        <f>I1315+I1316-I1318</f>
        <v>13.598850000000001</v>
      </c>
      <c r="J1319" s="473">
        <f t="shared" si="1064"/>
        <v>2.2000000000000002</v>
      </c>
      <c r="K1319" s="474">
        <f t="shared" si="1065"/>
        <v>29.917470000000005</v>
      </c>
      <c r="L1319" s="473">
        <f t="shared" si="1055"/>
        <v>2.1879900000000001</v>
      </c>
      <c r="M1319" s="474">
        <f t="shared" si="1066"/>
        <v>29.754147811500001</v>
      </c>
      <c r="O1319" s="434">
        <f t="shared" si="1052"/>
        <v>2.2000000000000002</v>
      </c>
      <c r="P1319" s="435">
        <f t="shared" si="1053"/>
        <v>2.1879900000000001</v>
      </c>
      <c r="AE1319" s="217"/>
      <c r="AF1319" s="217">
        <v>1143</v>
      </c>
      <c r="AH1319">
        <f t="shared" si="1061"/>
        <v>1143</v>
      </c>
    </row>
    <row r="1320" ht="60" hidden="1">
      <c r="A1320" s="217"/>
      <c r="B1320" s="217">
        <v>1143</v>
      </c>
      <c r="C1320" s="217"/>
      <c r="D1320" s="217" t="s">
        <v>17167</v>
      </c>
      <c r="E1320" s="471" t="s">
        <v>20665</v>
      </c>
      <c r="F1320" s="540">
        <v>95875</v>
      </c>
      <c r="G1320" s="568" t="s">
        <v>20668</v>
      </c>
      <c r="H1320" s="540" t="s">
        <v>20669</v>
      </c>
      <c r="I1320" s="483">
        <f>I1319*5*1.3</f>
        <v>88.392525000000006</v>
      </c>
      <c r="J1320" s="473">
        <f t="shared" si="1064"/>
        <v>2.7599999999999998</v>
      </c>
      <c r="K1320" s="474">
        <f t="shared" si="1065"/>
        <v>243.963369</v>
      </c>
      <c r="L1320" s="473">
        <f t="shared" si="1055"/>
        <v>2.73</v>
      </c>
      <c r="M1320" s="474">
        <f t="shared" si="1066"/>
        <v>241.31159325000002</v>
      </c>
      <c r="O1320" s="434">
        <f t="shared" si="1052"/>
        <v>2.7599999999999998</v>
      </c>
      <c r="P1320" s="435">
        <f t="shared" si="1053"/>
        <v>2.73</v>
      </c>
      <c r="AE1320" s="217"/>
      <c r="AF1320" s="217">
        <v>1143</v>
      </c>
      <c r="AH1320">
        <f t="shared" si="1061"/>
        <v>1143</v>
      </c>
    </row>
    <row r="1321" ht="60" hidden="1">
      <c r="A1321" s="217"/>
      <c r="B1321" s="217">
        <v>1143</v>
      </c>
      <c r="C1321" s="217"/>
      <c r="D1321" s="217" t="s">
        <v>17167</v>
      </c>
      <c r="E1321" s="471" t="s">
        <v>20667</v>
      </c>
      <c r="F1321" s="540">
        <v>96530</v>
      </c>
      <c r="G1321" s="568" t="s">
        <v>20966</v>
      </c>
      <c r="H1321" s="540" t="s">
        <v>15515</v>
      </c>
      <c r="I1321" s="483">
        <f>0.4*(1.44*2*2+11.99*2*2)+0.325*(2*12)+0.2*1*12</f>
        <v>31.687999999999999</v>
      </c>
      <c r="J1321" s="473">
        <f t="shared" si="1064"/>
        <v>129.25999999999999</v>
      </c>
      <c r="K1321" s="474">
        <f t="shared" si="1065"/>
        <v>4095.9908799999994</v>
      </c>
      <c r="L1321" s="473">
        <f t="shared" si="1055"/>
        <v>125.91</v>
      </c>
      <c r="M1321" s="474">
        <f t="shared" si="1066"/>
        <v>3989.8360799999996</v>
      </c>
      <c r="O1321" s="434">
        <f t="shared" si="1052"/>
        <v>129.25999999999999</v>
      </c>
      <c r="P1321" s="435">
        <f t="shared" si="1053"/>
        <v>125.91</v>
      </c>
      <c r="AE1321" s="217"/>
      <c r="AF1321" s="217">
        <v>1143</v>
      </c>
      <c r="AH1321">
        <f t="shared" si="1061"/>
        <v>1143</v>
      </c>
    </row>
    <row r="1322" ht="75" hidden="1">
      <c r="A1322" s="217"/>
      <c r="B1322" s="217">
        <v>1143</v>
      </c>
      <c r="C1322" s="217"/>
      <c r="D1322" s="217" t="s">
        <v>20398</v>
      </c>
      <c r="E1322" s="471" t="s">
        <v>20671</v>
      </c>
      <c r="F1322" s="540">
        <v>1064</v>
      </c>
      <c r="G1322" s="568" t="s">
        <v>20967</v>
      </c>
      <c r="H1322" s="540" t="s">
        <v>15515</v>
      </c>
      <c r="I1322" s="483">
        <f>0.82*(1.95*2+1.44*2)+0.48*(11.99*2+1.44*2)</f>
        <v>18.452400000000001</v>
      </c>
      <c r="J1322" s="473">
        <f t="shared" si="1064"/>
        <v>202.79016000000001</v>
      </c>
      <c r="K1322" s="474">
        <f t="shared" si="1065"/>
        <v>3741.9651483840003</v>
      </c>
      <c r="L1322" s="473">
        <f t="shared" si="1055"/>
        <v>197.94299999999998</v>
      </c>
      <c r="M1322" s="474">
        <f t="shared" si="1066"/>
        <v>3652.5234132</v>
      </c>
      <c r="O1322" s="434">
        <f t="shared" si="1052"/>
        <v>202.79016000000001</v>
      </c>
      <c r="P1322" s="435">
        <f t="shared" si="1053"/>
        <v>197.94299999999998</v>
      </c>
      <c r="AE1322" s="217"/>
      <c r="AF1322" s="217">
        <v>1143</v>
      </c>
      <c r="AH1322">
        <f t="shared" si="1061"/>
        <v>1143</v>
      </c>
    </row>
    <row r="1323" ht="75" hidden="1">
      <c r="A1323" s="217"/>
      <c r="B1323" s="217">
        <v>1143</v>
      </c>
      <c r="C1323" s="217"/>
      <c r="D1323" s="217" t="s">
        <v>17167</v>
      </c>
      <c r="E1323" s="471" t="s">
        <v>20672</v>
      </c>
      <c r="F1323" s="540">
        <v>87878</v>
      </c>
      <c r="G1323" s="568" t="s">
        <v>20910</v>
      </c>
      <c r="H1323" s="540" t="s">
        <v>15515</v>
      </c>
      <c r="I1323" s="483">
        <f>1.72*11.99*2*2+1.72*1.44*2*2</f>
        <v>92.398399999999995</v>
      </c>
      <c r="J1323" s="473">
        <f t="shared" si="1064"/>
        <v>5.0099999999999998</v>
      </c>
      <c r="K1323" s="474">
        <f t="shared" si="1065"/>
        <v>462.91598399999998</v>
      </c>
      <c r="L1323" s="473">
        <f t="shared" si="1055"/>
        <v>4.7999999999999998</v>
      </c>
      <c r="M1323" s="474">
        <f t="shared" si="1066"/>
        <v>443.51231999999999</v>
      </c>
      <c r="O1323" s="434">
        <f t="shared" si="1052"/>
        <v>5.0099999999999998</v>
      </c>
      <c r="P1323" s="435">
        <f t="shared" si="1053"/>
        <v>4.7999999999999998</v>
      </c>
      <c r="AE1323" s="217"/>
      <c r="AF1323" s="217">
        <v>1143</v>
      </c>
      <c r="AH1323">
        <f t="shared" si="1061"/>
        <v>1143</v>
      </c>
    </row>
    <row r="1324" ht="60" hidden="1">
      <c r="A1324" s="217"/>
      <c r="B1324" s="217">
        <v>1143</v>
      </c>
      <c r="C1324" s="217"/>
      <c r="D1324" s="217" t="s">
        <v>20398</v>
      </c>
      <c r="E1324" s="471" t="s">
        <v>20673</v>
      </c>
      <c r="F1324" s="540">
        <v>1421</v>
      </c>
      <c r="G1324" s="568" t="s">
        <v>21279</v>
      </c>
      <c r="H1324" s="540" t="s">
        <v>15515</v>
      </c>
      <c r="I1324" s="483">
        <f>(0.82+0.1+0.48)*2*11.75+(0.82+0.1+0.48)*1*2</f>
        <v>35.700000000000003</v>
      </c>
      <c r="J1324" s="473">
        <f t="shared" si="1064"/>
        <v>46.577570000000001</v>
      </c>
      <c r="K1324" s="474">
        <f t="shared" si="1065"/>
        <v>1662.8192490000001</v>
      </c>
      <c r="L1324" s="473">
        <f t="shared" si="1055"/>
        <v>44.735900000000001</v>
      </c>
      <c r="M1324" s="474">
        <f t="shared" si="1066"/>
        <v>1597.0716300000001</v>
      </c>
      <c r="O1324" s="434">
        <f t="shared" ref="O1324:O1387" si="1067">IFERROR(IF(D1324="SINAPI",VLOOKUP(F1324,SINCOMOD,4,FALSE),IF(D1324="INSINAPI",VLOOKUP(F1324,INSINOD,5,FALSE),IF(D1324="SICRO",VLOOKUP(F1324,SICRO,5,FALSE),IF(D1324="COTACAO",VLOOKUP(F1324,COTACAO,6,FALSE),IF(D1324="PRÓPRIO",VLOOKUP(F1324,COMPOD,11,FALSE),IF(D1324="AGESUL",VLOOKUP(F1324,AGESULOD,6,FALSE),IF(D1324="INSAGESUL",VLOOKUP(F1324,INSAGESUL,7,FALSE),"SEM VALOR"))))))),"SEM VALOR")</f>
        <v>46.577570000000001</v>
      </c>
      <c r="P1324" s="435">
        <f t="shared" ref="P1324:P1387" si="1068">IFERROR(IF(D1324="SINAPI",VLOOKUP(F1324,SINCOMOD,6,FALSE),IF(D1324="INSINAPI",VLOOKUP(F1324,INSINOD,6,FALSE),IF(D1324="SICRO",VLOOKUP(F1324,SICRO,5,FALSE),IF(D1324="COTACAO",VLOOKUP(F1324,COTACAO,6,FALSE),IF(D1324="PRÓPRIO",VLOOKUP(F1324,COMPOD,13,FALSE),IF(D1324="AGESUL",VLOOKUP(F1324,AGESULOD,11,FALSE),IF(D1324="INSAGESUL",VLOOKUP(F1324,INSAGESUL,8,FALSE),"SEM VALOR"))))))),"SEM VALOR")</f>
        <v>44.735900000000001</v>
      </c>
      <c r="AE1324" s="217"/>
      <c r="AF1324" s="217">
        <v>1143</v>
      </c>
      <c r="AH1324">
        <f t="shared" si="1061"/>
        <v>1143</v>
      </c>
    </row>
    <row r="1325" ht="60" hidden="1">
      <c r="A1325" s="217"/>
      <c r="B1325" s="217">
        <v>1143</v>
      </c>
      <c r="C1325" s="217"/>
      <c r="D1325" s="217" t="s">
        <v>20398</v>
      </c>
      <c r="E1325" s="471" t="s">
        <v>20675</v>
      </c>
      <c r="F1325" s="540">
        <v>1059</v>
      </c>
      <c r="G1325" s="568" t="s">
        <v>20965</v>
      </c>
      <c r="H1325" s="540" t="s">
        <v>15528</v>
      </c>
      <c r="I1325" s="483">
        <f>1.9*(0.16+0.11)/2*1</f>
        <v>0.25650000000000001</v>
      </c>
      <c r="J1325" s="473">
        <f t="shared" si="1064"/>
        <v>453.00401999999997</v>
      </c>
      <c r="K1325" s="474">
        <f t="shared" si="1065"/>
        <v>116.19553112999999</v>
      </c>
      <c r="L1325" s="473">
        <f t="shared" ref="L1325:L1388" si="1069">P1325*$L$3</f>
        <v>445.74401999999998</v>
      </c>
      <c r="M1325" s="474">
        <f t="shared" si="1066"/>
        <v>114.33334112999999</v>
      </c>
      <c r="O1325" s="434">
        <f t="shared" si="1067"/>
        <v>453.00401999999997</v>
      </c>
      <c r="P1325" s="435">
        <f t="shared" si="1068"/>
        <v>445.74401999999998</v>
      </c>
      <c r="AE1325" s="217"/>
      <c r="AF1325" s="217">
        <v>1143</v>
      </c>
      <c r="AH1325">
        <f t="shared" si="1061"/>
        <v>1143</v>
      </c>
    </row>
    <row r="1326" ht="75" hidden="1">
      <c r="A1326" s="217"/>
      <c r="B1326" s="217">
        <v>1143</v>
      </c>
      <c r="C1326" s="217"/>
      <c r="D1326" s="217" t="s">
        <v>17167</v>
      </c>
      <c r="E1326" s="471" t="s">
        <v>20677</v>
      </c>
      <c r="F1326" s="540">
        <v>94963</v>
      </c>
      <c r="G1326" s="568" t="s">
        <v>8707</v>
      </c>
      <c r="H1326" s="540" t="s">
        <v>15528</v>
      </c>
      <c r="I1326" s="483">
        <f>1.74*2.65*0.15+10.09*0.1*1.44+1.2*0.15*11.75*2</f>
        <v>6.3746099999999997</v>
      </c>
      <c r="J1326" s="473">
        <f t="shared" si="1064"/>
        <v>441.43000000000001</v>
      </c>
      <c r="K1326" s="474">
        <f t="shared" si="1065"/>
        <v>2813.9440922999997</v>
      </c>
      <c r="L1326" s="473">
        <f t="shared" si="1069"/>
        <v>436.14999999999998</v>
      </c>
      <c r="M1326" s="474">
        <f t="shared" si="1066"/>
        <v>2780.2861514999995</v>
      </c>
      <c r="O1326" s="434">
        <f t="shared" si="1067"/>
        <v>441.43000000000001</v>
      </c>
      <c r="P1326" s="435">
        <f t="shared" si="1068"/>
        <v>436.14999999999998</v>
      </c>
      <c r="T1326" s="143" t="s">
        <v>21280</v>
      </c>
      <c r="AE1326" s="217"/>
      <c r="AF1326" s="217">
        <v>1143</v>
      </c>
      <c r="AH1326" s="570">
        <f t="shared" si="1061"/>
        <v>1143</v>
      </c>
    </row>
    <row r="1327" ht="60" hidden="1">
      <c r="A1327" s="217"/>
      <c r="B1327" s="217">
        <v>1143</v>
      </c>
      <c r="C1327" s="217"/>
      <c r="D1327" s="217" t="s">
        <v>17167</v>
      </c>
      <c r="E1327" s="471" t="s">
        <v>20679</v>
      </c>
      <c r="F1327" s="540">
        <v>94964</v>
      </c>
      <c r="G1327" s="568" t="s">
        <v>20686</v>
      </c>
      <c r="H1327" s="540" t="s">
        <v>15528</v>
      </c>
      <c r="I1327" s="483">
        <f>0.2*0.4*11.99*2+0.2*0.4*1*2+0.2*0.325*12</f>
        <v>2.8584000000000001</v>
      </c>
      <c r="J1327" s="473">
        <f t="shared" si="1064"/>
        <v>488.52999999999997</v>
      </c>
      <c r="K1327" s="474">
        <f t="shared" si="1065"/>
        <v>1396.4141520000001</v>
      </c>
      <c r="L1327" s="473">
        <f t="shared" si="1069"/>
        <v>482.79000000000002</v>
      </c>
      <c r="M1327" s="474">
        <f t="shared" si="1066"/>
        <v>1380.006936</v>
      </c>
      <c r="O1327" s="434">
        <f t="shared" si="1067"/>
        <v>488.52999999999997</v>
      </c>
      <c r="P1327" s="435">
        <f t="shared" si="1068"/>
        <v>482.79000000000002</v>
      </c>
      <c r="AE1327" s="217"/>
      <c r="AF1327" s="217">
        <v>1143</v>
      </c>
      <c r="AH1327">
        <f t="shared" si="1061"/>
        <v>1143</v>
      </c>
    </row>
    <row r="1328" ht="45" hidden="1">
      <c r="A1328" s="217"/>
      <c r="B1328" s="217">
        <v>1143</v>
      </c>
      <c r="C1328" s="217"/>
      <c r="D1328" s="217" t="s">
        <v>20398</v>
      </c>
      <c r="E1328" s="471" t="s">
        <v>20681</v>
      </c>
      <c r="F1328" s="540">
        <v>1000</v>
      </c>
      <c r="G1328" s="568" t="s">
        <v>20651</v>
      </c>
      <c r="H1328" s="540" t="s">
        <v>15528</v>
      </c>
      <c r="I1328" s="483">
        <f>I1325+I1326+I1327</f>
        <v>9.4895099999999992</v>
      </c>
      <c r="J1328" s="473">
        <f t="shared" si="1064"/>
        <v>149.904</v>
      </c>
      <c r="K1328" s="474">
        <f t="shared" si="1065"/>
        <v>1422.5155070399999</v>
      </c>
      <c r="L1328" s="473">
        <f t="shared" si="1069"/>
        <v>141.76949999999999</v>
      </c>
      <c r="M1328" s="474">
        <f t="shared" si="1066"/>
        <v>1345.3230879449998</v>
      </c>
      <c r="O1328" s="434">
        <f t="shared" si="1067"/>
        <v>149.904</v>
      </c>
      <c r="P1328" s="435">
        <f t="shared" si="1068"/>
        <v>141.76949999999999</v>
      </c>
      <c r="AE1328" s="217"/>
      <c r="AF1328" s="217">
        <v>1143</v>
      </c>
      <c r="AH1328">
        <f t="shared" si="1061"/>
        <v>1143</v>
      </c>
    </row>
    <row r="1329" ht="75" hidden="1">
      <c r="A1329" s="217"/>
      <c r="B1329" s="217">
        <v>1143</v>
      </c>
      <c r="C1329" s="217"/>
      <c r="D1329" s="217" t="s">
        <v>17167</v>
      </c>
      <c r="E1329" s="471" t="s">
        <v>20683</v>
      </c>
      <c r="F1329" s="540">
        <v>92919</v>
      </c>
      <c r="G1329" s="568" t="s">
        <v>20985</v>
      </c>
      <c r="H1329" s="540" t="s">
        <v>302</v>
      </c>
      <c r="I1329" s="483">
        <v>146.75999999999999</v>
      </c>
      <c r="J1329" s="473">
        <f t="shared" si="1064"/>
        <v>11.74</v>
      </c>
      <c r="K1329" s="474">
        <f t="shared" si="1065"/>
        <v>1722.9623999999999</v>
      </c>
      <c r="L1329" s="473">
        <f t="shared" si="1069"/>
        <v>11.6</v>
      </c>
      <c r="M1329" s="474">
        <f t="shared" si="1066"/>
        <v>1702.4159999999999</v>
      </c>
      <c r="O1329" s="434">
        <f t="shared" si="1067"/>
        <v>11.74</v>
      </c>
      <c r="P1329" s="435">
        <f t="shared" si="1068"/>
        <v>11.6</v>
      </c>
      <c r="AE1329" s="217"/>
      <c r="AF1329" s="217">
        <v>1143</v>
      </c>
      <c r="AH1329">
        <f t="shared" si="1061"/>
        <v>1143</v>
      </c>
    </row>
    <row r="1330" ht="75" hidden="1">
      <c r="A1330" s="217"/>
      <c r="B1330" s="217">
        <v>1143</v>
      </c>
      <c r="C1330" s="217"/>
      <c r="D1330" s="217" t="s">
        <v>17167</v>
      </c>
      <c r="E1330" s="471" t="s">
        <v>20685</v>
      </c>
      <c r="F1330" s="540">
        <v>92915</v>
      </c>
      <c r="G1330" s="568" t="s">
        <v>20970</v>
      </c>
      <c r="H1330" s="540" t="s">
        <v>302</v>
      </c>
      <c r="I1330" s="483">
        <v>27.210000000000001</v>
      </c>
      <c r="J1330" s="473">
        <f t="shared" si="1064"/>
        <v>16.649999999999999</v>
      </c>
      <c r="K1330" s="474">
        <f t="shared" si="1065"/>
        <v>453.04649999999998</v>
      </c>
      <c r="L1330" s="473">
        <f t="shared" si="1069"/>
        <v>16.199999999999999</v>
      </c>
      <c r="M1330" s="474">
        <f t="shared" si="1066"/>
        <v>440.80200000000002</v>
      </c>
      <c r="O1330" s="434">
        <f t="shared" si="1067"/>
        <v>16.649999999999999</v>
      </c>
      <c r="P1330" s="435">
        <f t="shared" si="1068"/>
        <v>16.199999999999999</v>
      </c>
      <c r="AE1330" s="217"/>
      <c r="AF1330" s="217">
        <v>1143</v>
      </c>
      <c r="AH1330">
        <f t="shared" si="1061"/>
        <v>1143</v>
      </c>
    </row>
    <row r="1331" ht="60" hidden="1">
      <c r="A1331" s="217"/>
      <c r="B1331" s="217">
        <v>1143</v>
      </c>
      <c r="C1331" s="217"/>
      <c r="D1331" s="217" t="s">
        <v>17167</v>
      </c>
      <c r="E1331" s="471" t="s">
        <v>20687</v>
      </c>
      <c r="F1331" s="540">
        <v>91593</v>
      </c>
      <c r="G1331" s="568" t="s">
        <v>20971</v>
      </c>
      <c r="H1331" s="540" t="s">
        <v>302</v>
      </c>
      <c r="I1331" s="483">
        <v>62.039999999999999</v>
      </c>
      <c r="J1331" s="473">
        <f t="shared" si="1064"/>
        <v>10.199999999999999</v>
      </c>
      <c r="K1331" s="474">
        <f t="shared" si="1065"/>
        <v>632.80799999999999</v>
      </c>
      <c r="L1331" s="473">
        <f t="shared" si="1069"/>
        <v>10.16</v>
      </c>
      <c r="M1331" s="474">
        <f t="shared" si="1066"/>
        <v>630.32640000000004</v>
      </c>
      <c r="O1331" s="434">
        <f t="shared" si="1067"/>
        <v>10.199999999999999</v>
      </c>
      <c r="P1331" s="435">
        <f t="shared" si="1068"/>
        <v>10.16</v>
      </c>
      <c r="AE1331" s="217"/>
      <c r="AF1331" s="217">
        <v>1143</v>
      </c>
      <c r="AH1331">
        <f t="shared" si="1061"/>
        <v>1143</v>
      </c>
    </row>
    <row r="1332" ht="75" hidden="1">
      <c r="A1332" s="217"/>
      <c r="B1332" s="217">
        <v>1143</v>
      </c>
      <c r="C1332" s="217"/>
      <c r="D1332" s="217" t="s">
        <v>20398</v>
      </c>
      <c r="E1332" s="471" t="s">
        <v>20689</v>
      </c>
      <c r="F1332" s="540">
        <v>1058</v>
      </c>
      <c r="G1332" s="568" t="s">
        <v>21281</v>
      </c>
      <c r="H1332" s="540" t="s">
        <v>15515</v>
      </c>
      <c r="I1332" s="483">
        <f>1.2*10.09*2</f>
        <v>24.216000000000001</v>
      </c>
      <c r="J1332" s="473">
        <f t="shared" si="1064"/>
        <v>30.214100000000002</v>
      </c>
      <c r="K1332" s="474">
        <f t="shared" si="1065"/>
        <v>731.66464560000009</v>
      </c>
      <c r="L1332" s="473">
        <f t="shared" si="1069"/>
        <v>29.332799999999999</v>
      </c>
      <c r="M1332" s="474">
        <f t="shared" si="1066"/>
        <v>710.32308480000006</v>
      </c>
      <c r="O1332" s="434">
        <f t="shared" si="1067"/>
        <v>30.214100000000002</v>
      </c>
      <c r="P1332" s="435">
        <f t="shared" si="1068"/>
        <v>29.332799999999999</v>
      </c>
      <c r="AE1332" s="217"/>
      <c r="AF1332" s="217">
        <v>1143</v>
      </c>
      <c r="AH1332">
        <f t="shared" si="1061"/>
        <v>1143</v>
      </c>
    </row>
    <row r="1333" ht="30" hidden="1">
      <c r="A1333" s="217"/>
      <c r="B1333" s="217">
        <v>1143</v>
      </c>
      <c r="C1333" s="217"/>
      <c r="D1333" s="217" t="s">
        <v>20398</v>
      </c>
      <c r="E1333" s="471" t="s">
        <v>20882</v>
      </c>
      <c r="F1333" s="540">
        <v>1133</v>
      </c>
      <c r="G1333" s="568" t="s">
        <v>21243</v>
      </c>
      <c r="H1333" s="540" t="s">
        <v>31</v>
      </c>
      <c r="I1333" s="483">
        <v>1</v>
      </c>
      <c r="J1333" s="474">
        <f t="shared" si="1064"/>
        <v>11794.063049999999</v>
      </c>
      <c r="K1333" s="474">
        <f t="shared" si="1065"/>
        <v>11794.063049999999</v>
      </c>
      <c r="L1333" s="474">
        <f t="shared" si="1069"/>
        <v>11701.3428</v>
      </c>
      <c r="M1333" s="474">
        <f t="shared" si="1066"/>
        <v>11701.3428</v>
      </c>
      <c r="O1333" s="434">
        <f t="shared" si="1067"/>
        <v>11794.063049999999</v>
      </c>
      <c r="P1333" s="435">
        <f t="shared" si="1068"/>
        <v>11701.3428</v>
      </c>
      <c r="AE1333" s="217"/>
      <c r="AF1333" s="217">
        <v>1143</v>
      </c>
      <c r="AH1333">
        <f t="shared" si="1061"/>
        <v>1143</v>
      </c>
    </row>
    <row r="1334" ht="27" hidden="1" customHeight="1">
      <c r="A1334" s="460">
        <v>1144</v>
      </c>
      <c r="B1334" s="460">
        <v>1144</v>
      </c>
      <c r="C1334" s="460"/>
      <c r="D1334" s="460"/>
      <c r="E1334" s="461">
        <v>1</v>
      </c>
      <c r="F1334" s="462" t="s">
        <v>21288</v>
      </c>
      <c r="G1334" s="477" t="s">
        <v>21289</v>
      </c>
      <c r="H1334" s="478" t="s">
        <v>38</v>
      </c>
      <c r="I1334" s="479"/>
      <c r="J1334" s="480"/>
      <c r="K1334" s="466">
        <f>SUM(K1335:K1337)</f>
        <v>989.97730000000001</v>
      </c>
      <c r="L1334" s="480"/>
      <c r="M1334" s="466">
        <f>SUM(M1335:M1337)</f>
        <v>989.48770000000002</v>
      </c>
      <c r="N1334" s="467" t="s">
        <v>21290</v>
      </c>
      <c r="O1334" s="434" t="str">
        <f t="shared" si="1067"/>
        <v xml:space="preserve">SEM VALOR</v>
      </c>
      <c r="P1334" s="435" t="str">
        <f t="shared" si="1068"/>
        <v xml:space="preserve">SEM VALOR</v>
      </c>
      <c r="AE1334" s="460">
        <v>1144</v>
      </c>
      <c r="AF1334" s="460"/>
      <c r="AH1334">
        <f t="shared" si="1061"/>
        <v>1144</v>
      </c>
    </row>
    <row r="1335" ht="45" hidden="1">
      <c r="A1335" s="217"/>
      <c r="B1335" s="217">
        <v>1144</v>
      </c>
      <c r="C1335" s="217"/>
      <c r="D1335" s="217" t="s">
        <v>17167</v>
      </c>
      <c r="E1335" s="471" t="s">
        <v>20399</v>
      </c>
      <c r="F1335" s="540">
        <v>88267</v>
      </c>
      <c r="G1335" s="568" t="s">
        <v>7321</v>
      </c>
      <c r="H1335" s="540" t="s">
        <v>2032</v>
      </c>
      <c r="I1335" s="483">
        <v>0.17000000000000001</v>
      </c>
      <c r="J1335" s="473">
        <f t="shared" si="1064"/>
        <v>27.84</v>
      </c>
      <c r="K1335" s="474">
        <f t="shared" ref="K1335:K1337" si="1070">I1335*J1335</f>
        <v>4.7328000000000001</v>
      </c>
      <c r="L1335" s="473">
        <f t="shared" si="1069"/>
        <v>26.219999999999999</v>
      </c>
      <c r="M1335" s="474">
        <f t="shared" ref="M1335:M1337" si="1071">L1335*I1335</f>
        <v>4.4573999999999998</v>
      </c>
      <c r="O1335" s="434">
        <f t="shared" si="1067"/>
        <v>27.84</v>
      </c>
      <c r="P1335" s="435">
        <f t="shared" si="1068"/>
        <v>26.219999999999999</v>
      </c>
      <c r="AE1335" s="217"/>
      <c r="AF1335" s="217">
        <v>1144</v>
      </c>
      <c r="AH1335">
        <f t="shared" si="1061"/>
        <v>1144</v>
      </c>
    </row>
    <row r="1336" ht="45" hidden="1">
      <c r="A1336" s="217"/>
      <c r="B1336" s="217">
        <v>1144</v>
      </c>
      <c r="C1336" s="217"/>
      <c r="D1336" s="217" t="s">
        <v>17167</v>
      </c>
      <c r="E1336" s="471" t="s">
        <v>20402</v>
      </c>
      <c r="F1336" s="540">
        <v>88248</v>
      </c>
      <c r="G1336" s="568" t="s">
        <v>7110</v>
      </c>
      <c r="H1336" s="540" t="s">
        <v>2032</v>
      </c>
      <c r="I1336" s="483">
        <v>0.17000000000000001</v>
      </c>
      <c r="J1336" s="473">
        <f t="shared" si="1064"/>
        <v>22.989999999999998</v>
      </c>
      <c r="K1336" s="474">
        <f t="shared" si="1070"/>
        <v>3.9083000000000001</v>
      </c>
      <c r="L1336" s="473">
        <f t="shared" si="1069"/>
        <v>21.73</v>
      </c>
      <c r="M1336" s="474">
        <f t="shared" si="1071"/>
        <v>3.6941000000000002</v>
      </c>
      <c r="O1336" s="434">
        <f t="shared" si="1067"/>
        <v>22.989999999999998</v>
      </c>
      <c r="P1336" s="435">
        <f t="shared" si="1068"/>
        <v>21.73</v>
      </c>
      <c r="AE1336" s="217"/>
      <c r="AF1336" s="217">
        <v>1144</v>
      </c>
      <c r="AH1336">
        <f t="shared" si="1061"/>
        <v>1144</v>
      </c>
    </row>
    <row r="1337" ht="23.25" hidden="1" customHeight="1">
      <c r="A1337" s="217"/>
      <c r="B1337" s="217">
        <v>1144</v>
      </c>
      <c r="C1337" s="217"/>
      <c r="D1337" s="217" t="s">
        <v>20453</v>
      </c>
      <c r="E1337" s="471" t="s">
        <v>20405</v>
      </c>
      <c r="F1337" s="540" t="s">
        <v>20078</v>
      </c>
      <c r="G1337" s="568" t="s">
        <v>21291</v>
      </c>
      <c r="H1337" s="540" t="s">
        <v>38</v>
      </c>
      <c r="I1337" s="483">
        <v>1.01</v>
      </c>
      <c r="J1337" s="473">
        <f t="shared" si="1064"/>
        <v>971.62</v>
      </c>
      <c r="K1337" s="474">
        <f t="shared" si="1070"/>
        <v>981.33619999999996</v>
      </c>
      <c r="L1337" s="473">
        <f t="shared" si="1069"/>
        <v>971.62</v>
      </c>
      <c r="M1337" s="474">
        <f t="shared" si="1071"/>
        <v>981.33619999999996</v>
      </c>
      <c r="O1337" s="434">
        <f t="shared" si="1067"/>
        <v>971.62</v>
      </c>
      <c r="P1337" s="435">
        <f t="shared" si="1068"/>
        <v>971.62</v>
      </c>
      <c r="AE1337" s="217"/>
      <c r="AF1337" s="217">
        <v>1144</v>
      </c>
      <c r="AH1337">
        <f t="shared" si="1061"/>
        <v>1144</v>
      </c>
    </row>
    <row r="1338" ht="141.75" hidden="1">
      <c r="A1338" s="460">
        <v>1145</v>
      </c>
      <c r="B1338" s="460">
        <v>1145</v>
      </c>
      <c r="C1338" s="460"/>
      <c r="D1338" s="460"/>
      <c r="E1338" s="461">
        <v>1</v>
      </c>
      <c r="F1338" s="462" t="s">
        <v>21292</v>
      </c>
      <c r="G1338" s="477" t="s">
        <v>21293</v>
      </c>
      <c r="H1338" s="478" t="s">
        <v>20647</v>
      </c>
      <c r="I1338" s="479"/>
      <c r="J1338" s="480"/>
      <c r="K1338" s="466">
        <f>SUM(K1339:K1352)</f>
        <v>10750.983190540001</v>
      </c>
      <c r="L1338" s="480"/>
      <c r="M1338" s="466">
        <f>SUM(M1339:M1352)</f>
        <v>10443.876424294998</v>
      </c>
      <c r="O1338" s="434" t="str">
        <f t="shared" si="1067"/>
        <v xml:space="preserve">SEM VALOR</v>
      </c>
      <c r="P1338" s="435" t="str">
        <f t="shared" si="1068"/>
        <v xml:space="preserve">SEM VALOR</v>
      </c>
      <c r="AE1338" s="460">
        <v>1145</v>
      </c>
      <c r="AF1338" s="460"/>
      <c r="AH1338">
        <f t="shared" si="1061"/>
        <v>1145</v>
      </c>
    </row>
    <row r="1339" ht="30" hidden="1">
      <c r="A1339" s="217"/>
      <c r="B1339" s="217">
        <v>1145</v>
      </c>
      <c r="C1339" s="217"/>
      <c r="D1339" s="217" t="s">
        <v>20398</v>
      </c>
      <c r="E1339" s="471" t="s">
        <v>20399</v>
      </c>
      <c r="F1339" s="482">
        <v>1242</v>
      </c>
      <c r="G1339" s="488" t="s">
        <v>20905</v>
      </c>
      <c r="H1339" s="471" t="s">
        <v>15528</v>
      </c>
      <c r="I1339" s="472">
        <f>(1.9+0.8)*(2.6+0.8)*0.05</f>
        <v>0.45900000000000002</v>
      </c>
      <c r="J1339" s="473">
        <f t="shared" si="1064"/>
        <v>151.59100000000001</v>
      </c>
      <c r="K1339" s="474">
        <f t="shared" ref="K1339:K1352" si="1072">I1339*J1339</f>
        <v>69.580269000000001</v>
      </c>
      <c r="L1339" s="473">
        <f t="shared" si="1069"/>
        <v>149.17099999999999</v>
      </c>
      <c r="M1339" s="474">
        <f t="shared" ref="M1339:M1352" si="1073">L1339*I1339</f>
        <v>68.469488999999996</v>
      </c>
      <c r="O1339" s="434">
        <f t="shared" si="1067"/>
        <v>151.59100000000001</v>
      </c>
      <c r="P1339" s="435">
        <f t="shared" si="1068"/>
        <v>149.17099999999999</v>
      </c>
      <c r="AE1339" s="217"/>
      <c r="AF1339" s="217">
        <v>1145</v>
      </c>
      <c r="AH1339">
        <f t="shared" si="1061"/>
        <v>1145</v>
      </c>
    </row>
    <row r="1340" ht="75" hidden="1">
      <c r="A1340" s="217"/>
      <c r="B1340" s="217">
        <v>1145</v>
      </c>
      <c r="C1340" s="217"/>
      <c r="D1340" s="217" t="s">
        <v>20398</v>
      </c>
      <c r="E1340" s="471" t="s">
        <v>20402</v>
      </c>
      <c r="F1340" s="482">
        <v>1257</v>
      </c>
      <c r="G1340" s="470" t="s">
        <v>20906</v>
      </c>
      <c r="H1340" s="471" t="s">
        <v>15515</v>
      </c>
      <c r="I1340" s="472">
        <f>((1.9+0.4)*2+(2.6+0.4)*2)*2</f>
        <v>21.199999999999999</v>
      </c>
      <c r="J1340" s="473">
        <f t="shared" si="1064"/>
        <v>202.65134000000003</v>
      </c>
      <c r="K1340" s="474">
        <f t="shared" si="1072"/>
        <v>4296.2084080000004</v>
      </c>
      <c r="L1340" s="473">
        <f t="shared" si="1069"/>
        <v>197.86072000000001</v>
      </c>
      <c r="M1340" s="474">
        <f t="shared" si="1073"/>
        <v>4194.6472640000002</v>
      </c>
      <c r="O1340" s="434">
        <f t="shared" si="1067"/>
        <v>202.65134000000003</v>
      </c>
      <c r="P1340" s="435">
        <f t="shared" si="1068"/>
        <v>197.86072000000001</v>
      </c>
      <c r="AE1340" s="217"/>
      <c r="AF1340" s="217">
        <v>1145</v>
      </c>
      <c r="AH1340">
        <f t="shared" si="1061"/>
        <v>1145</v>
      </c>
    </row>
    <row r="1341" ht="60" hidden="1">
      <c r="A1341" s="217"/>
      <c r="B1341" s="217">
        <v>1145</v>
      </c>
      <c r="C1341" s="217"/>
      <c r="D1341" s="217" t="s">
        <v>20398</v>
      </c>
      <c r="E1341" s="471" t="s">
        <v>20405</v>
      </c>
      <c r="F1341" s="482">
        <v>1258</v>
      </c>
      <c r="G1341" s="488" t="s">
        <v>20660</v>
      </c>
      <c r="H1341" s="472" t="s">
        <v>15515</v>
      </c>
      <c r="I1341" s="472">
        <f>(1.9+0.8)*(2.6+0.8)</f>
        <v>9.1799999999999997</v>
      </c>
      <c r="J1341" s="473">
        <f t="shared" si="1064"/>
        <v>7.5700000000000003</v>
      </c>
      <c r="K1341" s="474">
        <f t="shared" si="1072"/>
        <v>69.492599999999996</v>
      </c>
      <c r="L1341" s="473">
        <f t="shared" si="1069"/>
        <v>7.1846199999999998</v>
      </c>
      <c r="M1341" s="474">
        <f t="shared" si="1073"/>
        <v>65.954811599999999</v>
      </c>
      <c r="O1341" s="434">
        <f t="shared" si="1067"/>
        <v>7.5700000000000003</v>
      </c>
      <c r="P1341" s="435">
        <f t="shared" si="1068"/>
        <v>7.1846199999999998</v>
      </c>
      <c r="AE1341" s="217"/>
      <c r="AF1341" s="217">
        <v>1145</v>
      </c>
      <c r="AH1341">
        <f t="shared" si="1061"/>
        <v>1145</v>
      </c>
    </row>
    <row r="1342" ht="30" hidden="1">
      <c r="A1342" s="217"/>
      <c r="B1342" s="217">
        <v>1145</v>
      </c>
      <c r="C1342" s="217"/>
      <c r="D1342" s="217" t="s">
        <v>20398</v>
      </c>
      <c r="E1342" s="471" t="s">
        <v>20409</v>
      </c>
      <c r="F1342" s="482">
        <v>1259</v>
      </c>
      <c r="G1342" s="470" t="s">
        <v>21294</v>
      </c>
      <c r="H1342" s="472" t="s">
        <v>15528</v>
      </c>
      <c r="I1342" s="472">
        <f>((1.9+0.8)*(2.6+0.8))*(2.5+0.18+0.15+0.05)</f>
        <v>26.438400000000001</v>
      </c>
      <c r="J1342" s="473">
        <f t="shared" si="1064"/>
        <v>45.520000000000003</v>
      </c>
      <c r="K1342" s="474">
        <f t="shared" si="1072"/>
        <v>1203.4759680000002</v>
      </c>
      <c r="L1342" s="473">
        <f t="shared" si="1069"/>
        <v>43.100000000000001</v>
      </c>
      <c r="M1342" s="474">
        <f t="shared" si="1073"/>
        <v>1139.49504</v>
      </c>
      <c r="O1342" s="434">
        <f t="shared" si="1067"/>
        <v>45.520000000000003</v>
      </c>
      <c r="P1342" s="435">
        <f t="shared" si="1068"/>
        <v>43.100000000000001</v>
      </c>
      <c r="AE1342" s="217"/>
      <c r="AF1342" s="217">
        <v>1145</v>
      </c>
      <c r="AH1342">
        <f t="shared" si="1061"/>
        <v>1145</v>
      </c>
    </row>
    <row r="1343" ht="105" hidden="1">
      <c r="A1343" s="217"/>
      <c r="B1343" s="217">
        <v>1145</v>
      </c>
      <c r="C1343" s="217"/>
      <c r="D1343" s="217" t="s">
        <v>17167</v>
      </c>
      <c r="E1343" s="471" t="s">
        <v>20663</v>
      </c>
      <c r="F1343" s="482">
        <v>5928</v>
      </c>
      <c r="G1343" s="470" t="s">
        <v>1739</v>
      </c>
      <c r="H1343" s="472" t="s">
        <v>1535</v>
      </c>
      <c r="I1343" s="472">
        <v>0.10000000000000001</v>
      </c>
      <c r="J1343" s="473">
        <f t="shared" si="1064"/>
        <v>298.70999999999998</v>
      </c>
      <c r="K1343" s="474">
        <f t="shared" si="1072"/>
        <v>29.870999999999999</v>
      </c>
      <c r="L1343" s="473">
        <f t="shared" si="1069"/>
        <v>296.98000000000002</v>
      </c>
      <c r="M1343" s="474">
        <f t="shared" si="1073"/>
        <v>29.698000000000004</v>
      </c>
      <c r="O1343" s="434">
        <f t="shared" si="1067"/>
        <v>298.70999999999998</v>
      </c>
      <c r="P1343" s="435">
        <f t="shared" si="1068"/>
        <v>296.98000000000002</v>
      </c>
      <c r="AE1343" s="217"/>
      <c r="AF1343" s="217">
        <v>1145</v>
      </c>
      <c r="AH1343">
        <f t="shared" si="1061"/>
        <v>1145</v>
      </c>
    </row>
    <row r="1344" ht="45" hidden="1">
      <c r="A1344" s="217"/>
      <c r="B1344" s="217">
        <v>1145</v>
      </c>
      <c r="C1344" s="217"/>
      <c r="D1344" s="217" t="s">
        <v>20398</v>
      </c>
      <c r="E1344" s="471" t="s">
        <v>20665</v>
      </c>
      <c r="F1344" s="482">
        <v>1000</v>
      </c>
      <c r="G1344" s="470" t="s">
        <v>20651</v>
      </c>
      <c r="H1344" s="472" t="s">
        <v>15528</v>
      </c>
      <c r="I1344" s="472">
        <f>I1350+I1351</f>
        <v>3.8198099999999999</v>
      </c>
      <c r="J1344" s="473">
        <f t="shared" si="1064"/>
        <v>149.904</v>
      </c>
      <c r="K1344" s="474">
        <f t="shared" si="1072"/>
        <v>572.60479823999992</v>
      </c>
      <c r="L1344" s="473">
        <f t="shared" si="1069"/>
        <v>141.76949999999999</v>
      </c>
      <c r="M1344" s="474">
        <f t="shared" si="1073"/>
        <v>541.53255379500001</v>
      </c>
      <c r="O1344" s="434">
        <f t="shared" si="1067"/>
        <v>149.904</v>
      </c>
      <c r="P1344" s="435">
        <f t="shared" si="1068"/>
        <v>141.76949999999999</v>
      </c>
      <c r="AE1344" s="217"/>
      <c r="AF1344" s="217">
        <v>1145</v>
      </c>
      <c r="AH1344">
        <f t="shared" si="1061"/>
        <v>1145</v>
      </c>
    </row>
    <row r="1345" ht="60" hidden="1">
      <c r="A1345" s="217"/>
      <c r="B1345" s="217">
        <v>1145</v>
      </c>
      <c r="C1345" s="217"/>
      <c r="D1345" s="217" t="s">
        <v>17167</v>
      </c>
      <c r="E1345" s="471" t="s">
        <v>20667</v>
      </c>
      <c r="F1345" s="482">
        <v>87313</v>
      </c>
      <c r="G1345" s="470" t="s">
        <v>20909</v>
      </c>
      <c r="H1345" s="472" t="s">
        <v>15528</v>
      </c>
      <c r="I1345" s="472">
        <f>(1.9*2+2.6*2)*2*0.02</f>
        <v>0.35999999999999999</v>
      </c>
      <c r="J1345" s="473">
        <f t="shared" si="1064"/>
        <v>549.88</v>
      </c>
      <c r="K1345" s="474">
        <f t="shared" si="1072"/>
        <v>197.95679999999999</v>
      </c>
      <c r="L1345" s="473">
        <f t="shared" si="1069"/>
        <v>542.65999999999997</v>
      </c>
      <c r="M1345" s="474">
        <f t="shared" si="1073"/>
        <v>195.35759999999999</v>
      </c>
      <c r="O1345" s="434">
        <f t="shared" si="1067"/>
        <v>549.88</v>
      </c>
      <c r="P1345" s="435">
        <f t="shared" si="1068"/>
        <v>542.65999999999997</v>
      </c>
      <c r="AE1345" s="217"/>
      <c r="AF1345" s="217">
        <v>1145</v>
      </c>
      <c r="AH1345">
        <f t="shared" si="1061"/>
        <v>1145</v>
      </c>
    </row>
    <row r="1346" ht="75" hidden="1">
      <c r="A1346" s="217"/>
      <c r="B1346" s="217">
        <v>1145</v>
      </c>
      <c r="C1346" s="217"/>
      <c r="D1346" s="217" t="s">
        <v>17167</v>
      </c>
      <c r="E1346" s="471" t="s">
        <v>20671</v>
      </c>
      <c r="F1346" s="482">
        <v>87878</v>
      </c>
      <c r="G1346" s="470" t="s">
        <v>20910</v>
      </c>
      <c r="H1346" s="472" t="s">
        <v>15515</v>
      </c>
      <c r="I1346" s="472">
        <f>(1.9*2+2.6*2)*2</f>
        <v>18</v>
      </c>
      <c r="J1346" s="473">
        <f t="shared" si="1064"/>
        <v>5.0099999999999998</v>
      </c>
      <c r="K1346" s="474">
        <f t="shared" si="1072"/>
        <v>90.179999999999993</v>
      </c>
      <c r="L1346" s="473">
        <f t="shared" si="1069"/>
        <v>4.7999999999999998</v>
      </c>
      <c r="M1346" s="474">
        <f t="shared" si="1073"/>
        <v>86.399999999999991</v>
      </c>
      <c r="O1346" s="434">
        <f t="shared" si="1067"/>
        <v>5.0099999999999998</v>
      </c>
      <c r="P1346" s="435">
        <f t="shared" si="1068"/>
        <v>4.7999999999999998</v>
      </c>
      <c r="AE1346" s="217"/>
      <c r="AF1346" s="217">
        <v>1145</v>
      </c>
      <c r="AH1346">
        <f t="shared" si="1061"/>
        <v>1145</v>
      </c>
    </row>
    <row r="1347" ht="45" hidden="1">
      <c r="A1347" s="217"/>
      <c r="B1347" s="217">
        <v>1145</v>
      </c>
      <c r="C1347" s="217"/>
      <c r="D1347" s="217" t="s">
        <v>17167</v>
      </c>
      <c r="E1347" s="471" t="s">
        <v>20672</v>
      </c>
      <c r="F1347" s="482">
        <v>96543</v>
      </c>
      <c r="G1347" s="470" t="s">
        <v>20676</v>
      </c>
      <c r="H1347" s="472" t="s">
        <v>302</v>
      </c>
      <c r="I1347" s="472">
        <v>7.6500000000000004</v>
      </c>
      <c r="J1347" s="473">
        <f t="shared" si="1064"/>
        <v>19.829999999999998</v>
      </c>
      <c r="K1347" s="474">
        <f t="shared" si="1072"/>
        <v>151.6995</v>
      </c>
      <c r="L1347" s="473">
        <f t="shared" si="1069"/>
        <v>19.210000000000001</v>
      </c>
      <c r="M1347" s="474">
        <f t="shared" si="1073"/>
        <v>146.95650000000001</v>
      </c>
      <c r="O1347" s="434">
        <f t="shared" si="1067"/>
        <v>19.829999999999998</v>
      </c>
      <c r="P1347" s="435">
        <f t="shared" si="1068"/>
        <v>19.210000000000001</v>
      </c>
      <c r="AE1347" s="217"/>
      <c r="AF1347" s="217">
        <v>1145</v>
      </c>
      <c r="AH1347">
        <f t="shared" si="1061"/>
        <v>1145</v>
      </c>
    </row>
    <row r="1348" ht="45" hidden="1">
      <c r="A1348" s="217"/>
      <c r="B1348" s="217">
        <v>1145</v>
      </c>
      <c r="C1348" s="217"/>
      <c r="D1348" s="217" t="s">
        <v>17167</v>
      </c>
      <c r="E1348" s="471" t="s">
        <v>20673</v>
      </c>
      <c r="F1348" s="482">
        <v>96544</v>
      </c>
      <c r="G1348" s="470" t="s">
        <v>20763</v>
      </c>
      <c r="H1348" s="472" t="s">
        <v>302</v>
      </c>
      <c r="I1348" s="472">
        <v>51.43</v>
      </c>
      <c r="J1348" s="473">
        <f t="shared" si="1064"/>
        <v>17.699999999999999</v>
      </c>
      <c r="K1348" s="474">
        <f t="shared" si="1072"/>
        <v>910.31099999999992</v>
      </c>
      <c r="L1348" s="473">
        <f t="shared" si="1069"/>
        <v>17.23</v>
      </c>
      <c r="M1348" s="474">
        <f t="shared" si="1073"/>
        <v>886.13890000000004</v>
      </c>
      <c r="O1348" s="434">
        <f t="shared" si="1067"/>
        <v>17.699999999999999</v>
      </c>
      <c r="P1348" s="435">
        <f t="shared" si="1068"/>
        <v>17.23</v>
      </c>
      <c r="AE1348" s="217"/>
      <c r="AF1348" s="217">
        <v>1145</v>
      </c>
      <c r="AH1348">
        <f t="shared" si="1061"/>
        <v>1145</v>
      </c>
    </row>
    <row r="1349" ht="45" hidden="1">
      <c r="A1349" s="217"/>
      <c r="B1349" s="217">
        <v>1145</v>
      </c>
      <c r="C1349" s="217"/>
      <c r="D1349" s="217" t="s">
        <v>17167</v>
      </c>
      <c r="E1349" s="471" t="s">
        <v>20675</v>
      </c>
      <c r="F1349" s="482">
        <v>93382</v>
      </c>
      <c r="G1349" s="470" t="s">
        <v>20722</v>
      </c>
      <c r="H1349" s="472" t="s">
        <v>15528</v>
      </c>
      <c r="I1349" s="472">
        <f>I1342-2.7*3.4*0.2-2.3*3*(2.12+0.18)</f>
        <v>8.7324000000000002</v>
      </c>
      <c r="J1349" s="473">
        <f t="shared" si="1064"/>
        <v>27.52</v>
      </c>
      <c r="K1349" s="474">
        <f t="shared" si="1072"/>
        <v>240.31564800000001</v>
      </c>
      <c r="L1349" s="473">
        <f t="shared" si="1069"/>
        <v>26.190000000000001</v>
      </c>
      <c r="M1349" s="474">
        <f t="shared" si="1073"/>
        <v>228.70155600000001</v>
      </c>
      <c r="O1349" s="434">
        <f t="shared" si="1067"/>
        <v>27.52</v>
      </c>
      <c r="P1349" s="435">
        <f t="shared" si="1068"/>
        <v>26.190000000000001</v>
      </c>
      <c r="AE1349" s="217"/>
      <c r="AF1349" s="217">
        <v>1145</v>
      </c>
      <c r="AH1349">
        <f t="shared" si="1061"/>
        <v>1145</v>
      </c>
    </row>
    <row r="1350" ht="60" hidden="1">
      <c r="A1350" s="217"/>
      <c r="B1350" s="217">
        <v>1145</v>
      </c>
      <c r="C1350" s="217"/>
      <c r="D1350" s="217" t="s">
        <v>17167</v>
      </c>
      <c r="E1350" s="471" t="s">
        <v>20677</v>
      </c>
      <c r="F1350" s="482">
        <v>94963</v>
      </c>
      <c r="G1350" s="470" t="s">
        <v>20911</v>
      </c>
      <c r="H1350" s="472" t="s">
        <v>15528</v>
      </c>
      <c r="I1350" s="472">
        <f>(1.9+0.8)*(2.6+0.8)*0.15+2.3*3*0.18</f>
        <v>2.6190000000000002</v>
      </c>
      <c r="J1350" s="473">
        <f t="shared" si="1064"/>
        <v>441.43000000000001</v>
      </c>
      <c r="K1350" s="474">
        <f t="shared" si="1072"/>
        <v>1156.10517</v>
      </c>
      <c r="L1350" s="473">
        <f t="shared" si="1069"/>
        <v>436.14999999999998</v>
      </c>
      <c r="M1350" s="474">
        <f t="shared" si="1073"/>
        <v>1142.27685</v>
      </c>
      <c r="O1350" s="434">
        <f t="shared" si="1067"/>
        <v>441.43000000000001</v>
      </c>
      <c r="P1350" s="435">
        <f t="shared" si="1068"/>
        <v>436.14999999999998</v>
      </c>
      <c r="AE1350" s="217"/>
      <c r="AF1350" s="217">
        <v>1145</v>
      </c>
      <c r="AH1350">
        <f t="shared" si="1061"/>
        <v>1145</v>
      </c>
    </row>
    <row r="1351" ht="60" hidden="1">
      <c r="A1351" s="217"/>
      <c r="B1351" s="217">
        <v>1145</v>
      </c>
      <c r="C1351" s="217"/>
      <c r="D1351" s="217" t="s">
        <v>17167</v>
      </c>
      <c r="E1351" s="471" t="s">
        <v>20679</v>
      </c>
      <c r="F1351" s="482">
        <v>94964</v>
      </c>
      <c r="G1351" s="470" t="s">
        <v>20686</v>
      </c>
      <c r="H1351" s="472" t="s">
        <v>15528</v>
      </c>
      <c r="I1351" s="472">
        <f>(1.9+0.2*2)*(2.6+0.4)*0.12+3*0.17*0.17*2+2.3*0.17*0.17*3</f>
        <v>1.2008099999999999</v>
      </c>
      <c r="J1351" s="473">
        <f t="shared" si="1064"/>
        <v>488.52999999999997</v>
      </c>
      <c r="K1351" s="474">
        <f t="shared" si="1072"/>
        <v>586.6317092999999</v>
      </c>
      <c r="L1351" s="473">
        <f t="shared" si="1069"/>
        <v>482.79000000000002</v>
      </c>
      <c r="M1351" s="474">
        <f t="shared" si="1073"/>
        <v>579.73905990000003</v>
      </c>
      <c r="O1351" s="434">
        <f t="shared" si="1067"/>
        <v>488.52999999999997</v>
      </c>
      <c r="P1351" s="435">
        <f t="shared" si="1068"/>
        <v>482.79000000000002</v>
      </c>
      <c r="AE1351" s="217"/>
      <c r="AF1351" s="217">
        <v>1145</v>
      </c>
      <c r="AH1351">
        <f t="shared" ref="AH1351:AH1414" si="1074">IF(AF1351:AF1352=FALSE,AE1351,AF1351)</f>
        <v>1145</v>
      </c>
    </row>
    <row r="1352" ht="60" hidden="1">
      <c r="A1352" s="217"/>
      <c r="B1352" s="217">
        <v>1145</v>
      </c>
      <c r="C1352" s="217"/>
      <c r="D1352" s="217" t="s">
        <v>17167</v>
      </c>
      <c r="E1352" s="471" t="s">
        <v>20681</v>
      </c>
      <c r="F1352" s="482">
        <v>96533</v>
      </c>
      <c r="G1352" s="470" t="s">
        <v>20912</v>
      </c>
      <c r="H1352" s="472" t="s">
        <v>15515</v>
      </c>
      <c r="I1352" s="472">
        <f>3*2.3+(3*2+2.3*2)*0.12+(3*2+2.3*2)*0.17*2+0.18*(2.3*2+3*2)</f>
        <v>13.683999999999999</v>
      </c>
      <c r="J1352" s="473">
        <f t="shared" si="1064"/>
        <v>85.980000000000004</v>
      </c>
      <c r="K1352" s="474">
        <f t="shared" si="1072"/>
        <v>1176.5503200000001</v>
      </c>
      <c r="L1352" s="473">
        <f t="shared" si="1069"/>
        <v>83.200000000000003</v>
      </c>
      <c r="M1352" s="474">
        <f t="shared" si="1073"/>
        <v>1138.5088000000001</v>
      </c>
      <c r="O1352" s="434">
        <f t="shared" si="1067"/>
        <v>85.980000000000004</v>
      </c>
      <c r="P1352" s="435">
        <f t="shared" si="1068"/>
        <v>83.200000000000003</v>
      </c>
      <c r="AE1352" s="217"/>
      <c r="AF1352" s="217">
        <v>1145</v>
      </c>
      <c r="AH1352">
        <f t="shared" si="1074"/>
        <v>1145</v>
      </c>
    </row>
    <row r="1353" ht="141.75" hidden="1">
      <c r="A1353" s="460">
        <v>1146</v>
      </c>
      <c r="B1353" s="460">
        <v>1146</v>
      </c>
      <c r="C1353" s="460"/>
      <c r="D1353" s="460"/>
      <c r="E1353" s="461">
        <v>1</v>
      </c>
      <c r="F1353" s="462" t="s">
        <v>21295</v>
      </c>
      <c r="G1353" s="477" t="s">
        <v>21296</v>
      </c>
      <c r="H1353" s="478" t="s">
        <v>20647</v>
      </c>
      <c r="I1353" s="479"/>
      <c r="J1353" s="480"/>
      <c r="K1353" s="466">
        <f>SUM(K1354:K1367)</f>
        <v>13217.2154507</v>
      </c>
      <c r="L1353" s="480"/>
      <c r="M1353" s="466">
        <f>SUM(M1354:M1367)</f>
        <v>12838.862312775</v>
      </c>
      <c r="O1353" s="434" t="str">
        <f t="shared" si="1067"/>
        <v xml:space="preserve">SEM VALOR</v>
      </c>
      <c r="P1353" s="435" t="str">
        <f t="shared" si="1068"/>
        <v xml:space="preserve">SEM VALOR</v>
      </c>
      <c r="AE1353" s="460">
        <v>1146</v>
      </c>
      <c r="AF1353" s="460"/>
      <c r="AH1353">
        <f t="shared" si="1074"/>
        <v>1146</v>
      </c>
    </row>
    <row r="1354" ht="30" hidden="1">
      <c r="A1354" s="217"/>
      <c r="B1354" s="217">
        <v>1146</v>
      </c>
      <c r="C1354" s="217"/>
      <c r="D1354" s="217" t="s">
        <v>20398</v>
      </c>
      <c r="E1354" s="471" t="s">
        <v>20399</v>
      </c>
      <c r="F1354" s="482">
        <v>1242</v>
      </c>
      <c r="G1354" s="488" t="s">
        <v>20905</v>
      </c>
      <c r="H1354" s="471" t="s">
        <v>15528</v>
      </c>
      <c r="I1354" s="472">
        <f>(1.9+0.8)*(3.4+0.8)*0.05</f>
        <v>0.56699999999999995</v>
      </c>
      <c r="J1354" s="473">
        <f t="shared" si="1064"/>
        <v>151.59100000000001</v>
      </c>
      <c r="K1354" s="474">
        <f t="shared" ref="K1354:K1367" si="1075">I1354*J1354</f>
        <v>85.952096999999995</v>
      </c>
      <c r="L1354" s="473">
        <f t="shared" si="1069"/>
        <v>149.17099999999999</v>
      </c>
      <c r="M1354" s="474">
        <f t="shared" ref="M1354:M1367" si="1076">L1354*I1354</f>
        <v>84.579956999999993</v>
      </c>
      <c r="O1354" s="434">
        <f t="shared" si="1067"/>
        <v>151.59100000000001</v>
      </c>
      <c r="P1354" s="435">
        <f t="shared" si="1068"/>
        <v>149.17099999999999</v>
      </c>
      <c r="AE1354" s="217"/>
      <c r="AF1354" s="217">
        <v>1146</v>
      </c>
      <c r="AH1354">
        <f t="shared" si="1074"/>
        <v>1146</v>
      </c>
    </row>
    <row r="1355" ht="75" hidden="1">
      <c r="A1355" s="217"/>
      <c r="B1355" s="217">
        <v>1146</v>
      </c>
      <c r="C1355" s="217"/>
      <c r="D1355" s="217" t="s">
        <v>20398</v>
      </c>
      <c r="E1355" s="471" t="s">
        <v>20402</v>
      </c>
      <c r="F1355" s="482">
        <v>1257</v>
      </c>
      <c r="G1355" s="470" t="s">
        <v>20906</v>
      </c>
      <c r="H1355" s="471" t="s">
        <v>15515</v>
      </c>
      <c r="I1355" s="472">
        <f>((1.9+0.4)*2+(3.4+0.4)*2)*2</f>
        <v>24.399999999999999</v>
      </c>
      <c r="J1355" s="473">
        <f t="shared" si="1064"/>
        <v>202.65134000000003</v>
      </c>
      <c r="K1355" s="474">
        <f t="shared" si="1075"/>
        <v>4944.6926960000001</v>
      </c>
      <c r="L1355" s="473">
        <f t="shared" si="1069"/>
        <v>197.86072000000001</v>
      </c>
      <c r="M1355" s="474">
        <f t="shared" si="1076"/>
        <v>4827.8015679999999</v>
      </c>
      <c r="O1355" s="434">
        <f t="shared" si="1067"/>
        <v>202.65134000000003</v>
      </c>
      <c r="P1355" s="435">
        <f t="shared" si="1068"/>
        <v>197.86072000000001</v>
      </c>
      <c r="AE1355" s="217"/>
      <c r="AF1355" s="217">
        <v>1146</v>
      </c>
      <c r="AH1355">
        <f t="shared" si="1074"/>
        <v>1146</v>
      </c>
    </row>
    <row r="1356" ht="60" hidden="1">
      <c r="A1356" s="217"/>
      <c r="B1356" s="217">
        <v>1146</v>
      </c>
      <c r="C1356" s="217"/>
      <c r="D1356" s="217" t="s">
        <v>20398</v>
      </c>
      <c r="E1356" s="471" t="s">
        <v>20405</v>
      </c>
      <c r="F1356" s="482">
        <v>1258</v>
      </c>
      <c r="G1356" s="488" t="s">
        <v>20660</v>
      </c>
      <c r="H1356" s="472" t="s">
        <v>15515</v>
      </c>
      <c r="I1356" s="472">
        <f>(1.9+0.8)*(3.4+0.8)</f>
        <v>11.34</v>
      </c>
      <c r="J1356" s="473">
        <f t="shared" si="1064"/>
        <v>7.5700000000000003</v>
      </c>
      <c r="K1356" s="474">
        <f t="shared" si="1075"/>
        <v>85.843800000000002</v>
      </c>
      <c r="L1356" s="473">
        <f t="shared" si="1069"/>
        <v>7.1846199999999998</v>
      </c>
      <c r="M1356" s="474">
        <f t="shared" si="1076"/>
        <v>81.473590799999997</v>
      </c>
      <c r="O1356" s="434">
        <f t="shared" si="1067"/>
        <v>7.5700000000000003</v>
      </c>
      <c r="P1356" s="435">
        <f t="shared" si="1068"/>
        <v>7.1846199999999998</v>
      </c>
      <c r="AE1356" s="217"/>
      <c r="AF1356" s="217">
        <v>1146</v>
      </c>
      <c r="AH1356">
        <f t="shared" si="1074"/>
        <v>1146</v>
      </c>
    </row>
    <row r="1357" ht="30" hidden="1">
      <c r="A1357" s="217"/>
      <c r="B1357" s="217">
        <v>1146</v>
      </c>
      <c r="C1357" s="217"/>
      <c r="D1357" s="217" t="s">
        <v>20398</v>
      </c>
      <c r="E1357" s="471" t="s">
        <v>20409</v>
      </c>
      <c r="F1357" s="482">
        <v>1259</v>
      </c>
      <c r="G1357" s="470" t="s">
        <v>21294</v>
      </c>
      <c r="H1357" s="472" t="s">
        <v>15528</v>
      </c>
      <c r="I1357" s="472">
        <f>((1.9+0.8)*(3.4+0.8))*(2.5+0.18+0.15+0.05)</f>
        <v>32.659199999999998</v>
      </c>
      <c r="J1357" s="473">
        <f t="shared" si="1064"/>
        <v>45.520000000000003</v>
      </c>
      <c r="K1357" s="474">
        <f t="shared" si="1075"/>
        <v>1486.646784</v>
      </c>
      <c r="L1357" s="473">
        <f t="shared" si="1069"/>
        <v>43.100000000000001</v>
      </c>
      <c r="M1357" s="474">
        <f t="shared" si="1076"/>
        <v>1407.6115199999999</v>
      </c>
      <c r="O1357" s="434">
        <f t="shared" si="1067"/>
        <v>45.520000000000003</v>
      </c>
      <c r="P1357" s="435">
        <f t="shared" si="1068"/>
        <v>43.100000000000001</v>
      </c>
      <c r="AE1357" s="217"/>
      <c r="AF1357" s="217">
        <v>1146</v>
      </c>
      <c r="AH1357">
        <f t="shared" si="1074"/>
        <v>1146</v>
      </c>
    </row>
    <row r="1358" ht="105" hidden="1">
      <c r="A1358" s="217"/>
      <c r="B1358" s="217">
        <v>1146</v>
      </c>
      <c r="C1358" s="217"/>
      <c r="D1358" s="217" t="s">
        <v>17167</v>
      </c>
      <c r="E1358" s="471" t="s">
        <v>20663</v>
      </c>
      <c r="F1358" s="482">
        <v>5928</v>
      </c>
      <c r="G1358" s="470" t="s">
        <v>1739</v>
      </c>
      <c r="H1358" s="472" t="s">
        <v>1535</v>
      </c>
      <c r="I1358" s="472">
        <v>0.10000000000000001</v>
      </c>
      <c r="J1358" s="473">
        <f t="shared" si="1064"/>
        <v>298.70999999999998</v>
      </c>
      <c r="K1358" s="474">
        <f t="shared" si="1075"/>
        <v>29.870999999999999</v>
      </c>
      <c r="L1358" s="473">
        <f t="shared" si="1069"/>
        <v>296.98000000000002</v>
      </c>
      <c r="M1358" s="474">
        <f t="shared" si="1076"/>
        <v>29.698000000000004</v>
      </c>
      <c r="O1358" s="434">
        <f t="shared" si="1067"/>
        <v>298.70999999999998</v>
      </c>
      <c r="P1358" s="435">
        <f t="shared" si="1068"/>
        <v>296.98000000000002</v>
      </c>
      <c r="AE1358" s="217"/>
      <c r="AF1358" s="217">
        <v>1146</v>
      </c>
      <c r="AH1358">
        <f t="shared" si="1074"/>
        <v>1146</v>
      </c>
    </row>
    <row r="1359" ht="45" hidden="1">
      <c r="A1359" s="217"/>
      <c r="B1359" s="217">
        <v>1146</v>
      </c>
      <c r="C1359" s="217"/>
      <c r="D1359" s="217" t="s">
        <v>20398</v>
      </c>
      <c r="E1359" s="471" t="s">
        <v>20665</v>
      </c>
      <c r="F1359" s="482">
        <v>1000</v>
      </c>
      <c r="G1359" s="470" t="s">
        <v>20651</v>
      </c>
      <c r="H1359" s="472" t="s">
        <v>15528</v>
      </c>
      <c r="I1359" s="472">
        <f>I1365+I1366</f>
        <v>4.7420499999999999</v>
      </c>
      <c r="J1359" s="473">
        <f t="shared" si="1064"/>
        <v>149.904</v>
      </c>
      <c r="K1359" s="474">
        <f t="shared" si="1075"/>
        <v>710.85226319999992</v>
      </c>
      <c r="L1359" s="473">
        <f t="shared" si="1069"/>
        <v>141.76949999999999</v>
      </c>
      <c r="M1359" s="474">
        <f t="shared" si="1076"/>
        <v>672.27805747499997</v>
      </c>
      <c r="O1359" s="434">
        <f t="shared" si="1067"/>
        <v>149.904</v>
      </c>
      <c r="P1359" s="435">
        <f t="shared" si="1068"/>
        <v>141.76949999999999</v>
      </c>
      <c r="AE1359" s="217"/>
      <c r="AF1359" s="217">
        <v>1146</v>
      </c>
      <c r="AH1359">
        <f t="shared" si="1074"/>
        <v>1146</v>
      </c>
    </row>
    <row r="1360" ht="60" hidden="1">
      <c r="A1360" s="217"/>
      <c r="B1360" s="217">
        <v>1146</v>
      </c>
      <c r="C1360" s="217"/>
      <c r="D1360" s="217" t="s">
        <v>17167</v>
      </c>
      <c r="E1360" s="471" t="s">
        <v>20667</v>
      </c>
      <c r="F1360" s="482">
        <v>87313</v>
      </c>
      <c r="G1360" s="470" t="s">
        <v>20909</v>
      </c>
      <c r="H1360" s="472" t="s">
        <v>15528</v>
      </c>
      <c r="I1360" s="472">
        <f>(1.9*2+3.4*2)*2*0.02</f>
        <v>0.42399999999999999</v>
      </c>
      <c r="J1360" s="473">
        <f t="shared" si="1064"/>
        <v>549.88</v>
      </c>
      <c r="K1360" s="474">
        <f t="shared" si="1075"/>
        <v>233.14911999999998</v>
      </c>
      <c r="L1360" s="473">
        <f t="shared" si="1069"/>
        <v>542.65999999999997</v>
      </c>
      <c r="M1360" s="474">
        <f t="shared" si="1076"/>
        <v>230.08783999999997</v>
      </c>
      <c r="O1360" s="434">
        <f t="shared" si="1067"/>
        <v>549.88</v>
      </c>
      <c r="P1360" s="435">
        <f t="shared" si="1068"/>
        <v>542.65999999999997</v>
      </c>
      <c r="AE1360" s="217"/>
      <c r="AF1360" s="217">
        <v>1146</v>
      </c>
      <c r="AH1360">
        <f t="shared" si="1074"/>
        <v>1146</v>
      </c>
    </row>
    <row r="1361" ht="75" hidden="1">
      <c r="A1361" s="217"/>
      <c r="B1361" s="217">
        <v>1146</v>
      </c>
      <c r="C1361" s="217"/>
      <c r="D1361" s="217" t="s">
        <v>17167</v>
      </c>
      <c r="E1361" s="471" t="s">
        <v>20671</v>
      </c>
      <c r="F1361" s="482">
        <v>87878</v>
      </c>
      <c r="G1361" s="470" t="s">
        <v>20910</v>
      </c>
      <c r="H1361" s="472" t="s">
        <v>15515</v>
      </c>
      <c r="I1361" s="472">
        <f>(1.9*2+3.4*2)*2</f>
        <v>21.199999999999999</v>
      </c>
      <c r="J1361" s="473">
        <f t="shared" si="1064"/>
        <v>5.0099999999999998</v>
      </c>
      <c r="K1361" s="474">
        <f t="shared" si="1075"/>
        <v>106.21199999999999</v>
      </c>
      <c r="L1361" s="473">
        <f t="shared" si="1069"/>
        <v>4.7999999999999998</v>
      </c>
      <c r="M1361" s="474">
        <f t="shared" si="1076"/>
        <v>101.75999999999999</v>
      </c>
      <c r="O1361" s="434">
        <f t="shared" si="1067"/>
        <v>5.0099999999999998</v>
      </c>
      <c r="P1361" s="435">
        <f t="shared" si="1068"/>
        <v>4.7999999999999998</v>
      </c>
      <c r="AE1361" s="217"/>
      <c r="AF1361" s="217">
        <v>1146</v>
      </c>
      <c r="AH1361">
        <f t="shared" si="1074"/>
        <v>1146</v>
      </c>
    </row>
    <row r="1362" ht="45" hidden="1">
      <c r="A1362" s="217"/>
      <c r="B1362" s="217">
        <v>1146</v>
      </c>
      <c r="C1362" s="217"/>
      <c r="D1362" s="217" t="s">
        <v>17167</v>
      </c>
      <c r="E1362" s="471" t="s">
        <v>20672</v>
      </c>
      <c r="F1362" s="482">
        <v>96543</v>
      </c>
      <c r="G1362" s="470" t="s">
        <v>20676</v>
      </c>
      <c r="H1362" s="472" t="s">
        <v>302</v>
      </c>
      <c r="I1362" s="472">
        <v>8.5</v>
      </c>
      <c r="J1362" s="473">
        <f t="shared" si="1064"/>
        <v>19.829999999999998</v>
      </c>
      <c r="K1362" s="474">
        <f t="shared" si="1075"/>
        <v>168.55499999999998</v>
      </c>
      <c r="L1362" s="473">
        <f t="shared" si="1069"/>
        <v>19.210000000000001</v>
      </c>
      <c r="M1362" s="474">
        <f t="shared" si="1076"/>
        <v>163.285</v>
      </c>
      <c r="O1362" s="434">
        <f t="shared" si="1067"/>
        <v>19.829999999999998</v>
      </c>
      <c r="P1362" s="435">
        <f t="shared" si="1068"/>
        <v>19.210000000000001</v>
      </c>
      <c r="AE1362" s="217"/>
      <c r="AF1362" s="217">
        <v>1146</v>
      </c>
      <c r="AH1362">
        <f t="shared" si="1074"/>
        <v>1146</v>
      </c>
    </row>
    <row r="1363" ht="45" hidden="1">
      <c r="A1363" s="217"/>
      <c r="B1363" s="217">
        <v>1146</v>
      </c>
      <c r="C1363" s="217"/>
      <c r="D1363" s="217" t="s">
        <v>17167</v>
      </c>
      <c r="E1363" s="471" t="s">
        <v>20673</v>
      </c>
      <c r="F1363" s="482">
        <v>96544</v>
      </c>
      <c r="G1363" s="470" t="s">
        <v>20763</v>
      </c>
      <c r="H1363" s="472" t="s">
        <v>302</v>
      </c>
      <c r="I1363" s="472">
        <v>84.579999999999998</v>
      </c>
      <c r="J1363" s="473">
        <f t="shared" si="1064"/>
        <v>17.699999999999999</v>
      </c>
      <c r="K1363" s="474">
        <f t="shared" si="1075"/>
        <v>1497.0659999999998</v>
      </c>
      <c r="L1363" s="473">
        <f t="shared" si="1069"/>
        <v>17.23</v>
      </c>
      <c r="M1363" s="474">
        <f t="shared" si="1076"/>
        <v>1457.3134</v>
      </c>
      <c r="O1363" s="434">
        <f t="shared" si="1067"/>
        <v>17.699999999999999</v>
      </c>
      <c r="P1363" s="435">
        <f t="shared" si="1068"/>
        <v>17.23</v>
      </c>
      <c r="AE1363" s="217"/>
      <c r="AF1363" s="217">
        <v>1146</v>
      </c>
      <c r="AH1363">
        <f t="shared" si="1074"/>
        <v>1146</v>
      </c>
    </row>
    <row r="1364" ht="45" hidden="1">
      <c r="A1364" s="217"/>
      <c r="B1364" s="217">
        <v>1146</v>
      </c>
      <c r="C1364" s="217"/>
      <c r="D1364" s="217" t="s">
        <v>17167</v>
      </c>
      <c r="E1364" s="471" t="s">
        <v>20675</v>
      </c>
      <c r="F1364" s="482">
        <v>93382</v>
      </c>
      <c r="G1364" s="470" t="s">
        <v>20722</v>
      </c>
      <c r="H1364" s="472" t="s">
        <v>15528</v>
      </c>
      <c r="I1364" s="472">
        <f>I1357-2.7*4.2*0.2-2.3*3.8*(2.12+0.18)</f>
        <v>10.289199999999999</v>
      </c>
      <c r="J1364" s="473">
        <f t="shared" si="1064"/>
        <v>27.52</v>
      </c>
      <c r="K1364" s="474">
        <f t="shared" si="1075"/>
        <v>283.15878399999997</v>
      </c>
      <c r="L1364" s="473">
        <f t="shared" si="1069"/>
        <v>26.190000000000001</v>
      </c>
      <c r="M1364" s="474">
        <f t="shared" si="1076"/>
        <v>269.47414800000001</v>
      </c>
      <c r="O1364" s="434">
        <f t="shared" si="1067"/>
        <v>27.52</v>
      </c>
      <c r="P1364" s="435">
        <f t="shared" si="1068"/>
        <v>26.190000000000001</v>
      </c>
      <c r="AE1364" s="217"/>
      <c r="AF1364" s="217">
        <v>1146</v>
      </c>
      <c r="AH1364">
        <f t="shared" si="1074"/>
        <v>1146</v>
      </c>
    </row>
    <row r="1365" ht="60" hidden="1">
      <c r="A1365" s="217"/>
      <c r="B1365" s="217">
        <v>1146</v>
      </c>
      <c r="C1365" s="217"/>
      <c r="D1365" s="217" t="s">
        <v>17167</v>
      </c>
      <c r="E1365" s="471" t="s">
        <v>20677</v>
      </c>
      <c r="F1365" s="482">
        <v>94963</v>
      </c>
      <c r="G1365" s="470" t="s">
        <v>20911</v>
      </c>
      <c r="H1365" s="472" t="s">
        <v>15528</v>
      </c>
      <c r="I1365" s="472">
        <f>(1.9+0.8)*(3.4+0.8)*0.15+2.3*3.8*0.18</f>
        <v>3.2742</v>
      </c>
      <c r="J1365" s="473">
        <f t="shared" si="1064"/>
        <v>441.43000000000001</v>
      </c>
      <c r="K1365" s="474">
        <f t="shared" si="1075"/>
        <v>1445.3301060000001</v>
      </c>
      <c r="L1365" s="473">
        <f t="shared" si="1069"/>
        <v>436.14999999999998</v>
      </c>
      <c r="M1365" s="474">
        <f t="shared" si="1076"/>
        <v>1428.04233</v>
      </c>
      <c r="O1365" s="434">
        <f t="shared" si="1067"/>
        <v>441.43000000000001</v>
      </c>
      <c r="P1365" s="435">
        <f t="shared" si="1068"/>
        <v>436.14999999999998</v>
      </c>
      <c r="AE1365" s="217"/>
      <c r="AF1365" s="217">
        <v>1146</v>
      </c>
      <c r="AH1365">
        <f t="shared" si="1074"/>
        <v>1146</v>
      </c>
    </row>
    <row r="1366" ht="60" hidden="1">
      <c r="A1366" s="217"/>
      <c r="B1366" s="217">
        <v>1146</v>
      </c>
      <c r="C1366" s="217"/>
      <c r="D1366" s="217" t="s">
        <v>17167</v>
      </c>
      <c r="E1366" s="471" t="s">
        <v>20679</v>
      </c>
      <c r="F1366" s="482">
        <v>94964</v>
      </c>
      <c r="G1366" s="470" t="s">
        <v>20686</v>
      </c>
      <c r="H1366" s="472" t="s">
        <v>15528</v>
      </c>
      <c r="I1366" s="472">
        <f>(2.3+1.5)*2.3*0.12+3.8*0.17*0.17*2+2.3*0.17*0.17*3</f>
        <v>1.4678500000000001</v>
      </c>
      <c r="J1366" s="473">
        <f t="shared" si="1064"/>
        <v>488.52999999999997</v>
      </c>
      <c r="K1366" s="474">
        <f t="shared" si="1075"/>
        <v>717.08876050000003</v>
      </c>
      <c r="L1366" s="473">
        <f t="shared" si="1069"/>
        <v>482.79000000000002</v>
      </c>
      <c r="M1366" s="474">
        <f t="shared" si="1076"/>
        <v>708.6633015000001</v>
      </c>
      <c r="O1366" s="434">
        <f t="shared" si="1067"/>
        <v>488.52999999999997</v>
      </c>
      <c r="P1366" s="435">
        <f t="shared" si="1068"/>
        <v>482.79000000000002</v>
      </c>
      <c r="AE1366" s="217"/>
      <c r="AF1366" s="217">
        <v>1146</v>
      </c>
      <c r="AH1366">
        <f t="shared" si="1074"/>
        <v>1146</v>
      </c>
    </row>
    <row r="1367" ht="60" hidden="1">
      <c r="A1367" s="217"/>
      <c r="B1367" s="217">
        <v>1146</v>
      </c>
      <c r="C1367" s="217"/>
      <c r="D1367" s="217" t="s">
        <v>17167</v>
      </c>
      <c r="E1367" s="471" t="s">
        <v>20681</v>
      </c>
      <c r="F1367" s="482">
        <v>96533</v>
      </c>
      <c r="G1367" s="470" t="s">
        <v>20912</v>
      </c>
      <c r="H1367" s="472" t="s">
        <v>15515</v>
      </c>
      <c r="I1367" s="472">
        <f>3.8*2.3+(3.8*2+2.3*2)*0.12+(3.8*2+2.3*2)*0.17*2+0.18*(2.3*2+3.8*2)</f>
        <v>16.547999999999998</v>
      </c>
      <c r="J1367" s="473">
        <f t="shared" si="1064"/>
        <v>85.980000000000004</v>
      </c>
      <c r="K1367" s="474">
        <f t="shared" si="1075"/>
        <v>1422.7970399999999</v>
      </c>
      <c r="L1367" s="473">
        <f t="shared" si="1069"/>
        <v>83.200000000000003</v>
      </c>
      <c r="M1367" s="474">
        <f t="shared" si="1076"/>
        <v>1376.7936</v>
      </c>
      <c r="O1367" s="434">
        <f t="shared" si="1067"/>
        <v>85.980000000000004</v>
      </c>
      <c r="P1367" s="435">
        <f t="shared" si="1068"/>
        <v>83.200000000000003</v>
      </c>
      <c r="AE1367" s="217"/>
      <c r="AF1367" s="217">
        <v>1146</v>
      </c>
      <c r="AH1367">
        <f t="shared" si="1074"/>
        <v>1146</v>
      </c>
    </row>
    <row r="1368" ht="141.75" hidden="1">
      <c r="A1368" s="460">
        <v>1147</v>
      </c>
      <c r="B1368" s="460">
        <v>1147</v>
      </c>
      <c r="C1368" s="460"/>
      <c r="D1368" s="460"/>
      <c r="E1368" s="461">
        <v>1</v>
      </c>
      <c r="F1368" s="462" t="s">
        <v>21297</v>
      </c>
      <c r="G1368" s="477" t="s">
        <v>21298</v>
      </c>
      <c r="H1368" s="478" t="s">
        <v>20647</v>
      </c>
      <c r="I1368" s="479"/>
      <c r="J1368" s="480"/>
      <c r="K1368" s="466">
        <f>SUM(K1369:K1382)</f>
        <v>17276.565014979999</v>
      </c>
      <c r="L1368" s="480"/>
      <c r="M1368" s="466">
        <f>SUM(M1369:M1382)</f>
        <v>16778.814430639999</v>
      </c>
      <c r="O1368" s="434" t="str">
        <f t="shared" si="1067"/>
        <v xml:space="preserve">SEM VALOR</v>
      </c>
      <c r="P1368" s="435" t="str">
        <f t="shared" si="1068"/>
        <v xml:space="preserve">SEM VALOR</v>
      </c>
      <c r="AE1368" s="460">
        <v>1147</v>
      </c>
      <c r="AF1368" s="460"/>
      <c r="AH1368">
        <f t="shared" si="1074"/>
        <v>1147</v>
      </c>
    </row>
    <row r="1369" ht="30" hidden="1">
      <c r="A1369" s="217"/>
      <c r="B1369" s="217">
        <v>1147</v>
      </c>
      <c r="C1369" s="217"/>
      <c r="D1369" s="217" t="s">
        <v>20398</v>
      </c>
      <c r="E1369" s="471" t="s">
        <v>20399</v>
      </c>
      <c r="F1369" s="482">
        <v>1242</v>
      </c>
      <c r="G1369" s="488" t="s">
        <v>20905</v>
      </c>
      <c r="H1369" s="471" t="s">
        <v>15528</v>
      </c>
      <c r="I1369" s="472">
        <f>(1.9+0.8)*(4.9+0.8)*0.05</f>
        <v>0.76949999999999996</v>
      </c>
      <c r="J1369" s="473">
        <f t="shared" si="1064"/>
        <v>151.59100000000001</v>
      </c>
      <c r="K1369" s="474">
        <f t="shared" ref="K1369:K1382" si="1077">I1369*J1369</f>
        <v>116.6492745</v>
      </c>
      <c r="L1369" s="473">
        <f t="shared" si="1069"/>
        <v>149.17099999999999</v>
      </c>
      <c r="M1369" s="474">
        <f t="shared" ref="M1369:M1382" si="1078">L1369*I1369</f>
        <v>114.78708449999999</v>
      </c>
      <c r="O1369" s="434">
        <f t="shared" si="1067"/>
        <v>151.59100000000001</v>
      </c>
      <c r="P1369" s="435">
        <f t="shared" si="1068"/>
        <v>149.17099999999999</v>
      </c>
      <c r="AE1369" s="217"/>
      <c r="AF1369" s="217">
        <v>1147</v>
      </c>
      <c r="AH1369">
        <f t="shared" si="1074"/>
        <v>1147</v>
      </c>
    </row>
    <row r="1370" ht="75" hidden="1">
      <c r="A1370" s="217"/>
      <c r="B1370" s="217">
        <v>1147</v>
      </c>
      <c r="C1370" s="217"/>
      <c r="D1370" s="217" t="s">
        <v>20398</v>
      </c>
      <c r="E1370" s="471" t="s">
        <v>20402</v>
      </c>
      <c r="F1370" s="482">
        <v>1257</v>
      </c>
      <c r="G1370" s="470" t="s">
        <v>20906</v>
      </c>
      <c r="H1370" s="471" t="s">
        <v>15515</v>
      </c>
      <c r="I1370" s="472">
        <f>((1.9+0.4)*2+(4.9+0.4)*2)*2</f>
        <v>30.399999999999999</v>
      </c>
      <c r="J1370" s="473">
        <f t="shared" si="1064"/>
        <v>202.65134000000003</v>
      </c>
      <c r="K1370" s="474">
        <f t="shared" si="1077"/>
        <v>6160.6007360000003</v>
      </c>
      <c r="L1370" s="473">
        <f t="shared" si="1069"/>
        <v>197.86072000000001</v>
      </c>
      <c r="M1370" s="474">
        <f t="shared" si="1078"/>
        <v>6014.9658879999997</v>
      </c>
      <c r="O1370" s="434">
        <f t="shared" si="1067"/>
        <v>202.65134000000003</v>
      </c>
      <c r="P1370" s="435">
        <f t="shared" si="1068"/>
        <v>197.86072000000001</v>
      </c>
      <c r="AE1370" s="217"/>
      <c r="AF1370" s="217">
        <v>1147</v>
      </c>
      <c r="AH1370">
        <f t="shared" si="1074"/>
        <v>1147</v>
      </c>
    </row>
    <row r="1371" ht="60" hidden="1">
      <c r="A1371" s="217"/>
      <c r="B1371" s="217">
        <v>1147</v>
      </c>
      <c r="C1371" s="217"/>
      <c r="D1371" s="217" t="s">
        <v>20398</v>
      </c>
      <c r="E1371" s="471" t="s">
        <v>20405</v>
      </c>
      <c r="F1371" s="482">
        <v>1258</v>
      </c>
      <c r="G1371" s="488" t="s">
        <v>20660</v>
      </c>
      <c r="H1371" s="472" t="s">
        <v>15515</v>
      </c>
      <c r="I1371" s="472">
        <f>(1.9+0.8)*(4.9+0.8)</f>
        <v>15.390000000000001</v>
      </c>
      <c r="J1371" s="473">
        <f t="shared" si="1064"/>
        <v>7.5700000000000003</v>
      </c>
      <c r="K1371" s="474">
        <f t="shared" si="1077"/>
        <v>116.50230000000001</v>
      </c>
      <c r="L1371" s="473">
        <f t="shared" si="1069"/>
        <v>7.1846199999999998</v>
      </c>
      <c r="M1371" s="474">
        <f t="shared" si="1078"/>
        <v>110.5713018</v>
      </c>
      <c r="O1371" s="434">
        <f t="shared" si="1067"/>
        <v>7.5700000000000003</v>
      </c>
      <c r="P1371" s="435">
        <f t="shared" si="1068"/>
        <v>7.1846199999999998</v>
      </c>
      <c r="AE1371" s="217"/>
      <c r="AF1371" s="217">
        <v>1147</v>
      </c>
      <c r="AH1371">
        <f t="shared" si="1074"/>
        <v>1147</v>
      </c>
    </row>
    <row r="1372" ht="30" hidden="1">
      <c r="A1372" s="217"/>
      <c r="B1372" s="217">
        <v>1147</v>
      </c>
      <c r="C1372" s="217"/>
      <c r="D1372" s="217" t="s">
        <v>20398</v>
      </c>
      <c r="E1372" s="471" t="s">
        <v>20409</v>
      </c>
      <c r="F1372" s="482">
        <v>1259</v>
      </c>
      <c r="G1372" s="470" t="s">
        <v>21294</v>
      </c>
      <c r="H1372" s="472" t="s">
        <v>15528</v>
      </c>
      <c r="I1372" s="472">
        <f>((1.9+0.8)*(4.9+0.8))*(2.5+0.18+0.15+0.05)</f>
        <v>44.3232</v>
      </c>
      <c r="J1372" s="473">
        <f t="shared" si="1064"/>
        <v>45.520000000000003</v>
      </c>
      <c r="K1372" s="474">
        <f t="shared" si="1077"/>
        <v>2017.5920640000002</v>
      </c>
      <c r="L1372" s="473">
        <f t="shared" si="1069"/>
        <v>43.100000000000001</v>
      </c>
      <c r="M1372" s="474">
        <f t="shared" si="1078"/>
        <v>1910.3299200000001</v>
      </c>
      <c r="O1372" s="434">
        <f t="shared" si="1067"/>
        <v>45.520000000000003</v>
      </c>
      <c r="P1372" s="435">
        <f t="shared" si="1068"/>
        <v>43.100000000000001</v>
      </c>
      <c r="AE1372" s="217"/>
      <c r="AF1372" s="217">
        <v>1147</v>
      </c>
      <c r="AH1372">
        <f t="shared" si="1074"/>
        <v>1147</v>
      </c>
    </row>
    <row r="1373" ht="105" hidden="1">
      <c r="A1373" s="217"/>
      <c r="B1373" s="217">
        <v>1147</v>
      </c>
      <c r="C1373" s="217"/>
      <c r="D1373" s="217" t="s">
        <v>17167</v>
      </c>
      <c r="E1373" s="471" t="s">
        <v>20663</v>
      </c>
      <c r="F1373" s="482">
        <v>5928</v>
      </c>
      <c r="G1373" s="470" t="s">
        <v>1739</v>
      </c>
      <c r="H1373" s="472" t="s">
        <v>1535</v>
      </c>
      <c r="I1373" s="472">
        <v>0.10000000000000001</v>
      </c>
      <c r="J1373" s="473">
        <f t="shared" si="1064"/>
        <v>298.70999999999998</v>
      </c>
      <c r="K1373" s="474">
        <f t="shared" si="1077"/>
        <v>29.870999999999999</v>
      </c>
      <c r="L1373" s="473">
        <f t="shared" si="1069"/>
        <v>296.98000000000002</v>
      </c>
      <c r="M1373" s="474">
        <f t="shared" si="1078"/>
        <v>29.698000000000004</v>
      </c>
      <c r="O1373" s="434">
        <f t="shared" si="1067"/>
        <v>298.70999999999998</v>
      </c>
      <c r="P1373" s="435">
        <f t="shared" si="1068"/>
        <v>296.98000000000002</v>
      </c>
      <c r="AE1373" s="217"/>
      <c r="AF1373" s="217">
        <v>1147</v>
      </c>
      <c r="AH1373">
        <f t="shared" si="1074"/>
        <v>1147</v>
      </c>
    </row>
    <row r="1374" ht="45" hidden="1">
      <c r="A1374" s="217"/>
      <c r="B1374" s="217">
        <v>1147</v>
      </c>
      <c r="C1374" s="217"/>
      <c r="D1374" s="217" t="s">
        <v>20398</v>
      </c>
      <c r="E1374" s="471" t="s">
        <v>20665</v>
      </c>
      <c r="F1374" s="482">
        <v>1000</v>
      </c>
      <c r="G1374" s="470" t="s">
        <v>20651</v>
      </c>
      <c r="H1374" s="472" t="s">
        <v>15528</v>
      </c>
      <c r="I1374" s="472">
        <f>I1380+I1381</f>
        <v>6.5377200000000002</v>
      </c>
      <c r="J1374" s="473">
        <f t="shared" ref="J1374:J1437" si="1079">O1374*$J$3</f>
        <v>149.904</v>
      </c>
      <c r="K1374" s="474">
        <f t="shared" si="1077"/>
        <v>980.03037888000006</v>
      </c>
      <c r="L1374" s="473">
        <f t="shared" si="1069"/>
        <v>141.76949999999999</v>
      </c>
      <c r="M1374" s="474">
        <f t="shared" si="1078"/>
        <v>926.84929553999996</v>
      </c>
      <c r="O1374" s="434">
        <f t="shared" si="1067"/>
        <v>149.904</v>
      </c>
      <c r="P1374" s="435">
        <f t="shared" si="1068"/>
        <v>141.76949999999999</v>
      </c>
      <c r="AE1374" s="217"/>
      <c r="AF1374" s="217">
        <v>1147</v>
      </c>
      <c r="AH1374">
        <f t="shared" si="1074"/>
        <v>1147</v>
      </c>
    </row>
    <row r="1375" ht="60" hidden="1">
      <c r="A1375" s="217"/>
      <c r="B1375" s="217">
        <v>1147</v>
      </c>
      <c r="C1375" s="217"/>
      <c r="D1375" s="217" t="s">
        <v>17167</v>
      </c>
      <c r="E1375" s="471" t="s">
        <v>20667</v>
      </c>
      <c r="F1375" s="482">
        <v>87313</v>
      </c>
      <c r="G1375" s="470" t="s">
        <v>20909</v>
      </c>
      <c r="H1375" s="472" t="s">
        <v>15528</v>
      </c>
      <c r="I1375" s="472">
        <f>(1.9*2+4.9*2)*2*0.02</f>
        <v>0.54400000000000004</v>
      </c>
      <c r="J1375" s="473">
        <f t="shared" si="1079"/>
        <v>549.88</v>
      </c>
      <c r="K1375" s="474">
        <f t="shared" si="1077"/>
        <v>299.13472000000002</v>
      </c>
      <c r="L1375" s="473">
        <f t="shared" si="1069"/>
        <v>542.65999999999997</v>
      </c>
      <c r="M1375" s="474">
        <f t="shared" si="1078"/>
        <v>295.20704000000001</v>
      </c>
      <c r="O1375" s="434">
        <f t="shared" si="1067"/>
        <v>549.88</v>
      </c>
      <c r="P1375" s="435">
        <f t="shared" si="1068"/>
        <v>542.65999999999997</v>
      </c>
      <c r="AE1375" s="217"/>
      <c r="AF1375" s="217">
        <v>1147</v>
      </c>
      <c r="AH1375">
        <f t="shared" si="1074"/>
        <v>1147</v>
      </c>
    </row>
    <row r="1376" ht="75" hidden="1">
      <c r="A1376" s="217"/>
      <c r="B1376" s="217">
        <v>1147</v>
      </c>
      <c r="C1376" s="217"/>
      <c r="D1376" s="217" t="s">
        <v>17167</v>
      </c>
      <c r="E1376" s="471" t="s">
        <v>20671</v>
      </c>
      <c r="F1376" s="482">
        <v>87878</v>
      </c>
      <c r="G1376" s="470" t="s">
        <v>20910</v>
      </c>
      <c r="H1376" s="472" t="s">
        <v>15515</v>
      </c>
      <c r="I1376" s="472">
        <f>(1.9*2+4.9*2)*2</f>
        <v>27.199999999999999</v>
      </c>
      <c r="J1376" s="473">
        <f t="shared" si="1079"/>
        <v>5.0099999999999998</v>
      </c>
      <c r="K1376" s="474">
        <f t="shared" si="1077"/>
        <v>136.27199999999999</v>
      </c>
      <c r="L1376" s="473">
        <f t="shared" si="1069"/>
        <v>4.7999999999999998</v>
      </c>
      <c r="M1376" s="474">
        <f t="shared" si="1078"/>
        <v>130.56</v>
      </c>
      <c r="O1376" s="434">
        <f t="shared" si="1067"/>
        <v>5.0099999999999998</v>
      </c>
      <c r="P1376" s="435">
        <f t="shared" si="1068"/>
        <v>4.7999999999999998</v>
      </c>
      <c r="AE1376" s="217"/>
      <c r="AF1376" s="217">
        <v>1147</v>
      </c>
      <c r="AH1376">
        <f t="shared" si="1074"/>
        <v>1147</v>
      </c>
    </row>
    <row r="1377" ht="45" hidden="1">
      <c r="A1377" s="217"/>
      <c r="B1377" s="217">
        <v>1147</v>
      </c>
      <c r="C1377" s="217"/>
      <c r="D1377" s="217" t="s">
        <v>17167</v>
      </c>
      <c r="E1377" s="471" t="s">
        <v>20672</v>
      </c>
      <c r="F1377" s="482">
        <v>96543</v>
      </c>
      <c r="G1377" s="470" t="s">
        <v>20676</v>
      </c>
      <c r="H1377" s="472" t="s">
        <v>302</v>
      </c>
      <c r="I1377" s="472">
        <v>11.56</v>
      </c>
      <c r="J1377" s="473">
        <f t="shared" si="1079"/>
        <v>19.829999999999998</v>
      </c>
      <c r="K1377" s="474">
        <f t="shared" si="1077"/>
        <v>229.23479999999998</v>
      </c>
      <c r="L1377" s="473">
        <f t="shared" si="1069"/>
        <v>19.210000000000001</v>
      </c>
      <c r="M1377" s="474">
        <f t="shared" si="1078"/>
        <v>222.06760000000003</v>
      </c>
      <c r="O1377" s="434">
        <f t="shared" si="1067"/>
        <v>19.829999999999998</v>
      </c>
      <c r="P1377" s="435">
        <f t="shared" si="1068"/>
        <v>19.210000000000001</v>
      </c>
      <c r="AE1377" s="217"/>
      <c r="AF1377" s="217">
        <v>1147</v>
      </c>
      <c r="AH1377">
        <f t="shared" si="1074"/>
        <v>1147</v>
      </c>
    </row>
    <row r="1378" ht="45" hidden="1">
      <c r="A1378" s="217"/>
      <c r="B1378" s="217">
        <v>1147</v>
      </c>
      <c r="C1378" s="217"/>
      <c r="D1378" s="217" t="s">
        <v>17167</v>
      </c>
      <c r="E1378" s="471" t="s">
        <v>20673</v>
      </c>
      <c r="F1378" s="482">
        <v>96544</v>
      </c>
      <c r="G1378" s="470" t="s">
        <v>20763</v>
      </c>
      <c r="H1378" s="472" t="s">
        <v>302</v>
      </c>
      <c r="I1378" s="472">
        <v>108.51000000000001</v>
      </c>
      <c r="J1378" s="473">
        <f t="shared" si="1079"/>
        <v>17.699999999999999</v>
      </c>
      <c r="K1378" s="474">
        <f t="shared" si="1077"/>
        <v>1920.627</v>
      </c>
      <c r="L1378" s="473">
        <f t="shared" si="1069"/>
        <v>17.23</v>
      </c>
      <c r="M1378" s="474">
        <f t="shared" si="1078"/>
        <v>1869.6273000000001</v>
      </c>
      <c r="O1378" s="434">
        <f t="shared" si="1067"/>
        <v>17.699999999999999</v>
      </c>
      <c r="P1378" s="435">
        <f t="shared" si="1068"/>
        <v>17.23</v>
      </c>
      <c r="AE1378" s="217"/>
      <c r="AF1378" s="217">
        <v>1147</v>
      </c>
      <c r="AH1378">
        <f t="shared" si="1074"/>
        <v>1147</v>
      </c>
    </row>
    <row r="1379" ht="45" hidden="1">
      <c r="A1379" s="217"/>
      <c r="B1379" s="217">
        <v>1147</v>
      </c>
      <c r="C1379" s="217"/>
      <c r="D1379" s="217" t="s">
        <v>17167</v>
      </c>
      <c r="E1379" s="471" t="s">
        <v>20675</v>
      </c>
      <c r="F1379" s="482">
        <v>93382</v>
      </c>
      <c r="G1379" s="470" t="s">
        <v>20722</v>
      </c>
      <c r="H1379" s="472" t="s">
        <v>15528</v>
      </c>
      <c r="I1379" s="472">
        <f>I1372-2.7*5.7*0.2-2.3*5.3*(2.18)</f>
        <v>14.670999999999999</v>
      </c>
      <c r="J1379" s="473">
        <f t="shared" si="1079"/>
        <v>27.52</v>
      </c>
      <c r="K1379" s="474">
        <f t="shared" si="1077"/>
        <v>403.74591999999996</v>
      </c>
      <c r="L1379" s="473">
        <f t="shared" si="1069"/>
        <v>26.190000000000001</v>
      </c>
      <c r="M1379" s="474">
        <f t="shared" si="1078"/>
        <v>384.23349000000002</v>
      </c>
      <c r="O1379" s="434">
        <f t="shared" si="1067"/>
        <v>27.52</v>
      </c>
      <c r="P1379" s="435">
        <f t="shared" si="1068"/>
        <v>26.190000000000001</v>
      </c>
      <c r="AE1379" s="217"/>
      <c r="AF1379" s="217">
        <v>1147</v>
      </c>
      <c r="AH1379">
        <f t="shared" si="1074"/>
        <v>1147</v>
      </c>
    </row>
    <row r="1380" ht="60" hidden="1">
      <c r="A1380" s="217"/>
      <c r="B1380" s="217">
        <v>1147</v>
      </c>
      <c r="C1380" s="217"/>
      <c r="D1380" s="217" t="s">
        <v>17167</v>
      </c>
      <c r="E1380" s="471" t="s">
        <v>20677</v>
      </c>
      <c r="F1380" s="482">
        <v>94963</v>
      </c>
      <c r="G1380" s="470" t="s">
        <v>20911</v>
      </c>
      <c r="H1380" s="472" t="s">
        <v>15528</v>
      </c>
      <c r="I1380" s="472">
        <f>(1.9+0.8)*(4.9+0.8)*0.15+2.3*5.3*0.18</f>
        <v>4.5026999999999999</v>
      </c>
      <c r="J1380" s="473">
        <f t="shared" si="1079"/>
        <v>441.43000000000001</v>
      </c>
      <c r="K1380" s="474">
        <f t="shared" si="1077"/>
        <v>1987.626861</v>
      </c>
      <c r="L1380" s="473">
        <f t="shared" si="1069"/>
        <v>436.14999999999998</v>
      </c>
      <c r="M1380" s="474">
        <f t="shared" si="1078"/>
        <v>1963.8526049999998</v>
      </c>
      <c r="O1380" s="434">
        <f t="shared" si="1067"/>
        <v>441.43000000000001</v>
      </c>
      <c r="P1380" s="435">
        <f t="shared" si="1068"/>
        <v>436.14999999999998</v>
      </c>
      <c r="AE1380" s="217"/>
      <c r="AF1380" s="217">
        <v>1147</v>
      </c>
      <c r="AH1380">
        <f t="shared" si="1074"/>
        <v>1147</v>
      </c>
    </row>
    <row r="1381" ht="60" hidden="1">
      <c r="A1381" s="217"/>
      <c r="B1381" s="217">
        <v>1147</v>
      </c>
      <c r="C1381" s="217"/>
      <c r="D1381" s="217" t="s">
        <v>17167</v>
      </c>
      <c r="E1381" s="471" t="s">
        <v>20679</v>
      </c>
      <c r="F1381" s="482">
        <v>94964</v>
      </c>
      <c r="G1381" s="470" t="s">
        <v>20686</v>
      </c>
      <c r="H1381" s="472" t="s">
        <v>15528</v>
      </c>
      <c r="I1381" s="472">
        <f>(2.3*1+1.5*2)*2.3*0.12+5.3*0.17*0.17*2+2.3*0.17*0.17*4</f>
        <v>2.0350199999999998</v>
      </c>
      <c r="J1381" s="473">
        <f t="shared" si="1079"/>
        <v>488.52999999999997</v>
      </c>
      <c r="K1381" s="474">
        <f t="shared" si="1077"/>
        <v>994.1683205999999</v>
      </c>
      <c r="L1381" s="473">
        <f t="shared" si="1069"/>
        <v>482.79000000000002</v>
      </c>
      <c r="M1381" s="474">
        <f t="shared" si="1078"/>
        <v>982.48730579999994</v>
      </c>
      <c r="O1381" s="434">
        <f t="shared" si="1067"/>
        <v>488.52999999999997</v>
      </c>
      <c r="P1381" s="435">
        <f t="shared" si="1068"/>
        <v>482.79000000000002</v>
      </c>
      <c r="AE1381" s="217"/>
      <c r="AF1381" s="217">
        <v>1147</v>
      </c>
      <c r="AH1381">
        <f t="shared" si="1074"/>
        <v>1147</v>
      </c>
    </row>
    <row r="1382" ht="60" hidden="1">
      <c r="A1382" s="217"/>
      <c r="B1382" s="217">
        <v>1147</v>
      </c>
      <c r="C1382" s="217"/>
      <c r="D1382" s="217" t="s">
        <v>17167</v>
      </c>
      <c r="E1382" s="471" t="s">
        <v>20681</v>
      </c>
      <c r="F1382" s="482">
        <v>96533</v>
      </c>
      <c r="G1382" s="470" t="s">
        <v>20912</v>
      </c>
      <c r="H1382" s="472" t="s">
        <v>15515</v>
      </c>
      <c r="I1382" s="472">
        <f>5.3*2.3+(5.3*2+2.3*2)*0.12+(5.3*2+2.3*2)*0.17*2+0.18*(2.3*2+5.3*2)</f>
        <v>21.917999999999999</v>
      </c>
      <c r="J1382" s="473">
        <f t="shared" si="1079"/>
        <v>85.980000000000004</v>
      </c>
      <c r="K1382" s="474">
        <f t="shared" si="1077"/>
        <v>1884.50964</v>
      </c>
      <c r="L1382" s="473">
        <f t="shared" si="1069"/>
        <v>83.200000000000003</v>
      </c>
      <c r="M1382" s="474">
        <f t="shared" si="1078"/>
        <v>1823.5776000000001</v>
      </c>
      <c r="O1382" s="434">
        <f t="shared" si="1067"/>
        <v>85.980000000000004</v>
      </c>
      <c r="P1382" s="435">
        <f t="shared" si="1068"/>
        <v>83.200000000000003</v>
      </c>
      <c r="AE1382" s="217"/>
      <c r="AF1382" s="217">
        <v>1147</v>
      </c>
      <c r="AH1382">
        <f t="shared" si="1074"/>
        <v>1147</v>
      </c>
    </row>
    <row r="1383" ht="141.75" hidden="1">
      <c r="A1383" s="460">
        <v>1148</v>
      </c>
      <c r="B1383" s="460">
        <v>1148</v>
      </c>
      <c r="C1383" s="460"/>
      <c r="D1383" s="460"/>
      <c r="E1383" s="461">
        <v>1</v>
      </c>
      <c r="F1383" s="462" t="s">
        <v>21299</v>
      </c>
      <c r="G1383" s="477" t="s">
        <v>21300</v>
      </c>
      <c r="H1383" s="478" t="s">
        <v>20647</v>
      </c>
      <c r="I1383" s="479"/>
      <c r="J1383" s="480"/>
      <c r="K1383" s="466">
        <f>SUM(K1384:K1397)</f>
        <v>22224.376467299997</v>
      </c>
      <c r="L1383" s="480"/>
      <c r="M1383" s="466">
        <f>SUM(M1384:M1397)</f>
        <v>21583.445111600002</v>
      </c>
      <c r="O1383" s="434" t="str">
        <f t="shared" si="1067"/>
        <v xml:space="preserve">SEM VALOR</v>
      </c>
      <c r="P1383" s="435" t="str">
        <f t="shared" si="1068"/>
        <v xml:space="preserve">SEM VALOR</v>
      </c>
      <c r="AE1383" s="460">
        <v>1148</v>
      </c>
      <c r="AF1383" s="460"/>
      <c r="AH1383">
        <f t="shared" si="1074"/>
        <v>1148</v>
      </c>
    </row>
    <row r="1384" ht="30" hidden="1">
      <c r="A1384" s="217"/>
      <c r="B1384" s="217">
        <v>1148</v>
      </c>
      <c r="C1384" s="217"/>
      <c r="D1384" s="217" t="s">
        <v>20398</v>
      </c>
      <c r="E1384" s="471" t="s">
        <v>20399</v>
      </c>
      <c r="F1384" s="482">
        <v>1242</v>
      </c>
      <c r="G1384" s="488" t="s">
        <v>20905</v>
      </c>
      <c r="H1384" s="471" t="s">
        <v>15528</v>
      </c>
      <c r="I1384" s="472">
        <f>(1.9+0.8)*(6.5+0.8)*0.05</f>
        <v>0.98550000000000004</v>
      </c>
      <c r="J1384" s="473">
        <f t="shared" si="1079"/>
        <v>151.59100000000001</v>
      </c>
      <c r="K1384" s="474">
        <f t="shared" ref="K1384:K1397" si="1080">I1384*J1384</f>
        <v>149.39293050000001</v>
      </c>
      <c r="L1384" s="473">
        <f t="shared" si="1069"/>
        <v>149.17099999999999</v>
      </c>
      <c r="M1384" s="474">
        <f t="shared" ref="M1384:M1397" si="1081">L1384*I1384</f>
        <v>147.00802049999999</v>
      </c>
      <c r="O1384" s="434">
        <f t="shared" si="1067"/>
        <v>151.59100000000001</v>
      </c>
      <c r="P1384" s="435">
        <f t="shared" si="1068"/>
        <v>149.17099999999999</v>
      </c>
      <c r="AE1384" s="217"/>
      <c r="AF1384" s="217">
        <v>1148</v>
      </c>
      <c r="AH1384">
        <f t="shared" si="1074"/>
        <v>1148</v>
      </c>
    </row>
    <row r="1385" ht="75" hidden="1">
      <c r="A1385" s="217"/>
      <c r="B1385" s="217">
        <v>1148</v>
      </c>
      <c r="C1385" s="217"/>
      <c r="D1385" s="217" t="s">
        <v>20398</v>
      </c>
      <c r="E1385" s="471" t="s">
        <v>20402</v>
      </c>
      <c r="F1385" s="482">
        <v>1257</v>
      </c>
      <c r="G1385" s="470" t="s">
        <v>20906</v>
      </c>
      <c r="H1385" s="471" t="s">
        <v>15515</v>
      </c>
      <c r="I1385" s="472">
        <f>((1.9+0.4)*2+(6.5+0.4)*2)*2</f>
        <v>36.799999999999997</v>
      </c>
      <c r="J1385" s="473">
        <f t="shared" si="1079"/>
        <v>202.65134000000003</v>
      </c>
      <c r="K1385" s="474">
        <f t="shared" si="1080"/>
        <v>7457.5693120000005</v>
      </c>
      <c r="L1385" s="473">
        <f t="shared" si="1069"/>
        <v>197.86072000000001</v>
      </c>
      <c r="M1385" s="474">
        <f t="shared" si="1081"/>
        <v>7281.274496</v>
      </c>
      <c r="O1385" s="434">
        <f t="shared" si="1067"/>
        <v>202.65134000000003</v>
      </c>
      <c r="P1385" s="435">
        <f t="shared" si="1068"/>
        <v>197.86072000000001</v>
      </c>
      <c r="AE1385" s="217"/>
      <c r="AF1385" s="217">
        <v>1148</v>
      </c>
      <c r="AH1385">
        <f t="shared" si="1074"/>
        <v>1148</v>
      </c>
    </row>
    <row r="1386" ht="60" hidden="1">
      <c r="A1386" s="217"/>
      <c r="B1386" s="217">
        <v>1148</v>
      </c>
      <c r="C1386" s="217"/>
      <c r="D1386" s="217" t="s">
        <v>20398</v>
      </c>
      <c r="E1386" s="471" t="s">
        <v>20405</v>
      </c>
      <c r="F1386" s="482">
        <v>1258</v>
      </c>
      <c r="G1386" s="488" t="s">
        <v>20660</v>
      </c>
      <c r="H1386" s="472" t="s">
        <v>15515</v>
      </c>
      <c r="I1386" s="472">
        <f>(1.9+0.8)*(6.5+0.8)</f>
        <v>19.710000000000001</v>
      </c>
      <c r="J1386" s="473">
        <f t="shared" si="1079"/>
        <v>7.5700000000000003</v>
      </c>
      <c r="K1386" s="474">
        <f t="shared" si="1080"/>
        <v>149.2047</v>
      </c>
      <c r="L1386" s="473">
        <f t="shared" si="1069"/>
        <v>7.1846199999999998</v>
      </c>
      <c r="M1386" s="474">
        <f t="shared" si="1081"/>
        <v>141.60886020000001</v>
      </c>
      <c r="O1386" s="434">
        <f t="shared" si="1067"/>
        <v>7.5700000000000003</v>
      </c>
      <c r="P1386" s="435">
        <f t="shared" si="1068"/>
        <v>7.1846199999999998</v>
      </c>
      <c r="AE1386" s="217"/>
      <c r="AF1386" s="217">
        <v>1148</v>
      </c>
      <c r="AH1386">
        <f t="shared" si="1074"/>
        <v>1148</v>
      </c>
    </row>
    <row r="1387" ht="30" hidden="1">
      <c r="A1387" s="217"/>
      <c r="B1387" s="217">
        <v>1148</v>
      </c>
      <c r="C1387" s="217"/>
      <c r="D1387" s="217" t="s">
        <v>20398</v>
      </c>
      <c r="E1387" s="471" t="s">
        <v>20409</v>
      </c>
      <c r="F1387" s="482">
        <v>1259</v>
      </c>
      <c r="G1387" s="470" t="s">
        <v>21294</v>
      </c>
      <c r="H1387" s="472" t="s">
        <v>15528</v>
      </c>
      <c r="I1387" s="472">
        <f>((1.9+0.8)*(6.5+0.8))*(2.5+0.18+0.15+0.05)</f>
        <v>56.764800000000001</v>
      </c>
      <c r="J1387" s="473">
        <f t="shared" si="1079"/>
        <v>45.520000000000003</v>
      </c>
      <c r="K1387" s="474">
        <f t="shared" si="1080"/>
        <v>2583.9336960000001</v>
      </c>
      <c r="L1387" s="473">
        <f t="shared" si="1069"/>
        <v>43.100000000000001</v>
      </c>
      <c r="M1387" s="474">
        <f t="shared" si="1081"/>
        <v>2446.56288</v>
      </c>
      <c r="O1387" s="434">
        <f t="shared" si="1067"/>
        <v>45.520000000000003</v>
      </c>
      <c r="P1387" s="435">
        <f t="shared" si="1068"/>
        <v>43.100000000000001</v>
      </c>
      <c r="AE1387" s="217"/>
      <c r="AF1387" s="217">
        <v>1148</v>
      </c>
      <c r="AH1387">
        <f t="shared" si="1074"/>
        <v>1148</v>
      </c>
    </row>
    <row r="1388" ht="105" hidden="1">
      <c r="A1388" s="217"/>
      <c r="B1388" s="217">
        <v>1148</v>
      </c>
      <c r="C1388" s="217"/>
      <c r="D1388" s="217" t="s">
        <v>17167</v>
      </c>
      <c r="E1388" s="471" t="s">
        <v>20663</v>
      </c>
      <c r="F1388" s="482">
        <v>5928</v>
      </c>
      <c r="G1388" s="470" t="s">
        <v>1739</v>
      </c>
      <c r="H1388" s="472" t="s">
        <v>1535</v>
      </c>
      <c r="I1388" s="472">
        <v>0.10000000000000001</v>
      </c>
      <c r="J1388" s="473">
        <f t="shared" si="1079"/>
        <v>298.70999999999998</v>
      </c>
      <c r="K1388" s="474">
        <f t="shared" si="1080"/>
        <v>29.870999999999999</v>
      </c>
      <c r="L1388" s="473">
        <f t="shared" si="1069"/>
        <v>296.98000000000002</v>
      </c>
      <c r="M1388" s="474">
        <f t="shared" si="1081"/>
        <v>29.698000000000004</v>
      </c>
      <c r="O1388" s="434">
        <f t="shared" ref="O1388:O1451" si="1082">IFERROR(IF(D1388="SINAPI",VLOOKUP(F1388,SINCOMOD,4,FALSE),IF(D1388="INSINAPI",VLOOKUP(F1388,INSINOD,5,FALSE),IF(D1388="SICRO",VLOOKUP(F1388,SICRO,5,FALSE),IF(D1388="COTACAO",VLOOKUP(F1388,COTACAO,6,FALSE),IF(D1388="PRÓPRIO",VLOOKUP(F1388,COMPOD,11,FALSE),IF(D1388="AGESUL",VLOOKUP(F1388,AGESULOD,6,FALSE),IF(D1388="INSAGESUL",VLOOKUP(F1388,INSAGESUL,7,FALSE),"SEM VALOR"))))))),"SEM VALOR")</f>
        <v>298.70999999999998</v>
      </c>
      <c r="P1388" s="435">
        <f t="shared" ref="P1388:P1451" si="1083">IFERROR(IF(D1388="SINAPI",VLOOKUP(F1388,SINCOMOD,6,FALSE),IF(D1388="INSINAPI",VLOOKUP(F1388,INSINOD,6,FALSE),IF(D1388="SICRO",VLOOKUP(F1388,SICRO,5,FALSE),IF(D1388="COTACAO",VLOOKUP(F1388,COTACAO,6,FALSE),IF(D1388="PRÓPRIO",VLOOKUP(F1388,COMPOD,13,FALSE),IF(D1388="AGESUL",VLOOKUP(F1388,AGESULOD,11,FALSE),IF(D1388="INSAGESUL",VLOOKUP(F1388,INSAGESUL,8,FALSE),"SEM VALOR"))))))),"SEM VALOR")</f>
        <v>296.98000000000002</v>
      </c>
      <c r="AE1388" s="217"/>
      <c r="AF1388" s="217">
        <v>1148</v>
      </c>
      <c r="AH1388">
        <f t="shared" si="1074"/>
        <v>1148</v>
      </c>
    </row>
    <row r="1389" ht="45" hidden="1">
      <c r="A1389" s="217"/>
      <c r="B1389" s="217">
        <v>1148</v>
      </c>
      <c r="C1389" s="217"/>
      <c r="D1389" s="217" t="s">
        <v>20398</v>
      </c>
      <c r="E1389" s="471" t="s">
        <v>20665</v>
      </c>
      <c r="F1389" s="482">
        <v>1000</v>
      </c>
      <c r="G1389" s="470" t="s">
        <v>20651</v>
      </c>
      <c r="H1389" s="472" t="s">
        <v>15528</v>
      </c>
      <c r="I1389" s="472">
        <f>I1395+I1396</f>
        <v>8.3821999999999992</v>
      </c>
      <c r="J1389" s="473">
        <f t="shared" si="1079"/>
        <v>149.904</v>
      </c>
      <c r="K1389" s="474">
        <f t="shared" si="1080"/>
        <v>1256.5253087999999</v>
      </c>
      <c r="L1389" s="473">
        <f t="shared" ref="L1389:L1452" si="1084">P1389*$L$3</f>
        <v>141.76949999999999</v>
      </c>
      <c r="M1389" s="474">
        <f t="shared" si="1081"/>
        <v>1188.3403028999999</v>
      </c>
      <c r="O1389" s="434">
        <f t="shared" si="1082"/>
        <v>149.904</v>
      </c>
      <c r="P1389" s="435">
        <f t="shared" si="1083"/>
        <v>141.76949999999999</v>
      </c>
      <c r="AE1389" s="217"/>
      <c r="AF1389" s="217">
        <v>1148</v>
      </c>
      <c r="AH1389">
        <f t="shared" si="1074"/>
        <v>1148</v>
      </c>
    </row>
    <row r="1390" ht="60" hidden="1">
      <c r="A1390" s="217"/>
      <c r="B1390" s="217">
        <v>1148</v>
      </c>
      <c r="C1390" s="217"/>
      <c r="D1390" s="217" t="s">
        <v>17167</v>
      </c>
      <c r="E1390" s="471" t="s">
        <v>20667</v>
      </c>
      <c r="F1390" s="482">
        <v>87313</v>
      </c>
      <c r="G1390" s="470" t="s">
        <v>20909</v>
      </c>
      <c r="H1390" s="472" t="s">
        <v>15528</v>
      </c>
      <c r="I1390" s="472">
        <f>(1.9*2+6.5*2)*2*0.02</f>
        <v>0.67200000000000004</v>
      </c>
      <c r="J1390" s="473">
        <f t="shared" si="1079"/>
        <v>549.88</v>
      </c>
      <c r="K1390" s="474">
        <f t="shared" si="1080"/>
        <v>369.51936000000001</v>
      </c>
      <c r="L1390" s="473">
        <f t="shared" si="1084"/>
        <v>542.65999999999997</v>
      </c>
      <c r="M1390" s="474">
        <f t="shared" si="1081"/>
        <v>364.66752000000002</v>
      </c>
      <c r="O1390" s="434">
        <f t="shared" si="1082"/>
        <v>549.88</v>
      </c>
      <c r="P1390" s="435">
        <f t="shared" si="1083"/>
        <v>542.65999999999997</v>
      </c>
      <c r="AE1390" s="217"/>
      <c r="AF1390" s="217">
        <v>1148</v>
      </c>
      <c r="AH1390">
        <f t="shared" si="1074"/>
        <v>1148</v>
      </c>
    </row>
    <row r="1391" ht="75" hidden="1">
      <c r="A1391" s="217"/>
      <c r="B1391" s="217">
        <v>1148</v>
      </c>
      <c r="C1391" s="217"/>
      <c r="D1391" s="217" t="s">
        <v>17167</v>
      </c>
      <c r="E1391" s="471" t="s">
        <v>20671</v>
      </c>
      <c r="F1391" s="482">
        <v>87878</v>
      </c>
      <c r="G1391" s="470" t="s">
        <v>20910</v>
      </c>
      <c r="H1391" s="472" t="s">
        <v>15515</v>
      </c>
      <c r="I1391" s="472">
        <f>(1.9*2+6.5*2)*2</f>
        <v>33.600000000000001</v>
      </c>
      <c r="J1391" s="473">
        <f t="shared" si="1079"/>
        <v>5.0099999999999998</v>
      </c>
      <c r="K1391" s="474">
        <f t="shared" si="1080"/>
        <v>168.33600000000001</v>
      </c>
      <c r="L1391" s="473">
        <f t="shared" si="1084"/>
        <v>4.7999999999999998</v>
      </c>
      <c r="M1391" s="474">
        <f t="shared" si="1081"/>
        <v>161.28</v>
      </c>
      <c r="O1391" s="434">
        <f t="shared" si="1082"/>
        <v>5.0099999999999998</v>
      </c>
      <c r="P1391" s="435">
        <f t="shared" si="1083"/>
        <v>4.7999999999999998</v>
      </c>
      <c r="AE1391" s="217"/>
      <c r="AF1391" s="217">
        <v>1148</v>
      </c>
      <c r="AH1391">
        <f t="shared" si="1074"/>
        <v>1148</v>
      </c>
    </row>
    <row r="1392" ht="45" hidden="1">
      <c r="A1392" s="217"/>
      <c r="B1392" s="217">
        <v>1148</v>
      </c>
      <c r="C1392" s="217"/>
      <c r="D1392" s="217" t="s">
        <v>17167</v>
      </c>
      <c r="E1392" s="471" t="s">
        <v>20672</v>
      </c>
      <c r="F1392" s="482">
        <v>96543</v>
      </c>
      <c r="G1392" s="470" t="s">
        <v>20676</v>
      </c>
      <c r="H1392" s="472" t="s">
        <v>302</v>
      </c>
      <c r="I1392" s="472">
        <v>13.43</v>
      </c>
      <c r="J1392" s="473">
        <f t="shared" si="1079"/>
        <v>19.829999999999998</v>
      </c>
      <c r="K1392" s="474">
        <f t="shared" si="1080"/>
        <v>266.31689999999998</v>
      </c>
      <c r="L1392" s="473">
        <f t="shared" si="1084"/>
        <v>19.210000000000001</v>
      </c>
      <c r="M1392" s="474">
        <f t="shared" si="1081"/>
        <v>257.99029999999999</v>
      </c>
      <c r="O1392" s="434">
        <f t="shared" si="1082"/>
        <v>19.829999999999998</v>
      </c>
      <c r="P1392" s="435">
        <f t="shared" si="1083"/>
        <v>19.210000000000001</v>
      </c>
      <c r="AE1392" s="217"/>
      <c r="AF1392" s="217">
        <v>1148</v>
      </c>
      <c r="AH1392">
        <f t="shared" si="1074"/>
        <v>1148</v>
      </c>
    </row>
    <row r="1393" ht="45" hidden="1">
      <c r="A1393" s="217"/>
      <c r="B1393" s="217">
        <v>1148</v>
      </c>
      <c r="C1393" s="217"/>
      <c r="D1393" s="217" t="s">
        <v>17167</v>
      </c>
      <c r="E1393" s="471" t="s">
        <v>20673</v>
      </c>
      <c r="F1393" s="482">
        <v>96544</v>
      </c>
      <c r="G1393" s="470" t="s">
        <v>20763</v>
      </c>
      <c r="H1393" s="472" t="s">
        <v>302</v>
      </c>
      <c r="I1393" s="472">
        <v>174.80000000000001</v>
      </c>
      <c r="J1393" s="473">
        <f t="shared" si="1079"/>
        <v>17.699999999999999</v>
      </c>
      <c r="K1393" s="474">
        <f t="shared" si="1080"/>
        <v>3093.96</v>
      </c>
      <c r="L1393" s="473">
        <f t="shared" si="1084"/>
        <v>17.23</v>
      </c>
      <c r="M1393" s="474">
        <f t="shared" si="1081"/>
        <v>3011.8040000000001</v>
      </c>
      <c r="O1393" s="434">
        <f t="shared" si="1082"/>
        <v>17.699999999999999</v>
      </c>
      <c r="P1393" s="435">
        <f t="shared" si="1083"/>
        <v>17.23</v>
      </c>
      <c r="AE1393" s="217"/>
      <c r="AF1393" s="217">
        <v>1148</v>
      </c>
      <c r="AH1393">
        <f t="shared" si="1074"/>
        <v>1148</v>
      </c>
    </row>
    <row r="1394" ht="45" hidden="1">
      <c r="A1394" s="217"/>
      <c r="B1394" s="217">
        <v>1148</v>
      </c>
      <c r="C1394" s="217"/>
      <c r="D1394" s="217" t="s">
        <v>17167</v>
      </c>
      <c r="E1394" s="471" t="s">
        <v>20675</v>
      </c>
      <c r="F1394" s="482">
        <v>93382</v>
      </c>
      <c r="G1394" s="470" t="s">
        <v>20722</v>
      </c>
      <c r="H1394" s="472" t="s">
        <v>15528</v>
      </c>
      <c r="I1394" s="472">
        <f>I1387-2.7*7.3*0.2-2.3*6.9*2.18</f>
        <v>18.226199999999999</v>
      </c>
      <c r="J1394" s="473">
        <f t="shared" si="1079"/>
        <v>27.52</v>
      </c>
      <c r="K1394" s="474">
        <f t="shared" si="1080"/>
        <v>501.58502399999998</v>
      </c>
      <c r="L1394" s="473">
        <f t="shared" si="1084"/>
        <v>26.190000000000001</v>
      </c>
      <c r="M1394" s="474">
        <f t="shared" si="1081"/>
        <v>477.344178</v>
      </c>
      <c r="O1394" s="434">
        <f t="shared" si="1082"/>
        <v>27.52</v>
      </c>
      <c r="P1394" s="435">
        <f t="shared" si="1083"/>
        <v>26.190000000000001</v>
      </c>
      <c r="AE1394" s="217"/>
      <c r="AF1394" s="217">
        <v>1148</v>
      </c>
      <c r="AH1394">
        <f t="shared" si="1074"/>
        <v>1148</v>
      </c>
    </row>
    <row r="1395" ht="60" hidden="1">
      <c r="A1395" s="217"/>
      <c r="B1395" s="217">
        <v>1148</v>
      </c>
      <c r="C1395" s="217"/>
      <c r="D1395" s="217" t="s">
        <v>17167</v>
      </c>
      <c r="E1395" s="471" t="s">
        <v>20677</v>
      </c>
      <c r="F1395" s="482">
        <v>94963</v>
      </c>
      <c r="G1395" s="470" t="s">
        <v>20911</v>
      </c>
      <c r="H1395" s="472" t="s">
        <v>15528</v>
      </c>
      <c r="I1395" s="472">
        <f>(1.9+0.8)*(6.5+0.8)*0.15+2.3*6.9*0.18</f>
        <v>5.8131000000000004</v>
      </c>
      <c r="J1395" s="473">
        <f t="shared" si="1079"/>
        <v>441.43000000000001</v>
      </c>
      <c r="K1395" s="474">
        <f t="shared" si="1080"/>
        <v>2566.0767330000003</v>
      </c>
      <c r="L1395" s="473">
        <f t="shared" si="1084"/>
        <v>436.14999999999998</v>
      </c>
      <c r="M1395" s="474">
        <f t="shared" si="1081"/>
        <v>2535.3835650000001</v>
      </c>
      <c r="O1395" s="434">
        <f t="shared" si="1082"/>
        <v>441.43000000000001</v>
      </c>
      <c r="P1395" s="435">
        <f t="shared" si="1083"/>
        <v>436.14999999999998</v>
      </c>
      <c r="AE1395" s="217"/>
      <c r="AF1395" s="217">
        <v>1148</v>
      </c>
      <c r="AH1395">
        <f t="shared" si="1074"/>
        <v>1148</v>
      </c>
    </row>
    <row r="1396" ht="60" hidden="1">
      <c r="A1396" s="217"/>
      <c r="B1396" s="217">
        <v>1148</v>
      </c>
      <c r="C1396" s="217"/>
      <c r="D1396" s="217" t="s">
        <v>17167</v>
      </c>
      <c r="E1396" s="471" t="s">
        <v>20679</v>
      </c>
      <c r="F1396" s="482">
        <v>94964</v>
      </c>
      <c r="G1396" s="470" t="s">
        <v>20686</v>
      </c>
      <c r="H1396" s="472" t="s">
        <v>15528</v>
      </c>
      <c r="I1396" s="472">
        <f>(2.3*3)*2.3*0.12+6.9*0.17*0.17*2+2.3*0.17*0.17*4</f>
        <v>2.5691000000000002</v>
      </c>
      <c r="J1396" s="473">
        <f t="shared" si="1079"/>
        <v>488.52999999999997</v>
      </c>
      <c r="K1396" s="474">
        <f t="shared" si="1080"/>
        <v>1255.0824230000001</v>
      </c>
      <c r="L1396" s="473">
        <f t="shared" si="1084"/>
        <v>482.79000000000002</v>
      </c>
      <c r="M1396" s="474">
        <f t="shared" si="1081"/>
        <v>1240.3357890000002</v>
      </c>
      <c r="O1396" s="434">
        <f t="shared" si="1082"/>
        <v>488.52999999999997</v>
      </c>
      <c r="P1396" s="435">
        <f t="shared" si="1083"/>
        <v>482.79000000000002</v>
      </c>
      <c r="AE1396" s="217"/>
      <c r="AF1396" s="217">
        <v>1148</v>
      </c>
      <c r="AH1396">
        <f t="shared" si="1074"/>
        <v>1148</v>
      </c>
    </row>
    <row r="1397" ht="60" hidden="1">
      <c r="A1397" s="217"/>
      <c r="B1397" s="217">
        <v>1148</v>
      </c>
      <c r="C1397" s="217"/>
      <c r="D1397" s="217" t="s">
        <v>17167</v>
      </c>
      <c r="E1397" s="471" t="s">
        <v>20681</v>
      </c>
      <c r="F1397" s="482">
        <v>96533</v>
      </c>
      <c r="G1397" s="470" t="s">
        <v>20912</v>
      </c>
      <c r="H1397" s="472" t="s">
        <v>15515</v>
      </c>
      <c r="I1397" s="472">
        <f>6.9*2.3+(6.9*2+2.3*2)*0.12+(6.9*2+2.3*2)*0.17*2+0.18*(2.3*2+6.9*2)</f>
        <v>27.646000000000001</v>
      </c>
      <c r="J1397" s="473">
        <f t="shared" si="1079"/>
        <v>85.980000000000004</v>
      </c>
      <c r="K1397" s="474">
        <f t="shared" si="1080"/>
        <v>2377.00308</v>
      </c>
      <c r="L1397" s="473">
        <f t="shared" si="1084"/>
        <v>83.200000000000003</v>
      </c>
      <c r="M1397" s="474">
        <f t="shared" si="1081"/>
        <v>2300.1472000000003</v>
      </c>
      <c r="O1397" s="434">
        <f t="shared" si="1082"/>
        <v>85.980000000000004</v>
      </c>
      <c r="P1397" s="435">
        <f t="shared" si="1083"/>
        <v>83.200000000000003</v>
      </c>
      <c r="AE1397" s="217"/>
      <c r="AF1397" s="217">
        <v>1148</v>
      </c>
      <c r="AH1397">
        <f t="shared" si="1074"/>
        <v>1148</v>
      </c>
    </row>
    <row r="1398" ht="141.75" hidden="1">
      <c r="A1398" s="460">
        <v>1149</v>
      </c>
      <c r="B1398" s="460">
        <v>1149</v>
      </c>
      <c r="C1398" s="460"/>
      <c r="D1398" s="460"/>
      <c r="E1398" s="461">
        <v>1</v>
      </c>
      <c r="F1398" s="462" t="s">
        <v>21301</v>
      </c>
      <c r="G1398" s="477" t="s">
        <v>21302</v>
      </c>
      <c r="H1398" s="478" t="s">
        <v>20647</v>
      </c>
      <c r="I1398" s="479"/>
      <c r="J1398" s="480"/>
      <c r="K1398" s="466">
        <f>SUM(K1399:K1412)</f>
        <v>27857.998967700001</v>
      </c>
      <c r="L1398" s="480"/>
      <c r="M1398" s="466">
        <f>SUM(M1399:M1412)</f>
        <v>27051.408762850002</v>
      </c>
      <c r="O1398" s="434" t="str">
        <f t="shared" si="1082"/>
        <v xml:space="preserve">SEM VALOR</v>
      </c>
      <c r="P1398" s="435" t="str">
        <f t="shared" si="1083"/>
        <v xml:space="preserve">SEM VALOR</v>
      </c>
      <c r="AE1398" s="460">
        <v>1149</v>
      </c>
      <c r="AF1398" s="460"/>
      <c r="AH1398">
        <f t="shared" si="1074"/>
        <v>1149</v>
      </c>
    </row>
    <row r="1399" ht="30" hidden="1">
      <c r="A1399" s="217"/>
      <c r="B1399" s="217">
        <v>1149</v>
      </c>
      <c r="C1399" s="217"/>
      <c r="D1399" s="217" t="s">
        <v>20398</v>
      </c>
      <c r="E1399" s="471" t="s">
        <v>20399</v>
      </c>
      <c r="F1399" s="482">
        <v>1242</v>
      </c>
      <c r="G1399" s="488" t="s">
        <v>20905</v>
      </c>
      <c r="H1399" s="471" t="s">
        <v>15528</v>
      </c>
      <c r="I1399" s="472">
        <f>(1.9+0.8)*(8.7+0.8)*0.05</f>
        <v>1.2825</v>
      </c>
      <c r="J1399" s="473">
        <f t="shared" si="1079"/>
        <v>151.59100000000001</v>
      </c>
      <c r="K1399" s="474">
        <f t="shared" ref="K1399:K1412" si="1085">I1399*J1399</f>
        <v>194.4154575</v>
      </c>
      <c r="L1399" s="473">
        <f t="shared" si="1084"/>
        <v>149.17099999999999</v>
      </c>
      <c r="M1399" s="474">
        <f t="shared" ref="M1399:M1412" si="1086">L1399*I1399</f>
        <v>191.31180749999999</v>
      </c>
      <c r="O1399" s="434">
        <f t="shared" si="1082"/>
        <v>151.59100000000001</v>
      </c>
      <c r="P1399" s="435">
        <f t="shared" si="1083"/>
        <v>149.17099999999999</v>
      </c>
      <c r="AE1399" s="217"/>
      <c r="AF1399" s="217">
        <v>1149</v>
      </c>
      <c r="AH1399">
        <f t="shared" si="1074"/>
        <v>1149</v>
      </c>
    </row>
    <row r="1400" ht="75" hidden="1">
      <c r="A1400" s="217"/>
      <c r="B1400" s="217">
        <v>1149</v>
      </c>
      <c r="C1400" s="217"/>
      <c r="D1400" s="217" t="s">
        <v>20398</v>
      </c>
      <c r="E1400" s="471" t="s">
        <v>20402</v>
      </c>
      <c r="F1400" s="482">
        <v>1257</v>
      </c>
      <c r="G1400" s="470" t="s">
        <v>20906</v>
      </c>
      <c r="H1400" s="471" t="s">
        <v>15515</v>
      </c>
      <c r="I1400" s="472">
        <f>((1.9+0.4)*2+(8.7+0.4)*2)*2</f>
        <v>45.600000000000001</v>
      </c>
      <c r="J1400" s="473">
        <f t="shared" si="1079"/>
        <v>202.65134000000003</v>
      </c>
      <c r="K1400" s="474">
        <f t="shared" si="1085"/>
        <v>9240.9011040000023</v>
      </c>
      <c r="L1400" s="473">
        <f t="shared" si="1084"/>
        <v>197.86072000000001</v>
      </c>
      <c r="M1400" s="474">
        <f t="shared" si="1086"/>
        <v>9022.4488320000019</v>
      </c>
      <c r="O1400" s="434">
        <f t="shared" si="1082"/>
        <v>202.65134000000003</v>
      </c>
      <c r="P1400" s="435">
        <f t="shared" si="1083"/>
        <v>197.86072000000001</v>
      </c>
      <c r="AE1400" s="217"/>
      <c r="AF1400" s="217">
        <v>1149</v>
      </c>
      <c r="AH1400">
        <f t="shared" si="1074"/>
        <v>1149</v>
      </c>
    </row>
    <row r="1401" ht="60" hidden="1">
      <c r="A1401" s="217"/>
      <c r="B1401" s="217">
        <v>1149</v>
      </c>
      <c r="C1401" s="217"/>
      <c r="D1401" s="217" t="s">
        <v>20398</v>
      </c>
      <c r="E1401" s="471" t="s">
        <v>20405</v>
      </c>
      <c r="F1401" s="482">
        <v>1258</v>
      </c>
      <c r="G1401" s="488" t="s">
        <v>20660</v>
      </c>
      <c r="H1401" s="472" t="s">
        <v>15515</v>
      </c>
      <c r="I1401" s="472">
        <f>(1.9+0.8)*(8.7+0.8)</f>
        <v>25.649999999999999</v>
      </c>
      <c r="J1401" s="473">
        <f t="shared" si="1079"/>
        <v>7.5700000000000003</v>
      </c>
      <c r="K1401" s="474">
        <f t="shared" si="1085"/>
        <v>194.1705</v>
      </c>
      <c r="L1401" s="473">
        <f t="shared" si="1084"/>
        <v>7.1846199999999998</v>
      </c>
      <c r="M1401" s="474">
        <f t="shared" si="1086"/>
        <v>184.28550299999998</v>
      </c>
      <c r="O1401" s="434">
        <f t="shared" si="1082"/>
        <v>7.5700000000000003</v>
      </c>
      <c r="P1401" s="435">
        <f t="shared" si="1083"/>
        <v>7.1846199999999998</v>
      </c>
      <c r="AE1401" s="217"/>
      <c r="AF1401" s="217">
        <v>1149</v>
      </c>
      <c r="AH1401">
        <f t="shared" si="1074"/>
        <v>1149</v>
      </c>
    </row>
    <row r="1402" ht="30" hidden="1">
      <c r="A1402" s="217"/>
      <c r="B1402" s="217">
        <v>1149</v>
      </c>
      <c r="C1402" s="217"/>
      <c r="D1402" s="217" t="s">
        <v>20398</v>
      </c>
      <c r="E1402" s="471" t="s">
        <v>20409</v>
      </c>
      <c r="F1402" s="482">
        <v>1259</v>
      </c>
      <c r="G1402" s="470" t="s">
        <v>21294</v>
      </c>
      <c r="H1402" s="472" t="s">
        <v>15528</v>
      </c>
      <c r="I1402" s="472">
        <f>((1.9+0.8)*(8.7+0.8))*(2.5+0.18+0.15+0.05)</f>
        <v>73.872</v>
      </c>
      <c r="J1402" s="473">
        <f t="shared" si="1079"/>
        <v>45.520000000000003</v>
      </c>
      <c r="K1402" s="474">
        <f t="shared" si="1085"/>
        <v>3362.65344</v>
      </c>
      <c r="L1402" s="473">
        <f t="shared" si="1084"/>
        <v>43.100000000000001</v>
      </c>
      <c r="M1402" s="474">
        <f t="shared" si="1086"/>
        <v>3183.8832000000002</v>
      </c>
      <c r="O1402" s="434">
        <f t="shared" si="1082"/>
        <v>45.520000000000003</v>
      </c>
      <c r="P1402" s="435">
        <f t="shared" si="1083"/>
        <v>43.100000000000001</v>
      </c>
      <c r="AE1402" s="217"/>
      <c r="AF1402" s="217">
        <v>1149</v>
      </c>
      <c r="AH1402">
        <f t="shared" si="1074"/>
        <v>1149</v>
      </c>
    </row>
    <row r="1403" ht="105" hidden="1">
      <c r="A1403" s="217"/>
      <c r="B1403" s="217">
        <v>1149</v>
      </c>
      <c r="C1403" s="217"/>
      <c r="D1403" s="217" t="s">
        <v>17167</v>
      </c>
      <c r="E1403" s="471" t="s">
        <v>20663</v>
      </c>
      <c r="F1403" s="482">
        <v>5928</v>
      </c>
      <c r="G1403" s="470" t="s">
        <v>1739</v>
      </c>
      <c r="H1403" s="472" t="s">
        <v>1535</v>
      </c>
      <c r="I1403" s="472">
        <v>0.10000000000000001</v>
      </c>
      <c r="J1403" s="473">
        <f t="shared" si="1079"/>
        <v>298.70999999999998</v>
      </c>
      <c r="K1403" s="474">
        <f t="shared" si="1085"/>
        <v>29.870999999999999</v>
      </c>
      <c r="L1403" s="473">
        <f t="shared" si="1084"/>
        <v>296.98000000000002</v>
      </c>
      <c r="M1403" s="474">
        <f t="shared" si="1086"/>
        <v>29.698000000000004</v>
      </c>
      <c r="O1403" s="434">
        <f t="shared" si="1082"/>
        <v>298.70999999999998</v>
      </c>
      <c r="P1403" s="435">
        <f t="shared" si="1083"/>
        <v>296.98000000000002</v>
      </c>
      <c r="AE1403" s="217"/>
      <c r="AF1403" s="217">
        <v>1149</v>
      </c>
      <c r="AH1403">
        <f t="shared" si="1074"/>
        <v>1149</v>
      </c>
    </row>
    <row r="1404" ht="45" hidden="1">
      <c r="A1404" s="217"/>
      <c r="B1404" s="217">
        <v>1149</v>
      </c>
      <c r="C1404" s="217"/>
      <c r="D1404" s="217" t="s">
        <v>20398</v>
      </c>
      <c r="E1404" s="471" t="s">
        <v>20665</v>
      </c>
      <c r="F1404" s="482">
        <v>1000</v>
      </c>
      <c r="G1404" s="470" t="s">
        <v>20651</v>
      </c>
      <c r="H1404" s="472" t="s">
        <v>15528</v>
      </c>
      <c r="I1404" s="472">
        <f>I1410+I1411</f>
        <v>11.051299999999999</v>
      </c>
      <c r="J1404" s="473">
        <f t="shared" si="1079"/>
        <v>149.904</v>
      </c>
      <c r="K1404" s="474">
        <f t="shared" si="1085"/>
        <v>1656.6340751999999</v>
      </c>
      <c r="L1404" s="473">
        <f t="shared" si="1084"/>
        <v>141.76949999999999</v>
      </c>
      <c r="M1404" s="474">
        <f t="shared" si="1086"/>
        <v>1566.7372753499999</v>
      </c>
      <c r="O1404" s="434">
        <f t="shared" si="1082"/>
        <v>149.904</v>
      </c>
      <c r="P1404" s="435">
        <f t="shared" si="1083"/>
        <v>141.76949999999999</v>
      </c>
      <c r="AE1404" s="217"/>
      <c r="AF1404" s="217">
        <v>1149</v>
      </c>
      <c r="AH1404">
        <f t="shared" si="1074"/>
        <v>1149</v>
      </c>
    </row>
    <row r="1405" ht="60" hidden="1">
      <c r="A1405" s="217"/>
      <c r="B1405" s="217">
        <v>1149</v>
      </c>
      <c r="C1405" s="217"/>
      <c r="D1405" s="217" t="s">
        <v>17167</v>
      </c>
      <c r="E1405" s="471" t="s">
        <v>20667</v>
      </c>
      <c r="F1405" s="482">
        <v>87313</v>
      </c>
      <c r="G1405" s="470" t="s">
        <v>20909</v>
      </c>
      <c r="H1405" s="472" t="s">
        <v>15528</v>
      </c>
      <c r="I1405" s="472">
        <f>(1.9*2+8.7*2)*2*0.02</f>
        <v>0.84799999999999998</v>
      </c>
      <c r="J1405" s="473">
        <f t="shared" si="1079"/>
        <v>549.88</v>
      </c>
      <c r="K1405" s="474">
        <f t="shared" si="1085"/>
        <v>466.29823999999996</v>
      </c>
      <c r="L1405" s="473">
        <f t="shared" si="1084"/>
        <v>542.65999999999997</v>
      </c>
      <c r="M1405" s="474">
        <f t="shared" si="1086"/>
        <v>460.17567999999994</v>
      </c>
      <c r="O1405" s="434">
        <f t="shared" si="1082"/>
        <v>549.88</v>
      </c>
      <c r="P1405" s="435">
        <f t="shared" si="1083"/>
        <v>542.65999999999997</v>
      </c>
      <c r="AE1405" s="217"/>
      <c r="AF1405" s="217">
        <v>1149</v>
      </c>
      <c r="AH1405">
        <f t="shared" si="1074"/>
        <v>1149</v>
      </c>
    </row>
    <row r="1406" ht="75" hidden="1">
      <c r="A1406" s="217"/>
      <c r="B1406" s="217">
        <v>1149</v>
      </c>
      <c r="C1406" s="217"/>
      <c r="D1406" s="217" t="s">
        <v>17167</v>
      </c>
      <c r="E1406" s="471" t="s">
        <v>20671</v>
      </c>
      <c r="F1406" s="482">
        <v>87878</v>
      </c>
      <c r="G1406" s="470" t="s">
        <v>20910</v>
      </c>
      <c r="H1406" s="472" t="s">
        <v>15515</v>
      </c>
      <c r="I1406" s="472">
        <f>(1.9*2+8.7*2)*2</f>
        <v>42.399999999999999</v>
      </c>
      <c r="J1406" s="473">
        <f t="shared" si="1079"/>
        <v>5.0099999999999998</v>
      </c>
      <c r="K1406" s="474">
        <f t="shared" si="1085"/>
        <v>212.42399999999998</v>
      </c>
      <c r="L1406" s="473">
        <f t="shared" si="1084"/>
        <v>4.7999999999999998</v>
      </c>
      <c r="M1406" s="474">
        <f t="shared" si="1086"/>
        <v>203.51999999999998</v>
      </c>
      <c r="O1406" s="434">
        <f t="shared" si="1082"/>
        <v>5.0099999999999998</v>
      </c>
      <c r="P1406" s="435">
        <f t="shared" si="1083"/>
        <v>4.7999999999999998</v>
      </c>
      <c r="AE1406" s="217"/>
      <c r="AF1406" s="217">
        <v>1149</v>
      </c>
      <c r="AH1406">
        <f t="shared" si="1074"/>
        <v>1149</v>
      </c>
    </row>
    <row r="1407" ht="45" hidden="1">
      <c r="A1407" s="217"/>
      <c r="B1407" s="217">
        <v>1149</v>
      </c>
      <c r="C1407" s="217"/>
      <c r="D1407" s="217" t="s">
        <v>17167</v>
      </c>
      <c r="E1407" s="471" t="s">
        <v>20672</v>
      </c>
      <c r="F1407" s="482">
        <v>96543</v>
      </c>
      <c r="G1407" s="470" t="s">
        <v>20676</v>
      </c>
      <c r="H1407" s="472" t="s">
        <v>302</v>
      </c>
      <c r="I1407" s="472">
        <v>18.699999999999999</v>
      </c>
      <c r="J1407" s="473">
        <f t="shared" si="1079"/>
        <v>19.829999999999998</v>
      </c>
      <c r="K1407" s="474">
        <f t="shared" si="1085"/>
        <v>370.82099999999997</v>
      </c>
      <c r="L1407" s="473">
        <f t="shared" si="1084"/>
        <v>19.210000000000001</v>
      </c>
      <c r="M1407" s="474">
        <f t="shared" si="1086"/>
        <v>359.22699999999998</v>
      </c>
      <c r="O1407" s="434">
        <f t="shared" si="1082"/>
        <v>19.829999999999998</v>
      </c>
      <c r="P1407" s="435">
        <f t="shared" si="1083"/>
        <v>19.210000000000001</v>
      </c>
      <c r="AE1407" s="217"/>
      <c r="AF1407" s="217">
        <v>1149</v>
      </c>
      <c r="AH1407">
        <f t="shared" si="1074"/>
        <v>1149</v>
      </c>
    </row>
    <row r="1408" ht="45" hidden="1">
      <c r="A1408" s="217"/>
      <c r="B1408" s="217">
        <v>1149</v>
      </c>
      <c r="C1408" s="217"/>
      <c r="D1408" s="217" t="s">
        <v>17167</v>
      </c>
      <c r="E1408" s="471" t="s">
        <v>20673</v>
      </c>
      <c r="F1408" s="482">
        <v>96544</v>
      </c>
      <c r="G1408" s="470" t="s">
        <v>20763</v>
      </c>
      <c r="H1408" s="472" t="s">
        <v>302</v>
      </c>
      <c r="I1408" s="472">
        <v>192.05000000000001</v>
      </c>
      <c r="J1408" s="473">
        <f t="shared" si="1079"/>
        <v>17.699999999999999</v>
      </c>
      <c r="K1408" s="474">
        <f t="shared" si="1085"/>
        <v>3399.2849999999999</v>
      </c>
      <c r="L1408" s="473">
        <f t="shared" si="1084"/>
        <v>17.23</v>
      </c>
      <c r="M1408" s="474">
        <f t="shared" si="1086"/>
        <v>3309.0215000000003</v>
      </c>
      <c r="O1408" s="434">
        <f t="shared" si="1082"/>
        <v>17.699999999999999</v>
      </c>
      <c r="P1408" s="435">
        <f t="shared" si="1083"/>
        <v>17.23</v>
      </c>
      <c r="AE1408" s="217"/>
      <c r="AF1408" s="217">
        <v>1149</v>
      </c>
      <c r="AH1408">
        <f t="shared" si="1074"/>
        <v>1149</v>
      </c>
    </row>
    <row r="1409" ht="45" hidden="1">
      <c r="A1409" s="217"/>
      <c r="B1409" s="217">
        <v>1149</v>
      </c>
      <c r="C1409" s="217"/>
      <c r="D1409" s="217" t="s">
        <v>17167</v>
      </c>
      <c r="E1409" s="471" t="s">
        <v>20675</v>
      </c>
      <c r="F1409" s="482">
        <v>93382</v>
      </c>
      <c r="G1409" s="470" t="s">
        <v>20722</v>
      </c>
      <c r="H1409" s="472" t="s">
        <v>15528</v>
      </c>
      <c r="I1409" s="472">
        <f>I1402-2.7*9.5*0.2-2.3*9.1*2.18</f>
        <v>23.114599999999999</v>
      </c>
      <c r="J1409" s="473">
        <f t="shared" si="1079"/>
        <v>27.52</v>
      </c>
      <c r="K1409" s="474">
        <f t="shared" si="1085"/>
        <v>636.11379199999999</v>
      </c>
      <c r="L1409" s="473">
        <f t="shared" si="1084"/>
        <v>26.190000000000001</v>
      </c>
      <c r="M1409" s="474">
        <f t="shared" si="1086"/>
        <v>605.37137400000006</v>
      </c>
      <c r="O1409" s="434">
        <f t="shared" si="1082"/>
        <v>27.52</v>
      </c>
      <c r="P1409" s="435">
        <f t="shared" si="1083"/>
        <v>26.190000000000001</v>
      </c>
      <c r="AE1409" s="217"/>
      <c r="AF1409" s="217">
        <v>1149</v>
      </c>
      <c r="AH1409">
        <f t="shared" si="1074"/>
        <v>1149</v>
      </c>
    </row>
    <row r="1410" ht="60" hidden="1">
      <c r="A1410" s="217"/>
      <c r="B1410" s="217">
        <v>1149</v>
      </c>
      <c r="C1410" s="217"/>
      <c r="D1410" s="217" t="s">
        <v>17167</v>
      </c>
      <c r="E1410" s="471" t="s">
        <v>20677</v>
      </c>
      <c r="F1410" s="482">
        <v>94963</v>
      </c>
      <c r="G1410" s="470" t="s">
        <v>20911</v>
      </c>
      <c r="H1410" s="472" t="s">
        <v>15528</v>
      </c>
      <c r="I1410" s="472">
        <f>(1.9+0.8)*(8.7+0.8)*0.15+2.3*9.1*0.18</f>
        <v>7.6148999999999996</v>
      </c>
      <c r="J1410" s="473">
        <f t="shared" si="1079"/>
        <v>441.43000000000001</v>
      </c>
      <c r="K1410" s="474">
        <f t="shared" si="1085"/>
        <v>3361.445307</v>
      </c>
      <c r="L1410" s="473">
        <f t="shared" si="1084"/>
        <v>436.14999999999998</v>
      </c>
      <c r="M1410" s="474">
        <f t="shared" si="1086"/>
        <v>3321.2386349999997</v>
      </c>
      <c r="O1410" s="434">
        <f t="shared" si="1082"/>
        <v>441.43000000000001</v>
      </c>
      <c r="P1410" s="435">
        <f t="shared" si="1083"/>
        <v>436.14999999999998</v>
      </c>
      <c r="AE1410" s="217"/>
      <c r="AF1410" s="217">
        <v>1149</v>
      </c>
      <c r="AH1410">
        <f t="shared" si="1074"/>
        <v>1149</v>
      </c>
    </row>
    <row r="1411" ht="60" hidden="1">
      <c r="A1411" s="217"/>
      <c r="B1411" s="217">
        <v>1149</v>
      </c>
      <c r="C1411" s="217"/>
      <c r="D1411" s="217" t="s">
        <v>17167</v>
      </c>
      <c r="E1411" s="471" t="s">
        <v>20679</v>
      </c>
      <c r="F1411" s="482">
        <v>94964</v>
      </c>
      <c r="G1411" s="470" t="s">
        <v>20686</v>
      </c>
      <c r="H1411" s="472" t="s">
        <v>15528</v>
      </c>
      <c r="I1411" s="472">
        <f>(2.3*2+1.5*3)*2.3*0.12+9.1*0.17*0.17*2+2.3*0.17*0.17*6</f>
        <v>3.4363999999999999</v>
      </c>
      <c r="J1411" s="473">
        <f t="shared" si="1079"/>
        <v>488.52999999999997</v>
      </c>
      <c r="K1411" s="474">
        <f t="shared" si="1085"/>
        <v>1678.7844919999998</v>
      </c>
      <c r="L1411" s="473">
        <f t="shared" si="1084"/>
        <v>482.79000000000002</v>
      </c>
      <c r="M1411" s="474">
        <f t="shared" si="1086"/>
        <v>1659.0595559999999</v>
      </c>
      <c r="O1411" s="434">
        <f t="shared" si="1082"/>
        <v>488.52999999999997</v>
      </c>
      <c r="P1411" s="435">
        <f t="shared" si="1083"/>
        <v>482.79000000000002</v>
      </c>
      <c r="AE1411" s="217"/>
      <c r="AF1411" s="217">
        <v>1149</v>
      </c>
      <c r="AH1411">
        <f t="shared" si="1074"/>
        <v>1149</v>
      </c>
    </row>
    <row r="1412" ht="60" hidden="1">
      <c r="A1412" s="217"/>
      <c r="B1412" s="217">
        <v>1149</v>
      </c>
      <c r="C1412" s="217"/>
      <c r="D1412" s="217" t="s">
        <v>17167</v>
      </c>
      <c r="E1412" s="471" t="s">
        <v>20681</v>
      </c>
      <c r="F1412" s="482">
        <v>96533</v>
      </c>
      <c r="G1412" s="470" t="s">
        <v>20912</v>
      </c>
      <c r="H1412" s="472" t="s">
        <v>15515</v>
      </c>
      <c r="I1412" s="472">
        <f>9.1*2.3+(9.1*2+2.3*2)*0.12+(9.1*2+2.3*2)*0.17*2+0.18*(2.3*2+9.1*2)</f>
        <v>35.521999999999998</v>
      </c>
      <c r="J1412" s="473">
        <f t="shared" si="1079"/>
        <v>85.980000000000004</v>
      </c>
      <c r="K1412" s="474">
        <f t="shared" si="1085"/>
        <v>3054.18156</v>
      </c>
      <c r="L1412" s="473">
        <f t="shared" si="1084"/>
        <v>83.200000000000003</v>
      </c>
      <c r="M1412" s="474">
        <f t="shared" si="1086"/>
        <v>2955.4304000000002</v>
      </c>
      <c r="O1412" s="434">
        <f t="shared" si="1082"/>
        <v>85.980000000000004</v>
      </c>
      <c r="P1412" s="435">
        <f t="shared" si="1083"/>
        <v>83.200000000000003</v>
      </c>
      <c r="AE1412" s="217"/>
      <c r="AF1412" s="217">
        <v>1149</v>
      </c>
      <c r="AH1412">
        <f t="shared" si="1074"/>
        <v>1149</v>
      </c>
    </row>
    <row r="1413" ht="141.75" hidden="1">
      <c r="A1413" s="460">
        <v>1150</v>
      </c>
      <c r="B1413" s="460">
        <v>1150</v>
      </c>
      <c r="C1413" s="460"/>
      <c r="D1413" s="460"/>
      <c r="E1413" s="461">
        <v>1</v>
      </c>
      <c r="F1413" s="462" t="s">
        <v>21303</v>
      </c>
      <c r="G1413" s="477" t="s">
        <v>21304</v>
      </c>
      <c r="H1413" s="478" t="s">
        <v>20647</v>
      </c>
      <c r="I1413" s="479"/>
      <c r="J1413" s="480"/>
      <c r="K1413" s="466">
        <f>SUM(K1414:K1427)</f>
        <v>21546.018826208005</v>
      </c>
      <c r="L1413" s="480"/>
      <c r="M1413" s="466">
        <f>SUM(M1414:M1427)</f>
        <v>20988.324379891001</v>
      </c>
      <c r="O1413" s="434" t="str">
        <f t="shared" si="1082"/>
        <v xml:space="preserve">SEM VALOR</v>
      </c>
      <c r="P1413" s="435" t="str">
        <f t="shared" si="1083"/>
        <v xml:space="preserve">SEM VALOR</v>
      </c>
      <c r="AE1413" s="460">
        <v>1150</v>
      </c>
      <c r="AF1413" s="460"/>
      <c r="AH1413">
        <f t="shared" si="1074"/>
        <v>1150</v>
      </c>
    </row>
    <row r="1414" ht="30" hidden="1">
      <c r="A1414" s="217"/>
      <c r="B1414" s="217">
        <v>1150</v>
      </c>
      <c r="C1414" s="217"/>
      <c r="D1414" s="217" t="s">
        <v>20398</v>
      </c>
      <c r="E1414" s="471" t="s">
        <v>20399</v>
      </c>
      <c r="F1414" s="482">
        <v>1242</v>
      </c>
      <c r="G1414" s="470" t="s">
        <v>20905</v>
      </c>
      <c r="H1414" s="472" t="s">
        <v>15528</v>
      </c>
      <c r="I1414" s="472">
        <f>(4+0.8)*(4+0.8)*0.05</f>
        <v>1.1519999999999999</v>
      </c>
      <c r="J1414" s="473">
        <f t="shared" si="1079"/>
        <v>151.59100000000001</v>
      </c>
      <c r="K1414" s="474">
        <f t="shared" ref="K1414:K1427" si="1087">I1414*J1414</f>
        <v>174.63283200000001</v>
      </c>
      <c r="L1414" s="473">
        <f t="shared" si="1084"/>
        <v>149.17099999999999</v>
      </c>
      <c r="M1414" s="474">
        <f t="shared" ref="M1414:M1427" si="1088">L1414*I1414</f>
        <v>171.84499199999999</v>
      </c>
      <c r="O1414" s="434">
        <f t="shared" si="1082"/>
        <v>151.59100000000001</v>
      </c>
      <c r="P1414" s="435">
        <f t="shared" si="1083"/>
        <v>149.17099999999999</v>
      </c>
      <c r="AE1414" s="217"/>
      <c r="AF1414" s="217">
        <v>1150</v>
      </c>
      <c r="AH1414">
        <f t="shared" si="1074"/>
        <v>1150</v>
      </c>
    </row>
    <row r="1415" ht="75" hidden="1">
      <c r="A1415" s="217"/>
      <c r="B1415" s="217">
        <v>1150</v>
      </c>
      <c r="C1415" s="217"/>
      <c r="D1415" s="217" t="s">
        <v>20398</v>
      </c>
      <c r="E1415" s="471" t="s">
        <v>20402</v>
      </c>
      <c r="F1415" s="482">
        <v>1257</v>
      </c>
      <c r="G1415" s="470" t="s">
        <v>20906</v>
      </c>
      <c r="H1415" s="472" t="s">
        <v>15515</v>
      </c>
      <c r="I1415" s="472">
        <f>((4+0.4)*2+(4+0.4)*2)*1.7</f>
        <v>29.920000000000002</v>
      </c>
      <c r="J1415" s="473">
        <f t="shared" si="1079"/>
        <v>202.65134000000003</v>
      </c>
      <c r="K1415" s="474">
        <f t="shared" si="1087"/>
        <v>6063.3280928000013</v>
      </c>
      <c r="L1415" s="473">
        <f t="shared" si="1084"/>
        <v>197.86072000000001</v>
      </c>
      <c r="M1415" s="474">
        <f t="shared" si="1088"/>
        <v>5919.9927424000007</v>
      </c>
      <c r="O1415" s="434">
        <f t="shared" si="1082"/>
        <v>202.65134000000003</v>
      </c>
      <c r="P1415" s="435">
        <f t="shared" si="1083"/>
        <v>197.86072000000001</v>
      </c>
      <c r="AE1415" s="217"/>
      <c r="AF1415" s="217">
        <v>1150</v>
      </c>
      <c r="AH1415">
        <f t="shared" ref="AH1415:AH1478" si="1089">IF(AF1415:AF1416=FALSE,AE1415,AF1415)</f>
        <v>1150</v>
      </c>
    </row>
    <row r="1416" ht="60" hidden="1">
      <c r="A1416" s="217"/>
      <c r="B1416" s="217">
        <v>1150</v>
      </c>
      <c r="C1416" s="217"/>
      <c r="D1416" s="217" t="s">
        <v>20398</v>
      </c>
      <c r="E1416" s="471" t="s">
        <v>20405</v>
      </c>
      <c r="F1416" s="482">
        <v>1258</v>
      </c>
      <c r="G1416" s="488" t="s">
        <v>20660</v>
      </c>
      <c r="H1416" s="472" t="s">
        <v>15515</v>
      </c>
      <c r="I1416" s="472">
        <f>(4+0.8)*(4+0.8)</f>
        <v>23.039999999999999</v>
      </c>
      <c r="J1416" s="473">
        <f t="shared" si="1079"/>
        <v>7.5700000000000003</v>
      </c>
      <c r="K1416" s="474">
        <f t="shared" si="1087"/>
        <v>174.4128</v>
      </c>
      <c r="L1416" s="473">
        <f t="shared" si="1084"/>
        <v>7.1846199999999998</v>
      </c>
      <c r="M1416" s="474">
        <f t="shared" si="1088"/>
        <v>165.53364479999999</v>
      </c>
      <c r="O1416" s="434">
        <f t="shared" si="1082"/>
        <v>7.5700000000000003</v>
      </c>
      <c r="P1416" s="435">
        <f t="shared" si="1083"/>
        <v>7.1846199999999998</v>
      </c>
      <c r="AE1416" s="217"/>
      <c r="AF1416" s="217">
        <v>1150</v>
      </c>
      <c r="AH1416">
        <f t="shared" si="1089"/>
        <v>1150</v>
      </c>
    </row>
    <row r="1417" ht="120" hidden="1">
      <c r="A1417" s="217"/>
      <c r="B1417" s="217">
        <v>1150</v>
      </c>
      <c r="C1417" s="217"/>
      <c r="D1417" s="217" t="s">
        <v>17167</v>
      </c>
      <c r="E1417" s="471" t="s">
        <v>20409</v>
      </c>
      <c r="F1417" s="482">
        <v>90108</v>
      </c>
      <c r="G1417" s="470" t="s">
        <v>20907</v>
      </c>
      <c r="H1417" s="472" t="s">
        <v>15528</v>
      </c>
      <c r="I1417" s="472">
        <f>((4+0.8)*(4+0.8))*(2.2+0.18+0.15+0.05)</f>
        <v>59.443199999999997</v>
      </c>
      <c r="J1417" s="473">
        <f t="shared" si="1079"/>
        <v>7.8099999999999996</v>
      </c>
      <c r="K1417" s="474">
        <f t="shared" si="1087"/>
        <v>464.25139199999995</v>
      </c>
      <c r="L1417" s="473">
        <f t="shared" si="1084"/>
        <v>7.6100000000000003</v>
      </c>
      <c r="M1417" s="474">
        <f t="shared" si="1088"/>
        <v>452.362752</v>
      </c>
      <c r="O1417" s="434">
        <f t="shared" si="1082"/>
        <v>7.8099999999999996</v>
      </c>
      <c r="P1417" s="435">
        <f t="shared" si="1083"/>
        <v>7.6100000000000003</v>
      </c>
      <c r="AE1417" s="217"/>
      <c r="AF1417" s="217">
        <v>1150</v>
      </c>
      <c r="AH1417">
        <f t="shared" si="1089"/>
        <v>1150</v>
      </c>
    </row>
    <row r="1418" ht="105" hidden="1">
      <c r="A1418" s="217"/>
      <c r="B1418" s="217">
        <v>1150</v>
      </c>
      <c r="C1418" s="217"/>
      <c r="D1418" s="217" t="s">
        <v>17167</v>
      </c>
      <c r="E1418" s="471" t="s">
        <v>20663</v>
      </c>
      <c r="F1418" s="482">
        <v>5928</v>
      </c>
      <c r="G1418" s="470" t="s">
        <v>1739</v>
      </c>
      <c r="H1418" s="472" t="s">
        <v>1535</v>
      </c>
      <c r="I1418" s="472">
        <v>0.10000000000000001</v>
      </c>
      <c r="J1418" s="473">
        <f t="shared" si="1079"/>
        <v>298.70999999999998</v>
      </c>
      <c r="K1418" s="474">
        <f t="shared" si="1087"/>
        <v>29.870999999999999</v>
      </c>
      <c r="L1418" s="473">
        <f t="shared" si="1084"/>
        <v>296.98000000000002</v>
      </c>
      <c r="M1418" s="474">
        <f t="shared" si="1088"/>
        <v>29.698000000000004</v>
      </c>
      <c r="O1418" s="434">
        <f t="shared" si="1082"/>
        <v>298.70999999999998</v>
      </c>
      <c r="P1418" s="435">
        <f t="shared" si="1083"/>
        <v>296.98000000000002</v>
      </c>
      <c r="AE1418" s="217"/>
      <c r="AF1418" s="217">
        <v>1150</v>
      </c>
      <c r="AH1418">
        <f t="shared" si="1089"/>
        <v>1150</v>
      </c>
    </row>
    <row r="1419" ht="45" hidden="1">
      <c r="A1419" s="217"/>
      <c r="B1419" s="217">
        <v>1150</v>
      </c>
      <c r="C1419" s="217"/>
      <c r="D1419" s="217" t="s">
        <v>20398</v>
      </c>
      <c r="E1419" s="471" t="s">
        <v>20665</v>
      </c>
      <c r="F1419" s="482">
        <v>1000</v>
      </c>
      <c r="G1419" s="470" t="s">
        <v>20651</v>
      </c>
      <c r="H1419" s="472" t="s">
        <v>15528</v>
      </c>
      <c r="I1419" s="472">
        <f>I1425+I1426</f>
        <v>10.026960000000001</v>
      </c>
      <c r="J1419" s="473">
        <f t="shared" si="1079"/>
        <v>149.904</v>
      </c>
      <c r="K1419" s="474">
        <f t="shared" si="1087"/>
        <v>1503.0814118400001</v>
      </c>
      <c r="L1419" s="473">
        <f t="shared" si="1084"/>
        <v>141.76949999999999</v>
      </c>
      <c r="M1419" s="474">
        <f t="shared" si="1088"/>
        <v>1421.51710572</v>
      </c>
      <c r="O1419" s="434">
        <f t="shared" si="1082"/>
        <v>149.904</v>
      </c>
      <c r="P1419" s="435">
        <f t="shared" si="1083"/>
        <v>141.76949999999999</v>
      </c>
      <c r="AE1419" s="217"/>
      <c r="AF1419" s="217">
        <v>1150</v>
      </c>
      <c r="AH1419">
        <f t="shared" si="1089"/>
        <v>1150</v>
      </c>
    </row>
    <row r="1420" ht="60" hidden="1">
      <c r="A1420" s="217"/>
      <c r="B1420" s="217">
        <v>1150</v>
      </c>
      <c r="C1420" s="217"/>
      <c r="D1420" s="217" t="s">
        <v>17167</v>
      </c>
      <c r="E1420" s="471" t="s">
        <v>20667</v>
      </c>
      <c r="F1420" s="482">
        <v>87313</v>
      </c>
      <c r="G1420" s="470" t="s">
        <v>20909</v>
      </c>
      <c r="H1420" s="472" t="s">
        <v>15528</v>
      </c>
      <c r="I1420" s="472">
        <f>(4*2+4*2)*1.7*0.02</f>
        <v>0.54400000000000004</v>
      </c>
      <c r="J1420" s="473">
        <f t="shared" si="1079"/>
        <v>549.88</v>
      </c>
      <c r="K1420" s="474">
        <f t="shared" si="1087"/>
        <v>299.13472000000002</v>
      </c>
      <c r="L1420" s="473">
        <f t="shared" si="1084"/>
        <v>542.65999999999997</v>
      </c>
      <c r="M1420" s="474">
        <f t="shared" si="1088"/>
        <v>295.20704000000001</v>
      </c>
      <c r="O1420" s="434">
        <f t="shared" si="1082"/>
        <v>549.88</v>
      </c>
      <c r="P1420" s="435">
        <f t="shared" si="1083"/>
        <v>542.65999999999997</v>
      </c>
      <c r="AE1420" s="217"/>
      <c r="AF1420" s="217">
        <v>1150</v>
      </c>
      <c r="AH1420">
        <f t="shared" si="1089"/>
        <v>1150</v>
      </c>
    </row>
    <row r="1421" ht="75" hidden="1">
      <c r="A1421" s="217"/>
      <c r="B1421" s="217">
        <v>1150</v>
      </c>
      <c r="C1421" s="217"/>
      <c r="D1421" s="217" t="s">
        <v>17167</v>
      </c>
      <c r="E1421" s="471" t="s">
        <v>20671</v>
      </c>
      <c r="F1421" s="482">
        <v>87878</v>
      </c>
      <c r="G1421" s="470" t="s">
        <v>20910</v>
      </c>
      <c r="H1421" s="472" t="s">
        <v>15515</v>
      </c>
      <c r="I1421" s="472">
        <f>(4*2+4*2)*1.7</f>
        <v>27.199999999999999</v>
      </c>
      <c r="J1421" s="473">
        <f t="shared" si="1079"/>
        <v>5.0099999999999998</v>
      </c>
      <c r="K1421" s="474">
        <f t="shared" si="1087"/>
        <v>136.27199999999999</v>
      </c>
      <c r="L1421" s="473">
        <f t="shared" si="1084"/>
        <v>4.7999999999999998</v>
      </c>
      <c r="M1421" s="474">
        <f t="shared" si="1088"/>
        <v>130.56</v>
      </c>
      <c r="O1421" s="434">
        <f t="shared" si="1082"/>
        <v>5.0099999999999998</v>
      </c>
      <c r="P1421" s="435">
        <f t="shared" si="1083"/>
        <v>4.7999999999999998</v>
      </c>
      <c r="AE1421" s="217"/>
      <c r="AF1421" s="217">
        <v>1150</v>
      </c>
      <c r="AH1421">
        <f t="shared" si="1089"/>
        <v>1150</v>
      </c>
    </row>
    <row r="1422" ht="45" hidden="1">
      <c r="A1422" s="217"/>
      <c r="B1422" s="217">
        <v>1150</v>
      </c>
      <c r="C1422" s="217"/>
      <c r="D1422" s="217" t="s">
        <v>17167</v>
      </c>
      <c r="E1422" s="471" t="s">
        <v>20672</v>
      </c>
      <c r="F1422" s="482">
        <v>96543</v>
      </c>
      <c r="G1422" s="470" t="s">
        <v>20676</v>
      </c>
      <c r="H1422" s="472" t="s">
        <v>302</v>
      </c>
      <c r="I1422" s="472">
        <f>18.7*1.3</f>
        <v>24.309999999999999</v>
      </c>
      <c r="J1422" s="473">
        <f t="shared" si="1079"/>
        <v>19.829999999999998</v>
      </c>
      <c r="K1422" s="474">
        <f t="shared" si="1087"/>
        <v>482.06729999999993</v>
      </c>
      <c r="L1422" s="473">
        <f t="shared" si="1084"/>
        <v>19.210000000000001</v>
      </c>
      <c r="M1422" s="474">
        <f t="shared" si="1088"/>
        <v>466.99509999999998</v>
      </c>
      <c r="O1422" s="434">
        <f t="shared" si="1082"/>
        <v>19.829999999999998</v>
      </c>
      <c r="P1422" s="435">
        <f t="shared" si="1083"/>
        <v>19.210000000000001</v>
      </c>
      <c r="AE1422" s="217"/>
      <c r="AF1422" s="217">
        <v>1150</v>
      </c>
      <c r="AH1422">
        <f t="shared" si="1089"/>
        <v>1150</v>
      </c>
    </row>
    <row r="1423" ht="45" hidden="1">
      <c r="A1423" s="217"/>
      <c r="B1423" s="217">
        <v>1150</v>
      </c>
      <c r="C1423" s="217"/>
      <c r="D1423" s="217" t="s">
        <v>17167</v>
      </c>
      <c r="E1423" s="471" t="s">
        <v>20673</v>
      </c>
      <c r="F1423" s="482">
        <v>96544</v>
      </c>
      <c r="G1423" s="470" t="s">
        <v>20763</v>
      </c>
      <c r="H1423" s="472" t="s">
        <v>302</v>
      </c>
      <c r="I1423" s="472">
        <f>192.05*1.3</f>
        <v>249.66499999999999</v>
      </c>
      <c r="J1423" s="473">
        <f t="shared" si="1079"/>
        <v>17.699999999999999</v>
      </c>
      <c r="K1423" s="474">
        <f t="shared" si="1087"/>
        <v>4419.0704999999998</v>
      </c>
      <c r="L1423" s="473">
        <f t="shared" si="1084"/>
        <v>17.23</v>
      </c>
      <c r="M1423" s="474">
        <f t="shared" si="1088"/>
        <v>4301.7279500000004</v>
      </c>
      <c r="O1423" s="434">
        <f t="shared" si="1082"/>
        <v>17.699999999999999</v>
      </c>
      <c r="P1423" s="435">
        <f t="shared" si="1083"/>
        <v>17.23</v>
      </c>
      <c r="AE1423" s="217"/>
      <c r="AF1423" s="217">
        <v>1150</v>
      </c>
      <c r="AH1423">
        <f t="shared" si="1089"/>
        <v>1150</v>
      </c>
    </row>
    <row r="1424" ht="45" hidden="1">
      <c r="A1424" s="217"/>
      <c r="B1424" s="217">
        <v>1150</v>
      </c>
      <c r="C1424" s="217"/>
      <c r="D1424" s="217" t="s">
        <v>17167</v>
      </c>
      <c r="E1424" s="471" t="s">
        <v>20675</v>
      </c>
      <c r="F1424" s="482">
        <v>93382</v>
      </c>
      <c r="G1424" s="470" t="s">
        <v>20722</v>
      </c>
      <c r="H1424" s="472" t="s">
        <v>15528</v>
      </c>
      <c r="I1424" s="472">
        <f>I1417-4.4*4.4*0.2-4.4*4.4*1.88-3.141592654*1*1/4*0.5</f>
        <v>18.781700900000001</v>
      </c>
      <c r="J1424" s="473">
        <f t="shared" si="1079"/>
        <v>27.52</v>
      </c>
      <c r="K1424" s="474">
        <f t="shared" si="1087"/>
        <v>516.87240876800001</v>
      </c>
      <c r="L1424" s="473">
        <f t="shared" si="1084"/>
        <v>26.190000000000001</v>
      </c>
      <c r="M1424" s="474">
        <f t="shared" si="1088"/>
        <v>491.89274657100003</v>
      </c>
      <c r="O1424" s="434">
        <f t="shared" si="1082"/>
        <v>27.52</v>
      </c>
      <c r="P1424" s="435">
        <f t="shared" si="1083"/>
        <v>26.190000000000001</v>
      </c>
      <c r="AE1424" s="217"/>
      <c r="AF1424" s="217">
        <v>1150</v>
      </c>
      <c r="AH1424">
        <f t="shared" si="1089"/>
        <v>1150</v>
      </c>
    </row>
    <row r="1425" ht="60" hidden="1">
      <c r="A1425" s="217"/>
      <c r="B1425" s="217">
        <v>1150</v>
      </c>
      <c r="C1425" s="217"/>
      <c r="D1425" s="217" t="s">
        <v>17167</v>
      </c>
      <c r="E1425" s="471" t="s">
        <v>20677</v>
      </c>
      <c r="F1425" s="482">
        <v>94963</v>
      </c>
      <c r="G1425" s="470" t="s">
        <v>20911</v>
      </c>
      <c r="H1425" s="472" t="s">
        <v>15528</v>
      </c>
      <c r="I1425" s="472">
        <f>(4+0.8)*(4+0.8)*0.15+4.4*4.4*0.18</f>
        <v>6.9408000000000003</v>
      </c>
      <c r="J1425" s="473">
        <f t="shared" si="1079"/>
        <v>441.43000000000001</v>
      </c>
      <c r="K1425" s="474">
        <f t="shared" si="1087"/>
        <v>3063.877344</v>
      </c>
      <c r="L1425" s="473">
        <f t="shared" si="1084"/>
        <v>436.14999999999998</v>
      </c>
      <c r="M1425" s="474">
        <f t="shared" si="1088"/>
        <v>3027.2299199999998</v>
      </c>
      <c r="O1425" s="434">
        <f t="shared" si="1082"/>
        <v>441.43000000000001</v>
      </c>
      <c r="P1425" s="435">
        <f t="shared" si="1083"/>
        <v>436.14999999999998</v>
      </c>
      <c r="AE1425" s="217"/>
      <c r="AF1425" s="217">
        <v>1150</v>
      </c>
      <c r="AH1425">
        <f t="shared" si="1089"/>
        <v>1150</v>
      </c>
    </row>
    <row r="1426" ht="60" hidden="1">
      <c r="A1426" s="217"/>
      <c r="B1426" s="217">
        <v>1150</v>
      </c>
      <c r="C1426" s="217"/>
      <c r="D1426" s="217" t="s">
        <v>17167</v>
      </c>
      <c r="E1426" s="471" t="s">
        <v>20679</v>
      </c>
      <c r="F1426" s="482">
        <v>94964</v>
      </c>
      <c r="G1426" s="470" t="s">
        <v>20686</v>
      </c>
      <c r="H1426" s="472" t="s">
        <v>15528</v>
      </c>
      <c r="I1426" s="472">
        <f>(4+0.2+0.2)*4.4*0.12+4.4*0.17*0.17*2+4.4*0.17*0.17*4</f>
        <v>3.08616</v>
      </c>
      <c r="J1426" s="473">
        <f t="shared" si="1079"/>
        <v>488.52999999999997</v>
      </c>
      <c r="K1426" s="474">
        <f t="shared" si="1087"/>
        <v>1507.6817447999999</v>
      </c>
      <c r="L1426" s="473">
        <f t="shared" si="1084"/>
        <v>482.79000000000002</v>
      </c>
      <c r="M1426" s="474">
        <f t="shared" si="1088"/>
        <v>1489.9671864000002</v>
      </c>
      <c r="O1426" s="434">
        <f t="shared" si="1082"/>
        <v>488.52999999999997</v>
      </c>
      <c r="P1426" s="435">
        <f t="shared" si="1083"/>
        <v>482.79000000000002</v>
      </c>
      <c r="AE1426" s="217"/>
      <c r="AF1426" s="217">
        <v>1150</v>
      </c>
      <c r="AH1426">
        <f t="shared" si="1089"/>
        <v>1150</v>
      </c>
    </row>
    <row r="1427" ht="60" hidden="1">
      <c r="A1427" s="217"/>
      <c r="B1427" s="217">
        <v>1150</v>
      </c>
      <c r="C1427" s="217"/>
      <c r="D1427" s="217" t="s">
        <v>17167</v>
      </c>
      <c r="E1427" s="471" t="s">
        <v>20681</v>
      </c>
      <c r="F1427" s="482">
        <v>96533</v>
      </c>
      <c r="G1427" s="470" t="s">
        <v>20912</v>
      </c>
      <c r="H1427" s="472" t="s">
        <v>15515</v>
      </c>
      <c r="I1427" s="472">
        <f>4.4*4.4+(4.4*2+4.4*2)*0.12+(4.4*2+4.4*2)*0.17*2+0.17*3*4*2</f>
        <v>31.536000000000001</v>
      </c>
      <c r="J1427" s="473">
        <f t="shared" si="1079"/>
        <v>85.980000000000004</v>
      </c>
      <c r="K1427" s="474">
        <f t="shared" si="1087"/>
        <v>2711.4652800000003</v>
      </c>
      <c r="L1427" s="473">
        <f t="shared" si="1084"/>
        <v>83.200000000000003</v>
      </c>
      <c r="M1427" s="474">
        <f t="shared" si="1088"/>
        <v>2623.7952</v>
      </c>
      <c r="O1427" s="434">
        <f t="shared" si="1082"/>
        <v>85.980000000000004</v>
      </c>
      <c r="P1427" s="435">
        <f t="shared" si="1083"/>
        <v>83.200000000000003</v>
      </c>
      <c r="AE1427" s="217"/>
      <c r="AF1427" s="217">
        <v>1150</v>
      </c>
      <c r="AH1427">
        <f t="shared" si="1089"/>
        <v>1150</v>
      </c>
    </row>
    <row r="1428" ht="78.75" hidden="1">
      <c r="A1428" s="460">
        <v>1151</v>
      </c>
      <c r="B1428" s="460">
        <v>1151</v>
      </c>
      <c r="C1428" s="460"/>
      <c r="D1428" s="460"/>
      <c r="E1428" s="461">
        <v>1</v>
      </c>
      <c r="F1428" s="462" t="s">
        <v>21305</v>
      </c>
      <c r="G1428" s="477" t="s">
        <v>21306</v>
      </c>
      <c r="H1428" s="478" t="s">
        <v>15528</v>
      </c>
      <c r="I1428" s="479"/>
      <c r="J1428" s="480"/>
      <c r="K1428" s="466">
        <f>SUM(K1429:K1430)</f>
        <v>16.626249999999999</v>
      </c>
      <c r="L1428" s="480"/>
      <c r="M1428" s="466">
        <f>SUM(M1429:M1430)</f>
        <v>16.341875000000002</v>
      </c>
      <c r="N1428" s="467" t="s">
        <v>21307</v>
      </c>
      <c r="O1428" s="434" t="str">
        <f t="shared" si="1082"/>
        <v xml:space="preserve">SEM VALOR</v>
      </c>
      <c r="P1428" s="435" t="str">
        <f t="shared" si="1083"/>
        <v xml:space="preserve">SEM VALOR</v>
      </c>
      <c r="AE1428" s="460">
        <v>1151</v>
      </c>
      <c r="AF1428" s="460"/>
      <c r="AH1428">
        <f t="shared" si="1089"/>
        <v>1151</v>
      </c>
    </row>
    <row r="1429" ht="30" hidden="1">
      <c r="A1429" s="217"/>
      <c r="B1429" s="217">
        <v>1151</v>
      </c>
      <c r="C1429" s="217"/>
      <c r="D1429" s="217" t="s">
        <v>17167</v>
      </c>
      <c r="E1429" s="471" t="s">
        <v>20399</v>
      </c>
      <c r="F1429" s="482">
        <v>88316</v>
      </c>
      <c r="G1429" s="470" t="s">
        <v>7393</v>
      </c>
      <c r="H1429" s="472" t="s">
        <v>2032</v>
      </c>
      <c r="I1429" s="472">
        <v>0.125</v>
      </c>
      <c r="J1429" s="473">
        <f t="shared" si="1079"/>
        <v>22.760000000000002</v>
      </c>
      <c r="K1429" s="474">
        <f t="shared" ref="K1429:K1430" si="1090">I1429*J1429</f>
        <v>2.8450000000000002</v>
      </c>
      <c r="L1429" s="473">
        <f t="shared" si="1084"/>
        <v>21.550000000000001</v>
      </c>
      <c r="M1429" s="474">
        <f t="shared" ref="M1429:M1430" si="1091">L1429*I1429</f>
        <v>2.6937500000000001</v>
      </c>
      <c r="O1429" s="434">
        <f t="shared" si="1082"/>
        <v>22.760000000000002</v>
      </c>
      <c r="P1429" s="435">
        <f t="shared" si="1083"/>
        <v>21.550000000000001</v>
      </c>
      <c r="AE1429" s="217"/>
      <c r="AF1429" s="217">
        <v>1151</v>
      </c>
      <c r="AH1429">
        <f t="shared" si="1089"/>
        <v>1151</v>
      </c>
    </row>
    <row r="1430" ht="60" hidden="1">
      <c r="A1430" s="217"/>
      <c r="B1430" s="217">
        <v>1151</v>
      </c>
      <c r="C1430" s="217"/>
      <c r="D1430" s="217" t="s">
        <v>17167</v>
      </c>
      <c r="E1430" s="471" t="s">
        <v>20402</v>
      </c>
      <c r="F1430" s="482">
        <v>5631</v>
      </c>
      <c r="G1430" s="470" t="s">
        <v>1679</v>
      </c>
      <c r="H1430" s="472" t="s">
        <v>1535</v>
      </c>
      <c r="I1430" s="472">
        <v>6.25e-002</v>
      </c>
      <c r="J1430" s="473">
        <f t="shared" si="1079"/>
        <v>220.5</v>
      </c>
      <c r="K1430" s="474">
        <f t="shared" si="1090"/>
        <v>13.78125</v>
      </c>
      <c r="L1430" s="473">
        <f t="shared" si="1084"/>
        <v>218.37</v>
      </c>
      <c r="M1430" s="474">
        <f t="shared" si="1091"/>
        <v>13.648125</v>
      </c>
      <c r="O1430" s="434">
        <f t="shared" si="1082"/>
        <v>220.5</v>
      </c>
      <c r="P1430" s="435">
        <f t="shared" si="1083"/>
        <v>218.37</v>
      </c>
      <c r="AE1430" s="217"/>
      <c r="AF1430" s="217">
        <v>1151</v>
      </c>
      <c r="AH1430">
        <f t="shared" si="1089"/>
        <v>1151</v>
      </c>
    </row>
    <row r="1431" ht="78.75" hidden="1">
      <c r="A1431" s="460">
        <v>1152</v>
      </c>
      <c r="B1431" s="460">
        <v>1152</v>
      </c>
      <c r="C1431" s="460"/>
      <c r="D1431" s="460"/>
      <c r="E1431" s="461">
        <v>1</v>
      </c>
      <c r="F1431" s="462" t="s">
        <v>21308</v>
      </c>
      <c r="G1431" s="477" t="s">
        <v>21309</v>
      </c>
      <c r="H1431" s="478" t="s">
        <v>15528</v>
      </c>
      <c r="I1431" s="479"/>
      <c r="J1431" s="480"/>
      <c r="K1431" s="466">
        <f>SUM(K1432:K1433)</f>
        <v>18.993828000000001</v>
      </c>
      <c r="L1431" s="480"/>
      <c r="M1431" s="466">
        <f>SUM(M1432:M1433)</f>
        <v>18.668958000000003</v>
      </c>
      <c r="N1431" s="467" t="s">
        <v>21310</v>
      </c>
      <c r="O1431" s="434" t="str">
        <f t="shared" si="1082"/>
        <v xml:space="preserve">SEM VALOR</v>
      </c>
      <c r="P1431" s="435" t="str">
        <f t="shared" si="1083"/>
        <v xml:space="preserve">SEM VALOR</v>
      </c>
      <c r="AE1431" s="460">
        <v>1152</v>
      </c>
      <c r="AF1431" s="460"/>
      <c r="AH1431">
        <f t="shared" si="1089"/>
        <v>1152</v>
      </c>
    </row>
    <row r="1432" ht="30" hidden="1">
      <c r="A1432" s="217"/>
      <c r="B1432" s="217">
        <v>1152</v>
      </c>
      <c r="C1432" s="217"/>
      <c r="D1432" s="217" t="s">
        <v>17167</v>
      </c>
      <c r="E1432" s="471" t="s">
        <v>20399</v>
      </c>
      <c r="F1432" s="482">
        <v>88316</v>
      </c>
      <c r="G1432" s="470" t="s">
        <v>7393</v>
      </c>
      <c r="H1432" s="472" t="s">
        <v>2032</v>
      </c>
      <c r="I1432" s="483">
        <v>0.14280000000000001</v>
      </c>
      <c r="J1432" s="473">
        <f t="shared" si="1079"/>
        <v>22.760000000000002</v>
      </c>
      <c r="K1432" s="474">
        <f t="shared" ref="K1432:K1433" si="1092">I1432*J1432</f>
        <v>3.2501280000000006</v>
      </c>
      <c r="L1432" s="473">
        <f t="shared" si="1084"/>
        <v>21.550000000000001</v>
      </c>
      <c r="M1432" s="474">
        <f t="shared" ref="M1432:M1433" si="1093">L1432*I1432</f>
        <v>3.0773400000000004</v>
      </c>
      <c r="O1432" s="434">
        <f t="shared" si="1082"/>
        <v>22.760000000000002</v>
      </c>
      <c r="P1432" s="435">
        <f t="shared" si="1083"/>
        <v>21.550000000000001</v>
      </c>
      <c r="AE1432" s="217"/>
      <c r="AF1432" s="217">
        <v>1152</v>
      </c>
      <c r="AH1432">
        <f t="shared" si="1089"/>
        <v>1152</v>
      </c>
    </row>
    <row r="1433" ht="60" hidden="1">
      <c r="A1433" s="217"/>
      <c r="B1433" s="217">
        <v>1152</v>
      </c>
      <c r="C1433" s="217"/>
      <c r="D1433" s="217" t="s">
        <v>17167</v>
      </c>
      <c r="E1433" s="471" t="s">
        <v>20402</v>
      </c>
      <c r="F1433" s="482">
        <v>5631</v>
      </c>
      <c r="G1433" s="470" t="s">
        <v>1679</v>
      </c>
      <c r="H1433" s="472" t="s">
        <v>1535</v>
      </c>
      <c r="I1433" s="483">
        <v>7.1400000000000005e-002</v>
      </c>
      <c r="J1433" s="473">
        <f t="shared" si="1079"/>
        <v>220.5</v>
      </c>
      <c r="K1433" s="474">
        <f t="shared" si="1092"/>
        <v>15.7437</v>
      </c>
      <c r="L1433" s="473">
        <f t="shared" si="1084"/>
        <v>218.37</v>
      </c>
      <c r="M1433" s="474">
        <f t="shared" si="1093"/>
        <v>15.591618000000002</v>
      </c>
      <c r="O1433" s="434">
        <f t="shared" si="1082"/>
        <v>220.5</v>
      </c>
      <c r="P1433" s="435">
        <f t="shared" si="1083"/>
        <v>218.37</v>
      </c>
      <c r="AE1433" s="217"/>
      <c r="AF1433" s="217">
        <v>1152</v>
      </c>
      <c r="AH1433">
        <f t="shared" si="1089"/>
        <v>1152</v>
      </c>
    </row>
    <row r="1434" ht="66" hidden="1" customHeight="1">
      <c r="A1434" s="460">
        <v>1153</v>
      </c>
      <c r="B1434" s="460">
        <v>1153</v>
      </c>
      <c r="C1434" s="460"/>
      <c r="D1434" s="460"/>
      <c r="E1434" s="461">
        <v>1</v>
      </c>
      <c r="F1434" s="462" t="s">
        <v>21311</v>
      </c>
      <c r="G1434" s="477" t="s">
        <v>21312</v>
      </c>
      <c r="H1434" s="478" t="s">
        <v>38</v>
      </c>
      <c r="I1434" s="479"/>
      <c r="J1434" s="480"/>
      <c r="K1434" s="466">
        <f>SUM(K1435:K1438)</f>
        <v>68.071269999999998</v>
      </c>
      <c r="L1434" s="480"/>
      <c r="M1434" s="466">
        <f>SUM(M1435:M1438)</f>
        <v>66.433247499999993</v>
      </c>
      <c r="N1434" s="467" t="s">
        <v>21044</v>
      </c>
      <c r="O1434" s="434" t="str">
        <f t="shared" si="1082"/>
        <v xml:space="preserve">SEM VALOR</v>
      </c>
      <c r="P1434" s="435" t="str">
        <f t="shared" si="1083"/>
        <v xml:space="preserve">SEM VALOR</v>
      </c>
      <c r="AE1434" s="460">
        <v>1153</v>
      </c>
      <c r="AF1434" s="460"/>
      <c r="AH1434">
        <f t="shared" si="1089"/>
        <v>1153</v>
      </c>
    </row>
    <row r="1435" ht="45" hidden="1">
      <c r="A1435" s="217"/>
      <c r="B1435" s="217">
        <v>1153</v>
      </c>
      <c r="C1435" s="217"/>
      <c r="D1435" s="217" t="s">
        <v>20398</v>
      </c>
      <c r="E1435" s="471" t="s">
        <v>20399</v>
      </c>
      <c r="F1435" s="482">
        <v>1259</v>
      </c>
      <c r="G1435" s="572" t="s">
        <v>20796</v>
      </c>
      <c r="H1435" s="542" t="s">
        <v>15528</v>
      </c>
      <c r="I1435" s="558">
        <f>0.6*0.1*1</f>
        <v>5.9999999999999998e-002</v>
      </c>
      <c r="J1435" s="473">
        <f t="shared" si="1079"/>
        <v>45.520000000000003</v>
      </c>
      <c r="K1435" s="474">
        <f t="shared" ref="K1435:K1438" si="1094">I1435*J1435</f>
        <v>2.7312000000000003</v>
      </c>
      <c r="L1435" s="473">
        <f t="shared" si="1084"/>
        <v>43.100000000000001</v>
      </c>
      <c r="M1435" s="474">
        <f t="shared" ref="M1435:M1438" si="1095">L1435*I1435</f>
        <v>2.5859999999999999</v>
      </c>
      <c r="O1435" s="434">
        <f t="shared" si="1082"/>
        <v>45.520000000000003</v>
      </c>
      <c r="P1435" s="435">
        <f t="shared" si="1083"/>
        <v>43.100000000000001</v>
      </c>
      <c r="AE1435" s="217"/>
      <c r="AF1435" s="217">
        <v>1153</v>
      </c>
      <c r="AH1435">
        <f t="shared" si="1089"/>
        <v>1153</v>
      </c>
    </row>
    <row r="1436" ht="75" hidden="1">
      <c r="A1436" s="217"/>
      <c r="B1436" s="217">
        <v>1153</v>
      </c>
      <c r="C1436" s="217"/>
      <c r="D1436" s="217" t="s">
        <v>20398</v>
      </c>
      <c r="E1436" s="471" t="s">
        <v>20402</v>
      </c>
      <c r="F1436" s="482">
        <v>1267</v>
      </c>
      <c r="G1436" s="572" t="s">
        <v>20662</v>
      </c>
      <c r="H1436" s="542" t="s">
        <v>38</v>
      </c>
      <c r="I1436" s="558">
        <v>1</v>
      </c>
      <c r="J1436" s="473">
        <f t="shared" si="1079"/>
        <v>3.2499999999999996</v>
      </c>
      <c r="K1436" s="474">
        <f t="shared" si="1094"/>
        <v>3.2499999999999996</v>
      </c>
      <c r="L1436" s="473">
        <f t="shared" si="1084"/>
        <v>3.1657000000000002</v>
      </c>
      <c r="M1436" s="474">
        <f t="shared" si="1095"/>
        <v>3.1657000000000002</v>
      </c>
      <c r="O1436" s="434">
        <f t="shared" si="1082"/>
        <v>3.2499999999999996</v>
      </c>
      <c r="P1436" s="435">
        <f t="shared" si="1083"/>
        <v>3.1657000000000002</v>
      </c>
      <c r="AE1436" s="217"/>
      <c r="AF1436" s="217">
        <v>1153</v>
      </c>
      <c r="AH1436">
        <f t="shared" si="1089"/>
        <v>1153</v>
      </c>
    </row>
    <row r="1437" ht="45" hidden="1">
      <c r="A1437" s="217"/>
      <c r="B1437" s="217">
        <v>1153</v>
      </c>
      <c r="C1437" s="217"/>
      <c r="D1437" s="217" t="s">
        <v>20398</v>
      </c>
      <c r="E1437" s="471" t="s">
        <v>20405</v>
      </c>
      <c r="F1437" s="482">
        <v>1000</v>
      </c>
      <c r="G1437" s="572" t="s">
        <v>20651</v>
      </c>
      <c r="H1437" s="542" t="s">
        <v>15528</v>
      </c>
      <c r="I1437" s="558">
        <f>I1438</f>
        <v>0.105</v>
      </c>
      <c r="J1437" s="473">
        <f t="shared" si="1079"/>
        <v>149.904</v>
      </c>
      <c r="K1437" s="474">
        <f t="shared" si="1094"/>
        <v>15.73992</v>
      </c>
      <c r="L1437" s="473">
        <f t="shared" si="1084"/>
        <v>141.76949999999999</v>
      </c>
      <c r="M1437" s="474">
        <f t="shared" si="1095"/>
        <v>14.885797499999999</v>
      </c>
      <c r="O1437" s="434">
        <f t="shared" si="1082"/>
        <v>149.904</v>
      </c>
      <c r="P1437" s="435">
        <f t="shared" si="1083"/>
        <v>141.76949999999999</v>
      </c>
      <c r="AE1437" s="217"/>
      <c r="AF1437" s="217">
        <v>1153</v>
      </c>
      <c r="AH1437">
        <f t="shared" si="1089"/>
        <v>1153</v>
      </c>
    </row>
    <row r="1438" ht="60" hidden="1">
      <c r="A1438" s="217"/>
      <c r="B1438" s="217">
        <v>1153</v>
      </c>
      <c r="C1438" s="217"/>
      <c r="D1438" s="217" t="s">
        <v>17167</v>
      </c>
      <c r="E1438" s="471" t="s">
        <v>20409</v>
      </c>
      <c r="F1438" s="482">
        <v>94963</v>
      </c>
      <c r="G1438" s="572" t="s">
        <v>20911</v>
      </c>
      <c r="H1438" s="542" t="s">
        <v>15528</v>
      </c>
      <c r="I1438" s="558">
        <v>0.105</v>
      </c>
      <c r="J1438" s="473">
        <f t="shared" ref="J1438:J1501" si="1096">O1438*$J$3</f>
        <v>441.43000000000001</v>
      </c>
      <c r="K1438" s="474">
        <f t="shared" si="1094"/>
        <v>46.350149999999999</v>
      </c>
      <c r="L1438" s="473">
        <f t="shared" si="1084"/>
        <v>436.14999999999998</v>
      </c>
      <c r="M1438" s="474">
        <f t="shared" si="1095"/>
        <v>45.795749999999998</v>
      </c>
      <c r="O1438" s="434">
        <f t="shared" si="1082"/>
        <v>441.43000000000001</v>
      </c>
      <c r="P1438" s="435">
        <f t="shared" si="1083"/>
        <v>436.14999999999998</v>
      </c>
      <c r="AE1438" s="217"/>
      <c r="AF1438" s="217">
        <v>1153</v>
      </c>
      <c r="AH1438">
        <f t="shared" si="1089"/>
        <v>1153</v>
      </c>
    </row>
    <row r="1439" ht="78.75" hidden="1">
      <c r="A1439" s="460">
        <v>1154</v>
      </c>
      <c r="B1439" s="460">
        <v>1154</v>
      </c>
      <c r="C1439" s="460"/>
      <c r="D1439" s="460"/>
      <c r="E1439" s="461">
        <v>1</v>
      </c>
      <c r="F1439" s="462" t="s">
        <v>21313</v>
      </c>
      <c r="G1439" s="477" t="s">
        <v>21314</v>
      </c>
      <c r="H1439" s="478" t="s">
        <v>38</v>
      </c>
      <c r="I1439" s="479"/>
      <c r="J1439" s="480"/>
      <c r="K1439" s="466">
        <f>SUM(K1440:K1444)</f>
        <v>52.803371999999996</v>
      </c>
      <c r="L1439" s="480"/>
      <c r="M1439" s="466">
        <f>SUM(M1440:M1444)</f>
        <v>51.493020999999999</v>
      </c>
      <c r="N1439" s="467" t="s">
        <v>21044</v>
      </c>
      <c r="O1439" s="434" t="str">
        <f t="shared" si="1082"/>
        <v xml:space="preserve">SEM VALOR</v>
      </c>
      <c r="P1439" s="435" t="str">
        <f t="shared" si="1083"/>
        <v xml:space="preserve">SEM VALOR</v>
      </c>
      <c r="AE1439" s="460">
        <v>1154</v>
      </c>
      <c r="AF1439" s="460"/>
      <c r="AH1439">
        <f t="shared" si="1089"/>
        <v>1154</v>
      </c>
    </row>
    <row r="1440" ht="45" hidden="1">
      <c r="A1440" s="217"/>
      <c r="B1440" s="217">
        <v>1154</v>
      </c>
      <c r="C1440" s="217"/>
      <c r="D1440" s="217" t="s">
        <v>20398</v>
      </c>
      <c r="E1440" s="471" t="s">
        <v>20399</v>
      </c>
      <c r="F1440" s="482">
        <v>1259</v>
      </c>
      <c r="G1440" s="572" t="s">
        <v>20796</v>
      </c>
      <c r="H1440" s="499" t="s">
        <v>15528</v>
      </c>
      <c r="I1440" s="558">
        <v>6.6000000000000003e-002</v>
      </c>
      <c r="J1440" s="473">
        <f t="shared" si="1096"/>
        <v>45.520000000000003</v>
      </c>
      <c r="K1440" s="474">
        <f t="shared" ref="K1440:K1444" si="1097">I1440*J1440</f>
        <v>3.0043200000000003</v>
      </c>
      <c r="L1440" s="473">
        <f t="shared" si="1084"/>
        <v>43.100000000000001</v>
      </c>
      <c r="M1440" s="474">
        <f t="shared" ref="M1440:M1444" si="1098">L1440*I1440</f>
        <v>2.8446000000000002</v>
      </c>
      <c r="O1440" s="434">
        <f t="shared" si="1082"/>
        <v>45.520000000000003</v>
      </c>
      <c r="P1440" s="435">
        <f t="shared" si="1083"/>
        <v>43.100000000000001</v>
      </c>
      <c r="AE1440" s="217"/>
      <c r="AF1440" s="217">
        <v>1154</v>
      </c>
      <c r="AH1440">
        <f t="shared" si="1089"/>
        <v>1154</v>
      </c>
    </row>
    <row r="1441" ht="75" hidden="1">
      <c r="A1441" s="217"/>
      <c r="B1441" s="217">
        <v>1154</v>
      </c>
      <c r="C1441" s="217"/>
      <c r="D1441" s="217" t="s">
        <v>20398</v>
      </c>
      <c r="E1441" s="471" t="s">
        <v>20402</v>
      </c>
      <c r="F1441" s="482">
        <v>1267</v>
      </c>
      <c r="G1441" s="572" t="s">
        <v>20662</v>
      </c>
      <c r="H1441" s="499" t="s">
        <v>38</v>
      </c>
      <c r="I1441" s="558">
        <v>1</v>
      </c>
      <c r="J1441" s="473">
        <f t="shared" si="1096"/>
        <v>3.2499999999999996</v>
      </c>
      <c r="K1441" s="474">
        <f t="shared" si="1097"/>
        <v>3.2499999999999996</v>
      </c>
      <c r="L1441" s="473">
        <f t="shared" si="1084"/>
        <v>3.1657000000000002</v>
      </c>
      <c r="M1441" s="474">
        <f t="shared" si="1098"/>
        <v>3.1657000000000002</v>
      </c>
      <c r="O1441" s="434">
        <f t="shared" si="1082"/>
        <v>3.2499999999999996</v>
      </c>
      <c r="P1441" s="435">
        <f t="shared" si="1083"/>
        <v>3.1657000000000002</v>
      </c>
      <c r="AE1441" s="217"/>
      <c r="AF1441" s="217">
        <v>1154</v>
      </c>
      <c r="AH1441">
        <f t="shared" si="1089"/>
        <v>1154</v>
      </c>
    </row>
    <row r="1442" ht="45" hidden="1">
      <c r="A1442" s="217"/>
      <c r="B1442" s="217">
        <v>1154</v>
      </c>
      <c r="C1442" s="217"/>
      <c r="D1442" s="217" t="s">
        <v>17167</v>
      </c>
      <c r="E1442" s="471" t="s">
        <v>20405</v>
      </c>
      <c r="F1442" s="482">
        <v>102498</v>
      </c>
      <c r="G1442" s="470" t="s">
        <v>8369</v>
      </c>
      <c r="H1442" s="499" t="s">
        <v>15515</v>
      </c>
      <c r="I1442" s="559">
        <v>0.25</v>
      </c>
      <c r="J1442" s="473">
        <f t="shared" si="1096"/>
        <v>1.7</v>
      </c>
      <c r="K1442" s="474">
        <f t="shared" si="1097"/>
        <v>0.42499999999999999</v>
      </c>
      <c r="L1442" s="473">
        <f t="shared" si="1084"/>
        <v>1.6200000000000001</v>
      </c>
      <c r="M1442" s="474">
        <f t="shared" si="1098"/>
        <v>0.40500000000000003</v>
      </c>
      <c r="O1442" s="434">
        <f t="shared" si="1082"/>
        <v>1.7</v>
      </c>
      <c r="P1442" s="435">
        <f t="shared" si="1083"/>
        <v>1.6200000000000001</v>
      </c>
      <c r="AE1442" s="217"/>
      <c r="AF1442" s="217">
        <v>1154</v>
      </c>
      <c r="AH1442">
        <f t="shared" si="1089"/>
        <v>1154</v>
      </c>
    </row>
    <row r="1443" ht="45" hidden="1">
      <c r="A1443" s="217"/>
      <c r="B1443" s="217">
        <v>1154</v>
      </c>
      <c r="C1443" s="217"/>
      <c r="D1443" s="217" t="s">
        <v>20398</v>
      </c>
      <c r="E1443" s="471" t="s">
        <v>20409</v>
      </c>
      <c r="F1443" s="482">
        <v>1000</v>
      </c>
      <c r="G1443" s="470" t="s">
        <v>20651</v>
      </c>
      <c r="H1443" s="499" t="s">
        <v>15528</v>
      </c>
      <c r="I1443" s="559">
        <v>7.8e-002</v>
      </c>
      <c r="J1443" s="473">
        <f t="shared" si="1096"/>
        <v>149.904</v>
      </c>
      <c r="K1443" s="474">
        <f t="shared" si="1097"/>
        <v>11.692511999999999</v>
      </c>
      <c r="L1443" s="473">
        <f t="shared" si="1084"/>
        <v>141.76949999999999</v>
      </c>
      <c r="M1443" s="474">
        <f t="shared" si="1098"/>
        <v>11.058021</v>
      </c>
      <c r="O1443" s="434">
        <f t="shared" si="1082"/>
        <v>149.904</v>
      </c>
      <c r="P1443" s="435">
        <f t="shared" si="1083"/>
        <v>141.76949999999999</v>
      </c>
      <c r="AE1443" s="217"/>
      <c r="AF1443" s="217">
        <v>1154</v>
      </c>
      <c r="AH1443">
        <f t="shared" si="1089"/>
        <v>1154</v>
      </c>
    </row>
    <row r="1444" ht="60" hidden="1">
      <c r="A1444" s="217"/>
      <c r="B1444" s="217">
        <v>1154</v>
      </c>
      <c r="C1444" s="217"/>
      <c r="D1444" s="217" t="s">
        <v>17167</v>
      </c>
      <c r="E1444" s="471" t="s">
        <v>20663</v>
      </c>
      <c r="F1444" s="482">
        <v>94963</v>
      </c>
      <c r="G1444" s="470" t="s">
        <v>20911</v>
      </c>
      <c r="H1444" s="482" t="s">
        <v>15528</v>
      </c>
      <c r="I1444" s="559">
        <v>7.8e-002</v>
      </c>
      <c r="J1444" s="473">
        <f t="shared" si="1096"/>
        <v>441.43000000000001</v>
      </c>
      <c r="K1444" s="474">
        <f t="shared" si="1097"/>
        <v>34.431539999999998</v>
      </c>
      <c r="L1444" s="473">
        <f t="shared" si="1084"/>
        <v>436.14999999999998</v>
      </c>
      <c r="M1444" s="474">
        <f t="shared" si="1098"/>
        <v>34.0197</v>
      </c>
      <c r="O1444" s="434">
        <f t="shared" si="1082"/>
        <v>441.43000000000001</v>
      </c>
      <c r="P1444" s="435">
        <f t="shared" si="1083"/>
        <v>436.14999999999998</v>
      </c>
      <c r="AE1444" s="217"/>
      <c r="AF1444" s="217">
        <v>1154</v>
      </c>
      <c r="AH1444">
        <f t="shared" si="1089"/>
        <v>1154</v>
      </c>
    </row>
    <row r="1445" ht="78.75" hidden="1">
      <c r="A1445" s="460">
        <v>1155</v>
      </c>
      <c r="B1445" s="460">
        <v>1155</v>
      </c>
      <c r="C1445" s="460"/>
      <c r="D1445" s="460"/>
      <c r="E1445" s="461">
        <v>1</v>
      </c>
      <c r="F1445" s="462" t="s">
        <v>21315</v>
      </c>
      <c r="G1445" s="477" t="s">
        <v>21314</v>
      </c>
      <c r="H1445" s="478" t="s">
        <v>38</v>
      </c>
      <c r="I1445" s="479"/>
      <c r="J1445" s="480"/>
      <c r="K1445" s="466">
        <f>SUM(K1446:K1449)</f>
        <v>23.770226999999998</v>
      </c>
      <c r="L1445" s="480"/>
      <c r="M1445" s="466">
        <f>SUM(M1446:M1449)</f>
        <v>23.180743750000001</v>
      </c>
      <c r="N1445" s="467" t="s">
        <v>21316</v>
      </c>
      <c r="O1445" s="434" t="str">
        <f t="shared" si="1082"/>
        <v xml:space="preserve">SEM VALOR</v>
      </c>
      <c r="P1445" s="435" t="str">
        <f t="shared" si="1083"/>
        <v xml:space="preserve">SEM VALOR</v>
      </c>
      <c r="AE1445" s="460">
        <v>1155</v>
      </c>
      <c r="AF1445" s="460"/>
      <c r="AH1445">
        <f t="shared" si="1089"/>
        <v>1155</v>
      </c>
    </row>
    <row r="1446" ht="45" hidden="1">
      <c r="A1446" s="217"/>
      <c r="B1446" s="217">
        <v>1155</v>
      </c>
      <c r="C1446" s="217"/>
      <c r="D1446" s="217" t="s">
        <v>20398</v>
      </c>
      <c r="E1446" s="471" t="s">
        <v>20399</v>
      </c>
      <c r="F1446" s="482">
        <v>1259</v>
      </c>
      <c r="G1446" s="572" t="s">
        <v>20796</v>
      </c>
      <c r="H1446" s="499" t="s">
        <v>15528</v>
      </c>
      <c r="I1446" s="558">
        <v>2.86e-002</v>
      </c>
      <c r="J1446" s="473">
        <f t="shared" si="1096"/>
        <v>45.520000000000003</v>
      </c>
      <c r="K1446" s="474">
        <f t="shared" ref="K1446:K1449" si="1099">I1446*J1446</f>
        <v>1.3018720000000001</v>
      </c>
      <c r="L1446" s="473">
        <f t="shared" si="1084"/>
        <v>43.100000000000001</v>
      </c>
      <c r="M1446" s="474">
        <f t="shared" ref="M1446:M1449" si="1100">L1446*I1446</f>
        <v>1.2326600000000001</v>
      </c>
      <c r="O1446" s="434">
        <f t="shared" si="1082"/>
        <v>45.520000000000003</v>
      </c>
      <c r="P1446" s="435">
        <f t="shared" si="1083"/>
        <v>43.100000000000001</v>
      </c>
      <c r="AE1446" s="217"/>
      <c r="AF1446" s="217">
        <v>1155</v>
      </c>
      <c r="AH1446">
        <f t="shared" si="1089"/>
        <v>1155</v>
      </c>
    </row>
    <row r="1447" ht="75" hidden="1">
      <c r="A1447" s="217"/>
      <c r="B1447" s="217">
        <v>1155</v>
      </c>
      <c r="C1447" s="217"/>
      <c r="D1447" s="217" t="s">
        <v>20398</v>
      </c>
      <c r="E1447" s="471" t="s">
        <v>20402</v>
      </c>
      <c r="F1447" s="482">
        <v>1267</v>
      </c>
      <c r="G1447" s="572" t="s">
        <v>20662</v>
      </c>
      <c r="H1447" s="499" t="s">
        <v>38</v>
      </c>
      <c r="I1447" s="558">
        <v>1</v>
      </c>
      <c r="J1447" s="473">
        <f t="shared" si="1096"/>
        <v>3.2499999999999996</v>
      </c>
      <c r="K1447" s="474">
        <f t="shared" si="1099"/>
        <v>3.2499999999999996</v>
      </c>
      <c r="L1447" s="473">
        <f t="shared" si="1084"/>
        <v>3.1657000000000002</v>
      </c>
      <c r="M1447" s="474">
        <f t="shared" si="1100"/>
        <v>3.1657000000000002</v>
      </c>
      <c r="O1447" s="434">
        <f t="shared" si="1082"/>
        <v>3.2499999999999996</v>
      </c>
      <c r="P1447" s="435">
        <f t="shared" si="1083"/>
        <v>3.1657000000000002</v>
      </c>
      <c r="AE1447" s="217"/>
      <c r="AF1447" s="217">
        <v>1155</v>
      </c>
      <c r="AH1447">
        <f t="shared" si="1089"/>
        <v>1155</v>
      </c>
    </row>
    <row r="1448" ht="45" hidden="1">
      <c r="A1448" s="217"/>
      <c r="B1448" s="217">
        <v>1155</v>
      </c>
      <c r="C1448" s="217"/>
      <c r="D1448" s="217" t="s">
        <v>20398</v>
      </c>
      <c r="E1448" s="471" t="s">
        <v>20409</v>
      </c>
      <c r="F1448" s="482">
        <v>1000</v>
      </c>
      <c r="G1448" s="470" t="s">
        <v>20651</v>
      </c>
      <c r="H1448" s="499" t="s">
        <v>15528</v>
      </c>
      <c r="I1448" s="558">
        <v>3.2500000000000001e-002</v>
      </c>
      <c r="J1448" s="473">
        <f t="shared" si="1096"/>
        <v>149.904</v>
      </c>
      <c r="K1448" s="474">
        <f t="shared" si="1099"/>
        <v>4.87188</v>
      </c>
      <c r="L1448" s="473">
        <f t="shared" si="1084"/>
        <v>141.76949999999999</v>
      </c>
      <c r="M1448" s="474">
        <f t="shared" si="1100"/>
        <v>4.60750875</v>
      </c>
      <c r="O1448" s="434">
        <f t="shared" si="1082"/>
        <v>149.904</v>
      </c>
      <c r="P1448" s="435">
        <f t="shared" si="1083"/>
        <v>141.76949999999999</v>
      </c>
      <c r="AE1448" s="217"/>
      <c r="AF1448" s="217">
        <v>1155</v>
      </c>
      <c r="AH1448">
        <f t="shared" si="1089"/>
        <v>1155</v>
      </c>
    </row>
    <row r="1449" ht="60" hidden="1">
      <c r="A1449" s="217"/>
      <c r="B1449" s="217">
        <v>1155</v>
      </c>
      <c r="C1449" s="217"/>
      <c r="D1449" s="217" t="s">
        <v>17167</v>
      </c>
      <c r="E1449" s="471" t="s">
        <v>20663</v>
      </c>
      <c r="F1449" s="482">
        <v>94963</v>
      </c>
      <c r="G1449" s="470" t="s">
        <v>20911</v>
      </c>
      <c r="H1449" s="482" t="s">
        <v>15528</v>
      </c>
      <c r="I1449" s="559">
        <v>3.2500000000000001e-002</v>
      </c>
      <c r="J1449" s="473">
        <f t="shared" si="1096"/>
        <v>441.43000000000001</v>
      </c>
      <c r="K1449" s="474">
        <f t="shared" si="1099"/>
        <v>14.346475</v>
      </c>
      <c r="L1449" s="473">
        <f t="shared" si="1084"/>
        <v>436.14999999999998</v>
      </c>
      <c r="M1449" s="474">
        <f t="shared" si="1100"/>
        <v>14.174875</v>
      </c>
      <c r="O1449" s="434">
        <f t="shared" si="1082"/>
        <v>441.43000000000001</v>
      </c>
      <c r="P1449" s="435">
        <f t="shared" si="1083"/>
        <v>436.14999999999998</v>
      </c>
      <c r="AE1449" s="217"/>
      <c r="AF1449" s="217">
        <v>1155</v>
      </c>
      <c r="AH1449">
        <f t="shared" si="1089"/>
        <v>1155</v>
      </c>
    </row>
    <row r="1450" ht="63" hidden="1">
      <c r="A1450" s="460">
        <v>1156</v>
      </c>
      <c r="B1450" s="460">
        <v>1156</v>
      </c>
      <c r="C1450" s="460"/>
      <c r="D1450" s="460"/>
      <c r="E1450" s="461">
        <v>1</v>
      </c>
      <c r="F1450" s="462" t="s">
        <v>21317</v>
      </c>
      <c r="G1450" s="477" t="s">
        <v>21318</v>
      </c>
      <c r="H1450" s="478" t="s">
        <v>31</v>
      </c>
      <c r="I1450" s="479"/>
      <c r="J1450" s="480"/>
      <c r="K1450" s="466">
        <f>SUM(K1451:K1460)</f>
        <v>678.67020000000002</v>
      </c>
      <c r="L1450" s="480"/>
      <c r="M1450" s="466">
        <f>SUM(M1451:M1460)</f>
        <v>661.01468</v>
      </c>
      <c r="N1450" s="467" t="s">
        <v>21319</v>
      </c>
      <c r="O1450" s="434" t="str">
        <f t="shared" si="1082"/>
        <v xml:space="preserve">SEM VALOR</v>
      </c>
      <c r="P1450" s="435" t="str">
        <f t="shared" si="1083"/>
        <v xml:space="preserve">SEM VALOR</v>
      </c>
      <c r="AE1450" s="460">
        <v>1156</v>
      </c>
      <c r="AF1450" s="460"/>
      <c r="AH1450">
        <f t="shared" si="1089"/>
        <v>1156</v>
      </c>
    </row>
    <row r="1451" ht="60" hidden="1">
      <c r="A1451" s="217"/>
      <c r="B1451" s="217">
        <v>1156</v>
      </c>
      <c r="C1451" s="217"/>
      <c r="D1451" s="217" t="s">
        <v>17167</v>
      </c>
      <c r="E1451" s="471" t="s">
        <v>20399</v>
      </c>
      <c r="F1451" s="469">
        <v>101175</v>
      </c>
      <c r="G1451" s="573" t="s">
        <v>3761</v>
      </c>
      <c r="H1451" s="489" t="s">
        <v>38</v>
      </c>
      <c r="I1451" s="483">
        <v>2.5</v>
      </c>
      <c r="J1451" s="473">
        <f t="shared" si="1096"/>
        <v>118.56999999999999</v>
      </c>
      <c r="K1451" s="474">
        <f t="shared" ref="K1451:K1460" si="1101">I1451*J1451</f>
        <v>296.42499999999995</v>
      </c>
      <c r="L1451" s="473">
        <f t="shared" si="1084"/>
        <v>114.73999999999999</v>
      </c>
      <c r="M1451" s="474">
        <f t="shared" ref="M1451:M1460" si="1102">L1451*I1451</f>
        <v>286.84999999999997</v>
      </c>
      <c r="O1451" s="434">
        <f t="shared" si="1082"/>
        <v>118.56999999999999</v>
      </c>
      <c r="P1451" s="435">
        <f t="shared" si="1083"/>
        <v>114.73999999999999</v>
      </c>
      <c r="AE1451" s="217"/>
      <c r="AF1451" s="217">
        <v>1156</v>
      </c>
      <c r="AH1451">
        <f t="shared" si="1089"/>
        <v>1156</v>
      </c>
    </row>
    <row r="1452" ht="90" hidden="1">
      <c r="A1452" s="217"/>
      <c r="B1452" s="217">
        <v>1156</v>
      </c>
      <c r="C1452" s="217"/>
      <c r="D1452" s="217" t="s">
        <v>17167</v>
      </c>
      <c r="E1452" s="471" t="s">
        <v>20402</v>
      </c>
      <c r="F1452" s="469">
        <v>92419</v>
      </c>
      <c r="G1452" s="573" t="s">
        <v>4308</v>
      </c>
      <c r="H1452" s="489" t="s">
        <v>15515</v>
      </c>
      <c r="I1452" s="483">
        <v>1.26</v>
      </c>
      <c r="J1452" s="473">
        <f t="shared" si="1096"/>
        <v>96.239999999999995</v>
      </c>
      <c r="K1452" s="474">
        <f t="shared" si="1101"/>
        <v>121.2624</v>
      </c>
      <c r="L1452" s="473">
        <f t="shared" si="1084"/>
        <v>93.900000000000006</v>
      </c>
      <c r="M1452" s="474">
        <f t="shared" si="1102"/>
        <v>118.31400000000001</v>
      </c>
      <c r="O1452" s="434">
        <f t="shared" ref="O1452:O1515" si="1103">IFERROR(IF(D1452="SINAPI",VLOOKUP(F1452,SINCOMOD,4,FALSE),IF(D1452="INSINAPI",VLOOKUP(F1452,INSINOD,5,FALSE),IF(D1452="SICRO",VLOOKUP(F1452,SICRO,5,FALSE),IF(D1452="COTACAO",VLOOKUP(F1452,COTACAO,6,FALSE),IF(D1452="PRÓPRIO",VLOOKUP(F1452,COMPOD,11,FALSE),IF(D1452="AGESUL",VLOOKUP(F1452,AGESULOD,6,FALSE),IF(D1452="INSAGESUL",VLOOKUP(F1452,INSAGESUL,7,FALSE),"SEM VALOR"))))))),"SEM VALOR")</f>
        <v>96.239999999999995</v>
      </c>
      <c r="P1452" s="435">
        <f t="shared" ref="P1452:P1515" si="1104">IFERROR(IF(D1452="SINAPI",VLOOKUP(F1452,SINCOMOD,6,FALSE),IF(D1452="INSINAPI",VLOOKUP(F1452,INSINOD,6,FALSE),IF(D1452="SICRO",VLOOKUP(F1452,SICRO,5,FALSE),IF(D1452="COTACAO",VLOOKUP(F1452,COTACAO,6,FALSE),IF(D1452="PRÓPRIO",VLOOKUP(F1452,COMPOD,13,FALSE),IF(D1452="AGESUL",VLOOKUP(F1452,AGESULOD,11,FALSE),IF(D1452="INSAGESUL",VLOOKUP(F1452,INSAGESUL,8,FALSE),"SEM VALOR"))))))),"SEM VALOR")</f>
        <v>93.900000000000006</v>
      </c>
      <c r="AE1452" s="217"/>
      <c r="AF1452" s="217">
        <v>1156</v>
      </c>
      <c r="AH1452">
        <f t="shared" si="1089"/>
        <v>1156</v>
      </c>
    </row>
    <row r="1453" ht="60" hidden="1">
      <c r="A1453" s="217"/>
      <c r="B1453" s="217">
        <v>1156</v>
      </c>
      <c r="C1453" s="217"/>
      <c r="D1453" s="217" t="s">
        <v>17167</v>
      </c>
      <c r="E1453" s="471" t="s">
        <v>20405</v>
      </c>
      <c r="F1453" s="469">
        <v>103670</v>
      </c>
      <c r="G1453" s="573" t="s">
        <v>1387</v>
      </c>
      <c r="H1453" s="489" t="s">
        <v>15528</v>
      </c>
      <c r="I1453" s="483">
        <v>5.3999999999999999e-002</v>
      </c>
      <c r="J1453" s="473">
        <f t="shared" si="1096"/>
        <v>308.60000000000002</v>
      </c>
      <c r="K1453" s="474">
        <f t="shared" si="1101"/>
        <v>16.664400000000001</v>
      </c>
      <c r="L1453" s="473">
        <f t="shared" ref="L1453:L1516" si="1105">P1453*$L$3</f>
        <v>291.69999999999999</v>
      </c>
      <c r="M1453" s="474">
        <f t="shared" si="1102"/>
        <v>15.751799999999999</v>
      </c>
      <c r="O1453" s="434">
        <f t="shared" si="1103"/>
        <v>308.60000000000002</v>
      </c>
      <c r="P1453" s="435">
        <f t="shared" si="1104"/>
        <v>291.69999999999999</v>
      </c>
      <c r="AE1453" s="217"/>
      <c r="AF1453" s="217">
        <v>1156</v>
      </c>
      <c r="AH1453">
        <f t="shared" si="1089"/>
        <v>1156</v>
      </c>
    </row>
    <row r="1454" ht="60" hidden="1">
      <c r="A1454" s="217"/>
      <c r="B1454" s="217">
        <v>1156</v>
      </c>
      <c r="C1454" s="217"/>
      <c r="D1454" s="217" t="s">
        <v>17167</v>
      </c>
      <c r="E1454" s="471" t="s">
        <v>20409</v>
      </c>
      <c r="F1454" s="469">
        <v>94970</v>
      </c>
      <c r="G1454" s="573" t="s">
        <v>8712</v>
      </c>
      <c r="H1454" s="489" t="s">
        <v>15528</v>
      </c>
      <c r="I1454" s="483">
        <v>5.3999999999999999e-002</v>
      </c>
      <c r="J1454" s="473">
        <f t="shared" si="1096"/>
        <v>473.30000000000001</v>
      </c>
      <c r="K1454" s="474">
        <f t="shared" si="1101"/>
        <v>25.558199999999999</v>
      </c>
      <c r="L1454" s="473">
        <f t="shared" si="1105"/>
        <v>468.72000000000003</v>
      </c>
      <c r="M1454" s="474">
        <f t="shared" si="1102"/>
        <v>25.310880000000001</v>
      </c>
      <c r="O1454" s="434">
        <f t="shared" si="1103"/>
        <v>473.30000000000001</v>
      </c>
      <c r="P1454" s="435">
        <f t="shared" si="1104"/>
        <v>468.72000000000003</v>
      </c>
      <c r="AE1454" s="217"/>
      <c r="AF1454" s="217">
        <v>1156</v>
      </c>
      <c r="AH1454">
        <f t="shared" si="1089"/>
        <v>1156</v>
      </c>
    </row>
    <row r="1455" ht="75" hidden="1">
      <c r="A1455" s="217"/>
      <c r="B1455" s="217">
        <v>1156</v>
      </c>
      <c r="C1455" s="217"/>
      <c r="D1455" s="217" t="s">
        <v>17167</v>
      </c>
      <c r="E1455" s="471" t="s">
        <v>20663</v>
      </c>
      <c r="F1455" s="469">
        <v>92759</v>
      </c>
      <c r="G1455" s="573" t="s">
        <v>339</v>
      </c>
      <c r="H1455" s="489" t="s">
        <v>302</v>
      </c>
      <c r="I1455" s="483">
        <v>2.2400000000000002</v>
      </c>
      <c r="J1455" s="473">
        <f t="shared" si="1096"/>
        <v>13.880000000000001</v>
      </c>
      <c r="K1455" s="474">
        <f t="shared" si="1101"/>
        <v>31.091200000000004</v>
      </c>
      <c r="L1455" s="473">
        <f t="shared" si="1105"/>
        <v>13.58</v>
      </c>
      <c r="M1455" s="474">
        <f t="shared" si="1102"/>
        <v>30.419200000000004</v>
      </c>
      <c r="O1455" s="434">
        <f t="shared" si="1103"/>
        <v>13.880000000000001</v>
      </c>
      <c r="P1455" s="435">
        <f t="shared" si="1104"/>
        <v>13.58</v>
      </c>
      <c r="AE1455" s="217"/>
      <c r="AF1455" s="217">
        <v>1156</v>
      </c>
      <c r="AH1455">
        <f t="shared" si="1089"/>
        <v>1156</v>
      </c>
    </row>
    <row r="1456" ht="75" hidden="1">
      <c r="A1456" s="217"/>
      <c r="B1456" s="217">
        <v>1156</v>
      </c>
      <c r="C1456" s="217"/>
      <c r="D1456" s="217" t="s">
        <v>17167</v>
      </c>
      <c r="E1456" s="471" t="s">
        <v>20665</v>
      </c>
      <c r="F1456" s="469">
        <v>92762</v>
      </c>
      <c r="G1456" s="573" t="s">
        <v>331</v>
      </c>
      <c r="H1456" s="489" t="s">
        <v>302</v>
      </c>
      <c r="I1456" s="483">
        <v>10.539999999999999</v>
      </c>
      <c r="J1456" s="473">
        <f t="shared" si="1096"/>
        <v>10.720000000000001</v>
      </c>
      <c r="K1456" s="474">
        <f t="shared" si="1101"/>
        <v>112.9888</v>
      </c>
      <c r="L1456" s="473">
        <f t="shared" si="1105"/>
        <v>10.640000000000001</v>
      </c>
      <c r="M1456" s="474">
        <f t="shared" si="1102"/>
        <v>112.1456</v>
      </c>
      <c r="O1456" s="434">
        <f t="shared" si="1103"/>
        <v>10.720000000000001</v>
      </c>
      <c r="P1456" s="435">
        <f t="shared" si="1104"/>
        <v>10.640000000000001</v>
      </c>
      <c r="AE1456" s="217"/>
      <c r="AF1456" s="217">
        <v>1156</v>
      </c>
      <c r="AH1456">
        <f t="shared" si="1089"/>
        <v>1156</v>
      </c>
    </row>
    <row r="1457" ht="75" hidden="1">
      <c r="A1457" s="217"/>
      <c r="B1457" s="217">
        <v>1156</v>
      </c>
      <c r="C1457" s="217"/>
      <c r="D1457" s="217" t="s">
        <v>17167</v>
      </c>
      <c r="E1457" s="471" t="s">
        <v>20667</v>
      </c>
      <c r="F1457" s="469">
        <v>87878</v>
      </c>
      <c r="G1457" s="573" t="s">
        <v>20776</v>
      </c>
      <c r="H1457" s="489" t="s">
        <v>15515</v>
      </c>
      <c r="I1457" s="483">
        <v>1.26</v>
      </c>
      <c r="J1457" s="473">
        <f t="shared" si="1096"/>
        <v>5.0099999999999998</v>
      </c>
      <c r="K1457" s="474">
        <f t="shared" si="1101"/>
        <v>6.3125999999999998</v>
      </c>
      <c r="L1457" s="473">
        <f t="shared" si="1105"/>
        <v>4.7999999999999998</v>
      </c>
      <c r="M1457" s="474">
        <f t="shared" si="1102"/>
        <v>6.048</v>
      </c>
      <c r="O1457" s="434">
        <f t="shared" si="1103"/>
        <v>5.0099999999999998</v>
      </c>
      <c r="P1457" s="435">
        <f t="shared" si="1104"/>
        <v>4.7999999999999998</v>
      </c>
      <c r="AE1457" s="217"/>
      <c r="AF1457" s="217">
        <v>1156</v>
      </c>
      <c r="AH1457">
        <f t="shared" si="1089"/>
        <v>1156</v>
      </c>
    </row>
    <row r="1458" ht="105" hidden="1">
      <c r="A1458" s="217"/>
      <c r="B1458" s="217">
        <v>1156</v>
      </c>
      <c r="C1458" s="217"/>
      <c r="D1458" s="217" t="s">
        <v>17167</v>
      </c>
      <c r="E1458" s="471" t="s">
        <v>20671</v>
      </c>
      <c r="F1458" s="469">
        <v>87529</v>
      </c>
      <c r="G1458" s="573" t="s">
        <v>20931</v>
      </c>
      <c r="H1458" s="489" t="s">
        <v>15515</v>
      </c>
      <c r="I1458" s="483">
        <v>1.26</v>
      </c>
      <c r="J1458" s="473">
        <f t="shared" si="1096"/>
        <v>37.270000000000003</v>
      </c>
      <c r="K1458" s="474">
        <f t="shared" si="1101"/>
        <v>46.960200000000007</v>
      </c>
      <c r="L1458" s="473">
        <f t="shared" si="1105"/>
        <v>35.990000000000002</v>
      </c>
      <c r="M1458" s="474">
        <f t="shared" si="1102"/>
        <v>45.3474</v>
      </c>
      <c r="O1458" s="434">
        <f t="shared" si="1103"/>
        <v>37.270000000000003</v>
      </c>
      <c r="P1458" s="435">
        <f t="shared" si="1104"/>
        <v>35.990000000000002</v>
      </c>
      <c r="AE1458" s="217"/>
      <c r="AF1458" s="217">
        <v>1156</v>
      </c>
      <c r="AH1458">
        <f t="shared" si="1089"/>
        <v>1156</v>
      </c>
    </row>
    <row r="1459" ht="45" hidden="1">
      <c r="A1459" s="217"/>
      <c r="B1459" s="217">
        <v>1156</v>
      </c>
      <c r="C1459" s="217"/>
      <c r="D1459" s="217" t="s">
        <v>17167</v>
      </c>
      <c r="E1459" s="471" t="s">
        <v>20672</v>
      </c>
      <c r="F1459" s="469">
        <v>88489</v>
      </c>
      <c r="G1459" s="573" t="s">
        <v>21320</v>
      </c>
      <c r="H1459" s="489" t="s">
        <v>15515</v>
      </c>
      <c r="I1459" s="483">
        <v>1.26</v>
      </c>
      <c r="J1459" s="473">
        <f t="shared" si="1096"/>
        <v>13.23</v>
      </c>
      <c r="K1459" s="474">
        <f t="shared" si="1101"/>
        <v>16.669800000000002</v>
      </c>
      <c r="L1459" s="473">
        <f t="shared" si="1105"/>
        <v>12.91</v>
      </c>
      <c r="M1459" s="474">
        <f t="shared" si="1102"/>
        <v>16.2666</v>
      </c>
      <c r="O1459" s="434">
        <f t="shared" si="1103"/>
        <v>13.23</v>
      </c>
      <c r="P1459" s="435">
        <f t="shared" si="1104"/>
        <v>12.91</v>
      </c>
      <c r="AE1459" s="217"/>
      <c r="AF1459" s="217">
        <v>1156</v>
      </c>
      <c r="AH1459">
        <f t="shared" si="1089"/>
        <v>1156</v>
      </c>
    </row>
    <row r="1460" ht="45" hidden="1">
      <c r="A1460" s="217"/>
      <c r="B1460" s="217">
        <v>1156</v>
      </c>
      <c r="C1460" s="217"/>
      <c r="D1460" s="217" t="s">
        <v>17167</v>
      </c>
      <c r="E1460" s="471" t="s">
        <v>20673</v>
      </c>
      <c r="F1460" s="469">
        <v>88485</v>
      </c>
      <c r="G1460" s="573" t="s">
        <v>21321</v>
      </c>
      <c r="H1460" s="489" t="s">
        <v>15515</v>
      </c>
      <c r="I1460" s="483">
        <v>1.26</v>
      </c>
      <c r="J1460" s="473">
        <f t="shared" si="1096"/>
        <v>3.7599999999999998</v>
      </c>
      <c r="K1460" s="474">
        <f t="shared" si="1101"/>
        <v>4.7375999999999996</v>
      </c>
      <c r="L1460" s="473">
        <f t="shared" si="1105"/>
        <v>3.6200000000000001</v>
      </c>
      <c r="M1460" s="474">
        <f t="shared" si="1102"/>
        <v>4.5612000000000004</v>
      </c>
      <c r="O1460" s="434">
        <f t="shared" si="1103"/>
        <v>3.7599999999999998</v>
      </c>
      <c r="P1460" s="435">
        <f t="shared" si="1104"/>
        <v>3.6200000000000001</v>
      </c>
      <c r="AE1460" s="217"/>
      <c r="AF1460" s="217">
        <v>1156</v>
      </c>
      <c r="AH1460">
        <f t="shared" si="1089"/>
        <v>1156</v>
      </c>
    </row>
    <row r="1461" ht="78.75" hidden="1">
      <c r="A1461" s="460">
        <v>1157</v>
      </c>
      <c r="B1461" s="460">
        <v>1157</v>
      </c>
      <c r="C1461" s="460"/>
      <c r="D1461" s="460"/>
      <c r="E1461" s="461">
        <v>1</v>
      </c>
      <c r="F1461" s="462" t="s">
        <v>21322</v>
      </c>
      <c r="G1461" s="477" t="s">
        <v>21323</v>
      </c>
      <c r="H1461" s="478" t="s">
        <v>15528</v>
      </c>
      <c r="I1461" s="479"/>
      <c r="J1461" s="480"/>
      <c r="K1461" s="466">
        <f>SUM(K1462:K1468)</f>
        <v>144.91511844999999</v>
      </c>
      <c r="L1461" s="480"/>
      <c r="M1461" s="466">
        <f>SUM(M1462:M1468)</f>
        <v>144.64992049000003</v>
      </c>
      <c r="N1461" s="467" t="s">
        <v>21324</v>
      </c>
      <c r="O1461" s="434" t="str">
        <f t="shared" si="1103"/>
        <v xml:space="preserve">SEM VALOR</v>
      </c>
      <c r="P1461" s="435" t="str">
        <f t="shared" si="1104"/>
        <v xml:space="preserve">SEM VALOR</v>
      </c>
      <c r="AE1461" s="460">
        <v>1157</v>
      </c>
      <c r="AF1461" s="460"/>
      <c r="AH1461">
        <f t="shared" si="1089"/>
        <v>1157</v>
      </c>
    </row>
    <row r="1462" ht="45" hidden="1">
      <c r="A1462" s="217"/>
      <c r="B1462" s="217">
        <v>1157</v>
      </c>
      <c r="C1462" s="217"/>
      <c r="D1462" s="217" t="s">
        <v>20408</v>
      </c>
      <c r="E1462" s="471" t="s">
        <v>20399</v>
      </c>
      <c r="F1462" s="469">
        <v>4730</v>
      </c>
      <c r="G1462" s="573" t="s">
        <v>21325</v>
      </c>
      <c r="H1462" s="489" t="s">
        <v>15528</v>
      </c>
      <c r="I1462" s="483">
        <v>1.3</v>
      </c>
      <c r="J1462" s="473">
        <f t="shared" si="1096"/>
        <v>94.450000000000003</v>
      </c>
      <c r="K1462" s="474">
        <f t="shared" ref="K1462:K1468" si="1106">I1462*J1462</f>
        <v>122.78500000000001</v>
      </c>
      <c r="L1462" s="473">
        <f t="shared" si="1105"/>
        <v>94.450000000000003</v>
      </c>
      <c r="M1462" s="474">
        <f t="shared" ref="M1462:M1468" si="1107">L1462*I1462</f>
        <v>122.78500000000001</v>
      </c>
      <c r="O1462" s="434">
        <f t="shared" si="1103"/>
        <v>94.450000000000003</v>
      </c>
      <c r="P1462" s="435">
        <f t="shared" si="1104"/>
        <v>94.450000000000003</v>
      </c>
      <c r="AE1462" s="217"/>
      <c r="AF1462" s="217">
        <v>1157</v>
      </c>
      <c r="AH1462">
        <f t="shared" si="1089"/>
        <v>1157</v>
      </c>
    </row>
    <row r="1463" ht="45" hidden="1">
      <c r="A1463" s="217"/>
      <c r="B1463" s="217">
        <v>1157</v>
      </c>
      <c r="C1463" s="217"/>
      <c r="D1463" s="217" t="s">
        <v>20408</v>
      </c>
      <c r="E1463" s="471" t="s">
        <v>20402</v>
      </c>
      <c r="F1463" s="469">
        <v>4718</v>
      </c>
      <c r="G1463" s="573" t="s">
        <v>21326</v>
      </c>
      <c r="H1463" s="489" t="s">
        <v>15528</v>
      </c>
      <c r="I1463" s="483">
        <v>0.10000000000000001</v>
      </c>
      <c r="J1463" s="473">
        <f t="shared" si="1096"/>
        <v>101.02</v>
      </c>
      <c r="K1463" s="474">
        <f t="shared" si="1106"/>
        <v>10.102</v>
      </c>
      <c r="L1463" s="473">
        <f t="shared" si="1105"/>
        <v>101.02</v>
      </c>
      <c r="M1463" s="474">
        <f t="shared" si="1107"/>
        <v>10.102</v>
      </c>
      <c r="O1463" s="434">
        <f t="shared" si="1103"/>
        <v>101.02</v>
      </c>
      <c r="P1463" s="435">
        <f t="shared" si="1104"/>
        <v>101.02</v>
      </c>
      <c r="AE1463" s="217"/>
      <c r="AF1463" s="217">
        <v>1157</v>
      </c>
      <c r="AH1463">
        <f t="shared" si="1089"/>
        <v>1157</v>
      </c>
    </row>
    <row r="1464" ht="60" hidden="1">
      <c r="A1464" s="217"/>
      <c r="B1464" s="217">
        <v>1157</v>
      </c>
      <c r="C1464" s="217"/>
      <c r="D1464" s="217" t="s">
        <v>17167</v>
      </c>
      <c r="E1464" s="471" t="s">
        <v>20405</v>
      </c>
      <c r="F1464" s="469">
        <v>5631</v>
      </c>
      <c r="G1464" s="573" t="s">
        <v>1679</v>
      </c>
      <c r="H1464" s="489" t="s">
        <v>1535</v>
      </c>
      <c r="I1464" s="483">
        <v>1.3899999999999999e-002</v>
      </c>
      <c r="J1464" s="473">
        <f t="shared" si="1096"/>
        <v>220.5</v>
      </c>
      <c r="K1464" s="474">
        <f t="shared" si="1106"/>
        <v>3.0649499999999996</v>
      </c>
      <c r="L1464" s="473">
        <f t="shared" si="1105"/>
        <v>218.37</v>
      </c>
      <c r="M1464" s="474">
        <f t="shared" si="1107"/>
        <v>3.0353429999999997</v>
      </c>
      <c r="O1464" s="434">
        <f t="shared" si="1103"/>
        <v>220.5</v>
      </c>
      <c r="P1464" s="435">
        <f t="shared" si="1104"/>
        <v>218.37</v>
      </c>
      <c r="AE1464" s="217"/>
      <c r="AF1464" s="217">
        <v>1157</v>
      </c>
      <c r="AH1464">
        <f t="shared" si="1089"/>
        <v>1157</v>
      </c>
    </row>
    <row r="1465" ht="60" hidden="1">
      <c r="A1465" s="217"/>
      <c r="B1465" s="217">
        <v>1157</v>
      </c>
      <c r="C1465" s="217"/>
      <c r="D1465" s="217" t="s">
        <v>17167</v>
      </c>
      <c r="E1465" s="471" t="s">
        <v>20409</v>
      </c>
      <c r="F1465" s="469">
        <v>5632</v>
      </c>
      <c r="G1465" s="573" t="s">
        <v>1678</v>
      </c>
      <c r="H1465" s="489" t="s">
        <v>1535</v>
      </c>
      <c r="I1465" s="483">
        <v>1.5098e-002</v>
      </c>
      <c r="J1465" s="473">
        <f t="shared" si="1096"/>
        <v>91.030000000000001</v>
      </c>
      <c r="K1465" s="474">
        <f t="shared" si="1106"/>
        <v>1.3743709400000002</v>
      </c>
      <c r="L1465" s="473">
        <f t="shared" si="1105"/>
        <v>88.900000000000006</v>
      </c>
      <c r="M1465" s="474">
        <f t="shared" si="1107"/>
        <v>1.3422122000000001</v>
      </c>
      <c r="O1465" s="434">
        <f t="shared" si="1103"/>
        <v>91.030000000000001</v>
      </c>
      <c r="P1465" s="435">
        <f t="shared" si="1104"/>
        <v>88.900000000000006</v>
      </c>
      <c r="AE1465" s="217"/>
      <c r="AF1465" s="217">
        <v>1157</v>
      </c>
      <c r="AH1465">
        <f t="shared" si="1089"/>
        <v>1157</v>
      </c>
    </row>
    <row r="1466" ht="75" hidden="1">
      <c r="A1466" s="217"/>
      <c r="B1466" s="217">
        <v>1157</v>
      </c>
      <c r="C1466" s="217"/>
      <c r="D1466" s="217" t="s">
        <v>17167</v>
      </c>
      <c r="E1466" s="471" t="s">
        <v>20663</v>
      </c>
      <c r="F1466" s="469">
        <v>5932</v>
      </c>
      <c r="G1466" s="573" t="s">
        <v>1787</v>
      </c>
      <c r="H1466" s="489" t="s">
        <v>1535</v>
      </c>
      <c r="I1466" s="483">
        <v>1.0899000000000001e-002</v>
      </c>
      <c r="J1466" s="473">
        <f t="shared" si="1096"/>
        <v>294.49000000000001</v>
      </c>
      <c r="K1466" s="474">
        <f t="shared" si="1106"/>
        <v>3.2096465100000002</v>
      </c>
      <c r="L1466" s="473">
        <f t="shared" si="1105"/>
        <v>291.70999999999998</v>
      </c>
      <c r="M1466" s="474">
        <f t="shared" si="1107"/>
        <v>3.1793472899999999</v>
      </c>
      <c r="O1466" s="434">
        <f t="shared" si="1103"/>
        <v>294.49000000000001</v>
      </c>
      <c r="P1466" s="435">
        <f t="shared" si="1104"/>
        <v>291.70999999999998</v>
      </c>
      <c r="AE1466" s="217"/>
      <c r="AF1466" s="217">
        <v>1157</v>
      </c>
      <c r="AH1466">
        <f t="shared" si="1089"/>
        <v>1157</v>
      </c>
    </row>
    <row r="1467" ht="75" hidden="1">
      <c r="A1467" s="217"/>
      <c r="B1467" s="217">
        <v>1157</v>
      </c>
      <c r="C1467" s="217"/>
      <c r="D1467" s="217" t="s">
        <v>17167</v>
      </c>
      <c r="E1467" s="471" t="s">
        <v>20665</v>
      </c>
      <c r="F1467" s="469">
        <v>5934</v>
      </c>
      <c r="G1467" s="573" t="s">
        <v>1786</v>
      </c>
      <c r="H1467" s="489" t="s">
        <v>1533</v>
      </c>
      <c r="I1467" s="483">
        <v>1.8100000000000002e-002</v>
      </c>
      <c r="J1467" s="473">
        <f t="shared" si="1096"/>
        <v>114.31</v>
      </c>
      <c r="K1467" s="474">
        <f t="shared" si="1106"/>
        <v>2.0690110000000002</v>
      </c>
      <c r="L1467" s="473">
        <f t="shared" si="1105"/>
        <v>111.53</v>
      </c>
      <c r="M1467" s="474">
        <f t="shared" si="1107"/>
        <v>2.0186930000000003</v>
      </c>
      <c r="O1467" s="434">
        <f t="shared" si="1103"/>
        <v>114.31</v>
      </c>
      <c r="P1467" s="435">
        <f t="shared" si="1104"/>
        <v>111.53</v>
      </c>
      <c r="AE1467" s="217"/>
      <c r="AF1467" s="217">
        <v>1157</v>
      </c>
      <c r="AH1467">
        <f t="shared" si="1089"/>
        <v>1157</v>
      </c>
    </row>
    <row r="1468" ht="30" hidden="1">
      <c r="A1468" s="217"/>
      <c r="B1468" s="217">
        <v>1157</v>
      </c>
      <c r="C1468" s="217"/>
      <c r="D1468" s="217" t="s">
        <v>17167</v>
      </c>
      <c r="E1468" s="471" t="s">
        <v>20667</v>
      </c>
      <c r="F1468" s="469">
        <v>88316</v>
      </c>
      <c r="G1468" s="573" t="s">
        <v>7393</v>
      </c>
      <c r="H1468" s="489" t="s">
        <v>2032</v>
      </c>
      <c r="I1468" s="483">
        <v>0.10150000000000001</v>
      </c>
      <c r="J1468" s="473">
        <f t="shared" si="1096"/>
        <v>22.760000000000002</v>
      </c>
      <c r="K1468" s="474">
        <f t="shared" si="1106"/>
        <v>2.3101400000000005</v>
      </c>
      <c r="L1468" s="473">
        <f t="shared" si="1105"/>
        <v>21.550000000000001</v>
      </c>
      <c r="M1468" s="474">
        <f t="shared" si="1107"/>
        <v>2.1873250000000004</v>
      </c>
      <c r="O1468" s="434">
        <f t="shared" si="1103"/>
        <v>22.760000000000002</v>
      </c>
      <c r="P1468" s="435">
        <f t="shared" si="1104"/>
        <v>21.550000000000001</v>
      </c>
      <c r="AE1468" s="217"/>
      <c r="AF1468" s="217">
        <v>1157</v>
      </c>
      <c r="AH1468">
        <f t="shared" si="1089"/>
        <v>1157</v>
      </c>
    </row>
    <row r="1469" ht="97.5" hidden="1" customHeight="1">
      <c r="A1469" s="460">
        <v>1158</v>
      </c>
      <c r="B1469" s="460">
        <v>1158</v>
      </c>
      <c r="C1469" s="460"/>
      <c r="D1469" s="460"/>
      <c r="E1469" s="461">
        <v>1</v>
      </c>
      <c r="F1469" s="462" t="s">
        <v>21327</v>
      </c>
      <c r="G1469" s="477" t="s">
        <v>21328</v>
      </c>
      <c r="H1469" s="478" t="s">
        <v>20196</v>
      </c>
      <c r="I1469" s="479"/>
      <c r="J1469" s="480"/>
      <c r="K1469" s="466">
        <f>SUM(K1470:K1484)</f>
        <v>2976.4467134800002</v>
      </c>
      <c r="L1469" s="480"/>
      <c r="M1469" s="466">
        <f>SUM(M1470:M1484)</f>
        <v>2888.00793088</v>
      </c>
      <c r="N1469" s="467" t="s">
        <v>21329</v>
      </c>
      <c r="O1469" s="434" t="str">
        <f t="shared" si="1103"/>
        <v xml:space="preserve">SEM VALOR</v>
      </c>
      <c r="P1469" s="435" t="str">
        <f t="shared" si="1104"/>
        <v xml:space="preserve">SEM VALOR</v>
      </c>
      <c r="AE1469" s="460">
        <v>1158</v>
      </c>
      <c r="AF1469" s="460"/>
      <c r="AH1469">
        <f t="shared" si="1089"/>
        <v>1158</v>
      </c>
    </row>
    <row r="1470" ht="30" hidden="1">
      <c r="A1470" s="217"/>
      <c r="B1470" s="217">
        <v>1158</v>
      </c>
      <c r="C1470" s="217"/>
      <c r="D1470" s="217" t="s">
        <v>20408</v>
      </c>
      <c r="E1470" s="471" t="s">
        <v>20399</v>
      </c>
      <c r="F1470" s="486">
        <v>3768</v>
      </c>
      <c r="G1470" s="470" t="s">
        <v>13044</v>
      </c>
      <c r="H1470" s="482" t="s">
        <v>20196</v>
      </c>
      <c r="I1470" s="483">
        <v>4</v>
      </c>
      <c r="J1470" s="473">
        <f t="shared" si="1096"/>
        <v>4.4400000000000004</v>
      </c>
      <c r="K1470" s="474">
        <f t="shared" ref="K1470:K1484" si="1108">I1470*J1470</f>
        <v>17.760000000000002</v>
      </c>
      <c r="L1470" s="473">
        <f t="shared" si="1105"/>
        <v>4.4400000000000004</v>
      </c>
      <c r="M1470" s="474">
        <f t="shared" ref="M1470:M1484" si="1109">L1470*I1470</f>
        <v>17.760000000000002</v>
      </c>
      <c r="O1470" s="434">
        <f t="shared" si="1103"/>
        <v>4.4400000000000004</v>
      </c>
      <c r="P1470" s="435">
        <f t="shared" si="1104"/>
        <v>4.4400000000000004</v>
      </c>
      <c r="AE1470" s="217"/>
      <c r="AF1470" s="217">
        <v>1158</v>
      </c>
      <c r="AH1470">
        <f t="shared" si="1089"/>
        <v>1158</v>
      </c>
    </row>
    <row r="1471" ht="60" hidden="1">
      <c r="A1471" s="217"/>
      <c r="B1471" s="217">
        <v>1158</v>
      </c>
      <c r="C1471" s="217"/>
      <c r="D1471" s="217" t="s">
        <v>20408</v>
      </c>
      <c r="E1471" s="471" t="s">
        <v>20402</v>
      </c>
      <c r="F1471" s="486">
        <v>7158</v>
      </c>
      <c r="G1471" s="470" t="s">
        <v>21330</v>
      </c>
      <c r="H1471" s="482" t="s">
        <v>15515</v>
      </c>
      <c r="I1471" s="483">
        <f>7*1.7*1.05</f>
        <v>12.494999999999999</v>
      </c>
      <c r="J1471" s="473">
        <f t="shared" si="1096"/>
        <v>33.469999999999999</v>
      </c>
      <c r="K1471" s="474">
        <f t="shared" si="1108"/>
        <v>418.20764999999994</v>
      </c>
      <c r="L1471" s="473">
        <f t="shared" si="1105"/>
        <v>33.469999999999999</v>
      </c>
      <c r="M1471" s="474">
        <f t="shared" si="1109"/>
        <v>418.20764999999994</v>
      </c>
      <c r="O1471" s="434">
        <f t="shared" si="1103"/>
        <v>33.469999999999999</v>
      </c>
      <c r="P1471" s="435">
        <f t="shared" si="1104"/>
        <v>33.469999999999999</v>
      </c>
      <c r="AE1471" s="217"/>
      <c r="AF1471" s="217">
        <v>1158</v>
      </c>
      <c r="AH1471">
        <f t="shared" si="1089"/>
        <v>1158</v>
      </c>
    </row>
    <row r="1472" ht="30" hidden="1">
      <c r="A1472" s="217"/>
      <c r="B1472" s="217">
        <v>1158</v>
      </c>
      <c r="C1472" s="217"/>
      <c r="D1472" s="217" t="s">
        <v>20453</v>
      </c>
      <c r="E1472" s="471" t="s">
        <v>20405</v>
      </c>
      <c r="F1472" s="574" t="s">
        <v>20084</v>
      </c>
      <c r="G1472" s="470" t="s">
        <v>21331</v>
      </c>
      <c r="H1472" s="482" t="s">
        <v>38</v>
      </c>
      <c r="I1472" s="483">
        <f>(7*3+1.7*10)*1.05</f>
        <v>39.899999999999999</v>
      </c>
      <c r="J1472" s="473">
        <f t="shared" si="1096"/>
        <v>0</v>
      </c>
      <c r="K1472" s="474">
        <f t="shared" si="1108"/>
        <v>0</v>
      </c>
      <c r="L1472" s="473">
        <f t="shared" si="1105"/>
        <v>0</v>
      </c>
      <c r="M1472" s="474">
        <f t="shared" si="1109"/>
        <v>0</v>
      </c>
      <c r="O1472" s="434">
        <f t="shared" si="1103"/>
        <v>0</v>
      </c>
      <c r="P1472" s="435">
        <f t="shared" si="1104"/>
        <v>0</v>
      </c>
      <c r="AE1472" s="217"/>
      <c r="AF1472" s="217">
        <v>1158</v>
      </c>
      <c r="AH1472">
        <f t="shared" si="1089"/>
        <v>1158</v>
      </c>
    </row>
    <row r="1473" ht="30" hidden="1">
      <c r="A1473" s="217"/>
      <c r="B1473" s="217">
        <v>1158</v>
      </c>
      <c r="C1473" s="217"/>
      <c r="D1473" s="217" t="s">
        <v>20408</v>
      </c>
      <c r="E1473" s="471" t="s">
        <v>20409</v>
      </c>
      <c r="F1473" s="486">
        <v>11002</v>
      </c>
      <c r="G1473" s="470" t="s">
        <v>12284</v>
      </c>
      <c r="H1473" s="482" t="s">
        <v>302</v>
      </c>
      <c r="I1473" s="483">
        <v>4</v>
      </c>
      <c r="J1473" s="473">
        <f t="shared" si="1096"/>
        <v>33.909999999999997</v>
      </c>
      <c r="K1473" s="474">
        <f t="shared" si="1108"/>
        <v>135.63999999999999</v>
      </c>
      <c r="L1473" s="473">
        <f t="shared" si="1105"/>
        <v>33.909999999999997</v>
      </c>
      <c r="M1473" s="474">
        <f t="shared" si="1109"/>
        <v>135.63999999999999</v>
      </c>
      <c r="O1473" s="434">
        <f t="shared" si="1103"/>
        <v>33.909999999999997</v>
      </c>
      <c r="P1473" s="435">
        <f t="shared" si="1104"/>
        <v>33.909999999999997</v>
      </c>
      <c r="R1473" s="510" t="s">
        <v>21332</v>
      </c>
      <c r="AE1473" s="217"/>
      <c r="AF1473" s="217">
        <v>1158</v>
      </c>
      <c r="AH1473">
        <f t="shared" si="1089"/>
        <v>1158</v>
      </c>
    </row>
    <row r="1474" ht="30" hidden="1">
      <c r="A1474" s="217"/>
      <c r="B1474" s="217">
        <v>1158</v>
      </c>
      <c r="C1474" s="217"/>
      <c r="D1474" s="217" t="s">
        <v>17167</v>
      </c>
      <c r="E1474" s="471" t="s">
        <v>20663</v>
      </c>
      <c r="F1474" s="486">
        <v>88315</v>
      </c>
      <c r="G1474" s="470" t="s">
        <v>7392</v>
      </c>
      <c r="H1474" s="482" t="s">
        <v>2032</v>
      </c>
      <c r="I1474" s="483">
        <v>20.16</v>
      </c>
      <c r="J1474" s="473">
        <f t="shared" si="1096"/>
        <v>28.800000000000001</v>
      </c>
      <c r="K1474" s="474">
        <f t="shared" si="1108"/>
        <v>580.60800000000006</v>
      </c>
      <c r="L1474" s="473">
        <f t="shared" si="1105"/>
        <v>27.149999999999999</v>
      </c>
      <c r="M1474" s="474">
        <f t="shared" si="1109"/>
        <v>547.34399999999994</v>
      </c>
      <c r="O1474" s="434">
        <f t="shared" si="1103"/>
        <v>28.800000000000001</v>
      </c>
      <c r="P1474" s="435">
        <f t="shared" si="1104"/>
        <v>27.149999999999999</v>
      </c>
      <c r="R1474" s="510"/>
      <c r="AE1474" s="217"/>
      <c r="AF1474" s="217">
        <v>1158</v>
      </c>
      <c r="AH1474">
        <f t="shared" si="1089"/>
        <v>1158</v>
      </c>
    </row>
    <row r="1475" ht="30" hidden="1">
      <c r="A1475" s="217"/>
      <c r="B1475" s="217">
        <v>1158</v>
      </c>
      <c r="C1475" s="217"/>
      <c r="D1475" s="217" t="s">
        <v>17167</v>
      </c>
      <c r="E1475" s="471" t="s">
        <v>20665</v>
      </c>
      <c r="F1475" s="486">
        <v>88316</v>
      </c>
      <c r="G1475" s="470" t="s">
        <v>7393</v>
      </c>
      <c r="H1475" s="482" t="s">
        <v>2032</v>
      </c>
      <c r="I1475" s="483">
        <f>0.9774*7*1.7</f>
        <v>11.63106</v>
      </c>
      <c r="J1475" s="473">
        <f t="shared" si="1096"/>
        <v>22.760000000000002</v>
      </c>
      <c r="K1475" s="474">
        <f t="shared" si="1108"/>
        <v>264.7229256</v>
      </c>
      <c r="L1475" s="473">
        <f t="shared" si="1105"/>
        <v>21.550000000000001</v>
      </c>
      <c r="M1475" s="474">
        <f t="shared" si="1109"/>
        <v>250.64934300000002</v>
      </c>
      <c r="O1475" s="434">
        <f t="shared" si="1103"/>
        <v>22.760000000000002</v>
      </c>
      <c r="P1475" s="435">
        <f t="shared" si="1104"/>
        <v>21.550000000000001</v>
      </c>
      <c r="R1475" s="510" t="s">
        <v>21333</v>
      </c>
      <c r="AE1475" s="217"/>
      <c r="AF1475" s="217">
        <v>1158</v>
      </c>
      <c r="AH1475">
        <f t="shared" si="1089"/>
        <v>1158</v>
      </c>
    </row>
    <row r="1476" ht="30" hidden="1">
      <c r="A1476" s="217"/>
      <c r="B1476" s="217">
        <v>1158</v>
      </c>
      <c r="C1476" s="217"/>
      <c r="D1476" s="217" t="s">
        <v>17167</v>
      </c>
      <c r="E1476" s="471" t="s">
        <v>20667</v>
      </c>
      <c r="F1476" s="486">
        <v>88240</v>
      </c>
      <c r="G1476" s="470" t="s">
        <v>7090</v>
      </c>
      <c r="H1476" s="482" t="s">
        <v>2032</v>
      </c>
      <c r="I1476" s="483">
        <v>10.08</v>
      </c>
      <c r="J1476" s="473">
        <f t="shared" si="1096"/>
        <v>22.16</v>
      </c>
      <c r="K1476" s="474">
        <f t="shared" si="1108"/>
        <v>223.37280000000001</v>
      </c>
      <c r="L1476" s="473">
        <f t="shared" si="1105"/>
        <v>20.899999999999999</v>
      </c>
      <c r="M1476" s="474">
        <f t="shared" si="1109"/>
        <v>210.672</v>
      </c>
      <c r="O1476" s="434">
        <f t="shared" si="1103"/>
        <v>22.16</v>
      </c>
      <c r="P1476" s="435">
        <f t="shared" si="1104"/>
        <v>20.899999999999999</v>
      </c>
      <c r="AE1476" s="217"/>
      <c r="AF1476" s="217">
        <v>1158</v>
      </c>
      <c r="AH1476">
        <f t="shared" si="1089"/>
        <v>1158</v>
      </c>
    </row>
    <row r="1477" ht="30" hidden="1">
      <c r="A1477" s="217"/>
      <c r="B1477" s="217">
        <v>1158</v>
      </c>
      <c r="C1477" s="217"/>
      <c r="D1477" s="217" t="s">
        <v>17167</v>
      </c>
      <c r="E1477" s="471" t="s">
        <v>20671</v>
      </c>
      <c r="F1477" s="486">
        <v>88317</v>
      </c>
      <c r="G1477" s="470" t="s">
        <v>7396</v>
      </c>
      <c r="H1477" s="482" t="s">
        <v>2032</v>
      </c>
      <c r="I1477" s="483">
        <v>7.5599999999999996</v>
      </c>
      <c r="J1477" s="473">
        <f t="shared" si="1096"/>
        <v>29.559999999999999</v>
      </c>
      <c r="K1477" s="474">
        <f t="shared" si="1108"/>
        <v>223.47359999999998</v>
      </c>
      <c r="L1477" s="473">
        <f t="shared" si="1105"/>
        <v>27.949999999999999</v>
      </c>
      <c r="M1477" s="474">
        <f t="shared" si="1109"/>
        <v>211.30199999999999</v>
      </c>
      <c r="O1477" s="434">
        <f t="shared" si="1103"/>
        <v>29.559999999999999</v>
      </c>
      <c r="P1477" s="435">
        <f t="shared" si="1104"/>
        <v>27.949999999999999</v>
      </c>
      <c r="AE1477" s="217"/>
      <c r="AF1477" s="217">
        <v>1158</v>
      </c>
      <c r="AH1477">
        <f t="shared" si="1089"/>
        <v>1158</v>
      </c>
    </row>
    <row r="1478" ht="45.75" hidden="1">
      <c r="A1478" s="217"/>
      <c r="B1478" s="217">
        <v>1158</v>
      </c>
      <c r="C1478" s="217"/>
      <c r="D1478" s="217" t="s">
        <v>17167</v>
      </c>
      <c r="E1478" s="471" t="s">
        <v>20672</v>
      </c>
      <c r="F1478" s="486">
        <v>92880</v>
      </c>
      <c r="G1478" s="470" t="s">
        <v>21334</v>
      </c>
      <c r="H1478" s="482" t="s">
        <v>302</v>
      </c>
      <c r="I1478" s="483">
        <f>0.15*3*2*2.47*1.05*2</f>
        <v>4.6683000000000003</v>
      </c>
      <c r="J1478" s="473">
        <f t="shared" si="1096"/>
        <v>9.5800000000000001</v>
      </c>
      <c r="K1478" s="474">
        <f t="shared" si="1108"/>
        <v>44.722314000000004</v>
      </c>
      <c r="L1478" s="473">
        <f t="shared" si="1105"/>
        <v>9.5800000000000001</v>
      </c>
      <c r="M1478" s="474">
        <f t="shared" si="1109"/>
        <v>44.722314000000004</v>
      </c>
      <c r="O1478" s="434">
        <f t="shared" si="1103"/>
        <v>9.5800000000000001</v>
      </c>
      <c r="P1478" s="435">
        <f t="shared" si="1104"/>
        <v>9.5800000000000001</v>
      </c>
      <c r="AE1478" s="217"/>
      <c r="AF1478" s="217">
        <v>1158</v>
      </c>
      <c r="AH1478">
        <f t="shared" si="1089"/>
        <v>1158</v>
      </c>
    </row>
    <row r="1479" ht="30" hidden="1">
      <c r="A1479" s="217"/>
      <c r="B1479" s="217">
        <v>1158</v>
      </c>
      <c r="C1479" s="217"/>
      <c r="D1479" s="217" t="s">
        <v>17167</v>
      </c>
      <c r="E1479" s="471" t="s">
        <v>20673</v>
      </c>
      <c r="F1479" s="486">
        <v>88310</v>
      </c>
      <c r="G1479" s="470" t="s">
        <v>7386</v>
      </c>
      <c r="H1479" s="482" t="s">
        <v>2032</v>
      </c>
      <c r="I1479" s="483">
        <v>10.08</v>
      </c>
      <c r="J1479" s="473">
        <f t="shared" si="1096"/>
        <v>30.210000000000001</v>
      </c>
      <c r="K1479" s="474">
        <f t="shared" si="1108"/>
        <v>304.51679999999999</v>
      </c>
      <c r="L1479" s="473">
        <f t="shared" si="1105"/>
        <v>28.600000000000001</v>
      </c>
      <c r="M1479" s="474">
        <f t="shared" si="1109"/>
        <v>288.28800000000001</v>
      </c>
      <c r="O1479" s="434">
        <f t="shared" si="1103"/>
        <v>30.210000000000001</v>
      </c>
      <c r="P1479" s="435">
        <f t="shared" si="1104"/>
        <v>28.600000000000001</v>
      </c>
      <c r="AE1479" s="217"/>
      <c r="AF1479" s="217">
        <v>1158</v>
      </c>
      <c r="AH1479">
        <f t="shared" ref="AH1479:AH1542" si="1110">IF(AF1479:AF1480=FALSE,AE1479,AF1479)</f>
        <v>1158</v>
      </c>
    </row>
    <row r="1480" ht="30" hidden="1">
      <c r="A1480" s="217"/>
      <c r="B1480" s="217">
        <v>1158</v>
      </c>
      <c r="C1480" s="217"/>
      <c r="D1480" s="217" t="s">
        <v>20408</v>
      </c>
      <c r="E1480" s="471" t="s">
        <v>20675</v>
      </c>
      <c r="F1480" s="486">
        <v>7307</v>
      </c>
      <c r="G1480" s="470" t="s">
        <v>20998</v>
      </c>
      <c r="H1480" s="482" t="s">
        <v>9794</v>
      </c>
      <c r="I1480" s="483">
        <f>0.41958*3.6</f>
        <v>1.5104880000000001</v>
      </c>
      <c r="J1480" s="473">
        <f t="shared" si="1096"/>
        <v>41.960000000000001</v>
      </c>
      <c r="K1480" s="474">
        <f t="shared" si="1108"/>
        <v>63.380076480000007</v>
      </c>
      <c r="L1480" s="473">
        <f t="shared" si="1105"/>
        <v>41.960000000000001</v>
      </c>
      <c r="M1480" s="474">
        <f t="shared" si="1109"/>
        <v>63.380076480000007</v>
      </c>
      <c r="O1480" s="434">
        <f t="shared" si="1103"/>
        <v>41.960000000000001</v>
      </c>
      <c r="P1480" s="435">
        <f t="shared" si="1104"/>
        <v>41.960000000000001</v>
      </c>
      <c r="AE1480" s="217"/>
      <c r="AF1480" s="217">
        <v>1158</v>
      </c>
      <c r="AH1480">
        <f t="shared" si="1110"/>
        <v>1158</v>
      </c>
    </row>
    <row r="1481" ht="30" hidden="1">
      <c r="A1481" s="217"/>
      <c r="B1481" s="217">
        <v>1158</v>
      </c>
      <c r="C1481" s="217"/>
      <c r="D1481" s="217" t="s">
        <v>20408</v>
      </c>
      <c r="E1481" s="471" t="s">
        <v>20677</v>
      </c>
      <c r="F1481" s="486">
        <v>43647</v>
      </c>
      <c r="G1481" s="470" t="s">
        <v>14768</v>
      </c>
      <c r="H1481" s="482" t="s">
        <v>9794</v>
      </c>
      <c r="I1481" s="483">
        <f>0.504*3.6</f>
        <v>1.8144</v>
      </c>
      <c r="J1481" s="473">
        <f t="shared" si="1096"/>
        <v>28.920000000000002</v>
      </c>
      <c r="K1481" s="474">
        <f t="shared" si="1108"/>
        <v>52.472448</v>
      </c>
      <c r="L1481" s="473">
        <f t="shared" si="1105"/>
        <v>28.920000000000002</v>
      </c>
      <c r="M1481" s="474">
        <f t="shared" si="1109"/>
        <v>52.472448</v>
      </c>
      <c r="O1481" s="434">
        <f t="shared" si="1103"/>
        <v>28.920000000000002</v>
      </c>
      <c r="P1481" s="435">
        <f t="shared" si="1104"/>
        <v>28.920000000000002</v>
      </c>
      <c r="AE1481" s="217"/>
      <c r="AF1481" s="217">
        <v>1158</v>
      </c>
      <c r="AH1481">
        <f t="shared" si="1110"/>
        <v>1158</v>
      </c>
    </row>
    <row r="1482" ht="45" hidden="1">
      <c r="A1482" s="217"/>
      <c r="B1482" s="217">
        <v>1158</v>
      </c>
      <c r="C1482" s="217"/>
      <c r="D1482" s="217" t="s">
        <v>20408</v>
      </c>
      <c r="E1482" s="471" t="s">
        <v>20679</v>
      </c>
      <c r="F1482" s="486">
        <v>43054</v>
      </c>
      <c r="G1482" s="470" t="s">
        <v>21335</v>
      </c>
      <c r="H1482" s="482" t="s">
        <v>302</v>
      </c>
      <c r="I1482" s="483">
        <f>0.2*1.6*1.05</f>
        <v>0.33600000000000002</v>
      </c>
      <c r="J1482" s="473">
        <f t="shared" si="1096"/>
        <v>8.3599999999999994</v>
      </c>
      <c r="K1482" s="474">
        <f t="shared" si="1108"/>
        <v>2.8089599999999999</v>
      </c>
      <c r="L1482" s="473">
        <f t="shared" si="1105"/>
        <v>8.3599999999999994</v>
      </c>
      <c r="M1482" s="474">
        <f t="shared" si="1109"/>
        <v>2.8089599999999999</v>
      </c>
      <c r="O1482" s="434">
        <f t="shared" si="1103"/>
        <v>8.3599999999999994</v>
      </c>
      <c r="P1482" s="435">
        <f t="shared" si="1104"/>
        <v>8.3599999999999994</v>
      </c>
      <c r="AE1482" s="217"/>
      <c r="AF1482" s="217">
        <v>1158</v>
      </c>
      <c r="AH1482">
        <f t="shared" si="1110"/>
        <v>1158</v>
      </c>
    </row>
    <row r="1483" ht="45" hidden="1">
      <c r="A1483" s="217"/>
      <c r="B1483" s="217">
        <v>1158</v>
      </c>
      <c r="C1483" s="217"/>
      <c r="D1483" s="217" t="s">
        <v>20408</v>
      </c>
      <c r="E1483" s="471" t="s">
        <v>20681</v>
      </c>
      <c r="F1483" s="486">
        <v>546</v>
      </c>
      <c r="G1483" s="470" t="s">
        <v>21336</v>
      </c>
      <c r="H1483" s="482" t="s">
        <v>302</v>
      </c>
      <c r="I1483" s="483">
        <f>((0.79*2+0.75*2)*12+(0.8*2+0.75*2)*4+0.2*4)*0.4*1.05+0.1*2*1.27*1.05</f>
        <v>21.3339</v>
      </c>
      <c r="J1483" s="473">
        <f t="shared" si="1096"/>
        <v>9.5899999999999999</v>
      </c>
      <c r="K1483" s="474">
        <f t="shared" si="1108"/>
        <v>204.59210099999999</v>
      </c>
      <c r="L1483" s="473">
        <f t="shared" si="1105"/>
        <v>9.5899999999999999</v>
      </c>
      <c r="M1483" s="474">
        <f t="shared" si="1109"/>
        <v>204.59210099999999</v>
      </c>
      <c r="O1483" s="434">
        <f t="shared" si="1103"/>
        <v>9.5899999999999999</v>
      </c>
      <c r="P1483" s="435">
        <f t="shared" si="1104"/>
        <v>9.5899999999999999</v>
      </c>
      <c r="AE1483" s="217"/>
      <c r="AF1483" s="217">
        <v>1158</v>
      </c>
      <c r="AH1483">
        <f t="shared" si="1110"/>
        <v>1158</v>
      </c>
    </row>
    <row r="1484" ht="60" hidden="1">
      <c r="A1484" s="217"/>
      <c r="B1484" s="217">
        <v>1158</v>
      </c>
      <c r="C1484" s="217"/>
      <c r="D1484" s="217" t="s">
        <v>20408</v>
      </c>
      <c r="E1484" s="471" t="s">
        <v>20683</v>
      </c>
      <c r="F1484" s="486">
        <v>4777</v>
      </c>
      <c r="G1484" s="470" t="s">
        <v>21337</v>
      </c>
      <c r="H1484" s="482" t="s">
        <v>302</v>
      </c>
      <c r="I1484" s="483">
        <f>((0.79*2+0.75*2)*12+(0.8*2+0.75*2)*4+0.15*6)*1.04*1.05</f>
        <v>54.883920000000003</v>
      </c>
      <c r="J1484" s="473">
        <f t="shared" si="1096"/>
        <v>8.0199999999999996</v>
      </c>
      <c r="K1484" s="474">
        <f t="shared" si="1108"/>
        <v>440.16903839999998</v>
      </c>
      <c r="L1484" s="473">
        <f t="shared" si="1105"/>
        <v>8.0199999999999996</v>
      </c>
      <c r="M1484" s="474">
        <f t="shared" si="1109"/>
        <v>440.16903839999998</v>
      </c>
      <c r="O1484" s="434">
        <f t="shared" si="1103"/>
        <v>8.0199999999999996</v>
      </c>
      <c r="P1484" s="435">
        <f t="shared" si="1104"/>
        <v>8.0199999999999996</v>
      </c>
      <c r="AE1484" s="217"/>
      <c r="AF1484" s="217">
        <v>1158</v>
      </c>
      <c r="AH1484">
        <f t="shared" si="1110"/>
        <v>1158</v>
      </c>
    </row>
    <row r="1485" ht="94.5" hidden="1">
      <c r="A1485" s="460">
        <v>1159</v>
      </c>
      <c r="B1485" s="460">
        <v>1159</v>
      </c>
      <c r="C1485" s="460"/>
      <c r="D1485" s="460"/>
      <c r="E1485" s="461">
        <v>1</v>
      </c>
      <c r="F1485" s="462" t="s">
        <v>21338</v>
      </c>
      <c r="G1485" s="477" t="s">
        <v>21339</v>
      </c>
      <c r="H1485" s="478" t="s">
        <v>20196</v>
      </c>
      <c r="I1485" s="479"/>
      <c r="J1485" s="480"/>
      <c r="K1485" s="466" t="e">
        <f>SUM(K1486:K1500)</f>
        <v>#VALUE!</v>
      </c>
      <c r="L1485" s="480"/>
      <c r="M1485" s="466" t="e">
        <f>SUM(M1486:M1500)</f>
        <v>#VALUE!</v>
      </c>
      <c r="N1485" s="467" t="s">
        <v>21340</v>
      </c>
      <c r="O1485" s="434" t="str">
        <f t="shared" si="1103"/>
        <v xml:space="preserve">SEM VALOR</v>
      </c>
      <c r="P1485" s="435" t="str">
        <f t="shared" si="1104"/>
        <v xml:space="preserve">SEM VALOR</v>
      </c>
      <c r="AE1485" s="460">
        <v>1159</v>
      </c>
      <c r="AF1485" s="460"/>
      <c r="AH1485">
        <f t="shared" si="1110"/>
        <v>1159</v>
      </c>
    </row>
    <row r="1486" ht="30" hidden="1">
      <c r="A1486" s="217"/>
      <c r="B1486" s="217">
        <v>1159</v>
      </c>
      <c r="C1486" s="217"/>
      <c r="D1486" s="217" t="s">
        <v>20408</v>
      </c>
      <c r="E1486" s="471" t="s">
        <v>20399</v>
      </c>
      <c r="F1486" s="486">
        <v>3768</v>
      </c>
      <c r="G1486" s="470" t="s">
        <v>13044</v>
      </c>
      <c r="H1486" s="482" t="s">
        <v>20196</v>
      </c>
      <c r="I1486" s="483">
        <v>2</v>
      </c>
      <c r="J1486" s="473">
        <f t="shared" si="1096"/>
        <v>4.4400000000000004</v>
      </c>
      <c r="K1486" s="474">
        <f t="shared" ref="K1486:K1500" si="1111">I1486*J1486</f>
        <v>8.8800000000000008</v>
      </c>
      <c r="L1486" s="473">
        <f t="shared" si="1105"/>
        <v>4.4400000000000004</v>
      </c>
      <c r="M1486" s="474">
        <f t="shared" ref="M1486:M1500" si="1112">L1486*I1486</f>
        <v>8.8800000000000008</v>
      </c>
      <c r="O1486" s="434">
        <f t="shared" si="1103"/>
        <v>4.4400000000000004</v>
      </c>
      <c r="P1486" s="435">
        <f t="shared" si="1104"/>
        <v>4.4400000000000004</v>
      </c>
      <c r="AE1486" s="217"/>
      <c r="AF1486" s="217">
        <v>1159</v>
      </c>
      <c r="AH1486">
        <f t="shared" si="1110"/>
        <v>1159</v>
      </c>
    </row>
    <row r="1487" ht="60" hidden="1">
      <c r="A1487" s="217"/>
      <c r="B1487" s="217">
        <v>1159</v>
      </c>
      <c r="C1487" s="217"/>
      <c r="D1487" s="217" t="s">
        <v>20408</v>
      </c>
      <c r="E1487" s="471" t="s">
        <v>20402</v>
      </c>
      <c r="F1487" s="486">
        <v>7158</v>
      </c>
      <c r="G1487" s="470" t="s">
        <v>21330</v>
      </c>
      <c r="H1487" s="482" t="s">
        <v>15515</v>
      </c>
      <c r="I1487" s="483">
        <f>3.5*1.7*1.05</f>
        <v>6.2474999999999996</v>
      </c>
      <c r="J1487" s="473">
        <f t="shared" si="1096"/>
        <v>33.469999999999999</v>
      </c>
      <c r="K1487" s="474">
        <f t="shared" si="1111"/>
        <v>209.10382499999997</v>
      </c>
      <c r="L1487" s="473">
        <f t="shared" si="1105"/>
        <v>33.469999999999999</v>
      </c>
      <c r="M1487" s="474">
        <f t="shared" si="1112"/>
        <v>209.10382499999997</v>
      </c>
      <c r="O1487" s="434">
        <f t="shared" si="1103"/>
        <v>33.469999999999999</v>
      </c>
      <c r="P1487" s="435">
        <f t="shared" si="1104"/>
        <v>33.469999999999999</v>
      </c>
      <c r="AE1487" s="217"/>
      <c r="AF1487" s="217">
        <v>1159</v>
      </c>
      <c r="AH1487">
        <f t="shared" si="1110"/>
        <v>1159</v>
      </c>
    </row>
    <row r="1488" ht="30" hidden="1">
      <c r="A1488" s="217"/>
      <c r="B1488" s="217">
        <v>1159</v>
      </c>
      <c r="C1488" s="217"/>
      <c r="D1488" s="217" t="s">
        <v>20408</v>
      </c>
      <c r="E1488" s="471" t="s">
        <v>20405</v>
      </c>
      <c r="F1488" s="486">
        <v>13356</v>
      </c>
      <c r="G1488" s="470" t="s">
        <v>14913</v>
      </c>
      <c r="H1488" s="482" t="s">
        <v>38</v>
      </c>
      <c r="I1488" s="483">
        <f>(3.5*3+1.7*6)*1.05</f>
        <v>21.734999999999999</v>
      </c>
      <c r="J1488" s="473" t="e">
        <f t="shared" si="1096"/>
        <v>#VALUE!</v>
      </c>
      <c r="K1488" s="474" t="e">
        <f t="shared" si="1111"/>
        <v>#VALUE!</v>
      </c>
      <c r="L1488" s="473" t="e">
        <f t="shared" si="1105"/>
        <v>#VALUE!</v>
      </c>
      <c r="M1488" s="474" t="e">
        <f t="shared" si="1112"/>
        <v>#VALUE!</v>
      </c>
      <c r="O1488" s="434" t="str">
        <f t="shared" si="1103"/>
        <v>VERIFICAR</v>
      </c>
      <c r="P1488" s="435" t="str">
        <f t="shared" si="1104"/>
        <v>VERIFICAR</v>
      </c>
      <c r="AE1488" s="217"/>
      <c r="AF1488" s="217">
        <v>1159</v>
      </c>
      <c r="AH1488">
        <f t="shared" si="1110"/>
        <v>1159</v>
      </c>
    </row>
    <row r="1489" ht="30" hidden="1">
      <c r="A1489" s="217"/>
      <c r="B1489" s="217">
        <v>1159</v>
      </c>
      <c r="C1489" s="217"/>
      <c r="D1489" s="217" t="s">
        <v>20408</v>
      </c>
      <c r="E1489" s="471" t="s">
        <v>20409</v>
      </c>
      <c r="F1489" s="486">
        <v>11002</v>
      </c>
      <c r="G1489" s="470" t="s">
        <v>12284</v>
      </c>
      <c r="H1489" s="482" t="s">
        <v>302</v>
      </c>
      <c r="I1489" s="483">
        <v>2</v>
      </c>
      <c r="J1489" s="473">
        <f t="shared" si="1096"/>
        <v>33.909999999999997</v>
      </c>
      <c r="K1489" s="474">
        <f t="shared" si="1111"/>
        <v>67.819999999999993</v>
      </c>
      <c r="L1489" s="473">
        <f t="shared" si="1105"/>
        <v>33.909999999999997</v>
      </c>
      <c r="M1489" s="474">
        <f t="shared" si="1112"/>
        <v>67.819999999999993</v>
      </c>
      <c r="O1489" s="434">
        <f t="shared" si="1103"/>
        <v>33.909999999999997</v>
      </c>
      <c r="P1489" s="435">
        <f t="shared" si="1104"/>
        <v>33.909999999999997</v>
      </c>
      <c r="R1489" s="510" t="s">
        <v>21332</v>
      </c>
      <c r="AE1489" s="217"/>
      <c r="AF1489" s="217">
        <v>1159</v>
      </c>
      <c r="AH1489">
        <f t="shared" si="1110"/>
        <v>1159</v>
      </c>
    </row>
    <row r="1490" ht="30" hidden="1">
      <c r="A1490" s="217"/>
      <c r="B1490" s="217">
        <v>1159</v>
      </c>
      <c r="C1490" s="217"/>
      <c r="D1490" s="217" t="s">
        <v>17167</v>
      </c>
      <c r="E1490" s="471" t="s">
        <v>20663</v>
      </c>
      <c r="F1490" s="486">
        <v>88315</v>
      </c>
      <c r="G1490" s="470" t="s">
        <v>7392</v>
      </c>
      <c r="H1490" s="482" t="s">
        <v>2032</v>
      </c>
      <c r="I1490" s="483">
        <f>20.16/1.5</f>
        <v>13.44</v>
      </c>
      <c r="J1490" s="473">
        <f t="shared" si="1096"/>
        <v>28.800000000000001</v>
      </c>
      <c r="K1490" s="474">
        <f t="shared" si="1111"/>
        <v>387.072</v>
      </c>
      <c r="L1490" s="473">
        <f t="shared" si="1105"/>
        <v>27.149999999999999</v>
      </c>
      <c r="M1490" s="474">
        <f t="shared" si="1112"/>
        <v>364.89599999999996</v>
      </c>
      <c r="O1490" s="434">
        <f t="shared" si="1103"/>
        <v>28.800000000000001</v>
      </c>
      <c r="P1490" s="435">
        <f t="shared" si="1104"/>
        <v>27.149999999999999</v>
      </c>
      <c r="R1490" s="510"/>
      <c r="AE1490" s="217"/>
      <c r="AF1490" s="217">
        <v>1159</v>
      </c>
      <c r="AH1490">
        <f t="shared" si="1110"/>
        <v>1159</v>
      </c>
    </row>
    <row r="1491" ht="30" hidden="1">
      <c r="A1491" s="217"/>
      <c r="B1491" s="217">
        <v>1159</v>
      </c>
      <c r="C1491" s="217"/>
      <c r="D1491" s="217" t="s">
        <v>17167</v>
      </c>
      <c r="E1491" s="471" t="s">
        <v>20665</v>
      </c>
      <c r="F1491" s="486">
        <v>88316</v>
      </c>
      <c r="G1491" s="470" t="s">
        <v>7393</v>
      </c>
      <c r="H1491" s="482" t="s">
        <v>2032</v>
      </c>
      <c r="I1491" s="483">
        <f>0.9774*7*1.7/1.5</f>
        <v>7.7540399999999998</v>
      </c>
      <c r="J1491" s="473">
        <f t="shared" si="1096"/>
        <v>22.760000000000002</v>
      </c>
      <c r="K1491" s="474">
        <f t="shared" si="1111"/>
        <v>176.48195040000002</v>
      </c>
      <c r="L1491" s="473">
        <f t="shared" si="1105"/>
        <v>21.550000000000001</v>
      </c>
      <c r="M1491" s="474">
        <f t="shared" si="1112"/>
        <v>167.09956199999999</v>
      </c>
      <c r="O1491" s="434">
        <f t="shared" si="1103"/>
        <v>22.760000000000002</v>
      </c>
      <c r="P1491" s="435">
        <f t="shared" si="1104"/>
        <v>21.550000000000001</v>
      </c>
      <c r="R1491" s="510" t="s">
        <v>21333</v>
      </c>
      <c r="AE1491" s="217"/>
      <c r="AF1491" s="217">
        <v>1159</v>
      </c>
      <c r="AH1491">
        <f t="shared" si="1110"/>
        <v>1159</v>
      </c>
    </row>
    <row r="1492" ht="30" hidden="1">
      <c r="A1492" s="217"/>
      <c r="B1492" s="217">
        <v>1159</v>
      </c>
      <c r="C1492" s="217"/>
      <c r="D1492" s="217" t="s">
        <v>17167</v>
      </c>
      <c r="E1492" s="471" t="s">
        <v>20667</v>
      </c>
      <c r="F1492" s="486">
        <v>88240</v>
      </c>
      <c r="G1492" s="470" t="s">
        <v>7090</v>
      </c>
      <c r="H1492" s="482" t="s">
        <v>2032</v>
      </c>
      <c r="I1492" s="483">
        <f>10.08/2</f>
        <v>5.04</v>
      </c>
      <c r="J1492" s="473">
        <f t="shared" si="1096"/>
        <v>22.16</v>
      </c>
      <c r="K1492" s="474">
        <f t="shared" si="1111"/>
        <v>111.68640000000001</v>
      </c>
      <c r="L1492" s="473">
        <f t="shared" si="1105"/>
        <v>20.899999999999999</v>
      </c>
      <c r="M1492" s="474">
        <f t="shared" si="1112"/>
        <v>105.336</v>
      </c>
      <c r="O1492" s="434">
        <f t="shared" si="1103"/>
        <v>22.16</v>
      </c>
      <c r="P1492" s="435">
        <f t="shared" si="1104"/>
        <v>20.899999999999999</v>
      </c>
      <c r="AE1492" s="217"/>
      <c r="AF1492" s="217">
        <v>1159</v>
      </c>
      <c r="AH1492">
        <f t="shared" si="1110"/>
        <v>1159</v>
      </c>
    </row>
    <row r="1493" ht="30" hidden="1">
      <c r="A1493" s="217"/>
      <c r="B1493" s="217">
        <v>1159</v>
      </c>
      <c r="C1493" s="217"/>
      <c r="D1493" s="217" t="s">
        <v>17167</v>
      </c>
      <c r="E1493" s="471" t="s">
        <v>20671</v>
      </c>
      <c r="F1493" s="486">
        <v>88317</v>
      </c>
      <c r="G1493" s="470" t="s">
        <v>7396</v>
      </c>
      <c r="H1493" s="482" t="s">
        <v>2032</v>
      </c>
      <c r="I1493" s="483">
        <f>7.56/2</f>
        <v>3.7799999999999998</v>
      </c>
      <c r="J1493" s="473">
        <f t="shared" si="1096"/>
        <v>29.559999999999999</v>
      </c>
      <c r="K1493" s="474">
        <f t="shared" si="1111"/>
        <v>111.73679999999999</v>
      </c>
      <c r="L1493" s="473">
        <f t="shared" si="1105"/>
        <v>27.949999999999999</v>
      </c>
      <c r="M1493" s="474">
        <f t="shared" si="1112"/>
        <v>105.651</v>
      </c>
      <c r="O1493" s="434">
        <f t="shared" si="1103"/>
        <v>29.559999999999999</v>
      </c>
      <c r="P1493" s="435">
        <f t="shared" si="1104"/>
        <v>27.949999999999999</v>
      </c>
      <c r="AE1493" s="217"/>
      <c r="AF1493" s="217">
        <v>1159</v>
      </c>
      <c r="AH1493">
        <f t="shared" si="1110"/>
        <v>1159</v>
      </c>
    </row>
    <row r="1494" ht="45.75" hidden="1">
      <c r="A1494" s="217"/>
      <c r="B1494" s="217">
        <v>1159</v>
      </c>
      <c r="C1494" s="217"/>
      <c r="D1494" s="217" t="s">
        <v>17167</v>
      </c>
      <c r="E1494" s="471" t="s">
        <v>20672</v>
      </c>
      <c r="F1494" s="486">
        <v>92880</v>
      </c>
      <c r="G1494" s="470" t="s">
        <v>21334</v>
      </c>
      <c r="H1494" s="482" t="s">
        <v>302</v>
      </c>
      <c r="I1494" s="483">
        <f>0.15*3*2*2.47*1.05*2</f>
        <v>4.6683000000000003</v>
      </c>
      <c r="J1494" s="473">
        <f t="shared" si="1096"/>
        <v>9.5800000000000001</v>
      </c>
      <c r="K1494" s="474">
        <f t="shared" si="1111"/>
        <v>44.722314000000004</v>
      </c>
      <c r="L1494" s="473">
        <f t="shared" si="1105"/>
        <v>9.5800000000000001</v>
      </c>
      <c r="M1494" s="474">
        <f t="shared" si="1112"/>
        <v>44.722314000000004</v>
      </c>
      <c r="O1494" s="434">
        <f t="shared" si="1103"/>
        <v>9.5800000000000001</v>
      </c>
      <c r="P1494" s="435">
        <f t="shared" si="1104"/>
        <v>9.5800000000000001</v>
      </c>
      <c r="AE1494" s="217"/>
      <c r="AF1494" s="217">
        <v>1159</v>
      </c>
      <c r="AH1494">
        <f t="shared" si="1110"/>
        <v>1159</v>
      </c>
    </row>
    <row r="1495" ht="30" hidden="1">
      <c r="A1495" s="217"/>
      <c r="B1495" s="217">
        <v>1159</v>
      </c>
      <c r="C1495" s="217"/>
      <c r="D1495" s="217" t="s">
        <v>17167</v>
      </c>
      <c r="E1495" s="471" t="s">
        <v>20673</v>
      </c>
      <c r="F1495" s="486">
        <v>88310</v>
      </c>
      <c r="G1495" s="470" t="s">
        <v>7386</v>
      </c>
      <c r="H1495" s="482" t="s">
        <v>2032</v>
      </c>
      <c r="I1495" s="483">
        <f>10.08/1.5</f>
        <v>6.7199999999999998</v>
      </c>
      <c r="J1495" s="473">
        <f t="shared" si="1096"/>
        <v>30.210000000000001</v>
      </c>
      <c r="K1495" s="474">
        <f t="shared" si="1111"/>
        <v>203.0112</v>
      </c>
      <c r="L1495" s="473">
        <f t="shared" si="1105"/>
        <v>28.600000000000001</v>
      </c>
      <c r="M1495" s="474">
        <f t="shared" si="1112"/>
        <v>192.19200000000001</v>
      </c>
      <c r="O1495" s="434">
        <f t="shared" si="1103"/>
        <v>30.210000000000001</v>
      </c>
      <c r="P1495" s="435">
        <f t="shared" si="1104"/>
        <v>28.600000000000001</v>
      </c>
      <c r="AE1495" s="217"/>
      <c r="AF1495" s="217">
        <v>1159</v>
      </c>
      <c r="AH1495">
        <f t="shared" si="1110"/>
        <v>1159</v>
      </c>
    </row>
    <row r="1496" ht="30" hidden="1">
      <c r="A1496" s="217"/>
      <c r="B1496" s="217">
        <v>1159</v>
      </c>
      <c r="C1496" s="217"/>
      <c r="D1496" s="217" t="s">
        <v>20408</v>
      </c>
      <c r="E1496" s="471" t="s">
        <v>20675</v>
      </c>
      <c r="F1496" s="486">
        <v>7307</v>
      </c>
      <c r="G1496" s="470" t="s">
        <v>20998</v>
      </c>
      <c r="H1496" s="482" t="s">
        <v>9794</v>
      </c>
      <c r="I1496" s="483">
        <f>0.41958*3.6/2</f>
        <v>0.75524400000000003</v>
      </c>
      <c r="J1496" s="473">
        <f t="shared" si="1096"/>
        <v>41.960000000000001</v>
      </c>
      <c r="K1496" s="474">
        <f t="shared" si="1111"/>
        <v>31.690038240000003</v>
      </c>
      <c r="L1496" s="473">
        <f t="shared" si="1105"/>
        <v>41.960000000000001</v>
      </c>
      <c r="M1496" s="474">
        <f t="shared" si="1112"/>
        <v>31.690038240000003</v>
      </c>
      <c r="O1496" s="434">
        <f t="shared" si="1103"/>
        <v>41.960000000000001</v>
      </c>
      <c r="P1496" s="435">
        <f t="shared" si="1104"/>
        <v>41.960000000000001</v>
      </c>
      <c r="AE1496" s="217"/>
      <c r="AF1496" s="217">
        <v>1159</v>
      </c>
      <c r="AH1496">
        <f t="shared" si="1110"/>
        <v>1159</v>
      </c>
    </row>
    <row r="1497" ht="30" hidden="1">
      <c r="A1497" s="217"/>
      <c r="B1497" s="217">
        <v>1159</v>
      </c>
      <c r="C1497" s="217"/>
      <c r="D1497" s="217" t="s">
        <v>20408</v>
      </c>
      <c r="E1497" s="471" t="s">
        <v>20677</v>
      </c>
      <c r="F1497" s="486">
        <v>43647</v>
      </c>
      <c r="G1497" s="470" t="s">
        <v>14768</v>
      </c>
      <c r="H1497" s="482" t="s">
        <v>9794</v>
      </c>
      <c r="I1497" s="483">
        <f>0.504*3.6/2</f>
        <v>0.90720000000000001</v>
      </c>
      <c r="J1497" s="473">
        <f t="shared" si="1096"/>
        <v>28.920000000000002</v>
      </c>
      <c r="K1497" s="474">
        <f t="shared" si="1111"/>
        <v>26.236224</v>
      </c>
      <c r="L1497" s="473">
        <f t="shared" si="1105"/>
        <v>28.920000000000002</v>
      </c>
      <c r="M1497" s="474">
        <f t="shared" si="1112"/>
        <v>26.236224</v>
      </c>
      <c r="O1497" s="434">
        <f t="shared" si="1103"/>
        <v>28.920000000000002</v>
      </c>
      <c r="P1497" s="435">
        <f t="shared" si="1104"/>
        <v>28.920000000000002</v>
      </c>
      <c r="AE1497" s="217"/>
      <c r="AF1497" s="217">
        <v>1159</v>
      </c>
      <c r="AH1497">
        <f t="shared" si="1110"/>
        <v>1159</v>
      </c>
    </row>
    <row r="1498" ht="45" hidden="1">
      <c r="A1498" s="217"/>
      <c r="B1498" s="217">
        <v>1159</v>
      </c>
      <c r="C1498" s="217"/>
      <c r="D1498" s="217" t="s">
        <v>20408</v>
      </c>
      <c r="E1498" s="471" t="s">
        <v>20679</v>
      </c>
      <c r="F1498" s="486">
        <v>43054</v>
      </c>
      <c r="G1498" s="470" t="s">
        <v>21335</v>
      </c>
      <c r="H1498" s="482" t="s">
        <v>302</v>
      </c>
      <c r="I1498" s="483">
        <f>0.2*1.6*1.05</f>
        <v>0.33600000000000002</v>
      </c>
      <c r="J1498" s="473">
        <f t="shared" si="1096"/>
        <v>8.3599999999999994</v>
      </c>
      <c r="K1498" s="474">
        <f t="shared" si="1111"/>
        <v>2.8089599999999999</v>
      </c>
      <c r="L1498" s="473">
        <f t="shared" si="1105"/>
        <v>8.3599999999999994</v>
      </c>
      <c r="M1498" s="474">
        <f t="shared" si="1112"/>
        <v>2.8089599999999999</v>
      </c>
      <c r="O1498" s="434">
        <f t="shared" si="1103"/>
        <v>8.3599999999999994</v>
      </c>
      <c r="P1498" s="435">
        <f t="shared" si="1104"/>
        <v>8.3599999999999994</v>
      </c>
      <c r="AE1498" s="217"/>
      <c r="AF1498" s="217">
        <v>1159</v>
      </c>
      <c r="AH1498">
        <f t="shared" si="1110"/>
        <v>1159</v>
      </c>
    </row>
    <row r="1499" ht="45" hidden="1">
      <c r="A1499" s="217"/>
      <c r="B1499" s="217">
        <v>1159</v>
      </c>
      <c r="C1499" s="217"/>
      <c r="D1499" s="217" t="s">
        <v>20408</v>
      </c>
      <c r="E1499" s="471" t="s">
        <v>20681</v>
      </c>
      <c r="F1499" s="486">
        <v>546</v>
      </c>
      <c r="G1499" s="470" t="s">
        <v>21336</v>
      </c>
      <c r="H1499" s="482" t="s">
        <v>302</v>
      </c>
      <c r="I1499" s="483">
        <f>((0.79*2+0.77*2)*8+0.2*4)*0.4*1.05+0.1*2*1.27*1.05</f>
        <v>11.085900000000001</v>
      </c>
      <c r="J1499" s="473">
        <f t="shared" si="1096"/>
        <v>9.5899999999999999</v>
      </c>
      <c r="K1499" s="474">
        <f t="shared" si="1111"/>
        <v>106.31378100000001</v>
      </c>
      <c r="L1499" s="473">
        <f t="shared" si="1105"/>
        <v>9.5899999999999999</v>
      </c>
      <c r="M1499" s="474">
        <f t="shared" si="1112"/>
        <v>106.31378100000001</v>
      </c>
      <c r="O1499" s="434">
        <f t="shared" si="1103"/>
        <v>9.5899999999999999</v>
      </c>
      <c r="P1499" s="435">
        <f t="shared" si="1104"/>
        <v>9.5899999999999999</v>
      </c>
      <c r="AE1499" s="217"/>
      <c r="AF1499" s="217">
        <v>1159</v>
      </c>
      <c r="AH1499">
        <f t="shared" si="1110"/>
        <v>1159</v>
      </c>
    </row>
    <row r="1500" ht="60" hidden="1">
      <c r="A1500" s="217"/>
      <c r="B1500" s="217">
        <v>1159</v>
      </c>
      <c r="C1500" s="217"/>
      <c r="D1500" s="217" t="s">
        <v>20408</v>
      </c>
      <c r="E1500" s="471" t="s">
        <v>20683</v>
      </c>
      <c r="F1500" s="486">
        <v>4777</v>
      </c>
      <c r="G1500" s="470" t="s">
        <v>21337</v>
      </c>
      <c r="H1500" s="482" t="s">
        <v>302</v>
      </c>
      <c r="I1500" s="483">
        <f>((0.79*2+0.77*2)*8+0.15*6)*1.04*1.05</f>
        <v>28.23912</v>
      </c>
      <c r="J1500" s="473">
        <f t="shared" si="1096"/>
        <v>8.0199999999999996</v>
      </c>
      <c r="K1500" s="474">
        <f t="shared" si="1111"/>
        <v>226.47774239999998</v>
      </c>
      <c r="L1500" s="473">
        <f t="shared" si="1105"/>
        <v>8.0199999999999996</v>
      </c>
      <c r="M1500" s="474">
        <f t="shared" si="1112"/>
        <v>226.47774239999998</v>
      </c>
      <c r="O1500" s="434">
        <f t="shared" si="1103"/>
        <v>8.0199999999999996</v>
      </c>
      <c r="P1500" s="435">
        <f t="shared" si="1104"/>
        <v>8.0199999999999996</v>
      </c>
      <c r="AE1500" s="217"/>
      <c r="AF1500" s="217">
        <v>1159</v>
      </c>
      <c r="AH1500">
        <f t="shared" si="1110"/>
        <v>1159</v>
      </c>
    </row>
    <row r="1501" ht="84.75" hidden="1" customHeight="1">
      <c r="A1501" s="460">
        <v>1160</v>
      </c>
      <c r="B1501" s="460">
        <v>1160</v>
      </c>
      <c r="C1501" s="460"/>
      <c r="D1501" s="460"/>
      <c r="E1501" s="461">
        <v>1</v>
      </c>
      <c r="F1501" s="462" t="s">
        <v>21341</v>
      </c>
      <c r="G1501" s="477" t="s">
        <v>21342</v>
      </c>
      <c r="H1501" s="478" t="s">
        <v>38</v>
      </c>
      <c r="I1501" s="479"/>
      <c r="J1501" s="480"/>
      <c r="K1501" s="466">
        <f>SUM(K1502:K1508)</f>
        <v>44.669696267199996</v>
      </c>
      <c r="L1501" s="480"/>
      <c r="M1501" s="466">
        <f>SUM(M1502:M1508)</f>
        <v>44.107676368799993</v>
      </c>
      <c r="N1501" s="467" t="s">
        <v>21343</v>
      </c>
      <c r="O1501" s="434" t="str">
        <f t="shared" si="1103"/>
        <v xml:space="preserve">SEM VALOR</v>
      </c>
      <c r="P1501" s="435" t="str">
        <f t="shared" si="1104"/>
        <v xml:space="preserve">SEM VALOR</v>
      </c>
      <c r="AE1501" s="460">
        <v>1160</v>
      </c>
      <c r="AF1501" s="460"/>
      <c r="AH1501">
        <f t="shared" si="1110"/>
        <v>1160</v>
      </c>
    </row>
    <row r="1502" ht="75" hidden="1">
      <c r="A1502" s="217"/>
      <c r="B1502" s="217">
        <v>1160</v>
      </c>
      <c r="C1502" s="217"/>
      <c r="D1502" s="217" t="s">
        <v>17167</v>
      </c>
      <c r="E1502" s="471" t="s">
        <v>20399</v>
      </c>
      <c r="F1502" s="482">
        <v>102713</v>
      </c>
      <c r="G1502" s="470" t="s">
        <v>3044</v>
      </c>
      <c r="H1502" s="482" t="s">
        <v>15515</v>
      </c>
      <c r="I1502" s="483">
        <v>1.0029999999999999</v>
      </c>
      <c r="J1502" s="473">
        <f t="shared" ref="J1502:J1565" si="1113">O1502*$J$3</f>
        <v>12.460000000000001</v>
      </c>
      <c r="K1502" s="474">
        <f t="shared" ref="K1502:K1508" si="1114">I1502*J1502</f>
        <v>12.49738</v>
      </c>
      <c r="L1502" s="473">
        <f t="shared" si="1105"/>
        <v>12.44</v>
      </c>
      <c r="M1502" s="474">
        <f t="shared" ref="M1502:M1508" si="1115">L1502*I1502</f>
        <v>12.477319999999999</v>
      </c>
      <c r="O1502" s="434">
        <f t="shared" si="1103"/>
        <v>12.460000000000001</v>
      </c>
      <c r="P1502" s="435">
        <f t="shared" si="1104"/>
        <v>12.44</v>
      </c>
      <c r="AE1502" s="217"/>
      <c r="AF1502" s="217">
        <v>1160</v>
      </c>
      <c r="AH1502">
        <f t="shared" si="1110"/>
        <v>1160</v>
      </c>
    </row>
    <row r="1503" ht="60" hidden="1">
      <c r="A1503" s="217"/>
      <c r="B1503" s="217">
        <v>1160</v>
      </c>
      <c r="C1503" s="217"/>
      <c r="D1503" s="217" t="s">
        <v>17167</v>
      </c>
      <c r="E1503" s="471" t="s">
        <v>20402</v>
      </c>
      <c r="F1503" s="482">
        <v>102704</v>
      </c>
      <c r="G1503" s="470" t="s">
        <v>3053</v>
      </c>
      <c r="H1503" s="482" t="s">
        <v>38</v>
      </c>
      <c r="I1503" s="483">
        <v>1</v>
      </c>
      <c r="J1503" s="473">
        <f t="shared" si="1113"/>
        <v>11.19</v>
      </c>
      <c r="K1503" s="474">
        <f t="shared" si="1114"/>
        <v>11.19</v>
      </c>
      <c r="L1503" s="473">
        <f t="shared" si="1105"/>
        <v>11.17</v>
      </c>
      <c r="M1503" s="474">
        <f t="shared" si="1115"/>
        <v>11.17</v>
      </c>
      <c r="O1503" s="434">
        <f t="shared" si="1103"/>
        <v>11.19</v>
      </c>
      <c r="P1503" s="435">
        <f t="shared" si="1104"/>
        <v>11.17</v>
      </c>
      <c r="AE1503" s="217"/>
      <c r="AF1503" s="217">
        <v>1160</v>
      </c>
      <c r="AH1503">
        <f t="shared" si="1110"/>
        <v>1160</v>
      </c>
    </row>
    <row r="1504" ht="30" hidden="1">
      <c r="A1504" s="217"/>
      <c r="B1504" s="217">
        <v>1160</v>
      </c>
      <c r="C1504" s="217"/>
      <c r="D1504" s="217" t="s">
        <v>17167</v>
      </c>
      <c r="E1504" s="471" t="s">
        <v>20405</v>
      </c>
      <c r="F1504" s="482">
        <v>102719</v>
      </c>
      <c r="G1504" s="470" t="s">
        <v>3041</v>
      </c>
      <c r="H1504" s="482" t="s">
        <v>15528</v>
      </c>
      <c r="I1504" s="483">
        <v>4.0000000000000001e-002</v>
      </c>
      <c r="J1504" s="473">
        <f t="shared" si="1113"/>
        <v>147.03</v>
      </c>
      <c r="K1504" s="474">
        <f t="shared" si="1114"/>
        <v>5.8811999999999998</v>
      </c>
      <c r="L1504" s="473">
        <f t="shared" si="1105"/>
        <v>145.08000000000001</v>
      </c>
      <c r="M1504" s="474">
        <f t="shared" si="1115"/>
        <v>5.8032000000000004</v>
      </c>
      <c r="O1504" s="434">
        <f t="shared" si="1103"/>
        <v>147.03</v>
      </c>
      <c r="P1504" s="435">
        <f t="shared" si="1104"/>
        <v>145.08000000000001</v>
      </c>
      <c r="AE1504" s="217"/>
      <c r="AF1504" s="217">
        <v>1160</v>
      </c>
      <c r="AH1504">
        <f t="shared" si="1110"/>
        <v>1160</v>
      </c>
    </row>
    <row r="1505" ht="45" hidden="1">
      <c r="A1505" s="217"/>
      <c r="B1505" s="217">
        <v>1160</v>
      </c>
      <c r="C1505" s="217"/>
      <c r="D1505" s="217" t="s">
        <v>20398</v>
      </c>
      <c r="E1505" s="471" t="s">
        <v>20409</v>
      </c>
      <c r="F1505" s="482">
        <v>1175</v>
      </c>
      <c r="G1505" s="470" t="s">
        <v>21344</v>
      </c>
      <c r="H1505" s="482" t="s">
        <v>15528</v>
      </c>
      <c r="I1505" s="483">
        <v>0.20000000000000001</v>
      </c>
      <c r="J1505" s="473">
        <f t="shared" si="1113"/>
        <v>50.686786336000004</v>
      </c>
      <c r="K1505" s="474">
        <f t="shared" si="1114"/>
        <v>10.137357267200002</v>
      </c>
      <c r="L1505" s="473">
        <f t="shared" si="1105"/>
        <v>49.684339844000007</v>
      </c>
      <c r="M1505" s="474">
        <f t="shared" si="1115"/>
        <v>9.9368679688000014</v>
      </c>
      <c r="O1505" s="434">
        <f t="shared" si="1103"/>
        <v>50.686786336000004</v>
      </c>
      <c r="P1505" s="435">
        <f t="shared" si="1104"/>
        <v>49.684339844000007</v>
      </c>
      <c r="AE1505" s="217"/>
      <c r="AF1505" s="217">
        <v>1160</v>
      </c>
      <c r="AH1505">
        <f t="shared" si="1110"/>
        <v>1160</v>
      </c>
    </row>
    <row r="1506" ht="45" hidden="1">
      <c r="A1506" s="217"/>
      <c r="B1506" s="217">
        <v>1160</v>
      </c>
      <c r="C1506" s="217"/>
      <c r="D1506" s="217" t="s">
        <v>17167</v>
      </c>
      <c r="E1506" s="471" t="s">
        <v>20663</v>
      </c>
      <c r="F1506" s="482">
        <v>93382</v>
      </c>
      <c r="G1506" s="470" t="s">
        <v>20722</v>
      </c>
      <c r="H1506" s="482" t="s">
        <v>15528</v>
      </c>
      <c r="I1506" s="483">
        <v>0.16</v>
      </c>
      <c r="J1506" s="473">
        <f t="shared" si="1113"/>
        <v>27.52</v>
      </c>
      <c r="K1506" s="474">
        <f t="shared" si="1114"/>
        <v>4.4032</v>
      </c>
      <c r="L1506" s="473">
        <f t="shared" si="1105"/>
        <v>26.190000000000001</v>
      </c>
      <c r="M1506" s="474">
        <f t="shared" si="1115"/>
        <v>4.1904000000000003</v>
      </c>
      <c r="O1506" s="434">
        <f t="shared" si="1103"/>
        <v>27.52</v>
      </c>
      <c r="P1506" s="435">
        <f t="shared" si="1104"/>
        <v>26.190000000000001</v>
      </c>
      <c r="AE1506" s="217"/>
      <c r="AF1506" s="217">
        <v>1160</v>
      </c>
      <c r="AH1506">
        <f t="shared" si="1110"/>
        <v>1160</v>
      </c>
    </row>
    <row r="1507" ht="30" hidden="1">
      <c r="A1507" s="217"/>
      <c r="B1507" s="217">
        <v>1160</v>
      </c>
      <c r="C1507" s="217"/>
      <c r="D1507" s="217" t="s">
        <v>17167</v>
      </c>
      <c r="E1507" s="471" t="s">
        <v>20665</v>
      </c>
      <c r="F1507" s="482">
        <v>88316</v>
      </c>
      <c r="G1507" s="470" t="s">
        <v>7393</v>
      </c>
      <c r="H1507" s="482" t="s">
        <v>2032</v>
      </c>
      <c r="I1507" s="483">
        <v>1.515e-002</v>
      </c>
      <c r="J1507" s="473">
        <f t="shared" si="1113"/>
        <v>22.760000000000002</v>
      </c>
      <c r="K1507" s="474">
        <f t="shared" si="1114"/>
        <v>0.34481400000000001</v>
      </c>
      <c r="L1507" s="473">
        <f t="shared" si="1105"/>
        <v>21.550000000000001</v>
      </c>
      <c r="M1507" s="474">
        <f t="shared" si="1115"/>
        <v>0.32648250000000001</v>
      </c>
      <c r="O1507" s="434">
        <f t="shared" si="1103"/>
        <v>22.760000000000002</v>
      </c>
      <c r="P1507" s="435">
        <f t="shared" si="1104"/>
        <v>21.550000000000001</v>
      </c>
      <c r="AE1507" s="217"/>
      <c r="AF1507" s="217">
        <v>1160</v>
      </c>
      <c r="AH1507">
        <f t="shared" si="1110"/>
        <v>1160</v>
      </c>
    </row>
    <row r="1508" ht="30" hidden="1">
      <c r="A1508" s="217"/>
      <c r="B1508" s="217">
        <v>1160</v>
      </c>
      <c r="C1508" s="217"/>
      <c r="D1508" s="217" t="s">
        <v>17167</v>
      </c>
      <c r="E1508" s="471" t="s">
        <v>20667</v>
      </c>
      <c r="F1508" s="482">
        <v>88309</v>
      </c>
      <c r="G1508" s="470" t="s">
        <v>7385</v>
      </c>
      <c r="H1508" s="482" t="s">
        <v>2032</v>
      </c>
      <c r="I1508" s="483">
        <v>7.5700000000000003e-003</v>
      </c>
      <c r="J1508" s="473">
        <f t="shared" si="1113"/>
        <v>28.5</v>
      </c>
      <c r="K1508" s="474">
        <f t="shared" si="1114"/>
        <v>0.21574500000000002</v>
      </c>
      <c r="L1508" s="473">
        <f t="shared" si="1105"/>
        <v>26.870000000000001</v>
      </c>
      <c r="M1508" s="474">
        <f t="shared" si="1115"/>
        <v>0.20340590000000003</v>
      </c>
      <c r="O1508" s="434">
        <f t="shared" si="1103"/>
        <v>28.5</v>
      </c>
      <c r="P1508" s="435">
        <f t="shared" si="1104"/>
        <v>26.870000000000001</v>
      </c>
      <c r="AE1508" s="217"/>
      <c r="AF1508" s="217">
        <v>1160</v>
      </c>
      <c r="AH1508">
        <f t="shared" si="1110"/>
        <v>1160</v>
      </c>
    </row>
    <row r="1509" ht="94.5" hidden="1">
      <c r="A1509" s="460">
        <v>1161</v>
      </c>
      <c r="B1509" s="460">
        <v>1161</v>
      </c>
      <c r="C1509" s="460"/>
      <c r="D1509" s="460"/>
      <c r="E1509" s="461">
        <v>1</v>
      </c>
      <c r="F1509" s="462" t="s">
        <v>21345</v>
      </c>
      <c r="G1509" s="477" t="s">
        <v>21346</v>
      </c>
      <c r="H1509" s="478" t="s">
        <v>38</v>
      </c>
      <c r="I1509" s="479"/>
      <c r="J1509" s="480"/>
      <c r="K1509" s="466">
        <f>SUM(K1510:K1513)</f>
        <v>338.80080000000004</v>
      </c>
      <c r="L1509" s="480"/>
      <c r="M1509" s="466">
        <f>SUM(M1510:M1513)</f>
        <v>328.86631</v>
      </c>
      <c r="N1509" s="467" t="s">
        <v>21347</v>
      </c>
      <c r="O1509" s="434" t="str">
        <f t="shared" si="1103"/>
        <v xml:space="preserve">SEM VALOR</v>
      </c>
      <c r="P1509" s="435" t="str">
        <f t="shared" si="1104"/>
        <v xml:space="preserve">SEM VALOR</v>
      </c>
      <c r="AE1509" s="460">
        <v>1161</v>
      </c>
      <c r="AF1509" s="460"/>
      <c r="AH1509">
        <f t="shared" si="1110"/>
        <v>1161</v>
      </c>
    </row>
    <row r="1510" ht="45" hidden="1">
      <c r="A1510" s="217"/>
      <c r="B1510" s="217">
        <v>1161</v>
      </c>
      <c r="C1510" s="217"/>
      <c r="D1510" s="217" t="s">
        <v>17167</v>
      </c>
      <c r="E1510" s="471" t="s">
        <v>20399</v>
      </c>
      <c r="F1510" s="482">
        <v>88631</v>
      </c>
      <c r="G1510" s="470" t="s">
        <v>256</v>
      </c>
      <c r="H1510" s="482" t="s">
        <v>15528</v>
      </c>
      <c r="I1510" s="483">
        <v>7.1999999999999995e-002</v>
      </c>
      <c r="J1510" s="473">
        <f t="shared" si="1113"/>
        <v>599.38999999999999</v>
      </c>
      <c r="K1510" s="474">
        <f t="shared" ref="K1510:K1513" si="1116">I1510*J1510</f>
        <v>43.156079999999996</v>
      </c>
      <c r="L1510" s="473">
        <f t="shared" si="1105"/>
        <v>589.35000000000002</v>
      </c>
      <c r="M1510" s="474">
        <f t="shared" ref="M1510:M1513" si="1117">L1510*I1510</f>
        <v>42.433199999999999</v>
      </c>
      <c r="O1510" s="434">
        <f t="shared" si="1103"/>
        <v>599.38999999999999</v>
      </c>
      <c r="P1510" s="435">
        <f t="shared" si="1104"/>
        <v>589.35000000000002</v>
      </c>
      <c r="AE1510" s="217"/>
      <c r="AF1510" s="217">
        <v>1161</v>
      </c>
      <c r="AH1510">
        <f t="shared" si="1110"/>
        <v>1161</v>
      </c>
    </row>
    <row r="1511" ht="75" hidden="1">
      <c r="A1511" s="217"/>
      <c r="B1511" s="217">
        <v>1161</v>
      </c>
      <c r="C1511" s="217"/>
      <c r="D1511" s="217" t="s">
        <v>17167</v>
      </c>
      <c r="E1511" s="471" t="s">
        <v>20402</v>
      </c>
      <c r="F1511" s="489">
        <v>89272</v>
      </c>
      <c r="G1511" s="470" t="s">
        <v>1723</v>
      </c>
      <c r="H1511" s="482" t="s">
        <v>1535</v>
      </c>
      <c r="I1511" s="483">
        <v>0.67000000000000004</v>
      </c>
      <c r="J1511" s="473">
        <f t="shared" si="1113"/>
        <v>228.99000000000001</v>
      </c>
      <c r="K1511" s="474">
        <f t="shared" si="1116"/>
        <v>153.42330000000001</v>
      </c>
      <c r="L1511" s="473">
        <f t="shared" si="1105"/>
        <v>226.75999999999999</v>
      </c>
      <c r="M1511" s="474">
        <f t="shared" si="1117"/>
        <v>151.92920000000001</v>
      </c>
      <c r="O1511" s="434">
        <f t="shared" si="1103"/>
        <v>228.99000000000001</v>
      </c>
      <c r="P1511" s="435">
        <f t="shared" si="1104"/>
        <v>226.75999999999999</v>
      </c>
      <c r="AE1511" s="217"/>
      <c r="AF1511" s="217">
        <v>1161</v>
      </c>
      <c r="AH1511">
        <f t="shared" si="1110"/>
        <v>1161</v>
      </c>
    </row>
    <row r="1512" ht="30" hidden="1">
      <c r="A1512" s="217"/>
      <c r="B1512" s="217">
        <v>1161</v>
      </c>
      <c r="C1512" s="217"/>
      <c r="D1512" s="217" t="s">
        <v>17167</v>
      </c>
      <c r="E1512" s="471" t="s">
        <v>20405</v>
      </c>
      <c r="F1512" s="482">
        <v>88316</v>
      </c>
      <c r="G1512" s="470" t="s">
        <v>7393</v>
      </c>
      <c r="H1512" s="482" t="s">
        <v>2032</v>
      </c>
      <c r="I1512" s="483">
        <v>4.5419999999999998</v>
      </c>
      <c r="J1512" s="473">
        <f t="shared" si="1113"/>
        <v>22.760000000000002</v>
      </c>
      <c r="K1512" s="474">
        <f t="shared" si="1116"/>
        <v>103.37592000000001</v>
      </c>
      <c r="L1512" s="473">
        <f t="shared" si="1105"/>
        <v>21.550000000000001</v>
      </c>
      <c r="M1512" s="474">
        <f t="shared" si="1117"/>
        <v>97.880099999999999</v>
      </c>
      <c r="O1512" s="434">
        <f t="shared" si="1103"/>
        <v>22.760000000000002</v>
      </c>
      <c r="P1512" s="435">
        <f t="shared" si="1104"/>
        <v>21.550000000000001</v>
      </c>
      <c r="AE1512" s="217"/>
      <c r="AF1512" s="217">
        <v>1161</v>
      </c>
      <c r="AH1512">
        <f t="shared" si="1110"/>
        <v>1161</v>
      </c>
    </row>
    <row r="1513" ht="30" hidden="1">
      <c r="A1513" s="217"/>
      <c r="B1513" s="217">
        <v>1161</v>
      </c>
      <c r="C1513" s="217"/>
      <c r="D1513" s="217" t="s">
        <v>17167</v>
      </c>
      <c r="E1513" s="471" t="s">
        <v>20409</v>
      </c>
      <c r="F1513" s="482">
        <v>88309</v>
      </c>
      <c r="G1513" s="470" t="s">
        <v>7385</v>
      </c>
      <c r="H1513" s="482" t="s">
        <v>2032</v>
      </c>
      <c r="I1513" s="483">
        <v>1.363</v>
      </c>
      <c r="J1513" s="473">
        <f t="shared" si="1113"/>
        <v>28.5</v>
      </c>
      <c r="K1513" s="474">
        <f t="shared" si="1116"/>
        <v>38.845500000000001</v>
      </c>
      <c r="L1513" s="473">
        <f t="shared" si="1105"/>
        <v>26.870000000000001</v>
      </c>
      <c r="M1513" s="474">
        <f t="shared" si="1117"/>
        <v>36.623809999999999</v>
      </c>
      <c r="O1513" s="434">
        <f t="shared" si="1103"/>
        <v>28.5</v>
      </c>
      <c r="P1513" s="435">
        <f t="shared" si="1104"/>
        <v>26.870000000000001</v>
      </c>
      <c r="AE1513" s="217"/>
      <c r="AF1513" s="217">
        <v>1161</v>
      </c>
      <c r="AH1513">
        <f t="shared" si="1110"/>
        <v>1161</v>
      </c>
    </row>
    <row r="1514" ht="31.5" hidden="1">
      <c r="A1514" s="460">
        <v>1162</v>
      </c>
      <c r="B1514" s="460">
        <v>1162</v>
      </c>
      <c r="C1514" s="460"/>
      <c r="D1514" s="460"/>
      <c r="E1514" s="461">
        <v>1</v>
      </c>
      <c r="F1514" s="462" t="s">
        <v>21348</v>
      </c>
      <c r="G1514" s="477" t="s">
        <v>21349</v>
      </c>
      <c r="H1514" s="478" t="s">
        <v>15515</v>
      </c>
      <c r="I1514" s="479"/>
      <c r="J1514" s="480"/>
      <c r="K1514" s="466">
        <f>SUM(K1515:K1516)</f>
        <v>0.41704088700000003</v>
      </c>
      <c r="L1514" s="480"/>
      <c r="M1514" s="466">
        <f>SUM(M1515:M1516)</f>
        <v>0.41204840399999998</v>
      </c>
      <c r="N1514" s="467" t="s">
        <v>21350</v>
      </c>
      <c r="O1514" s="434" t="str">
        <f t="shared" si="1103"/>
        <v xml:space="preserve">SEM VALOR</v>
      </c>
      <c r="P1514" s="435" t="str">
        <f t="shared" si="1104"/>
        <v xml:space="preserve">SEM VALOR</v>
      </c>
      <c r="AE1514" s="460">
        <v>1162</v>
      </c>
      <c r="AF1514" s="460"/>
      <c r="AH1514">
        <f t="shared" si="1110"/>
        <v>1162</v>
      </c>
    </row>
    <row r="1515" ht="60" hidden="1">
      <c r="A1515" s="217"/>
      <c r="B1515" s="217">
        <v>1162</v>
      </c>
      <c r="C1515" s="217"/>
      <c r="D1515" s="217" t="s">
        <v>17167</v>
      </c>
      <c r="E1515" s="471" t="s">
        <v>20399</v>
      </c>
      <c r="F1515" s="482">
        <v>88843</v>
      </c>
      <c r="G1515" s="470" t="s">
        <v>1917</v>
      </c>
      <c r="H1515" s="482" t="s">
        <v>1535</v>
      </c>
      <c r="I1515" s="483">
        <f t="shared" ref="I1515:I1516" si="1118">1/622.95</f>
        <v>1.6053e-003</v>
      </c>
      <c r="J1515" s="473">
        <f t="shared" si="1113"/>
        <v>237.03</v>
      </c>
      <c r="K1515" s="474">
        <f t="shared" ref="K1515:K1516" si="1119">I1515*J1515</f>
        <v>0.38050425900000001</v>
      </c>
      <c r="L1515" s="473">
        <f t="shared" si="1105"/>
        <v>235.13</v>
      </c>
      <c r="M1515" s="474">
        <f t="shared" ref="M1515:M1516" si="1120">L1515*I1515</f>
        <v>0.377454189</v>
      </c>
      <c r="N1515" s="467" t="s">
        <v>21351</v>
      </c>
      <c r="O1515" s="434">
        <f t="shared" si="1103"/>
        <v>237.03</v>
      </c>
      <c r="P1515" s="435">
        <f t="shared" si="1104"/>
        <v>235.13</v>
      </c>
      <c r="AE1515" s="217"/>
      <c r="AF1515" s="217">
        <v>1162</v>
      </c>
      <c r="AH1515">
        <f t="shared" si="1110"/>
        <v>1162</v>
      </c>
    </row>
    <row r="1516" ht="30" hidden="1">
      <c r="A1516" s="217"/>
      <c r="B1516" s="217">
        <v>1162</v>
      </c>
      <c r="C1516" s="217"/>
      <c r="D1516" s="217" t="s">
        <v>17167</v>
      </c>
      <c r="E1516" s="471" t="s">
        <v>20402</v>
      </c>
      <c r="F1516" s="482">
        <v>88316</v>
      </c>
      <c r="G1516" s="470" t="s">
        <v>7393</v>
      </c>
      <c r="H1516" s="482" t="s">
        <v>2032</v>
      </c>
      <c r="I1516" s="483">
        <f t="shared" si="1118"/>
        <v>1.6053e-003</v>
      </c>
      <c r="J1516" s="473">
        <f t="shared" si="1113"/>
        <v>22.760000000000002</v>
      </c>
      <c r="K1516" s="474">
        <f t="shared" si="1119"/>
        <v>3.6536628000000002e-002</v>
      </c>
      <c r="L1516" s="473">
        <f t="shared" si="1105"/>
        <v>21.550000000000001</v>
      </c>
      <c r="M1516" s="474">
        <f t="shared" si="1120"/>
        <v>3.4594215000000005e-002</v>
      </c>
      <c r="O1516" s="434">
        <f t="shared" ref="O1516:O1579" si="1121">IFERROR(IF(D1516="SINAPI",VLOOKUP(F1516,SINCOMOD,4,FALSE),IF(D1516="INSINAPI",VLOOKUP(F1516,INSINOD,5,FALSE),IF(D1516="SICRO",VLOOKUP(F1516,SICRO,5,FALSE),IF(D1516="COTACAO",VLOOKUP(F1516,COTACAO,6,FALSE),IF(D1516="PRÓPRIO",VLOOKUP(F1516,COMPOD,11,FALSE),IF(D1516="AGESUL",VLOOKUP(F1516,AGESULOD,6,FALSE),IF(D1516="INSAGESUL",VLOOKUP(F1516,INSAGESUL,7,FALSE),"SEM VALOR"))))))),"SEM VALOR")</f>
        <v>22.760000000000002</v>
      </c>
      <c r="P1516" s="435">
        <f t="shared" ref="P1516:P1579" si="1122">IFERROR(IF(D1516="SINAPI",VLOOKUP(F1516,SINCOMOD,6,FALSE),IF(D1516="INSINAPI",VLOOKUP(F1516,INSINOD,6,FALSE),IF(D1516="SICRO",VLOOKUP(F1516,SICRO,5,FALSE),IF(D1516="COTACAO",VLOOKUP(F1516,COTACAO,6,FALSE),IF(D1516="PRÓPRIO",VLOOKUP(F1516,COMPOD,13,FALSE),IF(D1516="AGESUL",VLOOKUP(F1516,AGESULOD,11,FALSE),IF(D1516="INSAGESUL",VLOOKUP(F1516,INSAGESUL,8,FALSE),"SEM VALOR"))))))),"SEM VALOR")</f>
        <v>21.550000000000001</v>
      </c>
      <c r="AE1516" s="217"/>
      <c r="AF1516" s="217">
        <v>1162</v>
      </c>
      <c r="AH1516">
        <f t="shared" si="1110"/>
        <v>1162</v>
      </c>
    </row>
    <row r="1517" ht="78.75" hidden="1">
      <c r="A1517" s="460">
        <v>1163</v>
      </c>
      <c r="B1517" s="460">
        <v>1163</v>
      </c>
      <c r="C1517" s="460"/>
      <c r="D1517" s="460"/>
      <c r="E1517" s="461">
        <v>1</v>
      </c>
      <c r="F1517" s="462" t="s">
        <v>21352</v>
      </c>
      <c r="G1517" s="477" t="s">
        <v>21353</v>
      </c>
      <c r="H1517" s="478" t="s">
        <v>15515</v>
      </c>
      <c r="I1517" s="479"/>
      <c r="J1517" s="480"/>
      <c r="K1517" s="466">
        <f>SUM(K1518:K1519)</f>
        <v>0.52144147200000002</v>
      </c>
      <c r="L1517" s="480"/>
      <c r="M1517" s="466">
        <f>SUM(M1518:M1519)</f>
        <v>0.51862322500000002</v>
      </c>
      <c r="N1517" s="467" t="s">
        <v>21354</v>
      </c>
      <c r="O1517" s="434" t="str">
        <f t="shared" si="1121"/>
        <v xml:space="preserve">SEM VALOR</v>
      </c>
      <c r="P1517" s="435" t="str">
        <f t="shared" si="1122"/>
        <v xml:space="preserve">SEM VALOR</v>
      </c>
      <c r="AE1517" s="460">
        <v>1163</v>
      </c>
      <c r="AF1517" s="460"/>
      <c r="AH1517">
        <f t="shared" si="1110"/>
        <v>1163</v>
      </c>
    </row>
    <row r="1518" ht="60" hidden="1">
      <c r="A1518" s="217"/>
      <c r="B1518" s="217">
        <v>1163</v>
      </c>
      <c r="C1518" s="217"/>
      <c r="D1518" s="217" t="s">
        <v>17167</v>
      </c>
      <c r="E1518" s="471" t="s">
        <v>20399</v>
      </c>
      <c r="F1518" s="482">
        <v>5855</v>
      </c>
      <c r="G1518" s="470" t="s">
        <v>1923</v>
      </c>
      <c r="H1518" s="482" t="s">
        <v>1535</v>
      </c>
      <c r="I1518" s="483">
        <f>1/1532.91</f>
        <v>6.5240000000000003e-004</v>
      </c>
      <c r="J1518" s="473">
        <f t="shared" si="1113"/>
        <v>753.75</v>
      </c>
      <c r="K1518" s="474">
        <f t="shared" ref="K1518:K1519" si="1123">I1518*J1518</f>
        <v>0.49174650000000003</v>
      </c>
      <c r="L1518" s="473">
        <f t="shared" ref="L1517:L1580" si="1124">P1518*$L$3</f>
        <v>751.85000000000002</v>
      </c>
      <c r="M1518" s="474">
        <f t="shared" ref="M1518:M1519" si="1125">L1518*I1518</f>
        <v>0.49050694000000006</v>
      </c>
      <c r="N1518" s="467" t="s">
        <v>21355</v>
      </c>
      <c r="O1518" s="434">
        <f t="shared" si="1121"/>
        <v>753.75</v>
      </c>
      <c r="P1518" s="435">
        <f t="shared" si="1122"/>
        <v>751.85000000000002</v>
      </c>
      <c r="AE1518" s="217"/>
      <c r="AF1518" s="217">
        <v>1163</v>
      </c>
      <c r="AH1518">
        <f t="shared" si="1110"/>
        <v>1163</v>
      </c>
    </row>
    <row r="1519" ht="30" hidden="1">
      <c r="A1519" s="217"/>
      <c r="B1519" s="217">
        <v>1163</v>
      </c>
      <c r="C1519" s="217"/>
      <c r="D1519" s="217" t="s">
        <v>17167</v>
      </c>
      <c r="E1519" s="471" t="s">
        <v>20402</v>
      </c>
      <c r="F1519" s="482">
        <v>88316</v>
      </c>
      <c r="G1519" s="470" t="s">
        <v>7393</v>
      </c>
      <c r="H1519" s="482" t="s">
        <v>2032</v>
      </c>
      <c r="I1519" s="483">
        <f>2/1532.91</f>
        <v>1.3047e-003</v>
      </c>
      <c r="J1519" s="473">
        <f t="shared" si="1113"/>
        <v>22.760000000000002</v>
      </c>
      <c r="K1519" s="474">
        <f t="shared" si="1123"/>
        <v>2.9694972000000004e-002</v>
      </c>
      <c r="L1519" s="473">
        <f t="shared" si="1124"/>
        <v>21.550000000000001</v>
      </c>
      <c r="M1519" s="474">
        <f t="shared" si="1125"/>
        <v>2.8116285000000001e-002</v>
      </c>
      <c r="O1519" s="434">
        <f t="shared" si="1121"/>
        <v>22.760000000000002</v>
      </c>
      <c r="P1519" s="435">
        <f t="shared" si="1122"/>
        <v>21.550000000000001</v>
      </c>
      <c r="AE1519" s="217"/>
      <c r="AF1519" s="217">
        <v>1163</v>
      </c>
      <c r="AH1519">
        <f t="shared" si="1110"/>
        <v>1163</v>
      </c>
    </row>
    <row r="1520" ht="47.25" hidden="1">
      <c r="A1520" s="460">
        <v>1164</v>
      </c>
      <c r="B1520" s="460">
        <v>1164</v>
      </c>
      <c r="C1520" s="460"/>
      <c r="D1520" s="460"/>
      <c r="E1520" s="461">
        <v>1</v>
      </c>
      <c r="F1520" s="462" t="s">
        <v>21356</v>
      </c>
      <c r="G1520" s="477" t="s">
        <v>21357</v>
      </c>
      <c r="H1520" s="478" t="s">
        <v>31</v>
      </c>
      <c r="I1520" s="479"/>
      <c r="J1520" s="480"/>
      <c r="K1520" s="466">
        <f>SUM(K1521:K1522)</f>
        <v>38.519056979999995</v>
      </c>
      <c r="L1520" s="480"/>
      <c r="M1520" s="466">
        <f>SUM(M1521:M1522)</f>
        <v>38.310864205000001</v>
      </c>
      <c r="N1520" s="467" t="s">
        <v>21358</v>
      </c>
      <c r="O1520" s="434" t="str">
        <f t="shared" si="1121"/>
        <v xml:space="preserve">SEM VALOR</v>
      </c>
      <c r="P1520" s="435" t="str">
        <f t="shared" si="1122"/>
        <v xml:space="preserve">SEM VALOR</v>
      </c>
      <c r="AE1520" s="460">
        <v>1164</v>
      </c>
      <c r="AF1520" s="460"/>
      <c r="AH1520">
        <f t="shared" si="1110"/>
        <v>1164</v>
      </c>
    </row>
    <row r="1521" ht="60" hidden="1">
      <c r="A1521" s="217"/>
      <c r="B1521" s="217">
        <v>1164</v>
      </c>
      <c r="C1521" s="217"/>
      <c r="D1521" s="217" t="s">
        <v>17167</v>
      </c>
      <c r="E1521" s="471" t="s">
        <v>20399</v>
      </c>
      <c r="F1521" s="482">
        <v>5855</v>
      </c>
      <c r="G1521" s="470" t="s">
        <v>1923</v>
      </c>
      <c r="H1521" s="482" t="s">
        <v>1535</v>
      </c>
      <c r="I1521" s="483">
        <f>1/20.75</f>
        <v>4.8192800000000001e-002</v>
      </c>
      <c r="J1521" s="473">
        <f t="shared" si="1113"/>
        <v>753.75</v>
      </c>
      <c r="K1521" s="474">
        <f t="shared" ref="K1521:K1522" si="1126">I1521*J1521</f>
        <v>36.325322999999997</v>
      </c>
      <c r="L1521" s="473">
        <f t="shared" si="1124"/>
        <v>751.85000000000002</v>
      </c>
      <c r="M1521" s="474">
        <f t="shared" ref="M1521:M1522" si="1127">L1521*I1521</f>
        <v>36.233756679999999</v>
      </c>
      <c r="N1521" s="467" t="s">
        <v>21359</v>
      </c>
      <c r="O1521" s="434">
        <f t="shared" si="1121"/>
        <v>753.75</v>
      </c>
      <c r="P1521" s="435">
        <f t="shared" si="1122"/>
        <v>751.85000000000002</v>
      </c>
      <c r="AE1521" s="217"/>
      <c r="AF1521" s="217">
        <v>1164</v>
      </c>
      <c r="AH1521">
        <f t="shared" si="1110"/>
        <v>1164</v>
      </c>
    </row>
    <row r="1522" ht="30" hidden="1">
      <c r="A1522" s="217"/>
      <c r="B1522" s="217">
        <v>1164</v>
      </c>
      <c r="C1522" s="217"/>
      <c r="D1522" s="217" t="s">
        <v>17167</v>
      </c>
      <c r="E1522" s="471" t="s">
        <v>20402</v>
      </c>
      <c r="F1522" s="482">
        <v>88316</v>
      </c>
      <c r="G1522" s="470" t="s">
        <v>7393</v>
      </c>
      <c r="H1522" s="482" t="s">
        <v>2032</v>
      </c>
      <c r="I1522" s="483">
        <f>2/20.75</f>
        <v>9.6385499999999999e-002</v>
      </c>
      <c r="J1522" s="473">
        <f t="shared" si="1113"/>
        <v>22.760000000000002</v>
      </c>
      <c r="K1522" s="474">
        <f t="shared" si="1126"/>
        <v>2.1937339800000002</v>
      </c>
      <c r="L1522" s="473">
        <f t="shared" si="1124"/>
        <v>21.550000000000001</v>
      </c>
      <c r="M1522" s="474">
        <f t="shared" si="1127"/>
        <v>2.0771075250000002</v>
      </c>
      <c r="O1522" s="434">
        <f t="shared" si="1121"/>
        <v>22.760000000000002</v>
      </c>
      <c r="P1522" s="435">
        <f t="shared" si="1122"/>
        <v>21.550000000000001</v>
      </c>
      <c r="AE1522" s="217"/>
      <c r="AF1522" s="217">
        <v>1164</v>
      </c>
      <c r="AH1522">
        <f t="shared" si="1110"/>
        <v>1164</v>
      </c>
    </row>
    <row r="1523" ht="31.5" hidden="1">
      <c r="A1523" s="460">
        <v>1165</v>
      </c>
      <c r="B1523" s="460">
        <v>1165</v>
      </c>
      <c r="C1523" s="460"/>
      <c r="D1523" s="460"/>
      <c r="E1523" s="461">
        <v>1</v>
      </c>
      <c r="F1523" s="462" t="s">
        <v>21360</v>
      </c>
      <c r="G1523" s="463" t="s">
        <v>21361</v>
      </c>
      <c r="H1523" s="575" t="s">
        <v>15528</v>
      </c>
      <c r="I1523" s="479"/>
      <c r="J1523" s="480"/>
      <c r="K1523" s="466">
        <f>SUM(K1524:K1526)</f>
        <v>15.174228401999997</v>
      </c>
      <c r="L1523" s="480"/>
      <c r="M1523" s="466">
        <f>SUM(M1524:M1526)</f>
        <v>14.676950733999998</v>
      </c>
      <c r="N1523" s="467" t="s">
        <v>21362</v>
      </c>
      <c r="O1523" s="434" t="str">
        <f t="shared" si="1121"/>
        <v xml:space="preserve">SEM VALOR</v>
      </c>
      <c r="P1523" s="435" t="str">
        <f t="shared" si="1122"/>
        <v xml:space="preserve">SEM VALOR</v>
      </c>
      <c r="AE1523" s="460">
        <v>1165</v>
      </c>
      <c r="AF1523" s="460">
        <v>1165</v>
      </c>
      <c r="AH1523">
        <f t="shared" si="1110"/>
        <v>1165</v>
      </c>
    </row>
    <row r="1524" ht="30" hidden="1">
      <c r="A1524" s="217" t="s">
        <v>20464</v>
      </c>
      <c r="B1524" s="217">
        <v>1165</v>
      </c>
      <c r="C1524" s="217"/>
      <c r="D1524" s="217" t="s">
        <v>20644</v>
      </c>
      <c r="E1524" s="471" t="s">
        <v>20399</v>
      </c>
      <c r="F1524" s="486" t="s">
        <v>15408</v>
      </c>
      <c r="G1524" s="470" t="s">
        <v>21363</v>
      </c>
      <c r="H1524" s="482" t="s">
        <v>1535</v>
      </c>
      <c r="I1524" s="483">
        <f t="shared" ref="I1524:I1526" si="1128">1/5.51</f>
        <v>0.18148819999999999</v>
      </c>
      <c r="J1524" s="473">
        <f t="shared" si="1113"/>
        <v>33.649999999999999</v>
      </c>
      <c r="K1524" s="474">
        <f t="shared" ref="K1524:K1526" si="1129">I1524*J1524</f>
        <v>6.1070779299999991</v>
      </c>
      <c r="L1524" s="473">
        <f t="shared" si="1124"/>
        <v>33.649999999999999</v>
      </c>
      <c r="M1524" s="474">
        <f t="shared" ref="M1524:M1526" si="1130">L1524*I1524</f>
        <v>6.1070779299999991</v>
      </c>
      <c r="N1524" s="576" t="s">
        <v>21364</v>
      </c>
      <c r="O1524" s="434">
        <f t="shared" si="1121"/>
        <v>33.649999999999999</v>
      </c>
      <c r="P1524" s="435">
        <f t="shared" si="1122"/>
        <v>33.649999999999999</v>
      </c>
      <c r="AE1524" s="217" t="s">
        <v>20464</v>
      </c>
      <c r="AF1524" s="217">
        <v>1165</v>
      </c>
      <c r="AH1524">
        <f t="shared" si="1110"/>
        <v>1165</v>
      </c>
    </row>
    <row r="1525" ht="30" hidden="1">
      <c r="A1525" s="217"/>
      <c r="B1525" s="217">
        <v>1165</v>
      </c>
      <c r="C1525" s="217"/>
      <c r="D1525" s="217" t="s">
        <v>17167</v>
      </c>
      <c r="E1525" s="471" t="s">
        <v>20402</v>
      </c>
      <c r="F1525" s="486">
        <v>88441</v>
      </c>
      <c r="G1525" s="470" t="s">
        <v>7331</v>
      </c>
      <c r="H1525" s="482" t="s">
        <v>2032</v>
      </c>
      <c r="I1525" s="483">
        <f t="shared" si="1128"/>
        <v>0.18148819999999999</v>
      </c>
      <c r="J1525" s="473">
        <f t="shared" si="1113"/>
        <v>27.199999999999999</v>
      </c>
      <c r="K1525" s="474">
        <f t="shared" si="1129"/>
        <v>4.9364790399999992</v>
      </c>
      <c r="L1525" s="473">
        <f t="shared" si="1124"/>
        <v>25.670000000000002</v>
      </c>
      <c r="M1525" s="474">
        <f t="shared" si="1130"/>
        <v>4.6588020940000003</v>
      </c>
      <c r="N1525" s="442"/>
      <c r="O1525" s="434">
        <f t="shared" si="1121"/>
        <v>27.199999999999999</v>
      </c>
      <c r="P1525" s="435">
        <f t="shared" si="1122"/>
        <v>25.670000000000002</v>
      </c>
      <c r="AE1525" s="217"/>
      <c r="AF1525" s="217">
        <v>1165</v>
      </c>
      <c r="AH1525">
        <f t="shared" si="1110"/>
        <v>1165</v>
      </c>
    </row>
    <row r="1526" ht="30" hidden="1">
      <c r="A1526" s="217"/>
      <c r="B1526" s="217">
        <v>1165</v>
      </c>
      <c r="C1526" s="217"/>
      <c r="D1526" s="217" t="s">
        <v>17167</v>
      </c>
      <c r="E1526" s="471" t="s">
        <v>20405</v>
      </c>
      <c r="F1526" s="486">
        <v>88316</v>
      </c>
      <c r="G1526" s="470" t="s">
        <v>7393</v>
      </c>
      <c r="H1526" s="482" t="s">
        <v>2032</v>
      </c>
      <c r="I1526" s="483">
        <f t="shared" si="1128"/>
        <v>0.18148819999999999</v>
      </c>
      <c r="J1526" s="473">
        <f t="shared" si="1113"/>
        <v>22.760000000000002</v>
      </c>
      <c r="K1526" s="474">
        <f t="shared" si="1129"/>
        <v>4.1306714319999998</v>
      </c>
      <c r="L1526" s="473">
        <f t="shared" si="1124"/>
        <v>21.550000000000001</v>
      </c>
      <c r="M1526" s="474">
        <f t="shared" si="1130"/>
        <v>3.9110707099999997</v>
      </c>
      <c r="N1526" s="467"/>
      <c r="O1526" s="434">
        <f t="shared" si="1121"/>
        <v>22.760000000000002</v>
      </c>
      <c r="P1526" s="435">
        <f t="shared" si="1122"/>
        <v>21.550000000000001</v>
      </c>
      <c r="AE1526" s="217"/>
      <c r="AF1526" s="217">
        <v>1165</v>
      </c>
      <c r="AH1526">
        <f t="shared" si="1110"/>
        <v>1165</v>
      </c>
    </row>
    <row r="1527" ht="45.75" hidden="1">
      <c r="A1527" s="217"/>
      <c r="B1527" s="217">
        <v>1165</v>
      </c>
      <c r="C1527" s="217"/>
      <c r="D1527" s="217"/>
      <c r="E1527" s="471"/>
      <c r="F1527" s="486"/>
      <c r="G1527" s="470" t="s">
        <v>21365</v>
      </c>
      <c r="H1527" s="482"/>
      <c r="I1527" s="483"/>
      <c r="J1527" s="577"/>
      <c r="K1527" s="474"/>
      <c r="L1527" s="577"/>
      <c r="M1527" s="474"/>
      <c r="N1527" s="467"/>
      <c r="O1527" s="434" t="str">
        <f t="shared" si="1121"/>
        <v xml:space="preserve">SEM VALOR</v>
      </c>
      <c r="P1527" s="435" t="str">
        <f t="shared" si="1122"/>
        <v xml:space="preserve">SEM VALOR</v>
      </c>
      <c r="AE1527" s="217"/>
      <c r="AF1527" s="217">
        <v>1165</v>
      </c>
      <c r="AH1527">
        <f t="shared" si="1110"/>
        <v>1165</v>
      </c>
    </row>
    <row r="1528" hidden="1">
      <c r="A1528" s="217"/>
      <c r="B1528" s="217">
        <v>1165</v>
      </c>
      <c r="C1528" s="217"/>
      <c r="D1528" s="217"/>
      <c r="E1528" s="471"/>
      <c r="F1528" s="486"/>
      <c r="G1528" s="470" t="s">
        <v>21366</v>
      </c>
      <c r="H1528" s="482"/>
      <c r="I1528" s="483"/>
      <c r="J1528" s="577"/>
      <c r="K1528" s="474"/>
      <c r="L1528" s="577"/>
      <c r="M1528" s="474"/>
      <c r="N1528" s="467"/>
      <c r="O1528" s="434" t="str">
        <f t="shared" si="1121"/>
        <v xml:space="preserve">SEM VALOR</v>
      </c>
      <c r="P1528" s="435" t="str">
        <f t="shared" si="1122"/>
        <v xml:space="preserve">SEM VALOR</v>
      </c>
      <c r="AE1528" s="217"/>
      <c r="AF1528" s="217">
        <v>1165</v>
      </c>
      <c r="AH1528">
        <f t="shared" si="1110"/>
        <v>1165</v>
      </c>
    </row>
    <row r="1529" ht="47.25" hidden="1">
      <c r="A1529" s="460">
        <v>1166</v>
      </c>
      <c r="B1529" s="460">
        <v>1166</v>
      </c>
      <c r="C1529" s="460"/>
      <c r="D1529" s="460"/>
      <c r="E1529" s="461">
        <v>1</v>
      </c>
      <c r="F1529" s="462" t="s">
        <v>21367</v>
      </c>
      <c r="G1529" s="477" t="s">
        <v>21368</v>
      </c>
      <c r="H1529" s="478" t="s">
        <v>15515</v>
      </c>
      <c r="I1529" s="479"/>
      <c r="J1529" s="480"/>
      <c r="K1529" s="466">
        <f>SUM(K1530:K1531)</f>
        <v>8.7373340920000011</v>
      </c>
      <c r="L1529" s="480"/>
      <c r="M1529" s="466">
        <f>SUM(M1530:M1531)</f>
        <v>8.7171673849999998</v>
      </c>
      <c r="N1529" s="467" t="s">
        <v>21369</v>
      </c>
      <c r="O1529" s="434" t="str">
        <f t="shared" si="1121"/>
        <v xml:space="preserve">SEM VALOR</v>
      </c>
      <c r="P1529" s="435" t="str">
        <f t="shared" si="1122"/>
        <v xml:space="preserve">SEM VALOR</v>
      </c>
      <c r="AE1529" s="460">
        <v>1166</v>
      </c>
      <c r="AF1529" s="460"/>
      <c r="AH1529">
        <f t="shared" si="1110"/>
        <v>1166</v>
      </c>
    </row>
    <row r="1530" ht="60" hidden="1">
      <c r="A1530" s="217"/>
      <c r="B1530" s="217">
        <v>1166</v>
      </c>
      <c r="C1530" s="217"/>
      <c r="D1530" s="217" t="s">
        <v>20408</v>
      </c>
      <c r="E1530" s="471" t="s">
        <v>20399</v>
      </c>
      <c r="F1530" s="489">
        <v>4011</v>
      </c>
      <c r="G1530" s="470" t="s">
        <v>21370</v>
      </c>
      <c r="H1530" s="482" t="s">
        <v>15515</v>
      </c>
      <c r="I1530" s="483">
        <v>1.05</v>
      </c>
      <c r="J1530" s="473">
        <f t="shared" si="1113"/>
        <v>7.96</v>
      </c>
      <c r="K1530" s="474">
        <f t="shared" ref="K1530:K1531" si="1131">I1530*J1530</f>
        <v>8.3580000000000005</v>
      </c>
      <c r="L1530" s="473">
        <f t="shared" si="1124"/>
        <v>7.96</v>
      </c>
      <c r="M1530" s="474">
        <f t="shared" ref="M1530:M1531" si="1132">L1530*I1530</f>
        <v>8.3580000000000005</v>
      </c>
      <c r="N1530" s="467" t="s">
        <v>21371</v>
      </c>
      <c r="O1530" s="434">
        <f t="shared" si="1121"/>
        <v>7.96</v>
      </c>
      <c r="P1530" s="435">
        <f t="shared" si="1122"/>
        <v>7.96</v>
      </c>
      <c r="AE1530" s="217"/>
      <c r="AF1530" s="217">
        <v>1166</v>
      </c>
      <c r="AH1530">
        <f t="shared" si="1110"/>
        <v>1166</v>
      </c>
    </row>
    <row r="1531" ht="30" hidden="1">
      <c r="A1531" s="217"/>
      <c r="B1531" s="217">
        <v>1166</v>
      </c>
      <c r="C1531" s="217"/>
      <c r="D1531" s="217" t="s">
        <v>17167</v>
      </c>
      <c r="E1531" s="471" t="s">
        <v>20402</v>
      </c>
      <c r="F1531" s="482">
        <v>88316</v>
      </c>
      <c r="G1531" s="470" t="s">
        <v>7393</v>
      </c>
      <c r="H1531" s="482" t="s">
        <v>2032</v>
      </c>
      <c r="I1531" s="483">
        <f>3/180</f>
        <v>1.66667e-002</v>
      </c>
      <c r="J1531" s="473">
        <f t="shared" si="1113"/>
        <v>22.760000000000002</v>
      </c>
      <c r="K1531" s="474">
        <f t="shared" si="1131"/>
        <v>0.37933409200000001</v>
      </c>
      <c r="L1531" s="473">
        <f t="shared" si="1124"/>
        <v>21.550000000000001</v>
      </c>
      <c r="M1531" s="474">
        <f t="shared" si="1132"/>
        <v>0.35916738500000001</v>
      </c>
      <c r="O1531" s="434">
        <f t="shared" si="1121"/>
        <v>22.760000000000002</v>
      </c>
      <c r="P1531" s="435">
        <f t="shared" si="1122"/>
        <v>21.550000000000001</v>
      </c>
      <c r="AE1531" s="217"/>
      <c r="AF1531" s="217">
        <v>1166</v>
      </c>
      <c r="AH1531">
        <f t="shared" si="1110"/>
        <v>1166</v>
      </c>
    </row>
    <row r="1532" ht="78.75" hidden="1">
      <c r="A1532" s="460">
        <v>1167</v>
      </c>
      <c r="B1532" s="460">
        <v>1167</v>
      </c>
      <c r="C1532" s="460"/>
      <c r="D1532" s="460"/>
      <c r="E1532" s="461">
        <v>1</v>
      </c>
      <c r="F1532" s="462" t="s">
        <v>21372</v>
      </c>
      <c r="G1532" s="505" t="s">
        <v>21373</v>
      </c>
      <c r="H1532" s="478" t="s">
        <v>15515</v>
      </c>
      <c r="I1532" s="479"/>
      <c r="J1532" s="480"/>
      <c r="K1532" s="466">
        <f>SUM(K1533:K1534)</f>
        <v>33.669360288</v>
      </c>
      <c r="L1532" s="480"/>
      <c r="M1532" s="466">
        <f>SUM(M1533:M1534)</f>
        <v>33.665114639999999</v>
      </c>
      <c r="N1532" s="467" t="s">
        <v>21374</v>
      </c>
      <c r="O1532" s="434" t="str">
        <f t="shared" si="1121"/>
        <v xml:space="preserve">SEM VALOR</v>
      </c>
      <c r="P1532" s="435" t="str">
        <f t="shared" si="1122"/>
        <v xml:space="preserve">SEM VALOR</v>
      </c>
      <c r="AE1532" s="460">
        <v>1167</v>
      </c>
      <c r="AF1532" s="460">
        <v>1167</v>
      </c>
      <c r="AH1532">
        <f t="shared" si="1110"/>
        <v>1167</v>
      </c>
    </row>
    <row r="1533" ht="45" hidden="1">
      <c r="A1533" s="217"/>
      <c r="B1533" s="217">
        <v>1167</v>
      </c>
      <c r="C1533" s="217"/>
      <c r="D1533" s="217" t="s">
        <v>20644</v>
      </c>
      <c r="E1533" s="471" t="s">
        <v>20399</v>
      </c>
      <c r="F1533" s="469" t="s">
        <v>15392</v>
      </c>
      <c r="G1533" s="470" t="s">
        <v>21375</v>
      </c>
      <c r="H1533" s="482" t="s">
        <v>15515</v>
      </c>
      <c r="I1533" s="483">
        <v>1.05</v>
      </c>
      <c r="J1533" s="473">
        <f t="shared" si="1113"/>
        <v>31.989999999999998</v>
      </c>
      <c r="K1533" s="474">
        <f t="shared" ref="K1533:K1534" si="1133">I1533*J1533</f>
        <v>33.589500000000001</v>
      </c>
      <c r="L1533" s="473">
        <f t="shared" si="1124"/>
        <v>31.989999999999998</v>
      </c>
      <c r="M1533" s="474">
        <f t="shared" ref="M1533:M1534" si="1134">L1533*I1533</f>
        <v>33.589500000000001</v>
      </c>
      <c r="N1533" s="576" t="s">
        <v>21376</v>
      </c>
      <c r="O1533" s="434">
        <f t="shared" si="1121"/>
        <v>31.989999999999998</v>
      </c>
      <c r="P1533" s="435">
        <f t="shared" si="1122"/>
        <v>31.989999999999998</v>
      </c>
      <c r="AE1533" s="217"/>
      <c r="AF1533" s="217">
        <v>1167</v>
      </c>
      <c r="AH1533">
        <f t="shared" si="1110"/>
        <v>1167</v>
      </c>
    </row>
    <row r="1534" ht="30" hidden="1">
      <c r="A1534" s="217"/>
      <c r="B1534" s="217">
        <v>1167</v>
      </c>
      <c r="C1534" s="217"/>
      <c r="D1534" s="217" t="s">
        <v>17167</v>
      </c>
      <c r="E1534" s="471" t="s">
        <v>20402</v>
      </c>
      <c r="F1534" s="486">
        <v>88316</v>
      </c>
      <c r="G1534" s="470" t="s">
        <v>7393</v>
      </c>
      <c r="H1534" s="482" t="s">
        <v>2032</v>
      </c>
      <c r="I1534" s="483">
        <f>2/570</f>
        <v>3.5087999999999999e-003</v>
      </c>
      <c r="J1534" s="473">
        <f t="shared" si="1113"/>
        <v>22.760000000000002</v>
      </c>
      <c r="K1534" s="474">
        <f t="shared" si="1133"/>
        <v>7.9860288000000001e-002</v>
      </c>
      <c r="L1534" s="473">
        <f t="shared" si="1124"/>
        <v>21.550000000000001</v>
      </c>
      <c r="M1534" s="474">
        <f t="shared" si="1134"/>
        <v>7.5614639999999997e-002</v>
      </c>
      <c r="N1534" s="467"/>
      <c r="O1534" s="434">
        <f t="shared" si="1121"/>
        <v>22.760000000000002</v>
      </c>
      <c r="P1534" s="435">
        <f t="shared" si="1122"/>
        <v>21.550000000000001</v>
      </c>
      <c r="AE1534" s="217"/>
      <c r="AF1534" s="217">
        <v>1167</v>
      </c>
      <c r="AH1534">
        <f t="shared" si="1110"/>
        <v>1167</v>
      </c>
    </row>
    <row r="1535" ht="45.75" hidden="1">
      <c r="A1535" s="217"/>
      <c r="B1535" s="217">
        <v>1167</v>
      </c>
      <c r="C1535" s="217"/>
      <c r="D1535" s="217"/>
      <c r="E1535" s="471"/>
      <c r="F1535" s="486"/>
      <c r="G1535" s="470" t="s">
        <v>21377</v>
      </c>
      <c r="H1535" s="482"/>
      <c r="I1535" s="483"/>
      <c r="J1535" s="577"/>
      <c r="K1535" s="474"/>
      <c r="L1535" s="577"/>
      <c r="M1535" s="474"/>
      <c r="N1535" s="467"/>
      <c r="O1535" s="434" t="str">
        <f t="shared" si="1121"/>
        <v xml:space="preserve">SEM VALOR</v>
      </c>
      <c r="P1535" s="435" t="str">
        <f t="shared" si="1122"/>
        <v xml:space="preserve">SEM VALOR</v>
      </c>
      <c r="AE1535" s="217"/>
      <c r="AF1535" s="217">
        <v>1167</v>
      </c>
      <c r="AH1535">
        <f t="shared" si="1110"/>
        <v>1167</v>
      </c>
    </row>
    <row r="1536" hidden="1">
      <c r="A1536" s="217"/>
      <c r="B1536" s="217">
        <v>1167</v>
      </c>
      <c r="C1536" s="217"/>
      <c r="D1536" s="217"/>
      <c r="E1536" s="471"/>
      <c r="F1536" s="486"/>
      <c r="G1536" s="470" t="s">
        <v>21366</v>
      </c>
      <c r="H1536" s="482"/>
      <c r="I1536" s="483"/>
      <c r="J1536" s="577"/>
      <c r="K1536" s="474"/>
      <c r="L1536" s="577"/>
      <c r="M1536" s="474"/>
      <c r="N1536" s="467"/>
      <c r="O1536" s="434" t="str">
        <f t="shared" si="1121"/>
        <v xml:space="preserve">SEM VALOR</v>
      </c>
      <c r="P1536" s="435" t="str">
        <f t="shared" si="1122"/>
        <v xml:space="preserve">SEM VALOR</v>
      </c>
      <c r="AE1536" s="217"/>
      <c r="AF1536" s="217">
        <v>1167</v>
      </c>
      <c r="AH1536">
        <f t="shared" si="1110"/>
        <v>1167</v>
      </c>
    </row>
    <row r="1537" ht="78.75" hidden="1">
      <c r="A1537" s="460">
        <v>1168</v>
      </c>
      <c r="B1537" s="460">
        <v>1168</v>
      </c>
      <c r="C1537" s="460"/>
      <c r="D1537" s="460"/>
      <c r="E1537" s="461">
        <v>1</v>
      </c>
      <c r="F1537" s="462" t="s">
        <v>21378</v>
      </c>
      <c r="G1537" s="505" t="s">
        <v>21379</v>
      </c>
      <c r="H1537" s="478" t="s">
        <v>15515</v>
      </c>
      <c r="I1537" s="479"/>
      <c r="J1537" s="480"/>
      <c r="K1537" s="466">
        <f>SUM(K1538:K1539)</f>
        <v>44.526360287999999</v>
      </c>
      <c r="L1537" s="480"/>
      <c r="M1537" s="466">
        <f>SUM(M1538:M1539)</f>
        <v>44.522114639999998</v>
      </c>
      <c r="N1537" s="467" t="s">
        <v>21374</v>
      </c>
      <c r="O1537" s="434" t="str">
        <f t="shared" si="1121"/>
        <v xml:space="preserve">SEM VALOR</v>
      </c>
      <c r="P1537" s="435" t="str">
        <f t="shared" si="1122"/>
        <v xml:space="preserve">SEM VALOR</v>
      </c>
      <c r="AE1537" s="460">
        <v>1168</v>
      </c>
      <c r="AF1537" s="460">
        <v>1168</v>
      </c>
      <c r="AH1537">
        <f t="shared" si="1110"/>
        <v>1168</v>
      </c>
    </row>
    <row r="1538" ht="45" hidden="1">
      <c r="A1538" s="217"/>
      <c r="B1538" s="217">
        <v>1168</v>
      </c>
      <c r="C1538" s="217"/>
      <c r="D1538" s="217" t="s">
        <v>20644</v>
      </c>
      <c r="E1538" s="471" t="s">
        <v>20399</v>
      </c>
      <c r="F1538" s="486" t="s">
        <v>15394</v>
      </c>
      <c r="G1538" s="470" t="s">
        <v>21380</v>
      </c>
      <c r="H1538" s="482" t="s">
        <v>15515</v>
      </c>
      <c r="I1538" s="483">
        <v>1.05</v>
      </c>
      <c r="J1538" s="473">
        <f t="shared" si="1113"/>
        <v>42.329999999999998</v>
      </c>
      <c r="K1538" s="474">
        <f t="shared" ref="K1538:K1539" si="1135">I1538*J1538</f>
        <v>44.4465</v>
      </c>
      <c r="L1538" s="473">
        <f t="shared" si="1124"/>
        <v>42.329999999999998</v>
      </c>
      <c r="M1538" s="474">
        <f t="shared" ref="M1538:M1539" si="1136">L1538*I1538</f>
        <v>44.4465</v>
      </c>
      <c r="N1538" s="576" t="s">
        <v>21376</v>
      </c>
      <c r="O1538" s="434">
        <f t="shared" si="1121"/>
        <v>42.329999999999998</v>
      </c>
      <c r="P1538" s="435">
        <f t="shared" si="1122"/>
        <v>42.329999999999998</v>
      </c>
      <c r="AE1538" s="217"/>
      <c r="AF1538" s="217">
        <v>1168</v>
      </c>
      <c r="AH1538">
        <f t="shared" si="1110"/>
        <v>1168</v>
      </c>
    </row>
    <row r="1539" ht="30" hidden="1">
      <c r="A1539" s="217"/>
      <c r="B1539" s="217">
        <v>1168</v>
      </c>
      <c r="C1539" s="217"/>
      <c r="D1539" s="217" t="s">
        <v>17167</v>
      </c>
      <c r="E1539" s="471" t="s">
        <v>20402</v>
      </c>
      <c r="F1539" s="486">
        <v>88316</v>
      </c>
      <c r="G1539" s="470" t="s">
        <v>7393</v>
      </c>
      <c r="H1539" s="482" t="s">
        <v>2032</v>
      </c>
      <c r="I1539" s="483">
        <f>2/570</f>
        <v>3.5087999999999999e-003</v>
      </c>
      <c r="J1539" s="473">
        <f t="shared" si="1113"/>
        <v>22.760000000000002</v>
      </c>
      <c r="K1539" s="474">
        <f t="shared" si="1135"/>
        <v>7.9860288000000001e-002</v>
      </c>
      <c r="L1539" s="473">
        <f t="shared" si="1124"/>
        <v>21.550000000000001</v>
      </c>
      <c r="M1539" s="474">
        <f t="shared" si="1136"/>
        <v>7.5614639999999997e-002</v>
      </c>
      <c r="N1539" s="467"/>
      <c r="O1539" s="434">
        <f t="shared" si="1121"/>
        <v>22.760000000000002</v>
      </c>
      <c r="P1539" s="435">
        <f t="shared" si="1122"/>
        <v>21.550000000000001</v>
      </c>
      <c r="AE1539" s="217"/>
      <c r="AF1539" s="217">
        <v>1168</v>
      </c>
      <c r="AH1539">
        <f t="shared" si="1110"/>
        <v>1168</v>
      </c>
    </row>
    <row r="1540" ht="45.75" hidden="1">
      <c r="A1540" s="217"/>
      <c r="B1540" s="217">
        <v>1168</v>
      </c>
      <c r="C1540" s="217"/>
      <c r="D1540" s="217"/>
      <c r="E1540" s="471"/>
      <c r="F1540" s="486"/>
      <c r="G1540" s="470" t="s">
        <v>21381</v>
      </c>
      <c r="H1540" s="482"/>
      <c r="I1540" s="483"/>
      <c r="J1540" s="577"/>
      <c r="K1540" s="474"/>
      <c r="L1540" s="577"/>
      <c r="M1540" s="474"/>
      <c r="N1540" s="467"/>
      <c r="O1540" s="434" t="str">
        <f t="shared" si="1121"/>
        <v xml:space="preserve">SEM VALOR</v>
      </c>
      <c r="P1540" s="435" t="str">
        <f t="shared" si="1122"/>
        <v xml:space="preserve">SEM VALOR</v>
      </c>
      <c r="AE1540" s="217"/>
      <c r="AF1540" s="217">
        <v>1168</v>
      </c>
      <c r="AH1540">
        <f t="shared" si="1110"/>
        <v>1168</v>
      </c>
    </row>
    <row r="1541" hidden="1">
      <c r="A1541" s="217"/>
      <c r="B1541" s="217">
        <v>1168</v>
      </c>
      <c r="C1541" s="217"/>
      <c r="D1541" s="217"/>
      <c r="E1541" s="471"/>
      <c r="F1541" s="486"/>
      <c r="G1541" s="470" t="s">
        <v>21366</v>
      </c>
      <c r="H1541" s="482"/>
      <c r="I1541" s="483"/>
      <c r="J1541" s="577"/>
      <c r="K1541" s="474"/>
      <c r="L1541" s="577"/>
      <c r="M1541" s="474"/>
      <c r="N1541" s="467"/>
      <c r="O1541" s="434" t="str">
        <f t="shared" si="1121"/>
        <v xml:space="preserve">SEM VALOR</v>
      </c>
      <c r="P1541" s="435" t="str">
        <f t="shared" si="1122"/>
        <v xml:space="preserve">SEM VALOR</v>
      </c>
      <c r="AE1541" s="217"/>
      <c r="AF1541" s="217">
        <v>1168</v>
      </c>
      <c r="AH1541">
        <f t="shared" si="1110"/>
        <v>1168</v>
      </c>
    </row>
    <row r="1542" ht="116.25" hidden="1" customHeight="1">
      <c r="A1542" s="460">
        <v>1169</v>
      </c>
      <c r="B1542" s="460">
        <v>1169</v>
      </c>
      <c r="C1542" s="460"/>
      <c r="D1542" s="460"/>
      <c r="E1542" s="461">
        <v>1</v>
      </c>
      <c r="F1542" s="462" t="s">
        <v>21382</v>
      </c>
      <c r="G1542" s="477" t="s">
        <v>21383</v>
      </c>
      <c r="H1542" s="478" t="s">
        <v>31</v>
      </c>
      <c r="I1542" s="479"/>
      <c r="J1542" s="480"/>
      <c r="K1542" s="466">
        <f>SUM(K1543:K1558)</f>
        <v>1843.9464379349997</v>
      </c>
      <c r="L1542" s="480"/>
      <c r="M1542" s="466">
        <f>SUM(M1543:M1558)</f>
        <v>1797.805361751773</v>
      </c>
      <c r="N1542" s="467" t="s">
        <v>21384</v>
      </c>
      <c r="O1542" s="434" t="str">
        <f t="shared" si="1121"/>
        <v xml:space="preserve">SEM VALOR</v>
      </c>
      <c r="P1542" s="435" t="str">
        <f t="shared" si="1122"/>
        <v xml:space="preserve">SEM VALOR</v>
      </c>
      <c r="AE1542" s="460">
        <v>1169</v>
      </c>
      <c r="AF1542" s="460"/>
      <c r="AH1542">
        <f t="shared" si="1110"/>
        <v>1169</v>
      </c>
    </row>
    <row r="1543" ht="45" hidden="1">
      <c r="A1543" s="217"/>
      <c r="B1543" s="217">
        <v>1169</v>
      </c>
      <c r="C1543" s="217"/>
      <c r="D1543" s="217" t="s">
        <v>17167</v>
      </c>
      <c r="E1543" s="471" t="s">
        <v>20399</v>
      </c>
      <c r="F1543" s="482">
        <v>93358</v>
      </c>
      <c r="G1543" s="470" t="s">
        <v>20661</v>
      </c>
      <c r="H1543" s="482" t="s">
        <v>15528</v>
      </c>
      <c r="I1543" s="483">
        <v>2.650719</v>
      </c>
      <c r="J1543" s="473">
        <f t="shared" si="1113"/>
        <v>90.030000000000001</v>
      </c>
      <c r="K1543" s="474">
        <f t="shared" ref="K1543:K1558" si="1137">I1543*J1543</f>
        <v>238.64423157000002</v>
      </c>
      <c r="L1543" s="473">
        <f t="shared" si="1124"/>
        <v>85.239999999999995</v>
      </c>
      <c r="M1543" s="474">
        <f t="shared" ref="M1543:M1558" si="1138">L1543*I1543</f>
        <v>225.94728755999998</v>
      </c>
      <c r="O1543" s="434">
        <f t="shared" si="1121"/>
        <v>90.030000000000001</v>
      </c>
      <c r="P1543" s="435">
        <f t="shared" si="1122"/>
        <v>85.239999999999995</v>
      </c>
      <c r="AE1543" s="217"/>
      <c r="AF1543" s="217">
        <v>1169</v>
      </c>
      <c r="AH1543">
        <f t="shared" ref="AH1543:AH1606" si="1139">IF(AF1543:AF1544=FALSE,AE1543,AF1543)</f>
        <v>1169</v>
      </c>
    </row>
    <row r="1544" ht="75" hidden="1">
      <c r="A1544" s="217"/>
      <c r="B1544" s="217">
        <v>1169</v>
      </c>
      <c r="C1544" s="217"/>
      <c r="D1544" s="217" t="s">
        <v>17167</v>
      </c>
      <c r="E1544" s="471" t="s">
        <v>20402</v>
      </c>
      <c r="F1544" s="482">
        <v>97083</v>
      </c>
      <c r="G1544" s="470" t="s">
        <v>8822</v>
      </c>
      <c r="H1544" s="482" t="s">
        <v>15515</v>
      </c>
      <c r="I1544" s="483">
        <v>1.7671460000000001</v>
      </c>
      <c r="J1544" s="473">
        <f t="shared" si="1113"/>
        <v>3.4900000000000002</v>
      </c>
      <c r="K1544" s="474">
        <f t="shared" si="1137"/>
        <v>6.1673395400000004</v>
      </c>
      <c r="L1544" s="473">
        <f t="shared" si="1124"/>
        <v>3.2999999999999998</v>
      </c>
      <c r="M1544" s="474">
        <f t="shared" si="1138"/>
        <v>5.8315818000000004</v>
      </c>
      <c r="O1544" s="434">
        <f t="shared" si="1121"/>
        <v>3.4900000000000002</v>
      </c>
      <c r="P1544" s="435">
        <f t="shared" si="1122"/>
        <v>3.2999999999999998</v>
      </c>
      <c r="AE1544" s="217"/>
      <c r="AF1544" s="217">
        <v>1169</v>
      </c>
      <c r="AH1544">
        <f t="shared" si="1139"/>
        <v>1169</v>
      </c>
    </row>
    <row r="1545" ht="75" hidden="1">
      <c r="A1545" s="217"/>
      <c r="B1545" s="217">
        <v>1169</v>
      </c>
      <c r="C1545" s="217"/>
      <c r="D1545" s="217" t="s">
        <v>17167</v>
      </c>
      <c r="E1545" s="471" t="s">
        <v>20405</v>
      </c>
      <c r="F1545" s="482">
        <v>101624</v>
      </c>
      <c r="G1545" s="470" t="s">
        <v>21385</v>
      </c>
      <c r="H1545" s="482" t="s">
        <v>15528</v>
      </c>
      <c r="I1545" s="483">
        <v>0.212058</v>
      </c>
      <c r="J1545" s="473">
        <f t="shared" si="1113"/>
        <v>231.34999999999999</v>
      </c>
      <c r="K1545" s="474">
        <f t="shared" si="1137"/>
        <v>49.059618299999997</v>
      </c>
      <c r="L1545" s="473">
        <f t="shared" si="1124"/>
        <v>227.61000000000001</v>
      </c>
      <c r="M1545" s="474">
        <f t="shared" si="1138"/>
        <v>48.26652138</v>
      </c>
      <c r="O1545" s="434">
        <f t="shared" si="1121"/>
        <v>231.34999999999999</v>
      </c>
      <c r="P1545" s="435">
        <f t="shared" si="1122"/>
        <v>227.61000000000001</v>
      </c>
      <c r="AE1545" s="217"/>
      <c r="AF1545" s="217">
        <v>1169</v>
      </c>
      <c r="AH1545">
        <f t="shared" si="1139"/>
        <v>1169</v>
      </c>
    </row>
    <row r="1546" ht="60" hidden="1">
      <c r="A1546" s="217"/>
      <c r="B1546" s="217">
        <v>1169</v>
      </c>
      <c r="C1546" s="217"/>
      <c r="D1546" s="217" t="s">
        <v>17167</v>
      </c>
      <c r="E1546" s="471" t="s">
        <v>20409</v>
      </c>
      <c r="F1546" s="482">
        <v>94964</v>
      </c>
      <c r="G1546" s="470" t="s">
        <v>8711</v>
      </c>
      <c r="H1546" s="482" t="s">
        <v>15528</v>
      </c>
      <c r="I1546" s="483">
        <v>0.37265999999999999</v>
      </c>
      <c r="J1546" s="473">
        <f t="shared" si="1113"/>
        <v>488.52999999999997</v>
      </c>
      <c r="K1546" s="474">
        <f t="shared" si="1137"/>
        <v>182.05558979999998</v>
      </c>
      <c r="L1546" s="473">
        <f t="shared" si="1124"/>
        <v>482.79000000000002</v>
      </c>
      <c r="M1546" s="474">
        <f t="shared" si="1138"/>
        <v>179.91652139999999</v>
      </c>
      <c r="O1546" s="434">
        <f t="shared" si="1121"/>
        <v>488.52999999999997</v>
      </c>
      <c r="P1546" s="435">
        <f t="shared" si="1122"/>
        <v>482.79000000000002</v>
      </c>
      <c r="AE1546" s="217"/>
      <c r="AF1546" s="217">
        <v>1169</v>
      </c>
      <c r="AH1546">
        <f t="shared" si="1139"/>
        <v>1169</v>
      </c>
    </row>
    <row r="1547" ht="45" hidden="1">
      <c r="A1547" s="217"/>
      <c r="B1547" s="217">
        <v>1169</v>
      </c>
      <c r="C1547" s="217"/>
      <c r="D1547" s="217" t="s">
        <v>20398</v>
      </c>
      <c r="E1547" s="471" t="s">
        <v>20663</v>
      </c>
      <c r="F1547" s="482">
        <v>1000</v>
      </c>
      <c r="G1547" s="470" t="s">
        <v>20651</v>
      </c>
      <c r="H1547" s="482" t="s">
        <v>15528</v>
      </c>
      <c r="I1547" s="483">
        <v>0.37265999999999999</v>
      </c>
      <c r="J1547" s="473">
        <f t="shared" si="1113"/>
        <v>149.904</v>
      </c>
      <c r="K1547" s="474">
        <f t="shared" si="1137"/>
        <v>55.863224639999999</v>
      </c>
      <c r="L1547" s="473">
        <f t="shared" si="1124"/>
        <v>141.76949999999999</v>
      </c>
      <c r="M1547" s="474">
        <f t="shared" si="1138"/>
        <v>52.831821869999999</v>
      </c>
      <c r="O1547" s="434">
        <f t="shared" si="1121"/>
        <v>149.904</v>
      </c>
      <c r="P1547" s="435">
        <f t="shared" si="1122"/>
        <v>141.76949999999999</v>
      </c>
      <c r="AE1547" s="217"/>
      <c r="AF1547" s="217">
        <v>1169</v>
      </c>
      <c r="AH1547">
        <f t="shared" si="1139"/>
        <v>1169</v>
      </c>
    </row>
    <row r="1548" ht="75" hidden="1">
      <c r="A1548" s="217"/>
      <c r="B1548" s="217">
        <v>1169</v>
      </c>
      <c r="C1548" s="217"/>
      <c r="D1548" s="217" t="s">
        <v>20408</v>
      </c>
      <c r="E1548" s="471" t="s">
        <v>20665</v>
      </c>
      <c r="F1548" s="482">
        <v>43127</v>
      </c>
      <c r="G1548" s="470" t="s">
        <v>21386</v>
      </c>
      <c r="H1548" s="482" t="s">
        <v>15515</v>
      </c>
      <c r="I1548" s="483">
        <v>3.5342920000000002</v>
      </c>
      <c r="J1548" s="473">
        <f t="shared" si="1113"/>
        <v>36.710000000000001</v>
      </c>
      <c r="K1548" s="474">
        <f t="shared" si="1137"/>
        <v>129.74385932000001</v>
      </c>
      <c r="L1548" s="473">
        <f t="shared" si="1124"/>
        <v>36.710000000000001</v>
      </c>
      <c r="M1548" s="474">
        <f t="shared" si="1138"/>
        <v>129.74385932000001</v>
      </c>
      <c r="O1548" s="434">
        <f t="shared" si="1121"/>
        <v>36.710000000000001</v>
      </c>
      <c r="P1548" s="435">
        <f t="shared" si="1122"/>
        <v>36.710000000000001</v>
      </c>
      <c r="AE1548" s="217"/>
      <c r="AF1548" s="217">
        <v>1169</v>
      </c>
      <c r="AH1548">
        <f t="shared" si="1139"/>
        <v>1169</v>
      </c>
    </row>
    <row r="1549" ht="30" hidden="1">
      <c r="A1549" s="217"/>
      <c r="B1549" s="217">
        <v>1169</v>
      </c>
      <c r="C1549" s="217"/>
      <c r="D1549" s="217" t="s">
        <v>20408</v>
      </c>
      <c r="E1549" s="471" t="s">
        <v>20667</v>
      </c>
      <c r="F1549" s="482">
        <v>345</v>
      </c>
      <c r="G1549" s="470" t="s">
        <v>21387</v>
      </c>
      <c r="H1549" s="482" t="s">
        <v>302</v>
      </c>
      <c r="I1549" s="483">
        <v>5.3013999999999999e-002</v>
      </c>
      <c r="J1549" s="473">
        <f t="shared" si="1113"/>
        <v>26.780000000000001</v>
      </c>
      <c r="K1549" s="474">
        <f t="shared" si="1137"/>
        <v>1.4197149200000001</v>
      </c>
      <c r="L1549" s="473">
        <f t="shared" si="1124"/>
        <v>26.780000000000001</v>
      </c>
      <c r="M1549" s="474">
        <f t="shared" si="1138"/>
        <v>1.4197149200000001</v>
      </c>
      <c r="O1549" s="434">
        <f t="shared" si="1121"/>
        <v>26.780000000000001</v>
      </c>
      <c r="P1549" s="435">
        <f t="shared" si="1122"/>
        <v>26.780000000000001</v>
      </c>
      <c r="AE1549" s="217"/>
      <c r="AF1549" s="217">
        <v>1169</v>
      </c>
      <c r="AH1549">
        <f t="shared" si="1139"/>
        <v>1169</v>
      </c>
    </row>
    <row r="1550" ht="30" hidden="1">
      <c r="A1550" s="217"/>
      <c r="B1550" s="217">
        <v>1169</v>
      </c>
      <c r="C1550" s="217"/>
      <c r="D1550" s="217" t="s">
        <v>20408</v>
      </c>
      <c r="E1550" s="471" t="s">
        <v>20671</v>
      </c>
      <c r="F1550" s="482">
        <v>7258</v>
      </c>
      <c r="G1550" s="470" t="s">
        <v>21388</v>
      </c>
      <c r="H1550" s="482" t="s">
        <v>31</v>
      </c>
      <c r="I1550" s="483">
        <v>772.83179299999995</v>
      </c>
      <c r="J1550" s="473">
        <f t="shared" si="1113"/>
        <v>0.66000000000000003</v>
      </c>
      <c r="K1550" s="474">
        <f t="shared" si="1137"/>
        <v>510.06898337999996</v>
      </c>
      <c r="L1550" s="473">
        <f t="shared" si="1124"/>
        <v>0.66000000000000003</v>
      </c>
      <c r="M1550" s="474">
        <f t="shared" si="1138"/>
        <v>510.06898337999996</v>
      </c>
      <c r="O1550" s="434">
        <f t="shared" si="1121"/>
        <v>0.66000000000000003</v>
      </c>
      <c r="P1550" s="435">
        <f t="shared" si="1122"/>
        <v>0.66000000000000003</v>
      </c>
      <c r="AE1550" s="217"/>
      <c r="AF1550" s="217">
        <v>1169</v>
      </c>
      <c r="AH1550">
        <f t="shared" si="1139"/>
        <v>1169</v>
      </c>
    </row>
    <row r="1551" ht="75" hidden="1">
      <c r="A1551" s="217"/>
      <c r="B1551" s="217">
        <v>1169</v>
      </c>
      <c r="C1551" s="217"/>
      <c r="D1551" s="217" t="s">
        <v>17167</v>
      </c>
      <c r="E1551" s="471" t="s">
        <v>20672</v>
      </c>
      <c r="F1551" s="482">
        <v>87878</v>
      </c>
      <c r="G1551" s="470" t="s">
        <v>20776</v>
      </c>
      <c r="H1551" s="482" t="s">
        <v>15515</v>
      </c>
      <c r="I1551" s="483">
        <v>4.8301990000000004</v>
      </c>
      <c r="J1551" s="473">
        <f t="shared" si="1113"/>
        <v>5.0099999999999998</v>
      </c>
      <c r="K1551" s="474">
        <f t="shared" si="1137"/>
        <v>24.199296990000001</v>
      </c>
      <c r="L1551" s="473">
        <f t="shared" si="1124"/>
        <v>4.7999999999999998</v>
      </c>
      <c r="M1551" s="474">
        <f t="shared" si="1138"/>
        <v>23.184955200000001</v>
      </c>
      <c r="O1551" s="434">
        <f t="shared" si="1121"/>
        <v>5.0099999999999998</v>
      </c>
      <c r="P1551" s="435">
        <f t="shared" si="1122"/>
        <v>4.7999999999999998</v>
      </c>
      <c r="AE1551" s="217"/>
      <c r="AF1551" s="217">
        <v>1169</v>
      </c>
      <c r="AH1551">
        <f t="shared" si="1139"/>
        <v>1169</v>
      </c>
    </row>
    <row r="1552" ht="75" hidden="1">
      <c r="A1552" s="217"/>
      <c r="B1552" s="217">
        <v>1169</v>
      </c>
      <c r="C1552" s="217"/>
      <c r="D1552" s="217" t="s">
        <v>17167</v>
      </c>
      <c r="E1552" s="471" t="s">
        <v>20673</v>
      </c>
      <c r="F1552" s="482">
        <v>100475</v>
      </c>
      <c r="G1552" s="470" t="s">
        <v>205</v>
      </c>
      <c r="H1552" s="482" t="s">
        <v>15528</v>
      </c>
      <c r="I1552" s="483">
        <v>0.227019</v>
      </c>
      <c r="J1552" s="473">
        <f t="shared" si="1113"/>
        <v>725.75</v>
      </c>
      <c r="K1552" s="474">
        <f t="shared" si="1137"/>
        <v>164.75903925</v>
      </c>
      <c r="L1552" s="473">
        <f t="shared" si="1124"/>
        <v>719.49000000000001</v>
      </c>
      <c r="M1552" s="474">
        <f t="shared" si="1138"/>
        <v>163.33790031000001</v>
      </c>
      <c r="O1552" s="434">
        <f t="shared" si="1121"/>
        <v>725.75</v>
      </c>
      <c r="P1552" s="435">
        <f t="shared" si="1122"/>
        <v>719.49000000000001</v>
      </c>
      <c r="AE1552" s="217"/>
      <c r="AF1552" s="217">
        <v>1169</v>
      </c>
      <c r="AH1552">
        <f t="shared" si="1139"/>
        <v>1169</v>
      </c>
    </row>
    <row r="1553" ht="45" hidden="1">
      <c r="A1553" s="217"/>
      <c r="B1553" s="217">
        <v>1169</v>
      </c>
      <c r="C1553" s="217"/>
      <c r="D1553" s="217" t="s">
        <v>17167</v>
      </c>
      <c r="E1553" s="471" t="s">
        <v>20675</v>
      </c>
      <c r="F1553" s="482">
        <v>93382</v>
      </c>
      <c r="G1553" s="470" t="s">
        <v>20722</v>
      </c>
      <c r="H1553" s="482" t="s">
        <v>15528</v>
      </c>
      <c r="I1553" s="483">
        <v>0.96604000000000001</v>
      </c>
      <c r="J1553" s="473">
        <f t="shared" si="1113"/>
        <v>27.52</v>
      </c>
      <c r="K1553" s="474">
        <f t="shared" si="1137"/>
        <v>26.585420800000001</v>
      </c>
      <c r="L1553" s="473">
        <f t="shared" si="1124"/>
        <v>26.190000000000001</v>
      </c>
      <c r="M1553" s="474">
        <f t="shared" si="1138"/>
        <v>25.3005876</v>
      </c>
      <c r="O1553" s="434">
        <f t="shared" si="1121"/>
        <v>27.52</v>
      </c>
      <c r="P1553" s="435">
        <f t="shared" si="1122"/>
        <v>26.190000000000001</v>
      </c>
      <c r="AE1553" s="217"/>
      <c r="AF1553" s="217">
        <v>1169</v>
      </c>
      <c r="AH1553">
        <f t="shared" si="1139"/>
        <v>1169</v>
      </c>
    </row>
    <row r="1554" ht="30" hidden="1">
      <c r="A1554" s="217"/>
      <c r="B1554" s="217">
        <v>1169</v>
      </c>
      <c r="C1554" s="217"/>
      <c r="D1554" s="217" t="s">
        <v>17167</v>
      </c>
      <c r="E1554" s="471" t="s">
        <v>20677</v>
      </c>
      <c r="F1554" s="482">
        <v>88245</v>
      </c>
      <c r="G1554" s="470" t="s">
        <v>7099</v>
      </c>
      <c r="H1554" s="482" t="s">
        <v>2032</v>
      </c>
      <c r="I1554" s="483">
        <v>0.106029</v>
      </c>
      <c r="J1554" s="473">
        <f t="shared" si="1113"/>
        <v>28.289999999999999</v>
      </c>
      <c r="K1554" s="474">
        <f t="shared" si="1137"/>
        <v>2.99956041</v>
      </c>
      <c r="L1554" s="473">
        <f t="shared" si="1124"/>
        <v>26.68</v>
      </c>
      <c r="M1554" s="474">
        <f t="shared" si="1138"/>
        <v>2.8288537200000001</v>
      </c>
      <c r="O1554" s="434">
        <f t="shared" si="1121"/>
        <v>28.289999999999999</v>
      </c>
      <c r="P1554" s="435">
        <f t="shared" si="1122"/>
        <v>26.68</v>
      </c>
      <c r="AE1554" s="217"/>
      <c r="AF1554" s="217">
        <v>1169</v>
      </c>
      <c r="AH1554">
        <f t="shared" si="1139"/>
        <v>1169</v>
      </c>
    </row>
    <row r="1555" ht="30" hidden="1">
      <c r="A1555" s="217"/>
      <c r="B1555" s="217">
        <v>1169</v>
      </c>
      <c r="C1555" s="217"/>
      <c r="D1555" s="217" t="s">
        <v>17167</v>
      </c>
      <c r="E1555" s="471" t="s">
        <v>20679</v>
      </c>
      <c r="F1555" s="482">
        <v>88309</v>
      </c>
      <c r="G1555" s="470" t="s">
        <v>7385</v>
      </c>
      <c r="H1555" s="482" t="s">
        <v>2032</v>
      </c>
      <c r="I1555" s="483">
        <v>7.7283179999999998</v>
      </c>
      <c r="J1555" s="473">
        <f t="shared" si="1113"/>
        <v>28.5</v>
      </c>
      <c r="K1555" s="474">
        <f t="shared" si="1137"/>
        <v>220.25706299999999</v>
      </c>
      <c r="L1555" s="473">
        <f t="shared" si="1124"/>
        <v>26.870000000000001</v>
      </c>
      <c r="M1555" s="474">
        <f t="shared" si="1138"/>
        <v>207.65990466</v>
      </c>
      <c r="O1555" s="434">
        <f t="shared" si="1121"/>
        <v>28.5</v>
      </c>
      <c r="P1555" s="435">
        <f t="shared" si="1122"/>
        <v>26.870000000000001</v>
      </c>
      <c r="AE1555" s="217"/>
      <c r="AF1555" s="217">
        <v>1169</v>
      </c>
      <c r="AH1555">
        <f t="shared" si="1139"/>
        <v>1169</v>
      </c>
    </row>
    <row r="1556" ht="30" hidden="1">
      <c r="A1556" s="217"/>
      <c r="B1556" s="217">
        <v>1169</v>
      </c>
      <c r="C1556" s="217"/>
      <c r="D1556" s="217" t="s">
        <v>17167</v>
      </c>
      <c r="E1556" s="471" t="s">
        <v>20681</v>
      </c>
      <c r="F1556" s="482">
        <v>88316</v>
      </c>
      <c r="G1556" s="470" t="s">
        <v>7393</v>
      </c>
      <c r="H1556" s="482" t="s">
        <v>2032</v>
      </c>
      <c r="I1556" s="483">
        <v>8.4233949999999993</v>
      </c>
      <c r="J1556" s="473">
        <f t="shared" si="1113"/>
        <v>22.760000000000002</v>
      </c>
      <c r="K1556" s="474">
        <f t="shared" si="1137"/>
        <v>191.7164702</v>
      </c>
      <c r="L1556" s="473">
        <f t="shared" si="1124"/>
        <v>21.550000000000001</v>
      </c>
      <c r="M1556" s="474">
        <f t="shared" si="1138"/>
        <v>181.52416224999999</v>
      </c>
      <c r="O1556" s="434">
        <f t="shared" si="1121"/>
        <v>22.760000000000002</v>
      </c>
      <c r="P1556" s="435">
        <f t="shared" si="1122"/>
        <v>21.550000000000001</v>
      </c>
      <c r="AE1556" s="217"/>
      <c r="AF1556" s="217">
        <v>1169</v>
      </c>
      <c r="AH1556">
        <f t="shared" si="1139"/>
        <v>1169</v>
      </c>
    </row>
    <row r="1557" ht="90" hidden="1">
      <c r="A1557" s="217"/>
      <c r="B1557" s="217">
        <v>1169</v>
      </c>
      <c r="C1557" s="217"/>
      <c r="D1557" s="217" t="s">
        <v>20398</v>
      </c>
      <c r="E1557" s="471" t="s">
        <v>20683</v>
      </c>
      <c r="F1557" s="482">
        <v>1092</v>
      </c>
      <c r="G1557" s="470" t="s">
        <v>21389</v>
      </c>
      <c r="H1557" s="482" t="s">
        <v>15528</v>
      </c>
      <c r="I1557" s="483">
        <f>(I1543-I1553)*1.3</f>
        <v>2.1900827</v>
      </c>
      <c r="J1557" s="473">
        <f t="shared" si="1113"/>
        <v>2.2000000000000002</v>
      </c>
      <c r="K1557" s="474">
        <f t="shared" si="1137"/>
        <v>4.8181819400000006</v>
      </c>
      <c r="L1557" s="473">
        <f t="shared" si="1124"/>
        <v>2.1879900000000001</v>
      </c>
      <c r="M1557" s="474">
        <f t="shared" si="1138"/>
        <v>4.7918790467730004</v>
      </c>
      <c r="O1557" s="434">
        <f t="shared" si="1121"/>
        <v>2.2000000000000002</v>
      </c>
      <c r="P1557" s="435">
        <f t="shared" si="1122"/>
        <v>2.1879900000000001</v>
      </c>
      <c r="AE1557" s="217"/>
      <c r="AF1557" s="217">
        <v>1169</v>
      </c>
      <c r="AH1557">
        <f t="shared" si="1139"/>
        <v>1169</v>
      </c>
    </row>
    <row r="1558" ht="60" hidden="1">
      <c r="A1558" s="217"/>
      <c r="B1558" s="217">
        <v>1169</v>
      </c>
      <c r="C1558" s="217"/>
      <c r="D1558" s="217" t="s">
        <v>17167</v>
      </c>
      <c r="E1558" s="471" t="s">
        <v>20685</v>
      </c>
      <c r="F1558" s="482">
        <v>97914</v>
      </c>
      <c r="G1558" s="470" t="s">
        <v>21390</v>
      </c>
      <c r="H1558" s="482" t="s">
        <v>20669</v>
      </c>
      <c r="I1558" s="483">
        <f>I1557*5</f>
        <v>10.9504135</v>
      </c>
      <c r="J1558" s="473">
        <f t="shared" si="1113"/>
        <v>3.25</v>
      </c>
      <c r="K1558" s="474">
        <f t="shared" si="1137"/>
        <v>35.588843875000002</v>
      </c>
      <c r="L1558" s="473">
        <f t="shared" si="1124"/>
        <v>3.21</v>
      </c>
      <c r="M1558" s="474">
        <f t="shared" si="1138"/>
        <v>35.150827335000002</v>
      </c>
      <c r="O1558" s="434">
        <f t="shared" si="1121"/>
        <v>3.25</v>
      </c>
      <c r="P1558" s="435">
        <f t="shared" si="1122"/>
        <v>3.21</v>
      </c>
      <c r="AE1558" s="217"/>
      <c r="AF1558" s="217">
        <v>1169</v>
      </c>
      <c r="AH1558">
        <f t="shared" si="1139"/>
        <v>1169</v>
      </c>
    </row>
    <row r="1559" ht="50.25" hidden="1" customHeight="1">
      <c r="A1559" s="460">
        <v>1170</v>
      </c>
      <c r="B1559" s="460">
        <v>1170</v>
      </c>
      <c r="C1559" s="460"/>
      <c r="D1559" s="460"/>
      <c r="E1559" s="461">
        <v>1</v>
      </c>
      <c r="F1559" s="462" t="s">
        <v>21391</v>
      </c>
      <c r="G1559" s="477" t="s">
        <v>21392</v>
      </c>
      <c r="H1559" s="478" t="s">
        <v>15528</v>
      </c>
      <c r="I1559" s="479"/>
      <c r="J1559" s="480"/>
      <c r="K1559" s="466">
        <f>SUM(K1560:K1561)</f>
        <v>80.319383000000002</v>
      </c>
      <c r="L1559" s="480"/>
      <c r="M1559" s="466">
        <f>SUM(M1560:M1561)</f>
        <v>80.309313000000003</v>
      </c>
      <c r="N1559" s="467" t="s">
        <v>21393</v>
      </c>
      <c r="O1559" s="434" t="str">
        <f t="shared" si="1121"/>
        <v xml:space="preserve">SEM VALOR</v>
      </c>
      <c r="P1559" s="435" t="str">
        <f t="shared" si="1122"/>
        <v xml:space="preserve">SEM VALOR</v>
      </c>
      <c r="AE1559" s="460">
        <v>1170</v>
      </c>
      <c r="AF1559" s="460"/>
      <c r="AH1559">
        <f t="shared" si="1139"/>
        <v>1170</v>
      </c>
    </row>
    <row r="1560" ht="60" hidden="1">
      <c r="A1560" s="217"/>
      <c r="B1560" s="217">
        <v>1166</v>
      </c>
      <c r="C1560" s="217"/>
      <c r="D1560" s="217" t="s">
        <v>17167</v>
      </c>
      <c r="E1560" s="471" t="s">
        <v>20399</v>
      </c>
      <c r="F1560" s="482">
        <v>5847</v>
      </c>
      <c r="G1560" s="470" t="s">
        <v>1921</v>
      </c>
      <c r="H1560" s="482" t="s">
        <v>1535</v>
      </c>
      <c r="I1560" s="483">
        <v>5.3e-003</v>
      </c>
      <c r="J1560" s="473">
        <f t="shared" si="1113"/>
        <v>296.11000000000001</v>
      </c>
      <c r="K1560" s="474">
        <f t="shared" ref="K1560:K1561" si="1140">I1560*J1560</f>
        <v>1.569383</v>
      </c>
      <c r="L1560" s="473">
        <f t="shared" si="1124"/>
        <v>294.20999999999998</v>
      </c>
      <c r="M1560" s="474">
        <f t="shared" ref="M1560:M1561" si="1141">L1560*I1560</f>
        <v>1.5593129999999999</v>
      </c>
      <c r="O1560" s="434">
        <f t="shared" si="1121"/>
        <v>296.11000000000001</v>
      </c>
      <c r="P1560" s="435">
        <f t="shared" si="1122"/>
        <v>294.20999999999998</v>
      </c>
      <c r="AE1560" s="217"/>
      <c r="AF1560" s="217">
        <v>1166</v>
      </c>
      <c r="AH1560">
        <f t="shared" si="1139"/>
        <v>1166</v>
      </c>
    </row>
    <row r="1561" ht="45" hidden="1">
      <c r="A1561" s="217"/>
      <c r="B1561" s="217">
        <v>1166</v>
      </c>
      <c r="C1561" s="217"/>
      <c r="D1561" s="217" t="s">
        <v>20453</v>
      </c>
      <c r="E1561" s="471" t="s">
        <v>20402</v>
      </c>
      <c r="F1561" s="482" t="s">
        <v>20251</v>
      </c>
      <c r="G1561" s="470" t="s">
        <v>21394</v>
      </c>
      <c r="H1561" s="482" t="s">
        <v>15528</v>
      </c>
      <c r="I1561" s="483">
        <v>1.05</v>
      </c>
      <c r="J1561" s="473">
        <f t="shared" si="1113"/>
        <v>75</v>
      </c>
      <c r="K1561" s="474">
        <f t="shared" si="1140"/>
        <v>78.75</v>
      </c>
      <c r="L1561" s="473">
        <f t="shared" si="1124"/>
        <v>75</v>
      </c>
      <c r="M1561" s="474">
        <f t="shared" si="1141"/>
        <v>78.75</v>
      </c>
      <c r="O1561" s="434">
        <f t="shared" si="1121"/>
        <v>75</v>
      </c>
      <c r="P1561" s="435">
        <f t="shared" si="1122"/>
        <v>75</v>
      </c>
      <c r="AE1561" s="217"/>
      <c r="AF1561" s="217">
        <v>1166</v>
      </c>
      <c r="AH1561">
        <f t="shared" si="1139"/>
        <v>1166</v>
      </c>
    </row>
    <row r="1562" ht="78.75" hidden="1">
      <c r="A1562" s="460">
        <v>1171</v>
      </c>
      <c r="B1562" s="460">
        <v>1171</v>
      </c>
      <c r="C1562" s="460"/>
      <c r="D1562" s="460"/>
      <c r="E1562" s="461">
        <v>1</v>
      </c>
      <c r="F1562" s="462" t="s">
        <v>21395</v>
      </c>
      <c r="G1562" s="477" t="s">
        <v>21396</v>
      </c>
      <c r="H1562" s="478" t="s">
        <v>15528</v>
      </c>
      <c r="I1562" s="479"/>
      <c r="J1562" s="480"/>
      <c r="K1562" s="466">
        <f>SUM(K1563:K1564)</f>
        <v>51.822203999999999</v>
      </c>
      <c r="L1562" s="480"/>
      <c r="M1562" s="466">
        <f>SUM(M1563:M1564)</f>
        <v>51.105137999999997</v>
      </c>
      <c r="N1562" s="467" t="s">
        <v>21397</v>
      </c>
      <c r="O1562" s="434" t="str">
        <f t="shared" si="1121"/>
        <v xml:space="preserve">SEM VALOR</v>
      </c>
      <c r="P1562" s="435" t="str">
        <f t="shared" si="1122"/>
        <v xml:space="preserve">SEM VALOR</v>
      </c>
      <c r="AE1562" s="460">
        <v>1171</v>
      </c>
      <c r="AF1562" s="460"/>
      <c r="AH1562">
        <f t="shared" si="1139"/>
        <v>1171</v>
      </c>
    </row>
    <row r="1563" ht="75" hidden="1">
      <c r="A1563" s="217"/>
      <c r="B1563" s="217">
        <v>1171</v>
      </c>
      <c r="C1563" s="217"/>
      <c r="D1563" s="217" t="s">
        <v>17167</v>
      </c>
      <c r="E1563" s="471" t="s">
        <v>20399</v>
      </c>
      <c r="F1563" s="482">
        <v>5940</v>
      </c>
      <c r="G1563" s="470" t="s">
        <v>1863</v>
      </c>
      <c r="H1563" s="482" t="s">
        <v>1535</v>
      </c>
      <c r="I1563" s="578">
        <v>0.23999999999999999</v>
      </c>
      <c r="J1563" s="473">
        <f t="shared" si="1113"/>
        <v>171.97999999999999</v>
      </c>
      <c r="K1563" s="474">
        <f t="shared" ref="K1563:K1564" si="1142">I1563*J1563</f>
        <v>41.275199999999998</v>
      </c>
      <c r="L1563" s="473">
        <f t="shared" si="1124"/>
        <v>170.09</v>
      </c>
      <c r="M1563" s="474">
        <f t="shared" ref="M1563:M1564" si="1143">L1563*I1563</f>
        <v>40.821599999999997</v>
      </c>
      <c r="O1563" s="434">
        <f t="shared" si="1121"/>
        <v>171.97999999999999</v>
      </c>
      <c r="P1563" s="435">
        <f t="shared" si="1122"/>
        <v>170.09</v>
      </c>
      <c r="AE1563" s="217"/>
      <c r="AF1563" s="217">
        <v>1171</v>
      </c>
      <c r="AH1563">
        <f t="shared" si="1139"/>
        <v>1171</v>
      </c>
    </row>
    <row r="1564" ht="75" hidden="1">
      <c r="A1564" s="217"/>
      <c r="B1564" s="217">
        <v>1171</v>
      </c>
      <c r="C1564" s="217"/>
      <c r="D1564" s="217" t="s">
        <v>17167</v>
      </c>
      <c r="E1564" s="471" t="s">
        <v>20402</v>
      </c>
      <c r="F1564" s="482">
        <v>5942</v>
      </c>
      <c r="G1564" s="470" t="s">
        <v>1862</v>
      </c>
      <c r="H1564" s="482" t="s">
        <v>1533</v>
      </c>
      <c r="I1564" s="578">
        <v>0.1394</v>
      </c>
      <c r="J1564" s="473">
        <f t="shared" si="1113"/>
        <v>75.659999999999997</v>
      </c>
      <c r="K1564" s="474">
        <f t="shared" si="1142"/>
        <v>10.547003999999999</v>
      </c>
      <c r="L1564" s="473">
        <f t="shared" si="1124"/>
        <v>73.769999999999996</v>
      </c>
      <c r="M1564" s="474">
        <f t="shared" si="1143"/>
        <v>10.283537999999998</v>
      </c>
      <c r="O1564" s="434">
        <f t="shared" si="1121"/>
        <v>75.659999999999997</v>
      </c>
      <c r="P1564" s="435">
        <f t="shared" si="1122"/>
        <v>73.769999999999996</v>
      </c>
      <c r="AE1564" s="217"/>
      <c r="AF1564" s="217">
        <v>1171</v>
      </c>
      <c r="AH1564">
        <f t="shared" si="1139"/>
        <v>1171</v>
      </c>
    </row>
    <row r="1565" ht="63" hidden="1">
      <c r="A1565" s="460">
        <v>1172</v>
      </c>
      <c r="B1565" s="460">
        <v>1172</v>
      </c>
      <c r="C1565" s="460"/>
      <c r="D1565" s="460"/>
      <c r="E1565" s="461">
        <v>1</v>
      </c>
      <c r="F1565" s="462" t="s">
        <v>21398</v>
      </c>
      <c r="G1565" s="477" t="s">
        <v>21399</v>
      </c>
      <c r="H1565" s="478" t="s">
        <v>15515</v>
      </c>
      <c r="I1565" s="479"/>
      <c r="J1565" s="480"/>
      <c r="K1565" s="466">
        <f>SUM(K1566:K1567)</f>
        <v>9.6243820000000007</v>
      </c>
      <c r="L1565" s="480"/>
      <c r="M1565" s="466">
        <f>SUM(M1566:M1567)</f>
        <v>9.0976150000000011</v>
      </c>
      <c r="N1565" s="467" t="s">
        <v>21400</v>
      </c>
      <c r="O1565" s="434" t="str">
        <f t="shared" si="1121"/>
        <v xml:space="preserve">SEM VALOR</v>
      </c>
      <c r="P1565" s="435" t="str">
        <f t="shared" si="1122"/>
        <v xml:space="preserve">SEM VALOR</v>
      </c>
      <c r="AE1565" s="460">
        <v>1172</v>
      </c>
      <c r="AF1565" s="460"/>
      <c r="AH1565">
        <f t="shared" si="1139"/>
        <v>1172</v>
      </c>
    </row>
    <row r="1566" ht="30" hidden="1">
      <c r="A1566" s="217"/>
      <c r="B1566" s="217">
        <v>1172</v>
      </c>
      <c r="C1566" s="217"/>
      <c r="D1566" s="217" t="s">
        <v>17167</v>
      </c>
      <c r="E1566" s="471" t="s">
        <v>20399</v>
      </c>
      <c r="F1566" s="482">
        <v>88309</v>
      </c>
      <c r="G1566" s="470" t="s">
        <v>7385</v>
      </c>
      <c r="H1566" s="482" t="s">
        <v>2032</v>
      </c>
      <c r="I1566" s="578">
        <v>0.13150000000000001</v>
      </c>
      <c r="J1566" s="473">
        <f t="shared" ref="J1566:J1629" si="1144">O1566*$J$3</f>
        <v>28.5</v>
      </c>
      <c r="K1566" s="474">
        <f t="shared" ref="K1566:K1567" si="1145">I1566*J1566</f>
        <v>3.7477500000000004</v>
      </c>
      <c r="L1566" s="473">
        <f t="shared" si="1124"/>
        <v>26.870000000000001</v>
      </c>
      <c r="M1566" s="474">
        <f t="shared" ref="M1566:M1567" si="1146">L1566*I1566</f>
        <v>3.5334050000000001</v>
      </c>
      <c r="O1566" s="434">
        <f t="shared" si="1121"/>
        <v>28.5</v>
      </c>
      <c r="P1566" s="435">
        <f t="shared" si="1122"/>
        <v>26.870000000000001</v>
      </c>
      <c r="AE1566" s="217"/>
      <c r="AF1566" s="217">
        <v>1172</v>
      </c>
      <c r="AH1566">
        <f t="shared" si="1139"/>
        <v>1172</v>
      </c>
    </row>
    <row r="1567" ht="30" hidden="1">
      <c r="A1567" s="217"/>
      <c r="B1567" s="217">
        <v>1172</v>
      </c>
      <c r="C1567" s="217"/>
      <c r="D1567" s="217" t="s">
        <v>17167</v>
      </c>
      <c r="E1567" s="471" t="s">
        <v>20402</v>
      </c>
      <c r="F1567" s="482">
        <v>88316</v>
      </c>
      <c r="G1567" s="470" t="s">
        <v>7393</v>
      </c>
      <c r="H1567" s="482" t="s">
        <v>2032</v>
      </c>
      <c r="I1567" s="578">
        <v>0.25819999999999999</v>
      </c>
      <c r="J1567" s="473">
        <f t="shared" si="1144"/>
        <v>22.760000000000002</v>
      </c>
      <c r="K1567" s="474">
        <f t="shared" si="1145"/>
        <v>5.8766319999999999</v>
      </c>
      <c r="L1567" s="473">
        <f t="shared" si="1124"/>
        <v>21.550000000000001</v>
      </c>
      <c r="M1567" s="474">
        <f t="shared" si="1146"/>
        <v>5.5642100000000001</v>
      </c>
      <c r="O1567" s="434">
        <f t="shared" si="1121"/>
        <v>22.760000000000002</v>
      </c>
      <c r="P1567" s="435">
        <f t="shared" si="1122"/>
        <v>21.550000000000001</v>
      </c>
      <c r="AE1567" s="217"/>
      <c r="AF1567" s="217">
        <v>1172</v>
      </c>
      <c r="AH1567">
        <f t="shared" si="1139"/>
        <v>1172</v>
      </c>
    </row>
    <row r="1568" ht="63" hidden="1">
      <c r="A1568" s="460">
        <v>1173</v>
      </c>
      <c r="B1568" s="460">
        <v>1173</v>
      </c>
      <c r="C1568" s="460"/>
      <c r="D1568" s="460"/>
      <c r="E1568" s="461">
        <v>1</v>
      </c>
      <c r="F1568" s="462" t="s">
        <v>21401</v>
      </c>
      <c r="G1568" s="477" t="s">
        <v>21402</v>
      </c>
      <c r="H1568" s="478" t="s">
        <v>20196</v>
      </c>
      <c r="I1568" s="479"/>
      <c r="J1568" s="480"/>
      <c r="K1568" s="466" t="e">
        <f>SUM(K1569:K1574)</f>
        <v>#VALUE!</v>
      </c>
      <c r="L1568" s="480"/>
      <c r="M1568" s="466" t="e">
        <f>SUM(M1569:M1574)</f>
        <v>#VALUE!</v>
      </c>
      <c r="O1568" s="434" t="str">
        <f t="shared" si="1121"/>
        <v xml:space="preserve">SEM VALOR</v>
      </c>
      <c r="P1568" s="435" t="str">
        <f t="shared" si="1122"/>
        <v xml:space="preserve">SEM VALOR</v>
      </c>
      <c r="AE1568" s="460">
        <v>1173</v>
      </c>
      <c r="AF1568" s="460"/>
      <c r="AH1568">
        <f t="shared" si="1139"/>
        <v>1173</v>
      </c>
    </row>
    <row r="1569" ht="30" hidden="1">
      <c r="A1569" s="217"/>
      <c r="B1569" s="217">
        <v>1173</v>
      </c>
      <c r="C1569" s="217"/>
      <c r="D1569" s="217" t="s">
        <v>17167</v>
      </c>
      <c r="E1569" s="471" t="s">
        <v>20399</v>
      </c>
      <c r="F1569" s="486">
        <v>92806</v>
      </c>
      <c r="G1569" s="470" t="s">
        <v>363</v>
      </c>
      <c r="H1569" s="482" t="s">
        <v>302</v>
      </c>
      <c r="I1569" s="578">
        <f>0.3*1.05*0.62</f>
        <v>0.1953</v>
      </c>
      <c r="J1569" s="473">
        <f t="shared" si="1144"/>
        <v>8.8800000000000008</v>
      </c>
      <c r="K1569" s="474">
        <f t="shared" ref="K1569:K1574" si="1147">I1569*J1569</f>
        <v>1.7342640000000002</v>
      </c>
      <c r="L1569" s="473">
        <f t="shared" si="1124"/>
        <v>8.8800000000000008</v>
      </c>
      <c r="M1569" s="474">
        <f t="shared" ref="M1569:M1574" si="1148">L1569*I1569</f>
        <v>1.7342640000000002</v>
      </c>
      <c r="O1569" s="434">
        <f t="shared" si="1121"/>
        <v>8.8800000000000008</v>
      </c>
      <c r="P1569" s="435">
        <f t="shared" si="1122"/>
        <v>8.8800000000000008</v>
      </c>
      <c r="AE1569" s="217"/>
      <c r="AF1569" s="217">
        <v>1173</v>
      </c>
      <c r="AH1569">
        <f t="shared" si="1139"/>
        <v>1173</v>
      </c>
    </row>
    <row r="1570" ht="45" hidden="1">
      <c r="A1570" s="217"/>
      <c r="B1570" s="217">
        <v>1173</v>
      </c>
      <c r="C1570" s="217"/>
      <c r="D1570" s="217" t="s">
        <v>20408</v>
      </c>
      <c r="E1570" s="471" t="s">
        <v>20402</v>
      </c>
      <c r="F1570" s="486">
        <v>7334</v>
      </c>
      <c r="G1570" s="470" t="s">
        <v>21403</v>
      </c>
      <c r="H1570" s="482" t="s">
        <v>21404</v>
      </c>
      <c r="I1570" s="578">
        <f>1.1*0.1*0.1*0.2</f>
        <v>2.2000000000000001e-003</v>
      </c>
      <c r="J1570" s="473" t="e">
        <f t="shared" si="1144"/>
        <v>#VALUE!</v>
      </c>
      <c r="K1570" s="474" t="e">
        <f t="shared" si="1147"/>
        <v>#VALUE!</v>
      </c>
      <c r="L1570" s="473" t="e">
        <f t="shared" si="1124"/>
        <v>#VALUE!</v>
      </c>
      <c r="M1570" s="474" t="e">
        <f t="shared" si="1148"/>
        <v>#VALUE!</v>
      </c>
      <c r="O1570" s="434" t="str">
        <f t="shared" si="1121"/>
        <v>VERIFICAR</v>
      </c>
      <c r="P1570" s="435" t="str">
        <f t="shared" si="1122"/>
        <v>VERIFICAR</v>
      </c>
      <c r="AE1570" s="217"/>
      <c r="AF1570" s="217">
        <v>1173</v>
      </c>
      <c r="AH1570">
        <f t="shared" si="1139"/>
        <v>1173</v>
      </c>
    </row>
    <row r="1571" ht="60" hidden="1">
      <c r="A1571" s="217"/>
      <c r="B1571" s="217">
        <v>1173</v>
      </c>
      <c r="C1571" s="217"/>
      <c r="D1571" s="217" t="s">
        <v>17167</v>
      </c>
      <c r="E1571" s="471" t="s">
        <v>20405</v>
      </c>
      <c r="F1571" s="486">
        <v>5795</v>
      </c>
      <c r="G1571" s="470" t="s">
        <v>1755</v>
      </c>
      <c r="H1571" s="482" t="s">
        <v>1535</v>
      </c>
      <c r="I1571" s="578">
        <f>3.2468/30</f>
        <v>0.1082267</v>
      </c>
      <c r="J1571" s="473">
        <f t="shared" si="1144"/>
        <v>28.030000000000001</v>
      </c>
      <c r="K1571" s="474">
        <f t="shared" si="1147"/>
        <v>3.0335944009999998</v>
      </c>
      <c r="L1571" s="473">
        <f t="shared" si="1124"/>
        <v>26.440000000000001</v>
      </c>
      <c r="M1571" s="474">
        <f t="shared" si="1148"/>
        <v>2.8615139479999998</v>
      </c>
      <c r="O1571" s="434">
        <f t="shared" si="1121"/>
        <v>28.030000000000001</v>
      </c>
      <c r="P1571" s="435">
        <f t="shared" si="1122"/>
        <v>26.440000000000001</v>
      </c>
      <c r="AE1571" s="217"/>
      <c r="AF1571" s="217">
        <v>1173</v>
      </c>
      <c r="AH1571">
        <f t="shared" si="1139"/>
        <v>1173</v>
      </c>
    </row>
    <row r="1572" ht="45" hidden="1">
      <c r="A1572" s="217"/>
      <c r="B1572" s="217">
        <v>1173</v>
      </c>
      <c r="C1572" s="217"/>
      <c r="D1572" s="217" t="s">
        <v>17167</v>
      </c>
      <c r="E1572" s="471" t="s">
        <v>20409</v>
      </c>
      <c r="F1572" s="486">
        <v>5952</v>
      </c>
      <c r="G1572" s="470" t="s">
        <v>1754</v>
      </c>
      <c r="H1572" s="482" t="s">
        <v>1533</v>
      </c>
      <c r="I1572" s="578">
        <f>0.9202/30</f>
        <v>3.0673300000000001e-002</v>
      </c>
      <c r="J1572" s="473">
        <f t="shared" si="1144"/>
        <v>27.390000000000001</v>
      </c>
      <c r="K1572" s="474">
        <f t="shared" si="1147"/>
        <v>0.84014168700000003</v>
      </c>
      <c r="L1572" s="473">
        <f t="shared" si="1124"/>
        <v>25.800000000000001</v>
      </c>
      <c r="M1572" s="474">
        <f t="shared" si="1148"/>
        <v>0.79137114000000008</v>
      </c>
      <c r="O1572" s="434">
        <f t="shared" si="1121"/>
        <v>27.390000000000001</v>
      </c>
      <c r="P1572" s="435">
        <f t="shared" si="1122"/>
        <v>25.800000000000001</v>
      </c>
      <c r="AE1572" s="217"/>
      <c r="AF1572" s="217">
        <v>1173</v>
      </c>
      <c r="AH1572">
        <f t="shared" si="1139"/>
        <v>1173</v>
      </c>
    </row>
    <row r="1573" ht="30" hidden="1">
      <c r="A1573" s="217"/>
      <c r="B1573" s="217">
        <v>1173</v>
      </c>
      <c r="C1573" s="217"/>
      <c r="D1573" s="217" t="s">
        <v>17167</v>
      </c>
      <c r="E1573" s="471" t="s">
        <v>20663</v>
      </c>
      <c r="F1573" s="486">
        <v>88309</v>
      </c>
      <c r="G1573" s="470" t="s">
        <v>7385</v>
      </c>
      <c r="H1573" s="482" t="s">
        <v>2032</v>
      </c>
      <c r="I1573" s="578">
        <f>0.6366/20</f>
        <v>3.1829999999999997e-002</v>
      </c>
      <c r="J1573" s="473">
        <f t="shared" si="1144"/>
        <v>28.5</v>
      </c>
      <c r="K1573" s="474">
        <f t="shared" si="1147"/>
        <v>0.90715499999999993</v>
      </c>
      <c r="L1573" s="473">
        <f t="shared" si="1124"/>
        <v>26.870000000000001</v>
      </c>
      <c r="M1573" s="474">
        <f t="shared" si="1148"/>
        <v>0.85527209999999998</v>
      </c>
      <c r="O1573" s="434">
        <f t="shared" si="1121"/>
        <v>28.5</v>
      </c>
      <c r="P1573" s="435">
        <f t="shared" si="1122"/>
        <v>26.870000000000001</v>
      </c>
      <c r="AE1573" s="217"/>
      <c r="AF1573" s="217">
        <v>1173</v>
      </c>
      <c r="AH1573">
        <f t="shared" si="1139"/>
        <v>1173</v>
      </c>
    </row>
    <row r="1574" ht="30" hidden="1">
      <c r="A1574" s="217"/>
      <c r="B1574" s="217">
        <v>1173</v>
      </c>
      <c r="C1574" s="217"/>
      <c r="D1574" s="217" t="s">
        <v>17167</v>
      </c>
      <c r="E1574" s="471" t="s">
        <v>20665</v>
      </c>
      <c r="F1574" s="486">
        <v>88316</v>
      </c>
      <c r="G1574" s="470" t="s">
        <v>7393</v>
      </c>
      <c r="H1574" s="482" t="s">
        <v>2032</v>
      </c>
      <c r="I1574" s="578">
        <f>6.5785/30</f>
        <v>0.21928329999999999</v>
      </c>
      <c r="J1574" s="473">
        <f t="shared" si="1144"/>
        <v>22.760000000000002</v>
      </c>
      <c r="K1574" s="474">
        <f t="shared" si="1147"/>
        <v>4.9908879080000004</v>
      </c>
      <c r="L1574" s="473">
        <f t="shared" si="1124"/>
        <v>21.550000000000001</v>
      </c>
      <c r="M1574" s="474">
        <f t="shared" si="1148"/>
        <v>4.7255551149999997</v>
      </c>
      <c r="O1574" s="434">
        <f t="shared" si="1121"/>
        <v>22.760000000000002</v>
      </c>
      <c r="P1574" s="435">
        <f t="shared" si="1122"/>
        <v>21.550000000000001</v>
      </c>
      <c r="AE1574" s="217"/>
      <c r="AF1574" s="217">
        <v>1173</v>
      </c>
      <c r="AH1574">
        <f t="shared" si="1139"/>
        <v>1173</v>
      </c>
    </row>
    <row r="1575" ht="69.75" hidden="1" customHeight="1">
      <c r="A1575" s="460">
        <v>1174</v>
      </c>
      <c r="B1575" s="460">
        <v>1174</v>
      </c>
      <c r="C1575" s="460"/>
      <c r="D1575" s="460"/>
      <c r="E1575" s="461">
        <v>1</v>
      </c>
      <c r="F1575" s="462" t="s">
        <v>21405</v>
      </c>
      <c r="G1575" s="477" t="s">
        <v>21406</v>
      </c>
      <c r="H1575" s="478" t="s">
        <v>38</v>
      </c>
      <c r="I1575" s="479"/>
      <c r="J1575" s="480"/>
      <c r="K1575" s="466">
        <f>SUM(K1576:K1580)</f>
        <v>12.750063000000001</v>
      </c>
      <c r="L1575" s="480"/>
      <c r="M1575" s="466">
        <f>SUM(M1576:M1580)</f>
        <v>12.424632750000001</v>
      </c>
      <c r="N1575" s="467" t="s">
        <v>21407</v>
      </c>
      <c r="O1575" s="434" t="str">
        <f t="shared" si="1121"/>
        <v xml:space="preserve">SEM VALOR</v>
      </c>
      <c r="P1575" s="435" t="str">
        <f t="shared" si="1122"/>
        <v xml:space="preserve">SEM VALOR</v>
      </c>
      <c r="AE1575" s="460">
        <v>1174</v>
      </c>
      <c r="AF1575" s="460"/>
      <c r="AH1575">
        <f t="shared" si="1139"/>
        <v>1174</v>
      </c>
    </row>
    <row r="1576" ht="45" hidden="1">
      <c r="A1576" s="217"/>
      <c r="B1576" s="217">
        <v>1174</v>
      </c>
      <c r="C1576" s="217"/>
      <c r="D1576" s="217" t="s">
        <v>20398</v>
      </c>
      <c r="E1576" s="471" t="s">
        <v>20399</v>
      </c>
      <c r="F1576" s="482">
        <v>1259</v>
      </c>
      <c r="G1576" s="572" t="s">
        <v>20796</v>
      </c>
      <c r="H1576" s="499" t="s">
        <v>15528</v>
      </c>
      <c r="I1576" s="558">
        <v>1.0999999999999999e-002</v>
      </c>
      <c r="J1576" s="473">
        <f t="shared" si="1144"/>
        <v>45.520000000000003</v>
      </c>
      <c r="K1576" s="474">
        <f t="shared" ref="K1576:K1580" si="1149">I1576*J1576</f>
        <v>0.50072000000000005</v>
      </c>
      <c r="L1576" s="473">
        <f t="shared" si="1124"/>
        <v>43.100000000000001</v>
      </c>
      <c r="M1576" s="474">
        <f t="shared" ref="M1576:M1580" si="1150">L1576*I1576</f>
        <v>0.47409999999999997</v>
      </c>
      <c r="O1576" s="434">
        <f t="shared" si="1121"/>
        <v>45.520000000000003</v>
      </c>
      <c r="P1576" s="435">
        <f t="shared" si="1122"/>
        <v>43.100000000000001</v>
      </c>
      <c r="AE1576" s="217"/>
      <c r="AF1576" s="217">
        <v>1174</v>
      </c>
      <c r="AH1576">
        <f t="shared" si="1139"/>
        <v>1174</v>
      </c>
    </row>
    <row r="1577" ht="75" hidden="1">
      <c r="A1577" s="217"/>
      <c r="B1577" s="217">
        <v>1174</v>
      </c>
      <c r="C1577" s="217"/>
      <c r="D1577" s="217" t="s">
        <v>20398</v>
      </c>
      <c r="E1577" s="471" t="s">
        <v>20402</v>
      </c>
      <c r="F1577" s="482">
        <v>1267</v>
      </c>
      <c r="G1577" s="572" t="s">
        <v>20662</v>
      </c>
      <c r="H1577" s="499" t="s">
        <v>38</v>
      </c>
      <c r="I1577" s="558">
        <v>1</v>
      </c>
      <c r="J1577" s="473">
        <f t="shared" si="1144"/>
        <v>3.2499999999999996</v>
      </c>
      <c r="K1577" s="474">
        <f t="shared" si="1149"/>
        <v>3.2499999999999996</v>
      </c>
      <c r="L1577" s="473">
        <f t="shared" si="1124"/>
        <v>3.1657000000000002</v>
      </c>
      <c r="M1577" s="474">
        <f t="shared" si="1150"/>
        <v>3.1657000000000002</v>
      </c>
      <c r="O1577" s="434">
        <f t="shared" si="1121"/>
        <v>3.2499999999999996</v>
      </c>
      <c r="P1577" s="435">
        <f t="shared" si="1122"/>
        <v>3.1657000000000002</v>
      </c>
      <c r="AE1577" s="217"/>
      <c r="AF1577" s="217">
        <v>1174</v>
      </c>
      <c r="AH1577">
        <f t="shared" si="1139"/>
        <v>1174</v>
      </c>
    </row>
    <row r="1578" ht="45" hidden="1">
      <c r="A1578" s="217"/>
      <c r="B1578" s="217">
        <v>1174</v>
      </c>
      <c r="C1578" s="217"/>
      <c r="D1578" s="217" t="s">
        <v>17167</v>
      </c>
      <c r="E1578" s="471" t="s">
        <v>20405</v>
      </c>
      <c r="F1578" s="482">
        <v>102498</v>
      </c>
      <c r="G1578" s="470" t="s">
        <v>8369</v>
      </c>
      <c r="H1578" s="499" t="s">
        <v>15515</v>
      </c>
      <c r="I1578" s="559">
        <v>0.25</v>
      </c>
      <c r="J1578" s="473">
        <f t="shared" si="1144"/>
        <v>1.7</v>
      </c>
      <c r="K1578" s="474">
        <f t="shared" si="1149"/>
        <v>0.42499999999999999</v>
      </c>
      <c r="L1578" s="473">
        <f t="shared" si="1124"/>
        <v>1.6200000000000001</v>
      </c>
      <c r="M1578" s="474">
        <f t="shared" si="1150"/>
        <v>0.40500000000000003</v>
      </c>
      <c r="O1578" s="434">
        <f t="shared" si="1121"/>
        <v>1.7</v>
      </c>
      <c r="P1578" s="435">
        <f t="shared" si="1122"/>
        <v>1.6200000000000001</v>
      </c>
      <c r="AE1578" s="217"/>
      <c r="AF1578" s="217">
        <v>1174</v>
      </c>
      <c r="AH1578">
        <f t="shared" si="1139"/>
        <v>1174</v>
      </c>
    </row>
    <row r="1579" ht="45" hidden="1">
      <c r="A1579" s="217"/>
      <c r="B1579" s="217">
        <v>1174</v>
      </c>
      <c r="C1579" s="217"/>
      <c r="D1579" s="217" t="s">
        <v>20398</v>
      </c>
      <c r="E1579" s="471" t="s">
        <v>20409</v>
      </c>
      <c r="F1579" s="482">
        <v>1000</v>
      </c>
      <c r="G1579" s="470" t="s">
        <v>20651</v>
      </c>
      <c r="H1579" s="499" t="s">
        <v>15528</v>
      </c>
      <c r="I1579" s="559">
        <f>I1580</f>
        <v>1.4500000000000001e-002</v>
      </c>
      <c r="J1579" s="473">
        <f t="shared" si="1144"/>
        <v>149.904</v>
      </c>
      <c r="K1579" s="474">
        <f t="shared" si="1149"/>
        <v>2.1736080000000002</v>
      </c>
      <c r="L1579" s="473">
        <f t="shared" si="1124"/>
        <v>141.76949999999999</v>
      </c>
      <c r="M1579" s="474">
        <f t="shared" si="1150"/>
        <v>2.05565775</v>
      </c>
      <c r="O1579" s="434">
        <f t="shared" si="1121"/>
        <v>149.904</v>
      </c>
      <c r="P1579" s="435">
        <f t="shared" si="1122"/>
        <v>141.76949999999999</v>
      </c>
      <c r="AE1579" s="217"/>
      <c r="AF1579" s="217">
        <v>1174</v>
      </c>
      <c r="AH1579">
        <f t="shared" si="1139"/>
        <v>1174</v>
      </c>
    </row>
    <row r="1580" ht="60" hidden="1">
      <c r="A1580" s="217"/>
      <c r="B1580" s="217">
        <v>1174</v>
      </c>
      <c r="C1580" s="217"/>
      <c r="D1580" s="217" t="s">
        <v>17167</v>
      </c>
      <c r="E1580" s="471" t="s">
        <v>20663</v>
      </c>
      <c r="F1580" s="482">
        <v>94963</v>
      </c>
      <c r="G1580" s="470" t="s">
        <v>20911</v>
      </c>
      <c r="H1580" s="482" t="s">
        <v>15528</v>
      </c>
      <c r="I1580" s="558">
        <v>1.4500000000000001e-002</v>
      </c>
      <c r="J1580" s="473">
        <f t="shared" si="1144"/>
        <v>441.43000000000001</v>
      </c>
      <c r="K1580" s="474">
        <f t="shared" si="1149"/>
        <v>6.4007350000000001</v>
      </c>
      <c r="L1580" s="473">
        <f t="shared" si="1124"/>
        <v>436.14999999999998</v>
      </c>
      <c r="M1580" s="474">
        <f t="shared" si="1150"/>
        <v>6.3241750000000003</v>
      </c>
      <c r="O1580" s="434">
        <f t="shared" ref="O1580:O1643" si="1151">IFERROR(IF(D1580="SINAPI",VLOOKUP(F1580,SINCOMOD,4,FALSE),IF(D1580="INSINAPI",VLOOKUP(F1580,INSINOD,5,FALSE),IF(D1580="SICRO",VLOOKUP(F1580,SICRO,5,FALSE),IF(D1580="COTACAO",VLOOKUP(F1580,COTACAO,6,FALSE),IF(D1580="PRÓPRIO",VLOOKUP(F1580,COMPOD,11,FALSE),IF(D1580="AGESUL",VLOOKUP(F1580,AGESULOD,6,FALSE),IF(D1580="INSAGESUL",VLOOKUP(F1580,INSAGESUL,7,FALSE),"SEM VALOR"))))))),"SEM VALOR")</f>
        <v>441.43000000000001</v>
      </c>
      <c r="P1580" s="435">
        <f t="shared" ref="P1580:P1643" si="1152">IFERROR(IF(D1580="SINAPI",VLOOKUP(F1580,SINCOMOD,6,FALSE),IF(D1580="INSINAPI",VLOOKUP(F1580,INSINOD,6,FALSE),IF(D1580="SICRO",VLOOKUP(F1580,SICRO,5,FALSE),IF(D1580="COTACAO",VLOOKUP(F1580,COTACAO,6,FALSE),IF(D1580="PRÓPRIO",VLOOKUP(F1580,COMPOD,13,FALSE),IF(D1580="AGESUL",VLOOKUP(F1580,AGESULOD,11,FALSE),IF(D1580="INSAGESUL",VLOOKUP(F1580,INSAGESUL,8,FALSE),"SEM VALOR"))))))),"SEM VALOR")</f>
        <v>436.14999999999998</v>
      </c>
      <c r="AE1580" s="217"/>
      <c r="AF1580" s="217">
        <v>1174</v>
      </c>
      <c r="AH1580">
        <f t="shared" si="1139"/>
        <v>1174</v>
      </c>
    </row>
    <row r="1581" ht="63" hidden="1">
      <c r="A1581" s="460">
        <v>1175</v>
      </c>
      <c r="B1581" s="460">
        <v>1175</v>
      </c>
      <c r="C1581" s="460"/>
      <c r="D1581" s="460"/>
      <c r="E1581" s="461">
        <v>1</v>
      </c>
      <c r="F1581" s="462" t="s">
        <v>21408</v>
      </c>
      <c r="G1581" s="477" t="s">
        <v>21344</v>
      </c>
      <c r="H1581" s="478" t="s">
        <v>15528</v>
      </c>
      <c r="I1581" s="479"/>
      <c r="J1581" s="480"/>
      <c r="K1581" s="466">
        <f>SUM(K1582:K1584)</f>
        <v>50.686786336000004</v>
      </c>
      <c r="L1581" s="480"/>
      <c r="M1581" s="466">
        <f>SUM(M1582:M1584)</f>
        <v>49.684339844000007</v>
      </c>
      <c r="O1581" s="434" t="str">
        <f t="shared" si="1151"/>
        <v xml:space="preserve">SEM VALOR</v>
      </c>
      <c r="P1581" s="435" t="str">
        <f t="shared" si="1152"/>
        <v xml:space="preserve">SEM VALOR</v>
      </c>
      <c r="AE1581" s="460">
        <v>1175</v>
      </c>
      <c r="AF1581" s="460"/>
      <c r="AH1581">
        <f t="shared" si="1139"/>
        <v>1175</v>
      </c>
    </row>
    <row r="1582" ht="60" hidden="1">
      <c r="A1582" s="217"/>
      <c r="B1582" s="217">
        <v>1175</v>
      </c>
      <c r="C1582" s="217"/>
      <c r="D1582" s="217" t="s">
        <v>17167</v>
      </c>
      <c r="E1582" s="471" t="s">
        <v>20399</v>
      </c>
      <c r="F1582" s="486">
        <v>96245</v>
      </c>
      <c r="G1582" s="470" t="s">
        <v>21409</v>
      </c>
      <c r="H1582" s="482" t="s">
        <v>1535</v>
      </c>
      <c r="I1582" s="578">
        <f>0.7/2.33</f>
        <v>0.30042920000000001</v>
      </c>
      <c r="J1582" s="473">
        <f t="shared" si="1144"/>
        <v>131.78999999999999</v>
      </c>
      <c r="K1582" s="474">
        <f t="shared" ref="K1582:K1584" si="1153">I1582*J1582</f>
        <v>39.593564268000002</v>
      </c>
      <c r="L1582" s="473">
        <f t="shared" ref="L1581:L1644" si="1154">P1582*$L$3</f>
        <v>129.66</v>
      </c>
      <c r="M1582" s="474">
        <f t="shared" ref="M1582:M1584" si="1155">L1582*I1582</f>
        <v>38.953650072000002</v>
      </c>
      <c r="O1582" s="434">
        <f t="shared" si="1151"/>
        <v>131.78999999999999</v>
      </c>
      <c r="P1582" s="435">
        <f t="shared" si="1152"/>
        <v>129.66</v>
      </c>
      <c r="AE1582" s="217"/>
      <c r="AF1582" s="217">
        <v>1175</v>
      </c>
      <c r="AH1582">
        <f t="shared" si="1139"/>
        <v>1175</v>
      </c>
    </row>
    <row r="1583" ht="60" hidden="1">
      <c r="A1583" s="217"/>
      <c r="B1583" s="217">
        <v>1175</v>
      </c>
      <c r="C1583" s="217"/>
      <c r="D1583" s="217" t="s">
        <v>17167</v>
      </c>
      <c r="E1583" s="471" t="s">
        <v>20402</v>
      </c>
      <c r="F1583" s="486">
        <v>96246</v>
      </c>
      <c r="G1583" s="470" t="s">
        <v>21410</v>
      </c>
      <c r="H1583" s="482" t="s">
        <v>1533</v>
      </c>
      <c r="I1583" s="578">
        <f>0.3/2.33</f>
        <v>0.12875539999999999</v>
      </c>
      <c r="J1583" s="473">
        <f t="shared" si="1144"/>
        <v>73.260000000000005</v>
      </c>
      <c r="K1583" s="474">
        <f t="shared" si="1153"/>
        <v>9.4326206040000002</v>
      </c>
      <c r="L1583" s="473">
        <f t="shared" si="1154"/>
        <v>71.129999999999995</v>
      </c>
      <c r="M1583" s="474">
        <f t="shared" si="1155"/>
        <v>9.158371601999999</v>
      </c>
      <c r="O1583" s="434">
        <f t="shared" si="1151"/>
        <v>73.260000000000005</v>
      </c>
      <c r="P1583" s="435">
        <f t="shared" si="1152"/>
        <v>71.129999999999995</v>
      </c>
      <c r="AE1583" s="217"/>
      <c r="AF1583" s="217">
        <v>1175</v>
      </c>
      <c r="AH1583">
        <f t="shared" si="1139"/>
        <v>1175</v>
      </c>
    </row>
    <row r="1584" ht="30" hidden="1">
      <c r="A1584" s="217"/>
      <c r="B1584" s="217">
        <v>1175</v>
      </c>
      <c r="C1584" s="217"/>
      <c r="D1584" s="217" t="s">
        <v>17167</v>
      </c>
      <c r="E1584" s="471" t="s">
        <v>20405</v>
      </c>
      <c r="F1584" s="486">
        <v>88316</v>
      </c>
      <c r="G1584" s="470" t="s">
        <v>7393</v>
      </c>
      <c r="H1584" s="482" t="s">
        <v>2032</v>
      </c>
      <c r="I1584" s="578">
        <f>0.17/2.33</f>
        <v>7.2961399999999996e-002</v>
      </c>
      <c r="J1584" s="473">
        <f t="shared" si="1144"/>
        <v>22.760000000000002</v>
      </c>
      <c r="K1584" s="474">
        <f t="shared" si="1153"/>
        <v>1.660601464</v>
      </c>
      <c r="L1584" s="473">
        <f t="shared" si="1154"/>
        <v>21.550000000000001</v>
      </c>
      <c r="M1584" s="474">
        <f t="shared" si="1155"/>
        <v>1.57231817</v>
      </c>
      <c r="O1584" s="434">
        <f t="shared" si="1151"/>
        <v>22.760000000000002</v>
      </c>
      <c r="P1584" s="435">
        <f t="shared" si="1152"/>
        <v>21.550000000000001</v>
      </c>
      <c r="AE1584" s="217"/>
      <c r="AF1584" s="217">
        <v>1175</v>
      </c>
      <c r="AH1584">
        <f t="shared" si="1139"/>
        <v>1175</v>
      </c>
    </row>
    <row r="1585" ht="69.75" hidden="1" customHeight="1">
      <c r="A1585" s="460">
        <v>1176</v>
      </c>
      <c r="B1585" s="460">
        <v>1176</v>
      </c>
      <c r="C1585" s="460"/>
      <c r="D1585" s="460"/>
      <c r="E1585" s="461">
        <v>1</v>
      </c>
      <c r="F1585" s="462" t="s">
        <v>21411</v>
      </c>
      <c r="G1585" s="477" t="s">
        <v>21412</v>
      </c>
      <c r="H1585" s="478" t="s">
        <v>31</v>
      </c>
      <c r="I1585" s="479"/>
      <c r="J1585" s="480"/>
      <c r="K1585" s="466">
        <f>SUM(K1586:K1591)</f>
        <v>4028.7119600000001</v>
      </c>
      <c r="L1585" s="480"/>
      <c r="M1585" s="466">
        <f>SUM(M1586:M1591)</f>
        <v>3884.0845600000002</v>
      </c>
      <c r="N1585" s="467" t="s">
        <v>21413</v>
      </c>
      <c r="O1585" s="434" t="str">
        <f t="shared" si="1151"/>
        <v xml:space="preserve">SEM VALOR</v>
      </c>
      <c r="P1585" s="435" t="str">
        <f t="shared" si="1152"/>
        <v xml:space="preserve">SEM VALOR</v>
      </c>
      <c r="AE1585" s="460">
        <v>1176</v>
      </c>
      <c r="AF1585" s="460"/>
      <c r="AH1585">
        <f t="shared" si="1139"/>
        <v>1176</v>
      </c>
    </row>
    <row r="1586" ht="52.5" hidden="1" customHeight="1">
      <c r="A1586" s="217"/>
      <c r="B1586" s="217">
        <v>1176</v>
      </c>
      <c r="C1586" s="217"/>
      <c r="D1586" s="217" t="s">
        <v>17167</v>
      </c>
      <c r="E1586" s="471" t="s">
        <v>20399</v>
      </c>
      <c r="F1586" s="482">
        <v>101616</v>
      </c>
      <c r="G1586" s="488" t="s">
        <v>21414</v>
      </c>
      <c r="H1586" s="482" t="s">
        <v>15515</v>
      </c>
      <c r="I1586" s="483">
        <v>5</v>
      </c>
      <c r="J1586" s="473">
        <f t="shared" si="1144"/>
        <v>7.7800000000000002</v>
      </c>
      <c r="K1586" s="474">
        <f t="shared" ref="K1586:K1591" si="1156">I1586*J1586</f>
        <v>38.899999999999999</v>
      </c>
      <c r="L1586" s="473">
        <f t="shared" si="1154"/>
        <v>7.3499999999999996</v>
      </c>
      <c r="M1586" s="474">
        <f t="shared" ref="M1586:M1591" si="1157">L1586*I1586</f>
        <v>36.75</v>
      </c>
      <c r="O1586" s="434">
        <f t="shared" si="1151"/>
        <v>7.7800000000000002</v>
      </c>
      <c r="P1586" s="435">
        <f t="shared" si="1152"/>
        <v>7.3499999999999996</v>
      </c>
      <c r="AE1586" s="217"/>
      <c r="AF1586" s="217">
        <v>1176</v>
      </c>
      <c r="AH1586">
        <f t="shared" si="1139"/>
        <v>1176</v>
      </c>
    </row>
    <row r="1587" ht="45" hidden="1">
      <c r="A1587" s="217"/>
      <c r="B1587" s="217">
        <v>1176</v>
      </c>
      <c r="C1587" s="217"/>
      <c r="D1587" s="217" t="s">
        <v>17167</v>
      </c>
      <c r="E1587" s="471" t="s">
        <v>20402</v>
      </c>
      <c r="F1587" s="489">
        <v>96545</v>
      </c>
      <c r="G1587" s="470" t="s">
        <v>20678</v>
      </c>
      <c r="H1587" s="482" t="s">
        <v>302</v>
      </c>
      <c r="I1587" s="483">
        <v>12.08</v>
      </c>
      <c r="J1587" s="473">
        <f t="shared" si="1144"/>
        <v>15.82</v>
      </c>
      <c r="K1587" s="474">
        <f t="shared" si="1156"/>
        <v>191.10560000000001</v>
      </c>
      <c r="L1587" s="473">
        <f t="shared" si="1154"/>
        <v>15.48</v>
      </c>
      <c r="M1587" s="474">
        <f t="shared" si="1157"/>
        <v>186.9984</v>
      </c>
      <c r="O1587" s="434">
        <f t="shared" si="1151"/>
        <v>15.82</v>
      </c>
      <c r="P1587" s="435">
        <f t="shared" si="1152"/>
        <v>15.48</v>
      </c>
      <c r="AE1587" s="217"/>
      <c r="AF1587" s="217">
        <v>1176</v>
      </c>
      <c r="AH1587">
        <f t="shared" si="1139"/>
        <v>1176</v>
      </c>
    </row>
    <row r="1588" ht="60" hidden="1">
      <c r="A1588" s="217"/>
      <c r="B1588" s="217">
        <v>1176</v>
      </c>
      <c r="C1588" s="217"/>
      <c r="D1588" s="217" t="s">
        <v>17167</v>
      </c>
      <c r="E1588" s="471" t="s">
        <v>20405</v>
      </c>
      <c r="F1588" s="489">
        <v>94964</v>
      </c>
      <c r="G1588" s="470" t="s">
        <v>8711</v>
      </c>
      <c r="H1588" s="482" t="s">
        <v>15528</v>
      </c>
      <c r="I1588" s="483">
        <v>2.1000000000000001</v>
      </c>
      <c r="J1588" s="473">
        <f t="shared" si="1144"/>
        <v>488.52999999999997</v>
      </c>
      <c r="K1588" s="474">
        <f t="shared" si="1156"/>
        <v>1025.913</v>
      </c>
      <c r="L1588" s="473">
        <f t="shared" si="1154"/>
        <v>482.79000000000002</v>
      </c>
      <c r="M1588" s="474">
        <f t="shared" si="1157"/>
        <v>1013.859</v>
      </c>
      <c r="O1588" s="434">
        <f t="shared" si="1151"/>
        <v>488.52999999999997</v>
      </c>
      <c r="P1588" s="435">
        <f t="shared" si="1152"/>
        <v>482.79000000000002</v>
      </c>
      <c r="AE1588" s="217"/>
      <c r="AF1588" s="217">
        <v>1176</v>
      </c>
      <c r="AH1588">
        <f t="shared" si="1139"/>
        <v>1176</v>
      </c>
    </row>
    <row r="1589" ht="75" hidden="1">
      <c r="A1589" s="217"/>
      <c r="B1589" s="217">
        <v>1176</v>
      </c>
      <c r="C1589" s="217"/>
      <c r="D1589" s="217" t="s">
        <v>17167</v>
      </c>
      <c r="E1589" s="471" t="s">
        <v>20409</v>
      </c>
      <c r="F1589" s="489">
        <v>94965</v>
      </c>
      <c r="G1589" s="470" t="s">
        <v>8715</v>
      </c>
      <c r="H1589" s="482" t="s">
        <v>15528</v>
      </c>
      <c r="I1589" s="483">
        <v>9.1999999999999998e-002</v>
      </c>
      <c r="J1589" s="473">
        <f t="shared" si="1144"/>
        <v>510.48000000000002</v>
      </c>
      <c r="K1589" s="474">
        <f t="shared" si="1156"/>
        <v>46.96416</v>
      </c>
      <c r="L1589" s="473">
        <f t="shared" si="1154"/>
        <v>505.23000000000002</v>
      </c>
      <c r="M1589" s="474">
        <f t="shared" si="1157"/>
        <v>46.481160000000003</v>
      </c>
      <c r="O1589" s="434">
        <f t="shared" si="1151"/>
        <v>510.48000000000002</v>
      </c>
      <c r="P1589" s="435">
        <f t="shared" si="1152"/>
        <v>505.23000000000002</v>
      </c>
      <c r="AE1589" s="217"/>
      <c r="AF1589" s="217">
        <v>1176</v>
      </c>
      <c r="AH1589">
        <f t="shared" si="1139"/>
        <v>1176</v>
      </c>
    </row>
    <row r="1590" ht="45" hidden="1">
      <c r="A1590" s="217"/>
      <c r="B1590" s="217">
        <v>1176</v>
      </c>
      <c r="C1590" s="217"/>
      <c r="D1590" s="217" t="s">
        <v>17167</v>
      </c>
      <c r="E1590" s="471" t="s">
        <v>20663</v>
      </c>
      <c r="F1590" s="489">
        <v>93358</v>
      </c>
      <c r="G1590" s="470" t="s">
        <v>20661</v>
      </c>
      <c r="H1590" s="482" t="s">
        <v>15528</v>
      </c>
      <c r="I1590" s="483">
        <v>15</v>
      </c>
      <c r="J1590" s="473">
        <f t="shared" si="1144"/>
        <v>90.030000000000001</v>
      </c>
      <c r="K1590" s="474">
        <f t="shared" si="1156"/>
        <v>1350.45</v>
      </c>
      <c r="L1590" s="473">
        <f t="shared" si="1154"/>
        <v>85.239999999999995</v>
      </c>
      <c r="M1590" s="474">
        <f t="shared" si="1157"/>
        <v>1278.5999999999999</v>
      </c>
      <c r="O1590" s="434">
        <f t="shared" si="1151"/>
        <v>90.030000000000001</v>
      </c>
      <c r="P1590" s="435">
        <f t="shared" si="1152"/>
        <v>85.239999999999995</v>
      </c>
      <c r="AE1590" s="217"/>
      <c r="AF1590" s="217">
        <v>1176</v>
      </c>
      <c r="AH1590">
        <f t="shared" si="1139"/>
        <v>1176</v>
      </c>
    </row>
    <row r="1591" ht="60" hidden="1">
      <c r="A1591" s="217"/>
      <c r="B1591" s="217">
        <v>1176</v>
      </c>
      <c r="C1591" s="217"/>
      <c r="D1591" s="217" t="s">
        <v>17167</v>
      </c>
      <c r="E1591" s="471" t="s">
        <v>20665</v>
      </c>
      <c r="F1591" s="489">
        <v>96536</v>
      </c>
      <c r="G1591" s="470" t="s">
        <v>21415</v>
      </c>
      <c r="H1591" s="482" t="s">
        <v>15515</v>
      </c>
      <c r="I1591" s="483">
        <v>21.68</v>
      </c>
      <c r="J1591" s="473">
        <f t="shared" si="1144"/>
        <v>63.439999999999998</v>
      </c>
      <c r="K1591" s="474">
        <f t="shared" si="1156"/>
        <v>1375.3791999999999</v>
      </c>
      <c r="L1591" s="473">
        <f t="shared" si="1154"/>
        <v>60.950000000000003</v>
      </c>
      <c r="M1591" s="474">
        <f t="shared" si="1157"/>
        <v>1321.396</v>
      </c>
      <c r="O1591" s="434">
        <f t="shared" si="1151"/>
        <v>63.439999999999998</v>
      </c>
      <c r="P1591" s="435">
        <f t="shared" si="1152"/>
        <v>60.950000000000003</v>
      </c>
      <c r="AE1591" s="217"/>
      <c r="AF1591" s="217">
        <v>1176</v>
      </c>
      <c r="AH1591">
        <f t="shared" si="1139"/>
        <v>1176</v>
      </c>
    </row>
    <row r="1592" ht="57" hidden="1" customHeight="1">
      <c r="A1592" s="460">
        <v>1177</v>
      </c>
      <c r="B1592" s="460">
        <v>1177</v>
      </c>
      <c r="C1592" s="460"/>
      <c r="D1592" s="460"/>
      <c r="E1592" s="461">
        <v>1</v>
      </c>
      <c r="F1592" s="462" t="s">
        <v>21416</v>
      </c>
      <c r="G1592" s="477" t="s">
        <v>21417</v>
      </c>
      <c r="H1592" s="478" t="s">
        <v>31</v>
      </c>
      <c r="I1592" s="479"/>
      <c r="J1592" s="480"/>
      <c r="K1592" s="466">
        <f>SUM(K1593:K1600)</f>
        <v>258.52474284500005</v>
      </c>
      <c r="L1592" s="480"/>
      <c r="M1592" s="466">
        <f>SUM(M1593:M1600)</f>
        <v>256.95134330400003</v>
      </c>
      <c r="N1592" s="467" t="s">
        <v>21418</v>
      </c>
      <c r="O1592" s="434" t="str">
        <f t="shared" si="1151"/>
        <v xml:space="preserve">SEM VALOR</v>
      </c>
      <c r="P1592" s="435" t="str">
        <f t="shared" si="1152"/>
        <v xml:space="preserve">SEM VALOR</v>
      </c>
      <c r="AE1592" s="460">
        <v>1177</v>
      </c>
      <c r="AF1592" s="460"/>
      <c r="AH1592">
        <f t="shared" si="1139"/>
        <v>1177</v>
      </c>
    </row>
    <row r="1593" ht="105" hidden="1">
      <c r="A1593" s="217"/>
      <c r="B1593" s="217">
        <v>1177</v>
      </c>
      <c r="C1593" s="217"/>
      <c r="D1593" s="217" t="s">
        <v>17167</v>
      </c>
      <c r="E1593" s="471" t="s">
        <v>20399</v>
      </c>
      <c r="F1593" s="482">
        <v>73467</v>
      </c>
      <c r="G1593" s="470" t="s">
        <v>1601</v>
      </c>
      <c r="H1593" s="482" t="s">
        <v>1535</v>
      </c>
      <c r="I1593" s="578">
        <f>0.3/4.2</f>
        <v>7.1428599999999995e-002</v>
      </c>
      <c r="J1593" s="473">
        <f t="shared" si="1144"/>
        <v>270.61000000000001</v>
      </c>
      <c r="K1593" s="474">
        <f t="shared" ref="K1593:K1600" si="1158">I1593*J1593</f>
        <v>19.329293446000001</v>
      </c>
      <c r="L1593" s="473">
        <f t="shared" si="1154"/>
        <v>269.00999999999999</v>
      </c>
      <c r="M1593" s="474">
        <f t="shared" ref="M1593:M1600" si="1159">L1593*I1593</f>
        <v>19.215007685999996</v>
      </c>
      <c r="O1593" s="434">
        <f t="shared" si="1151"/>
        <v>270.61000000000001</v>
      </c>
      <c r="P1593" s="435">
        <f t="shared" si="1152"/>
        <v>269.00999999999999</v>
      </c>
      <c r="AE1593" s="217"/>
      <c r="AF1593" s="217">
        <v>1177</v>
      </c>
      <c r="AH1593">
        <f t="shared" si="1139"/>
        <v>1177</v>
      </c>
    </row>
    <row r="1594" ht="105" hidden="1">
      <c r="A1594" s="217"/>
      <c r="B1594" s="217">
        <v>1177</v>
      </c>
      <c r="C1594" s="217"/>
      <c r="D1594" s="217" t="s">
        <v>17167</v>
      </c>
      <c r="E1594" s="471" t="s">
        <v>20402</v>
      </c>
      <c r="F1594" s="482">
        <v>91395</v>
      </c>
      <c r="G1594" s="470" t="s">
        <v>1600</v>
      </c>
      <c r="H1594" s="482" t="s">
        <v>1533</v>
      </c>
      <c r="I1594" s="578">
        <f>0.7/4.2</f>
        <v>0.1666667</v>
      </c>
      <c r="J1594" s="473">
        <f t="shared" si="1144"/>
        <v>58.25</v>
      </c>
      <c r="K1594" s="474">
        <f t="shared" si="1158"/>
        <v>9.7083352749999996</v>
      </c>
      <c r="L1594" s="473">
        <f t="shared" si="1154"/>
        <v>56.649999999999999</v>
      </c>
      <c r="M1594" s="474">
        <f t="shared" si="1159"/>
        <v>9.4416685549999997</v>
      </c>
      <c r="O1594" s="434">
        <f t="shared" si="1151"/>
        <v>58.25</v>
      </c>
      <c r="P1594" s="435">
        <f t="shared" si="1152"/>
        <v>56.649999999999999</v>
      </c>
      <c r="AE1594" s="217"/>
      <c r="AF1594" s="217">
        <v>1177</v>
      </c>
      <c r="AH1594">
        <f t="shared" si="1139"/>
        <v>1177</v>
      </c>
    </row>
    <row r="1595" ht="45" hidden="1">
      <c r="A1595" s="217"/>
      <c r="B1595" s="217">
        <v>1177</v>
      </c>
      <c r="C1595" s="217"/>
      <c r="D1595" s="217" t="s">
        <v>17167</v>
      </c>
      <c r="E1595" s="471" t="s">
        <v>20405</v>
      </c>
      <c r="F1595" s="482">
        <v>88277</v>
      </c>
      <c r="G1595" s="488" t="s">
        <v>7341</v>
      </c>
      <c r="H1595" s="482" t="s">
        <v>2032</v>
      </c>
      <c r="I1595" s="578">
        <f t="shared" ref="I1595:I1596" si="1160">1/4.2</f>
        <v>0.23809520000000001</v>
      </c>
      <c r="J1595" s="473">
        <f t="shared" si="1144"/>
        <v>28.359999999999999</v>
      </c>
      <c r="K1595" s="474">
        <f t="shared" si="1158"/>
        <v>6.7523798719999997</v>
      </c>
      <c r="L1595" s="473">
        <f t="shared" si="1154"/>
        <v>26.640000000000001</v>
      </c>
      <c r="M1595" s="474">
        <f t="shared" si="1159"/>
        <v>6.3428561280000002</v>
      </c>
      <c r="O1595" s="434">
        <f t="shared" si="1151"/>
        <v>28.359999999999999</v>
      </c>
      <c r="P1595" s="435">
        <f t="shared" si="1152"/>
        <v>26.640000000000001</v>
      </c>
      <c r="AE1595" s="217"/>
      <c r="AF1595" s="217">
        <v>1177</v>
      </c>
      <c r="AH1595">
        <f t="shared" si="1139"/>
        <v>1177</v>
      </c>
    </row>
    <row r="1596" ht="30" hidden="1">
      <c r="A1596" s="217"/>
      <c r="B1596" s="217">
        <v>1177</v>
      </c>
      <c r="C1596" s="217"/>
      <c r="D1596" s="217" t="s">
        <v>17167</v>
      </c>
      <c r="E1596" s="471" t="s">
        <v>20409</v>
      </c>
      <c r="F1596" s="482">
        <v>88316</v>
      </c>
      <c r="G1596" s="470" t="s">
        <v>7393</v>
      </c>
      <c r="H1596" s="482" t="s">
        <v>2032</v>
      </c>
      <c r="I1596" s="578">
        <f t="shared" si="1160"/>
        <v>0.23809520000000001</v>
      </c>
      <c r="J1596" s="473">
        <f t="shared" si="1144"/>
        <v>22.760000000000002</v>
      </c>
      <c r="K1596" s="474">
        <f t="shared" si="1158"/>
        <v>5.4190467520000007</v>
      </c>
      <c r="L1596" s="473">
        <f t="shared" si="1154"/>
        <v>21.550000000000001</v>
      </c>
      <c r="M1596" s="474">
        <f t="shared" si="1159"/>
        <v>5.1309515600000006</v>
      </c>
      <c r="O1596" s="434">
        <f t="shared" si="1151"/>
        <v>22.760000000000002</v>
      </c>
      <c r="P1596" s="435">
        <f t="shared" si="1152"/>
        <v>21.550000000000001</v>
      </c>
      <c r="AE1596" s="217"/>
      <c r="AF1596" s="217">
        <v>1177</v>
      </c>
      <c r="AH1596">
        <f t="shared" si="1139"/>
        <v>1177</v>
      </c>
    </row>
    <row r="1597" ht="45" hidden="1">
      <c r="A1597" s="217"/>
      <c r="B1597" s="217">
        <v>1177</v>
      </c>
      <c r="C1597" s="217"/>
      <c r="D1597" s="217" t="s">
        <v>20408</v>
      </c>
      <c r="E1597" s="471" t="s">
        <v>20663</v>
      </c>
      <c r="F1597" s="482">
        <v>21013</v>
      </c>
      <c r="G1597" s="470" t="s">
        <v>21419</v>
      </c>
      <c r="H1597" s="482" t="s">
        <v>21420</v>
      </c>
      <c r="I1597" s="578">
        <v>2.9500000000000002</v>
      </c>
      <c r="J1597" s="473">
        <f t="shared" si="1144"/>
        <v>66.920000000000002</v>
      </c>
      <c r="K1597" s="474">
        <f t="shared" si="1158"/>
        <v>197.41400000000002</v>
      </c>
      <c r="L1597" s="473">
        <f t="shared" si="1154"/>
        <v>66.920000000000002</v>
      </c>
      <c r="M1597" s="474">
        <f t="shared" si="1159"/>
        <v>197.41400000000002</v>
      </c>
      <c r="O1597" s="434">
        <f t="shared" si="1151"/>
        <v>66.920000000000002</v>
      </c>
      <c r="P1597" s="435">
        <f t="shared" si="1152"/>
        <v>66.920000000000002</v>
      </c>
      <c r="AE1597" s="217"/>
      <c r="AF1597" s="217">
        <v>1177</v>
      </c>
      <c r="AH1597">
        <f t="shared" si="1139"/>
        <v>1177</v>
      </c>
    </row>
    <row r="1598" ht="60" hidden="1">
      <c r="A1598" s="217"/>
      <c r="B1598" s="217">
        <v>1177</v>
      </c>
      <c r="C1598" s="217"/>
      <c r="D1598" s="217" t="s">
        <v>17167</v>
      </c>
      <c r="E1598" s="471" t="s">
        <v>20665</v>
      </c>
      <c r="F1598" s="482">
        <v>94963</v>
      </c>
      <c r="G1598" s="470" t="s">
        <v>20684</v>
      </c>
      <c r="H1598" s="482" t="s">
        <v>15528</v>
      </c>
      <c r="I1598" s="578">
        <v>3.125e-002</v>
      </c>
      <c r="J1598" s="473">
        <f t="shared" si="1144"/>
        <v>441.43000000000001</v>
      </c>
      <c r="K1598" s="474">
        <f t="shared" si="1158"/>
        <v>13.7946875</v>
      </c>
      <c r="L1598" s="473">
        <f t="shared" si="1154"/>
        <v>436.14999999999998</v>
      </c>
      <c r="M1598" s="474">
        <f t="shared" si="1159"/>
        <v>13.629687499999999</v>
      </c>
      <c r="O1598" s="434">
        <f t="shared" si="1151"/>
        <v>441.43000000000001</v>
      </c>
      <c r="P1598" s="435">
        <f t="shared" si="1152"/>
        <v>436.14999999999998</v>
      </c>
      <c r="AE1598" s="217"/>
      <c r="AF1598" s="217">
        <v>1177</v>
      </c>
      <c r="AH1598">
        <f t="shared" si="1139"/>
        <v>1177</v>
      </c>
    </row>
    <row r="1599" ht="45" hidden="1">
      <c r="A1599" s="217"/>
      <c r="B1599" s="217">
        <v>1177</v>
      </c>
      <c r="C1599" s="217"/>
      <c r="D1599" s="217" t="s">
        <v>20398</v>
      </c>
      <c r="E1599" s="471" t="s">
        <v>20667</v>
      </c>
      <c r="F1599" s="482">
        <v>1259</v>
      </c>
      <c r="G1599" s="470" t="s">
        <v>20796</v>
      </c>
      <c r="H1599" s="482" t="s">
        <v>15528</v>
      </c>
      <c r="I1599" s="578">
        <v>3.125e-002</v>
      </c>
      <c r="J1599" s="473">
        <f t="shared" si="1144"/>
        <v>45.520000000000003</v>
      </c>
      <c r="K1599" s="474">
        <f t="shared" si="1158"/>
        <v>1.4225000000000001</v>
      </c>
      <c r="L1599" s="473">
        <f t="shared" si="1154"/>
        <v>43.100000000000001</v>
      </c>
      <c r="M1599" s="474">
        <f t="shared" si="1159"/>
        <v>1.346875</v>
      </c>
      <c r="O1599" s="434">
        <f t="shared" si="1151"/>
        <v>45.520000000000003</v>
      </c>
      <c r="P1599" s="435">
        <f t="shared" si="1152"/>
        <v>43.100000000000001</v>
      </c>
      <c r="AE1599" s="217"/>
      <c r="AF1599" s="217">
        <v>1177</v>
      </c>
      <c r="AH1599">
        <f t="shared" si="1139"/>
        <v>1177</v>
      </c>
    </row>
    <row r="1600" ht="45" hidden="1">
      <c r="A1600" s="217"/>
      <c r="B1600" s="217">
        <v>1177</v>
      </c>
      <c r="C1600" s="217"/>
      <c r="D1600" s="217" t="s">
        <v>20398</v>
      </c>
      <c r="E1600" s="471" t="s">
        <v>20671</v>
      </c>
      <c r="F1600" s="482">
        <v>1000</v>
      </c>
      <c r="G1600" s="470" t="s">
        <v>20651</v>
      </c>
      <c r="H1600" s="482" t="s">
        <v>15528</v>
      </c>
      <c r="I1600" s="578">
        <f>I1598</f>
        <v>3.125e-002</v>
      </c>
      <c r="J1600" s="473">
        <f t="shared" si="1144"/>
        <v>149.904</v>
      </c>
      <c r="K1600" s="474">
        <f t="shared" si="1158"/>
        <v>4.6844999999999999</v>
      </c>
      <c r="L1600" s="473">
        <f t="shared" si="1154"/>
        <v>141.76949999999999</v>
      </c>
      <c r="M1600" s="474">
        <f t="shared" si="1159"/>
        <v>4.4302968749999998</v>
      </c>
      <c r="O1600" s="434">
        <f t="shared" si="1151"/>
        <v>149.904</v>
      </c>
      <c r="P1600" s="435">
        <f t="shared" si="1152"/>
        <v>141.76949999999999</v>
      </c>
      <c r="AE1600" s="217"/>
      <c r="AF1600" s="217">
        <v>1177</v>
      </c>
      <c r="AH1600">
        <f t="shared" si="1139"/>
        <v>1177</v>
      </c>
    </row>
    <row r="1601" ht="66.75" hidden="1" customHeight="1">
      <c r="A1601" s="460">
        <v>1178</v>
      </c>
      <c r="B1601" s="460">
        <v>1178</v>
      </c>
      <c r="C1601" s="460"/>
      <c r="D1601" s="460"/>
      <c r="E1601" s="461">
        <v>1</v>
      </c>
      <c r="F1601" s="462" t="s">
        <v>21421</v>
      </c>
      <c r="G1601" s="477" t="s">
        <v>21422</v>
      </c>
      <c r="H1601" s="478" t="s">
        <v>31</v>
      </c>
      <c r="I1601" s="479"/>
      <c r="J1601" s="480"/>
      <c r="K1601" s="466">
        <f>SUM(K1602:K1608)</f>
        <v>178.22788814299997</v>
      </c>
      <c r="L1601" s="480"/>
      <c r="M1601" s="466">
        <f>SUM(M1602:M1608)</f>
        <v>176.72455495999998</v>
      </c>
      <c r="N1601" s="467" t="s">
        <v>21423</v>
      </c>
      <c r="O1601" s="434" t="str">
        <f t="shared" si="1151"/>
        <v xml:space="preserve">SEM VALOR</v>
      </c>
      <c r="P1601" s="435" t="str">
        <f t="shared" si="1152"/>
        <v xml:space="preserve">SEM VALOR</v>
      </c>
      <c r="AE1601" s="460">
        <v>1178</v>
      </c>
      <c r="AF1601" s="460"/>
      <c r="AH1601">
        <f t="shared" si="1139"/>
        <v>1178</v>
      </c>
    </row>
    <row r="1602" ht="105" hidden="1">
      <c r="A1602" s="217"/>
      <c r="B1602" s="217">
        <v>1178</v>
      </c>
      <c r="C1602" s="217"/>
      <c r="D1602" s="217" t="s">
        <v>17167</v>
      </c>
      <c r="E1602" s="471" t="s">
        <v>20399</v>
      </c>
      <c r="F1602" s="482">
        <v>73467</v>
      </c>
      <c r="G1602" s="470" t="s">
        <v>1601</v>
      </c>
      <c r="H1602" s="482" t="s">
        <v>1535</v>
      </c>
      <c r="I1602" s="578">
        <f>0.3/3</f>
        <v>0.10000000000000001</v>
      </c>
      <c r="J1602" s="473">
        <f t="shared" si="1144"/>
        <v>270.61000000000001</v>
      </c>
      <c r="K1602" s="474">
        <f t="shared" ref="K1602:K1608" si="1161">I1602*J1602</f>
        <v>27.061000000000003</v>
      </c>
      <c r="L1602" s="473">
        <f t="shared" si="1154"/>
        <v>269.00999999999999</v>
      </c>
      <c r="M1602" s="474">
        <f t="shared" ref="M1602:M1608" si="1162">L1602*I1602</f>
        <v>26.901</v>
      </c>
      <c r="O1602" s="434">
        <f t="shared" si="1151"/>
        <v>270.61000000000001</v>
      </c>
      <c r="P1602" s="435">
        <f t="shared" si="1152"/>
        <v>269.00999999999999</v>
      </c>
      <c r="AE1602" s="217"/>
      <c r="AF1602" s="217">
        <v>1178</v>
      </c>
      <c r="AH1602">
        <f t="shared" si="1139"/>
        <v>1178</v>
      </c>
    </row>
    <row r="1603" ht="105" hidden="1">
      <c r="A1603" s="217"/>
      <c r="B1603" s="217">
        <v>1178</v>
      </c>
      <c r="C1603" s="217"/>
      <c r="D1603" s="217" t="s">
        <v>17167</v>
      </c>
      <c r="E1603" s="471" t="s">
        <v>20402</v>
      </c>
      <c r="F1603" s="482">
        <v>91395</v>
      </c>
      <c r="G1603" s="470" t="s">
        <v>1600</v>
      </c>
      <c r="H1603" s="482" t="s">
        <v>1533</v>
      </c>
      <c r="I1603" s="578">
        <f>0.7/3</f>
        <v>0.23333329999999999</v>
      </c>
      <c r="J1603" s="473">
        <f t="shared" si="1144"/>
        <v>58.25</v>
      </c>
      <c r="K1603" s="474">
        <f t="shared" si="1161"/>
        <v>13.591664724999999</v>
      </c>
      <c r="L1603" s="473">
        <f t="shared" si="1154"/>
        <v>56.649999999999999</v>
      </c>
      <c r="M1603" s="474">
        <f t="shared" si="1162"/>
        <v>13.218331444999999</v>
      </c>
      <c r="O1603" s="434">
        <f t="shared" si="1151"/>
        <v>58.25</v>
      </c>
      <c r="P1603" s="435">
        <f t="shared" si="1152"/>
        <v>56.649999999999999</v>
      </c>
      <c r="AE1603" s="217"/>
      <c r="AF1603" s="217">
        <v>1178</v>
      </c>
      <c r="AH1603">
        <f t="shared" si="1139"/>
        <v>1178</v>
      </c>
    </row>
    <row r="1604" ht="30" hidden="1">
      <c r="A1604" s="217"/>
      <c r="B1604" s="217">
        <v>1178</v>
      </c>
      <c r="C1604" s="217"/>
      <c r="D1604" s="217" t="s">
        <v>20408</v>
      </c>
      <c r="E1604" s="471" t="s">
        <v>20405</v>
      </c>
      <c r="F1604" s="482">
        <v>34723</v>
      </c>
      <c r="G1604" s="470" t="s">
        <v>13866</v>
      </c>
      <c r="H1604" s="482" t="s">
        <v>21424</v>
      </c>
      <c r="I1604" s="578">
        <f>0.45*0.25</f>
        <v>0.1125</v>
      </c>
      <c r="J1604" s="473">
        <f t="shared" si="1144"/>
        <v>997.91999999999996</v>
      </c>
      <c r="K1604" s="474">
        <f t="shared" si="1161"/>
        <v>112.26599999999999</v>
      </c>
      <c r="L1604" s="473">
        <f t="shared" si="1154"/>
        <v>997.91999999999996</v>
      </c>
      <c r="M1604" s="474">
        <f t="shared" si="1162"/>
        <v>112.26599999999999</v>
      </c>
      <c r="O1604" s="434">
        <f t="shared" si="1151"/>
        <v>997.91999999999996</v>
      </c>
      <c r="P1604" s="435">
        <f t="shared" si="1152"/>
        <v>997.91999999999996</v>
      </c>
      <c r="AE1604" s="217"/>
      <c r="AF1604" s="217">
        <v>1178</v>
      </c>
      <c r="AH1604">
        <f t="shared" si="1139"/>
        <v>1178</v>
      </c>
    </row>
    <row r="1605" ht="30" hidden="1">
      <c r="A1605" s="217"/>
      <c r="B1605" s="217">
        <v>1178</v>
      </c>
      <c r="C1605" s="217"/>
      <c r="D1605" s="217" t="s">
        <v>20408</v>
      </c>
      <c r="E1605" s="471" t="s">
        <v>20409</v>
      </c>
      <c r="F1605" s="482">
        <v>546</v>
      </c>
      <c r="G1605" s="470" t="s">
        <v>20997</v>
      </c>
      <c r="H1605" s="482" t="s">
        <v>302</v>
      </c>
      <c r="I1605" s="578">
        <f>0.79*1.05*(0.05+0.25+0.0974)*2</f>
        <v>0.65928659999999994</v>
      </c>
      <c r="J1605" s="473">
        <f t="shared" si="1144"/>
        <v>9.5899999999999999</v>
      </c>
      <c r="K1605" s="474">
        <f t="shared" si="1161"/>
        <v>6.322558493999999</v>
      </c>
      <c r="L1605" s="473">
        <f t="shared" si="1154"/>
        <v>9.5899999999999999</v>
      </c>
      <c r="M1605" s="474">
        <f t="shared" si="1162"/>
        <v>6.322558493999999</v>
      </c>
      <c r="O1605" s="434">
        <f t="shared" si="1151"/>
        <v>9.5899999999999999</v>
      </c>
      <c r="P1605" s="435">
        <f t="shared" si="1152"/>
        <v>9.5899999999999999</v>
      </c>
      <c r="AE1605" s="217"/>
      <c r="AF1605" s="217">
        <v>1178</v>
      </c>
      <c r="AH1605">
        <f t="shared" si="1139"/>
        <v>1178</v>
      </c>
    </row>
    <row r="1606" ht="60" hidden="1">
      <c r="A1606" s="217"/>
      <c r="B1606" s="217">
        <v>1178</v>
      </c>
      <c r="C1606" s="217"/>
      <c r="D1606" s="217" t="s">
        <v>20408</v>
      </c>
      <c r="E1606" s="471" t="s">
        <v>20663</v>
      </c>
      <c r="F1606" s="482">
        <v>13246</v>
      </c>
      <c r="G1606" s="470" t="s">
        <v>21425</v>
      </c>
      <c r="H1606" s="482" t="s">
        <v>20647</v>
      </c>
      <c r="I1606" s="578">
        <v>3</v>
      </c>
      <c r="J1606" s="473">
        <f t="shared" si="1144"/>
        <v>0.52000000000000002</v>
      </c>
      <c r="K1606" s="474">
        <f t="shared" si="1161"/>
        <v>1.5600000000000001</v>
      </c>
      <c r="L1606" s="473">
        <f t="shared" si="1154"/>
        <v>0.52000000000000002</v>
      </c>
      <c r="M1606" s="474">
        <f t="shared" si="1162"/>
        <v>1.5600000000000001</v>
      </c>
      <c r="O1606" s="434">
        <f t="shared" si="1151"/>
        <v>0.52000000000000002</v>
      </c>
      <c r="P1606" s="435">
        <f t="shared" si="1152"/>
        <v>0.52000000000000002</v>
      </c>
      <c r="AE1606" s="217"/>
      <c r="AF1606" s="217">
        <v>1178</v>
      </c>
      <c r="AH1606">
        <f t="shared" si="1139"/>
        <v>1178</v>
      </c>
    </row>
    <row r="1607" ht="30" hidden="1">
      <c r="A1607" s="217"/>
      <c r="B1607" s="217">
        <v>1178</v>
      </c>
      <c r="C1607" s="217"/>
      <c r="D1607" s="217" t="s">
        <v>17167</v>
      </c>
      <c r="E1607" s="471" t="s">
        <v>20665</v>
      </c>
      <c r="F1607" s="482">
        <v>88251</v>
      </c>
      <c r="G1607" s="470" t="s">
        <v>7116</v>
      </c>
      <c r="H1607" s="482" t="s">
        <v>2032</v>
      </c>
      <c r="I1607" s="578">
        <f t="shared" ref="I1607:I1608" si="1163">1/3</f>
        <v>0.3333333</v>
      </c>
      <c r="J1607" s="473">
        <f t="shared" si="1144"/>
        <v>23.48</v>
      </c>
      <c r="K1607" s="474">
        <f t="shared" si="1161"/>
        <v>7.8266658840000005</v>
      </c>
      <c r="L1607" s="473">
        <f t="shared" si="1154"/>
        <v>22.219999999999999</v>
      </c>
      <c r="M1607" s="474">
        <f t="shared" si="1162"/>
        <v>7.4066659259999996</v>
      </c>
      <c r="O1607" s="434">
        <f t="shared" si="1151"/>
        <v>23.48</v>
      </c>
      <c r="P1607" s="435">
        <f t="shared" si="1152"/>
        <v>22.219999999999999</v>
      </c>
      <c r="AE1607" s="217"/>
      <c r="AF1607" s="217">
        <v>1178</v>
      </c>
      <c r="AH1607">
        <f t="shared" ref="AH1607:AH1670" si="1164">IF(AF1607:AF1608=FALSE,AE1607,AF1607)</f>
        <v>1178</v>
      </c>
    </row>
    <row r="1608" ht="30" hidden="1">
      <c r="A1608" s="217"/>
      <c r="B1608" s="217">
        <v>1178</v>
      </c>
      <c r="C1608" s="217"/>
      <c r="D1608" s="217" t="s">
        <v>17167</v>
      </c>
      <c r="E1608" s="471" t="s">
        <v>20667</v>
      </c>
      <c r="F1608" s="482">
        <v>88315</v>
      </c>
      <c r="G1608" s="470" t="s">
        <v>7392</v>
      </c>
      <c r="H1608" s="482" t="s">
        <v>2032</v>
      </c>
      <c r="I1608" s="578">
        <f t="shared" si="1163"/>
        <v>0.3333333</v>
      </c>
      <c r="J1608" s="473">
        <f t="shared" si="1144"/>
        <v>28.800000000000001</v>
      </c>
      <c r="K1608" s="474">
        <f t="shared" si="1161"/>
        <v>9.5999990400000002</v>
      </c>
      <c r="L1608" s="473">
        <f t="shared" si="1154"/>
        <v>27.149999999999999</v>
      </c>
      <c r="M1608" s="474">
        <f t="shared" si="1162"/>
        <v>9.0499990949999987</v>
      </c>
      <c r="O1608" s="434">
        <f t="shared" si="1151"/>
        <v>28.800000000000001</v>
      </c>
      <c r="P1608" s="435">
        <f t="shared" si="1152"/>
        <v>27.149999999999999</v>
      </c>
      <c r="AE1608" s="217"/>
      <c r="AF1608" s="217">
        <v>1178</v>
      </c>
      <c r="AH1608">
        <f t="shared" si="1164"/>
        <v>1178</v>
      </c>
    </row>
    <row r="1609" ht="63" hidden="1">
      <c r="A1609" s="460">
        <v>1179</v>
      </c>
      <c r="B1609" s="460">
        <v>1179</v>
      </c>
      <c r="C1609" s="460"/>
      <c r="D1609" s="460"/>
      <c r="E1609" s="461">
        <v>1</v>
      </c>
      <c r="F1609" s="462" t="s">
        <v>21426</v>
      </c>
      <c r="G1609" s="477" t="s">
        <v>21427</v>
      </c>
      <c r="H1609" s="478" t="s">
        <v>15515</v>
      </c>
      <c r="I1609" s="479"/>
      <c r="J1609" s="480"/>
      <c r="K1609" s="466">
        <f>SUM(K1610:K1614)</f>
        <v>174.92802499999999</v>
      </c>
      <c r="L1609" s="480"/>
      <c r="M1609" s="466">
        <f>SUM(M1610:M1614)</f>
        <v>173.461625</v>
      </c>
      <c r="N1609" s="467" t="s">
        <v>21428</v>
      </c>
      <c r="O1609" s="434" t="str">
        <f t="shared" si="1151"/>
        <v xml:space="preserve">SEM VALOR</v>
      </c>
      <c r="P1609" s="435" t="str">
        <f t="shared" si="1152"/>
        <v xml:space="preserve">SEM VALOR</v>
      </c>
      <c r="AE1609" s="460">
        <v>1179</v>
      </c>
      <c r="AF1609" s="460"/>
      <c r="AH1609">
        <f t="shared" si="1164"/>
        <v>1179</v>
      </c>
    </row>
    <row r="1610" ht="120" hidden="1">
      <c r="A1610" s="217"/>
      <c r="B1610" s="217">
        <v>1179</v>
      </c>
      <c r="C1610" s="217"/>
      <c r="D1610" s="217" t="s">
        <v>17167</v>
      </c>
      <c r="E1610" s="471" t="s">
        <v>20399</v>
      </c>
      <c r="F1610" s="482">
        <v>5678</v>
      </c>
      <c r="G1610" s="470" t="s">
        <v>1875</v>
      </c>
      <c r="H1610" s="482" t="s">
        <v>1535</v>
      </c>
      <c r="I1610" s="483">
        <f>1/12.5</f>
        <v>8.0000000000000002e-002</v>
      </c>
      <c r="J1610" s="473">
        <f t="shared" si="1144"/>
        <v>157.62</v>
      </c>
      <c r="K1610" s="474">
        <f t="shared" ref="K1610:K1614" si="1165">I1610*J1610</f>
        <v>12.6096</v>
      </c>
      <c r="L1610" s="473">
        <f t="shared" si="1154"/>
        <v>155.49000000000001</v>
      </c>
      <c r="M1610" s="474">
        <f t="shared" ref="M1610:M1614" si="1166">L1610*I1610</f>
        <v>12.439200000000001</v>
      </c>
      <c r="N1610" s="467" t="s">
        <v>21429</v>
      </c>
      <c r="O1610" s="434">
        <f t="shared" si="1151"/>
        <v>157.62</v>
      </c>
      <c r="P1610" s="435">
        <f t="shared" si="1152"/>
        <v>155.49000000000001</v>
      </c>
      <c r="AE1610" s="217"/>
      <c r="AF1610" s="217">
        <v>1179</v>
      </c>
      <c r="AH1610">
        <f t="shared" si="1164"/>
        <v>1179</v>
      </c>
    </row>
    <row r="1611" ht="75" hidden="1">
      <c r="A1611" s="217"/>
      <c r="B1611" s="217">
        <v>1179</v>
      </c>
      <c r="C1611" s="217"/>
      <c r="D1611" s="217" t="s">
        <v>20408</v>
      </c>
      <c r="E1611" s="471" t="s">
        <v>20402</v>
      </c>
      <c r="F1611" s="489">
        <v>40453</v>
      </c>
      <c r="G1611" s="488" t="s">
        <v>21430</v>
      </c>
      <c r="H1611" s="482" t="s">
        <v>15515</v>
      </c>
      <c r="I1611" s="483">
        <v>1</v>
      </c>
      <c r="J1611" s="473">
        <f t="shared" si="1144"/>
        <v>113.65000000000001</v>
      </c>
      <c r="K1611" s="474">
        <f t="shared" si="1165"/>
        <v>113.65000000000001</v>
      </c>
      <c r="L1611" s="473">
        <f t="shared" si="1154"/>
        <v>113.65000000000001</v>
      </c>
      <c r="M1611" s="474">
        <f t="shared" si="1166"/>
        <v>113.65000000000001</v>
      </c>
      <c r="O1611" s="434">
        <f t="shared" si="1151"/>
        <v>113.65000000000001</v>
      </c>
      <c r="P1611" s="435">
        <f t="shared" si="1152"/>
        <v>113.65000000000001</v>
      </c>
      <c r="AE1611" s="217"/>
      <c r="AF1611" s="217">
        <v>1179</v>
      </c>
      <c r="AH1611">
        <f t="shared" si="1164"/>
        <v>1179</v>
      </c>
    </row>
    <row r="1612" ht="45" hidden="1">
      <c r="A1612" s="217"/>
      <c r="B1612" s="217">
        <v>1179</v>
      </c>
      <c r="C1612" s="217"/>
      <c r="D1612" s="217" t="s">
        <v>20408</v>
      </c>
      <c r="E1612" s="471" t="s">
        <v>20405</v>
      </c>
      <c r="F1612" s="489">
        <v>4730</v>
      </c>
      <c r="G1612" s="470" t="s">
        <v>21325</v>
      </c>
      <c r="H1612" s="482" t="s">
        <v>15528</v>
      </c>
      <c r="I1612" s="483">
        <v>0.26450000000000001</v>
      </c>
      <c r="J1612" s="473">
        <f t="shared" si="1144"/>
        <v>94.450000000000003</v>
      </c>
      <c r="K1612" s="474">
        <f t="shared" si="1165"/>
        <v>24.982025000000004</v>
      </c>
      <c r="L1612" s="473">
        <f t="shared" si="1154"/>
        <v>94.450000000000003</v>
      </c>
      <c r="M1612" s="474">
        <f t="shared" si="1166"/>
        <v>24.982025000000004</v>
      </c>
      <c r="O1612" s="434">
        <f t="shared" si="1151"/>
        <v>94.450000000000003</v>
      </c>
      <c r="P1612" s="435">
        <f t="shared" si="1152"/>
        <v>94.450000000000003</v>
      </c>
      <c r="AE1612" s="217"/>
      <c r="AF1612" s="217">
        <v>1179</v>
      </c>
      <c r="AH1612">
        <f t="shared" si="1164"/>
        <v>1179</v>
      </c>
    </row>
    <row r="1613" ht="30" hidden="1">
      <c r="A1613" s="217"/>
      <c r="B1613" s="217">
        <v>1179</v>
      </c>
      <c r="C1613" s="217"/>
      <c r="D1613" s="217" t="s">
        <v>17167</v>
      </c>
      <c r="E1613" s="471" t="s">
        <v>20409</v>
      </c>
      <c r="F1613" s="489">
        <v>88309</v>
      </c>
      <c r="G1613" s="470" t="s">
        <v>7385</v>
      </c>
      <c r="H1613" s="482" t="s">
        <v>2032</v>
      </c>
      <c r="I1613" s="483">
        <f>4/12.5</f>
        <v>0.32000000000000001</v>
      </c>
      <c r="J1613" s="473">
        <f t="shared" si="1144"/>
        <v>28.5</v>
      </c>
      <c r="K1613" s="474">
        <f t="shared" si="1165"/>
        <v>9.120000000000001</v>
      </c>
      <c r="L1613" s="473">
        <f t="shared" si="1154"/>
        <v>26.870000000000001</v>
      </c>
      <c r="M1613" s="474">
        <f t="shared" si="1166"/>
        <v>8.5983999999999998</v>
      </c>
      <c r="O1613" s="434">
        <f t="shared" si="1151"/>
        <v>28.5</v>
      </c>
      <c r="P1613" s="435">
        <f t="shared" si="1152"/>
        <v>26.870000000000001</v>
      </c>
      <c r="AE1613" s="217"/>
      <c r="AF1613" s="217">
        <v>1179</v>
      </c>
      <c r="AH1613">
        <f t="shared" si="1164"/>
        <v>1179</v>
      </c>
    </row>
    <row r="1614" ht="30" hidden="1">
      <c r="A1614" s="217"/>
      <c r="B1614" s="217">
        <v>1179</v>
      </c>
      <c r="C1614" s="217"/>
      <c r="D1614" s="217" t="s">
        <v>17167</v>
      </c>
      <c r="E1614" s="471" t="s">
        <v>20663</v>
      </c>
      <c r="F1614" s="489">
        <v>88316</v>
      </c>
      <c r="G1614" s="470" t="s">
        <v>7393</v>
      </c>
      <c r="H1614" s="482" t="s">
        <v>2032</v>
      </c>
      <c r="I1614" s="483">
        <f>8/12.5</f>
        <v>0.64000000000000001</v>
      </c>
      <c r="J1614" s="473">
        <f t="shared" si="1144"/>
        <v>22.760000000000002</v>
      </c>
      <c r="K1614" s="474">
        <f t="shared" si="1165"/>
        <v>14.566400000000002</v>
      </c>
      <c r="L1614" s="473">
        <f t="shared" si="1154"/>
        <v>21.550000000000001</v>
      </c>
      <c r="M1614" s="474">
        <f t="shared" si="1166"/>
        <v>13.792000000000002</v>
      </c>
      <c r="O1614" s="434">
        <f t="shared" si="1151"/>
        <v>22.760000000000002</v>
      </c>
      <c r="P1614" s="435">
        <f t="shared" si="1152"/>
        <v>21.550000000000001</v>
      </c>
      <c r="AE1614" s="217"/>
      <c r="AF1614" s="217">
        <v>1179</v>
      </c>
      <c r="AH1614">
        <f t="shared" si="1164"/>
        <v>1179</v>
      </c>
    </row>
    <row r="1615" ht="36" hidden="1" customHeight="1">
      <c r="A1615" s="460">
        <v>1180</v>
      </c>
      <c r="B1615" s="460">
        <v>1180</v>
      </c>
      <c r="C1615" s="460"/>
      <c r="D1615" s="460"/>
      <c r="E1615" s="461">
        <v>1</v>
      </c>
      <c r="F1615" s="462" t="s">
        <v>21431</v>
      </c>
      <c r="G1615" s="477" t="s">
        <v>21432</v>
      </c>
      <c r="H1615" s="478" t="s">
        <v>31</v>
      </c>
      <c r="I1615" s="479"/>
      <c r="J1615" s="480"/>
      <c r="K1615" s="466">
        <f>SUM(K1616:K1619)</f>
        <v>6296.1019000000015</v>
      </c>
      <c r="L1615" s="480"/>
      <c r="M1615" s="466">
        <f>SUM(M1616:M1619)</f>
        <v>6128.4736750000002</v>
      </c>
      <c r="N1615" s="467" t="s">
        <v>21433</v>
      </c>
      <c r="O1615" s="434" t="str">
        <f t="shared" si="1151"/>
        <v xml:space="preserve">SEM VALOR</v>
      </c>
      <c r="P1615" s="435" t="str">
        <f t="shared" si="1152"/>
        <v xml:space="preserve">SEM VALOR</v>
      </c>
      <c r="AE1615" s="460">
        <v>1180</v>
      </c>
      <c r="AF1615" s="460"/>
      <c r="AH1615">
        <f t="shared" si="1164"/>
        <v>1180</v>
      </c>
    </row>
    <row r="1616" ht="60" hidden="1">
      <c r="A1616" s="217"/>
      <c r="B1616" s="217">
        <v>1180</v>
      </c>
      <c r="C1616" s="217"/>
      <c r="D1616" s="217" t="s">
        <v>17167</v>
      </c>
      <c r="E1616" s="471" t="s">
        <v>20399</v>
      </c>
      <c r="F1616" s="489">
        <v>94963</v>
      </c>
      <c r="G1616" s="470" t="s">
        <v>21092</v>
      </c>
      <c r="H1616" s="471" t="s">
        <v>15528</v>
      </c>
      <c r="I1616" s="483">
        <v>6.6500000000000004</v>
      </c>
      <c r="J1616" s="473">
        <f t="shared" si="1144"/>
        <v>441.43000000000001</v>
      </c>
      <c r="K1616" s="474">
        <f t="shared" ref="K1616:K1619" si="1167">I1616*J1616</f>
        <v>2935.5095000000001</v>
      </c>
      <c r="L1616" s="473">
        <f t="shared" si="1154"/>
        <v>436.14999999999998</v>
      </c>
      <c r="M1616" s="474">
        <f t="shared" ref="M1616:M1619" si="1168">L1616*I1616</f>
        <v>2900.3975</v>
      </c>
      <c r="N1616" s="467" t="s">
        <v>21434</v>
      </c>
      <c r="O1616" s="434">
        <f t="shared" si="1151"/>
        <v>441.43000000000001</v>
      </c>
      <c r="P1616" s="435">
        <f t="shared" si="1152"/>
        <v>436.14999999999998</v>
      </c>
      <c r="AE1616" s="217"/>
      <c r="AF1616" s="217">
        <v>1180</v>
      </c>
      <c r="AH1616">
        <f t="shared" si="1164"/>
        <v>1180</v>
      </c>
    </row>
    <row r="1617" ht="45" hidden="1">
      <c r="A1617" s="217"/>
      <c r="B1617" s="217">
        <v>1180</v>
      </c>
      <c r="C1617" s="217"/>
      <c r="D1617" s="217" t="s">
        <v>20398</v>
      </c>
      <c r="E1617" s="471" t="s">
        <v>20402</v>
      </c>
      <c r="F1617" s="489">
        <v>1000</v>
      </c>
      <c r="G1617" s="470" t="s">
        <v>20651</v>
      </c>
      <c r="H1617" s="471" t="s">
        <v>15528</v>
      </c>
      <c r="I1617" s="483">
        <f>I1616</f>
        <v>6.6500000000000004</v>
      </c>
      <c r="J1617" s="473">
        <f t="shared" si="1144"/>
        <v>149.904</v>
      </c>
      <c r="K1617" s="474">
        <f t="shared" si="1167"/>
        <v>996.86160000000007</v>
      </c>
      <c r="L1617" s="473">
        <f t="shared" si="1154"/>
        <v>141.76949999999999</v>
      </c>
      <c r="M1617" s="474">
        <f t="shared" si="1168"/>
        <v>942.76717499999995</v>
      </c>
      <c r="O1617" s="434">
        <f t="shared" si="1151"/>
        <v>149.904</v>
      </c>
      <c r="P1617" s="435">
        <f t="shared" si="1152"/>
        <v>141.76949999999999</v>
      </c>
      <c r="AE1617" s="217"/>
      <c r="AF1617" s="217">
        <v>1180</v>
      </c>
      <c r="AH1617">
        <f t="shared" si="1164"/>
        <v>1180</v>
      </c>
    </row>
    <row r="1618" ht="60" hidden="1">
      <c r="A1618" s="217"/>
      <c r="B1618" s="217">
        <v>1180</v>
      </c>
      <c r="C1618" s="217"/>
      <c r="D1618" s="217" t="s">
        <v>17167</v>
      </c>
      <c r="E1618" s="471" t="s">
        <v>20405</v>
      </c>
      <c r="F1618" s="489">
        <v>96533</v>
      </c>
      <c r="G1618" s="470" t="s">
        <v>20912</v>
      </c>
      <c r="H1618" s="471" t="s">
        <v>15515</v>
      </c>
      <c r="I1618" s="483">
        <v>26.48</v>
      </c>
      <c r="J1618" s="473">
        <f t="shared" si="1144"/>
        <v>85.980000000000004</v>
      </c>
      <c r="K1618" s="474">
        <f t="shared" si="1167"/>
        <v>2276.7504000000004</v>
      </c>
      <c r="L1618" s="473">
        <f t="shared" si="1154"/>
        <v>83.200000000000003</v>
      </c>
      <c r="M1618" s="474">
        <f t="shared" si="1168"/>
        <v>2203.136</v>
      </c>
      <c r="O1618" s="434">
        <f t="shared" si="1151"/>
        <v>85.980000000000004</v>
      </c>
      <c r="P1618" s="435">
        <f t="shared" si="1152"/>
        <v>83.200000000000003</v>
      </c>
      <c r="AE1618" s="217"/>
      <c r="AF1618" s="217">
        <v>1180</v>
      </c>
      <c r="AH1618">
        <f t="shared" si="1164"/>
        <v>1180</v>
      </c>
    </row>
    <row r="1619" ht="60" hidden="1">
      <c r="A1619" s="217"/>
      <c r="B1619" s="217">
        <v>1180</v>
      </c>
      <c r="C1619" s="217"/>
      <c r="D1619" s="217" t="s">
        <v>17167</v>
      </c>
      <c r="E1619" s="471" t="s">
        <v>20409</v>
      </c>
      <c r="F1619" s="489">
        <v>101616</v>
      </c>
      <c r="G1619" s="470" t="s">
        <v>21093</v>
      </c>
      <c r="H1619" s="471" t="s">
        <v>15515</v>
      </c>
      <c r="I1619" s="483">
        <v>11.18</v>
      </c>
      <c r="J1619" s="473">
        <f t="shared" si="1144"/>
        <v>7.7800000000000002</v>
      </c>
      <c r="K1619" s="474">
        <f t="shared" si="1167"/>
        <v>86.980400000000003</v>
      </c>
      <c r="L1619" s="473">
        <f t="shared" si="1154"/>
        <v>7.3499999999999996</v>
      </c>
      <c r="M1619" s="474">
        <f t="shared" si="1168"/>
        <v>82.172999999999988</v>
      </c>
      <c r="O1619" s="434">
        <f t="shared" si="1151"/>
        <v>7.7800000000000002</v>
      </c>
      <c r="P1619" s="435">
        <f t="shared" si="1152"/>
        <v>7.3499999999999996</v>
      </c>
      <c r="AE1619" s="217"/>
      <c r="AF1619" s="217">
        <v>1180</v>
      </c>
      <c r="AH1619">
        <f t="shared" si="1164"/>
        <v>1180</v>
      </c>
    </row>
    <row r="1620" ht="39" hidden="1" customHeight="1">
      <c r="A1620" s="460">
        <v>1181</v>
      </c>
      <c r="B1620" s="460">
        <v>1181</v>
      </c>
      <c r="C1620" s="460"/>
      <c r="D1620" s="460"/>
      <c r="E1620" s="461">
        <v>1</v>
      </c>
      <c r="F1620" s="462" t="s">
        <v>21435</v>
      </c>
      <c r="G1620" s="477" t="s">
        <v>21436</v>
      </c>
      <c r="H1620" s="478" t="s">
        <v>31</v>
      </c>
      <c r="I1620" s="479"/>
      <c r="J1620" s="480"/>
      <c r="K1620" s="466">
        <f>SUM(K1621:K1624)</f>
        <v>9179.8751800000009</v>
      </c>
      <c r="L1620" s="480"/>
      <c r="M1620" s="466">
        <f>SUM(M1621:M1624)</f>
        <v>8939.099764999999</v>
      </c>
      <c r="O1620" s="434" t="str">
        <f t="shared" si="1151"/>
        <v xml:space="preserve">SEM VALOR</v>
      </c>
      <c r="P1620" s="435" t="str">
        <f t="shared" si="1152"/>
        <v xml:space="preserve">SEM VALOR</v>
      </c>
      <c r="AE1620" s="460">
        <v>1181</v>
      </c>
      <c r="AF1620" s="460"/>
      <c r="AH1620">
        <f t="shared" si="1164"/>
        <v>1181</v>
      </c>
    </row>
    <row r="1621" ht="60" hidden="1">
      <c r="A1621" s="217"/>
      <c r="B1621" s="217">
        <v>1181</v>
      </c>
      <c r="C1621" s="217"/>
      <c r="D1621" s="217" t="s">
        <v>17167</v>
      </c>
      <c r="E1621" s="471" t="s">
        <v>20399</v>
      </c>
      <c r="F1621" s="489">
        <v>94963</v>
      </c>
      <c r="G1621" s="470" t="s">
        <v>21092</v>
      </c>
      <c r="H1621" s="471" t="s">
        <v>15528</v>
      </c>
      <c r="I1621" s="483">
        <v>10.27</v>
      </c>
      <c r="J1621" s="473">
        <f t="shared" si="1144"/>
        <v>441.43000000000001</v>
      </c>
      <c r="K1621" s="474">
        <f t="shared" ref="K1621:K1624" si="1169">I1621*J1621</f>
        <v>4533.4861000000001</v>
      </c>
      <c r="L1621" s="473">
        <f t="shared" si="1154"/>
        <v>436.14999999999998</v>
      </c>
      <c r="M1621" s="474">
        <f t="shared" ref="M1621:M1624" si="1170">L1621*I1621</f>
        <v>4479.2604999999994</v>
      </c>
      <c r="O1621" s="434">
        <f t="shared" si="1151"/>
        <v>441.43000000000001</v>
      </c>
      <c r="P1621" s="435">
        <f t="shared" si="1152"/>
        <v>436.14999999999998</v>
      </c>
      <c r="AE1621" s="217"/>
      <c r="AF1621" s="217">
        <v>1181</v>
      </c>
      <c r="AH1621">
        <f t="shared" si="1164"/>
        <v>1181</v>
      </c>
    </row>
    <row r="1622" ht="45" hidden="1">
      <c r="A1622" s="217"/>
      <c r="B1622" s="217">
        <v>1181</v>
      </c>
      <c r="C1622" s="217"/>
      <c r="D1622" s="217" t="s">
        <v>20398</v>
      </c>
      <c r="E1622" s="471" t="s">
        <v>20402</v>
      </c>
      <c r="F1622" s="489">
        <v>1000</v>
      </c>
      <c r="G1622" s="470" t="s">
        <v>20651</v>
      </c>
      <c r="H1622" s="471" t="s">
        <v>15528</v>
      </c>
      <c r="I1622" s="483">
        <f>I1621</f>
        <v>10.27</v>
      </c>
      <c r="J1622" s="473">
        <f t="shared" si="1144"/>
        <v>149.904</v>
      </c>
      <c r="K1622" s="474">
        <f t="shared" si="1169"/>
        <v>1539.5140799999999</v>
      </c>
      <c r="L1622" s="473">
        <f t="shared" si="1154"/>
        <v>141.76949999999999</v>
      </c>
      <c r="M1622" s="474">
        <f t="shared" si="1170"/>
        <v>1455.972765</v>
      </c>
      <c r="O1622" s="434">
        <f t="shared" si="1151"/>
        <v>149.904</v>
      </c>
      <c r="P1622" s="435">
        <f t="shared" si="1152"/>
        <v>141.76949999999999</v>
      </c>
      <c r="AE1622" s="217"/>
      <c r="AF1622" s="217">
        <v>1181</v>
      </c>
      <c r="AH1622">
        <f t="shared" si="1164"/>
        <v>1181</v>
      </c>
    </row>
    <row r="1623" ht="60" hidden="1">
      <c r="A1623" s="217"/>
      <c r="B1623" s="217">
        <v>1181</v>
      </c>
      <c r="C1623" s="217"/>
      <c r="D1623" s="217" t="s">
        <v>17167</v>
      </c>
      <c r="E1623" s="471" t="s">
        <v>20405</v>
      </c>
      <c r="F1623" s="489">
        <v>96533</v>
      </c>
      <c r="G1623" s="470" t="s">
        <v>20912</v>
      </c>
      <c r="H1623" s="471" t="s">
        <v>15515</v>
      </c>
      <c r="I1623" s="483">
        <v>34.840000000000003</v>
      </c>
      <c r="J1623" s="473">
        <f t="shared" si="1144"/>
        <v>85.980000000000004</v>
      </c>
      <c r="K1623" s="474">
        <f t="shared" si="1169"/>
        <v>2995.5432000000005</v>
      </c>
      <c r="L1623" s="473">
        <f t="shared" si="1154"/>
        <v>83.200000000000003</v>
      </c>
      <c r="M1623" s="474">
        <f t="shared" si="1170"/>
        <v>2898.6880000000006</v>
      </c>
      <c r="O1623" s="434">
        <f t="shared" si="1151"/>
        <v>85.980000000000004</v>
      </c>
      <c r="P1623" s="435">
        <f t="shared" si="1152"/>
        <v>83.200000000000003</v>
      </c>
      <c r="AE1623" s="217"/>
      <c r="AF1623" s="217">
        <v>1181</v>
      </c>
      <c r="AH1623">
        <f t="shared" si="1164"/>
        <v>1181</v>
      </c>
    </row>
    <row r="1624" ht="60" hidden="1">
      <c r="A1624" s="217"/>
      <c r="B1624" s="217">
        <v>1181</v>
      </c>
      <c r="C1624" s="217"/>
      <c r="D1624" s="217" t="s">
        <v>17167</v>
      </c>
      <c r="E1624" s="471" t="s">
        <v>20409</v>
      </c>
      <c r="F1624" s="489">
        <v>101616</v>
      </c>
      <c r="G1624" s="470" t="s">
        <v>21093</v>
      </c>
      <c r="H1624" s="471" t="s">
        <v>15515</v>
      </c>
      <c r="I1624" s="483">
        <v>14.31</v>
      </c>
      <c r="J1624" s="473">
        <f t="shared" si="1144"/>
        <v>7.7800000000000002</v>
      </c>
      <c r="K1624" s="474">
        <f t="shared" si="1169"/>
        <v>111.3318</v>
      </c>
      <c r="L1624" s="473">
        <f t="shared" si="1154"/>
        <v>7.3499999999999996</v>
      </c>
      <c r="M1624" s="474">
        <f t="shared" si="1170"/>
        <v>105.1785</v>
      </c>
      <c r="O1624" s="434">
        <f t="shared" si="1151"/>
        <v>7.7800000000000002</v>
      </c>
      <c r="P1624" s="435">
        <f t="shared" si="1152"/>
        <v>7.3499999999999996</v>
      </c>
      <c r="AE1624" s="217"/>
      <c r="AF1624" s="217">
        <v>1181</v>
      </c>
      <c r="AH1624">
        <f t="shared" si="1164"/>
        <v>1181</v>
      </c>
    </row>
    <row r="1625" ht="88.5" hidden="1" customHeight="1">
      <c r="A1625" s="460">
        <v>1182</v>
      </c>
      <c r="B1625" s="460">
        <v>1182</v>
      </c>
      <c r="C1625" s="460"/>
      <c r="D1625" s="460"/>
      <c r="E1625" s="461">
        <v>1</v>
      </c>
      <c r="F1625" s="462" t="s">
        <v>21437</v>
      </c>
      <c r="G1625" s="477" t="s">
        <v>21438</v>
      </c>
      <c r="H1625" s="478" t="s">
        <v>15528</v>
      </c>
      <c r="I1625" s="479"/>
      <c r="J1625" s="480"/>
      <c r="K1625" s="466">
        <f>SUM(K1626:K1630)</f>
        <v>19.467537088</v>
      </c>
      <c r="L1625" s="480"/>
      <c r="M1625" s="466">
        <f>SUM(M1626:M1630)</f>
        <v>18.886704505000001</v>
      </c>
      <c r="N1625" s="467" t="s">
        <v>21439</v>
      </c>
      <c r="O1625" s="434" t="str">
        <f t="shared" si="1151"/>
        <v xml:space="preserve">SEM VALOR</v>
      </c>
      <c r="P1625" s="435" t="str">
        <f t="shared" si="1152"/>
        <v xml:space="preserve">SEM VALOR</v>
      </c>
      <c r="AE1625" s="460">
        <v>1182</v>
      </c>
      <c r="AF1625" s="460"/>
      <c r="AH1625">
        <f t="shared" si="1164"/>
        <v>1182</v>
      </c>
    </row>
    <row r="1626" ht="60" hidden="1">
      <c r="A1626" s="217"/>
      <c r="B1626" s="217">
        <v>1182</v>
      </c>
      <c r="C1626" s="217"/>
      <c r="D1626" s="217" t="s">
        <v>20408</v>
      </c>
      <c r="E1626" s="471" t="s">
        <v>20399</v>
      </c>
      <c r="F1626" s="489">
        <v>13887</v>
      </c>
      <c r="G1626" s="470" t="s">
        <v>21440</v>
      </c>
      <c r="H1626" s="482" t="s">
        <v>31</v>
      </c>
      <c r="I1626" s="483">
        <v>4.0000000000000002e-004</v>
      </c>
      <c r="J1626" s="473">
        <f t="shared" si="1144"/>
        <v>257.33999999999997</v>
      </c>
      <c r="K1626" s="474">
        <f t="shared" ref="K1626:K1630" si="1171">I1626*J1626</f>
        <v>0.102936</v>
      </c>
      <c r="L1626" s="473">
        <f t="shared" si="1154"/>
        <v>257.33999999999997</v>
      </c>
      <c r="M1626" s="474">
        <f t="shared" ref="M1626:M1630" si="1172">L1626*I1626</f>
        <v>0.102936</v>
      </c>
      <c r="O1626" s="434">
        <f t="shared" si="1151"/>
        <v>257.33999999999997</v>
      </c>
      <c r="P1626" s="435">
        <f t="shared" si="1152"/>
        <v>257.33999999999997</v>
      </c>
      <c r="AE1626" s="217"/>
      <c r="AF1626" s="217">
        <v>1182</v>
      </c>
      <c r="AH1626">
        <f t="shared" si="1164"/>
        <v>1182</v>
      </c>
    </row>
    <row r="1627" ht="120" hidden="1">
      <c r="A1627" s="217"/>
      <c r="B1627" s="217">
        <v>1182</v>
      </c>
      <c r="C1627" s="217"/>
      <c r="D1627" s="217" t="s">
        <v>17167</v>
      </c>
      <c r="E1627" s="471" t="s">
        <v>20402</v>
      </c>
      <c r="F1627" s="489">
        <v>5680</v>
      </c>
      <c r="G1627" s="470" t="s">
        <v>1871</v>
      </c>
      <c r="H1627" s="482" t="s">
        <v>1535</v>
      </c>
      <c r="I1627" s="483">
        <v>8.3330000000000001e-003</v>
      </c>
      <c r="J1627" s="473">
        <f t="shared" si="1144"/>
        <v>144.46000000000001</v>
      </c>
      <c r="K1627" s="474">
        <f t="shared" si="1171"/>
        <v>1.2037851800000001</v>
      </c>
      <c r="L1627" s="473">
        <f t="shared" si="1154"/>
        <v>142.33000000000001</v>
      </c>
      <c r="M1627" s="474">
        <f t="shared" si="1172"/>
        <v>1.1860358900000001</v>
      </c>
      <c r="O1627" s="434">
        <f t="shared" si="1151"/>
        <v>144.46000000000001</v>
      </c>
      <c r="P1627" s="435">
        <f t="shared" si="1152"/>
        <v>142.33000000000001</v>
      </c>
      <c r="AE1627" s="217"/>
      <c r="AF1627" s="217">
        <v>1182</v>
      </c>
      <c r="AH1627">
        <f t="shared" si="1164"/>
        <v>1182</v>
      </c>
    </row>
    <row r="1628" ht="120" hidden="1">
      <c r="A1628" s="217"/>
      <c r="B1628" s="217">
        <v>1182</v>
      </c>
      <c r="C1628" s="217"/>
      <c r="D1628" s="217" t="s">
        <v>17167</v>
      </c>
      <c r="E1628" s="471" t="s">
        <v>20405</v>
      </c>
      <c r="F1628" s="489">
        <v>5681</v>
      </c>
      <c r="G1628" s="470" t="s">
        <v>1870</v>
      </c>
      <c r="H1628" s="482" t="s">
        <v>1533</v>
      </c>
      <c r="I1628" s="483">
        <v>7.4999999999999997e-002</v>
      </c>
      <c r="J1628" s="473">
        <f t="shared" si="1144"/>
        <v>63.409999999999997</v>
      </c>
      <c r="K1628" s="474">
        <f t="shared" si="1171"/>
        <v>4.7557499999999999</v>
      </c>
      <c r="L1628" s="473">
        <f t="shared" si="1154"/>
        <v>61.280000000000001</v>
      </c>
      <c r="M1628" s="474">
        <f t="shared" si="1172"/>
        <v>4.5960000000000001</v>
      </c>
      <c r="O1628" s="434">
        <f t="shared" si="1151"/>
        <v>63.409999999999997</v>
      </c>
      <c r="P1628" s="435">
        <f t="shared" si="1152"/>
        <v>61.280000000000001</v>
      </c>
      <c r="AE1628" s="217"/>
      <c r="AF1628" s="217">
        <v>1182</v>
      </c>
      <c r="AH1628">
        <f t="shared" si="1164"/>
        <v>1182</v>
      </c>
    </row>
    <row r="1629" ht="30" hidden="1">
      <c r="A1629" s="217"/>
      <c r="B1629" s="217">
        <v>1182</v>
      </c>
      <c r="C1629" s="217"/>
      <c r="D1629" s="217" t="s">
        <v>17167</v>
      </c>
      <c r="E1629" s="471" t="s">
        <v>20409</v>
      </c>
      <c r="F1629" s="489">
        <v>88316</v>
      </c>
      <c r="G1629" s="470" t="s">
        <v>7393</v>
      </c>
      <c r="H1629" s="482" t="s">
        <v>2032</v>
      </c>
      <c r="I1629" s="483">
        <v>0.3333333</v>
      </c>
      <c r="J1629" s="473">
        <f t="shared" si="1144"/>
        <v>22.760000000000002</v>
      </c>
      <c r="K1629" s="474">
        <f t="shared" si="1171"/>
        <v>7.5866659080000005</v>
      </c>
      <c r="L1629" s="473">
        <f t="shared" si="1154"/>
        <v>21.550000000000001</v>
      </c>
      <c r="M1629" s="474">
        <f t="shared" si="1172"/>
        <v>7.1833326150000003</v>
      </c>
      <c r="O1629" s="434">
        <f t="shared" si="1151"/>
        <v>22.760000000000002</v>
      </c>
      <c r="P1629" s="435">
        <f t="shared" si="1152"/>
        <v>21.550000000000001</v>
      </c>
      <c r="AE1629" s="217"/>
      <c r="AF1629" s="217">
        <v>1182</v>
      </c>
      <c r="AH1629">
        <f t="shared" si="1164"/>
        <v>1182</v>
      </c>
    </row>
    <row r="1630" ht="105" hidden="1">
      <c r="A1630" s="217"/>
      <c r="B1630" s="217">
        <v>1182</v>
      </c>
      <c r="C1630" s="217"/>
      <c r="D1630" s="217" t="s">
        <v>17167</v>
      </c>
      <c r="E1630" s="471" t="s">
        <v>20663</v>
      </c>
      <c r="F1630" s="489">
        <v>91283</v>
      </c>
      <c r="G1630" s="488" t="s">
        <v>1653</v>
      </c>
      <c r="H1630" s="482" t="s">
        <v>1535</v>
      </c>
      <c r="I1630" s="483">
        <v>0.56000000000000005</v>
      </c>
      <c r="J1630" s="473">
        <f t="shared" ref="J1630:J1693" si="1173">O1630*$J$3</f>
        <v>10.390000000000001</v>
      </c>
      <c r="K1630" s="474">
        <f t="shared" si="1171"/>
        <v>5.8184000000000005</v>
      </c>
      <c r="L1630" s="473">
        <f t="shared" si="1154"/>
        <v>10.390000000000001</v>
      </c>
      <c r="M1630" s="474">
        <f t="shared" si="1172"/>
        <v>5.8184000000000005</v>
      </c>
      <c r="O1630" s="434">
        <f t="shared" si="1151"/>
        <v>10.390000000000001</v>
      </c>
      <c r="P1630" s="435">
        <f t="shared" si="1152"/>
        <v>10.390000000000001</v>
      </c>
      <c r="AE1630" s="217"/>
      <c r="AF1630" s="217">
        <v>1182</v>
      </c>
      <c r="AH1630">
        <f t="shared" si="1164"/>
        <v>1182</v>
      </c>
    </row>
    <row r="1631" ht="51" hidden="1" customHeight="1">
      <c r="A1631" s="460">
        <v>1183</v>
      </c>
      <c r="B1631" s="460">
        <v>1183</v>
      </c>
      <c r="C1631" s="460"/>
      <c r="D1631" s="460"/>
      <c r="E1631" s="461">
        <v>1</v>
      </c>
      <c r="F1631" s="462" t="s">
        <v>21441</v>
      </c>
      <c r="G1631" s="477" t="s">
        <v>21442</v>
      </c>
      <c r="H1631" s="478" t="s">
        <v>15515</v>
      </c>
      <c r="I1631" s="479"/>
      <c r="J1631" s="480"/>
      <c r="K1631" s="466">
        <f>SUM(K1632:K1633)</f>
        <v>10.795334092000001</v>
      </c>
      <c r="L1631" s="480"/>
      <c r="M1631" s="466">
        <f>SUM(M1632:M1633)</f>
        <v>10.775167385</v>
      </c>
      <c r="N1631" s="467" t="s">
        <v>21369</v>
      </c>
      <c r="O1631" s="434" t="str">
        <f t="shared" si="1151"/>
        <v xml:space="preserve">SEM VALOR</v>
      </c>
      <c r="P1631" s="435" t="str">
        <f t="shared" si="1152"/>
        <v xml:space="preserve">SEM VALOR</v>
      </c>
      <c r="AE1631" s="460">
        <v>1183</v>
      </c>
      <c r="AF1631" s="460"/>
      <c r="AH1631">
        <f t="shared" si="1164"/>
        <v>1183</v>
      </c>
    </row>
    <row r="1632" ht="60" hidden="1">
      <c r="A1632" s="217"/>
      <c r="B1632" s="217">
        <v>1183</v>
      </c>
      <c r="C1632" s="217"/>
      <c r="D1632" s="217" t="s">
        <v>20408</v>
      </c>
      <c r="E1632" s="471" t="s">
        <v>20399</v>
      </c>
      <c r="F1632" s="471">
        <v>4021</v>
      </c>
      <c r="G1632" s="535" t="s">
        <v>12641</v>
      </c>
      <c r="H1632" s="482" t="s">
        <v>15515</v>
      </c>
      <c r="I1632" s="483">
        <v>1.05</v>
      </c>
      <c r="J1632" s="473">
        <f t="shared" si="1173"/>
        <v>9.9199999999999999</v>
      </c>
      <c r="K1632" s="474">
        <f t="shared" ref="K1632:K1633" si="1174">I1632*J1632</f>
        <v>10.416</v>
      </c>
      <c r="L1632" s="473">
        <f t="shared" si="1154"/>
        <v>9.9199999999999999</v>
      </c>
      <c r="M1632" s="474">
        <f t="shared" ref="M1632:M1633" si="1175">L1632*I1632</f>
        <v>10.416</v>
      </c>
      <c r="N1632" s="467" t="s">
        <v>21371</v>
      </c>
      <c r="O1632" s="434">
        <f t="shared" si="1151"/>
        <v>9.9199999999999999</v>
      </c>
      <c r="P1632" s="435">
        <f t="shared" si="1152"/>
        <v>9.9199999999999999</v>
      </c>
      <c r="AE1632" s="217"/>
      <c r="AF1632" s="217">
        <v>1183</v>
      </c>
      <c r="AH1632">
        <f t="shared" si="1164"/>
        <v>1183</v>
      </c>
    </row>
    <row r="1633" ht="30" hidden="1">
      <c r="A1633" s="217"/>
      <c r="B1633" s="217">
        <v>1183</v>
      </c>
      <c r="C1633" s="217"/>
      <c r="D1633" s="217" t="s">
        <v>17167</v>
      </c>
      <c r="E1633" s="471" t="s">
        <v>20402</v>
      </c>
      <c r="F1633" s="486">
        <v>88316</v>
      </c>
      <c r="G1633" s="470" t="s">
        <v>7393</v>
      </c>
      <c r="H1633" s="482" t="s">
        <v>2032</v>
      </c>
      <c r="I1633" s="483">
        <f>3/180</f>
        <v>1.66667e-002</v>
      </c>
      <c r="J1633" s="473">
        <f t="shared" si="1173"/>
        <v>22.760000000000002</v>
      </c>
      <c r="K1633" s="474">
        <f t="shared" si="1174"/>
        <v>0.37933409200000001</v>
      </c>
      <c r="L1633" s="473">
        <f t="shared" si="1154"/>
        <v>21.550000000000001</v>
      </c>
      <c r="M1633" s="474">
        <f t="shared" si="1175"/>
        <v>0.35916738500000001</v>
      </c>
      <c r="N1633" s="467" t="s">
        <v>21443</v>
      </c>
      <c r="O1633" s="434">
        <f t="shared" si="1151"/>
        <v>22.760000000000002</v>
      </c>
      <c r="P1633" s="435">
        <f t="shared" si="1152"/>
        <v>21.550000000000001</v>
      </c>
      <c r="AE1633" s="217"/>
      <c r="AF1633" s="217">
        <v>1183</v>
      </c>
      <c r="AH1633">
        <f t="shared" si="1164"/>
        <v>1183</v>
      </c>
    </row>
    <row r="1634" ht="47.25" hidden="1">
      <c r="A1634" s="460">
        <v>1184</v>
      </c>
      <c r="B1634" s="460">
        <v>1184</v>
      </c>
      <c r="C1634" s="460"/>
      <c r="D1634" s="460"/>
      <c r="E1634" s="461">
        <v>1</v>
      </c>
      <c r="F1634" s="462" t="s">
        <v>21444</v>
      </c>
      <c r="G1634" s="477" t="s">
        <v>21442</v>
      </c>
      <c r="H1634" s="579" t="s">
        <v>15515</v>
      </c>
      <c r="I1634" s="479"/>
      <c r="J1634" s="480"/>
      <c r="K1634" s="466">
        <f>SUM(K1635:K1637)</f>
        <v>103.86274</v>
      </c>
      <c r="L1634" s="480"/>
      <c r="M1634" s="466">
        <f>SUM(M1635:M1637)</f>
        <v>103.80596</v>
      </c>
      <c r="N1634" s="467" t="s">
        <v>21445</v>
      </c>
      <c r="O1634" s="434" t="str">
        <f t="shared" si="1151"/>
        <v xml:space="preserve">SEM VALOR</v>
      </c>
      <c r="P1634" s="435" t="str">
        <f t="shared" si="1152"/>
        <v xml:space="preserve">SEM VALOR</v>
      </c>
      <c r="AE1634" s="460">
        <v>1184</v>
      </c>
      <c r="AF1634" s="460"/>
      <c r="AH1634">
        <f t="shared" si="1164"/>
        <v>1184</v>
      </c>
    </row>
    <row r="1635" ht="45" hidden="1">
      <c r="A1635" s="217"/>
      <c r="B1635" s="217">
        <v>1184</v>
      </c>
      <c r="C1635" s="217"/>
      <c r="D1635" s="217" t="s">
        <v>20408</v>
      </c>
      <c r="E1635" s="471" t="s">
        <v>20399</v>
      </c>
      <c r="F1635" s="489">
        <v>4718</v>
      </c>
      <c r="G1635" s="573" t="s">
        <v>21326</v>
      </c>
      <c r="H1635" s="580" t="s">
        <v>15528</v>
      </c>
      <c r="I1635" s="483">
        <v>1</v>
      </c>
      <c r="J1635" s="473">
        <f t="shared" si="1173"/>
        <v>101.02</v>
      </c>
      <c r="K1635" s="474">
        <f t="shared" ref="K1635:K1637" si="1176">I1635*J1635</f>
        <v>101.02</v>
      </c>
      <c r="L1635" s="473">
        <f t="shared" si="1154"/>
        <v>101.02</v>
      </c>
      <c r="M1635" s="474">
        <f t="shared" ref="M1635:M1637" si="1177">L1635*I1635</f>
        <v>101.02</v>
      </c>
      <c r="O1635" s="434">
        <f t="shared" si="1151"/>
        <v>101.02</v>
      </c>
      <c r="P1635" s="435">
        <f t="shared" si="1152"/>
        <v>101.02</v>
      </c>
      <c r="AE1635" s="217"/>
      <c r="AF1635" s="217">
        <v>1184</v>
      </c>
      <c r="AH1635">
        <f t="shared" si="1164"/>
        <v>1184</v>
      </c>
    </row>
    <row r="1636" ht="120" hidden="1">
      <c r="A1636" s="217"/>
      <c r="B1636" s="217">
        <v>1184</v>
      </c>
      <c r="C1636" s="217"/>
      <c r="D1636" s="217" t="s">
        <v>17167</v>
      </c>
      <c r="E1636" s="471" t="s">
        <v>20402</v>
      </c>
      <c r="F1636" s="471">
        <v>5680</v>
      </c>
      <c r="G1636" s="470" t="s">
        <v>1871</v>
      </c>
      <c r="H1636" s="482" t="s">
        <v>1535</v>
      </c>
      <c r="I1636" s="483">
        <v>1.7000000000000001e-002</v>
      </c>
      <c r="J1636" s="473">
        <f t="shared" si="1173"/>
        <v>144.46000000000001</v>
      </c>
      <c r="K1636" s="474">
        <f t="shared" si="1176"/>
        <v>2.4558200000000001</v>
      </c>
      <c r="L1636" s="473">
        <f t="shared" si="1154"/>
        <v>142.33000000000001</v>
      </c>
      <c r="M1636" s="474">
        <f t="shared" si="1177"/>
        <v>2.4196100000000005</v>
      </c>
      <c r="O1636" s="434">
        <f t="shared" si="1151"/>
        <v>144.46000000000001</v>
      </c>
      <c r="P1636" s="435">
        <f t="shared" si="1152"/>
        <v>142.33000000000001</v>
      </c>
      <c r="AE1636" s="217"/>
      <c r="AF1636" s="217">
        <v>1184</v>
      </c>
      <c r="AH1636">
        <f t="shared" si="1164"/>
        <v>1184</v>
      </c>
    </row>
    <row r="1637" ht="30" hidden="1">
      <c r="A1637" s="217"/>
      <c r="B1637" s="217">
        <v>1184</v>
      </c>
      <c r="C1637" s="217"/>
      <c r="D1637" s="217" t="s">
        <v>17167</v>
      </c>
      <c r="E1637" s="471" t="s">
        <v>20405</v>
      </c>
      <c r="F1637" s="482">
        <v>88316</v>
      </c>
      <c r="G1637" s="470" t="s">
        <v>7393</v>
      </c>
      <c r="H1637" s="482" t="s">
        <v>2032</v>
      </c>
      <c r="I1637" s="483">
        <v>1.7000000000000001e-002</v>
      </c>
      <c r="J1637" s="473">
        <f t="shared" si="1173"/>
        <v>22.760000000000002</v>
      </c>
      <c r="K1637" s="474">
        <f t="shared" si="1176"/>
        <v>0.38692000000000004</v>
      </c>
      <c r="L1637" s="473">
        <f t="shared" si="1154"/>
        <v>21.550000000000001</v>
      </c>
      <c r="M1637" s="474">
        <f t="shared" si="1177"/>
        <v>0.36635000000000006</v>
      </c>
      <c r="O1637" s="434">
        <f t="shared" si="1151"/>
        <v>22.760000000000002</v>
      </c>
      <c r="P1637" s="435">
        <f t="shared" si="1152"/>
        <v>21.550000000000001</v>
      </c>
      <c r="AE1637" s="217"/>
      <c r="AF1637" s="217">
        <v>1184</v>
      </c>
      <c r="AH1637">
        <f t="shared" si="1164"/>
        <v>1184</v>
      </c>
    </row>
    <row r="1638" ht="47.25" hidden="1">
      <c r="A1638" s="460">
        <v>1185</v>
      </c>
      <c r="B1638" s="460">
        <v>1185</v>
      </c>
      <c r="C1638" s="460"/>
      <c r="D1638" s="460"/>
      <c r="E1638" s="461">
        <v>1</v>
      </c>
      <c r="F1638" s="462" t="s">
        <v>21446</v>
      </c>
      <c r="G1638" s="477" t="s">
        <v>21447</v>
      </c>
      <c r="H1638" s="478" t="s">
        <v>38</v>
      </c>
      <c r="I1638" s="479"/>
      <c r="J1638" s="480"/>
      <c r="K1638" s="466">
        <f>SUM(K1639:K1643)</f>
        <v>136.72493999999998</v>
      </c>
      <c r="L1638" s="480"/>
      <c r="M1638" s="466">
        <f>SUM(M1639:M1643)</f>
        <v>133.48665999999997</v>
      </c>
      <c r="N1638" s="467" t="s">
        <v>21448</v>
      </c>
      <c r="O1638" s="434" t="str">
        <f t="shared" si="1151"/>
        <v xml:space="preserve">SEM VALOR</v>
      </c>
      <c r="P1638" s="435" t="str">
        <f t="shared" si="1152"/>
        <v xml:space="preserve">SEM VALOR</v>
      </c>
      <c r="AE1638" s="460">
        <v>1185</v>
      </c>
      <c r="AF1638" s="460">
        <v>1185</v>
      </c>
      <c r="AH1638">
        <f t="shared" si="1164"/>
        <v>1185</v>
      </c>
    </row>
    <row r="1639" ht="45" hidden="1">
      <c r="A1639" s="217"/>
      <c r="B1639" s="217">
        <v>1185</v>
      </c>
      <c r="C1639" s="217"/>
      <c r="D1639" s="217" t="s">
        <v>17167</v>
      </c>
      <c r="E1639" s="471" t="s">
        <v>20399</v>
      </c>
      <c r="F1639" s="486">
        <v>101616</v>
      </c>
      <c r="G1639" s="470" t="s">
        <v>21414</v>
      </c>
      <c r="H1639" s="482" t="s">
        <v>15515</v>
      </c>
      <c r="I1639" s="483">
        <v>0.29849999999999999</v>
      </c>
      <c r="J1639" s="473">
        <f t="shared" si="1173"/>
        <v>7.7800000000000002</v>
      </c>
      <c r="K1639" s="474">
        <f t="shared" ref="K1639:K1643" si="1178">I1639*J1639</f>
        <v>2.32233</v>
      </c>
      <c r="L1639" s="473">
        <f t="shared" si="1154"/>
        <v>7.3499999999999996</v>
      </c>
      <c r="M1639" s="474">
        <f t="shared" ref="M1639:M1643" si="1179">L1639*I1639</f>
        <v>2.193975</v>
      </c>
      <c r="N1639" s="576"/>
      <c r="O1639" s="434">
        <f t="shared" si="1151"/>
        <v>7.7800000000000002</v>
      </c>
      <c r="P1639" s="435">
        <f t="shared" si="1152"/>
        <v>7.3499999999999996</v>
      </c>
      <c r="AE1639" s="217"/>
      <c r="AF1639" s="217">
        <v>1185</v>
      </c>
      <c r="AH1639">
        <f t="shared" si="1164"/>
        <v>1185</v>
      </c>
    </row>
    <row r="1640" ht="60" hidden="1">
      <c r="A1640" s="217"/>
      <c r="B1640" s="217">
        <v>1185</v>
      </c>
      <c r="C1640" s="217"/>
      <c r="D1640" s="217" t="s">
        <v>17167</v>
      </c>
      <c r="E1640" s="471" t="s">
        <v>20402</v>
      </c>
      <c r="F1640" s="469">
        <v>94964</v>
      </c>
      <c r="G1640" s="470" t="s">
        <v>8711</v>
      </c>
      <c r="H1640" s="482" t="s">
        <v>15528</v>
      </c>
      <c r="I1640" s="483">
        <v>0.14749999999999999</v>
      </c>
      <c r="J1640" s="473">
        <f t="shared" si="1173"/>
        <v>488.52999999999997</v>
      </c>
      <c r="K1640" s="474">
        <f t="shared" si="1178"/>
        <v>72.058174999999991</v>
      </c>
      <c r="L1640" s="473">
        <f t="shared" si="1154"/>
        <v>482.79000000000002</v>
      </c>
      <c r="M1640" s="474">
        <f t="shared" si="1179"/>
        <v>71.211524999999995</v>
      </c>
      <c r="N1640" s="467"/>
      <c r="O1640" s="434">
        <f t="shared" si="1151"/>
        <v>488.52999999999997</v>
      </c>
      <c r="P1640" s="435">
        <f t="shared" si="1152"/>
        <v>482.79000000000002</v>
      </c>
      <c r="AE1640" s="217"/>
      <c r="AF1640" s="217">
        <v>1185</v>
      </c>
      <c r="AH1640">
        <f t="shared" si="1164"/>
        <v>1185</v>
      </c>
    </row>
    <row r="1641" ht="60" hidden="1">
      <c r="A1641" s="217"/>
      <c r="B1641" s="217">
        <v>1185</v>
      </c>
      <c r="C1641" s="217"/>
      <c r="D1641" s="217" t="s">
        <v>20644</v>
      </c>
      <c r="E1641" s="471" t="s">
        <v>20405</v>
      </c>
      <c r="F1641" s="486">
        <v>2003842</v>
      </c>
      <c r="G1641" s="470" t="s">
        <v>21449</v>
      </c>
      <c r="H1641" s="482" t="s">
        <v>302</v>
      </c>
      <c r="I1641" s="483">
        <v>0.20899999999999999</v>
      </c>
      <c r="J1641" s="473">
        <f t="shared" si="1173"/>
        <v>77.290000000000006</v>
      </c>
      <c r="K1641" s="474">
        <f t="shared" si="1178"/>
        <v>16.15361</v>
      </c>
      <c r="L1641" s="473">
        <f t="shared" si="1154"/>
        <v>77.290000000000006</v>
      </c>
      <c r="M1641" s="474">
        <f t="shared" si="1179"/>
        <v>16.15361</v>
      </c>
      <c r="N1641" s="467"/>
      <c r="O1641" s="434">
        <f t="shared" si="1151"/>
        <v>77.290000000000006</v>
      </c>
      <c r="P1641" s="435">
        <f t="shared" si="1152"/>
        <v>77.290000000000006</v>
      </c>
      <c r="AE1641" s="217"/>
      <c r="AF1641" s="217">
        <v>1185</v>
      </c>
      <c r="AH1641">
        <f t="shared" si="1164"/>
        <v>1185</v>
      </c>
    </row>
    <row r="1642" ht="45" hidden="1">
      <c r="A1642" s="217"/>
      <c r="B1642" s="217">
        <v>1185</v>
      </c>
      <c r="C1642" s="217"/>
      <c r="D1642" s="217" t="s">
        <v>17167</v>
      </c>
      <c r="E1642" s="471" t="s">
        <v>20663</v>
      </c>
      <c r="F1642" s="486">
        <v>93358</v>
      </c>
      <c r="G1642" s="470" t="s">
        <v>20661</v>
      </c>
      <c r="H1642" s="482" t="s">
        <v>15528</v>
      </c>
      <c r="I1642" s="483">
        <v>0.47249999999999998</v>
      </c>
      <c r="J1642" s="473">
        <f t="shared" si="1173"/>
        <v>90.030000000000001</v>
      </c>
      <c r="K1642" s="474">
        <f t="shared" si="1178"/>
        <v>42.539175</v>
      </c>
      <c r="L1642" s="473">
        <f t="shared" si="1154"/>
        <v>85.239999999999995</v>
      </c>
      <c r="M1642" s="474">
        <f t="shared" si="1179"/>
        <v>40.275899999999993</v>
      </c>
      <c r="N1642" s="467"/>
      <c r="O1642" s="434">
        <f t="shared" si="1151"/>
        <v>90.030000000000001</v>
      </c>
      <c r="P1642" s="435">
        <f t="shared" si="1152"/>
        <v>85.239999999999995</v>
      </c>
      <c r="AE1642" s="217"/>
      <c r="AF1642" s="217">
        <v>1185</v>
      </c>
      <c r="AH1642">
        <f t="shared" si="1164"/>
        <v>1185</v>
      </c>
    </row>
    <row r="1643" ht="30" hidden="1">
      <c r="A1643" s="217"/>
      <c r="B1643" s="217">
        <v>1185</v>
      </c>
      <c r="C1643" s="217"/>
      <c r="D1643" s="217" t="s">
        <v>20644</v>
      </c>
      <c r="E1643" s="471" t="s">
        <v>20665</v>
      </c>
      <c r="F1643" s="486">
        <v>3108022</v>
      </c>
      <c r="G1643" s="470" t="s">
        <v>21450</v>
      </c>
      <c r="H1643" s="482" t="s">
        <v>38</v>
      </c>
      <c r="I1643" s="483">
        <v>0.995</v>
      </c>
      <c r="J1643" s="473">
        <f t="shared" si="1173"/>
        <v>3.6699999999999999</v>
      </c>
      <c r="K1643" s="474">
        <f t="shared" si="1178"/>
        <v>3.6516500000000001</v>
      </c>
      <c r="L1643" s="473">
        <f t="shared" si="1154"/>
        <v>3.6699999999999999</v>
      </c>
      <c r="M1643" s="474">
        <f t="shared" si="1179"/>
        <v>3.6516500000000001</v>
      </c>
      <c r="N1643" s="467"/>
      <c r="O1643" s="434">
        <f t="shared" si="1151"/>
        <v>3.6699999999999999</v>
      </c>
      <c r="P1643" s="435">
        <f t="shared" si="1152"/>
        <v>3.6699999999999999</v>
      </c>
      <c r="AE1643" s="217"/>
      <c r="AF1643" s="217">
        <v>1185</v>
      </c>
      <c r="AH1643">
        <f t="shared" si="1164"/>
        <v>1185</v>
      </c>
    </row>
    <row r="1644" ht="45.75" hidden="1">
      <c r="A1644" s="217"/>
      <c r="B1644" s="217">
        <v>1185</v>
      </c>
      <c r="C1644" s="217"/>
      <c r="D1644" s="217"/>
      <c r="E1644" s="471"/>
      <c r="F1644" s="486"/>
      <c r="G1644" s="470" t="s">
        <v>21451</v>
      </c>
      <c r="H1644" s="482"/>
      <c r="I1644" s="483"/>
      <c r="J1644" s="577"/>
      <c r="K1644" s="474"/>
      <c r="L1644" s="577"/>
      <c r="M1644" s="474"/>
      <c r="N1644" s="467"/>
      <c r="O1644" s="434" t="str">
        <f t="shared" ref="O1644:O1707" si="1180">IFERROR(IF(D1644="SINAPI",VLOOKUP(F1644,SINCOMOD,4,FALSE),IF(D1644="INSINAPI",VLOOKUP(F1644,INSINOD,5,FALSE),IF(D1644="SICRO",VLOOKUP(F1644,SICRO,5,FALSE),IF(D1644="COTACAO",VLOOKUP(F1644,COTACAO,6,FALSE),IF(D1644="PRÓPRIO",VLOOKUP(F1644,COMPOD,11,FALSE),IF(D1644="AGESUL",VLOOKUP(F1644,AGESULOD,6,FALSE),IF(D1644="INSAGESUL",VLOOKUP(F1644,INSAGESUL,7,FALSE),"SEM VALOR"))))))),"SEM VALOR")</f>
        <v xml:space="preserve">SEM VALOR</v>
      </c>
      <c r="P1644" s="435" t="str">
        <f t="shared" ref="P1644:P1707" si="1181">IFERROR(IF(D1644="SINAPI",VLOOKUP(F1644,SINCOMOD,6,FALSE),IF(D1644="INSINAPI",VLOOKUP(F1644,INSINOD,6,FALSE),IF(D1644="SICRO",VLOOKUP(F1644,SICRO,5,FALSE),IF(D1644="COTACAO",VLOOKUP(F1644,COTACAO,6,FALSE),IF(D1644="PRÓPRIO",VLOOKUP(F1644,COMPOD,13,FALSE),IF(D1644="AGESUL",VLOOKUP(F1644,AGESULOD,11,FALSE),IF(D1644="INSAGESUL",VLOOKUP(F1644,INSAGESUL,8,FALSE),"SEM VALOR"))))))),"SEM VALOR")</f>
        <v xml:space="preserve">SEM VALOR</v>
      </c>
      <c r="AE1644" s="217"/>
      <c r="AF1644" s="217">
        <v>1185</v>
      </c>
      <c r="AH1644">
        <f t="shared" si="1164"/>
        <v>1185</v>
      </c>
    </row>
    <row r="1645" hidden="1">
      <c r="A1645" s="217"/>
      <c r="B1645" s="217">
        <v>1185</v>
      </c>
      <c r="C1645" s="217"/>
      <c r="D1645" s="217"/>
      <c r="E1645" s="471"/>
      <c r="F1645" s="486"/>
      <c r="G1645" s="470" t="s">
        <v>21452</v>
      </c>
      <c r="H1645" s="482"/>
      <c r="I1645" s="483"/>
      <c r="J1645" s="577"/>
      <c r="K1645" s="474"/>
      <c r="L1645" s="577"/>
      <c r="M1645" s="474"/>
      <c r="N1645" s="467"/>
      <c r="O1645" s="434" t="str">
        <f t="shared" si="1180"/>
        <v xml:space="preserve">SEM VALOR</v>
      </c>
      <c r="P1645" s="435" t="str">
        <f t="shared" si="1181"/>
        <v xml:space="preserve">SEM VALOR</v>
      </c>
      <c r="AE1645" s="217"/>
      <c r="AF1645" s="217">
        <v>1185</v>
      </c>
      <c r="AH1645">
        <f t="shared" si="1164"/>
        <v>1185</v>
      </c>
    </row>
    <row r="1646" ht="47.25" hidden="1">
      <c r="A1646" s="460">
        <v>1186</v>
      </c>
      <c r="B1646" s="460">
        <v>1186</v>
      </c>
      <c r="C1646" s="460"/>
      <c r="D1646" s="460"/>
      <c r="E1646" s="461">
        <v>1</v>
      </c>
      <c r="F1646" s="462" t="s">
        <v>21453</v>
      </c>
      <c r="G1646" s="477" t="s">
        <v>21454</v>
      </c>
      <c r="H1646" s="579" t="s">
        <v>15515</v>
      </c>
      <c r="I1646" s="479"/>
      <c r="J1646" s="480"/>
      <c r="K1646" s="466">
        <f>SUM(K1647:K1648)</f>
        <v>25.526834092000001</v>
      </c>
      <c r="L1646" s="480"/>
      <c r="M1646" s="466">
        <f>SUM(M1647:M1648)</f>
        <v>25.506667385</v>
      </c>
      <c r="N1646" s="467" t="s">
        <v>21369</v>
      </c>
      <c r="O1646" s="434" t="str">
        <f t="shared" si="1180"/>
        <v xml:space="preserve">SEM VALOR</v>
      </c>
      <c r="P1646" s="435" t="str">
        <f t="shared" si="1181"/>
        <v xml:space="preserve">SEM VALOR</v>
      </c>
      <c r="AE1646" s="460">
        <v>1186</v>
      </c>
      <c r="AF1646" s="460"/>
      <c r="AH1646">
        <f t="shared" si="1164"/>
        <v>1186</v>
      </c>
    </row>
    <row r="1647" ht="60" hidden="1">
      <c r="A1647" s="217"/>
      <c r="B1647" s="217">
        <v>1186</v>
      </c>
      <c r="C1647" s="217"/>
      <c r="D1647" s="217" t="s">
        <v>20408</v>
      </c>
      <c r="E1647" s="471" t="s">
        <v>20399</v>
      </c>
      <c r="F1647" s="471">
        <v>4018</v>
      </c>
      <c r="G1647" s="470" t="s">
        <v>21455</v>
      </c>
      <c r="H1647" s="482" t="s">
        <v>15515</v>
      </c>
      <c r="I1647" s="483">
        <v>1.05</v>
      </c>
      <c r="J1647" s="473">
        <f t="shared" si="1173"/>
        <v>23.949999999999999</v>
      </c>
      <c r="K1647" s="474">
        <f t="shared" ref="K1647:K1648" si="1182">I1647*J1647</f>
        <v>25.147500000000001</v>
      </c>
      <c r="L1647" s="473">
        <f t="shared" ref="L1645:L1708" si="1183">P1647*$L$3</f>
        <v>23.949999999999999</v>
      </c>
      <c r="M1647" s="474">
        <f t="shared" ref="M1647:M1648" si="1184">L1647*I1647</f>
        <v>25.147500000000001</v>
      </c>
      <c r="N1647" s="467" t="s">
        <v>21371</v>
      </c>
      <c r="O1647" s="434">
        <f t="shared" si="1180"/>
        <v>23.949999999999999</v>
      </c>
      <c r="P1647" s="435">
        <f t="shared" si="1181"/>
        <v>23.949999999999999</v>
      </c>
      <c r="AE1647" s="217"/>
      <c r="AF1647" s="217">
        <v>1186</v>
      </c>
      <c r="AH1647">
        <f t="shared" si="1164"/>
        <v>1186</v>
      </c>
    </row>
    <row r="1648" ht="30" hidden="1">
      <c r="A1648" s="217"/>
      <c r="B1648" s="217">
        <v>1186</v>
      </c>
      <c r="C1648" s="217"/>
      <c r="D1648" s="217" t="s">
        <v>17167</v>
      </c>
      <c r="E1648" s="471" t="s">
        <v>20402</v>
      </c>
      <c r="F1648" s="482">
        <v>88316</v>
      </c>
      <c r="G1648" s="470" t="s">
        <v>7393</v>
      </c>
      <c r="H1648" s="482" t="s">
        <v>2032</v>
      </c>
      <c r="I1648" s="483">
        <f>3/180</f>
        <v>1.66667e-002</v>
      </c>
      <c r="J1648" s="473">
        <f t="shared" si="1173"/>
        <v>22.760000000000002</v>
      </c>
      <c r="K1648" s="474">
        <f t="shared" si="1182"/>
        <v>0.37933409200000001</v>
      </c>
      <c r="L1648" s="473">
        <f t="shared" si="1183"/>
        <v>21.550000000000001</v>
      </c>
      <c r="M1648" s="474">
        <f t="shared" si="1184"/>
        <v>0.35916738500000001</v>
      </c>
      <c r="O1648" s="434">
        <f t="shared" si="1180"/>
        <v>22.760000000000002</v>
      </c>
      <c r="P1648" s="435">
        <f t="shared" si="1181"/>
        <v>21.550000000000001</v>
      </c>
      <c r="AE1648" s="217"/>
      <c r="AF1648" s="217">
        <v>1186</v>
      </c>
      <c r="AH1648">
        <f t="shared" si="1164"/>
        <v>1186</v>
      </c>
    </row>
    <row r="1649" ht="96.75" hidden="1" customHeight="1">
      <c r="A1649" s="460">
        <v>1187</v>
      </c>
      <c r="B1649" s="460">
        <v>1187</v>
      </c>
      <c r="C1649" s="460"/>
      <c r="D1649" s="460"/>
      <c r="E1649" s="461">
        <v>1</v>
      </c>
      <c r="F1649" s="462" t="s">
        <v>21456</v>
      </c>
      <c r="G1649" s="477" t="s">
        <v>21457</v>
      </c>
      <c r="H1649" s="579" t="s">
        <v>302</v>
      </c>
      <c r="I1649" s="479"/>
      <c r="J1649" s="480"/>
      <c r="K1649" s="466">
        <f>SUM(K1650:K1654)</f>
        <v>16.986038600000001</v>
      </c>
      <c r="L1649" s="480"/>
      <c r="M1649" s="466">
        <f>SUM(M1650:M1654)</f>
        <v>16.500700599999998</v>
      </c>
      <c r="N1649" s="467" t="s">
        <v>21458</v>
      </c>
      <c r="O1649" s="434" t="str">
        <f t="shared" si="1180"/>
        <v xml:space="preserve">SEM VALOR</v>
      </c>
      <c r="P1649" s="435" t="str">
        <f t="shared" si="1181"/>
        <v xml:space="preserve">SEM VALOR</v>
      </c>
      <c r="AE1649" s="460">
        <v>1187</v>
      </c>
      <c r="AF1649" s="460"/>
      <c r="AH1649">
        <f t="shared" si="1164"/>
        <v>1187</v>
      </c>
    </row>
    <row r="1650" ht="60" hidden="1">
      <c r="A1650" s="217"/>
      <c r="B1650" s="217">
        <v>1187</v>
      </c>
      <c r="C1650" s="217"/>
      <c r="D1650" s="217" t="s">
        <v>20408</v>
      </c>
      <c r="E1650" s="471" t="s">
        <v>20399</v>
      </c>
      <c r="F1650" s="482">
        <v>39017</v>
      </c>
      <c r="G1650" s="470" t="s">
        <v>21459</v>
      </c>
      <c r="H1650" s="482" t="s">
        <v>31</v>
      </c>
      <c r="I1650" s="483">
        <v>0.99960000000000004</v>
      </c>
      <c r="J1650" s="473">
        <f t="shared" si="1173"/>
        <v>0.22</v>
      </c>
      <c r="K1650" s="474">
        <f t="shared" ref="K1650:K1654" si="1185">I1650*J1650</f>
        <v>0.21991200000000002</v>
      </c>
      <c r="L1650" s="473">
        <f t="shared" si="1183"/>
        <v>0.22</v>
      </c>
      <c r="M1650" s="474">
        <f t="shared" ref="M1650:M1654" si="1186">L1650*I1650</f>
        <v>0.21991200000000002</v>
      </c>
      <c r="O1650" s="434">
        <f t="shared" si="1180"/>
        <v>0.22</v>
      </c>
      <c r="P1650" s="435">
        <f t="shared" si="1181"/>
        <v>0.22</v>
      </c>
      <c r="AE1650" s="217"/>
      <c r="AF1650" s="217">
        <v>1187</v>
      </c>
      <c r="AH1650">
        <f t="shared" si="1164"/>
        <v>1187</v>
      </c>
    </row>
    <row r="1651" ht="45" hidden="1">
      <c r="A1651" s="217"/>
      <c r="B1651" s="217">
        <v>1187</v>
      </c>
      <c r="C1651" s="217"/>
      <c r="D1651" s="217" t="s">
        <v>20408</v>
      </c>
      <c r="E1651" s="471" t="s">
        <v>20402</v>
      </c>
      <c r="F1651" s="489">
        <v>43132</v>
      </c>
      <c r="G1651" s="470" t="s">
        <v>21460</v>
      </c>
      <c r="H1651" s="482" t="s">
        <v>302</v>
      </c>
      <c r="I1651" s="483">
        <v>2.5000000000000001e-002</v>
      </c>
      <c r="J1651" s="473">
        <f t="shared" si="1173"/>
        <v>18.780000000000001</v>
      </c>
      <c r="K1651" s="474">
        <f t="shared" si="1185"/>
        <v>0.46950000000000003</v>
      </c>
      <c r="L1651" s="473">
        <f t="shared" si="1183"/>
        <v>18.780000000000001</v>
      </c>
      <c r="M1651" s="474">
        <f t="shared" si="1186"/>
        <v>0.46950000000000003</v>
      </c>
      <c r="O1651" s="434">
        <f t="shared" si="1180"/>
        <v>18.780000000000001</v>
      </c>
      <c r="P1651" s="435">
        <f t="shared" si="1181"/>
        <v>18.780000000000001</v>
      </c>
      <c r="AE1651" s="217"/>
      <c r="AF1651" s="217">
        <v>1187</v>
      </c>
      <c r="AH1651">
        <f t="shared" si="1164"/>
        <v>1187</v>
      </c>
    </row>
    <row r="1652" ht="30" hidden="1">
      <c r="A1652" s="217"/>
      <c r="B1652" s="217">
        <v>1187</v>
      </c>
      <c r="C1652" s="217"/>
      <c r="D1652" s="217" t="s">
        <v>17167</v>
      </c>
      <c r="E1652" s="471" t="s">
        <v>20405</v>
      </c>
      <c r="F1652" s="489">
        <v>88238</v>
      </c>
      <c r="G1652" s="470" t="s">
        <v>7086</v>
      </c>
      <c r="H1652" s="482" t="s">
        <v>2032</v>
      </c>
      <c r="I1652" s="483">
        <v>4.369e-002</v>
      </c>
      <c r="J1652" s="473">
        <f t="shared" si="1173"/>
        <v>23.48</v>
      </c>
      <c r="K1652" s="474">
        <f t="shared" si="1185"/>
        <v>1.0258412000000001</v>
      </c>
      <c r="L1652" s="473">
        <f t="shared" si="1183"/>
        <v>22.219999999999999</v>
      </c>
      <c r="M1652" s="474">
        <f t="shared" si="1186"/>
        <v>0.97079179999999998</v>
      </c>
      <c r="O1652" s="434">
        <f t="shared" si="1180"/>
        <v>23.48</v>
      </c>
      <c r="P1652" s="435">
        <f t="shared" si="1181"/>
        <v>22.219999999999999</v>
      </c>
      <c r="AE1652" s="217"/>
      <c r="AF1652" s="217">
        <v>1187</v>
      </c>
      <c r="AH1652">
        <f t="shared" si="1164"/>
        <v>1187</v>
      </c>
    </row>
    <row r="1653" ht="30" hidden="1">
      <c r="A1653" s="217"/>
      <c r="B1653" s="217">
        <v>1187</v>
      </c>
      <c r="C1653" s="217"/>
      <c r="D1653" s="217" t="s">
        <v>17167</v>
      </c>
      <c r="E1653" s="471" t="s">
        <v>20409</v>
      </c>
      <c r="F1653" s="489">
        <v>88245</v>
      </c>
      <c r="G1653" s="470" t="s">
        <v>7099</v>
      </c>
      <c r="H1653" s="482" t="s">
        <v>2032</v>
      </c>
      <c r="I1653" s="483">
        <v>0.26726</v>
      </c>
      <c r="J1653" s="473">
        <f t="shared" si="1173"/>
        <v>28.289999999999999</v>
      </c>
      <c r="K1653" s="474">
        <f t="shared" si="1185"/>
        <v>7.5607853999999994</v>
      </c>
      <c r="L1653" s="473">
        <f t="shared" si="1183"/>
        <v>26.68</v>
      </c>
      <c r="M1653" s="474">
        <f t="shared" si="1186"/>
        <v>7.1304967999999995</v>
      </c>
      <c r="O1653" s="434">
        <f t="shared" si="1180"/>
        <v>28.289999999999999</v>
      </c>
      <c r="P1653" s="435">
        <f t="shared" si="1181"/>
        <v>26.68</v>
      </c>
      <c r="AE1653" s="217"/>
      <c r="AF1653" s="217">
        <v>1187</v>
      </c>
      <c r="AH1653">
        <f t="shared" si="1164"/>
        <v>1187</v>
      </c>
    </row>
    <row r="1654" ht="30" hidden="1">
      <c r="A1654" s="217"/>
      <c r="B1654" s="217">
        <v>1187</v>
      </c>
      <c r="C1654" s="217"/>
      <c r="D1654" s="217" t="s">
        <v>20408</v>
      </c>
      <c r="E1654" s="471" t="s">
        <v>20663</v>
      </c>
      <c r="F1654" s="489">
        <v>43061</v>
      </c>
      <c r="G1654" s="470" t="s">
        <v>21461</v>
      </c>
      <c r="H1654" s="482" t="s">
        <v>302</v>
      </c>
      <c r="I1654" s="483">
        <v>1</v>
      </c>
      <c r="J1654" s="473">
        <f t="shared" si="1173"/>
        <v>7.71</v>
      </c>
      <c r="K1654" s="474">
        <f t="shared" si="1185"/>
        <v>7.71</v>
      </c>
      <c r="L1654" s="473">
        <f t="shared" si="1183"/>
        <v>7.71</v>
      </c>
      <c r="M1654" s="474">
        <f t="shared" si="1186"/>
        <v>7.71</v>
      </c>
      <c r="O1654" s="434">
        <f t="shared" si="1180"/>
        <v>7.71</v>
      </c>
      <c r="P1654" s="435">
        <f t="shared" si="1181"/>
        <v>7.71</v>
      </c>
      <c r="AE1654" s="217"/>
      <c r="AF1654" s="217">
        <v>1187</v>
      </c>
      <c r="AH1654">
        <f t="shared" si="1164"/>
        <v>1187</v>
      </c>
    </row>
    <row r="1655" ht="49.5" hidden="1" customHeight="1">
      <c r="A1655" s="460">
        <v>1188</v>
      </c>
      <c r="B1655" s="460">
        <v>1188</v>
      </c>
      <c r="C1655" s="460"/>
      <c r="D1655" s="460"/>
      <c r="E1655" s="461">
        <v>1</v>
      </c>
      <c r="F1655" s="462" t="s">
        <v>21462</v>
      </c>
      <c r="G1655" s="477" t="s">
        <v>21463</v>
      </c>
      <c r="H1655" s="579" t="s">
        <v>15528</v>
      </c>
      <c r="I1655" s="479"/>
      <c r="J1655" s="480"/>
      <c r="K1655" s="466">
        <f>SUM(K1656:K1657)</f>
        <v>2.84274</v>
      </c>
      <c r="L1655" s="480"/>
      <c r="M1655" s="466">
        <f>SUM(M1656:M1657)</f>
        <v>2.7859600000000007</v>
      </c>
      <c r="N1655" s="467" t="s">
        <v>21445</v>
      </c>
      <c r="O1655" s="434" t="str">
        <f t="shared" si="1180"/>
        <v xml:space="preserve">SEM VALOR</v>
      </c>
      <c r="P1655" s="435" t="str">
        <f t="shared" si="1181"/>
        <v xml:space="preserve">SEM VALOR</v>
      </c>
      <c r="AE1655" s="460">
        <v>1188</v>
      </c>
      <c r="AF1655" s="460"/>
      <c r="AH1655">
        <f t="shared" si="1164"/>
        <v>1188</v>
      </c>
    </row>
    <row r="1656" ht="120" hidden="1">
      <c r="A1656" s="217"/>
      <c r="B1656" s="217">
        <v>1188</v>
      </c>
      <c r="C1656" s="217"/>
      <c r="D1656" s="217" t="s">
        <v>17167</v>
      </c>
      <c r="E1656" s="471" t="s">
        <v>20399</v>
      </c>
      <c r="F1656" s="471">
        <v>5680</v>
      </c>
      <c r="G1656" s="470" t="s">
        <v>1871</v>
      </c>
      <c r="H1656" s="482" t="s">
        <v>1535</v>
      </c>
      <c r="I1656" s="483">
        <v>1.7000000000000001e-002</v>
      </c>
      <c r="J1656" s="473">
        <f t="shared" si="1173"/>
        <v>144.46000000000001</v>
      </c>
      <c r="K1656" s="474">
        <f t="shared" ref="K1656:K1657" si="1187">I1656*J1656</f>
        <v>2.4558200000000001</v>
      </c>
      <c r="L1656" s="473">
        <f t="shared" si="1183"/>
        <v>142.33000000000001</v>
      </c>
      <c r="M1656" s="474">
        <f t="shared" ref="M1656:M1657" si="1188">L1656*I1656</f>
        <v>2.4196100000000005</v>
      </c>
      <c r="O1656" s="434">
        <f t="shared" si="1180"/>
        <v>144.46000000000001</v>
      </c>
      <c r="P1656" s="435">
        <f t="shared" si="1181"/>
        <v>142.33000000000001</v>
      </c>
      <c r="AE1656" s="217"/>
      <c r="AF1656" s="217">
        <v>1188</v>
      </c>
      <c r="AH1656">
        <f t="shared" si="1164"/>
        <v>1188</v>
      </c>
    </row>
    <row r="1657" ht="30" hidden="1">
      <c r="A1657" s="217"/>
      <c r="B1657" s="217">
        <v>1188</v>
      </c>
      <c r="C1657" s="217"/>
      <c r="D1657" s="217" t="s">
        <v>17167</v>
      </c>
      <c r="E1657" s="471" t="s">
        <v>20402</v>
      </c>
      <c r="F1657" s="482">
        <v>88316</v>
      </c>
      <c r="G1657" s="470" t="s">
        <v>7393</v>
      </c>
      <c r="H1657" s="482" t="s">
        <v>2032</v>
      </c>
      <c r="I1657" s="483">
        <v>1.7000000000000001e-002</v>
      </c>
      <c r="J1657" s="473">
        <f t="shared" si="1173"/>
        <v>22.760000000000002</v>
      </c>
      <c r="K1657" s="474">
        <f t="shared" si="1187"/>
        <v>0.38692000000000004</v>
      </c>
      <c r="L1657" s="473">
        <f t="shared" si="1183"/>
        <v>21.550000000000001</v>
      </c>
      <c r="M1657" s="474">
        <f t="shared" si="1188"/>
        <v>0.36635000000000006</v>
      </c>
      <c r="O1657" s="434">
        <f t="shared" si="1180"/>
        <v>22.760000000000002</v>
      </c>
      <c r="P1657" s="435">
        <f t="shared" si="1181"/>
        <v>21.550000000000001</v>
      </c>
      <c r="AE1657" s="217"/>
      <c r="AF1657" s="217">
        <v>1188</v>
      </c>
      <c r="AH1657">
        <f t="shared" si="1164"/>
        <v>1188</v>
      </c>
    </row>
    <row r="1658" ht="56.25" hidden="1" customHeight="1">
      <c r="A1658" s="460">
        <v>1189</v>
      </c>
      <c r="B1658" s="460">
        <v>1189</v>
      </c>
      <c r="C1658" s="460"/>
      <c r="D1658" s="460"/>
      <c r="E1658" s="461">
        <v>1</v>
      </c>
      <c r="F1658" s="462" t="s">
        <v>21464</v>
      </c>
      <c r="G1658" s="477" t="s">
        <v>21465</v>
      </c>
      <c r="H1658" s="579" t="s">
        <v>38</v>
      </c>
      <c r="I1658" s="479"/>
      <c r="J1658" s="480"/>
      <c r="K1658" s="466">
        <f>SUM(K1659:K1662)</f>
        <v>152.91130000000001</v>
      </c>
      <c r="L1658" s="480"/>
      <c r="M1658" s="466">
        <f>SUM(M1659:M1662)</f>
        <v>147.52760000000001</v>
      </c>
      <c r="N1658" s="467" t="s">
        <v>21466</v>
      </c>
      <c r="O1658" s="434" t="str">
        <f t="shared" si="1180"/>
        <v xml:space="preserve">SEM VALOR</v>
      </c>
      <c r="P1658" s="435" t="str">
        <f t="shared" si="1181"/>
        <v xml:space="preserve">SEM VALOR</v>
      </c>
      <c r="AE1658" s="460">
        <v>1189</v>
      </c>
      <c r="AF1658" s="460"/>
      <c r="AH1658">
        <f t="shared" si="1164"/>
        <v>1189</v>
      </c>
    </row>
    <row r="1659" ht="120" hidden="1">
      <c r="A1659" s="217"/>
      <c r="B1659" s="217">
        <v>1189</v>
      </c>
      <c r="C1659" s="217"/>
      <c r="D1659" s="217" t="s">
        <v>17167</v>
      </c>
      <c r="E1659" s="471" t="s">
        <v>20399</v>
      </c>
      <c r="F1659" s="489">
        <v>90092</v>
      </c>
      <c r="G1659" s="470" t="s">
        <v>21467</v>
      </c>
      <c r="H1659" s="482" t="s">
        <v>15528</v>
      </c>
      <c r="I1659" s="483">
        <v>2.0499999999999998</v>
      </c>
      <c r="J1659" s="473">
        <f t="shared" si="1173"/>
        <v>5.9900000000000002</v>
      </c>
      <c r="K1659" s="474">
        <f t="shared" ref="K1659:K1662" si="1189">I1659*J1659</f>
        <v>12.279499999999999</v>
      </c>
      <c r="L1659" s="473">
        <f t="shared" si="1183"/>
        <v>5.8799999999999999</v>
      </c>
      <c r="M1659" s="474">
        <f t="shared" ref="M1659:M1662" si="1190">L1659*I1659</f>
        <v>12.053999999999998</v>
      </c>
      <c r="O1659" s="434">
        <f t="shared" si="1180"/>
        <v>5.9900000000000002</v>
      </c>
      <c r="P1659" s="435">
        <f t="shared" si="1181"/>
        <v>5.8799999999999999</v>
      </c>
      <c r="AE1659" s="217"/>
      <c r="AF1659" s="217">
        <v>1189</v>
      </c>
      <c r="AH1659">
        <f t="shared" si="1164"/>
        <v>1189</v>
      </c>
    </row>
    <row r="1660" ht="120" hidden="1">
      <c r="A1660" s="217"/>
      <c r="B1660" s="217">
        <v>1189</v>
      </c>
      <c r="C1660" s="217"/>
      <c r="D1660" s="217" t="s">
        <v>17167</v>
      </c>
      <c r="E1660" s="471" t="s">
        <v>20402</v>
      </c>
      <c r="F1660" s="489">
        <v>93368</v>
      </c>
      <c r="G1660" s="470" t="s">
        <v>21468</v>
      </c>
      <c r="H1660" s="482" t="s">
        <v>15528</v>
      </c>
      <c r="I1660" s="483">
        <v>2.46</v>
      </c>
      <c r="J1660" s="473">
        <f t="shared" si="1173"/>
        <v>21.190000000000001</v>
      </c>
      <c r="K1660" s="474">
        <f t="shared" si="1189"/>
        <v>52.127400000000002</v>
      </c>
      <c r="L1660" s="473">
        <f t="shared" si="1183"/>
        <v>20.690000000000001</v>
      </c>
      <c r="M1660" s="474">
        <f t="shared" si="1190"/>
        <v>50.897400000000005</v>
      </c>
      <c r="O1660" s="434">
        <f t="shared" si="1180"/>
        <v>21.190000000000001</v>
      </c>
      <c r="P1660" s="435">
        <f t="shared" si="1181"/>
        <v>20.690000000000001</v>
      </c>
      <c r="AE1660" s="217"/>
      <c r="AF1660" s="217">
        <v>1189</v>
      </c>
      <c r="AH1660">
        <f t="shared" si="1164"/>
        <v>1189</v>
      </c>
    </row>
    <row r="1661" ht="120" hidden="1">
      <c r="A1661" s="217"/>
      <c r="B1661" s="217">
        <v>1189</v>
      </c>
      <c r="C1661" s="217"/>
      <c r="D1661" s="217" t="s">
        <v>17167</v>
      </c>
      <c r="E1661" s="471" t="s">
        <v>20405</v>
      </c>
      <c r="F1661" s="489">
        <v>5680</v>
      </c>
      <c r="G1661" s="470" t="s">
        <v>1871</v>
      </c>
      <c r="H1661" s="482" t="s">
        <v>1535</v>
      </c>
      <c r="I1661" s="483">
        <v>0.14000000000000001</v>
      </c>
      <c r="J1661" s="473">
        <f t="shared" si="1173"/>
        <v>144.46000000000001</v>
      </c>
      <c r="K1661" s="474">
        <f t="shared" si="1189"/>
        <v>20.224400000000003</v>
      </c>
      <c r="L1661" s="473">
        <f t="shared" si="1183"/>
        <v>142.33000000000001</v>
      </c>
      <c r="M1661" s="474">
        <f t="shared" si="1190"/>
        <v>19.926200000000005</v>
      </c>
      <c r="O1661" s="434">
        <f t="shared" si="1180"/>
        <v>144.46000000000001</v>
      </c>
      <c r="P1661" s="435">
        <f t="shared" si="1181"/>
        <v>142.33000000000001</v>
      </c>
      <c r="AE1661" s="217"/>
      <c r="AF1661" s="217">
        <v>1189</v>
      </c>
      <c r="AH1661">
        <f t="shared" si="1164"/>
        <v>1189</v>
      </c>
    </row>
    <row r="1662" ht="30" hidden="1">
      <c r="A1662" s="217"/>
      <c r="B1662" s="217">
        <v>1189</v>
      </c>
      <c r="C1662" s="217"/>
      <c r="D1662" s="217" t="s">
        <v>17167</v>
      </c>
      <c r="E1662" s="471" t="s">
        <v>20409</v>
      </c>
      <c r="F1662" s="489">
        <v>88316</v>
      </c>
      <c r="G1662" s="470" t="s">
        <v>7393</v>
      </c>
      <c r="H1662" s="482" t="s">
        <v>2032</v>
      </c>
      <c r="I1662" s="483">
        <v>3</v>
      </c>
      <c r="J1662" s="473">
        <f t="shared" si="1173"/>
        <v>22.760000000000002</v>
      </c>
      <c r="K1662" s="474">
        <f t="shared" si="1189"/>
        <v>68.280000000000001</v>
      </c>
      <c r="L1662" s="473">
        <f t="shared" si="1183"/>
        <v>21.550000000000001</v>
      </c>
      <c r="M1662" s="474">
        <f t="shared" si="1190"/>
        <v>64.650000000000006</v>
      </c>
      <c r="O1662" s="434">
        <f t="shared" si="1180"/>
        <v>22.760000000000002</v>
      </c>
      <c r="P1662" s="435">
        <f t="shared" si="1181"/>
        <v>21.550000000000001</v>
      </c>
      <c r="AE1662" s="217"/>
      <c r="AF1662" s="217">
        <v>1189</v>
      </c>
      <c r="AH1662">
        <f t="shared" si="1164"/>
        <v>1189</v>
      </c>
    </row>
    <row r="1663" ht="51" hidden="1" customHeight="1">
      <c r="A1663" s="460">
        <v>1190</v>
      </c>
      <c r="B1663" s="460">
        <v>1190</v>
      </c>
      <c r="C1663" s="460"/>
      <c r="D1663" s="460"/>
      <c r="E1663" s="461">
        <v>1</v>
      </c>
      <c r="F1663" s="462" t="s">
        <v>21469</v>
      </c>
      <c r="G1663" s="477" t="s">
        <v>21470</v>
      </c>
      <c r="H1663" s="579" t="s">
        <v>38</v>
      </c>
      <c r="I1663" s="479"/>
      <c r="J1663" s="480"/>
      <c r="K1663" s="466">
        <f>SUM(K1664:K1667)</f>
        <v>231.03230000000002</v>
      </c>
      <c r="L1663" s="480"/>
      <c r="M1663" s="466">
        <f>SUM(M1664:M1667)</f>
        <v>223.41610000000003</v>
      </c>
      <c r="N1663" s="467" t="s">
        <v>21466</v>
      </c>
      <c r="O1663" s="434" t="str">
        <f t="shared" si="1180"/>
        <v xml:space="preserve">SEM VALOR</v>
      </c>
      <c r="P1663" s="435" t="str">
        <f t="shared" si="1181"/>
        <v xml:space="preserve">SEM VALOR</v>
      </c>
      <c r="AE1663" s="460">
        <v>1190</v>
      </c>
      <c r="AF1663" s="460"/>
      <c r="AH1663">
        <f t="shared" si="1164"/>
        <v>1190</v>
      </c>
    </row>
    <row r="1664" ht="135" hidden="1">
      <c r="A1664" s="217"/>
      <c r="B1664" s="217">
        <v>1190</v>
      </c>
      <c r="C1664" s="217"/>
      <c r="D1664" s="217" t="s">
        <v>17167</v>
      </c>
      <c r="E1664" s="471" t="s">
        <v>20399</v>
      </c>
      <c r="F1664" s="489">
        <v>102281</v>
      </c>
      <c r="G1664" s="470" t="s">
        <v>21471</v>
      </c>
      <c r="H1664" s="482" t="s">
        <v>15528</v>
      </c>
      <c r="I1664" s="483">
        <v>2.9900000000000002</v>
      </c>
      <c r="J1664" s="473">
        <f t="shared" si="1173"/>
        <v>5.8300000000000001</v>
      </c>
      <c r="K1664" s="474">
        <f t="shared" ref="K1664:K1667" si="1191">I1664*J1664</f>
        <v>17.431700000000003</v>
      </c>
      <c r="L1664" s="473">
        <f t="shared" si="1183"/>
        <v>5.7199999999999998</v>
      </c>
      <c r="M1664" s="474">
        <f t="shared" ref="M1664:M1667" si="1192">L1664*I1664</f>
        <v>17.102800000000002</v>
      </c>
      <c r="O1664" s="434">
        <f t="shared" si="1180"/>
        <v>5.8300000000000001</v>
      </c>
      <c r="P1664" s="435">
        <f t="shared" si="1181"/>
        <v>5.7199999999999998</v>
      </c>
      <c r="AE1664" s="217"/>
      <c r="AF1664" s="217">
        <v>1190</v>
      </c>
      <c r="AH1664">
        <f t="shared" si="1164"/>
        <v>1190</v>
      </c>
    </row>
    <row r="1665" ht="120" hidden="1">
      <c r="A1665" s="217"/>
      <c r="B1665" s="217">
        <v>1190</v>
      </c>
      <c r="C1665" s="217"/>
      <c r="D1665" s="217" t="s">
        <v>17167</v>
      </c>
      <c r="E1665" s="471" t="s">
        <v>20402</v>
      </c>
      <c r="F1665" s="489">
        <v>93369</v>
      </c>
      <c r="G1665" s="470" t="s">
        <v>21472</v>
      </c>
      <c r="H1665" s="482" t="s">
        <v>15528</v>
      </c>
      <c r="I1665" s="483">
        <v>3.71</v>
      </c>
      <c r="J1665" s="473">
        <f t="shared" si="1173"/>
        <v>17.460000000000001</v>
      </c>
      <c r="K1665" s="474">
        <f t="shared" si="1191"/>
        <v>64.776600000000002</v>
      </c>
      <c r="L1665" s="473">
        <f t="shared" si="1183"/>
        <v>17.030000000000001</v>
      </c>
      <c r="M1665" s="474">
        <f t="shared" si="1192"/>
        <v>63.1813</v>
      </c>
      <c r="O1665" s="434">
        <f t="shared" si="1180"/>
        <v>17.460000000000001</v>
      </c>
      <c r="P1665" s="435">
        <f t="shared" si="1181"/>
        <v>17.030000000000001</v>
      </c>
      <c r="AE1665" s="217"/>
      <c r="AF1665" s="217">
        <v>1190</v>
      </c>
      <c r="AH1665">
        <f t="shared" si="1164"/>
        <v>1190</v>
      </c>
    </row>
    <row r="1666" ht="120" hidden="1">
      <c r="A1666" s="217"/>
      <c r="B1666" s="217">
        <v>1190</v>
      </c>
      <c r="C1666" s="217"/>
      <c r="D1666" s="217" t="s">
        <v>17167</v>
      </c>
      <c r="E1666" s="471" t="s">
        <v>20405</v>
      </c>
      <c r="F1666" s="489">
        <v>5680</v>
      </c>
      <c r="G1666" s="470" t="s">
        <v>1871</v>
      </c>
      <c r="H1666" s="482" t="s">
        <v>1535</v>
      </c>
      <c r="I1666" s="483">
        <v>0.40000000000000002</v>
      </c>
      <c r="J1666" s="473">
        <f t="shared" si="1173"/>
        <v>144.46000000000001</v>
      </c>
      <c r="K1666" s="474">
        <f t="shared" si="1191"/>
        <v>57.784000000000006</v>
      </c>
      <c r="L1666" s="473">
        <f t="shared" si="1183"/>
        <v>142.33000000000001</v>
      </c>
      <c r="M1666" s="474">
        <f t="shared" si="1192"/>
        <v>56.932000000000009</v>
      </c>
      <c r="O1666" s="434">
        <f t="shared" si="1180"/>
        <v>144.46000000000001</v>
      </c>
      <c r="P1666" s="435">
        <f t="shared" si="1181"/>
        <v>142.33000000000001</v>
      </c>
      <c r="AE1666" s="217"/>
      <c r="AF1666" s="217">
        <v>1190</v>
      </c>
      <c r="AH1666">
        <f t="shared" si="1164"/>
        <v>1190</v>
      </c>
    </row>
    <row r="1667" ht="30" hidden="1">
      <c r="A1667" s="217"/>
      <c r="B1667" s="217">
        <v>1190</v>
      </c>
      <c r="C1667" s="217"/>
      <c r="D1667" s="217" t="s">
        <v>17167</v>
      </c>
      <c r="E1667" s="471" t="s">
        <v>20409</v>
      </c>
      <c r="F1667" s="489">
        <v>88316</v>
      </c>
      <c r="G1667" s="470" t="s">
        <v>7393</v>
      </c>
      <c r="H1667" s="482" t="s">
        <v>2032</v>
      </c>
      <c r="I1667" s="483">
        <v>4</v>
      </c>
      <c r="J1667" s="473">
        <f t="shared" si="1173"/>
        <v>22.760000000000002</v>
      </c>
      <c r="K1667" s="474">
        <f t="shared" si="1191"/>
        <v>91.040000000000006</v>
      </c>
      <c r="L1667" s="473">
        <f t="shared" si="1183"/>
        <v>21.550000000000001</v>
      </c>
      <c r="M1667" s="474">
        <f t="shared" si="1192"/>
        <v>86.200000000000003</v>
      </c>
      <c r="O1667" s="434">
        <f t="shared" si="1180"/>
        <v>22.760000000000002</v>
      </c>
      <c r="P1667" s="435">
        <f t="shared" si="1181"/>
        <v>21.550000000000001</v>
      </c>
      <c r="AE1667" s="217"/>
      <c r="AF1667" s="217">
        <v>1190</v>
      </c>
      <c r="AH1667">
        <f t="shared" si="1164"/>
        <v>1190</v>
      </c>
    </row>
    <row r="1668" ht="51" hidden="1" customHeight="1">
      <c r="A1668" s="460">
        <v>1191</v>
      </c>
      <c r="B1668" s="460">
        <v>1191</v>
      </c>
      <c r="C1668" s="460"/>
      <c r="D1668" s="460"/>
      <c r="E1668" s="461">
        <v>1</v>
      </c>
      <c r="F1668" s="462" t="s">
        <v>21473</v>
      </c>
      <c r="G1668" s="477" t="s">
        <v>21474</v>
      </c>
      <c r="H1668" s="579" t="s">
        <v>38</v>
      </c>
      <c r="I1668" s="479"/>
      <c r="J1668" s="480"/>
      <c r="K1668" s="466">
        <f>SUM(K1669:K1672)</f>
        <v>257.05580000000003</v>
      </c>
      <c r="L1668" s="480"/>
      <c r="M1668" s="466">
        <f>SUM(M1669:M1672)</f>
        <v>248.82589999999999</v>
      </c>
      <c r="N1668" s="487" t="s">
        <v>21466</v>
      </c>
      <c r="O1668" s="434" t="str">
        <f t="shared" si="1180"/>
        <v xml:space="preserve">SEM VALOR</v>
      </c>
      <c r="P1668" s="435" t="str">
        <f t="shared" si="1181"/>
        <v xml:space="preserve">SEM VALOR</v>
      </c>
      <c r="AE1668" s="460">
        <v>1191</v>
      </c>
      <c r="AF1668" s="460"/>
      <c r="AH1668">
        <f t="shared" si="1164"/>
        <v>1191</v>
      </c>
    </row>
    <row r="1669" ht="135" hidden="1">
      <c r="A1669" s="217"/>
      <c r="B1669" s="217">
        <v>1191</v>
      </c>
      <c r="C1669" s="217"/>
      <c r="D1669" s="217" t="s">
        <v>17167</v>
      </c>
      <c r="E1669" s="471" t="s">
        <v>20399</v>
      </c>
      <c r="F1669" s="489">
        <v>102281</v>
      </c>
      <c r="G1669" s="470" t="s">
        <v>21471</v>
      </c>
      <c r="H1669" s="482" t="s">
        <v>15528</v>
      </c>
      <c r="I1669" s="483">
        <v>3.7999999999999998</v>
      </c>
      <c r="J1669" s="473">
        <f t="shared" si="1173"/>
        <v>5.8300000000000001</v>
      </c>
      <c r="K1669" s="474">
        <f t="shared" ref="K1669:K1672" si="1193">I1669*J1669</f>
        <v>22.154</v>
      </c>
      <c r="L1669" s="473">
        <f t="shared" si="1183"/>
        <v>5.7199999999999998</v>
      </c>
      <c r="M1669" s="474">
        <f t="shared" ref="M1669:M1672" si="1194">L1669*I1669</f>
        <v>21.735999999999997</v>
      </c>
      <c r="O1669" s="434">
        <f t="shared" si="1180"/>
        <v>5.8300000000000001</v>
      </c>
      <c r="P1669" s="435">
        <f t="shared" si="1181"/>
        <v>5.7199999999999998</v>
      </c>
      <c r="AE1669" s="217"/>
      <c r="AF1669" s="217">
        <v>1191</v>
      </c>
      <c r="AH1669">
        <f t="shared" si="1164"/>
        <v>1191</v>
      </c>
    </row>
    <row r="1670" ht="120" hidden="1">
      <c r="A1670" s="217"/>
      <c r="B1670" s="217">
        <v>1191</v>
      </c>
      <c r="C1670" s="217"/>
      <c r="D1670" s="217" t="s">
        <v>17167</v>
      </c>
      <c r="E1670" s="471" t="s">
        <v>20402</v>
      </c>
      <c r="F1670" s="489">
        <v>93369</v>
      </c>
      <c r="G1670" s="470" t="s">
        <v>21472</v>
      </c>
      <c r="H1670" s="482" t="s">
        <v>15528</v>
      </c>
      <c r="I1670" s="483">
        <v>4.9299999999999997</v>
      </c>
      <c r="J1670" s="473">
        <f t="shared" si="1173"/>
        <v>17.460000000000001</v>
      </c>
      <c r="K1670" s="474">
        <f t="shared" si="1193"/>
        <v>86.077799999999996</v>
      </c>
      <c r="L1670" s="473">
        <f t="shared" si="1183"/>
        <v>17.030000000000001</v>
      </c>
      <c r="M1670" s="474">
        <f t="shared" si="1194"/>
        <v>83.957899999999995</v>
      </c>
      <c r="O1670" s="434">
        <f t="shared" si="1180"/>
        <v>17.460000000000001</v>
      </c>
      <c r="P1670" s="435">
        <f t="shared" si="1181"/>
        <v>17.030000000000001</v>
      </c>
      <c r="AE1670" s="217"/>
      <c r="AF1670" s="217">
        <v>1191</v>
      </c>
      <c r="AH1670">
        <f t="shared" si="1164"/>
        <v>1191</v>
      </c>
    </row>
    <row r="1671" ht="120" hidden="1">
      <c r="A1671" s="217"/>
      <c r="B1671" s="217">
        <v>1191</v>
      </c>
      <c r="C1671" s="217"/>
      <c r="D1671" s="217" t="s">
        <v>17167</v>
      </c>
      <c r="E1671" s="471" t="s">
        <v>20405</v>
      </c>
      <c r="F1671" s="489">
        <v>5680</v>
      </c>
      <c r="G1671" s="470" t="s">
        <v>1871</v>
      </c>
      <c r="H1671" s="482" t="s">
        <v>1535</v>
      </c>
      <c r="I1671" s="483">
        <v>0.40000000000000002</v>
      </c>
      <c r="J1671" s="473">
        <f t="shared" si="1173"/>
        <v>144.46000000000001</v>
      </c>
      <c r="K1671" s="474">
        <f t="shared" si="1193"/>
        <v>57.784000000000006</v>
      </c>
      <c r="L1671" s="473">
        <f t="shared" si="1183"/>
        <v>142.33000000000001</v>
      </c>
      <c r="M1671" s="474">
        <f t="shared" si="1194"/>
        <v>56.932000000000009</v>
      </c>
      <c r="O1671" s="434">
        <f t="shared" si="1180"/>
        <v>144.46000000000001</v>
      </c>
      <c r="P1671" s="435">
        <f t="shared" si="1181"/>
        <v>142.33000000000001</v>
      </c>
      <c r="AE1671" s="217"/>
      <c r="AF1671" s="217">
        <v>1191</v>
      </c>
      <c r="AH1671">
        <f t="shared" ref="AH1671:AH1734" si="1195">IF(AF1671:AF1672=FALSE,AE1671,AF1671)</f>
        <v>1191</v>
      </c>
    </row>
    <row r="1672" ht="30" hidden="1">
      <c r="A1672" s="217"/>
      <c r="B1672" s="217">
        <v>1191</v>
      </c>
      <c r="C1672" s="217"/>
      <c r="D1672" s="217" t="s">
        <v>17167</v>
      </c>
      <c r="E1672" s="471" t="s">
        <v>20409</v>
      </c>
      <c r="F1672" s="489">
        <v>88316</v>
      </c>
      <c r="G1672" s="470" t="s">
        <v>7393</v>
      </c>
      <c r="H1672" s="482" t="s">
        <v>2032</v>
      </c>
      <c r="I1672" s="483">
        <v>4</v>
      </c>
      <c r="J1672" s="473">
        <f t="shared" si="1173"/>
        <v>22.760000000000002</v>
      </c>
      <c r="K1672" s="474">
        <f t="shared" si="1193"/>
        <v>91.040000000000006</v>
      </c>
      <c r="L1672" s="473">
        <f t="shared" si="1183"/>
        <v>21.550000000000001</v>
      </c>
      <c r="M1672" s="474">
        <f t="shared" si="1194"/>
        <v>86.200000000000003</v>
      </c>
      <c r="O1672" s="434">
        <f t="shared" si="1180"/>
        <v>22.760000000000002</v>
      </c>
      <c r="P1672" s="435">
        <f t="shared" si="1181"/>
        <v>21.550000000000001</v>
      </c>
      <c r="AE1672" s="217"/>
      <c r="AF1672" s="217">
        <v>1191</v>
      </c>
      <c r="AH1672">
        <f t="shared" si="1195"/>
        <v>1191</v>
      </c>
    </row>
    <row r="1673" ht="47.25" hidden="1">
      <c r="A1673" s="460">
        <v>1192</v>
      </c>
      <c r="B1673" s="460">
        <v>1192</v>
      </c>
      <c r="C1673" s="460"/>
      <c r="D1673" s="460"/>
      <c r="E1673" s="461">
        <v>1</v>
      </c>
      <c r="F1673" s="462" t="s">
        <v>21475</v>
      </c>
      <c r="G1673" s="477" t="s">
        <v>21476</v>
      </c>
      <c r="H1673" s="579" t="s">
        <v>38</v>
      </c>
      <c r="I1673" s="479"/>
      <c r="J1673" s="480"/>
      <c r="K1673" s="466">
        <f>SUM(K1674:K1677)</f>
        <v>277.72260000000006</v>
      </c>
      <c r="L1673" s="480"/>
      <c r="M1673" s="466">
        <f>SUM(M1674:M1677)</f>
        <v>269.00319999999999</v>
      </c>
      <c r="N1673" s="487" t="s">
        <v>21466</v>
      </c>
      <c r="O1673" s="434" t="str">
        <f t="shared" si="1180"/>
        <v xml:space="preserve">SEM VALOR</v>
      </c>
      <c r="P1673" s="435" t="str">
        <f t="shared" si="1181"/>
        <v xml:space="preserve">SEM VALOR</v>
      </c>
      <c r="AE1673" s="460">
        <v>1192</v>
      </c>
      <c r="AF1673" s="460"/>
      <c r="AH1673">
        <f t="shared" si="1195"/>
        <v>1192</v>
      </c>
    </row>
    <row r="1674" ht="135" hidden="1">
      <c r="A1674" s="217"/>
      <c r="B1674" s="217">
        <v>1192</v>
      </c>
      <c r="C1674" s="217"/>
      <c r="D1674" s="217" t="s">
        <v>17167</v>
      </c>
      <c r="E1674" s="471" t="s">
        <v>20399</v>
      </c>
      <c r="F1674" s="489">
        <v>102281</v>
      </c>
      <c r="G1674" s="470" t="s">
        <v>21471</v>
      </c>
      <c r="H1674" s="482" t="s">
        <v>15528</v>
      </c>
      <c r="I1674" s="483">
        <v>4.3799999999999999</v>
      </c>
      <c r="J1674" s="473">
        <f t="shared" si="1173"/>
        <v>5.8300000000000001</v>
      </c>
      <c r="K1674" s="474">
        <f t="shared" ref="K1674:K1677" si="1196">I1674*J1674</f>
        <v>25.535399999999999</v>
      </c>
      <c r="L1674" s="473">
        <f t="shared" si="1183"/>
        <v>5.7199999999999998</v>
      </c>
      <c r="M1674" s="474">
        <f t="shared" ref="M1674:M1677" si="1197">L1674*I1674</f>
        <v>25.053599999999999</v>
      </c>
      <c r="O1674" s="434">
        <f t="shared" si="1180"/>
        <v>5.8300000000000001</v>
      </c>
      <c r="P1674" s="435">
        <f t="shared" si="1181"/>
        <v>5.7199999999999998</v>
      </c>
      <c r="AE1674" s="217"/>
      <c r="AF1674" s="217">
        <v>1192</v>
      </c>
      <c r="AH1674">
        <f t="shared" si="1195"/>
        <v>1192</v>
      </c>
    </row>
    <row r="1675" ht="120" hidden="1">
      <c r="A1675" s="217"/>
      <c r="B1675" s="217">
        <v>1192</v>
      </c>
      <c r="C1675" s="217"/>
      <c r="D1675" s="217" t="s">
        <v>17167</v>
      </c>
      <c r="E1675" s="471" t="s">
        <v>20402</v>
      </c>
      <c r="F1675" s="489">
        <v>93369</v>
      </c>
      <c r="G1675" s="470" t="s">
        <v>21472</v>
      </c>
      <c r="H1675" s="482" t="s">
        <v>15528</v>
      </c>
      <c r="I1675" s="483">
        <v>5.9199999999999999</v>
      </c>
      <c r="J1675" s="473">
        <f t="shared" si="1173"/>
        <v>17.460000000000001</v>
      </c>
      <c r="K1675" s="474">
        <f t="shared" si="1196"/>
        <v>103.36320000000001</v>
      </c>
      <c r="L1675" s="473">
        <f t="shared" si="1183"/>
        <v>17.030000000000001</v>
      </c>
      <c r="M1675" s="474">
        <f t="shared" si="1197"/>
        <v>100.8176</v>
      </c>
      <c r="O1675" s="434">
        <f t="shared" si="1180"/>
        <v>17.460000000000001</v>
      </c>
      <c r="P1675" s="435">
        <f t="shared" si="1181"/>
        <v>17.030000000000001</v>
      </c>
      <c r="AE1675" s="217"/>
      <c r="AF1675" s="217">
        <v>1192</v>
      </c>
      <c r="AH1675">
        <f t="shared" si="1195"/>
        <v>1192</v>
      </c>
    </row>
    <row r="1676" ht="120" hidden="1">
      <c r="A1676" s="217"/>
      <c r="B1676" s="217">
        <v>1192</v>
      </c>
      <c r="C1676" s="217"/>
      <c r="D1676" s="217" t="s">
        <v>17167</v>
      </c>
      <c r="E1676" s="471" t="s">
        <v>20405</v>
      </c>
      <c r="F1676" s="489">
        <v>5680</v>
      </c>
      <c r="G1676" s="470" t="s">
        <v>1871</v>
      </c>
      <c r="H1676" s="482" t="s">
        <v>1535</v>
      </c>
      <c r="I1676" s="483">
        <v>0.40000000000000002</v>
      </c>
      <c r="J1676" s="473">
        <f t="shared" si="1173"/>
        <v>144.46000000000001</v>
      </c>
      <c r="K1676" s="474">
        <f t="shared" si="1196"/>
        <v>57.784000000000006</v>
      </c>
      <c r="L1676" s="473">
        <f t="shared" si="1183"/>
        <v>142.33000000000001</v>
      </c>
      <c r="M1676" s="474">
        <f t="shared" si="1197"/>
        <v>56.932000000000009</v>
      </c>
      <c r="O1676" s="434">
        <f t="shared" si="1180"/>
        <v>144.46000000000001</v>
      </c>
      <c r="P1676" s="435">
        <f t="shared" si="1181"/>
        <v>142.33000000000001</v>
      </c>
      <c r="AE1676" s="217"/>
      <c r="AF1676" s="217">
        <v>1192</v>
      </c>
      <c r="AH1676">
        <f t="shared" si="1195"/>
        <v>1192</v>
      </c>
    </row>
    <row r="1677" ht="30" hidden="1">
      <c r="A1677" s="217"/>
      <c r="B1677" s="217">
        <v>1192</v>
      </c>
      <c r="C1677" s="217"/>
      <c r="D1677" s="217" t="s">
        <v>17167</v>
      </c>
      <c r="E1677" s="471" t="s">
        <v>20409</v>
      </c>
      <c r="F1677" s="489">
        <v>88316</v>
      </c>
      <c r="G1677" s="470" t="s">
        <v>7393</v>
      </c>
      <c r="H1677" s="482" t="s">
        <v>2032</v>
      </c>
      <c r="I1677" s="483">
        <v>4</v>
      </c>
      <c r="J1677" s="473">
        <f t="shared" si="1173"/>
        <v>22.760000000000002</v>
      </c>
      <c r="K1677" s="474">
        <f t="shared" si="1196"/>
        <v>91.040000000000006</v>
      </c>
      <c r="L1677" s="473">
        <f t="shared" si="1183"/>
        <v>21.550000000000001</v>
      </c>
      <c r="M1677" s="474">
        <f t="shared" si="1197"/>
        <v>86.200000000000003</v>
      </c>
      <c r="O1677" s="434">
        <f t="shared" si="1180"/>
        <v>22.760000000000002</v>
      </c>
      <c r="P1677" s="435">
        <f t="shared" si="1181"/>
        <v>21.550000000000001</v>
      </c>
      <c r="AE1677" s="217"/>
      <c r="AF1677" s="217">
        <v>1192</v>
      </c>
      <c r="AH1677">
        <f t="shared" si="1195"/>
        <v>1192</v>
      </c>
    </row>
    <row r="1678" ht="48" hidden="1" customHeight="1">
      <c r="A1678" s="460">
        <v>1193</v>
      </c>
      <c r="B1678" s="460">
        <v>1193</v>
      </c>
      <c r="C1678" s="460"/>
      <c r="D1678" s="460"/>
      <c r="E1678" s="461">
        <v>1</v>
      </c>
      <c r="F1678" s="462" t="s">
        <v>21477</v>
      </c>
      <c r="G1678" s="477" t="s">
        <v>21478</v>
      </c>
      <c r="H1678" s="579" t="s">
        <v>38</v>
      </c>
      <c r="I1678" s="479"/>
      <c r="J1678" s="480"/>
      <c r="K1678" s="466">
        <f>SUM(K1679:K1682)</f>
        <v>320.33580000000001</v>
      </c>
      <c r="L1678" s="480"/>
      <c r="M1678" s="466">
        <f>SUM(M1679:M1682)</f>
        <v>310.60320000000002</v>
      </c>
      <c r="N1678" s="487" t="s">
        <v>21466</v>
      </c>
      <c r="O1678" s="434" t="str">
        <f t="shared" si="1180"/>
        <v xml:space="preserve">SEM VALOR</v>
      </c>
      <c r="P1678" s="435" t="str">
        <f t="shared" si="1181"/>
        <v xml:space="preserve">SEM VALOR</v>
      </c>
      <c r="AE1678" s="460">
        <v>1193</v>
      </c>
      <c r="AF1678" s="460"/>
      <c r="AH1678">
        <f t="shared" si="1195"/>
        <v>1193</v>
      </c>
    </row>
    <row r="1679" ht="135" hidden="1">
      <c r="A1679" s="217"/>
      <c r="B1679" s="217">
        <v>1193</v>
      </c>
      <c r="C1679" s="217"/>
      <c r="D1679" s="217" t="s">
        <v>17167</v>
      </c>
      <c r="E1679" s="471" t="s">
        <v>20399</v>
      </c>
      <c r="F1679" s="489">
        <v>102281</v>
      </c>
      <c r="G1679" s="470" t="s">
        <v>21471</v>
      </c>
      <c r="H1679" s="482" t="s">
        <v>15528</v>
      </c>
      <c r="I1679" s="483">
        <v>5.46</v>
      </c>
      <c r="J1679" s="473">
        <f t="shared" si="1173"/>
        <v>5.8300000000000001</v>
      </c>
      <c r="K1679" s="474">
        <f t="shared" ref="K1679:K1682" si="1198">I1679*J1679</f>
        <v>31.831800000000001</v>
      </c>
      <c r="L1679" s="473">
        <f t="shared" si="1183"/>
        <v>5.7199999999999998</v>
      </c>
      <c r="M1679" s="474">
        <f t="shared" ref="M1679:M1682" si="1199">L1679*I1679</f>
        <v>31.231199999999998</v>
      </c>
      <c r="O1679" s="434">
        <f t="shared" si="1180"/>
        <v>5.8300000000000001</v>
      </c>
      <c r="P1679" s="435">
        <f t="shared" si="1181"/>
        <v>5.7199999999999998</v>
      </c>
      <c r="AE1679" s="217"/>
      <c r="AF1679" s="217">
        <v>1193</v>
      </c>
      <c r="AH1679">
        <f t="shared" si="1195"/>
        <v>1193</v>
      </c>
    </row>
    <row r="1680" ht="120" hidden="1">
      <c r="A1680" s="217"/>
      <c r="B1680" s="217">
        <v>1193</v>
      </c>
      <c r="C1680" s="217"/>
      <c r="D1680" s="217" t="s">
        <v>17167</v>
      </c>
      <c r="E1680" s="471" t="s">
        <v>20402</v>
      </c>
      <c r="F1680" s="489">
        <v>93369</v>
      </c>
      <c r="G1680" s="470" t="s">
        <v>21472</v>
      </c>
      <c r="H1680" s="482" t="s">
        <v>15528</v>
      </c>
      <c r="I1680" s="483">
        <v>8</v>
      </c>
      <c r="J1680" s="473">
        <f t="shared" si="1173"/>
        <v>17.460000000000001</v>
      </c>
      <c r="K1680" s="474">
        <f t="shared" si="1198"/>
        <v>139.68000000000001</v>
      </c>
      <c r="L1680" s="473">
        <f t="shared" si="1183"/>
        <v>17.030000000000001</v>
      </c>
      <c r="M1680" s="474">
        <f t="shared" si="1199"/>
        <v>136.24000000000001</v>
      </c>
      <c r="O1680" s="434">
        <f t="shared" si="1180"/>
        <v>17.460000000000001</v>
      </c>
      <c r="P1680" s="435">
        <f t="shared" si="1181"/>
        <v>17.030000000000001</v>
      </c>
      <c r="AE1680" s="217"/>
      <c r="AF1680" s="217">
        <v>1193</v>
      </c>
      <c r="AH1680">
        <f t="shared" si="1195"/>
        <v>1193</v>
      </c>
    </row>
    <row r="1681" ht="120" hidden="1">
      <c r="A1681" s="217"/>
      <c r="B1681" s="217">
        <v>1193</v>
      </c>
      <c r="C1681" s="217"/>
      <c r="D1681" s="217" t="s">
        <v>17167</v>
      </c>
      <c r="E1681" s="471" t="s">
        <v>20405</v>
      </c>
      <c r="F1681" s="489">
        <v>5680</v>
      </c>
      <c r="G1681" s="470" t="s">
        <v>1871</v>
      </c>
      <c r="H1681" s="482" t="s">
        <v>1535</v>
      </c>
      <c r="I1681" s="483">
        <v>0.40000000000000002</v>
      </c>
      <c r="J1681" s="473">
        <f t="shared" si="1173"/>
        <v>144.46000000000001</v>
      </c>
      <c r="K1681" s="474">
        <f t="shared" si="1198"/>
        <v>57.784000000000006</v>
      </c>
      <c r="L1681" s="473">
        <f t="shared" si="1183"/>
        <v>142.33000000000001</v>
      </c>
      <c r="M1681" s="474">
        <f t="shared" si="1199"/>
        <v>56.932000000000009</v>
      </c>
      <c r="O1681" s="434">
        <f t="shared" si="1180"/>
        <v>144.46000000000001</v>
      </c>
      <c r="P1681" s="435">
        <f t="shared" si="1181"/>
        <v>142.33000000000001</v>
      </c>
      <c r="AE1681" s="217"/>
      <c r="AF1681" s="217">
        <v>1193</v>
      </c>
      <c r="AH1681">
        <f t="shared" si="1195"/>
        <v>1193</v>
      </c>
    </row>
    <row r="1682" ht="30" hidden="1">
      <c r="A1682" s="217"/>
      <c r="B1682" s="217">
        <v>1193</v>
      </c>
      <c r="C1682" s="217"/>
      <c r="D1682" s="217" t="s">
        <v>17167</v>
      </c>
      <c r="E1682" s="471" t="s">
        <v>20409</v>
      </c>
      <c r="F1682" s="489">
        <v>88316</v>
      </c>
      <c r="G1682" s="470" t="s">
        <v>7393</v>
      </c>
      <c r="H1682" s="482" t="s">
        <v>2032</v>
      </c>
      <c r="I1682" s="483">
        <v>4</v>
      </c>
      <c r="J1682" s="473">
        <f t="shared" si="1173"/>
        <v>22.760000000000002</v>
      </c>
      <c r="K1682" s="474">
        <f t="shared" si="1198"/>
        <v>91.040000000000006</v>
      </c>
      <c r="L1682" s="473">
        <f t="shared" si="1183"/>
        <v>21.550000000000001</v>
      </c>
      <c r="M1682" s="474">
        <f t="shared" si="1199"/>
        <v>86.200000000000003</v>
      </c>
      <c r="O1682" s="434">
        <f t="shared" si="1180"/>
        <v>22.760000000000002</v>
      </c>
      <c r="P1682" s="435">
        <f t="shared" si="1181"/>
        <v>21.550000000000001</v>
      </c>
      <c r="AE1682" s="217"/>
      <c r="AF1682" s="217">
        <v>1193</v>
      </c>
      <c r="AH1682">
        <f t="shared" si="1195"/>
        <v>1193</v>
      </c>
    </row>
    <row r="1683" ht="78.75" hidden="1">
      <c r="A1683" s="460">
        <v>1194</v>
      </c>
      <c r="B1683" s="460">
        <v>1194</v>
      </c>
      <c r="C1683" s="460"/>
      <c r="D1683" s="460"/>
      <c r="E1683" s="461">
        <v>1</v>
      </c>
      <c r="F1683" s="462" t="s">
        <v>21479</v>
      </c>
      <c r="G1683" s="477" t="s">
        <v>21480</v>
      </c>
      <c r="H1683" s="579" t="s">
        <v>38</v>
      </c>
      <c r="I1683" s="479"/>
      <c r="J1683" s="480"/>
      <c r="K1683" s="466">
        <f>SUM(K1684:K1686)</f>
        <v>25.167122000000003</v>
      </c>
      <c r="L1683" s="480"/>
      <c r="M1683" s="466">
        <f>SUM(M1684:M1686)</f>
        <v>23.793554000000004</v>
      </c>
      <c r="O1683" s="434" t="str">
        <f t="shared" si="1180"/>
        <v xml:space="preserve">SEM VALOR</v>
      </c>
      <c r="P1683" s="435" t="str">
        <f t="shared" si="1181"/>
        <v xml:space="preserve">SEM VALOR</v>
      </c>
      <c r="AE1683" s="460">
        <v>1194</v>
      </c>
      <c r="AF1683" s="460"/>
      <c r="AH1683">
        <f t="shared" si="1195"/>
        <v>1194</v>
      </c>
    </row>
    <row r="1684" ht="30" hidden="1">
      <c r="A1684" s="217"/>
      <c r="B1684" s="217">
        <v>1194</v>
      </c>
      <c r="C1684" s="217"/>
      <c r="D1684" s="217" t="s">
        <v>17167</v>
      </c>
      <c r="E1684" s="471" t="s">
        <v>20399</v>
      </c>
      <c r="F1684" s="482">
        <v>88309</v>
      </c>
      <c r="G1684" s="470" t="s">
        <v>7385</v>
      </c>
      <c r="H1684" s="482" t="s">
        <v>2032</v>
      </c>
      <c r="I1684" s="578">
        <v>0.2762</v>
      </c>
      <c r="J1684" s="473">
        <f t="shared" si="1173"/>
        <v>28.5</v>
      </c>
      <c r="K1684" s="474">
        <f t="shared" ref="K1684:K1686" si="1200">I1684*J1684</f>
        <v>7.8716999999999997</v>
      </c>
      <c r="L1684" s="473">
        <f t="shared" si="1183"/>
        <v>26.870000000000001</v>
      </c>
      <c r="M1684" s="474">
        <f t="shared" ref="M1684:M1686" si="1201">L1684*I1684</f>
        <v>7.421494</v>
      </c>
      <c r="O1684" s="434">
        <f t="shared" si="1180"/>
        <v>28.5</v>
      </c>
      <c r="P1684" s="435">
        <f t="shared" si="1181"/>
        <v>26.870000000000001</v>
      </c>
      <c r="AE1684" s="217"/>
      <c r="AF1684" s="217">
        <v>1194</v>
      </c>
      <c r="AH1684">
        <f t="shared" si="1195"/>
        <v>1194</v>
      </c>
    </row>
    <row r="1685" ht="30" hidden="1">
      <c r="A1685" s="217"/>
      <c r="B1685" s="217">
        <v>1194</v>
      </c>
      <c r="C1685" s="217"/>
      <c r="D1685" s="217" t="s">
        <v>17167</v>
      </c>
      <c r="E1685" s="471" t="s">
        <v>20402</v>
      </c>
      <c r="F1685" s="482">
        <v>88316</v>
      </c>
      <c r="G1685" s="470" t="s">
        <v>7393</v>
      </c>
      <c r="H1685" s="482" t="s">
        <v>2032</v>
      </c>
      <c r="I1685" s="578">
        <v>0.54220000000000002</v>
      </c>
      <c r="J1685" s="473">
        <f t="shared" si="1173"/>
        <v>22.760000000000002</v>
      </c>
      <c r="K1685" s="474">
        <f t="shared" si="1200"/>
        <v>12.340472000000002</v>
      </c>
      <c r="L1685" s="473">
        <f t="shared" si="1183"/>
        <v>21.550000000000001</v>
      </c>
      <c r="M1685" s="474">
        <f t="shared" si="1201"/>
        <v>11.684410000000002</v>
      </c>
      <c r="O1685" s="434">
        <f t="shared" si="1180"/>
        <v>22.760000000000002</v>
      </c>
      <c r="P1685" s="435">
        <f t="shared" si="1181"/>
        <v>21.550000000000001</v>
      </c>
      <c r="AE1685" s="217"/>
      <c r="AF1685" s="217">
        <v>1194</v>
      </c>
      <c r="AH1685">
        <f t="shared" si="1195"/>
        <v>1194</v>
      </c>
    </row>
    <row r="1686" ht="45" hidden="1">
      <c r="A1686" s="217"/>
      <c r="B1686" s="217">
        <v>1194</v>
      </c>
      <c r="C1686" s="217"/>
      <c r="D1686" s="217" t="s">
        <v>17167</v>
      </c>
      <c r="E1686" s="471" t="s">
        <v>20405</v>
      </c>
      <c r="F1686" s="482">
        <v>97622</v>
      </c>
      <c r="G1686" s="470" t="s">
        <v>21481</v>
      </c>
      <c r="H1686" s="482" t="s">
        <v>15528</v>
      </c>
      <c r="I1686" s="578">
        <v>8.2500000000000004e-002</v>
      </c>
      <c r="J1686" s="473">
        <f t="shared" si="1173"/>
        <v>60.060000000000002</v>
      </c>
      <c r="K1686" s="474">
        <f t="shared" si="1200"/>
        <v>4.9549500000000002</v>
      </c>
      <c r="L1686" s="473">
        <f t="shared" si="1183"/>
        <v>56.82</v>
      </c>
      <c r="M1686" s="474">
        <f t="shared" si="1201"/>
        <v>4.6876500000000005</v>
      </c>
      <c r="O1686" s="434">
        <f t="shared" si="1180"/>
        <v>60.060000000000002</v>
      </c>
      <c r="P1686" s="435">
        <f t="shared" si="1181"/>
        <v>56.82</v>
      </c>
      <c r="AE1686" s="217"/>
      <c r="AF1686" s="217">
        <v>1194</v>
      </c>
      <c r="AH1686">
        <f t="shared" si="1195"/>
        <v>1194</v>
      </c>
    </row>
    <row r="1687" ht="31.5" hidden="1">
      <c r="A1687" s="460">
        <v>1195</v>
      </c>
      <c r="B1687" s="460">
        <v>1195</v>
      </c>
      <c r="C1687" s="460"/>
      <c r="D1687" s="460"/>
      <c r="E1687" s="461">
        <v>1</v>
      </c>
      <c r="F1687" s="462" t="s">
        <v>21482</v>
      </c>
      <c r="G1687" s="477" t="s">
        <v>21483</v>
      </c>
      <c r="H1687" s="579" t="s">
        <v>15515</v>
      </c>
      <c r="I1687" s="479"/>
      <c r="J1687" s="480"/>
      <c r="K1687" s="466">
        <f>SUM(K1688:K1689)</f>
        <v>216.28</v>
      </c>
      <c r="L1687" s="480"/>
      <c r="M1687" s="466">
        <f>SUM(M1688:M1689)</f>
        <v>204.64400000000001</v>
      </c>
      <c r="N1687" s="467" t="s">
        <v>21484</v>
      </c>
      <c r="O1687" s="434" t="str">
        <f t="shared" si="1180"/>
        <v xml:space="preserve">SEM VALOR</v>
      </c>
      <c r="P1687" s="435" t="str">
        <f t="shared" si="1181"/>
        <v xml:space="preserve">SEM VALOR</v>
      </c>
      <c r="AE1687" s="460">
        <v>1195</v>
      </c>
      <c r="AF1687" s="460"/>
      <c r="AH1687">
        <f t="shared" si="1195"/>
        <v>1195</v>
      </c>
    </row>
    <row r="1688" ht="30" hidden="1">
      <c r="A1688" s="217"/>
      <c r="B1688" s="217">
        <v>1195</v>
      </c>
      <c r="C1688" s="217"/>
      <c r="D1688" s="217" t="s">
        <v>17167</v>
      </c>
      <c r="E1688" s="471" t="s">
        <v>20399</v>
      </c>
      <c r="F1688" s="482">
        <v>88309</v>
      </c>
      <c r="G1688" s="470" t="s">
        <v>7385</v>
      </c>
      <c r="H1688" s="482" t="s">
        <v>2032</v>
      </c>
      <c r="I1688" s="578">
        <v>1.2</v>
      </c>
      <c r="J1688" s="473">
        <f t="shared" si="1173"/>
        <v>28.5</v>
      </c>
      <c r="K1688" s="474">
        <f t="shared" ref="K1688:K1689" si="1202">I1688*J1688</f>
        <v>34.199999999999996</v>
      </c>
      <c r="L1688" s="473">
        <f t="shared" si="1183"/>
        <v>26.870000000000001</v>
      </c>
      <c r="M1688" s="474">
        <f t="shared" ref="M1688:M1689" si="1203">L1688*I1688</f>
        <v>32.244</v>
      </c>
      <c r="O1688" s="434">
        <f t="shared" si="1180"/>
        <v>28.5</v>
      </c>
      <c r="P1688" s="435">
        <f t="shared" si="1181"/>
        <v>26.870000000000001</v>
      </c>
      <c r="AE1688" s="217"/>
      <c r="AF1688" s="217">
        <v>1195</v>
      </c>
      <c r="AH1688">
        <f t="shared" si="1195"/>
        <v>1195</v>
      </c>
    </row>
    <row r="1689" ht="30" hidden="1">
      <c r="A1689" s="217"/>
      <c r="B1689" s="217">
        <v>1195</v>
      </c>
      <c r="C1689" s="217"/>
      <c r="D1689" s="217" t="s">
        <v>17167</v>
      </c>
      <c r="E1689" s="471" t="s">
        <v>20402</v>
      </c>
      <c r="F1689" s="482">
        <v>88316</v>
      </c>
      <c r="G1689" s="470" t="s">
        <v>7393</v>
      </c>
      <c r="H1689" s="482" t="s">
        <v>2032</v>
      </c>
      <c r="I1689" s="578">
        <v>8</v>
      </c>
      <c r="J1689" s="473">
        <f t="shared" si="1173"/>
        <v>22.760000000000002</v>
      </c>
      <c r="K1689" s="474">
        <f t="shared" si="1202"/>
        <v>182.08000000000001</v>
      </c>
      <c r="L1689" s="473">
        <f t="shared" si="1183"/>
        <v>21.550000000000001</v>
      </c>
      <c r="M1689" s="474">
        <f t="shared" si="1203"/>
        <v>172.40000000000001</v>
      </c>
      <c r="O1689" s="434">
        <f t="shared" si="1180"/>
        <v>22.760000000000002</v>
      </c>
      <c r="P1689" s="435">
        <f t="shared" si="1181"/>
        <v>21.550000000000001</v>
      </c>
      <c r="AE1689" s="217"/>
      <c r="AF1689" s="217">
        <v>1195</v>
      </c>
      <c r="AH1689">
        <f t="shared" si="1195"/>
        <v>1195</v>
      </c>
    </row>
    <row r="1690" ht="47.25" hidden="1">
      <c r="A1690" s="460">
        <v>1196</v>
      </c>
      <c r="B1690" s="460">
        <v>1196</v>
      </c>
      <c r="C1690" s="460"/>
      <c r="D1690" s="460"/>
      <c r="E1690" s="461">
        <v>1</v>
      </c>
      <c r="F1690" s="462" t="s">
        <v>21485</v>
      </c>
      <c r="G1690" s="477" t="s">
        <v>21486</v>
      </c>
      <c r="H1690" s="478" t="s">
        <v>15528</v>
      </c>
      <c r="I1690" s="479"/>
      <c r="J1690" s="480"/>
      <c r="K1690" s="581">
        <f>SUM(K1691:K1695)</f>
        <v>312.69155270299996</v>
      </c>
      <c r="L1690" s="582"/>
      <c r="M1690" s="466">
        <f>SUM(M1691:M1695)</f>
        <v>307.74670480999998</v>
      </c>
      <c r="N1690" s="467" t="s">
        <v>21487</v>
      </c>
      <c r="O1690" s="434" t="str">
        <f t="shared" si="1180"/>
        <v xml:space="preserve">SEM VALOR</v>
      </c>
      <c r="P1690" s="435" t="str">
        <f t="shared" si="1181"/>
        <v xml:space="preserve">SEM VALOR</v>
      </c>
      <c r="AE1690" s="460">
        <v>1196</v>
      </c>
      <c r="AF1690" s="460">
        <v>1196</v>
      </c>
      <c r="AH1690">
        <f t="shared" si="1195"/>
        <v>1196</v>
      </c>
    </row>
    <row r="1691" ht="75" hidden="1">
      <c r="A1691" s="217"/>
      <c r="B1691" s="217">
        <v>1196</v>
      </c>
      <c r="C1691" s="217"/>
      <c r="D1691" s="217" t="s">
        <v>17167</v>
      </c>
      <c r="E1691" s="471" t="s">
        <v>20399</v>
      </c>
      <c r="F1691" s="469">
        <v>90964</v>
      </c>
      <c r="G1691" s="470" t="s">
        <v>1639</v>
      </c>
      <c r="H1691" s="482" t="s">
        <v>1535</v>
      </c>
      <c r="I1691" s="483">
        <f t="shared" ref="I1691:I1692" si="1204">1/0.46704</f>
        <v>2.1411441999999998</v>
      </c>
      <c r="J1691" s="473">
        <f t="shared" si="1173"/>
        <v>34.659999999999997</v>
      </c>
      <c r="K1691" s="583">
        <f t="shared" ref="K1691:K1695" si="1205">I1691*J1691</f>
        <v>74.212057971999982</v>
      </c>
      <c r="L1691" s="475">
        <f t="shared" si="1183"/>
        <v>34.659999999999997</v>
      </c>
      <c r="M1691" s="474">
        <f t="shared" ref="M1691:M1695" si="1206">L1691*I1691</f>
        <v>74.212057971999982</v>
      </c>
      <c r="N1691" s="576" t="s">
        <v>21488</v>
      </c>
      <c r="O1691" s="434">
        <f t="shared" si="1180"/>
        <v>34.659999999999997</v>
      </c>
      <c r="P1691" s="435">
        <f t="shared" si="1181"/>
        <v>34.659999999999997</v>
      </c>
      <c r="AE1691" s="217"/>
      <c r="AF1691" s="217">
        <v>1196</v>
      </c>
      <c r="AH1691">
        <f t="shared" si="1195"/>
        <v>1196</v>
      </c>
    </row>
    <row r="1692" ht="60" hidden="1">
      <c r="A1692" s="217"/>
      <c r="B1692" s="217">
        <v>1196</v>
      </c>
      <c r="C1692" s="217"/>
      <c r="D1692" s="217" t="s">
        <v>17167</v>
      </c>
      <c r="E1692" s="471" t="s">
        <v>20402</v>
      </c>
      <c r="F1692" s="469">
        <v>5795</v>
      </c>
      <c r="G1692" s="488" t="s">
        <v>1755</v>
      </c>
      <c r="H1692" s="482" t="s">
        <v>1535</v>
      </c>
      <c r="I1692" s="483">
        <f t="shared" si="1204"/>
        <v>2.1411441999999998</v>
      </c>
      <c r="J1692" s="473">
        <f t="shared" si="1173"/>
        <v>28.030000000000001</v>
      </c>
      <c r="K1692" s="583">
        <f t="shared" si="1205"/>
        <v>60.016271925999995</v>
      </c>
      <c r="L1692" s="475">
        <f t="shared" si="1183"/>
        <v>26.440000000000001</v>
      </c>
      <c r="M1692" s="474">
        <f t="shared" si="1206"/>
        <v>56.611852647999996</v>
      </c>
      <c r="N1692" s="467"/>
      <c r="O1692" s="434">
        <f t="shared" si="1180"/>
        <v>28.030000000000001</v>
      </c>
      <c r="P1692" s="435">
        <f t="shared" si="1181"/>
        <v>26.440000000000001</v>
      </c>
      <c r="AE1692" s="217"/>
      <c r="AF1692" s="217">
        <v>1196</v>
      </c>
      <c r="AH1692">
        <f t="shared" si="1195"/>
        <v>1196</v>
      </c>
    </row>
    <row r="1693" ht="30" hidden="1">
      <c r="A1693" s="217"/>
      <c r="B1693" s="217">
        <v>1196</v>
      </c>
      <c r="C1693" s="217"/>
      <c r="D1693" s="217" t="s">
        <v>20644</v>
      </c>
      <c r="E1693" s="471" t="s">
        <v>20405</v>
      </c>
      <c r="F1693" s="471" t="s">
        <v>15441</v>
      </c>
      <c r="G1693" s="470" t="s">
        <v>21489</v>
      </c>
      <c r="H1693" s="482" t="s">
        <v>1535</v>
      </c>
      <c r="I1693" s="483">
        <f t="shared" ref="I1693:I1694" si="1207">0.59458/0.46704</f>
        <v>1.2730815</v>
      </c>
      <c r="J1693" s="473">
        <f t="shared" si="1173"/>
        <v>0.70999999999999996</v>
      </c>
      <c r="K1693" s="583">
        <f t="shared" si="1205"/>
        <v>0.90388786499999996</v>
      </c>
      <c r="L1693" s="475">
        <f t="shared" si="1183"/>
        <v>0.70999999999999996</v>
      </c>
      <c r="M1693" s="474">
        <f t="shared" si="1206"/>
        <v>0.90388786499999996</v>
      </c>
      <c r="N1693" s="467"/>
      <c r="O1693" s="434">
        <f t="shared" si="1180"/>
        <v>0.70999999999999996</v>
      </c>
      <c r="P1693" s="435">
        <f t="shared" si="1181"/>
        <v>0.70999999999999996</v>
      </c>
      <c r="AE1693" s="217"/>
      <c r="AF1693" s="217">
        <v>1196</v>
      </c>
      <c r="AH1693">
        <f t="shared" si="1195"/>
        <v>1196</v>
      </c>
    </row>
    <row r="1694" ht="30" hidden="1">
      <c r="A1694" s="217"/>
      <c r="B1694" s="217">
        <v>1196</v>
      </c>
      <c r="C1694" s="217"/>
      <c r="D1694" s="217" t="s">
        <v>17167</v>
      </c>
      <c r="E1694" s="471" t="s">
        <v>20409</v>
      </c>
      <c r="F1694" s="486">
        <v>88316</v>
      </c>
      <c r="G1694" s="470" t="s">
        <v>7393</v>
      </c>
      <c r="H1694" s="482" t="s">
        <v>2032</v>
      </c>
      <c r="I1694" s="483">
        <f t="shared" si="1207"/>
        <v>1.2730815</v>
      </c>
      <c r="J1694" s="473">
        <f t="shared" ref="J1694:J1757" si="1208">O1694*$J$3</f>
        <v>22.760000000000002</v>
      </c>
      <c r="K1694" s="583">
        <f t="shared" si="1205"/>
        <v>28.97533494</v>
      </c>
      <c r="L1694" s="475">
        <f t="shared" si="1183"/>
        <v>21.550000000000001</v>
      </c>
      <c r="M1694" s="474">
        <f t="shared" si="1206"/>
        <v>27.434906325</v>
      </c>
      <c r="N1694" s="467"/>
      <c r="O1694" s="434">
        <f t="shared" si="1180"/>
        <v>22.760000000000002</v>
      </c>
      <c r="P1694" s="435">
        <f t="shared" si="1181"/>
        <v>21.550000000000001</v>
      </c>
      <c r="AE1694" s="217"/>
      <c r="AF1694" s="217">
        <v>1196</v>
      </c>
      <c r="AH1694">
        <f t="shared" si="1195"/>
        <v>1196</v>
      </c>
    </row>
    <row r="1695" ht="30" hidden="1">
      <c r="A1695" s="217"/>
      <c r="B1695" s="217">
        <v>1196</v>
      </c>
      <c r="C1695" s="217"/>
      <c r="D1695" s="217" t="s">
        <v>20644</v>
      </c>
      <c r="E1695" s="471" t="s">
        <v>20663</v>
      </c>
      <c r="F1695" s="486" t="s">
        <v>15444</v>
      </c>
      <c r="G1695" s="470" t="s">
        <v>21490</v>
      </c>
      <c r="H1695" s="482" t="s">
        <v>31</v>
      </c>
      <c r="I1695" s="483">
        <v>0.29999999999999999</v>
      </c>
      <c r="J1695" s="473">
        <f t="shared" si="1208"/>
        <v>495.27999999999997</v>
      </c>
      <c r="K1695" s="583">
        <f t="shared" si="1205"/>
        <v>148.58399999999997</v>
      </c>
      <c r="L1695" s="475">
        <f t="shared" si="1183"/>
        <v>495.27999999999997</v>
      </c>
      <c r="M1695" s="474">
        <f t="shared" si="1206"/>
        <v>148.58399999999997</v>
      </c>
      <c r="N1695" s="467"/>
      <c r="O1695" s="434">
        <f t="shared" si="1180"/>
        <v>495.27999999999997</v>
      </c>
      <c r="P1695" s="435">
        <f t="shared" si="1181"/>
        <v>495.27999999999997</v>
      </c>
      <c r="AE1695" s="217"/>
      <c r="AF1695" s="217">
        <v>1196</v>
      </c>
      <c r="AH1695">
        <f t="shared" si="1195"/>
        <v>1196</v>
      </c>
    </row>
    <row r="1696" ht="45.75" hidden="1">
      <c r="A1696" s="217"/>
      <c r="B1696" s="217">
        <v>1196</v>
      </c>
      <c r="C1696" s="217"/>
      <c r="D1696" s="217"/>
      <c r="E1696" s="471"/>
      <c r="F1696" s="486"/>
      <c r="G1696" s="470" t="s">
        <v>21491</v>
      </c>
      <c r="H1696" s="482"/>
      <c r="I1696" s="578"/>
      <c r="J1696" s="577"/>
      <c r="K1696" s="583"/>
      <c r="L1696" s="584"/>
      <c r="M1696" s="474"/>
      <c r="N1696" s="467"/>
      <c r="O1696" s="434" t="str">
        <f t="shared" si="1180"/>
        <v xml:space="preserve">SEM VALOR</v>
      </c>
      <c r="P1696" s="435" t="str">
        <f t="shared" si="1181"/>
        <v xml:space="preserve">SEM VALOR</v>
      </c>
      <c r="AE1696" s="217"/>
      <c r="AF1696" s="217">
        <v>1196</v>
      </c>
      <c r="AH1696">
        <f t="shared" si="1195"/>
        <v>1196</v>
      </c>
    </row>
    <row r="1697" hidden="1">
      <c r="A1697" s="217"/>
      <c r="B1697" s="217">
        <v>1196</v>
      </c>
      <c r="C1697" s="217"/>
      <c r="D1697" s="217"/>
      <c r="E1697" s="471"/>
      <c r="F1697" s="486"/>
      <c r="G1697" s="470" t="s">
        <v>21492</v>
      </c>
      <c r="H1697" s="482"/>
      <c r="I1697" s="483"/>
      <c r="J1697" s="577"/>
      <c r="K1697" s="583"/>
      <c r="L1697" s="584"/>
      <c r="M1697" s="474"/>
      <c r="N1697" s="467"/>
      <c r="O1697" s="434" t="str">
        <f t="shared" si="1180"/>
        <v xml:space="preserve">SEM VALOR</v>
      </c>
      <c r="P1697" s="435" t="str">
        <f t="shared" si="1181"/>
        <v xml:space="preserve">SEM VALOR</v>
      </c>
      <c r="AE1697" s="217"/>
      <c r="AF1697" s="217">
        <v>1196</v>
      </c>
      <c r="AH1697">
        <f t="shared" si="1195"/>
        <v>1196</v>
      </c>
    </row>
    <row r="1698" ht="31.5" hidden="1">
      <c r="A1698" s="460">
        <v>1197</v>
      </c>
      <c r="B1698" s="460">
        <v>1197</v>
      </c>
      <c r="C1698" s="460"/>
      <c r="D1698" s="460"/>
      <c r="E1698" s="461">
        <v>1</v>
      </c>
      <c r="F1698" s="462" t="s">
        <v>21493</v>
      </c>
      <c r="G1698" s="477" t="s">
        <v>21494</v>
      </c>
      <c r="H1698" s="579" t="s">
        <v>15528</v>
      </c>
      <c r="I1698" s="479"/>
      <c r="J1698" s="480"/>
      <c r="K1698" s="466">
        <f>SUM(K1699)</f>
        <v>525.287134896</v>
      </c>
      <c r="L1698" s="480"/>
      <c r="M1698" s="466">
        <f>SUM(M1699)</f>
        <v>497.36106137999997</v>
      </c>
      <c r="N1698" s="467" t="s">
        <v>21495</v>
      </c>
      <c r="O1698" s="434" t="str">
        <f t="shared" si="1180"/>
        <v xml:space="preserve">SEM VALOR</v>
      </c>
      <c r="P1698" s="435" t="str">
        <f t="shared" si="1181"/>
        <v xml:space="preserve">SEM VALOR</v>
      </c>
      <c r="AE1698" s="460">
        <v>1197</v>
      </c>
      <c r="AF1698" s="460"/>
      <c r="AH1698">
        <f t="shared" si="1195"/>
        <v>1197</v>
      </c>
    </row>
    <row r="1699" ht="30" hidden="1">
      <c r="A1699" s="217"/>
      <c r="B1699" s="217">
        <v>1197</v>
      </c>
      <c r="C1699" s="217"/>
      <c r="D1699" s="217" t="s">
        <v>17167</v>
      </c>
      <c r="E1699" s="471" t="s">
        <v>20399</v>
      </c>
      <c r="F1699" s="482">
        <v>88316</v>
      </c>
      <c r="G1699" s="470" t="s">
        <v>7393</v>
      </c>
      <c r="H1699" s="482" t="s">
        <v>2032</v>
      </c>
      <c r="I1699" s="483">
        <f>1.06096/0.04597</f>
        <v>23.079399599999999</v>
      </c>
      <c r="J1699" s="473">
        <f t="shared" si="1208"/>
        <v>22.760000000000002</v>
      </c>
      <c r="K1699" s="474">
        <f>I1699*J1699</f>
        <v>525.287134896</v>
      </c>
      <c r="L1699" s="473">
        <f t="shared" si="1183"/>
        <v>21.550000000000001</v>
      </c>
      <c r="M1699" s="474">
        <f>L1699*I1699</f>
        <v>497.36106137999997</v>
      </c>
      <c r="N1699" s="467" t="s">
        <v>21496</v>
      </c>
      <c r="O1699" s="434">
        <f t="shared" si="1180"/>
        <v>22.760000000000002</v>
      </c>
      <c r="P1699" s="435">
        <f t="shared" si="1181"/>
        <v>21.550000000000001</v>
      </c>
      <c r="AE1699" s="217"/>
      <c r="AF1699" s="217">
        <v>1197</v>
      </c>
      <c r="AH1699">
        <f t="shared" si="1195"/>
        <v>1197</v>
      </c>
    </row>
    <row r="1700" ht="78.75" hidden="1">
      <c r="A1700" s="460">
        <v>1198</v>
      </c>
      <c r="B1700" s="460">
        <v>1198</v>
      </c>
      <c r="C1700" s="460"/>
      <c r="D1700" s="460"/>
      <c r="E1700" s="461">
        <v>1</v>
      </c>
      <c r="F1700" s="462" t="s">
        <v>21497</v>
      </c>
      <c r="G1700" s="477" t="s">
        <v>21498</v>
      </c>
      <c r="H1700" s="478" t="s">
        <v>15528</v>
      </c>
      <c r="I1700" s="479"/>
      <c r="J1700" s="480"/>
      <c r="K1700" s="466">
        <f>SUM(K1701:K1702)</f>
        <v>43.259522869573225</v>
      </c>
      <c r="L1700" s="480"/>
      <c r="M1700" s="466">
        <f>SUM(M1701:M1702)</f>
        <v>43.259522869573225</v>
      </c>
      <c r="N1700" s="467" t="s">
        <v>21487</v>
      </c>
      <c r="O1700" s="434" t="str">
        <f t="shared" si="1180"/>
        <v xml:space="preserve">SEM VALOR</v>
      </c>
      <c r="P1700" s="435" t="str">
        <f t="shared" si="1181"/>
        <v xml:space="preserve">SEM VALOR</v>
      </c>
      <c r="AE1700" s="460">
        <v>1198</v>
      </c>
      <c r="AF1700" s="460">
        <v>1198</v>
      </c>
      <c r="AH1700">
        <f t="shared" si="1195"/>
        <v>1198</v>
      </c>
    </row>
    <row r="1701" ht="90" hidden="1">
      <c r="A1701" s="217"/>
      <c r="B1701" s="217">
        <v>1198</v>
      </c>
      <c r="C1701" s="217"/>
      <c r="D1701" s="217" t="s">
        <v>20644</v>
      </c>
      <c r="E1701" s="471" t="s">
        <v>20399</v>
      </c>
      <c r="F1701" s="469" t="s">
        <v>15446</v>
      </c>
      <c r="G1701" s="470" t="s">
        <v>2346</v>
      </c>
      <c r="H1701" s="482" t="s">
        <v>2032</v>
      </c>
      <c r="I1701" s="482">
        <v>0.12044535875854601</v>
      </c>
      <c r="J1701" s="473">
        <f t="shared" si="1208"/>
        <v>321.57999999999998</v>
      </c>
      <c r="K1701" s="474">
        <f t="shared" ref="K1701:K1702" si="1209">I1701*J1701</f>
        <v>38.732818469573225</v>
      </c>
      <c r="L1701" s="473">
        <f t="shared" si="1183"/>
        <v>321.57999999999998</v>
      </c>
      <c r="M1701" s="474">
        <f t="shared" ref="M1701:M1702" si="1210">L1701*I1701</f>
        <v>38.732818469573225</v>
      </c>
      <c r="N1701" s="576" t="s">
        <v>21488</v>
      </c>
      <c r="O1701" s="434">
        <f t="shared" si="1180"/>
        <v>321.57999999999998</v>
      </c>
      <c r="P1701" s="435">
        <f t="shared" si="1181"/>
        <v>321.57999999999998</v>
      </c>
      <c r="AE1701" s="217"/>
      <c r="AF1701" s="217">
        <v>1198</v>
      </c>
      <c r="AH1701">
        <f t="shared" si="1195"/>
        <v>1198</v>
      </c>
    </row>
    <row r="1702" ht="30" hidden="1">
      <c r="A1702" s="217"/>
      <c r="B1702" s="217">
        <v>1198</v>
      </c>
      <c r="C1702" s="217"/>
      <c r="D1702" s="217" t="s">
        <v>20644</v>
      </c>
      <c r="E1702" s="471" t="s">
        <v>20402</v>
      </c>
      <c r="F1702" s="486" t="s">
        <v>15448</v>
      </c>
      <c r="G1702" s="470" t="s">
        <v>21499</v>
      </c>
      <c r="H1702" s="482" t="s">
        <v>31</v>
      </c>
      <c r="I1702" s="483">
        <v>7.1000000000000002e-004</v>
      </c>
      <c r="J1702" s="473">
        <f t="shared" si="1208"/>
        <v>6375.6400000000003</v>
      </c>
      <c r="K1702" s="474">
        <f t="shared" si="1209"/>
        <v>4.5267044000000007</v>
      </c>
      <c r="L1702" s="473">
        <f t="shared" si="1183"/>
        <v>6375.6400000000003</v>
      </c>
      <c r="M1702" s="474">
        <f t="shared" si="1210"/>
        <v>4.5267044000000007</v>
      </c>
      <c r="N1702" s="467"/>
      <c r="O1702" s="434">
        <f t="shared" si="1180"/>
        <v>6375.6400000000003</v>
      </c>
      <c r="P1702" s="435">
        <f t="shared" si="1181"/>
        <v>6375.6400000000003</v>
      </c>
      <c r="AE1702" s="217"/>
      <c r="AF1702" s="217">
        <v>1198</v>
      </c>
      <c r="AH1702">
        <f t="shared" si="1195"/>
        <v>1198</v>
      </c>
    </row>
    <row r="1703" ht="45.75" hidden="1">
      <c r="A1703" s="217"/>
      <c r="B1703" s="217">
        <v>1198</v>
      </c>
      <c r="C1703" s="217"/>
      <c r="D1703" s="217"/>
      <c r="E1703" s="471"/>
      <c r="F1703" s="486"/>
      <c r="G1703" s="470" t="s">
        <v>21500</v>
      </c>
      <c r="H1703" s="482"/>
      <c r="I1703" s="578"/>
      <c r="J1703" s="577"/>
      <c r="K1703" s="474"/>
      <c r="L1703" s="577"/>
      <c r="M1703" s="474"/>
      <c r="N1703" s="467"/>
      <c r="O1703" s="434" t="str">
        <f t="shared" si="1180"/>
        <v xml:space="preserve">SEM VALOR</v>
      </c>
      <c r="P1703" s="435" t="str">
        <f t="shared" si="1181"/>
        <v xml:space="preserve">SEM VALOR</v>
      </c>
      <c r="AE1703" s="217"/>
      <c r="AF1703" s="217">
        <v>1198</v>
      </c>
      <c r="AH1703">
        <f t="shared" si="1195"/>
        <v>1198</v>
      </c>
    </row>
    <row r="1704" hidden="1">
      <c r="A1704" s="217"/>
      <c r="B1704" s="217">
        <v>1198</v>
      </c>
      <c r="C1704" s="217"/>
      <c r="D1704" s="217"/>
      <c r="E1704" s="471"/>
      <c r="F1704" s="486"/>
      <c r="G1704" s="470" t="s">
        <v>21452</v>
      </c>
      <c r="H1704" s="482"/>
      <c r="I1704" s="578"/>
      <c r="J1704" s="577"/>
      <c r="K1704" s="474"/>
      <c r="L1704" s="577"/>
      <c r="M1704" s="474"/>
      <c r="N1704" s="467"/>
      <c r="O1704" s="434" t="str">
        <f t="shared" si="1180"/>
        <v xml:space="preserve">SEM VALOR</v>
      </c>
      <c r="P1704" s="435" t="str">
        <f t="shared" si="1181"/>
        <v xml:space="preserve">SEM VALOR</v>
      </c>
      <c r="AE1704" s="217"/>
      <c r="AF1704" s="217">
        <v>1198</v>
      </c>
      <c r="AH1704">
        <f t="shared" si="1195"/>
        <v>1198</v>
      </c>
    </row>
    <row r="1705" ht="47.25" hidden="1">
      <c r="A1705" s="460">
        <v>1199</v>
      </c>
      <c r="B1705" s="460">
        <v>1199</v>
      </c>
      <c r="C1705" s="460"/>
      <c r="D1705" s="460"/>
      <c r="E1705" s="461">
        <v>1</v>
      </c>
      <c r="F1705" s="462" t="s">
        <v>21501</v>
      </c>
      <c r="G1705" s="585" t="s">
        <v>21502</v>
      </c>
      <c r="H1705" s="478" t="s">
        <v>21503</v>
      </c>
      <c r="I1705" s="479"/>
      <c r="J1705" s="480"/>
      <c r="K1705" s="466">
        <f>SUM(K1706:K1708)</f>
        <v>3284.374499999999</v>
      </c>
      <c r="L1705" s="480"/>
      <c r="M1705" s="466">
        <f>SUM(M1706:M1708)</f>
        <v>3284.374499999999</v>
      </c>
      <c r="N1705" s="467"/>
      <c r="O1705" s="434" t="str">
        <f t="shared" si="1180"/>
        <v xml:space="preserve">SEM VALOR</v>
      </c>
      <c r="P1705" s="435" t="str">
        <f t="shared" si="1181"/>
        <v xml:space="preserve">SEM VALOR</v>
      </c>
      <c r="AE1705" s="460">
        <v>1199</v>
      </c>
      <c r="AF1705" s="460">
        <v>1199</v>
      </c>
      <c r="AH1705">
        <f t="shared" si="1195"/>
        <v>1199</v>
      </c>
    </row>
    <row r="1706" hidden="1">
      <c r="A1706" s="217"/>
      <c r="B1706" s="217">
        <v>1199</v>
      </c>
      <c r="C1706" s="217"/>
      <c r="D1706" s="217" t="s">
        <v>20644</v>
      </c>
      <c r="E1706" s="471" t="s">
        <v>20399</v>
      </c>
      <c r="F1706" s="489" t="s">
        <v>15450</v>
      </c>
      <c r="G1706" s="488" t="s">
        <v>21504</v>
      </c>
      <c r="H1706" s="482" t="s">
        <v>1535</v>
      </c>
      <c r="I1706" s="483">
        <v>66</v>
      </c>
      <c r="J1706" s="473">
        <f t="shared" si="1208"/>
        <v>69.950000000000003</v>
      </c>
      <c r="K1706" s="474">
        <f t="shared" ref="K1706:K1708" si="1211">I1706*J1706</f>
        <v>4616.6999999999998</v>
      </c>
      <c r="L1706" s="473">
        <f t="shared" si="1183"/>
        <v>69.950000000000003</v>
      </c>
      <c r="M1706" s="474">
        <f t="shared" ref="M1706:M1708" si="1212">L1706*I1706</f>
        <v>4616.6999999999998</v>
      </c>
      <c r="O1706" s="434">
        <f t="shared" si="1180"/>
        <v>69.950000000000003</v>
      </c>
      <c r="P1706" s="435">
        <f t="shared" si="1181"/>
        <v>69.950000000000003</v>
      </c>
      <c r="AE1706" s="217"/>
      <c r="AF1706" s="217">
        <v>1199</v>
      </c>
      <c r="AH1706">
        <f t="shared" si="1195"/>
        <v>1199</v>
      </c>
    </row>
    <row r="1707" hidden="1">
      <c r="A1707" s="217"/>
      <c r="B1707" s="217">
        <v>1199</v>
      </c>
      <c r="C1707" s="217"/>
      <c r="D1707" s="217" t="s">
        <v>20644</v>
      </c>
      <c r="E1707" s="471" t="s">
        <v>20402</v>
      </c>
      <c r="F1707" s="489" t="s">
        <v>15452</v>
      </c>
      <c r="G1707" s="586" t="s">
        <v>21504</v>
      </c>
      <c r="H1707" s="482" t="s">
        <v>1533</v>
      </c>
      <c r="I1707" s="483">
        <v>116.48999999999999</v>
      </c>
      <c r="J1707" s="473">
        <f t="shared" si="1208"/>
        <v>39.68</v>
      </c>
      <c r="K1707" s="474">
        <f t="shared" si="1211"/>
        <v>4622.3231999999998</v>
      </c>
      <c r="L1707" s="473">
        <f t="shared" si="1183"/>
        <v>39.68</v>
      </c>
      <c r="M1707" s="474">
        <f t="shared" si="1212"/>
        <v>4622.3231999999998</v>
      </c>
      <c r="O1707" s="434">
        <f t="shared" si="1180"/>
        <v>39.68</v>
      </c>
      <c r="P1707" s="435">
        <f t="shared" si="1181"/>
        <v>39.68</v>
      </c>
      <c r="AE1707" s="217"/>
      <c r="AF1707" s="217">
        <v>1199</v>
      </c>
      <c r="AH1707">
        <f t="shared" si="1195"/>
        <v>1199</v>
      </c>
    </row>
    <row r="1708" hidden="1">
      <c r="A1708" s="217"/>
      <c r="B1708" s="217">
        <v>1199</v>
      </c>
      <c r="C1708" s="217"/>
      <c r="D1708" s="217" t="s">
        <v>20644</v>
      </c>
      <c r="E1708" s="471" t="s">
        <v>20405</v>
      </c>
      <c r="F1708" s="489" t="s">
        <v>15453</v>
      </c>
      <c r="G1708" s="488" t="s">
        <v>21504</v>
      </c>
      <c r="H1708" s="482" t="s">
        <v>21505</v>
      </c>
      <c r="I1708" s="483">
        <v>-182.49000000000001</v>
      </c>
      <c r="J1708" s="473">
        <f t="shared" si="1208"/>
        <v>32.630000000000003</v>
      </c>
      <c r="K1708" s="474">
        <f t="shared" si="1211"/>
        <v>-5954.6487000000006</v>
      </c>
      <c r="L1708" s="473">
        <f t="shared" si="1183"/>
        <v>32.630000000000003</v>
      </c>
      <c r="M1708" s="474">
        <f t="shared" si="1212"/>
        <v>-5954.6487000000006</v>
      </c>
      <c r="O1708" s="434">
        <f t="shared" ref="O1708:O1771" si="1213">IFERROR(IF(D1708="SINAPI",VLOOKUP(F1708,SINCOMOD,4,FALSE),IF(D1708="INSINAPI",VLOOKUP(F1708,INSINOD,5,FALSE),IF(D1708="SICRO",VLOOKUP(F1708,SICRO,5,FALSE),IF(D1708="COTACAO",VLOOKUP(F1708,COTACAO,6,FALSE),IF(D1708="PRÓPRIO",VLOOKUP(F1708,COMPOD,11,FALSE),IF(D1708="AGESUL",VLOOKUP(F1708,AGESULOD,6,FALSE),IF(D1708="INSAGESUL",VLOOKUP(F1708,INSAGESUL,7,FALSE),"SEM VALOR"))))))),"SEM VALOR")</f>
        <v>32.630000000000003</v>
      </c>
      <c r="P1708" s="435">
        <f t="shared" ref="P1708:P1771" si="1214">IFERROR(IF(D1708="SINAPI",VLOOKUP(F1708,SINCOMOD,6,FALSE),IF(D1708="INSINAPI",VLOOKUP(F1708,INSINOD,6,FALSE),IF(D1708="SICRO",VLOOKUP(F1708,SICRO,5,FALSE),IF(D1708="COTACAO",VLOOKUP(F1708,COTACAO,6,FALSE),IF(D1708="PRÓPRIO",VLOOKUP(F1708,COMPOD,13,FALSE),IF(D1708="AGESUL",VLOOKUP(F1708,AGESULOD,11,FALSE),IF(D1708="INSAGESUL",VLOOKUP(F1708,INSAGESUL,8,FALSE),"SEM VALOR"))))))),"SEM VALOR")</f>
        <v>32.630000000000003</v>
      </c>
      <c r="AE1708" s="217"/>
      <c r="AF1708" s="217">
        <v>1199</v>
      </c>
      <c r="AH1708">
        <f t="shared" si="1195"/>
        <v>1199</v>
      </c>
    </row>
    <row r="1709" ht="45.75" hidden="1">
      <c r="A1709" s="217"/>
      <c r="B1709" s="217">
        <v>1199</v>
      </c>
      <c r="C1709" s="217"/>
      <c r="D1709" s="217"/>
      <c r="E1709" s="217"/>
      <c r="F1709" s="217"/>
      <c r="G1709" s="470" t="s">
        <v>21506</v>
      </c>
      <c r="H1709" s="217"/>
      <c r="I1709" s="217"/>
      <c r="J1709" s="217"/>
      <c r="K1709" s="217"/>
      <c r="L1709" s="217"/>
      <c r="M1709" s="217"/>
      <c r="O1709" s="434" t="str">
        <f t="shared" si="1213"/>
        <v xml:space="preserve">SEM VALOR</v>
      </c>
      <c r="P1709" s="435" t="str">
        <f t="shared" si="1214"/>
        <v xml:space="preserve">SEM VALOR</v>
      </c>
      <c r="AE1709" s="217"/>
      <c r="AF1709" s="217">
        <v>1199</v>
      </c>
      <c r="AH1709">
        <f t="shared" si="1195"/>
        <v>1199</v>
      </c>
    </row>
    <row r="1710" hidden="1">
      <c r="A1710" s="217"/>
      <c r="B1710" s="217">
        <v>1199</v>
      </c>
      <c r="C1710" s="217"/>
      <c r="D1710" s="217"/>
      <c r="E1710" s="217"/>
      <c r="F1710" s="217"/>
      <c r="G1710" s="470" t="s">
        <v>21507</v>
      </c>
      <c r="H1710" s="217"/>
      <c r="I1710" s="217"/>
      <c r="J1710" s="217"/>
      <c r="K1710" s="587"/>
      <c r="L1710" s="588"/>
      <c r="M1710" s="217"/>
      <c r="O1710" s="434" t="str">
        <f t="shared" si="1213"/>
        <v xml:space="preserve">SEM VALOR</v>
      </c>
      <c r="P1710" s="435" t="str">
        <f t="shared" si="1214"/>
        <v xml:space="preserve">SEM VALOR</v>
      </c>
      <c r="AE1710" s="217"/>
      <c r="AF1710" s="217">
        <v>1199</v>
      </c>
      <c r="AH1710">
        <f t="shared" si="1195"/>
        <v>1199</v>
      </c>
    </row>
    <row r="1711" ht="51" hidden="1" customHeight="1">
      <c r="A1711" s="460">
        <v>1200</v>
      </c>
      <c r="B1711" s="460">
        <v>1200</v>
      </c>
      <c r="C1711" s="460"/>
      <c r="D1711" s="460"/>
      <c r="E1711" s="461">
        <v>1</v>
      </c>
      <c r="F1711" s="462" t="s">
        <v>21508</v>
      </c>
      <c r="G1711" s="477" t="s">
        <v>21509</v>
      </c>
      <c r="H1711" s="579" t="s">
        <v>21503</v>
      </c>
      <c r="I1711" s="479"/>
      <c r="J1711" s="480"/>
      <c r="K1711" s="466">
        <f>SUM(K1712:K1714)</f>
        <v>4459.445099999999</v>
      </c>
      <c r="L1711" s="480"/>
      <c r="M1711" s="466">
        <f>SUM(M1712:M1714)</f>
        <v>4459.4450999999999</v>
      </c>
      <c r="N1711" s="467" t="s">
        <v>21510</v>
      </c>
      <c r="O1711" s="434" t="str">
        <f t="shared" si="1213"/>
        <v xml:space="preserve">SEM VALOR</v>
      </c>
      <c r="P1711" s="435" t="str">
        <f t="shared" si="1214"/>
        <v xml:space="preserve">SEM VALOR</v>
      </c>
      <c r="AE1711" s="460">
        <v>1200</v>
      </c>
      <c r="AF1711" s="460"/>
      <c r="AH1711">
        <f t="shared" si="1195"/>
        <v>1200</v>
      </c>
    </row>
    <row r="1712" ht="63" hidden="1" customHeight="1">
      <c r="A1712" s="217"/>
      <c r="B1712" s="217">
        <v>1200</v>
      </c>
      <c r="C1712" s="217"/>
      <c r="D1712" s="217" t="s">
        <v>17167</v>
      </c>
      <c r="E1712" s="471" t="s">
        <v>20399</v>
      </c>
      <c r="F1712" s="489">
        <v>92145</v>
      </c>
      <c r="G1712" s="470" t="s">
        <v>1567</v>
      </c>
      <c r="H1712" s="482" t="s">
        <v>1535</v>
      </c>
      <c r="I1712" s="483">
        <v>66</v>
      </c>
      <c r="J1712" s="473">
        <f t="shared" si="1208"/>
        <v>81.069999999999993</v>
      </c>
      <c r="K1712" s="474">
        <f t="shared" ref="K1712:K1714" si="1215">I1712*J1712</f>
        <v>5350.6199999999999</v>
      </c>
      <c r="L1712" s="473">
        <f t="shared" ref="L1709:L1772" si="1216">P1712*$L$3</f>
        <v>79.540000000000006</v>
      </c>
      <c r="M1712" s="474">
        <f t="shared" ref="M1712:M1714" si="1217">L1712*I1712</f>
        <v>5249.6400000000003</v>
      </c>
      <c r="O1712" s="434">
        <f t="shared" si="1213"/>
        <v>81.069999999999993</v>
      </c>
      <c r="P1712" s="435">
        <f t="shared" si="1214"/>
        <v>79.540000000000006</v>
      </c>
      <c r="AE1712" s="217"/>
      <c r="AF1712" s="217">
        <v>1200</v>
      </c>
      <c r="AH1712">
        <f t="shared" si="1195"/>
        <v>1200</v>
      </c>
    </row>
    <row r="1713" ht="62.25" hidden="1" customHeight="1">
      <c r="A1713" s="217"/>
      <c r="B1713" s="217">
        <v>1200</v>
      </c>
      <c r="C1713" s="217"/>
      <c r="D1713" s="217" t="s">
        <v>17167</v>
      </c>
      <c r="E1713" s="471" t="s">
        <v>20402</v>
      </c>
      <c r="F1713" s="489">
        <v>92146</v>
      </c>
      <c r="G1713" s="470" t="s">
        <v>1566</v>
      </c>
      <c r="H1713" s="482" t="s">
        <v>1533</v>
      </c>
      <c r="I1713" s="483">
        <v>116.48999999999999</v>
      </c>
      <c r="J1713" s="473">
        <f t="shared" si="1208"/>
        <v>32.829999999999998</v>
      </c>
      <c r="K1713" s="474">
        <f t="shared" si="1215"/>
        <v>3824.3666999999996</v>
      </c>
      <c r="L1713" s="473">
        <f t="shared" si="1216"/>
        <v>31.300000000000001</v>
      </c>
      <c r="M1713" s="474">
        <f t="shared" si="1217"/>
        <v>3646.1369999999997</v>
      </c>
      <c r="O1713" s="434">
        <f t="shared" si="1213"/>
        <v>32.829999999999998</v>
      </c>
      <c r="P1713" s="435">
        <f t="shared" si="1214"/>
        <v>31.300000000000001</v>
      </c>
      <c r="AE1713" s="217"/>
      <c r="AF1713" s="217">
        <v>1200</v>
      </c>
      <c r="AH1713">
        <f t="shared" si="1195"/>
        <v>1200</v>
      </c>
    </row>
    <row r="1714" ht="34.5" hidden="1" customHeight="1">
      <c r="A1714" s="217"/>
      <c r="B1714" s="217">
        <v>1200</v>
      </c>
      <c r="C1714" s="217"/>
      <c r="D1714" s="217" t="s">
        <v>17167</v>
      </c>
      <c r="E1714" s="471" t="s">
        <v>20405</v>
      </c>
      <c r="F1714" s="489">
        <v>88284</v>
      </c>
      <c r="G1714" s="488" t="s">
        <v>7354</v>
      </c>
      <c r="H1714" s="482" t="s">
        <v>2032</v>
      </c>
      <c r="I1714" s="483">
        <v>-182.49000000000001</v>
      </c>
      <c r="J1714" s="473">
        <f t="shared" si="1208"/>
        <v>25.84</v>
      </c>
      <c r="K1714" s="474">
        <f t="shared" si="1215"/>
        <v>-4715.5416000000005</v>
      </c>
      <c r="L1714" s="473">
        <f t="shared" si="1216"/>
        <v>24.309999999999999</v>
      </c>
      <c r="M1714" s="474">
        <f t="shared" si="1217"/>
        <v>-4436.3319000000001</v>
      </c>
      <c r="O1714" s="434">
        <f t="shared" si="1213"/>
        <v>25.84</v>
      </c>
      <c r="P1714" s="435">
        <f t="shared" si="1214"/>
        <v>24.309999999999999</v>
      </c>
      <c r="AE1714" s="217"/>
      <c r="AF1714" s="217">
        <v>1200</v>
      </c>
      <c r="AH1714">
        <f t="shared" si="1195"/>
        <v>1200</v>
      </c>
    </row>
    <row r="1715" ht="110.25" customHeight="1">
      <c r="A1715" s="460">
        <v>1201</v>
      </c>
      <c r="B1715" s="460">
        <v>1201</v>
      </c>
      <c r="C1715" s="460"/>
      <c r="D1715" s="460"/>
      <c r="E1715" s="461">
        <v>1</v>
      </c>
      <c r="F1715" s="462" t="s">
        <v>20400</v>
      </c>
      <c r="G1715" s="477" t="s">
        <v>21511</v>
      </c>
      <c r="H1715" s="579" t="s">
        <v>15515</v>
      </c>
      <c r="I1715" s="479"/>
      <c r="J1715" s="480"/>
      <c r="K1715" s="466">
        <f>SUM(K1716:K1722)</f>
        <v>546.82999999999993</v>
      </c>
      <c r="L1715" s="480"/>
      <c r="M1715" s="466">
        <f>SUM(M1716:M1722)</f>
        <v>542.74919999999997</v>
      </c>
      <c r="N1715" s="467" t="s">
        <v>21512</v>
      </c>
      <c r="O1715" s="434" t="str">
        <f t="shared" si="1213"/>
        <v xml:space="preserve">SEM VALOR</v>
      </c>
      <c r="P1715" s="435" t="str">
        <f t="shared" si="1214"/>
        <v xml:space="preserve">SEM VALOR</v>
      </c>
      <c r="AE1715" s="460">
        <v>1201</v>
      </c>
      <c r="AF1715" s="460"/>
      <c r="AH1715">
        <f t="shared" si="1195"/>
        <v>1201</v>
      </c>
    </row>
    <row r="1716" ht="30">
      <c r="A1716" s="217"/>
      <c r="B1716" s="217">
        <v>1201</v>
      </c>
      <c r="C1716" s="217"/>
      <c r="D1716" s="217" t="s">
        <v>17167</v>
      </c>
      <c r="E1716" s="471" t="s">
        <v>20399</v>
      </c>
      <c r="F1716" s="489">
        <v>88262</v>
      </c>
      <c r="G1716" s="470" t="s">
        <v>7127</v>
      </c>
      <c r="H1716" s="482" t="s">
        <v>2032</v>
      </c>
      <c r="I1716" s="483">
        <v>1</v>
      </c>
      <c r="J1716" s="473">
        <f t="shared" si="1208"/>
        <v>27.739999999999998</v>
      </c>
      <c r="K1716" s="474">
        <f t="shared" ref="K1716:K1722" si="1218">TRUNC(I1716*J1716,2)</f>
        <v>27.739999999999998</v>
      </c>
      <c r="L1716" s="473">
        <f t="shared" si="1216"/>
        <v>26.129999999999999</v>
      </c>
      <c r="M1716" s="474">
        <f t="shared" ref="M1716:M1722" si="1219">L1716*I1716</f>
        <v>26.129999999999999</v>
      </c>
      <c r="O1716" s="434">
        <f t="shared" si="1213"/>
        <v>27.739999999999998</v>
      </c>
      <c r="P1716" s="435">
        <f t="shared" si="1214"/>
        <v>26.129999999999999</v>
      </c>
      <c r="AE1716" s="217"/>
      <c r="AF1716" s="217">
        <v>1201</v>
      </c>
      <c r="AH1716">
        <f t="shared" si="1195"/>
        <v>1201</v>
      </c>
    </row>
    <row r="1717" ht="30">
      <c r="A1717" s="217"/>
      <c r="B1717" s="217">
        <v>1201</v>
      </c>
      <c r="C1717" s="217"/>
      <c r="D1717" s="217" t="s">
        <v>17167</v>
      </c>
      <c r="E1717" s="471" t="s">
        <v>20402</v>
      </c>
      <c r="F1717" s="489">
        <v>88316</v>
      </c>
      <c r="G1717" s="470" t="s">
        <v>7393</v>
      </c>
      <c r="H1717" s="482" t="s">
        <v>2032</v>
      </c>
      <c r="I1717" s="483">
        <v>2</v>
      </c>
      <c r="J1717" s="473">
        <f t="shared" si="1208"/>
        <v>22.760000000000002</v>
      </c>
      <c r="K1717" s="474">
        <f t="shared" si="1218"/>
        <v>45.520000000000003</v>
      </c>
      <c r="L1717" s="473">
        <f t="shared" si="1216"/>
        <v>21.550000000000001</v>
      </c>
      <c r="M1717" s="474">
        <f t="shared" si="1219"/>
        <v>43.100000000000001</v>
      </c>
      <c r="O1717" s="434">
        <f t="shared" si="1213"/>
        <v>22.760000000000002</v>
      </c>
      <c r="P1717" s="435">
        <f t="shared" si="1214"/>
        <v>21.550000000000001</v>
      </c>
      <c r="AE1717" s="217"/>
      <c r="AF1717" s="217">
        <v>1201</v>
      </c>
      <c r="AH1717">
        <f t="shared" si="1195"/>
        <v>1201</v>
      </c>
    </row>
    <row r="1718" ht="45">
      <c r="A1718" s="217"/>
      <c r="B1718" s="217">
        <v>1201</v>
      </c>
      <c r="C1718" s="217"/>
      <c r="D1718" s="217" t="s">
        <v>20408</v>
      </c>
      <c r="E1718" s="471" t="s">
        <v>20405</v>
      </c>
      <c r="F1718" s="489">
        <v>4417</v>
      </c>
      <c r="G1718" s="470" t="s">
        <v>21513</v>
      </c>
      <c r="H1718" s="482" t="s">
        <v>38</v>
      </c>
      <c r="I1718" s="483">
        <v>1</v>
      </c>
      <c r="J1718" s="473">
        <f t="shared" si="1208"/>
        <v>8.0500000000000007</v>
      </c>
      <c r="K1718" s="474">
        <f t="shared" si="1218"/>
        <v>8.0500000000000007</v>
      </c>
      <c r="L1718" s="473">
        <f t="shared" si="1216"/>
        <v>8.0500000000000007</v>
      </c>
      <c r="M1718" s="474">
        <f t="shared" si="1219"/>
        <v>8.0500000000000007</v>
      </c>
      <c r="O1718" s="434">
        <f t="shared" si="1213"/>
        <v>8.0500000000000007</v>
      </c>
      <c r="P1718" s="435">
        <f t="shared" si="1214"/>
        <v>8.0500000000000007</v>
      </c>
      <c r="AE1718" s="217"/>
      <c r="AF1718" s="217">
        <v>1201</v>
      </c>
      <c r="AH1718">
        <f t="shared" si="1195"/>
        <v>1201</v>
      </c>
    </row>
    <row r="1719" ht="45">
      <c r="A1719" s="217"/>
      <c r="B1719" s="217">
        <v>1201</v>
      </c>
      <c r="C1719" s="217"/>
      <c r="D1719" s="217" t="s">
        <v>20408</v>
      </c>
      <c r="E1719" s="471" t="s">
        <v>20409</v>
      </c>
      <c r="F1719" s="489">
        <v>4491</v>
      </c>
      <c r="G1719" s="470" t="s">
        <v>21514</v>
      </c>
      <c r="H1719" s="482" t="s">
        <v>38</v>
      </c>
      <c r="I1719" s="483">
        <v>4</v>
      </c>
      <c r="J1719" s="473">
        <f t="shared" si="1208"/>
        <v>6.8399999999999999</v>
      </c>
      <c r="K1719" s="474">
        <f t="shared" si="1218"/>
        <v>27.359999999999999</v>
      </c>
      <c r="L1719" s="473">
        <f t="shared" si="1216"/>
        <v>6.8399999999999999</v>
      </c>
      <c r="M1719" s="474">
        <f t="shared" si="1219"/>
        <v>27.359999999999999</v>
      </c>
      <c r="O1719" s="434">
        <f t="shared" si="1213"/>
        <v>6.8399999999999999</v>
      </c>
      <c r="P1719" s="435">
        <f t="shared" si="1214"/>
        <v>6.8399999999999999</v>
      </c>
      <c r="AE1719" s="217"/>
      <c r="AF1719" s="217">
        <v>1201</v>
      </c>
      <c r="AH1719">
        <f t="shared" si="1195"/>
        <v>1201</v>
      </c>
    </row>
    <row r="1720" ht="60">
      <c r="A1720" s="217"/>
      <c r="B1720" s="217">
        <v>1201</v>
      </c>
      <c r="C1720" s="217"/>
      <c r="D1720" s="217" t="s">
        <v>20408</v>
      </c>
      <c r="E1720" s="471" t="s">
        <v>20663</v>
      </c>
      <c r="F1720" s="489">
        <v>4813</v>
      </c>
      <c r="G1720" s="470" t="s">
        <v>20160</v>
      </c>
      <c r="H1720" s="482" t="s">
        <v>15515</v>
      </c>
      <c r="I1720" s="483">
        <v>1</v>
      </c>
      <c r="J1720" s="473">
        <f t="shared" si="1208"/>
        <v>432</v>
      </c>
      <c r="K1720" s="474">
        <f t="shared" si="1218"/>
        <v>432</v>
      </c>
      <c r="L1720" s="473">
        <f t="shared" si="1216"/>
        <v>432</v>
      </c>
      <c r="M1720" s="474">
        <f t="shared" si="1219"/>
        <v>432</v>
      </c>
      <c r="O1720" s="434">
        <f t="shared" si="1213"/>
        <v>432</v>
      </c>
      <c r="P1720" s="435">
        <f t="shared" si="1214"/>
        <v>432</v>
      </c>
      <c r="AE1720" s="217"/>
      <c r="AF1720" s="217">
        <v>1201</v>
      </c>
      <c r="AH1720">
        <f t="shared" si="1195"/>
        <v>1201</v>
      </c>
    </row>
    <row r="1721" ht="30">
      <c r="A1721" s="217"/>
      <c r="B1721" s="217">
        <v>1201</v>
      </c>
      <c r="C1721" s="217"/>
      <c r="D1721" s="217" t="s">
        <v>20408</v>
      </c>
      <c r="E1721" s="471" t="s">
        <v>20665</v>
      </c>
      <c r="F1721" s="489">
        <v>5075</v>
      </c>
      <c r="G1721" s="470" t="s">
        <v>21515</v>
      </c>
      <c r="H1721" s="482" t="s">
        <v>302</v>
      </c>
      <c r="I1721" s="483">
        <v>0.11</v>
      </c>
      <c r="J1721" s="473">
        <f t="shared" si="1208"/>
        <v>20.289999999999999</v>
      </c>
      <c r="K1721" s="474">
        <f t="shared" si="1218"/>
        <v>2.23</v>
      </c>
      <c r="L1721" s="473">
        <f t="shared" si="1216"/>
        <v>20.289999999999999</v>
      </c>
      <c r="M1721" s="474">
        <f t="shared" si="1219"/>
        <v>2.2319</v>
      </c>
      <c r="O1721" s="434">
        <f t="shared" si="1213"/>
        <v>20.289999999999999</v>
      </c>
      <c r="P1721" s="435">
        <f t="shared" si="1214"/>
        <v>20.289999999999999</v>
      </c>
      <c r="AE1721" s="217"/>
      <c r="AF1721" s="217">
        <v>1201</v>
      </c>
      <c r="AH1721">
        <f t="shared" si="1195"/>
        <v>1201</v>
      </c>
    </row>
    <row r="1722" ht="75">
      <c r="A1722" s="217"/>
      <c r="B1722" s="217">
        <v>1201</v>
      </c>
      <c r="C1722" s="217"/>
      <c r="D1722" s="217" t="s">
        <v>17167</v>
      </c>
      <c r="E1722" s="471" t="s">
        <v>20667</v>
      </c>
      <c r="F1722" s="489">
        <v>94962</v>
      </c>
      <c r="G1722" s="470" t="s">
        <v>8726</v>
      </c>
      <c r="H1722" s="482" t="s">
        <v>15528</v>
      </c>
      <c r="I1722" s="483">
        <v>1.e-002</v>
      </c>
      <c r="J1722" s="473">
        <f t="shared" si="1208"/>
        <v>393.05000000000001</v>
      </c>
      <c r="K1722" s="474">
        <f t="shared" si="1218"/>
        <v>3.9300000000000002</v>
      </c>
      <c r="L1722" s="473">
        <f t="shared" si="1216"/>
        <v>387.73000000000002</v>
      </c>
      <c r="M1722" s="474">
        <f t="shared" si="1219"/>
        <v>3.8773000000000004</v>
      </c>
      <c r="O1722" s="434">
        <f t="shared" si="1213"/>
        <v>393.05000000000001</v>
      </c>
      <c r="P1722" s="435">
        <f t="shared" si="1214"/>
        <v>387.73000000000002</v>
      </c>
      <c r="AE1722" s="217"/>
      <c r="AF1722" s="217">
        <v>1201</v>
      </c>
      <c r="AH1722">
        <f t="shared" si="1195"/>
        <v>1201</v>
      </c>
    </row>
    <row r="1723" ht="81.75" hidden="1" customHeight="1">
      <c r="A1723" s="460">
        <v>1202</v>
      </c>
      <c r="B1723" s="460">
        <v>1202</v>
      </c>
      <c r="C1723" s="460"/>
      <c r="D1723" s="460"/>
      <c r="E1723" s="461">
        <v>1</v>
      </c>
      <c r="F1723" s="462" t="s">
        <v>21516</v>
      </c>
      <c r="G1723" s="477" t="s">
        <v>21517</v>
      </c>
      <c r="H1723" s="579" t="s">
        <v>15515</v>
      </c>
      <c r="I1723" s="479"/>
      <c r="J1723" s="480"/>
      <c r="K1723" s="466">
        <f>SUM(K1724:K1727)</f>
        <v>4.2915190000000001</v>
      </c>
      <c r="L1723" s="480"/>
      <c r="M1723" s="466">
        <f>SUM(M1724:M1730)</f>
        <v>68.291050999999996</v>
      </c>
      <c r="N1723" s="487" t="s">
        <v>21518</v>
      </c>
      <c r="O1723" s="434" t="str">
        <f t="shared" si="1213"/>
        <v xml:space="preserve">SEM VALOR</v>
      </c>
      <c r="P1723" s="435" t="str">
        <f t="shared" si="1214"/>
        <v xml:space="preserve">SEM VALOR</v>
      </c>
      <c r="AE1723" s="460">
        <v>1202</v>
      </c>
      <c r="AF1723" s="460"/>
      <c r="AH1723">
        <f t="shared" si="1195"/>
        <v>1202</v>
      </c>
    </row>
    <row r="1724" ht="75" hidden="1">
      <c r="A1724" s="217"/>
      <c r="B1724" s="217">
        <v>1202</v>
      </c>
      <c r="C1724" s="217"/>
      <c r="D1724" s="217" t="s">
        <v>17167</v>
      </c>
      <c r="E1724" s="471" t="s">
        <v>20399</v>
      </c>
      <c r="F1724" s="489">
        <v>5932</v>
      </c>
      <c r="G1724" s="470" t="s">
        <v>1787</v>
      </c>
      <c r="H1724" s="482" t="s">
        <v>1535</v>
      </c>
      <c r="I1724" s="483">
        <v>1.e-004</v>
      </c>
      <c r="J1724" s="473">
        <f t="shared" si="1208"/>
        <v>294.49000000000001</v>
      </c>
      <c r="K1724" s="474">
        <f t="shared" ref="K1724:K1727" si="1220">I1724*J1724</f>
        <v>2.9449000000000003e-002</v>
      </c>
      <c r="L1724" s="473">
        <f t="shared" si="1216"/>
        <v>291.70999999999998</v>
      </c>
      <c r="M1724" s="474">
        <f t="shared" ref="M1724:M1727" si="1221">L1724*I1724</f>
        <v>2.9170999999999999e-002</v>
      </c>
      <c r="O1724" s="434">
        <f t="shared" si="1213"/>
        <v>294.49000000000001</v>
      </c>
      <c r="P1724" s="435">
        <f t="shared" si="1214"/>
        <v>291.70999999999998</v>
      </c>
      <c r="AE1724" s="217"/>
      <c r="AF1724" s="217">
        <v>1202</v>
      </c>
      <c r="AH1724">
        <f t="shared" si="1195"/>
        <v>1202</v>
      </c>
    </row>
    <row r="1725" ht="75" hidden="1">
      <c r="A1725" s="217"/>
      <c r="B1725" s="217">
        <v>1202</v>
      </c>
      <c r="C1725" s="217"/>
      <c r="D1725" s="217" t="s">
        <v>17167</v>
      </c>
      <c r="E1725" s="471" t="s">
        <v>20402</v>
      </c>
      <c r="F1725" s="489">
        <v>5934</v>
      </c>
      <c r="G1725" s="470" t="s">
        <v>1786</v>
      </c>
      <c r="H1725" s="482" t="s">
        <v>1533</v>
      </c>
      <c r="I1725" s="483">
        <v>1.e-003</v>
      </c>
      <c r="J1725" s="473">
        <f t="shared" si="1208"/>
        <v>114.31</v>
      </c>
      <c r="K1725" s="474">
        <f t="shared" si="1220"/>
        <v>0.11431000000000001</v>
      </c>
      <c r="L1725" s="473">
        <f t="shared" si="1216"/>
        <v>111.53</v>
      </c>
      <c r="M1725" s="474">
        <f t="shared" si="1221"/>
        <v>0.11153</v>
      </c>
      <c r="O1725" s="434">
        <f t="shared" si="1213"/>
        <v>114.31</v>
      </c>
      <c r="P1725" s="435">
        <f t="shared" si="1214"/>
        <v>111.53</v>
      </c>
      <c r="AE1725" s="217"/>
      <c r="AF1725" s="217">
        <v>1202</v>
      </c>
      <c r="AH1725">
        <f t="shared" si="1195"/>
        <v>1202</v>
      </c>
    </row>
    <row r="1726" ht="30" hidden="1">
      <c r="A1726" s="217"/>
      <c r="B1726" s="217">
        <v>1202</v>
      </c>
      <c r="C1726" s="217"/>
      <c r="D1726" s="217" t="s">
        <v>17167</v>
      </c>
      <c r="E1726" s="471" t="s">
        <v>20405</v>
      </c>
      <c r="F1726" s="489">
        <v>88316</v>
      </c>
      <c r="G1726" s="470" t="s">
        <v>7393</v>
      </c>
      <c r="H1726" s="482" t="s">
        <v>2032</v>
      </c>
      <c r="I1726" s="483">
        <v>1.e-003</v>
      </c>
      <c r="J1726" s="473">
        <f t="shared" si="1208"/>
        <v>22.760000000000002</v>
      </c>
      <c r="K1726" s="474">
        <f t="shared" si="1220"/>
        <v>2.2760000000000002e-002</v>
      </c>
      <c r="L1726" s="473">
        <f t="shared" si="1216"/>
        <v>21.550000000000001</v>
      </c>
      <c r="M1726" s="474">
        <f t="shared" si="1221"/>
        <v>2.155e-002</v>
      </c>
      <c r="O1726" s="434">
        <f t="shared" si="1213"/>
        <v>22.760000000000002</v>
      </c>
      <c r="P1726" s="435">
        <f t="shared" si="1214"/>
        <v>21.550000000000001</v>
      </c>
      <c r="AE1726" s="217"/>
      <c r="AF1726" s="217">
        <v>1202</v>
      </c>
      <c r="AH1726">
        <f t="shared" si="1195"/>
        <v>1202</v>
      </c>
    </row>
    <row r="1727" ht="45" hidden="1">
      <c r="A1727" s="217"/>
      <c r="B1727" s="217">
        <v>1202</v>
      </c>
      <c r="C1727" s="217"/>
      <c r="D1727" s="217" t="s">
        <v>20453</v>
      </c>
      <c r="E1727" s="471" t="s">
        <v>20409</v>
      </c>
      <c r="F1727" s="489" t="s">
        <v>20251</v>
      </c>
      <c r="G1727" s="470" t="s">
        <v>21394</v>
      </c>
      <c r="H1727" s="482" t="s">
        <v>15528</v>
      </c>
      <c r="I1727" s="483">
        <v>5.5e-002</v>
      </c>
      <c r="J1727" s="473">
        <f t="shared" si="1208"/>
        <v>75</v>
      </c>
      <c r="K1727" s="474">
        <f t="shared" si="1220"/>
        <v>4.125</v>
      </c>
      <c r="L1727" s="473">
        <f t="shared" si="1216"/>
        <v>75</v>
      </c>
      <c r="M1727" s="474">
        <f t="shared" si="1221"/>
        <v>4.125</v>
      </c>
      <c r="O1727" s="434">
        <f t="shared" si="1213"/>
        <v>75</v>
      </c>
      <c r="P1727" s="435">
        <f t="shared" si="1214"/>
        <v>75</v>
      </c>
      <c r="AE1727" s="217"/>
      <c r="AF1727" s="217">
        <v>1202</v>
      </c>
      <c r="AH1727">
        <f t="shared" si="1195"/>
        <v>1202</v>
      </c>
    </row>
    <row r="1728" ht="78.75" hidden="1">
      <c r="A1728" s="460">
        <v>1203</v>
      </c>
      <c r="B1728" s="460">
        <v>1203</v>
      </c>
      <c r="C1728" s="460"/>
      <c r="D1728" s="460"/>
      <c r="E1728" s="461">
        <v>1</v>
      </c>
      <c r="F1728" s="462" t="s">
        <v>21519</v>
      </c>
      <c r="G1728" s="477" t="s">
        <v>21520</v>
      </c>
      <c r="H1728" s="579" t="s">
        <v>38</v>
      </c>
      <c r="I1728" s="479"/>
      <c r="J1728" s="480"/>
      <c r="K1728" s="466">
        <f>SUM(K1729:K1731)</f>
        <v>38.233400000000003</v>
      </c>
      <c r="L1728" s="480"/>
      <c r="M1728" s="466">
        <f>SUM(M1729:M1731)</f>
        <v>37.507399999999997</v>
      </c>
      <c r="N1728" s="467" t="s">
        <v>21521</v>
      </c>
      <c r="O1728" s="434" t="str">
        <f t="shared" si="1213"/>
        <v xml:space="preserve">SEM VALOR</v>
      </c>
      <c r="P1728" s="435" t="str">
        <f t="shared" si="1214"/>
        <v xml:space="preserve">SEM VALOR</v>
      </c>
      <c r="AE1728" s="460">
        <v>1203</v>
      </c>
      <c r="AF1728" s="460"/>
      <c r="AH1728">
        <f t="shared" si="1195"/>
        <v>1203</v>
      </c>
    </row>
    <row r="1729" ht="30" hidden="1">
      <c r="A1729" s="217"/>
      <c r="B1729" s="217">
        <v>1203</v>
      </c>
      <c r="C1729" s="217"/>
      <c r="D1729" s="217" t="s">
        <v>17167</v>
      </c>
      <c r="E1729" s="471" t="s">
        <v>20399</v>
      </c>
      <c r="F1729" s="489">
        <v>88316</v>
      </c>
      <c r="G1729" s="470" t="s">
        <v>7393</v>
      </c>
      <c r="H1729" s="482" t="s">
        <v>2032</v>
      </c>
      <c r="I1729" s="483">
        <v>0.59999999999999998</v>
      </c>
      <c r="J1729" s="473">
        <f t="shared" si="1208"/>
        <v>22.760000000000002</v>
      </c>
      <c r="K1729" s="474">
        <f t="shared" ref="K1729:K1731" si="1222">I1729*J1729</f>
        <v>13.656000000000001</v>
      </c>
      <c r="L1729" s="473">
        <f t="shared" si="1216"/>
        <v>21.550000000000001</v>
      </c>
      <c r="M1729" s="474">
        <f t="shared" ref="M1729:M1731" si="1223">L1729*I1729</f>
        <v>12.93</v>
      </c>
      <c r="O1729" s="434">
        <f t="shared" si="1213"/>
        <v>22.760000000000002</v>
      </c>
      <c r="P1729" s="435">
        <f t="shared" si="1214"/>
        <v>21.550000000000001</v>
      </c>
      <c r="AE1729" s="217"/>
      <c r="AF1729" s="217">
        <v>1203</v>
      </c>
      <c r="AH1729">
        <f t="shared" si="1195"/>
        <v>1203</v>
      </c>
    </row>
    <row r="1730" ht="30" hidden="1">
      <c r="A1730" s="217"/>
      <c r="B1730" s="217">
        <v>1203</v>
      </c>
      <c r="C1730" s="217"/>
      <c r="D1730" s="217" t="s">
        <v>20408</v>
      </c>
      <c r="E1730" s="471" t="s">
        <v>20402</v>
      </c>
      <c r="F1730" s="489">
        <v>346</v>
      </c>
      <c r="G1730" s="470" t="s">
        <v>21522</v>
      </c>
      <c r="H1730" s="482" t="s">
        <v>302</v>
      </c>
      <c r="I1730" s="483">
        <v>0.60999999999999999</v>
      </c>
      <c r="J1730" s="473">
        <f t="shared" si="1208"/>
        <v>22.239999999999998</v>
      </c>
      <c r="K1730" s="474">
        <f t="shared" si="1222"/>
        <v>13.566399999999998</v>
      </c>
      <c r="L1730" s="473">
        <f t="shared" si="1216"/>
        <v>22.239999999999998</v>
      </c>
      <c r="M1730" s="474">
        <f t="shared" si="1223"/>
        <v>13.566399999999998</v>
      </c>
      <c r="O1730" s="434">
        <f t="shared" si="1213"/>
        <v>22.239999999999998</v>
      </c>
      <c r="P1730" s="435">
        <f t="shared" si="1214"/>
        <v>22.239999999999998</v>
      </c>
      <c r="AE1730" s="217"/>
      <c r="AF1730" s="217">
        <v>1203</v>
      </c>
      <c r="AH1730">
        <f t="shared" si="1195"/>
        <v>1203</v>
      </c>
    </row>
    <row r="1731" ht="60" hidden="1">
      <c r="A1731" s="217"/>
      <c r="B1731" s="217">
        <v>1203</v>
      </c>
      <c r="C1731" s="217"/>
      <c r="D1731" s="217" t="s">
        <v>20408</v>
      </c>
      <c r="E1731" s="471" t="s">
        <v>20405</v>
      </c>
      <c r="F1731" s="489">
        <v>21138</v>
      </c>
      <c r="G1731" s="470" t="s">
        <v>21523</v>
      </c>
      <c r="H1731" s="482" t="s">
        <v>38</v>
      </c>
      <c r="I1731" s="483">
        <v>0.69999999999999996</v>
      </c>
      <c r="J1731" s="473">
        <f t="shared" si="1208"/>
        <v>15.73</v>
      </c>
      <c r="K1731" s="474">
        <f t="shared" si="1222"/>
        <v>11.010999999999999</v>
      </c>
      <c r="L1731" s="473">
        <f t="shared" si="1216"/>
        <v>15.73</v>
      </c>
      <c r="M1731" s="474">
        <f t="shared" si="1223"/>
        <v>11.010999999999999</v>
      </c>
      <c r="O1731" s="434">
        <f t="shared" si="1213"/>
        <v>15.73</v>
      </c>
      <c r="P1731" s="435">
        <f t="shared" si="1214"/>
        <v>15.73</v>
      </c>
      <c r="AE1731" s="217"/>
      <c r="AF1731" s="217">
        <v>1203</v>
      </c>
      <c r="AH1731">
        <f t="shared" si="1195"/>
        <v>1203</v>
      </c>
    </row>
    <row r="1732" ht="86.25" hidden="1" customHeight="1">
      <c r="A1732" s="460">
        <v>1204</v>
      </c>
      <c r="B1732" s="460">
        <v>1204</v>
      </c>
      <c r="C1732" s="460"/>
      <c r="D1732" s="460"/>
      <c r="E1732" s="461">
        <v>1</v>
      </c>
      <c r="F1732" s="462" t="s">
        <v>21524</v>
      </c>
      <c r="G1732" s="477" t="s">
        <v>21525</v>
      </c>
      <c r="H1732" s="579" t="s">
        <v>15515</v>
      </c>
      <c r="I1732" s="479"/>
      <c r="J1732" s="480"/>
      <c r="K1732" s="466" t="e">
        <f>SUM(K1733:K1741)</f>
        <v>#VALUE!</v>
      </c>
      <c r="L1732" s="480"/>
      <c r="M1732" s="466" t="e">
        <f>SUM(M1733:M1741)</f>
        <v>#VALUE!</v>
      </c>
      <c r="N1732" s="467" t="s">
        <v>21526</v>
      </c>
      <c r="O1732" s="434" t="str">
        <f t="shared" si="1213"/>
        <v xml:space="preserve">SEM VALOR</v>
      </c>
      <c r="P1732" s="435" t="str">
        <f t="shared" si="1214"/>
        <v xml:space="preserve">SEM VALOR</v>
      </c>
      <c r="AE1732" s="460">
        <v>1204</v>
      </c>
      <c r="AF1732" s="460"/>
      <c r="AH1732">
        <f t="shared" si="1195"/>
        <v>1204</v>
      </c>
    </row>
    <row r="1733" ht="90" hidden="1">
      <c r="A1733" s="217"/>
      <c r="B1733" s="217">
        <v>1204</v>
      </c>
      <c r="C1733" s="217"/>
      <c r="D1733" s="217" t="s">
        <v>17167</v>
      </c>
      <c r="E1733" s="471" t="s">
        <v>20399</v>
      </c>
      <c r="F1733" s="489">
        <v>98764</v>
      </c>
      <c r="G1733" s="488" t="s">
        <v>21527</v>
      </c>
      <c r="H1733" s="482" t="s">
        <v>1535</v>
      </c>
      <c r="I1733" s="483">
        <v>3.8199999999999998</v>
      </c>
      <c r="J1733" s="473">
        <f t="shared" si="1208"/>
        <v>6.9100000000000001</v>
      </c>
      <c r="K1733" s="474">
        <f t="shared" ref="K1733:K1741" si="1224">I1733*J1733</f>
        <v>26.3962</v>
      </c>
      <c r="L1733" s="473">
        <f t="shared" si="1216"/>
        <v>6.9100000000000001</v>
      </c>
      <c r="M1733" s="474">
        <f t="shared" ref="M1733:M1741" si="1225">L1733*I1733</f>
        <v>26.3962</v>
      </c>
      <c r="O1733" s="434">
        <f t="shared" si="1213"/>
        <v>6.9100000000000001</v>
      </c>
      <c r="P1733" s="435">
        <f t="shared" si="1214"/>
        <v>6.9100000000000001</v>
      </c>
      <c r="AE1733" s="217"/>
      <c r="AF1733" s="217">
        <v>1204</v>
      </c>
      <c r="AH1733">
        <f t="shared" si="1195"/>
        <v>1204</v>
      </c>
    </row>
    <row r="1734" ht="90" hidden="1">
      <c r="A1734" s="217"/>
      <c r="B1734" s="217">
        <v>1204</v>
      </c>
      <c r="C1734" s="217"/>
      <c r="D1734" s="217" t="s">
        <v>17167</v>
      </c>
      <c r="E1734" s="471" t="s">
        <v>20402</v>
      </c>
      <c r="F1734" s="489">
        <v>98765</v>
      </c>
      <c r="G1734" s="488" t="s">
        <v>21528</v>
      </c>
      <c r="H1734" s="482" t="s">
        <v>1533</v>
      </c>
      <c r="I1734" s="483">
        <v>0.67000000000000004</v>
      </c>
      <c r="J1734" s="473">
        <f t="shared" si="1208"/>
        <v>8.9999999999999997e-002</v>
      </c>
      <c r="K1734" s="474">
        <f t="shared" si="1224"/>
        <v>6.0299999999999999e-002</v>
      </c>
      <c r="L1734" s="473">
        <f t="shared" si="1216"/>
        <v>8.9999999999999997e-002</v>
      </c>
      <c r="M1734" s="474">
        <f t="shared" si="1225"/>
        <v>6.0299999999999999e-002</v>
      </c>
      <c r="O1734" s="434">
        <f t="shared" si="1213"/>
        <v>8.9999999999999997e-002</v>
      </c>
      <c r="P1734" s="435">
        <f t="shared" si="1214"/>
        <v>8.9999999999999997e-002</v>
      </c>
      <c r="AE1734" s="217"/>
      <c r="AF1734" s="217">
        <v>1204</v>
      </c>
      <c r="AH1734">
        <f t="shared" si="1195"/>
        <v>1204</v>
      </c>
    </row>
    <row r="1735" ht="30" hidden="1">
      <c r="A1735" s="217"/>
      <c r="B1735" s="217">
        <v>1204</v>
      </c>
      <c r="C1735" s="217"/>
      <c r="D1735" s="217" t="s">
        <v>17167</v>
      </c>
      <c r="E1735" s="471" t="s">
        <v>20405</v>
      </c>
      <c r="F1735" s="489">
        <v>88315</v>
      </c>
      <c r="G1735" s="470" t="s">
        <v>7392</v>
      </c>
      <c r="H1735" s="482" t="s">
        <v>2032</v>
      </c>
      <c r="I1735" s="483">
        <v>7</v>
      </c>
      <c r="J1735" s="473">
        <f t="shared" si="1208"/>
        <v>28.800000000000001</v>
      </c>
      <c r="K1735" s="474">
        <f t="shared" si="1224"/>
        <v>201.59999999999999</v>
      </c>
      <c r="L1735" s="473">
        <f t="shared" si="1216"/>
        <v>27.149999999999999</v>
      </c>
      <c r="M1735" s="474">
        <f t="shared" si="1225"/>
        <v>190.04999999999998</v>
      </c>
      <c r="O1735" s="434">
        <f t="shared" si="1213"/>
        <v>28.800000000000001</v>
      </c>
      <c r="P1735" s="435">
        <f t="shared" si="1214"/>
        <v>27.149999999999999</v>
      </c>
      <c r="AE1735" s="217"/>
      <c r="AF1735" s="217">
        <v>1204</v>
      </c>
      <c r="AH1735">
        <f t="shared" ref="AH1735:AH1798" si="1226">IF(AF1735:AF1736=FALSE,AE1735,AF1735)</f>
        <v>1204</v>
      </c>
    </row>
    <row r="1736" ht="30" hidden="1">
      <c r="A1736" s="217"/>
      <c r="B1736" s="217">
        <v>1204</v>
      </c>
      <c r="C1736" s="217"/>
      <c r="D1736" s="217" t="s">
        <v>17167</v>
      </c>
      <c r="E1736" s="471" t="s">
        <v>20409</v>
      </c>
      <c r="F1736" s="489">
        <v>88316</v>
      </c>
      <c r="G1736" s="470" t="s">
        <v>7393</v>
      </c>
      <c r="H1736" s="482" t="s">
        <v>2032</v>
      </c>
      <c r="I1736" s="483">
        <v>11.5</v>
      </c>
      <c r="J1736" s="473">
        <f t="shared" si="1208"/>
        <v>22.760000000000002</v>
      </c>
      <c r="K1736" s="474">
        <f t="shared" si="1224"/>
        <v>261.74000000000001</v>
      </c>
      <c r="L1736" s="473">
        <f t="shared" si="1216"/>
        <v>21.550000000000001</v>
      </c>
      <c r="M1736" s="474">
        <f t="shared" si="1225"/>
        <v>247.82500000000002</v>
      </c>
      <c r="O1736" s="434">
        <f t="shared" si="1213"/>
        <v>22.760000000000002</v>
      </c>
      <c r="P1736" s="435">
        <f t="shared" si="1214"/>
        <v>21.550000000000001</v>
      </c>
      <c r="AE1736" s="217"/>
      <c r="AF1736" s="217">
        <v>1204</v>
      </c>
      <c r="AH1736">
        <f t="shared" si="1226"/>
        <v>1204</v>
      </c>
    </row>
    <row r="1737" ht="30" hidden="1">
      <c r="A1737" s="217"/>
      <c r="B1737" s="217">
        <v>1204</v>
      </c>
      <c r="C1737" s="217"/>
      <c r="D1737" s="217" t="s">
        <v>17167</v>
      </c>
      <c r="E1737" s="471" t="s">
        <v>20663</v>
      </c>
      <c r="F1737" s="489">
        <v>88317</v>
      </c>
      <c r="G1737" s="470" t="s">
        <v>7396</v>
      </c>
      <c r="H1737" s="482" t="s">
        <v>2032</v>
      </c>
      <c r="I1737" s="483">
        <v>4.5</v>
      </c>
      <c r="J1737" s="473">
        <f t="shared" si="1208"/>
        <v>29.559999999999999</v>
      </c>
      <c r="K1737" s="474">
        <f t="shared" si="1224"/>
        <v>133.01999999999998</v>
      </c>
      <c r="L1737" s="473">
        <f t="shared" si="1216"/>
        <v>27.949999999999999</v>
      </c>
      <c r="M1737" s="474">
        <f t="shared" si="1225"/>
        <v>125.77499999999999</v>
      </c>
      <c r="O1737" s="434">
        <f t="shared" si="1213"/>
        <v>29.559999999999999</v>
      </c>
      <c r="P1737" s="435">
        <f t="shared" si="1214"/>
        <v>27.949999999999999</v>
      </c>
      <c r="AE1737" s="217"/>
      <c r="AF1737" s="217">
        <v>1204</v>
      </c>
      <c r="AH1737">
        <f t="shared" si="1226"/>
        <v>1204</v>
      </c>
    </row>
    <row r="1738" ht="60" hidden="1">
      <c r="A1738" s="217"/>
      <c r="B1738" s="217">
        <v>1204</v>
      </c>
      <c r="C1738" s="217"/>
      <c r="D1738" s="217" t="s">
        <v>20408</v>
      </c>
      <c r="E1738" s="471" t="s">
        <v>20665</v>
      </c>
      <c r="F1738" s="489">
        <v>7167</v>
      </c>
      <c r="G1738" s="470" t="s">
        <v>21529</v>
      </c>
      <c r="H1738" s="482" t="s">
        <v>15515</v>
      </c>
      <c r="I1738" s="483">
        <v>1.1000000000000001</v>
      </c>
      <c r="J1738" s="473">
        <f t="shared" si="1208"/>
        <v>22.77</v>
      </c>
      <c r="K1738" s="474">
        <f t="shared" si="1224"/>
        <v>25.047000000000001</v>
      </c>
      <c r="L1738" s="473">
        <f t="shared" si="1216"/>
        <v>22.77</v>
      </c>
      <c r="M1738" s="474">
        <f t="shared" si="1225"/>
        <v>25.047000000000001</v>
      </c>
      <c r="O1738" s="434">
        <f t="shared" si="1213"/>
        <v>22.77</v>
      </c>
      <c r="P1738" s="435">
        <f t="shared" si="1214"/>
        <v>22.77</v>
      </c>
      <c r="AE1738" s="217"/>
      <c r="AF1738" s="217">
        <v>1204</v>
      </c>
      <c r="AH1738">
        <f t="shared" si="1226"/>
        <v>1204</v>
      </c>
    </row>
    <row r="1739" ht="45" hidden="1">
      <c r="A1739" s="217"/>
      <c r="B1739" s="217">
        <v>1204</v>
      </c>
      <c r="C1739" s="217"/>
      <c r="D1739" s="217" t="s">
        <v>20408</v>
      </c>
      <c r="E1739" s="471" t="s">
        <v>20667</v>
      </c>
      <c r="F1739" s="489">
        <v>7697</v>
      </c>
      <c r="G1739" s="470" t="s">
        <v>21530</v>
      </c>
      <c r="H1739" s="482" t="s">
        <v>38</v>
      </c>
      <c r="I1739" s="483">
        <v>1.4318</v>
      </c>
      <c r="J1739" s="473" t="e">
        <f t="shared" si="1208"/>
        <v>#VALUE!</v>
      </c>
      <c r="K1739" s="474" t="e">
        <f t="shared" si="1224"/>
        <v>#VALUE!</v>
      </c>
      <c r="L1739" s="473" t="e">
        <f t="shared" si="1216"/>
        <v>#VALUE!</v>
      </c>
      <c r="M1739" s="474" t="e">
        <f t="shared" si="1225"/>
        <v>#VALUE!</v>
      </c>
      <c r="O1739" s="434" t="str">
        <f t="shared" si="1213"/>
        <v>VERIFICAR</v>
      </c>
      <c r="P1739" s="435" t="str">
        <f t="shared" si="1214"/>
        <v>VERIFICAR</v>
      </c>
      <c r="AE1739" s="217"/>
      <c r="AF1739" s="217">
        <v>1204</v>
      </c>
      <c r="AH1739">
        <f t="shared" si="1226"/>
        <v>1204</v>
      </c>
    </row>
    <row r="1740" ht="30" hidden="1">
      <c r="A1740" s="217"/>
      <c r="B1740" s="217">
        <v>1204</v>
      </c>
      <c r="C1740" s="217"/>
      <c r="D1740" s="217" t="s">
        <v>20408</v>
      </c>
      <c r="E1740" s="471" t="s">
        <v>20671</v>
      </c>
      <c r="F1740" s="489">
        <v>10997</v>
      </c>
      <c r="G1740" s="470" t="s">
        <v>21531</v>
      </c>
      <c r="H1740" s="482" t="s">
        <v>302</v>
      </c>
      <c r="I1740" s="483">
        <v>3.3700000000000001</v>
      </c>
      <c r="J1740" s="473">
        <f t="shared" si="1208"/>
        <v>35.310000000000002</v>
      </c>
      <c r="K1740" s="474">
        <f t="shared" si="1224"/>
        <v>118.99470000000001</v>
      </c>
      <c r="L1740" s="473">
        <f t="shared" si="1216"/>
        <v>35.310000000000002</v>
      </c>
      <c r="M1740" s="474">
        <f t="shared" si="1225"/>
        <v>118.99470000000001</v>
      </c>
      <c r="O1740" s="434">
        <f t="shared" si="1213"/>
        <v>35.310000000000002</v>
      </c>
      <c r="P1740" s="435">
        <f t="shared" si="1214"/>
        <v>35.310000000000002</v>
      </c>
      <c r="AE1740" s="217"/>
      <c r="AF1740" s="217">
        <v>1204</v>
      </c>
      <c r="AH1740">
        <f t="shared" si="1226"/>
        <v>1204</v>
      </c>
    </row>
    <row r="1741" ht="45" hidden="1">
      <c r="A1741" s="217"/>
      <c r="B1741" s="217">
        <v>1204</v>
      </c>
      <c r="C1741" s="217"/>
      <c r="D1741" s="217" t="s">
        <v>20408</v>
      </c>
      <c r="E1741" s="471" t="s">
        <v>20672</v>
      </c>
      <c r="F1741" s="489">
        <v>21010</v>
      </c>
      <c r="G1741" s="470" t="s">
        <v>21532</v>
      </c>
      <c r="H1741" s="482" t="s">
        <v>38</v>
      </c>
      <c r="I1741" s="483">
        <v>6.7407000000000004</v>
      </c>
      <c r="J1741" s="473">
        <f t="shared" si="1208"/>
        <v>31.84</v>
      </c>
      <c r="K1741" s="474">
        <f t="shared" si="1224"/>
        <v>214.62388800000002</v>
      </c>
      <c r="L1741" s="473">
        <f t="shared" si="1216"/>
        <v>31.84</v>
      </c>
      <c r="M1741" s="474">
        <f t="shared" si="1225"/>
        <v>214.62388800000002</v>
      </c>
      <c r="O1741" s="434">
        <f t="shared" si="1213"/>
        <v>31.84</v>
      </c>
      <c r="P1741" s="435">
        <f t="shared" si="1214"/>
        <v>31.84</v>
      </c>
      <c r="AE1741" s="217"/>
      <c r="AF1741" s="217">
        <v>1204</v>
      </c>
      <c r="AH1741">
        <f t="shared" si="1226"/>
        <v>1204</v>
      </c>
    </row>
    <row r="1742" ht="69" hidden="1" customHeight="1">
      <c r="A1742" s="460">
        <v>1205</v>
      </c>
      <c r="B1742" s="460">
        <v>1205</v>
      </c>
      <c r="C1742" s="460"/>
      <c r="D1742" s="460"/>
      <c r="E1742" s="461">
        <v>1</v>
      </c>
      <c r="F1742" s="462" t="s">
        <v>21533</v>
      </c>
      <c r="G1742" s="477" t="s">
        <v>21534</v>
      </c>
      <c r="H1742" s="579" t="s">
        <v>38</v>
      </c>
      <c r="I1742" s="479"/>
      <c r="J1742" s="480"/>
      <c r="K1742" s="466" t="e">
        <f>SUM(K1743:K1749)</f>
        <v>#VALUE!</v>
      </c>
      <c r="L1742" s="480"/>
      <c r="M1742" s="466" t="e">
        <f>SUM(M1743:M1749)</f>
        <v>#VALUE!</v>
      </c>
      <c r="N1742" s="467" t="s">
        <v>21535</v>
      </c>
      <c r="O1742" s="434" t="str">
        <f t="shared" si="1213"/>
        <v xml:space="preserve">SEM VALOR</v>
      </c>
      <c r="P1742" s="435" t="str">
        <f t="shared" si="1214"/>
        <v xml:space="preserve">SEM VALOR</v>
      </c>
      <c r="AE1742" s="460">
        <v>1205</v>
      </c>
      <c r="AF1742" s="460"/>
      <c r="AH1742">
        <f t="shared" si="1226"/>
        <v>1205</v>
      </c>
    </row>
    <row r="1743" ht="30" hidden="1">
      <c r="A1743" s="217"/>
      <c r="B1743" s="217">
        <v>1205</v>
      </c>
      <c r="C1743" s="217"/>
      <c r="D1743" s="217" t="s">
        <v>17167</v>
      </c>
      <c r="E1743" s="471" t="s">
        <v>20399</v>
      </c>
      <c r="F1743" s="489">
        <v>88264</v>
      </c>
      <c r="G1743" s="470" t="s">
        <v>7319</v>
      </c>
      <c r="H1743" s="482" t="s">
        <v>2032</v>
      </c>
      <c r="I1743" s="483">
        <v>5.0000000000000003e-002</v>
      </c>
      <c r="J1743" s="473">
        <f t="shared" si="1208"/>
        <v>31.140000000000001</v>
      </c>
      <c r="K1743" s="474">
        <f t="shared" ref="K1743:K1749" si="1227">I1743*J1743</f>
        <v>1.5570000000000002</v>
      </c>
      <c r="L1743" s="473">
        <f t="shared" si="1216"/>
        <v>29.32</v>
      </c>
      <c r="M1743" s="474">
        <f t="shared" ref="M1743:M1749" si="1228">L1743*I1743</f>
        <v>1.4660000000000002</v>
      </c>
      <c r="O1743" s="434">
        <f t="shared" si="1213"/>
        <v>31.140000000000001</v>
      </c>
      <c r="P1743" s="435">
        <f t="shared" si="1214"/>
        <v>29.32</v>
      </c>
      <c r="AE1743" s="217"/>
      <c r="AF1743" s="217">
        <v>1205</v>
      </c>
      <c r="AH1743">
        <f t="shared" si="1226"/>
        <v>1205</v>
      </c>
    </row>
    <row r="1744" ht="30" hidden="1">
      <c r="A1744" s="217"/>
      <c r="B1744" s="217">
        <v>1205</v>
      </c>
      <c r="C1744" s="217"/>
      <c r="D1744" s="217" t="s">
        <v>17167</v>
      </c>
      <c r="E1744" s="471" t="s">
        <v>20402</v>
      </c>
      <c r="F1744" s="489">
        <v>88316</v>
      </c>
      <c r="G1744" s="470" t="s">
        <v>7393</v>
      </c>
      <c r="H1744" s="482" t="s">
        <v>2032</v>
      </c>
      <c r="I1744" s="483">
        <v>5.0000000000000003e-002</v>
      </c>
      <c r="J1744" s="473">
        <f t="shared" si="1208"/>
        <v>22.760000000000002</v>
      </c>
      <c r="K1744" s="474">
        <f t="shared" si="1227"/>
        <v>1.1380000000000001</v>
      </c>
      <c r="L1744" s="473">
        <f t="shared" si="1216"/>
        <v>21.550000000000001</v>
      </c>
      <c r="M1744" s="474">
        <f t="shared" si="1228"/>
        <v>1.0775000000000001</v>
      </c>
      <c r="O1744" s="434">
        <f t="shared" si="1213"/>
        <v>22.760000000000002</v>
      </c>
      <c r="P1744" s="435">
        <f t="shared" si="1214"/>
        <v>21.550000000000001</v>
      </c>
      <c r="AE1744" s="217"/>
      <c r="AF1744" s="217">
        <v>1205</v>
      </c>
      <c r="AH1744">
        <f t="shared" si="1226"/>
        <v>1205</v>
      </c>
    </row>
    <row r="1745" ht="45" hidden="1">
      <c r="A1745" s="217"/>
      <c r="B1745" s="217">
        <v>1205</v>
      </c>
      <c r="C1745" s="217"/>
      <c r="D1745" s="217" t="s">
        <v>20408</v>
      </c>
      <c r="E1745" s="471" t="s">
        <v>20405</v>
      </c>
      <c r="F1745" s="489">
        <v>939</v>
      </c>
      <c r="G1745" s="470" t="s">
        <v>21536</v>
      </c>
      <c r="H1745" s="482" t="s">
        <v>38</v>
      </c>
      <c r="I1745" s="483">
        <v>0.29999999999999999</v>
      </c>
      <c r="J1745" s="473">
        <f t="shared" si="1208"/>
        <v>3.1299999999999999</v>
      </c>
      <c r="K1745" s="474">
        <f t="shared" si="1227"/>
        <v>0.93899999999999995</v>
      </c>
      <c r="L1745" s="473">
        <f t="shared" si="1216"/>
        <v>3.1299999999999999</v>
      </c>
      <c r="M1745" s="474">
        <f t="shared" si="1228"/>
        <v>0.93899999999999995</v>
      </c>
      <c r="O1745" s="434">
        <f t="shared" si="1213"/>
        <v>3.1299999999999999</v>
      </c>
      <c r="P1745" s="435">
        <f t="shared" si="1214"/>
        <v>3.1299999999999999</v>
      </c>
      <c r="AE1745" s="217"/>
      <c r="AF1745" s="217">
        <v>1205</v>
      </c>
      <c r="AH1745">
        <f t="shared" si="1226"/>
        <v>1205</v>
      </c>
    </row>
    <row r="1746" ht="30" hidden="1">
      <c r="A1746" s="217"/>
      <c r="B1746" s="217">
        <v>1205</v>
      </c>
      <c r="C1746" s="217"/>
      <c r="D1746" s="217" t="s">
        <v>20408</v>
      </c>
      <c r="E1746" s="471" t="s">
        <v>20409</v>
      </c>
      <c r="F1746" s="489">
        <v>2705</v>
      </c>
      <c r="G1746" s="470" t="s">
        <v>21537</v>
      </c>
      <c r="H1746" s="482" t="s">
        <v>20943</v>
      </c>
      <c r="I1746" s="483">
        <v>0.23999999999999999</v>
      </c>
      <c r="J1746" s="473">
        <f t="shared" si="1208"/>
        <v>1.1299999999999999</v>
      </c>
      <c r="K1746" s="474">
        <f t="shared" si="1227"/>
        <v>0.27119999999999994</v>
      </c>
      <c r="L1746" s="473">
        <f t="shared" si="1216"/>
        <v>1.1299999999999999</v>
      </c>
      <c r="M1746" s="474">
        <f t="shared" si="1228"/>
        <v>0.27119999999999994</v>
      </c>
      <c r="O1746" s="434">
        <f t="shared" si="1213"/>
        <v>1.1299999999999999</v>
      </c>
      <c r="P1746" s="435">
        <f t="shared" si="1214"/>
        <v>1.1299999999999999</v>
      </c>
      <c r="AE1746" s="217"/>
      <c r="AF1746" s="217">
        <v>1205</v>
      </c>
      <c r="AH1746">
        <f t="shared" si="1226"/>
        <v>1205</v>
      </c>
    </row>
    <row r="1747" ht="30" hidden="1">
      <c r="A1747" s="217"/>
      <c r="B1747" s="217">
        <v>1205</v>
      </c>
      <c r="C1747" s="217"/>
      <c r="D1747" s="217" t="s">
        <v>20408</v>
      </c>
      <c r="E1747" s="471" t="s">
        <v>20663</v>
      </c>
      <c r="F1747" s="489">
        <v>3753</v>
      </c>
      <c r="G1747" s="470" t="s">
        <v>21538</v>
      </c>
      <c r="H1747" s="482" t="s">
        <v>31</v>
      </c>
      <c r="I1747" s="483">
        <v>8.9999999999999993e-003</v>
      </c>
      <c r="J1747" s="473" t="e">
        <f t="shared" si="1208"/>
        <v>#VALUE!</v>
      </c>
      <c r="K1747" s="474" t="e">
        <f t="shared" si="1227"/>
        <v>#VALUE!</v>
      </c>
      <c r="L1747" s="473" t="e">
        <f t="shared" si="1216"/>
        <v>#VALUE!</v>
      </c>
      <c r="M1747" s="474" t="e">
        <f t="shared" si="1228"/>
        <v>#VALUE!</v>
      </c>
      <c r="O1747" s="434" t="str">
        <f t="shared" si="1213"/>
        <v xml:space="preserve">SEM VALOR</v>
      </c>
      <c r="P1747" s="435" t="str">
        <f t="shared" si="1214"/>
        <v xml:space="preserve">SEM VALOR</v>
      </c>
      <c r="AE1747" s="217"/>
      <c r="AF1747" s="217">
        <v>1205</v>
      </c>
      <c r="AH1747">
        <f t="shared" si="1226"/>
        <v>1205</v>
      </c>
    </row>
    <row r="1748" ht="30" hidden="1">
      <c r="A1748" s="217"/>
      <c r="B1748" s="217">
        <v>1205</v>
      </c>
      <c r="C1748" s="217"/>
      <c r="D1748" s="217" t="s">
        <v>20408</v>
      </c>
      <c r="E1748" s="471" t="s">
        <v>20665</v>
      </c>
      <c r="F1748" s="489">
        <v>4815</v>
      </c>
      <c r="G1748" s="470" t="s">
        <v>21539</v>
      </c>
      <c r="H1748" s="482" t="s">
        <v>31</v>
      </c>
      <c r="I1748" s="483">
        <v>8.9999999999999993e-003</v>
      </c>
      <c r="J1748" s="473">
        <f t="shared" si="1208"/>
        <v>10.460000000000001</v>
      </c>
      <c r="K1748" s="474">
        <f t="shared" si="1227"/>
        <v>9.4140000000000001e-002</v>
      </c>
      <c r="L1748" s="473">
        <f t="shared" si="1216"/>
        <v>10.460000000000001</v>
      </c>
      <c r="M1748" s="474">
        <f t="shared" si="1228"/>
        <v>9.4140000000000001e-002</v>
      </c>
      <c r="O1748" s="434">
        <f t="shared" si="1213"/>
        <v>10.460000000000001</v>
      </c>
      <c r="P1748" s="435">
        <f t="shared" si="1214"/>
        <v>10.460000000000001</v>
      </c>
      <c r="AE1748" s="217"/>
      <c r="AF1748" s="217">
        <v>1205</v>
      </c>
      <c r="AH1748">
        <f t="shared" si="1226"/>
        <v>1205</v>
      </c>
    </row>
    <row r="1749" ht="45" hidden="1">
      <c r="A1749" s="217"/>
      <c r="B1749" s="217">
        <v>1205</v>
      </c>
      <c r="C1749" s="217"/>
      <c r="D1749" s="217" t="s">
        <v>20408</v>
      </c>
      <c r="E1749" s="471" t="s">
        <v>20667</v>
      </c>
      <c r="F1749" s="489">
        <v>12294</v>
      </c>
      <c r="G1749" s="488" t="s">
        <v>21540</v>
      </c>
      <c r="H1749" s="482" t="s">
        <v>31</v>
      </c>
      <c r="I1749" s="483">
        <v>8.9999999999999993e-003</v>
      </c>
      <c r="J1749" s="473">
        <f t="shared" si="1208"/>
        <v>9.1899999999999995</v>
      </c>
      <c r="K1749" s="474">
        <f t="shared" si="1227"/>
        <v>8.2709999999999992e-002</v>
      </c>
      <c r="L1749" s="473">
        <f t="shared" si="1216"/>
        <v>9.1899999999999995</v>
      </c>
      <c r="M1749" s="474">
        <f t="shared" si="1228"/>
        <v>8.2709999999999992e-002</v>
      </c>
      <c r="O1749" s="434">
        <f t="shared" si="1213"/>
        <v>9.1899999999999995</v>
      </c>
      <c r="P1749" s="435">
        <f t="shared" si="1214"/>
        <v>9.1899999999999995</v>
      </c>
      <c r="AE1749" s="217"/>
      <c r="AF1749" s="217">
        <v>1205</v>
      </c>
      <c r="AH1749">
        <f t="shared" si="1226"/>
        <v>1205</v>
      </c>
    </row>
    <row r="1750" ht="66" hidden="1" customHeight="1">
      <c r="A1750" s="460">
        <v>1206</v>
      </c>
      <c r="B1750" s="460">
        <v>1206</v>
      </c>
      <c r="C1750" s="460"/>
      <c r="D1750" s="460"/>
      <c r="E1750" s="461">
        <v>1</v>
      </c>
      <c r="F1750" s="462" t="s">
        <v>21541</v>
      </c>
      <c r="G1750" s="477" t="s">
        <v>21542</v>
      </c>
      <c r="H1750" s="579" t="s">
        <v>31</v>
      </c>
      <c r="I1750" s="479"/>
      <c r="J1750" s="480"/>
      <c r="K1750" s="466">
        <f>SUM(K1751:K1752)</f>
        <v>932.46137399999998</v>
      </c>
      <c r="L1750" s="480"/>
      <c r="M1750" s="466">
        <f>SUM(M1751:M1752)</f>
        <v>903.73074999999994</v>
      </c>
      <c r="N1750" s="467" t="s">
        <v>21543</v>
      </c>
      <c r="O1750" s="434" t="str">
        <f t="shared" si="1213"/>
        <v xml:space="preserve">SEM VALOR</v>
      </c>
      <c r="P1750" s="435" t="str">
        <f t="shared" si="1214"/>
        <v xml:space="preserve">SEM VALOR</v>
      </c>
      <c r="AE1750" s="460">
        <v>1206</v>
      </c>
      <c r="AF1750" s="460"/>
      <c r="AH1750">
        <f t="shared" si="1226"/>
        <v>1206</v>
      </c>
    </row>
    <row r="1751" ht="45" hidden="1">
      <c r="A1751" s="217"/>
      <c r="B1751" s="217">
        <v>1206</v>
      </c>
      <c r="C1751" s="217"/>
      <c r="D1751" s="217" t="s">
        <v>17167</v>
      </c>
      <c r="E1751" s="471" t="s">
        <v>20399</v>
      </c>
      <c r="F1751" s="489">
        <v>102487</v>
      </c>
      <c r="G1751" s="470" t="s">
        <v>8702</v>
      </c>
      <c r="H1751" s="482" t="s">
        <v>15528</v>
      </c>
      <c r="I1751" s="483">
        <v>0.66039999999999999</v>
      </c>
      <c r="J1751" s="473">
        <f t="shared" si="1208"/>
        <v>593.75999999999999</v>
      </c>
      <c r="K1751" s="474">
        <f t="shared" ref="K1751:K1752" si="1229">I1751*J1751</f>
        <v>392.11910399999999</v>
      </c>
      <c r="L1751" s="473">
        <f t="shared" si="1216"/>
        <v>578.95000000000005</v>
      </c>
      <c r="M1751" s="474">
        <f t="shared" ref="M1751:M1752" si="1230">L1751*I1751</f>
        <v>382.33858000000004</v>
      </c>
      <c r="O1751" s="434">
        <f t="shared" si="1213"/>
        <v>593.75999999999999</v>
      </c>
      <c r="P1751" s="435">
        <f t="shared" si="1214"/>
        <v>578.95000000000005</v>
      </c>
      <c r="AE1751" s="217"/>
      <c r="AF1751" s="217">
        <v>1206</v>
      </c>
      <c r="AH1751">
        <f t="shared" si="1226"/>
        <v>1206</v>
      </c>
    </row>
    <row r="1752" ht="75" hidden="1">
      <c r="A1752" s="217"/>
      <c r="B1752" s="217">
        <v>1206</v>
      </c>
      <c r="C1752" s="217"/>
      <c r="D1752" s="217" t="s">
        <v>17167</v>
      </c>
      <c r="E1752" s="471" t="s">
        <v>20402</v>
      </c>
      <c r="F1752" s="489">
        <v>96539</v>
      </c>
      <c r="G1752" s="470" t="s">
        <v>21544</v>
      </c>
      <c r="H1752" s="482" t="s">
        <v>15515</v>
      </c>
      <c r="I1752" s="483">
        <v>4.407</v>
      </c>
      <c r="J1752" s="473">
        <f t="shared" si="1208"/>
        <v>122.61</v>
      </c>
      <c r="K1752" s="474">
        <f t="shared" si="1229"/>
        <v>540.34226999999998</v>
      </c>
      <c r="L1752" s="473">
        <f t="shared" si="1216"/>
        <v>118.31</v>
      </c>
      <c r="M1752" s="474">
        <f t="shared" si="1230"/>
        <v>521.39216999999996</v>
      </c>
      <c r="O1752" s="434">
        <f t="shared" si="1213"/>
        <v>122.61</v>
      </c>
      <c r="P1752" s="435">
        <f t="shared" si="1214"/>
        <v>118.31</v>
      </c>
      <c r="AE1752" s="217"/>
      <c r="AF1752" s="217">
        <v>1206</v>
      </c>
      <c r="AH1752">
        <f t="shared" si="1226"/>
        <v>1206</v>
      </c>
    </row>
    <row r="1753" ht="63" hidden="1">
      <c r="A1753" s="460">
        <v>1207</v>
      </c>
      <c r="B1753" s="460">
        <v>1207</v>
      </c>
      <c r="C1753" s="460"/>
      <c r="D1753" s="460"/>
      <c r="E1753" s="461">
        <v>1</v>
      </c>
      <c r="F1753" s="462" t="s">
        <v>21545</v>
      </c>
      <c r="G1753" s="477" t="s">
        <v>21546</v>
      </c>
      <c r="H1753" s="579" t="s">
        <v>31</v>
      </c>
      <c r="I1753" s="479"/>
      <c r="J1753" s="480"/>
      <c r="K1753" s="466">
        <f>SUM(K1754:K1755)</f>
        <v>1550.1255419999998</v>
      </c>
      <c r="L1753" s="480"/>
      <c r="M1753" s="466">
        <f>SUM(M1754:M1755)</f>
        <v>1503.210096</v>
      </c>
      <c r="N1753" s="467" t="s">
        <v>21547</v>
      </c>
      <c r="O1753" s="434" t="str">
        <f t="shared" si="1213"/>
        <v xml:space="preserve">SEM VALOR</v>
      </c>
      <c r="P1753" s="435" t="str">
        <f t="shared" si="1214"/>
        <v xml:space="preserve">SEM VALOR</v>
      </c>
      <c r="AE1753" s="460">
        <v>1207</v>
      </c>
      <c r="AF1753" s="460"/>
      <c r="AH1753">
        <f t="shared" si="1226"/>
        <v>1207</v>
      </c>
    </row>
    <row r="1754" ht="45" hidden="1">
      <c r="A1754" s="217"/>
      <c r="B1754" s="217">
        <v>1207</v>
      </c>
      <c r="C1754" s="217"/>
      <c r="D1754" s="217" t="s">
        <v>17167</v>
      </c>
      <c r="E1754" s="471" t="s">
        <v>20399</v>
      </c>
      <c r="F1754" s="489">
        <v>102487</v>
      </c>
      <c r="G1754" s="470" t="s">
        <v>8702</v>
      </c>
      <c r="H1754" s="482" t="s">
        <v>15528</v>
      </c>
      <c r="I1754" s="483">
        <v>1.2385999999999999</v>
      </c>
      <c r="J1754" s="473">
        <f t="shared" si="1208"/>
        <v>593.75999999999999</v>
      </c>
      <c r="K1754" s="474">
        <f t="shared" ref="K1754:K1755" si="1231">I1754*J1754</f>
        <v>735.43113599999992</v>
      </c>
      <c r="L1754" s="473">
        <f t="shared" si="1216"/>
        <v>578.95000000000005</v>
      </c>
      <c r="M1754" s="474">
        <f t="shared" ref="M1754:M1755" si="1232">L1754*I1754</f>
        <v>717.08747000000005</v>
      </c>
      <c r="O1754" s="434">
        <f t="shared" si="1213"/>
        <v>593.75999999999999</v>
      </c>
      <c r="P1754" s="435">
        <f t="shared" si="1214"/>
        <v>578.95000000000005</v>
      </c>
      <c r="AE1754" s="217"/>
      <c r="AF1754" s="217">
        <v>1207</v>
      </c>
      <c r="AH1754">
        <f t="shared" si="1226"/>
        <v>1207</v>
      </c>
    </row>
    <row r="1755" ht="75" hidden="1">
      <c r="A1755" s="217"/>
      <c r="B1755" s="217">
        <v>1207</v>
      </c>
      <c r="C1755" s="217"/>
      <c r="D1755" s="217" t="s">
        <v>17167</v>
      </c>
      <c r="E1755" s="471" t="s">
        <v>20402</v>
      </c>
      <c r="F1755" s="489">
        <v>96539</v>
      </c>
      <c r="G1755" s="470" t="s">
        <v>21544</v>
      </c>
      <c r="H1755" s="482" t="s">
        <v>15515</v>
      </c>
      <c r="I1755" s="483">
        <v>6.6445999999999996</v>
      </c>
      <c r="J1755" s="473">
        <f t="shared" si="1208"/>
        <v>122.61</v>
      </c>
      <c r="K1755" s="474">
        <f t="shared" si="1231"/>
        <v>814.69440599999996</v>
      </c>
      <c r="L1755" s="473">
        <f t="shared" si="1216"/>
        <v>118.31</v>
      </c>
      <c r="M1755" s="474">
        <f t="shared" si="1232"/>
        <v>786.12262599999997</v>
      </c>
      <c r="O1755" s="434">
        <f t="shared" si="1213"/>
        <v>122.61</v>
      </c>
      <c r="P1755" s="435">
        <f t="shared" si="1214"/>
        <v>118.31</v>
      </c>
      <c r="AE1755" s="217"/>
      <c r="AF1755" s="217">
        <v>1207</v>
      </c>
      <c r="AH1755">
        <f t="shared" si="1226"/>
        <v>1207</v>
      </c>
    </row>
    <row r="1756" ht="63" hidden="1">
      <c r="A1756" s="460">
        <v>1208</v>
      </c>
      <c r="B1756" s="460">
        <v>1208</v>
      </c>
      <c r="C1756" s="460"/>
      <c r="D1756" s="460"/>
      <c r="E1756" s="461">
        <v>1</v>
      </c>
      <c r="F1756" s="462" t="s">
        <v>21548</v>
      </c>
      <c r="G1756" s="477" t="s">
        <v>21549</v>
      </c>
      <c r="H1756" s="579" t="s">
        <v>31</v>
      </c>
      <c r="I1756" s="479"/>
      <c r="J1756" s="480"/>
      <c r="K1756" s="466">
        <f>SUM(K1757:K1758)</f>
        <v>2522.791929</v>
      </c>
      <c r="L1756" s="480"/>
      <c r="M1756" s="466">
        <f>SUM(M1757:M1758)</f>
        <v>2447.7383390000005</v>
      </c>
      <c r="N1756" s="467" t="s">
        <v>21550</v>
      </c>
      <c r="O1756" s="434" t="str">
        <f t="shared" si="1213"/>
        <v xml:space="preserve">SEM VALOR</v>
      </c>
      <c r="P1756" s="435" t="str">
        <f t="shared" si="1214"/>
        <v xml:space="preserve">SEM VALOR</v>
      </c>
      <c r="AE1756" s="460">
        <v>1208</v>
      </c>
      <c r="AF1756" s="460"/>
      <c r="AH1756">
        <f t="shared" si="1226"/>
        <v>1208</v>
      </c>
    </row>
    <row r="1757" ht="45" hidden="1">
      <c r="A1757" s="217"/>
      <c r="B1757" s="217">
        <v>1208</v>
      </c>
      <c r="C1757" s="217"/>
      <c r="D1757" s="217" t="s">
        <v>17167</v>
      </c>
      <c r="E1757" s="471" t="s">
        <v>20399</v>
      </c>
      <c r="F1757" s="489">
        <v>102487</v>
      </c>
      <c r="G1757" s="470" t="s">
        <v>8702</v>
      </c>
      <c r="H1757" s="482" t="s">
        <v>15528</v>
      </c>
      <c r="I1757" s="483">
        <v>2.2320000000000002</v>
      </c>
      <c r="J1757" s="473">
        <f t="shared" si="1208"/>
        <v>593.75999999999999</v>
      </c>
      <c r="K1757" s="474">
        <f t="shared" ref="K1757:K1758" si="1233">I1757*J1757</f>
        <v>1325.27232</v>
      </c>
      <c r="L1757" s="473">
        <f t="shared" si="1216"/>
        <v>578.95000000000005</v>
      </c>
      <c r="M1757" s="474">
        <f t="shared" ref="M1757:M1758" si="1234">L1757*I1757</f>
        <v>1292.2164000000002</v>
      </c>
      <c r="O1757" s="434">
        <f t="shared" si="1213"/>
        <v>593.75999999999999</v>
      </c>
      <c r="P1757" s="435">
        <f t="shared" si="1214"/>
        <v>578.95000000000005</v>
      </c>
      <c r="AE1757" s="217"/>
      <c r="AF1757" s="217">
        <v>1208</v>
      </c>
      <c r="AH1757">
        <f t="shared" si="1226"/>
        <v>1208</v>
      </c>
    </row>
    <row r="1758" ht="75" hidden="1">
      <c r="A1758" s="217"/>
      <c r="B1758" s="217">
        <v>1208</v>
      </c>
      <c r="C1758" s="217"/>
      <c r="D1758" s="217" t="s">
        <v>17167</v>
      </c>
      <c r="E1758" s="471" t="s">
        <v>20402</v>
      </c>
      <c r="F1758" s="489">
        <v>96539</v>
      </c>
      <c r="G1758" s="470" t="s">
        <v>21544</v>
      </c>
      <c r="H1758" s="482" t="s">
        <v>15515</v>
      </c>
      <c r="I1758" s="483">
        <v>9.7668999999999997</v>
      </c>
      <c r="J1758" s="473">
        <f t="shared" ref="J1758:J1821" si="1235">O1758*$J$3</f>
        <v>122.61</v>
      </c>
      <c r="K1758" s="474">
        <f t="shared" si="1233"/>
        <v>1197.5196089999999</v>
      </c>
      <c r="L1758" s="473">
        <f t="shared" si="1216"/>
        <v>118.31</v>
      </c>
      <c r="M1758" s="474">
        <f t="shared" si="1234"/>
        <v>1155.521939</v>
      </c>
      <c r="O1758" s="434">
        <f t="shared" si="1213"/>
        <v>122.61</v>
      </c>
      <c r="P1758" s="435">
        <f t="shared" si="1214"/>
        <v>118.31</v>
      </c>
      <c r="AE1758" s="217"/>
      <c r="AF1758" s="217">
        <v>1208</v>
      </c>
      <c r="AH1758">
        <f t="shared" si="1226"/>
        <v>1208</v>
      </c>
    </row>
    <row r="1759" ht="63" hidden="1">
      <c r="A1759" s="460">
        <v>1209</v>
      </c>
      <c r="B1759" s="460">
        <v>1209</v>
      </c>
      <c r="C1759" s="460"/>
      <c r="D1759" s="460"/>
      <c r="E1759" s="461">
        <v>1</v>
      </c>
      <c r="F1759" s="462" t="s">
        <v>21551</v>
      </c>
      <c r="G1759" s="477" t="s">
        <v>21552</v>
      </c>
      <c r="H1759" s="579" t="s">
        <v>31</v>
      </c>
      <c r="I1759" s="479"/>
      <c r="J1759" s="480"/>
      <c r="K1759" s="466">
        <f>SUM(K1760:K1761)</f>
        <v>5827.5365999999995</v>
      </c>
      <c r="L1759" s="480"/>
      <c r="M1759" s="466">
        <f>SUM(M1760:M1761)</f>
        <v>5663.3317999999999</v>
      </c>
      <c r="N1759" s="467" t="s">
        <v>21543</v>
      </c>
      <c r="O1759" s="434" t="str">
        <f t="shared" si="1213"/>
        <v xml:space="preserve">SEM VALOR</v>
      </c>
      <c r="P1759" s="435" t="str">
        <f t="shared" si="1214"/>
        <v xml:space="preserve">SEM VALOR</v>
      </c>
      <c r="AE1759" s="460">
        <v>1209</v>
      </c>
      <c r="AF1759" s="460"/>
      <c r="AH1759">
        <f t="shared" si="1226"/>
        <v>1209</v>
      </c>
    </row>
    <row r="1760" ht="45" hidden="1">
      <c r="A1760" s="217"/>
      <c r="B1760" s="217">
        <v>1209</v>
      </c>
      <c r="C1760" s="217"/>
      <c r="D1760" s="217" t="s">
        <v>17167</v>
      </c>
      <c r="E1760" s="471" t="s">
        <v>20399</v>
      </c>
      <c r="F1760" s="489">
        <v>102487</v>
      </c>
      <c r="G1760" s="470" t="s">
        <v>8702</v>
      </c>
      <c r="H1760" s="482" t="s">
        <v>15528</v>
      </c>
      <c r="I1760" s="483">
        <v>6.6799999999999997</v>
      </c>
      <c r="J1760" s="473">
        <f t="shared" si="1235"/>
        <v>593.75999999999999</v>
      </c>
      <c r="K1760" s="474">
        <f t="shared" ref="K1760:K1761" si="1236">I1760*J1760</f>
        <v>3966.3167999999996</v>
      </c>
      <c r="L1760" s="473">
        <f t="shared" si="1216"/>
        <v>578.95000000000005</v>
      </c>
      <c r="M1760" s="474">
        <f t="shared" ref="M1760:M1761" si="1237">L1760*I1760</f>
        <v>3867.386</v>
      </c>
      <c r="O1760" s="434">
        <f t="shared" si="1213"/>
        <v>593.75999999999999</v>
      </c>
      <c r="P1760" s="435">
        <f t="shared" si="1214"/>
        <v>578.95000000000005</v>
      </c>
      <c r="AE1760" s="217"/>
      <c r="AF1760" s="217">
        <v>1209</v>
      </c>
      <c r="AH1760">
        <f t="shared" si="1226"/>
        <v>1209</v>
      </c>
    </row>
    <row r="1761" ht="75" hidden="1">
      <c r="A1761" s="217"/>
      <c r="B1761" s="217">
        <v>1209</v>
      </c>
      <c r="C1761" s="217"/>
      <c r="D1761" s="217" t="s">
        <v>17167</v>
      </c>
      <c r="E1761" s="471" t="s">
        <v>20402</v>
      </c>
      <c r="F1761" s="489">
        <v>96539</v>
      </c>
      <c r="G1761" s="470" t="s">
        <v>21544</v>
      </c>
      <c r="H1761" s="482" t="s">
        <v>15515</v>
      </c>
      <c r="I1761" s="483">
        <v>15.18</v>
      </c>
      <c r="J1761" s="473">
        <f t="shared" si="1235"/>
        <v>122.61</v>
      </c>
      <c r="K1761" s="474">
        <f t="shared" si="1236"/>
        <v>1861.2197999999999</v>
      </c>
      <c r="L1761" s="473">
        <f t="shared" si="1216"/>
        <v>118.31</v>
      </c>
      <c r="M1761" s="474">
        <f t="shared" si="1237"/>
        <v>1795.9458</v>
      </c>
      <c r="O1761" s="434">
        <f t="shared" si="1213"/>
        <v>122.61</v>
      </c>
      <c r="P1761" s="435">
        <f t="shared" si="1214"/>
        <v>118.31</v>
      </c>
      <c r="AE1761" s="217"/>
      <c r="AF1761" s="217">
        <v>1209</v>
      </c>
      <c r="AH1761">
        <f t="shared" si="1226"/>
        <v>1209</v>
      </c>
    </row>
    <row r="1762" ht="31.5" hidden="1">
      <c r="A1762" s="460">
        <v>1210</v>
      </c>
      <c r="B1762" s="460">
        <v>1210</v>
      </c>
      <c r="C1762" s="460"/>
      <c r="D1762" s="460"/>
      <c r="E1762" s="461">
        <v>1</v>
      </c>
      <c r="F1762" s="462" t="s">
        <v>21553</v>
      </c>
      <c r="G1762" s="477" t="s">
        <v>21554</v>
      </c>
      <c r="H1762" s="478" t="s">
        <v>21503</v>
      </c>
      <c r="I1762" s="479"/>
      <c r="J1762" s="480"/>
      <c r="K1762" s="581">
        <f>SUM(K1763:K1764)</f>
        <v>12427.549199999999</v>
      </c>
      <c r="L1762" s="582"/>
      <c r="M1762" s="466">
        <f>SUM(M1763:M1764)</f>
        <v>12427.549199999999</v>
      </c>
      <c r="N1762" s="467" t="s">
        <v>21510</v>
      </c>
      <c r="O1762" s="434" t="str">
        <f t="shared" si="1213"/>
        <v xml:space="preserve">SEM VALOR</v>
      </c>
      <c r="P1762" s="435" t="str">
        <f t="shared" si="1214"/>
        <v xml:space="preserve">SEM VALOR</v>
      </c>
      <c r="AE1762" s="460">
        <v>1210</v>
      </c>
      <c r="AF1762" s="460">
        <v>1210</v>
      </c>
      <c r="AH1762">
        <f t="shared" si="1226"/>
        <v>1210</v>
      </c>
    </row>
    <row r="1763" hidden="1">
      <c r="A1763" s="217"/>
      <c r="B1763" s="217">
        <v>1210</v>
      </c>
      <c r="C1763" s="217"/>
      <c r="D1763" s="217" t="s">
        <v>20644</v>
      </c>
      <c r="E1763" s="471" t="s">
        <v>20399</v>
      </c>
      <c r="F1763" s="489" t="s">
        <v>15456</v>
      </c>
      <c r="G1763" s="488" t="s">
        <v>21555</v>
      </c>
      <c r="H1763" s="482" t="s">
        <v>1535</v>
      </c>
      <c r="I1763" s="483">
        <v>66</v>
      </c>
      <c r="J1763" s="473">
        <f t="shared" si="1235"/>
        <v>94.609999999999999</v>
      </c>
      <c r="K1763" s="474">
        <f t="shared" ref="K1763:K1764" si="1238">I1763*J1763</f>
        <v>6244.2600000000002</v>
      </c>
      <c r="L1763" s="473">
        <f t="shared" si="1216"/>
        <v>94.609999999999999</v>
      </c>
      <c r="M1763" s="474">
        <f t="shared" ref="M1763:M1764" si="1239">L1763*I1763</f>
        <v>6244.2600000000002</v>
      </c>
      <c r="N1763" s="576"/>
      <c r="O1763" s="434">
        <f t="shared" si="1213"/>
        <v>94.609999999999999</v>
      </c>
      <c r="P1763" s="435">
        <f t="shared" si="1214"/>
        <v>94.609999999999999</v>
      </c>
      <c r="AE1763" s="217"/>
      <c r="AF1763" s="217">
        <v>1210</v>
      </c>
      <c r="AH1763">
        <f t="shared" si="1226"/>
        <v>1210</v>
      </c>
    </row>
    <row r="1764" hidden="1">
      <c r="A1764" s="217"/>
      <c r="B1764" s="217">
        <v>1210</v>
      </c>
      <c r="C1764" s="217"/>
      <c r="D1764" s="217" t="s">
        <v>20644</v>
      </c>
      <c r="E1764" s="471" t="s">
        <v>20402</v>
      </c>
      <c r="F1764" s="489" t="s">
        <v>15458</v>
      </c>
      <c r="G1764" s="488" t="s">
        <v>21555</v>
      </c>
      <c r="H1764" s="482" t="s">
        <v>1533</v>
      </c>
      <c r="I1764" s="483">
        <v>116.48999999999999</v>
      </c>
      <c r="J1764" s="473">
        <f t="shared" si="1235"/>
        <v>53.079999999999998</v>
      </c>
      <c r="K1764" s="474">
        <f t="shared" si="1238"/>
        <v>6183.2891999999993</v>
      </c>
      <c r="L1764" s="473">
        <f t="shared" si="1216"/>
        <v>53.079999999999998</v>
      </c>
      <c r="M1764" s="474">
        <f t="shared" si="1239"/>
        <v>6183.2891999999993</v>
      </c>
      <c r="N1764" s="467"/>
      <c r="O1764" s="434">
        <f t="shared" si="1213"/>
        <v>53.079999999999998</v>
      </c>
      <c r="P1764" s="435">
        <f t="shared" si="1214"/>
        <v>53.079999999999998</v>
      </c>
      <c r="AE1764" s="217"/>
      <c r="AF1764" s="217">
        <v>1210</v>
      </c>
      <c r="AH1764">
        <f t="shared" si="1226"/>
        <v>1210</v>
      </c>
    </row>
    <row r="1765" ht="45.75" hidden="1">
      <c r="A1765" s="217"/>
      <c r="B1765" s="217">
        <v>1210</v>
      </c>
      <c r="C1765" s="217"/>
      <c r="D1765" s="217"/>
      <c r="E1765" s="471"/>
      <c r="F1765" s="486"/>
      <c r="G1765" s="470" t="s">
        <v>21556</v>
      </c>
      <c r="H1765" s="482"/>
      <c r="I1765" s="578"/>
      <c r="J1765" s="577"/>
      <c r="K1765" s="474"/>
      <c r="L1765" s="577"/>
      <c r="M1765" s="474"/>
      <c r="N1765" s="467"/>
      <c r="O1765" s="434" t="str">
        <f t="shared" si="1213"/>
        <v xml:space="preserve">SEM VALOR</v>
      </c>
      <c r="P1765" s="435" t="str">
        <f t="shared" si="1214"/>
        <v xml:space="preserve">SEM VALOR</v>
      </c>
      <c r="AE1765" s="217"/>
      <c r="AF1765" s="217">
        <v>1210</v>
      </c>
      <c r="AH1765">
        <f t="shared" si="1226"/>
        <v>1210</v>
      </c>
    </row>
    <row r="1766" hidden="1">
      <c r="A1766" s="217"/>
      <c r="B1766" s="217">
        <v>1210</v>
      </c>
      <c r="C1766" s="217"/>
      <c r="D1766" s="217"/>
      <c r="E1766" s="471"/>
      <c r="F1766" s="486"/>
      <c r="G1766" s="470" t="s">
        <v>21507</v>
      </c>
      <c r="H1766" s="482"/>
      <c r="I1766" s="483"/>
      <c r="J1766" s="577"/>
      <c r="K1766" s="474"/>
      <c r="L1766" s="577"/>
      <c r="M1766" s="474"/>
      <c r="N1766" s="467"/>
      <c r="O1766" s="434" t="str">
        <f t="shared" si="1213"/>
        <v xml:space="preserve">SEM VALOR</v>
      </c>
      <c r="P1766" s="435" t="str">
        <f t="shared" si="1214"/>
        <v xml:space="preserve">SEM VALOR</v>
      </c>
      <c r="AE1766" s="217"/>
      <c r="AF1766" s="217">
        <v>1210</v>
      </c>
      <c r="AH1766">
        <f t="shared" si="1226"/>
        <v>1210</v>
      </c>
    </row>
    <row r="1767" ht="78.75" hidden="1">
      <c r="A1767" s="460">
        <v>1211</v>
      </c>
      <c r="B1767" s="460">
        <v>1211</v>
      </c>
      <c r="C1767" s="460"/>
      <c r="D1767" s="460"/>
      <c r="E1767" s="461">
        <v>1</v>
      </c>
      <c r="F1767" s="462" t="s">
        <v>21557</v>
      </c>
      <c r="G1767" s="477" t="s">
        <v>21558</v>
      </c>
      <c r="H1767" s="579" t="s">
        <v>38</v>
      </c>
      <c r="I1767" s="479"/>
      <c r="J1767" s="480"/>
      <c r="K1767" s="466">
        <f>SUM(K1768:K1772)</f>
        <v>74.084702000000007</v>
      </c>
      <c r="L1767" s="480"/>
      <c r="M1767" s="466">
        <f>SUM(M1768:M1772)</f>
        <v>73.992018999999999</v>
      </c>
      <c r="N1767" s="467" t="s">
        <v>21559</v>
      </c>
      <c r="O1767" s="434" t="str">
        <f t="shared" si="1213"/>
        <v xml:space="preserve">SEM VALOR</v>
      </c>
      <c r="P1767" s="435" t="str">
        <f t="shared" si="1214"/>
        <v xml:space="preserve">SEM VALOR</v>
      </c>
      <c r="AE1767" s="460">
        <v>1211</v>
      </c>
      <c r="AF1767" s="460"/>
      <c r="AH1767">
        <f t="shared" si="1226"/>
        <v>1211</v>
      </c>
    </row>
    <row r="1768" ht="105" hidden="1">
      <c r="A1768" s="217"/>
      <c r="B1768" s="217">
        <v>1211</v>
      </c>
      <c r="C1768" s="217"/>
      <c r="D1768" s="217" t="s">
        <v>17167</v>
      </c>
      <c r="E1768" s="471" t="s">
        <v>20399</v>
      </c>
      <c r="F1768" s="489">
        <v>5824</v>
      </c>
      <c r="G1768" s="470" t="s">
        <v>1603</v>
      </c>
      <c r="H1768" s="482" t="s">
        <v>1535</v>
      </c>
      <c r="I1768" s="483">
        <v>1.e-003</v>
      </c>
      <c r="J1768" s="473">
        <f t="shared" si="1235"/>
        <v>233.72</v>
      </c>
      <c r="K1768" s="474">
        <f t="shared" ref="K1768:K1772" si="1240">I1768*J1768</f>
        <v>0.23372000000000001</v>
      </c>
      <c r="L1768" s="473">
        <f t="shared" si="1216"/>
        <v>232.12</v>
      </c>
      <c r="M1768" s="474">
        <f t="shared" ref="M1768:M1772" si="1241">L1768*I1768</f>
        <v>0.23212000000000002</v>
      </c>
      <c r="O1768" s="434">
        <f t="shared" si="1213"/>
        <v>233.72</v>
      </c>
      <c r="P1768" s="435">
        <f t="shared" si="1214"/>
        <v>232.12</v>
      </c>
      <c r="AE1768" s="217"/>
      <c r="AF1768" s="217">
        <v>1211</v>
      </c>
      <c r="AH1768">
        <f t="shared" si="1226"/>
        <v>1211</v>
      </c>
    </row>
    <row r="1769" ht="30" hidden="1">
      <c r="A1769" s="217"/>
      <c r="B1769" s="217">
        <v>1211</v>
      </c>
      <c r="C1769" s="217"/>
      <c r="D1769" s="217" t="s">
        <v>17167</v>
      </c>
      <c r="E1769" s="471" t="s">
        <v>20402</v>
      </c>
      <c r="F1769" s="489">
        <v>88251</v>
      </c>
      <c r="G1769" s="470" t="s">
        <v>7116</v>
      </c>
      <c r="H1769" s="482" t="s">
        <v>2032</v>
      </c>
      <c r="I1769" s="483">
        <v>3.1300000000000001e-002</v>
      </c>
      <c r="J1769" s="473">
        <f t="shared" si="1235"/>
        <v>23.48</v>
      </c>
      <c r="K1769" s="474">
        <f t="shared" si="1240"/>
        <v>0.73492400000000002</v>
      </c>
      <c r="L1769" s="473">
        <f t="shared" si="1216"/>
        <v>22.219999999999999</v>
      </c>
      <c r="M1769" s="474">
        <f t="shared" si="1241"/>
        <v>0.69548600000000005</v>
      </c>
      <c r="O1769" s="434">
        <f t="shared" si="1213"/>
        <v>23.48</v>
      </c>
      <c r="P1769" s="435">
        <f t="shared" si="1214"/>
        <v>22.219999999999999</v>
      </c>
      <c r="AE1769" s="217"/>
      <c r="AF1769" s="217">
        <v>1211</v>
      </c>
      <c r="AH1769">
        <f t="shared" si="1226"/>
        <v>1211</v>
      </c>
    </row>
    <row r="1770" ht="30" hidden="1">
      <c r="A1770" s="217"/>
      <c r="B1770" s="217">
        <v>1211</v>
      </c>
      <c r="C1770" s="217"/>
      <c r="D1770" s="217" t="s">
        <v>17167</v>
      </c>
      <c r="E1770" s="471" t="s">
        <v>20405</v>
      </c>
      <c r="F1770" s="489">
        <v>88315</v>
      </c>
      <c r="G1770" s="470" t="s">
        <v>7392</v>
      </c>
      <c r="H1770" s="482" t="s">
        <v>38</v>
      </c>
      <c r="I1770" s="483">
        <v>3.1300000000000001e-002</v>
      </c>
      <c r="J1770" s="473">
        <f t="shared" si="1235"/>
        <v>28.800000000000001</v>
      </c>
      <c r="K1770" s="474">
        <f t="shared" si="1240"/>
        <v>0.90144000000000002</v>
      </c>
      <c r="L1770" s="473">
        <f t="shared" si="1216"/>
        <v>27.149999999999999</v>
      </c>
      <c r="M1770" s="474">
        <f t="shared" si="1241"/>
        <v>0.84979499999999997</v>
      </c>
      <c r="O1770" s="434">
        <f t="shared" si="1213"/>
        <v>28.800000000000001</v>
      </c>
      <c r="P1770" s="435">
        <f t="shared" si="1214"/>
        <v>27.149999999999999</v>
      </c>
      <c r="AE1770" s="217"/>
      <c r="AF1770" s="217">
        <v>1211</v>
      </c>
      <c r="AH1770">
        <f t="shared" si="1226"/>
        <v>1211</v>
      </c>
    </row>
    <row r="1771" ht="45" hidden="1">
      <c r="A1771" s="217"/>
      <c r="B1771" s="217">
        <v>1211</v>
      </c>
      <c r="C1771" s="217"/>
      <c r="D1771" s="217" t="s">
        <v>20408</v>
      </c>
      <c r="E1771" s="471" t="s">
        <v>20409</v>
      </c>
      <c r="F1771" s="489">
        <v>21013</v>
      </c>
      <c r="G1771" s="470" t="s">
        <v>21560</v>
      </c>
      <c r="H1771" s="482" t="s">
        <v>38</v>
      </c>
      <c r="I1771" s="483">
        <v>1.03</v>
      </c>
      <c r="J1771" s="473">
        <f t="shared" si="1235"/>
        <v>66.920000000000002</v>
      </c>
      <c r="K1771" s="474">
        <f t="shared" si="1240"/>
        <v>68.927599999999998</v>
      </c>
      <c r="L1771" s="473">
        <f t="shared" si="1216"/>
        <v>66.920000000000002</v>
      </c>
      <c r="M1771" s="474">
        <f t="shared" si="1241"/>
        <v>68.927599999999998</v>
      </c>
      <c r="O1771" s="434">
        <f t="shared" si="1213"/>
        <v>66.920000000000002</v>
      </c>
      <c r="P1771" s="435">
        <f t="shared" si="1214"/>
        <v>66.920000000000002</v>
      </c>
      <c r="AE1771" s="217"/>
      <c r="AF1771" s="217">
        <v>1211</v>
      </c>
      <c r="AH1771">
        <f t="shared" si="1226"/>
        <v>1211</v>
      </c>
    </row>
    <row r="1772" ht="30" hidden="1">
      <c r="A1772" s="217"/>
      <c r="B1772" s="217">
        <v>1211</v>
      </c>
      <c r="C1772" s="217"/>
      <c r="D1772" s="217" t="s">
        <v>20408</v>
      </c>
      <c r="E1772" s="471" t="s">
        <v>20663</v>
      </c>
      <c r="F1772" s="489">
        <v>3912</v>
      </c>
      <c r="G1772" s="470" t="s">
        <v>21561</v>
      </c>
      <c r="H1772" s="482" t="s">
        <v>31</v>
      </c>
      <c r="I1772" s="483">
        <v>8.3299999999999999e-002</v>
      </c>
      <c r="J1772" s="473">
        <f t="shared" si="1235"/>
        <v>39.460000000000001</v>
      </c>
      <c r="K1772" s="474">
        <f t="shared" si="1240"/>
        <v>3.2870180000000002</v>
      </c>
      <c r="L1772" s="473">
        <f t="shared" si="1216"/>
        <v>39.460000000000001</v>
      </c>
      <c r="M1772" s="474">
        <f t="shared" si="1241"/>
        <v>3.2870180000000002</v>
      </c>
      <c r="O1772" s="434">
        <f t="shared" ref="O1772:O1835" si="1242">IFERROR(IF(D1772="SINAPI",VLOOKUP(F1772,SINCOMOD,4,FALSE),IF(D1772="INSINAPI",VLOOKUP(F1772,INSINOD,5,FALSE),IF(D1772="SICRO",VLOOKUP(F1772,SICRO,5,FALSE),IF(D1772="COTACAO",VLOOKUP(F1772,COTACAO,6,FALSE),IF(D1772="PRÓPRIO",VLOOKUP(F1772,COMPOD,11,FALSE),IF(D1772="AGESUL",VLOOKUP(F1772,AGESULOD,6,FALSE),IF(D1772="INSAGESUL",VLOOKUP(F1772,INSAGESUL,7,FALSE),"SEM VALOR"))))))),"SEM VALOR")</f>
        <v>39.460000000000001</v>
      </c>
      <c r="P1772" s="435">
        <f t="shared" ref="P1772:P1835" si="1243">IFERROR(IF(D1772="SINAPI",VLOOKUP(F1772,SINCOMOD,6,FALSE),IF(D1772="INSINAPI",VLOOKUP(F1772,INSINOD,6,FALSE),IF(D1772="SICRO",VLOOKUP(F1772,SICRO,5,FALSE),IF(D1772="COTACAO",VLOOKUP(F1772,COTACAO,6,FALSE),IF(D1772="PRÓPRIO",VLOOKUP(F1772,COMPOD,13,FALSE),IF(D1772="AGESUL",VLOOKUP(F1772,AGESULOD,11,FALSE),IF(D1772="INSAGESUL",VLOOKUP(F1772,INSAGESUL,8,FALSE),"SEM VALOR"))))))),"SEM VALOR")</f>
        <v>39.460000000000001</v>
      </c>
      <c r="AE1772" s="217"/>
      <c r="AF1772" s="217">
        <v>1211</v>
      </c>
      <c r="AH1772">
        <f t="shared" si="1226"/>
        <v>1211</v>
      </c>
    </row>
    <row r="1773" ht="63" hidden="1">
      <c r="A1773" s="460">
        <v>1212</v>
      </c>
      <c r="B1773" s="460">
        <v>1212</v>
      </c>
      <c r="C1773" s="460"/>
      <c r="D1773" s="460"/>
      <c r="E1773" s="461">
        <v>1</v>
      </c>
      <c r="F1773" s="462" t="s">
        <v>21562</v>
      </c>
      <c r="G1773" s="477" t="s">
        <v>21563</v>
      </c>
      <c r="H1773" s="478" t="s">
        <v>38</v>
      </c>
      <c r="I1773" s="479"/>
      <c r="J1773" s="480"/>
      <c r="K1773" s="466">
        <f>SUM(K1774:K1777)</f>
        <v>330.430343096</v>
      </c>
      <c r="L1773" s="480"/>
      <c r="M1773" s="466">
        <f>SUM(M1774:M1777)</f>
        <v>330.40218052199998</v>
      </c>
      <c r="O1773" s="434" t="str">
        <f t="shared" si="1242"/>
        <v xml:space="preserve">SEM VALOR</v>
      </c>
      <c r="P1773" s="435" t="str">
        <f t="shared" si="1243"/>
        <v xml:space="preserve">SEM VALOR</v>
      </c>
      <c r="AE1773" s="460">
        <v>1212</v>
      </c>
      <c r="AF1773" s="460">
        <v>1212</v>
      </c>
      <c r="AH1773">
        <f t="shared" si="1226"/>
        <v>1212</v>
      </c>
    </row>
    <row r="1774" ht="60" hidden="1">
      <c r="A1774" s="217"/>
      <c r="B1774" s="217">
        <v>1212</v>
      </c>
      <c r="C1774" s="217"/>
      <c r="D1774" s="217" t="s">
        <v>20644</v>
      </c>
      <c r="E1774" s="471" t="s">
        <v>20399</v>
      </c>
      <c r="F1774" s="469" t="s">
        <v>15459</v>
      </c>
      <c r="G1774" s="470" t="s">
        <v>21564</v>
      </c>
      <c r="H1774" s="482" t="s">
        <v>1535</v>
      </c>
      <c r="I1774" s="483">
        <f>1/66.4</f>
        <v>1.5060199999999999e-002</v>
      </c>
      <c r="J1774" s="473">
        <f t="shared" si="1235"/>
        <v>408.29000000000002</v>
      </c>
      <c r="K1774" s="474">
        <f t="shared" ref="K1774:K1777" si="1244">I1774*J1774</f>
        <v>6.1489290580000002</v>
      </c>
      <c r="L1774" s="473">
        <f t="shared" ref="L1773:L1836" si="1245">P1774*$L$3</f>
        <v>408.29000000000002</v>
      </c>
      <c r="M1774" s="474">
        <f t="shared" ref="M1774:M1777" si="1246">L1774*I1774</f>
        <v>6.1489290580000002</v>
      </c>
      <c r="O1774" s="434">
        <f t="shared" si="1242"/>
        <v>408.29000000000002</v>
      </c>
      <c r="P1774" s="435">
        <f t="shared" si="1243"/>
        <v>408.29000000000002</v>
      </c>
      <c r="AE1774" s="217"/>
      <c r="AF1774" s="217">
        <v>1212</v>
      </c>
      <c r="AH1774">
        <f t="shared" si="1226"/>
        <v>1212</v>
      </c>
    </row>
    <row r="1775" hidden="1">
      <c r="A1775" s="217"/>
      <c r="B1775" s="217">
        <v>1212</v>
      </c>
      <c r="C1775" s="217"/>
      <c r="D1775" s="217" t="s">
        <v>20408</v>
      </c>
      <c r="E1775" s="471" t="s">
        <v>20402</v>
      </c>
      <c r="F1775" s="469">
        <v>252</v>
      </c>
      <c r="G1775" s="470" t="s">
        <v>21565</v>
      </c>
      <c r="H1775" s="482" t="s">
        <v>2032</v>
      </c>
      <c r="I1775" s="483">
        <f>3/66.4</f>
        <v>4.5180699999999997e-002</v>
      </c>
      <c r="J1775" s="473">
        <f t="shared" si="1235"/>
        <v>16.5</v>
      </c>
      <c r="K1775" s="474">
        <f t="shared" si="1244"/>
        <v>0.74548154999999994</v>
      </c>
      <c r="L1775" s="473">
        <f t="shared" si="1245"/>
        <v>16.5</v>
      </c>
      <c r="M1775" s="474">
        <f t="shared" si="1246"/>
        <v>0.74548154999999994</v>
      </c>
      <c r="O1775" s="434">
        <f t="shared" si="1242"/>
        <v>16.5</v>
      </c>
      <c r="P1775" s="435">
        <f t="shared" si="1243"/>
        <v>16.5</v>
      </c>
      <c r="AE1775" s="217"/>
      <c r="AF1775" s="217">
        <v>1212</v>
      </c>
      <c r="AH1775">
        <f t="shared" si="1226"/>
        <v>1212</v>
      </c>
    </row>
    <row r="1776" ht="30" hidden="1">
      <c r="A1776" s="217"/>
      <c r="B1776" s="217">
        <v>1212</v>
      </c>
      <c r="C1776" s="217"/>
      <c r="D1776" s="217" t="s">
        <v>17167</v>
      </c>
      <c r="E1776" s="471" t="s">
        <v>20405</v>
      </c>
      <c r="F1776" s="469">
        <v>88278</v>
      </c>
      <c r="G1776" s="470" t="s">
        <v>21185</v>
      </c>
      <c r="H1776" s="482" t="s">
        <v>2032</v>
      </c>
      <c r="I1776" s="483">
        <f>1/66.4</f>
        <v>1.5060199999999999e-002</v>
      </c>
      <c r="J1776" s="473">
        <f t="shared" si="1235"/>
        <v>30.440000000000001</v>
      </c>
      <c r="K1776" s="474">
        <f t="shared" si="1244"/>
        <v>0.45843248799999997</v>
      </c>
      <c r="L1776" s="473">
        <f t="shared" si="1245"/>
        <v>28.57</v>
      </c>
      <c r="M1776" s="474">
        <f t="shared" si="1246"/>
        <v>0.43026991399999998</v>
      </c>
      <c r="O1776" s="434">
        <f t="shared" si="1242"/>
        <v>30.440000000000001</v>
      </c>
      <c r="P1776" s="435">
        <f t="shared" si="1243"/>
        <v>28.57</v>
      </c>
      <c r="AE1776" s="217"/>
      <c r="AF1776" s="217">
        <v>1212</v>
      </c>
      <c r="AH1776">
        <f t="shared" si="1226"/>
        <v>1212</v>
      </c>
    </row>
    <row r="1777" ht="30" hidden="1">
      <c r="A1777" s="217"/>
      <c r="B1777" s="217">
        <v>1212</v>
      </c>
      <c r="C1777" s="217"/>
      <c r="D1777" s="217" t="s">
        <v>20644</v>
      </c>
      <c r="E1777" s="471" t="s">
        <v>20409</v>
      </c>
      <c r="F1777" s="469" t="s">
        <v>15461</v>
      </c>
      <c r="G1777" s="470" t="s">
        <v>21566</v>
      </c>
      <c r="H1777" s="482" t="s">
        <v>38</v>
      </c>
      <c r="I1777" s="483">
        <v>0.25</v>
      </c>
      <c r="J1777" s="473">
        <f t="shared" si="1235"/>
        <v>1292.3099999999999</v>
      </c>
      <c r="K1777" s="474">
        <f t="shared" si="1244"/>
        <v>323.07749999999999</v>
      </c>
      <c r="L1777" s="473">
        <f t="shared" si="1245"/>
        <v>1292.3099999999999</v>
      </c>
      <c r="M1777" s="474">
        <f t="shared" si="1246"/>
        <v>323.07749999999999</v>
      </c>
      <c r="O1777" s="434">
        <f t="shared" si="1242"/>
        <v>1292.3099999999999</v>
      </c>
      <c r="P1777" s="435">
        <f t="shared" si="1243"/>
        <v>1292.3099999999999</v>
      </c>
      <c r="AE1777" s="217"/>
      <c r="AF1777" s="217">
        <v>1212</v>
      </c>
      <c r="AH1777">
        <f t="shared" si="1226"/>
        <v>1212</v>
      </c>
    </row>
    <row r="1778" ht="45.75" hidden="1">
      <c r="A1778" s="217"/>
      <c r="B1778" s="217">
        <v>1212</v>
      </c>
      <c r="C1778" s="217"/>
      <c r="D1778" s="217"/>
      <c r="E1778" s="217"/>
      <c r="F1778" s="217"/>
      <c r="G1778" s="470" t="s">
        <v>21567</v>
      </c>
      <c r="H1778" s="217"/>
      <c r="I1778" s="217"/>
      <c r="J1778" s="217"/>
      <c r="K1778" s="217"/>
      <c r="L1778" s="217"/>
      <c r="M1778" s="217"/>
      <c r="O1778" s="434" t="str">
        <f t="shared" si="1242"/>
        <v xml:space="preserve">SEM VALOR</v>
      </c>
      <c r="P1778" s="435" t="str">
        <f t="shared" si="1243"/>
        <v xml:space="preserve">SEM VALOR</v>
      </c>
      <c r="AE1778" s="217"/>
      <c r="AF1778" s="217">
        <v>1212</v>
      </c>
      <c r="AH1778">
        <f t="shared" si="1226"/>
        <v>1212</v>
      </c>
    </row>
    <row r="1779" hidden="1">
      <c r="A1779" s="217"/>
      <c r="B1779" s="217">
        <v>1212</v>
      </c>
      <c r="C1779" s="217"/>
      <c r="D1779" s="217"/>
      <c r="E1779" s="217"/>
      <c r="F1779" s="217"/>
      <c r="G1779" s="470" t="s">
        <v>21568</v>
      </c>
      <c r="H1779" s="217"/>
      <c r="I1779" s="217"/>
      <c r="J1779" s="217"/>
      <c r="K1779" s="217"/>
      <c r="L1779" s="217"/>
      <c r="M1779" s="217"/>
      <c r="O1779" s="434" t="str">
        <f t="shared" si="1242"/>
        <v xml:space="preserve">SEM VALOR</v>
      </c>
      <c r="P1779" s="435" t="str">
        <f t="shared" si="1243"/>
        <v xml:space="preserve">SEM VALOR</v>
      </c>
      <c r="AE1779" s="217"/>
      <c r="AF1779" s="217">
        <v>1212</v>
      </c>
      <c r="AH1779">
        <f t="shared" si="1226"/>
        <v>1212</v>
      </c>
    </row>
    <row r="1780" ht="37.5" hidden="1" customHeight="1">
      <c r="A1780" s="460">
        <v>1213</v>
      </c>
      <c r="B1780" s="460">
        <v>1213</v>
      </c>
      <c r="C1780" s="460"/>
      <c r="D1780" s="460"/>
      <c r="E1780" s="461">
        <v>1</v>
      </c>
      <c r="F1780" s="462" t="s">
        <v>21569</v>
      </c>
      <c r="G1780" s="477" t="s">
        <v>21570</v>
      </c>
      <c r="H1780" s="579" t="s">
        <v>15515</v>
      </c>
      <c r="I1780" s="479"/>
      <c r="J1780" s="480"/>
      <c r="K1780" s="466">
        <f>SUM(K1781:K1783)</f>
        <v>15.123184000000002</v>
      </c>
      <c r="L1780" s="480"/>
      <c r="M1780" s="466">
        <f>SUM(M1781:M1783)</f>
        <v>14.874117</v>
      </c>
      <c r="N1780" s="467" t="s">
        <v>21571</v>
      </c>
      <c r="O1780" s="434" t="str">
        <f t="shared" si="1242"/>
        <v xml:space="preserve">SEM VALOR</v>
      </c>
      <c r="P1780" s="435" t="str">
        <f t="shared" si="1243"/>
        <v xml:space="preserve">SEM VALOR</v>
      </c>
      <c r="AE1780" s="460">
        <v>1213</v>
      </c>
      <c r="AF1780" s="460"/>
      <c r="AH1780">
        <f t="shared" si="1226"/>
        <v>1213</v>
      </c>
    </row>
    <row r="1781" ht="45" hidden="1">
      <c r="A1781" s="217"/>
      <c r="B1781" s="217">
        <v>1213</v>
      </c>
      <c r="C1781" s="217"/>
      <c r="D1781" s="217" t="s">
        <v>20408</v>
      </c>
      <c r="E1781" s="471" t="s">
        <v>20399</v>
      </c>
      <c r="F1781" s="469">
        <v>3322</v>
      </c>
      <c r="G1781" s="470" t="s">
        <v>21572</v>
      </c>
      <c r="H1781" s="482" t="s">
        <v>15515</v>
      </c>
      <c r="I1781" s="483">
        <v>1</v>
      </c>
      <c r="J1781" s="473">
        <f t="shared" si="1235"/>
        <v>10.5</v>
      </c>
      <c r="K1781" s="474">
        <f t="shared" ref="K1781:K1783" si="1247">I1781*J1781</f>
        <v>10.5</v>
      </c>
      <c r="L1781" s="473">
        <f t="shared" si="1245"/>
        <v>10.5</v>
      </c>
      <c r="M1781" s="474">
        <f t="shared" ref="M1781:M1783" si="1248">L1781*I1781</f>
        <v>10.5</v>
      </c>
      <c r="O1781" s="434">
        <f t="shared" si="1242"/>
        <v>10.5</v>
      </c>
      <c r="P1781" s="435">
        <f t="shared" si="1243"/>
        <v>10.5</v>
      </c>
      <c r="AE1781" s="217"/>
      <c r="AF1781" s="217">
        <v>1213</v>
      </c>
      <c r="AH1781">
        <f t="shared" si="1226"/>
        <v>1213</v>
      </c>
    </row>
    <row r="1782" ht="30" hidden="1">
      <c r="A1782" s="217"/>
      <c r="B1782" s="217">
        <v>1213</v>
      </c>
      <c r="C1782" s="217"/>
      <c r="D1782" s="217" t="s">
        <v>17167</v>
      </c>
      <c r="E1782" s="471" t="s">
        <v>20402</v>
      </c>
      <c r="F1782" s="469">
        <v>88316</v>
      </c>
      <c r="G1782" s="470" t="s">
        <v>7393</v>
      </c>
      <c r="H1782" s="482" t="s">
        <v>2032</v>
      </c>
      <c r="I1782" s="483">
        <v>0.15640000000000001</v>
      </c>
      <c r="J1782" s="473">
        <f t="shared" si="1235"/>
        <v>22.760000000000002</v>
      </c>
      <c r="K1782" s="474">
        <f t="shared" si="1247"/>
        <v>3.5596640000000006</v>
      </c>
      <c r="L1782" s="473">
        <f t="shared" si="1245"/>
        <v>21.550000000000001</v>
      </c>
      <c r="M1782" s="474">
        <f t="shared" si="1248"/>
        <v>3.3704200000000002</v>
      </c>
      <c r="O1782" s="434">
        <f t="shared" si="1242"/>
        <v>22.760000000000002</v>
      </c>
      <c r="P1782" s="435">
        <f t="shared" si="1243"/>
        <v>21.550000000000001</v>
      </c>
      <c r="AE1782" s="217"/>
      <c r="AF1782" s="217">
        <v>1213</v>
      </c>
      <c r="AH1782">
        <f t="shared" si="1226"/>
        <v>1213</v>
      </c>
    </row>
    <row r="1783" ht="30" hidden="1">
      <c r="A1783" s="217"/>
      <c r="B1783" s="217">
        <v>1213</v>
      </c>
      <c r="C1783" s="217"/>
      <c r="D1783" s="217" t="s">
        <v>17167</v>
      </c>
      <c r="E1783" s="471" t="s">
        <v>20405</v>
      </c>
      <c r="F1783" s="469">
        <v>88441</v>
      </c>
      <c r="G1783" s="470" t="s">
        <v>7331</v>
      </c>
      <c r="H1783" s="482" t="s">
        <v>2032</v>
      </c>
      <c r="I1783" s="483">
        <v>3.9100000000000003e-002</v>
      </c>
      <c r="J1783" s="473">
        <f t="shared" si="1235"/>
        <v>27.199999999999999</v>
      </c>
      <c r="K1783" s="474">
        <f t="shared" si="1247"/>
        <v>1.06352</v>
      </c>
      <c r="L1783" s="473">
        <f t="shared" si="1245"/>
        <v>25.670000000000002</v>
      </c>
      <c r="M1783" s="474">
        <f t="shared" si="1248"/>
        <v>1.0036970000000001</v>
      </c>
      <c r="O1783" s="434">
        <f t="shared" si="1242"/>
        <v>27.199999999999999</v>
      </c>
      <c r="P1783" s="435">
        <f t="shared" si="1243"/>
        <v>25.670000000000002</v>
      </c>
      <c r="AE1783" s="217"/>
      <c r="AF1783" s="217">
        <v>1213</v>
      </c>
      <c r="AH1783">
        <f t="shared" si="1226"/>
        <v>1213</v>
      </c>
    </row>
    <row r="1784" ht="94.5" hidden="1">
      <c r="A1784" s="460">
        <v>1214</v>
      </c>
      <c r="B1784" s="460">
        <v>1214</v>
      </c>
      <c r="C1784" s="460"/>
      <c r="D1784" s="460"/>
      <c r="E1784" s="461">
        <v>1</v>
      </c>
      <c r="F1784" s="462" t="s">
        <v>21573</v>
      </c>
      <c r="G1784" s="477" t="s">
        <v>21574</v>
      </c>
      <c r="H1784" s="478" t="s">
        <v>15528</v>
      </c>
      <c r="I1784" s="479"/>
      <c r="J1784" s="480"/>
      <c r="K1784" s="466">
        <f>SUM(K1785:K1785)</f>
        <v>73.031670551999994</v>
      </c>
      <c r="L1784" s="480"/>
      <c r="M1784" s="466">
        <f>SUM(M1785:M1785)</f>
        <v>73.031670551999994</v>
      </c>
      <c r="N1784" s="467" t="s">
        <v>21575</v>
      </c>
      <c r="O1784" s="434" t="str">
        <f t="shared" si="1242"/>
        <v xml:space="preserve">SEM VALOR</v>
      </c>
      <c r="P1784" s="435" t="str">
        <f t="shared" si="1243"/>
        <v xml:space="preserve">SEM VALOR</v>
      </c>
      <c r="AE1784" s="460">
        <v>1214</v>
      </c>
      <c r="AF1784" s="460">
        <v>1214</v>
      </c>
      <c r="AH1784">
        <f t="shared" si="1226"/>
        <v>1214</v>
      </c>
    </row>
    <row r="1785" ht="45" hidden="1">
      <c r="A1785" s="217"/>
      <c r="B1785" s="217">
        <v>1214</v>
      </c>
      <c r="C1785" s="217"/>
      <c r="D1785" s="217" t="s">
        <v>20644</v>
      </c>
      <c r="E1785" s="471" t="s">
        <v>20399</v>
      </c>
      <c r="F1785" s="469" t="s">
        <v>15463</v>
      </c>
      <c r="G1785" s="470" t="s">
        <v>21576</v>
      </c>
      <c r="H1785" s="482" t="s">
        <v>1535</v>
      </c>
      <c r="I1785" s="483">
        <f>1/8.85</f>
        <v>0.11299439999999999</v>
      </c>
      <c r="J1785" s="473">
        <f t="shared" si="1235"/>
        <v>646.33000000000004</v>
      </c>
      <c r="K1785" s="474">
        <f>I1785*J1785</f>
        <v>73.031670551999994</v>
      </c>
      <c r="L1785" s="473">
        <f t="shared" si="1245"/>
        <v>646.33000000000004</v>
      </c>
      <c r="M1785" s="474">
        <f>L1785*I1785</f>
        <v>73.031670551999994</v>
      </c>
      <c r="N1785" s="576" t="s">
        <v>21577</v>
      </c>
      <c r="O1785" s="434">
        <f t="shared" si="1242"/>
        <v>646.33000000000004</v>
      </c>
      <c r="P1785" s="435">
        <f t="shared" si="1243"/>
        <v>646.33000000000004</v>
      </c>
      <c r="AE1785" s="217"/>
      <c r="AF1785" s="217">
        <v>1214</v>
      </c>
      <c r="AH1785">
        <f t="shared" si="1226"/>
        <v>1214</v>
      </c>
    </row>
    <row r="1786" ht="45.75" hidden="1">
      <c r="A1786" s="217"/>
      <c r="B1786" s="217">
        <v>1214</v>
      </c>
      <c r="C1786" s="217"/>
      <c r="D1786" s="217"/>
      <c r="E1786" s="471"/>
      <c r="F1786" s="469"/>
      <c r="G1786" s="470" t="s">
        <v>21578</v>
      </c>
      <c r="H1786" s="482"/>
      <c r="I1786" s="483"/>
      <c r="J1786" s="577"/>
      <c r="K1786" s="474"/>
      <c r="L1786" s="577"/>
      <c r="M1786" s="474"/>
      <c r="N1786" s="467"/>
      <c r="O1786" s="434" t="str">
        <f t="shared" si="1242"/>
        <v xml:space="preserve">SEM VALOR</v>
      </c>
      <c r="P1786" s="435" t="str">
        <f t="shared" si="1243"/>
        <v xml:space="preserve">SEM VALOR</v>
      </c>
      <c r="AE1786" s="217"/>
      <c r="AF1786" s="217">
        <v>1214</v>
      </c>
      <c r="AH1786">
        <f t="shared" si="1226"/>
        <v>1214</v>
      </c>
    </row>
    <row r="1787" hidden="1">
      <c r="A1787" s="217"/>
      <c r="B1787" s="217">
        <v>1214</v>
      </c>
      <c r="C1787" s="217"/>
      <c r="D1787" s="217"/>
      <c r="E1787" s="471"/>
      <c r="F1787" s="469"/>
      <c r="G1787" s="470" t="s">
        <v>21452</v>
      </c>
      <c r="H1787" s="482"/>
      <c r="I1787" s="483"/>
      <c r="J1787" s="577"/>
      <c r="K1787" s="474"/>
      <c r="L1787" s="577"/>
      <c r="M1787" s="474"/>
      <c r="N1787" s="467"/>
      <c r="O1787" s="434" t="str">
        <f t="shared" si="1242"/>
        <v xml:space="preserve">SEM VALOR</v>
      </c>
      <c r="P1787" s="435" t="str">
        <f t="shared" si="1243"/>
        <v xml:space="preserve">SEM VALOR</v>
      </c>
      <c r="AE1787" s="217"/>
      <c r="AF1787" s="217">
        <v>1214</v>
      </c>
      <c r="AH1787">
        <f t="shared" si="1226"/>
        <v>1214</v>
      </c>
    </row>
    <row r="1788" ht="69.75" hidden="1" customHeight="1">
      <c r="A1788" s="460">
        <v>1215</v>
      </c>
      <c r="B1788" s="460">
        <v>1215</v>
      </c>
      <c r="C1788" s="460"/>
      <c r="D1788" s="460"/>
      <c r="E1788" s="461">
        <v>1</v>
      </c>
      <c r="F1788" s="462" t="s">
        <v>21579</v>
      </c>
      <c r="G1788" s="477" t="s">
        <v>21580</v>
      </c>
      <c r="H1788" s="579" t="s">
        <v>31</v>
      </c>
      <c r="I1788" s="479"/>
      <c r="J1788" s="480"/>
      <c r="K1788" s="466">
        <f>SUM(K1789:K1790)</f>
        <v>5348.1943410000003</v>
      </c>
      <c r="L1788" s="480"/>
      <c r="M1788" s="466">
        <f>SUM(M1789:M1790)</f>
        <v>5193.1132940000007</v>
      </c>
      <c r="O1788" s="434" t="str">
        <f t="shared" si="1242"/>
        <v xml:space="preserve">SEM VALOR</v>
      </c>
      <c r="P1788" s="435" t="str">
        <f t="shared" si="1243"/>
        <v xml:space="preserve">SEM VALOR</v>
      </c>
      <c r="AE1788" s="460">
        <v>1215</v>
      </c>
      <c r="AF1788" s="460"/>
      <c r="AH1788">
        <f t="shared" si="1226"/>
        <v>1215</v>
      </c>
    </row>
    <row r="1789" ht="45" hidden="1">
      <c r="A1789" s="217"/>
      <c r="B1789" s="217">
        <v>1215</v>
      </c>
      <c r="C1789" s="217"/>
      <c r="D1789" s="217" t="s">
        <v>17167</v>
      </c>
      <c r="E1789" s="471" t="s">
        <v>20399</v>
      </c>
      <c r="F1789" s="489">
        <v>102487</v>
      </c>
      <c r="G1789" s="470" t="s">
        <v>8702</v>
      </c>
      <c r="H1789" s="482" t="s">
        <v>15528</v>
      </c>
      <c r="I1789" s="483">
        <v>5.4016999999999999</v>
      </c>
      <c r="J1789" s="473">
        <f t="shared" si="1235"/>
        <v>593.75999999999999</v>
      </c>
      <c r="K1789" s="474">
        <f t="shared" ref="K1789:K1790" si="1249">I1789*J1789</f>
        <v>3207.313392</v>
      </c>
      <c r="L1789" s="473">
        <f t="shared" si="1245"/>
        <v>578.95000000000005</v>
      </c>
      <c r="M1789" s="474">
        <f t="shared" ref="M1789:M1790" si="1250">L1789*I1789</f>
        <v>3127.3142150000003</v>
      </c>
      <c r="O1789" s="434">
        <f t="shared" si="1242"/>
        <v>593.75999999999999</v>
      </c>
      <c r="P1789" s="435">
        <f t="shared" si="1243"/>
        <v>578.95000000000005</v>
      </c>
      <c r="AE1789" s="217"/>
      <c r="AF1789" s="217">
        <v>1215</v>
      </c>
      <c r="AH1789">
        <f t="shared" si="1226"/>
        <v>1215</v>
      </c>
    </row>
    <row r="1790" ht="75" hidden="1">
      <c r="A1790" s="217"/>
      <c r="B1790" s="217">
        <v>1215</v>
      </c>
      <c r="C1790" s="217"/>
      <c r="D1790" s="217" t="s">
        <v>17167</v>
      </c>
      <c r="E1790" s="471" t="s">
        <v>20402</v>
      </c>
      <c r="F1790" s="489">
        <v>96539</v>
      </c>
      <c r="G1790" s="470" t="s">
        <v>21544</v>
      </c>
      <c r="H1790" s="482" t="s">
        <v>15515</v>
      </c>
      <c r="I1790" s="483">
        <v>17.460899999999999</v>
      </c>
      <c r="J1790" s="473">
        <f t="shared" si="1235"/>
        <v>122.61</v>
      </c>
      <c r="K1790" s="474">
        <f t="shared" si="1249"/>
        <v>2140.8809489999999</v>
      </c>
      <c r="L1790" s="473">
        <f t="shared" si="1245"/>
        <v>118.31</v>
      </c>
      <c r="M1790" s="474">
        <f t="shared" si="1250"/>
        <v>2065.7990789999999</v>
      </c>
      <c r="O1790" s="434">
        <f t="shared" si="1242"/>
        <v>122.61</v>
      </c>
      <c r="P1790" s="435">
        <f t="shared" si="1243"/>
        <v>118.31</v>
      </c>
      <c r="AE1790" s="217"/>
      <c r="AF1790" s="217">
        <v>1215</v>
      </c>
      <c r="AH1790">
        <f t="shared" si="1226"/>
        <v>1215</v>
      </c>
    </row>
    <row r="1791" ht="47.25" hidden="1">
      <c r="A1791" s="460">
        <v>1216</v>
      </c>
      <c r="B1791" s="460">
        <v>1216</v>
      </c>
      <c r="C1791" s="460"/>
      <c r="D1791" s="460"/>
      <c r="E1791" s="461">
        <v>1</v>
      </c>
      <c r="F1791" s="462" t="s">
        <v>21581</v>
      </c>
      <c r="G1791" s="477" t="s">
        <v>21582</v>
      </c>
      <c r="H1791" s="579" t="s">
        <v>31</v>
      </c>
      <c r="I1791" s="479"/>
      <c r="J1791" s="480"/>
      <c r="K1791" s="466">
        <f>SUM(K1792:K1797)</f>
        <v>525.86370866397999</v>
      </c>
      <c r="L1791" s="480"/>
      <c r="M1791" s="466">
        <f>SUM(M1792:M1797)</f>
        <v>418.09345357460001</v>
      </c>
      <c r="N1791" s="467" t="s">
        <v>21583</v>
      </c>
      <c r="O1791" s="434" t="str">
        <f t="shared" si="1242"/>
        <v xml:space="preserve">SEM VALOR</v>
      </c>
      <c r="P1791" s="435" t="str">
        <f t="shared" si="1243"/>
        <v xml:space="preserve">SEM VALOR</v>
      </c>
      <c r="AE1791" s="460">
        <v>1216</v>
      </c>
      <c r="AF1791" s="460"/>
      <c r="AH1791">
        <f t="shared" si="1226"/>
        <v>1216</v>
      </c>
    </row>
    <row r="1792" ht="45" hidden="1">
      <c r="A1792" s="217"/>
      <c r="B1792" s="217">
        <v>1216</v>
      </c>
      <c r="C1792" s="217"/>
      <c r="D1792" s="217" t="s">
        <v>20398</v>
      </c>
      <c r="E1792" s="471" t="s">
        <v>20399</v>
      </c>
      <c r="F1792" s="489">
        <v>1196</v>
      </c>
      <c r="G1792" s="470" t="s">
        <v>21486</v>
      </c>
      <c r="H1792" s="482" t="s">
        <v>15528</v>
      </c>
      <c r="I1792" s="483">
        <v>0.66000000000000003</v>
      </c>
      <c r="J1792" s="473">
        <f t="shared" si="1235"/>
        <v>312.69155270299996</v>
      </c>
      <c r="K1792" s="474">
        <f t="shared" ref="K1792:K1796" si="1251">I1792*J1792</f>
        <v>206.37642478397999</v>
      </c>
      <c r="L1792" s="473">
        <f t="shared" si="1245"/>
        <v>307.74670480999998</v>
      </c>
      <c r="M1792" s="474">
        <f t="shared" ref="M1792:M1797" si="1252">L1792*I1792</f>
        <v>203.1128251746</v>
      </c>
      <c r="O1792" s="434">
        <f t="shared" si="1242"/>
        <v>312.69155270299996</v>
      </c>
      <c r="P1792" s="435">
        <f t="shared" si="1243"/>
        <v>307.74670480999998</v>
      </c>
      <c r="AE1792" s="217"/>
      <c r="AF1792" s="217">
        <v>1216</v>
      </c>
      <c r="AH1792">
        <f t="shared" si="1226"/>
        <v>1216</v>
      </c>
    </row>
    <row r="1793" ht="45" hidden="1">
      <c r="A1793" s="217"/>
      <c r="B1793" s="217">
        <v>1216</v>
      </c>
      <c r="C1793" s="217"/>
      <c r="D1793" s="217" t="s">
        <v>17167</v>
      </c>
      <c r="E1793" s="471" t="s">
        <v>20402</v>
      </c>
      <c r="F1793" s="489">
        <v>97624</v>
      </c>
      <c r="G1793" s="470" t="s">
        <v>21584</v>
      </c>
      <c r="H1793" s="482" t="s">
        <v>15528</v>
      </c>
      <c r="I1793" s="483">
        <v>0.55130000000000001</v>
      </c>
      <c r="J1793" s="473">
        <f t="shared" si="1235"/>
        <v>112.91</v>
      </c>
      <c r="K1793" s="474">
        <f t="shared" si="1251"/>
        <v>62.247283000000003</v>
      </c>
      <c r="L1793" s="473">
        <f t="shared" si="1245"/>
        <v>106.84</v>
      </c>
      <c r="M1793" s="474">
        <f t="shared" si="1252"/>
        <v>58.900892000000006</v>
      </c>
      <c r="O1793" s="434">
        <f t="shared" si="1242"/>
        <v>112.91</v>
      </c>
      <c r="P1793" s="435">
        <f t="shared" si="1243"/>
        <v>106.84</v>
      </c>
      <c r="AE1793" s="217"/>
      <c r="AF1793" s="217">
        <v>1216</v>
      </c>
      <c r="AH1793">
        <f t="shared" si="1226"/>
        <v>1216</v>
      </c>
    </row>
    <row r="1794" ht="45" hidden="1">
      <c r="A1794" s="217"/>
      <c r="B1794" s="217">
        <v>1216</v>
      </c>
      <c r="C1794" s="217"/>
      <c r="D1794" s="217" t="s">
        <v>20408</v>
      </c>
      <c r="E1794" s="471" t="s">
        <v>20405</v>
      </c>
      <c r="F1794" s="489">
        <v>6079</v>
      </c>
      <c r="G1794" s="470" t="s">
        <v>21585</v>
      </c>
      <c r="H1794" s="482" t="s">
        <v>15528</v>
      </c>
      <c r="I1794" s="483">
        <v>2.145</v>
      </c>
      <c r="J1794" s="473">
        <f t="shared" si="1235"/>
        <v>38.759999999999998</v>
      </c>
      <c r="K1794" s="474">
        <f t="shared" si="1251"/>
        <v>83.140199999999993</v>
      </c>
      <c r="L1794" s="473">
        <f t="shared" si="1245"/>
        <v>38.759999999999998</v>
      </c>
      <c r="M1794" s="474">
        <f t="shared" si="1252"/>
        <v>83.140199999999993</v>
      </c>
      <c r="O1794" s="434">
        <f t="shared" si="1242"/>
        <v>38.759999999999998</v>
      </c>
      <c r="P1794" s="435">
        <f t="shared" si="1243"/>
        <v>38.759999999999998</v>
      </c>
      <c r="AE1794" s="217"/>
      <c r="AF1794" s="217">
        <v>1216</v>
      </c>
      <c r="AH1794">
        <f t="shared" si="1226"/>
        <v>1216</v>
      </c>
    </row>
    <row r="1795" ht="45" hidden="1">
      <c r="A1795" s="217"/>
      <c r="B1795" s="217">
        <v>1216</v>
      </c>
      <c r="C1795" s="217"/>
      <c r="D1795" s="217" t="s">
        <v>17167</v>
      </c>
      <c r="E1795" s="471" t="s">
        <v>20409</v>
      </c>
      <c r="F1795" s="489">
        <v>93382</v>
      </c>
      <c r="G1795" s="470" t="s">
        <v>20722</v>
      </c>
      <c r="H1795" s="482" t="s">
        <v>15528</v>
      </c>
      <c r="I1795" s="483">
        <v>1.6499999999999999</v>
      </c>
      <c r="J1795" s="473">
        <f t="shared" si="1235"/>
        <v>27.52</v>
      </c>
      <c r="K1795" s="474">
        <f t="shared" si="1251"/>
        <v>45.407999999999994</v>
      </c>
      <c r="L1795" s="473">
        <f t="shared" si="1245"/>
        <v>26.190000000000001</v>
      </c>
      <c r="M1795" s="474">
        <f t="shared" si="1252"/>
        <v>43.213499999999996</v>
      </c>
      <c r="O1795" s="434">
        <f t="shared" si="1242"/>
        <v>27.52</v>
      </c>
      <c r="P1795" s="435">
        <f t="shared" si="1243"/>
        <v>26.190000000000001</v>
      </c>
      <c r="AE1795" s="217"/>
      <c r="AF1795" s="217">
        <v>1216</v>
      </c>
      <c r="AH1795">
        <f t="shared" si="1226"/>
        <v>1216</v>
      </c>
    </row>
    <row r="1796" ht="30" hidden="1">
      <c r="A1796" s="217"/>
      <c r="B1796" s="217">
        <v>1216</v>
      </c>
      <c r="C1796" s="217"/>
      <c r="D1796" s="217" t="s">
        <v>17167</v>
      </c>
      <c r="E1796" s="471" t="s">
        <v>20663</v>
      </c>
      <c r="F1796" s="489">
        <v>88316</v>
      </c>
      <c r="G1796" s="470" t="s">
        <v>7393</v>
      </c>
      <c r="H1796" s="482" t="s">
        <v>2032</v>
      </c>
      <c r="I1796" s="483">
        <v>1.0598879999999999</v>
      </c>
      <c r="J1796" s="473">
        <f t="shared" si="1235"/>
        <v>22.760000000000002</v>
      </c>
      <c r="K1796" s="474">
        <f t="shared" si="1251"/>
        <v>24.123050880000001</v>
      </c>
      <c r="L1796" s="473">
        <f t="shared" si="1245"/>
        <v>21.550000000000001</v>
      </c>
      <c r="M1796" s="474">
        <f t="shared" si="1252"/>
        <v>22.840586399999999</v>
      </c>
      <c r="O1796" s="434">
        <f t="shared" si="1242"/>
        <v>22.760000000000002</v>
      </c>
      <c r="P1796" s="435">
        <f t="shared" si="1243"/>
        <v>21.550000000000001</v>
      </c>
      <c r="AE1796" s="217"/>
      <c r="AF1796" s="217">
        <v>1216</v>
      </c>
      <c r="AH1796">
        <f t="shared" si="1226"/>
        <v>1216</v>
      </c>
    </row>
    <row r="1797" ht="60" hidden="1">
      <c r="A1797" s="217"/>
      <c r="B1797" s="217">
        <v>1216</v>
      </c>
      <c r="C1797" s="217"/>
      <c r="D1797" s="217" t="s">
        <v>17167</v>
      </c>
      <c r="E1797" s="471" t="s">
        <v>20665</v>
      </c>
      <c r="F1797" s="489">
        <v>97914</v>
      </c>
      <c r="G1797" s="470" t="s">
        <v>21390</v>
      </c>
      <c r="H1797" s="482" t="s">
        <v>21107</v>
      </c>
      <c r="I1797" s="483">
        <v>2.145</v>
      </c>
      <c r="J1797" s="473">
        <f t="shared" si="1235"/>
        <v>3.25</v>
      </c>
      <c r="K1797" s="474">
        <f>I1797*J1797*15</f>
        <v>104.56875000000001</v>
      </c>
      <c r="L1797" s="473">
        <f t="shared" si="1245"/>
        <v>3.21</v>
      </c>
      <c r="M1797" s="474">
        <f t="shared" si="1252"/>
        <v>6.8854499999999996</v>
      </c>
      <c r="O1797" s="434">
        <f t="shared" si="1242"/>
        <v>3.25</v>
      </c>
      <c r="P1797" s="435">
        <f t="shared" si="1243"/>
        <v>3.21</v>
      </c>
      <c r="Q1797" s="218" t="s">
        <v>21586</v>
      </c>
      <c r="AE1797" s="217"/>
      <c r="AF1797" s="217">
        <v>1216</v>
      </c>
      <c r="AH1797">
        <f t="shared" si="1226"/>
        <v>1216</v>
      </c>
    </row>
    <row r="1798" ht="31.5" hidden="1">
      <c r="A1798" s="460">
        <v>1217</v>
      </c>
      <c r="B1798" s="460">
        <v>1217</v>
      </c>
      <c r="C1798" s="460"/>
      <c r="D1798" s="460"/>
      <c r="E1798" s="461">
        <v>1</v>
      </c>
      <c r="F1798" s="462" t="s">
        <v>21587</v>
      </c>
      <c r="G1798" s="477" t="s">
        <v>21588</v>
      </c>
      <c r="H1798" s="478" t="s">
        <v>2032</v>
      </c>
      <c r="I1798" s="479"/>
      <c r="J1798" s="480"/>
      <c r="K1798" s="466" t="e">
        <f>SUM(K1799:K1802)</f>
        <v>#VALUE!</v>
      </c>
      <c r="L1798" s="480"/>
      <c r="M1798" s="466" t="e">
        <f>SUM(M1799:M1802)</f>
        <v>#VALUE!</v>
      </c>
      <c r="N1798" s="467" t="s">
        <v>21589</v>
      </c>
      <c r="O1798" s="434" t="str">
        <f t="shared" si="1242"/>
        <v xml:space="preserve">SEM VALOR</v>
      </c>
      <c r="P1798" s="435" t="str">
        <f t="shared" si="1243"/>
        <v xml:space="preserve">SEM VALOR</v>
      </c>
      <c r="Q1798" s="218"/>
      <c r="AE1798" s="460">
        <v>1217</v>
      </c>
      <c r="AF1798" s="460">
        <v>1217</v>
      </c>
      <c r="AH1798">
        <f t="shared" si="1226"/>
        <v>1217</v>
      </c>
    </row>
    <row r="1799" ht="120" hidden="1">
      <c r="A1799" s="217"/>
      <c r="B1799" s="217">
        <v>1217</v>
      </c>
      <c r="C1799" s="217"/>
      <c r="D1799" s="217" t="s">
        <v>20408</v>
      </c>
      <c r="E1799" s="471" t="s">
        <v>20399</v>
      </c>
      <c r="F1799" s="469">
        <v>40294</v>
      </c>
      <c r="G1799" s="488" t="s">
        <v>21590</v>
      </c>
      <c r="H1799" s="482" t="s">
        <v>2032</v>
      </c>
      <c r="I1799" s="483">
        <v>1</v>
      </c>
      <c r="J1799" s="473" t="e">
        <f t="shared" si="1235"/>
        <v>#VALUE!</v>
      </c>
      <c r="K1799" s="474" t="e">
        <f t="shared" ref="K1799:K1802" si="1253">I1799*J1799</f>
        <v>#VALUE!</v>
      </c>
      <c r="L1799" s="473" t="e">
        <f t="shared" si="1245"/>
        <v>#VALUE!</v>
      </c>
      <c r="M1799" s="474" t="e">
        <f t="shared" ref="M1799:M1802" si="1254">L1799*I1799</f>
        <v>#VALUE!</v>
      </c>
      <c r="N1799" s="576"/>
      <c r="O1799" s="434" t="str">
        <f t="shared" si="1242"/>
        <v xml:space="preserve">SEM VALOR</v>
      </c>
      <c r="P1799" s="435" t="str">
        <f t="shared" si="1243"/>
        <v xml:space="preserve">SEM VALOR</v>
      </c>
      <c r="Q1799" s="218"/>
      <c r="AE1799" s="217"/>
      <c r="AF1799" s="217">
        <v>1217</v>
      </c>
      <c r="AH1799">
        <f t="shared" ref="AH1799:AH1862" si="1255">IF(AF1799:AF1800=FALSE,AE1799,AF1799)</f>
        <v>1217</v>
      </c>
    </row>
    <row r="1800" hidden="1">
      <c r="A1800" s="217"/>
      <c r="B1800" s="217">
        <v>1217</v>
      </c>
      <c r="C1800" s="217"/>
      <c r="D1800" s="217" t="s">
        <v>20644</v>
      </c>
      <c r="E1800" s="471" t="s">
        <v>20402</v>
      </c>
      <c r="F1800" s="469" t="s">
        <v>15465</v>
      </c>
      <c r="G1800" s="488" t="s">
        <v>21591</v>
      </c>
      <c r="H1800" s="482" t="s">
        <v>15528</v>
      </c>
      <c r="I1800" s="483">
        <v>1</v>
      </c>
      <c r="J1800" s="473">
        <f t="shared" si="1235"/>
        <v>21.379999999999999</v>
      </c>
      <c r="K1800" s="474">
        <f t="shared" si="1253"/>
        <v>21.379999999999999</v>
      </c>
      <c r="L1800" s="473">
        <f t="shared" si="1245"/>
        <v>21.379999999999999</v>
      </c>
      <c r="M1800" s="474">
        <f t="shared" si="1254"/>
        <v>21.379999999999999</v>
      </c>
      <c r="N1800" s="467"/>
      <c r="O1800" s="434">
        <f t="shared" si="1242"/>
        <v>21.379999999999999</v>
      </c>
      <c r="P1800" s="435">
        <f t="shared" si="1243"/>
        <v>21.379999999999999</v>
      </c>
      <c r="Q1800" s="218"/>
      <c r="AE1800" s="217"/>
      <c r="AF1800" s="217">
        <v>1217</v>
      </c>
      <c r="AH1800">
        <f t="shared" si="1255"/>
        <v>1217</v>
      </c>
    </row>
    <row r="1801" ht="45" hidden="1">
      <c r="A1801" s="217"/>
      <c r="B1801" s="217">
        <v>1217</v>
      </c>
      <c r="C1801" s="217"/>
      <c r="D1801" s="217" t="s">
        <v>17167</v>
      </c>
      <c r="E1801" s="471" t="s">
        <v>20405</v>
      </c>
      <c r="F1801" s="469">
        <v>88267</v>
      </c>
      <c r="G1801" s="488" t="s">
        <v>7321</v>
      </c>
      <c r="H1801" s="482" t="s">
        <v>2032</v>
      </c>
      <c r="I1801" s="483">
        <v>5.0000000000000003e-002</v>
      </c>
      <c r="J1801" s="473">
        <f t="shared" si="1235"/>
        <v>27.84</v>
      </c>
      <c r="K1801" s="474">
        <f t="shared" si="1253"/>
        <v>1.3920000000000001</v>
      </c>
      <c r="L1801" s="473">
        <f t="shared" si="1245"/>
        <v>26.219999999999999</v>
      </c>
      <c r="M1801" s="474">
        <f t="shared" si="1254"/>
        <v>1.3109999999999999</v>
      </c>
      <c r="N1801" s="467"/>
      <c r="O1801" s="434">
        <f t="shared" si="1242"/>
        <v>27.84</v>
      </c>
      <c r="P1801" s="435">
        <f t="shared" si="1243"/>
        <v>26.219999999999999</v>
      </c>
      <c r="Q1801" s="218"/>
      <c r="AE1801" s="217"/>
      <c r="AF1801" s="217">
        <v>1217</v>
      </c>
      <c r="AH1801">
        <f t="shared" si="1255"/>
        <v>1217</v>
      </c>
    </row>
    <row r="1802" ht="30" hidden="1">
      <c r="A1802" s="217"/>
      <c r="B1802" s="217">
        <v>1217</v>
      </c>
      <c r="C1802" s="217"/>
      <c r="D1802" s="217" t="s">
        <v>17167</v>
      </c>
      <c r="E1802" s="471" t="s">
        <v>20409</v>
      </c>
      <c r="F1802" s="469">
        <v>88264</v>
      </c>
      <c r="G1802" s="488" t="s">
        <v>7319</v>
      </c>
      <c r="H1802" s="482" t="s">
        <v>2032</v>
      </c>
      <c r="I1802" s="483">
        <v>1.e-002</v>
      </c>
      <c r="J1802" s="473">
        <f t="shared" si="1235"/>
        <v>31.140000000000001</v>
      </c>
      <c r="K1802" s="474">
        <f t="shared" si="1253"/>
        <v>0.31140000000000001</v>
      </c>
      <c r="L1802" s="473">
        <f t="shared" si="1245"/>
        <v>29.32</v>
      </c>
      <c r="M1802" s="474">
        <f t="shared" si="1254"/>
        <v>0.29320000000000002</v>
      </c>
      <c r="N1802" s="467"/>
      <c r="O1802" s="434">
        <f t="shared" si="1242"/>
        <v>31.140000000000001</v>
      </c>
      <c r="P1802" s="435">
        <f t="shared" si="1243"/>
        <v>29.32</v>
      </c>
      <c r="Q1802" s="218"/>
      <c r="AE1802" s="217"/>
      <c r="AF1802" s="217">
        <v>1217</v>
      </c>
      <c r="AH1802">
        <f t="shared" si="1255"/>
        <v>1217</v>
      </c>
    </row>
    <row r="1803" ht="45.75" hidden="1">
      <c r="A1803" s="217"/>
      <c r="B1803" s="217">
        <v>1217</v>
      </c>
      <c r="C1803" s="217"/>
      <c r="D1803" s="217"/>
      <c r="E1803" s="471"/>
      <c r="F1803" s="486"/>
      <c r="G1803" s="470" t="s">
        <v>21592</v>
      </c>
      <c r="H1803" s="482"/>
      <c r="I1803" s="483"/>
      <c r="J1803" s="577"/>
      <c r="K1803" s="474"/>
      <c r="L1803" s="577"/>
      <c r="M1803" s="474"/>
      <c r="N1803" s="467"/>
      <c r="O1803" s="434" t="str">
        <f t="shared" si="1242"/>
        <v xml:space="preserve">SEM VALOR</v>
      </c>
      <c r="P1803" s="435" t="str">
        <f t="shared" si="1243"/>
        <v xml:space="preserve">SEM VALOR</v>
      </c>
      <c r="Q1803" s="218"/>
      <c r="AE1803" s="217"/>
      <c r="AF1803" s="217">
        <v>1217</v>
      </c>
      <c r="AH1803">
        <f t="shared" si="1255"/>
        <v>1217</v>
      </c>
    </row>
    <row r="1804" hidden="1">
      <c r="A1804" s="217"/>
      <c r="B1804" s="217">
        <v>1217</v>
      </c>
      <c r="C1804" s="217"/>
      <c r="D1804" s="217"/>
      <c r="E1804" s="471"/>
      <c r="F1804" s="486"/>
      <c r="G1804" s="470" t="s">
        <v>21452</v>
      </c>
      <c r="H1804" s="482"/>
      <c r="I1804" s="483"/>
      <c r="J1804" s="577"/>
      <c r="K1804" s="474"/>
      <c r="L1804" s="577"/>
      <c r="M1804" s="474"/>
      <c r="N1804" s="467"/>
      <c r="O1804" s="434" t="str">
        <f t="shared" si="1242"/>
        <v xml:space="preserve">SEM VALOR</v>
      </c>
      <c r="P1804" s="435" t="str">
        <f t="shared" si="1243"/>
        <v xml:space="preserve">SEM VALOR</v>
      </c>
      <c r="Q1804" s="218"/>
      <c r="AE1804" s="217"/>
      <c r="AF1804" s="217">
        <v>1217</v>
      </c>
      <c r="AH1804">
        <f t="shared" si="1255"/>
        <v>1217</v>
      </c>
    </row>
    <row r="1805" ht="66" hidden="1" customHeight="1">
      <c r="A1805" s="460">
        <v>1218</v>
      </c>
      <c r="B1805" s="460">
        <v>1218</v>
      </c>
      <c r="C1805" s="460"/>
      <c r="D1805" s="460"/>
      <c r="E1805" s="461">
        <v>1</v>
      </c>
      <c r="F1805" s="462" t="s">
        <v>21593</v>
      </c>
      <c r="G1805" s="477" t="s">
        <v>21594</v>
      </c>
      <c r="H1805" s="579" t="s">
        <v>15528</v>
      </c>
      <c r="I1805" s="479"/>
      <c r="J1805" s="480"/>
      <c r="K1805" s="466">
        <f>SUM(K1806:K1808)</f>
        <v>125.67280000000001</v>
      </c>
      <c r="L1805" s="480"/>
      <c r="M1805" s="466">
        <f>SUM(M1806:M1808)</f>
        <v>125.61520000000002</v>
      </c>
      <c r="N1805" s="467" t="s">
        <v>21595</v>
      </c>
      <c r="O1805" s="434" t="str">
        <f t="shared" si="1242"/>
        <v xml:space="preserve">SEM VALOR</v>
      </c>
      <c r="P1805" s="435" t="str">
        <f t="shared" si="1243"/>
        <v xml:space="preserve">SEM VALOR</v>
      </c>
      <c r="AE1805" s="460">
        <v>1218</v>
      </c>
      <c r="AF1805" s="460"/>
      <c r="AH1805">
        <f t="shared" si="1255"/>
        <v>1218</v>
      </c>
    </row>
    <row r="1806" ht="45" hidden="1">
      <c r="A1806" s="217"/>
      <c r="B1806" s="217">
        <v>1218</v>
      </c>
      <c r="C1806" s="217"/>
      <c r="D1806" s="217" t="s">
        <v>20408</v>
      </c>
      <c r="E1806" s="471" t="s">
        <v>20399</v>
      </c>
      <c r="F1806" s="469">
        <v>4730</v>
      </c>
      <c r="G1806" s="470" t="s">
        <v>21596</v>
      </c>
      <c r="H1806" s="482" t="s">
        <v>15528</v>
      </c>
      <c r="I1806" s="483">
        <v>1.3</v>
      </c>
      <c r="J1806" s="473">
        <f t="shared" si="1235"/>
        <v>94.450000000000003</v>
      </c>
      <c r="K1806" s="474">
        <f t="shared" ref="K1806:K1808" si="1256">I1806*J1806</f>
        <v>122.78500000000001</v>
      </c>
      <c r="L1806" s="473">
        <f t="shared" si="1245"/>
        <v>94.450000000000003</v>
      </c>
      <c r="M1806" s="474">
        <f t="shared" ref="M1806:M1808" si="1257">L1806*I1806</f>
        <v>122.78500000000001</v>
      </c>
      <c r="O1806" s="434">
        <f t="shared" si="1242"/>
        <v>94.450000000000003</v>
      </c>
      <c r="P1806" s="435">
        <f t="shared" si="1243"/>
        <v>94.450000000000003</v>
      </c>
      <c r="AE1806" s="217"/>
      <c r="AF1806" s="217">
        <v>1218</v>
      </c>
      <c r="AH1806">
        <f t="shared" si="1255"/>
        <v>1218</v>
      </c>
    </row>
    <row r="1807" ht="60" hidden="1">
      <c r="A1807" s="217"/>
      <c r="B1807" s="217">
        <v>1218</v>
      </c>
      <c r="C1807" s="217"/>
      <c r="D1807" s="217" t="s">
        <v>17167</v>
      </c>
      <c r="E1807" s="471" t="s">
        <v>20402</v>
      </c>
      <c r="F1807" s="469">
        <v>5631</v>
      </c>
      <c r="G1807" s="470" t="s">
        <v>1679</v>
      </c>
      <c r="H1807" s="482" t="s">
        <v>1535</v>
      </c>
      <c r="I1807" s="483">
        <v>1.e-002</v>
      </c>
      <c r="J1807" s="473">
        <f t="shared" si="1235"/>
        <v>220.5</v>
      </c>
      <c r="K1807" s="474">
        <f t="shared" si="1256"/>
        <v>2.2050000000000001</v>
      </c>
      <c r="L1807" s="473">
        <f t="shared" si="1245"/>
        <v>218.37</v>
      </c>
      <c r="M1807" s="474">
        <f t="shared" si="1257"/>
        <v>2.1837</v>
      </c>
      <c r="O1807" s="434">
        <f t="shared" si="1242"/>
        <v>220.5</v>
      </c>
      <c r="P1807" s="435">
        <f t="shared" si="1243"/>
        <v>218.37</v>
      </c>
      <c r="AE1807" s="217"/>
      <c r="AF1807" s="217">
        <v>1218</v>
      </c>
      <c r="AH1807">
        <f t="shared" si="1255"/>
        <v>1218</v>
      </c>
    </row>
    <row r="1808" ht="30" hidden="1">
      <c r="A1808" s="217"/>
      <c r="B1808" s="217">
        <v>1218</v>
      </c>
      <c r="C1808" s="217"/>
      <c r="D1808" s="217" t="s">
        <v>17167</v>
      </c>
      <c r="E1808" s="471" t="s">
        <v>20405</v>
      </c>
      <c r="F1808" s="469">
        <v>88316</v>
      </c>
      <c r="G1808" s="470" t="s">
        <v>7393</v>
      </c>
      <c r="H1808" s="482" t="s">
        <v>2032</v>
      </c>
      <c r="I1808" s="483">
        <v>2.9999999999999999e-002</v>
      </c>
      <c r="J1808" s="473">
        <f t="shared" si="1235"/>
        <v>22.760000000000002</v>
      </c>
      <c r="K1808" s="474">
        <f t="shared" si="1256"/>
        <v>0.68280000000000007</v>
      </c>
      <c r="L1808" s="473">
        <f t="shared" si="1245"/>
        <v>21.550000000000001</v>
      </c>
      <c r="M1808" s="474">
        <f t="shared" si="1257"/>
        <v>0.64649999999999996</v>
      </c>
      <c r="O1808" s="434">
        <f t="shared" si="1242"/>
        <v>22.760000000000002</v>
      </c>
      <c r="P1808" s="435">
        <f t="shared" si="1243"/>
        <v>21.550000000000001</v>
      </c>
      <c r="AE1808" s="217"/>
      <c r="AF1808" s="217">
        <v>1218</v>
      </c>
      <c r="AH1808">
        <f t="shared" si="1255"/>
        <v>1218</v>
      </c>
    </row>
    <row r="1809" ht="47.25" hidden="1">
      <c r="A1809" s="460">
        <v>1219</v>
      </c>
      <c r="B1809" s="460">
        <v>1219</v>
      </c>
      <c r="C1809" s="460"/>
      <c r="D1809" s="460"/>
      <c r="E1809" s="461">
        <v>1</v>
      </c>
      <c r="F1809" s="462" t="s">
        <v>21597</v>
      </c>
      <c r="G1809" s="477" t="s">
        <v>21598</v>
      </c>
      <c r="H1809" s="579" t="s">
        <v>15528</v>
      </c>
      <c r="I1809" s="479"/>
      <c r="J1809" s="480"/>
      <c r="K1809" s="466">
        <f>SUM(K1810:K1819)</f>
        <v>118.75095599999999</v>
      </c>
      <c r="L1809" s="480"/>
      <c r="M1809" s="466">
        <f>SUM(M1810:M1819)</f>
        <v>118.51690599999998</v>
      </c>
      <c r="N1809" s="467" t="s">
        <v>21599</v>
      </c>
      <c r="O1809" s="434" t="str">
        <f t="shared" si="1242"/>
        <v xml:space="preserve">SEM VALOR</v>
      </c>
      <c r="P1809" s="435" t="str">
        <f t="shared" si="1243"/>
        <v xml:space="preserve">SEM VALOR</v>
      </c>
      <c r="AE1809" s="460">
        <v>1219</v>
      </c>
      <c r="AF1809" s="460"/>
      <c r="AH1809">
        <f t="shared" si="1255"/>
        <v>1219</v>
      </c>
    </row>
    <row r="1810" ht="45" hidden="1">
      <c r="A1810" s="217"/>
      <c r="B1810" s="217">
        <v>1219</v>
      </c>
      <c r="C1810" s="217"/>
      <c r="D1810" s="217" t="s">
        <v>20453</v>
      </c>
      <c r="E1810" s="471" t="s">
        <v>20399</v>
      </c>
      <c r="F1810" s="469" t="s">
        <v>20251</v>
      </c>
      <c r="G1810" s="470" t="s">
        <v>21600</v>
      </c>
      <c r="H1810" s="482" t="s">
        <v>15528</v>
      </c>
      <c r="I1810" s="483">
        <v>1.375</v>
      </c>
      <c r="J1810" s="473">
        <f t="shared" si="1235"/>
        <v>75</v>
      </c>
      <c r="K1810" s="474">
        <f t="shared" ref="K1810:K1819" si="1258">I1810*J1810</f>
        <v>103.125</v>
      </c>
      <c r="L1810" s="473">
        <f t="shared" si="1245"/>
        <v>75</v>
      </c>
      <c r="M1810" s="474">
        <f t="shared" ref="M1810:M1819" si="1259">L1810*I1810</f>
        <v>103.125</v>
      </c>
      <c r="O1810" s="434">
        <f t="shared" si="1242"/>
        <v>75</v>
      </c>
      <c r="P1810" s="435">
        <f t="shared" si="1243"/>
        <v>75</v>
      </c>
      <c r="AE1810" s="217"/>
      <c r="AF1810" s="217">
        <v>1219</v>
      </c>
      <c r="AH1810">
        <f t="shared" si="1255"/>
        <v>1219</v>
      </c>
    </row>
    <row r="1811" ht="90" hidden="1">
      <c r="A1811" s="217"/>
      <c r="B1811" s="217">
        <v>1219</v>
      </c>
      <c r="C1811" s="217"/>
      <c r="D1811" s="217" t="s">
        <v>17167</v>
      </c>
      <c r="E1811" s="471" t="s">
        <v>20402</v>
      </c>
      <c r="F1811" s="469">
        <v>5684</v>
      </c>
      <c r="G1811" s="470" t="s">
        <v>1885</v>
      </c>
      <c r="H1811" s="482" t="s">
        <v>1535</v>
      </c>
      <c r="I1811" s="483">
        <v>9.4000000000000004e-003</v>
      </c>
      <c r="J1811" s="473">
        <f t="shared" si="1235"/>
        <v>164.22</v>
      </c>
      <c r="K1811" s="474">
        <f t="shared" si="1258"/>
        <v>1.543668</v>
      </c>
      <c r="L1811" s="473">
        <f t="shared" si="1245"/>
        <v>162.52000000000001</v>
      </c>
      <c r="M1811" s="474">
        <f t="shared" si="1259"/>
        <v>1.5276880000000002</v>
      </c>
      <c r="O1811" s="434">
        <f t="shared" si="1242"/>
        <v>164.22</v>
      </c>
      <c r="P1811" s="435">
        <f t="shared" si="1243"/>
        <v>162.52000000000001</v>
      </c>
      <c r="AE1811" s="217"/>
      <c r="AF1811" s="217">
        <v>1219</v>
      </c>
      <c r="AH1811">
        <f t="shared" si="1255"/>
        <v>1219</v>
      </c>
    </row>
    <row r="1812" ht="90" hidden="1">
      <c r="A1812" s="217"/>
      <c r="B1812" s="217">
        <v>1219</v>
      </c>
      <c r="C1812" s="217"/>
      <c r="D1812" s="217" t="s">
        <v>17167</v>
      </c>
      <c r="E1812" s="471" t="s">
        <v>20405</v>
      </c>
      <c r="F1812" s="469">
        <v>5685</v>
      </c>
      <c r="G1812" s="470" t="s">
        <v>1884</v>
      </c>
      <c r="H1812" s="482" t="s">
        <v>1533</v>
      </c>
      <c r="I1812" s="483">
        <v>3.0999999999999999e-003</v>
      </c>
      <c r="J1812" s="473">
        <f t="shared" si="1235"/>
        <v>64.049999999999997</v>
      </c>
      <c r="K1812" s="474">
        <f t="shared" si="1258"/>
        <v>0.19855499999999998</v>
      </c>
      <c r="L1812" s="473">
        <f t="shared" si="1245"/>
        <v>62.350000000000001</v>
      </c>
      <c r="M1812" s="474">
        <f t="shared" si="1259"/>
        <v>0.19328499999999998</v>
      </c>
      <c r="O1812" s="434">
        <f t="shared" si="1242"/>
        <v>64.049999999999997</v>
      </c>
      <c r="P1812" s="435">
        <f t="shared" si="1243"/>
        <v>62.350000000000001</v>
      </c>
      <c r="AE1812" s="217"/>
      <c r="AF1812" s="217">
        <v>1219</v>
      </c>
      <c r="AH1812">
        <f t="shared" si="1255"/>
        <v>1219</v>
      </c>
    </row>
    <row r="1813" ht="75" hidden="1">
      <c r="A1813" s="217"/>
      <c r="B1813" s="217">
        <v>1219</v>
      </c>
      <c r="C1813" s="217"/>
      <c r="D1813" s="217" t="s">
        <v>17167</v>
      </c>
      <c r="E1813" s="471" t="s">
        <v>20409</v>
      </c>
      <c r="F1813" s="469">
        <v>5940</v>
      </c>
      <c r="G1813" s="470" t="s">
        <v>1863</v>
      </c>
      <c r="H1813" s="482" t="s">
        <v>1535</v>
      </c>
      <c r="I1813" s="483">
        <v>9.4000000000000004e-003</v>
      </c>
      <c r="J1813" s="473">
        <f t="shared" si="1235"/>
        <v>171.97999999999999</v>
      </c>
      <c r="K1813" s="474">
        <f t="shared" si="1258"/>
        <v>1.6166119999999999</v>
      </c>
      <c r="L1813" s="473">
        <f t="shared" si="1245"/>
        <v>170.09</v>
      </c>
      <c r="M1813" s="474">
        <f t="shared" si="1259"/>
        <v>1.598846</v>
      </c>
      <c r="O1813" s="434">
        <f t="shared" si="1242"/>
        <v>171.97999999999999</v>
      </c>
      <c r="P1813" s="435">
        <f t="shared" si="1243"/>
        <v>170.09</v>
      </c>
      <c r="AE1813" s="217"/>
      <c r="AF1813" s="217">
        <v>1219</v>
      </c>
      <c r="AH1813">
        <f t="shared" si="1255"/>
        <v>1219</v>
      </c>
    </row>
    <row r="1814" ht="75" hidden="1">
      <c r="A1814" s="217"/>
      <c r="B1814" s="217">
        <v>1219</v>
      </c>
      <c r="C1814" s="217"/>
      <c r="D1814" s="217" t="s">
        <v>17167</v>
      </c>
      <c r="E1814" s="471" t="s">
        <v>20663</v>
      </c>
      <c r="F1814" s="469">
        <v>5942</v>
      </c>
      <c r="G1814" s="470" t="s">
        <v>1862</v>
      </c>
      <c r="H1814" s="482" t="s">
        <v>1533</v>
      </c>
      <c r="I1814" s="483">
        <v>3.0999999999999999e-003</v>
      </c>
      <c r="J1814" s="473">
        <f t="shared" si="1235"/>
        <v>75.659999999999997</v>
      </c>
      <c r="K1814" s="474">
        <f t="shared" si="1258"/>
        <v>0.23454599999999998</v>
      </c>
      <c r="L1814" s="473">
        <f t="shared" si="1245"/>
        <v>73.769999999999996</v>
      </c>
      <c r="M1814" s="474">
        <f t="shared" si="1259"/>
        <v>0.22868699999999997</v>
      </c>
      <c r="O1814" s="434">
        <f t="shared" si="1242"/>
        <v>75.659999999999997</v>
      </c>
      <c r="P1814" s="435">
        <f t="shared" si="1243"/>
        <v>73.769999999999996</v>
      </c>
      <c r="AE1814" s="217"/>
      <c r="AF1814" s="217">
        <v>1219</v>
      </c>
      <c r="AH1814">
        <f t="shared" si="1255"/>
        <v>1219</v>
      </c>
    </row>
    <row r="1815" ht="90" hidden="1">
      <c r="A1815" s="217"/>
      <c r="B1815" s="217">
        <v>1219</v>
      </c>
      <c r="C1815" s="217"/>
      <c r="D1815" s="217" t="s">
        <v>17167</v>
      </c>
      <c r="E1815" s="471" t="s">
        <v>20665</v>
      </c>
      <c r="F1815" s="469">
        <v>6259</v>
      </c>
      <c r="G1815" s="470" t="s">
        <v>1597</v>
      </c>
      <c r="H1815" s="482" t="s">
        <v>1535</v>
      </c>
      <c r="I1815" s="483">
        <v>1.2500000000000001e-002</v>
      </c>
      <c r="J1815" s="473">
        <f t="shared" si="1235"/>
        <v>278.72000000000003</v>
      </c>
      <c r="K1815" s="474">
        <f t="shared" si="1258"/>
        <v>3.4840000000000004</v>
      </c>
      <c r="L1815" s="473">
        <f t="shared" si="1245"/>
        <v>277.12</v>
      </c>
      <c r="M1815" s="474">
        <f t="shared" si="1259"/>
        <v>3.4640000000000004</v>
      </c>
      <c r="O1815" s="434">
        <f t="shared" si="1242"/>
        <v>278.72000000000003</v>
      </c>
      <c r="P1815" s="435">
        <f t="shared" si="1243"/>
        <v>277.12</v>
      </c>
      <c r="AE1815" s="217"/>
      <c r="AF1815" s="217">
        <v>1219</v>
      </c>
      <c r="AH1815">
        <f t="shared" si="1255"/>
        <v>1219</v>
      </c>
    </row>
    <row r="1816" ht="90" hidden="1">
      <c r="A1816" s="217"/>
      <c r="B1816" s="217">
        <v>1219</v>
      </c>
      <c r="C1816" s="217"/>
      <c r="D1816" s="217" t="s">
        <v>17167</v>
      </c>
      <c r="E1816" s="471" t="s">
        <v>20667</v>
      </c>
      <c r="F1816" s="469">
        <v>6879</v>
      </c>
      <c r="G1816" s="470" t="s">
        <v>1877</v>
      </c>
      <c r="H1816" s="482" t="s">
        <v>1535</v>
      </c>
      <c r="I1816" s="483">
        <v>1.e-002</v>
      </c>
      <c r="J1816" s="473">
        <f t="shared" si="1235"/>
        <v>212.56</v>
      </c>
      <c r="K1816" s="474">
        <f t="shared" si="1258"/>
        <v>2.1255999999999999</v>
      </c>
      <c r="L1816" s="473">
        <f t="shared" si="1245"/>
        <v>210.86000000000001</v>
      </c>
      <c r="M1816" s="474">
        <f t="shared" si="1259"/>
        <v>2.1086</v>
      </c>
      <c r="O1816" s="434">
        <f t="shared" si="1242"/>
        <v>212.56</v>
      </c>
      <c r="P1816" s="435">
        <f t="shared" si="1243"/>
        <v>210.86000000000001</v>
      </c>
      <c r="AE1816" s="217"/>
      <c r="AF1816" s="217">
        <v>1219</v>
      </c>
      <c r="AH1816">
        <f t="shared" si="1255"/>
        <v>1219</v>
      </c>
    </row>
    <row r="1817" ht="90" hidden="1">
      <c r="A1817" s="217"/>
      <c r="B1817" s="217">
        <v>1219</v>
      </c>
      <c r="C1817" s="217"/>
      <c r="D1817" s="217" t="s">
        <v>17167</v>
      </c>
      <c r="E1817" s="471" t="s">
        <v>20671</v>
      </c>
      <c r="F1817" s="469">
        <v>6880</v>
      </c>
      <c r="G1817" s="470" t="s">
        <v>1876</v>
      </c>
      <c r="H1817" s="482" t="s">
        <v>1533</v>
      </c>
      <c r="I1817" s="483">
        <v>2.5000000000000001e-003</v>
      </c>
      <c r="J1817" s="473">
        <f t="shared" si="1235"/>
        <v>84.219999999999999</v>
      </c>
      <c r="K1817" s="474">
        <f t="shared" si="1258"/>
        <v>0.21055000000000001</v>
      </c>
      <c r="L1817" s="473">
        <f t="shared" si="1245"/>
        <v>82.519999999999996</v>
      </c>
      <c r="M1817" s="474">
        <f t="shared" si="1259"/>
        <v>0.20629999999999998</v>
      </c>
      <c r="O1817" s="434">
        <f t="shared" si="1242"/>
        <v>84.219999999999999</v>
      </c>
      <c r="P1817" s="435">
        <f t="shared" si="1243"/>
        <v>82.519999999999996</v>
      </c>
      <c r="AE1817" s="217"/>
      <c r="AF1817" s="217">
        <v>1219</v>
      </c>
      <c r="AH1817">
        <f t="shared" si="1255"/>
        <v>1219</v>
      </c>
    </row>
    <row r="1818" ht="30" hidden="1">
      <c r="A1818" s="217"/>
      <c r="B1818" s="217">
        <v>1219</v>
      </c>
      <c r="C1818" s="217"/>
      <c r="D1818" s="217" t="s">
        <v>17167</v>
      </c>
      <c r="E1818" s="471" t="s">
        <v>20672</v>
      </c>
      <c r="F1818" s="469">
        <v>88316</v>
      </c>
      <c r="G1818" s="470" t="s">
        <v>7393</v>
      </c>
      <c r="H1818" s="482" t="s">
        <v>2032</v>
      </c>
      <c r="I1818" s="483">
        <v>0.105</v>
      </c>
      <c r="J1818" s="473">
        <f t="shared" si="1235"/>
        <v>22.760000000000002</v>
      </c>
      <c r="K1818" s="474">
        <f t="shared" si="1258"/>
        <v>2.3898000000000001</v>
      </c>
      <c r="L1818" s="473">
        <f t="shared" si="1245"/>
        <v>21.550000000000001</v>
      </c>
      <c r="M1818" s="474">
        <f t="shared" si="1259"/>
        <v>2.26275</v>
      </c>
      <c r="O1818" s="434">
        <f t="shared" si="1242"/>
        <v>22.760000000000002</v>
      </c>
      <c r="P1818" s="435">
        <f t="shared" si="1243"/>
        <v>21.550000000000001</v>
      </c>
      <c r="AE1818" s="217"/>
      <c r="AF1818" s="217">
        <v>1219</v>
      </c>
      <c r="AH1818">
        <f t="shared" si="1255"/>
        <v>1219</v>
      </c>
    </row>
    <row r="1819" ht="75" hidden="1">
      <c r="A1819" s="217"/>
      <c r="B1819" s="217">
        <v>1219</v>
      </c>
      <c r="C1819" s="217"/>
      <c r="D1819" s="217" t="s">
        <v>17167</v>
      </c>
      <c r="E1819" s="471" t="s">
        <v>20673</v>
      </c>
      <c r="F1819" s="469">
        <v>96035</v>
      </c>
      <c r="G1819" s="470" t="s">
        <v>1573</v>
      </c>
      <c r="H1819" s="482" t="s">
        <v>1535</v>
      </c>
      <c r="I1819" s="483">
        <v>1.2500000000000001e-002</v>
      </c>
      <c r="J1819" s="473">
        <f t="shared" si="1235"/>
        <v>305.81</v>
      </c>
      <c r="K1819" s="474">
        <f t="shared" si="1258"/>
        <v>3.8226250000000004</v>
      </c>
      <c r="L1819" s="473">
        <f t="shared" si="1245"/>
        <v>304.13999999999999</v>
      </c>
      <c r="M1819" s="474">
        <f t="shared" si="1259"/>
        <v>3.8017500000000002</v>
      </c>
      <c r="O1819" s="434">
        <f t="shared" si="1242"/>
        <v>305.81</v>
      </c>
      <c r="P1819" s="435">
        <f t="shared" si="1243"/>
        <v>304.13999999999999</v>
      </c>
      <c r="AE1819" s="217"/>
      <c r="AF1819" s="217">
        <v>1219</v>
      </c>
      <c r="AH1819">
        <f t="shared" si="1255"/>
        <v>1219</v>
      </c>
    </row>
    <row r="1820" ht="81.75" hidden="1" customHeight="1">
      <c r="A1820" s="460">
        <v>1220</v>
      </c>
      <c r="B1820" s="460">
        <v>1220</v>
      </c>
      <c r="C1820" s="460"/>
      <c r="D1820" s="460"/>
      <c r="E1820" s="461">
        <v>1</v>
      </c>
      <c r="F1820" s="462" t="s">
        <v>21601</v>
      </c>
      <c r="G1820" s="477" t="s">
        <v>21602</v>
      </c>
      <c r="H1820" s="579" t="s">
        <v>38</v>
      </c>
      <c r="I1820" s="479"/>
      <c r="J1820" s="480"/>
      <c r="K1820" s="466">
        <f>SUM(K1821:K1827)</f>
        <v>58.824206016799998</v>
      </c>
      <c r="L1820" s="480"/>
      <c r="M1820" s="466">
        <f>SUM(M1821:M1827)</f>
        <v>58.013756310200009</v>
      </c>
      <c r="N1820" s="467" t="s">
        <v>21603</v>
      </c>
      <c r="O1820" s="434" t="str">
        <f t="shared" si="1242"/>
        <v xml:space="preserve">SEM VALOR</v>
      </c>
      <c r="P1820" s="435" t="str">
        <f t="shared" si="1243"/>
        <v xml:space="preserve">SEM VALOR</v>
      </c>
      <c r="AE1820" s="460">
        <v>1220</v>
      </c>
      <c r="AF1820" s="460"/>
      <c r="AH1820">
        <f t="shared" si="1255"/>
        <v>1220</v>
      </c>
    </row>
    <row r="1821" ht="75" hidden="1">
      <c r="A1821" s="217"/>
      <c r="B1821" s="217">
        <v>1220</v>
      </c>
      <c r="C1821" s="217"/>
      <c r="D1821" s="217" t="s">
        <v>17167</v>
      </c>
      <c r="E1821" s="471" t="s">
        <v>20399</v>
      </c>
      <c r="F1821" s="486">
        <v>102713</v>
      </c>
      <c r="G1821" s="470" t="s">
        <v>3044</v>
      </c>
      <c r="H1821" s="482" t="s">
        <v>15515</v>
      </c>
      <c r="I1821" s="483">
        <v>1.5037499999999999</v>
      </c>
      <c r="J1821" s="473">
        <f t="shared" si="1235"/>
        <v>12.460000000000001</v>
      </c>
      <c r="K1821" s="474">
        <f t="shared" ref="K1821:K1827" si="1260">I1821*J1821</f>
        <v>18.736725</v>
      </c>
      <c r="L1821" s="473">
        <f t="shared" si="1245"/>
        <v>12.44</v>
      </c>
      <c r="M1821" s="474">
        <f t="shared" ref="M1821:M1827" si="1261">L1821*I1821</f>
        <v>18.70665</v>
      </c>
      <c r="O1821" s="434">
        <f t="shared" si="1242"/>
        <v>12.460000000000001</v>
      </c>
      <c r="P1821" s="435">
        <f t="shared" si="1243"/>
        <v>12.44</v>
      </c>
      <c r="AE1821" s="217"/>
      <c r="AF1821" s="217">
        <v>1220</v>
      </c>
      <c r="AH1821">
        <f t="shared" si="1255"/>
        <v>1220</v>
      </c>
    </row>
    <row r="1822" ht="60" hidden="1">
      <c r="A1822" s="217"/>
      <c r="B1822" s="217">
        <v>1220</v>
      </c>
      <c r="C1822" s="217"/>
      <c r="D1822" s="217" t="s">
        <v>17167</v>
      </c>
      <c r="E1822" s="471" t="s">
        <v>20402</v>
      </c>
      <c r="F1822" s="486">
        <v>102704</v>
      </c>
      <c r="G1822" s="470" t="s">
        <v>3053</v>
      </c>
      <c r="H1822" s="482" t="s">
        <v>38</v>
      </c>
      <c r="I1822" s="483">
        <v>1</v>
      </c>
      <c r="J1822" s="473">
        <f t="shared" ref="J1822:J1885" si="1262">O1822*$J$3</f>
        <v>11.19</v>
      </c>
      <c r="K1822" s="474">
        <f t="shared" si="1260"/>
        <v>11.19</v>
      </c>
      <c r="L1822" s="473">
        <f t="shared" si="1245"/>
        <v>11.17</v>
      </c>
      <c r="M1822" s="474">
        <f t="shared" si="1261"/>
        <v>11.17</v>
      </c>
      <c r="O1822" s="434">
        <f t="shared" si="1242"/>
        <v>11.19</v>
      </c>
      <c r="P1822" s="435">
        <f t="shared" si="1243"/>
        <v>11.17</v>
      </c>
      <c r="AE1822" s="217"/>
      <c r="AF1822" s="217">
        <v>1220</v>
      </c>
      <c r="AH1822">
        <f t="shared" si="1255"/>
        <v>1220</v>
      </c>
    </row>
    <row r="1823" ht="30" hidden="1">
      <c r="A1823" s="217"/>
      <c r="B1823" s="217">
        <v>1220</v>
      </c>
      <c r="C1823" s="217"/>
      <c r="D1823" s="217" t="s">
        <v>17167</v>
      </c>
      <c r="E1823" s="471" t="s">
        <v>20405</v>
      </c>
      <c r="F1823" s="486">
        <v>102719</v>
      </c>
      <c r="G1823" s="470" t="s">
        <v>3041</v>
      </c>
      <c r="H1823" s="482" t="s">
        <v>15528</v>
      </c>
      <c r="I1823" s="483">
        <v>4.0000000000000001e-002</v>
      </c>
      <c r="J1823" s="473">
        <f t="shared" si="1262"/>
        <v>147.03</v>
      </c>
      <c r="K1823" s="474">
        <f t="shared" si="1260"/>
        <v>5.8811999999999998</v>
      </c>
      <c r="L1823" s="473">
        <f t="shared" si="1245"/>
        <v>145.08000000000001</v>
      </c>
      <c r="M1823" s="474">
        <f t="shared" si="1261"/>
        <v>5.8032000000000004</v>
      </c>
      <c r="O1823" s="434">
        <f t="shared" si="1242"/>
        <v>147.03</v>
      </c>
      <c r="P1823" s="435">
        <f t="shared" si="1243"/>
        <v>145.08000000000001</v>
      </c>
      <c r="AE1823" s="217"/>
      <c r="AF1823" s="217">
        <v>1220</v>
      </c>
      <c r="AH1823">
        <f t="shared" si="1255"/>
        <v>1220</v>
      </c>
    </row>
    <row r="1824" ht="45" hidden="1">
      <c r="A1824" s="217"/>
      <c r="B1824" s="217">
        <v>1220</v>
      </c>
      <c r="C1824" s="217"/>
      <c r="D1824" s="217" t="s">
        <v>20398</v>
      </c>
      <c r="E1824" s="471" t="s">
        <v>20409</v>
      </c>
      <c r="F1824" s="486">
        <v>1175</v>
      </c>
      <c r="G1824" s="470" t="s">
        <v>21344</v>
      </c>
      <c r="H1824" s="482" t="s">
        <v>15528</v>
      </c>
      <c r="I1824" s="483">
        <v>0.29999999999999999</v>
      </c>
      <c r="J1824" s="473">
        <f t="shared" si="1262"/>
        <v>50.686786336000004</v>
      </c>
      <c r="K1824" s="474">
        <f t="shared" si="1260"/>
        <v>15.2060359008</v>
      </c>
      <c r="L1824" s="473">
        <f t="shared" si="1245"/>
        <v>49.684339844000007</v>
      </c>
      <c r="M1824" s="474">
        <f t="shared" si="1261"/>
        <v>14.905301953200002</v>
      </c>
      <c r="O1824" s="434">
        <f t="shared" si="1242"/>
        <v>50.686786336000004</v>
      </c>
      <c r="P1824" s="435">
        <f t="shared" si="1243"/>
        <v>49.684339844000007</v>
      </c>
      <c r="AE1824" s="217"/>
      <c r="AF1824" s="217">
        <v>1220</v>
      </c>
      <c r="AH1824">
        <f t="shared" si="1255"/>
        <v>1220</v>
      </c>
    </row>
    <row r="1825" ht="45" hidden="1">
      <c r="A1825" s="217"/>
      <c r="B1825" s="217">
        <v>1220</v>
      </c>
      <c r="C1825" s="217"/>
      <c r="D1825" s="217" t="s">
        <v>17167</v>
      </c>
      <c r="E1825" s="471" t="s">
        <v>20663</v>
      </c>
      <c r="F1825" s="486">
        <v>93382</v>
      </c>
      <c r="G1825" s="470" t="s">
        <v>20722</v>
      </c>
      <c r="H1825" s="482" t="s">
        <v>15528</v>
      </c>
      <c r="I1825" s="483">
        <v>0.26000000000000001</v>
      </c>
      <c r="J1825" s="473">
        <f t="shared" si="1262"/>
        <v>27.52</v>
      </c>
      <c r="K1825" s="474">
        <f t="shared" si="1260"/>
        <v>7.1551999999999998</v>
      </c>
      <c r="L1825" s="473">
        <f t="shared" si="1245"/>
        <v>26.190000000000001</v>
      </c>
      <c r="M1825" s="474">
        <f t="shared" si="1261"/>
        <v>6.809400000000001</v>
      </c>
      <c r="O1825" s="434">
        <f t="shared" si="1242"/>
        <v>27.52</v>
      </c>
      <c r="P1825" s="435">
        <f t="shared" si="1243"/>
        <v>26.190000000000001</v>
      </c>
      <c r="AE1825" s="217"/>
      <c r="AF1825" s="217">
        <v>1220</v>
      </c>
      <c r="AH1825">
        <f t="shared" si="1255"/>
        <v>1220</v>
      </c>
    </row>
    <row r="1826" ht="30" hidden="1">
      <c r="A1826" s="217"/>
      <c r="B1826" s="217">
        <v>1220</v>
      </c>
      <c r="C1826" s="217"/>
      <c r="D1826" s="217" t="s">
        <v>17167</v>
      </c>
      <c r="E1826" s="471" t="s">
        <v>20665</v>
      </c>
      <c r="F1826" s="486">
        <v>88316</v>
      </c>
      <c r="G1826" s="470" t="s">
        <v>7393</v>
      </c>
      <c r="H1826" s="482" t="s">
        <v>2032</v>
      </c>
      <c r="I1826" s="483">
        <f>2/113</f>
        <v>1.7699099999999999e-002</v>
      </c>
      <c r="J1826" s="473">
        <f t="shared" si="1262"/>
        <v>22.760000000000002</v>
      </c>
      <c r="K1826" s="474">
        <f t="shared" si="1260"/>
        <v>0.402831516</v>
      </c>
      <c r="L1826" s="473">
        <f t="shared" si="1245"/>
        <v>21.550000000000001</v>
      </c>
      <c r="M1826" s="474">
        <f t="shared" si="1261"/>
        <v>0.38141560499999999</v>
      </c>
      <c r="O1826" s="434">
        <f t="shared" si="1242"/>
        <v>22.760000000000002</v>
      </c>
      <c r="P1826" s="435">
        <f t="shared" si="1243"/>
        <v>21.550000000000001</v>
      </c>
      <c r="AE1826" s="217"/>
      <c r="AF1826" s="217">
        <v>1220</v>
      </c>
      <c r="AH1826">
        <f t="shared" si="1255"/>
        <v>1220</v>
      </c>
    </row>
    <row r="1827" ht="30" hidden="1">
      <c r="A1827" s="217"/>
      <c r="B1827" s="217">
        <v>1220</v>
      </c>
      <c r="C1827" s="217"/>
      <c r="D1827" s="217" t="s">
        <v>17167</v>
      </c>
      <c r="E1827" s="471" t="s">
        <v>20667</v>
      </c>
      <c r="F1827" s="486">
        <v>88309</v>
      </c>
      <c r="G1827" s="470" t="s">
        <v>7385</v>
      </c>
      <c r="H1827" s="482" t="s">
        <v>2032</v>
      </c>
      <c r="I1827" s="483">
        <f>1/113</f>
        <v>8.8495999999999991e-003</v>
      </c>
      <c r="J1827" s="473">
        <f t="shared" si="1262"/>
        <v>28.5</v>
      </c>
      <c r="K1827" s="474">
        <f t="shared" si="1260"/>
        <v>0.25221359999999998</v>
      </c>
      <c r="L1827" s="473">
        <f t="shared" si="1245"/>
        <v>26.870000000000001</v>
      </c>
      <c r="M1827" s="474">
        <f t="shared" si="1261"/>
        <v>0.23778875199999999</v>
      </c>
      <c r="O1827" s="434">
        <f t="shared" si="1242"/>
        <v>28.5</v>
      </c>
      <c r="P1827" s="435">
        <f t="shared" si="1243"/>
        <v>26.870000000000001</v>
      </c>
      <c r="AE1827" s="217"/>
      <c r="AF1827" s="217">
        <v>1220</v>
      </c>
      <c r="AH1827">
        <f t="shared" si="1255"/>
        <v>1220</v>
      </c>
    </row>
    <row r="1828" ht="69.75" hidden="1" customHeight="1">
      <c r="A1828" s="460">
        <v>1221</v>
      </c>
      <c r="B1828" s="460">
        <v>1221</v>
      </c>
      <c r="C1828" s="460"/>
      <c r="D1828" s="460"/>
      <c r="E1828" s="461">
        <v>1</v>
      </c>
      <c r="F1828" s="462" t="s">
        <v>21604</v>
      </c>
      <c r="G1828" s="477" t="s">
        <v>21605</v>
      </c>
      <c r="H1828" s="579" t="s">
        <v>31</v>
      </c>
      <c r="I1828" s="479"/>
      <c r="J1828" s="480"/>
      <c r="K1828" s="466">
        <f>SUM(K1829:K1830)</f>
        <v>3805.5760799999998</v>
      </c>
      <c r="L1828" s="480"/>
      <c r="M1828" s="466">
        <f>SUM(M1829:M1830)</f>
        <v>3693.9353900000006</v>
      </c>
      <c r="N1828" s="467" t="s">
        <v>21606</v>
      </c>
      <c r="O1828" s="434" t="str">
        <f t="shared" si="1242"/>
        <v xml:space="preserve">SEM VALOR</v>
      </c>
      <c r="P1828" s="435" t="str">
        <f t="shared" si="1243"/>
        <v xml:space="preserve">SEM VALOR</v>
      </c>
      <c r="AE1828" s="460">
        <v>1221</v>
      </c>
      <c r="AF1828" s="460"/>
      <c r="AH1828">
        <f t="shared" si="1255"/>
        <v>1221</v>
      </c>
    </row>
    <row r="1829" ht="45" hidden="1">
      <c r="A1829" s="217"/>
      <c r="B1829" s="217">
        <v>1221</v>
      </c>
      <c r="C1829" s="217"/>
      <c r="D1829" s="217" t="s">
        <v>17167</v>
      </c>
      <c r="E1829" s="471" t="s">
        <v>20399</v>
      </c>
      <c r="F1829" s="469">
        <v>102487</v>
      </c>
      <c r="G1829" s="470" t="s">
        <v>8702</v>
      </c>
      <c r="H1829" s="482" t="s">
        <v>15528</v>
      </c>
      <c r="I1829" s="483">
        <v>3.629</v>
      </c>
      <c r="J1829" s="473">
        <f t="shared" si="1262"/>
        <v>593.75999999999999</v>
      </c>
      <c r="K1829" s="474">
        <f t="shared" ref="K1829:K1830" si="1263">I1829*J1829</f>
        <v>2154.75504</v>
      </c>
      <c r="L1829" s="473">
        <f t="shared" si="1245"/>
        <v>578.95000000000005</v>
      </c>
      <c r="M1829" s="474">
        <f t="shared" ref="M1829:M1830" si="1264">L1829*I1829</f>
        <v>2101.0095500000002</v>
      </c>
      <c r="O1829" s="434">
        <f t="shared" si="1242"/>
        <v>593.75999999999999</v>
      </c>
      <c r="P1829" s="435">
        <f t="shared" si="1243"/>
        <v>578.95000000000005</v>
      </c>
      <c r="AE1829" s="217"/>
      <c r="AF1829" s="217">
        <v>1221</v>
      </c>
      <c r="AH1829">
        <f t="shared" si="1255"/>
        <v>1221</v>
      </c>
    </row>
    <row r="1830" ht="75" hidden="1">
      <c r="A1830" s="217"/>
      <c r="B1830" s="217">
        <v>1221</v>
      </c>
      <c r="C1830" s="217"/>
      <c r="D1830" s="217" t="s">
        <v>17167</v>
      </c>
      <c r="E1830" s="471" t="s">
        <v>20402</v>
      </c>
      <c r="F1830" s="469">
        <v>96539</v>
      </c>
      <c r="G1830" s="470" t="s">
        <v>21544</v>
      </c>
      <c r="H1830" s="482" t="s">
        <v>15515</v>
      </c>
      <c r="I1830" s="483">
        <v>13.464</v>
      </c>
      <c r="J1830" s="473">
        <f t="shared" si="1262"/>
        <v>122.61</v>
      </c>
      <c r="K1830" s="474">
        <f t="shared" si="1263"/>
        <v>1650.82104</v>
      </c>
      <c r="L1830" s="473">
        <f t="shared" si="1245"/>
        <v>118.31</v>
      </c>
      <c r="M1830" s="474">
        <f t="shared" si="1264"/>
        <v>1592.9258400000001</v>
      </c>
      <c r="O1830" s="434">
        <f t="shared" si="1242"/>
        <v>122.61</v>
      </c>
      <c r="P1830" s="435">
        <f t="shared" si="1243"/>
        <v>118.31</v>
      </c>
      <c r="AE1830" s="217"/>
      <c r="AF1830" s="217">
        <v>1221</v>
      </c>
      <c r="AH1830">
        <f t="shared" si="1255"/>
        <v>1221</v>
      </c>
    </row>
    <row r="1831" ht="84.75" hidden="1" customHeight="1">
      <c r="A1831" s="460">
        <v>1222</v>
      </c>
      <c r="B1831" s="460">
        <v>1222</v>
      </c>
      <c r="C1831" s="460"/>
      <c r="D1831" s="460"/>
      <c r="E1831" s="461">
        <v>1</v>
      </c>
      <c r="F1831" s="462" t="s">
        <v>21607</v>
      </c>
      <c r="G1831" s="477" t="s">
        <v>21608</v>
      </c>
      <c r="H1831" s="579" t="s">
        <v>15515</v>
      </c>
      <c r="I1831" s="479"/>
      <c r="J1831" s="480"/>
      <c r="K1831" s="466">
        <f>SUM(K1832:K1838)</f>
        <v>26.192059999999998</v>
      </c>
      <c r="L1831" s="480"/>
      <c r="M1831" s="466">
        <f>SUM(M1832:M1838)</f>
        <v>25.423310000000001</v>
      </c>
      <c r="O1831" s="434" t="str">
        <f t="shared" si="1242"/>
        <v xml:space="preserve">SEM VALOR</v>
      </c>
      <c r="P1831" s="435" t="str">
        <f t="shared" si="1243"/>
        <v xml:space="preserve">SEM VALOR</v>
      </c>
      <c r="AE1831" s="460">
        <v>1222</v>
      </c>
      <c r="AF1831" s="460"/>
      <c r="AH1831">
        <f t="shared" si="1255"/>
        <v>1222</v>
      </c>
    </row>
    <row r="1832" hidden="1">
      <c r="A1832" s="217"/>
      <c r="B1832" s="217">
        <v>1222</v>
      </c>
      <c r="C1832" s="217"/>
      <c r="D1832" s="217" t="s">
        <v>20408</v>
      </c>
      <c r="E1832" s="471" t="s">
        <v>20399</v>
      </c>
      <c r="F1832" s="486">
        <v>5318</v>
      </c>
      <c r="G1832" s="470" t="s">
        <v>12154</v>
      </c>
      <c r="H1832" s="482" t="s">
        <v>9794</v>
      </c>
      <c r="I1832" s="483">
        <v>1.4999999999999999e-002</v>
      </c>
      <c r="J1832" s="473">
        <f t="shared" si="1262"/>
        <v>17.699999999999999</v>
      </c>
      <c r="K1832" s="474">
        <f t="shared" ref="K1832:K1838" si="1265">I1832*J1832</f>
        <v>0.26549999999999996</v>
      </c>
      <c r="L1832" s="473">
        <f t="shared" si="1245"/>
        <v>17.699999999999999</v>
      </c>
      <c r="M1832" s="474">
        <f t="shared" ref="M1832:M1838" si="1266">L1832*I1832</f>
        <v>0.26549999999999996</v>
      </c>
      <c r="O1832" s="434">
        <f t="shared" si="1242"/>
        <v>17.699999999999999</v>
      </c>
      <c r="P1832" s="435">
        <f t="shared" si="1243"/>
        <v>17.699999999999999</v>
      </c>
      <c r="AE1832" s="217"/>
      <c r="AF1832" s="217">
        <v>1222</v>
      </c>
      <c r="AH1832">
        <f t="shared" si="1255"/>
        <v>1222</v>
      </c>
    </row>
    <row r="1833" ht="45" hidden="1">
      <c r="A1833" s="217"/>
      <c r="B1833" s="217">
        <v>1222</v>
      </c>
      <c r="C1833" s="217"/>
      <c r="D1833" s="217" t="s">
        <v>20408</v>
      </c>
      <c r="E1833" s="471" t="s">
        <v>20402</v>
      </c>
      <c r="F1833" s="486">
        <v>7343</v>
      </c>
      <c r="G1833" s="470" t="s">
        <v>14754</v>
      </c>
      <c r="H1833" s="482" t="s">
        <v>9794</v>
      </c>
      <c r="I1833" s="483">
        <v>0.29999999999999999</v>
      </c>
      <c r="J1833" s="473">
        <f t="shared" si="1262"/>
        <v>23.109999999999999</v>
      </c>
      <c r="K1833" s="474">
        <f t="shared" si="1265"/>
        <v>6.9329999999999998</v>
      </c>
      <c r="L1833" s="473">
        <f t="shared" si="1245"/>
        <v>23.109999999999999</v>
      </c>
      <c r="M1833" s="474">
        <f t="shared" si="1266"/>
        <v>6.9329999999999998</v>
      </c>
      <c r="O1833" s="434">
        <f t="shared" si="1242"/>
        <v>23.109999999999999</v>
      </c>
      <c r="P1833" s="435">
        <f t="shared" si="1243"/>
        <v>23.109999999999999</v>
      </c>
      <c r="AE1833" s="217"/>
      <c r="AF1833" s="217">
        <v>1222</v>
      </c>
      <c r="AH1833">
        <f t="shared" si="1255"/>
        <v>1222</v>
      </c>
    </row>
    <row r="1834" hidden="1">
      <c r="A1834" s="217"/>
      <c r="B1834" s="217">
        <v>1222</v>
      </c>
      <c r="C1834" s="217"/>
      <c r="D1834" s="217" t="s">
        <v>20408</v>
      </c>
      <c r="E1834" s="471" t="s">
        <v>20405</v>
      </c>
      <c r="F1834" s="486">
        <v>12815</v>
      </c>
      <c r="G1834" s="470" t="s">
        <v>21609</v>
      </c>
      <c r="H1834" s="482" t="s">
        <v>31</v>
      </c>
      <c r="I1834" s="483">
        <v>1.2e-002</v>
      </c>
      <c r="J1834" s="473">
        <f t="shared" si="1262"/>
        <v>18.210000000000001</v>
      </c>
      <c r="K1834" s="474">
        <f t="shared" si="1265"/>
        <v>0.21852000000000002</v>
      </c>
      <c r="L1834" s="473">
        <f t="shared" si="1245"/>
        <v>18.210000000000001</v>
      </c>
      <c r="M1834" s="474">
        <f t="shared" si="1266"/>
        <v>0.21852000000000002</v>
      </c>
      <c r="O1834" s="434">
        <f t="shared" si="1242"/>
        <v>18.210000000000001</v>
      </c>
      <c r="P1834" s="435">
        <f t="shared" si="1243"/>
        <v>18.210000000000001</v>
      </c>
      <c r="AE1834" s="217"/>
      <c r="AF1834" s="217">
        <v>1222</v>
      </c>
      <c r="AH1834">
        <f t="shared" si="1255"/>
        <v>1222</v>
      </c>
    </row>
    <row r="1835" ht="45" hidden="1">
      <c r="A1835" s="217"/>
      <c r="B1835" s="217">
        <v>1222</v>
      </c>
      <c r="C1835" s="217"/>
      <c r="D1835" s="217" t="s">
        <v>20408</v>
      </c>
      <c r="E1835" s="471" t="s">
        <v>20409</v>
      </c>
      <c r="F1835" s="486">
        <v>44477</v>
      </c>
      <c r="G1835" s="470" t="s">
        <v>21610</v>
      </c>
      <c r="H1835" s="482" t="s">
        <v>302</v>
      </c>
      <c r="I1835" s="483">
        <v>0.25</v>
      </c>
      <c r="J1835" s="473">
        <f t="shared" si="1262"/>
        <v>13.74</v>
      </c>
      <c r="K1835" s="474">
        <f t="shared" si="1265"/>
        <v>3.4350000000000001</v>
      </c>
      <c r="L1835" s="473">
        <f t="shared" si="1245"/>
        <v>13.74</v>
      </c>
      <c r="M1835" s="474">
        <f t="shared" si="1266"/>
        <v>3.4350000000000001</v>
      </c>
      <c r="O1835" s="434">
        <f t="shared" si="1242"/>
        <v>13.74</v>
      </c>
      <c r="P1835" s="435">
        <f t="shared" si="1243"/>
        <v>13.74</v>
      </c>
      <c r="AE1835" s="217"/>
      <c r="AF1835" s="217">
        <v>1222</v>
      </c>
      <c r="AH1835">
        <f t="shared" si="1255"/>
        <v>1222</v>
      </c>
    </row>
    <row r="1836" ht="45" hidden="1">
      <c r="A1836" s="217"/>
      <c r="B1836" s="217">
        <v>1222</v>
      </c>
      <c r="C1836" s="217"/>
      <c r="D1836" s="217" t="s">
        <v>20408</v>
      </c>
      <c r="E1836" s="471" t="s">
        <v>20663</v>
      </c>
      <c r="F1836" s="486">
        <v>44478</v>
      </c>
      <c r="G1836" s="470" t="s">
        <v>21611</v>
      </c>
      <c r="H1836" s="482" t="s">
        <v>302</v>
      </c>
      <c r="I1836" s="483">
        <v>6.6000000000000003e-002</v>
      </c>
      <c r="J1836" s="473">
        <f t="shared" si="1262"/>
        <v>13.74</v>
      </c>
      <c r="K1836" s="474">
        <f t="shared" si="1265"/>
        <v>0.90684000000000009</v>
      </c>
      <c r="L1836" s="473">
        <f t="shared" si="1245"/>
        <v>13.74</v>
      </c>
      <c r="M1836" s="474">
        <f t="shared" si="1266"/>
        <v>0.90684000000000009</v>
      </c>
      <c r="O1836" s="434">
        <f t="shared" ref="O1836:O1899" si="1267">IFERROR(IF(D1836="SINAPI",VLOOKUP(F1836,SINCOMOD,4,FALSE),IF(D1836="INSINAPI",VLOOKUP(F1836,INSINOD,5,FALSE),IF(D1836="SICRO",VLOOKUP(F1836,SICRO,5,FALSE),IF(D1836="COTACAO",VLOOKUP(F1836,COTACAO,6,FALSE),IF(D1836="PRÓPRIO",VLOOKUP(F1836,COMPOD,11,FALSE),IF(D1836="AGESUL",VLOOKUP(F1836,AGESULOD,6,FALSE),IF(D1836="INSAGESUL",VLOOKUP(F1836,INSAGESUL,7,FALSE),"SEM VALOR"))))))),"SEM VALOR")</f>
        <v>13.74</v>
      </c>
      <c r="P1836" s="435">
        <f t="shared" ref="P1836:P1899" si="1268">IFERROR(IF(D1836="SINAPI",VLOOKUP(F1836,SINCOMOD,6,FALSE),IF(D1836="INSINAPI",VLOOKUP(F1836,INSINOD,6,FALSE),IF(D1836="SICRO",VLOOKUP(F1836,SICRO,5,FALSE),IF(D1836="COTACAO",VLOOKUP(F1836,COTACAO,6,FALSE),IF(D1836="PRÓPRIO",VLOOKUP(F1836,COMPOD,13,FALSE),IF(D1836="AGESUL",VLOOKUP(F1836,AGESULOD,11,FALSE),IF(D1836="INSAGESUL",VLOOKUP(F1836,INSAGESUL,8,FALSE),"SEM VALOR"))))))),"SEM VALOR")</f>
        <v>13.74</v>
      </c>
      <c r="AE1836" s="217"/>
      <c r="AF1836" s="217">
        <v>1222</v>
      </c>
      <c r="AH1836">
        <f t="shared" si="1255"/>
        <v>1222</v>
      </c>
    </row>
    <row r="1837" ht="30" hidden="1">
      <c r="A1837" s="217"/>
      <c r="B1837" s="217">
        <v>1222</v>
      </c>
      <c r="C1837" s="217"/>
      <c r="D1837" s="217" t="s">
        <v>17167</v>
      </c>
      <c r="E1837" s="471" t="s">
        <v>20665</v>
      </c>
      <c r="F1837" s="486">
        <v>88310</v>
      </c>
      <c r="G1837" s="470" t="s">
        <v>7386</v>
      </c>
      <c r="H1837" s="482" t="s">
        <v>2032</v>
      </c>
      <c r="I1837" s="483">
        <v>0.36399999999999999</v>
      </c>
      <c r="J1837" s="473">
        <f t="shared" si="1262"/>
        <v>30.210000000000001</v>
      </c>
      <c r="K1837" s="474">
        <f t="shared" si="1265"/>
        <v>10.99644</v>
      </c>
      <c r="L1837" s="473">
        <f t="shared" ref="L1837:L1900" si="1269">P1837*$L$3</f>
        <v>28.600000000000001</v>
      </c>
      <c r="M1837" s="474">
        <f t="shared" si="1266"/>
        <v>10.410400000000001</v>
      </c>
      <c r="O1837" s="434">
        <f t="shared" si="1267"/>
        <v>30.210000000000001</v>
      </c>
      <c r="P1837" s="435">
        <f t="shared" si="1268"/>
        <v>28.600000000000001</v>
      </c>
      <c r="AE1837" s="217"/>
      <c r="AF1837" s="217">
        <v>1222</v>
      </c>
      <c r="AH1837">
        <f t="shared" si="1255"/>
        <v>1222</v>
      </c>
    </row>
    <row r="1838" ht="30" hidden="1">
      <c r="A1838" s="217"/>
      <c r="B1838" s="217">
        <v>1222</v>
      </c>
      <c r="C1838" s="217"/>
      <c r="D1838" s="217" t="s">
        <v>17167</v>
      </c>
      <c r="E1838" s="471" t="s">
        <v>20667</v>
      </c>
      <c r="F1838" s="486">
        <v>88316</v>
      </c>
      <c r="G1838" s="470" t="s">
        <v>7393</v>
      </c>
      <c r="H1838" s="482" t="s">
        <v>2032</v>
      </c>
      <c r="I1838" s="483">
        <v>0.151</v>
      </c>
      <c r="J1838" s="473">
        <f t="shared" si="1262"/>
        <v>22.760000000000002</v>
      </c>
      <c r="K1838" s="474">
        <f t="shared" si="1265"/>
        <v>3.43676</v>
      </c>
      <c r="L1838" s="473">
        <f t="shared" si="1269"/>
        <v>21.550000000000001</v>
      </c>
      <c r="M1838" s="474">
        <f t="shared" si="1266"/>
        <v>3.2540499999999999</v>
      </c>
      <c r="O1838" s="434">
        <f t="shared" si="1267"/>
        <v>22.760000000000002</v>
      </c>
      <c r="P1838" s="435">
        <f t="shared" si="1268"/>
        <v>21.550000000000001</v>
      </c>
      <c r="AE1838" s="217"/>
      <c r="AF1838" s="217">
        <v>1222</v>
      </c>
      <c r="AH1838">
        <f t="shared" si="1255"/>
        <v>1222</v>
      </c>
    </row>
    <row r="1839" ht="116.25" hidden="1" customHeight="1">
      <c r="A1839" s="460">
        <v>1223</v>
      </c>
      <c r="B1839" s="460">
        <v>1223</v>
      </c>
      <c r="C1839" s="460"/>
      <c r="D1839" s="460"/>
      <c r="E1839" s="461">
        <v>1</v>
      </c>
      <c r="F1839" s="462" t="s">
        <v>21612</v>
      </c>
      <c r="G1839" s="477" t="s">
        <v>21613</v>
      </c>
      <c r="H1839" s="579" t="s">
        <v>38</v>
      </c>
      <c r="I1839" s="479"/>
      <c r="J1839" s="480"/>
      <c r="K1839" s="466">
        <f>SUM(K1840:K1847)</f>
        <v>6.0634509999999988</v>
      </c>
      <c r="L1839" s="480"/>
      <c r="M1839" s="466">
        <f>SUM(M1840:M1847)</f>
        <v>5.9280779999999993</v>
      </c>
      <c r="O1839" s="434" t="str">
        <f t="shared" si="1267"/>
        <v xml:space="preserve">SEM VALOR</v>
      </c>
      <c r="P1839" s="435" t="str">
        <f t="shared" si="1268"/>
        <v xml:space="preserve">SEM VALOR</v>
      </c>
      <c r="AE1839" s="460">
        <v>1223</v>
      </c>
      <c r="AF1839" s="460"/>
      <c r="AH1839">
        <f t="shared" si="1255"/>
        <v>1223</v>
      </c>
    </row>
    <row r="1840" hidden="1">
      <c r="A1840" s="217"/>
      <c r="B1840" s="217">
        <v>1223</v>
      </c>
      <c r="C1840" s="217"/>
      <c r="D1840" s="217" t="s">
        <v>20408</v>
      </c>
      <c r="E1840" s="471" t="s">
        <v>20399</v>
      </c>
      <c r="F1840" s="486">
        <v>5318</v>
      </c>
      <c r="G1840" s="470" t="s">
        <v>12154</v>
      </c>
      <c r="H1840" s="482" t="s">
        <v>9794</v>
      </c>
      <c r="I1840" s="483">
        <v>1.5e-003</v>
      </c>
      <c r="J1840" s="473">
        <f t="shared" si="1262"/>
        <v>17.699999999999999</v>
      </c>
      <c r="K1840" s="474">
        <f t="shared" ref="K1840:K1847" si="1270">I1840*J1840</f>
        <v>2.6550000000000001e-002</v>
      </c>
      <c r="L1840" s="473">
        <f t="shared" si="1269"/>
        <v>17.699999999999999</v>
      </c>
      <c r="M1840" s="474">
        <f t="shared" ref="M1840:M1847" si="1271">L1840*I1840</f>
        <v>2.6550000000000001e-002</v>
      </c>
      <c r="O1840" s="434">
        <f t="shared" si="1267"/>
        <v>17.699999999999999</v>
      </c>
      <c r="P1840" s="435">
        <f t="shared" si="1268"/>
        <v>17.699999999999999</v>
      </c>
      <c r="AE1840" s="217"/>
      <c r="AF1840" s="217">
        <v>1223</v>
      </c>
      <c r="AH1840">
        <f t="shared" si="1255"/>
        <v>1223</v>
      </c>
    </row>
    <row r="1841" ht="45" hidden="1">
      <c r="A1841" s="217"/>
      <c r="B1841" s="217">
        <v>1223</v>
      </c>
      <c r="C1841" s="217"/>
      <c r="D1841" s="217" t="s">
        <v>20408</v>
      </c>
      <c r="E1841" s="471" t="s">
        <v>20402</v>
      </c>
      <c r="F1841" s="486">
        <v>7343</v>
      </c>
      <c r="G1841" s="470" t="s">
        <v>14754</v>
      </c>
      <c r="H1841" s="482" t="s">
        <v>9794</v>
      </c>
      <c r="I1841" s="483">
        <v>2.9999999999999999e-002</v>
      </c>
      <c r="J1841" s="473">
        <f t="shared" si="1262"/>
        <v>23.109999999999999</v>
      </c>
      <c r="K1841" s="474">
        <f t="shared" si="1270"/>
        <v>0.69329999999999992</v>
      </c>
      <c r="L1841" s="473">
        <f t="shared" si="1269"/>
        <v>23.109999999999999</v>
      </c>
      <c r="M1841" s="474">
        <f t="shared" si="1271"/>
        <v>0.69329999999999992</v>
      </c>
      <c r="O1841" s="434">
        <f t="shared" si="1267"/>
        <v>23.109999999999999</v>
      </c>
      <c r="P1841" s="435">
        <f t="shared" si="1268"/>
        <v>23.109999999999999</v>
      </c>
      <c r="AE1841" s="217"/>
      <c r="AF1841" s="217">
        <v>1223</v>
      </c>
      <c r="AH1841">
        <f t="shared" si="1255"/>
        <v>1223</v>
      </c>
    </row>
    <row r="1842" ht="45" hidden="1">
      <c r="A1842" s="217"/>
      <c r="B1842" s="217">
        <v>1223</v>
      </c>
      <c r="C1842" s="217"/>
      <c r="D1842" s="217" t="s">
        <v>20408</v>
      </c>
      <c r="E1842" s="471" t="s">
        <v>20405</v>
      </c>
      <c r="F1842" s="486">
        <v>44477</v>
      </c>
      <c r="G1842" s="470" t="s">
        <v>21610</v>
      </c>
      <c r="H1842" s="482" t="s">
        <v>302</v>
      </c>
      <c r="I1842" s="483">
        <v>2.5000000000000001e-002</v>
      </c>
      <c r="J1842" s="473">
        <f t="shared" si="1262"/>
        <v>13.74</v>
      </c>
      <c r="K1842" s="474">
        <f t="shared" si="1270"/>
        <v>0.34350000000000003</v>
      </c>
      <c r="L1842" s="473">
        <f t="shared" si="1269"/>
        <v>13.74</v>
      </c>
      <c r="M1842" s="474">
        <f t="shared" si="1271"/>
        <v>0.34350000000000003</v>
      </c>
      <c r="O1842" s="434">
        <f t="shared" si="1267"/>
        <v>13.74</v>
      </c>
      <c r="P1842" s="435">
        <f t="shared" si="1268"/>
        <v>13.74</v>
      </c>
      <c r="AE1842" s="217"/>
      <c r="AF1842" s="217">
        <v>1223</v>
      </c>
      <c r="AH1842">
        <f t="shared" si="1255"/>
        <v>1223</v>
      </c>
    </row>
    <row r="1843" ht="45" hidden="1">
      <c r="A1843" s="217"/>
      <c r="B1843" s="217">
        <v>1223</v>
      </c>
      <c r="C1843" s="217"/>
      <c r="D1843" s="217" t="s">
        <v>20408</v>
      </c>
      <c r="E1843" s="471" t="s">
        <v>20409</v>
      </c>
      <c r="F1843" s="486">
        <v>44478</v>
      </c>
      <c r="G1843" s="470" t="s">
        <v>21611</v>
      </c>
      <c r="H1843" s="482" t="s">
        <v>302</v>
      </c>
      <c r="I1843" s="483">
        <v>6.6e-003</v>
      </c>
      <c r="J1843" s="473">
        <f t="shared" si="1262"/>
        <v>13.74</v>
      </c>
      <c r="K1843" s="474">
        <f t="shared" si="1270"/>
        <v>9.0684000000000001e-002</v>
      </c>
      <c r="L1843" s="473">
        <f t="shared" si="1269"/>
        <v>13.74</v>
      </c>
      <c r="M1843" s="474">
        <f t="shared" si="1271"/>
        <v>9.0684000000000001e-002</v>
      </c>
      <c r="O1843" s="434">
        <f t="shared" si="1267"/>
        <v>13.74</v>
      </c>
      <c r="P1843" s="435">
        <f t="shared" si="1268"/>
        <v>13.74</v>
      </c>
      <c r="AE1843" s="217"/>
      <c r="AF1843" s="217">
        <v>1223</v>
      </c>
      <c r="AH1843">
        <f t="shared" si="1255"/>
        <v>1223</v>
      </c>
    </row>
    <row r="1844" ht="30" hidden="1">
      <c r="A1844" s="217"/>
      <c r="B1844" s="217">
        <v>1223</v>
      </c>
      <c r="C1844" s="217"/>
      <c r="D1844" s="217" t="s">
        <v>17167</v>
      </c>
      <c r="E1844" s="471" t="s">
        <v>20663</v>
      </c>
      <c r="F1844" s="486">
        <v>88310</v>
      </c>
      <c r="G1844" s="470" t="s">
        <v>7386</v>
      </c>
      <c r="H1844" s="482" t="s">
        <v>2032</v>
      </c>
      <c r="I1844" s="483">
        <v>3.4000000000000002e-002</v>
      </c>
      <c r="J1844" s="473">
        <f t="shared" si="1262"/>
        <v>30.210000000000001</v>
      </c>
      <c r="K1844" s="474">
        <f t="shared" si="1270"/>
        <v>1.0271400000000002</v>
      </c>
      <c r="L1844" s="473">
        <f t="shared" si="1269"/>
        <v>28.600000000000001</v>
      </c>
      <c r="M1844" s="474">
        <f t="shared" si="1271"/>
        <v>0.97240000000000015</v>
      </c>
      <c r="O1844" s="434">
        <f t="shared" si="1267"/>
        <v>30.210000000000001</v>
      </c>
      <c r="P1844" s="435">
        <f t="shared" si="1268"/>
        <v>28.600000000000001</v>
      </c>
      <c r="AE1844" s="217"/>
      <c r="AF1844" s="217">
        <v>1223</v>
      </c>
      <c r="AH1844">
        <f t="shared" si="1255"/>
        <v>1223</v>
      </c>
    </row>
    <row r="1845" ht="30" hidden="1">
      <c r="A1845" s="217"/>
      <c r="B1845" s="217">
        <v>1223</v>
      </c>
      <c r="C1845" s="217"/>
      <c r="D1845" s="217" t="s">
        <v>17167</v>
      </c>
      <c r="E1845" s="471" t="s">
        <v>20665</v>
      </c>
      <c r="F1845" s="486">
        <v>88316</v>
      </c>
      <c r="G1845" s="470" t="s">
        <v>7393</v>
      </c>
      <c r="H1845" s="482" t="s">
        <v>2032</v>
      </c>
      <c r="I1845" s="483">
        <v>1.4e-002</v>
      </c>
      <c r="J1845" s="473">
        <f t="shared" si="1262"/>
        <v>22.760000000000002</v>
      </c>
      <c r="K1845" s="474">
        <f t="shared" si="1270"/>
        <v>0.31864000000000003</v>
      </c>
      <c r="L1845" s="473">
        <f t="shared" si="1269"/>
        <v>21.550000000000001</v>
      </c>
      <c r="M1845" s="474">
        <f t="shared" si="1271"/>
        <v>0.30170000000000002</v>
      </c>
      <c r="O1845" s="434">
        <f t="shared" si="1267"/>
        <v>22.760000000000002</v>
      </c>
      <c r="P1845" s="435">
        <f t="shared" si="1268"/>
        <v>21.550000000000001</v>
      </c>
      <c r="AE1845" s="217"/>
      <c r="AF1845" s="217">
        <v>1223</v>
      </c>
      <c r="AH1845">
        <f t="shared" si="1255"/>
        <v>1223</v>
      </c>
    </row>
    <row r="1846" ht="60" hidden="1">
      <c r="A1846" s="217"/>
      <c r="B1846" s="217">
        <v>1223</v>
      </c>
      <c r="C1846" s="217"/>
      <c r="D1846" s="217" t="s">
        <v>17167</v>
      </c>
      <c r="E1846" s="471" t="s">
        <v>20667</v>
      </c>
      <c r="F1846" s="486">
        <v>95133</v>
      </c>
      <c r="G1846" s="470" t="s">
        <v>1789</v>
      </c>
      <c r="H1846" s="482" t="s">
        <v>1535</v>
      </c>
      <c r="I1846" s="483">
        <v>2.9999999999999997e-004</v>
      </c>
      <c r="J1846" s="473">
        <f t="shared" si="1262"/>
        <v>205.49000000000001</v>
      </c>
      <c r="K1846" s="474">
        <f t="shared" si="1270"/>
        <v>6.1647e-002</v>
      </c>
      <c r="L1846" s="473">
        <f t="shared" si="1269"/>
        <v>203.59999999999999</v>
      </c>
      <c r="M1846" s="474">
        <f t="shared" si="1271"/>
        <v>6.1079999999999995e-002</v>
      </c>
      <c r="O1846" s="434">
        <f t="shared" si="1267"/>
        <v>205.49000000000001</v>
      </c>
      <c r="P1846" s="435">
        <f t="shared" si="1268"/>
        <v>203.59999999999999</v>
      </c>
      <c r="AE1846" s="217"/>
      <c r="AF1846" s="217">
        <v>1223</v>
      </c>
      <c r="AH1846">
        <f t="shared" si="1255"/>
        <v>1223</v>
      </c>
    </row>
    <row r="1847" ht="60" hidden="1">
      <c r="A1847" s="217"/>
      <c r="B1847" s="217">
        <v>1223</v>
      </c>
      <c r="C1847" s="217"/>
      <c r="D1847" s="217" t="s">
        <v>17167</v>
      </c>
      <c r="E1847" s="471" t="s">
        <v>20671</v>
      </c>
      <c r="F1847" s="486">
        <v>96159</v>
      </c>
      <c r="G1847" s="470" t="s">
        <v>1788</v>
      </c>
      <c r="H1847" s="482" t="s">
        <v>1533</v>
      </c>
      <c r="I1847" s="483">
        <v>3.3399999999999999e-002</v>
      </c>
      <c r="J1847" s="473">
        <f t="shared" si="1262"/>
        <v>104.84999999999999</v>
      </c>
      <c r="K1847" s="474">
        <f t="shared" si="1270"/>
        <v>3.5019899999999997</v>
      </c>
      <c r="L1847" s="473">
        <f t="shared" si="1269"/>
        <v>102.95999999999999</v>
      </c>
      <c r="M1847" s="474">
        <f t="shared" si="1271"/>
        <v>3.4388639999999997</v>
      </c>
      <c r="O1847" s="434">
        <f t="shared" si="1267"/>
        <v>104.84999999999999</v>
      </c>
      <c r="P1847" s="435">
        <f t="shared" si="1268"/>
        <v>102.95999999999999</v>
      </c>
      <c r="AE1847" s="217"/>
      <c r="AF1847" s="217">
        <v>1223</v>
      </c>
      <c r="AH1847">
        <f t="shared" si="1255"/>
        <v>1223</v>
      </c>
    </row>
    <row r="1848" ht="70.5" hidden="1" customHeight="1">
      <c r="A1848" s="460">
        <v>1224</v>
      </c>
      <c r="B1848" s="460">
        <v>1224</v>
      </c>
      <c r="C1848" s="460"/>
      <c r="D1848" s="460"/>
      <c r="E1848" s="461">
        <v>1</v>
      </c>
      <c r="F1848" s="462" t="s">
        <v>21614</v>
      </c>
      <c r="G1848" s="477" t="s">
        <v>21615</v>
      </c>
      <c r="H1848" s="579" t="s">
        <v>38</v>
      </c>
      <c r="I1848" s="479"/>
      <c r="J1848" s="480"/>
      <c r="K1848" s="466">
        <f>SUM(K1849:K1852)</f>
        <v>224.53057513202546</v>
      </c>
      <c r="L1848" s="480"/>
      <c r="M1848" s="466">
        <f>SUM(M1849:M1852)</f>
        <v>222.04243242370973</v>
      </c>
      <c r="N1848" s="467" t="s">
        <v>21616</v>
      </c>
      <c r="O1848" s="434" t="str">
        <f t="shared" si="1267"/>
        <v xml:space="preserve">SEM VALOR</v>
      </c>
      <c r="P1848" s="435" t="str">
        <f t="shared" si="1268"/>
        <v xml:space="preserve">SEM VALOR</v>
      </c>
      <c r="AE1848" s="460">
        <v>1224</v>
      </c>
      <c r="AF1848" s="460"/>
      <c r="AH1848">
        <f t="shared" si="1255"/>
        <v>1224</v>
      </c>
    </row>
    <row r="1849" ht="75" hidden="1">
      <c r="A1849" s="217"/>
      <c r="B1849" s="217">
        <v>1224</v>
      </c>
      <c r="C1849" s="217"/>
      <c r="D1849" s="217" t="s">
        <v>17167</v>
      </c>
      <c r="E1849" s="471" t="s">
        <v>20399</v>
      </c>
      <c r="F1849" s="482">
        <v>92917</v>
      </c>
      <c r="G1849" s="470" t="s">
        <v>20768</v>
      </c>
      <c r="H1849" s="482" t="s">
        <v>302</v>
      </c>
      <c r="I1849" s="483">
        <v>3.8533599999999999</v>
      </c>
      <c r="J1849" s="473">
        <f t="shared" si="1262"/>
        <v>13.529999999999999</v>
      </c>
      <c r="K1849" s="474">
        <f t="shared" ref="K1849:K1852" si="1272">I1849*J1849</f>
        <v>52.135960799999999</v>
      </c>
      <c r="L1849" s="473">
        <f t="shared" si="1269"/>
        <v>13.31</v>
      </c>
      <c r="M1849" s="474">
        <f t="shared" ref="M1849:M1852" si="1273">L1849*I1849</f>
        <v>51.2882216</v>
      </c>
      <c r="O1849" s="434">
        <f t="shared" si="1267"/>
        <v>13.529999999999999</v>
      </c>
      <c r="P1849" s="435">
        <f t="shared" si="1268"/>
        <v>13.31</v>
      </c>
      <c r="AE1849" s="217"/>
      <c r="AF1849" s="217">
        <v>1224</v>
      </c>
      <c r="AH1849">
        <f t="shared" si="1255"/>
        <v>1224</v>
      </c>
    </row>
    <row r="1850" ht="75" hidden="1">
      <c r="A1850" s="217"/>
      <c r="B1850" s="217">
        <v>1224</v>
      </c>
      <c r="C1850" s="217"/>
      <c r="D1850" s="217" t="s">
        <v>20408</v>
      </c>
      <c r="E1850" s="471" t="s">
        <v>20402</v>
      </c>
      <c r="F1850" s="482">
        <v>34494</v>
      </c>
      <c r="G1850" s="470" t="s">
        <v>11645</v>
      </c>
      <c r="H1850" s="482" t="s">
        <v>15528</v>
      </c>
      <c r="I1850" s="483">
        <v>0.22445000000000001</v>
      </c>
      <c r="J1850" s="473">
        <f t="shared" si="1262"/>
        <v>594.98000000000002</v>
      </c>
      <c r="K1850" s="474">
        <f t="shared" si="1272"/>
        <v>133.543261</v>
      </c>
      <c r="L1850" s="473">
        <f t="shared" si="1269"/>
        <v>594.98000000000002</v>
      </c>
      <c r="M1850" s="474">
        <f t="shared" si="1273"/>
        <v>133.543261</v>
      </c>
      <c r="O1850" s="434">
        <f t="shared" si="1267"/>
        <v>594.98000000000002</v>
      </c>
      <c r="P1850" s="435">
        <f t="shared" si="1268"/>
        <v>594.98000000000002</v>
      </c>
      <c r="AE1850" s="217"/>
      <c r="AF1850" s="217">
        <v>1224</v>
      </c>
      <c r="AH1850">
        <f t="shared" si="1255"/>
        <v>1224</v>
      </c>
    </row>
    <row r="1851" ht="60" hidden="1">
      <c r="A1851" s="217"/>
      <c r="B1851" s="217">
        <v>1224</v>
      </c>
      <c r="C1851" s="217"/>
      <c r="D1851" s="217" t="s">
        <v>17167</v>
      </c>
      <c r="E1851" s="471" t="s">
        <v>20405</v>
      </c>
      <c r="F1851" s="482">
        <v>103673</v>
      </c>
      <c r="G1851" s="470" t="s">
        <v>1388</v>
      </c>
      <c r="H1851" s="482" t="s">
        <v>15528</v>
      </c>
      <c r="I1851" s="483">
        <v>0.22445000000000001</v>
      </c>
      <c r="J1851" s="473">
        <f t="shared" si="1262"/>
        <v>43.409999999999997</v>
      </c>
      <c r="K1851" s="474">
        <f t="shared" si="1272"/>
        <v>9.7433744999999998</v>
      </c>
      <c r="L1851" s="473">
        <f t="shared" si="1269"/>
        <v>41.049999999999997</v>
      </c>
      <c r="M1851" s="474">
        <f t="shared" si="1273"/>
        <v>9.2136724999999995</v>
      </c>
      <c r="O1851" s="434">
        <f t="shared" si="1267"/>
        <v>43.409999999999997</v>
      </c>
      <c r="P1851" s="435">
        <f t="shared" si="1268"/>
        <v>41.049999999999997</v>
      </c>
      <c r="AE1851" s="217"/>
      <c r="AF1851" s="217">
        <v>1224</v>
      </c>
      <c r="AH1851">
        <f t="shared" si="1255"/>
        <v>1224</v>
      </c>
    </row>
    <row r="1852" ht="90" hidden="1">
      <c r="A1852" s="217"/>
      <c r="B1852" s="217">
        <v>1224</v>
      </c>
      <c r="C1852" s="217"/>
      <c r="D1852" s="217" t="s">
        <v>20398</v>
      </c>
      <c r="E1852" s="471" t="s">
        <v>20409</v>
      </c>
      <c r="F1852" s="482">
        <v>1225</v>
      </c>
      <c r="G1852" s="470" t="s">
        <v>21617</v>
      </c>
      <c r="H1852" s="482" t="s">
        <v>15515</v>
      </c>
      <c r="I1852" s="483">
        <v>1.879</v>
      </c>
      <c r="J1852" s="473">
        <f t="shared" si="1262"/>
        <v>15.491207467815578</v>
      </c>
      <c r="K1852" s="474">
        <f t="shared" si="1272"/>
        <v>29.10797883202547</v>
      </c>
      <c r="L1852" s="473">
        <f t="shared" si="1269"/>
        <v>14.9000943713197</v>
      </c>
      <c r="M1852" s="474">
        <f t="shared" si="1273"/>
        <v>27.997277323709717</v>
      </c>
      <c r="O1852" s="434">
        <f t="shared" si="1267"/>
        <v>15.491207467815578</v>
      </c>
      <c r="P1852" s="435">
        <f t="shared" si="1268"/>
        <v>14.9000943713197</v>
      </c>
      <c r="AE1852" s="217"/>
      <c r="AF1852" s="217">
        <v>1224</v>
      </c>
      <c r="AH1852">
        <f t="shared" si="1255"/>
        <v>1224</v>
      </c>
    </row>
    <row r="1853" ht="94.5" hidden="1">
      <c r="A1853" s="460">
        <v>1225</v>
      </c>
      <c r="B1853" s="460">
        <v>1225</v>
      </c>
      <c r="C1853" s="460"/>
      <c r="D1853" s="460"/>
      <c r="E1853" s="461">
        <v>1</v>
      </c>
      <c r="F1853" s="462" t="s">
        <v>21618</v>
      </c>
      <c r="G1853" s="477" t="s">
        <v>21617</v>
      </c>
      <c r="H1853" s="478" t="s">
        <v>15515</v>
      </c>
      <c r="I1853" s="479"/>
      <c r="J1853" s="480"/>
      <c r="K1853" s="466">
        <f>SUM(K1854:K1860)</f>
        <v>15.491207467815578</v>
      </c>
      <c r="L1853" s="480"/>
      <c r="M1853" s="466">
        <f>SUM(M1854:M1860)</f>
        <v>14.9000943713197</v>
      </c>
      <c r="N1853" s="467" t="s">
        <v>21619</v>
      </c>
      <c r="O1853" s="434" t="str">
        <f t="shared" si="1267"/>
        <v xml:space="preserve">SEM VALOR</v>
      </c>
      <c r="P1853" s="435" t="str">
        <f t="shared" si="1268"/>
        <v xml:space="preserve">SEM VALOR</v>
      </c>
      <c r="AE1853" s="460">
        <v>1225</v>
      </c>
      <c r="AF1853" s="460">
        <v>1225</v>
      </c>
      <c r="AH1853">
        <f t="shared" si="1255"/>
        <v>1225</v>
      </c>
    </row>
    <row r="1854" ht="30" hidden="1">
      <c r="A1854" s="217"/>
      <c r="B1854" s="217">
        <v>1225</v>
      </c>
      <c r="C1854" s="217"/>
      <c r="D1854" s="217" t="s">
        <v>17167</v>
      </c>
      <c r="E1854" s="471" t="s">
        <v>20399</v>
      </c>
      <c r="F1854" s="486">
        <v>88315</v>
      </c>
      <c r="G1854" s="470" t="s">
        <v>7392</v>
      </c>
      <c r="H1854" s="482" t="s">
        <v>2032</v>
      </c>
      <c r="I1854" s="483">
        <v>0.29999999999999999</v>
      </c>
      <c r="J1854" s="473">
        <f t="shared" si="1262"/>
        <v>28.800000000000001</v>
      </c>
      <c r="K1854" s="474">
        <f t="shared" ref="K1854:K1860" si="1274">I1854*J1854</f>
        <v>8.6400000000000006</v>
      </c>
      <c r="L1854" s="473">
        <f t="shared" si="1269"/>
        <v>27.149999999999999</v>
      </c>
      <c r="M1854" s="474">
        <f t="shared" ref="M1854:M1860" si="1275">L1854*I1854</f>
        <v>8.1449999999999996</v>
      </c>
      <c r="N1854" s="576"/>
      <c r="O1854" s="434">
        <f t="shared" si="1267"/>
        <v>28.800000000000001</v>
      </c>
      <c r="P1854" s="435">
        <f t="shared" si="1268"/>
        <v>27.149999999999999</v>
      </c>
      <c r="AE1854" s="217"/>
      <c r="AF1854" s="217">
        <v>1225</v>
      </c>
      <c r="AH1854">
        <f t="shared" si="1255"/>
        <v>1225</v>
      </c>
    </row>
    <row r="1855" ht="30" hidden="1">
      <c r="A1855" s="217"/>
      <c r="B1855" s="217">
        <v>1225</v>
      </c>
      <c r="C1855" s="217"/>
      <c r="D1855" s="217" t="s">
        <v>20408</v>
      </c>
      <c r="E1855" s="471" t="s">
        <v>20402</v>
      </c>
      <c r="F1855" s="486">
        <v>1319</v>
      </c>
      <c r="G1855" s="470" t="s">
        <v>21620</v>
      </c>
      <c r="H1855" s="482" t="s">
        <v>302</v>
      </c>
      <c r="I1855" s="483">
        <v>0.43297999999999998</v>
      </c>
      <c r="J1855" s="473">
        <f t="shared" si="1262"/>
        <v>7.2800000000000002</v>
      </c>
      <c r="K1855" s="474">
        <f t="shared" si="1274"/>
        <v>3.1520943999999997</v>
      </c>
      <c r="L1855" s="473">
        <f t="shared" si="1269"/>
        <v>7.2800000000000002</v>
      </c>
      <c r="M1855" s="474">
        <f t="shared" si="1275"/>
        <v>3.1520943999999997</v>
      </c>
      <c r="N1855" s="467"/>
      <c r="O1855" s="434">
        <f t="shared" si="1267"/>
        <v>7.2800000000000002</v>
      </c>
      <c r="P1855" s="435">
        <f t="shared" si="1268"/>
        <v>7.2800000000000002</v>
      </c>
      <c r="AE1855" s="217"/>
      <c r="AF1855" s="217">
        <v>1225</v>
      </c>
      <c r="AH1855">
        <f t="shared" si="1255"/>
        <v>1225</v>
      </c>
    </row>
    <row r="1856" ht="30" hidden="1">
      <c r="A1856" s="217"/>
      <c r="B1856" s="217">
        <v>1225</v>
      </c>
      <c r="C1856" s="217"/>
      <c r="D1856" s="217" t="s">
        <v>20408</v>
      </c>
      <c r="E1856" s="471" t="s">
        <v>20405</v>
      </c>
      <c r="F1856" s="486">
        <v>39397</v>
      </c>
      <c r="G1856" s="470" t="s">
        <v>12150</v>
      </c>
      <c r="H1856" s="482" t="s">
        <v>9794</v>
      </c>
      <c r="I1856" s="483">
        <v>1.333e-002</v>
      </c>
      <c r="J1856" s="473">
        <f t="shared" si="1262"/>
        <v>16.390000000000001</v>
      </c>
      <c r="K1856" s="474">
        <f t="shared" si="1274"/>
        <v>0.2184787</v>
      </c>
      <c r="L1856" s="473">
        <f t="shared" si="1269"/>
        <v>16.390000000000001</v>
      </c>
      <c r="M1856" s="474">
        <f t="shared" si="1275"/>
        <v>0.2184787</v>
      </c>
      <c r="N1856" s="467"/>
      <c r="O1856" s="434">
        <f t="shared" si="1267"/>
        <v>16.390000000000001</v>
      </c>
      <c r="P1856" s="435">
        <f t="shared" si="1268"/>
        <v>16.390000000000001</v>
      </c>
      <c r="AE1856" s="217"/>
      <c r="AF1856" s="217">
        <v>1225</v>
      </c>
      <c r="AH1856">
        <f t="shared" si="1255"/>
        <v>1225</v>
      </c>
    </row>
    <row r="1857" ht="30" hidden="1">
      <c r="A1857" s="217"/>
      <c r="B1857" s="217">
        <v>1225</v>
      </c>
      <c r="C1857" s="217"/>
      <c r="D1857" s="217" t="s">
        <v>20644</v>
      </c>
      <c r="E1857" s="471" t="s">
        <v>20409</v>
      </c>
      <c r="F1857" s="486" t="s">
        <v>15467</v>
      </c>
      <c r="G1857" s="470" t="s">
        <v>21621</v>
      </c>
      <c r="H1857" s="482" t="s">
        <v>38</v>
      </c>
      <c r="I1857" s="483">
        <v>1.8749999999999999e-002</v>
      </c>
      <c r="J1857" s="473">
        <f t="shared" si="1262"/>
        <v>37.219999999999999</v>
      </c>
      <c r="K1857" s="474">
        <f t="shared" si="1274"/>
        <v>0.69787499999999991</v>
      </c>
      <c r="L1857" s="473">
        <f t="shared" si="1269"/>
        <v>37.219999999999999</v>
      </c>
      <c r="M1857" s="474">
        <f t="shared" si="1275"/>
        <v>0.69787499999999991</v>
      </c>
      <c r="N1857" s="467"/>
      <c r="O1857" s="434">
        <f t="shared" si="1267"/>
        <v>37.219999999999999</v>
      </c>
      <c r="P1857" s="435">
        <f t="shared" si="1268"/>
        <v>37.219999999999999</v>
      </c>
      <c r="AE1857" s="217"/>
      <c r="AF1857" s="217">
        <v>1225</v>
      </c>
      <c r="AH1857">
        <f t="shared" si="1255"/>
        <v>1225</v>
      </c>
    </row>
    <row r="1858" ht="60" hidden="1">
      <c r="A1858" s="217"/>
      <c r="B1858" s="217">
        <v>1225</v>
      </c>
      <c r="C1858" s="217"/>
      <c r="D1858" s="217" t="s">
        <v>20398</v>
      </c>
      <c r="E1858" s="471" t="s">
        <v>20663</v>
      </c>
      <c r="F1858" s="486">
        <v>1226</v>
      </c>
      <c r="G1858" s="470" t="s">
        <v>21622</v>
      </c>
      <c r="H1858" s="482" t="s">
        <v>38</v>
      </c>
      <c r="I1858" s="483">
        <v>4.9169999999999998e-002</v>
      </c>
      <c r="J1858" s="473">
        <f t="shared" si="1262"/>
        <v>4.6824806740000007</v>
      </c>
      <c r="K1858" s="474">
        <f t="shared" si="1274"/>
        <v>0.23023757474058001</v>
      </c>
      <c r="L1858" s="473">
        <f t="shared" si="1269"/>
        <v>4.6437321600000008</v>
      </c>
      <c r="M1858" s="474">
        <f t="shared" si="1275"/>
        <v>0.22833231030720003</v>
      </c>
      <c r="N1858" s="467"/>
      <c r="O1858" s="434">
        <f t="shared" si="1267"/>
        <v>4.6824806740000007</v>
      </c>
      <c r="P1858" s="435">
        <f t="shared" si="1268"/>
        <v>4.6437321600000008</v>
      </c>
      <c r="AE1858" s="217"/>
      <c r="AF1858" s="217">
        <v>1225</v>
      </c>
      <c r="AH1858">
        <f t="shared" si="1255"/>
        <v>1225</v>
      </c>
    </row>
    <row r="1859" ht="45" hidden="1">
      <c r="A1859" s="217"/>
      <c r="B1859" s="217">
        <v>1225</v>
      </c>
      <c r="C1859" s="217"/>
      <c r="D1859" s="217" t="s">
        <v>20398</v>
      </c>
      <c r="E1859" s="471" t="s">
        <v>20665</v>
      </c>
      <c r="F1859" s="486">
        <v>1227</v>
      </c>
      <c r="G1859" s="470" t="s">
        <v>21623</v>
      </c>
      <c r="H1859" s="482" t="s">
        <v>31</v>
      </c>
      <c r="I1859" s="483">
        <v>1.2500000000000001e-002</v>
      </c>
      <c r="J1859" s="473">
        <f t="shared" si="1262"/>
        <v>0.38174344599999999</v>
      </c>
      <c r="K1859" s="474">
        <f t="shared" si="1274"/>
        <v>4.771793075e-003</v>
      </c>
      <c r="L1859" s="473">
        <f t="shared" si="1269"/>
        <v>0.37511688099999996</v>
      </c>
      <c r="M1859" s="474">
        <f t="shared" si="1275"/>
        <v>4.6889610124999995e-003</v>
      </c>
      <c r="N1859" s="467"/>
      <c r="O1859" s="434">
        <f t="shared" si="1267"/>
        <v>0.38174344599999999</v>
      </c>
      <c r="P1859" s="435">
        <f t="shared" si="1268"/>
        <v>0.37511688099999996</v>
      </c>
      <c r="AE1859" s="217"/>
      <c r="AF1859" s="217">
        <v>1225</v>
      </c>
      <c r="AH1859">
        <f t="shared" si="1255"/>
        <v>1225</v>
      </c>
    </row>
    <row r="1860" ht="60" hidden="1">
      <c r="A1860" s="217"/>
      <c r="B1860" s="217">
        <v>1225</v>
      </c>
      <c r="C1860" s="217"/>
      <c r="D1860" s="217" t="s">
        <v>17167</v>
      </c>
      <c r="E1860" s="471" t="s">
        <v>20667</v>
      </c>
      <c r="F1860" s="486">
        <v>98746</v>
      </c>
      <c r="G1860" s="470" t="s">
        <v>9513</v>
      </c>
      <c r="H1860" s="482" t="s">
        <v>38</v>
      </c>
      <c r="I1860" s="483">
        <v>3.7499999999999999e-002</v>
      </c>
      <c r="J1860" s="473">
        <f t="shared" si="1262"/>
        <v>67.939999999999998</v>
      </c>
      <c r="K1860" s="474">
        <f t="shared" si="1274"/>
        <v>2.5477499999999997</v>
      </c>
      <c r="L1860" s="473">
        <f t="shared" si="1269"/>
        <v>65.430000000000007</v>
      </c>
      <c r="M1860" s="474">
        <f t="shared" si="1275"/>
        <v>2.4536250000000002</v>
      </c>
      <c r="N1860" s="467"/>
      <c r="O1860" s="434">
        <f t="shared" si="1267"/>
        <v>67.939999999999998</v>
      </c>
      <c r="P1860" s="435">
        <f t="shared" si="1268"/>
        <v>65.430000000000007</v>
      </c>
      <c r="AE1860" s="217"/>
      <c r="AF1860" s="217">
        <v>1225</v>
      </c>
      <c r="AH1860">
        <f t="shared" si="1255"/>
        <v>1225</v>
      </c>
    </row>
    <row r="1861" ht="45.75" hidden="1">
      <c r="A1861" s="217"/>
      <c r="B1861" s="217">
        <v>1225</v>
      </c>
      <c r="C1861" s="217"/>
      <c r="D1861" s="217"/>
      <c r="E1861" s="471"/>
      <c r="F1861" s="486"/>
      <c r="G1861" s="470" t="s">
        <v>21624</v>
      </c>
      <c r="H1861" s="482"/>
      <c r="I1861" s="483"/>
      <c r="J1861" s="577"/>
      <c r="K1861" s="474"/>
      <c r="L1861" s="577"/>
      <c r="M1861" s="474"/>
      <c r="N1861" s="467"/>
      <c r="O1861" s="434" t="str">
        <f t="shared" si="1267"/>
        <v xml:space="preserve">SEM VALOR</v>
      </c>
      <c r="P1861" s="435" t="str">
        <f t="shared" si="1268"/>
        <v xml:space="preserve">SEM VALOR</v>
      </c>
      <c r="AE1861" s="217"/>
      <c r="AF1861" s="217">
        <v>1225</v>
      </c>
      <c r="AH1861">
        <f t="shared" si="1255"/>
        <v>1225</v>
      </c>
    </row>
    <row r="1862" hidden="1">
      <c r="A1862" s="217"/>
      <c r="B1862" s="217">
        <v>1225</v>
      </c>
      <c r="C1862" s="217"/>
      <c r="D1862" s="217"/>
      <c r="E1862" s="471"/>
      <c r="F1862" s="486"/>
      <c r="G1862" s="470" t="s">
        <v>21625</v>
      </c>
      <c r="H1862" s="482"/>
      <c r="I1862" s="483"/>
      <c r="J1862" s="577"/>
      <c r="K1862" s="474"/>
      <c r="L1862" s="577"/>
      <c r="M1862" s="474"/>
      <c r="N1862" s="467"/>
      <c r="O1862" s="434" t="str">
        <f t="shared" si="1267"/>
        <v xml:space="preserve">SEM VALOR</v>
      </c>
      <c r="P1862" s="435" t="str">
        <f t="shared" si="1268"/>
        <v xml:space="preserve">SEM VALOR</v>
      </c>
      <c r="AE1862" s="217"/>
      <c r="AF1862" s="217">
        <v>1225</v>
      </c>
      <c r="AH1862">
        <f t="shared" si="1255"/>
        <v>1225</v>
      </c>
    </row>
    <row r="1863" ht="63" hidden="1">
      <c r="A1863" s="460">
        <v>1226</v>
      </c>
      <c r="B1863" s="460">
        <v>1226</v>
      </c>
      <c r="C1863" s="460"/>
      <c r="D1863" s="460"/>
      <c r="E1863" s="461">
        <v>1</v>
      </c>
      <c r="F1863" s="462" t="s">
        <v>21626</v>
      </c>
      <c r="G1863" s="477" t="s">
        <v>21627</v>
      </c>
      <c r="H1863" s="478" t="s">
        <v>38</v>
      </c>
      <c r="I1863" s="479"/>
      <c r="J1863" s="480"/>
      <c r="K1863" s="466">
        <f>SUM(K1864:K1867)</f>
        <v>4.6824806740000007</v>
      </c>
      <c r="L1863" s="481"/>
      <c r="M1863" s="466">
        <f>SUM(M1864:M1867)</f>
        <v>4.6437321600000008</v>
      </c>
      <c r="N1863" s="467" t="s">
        <v>21628</v>
      </c>
      <c r="O1863" s="434" t="str">
        <f t="shared" si="1267"/>
        <v xml:space="preserve">SEM VALOR</v>
      </c>
      <c r="P1863" s="435" t="str">
        <f t="shared" si="1268"/>
        <v xml:space="preserve">SEM VALOR</v>
      </c>
      <c r="AE1863" s="460">
        <v>1226</v>
      </c>
      <c r="AF1863" s="460"/>
      <c r="AH1863">
        <f t="shared" ref="AH1863:AH1926" si="1276">IF(AF1863:AF1864=FALSE,AE1863,AF1863)</f>
        <v>1226</v>
      </c>
    </row>
    <row r="1864" ht="60" hidden="1">
      <c r="A1864" s="217"/>
      <c r="B1864" s="217">
        <v>1226</v>
      </c>
      <c r="C1864" s="217"/>
      <c r="D1864" s="217" t="s">
        <v>17167</v>
      </c>
      <c r="E1864" s="471" t="s">
        <v>20399</v>
      </c>
      <c r="F1864" s="486">
        <v>92716</v>
      </c>
      <c r="G1864" s="470" t="s">
        <v>21629</v>
      </c>
      <c r="H1864" s="482" t="s">
        <v>1535</v>
      </c>
      <c r="I1864" s="483">
        <f t="shared" ref="I1864:I1865" si="1277">1/41.55</f>
        <v>2.4067399999999999e-002</v>
      </c>
      <c r="J1864" s="473">
        <f t="shared" si="1262"/>
        <v>115.45</v>
      </c>
      <c r="K1864" s="474">
        <f t="shared" ref="K1864:K1867" si="1278">I1864*J1864</f>
        <v>2.7785813300000002</v>
      </c>
      <c r="L1864" s="475">
        <f t="shared" si="1269"/>
        <v>115.45</v>
      </c>
      <c r="M1864" s="474">
        <f t="shared" ref="M1864:M1867" si="1279">L1864*I1864</f>
        <v>2.7785813300000002</v>
      </c>
      <c r="N1864" s="467" t="s">
        <v>21630</v>
      </c>
      <c r="O1864" s="434">
        <f t="shared" si="1267"/>
        <v>115.45</v>
      </c>
      <c r="P1864" s="435">
        <f t="shared" si="1268"/>
        <v>115.45</v>
      </c>
      <c r="AE1864" s="217"/>
      <c r="AF1864" s="217">
        <v>1226</v>
      </c>
      <c r="AH1864">
        <f t="shared" si="1276"/>
        <v>1226</v>
      </c>
    </row>
    <row r="1865" ht="30" hidden="1">
      <c r="A1865" s="217"/>
      <c r="B1865" s="217">
        <v>1226</v>
      </c>
      <c r="C1865" s="217"/>
      <c r="D1865" s="217" t="s">
        <v>17167</v>
      </c>
      <c r="E1865" s="471" t="s">
        <v>20402</v>
      </c>
      <c r="F1865" s="486">
        <v>88317</v>
      </c>
      <c r="G1865" s="470" t="s">
        <v>7396</v>
      </c>
      <c r="H1865" s="482" t="s">
        <v>2032</v>
      </c>
      <c r="I1865" s="483">
        <f t="shared" si="1277"/>
        <v>2.4067399999999999e-002</v>
      </c>
      <c r="J1865" s="473">
        <f t="shared" si="1262"/>
        <v>29.559999999999999</v>
      </c>
      <c r="K1865" s="474">
        <f t="shared" si="1278"/>
        <v>0.71143234399999999</v>
      </c>
      <c r="L1865" s="475">
        <f t="shared" si="1269"/>
        <v>27.949999999999999</v>
      </c>
      <c r="M1865" s="474">
        <f t="shared" si="1279"/>
        <v>0.67268382999999998</v>
      </c>
      <c r="O1865" s="434">
        <f t="shared" si="1267"/>
        <v>29.559999999999999</v>
      </c>
      <c r="P1865" s="435">
        <f t="shared" si="1268"/>
        <v>27.949999999999999</v>
      </c>
      <c r="AE1865" s="217"/>
      <c r="AF1865" s="217">
        <v>1226</v>
      </c>
      <c r="AH1865">
        <f t="shared" si="1276"/>
        <v>1226</v>
      </c>
    </row>
    <row r="1866" ht="75" hidden="1">
      <c r="A1866" s="217"/>
      <c r="B1866" s="217">
        <v>1226</v>
      </c>
      <c r="C1866" s="217"/>
      <c r="D1866" s="217" t="s">
        <v>20408</v>
      </c>
      <c r="E1866" s="471" t="s">
        <v>20405</v>
      </c>
      <c r="F1866" s="486">
        <v>1</v>
      </c>
      <c r="G1866" s="470" t="s">
        <v>21631</v>
      </c>
      <c r="H1866" s="482" t="s">
        <v>302</v>
      </c>
      <c r="I1866" s="483">
        <v>5.8300000000000001e-003</v>
      </c>
      <c r="J1866" s="473">
        <f t="shared" si="1262"/>
        <v>110</v>
      </c>
      <c r="K1866" s="474">
        <f t="shared" si="1278"/>
        <v>0.64129999999999998</v>
      </c>
      <c r="L1866" s="475">
        <f t="shared" si="1269"/>
        <v>110</v>
      </c>
      <c r="M1866" s="474">
        <f t="shared" si="1279"/>
        <v>0.64129999999999998</v>
      </c>
      <c r="O1866" s="434">
        <f t="shared" si="1267"/>
        <v>110</v>
      </c>
      <c r="P1866" s="435">
        <f t="shared" si="1268"/>
        <v>110</v>
      </c>
      <c r="AE1866" s="217"/>
      <c r="AF1866" s="217">
        <v>1226</v>
      </c>
      <c r="AH1866">
        <f t="shared" si="1276"/>
        <v>1226</v>
      </c>
    </row>
    <row r="1867" ht="30" hidden="1">
      <c r="A1867" s="217"/>
      <c r="B1867" s="217">
        <v>1226</v>
      </c>
      <c r="C1867" s="217"/>
      <c r="D1867" s="217" t="s">
        <v>20408</v>
      </c>
      <c r="E1867" s="471" t="s">
        <v>20409</v>
      </c>
      <c r="F1867" s="486">
        <v>2</v>
      </c>
      <c r="G1867" s="470" t="s">
        <v>21632</v>
      </c>
      <c r="H1867" s="482" t="s">
        <v>15528</v>
      </c>
      <c r="I1867" s="483">
        <v>2.2870000000000001e-002</v>
      </c>
      <c r="J1867" s="473">
        <f t="shared" si="1262"/>
        <v>24.100000000000001</v>
      </c>
      <c r="K1867" s="474">
        <f t="shared" si="1278"/>
        <v>0.55116700000000007</v>
      </c>
      <c r="L1867" s="475">
        <f t="shared" si="1269"/>
        <v>24.100000000000001</v>
      </c>
      <c r="M1867" s="474">
        <f t="shared" si="1279"/>
        <v>0.55116700000000007</v>
      </c>
      <c r="O1867" s="434">
        <f t="shared" si="1267"/>
        <v>24.100000000000001</v>
      </c>
      <c r="P1867" s="435">
        <f t="shared" si="1268"/>
        <v>24.100000000000001</v>
      </c>
      <c r="AE1867" s="217"/>
      <c r="AF1867" s="217">
        <v>1226</v>
      </c>
      <c r="AH1867">
        <f t="shared" si="1276"/>
        <v>1226</v>
      </c>
    </row>
    <row r="1868" ht="63" hidden="1">
      <c r="A1868" s="460">
        <v>1227</v>
      </c>
      <c r="B1868" s="460">
        <v>1227</v>
      </c>
      <c r="C1868" s="460"/>
      <c r="D1868" s="460"/>
      <c r="E1868" s="461">
        <v>1</v>
      </c>
      <c r="F1868" s="462" t="s">
        <v>21633</v>
      </c>
      <c r="G1868" s="477" t="s">
        <v>21634</v>
      </c>
      <c r="H1868" s="478" t="s">
        <v>31</v>
      </c>
      <c r="I1868" s="479"/>
      <c r="J1868" s="480"/>
      <c r="K1868" s="466">
        <f>SUM(K1869:K1874)</f>
        <v>0.38174344599999999</v>
      </c>
      <c r="L1868" s="480"/>
      <c r="M1868" s="466">
        <f>SUM(M1869:M1874)</f>
        <v>0.37511688099999996</v>
      </c>
      <c r="N1868" s="467" t="s">
        <v>21635</v>
      </c>
      <c r="O1868" s="434" t="str">
        <f t="shared" si="1267"/>
        <v xml:space="preserve">SEM VALOR</v>
      </c>
      <c r="P1868" s="435" t="str">
        <f t="shared" si="1268"/>
        <v xml:space="preserve">SEM VALOR</v>
      </c>
      <c r="AE1868" s="460">
        <v>1227</v>
      </c>
      <c r="AF1868" s="460">
        <v>1227</v>
      </c>
      <c r="AH1868">
        <f t="shared" si="1276"/>
        <v>1227</v>
      </c>
    </row>
    <row r="1869" ht="60" hidden="1">
      <c r="A1869" s="217"/>
      <c r="B1869" s="217">
        <v>1227</v>
      </c>
      <c r="C1869" s="217"/>
      <c r="D1869" s="217" t="s">
        <v>17167</v>
      </c>
      <c r="E1869" s="471" t="s">
        <v>20399</v>
      </c>
      <c r="F1869" s="486">
        <v>92716</v>
      </c>
      <c r="G1869" s="470" t="s">
        <v>21629</v>
      </c>
      <c r="H1869" s="482" t="s">
        <v>1535</v>
      </c>
      <c r="I1869" s="483">
        <f>0.42/249</f>
        <v>1.6867e-003</v>
      </c>
      <c r="J1869" s="473">
        <f t="shared" si="1262"/>
        <v>115.45</v>
      </c>
      <c r="K1869" s="474">
        <f t="shared" ref="K1869:K1874" si="1280">I1869*J1869</f>
        <v>0.19472951499999999</v>
      </c>
      <c r="L1869" s="473">
        <f t="shared" si="1269"/>
        <v>115.45</v>
      </c>
      <c r="M1869" s="474">
        <f t="shared" ref="M1869:M1874" si="1281">L1869*I1869</f>
        <v>0.19472951499999999</v>
      </c>
      <c r="N1869" s="576" t="s">
        <v>21636</v>
      </c>
      <c r="O1869" s="434">
        <f t="shared" si="1267"/>
        <v>115.45</v>
      </c>
      <c r="P1869" s="435">
        <f t="shared" si="1268"/>
        <v>115.45</v>
      </c>
      <c r="AE1869" s="217"/>
      <c r="AF1869" s="217">
        <v>1227</v>
      </c>
      <c r="AH1869">
        <f t="shared" si="1276"/>
        <v>1227</v>
      </c>
    </row>
    <row r="1870" ht="60" hidden="1">
      <c r="A1870" s="217"/>
      <c r="B1870" s="217">
        <v>1227</v>
      </c>
      <c r="C1870" s="217"/>
      <c r="D1870" s="217" t="s">
        <v>17167</v>
      </c>
      <c r="E1870" s="471" t="s">
        <v>20402</v>
      </c>
      <c r="F1870" s="486">
        <v>92717</v>
      </c>
      <c r="G1870" s="470" t="s">
        <v>21637</v>
      </c>
      <c r="H1870" s="482" t="s">
        <v>1533</v>
      </c>
      <c r="I1870" s="483">
        <f>0.58/249</f>
        <v>2.3292999999999999e-003</v>
      </c>
      <c r="J1870" s="473">
        <f t="shared" si="1262"/>
        <v>0.35999999999999999</v>
      </c>
      <c r="K1870" s="474">
        <f t="shared" si="1280"/>
        <v>8.3854799999999994e-004</v>
      </c>
      <c r="L1870" s="473">
        <f t="shared" si="1269"/>
        <v>0.35999999999999999</v>
      </c>
      <c r="M1870" s="474">
        <f t="shared" si="1281"/>
        <v>8.3854799999999994e-004</v>
      </c>
      <c r="N1870" s="467"/>
      <c r="O1870" s="434">
        <f t="shared" si="1267"/>
        <v>0.35999999999999999</v>
      </c>
      <c r="P1870" s="435">
        <f t="shared" si="1268"/>
        <v>0.35999999999999999</v>
      </c>
      <c r="AE1870" s="217"/>
      <c r="AF1870" s="217">
        <v>1227</v>
      </c>
      <c r="AH1870">
        <f t="shared" si="1276"/>
        <v>1227</v>
      </c>
    </row>
    <row r="1871" hidden="1">
      <c r="A1871" s="217"/>
      <c r="B1871" s="217">
        <v>1227</v>
      </c>
      <c r="C1871" s="217"/>
      <c r="D1871" s="217" t="s">
        <v>20644</v>
      </c>
      <c r="E1871" s="471" t="s">
        <v>20405</v>
      </c>
      <c r="F1871" s="486" t="s">
        <v>15469</v>
      </c>
      <c r="G1871" s="470" t="s">
        <v>21638</v>
      </c>
      <c r="H1871" s="482" t="s">
        <v>1535</v>
      </c>
      <c r="I1871" s="483">
        <f>0.42/249</f>
        <v>1.6867e-003</v>
      </c>
      <c r="J1871" s="473">
        <f t="shared" si="1262"/>
        <v>5.0700000000000003</v>
      </c>
      <c r="K1871" s="474">
        <f t="shared" si="1280"/>
        <v>8.5515690000000002e-003</v>
      </c>
      <c r="L1871" s="473">
        <f t="shared" si="1269"/>
        <v>5.0700000000000003</v>
      </c>
      <c r="M1871" s="474">
        <f t="shared" si="1281"/>
        <v>8.5515690000000002e-003</v>
      </c>
      <c r="N1871" s="467"/>
      <c r="O1871" s="434">
        <f t="shared" si="1267"/>
        <v>5.0700000000000003</v>
      </c>
      <c r="P1871" s="435">
        <f t="shared" si="1268"/>
        <v>5.0700000000000003</v>
      </c>
      <c r="AE1871" s="217"/>
      <c r="AF1871" s="217">
        <v>1227</v>
      </c>
      <c r="AH1871">
        <f t="shared" si="1276"/>
        <v>1227</v>
      </c>
    </row>
    <row r="1872" hidden="1">
      <c r="A1872" s="217"/>
      <c r="B1872" s="217">
        <v>1227</v>
      </c>
      <c r="C1872" s="217"/>
      <c r="D1872" s="217" t="s">
        <v>20644</v>
      </c>
      <c r="E1872" s="471" t="s">
        <v>20409</v>
      </c>
      <c r="F1872" s="486" t="s">
        <v>15471</v>
      </c>
      <c r="G1872" s="470" t="s">
        <v>21638</v>
      </c>
      <c r="H1872" s="482" t="s">
        <v>1533</v>
      </c>
      <c r="I1872" s="483">
        <f>0.58/249</f>
        <v>2.3292999999999999e-003</v>
      </c>
      <c r="J1872" s="473">
        <f t="shared" si="1262"/>
        <v>0.38</v>
      </c>
      <c r="K1872" s="474">
        <f t="shared" si="1280"/>
        <v>8.8513399999999999e-004</v>
      </c>
      <c r="L1872" s="473">
        <f t="shared" si="1269"/>
        <v>0.38</v>
      </c>
      <c r="M1872" s="474">
        <f t="shared" si="1281"/>
        <v>8.8513399999999999e-004</v>
      </c>
      <c r="N1872" s="467"/>
      <c r="O1872" s="434">
        <f t="shared" si="1267"/>
        <v>0.38</v>
      </c>
      <c r="P1872" s="435">
        <f t="shared" si="1268"/>
        <v>0.38</v>
      </c>
      <c r="AE1872" s="217"/>
      <c r="AF1872" s="217">
        <v>1227</v>
      </c>
      <c r="AH1872">
        <f t="shared" si="1276"/>
        <v>1227</v>
      </c>
    </row>
    <row r="1873" ht="30" hidden="1">
      <c r="A1873" s="217"/>
      <c r="B1873" s="217">
        <v>1227</v>
      </c>
      <c r="C1873" s="217"/>
      <c r="D1873" s="217" t="s">
        <v>17167</v>
      </c>
      <c r="E1873" s="471" t="s">
        <v>20663</v>
      </c>
      <c r="F1873" s="486">
        <v>88315</v>
      </c>
      <c r="G1873" s="470" t="s">
        <v>7392</v>
      </c>
      <c r="H1873" s="482" t="s">
        <v>2032</v>
      </c>
      <c r="I1873" s="483">
        <f>1/249</f>
        <v>4.0160999999999999e-003</v>
      </c>
      <c r="J1873" s="473">
        <f t="shared" si="1262"/>
        <v>28.800000000000001</v>
      </c>
      <c r="K1873" s="474">
        <f t="shared" si="1280"/>
        <v>0.11566368</v>
      </c>
      <c r="L1873" s="473">
        <f t="shared" si="1269"/>
        <v>27.149999999999999</v>
      </c>
      <c r="M1873" s="474">
        <f t="shared" si="1281"/>
        <v>0.10903711499999999</v>
      </c>
      <c r="N1873" s="467"/>
      <c r="O1873" s="434">
        <f t="shared" si="1267"/>
        <v>28.800000000000001</v>
      </c>
      <c r="P1873" s="435">
        <f t="shared" si="1268"/>
        <v>27.149999999999999</v>
      </c>
      <c r="AE1873" s="217"/>
      <c r="AF1873" s="217">
        <v>1227</v>
      </c>
      <c r="AH1873">
        <f t="shared" si="1276"/>
        <v>1227</v>
      </c>
    </row>
    <row r="1874" ht="30" hidden="1">
      <c r="A1874" s="217"/>
      <c r="B1874" s="217">
        <v>1227</v>
      </c>
      <c r="C1874" s="217"/>
      <c r="D1874" s="217" t="s">
        <v>20644</v>
      </c>
      <c r="E1874" s="471" t="s">
        <v>20665</v>
      </c>
      <c r="F1874" s="486" t="s">
        <v>15472</v>
      </c>
      <c r="G1874" s="470" t="s">
        <v>21639</v>
      </c>
      <c r="H1874" s="482" t="s">
        <v>31</v>
      </c>
      <c r="I1874" s="483">
        <v>2.5000000000000001e-003</v>
      </c>
      <c r="J1874" s="473">
        <f t="shared" si="1262"/>
        <v>24.43</v>
      </c>
      <c r="K1874" s="474">
        <f t="shared" si="1280"/>
        <v>6.1074999999999997e-002</v>
      </c>
      <c r="L1874" s="473">
        <f t="shared" si="1269"/>
        <v>24.43</v>
      </c>
      <c r="M1874" s="474">
        <f t="shared" si="1281"/>
        <v>6.1074999999999997e-002</v>
      </c>
      <c r="N1874" s="467"/>
      <c r="O1874" s="434">
        <f t="shared" si="1267"/>
        <v>24.43</v>
      </c>
      <c r="P1874" s="435">
        <f t="shared" si="1268"/>
        <v>24.43</v>
      </c>
      <c r="AE1874" s="217"/>
      <c r="AF1874" s="217">
        <v>1227</v>
      </c>
      <c r="AH1874">
        <f t="shared" si="1276"/>
        <v>1227</v>
      </c>
    </row>
    <row r="1875" ht="48" hidden="1" customHeight="1">
      <c r="A1875" s="217"/>
      <c r="B1875" s="217">
        <v>1227</v>
      </c>
      <c r="C1875" s="217"/>
      <c r="D1875" s="217"/>
      <c r="E1875" s="471"/>
      <c r="F1875" s="486"/>
      <c r="G1875" s="470" t="s">
        <v>21640</v>
      </c>
      <c r="H1875" s="482"/>
      <c r="I1875" s="483"/>
      <c r="J1875" s="577"/>
      <c r="K1875" s="474"/>
      <c r="L1875" s="577"/>
      <c r="M1875" s="474"/>
      <c r="N1875" s="467"/>
      <c r="O1875" s="434" t="str">
        <f t="shared" si="1267"/>
        <v xml:space="preserve">SEM VALOR</v>
      </c>
      <c r="P1875" s="435" t="str">
        <f t="shared" si="1268"/>
        <v xml:space="preserve">SEM VALOR</v>
      </c>
      <c r="AE1875" s="217"/>
      <c r="AF1875" s="217">
        <v>1227</v>
      </c>
      <c r="AH1875">
        <f t="shared" si="1276"/>
        <v>1227</v>
      </c>
    </row>
    <row r="1876" hidden="1">
      <c r="A1876" s="217"/>
      <c r="B1876" s="217">
        <v>1227</v>
      </c>
      <c r="C1876" s="217"/>
      <c r="D1876" s="217"/>
      <c r="E1876" s="471"/>
      <c r="F1876" s="486"/>
      <c r="G1876" s="470" t="s">
        <v>21568</v>
      </c>
      <c r="H1876" s="482"/>
      <c r="I1876" s="483"/>
      <c r="J1876" s="577"/>
      <c r="K1876" s="474"/>
      <c r="L1876" s="577"/>
      <c r="M1876" s="474"/>
      <c r="N1876" s="467"/>
      <c r="O1876" s="434" t="str">
        <f t="shared" si="1267"/>
        <v xml:space="preserve">SEM VALOR</v>
      </c>
      <c r="P1876" s="435" t="str">
        <f t="shared" si="1268"/>
        <v xml:space="preserve">SEM VALOR</v>
      </c>
      <c r="AE1876" s="217"/>
      <c r="AF1876" s="217">
        <v>1227</v>
      </c>
      <c r="AH1876">
        <f t="shared" si="1276"/>
        <v>1227</v>
      </c>
    </row>
    <row r="1877" ht="94.5" hidden="1">
      <c r="A1877" s="460">
        <v>1228</v>
      </c>
      <c r="B1877" s="460">
        <v>1228</v>
      </c>
      <c r="C1877" s="460"/>
      <c r="D1877" s="460"/>
      <c r="E1877" s="461">
        <v>1</v>
      </c>
      <c r="F1877" s="462" t="s">
        <v>21641</v>
      </c>
      <c r="G1877" s="477" t="s">
        <v>21642</v>
      </c>
      <c r="H1877" s="579" t="s">
        <v>38</v>
      </c>
      <c r="I1877" s="479"/>
      <c r="J1877" s="480"/>
      <c r="K1877" s="466">
        <f>SUM(K1878:K1887)</f>
        <v>1574.6831</v>
      </c>
      <c r="L1877" s="480"/>
      <c r="M1877" s="466">
        <f>SUM(M1878:M1887)</f>
        <v>1541.4291214100001</v>
      </c>
      <c r="N1877" s="467" t="s">
        <v>21643</v>
      </c>
      <c r="O1877" s="434" t="str">
        <f t="shared" si="1267"/>
        <v xml:space="preserve">SEM VALOR</v>
      </c>
      <c r="P1877" s="435" t="str">
        <f t="shared" si="1268"/>
        <v xml:space="preserve">SEM VALOR</v>
      </c>
      <c r="AE1877" s="460">
        <v>1228</v>
      </c>
      <c r="AF1877" s="460"/>
      <c r="AH1877">
        <f t="shared" si="1276"/>
        <v>1228</v>
      </c>
    </row>
    <row r="1878" ht="105" hidden="1">
      <c r="A1878" s="217"/>
      <c r="B1878" s="217">
        <v>1228</v>
      </c>
      <c r="C1878" s="217"/>
      <c r="D1878" s="217" t="s">
        <v>17167</v>
      </c>
      <c r="E1878" s="471" t="s">
        <v>20399</v>
      </c>
      <c r="F1878" s="482">
        <v>5928</v>
      </c>
      <c r="G1878" s="470" t="s">
        <v>1739</v>
      </c>
      <c r="H1878" s="482" t="s">
        <v>1535</v>
      </c>
      <c r="I1878" s="483">
        <v>0.10000000000000001</v>
      </c>
      <c r="J1878" s="473">
        <f t="shared" si="1262"/>
        <v>298.70999999999998</v>
      </c>
      <c r="K1878" s="474">
        <f t="shared" ref="K1878:K1887" si="1282">I1878*J1878</f>
        <v>29.870999999999999</v>
      </c>
      <c r="L1878" s="473">
        <f t="shared" si="1269"/>
        <v>296.98000000000002</v>
      </c>
      <c r="M1878" s="474">
        <f t="shared" ref="M1878:M1887" si="1283">L1878*I1878</f>
        <v>29.698000000000004</v>
      </c>
      <c r="O1878" s="434">
        <f t="shared" si="1267"/>
        <v>298.70999999999998</v>
      </c>
      <c r="P1878" s="435">
        <f t="shared" si="1268"/>
        <v>296.98000000000002</v>
      </c>
      <c r="AE1878" s="217"/>
      <c r="AF1878" s="217">
        <v>1228</v>
      </c>
      <c r="AH1878">
        <f t="shared" si="1276"/>
        <v>1228</v>
      </c>
    </row>
    <row r="1879" ht="45" hidden="1">
      <c r="A1879" s="217"/>
      <c r="B1879" s="217">
        <v>1228</v>
      </c>
      <c r="C1879" s="217"/>
      <c r="D1879" s="217" t="s">
        <v>17167</v>
      </c>
      <c r="E1879" s="471" t="s">
        <v>20402</v>
      </c>
      <c r="F1879" s="482">
        <v>93358</v>
      </c>
      <c r="G1879" s="470" t="s">
        <v>20661</v>
      </c>
      <c r="H1879" s="482" t="s">
        <v>15528</v>
      </c>
      <c r="I1879" s="483">
        <v>1.1299999999999999</v>
      </c>
      <c r="J1879" s="473">
        <f t="shared" si="1262"/>
        <v>90.030000000000001</v>
      </c>
      <c r="K1879" s="474">
        <f t="shared" si="1282"/>
        <v>101.73389999999999</v>
      </c>
      <c r="L1879" s="473">
        <f t="shared" si="1269"/>
        <v>85.239999999999995</v>
      </c>
      <c r="M1879" s="474">
        <f t="shared" si="1283"/>
        <v>96.32119999999999</v>
      </c>
      <c r="O1879" s="434">
        <f t="shared" si="1267"/>
        <v>90.030000000000001</v>
      </c>
      <c r="P1879" s="435">
        <f t="shared" si="1268"/>
        <v>85.239999999999995</v>
      </c>
      <c r="AE1879" s="217"/>
      <c r="AF1879" s="217">
        <v>1228</v>
      </c>
      <c r="AH1879">
        <f t="shared" si="1276"/>
        <v>1228</v>
      </c>
    </row>
    <row r="1880" ht="60" hidden="1">
      <c r="A1880" s="217"/>
      <c r="B1880" s="217">
        <v>1228</v>
      </c>
      <c r="C1880" s="217"/>
      <c r="D1880" s="217" t="s">
        <v>20398</v>
      </c>
      <c r="E1880" s="471" t="s">
        <v>20405</v>
      </c>
      <c r="F1880" s="482">
        <v>1258</v>
      </c>
      <c r="G1880" s="488" t="s">
        <v>20660</v>
      </c>
      <c r="H1880" s="482" t="s">
        <v>15515</v>
      </c>
      <c r="I1880" s="483">
        <v>1.1799999999999999</v>
      </c>
      <c r="J1880" s="473">
        <f t="shared" si="1262"/>
        <v>7.5700000000000003</v>
      </c>
      <c r="K1880" s="474">
        <f t="shared" si="1282"/>
        <v>8.932599999999999</v>
      </c>
      <c r="L1880" s="473">
        <f t="shared" si="1269"/>
        <v>7.1846199999999998</v>
      </c>
      <c r="M1880" s="474">
        <f t="shared" si="1283"/>
        <v>8.4778515999999993</v>
      </c>
      <c r="O1880" s="434">
        <f t="shared" si="1267"/>
        <v>7.5700000000000003</v>
      </c>
      <c r="P1880" s="435">
        <f t="shared" si="1268"/>
        <v>7.1846199999999998</v>
      </c>
      <c r="AE1880" s="217"/>
      <c r="AF1880" s="217">
        <v>1228</v>
      </c>
      <c r="AH1880">
        <f t="shared" si="1276"/>
        <v>1228</v>
      </c>
    </row>
    <row r="1881" ht="75" hidden="1">
      <c r="A1881" s="217"/>
      <c r="B1881" s="217">
        <v>1228</v>
      </c>
      <c r="C1881" s="217"/>
      <c r="D1881" s="217" t="s">
        <v>17167</v>
      </c>
      <c r="E1881" s="471" t="s">
        <v>20409</v>
      </c>
      <c r="F1881" s="482">
        <v>96542</v>
      </c>
      <c r="G1881" s="470" t="s">
        <v>20761</v>
      </c>
      <c r="H1881" s="482" t="s">
        <v>15515</v>
      </c>
      <c r="I1881" s="483">
        <v>3.8700000000000001</v>
      </c>
      <c r="J1881" s="473">
        <f t="shared" si="1262"/>
        <v>92.189999999999998</v>
      </c>
      <c r="K1881" s="474">
        <f t="shared" si="1282"/>
        <v>356.77530000000002</v>
      </c>
      <c r="L1881" s="473">
        <f t="shared" si="1269"/>
        <v>88.370000000000005</v>
      </c>
      <c r="M1881" s="474">
        <f t="shared" si="1283"/>
        <v>341.99190000000004</v>
      </c>
      <c r="O1881" s="434">
        <f t="shared" si="1267"/>
        <v>92.189999999999998</v>
      </c>
      <c r="P1881" s="435">
        <f t="shared" si="1268"/>
        <v>88.370000000000005</v>
      </c>
      <c r="AE1881" s="217"/>
      <c r="AF1881" s="217">
        <v>1228</v>
      </c>
      <c r="AH1881">
        <f t="shared" si="1276"/>
        <v>1228</v>
      </c>
    </row>
    <row r="1882" ht="45" hidden="1">
      <c r="A1882" s="217"/>
      <c r="B1882" s="217">
        <v>1228</v>
      </c>
      <c r="C1882" s="217"/>
      <c r="D1882" s="217" t="s">
        <v>17167</v>
      </c>
      <c r="E1882" s="471" t="s">
        <v>20663</v>
      </c>
      <c r="F1882" s="482">
        <v>96546</v>
      </c>
      <c r="G1882" s="470" t="s">
        <v>21133</v>
      </c>
      <c r="H1882" s="482" t="s">
        <v>302</v>
      </c>
      <c r="I1882" s="483">
        <v>10.59</v>
      </c>
      <c r="J1882" s="473">
        <f t="shared" si="1262"/>
        <v>13.77</v>
      </c>
      <c r="K1882" s="474">
        <f t="shared" si="1282"/>
        <v>145.82429999999999</v>
      </c>
      <c r="L1882" s="473">
        <f t="shared" si="1269"/>
        <v>13.51</v>
      </c>
      <c r="M1882" s="474">
        <f t="shared" si="1283"/>
        <v>143.07089999999999</v>
      </c>
      <c r="O1882" s="434">
        <f t="shared" si="1267"/>
        <v>13.77</v>
      </c>
      <c r="P1882" s="435">
        <f t="shared" si="1268"/>
        <v>13.51</v>
      </c>
      <c r="AE1882" s="217"/>
      <c r="AF1882" s="217">
        <v>1228</v>
      </c>
      <c r="AH1882">
        <f t="shared" si="1276"/>
        <v>1228</v>
      </c>
    </row>
    <row r="1883" ht="60" hidden="1">
      <c r="A1883" s="217"/>
      <c r="B1883" s="217">
        <v>1228</v>
      </c>
      <c r="C1883" s="217"/>
      <c r="D1883" s="217" t="s">
        <v>17167</v>
      </c>
      <c r="E1883" s="471" t="s">
        <v>20665</v>
      </c>
      <c r="F1883" s="482">
        <v>94964</v>
      </c>
      <c r="G1883" s="470" t="s">
        <v>8711</v>
      </c>
      <c r="H1883" s="482" t="s">
        <v>15528</v>
      </c>
      <c r="I1883" s="483">
        <v>0.67500000000000004</v>
      </c>
      <c r="J1883" s="473">
        <f t="shared" si="1262"/>
        <v>488.52999999999997</v>
      </c>
      <c r="K1883" s="474">
        <f t="shared" si="1282"/>
        <v>329.75774999999999</v>
      </c>
      <c r="L1883" s="473">
        <f t="shared" si="1269"/>
        <v>482.79000000000002</v>
      </c>
      <c r="M1883" s="474">
        <f t="shared" si="1283"/>
        <v>325.88325000000003</v>
      </c>
      <c r="O1883" s="434">
        <f t="shared" si="1267"/>
        <v>488.52999999999997</v>
      </c>
      <c r="P1883" s="435">
        <f t="shared" si="1268"/>
        <v>482.79000000000002</v>
      </c>
      <c r="AE1883" s="217"/>
      <c r="AF1883" s="217">
        <v>1228</v>
      </c>
      <c r="AH1883">
        <f t="shared" si="1276"/>
        <v>1228</v>
      </c>
    </row>
    <row r="1884" ht="45" hidden="1">
      <c r="A1884" s="217"/>
      <c r="B1884" s="217">
        <v>1228</v>
      </c>
      <c r="C1884" s="217"/>
      <c r="D1884" s="217" t="s">
        <v>20398</v>
      </c>
      <c r="E1884" s="471" t="s">
        <v>20667</v>
      </c>
      <c r="F1884" s="489">
        <v>1000</v>
      </c>
      <c r="G1884" s="470" t="s">
        <v>20651</v>
      </c>
      <c r="H1884" s="482" t="s">
        <v>15528</v>
      </c>
      <c r="I1884" s="483">
        <v>0.67500000000000004</v>
      </c>
      <c r="J1884" s="473">
        <f t="shared" si="1262"/>
        <v>149.904</v>
      </c>
      <c r="K1884" s="474">
        <f t="shared" si="1282"/>
        <v>101.18520000000001</v>
      </c>
      <c r="L1884" s="473">
        <f t="shared" si="1269"/>
        <v>141.76949999999999</v>
      </c>
      <c r="M1884" s="474">
        <f t="shared" si="1283"/>
        <v>95.694412499999999</v>
      </c>
      <c r="O1884" s="434">
        <f t="shared" si="1267"/>
        <v>149.904</v>
      </c>
      <c r="P1884" s="435">
        <f t="shared" si="1268"/>
        <v>141.76949999999999</v>
      </c>
      <c r="AE1884" s="217"/>
      <c r="AF1884" s="217">
        <v>1228</v>
      </c>
      <c r="AH1884">
        <f t="shared" si="1276"/>
        <v>1228</v>
      </c>
    </row>
    <row r="1885" ht="75" hidden="1">
      <c r="A1885" s="217"/>
      <c r="B1885" s="217">
        <v>1228</v>
      </c>
      <c r="C1885" s="217"/>
      <c r="D1885" s="217" t="s">
        <v>20453</v>
      </c>
      <c r="E1885" s="471" t="s">
        <v>20671</v>
      </c>
      <c r="F1885" s="482" t="s">
        <v>20113</v>
      </c>
      <c r="G1885" s="470" t="s">
        <v>20114</v>
      </c>
      <c r="H1885" s="482" t="s">
        <v>302</v>
      </c>
      <c r="I1885" s="483">
        <v>1</v>
      </c>
      <c r="J1885" s="473">
        <f t="shared" si="1262"/>
        <v>473.5</v>
      </c>
      <c r="K1885" s="474">
        <f t="shared" si="1282"/>
        <v>473.5</v>
      </c>
      <c r="L1885" s="473">
        <f t="shared" si="1269"/>
        <v>473.5</v>
      </c>
      <c r="M1885" s="474">
        <f t="shared" si="1283"/>
        <v>473.5</v>
      </c>
      <c r="O1885" s="434">
        <f t="shared" si="1267"/>
        <v>473.5</v>
      </c>
      <c r="P1885" s="435">
        <f t="shared" si="1268"/>
        <v>473.5</v>
      </c>
      <c r="AE1885" s="217"/>
      <c r="AF1885" s="217">
        <v>1228</v>
      </c>
      <c r="AH1885">
        <f t="shared" si="1276"/>
        <v>1228</v>
      </c>
    </row>
    <row r="1886" ht="105" hidden="1">
      <c r="A1886" s="217"/>
      <c r="B1886" s="217">
        <v>1228</v>
      </c>
      <c r="C1886" s="217"/>
      <c r="D1886" s="217" t="s">
        <v>20398</v>
      </c>
      <c r="E1886" s="471" t="s">
        <v>20672</v>
      </c>
      <c r="F1886" s="482">
        <v>1092</v>
      </c>
      <c r="G1886" s="470" t="s">
        <v>20666</v>
      </c>
      <c r="H1886" s="482" t="s">
        <v>15528</v>
      </c>
      <c r="I1886" s="483">
        <f>I1879*1.3</f>
        <v>1.4690000000000001</v>
      </c>
      <c r="J1886" s="473">
        <f t="shared" ref="J1886:J1949" si="1284">O1886*$J$3</f>
        <v>2.2000000000000002</v>
      </c>
      <c r="K1886" s="474">
        <f t="shared" si="1282"/>
        <v>3.2318000000000002</v>
      </c>
      <c r="L1886" s="473">
        <f t="shared" si="1269"/>
        <v>2.1879900000000001</v>
      </c>
      <c r="M1886" s="474">
        <f t="shared" si="1283"/>
        <v>3.2141573100000005</v>
      </c>
      <c r="O1886" s="434">
        <f t="shared" si="1267"/>
        <v>2.2000000000000002</v>
      </c>
      <c r="P1886" s="435">
        <f t="shared" si="1268"/>
        <v>2.1879900000000001</v>
      </c>
      <c r="AE1886" s="217"/>
      <c r="AF1886" s="217">
        <v>1228</v>
      </c>
      <c r="AH1886">
        <f t="shared" si="1276"/>
        <v>1228</v>
      </c>
    </row>
    <row r="1887" ht="60" hidden="1">
      <c r="A1887" s="217"/>
      <c r="B1887" s="217">
        <v>1228</v>
      </c>
      <c r="C1887" s="217"/>
      <c r="D1887" s="217" t="s">
        <v>17167</v>
      </c>
      <c r="E1887" s="471" t="s">
        <v>20673</v>
      </c>
      <c r="F1887" s="482">
        <v>97914</v>
      </c>
      <c r="G1887" s="470" t="s">
        <v>21390</v>
      </c>
      <c r="H1887" s="482" t="s">
        <v>20669</v>
      </c>
      <c r="I1887" s="483">
        <f>I1886*5</f>
        <v>7.3449999999999998</v>
      </c>
      <c r="J1887" s="473">
        <f t="shared" si="1284"/>
        <v>3.25</v>
      </c>
      <c r="K1887" s="474">
        <f t="shared" si="1282"/>
        <v>23.87125</v>
      </c>
      <c r="L1887" s="473">
        <f t="shared" si="1269"/>
        <v>3.21</v>
      </c>
      <c r="M1887" s="474">
        <f t="shared" si="1283"/>
        <v>23.577449999999999</v>
      </c>
      <c r="O1887" s="434">
        <f t="shared" si="1267"/>
        <v>3.25</v>
      </c>
      <c r="P1887" s="435">
        <f t="shared" si="1268"/>
        <v>3.21</v>
      </c>
      <c r="Q1887" s="38" t="s">
        <v>21644</v>
      </c>
      <c r="AE1887" s="217"/>
      <c r="AF1887" s="217">
        <v>1228</v>
      </c>
      <c r="AH1887">
        <f t="shared" si="1276"/>
        <v>1228</v>
      </c>
    </row>
    <row r="1888" ht="47.25" hidden="1">
      <c r="A1888" s="460">
        <v>1229</v>
      </c>
      <c r="B1888" s="460">
        <v>1229</v>
      </c>
      <c r="C1888" s="460"/>
      <c r="D1888" s="460"/>
      <c r="E1888" s="461">
        <v>1</v>
      </c>
      <c r="F1888" s="462" t="s">
        <v>21645</v>
      </c>
      <c r="G1888" s="477" t="s">
        <v>21646</v>
      </c>
      <c r="H1888" s="579" t="s">
        <v>21503</v>
      </c>
      <c r="I1888" s="479"/>
      <c r="J1888" s="480"/>
      <c r="K1888" s="466">
        <f>SUM(K1889)</f>
        <v>3300</v>
      </c>
      <c r="L1888" s="480"/>
      <c r="M1888" s="466">
        <f>SUM(M1889)</f>
        <v>3300</v>
      </c>
      <c r="O1888" s="434" t="str">
        <f t="shared" si="1267"/>
        <v xml:space="preserve">SEM VALOR</v>
      </c>
      <c r="P1888" s="435" t="str">
        <f t="shared" si="1268"/>
        <v xml:space="preserve">SEM VALOR</v>
      </c>
      <c r="AE1888" s="460">
        <v>1229</v>
      </c>
      <c r="AF1888" s="460"/>
      <c r="AH1888">
        <f t="shared" si="1276"/>
        <v>1229</v>
      </c>
    </row>
    <row r="1889" ht="45" hidden="1">
      <c r="A1889" s="217"/>
      <c r="B1889" s="217">
        <v>1229</v>
      </c>
      <c r="C1889" s="217"/>
      <c r="D1889" s="217" t="s">
        <v>20453</v>
      </c>
      <c r="E1889" s="471" t="s">
        <v>20399</v>
      </c>
      <c r="F1889" s="482" t="s">
        <v>20104</v>
      </c>
      <c r="G1889" s="488" t="s">
        <v>21647</v>
      </c>
      <c r="H1889" s="482" t="s">
        <v>21503</v>
      </c>
      <c r="I1889" s="483">
        <v>1</v>
      </c>
      <c r="J1889" s="473">
        <f t="shared" si="1284"/>
        <v>3300</v>
      </c>
      <c r="K1889" s="474">
        <f>I1889*J1889</f>
        <v>3300</v>
      </c>
      <c r="L1889" s="473">
        <f t="shared" si="1269"/>
        <v>3300</v>
      </c>
      <c r="M1889" s="474">
        <f>L1889*I1889</f>
        <v>3300</v>
      </c>
      <c r="O1889" s="434">
        <f t="shared" si="1267"/>
        <v>3300</v>
      </c>
      <c r="P1889" s="435">
        <f t="shared" si="1268"/>
        <v>3300</v>
      </c>
      <c r="AE1889" s="217"/>
      <c r="AF1889" s="217">
        <v>1229</v>
      </c>
      <c r="AH1889">
        <f t="shared" si="1276"/>
        <v>1229</v>
      </c>
    </row>
    <row r="1890" ht="84.75" hidden="1" customHeight="1">
      <c r="A1890" s="460">
        <v>1230</v>
      </c>
      <c r="B1890" s="460">
        <v>1230</v>
      </c>
      <c r="C1890" s="460"/>
      <c r="D1890" s="460"/>
      <c r="E1890" s="461">
        <v>1</v>
      </c>
      <c r="F1890" s="462" t="s">
        <v>21648</v>
      </c>
      <c r="G1890" s="477" t="s">
        <v>21649</v>
      </c>
      <c r="H1890" s="579" t="s">
        <v>15515</v>
      </c>
      <c r="I1890" s="479"/>
      <c r="J1890" s="480"/>
      <c r="K1890" s="466">
        <f>SUM(K1891:K1901)</f>
        <v>80.244524999999996</v>
      </c>
      <c r="L1890" s="480"/>
      <c r="M1890" s="466">
        <f>SUM(M1891:M1901)</f>
        <v>77.960779000000002</v>
      </c>
      <c r="N1890" s="467" t="s">
        <v>21650</v>
      </c>
      <c r="O1890" s="434" t="str">
        <f t="shared" si="1267"/>
        <v xml:space="preserve">SEM VALOR</v>
      </c>
      <c r="P1890" s="435" t="str">
        <f t="shared" si="1268"/>
        <v xml:space="preserve">SEM VALOR</v>
      </c>
      <c r="AE1890" s="460">
        <v>1230</v>
      </c>
      <c r="AF1890" s="460"/>
      <c r="AH1890">
        <f t="shared" si="1276"/>
        <v>1230</v>
      </c>
    </row>
    <row r="1891" ht="45" hidden="1">
      <c r="A1891" s="217"/>
      <c r="B1891" s="217">
        <v>1230</v>
      </c>
      <c r="C1891" s="217"/>
      <c r="D1891" s="217" t="s">
        <v>20408</v>
      </c>
      <c r="E1891" s="471" t="s">
        <v>20399</v>
      </c>
      <c r="F1891" s="489">
        <v>2692</v>
      </c>
      <c r="G1891" s="470" t="s">
        <v>12151</v>
      </c>
      <c r="H1891" s="482" t="s">
        <v>9794</v>
      </c>
      <c r="I1891" s="483">
        <v>8.6999999999999994e-003</v>
      </c>
      <c r="J1891" s="473">
        <f t="shared" si="1284"/>
        <v>6.6100000000000003</v>
      </c>
      <c r="K1891" s="474">
        <f t="shared" ref="K1891:K1901" si="1285">I1891*J1891</f>
        <v>5.7506999999999996e-002</v>
      </c>
      <c r="L1891" s="473">
        <f t="shared" si="1269"/>
        <v>6.6100000000000003</v>
      </c>
      <c r="M1891" s="474">
        <f t="shared" ref="M1891:M1901" si="1286">L1891*I1891</f>
        <v>5.7506999999999996e-002</v>
      </c>
      <c r="O1891" s="434">
        <f t="shared" si="1267"/>
        <v>6.6100000000000003</v>
      </c>
      <c r="P1891" s="435">
        <f t="shared" si="1268"/>
        <v>6.6100000000000003</v>
      </c>
      <c r="AE1891" s="217"/>
      <c r="AF1891" s="217">
        <v>1230</v>
      </c>
      <c r="AH1891">
        <f t="shared" si="1276"/>
        <v>1230</v>
      </c>
    </row>
    <row r="1892" ht="60" hidden="1">
      <c r="A1892" s="217"/>
      <c r="B1892" s="217">
        <v>1230</v>
      </c>
      <c r="C1892" s="217"/>
      <c r="D1892" s="217" t="s">
        <v>20408</v>
      </c>
      <c r="E1892" s="471" t="s">
        <v>20402</v>
      </c>
      <c r="F1892" s="489">
        <v>40271</v>
      </c>
      <c r="G1892" s="470" t="s">
        <v>13053</v>
      </c>
      <c r="H1892" s="482" t="s">
        <v>21651</v>
      </c>
      <c r="I1892" s="483">
        <v>0.12470000000000001</v>
      </c>
      <c r="J1892" s="473">
        <f t="shared" si="1284"/>
        <v>30.620000000000001</v>
      </c>
      <c r="K1892" s="474">
        <f t="shared" si="1285"/>
        <v>3.8183140000000004</v>
      </c>
      <c r="L1892" s="473">
        <f t="shared" si="1269"/>
        <v>30.620000000000001</v>
      </c>
      <c r="M1892" s="474">
        <f t="shared" si="1286"/>
        <v>3.8183140000000004</v>
      </c>
      <c r="O1892" s="434">
        <f t="shared" si="1267"/>
        <v>30.620000000000001</v>
      </c>
      <c r="P1892" s="435">
        <f t="shared" si="1268"/>
        <v>30.620000000000001</v>
      </c>
      <c r="AE1892" s="217"/>
      <c r="AF1892" s="217">
        <v>1230</v>
      </c>
      <c r="AH1892">
        <f t="shared" si="1276"/>
        <v>1230</v>
      </c>
    </row>
    <row r="1893" ht="75" hidden="1">
      <c r="A1893" s="217"/>
      <c r="B1893" s="217">
        <v>1230</v>
      </c>
      <c r="C1893" s="217"/>
      <c r="D1893" s="217" t="s">
        <v>20408</v>
      </c>
      <c r="E1893" s="471" t="s">
        <v>20405</v>
      </c>
      <c r="F1893" s="489">
        <v>40275</v>
      </c>
      <c r="G1893" s="470" t="s">
        <v>13070</v>
      </c>
      <c r="H1893" s="482" t="s">
        <v>21651</v>
      </c>
      <c r="I1893" s="483">
        <v>0.1371</v>
      </c>
      <c r="J1893" s="473">
        <f t="shared" si="1284"/>
        <v>32</v>
      </c>
      <c r="K1893" s="474">
        <f t="shared" si="1285"/>
        <v>4.3872</v>
      </c>
      <c r="L1893" s="473">
        <f t="shared" si="1269"/>
        <v>32</v>
      </c>
      <c r="M1893" s="474">
        <f t="shared" si="1286"/>
        <v>4.3872</v>
      </c>
      <c r="O1893" s="434">
        <f t="shared" si="1267"/>
        <v>32</v>
      </c>
      <c r="P1893" s="435">
        <f t="shared" si="1268"/>
        <v>32</v>
      </c>
      <c r="AE1893" s="217"/>
      <c r="AF1893" s="217">
        <v>1230</v>
      </c>
      <c r="AH1893">
        <f t="shared" si="1276"/>
        <v>1230</v>
      </c>
    </row>
    <row r="1894" ht="60" hidden="1">
      <c r="A1894" s="217"/>
      <c r="B1894" s="217">
        <v>1230</v>
      </c>
      <c r="C1894" s="217"/>
      <c r="D1894" s="217" t="s">
        <v>20408</v>
      </c>
      <c r="E1894" s="471" t="s">
        <v>20409</v>
      </c>
      <c r="F1894" s="489">
        <v>40287</v>
      </c>
      <c r="G1894" s="470" t="s">
        <v>13055</v>
      </c>
      <c r="H1894" s="482" t="s">
        <v>21651</v>
      </c>
      <c r="I1894" s="483">
        <v>0.24940000000000001</v>
      </c>
      <c r="J1894" s="473">
        <f t="shared" si="1284"/>
        <v>11.789999999999999</v>
      </c>
      <c r="K1894" s="474">
        <f t="shared" si="1285"/>
        <v>2.940426</v>
      </c>
      <c r="L1894" s="473">
        <f t="shared" si="1269"/>
        <v>11.789999999999999</v>
      </c>
      <c r="M1894" s="474">
        <f t="shared" si="1286"/>
        <v>2.940426</v>
      </c>
      <c r="O1894" s="434">
        <f t="shared" si="1267"/>
        <v>11.789999999999999</v>
      </c>
      <c r="P1894" s="435">
        <f t="shared" si="1268"/>
        <v>11.789999999999999</v>
      </c>
      <c r="AE1894" s="217"/>
      <c r="AF1894" s="217">
        <v>1230</v>
      </c>
      <c r="AH1894">
        <f t="shared" si="1276"/>
        <v>1230</v>
      </c>
    </row>
    <row r="1895" ht="30" hidden="1">
      <c r="A1895" s="217"/>
      <c r="B1895" s="217">
        <v>1230</v>
      </c>
      <c r="C1895" s="217"/>
      <c r="D1895" s="217" t="s">
        <v>20408</v>
      </c>
      <c r="E1895" s="471" t="s">
        <v>20663</v>
      </c>
      <c r="F1895" s="489">
        <v>5068</v>
      </c>
      <c r="G1895" s="470" t="s">
        <v>14043</v>
      </c>
      <c r="H1895" s="482" t="s">
        <v>302</v>
      </c>
      <c r="I1895" s="483">
        <v>7.0000000000000001e-003</v>
      </c>
      <c r="J1895" s="473">
        <f t="shared" si="1284"/>
        <v>20.289999999999999</v>
      </c>
      <c r="K1895" s="474">
        <f t="shared" si="1285"/>
        <v>0.14202999999999999</v>
      </c>
      <c r="L1895" s="473">
        <f t="shared" si="1269"/>
        <v>20.289999999999999</v>
      </c>
      <c r="M1895" s="474">
        <f t="shared" si="1286"/>
        <v>0.14202999999999999</v>
      </c>
      <c r="O1895" s="434">
        <f t="shared" si="1267"/>
        <v>20.289999999999999</v>
      </c>
      <c r="P1895" s="435">
        <f t="shared" si="1268"/>
        <v>20.289999999999999</v>
      </c>
      <c r="AE1895" s="217"/>
      <c r="AF1895" s="217">
        <v>1230</v>
      </c>
      <c r="AH1895">
        <f t="shared" si="1276"/>
        <v>1230</v>
      </c>
    </row>
    <row r="1896" ht="30" hidden="1">
      <c r="A1896" s="217"/>
      <c r="B1896" s="217">
        <v>1230</v>
      </c>
      <c r="C1896" s="217"/>
      <c r="D1896" s="217" t="s">
        <v>17167</v>
      </c>
      <c r="E1896" s="471" t="s">
        <v>20665</v>
      </c>
      <c r="F1896" s="489">
        <v>88239</v>
      </c>
      <c r="G1896" s="470" t="s">
        <v>7088</v>
      </c>
      <c r="H1896" s="482" t="s">
        <v>2032</v>
      </c>
      <c r="I1896" s="483">
        <v>0.21110000000000001</v>
      </c>
      <c r="J1896" s="473">
        <f t="shared" si="1284"/>
        <v>22.98</v>
      </c>
      <c r="K1896" s="474">
        <f t="shared" si="1285"/>
        <v>4.8510780000000002</v>
      </c>
      <c r="L1896" s="473">
        <f t="shared" si="1269"/>
        <v>21.719999999999999</v>
      </c>
      <c r="M1896" s="474">
        <f t="shared" si="1286"/>
        <v>4.5850920000000004</v>
      </c>
      <c r="O1896" s="434">
        <f t="shared" si="1267"/>
        <v>22.98</v>
      </c>
      <c r="P1896" s="435">
        <f t="shared" si="1268"/>
        <v>21.719999999999999</v>
      </c>
      <c r="AE1896" s="217"/>
      <c r="AF1896" s="217">
        <v>1230</v>
      </c>
      <c r="AH1896">
        <f t="shared" si="1276"/>
        <v>1230</v>
      </c>
    </row>
    <row r="1897" ht="30" hidden="1">
      <c r="A1897" s="217"/>
      <c r="B1897" s="217">
        <v>1230</v>
      </c>
      <c r="C1897" s="217"/>
      <c r="D1897" s="217" t="s">
        <v>17167</v>
      </c>
      <c r="E1897" s="471" t="s">
        <v>20667</v>
      </c>
      <c r="F1897" s="489">
        <v>88262</v>
      </c>
      <c r="G1897" s="470" t="s">
        <v>7127</v>
      </c>
      <c r="H1897" s="482" t="s">
        <v>2032</v>
      </c>
      <c r="I1897" s="483">
        <v>1.1359999999999999</v>
      </c>
      <c r="J1897" s="473">
        <f t="shared" si="1284"/>
        <v>27.739999999999998</v>
      </c>
      <c r="K1897" s="474">
        <f t="shared" si="1285"/>
        <v>31.512639999999994</v>
      </c>
      <c r="L1897" s="473">
        <f t="shared" si="1269"/>
        <v>26.129999999999999</v>
      </c>
      <c r="M1897" s="474">
        <f t="shared" si="1286"/>
        <v>29.683679999999995</v>
      </c>
      <c r="O1897" s="434">
        <f t="shared" si="1267"/>
        <v>27.739999999999998</v>
      </c>
      <c r="P1897" s="435">
        <f t="shared" si="1268"/>
        <v>26.129999999999999</v>
      </c>
      <c r="AE1897" s="217"/>
      <c r="AF1897" s="217">
        <v>1230</v>
      </c>
      <c r="AH1897">
        <f t="shared" si="1276"/>
        <v>1230</v>
      </c>
    </row>
    <row r="1898" ht="75" hidden="1">
      <c r="A1898" s="217"/>
      <c r="B1898" s="217">
        <v>1230</v>
      </c>
      <c r="C1898" s="217"/>
      <c r="D1898" s="217" t="s">
        <v>20408</v>
      </c>
      <c r="E1898" s="471" t="s">
        <v>20671</v>
      </c>
      <c r="F1898" s="489">
        <v>1358</v>
      </c>
      <c r="G1898" s="470" t="s">
        <v>21652</v>
      </c>
      <c r="H1898" s="482" t="s">
        <v>15515</v>
      </c>
      <c r="I1898" s="483">
        <v>0.52500000000000002</v>
      </c>
      <c r="J1898" s="473">
        <f t="shared" si="1284"/>
        <v>46.770000000000003</v>
      </c>
      <c r="K1898" s="474">
        <f t="shared" si="1285"/>
        <v>24.554250000000003</v>
      </c>
      <c r="L1898" s="473">
        <f t="shared" si="1269"/>
        <v>46.770000000000003</v>
      </c>
      <c r="M1898" s="474">
        <f t="shared" si="1286"/>
        <v>24.554250000000003</v>
      </c>
      <c r="O1898" s="434">
        <f t="shared" si="1267"/>
        <v>46.770000000000003</v>
      </c>
      <c r="P1898" s="435">
        <f t="shared" si="1268"/>
        <v>46.770000000000003</v>
      </c>
      <c r="AE1898" s="217"/>
      <c r="AF1898" s="217">
        <v>1230</v>
      </c>
      <c r="AH1898">
        <f t="shared" si="1276"/>
        <v>1230</v>
      </c>
    </row>
    <row r="1899" ht="45" hidden="1">
      <c r="A1899" s="217"/>
      <c r="B1899" s="217">
        <v>1230</v>
      </c>
      <c r="C1899" s="217"/>
      <c r="D1899" s="217" t="s">
        <v>20408</v>
      </c>
      <c r="E1899" s="471" t="s">
        <v>20672</v>
      </c>
      <c r="F1899" s="489">
        <v>4491</v>
      </c>
      <c r="G1899" s="470" t="s">
        <v>13897</v>
      </c>
      <c r="H1899" s="482" t="s">
        <v>38</v>
      </c>
      <c r="I1899" s="483">
        <v>0.41999999999999998</v>
      </c>
      <c r="J1899" s="473">
        <f t="shared" si="1284"/>
        <v>6.8399999999999999</v>
      </c>
      <c r="K1899" s="474">
        <f t="shared" si="1285"/>
        <v>2.8727999999999998</v>
      </c>
      <c r="L1899" s="473">
        <f t="shared" si="1269"/>
        <v>6.8399999999999999</v>
      </c>
      <c r="M1899" s="474">
        <f t="shared" si="1286"/>
        <v>2.8727999999999998</v>
      </c>
      <c r="O1899" s="434">
        <f t="shared" si="1267"/>
        <v>6.8399999999999999</v>
      </c>
      <c r="P1899" s="435">
        <f t="shared" si="1268"/>
        <v>6.8399999999999999</v>
      </c>
      <c r="AE1899" s="217"/>
      <c r="AF1899" s="217">
        <v>1230</v>
      </c>
      <c r="AH1899">
        <f t="shared" si="1276"/>
        <v>1230</v>
      </c>
    </row>
    <row r="1900" ht="60" hidden="1">
      <c r="A1900" s="217"/>
      <c r="B1900" s="217">
        <v>1230</v>
      </c>
      <c r="C1900" s="217"/>
      <c r="D1900" s="217" t="s">
        <v>17167</v>
      </c>
      <c r="E1900" s="471" t="s">
        <v>20673</v>
      </c>
      <c r="F1900" s="489">
        <v>91962</v>
      </c>
      <c r="G1900" s="470" t="s">
        <v>1897</v>
      </c>
      <c r="H1900" s="482" t="s">
        <v>1535</v>
      </c>
      <c r="I1900" s="483">
        <v>1.4e-002</v>
      </c>
      <c r="J1900" s="473">
        <f t="shared" si="1284"/>
        <v>62.200000000000003</v>
      </c>
      <c r="K1900" s="474">
        <f t="shared" si="1285"/>
        <v>0.87080000000000002</v>
      </c>
      <c r="L1900" s="473">
        <f t="shared" si="1269"/>
        <v>59.899999999999999</v>
      </c>
      <c r="M1900" s="474">
        <f t="shared" si="1286"/>
        <v>0.83860000000000001</v>
      </c>
      <c r="O1900" s="434">
        <f t="shared" ref="O1900:O1963" si="1287">IFERROR(IF(D1900="SINAPI",VLOOKUP(F1900,SINCOMOD,4,FALSE),IF(D1900="INSINAPI",VLOOKUP(F1900,INSINOD,5,FALSE),IF(D1900="SICRO",VLOOKUP(F1900,SICRO,5,FALSE),IF(D1900="COTACAO",VLOOKUP(F1900,COTACAO,6,FALSE),IF(D1900="PRÓPRIO",VLOOKUP(F1900,COMPOD,11,FALSE),IF(D1900="AGESUL",VLOOKUP(F1900,AGESULOD,6,FALSE),IF(D1900="INSAGESUL",VLOOKUP(F1900,INSAGESUL,7,FALSE),"SEM VALOR"))))))),"SEM VALOR")</f>
        <v>62.200000000000003</v>
      </c>
      <c r="P1900" s="435">
        <f t="shared" ref="P1900:P1963" si="1288">IFERROR(IF(D1900="SINAPI",VLOOKUP(F1900,SINCOMOD,6,FALSE),IF(D1900="INSINAPI",VLOOKUP(F1900,INSINOD,6,FALSE),IF(D1900="SICRO",VLOOKUP(F1900,SICRO,5,FALSE),IF(D1900="COTACAO",VLOOKUP(F1900,COTACAO,6,FALSE),IF(D1900="PRÓPRIO",VLOOKUP(F1900,COMPOD,13,FALSE),IF(D1900="AGESUL",VLOOKUP(F1900,AGESULOD,11,FALSE),IF(D1900="INSAGESUL",VLOOKUP(F1900,INSAGESUL,8,FALSE),"SEM VALOR"))))))),"SEM VALOR")</f>
        <v>59.899999999999999</v>
      </c>
      <c r="AE1900" s="217"/>
      <c r="AF1900" s="217">
        <v>1230</v>
      </c>
      <c r="AH1900">
        <f t="shared" si="1276"/>
        <v>1230</v>
      </c>
    </row>
    <row r="1901" ht="60" hidden="1">
      <c r="A1901" s="217"/>
      <c r="B1901" s="217">
        <v>1230</v>
      </c>
      <c r="C1901" s="217"/>
      <c r="D1901" s="217" t="s">
        <v>17167</v>
      </c>
      <c r="E1901" s="471" t="s">
        <v>20675</v>
      </c>
      <c r="F1901" s="489">
        <v>91963</v>
      </c>
      <c r="G1901" s="470" t="s">
        <v>1896</v>
      </c>
      <c r="H1901" s="482" t="s">
        <v>1533</v>
      </c>
      <c r="I1901" s="483">
        <v>5.8000000000000003e-002</v>
      </c>
      <c r="J1901" s="473">
        <f t="shared" si="1284"/>
        <v>73.060000000000002</v>
      </c>
      <c r="K1901" s="474">
        <f t="shared" si="1285"/>
        <v>4.2374800000000006</v>
      </c>
      <c r="L1901" s="473">
        <f t="shared" ref="L1901:L1964" si="1289">P1901*$L$3</f>
        <v>70.359999999999999</v>
      </c>
      <c r="M1901" s="474">
        <f t="shared" si="1286"/>
        <v>4.0808800000000005</v>
      </c>
      <c r="O1901" s="434">
        <f t="shared" si="1287"/>
        <v>73.060000000000002</v>
      </c>
      <c r="P1901" s="435">
        <f t="shared" si="1288"/>
        <v>70.359999999999999</v>
      </c>
      <c r="AE1901" s="217"/>
      <c r="AF1901" s="217">
        <v>1230</v>
      </c>
      <c r="AH1901">
        <f t="shared" si="1276"/>
        <v>1230</v>
      </c>
    </row>
    <row r="1902" ht="66.75" hidden="1" customHeight="1">
      <c r="A1902" s="460">
        <v>1231</v>
      </c>
      <c r="B1902" s="460">
        <v>1231</v>
      </c>
      <c r="C1902" s="460"/>
      <c r="D1902" s="460"/>
      <c r="E1902" s="461">
        <v>1</v>
      </c>
      <c r="F1902" s="462" t="s">
        <v>21653</v>
      </c>
      <c r="G1902" s="477" t="s">
        <v>21654</v>
      </c>
      <c r="H1902" s="579" t="s">
        <v>31</v>
      </c>
      <c r="I1902" s="479"/>
      <c r="J1902" s="480"/>
      <c r="K1902" s="466">
        <f>SUM(K1903:K1904)</f>
        <v>6590.5087199999998</v>
      </c>
      <c r="L1902" s="480"/>
      <c r="M1902" s="466">
        <f>SUM(M1903:M1904)</f>
        <v>6404.2185500000005</v>
      </c>
      <c r="N1902" s="467" t="s">
        <v>21543</v>
      </c>
      <c r="O1902" s="434" t="str">
        <f t="shared" si="1287"/>
        <v xml:space="preserve">SEM VALOR</v>
      </c>
      <c r="P1902" s="435" t="str">
        <f t="shared" si="1288"/>
        <v xml:space="preserve">SEM VALOR</v>
      </c>
      <c r="AE1902" s="460">
        <v>1231</v>
      </c>
      <c r="AF1902" s="460"/>
      <c r="AH1902">
        <f t="shared" si="1276"/>
        <v>1231</v>
      </c>
    </row>
    <row r="1903" ht="45" hidden="1">
      <c r="A1903" s="217"/>
      <c r="B1903" s="217">
        <v>1231</v>
      </c>
      <c r="C1903" s="217"/>
      <c r="D1903" s="217" t="s">
        <v>17167</v>
      </c>
      <c r="E1903" s="471" t="s">
        <v>20399</v>
      </c>
      <c r="F1903" s="489">
        <v>102487</v>
      </c>
      <c r="G1903" s="470" t="s">
        <v>8702</v>
      </c>
      <c r="H1903" s="482" t="s">
        <v>15528</v>
      </c>
      <c r="I1903" s="483">
        <v>7.4569999999999999</v>
      </c>
      <c r="J1903" s="473">
        <f t="shared" si="1284"/>
        <v>593.75999999999999</v>
      </c>
      <c r="K1903" s="474">
        <f t="shared" ref="K1903:K1904" si="1290">I1903*J1903</f>
        <v>4427.6683199999998</v>
      </c>
      <c r="L1903" s="473">
        <f t="shared" si="1289"/>
        <v>578.95000000000005</v>
      </c>
      <c r="M1903" s="474">
        <f t="shared" ref="M1903:M1904" si="1291">L1903*I1903</f>
        <v>4317.2301500000003</v>
      </c>
      <c r="O1903" s="434">
        <f t="shared" si="1287"/>
        <v>593.75999999999999</v>
      </c>
      <c r="P1903" s="435">
        <f t="shared" si="1288"/>
        <v>578.95000000000005</v>
      </c>
      <c r="AE1903" s="217"/>
      <c r="AF1903" s="217">
        <v>1231</v>
      </c>
      <c r="AH1903">
        <f t="shared" si="1276"/>
        <v>1231</v>
      </c>
    </row>
    <row r="1904" ht="75" hidden="1">
      <c r="A1904" s="217"/>
      <c r="B1904" s="217">
        <v>1231</v>
      </c>
      <c r="C1904" s="217"/>
      <c r="D1904" s="217" t="s">
        <v>17167</v>
      </c>
      <c r="E1904" s="471" t="s">
        <v>20402</v>
      </c>
      <c r="F1904" s="489">
        <v>96539</v>
      </c>
      <c r="G1904" s="470" t="s">
        <v>21544</v>
      </c>
      <c r="H1904" s="482" t="s">
        <v>15515</v>
      </c>
      <c r="I1904" s="483">
        <v>17.640000000000001</v>
      </c>
      <c r="J1904" s="473">
        <f t="shared" si="1284"/>
        <v>122.61</v>
      </c>
      <c r="K1904" s="474">
        <f t="shared" si="1290"/>
        <v>2162.8404</v>
      </c>
      <c r="L1904" s="473">
        <f t="shared" si="1289"/>
        <v>118.31</v>
      </c>
      <c r="M1904" s="474">
        <f t="shared" si="1291"/>
        <v>2086.9884000000002</v>
      </c>
      <c r="O1904" s="434">
        <f t="shared" si="1287"/>
        <v>122.61</v>
      </c>
      <c r="P1904" s="435">
        <f t="shared" si="1288"/>
        <v>118.31</v>
      </c>
      <c r="AE1904" s="217"/>
      <c r="AF1904" s="217">
        <v>1231</v>
      </c>
      <c r="AH1904">
        <f t="shared" si="1276"/>
        <v>1231</v>
      </c>
    </row>
    <row r="1905" ht="31.5" hidden="1">
      <c r="A1905" s="460">
        <v>1232</v>
      </c>
      <c r="B1905" s="460">
        <v>1232</v>
      </c>
      <c r="C1905" s="460"/>
      <c r="D1905" s="460"/>
      <c r="E1905" s="461">
        <v>1</v>
      </c>
      <c r="F1905" s="462" t="s">
        <v>21655</v>
      </c>
      <c r="G1905" s="477" t="s">
        <v>21656</v>
      </c>
      <c r="H1905" s="579" t="s">
        <v>15528</v>
      </c>
      <c r="I1905" s="479"/>
      <c r="J1905" s="480"/>
      <c r="K1905" s="466">
        <f>SUM(K1906:K1908)</f>
        <v>361.48000000000002</v>
      </c>
      <c r="L1905" s="480"/>
      <c r="M1905" s="466">
        <f>SUM(M1906:M1908)</f>
        <v>349.93500000000006</v>
      </c>
      <c r="N1905" s="467" t="s">
        <v>21657</v>
      </c>
      <c r="O1905" s="434" t="str">
        <f t="shared" si="1287"/>
        <v xml:space="preserve">SEM VALOR</v>
      </c>
      <c r="P1905" s="435" t="str">
        <f t="shared" si="1288"/>
        <v xml:space="preserve">SEM VALOR</v>
      </c>
      <c r="AE1905" s="460">
        <v>1232</v>
      </c>
      <c r="AF1905" s="460"/>
      <c r="AH1905">
        <f t="shared" si="1276"/>
        <v>1232</v>
      </c>
    </row>
    <row r="1906" ht="30" hidden="1">
      <c r="A1906" s="217"/>
      <c r="B1906" s="217">
        <v>1232</v>
      </c>
      <c r="C1906" s="217"/>
      <c r="D1906" s="217" t="s">
        <v>20408</v>
      </c>
      <c r="E1906" s="471" t="s">
        <v>20399</v>
      </c>
      <c r="F1906" s="469">
        <v>37526</v>
      </c>
      <c r="G1906" s="470" t="s">
        <v>21658</v>
      </c>
      <c r="H1906" s="499" t="s">
        <v>31</v>
      </c>
      <c r="I1906" s="483">
        <v>40</v>
      </c>
      <c r="J1906" s="473">
        <f t="shared" si="1284"/>
        <v>3.77</v>
      </c>
      <c r="K1906" s="474">
        <f t="shared" ref="K1906:K1908" si="1292">I1906*J1906</f>
        <v>150.80000000000001</v>
      </c>
      <c r="L1906" s="473">
        <f t="shared" si="1289"/>
        <v>3.77</v>
      </c>
      <c r="M1906" s="474">
        <f t="shared" ref="M1906:M1908" si="1293">L1906*I1906</f>
        <v>150.80000000000001</v>
      </c>
      <c r="O1906" s="434">
        <f t="shared" si="1287"/>
        <v>3.77</v>
      </c>
      <c r="P1906" s="435">
        <f t="shared" si="1288"/>
        <v>3.77</v>
      </c>
      <c r="AE1906" s="217"/>
      <c r="AF1906" s="217">
        <v>1232</v>
      </c>
      <c r="AH1906">
        <f t="shared" si="1276"/>
        <v>1232</v>
      </c>
    </row>
    <row r="1907" ht="30" hidden="1">
      <c r="A1907" s="217"/>
      <c r="B1907" s="217">
        <v>1232</v>
      </c>
      <c r="C1907" s="217"/>
      <c r="D1907" s="217" t="s">
        <v>17167</v>
      </c>
      <c r="E1907" s="471" t="s">
        <v>20402</v>
      </c>
      <c r="F1907" s="469">
        <v>88316</v>
      </c>
      <c r="G1907" s="470" t="s">
        <v>7393</v>
      </c>
      <c r="H1907" s="482" t="s">
        <v>2032</v>
      </c>
      <c r="I1907" s="483">
        <v>5.5</v>
      </c>
      <c r="J1907" s="473">
        <f t="shared" si="1284"/>
        <v>22.760000000000002</v>
      </c>
      <c r="K1907" s="474">
        <f t="shared" si="1292"/>
        <v>125.18000000000001</v>
      </c>
      <c r="L1907" s="473">
        <f t="shared" si="1289"/>
        <v>21.550000000000001</v>
      </c>
      <c r="M1907" s="474">
        <f t="shared" si="1293"/>
        <v>118.52500000000001</v>
      </c>
      <c r="O1907" s="434">
        <f t="shared" si="1287"/>
        <v>22.760000000000002</v>
      </c>
      <c r="P1907" s="435">
        <f t="shared" si="1288"/>
        <v>21.550000000000001</v>
      </c>
      <c r="AE1907" s="217"/>
      <c r="AF1907" s="217">
        <v>1232</v>
      </c>
      <c r="AH1907">
        <f t="shared" si="1276"/>
        <v>1232</v>
      </c>
    </row>
    <row r="1908" ht="30" hidden="1">
      <c r="A1908" s="217"/>
      <c r="B1908" s="217">
        <v>1232</v>
      </c>
      <c r="C1908" s="217"/>
      <c r="D1908" s="217" t="s">
        <v>17167</v>
      </c>
      <c r="E1908" s="471" t="s">
        <v>20405</v>
      </c>
      <c r="F1908" s="469">
        <v>88309</v>
      </c>
      <c r="G1908" s="470" t="s">
        <v>7385</v>
      </c>
      <c r="H1908" s="482" t="s">
        <v>2032</v>
      </c>
      <c r="I1908" s="483">
        <v>3</v>
      </c>
      <c r="J1908" s="473">
        <f t="shared" si="1284"/>
        <v>28.5</v>
      </c>
      <c r="K1908" s="474">
        <f t="shared" si="1292"/>
        <v>85.5</v>
      </c>
      <c r="L1908" s="473">
        <f t="shared" si="1289"/>
        <v>26.870000000000001</v>
      </c>
      <c r="M1908" s="474">
        <f t="shared" si="1293"/>
        <v>80.609999999999999</v>
      </c>
      <c r="O1908" s="434">
        <f t="shared" si="1287"/>
        <v>28.5</v>
      </c>
      <c r="P1908" s="435">
        <f t="shared" si="1288"/>
        <v>26.870000000000001</v>
      </c>
      <c r="AE1908" s="217"/>
      <c r="AF1908" s="217">
        <v>1232</v>
      </c>
      <c r="AH1908">
        <f t="shared" si="1276"/>
        <v>1232</v>
      </c>
    </row>
    <row r="1909" ht="50.25" hidden="1" customHeight="1">
      <c r="A1909" s="460">
        <v>1233</v>
      </c>
      <c r="B1909" s="460">
        <v>1233</v>
      </c>
      <c r="C1909" s="460"/>
      <c r="D1909" s="460"/>
      <c r="E1909" s="461">
        <v>1</v>
      </c>
      <c r="F1909" s="462" t="s">
        <v>21659</v>
      </c>
      <c r="G1909" s="477" t="s">
        <v>21660</v>
      </c>
      <c r="H1909" s="579" t="s">
        <v>31</v>
      </c>
      <c r="I1909" s="479"/>
      <c r="J1909" s="480"/>
      <c r="K1909" s="466">
        <f>SUM(K1910:K1921)</f>
        <v>973.79500000000007</v>
      </c>
      <c r="L1909" s="480"/>
      <c r="M1909" s="466">
        <f>SUM(M1910:M1921)</f>
        <v>955.60700000000008</v>
      </c>
      <c r="N1909" s="467" t="s">
        <v>21661</v>
      </c>
      <c r="O1909" s="434" t="str">
        <f t="shared" si="1287"/>
        <v xml:space="preserve">SEM VALOR</v>
      </c>
      <c r="P1909" s="435" t="str">
        <f t="shared" si="1288"/>
        <v xml:space="preserve">SEM VALOR</v>
      </c>
      <c r="AE1909" s="460">
        <v>1233</v>
      </c>
      <c r="AF1909" s="460"/>
      <c r="AH1909">
        <f t="shared" si="1276"/>
        <v>1233</v>
      </c>
    </row>
    <row r="1910" ht="30" hidden="1">
      <c r="A1910" s="217"/>
      <c r="B1910" s="217">
        <v>1233</v>
      </c>
      <c r="C1910" s="217"/>
      <c r="D1910" s="217" t="s">
        <v>17167</v>
      </c>
      <c r="E1910" s="471" t="s">
        <v>20399</v>
      </c>
      <c r="F1910" s="489">
        <v>88262</v>
      </c>
      <c r="G1910" s="470" t="s">
        <v>7127</v>
      </c>
      <c r="H1910" s="482" t="s">
        <v>2032</v>
      </c>
      <c r="I1910" s="483">
        <v>6</v>
      </c>
      <c r="J1910" s="473">
        <f t="shared" si="1284"/>
        <v>27.739999999999998</v>
      </c>
      <c r="K1910" s="474">
        <f t="shared" ref="K1910:K1921" si="1294">I1910*J1910</f>
        <v>166.44</v>
      </c>
      <c r="L1910" s="473">
        <f t="shared" si="1289"/>
        <v>26.129999999999999</v>
      </c>
      <c r="M1910" s="474">
        <f t="shared" ref="M1910:M1921" si="1295">L1910*I1910</f>
        <v>156.78</v>
      </c>
      <c r="O1910" s="434">
        <f t="shared" si="1287"/>
        <v>27.739999999999998</v>
      </c>
      <c r="P1910" s="435">
        <f t="shared" si="1288"/>
        <v>26.129999999999999</v>
      </c>
      <c r="AE1910" s="217"/>
      <c r="AF1910" s="217">
        <v>1233</v>
      </c>
      <c r="AH1910">
        <f t="shared" si="1276"/>
        <v>1233</v>
      </c>
    </row>
    <row r="1911" ht="30" hidden="1">
      <c r="A1911" s="217"/>
      <c r="B1911" s="217">
        <v>1233</v>
      </c>
      <c r="C1911" s="217"/>
      <c r="D1911" s="217" t="s">
        <v>17167</v>
      </c>
      <c r="E1911" s="471" t="s">
        <v>20402</v>
      </c>
      <c r="F1911" s="489">
        <v>88239</v>
      </c>
      <c r="G1911" s="470" t="s">
        <v>7088</v>
      </c>
      <c r="H1911" s="482" t="s">
        <v>2032</v>
      </c>
      <c r="I1911" s="483">
        <v>6</v>
      </c>
      <c r="J1911" s="473">
        <f t="shared" si="1284"/>
        <v>22.98</v>
      </c>
      <c r="K1911" s="474">
        <f t="shared" si="1294"/>
        <v>137.88</v>
      </c>
      <c r="L1911" s="473">
        <f t="shared" si="1289"/>
        <v>21.719999999999999</v>
      </c>
      <c r="M1911" s="474">
        <f t="shared" si="1295"/>
        <v>130.31999999999999</v>
      </c>
      <c r="O1911" s="434">
        <f t="shared" si="1287"/>
        <v>22.98</v>
      </c>
      <c r="P1911" s="435">
        <f t="shared" si="1288"/>
        <v>21.719999999999999</v>
      </c>
      <c r="AE1911" s="217"/>
      <c r="AF1911" s="217">
        <v>1233</v>
      </c>
      <c r="AH1911">
        <f t="shared" si="1276"/>
        <v>1233</v>
      </c>
    </row>
    <row r="1912" ht="30" hidden="1">
      <c r="A1912" s="217"/>
      <c r="B1912" s="217">
        <v>1233</v>
      </c>
      <c r="C1912" s="217"/>
      <c r="D1912" s="217" t="s">
        <v>17167</v>
      </c>
      <c r="E1912" s="471" t="s">
        <v>20405</v>
      </c>
      <c r="F1912" s="489">
        <v>88316</v>
      </c>
      <c r="G1912" s="470" t="s">
        <v>7393</v>
      </c>
      <c r="H1912" s="482" t="s">
        <v>2032</v>
      </c>
      <c r="I1912" s="483">
        <v>0.80000000000000004</v>
      </c>
      <c r="J1912" s="473">
        <f t="shared" si="1284"/>
        <v>22.760000000000002</v>
      </c>
      <c r="K1912" s="474">
        <f t="shared" si="1294"/>
        <v>18.208000000000002</v>
      </c>
      <c r="L1912" s="473">
        <f t="shared" si="1289"/>
        <v>21.550000000000001</v>
      </c>
      <c r="M1912" s="474">
        <f t="shared" si="1295"/>
        <v>17.240000000000002</v>
      </c>
      <c r="O1912" s="434">
        <f t="shared" si="1287"/>
        <v>22.760000000000002</v>
      </c>
      <c r="P1912" s="435">
        <f t="shared" si="1288"/>
        <v>21.550000000000001</v>
      </c>
      <c r="AE1912" s="217"/>
      <c r="AF1912" s="217">
        <v>1233</v>
      </c>
      <c r="AH1912">
        <f t="shared" si="1276"/>
        <v>1233</v>
      </c>
    </row>
    <row r="1913" ht="45" hidden="1">
      <c r="A1913" s="217"/>
      <c r="B1913" s="217">
        <v>1233</v>
      </c>
      <c r="C1913" s="217"/>
      <c r="D1913" s="217" t="s">
        <v>20408</v>
      </c>
      <c r="E1913" s="471" t="s">
        <v>20409</v>
      </c>
      <c r="F1913" s="489">
        <v>4433</v>
      </c>
      <c r="G1913" s="470" t="s">
        <v>21662</v>
      </c>
      <c r="H1913" s="482" t="s">
        <v>38</v>
      </c>
      <c r="I1913" s="483">
        <v>4</v>
      </c>
      <c r="J1913" s="473">
        <f t="shared" si="1284"/>
        <v>28.940000000000001</v>
      </c>
      <c r="K1913" s="474">
        <f t="shared" si="1294"/>
        <v>115.76000000000001</v>
      </c>
      <c r="L1913" s="473">
        <f t="shared" si="1289"/>
        <v>28.940000000000001</v>
      </c>
      <c r="M1913" s="474">
        <f t="shared" si="1295"/>
        <v>115.76000000000001</v>
      </c>
      <c r="O1913" s="434">
        <f t="shared" si="1287"/>
        <v>28.940000000000001</v>
      </c>
      <c r="P1913" s="435">
        <f t="shared" si="1288"/>
        <v>28.940000000000001</v>
      </c>
      <c r="AE1913" s="217"/>
      <c r="AF1913" s="217">
        <v>1233</v>
      </c>
      <c r="AH1913">
        <f t="shared" si="1276"/>
        <v>1233</v>
      </c>
    </row>
    <row r="1914" ht="45" hidden="1">
      <c r="A1914" s="217"/>
      <c r="B1914" s="217">
        <v>1233</v>
      </c>
      <c r="C1914" s="217"/>
      <c r="D1914" s="217" t="s">
        <v>20408</v>
      </c>
      <c r="E1914" s="471" t="s">
        <v>20663</v>
      </c>
      <c r="F1914" s="489">
        <v>20205</v>
      </c>
      <c r="G1914" s="470" t="s">
        <v>21663</v>
      </c>
      <c r="H1914" s="499" t="s">
        <v>38</v>
      </c>
      <c r="I1914" s="483">
        <v>8</v>
      </c>
      <c r="J1914" s="473">
        <f t="shared" si="1284"/>
        <v>3.77</v>
      </c>
      <c r="K1914" s="474">
        <f t="shared" si="1294"/>
        <v>30.16</v>
      </c>
      <c r="L1914" s="473">
        <f t="shared" si="1289"/>
        <v>3.77</v>
      </c>
      <c r="M1914" s="474">
        <f t="shared" si="1295"/>
        <v>30.16</v>
      </c>
      <c r="O1914" s="434">
        <f t="shared" si="1287"/>
        <v>3.77</v>
      </c>
      <c r="P1914" s="435">
        <f t="shared" si="1288"/>
        <v>3.77</v>
      </c>
      <c r="AE1914" s="217"/>
      <c r="AF1914" s="217">
        <v>1233</v>
      </c>
      <c r="AH1914">
        <f t="shared" si="1276"/>
        <v>1233</v>
      </c>
    </row>
    <row r="1915" ht="75" hidden="1">
      <c r="A1915" s="217"/>
      <c r="B1915" s="217">
        <v>1233</v>
      </c>
      <c r="C1915" s="217"/>
      <c r="D1915" s="217" t="s">
        <v>20408</v>
      </c>
      <c r="E1915" s="471" t="s">
        <v>20665</v>
      </c>
      <c r="F1915" s="489">
        <v>43682</v>
      </c>
      <c r="G1915" s="470" t="s">
        <v>11571</v>
      </c>
      <c r="H1915" s="482" t="s">
        <v>15515</v>
      </c>
      <c r="I1915" s="483">
        <v>1</v>
      </c>
      <c r="J1915" s="473">
        <f t="shared" si="1284"/>
        <v>17.789999999999999</v>
      </c>
      <c r="K1915" s="474">
        <f t="shared" si="1294"/>
        <v>17.789999999999999</v>
      </c>
      <c r="L1915" s="473">
        <f t="shared" si="1289"/>
        <v>17.789999999999999</v>
      </c>
      <c r="M1915" s="474">
        <f t="shared" si="1295"/>
        <v>17.789999999999999</v>
      </c>
      <c r="O1915" s="434">
        <f t="shared" si="1287"/>
        <v>17.789999999999999</v>
      </c>
      <c r="P1915" s="435">
        <f t="shared" si="1288"/>
        <v>17.789999999999999</v>
      </c>
      <c r="AE1915" s="217"/>
      <c r="AF1915" s="217">
        <v>1233</v>
      </c>
      <c r="AH1915">
        <f t="shared" si="1276"/>
        <v>1233</v>
      </c>
    </row>
    <row r="1916" ht="75" hidden="1">
      <c r="A1916" s="217"/>
      <c r="B1916" s="217">
        <v>1233</v>
      </c>
      <c r="C1916" s="217"/>
      <c r="D1916" s="217" t="s">
        <v>20408</v>
      </c>
      <c r="E1916" s="471" t="s">
        <v>20667</v>
      </c>
      <c r="F1916" s="489">
        <v>43681</v>
      </c>
      <c r="G1916" s="470" t="s">
        <v>21664</v>
      </c>
      <c r="H1916" s="499" t="s">
        <v>15515</v>
      </c>
      <c r="I1916" s="483">
        <v>6.5999999999999996</v>
      </c>
      <c r="J1916" s="473">
        <f t="shared" si="1284"/>
        <v>29.469999999999999</v>
      </c>
      <c r="K1916" s="474">
        <f t="shared" si="1294"/>
        <v>194.50199999999998</v>
      </c>
      <c r="L1916" s="473">
        <f t="shared" si="1289"/>
        <v>29.469999999999999</v>
      </c>
      <c r="M1916" s="474">
        <f t="shared" si="1295"/>
        <v>194.50199999999998</v>
      </c>
      <c r="O1916" s="434">
        <f t="shared" si="1287"/>
        <v>29.469999999999999</v>
      </c>
      <c r="P1916" s="435">
        <f t="shared" si="1288"/>
        <v>29.469999999999999</v>
      </c>
      <c r="AE1916" s="217"/>
      <c r="AF1916" s="217">
        <v>1233</v>
      </c>
      <c r="AH1916">
        <f t="shared" si="1276"/>
        <v>1233</v>
      </c>
    </row>
    <row r="1917" ht="30" hidden="1">
      <c r="A1917" s="217"/>
      <c r="B1917" s="217">
        <v>1233</v>
      </c>
      <c r="C1917" s="217"/>
      <c r="D1917" s="217" t="s">
        <v>20408</v>
      </c>
      <c r="E1917" s="471" t="s">
        <v>20671</v>
      </c>
      <c r="F1917" s="489">
        <v>5061</v>
      </c>
      <c r="G1917" s="470" t="s">
        <v>14048</v>
      </c>
      <c r="H1917" s="482" t="s">
        <v>302</v>
      </c>
      <c r="I1917" s="483">
        <v>1.5</v>
      </c>
      <c r="J1917" s="473">
        <f t="shared" si="1284"/>
        <v>19.949999999999999</v>
      </c>
      <c r="K1917" s="474">
        <f t="shared" si="1294"/>
        <v>29.924999999999997</v>
      </c>
      <c r="L1917" s="473">
        <f t="shared" si="1289"/>
        <v>19.949999999999999</v>
      </c>
      <c r="M1917" s="474">
        <f t="shared" si="1295"/>
        <v>29.924999999999997</v>
      </c>
      <c r="O1917" s="434">
        <f t="shared" si="1287"/>
        <v>19.949999999999999</v>
      </c>
      <c r="P1917" s="435">
        <f t="shared" si="1288"/>
        <v>19.949999999999999</v>
      </c>
      <c r="AE1917" s="217"/>
      <c r="AF1917" s="217">
        <v>1233</v>
      </c>
      <c r="AH1917">
        <f t="shared" si="1276"/>
        <v>1233</v>
      </c>
    </row>
    <row r="1918" ht="60" hidden="1">
      <c r="A1918" s="217"/>
      <c r="B1918" s="217">
        <v>1233</v>
      </c>
      <c r="C1918" s="217"/>
      <c r="D1918" s="217" t="s">
        <v>20408</v>
      </c>
      <c r="E1918" s="471" t="s">
        <v>20672</v>
      </c>
      <c r="F1918" s="489">
        <v>2432</v>
      </c>
      <c r="G1918" s="470" t="s">
        <v>21665</v>
      </c>
      <c r="H1918" s="499" t="s">
        <v>31</v>
      </c>
      <c r="I1918" s="483">
        <v>6</v>
      </c>
      <c r="J1918" s="473">
        <f t="shared" si="1284"/>
        <v>28.02</v>
      </c>
      <c r="K1918" s="474">
        <f t="shared" si="1294"/>
        <v>168.12</v>
      </c>
      <c r="L1918" s="473">
        <f t="shared" si="1289"/>
        <v>28.02</v>
      </c>
      <c r="M1918" s="474">
        <f t="shared" si="1295"/>
        <v>168.12</v>
      </c>
      <c r="O1918" s="434">
        <f t="shared" si="1287"/>
        <v>28.02</v>
      </c>
      <c r="P1918" s="435">
        <f t="shared" si="1288"/>
        <v>28.02</v>
      </c>
      <c r="AE1918" s="217"/>
      <c r="AF1918" s="217">
        <v>1233</v>
      </c>
      <c r="AH1918">
        <f t="shared" si="1276"/>
        <v>1233</v>
      </c>
    </row>
    <row r="1919" ht="90" hidden="1">
      <c r="A1919" s="217"/>
      <c r="B1919" s="217">
        <v>1233</v>
      </c>
      <c r="C1919" s="217"/>
      <c r="D1919" s="217" t="s">
        <v>20408</v>
      </c>
      <c r="E1919" s="471" t="s">
        <v>20673</v>
      </c>
      <c r="F1919" s="489">
        <v>11456</v>
      </c>
      <c r="G1919" s="470" t="s">
        <v>12528</v>
      </c>
      <c r="H1919" s="482" t="s">
        <v>31</v>
      </c>
      <c r="I1919" s="483">
        <v>1</v>
      </c>
      <c r="J1919" s="473">
        <f t="shared" si="1284"/>
        <v>24.350000000000001</v>
      </c>
      <c r="K1919" s="474">
        <f t="shared" si="1294"/>
        <v>24.350000000000001</v>
      </c>
      <c r="L1919" s="473">
        <f t="shared" si="1289"/>
        <v>24.350000000000001</v>
      </c>
      <c r="M1919" s="474">
        <f t="shared" si="1295"/>
        <v>24.350000000000001</v>
      </c>
      <c r="O1919" s="434">
        <f t="shared" si="1287"/>
        <v>24.350000000000001</v>
      </c>
      <c r="P1919" s="435">
        <f t="shared" si="1288"/>
        <v>24.350000000000001</v>
      </c>
      <c r="AE1919" s="217"/>
      <c r="AF1919" s="217">
        <v>1233</v>
      </c>
      <c r="AH1919">
        <f t="shared" si="1276"/>
        <v>1233</v>
      </c>
    </row>
    <row r="1920" ht="90" hidden="1">
      <c r="A1920" s="217"/>
      <c r="B1920" s="217">
        <v>1233</v>
      </c>
      <c r="C1920" s="217"/>
      <c r="D1920" s="217" t="s">
        <v>20408</v>
      </c>
      <c r="E1920" s="471" t="s">
        <v>20675</v>
      </c>
      <c r="F1920" s="489">
        <v>43603</v>
      </c>
      <c r="G1920" s="470" t="s">
        <v>11272</v>
      </c>
      <c r="H1920" s="499" t="s">
        <v>31</v>
      </c>
      <c r="I1920" s="483">
        <v>1</v>
      </c>
      <c r="J1920" s="473">
        <f t="shared" si="1284"/>
        <v>51.719999999999999</v>
      </c>
      <c r="K1920" s="474">
        <f t="shared" si="1294"/>
        <v>51.719999999999999</v>
      </c>
      <c r="L1920" s="473">
        <f t="shared" si="1289"/>
        <v>51.719999999999999</v>
      </c>
      <c r="M1920" s="474">
        <f t="shared" si="1295"/>
        <v>51.719999999999999</v>
      </c>
      <c r="O1920" s="434">
        <f t="shared" si="1287"/>
        <v>51.719999999999999</v>
      </c>
      <c r="P1920" s="435">
        <f t="shared" si="1288"/>
        <v>51.719999999999999</v>
      </c>
      <c r="AE1920" s="217"/>
      <c r="AF1920" s="217">
        <v>1233</v>
      </c>
      <c r="AH1920">
        <f t="shared" si="1276"/>
        <v>1233</v>
      </c>
    </row>
    <row r="1921" ht="120" hidden="1">
      <c r="A1921" s="217"/>
      <c r="B1921" s="217">
        <v>1233</v>
      </c>
      <c r="C1921" s="217"/>
      <c r="D1921" s="217" t="s">
        <v>20408</v>
      </c>
      <c r="E1921" s="471" t="s">
        <v>20677</v>
      </c>
      <c r="F1921" s="489">
        <v>3106</v>
      </c>
      <c r="G1921" s="470" t="s">
        <v>21666</v>
      </c>
      <c r="H1921" s="482" t="s">
        <v>31</v>
      </c>
      <c r="I1921" s="483">
        <v>1</v>
      </c>
      <c r="J1921" s="473">
        <f t="shared" si="1284"/>
        <v>18.940000000000001</v>
      </c>
      <c r="K1921" s="474">
        <f t="shared" si="1294"/>
        <v>18.940000000000001</v>
      </c>
      <c r="L1921" s="473">
        <f t="shared" si="1289"/>
        <v>18.940000000000001</v>
      </c>
      <c r="M1921" s="474">
        <f t="shared" si="1295"/>
        <v>18.940000000000001</v>
      </c>
      <c r="O1921" s="434">
        <f t="shared" si="1287"/>
        <v>18.940000000000001</v>
      </c>
      <c r="P1921" s="435">
        <f t="shared" si="1288"/>
        <v>18.940000000000001</v>
      </c>
      <c r="AE1921" s="217"/>
      <c r="AF1921" s="217">
        <v>1233</v>
      </c>
      <c r="AH1921">
        <f t="shared" si="1276"/>
        <v>1233</v>
      </c>
    </row>
    <row r="1922" ht="23.25" hidden="1" customHeight="1">
      <c r="A1922" s="460">
        <v>1234</v>
      </c>
      <c r="B1922" s="460">
        <v>1234</v>
      </c>
      <c r="C1922" s="460"/>
      <c r="D1922" s="460"/>
      <c r="E1922" s="461">
        <v>1</v>
      </c>
      <c r="F1922" s="462" t="s">
        <v>21667</v>
      </c>
      <c r="G1922" s="477" t="s">
        <v>21668</v>
      </c>
      <c r="H1922" s="579" t="s">
        <v>15528</v>
      </c>
      <c r="I1922" s="479"/>
      <c r="J1922" s="480"/>
      <c r="K1922" s="466">
        <f>SUM(K1923:K1924)</f>
        <v>151.03450000000001</v>
      </c>
      <c r="L1922" s="480"/>
      <c r="M1922" s="466">
        <f>SUM(M1923:M1924)</f>
        <v>148.61449999999999</v>
      </c>
      <c r="O1922" s="434" t="str">
        <f t="shared" si="1287"/>
        <v xml:space="preserve">SEM VALOR</v>
      </c>
      <c r="P1922" s="435" t="str">
        <f t="shared" si="1288"/>
        <v xml:space="preserve">SEM VALOR</v>
      </c>
      <c r="AE1922" s="460">
        <v>1234</v>
      </c>
      <c r="AF1922" s="460"/>
      <c r="AH1922">
        <f t="shared" si="1276"/>
        <v>1234</v>
      </c>
    </row>
    <row r="1923" ht="45" hidden="1">
      <c r="A1923" s="217"/>
      <c r="B1923" s="217">
        <v>1234</v>
      </c>
      <c r="C1923" s="217"/>
      <c r="D1923" s="217" t="s">
        <v>20408</v>
      </c>
      <c r="E1923" s="471" t="s">
        <v>20399</v>
      </c>
      <c r="F1923" s="471">
        <v>4721</v>
      </c>
      <c r="G1923" s="535" t="s">
        <v>21669</v>
      </c>
      <c r="H1923" s="499" t="s">
        <v>15528</v>
      </c>
      <c r="I1923" s="509">
        <v>1.05</v>
      </c>
      <c r="J1923" s="473">
        <f t="shared" si="1284"/>
        <v>100.48999999999999</v>
      </c>
      <c r="K1923" s="474">
        <f t="shared" ref="K1923:K1924" si="1296">I1923*J1923</f>
        <v>105.5145</v>
      </c>
      <c r="L1923" s="473">
        <f t="shared" si="1289"/>
        <v>100.48999999999999</v>
      </c>
      <c r="M1923" s="474">
        <f t="shared" ref="M1923:M1924" si="1297">L1923*I1923</f>
        <v>105.5145</v>
      </c>
      <c r="O1923" s="434">
        <f t="shared" si="1287"/>
        <v>100.48999999999999</v>
      </c>
      <c r="P1923" s="435">
        <f t="shared" si="1288"/>
        <v>100.48999999999999</v>
      </c>
      <c r="AE1923" s="217"/>
      <c r="AF1923" s="217">
        <v>1234</v>
      </c>
      <c r="AH1923">
        <f t="shared" si="1276"/>
        <v>1234</v>
      </c>
    </row>
    <row r="1924" ht="30" hidden="1">
      <c r="A1924" s="217"/>
      <c r="B1924" s="217">
        <v>1234</v>
      </c>
      <c r="C1924" s="217"/>
      <c r="D1924" s="217" t="s">
        <v>17167</v>
      </c>
      <c r="E1924" s="471" t="s">
        <v>20402</v>
      </c>
      <c r="F1924" s="471">
        <v>88316</v>
      </c>
      <c r="G1924" s="535" t="s">
        <v>7393</v>
      </c>
      <c r="H1924" s="482" t="s">
        <v>2032</v>
      </c>
      <c r="I1924" s="509">
        <v>2</v>
      </c>
      <c r="J1924" s="473">
        <f t="shared" si="1284"/>
        <v>22.760000000000002</v>
      </c>
      <c r="K1924" s="474">
        <f t="shared" si="1296"/>
        <v>45.520000000000003</v>
      </c>
      <c r="L1924" s="473">
        <f t="shared" si="1289"/>
        <v>21.550000000000001</v>
      </c>
      <c r="M1924" s="474">
        <f t="shared" si="1297"/>
        <v>43.100000000000001</v>
      </c>
      <c r="O1924" s="434">
        <f t="shared" si="1287"/>
        <v>22.760000000000002</v>
      </c>
      <c r="P1924" s="435">
        <f t="shared" si="1288"/>
        <v>21.550000000000001</v>
      </c>
      <c r="AE1924" s="217"/>
      <c r="AF1924" s="217">
        <v>1234</v>
      </c>
      <c r="AH1924">
        <f t="shared" si="1276"/>
        <v>1234</v>
      </c>
    </row>
    <row r="1925" ht="63" hidden="1">
      <c r="A1925" s="460">
        <v>1235</v>
      </c>
      <c r="B1925" s="460">
        <v>1235</v>
      </c>
      <c r="C1925" s="460"/>
      <c r="D1925" s="460"/>
      <c r="E1925" s="461">
        <v>1</v>
      </c>
      <c r="F1925" s="462" t="s">
        <v>21670</v>
      </c>
      <c r="G1925" s="477" t="s">
        <v>21671</v>
      </c>
      <c r="H1925" s="478" t="s">
        <v>31</v>
      </c>
      <c r="I1925" s="479"/>
      <c r="J1925" s="480"/>
      <c r="K1925" s="466">
        <f>SUM(K1926:K1933)</f>
        <v>778.54051303999995</v>
      </c>
      <c r="L1925" s="480"/>
      <c r="M1925" s="466">
        <f>SUM(M1926:M1933)</f>
        <v>758.047180357</v>
      </c>
      <c r="O1925" s="434" t="str">
        <f t="shared" si="1287"/>
        <v xml:space="preserve">SEM VALOR</v>
      </c>
      <c r="P1925" s="435" t="str">
        <f t="shared" si="1288"/>
        <v xml:space="preserve">SEM VALOR</v>
      </c>
      <c r="AE1925" s="460">
        <v>1235</v>
      </c>
      <c r="AF1925" s="460">
        <v>1235</v>
      </c>
      <c r="AH1925">
        <f t="shared" si="1276"/>
        <v>1235</v>
      </c>
    </row>
    <row r="1926" ht="30" hidden="1">
      <c r="A1926" s="217"/>
      <c r="B1926" s="217">
        <v>1235</v>
      </c>
      <c r="C1926" s="217"/>
      <c r="D1926" s="217" t="s">
        <v>20408</v>
      </c>
      <c r="E1926" s="471" t="s">
        <v>20399</v>
      </c>
      <c r="F1926" s="469">
        <v>13244</v>
      </c>
      <c r="G1926" s="470" t="s">
        <v>21672</v>
      </c>
      <c r="H1926" s="499" t="s">
        <v>31</v>
      </c>
      <c r="I1926" s="483">
        <v>0.25</v>
      </c>
      <c r="J1926" s="473">
        <f t="shared" si="1284"/>
        <v>46.509999999999998</v>
      </c>
      <c r="K1926" s="474">
        <f t="shared" ref="K1926:K1933" si="1298">I1926*J1926</f>
        <v>11.6275</v>
      </c>
      <c r="L1926" s="473">
        <f t="shared" si="1289"/>
        <v>46.509999999999998</v>
      </c>
      <c r="M1926" s="474">
        <f t="shared" ref="M1926:M1933" si="1299">L1926*I1926</f>
        <v>11.6275</v>
      </c>
      <c r="O1926" s="434">
        <f t="shared" si="1287"/>
        <v>46.509999999999998</v>
      </c>
      <c r="P1926" s="435">
        <f t="shared" si="1288"/>
        <v>46.509999999999998</v>
      </c>
      <c r="AE1926" s="217"/>
      <c r="AF1926" s="217">
        <v>1235</v>
      </c>
      <c r="AH1926">
        <f t="shared" si="1276"/>
        <v>1235</v>
      </c>
    </row>
    <row r="1927" ht="30" hidden="1">
      <c r="A1927" s="217"/>
      <c r="B1927" s="217">
        <v>1235</v>
      </c>
      <c r="C1927" s="217"/>
      <c r="D1927" s="217" t="s">
        <v>20644</v>
      </c>
      <c r="E1927" s="471" t="s">
        <v>20402</v>
      </c>
      <c r="F1927" s="469" t="s">
        <v>15408</v>
      </c>
      <c r="G1927" s="470" t="s">
        <v>21673</v>
      </c>
      <c r="H1927" s="499" t="s">
        <v>31</v>
      </c>
      <c r="I1927" s="483">
        <v>6.1333000000000004e-003</v>
      </c>
      <c r="J1927" s="473">
        <f t="shared" si="1284"/>
        <v>33.649999999999999</v>
      </c>
      <c r="K1927" s="474">
        <f t="shared" si="1298"/>
        <v>0.206385545</v>
      </c>
      <c r="L1927" s="473">
        <f t="shared" si="1289"/>
        <v>33.649999999999999</v>
      </c>
      <c r="M1927" s="474">
        <f t="shared" si="1299"/>
        <v>0.206385545</v>
      </c>
      <c r="O1927" s="434">
        <f t="shared" si="1287"/>
        <v>33.649999999999999</v>
      </c>
      <c r="P1927" s="435">
        <f t="shared" si="1288"/>
        <v>33.649999999999999</v>
      </c>
      <c r="AE1927" s="217"/>
      <c r="AF1927" s="217">
        <v>1235</v>
      </c>
      <c r="AH1927">
        <f t="shared" ref="AH1927:AH1990" si="1300">IF(AF1927:AF1928=FALSE,AE1927,AF1927)</f>
        <v>1235</v>
      </c>
    </row>
    <row r="1928" ht="120" hidden="1">
      <c r="A1928" s="217"/>
      <c r="B1928" s="217">
        <v>1235</v>
      </c>
      <c r="C1928" s="217"/>
      <c r="D1928" s="217" t="s">
        <v>17167</v>
      </c>
      <c r="E1928" s="471" t="s">
        <v>20405</v>
      </c>
      <c r="F1928" s="469">
        <v>5680</v>
      </c>
      <c r="G1928" s="470" t="s">
        <v>1871</v>
      </c>
      <c r="H1928" s="499" t="s">
        <v>1535</v>
      </c>
      <c r="I1928" s="483">
        <v>0.6666666</v>
      </c>
      <c r="J1928" s="473">
        <f t="shared" si="1284"/>
        <v>144.46000000000001</v>
      </c>
      <c r="K1928" s="474">
        <f t="shared" si="1298"/>
        <v>96.306657036000004</v>
      </c>
      <c r="L1928" s="473">
        <f t="shared" si="1289"/>
        <v>142.33000000000001</v>
      </c>
      <c r="M1928" s="474">
        <f t="shared" si="1299"/>
        <v>94.886657178000007</v>
      </c>
      <c r="O1928" s="434">
        <f t="shared" si="1287"/>
        <v>144.46000000000001</v>
      </c>
      <c r="P1928" s="435">
        <f t="shared" si="1288"/>
        <v>142.33000000000001</v>
      </c>
      <c r="AE1928" s="217"/>
      <c r="AF1928" s="217">
        <v>1235</v>
      </c>
      <c r="AH1928">
        <f t="shared" si="1300"/>
        <v>1235</v>
      </c>
    </row>
    <row r="1929" ht="120" hidden="1">
      <c r="A1929" s="217"/>
      <c r="B1929" s="217">
        <v>1235</v>
      </c>
      <c r="C1929" s="217"/>
      <c r="D1929" s="217" t="s">
        <v>17167</v>
      </c>
      <c r="E1929" s="471" t="s">
        <v>20409</v>
      </c>
      <c r="F1929" s="469">
        <v>5681</v>
      </c>
      <c r="G1929" s="470" t="s">
        <v>1870</v>
      </c>
      <c r="H1929" s="499" t="s">
        <v>1533</v>
      </c>
      <c r="I1929" s="483">
        <v>0.6666666</v>
      </c>
      <c r="J1929" s="473">
        <f t="shared" si="1284"/>
        <v>63.409999999999997</v>
      </c>
      <c r="K1929" s="474">
        <f t="shared" si="1298"/>
        <v>42.273329105999998</v>
      </c>
      <c r="L1929" s="473">
        <f t="shared" si="1289"/>
        <v>61.280000000000001</v>
      </c>
      <c r="M1929" s="474">
        <f t="shared" si="1299"/>
        <v>40.853329248000001</v>
      </c>
      <c r="O1929" s="434">
        <f t="shared" si="1287"/>
        <v>63.409999999999997</v>
      </c>
      <c r="P1929" s="435">
        <f t="shared" si="1288"/>
        <v>61.280000000000001</v>
      </c>
      <c r="AE1929" s="217"/>
      <c r="AF1929" s="217">
        <v>1235</v>
      </c>
      <c r="AH1929">
        <f t="shared" si="1300"/>
        <v>1235</v>
      </c>
    </row>
    <row r="1930" ht="90" hidden="1">
      <c r="A1930" s="217"/>
      <c r="B1930" s="217">
        <v>1235</v>
      </c>
      <c r="C1930" s="217"/>
      <c r="D1930" s="217" t="s">
        <v>17167</v>
      </c>
      <c r="E1930" s="471" t="s">
        <v>20663</v>
      </c>
      <c r="F1930" s="469">
        <v>5811</v>
      </c>
      <c r="G1930" s="470" t="s">
        <v>1581</v>
      </c>
      <c r="H1930" s="499" t="s">
        <v>1535</v>
      </c>
      <c r="I1930" s="483">
        <v>0.6666666</v>
      </c>
      <c r="J1930" s="473">
        <f t="shared" si="1284"/>
        <v>219.96000000000001</v>
      </c>
      <c r="K1930" s="474">
        <f t="shared" si="1298"/>
        <v>146.639985336</v>
      </c>
      <c r="L1930" s="473">
        <f t="shared" si="1289"/>
        <v>218.28999999999999</v>
      </c>
      <c r="M1930" s="474">
        <f t="shared" si="1299"/>
        <v>145.526652114</v>
      </c>
      <c r="O1930" s="434">
        <f t="shared" si="1287"/>
        <v>219.96000000000001</v>
      </c>
      <c r="P1930" s="435">
        <f t="shared" si="1288"/>
        <v>218.28999999999999</v>
      </c>
      <c r="AE1930" s="217"/>
      <c r="AF1930" s="217">
        <v>1235</v>
      </c>
      <c r="AH1930">
        <f t="shared" si="1300"/>
        <v>1235</v>
      </c>
    </row>
    <row r="1931" ht="90" hidden="1">
      <c r="A1931" s="217"/>
      <c r="B1931" s="217">
        <v>1235</v>
      </c>
      <c r="C1931" s="217"/>
      <c r="D1931" s="217" t="s">
        <v>17167</v>
      </c>
      <c r="E1931" s="471" t="s">
        <v>20665</v>
      </c>
      <c r="F1931" s="469">
        <v>5961</v>
      </c>
      <c r="G1931" s="470" t="s">
        <v>1580</v>
      </c>
      <c r="H1931" s="499" t="s">
        <v>1533</v>
      </c>
      <c r="I1931" s="483">
        <v>0.6666666</v>
      </c>
      <c r="J1931" s="473">
        <f t="shared" si="1284"/>
        <v>63.289999999999999</v>
      </c>
      <c r="K1931" s="474">
        <f t="shared" si="1298"/>
        <v>42.193329114000001</v>
      </c>
      <c r="L1931" s="473">
        <f t="shared" si="1289"/>
        <v>61.619999999999997</v>
      </c>
      <c r="M1931" s="474">
        <f t="shared" si="1299"/>
        <v>41.079995891999999</v>
      </c>
      <c r="O1931" s="434">
        <f t="shared" si="1287"/>
        <v>63.289999999999999</v>
      </c>
      <c r="P1931" s="435">
        <f t="shared" si="1288"/>
        <v>61.619999999999997</v>
      </c>
      <c r="AE1931" s="217"/>
      <c r="AF1931" s="217">
        <v>1235</v>
      </c>
      <c r="AH1931">
        <f t="shared" si="1300"/>
        <v>1235</v>
      </c>
    </row>
    <row r="1932" ht="30" hidden="1">
      <c r="A1932" s="217"/>
      <c r="B1932" s="217">
        <v>1235</v>
      </c>
      <c r="C1932" s="217"/>
      <c r="D1932" s="217" t="s">
        <v>17167</v>
      </c>
      <c r="E1932" s="471" t="s">
        <v>20667</v>
      </c>
      <c r="F1932" s="469">
        <v>88316</v>
      </c>
      <c r="G1932" s="470" t="s">
        <v>7393</v>
      </c>
      <c r="H1932" s="499" t="s">
        <v>2032</v>
      </c>
      <c r="I1932" s="483">
        <v>10.666666599999999</v>
      </c>
      <c r="J1932" s="473">
        <f t="shared" si="1284"/>
        <v>22.760000000000002</v>
      </c>
      <c r="K1932" s="474">
        <f t="shared" si="1298"/>
        <v>242.773331816</v>
      </c>
      <c r="L1932" s="473">
        <f t="shared" si="1289"/>
        <v>21.550000000000001</v>
      </c>
      <c r="M1932" s="474">
        <f t="shared" si="1299"/>
        <v>229.86666523</v>
      </c>
      <c r="O1932" s="434">
        <f t="shared" si="1287"/>
        <v>22.760000000000002</v>
      </c>
      <c r="P1932" s="435">
        <f t="shared" si="1288"/>
        <v>21.550000000000001</v>
      </c>
      <c r="AE1932" s="217"/>
      <c r="AF1932" s="217">
        <v>1235</v>
      </c>
      <c r="AH1932">
        <f t="shared" si="1300"/>
        <v>1235</v>
      </c>
    </row>
    <row r="1933" ht="60" hidden="1">
      <c r="A1933" s="217"/>
      <c r="B1933" s="217">
        <v>1235</v>
      </c>
      <c r="C1933" s="217"/>
      <c r="D1933" s="217" t="s">
        <v>17167</v>
      </c>
      <c r="E1933" s="471" t="s">
        <v>20671</v>
      </c>
      <c r="F1933" s="469">
        <v>90692</v>
      </c>
      <c r="G1933" s="470" t="s">
        <v>1769</v>
      </c>
      <c r="H1933" s="482" t="s">
        <v>1535</v>
      </c>
      <c r="I1933" s="483">
        <v>1.3333333000000001</v>
      </c>
      <c r="J1933" s="473">
        <f t="shared" si="1284"/>
        <v>147.38999999999999</v>
      </c>
      <c r="K1933" s="474">
        <f t="shared" si="1298"/>
        <v>196.51999508699998</v>
      </c>
      <c r="L1933" s="473">
        <f t="shared" si="1289"/>
        <v>145.5</v>
      </c>
      <c r="M1933" s="474">
        <f t="shared" si="1299"/>
        <v>193.99999515000002</v>
      </c>
      <c r="O1933" s="434">
        <f t="shared" si="1287"/>
        <v>147.38999999999999</v>
      </c>
      <c r="P1933" s="435">
        <f t="shared" si="1288"/>
        <v>145.5</v>
      </c>
      <c r="AE1933" s="217"/>
      <c r="AF1933" s="217">
        <v>1235</v>
      </c>
      <c r="AH1933">
        <f t="shared" si="1300"/>
        <v>1235</v>
      </c>
    </row>
    <row r="1934" ht="45.75" hidden="1">
      <c r="A1934" s="217"/>
      <c r="B1934" s="217">
        <v>1235</v>
      </c>
      <c r="C1934" s="217"/>
      <c r="D1934" s="217"/>
      <c r="E1934" s="471"/>
      <c r="F1934" s="469"/>
      <c r="G1934" s="470" t="s">
        <v>21365</v>
      </c>
      <c r="H1934" s="486"/>
      <c r="I1934" s="483"/>
      <c r="J1934" s="577"/>
      <c r="K1934" s="474"/>
      <c r="L1934" s="577"/>
      <c r="M1934" s="474"/>
      <c r="O1934" s="434" t="str">
        <f t="shared" si="1287"/>
        <v xml:space="preserve">SEM VALOR</v>
      </c>
      <c r="P1934" s="435" t="str">
        <f t="shared" si="1288"/>
        <v xml:space="preserve">SEM VALOR</v>
      </c>
      <c r="AE1934" s="217"/>
      <c r="AF1934" s="217">
        <v>1235</v>
      </c>
      <c r="AH1934">
        <f t="shared" si="1300"/>
        <v>1235</v>
      </c>
    </row>
    <row r="1935" hidden="1">
      <c r="A1935" s="217"/>
      <c r="B1935" s="217">
        <v>1235</v>
      </c>
      <c r="C1935" s="217"/>
      <c r="D1935" s="217"/>
      <c r="E1935" s="471"/>
      <c r="F1935" s="469"/>
      <c r="G1935" s="470" t="s">
        <v>21674</v>
      </c>
      <c r="H1935" s="486"/>
      <c r="I1935" s="483"/>
      <c r="J1935" s="577"/>
      <c r="K1935" s="474"/>
      <c r="L1935" s="577"/>
      <c r="M1935" s="474"/>
      <c r="O1935" s="434" t="str">
        <f t="shared" si="1287"/>
        <v xml:space="preserve">SEM VALOR</v>
      </c>
      <c r="P1935" s="435" t="str">
        <f t="shared" si="1288"/>
        <v xml:space="preserve">SEM VALOR</v>
      </c>
      <c r="AE1935" s="217"/>
      <c r="AF1935" s="217">
        <v>1235</v>
      </c>
      <c r="AH1935">
        <f t="shared" si="1300"/>
        <v>1235</v>
      </c>
    </row>
    <row r="1936" ht="116.25" hidden="1" customHeight="1">
      <c r="A1936" s="460">
        <v>1236</v>
      </c>
      <c r="B1936" s="460">
        <v>1236</v>
      </c>
      <c r="C1936" s="460"/>
      <c r="D1936" s="460"/>
      <c r="E1936" s="461">
        <v>1</v>
      </c>
      <c r="F1936" s="462" t="s">
        <v>21675</v>
      </c>
      <c r="G1936" s="477" t="s">
        <v>21676</v>
      </c>
      <c r="H1936" s="579" t="s">
        <v>31</v>
      </c>
      <c r="I1936" s="479"/>
      <c r="J1936" s="480"/>
      <c r="K1936" s="466">
        <f>SUM(K1937:K1942)</f>
        <v>1436.91355</v>
      </c>
      <c r="L1936" s="480"/>
      <c r="M1936" s="466">
        <f>SUM(M1937:M1942)</f>
        <v>1409.8384625000001</v>
      </c>
      <c r="N1936" s="467" t="s">
        <v>21677</v>
      </c>
      <c r="O1936" s="434" t="str">
        <f t="shared" si="1287"/>
        <v xml:space="preserve">SEM VALOR</v>
      </c>
      <c r="P1936" s="435" t="str">
        <f t="shared" si="1288"/>
        <v xml:space="preserve">SEM VALOR</v>
      </c>
      <c r="AE1936" s="460">
        <v>1236</v>
      </c>
      <c r="AF1936" s="460"/>
      <c r="AH1936">
        <f t="shared" si="1300"/>
        <v>1236</v>
      </c>
    </row>
    <row r="1937" ht="105" hidden="1">
      <c r="A1937" s="217"/>
      <c r="B1937" s="217">
        <v>1236</v>
      </c>
      <c r="C1937" s="217"/>
      <c r="D1937" s="217" t="s">
        <v>17167</v>
      </c>
      <c r="E1937" s="471" t="s">
        <v>20399</v>
      </c>
      <c r="F1937" s="486">
        <v>5928</v>
      </c>
      <c r="G1937" s="470" t="s">
        <v>1739</v>
      </c>
      <c r="H1937" s="482" t="s">
        <v>1535</v>
      </c>
      <c r="I1937" s="483">
        <v>0.10000000000000001</v>
      </c>
      <c r="J1937" s="473">
        <f t="shared" si="1284"/>
        <v>298.70999999999998</v>
      </c>
      <c r="K1937" s="474">
        <f t="shared" ref="K1937:K1942" si="1301">I1937*J1937</f>
        <v>29.870999999999999</v>
      </c>
      <c r="L1937" s="473">
        <f t="shared" si="1289"/>
        <v>296.98000000000002</v>
      </c>
      <c r="M1937" s="474">
        <f t="shared" ref="M1937:M1942" si="1302">L1937*I1937</f>
        <v>29.698000000000004</v>
      </c>
      <c r="O1937" s="434">
        <f t="shared" si="1287"/>
        <v>298.70999999999998</v>
      </c>
      <c r="P1937" s="435">
        <f t="shared" si="1288"/>
        <v>296.98000000000002</v>
      </c>
      <c r="AE1937" s="217"/>
      <c r="AF1937" s="217">
        <v>1236</v>
      </c>
      <c r="AH1937">
        <f t="shared" si="1300"/>
        <v>1236</v>
      </c>
    </row>
    <row r="1938" ht="75" hidden="1">
      <c r="A1938" s="217"/>
      <c r="B1938" s="217">
        <v>1236</v>
      </c>
      <c r="C1938" s="217"/>
      <c r="D1938" s="217" t="s">
        <v>17167</v>
      </c>
      <c r="E1938" s="471" t="s">
        <v>20402</v>
      </c>
      <c r="F1938" s="486">
        <v>96542</v>
      </c>
      <c r="G1938" s="470" t="s">
        <v>20761</v>
      </c>
      <c r="H1938" s="482" t="s">
        <v>15515</v>
      </c>
      <c r="I1938" s="483">
        <v>3.8700000000000001</v>
      </c>
      <c r="J1938" s="473">
        <f t="shared" si="1284"/>
        <v>92.189999999999998</v>
      </c>
      <c r="K1938" s="474">
        <f t="shared" si="1301"/>
        <v>356.77530000000002</v>
      </c>
      <c r="L1938" s="473">
        <f t="shared" si="1289"/>
        <v>88.370000000000005</v>
      </c>
      <c r="M1938" s="474">
        <f t="shared" si="1302"/>
        <v>341.99190000000004</v>
      </c>
      <c r="O1938" s="434">
        <f t="shared" si="1287"/>
        <v>92.189999999999998</v>
      </c>
      <c r="P1938" s="435">
        <f t="shared" si="1288"/>
        <v>88.370000000000005</v>
      </c>
      <c r="AE1938" s="217"/>
      <c r="AF1938" s="217">
        <v>1236</v>
      </c>
      <c r="AH1938">
        <f t="shared" si="1300"/>
        <v>1236</v>
      </c>
    </row>
    <row r="1939" ht="45" hidden="1">
      <c r="A1939" s="217"/>
      <c r="B1939" s="217">
        <v>1236</v>
      </c>
      <c r="C1939" s="217"/>
      <c r="D1939" s="217" t="s">
        <v>17167</v>
      </c>
      <c r="E1939" s="471" t="s">
        <v>20405</v>
      </c>
      <c r="F1939" s="486">
        <v>96546</v>
      </c>
      <c r="G1939" s="470" t="s">
        <v>21133</v>
      </c>
      <c r="H1939" s="482" t="s">
        <v>302</v>
      </c>
      <c r="I1939" s="483">
        <v>10.59</v>
      </c>
      <c r="J1939" s="473">
        <f t="shared" si="1284"/>
        <v>13.77</v>
      </c>
      <c r="K1939" s="474">
        <f t="shared" si="1301"/>
        <v>145.82429999999999</v>
      </c>
      <c r="L1939" s="473">
        <f t="shared" si="1289"/>
        <v>13.51</v>
      </c>
      <c r="M1939" s="474">
        <f t="shared" si="1302"/>
        <v>143.07089999999999</v>
      </c>
      <c r="O1939" s="434">
        <f t="shared" si="1287"/>
        <v>13.77</v>
      </c>
      <c r="P1939" s="435">
        <f t="shared" si="1288"/>
        <v>13.51</v>
      </c>
      <c r="AE1939" s="217"/>
      <c r="AF1939" s="217">
        <v>1236</v>
      </c>
      <c r="AH1939">
        <f t="shared" si="1300"/>
        <v>1236</v>
      </c>
    </row>
    <row r="1940" ht="60" hidden="1">
      <c r="A1940" s="217"/>
      <c r="B1940" s="217">
        <v>1236</v>
      </c>
      <c r="C1940" s="217"/>
      <c r="D1940" s="217" t="s">
        <v>17167</v>
      </c>
      <c r="E1940" s="471" t="s">
        <v>20409</v>
      </c>
      <c r="F1940" s="486">
        <v>94964</v>
      </c>
      <c r="G1940" s="470" t="s">
        <v>8711</v>
      </c>
      <c r="H1940" s="482" t="s">
        <v>15528</v>
      </c>
      <c r="I1940" s="483">
        <v>0.67500000000000004</v>
      </c>
      <c r="J1940" s="473">
        <f t="shared" si="1284"/>
        <v>488.52999999999997</v>
      </c>
      <c r="K1940" s="474">
        <f t="shared" si="1301"/>
        <v>329.75774999999999</v>
      </c>
      <c r="L1940" s="473">
        <f t="shared" si="1289"/>
        <v>482.79000000000002</v>
      </c>
      <c r="M1940" s="474">
        <f t="shared" si="1302"/>
        <v>325.88325000000003</v>
      </c>
      <c r="O1940" s="434">
        <f t="shared" si="1287"/>
        <v>488.52999999999997</v>
      </c>
      <c r="P1940" s="435">
        <f t="shared" si="1288"/>
        <v>482.79000000000002</v>
      </c>
      <c r="AE1940" s="217"/>
      <c r="AF1940" s="217">
        <v>1236</v>
      </c>
      <c r="AH1940">
        <f t="shared" si="1300"/>
        <v>1236</v>
      </c>
    </row>
    <row r="1941" ht="45" hidden="1">
      <c r="A1941" s="217"/>
      <c r="B1941" s="217">
        <v>1236</v>
      </c>
      <c r="C1941" s="217"/>
      <c r="D1941" s="217" t="s">
        <v>20398</v>
      </c>
      <c r="E1941" s="471" t="s">
        <v>20663</v>
      </c>
      <c r="F1941" s="486">
        <v>1000</v>
      </c>
      <c r="G1941" s="470" t="s">
        <v>21678</v>
      </c>
      <c r="H1941" s="482" t="s">
        <v>15528</v>
      </c>
      <c r="I1941" s="483">
        <v>0.67500000000000004</v>
      </c>
      <c r="J1941" s="473">
        <f t="shared" si="1284"/>
        <v>149.904</v>
      </c>
      <c r="K1941" s="474">
        <f t="shared" si="1301"/>
        <v>101.18520000000001</v>
      </c>
      <c r="L1941" s="473">
        <f t="shared" si="1289"/>
        <v>141.76949999999999</v>
      </c>
      <c r="M1941" s="474">
        <f t="shared" si="1302"/>
        <v>95.694412499999999</v>
      </c>
      <c r="O1941" s="434">
        <f t="shared" si="1287"/>
        <v>149.904</v>
      </c>
      <c r="P1941" s="435">
        <f t="shared" si="1288"/>
        <v>141.76949999999999</v>
      </c>
      <c r="AE1941" s="217"/>
      <c r="AF1941" s="217">
        <v>1236</v>
      </c>
      <c r="AH1941">
        <f t="shared" si="1300"/>
        <v>1236</v>
      </c>
    </row>
    <row r="1942" ht="75" hidden="1">
      <c r="A1942" s="217"/>
      <c r="B1942" s="217">
        <v>1236</v>
      </c>
      <c r="C1942" s="217"/>
      <c r="D1942" s="217" t="s">
        <v>20453</v>
      </c>
      <c r="E1942" s="471" t="s">
        <v>20665</v>
      </c>
      <c r="F1942" s="486" t="s">
        <v>20113</v>
      </c>
      <c r="G1942" s="470" t="s">
        <v>20114</v>
      </c>
      <c r="H1942" s="482" t="s">
        <v>302</v>
      </c>
      <c r="I1942" s="483">
        <v>1</v>
      </c>
      <c r="J1942" s="473">
        <f t="shared" si="1284"/>
        <v>473.5</v>
      </c>
      <c r="K1942" s="474">
        <f t="shared" si="1301"/>
        <v>473.5</v>
      </c>
      <c r="L1942" s="473">
        <f t="shared" si="1289"/>
        <v>473.5</v>
      </c>
      <c r="M1942" s="474">
        <f t="shared" si="1302"/>
        <v>473.5</v>
      </c>
      <c r="O1942" s="434">
        <f t="shared" si="1287"/>
        <v>473.5</v>
      </c>
      <c r="P1942" s="435">
        <f t="shared" si="1288"/>
        <v>473.5</v>
      </c>
      <c r="AE1942" s="217"/>
      <c r="AF1942" s="217">
        <v>1236</v>
      </c>
      <c r="AH1942">
        <f t="shared" si="1300"/>
        <v>1236</v>
      </c>
    </row>
    <row r="1943" ht="126" hidden="1">
      <c r="A1943" s="460">
        <v>1237</v>
      </c>
      <c r="B1943" s="460">
        <v>1237</v>
      </c>
      <c r="C1943" s="460"/>
      <c r="D1943" s="460"/>
      <c r="E1943" s="461">
        <v>1</v>
      </c>
      <c r="F1943" s="462" t="s">
        <v>21679</v>
      </c>
      <c r="G1943" s="477" t="s">
        <v>21680</v>
      </c>
      <c r="H1943" s="579" t="s">
        <v>31</v>
      </c>
      <c r="I1943" s="479"/>
      <c r="J1943" s="480"/>
      <c r="K1943" s="466">
        <f>SUM(K1944:K1950)</f>
        <v>1551.3502579999997</v>
      </c>
      <c r="L1943" s="480"/>
      <c r="M1943" s="466">
        <f>SUM(M1944:M1950)</f>
        <v>1504.4706474999998</v>
      </c>
      <c r="N1943" s="589" t="s">
        <v>21677</v>
      </c>
      <c r="O1943" s="434" t="str">
        <f t="shared" si="1287"/>
        <v xml:space="preserve">SEM VALOR</v>
      </c>
      <c r="P1943" s="435" t="str">
        <f t="shared" si="1288"/>
        <v xml:space="preserve">SEM VALOR</v>
      </c>
      <c r="AE1943" s="460">
        <v>1237</v>
      </c>
      <c r="AF1943" s="460"/>
      <c r="AH1943">
        <f t="shared" si="1300"/>
        <v>1237</v>
      </c>
    </row>
    <row r="1944" ht="30" hidden="1">
      <c r="A1944" s="217"/>
      <c r="B1944" s="217">
        <v>1237</v>
      </c>
      <c r="C1944" s="217"/>
      <c r="D1944" s="217" t="s">
        <v>20398</v>
      </c>
      <c r="E1944" s="471" t="s">
        <v>20399</v>
      </c>
      <c r="F1944" s="482">
        <v>1003</v>
      </c>
      <c r="G1944" s="470" t="s">
        <v>20659</v>
      </c>
      <c r="H1944" s="471" t="s">
        <v>20647</v>
      </c>
      <c r="I1944" s="472">
        <v>1</v>
      </c>
      <c r="J1944" s="473">
        <f t="shared" si="1284"/>
        <v>654.70647199999996</v>
      </c>
      <c r="K1944" s="474">
        <f t="shared" ref="K1944:K1950" si="1303">I1944*J1944</f>
        <v>654.70647199999996</v>
      </c>
      <c r="L1944" s="473">
        <f t="shared" si="1289"/>
        <v>633.82447200000001</v>
      </c>
      <c r="M1944" s="474">
        <f t="shared" ref="M1944:M1950" si="1304">L1944*I1944</f>
        <v>633.82447200000001</v>
      </c>
      <c r="O1944" s="434">
        <f t="shared" si="1287"/>
        <v>654.70647199999996</v>
      </c>
      <c r="P1944" s="435">
        <f t="shared" si="1288"/>
        <v>633.82447200000001</v>
      </c>
      <c r="AE1944" s="217"/>
      <c r="AF1944" s="217">
        <v>1237</v>
      </c>
      <c r="AH1944">
        <f t="shared" si="1300"/>
        <v>1237</v>
      </c>
    </row>
    <row r="1945" ht="105" hidden="1">
      <c r="A1945" s="217"/>
      <c r="B1945" s="217">
        <v>1237</v>
      </c>
      <c r="C1945" s="217"/>
      <c r="D1945" s="217" t="s">
        <v>17167</v>
      </c>
      <c r="E1945" s="471" t="s">
        <v>20402</v>
      </c>
      <c r="F1945" s="482">
        <v>5928</v>
      </c>
      <c r="G1945" s="470" t="s">
        <v>1739</v>
      </c>
      <c r="H1945" s="471" t="s">
        <v>1535</v>
      </c>
      <c r="I1945" s="472">
        <v>0.10000000000000001</v>
      </c>
      <c r="J1945" s="473">
        <f t="shared" si="1284"/>
        <v>298.70999999999998</v>
      </c>
      <c r="K1945" s="474">
        <f t="shared" si="1303"/>
        <v>29.870999999999999</v>
      </c>
      <c r="L1945" s="473">
        <f t="shared" si="1289"/>
        <v>296.98000000000002</v>
      </c>
      <c r="M1945" s="474">
        <f t="shared" si="1304"/>
        <v>29.698000000000004</v>
      </c>
      <c r="O1945" s="434">
        <f t="shared" si="1287"/>
        <v>298.70999999999998</v>
      </c>
      <c r="P1945" s="435">
        <f t="shared" si="1288"/>
        <v>296.98000000000002</v>
      </c>
      <c r="AE1945" s="217"/>
      <c r="AF1945" s="217">
        <v>1237</v>
      </c>
      <c r="AH1945">
        <f t="shared" si="1300"/>
        <v>1237</v>
      </c>
    </row>
    <row r="1946" ht="45" hidden="1">
      <c r="A1946" s="217"/>
      <c r="B1946" s="217">
        <v>1237</v>
      </c>
      <c r="C1946" s="217"/>
      <c r="D1946" s="217" t="s">
        <v>20398</v>
      </c>
      <c r="E1946" s="471" t="s">
        <v>20405</v>
      </c>
      <c r="F1946" s="482">
        <v>1000</v>
      </c>
      <c r="G1946" s="470" t="s">
        <v>20651</v>
      </c>
      <c r="H1946" s="472" t="s">
        <v>15528</v>
      </c>
      <c r="I1946" s="472">
        <v>0.72899999999999998</v>
      </c>
      <c r="J1946" s="473">
        <f t="shared" si="1284"/>
        <v>149.904</v>
      </c>
      <c r="K1946" s="474">
        <f t="shared" si="1303"/>
        <v>109.28001599999999</v>
      </c>
      <c r="L1946" s="473">
        <f t="shared" si="1289"/>
        <v>141.76949999999999</v>
      </c>
      <c r="M1946" s="474">
        <f t="shared" si="1304"/>
        <v>103.3499655</v>
      </c>
      <c r="O1946" s="434">
        <f t="shared" si="1287"/>
        <v>149.904</v>
      </c>
      <c r="P1946" s="435">
        <f t="shared" si="1288"/>
        <v>141.76949999999999</v>
      </c>
      <c r="AE1946" s="217"/>
      <c r="AF1946" s="217">
        <v>1237</v>
      </c>
      <c r="AH1946">
        <f t="shared" si="1300"/>
        <v>1237</v>
      </c>
    </row>
    <row r="1947" ht="75" hidden="1">
      <c r="A1947" s="217"/>
      <c r="B1947" s="217">
        <v>1237</v>
      </c>
      <c r="C1947" s="217"/>
      <c r="D1947" s="217" t="s">
        <v>17167</v>
      </c>
      <c r="E1947" s="471" t="s">
        <v>20409</v>
      </c>
      <c r="F1947" s="482">
        <v>96542</v>
      </c>
      <c r="G1947" s="470" t="s">
        <v>20761</v>
      </c>
      <c r="H1947" s="472" t="s">
        <v>15515</v>
      </c>
      <c r="I1947" s="472">
        <v>3.6200000000000001</v>
      </c>
      <c r="J1947" s="473">
        <f t="shared" si="1284"/>
        <v>92.189999999999998</v>
      </c>
      <c r="K1947" s="474">
        <f t="shared" si="1303"/>
        <v>333.7278</v>
      </c>
      <c r="L1947" s="473">
        <f t="shared" si="1289"/>
        <v>88.370000000000005</v>
      </c>
      <c r="M1947" s="474">
        <f t="shared" si="1304"/>
        <v>319.89940000000001</v>
      </c>
      <c r="O1947" s="434">
        <f t="shared" si="1287"/>
        <v>92.189999999999998</v>
      </c>
      <c r="P1947" s="435">
        <f t="shared" si="1288"/>
        <v>88.370000000000005</v>
      </c>
      <c r="AE1947" s="217"/>
      <c r="AF1947" s="217">
        <v>1237</v>
      </c>
      <c r="AH1947">
        <f t="shared" si="1300"/>
        <v>1237</v>
      </c>
    </row>
    <row r="1948" ht="45" hidden="1">
      <c r="A1948" s="217"/>
      <c r="B1948" s="217">
        <v>1237</v>
      </c>
      <c r="C1948" s="217"/>
      <c r="D1948" s="217" t="s">
        <v>17167</v>
      </c>
      <c r="E1948" s="471" t="s">
        <v>20663</v>
      </c>
      <c r="F1948" s="482">
        <v>96543</v>
      </c>
      <c r="G1948" s="470" t="s">
        <v>20676</v>
      </c>
      <c r="H1948" s="472" t="s">
        <v>302</v>
      </c>
      <c r="I1948" s="472">
        <v>0.92000000000000004</v>
      </c>
      <c r="J1948" s="473">
        <f t="shared" si="1284"/>
        <v>19.829999999999998</v>
      </c>
      <c r="K1948" s="474">
        <f t="shared" si="1303"/>
        <v>18.243600000000001</v>
      </c>
      <c r="L1948" s="473">
        <f t="shared" si="1289"/>
        <v>19.210000000000001</v>
      </c>
      <c r="M1948" s="474">
        <f t="shared" si="1304"/>
        <v>17.673200000000001</v>
      </c>
      <c r="O1948" s="434">
        <f t="shared" si="1287"/>
        <v>19.829999999999998</v>
      </c>
      <c r="P1948" s="435">
        <f t="shared" si="1288"/>
        <v>19.210000000000001</v>
      </c>
      <c r="AE1948" s="217"/>
      <c r="AF1948" s="217">
        <v>1237</v>
      </c>
      <c r="AH1948">
        <f t="shared" si="1300"/>
        <v>1237</v>
      </c>
    </row>
    <row r="1949" ht="45" hidden="1">
      <c r="A1949" s="217"/>
      <c r="B1949" s="217">
        <v>1237</v>
      </c>
      <c r="C1949" s="217"/>
      <c r="D1949" s="217" t="s">
        <v>17167</v>
      </c>
      <c r="E1949" s="471" t="s">
        <v>20665</v>
      </c>
      <c r="F1949" s="489">
        <v>96544</v>
      </c>
      <c r="G1949" s="470" t="s">
        <v>20763</v>
      </c>
      <c r="H1949" s="471" t="s">
        <v>302</v>
      </c>
      <c r="I1949" s="472">
        <v>2.79</v>
      </c>
      <c r="J1949" s="473">
        <f t="shared" si="1284"/>
        <v>17.699999999999999</v>
      </c>
      <c r="K1949" s="474">
        <f t="shared" si="1303"/>
        <v>49.382999999999996</v>
      </c>
      <c r="L1949" s="473">
        <f t="shared" si="1289"/>
        <v>17.23</v>
      </c>
      <c r="M1949" s="474">
        <f t="shared" si="1304"/>
        <v>48.0717</v>
      </c>
      <c r="O1949" s="434">
        <f t="shared" si="1287"/>
        <v>17.699999999999999</v>
      </c>
      <c r="P1949" s="435">
        <f t="shared" si="1288"/>
        <v>17.23</v>
      </c>
      <c r="AE1949" s="217"/>
      <c r="AF1949" s="217">
        <v>1237</v>
      </c>
      <c r="AH1949">
        <f t="shared" si="1300"/>
        <v>1237</v>
      </c>
    </row>
    <row r="1950" ht="60" hidden="1">
      <c r="A1950" s="217"/>
      <c r="B1950" s="217">
        <v>1237</v>
      </c>
      <c r="C1950" s="217"/>
      <c r="D1950" s="217" t="s">
        <v>17167</v>
      </c>
      <c r="E1950" s="471" t="s">
        <v>20667</v>
      </c>
      <c r="F1950" s="489">
        <v>94964</v>
      </c>
      <c r="G1950" s="470" t="s">
        <v>20686</v>
      </c>
      <c r="H1950" s="471" t="s">
        <v>15528</v>
      </c>
      <c r="I1950" s="472">
        <v>0.72899999999999998</v>
      </c>
      <c r="J1950" s="473">
        <f t="shared" ref="J1950:J2013" si="1305">O1950*$J$3</f>
        <v>488.52999999999997</v>
      </c>
      <c r="K1950" s="474">
        <f t="shared" si="1303"/>
        <v>356.13836999999995</v>
      </c>
      <c r="L1950" s="473">
        <f t="shared" si="1289"/>
        <v>482.79000000000002</v>
      </c>
      <c r="M1950" s="474">
        <f t="shared" si="1304"/>
        <v>351.95391000000001</v>
      </c>
      <c r="O1950" s="434">
        <f t="shared" si="1287"/>
        <v>488.52999999999997</v>
      </c>
      <c r="P1950" s="435">
        <f t="shared" si="1288"/>
        <v>482.79000000000002</v>
      </c>
      <c r="AE1950" s="217"/>
      <c r="AF1950" s="217">
        <v>1237</v>
      </c>
      <c r="AH1950">
        <f t="shared" si="1300"/>
        <v>1237</v>
      </c>
    </row>
    <row r="1951" ht="126" hidden="1">
      <c r="A1951" s="460">
        <v>1238</v>
      </c>
      <c r="B1951" s="460">
        <v>1238</v>
      </c>
      <c r="C1951" s="460"/>
      <c r="D1951" s="460"/>
      <c r="E1951" s="461">
        <v>1</v>
      </c>
      <c r="F1951" s="462" t="s">
        <v>21681</v>
      </c>
      <c r="G1951" s="477" t="s">
        <v>21682</v>
      </c>
      <c r="H1951" s="579" t="s">
        <v>31</v>
      </c>
      <c r="I1951" s="479"/>
      <c r="J1951" s="480"/>
      <c r="K1951" s="466">
        <f>SUM(K1952:K1959)</f>
        <v>2889.3408919999993</v>
      </c>
      <c r="L1951" s="480"/>
      <c r="M1951" s="466">
        <f>SUM(M1952:M1959)</f>
        <v>2801.3158280000007</v>
      </c>
      <c r="N1951" s="589" t="s">
        <v>21677</v>
      </c>
      <c r="O1951" s="434" t="str">
        <f t="shared" si="1287"/>
        <v xml:space="preserve">SEM VALOR</v>
      </c>
      <c r="P1951" s="435" t="str">
        <f t="shared" si="1288"/>
        <v xml:space="preserve">SEM VALOR</v>
      </c>
      <c r="AE1951" s="460">
        <v>1238</v>
      </c>
      <c r="AF1951" s="460"/>
      <c r="AH1951">
        <f t="shared" si="1300"/>
        <v>1238</v>
      </c>
    </row>
    <row r="1952" ht="30" hidden="1">
      <c r="A1952" s="217"/>
      <c r="B1952" s="217">
        <v>1238</v>
      </c>
      <c r="C1952" s="217"/>
      <c r="D1952" s="217" t="s">
        <v>20398</v>
      </c>
      <c r="E1952" s="471" t="s">
        <v>20399</v>
      </c>
      <c r="F1952" s="482">
        <v>1003</v>
      </c>
      <c r="G1952" s="470" t="s">
        <v>20659</v>
      </c>
      <c r="H1952" s="471" t="s">
        <v>20647</v>
      </c>
      <c r="I1952" s="472">
        <v>2</v>
      </c>
      <c r="J1952" s="473">
        <f t="shared" si="1305"/>
        <v>654.70647199999996</v>
      </c>
      <c r="K1952" s="474">
        <f t="shared" ref="K1952:K1959" si="1306">I1952*J1952</f>
        <v>1309.4129439999999</v>
      </c>
      <c r="L1952" s="473">
        <f t="shared" si="1289"/>
        <v>633.82447200000001</v>
      </c>
      <c r="M1952" s="474">
        <f t="shared" ref="M1952:M1959" si="1307">L1952*I1952</f>
        <v>1267.648944</v>
      </c>
      <c r="O1952" s="434">
        <f t="shared" si="1287"/>
        <v>654.70647199999996</v>
      </c>
      <c r="P1952" s="435">
        <f t="shared" si="1288"/>
        <v>633.82447200000001</v>
      </c>
      <c r="AE1952" s="217"/>
      <c r="AF1952" s="217">
        <v>1238</v>
      </c>
      <c r="AH1952">
        <f t="shared" si="1300"/>
        <v>1238</v>
      </c>
    </row>
    <row r="1953" ht="105" hidden="1">
      <c r="A1953" s="217"/>
      <c r="B1953" s="217">
        <v>1238</v>
      </c>
      <c r="C1953" s="217"/>
      <c r="D1953" s="217" t="s">
        <v>17167</v>
      </c>
      <c r="E1953" s="471" t="s">
        <v>20402</v>
      </c>
      <c r="F1953" s="482">
        <v>5928</v>
      </c>
      <c r="G1953" s="470" t="s">
        <v>1739</v>
      </c>
      <c r="H1953" s="471" t="s">
        <v>1535</v>
      </c>
      <c r="I1953" s="472">
        <v>0.10000000000000001</v>
      </c>
      <c r="J1953" s="473">
        <f t="shared" si="1305"/>
        <v>298.70999999999998</v>
      </c>
      <c r="K1953" s="474">
        <f t="shared" si="1306"/>
        <v>29.870999999999999</v>
      </c>
      <c r="L1953" s="473">
        <f t="shared" si="1289"/>
        <v>296.98000000000002</v>
      </c>
      <c r="M1953" s="474">
        <f t="shared" si="1307"/>
        <v>29.698000000000004</v>
      </c>
      <c r="O1953" s="434">
        <f t="shared" si="1287"/>
        <v>298.70999999999998</v>
      </c>
      <c r="P1953" s="435">
        <f t="shared" si="1288"/>
        <v>296.98000000000002</v>
      </c>
      <c r="AE1953" s="217"/>
      <c r="AF1953" s="217">
        <v>1238</v>
      </c>
      <c r="AH1953">
        <f t="shared" si="1300"/>
        <v>1238</v>
      </c>
    </row>
    <row r="1954" ht="45" hidden="1">
      <c r="A1954" s="217"/>
      <c r="B1954" s="217">
        <v>1238</v>
      </c>
      <c r="C1954" s="217"/>
      <c r="D1954" s="217" t="s">
        <v>20398</v>
      </c>
      <c r="E1954" s="471" t="s">
        <v>20405</v>
      </c>
      <c r="F1954" s="482">
        <v>1000</v>
      </c>
      <c r="G1954" s="470" t="s">
        <v>20651</v>
      </c>
      <c r="H1954" s="472" t="s">
        <v>15528</v>
      </c>
      <c r="I1954" s="472">
        <v>1.272</v>
      </c>
      <c r="J1954" s="473">
        <f t="shared" si="1305"/>
        <v>149.904</v>
      </c>
      <c r="K1954" s="474">
        <f t="shared" si="1306"/>
        <v>190.677888</v>
      </c>
      <c r="L1954" s="473">
        <f t="shared" si="1289"/>
        <v>141.76949999999999</v>
      </c>
      <c r="M1954" s="474">
        <f t="shared" si="1307"/>
        <v>180.330804</v>
      </c>
      <c r="O1954" s="434">
        <f t="shared" si="1287"/>
        <v>149.904</v>
      </c>
      <c r="P1954" s="435">
        <f t="shared" si="1288"/>
        <v>141.76949999999999</v>
      </c>
      <c r="AE1954" s="217"/>
      <c r="AF1954" s="217">
        <v>1238</v>
      </c>
      <c r="AH1954">
        <f t="shared" si="1300"/>
        <v>1238</v>
      </c>
    </row>
    <row r="1955" ht="75" hidden="1">
      <c r="A1955" s="217"/>
      <c r="B1955" s="217">
        <v>1238</v>
      </c>
      <c r="C1955" s="217"/>
      <c r="D1955" s="217" t="s">
        <v>17167</v>
      </c>
      <c r="E1955" s="471" t="s">
        <v>20409</v>
      </c>
      <c r="F1955" s="482">
        <v>96542</v>
      </c>
      <c r="G1955" s="470" t="s">
        <v>20761</v>
      </c>
      <c r="H1955" s="472" t="s">
        <v>15515</v>
      </c>
      <c r="I1955" s="472">
        <v>6.3600000000000003</v>
      </c>
      <c r="J1955" s="473">
        <f t="shared" si="1305"/>
        <v>92.189999999999998</v>
      </c>
      <c r="K1955" s="474">
        <f t="shared" si="1306"/>
        <v>586.32839999999999</v>
      </c>
      <c r="L1955" s="473">
        <f t="shared" si="1289"/>
        <v>88.370000000000005</v>
      </c>
      <c r="M1955" s="474">
        <f t="shared" si="1307"/>
        <v>562.03320000000008</v>
      </c>
      <c r="O1955" s="434">
        <f t="shared" si="1287"/>
        <v>92.189999999999998</v>
      </c>
      <c r="P1955" s="435">
        <f t="shared" si="1288"/>
        <v>88.370000000000005</v>
      </c>
      <c r="AE1955" s="217"/>
      <c r="AF1955" s="217">
        <v>1238</v>
      </c>
      <c r="AH1955">
        <f t="shared" si="1300"/>
        <v>1238</v>
      </c>
    </row>
    <row r="1956" ht="45" hidden="1">
      <c r="A1956" s="217"/>
      <c r="B1956" s="217">
        <v>1238</v>
      </c>
      <c r="C1956" s="217"/>
      <c r="D1956" s="217" t="s">
        <v>17167</v>
      </c>
      <c r="E1956" s="471" t="s">
        <v>20663</v>
      </c>
      <c r="F1956" s="482">
        <v>96543</v>
      </c>
      <c r="G1956" s="470" t="s">
        <v>20676</v>
      </c>
      <c r="H1956" s="472" t="s">
        <v>302</v>
      </c>
      <c r="I1956" s="472">
        <v>2.5299999999999998</v>
      </c>
      <c r="J1956" s="473">
        <f t="shared" si="1305"/>
        <v>19.829999999999998</v>
      </c>
      <c r="K1956" s="474">
        <f t="shared" si="1306"/>
        <v>50.169899999999991</v>
      </c>
      <c r="L1956" s="473">
        <f t="shared" si="1289"/>
        <v>19.210000000000001</v>
      </c>
      <c r="M1956" s="474">
        <f t="shared" si="1307"/>
        <v>48.601300000000002</v>
      </c>
      <c r="O1956" s="434">
        <f t="shared" si="1287"/>
        <v>19.829999999999998</v>
      </c>
      <c r="P1956" s="435">
        <f t="shared" si="1288"/>
        <v>19.210000000000001</v>
      </c>
      <c r="AE1956" s="217"/>
      <c r="AF1956" s="217">
        <v>1238</v>
      </c>
      <c r="AH1956">
        <f t="shared" si="1300"/>
        <v>1238</v>
      </c>
    </row>
    <row r="1957" ht="45" hidden="1">
      <c r="A1957" s="217"/>
      <c r="B1957" s="217">
        <v>1238</v>
      </c>
      <c r="C1957" s="217"/>
      <c r="D1957" s="217" t="s">
        <v>17167</v>
      </c>
      <c r="E1957" s="471" t="s">
        <v>20665</v>
      </c>
      <c r="F1957" s="489">
        <v>96544</v>
      </c>
      <c r="G1957" s="470" t="s">
        <v>20763</v>
      </c>
      <c r="H1957" s="472" t="s">
        <v>302</v>
      </c>
      <c r="I1957" s="472">
        <v>4.4100000000000001</v>
      </c>
      <c r="J1957" s="473">
        <f t="shared" si="1305"/>
        <v>17.699999999999999</v>
      </c>
      <c r="K1957" s="474">
        <f t="shared" si="1306"/>
        <v>78.057000000000002</v>
      </c>
      <c r="L1957" s="473">
        <f t="shared" si="1289"/>
        <v>17.23</v>
      </c>
      <c r="M1957" s="474">
        <f t="shared" si="1307"/>
        <v>75.984300000000005</v>
      </c>
      <c r="O1957" s="434">
        <f t="shared" si="1287"/>
        <v>17.699999999999999</v>
      </c>
      <c r="P1957" s="435">
        <f t="shared" si="1288"/>
        <v>17.23</v>
      </c>
      <c r="AE1957" s="217"/>
      <c r="AF1957" s="217">
        <v>1238</v>
      </c>
      <c r="AH1957">
        <f t="shared" si="1300"/>
        <v>1238</v>
      </c>
    </row>
    <row r="1958" ht="45" hidden="1">
      <c r="A1958" s="217"/>
      <c r="B1958" s="217">
        <v>1238</v>
      </c>
      <c r="C1958" s="217"/>
      <c r="D1958" s="217" t="s">
        <v>17167</v>
      </c>
      <c r="E1958" s="471" t="s">
        <v>20667</v>
      </c>
      <c r="F1958" s="489">
        <v>96545</v>
      </c>
      <c r="G1958" s="470" t="s">
        <v>20678</v>
      </c>
      <c r="H1958" s="472" t="s">
        <v>302</v>
      </c>
      <c r="I1958" s="472">
        <v>1.48</v>
      </c>
      <c r="J1958" s="473">
        <f t="shared" si="1305"/>
        <v>15.82</v>
      </c>
      <c r="K1958" s="474">
        <f t="shared" si="1306"/>
        <v>23.413599999999999</v>
      </c>
      <c r="L1958" s="473">
        <f t="shared" si="1289"/>
        <v>15.48</v>
      </c>
      <c r="M1958" s="474">
        <f t="shared" si="1307"/>
        <v>22.910399999999999</v>
      </c>
      <c r="O1958" s="434">
        <f t="shared" si="1287"/>
        <v>15.82</v>
      </c>
      <c r="P1958" s="435">
        <f t="shared" si="1288"/>
        <v>15.48</v>
      </c>
      <c r="AE1958" s="217"/>
      <c r="AF1958" s="217">
        <v>1238</v>
      </c>
      <c r="AH1958">
        <f t="shared" si="1300"/>
        <v>1238</v>
      </c>
    </row>
    <row r="1959" ht="60" hidden="1">
      <c r="A1959" s="217"/>
      <c r="B1959" s="217">
        <v>1238</v>
      </c>
      <c r="C1959" s="217"/>
      <c r="D1959" s="217" t="s">
        <v>17167</v>
      </c>
      <c r="E1959" s="471" t="s">
        <v>20671</v>
      </c>
      <c r="F1959" s="489">
        <v>94964</v>
      </c>
      <c r="G1959" s="470" t="s">
        <v>20686</v>
      </c>
      <c r="H1959" s="472" t="s">
        <v>15528</v>
      </c>
      <c r="I1959" s="472">
        <v>1.272</v>
      </c>
      <c r="J1959" s="473">
        <f t="shared" si="1305"/>
        <v>488.52999999999997</v>
      </c>
      <c r="K1959" s="474">
        <f t="shared" si="1306"/>
        <v>621.41016000000002</v>
      </c>
      <c r="L1959" s="473">
        <f t="shared" si="1289"/>
        <v>482.79000000000002</v>
      </c>
      <c r="M1959" s="474">
        <f t="shared" si="1307"/>
        <v>614.10888</v>
      </c>
      <c r="O1959" s="434">
        <f t="shared" si="1287"/>
        <v>488.52999999999997</v>
      </c>
      <c r="P1959" s="435">
        <f t="shared" si="1288"/>
        <v>482.79000000000002</v>
      </c>
      <c r="AE1959" s="217"/>
      <c r="AF1959" s="217">
        <v>1238</v>
      </c>
      <c r="AH1959">
        <f t="shared" si="1300"/>
        <v>1238</v>
      </c>
    </row>
    <row r="1960" ht="126" hidden="1">
      <c r="A1960" s="460">
        <v>1239</v>
      </c>
      <c r="B1960" s="460">
        <v>1239</v>
      </c>
      <c r="C1960" s="460"/>
      <c r="D1960" s="460"/>
      <c r="E1960" s="461">
        <v>1</v>
      </c>
      <c r="F1960" s="462" t="s">
        <v>21683</v>
      </c>
      <c r="G1960" s="477" t="s">
        <v>21684</v>
      </c>
      <c r="H1960" s="579" t="s">
        <v>31</v>
      </c>
      <c r="I1960" s="479"/>
      <c r="J1960" s="480"/>
      <c r="K1960" s="466">
        <f>SUM(K1961:K1968)</f>
        <v>4208.886426</v>
      </c>
      <c r="L1960" s="480"/>
      <c r="M1960" s="466">
        <f>SUM(M1961:M1968)</f>
        <v>4080.7344084999995</v>
      </c>
      <c r="N1960" s="589" t="s">
        <v>21677</v>
      </c>
      <c r="O1960" s="434" t="str">
        <f t="shared" si="1287"/>
        <v xml:space="preserve">SEM VALOR</v>
      </c>
      <c r="P1960" s="435" t="str">
        <f t="shared" si="1288"/>
        <v xml:space="preserve">SEM VALOR</v>
      </c>
      <c r="AE1960" s="460">
        <v>1239</v>
      </c>
      <c r="AF1960" s="460"/>
      <c r="AH1960">
        <f t="shared" si="1300"/>
        <v>1239</v>
      </c>
    </row>
    <row r="1961" ht="30" hidden="1">
      <c r="A1961" s="217"/>
      <c r="B1961" s="217">
        <v>1239</v>
      </c>
      <c r="C1961" s="217"/>
      <c r="D1961" s="217" t="s">
        <v>20398</v>
      </c>
      <c r="E1961" s="471" t="s">
        <v>20399</v>
      </c>
      <c r="F1961" s="482">
        <v>1003</v>
      </c>
      <c r="G1961" s="470" t="s">
        <v>20659</v>
      </c>
      <c r="H1961" s="471" t="s">
        <v>20647</v>
      </c>
      <c r="I1961" s="472">
        <v>3</v>
      </c>
      <c r="J1961" s="473">
        <f t="shared" si="1305"/>
        <v>654.70647199999996</v>
      </c>
      <c r="K1961" s="474">
        <f t="shared" ref="K1961:K1968" si="1308">I1961*J1961</f>
        <v>1964.119416</v>
      </c>
      <c r="L1961" s="473">
        <f t="shared" si="1289"/>
        <v>633.82447200000001</v>
      </c>
      <c r="M1961" s="474">
        <f t="shared" ref="M1961:M1968" si="1309">L1961*I1961</f>
        <v>1901.473416</v>
      </c>
      <c r="O1961" s="434">
        <f t="shared" si="1287"/>
        <v>654.70647199999996</v>
      </c>
      <c r="P1961" s="435">
        <f t="shared" si="1288"/>
        <v>633.82447200000001</v>
      </c>
      <c r="AE1961" s="217"/>
      <c r="AF1961" s="217">
        <v>1239</v>
      </c>
      <c r="AH1961">
        <f t="shared" si="1300"/>
        <v>1239</v>
      </c>
    </row>
    <row r="1962" ht="105" hidden="1">
      <c r="A1962" s="217"/>
      <c r="B1962" s="217">
        <v>1239</v>
      </c>
      <c r="C1962" s="217"/>
      <c r="D1962" s="217" t="s">
        <v>17167</v>
      </c>
      <c r="E1962" s="471" t="s">
        <v>20402</v>
      </c>
      <c r="F1962" s="482">
        <v>5928</v>
      </c>
      <c r="G1962" s="470" t="s">
        <v>1739</v>
      </c>
      <c r="H1962" s="471" t="s">
        <v>1535</v>
      </c>
      <c r="I1962" s="472">
        <v>0.10000000000000001</v>
      </c>
      <c r="J1962" s="473">
        <f t="shared" si="1305"/>
        <v>298.70999999999998</v>
      </c>
      <c r="K1962" s="474">
        <f t="shared" si="1308"/>
        <v>29.870999999999999</v>
      </c>
      <c r="L1962" s="473">
        <f t="shared" si="1289"/>
        <v>296.98000000000002</v>
      </c>
      <c r="M1962" s="474">
        <f t="shared" si="1309"/>
        <v>29.698000000000004</v>
      </c>
      <c r="O1962" s="434">
        <f t="shared" si="1287"/>
        <v>298.70999999999998</v>
      </c>
      <c r="P1962" s="435">
        <f t="shared" si="1288"/>
        <v>296.98000000000002</v>
      </c>
      <c r="AE1962" s="217"/>
      <c r="AF1962" s="217">
        <v>1239</v>
      </c>
      <c r="AH1962">
        <f t="shared" si="1300"/>
        <v>1239</v>
      </c>
    </row>
    <row r="1963" ht="45" hidden="1">
      <c r="A1963" s="217"/>
      <c r="B1963" s="217">
        <v>1239</v>
      </c>
      <c r="C1963" s="217"/>
      <c r="D1963" s="217" t="s">
        <v>20398</v>
      </c>
      <c r="E1963" s="471" t="s">
        <v>20405</v>
      </c>
      <c r="F1963" s="482">
        <v>1000</v>
      </c>
      <c r="G1963" s="470" t="s">
        <v>20651</v>
      </c>
      <c r="H1963" s="472" t="s">
        <v>15528</v>
      </c>
      <c r="I1963" s="472">
        <v>1.8149999999999999</v>
      </c>
      <c r="J1963" s="473">
        <f t="shared" si="1305"/>
        <v>149.904</v>
      </c>
      <c r="K1963" s="474">
        <f t="shared" si="1308"/>
        <v>272.07576</v>
      </c>
      <c r="L1963" s="473">
        <f t="shared" si="1289"/>
        <v>141.76949999999999</v>
      </c>
      <c r="M1963" s="474">
        <f t="shared" si="1309"/>
        <v>257.3116425</v>
      </c>
      <c r="O1963" s="434">
        <f t="shared" si="1287"/>
        <v>149.904</v>
      </c>
      <c r="P1963" s="435">
        <f t="shared" si="1288"/>
        <v>141.76949999999999</v>
      </c>
      <c r="AE1963" s="217"/>
      <c r="AF1963" s="217">
        <v>1239</v>
      </c>
      <c r="AH1963">
        <f t="shared" si="1300"/>
        <v>1239</v>
      </c>
    </row>
    <row r="1964" ht="75" hidden="1">
      <c r="A1964" s="217"/>
      <c r="B1964" s="217">
        <v>1239</v>
      </c>
      <c r="C1964" s="217"/>
      <c r="D1964" s="217" t="s">
        <v>17167</v>
      </c>
      <c r="E1964" s="471" t="s">
        <v>20409</v>
      </c>
      <c r="F1964" s="482">
        <v>96542</v>
      </c>
      <c r="G1964" s="470" t="s">
        <v>20761</v>
      </c>
      <c r="H1964" s="472" t="s">
        <v>15515</v>
      </c>
      <c r="I1964" s="472">
        <v>9.0999999999999996</v>
      </c>
      <c r="J1964" s="473">
        <f t="shared" si="1305"/>
        <v>92.189999999999998</v>
      </c>
      <c r="K1964" s="474">
        <f t="shared" si="1308"/>
        <v>838.92899999999997</v>
      </c>
      <c r="L1964" s="473">
        <f t="shared" si="1289"/>
        <v>88.370000000000005</v>
      </c>
      <c r="M1964" s="474">
        <f t="shared" si="1309"/>
        <v>804.16700000000003</v>
      </c>
      <c r="O1964" s="434">
        <f t="shared" ref="O1964:O2027" si="1310">IFERROR(IF(D1964="SINAPI",VLOOKUP(F1964,SINCOMOD,4,FALSE),IF(D1964="INSINAPI",VLOOKUP(F1964,INSINOD,5,FALSE),IF(D1964="SICRO",VLOOKUP(F1964,SICRO,5,FALSE),IF(D1964="COTACAO",VLOOKUP(F1964,COTACAO,6,FALSE),IF(D1964="PRÓPRIO",VLOOKUP(F1964,COMPOD,11,FALSE),IF(D1964="AGESUL",VLOOKUP(F1964,AGESULOD,6,FALSE),IF(D1964="INSAGESUL",VLOOKUP(F1964,INSAGESUL,7,FALSE),"SEM VALOR"))))))),"SEM VALOR")</f>
        <v>92.189999999999998</v>
      </c>
      <c r="P1964" s="435">
        <f t="shared" ref="P1964:P2027" si="1311">IFERROR(IF(D1964="SINAPI",VLOOKUP(F1964,SINCOMOD,6,FALSE),IF(D1964="INSINAPI",VLOOKUP(F1964,INSINOD,6,FALSE),IF(D1964="SICRO",VLOOKUP(F1964,SICRO,5,FALSE),IF(D1964="COTACAO",VLOOKUP(F1964,COTACAO,6,FALSE),IF(D1964="PRÓPRIO",VLOOKUP(F1964,COMPOD,13,FALSE),IF(D1964="AGESUL",VLOOKUP(F1964,AGESULOD,11,FALSE),IF(D1964="INSAGESUL",VLOOKUP(F1964,INSAGESUL,8,FALSE),"SEM VALOR"))))))),"SEM VALOR")</f>
        <v>88.370000000000005</v>
      </c>
      <c r="AE1964" s="217"/>
      <c r="AF1964" s="217">
        <v>1239</v>
      </c>
      <c r="AH1964">
        <f t="shared" si="1300"/>
        <v>1239</v>
      </c>
    </row>
    <row r="1965" ht="45" hidden="1">
      <c r="A1965" s="217"/>
      <c r="B1965" s="217">
        <v>1239</v>
      </c>
      <c r="C1965" s="217"/>
      <c r="D1965" s="217" t="s">
        <v>17167</v>
      </c>
      <c r="E1965" s="471" t="s">
        <v>20663</v>
      </c>
      <c r="F1965" s="482">
        <v>92915</v>
      </c>
      <c r="G1965" s="470" t="s">
        <v>20676</v>
      </c>
      <c r="H1965" s="472" t="s">
        <v>15515</v>
      </c>
      <c r="I1965" s="472">
        <v>4.2300000000000004</v>
      </c>
      <c r="J1965" s="473">
        <f t="shared" si="1305"/>
        <v>16.649999999999999</v>
      </c>
      <c r="K1965" s="474">
        <f t="shared" si="1308"/>
        <v>70.429500000000004</v>
      </c>
      <c r="L1965" s="473">
        <f t="shared" ref="L1965:L2028" si="1312">P1965*$L$3</f>
        <v>16.199999999999999</v>
      </c>
      <c r="M1965" s="474">
        <f t="shared" si="1309"/>
        <v>68.52600000000001</v>
      </c>
      <c r="O1965" s="434">
        <f t="shared" si="1310"/>
        <v>16.649999999999999</v>
      </c>
      <c r="P1965" s="435">
        <f t="shared" si="1311"/>
        <v>16.199999999999999</v>
      </c>
      <c r="AE1965" s="217"/>
      <c r="AF1965" s="217">
        <v>1239</v>
      </c>
      <c r="AH1965">
        <f t="shared" si="1300"/>
        <v>1239</v>
      </c>
    </row>
    <row r="1966" ht="45" hidden="1">
      <c r="A1966" s="217"/>
      <c r="B1966" s="217">
        <v>1239</v>
      </c>
      <c r="C1966" s="217"/>
      <c r="D1966" s="217" t="s">
        <v>17167</v>
      </c>
      <c r="E1966" s="471" t="s">
        <v>20665</v>
      </c>
      <c r="F1966" s="489">
        <v>96544</v>
      </c>
      <c r="G1966" s="470" t="s">
        <v>20763</v>
      </c>
      <c r="H1966" s="471" t="s">
        <v>302</v>
      </c>
      <c r="I1966" s="472">
        <v>6.0300000000000002</v>
      </c>
      <c r="J1966" s="473">
        <f t="shared" si="1305"/>
        <v>17.699999999999999</v>
      </c>
      <c r="K1966" s="474">
        <f t="shared" si="1308"/>
        <v>106.73099999999999</v>
      </c>
      <c r="L1966" s="473">
        <f t="shared" si="1312"/>
        <v>17.23</v>
      </c>
      <c r="M1966" s="474">
        <f t="shared" si="1309"/>
        <v>103.8969</v>
      </c>
      <c r="O1966" s="434">
        <f t="shared" si="1310"/>
        <v>17.699999999999999</v>
      </c>
      <c r="P1966" s="435">
        <f t="shared" si="1311"/>
        <v>17.23</v>
      </c>
      <c r="AE1966" s="217"/>
      <c r="AF1966" s="217">
        <v>1239</v>
      </c>
      <c r="AH1966">
        <f t="shared" si="1300"/>
        <v>1239</v>
      </c>
    </row>
    <row r="1967" ht="75" hidden="1">
      <c r="A1967" s="217"/>
      <c r="B1967" s="217">
        <v>1239</v>
      </c>
      <c r="C1967" s="217"/>
      <c r="D1967" s="217" t="s">
        <v>17167</v>
      </c>
      <c r="E1967" s="471" t="s">
        <v>20667</v>
      </c>
      <c r="F1967" s="489">
        <v>92917</v>
      </c>
      <c r="G1967" s="470" t="s">
        <v>20768</v>
      </c>
      <c r="H1967" s="471" t="s">
        <v>302</v>
      </c>
      <c r="I1967" s="472">
        <v>2.96</v>
      </c>
      <c r="J1967" s="473">
        <f t="shared" si="1305"/>
        <v>13.529999999999999</v>
      </c>
      <c r="K1967" s="474">
        <f t="shared" si="1308"/>
        <v>40.0488</v>
      </c>
      <c r="L1967" s="473">
        <f t="shared" si="1312"/>
        <v>13.31</v>
      </c>
      <c r="M1967" s="474">
        <f t="shared" si="1309"/>
        <v>39.397600000000004</v>
      </c>
      <c r="O1967" s="434">
        <f t="shared" si="1310"/>
        <v>13.529999999999999</v>
      </c>
      <c r="P1967" s="435">
        <f t="shared" si="1311"/>
        <v>13.31</v>
      </c>
      <c r="AE1967" s="217"/>
      <c r="AF1967" s="217">
        <v>1239</v>
      </c>
      <c r="AH1967">
        <f t="shared" si="1300"/>
        <v>1239</v>
      </c>
    </row>
    <row r="1968" ht="60" hidden="1">
      <c r="A1968" s="217"/>
      <c r="B1968" s="217">
        <v>1239</v>
      </c>
      <c r="C1968" s="217"/>
      <c r="D1968" s="217" t="s">
        <v>17167</v>
      </c>
      <c r="E1968" s="471" t="s">
        <v>20671</v>
      </c>
      <c r="F1968" s="489">
        <v>94964</v>
      </c>
      <c r="G1968" s="470" t="s">
        <v>20686</v>
      </c>
      <c r="H1968" s="472" t="s">
        <v>15528</v>
      </c>
      <c r="I1968" s="472">
        <v>1.8149999999999999</v>
      </c>
      <c r="J1968" s="473">
        <f t="shared" si="1305"/>
        <v>488.52999999999997</v>
      </c>
      <c r="K1968" s="474">
        <f t="shared" si="1308"/>
        <v>886.68194999999992</v>
      </c>
      <c r="L1968" s="473">
        <f t="shared" si="1312"/>
        <v>482.79000000000002</v>
      </c>
      <c r="M1968" s="474">
        <f t="shared" si="1309"/>
        <v>876.26385000000005</v>
      </c>
      <c r="O1968" s="434">
        <f t="shared" si="1310"/>
        <v>488.52999999999997</v>
      </c>
      <c r="P1968" s="435">
        <f t="shared" si="1311"/>
        <v>482.79000000000002</v>
      </c>
      <c r="AE1968" s="217"/>
      <c r="AF1968" s="217">
        <v>1239</v>
      </c>
      <c r="AH1968">
        <f t="shared" si="1300"/>
        <v>1239</v>
      </c>
    </row>
    <row r="1969" ht="145.5" hidden="1" customHeight="1">
      <c r="A1969" s="460">
        <v>1240</v>
      </c>
      <c r="B1969" s="460">
        <v>1240</v>
      </c>
      <c r="C1969" s="460"/>
      <c r="D1969" s="460"/>
      <c r="E1969" s="461">
        <v>1</v>
      </c>
      <c r="F1969" s="462" t="s">
        <v>21685</v>
      </c>
      <c r="G1969" s="477" t="s">
        <v>21686</v>
      </c>
      <c r="H1969" s="579" t="s">
        <v>31</v>
      </c>
      <c r="I1969" s="479"/>
      <c r="J1969" s="480"/>
      <c r="K1969" s="466">
        <f>SUM(K1970:K1980)</f>
        <v>5656.7697969999999</v>
      </c>
      <c r="L1969" s="480"/>
      <c r="M1969" s="466">
        <f>SUM(M1970:M1980)</f>
        <v>5527.3251149999996</v>
      </c>
      <c r="N1969" s="589" t="s">
        <v>21677</v>
      </c>
      <c r="O1969" s="434" t="str">
        <f t="shared" si="1310"/>
        <v xml:space="preserve">SEM VALOR</v>
      </c>
      <c r="P1969" s="435" t="str">
        <f t="shared" si="1311"/>
        <v xml:space="preserve">SEM VALOR</v>
      </c>
      <c r="AE1969" s="460">
        <v>1240</v>
      </c>
      <c r="AF1969" s="460"/>
      <c r="AH1969">
        <f t="shared" si="1300"/>
        <v>1240</v>
      </c>
    </row>
    <row r="1970" ht="30" hidden="1">
      <c r="A1970" s="217"/>
      <c r="B1970" s="217">
        <v>1240</v>
      </c>
      <c r="C1970" s="217"/>
      <c r="D1970" s="217" t="s">
        <v>20398</v>
      </c>
      <c r="E1970" s="471" t="s">
        <v>20399</v>
      </c>
      <c r="F1970" s="482">
        <v>1242</v>
      </c>
      <c r="G1970" s="488" t="s">
        <v>20905</v>
      </c>
      <c r="H1970" s="471" t="s">
        <v>15528</v>
      </c>
      <c r="I1970" s="472">
        <v>1.0229999999999999</v>
      </c>
      <c r="J1970" s="473">
        <f t="shared" si="1305"/>
        <v>151.59100000000001</v>
      </c>
      <c r="K1970" s="474">
        <f t="shared" ref="K1970:K1980" si="1313">I1970*J1970</f>
        <v>155.07759300000001</v>
      </c>
      <c r="L1970" s="473">
        <f t="shared" si="1312"/>
        <v>149.17099999999999</v>
      </c>
      <c r="M1970" s="474">
        <f t="shared" ref="M1970:M1980" si="1314">L1970*I1970</f>
        <v>152.60193299999997</v>
      </c>
      <c r="O1970" s="434">
        <f t="shared" si="1310"/>
        <v>151.59100000000001</v>
      </c>
      <c r="P1970" s="435">
        <f t="shared" si="1311"/>
        <v>149.17099999999999</v>
      </c>
      <c r="AE1970" s="217"/>
      <c r="AF1970" s="217">
        <v>1240</v>
      </c>
      <c r="AH1970">
        <f t="shared" si="1300"/>
        <v>1240</v>
      </c>
    </row>
    <row r="1971" ht="75" hidden="1">
      <c r="A1971" s="217"/>
      <c r="B1971" s="217">
        <v>1240</v>
      </c>
      <c r="C1971" s="217"/>
      <c r="D1971" s="217" t="s">
        <v>20398</v>
      </c>
      <c r="E1971" s="471" t="s">
        <v>20402</v>
      </c>
      <c r="F1971" s="482">
        <v>1257</v>
      </c>
      <c r="G1971" s="470" t="s">
        <v>20906</v>
      </c>
      <c r="H1971" s="471" t="s">
        <v>15515</v>
      </c>
      <c r="I1971" s="472">
        <v>12.6</v>
      </c>
      <c r="J1971" s="473">
        <f t="shared" si="1305"/>
        <v>202.65134000000003</v>
      </c>
      <c r="K1971" s="474">
        <f t="shared" si="1313"/>
        <v>2553.4068840000004</v>
      </c>
      <c r="L1971" s="473">
        <f t="shared" si="1312"/>
        <v>197.86072000000001</v>
      </c>
      <c r="M1971" s="474">
        <f t="shared" si="1314"/>
        <v>2493.0450719999999</v>
      </c>
      <c r="O1971" s="434">
        <f t="shared" si="1310"/>
        <v>202.65134000000003</v>
      </c>
      <c r="P1971" s="435">
        <f t="shared" si="1311"/>
        <v>197.86072000000001</v>
      </c>
      <c r="AE1971" s="217"/>
      <c r="AF1971" s="217">
        <v>1240</v>
      </c>
      <c r="AH1971">
        <f t="shared" si="1300"/>
        <v>1240</v>
      </c>
    </row>
    <row r="1972" ht="105" hidden="1">
      <c r="A1972" s="217"/>
      <c r="B1972" s="217">
        <v>1240</v>
      </c>
      <c r="C1972" s="217"/>
      <c r="D1972" s="217" t="s">
        <v>17167</v>
      </c>
      <c r="E1972" s="471" t="s">
        <v>20405</v>
      </c>
      <c r="F1972" s="489">
        <v>5928</v>
      </c>
      <c r="G1972" s="470" t="s">
        <v>1739</v>
      </c>
      <c r="H1972" s="472" t="s">
        <v>1535</v>
      </c>
      <c r="I1972" s="472">
        <v>0.10000000000000001</v>
      </c>
      <c r="J1972" s="473">
        <f t="shared" si="1305"/>
        <v>298.70999999999998</v>
      </c>
      <c r="K1972" s="474">
        <f t="shared" si="1313"/>
        <v>29.870999999999999</v>
      </c>
      <c r="L1972" s="473">
        <f t="shared" si="1312"/>
        <v>296.98000000000002</v>
      </c>
      <c r="M1972" s="474">
        <f t="shared" si="1314"/>
        <v>29.698000000000004</v>
      </c>
      <c r="O1972" s="434">
        <f t="shared" si="1310"/>
        <v>298.70999999999998</v>
      </c>
      <c r="P1972" s="435">
        <f t="shared" si="1311"/>
        <v>296.98000000000002</v>
      </c>
      <c r="AE1972" s="217"/>
      <c r="AF1972" s="217">
        <v>1240</v>
      </c>
      <c r="AH1972">
        <f t="shared" si="1300"/>
        <v>1240</v>
      </c>
    </row>
    <row r="1973" ht="45" hidden="1">
      <c r="A1973" s="217"/>
      <c r="B1973" s="217">
        <v>1240</v>
      </c>
      <c r="C1973" s="217"/>
      <c r="D1973" s="217" t="s">
        <v>20398</v>
      </c>
      <c r="E1973" s="471" t="s">
        <v>20409</v>
      </c>
      <c r="F1973" s="489">
        <v>1000</v>
      </c>
      <c r="G1973" s="488" t="s">
        <v>20651</v>
      </c>
      <c r="H1973" s="472" t="s">
        <v>15528</v>
      </c>
      <c r="I1973" s="472">
        <v>2.3799999999999999</v>
      </c>
      <c r="J1973" s="473">
        <f t="shared" si="1305"/>
        <v>149.904</v>
      </c>
      <c r="K1973" s="474">
        <f t="shared" si="1313"/>
        <v>356.77151999999995</v>
      </c>
      <c r="L1973" s="473">
        <f t="shared" si="1312"/>
        <v>141.76949999999999</v>
      </c>
      <c r="M1973" s="474">
        <f t="shared" si="1314"/>
        <v>337.41140999999999</v>
      </c>
      <c r="O1973" s="434">
        <f t="shared" si="1310"/>
        <v>149.904</v>
      </c>
      <c r="P1973" s="435">
        <f t="shared" si="1311"/>
        <v>141.76949999999999</v>
      </c>
      <c r="AE1973" s="217"/>
      <c r="AF1973" s="217">
        <v>1240</v>
      </c>
      <c r="AH1973">
        <f t="shared" si="1300"/>
        <v>1240</v>
      </c>
    </row>
    <row r="1974" ht="60" hidden="1">
      <c r="A1974" s="217"/>
      <c r="B1974" s="217">
        <v>1240</v>
      </c>
      <c r="C1974" s="217"/>
      <c r="D1974" s="217" t="s">
        <v>17167</v>
      </c>
      <c r="E1974" s="471" t="s">
        <v>20663</v>
      </c>
      <c r="F1974" s="489">
        <v>87313</v>
      </c>
      <c r="G1974" s="470" t="s">
        <v>20909</v>
      </c>
      <c r="H1974" s="472" t="s">
        <v>15528</v>
      </c>
      <c r="I1974" s="472">
        <v>0.28499999999999998</v>
      </c>
      <c r="J1974" s="473">
        <f t="shared" si="1305"/>
        <v>549.88</v>
      </c>
      <c r="K1974" s="474">
        <f t="shared" si="1313"/>
        <v>156.71579999999997</v>
      </c>
      <c r="L1974" s="473">
        <f t="shared" si="1312"/>
        <v>542.65999999999997</v>
      </c>
      <c r="M1974" s="474">
        <f t="shared" si="1314"/>
        <v>154.65809999999999</v>
      </c>
      <c r="O1974" s="434">
        <f t="shared" si="1310"/>
        <v>549.88</v>
      </c>
      <c r="P1974" s="435">
        <f t="shared" si="1311"/>
        <v>542.65999999999997</v>
      </c>
      <c r="AE1974" s="217"/>
      <c r="AF1974" s="217">
        <v>1240</v>
      </c>
      <c r="AH1974">
        <f t="shared" si="1300"/>
        <v>1240</v>
      </c>
    </row>
    <row r="1975" ht="75" hidden="1">
      <c r="A1975" s="217"/>
      <c r="B1975" s="217">
        <v>1240</v>
      </c>
      <c r="C1975" s="217"/>
      <c r="D1975" s="217" t="s">
        <v>17167</v>
      </c>
      <c r="E1975" s="471" t="s">
        <v>20665</v>
      </c>
      <c r="F1975" s="489">
        <v>87878</v>
      </c>
      <c r="G1975" s="470" t="s">
        <v>20910</v>
      </c>
      <c r="H1975" s="471" t="s">
        <v>15515</v>
      </c>
      <c r="I1975" s="472">
        <v>11.4</v>
      </c>
      <c r="J1975" s="473">
        <f t="shared" si="1305"/>
        <v>5.0099999999999998</v>
      </c>
      <c r="K1975" s="474">
        <f t="shared" si="1313"/>
        <v>57.113999999999997</v>
      </c>
      <c r="L1975" s="473">
        <f t="shared" si="1312"/>
        <v>4.7999999999999998</v>
      </c>
      <c r="M1975" s="474">
        <f t="shared" si="1314"/>
        <v>54.719999999999999</v>
      </c>
      <c r="O1975" s="434">
        <f t="shared" si="1310"/>
        <v>5.0099999999999998</v>
      </c>
      <c r="P1975" s="435">
        <f t="shared" si="1311"/>
        <v>4.7999999999999998</v>
      </c>
      <c r="AE1975" s="217"/>
      <c r="AF1975" s="217">
        <v>1240</v>
      </c>
      <c r="AH1975">
        <f t="shared" si="1300"/>
        <v>1240</v>
      </c>
    </row>
    <row r="1976" ht="75" hidden="1">
      <c r="A1976" s="217"/>
      <c r="B1976" s="217">
        <v>1240</v>
      </c>
      <c r="C1976" s="217"/>
      <c r="D1976" s="217" t="s">
        <v>17167</v>
      </c>
      <c r="E1976" s="471" t="s">
        <v>20667</v>
      </c>
      <c r="F1976" s="489">
        <v>92915</v>
      </c>
      <c r="G1976" s="470" t="s">
        <v>20970</v>
      </c>
      <c r="H1976" s="471" t="s">
        <v>302</v>
      </c>
      <c r="I1976" s="472">
        <v>8</v>
      </c>
      <c r="J1976" s="473">
        <f t="shared" si="1305"/>
        <v>16.649999999999999</v>
      </c>
      <c r="K1976" s="474">
        <f t="shared" si="1313"/>
        <v>133.19999999999999</v>
      </c>
      <c r="L1976" s="473">
        <f t="shared" si="1312"/>
        <v>16.199999999999999</v>
      </c>
      <c r="M1976" s="474">
        <f t="shared" si="1314"/>
        <v>129.59999999999999</v>
      </c>
      <c r="O1976" s="434">
        <f t="shared" si="1310"/>
        <v>16.649999999999999</v>
      </c>
      <c r="P1976" s="435">
        <f t="shared" si="1311"/>
        <v>16.199999999999999</v>
      </c>
      <c r="AE1976" s="217"/>
      <c r="AF1976" s="217">
        <v>1240</v>
      </c>
      <c r="AH1976">
        <f t="shared" si="1300"/>
        <v>1240</v>
      </c>
    </row>
    <row r="1977" ht="75" hidden="1">
      <c r="A1977" s="217"/>
      <c r="B1977" s="217">
        <v>1240</v>
      </c>
      <c r="C1977" s="217"/>
      <c r="D1977" s="217" t="s">
        <v>17167</v>
      </c>
      <c r="E1977" s="471" t="s">
        <v>20671</v>
      </c>
      <c r="F1977" s="489">
        <v>92916</v>
      </c>
      <c r="G1977" s="470" t="s">
        <v>20969</v>
      </c>
      <c r="H1977" s="471" t="s">
        <v>302</v>
      </c>
      <c r="I1977" s="472">
        <v>60</v>
      </c>
      <c r="J1977" s="473">
        <f t="shared" si="1305"/>
        <v>15</v>
      </c>
      <c r="K1977" s="474">
        <f t="shared" si="1313"/>
        <v>900</v>
      </c>
      <c r="L1977" s="473">
        <f t="shared" si="1312"/>
        <v>14.69</v>
      </c>
      <c r="M1977" s="474">
        <f t="shared" si="1314"/>
        <v>881.39999999999998</v>
      </c>
      <c r="O1977" s="434">
        <f t="shared" si="1310"/>
        <v>15</v>
      </c>
      <c r="P1977" s="435">
        <f t="shared" si="1311"/>
        <v>14.69</v>
      </c>
      <c r="AE1977" s="217"/>
      <c r="AF1977" s="217">
        <v>1240</v>
      </c>
      <c r="AH1977">
        <f t="shared" si="1300"/>
        <v>1240</v>
      </c>
    </row>
    <row r="1978" ht="60" hidden="1">
      <c r="A1978" s="217"/>
      <c r="B1978" s="217">
        <v>1240</v>
      </c>
      <c r="C1978" s="217"/>
      <c r="D1978" s="217" t="s">
        <v>17167</v>
      </c>
      <c r="E1978" s="471" t="s">
        <v>20672</v>
      </c>
      <c r="F1978" s="489">
        <v>94963</v>
      </c>
      <c r="G1978" s="470" t="s">
        <v>20911</v>
      </c>
      <c r="H1978" s="471" t="s">
        <v>15528</v>
      </c>
      <c r="I1978" s="472">
        <v>1.74</v>
      </c>
      <c r="J1978" s="473">
        <f t="shared" si="1305"/>
        <v>441.43000000000001</v>
      </c>
      <c r="K1978" s="474">
        <f t="shared" si="1313"/>
        <v>768.08820000000003</v>
      </c>
      <c r="L1978" s="473">
        <f t="shared" si="1312"/>
        <v>436.14999999999998</v>
      </c>
      <c r="M1978" s="474">
        <f t="shared" si="1314"/>
        <v>758.90099999999995</v>
      </c>
      <c r="O1978" s="434">
        <f t="shared" si="1310"/>
        <v>441.43000000000001</v>
      </c>
      <c r="P1978" s="435">
        <f t="shared" si="1311"/>
        <v>436.14999999999998</v>
      </c>
      <c r="AE1978" s="217"/>
      <c r="AF1978" s="217">
        <v>1240</v>
      </c>
      <c r="AH1978">
        <f t="shared" si="1300"/>
        <v>1240</v>
      </c>
    </row>
    <row r="1979" ht="60" hidden="1">
      <c r="A1979" s="217"/>
      <c r="B1979" s="217">
        <v>1240</v>
      </c>
      <c r="C1979" s="217"/>
      <c r="D1979" s="217" t="s">
        <v>17167</v>
      </c>
      <c r="E1979" s="471" t="s">
        <v>20673</v>
      </c>
      <c r="F1979" s="489">
        <v>94964</v>
      </c>
      <c r="G1979" s="470" t="s">
        <v>20686</v>
      </c>
      <c r="H1979" s="471" t="s">
        <v>15528</v>
      </c>
      <c r="I1979" s="472">
        <v>0.64000000000000001</v>
      </c>
      <c r="J1979" s="473">
        <f t="shared" si="1305"/>
        <v>488.52999999999997</v>
      </c>
      <c r="K1979" s="474">
        <f t="shared" si="1313"/>
        <v>312.6592</v>
      </c>
      <c r="L1979" s="473">
        <f t="shared" si="1312"/>
        <v>482.79000000000002</v>
      </c>
      <c r="M1979" s="474">
        <f t="shared" si="1314"/>
        <v>308.98560000000003</v>
      </c>
      <c r="O1979" s="434">
        <f t="shared" si="1310"/>
        <v>488.52999999999997</v>
      </c>
      <c r="P1979" s="435">
        <f t="shared" si="1311"/>
        <v>482.79000000000002</v>
      </c>
      <c r="AE1979" s="217"/>
      <c r="AF1979" s="217">
        <v>1240</v>
      </c>
      <c r="AH1979">
        <f t="shared" si="1300"/>
        <v>1240</v>
      </c>
    </row>
    <row r="1980" ht="60" hidden="1">
      <c r="A1980" s="217"/>
      <c r="B1980" s="217">
        <v>1240</v>
      </c>
      <c r="C1980" s="217"/>
      <c r="D1980" s="217" t="s">
        <v>17167</v>
      </c>
      <c r="E1980" s="471" t="s">
        <v>20675</v>
      </c>
      <c r="F1980" s="489">
        <v>96533</v>
      </c>
      <c r="G1980" s="470" t="s">
        <v>20912</v>
      </c>
      <c r="H1980" s="471" t="s">
        <v>15515</v>
      </c>
      <c r="I1980" s="472">
        <v>2.7200000000000002</v>
      </c>
      <c r="J1980" s="473">
        <f t="shared" si="1305"/>
        <v>85.980000000000004</v>
      </c>
      <c r="K1980" s="474">
        <f t="shared" si="1313"/>
        <v>233.86560000000003</v>
      </c>
      <c r="L1980" s="473">
        <f t="shared" si="1312"/>
        <v>83.200000000000003</v>
      </c>
      <c r="M1980" s="474">
        <f t="shared" si="1314"/>
        <v>226.30400000000003</v>
      </c>
      <c r="O1980" s="434">
        <f t="shared" si="1310"/>
        <v>85.980000000000004</v>
      </c>
      <c r="P1980" s="435">
        <f t="shared" si="1311"/>
        <v>83.200000000000003</v>
      </c>
      <c r="AE1980" s="217"/>
      <c r="AF1980" s="217">
        <v>1240</v>
      </c>
      <c r="AH1980">
        <f t="shared" si="1300"/>
        <v>1240</v>
      </c>
    </row>
    <row r="1981" ht="63" hidden="1">
      <c r="A1981" s="460">
        <v>1241</v>
      </c>
      <c r="B1981" s="460">
        <v>1241</v>
      </c>
      <c r="C1981" s="460"/>
      <c r="D1981" s="460"/>
      <c r="E1981" s="461">
        <v>1</v>
      </c>
      <c r="F1981" s="462" t="s">
        <v>21687</v>
      </c>
      <c r="G1981" s="590" t="s">
        <v>21181</v>
      </c>
      <c r="H1981" s="478" t="s">
        <v>15528</v>
      </c>
      <c r="I1981" s="479"/>
      <c r="J1981" s="480"/>
      <c r="K1981" s="466">
        <f>SUM(K1982:K1986)</f>
        <v>453.00401999999997</v>
      </c>
      <c r="L1981" s="465"/>
      <c r="M1981" s="466">
        <f>SUM(M1982:M1986)</f>
        <v>445.74401999999998</v>
      </c>
      <c r="O1981" s="434" t="str">
        <f t="shared" si="1310"/>
        <v xml:space="preserve">SEM VALOR</v>
      </c>
      <c r="P1981" s="435" t="str">
        <f t="shared" si="1311"/>
        <v xml:space="preserve">SEM VALOR</v>
      </c>
      <c r="AE1981" s="460">
        <v>1241</v>
      </c>
      <c r="AF1981" s="460"/>
      <c r="AH1981">
        <f t="shared" si="1300"/>
        <v>1241</v>
      </c>
    </row>
    <row r="1982" ht="30" hidden="1">
      <c r="A1982" s="217"/>
      <c r="B1982" s="217">
        <v>1241</v>
      </c>
      <c r="C1982" s="217"/>
      <c r="D1982" s="217" t="s">
        <v>20408</v>
      </c>
      <c r="E1982" s="471" t="s">
        <v>20399</v>
      </c>
      <c r="F1982" s="469">
        <v>1379</v>
      </c>
      <c r="G1982" s="470" t="s">
        <v>11588</v>
      </c>
      <c r="H1982" s="499" t="s">
        <v>302</v>
      </c>
      <c r="I1982" s="483">
        <v>210</v>
      </c>
      <c r="J1982" s="473">
        <f t="shared" si="1305"/>
        <v>0.82999999999999996</v>
      </c>
      <c r="K1982" s="474">
        <f t="shared" ref="K1982:K1986" si="1315">I1982*J1982</f>
        <v>174.29999999999998</v>
      </c>
      <c r="L1982" s="475">
        <f t="shared" si="1312"/>
        <v>0.82999999999999996</v>
      </c>
      <c r="M1982" s="474">
        <f t="shared" ref="M1982:M1986" si="1316">L1982*I1982</f>
        <v>174.29999999999998</v>
      </c>
      <c r="O1982" s="434">
        <f t="shared" si="1310"/>
        <v>0.82999999999999996</v>
      </c>
      <c r="P1982" s="435">
        <f t="shared" si="1311"/>
        <v>0.82999999999999996</v>
      </c>
      <c r="AE1982" s="217"/>
      <c r="AF1982" s="217">
        <v>1241</v>
      </c>
      <c r="AH1982">
        <f t="shared" si="1300"/>
        <v>1241</v>
      </c>
    </row>
    <row r="1983" ht="45" hidden="1">
      <c r="A1983" s="217"/>
      <c r="B1983" s="217">
        <v>1241</v>
      </c>
      <c r="C1983" s="217"/>
      <c r="D1983" s="217" t="s">
        <v>20408</v>
      </c>
      <c r="E1983" s="471" t="s">
        <v>20402</v>
      </c>
      <c r="F1983" s="469">
        <v>367</v>
      </c>
      <c r="G1983" s="470" t="s">
        <v>10766</v>
      </c>
      <c r="H1983" s="499" t="s">
        <v>15528</v>
      </c>
      <c r="I1983" s="483">
        <v>0.57999999999999996</v>
      </c>
      <c r="J1983" s="473">
        <f t="shared" si="1305"/>
        <v>76.989999999999995</v>
      </c>
      <c r="K1983" s="474">
        <f t="shared" si="1315"/>
        <v>44.654199999999996</v>
      </c>
      <c r="L1983" s="475">
        <f t="shared" si="1312"/>
        <v>76.989999999999995</v>
      </c>
      <c r="M1983" s="474">
        <f t="shared" si="1316"/>
        <v>44.654199999999996</v>
      </c>
      <c r="O1983" s="434">
        <f t="shared" si="1310"/>
        <v>76.989999999999995</v>
      </c>
      <c r="P1983" s="435">
        <f t="shared" si="1311"/>
        <v>76.989999999999995</v>
      </c>
      <c r="AE1983" s="217"/>
      <c r="AF1983" s="217">
        <v>1241</v>
      </c>
      <c r="AH1983">
        <f t="shared" si="1300"/>
        <v>1241</v>
      </c>
    </row>
    <row r="1984" ht="45" hidden="1">
      <c r="A1984" s="217"/>
      <c r="B1984" s="217">
        <v>1241</v>
      </c>
      <c r="C1984" s="217"/>
      <c r="D1984" s="217" t="s">
        <v>20408</v>
      </c>
      <c r="E1984" s="471" t="s">
        <v>20405</v>
      </c>
      <c r="F1984" s="469">
        <v>4718</v>
      </c>
      <c r="G1984" s="470" t="s">
        <v>13720</v>
      </c>
      <c r="H1984" s="499" t="s">
        <v>15528</v>
      </c>
      <c r="I1984" s="483">
        <v>0.94999999999999996</v>
      </c>
      <c r="J1984" s="473">
        <f t="shared" si="1305"/>
        <v>101.02</v>
      </c>
      <c r="K1984" s="474">
        <f t="shared" si="1315"/>
        <v>95.968999999999994</v>
      </c>
      <c r="L1984" s="475">
        <f t="shared" si="1312"/>
        <v>101.02</v>
      </c>
      <c r="M1984" s="474">
        <f t="shared" si="1316"/>
        <v>95.968999999999994</v>
      </c>
      <c r="O1984" s="434">
        <f t="shared" si="1310"/>
        <v>101.02</v>
      </c>
      <c r="P1984" s="435">
        <f t="shared" si="1311"/>
        <v>101.02</v>
      </c>
      <c r="AE1984" s="217"/>
      <c r="AF1984" s="217">
        <v>1241</v>
      </c>
      <c r="AH1984">
        <f t="shared" si="1300"/>
        <v>1241</v>
      </c>
    </row>
    <row r="1985" ht="30" hidden="1">
      <c r="A1985" s="217"/>
      <c r="B1985" s="217">
        <v>1241</v>
      </c>
      <c r="C1985" s="217"/>
      <c r="D1985" s="217" t="s">
        <v>17167</v>
      </c>
      <c r="E1985" s="471" t="s">
        <v>20409</v>
      </c>
      <c r="F1985" s="469">
        <v>88316</v>
      </c>
      <c r="G1985" s="470" t="s">
        <v>7393</v>
      </c>
      <c r="H1985" s="499" t="s">
        <v>2032</v>
      </c>
      <c r="I1985" s="483">
        <v>6</v>
      </c>
      <c r="J1985" s="473">
        <f t="shared" si="1305"/>
        <v>22.760000000000002</v>
      </c>
      <c r="K1985" s="474">
        <f t="shared" si="1315"/>
        <v>136.56</v>
      </c>
      <c r="L1985" s="475">
        <f t="shared" si="1312"/>
        <v>21.550000000000001</v>
      </c>
      <c r="M1985" s="474">
        <f t="shared" si="1316"/>
        <v>129.30000000000001</v>
      </c>
      <c r="O1985" s="434">
        <f t="shared" si="1310"/>
        <v>22.760000000000002</v>
      </c>
      <c r="P1985" s="435">
        <f t="shared" si="1311"/>
        <v>21.550000000000001</v>
      </c>
      <c r="AE1985" s="217"/>
      <c r="AF1985" s="217">
        <v>1241</v>
      </c>
      <c r="AH1985">
        <f t="shared" si="1300"/>
        <v>1241</v>
      </c>
    </row>
    <row r="1986" ht="75" hidden="1">
      <c r="A1986" s="217"/>
      <c r="B1986" s="217">
        <v>1241</v>
      </c>
      <c r="C1986" s="217"/>
      <c r="D1986" s="217" t="s">
        <v>17167</v>
      </c>
      <c r="E1986" s="471" t="s">
        <v>20663</v>
      </c>
      <c r="F1986" s="469">
        <v>88830</v>
      </c>
      <c r="G1986" s="470" t="s">
        <v>21688</v>
      </c>
      <c r="H1986" s="482" t="s">
        <v>1535</v>
      </c>
      <c r="I1986" s="483">
        <v>0.71399999999999997</v>
      </c>
      <c r="J1986" s="473">
        <f t="shared" si="1305"/>
        <v>2.1299999999999999</v>
      </c>
      <c r="K1986" s="474">
        <f t="shared" si="1315"/>
        <v>1.5208199999999998</v>
      </c>
      <c r="L1986" s="475">
        <f t="shared" si="1312"/>
        <v>2.1299999999999999</v>
      </c>
      <c r="M1986" s="474">
        <f t="shared" si="1316"/>
        <v>1.5208199999999998</v>
      </c>
      <c r="O1986" s="434">
        <f t="shared" si="1310"/>
        <v>2.1299999999999999</v>
      </c>
      <c r="P1986" s="435">
        <f t="shared" si="1311"/>
        <v>2.1299999999999999</v>
      </c>
      <c r="AE1986" s="217"/>
      <c r="AF1986" s="217">
        <v>1241</v>
      </c>
      <c r="AH1986">
        <f t="shared" si="1300"/>
        <v>1241</v>
      </c>
    </row>
    <row r="1987" ht="38.25" hidden="1" customHeight="1">
      <c r="A1987" s="460">
        <v>1242</v>
      </c>
      <c r="B1987" s="460">
        <v>1242</v>
      </c>
      <c r="C1987" s="460"/>
      <c r="D1987" s="460"/>
      <c r="E1987" s="461">
        <v>1</v>
      </c>
      <c r="F1987" s="462" t="s">
        <v>21689</v>
      </c>
      <c r="G1987" s="477" t="s">
        <v>20905</v>
      </c>
      <c r="H1987" s="579" t="s">
        <v>15528</v>
      </c>
      <c r="I1987" s="479"/>
      <c r="J1987" s="480"/>
      <c r="K1987" s="466">
        <f>SUM(K1988:K1989)</f>
        <v>151.59100000000001</v>
      </c>
      <c r="L1987" s="480"/>
      <c r="M1987" s="466">
        <f>SUM(M1988:M1989)</f>
        <v>149.17099999999999</v>
      </c>
      <c r="N1987" s="589" t="s">
        <v>21690</v>
      </c>
      <c r="O1987" s="434" t="str">
        <f t="shared" si="1310"/>
        <v xml:space="preserve">SEM VALOR</v>
      </c>
      <c r="P1987" s="435" t="str">
        <f t="shared" si="1311"/>
        <v xml:space="preserve">SEM VALOR</v>
      </c>
      <c r="AE1987" s="460">
        <v>1242</v>
      </c>
      <c r="AF1987" s="460"/>
      <c r="AH1987">
        <f t="shared" si="1300"/>
        <v>1242</v>
      </c>
    </row>
    <row r="1988" ht="45" hidden="1">
      <c r="A1988" s="217"/>
      <c r="B1988" s="217">
        <v>1242</v>
      </c>
      <c r="C1988" s="217"/>
      <c r="D1988" s="217" t="s">
        <v>20408</v>
      </c>
      <c r="E1988" s="471" t="s">
        <v>20399</v>
      </c>
      <c r="F1988" s="489">
        <v>4718</v>
      </c>
      <c r="G1988" s="470" t="s">
        <v>13720</v>
      </c>
      <c r="H1988" s="499" t="s">
        <v>15528</v>
      </c>
      <c r="I1988" s="483">
        <v>1.05</v>
      </c>
      <c r="J1988" s="473">
        <f t="shared" si="1305"/>
        <v>101.02</v>
      </c>
      <c r="K1988" s="474">
        <f t="shared" ref="K1988:K1989" si="1317">I1988*J1988</f>
        <v>106.071</v>
      </c>
      <c r="L1988" s="473">
        <f t="shared" si="1312"/>
        <v>101.02</v>
      </c>
      <c r="M1988" s="474">
        <f t="shared" ref="M1988:M1989" si="1318">L1988*I1988</f>
        <v>106.071</v>
      </c>
      <c r="O1988" s="434">
        <f t="shared" si="1310"/>
        <v>101.02</v>
      </c>
      <c r="P1988" s="435">
        <f t="shared" si="1311"/>
        <v>101.02</v>
      </c>
      <c r="AE1988" s="217"/>
      <c r="AF1988" s="217">
        <v>1242</v>
      </c>
      <c r="AH1988">
        <f t="shared" si="1300"/>
        <v>1242</v>
      </c>
    </row>
    <row r="1989" ht="30" hidden="1">
      <c r="A1989" s="217"/>
      <c r="B1989" s="217">
        <v>1242</v>
      </c>
      <c r="C1989" s="217"/>
      <c r="D1989" s="217" t="s">
        <v>17167</v>
      </c>
      <c r="E1989" s="471" t="s">
        <v>20402</v>
      </c>
      <c r="F1989" s="489">
        <v>88316</v>
      </c>
      <c r="G1989" s="470" t="s">
        <v>7393</v>
      </c>
      <c r="H1989" s="482" t="s">
        <v>2032</v>
      </c>
      <c r="I1989" s="483">
        <v>2</v>
      </c>
      <c r="J1989" s="473">
        <f t="shared" si="1305"/>
        <v>22.760000000000002</v>
      </c>
      <c r="K1989" s="474">
        <f t="shared" si="1317"/>
        <v>45.520000000000003</v>
      </c>
      <c r="L1989" s="473">
        <f t="shared" si="1312"/>
        <v>21.550000000000001</v>
      </c>
      <c r="M1989" s="474">
        <f t="shared" si="1318"/>
        <v>43.100000000000001</v>
      </c>
      <c r="O1989" s="434">
        <f t="shared" si="1310"/>
        <v>22.760000000000002</v>
      </c>
      <c r="P1989" s="435">
        <f t="shared" si="1311"/>
        <v>21.550000000000001</v>
      </c>
      <c r="AE1989" s="217"/>
      <c r="AF1989" s="217">
        <v>1242</v>
      </c>
      <c r="AH1989">
        <f t="shared" si="1300"/>
        <v>1242</v>
      </c>
    </row>
    <row r="1990" ht="52.5" hidden="1" customHeight="1">
      <c r="A1990" s="460">
        <v>1243</v>
      </c>
      <c r="B1990" s="460">
        <v>1243</v>
      </c>
      <c r="C1990" s="460"/>
      <c r="D1990" s="460"/>
      <c r="E1990" s="461">
        <v>1</v>
      </c>
      <c r="F1990" s="462" t="s">
        <v>21691</v>
      </c>
      <c r="G1990" s="477" t="s">
        <v>21036</v>
      </c>
      <c r="H1990" s="579" t="s">
        <v>15515</v>
      </c>
      <c r="I1990" s="479"/>
      <c r="J1990" s="480"/>
      <c r="K1990" s="466">
        <f>SUM(K1991:K1993)</f>
        <v>10.1928</v>
      </c>
      <c r="L1990" s="480"/>
      <c r="M1990" s="466">
        <f>SUM(M1991:M1993)</f>
        <v>9.6916499999999992</v>
      </c>
      <c r="O1990" s="434" t="str">
        <f t="shared" si="1310"/>
        <v xml:space="preserve">SEM VALOR</v>
      </c>
      <c r="P1990" s="435" t="str">
        <f t="shared" si="1311"/>
        <v xml:space="preserve">SEM VALOR</v>
      </c>
      <c r="AE1990" s="460">
        <v>1243</v>
      </c>
      <c r="AF1990" s="460"/>
      <c r="AH1990">
        <f t="shared" si="1300"/>
        <v>1243</v>
      </c>
    </row>
    <row r="1991" ht="19.5" hidden="1" customHeight="1">
      <c r="A1991" s="217"/>
      <c r="B1991" s="217">
        <v>1243</v>
      </c>
      <c r="C1991" s="217"/>
      <c r="D1991" s="217" t="s">
        <v>20408</v>
      </c>
      <c r="E1991" s="471" t="s">
        <v>20399</v>
      </c>
      <c r="F1991" s="489">
        <v>11161</v>
      </c>
      <c r="G1991" s="488" t="s">
        <v>11379</v>
      </c>
      <c r="H1991" s="499" t="s">
        <v>302</v>
      </c>
      <c r="I1991" s="483">
        <v>0.35999999999999999</v>
      </c>
      <c r="J1991" s="473">
        <f t="shared" si="1305"/>
        <v>2.1899999999999999</v>
      </c>
      <c r="K1991" s="474">
        <f t="shared" ref="K1991:K1993" si="1319">I1991*J1991</f>
        <v>0.78839999999999999</v>
      </c>
      <c r="L1991" s="473">
        <f t="shared" si="1312"/>
        <v>2.1899999999999999</v>
      </c>
      <c r="M1991" s="474">
        <f t="shared" ref="M1991:M1993" si="1320">L1991*I1991</f>
        <v>0.78839999999999999</v>
      </c>
      <c r="O1991" s="434">
        <f t="shared" si="1310"/>
        <v>2.1899999999999999</v>
      </c>
      <c r="P1991" s="435">
        <f t="shared" si="1311"/>
        <v>2.1899999999999999</v>
      </c>
      <c r="AE1991" s="217"/>
      <c r="AF1991" s="217">
        <v>1243</v>
      </c>
      <c r="AH1991">
        <f t="shared" ref="AH1991:AH2054" si="1321">IF(AF1991:AF1992=FALSE,AE1991,AF1991)</f>
        <v>1243</v>
      </c>
    </row>
    <row r="1992" ht="30" hidden="1">
      <c r="A1992" s="217"/>
      <c r="B1992" s="217">
        <v>1243</v>
      </c>
      <c r="C1992" s="217"/>
      <c r="D1992" s="217" t="s">
        <v>17167</v>
      </c>
      <c r="E1992" s="471" t="s">
        <v>20402</v>
      </c>
      <c r="F1992" s="489">
        <v>88310</v>
      </c>
      <c r="G1992" s="470" t="s">
        <v>7386</v>
      </c>
      <c r="H1992" s="499" t="s">
        <v>2032</v>
      </c>
      <c r="I1992" s="483">
        <v>0.29999999999999999</v>
      </c>
      <c r="J1992" s="473">
        <f t="shared" si="1305"/>
        <v>30.210000000000001</v>
      </c>
      <c r="K1992" s="474">
        <f t="shared" si="1319"/>
        <v>9.0630000000000006</v>
      </c>
      <c r="L1992" s="473">
        <f t="shared" si="1312"/>
        <v>28.600000000000001</v>
      </c>
      <c r="M1992" s="474">
        <f t="shared" si="1320"/>
        <v>8.5800000000000001</v>
      </c>
      <c r="O1992" s="434">
        <f t="shared" si="1310"/>
        <v>30.210000000000001</v>
      </c>
      <c r="P1992" s="435">
        <f t="shared" si="1311"/>
        <v>28.600000000000001</v>
      </c>
      <c r="AE1992" s="217"/>
      <c r="AF1992" s="217">
        <v>1243</v>
      </c>
      <c r="AH1992">
        <f t="shared" si="1321"/>
        <v>1243</v>
      </c>
    </row>
    <row r="1993" ht="30" hidden="1">
      <c r="A1993" s="217"/>
      <c r="B1993" s="217">
        <v>1243</v>
      </c>
      <c r="C1993" s="217"/>
      <c r="D1993" s="217" t="s">
        <v>17167</v>
      </c>
      <c r="E1993" s="471" t="s">
        <v>20405</v>
      </c>
      <c r="F1993" s="489">
        <v>88316</v>
      </c>
      <c r="G1993" s="470" t="s">
        <v>7393</v>
      </c>
      <c r="H1993" s="482" t="s">
        <v>2032</v>
      </c>
      <c r="I1993" s="483">
        <v>1.4999999999999999e-002</v>
      </c>
      <c r="J1993" s="473">
        <f t="shared" si="1305"/>
        <v>22.760000000000002</v>
      </c>
      <c r="K1993" s="474">
        <f t="shared" si="1319"/>
        <v>0.34140000000000004</v>
      </c>
      <c r="L1993" s="473">
        <f t="shared" si="1312"/>
        <v>21.550000000000001</v>
      </c>
      <c r="M1993" s="474">
        <f t="shared" si="1320"/>
        <v>0.32324999999999998</v>
      </c>
      <c r="O1993" s="434">
        <f t="shared" si="1310"/>
        <v>22.760000000000002</v>
      </c>
      <c r="P1993" s="435">
        <f t="shared" si="1311"/>
        <v>21.550000000000001</v>
      </c>
      <c r="AE1993" s="217"/>
      <c r="AF1993" s="217">
        <v>1243</v>
      </c>
      <c r="AH1993">
        <f t="shared" si="1321"/>
        <v>1243</v>
      </c>
    </row>
    <row r="1994" ht="54" customHeight="1">
      <c r="A1994" s="460">
        <v>1244</v>
      </c>
      <c r="B1994" s="460">
        <v>1244</v>
      </c>
      <c r="C1994" s="460"/>
      <c r="D1994" s="460"/>
      <c r="E1994" s="461">
        <v>1</v>
      </c>
      <c r="F1994" s="462" t="s">
        <v>20625</v>
      </c>
      <c r="G1994" s="477" t="s">
        <v>21692</v>
      </c>
      <c r="H1994" s="579" t="s">
        <v>31</v>
      </c>
      <c r="I1994" s="479"/>
      <c r="J1994" s="480"/>
      <c r="K1994" s="466">
        <f>SUM(K1995:K1998)</f>
        <v>347.85000000000002</v>
      </c>
      <c r="L1994" s="480"/>
      <c r="M1994" s="466">
        <f>SUM(M1995:M1998)</f>
        <v>331.73720000000003</v>
      </c>
      <c r="O1994" s="434" t="str">
        <f t="shared" si="1310"/>
        <v xml:space="preserve">SEM VALOR</v>
      </c>
      <c r="P1994" s="435" t="str">
        <f t="shared" si="1311"/>
        <v xml:space="preserve">SEM VALOR</v>
      </c>
      <c r="AE1994" s="460">
        <v>1244</v>
      </c>
      <c r="AF1994" s="460"/>
      <c r="AH1994">
        <f t="shared" si="1321"/>
        <v>1244</v>
      </c>
    </row>
    <row r="1995" ht="30">
      <c r="A1995" s="217"/>
      <c r="B1995" s="217">
        <v>1244</v>
      </c>
      <c r="C1995" s="217"/>
      <c r="D1995" s="217" t="s">
        <v>17167</v>
      </c>
      <c r="E1995" s="471" t="s">
        <v>20399</v>
      </c>
      <c r="F1995" s="489">
        <v>88309</v>
      </c>
      <c r="G1995" s="470" t="s">
        <v>7385</v>
      </c>
      <c r="H1995" s="499" t="s">
        <v>2032</v>
      </c>
      <c r="I1995" s="483">
        <v>3.6099999999999999</v>
      </c>
      <c r="J1995" s="473">
        <f t="shared" si="1305"/>
        <v>28.5</v>
      </c>
      <c r="K1995" s="474">
        <f t="shared" ref="K1995:K1998" si="1322">TRUNC(I1995*J1995,2)</f>
        <v>102.88</v>
      </c>
      <c r="L1995" s="473">
        <f t="shared" si="1312"/>
        <v>26.870000000000001</v>
      </c>
      <c r="M1995" s="474">
        <f t="shared" ref="M1995:M1998" si="1323">L1995*I1995</f>
        <v>97.000699999999995</v>
      </c>
      <c r="O1995" s="434">
        <f t="shared" si="1310"/>
        <v>28.5</v>
      </c>
      <c r="P1995" s="435">
        <f t="shared" si="1311"/>
        <v>26.870000000000001</v>
      </c>
      <c r="AE1995" s="217"/>
      <c r="AF1995" s="217">
        <v>1244</v>
      </c>
      <c r="AH1995">
        <f t="shared" si="1321"/>
        <v>1244</v>
      </c>
    </row>
    <row r="1996" ht="30">
      <c r="A1996" s="217"/>
      <c r="B1996" s="217">
        <v>1244</v>
      </c>
      <c r="C1996" s="217"/>
      <c r="D1996" s="217" t="s">
        <v>17167</v>
      </c>
      <c r="E1996" s="471" t="s">
        <v>20402</v>
      </c>
      <c r="F1996" s="489">
        <v>88316</v>
      </c>
      <c r="G1996" s="470" t="s">
        <v>7393</v>
      </c>
      <c r="H1996" s="499" t="s">
        <v>2032</v>
      </c>
      <c r="I1996" s="483">
        <v>7.2300000000000004</v>
      </c>
      <c r="J1996" s="473">
        <f t="shared" si="1305"/>
        <v>22.760000000000002</v>
      </c>
      <c r="K1996" s="474">
        <f t="shared" si="1322"/>
        <v>164.55000000000001</v>
      </c>
      <c r="L1996" s="473">
        <f t="shared" si="1312"/>
        <v>21.550000000000001</v>
      </c>
      <c r="M1996" s="474">
        <f t="shared" si="1323"/>
        <v>155.80650000000003</v>
      </c>
      <c r="O1996" s="434">
        <f t="shared" si="1310"/>
        <v>22.760000000000002</v>
      </c>
      <c r="P1996" s="435">
        <f t="shared" si="1311"/>
        <v>21.550000000000001</v>
      </c>
      <c r="AE1996" s="217"/>
      <c r="AF1996" s="217">
        <v>1244</v>
      </c>
      <c r="AH1996">
        <f t="shared" si="1321"/>
        <v>1244</v>
      </c>
    </row>
    <row r="1997" ht="45">
      <c r="A1997" s="217"/>
      <c r="B1997" s="217">
        <v>1244</v>
      </c>
      <c r="C1997" s="217"/>
      <c r="D1997" s="217" t="s">
        <v>17167</v>
      </c>
      <c r="E1997" s="471" t="s">
        <v>20405</v>
      </c>
      <c r="F1997" s="489">
        <v>88628</v>
      </c>
      <c r="G1997" s="470" t="s">
        <v>20989</v>
      </c>
      <c r="H1997" s="499" t="s">
        <v>15528</v>
      </c>
      <c r="I1997" s="483">
        <v>2.9999999999999999e-002</v>
      </c>
      <c r="J1997" s="473">
        <f t="shared" si="1305"/>
        <v>579.97000000000003</v>
      </c>
      <c r="K1997" s="474">
        <f t="shared" si="1322"/>
        <v>17.390000000000001</v>
      </c>
      <c r="L1997" s="473">
        <f t="shared" si="1312"/>
        <v>574.25999999999999</v>
      </c>
      <c r="M1997" s="474">
        <f t="shared" si="1323"/>
        <v>17.227799999999998</v>
      </c>
      <c r="O1997" s="434">
        <f t="shared" si="1310"/>
        <v>579.97000000000003</v>
      </c>
      <c r="P1997" s="435">
        <f t="shared" si="1311"/>
        <v>574.25999999999999</v>
      </c>
      <c r="AE1997" s="217"/>
      <c r="AF1997" s="217">
        <v>1244</v>
      </c>
      <c r="AH1997">
        <f t="shared" si="1321"/>
        <v>1244</v>
      </c>
    </row>
    <row r="1998" ht="75">
      <c r="A1998" s="217"/>
      <c r="B1998" s="217">
        <v>1244</v>
      </c>
      <c r="C1998" s="217"/>
      <c r="D1998" s="217" t="s">
        <v>20398</v>
      </c>
      <c r="E1998" s="471" t="s">
        <v>20409</v>
      </c>
      <c r="F1998" s="489">
        <v>1067</v>
      </c>
      <c r="G1998" s="470" t="s">
        <v>21017</v>
      </c>
      <c r="H1998" s="482" t="s">
        <v>15515</v>
      </c>
      <c r="I1998" s="483">
        <v>5.9999999999999998e-002</v>
      </c>
      <c r="J1998" s="473">
        <f t="shared" si="1305"/>
        <v>1050.6098</v>
      </c>
      <c r="K1998" s="474">
        <f t="shared" si="1322"/>
        <v>63.030000000000001</v>
      </c>
      <c r="L1998" s="473">
        <f t="shared" si="1312"/>
        <v>1028.3700000000001</v>
      </c>
      <c r="M1998" s="474">
        <f t="shared" si="1323"/>
        <v>61.702200000000005</v>
      </c>
      <c r="O1998" s="434">
        <f t="shared" si="1310"/>
        <v>1050.6098</v>
      </c>
      <c r="P1998" s="435">
        <f t="shared" si="1311"/>
        <v>1028.3700000000001</v>
      </c>
      <c r="AE1998" s="217"/>
      <c r="AF1998" s="217">
        <v>1244</v>
      </c>
      <c r="AH1998">
        <f t="shared" si="1321"/>
        <v>1244</v>
      </c>
    </row>
    <row r="1999" ht="33.75" hidden="1" customHeight="1">
      <c r="A1999" s="460">
        <v>1245</v>
      </c>
      <c r="B1999" s="460">
        <v>1245</v>
      </c>
      <c r="C1999" s="460"/>
      <c r="D1999" s="460"/>
      <c r="E1999" s="461">
        <v>1</v>
      </c>
      <c r="F1999" s="462" t="s">
        <v>21693</v>
      </c>
      <c r="G1999" s="477" t="s">
        <v>21694</v>
      </c>
      <c r="H1999" s="579" t="s">
        <v>15528</v>
      </c>
      <c r="I1999" s="479"/>
      <c r="J1999" s="480"/>
      <c r="K1999" s="466">
        <f>SUM(K2000:K2001)</f>
        <v>332.93000000000001</v>
      </c>
      <c r="L1999" s="480"/>
      <c r="M1999" s="466">
        <f>SUM(M2000:M2001)</f>
        <v>315.08100000000002</v>
      </c>
      <c r="O1999" s="434" t="str">
        <f t="shared" si="1310"/>
        <v xml:space="preserve">SEM VALOR</v>
      </c>
      <c r="P1999" s="435" t="str">
        <f t="shared" si="1311"/>
        <v xml:space="preserve">SEM VALOR</v>
      </c>
      <c r="AE1999" s="460">
        <v>1245</v>
      </c>
      <c r="AF1999" s="460"/>
      <c r="AH1999">
        <f t="shared" si="1321"/>
        <v>1245</v>
      </c>
    </row>
    <row r="2000" ht="30" hidden="1">
      <c r="A2000" s="217"/>
      <c r="B2000" s="217">
        <v>1245</v>
      </c>
      <c r="C2000" s="217"/>
      <c r="D2000" s="217" t="s">
        <v>17167</v>
      </c>
      <c r="E2000" s="471" t="s">
        <v>20399</v>
      </c>
      <c r="F2000" s="489">
        <v>88309</v>
      </c>
      <c r="G2000" s="470" t="s">
        <v>7385</v>
      </c>
      <c r="H2000" s="499" t="s">
        <v>2032</v>
      </c>
      <c r="I2000" s="483">
        <v>1.3</v>
      </c>
      <c r="J2000" s="473">
        <f t="shared" si="1305"/>
        <v>28.5</v>
      </c>
      <c r="K2000" s="474">
        <f t="shared" ref="K2000:K2001" si="1324">I2000*J2000</f>
        <v>37.050000000000004</v>
      </c>
      <c r="L2000" s="473">
        <f t="shared" si="1312"/>
        <v>26.870000000000001</v>
      </c>
      <c r="M2000" s="474">
        <f t="shared" ref="M2000:M2001" si="1325">L2000*I2000</f>
        <v>34.931000000000004</v>
      </c>
      <c r="O2000" s="434">
        <f t="shared" si="1310"/>
        <v>28.5</v>
      </c>
      <c r="P2000" s="435">
        <f t="shared" si="1311"/>
        <v>26.870000000000001</v>
      </c>
      <c r="AE2000" s="217"/>
      <c r="AF2000" s="217">
        <v>1245</v>
      </c>
      <c r="AH2000">
        <f t="shared" si="1321"/>
        <v>1245</v>
      </c>
    </row>
    <row r="2001" ht="30" hidden="1">
      <c r="A2001" s="217"/>
      <c r="B2001" s="217">
        <v>1245</v>
      </c>
      <c r="C2001" s="217"/>
      <c r="D2001" s="217" t="s">
        <v>17167</v>
      </c>
      <c r="E2001" s="471" t="s">
        <v>20402</v>
      </c>
      <c r="F2001" s="489">
        <v>88316</v>
      </c>
      <c r="G2001" s="470" t="s">
        <v>7393</v>
      </c>
      <c r="H2001" s="482" t="s">
        <v>2032</v>
      </c>
      <c r="I2001" s="483">
        <v>13</v>
      </c>
      <c r="J2001" s="473">
        <f t="shared" si="1305"/>
        <v>22.760000000000002</v>
      </c>
      <c r="K2001" s="474">
        <f t="shared" si="1324"/>
        <v>295.88</v>
      </c>
      <c r="L2001" s="473">
        <f t="shared" si="1312"/>
        <v>21.550000000000001</v>
      </c>
      <c r="M2001" s="474">
        <f t="shared" si="1325"/>
        <v>280.15000000000003</v>
      </c>
      <c r="O2001" s="434">
        <f t="shared" si="1310"/>
        <v>22.760000000000002</v>
      </c>
      <c r="P2001" s="435">
        <f t="shared" si="1311"/>
        <v>21.550000000000001</v>
      </c>
      <c r="AE2001" s="217"/>
      <c r="AF2001" s="217">
        <v>1245</v>
      </c>
      <c r="AH2001">
        <f t="shared" si="1321"/>
        <v>1245</v>
      </c>
    </row>
    <row r="2002" ht="78.75" hidden="1">
      <c r="A2002" s="460">
        <v>1246</v>
      </c>
      <c r="B2002" s="460">
        <v>1246</v>
      </c>
      <c r="C2002" s="460"/>
      <c r="D2002" s="460"/>
      <c r="E2002" s="461">
        <v>1</v>
      </c>
      <c r="F2002" s="462" t="s">
        <v>21695</v>
      </c>
      <c r="G2002" s="590" t="s">
        <v>21696</v>
      </c>
      <c r="H2002" s="478" t="s">
        <v>15515</v>
      </c>
      <c r="I2002" s="464"/>
      <c r="J2002" s="465"/>
      <c r="K2002" s="466">
        <f>SUM(K2003:K2008)</f>
        <v>27.998899999999999</v>
      </c>
      <c r="L2002" s="465"/>
      <c r="M2002" s="466">
        <f>SUM(M2003:M2008)</f>
        <v>26.622700000000002</v>
      </c>
      <c r="O2002" s="434" t="str">
        <f t="shared" si="1310"/>
        <v xml:space="preserve">SEM VALOR</v>
      </c>
      <c r="P2002" s="435" t="str">
        <f t="shared" si="1311"/>
        <v xml:space="preserve">SEM VALOR</v>
      </c>
      <c r="AE2002" s="460">
        <v>1246</v>
      </c>
      <c r="AF2002" s="460"/>
      <c r="AH2002">
        <f t="shared" si="1321"/>
        <v>1246</v>
      </c>
    </row>
    <row r="2003" ht="45" hidden="1">
      <c r="A2003" s="217"/>
      <c r="B2003" s="217">
        <v>1246</v>
      </c>
      <c r="C2003" s="217"/>
      <c r="D2003" s="217" t="s">
        <v>20408</v>
      </c>
      <c r="E2003" s="471" t="s">
        <v>20399</v>
      </c>
      <c r="F2003" s="469">
        <v>37524</v>
      </c>
      <c r="G2003" s="470" t="s">
        <v>21697</v>
      </c>
      <c r="H2003" s="499" t="s">
        <v>15344</v>
      </c>
      <c r="I2003" s="483">
        <v>1.1000000000000001</v>
      </c>
      <c r="J2003" s="473">
        <f t="shared" si="1305"/>
        <v>2.1000000000000001</v>
      </c>
      <c r="K2003" s="474">
        <f t="shared" ref="K2003:K2008" si="1326">I2003*J2003</f>
        <v>2.3100000000000005</v>
      </c>
      <c r="L2003" s="475">
        <f t="shared" si="1312"/>
        <v>2.1000000000000001</v>
      </c>
      <c r="M2003" s="474">
        <f t="shared" ref="M2003:M2008" si="1327">L2003*I2003</f>
        <v>2.3100000000000005</v>
      </c>
      <c r="O2003" s="434">
        <f t="shared" si="1310"/>
        <v>2.1000000000000001</v>
      </c>
      <c r="P2003" s="435">
        <f t="shared" si="1311"/>
        <v>2.1000000000000001</v>
      </c>
      <c r="AE2003" s="217"/>
      <c r="AF2003" s="217">
        <v>1246</v>
      </c>
      <c r="AH2003">
        <f t="shared" si="1321"/>
        <v>1246</v>
      </c>
    </row>
    <row r="2004" ht="60" hidden="1">
      <c r="A2004" s="217"/>
      <c r="B2004" s="217">
        <v>1246</v>
      </c>
      <c r="C2004" s="217"/>
      <c r="D2004" s="217" t="s">
        <v>20408</v>
      </c>
      <c r="E2004" s="471" t="s">
        <v>20402</v>
      </c>
      <c r="F2004" s="469">
        <v>4491</v>
      </c>
      <c r="G2004" s="470" t="s">
        <v>20704</v>
      </c>
      <c r="H2004" s="482" t="s">
        <v>15344</v>
      </c>
      <c r="I2004" s="483">
        <v>5.9999999999999998e-002</v>
      </c>
      <c r="J2004" s="473">
        <f t="shared" si="1305"/>
        <v>6.8399999999999999</v>
      </c>
      <c r="K2004" s="474">
        <f t="shared" si="1326"/>
        <v>0.41039999999999999</v>
      </c>
      <c r="L2004" s="475">
        <f t="shared" si="1312"/>
        <v>6.8399999999999999</v>
      </c>
      <c r="M2004" s="474">
        <f t="shared" si="1327"/>
        <v>0.41039999999999999</v>
      </c>
      <c r="O2004" s="434">
        <f t="shared" si="1310"/>
        <v>6.8399999999999999</v>
      </c>
      <c r="P2004" s="435">
        <f t="shared" si="1311"/>
        <v>6.8399999999999999</v>
      </c>
      <c r="AE2004" s="217"/>
      <c r="AF2004" s="217">
        <v>1246</v>
      </c>
      <c r="AH2004">
        <f t="shared" si="1321"/>
        <v>1246</v>
      </c>
    </row>
    <row r="2005" ht="45" hidden="1">
      <c r="A2005" s="217"/>
      <c r="B2005" s="217">
        <v>1246</v>
      </c>
      <c r="C2005" s="217"/>
      <c r="D2005" s="217" t="s">
        <v>20408</v>
      </c>
      <c r="E2005" s="471" t="s">
        <v>20405</v>
      </c>
      <c r="F2005" s="469">
        <v>4509</v>
      </c>
      <c r="G2005" s="470" t="s">
        <v>21698</v>
      </c>
      <c r="H2005" s="499" t="s">
        <v>15344</v>
      </c>
      <c r="I2005" s="483">
        <v>0.20000000000000001</v>
      </c>
      <c r="J2005" s="473">
        <f t="shared" si="1305"/>
        <v>3.4700000000000002</v>
      </c>
      <c r="K2005" s="474">
        <f t="shared" si="1326"/>
        <v>0.69400000000000006</v>
      </c>
      <c r="L2005" s="475">
        <f t="shared" si="1312"/>
        <v>3.4700000000000002</v>
      </c>
      <c r="M2005" s="474">
        <f t="shared" si="1327"/>
        <v>0.69400000000000006</v>
      </c>
      <c r="O2005" s="434">
        <f t="shared" si="1310"/>
        <v>3.4700000000000002</v>
      </c>
      <c r="P2005" s="435">
        <f t="shared" si="1311"/>
        <v>3.4700000000000002</v>
      </c>
      <c r="AE2005" s="217"/>
      <c r="AF2005" s="217">
        <v>1246</v>
      </c>
      <c r="AH2005">
        <f t="shared" si="1321"/>
        <v>1246</v>
      </c>
    </row>
    <row r="2006" ht="30" hidden="1">
      <c r="A2006" s="217"/>
      <c r="B2006" s="217">
        <v>1246</v>
      </c>
      <c r="C2006" s="217"/>
      <c r="D2006" s="217" t="s">
        <v>20408</v>
      </c>
      <c r="E2006" s="471" t="s">
        <v>20409</v>
      </c>
      <c r="F2006" s="469">
        <v>5061</v>
      </c>
      <c r="G2006" s="470" t="s">
        <v>21699</v>
      </c>
      <c r="H2006" s="482" t="s">
        <v>15370</v>
      </c>
      <c r="I2006" s="483">
        <v>1.e-002</v>
      </c>
      <c r="J2006" s="473">
        <f t="shared" si="1305"/>
        <v>19.949999999999999</v>
      </c>
      <c r="K2006" s="474">
        <f t="shared" si="1326"/>
        <v>0.19950000000000001</v>
      </c>
      <c r="L2006" s="475">
        <f t="shared" si="1312"/>
        <v>19.949999999999999</v>
      </c>
      <c r="M2006" s="474">
        <f t="shared" si="1327"/>
        <v>0.19950000000000001</v>
      </c>
      <c r="O2006" s="434">
        <f t="shared" si="1310"/>
        <v>19.949999999999999</v>
      </c>
      <c r="P2006" s="435">
        <f t="shared" si="1311"/>
        <v>19.949999999999999</v>
      </c>
      <c r="AE2006" s="217"/>
      <c r="AF2006" s="217">
        <v>1246</v>
      </c>
      <c r="AH2006">
        <f t="shared" si="1321"/>
        <v>1246</v>
      </c>
    </row>
    <row r="2007" ht="30" hidden="1">
      <c r="A2007" s="217"/>
      <c r="B2007" s="217">
        <v>1246</v>
      </c>
      <c r="C2007" s="217"/>
      <c r="D2007" s="217" t="s">
        <v>17167</v>
      </c>
      <c r="E2007" s="471" t="s">
        <v>20663</v>
      </c>
      <c r="F2007" s="469">
        <v>88239</v>
      </c>
      <c r="G2007" s="470" t="s">
        <v>7088</v>
      </c>
      <c r="H2007" s="499" t="s">
        <v>15443</v>
      </c>
      <c r="I2007" s="483">
        <v>0.53000000000000003</v>
      </c>
      <c r="J2007" s="473">
        <f t="shared" si="1305"/>
        <v>22.98</v>
      </c>
      <c r="K2007" s="474">
        <f t="shared" si="1326"/>
        <v>12.179400000000001</v>
      </c>
      <c r="L2007" s="475">
        <f t="shared" si="1312"/>
        <v>21.719999999999999</v>
      </c>
      <c r="M2007" s="474">
        <f t="shared" si="1327"/>
        <v>11.5116</v>
      </c>
      <c r="O2007" s="434">
        <f t="shared" si="1310"/>
        <v>22.98</v>
      </c>
      <c r="P2007" s="435">
        <f t="shared" si="1311"/>
        <v>21.719999999999999</v>
      </c>
      <c r="AE2007" s="217"/>
      <c r="AF2007" s="217">
        <v>1246</v>
      </c>
      <c r="AH2007">
        <f t="shared" si="1321"/>
        <v>1246</v>
      </c>
    </row>
    <row r="2008" ht="30" hidden="1">
      <c r="A2008" s="217"/>
      <c r="B2008" s="217">
        <v>1246</v>
      </c>
      <c r="C2008" s="217"/>
      <c r="D2008" s="217" t="s">
        <v>17167</v>
      </c>
      <c r="E2008" s="471" t="s">
        <v>20665</v>
      </c>
      <c r="F2008" s="469">
        <v>88262</v>
      </c>
      <c r="G2008" s="470" t="s">
        <v>7127</v>
      </c>
      <c r="H2008" s="482" t="s">
        <v>15443</v>
      </c>
      <c r="I2008" s="483">
        <v>0.44</v>
      </c>
      <c r="J2008" s="473">
        <f t="shared" si="1305"/>
        <v>27.739999999999998</v>
      </c>
      <c r="K2008" s="474">
        <f t="shared" si="1326"/>
        <v>12.205599999999999</v>
      </c>
      <c r="L2008" s="475">
        <f t="shared" si="1312"/>
        <v>26.129999999999999</v>
      </c>
      <c r="M2008" s="474">
        <f t="shared" si="1327"/>
        <v>11.497199999999999</v>
      </c>
      <c r="O2008" s="434">
        <f t="shared" si="1310"/>
        <v>27.739999999999998</v>
      </c>
      <c r="P2008" s="435">
        <f t="shared" si="1311"/>
        <v>26.129999999999999</v>
      </c>
      <c r="AE2008" s="217"/>
      <c r="AF2008" s="217">
        <v>1246</v>
      </c>
      <c r="AH2008">
        <f t="shared" si="1321"/>
        <v>1246</v>
      </c>
    </row>
    <row r="2009" ht="146.25" hidden="1" customHeight="1">
      <c r="A2009" s="460">
        <v>1247</v>
      </c>
      <c r="B2009" s="460">
        <v>1247</v>
      </c>
      <c r="C2009" s="460"/>
      <c r="D2009" s="460"/>
      <c r="E2009" s="461">
        <v>1</v>
      </c>
      <c r="F2009" s="462" t="s">
        <v>21700</v>
      </c>
      <c r="G2009" s="477" t="s">
        <v>21701</v>
      </c>
      <c r="H2009" s="579" t="s">
        <v>20647</v>
      </c>
      <c r="I2009" s="479"/>
      <c r="J2009" s="480"/>
      <c r="K2009" s="466">
        <f>SUM(K2010:K2023)</f>
        <v>5808.1537970000008</v>
      </c>
      <c r="L2009" s="480"/>
      <c r="M2009" s="466">
        <f>SUM(M2010:M2023)</f>
        <v>5670.9505749999989</v>
      </c>
      <c r="N2009" s="467" t="s">
        <v>21702</v>
      </c>
      <c r="O2009" s="434" t="str">
        <f t="shared" si="1310"/>
        <v xml:space="preserve">SEM VALOR</v>
      </c>
      <c r="P2009" s="435" t="str">
        <f t="shared" si="1311"/>
        <v xml:space="preserve">SEM VALOR</v>
      </c>
      <c r="AE2009" s="460">
        <v>1247</v>
      </c>
      <c r="AF2009" s="460"/>
      <c r="AH2009">
        <f t="shared" si="1321"/>
        <v>1247</v>
      </c>
    </row>
    <row r="2010" ht="30" hidden="1">
      <c r="A2010" s="217"/>
      <c r="B2010" s="217">
        <v>1247</v>
      </c>
      <c r="C2010" s="217"/>
      <c r="D2010" s="217" t="s">
        <v>20398</v>
      </c>
      <c r="E2010" s="471" t="s">
        <v>20399</v>
      </c>
      <c r="F2010" s="482">
        <v>1242</v>
      </c>
      <c r="G2010" s="488" t="s">
        <v>20905</v>
      </c>
      <c r="H2010" s="471" t="s">
        <v>15528</v>
      </c>
      <c r="I2010" s="472">
        <v>1.0229999999999999</v>
      </c>
      <c r="J2010" s="473">
        <f t="shared" si="1305"/>
        <v>151.59100000000001</v>
      </c>
      <c r="K2010" s="474">
        <f t="shared" ref="K2010:K2023" si="1328">I2010*J2010</f>
        <v>155.07759300000001</v>
      </c>
      <c r="L2010" s="473">
        <f t="shared" si="1312"/>
        <v>149.17099999999999</v>
      </c>
      <c r="M2010" s="474">
        <f t="shared" ref="M2010:M2023" si="1329">L2010*I2010</f>
        <v>152.60193299999997</v>
      </c>
      <c r="O2010" s="434">
        <f t="shared" si="1310"/>
        <v>151.59100000000001</v>
      </c>
      <c r="P2010" s="435">
        <f t="shared" si="1311"/>
        <v>149.17099999999999</v>
      </c>
      <c r="AE2010" s="217"/>
      <c r="AF2010" s="217">
        <v>1247</v>
      </c>
      <c r="AH2010">
        <f t="shared" si="1321"/>
        <v>1247</v>
      </c>
    </row>
    <row r="2011" ht="75" hidden="1">
      <c r="A2011" s="217"/>
      <c r="B2011" s="217">
        <v>1247</v>
      </c>
      <c r="C2011" s="217"/>
      <c r="D2011" s="217" t="s">
        <v>20398</v>
      </c>
      <c r="E2011" s="471" t="s">
        <v>20402</v>
      </c>
      <c r="F2011" s="482">
        <v>1257</v>
      </c>
      <c r="G2011" s="470" t="s">
        <v>20906</v>
      </c>
      <c r="H2011" s="471" t="s">
        <v>15515</v>
      </c>
      <c r="I2011" s="472">
        <v>12.6</v>
      </c>
      <c r="J2011" s="473">
        <f t="shared" si="1305"/>
        <v>202.65134000000003</v>
      </c>
      <c r="K2011" s="474">
        <f t="shared" si="1328"/>
        <v>2553.4068840000004</v>
      </c>
      <c r="L2011" s="473">
        <f t="shared" si="1312"/>
        <v>197.86072000000001</v>
      </c>
      <c r="M2011" s="474">
        <f t="shared" si="1329"/>
        <v>2493.0450719999999</v>
      </c>
      <c r="O2011" s="434">
        <f t="shared" si="1310"/>
        <v>202.65134000000003</v>
      </c>
      <c r="P2011" s="435">
        <f t="shared" si="1311"/>
        <v>197.86072000000001</v>
      </c>
      <c r="AE2011" s="217"/>
      <c r="AF2011" s="217">
        <v>1247</v>
      </c>
      <c r="AH2011">
        <f t="shared" si="1321"/>
        <v>1247</v>
      </c>
    </row>
    <row r="2012" ht="60" hidden="1">
      <c r="A2012" s="217"/>
      <c r="B2012" s="217">
        <v>1247</v>
      </c>
      <c r="C2012" s="217"/>
      <c r="D2012" s="217" t="s">
        <v>20398</v>
      </c>
      <c r="E2012" s="471" t="s">
        <v>20405</v>
      </c>
      <c r="F2012" s="482">
        <v>1258</v>
      </c>
      <c r="G2012" s="488" t="s">
        <v>20660</v>
      </c>
      <c r="H2012" s="472" t="s">
        <v>15515</v>
      </c>
      <c r="I2012" s="472">
        <v>8</v>
      </c>
      <c r="J2012" s="473">
        <f t="shared" si="1305"/>
        <v>7.5700000000000003</v>
      </c>
      <c r="K2012" s="474">
        <f t="shared" si="1328"/>
        <v>60.560000000000002</v>
      </c>
      <c r="L2012" s="473">
        <f t="shared" si="1312"/>
        <v>7.1846199999999998</v>
      </c>
      <c r="M2012" s="474">
        <f t="shared" si="1329"/>
        <v>57.476959999999998</v>
      </c>
      <c r="O2012" s="434">
        <f t="shared" si="1310"/>
        <v>7.5700000000000003</v>
      </c>
      <c r="P2012" s="435">
        <f t="shared" si="1311"/>
        <v>7.1846199999999998</v>
      </c>
      <c r="AE2012" s="217"/>
      <c r="AF2012" s="217">
        <v>1247</v>
      </c>
      <c r="AH2012">
        <f t="shared" si="1321"/>
        <v>1247</v>
      </c>
    </row>
    <row r="2013" ht="30" hidden="1">
      <c r="A2013" s="217"/>
      <c r="B2013" s="217">
        <v>1247</v>
      </c>
      <c r="C2013" s="217"/>
      <c r="D2013" s="217" t="s">
        <v>20398</v>
      </c>
      <c r="E2013" s="471" t="s">
        <v>20409</v>
      </c>
      <c r="F2013" s="482">
        <v>1259</v>
      </c>
      <c r="G2013" s="470" t="s">
        <v>21294</v>
      </c>
      <c r="H2013" s="472" t="s">
        <v>15528</v>
      </c>
      <c r="I2013" s="472">
        <v>1.3</v>
      </c>
      <c r="J2013" s="473">
        <f t="shared" si="1305"/>
        <v>45.520000000000003</v>
      </c>
      <c r="K2013" s="474">
        <f t="shared" si="1328"/>
        <v>59.176000000000009</v>
      </c>
      <c r="L2013" s="473">
        <f t="shared" si="1312"/>
        <v>43.100000000000001</v>
      </c>
      <c r="M2013" s="474">
        <f t="shared" si="1329"/>
        <v>56.030000000000001</v>
      </c>
      <c r="O2013" s="434">
        <f t="shared" si="1310"/>
        <v>45.520000000000003</v>
      </c>
      <c r="P2013" s="435">
        <f t="shared" si="1311"/>
        <v>43.100000000000001</v>
      </c>
      <c r="AE2013" s="217"/>
      <c r="AF2013" s="217">
        <v>1247</v>
      </c>
      <c r="AH2013">
        <f t="shared" si="1321"/>
        <v>1247</v>
      </c>
    </row>
    <row r="2014" ht="105" hidden="1">
      <c r="A2014" s="217"/>
      <c r="B2014" s="217">
        <v>1247</v>
      </c>
      <c r="C2014" s="217"/>
      <c r="D2014" s="217" t="s">
        <v>17167</v>
      </c>
      <c r="E2014" s="471" t="s">
        <v>20663</v>
      </c>
      <c r="F2014" s="489">
        <v>5928</v>
      </c>
      <c r="G2014" s="470" t="s">
        <v>1739</v>
      </c>
      <c r="H2014" s="472" t="s">
        <v>1535</v>
      </c>
      <c r="I2014" s="472">
        <v>0.10000000000000001</v>
      </c>
      <c r="J2014" s="473">
        <f t="shared" ref="J2014:J2077" si="1330">O2014*$J$3</f>
        <v>298.70999999999998</v>
      </c>
      <c r="K2014" s="474">
        <f t="shared" si="1328"/>
        <v>29.870999999999999</v>
      </c>
      <c r="L2014" s="473">
        <f t="shared" si="1312"/>
        <v>296.98000000000002</v>
      </c>
      <c r="M2014" s="474">
        <f t="shared" si="1329"/>
        <v>29.698000000000004</v>
      </c>
      <c r="O2014" s="434">
        <f t="shared" si="1310"/>
        <v>298.70999999999998</v>
      </c>
      <c r="P2014" s="435">
        <f t="shared" si="1311"/>
        <v>296.98000000000002</v>
      </c>
      <c r="AE2014" s="217"/>
      <c r="AF2014" s="217">
        <v>1247</v>
      </c>
      <c r="AH2014">
        <f t="shared" si="1321"/>
        <v>1247</v>
      </c>
    </row>
    <row r="2015" ht="45" hidden="1">
      <c r="A2015" s="217"/>
      <c r="B2015" s="217">
        <v>1247</v>
      </c>
      <c r="C2015" s="217"/>
      <c r="D2015" s="217" t="s">
        <v>20398</v>
      </c>
      <c r="E2015" s="471" t="s">
        <v>20665</v>
      </c>
      <c r="F2015" s="489">
        <v>1000</v>
      </c>
      <c r="G2015" s="488" t="s">
        <v>20651</v>
      </c>
      <c r="H2015" s="472" t="s">
        <v>15528</v>
      </c>
      <c r="I2015" s="472">
        <v>2.3799999999999999</v>
      </c>
      <c r="J2015" s="473">
        <f t="shared" si="1330"/>
        <v>149.904</v>
      </c>
      <c r="K2015" s="474">
        <f t="shared" si="1328"/>
        <v>356.77151999999995</v>
      </c>
      <c r="L2015" s="473">
        <f t="shared" si="1312"/>
        <v>141.76949999999999</v>
      </c>
      <c r="M2015" s="474">
        <f t="shared" si="1329"/>
        <v>337.41140999999999</v>
      </c>
      <c r="O2015" s="434">
        <f t="shared" si="1310"/>
        <v>149.904</v>
      </c>
      <c r="P2015" s="435">
        <f t="shared" si="1311"/>
        <v>141.76949999999999</v>
      </c>
      <c r="AE2015" s="217"/>
      <c r="AF2015" s="217">
        <v>1247</v>
      </c>
      <c r="AH2015">
        <f t="shared" si="1321"/>
        <v>1247</v>
      </c>
    </row>
    <row r="2016" ht="60" hidden="1">
      <c r="A2016" s="217"/>
      <c r="B2016" s="217">
        <v>1247</v>
      </c>
      <c r="C2016" s="217"/>
      <c r="D2016" s="217" t="s">
        <v>17167</v>
      </c>
      <c r="E2016" s="471" t="s">
        <v>20667</v>
      </c>
      <c r="F2016" s="489">
        <v>87313</v>
      </c>
      <c r="G2016" s="470" t="s">
        <v>20909</v>
      </c>
      <c r="H2016" s="472" t="s">
        <v>15528</v>
      </c>
      <c r="I2016" s="472">
        <v>0.28499999999999998</v>
      </c>
      <c r="J2016" s="473">
        <f t="shared" si="1330"/>
        <v>549.88</v>
      </c>
      <c r="K2016" s="474">
        <f t="shared" si="1328"/>
        <v>156.71579999999997</v>
      </c>
      <c r="L2016" s="473">
        <f t="shared" si="1312"/>
        <v>542.65999999999997</v>
      </c>
      <c r="M2016" s="474">
        <f t="shared" si="1329"/>
        <v>154.65809999999999</v>
      </c>
      <c r="O2016" s="434">
        <f t="shared" si="1310"/>
        <v>549.88</v>
      </c>
      <c r="P2016" s="435">
        <f t="shared" si="1311"/>
        <v>542.65999999999997</v>
      </c>
      <c r="AE2016" s="217"/>
      <c r="AF2016" s="217">
        <v>1247</v>
      </c>
      <c r="AH2016">
        <f t="shared" si="1321"/>
        <v>1247</v>
      </c>
    </row>
    <row r="2017" ht="75" hidden="1">
      <c r="A2017" s="217"/>
      <c r="B2017" s="217">
        <v>1247</v>
      </c>
      <c r="C2017" s="217"/>
      <c r="D2017" s="217" t="s">
        <v>17167</v>
      </c>
      <c r="E2017" s="471" t="s">
        <v>20671</v>
      </c>
      <c r="F2017" s="489">
        <v>87878</v>
      </c>
      <c r="G2017" s="470" t="s">
        <v>20910</v>
      </c>
      <c r="H2017" s="471" t="s">
        <v>15515</v>
      </c>
      <c r="I2017" s="472">
        <v>11.4</v>
      </c>
      <c r="J2017" s="473">
        <f t="shared" si="1330"/>
        <v>5.0099999999999998</v>
      </c>
      <c r="K2017" s="474">
        <f t="shared" si="1328"/>
        <v>57.113999999999997</v>
      </c>
      <c r="L2017" s="473">
        <f t="shared" si="1312"/>
        <v>4.7999999999999998</v>
      </c>
      <c r="M2017" s="474">
        <f t="shared" si="1329"/>
        <v>54.719999999999999</v>
      </c>
      <c r="O2017" s="434">
        <f t="shared" si="1310"/>
        <v>5.0099999999999998</v>
      </c>
      <c r="P2017" s="435">
        <f t="shared" si="1311"/>
        <v>4.7999999999999998</v>
      </c>
      <c r="AE2017" s="217"/>
      <c r="AF2017" s="217">
        <v>1247</v>
      </c>
      <c r="AH2017">
        <f t="shared" si="1321"/>
        <v>1247</v>
      </c>
    </row>
    <row r="2018" ht="75" hidden="1">
      <c r="A2018" s="217"/>
      <c r="B2018" s="217">
        <v>1247</v>
      </c>
      <c r="C2018" s="217"/>
      <c r="D2018" s="217" t="s">
        <v>17167</v>
      </c>
      <c r="E2018" s="471" t="s">
        <v>20672</v>
      </c>
      <c r="F2018" s="489">
        <v>92915</v>
      </c>
      <c r="G2018" s="470" t="s">
        <v>20970</v>
      </c>
      <c r="H2018" s="471" t="s">
        <v>302</v>
      </c>
      <c r="I2018" s="472">
        <v>8</v>
      </c>
      <c r="J2018" s="473">
        <f t="shared" si="1330"/>
        <v>16.649999999999999</v>
      </c>
      <c r="K2018" s="474">
        <f t="shared" si="1328"/>
        <v>133.19999999999999</v>
      </c>
      <c r="L2018" s="473">
        <f t="shared" si="1312"/>
        <v>16.199999999999999</v>
      </c>
      <c r="M2018" s="474">
        <f t="shared" si="1329"/>
        <v>129.59999999999999</v>
      </c>
      <c r="O2018" s="434">
        <f t="shared" si="1310"/>
        <v>16.649999999999999</v>
      </c>
      <c r="P2018" s="435">
        <f t="shared" si="1311"/>
        <v>16.199999999999999</v>
      </c>
      <c r="AE2018" s="217"/>
      <c r="AF2018" s="217">
        <v>1247</v>
      </c>
      <c r="AH2018">
        <f t="shared" si="1321"/>
        <v>1247</v>
      </c>
    </row>
    <row r="2019" ht="75" hidden="1">
      <c r="A2019" s="217"/>
      <c r="B2019" s="217">
        <v>1247</v>
      </c>
      <c r="C2019" s="217"/>
      <c r="D2019" s="217" t="s">
        <v>17167</v>
      </c>
      <c r="E2019" s="471" t="s">
        <v>20673</v>
      </c>
      <c r="F2019" s="489">
        <v>92916</v>
      </c>
      <c r="G2019" s="470" t="s">
        <v>20969</v>
      </c>
      <c r="H2019" s="471" t="s">
        <v>302</v>
      </c>
      <c r="I2019" s="472">
        <v>60</v>
      </c>
      <c r="J2019" s="473">
        <f t="shared" si="1330"/>
        <v>15</v>
      </c>
      <c r="K2019" s="474">
        <f t="shared" si="1328"/>
        <v>900</v>
      </c>
      <c r="L2019" s="473">
        <f t="shared" si="1312"/>
        <v>14.69</v>
      </c>
      <c r="M2019" s="474">
        <f t="shared" si="1329"/>
        <v>881.39999999999998</v>
      </c>
      <c r="O2019" s="434">
        <f t="shared" si="1310"/>
        <v>15</v>
      </c>
      <c r="P2019" s="435">
        <f t="shared" si="1311"/>
        <v>14.69</v>
      </c>
      <c r="AE2019" s="217"/>
      <c r="AF2019" s="217">
        <v>1247</v>
      </c>
      <c r="AH2019">
        <f t="shared" si="1321"/>
        <v>1247</v>
      </c>
    </row>
    <row r="2020" ht="45" hidden="1">
      <c r="A2020" s="217"/>
      <c r="B2020" s="217">
        <v>1247</v>
      </c>
      <c r="C2020" s="217"/>
      <c r="D2020" s="217" t="s">
        <v>17167</v>
      </c>
      <c r="E2020" s="471" t="s">
        <v>20675</v>
      </c>
      <c r="F2020" s="489">
        <v>93382</v>
      </c>
      <c r="G2020" s="470" t="s">
        <v>20722</v>
      </c>
      <c r="H2020" s="471" t="s">
        <v>15528</v>
      </c>
      <c r="I2020" s="472">
        <v>1.1499999999999999</v>
      </c>
      <c r="J2020" s="473">
        <f t="shared" si="1330"/>
        <v>27.52</v>
      </c>
      <c r="K2020" s="474">
        <f t="shared" si="1328"/>
        <v>31.647999999999996</v>
      </c>
      <c r="L2020" s="473">
        <f t="shared" si="1312"/>
        <v>26.190000000000001</v>
      </c>
      <c r="M2020" s="474">
        <f t="shared" si="1329"/>
        <v>30.118499999999997</v>
      </c>
      <c r="O2020" s="434">
        <f t="shared" si="1310"/>
        <v>27.52</v>
      </c>
      <c r="P2020" s="435">
        <f t="shared" si="1311"/>
        <v>26.190000000000001</v>
      </c>
      <c r="AE2020" s="217"/>
      <c r="AF2020" s="217">
        <v>1247</v>
      </c>
      <c r="AH2020">
        <f t="shared" si="1321"/>
        <v>1247</v>
      </c>
    </row>
    <row r="2021" ht="60" hidden="1">
      <c r="A2021" s="217"/>
      <c r="B2021" s="217">
        <v>1247</v>
      </c>
      <c r="C2021" s="217"/>
      <c r="D2021" s="217" t="s">
        <v>17167</v>
      </c>
      <c r="E2021" s="471" t="s">
        <v>20677</v>
      </c>
      <c r="F2021" s="489">
        <v>94963</v>
      </c>
      <c r="G2021" s="470" t="s">
        <v>20911</v>
      </c>
      <c r="H2021" s="471" t="s">
        <v>15528</v>
      </c>
      <c r="I2021" s="472">
        <v>1.74</v>
      </c>
      <c r="J2021" s="473">
        <f t="shared" si="1330"/>
        <v>441.43000000000001</v>
      </c>
      <c r="K2021" s="474">
        <f t="shared" si="1328"/>
        <v>768.08820000000003</v>
      </c>
      <c r="L2021" s="473">
        <f t="shared" si="1312"/>
        <v>436.14999999999998</v>
      </c>
      <c r="M2021" s="474">
        <f t="shared" si="1329"/>
        <v>758.90099999999995</v>
      </c>
      <c r="O2021" s="434">
        <f t="shared" si="1310"/>
        <v>441.43000000000001</v>
      </c>
      <c r="P2021" s="435">
        <f t="shared" si="1311"/>
        <v>436.14999999999998</v>
      </c>
      <c r="AE2021" s="217"/>
      <c r="AF2021" s="217">
        <v>1247</v>
      </c>
      <c r="AH2021">
        <f t="shared" si="1321"/>
        <v>1247</v>
      </c>
    </row>
    <row r="2022" ht="60" hidden="1">
      <c r="A2022" s="217"/>
      <c r="B2022" s="217">
        <v>1247</v>
      </c>
      <c r="C2022" s="217"/>
      <c r="D2022" s="217" t="s">
        <v>17167</v>
      </c>
      <c r="E2022" s="471" t="s">
        <v>20679</v>
      </c>
      <c r="F2022" s="489">
        <v>94964</v>
      </c>
      <c r="G2022" s="470" t="s">
        <v>20686</v>
      </c>
      <c r="H2022" s="471" t="s">
        <v>15528</v>
      </c>
      <c r="I2022" s="472">
        <v>0.64000000000000001</v>
      </c>
      <c r="J2022" s="473">
        <f t="shared" si="1330"/>
        <v>488.52999999999997</v>
      </c>
      <c r="K2022" s="474">
        <f t="shared" si="1328"/>
        <v>312.6592</v>
      </c>
      <c r="L2022" s="473">
        <f t="shared" si="1312"/>
        <v>482.79000000000002</v>
      </c>
      <c r="M2022" s="474">
        <f t="shared" si="1329"/>
        <v>308.98560000000003</v>
      </c>
      <c r="O2022" s="434">
        <f t="shared" si="1310"/>
        <v>488.52999999999997</v>
      </c>
      <c r="P2022" s="435">
        <f t="shared" si="1311"/>
        <v>482.79000000000002</v>
      </c>
      <c r="AE2022" s="217"/>
      <c r="AF2022" s="217">
        <v>1247</v>
      </c>
      <c r="AH2022">
        <f t="shared" si="1321"/>
        <v>1247</v>
      </c>
    </row>
    <row r="2023" ht="60" hidden="1">
      <c r="A2023" s="217"/>
      <c r="B2023" s="217">
        <v>1247</v>
      </c>
      <c r="C2023" s="217"/>
      <c r="D2023" s="217" t="s">
        <v>17167</v>
      </c>
      <c r="E2023" s="471" t="s">
        <v>20681</v>
      </c>
      <c r="F2023" s="489">
        <v>96533</v>
      </c>
      <c r="G2023" s="470" t="s">
        <v>20912</v>
      </c>
      <c r="H2023" s="471" t="s">
        <v>15515</v>
      </c>
      <c r="I2023" s="472">
        <v>2.7200000000000002</v>
      </c>
      <c r="J2023" s="473">
        <f t="shared" si="1330"/>
        <v>85.980000000000004</v>
      </c>
      <c r="K2023" s="474">
        <f t="shared" si="1328"/>
        <v>233.86560000000003</v>
      </c>
      <c r="L2023" s="473">
        <f t="shared" si="1312"/>
        <v>83.200000000000003</v>
      </c>
      <c r="M2023" s="474">
        <f t="shared" si="1329"/>
        <v>226.30400000000003</v>
      </c>
      <c r="O2023" s="434">
        <f t="shared" si="1310"/>
        <v>85.980000000000004</v>
      </c>
      <c r="P2023" s="435">
        <f t="shared" si="1311"/>
        <v>83.200000000000003</v>
      </c>
      <c r="AE2023" s="217"/>
      <c r="AF2023" s="217">
        <v>1247</v>
      </c>
      <c r="AH2023">
        <f t="shared" si="1321"/>
        <v>1247</v>
      </c>
    </row>
    <row r="2024" ht="144.75" hidden="1" customHeight="1">
      <c r="A2024" s="460">
        <v>1248</v>
      </c>
      <c r="B2024" s="460">
        <v>1248</v>
      </c>
      <c r="C2024" s="460"/>
      <c r="D2024" s="460"/>
      <c r="E2024" s="461">
        <v>1</v>
      </c>
      <c r="F2024" s="462" t="s">
        <v>21703</v>
      </c>
      <c r="G2024" s="477" t="s">
        <v>21704</v>
      </c>
      <c r="H2024" s="579" t="s">
        <v>20647</v>
      </c>
      <c r="I2024" s="479"/>
      <c r="J2024" s="480"/>
      <c r="K2024" s="466">
        <f>SUM(K2025:K2038)</f>
        <v>6717.8550747200006</v>
      </c>
      <c r="L2024" s="480"/>
      <c r="M2024" s="466">
        <f>SUM(M2025:M2038)</f>
        <v>6558.3937743199995</v>
      </c>
      <c r="N2024" s="467" t="s">
        <v>21705</v>
      </c>
      <c r="O2024" s="434" t="str">
        <f t="shared" si="1310"/>
        <v xml:space="preserve">SEM VALOR</v>
      </c>
      <c r="P2024" s="435" t="str">
        <f t="shared" si="1311"/>
        <v xml:space="preserve">SEM VALOR</v>
      </c>
      <c r="AE2024" s="460">
        <v>1248</v>
      </c>
      <c r="AF2024" s="460"/>
      <c r="AH2024">
        <f t="shared" si="1321"/>
        <v>1248</v>
      </c>
    </row>
    <row r="2025" ht="30" hidden="1">
      <c r="A2025" s="217"/>
      <c r="B2025" s="217">
        <v>1248</v>
      </c>
      <c r="C2025" s="217"/>
      <c r="D2025" s="217" t="s">
        <v>20398</v>
      </c>
      <c r="E2025" s="471" t="s">
        <v>20399</v>
      </c>
      <c r="F2025" s="482">
        <v>1242</v>
      </c>
      <c r="G2025" s="488" t="s">
        <v>20905</v>
      </c>
      <c r="H2025" s="471" t="s">
        <v>15528</v>
      </c>
      <c r="I2025" s="472">
        <v>1.2439199999999999</v>
      </c>
      <c r="J2025" s="473">
        <f t="shared" si="1330"/>
        <v>151.59100000000001</v>
      </c>
      <c r="K2025" s="474">
        <f t="shared" ref="K2025:K2038" si="1331">I2025*J2025</f>
        <v>188.56707671999999</v>
      </c>
      <c r="L2025" s="473">
        <f t="shared" si="1312"/>
        <v>149.17099999999999</v>
      </c>
      <c r="M2025" s="474">
        <f t="shared" ref="M2025:M2038" si="1332">L2025*I2025</f>
        <v>185.55679031999998</v>
      </c>
      <c r="O2025" s="434">
        <f t="shared" si="1310"/>
        <v>151.59100000000001</v>
      </c>
      <c r="P2025" s="435">
        <f t="shared" si="1311"/>
        <v>149.17099999999999</v>
      </c>
      <c r="AE2025" s="217"/>
      <c r="AF2025" s="217">
        <v>1248</v>
      </c>
      <c r="AH2025">
        <f t="shared" si="1321"/>
        <v>1248</v>
      </c>
    </row>
    <row r="2026" ht="75" hidden="1">
      <c r="A2026" s="217"/>
      <c r="B2026" s="217">
        <v>1248</v>
      </c>
      <c r="C2026" s="217"/>
      <c r="D2026" s="217" t="s">
        <v>20398</v>
      </c>
      <c r="E2026" s="471" t="s">
        <v>20402</v>
      </c>
      <c r="F2026" s="482">
        <v>1257</v>
      </c>
      <c r="G2026" s="470" t="s">
        <v>20906</v>
      </c>
      <c r="H2026" s="471" t="s">
        <v>15515</v>
      </c>
      <c r="I2026" s="472">
        <v>14.699999999999999</v>
      </c>
      <c r="J2026" s="473">
        <f t="shared" si="1330"/>
        <v>202.65134000000003</v>
      </c>
      <c r="K2026" s="474">
        <f t="shared" si="1331"/>
        <v>2978.9746980000004</v>
      </c>
      <c r="L2026" s="473">
        <f t="shared" si="1312"/>
        <v>197.86072000000001</v>
      </c>
      <c r="M2026" s="474">
        <f t="shared" si="1332"/>
        <v>2908.552584</v>
      </c>
      <c r="O2026" s="434">
        <f t="shared" si="1310"/>
        <v>202.65134000000003</v>
      </c>
      <c r="P2026" s="435">
        <f t="shared" si="1311"/>
        <v>197.86072000000001</v>
      </c>
      <c r="AE2026" s="217"/>
      <c r="AF2026" s="217">
        <v>1248</v>
      </c>
      <c r="AH2026">
        <f t="shared" si="1321"/>
        <v>1248</v>
      </c>
    </row>
    <row r="2027" ht="60" hidden="1">
      <c r="A2027" s="217"/>
      <c r="B2027" s="217">
        <v>1248</v>
      </c>
      <c r="C2027" s="217"/>
      <c r="D2027" s="217" t="s">
        <v>20398</v>
      </c>
      <c r="E2027" s="471" t="s">
        <v>20405</v>
      </c>
      <c r="F2027" s="482">
        <v>1258</v>
      </c>
      <c r="G2027" s="488" t="s">
        <v>20660</v>
      </c>
      <c r="H2027" s="472" t="s">
        <v>15515</v>
      </c>
      <c r="I2027" s="472">
        <v>10</v>
      </c>
      <c r="J2027" s="473">
        <f t="shared" si="1330"/>
        <v>7.5700000000000003</v>
      </c>
      <c r="K2027" s="474">
        <f t="shared" si="1331"/>
        <v>75.700000000000003</v>
      </c>
      <c r="L2027" s="473">
        <f t="shared" si="1312"/>
        <v>7.1846199999999998</v>
      </c>
      <c r="M2027" s="474">
        <f t="shared" si="1332"/>
        <v>71.846199999999996</v>
      </c>
      <c r="O2027" s="434">
        <f t="shared" si="1310"/>
        <v>7.5700000000000003</v>
      </c>
      <c r="P2027" s="435">
        <f t="shared" si="1311"/>
        <v>7.1846199999999998</v>
      </c>
      <c r="AE2027" s="217"/>
      <c r="AF2027" s="217">
        <v>1248</v>
      </c>
      <c r="AH2027">
        <f t="shared" si="1321"/>
        <v>1248</v>
      </c>
    </row>
    <row r="2028" ht="30" hidden="1">
      <c r="A2028" s="217"/>
      <c r="B2028" s="217">
        <v>1248</v>
      </c>
      <c r="C2028" s="217"/>
      <c r="D2028" s="217" t="s">
        <v>20398</v>
      </c>
      <c r="E2028" s="471" t="s">
        <v>20409</v>
      </c>
      <c r="F2028" s="482">
        <v>1259</v>
      </c>
      <c r="G2028" s="470" t="s">
        <v>21294</v>
      </c>
      <c r="H2028" s="472" t="s">
        <v>15528</v>
      </c>
      <c r="I2028" s="472">
        <v>1.5</v>
      </c>
      <c r="J2028" s="473">
        <f t="shared" si="1330"/>
        <v>45.520000000000003</v>
      </c>
      <c r="K2028" s="474">
        <f t="shared" si="1331"/>
        <v>68.280000000000001</v>
      </c>
      <c r="L2028" s="473">
        <f t="shared" si="1312"/>
        <v>43.100000000000001</v>
      </c>
      <c r="M2028" s="474">
        <f t="shared" si="1332"/>
        <v>64.650000000000006</v>
      </c>
      <c r="O2028" s="434">
        <f t="shared" ref="O2028:O2091" si="1333">IFERROR(IF(D2028="SINAPI",VLOOKUP(F2028,SINCOMOD,4,FALSE),IF(D2028="INSINAPI",VLOOKUP(F2028,INSINOD,5,FALSE),IF(D2028="SICRO",VLOOKUP(F2028,SICRO,5,FALSE),IF(D2028="COTACAO",VLOOKUP(F2028,COTACAO,6,FALSE),IF(D2028="PRÓPRIO",VLOOKUP(F2028,COMPOD,11,FALSE),IF(D2028="AGESUL",VLOOKUP(F2028,AGESULOD,6,FALSE),IF(D2028="INSAGESUL",VLOOKUP(F2028,INSAGESUL,7,FALSE),"SEM VALOR"))))))),"SEM VALOR")</f>
        <v>45.520000000000003</v>
      </c>
      <c r="P2028" s="435">
        <f t="shared" ref="P2028:P2091" si="1334">IFERROR(IF(D2028="SINAPI",VLOOKUP(F2028,SINCOMOD,6,FALSE),IF(D2028="INSINAPI",VLOOKUP(F2028,INSINOD,6,FALSE),IF(D2028="SICRO",VLOOKUP(F2028,SICRO,5,FALSE),IF(D2028="COTACAO",VLOOKUP(F2028,COTACAO,6,FALSE),IF(D2028="PRÓPRIO",VLOOKUP(F2028,COMPOD,13,FALSE),IF(D2028="AGESUL",VLOOKUP(F2028,AGESULOD,11,FALSE),IF(D2028="INSAGESUL",VLOOKUP(F2028,INSAGESUL,8,FALSE),"SEM VALOR"))))))),"SEM VALOR")</f>
        <v>43.100000000000001</v>
      </c>
      <c r="AE2028" s="217"/>
      <c r="AF2028" s="217">
        <v>1248</v>
      </c>
      <c r="AH2028">
        <f t="shared" si="1321"/>
        <v>1248</v>
      </c>
    </row>
    <row r="2029" ht="105" hidden="1">
      <c r="A2029" s="217"/>
      <c r="B2029" s="217">
        <v>1248</v>
      </c>
      <c r="C2029" s="217"/>
      <c r="D2029" s="217" t="s">
        <v>17167</v>
      </c>
      <c r="E2029" s="471" t="s">
        <v>20663</v>
      </c>
      <c r="F2029" s="489">
        <v>5928</v>
      </c>
      <c r="G2029" s="470" t="s">
        <v>1739</v>
      </c>
      <c r="H2029" s="472" t="s">
        <v>1535</v>
      </c>
      <c r="I2029" s="472">
        <v>0.10000000000000001</v>
      </c>
      <c r="J2029" s="473">
        <f t="shared" si="1330"/>
        <v>298.70999999999998</v>
      </c>
      <c r="K2029" s="474">
        <f t="shared" si="1331"/>
        <v>29.870999999999999</v>
      </c>
      <c r="L2029" s="473">
        <f t="shared" ref="L2029:L2092" si="1335">P2029*$L$3</f>
        <v>296.98000000000002</v>
      </c>
      <c r="M2029" s="474">
        <f t="shared" si="1332"/>
        <v>29.698000000000004</v>
      </c>
      <c r="O2029" s="434">
        <f t="shared" si="1333"/>
        <v>298.70999999999998</v>
      </c>
      <c r="P2029" s="435">
        <f t="shared" si="1334"/>
        <v>296.98000000000002</v>
      </c>
      <c r="AE2029" s="217"/>
      <c r="AF2029" s="217">
        <v>1248</v>
      </c>
      <c r="AH2029">
        <f t="shared" si="1321"/>
        <v>1248</v>
      </c>
    </row>
    <row r="2030" ht="45" hidden="1">
      <c r="A2030" s="217"/>
      <c r="B2030" s="217">
        <v>1248</v>
      </c>
      <c r="C2030" s="217"/>
      <c r="D2030" s="217" t="s">
        <v>20398</v>
      </c>
      <c r="E2030" s="471" t="s">
        <v>20665</v>
      </c>
      <c r="F2030" s="489">
        <v>1000</v>
      </c>
      <c r="G2030" s="488" t="s">
        <v>20651</v>
      </c>
      <c r="H2030" s="472" t="s">
        <v>15528</v>
      </c>
      <c r="I2030" s="472">
        <v>3.1000000000000001</v>
      </c>
      <c r="J2030" s="473">
        <f t="shared" si="1330"/>
        <v>149.904</v>
      </c>
      <c r="K2030" s="474">
        <f t="shared" si="1331"/>
        <v>464.70240000000001</v>
      </c>
      <c r="L2030" s="473">
        <f t="shared" si="1335"/>
        <v>141.76949999999999</v>
      </c>
      <c r="M2030" s="474">
        <f t="shared" si="1332"/>
        <v>439.48545000000001</v>
      </c>
      <c r="O2030" s="434">
        <f t="shared" si="1333"/>
        <v>149.904</v>
      </c>
      <c r="P2030" s="435">
        <f t="shared" si="1334"/>
        <v>141.76949999999999</v>
      </c>
      <c r="AE2030" s="217"/>
      <c r="AF2030" s="217">
        <v>1248</v>
      </c>
      <c r="AH2030">
        <f t="shared" si="1321"/>
        <v>1248</v>
      </c>
    </row>
    <row r="2031" ht="60" hidden="1">
      <c r="A2031" s="217"/>
      <c r="B2031" s="217">
        <v>1248</v>
      </c>
      <c r="C2031" s="217"/>
      <c r="D2031" s="217" t="s">
        <v>17167</v>
      </c>
      <c r="E2031" s="471" t="s">
        <v>20667</v>
      </c>
      <c r="F2031" s="489">
        <v>87313</v>
      </c>
      <c r="G2031" s="470" t="s">
        <v>20909</v>
      </c>
      <c r="H2031" s="472" t="s">
        <v>15528</v>
      </c>
      <c r="I2031" s="472">
        <v>0.33750000000000002</v>
      </c>
      <c r="J2031" s="473">
        <f t="shared" si="1330"/>
        <v>549.88</v>
      </c>
      <c r="K2031" s="474">
        <f t="shared" si="1331"/>
        <v>185.58450000000002</v>
      </c>
      <c r="L2031" s="473">
        <f t="shared" si="1335"/>
        <v>542.65999999999997</v>
      </c>
      <c r="M2031" s="474">
        <f t="shared" si="1332"/>
        <v>183.14775</v>
      </c>
      <c r="O2031" s="434">
        <f t="shared" si="1333"/>
        <v>549.88</v>
      </c>
      <c r="P2031" s="435">
        <f t="shared" si="1334"/>
        <v>542.65999999999997</v>
      </c>
      <c r="AE2031" s="217"/>
      <c r="AF2031" s="217">
        <v>1248</v>
      </c>
      <c r="AH2031">
        <f t="shared" si="1321"/>
        <v>1248</v>
      </c>
    </row>
    <row r="2032" ht="75" hidden="1">
      <c r="A2032" s="217"/>
      <c r="B2032" s="217">
        <v>1248</v>
      </c>
      <c r="C2032" s="217"/>
      <c r="D2032" s="217" t="s">
        <v>17167</v>
      </c>
      <c r="E2032" s="471" t="s">
        <v>20671</v>
      </c>
      <c r="F2032" s="489">
        <v>87878</v>
      </c>
      <c r="G2032" s="470" t="s">
        <v>20910</v>
      </c>
      <c r="H2032" s="471" t="s">
        <v>15515</v>
      </c>
      <c r="I2032" s="472">
        <v>13.5</v>
      </c>
      <c r="J2032" s="473">
        <f t="shared" si="1330"/>
        <v>5.0099999999999998</v>
      </c>
      <c r="K2032" s="474">
        <f t="shared" si="1331"/>
        <v>67.634999999999991</v>
      </c>
      <c r="L2032" s="473">
        <f t="shared" si="1335"/>
        <v>4.7999999999999998</v>
      </c>
      <c r="M2032" s="474">
        <f t="shared" si="1332"/>
        <v>64.799999999999997</v>
      </c>
      <c r="O2032" s="434">
        <f t="shared" si="1333"/>
        <v>5.0099999999999998</v>
      </c>
      <c r="P2032" s="435">
        <f t="shared" si="1334"/>
        <v>4.7999999999999998</v>
      </c>
      <c r="AE2032" s="217"/>
      <c r="AF2032" s="217">
        <v>1248</v>
      </c>
      <c r="AH2032">
        <f t="shared" si="1321"/>
        <v>1248</v>
      </c>
    </row>
    <row r="2033" ht="75" hidden="1">
      <c r="A2033" s="217"/>
      <c r="B2033" s="217">
        <v>1248</v>
      </c>
      <c r="C2033" s="217"/>
      <c r="D2033" s="217" t="s">
        <v>17167</v>
      </c>
      <c r="E2033" s="471" t="s">
        <v>20672</v>
      </c>
      <c r="F2033" s="489">
        <v>92915</v>
      </c>
      <c r="G2033" s="470" t="s">
        <v>20970</v>
      </c>
      <c r="H2033" s="471" t="s">
        <v>302</v>
      </c>
      <c r="I2033" s="472">
        <v>11</v>
      </c>
      <c r="J2033" s="473">
        <f t="shared" si="1330"/>
        <v>16.649999999999999</v>
      </c>
      <c r="K2033" s="474">
        <f t="shared" si="1331"/>
        <v>183.14999999999998</v>
      </c>
      <c r="L2033" s="473">
        <f t="shared" si="1335"/>
        <v>16.199999999999999</v>
      </c>
      <c r="M2033" s="474">
        <f t="shared" si="1332"/>
        <v>178.19999999999999</v>
      </c>
      <c r="O2033" s="434">
        <f t="shared" si="1333"/>
        <v>16.649999999999999</v>
      </c>
      <c r="P2033" s="435">
        <f t="shared" si="1334"/>
        <v>16.199999999999999</v>
      </c>
      <c r="AE2033" s="217"/>
      <c r="AF2033" s="217">
        <v>1248</v>
      </c>
      <c r="AH2033">
        <f t="shared" si="1321"/>
        <v>1248</v>
      </c>
    </row>
    <row r="2034" ht="75" hidden="1">
      <c r="A2034" s="217"/>
      <c r="B2034" s="217">
        <v>1248</v>
      </c>
      <c r="C2034" s="217"/>
      <c r="D2034" s="217" t="s">
        <v>17167</v>
      </c>
      <c r="E2034" s="471" t="s">
        <v>20673</v>
      </c>
      <c r="F2034" s="489">
        <v>92916</v>
      </c>
      <c r="G2034" s="470" t="s">
        <v>20969</v>
      </c>
      <c r="H2034" s="471" t="s">
        <v>302</v>
      </c>
      <c r="I2034" s="472">
        <v>51</v>
      </c>
      <c r="J2034" s="473">
        <f t="shared" si="1330"/>
        <v>15</v>
      </c>
      <c r="K2034" s="474">
        <f t="shared" si="1331"/>
        <v>765</v>
      </c>
      <c r="L2034" s="473">
        <f t="shared" si="1335"/>
        <v>14.69</v>
      </c>
      <c r="M2034" s="474">
        <f t="shared" si="1332"/>
        <v>749.18999999999994</v>
      </c>
      <c r="O2034" s="434">
        <f t="shared" si="1333"/>
        <v>15</v>
      </c>
      <c r="P2034" s="435">
        <f t="shared" si="1334"/>
        <v>14.69</v>
      </c>
      <c r="AE2034" s="217"/>
      <c r="AF2034" s="217">
        <v>1248</v>
      </c>
      <c r="AH2034">
        <f t="shared" si="1321"/>
        <v>1248</v>
      </c>
    </row>
    <row r="2035" ht="45" hidden="1">
      <c r="A2035" s="217"/>
      <c r="B2035" s="217">
        <v>1248</v>
      </c>
      <c r="C2035" s="217"/>
      <c r="D2035" s="217" t="s">
        <v>17167</v>
      </c>
      <c r="E2035" s="471" t="s">
        <v>20675</v>
      </c>
      <c r="F2035" s="489">
        <v>93382</v>
      </c>
      <c r="G2035" s="470" t="s">
        <v>20722</v>
      </c>
      <c r="H2035" s="471" t="s">
        <v>15528</v>
      </c>
      <c r="I2035" s="472">
        <v>1.3200000000000001</v>
      </c>
      <c r="J2035" s="473">
        <f t="shared" si="1330"/>
        <v>27.52</v>
      </c>
      <c r="K2035" s="474">
        <f t="shared" si="1331"/>
        <v>36.3264</v>
      </c>
      <c r="L2035" s="473">
        <f t="shared" si="1335"/>
        <v>26.190000000000001</v>
      </c>
      <c r="M2035" s="474">
        <f t="shared" si="1332"/>
        <v>34.570800000000006</v>
      </c>
      <c r="O2035" s="434">
        <f t="shared" si="1333"/>
        <v>27.52</v>
      </c>
      <c r="P2035" s="435">
        <f t="shared" si="1334"/>
        <v>26.190000000000001</v>
      </c>
      <c r="AE2035" s="217"/>
      <c r="AF2035" s="217">
        <v>1248</v>
      </c>
      <c r="AH2035">
        <f t="shared" si="1321"/>
        <v>1248</v>
      </c>
    </row>
    <row r="2036" ht="60" hidden="1">
      <c r="A2036" s="217"/>
      <c r="B2036" s="217">
        <v>1248</v>
      </c>
      <c r="C2036" s="217"/>
      <c r="D2036" s="217" t="s">
        <v>17167</v>
      </c>
      <c r="E2036" s="471" t="s">
        <v>20677</v>
      </c>
      <c r="F2036" s="489">
        <v>94963</v>
      </c>
      <c r="G2036" s="470" t="s">
        <v>20911</v>
      </c>
      <c r="H2036" s="471" t="s">
        <v>15528</v>
      </c>
      <c r="I2036" s="472">
        <v>2.27</v>
      </c>
      <c r="J2036" s="473">
        <f t="shared" si="1330"/>
        <v>441.43000000000001</v>
      </c>
      <c r="K2036" s="474">
        <f t="shared" si="1331"/>
        <v>1002.0461</v>
      </c>
      <c r="L2036" s="473">
        <f t="shared" si="1335"/>
        <v>436.14999999999998</v>
      </c>
      <c r="M2036" s="474">
        <f t="shared" si="1332"/>
        <v>990.06049999999993</v>
      </c>
      <c r="O2036" s="434">
        <f t="shared" si="1333"/>
        <v>441.43000000000001</v>
      </c>
      <c r="P2036" s="435">
        <f t="shared" si="1334"/>
        <v>436.14999999999998</v>
      </c>
      <c r="AE2036" s="217"/>
      <c r="AF2036" s="217">
        <v>1248</v>
      </c>
      <c r="AH2036">
        <f t="shared" si="1321"/>
        <v>1248</v>
      </c>
    </row>
    <row r="2037" ht="60" hidden="1">
      <c r="A2037" s="217"/>
      <c r="B2037" s="217">
        <v>1248</v>
      </c>
      <c r="C2037" s="217"/>
      <c r="D2037" s="217" t="s">
        <v>17167</v>
      </c>
      <c r="E2037" s="471" t="s">
        <v>20679</v>
      </c>
      <c r="F2037" s="489">
        <v>94964</v>
      </c>
      <c r="G2037" s="470" t="s">
        <v>20686</v>
      </c>
      <c r="H2037" s="471" t="s">
        <v>15528</v>
      </c>
      <c r="I2037" s="472">
        <v>0.82999999999999996</v>
      </c>
      <c r="J2037" s="473">
        <f t="shared" si="1330"/>
        <v>488.52999999999997</v>
      </c>
      <c r="K2037" s="474">
        <f t="shared" si="1331"/>
        <v>405.47989999999993</v>
      </c>
      <c r="L2037" s="473">
        <f t="shared" si="1335"/>
        <v>482.79000000000002</v>
      </c>
      <c r="M2037" s="474">
        <f t="shared" si="1332"/>
        <v>400.71569999999997</v>
      </c>
      <c r="O2037" s="434">
        <f t="shared" si="1333"/>
        <v>488.52999999999997</v>
      </c>
      <c r="P2037" s="435">
        <f t="shared" si="1334"/>
        <v>482.79000000000002</v>
      </c>
      <c r="AE2037" s="217"/>
      <c r="AF2037" s="217">
        <v>1248</v>
      </c>
      <c r="AH2037">
        <f t="shared" si="1321"/>
        <v>1248</v>
      </c>
    </row>
    <row r="2038" ht="60" hidden="1">
      <c r="A2038" s="217"/>
      <c r="B2038" s="217">
        <v>1248</v>
      </c>
      <c r="C2038" s="217"/>
      <c r="D2038" s="217" t="s">
        <v>17167</v>
      </c>
      <c r="E2038" s="471" t="s">
        <v>20681</v>
      </c>
      <c r="F2038" s="489">
        <v>96533</v>
      </c>
      <c r="G2038" s="470" t="s">
        <v>20912</v>
      </c>
      <c r="H2038" s="471" t="s">
        <v>15515</v>
      </c>
      <c r="I2038" s="472">
        <v>3.1000000000000001</v>
      </c>
      <c r="J2038" s="473">
        <f t="shared" si="1330"/>
        <v>85.980000000000004</v>
      </c>
      <c r="K2038" s="474">
        <f t="shared" si="1331"/>
        <v>266.53800000000001</v>
      </c>
      <c r="L2038" s="473">
        <f t="shared" si="1335"/>
        <v>83.200000000000003</v>
      </c>
      <c r="M2038" s="474">
        <f t="shared" si="1332"/>
        <v>257.92000000000002</v>
      </c>
      <c r="O2038" s="434">
        <f t="shared" si="1333"/>
        <v>85.980000000000004</v>
      </c>
      <c r="P2038" s="435">
        <f t="shared" si="1334"/>
        <v>83.200000000000003</v>
      </c>
      <c r="AE2038" s="217"/>
      <c r="AF2038" s="217">
        <v>1248</v>
      </c>
      <c r="AH2038">
        <f t="shared" si="1321"/>
        <v>1248</v>
      </c>
    </row>
    <row r="2039" ht="148.5" hidden="1" customHeight="1">
      <c r="A2039" s="460">
        <v>1249</v>
      </c>
      <c r="B2039" s="460">
        <v>1249</v>
      </c>
      <c r="C2039" s="460"/>
      <c r="D2039" s="460"/>
      <c r="E2039" s="461">
        <v>1</v>
      </c>
      <c r="F2039" s="462" t="s">
        <v>21706</v>
      </c>
      <c r="G2039" s="477" t="s">
        <v>21707</v>
      </c>
      <c r="H2039" s="579" t="s">
        <v>20647</v>
      </c>
      <c r="I2039" s="479"/>
      <c r="J2039" s="480"/>
      <c r="K2039" s="466">
        <f>SUM(K2040:K2053)</f>
        <v>8358.8826291000005</v>
      </c>
      <c r="L2039" s="480"/>
      <c r="M2039" s="466">
        <f>SUM(M2040:M2053)</f>
        <v>8163.1154676999995</v>
      </c>
      <c r="N2039" s="589" t="s">
        <v>21708</v>
      </c>
      <c r="O2039" s="434" t="str">
        <f t="shared" si="1333"/>
        <v xml:space="preserve">SEM VALOR</v>
      </c>
      <c r="P2039" s="435" t="str">
        <f t="shared" si="1334"/>
        <v xml:space="preserve">SEM VALOR</v>
      </c>
      <c r="AE2039" s="460">
        <v>1249</v>
      </c>
      <c r="AF2039" s="460"/>
      <c r="AH2039">
        <f t="shared" si="1321"/>
        <v>1249</v>
      </c>
    </row>
    <row r="2040" ht="30" hidden="1">
      <c r="A2040" s="217"/>
      <c r="B2040" s="217">
        <v>1249</v>
      </c>
      <c r="C2040" s="217"/>
      <c r="D2040" s="217" t="s">
        <v>20398</v>
      </c>
      <c r="E2040" s="471" t="s">
        <v>20399</v>
      </c>
      <c r="F2040" s="482">
        <v>1242</v>
      </c>
      <c r="G2040" s="488" t="s">
        <v>20905</v>
      </c>
      <c r="H2040" s="471" t="s">
        <v>15528</v>
      </c>
      <c r="I2040" s="472">
        <v>1.59432</v>
      </c>
      <c r="J2040" s="473">
        <f t="shared" si="1330"/>
        <v>151.59100000000001</v>
      </c>
      <c r="K2040" s="474">
        <f t="shared" ref="K2040:K2053" si="1336">I2040*J2040</f>
        <v>241.68456312000001</v>
      </c>
      <c r="L2040" s="473">
        <f t="shared" si="1335"/>
        <v>149.17099999999999</v>
      </c>
      <c r="M2040" s="474">
        <f t="shared" ref="M2040:M2053" si="1337">L2040*I2040</f>
        <v>237.82630871999999</v>
      </c>
      <c r="O2040" s="434">
        <f t="shared" si="1333"/>
        <v>151.59100000000001</v>
      </c>
      <c r="P2040" s="435">
        <f t="shared" si="1334"/>
        <v>149.17099999999999</v>
      </c>
      <c r="AE2040" s="217"/>
      <c r="AF2040" s="217">
        <v>1249</v>
      </c>
      <c r="AH2040">
        <f t="shared" si="1321"/>
        <v>1249</v>
      </c>
    </row>
    <row r="2041" ht="75" hidden="1">
      <c r="A2041" s="217"/>
      <c r="B2041" s="217">
        <v>1249</v>
      </c>
      <c r="C2041" s="217"/>
      <c r="D2041" s="217" t="s">
        <v>20398</v>
      </c>
      <c r="E2041" s="471" t="s">
        <v>20402</v>
      </c>
      <c r="F2041" s="482">
        <v>1257</v>
      </c>
      <c r="G2041" s="470" t="s">
        <v>20906</v>
      </c>
      <c r="H2041" s="471" t="s">
        <v>15515</v>
      </c>
      <c r="I2041" s="472">
        <v>17.100000000000001</v>
      </c>
      <c r="J2041" s="473">
        <f t="shared" si="1330"/>
        <v>202.65134000000003</v>
      </c>
      <c r="K2041" s="474">
        <f t="shared" si="1336"/>
        <v>3465.3379140000006</v>
      </c>
      <c r="L2041" s="473">
        <f t="shared" si="1335"/>
        <v>197.86072000000001</v>
      </c>
      <c r="M2041" s="474">
        <f t="shared" si="1337"/>
        <v>3383.4183120000007</v>
      </c>
      <c r="O2041" s="434">
        <f t="shared" si="1333"/>
        <v>202.65134000000003</v>
      </c>
      <c r="P2041" s="435">
        <f t="shared" si="1334"/>
        <v>197.86072000000001</v>
      </c>
      <c r="AE2041" s="217"/>
      <c r="AF2041" s="217">
        <v>1249</v>
      </c>
      <c r="AH2041">
        <f t="shared" si="1321"/>
        <v>1249</v>
      </c>
    </row>
    <row r="2042" ht="60" hidden="1">
      <c r="A2042" s="217"/>
      <c r="B2042" s="217">
        <v>1249</v>
      </c>
      <c r="C2042" s="217"/>
      <c r="D2042" s="217" t="s">
        <v>20398</v>
      </c>
      <c r="E2042" s="471" t="s">
        <v>20405</v>
      </c>
      <c r="F2042" s="482">
        <v>1258</v>
      </c>
      <c r="G2042" s="488" t="s">
        <v>20660</v>
      </c>
      <c r="H2042" s="472" t="s">
        <v>15515</v>
      </c>
      <c r="I2042" s="472">
        <v>12</v>
      </c>
      <c r="J2042" s="473">
        <f t="shared" si="1330"/>
        <v>7.5700000000000003</v>
      </c>
      <c r="K2042" s="474">
        <f t="shared" si="1336"/>
        <v>90.840000000000003</v>
      </c>
      <c r="L2042" s="473">
        <f t="shared" si="1335"/>
        <v>7.1846199999999998</v>
      </c>
      <c r="M2042" s="474">
        <f t="shared" si="1337"/>
        <v>86.215440000000001</v>
      </c>
      <c r="O2042" s="434">
        <f t="shared" si="1333"/>
        <v>7.5700000000000003</v>
      </c>
      <c r="P2042" s="435">
        <f t="shared" si="1334"/>
        <v>7.1846199999999998</v>
      </c>
      <c r="AE2042" s="217"/>
      <c r="AF2042" s="217">
        <v>1249</v>
      </c>
      <c r="AH2042">
        <f t="shared" si="1321"/>
        <v>1249</v>
      </c>
    </row>
    <row r="2043" ht="30" hidden="1">
      <c r="A2043" s="217"/>
      <c r="B2043" s="217">
        <v>1249</v>
      </c>
      <c r="C2043" s="217"/>
      <c r="D2043" s="217" t="s">
        <v>20398</v>
      </c>
      <c r="E2043" s="471" t="s">
        <v>20409</v>
      </c>
      <c r="F2043" s="482">
        <v>1259</v>
      </c>
      <c r="G2043" s="470" t="s">
        <v>21294</v>
      </c>
      <c r="H2043" s="472" t="s">
        <v>15528</v>
      </c>
      <c r="I2043" s="472">
        <v>1.7</v>
      </c>
      <c r="J2043" s="473">
        <f t="shared" si="1330"/>
        <v>45.520000000000003</v>
      </c>
      <c r="K2043" s="474">
        <f t="shared" si="1336"/>
        <v>77.384</v>
      </c>
      <c r="L2043" s="473">
        <f t="shared" si="1335"/>
        <v>43.100000000000001</v>
      </c>
      <c r="M2043" s="474">
        <f t="shared" si="1337"/>
        <v>73.269999999999996</v>
      </c>
      <c r="O2043" s="434">
        <f t="shared" si="1333"/>
        <v>45.520000000000003</v>
      </c>
      <c r="P2043" s="435">
        <f t="shared" si="1334"/>
        <v>43.100000000000001</v>
      </c>
      <c r="AE2043" s="217"/>
      <c r="AF2043" s="217">
        <v>1249</v>
      </c>
      <c r="AH2043">
        <f t="shared" si="1321"/>
        <v>1249</v>
      </c>
    </row>
    <row r="2044" ht="105" hidden="1">
      <c r="A2044" s="217"/>
      <c r="B2044" s="217">
        <v>1249</v>
      </c>
      <c r="C2044" s="217"/>
      <c r="D2044" s="217" t="s">
        <v>17167</v>
      </c>
      <c r="E2044" s="471" t="s">
        <v>20663</v>
      </c>
      <c r="F2044" s="489">
        <v>5928</v>
      </c>
      <c r="G2044" s="470" t="s">
        <v>1739</v>
      </c>
      <c r="H2044" s="472" t="s">
        <v>1535</v>
      </c>
      <c r="I2044" s="472">
        <v>0.10000000000000001</v>
      </c>
      <c r="J2044" s="473">
        <f t="shared" si="1330"/>
        <v>298.70999999999998</v>
      </c>
      <c r="K2044" s="474">
        <f t="shared" si="1336"/>
        <v>29.870999999999999</v>
      </c>
      <c r="L2044" s="473">
        <f t="shared" si="1335"/>
        <v>296.98000000000002</v>
      </c>
      <c r="M2044" s="474">
        <f t="shared" si="1337"/>
        <v>29.698000000000004</v>
      </c>
      <c r="O2044" s="434">
        <f t="shared" si="1333"/>
        <v>298.70999999999998</v>
      </c>
      <c r="P2044" s="435">
        <f t="shared" si="1334"/>
        <v>296.98000000000002</v>
      </c>
      <c r="AE2044" s="217"/>
      <c r="AF2044" s="217">
        <v>1249</v>
      </c>
      <c r="AH2044">
        <f t="shared" si="1321"/>
        <v>1249</v>
      </c>
    </row>
    <row r="2045" ht="45" hidden="1">
      <c r="A2045" s="217"/>
      <c r="B2045" s="217">
        <v>1249</v>
      </c>
      <c r="C2045" s="217"/>
      <c r="D2045" s="217" t="s">
        <v>20398</v>
      </c>
      <c r="E2045" s="471" t="s">
        <v>20665</v>
      </c>
      <c r="F2045" s="489">
        <v>1000</v>
      </c>
      <c r="G2045" s="488" t="s">
        <v>20651</v>
      </c>
      <c r="H2045" s="472" t="s">
        <v>15528</v>
      </c>
      <c r="I2045" s="472">
        <v>3.9100000000000001</v>
      </c>
      <c r="J2045" s="473">
        <f t="shared" si="1330"/>
        <v>149.904</v>
      </c>
      <c r="K2045" s="474">
        <f t="shared" si="1336"/>
        <v>586.12464</v>
      </c>
      <c r="L2045" s="473">
        <f t="shared" si="1335"/>
        <v>141.76949999999999</v>
      </c>
      <c r="M2045" s="474">
        <f t="shared" si="1337"/>
        <v>554.31874500000004</v>
      </c>
      <c r="O2045" s="434">
        <f t="shared" si="1333"/>
        <v>149.904</v>
      </c>
      <c r="P2045" s="435">
        <f t="shared" si="1334"/>
        <v>141.76949999999999</v>
      </c>
      <c r="AE2045" s="217"/>
      <c r="AF2045" s="217">
        <v>1249</v>
      </c>
      <c r="AH2045">
        <f t="shared" si="1321"/>
        <v>1249</v>
      </c>
    </row>
    <row r="2046" ht="60" hidden="1">
      <c r="A2046" s="217"/>
      <c r="B2046" s="217">
        <v>1249</v>
      </c>
      <c r="C2046" s="217"/>
      <c r="D2046" s="217" t="s">
        <v>17167</v>
      </c>
      <c r="E2046" s="471" t="s">
        <v>20667</v>
      </c>
      <c r="F2046" s="489">
        <v>87313</v>
      </c>
      <c r="G2046" s="470" t="s">
        <v>20909</v>
      </c>
      <c r="H2046" s="472" t="s">
        <v>15528</v>
      </c>
      <c r="I2046" s="472">
        <v>0.39750000000000002</v>
      </c>
      <c r="J2046" s="473">
        <f t="shared" si="1330"/>
        <v>549.88</v>
      </c>
      <c r="K2046" s="474">
        <f t="shared" si="1336"/>
        <v>218.57730000000001</v>
      </c>
      <c r="L2046" s="473">
        <f t="shared" si="1335"/>
        <v>542.65999999999997</v>
      </c>
      <c r="M2046" s="474">
        <f t="shared" si="1337"/>
        <v>215.70734999999999</v>
      </c>
      <c r="O2046" s="434">
        <f t="shared" si="1333"/>
        <v>549.88</v>
      </c>
      <c r="P2046" s="435">
        <f t="shared" si="1334"/>
        <v>542.65999999999997</v>
      </c>
      <c r="AE2046" s="217"/>
      <c r="AF2046" s="217">
        <v>1249</v>
      </c>
      <c r="AH2046">
        <f t="shared" si="1321"/>
        <v>1249</v>
      </c>
    </row>
    <row r="2047" ht="75" hidden="1">
      <c r="A2047" s="217"/>
      <c r="B2047" s="217">
        <v>1249</v>
      </c>
      <c r="C2047" s="217"/>
      <c r="D2047" s="217" t="s">
        <v>17167</v>
      </c>
      <c r="E2047" s="471" t="s">
        <v>20671</v>
      </c>
      <c r="F2047" s="489">
        <v>87878</v>
      </c>
      <c r="G2047" s="470" t="s">
        <v>20910</v>
      </c>
      <c r="H2047" s="471" t="s">
        <v>15515</v>
      </c>
      <c r="I2047" s="472">
        <v>15.9</v>
      </c>
      <c r="J2047" s="473">
        <f t="shared" si="1330"/>
        <v>5.0099999999999998</v>
      </c>
      <c r="K2047" s="474">
        <f t="shared" si="1336"/>
        <v>79.658999999999992</v>
      </c>
      <c r="L2047" s="473">
        <f t="shared" si="1335"/>
        <v>4.7999999999999998</v>
      </c>
      <c r="M2047" s="474">
        <f t="shared" si="1337"/>
        <v>76.319999999999993</v>
      </c>
      <c r="O2047" s="434">
        <f t="shared" si="1333"/>
        <v>5.0099999999999998</v>
      </c>
      <c r="P2047" s="435">
        <f t="shared" si="1334"/>
        <v>4.7999999999999998</v>
      </c>
      <c r="AE2047" s="217"/>
      <c r="AF2047" s="217">
        <v>1249</v>
      </c>
      <c r="AH2047">
        <f t="shared" si="1321"/>
        <v>1249</v>
      </c>
    </row>
    <row r="2048" ht="75" hidden="1">
      <c r="A2048" s="217"/>
      <c r="B2048" s="217">
        <v>1249</v>
      </c>
      <c r="C2048" s="217"/>
      <c r="D2048" s="217" t="s">
        <v>17167</v>
      </c>
      <c r="E2048" s="471" t="s">
        <v>20672</v>
      </c>
      <c r="F2048" s="489">
        <v>92915</v>
      </c>
      <c r="G2048" s="470" t="s">
        <v>20970</v>
      </c>
      <c r="H2048" s="471" t="s">
        <v>302</v>
      </c>
      <c r="I2048" s="472">
        <v>12</v>
      </c>
      <c r="J2048" s="473">
        <f t="shared" si="1330"/>
        <v>16.649999999999999</v>
      </c>
      <c r="K2048" s="474">
        <f t="shared" si="1336"/>
        <v>199.79999999999998</v>
      </c>
      <c r="L2048" s="473">
        <f t="shared" si="1335"/>
        <v>16.199999999999999</v>
      </c>
      <c r="M2048" s="474">
        <f t="shared" si="1337"/>
        <v>194.39999999999998</v>
      </c>
      <c r="O2048" s="434">
        <f t="shared" si="1333"/>
        <v>16.649999999999999</v>
      </c>
      <c r="P2048" s="435">
        <f t="shared" si="1334"/>
        <v>16.199999999999999</v>
      </c>
      <c r="AE2048" s="217"/>
      <c r="AF2048" s="217">
        <v>1249</v>
      </c>
      <c r="AH2048">
        <f t="shared" si="1321"/>
        <v>1249</v>
      </c>
    </row>
    <row r="2049" ht="75" hidden="1">
      <c r="A2049" s="217"/>
      <c r="B2049" s="217">
        <v>1249</v>
      </c>
      <c r="C2049" s="217"/>
      <c r="D2049" s="217" t="s">
        <v>17167</v>
      </c>
      <c r="E2049" s="471" t="s">
        <v>20673</v>
      </c>
      <c r="F2049" s="489">
        <v>92916</v>
      </c>
      <c r="G2049" s="470" t="s">
        <v>20969</v>
      </c>
      <c r="H2049" s="471" t="s">
        <v>302</v>
      </c>
      <c r="I2049" s="472">
        <v>84</v>
      </c>
      <c r="J2049" s="473">
        <f t="shared" si="1330"/>
        <v>15</v>
      </c>
      <c r="K2049" s="474">
        <f t="shared" si="1336"/>
        <v>1260</v>
      </c>
      <c r="L2049" s="473">
        <f t="shared" si="1335"/>
        <v>14.69</v>
      </c>
      <c r="M2049" s="474">
        <f t="shared" si="1337"/>
        <v>1233.96</v>
      </c>
      <c r="O2049" s="434">
        <f t="shared" si="1333"/>
        <v>15</v>
      </c>
      <c r="P2049" s="435">
        <f t="shared" si="1334"/>
        <v>14.69</v>
      </c>
      <c r="AE2049" s="217"/>
      <c r="AF2049" s="217">
        <v>1249</v>
      </c>
      <c r="AH2049">
        <f t="shared" si="1321"/>
        <v>1249</v>
      </c>
    </row>
    <row r="2050" ht="45" hidden="1">
      <c r="A2050" s="217"/>
      <c r="B2050" s="217">
        <v>1249</v>
      </c>
      <c r="C2050" s="217"/>
      <c r="D2050" s="217" t="s">
        <v>20398</v>
      </c>
      <c r="E2050" s="471" t="s">
        <v>20675</v>
      </c>
      <c r="F2050" s="489">
        <v>1255</v>
      </c>
      <c r="G2050" s="470" t="s">
        <v>20722</v>
      </c>
      <c r="H2050" s="471" t="s">
        <v>15528</v>
      </c>
      <c r="I2050" s="472">
        <v>1.5700000000000001</v>
      </c>
      <c r="J2050" s="473">
        <f t="shared" si="1330"/>
        <v>29.707014000000001</v>
      </c>
      <c r="K2050" s="474">
        <f t="shared" si="1336"/>
        <v>46.640011980000004</v>
      </c>
      <c r="L2050" s="473">
        <f t="shared" si="1335"/>
        <v>28.497014</v>
      </c>
      <c r="M2050" s="474">
        <f t="shared" si="1337"/>
        <v>44.740311980000001</v>
      </c>
      <c r="O2050" s="434">
        <f t="shared" si="1333"/>
        <v>29.707014000000001</v>
      </c>
      <c r="P2050" s="435">
        <f t="shared" si="1334"/>
        <v>28.497014</v>
      </c>
      <c r="AE2050" s="217"/>
      <c r="AF2050" s="217">
        <v>1249</v>
      </c>
      <c r="AH2050">
        <f t="shared" si="1321"/>
        <v>1249</v>
      </c>
    </row>
    <row r="2051" ht="60" hidden="1">
      <c r="A2051" s="217"/>
      <c r="B2051" s="217">
        <v>1249</v>
      </c>
      <c r="C2051" s="217"/>
      <c r="D2051" s="217" t="s">
        <v>17167</v>
      </c>
      <c r="E2051" s="471" t="s">
        <v>20677</v>
      </c>
      <c r="F2051" s="489">
        <v>94963</v>
      </c>
      <c r="G2051" s="470" t="s">
        <v>20911</v>
      </c>
      <c r="H2051" s="471" t="s">
        <v>15528</v>
      </c>
      <c r="I2051" s="472">
        <v>2.8599999999999999</v>
      </c>
      <c r="J2051" s="473">
        <f t="shared" si="1330"/>
        <v>441.43000000000001</v>
      </c>
      <c r="K2051" s="474">
        <f t="shared" si="1336"/>
        <v>1262.4898000000001</v>
      </c>
      <c r="L2051" s="473">
        <f t="shared" si="1335"/>
        <v>436.14999999999998</v>
      </c>
      <c r="M2051" s="474">
        <f t="shared" si="1337"/>
        <v>1247.3889999999999</v>
      </c>
      <c r="O2051" s="434">
        <f t="shared" si="1333"/>
        <v>441.43000000000001</v>
      </c>
      <c r="P2051" s="435">
        <f t="shared" si="1334"/>
        <v>436.14999999999998</v>
      </c>
      <c r="AE2051" s="217"/>
      <c r="AF2051" s="217">
        <v>1249</v>
      </c>
      <c r="AH2051">
        <f t="shared" si="1321"/>
        <v>1249</v>
      </c>
    </row>
    <row r="2052" ht="60" hidden="1">
      <c r="A2052" s="217"/>
      <c r="B2052" s="217">
        <v>1249</v>
      </c>
      <c r="C2052" s="217"/>
      <c r="D2052" s="217" t="s">
        <v>17167</v>
      </c>
      <c r="E2052" s="471" t="s">
        <v>20679</v>
      </c>
      <c r="F2052" s="489">
        <v>94970</v>
      </c>
      <c r="G2052" s="470" t="s">
        <v>21709</v>
      </c>
      <c r="H2052" s="471" t="s">
        <v>15528</v>
      </c>
      <c r="I2052" s="472">
        <v>1.05</v>
      </c>
      <c r="J2052" s="473">
        <f t="shared" si="1330"/>
        <v>473.30000000000001</v>
      </c>
      <c r="K2052" s="474">
        <f t="shared" si="1336"/>
        <v>496.96500000000003</v>
      </c>
      <c r="L2052" s="473">
        <f t="shared" si="1335"/>
        <v>468.72000000000003</v>
      </c>
      <c r="M2052" s="474">
        <f t="shared" si="1337"/>
        <v>492.15600000000006</v>
      </c>
      <c r="O2052" s="434">
        <f t="shared" si="1333"/>
        <v>473.30000000000001</v>
      </c>
      <c r="P2052" s="435">
        <f t="shared" si="1334"/>
        <v>468.72000000000003</v>
      </c>
      <c r="AE2052" s="217"/>
      <c r="AF2052" s="217">
        <v>1249</v>
      </c>
      <c r="AH2052">
        <f t="shared" si="1321"/>
        <v>1249</v>
      </c>
    </row>
    <row r="2053" ht="60" hidden="1">
      <c r="A2053" s="217"/>
      <c r="B2053" s="217">
        <v>1249</v>
      </c>
      <c r="C2053" s="217"/>
      <c r="D2053" s="217" t="s">
        <v>17167</v>
      </c>
      <c r="E2053" s="471" t="s">
        <v>20681</v>
      </c>
      <c r="F2053" s="489">
        <v>96533</v>
      </c>
      <c r="G2053" s="470" t="s">
        <v>20912</v>
      </c>
      <c r="H2053" s="471" t="s">
        <v>15515</v>
      </c>
      <c r="I2053" s="472">
        <v>3.5299999999999998</v>
      </c>
      <c r="J2053" s="473">
        <f t="shared" si="1330"/>
        <v>85.980000000000004</v>
      </c>
      <c r="K2053" s="474">
        <f t="shared" si="1336"/>
        <v>303.50939999999997</v>
      </c>
      <c r="L2053" s="473">
        <f t="shared" si="1335"/>
        <v>83.200000000000003</v>
      </c>
      <c r="M2053" s="474">
        <f t="shared" si="1337"/>
        <v>293.69599999999997</v>
      </c>
      <c r="O2053" s="434">
        <f t="shared" si="1333"/>
        <v>85.980000000000004</v>
      </c>
      <c r="P2053" s="435">
        <f t="shared" si="1334"/>
        <v>83.200000000000003</v>
      </c>
      <c r="AE2053" s="217"/>
      <c r="AF2053" s="217">
        <v>1249</v>
      </c>
      <c r="AH2053">
        <f t="shared" si="1321"/>
        <v>1249</v>
      </c>
    </row>
    <row r="2054" ht="141.75" hidden="1">
      <c r="A2054" s="460">
        <v>1250</v>
      </c>
      <c r="B2054" s="460">
        <v>1250</v>
      </c>
      <c r="C2054" s="460"/>
      <c r="D2054" s="460"/>
      <c r="E2054" s="461">
        <v>1</v>
      </c>
      <c r="F2054" s="462" t="s">
        <v>21710</v>
      </c>
      <c r="G2054" s="477" t="s">
        <v>21711</v>
      </c>
      <c r="H2054" s="579" t="s">
        <v>20647</v>
      </c>
      <c r="I2054" s="479"/>
      <c r="J2054" s="480"/>
      <c r="K2054" s="466">
        <f>SUM(K2055:K2068)</f>
        <v>10929.818400128002</v>
      </c>
      <c r="L2054" s="480"/>
      <c r="M2054" s="466">
        <f>SUM(M2055:M2068)</f>
        <v>10674.038880768001</v>
      </c>
      <c r="N2054" s="589" t="s">
        <v>21712</v>
      </c>
      <c r="O2054" s="434" t="str">
        <f t="shared" si="1333"/>
        <v xml:space="preserve">SEM VALOR</v>
      </c>
      <c r="P2054" s="435" t="str">
        <f t="shared" si="1334"/>
        <v xml:space="preserve">SEM VALOR</v>
      </c>
      <c r="AE2054" s="460">
        <v>1250</v>
      </c>
      <c r="AF2054" s="460"/>
      <c r="AH2054">
        <f t="shared" si="1321"/>
        <v>1250</v>
      </c>
    </row>
    <row r="2055" ht="30" hidden="1">
      <c r="A2055" s="217"/>
      <c r="B2055" s="217">
        <v>1250</v>
      </c>
      <c r="C2055" s="217"/>
      <c r="D2055" s="217" t="s">
        <v>20398</v>
      </c>
      <c r="E2055" s="471" t="s">
        <v>20399</v>
      </c>
      <c r="F2055" s="482">
        <v>1242</v>
      </c>
      <c r="G2055" s="488" t="s">
        <v>20905</v>
      </c>
      <c r="H2055" s="471" t="s">
        <v>15528</v>
      </c>
      <c r="I2055" s="472">
        <v>2.1094080000000002</v>
      </c>
      <c r="J2055" s="473">
        <f t="shared" si="1330"/>
        <v>151.59100000000001</v>
      </c>
      <c r="K2055" s="474">
        <f t="shared" ref="K2055:K2068" si="1338">I2055*J2055</f>
        <v>319.76726812800007</v>
      </c>
      <c r="L2055" s="473">
        <f t="shared" si="1335"/>
        <v>149.17099999999999</v>
      </c>
      <c r="M2055" s="474">
        <f t="shared" ref="M2055:M2068" si="1339">L2055*I2055</f>
        <v>314.66250076800003</v>
      </c>
      <c r="O2055" s="434">
        <f t="shared" si="1333"/>
        <v>151.59100000000001</v>
      </c>
      <c r="P2055" s="435">
        <f t="shared" si="1334"/>
        <v>149.17099999999999</v>
      </c>
      <c r="AE2055" s="217"/>
      <c r="AF2055" s="217">
        <v>1250</v>
      </c>
      <c r="AH2055">
        <f t="shared" ref="AH2055:AH2118" si="1340">IF(AF2055:AF2056=FALSE,AE2055,AF2055)</f>
        <v>1250</v>
      </c>
    </row>
    <row r="2056" ht="75" hidden="1">
      <c r="A2056" s="217"/>
      <c r="B2056" s="217">
        <v>1250</v>
      </c>
      <c r="C2056" s="217"/>
      <c r="D2056" s="217" t="s">
        <v>20398</v>
      </c>
      <c r="E2056" s="471" t="s">
        <v>20402</v>
      </c>
      <c r="F2056" s="482">
        <v>1257</v>
      </c>
      <c r="G2056" s="470" t="s">
        <v>20906</v>
      </c>
      <c r="H2056" s="471" t="s">
        <v>15515</v>
      </c>
      <c r="I2056" s="472">
        <v>21.600000000000001</v>
      </c>
      <c r="J2056" s="473">
        <f t="shared" si="1330"/>
        <v>202.65134000000003</v>
      </c>
      <c r="K2056" s="474">
        <f t="shared" si="1338"/>
        <v>4377.2689440000013</v>
      </c>
      <c r="L2056" s="473">
        <f t="shared" si="1335"/>
        <v>197.86072000000001</v>
      </c>
      <c r="M2056" s="474">
        <f t="shared" si="1339"/>
        <v>4273.7915520000006</v>
      </c>
      <c r="O2056" s="434">
        <f t="shared" si="1333"/>
        <v>202.65134000000003</v>
      </c>
      <c r="P2056" s="435">
        <f t="shared" si="1334"/>
        <v>197.86072000000001</v>
      </c>
      <c r="AE2056" s="217"/>
      <c r="AF2056" s="217">
        <v>1250</v>
      </c>
      <c r="AH2056">
        <f t="shared" si="1340"/>
        <v>1250</v>
      </c>
    </row>
    <row r="2057" ht="60" hidden="1">
      <c r="A2057" s="217"/>
      <c r="B2057" s="217">
        <v>1250</v>
      </c>
      <c r="C2057" s="217"/>
      <c r="D2057" s="217" t="s">
        <v>20398</v>
      </c>
      <c r="E2057" s="471" t="s">
        <v>20405</v>
      </c>
      <c r="F2057" s="482">
        <v>1258</v>
      </c>
      <c r="G2057" s="470" t="s">
        <v>20660</v>
      </c>
      <c r="H2057" s="472" t="s">
        <v>15515</v>
      </c>
      <c r="I2057" s="472">
        <v>16</v>
      </c>
      <c r="J2057" s="473">
        <f t="shared" si="1330"/>
        <v>7.5700000000000003</v>
      </c>
      <c r="K2057" s="474">
        <f t="shared" si="1338"/>
        <v>121.12</v>
      </c>
      <c r="L2057" s="473">
        <f t="shared" si="1335"/>
        <v>7.1846199999999998</v>
      </c>
      <c r="M2057" s="474">
        <f t="shared" si="1339"/>
        <v>114.95392</v>
      </c>
      <c r="O2057" s="434">
        <f t="shared" si="1333"/>
        <v>7.5700000000000003</v>
      </c>
      <c r="P2057" s="435">
        <f t="shared" si="1334"/>
        <v>7.1846199999999998</v>
      </c>
      <c r="AE2057" s="217"/>
      <c r="AF2057" s="217">
        <v>1250</v>
      </c>
      <c r="AH2057">
        <f t="shared" si="1340"/>
        <v>1250</v>
      </c>
    </row>
    <row r="2058" ht="30" hidden="1">
      <c r="A2058" s="217"/>
      <c r="B2058" s="217">
        <v>1250</v>
      </c>
      <c r="C2058" s="217"/>
      <c r="D2058" s="217" t="s">
        <v>20398</v>
      </c>
      <c r="E2058" s="471" t="s">
        <v>20409</v>
      </c>
      <c r="F2058" s="482">
        <v>1259</v>
      </c>
      <c r="G2058" s="470" t="s">
        <v>21294</v>
      </c>
      <c r="H2058" s="472" t="s">
        <v>15528</v>
      </c>
      <c r="I2058" s="472">
        <v>2.2000000000000002</v>
      </c>
      <c r="J2058" s="473">
        <f t="shared" si="1330"/>
        <v>45.520000000000003</v>
      </c>
      <c r="K2058" s="474">
        <f t="shared" si="1338"/>
        <v>100.14400000000002</v>
      </c>
      <c r="L2058" s="473">
        <f t="shared" si="1335"/>
        <v>43.100000000000001</v>
      </c>
      <c r="M2058" s="474">
        <f t="shared" si="1339"/>
        <v>94.820000000000007</v>
      </c>
      <c r="O2058" s="434">
        <f t="shared" si="1333"/>
        <v>45.520000000000003</v>
      </c>
      <c r="P2058" s="435">
        <f t="shared" si="1334"/>
        <v>43.100000000000001</v>
      </c>
      <c r="AE2058" s="217"/>
      <c r="AF2058" s="217">
        <v>1250</v>
      </c>
      <c r="AH2058">
        <f t="shared" si="1340"/>
        <v>1250</v>
      </c>
    </row>
    <row r="2059" ht="105" hidden="1">
      <c r="A2059" s="217"/>
      <c r="B2059" s="217">
        <v>1250</v>
      </c>
      <c r="C2059" s="217"/>
      <c r="D2059" s="217" t="s">
        <v>17167</v>
      </c>
      <c r="E2059" s="471" t="s">
        <v>20663</v>
      </c>
      <c r="F2059" s="489">
        <v>5928</v>
      </c>
      <c r="G2059" s="470" t="s">
        <v>1739</v>
      </c>
      <c r="H2059" s="472" t="s">
        <v>1535</v>
      </c>
      <c r="I2059" s="472">
        <v>0.10000000000000001</v>
      </c>
      <c r="J2059" s="473">
        <f t="shared" si="1330"/>
        <v>298.70999999999998</v>
      </c>
      <c r="K2059" s="474">
        <f t="shared" si="1338"/>
        <v>29.870999999999999</v>
      </c>
      <c r="L2059" s="473">
        <f t="shared" si="1335"/>
        <v>296.98000000000002</v>
      </c>
      <c r="M2059" s="474">
        <f t="shared" si="1339"/>
        <v>29.698000000000004</v>
      </c>
      <c r="O2059" s="434">
        <f t="shared" si="1333"/>
        <v>298.70999999999998</v>
      </c>
      <c r="P2059" s="435">
        <f t="shared" si="1334"/>
        <v>296.98000000000002</v>
      </c>
      <c r="AE2059" s="217"/>
      <c r="AF2059" s="217">
        <v>1250</v>
      </c>
      <c r="AH2059">
        <f t="shared" si="1340"/>
        <v>1250</v>
      </c>
    </row>
    <row r="2060" ht="45" hidden="1">
      <c r="A2060" s="217"/>
      <c r="B2060" s="217">
        <v>1250</v>
      </c>
      <c r="C2060" s="217"/>
      <c r="D2060" s="217" t="s">
        <v>20398</v>
      </c>
      <c r="E2060" s="471" t="s">
        <v>20665</v>
      </c>
      <c r="F2060" s="489">
        <v>1000</v>
      </c>
      <c r="G2060" s="488" t="s">
        <v>20651</v>
      </c>
      <c r="H2060" s="472" t="s">
        <v>15528</v>
      </c>
      <c r="I2060" s="472">
        <v>5.4400000000000004</v>
      </c>
      <c r="J2060" s="473">
        <f t="shared" si="1330"/>
        <v>149.904</v>
      </c>
      <c r="K2060" s="474">
        <f t="shared" si="1338"/>
        <v>815.47775999999999</v>
      </c>
      <c r="L2060" s="473">
        <f t="shared" si="1335"/>
        <v>141.76949999999999</v>
      </c>
      <c r="M2060" s="474">
        <f t="shared" si="1339"/>
        <v>771.22608000000002</v>
      </c>
      <c r="O2060" s="434">
        <f t="shared" si="1333"/>
        <v>149.904</v>
      </c>
      <c r="P2060" s="435">
        <f t="shared" si="1334"/>
        <v>141.76949999999999</v>
      </c>
      <c r="AE2060" s="217"/>
      <c r="AF2060" s="217">
        <v>1250</v>
      </c>
      <c r="AH2060">
        <f t="shared" si="1340"/>
        <v>1250</v>
      </c>
    </row>
    <row r="2061" ht="60" hidden="1">
      <c r="A2061" s="217"/>
      <c r="B2061" s="217">
        <v>1250</v>
      </c>
      <c r="C2061" s="217"/>
      <c r="D2061" s="217" t="s">
        <v>17167</v>
      </c>
      <c r="E2061" s="471" t="s">
        <v>20667</v>
      </c>
      <c r="F2061" s="489">
        <v>87313</v>
      </c>
      <c r="G2061" s="470" t="s">
        <v>20909</v>
      </c>
      <c r="H2061" s="472" t="s">
        <v>15528</v>
      </c>
      <c r="I2061" s="472">
        <v>0.51000000000000001</v>
      </c>
      <c r="J2061" s="473">
        <f t="shared" si="1330"/>
        <v>549.88</v>
      </c>
      <c r="K2061" s="474">
        <f t="shared" si="1338"/>
        <v>280.43880000000001</v>
      </c>
      <c r="L2061" s="473">
        <f t="shared" si="1335"/>
        <v>542.65999999999997</v>
      </c>
      <c r="M2061" s="474">
        <f t="shared" si="1339"/>
        <v>276.75659999999999</v>
      </c>
      <c r="O2061" s="434">
        <f t="shared" si="1333"/>
        <v>549.88</v>
      </c>
      <c r="P2061" s="435">
        <f t="shared" si="1334"/>
        <v>542.65999999999997</v>
      </c>
      <c r="AE2061" s="217"/>
      <c r="AF2061" s="217">
        <v>1250</v>
      </c>
      <c r="AH2061">
        <f t="shared" si="1340"/>
        <v>1250</v>
      </c>
    </row>
    <row r="2062" ht="75" hidden="1">
      <c r="A2062" s="217"/>
      <c r="B2062" s="217">
        <v>1250</v>
      </c>
      <c r="C2062" s="217"/>
      <c r="D2062" s="217" t="s">
        <v>17167</v>
      </c>
      <c r="E2062" s="471" t="s">
        <v>20671</v>
      </c>
      <c r="F2062" s="489">
        <v>87878</v>
      </c>
      <c r="G2062" s="470" t="s">
        <v>20910</v>
      </c>
      <c r="H2062" s="471" t="s">
        <v>15515</v>
      </c>
      <c r="I2062" s="472">
        <v>20.399999999999999</v>
      </c>
      <c r="J2062" s="473">
        <f t="shared" si="1330"/>
        <v>5.0099999999999998</v>
      </c>
      <c r="K2062" s="474">
        <f t="shared" si="1338"/>
        <v>102.20399999999999</v>
      </c>
      <c r="L2062" s="473">
        <f t="shared" si="1335"/>
        <v>4.7999999999999998</v>
      </c>
      <c r="M2062" s="474">
        <f t="shared" si="1339"/>
        <v>97.919999999999987</v>
      </c>
      <c r="O2062" s="434">
        <f t="shared" si="1333"/>
        <v>5.0099999999999998</v>
      </c>
      <c r="P2062" s="435">
        <f t="shared" si="1334"/>
        <v>4.7999999999999998</v>
      </c>
      <c r="AE2062" s="217"/>
      <c r="AF2062" s="217">
        <v>1250</v>
      </c>
      <c r="AH2062">
        <f t="shared" si="1340"/>
        <v>1250</v>
      </c>
    </row>
    <row r="2063" ht="75" hidden="1">
      <c r="A2063" s="217"/>
      <c r="B2063" s="217">
        <v>1250</v>
      </c>
      <c r="C2063" s="217"/>
      <c r="D2063" s="217" t="s">
        <v>17167</v>
      </c>
      <c r="E2063" s="471" t="s">
        <v>20672</v>
      </c>
      <c r="F2063" s="489">
        <v>92915</v>
      </c>
      <c r="G2063" s="470" t="s">
        <v>20970</v>
      </c>
      <c r="H2063" s="471" t="s">
        <v>302</v>
      </c>
      <c r="I2063" s="472">
        <v>17</v>
      </c>
      <c r="J2063" s="473">
        <f t="shared" si="1330"/>
        <v>16.649999999999999</v>
      </c>
      <c r="K2063" s="474">
        <f t="shared" si="1338"/>
        <v>283.04999999999995</v>
      </c>
      <c r="L2063" s="473">
        <f t="shared" si="1335"/>
        <v>16.199999999999999</v>
      </c>
      <c r="M2063" s="474">
        <f t="shared" si="1339"/>
        <v>275.39999999999998</v>
      </c>
      <c r="O2063" s="434">
        <f t="shared" si="1333"/>
        <v>16.649999999999999</v>
      </c>
      <c r="P2063" s="435">
        <f t="shared" si="1334"/>
        <v>16.199999999999999</v>
      </c>
      <c r="AE2063" s="217"/>
      <c r="AF2063" s="217">
        <v>1250</v>
      </c>
      <c r="AH2063">
        <f t="shared" si="1340"/>
        <v>1250</v>
      </c>
    </row>
    <row r="2064" ht="75" hidden="1">
      <c r="A2064" s="217"/>
      <c r="B2064" s="217">
        <v>1250</v>
      </c>
      <c r="C2064" s="217"/>
      <c r="D2064" s="217" t="s">
        <v>17167</v>
      </c>
      <c r="E2064" s="471" t="s">
        <v>20673</v>
      </c>
      <c r="F2064" s="489">
        <v>92916</v>
      </c>
      <c r="G2064" s="470" t="s">
        <v>20969</v>
      </c>
      <c r="H2064" s="471" t="s">
        <v>302</v>
      </c>
      <c r="I2064" s="472">
        <v>108</v>
      </c>
      <c r="J2064" s="473">
        <f t="shared" si="1330"/>
        <v>15</v>
      </c>
      <c r="K2064" s="474">
        <f t="shared" si="1338"/>
        <v>1620</v>
      </c>
      <c r="L2064" s="473">
        <f t="shared" si="1335"/>
        <v>14.69</v>
      </c>
      <c r="M2064" s="474">
        <f t="shared" si="1339"/>
        <v>1586.52</v>
      </c>
      <c r="O2064" s="434">
        <f t="shared" si="1333"/>
        <v>15</v>
      </c>
      <c r="P2064" s="435">
        <f t="shared" si="1334"/>
        <v>14.69</v>
      </c>
      <c r="AE2064" s="217"/>
      <c r="AF2064" s="217">
        <v>1250</v>
      </c>
      <c r="AH2064">
        <f t="shared" si="1340"/>
        <v>1250</v>
      </c>
    </row>
    <row r="2065" ht="75" hidden="1">
      <c r="A2065" s="217"/>
      <c r="B2065" s="217">
        <v>1250</v>
      </c>
      <c r="C2065" s="217"/>
      <c r="D2065" s="217" t="s">
        <v>20398</v>
      </c>
      <c r="E2065" s="471" t="s">
        <v>20675</v>
      </c>
      <c r="F2065" s="489">
        <v>1255</v>
      </c>
      <c r="G2065" s="470" t="s">
        <v>20964</v>
      </c>
      <c r="H2065" s="471" t="s">
        <v>15528</v>
      </c>
      <c r="I2065" s="472">
        <v>2</v>
      </c>
      <c r="J2065" s="473">
        <f t="shared" si="1330"/>
        <v>29.707014000000001</v>
      </c>
      <c r="K2065" s="474">
        <f t="shared" si="1338"/>
        <v>59.414028000000002</v>
      </c>
      <c r="L2065" s="473">
        <f t="shared" si="1335"/>
        <v>28.497014</v>
      </c>
      <c r="M2065" s="474">
        <f t="shared" si="1339"/>
        <v>56.994028</v>
      </c>
      <c r="O2065" s="434">
        <f t="shared" si="1333"/>
        <v>29.707014000000001</v>
      </c>
      <c r="P2065" s="435">
        <f t="shared" si="1334"/>
        <v>28.497014</v>
      </c>
      <c r="AE2065" s="217"/>
      <c r="AF2065" s="217">
        <v>1250</v>
      </c>
      <c r="AH2065">
        <f t="shared" si="1340"/>
        <v>1250</v>
      </c>
    </row>
    <row r="2066" ht="60" hidden="1">
      <c r="A2066" s="217"/>
      <c r="B2066" s="217">
        <v>1250</v>
      </c>
      <c r="C2066" s="217"/>
      <c r="D2066" s="217" t="s">
        <v>17167</v>
      </c>
      <c r="E2066" s="471" t="s">
        <v>20677</v>
      </c>
      <c r="F2066" s="489">
        <v>94963</v>
      </c>
      <c r="G2066" s="470" t="s">
        <v>20911</v>
      </c>
      <c r="H2066" s="471" t="s">
        <v>15528</v>
      </c>
      <c r="I2066" s="472">
        <v>3.98</v>
      </c>
      <c r="J2066" s="473">
        <f t="shared" si="1330"/>
        <v>441.43000000000001</v>
      </c>
      <c r="K2066" s="474">
        <f t="shared" si="1338"/>
        <v>1756.8914</v>
      </c>
      <c r="L2066" s="473">
        <f t="shared" si="1335"/>
        <v>436.14999999999998</v>
      </c>
      <c r="M2066" s="474">
        <f t="shared" si="1339"/>
        <v>1735.877</v>
      </c>
      <c r="O2066" s="434">
        <f t="shared" si="1333"/>
        <v>441.43000000000001</v>
      </c>
      <c r="P2066" s="435">
        <f t="shared" si="1334"/>
        <v>436.14999999999998</v>
      </c>
      <c r="AE2066" s="217"/>
      <c r="AF2066" s="217">
        <v>1250</v>
      </c>
      <c r="AH2066">
        <f t="shared" si="1340"/>
        <v>1250</v>
      </c>
    </row>
    <row r="2067" ht="60" hidden="1">
      <c r="A2067" s="217"/>
      <c r="B2067" s="217">
        <v>1250</v>
      </c>
      <c r="C2067" s="217"/>
      <c r="D2067" s="217" t="s">
        <v>17167</v>
      </c>
      <c r="E2067" s="471" t="s">
        <v>20679</v>
      </c>
      <c r="F2067" s="489">
        <v>94970</v>
      </c>
      <c r="G2067" s="470" t="s">
        <v>21709</v>
      </c>
      <c r="H2067" s="471" t="s">
        <v>15528</v>
      </c>
      <c r="I2067" s="472">
        <v>1.46</v>
      </c>
      <c r="J2067" s="473">
        <f t="shared" si="1330"/>
        <v>473.30000000000001</v>
      </c>
      <c r="K2067" s="474">
        <f t="shared" si="1338"/>
        <v>691.01800000000003</v>
      </c>
      <c r="L2067" s="473">
        <f t="shared" si="1335"/>
        <v>468.72000000000003</v>
      </c>
      <c r="M2067" s="474">
        <f t="shared" si="1339"/>
        <v>684.33119999999997</v>
      </c>
      <c r="O2067" s="434">
        <f t="shared" si="1333"/>
        <v>473.30000000000001</v>
      </c>
      <c r="P2067" s="435">
        <f t="shared" si="1334"/>
        <v>468.72000000000003</v>
      </c>
      <c r="AE2067" s="217"/>
      <c r="AF2067" s="217">
        <v>1250</v>
      </c>
      <c r="AH2067">
        <f t="shared" si="1340"/>
        <v>1250</v>
      </c>
    </row>
    <row r="2068" ht="60" hidden="1">
      <c r="A2068" s="217"/>
      <c r="B2068" s="217">
        <v>1250</v>
      </c>
      <c r="C2068" s="217"/>
      <c r="D2068" s="217" t="s">
        <v>17167</v>
      </c>
      <c r="E2068" s="471" t="s">
        <v>20681</v>
      </c>
      <c r="F2068" s="489">
        <v>96533</v>
      </c>
      <c r="G2068" s="470" t="s">
        <v>20912</v>
      </c>
      <c r="H2068" s="471" t="s">
        <v>15515</v>
      </c>
      <c r="I2068" s="472">
        <v>4.3399999999999999</v>
      </c>
      <c r="J2068" s="473">
        <f t="shared" si="1330"/>
        <v>85.980000000000004</v>
      </c>
      <c r="K2068" s="474">
        <f t="shared" si="1338"/>
        <v>373.15320000000003</v>
      </c>
      <c r="L2068" s="473">
        <f t="shared" si="1335"/>
        <v>83.200000000000003</v>
      </c>
      <c r="M2068" s="474">
        <f t="shared" si="1339"/>
        <v>361.08800000000002</v>
      </c>
      <c r="O2068" s="434">
        <f t="shared" si="1333"/>
        <v>85.980000000000004</v>
      </c>
      <c r="P2068" s="435">
        <f t="shared" si="1334"/>
        <v>83.200000000000003</v>
      </c>
      <c r="AE2068" s="217"/>
      <c r="AF2068" s="217">
        <v>1250</v>
      </c>
      <c r="AH2068">
        <f t="shared" si="1340"/>
        <v>1250</v>
      </c>
    </row>
    <row r="2069" ht="204.75" hidden="1">
      <c r="A2069" s="460">
        <v>1251</v>
      </c>
      <c r="B2069" s="460">
        <v>1251</v>
      </c>
      <c r="C2069" s="460"/>
      <c r="D2069" s="460"/>
      <c r="E2069" s="461">
        <v>1</v>
      </c>
      <c r="F2069" s="462" t="s">
        <v>21713</v>
      </c>
      <c r="G2069" s="477" t="s">
        <v>21714</v>
      </c>
      <c r="H2069" s="579" t="s">
        <v>20647</v>
      </c>
      <c r="I2069" s="479"/>
      <c r="J2069" s="480"/>
      <c r="K2069" s="466">
        <f>SUM(K2070:K2083)</f>
        <v>16873.773807680005</v>
      </c>
      <c r="L2069" s="480"/>
      <c r="M2069" s="466">
        <f>SUM(M2070:M2083)</f>
        <v>16474.655962079996</v>
      </c>
      <c r="N2069" s="589" t="s">
        <v>21715</v>
      </c>
      <c r="O2069" s="434" t="str">
        <f t="shared" si="1333"/>
        <v xml:space="preserve">SEM VALOR</v>
      </c>
      <c r="P2069" s="435" t="str">
        <f t="shared" si="1334"/>
        <v xml:space="preserve">SEM VALOR</v>
      </c>
      <c r="AE2069" s="460">
        <v>1251</v>
      </c>
      <c r="AF2069" s="460"/>
      <c r="AH2069">
        <f t="shared" si="1340"/>
        <v>1251</v>
      </c>
    </row>
    <row r="2070" ht="75" hidden="1">
      <c r="A2070" s="217"/>
      <c r="B2070" s="217">
        <v>1251</v>
      </c>
      <c r="C2070" s="217"/>
      <c r="D2070" s="217" t="s">
        <v>20398</v>
      </c>
      <c r="E2070" s="471" t="s">
        <v>20399</v>
      </c>
      <c r="F2070" s="482">
        <v>1064</v>
      </c>
      <c r="G2070" s="470" t="s">
        <v>20967</v>
      </c>
      <c r="H2070" s="471" t="s">
        <v>15515</v>
      </c>
      <c r="I2070" s="472">
        <v>35.200000000000003</v>
      </c>
      <c r="J2070" s="473">
        <f t="shared" si="1330"/>
        <v>202.79016000000001</v>
      </c>
      <c r="K2070" s="474">
        <f t="shared" ref="K2070:K2083" si="1341">I2070*J2070</f>
        <v>7138.2136320000009</v>
      </c>
      <c r="L2070" s="473">
        <f t="shared" si="1335"/>
        <v>197.94299999999998</v>
      </c>
      <c r="M2070" s="474">
        <f t="shared" ref="M2070:M2083" si="1342">L2070*I2070</f>
        <v>6967.5936000000002</v>
      </c>
      <c r="O2070" s="434">
        <f t="shared" si="1333"/>
        <v>202.79016000000001</v>
      </c>
      <c r="P2070" s="435">
        <f t="shared" si="1334"/>
        <v>197.94299999999998</v>
      </c>
      <c r="AE2070" s="217"/>
      <c r="AF2070" s="217">
        <v>1251</v>
      </c>
      <c r="AH2070">
        <f t="shared" si="1340"/>
        <v>1251</v>
      </c>
    </row>
    <row r="2071" ht="45" hidden="1">
      <c r="A2071" s="217"/>
      <c r="B2071" s="217">
        <v>1251</v>
      </c>
      <c r="C2071" s="217"/>
      <c r="D2071" s="217" t="s">
        <v>20398</v>
      </c>
      <c r="E2071" s="471" t="s">
        <v>20402</v>
      </c>
      <c r="F2071" s="489">
        <v>1000</v>
      </c>
      <c r="G2071" s="488" t="s">
        <v>20651</v>
      </c>
      <c r="H2071" s="472" t="s">
        <v>15528</v>
      </c>
      <c r="I2071" s="472">
        <v>7.0800000000000001</v>
      </c>
      <c r="J2071" s="473">
        <f t="shared" si="1330"/>
        <v>149.904</v>
      </c>
      <c r="K2071" s="474">
        <f t="shared" si="1341"/>
        <v>1061.32032</v>
      </c>
      <c r="L2071" s="473">
        <f t="shared" si="1335"/>
        <v>141.76949999999999</v>
      </c>
      <c r="M2071" s="474">
        <f t="shared" si="1342"/>
        <v>1003.7280599999999</v>
      </c>
      <c r="O2071" s="434">
        <f t="shared" si="1333"/>
        <v>149.904</v>
      </c>
      <c r="P2071" s="435">
        <f t="shared" si="1334"/>
        <v>141.76949999999999</v>
      </c>
      <c r="AE2071" s="217"/>
      <c r="AF2071" s="217">
        <v>1251</v>
      </c>
      <c r="AH2071">
        <f t="shared" si="1340"/>
        <v>1251</v>
      </c>
    </row>
    <row r="2072" ht="75" hidden="1">
      <c r="A2072" s="217"/>
      <c r="B2072" s="217">
        <v>1251</v>
      </c>
      <c r="C2072" s="217"/>
      <c r="D2072" s="217" t="s">
        <v>17167</v>
      </c>
      <c r="E2072" s="471" t="s">
        <v>20405</v>
      </c>
      <c r="F2072" s="489">
        <v>87878</v>
      </c>
      <c r="G2072" s="470" t="s">
        <v>20910</v>
      </c>
      <c r="H2072" s="471" t="s">
        <v>15515</v>
      </c>
      <c r="I2072" s="472">
        <v>33.600000000000001</v>
      </c>
      <c r="J2072" s="473">
        <f t="shared" si="1330"/>
        <v>5.0099999999999998</v>
      </c>
      <c r="K2072" s="474">
        <f t="shared" si="1341"/>
        <v>168.33600000000001</v>
      </c>
      <c r="L2072" s="473">
        <f t="shared" si="1335"/>
        <v>4.7999999999999998</v>
      </c>
      <c r="M2072" s="474">
        <f t="shared" si="1342"/>
        <v>161.28</v>
      </c>
      <c r="O2072" s="434">
        <f t="shared" si="1333"/>
        <v>5.0099999999999998</v>
      </c>
      <c r="P2072" s="435">
        <f t="shared" si="1334"/>
        <v>4.7999999999999998</v>
      </c>
      <c r="AE2072" s="217"/>
      <c r="AF2072" s="217">
        <v>1251</v>
      </c>
      <c r="AH2072">
        <f t="shared" si="1340"/>
        <v>1251</v>
      </c>
    </row>
    <row r="2073" ht="45" hidden="1">
      <c r="A2073" s="217"/>
      <c r="B2073" s="217">
        <v>1251</v>
      </c>
      <c r="C2073" s="217"/>
      <c r="D2073" s="217" t="s">
        <v>17167</v>
      </c>
      <c r="E2073" s="471" t="s">
        <v>20409</v>
      </c>
      <c r="F2073" s="489">
        <v>88628</v>
      </c>
      <c r="G2073" s="470" t="s">
        <v>20989</v>
      </c>
      <c r="H2073" s="471" t="s">
        <v>15528</v>
      </c>
      <c r="I2073" s="472">
        <v>0.83999999999999997</v>
      </c>
      <c r="J2073" s="473">
        <f t="shared" si="1330"/>
        <v>579.97000000000003</v>
      </c>
      <c r="K2073" s="474">
        <f t="shared" si="1341"/>
        <v>487.1748</v>
      </c>
      <c r="L2073" s="473">
        <f t="shared" si="1335"/>
        <v>574.25999999999999</v>
      </c>
      <c r="M2073" s="474">
        <f t="shared" si="1342"/>
        <v>482.3784</v>
      </c>
      <c r="O2073" s="434">
        <f t="shared" si="1333"/>
        <v>579.97000000000003</v>
      </c>
      <c r="P2073" s="435">
        <f t="shared" si="1334"/>
        <v>574.25999999999999</v>
      </c>
      <c r="AE2073" s="217"/>
      <c r="AF2073" s="217">
        <v>1251</v>
      </c>
      <c r="AH2073">
        <f t="shared" si="1340"/>
        <v>1251</v>
      </c>
    </row>
    <row r="2074" ht="105" hidden="1">
      <c r="A2074" s="217"/>
      <c r="B2074" s="217">
        <v>1251</v>
      </c>
      <c r="C2074" s="217"/>
      <c r="D2074" s="217" t="s">
        <v>17167</v>
      </c>
      <c r="E2074" s="471" t="s">
        <v>20663</v>
      </c>
      <c r="F2074" s="489">
        <v>91634</v>
      </c>
      <c r="G2074" s="470" t="s">
        <v>1743</v>
      </c>
      <c r="H2074" s="471" t="s">
        <v>1535</v>
      </c>
      <c r="I2074" s="472">
        <v>0.5</v>
      </c>
      <c r="J2074" s="473">
        <f t="shared" si="1330"/>
        <v>252.91999999999999</v>
      </c>
      <c r="K2074" s="474">
        <f t="shared" si="1341"/>
        <v>126.45999999999999</v>
      </c>
      <c r="L2074" s="473">
        <f t="shared" si="1335"/>
        <v>251.19</v>
      </c>
      <c r="M2074" s="474">
        <f t="shared" si="1342"/>
        <v>125.595</v>
      </c>
      <c r="O2074" s="434">
        <f t="shared" si="1333"/>
        <v>252.91999999999999</v>
      </c>
      <c r="P2074" s="435">
        <f t="shared" si="1334"/>
        <v>251.19</v>
      </c>
      <c r="AE2074" s="217"/>
      <c r="AF2074" s="217">
        <v>1251</v>
      </c>
      <c r="AH2074">
        <f t="shared" si="1340"/>
        <v>1251</v>
      </c>
    </row>
    <row r="2075" ht="75" hidden="1">
      <c r="A2075" s="217"/>
      <c r="B2075" s="217">
        <v>1251</v>
      </c>
      <c r="C2075" s="217"/>
      <c r="D2075" s="217" t="s">
        <v>17167</v>
      </c>
      <c r="E2075" s="471" t="s">
        <v>20665</v>
      </c>
      <c r="F2075" s="489">
        <v>92915</v>
      </c>
      <c r="G2075" s="470" t="s">
        <v>20970</v>
      </c>
      <c r="H2075" s="471" t="s">
        <v>302</v>
      </c>
      <c r="I2075" s="472">
        <v>19</v>
      </c>
      <c r="J2075" s="473">
        <f t="shared" si="1330"/>
        <v>16.649999999999999</v>
      </c>
      <c r="K2075" s="474">
        <f t="shared" si="1341"/>
        <v>316.34999999999997</v>
      </c>
      <c r="L2075" s="473">
        <f t="shared" si="1335"/>
        <v>16.199999999999999</v>
      </c>
      <c r="M2075" s="474">
        <f t="shared" si="1342"/>
        <v>307.80000000000001</v>
      </c>
      <c r="O2075" s="434">
        <f t="shared" si="1333"/>
        <v>16.649999999999999</v>
      </c>
      <c r="P2075" s="435">
        <f t="shared" si="1334"/>
        <v>16.199999999999999</v>
      </c>
      <c r="AE2075" s="217"/>
      <c r="AF2075" s="217">
        <v>1251</v>
      </c>
      <c r="AH2075">
        <f t="shared" si="1340"/>
        <v>1251</v>
      </c>
    </row>
    <row r="2076" ht="75" hidden="1">
      <c r="A2076" s="217"/>
      <c r="B2076" s="217">
        <v>1251</v>
      </c>
      <c r="C2076" s="217"/>
      <c r="D2076" s="217" t="s">
        <v>17167</v>
      </c>
      <c r="E2076" s="471" t="s">
        <v>20667</v>
      </c>
      <c r="F2076" s="489">
        <v>92916</v>
      </c>
      <c r="G2076" s="470" t="s">
        <v>20969</v>
      </c>
      <c r="H2076" s="471" t="s">
        <v>302</v>
      </c>
      <c r="I2076" s="472">
        <v>173</v>
      </c>
      <c r="J2076" s="473">
        <f t="shared" si="1330"/>
        <v>15</v>
      </c>
      <c r="K2076" s="474">
        <f t="shared" si="1341"/>
        <v>2595</v>
      </c>
      <c r="L2076" s="473">
        <f t="shared" si="1335"/>
        <v>14.69</v>
      </c>
      <c r="M2076" s="474">
        <f t="shared" si="1342"/>
        <v>2541.3699999999999</v>
      </c>
      <c r="O2076" s="434">
        <f t="shared" si="1333"/>
        <v>15</v>
      </c>
      <c r="P2076" s="435">
        <f t="shared" si="1334"/>
        <v>14.69</v>
      </c>
      <c r="AE2076" s="217"/>
      <c r="AF2076" s="217">
        <v>1251</v>
      </c>
      <c r="AH2076">
        <f t="shared" si="1340"/>
        <v>1251</v>
      </c>
    </row>
    <row r="2077" ht="45" hidden="1">
      <c r="A2077" s="217"/>
      <c r="B2077" s="217">
        <v>1251</v>
      </c>
      <c r="C2077" s="217"/>
      <c r="D2077" s="217" t="s">
        <v>17167</v>
      </c>
      <c r="E2077" s="471" t="s">
        <v>20671</v>
      </c>
      <c r="F2077" s="489">
        <v>93358</v>
      </c>
      <c r="G2077" s="470" t="s">
        <v>20927</v>
      </c>
      <c r="H2077" s="471" t="s">
        <v>15528</v>
      </c>
      <c r="I2077" s="472">
        <v>3.3999999999999999</v>
      </c>
      <c r="J2077" s="473">
        <f t="shared" si="1330"/>
        <v>90.030000000000001</v>
      </c>
      <c r="K2077" s="474">
        <f t="shared" si="1341"/>
        <v>306.10199999999998</v>
      </c>
      <c r="L2077" s="473">
        <f t="shared" si="1335"/>
        <v>85.239999999999995</v>
      </c>
      <c r="M2077" s="474">
        <f t="shared" si="1342"/>
        <v>289.81599999999997</v>
      </c>
      <c r="O2077" s="434">
        <f t="shared" si="1333"/>
        <v>90.030000000000001</v>
      </c>
      <c r="P2077" s="435">
        <f t="shared" si="1334"/>
        <v>85.239999999999995</v>
      </c>
      <c r="AE2077" s="217"/>
      <c r="AF2077" s="217">
        <v>1251</v>
      </c>
      <c r="AH2077">
        <f t="shared" si="1340"/>
        <v>1251</v>
      </c>
    </row>
    <row r="2078" ht="45" hidden="1">
      <c r="A2078" s="217"/>
      <c r="B2078" s="217">
        <v>1251</v>
      </c>
      <c r="C2078" s="217"/>
      <c r="D2078" s="217" t="s">
        <v>17167</v>
      </c>
      <c r="E2078" s="471" t="s">
        <v>20672</v>
      </c>
      <c r="F2078" s="489">
        <v>93382</v>
      </c>
      <c r="G2078" s="470" t="s">
        <v>20722</v>
      </c>
      <c r="H2078" s="471" t="s">
        <v>15528</v>
      </c>
      <c r="I2078" s="472">
        <v>2.4500000000000002</v>
      </c>
      <c r="J2078" s="473">
        <f t="shared" ref="J2078:J2141" si="1343">O2078*$J$3</f>
        <v>27.52</v>
      </c>
      <c r="K2078" s="474">
        <f t="shared" si="1341"/>
        <v>67.424000000000007</v>
      </c>
      <c r="L2078" s="473">
        <f t="shared" si="1335"/>
        <v>26.190000000000001</v>
      </c>
      <c r="M2078" s="474">
        <f t="shared" si="1342"/>
        <v>64.165500000000009</v>
      </c>
      <c r="O2078" s="434">
        <f t="shared" si="1333"/>
        <v>27.52</v>
      </c>
      <c r="P2078" s="435">
        <f t="shared" si="1334"/>
        <v>26.190000000000001</v>
      </c>
      <c r="AE2078" s="217"/>
      <c r="AF2078" s="217">
        <v>1251</v>
      </c>
      <c r="AH2078">
        <f t="shared" si="1340"/>
        <v>1251</v>
      </c>
    </row>
    <row r="2079" ht="75" hidden="1">
      <c r="A2079" s="217"/>
      <c r="B2079" s="217">
        <v>1251</v>
      </c>
      <c r="C2079" s="217"/>
      <c r="D2079" s="217" t="s">
        <v>17167</v>
      </c>
      <c r="E2079" s="471" t="s">
        <v>20673</v>
      </c>
      <c r="F2079" s="489">
        <v>101617</v>
      </c>
      <c r="G2079" s="470" t="s">
        <v>21716</v>
      </c>
      <c r="H2079" s="471" t="s">
        <v>15515</v>
      </c>
      <c r="I2079" s="472">
        <v>20</v>
      </c>
      <c r="J2079" s="473">
        <f t="shared" si="1343"/>
        <v>3.5299999999999998</v>
      </c>
      <c r="K2079" s="474">
        <f t="shared" si="1341"/>
        <v>70.599999999999994</v>
      </c>
      <c r="L2079" s="473">
        <f t="shared" si="1335"/>
        <v>3.3399999999999999</v>
      </c>
      <c r="M2079" s="474">
        <f t="shared" si="1342"/>
        <v>66.799999999999997</v>
      </c>
      <c r="O2079" s="434">
        <f t="shared" si="1333"/>
        <v>3.5299999999999998</v>
      </c>
      <c r="P2079" s="435">
        <f t="shared" si="1334"/>
        <v>3.3399999999999999</v>
      </c>
      <c r="AE2079" s="217"/>
      <c r="AF2079" s="217">
        <v>1251</v>
      </c>
      <c r="AH2079">
        <f t="shared" si="1340"/>
        <v>1251</v>
      </c>
    </row>
    <row r="2080" ht="75" hidden="1">
      <c r="A2080" s="217"/>
      <c r="B2080" s="217">
        <v>1251</v>
      </c>
      <c r="C2080" s="217"/>
      <c r="D2080" s="217" t="s">
        <v>17167</v>
      </c>
      <c r="E2080" s="471" t="s">
        <v>20675</v>
      </c>
      <c r="F2080" s="489">
        <v>101621</v>
      </c>
      <c r="G2080" s="470" t="s">
        <v>21717</v>
      </c>
      <c r="H2080" s="471" t="s">
        <v>15528</v>
      </c>
      <c r="I2080" s="472">
        <v>2.6490239999999998</v>
      </c>
      <c r="J2080" s="473">
        <f t="shared" si="1343"/>
        <v>244.81999999999999</v>
      </c>
      <c r="K2080" s="474">
        <f t="shared" si="1341"/>
        <v>648.53405567999994</v>
      </c>
      <c r="L2080" s="473">
        <f t="shared" si="1335"/>
        <v>238.41999999999999</v>
      </c>
      <c r="M2080" s="474">
        <f t="shared" si="1342"/>
        <v>631.58030207999991</v>
      </c>
      <c r="O2080" s="434">
        <f t="shared" si="1333"/>
        <v>244.81999999999999</v>
      </c>
      <c r="P2080" s="435">
        <f t="shared" si="1334"/>
        <v>238.41999999999999</v>
      </c>
      <c r="AE2080" s="217"/>
      <c r="AF2080" s="217">
        <v>1251</v>
      </c>
      <c r="AH2080">
        <f t="shared" si="1340"/>
        <v>1251</v>
      </c>
    </row>
    <row r="2081" ht="60" hidden="1">
      <c r="A2081" s="217"/>
      <c r="B2081" s="217">
        <v>1251</v>
      </c>
      <c r="C2081" s="217"/>
      <c r="D2081" s="217" t="s">
        <v>17167</v>
      </c>
      <c r="E2081" s="471" t="s">
        <v>20677</v>
      </c>
      <c r="F2081" s="489">
        <v>94963</v>
      </c>
      <c r="G2081" s="470" t="s">
        <v>20911</v>
      </c>
      <c r="H2081" s="471" t="s">
        <v>15528</v>
      </c>
      <c r="I2081" s="472">
        <v>5.1799999999999997</v>
      </c>
      <c r="J2081" s="473">
        <f t="shared" si="1343"/>
        <v>441.43000000000001</v>
      </c>
      <c r="K2081" s="474">
        <f t="shared" si="1341"/>
        <v>2286.6073999999999</v>
      </c>
      <c r="L2081" s="473">
        <f t="shared" si="1335"/>
        <v>436.14999999999998</v>
      </c>
      <c r="M2081" s="474">
        <f t="shared" si="1342"/>
        <v>2259.2569999999996</v>
      </c>
      <c r="O2081" s="434">
        <f t="shared" si="1333"/>
        <v>441.43000000000001</v>
      </c>
      <c r="P2081" s="435">
        <f t="shared" si="1334"/>
        <v>436.14999999999998</v>
      </c>
      <c r="AE2081" s="217"/>
      <c r="AF2081" s="217">
        <v>1251</v>
      </c>
      <c r="AH2081">
        <f t="shared" si="1340"/>
        <v>1251</v>
      </c>
    </row>
    <row r="2082" ht="60" hidden="1">
      <c r="A2082" s="217"/>
      <c r="B2082" s="217">
        <v>1251</v>
      </c>
      <c r="C2082" s="217"/>
      <c r="D2082" s="217" t="s">
        <v>17167</v>
      </c>
      <c r="E2082" s="471" t="s">
        <v>20679</v>
      </c>
      <c r="F2082" s="489">
        <v>94964</v>
      </c>
      <c r="G2082" s="470" t="s">
        <v>20686</v>
      </c>
      <c r="H2082" s="471" t="s">
        <v>15528</v>
      </c>
      <c r="I2082" s="472">
        <v>1.8999999999999999</v>
      </c>
      <c r="J2082" s="473">
        <f t="shared" si="1343"/>
        <v>488.52999999999997</v>
      </c>
      <c r="K2082" s="474">
        <f t="shared" si="1341"/>
        <v>928.20699999999988</v>
      </c>
      <c r="L2082" s="473">
        <f t="shared" si="1335"/>
        <v>482.79000000000002</v>
      </c>
      <c r="M2082" s="474">
        <f t="shared" si="1342"/>
        <v>917.30100000000004</v>
      </c>
      <c r="O2082" s="434">
        <f t="shared" si="1333"/>
        <v>488.52999999999997</v>
      </c>
      <c r="P2082" s="435">
        <f t="shared" si="1334"/>
        <v>482.79000000000002</v>
      </c>
      <c r="AE2082" s="217"/>
      <c r="AF2082" s="217">
        <v>1251</v>
      </c>
      <c r="AH2082">
        <f t="shared" si="1340"/>
        <v>1251</v>
      </c>
    </row>
    <row r="2083" ht="60" hidden="1">
      <c r="A2083" s="217"/>
      <c r="B2083" s="217">
        <v>1251</v>
      </c>
      <c r="C2083" s="217"/>
      <c r="D2083" s="217" t="s">
        <v>17167</v>
      </c>
      <c r="E2083" s="471" t="s">
        <v>20681</v>
      </c>
      <c r="F2083" s="489">
        <v>96530</v>
      </c>
      <c r="G2083" s="470" t="s">
        <v>20966</v>
      </c>
      <c r="H2083" s="471" t="s">
        <v>15515</v>
      </c>
      <c r="I2083" s="472">
        <v>5.21</v>
      </c>
      <c r="J2083" s="473">
        <f t="shared" si="1343"/>
        <v>129.25999999999999</v>
      </c>
      <c r="K2083" s="474">
        <f t="shared" si="1341"/>
        <v>673.44459999999992</v>
      </c>
      <c r="L2083" s="473">
        <f t="shared" si="1335"/>
        <v>125.91</v>
      </c>
      <c r="M2083" s="474">
        <f t="shared" si="1342"/>
        <v>655.99109999999996</v>
      </c>
      <c r="O2083" s="434">
        <f t="shared" si="1333"/>
        <v>129.25999999999999</v>
      </c>
      <c r="P2083" s="435">
        <f t="shared" si="1334"/>
        <v>125.91</v>
      </c>
      <c r="AE2083" s="217"/>
      <c r="AF2083" s="217">
        <v>1251</v>
      </c>
      <c r="AH2083">
        <f t="shared" si="1340"/>
        <v>1251</v>
      </c>
    </row>
    <row r="2084" ht="47.25" hidden="1">
      <c r="A2084" s="460">
        <v>1252</v>
      </c>
      <c r="B2084" s="460">
        <v>1252</v>
      </c>
      <c r="C2084" s="460"/>
      <c r="D2084" s="460"/>
      <c r="E2084" s="461">
        <v>1</v>
      </c>
      <c r="F2084" s="462" t="s">
        <v>21718</v>
      </c>
      <c r="G2084" s="477" t="s">
        <v>21719</v>
      </c>
      <c r="H2084" s="579" t="s">
        <v>20647</v>
      </c>
      <c r="I2084" s="479"/>
      <c r="J2084" s="480"/>
      <c r="K2084" s="466">
        <f>SUM(K2085:K2098)</f>
        <v>5776.8361042880006</v>
      </c>
      <c r="L2084" s="480"/>
      <c r="M2084" s="466">
        <f>SUM(M2085:M2098)</f>
        <v>5640.0440157279991</v>
      </c>
      <c r="N2084" s="467" t="s">
        <v>21720</v>
      </c>
      <c r="O2084" s="434" t="str">
        <f t="shared" si="1333"/>
        <v xml:space="preserve">SEM VALOR</v>
      </c>
      <c r="P2084" s="435" t="str">
        <f t="shared" si="1334"/>
        <v xml:space="preserve">SEM VALOR</v>
      </c>
      <c r="AE2084" s="460">
        <v>1252</v>
      </c>
      <c r="AF2084" s="460"/>
      <c r="AH2084">
        <f t="shared" si="1340"/>
        <v>1252</v>
      </c>
    </row>
    <row r="2085" ht="30" hidden="1">
      <c r="A2085" s="217"/>
      <c r="B2085" s="217">
        <v>1252</v>
      </c>
      <c r="C2085" s="217"/>
      <c r="D2085" s="217" t="s">
        <v>20398</v>
      </c>
      <c r="E2085" s="471" t="s">
        <v>20399</v>
      </c>
      <c r="F2085" s="482">
        <v>1242</v>
      </c>
      <c r="G2085" s="488" t="s">
        <v>20905</v>
      </c>
      <c r="H2085" s="471" t="s">
        <v>15528</v>
      </c>
      <c r="I2085" s="472">
        <v>1.0231680000000001</v>
      </c>
      <c r="J2085" s="473">
        <f t="shared" si="1343"/>
        <v>151.59100000000001</v>
      </c>
      <c r="K2085" s="474">
        <f t="shared" ref="K2085:K2098" si="1344">I2085*J2085</f>
        <v>155.10306028800002</v>
      </c>
      <c r="L2085" s="473">
        <f t="shared" si="1335"/>
        <v>149.17099999999999</v>
      </c>
      <c r="M2085" s="474">
        <f t="shared" ref="M2085:M2098" si="1345">L2085*I2085</f>
        <v>152.626993728</v>
      </c>
      <c r="O2085" s="434">
        <f t="shared" si="1333"/>
        <v>151.59100000000001</v>
      </c>
      <c r="P2085" s="435">
        <f t="shared" si="1334"/>
        <v>149.17099999999999</v>
      </c>
      <c r="AE2085" s="217"/>
      <c r="AF2085" s="217">
        <v>1252</v>
      </c>
      <c r="AH2085">
        <f t="shared" si="1340"/>
        <v>1252</v>
      </c>
    </row>
    <row r="2086" ht="75" hidden="1">
      <c r="A2086" s="217"/>
      <c r="B2086" s="217">
        <v>1252</v>
      </c>
      <c r="C2086" s="217"/>
      <c r="D2086" s="217" t="s">
        <v>20398</v>
      </c>
      <c r="E2086" s="471" t="s">
        <v>20402</v>
      </c>
      <c r="F2086" s="482">
        <v>1257</v>
      </c>
      <c r="G2086" s="470" t="s">
        <v>20906</v>
      </c>
      <c r="H2086" s="471" t="s">
        <v>15515</v>
      </c>
      <c r="I2086" s="472">
        <v>12.6</v>
      </c>
      <c r="J2086" s="473">
        <f t="shared" si="1343"/>
        <v>202.65134000000003</v>
      </c>
      <c r="K2086" s="474">
        <f t="shared" si="1344"/>
        <v>2553.4068840000004</v>
      </c>
      <c r="L2086" s="473">
        <f t="shared" si="1335"/>
        <v>197.86072000000001</v>
      </c>
      <c r="M2086" s="474">
        <f t="shared" si="1345"/>
        <v>2493.0450719999999</v>
      </c>
      <c r="O2086" s="434">
        <f t="shared" si="1333"/>
        <v>202.65134000000003</v>
      </c>
      <c r="P2086" s="435">
        <f t="shared" si="1334"/>
        <v>197.86072000000001</v>
      </c>
      <c r="AE2086" s="217"/>
      <c r="AF2086" s="217">
        <v>1252</v>
      </c>
      <c r="AH2086">
        <f t="shared" si="1340"/>
        <v>1252</v>
      </c>
    </row>
    <row r="2087" ht="60" hidden="1">
      <c r="A2087" s="217"/>
      <c r="B2087" s="217">
        <v>1252</v>
      </c>
      <c r="C2087" s="217"/>
      <c r="D2087" s="217" t="s">
        <v>20398</v>
      </c>
      <c r="E2087" s="471" t="s">
        <v>20405</v>
      </c>
      <c r="F2087" s="482">
        <v>1258</v>
      </c>
      <c r="G2087" s="488" t="s">
        <v>20660</v>
      </c>
      <c r="H2087" s="472" t="s">
        <v>15515</v>
      </c>
      <c r="I2087" s="472">
        <v>8</v>
      </c>
      <c r="J2087" s="473">
        <f t="shared" si="1343"/>
        <v>7.5700000000000003</v>
      </c>
      <c r="K2087" s="474">
        <f t="shared" si="1344"/>
        <v>60.560000000000002</v>
      </c>
      <c r="L2087" s="473">
        <f t="shared" si="1335"/>
        <v>7.1846199999999998</v>
      </c>
      <c r="M2087" s="474">
        <f t="shared" si="1345"/>
        <v>57.476959999999998</v>
      </c>
      <c r="O2087" s="434">
        <f t="shared" si="1333"/>
        <v>7.5700000000000003</v>
      </c>
      <c r="P2087" s="435">
        <f t="shared" si="1334"/>
        <v>7.1846199999999998</v>
      </c>
      <c r="AE2087" s="217"/>
      <c r="AF2087" s="217">
        <v>1252</v>
      </c>
      <c r="AH2087">
        <f t="shared" si="1340"/>
        <v>1252</v>
      </c>
    </row>
    <row r="2088" ht="30" hidden="1">
      <c r="A2088" s="217"/>
      <c r="B2088" s="217">
        <v>1252</v>
      </c>
      <c r="C2088" s="217"/>
      <c r="D2088" s="217" t="s">
        <v>20398</v>
      </c>
      <c r="E2088" s="471" t="s">
        <v>20409</v>
      </c>
      <c r="F2088" s="482">
        <v>1259</v>
      </c>
      <c r="G2088" s="488" t="s">
        <v>21294</v>
      </c>
      <c r="H2088" s="472" t="s">
        <v>15528</v>
      </c>
      <c r="I2088" s="472">
        <v>1.3</v>
      </c>
      <c r="J2088" s="473">
        <f t="shared" si="1343"/>
        <v>45.520000000000003</v>
      </c>
      <c r="K2088" s="474">
        <f t="shared" si="1344"/>
        <v>59.176000000000009</v>
      </c>
      <c r="L2088" s="473">
        <f t="shared" si="1335"/>
        <v>43.100000000000001</v>
      </c>
      <c r="M2088" s="474">
        <f t="shared" si="1345"/>
        <v>56.030000000000001</v>
      </c>
      <c r="O2088" s="434">
        <f t="shared" si="1333"/>
        <v>45.520000000000003</v>
      </c>
      <c r="P2088" s="435">
        <f t="shared" si="1334"/>
        <v>43.100000000000001</v>
      </c>
      <c r="AE2088" s="217"/>
      <c r="AF2088" s="217">
        <v>1252</v>
      </c>
      <c r="AH2088">
        <f t="shared" si="1340"/>
        <v>1252</v>
      </c>
    </row>
    <row r="2089" ht="105" hidden="1">
      <c r="A2089" s="217"/>
      <c r="B2089" s="217">
        <v>1252</v>
      </c>
      <c r="C2089" s="217"/>
      <c r="D2089" s="217" t="s">
        <v>17167</v>
      </c>
      <c r="E2089" s="471" t="s">
        <v>20663</v>
      </c>
      <c r="F2089" s="489">
        <v>5928</v>
      </c>
      <c r="G2089" s="470" t="s">
        <v>1739</v>
      </c>
      <c r="H2089" s="472" t="s">
        <v>1535</v>
      </c>
      <c r="I2089" s="472">
        <v>0.10000000000000001</v>
      </c>
      <c r="J2089" s="473">
        <f t="shared" si="1343"/>
        <v>298.70999999999998</v>
      </c>
      <c r="K2089" s="474">
        <f t="shared" si="1344"/>
        <v>29.870999999999999</v>
      </c>
      <c r="L2089" s="473">
        <f t="shared" si="1335"/>
        <v>296.98000000000002</v>
      </c>
      <c r="M2089" s="474">
        <f t="shared" si="1345"/>
        <v>29.698000000000004</v>
      </c>
      <c r="O2089" s="434">
        <f t="shared" si="1333"/>
        <v>298.70999999999998</v>
      </c>
      <c r="P2089" s="435">
        <f t="shared" si="1334"/>
        <v>296.98000000000002</v>
      </c>
      <c r="AE2089" s="217"/>
      <c r="AF2089" s="217">
        <v>1252</v>
      </c>
      <c r="AH2089">
        <f t="shared" si="1340"/>
        <v>1252</v>
      </c>
    </row>
    <row r="2090" ht="45" hidden="1">
      <c r="A2090" s="217"/>
      <c r="B2090" s="217">
        <v>1252</v>
      </c>
      <c r="C2090" s="217"/>
      <c r="D2090" s="217" t="s">
        <v>20398</v>
      </c>
      <c r="E2090" s="471" t="s">
        <v>20665</v>
      </c>
      <c r="F2090" s="489">
        <v>1000</v>
      </c>
      <c r="G2090" s="488" t="s">
        <v>20651</v>
      </c>
      <c r="H2090" s="472" t="s">
        <v>15528</v>
      </c>
      <c r="I2090" s="472">
        <v>2.3799999999999999</v>
      </c>
      <c r="J2090" s="473">
        <f t="shared" si="1343"/>
        <v>149.904</v>
      </c>
      <c r="K2090" s="474">
        <f t="shared" si="1344"/>
        <v>356.77151999999995</v>
      </c>
      <c r="L2090" s="473">
        <f t="shared" si="1335"/>
        <v>141.76949999999999</v>
      </c>
      <c r="M2090" s="474">
        <f t="shared" si="1345"/>
        <v>337.41140999999999</v>
      </c>
      <c r="O2090" s="434">
        <f t="shared" si="1333"/>
        <v>149.904</v>
      </c>
      <c r="P2090" s="435">
        <f t="shared" si="1334"/>
        <v>141.76949999999999</v>
      </c>
      <c r="AE2090" s="217"/>
      <c r="AF2090" s="217">
        <v>1252</v>
      </c>
      <c r="AH2090">
        <f t="shared" si="1340"/>
        <v>1252</v>
      </c>
    </row>
    <row r="2091" ht="60" hidden="1">
      <c r="A2091" s="217"/>
      <c r="B2091" s="217">
        <v>1252</v>
      </c>
      <c r="C2091" s="217"/>
      <c r="D2091" s="217" t="s">
        <v>17167</v>
      </c>
      <c r="E2091" s="471" t="s">
        <v>20667</v>
      </c>
      <c r="F2091" s="489">
        <v>87313</v>
      </c>
      <c r="G2091" s="470" t="s">
        <v>20909</v>
      </c>
      <c r="H2091" s="472" t="s">
        <v>15528</v>
      </c>
      <c r="I2091" s="472">
        <v>0.22800000000000001</v>
      </c>
      <c r="J2091" s="473">
        <f t="shared" si="1343"/>
        <v>549.88</v>
      </c>
      <c r="K2091" s="474">
        <f t="shared" si="1344"/>
        <v>125.37264</v>
      </c>
      <c r="L2091" s="473">
        <f t="shared" si="1335"/>
        <v>542.65999999999997</v>
      </c>
      <c r="M2091" s="474">
        <f t="shared" si="1345"/>
        <v>123.72648</v>
      </c>
      <c r="O2091" s="434">
        <f t="shared" si="1333"/>
        <v>549.88</v>
      </c>
      <c r="P2091" s="435">
        <f t="shared" si="1334"/>
        <v>542.65999999999997</v>
      </c>
      <c r="AE2091" s="217"/>
      <c r="AF2091" s="217">
        <v>1252</v>
      </c>
      <c r="AH2091">
        <f t="shared" si="1340"/>
        <v>1252</v>
      </c>
    </row>
    <row r="2092" ht="75" hidden="1">
      <c r="A2092" s="217"/>
      <c r="B2092" s="217">
        <v>1252</v>
      </c>
      <c r="C2092" s="217"/>
      <c r="D2092" s="217" t="s">
        <v>17167</v>
      </c>
      <c r="E2092" s="471" t="s">
        <v>20671</v>
      </c>
      <c r="F2092" s="489">
        <v>87878</v>
      </c>
      <c r="G2092" s="470" t="s">
        <v>20910</v>
      </c>
      <c r="H2092" s="471" t="s">
        <v>15515</v>
      </c>
      <c r="I2092" s="472">
        <v>11.4</v>
      </c>
      <c r="J2092" s="473">
        <f t="shared" si="1343"/>
        <v>5.0099999999999998</v>
      </c>
      <c r="K2092" s="474">
        <f t="shared" si="1344"/>
        <v>57.113999999999997</v>
      </c>
      <c r="L2092" s="473">
        <f t="shared" si="1335"/>
        <v>4.7999999999999998</v>
      </c>
      <c r="M2092" s="474">
        <f t="shared" si="1345"/>
        <v>54.719999999999999</v>
      </c>
      <c r="O2092" s="434">
        <f t="shared" ref="O2092:O2155" si="1346">IFERROR(IF(D2092="SINAPI",VLOOKUP(F2092,SINCOMOD,4,FALSE),IF(D2092="INSINAPI",VLOOKUP(F2092,INSINOD,5,FALSE),IF(D2092="SICRO",VLOOKUP(F2092,SICRO,5,FALSE),IF(D2092="COTACAO",VLOOKUP(F2092,COTACAO,6,FALSE),IF(D2092="PRÓPRIO",VLOOKUP(F2092,COMPOD,11,FALSE),IF(D2092="AGESUL",VLOOKUP(F2092,AGESULOD,6,FALSE),IF(D2092="INSAGESUL",VLOOKUP(F2092,INSAGESUL,7,FALSE),"SEM VALOR"))))))),"SEM VALOR")</f>
        <v>5.0099999999999998</v>
      </c>
      <c r="P2092" s="435">
        <f t="shared" ref="P2092:P2155" si="1347">IFERROR(IF(D2092="SINAPI",VLOOKUP(F2092,SINCOMOD,6,FALSE),IF(D2092="INSINAPI",VLOOKUP(F2092,INSINOD,6,FALSE),IF(D2092="SICRO",VLOOKUP(F2092,SICRO,5,FALSE),IF(D2092="COTACAO",VLOOKUP(F2092,COTACAO,6,FALSE),IF(D2092="PRÓPRIO",VLOOKUP(F2092,COMPOD,13,FALSE),IF(D2092="AGESUL",VLOOKUP(F2092,AGESULOD,11,FALSE),IF(D2092="INSAGESUL",VLOOKUP(F2092,INSAGESUL,8,FALSE),"SEM VALOR"))))))),"SEM VALOR")</f>
        <v>4.7999999999999998</v>
      </c>
      <c r="AE2092" s="217"/>
      <c r="AF2092" s="217">
        <v>1252</v>
      </c>
      <c r="AH2092">
        <f t="shared" si="1340"/>
        <v>1252</v>
      </c>
    </row>
    <row r="2093" ht="75" hidden="1">
      <c r="A2093" s="217"/>
      <c r="B2093" s="217">
        <v>1252</v>
      </c>
      <c r="C2093" s="217"/>
      <c r="D2093" s="217" t="s">
        <v>17167</v>
      </c>
      <c r="E2093" s="471" t="s">
        <v>20672</v>
      </c>
      <c r="F2093" s="489">
        <v>92915</v>
      </c>
      <c r="G2093" s="470" t="s">
        <v>20970</v>
      </c>
      <c r="H2093" s="471" t="s">
        <v>302</v>
      </c>
      <c r="I2093" s="472">
        <v>8</v>
      </c>
      <c r="J2093" s="473">
        <f t="shared" si="1343"/>
        <v>16.649999999999999</v>
      </c>
      <c r="K2093" s="474">
        <f t="shared" si="1344"/>
        <v>133.19999999999999</v>
      </c>
      <c r="L2093" s="473">
        <f t="shared" ref="L2093:L2156" si="1348">P2093*$L$3</f>
        <v>16.199999999999999</v>
      </c>
      <c r="M2093" s="474">
        <f t="shared" si="1345"/>
        <v>129.59999999999999</v>
      </c>
      <c r="O2093" s="434">
        <f t="shared" si="1346"/>
        <v>16.649999999999999</v>
      </c>
      <c r="P2093" s="435">
        <f t="shared" si="1347"/>
        <v>16.199999999999999</v>
      </c>
      <c r="AE2093" s="217"/>
      <c r="AF2093" s="217">
        <v>1252</v>
      </c>
      <c r="AH2093">
        <f t="shared" si="1340"/>
        <v>1252</v>
      </c>
    </row>
    <row r="2094" ht="75" hidden="1">
      <c r="A2094" s="217"/>
      <c r="B2094" s="217">
        <v>1252</v>
      </c>
      <c r="C2094" s="217"/>
      <c r="D2094" s="217" t="s">
        <v>17167</v>
      </c>
      <c r="E2094" s="471" t="s">
        <v>20673</v>
      </c>
      <c r="F2094" s="489">
        <v>92916</v>
      </c>
      <c r="G2094" s="470" t="s">
        <v>20969</v>
      </c>
      <c r="H2094" s="471" t="s">
        <v>302</v>
      </c>
      <c r="I2094" s="472">
        <v>60</v>
      </c>
      <c r="J2094" s="473">
        <f t="shared" si="1343"/>
        <v>15</v>
      </c>
      <c r="K2094" s="474">
        <f t="shared" si="1344"/>
        <v>900</v>
      </c>
      <c r="L2094" s="473">
        <f t="shared" si="1348"/>
        <v>14.69</v>
      </c>
      <c r="M2094" s="474">
        <f t="shared" si="1345"/>
        <v>881.39999999999998</v>
      </c>
      <c r="O2094" s="434">
        <f t="shared" si="1346"/>
        <v>15</v>
      </c>
      <c r="P2094" s="435">
        <f t="shared" si="1347"/>
        <v>14.69</v>
      </c>
      <c r="AE2094" s="217"/>
      <c r="AF2094" s="217">
        <v>1252</v>
      </c>
      <c r="AH2094">
        <f t="shared" si="1340"/>
        <v>1252</v>
      </c>
    </row>
    <row r="2095" ht="45" hidden="1">
      <c r="A2095" s="217"/>
      <c r="B2095" s="217">
        <v>1252</v>
      </c>
      <c r="C2095" s="217"/>
      <c r="D2095" s="217" t="s">
        <v>17167</v>
      </c>
      <c r="E2095" s="471" t="s">
        <v>20675</v>
      </c>
      <c r="F2095" s="489">
        <v>93382</v>
      </c>
      <c r="G2095" s="470" t="s">
        <v>20722</v>
      </c>
      <c r="H2095" s="471" t="s">
        <v>15528</v>
      </c>
      <c r="I2095" s="472">
        <v>1.1499999999999999</v>
      </c>
      <c r="J2095" s="473">
        <f t="shared" si="1343"/>
        <v>27.52</v>
      </c>
      <c r="K2095" s="474">
        <f t="shared" si="1344"/>
        <v>31.647999999999996</v>
      </c>
      <c r="L2095" s="473">
        <f t="shared" si="1348"/>
        <v>26.190000000000001</v>
      </c>
      <c r="M2095" s="474">
        <f t="shared" si="1345"/>
        <v>30.118499999999997</v>
      </c>
      <c r="O2095" s="434">
        <f t="shared" si="1346"/>
        <v>27.52</v>
      </c>
      <c r="P2095" s="435">
        <f t="shared" si="1347"/>
        <v>26.190000000000001</v>
      </c>
      <c r="AE2095" s="217"/>
      <c r="AF2095" s="217">
        <v>1252</v>
      </c>
      <c r="AH2095">
        <f t="shared" si="1340"/>
        <v>1252</v>
      </c>
    </row>
    <row r="2096" ht="60" hidden="1">
      <c r="A2096" s="217"/>
      <c r="B2096" s="217">
        <v>1252</v>
      </c>
      <c r="C2096" s="217"/>
      <c r="D2096" s="217" t="s">
        <v>17167</v>
      </c>
      <c r="E2096" s="471" t="s">
        <v>20677</v>
      </c>
      <c r="F2096" s="489">
        <v>94963</v>
      </c>
      <c r="G2096" s="470" t="s">
        <v>20911</v>
      </c>
      <c r="H2096" s="471" t="s">
        <v>15528</v>
      </c>
      <c r="I2096" s="472">
        <v>1.74</v>
      </c>
      <c r="J2096" s="473">
        <f t="shared" si="1343"/>
        <v>441.43000000000001</v>
      </c>
      <c r="K2096" s="474">
        <f t="shared" si="1344"/>
        <v>768.08820000000003</v>
      </c>
      <c r="L2096" s="473">
        <f t="shared" si="1348"/>
        <v>436.14999999999998</v>
      </c>
      <c r="M2096" s="474">
        <f t="shared" si="1345"/>
        <v>758.90099999999995</v>
      </c>
      <c r="O2096" s="434">
        <f t="shared" si="1346"/>
        <v>441.43000000000001</v>
      </c>
      <c r="P2096" s="435">
        <f t="shared" si="1347"/>
        <v>436.14999999999998</v>
      </c>
      <c r="AE2096" s="217"/>
      <c r="AF2096" s="217">
        <v>1252</v>
      </c>
      <c r="AH2096">
        <f t="shared" si="1340"/>
        <v>1252</v>
      </c>
    </row>
    <row r="2097" ht="60" hidden="1">
      <c r="A2097" s="217"/>
      <c r="B2097" s="217">
        <v>1252</v>
      </c>
      <c r="C2097" s="217"/>
      <c r="D2097" s="217" t="s">
        <v>17167</v>
      </c>
      <c r="E2097" s="471" t="s">
        <v>20679</v>
      </c>
      <c r="F2097" s="489">
        <v>94964</v>
      </c>
      <c r="G2097" s="470" t="s">
        <v>20686</v>
      </c>
      <c r="H2097" s="471" t="s">
        <v>15528</v>
      </c>
      <c r="I2097" s="472">
        <v>0.64000000000000001</v>
      </c>
      <c r="J2097" s="473">
        <f t="shared" si="1343"/>
        <v>488.52999999999997</v>
      </c>
      <c r="K2097" s="474">
        <f t="shared" si="1344"/>
        <v>312.6592</v>
      </c>
      <c r="L2097" s="473">
        <f t="shared" si="1348"/>
        <v>482.79000000000002</v>
      </c>
      <c r="M2097" s="474">
        <f t="shared" si="1345"/>
        <v>308.98560000000003</v>
      </c>
      <c r="O2097" s="434">
        <f t="shared" si="1346"/>
        <v>488.52999999999997</v>
      </c>
      <c r="P2097" s="435">
        <f t="shared" si="1347"/>
        <v>482.79000000000002</v>
      </c>
      <c r="AE2097" s="217"/>
      <c r="AF2097" s="217">
        <v>1252</v>
      </c>
      <c r="AH2097">
        <f t="shared" si="1340"/>
        <v>1252</v>
      </c>
    </row>
    <row r="2098" ht="60" hidden="1">
      <c r="A2098" s="217"/>
      <c r="B2098" s="217">
        <v>1252</v>
      </c>
      <c r="C2098" s="217"/>
      <c r="D2098" s="217" t="s">
        <v>17167</v>
      </c>
      <c r="E2098" s="471" t="s">
        <v>20681</v>
      </c>
      <c r="F2098" s="489">
        <v>96533</v>
      </c>
      <c r="G2098" s="470" t="s">
        <v>20912</v>
      </c>
      <c r="H2098" s="471" t="s">
        <v>15515</v>
      </c>
      <c r="I2098" s="472">
        <v>2.7200000000000002</v>
      </c>
      <c r="J2098" s="473">
        <f t="shared" si="1343"/>
        <v>85.980000000000004</v>
      </c>
      <c r="K2098" s="474">
        <f t="shared" si="1344"/>
        <v>233.86560000000003</v>
      </c>
      <c r="L2098" s="473">
        <f t="shared" si="1348"/>
        <v>83.200000000000003</v>
      </c>
      <c r="M2098" s="474">
        <f t="shared" si="1345"/>
        <v>226.30400000000003</v>
      </c>
      <c r="O2098" s="434">
        <f t="shared" si="1346"/>
        <v>85.980000000000004</v>
      </c>
      <c r="P2098" s="435">
        <f t="shared" si="1347"/>
        <v>83.200000000000003</v>
      </c>
      <c r="AE2098" s="217"/>
      <c r="AF2098" s="217">
        <v>1252</v>
      </c>
      <c r="AH2098">
        <f t="shared" si="1340"/>
        <v>1252</v>
      </c>
    </row>
    <row r="2099" ht="41.25" customHeight="1">
      <c r="A2099" s="460">
        <v>1253</v>
      </c>
      <c r="B2099" s="460">
        <v>1253</v>
      </c>
      <c r="C2099" s="460"/>
      <c r="D2099" s="460"/>
      <c r="E2099" s="461">
        <v>1</v>
      </c>
      <c r="F2099" s="462" t="s">
        <v>20403</v>
      </c>
      <c r="G2099" s="477" t="s">
        <v>21721</v>
      </c>
      <c r="H2099" s="579" t="s">
        <v>20647</v>
      </c>
      <c r="I2099" s="479"/>
      <c r="J2099" s="480"/>
      <c r="K2099" s="466">
        <f>SUM(K2100:K2104)</f>
        <v>1017.3899999999999</v>
      </c>
      <c r="L2099" s="480"/>
      <c r="M2099" s="466">
        <f>SUM(M2100:M2104)</f>
        <v>990.50265100000001</v>
      </c>
      <c r="O2099" s="434" t="str">
        <f t="shared" si="1346"/>
        <v xml:space="preserve">SEM VALOR</v>
      </c>
      <c r="P2099" s="435" t="str">
        <f t="shared" si="1347"/>
        <v xml:space="preserve">SEM VALOR</v>
      </c>
      <c r="AE2099" s="460">
        <v>1253</v>
      </c>
      <c r="AF2099" s="460"/>
      <c r="AH2099">
        <f t="shared" si="1340"/>
        <v>1253</v>
      </c>
    </row>
    <row r="2100" ht="45">
      <c r="A2100" s="217"/>
      <c r="B2100" s="217">
        <v>1253</v>
      </c>
      <c r="C2100" s="217"/>
      <c r="D2100" s="217" t="s">
        <v>20398</v>
      </c>
      <c r="E2100" s="471" t="s">
        <v>20399</v>
      </c>
      <c r="F2100" s="482">
        <v>1282</v>
      </c>
      <c r="G2100" s="470" t="s">
        <v>21722</v>
      </c>
      <c r="H2100" s="499" t="s">
        <v>31</v>
      </c>
      <c r="I2100" s="483">
        <v>1</v>
      </c>
      <c r="J2100" s="473">
        <f t="shared" si="1343"/>
        <v>167.06</v>
      </c>
      <c r="K2100" s="474">
        <f>TRUNC(I2100*J2100,2)</f>
        <v>167.06</v>
      </c>
      <c r="L2100" s="473">
        <f t="shared" si="1348"/>
        <v>166.09799000000001</v>
      </c>
      <c r="M2100" s="474">
        <f t="shared" ref="M2100:M2104" si="1349">L2100*I2100</f>
        <v>166.09799000000001</v>
      </c>
      <c r="O2100" s="434">
        <f t="shared" si="1346"/>
        <v>167.06</v>
      </c>
      <c r="P2100" s="435">
        <f t="shared" si="1347"/>
        <v>166.09799000000001</v>
      </c>
      <c r="AE2100" s="217"/>
      <c r="AF2100" s="217">
        <v>1253</v>
      </c>
      <c r="AH2100">
        <f t="shared" si="1340"/>
        <v>1253</v>
      </c>
    </row>
    <row r="2101" ht="60">
      <c r="A2101" s="217"/>
      <c r="B2101" s="217">
        <v>1253</v>
      </c>
      <c r="C2101" s="217"/>
      <c r="D2101" s="217" t="s">
        <v>20398</v>
      </c>
      <c r="E2101" s="471" t="s">
        <v>20402</v>
      </c>
      <c r="F2101" s="482">
        <v>1283</v>
      </c>
      <c r="G2101" s="470" t="s">
        <v>21723</v>
      </c>
      <c r="H2101" s="499" t="s">
        <v>38</v>
      </c>
      <c r="I2101" s="483">
        <v>15</v>
      </c>
      <c r="J2101" s="473">
        <f t="shared" si="1343"/>
        <v>33.549999999999997</v>
      </c>
      <c r="K2101" s="474">
        <f>ROUND(I2101*J2101,2)</f>
        <v>503.25</v>
      </c>
      <c r="L2101" s="473">
        <f t="shared" si="1348"/>
        <v>32.068169399999995</v>
      </c>
      <c r="M2101" s="474">
        <f t="shared" si="1349"/>
        <v>481.02254099999993</v>
      </c>
      <c r="O2101" s="434">
        <f t="shared" si="1346"/>
        <v>33.549999999999997</v>
      </c>
      <c r="P2101" s="435">
        <f t="shared" si="1347"/>
        <v>32.068169399999995</v>
      </c>
      <c r="AE2101" s="217"/>
      <c r="AF2101" s="217">
        <v>1253</v>
      </c>
      <c r="AH2101">
        <f t="shared" si="1340"/>
        <v>1253</v>
      </c>
    </row>
    <row r="2102" ht="30">
      <c r="A2102" s="217"/>
      <c r="B2102" s="217">
        <v>1253</v>
      </c>
      <c r="C2102" s="217"/>
      <c r="D2102" s="217" t="s">
        <v>20398</v>
      </c>
      <c r="E2102" s="471" t="s">
        <v>20405</v>
      </c>
      <c r="F2102" s="482">
        <v>1284</v>
      </c>
      <c r="G2102" s="470" t="s">
        <v>21724</v>
      </c>
      <c r="H2102" s="499" t="s">
        <v>31</v>
      </c>
      <c r="I2102" s="483">
        <v>1</v>
      </c>
      <c r="J2102" s="473">
        <f t="shared" si="1343"/>
        <v>65.900000000000006</v>
      </c>
      <c r="K2102" s="474">
        <f t="shared" ref="K2102:K2104" si="1350">TRUNC(I2102*J2102,2)</f>
        <v>65.900000000000006</v>
      </c>
      <c r="L2102" s="473">
        <f t="shared" si="1348"/>
        <v>64.212119999999999</v>
      </c>
      <c r="M2102" s="474">
        <f t="shared" si="1349"/>
        <v>64.212119999999999</v>
      </c>
      <c r="O2102" s="434">
        <f t="shared" si="1346"/>
        <v>65.900000000000006</v>
      </c>
      <c r="P2102" s="435">
        <f t="shared" si="1347"/>
        <v>64.212119999999999</v>
      </c>
      <c r="AE2102" s="217"/>
      <c r="AF2102" s="217">
        <v>1253</v>
      </c>
      <c r="AH2102">
        <f t="shared" si="1340"/>
        <v>1253</v>
      </c>
    </row>
    <row r="2103" ht="45">
      <c r="A2103" s="217"/>
      <c r="B2103" s="217">
        <v>1253</v>
      </c>
      <c r="C2103" s="217"/>
      <c r="D2103" s="217" t="s">
        <v>17167</v>
      </c>
      <c r="E2103" s="471" t="s">
        <v>20409</v>
      </c>
      <c r="F2103" s="469">
        <v>95674</v>
      </c>
      <c r="G2103" s="470" t="s">
        <v>21725</v>
      </c>
      <c r="H2103" s="499" t="s">
        <v>31</v>
      </c>
      <c r="I2103" s="483">
        <v>1</v>
      </c>
      <c r="J2103" s="473">
        <f t="shared" si="1343"/>
        <v>140.18000000000001</v>
      </c>
      <c r="K2103" s="474">
        <f t="shared" si="1350"/>
        <v>140.18000000000001</v>
      </c>
      <c r="L2103" s="473">
        <f t="shared" si="1348"/>
        <v>138.93000000000001</v>
      </c>
      <c r="M2103" s="474">
        <f t="shared" si="1349"/>
        <v>138.93000000000001</v>
      </c>
      <c r="O2103" s="434">
        <f t="shared" si="1346"/>
        <v>140.18000000000001</v>
      </c>
      <c r="P2103" s="435">
        <f t="shared" si="1347"/>
        <v>138.93000000000001</v>
      </c>
      <c r="AE2103" s="217"/>
      <c r="AF2103" s="217">
        <v>1253</v>
      </c>
      <c r="AH2103">
        <f t="shared" si="1340"/>
        <v>1253</v>
      </c>
    </row>
    <row r="2104" ht="60">
      <c r="A2104" s="217"/>
      <c r="B2104" s="217">
        <v>1253</v>
      </c>
      <c r="C2104" s="217"/>
      <c r="D2104" s="217" t="s">
        <v>17167</v>
      </c>
      <c r="E2104" s="471" t="s">
        <v>20663</v>
      </c>
      <c r="F2104" s="469">
        <v>95676</v>
      </c>
      <c r="G2104" s="470" t="s">
        <v>21726</v>
      </c>
      <c r="H2104" s="482" t="s">
        <v>31</v>
      </c>
      <c r="I2104" s="483">
        <v>1</v>
      </c>
      <c r="J2104" s="473">
        <f t="shared" si="1343"/>
        <v>141</v>
      </c>
      <c r="K2104" s="474">
        <f t="shared" si="1350"/>
        <v>141</v>
      </c>
      <c r="L2104" s="473">
        <f t="shared" si="1348"/>
        <v>140.24000000000001</v>
      </c>
      <c r="M2104" s="474">
        <f t="shared" si="1349"/>
        <v>140.24000000000001</v>
      </c>
      <c r="O2104" s="434">
        <f t="shared" si="1346"/>
        <v>141</v>
      </c>
      <c r="P2104" s="435">
        <f t="shared" si="1347"/>
        <v>140.24000000000001</v>
      </c>
      <c r="AE2104" s="217"/>
      <c r="AF2104" s="217">
        <v>1253</v>
      </c>
      <c r="AH2104">
        <f t="shared" si="1340"/>
        <v>1253</v>
      </c>
    </row>
    <row r="2105" ht="54" hidden="1" customHeight="1">
      <c r="A2105" s="460">
        <v>1254</v>
      </c>
      <c r="B2105" s="460">
        <v>1254</v>
      </c>
      <c r="C2105" s="460"/>
      <c r="D2105" s="460"/>
      <c r="E2105" s="461">
        <v>1</v>
      </c>
      <c r="F2105" s="462" t="s">
        <v>21727</v>
      </c>
      <c r="G2105" s="477" t="s">
        <v>21728</v>
      </c>
      <c r="H2105" s="579" t="s">
        <v>38</v>
      </c>
      <c r="I2105" s="479"/>
      <c r="J2105" s="480"/>
      <c r="K2105" s="466">
        <f>SUM(K2106:K2107)</f>
        <v>88.504400000000004</v>
      </c>
      <c r="L2105" s="480"/>
      <c r="M2105" s="466">
        <f>SUM(M2106:M2107)</f>
        <v>84.576200000000014</v>
      </c>
      <c r="O2105" s="434" t="str">
        <f t="shared" si="1346"/>
        <v xml:space="preserve">SEM VALOR</v>
      </c>
      <c r="P2105" s="435" t="str">
        <f t="shared" si="1347"/>
        <v xml:space="preserve">SEM VALOR</v>
      </c>
      <c r="AE2105" s="460">
        <v>1254</v>
      </c>
      <c r="AF2105" s="460"/>
      <c r="AH2105">
        <f t="shared" si="1340"/>
        <v>1254</v>
      </c>
    </row>
    <row r="2106" ht="120" hidden="1">
      <c r="A2106" s="217"/>
      <c r="B2106" s="217">
        <v>1254</v>
      </c>
      <c r="C2106" s="217"/>
      <c r="D2106" s="217" t="s">
        <v>17167</v>
      </c>
      <c r="E2106" s="471" t="s">
        <v>20399</v>
      </c>
      <c r="F2106" s="489">
        <v>5680</v>
      </c>
      <c r="G2106" s="470" t="s">
        <v>1871</v>
      </c>
      <c r="H2106" s="482" t="s">
        <v>1535</v>
      </c>
      <c r="I2106" s="483">
        <v>0.14000000000000001</v>
      </c>
      <c r="J2106" s="473">
        <f t="shared" si="1343"/>
        <v>144.46000000000001</v>
      </c>
      <c r="K2106" s="474">
        <f t="shared" ref="K2106:K2107" si="1351">I2106*J2106</f>
        <v>20.224400000000003</v>
      </c>
      <c r="L2106" s="473">
        <f t="shared" si="1348"/>
        <v>142.33000000000001</v>
      </c>
      <c r="M2106" s="474">
        <f t="shared" ref="M2106:M2107" si="1352">L2106*I2106</f>
        <v>19.926200000000005</v>
      </c>
      <c r="O2106" s="434">
        <f t="shared" si="1346"/>
        <v>144.46000000000001</v>
      </c>
      <c r="P2106" s="435">
        <f t="shared" si="1347"/>
        <v>142.33000000000001</v>
      </c>
      <c r="AE2106" s="217"/>
      <c r="AF2106" s="217">
        <v>1254</v>
      </c>
      <c r="AH2106">
        <f t="shared" si="1340"/>
        <v>1254</v>
      </c>
    </row>
    <row r="2107" ht="30" hidden="1">
      <c r="A2107" s="217"/>
      <c r="B2107" s="217">
        <v>1254</v>
      </c>
      <c r="C2107" s="217"/>
      <c r="D2107" s="217" t="s">
        <v>17167</v>
      </c>
      <c r="E2107" s="471" t="s">
        <v>20402</v>
      </c>
      <c r="F2107" s="489">
        <v>88316</v>
      </c>
      <c r="G2107" s="470" t="s">
        <v>7393</v>
      </c>
      <c r="H2107" s="482" t="s">
        <v>2032</v>
      </c>
      <c r="I2107" s="483">
        <v>3</v>
      </c>
      <c r="J2107" s="473">
        <f t="shared" si="1343"/>
        <v>22.760000000000002</v>
      </c>
      <c r="K2107" s="474">
        <f t="shared" si="1351"/>
        <v>68.280000000000001</v>
      </c>
      <c r="L2107" s="473">
        <f t="shared" si="1348"/>
        <v>21.550000000000001</v>
      </c>
      <c r="M2107" s="474">
        <f t="shared" si="1352"/>
        <v>64.650000000000006</v>
      </c>
      <c r="O2107" s="434">
        <f t="shared" si="1346"/>
        <v>22.760000000000002</v>
      </c>
      <c r="P2107" s="435">
        <f t="shared" si="1347"/>
        <v>21.550000000000001</v>
      </c>
      <c r="AE2107" s="217"/>
      <c r="AF2107" s="217">
        <v>1254</v>
      </c>
      <c r="AH2107">
        <f t="shared" si="1340"/>
        <v>1254</v>
      </c>
    </row>
    <row r="2108" ht="78.75" hidden="1">
      <c r="A2108" s="460">
        <v>1255</v>
      </c>
      <c r="B2108" s="460">
        <v>1255</v>
      </c>
      <c r="C2108" s="460"/>
      <c r="D2108" s="460"/>
      <c r="E2108" s="461">
        <v>1</v>
      </c>
      <c r="F2108" s="462" t="s">
        <v>21729</v>
      </c>
      <c r="G2108" s="477" t="s">
        <v>20964</v>
      </c>
      <c r="H2108" s="579" t="s">
        <v>15528</v>
      </c>
      <c r="I2108" s="479"/>
      <c r="J2108" s="480"/>
      <c r="K2108" s="466">
        <f>SUM(K2109:K2110)</f>
        <v>29.707014000000001</v>
      </c>
      <c r="L2108" s="460"/>
      <c r="M2108" s="466">
        <f>SUM(M2109:M2110)</f>
        <v>28.497014</v>
      </c>
      <c r="N2108" s="467" t="s">
        <v>21730</v>
      </c>
      <c r="O2108" s="434" t="str">
        <f t="shared" si="1346"/>
        <v xml:space="preserve">SEM VALOR</v>
      </c>
      <c r="P2108" s="435" t="str">
        <f t="shared" si="1347"/>
        <v xml:space="preserve">SEM VALOR</v>
      </c>
      <c r="AE2108" s="460">
        <v>1255</v>
      </c>
      <c r="AF2108" s="460"/>
      <c r="AH2108">
        <f t="shared" si="1340"/>
        <v>1255</v>
      </c>
    </row>
    <row r="2109" ht="30" hidden="1">
      <c r="A2109" s="217"/>
      <c r="B2109" s="217">
        <v>1255</v>
      </c>
      <c r="C2109" s="217"/>
      <c r="D2109" s="217" t="s">
        <v>17167</v>
      </c>
      <c r="E2109" s="471" t="s">
        <v>20399</v>
      </c>
      <c r="F2109" s="469">
        <v>88316</v>
      </c>
      <c r="G2109" s="470" t="s">
        <v>7393</v>
      </c>
      <c r="H2109" s="482" t="s">
        <v>2032</v>
      </c>
      <c r="I2109" s="483">
        <v>1</v>
      </c>
      <c r="J2109" s="473">
        <f t="shared" si="1343"/>
        <v>22.760000000000002</v>
      </c>
      <c r="K2109" s="474">
        <f t="shared" ref="K2109:K2110" si="1353">I2109*J2109</f>
        <v>22.760000000000002</v>
      </c>
      <c r="L2109" s="475">
        <f t="shared" si="1348"/>
        <v>21.550000000000001</v>
      </c>
      <c r="M2109" s="474">
        <f t="shared" ref="M2109:M2110" si="1354">L2109*I2109</f>
        <v>21.550000000000001</v>
      </c>
      <c r="O2109" s="434">
        <f t="shared" si="1346"/>
        <v>22.760000000000002</v>
      </c>
      <c r="P2109" s="435">
        <f t="shared" si="1347"/>
        <v>21.550000000000001</v>
      </c>
      <c r="AE2109" s="217"/>
      <c r="AF2109" s="217">
        <v>1255</v>
      </c>
      <c r="AH2109">
        <f t="shared" si="1340"/>
        <v>1255</v>
      </c>
    </row>
    <row r="2110" ht="75" hidden="1">
      <c r="A2110" s="217"/>
      <c r="B2110" s="217">
        <v>1255</v>
      </c>
      <c r="C2110" s="217"/>
      <c r="D2110" s="217" t="s">
        <v>17167</v>
      </c>
      <c r="E2110" s="471" t="s">
        <v>20402</v>
      </c>
      <c r="F2110" s="469">
        <v>91277</v>
      </c>
      <c r="G2110" s="470" t="s">
        <v>1845</v>
      </c>
      <c r="H2110" s="482" t="s">
        <v>1535</v>
      </c>
      <c r="I2110" s="483">
        <v>0.66669999999999996</v>
      </c>
      <c r="J2110" s="473">
        <f t="shared" si="1343"/>
        <v>10.42</v>
      </c>
      <c r="K2110" s="474">
        <f t="shared" si="1353"/>
        <v>6.9470139999999994</v>
      </c>
      <c r="L2110" s="475">
        <f t="shared" si="1348"/>
        <v>10.42</v>
      </c>
      <c r="M2110" s="474">
        <f t="shared" si="1354"/>
        <v>6.9470139999999994</v>
      </c>
      <c r="O2110" s="434">
        <f t="shared" si="1346"/>
        <v>10.42</v>
      </c>
      <c r="P2110" s="435">
        <f t="shared" si="1347"/>
        <v>10.42</v>
      </c>
      <c r="AE2110" s="217"/>
      <c r="AF2110" s="217">
        <v>1255</v>
      </c>
      <c r="AH2110">
        <f t="shared" si="1340"/>
        <v>1255</v>
      </c>
    </row>
    <row r="2111" ht="141.75" hidden="1">
      <c r="A2111" s="460">
        <v>1256</v>
      </c>
      <c r="B2111" s="460">
        <v>1256</v>
      </c>
      <c r="C2111" s="460"/>
      <c r="D2111" s="460"/>
      <c r="E2111" s="461">
        <v>1</v>
      </c>
      <c r="F2111" s="462" t="s">
        <v>21731</v>
      </c>
      <c r="G2111" s="477" t="s">
        <v>21732</v>
      </c>
      <c r="H2111" s="579" t="s">
        <v>20647</v>
      </c>
      <c r="I2111" s="479"/>
      <c r="J2111" s="480"/>
      <c r="K2111" s="466">
        <f>SUM(K2112:K2124)</f>
        <v>4793.495355</v>
      </c>
      <c r="L2111" s="480"/>
      <c r="M2111" s="466">
        <f>SUM(M2112:M2124)</f>
        <v>4676.5307650000004</v>
      </c>
      <c r="O2111" s="434" t="str">
        <f t="shared" si="1346"/>
        <v xml:space="preserve">SEM VALOR</v>
      </c>
      <c r="P2111" s="435" t="str">
        <f t="shared" si="1347"/>
        <v xml:space="preserve">SEM VALOR</v>
      </c>
      <c r="AE2111" s="460">
        <v>1256</v>
      </c>
      <c r="AF2111" s="460"/>
      <c r="AH2111">
        <f t="shared" si="1340"/>
        <v>1256</v>
      </c>
    </row>
    <row r="2112" ht="30" hidden="1">
      <c r="A2112" s="217"/>
      <c r="B2112" s="217">
        <v>1256</v>
      </c>
      <c r="C2112" s="217"/>
      <c r="D2112" s="217" t="s">
        <v>20398</v>
      </c>
      <c r="E2112" s="471" t="s">
        <v>20399</v>
      </c>
      <c r="F2112" s="482">
        <v>1242</v>
      </c>
      <c r="G2112" s="488" t="s">
        <v>20905</v>
      </c>
      <c r="H2112" s="471" t="s">
        <v>15528</v>
      </c>
      <c r="I2112" s="472">
        <v>0.31</v>
      </c>
      <c r="J2112" s="473">
        <f t="shared" si="1343"/>
        <v>151.59100000000001</v>
      </c>
      <c r="K2112" s="474">
        <f t="shared" ref="K2112:K2124" si="1355">I2112*J2112</f>
        <v>46.993210000000005</v>
      </c>
      <c r="L2112" s="473">
        <f t="shared" si="1348"/>
        <v>149.17099999999999</v>
      </c>
      <c r="M2112" s="474">
        <f t="shared" ref="M2112:M2124" si="1356">L2112*I2112</f>
        <v>46.243009999999998</v>
      </c>
      <c r="O2112" s="434">
        <f t="shared" si="1346"/>
        <v>151.59100000000001</v>
      </c>
      <c r="P2112" s="435">
        <f t="shared" si="1347"/>
        <v>149.17099999999999</v>
      </c>
      <c r="AE2112" s="217"/>
      <c r="AF2112" s="217">
        <v>1256</v>
      </c>
      <c r="AH2112">
        <f t="shared" si="1340"/>
        <v>1256</v>
      </c>
    </row>
    <row r="2113" ht="60" hidden="1">
      <c r="A2113" s="217"/>
      <c r="B2113" s="217">
        <v>1256</v>
      </c>
      <c r="C2113" s="217"/>
      <c r="D2113" s="217" t="s">
        <v>20398</v>
      </c>
      <c r="E2113" s="471" t="s">
        <v>20402</v>
      </c>
      <c r="F2113" s="482">
        <v>1285</v>
      </c>
      <c r="G2113" s="488" t="s">
        <v>21733</v>
      </c>
      <c r="H2113" s="471" t="s">
        <v>15515</v>
      </c>
      <c r="I2113" s="472">
        <v>8.1600000000000001</v>
      </c>
      <c r="J2113" s="473">
        <f t="shared" si="1343"/>
        <v>39.170000000000002</v>
      </c>
      <c r="K2113" s="474">
        <f t="shared" si="1355"/>
        <v>319.62720000000002</v>
      </c>
      <c r="L2113" s="473">
        <f t="shared" si="1348"/>
        <v>37.547000000000004</v>
      </c>
      <c r="M2113" s="474">
        <f t="shared" si="1356"/>
        <v>306.38352000000003</v>
      </c>
      <c r="O2113" s="434">
        <f t="shared" si="1346"/>
        <v>39.170000000000002</v>
      </c>
      <c r="P2113" s="435">
        <f t="shared" si="1347"/>
        <v>37.547000000000004</v>
      </c>
      <c r="AE2113" s="217"/>
      <c r="AF2113" s="217">
        <v>1256</v>
      </c>
      <c r="AH2113">
        <f t="shared" si="1340"/>
        <v>1256</v>
      </c>
    </row>
    <row r="2114" ht="75" hidden="1">
      <c r="A2114" s="217"/>
      <c r="B2114" s="217">
        <v>1256</v>
      </c>
      <c r="C2114" s="217"/>
      <c r="D2114" s="217" t="s">
        <v>20398</v>
      </c>
      <c r="E2114" s="471" t="s">
        <v>20405</v>
      </c>
      <c r="F2114" s="482">
        <v>1257</v>
      </c>
      <c r="G2114" s="470" t="s">
        <v>20906</v>
      </c>
      <c r="H2114" s="471" t="s">
        <v>15515</v>
      </c>
      <c r="I2114" s="472">
        <v>7.75</v>
      </c>
      <c r="J2114" s="473">
        <f t="shared" si="1343"/>
        <v>202.65134000000003</v>
      </c>
      <c r="K2114" s="474">
        <f t="shared" si="1355"/>
        <v>1570.5478850000002</v>
      </c>
      <c r="L2114" s="473">
        <f t="shared" si="1348"/>
        <v>197.86072000000001</v>
      </c>
      <c r="M2114" s="474">
        <f t="shared" si="1356"/>
        <v>1533.4205800000002</v>
      </c>
      <c r="O2114" s="434">
        <f t="shared" si="1346"/>
        <v>202.65134000000003</v>
      </c>
      <c r="P2114" s="435">
        <f t="shared" si="1347"/>
        <v>197.86072000000001</v>
      </c>
      <c r="AE2114" s="217"/>
      <c r="AF2114" s="217">
        <v>1256</v>
      </c>
      <c r="AH2114">
        <f t="shared" si="1340"/>
        <v>1256</v>
      </c>
    </row>
    <row r="2115" ht="60" hidden="1">
      <c r="A2115" s="217"/>
      <c r="B2115" s="217">
        <v>1256</v>
      </c>
      <c r="C2115" s="217"/>
      <c r="D2115" s="217" t="s">
        <v>20398</v>
      </c>
      <c r="E2115" s="471" t="s">
        <v>20409</v>
      </c>
      <c r="F2115" s="482">
        <v>1258</v>
      </c>
      <c r="G2115" s="488" t="s">
        <v>20660</v>
      </c>
      <c r="H2115" s="472" t="s">
        <v>15515</v>
      </c>
      <c r="I2115" s="472">
        <v>6.25</v>
      </c>
      <c r="J2115" s="473">
        <f t="shared" si="1343"/>
        <v>7.5700000000000003</v>
      </c>
      <c r="K2115" s="474">
        <f t="shared" si="1355"/>
        <v>47.3125</v>
      </c>
      <c r="L2115" s="473">
        <f t="shared" si="1348"/>
        <v>7.1846199999999998</v>
      </c>
      <c r="M2115" s="474">
        <f t="shared" si="1356"/>
        <v>44.903874999999999</v>
      </c>
      <c r="O2115" s="434">
        <f t="shared" si="1346"/>
        <v>7.5700000000000003</v>
      </c>
      <c r="P2115" s="435">
        <f t="shared" si="1347"/>
        <v>7.1846199999999998</v>
      </c>
      <c r="AE2115" s="217"/>
      <c r="AF2115" s="217">
        <v>1256</v>
      </c>
      <c r="AH2115">
        <f t="shared" si="1340"/>
        <v>1256</v>
      </c>
    </row>
    <row r="2116" ht="75" hidden="1">
      <c r="A2116" s="217"/>
      <c r="B2116" s="217">
        <v>1256</v>
      </c>
      <c r="C2116" s="217"/>
      <c r="D2116" s="217" t="s">
        <v>17167</v>
      </c>
      <c r="E2116" s="471" t="s">
        <v>20663</v>
      </c>
      <c r="F2116" s="489">
        <v>87879</v>
      </c>
      <c r="G2116" s="470" t="s">
        <v>21734</v>
      </c>
      <c r="H2116" s="472" t="s">
        <v>15515</v>
      </c>
      <c r="I2116" s="472">
        <v>17.190000000000001</v>
      </c>
      <c r="J2116" s="473">
        <f t="shared" si="1343"/>
        <v>4.5499999999999998</v>
      </c>
      <c r="K2116" s="474">
        <f t="shared" si="1355"/>
        <v>78.214500000000001</v>
      </c>
      <c r="L2116" s="473">
        <f t="shared" si="1348"/>
        <v>4.3600000000000003</v>
      </c>
      <c r="M2116" s="474">
        <f t="shared" si="1356"/>
        <v>74.948400000000007</v>
      </c>
      <c r="O2116" s="434">
        <f t="shared" si="1346"/>
        <v>4.5499999999999998</v>
      </c>
      <c r="P2116" s="435">
        <f t="shared" si="1347"/>
        <v>4.3600000000000003</v>
      </c>
      <c r="AE2116" s="217"/>
      <c r="AF2116" s="217">
        <v>1256</v>
      </c>
      <c r="AH2116">
        <f t="shared" si="1340"/>
        <v>1256</v>
      </c>
    </row>
    <row r="2117" ht="135" hidden="1">
      <c r="A2117" s="217"/>
      <c r="B2117" s="217">
        <v>1256</v>
      </c>
      <c r="C2117" s="217"/>
      <c r="D2117" s="217" t="s">
        <v>17167</v>
      </c>
      <c r="E2117" s="471" t="s">
        <v>20665</v>
      </c>
      <c r="F2117" s="489">
        <v>102281</v>
      </c>
      <c r="G2117" s="470" t="s">
        <v>21471</v>
      </c>
      <c r="H2117" s="472" t="s">
        <v>15528</v>
      </c>
      <c r="I2117" s="472">
        <v>15.41</v>
      </c>
      <c r="J2117" s="473">
        <f t="shared" si="1343"/>
        <v>5.8300000000000001</v>
      </c>
      <c r="K2117" s="474">
        <f t="shared" si="1355"/>
        <v>89.840299999999999</v>
      </c>
      <c r="L2117" s="473">
        <f t="shared" si="1348"/>
        <v>5.7199999999999998</v>
      </c>
      <c r="M2117" s="474">
        <f t="shared" si="1356"/>
        <v>88.145200000000003</v>
      </c>
      <c r="O2117" s="434">
        <f t="shared" si="1346"/>
        <v>5.8300000000000001</v>
      </c>
      <c r="P2117" s="435">
        <f t="shared" si="1347"/>
        <v>5.7199999999999998</v>
      </c>
      <c r="AE2117" s="217"/>
      <c r="AF2117" s="217">
        <v>1256</v>
      </c>
      <c r="AH2117">
        <f t="shared" si="1340"/>
        <v>1256</v>
      </c>
    </row>
    <row r="2118" ht="30" hidden="1">
      <c r="A2118" s="217"/>
      <c r="B2118" s="217">
        <v>1256</v>
      </c>
      <c r="C2118" s="217"/>
      <c r="D2118" s="217" t="s">
        <v>17167</v>
      </c>
      <c r="E2118" s="471" t="s">
        <v>20667</v>
      </c>
      <c r="F2118" s="489">
        <v>92800</v>
      </c>
      <c r="G2118" s="470" t="s">
        <v>369</v>
      </c>
      <c r="H2118" s="472" t="s">
        <v>302</v>
      </c>
      <c r="I2118" s="472">
        <v>5.1500000000000004</v>
      </c>
      <c r="J2118" s="473">
        <f t="shared" si="1343"/>
        <v>9.7300000000000004</v>
      </c>
      <c r="K2118" s="474">
        <f t="shared" si="1355"/>
        <v>50.109500000000004</v>
      </c>
      <c r="L2118" s="473">
        <f t="shared" si="1348"/>
        <v>9.6300000000000008</v>
      </c>
      <c r="M2118" s="474">
        <f t="shared" si="1356"/>
        <v>49.594500000000011</v>
      </c>
      <c r="O2118" s="434">
        <f t="shared" si="1346"/>
        <v>9.7300000000000004</v>
      </c>
      <c r="P2118" s="435">
        <f t="shared" si="1347"/>
        <v>9.6300000000000008</v>
      </c>
      <c r="AE2118" s="217"/>
      <c r="AF2118" s="217">
        <v>1256</v>
      </c>
      <c r="AH2118">
        <f t="shared" si="1340"/>
        <v>1256</v>
      </c>
    </row>
    <row r="2119" ht="30" hidden="1">
      <c r="A2119" s="217"/>
      <c r="B2119" s="217">
        <v>1256</v>
      </c>
      <c r="C2119" s="217"/>
      <c r="D2119" s="217" t="s">
        <v>17167</v>
      </c>
      <c r="E2119" s="471" t="s">
        <v>20671</v>
      </c>
      <c r="F2119" s="489">
        <v>92801</v>
      </c>
      <c r="G2119" s="470" t="s">
        <v>366</v>
      </c>
      <c r="H2119" s="472" t="s">
        <v>302</v>
      </c>
      <c r="I2119" s="472">
        <v>51.469999999999999</v>
      </c>
      <c r="J2119" s="473">
        <f t="shared" si="1343"/>
        <v>9.7599999999999998</v>
      </c>
      <c r="K2119" s="474">
        <f t="shared" si="1355"/>
        <v>502.34719999999999</v>
      </c>
      <c r="L2119" s="473">
        <f t="shared" si="1348"/>
        <v>9.7100000000000009</v>
      </c>
      <c r="M2119" s="474">
        <f t="shared" si="1356"/>
        <v>499.77370000000002</v>
      </c>
      <c r="O2119" s="434">
        <f t="shared" si="1346"/>
        <v>9.7599999999999998</v>
      </c>
      <c r="P2119" s="435">
        <f t="shared" si="1347"/>
        <v>9.7100000000000009</v>
      </c>
      <c r="AE2119" s="217"/>
      <c r="AF2119" s="217">
        <v>1256</v>
      </c>
      <c r="AH2119">
        <f t="shared" ref="AH2119:AH2182" si="1357">IF(AF2119:AF2120=FALSE,AE2119,AF2119)</f>
        <v>1256</v>
      </c>
    </row>
    <row r="2120" ht="45" hidden="1">
      <c r="A2120" s="217"/>
      <c r="B2120" s="217">
        <v>1256</v>
      </c>
      <c r="C2120" s="217"/>
      <c r="D2120" s="217" t="s">
        <v>20398</v>
      </c>
      <c r="E2120" s="471" t="s">
        <v>20672</v>
      </c>
      <c r="F2120" s="489">
        <v>1000</v>
      </c>
      <c r="G2120" s="488" t="s">
        <v>20651</v>
      </c>
      <c r="H2120" s="472" t="s">
        <v>15528</v>
      </c>
      <c r="I2120" s="472">
        <v>2.4399999999999999</v>
      </c>
      <c r="J2120" s="473">
        <f t="shared" si="1343"/>
        <v>149.904</v>
      </c>
      <c r="K2120" s="474">
        <f t="shared" si="1355"/>
        <v>365.76576</v>
      </c>
      <c r="L2120" s="473">
        <f t="shared" si="1348"/>
        <v>141.76949999999999</v>
      </c>
      <c r="M2120" s="474">
        <f t="shared" si="1356"/>
        <v>345.91757999999999</v>
      </c>
      <c r="O2120" s="434">
        <f t="shared" si="1346"/>
        <v>149.904</v>
      </c>
      <c r="P2120" s="435">
        <f t="shared" si="1347"/>
        <v>141.76949999999999</v>
      </c>
      <c r="AE2120" s="217"/>
      <c r="AF2120" s="217">
        <v>1256</v>
      </c>
      <c r="AH2120">
        <f t="shared" si="1357"/>
        <v>1256</v>
      </c>
    </row>
    <row r="2121" ht="45" hidden="1">
      <c r="A2121" s="217"/>
      <c r="B2121" s="217">
        <v>1256</v>
      </c>
      <c r="C2121" s="217"/>
      <c r="D2121" s="217" t="s">
        <v>17167</v>
      </c>
      <c r="E2121" s="471" t="s">
        <v>20673</v>
      </c>
      <c r="F2121" s="489">
        <v>93382</v>
      </c>
      <c r="G2121" s="470" t="s">
        <v>20722</v>
      </c>
      <c r="H2121" s="472" t="s">
        <v>15528</v>
      </c>
      <c r="I2121" s="472">
        <v>6.8300000000000001</v>
      </c>
      <c r="J2121" s="473">
        <f t="shared" si="1343"/>
        <v>27.52</v>
      </c>
      <c r="K2121" s="474">
        <f t="shared" si="1355"/>
        <v>187.9616</v>
      </c>
      <c r="L2121" s="473">
        <f t="shared" si="1348"/>
        <v>26.190000000000001</v>
      </c>
      <c r="M2121" s="474">
        <f t="shared" si="1356"/>
        <v>178.8777</v>
      </c>
      <c r="O2121" s="434">
        <f t="shared" si="1346"/>
        <v>27.52</v>
      </c>
      <c r="P2121" s="435">
        <f t="shared" si="1347"/>
        <v>26.190000000000001</v>
      </c>
      <c r="AE2121" s="217"/>
      <c r="AF2121" s="217">
        <v>1256</v>
      </c>
      <c r="AH2121">
        <f t="shared" si="1357"/>
        <v>1256</v>
      </c>
    </row>
    <row r="2122" ht="60" hidden="1">
      <c r="A2122" s="217"/>
      <c r="B2122" s="217">
        <v>1256</v>
      </c>
      <c r="C2122" s="217"/>
      <c r="D2122" s="217" t="s">
        <v>17167</v>
      </c>
      <c r="E2122" s="471" t="s">
        <v>20675</v>
      </c>
      <c r="F2122" s="489">
        <v>94963</v>
      </c>
      <c r="G2122" s="470" t="s">
        <v>20911</v>
      </c>
      <c r="H2122" s="472" t="s">
        <v>15528</v>
      </c>
      <c r="I2122" s="472">
        <v>1.73</v>
      </c>
      <c r="J2122" s="473">
        <f t="shared" si="1343"/>
        <v>441.43000000000001</v>
      </c>
      <c r="K2122" s="474">
        <f t="shared" si="1355"/>
        <v>763.6739</v>
      </c>
      <c r="L2122" s="473">
        <f t="shared" si="1348"/>
        <v>436.14999999999998</v>
      </c>
      <c r="M2122" s="474">
        <f t="shared" si="1356"/>
        <v>754.53949999999998</v>
      </c>
      <c r="O2122" s="434">
        <f t="shared" si="1346"/>
        <v>441.43000000000001</v>
      </c>
      <c r="P2122" s="435">
        <f t="shared" si="1347"/>
        <v>436.14999999999998</v>
      </c>
      <c r="AE2122" s="217"/>
      <c r="AF2122" s="217">
        <v>1256</v>
      </c>
      <c r="AH2122">
        <f t="shared" si="1357"/>
        <v>1256</v>
      </c>
    </row>
    <row r="2123" ht="60" hidden="1">
      <c r="A2123" s="217"/>
      <c r="B2123" s="217">
        <v>1256</v>
      </c>
      <c r="C2123" s="217"/>
      <c r="D2123" s="217" t="s">
        <v>17167</v>
      </c>
      <c r="E2123" s="471" t="s">
        <v>20677</v>
      </c>
      <c r="F2123" s="489">
        <v>94970</v>
      </c>
      <c r="G2123" s="470" t="s">
        <v>21709</v>
      </c>
      <c r="H2123" s="472" t="s">
        <v>15528</v>
      </c>
      <c r="I2123" s="472">
        <v>0.70999999999999996</v>
      </c>
      <c r="J2123" s="473">
        <f t="shared" si="1343"/>
        <v>473.30000000000001</v>
      </c>
      <c r="K2123" s="474">
        <f t="shared" si="1355"/>
        <v>336.04300000000001</v>
      </c>
      <c r="L2123" s="473">
        <f t="shared" si="1348"/>
        <v>468.72000000000003</v>
      </c>
      <c r="M2123" s="474">
        <f t="shared" si="1356"/>
        <v>332.7912</v>
      </c>
      <c r="O2123" s="434">
        <f t="shared" si="1346"/>
        <v>473.30000000000001</v>
      </c>
      <c r="P2123" s="435">
        <f t="shared" si="1347"/>
        <v>468.72000000000003</v>
      </c>
      <c r="AE2123" s="217"/>
      <c r="AF2123" s="217">
        <v>1256</v>
      </c>
      <c r="AH2123">
        <f t="shared" si="1357"/>
        <v>1256</v>
      </c>
    </row>
    <row r="2124" ht="60" hidden="1">
      <c r="A2124" s="217"/>
      <c r="B2124" s="217">
        <v>1256</v>
      </c>
      <c r="C2124" s="217"/>
      <c r="D2124" s="217" t="s">
        <v>17167</v>
      </c>
      <c r="E2124" s="471" t="s">
        <v>20679</v>
      </c>
      <c r="F2124" s="489">
        <v>96533</v>
      </c>
      <c r="G2124" s="470" t="s">
        <v>20912</v>
      </c>
      <c r="H2124" s="472" t="s">
        <v>15515</v>
      </c>
      <c r="I2124" s="472">
        <v>5.0599999999999996</v>
      </c>
      <c r="J2124" s="473">
        <f t="shared" si="1343"/>
        <v>85.980000000000004</v>
      </c>
      <c r="K2124" s="474">
        <f t="shared" si="1355"/>
        <v>435.05879999999996</v>
      </c>
      <c r="L2124" s="473">
        <f t="shared" si="1348"/>
        <v>83.200000000000003</v>
      </c>
      <c r="M2124" s="474">
        <f t="shared" si="1356"/>
        <v>420.99199999999996</v>
      </c>
      <c r="O2124" s="434">
        <f t="shared" si="1346"/>
        <v>85.980000000000004</v>
      </c>
      <c r="P2124" s="435">
        <f t="shared" si="1347"/>
        <v>83.200000000000003</v>
      </c>
      <c r="AE2124" s="217"/>
      <c r="AF2124" s="217">
        <v>1256</v>
      </c>
      <c r="AH2124">
        <f t="shared" si="1357"/>
        <v>1256</v>
      </c>
    </row>
    <row r="2125" ht="81" hidden="1" customHeight="1">
      <c r="A2125" s="460">
        <v>1257</v>
      </c>
      <c r="B2125" s="460">
        <v>1257</v>
      </c>
      <c r="C2125" s="460"/>
      <c r="D2125" s="460"/>
      <c r="E2125" s="461">
        <v>1</v>
      </c>
      <c r="F2125" s="462" t="s">
        <v>21735</v>
      </c>
      <c r="G2125" s="477" t="s">
        <v>20906</v>
      </c>
      <c r="H2125" s="579" t="s">
        <v>15515</v>
      </c>
      <c r="I2125" s="479"/>
      <c r="J2125" s="480"/>
      <c r="K2125" s="466">
        <f>SUM(K2126:K2129)</f>
        <v>202.65134000000003</v>
      </c>
      <c r="L2125" s="480"/>
      <c r="M2125" s="466">
        <f>SUM(M2126:M2129)</f>
        <v>197.86072000000001</v>
      </c>
      <c r="N2125" s="467" t="s">
        <v>21736</v>
      </c>
      <c r="O2125" s="434" t="str">
        <f t="shared" si="1346"/>
        <v xml:space="preserve">SEM VALOR</v>
      </c>
      <c r="P2125" s="435" t="str">
        <f t="shared" si="1347"/>
        <v xml:space="preserve">SEM VALOR</v>
      </c>
      <c r="AE2125" s="460">
        <v>1257</v>
      </c>
      <c r="AF2125" s="460"/>
      <c r="AH2125">
        <f t="shared" si="1357"/>
        <v>1257</v>
      </c>
    </row>
    <row r="2126" ht="30" hidden="1">
      <c r="A2126" s="217"/>
      <c r="B2126" s="217">
        <v>1257</v>
      </c>
      <c r="C2126" s="217"/>
      <c r="D2126" s="217" t="s">
        <v>20408</v>
      </c>
      <c r="E2126" s="471" t="s">
        <v>20399</v>
      </c>
      <c r="F2126" s="489">
        <v>7258</v>
      </c>
      <c r="G2126" s="470" t="s">
        <v>21737</v>
      </c>
      <c r="H2126" s="499" t="s">
        <v>31</v>
      </c>
      <c r="I2126" s="483">
        <v>160</v>
      </c>
      <c r="J2126" s="473">
        <f t="shared" si="1343"/>
        <v>0.66000000000000003</v>
      </c>
      <c r="K2126" s="474">
        <f t="shared" ref="K2126:K2129" si="1358">I2126*J2126</f>
        <v>105.60000000000001</v>
      </c>
      <c r="L2126" s="473">
        <f t="shared" si="1348"/>
        <v>0.66000000000000003</v>
      </c>
      <c r="M2126" s="474">
        <f t="shared" ref="M2126:M2129" si="1359">L2126*I2126</f>
        <v>105.60000000000001</v>
      </c>
      <c r="O2126" s="434">
        <f t="shared" si="1346"/>
        <v>0.66000000000000003</v>
      </c>
      <c r="P2126" s="435">
        <f t="shared" si="1347"/>
        <v>0.66000000000000003</v>
      </c>
      <c r="AE2126" s="217"/>
      <c r="AF2126" s="217">
        <v>1257</v>
      </c>
      <c r="AH2126">
        <f t="shared" si="1357"/>
        <v>1257</v>
      </c>
    </row>
    <row r="2127" ht="30" hidden="1">
      <c r="A2127" s="217"/>
      <c r="B2127" s="217">
        <v>1257</v>
      </c>
      <c r="C2127" s="217"/>
      <c r="D2127" s="217" t="s">
        <v>17167</v>
      </c>
      <c r="E2127" s="471" t="s">
        <v>20402</v>
      </c>
      <c r="F2127" s="489">
        <v>88309</v>
      </c>
      <c r="G2127" s="470" t="s">
        <v>7385</v>
      </c>
      <c r="H2127" s="499" t="s">
        <v>2032</v>
      </c>
      <c r="I2127" s="483">
        <v>1.6000000000000001</v>
      </c>
      <c r="J2127" s="473">
        <f t="shared" si="1343"/>
        <v>28.5</v>
      </c>
      <c r="K2127" s="474">
        <f t="shared" si="1358"/>
        <v>45.600000000000001</v>
      </c>
      <c r="L2127" s="473">
        <f t="shared" si="1348"/>
        <v>26.870000000000001</v>
      </c>
      <c r="M2127" s="474">
        <f t="shared" si="1359"/>
        <v>42.992000000000004</v>
      </c>
      <c r="O2127" s="434">
        <f t="shared" si="1346"/>
        <v>28.5</v>
      </c>
      <c r="P2127" s="435">
        <f t="shared" si="1347"/>
        <v>26.870000000000001</v>
      </c>
      <c r="AE2127" s="217"/>
      <c r="AF2127" s="217">
        <v>1257</v>
      </c>
      <c r="AH2127">
        <f t="shared" si="1357"/>
        <v>1257</v>
      </c>
    </row>
    <row r="2128" ht="30" hidden="1">
      <c r="A2128" s="217"/>
      <c r="B2128" s="217">
        <v>1257</v>
      </c>
      <c r="C2128" s="217"/>
      <c r="D2128" s="217" t="s">
        <v>17167</v>
      </c>
      <c r="E2128" s="471" t="s">
        <v>20405</v>
      </c>
      <c r="F2128" s="489">
        <v>88316</v>
      </c>
      <c r="G2128" s="470" t="s">
        <v>7393</v>
      </c>
      <c r="H2128" s="499" t="s">
        <v>2032</v>
      </c>
      <c r="I2128" s="483">
        <v>1.7</v>
      </c>
      <c r="J2128" s="473">
        <f t="shared" si="1343"/>
        <v>22.760000000000002</v>
      </c>
      <c r="K2128" s="474">
        <f t="shared" si="1358"/>
        <v>38.692</v>
      </c>
      <c r="L2128" s="473">
        <f t="shared" si="1348"/>
        <v>21.550000000000001</v>
      </c>
      <c r="M2128" s="474">
        <f t="shared" si="1359"/>
        <v>36.634999999999998</v>
      </c>
      <c r="O2128" s="434">
        <f t="shared" si="1346"/>
        <v>22.760000000000002</v>
      </c>
      <c r="P2128" s="435">
        <f t="shared" si="1347"/>
        <v>21.550000000000001</v>
      </c>
      <c r="AE2128" s="217"/>
      <c r="AF2128" s="217">
        <v>1257</v>
      </c>
      <c r="AH2128">
        <f t="shared" si="1357"/>
        <v>1257</v>
      </c>
    </row>
    <row r="2129" ht="45" hidden="1">
      <c r="A2129" s="217"/>
      <c r="B2129" s="217">
        <v>1257</v>
      </c>
      <c r="C2129" s="217"/>
      <c r="D2129" s="217" t="s">
        <v>17167</v>
      </c>
      <c r="E2129" s="471" t="s">
        <v>20409</v>
      </c>
      <c r="F2129" s="489">
        <v>88628</v>
      </c>
      <c r="G2129" s="470" t="s">
        <v>20989</v>
      </c>
      <c r="H2129" s="482" t="s">
        <v>15528</v>
      </c>
      <c r="I2129" s="483">
        <v>2.1999999999999999e-002</v>
      </c>
      <c r="J2129" s="473">
        <f t="shared" si="1343"/>
        <v>579.97000000000003</v>
      </c>
      <c r="K2129" s="474">
        <f t="shared" si="1358"/>
        <v>12.75934</v>
      </c>
      <c r="L2129" s="473">
        <f t="shared" si="1348"/>
        <v>574.25999999999999</v>
      </c>
      <c r="M2129" s="474">
        <f t="shared" si="1359"/>
        <v>12.633719999999999</v>
      </c>
      <c r="O2129" s="434">
        <f t="shared" si="1346"/>
        <v>579.97000000000003</v>
      </c>
      <c r="P2129" s="435">
        <f t="shared" si="1347"/>
        <v>574.25999999999999</v>
      </c>
      <c r="AE2129" s="217"/>
      <c r="AF2129" s="217">
        <v>1257</v>
      </c>
      <c r="AH2129">
        <f t="shared" si="1357"/>
        <v>1257</v>
      </c>
    </row>
    <row r="2130" ht="63">
      <c r="A2130" s="460">
        <v>1258</v>
      </c>
      <c r="B2130" s="460">
        <v>1258</v>
      </c>
      <c r="C2130" s="460"/>
      <c r="D2130" s="460"/>
      <c r="E2130" s="461">
        <v>1</v>
      </c>
      <c r="F2130" s="462" t="s">
        <v>20448</v>
      </c>
      <c r="G2130" s="477" t="s">
        <v>20660</v>
      </c>
      <c r="H2130" s="579" t="s">
        <v>15515</v>
      </c>
      <c r="I2130" s="479"/>
      <c r="J2130" s="480"/>
      <c r="K2130" s="466">
        <f>SUM(K2131:K2132)</f>
        <v>7.5700000000000003</v>
      </c>
      <c r="L2130" s="480"/>
      <c r="M2130" s="466">
        <f>SUM(M2131:M2132)</f>
        <v>7.1846199999999998</v>
      </c>
      <c r="N2130" s="467" t="s">
        <v>21738</v>
      </c>
      <c r="O2130" s="434" t="str">
        <f t="shared" si="1346"/>
        <v xml:space="preserve">SEM VALOR</v>
      </c>
      <c r="P2130" s="435" t="str">
        <f t="shared" si="1347"/>
        <v xml:space="preserve">SEM VALOR</v>
      </c>
      <c r="AE2130" s="460">
        <v>1258</v>
      </c>
      <c r="AF2130" s="460"/>
      <c r="AH2130">
        <f t="shared" si="1357"/>
        <v>1258</v>
      </c>
    </row>
    <row r="2131" ht="30">
      <c r="A2131" s="217"/>
      <c r="B2131" s="217">
        <v>1258</v>
      </c>
      <c r="C2131" s="217"/>
      <c r="D2131" s="217" t="s">
        <v>17167</v>
      </c>
      <c r="E2131" s="471" t="s">
        <v>20399</v>
      </c>
      <c r="F2131" s="489">
        <v>88316</v>
      </c>
      <c r="G2131" s="470" t="s">
        <v>7393</v>
      </c>
      <c r="H2131" s="482" t="s">
        <v>2032</v>
      </c>
      <c r="I2131" s="483">
        <v>0.25</v>
      </c>
      <c r="J2131" s="473">
        <f t="shared" si="1343"/>
        <v>22.760000000000002</v>
      </c>
      <c r="K2131" s="474">
        <f>TRUNC(I2131*J2131,2)</f>
        <v>5.6900000000000004</v>
      </c>
      <c r="L2131" s="473">
        <f t="shared" si="1348"/>
        <v>21.550000000000001</v>
      </c>
      <c r="M2131" s="474">
        <f t="shared" ref="M2131:M2132" si="1360">L2131*I2131</f>
        <v>5.3875000000000002</v>
      </c>
      <c r="O2131" s="434">
        <f t="shared" si="1346"/>
        <v>22.760000000000002</v>
      </c>
      <c r="P2131" s="435">
        <f t="shared" si="1347"/>
        <v>21.550000000000001</v>
      </c>
      <c r="AE2131" s="217"/>
      <c r="AF2131" s="217">
        <v>1258</v>
      </c>
      <c r="AH2131">
        <f t="shared" si="1357"/>
        <v>1258</v>
      </c>
    </row>
    <row r="2132" ht="60">
      <c r="A2132" s="217"/>
      <c r="B2132" s="217">
        <v>1258</v>
      </c>
      <c r="C2132" s="217"/>
      <c r="D2132" s="217" t="s">
        <v>17167</v>
      </c>
      <c r="E2132" s="471" t="s">
        <v>20402</v>
      </c>
      <c r="F2132" s="489">
        <v>91533</v>
      </c>
      <c r="G2132" s="470" t="s">
        <v>1627</v>
      </c>
      <c r="H2132" s="482" t="s">
        <v>1535</v>
      </c>
      <c r="I2132" s="483">
        <v>4.8000000000000001e-002</v>
      </c>
      <c r="J2132" s="473">
        <f t="shared" si="1343"/>
        <v>39.340000000000003</v>
      </c>
      <c r="K2132" s="474">
        <f>TRUNC(I2132*J2132,2)</f>
        <v>1.8799999999999999</v>
      </c>
      <c r="L2132" s="473">
        <f t="shared" si="1348"/>
        <v>37.439999999999998</v>
      </c>
      <c r="M2132" s="474">
        <f t="shared" si="1360"/>
        <v>1.7971199999999998</v>
      </c>
      <c r="O2132" s="434">
        <f t="shared" si="1346"/>
        <v>39.340000000000003</v>
      </c>
      <c r="P2132" s="435">
        <f t="shared" si="1347"/>
        <v>37.439999999999998</v>
      </c>
      <c r="AE2132" s="217"/>
      <c r="AF2132" s="217">
        <v>1258</v>
      </c>
      <c r="AH2132">
        <f t="shared" si="1357"/>
        <v>1258</v>
      </c>
    </row>
    <row r="2133" ht="47.25">
      <c r="A2133" s="460">
        <v>1259</v>
      </c>
      <c r="B2133" s="460">
        <v>1259</v>
      </c>
      <c r="C2133" s="460"/>
      <c r="D2133" s="460"/>
      <c r="E2133" s="461">
        <v>1</v>
      </c>
      <c r="F2133" s="462" t="s">
        <v>21739</v>
      </c>
      <c r="G2133" s="477" t="s">
        <v>20796</v>
      </c>
      <c r="H2133" s="478" t="s">
        <v>15528</v>
      </c>
      <c r="I2133" s="479"/>
      <c r="J2133" s="480"/>
      <c r="K2133" s="466">
        <f>SUM(K2134:K2134)</f>
        <v>45.520000000000003</v>
      </c>
      <c r="L2133" s="465"/>
      <c r="M2133" s="466">
        <f>SUM(M2134:M2134)</f>
        <v>43.100000000000001</v>
      </c>
      <c r="N2133" s="467" t="s">
        <v>21740</v>
      </c>
      <c r="O2133" s="434" t="str">
        <f t="shared" si="1346"/>
        <v xml:space="preserve">SEM VALOR</v>
      </c>
      <c r="P2133" s="435" t="str">
        <f t="shared" si="1347"/>
        <v xml:space="preserve">SEM VALOR</v>
      </c>
      <c r="AE2133" s="460">
        <v>1259</v>
      </c>
      <c r="AF2133" s="460"/>
      <c r="AH2133">
        <f t="shared" si="1357"/>
        <v>1259</v>
      </c>
    </row>
    <row r="2134" ht="30">
      <c r="A2134" s="217"/>
      <c r="B2134" s="217">
        <v>1259</v>
      </c>
      <c r="C2134" s="217"/>
      <c r="D2134" s="217" t="s">
        <v>17167</v>
      </c>
      <c r="E2134" s="471" t="s">
        <v>20399</v>
      </c>
      <c r="F2134" s="469">
        <v>88316</v>
      </c>
      <c r="G2134" s="470" t="s">
        <v>7393</v>
      </c>
      <c r="H2134" s="482" t="s">
        <v>2032</v>
      </c>
      <c r="I2134" s="483">
        <v>2</v>
      </c>
      <c r="J2134" s="473">
        <f t="shared" si="1343"/>
        <v>22.760000000000002</v>
      </c>
      <c r="K2134" s="474">
        <f>I2134*J2134</f>
        <v>45.520000000000003</v>
      </c>
      <c r="L2134" s="475">
        <f t="shared" si="1348"/>
        <v>21.550000000000001</v>
      </c>
      <c r="M2134" s="474">
        <f>L2134*I2134</f>
        <v>43.100000000000001</v>
      </c>
      <c r="O2134" s="434">
        <f t="shared" si="1346"/>
        <v>22.760000000000002</v>
      </c>
      <c r="P2134" s="435">
        <f t="shared" si="1347"/>
        <v>21.550000000000001</v>
      </c>
      <c r="AE2134" s="217"/>
      <c r="AF2134" s="217">
        <v>1259</v>
      </c>
      <c r="AH2134">
        <f t="shared" si="1357"/>
        <v>1259</v>
      </c>
    </row>
    <row r="2135" ht="51.75" hidden="1" customHeight="1">
      <c r="A2135" s="460">
        <v>1260</v>
      </c>
      <c r="B2135" s="460">
        <v>1260</v>
      </c>
      <c r="C2135" s="460"/>
      <c r="D2135" s="460"/>
      <c r="E2135" s="461">
        <v>1</v>
      </c>
      <c r="F2135" s="462" t="s">
        <v>21741</v>
      </c>
      <c r="G2135" s="477" t="s">
        <v>21742</v>
      </c>
      <c r="H2135" s="579" t="s">
        <v>38</v>
      </c>
      <c r="I2135" s="479"/>
      <c r="J2135" s="480"/>
      <c r="K2135" s="466">
        <f>SUM(K2136:K2137)</f>
        <v>148.82400000000001</v>
      </c>
      <c r="L2135" s="480"/>
      <c r="M2135" s="466">
        <f>SUM(M2136:M2137)</f>
        <v>143.13200000000001</v>
      </c>
      <c r="O2135" s="434" t="str">
        <f t="shared" si="1346"/>
        <v xml:space="preserve">SEM VALOR</v>
      </c>
      <c r="P2135" s="435" t="str">
        <f t="shared" si="1347"/>
        <v xml:space="preserve">SEM VALOR</v>
      </c>
      <c r="AE2135" s="460">
        <v>1260</v>
      </c>
      <c r="AF2135" s="460"/>
      <c r="AH2135">
        <f t="shared" si="1357"/>
        <v>1260</v>
      </c>
    </row>
    <row r="2136" ht="120" hidden="1">
      <c r="A2136" s="217"/>
      <c r="B2136" s="217">
        <v>1260</v>
      </c>
      <c r="C2136" s="217"/>
      <c r="D2136" s="217" t="s">
        <v>17167</v>
      </c>
      <c r="E2136" s="471" t="s">
        <v>20399</v>
      </c>
      <c r="F2136" s="489">
        <v>5680</v>
      </c>
      <c r="G2136" s="470" t="s">
        <v>1871</v>
      </c>
      <c r="H2136" s="482" t="s">
        <v>1535</v>
      </c>
      <c r="I2136" s="483">
        <v>0.40000000000000002</v>
      </c>
      <c r="J2136" s="473">
        <f t="shared" si="1343"/>
        <v>144.46000000000001</v>
      </c>
      <c r="K2136" s="474">
        <f t="shared" ref="K2136:K2137" si="1361">I2136*J2136</f>
        <v>57.784000000000006</v>
      </c>
      <c r="L2136" s="473">
        <f t="shared" si="1348"/>
        <v>142.33000000000001</v>
      </c>
      <c r="M2136" s="474">
        <f t="shared" ref="M2136:M2137" si="1362">L2136*I2136</f>
        <v>56.932000000000009</v>
      </c>
      <c r="O2136" s="434">
        <f t="shared" si="1346"/>
        <v>144.46000000000001</v>
      </c>
      <c r="P2136" s="435">
        <f t="shared" si="1347"/>
        <v>142.33000000000001</v>
      </c>
      <c r="AE2136" s="217"/>
      <c r="AF2136" s="217">
        <v>1260</v>
      </c>
      <c r="AH2136">
        <f t="shared" si="1357"/>
        <v>1260</v>
      </c>
    </row>
    <row r="2137" ht="30" hidden="1">
      <c r="A2137" s="217"/>
      <c r="B2137" s="217">
        <v>1260</v>
      </c>
      <c r="C2137" s="217"/>
      <c r="D2137" s="217" t="s">
        <v>17167</v>
      </c>
      <c r="E2137" s="471" t="s">
        <v>20402</v>
      </c>
      <c r="F2137" s="489">
        <v>88316</v>
      </c>
      <c r="G2137" s="470" t="s">
        <v>7393</v>
      </c>
      <c r="H2137" s="482" t="s">
        <v>2032</v>
      </c>
      <c r="I2137" s="483">
        <v>4</v>
      </c>
      <c r="J2137" s="473">
        <f t="shared" si="1343"/>
        <v>22.760000000000002</v>
      </c>
      <c r="K2137" s="474">
        <f t="shared" si="1361"/>
        <v>91.040000000000006</v>
      </c>
      <c r="L2137" s="473">
        <f t="shared" si="1348"/>
        <v>21.550000000000001</v>
      </c>
      <c r="M2137" s="474">
        <f t="shared" si="1362"/>
        <v>86.200000000000003</v>
      </c>
      <c r="O2137" s="434">
        <f t="shared" si="1346"/>
        <v>22.760000000000002</v>
      </c>
      <c r="P2137" s="435">
        <f t="shared" si="1347"/>
        <v>21.550000000000001</v>
      </c>
      <c r="AE2137" s="217"/>
      <c r="AF2137" s="217">
        <v>1260</v>
      </c>
      <c r="AH2137">
        <f t="shared" si="1357"/>
        <v>1260</v>
      </c>
    </row>
    <row r="2138" ht="78.75" hidden="1">
      <c r="A2138" s="460">
        <v>1261</v>
      </c>
      <c r="B2138" s="460">
        <v>1261</v>
      </c>
      <c r="C2138" s="460"/>
      <c r="D2138" s="460"/>
      <c r="E2138" s="461">
        <v>1</v>
      </c>
      <c r="F2138" s="462" t="s">
        <v>21743</v>
      </c>
      <c r="G2138" s="477" t="s">
        <v>21744</v>
      </c>
      <c r="H2138" s="579" t="s">
        <v>15528</v>
      </c>
      <c r="I2138" s="479"/>
      <c r="J2138" s="480"/>
      <c r="K2138" s="466">
        <f>SUM(K2139:K2141)</f>
        <v>6.0546915000000006</v>
      </c>
      <c r="L2138" s="480"/>
      <c r="M2138" s="466">
        <f>SUM(M2139:M2141)</f>
        <v>5.9644049999999993</v>
      </c>
      <c r="O2138" s="434" t="str">
        <f t="shared" si="1346"/>
        <v xml:space="preserve">SEM VALOR</v>
      </c>
      <c r="P2138" s="435" t="str">
        <f t="shared" si="1347"/>
        <v xml:space="preserve">SEM VALOR</v>
      </c>
      <c r="R2138" s="443" t="s">
        <v>21745</v>
      </c>
      <c r="AE2138" s="460">
        <v>1261</v>
      </c>
      <c r="AF2138" s="460"/>
      <c r="AH2138">
        <f t="shared" si="1357"/>
        <v>1261</v>
      </c>
    </row>
    <row r="2139" ht="60" hidden="1">
      <c r="A2139" s="217"/>
      <c r="B2139" s="217">
        <v>1261</v>
      </c>
      <c r="C2139" s="217"/>
      <c r="D2139" s="217" t="s">
        <v>17167</v>
      </c>
      <c r="E2139" s="471" t="s">
        <v>20399</v>
      </c>
      <c r="F2139" s="489">
        <v>5632</v>
      </c>
      <c r="G2139" s="470" t="s">
        <v>1678</v>
      </c>
      <c r="H2139" s="499" t="s">
        <v>1533</v>
      </c>
      <c r="I2139" s="483">
        <v>4.0499999999999998e-003</v>
      </c>
      <c r="J2139" s="473">
        <f t="shared" si="1343"/>
        <v>91.030000000000001</v>
      </c>
      <c r="K2139" s="474">
        <f t="shared" ref="K2139:K2141" si="1363">I2139*J2139</f>
        <v>0.36867149999999999</v>
      </c>
      <c r="L2139" s="473">
        <f t="shared" si="1348"/>
        <v>88.900000000000006</v>
      </c>
      <c r="M2139" s="474">
        <f t="shared" ref="M2139:M2141" si="1364">L2139*I2139</f>
        <v>0.360045</v>
      </c>
      <c r="O2139" s="434">
        <f t="shared" si="1346"/>
        <v>91.030000000000001</v>
      </c>
      <c r="P2139" s="435">
        <f t="shared" si="1347"/>
        <v>88.900000000000006</v>
      </c>
      <c r="AE2139" s="217"/>
      <c r="AF2139" s="217">
        <v>1261</v>
      </c>
      <c r="AH2139">
        <f t="shared" si="1357"/>
        <v>1261</v>
      </c>
    </row>
    <row r="2140" ht="30" hidden="1">
      <c r="A2140" s="217"/>
      <c r="B2140" s="217">
        <v>1261</v>
      </c>
      <c r="C2140" s="217"/>
      <c r="D2140" s="217" t="s">
        <v>17167</v>
      </c>
      <c r="E2140" s="471" t="s">
        <v>20402</v>
      </c>
      <c r="F2140" s="489">
        <v>88316</v>
      </c>
      <c r="G2140" s="470" t="s">
        <v>7393</v>
      </c>
      <c r="H2140" s="499" t="s">
        <v>2032</v>
      </c>
      <c r="I2140" s="483">
        <v>2.7e-002</v>
      </c>
      <c r="J2140" s="473">
        <f t="shared" si="1343"/>
        <v>22.760000000000002</v>
      </c>
      <c r="K2140" s="474">
        <f t="shared" si="1363"/>
        <v>0.61452000000000007</v>
      </c>
      <c r="L2140" s="473">
        <f t="shared" si="1348"/>
        <v>21.550000000000001</v>
      </c>
      <c r="M2140" s="474">
        <f t="shared" si="1364"/>
        <v>0.58184999999999998</v>
      </c>
      <c r="O2140" s="434">
        <f t="shared" si="1346"/>
        <v>22.760000000000002</v>
      </c>
      <c r="P2140" s="435">
        <f t="shared" si="1347"/>
        <v>21.550000000000001</v>
      </c>
      <c r="AE2140" s="217"/>
      <c r="AF2140" s="217">
        <v>1261</v>
      </c>
      <c r="AH2140">
        <f t="shared" si="1357"/>
        <v>1261</v>
      </c>
    </row>
    <row r="2141" ht="60" hidden="1">
      <c r="A2141" s="217"/>
      <c r="B2141" s="217">
        <v>1261</v>
      </c>
      <c r="C2141" s="217"/>
      <c r="D2141" s="217" t="s">
        <v>17167</v>
      </c>
      <c r="E2141" s="471" t="s">
        <v>20405</v>
      </c>
      <c r="F2141" s="489">
        <v>5631</v>
      </c>
      <c r="G2141" s="470" t="s">
        <v>1679</v>
      </c>
      <c r="H2141" s="482" t="s">
        <v>1535</v>
      </c>
      <c r="I2141" s="483">
        <v>2.3e-002</v>
      </c>
      <c r="J2141" s="473">
        <f t="shared" si="1343"/>
        <v>220.5</v>
      </c>
      <c r="K2141" s="474">
        <f t="shared" si="1363"/>
        <v>5.0715000000000003</v>
      </c>
      <c r="L2141" s="473">
        <f t="shared" si="1348"/>
        <v>218.37</v>
      </c>
      <c r="M2141" s="474">
        <f t="shared" si="1364"/>
        <v>5.0225099999999996</v>
      </c>
      <c r="O2141" s="434">
        <f t="shared" si="1346"/>
        <v>220.5</v>
      </c>
      <c r="P2141" s="435">
        <f t="shared" si="1347"/>
        <v>218.37</v>
      </c>
      <c r="AE2141" s="217"/>
      <c r="AF2141" s="217">
        <v>1261</v>
      </c>
      <c r="AH2141">
        <f t="shared" si="1357"/>
        <v>1261</v>
      </c>
    </row>
    <row r="2142" ht="66.75" hidden="1" customHeight="1">
      <c r="A2142" s="460">
        <v>1262</v>
      </c>
      <c r="B2142" s="460">
        <v>1262</v>
      </c>
      <c r="C2142" s="460"/>
      <c r="D2142" s="460"/>
      <c r="E2142" s="461">
        <v>1</v>
      </c>
      <c r="F2142" s="462" t="s">
        <v>21746</v>
      </c>
      <c r="G2142" s="477" t="s">
        <v>21747</v>
      </c>
      <c r="H2142" s="579" t="s">
        <v>15528</v>
      </c>
      <c r="I2142" s="479"/>
      <c r="J2142" s="480"/>
      <c r="K2142" s="466">
        <f>SUM(K2143:K2149)</f>
        <v>578.58151999999995</v>
      </c>
      <c r="L2142" s="480"/>
      <c r="M2142" s="466">
        <f>SUM(M2143:M2149)</f>
        <v>563.17654999999991</v>
      </c>
      <c r="O2142" s="434" t="str">
        <f t="shared" si="1346"/>
        <v xml:space="preserve">SEM VALOR</v>
      </c>
      <c r="P2142" s="435" t="str">
        <f t="shared" si="1347"/>
        <v xml:space="preserve">SEM VALOR</v>
      </c>
      <c r="AE2142" s="460">
        <v>1262</v>
      </c>
      <c r="AF2142" s="460"/>
      <c r="AH2142">
        <f t="shared" si="1357"/>
        <v>1262</v>
      </c>
    </row>
    <row r="2143" ht="45" hidden="1">
      <c r="A2143" s="217"/>
      <c r="B2143" s="217">
        <v>1262</v>
      </c>
      <c r="C2143" s="217"/>
      <c r="D2143" s="217" t="s">
        <v>20408</v>
      </c>
      <c r="E2143" s="471" t="s">
        <v>20399</v>
      </c>
      <c r="F2143" s="489">
        <v>4730</v>
      </c>
      <c r="G2143" s="470" t="s">
        <v>21596</v>
      </c>
      <c r="H2143" s="499" t="s">
        <v>15528</v>
      </c>
      <c r="I2143" s="483">
        <v>0.54000000000000004</v>
      </c>
      <c r="J2143" s="473">
        <f t="shared" ref="J2142:J2205" si="1365">O2143*$J$3</f>
        <v>94.450000000000003</v>
      </c>
      <c r="K2143" s="474">
        <f t="shared" ref="K2143:K2149" si="1366">I2143*J2143</f>
        <v>51.003000000000007</v>
      </c>
      <c r="L2143" s="473">
        <f t="shared" si="1348"/>
        <v>94.450000000000003</v>
      </c>
      <c r="M2143" s="474">
        <f t="shared" ref="M2143:M2149" si="1367">L2143*I2143</f>
        <v>51.003000000000007</v>
      </c>
      <c r="O2143" s="434">
        <f t="shared" si="1346"/>
        <v>94.450000000000003</v>
      </c>
      <c r="P2143" s="435">
        <f t="shared" si="1347"/>
        <v>94.450000000000003</v>
      </c>
      <c r="AE2143" s="217"/>
      <c r="AF2143" s="217">
        <v>1262</v>
      </c>
      <c r="AH2143">
        <f t="shared" si="1357"/>
        <v>1262</v>
      </c>
    </row>
    <row r="2144" ht="30" hidden="1">
      <c r="A2144" s="217"/>
      <c r="B2144" s="217">
        <v>1262</v>
      </c>
      <c r="C2144" s="217"/>
      <c r="D2144" s="217" t="s">
        <v>17167</v>
      </c>
      <c r="E2144" s="471" t="s">
        <v>20402</v>
      </c>
      <c r="F2144" s="489">
        <v>88262</v>
      </c>
      <c r="G2144" s="470" t="s">
        <v>7127</v>
      </c>
      <c r="H2144" s="499" t="s">
        <v>2032</v>
      </c>
      <c r="I2144" s="483">
        <v>0.46899999999999997</v>
      </c>
      <c r="J2144" s="473">
        <f t="shared" si="1365"/>
        <v>27.739999999999998</v>
      </c>
      <c r="K2144" s="474">
        <f t="shared" si="1366"/>
        <v>13.010059999999999</v>
      </c>
      <c r="L2144" s="473">
        <f t="shared" si="1348"/>
        <v>26.129999999999999</v>
      </c>
      <c r="M2144" s="474">
        <f t="shared" si="1367"/>
        <v>12.254969999999998</v>
      </c>
      <c r="O2144" s="434">
        <f t="shared" si="1346"/>
        <v>27.739999999999998</v>
      </c>
      <c r="P2144" s="435">
        <f t="shared" si="1347"/>
        <v>26.129999999999999</v>
      </c>
      <c r="AE2144" s="217"/>
      <c r="AF2144" s="217">
        <v>1262</v>
      </c>
      <c r="AH2144">
        <f t="shared" si="1357"/>
        <v>1262</v>
      </c>
    </row>
    <row r="2145" ht="30" hidden="1">
      <c r="A2145" s="217"/>
      <c r="B2145" s="217">
        <v>1262</v>
      </c>
      <c r="C2145" s="217"/>
      <c r="D2145" s="217" t="s">
        <v>17167</v>
      </c>
      <c r="E2145" s="471" t="s">
        <v>20405</v>
      </c>
      <c r="F2145" s="489">
        <v>88309</v>
      </c>
      <c r="G2145" s="470" t="s">
        <v>7385</v>
      </c>
      <c r="H2145" s="499" t="s">
        <v>2032</v>
      </c>
      <c r="I2145" s="483">
        <v>0.46899999999999997</v>
      </c>
      <c r="J2145" s="473">
        <f t="shared" si="1365"/>
        <v>28.5</v>
      </c>
      <c r="K2145" s="474">
        <f t="shared" si="1366"/>
        <v>13.366499999999998</v>
      </c>
      <c r="L2145" s="473">
        <f t="shared" si="1348"/>
        <v>26.870000000000001</v>
      </c>
      <c r="M2145" s="474">
        <f t="shared" si="1367"/>
        <v>12.602029999999999</v>
      </c>
      <c r="O2145" s="434">
        <f t="shared" si="1346"/>
        <v>28.5</v>
      </c>
      <c r="P2145" s="435">
        <f t="shared" si="1347"/>
        <v>26.870000000000001</v>
      </c>
      <c r="AE2145" s="217"/>
      <c r="AF2145" s="217">
        <v>1262</v>
      </c>
      <c r="AH2145">
        <f t="shared" si="1357"/>
        <v>1262</v>
      </c>
    </row>
    <row r="2146" ht="30" hidden="1">
      <c r="A2146" s="217"/>
      <c r="B2146" s="217">
        <v>1262</v>
      </c>
      <c r="C2146" s="217"/>
      <c r="D2146" s="217" t="s">
        <v>17167</v>
      </c>
      <c r="E2146" s="471" t="s">
        <v>20409</v>
      </c>
      <c r="F2146" s="489">
        <v>88316</v>
      </c>
      <c r="G2146" s="470" t="s">
        <v>7393</v>
      </c>
      <c r="H2146" s="499" t="s">
        <v>2032</v>
      </c>
      <c r="I2146" s="483">
        <v>8.4209999999999994</v>
      </c>
      <c r="J2146" s="473">
        <f t="shared" si="1365"/>
        <v>22.760000000000002</v>
      </c>
      <c r="K2146" s="474">
        <f t="shared" si="1366"/>
        <v>191.66195999999999</v>
      </c>
      <c r="L2146" s="473">
        <f t="shared" si="1348"/>
        <v>21.550000000000001</v>
      </c>
      <c r="M2146" s="474">
        <f t="shared" si="1367"/>
        <v>181.47254999999998</v>
      </c>
      <c r="O2146" s="434">
        <f t="shared" si="1346"/>
        <v>22.760000000000002</v>
      </c>
      <c r="P2146" s="435">
        <f t="shared" si="1347"/>
        <v>21.550000000000001</v>
      </c>
      <c r="AE2146" s="217"/>
      <c r="AF2146" s="217">
        <v>1262</v>
      </c>
      <c r="AH2146">
        <f t="shared" si="1357"/>
        <v>1262</v>
      </c>
    </row>
    <row r="2147" ht="60" hidden="1">
      <c r="A2147" s="217"/>
      <c r="B2147" s="217">
        <v>1262</v>
      </c>
      <c r="C2147" s="217"/>
      <c r="D2147" s="217" t="s">
        <v>17167</v>
      </c>
      <c r="E2147" s="471" t="s">
        <v>20663</v>
      </c>
      <c r="F2147" s="489">
        <v>90586</v>
      </c>
      <c r="G2147" s="470" t="s">
        <v>1957</v>
      </c>
      <c r="H2147" s="499" t="s">
        <v>1535</v>
      </c>
      <c r="I2147" s="483">
        <v>0.14000000000000001</v>
      </c>
      <c r="J2147" s="473">
        <f t="shared" si="1365"/>
        <v>1.53</v>
      </c>
      <c r="K2147" s="474">
        <f t="shared" si="1366"/>
        <v>0.21420000000000003</v>
      </c>
      <c r="L2147" s="473">
        <f t="shared" si="1348"/>
        <v>1.53</v>
      </c>
      <c r="M2147" s="474">
        <f t="shared" si="1367"/>
        <v>0.21420000000000003</v>
      </c>
      <c r="O2147" s="434">
        <f t="shared" si="1346"/>
        <v>1.53</v>
      </c>
      <c r="P2147" s="435">
        <f t="shared" si="1347"/>
        <v>1.53</v>
      </c>
      <c r="AE2147" s="217"/>
      <c r="AF2147" s="217">
        <v>1262</v>
      </c>
      <c r="AH2147">
        <f t="shared" si="1357"/>
        <v>1262</v>
      </c>
    </row>
    <row r="2148" ht="60" hidden="1">
      <c r="A2148" s="217"/>
      <c r="B2148" s="217">
        <v>1262</v>
      </c>
      <c r="C2148" s="217"/>
      <c r="D2148" s="217" t="s">
        <v>17167</v>
      </c>
      <c r="E2148" s="471" t="s">
        <v>20665</v>
      </c>
      <c r="F2148" s="489">
        <v>90587</v>
      </c>
      <c r="G2148" s="470" t="s">
        <v>1956</v>
      </c>
      <c r="H2148" s="499" t="s">
        <v>1533</v>
      </c>
      <c r="I2148" s="483">
        <v>0.56000000000000005</v>
      </c>
      <c r="J2148" s="473">
        <f t="shared" si="1365"/>
        <v>0.57999999999999996</v>
      </c>
      <c r="K2148" s="474">
        <f t="shared" si="1366"/>
        <v>0.32480000000000003</v>
      </c>
      <c r="L2148" s="473">
        <f t="shared" si="1348"/>
        <v>0.57999999999999996</v>
      </c>
      <c r="M2148" s="474">
        <f t="shared" si="1367"/>
        <v>0.32480000000000003</v>
      </c>
      <c r="O2148" s="434">
        <f t="shared" si="1346"/>
        <v>0.57999999999999996</v>
      </c>
      <c r="P2148" s="435">
        <f t="shared" si="1347"/>
        <v>0.57999999999999996</v>
      </c>
      <c r="AE2148" s="217"/>
      <c r="AF2148" s="217">
        <v>1262</v>
      </c>
      <c r="AH2148">
        <f t="shared" si="1357"/>
        <v>1262</v>
      </c>
    </row>
    <row r="2149" ht="60" hidden="1">
      <c r="A2149" s="217"/>
      <c r="B2149" s="217">
        <v>1262</v>
      </c>
      <c r="C2149" s="217"/>
      <c r="D2149" s="217" t="s">
        <v>17167</v>
      </c>
      <c r="E2149" s="471" t="s">
        <v>20667</v>
      </c>
      <c r="F2149" s="489">
        <v>94963</v>
      </c>
      <c r="G2149" s="470" t="s">
        <v>20911</v>
      </c>
      <c r="H2149" s="482" t="s">
        <v>15528</v>
      </c>
      <c r="I2149" s="483">
        <v>0.69999999999999996</v>
      </c>
      <c r="J2149" s="473">
        <f t="shared" si="1365"/>
        <v>441.43000000000001</v>
      </c>
      <c r="K2149" s="474">
        <f t="shared" si="1366"/>
        <v>309.00099999999998</v>
      </c>
      <c r="L2149" s="473">
        <f t="shared" si="1348"/>
        <v>436.14999999999998</v>
      </c>
      <c r="M2149" s="474">
        <f t="shared" si="1367"/>
        <v>305.30499999999995</v>
      </c>
      <c r="O2149" s="434">
        <f t="shared" si="1346"/>
        <v>441.43000000000001</v>
      </c>
      <c r="P2149" s="435">
        <f t="shared" si="1347"/>
        <v>436.14999999999998</v>
      </c>
      <c r="AE2149" s="217"/>
      <c r="AF2149" s="217">
        <v>1262</v>
      </c>
      <c r="AH2149">
        <f t="shared" si="1357"/>
        <v>1262</v>
      </c>
    </row>
    <row r="2150" ht="147.75" hidden="1" customHeight="1">
      <c r="A2150" s="460">
        <v>1263</v>
      </c>
      <c r="B2150" s="460">
        <v>1263</v>
      </c>
      <c r="C2150" s="460"/>
      <c r="D2150" s="460"/>
      <c r="E2150" s="461">
        <v>1</v>
      </c>
      <c r="F2150" s="462" t="s">
        <v>21748</v>
      </c>
      <c r="G2150" s="477" t="s">
        <v>21749</v>
      </c>
      <c r="H2150" s="579" t="s">
        <v>20647</v>
      </c>
      <c r="I2150" s="479"/>
      <c r="J2150" s="480"/>
      <c r="K2150" s="466">
        <f>SUM(K2151:K2163)</f>
        <v>4832.1723325000003</v>
      </c>
      <c r="L2150" s="480"/>
      <c r="M2150" s="466">
        <f>SUM(M2151:M2163)</f>
        <v>4711.3469974999998</v>
      </c>
      <c r="O2150" s="434" t="str">
        <f t="shared" si="1346"/>
        <v xml:space="preserve">SEM VALOR</v>
      </c>
      <c r="P2150" s="435" t="str">
        <f t="shared" si="1347"/>
        <v xml:space="preserve">SEM VALOR</v>
      </c>
      <c r="AE2150" s="460">
        <v>1263</v>
      </c>
      <c r="AF2150" s="460"/>
      <c r="AH2150">
        <f t="shared" si="1357"/>
        <v>1263</v>
      </c>
    </row>
    <row r="2151" ht="30" hidden="1">
      <c r="A2151" s="217"/>
      <c r="B2151" s="217">
        <v>1263</v>
      </c>
      <c r="C2151" s="217"/>
      <c r="D2151" s="217" t="s">
        <v>20398</v>
      </c>
      <c r="E2151" s="471" t="s">
        <v>20399</v>
      </c>
      <c r="F2151" s="482">
        <v>1242</v>
      </c>
      <c r="G2151" s="488" t="s">
        <v>20905</v>
      </c>
      <c r="H2151" s="471" t="s">
        <v>15528</v>
      </c>
      <c r="I2151" s="472">
        <v>0.3125</v>
      </c>
      <c r="J2151" s="473">
        <f t="shared" si="1365"/>
        <v>151.59100000000001</v>
      </c>
      <c r="K2151" s="474">
        <f t="shared" ref="K2151:K2163" si="1368">I2151*J2151</f>
        <v>47.372187500000003</v>
      </c>
      <c r="L2151" s="473">
        <f t="shared" si="1348"/>
        <v>149.17099999999999</v>
      </c>
      <c r="M2151" s="474">
        <f t="shared" ref="M2151:M2163" si="1369">L2151*I2151</f>
        <v>46.615937500000001</v>
      </c>
      <c r="O2151" s="434">
        <f t="shared" si="1346"/>
        <v>151.59100000000001</v>
      </c>
      <c r="P2151" s="435">
        <f t="shared" si="1347"/>
        <v>149.17099999999999</v>
      </c>
      <c r="AE2151" s="217"/>
      <c r="AF2151" s="217">
        <v>1263</v>
      </c>
      <c r="AH2151">
        <f t="shared" si="1357"/>
        <v>1263</v>
      </c>
    </row>
    <row r="2152" ht="75" hidden="1">
      <c r="A2152" s="217"/>
      <c r="B2152" s="217">
        <v>1263</v>
      </c>
      <c r="C2152" s="217"/>
      <c r="D2152" s="217" t="s">
        <v>20398</v>
      </c>
      <c r="E2152" s="471" t="s">
        <v>20402</v>
      </c>
      <c r="F2152" s="482">
        <v>1257</v>
      </c>
      <c r="G2152" s="470" t="s">
        <v>20906</v>
      </c>
      <c r="H2152" s="471" t="s">
        <v>15515</v>
      </c>
      <c r="I2152" s="472">
        <v>7.75</v>
      </c>
      <c r="J2152" s="473">
        <f t="shared" si="1365"/>
        <v>202.65134000000003</v>
      </c>
      <c r="K2152" s="474">
        <f t="shared" si="1368"/>
        <v>1570.5478850000002</v>
      </c>
      <c r="L2152" s="473">
        <f t="shared" si="1348"/>
        <v>197.86072000000001</v>
      </c>
      <c r="M2152" s="474">
        <f t="shared" si="1369"/>
        <v>1533.4205800000002</v>
      </c>
      <c r="O2152" s="434">
        <f t="shared" si="1346"/>
        <v>202.65134000000003</v>
      </c>
      <c r="P2152" s="435">
        <f t="shared" si="1347"/>
        <v>197.86072000000001</v>
      </c>
      <c r="AE2152" s="217"/>
      <c r="AF2152" s="217">
        <v>1263</v>
      </c>
      <c r="AH2152">
        <f t="shared" si="1357"/>
        <v>1263</v>
      </c>
    </row>
    <row r="2153" ht="45" hidden="1">
      <c r="A2153" s="217"/>
      <c r="B2153" s="217">
        <v>1263</v>
      </c>
      <c r="C2153" s="217"/>
      <c r="D2153" s="217" t="s">
        <v>20398</v>
      </c>
      <c r="E2153" s="471" t="s">
        <v>20405</v>
      </c>
      <c r="F2153" s="489">
        <v>1000</v>
      </c>
      <c r="G2153" s="488" t="s">
        <v>20651</v>
      </c>
      <c r="H2153" s="472" t="s">
        <v>15528</v>
      </c>
      <c r="I2153" s="472">
        <v>2.4399999999999999</v>
      </c>
      <c r="J2153" s="473">
        <f t="shared" si="1365"/>
        <v>149.904</v>
      </c>
      <c r="K2153" s="474">
        <f t="shared" si="1368"/>
        <v>365.76576</v>
      </c>
      <c r="L2153" s="473">
        <f t="shared" si="1348"/>
        <v>141.76949999999999</v>
      </c>
      <c r="M2153" s="474">
        <f t="shared" si="1369"/>
        <v>345.91757999999999</v>
      </c>
      <c r="O2153" s="434">
        <f t="shared" si="1346"/>
        <v>149.904</v>
      </c>
      <c r="P2153" s="435">
        <f t="shared" si="1347"/>
        <v>141.76949999999999</v>
      </c>
      <c r="AE2153" s="217"/>
      <c r="AF2153" s="217">
        <v>1263</v>
      </c>
      <c r="AH2153">
        <f t="shared" si="1357"/>
        <v>1263</v>
      </c>
    </row>
    <row r="2154" ht="75" hidden="1">
      <c r="A2154" s="217"/>
      <c r="B2154" s="217">
        <v>1263</v>
      </c>
      <c r="C2154" s="217"/>
      <c r="D2154" s="217" t="s">
        <v>17167</v>
      </c>
      <c r="E2154" s="471" t="s">
        <v>20409</v>
      </c>
      <c r="F2154" s="489">
        <v>87879</v>
      </c>
      <c r="G2154" s="488" t="s">
        <v>21734</v>
      </c>
      <c r="H2154" s="472" t="s">
        <v>15515</v>
      </c>
      <c r="I2154" s="472">
        <v>17.190000000000001</v>
      </c>
      <c r="J2154" s="473">
        <f t="shared" si="1365"/>
        <v>4.5499999999999998</v>
      </c>
      <c r="K2154" s="474">
        <f t="shared" si="1368"/>
        <v>78.214500000000001</v>
      </c>
      <c r="L2154" s="473">
        <f t="shared" si="1348"/>
        <v>4.3600000000000003</v>
      </c>
      <c r="M2154" s="474">
        <f t="shared" si="1369"/>
        <v>74.948400000000007</v>
      </c>
      <c r="O2154" s="434">
        <f t="shared" si="1346"/>
        <v>4.5499999999999998</v>
      </c>
      <c r="P2154" s="435">
        <f t="shared" si="1347"/>
        <v>4.3600000000000003</v>
      </c>
      <c r="AE2154" s="217"/>
      <c r="AF2154" s="217">
        <v>1263</v>
      </c>
      <c r="AH2154">
        <f t="shared" si="1357"/>
        <v>1263</v>
      </c>
    </row>
    <row r="2155" ht="120" hidden="1">
      <c r="A2155" s="217"/>
      <c r="B2155" s="217">
        <v>1263</v>
      </c>
      <c r="C2155" s="217"/>
      <c r="D2155" s="217" t="s">
        <v>17167</v>
      </c>
      <c r="E2155" s="471" t="s">
        <v>20663</v>
      </c>
      <c r="F2155" s="489">
        <v>90082</v>
      </c>
      <c r="G2155" s="488" t="s">
        <v>21750</v>
      </c>
      <c r="H2155" s="472" t="s">
        <v>15528</v>
      </c>
      <c r="I2155" s="472">
        <v>10.140000000000001</v>
      </c>
      <c r="J2155" s="473">
        <f t="shared" si="1365"/>
        <v>9.8200000000000003</v>
      </c>
      <c r="K2155" s="474">
        <f t="shared" si="1368"/>
        <v>99.57480000000001</v>
      </c>
      <c r="L2155" s="473">
        <f t="shared" si="1348"/>
        <v>9.6300000000000008</v>
      </c>
      <c r="M2155" s="474">
        <f t="shared" si="1369"/>
        <v>97.648200000000017</v>
      </c>
      <c r="O2155" s="434">
        <f t="shared" si="1346"/>
        <v>9.8200000000000003</v>
      </c>
      <c r="P2155" s="435">
        <f t="shared" si="1347"/>
        <v>9.6300000000000008</v>
      </c>
      <c r="AE2155" s="217"/>
      <c r="AF2155" s="217">
        <v>1263</v>
      </c>
      <c r="AH2155">
        <f t="shared" si="1357"/>
        <v>1263</v>
      </c>
    </row>
    <row r="2156" ht="135" hidden="1">
      <c r="A2156" s="217"/>
      <c r="B2156" s="217">
        <v>1263</v>
      </c>
      <c r="C2156" s="217"/>
      <c r="D2156" s="217" t="s">
        <v>17167</v>
      </c>
      <c r="E2156" s="471" t="s">
        <v>20665</v>
      </c>
      <c r="F2156" s="489">
        <v>102281</v>
      </c>
      <c r="G2156" s="488" t="s">
        <v>21471</v>
      </c>
      <c r="H2156" s="472" t="s">
        <v>15528</v>
      </c>
      <c r="I2156" s="472">
        <v>5.2699999999999996</v>
      </c>
      <c r="J2156" s="473">
        <f t="shared" si="1365"/>
        <v>5.8300000000000001</v>
      </c>
      <c r="K2156" s="474">
        <f t="shared" si="1368"/>
        <v>30.724099999999996</v>
      </c>
      <c r="L2156" s="473">
        <f t="shared" si="1348"/>
        <v>5.7199999999999998</v>
      </c>
      <c r="M2156" s="474">
        <f t="shared" si="1369"/>
        <v>30.144399999999997</v>
      </c>
      <c r="O2156" s="434">
        <f t="shared" ref="O2156:O2219" si="1370">IFERROR(IF(D2156="SINAPI",VLOOKUP(F2156,SINCOMOD,4,FALSE),IF(D2156="INSINAPI",VLOOKUP(F2156,INSINOD,5,FALSE),IF(D2156="SICRO",VLOOKUP(F2156,SICRO,5,FALSE),IF(D2156="COTACAO",VLOOKUP(F2156,COTACAO,6,FALSE),IF(D2156="PRÓPRIO",VLOOKUP(F2156,COMPOD,11,FALSE),IF(D2156="AGESUL",VLOOKUP(F2156,AGESULOD,6,FALSE),IF(D2156="INSAGESUL",VLOOKUP(F2156,INSAGESUL,7,FALSE),"SEM VALOR"))))))),"SEM VALOR")</f>
        <v>5.8300000000000001</v>
      </c>
      <c r="P2156" s="435">
        <f t="shared" ref="P2156:P2219" si="1371">IFERROR(IF(D2156="SINAPI",VLOOKUP(F2156,SINCOMOD,6,FALSE),IF(D2156="INSINAPI",VLOOKUP(F2156,INSINOD,6,FALSE),IF(D2156="SICRO",VLOOKUP(F2156,SICRO,5,FALSE),IF(D2156="COTACAO",VLOOKUP(F2156,COTACAO,6,FALSE),IF(D2156="PRÓPRIO",VLOOKUP(F2156,COMPOD,13,FALSE),IF(D2156="AGESUL",VLOOKUP(F2156,AGESULOD,11,FALSE),IF(D2156="INSAGESUL",VLOOKUP(F2156,INSAGESUL,8,FALSE),"SEM VALOR"))))))),"SEM VALOR")</f>
        <v>5.7199999999999998</v>
      </c>
      <c r="AE2156" s="217"/>
      <c r="AF2156" s="217">
        <v>1263</v>
      </c>
      <c r="AH2156">
        <f t="shared" si="1357"/>
        <v>1263</v>
      </c>
    </row>
    <row r="2157" ht="75" hidden="1">
      <c r="A2157" s="217"/>
      <c r="B2157" s="217">
        <v>1263</v>
      </c>
      <c r="C2157" s="217"/>
      <c r="D2157" s="217" t="s">
        <v>17167</v>
      </c>
      <c r="E2157" s="471" t="s">
        <v>20667</v>
      </c>
      <c r="F2157" s="489">
        <v>92915</v>
      </c>
      <c r="G2157" s="488" t="s">
        <v>20970</v>
      </c>
      <c r="H2157" s="472" t="s">
        <v>302</v>
      </c>
      <c r="I2157" s="472">
        <v>5.1500000000000004</v>
      </c>
      <c r="J2157" s="473">
        <f t="shared" si="1365"/>
        <v>16.649999999999999</v>
      </c>
      <c r="K2157" s="474">
        <f t="shared" si="1368"/>
        <v>85.747500000000002</v>
      </c>
      <c r="L2157" s="473">
        <f t="shared" ref="L2157:L2220" si="1372">P2157*$L$3</f>
        <v>16.199999999999999</v>
      </c>
      <c r="M2157" s="474">
        <f t="shared" si="1369"/>
        <v>83.430000000000007</v>
      </c>
      <c r="O2157" s="434">
        <f t="shared" si="1370"/>
        <v>16.649999999999999</v>
      </c>
      <c r="P2157" s="435">
        <f t="shared" si="1371"/>
        <v>16.199999999999999</v>
      </c>
      <c r="AE2157" s="217"/>
      <c r="AF2157" s="217">
        <v>1263</v>
      </c>
      <c r="AH2157">
        <f t="shared" si="1357"/>
        <v>1263</v>
      </c>
    </row>
    <row r="2158" ht="75" hidden="1">
      <c r="A2158" s="217"/>
      <c r="B2158" s="217">
        <v>1263</v>
      </c>
      <c r="C2158" s="217"/>
      <c r="D2158" s="217" t="s">
        <v>17167</v>
      </c>
      <c r="E2158" s="471" t="s">
        <v>20671</v>
      </c>
      <c r="F2158" s="489">
        <v>92916</v>
      </c>
      <c r="G2158" s="488" t="s">
        <v>20969</v>
      </c>
      <c r="H2158" s="472" t="s">
        <v>302</v>
      </c>
      <c r="I2158" s="472">
        <v>51.469999999999999</v>
      </c>
      <c r="J2158" s="473">
        <f t="shared" si="1365"/>
        <v>15</v>
      </c>
      <c r="K2158" s="474">
        <f t="shared" si="1368"/>
        <v>772.04999999999995</v>
      </c>
      <c r="L2158" s="473">
        <f t="shared" si="1372"/>
        <v>14.69</v>
      </c>
      <c r="M2158" s="474">
        <f t="shared" si="1369"/>
        <v>756.09429999999998</v>
      </c>
      <c r="O2158" s="434">
        <f t="shared" si="1370"/>
        <v>15</v>
      </c>
      <c r="P2158" s="435">
        <f t="shared" si="1371"/>
        <v>14.69</v>
      </c>
      <c r="AE2158" s="217"/>
      <c r="AF2158" s="217">
        <v>1263</v>
      </c>
      <c r="AH2158">
        <f t="shared" si="1357"/>
        <v>1263</v>
      </c>
    </row>
    <row r="2159" ht="45" hidden="1">
      <c r="A2159" s="217"/>
      <c r="B2159" s="217">
        <v>1263</v>
      </c>
      <c r="C2159" s="217"/>
      <c r="D2159" s="217" t="s">
        <v>17167</v>
      </c>
      <c r="E2159" s="471" t="s">
        <v>20672</v>
      </c>
      <c r="F2159" s="489">
        <v>93382</v>
      </c>
      <c r="G2159" s="488" t="s">
        <v>20722</v>
      </c>
      <c r="H2159" s="472" t="s">
        <v>15528</v>
      </c>
      <c r="I2159" s="472">
        <v>6.8300000000000001</v>
      </c>
      <c r="J2159" s="473">
        <f t="shared" si="1365"/>
        <v>27.52</v>
      </c>
      <c r="K2159" s="474">
        <f t="shared" si="1368"/>
        <v>187.9616</v>
      </c>
      <c r="L2159" s="473">
        <f t="shared" si="1372"/>
        <v>26.190000000000001</v>
      </c>
      <c r="M2159" s="474">
        <f t="shared" si="1369"/>
        <v>178.8777</v>
      </c>
      <c r="O2159" s="434">
        <f t="shared" si="1370"/>
        <v>27.52</v>
      </c>
      <c r="P2159" s="435">
        <f t="shared" si="1371"/>
        <v>26.190000000000001</v>
      </c>
      <c r="AE2159" s="217"/>
      <c r="AF2159" s="217">
        <v>1263</v>
      </c>
      <c r="AH2159">
        <f t="shared" si="1357"/>
        <v>1263</v>
      </c>
    </row>
    <row r="2160" ht="45" hidden="1">
      <c r="A2160" s="217"/>
      <c r="B2160" s="217">
        <v>1263</v>
      </c>
      <c r="C2160" s="217"/>
      <c r="D2160" s="217" t="s">
        <v>17167</v>
      </c>
      <c r="E2160" s="471" t="s">
        <v>20673</v>
      </c>
      <c r="F2160" s="489">
        <v>101616</v>
      </c>
      <c r="G2160" s="488" t="s">
        <v>20929</v>
      </c>
      <c r="H2160" s="472" t="s">
        <v>15515</v>
      </c>
      <c r="I2160" s="472">
        <v>6.25</v>
      </c>
      <c r="J2160" s="473">
        <f t="shared" si="1365"/>
        <v>7.7800000000000002</v>
      </c>
      <c r="K2160" s="474">
        <f t="shared" si="1368"/>
        <v>48.625</v>
      </c>
      <c r="L2160" s="473">
        <f t="shared" si="1372"/>
        <v>7.3499999999999996</v>
      </c>
      <c r="M2160" s="474">
        <f t="shared" si="1369"/>
        <v>45.9375</v>
      </c>
      <c r="O2160" s="434">
        <f t="shared" si="1370"/>
        <v>7.7800000000000002</v>
      </c>
      <c r="P2160" s="435">
        <f t="shared" si="1371"/>
        <v>7.3499999999999996</v>
      </c>
      <c r="AE2160" s="217"/>
      <c r="AF2160" s="217">
        <v>1263</v>
      </c>
      <c r="AH2160">
        <f t="shared" si="1357"/>
        <v>1263</v>
      </c>
    </row>
    <row r="2161" ht="60" hidden="1">
      <c r="A2161" s="217"/>
      <c r="B2161" s="217">
        <v>1263</v>
      </c>
      <c r="C2161" s="217"/>
      <c r="D2161" s="217" t="s">
        <v>17167</v>
      </c>
      <c r="E2161" s="471" t="s">
        <v>20675</v>
      </c>
      <c r="F2161" s="489">
        <v>94963</v>
      </c>
      <c r="G2161" s="488" t="s">
        <v>20911</v>
      </c>
      <c r="H2161" s="472" t="s">
        <v>15528</v>
      </c>
      <c r="I2161" s="472">
        <v>1.73</v>
      </c>
      <c r="J2161" s="473">
        <f t="shared" si="1365"/>
        <v>441.43000000000001</v>
      </c>
      <c r="K2161" s="474">
        <f t="shared" si="1368"/>
        <v>763.6739</v>
      </c>
      <c r="L2161" s="473">
        <f t="shared" si="1372"/>
        <v>436.14999999999998</v>
      </c>
      <c r="M2161" s="474">
        <f t="shared" si="1369"/>
        <v>754.53949999999998</v>
      </c>
      <c r="O2161" s="434">
        <f t="shared" si="1370"/>
        <v>441.43000000000001</v>
      </c>
      <c r="P2161" s="435">
        <f t="shared" si="1371"/>
        <v>436.14999999999998</v>
      </c>
      <c r="AE2161" s="217"/>
      <c r="AF2161" s="217">
        <v>1263</v>
      </c>
      <c r="AH2161">
        <f t="shared" si="1357"/>
        <v>1263</v>
      </c>
    </row>
    <row r="2162" ht="60" hidden="1">
      <c r="A2162" s="217"/>
      <c r="B2162" s="217">
        <v>1263</v>
      </c>
      <c r="C2162" s="217"/>
      <c r="D2162" s="217" t="s">
        <v>17167</v>
      </c>
      <c r="E2162" s="471" t="s">
        <v>20677</v>
      </c>
      <c r="F2162" s="489">
        <v>94964</v>
      </c>
      <c r="G2162" s="488" t="s">
        <v>20686</v>
      </c>
      <c r="H2162" s="472" t="s">
        <v>15528</v>
      </c>
      <c r="I2162" s="472">
        <v>0.70999999999999996</v>
      </c>
      <c r="J2162" s="473">
        <f t="shared" si="1365"/>
        <v>488.52999999999997</v>
      </c>
      <c r="K2162" s="474">
        <f t="shared" si="1368"/>
        <v>346.85629999999998</v>
      </c>
      <c r="L2162" s="473">
        <f t="shared" si="1372"/>
        <v>482.79000000000002</v>
      </c>
      <c r="M2162" s="474">
        <f t="shared" si="1369"/>
        <v>342.78089999999997</v>
      </c>
      <c r="O2162" s="434">
        <f t="shared" si="1370"/>
        <v>488.52999999999997</v>
      </c>
      <c r="P2162" s="435">
        <f t="shared" si="1371"/>
        <v>482.79000000000002</v>
      </c>
      <c r="AE2162" s="217"/>
      <c r="AF2162" s="217">
        <v>1263</v>
      </c>
      <c r="AH2162">
        <f t="shared" si="1357"/>
        <v>1263</v>
      </c>
    </row>
    <row r="2163" ht="60" hidden="1">
      <c r="A2163" s="217"/>
      <c r="B2163" s="217">
        <v>1263</v>
      </c>
      <c r="C2163" s="217"/>
      <c r="D2163" s="217" t="s">
        <v>17167</v>
      </c>
      <c r="E2163" s="471" t="s">
        <v>20679</v>
      </c>
      <c r="F2163" s="489">
        <v>96533</v>
      </c>
      <c r="G2163" s="488" t="s">
        <v>20912</v>
      </c>
      <c r="H2163" s="472" t="s">
        <v>15515</v>
      </c>
      <c r="I2163" s="472">
        <v>5.0599999999999996</v>
      </c>
      <c r="J2163" s="473">
        <f t="shared" si="1365"/>
        <v>85.980000000000004</v>
      </c>
      <c r="K2163" s="474">
        <f t="shared" si="1368"/>
        <v>435.05879999999996</v>
      </c>
      <c r="L2163" s="473">
        <f t="shared" si="1372"/>
        <v>83.200000000000003</v>
      </c>
      <c r="M2163" s="474">
        <f t="shared" si="1369"/>
        <v>420.99199999999996</v>
      </c>
      <c r="O2163" s="434">
        <f t="shared" si="1370"/>
        <v>85.980000000000004</v>
      </c>
      <c r="P2163" s="435">
        <f t="shared" si="1371"/>
        <v>83.200000000000003</v>
      </c>
      <c r="AE2163" s="217"/>
      <c r="AF2163" s="217">
        <v>1263</v>
      </c>
      <c r="AH2163">
        <f t="shared" si="1357"/>
        <v>1263</v>
      </c>
    </row>
    <row r="2164" ht="63" hidden="1">
      <c r="A2164" s="460">
        <v>1264</v>
      </c>
      <c r="B2164" s="460">
        <v>1264</v>
      </c>
      <c r="C2164" s="460"/>
      <c r="D2164" s="460"/>
      <c r="E2164" s="461">
        <v>1</v>
      </c>
      <c r="F2164" s="462" t="s">
        <v>21751</v>
      </c>
      <c r="G2164" s="477" t="s">
        <v>21752</v>
      </c>
      <c r="H2164" s="579" t="s">
        <v>20647</v>
      </c>
      <c r="I2164" s="479"/>
      <c r="J2164" s="480"/>
      <c r="K2164" s="466">
        <f>SUM(K2165:K2169)</f>
        <v>525.52610000000004</v>
      </c>
      <c r="L2164" s="480"/>
      <c r="M2164" s="466">
        <f>SUM(M2165:M2169)</f>
        <v>522.08510000000001</v>
      </c>
      <c r="O2164" s="434" t="str">
        <f t="shared" si="1370"/>
        <v xml:space="preserve">SEM VALOR</v>
      </c>
      <c r="P2164" s="435" t="str">
        <f t="shared" si="1371"/>
        <v xml:space="preserve">SEM VALOR</v>
      </c>
      <c r="AE2164" s="460">
        <v>1264</v>
      </c>
      <c r="AF2164" s="460"/>
      <c r="AH2164">
        <f t="shared" si="1357"/>
        <v>1264</v>
      </c>
    </row>
    <row r="2165" ht="45" hidden="1">
      <c r="A2165" s="217"/>
      <c r="B2165" s="217">
        <v>1264</v>
      </c>
      <c r="C2165" s="217"/>
      <c r="D2165" s="217" t="s">
        <v>20408</v>
      </c>
      <c r="E2165" s="471" t="s">
        <v>20399</v>
      </c>
      <c r="F2165" s="489">
        <v>4433</v>
      </c>
      <c r="G2165" s="470" t="s">
        <v>21202</v>
      </c>
      <c r="H2165" s="499" t="s">
        <v>38</v>
      </c>
      <c r="I2165" s="483">
        <v>1</v>
      </c>
      <c r="J2165" s="473">
        <f t="shared" si="1365"/>
        <v>28.940000000000001</v>
      </c>
      <c r="K2165" s="474">
        <f t="shared" ref="K2165:K2169" si="1373">I2165*J2165</f>
        <v>28.940000000000001</v>
      </c>
      <c r="L2165" s="473">
        <f t="shared" si="1372"/>
        <v>28.940000000000001</v>
      </c>
      <c r="M2165" s="474">
        <f t="shared" ref="M2165:M2169" si="1374">L2165*I2165</f>
        <v>28.940000000000001</v>
      </c>
      <c r="O2165" s="434">
        <f t="shared" si="1370"/>
        <v>28.940000000000001</v>
      </c>
      <c r="P2165" s="435">
        <f t="shared" si="1371"/>
        <v>28.940000000000001</v>
      </c>
      <c r="AE2165" s="217"/>
      <c r="AF2165" s="217">
        <v>1264</v>
      </c>
      <c r="AH2165">
        <f t="shared" si="1357"/>
        <v>1264</v>
      </c>
    </row>
    <row r="2166" ht="45" hidden="1">
      <c r="A2166" s="217"/>
      <c r="B2166" s="217">
        <v>1264</v>
      </c>
      <c r="C2166" s="217"/>
      <c r="D2166" s="217" t="s">
        <v>20408</v>
      </c>
      <c r="E2166" s="471" t="s">
        <v>20402</v>
      </c>
      <c r="F2166" s="489">
        <v>4813</v>
      </c>
      <c r="G2166" s="470" t="s">
        <v>21753</v>
      </c>
      <c r="H2166" s="499" t="s">
        <v>15515</v>
      </c>
      <c r="I2166" s="483">
        <v>1</v>
      </c>
      <c r="J2166" s="473">
        <f t="shared" si="1365"/>
        <v>432</v>
      </c>
      <c r="K2166" s="474">
        <f t="shared" si="1373"/>
        <v>432</v>
      </c>
      <c r="L2166" s="473">
        <f t="shared" si="1372"/>
        <v>432</v>
      </c>
      <c r="M2166" s="474">
        <f t="shared" si="1374"/>
        <v>432</v>
      </c>
      <c r="O2166" s="434">
        <f t="shared" si="1370"/>
        <v>432</v>
      </c>
      <c r="P2166" s="435">
        <f t="shared" si="1371"/>
        <v>432</v>
      </c>
      <c r="AE2166" s="217"/>
      <c r="AF2166" s="217">
        <v>1264</v>
      </c>
      <c r="AH2166">
        <f t="shared" si="1357"/>
        <v>1264</v>
      </c>
    </row>
    <row r="2167" ht="105" hidden="1">
      <c r="A2167" s="217"/>
      <c r="B2167" s="217">
        <v>1264</v>
      </c>
      <c r="C2167" s="217"/>
      <c r="D2167" s="217" t="s">
        <v>17167</v>
      </c>
      <c r="E2167" s="471" t="s">
        <v>20405</v>
      </c>
      <c r="F2167" s="489">
        <v>73467</v>
      </c>
      <c r="G2167" s="470" t="s">
        <v>1601</v>
      </c>
      <c r="H2167" s="499" t="s">
        <v>1535</v>
      </c>
      <c r="I2167" s="483">
        <v>1.e-002</v>
      </c>
      <c r="J2167" s="473">
        <f t="shared" si="1365"/>
        <v>270.61000000000001</v>
      </c>
      <c r="K2167" s="474">
        <f t="shared" si="1373"/>
        <v>2.7061000000000002</v>
      </c>
      <c r="L2167" s="473">
        <f t="shared" si="1372"/>
        <v>269.00999999999999</v>
      </c>
      <c r="M2167" s="474">
        <f t="shared" si="1374"/>
        <v>2.6901000000000002</v>
      </c>
      <c r="O2167" s="434">
        <f t="shared" si="1370"/>
        <v>270.61000000000001</v>
      </c>
      <c r="P2167" s="435">
        <f t="shared" si="1371"/>
        <v>269.00999999999999</v>
      </c>
      <c r="AE2167" s="217"/>
      <c r="AF2167" s="217">
        <v>1264</v>
      </c>
      <c r="AH2167">
        <f t="shared" si="1357"/>
        <v>1264</v>
      </c>
    </row>
    <row r="2168" ht="30" hidden="1">
      <c r="A2168" s="217"/>
      <c r="B2168" s="217">
        <v>1264</v>
      </c>
      <c r="C2168" s="217"/>
      <c r="D2168" s="217" t="s">
        <v>17167</v>
      </c>
      <c r="E2168" s="471" t="s">
        <v>20409</v>
      </c>
      <c r="F2168" s="489">
        <v>88262</v>
      </c>
      <c r="G2168" s="470" t="s">
        <v>7127</v>
      </c>
      <c r="H2168" s="499" t="s">
        <v>2032</v>
      </c>
      <c r="I2168" s="483">
        <v>1</v>
      </c>
      <c r="J2168" s="473">
        <f t="shared" si="1365"/>
        <v>27.739999999999998</v>
      </c>
      <c r="K2168" s="474">
        <f t="shared" si="1373"/>
        <v>27.739999999999998</v>
      </c>
      <c r="L2168" s="473">
        <f t="shared" si="1372"/>
        <v>26.129999999999999</v>
      </c>
      <c r="M2168" s="474">
        <f t="shared" si="1374"/>
        <v>26.129999999999999</v>
      </c>
      <c r="O2168" s="434">
        <f t="shared" si="1370"/>
        <v>27.739999999999998</v>
      </c>
      <c r="P2168" s="435">
        <f t="shared" si="1371"/>
        <v>26.129999999999999</v>
      </c>
      <c r="AE2168" s="217"/>
      <c r="AF2168" s="217">
        <v>1264</v>
      </c>
      <c r="AH2168">
        <f t="shared" si="1357"/>
        <v>1264</v>
      </c>
    </row>
    <row r="2169" ht="30" hidden="1">
      <c r="A2169" s="217"/>
      <c r="B2169" s="217">
        <v>1264</v>
      </c>
      <c r="C2169" s="217"/>
      <c r="D2169" s="217" t="s">
        <v>17167</v>
      </c>
      <c r="E2169" s="471" t="s">
        <v>20663</v>
      </c>
      <c r="F2169" s="489">
        <v>88316</v>
      </c>
      <c r="G2169" s="470" t="s">
        <v>7393</v>
      </c>
      <c r="H2169" s="482" t="s">
        <v>2032</v>
      </c>
      <c r="I2169" s="483">
        <v>1.5</v>
      </c>
      <c r="J2169" s="473">
        <f t="shared" si="1365"/>
        <v>22.760000000000002</v>
      </c>
      <c r="K2169" s="474">
        <f t="shared" si="1373"/>
        <v>34.140000000000001</v>
      </c>
      <c r="L2169" s="473">
        <f t="shared" si="1372"/>
        <v>21.550000000000001</v>
      </c>
      <c r="M2169" s="474">
        <f t="shared" si="1374"/>
        <v>32.325000000000003</v>
      </c>
      <c r="O2169" s="434">
        <f t="shared" si="1370"/>
        <v>22.760000000000002</v>
      </c>
      <c r="P2169" s="435">
        <f t="shared" si="1371"/>
        <v>21.550000000000001</v>
      </c>
      <c r="AE2169" s="217"/>
      <c r="AF2169" s="217">
        <v>1264</v>
      </c>
      <c r="AH2169">
        <f t="shared" si="1357"/>
        <v>1264</v>
      </c>
    </row>
    <row r="2170" ht="54" customHeight="1">
      <c r="A2170" s="460">
        <v>1265</v>
      </c>
      <c r="B2170" s="460">
        <v>1265</v>
      </c>
      <c r="C2170" s="460"/>
      <c r="D2170" s="460"/>
      <c r="E2170" s="461">
        <v>1</v>
      </c>
      <c r="F2170" s="462" t="s">
        <v>20556</v>
      </c>
      <c r="G2170" s="477" t="s">
        <v>21754</v>
      </c>
      <c r="H2170" s="579" t="s">
        <v>15528</v>
      </c>
      <c r="I2170" s="479"/>
      <c r="J2170" s="480"/>
      <c r="K2170" s="466">
        <f>SUM(K2171:K2175)</f>
        <v>6.6399999999999997</v>
      </c>
      <c r="L2170" s="480"/>
      <c r="M2170" s="466">
        <f>SUM(M2171:M2175)</f>
        <v>6.5294898730000011</v>
      </c>
      <c r="N2170" s="467" t="s">
        <v>21755</v>
      </c>
      <c r="O2170" s="434" t="str">
        <f t="shared" si="1370"/>
        <v xml:space="preserve">SEM VALOR</v>
      </c>
      <c r="P2170" s="435" t="str">
        <f t="shared" si="1371"/>
        <v xml:space="preserve">SEM VALOR</v>
      </c>
      <c r="AE2170" s="460">
        <v>1265</v>
      </c>
      <c r="AF2170" s="460"/>
      <c r="AH2170">
        <f t="shared" si="1357"/>
        <v>1265</v>
      </c>
    </row>
    <row r="2171" ht="75">
      <c r="A2171" s="217"/>
      <c r="B2171" s="217">
        <v>1265</v>
      </c>
      <c r="C2171" s="217"/>
      <c r="D2171" s="217" t="s">
        <v>17167</v>
      </c>
      <c r="E2171" s="471" t="s">
        <v>20399</v>
      </c>
      <c r="F2171" s="489">
        <v>5932</v>
      </c>
      <c r="G2171" s="470" t="s">
        <v>1787</v>
      </c>
      <c r="H2171" s="499" t="s">
        <v>1535</v>
      </c>
      <c r="I2171" s="483">
        <v>1.0238000000000001e-002</v>
      </c>
      <c r="J2171" s="473">
        <f t="shared" si="1365"/>
        <v>294.49000000000001</v>
      </c>
      <c r="K2171" s="474">
        <f>TRUNC(I2171*J2171,2)</f>
        <v>3.0099999999999998</v>
      </c>
      <c r="L2171" s="473">
        <f t="shared" si="1372"/>
        <v>291.70999999999998</v>
      </c>
      <c r="M2171" s="474">
        <f t="shared" ref="M2171:M2175" si="1375">L2171*I2171</f>
        <v>2.9865269799999998</v>
      </c>
      <c r="O2171" s="434">
        <f t="shared" si="1370"/>
        <v>294.49000000000001</v>
      </c>
      <c r="P2171" s="435">
        <f t="shared" si="1371"/>
        <v>291.70999999999998</v>
      </c>
      <c r="AE2171" s="217"/>
      <c r="AF2171" s="217">
        <v>1265</v>
      </c>
      <c r="AH2171">
        <f t="shared" si="1357"/>
        <v>1265</v>
      </c>
    </row>
    <row r="2172" ht="75">
      <c r="A2172" s="217"/>
      <c r="B2172" s="217">
        <v>1265</v>
      </c>
      <c r="C2172" s="217"/>
      <c r="D2172" s="217" t="s">
        <v>17167</v>
      </c>
      <c r="E2172" s="471" t="s">
        <v>20402</v>
      </c>
      <c r="F2172" s="489">
        <v>5934</v>
      </c>
      <c r="G2172" s="470" t="s">
        <v>1786</v>
      </c>
      <c r="H2172" s="499" t="s">
        <v>1533</v>
      </c>
      <c r="I2172" s="483">
        <v>1.3571400000000001e-002</v>
      </c>
      <c r="J2172" s="473">
        <f t="shared" si="1365"/>
        <v>114.31</v>
      </c>
      <c r="K2172" s="474">
        <f>TRUNC(I2172*J2172,2)</f>
        <v>1.55</v>
      </c>
      <c r="L2172" s="473">
        <f t="shared" si="1372"/>
        <v>111.53</v>
      </c>
      <c r="M2172" s="474">
        <f t="shared" si="1375"/>
        <v>1.5136182420000002</v>
      </c>
      <c r="O2172" s="434">
        <f t="shared" si="1370"/>
        <v>114.31</v>
      </c>
      <c r="P2172" s="435">
        <f t="shared" si="1371"/>
        <v>111.53</v>
      </c>
      <c r="AE2172" s="217"/>
      <c r="AF2172" s="217">
        <v>1265</v>
      </c>
      <c r="AH2172">
        <f t="shared" si="1357"/>
        <v>1265</v>
      </c>
    </row>
    <row r="2173" ht="75">
      <c r="A2173" s="217"/>
      <c r="B2173" s="217">
        <v>1265</v>
      </c>
      <c r="C2173" s="217"/>
      <c r="D2173" s="217" t="s">
        <v>17167</v>
      </c>
      <c r="E2173" s="471" t="s">
        <v>20405</v>
      </c>
      <c r="F2173" s="489">
        <v>5940</v>
      </c>
      <c r="G2173" s="470" t="s">
        <v>1863</v>
      </c>
      <c r="H2173" s="499" t="s">
        <v>1535</v>
      </c>
      <c r="I2173" s="483">
        <v>4.7619000000000003e-003</v>
      </c>
      <c r="J2173" s="473">
        <f t="shared" si="1365"/>
        <v>171.97999999999999</v>
      </c>
      <c r="K2173" s="474">
        <f>TRUNC(I2173*J2173,2)</f>
        <v>0.81000000000000005</v>
      </c>
      <c r="L2173" s="473">
        <f t="shared" si="1372"/>
        <v>170.09</v>
      </c>
      <c r="M2173" s="474">
        <f t="shared" si="1375"/>
        <v>0.80995157100000004</v>
      </c>
      <c r="O2173" s="434">
        <f t="shared" si="1370"/>
        <v>171.97999999999999</v>
      </c>
      <c r="P2173" s="435">
        <f t="shared" si="1371"/>
        <v>170.09</v>
      </c>
      <c r="AE2173" s="217"/>
      <c r="AF2173" s="217">
        <v>1265</v>
      </c>
      <c r="AH2173">
        <f t="shared" si="1357"/>
        <v>1265</v>
      </c>
    </row>
    <row r="2174" ht="75">
      <c r="A2174" s="217"/>
      <c r="B2174" s="217">
        <v>1265</v>
      </c>
      <c r="C2174" s="217"/>
      <c r="D2174" s="217" t="s">
        <v>17167</v>
      </c>
      <c r="E2174" s="471" t="s">
        <v>20409</v>
      </c>
      <c r="F2174" s="489">
        <v>5942</v>
      </c>
      <c r="G2174" s="470" t="s">
        <v>1862</v>
      </c>
      <c r="H2174" s="499" t="s">
        <v>1533</v>
      </c>
      <c r="I2174" s="483">
        <v>2.6189999999999998e-003</v>
      </c>
      <c r="J2174" s="473">
        <f t="shared" si="1365"/>
        <v>75.659999999999997</v>
      </c>
      <c r="K2174" s="474">
        <f>TRUNC(I2174*J2174,2)</f>
        <v>0.19</v>
      </c>
      <c r="L2174" s="473">
        <f t="shared" si="1372"/>
        <v>73.769999999999996</v>
      </c>
      <c r="M2174" s="474">
        <f t="shared" si="1375"/>
        <v>0.19320362999999999</v>
      </c>
      <c r="O2174" s="434">
        <f t="shared" si="1370"/>
        <v>75.659999999999997</v>
      </c>
      <c r="P2174" s="435">
        <f t="shared" si="1371"/>
        <v>73.769999999999996</v>
      </c>
      <c r="AE2174" s="217"/>
      <c r="AF2174" s="217">
        <v>1265</v>
      </c>
      <c r="AH2174">
        <f t="shared" si="1357"/>
        <v>1265</v>
      </c>
    </row>
    <row r="2175" ht="30">
      <c r="A2175" s="217"/>
      <c r="B2175" s="217">
        <v>1265</v>
      </c>
      <c r="C2175" s="217"/>
      <c r="D2175" s="217" t="s">
        <v>17167</v>
      </c>
      <c r="E2175" s="471" t="s">
        <v>20663</v>
      </c>
      <c r="F2175" s="489">
        <v>88316</v>
      </c>
      <c r="G2175" s="470" t="s">
        <v>7393</v>
      </c>
      <c r="H2175" s="482" t="s">
        <v>2032</v>
      </c>
      <c r="I2175" s="483">
        <v>4.7619000000000002e-002</v>
      </c>
      <c r="J2175" s="473">
        <f t="shared" si="1365"/>
        <v>22.760000000000002</v>
      </c>
      <c r="K2175" s="474">
        <f>TRUNC(I2175*J2175,2)</f>
        <v>1.0800000000000001</v>
      </c>
      <c r="L2175" s="473">
        <f t="shared" si="1372"/>
        <v>21.550000000000001</v>
      </c>
      <c r="M2175" s="474">
        <f t="shared" si="1375"/>
        <v>1.0261894500000002</v>
      </c>
      <c r="O2175" s="434">
        <f t="shared" si="1370"/>
        <v>22.760000000000002</v>
      </c>
      <c r="P2175" s="435">
        <f t="shared" si="1371"/>
        <v>21.550000000000001</v>
      </c>
      <c r="AE2175" s="217"/>
      <c r="AF2175" s="217">
        <v>1265</v>
      </c>
      <c r="AH2175">
        <f t="shared" si="1357"/>
        <v>1265</v>
      </c>
    </row>
    <row r="2176" ht="94.5" hidden="1">
      <c r="A2176" s="460">
        <v>1266</v>
      </c>
      <c r="B2176" s="460">
        <v>1266</v>
      </c>
      <c r="C2176" s="460"/>
      <c r="D2176" s="460"/>
      <c r="E2176" s="461">
        <v>1</v>
      </c>
      <c r="F2176" s="462" t="s">
        <v>21756</v>
      </c>
      <c r="G2176" s="477" t="s">
        <v>21757</v>
      </c>
      <c r="H2176" s="579" t="s">
        <v>38</v>
      </c>
      <c r="I2176" s="479"/>
      <c r="J2176" s="480"/>
      <c r="K2176" s="466">
        <f>SUM(K2177:K2181)</f>
        <v>42.145065000000002</v>
      </c>
      <c r="L2176" s="480"/>
      <c r="M2176" s="466">
        <f>SUM(M2177:M2181)</f>
        <v>41.103969249999999</v>
      </c>
      <c r="N2176" s="467" t="s">
        <v>21758</v>
      </c>
      <c r="O2176" s="434" t="str">
        <f t="shared" si="1370"/>
        <v xml:space="preserve">SEM VALOR</v>
      </c>
      <c r="P2176" s="435" t="str">
        <f t="shared" si="1371"/>
        <v xml:space="preserve">SEM VALOR</v>
      </c>
      <c r="AE2176" s="460">
        <v>1266</v>
      </c>
      <c r="AF2176" s="460"/>
      <c r="AH2176">
        <f t="shared" si="1357"/>
        <v>1266</v>
      </c>
    </row>
    <row r="2177" ht="45" hidden="1">
      <c r="A2177" s="217"/>
      <c r="B2177" s="217">
        <v>1266</v>
      </c>
      <c r="C2177" s="217"/>
      <c r="D2177" s="217" t="s">
        <v>20398</v>
      </c>
      <c r="E2177" s="471" t="s">
        <v>20399</v>
      </c>
      <c r="F2177" s="482">
        <v>1259</v>
      </c>
      <c r="G2177" s="572" t="s">
        <v>20796</v>
      </c>
      <c r="H2177" s="499" t="s">
        <v>15528</v>
      </c>
      <c r="I2177" s="483">
        <v>4.6199999999999998e-002</v>
      </c>
      <c r="J2177" s="473">
        <f t="shared" si="1365"/>
        <v>45.520000000000003</v>
      </c>
      <c r="K2177" s="474">
        <f t="shared" ref="K2177:K2181" si="1376">I2177*J2177</f>
        <v>2.103024</v>
      </c>
      <c r="L2177" s="473">
        <f t="shared" si="1372"/>
        <v>43.100000000000001</v>
      </c>
      <c r="M2177" s="474">
        <f t="shared" ref="M2177:M2181" si="1377">L2177*I2177</f>
        <v>1.99122</v>
      </c>
      <c r="O2177" s="434">
        <f t="shared" si="1370"/>
        <v>45.520000000000003</v>
      </c>
      <c r="P2177" s="435">
        <f t="shared" si="1371"/>
        <v>43.100000000000001</v>
      </c>
      <c r="AE2177" s="217"/>
      <c r="AF2177" s="217">
        <v>1266</v>
      </c>
      <c r="AH2177">
        <f t="shared" si="1357"/>
        <v>1266</v>
      </c>
    </row>
    <row r="2178" ht="75" hidden="1">
      <c r="A2178" s="217"/>
      <c r="B2178" s="217">
        <v>1266</v>
      </c>
      <c r="C2178" s="217"/>
      <c r="D2178" s="217" t="s">
        <v>20398</v>
      </c>
      <c r="E2178" s="471" t="s">
        <v>20402</v>
      </c>
      <c r="F2178" s="482">
        <v>1267</v>
      </c>
      <c r="G2178" s="572" t="s">
        <v>20662</v>
      </c>
      <c r="H2178" s="499" t="s">
        <v>38</v>
      </c>
      <c r="I2178" s="483">
        <v>1</v>
      </c>
      <c r="J2178" s="473">
        <f t="shared" si="1365"/>
        <v>3.2499999999999996</v>
      </c>
      <c r="K2178" s="474">
        <f t="shared" si="1376"/>
        <v>3.2499999999999996</v>
      </c>
      <c r="L2178" s="473">
        <f t="shared" si="1372"/>
        <v>3.1657000000000002</v>
      </c>
      <c r="M2178" s="474">
        <f t="shared" si="1377"/>
        <v>3.1657000000000002</v>
      </c>
      <c r="O2178" s="434">
        <f t="shared" si="1370"/>
        <v>3.2499999999999996</v>
      </c>
      <c r="P2178" s="435">
        <f t="shared" si="1371"/>
        <v>3.1657000000000002</v>
      </c>
      <c r="AE2178" s="217"/>
      <c r="AF2178" s="217">
        <v>1266</v>
      </c>
      <c r="AH2178">
        <f t="shared" si="1357"/>
        <v>1266</v>
      </c>
    </row>
    <row r="2179" ht="45" hidden="1">
      <c r="A2179" s="217"/>
      <c r="B2179" s="217">
        <v>1266</v>
      </c>
      <c r="C2179" s="217"/>
      <c r="D2179" s="217" t="s">
        <v>17167</v>
      </c>
      <c r="E2179" s="471" t="s">
        <v>20405</v>
      </c>
      <c r="F2179" s="482">
        <v>102498</v>
      </c>
      <c r="G2179" s="470" t="s">
        <v>8369</v>
      </c>
      <c r="H2179" s="499" t="s">
        <v>15515</v>
      </c>
      <c r="I2179" s="483">
        <v>0.25</v>
      </c>
      <c r="J2179" s="473">
        <f t="shared" si="1365"/>
        <v>1.7</v>
      </c>
      <c r="K2179" s="474">
        <f t="shared" si="1376"/>
        <v>0.42499999999999999</v>
      </c>
      <c r="L2179" s="473">
        <f t="shared" si="1372"/>
        <v>1.6200000000000001</v>
      </c>
      <c r="M2179" s="474">
        <f t="shared" si="1377"/>
        <v>0.40500000000000003</v>
      </c>
      <c r="O2179" s="434">
        <f t="shared" si="1370"/>
        <v>1.7</v>
      </c>
      <c r="P2179" s="435">
        <f t="shared" si="1371"/>
        <v>1.6200000000000001</v>
      </c>
      <c r="AE2179" s="217"/>
      <c r="AF2179" s="217">
        <v>1266</v>
      </c>
      <c r="AH2179">
        <f t="shared" si="1357"/>
        <v>1266</v>
      </c>
    </row>
    <row r="2180" ht="45" hidden="1">
      <c r="A2180" s="217"/>
      <c r="B2180" s="217">
        <v>1266</v>
      </c>
      <c r="C2180" s="217"/>
      <c r="D2180" s="217" t="s">
        <v>20398</v>
      </c>
      <c r="E2180" s="471" t="s">
        <v>20409</v>
      </c>
      <c r="F2180" s="482">
        <v>1000</v>
      </c>
      <c r="G2180" s="470" t="s">
        <v>20651</v>
      </c>
      <c r="H2180" s="499" t="s">
        <v>15528</v>
      </c>
      <c r="I2180" s="483">
        <v>6.1499999999999999e-002</v>
      </c>
      <c r="J2180" s="473">
        <f t="shared" si="1365"/>
        <v>149.904</v>
      </c>
      <c r="K2180" s="474">
        <f t="shared" si="1376"/>
        <v>9.2190960000000004</v>
      </c>
      <c r="L2180" s="473">
        <f t="shared" si="1372"/>
        <v>141.76949999999999</v>
      </c>
      <c r="M2180" s="474">
        <f t="shared" si="1377"/>
        <v>8.7188242499999991</v>
      </c>
      <c r="O2180" s="434">
        <f t="shared" si="1370"/>
        <v>149.904</v>
      </c>
      <c r="P2180" s="435">
        <f t="shared" si="1371"/>
        <v>141.76949999999999</v>
      </c>
      <c r="AE2180" s="217"/>
      <c r="AF2180" s="217">
        <v>1266</v>
      </c>
      <c r="AH2180">
        <f t="shared" si="1357"/>
        <v>1266</v>
      </c>
    </row>
    <row r="2181" ht="60" hidden="1">
      <c r="A2181" s="217"/>
      <c r="B2181" s="217">
        <v>1266</v>
      </c>
      <c r="C2181" s="217"/>
      <c r="D2181" s="217" t="s">
        <v>17167</v>
      </c>
      <c r="E2181" s="471" t="s">
        <v>20663</v>
      </c>
      <c r="F2181" s="482">
        <v>94963</v>
      </c>
      <c r="G2181" s="470" t="s">
        <v>20911</v>
      </c>
      <c r="H2181" s="482" t="s">
        <v>15528</v>
      </c>
      <c r="I2181" s="483">
        <v>6.1499999999999999e-002</v>
      </c>
      <c r="J2181" s="473">
        <f t="shared" si="1365"/>
        <v>441.43000000000001</v>
      </c>
      <c r="K2181" s="474">
        <f t="shared" si="1376"/>
        <v>27.147945</v>
      </c>
      <c r="L2181" s="473">
        <f t="shared" si="1372"/>
        <v>436.14999999999998</v>
      </c>
      <c r="M2181" s="474">
        <f t="shared" si="1377"/>
        <v>26.823224999999997</v>
      </c>
      <c r="O2181" s="434">
        <f t="shared" si="1370"/>
        <v>441.43000000000001</v>
      </c>
      <c r="P2181" s="435">
        <f t="shared" si="1371"/>
        <v>436.14999999999998</v>
      </c>
      <c r="AE2181" s="217"/>
      <c r="AF2181" s="217">
        <v>1266</v>
      </c>
      <c r="AH2181">
        <f t="shared" si="1357"/>
        <v>1266</v>
      </c>
    </row>
    <row r="2182" ht="84.75" customHeight="1">
      <c r="A2182" s="460">
        <v>1267</v>
      </c>
      <c r="B2182" s="460">
        <v>1267</v>
      </c>
      <c r="C2182" s="460"/>
      <c r="D2182" s="460"/>
      <c r="E2182" s="461">
        <v>1</v>
      </c>
      <c r="F2182" s="462" t="s">
        <v>20541</v>
      </c>
      <c r="G2182" s="477" t="s">
        <v>20662</v>
      </c>
      <c r="H2182" s="579" t="s">
        <v>38</v>
      </c>
      <c r="I2182" s="479"/>
      <c r="J2182" s="480"/>
      <c r="K2182" s="466">
        <f>SUM(K2183:K2185)</f>
        <v>3.2499999999999996</v>
      </c>
      <c r="L2182" s="480"/>
      <c r="M2182" s="466">
        <f>SUM(M2183:M2185)</f>
        <v>3.1657000000000002</v>
      </c>
      <c r="N2182" s="467" t="s">
        <v>21759</v>
      </c>
      <c r="O2182" s="434" t="str">
        <f t="shared" si="1370"/>
        <v xml:space="preserve">SEM VALOR</v>
      </c>
      <c r="P2182" s="435" t="str">
        <f t="shared" si="1371"/>
        <v xml:space="preserve">SEM VALOR</v>
      </c>
      <c r="AE2182" s="460">
        <v>1267</v>
      </c>
      <c r="AF2182" s="460"/>
      <c r="AH2182">
        <f t="shared" si="1357"/>
        <v>1267</v>
      </c>
    </row>
    <row r="2183" ht="60">
      <c r="A2183" s="217"/>
      <c r="B2183" s="217">
        <v>1267</v>
      </c>
      <c r="C2183" s="217"/>
      <c r="D2183" s="217" t="s">
        <v>20408</v>
      </c>
      <c r="E2183" s="471" t="s">
        <v>20399</v>
      </c>
      <c r="F2183" s="489">
        <v>13887</v>
      </c>
      <c r="G2183" s="470" t="s">
        <v>21440</v>
      </c>
      <c r="H2183" s="482" t="s">
        <v>31</v>
      </c>
      <c r="I2183" s="483">
        <v>2.e-003</v>
      </c>
      <c r="J2183" s="473">
        <f t="shared" si="1365"/>
        <v>257.33999999999997</v>
      </c>
      <c r="K2183" s="474">
        <f>TRUNC(I2183*J2183,2)</f>
        <v>0.51000000000000001</v>
      </c>
      <c r="L2183" s="473">
        <f t="shared" si="1372"/>
        <v>257.33999999999997</v>
      </c>
      <c r="M2183" s="474">
        <f t="shared" ref="M2183:M2185" si="1378">L2183*I2183</f>
        <v>0.51467999999999992</v>
      </c>
      <c r="O2183" s="434">
        <f t="shared" si="1370"/>
        <v>257.33999999999997</v>
      </c>
      <c r="P2183" s="435">
        <f t="shared" si="1371"/>
        <v>257.33999999999997</v>
      </c>
      <c r="AE2183" s="217"/>
      <c r="AF2183" s="217">
        <v>1267</v>
      </c>
      <c r="AH2183">
        <f t="shared" ref="AH2183:AH2246" si="1379">IF(AF2183:AF2184=FALSE,AE2183,AF2183)</f>
        <v>1267</v>
      </c>
    </row>
    <row r="2184" ht="30">
      <c r="A2184" s="217"/>
      <c r="B2184" s="217">
        <v>1267</v>
      </c>
      <c r="C2184" s="217"/>
      <c r="D2184" s="217" t="s">
        <v>17167</v>
      </c>
      <c r="E2184" s="471" t="s">
        <v>20402</v>
      </c>
      <c r="F2184" s="489">
        <v>88316</v>
      </c>
      <c r="G2184" s="470" t="s">
        <v>7393</v>
      </c>
      <c r="H2184" s="482" t="s">
        <v>2032</v>
      </c>
      <c r="I2184" s="483">
        <v>8.3000000000000004e-002</v>
      </c>
      <c r="J2184" s="473">
        <f t="shared" si="1365"/>
        <v>22.760000000000002</v>
      </c>
      <c r="K2184" s="474">
        <f>TRUNC(I2184*J2184,2)</f>
        <v>1.8799999999999999</v>
      </c>
      <c r="L2184" s="473">
        <f t="shared" si="1372"/>
        <v>21.550000000000001</v>
      </c>
      <c r="M2184" s="474">
        <f t="shared" si="1378"/>
        <v>1.7886500000000001</v>
      </c>
      <c r="O2184" s="434">
        <f t="shared" si="1370"/>
        <v>22.760000000000002</v>
      </c>
      <c r="P2184" s="435">
        <f t="shared" si="1371"/>
        <v>21.550000000000001</v>
      </c>
      <c r="AE2184" s="217"/>
      <c r="AF2184" s="217">
        <v>1267</v>
      </c>
      <c r="AH2184">
        <f t="shared" si="1379"/>
        <v>1267</v>
      </c>
    </row>
    <row r="2185" ht="105">
      <c r="A2185" s="217"/>
      <c r="B2185" s="217">
        <v>1267</v>
      </c>
      <c r="C2185" s="217"/>
      <c r="D2185" s="217" t="s">
        <v>17167</v>
      </c>
      <c r="E2185" s="471" t="s">
        <v>20405</v>
      </c>
      <c r="F2185" s="489">
        <v>91283</v>
      </c>
      <c r="G2185" s="488" t="s">
        <v>1653</v>
      </c>
      <c r="H2185" s="482" t="s">
        <v>1535</v>
      </c>
      <c r="I2185" s="483">
        <v>8.3000000000000004e-002</v>
      </c>
      <c r="J2185" s="473">
        <f t="shared" si="1365"/>
        <v>10.390000000000001</v>
      </c>
      <c r="K2185" s="474">
        <f>TRUNC(I2185*J2185,2)</f>
        <v>0.85999999999999999</v>
      </c>
      <c r="L2185" s="473">
        <f t="shared" si="1372"/>
        <v>10.390000000000001</v>
      </c>
      <c r="M2185" s="474">
        <f t="shared" si="1378"/>
        <v>0.86237000000000008</v>
      </c>
      <c r="O2185" s="434">
        <f t="shared" si="1370"/>
        <v>10.390000000000001</v>
      </c>
      <c r="P2185" s="435">
        <f t="shared" si="1371"/>
        <v>10.390000000000001</v>
      </c>
      <c r="AE2185" s="217"/>
      <c r="AF2185" s="217">
        <v>1267</v>
      </c>
      <c r="AH2185">
        <f t="shared" si="1379"/>
        <v>1267</v>
      </c>
    </row>
    <row r="2186" ht="79.5" hidden="1" customHeight="1">
      <c r="A2186" s="460">
        <v>1268</v>
      </c>
      <c r="B2186" s="460">
        <v>1268</v>
      </c>
      <c r="C2186" s="460"/>
      <c r="D2186" s="460"/>
      <c r="E2186" s="461">
        <v>1</v>
      </c>
      <c r="F2186" s="462" t="s">
        <v>21760</v>
      </c>
      <c r="G2186" s="477" t="s">
        <v>21271</v>
      </c>
      <c r="H2186" s="579" t="s">
        <v>38</v>
      </c>
      <c r="I2186" s="479"/>
      <c r="J2186" s="480"/>
      <c r="K2186" s="466">
        <f>SUM(K2187:K2190)</f>
        <v>24.266182000000001</v>
      </c>
      <c r="L2186" s="480"/>
      <c r="M2186" s="466">
        <f>SUM(M2187:M2190)</f>
        <v>23.659343499999999</v>
      </c>
      <c r="N2186" s="467" t="s">
        <v>21761</v>
      </c>
      <c r="O2186" s="434" t="str">
        <f t="shared" si="1370"/>
        <v xml:space="preserve">SEM VALOR</v>
      </c>
      <c r="P2186" s="435" t="str">
        <f t="shared" si="1371"/>
        <v xml:space="preserve">SEM VALOR</v>
      </c>
      <c r="AE2186" s="460">
        <v>1268</v>
      </c>
      <c r="AF2186" s="460"/>
      <c r="AH2186">
        <f t="shared" si="1379"/>
        <v>1268</v>
      </c>
    </row>
    <row r="2187" ht="45" hidden="1">
      <c r="A2187" s="217"/>
      <c r="B2187" s="217">
        <v>1268</v>
      </c>
      <c r="C2187" s="217"/>
      <c r="D2187" s="217" t="s">
        <v>20398</v>
      </c>
      <c r="E2187" s="471" t="s">
        <v>20399</v>
      </c>
      <c r="F2187" s="482">
        <v>1259</v>
      </c>
      <c r="G2187" s="572" t="s">
        <v>20796</v>
      </c>
      <c r="H2187" s="499" t="s">
        <v>15528</v>
      </c>
      <c r="I2187" s="483">
        <v>3.3000000000000002e-002</v>
      </c>
      <c r="J2187" s="473">
        <f t="shared" si="1365"/>
        <v>45.520000000000003</v>
      </c>
      <c r="K2187" s="474">
        <f t="shared" ref="K2187:K2190" si="1380">I2187*J2187</f>
        <v>1.5021600000000002</v>
      </c>
      <c r="L2187" s="473">
        <f t="shared" si="1372"/>
        <v>43.100000000000001</v>
      </c>
      <c r="M2187" s="474">
        <f t="shared" ref="M2187:M2190" si="1381">L2187*I2187</f>
        <v>1.4223000000000001</v>
      </c>
      <c r="O2187" s="434">
        <f t="shared" si="1370"/>
        <v>45.520000000000003</v>
      </c>
      <c r="P2187" s="435">
        <f t="shared" si="1371"/>
        <v>43.100000000000001</v>
      </c>
      <c r="AE2187" s="217"/>
      <c r="AF2187" s="217">
        <v>1268</v>
      </c>
      <c r="AH2187">
        <f t="shared" si="1379"/>
        <v>1268</v>
      </c>
    </row>
    <row r="2188" ht="75" hidden="1">
      <c r="A2188" s="217"/>
      <c r="B2188" s="217">
        <v>1268</v>
      </c>
      <c r="C2188" s="217"/>
      <c r="D2188" s="217" t="s">
        <v>20398</v>
      </c>
      <c r="E2188" s="471" t="s">
        <v>20402</v>
      </c>
      <c r="F2188" s="482">
        <v>1267</v>
      </c>
      <c r="G2188" s="572" t="s">
        <v>20662</v>
      </c>
      <c r="H2188" s="499" t="s">
        <v>38</v>
      </c>
      <c r="I2188" s="483">
        <v>1</v>
      </c>
      <c r="J2188" s="473">
        <f t="shared" si="1365"/>
        <v>3.2499999999999996</v>
      </c>
      <c r="K2188" s="474">
        <f t="shared" si="1380"/>
        <v>3.2499999999999996</v>
      </c>
      <c r="L2188" s="473">
        <f t="shared" si="1372"/>
        <v>3.1657000000000002</v>
      </c>
      <c r="M2188" s="474">
        <f t="shared" si="1381"/>
        <v>3.1657000000000002</v>
      </c>
      <c r="O2188" s="434">
        <f t="shared" si="1370"/>
        <v>3.2499999999999996</v>
      </c>
      <c r="P2188" s="435">
        <f t="shared" si="1371"/>
        <v>3.1657000000000002</v>
      </c>
      <c r="AE2188" s="217"/>
      <c r="AF2188" s="217">
        <v>1268</v>
      </c>
      <c r="AH2188">
        <f t="shared" si="1379"/>
        <v>1268</v>
      </c>
    </row>
    <row r="2189" ht="45" hidden="1">
      <c r="A2189" s="217"/>
      <c r="B2189" s="217">
        <v>1268</v>
      </c>
      <c r="C2189" s="217"/>
      <c r="D2189" s="217" t="s">
        <v>20398</v>
      </c>
      <c r="E2189" s="471" t="s">
        <v>20405</v>
      </c>
      <c r="F2189" s="482">
        <v>1000</v>
      </c>
      <c r="G2189" s="470" t="s">
        <v>20651</v>
      </c>
      <c r="H2189" s="499" t="s">
        <v>15528</v>
      </c>
      <c r="I2189" s="483">
        <v>3.3000000000000002e-002</v>
      </c>
      <c r="J2189" s="473">
        <f t="shared" si="1365"/>
        <v>149.904</v>
      </c>
      <c r="K2189" s="474">
        <f t="shared" si="1380"/>
        <v>4.9468319999999997</v>
      </c>
      <c r="L2189" s="473">
        <f t="shared" si="1372"/>
        <v>141.76949999999999</v>
      </c>
      <c r="M2189" s="474">
        <f t="shared" si="1381"/>
        <v>4.6783935000000003</v>
      </c>
      <c r="O2189" s="434">
        <f t="shared" si="1370"/>
        <v>149.904</v>
      </c>
      <c r="P2189" s="435">
        <f t="shared" si="1371"/>
        <v>141.76949999999999</v>
      </c>
      <c r="AE2189" s="217"/>
      <c r="AF2189" s="217">
        <v>1268</v>
      </c>
      <c r="AH2189">
        <f t="shared" si="1379"/>
        <v>1268</v>
      </c>
    </row>
    <row r="2190" ht="60" hidden="1">
      <c r="A2190" s="217"/>
      <c r="B2190" s="217">
        <v>1268</v>
      </c>
      <c r="C2190" s="217"/>
      <c r="D2190" s="217" t="s">
        <v>17167</v>
      </c>
      <c r="E2190" s="471" t="s">
        <v>20409</v>
      </c>
      <c r="F2190" s="482">
        <v>94963</v>
      </c>
      <c r="G2190" s="470" t="s">
        <v>20911</v>
      </c>
      <c r="H2190" s="482" t="s">
        <v>15528</v>
      </c>
      <c r="I2190" s="483">
        <v>3.3000000000000002e-002</v>
      </c>
      <c r="J2190" s="473">
        <f t="shared" si="1365"/>
        <v>441.43000000000001</v>
      </c>
      <c r="K2190" s="474">
        <f t="shared" si="1380"/>
        <v>14.56719</v>
      </c>
      <c r="L2190" s="473">
        <f t="shared" si="1372"/>
        <v>436.14999999999998</v>
      </c>
      <c r="M2190" s="474">
        <f t="shared" si="1381"/>
        <v>14.392950000000001</v>
      </c>
      <c r="O2190" s="434">
        <f t="shared" si="1370"/>
        <v>441.43000000000001</v>
      </c>
      <c r="P2190" s="435">
        <f t="shared" si="1371"/>
        <v>436.14999999999998</v>
      </c>
      <c r="AE2190" s="217"/>
      <c r="AF2190" s="217">
        <v>1268</v>
      </c>
      <c r="AH2190">
        <f t="shared" si="1379"/>
        <v>1268</v>
      </c>
    </row>
    <row r="2191" ht="85.5" hidden="1" customHeight="1">
      <c r="A2191" s="460">
        <v>1269</v>
      </c>
      <c r="B2191" s="460">
        <v>1269</v>
      </c>
      <c r="C2191" s="460"/>
      <c r="D2191" s="460"/>
      <c r="E2191" s="461">
        <v>1</v>
      </c>
      <c r="F2191" s="462" t="s">
        <v>21762</v>
      </c>
      <c r="G2191" s="477" t="s">
        <v>21763</v>
      </c>
      <c r="H2191" s="579" t="s">
        <v>15528</v>
      </c>
      <c r="I2191" s="479"/>
      <c r="J2191" s="480"/>
      <c r="K2191" s="466">
        <f>SUM(K2192:K2205)</f>
        <v>22.68796</v>
      </c>
      <c r="L2191" s="480"/>
      <c r="M2191" s="466">
        <f>SUM(M2192:M2205)</f>
        <v>22.405517999999997</v>
      </c>
      <c r="O2191" s="434" t="str">
        <f t="shared" si="1370"/>
        <v xml:space="preserve">SEM VALOR</v>
      </c>
      <c r="P2191" s="435" t="str">
        <f t="shared" si="1371"/>
        <v xml:space="preserve">SEM VALOR</v>
      </c>
      <c r="AE2191" s="460">
        <v>1269</v>
      </c>
      <c r="AF2191" s="460"/>
      <c r="AH2191">
        <f t="shared" si="1379"/>
        <v>1269</v>
      </c>
    </row>
    <row r="2192" ht="60" hidden="1">
      <c r="A2192" s="217"/>
      <c r="B2192" s="217">
        <v>1269</v>
      </c>
      <c r="C2192" s="217"/>
      <c r="D2192" s="217" t="s">
        <v>17167</v>
      </c>
      <c r="E2192" s="471" t="s">
        <v>20399</v>
      </c>
      <c r="F2192" s="482">
        <v>5921</v>
      </c>
      <c r="G2192" s="572" t="s">
        <v>1699</v>
      </c>
      <c r="H2192" s="499" t="s">
        <v>15410</v>
      </c>
      <c r="I2192" s="483">
        <v>1.1599999999999999e-002</v>
      </c>
      <c r="J2192" s="473">
        <f t="shared" si="1365"/>
        <v>5.0199999999999996</v>
      </c>
      <c r="K2192" s="474">
        <f t="shared" ref="K2192:K2205" si="1382">I2192*J2192</f>
        <v>5.8231999999999992e-002</v>
      </c>
      <c r="L2192" s="473">
        <f t="shared" si="1372"/>
        <v>5.0199999999999996</v>
      </c>
      <c r="M2192" s="474">
        <f t="shared" ref="M2192:M2205" si="1383">L2192*I2192</f>
        <v>5.8231999999999992e-002</v>
      </c>
      <c r="O2192" s="434">
        <f t="shared" si="1370"/>
        <v>5.0199999999999996</v>
      </c>
      <c r="P2192" s="435">
        <f t="shared" si="1371"/>
        <v>5.0199999999999996</v>
      </c>
      <c r="AE2192" s="217"/>
      <c r="AF2192" s="217">
        <v>1269</v>
      </c>
      <c r="AH2192">
        <f t="shared" si="1379"/>
        <v>1269</v>
      </c>
    </row>
    <row r="2193" ht="45" hidden="1">
      <c r="A2193" s="217"/>
      <c r="B2193" s="217">
        <v>1269</v>
      </c>
      <c r="C2193" s="217"/>
      <c r="D2193" s="217" t="s">
        <v>17167</v>
      </c>
      <c r="E2193" s="471" t="s">
        <v>20402</v>
      </c>
      <c r="F2193" s="482">
        <v>5923</v>
      </c>
      <c r="G2193" s="572" t="s">
        <v>1698</v>
      </c>
      <c r="H2193" s="499" t="s">
        <v>15414</v>
      </c>
      <c r="I2193" s="483">
        <v>8.3999999999999995e-003</v>
      </c>
      <c r="J2193" s="473">
        <f t="shared" si="1365"/>
        <v>3.25</v>
      </c>
      <c r="K2193" s="474">
        <f t="shared" si="1382"/>
        <v>2.7299999999999998e-002</v>
      </c>
      <c r="L2193" s="473">
        <f t="shared" si="1372"/>
        <v>3.25</v>
      </c>
      <c r="M2193" s="474">
        <f t="shared" si="1383"/>
        <v>2.7299999999999998e-002</v>
      </c>
      <c r="O2193" s="434">
        <f t="shared" si="1370"/>
        <v>3.25</v>
      </c>
      <c r="P2193" s="435">
        <f t="shared" si="1371"/>
        <v>3.25</v>
      </c>
      <c r="AE2193" s="217"/>
      <c r="AF2193" s="217">
        <v>1269</v>
      </c>
      <c r="AH2193">
        <f t="shared" si="1379"/>
        <v>1269</v>
      </c>
    </row>
    <row r="2194" ht="75" hidden="1">
      <c r="A2194" s="217"/>
      <c r="B2194" s="217">
        <v>1269</v>
      </c>
      <c r="C2194" s="217"/>
      <c r="D2194" s="217" t="s">
        <v>17167</v>
      </c>
      <c r="E2194" s="471" t="s">
        <v>20405</v>
      </c>
      <c r="F2194" s="482">
        <v>5932</v>
      </c>
      <c r="G2194" s="572" t="s">
        <v>1787</v>
      </c>
      <c r="H2194" s="499" t="s">
        <v>15410</v>
      </c>
      <c r="I2194" s="483">
        <v>1.6e-002</v>
      </c>
      <c r="J2194" s="473">
        <f t="shared" si="1365"/>
        <v>294.49000000000001</v>
      </c>
      <c r="K2194" s="474">
        <f t="shared" si="1382"/>
        <v>4.7118400000000005</v>
      </c>
      <c r="L2194" s="473">
        <f t="shared" si="1372"/>
        <v>291.70999999999998</v>
      </c>
      <c r="M2194" s="474">
        <f t="shared" si="1383"/>
        <v>4.6673599999999995</v>
      </c>
      <c r="O2194" s="434">
        <f t="shared" si="1370"/>
        <v>294.49000000000001</v>
      </c>
      <c r="P2194" s="435">
        <f t="shared" si="1371"/>
        <v>291.70999999999998</v>
      </c>
      <c r="AE2194" s="217"/>
      <c r="AF2194" s="217">
        <v>1269</v>
      </c>
      <c r="AH2194">
        <f t="shared" si="1379"/>
        <v>1269</v>
      </c>
    </row>
    <row r="2195" ht="75" hidden="1">
      <c r="A2195" s="217"/>
      <c r="B2195" s="217">
        <v>1269</v>
      </c>
      <c r="C2195" s="217"/>
      <c r="D2195" s="217" t="s">
        <v>17167</v>
      </c>
      <c r="E2195" s="471" t="s">
        <v>20409</v>
      </c>
      <c r="F2195" s="482">
        <v>5934</v>
      </c>
      <c r="G2195" s="572" t="s">
        <v>1786</v>
      </c>
      <c r="H2195" s="499" t="s">
        <v>15414</v>
      </c>
      <c r="I2195" s="483">
        <v>4.0000000000000001e-003</v>
      </c>
      <c r="J2195" s="473">
        <f t="shared" si="1365"/>
        <v>114.31</v>
      </c>
      <c r="K2195" s="474">
        <f t="shared" si="1382"/>
        <v>0.45724000000000004</v>
      </c>
      <c r="L2195" s="473">
        <f t="shared" si="1372"/>
        <v>111.53</v>
      </c>
      <c r="M2195" s="474">
        <f t="shared" si="1383"/>
        <v>0.44612000000000002</v>
      </c>
      <c r="O2195" s="434">
        <f t="shared" si="1370"/>
        <v>114.31</v>
      </c>
      <c r="P2195" s="435">
        <f t="shared" si="1371"/>
        <v>111.53</v>
      </c>
      <c r="AE2195" s="217"/>
      <c r="AF2195" s="217">
        <v>1269</v>
      </c>
      <c r="AH2195">
        <f t="shared" si="1379"/>
        <v>1269</v>
      </c>
    </row>
    <row r="2196" ht="75" hidden="1">
      <c r="A2196" s="217"/>
      <c r="B2196" s="217">
        <v>1269</v>
      </c>
      <c r="C2196" s="217"/>
      <c r="D2196" s="217" t="s">
        <v>17167</v>
      </c>
      <c r="E2196" s="471" t="s">
        <v>20663</v>
      </c>
      <c r="F2196" s="482">
        <v>5940</v>
      </c>
      <c r="G2196" s="572" t="s">
        <v>1863</v>
      </c>
      <c r="H2196" s="499" t="s">
        <v>15410</v>
      </c>
      <c r="I2196" s="483">
        <v>1.6e-002</v>
      </c>
      <c r="J2196" s="473">
        <f t="shared" si="1365"/>
        <v>171.97999999999999</v>
      </c>
      <c r="K2196" s="474">
        <f t="shared" si="1382"/>
        <v>2.7516799999999999</v>
      </c>
      <c r="L2196" s="473">
        <f t="shared" si="1372"/>
        <v>170.09</v>
      </c>
      <c r="M2196" s="474">
        <f t="shared" si="1383"/>
        <v>2.7214400000000003</v>
      </c>
      <c r="O2196" s="434">
        <f t="shared" si="1370"/>
        <v>171.97999999999999</v>
      </c>
      <c r="P2196" s="435">
        <f t="shared" si="1371"/>
        <v>170.09</v>
      </c>
      <c r="AE2196" s="217"/>
      <c r="AF2196" s="217">
        <v>1269</v>
      </c>
      <c r="AH2196">
        <f t="shared" si="1379"/>
        <v>1269</v>
      </c>
    </row>
    <row r="2197" ht="75" hidden="1">
      <c r="A2197" s="217"/>
      <c r="B2197" s="217">
        <v>1269</v>
      </c>
      <c r="C2197" s="217"/>
      <c r="D2197" s="217" t="s">
        <v>17167</v>
      </c>
      <c r="E2197" s="471" t="s">
        <v>20665</v>
      </c>
      <c r="F2197" s="482">
        <v>5942</v>
      </c>
      <c r="G2197" s="572" t="s">
        <v>1862</v>
      </c>
      <c r="H2197" s="499" t="s">
        <v>15414</v>
      </c>
      <c r="I2197" s="483">
        <v>1.18e-002</v>
      </c>
      <c r="J2197" s="473">
        <f t="shared" si="1365"/>
        <v>75.659999999999997</v>
      </c>
      <c r="K2197" s="474">
        <f t="shared" si="1382"/>
        <v>0.89278799999999991</v>
      </c>
      <c r="L2197" s="473">
        <f t="shared" si="1372"/>
        <v>73.769999999999996</v>
      </c>
      <c r="M2197" s="474">
        <f t="shared" si="1383"/>
        <v>0.87048599999999998</v>
      </c>
      <c r="O2197" s="434">
        <f t="shared" si="1370"/>
        <v>75.659999999999997</v>
      </c>
      <c r="P2197" s="435">
        <f t="shared" si="1371"/>
        <v>73.769999999999996</v>
      </c>
      <c r="AE2197" s="217"/>
      <c r="AF2197" s="217">
        <v>1269</v>
      </c>
      <c r="AH2197">
        <f t="shared" si="1379"/>
        <v>1269</v>
      </c>
    </row>
    <row r="2198" ht="90" hidden="1">
      <c r="A2198" s="217"/>
      <c r="B2198" s="217">
        <v>1269</v>
      </c>
      <c r="C2198" s="217"/>
      <c r="D2198" s="217" t="s">
        <v>17167</v>
      </c>
      <c r="E2198" s="471" t="s">
        <v>20667</v>
      </c>
      <c r="F2198" s="482">
        <v>6259</v>
      </c>
      <c r="G2198" s="572" t="s">
        <v>1597</v>
      </c>
      <c r="H2198" s="499" t="s">
        <v>15410</v>
      </c>
      <c r="I2198" s="483">
        <v>2.e-002</v>
      </c>
      <c r="J2198" s="473">
        <f t="shared" si="1365"/>
        <v>278.72000000000003</v>
      </c>
      <c r="K2198" s="474">
        <f t="shared" si="1382"/>
        <v>5.5744000000000007</v>
      </c>
      <c r="L2198" s="473">
        <f t="shared" si="1372"/>
        <v>277.12</v>
      </c>
      <c r="M2198" s="474">
        <f t="shared" si="1383"/>
        <v>5.5423999999999998</v>
      </c>
      <c r="O2198" s="434">
        <f t="shared" si="1370"/>
        <v>278.72000000000003</v>
      </c>
      <c r="P2198" s="435">
        <f t="shared" si="1371"/>
        <v>277.12</v>
      </c>
      <c r="AE2198" s="217"/>
      <c r="AF2198" s="217">
        <v>1269</v>
      </c>
      <c r="AH2198">
        <f t="shared" si="1379"/>
        <v>1269</v>
      </c>
    </row>
    <row r="2199" ht="90" hidden="1">
      <c r="A2199" s="217"/>
      <c r="B2199" s="217">
        <v>1269</v>
      </c>
      <c r="C2199" s="217"/>
      <c r="D2199" s="217" t="s">
        <v>17167</v>
      </c>
      <c r="E2199" s="471" t="s">
        <v>20671</v>
      </c>
      <c r="F2199" s="482">
        <v>6879</v>
      </c>
      <c r="G2199" s="572" t="s">
        <v>1877</v>
      </c>
      <c r="H2199" s="499" t="s">
        <v>15410</v>
      </c>
      <c r="I2199" s="483">
        <v>8.2000000000000007e-003</v>
      </c>
      <c r="J2199" s="473">
        <f t="shared" si="1365"/>
        <v>212.56</v>
      </c>
      <c r="K2199" s="474">
        <f t="shared" si="1382"/>
        <v>1.7429920000000001</v>
      </c>
      <c r="L2199" s="473">
        <f t="shared" si="1372"/>
        <v>210.86000000000001</v>
      </c>
      <c r="M2199" s="474">
        <f t="shared" si="1383"/>
        <v>1.7290520000000003</v>
      </c>
      <c r="O2199" s="434">
        <f t="shared" si="1370"/>
        <v>212.56</v>
      </c>
      <c r="P2199" s="435">
        <f t="shared" si="1371"/>
        <v>210.86000000000001</v>
      </c>
      <c r="AE2199" s="217"/>
      <c r="AF2199" s="217">
        <v>1269</v>
      </c>
      <c r="AH2199">
        <f t="shared" si="1379"/>
        <v>1269</v>
      </c>
    </row>
    <row r="2200" ht="90" hidden="1">
      <c r="A2200" s="217"/>
      <c r="B2200" s="217">
        <v>1269</v>
      </c>
      <c r="C2200" s="217"/>
      <c r="D2200" s="217" t="s">
        <v>17167</v>
      </c>
      <c r="E2200" s="471" t="s">
        <v>20672</v>
      </c>
      <c r="F2200" s="482">
        <v>6880</v>
      </c>
      <c r="G2200" s="572" t="s">
        <v>1876</v>
      </c>
      <c r="H2200" s="499" t="s">
        <v>15414</v>
      </c>
      <c r="I2200" s="483">
        <v>1.18e-002</v>
      </c>
      <c r="J2200" s="473">
        <f t="shared" si="1365"/>
        <v>84.219999999999999</v>
      </c>
      <c r="K2200" s="474">
        <f t="shared" si="1382"/>
        <v>0.99379600000000001</v>
      </c>
      <c r="L2200" s="473">
        <f t="shared" si="1372"/>
        <v>82.519999999999996</v>
      </c>
      <c r="M2200" s="474">
        <f t="shared" si="1383"/>
        <v>0.97373599999999993</v>
      </c>
      <c r="O2200" s="434">
        <f t="shared" si="1370"/>
        <v>84.219999999999999</v>
      </c>
      <c r="P2200" s="435">
        <f t="shared" si="1371"/>
        <v>82.519999999999996</v>
      </c>
      <c r="AE2200" s="217"/>
      <c r="AF2200" s="217">
        <v>1269</v>
      </c>
      <c r="AH2200">
        <f t="shared" si="1379"/>
        <v>1269</v>
      </c>
    </row>
    <row r="2201" ht="105" hidden="1">
      <c r="A2201" s="217"/>
      <c r="B2201" s="217">
        <v>1269</v>
      </c>
      <c r="C2201" s="217"/>
      <c r="D2201" s="217" t="s">
        <v>17167</v>
      </c>
      <c r="E2201" s="471" t="s">
        <v>20673</v>
      </c>
      <c r="F2201" s="482">
        <v>7049</v>
      </c>
      <c r="G2201" s="572" t="s">
        <v>21764</v>
      </c>
      <c r="H2201" s="499" t="s">
        <v>15410</v>
      </c>
      <c r="I2201" s="483">
        <v>8.2000000000000007e-003</v>
      </c>
      <c r="J2201" s="473">
        <f t="shared" si="1365"/>
        <v>228.24000000000001</v>
      </c>
      <c r="K2201" s="474">
        <f t="shared" si="1382"/>
        <v>1.8715680000000003</v>
      </c>
      <c r="L2201" s="473">
        <f t="shared" si="1372"/>
        <v>226.53999999999999</v>
      </c>
      <c r="M2201" s="474">
        <f t="shared" si="1383"/>
        <v>1.8576280000000001</v>
      </c>
      <c r="O2201" s="434">
        <f t="shared" si="1370"/>
        <v>228.24000000000001</v>
      </c>
      <c r="P2201" s="435">
        <f t="shared" si="1371"/>
        <v>226.53999999999999</v>
      </c>
      <c r="AE2201" s="217"/>
      <c r="AF2201" s="217">
        <v>1269</v>
      </c>
      <c r="AH2201">
        <f t="shared" si="1379"/>
        <v>1269</v>
      </c>
    </row>
    <row r="2202" ht="105" hidden="1">
      <c r="A2202" s="217"/>
      <c r="B2202" s="217">
        <v>1269</v>
      </c>
      <c r="C2202" s="217"/>
      <c r="D2202" s="217" t="s">
        <v>17167</v>
      </c>
      <c r="E2202" s="471" t="s">
        <v>20675</v>
      </c>
      <c r="F2202" s="482">
        <v>7050</v>
      </c>
      <c r="G2202" s="572" t="s">
        <v>21765</v>
      </c>
      <c r="H2202" s="499" t="s">
        <v>15414</v>
      </c>
      <c r="I2202" s="483">
        <v>1.18e-002</v>
      </c>
      <c r="J2202" s="473">
        <f t="shared" si="1365"/>
        <v>77.959999999999994</v>
      </c>
      <c r="K2202" s="474">
        <f t="shared" si="1382"/>
        <v>0.91992799999999986</v>
      </c>
      <c r="L2202" s="473">
        <f t="shared" si="1372"/>
        <v>76.260000000000005</v>
      </c>
      <c r="M2202" s="474">
        <f t="shared" si="1383"/>
        <v>0.899868</v>
      </c>
      <c r="O2202" s="434">
        <f t="shared" si="1370"/>
        <v>77.959999999999994</v>
      </c>
      <c r="P2202" s="435">
        <f t="shared" si="1371"/>
        <v>76.260000000000005</v>
      </c>
      <c r="AE2202" s="217"/>
      <c r="AF2202" s="217">
        <v>1269</v>
      </c>
      <c r="AH2202">
        <f t="shared" si="1379"/>
        <v>1269</v>
      </c>
    </row>
    <row r="2203" ht="30" hidden="1">
      <c r="A2203" s="217"/>
      <c r="B2203" s="217">
        <v>1269</v>
      </c>
      <c r="C2203" s="217"/>
      <c r="D2203" s="217" t="s">
        <v>17167</v>
      </c>
      <c r="E2203" s="471" t="s">
        <v>20677</v>
      </c>
      <c r="F2203" s="482">
        <v>88316</v>
      </c>
      <c r="G2203" s="572" t="s">
        <v>7393</v>
      </c>
      <c r="H2203" s="499" t="s">
        <v>15443</v>
      </c>
      <c r="I2203" s="483">
        <v>2.9999999999999999e-002</v>
      </c>
      <c r="J2203" s="473">
        <f t="shared" si="1365"/>
        <v>22.760000000000002</v>
      </c>
      <c r="K2203" s="474">
        <f t="shared" si="1382"/>
        <v>0.68280000000000007</v>
      </c>
      <c r="L2203" s="473">
        <f t="shared" si="1372"/>
        <v>21.550000000000001</v>
      </c>
      <c r="M2203" s="474">
        <f t="shared" si="1383"/>
        <v>0.64649999999999996</v>
      </c>
      <c r="O2203" s="434">
        <f t="shared" si="1370"/>
        <v>22.760000000000002</v>
      </c>
      <c r="P2203" s="435">
        <f t="shared" si="1371"/>
        <v>21.550000000000001</v>
      </c>
      <c r="AE2203" s="217"/>
      <c r="AF2203" s="217">
        <v>1269</v>
      </c>
      <c r="AH2203">
        <f t="shared" si="1379"/>
        <v>1269</v>
      </c>
    </row>
    <row r="2204" ht="45" hidden="1">
      <c r="A2204" s="217"/>
      <c r="B2204" s="217">
        <v>1269</v>
      </c>
      <c r="C2204" s="217"/>
      <c r="D2204" s="217" t="s">
        <v>17167</v>
      </c>
      <c r="E2204" s="471" t="s">
        <v>20679</v>
      </c>
      <c r="F2204" s="482">
        <v>89035</v>
      </c>
      <c r="G2204" s="572" t="s">
        <v>1935</v>
      </c>
      <c r="H2204" s="499" t="s">
        <v>15410</v>
      </c>
      <c r="I2204" s="483">
        <v>1.1599999999999999e-002</v>
      </c>
      <c r="J2204" s="473">
        <f t="shared" si="1365"/>
        <v>138.31</v>
      </c>
      <c r="K2204" s="474">
        <f t="shared" si="1382"/>
        <v>1.6043959999999999</v>
      </c>
      <c r="L2204" s="473">
        <f t="shared" si="1372"/>
        <v>136.41</v>
      </c>
      <c r="M2204" s="474">
        <f t="shared" si="1383"/>
        <v>1.5823559999999999</v>
      </c>
      <c r="O2204" s="434">
        <f t="shared" si="1370"/>
        <v>138.31</v>
      </c>
      <c r="P2204" s="435">
        <f t="shared" si="1371"/>
        <v>136.41</v>
      </c>
      <c r="AE2204" s="217"/>
      <c r="AF2204" s="217">
        <v>1269</v>
      </c>
      <c r="AH2204">
        <f t="shared" si="1379"/>
        <v>1269</v>
      </c>
    </row>
    <row r="2205" ht="45" hidden="1">
      <c r="A2205" s="217"/>
      <c r="B2205" s="217">
        <v>1269</v>
      </c>
      <c r="C2205" s="217"/>
      <c r="D2205" s="217" t="s">
        <v>17167</v>
      </c>
      <c r="E2205" s="471" t="s">
        <v>20681</v>
      </c>
      <c r="F2205" s="482">
        <v>89036</v>
      </c>
      <c r="G2205" s="572" t="s">
        <v>1934</v>
      </c>
      <c r="H2205" s="482" t="s">
        <v>15414</v>
      </c>
      <c r="I2205" s="483">
        <v>8.3999999999999995e-003</v>
      </c>
      <c r="J2205" s="473">
        <f t="shared" si="1365"/>
        <v>47.5</v>
      </c>
      <c r="K2205" s="474">
        <f t="shared" si="1382"/>
        <v>0.39899999999999997</v>
      </c>
      <c r="L2205" s="473">
        <f t="shared" si="1372"/>
        <v>45.600000000000001</v>
      </c>
      <c r="M2205" s="474">
        <f t="shared" si="1383"/>
        <v>0.38303999999999999</v>
      </c>
      <c r="O2205" s="434">
        <f t="shared" si="1370"/>
        <v>47.5</v>
      </c>
      <c r="P2205" s="435">
        <f t="shared" si="1371"/>
        <v>45.600000000000001</v>
      </c>
      <c r="AE2205" s="217"/>
      <c r="AF2205" s="217">
        <v>1269</v>
      </c>
      <c r="AH2205">
        <f t="shared" si="1379"/>
        <v>1269</v>
      </c>
    </row>
    <row r="2206" ht="83.25" customHeight="1">
      <c r="A2206" s="460">
        <v>1270</v>
      </c>
      <c r="B2206" s="460">
        <v>1270</v>
      </c>
      <c r="C2206" s="460"/>
      <c r="D2206" s="460"/>
      <c r="E2206" s="461">
        <v>1</v>
      </c>
      <c r="F2206" s="462" t="s">
        <v>20487</v>
      </c>
      <c r="G2206" s="477" t="s">
        <v>21766</v>
      </c>
      <c r="H2206" s="579" t="s">
        <v>15528</v>
      </c>
      <c r="I2206" s="479"/>
      <c r="J2206" s="480"/>
      <c r="K2206" s="466">
        <f>SUM(K2207:K2211)</f>
        <v>19.439999999999998</v>
      </c>
      <c r="L2206" s="480"/>
      <c r="M2206" s="466">
        <f>SUM(M2207:M2211)</f>
        <v>18.886704505000001</v>
      </c>
      <c r="N2206" s="467" t="s">
        <v>21767</v>
      </c>
      <c r="O2206" s="434" t="str">
        <f t="shared" si="1370"/>
        <v xml:space="preserve">SEM VALOR</v>
      </c>
      <c r="P2206" s="435" t="str">
        <f t="shared" si="1371"/>
        <v xml:space="preserve">SEM VALOR</v>
      </c>
      <c r="AE2206" s="460">
        <v>1270</v>
      </c>
      <c r="AF2206" s="460"/>
      <c r="AH2206">
        <f t="shared" si="1379"/>
        <v>1270</v>
      </c>
    </row>
    <row r="2207" ht="60">
      <c r="A2207" s="217"/>
      <c r="B2207" s="217">
        <v>1270</v>
      </c>
      <c r="C2207" s="217"/>
      <c r="D2207" s="217" t="s">
        <v>20408</v>
      </c>
      <c r="E2207" s="471" t="s">
        <v>20399</v>
      </c>
      <c r="F2207" s="489">
        <v>13887</v>
      </c>
      <c r="G2207" s="470" t="s">
        <v>21440</v>
      </c>
      <c r="H2207" s="499" t="s">
        <v>31</v>
      </c>
      <c r="I2207" s="483">
        <v>4.0000000000000002e-004</v>
      </c>
      <c r="J2207" s="473">
        <f t="shared" ref="J2206:J2269" si="1384">O2207*$J$3</f>
        <v>257.33999999999997</v>
      </c>
      <c r="K2207" s="474">
        <f>TRUNC(I2207*J2207,2)</f>
        <v>0.10000000000000001</v>
      </c>
      <c r="L2207" s="473">
        <f t="shared" si="1372"/>
        <v>257.33999999999997</v>
      </c>
      <c r="M2207" s="474">
        <f t="shared" ref="M2207:M2211" si="1385">L2207*I2207</f>
        <v>0.102936</v>
      </c>
      <c r="O2207" s="434">
        <f t="shared" si="1370"/>
        <v>257.33999999999997</v>
      </c>
      <c r="P2207" s="435">
        <f t="shared" si="1371"/>
        <v>257.33999999999997</v>
      </c>
      <c r="AE2207" s="217"/>
      <c r="AF2207" s="217">
        <v>1270</v>
      </c>
      <c r="AH2207">
        <f t="shared" si="1379"/>
        <v>1270</v>
      </c>
    </row>
    <row r="2208" ht="120">
      <c r="A2208" s="217"/>
      <c r="B2208" s="217">
        <v>1270</v>
      </c>
      <c r="C2208" s="217"/>
      <c r="D2208" s="217" t="s">
        <v>17167</v>
      </c>
      <c r="E2208" s="471" t="s">
        <v>20402</v>
      </c>
      <c r="F2208" s="489">
        <v>5680</v>
      </c>
      <c r="G2208" s="470" t="s">
        <v>1871</v>
      </c>
      <c r="H2208" s="499" t="s">
        <v>1535</v>
      </c>
      <c r="I2208" s="483">
        <v>8.3330000000000001e-003</v>
      </c>
      <c r="J2208" s="473">
        <f t="shared" si="1384"/>
        <v>144.46000000000001</v>
      </c>
      <c r="K2208" s="474">
        <f>TRUNC(I2208*J2208,2)</f>
        <v>1.2</v>
      </c>
      <c r="L2208" s="473">
        <f t="shared" si="1372"/>
        <v>142.33000000000001</v>
      </c>
      <c r="M2208" s="474">
        <f t="shared" si="1385"/>
        <v>1.1860358900000001</v>
      </c>
      <c r="O2208" s="434">
        <f t="shared" si="1370"/>
        <v>144.46000000000001</v>
      </c>
      <c r="P2208" s="435">
        <f t="shared" si="1371"/>
        <v>142.33000000000001</v>
      </c>
      <c r="AE2208" s="217"/>
      <c r="AF2208" s="217">
        <v>1270</v>
      </c>
      <c r="AH2208">
        <f t="shared" si="1379"/>
        <v>1270</v>
      </c>
    </row>
    <row r="2209" ht="120">
      <c r="A2209" s="217"/>
      <c r="B2209" s="217">
        <v>1270</v>
      </c>
      <c r="C2209" s="217"/>
      <c r="D2209" s="217" t="s">
        <v>17167</v>
      </c>
      <c r="E2209" s="471" t="s">
        <v>20405</v>
      </c>
      <c r="F2209" s="489">
        <v>5681</v>
      </c>
      <c r="G2209" s="470" t="s">
        <v>1870</v>
      </c>
      <c r="H2209" s="499" t="s">
        <v>1533</v>
      </c>
      <c r="I2209" s="483">
        <v>7.4999999999999997e-002</v>
      </c>
      <c r="J2209" s="473">
        <f t="shared" si="1384"/>
        <v>63.409999999999997</v>
      </c>
      <c r="K2209" s="474">
        <f>TRUNC(I2209*J2209,2)</f>
        <v>4.75</v>
      </c>
      <c r="L2209" s="473">
        <f t="shared" si="1372"/>
        <v>61.280000000000001</v>
      </c>
      <c r="M2209" s="474">
        <f t="shared" si="1385"/>
        <v>4.5960000000000001</v>
      </c>
      <c r="O2209" s="434">
        <f t="shared" si="1370"/>
        <v>63.409999999999997</v>
      </c>
      <c r="P2209" s="435">
        <f t="shared" si="1371"/>
        <v>61.280000000000001</v>
      </c>
      <c r="AE2209" s="217"/>
      <c r="AF2209" s="217">
        <v>1270</v>
      </c>
      <c r="AH2209">
        <f t="shared" si="1379"/>
        <v>1270</v>
      </c>
    </row>
    <row r="2210" ht="30">
      <c r="A2210" s="217"/>
      <c r="B2210" s="217">
        <v>1270</v>
      </c>
      <c r="C2210" s="217"/>
      <c r="D2210" s="217" t="s">
        <v>17167</v>
      </c>
      <c r="E2210" s="471" t="s">
        <v>20409</v>
      </c>
      <c r="F2210" s="489">
        <v>88316</v>
      </c>
      <c r="G2210" s="470" t="s">
        <v>7393</v>
      </c>
      <c r="H2210" s="499" t="s">
        <v>2032</v>
      </c>
      <c r="I2210" s="483">
        <v>0.3333333</v>
      </c>
      <c r="J2210" s="473">
        <f t="shared" si="1384"/>
        <v>22.760000000000002</v>
      </c>
      <c r="K2210" s="474">
        <f>TRUNC(I2210*J2210,2)</f>
        <v>7.5800000000000001</v>
      </c>
      <c r="L2210" s="473">
        <f t="shared" si="1372"/>
        <v>21.550000000000001</v>
      </c>
      <c r="M2210" s="474">
        <f t="shared" si="1385"/>
        <v>7.1833326150000003</v>
      </c>
      <c r="O2210" s="434">
        <f t="shared" si="1370"/>
        <v>22.760000000000002</v>
      </c>
      <c r="P2210" s="435">
        <f t="shared" si="1371"/>
        <v>21.550000000000001</v>
      </c>
      <c r="AE2210" s="217"/>
      <c r="AF2210" s="217">
        <v>1270</v>
      </c>
      <c r="AH2210">
        <f t="shared" si="1379"/>
        <v>1270</v>
      </c>
    </row>
    <row r="2211" ht="105">
      <c r="A2211" s="217"/>
      <c r="B2211" s="217">
        <v>1270</v>
      </c>
      <c r="C2211" s="217"/>
      <c r="D2211" s="217" t="s">
        <v>17167</v>
      </c>
      <c r="E2211" s="471" t="s">
        <v>20663</v>
      </c>
      <c r="F2211" s="489">
        <v>91283</v>
      </c>
      <c r="G2211" s="470" t="s">
        <v>1653</v>
      </c>
      <c r="H2211" s="482" t="s">
        <v>1535</v>
      </c>
      <c r="I2211" s="483">
        <v>0.56000000000000005</v>
      </c>
      <c r="J2211" s="473">
        <f t="shared" si="1384"/>
        <v>10.390000000000001</v>
      </c>
      <c r="K2211" s="474">
        <f>TRUNC(I2211*J2211,2)</f>
        <v>5.8099999999999996</v>
      </c>
      <c r="L2211" s="473">
        <f t="shared" si="1372"/>
        <v>10.390000000000001</v>
      </c>
      <c r="M2211" s="474">
        <f t="shared" si="1385"/>
        <v>5.8184000000000005</v>
      </c>
      <c r="O2211" s="434">
        <f t="shared" si="1370"/>
        <v>10.390000000000001</v>
      </c>
      <c r="P2211" s="435">
        <f t="shared" si="1371"/>
        <v>10.390000000000001</v>
      </c>
      <c r="AE2211" s="217"/>
      <c r="AF2211" s="217">
        <v>1270</v>
      </c>
      <c r="AH2211">
        <f t="shared" si="1379"/>
        <v>1270</v>
      </c>
    </row>
    <row r="2212" ht="82.5" hidden="1" customHeight="1">
      <c r="A2212" s="460">
        <v>1271</v>
      </c>
      <c r="B2212" s="460">
        <v>1271</v>
      </c>
      <c r="C2212" s="460"/>
      <c r="D2212" s="460"/>
      <c r="E2212" s="461">
        <v>1</v>
      </c>
      <c r="F2212" s="462" t="s">
        <v>21768</v>
      </c>
      <c r="G2212" s="477" t="s">
        <v>21769</v>
      </c>
      <c r="H2212" s="579" t="s">
        <v>38</v>
      </c>
      <c r="I2212" s="479"/>
      <c r="J2212" s="480"/>
      <c r="K2212" s="466">
        <f>SUM(K2213:K2219)</f>
        <v>21.505713</v>
      </c>
      <c r="L2212" s="480"/>
      <c r="M2212" s="466">
        <f>SUM(M2213:M2219)</f>
        <v>20.974885749999999</v>
      </c>
      <c r="N2212" s="467" t="s">
        <v>21770</v>
      </c>
      <c r="O2212" s="434" t="str">
        <f t="shared" si="1370"/>
        <v xml:space="preserve">SEM VALOR</v>
      </c>
      <c r="P2212" s="435" t="str">
        <f t="shared" si="1371"/>
        <v xml:space="preserve">SEM VALOR</v>
      </c>
      <c r="AE2212" s="460">
        <v>1271</v>
      </c>
      <c r="AF2212" s="460"/>
      <c r="AH2212">
        <f t="shared" si="1379"/>
        <v>1271</v>
      </c>
    </row>
    <row r="2213" ht="45" hidden="1">
      <c r="A2213" s="217"/>
      <c r="B2213" s="217">
        <v>1271</v>
      </c>
      <c r="C2213" s="217"/>
      <c r="D2213" s="217" t="s">
        <v>20398</v>
      </c>
      <c r="E2213" s="471" t="s">
        <v>20399</v>
      </c>
      <c r="F2213" s="482">
        <v>1259</v>
      </c>
      <c r="G2213" s="572" t="s">
        <v>20796</v>
      </c>
      <c r="H2213" s="499" t="s">
        <v>15528</v>
      </c>
      <c r="I2213" s="483">
        <v>1.2e-002</v>
      </c>
      <c r="J2213" s="473">
        <f t="shared" si="1384"/>
        <v>45.520000000000003</v>
      </c>
      <c r="K2213" s="474">
        <f t="shared" ref="K2213:K2219" si="1386">I2213*J2213</f>
        <v>0.54624000000000006</v>
      </c>
      <c r="L2213" s="473">
        <f t="shared" si="1372"/>
        <v>43.100000000000001</v>
      </c>
      <c r="M2213" s="474">
        <f t="shared" ref="M2213:M2219" si="1387">L2213*I2213</f>
        <v>0.51719999999999999</v>
      </c>
      <c r="O2213" s="434">
        <f t="shared" si="1370"/>
        <v>45.520000000000003</v>
      </c>
      <c r="P2213" s="435">
        <f t="shared" si="1371"/>
        <v>43.100000000000001</v>
      </c>
      <c r="AE2213" s="217"/>
      <c r="AF2213" s="217">
        <v>1271</v>
      </c>
      <c r="AH2213">
        <f t="shared" si="1379"/>
        <v>1271</v>
      </c>
    </row>
    <row r="2214" ht="75" hidden="1">
      <c r="A2214" s="217"/>
      <c r="B2214" s="217">
        <v>1271</v>
      </c>
      <c r="C2214" s="217"/>
      <c r="D2214" s="217" t="s">
        <v>20398</v>
      </c>
      <c r="E2214" s="471" t="s">
        <v>20402</v>
      </c>
      <c r="F2214" s="482">
        <v>1267</v>
      </c>
      <c r="G2214" s="572" t="s">
        <v>20662</v>
      </c>
      <c r="H2214" s="499" t="s">
        <v>38</v>
      </c>
      <c r="I2214" s="483">
        <v>1</v>
      </c>
      <c r="J2214" s="473">
        <f t="shared" si="1384"/>
        <v>3.2499999999999996</v>
      </c>
      <c r="K2214" s="474">
        <f t="shared" si="1386"/>
        <v>3.2499999999999996</v>
      </c>
      <c r="L2214" s="473">
        <f t="shared" si="1372"/>
        <v>3.1657000000000002</v>
      </c>
      <c r="M2214" s="474">
        <f t="shared" si="1387"/>
        <v>3.1657000000000002</v>
      </c>
      <c r="O2214" s="434">
        <f t="shared" si="1370"/>
        <v>3.2499999999999996</v>
      </c>
      <c r="P2214" s="435">
        <f t="shared" si="1371"/>
        <v>3.1657000000000002</v>
      </c>
      <c r="AE2214" s="217"/>
      <c r="AF2214" s="217">
        <v>1271</v>
      </c>
      <c r="AH2214">
        <f t="shared" si="1379"/>
        <v>1271</v>
      </c>
    </row>
    <row r="2215" ht="45" hidden="1">
      <c r="A2215" s="217"/>
      <c r="B2215" s="217">
        <v>1271</v>
      </c>
      <c r="C2215" s="217"/>
      <c r="D2215" s="217" t="s">
        <v>20398</v>
      </c>
      <c r="E2215" s="471" t="s">
        <v>20405</v>
      </c>
      <c r="F2215" s="489">
        <v>1093</v>
      </c>
      <c r="G2215" s="573" t="s">
        <v>21111</v>
      </c>
      <c r="H2215" s="499" t="s">
        <v>15528</v>
      </c>
      <c r="I2215" s="483">
        <v>1.2e-002</v>
      </c>
      <c r="J2215" s="473">
        <f t="shared" si="1384"/>
        <v>31.7545</v>
      </c>
      <c r="K2215" s="474">
        <f t="shared" si="1386"/>
        <v>0.381054</v>
      </c>
      <c r="L2215" s="473">
        <f t="shared" si="1372"/>
        <v>30.489999999999998</v>
      </c>
      <c r="M2215" s="474">
        <f t="shared" si="1387"/>
        <v>0.36587999999999998</v>
      </c>
      <c r="O2215" s="434">
        <f t="shared" si="1370"/>
        <v>31.7545</v>
      </c>
      <c r="P2215" s="435">
        <f t="shared" si="1371"/>
        <v>30.489999999999998</v>
      </c>
      <c r="AE2215" s="217"/>
      <c r="AF2215" s="217">
        <v>1271</v>
      </c>
      <c r="AH2215">
        <f t="shared" si="1379"/>
        <v>1271</v>
      </c>
    </row>
    <row r="2216" ht="45" hidden="1">
      <c r="A2216" s="217"/>
      <c r="B2216" s="217">
        <v>1271</v>
      </c>
      <c r="C2216" s="217"/>
      <c r="D2216" s="217" t="s">
        <v>17167</v>
      </c>
      <c r="E2216" s="471" t="s">
        <v>20409</v>
      </c>
      <c r="F2216" s="482">
        <v>102498</v>
      </c>
      <c r="G2216" s="470" t="s">
        <v>8369</v>
      </c>
      <c r="H2216" s="499" t="s">
        <v>15515</v>
      </c>
      <c r="I2216" s="483">
        <v>0.25</v>
      </c>
      <c r="J2216" s="473">
        <f t="shared" si="1384"/>
        <v>1.7</v>
      </c>
      <c r="K2216" s="474">
        <f t="shared" si="1386"/>
        <v>0.42499999999999999</v>
      </c>
      <c r="L2216" s="473">
        <f t="shared" si="1372"/>
        <v>1.6200000000000001</v>
      </c>
      <c r="M2216" s="474">
        <f t="shared" si="1387"/>
        <v>0.40500000000000003</v>
      </c>
      <c r="O2216" s="434">
        <f t="shared" si="1370"/>
        <v>1.7</v>
      </c>
      <c r="P2216" s="435">
        <f t="shared" si="1371"/>
        <v>1.6200000000000001</v>
      </c>
      <c r="AE2216" s="217"/>
      <c r="AF2216" s="217">
        <v>1271</v>
      </c>
      <c r="AH2216">
        <f t="shared" si="1379"/>
        <v>1271</v>
      </c>
    </row>
    <row r="2217" ht="45" hidden="1">
      <c r="A2217" s="217"/>
      <c r="B2217" s="217">
        <v>1271</v>
      </c>
      <c r="C2217" s="217"/>
      <c r="D2217" s="217" t="s">
        <v>20398</v>
      </c>
      <c r="E2217" s="471" t="s">
        <v>20663</v>
      </c>
      <c r="F2217" s="482">
        <v>1000</v>
      </c>
      <c r="G2217" s="470" t="s">
        <v>20651</v>
      </c>
      <c r="H2217" s="499" t="s">
        <v>15528</v>
      </c>
      <c r="I2217" s="483">
        <v>2.8500000000000001e-002</v>
      </c>
      <c r="J2217" s="473">
        <f t="shared" si="1384"/>
        <v>149.904</v>
      </c>
      <c r="K2217" s="474">
        <f t="shared" si="1386"/>
        <v>4.2722639999999998</v>
      </c>
      <c r="L2217" s="473">
        <f t="shared" si="1372"/>
        <v>141.76949999999999</v>
      </c>
      <c r="M2217" s="474">
        <f t="shared" si="1387"/>
        <v>4.0404307499999996</v>
      </c>
      <c r="O2217" s="434">
        <f t="shared" si="1370"/>
        <v>149.904</v>
      </c>
      <c r="P2217" s="435">
        <f t="shared" si="1371"/>
        <v>141.76949999999999</v>
      </c>
      <c r="AE2217" s="217"/>
      <c r="AF2217" s="217">
        <v>1271</v>
      </c>
      <c r="AH2217">
        <f t="shared" si="1379"/>
        <v>1271</v>
      </c>
    </row>
    <row r="2218" ht="60" hidden="1">
      <c r="A2218" s="217"/>
      <c r="B2218" s="217">
        <v>1271</v>
      </c>
      <c r="C2218" s="217"/>
      <c r="D2218" s="217" t="s">
        <v>17167</v>
      </c>
      <c r="E2218" s="471" t="s">
        <v>20665</v>
      </c>
      <c r="F2218" s="482">
        <v>93590</v>
      </c>
      <c r="G2218" s="470" t="s">
        <v>21771</v>
      </c>
      <c r="H2218" s="499" t="s">
        <v>20669</v>
      </c>
      <c r="I2218" s="483">
        <v>4.8000000000000001e-002</v>
      </c>
      <c r="J2218" s="473">
        <f t="shared" si="1384"/>
        <v>1.05</v>
      </c>
      <c r="K2218" s="474">
        <f t="shared" si="1386"/>
        <v>5.04e-002</v>
      </c>
      <c r="L2218" s="473">
        <f t="shared" si="1372"/>
        <v>1.05</v>
      </c>
      <c r="M2218" s="474">
        <f t="shared" si="1387"/>
        <v>5.04e-002</v>
      </c>
      <c r="O2218" s="434">
        <f t="shared" si="1370"/>
        <v>1.05</v>
      </c>
      <c r="P2218" s="435">
        <f t="shared" si="1371"/>
        <v>1.05</v>
      </c>
      <c r="AE2218" s="217"/>
      <c r="AF2218" s="217">
        <v>1271</v>
      </c>
      <c r="AH2218">
        <f t="shared" si="1379"/>
        <v>1271</v>
      </c>
    </row>
    <row r="2219" ht="60" hidden="1">
      <c r="A2219" s="217"/>
      <c r="B2219" s="217">
        <v>1271</v>
      </c>
      <c r="C2219" s="217"/>
      <c r="D2219" s="217" t="s">
        <v>17167</v>
      </c>
      <c r="E2219" s="471" t="s">
        <v>20667</v>
      </c>
      <c r="F2219" s="482">
        <v>94963</v>
      </c>
      <c r="G2219" s="470" t="s">
        <v>20911</v>
      </c>
      <c r="H2219" s="482" t="s">
        <v>15528</v>
      </c>
      <c r="I2219" s="483">
        <v>2.8500000000000001e-002</v>
      </c>
      <c r="J2219" s="473">
        <f t="shared" si="1384"/>
        <v>441.43000000000001</v>
      </c>
      <c r="K2219" s="474">
        <f t="shared" si="1386"/>
        <v>12.580755</v>
      </c>
      <c r="L2219" s="473">
        <f t="shared" si="1372"/>
        <v>436.14999999999998</v>
      </c>
      <c r="M2219" s="474">
        <f t="shared" si="1387"/>
        <v>12.430275</v>
      </c>
      <c r="O2219" s="434">
        <f t="shared" si="1370"/>
        <v>441.43000000000001</v>
      </c>
      <c r="P2219" s="435">
        <f t="shared" si="1371"/>
        <v>436.14999999999998</v>
      </c>
      <c r="AE2219" s="217"/>
      <c r="AF2219" s="217">
        <v>1271</v>
      </c>
      <c r="AH2219">
        <f t="shared" si="1379"/>
        <v>1271</v>
      </c>
    </row>
    <row r="2220" ht="51" customHeight="1">
      <c r="A2220" s="460">
        <v>1272</v>
      </c>
      <c r="B2220" s="460">
        <v>1272</v>
      </c>
      <c r="C2220" s="460"/>
      <c r="D2220" s="460"/>
      <c r="E2220" s="461">
        <v>1</v>
      </c>
      <c r="F2220" s="462" t="s">
        <v>20471</v>
      </c>
      <c r="G2220" s="477" t="s">
        <v>21772</v>
      </c>
      <c r="H2220" s="579" t="s">
        <v>15515</v>
      </c>
      <c r="I2220" s="479"/>
      <c r="J2220" s="480"/>
      <c r="K2220" s="466">
        <f>SUM(K2221:K2224)</f>
        <v>7.3900000000000006</v>
      </c>
      <c r="L2220" s="480"/>
      <c r="M2220" s="466">
        <f>SUM(M2221:M2224)</f>
        <v>7.3809813100000001</v>
      </c>
      <c r="O2220" s="434" t="str">
        <f t="shared" ref="O2220:O2283" si="1388">IFERROR(IF(D2220="SINAPI",VLOOKUP(F2220,SINCOMOD,4,FALSE),IF(D2220="INSINAPI",VLOOKUP(F2220,INSINOD,5,FALSE),IF(D2220="SICRO",VLOOKUP(F2220,SICRO,5,FALSE),IF(D2220="COTACAO",VLOOKUP(F2220,COTACAO,6,FALSE),IF(D2220="PRÓPRIO",VLOOKUP(F2220,COMPOD,11,FALSE),IF(D2220="AGESUL",VLOOKUP(F2220,AGESULOD,6,FALSE),IF(D2220="INSAGESUL",VLOOKUP(F2220,INSAGESUL,7,FALSE),"SEM VALOR"))))))),"SEM VALOR")</f>
        <v xml:space="preserve">SEM VALOR</v>
      </c>
      <c r="P2220" s="435" t="str">
        <f t="shared" ref="P2220:P2283" si="1389">IFERROR(IF(D2220="SINAPI",VLOOKUP(F2220,SINCOMOD,6,FALSE),IF(D2220="INSINAPI",VLOOKUP(F2220,INSINOD,6,FALSE),IF(D2220="SICRO",VLOOKUP(F2220,SICRO,5,FALSE),IF(D2220="COTACAO",VLOOKUP(F2220,COTACAO,6,FALSE),IF(D2220="PRÓPRIO",VLOOKUP(F2220,COMPOD,13,FALSE),IF(D2220="AGESUL",VLOOKUP(F2220,AGESULOD,11,FALSE),IF(D2220="INSAGESUL",VLOOKUP(F2220,INSAGESUL,8,FALSE),"SEM VALOR"))))))),"SEM VALOR")</f>
        <v xml:space="preserve">SEM VALOR</v>
      </c>
      <c r="AE2220" s="460">
        <v>1272</v>
      </c>
      <c r="AF2220" s="460"/>
      <c r="AH2220">
        <f t="shared" si="1379"/>
        <v>1272</v>
      </c>
    </row>
    <row r="2221" ht="20.25" customHeight="1">
      <c r="A2221" s="217"/>
      <c r="B2221" s="217">
        <v>1272</v>
      </c>
      <c r="C2221" s="217"/>
      <c r="D2221" s="217" t="s">
        <v>20453</v>
      </c>
      <c r="E2221" s="471" t="s">
        <v>20399</v>
      </c>
      <c r="F2221" s="489" t="s">
        <v>20065</v>
      </c>
      <c r="G2221" s="488" t="s">
        <v>21231</v>
      </c>
      <c r="H2221" s="499" t="s">
        <v>302</v>
      </c>
      <c r="I2221" s="483">
        <v>1.2</v>
      </c>
      <c r="J2221" s="473">
        <f t="shared" si="1384"/>
        <v>4.2400000000000002</v>
      </c>
      <c r="K2221" s="474">
        <f>TRUNC(I2221*J2221,2)</f>
        <v>5.0800000000000001</v>
      </c>
      <c r="L2221" s="473">
        <f t="shared" ref="L2221:L2284" si="1390">P2221*$L$3</f>
        <v>4.2400000000000002</v>
      </c>
      <c r="M2221" s="474">
        <f t="shared" ref="M2221:M2224" si="1391">L2221*I2221</f>
        <v>5.0880000000000001</v>
      </c>
      <c r="O2221" s="434">
        <f t="shared" si="1388"/>
        <v>4.2400000000000002</v>
      </c>
      <c r="P2221" s="435">
        <f t="shared" si="1389"/>
        <v>4.2400000000000002</v>
      </c>
      <c r="AE2221" s="217"/>
      <c r="AF2221" s="217">
        <v>1272</v>
      </c>
      <c r="AH2221">
        <f t="shared" si="1379"/>
        <v>1272</v>
      </c>
    </row>
    <row r="2222" ht="120">
      <c r="A2222" s="217"/>
      <c r="B2222" s="217">
        <v>1272</v>
      </c>
      <c r="C2222" s="217"/>
      <c r="D2222" s="217" t="s">
        <v>17167</v>
      </c>
      <c r="E2222" s="471" t="s">
        <v>20402</v>
      </c>
      <c r="F2222" s="489">
        <v>83362</v>
      </c>
      <c r="G2222" s="470" t="s">
        <v>20922</v>
      </c>
      <c r="H2222" s="499" t="s">
        <v>1535</v>
      </c>
      <c r="I2222" s="483">
        <v>6.6670000000000002e-003</v>
      </c>
      <c r="J2222" s="473">
        <f t="shared" si="1384"/>
        <v>290.72000000000003</v>
      </c>
      <c r="K2222" s="474">
        <f>TRUNC(I2222*J2222,2)</f>
        <v>1.9299999999999999</v>
      </c>
      <c r="L2222" s="473">
        <f t="shared" si="1390"/>
        <v>289.12</v>
      </c>
      <c r="M2222" s="474">
        <f t="shared" si="1391"/>
        <v>1.9275630400000001</v>
      </c>
      <c r="O2222" s="434">
        <f t="shared" si="1388"/>
        <v>290.72000000000003</v>
      </c>
      <c r="P2222" s="435">
        <f t="shared" si="1389"/>
        <v>289.12</v>
      </c>
      <c r="AE2222" s="217"/>
      <c r="AF2222" s="217">
        <v>1272</v>
      </c>
      <c r="AH2222">
        <f t="shared" si="1379"/>
        <v>1272</v>
      </c>
    </row>
    <row r="2223" ht="30">
      <c r="A2223" s="217"/>
      <c r="B2223" s="217">
        <v>1272</v>
      </c>
      <c r="C2223" s="217"/>
      <c r="D2223" s="217" t="s">
        <v>17167</v>
      </c>
      <c r="E2223" s="471" t="s">
        <v>20405</v>
      </c>
      <c r="F2223" s="489">
        <v>88316</v>
      </c>
      <c r="G2223" s="470" t="s">
        <v>7393</v>
      </c>
      <c r="H2223" s="499" t="s">
        <v>2032</v>
      </c>
      <c r="I2223" s="483">
        <v>6.6670000000000002e-003</v>
      </c>
      <c r="J2223" s="473">
        <f t="shared" si="1384"/>
        <v>22.760000000000002</v>
      </c>
      <c r="K2223" s="474">
        <f>TRUNC(I2223*J2223,2)</f>
        <v>0.14999999999999999</v>
      </c>
      <c r="L2223" s="473">
        <f t="shared" si="1390"/>
        <v>21.550000000000001</v>
      </c>
      <c r="M2223" s="474">
        <f t="shared" si="1391"/>
        <v>0.14367385000000002</v>
      </c>
      <c r="O2223" s="434">
        <f t="shared" si="1388"/>
        <v>22.760000000000002</v>
      </c>
      <c r="P2223" s="435">
        <f t="shared" si="1389"/>
        <v>21.550000000000001</v>
      </c>
      <c r="AE2223" s="217"/>
      <c r="AF2223" s="217">
        <v>1272</v>
      </c>
      <c r="AH2223">
        <f t="shared" si="1379"/>
        <v>1272</v>
      </c>
    </row>
    <row r="2224" ht="30">
      <c r="A2224" s="217"/>
      <c r="B2224" s="217">
        <v>1272</v>
      </c>
      <c r="C2224" s="217"/>
      <c r="D2224" s="217" t="s">
        <v>17167</v>
      </c>
      <c r="E2224" s="471" t="s">
        <v>20409</v>
      </c>
      <c r="F2224" s="489">
        <v>90776</v>
      </c>
      <c r="G2224" s="470" t="s">
        <v>7322</v>
      </c>
      <c r="H2224" s="482" t="s">
        <v>2032</v>
      </c>
      <c r="I2224" s="483">
        <v>6.6670000000000002e-003</v>
      </c>
      <c r="J2224" s="473">
        <f t="shared" si="1384"/>
        <v>35.469999999999999</v>
      </c>
      <c r="K2224" s="474">
        <f>TRUNC(I2224*J2224,2)</f>
        <v>0.23000000000000001</v>
      </c>
      <c r="L2224" s="473">
        <f t="shared" si="1390"/>
        <v>33.259999999999998</v>
      </c>
      <c r="M2224" s="474">
        <f t="shared" si="1391"/>
        <v>0.22174442</v>
      </c>
      <c r="O2224" s="434">
        <f t="shared" si="1388"/>
        <v>35.469999999999999</v>
      </c>
      <c r="P2224" s="435">
        <f t="shared" si="1389"/>
        <v>33.259999999999998</v>
      </c>
      <c r="AE2224" s="217"/>
      <c r="AF2224" s="217">
        <v>1272</v>
      </c>
      <c r="AH2224">
        <f t="shared" si="1379"/>
        <v>1272</v>
      </c>
    </row>
    <row r="2225" ht="52.5" customHeight="1">
      <c r="A2225" s="460">
        <v>1273</v>
      </c>
      <c r="B2225" s="460">
        <v>1273</v>
      </c>
      <c r="C2225" s="460"/>
      <c r="D2225" s="460"/>
      <c r="E2225" s="461">
        <v>1</v>
      </c>
      <c r="F2225" s="462" t="s">
        <v>20433</v>
      </c>
      <c r="G2225" s="477" t="s">
        <v>21773</v>
      </c>
      <c r="H2225" s="579" t="s">
        <v>15528</v>
      </c>
      <c r="I2225" s="479"/>
      <c r="J2225" s="480"/>
      <c r="K2225" s="466">
        <f>SUM(K2226:K2236)</f>
        <v>291.63</v>
      </c>
      <c r="L2225" s="480"/>
      <c r="M2225" s="466">
        <f>SUM(M2226:M2236)</f>
        <v>289.901319</v>
      </c>
      <c r="N2225" s="467" t="s">
        <v>21774</v>
      </c>
      <c r="O2225" s="434" t="str">
        <f t="shared" si="1388"/>
        <v xml:space="preserve">SEM VALOR</v>
      </c>
      <c r="P2225" s="435" t="str">
        <f t="shared" si="1389"/>
        <v xml:space="preserve">SEM VALOR</v>
      </c>
      <c r="AE2225" s="460">
        <v>1273</v>
      </c>
      <c r="AF2225" s="460"/>
      <c r="AH2225">
        <f t="shared" si="1379"/>
        <v>1273</v>
      </c>
    </row>
    <row r="2226" ht="30">
      <c r="A2226" s="217"/>
      <c r="B2226" s="217">
        <v>1273</v>
      </c>
      <c r="C2226" s="217"/>
      <c r="D2226" s="217" t="s">
        <v>20408</v>
      </c>
      <c r="E2226" s="471" t="s">
        <v>20399</v>
      </c>
      <c r="F2226" s="489">
        <v>44473</v>
      </c>
      <c r="G2226" s="470" t="s">
        <v>10709</v>
      </c>
      <c r="H2226" s="499" t="s">
        <v>31</v>
      </c>
      <c r="I2226" s="483">
        <v>8.5000000000000006e-003</v>
      </c>
      <c r="J2226" s="473">
        <f t="shared" si="1384"/>
        <v>2485.5300000000002</v>
      </c>
      <c r="K2226" s="474">
        <f t="shared" ref="K2226:K2236" si="1392">TRUNC(I2226*J2226,2)</f>
        <v>21.120000000000001</v>
      </c>
      <c r="L2226" s="473">
        <f t="shared" si="1390"/>
        <v>2485.5300000000002</v>
      </c>
      <c r="M2226" s="474">
        <f t="shared" ref="M2226:M2236" si="1393">L2226*I2226</f>
        <v>21.127005000000004</v>
      </c>
      <c r="O2226" s="434">
        <f t="shared" si="1388"/>
        <v>2485.5300000000002</v>
      </c>
      <c r="P2226" s="435">
        <f t="shared" si="1389"/>
        <v>2485.5300000000002</v>
      </c>
      <c r="AE2226" s="217"/>
      <c r="AF2226" s="217">
        <v>1273</v>
      </c>
      <c r="AH2226">
        <f t="shared" si="1379"/>
        <v>1273</v>
      </c>
    </row>
    <row r="2227">
      <c r="A2227" s="217"/>
      <c r="B2227" s="217">
        <v>1273</v>
      </c>
      <c r="C2227" s="217"/>
      <c r="D2227" s="217" t="s">
        <v>20408</v>
      </c>
      <c r="E2227" s="471" t="s">
        <v>20402</v>
      </c>
      <c r="F2227" s="489">
        <v>44472</v>
      </c>
      <c r="G2227" s="470" t="s">
        <v>12141</v>
      </c>
      <c r="H2227" s="499" t="s">
        <v>31</v>
      </c>
      <c r="I2227" s="483">
        <v>0.88</v>
      </c>
      <c r="J2227" s="473">
        <f t="shared" si="1384"/>
        <v>56.189999999999998</v>
      </c>
      <c r="K2227" s="474">
        <f t="shared" si="1392"/>
        <v>49.439999999999998</v>
      </c>
      <c r="L2227" s="473">
        <f t="shared" si="1390"/>
        <v>56.189999999999998</v>
      </c>
      <c r="M2227" s="474">
        <f t="shared" si="1393"/>
        <v>49.447199999999995</v>
      </c>
      <c r="O2227" s="434">
        <f t="shared" si="1388"/>
        <v>56.189999999999998</v>
      </c>
      <c r="P2227" s="435">
        <f t="shared" si="1389"/>
        <v>56.189999999999998</v>
      </c>
      <c r="AE2227" s="217"/>
      <c r="AF2227" s="217">
        <v>1273</v>
      </c>
      <c r="AH2227">
        <f t="shared" si="1379"/>
        <v>1273</v>
      </c>
    </row>
    <row r="2228">
      <c r="A2228" s="217"/>
      <c r="B2228" s="217">
        <v>1273</v>
      </c>
      <c r="C2228" s="217"/>
      <c r="D2228" s="217" t="s">
        <v>20408</v>
      </c>
      <c r="E2228" s="471" t="s">
        <v>20405</v>
      </c>
      <c r="F2228" s="489">
        <v>44471</v>
      </c>
      <c r="G2228" s="470" t="s">
        <v>13953</v>
      </c>
      <c r="H2228" s="499" t="s">
        <v>31</v>
      </c>
      <c r="I2228" s="483">
        <v>5.1499999999999997e-002</v>
      </c>
      <c r="J2228" s="473">
        <f t="shared" si="1384"/>
        <v>529.10000000000002</v>
      </c>
      <c r="K2228" s="474">
        <f t="shared" si="1392"/>
        <v>27.239999999999998</v>
      </c>
      <c r="L2228" s="473">
        <f t="shared" si="1390"/>
        <v>529.10000000000002</v>
      </c>
      <c r="M2228" s="474">
        <f t="shared" si="1393"/>
        <v>27.248650000000001</v>
      </c>
      <c r="O2228" s="434">
        <f t="shared" si="1388"/>
        <v>529.10000000000002</v>
      </c>
      <c r="P2228" s="435">
        <f t="shared" si="1389"/>
        <v>529.10000000000002</v>
      </c>
      <c r="AE2228" s="217"/>
      <c r="AF2228" s="217">
        <v>1273</v>
      </c>
      <c r="AH2228">
        <f t="shared" si="1379"/>
        <v>1273</v>
      </c>
    </row>
    <row r="2229" ht="90">
      <c r="A2229" s="217"/>
      <c r="B2229" s="217">
        <v>1273</v>
      </c>
      <c r="C2229" s="217"/>
      <c r="D2229" s="217" t="s">
        <v>17167</v>
      </c>
      <c r="E2229" s="471" t="s">
        <v>20409</v>
      </c>
      <c r="F2229" s="489">
        <v>6259</v>
      </c>
      <c r="G2229" s="470" t="s">
        <v>1597</v>
      </c>
      <c r="H2229" s="499" t="s">
        <v>1535</v>
      </c>
      <c r="I2229" s="483">
        <v>1.1818e-002</v>
      </c>
      <c r="J2229" s="473">
        <f t="shared" si="1384"/>
        <v>278.72000000000003</v>
      </c>
      <c r="K2229" s="474">
        <f t="shared" si="1392"/>
        <v>3.29</v>
      </c>
      <c r="L2229" s="473">
        <f t="shared" si="1390"/>
        <v>277.12</v>
      </c>
      <c r="M2229" s="474">
        <f t="shared" si="1393"/>
        <v>3.2750041599999999</v>
      </c>
      <c r="O2229" s="434">
        <f t="shared" si="1388"/>
        <v>278.72000000000003</v>
      </c>
      <c r="P2229" s="435">
        <f t="shared" si="1389"/>
        <v>277.12</v>
      </c>
      <c r="AE2229" s="217"/>
      <c r="AF2229" s="217">
        <v>1273</v>
      </c>
      <c r="AH2229">
        <f t="shared" si="1379"/>
        <v>1273</v>
      </c>
    </row>
    <row r="2230" ht="90">
      <c r="A2230" s="217"/>
      <c r="B2230" s="217">
        <v>1273</v>
      </c>
      <c r="C2230" s="217"/>
      <c r="D2230" s="217" t="s">
        <v>17167</v>
      </c>
      <c r="E2230" s="471" t="s">
        <v>20663</v>
      </c>
      <c r="F2230" s="489">
        <v>6260</v>
      </c>
      <c r="G2230" s="470" t="s">
        <v>1596</v>
      </c>
      <c r="H2230" s="499" t="s">
        <v>1533</v>
      </c>
      <c r="I2230" s="483">
        <v>7.9090999999999995e-002</v>
      </c>
      <c r="J2230" s="473">
        <f t="shared" si="1384"/>
        <v>60.640000000000001</v>
      </c>
      <c r="K2230" s="474">
        <f t="shared" si="1392"/>
        <v>4.79</v>
      </c>
      <c r="L2230" s="473">
        <f t="shared" si="1390"/>
        <v>59.039999999999999</v>
      </c>
      <c r="M2230" s="474">
        <f t="shared" si="1393"/>
        <v>4.6695326399999999</v>
      </c>
      <c r="O2230" s="434">
        <f t="shared" si="1388"/>
        <v>60.640000000000001</v>
      </c>
      <c r="P2230" s="435">
        <f t="shared" si="1389"/>
        <v>59.039999999999999</v>
      </c>
      <c r="AE2230" s="217"/>
      <c r="AF2230" s="217">
        <v>1273</v>
      </c>
      <c r="AH2230">
        <f t="shared" si="1379"/>
        <v>1273</v>
      </c>
    </row>
    <row r="2231" ht="30">
      <c r="A2231" s="217"/>
      <c r="B2231" s="217">
        <v>1273</v>
      </c>
      <c r="C2231" s="217"/>
      <c r="D2231" s="217" t="s">
        <v>17167</v>
      </c>
      <c r="E2231" s="471" t="s">
        <v>20665</v>
      </c>
      <c r="F2231" s="489">
        <v>88316</v>
      </c>
      <c r="G2231" s="470" t="s">
        <v>7393</v>
      </c>
      <c r="H2231" s="499" t="s">
        <v>2032</v>
      </c>
      <c r="I2231" s="483">
        <v>0.72727299999999995</v>
      </c>
      <c r="J2231" s="473">
        <f t="shared" si="1384"/>
        <v>22.760000000000002</v>
      </c>
      <c r="K2231" s="474">
        <f t="shared" si="1392"/>
        <v>16.550000000000001</v>
      </c>
      <c r="L2231" s="473">
        <f t="shared" si="1390"/>
        <v>21.550000000000001</v>
      </c>
      <c r="M2231" s="474">
        <f t="shared" si="1393"/>
        <v>15.672733149999999</v>
      </c>
      <c r="O2231" s="434">
        <f t="shared" si="1388"/>
        <v>22.760000000000002</v>
      </c>
      <c r="P2231" s="435">
        <f t="shared" si="1389"/>
        <v>21.550000000000001</v>
      </c>
      <c r="AE2231" s="217"/>
      <c r="AF2231" s="217">
        <v>1273</v>
      </c>
      <c r="AH2231">
        <f t="shared" si="1379"/>
        <v>1273</v>
      </c>
    </row>
    <row r="2232" ht="60">
      <c r="A2232" s="217"/>
      <c r="B2232" s="217">
        <v>1273</v>
      </c>
      <c r="C2232" s="217"/>
      <c r="D2232" s="217" t="s">
        <v>17167</v>
      </c>
      <c r="E2232" s="471" t="s">
        <v>20667</v>
      </c>
      <c r="F2232" s="489">
        <v>89242</v>
      </c>
      <c r="G2232" s="470" t="s">
        <v>1691</v>
      </c>
      <c r="H2232" s="499" t="s">
        <v>1535</v>
      </c>
      <c r="I2232" s="483">
        <v>9.0909000000000004e-002</v>
      </c>
      <c r="J2232" s="473">
        <f t="shared" si="1384"/>
        <v>1419.71</v>
      </c>
      <c r="K2232" s="474">
        <f t="shared" si="1392"/>
        <v>129.06</v>
      </c>
      <c r="L2232" s="473">
        <f t="shared" si="1390"/>
        <v>1417.8199999999999</v>
      </c>
      <c r="M2232" s="474">
        <f t="shared" si="1393"/>
        <v>128.89259838000001</v>
      </c>
      <c r="O2232" s="434">
        <f t="shared" si="1388"/>
        <v>1419.71</v>
      </c>
      <c r="P2232" s="435">
        <f t="shared" si="1389"/>
        <v>1417.8199999999999</v>
      </c>
      <c r="AE2232" s="217"/>
      <c r="AF2232" s="217">
        <v>1273</v>
      </c>
      <c r="AH2232">
        <f t="shared" si="1379"/>
        <v>1273</v>
      </c>
    </row>
    <row r="2233" ht="60">
      <c r="A2233" s="217"/>
      <c r="B2233" s="217">
        <v>1273</v>
      </c>
      <c r="C2233" s="217"/>
      <c r="D2233" s="217" t="s">
        <v>17167</v>
      </c>
      <c r="E2233" s="471" t="s">
        <v>20671</v>
      </c>
      <c r="F2233" s="489">
        <v>90692</v>
      </c>
      <c r="G2233" s="470" t="s">
        <v>1769</v>
      </c>
      <c r="H2233" s="499" t="s">
        <v>1535</v>
      </c>
      <c r="I2233" s="483">
        <v>3.3333000000000002e-002</v>
      </c>
      <c r="J2233" s="473">
        <f t="shared" si="1384"/>
        <v>147.38999999999999</v>
      </c>
      <c r="K2233" s="474">
        <f t="shared" si="1392"/>
        <v>4.9100000000000001</v>
      </c>
      <c r="L2233" s="473">
        <f t="shared" si="1390"/>
        <v>145.5</v>
      </c>
      <c r="M2233" s="474">
        <f t="shared" si="1393"/>
        <v>4.8499515000000004</v>
      </c>
      <c r="O2233" s="434">
        <f t="shared" si="1388"/>
        <v>147.38999999999999</v>
      </c>
      <c r="P2233" s="435">
        <f t="shared" si="1389"/>
        <v>145.5</v>
      </c>
      <c r="AE2233" s="217"/>
      <c r="AF2233" s="217">
        <v>1273</v>
      </c>
      <c r="AH2233">
        <f t="shared" si="1379"/>
        <v>1273</v>
      </c>
    </row>
    <row r="2234" ht="60">
      <c r="A2234" s="217"/>
      <c r="B2234" s="217">
        <v>1273</v>
      </c>
      <c r="C2234" s="217"/>
      <c r="D2234" s="217" t="s">
        <v>17167</v>
      </c>
      <c r="E2234" s="471" t="s">
        <v>20672</v>
      </c>
      <c r="F2234" s="489">
        <v>90693</v>
      </c>
      <c r="G2234" s="470" t="s">
        <v>1768</v>
      </c>
      <c r="H2234" s="499" t="s">
        <v>1533</v>
      </c>
      <c r="I2234" s="483">
        <v>5.7576000000000002e-002</v>
      </c>
      <c r="J2234" s="473">
        <f t="shared" si="1384"/>
        <v>65.670000000000002</v>
      </c>
      <c r="K2234" s="474">
        <f t="shared" si="1392"/>
        <v>3.7799999999999998</v>
      </c>
      <c r="L2234" s="473">
        <f t="shared" si="1390"/>
        <v>63.780000000000001</v>
      </c>
      <c r="M2234" s="474">
        <f t="shared" si="1393"/>
        <v>3.6721972800000002</v>
      </c>
      <c r="O2234" s="434">
        <f t="shared" si="1388"/>
        <v>65.670000000000002</v>
      </c>
      <c r="P2234" s="435">
        <f t="shared" si="1389"/>
        <v>63.780000000000001</v>
      </c>
      <c r="AE2234" s="217"/>
      <c r="AF2234" s="217">
        <v>1273</v>
      </c>
      <c r="AH2234">
        <f t="shared" si="1379"/>
        <v>1273</v>
      </c>
    </row>
    <row r="2235" ht="30">
      <c r="A2235" s="217"/>
      <c r="B2235" s="217">
        <v>1273</v>
      </c>
      <c r="C2235" s="217"/>
      <c r="D2235" s="217" t="s">
        <v>17167</v>
      </c>
      <c r="E2235" s="471" t="s">
        <v>20673</v>
      </c>
      <c r="F2235" s="489">
        <v>90780</v>
      </c>
      <c r="G2235" s="470" t="s">
        <v>7340</v>
      </c>
      <c r="H2235" s="499" t="s">
        <v>2032</v>
      </c>
      <c r="I2235" s="483">
        <v>9.0909000000000004e-002</v>
      </c>
      <c r="J2235" s="473">
        <f t="shared" si="1384"/>
        <v>44.280000000000001</v>
      </c>
      <c r="K2235" s="474">
        <f t="shared" si="1392"/>
        <v>4.0199999999999996</v>
      </c>
      <c r="L2235" s="473">
        <f t="shared" si="1390"/>
        <v>41.409999999999997</v>
      </c>
      <c r="M2235" s="474">
        <f t="shared" si="1393"/>
        <v>3.7645416899999997</v>
      </c>
      <c r="O2235" s="434">
        <f t="shared" si="1388"/>
        <v>44.280000000000001</v>
      </c>
      <c r="P2235" s="435">
        <f t="shared" si="1389"/>
        <v>41.409999999999997</v>
      </c>
      <c r="AE2235" s="217"/>
      <c r="AF2235" s="217">
        <v>1273</v>
      </c>
      <c r="AH2235">
        <f t="shared" si="1379"/>
        <v>1273</v>
      </c>
    </row>
    <row r="2236" ht="105">
      <c r="A2236" s="217"/>
      <c r="B2236" s="217">
        <v>1273</v>
      </c>
      <c r="C2236" s="217"/>
      <c r="D2236" s="217" t="s">
        <v>17167</v>
      </c>
      <c r="E2236" s="471" t="s">
        <v>20675</v>
      </c>
      <c r="F2236" s="489">
        <v>91386</v>
      </c>
      <c r="G2236" s="470" t="s">
        <v>1571</v>
      </c>
      <c r="H2236" s="482" t="s">
        <v>1535</v>
      </c>
      <c r="I2236" s="483">
        <v>9.4545000000000004e-002</v>
      </c>
      <c r="J2236" s="473">
        <f t="shared" si="1384"/>
        <v>290.23000000000002</v>
      </c>
      <c r="K2236" s="474">
        <f t="shared" si="1392"/>
        <v>27.43</v>
      </c>
      <c r="L2236" s="473">
        <f t="shared" si="1390"/>
        <v>288.56</v>
      </c>
      <c r="M2236" s="474">
        <f t="shared" si="1393"/>
        <v>27.281905200000001</v>
      </c>
      <c r="O2236" s="434">
        <f t="shared" si="1388"/>
        <v>290.23000000000002</v>
      </c>
      <c r="P2236" s="435">
        <f t="shared" si="1389"/>
        <v>288.56</v>
      </c>
      <c r="AE2236" s="217"/>
      <c r="AF2236" s="217">
        <v>1273</v>
      </c>
      <c r="AH2236">
        <f t="shared" si="1379"/>
        <v>1273</v>
      </c>
    </row>
    <row r="2237" ht="63">
      <c r="A2237" s="460">
        <v>1274</v>
      </c>
      <c r="B2237" s="460">
        <v>1274</v>
      </c>
      <c r="C2237" s="460"/>
      <c r="D2237" s="460"/>
      <c r="E2237" s="461">
        <v>1</v>
      </c>
      <c r="F2237" s="462" t="s">
        <v>20451</v>
      </c>
      <c r="G2237" s="477" t="s">
        <v>21775</v>
      </c>
      <c r="H2237" s="579" t="s">
        <v>15528</v>
      </c>
      <c r="I2237" s="479"/>
      <c r="J2237" s="480"/>
      <c r="K2237" s="466">
        <f>SUM(K2238:K2241)</f>
        <v>50.129999999999995</v>
      </c>
      <c r="L2237" s="480"/>
      <c r="M2237" s="466">
        <f>SUM(M2238:M2241)</f>
        <v>47.95675</v>
      </c>
      <c r="N2237" s="467" t="s">
        <v>21776</v>
      </c>
      <c r="O2237" s="434" t="str">
        <f t="shared" si="1388"/>
        <v xml:space="preserve">SEM VALOR</v>
      </c>
      <c r="P2237" s="435" t="str">
        <f t="shared" si="1389"/>
        <v xml:space="preserve">SEM VALOR</v>
      </c>
      <c r="AE2237" s="460">
        <v>1274</v>
      </c>
      <c r="AF2237" s="460"/>
      <c r="AH2237">
        <f t="shared" si="1379"/>
        <v>1274</v>
      </c>
    </row>
    <row r="2238" ht="90">
      <c r="A2238" s="217"/>
      <c r="B2238" s="217">
        <v>1274</v>
      </c>
      <c r="C2238" s="217"/>
      <c r="D2238" s="217" t="s">
        <v>17167</v>
      </c>
      <c r="E2238" s="471" t="s">
        <v>20399</v>
      </c>
      <c r="F2238" s="489">
        <v>5684</v>
      </c>
      <c r="G2238" s="470" t="s">
        <v>1885</v>
      </c>
      <c r="H2238" s="499" t="s">
        <v>1535</v>
      </c>
      <c r="I2238" s="483">
        <v>2.5000000000000001e-002</v>
      </c>
      <c r="J2238" s="473">
        <f t="shared" si="1384"/>
        <v>164.22</v>
      </c>
      <c r="K2238" s="474">
        <f>TRUNC(I2238*J2238,2)</f>
        <v>4.0999999999999996</v>
      </c>
      <c r="L2238" s="473">
        <f t="shared" si="1390"/>
        <v>162.52000000000001</v>
      </c>
      <c r="M2238" s="474">
        <f t="shared" ref="M2238:M2241" si="1394">L2238*I2238</f>
        <v>4.0630000000000006</v>
      </c>
      <c r="O2238" s="434">
        <f t="shared" si="1388"/>
        <v>164.22</v>
      </c>
      <c r="P2238" s="435">
        <f t="shared" si="1389"/>
        <v>162.52000000000001</v>
      </c>
      <c r="AE2238" s="217"/>
      <c r="AF2238" s="217">
        <v>1274</v>
      </c>
      <c r="AH2238">
        <f t="shared" si="1379"/>
        <v>1274</v>
      </c>
    </row>
    <row r="2239" ht="90">
      <c r="A2239" s="217"/>
      <c r="B2239" s="217">
        <v>1274</v>
      </c>
      <c r="C2239" s="217"/>
      <c r="D2239" s="217" t="s">
        <v>17167</v>
      </c>
      <c r="E2239" s="471" t="s">
        <v>20402</v>
      </c>
      <c r="F2239" s="489">
        <v>5685</v>
      </c>
      <c r="G2239" s="470" t="s">
        <v>1884</v>
      </c>
      <c r="H2239" s="499" t="s">
        <v>1533</v>
      </c>
      <c r="I2239" s="483">
        <v>0.22500000000000001</v>
      </c>
      <c r="J2239" s="473">
        <f t="shared" si="1384"/>
        <v>64.049999999999997</v>
      </c>
      <c r="K2239" s="474">
        <f>TRUNC(I2239*J2239,2)</f>
        <v>14.41</v>
      </c>
      <c r="L2239" s="473">
        <f t="shared" si="1390"/>
        <v>62.350000000000001</v>
      </c>
      <c r="M2239" s="474">
        <f t="shared" si="1394"/>
        <v>14.02875</v>
      </c>
      <c r="O2239" s="434">
        <f t="shared" si="1388"/>
        <v>64.049999999999997</v>
      </c>
      <c r="P2239" s="435">
        <f t="shared" si="1389"/>
        <v>62.350000000000001</v>
      </c>
      <c r="AE2239" s="217"/>
      <c r="AF2239" s="217">
        <v>1274</v>
      </c>
      <c r="AH2239">
        <f t="shared" si="1379"/>
        <v>1274</v>
      </c>
    </row>
    <row r="2240" ht="30">
      <c r="A2240" s="217"/>
      <c r="B2240" s="217">
        <v>1274</v>
      </c>
      <c r="C2240" s="217"/>
      <c r="D2240" s="217" t="s">
        <v>17167</v>
      </c>
      <c r="E2240" s="471" t="s">
        <v>20405</v>
      </c>
      <c r="F2240" s="489">
        <v>88316</v>
      </c>
      <c r="G2240" s="470" t="s">
        <v>7393</v>
      </c>
      <c r="H2240" s="499" t="s">
        <v>2032</v>
      </c>
      <c r="I2240" s="483">
        <v>1</v>
      </c>
      <c r="J2240" s="473">
        <f t="shared" si="1384"/>
        <v>22.760000000000002</v>
      </c>
      <c r="K2240" s="474">
        <f>TRUNC(I2240*J2240,2)</f>
        <v>22.760000000000002</v>
      </c>
      <c r="L2240" s="473">
        <f t="shared" si="1390"/>
        <v>21.550000000000001</v>
      </c>
      <c r="M2240" s="474">
        <f t="shared" si="1394"/>
        <v>21.550000000000001</v>
      </c>
      <c r="O2240" s="434">
        <f t="shared" si="1388"/>
        <v>22.760000000000002</v>
      </c>
      <c r="P2240" s="435">
        <f t="shared" si="1389"/>
        <v>21.550000000000001</v>
      </c>
      <c r="AE2240" s="217"/>
      <c r="AF2240" s="217">
        <v>1274</v>
      </c>
      <c r="AH2240">
        <f t="shared" si="1379"/>
        <v>1274</v>
      </c>
    </row>
    <row r="2241" ht="30">
      <c r="A2241" s="217"/>
      <c r="B2241" s="217">
        <v>1274</v>
      </c>
      <c r="C2241" s="217"/>
      <c r="D2241" s="217" t="s">
        <v>17167</v>
      </c>
      <c r="E2241" s="471" t="s">
        <v>20409</v>
      </c>
      <c r="F2241" s="489">
        <v>90776</v>
      </c>
      <c r="G2241" s="470" t="s">
        <v>7322</v>
      </c>
      <c r="H2241" s="482" t="s">
        <v>2032</v>
      </c>
      <c r="I2241" s="483">
        <v>0.25</v>
      </c>
      <c r="J2241" s="473">
        <f t="shared" si="1384"/>
        <v>35.469999999999999</v>
      </c>
      <c r="K2241" s="474">
        <f>TRUNC(I2241*J2241,2)</f>
        <v>8.8599999999999994</v>
      </c>
      <c r="L2241" s="473">
        <f t="shared" si="1390"/>
        <v>33.259999999999998</v>
      </c>
      <c r="M2241" s="474">
        <f t="shared" si="1394"/>
        <v>8.3149999999999995</v>
      </c>
      <c r="O2241" s="434">
        <f t="shared" si="1388"/>
        <v>35.469999999999999</v>
      </c>
      <c r="P2241" s="435">
        <f t="shared" si="1389"/>
        <v>33.259999999999998</v>
      </c>
      <c r="AE2241" s="217"/>
      <c r="AF2241" s="217">
        <v>1274</v>
      </c>
      <c r="AH2241">
        <f t="shared" si="1379"/>
        <v>1274</v>
      </c>
    </row>
    <row r="2242" ht="84.75" hidden="1" customHeight="1">
      <c r="A2242" s="460">
        <v>1275</v>
      </c>
      <c r="B2242" s="460">
        <v>1275</v>
      </c>
      <c r="C2242" s="460"/>
      <c r="D2242" s="460"/>
      <c r="E2242" s="461">
        <v>1</v>
      </c>
      <c r="F2242" s="462" t="s">
        <v>21777</v>
      </c>
      <c r="G2242" s="477" t="s">
        <v>21778</v>
      </c>
      <c r="H2242" s="579" t="s">
        <v>15528</v>
      </c>
      <c r="I2242" s="479"/>
      <c r="J2242" s="480"/>
      <c r="K2242" s="466">
        <f>SUM(K2243:K2255)</f>
        <v>705.28930000000003</v>
      </c>
      <c r="L2242" s="480"/>
      <c r="M2242" s="466">
        <f>SUM(M2243:M2255)</f>
        <v>684.35789999999997</v>
      </c>
      <c r="N2242" s="467" t="s">
        <v>21779</v>
      </c>
      <c r="O2242" s="434" t="str">
        <f t="shared" si="1388"/>
        <v xml:space="preserve">SEM VALOR</v>
      </c>
      <c r="P2242" s="435" t="str">
        <f t="shared" si="1389"/>
        <v xml:space="preserve">SEM VALOR</v>
      </c>
      <c r="AE2242" s="460">
        <v>1275</v>
      </c>
      <c r="AF2242" s="460"/>
      <c r="AH2242">
        <f t="shared" si="1379"/>
        <v>1275</v>
      </c>
    </row>
    <row r="2243" ht="60" hidden="1">
      <c r="A2243" s="217"/>
      <c r="B2243" s="217">
        <v>1275</v>
      </c>
      <c r="C2243" s="217"/>
      <c r="D2243" s="217" t="s">
        <v>20408</v>
      </c>
      <c r="E2243" s="471" t="s">
        <v>20399</v>
      </c>
      <c r="F2243" s="489">
        <v>11467</v>
      </c>
      <c r="G2243" s="470" t="s">
        <v>21780</v>
      </c>
      <c r="H2243" s="499" t="s">
        <v>31</v>
      </c>
      <c r="I2243" s="483">
        <v>0.11</v>
      </c>
      <c r="J2243" s="473">
        <f t="shared" si="1384"/>
        <v>22.609999999999999</v>
      </c>
      <c r="K2243" s="474">
        <f t="shared" ref="K2243:K2255" si="1395">I2243*J2243</f>
        <v>2.4870999999999999</v>
      </c>
      <c r="L2243" s="473">
        <f t="shared" si="1390"/>
        <v>22.609999999999999</v>
      </c>
      <c r="M2243" s="474">
        <f t="shared" ref="M2243:M2255" si="1396">L2243*I2243</f>
        <v>2.4870999999999999</v>
      </c>
      <c r="O2243" s="434">
        <f t="shared" si="1388"/>
        <v>22.609999999999999</v>
      </c>
      <c r="P2243" s="435">
        <f t="shared" si="1389"/>
        <v>22.609999999999999</v>
      </c>
      <c r="AE2243" s="217"/>
      <c r="AF2243" s="217">
        <v>1275</v>
      </c>
      <c r="AH2243">
        <f t="shared" si="1379"/>
        <v>1275</v>
      </c>
    </row>
    <row r="2244" ht="30" hidden="1">
      <c r="A2244" s="217"/>
      <c r="B2244" s="217">
        <v>1275</v>
      </c>
      <c r="C2244" s="217"/>
      <c r="D2244" s="217" t="s">
        <v>20408</v>
      </c>
      <c r="E2244" s="471" t="s">
        <v>20402</v>
      </c>
      <c r="F2244" s="489">
        <v>1379</v>
      </c>
      <c r="G2244" s="488" t="s">
        <v>11588</v>
      </c>
      <c r="H2244" s="499" t="s">
        <v>302</v>
      </c>
      <c r="I2244" s="483">
        <v>3.6200000000000001</v>
      </c>
      <c r="J2244" s="473">
        <f t="shared" si="1384"/>
        <v>0.82999999999999996</v>
      </c>
      <c r="K2244" s="474">
        <f t="shared" si="1395"/>
        <v>3.0045999999999999</v>
      </c>
      <c r="L2244" s="473">
        <f t="shared" si="1390"/>
        <v>0.82999999999999996</v>
      </c>
      <c r="M2244" s="474">
        <f t="shared" si="1396"/>
        <v>3.0045999999999999</v>
      </c>
      <c r="O2244" s="434">
        <f t="shared" si="1388"/>
        <v>0.82999999999999996</v>
      </c>
      <c r="P2244" s="435">
        <f t="shared" si="1389"/>
        <v>0.82999999999999996</v>
      </c>
      <c r="AE2244" s="217"/>
      <c r="AF2244" s="217">
        <v>1275</v>
      </c>
      <c r="AH2244">
        <f t="shared" si="1379"/>
        <v>1275</v>
      </c>
    </row>
    <row r="2245" ht="60" hidden="1">
      <c r="A2245" s="217"/>
      <c r="B2245" s="217">
        <v>1275</v>
      </c>
      <c r="C2245" s="217"/>
      <c r="D2245" s="217" t="s">
        <v>20408</v>
      </c>
      <c r="E2245" s="471" t="s">
        <v>20405</v>
      </c>
      <c r="F2245" s="489">
        <v>2418</v>
      </c>
      <c r="G2245" s="470" t="s">
        <v>21781</v>
      </c>
      <c r="H2245" s="499" t="s">
        <v>31</v>
      </c>
      <c r="I2245" s="483">
        <v>0.33000000000000002</v>
      </c>
      <c r="J2245" s="473">
        <f t="shared" si="1384"/>
        <v>13</v>
      </c>
      <c r="K2245" s="474">
        <f t="shared" si="1395"/>
        <v>4.29</v>
      </c>
      <c r="L2245" s="473">
        <f t="shared" si="1390"/>
        <v>13</v>
      </c>
      <c r="M2245" s="474">
        <f t="shared" si="1396"/>
        <v>4.29</v>
      </c>
      <c r="O2245" s="434">
        <f t="shared" si="1388"/>
        <v>13</v>
      </c>
      <c r="P2245" s="435">
        <f t="shared" si="1389"/>
        <v>13</v>
      </c>
      <c r="AE2245" s="217"/>
      <c r="AF2245" s="217">
        <v>1275</v>
      </c>
      <c r="AH2245">
        <f t="shared" si="1379"/>
        <v>1275</v>
      </c>
    </row>
    <row r="2246" ht="60" hidden="1">
      <c r="A2246" s="217"/>
      <c r="B2246" s="217">
        <v>1275</v>
      </c>
      <c r="C2246" s="217"/>
      <c r="D2246" s="217" t="s">
        <v>20408</v>
      </c>
      <c r="E2246" s="471" t="s">
        <v>20409</v>
      </c>
      <c r="F2246" s="489">
        <v>2745</v>
      </c>
      <c r="G2246" s="470" t="s">
        <v>21782</v>
      </c>
      <c r="H2246" s="499" t="s">
        <v>38</v>
      </c>
      <c r="I2246" s="483">
        <v>4.5</v>
      </c>
      <c r="J2246" s="473">
        <f t="shared" si="1384"/>
        <v>5.79</v>
      </c>
      <c r="K2246" s="474">
        <f t="shared" si="1395"/>
        <v>26.055</v>
      </c>
      <c r="L2246" s="473">
        <f t="shared" si="1390"/>
        <v>5.79</v>
      </c>
      <c r="M2246" s="474">
        <f t="shared" si="1396"/>
        <v>26.055</v>
      </c>
      <c r="O2246" s="434">
        <f t="shared" si="1388"/>
        <v>5.79</v>
      </c>
      <c r="P2246" s="435">
        <f t="shared" si="1389"/>
        <v>5.79</v>
      </c>
      <c r="AE2246" s="217"/>
      <c r="AF2246" s="217">
        <v>1275</v>
      </c>
      <c r="AH2246">
        <f t="shared" si="1379"/>
        <v>1275</v>
      </c>
    </row>
    <row r="2247" ht="45" hidden="1">
      <c r="A2247" s="217"/>
      <c r="B2247" s="217">
        <v>1275</v>
      </c>
      <c r="C2247" s="217"/>
      <c r="D2247" s="217" t="s">
        <v>20408</v>
      </c>
      <c r="E2247" s="471" t="s">
        <v>20663</v>
      </c>
      <c r="F2247" s="489">
        <v>367</v>
      </c>
      <c r="G2247" s="470" t="s">
        <v>10766</v>
      </c>
      <c r="H2247" s="499" t="s">
        <v>15528</v>
      </c>
      <c r="I2247" s="483">
        <v>2.e-002</v>
      </c>
      <c r="J2247" s="473">
        <f t="shared" si="1384"/>
        <v>76.989999999999995</v>
      </c>
      <c r="K2247" s="474">
        <f t="shared" si="1395"/>
        <v>1.5397999999999998</v>
      </c>
      <c r="L2247" s="473">
        <f t="shared" si="1390"/>
        <v>76.989999999999995</v>
      </c>
      <c r="M2247" s="474">
        <f t="shared" si="1396"/>
        <v>1.5397999999999998</v>
      </c>
      <c r="O2247" s="434">
        <f t="shared" si="1388"/>
        <v>76.989999999999995</v>
      </c>
      <c r="P2247" s="435">
        <f t="shared" si="1389"/>
        <v>76.989999999999995</v>
      </c>
      <c r="AE2247" s="217"/>
      <c r="AF2247" s="217">
        <v>1275</v>
      </c>
      <c r="AH2247">
        <f t="shared" ref="AH2247:AH2310" si="1397">IF(AF2247:AF2248=FALSE,AE2247,AF2247)</f>
        <v>1275</v>
      </c>
    </row>
    <row r="2248" ht="45" hidden="1">
      <c r="A2248" s="217"/>
      <c r="B2248" s="217">
        <v>1275</v>
      </c>
      <c r="C2248" s="217"/>
      <c r="D2248" s="217" t="s">
        <v>20408</v>
      </c>
      <c r="E2248" s="471" t="s">
        <v>20665</v>
      </c>
      <c r="F2248" s="489">
        <v>4408</v>
      </c>
      <c r="G2248" s="470" t="s">
        <v>21783</v>
      </c>
      <c r="H2248" s="499" t="s">
        <v>38</v>
      </c>
      <c r="I2248" s="483">
        <v>5</v>
      </c>
      <c r="J2248" s="473">
        <f t="shared" si="1384"/>
        <v>2.8199999999999998</v>
      </c>
      <c r="K2248" s="474">
        <f t="shared" si="1395"/>
        <v>14.1</v>
      </c>
      <c r="L2248" s="473">
        <f t="shared" si="1390"/>
        <v>2.8199999999999998</v>
      </c>
      <c r="M2248" s="474">
        <f t="shared" si="1396"/>
        <v>14.1</v>
      </c>
      <c r="O2248" s="434">
        <f t="shared" si="1388"/>
        <v>2.8199999999999998</v>
      </c>
      <c r="P2248" s="435">
        <f t="shared" si="1389"/>
        <v>2.8199999999999998</v>
      </c>
      <c r="AE2248" s="217"/>
      <c r="AF2248" s="217">
        <v>1275</v>
      </c>
      <c r="AH2248">
        <f t="shared" si="1397"/>
        <v>1275</v>
      </c>
    </row>
    <row r="2249" ht="30" hidden="1">
      <c r="A2249" s="217"/>
      <c r="B2249" s="217">
        <v>1275</v>
      </c>
      <c r="C2249" s="217"/>
      <c r="D2249" s="217" t="s">
        <v>20408</v>
      </c>
      <c r="E2249" s="471" t="s">
        <v>20667</v>
      </c>
      <c r="F2249" s="489">
        <v>5061</v>
      </c>
      <c r="G2249" s="470" t="s">
        <v>21699</v>
      </c>
      <c r="H2249" s="499" t="s">
        <v>302</v>
      </c>
      <c r="I2249" s="483">
        <v>0.5</v>
      </c>
      <c r="J2249" s="473">
        <f t="shared" si="1384"/>
        <v>19.949999999999999</v>
      </c>
      <c r="K2249" s="474">
        <f t="shared" si="1395"/>
        <v>9.9749999999999996</v>
      </c>
      <c r="L2249" s="473">
        <f t="shared" si="1390"/>
        <v>19.949999999999999</v>
      </c>
      <c r="M2249" s="474">
        <f t="shared" si="1396"/>
        <v>9.9749999999999996</v>
      </c>
      <c r="O2249" s="434">
        <f t="shared" si="1388"/>
        <v>19.949999999999999</v>
      </c>
      <c r="P2249" s="435">
        <f t="shared" si="1389"/>
        <v>19.949999999999999</v>
      </c>
      <c r="AE2249" s="217"/>
      <c r="AF2249" s="217">
        <v>1275</v>
      </c>
      <c r="AH2249">
        <f t="shared" si="1397"/>
        <v>1275</v>
      </c>
    </row>
    <row r="2250" ht="45" hidden="1">
      <c r="A2250" s="217"/>
      <c r="B2250" s="217">
        <v>1275</v>
      </c>
      <c r="C2250" s="217"/>
      <c r="D2250" s="217" t="s">
        <v>20408</v>
      </c>
      <c r="E2250" s="471" t="s">
        <v>20671</v>
      </c>
      <c r="F2250" s="489">
        <v>6189</v>
      </c>
      <c r="G2250" s="470" t="s">
        <v>21784</v>
      </c>
      <c r="H2250" s="499" t="s">
        <v>38</v>
      </c>
      <c r="I2250" s="483">
        <v>8</v>
      </c>
      <c r="J2250" s="473">
        <f t="shared" si="1384"/>
        <v>30.52</v>
      </c>
      <c r="K2250" s="474">
        <f t="shared" si="1395"/>
        <v>244.16</v>
      </c>
      <c r="L2250" s="473">
        <f t="shared" si="1390"/>
        <v>30.52</v>
      </c>
      <c r="M2250" s="474">
        <f t="shared" si="1396"/>
        <v>244.16</v>
      </c>
      <c r="O2250" s="434">
        <f t="shared" si="1388"/>
        <v>30.52</v>
      </c>
      <c r="P2250" s="435">
        <f t="shared" si="1389"/>
        <v>30.52</v>
      </c>
      <c r="AE2250" s="217"/>
      <c r="AF2250" s="217">
        <v>1275</v>
      </c>
      <c r="AH2250">
        <f t="shared" si="1397"/>
        <v>1275</v>
      </c>
    </row>
    <row r="2251" ht="30" hidden="1">
      <c r="A2251" s="217"/>
      <c r="B2251" s="217">
        <v>1275</v>
      </c>
      <c r="C2251" s="217"/>
      <c r="D2251" s="217" t="s">
        <v>20408</v>
      </c>
      <c r="E2251" s="471" t="s">
        <v>20672</v>
      </c>
      <c r="F2251" s="489">
        <v>7213</v>
      </c>
      <c r="G2251" s="470" t="s">
        <v>14671</v>
      </c>
      <c r="H2251" s="499" t="s">
        <v>15515</v>
      </c>
      <c r="I2251" s="483">
        <v>1.2</v>
      </c>
      <c r="J2251" s="473">
        <f t="shared" si="1384"/>
        <v>19.129999999999999</v>
      </c>
      <c r="K2251" s="474">
        <f t="shared" si="1395"/>
        <v>22.956</v>
      </c>
      <c r="L2251" s="473">
        <f t="shared" si="1390"/>
        <v>19.129999999999999</v>
      </c>
      <c r="M2251" s="474">
        <f t="shared" si="1396"/>
        <v>22.956</v>
      </c>
      <c r="O2251" s="434">
        <f t="shared" si="1388"/>
        <v>19.129999999999999</v>
      </c>
      <c r="P2251" s="435">
        <f t="shared" si="1389"/>
        <v>19.129999999999999</v>
      </c>
      <c r="AE2251" s="217"/>
      <c r="AF2251" s="217">
        <v>1275</v>
      </c>
      <c r="AH2251">
        <f t="shared" si="1397"/>
        <v>1275</v>
      </c>
    </row>
    <row r="2252" ht="30" hidden="1">
      <c r="A2252" s="217"/>
      <c r="B2252" s="217">
        <v>1275</v>
      </c>
      <c r="C2252" s="217"/>
      <c r="D2252" s="217" t="s">
        <v>17167</v>
      </c>
      <c r="E2252" s="471" t="s">
        <v>20673</v>
      </c>
      <c r="F2252" s="489">
        <v>88262</v>
      </c>
      <c r="G2252" s="470" t="s">
        <v>7127</v>
      </c>
      <c r="H2252" s="499" t="s">
        <v>2032</v>
      </c>
      <c r="I2252" s="483">
        <v>6</v>
      </c>
      <c r="J2252" s="473">
        <f t="shared" si="1384"/>
        <v>27.739999999999998</v>
      </c>
      <c r="K2252" s="474">
        <f t="shared" si="1395"/>
        <v>166.44</v>
      </c>
      <c r="L2252" s="473">
        <f t="shared" si="1390"/>
        <v>26.129999999999999</v>
      </c>
      <c r="M2252" s="474">
        <f t="shared" si="1396"/>
        <v>156.78</v>
      </c>
      <c r="O2252" s="434">
        <f t="shared" si="1388"/>
        <v>27.739999999999998</v>
      </c>
      <c r="P2252" s="435">
        <f t="shared" si="1389"/>
        <v>26.129999999999999</v>
      </c>
      <c r="AE2252" s="217"/>
      <c r="AF2252" s="217">
        <v>1275</v>
      </c>
      <c r="AH2252">
        <f t="shared" si="1397"/>
        <v>1275</v>
      </c>
    </row>
    <row r="2253" ht="30" hidden="1">
      <c r="A2253" s="217"/>
      <c r="B2253" s="217">
        <v>1275</v>
      </c>
      <c r="C2253" s="217"/>
      <c r="D2253" s="217" t="s">
        <v>17167</v>
      </c>
      <c r="E2253" s="471" t="s">
        <v>20675</v>
      </c>
      <c r="F2253" s="489">
        <v>88309</v>
      </c>
      <c r="G2253" s="470" t="s">
        <v>7385</v>
      </c>
      <c r="H2253" s="499" t="s">
        <v>2032</v>
      </c>
      <c r="I2253" s="483">
        <v>0.80000000000000004</v>
      </c>
      <c r="J2253" s="473">
        <f t="shared" si="1384"/>
        <v>28.5</v>
      </c>
      <c r="K2253" s="474">
        <f t="shared" si="1395"/>
        <v>22.800000000000001</v>
      </c>
      <c r="L2253" s="473">
        <f t="shared" si="1390"/>
        <v>26.870000000000001</v>
      </c>
      <c r="M2253" s="474">
        <f t="shared" si="1396"/>
        <v>21.496000000000002</v>
      </c>
      <c r="O2253" s="434">
        <f t="shared" si="1388"/>
        <v>28.5</v>
      </c>
      <c r="P2253" s="435">
        <f t="shared" si="1389"/>
        <v>26.870000000000001</v>
      </c>
      <c r="AE2253" s="217"/>
      <c r="AF2253" s="217">
        <v>1275</v>
      </c>
      <c r="AH2253">
        <f t="shared" si="1397"/>
        <v>1275</v>
      </c>
    </row>
    <row r="2254" ht="30" hidden="1">
      <c r="A2254" s="217"/>
      <c r="B2254" s="217">
        <v>1275</v>
      </c>
      <c r="C2254" s="217"/>
      <c r="D2254" s="217" t="s">
        <v>17167</v>
      </c>
      <c r="E2254" s="471" t="s">
        <v>20677</v>
      </c>
      <c r="F2254" s="489">
        <v>88316</v>
      </c>
      <c r="G2254" s="470" t="s">
        <v>7393</v>
      </c>
      <c r="H2254" s="499" t="s">
        <v>2032</v>
      </c>
      <c r="I2254" s="483">
        <v>8</v>
      </c>
      <c r="J2254" s="473">
        <f t="shared" si="1384"/>
        <v>22.760000000000002</v>
      </c>
      <c r="K2254" s="474">
        <f t="shared" si="1395"/>
        <v>182.08000000000001</v>
      </c>
      <c r="L2254" s="473">
        <f t="shared" si="1390"/>
        <v>21.550000000000001</v>
      </c>
      <c r="M2254" s="474">
        <f t="shared" si="1396"/>
        <v>172.40000000000001</v>
      </c>
      <c r="O2254" s="434">
        <f t="shared" si="1388"/>
        <v>22.760000000000002</v>
      </c>
      <c r="P2254" s="435">
        <f t="shared" si="1389"/>
        <v>21.550000000000001</v>
      </c>
      <c r="AE2254" s="217"/>
      <c r="AF2254" s="217">
        <v>1275</v>
      </c>
      <c r="AH2254">
        <f t="shared" si="1397"/>
        <v>1275</v>
      </c>
    </row>
    <row r="2255" ht="45" hidden="1">
      <c r="A2255" s="217"/>
      <c r="B2255" s="217">
        <v>1275</v>
      </c>
      <c r="C2255" s="217"/>
      <c r="D2255" s="217" t="s">
        <v>17167</v>
      </c>
      <c r="E2255" s="471" t="s">
        <v>20679</v>
      </c>
      <c r="F2255" s="489">
        <v>93358</v>
      </c>
      <c r="G2255" s="470" t="s">
        <v>20927</v>
      </c>
      <c r="H2255" s="482" t="s">
        <v>15528</v>
      </c>
      <c r="I2255" s="483">
        <v>5.9999999999999998e-002</v>
      </c>
      <c r="J2255" s="473">
        <f t="shared" si="1384"/>
        <v>90.030000000000001</v>
      </c>
      <c r="K2255" s="474">
        <f t="shared" si="1395"/>
        <v>5.4017999999999997</v>
      </c>
      <c r="L2255" s="473">
        <f t="shared" si="1390"/>
        <v>85.239999999999995</v>
      </c>
      <c r="M2255" s="474">
        <f t="shared" si="1396"/>
        <v>5.1143999999999998</v>
      </c>
      <c r="O2255" s="434">
        <f t="shared" si="1388"/>
        <v>90.030000000000001</v>
      </c>
      <c r="P2255" s="435">
        <f t="shared" si="1389"/>
        <v>85.239999999999995</v>
      </c>
      <c r="AE2255" s="217"/>
      <c r="AF2255" s="217">
        <v>1275</v>
      </c>
      <c r="AH2255">
        <f t="shared" si="1397"/>
        <v>1275</v>
      </c>
    </row>
    <row r="2256" ht="97.5" hidden="1" customHeight="1">
      <c r="A2256" s="460">
        <v>1276</v>
      </c>
      <c r="B2256" s="460">
        <v>1276</v>
      </c>
      <c r="C2256" s="460"/>
      <c r="D2256" s="460"/>
      <c r="E2256" s="461">
        <v>1</v>
      </c>
      <c r="F2256" s="462" t="s">
        <v>21785</v>
      </c>
      <c r="G2256" s="477" t="s">
        <v>21786</v>
      </c>
      <c r="H2256" s="579" t="s">
        <v>31</v>
      </c>
      <c r="I2256" s="479"/>
      <c r="J2256" s="480"/>
      <c r="K2256" s="466">
        <f>SUM(K2257:K2265)</f>
        <v>489.36654059999995</v>
      </c>
      <c r="L2256" s="480"/>
      <c r="M2256" s="466">
        <f>SUM(M2257:M2265)</f>
        <v>487.9975306</v>
      </c>
      <c r="N2256" s="467" t="s">
        <v>21787</v>
      </c>
      <c r="O2256" s="434" t="str">
        <f t="shared" si="1388"/>
        <v xml:space="preserve">SEM VALOR</v>
      </c>
      <c r="P2256" s="435" t="str">
        <f t="shared" si="1389"/>
        <v xml:space="preserve">SEM VALOR</v>
      </c>
      <c r="AE2256" s="460">
        <v>1276</v>
      </c>
      <c r="AF2256" s="460"/>
      <c r="AH2256">
        <f t="shared" si="1397"/>
        <v>1276</v>
      </c>
    </row>
    <row r="2257" ht="30" hidden="1">
      <c r="A2257" s="217"/>
      <c r="B2257" s="217">
        <v>1276</v>
      </c>
      <c r="C2257" s="217"/>
      <c r="D2257" s="217" t="s">
        <v>20408</v>
      </c>
      <c r="E2257" s="471" t="s">
        <v>20399</v>
      </c>
      <c r="F2257" s="489">
        <v>34723</v>
      </c>
      <c r="G2257" s="470" t="s">
        <v>21184</v>
      </c>
      <c r="H2257" s="499" t="s">
        <v>15515</v>
      </c>
      <c r="I2257" s="483">
        <v>0.35999999999999999</v>
      </c>
      <c r="J2257" s="473">
        <f t="shared" si="1384"/>
        <v>997.91999999999996</v>
      </c>
      <c r="K2257" s="474">
        <f t="shared" ref="K2257:K2265" si="1398">I2257*J2257</f>
        <v>359.25119999999998</v>
      </c>
      <c r="L2257" s="473">
        <f t="shared" si="1390"/>
        <v>997.91999999999996</v>
      </c>
      <c r="M2257" s="474">
        <f t="shared" ref="M2257:M2265" si="1399">L2257*I2257</f>
        <v>359.25119999999998</v>
      </c>
      <c r="O2257" s="434">
        <f t="shared" si="1388"/>
        <v>997.91999999999996</v>
      </c>
      <c r="P2257" s="435">
        <f t="shared" si="1389"/>
        <v>997.91999999999996</v>
      </c>
      <c r="AE2257" s="217"/>
      <c r="AF2257" s="217">
        <v>1276</v>
      </c>
      <c r="AH2257">
        <f t="shared" si="1397"/>
        <v>1276</v>
      </c>
    </row>
    <row r="2258" ht="45" hidden="1">
      <c r="A2258" s="217"/>
      <c r="B2258" s="217">
        <v>1276</v>
      </c>
      <c r="C2258" s="217"/>
      <c r="D2258" s="217" t="s">
        <v>20408</v>
      </c>
      <c r="E2258" s="471" t="s">
        <v>20402</v>
      </c>
      <c r="F2258" s="489">
        <v>4433</v>
      </c>
      <c r="G2258" s="470" t="s">
        <v>21202</v>
      </c>
      <c r="H2258" s="499" t="s">
        <v>38</v>
      </c>
      <c r="I2258" s="483">
        <v>3.2000000000000002</v>
      </c>
      <c r="J2258" s="473">
        <f t="shared" si="1384"/>
        <v>28.940000000000001</v>
      </c>
      <c r="K2258" s="474">
        <f t="shared" si="1398"/>
        <v>92.608000000000004</v>
      </c>
      <c r="L2258" s="473">
        <f t="shared" si="1390"/>
        <v>28.940000000000001</v>
      </c>
      <c r="M2258" s="474">
        <f t="shared" si="1399"/>
        <v>92.608000000000004</v>
      </c>
      <c r="O2258" s="434">
        <f t="shared" si="1388"/>
        <v>28.940000000000001</v>
      </c>
      <c r="P2258" s="435">
        <f t="shared" si="1389"/>
        <v>28.940000000000001</v>
      </c>
      <c r="AE2258" s="217"/>
      <c r="AF2258" s="217">
        <v>1276</v>
      </c>
      <c r="AH2258">
        <f t="shared" si="1397"/>
        <v>1276</v>
      </c>
    </row>
    <row r="2259" ht="60" hidden="1">
      <c r="A2259" s="217"/>
      <c r="B2259" s="217">
        <v>1276</v>
      </c>
      <c r="C2259" s="217"/>
      <c r="D2259" s="217" t="s">
        <v>20398</v>
      </c>
      <c r="E2259" s="471" t="s">
        <v>20405</v>
      </c>
      <c r="F2259" s="489">
        <v>1241</v>
      </c>
      <c r="G2259" s="470" t="s">
        <v>21181</v>
      </c>
      <c r="H2259" s="499" t="s">
        <v>15528</v>
      </c>
      <c r="I2259" s="483">
        <v>2.9999999999999999e-002</v>
      </c>
      <c r="J2259" s="473">
        <f t="shared" si="1384"/>
        <v>453.00401999999997</v>
      </c>
      <c r="K2259" s="474">
        <f t="shared" si="1398"/>
        <v>13.590120599999999</v>
      </c>
      <c r="L2259" s="473">
        <f t="shared" si="1390"/>
        <v>445.74401999999998</v>
      </c>
      <c r="M2259" s="474">
        <f t="shared" si="1399"/>
        <v>13.372320599999998</v>
      </c>
      <c r="O2259" s="434">
        <f t="shared" si="1388"/>
        <v>453.00401999999997</v>
      </c>
      <c r="P2259" s="435">
        <f t="shared" si="1389"/>
        <v>445.74401999999998</v>
      </c>
      <c r="AE2259" s="217"/>
      <c r="AF2259" s="217">
        <v>1276</v>
      </c>
      <c r="AH2259">
        <f t="shared" si="1397"/>
        <v>1276</v>
      </c>
    </row>
    <row r="2260" ht="45" hidden="1">
      <c r="A2260" s="217"/>
      <c r="B2260" s="217">
        <v>1276</v>
      </c>
      <c r="C2260" s="217"/>
      <c r="D2260" s="217" t="s">
        <v>20398</v>
      </c>
      <c r="E2260" s="471" t="s">
        <v>20409</v>
      </c>
      <c r="F2260" s="489">
        <v>1243</v>
      </c>
      <c r="G2260" s="470" t="s">
        <v>21036</v>
      </c>
      <c r="H2260" s="499" t="s">
        <v>15515</v>
      </c>
      <c r="I2260" s="483">
        <v>0.5</v>
      </c>
      <c r="J2260" s="473">
        <f t="shared" si="1384"/>
        <v>10.1928</v>
      </c>
      <c r="K2260" s="474">
        <f t="shared" si="1398"/>
        <v>5.0964</v>
      </c>
      <c r="L2260" s="473">
        <f t="shared" si="1390"/>
        <v>9.6916499999999992</v>
      </c>
      <c r="M2260" s="474">
        <f t="shared" si="1399"/>
        <v>4.8458249999999996</v>
      </c>
      <c r="O2260" s="434">
        <f t="shared" si="1388"/>
        <v>10.1928</v>
      </c>
      <c r="P2260" s="435">
        <f t="shared" si="1389"/>
        <v>9.6916499999999992</v>
      </c>
      <c r="AE2260" s="217"/>
      <c r="AF2260" s="217">
        <v>1276</v>
      </c>
      <c r="AH2260">
        <f t="shared" si="1397"/>
        <v>1276</v>
      </c>
    </row>
    <row r="2261" ht="45" hidden="1">
      <c r="A2261" s="217"/>
      <c r="B2261" s="217">
        <v>1276</v>
      </c>
      <c r="C2261" s="217"/>
      <c r="D2261" s="217" t="s">
        <v>20398</v>
      </c>
      <c r="E2261" s="471" t="s">
        <v>20663</v>
      </c>
      <c r="F2261" s="482">
        <v>1259</v>
      </c>
      <c r="G2261" s="572" t="s">
        <v>20796</v>
      </c>
      <c r="H2261" s="482" t="s">
        <v>15528</v>
      </c>
      <c r="I2261" s="483">
        <v>2.9999999999999999e-002</v>
      </c>
      <c r="J2261" s="473">
        <f t="shared" si="1384"/>
        <v>45.520000000000003</v>
      </c>
      <c r="K2261" s="474">
        <f t="shared" si="1398"/>
        <v>1.3656000000000001</v>
      </c>
      <c r="L2261" s="473">
        <f t="shared" si="1390"/>
        <v>43.100000000000001</v>
      </c>
      <c r="M2261" s="474">
        <f t="shared" si="1399"/>
        <v>1.2929999999999999</v>
      </c>
      <c r="O2261" s="434">
        <f t="shared" si="1388"/>
        <v>45.520000000000003</v>
      </c>
      <c r="P2261" s="435">
        <f t="shared" si="1389"/>
        <v>43.100000000000001</v>
      </c>
      <c r="AE2261" s="217"/>
      <c r="AF2261" s="217">
        <v>1276</v>
      </c>
      <c r="AH2261">
        <f t="shared" si="1397"/>
        <v>1276</v>
      </c>
    </row>
    <row r="2262" ht="105" hidden="1">
      <c r="A2262" s="217"/>
      <c r="B2262" s="217">
        <v>1276</v>
      </c>
      <c r="C2262" s="217"/>
      <c r="D2262" s="217" t="s">
        <v>17167</v>
      </c>
      <c r="E2262" s="471" t="s">
        <v>20665</v>
      </c>
      <c r="F2262" s="489">
        <v>73467</v>
      </c>
      <c r="G2262" s="470" t="s">
        <v>1601</v>
      </c>
      <c r="H2262" s="482" t="s">
        <v>1535</v>
      </c>
      <c r="I2262" s="483">
        <v>1.e-002</v>
      </c>
      <c r="J2262" s="473">
        <f t="shared" si="1384"/>
        <v>270.61000000000001</v>
      </c>
      <c r="K2262" s="474">
        <f t="shared" si="1398"/>
        <v>2.7061000000000002</v>
      </c>
      <c r="L2262" s="473">
        <f t="shared" si="1390"/>
        <v>269.00999999999999</v>
      </c>
      <c r="M2262" s="474">
        <f t="shared" si="1399"/>
        <v>2.6901000000000002</v>
      </c>
      <c r="O2262" s="434">
        <f t="shared" si="1388"/>
        <v>270.61000000000001</v>
      </c>
      <c r="P2262" s="435">
        <f t="shared" si="1389"/>
        <v>269.00999999999999</v>
      </c>
      <c r="AE2262" s="217"/>
      <c r="AF2262" s="217">
        <v>1276</v>
      </c>
      <c r="AH2262">
        <f t="shared" si="1397"/>
        <v>1276</v>
      </c>
    </row>
    <row r="2263" ht="45" hidden="1">
      <c r="A2263" s="217"/>
      <c r="B2263" s="217">
        <v>1276</v>
      </c>
      <c r="C2263" s="217"/>
      <c r="D2263" s="217" t="s">
        <v>20398</v>
      </c>
      <c r="E2263" s="471" t="s">
        <v>20667</v>
      </c>
      <c r="F2263" s="482">
        <v>1000</v>
      </c>
      <c r="G2263" s="470" t="s">
        <v>20651</v>
      </c>
      <c r="H2263" s="482" t="s">
        <v>15528</v>
      </c>
      <c r="I2263" s="483">
        <v>2.9999999999999999e-002</v>
      </c>
      <c r="J2263" s="473">
        <f t="shared" si="1384"/>
        <v>149.904</v>
      </c>
      <c r="K2263" s="474">
        <f t="shared" si="1398"/>
        <v>4.4971199999999998</v>
      </c>
      <c r="L2263" s="473">
        <f t="shared" si="1390"/>
        <v>141.76949999999999</v>
      </c>
      <c r="M2263" s="474">
        <f t="shared" si="1399"/>
        <v>4.2530849999999996</v>
      </c>
      <c r="O2263" s="434">
        <f t="shared" si="1388"/>
        <v>149.904</v>
      </c>
      <c r="P2263" s="435">
        <f t="shared" si="1389"/>
        <v>141.76949999999999</v>
      </c>
      <c r="AE2263" s="217"/>
      <c r="AF2263" s="217">
        <v>1276</v>
      </c>
      <c r="AH2263">
        <f t="shared" si="1397"/>
        <v>1276</v>
      </c>
    </row>
    <row r="2264" ht="30" hidden="1">
      <c r="A2264" s="217"/>
      <c r="B2264" s="217">
        <v>1276</v>
      </c>
      <c r="C2264" s="217"/>
      <c r="D2264" s="217" t="s">
        <v>17167</v>
      </c>
      <c r="E2264" s="471" t="s">
        <v>20671</v>
      </c>
      <c r="F2264" s="489">
        <v>88309</v>
      </c>
      <c r="G2264" s="470" t="s">
        <v>7385</v>
      </c>
      <c r="H2264" s="482" t="s">
        <v>2032</v>
      </c>
      <c r="I2264" s="483">
        <v>0.20000000000000001</v>
      </c>
      <c r="J2264" s="473">
        <f t="shared" si="1384"/>
        <v>28.5</v>
      </c>
      <c r="K2264" s="474">
        <f t="shared" si="1398"/>
        <v>5.7000000000000002</v>
      </c>
      <c r="L2264" s="473">
        <f t="shared" si="1390"/>
        <v>26.870000000000001</v>
      </c>
      <c r="M2264" s="474">
        <f t="shared" si="1399"/>
        <v>5.3740000000000006</v>
      </c>
      <c r="O2264" s="434">
        <f t="shared" si="1388"/>
        <v>28.5</v>
      </c>
      <c r="P2264" s="435">
        <f t="shared" si="1389"/>
        <v>26.870000000000001</v>
      </c>
      <c r="AE2264" s="217"/>
      <c r="AF2264" s="217">
        <v>1276</v>
      </c>
      <c r="AH2264">
        <f t="shared" si="1397"/>
        <v>1276</v>
      </c>
    </row>
    <row r="2265" ht="30" hidden="1">
      <c r="A2265" s="217"/>
      <c r="B2265" s="217">
        <v>1276</v>
      </c>
      <c r="C2265" s="217"/>
      <c r="D2265" s="217" t="s">
        <v>17167</v>
      </c>
      <c r="E2265" s="471" t="s">
        <v>20672</v>
      </c>
      <c r="F2265" s="489">
        <v>88316</v>
      </c>
      <c r="G2265" s="470" t="s">
        <v>7393</v>
      </c>
      <c r="H2265" s="482" t="s">
        <v>2032</v>
      </c>
      <c r="I2265" s="483">
        <v>0.20000000000000001</v>
      </c>
      <c r="J2265" s="473">
        <f t="shared" si="1384"/>
        <v>22.760000000000002</v>
      </c>
      <c r="K2265" s="474">
        <f t="shared" si="1398"/>
        <v>4.5520000000000005</v>
      </c>
      <c r="L2265" s="473">
        <f t="shared" si="1390"/>
        <v>21.550000000000001</v>
      </c>
      <c r="M2265" s="474">
        <f t="shared" si="1399"/>
        <v>4.3100000000000005</v>
      </c>
      <c r="O2265" s="434">
        <f t="shared" si="1388"/>
        <v>22.760000000000002</v>
      </c>
      <c r="P2265" s="435">
        <f t="shared" si="1389"/>
        <v>21.550000000000001</v>
      </c>
      <c r="AE2265" s="217"/>
      <c r="AF2265" s="217">
        <v>1276</v>
      </c>
      <c r="AH2265">
        <f t="shared" si="1397"/>
        <v>1276</v>
      </c>
    </row>
    <row r="2266" ht="69.75" customHeight="1">
      <c r="A2266" s="460">
        <v>1277</v>
      </c>
      <c r="B2266" s="460">
        <v>1277</v>
      </c>
      <c r="C2266" s="460"/>
      <c r="D2266" s="460"/>
      <c r="E2266" s="461">
        <v>1</v>
      </c>
      <c r="F2266" s="462" t="s">
        <v>20502</v>
      </c>
      <c r="G2266" s="477" t="s">
        <v>21788</v>
      </c>
      <c r="H2266" s="579" t="s">
        <v>20669</v>
      </c>
      <c r="I2266" s="479"/>
      <c r="J2266" s="480"/>
      <c r="K2266" s="466">
        <f>SUM(K2267:K2268)</f>
        <v>1.23</v>
      </c>
      <c r="L2266" s="480"/>
      <c r="M2266" s="466">
        <f>SUM(M2267:M2268)</f>
        <v>1.22709</v>
      </c>
      <c r="N2266" s="467" t="s">
        <v>21789</v>
      </c>
      <c r="O2266" s="434" t="str">
        <f t="shared" si="1388"/>
        <v xml:space="preserve">SEM VALOR</v>
      </c>
      <c r="P2266" s="435" t="str">
        <f t="shared" si="1389"/>
        <v xml:space="preserve">SEM VALOR</v>
      </c>
      <c r="AE2266" s="460">
        <v>1277</v>
      </c>
      <c r="AF2266" s="460"/>
      <c r="AH2266">
        <f t="shared" si="1397"/>
        <v>1277</v>
      </c>
    </row>
    <row r="2267" ht="105">
      <c r="A2267" s="217"/>
      <c r="B2267" s="217">
        <v>1277</v>
      </c>
      <c r="C2267" s="217"/>
      <c r="D2267" s="217" t="s">
        <v>17167</v>
      </c>
      <c r="E2267" s="471" t="s">
        <v>20399</v>
      </c>
      <c r="F2267" s="489">
        <v>91386</v>
      </c>
      <c r="G2267" s="470" t="s">
        <v>1571</v>
      </c>
      <c r="H2267" s="499" t="s">
        <v>1535</v>
      </c>
      <c r="I2267" s="483">
        <v>4.0000000000000001e-003</v>
      </c>
      <c r="J2267" s="473">
        <f t="shared" si="1384"/>
        <v>290.23000000000002</v>
      </c>
      <c r="K2267" s="474">
        <f>TRUNC(I2267*J2267,2)</f>
        <v>1.1599999999999999</v>
      </c>
      <c r="L2267" s="473">
        <f t="shared" si="1390"/>
        <v>288.56</v>
      </c>
      <c r="M2267" s="474">
        <f t="shared" ref="M2267:M2268" si="1400">L2267*I2267</f>
        <v>1.1542399999999999</v>
      </c>
      <c r="O2267" s="434">
        <f t="shared" si="1388"/>
        <v>290.23000000000002</v>
      </c>
      <c r="P2267" s="435">
        <f t="shared" si="1389"/>
        <v>288.56</v>
      </c>
      <c r="AE2267" s="217"/>
      <c r="AF2267" s="217">
        <v>1277</v>
      </c>
      <c r="AH2267">
        <f t="shared" si="1397"/>
        <v>1277</v>
      </c>
    </row>
    <row r="2268" ht="105">
      <c r="A2268" s="217"/>
      <c r="B2268" s="217">
        <v>1277</v>
      </c>
      <c r="C2268" s="217"/>
      <c r="D2268" s="217" t="s">
        <v>17167</v>
      </c>
      <c r="E2268" s="471" t="s">
        <v>20402</v>
      </c>
      <c r="F2268" s="489">
        <v>91387</v>
      </c>
      <c r="G2268" s="470" t="s">
        <v>1570</v>
      </c>
      <c r="H2268" s="482" t="s">
        <v>1533</v>
      </c>
      <c r="I2268" s="483">
        <v>1.e-003</v>
      </c>
      <c r="J2268" s="473">
        <f t="shared" si="1384"/>
        <v>74.519999999999996</v>
      </c>
      <c r="K2268" s="474">
        <f>TRUNC(I2268*J2268,2)</f>
        <v>7.0000000000000007e-002</v>
      </c>
      <c r="L2268" s="473">
        <f t="shared" si="1390"/>
        <v>72.849999999999994</v>
      </c>
      <c r="M2268" s="474">
        <f t="shared" si="1400"/>
        <v>7.2849999999999998e-002</v>
      </c>
      <c r="O2268" s="434">
        <f t="shared" si="1388"/>
        <v>74.519999999999996</v>
      </c>
      <c r="P2268" s="435">
        <f t="shared" si="1389"/>
        <v>72.849999999999994</v>
      </c>
      <c r="AE2268" s="217"/>
      <c r="AF2268" s="217">
        <v>1277</v>
      </c>
      <c r="AH2268">
        <f t="shared" si="1397"/>
        <v>1277</v>
      </c>
    </row>
    <row r="2269" ht="69.75" customHeight="1">
      <c r="A2269" s="460">
        <v>1278</v>
      </c>
      <c r="B2269" s="460">
        <v>1278</v>
      </c>
      <c r="C2269" s="460"/>
      <c r="D2269" s="460"/>
      <c r="E2269" s="461">
        <v>1</v>
      </c>
      <c r="F2269" s="462" t="s">
        <v>20462</v>
      </c>
      <c r="G2269" s="477" t="s">
        <v>21790</v>
      </c>
      <c r="H2269" s="579" t="s">
        <v>15515</v>
      </c>
      <c r="I2269" s="479"/>
      <c r="J2269" s="480"/>
      <c r="K2269" s="466">
        <f>SUM(K2270:K2273)</f>
        <v>4.5700000000000003</v>
      </c>
      <c r="L2269" s="480"/>
      <c r="M2269" s="466">
        <f>SUM(M2270:M2273)</f>
        <v>4.5529813099999998</v>
      </c>
      <c r="N2269" s="467" t="s">
        <v>21791</v>
      </c>
      <c r="O2269" s="434" t="str">
        <f t="shared" si="1388"/>
        <v xml:space="preserve">SEM VALOR</v>
      </c>
      <c r="P2269" s="435" t="str">
        <f t="shared" si="1389"/>
        <v xml:space="preserve">SEM VALOR</v>
      </c>
      <c r="AE2269" s="460">
        <v>1278</v>
      </c>
      <c r="AF2269" s="460"/>
      <c r="AH2269">
        <f t="shared" si="1397"/>
        <v>1278</v>
      </c>
    </row>
    <row r="2270" ht="45">
      <c r="A2270" s="217"/>
      <c r="B2270" s="217">
        <v>1278</v>
      </c>
      <c r="C2270" s="217"/>
      <c r="D2270" s="217" t="s">
        <v>20453</v>
      </c>
      <c r="E2270" s="471" t="s">
        <v>20399</v>
      </c>
      <c r="F2270" s="564" t="s">
        <v>20153</v>
      </c>
      <c r="G2270" s="470" t="s">
        <v>20936</v>
      </c>
      <c r="H2270" s="499" t="s">
        <v>302</v>
      </c>
      <c r="I2270" s="483">
        <v>0.5</v>
      </c>
      <c r="J2270" s="473">
        <f t="shared" ref="J2270:J2333" si="1401">O2270*$J$3</f>
        <v>4.5199999999999996</v>
      </c>
      <c r="K2270" s="474">
        <v>2.2599999999999998</v>
      </c>
      <c r="L2270" s="473">
        <f t="shared" si="1390"/>
        <v>4.5199999999999996</v>
      </c>
      <c r="M2270" s="474">
        <f t="shared" ref="M2270:M2273" si="1402">L2270*I2270</f>
        <v>2.2599999999999998</v>
      </c>
      <c r="O2270" s="434">
        <f t="shared" si="1388"/>
        <v>4.5199999999999996</v>
      </c>
      <c r="P2270" s="435">
        <f t="shared" si="1389"/>
        <v>4.5199999999999996</v>
      </c>
      <c r="AE2270" s="217"/>
      <c r="AF2270" s="217">
        <v>1278</v>
      </c>
      <c r="AH2270">
        <f t="shared" si="1397"/>
        <v>1278</v>
      </c>
    </row>
    <row r="2271" ht="120">
      <c r="A2271" s="217"/>
      <c r="B2271" s="217">
        <v>1278</v>
      </c>
      <c r="C2271" s="217"/>
      <c r="D2271" s="217" t="s">
        <v>17167</v>
      </c>
      <c r="E2271" s="471" t="s">
        <v>20402</v>
      </c>
      <c r="F2271" s="489">
        <v>83362</v>
      </c>
      <c r="G2271" s="470" t="s">
        <v>20922</v>
      </c>
      <c r="H2271" s="499" t="s">
        <v>1535</v>
      </c>
      <c r="I2271" s="483">
        <v>6.6670000000000002e-003</v>
      </c>
      <c r="J2271" s="473">
        <f t="shared" si="1401"/>
        <v>290.72000000000003</v>
      </c>
      <c r="K2271" s="474">
        <f>TRUNC(I2271*J2271,2)</f>
        <v>1.9299999999999999</v>
      </c>
      <c r="L2271" s="473">
        <f t="shared" si="1390"/>
        <v>289.12</v>
      </c>
      <c r="M2271" s="474">
        <f t="shared" si="1402"/>
        <v>1.9275630400000001</v>
      </c>
      <c r="O2271" s="434">
        <f t="shared" si="1388"/>
        <v>290.72000000000003</v>
      </c>
      <c r="P2271" s="435">
        <f t="shared" si="1389"/>
        <v>289.12</v>
      </c>
      <c r="AE2271" s="217"/>
      <c r="AF2271" s="217">
        <v>1278</v>
      </c>
      <c r="AH2271">
        <f t="shared" si="1397"/>
        <v>1278</v>
      </c>
    </row>
    <row r="2272" ht="30">
      <c r="A2272" s="217"/>
      <c r="B2272" s="217">
        <v>1278</v>
      </c>
      <c r="C2272" s="217"/>
      <c r="D2272" s="217" t="s">
        <v>17167</v>
      </c>
      <c r="E2272" s="471" t="s">
        <v>20405</v>
      </c>
      <c r="F2272" s="489">
        <v>88316</v>
      </c>
      <c r="G2272" s="470" t="s">
        <v>7393</v>
      </c>
      <c r="H2272" s="499" t="s">
        <v>2032</v>
      </c>
      <c r="I2272" s="483">
        <v>6.6670000000000002e-003</v>
      </c>
      <c r="J2272" s="473">
        <f t="shared" si="1401"/>
        <v>22.760000000000002</v>
      </c>
      <c r="K2272" s="474">
        <f>TRUNC(I2272*J2272,2)</f>
        <v>0.14999999999999999</v>
      </c>
      <c r="L2272" s="473">
        <f t="shared" si="1390"/>
        <v>21.550000000000001</v>
      </c>
      <c r="M2272" s="474">
        <f t="shared" si="1402"/>
        <v>0.14367385000000002</v>
      </c>
      <c r="O2272" s="434">
        <f t="shared" si="1388"/>
        <v>22.760000000000002</v>
      </c>
      <c r="P2272" s="435">
        <f t="shared" si="1389"/>
        <v>21.550000000000001</v>
      </c>
      <c r="AE2272" s="217"/>
      <c r="AF2272" s="217">
        <v>1278</v>
      </c>
      <c r="AH2272">
        <f t="shared" si="1397"/>
        <v>1278</v>
      </c>
    </row>
    <row r="2273" ht="30">
      <c r="A2273" s="217"/>
      <c r="B2273" s="217">
        <v>1278</v>
      </c>
      <c r="C2273" s="217"/>
      <c r="D2273" s="217" t="s">
        <v>17167</v>
      </c>
      <c r="E2273" s="471" t="s">
        <v>20409</v>
      </c>
      <c r="F2273" s="489">
        <v>90776</v>
      </c>
      <c r="G2273" s="470" t="s">
        <v>7322</v>
      </c>
      <c r="H2273" s="482" t="s">
        <v>2032</v>
      </c>
      <c r="I2273" s="483">
        <v>6.6670000000000002e-003</v>
      </c>
      <c r="J2273" s="473">
        <f t="shared" si="1401"/>
        <v>35.469999999999999</v>
      </c>
      <c r="K2273" s="474">
        <f>TRUNC(I2273*J2273,2)</f>
        <v>0.23000000000000001</v>
      </c>
      <c r="L2273" s="473">
        <f t="shared" si="1390"/>
        <v>33.259999999999998</v>
      </c>
      <c r="M2273" s="474">
        <f t="shared" si="1402"/>
        <v>0.22174442</v>
      </c>
      <c r="O2273" s="434">
        <f t="shared" si="1388"/>
        <v>35.469999999999999</v>
      </c>
      <c r="P2273" s="435">
        <f t="shared" si="1389"/>
        <v>33.259999999999998</v>
      </c>
      <c r="AE2273" s="217"/>
      <c r="AF2273" s="217">
        <v>1278</v>
      </c>
      <c r="AH2273">
        <f t="shared" si="1397"/>
        <v>1278</v>
      </c>
    </row>
    <row r="2274" ht="54" hidden="1" customHeight="1">
      <c r="A2274" s="460">
        <v>1279</v>
      </c>
      <c r="B2274" s="460">
        <v>1279</v>
      </c>
      <c r="C2274" s="460"/>
      <c r="D2274" s="460"/>
      <c r="E2274" s="461">
        <v>1</v>
      </c>
      <c r="F2274" s="462" t="s">
        <v>21792</v>
      </c>
      <c r="G2274" s="477" t="s">
        <v>21793</v>
      </c>
      <c r="H2274" s="579" t="s">
        <v>15515</v>
      </c>
      <c r="I2274" s="479"/>
      <c r="J2274" s="480"/>
      <c r="K2274" s="466" t="e">
        <f>SUM(K2275:K2276)</f>
        <v>#VALUE!</v>
      </c>
      <c r="L2274" s="480"/>
      <c r="M2274" s="466" t="e">
        <f>SUM(M2275:M2276)</f>
        <v>#VALUE!</v>
      </c>
      <c r="N2274" s="467" t="s">
        <v>21794</v>
      </c>
      <c r="O2274" s="434" t="str">
        <f t="shared" si="1388"/>
        <v xml:space="preserve">SEM VALOR</v>
      </c>
      <c r="P2274" s="435" t="str">
        <f t="shared" si="1389"/>
        <v xml:space="preserve">SEM VALOR</v>
      </c>
      <c r="AE2274" s="460">
        <v>1279</v>
      </c>
      <c r="AF2274" s="460"/>
      <c r="AH2274">
        <f t="shared" si="1397"/>
        <v>1279</v>
      </c>
    </row>
    <row r="2275" ht="75" hidden="1">
      <c r="A2275" s="217"/>
      <c r="B2275" s="217">
        <v>1279</v>
      </c>
      <c r="C2275" s="217"/>
      <c r="D2275" s="217" t="s">
        <v>20408</v>
      </c>
      <c r="E2275" s="471" t="s">
        <v>20399</v>
      </c>
      <c r="F2275" s="489">
        <v>746</v>
      </c>
      <c r="G2275" s="470" t="s">
        <v>21795</v>
      </c>
      <c r="H2275" s="499" t="s">
        <v>31</v>
      </c>
      <c r="I2275" s="483" t="s">
        <v>21796</v>
      </c>
      <c r="J2275" s="473">
        <f t="shared" si="1401"/>
        <v>2034.95</v>
      </c>
      <c r="K2275" s="474" t="e">
        <f t="shared" ref="K2275:K2276" si="1403">I2275*J2275</f>
        <v>#VALUE!</v>
      </c>
      <c r="L2275" s="473">
        <f t="shared" si="1390"/>
        <v>2034.95</v>
      </c>
      <c r="M2275" s="474" t="e">
        <f t="shared" ref="M2275:M2276" si="1404">L2275*I2275</f>
        <v>#VALUE!</v>
      </c>
      <c r="O2275" s="434">
        <f t="shared" si="1388"/>
        <v>2034.95</v>
      </c>
      <c r="P2275" s="435">
        <f t="shared" si="1389"/>
        <v>2034.95</v>
      </c>
      <c r="AE2275" s="217"/>
      <c r="AF2275" s="217">
        <v>1279</v>
      </c>
      <c r="AH2275">
        <f t="shared" si="1397"/>
        <v>1279</v>
      </c>
    </row>
    <row r="2276" ht="30" hidden="1">
      <c r="A2276" s="217"/>
      <c r="B2276" s="217">
        <v>1279</v>
      </c>
      <c r="C2276" s="217"/>
      <c r="D2276" s="217" t="s">
        <v>17167</v>
      </c>
      <c r="E2276" s="471" t="s">
        <v>20402</v>
      </c>
      <c r="F2276" s="489">
        <v>88316</v>
      </c>
      <c r="G2276" s="470" t="s">
        <v>7393</v>
      </c>
      <c r="H2276" s="482" t="s">
        <v>2032</v>
      </c>
      <c r="I2276" s="483" t="s">
        <v>21797</v>
      </c>
      <c r="J2276" s="473">
        <f t="shared" si="1401"/>
        <v>22.760000000000002</v>
      </c>
      <c r="K2276" s="474" t="e">
        <f t="shared" si="1403"/>
        <v>#VALUE!</v>
      </c>
      <c r="L2276" s="473">
        <f t="shared" si="1390"/>
        <v>21.550000000000001</v>
      </c>
      <c r="M2276" s="474" t="e">
        <f t="shared" si="1404"/>
        <v>#VALUE!</v>
      </c>
      <c r="O2276" s="434">
        <f t="shared" si="1388"/>
        <v>22.760000000000002</v>
      </c>
      <c r="P2276" s="435">
        <f t="shared" si="1389"/>
        <v>21.550000000000001</v>
      </c>
      <c r="AE2276" s="217"/>
      <c r="AF2276" s="217">
        <v>1279</v>
      </c>
      <c r="AH2276">
        <f t="shared" si="1397"/>
        <v>1279</v>
      </c>
    </row>
    <row r="2277" ht="49.5" hidden="1" customHeight="1">
      <c r="A2277" s="460">
        <v>1280</v>
      </c>
      <c r="B2277" s="460">
        <v>1280</v>
      </c>
      <c r="C2277" s="460"/>
      <c r="D2277" s="460"/>
      <c r="E2277" s="461">
        <v>1</v>
      </c>
      <c r="F2277" s="462" t="s">
        <v>21798</v>
      </c>
      <c r="G2277" s="590" t="s">
        <v>21799</v>
      </c>
      <c r="H2277" s="579" t="s">
        <v>31</v>
      </c>
      <c r="I2277" s="479"/>
      <c r="J2277" s="480"/>
      <c r="K2277" s="466">
        <f>SUM(K2278:K2282)</f>
        <v>10.963899999999999</v>
      </c>
      <c r="L2277" s="480"/>
      <c r="M2277" s="466">
        <f>SUM(M2278:M2282)</f>
        <v>10.6495</v>
      </c>
      <c r="N2277" s="467" t="s">
        <v>21800</v>
      </c>
      <c r="O2277" s="434" t="str">
        <f t="shared" si="1388"/>
        <v xml:space="preserve">SEM VALOR</v>
      </c>
      <c r="P2277" s="435" t="str">
        <f t="shared" si="1389"/>
        <v xml:space="preserve">SEM VALOR</v>
      </c>
      <c r="AE2277" s="460">
        <v>1280</v>
      </c>
      <c r="AF2277" s="460"/>
      <c r="AH2277">
        <f t="shared" si="1397"/>
        <v>1280</v>
      </c>
    </row>
    <row r="2278" ht="30" hidden="1">
      <c r="A2278" s="217"/>
      <c r="B2278" s="217">
        <v>1280</v>
      </c>
      <c r="C2278" s="217"/>
      <c r="D2278" s="217" t="s">
        <v>20408</v>
      </c>
      <c r="E2278" s="471" t="s">
        <v>20399</v>
      </c>
      <c r="F2278" s="489">
        <v>345</v>
      </c>
      <c r="G2278" s="470" t="s">
        <v>10760</v>
      </c>
      <c r="H2278" s="499" t="s">
        <v>21801</v>
      </c>
      <c r="I2278" s="483">
        <v>4.0000000000000001e-002</v>
      </c>
      <c r="J2278" s="473">
        <f t="shared" si="1401"/>
        <v>26.780000000000001</v>
      </c>
      <c r="K2278" s="474">
        <f t="shared" ref="K2278:K2282" si="1405">I2278*J2278</f>
        <v>1.0712000000000002</v>
      </c>
      <c r="L2278" s="473">
        <f t="shared" si="1390"/>
        <v>26.780000000000001</v>
      </c>
      <c r="M2278" s="474">
        <f t="shared" ref="M2278:M2282" si="1406">L2278*I2278</f>
        <v>1.0712000000000002</v>
      </c>
      <c r="O2278" s="434">
        <f t="shared" si="1388"/>
        <v>26.780000000000001</v>
      </c>
      <c r="P2278" s="435">
        <f t="shared" si="1389"/>
        <v>26.780000000000001</v>
      </c>
      <c r="AE2278" s="217"/>
      <c r="AF2278" s="217">
        <v>1280</v>
      </c>
      <c r="AH2278">
        <f t="shared" si="1397"/>
        <v>1280</v>
      </c>
    </row>
    <row r="2279" ht="45" hidden="1">
      <c r="A2279" s="217"/>
      <c r="B2279" s="217">
        <v>1280</v>
      </c>
      <c r="C2279" s="217"/>
      <c r="D2279" s="217" t="s">
        <v>20408</v>
      </c>
      <c r="E2279" s="471" t="s">
        <v>20402</v>
      </c>
      <c r="F2279" s="489">
        <v>4517</v>
      </c>
      <c r="G2279" s="470" t="s">
        <v>14270</v>
      </c>
      <c r="H2279" s="499" t="s">
        <v>21420</v>
      </c>
      <c r="I2279" s="483">
        <v>0.84999999999999998</v>
      </c>
      <c r="J2279" s="473">
        <f t="shared" si="1401"/>
        <v>2.3900000000000001</v>
      </c>
      <c r="K2279" s="474">
        <f t="shared" si="1405"/>
        <v>2.0314999999999999</v>
      </c>
      <c r="L2279" s="473">
        <f t="shared" si="1390"/>
        <v>2.3900000000000001</v>
      </c>
      <c r="M2279" s="474">
        <f t="shared" si="1406"/>
        <v>2.0314999999999999</v>
      </c>
      <c r="O2279" s="434">
        <f t="shared" si="1388"/>
        <v>2.3900000000000001</v>
      </c>
      <c r="P2279" s="435">
        <f t="shared" si="1389"/>
        <v>2.3900000000000001</v>
      </c>
      <c r="AE2279" s="217"/>
      <c r="AF2279" s="217">
        <v>1280</v>
      </c>
      <c r="AH2279">
        <f t="shared" si="1397"/>
        <v>1280</v>
      </c>
    </row>
    <row r="2280" ht="45" hidden="1">
      <c r="A2280" s="217"/>
      <c r="B2280" s="217">
        <v>1280</v>
      </c>
      <c r="C2280" s="217"/>
      <c r="D2280" s="217" t="s">
        <v>20408</v>
      </c>
      <c r="E2280" s="471" t="s">
        <v>20405</v>
      </c>
      <c r="F2280" s="489">
        <v>37524</v>
      </c>
      <c r="G2280" s="470" t="s">
        <v>14656</v>
      </c>
      <c r="H2280" s="499" t="s">
        <v>21420</v>
      </c>
      <c r="I2280" s="483">
        <v>1</v>
      </c>
      <c r="J2280" s="473">
        <f t="shared" si="1401"/>
        <v>2.1000000000000001</v>
      </c>
      <c r="K2280" s="474">
        <f t="shared" si="1405"/>
        <v>2.1000000000000001</v>
      </c>
      <c r="L2280" s="473">
        <f t="shared" si="1390"/>
        <v>2.1000000000000001</v>
      </c>
      <c r="M2280" s="474">
        <f t="shared" si="1406"/>
        <v>2.1000000000000001</v>
      </c>
      <c r="O2280" s="434">
        <f t="shared" si="1388"/>
        <v>2.1000000000000001</v>
      </c>
      <c r="P2280" s="435">
        <f t="shared" si="1389"/>
        <v>2.1000000000000001</v>
      </c>
      <c r="AE2280" s="217"/>
      <c r="AF2280" s="217">
        <v>1280</v>
      </c>
      <c r="AH2280">
        <f t="shared" si="1397"/>
        <v>1280</v>
      </c>
    </row>
    <row r="2281" ht="30" hidden="1">
      <c r="A2281" s="217"/>
      <c r="B2281" s="217">
        <v>1280</v>
      </c>
      <c r="C2281" s="217"/>
      <c r="D2281" s="217" t="s">
        <v>17167</v>
      </c>
      <c r="E2281" s="471" t="s">
        <v>20409</v>
      </c>
      <c r="F2281" s="489">
        <v>88262</v>
      </c>
      <c r="G2281" s="470" t="s">
        <v>7127</v>
      </c>
      <c r="H2281" s="499" t="s">
        <v>2032</v>
      </c>
      <c r="I2281" s="483">
        <v>5.9999999999999998e-002</v>
      </c>
      <c r="J2281" s="473">
        <f t="shared" si="1401"/>
        <v>27.739999999999998</v>
      </c>
      <c r="K2281" s="474">
        <f t="shared" si="1405"/>
        <v>1.6643999999999999</v>
      </c>
      <c r="L2281" s="473">
        <f t="shared" si="1390"/>
        <v>26.129999999999999</v>
      </c>
      <c r="M2281" s="474">
        <f t="shared" si="1406"/>
        <v>1.5677999999999999</v>
      </c>
      <c r="O2281" s="434">
        <f t="shared" si="1388"/>
        <v>27.739999999999998</v>
      </c>
      <c r="P2281" s="435">
        <f t="shared" si="1389"/>
        <v>26.129999999999999</v>
      </c>
      <c r="AE2281" s="217"/>
      <c r="AF2281" s="217">
        <v>1280</v>
      </c>
      <c r="AH2281">
        <f t="shared" si="1397"/>
        <v>1280</v>
      </c>
    </row>
    <row r="2282" ht="30" hidden="1">
      <c r="A2282" s="217"/>
      <c r="B2282" s="217">
        <v>1280</v>
      </c>
      <c r="C2282" s="217"/>
      <c r="D2282" s="217" t="s">
        <v>17167</v>
      </c>
      <c r="E2282" s="471" t="s">
        <v>20663</v>
      </c>
      <c r="F2282" s="489">
        <v>88316</v>
      </c>
      <c r="G2282" s="470" t="s">
        <v>7393</v>
      </c>
      <c r="H2282" s="482" t="s">
        <v>2032</v>
      </c>
      <c r="I2282" s="483">
        <v>0.17999999999999999</v>
      </c>
      <c r="J2282" s="473">
        <f t="shared" si="1401"/>
        <v>22.760000000000002</v>
      </c>
      <c r="K2282" s="474">
        <f t="shared" si="1405"/>
        <v>4.0968</v>
      </c>
      <c r="L2282" s="473">
        <f t="shared" si="1390"/>
        <v>21.550000000000001</v>
      </c>
      <c r="M2282" s="474">
        <f t="shared" si="1406"/>
        <v>3.879</v>
      </c>
      <c r="O2282" s="434">
        <f t="shared" si="1388"/>
        <v>22.760000000000002</v>
      </c>
      <c r="P2282" s="435">
        <f t="shared" si="1389"/>
        <v>21.550000000000001</v>
      </c>
      <c r="AE2282" s="217"/>
      <c r="AF2282" s="217">
        <v>1280</v>
      </c>
      <c r="AH2282">
        <f t="shared" si="1397"/>
        <v>1280</v>
      </c>
    </row>
    <row r="2283" ht="82.5" customHeight="1">
      <c r="A2283" s="460">
        <v>1281</v>
      </c>
      <c r="B2283" s="460">
        <v>1281</v>
      </c>
      <c r="C2283" s="460"/>
      <c r="D2283" s="460"/>
      <c r="E2283" s="461">
        <v>1</v>
      </c>
      <c r="F2283" s="462" t="s">
        <v>21802</v>
      </c>
      <c r="G2283" s="477" t="s">
        <v>21803</v>
      </c>
      <c r="H2283" s="579" t="s">
        <v>9591</v>
      </c>
      <c r="I2283" s="479"/>
      <c r="J2283" s="480"/>
      <c r="K2283" s="466">
        <f>SUM(K2284:K2294)</f>
        <v>15.771190808</v>
      </c>
      <c r="L2283" s="480"/>
      <c r="M2283" s="466">
        <f>SUM(M2284:M2294)</f>
        <v>15.468883655999999</v>
      </c>
      <c r="N2283" s="467" t="s">
        <v>21804</v>
      </c>
      <c r="O2283" s="434" t="str">
        <f t="shared" si="1388"/>
        <v xml:space="preserve">SEM VALOR</v>
      </c>
      <c r="P2283" s="435" t="str">
        <f t="shared" si="1389"/>
        <v xml:space="preserve">SEM VALOR</v>
      </c>
      <c r="AE2283" s="460">
        <v>1281</v>
      </c>
      <c r="AF2283" s="460"/>
      <c r="AH2283">
        <f t="shared" si="1397"/>
        <v>1281</v>
      </c>
    </row>
    <row r="2284" ht="75">
      <c r="A2284" s="217"/>
      <c r="B2284" s="217">
        <v>1281</v>
      </c>
      <c r="C2284" s="217"/>
      <c r="D2284" s="217" t="s">
        <v>17167</v>
      </c>
      <c r="E2284" s="471" t="s">
        <v>20399</v>
      </c>
      <c r="F2284" s="489">
        <v>5932</v>
      </c>
      <c r="G2284" s="470" t="s">
        <v>1787</v>
      </c>
      <c r="H2284" s="499" t="s">
        <v>15410</v>
      </c>
      <c r="I2284" s="483">
        <v>1.53846e-002</v>
      </c>
      <c r="J2284" s="473">
        <f t="shared" si="1401"/>
        <v>294.49000000000001</v>
      </c>
      <c r="K2284" s="474">
        <f t="shared" ref="K2284:K2294" si="1407">I2284*J2284</f>
        <v>4.5306108539999999</v>
      </c>
      <c r="L2284" s="473">
        <f t="shared" si="1390"/>
        <v>291.70999999999998</v>
      </c>
      <c r="M2284" s="474">
        <f t="shared" ref="M2284:M2294" si="1408">L2284*I2284</f>
        <v>4.4878416659999996</v>
      </c>
      <c r="O2284" s="434">
        <f t="shared" ref="O2284:O2347" si="1409">IFERROR(IF(D2284="SINAPI",VLOOKUP(F2284,SINCOMOD,4,FALSE),IF(D2284="INSINAPI",VLOOKUP(F2284,INSINOD,5,FALSE),IF(D2284="SICRO",VLOOKUP(F2284,SICRO,5,FALSE),IF(D2284="COTACAO",VLOOKUP(F2284,COTACAO,6,FALSE),IF(D2284="PRÓPRIO",VLOOKUP(F2284,COMPOD,11,FALSE),IF(D2284="AGESUL",VLOOKUP(F2284,AGESULOD,6,FALSE),IF(D2284="INSAGESUL",VLOOKUP(F2284,INSAGESUL,7,FALSE),"SEM VALOR"))))))),"SEM VALOR")</f>
        <v>294.49000000000001</v>
      </c>
      <c r="P2284" s="435">
        <f t="shared" ref="P2284:P2347" si="1410">IFERROR(IF(D2284="SINAPI",VLOOKUP(F2284,SINCOMOD,6,FALSE),IF(D2284="INSINAPI",VLOOKUP(F2284,INSINOD,6,FALSE),IF(D2284="SICRO",VLOOKUP(F2284,SICRO,5,FALSE),IF(D2284="COTACAO",VLOOKUP(F2284,COTACAO,6,FALSE),IF(D2284="PRÓPRIO",VLOOKUP(F2284,COMPOD,13,FALSE),IF(D2284="AGESUL",VLOOKUP(F2284,AGESULOD,11,FALSE),IF(D2284="INSAGESUL",VLOOKUP(F2284,INSAGESUL,8,FALSE),"SEM VALOR"))))))),"SEM VALOR")</f>
        <v>291.70999999999998</v>
      </c>
      <c r="AE2284" s="217"/>
      <c r="AF2284" s="217">
        <v>1281</v>
      </c>
      <c r="AH2284">
        <f t="shared" si="1397"/>
        <v>1281</v>
      </c>
    </row>
    <row r="2285" ht="75">
      <c r="A2285" s="217"/>
      <c r="B2285" s="217">
        <v>1281</v>
      </c>
      <c r="C2285" s="217"/>
      <c r="D2285" s="217" t="s">
        <v>17167</v>
      </c>
      <c r="E2285" s="471" t="s">
        <v>20402</v>
      </c>
      <c r="F2285" s="489">
        <v>5942</v>
      </c>
      <c r="G2285" s="470" t="s">
        <v>21805</v>
      </c>
      <c r="H2285" s="499" t="s">
        <v>15414</v>
      </c>
      <c r="I2285" s="483">
        <v>3.0769e-003</v>
      </c>
      <c r="J2285" s="473">
        <f t="shared" si="1401"/>
        <v>75.659999999999997</v>
      </c>
      <c r="K2285" s="474">
        <f t="shared" si="1407"/>
        <v>0.23279825399999998</v>
      </c>
      <c r="L2285" s="473">
        <f t="shared" ref="L2285:L2348" si="1411">P2285*$L$3</f>
        <v>73.769999999999996</v>
      </c>
      <c r="M2285" s="474">
        <f t="shared" si="1408"/>
        <v>0.22698291299999998</v>
      </c>
      <c r="O2285" s="434">
        <f t="shared" si="1409"/>
        <v>75.659999999999997</v>
      </c>
      <c r="P2285" s="435">
        <f t="shared" si="1410"/>
        <v>73.769999999999996</v>
      </c>
      <c r="AE2285" s="217"/>
      <c r="AF2285" s="217">
        <v>1281</v>
      </c>
      <c r="AH2285">
        <f t="shared" si="1397"/>
        <v>1281</v>
      </c>
    </row>
    <row r="2286" ht="75">
      <c r="A2286" s="217"/>
      <c r="B2286" s="217">
        <v>1281</v>
      </c>
      <c r="C2286" s="217"/>
      <c r="D2286" s="217" t="s">
        <v>17167</v>
      </c>
      <c r="E2286" s="471" t="s">
        <v>20405</v>
      </c>
      <c r="F2286" s="489">
        <v>5940</v>
      </c>
      <c r="G2286" s="470" t="s">
        <v>21806</v>
      </c>
      <c r="H2286" s="499" t="s">
        <v>15410</v>
      </c>
      <c r="I2286" s="483">
        <v>1.23076e-002</v>
      </c>
      <c r="J2286" s="473">
        <f t="shared" si="1401"/>
        <v>171.97999999999999</v>
      </c>
      <c r="K2286" s="474">
        <f t="shared" si="1407"/>
        <v>2.1166610480000001</v>
      </c>
      <c r="L2286" s="473">
        <f t="shared" si="1411"/>
        <v>170.09</v>
      </c>
      <c r="M2286" s="474">
        <f t="shared" si="1408"/>
        <v>2.093399684</v>
      </c>
      <c r="O2286" s="434">
        <f t="shared" si="1409"/>
        <v>171.97999999999999</v>
      </c>
      <c r="P2286" s="435">
        <f t="shared" si="1410"/>
        <v>170.09</v>
      </c>
      <c r="AE2286" s="217"/>
      <c r="AF2286" s="217">
        <v>1281</v>
      </c>
      <c r="AH2286">
        <f t="shared" si="1397"/>
        <v>1281</v>
      </c>
    </row>
    <row r="2287" ht="90">
      <c r="A2287" s="217"/>
      <c r="B2287" s="217">
        <v>1281</v>
      </c>
      <c r="C2287" s="217"/>
      <c r="D2287" s="217" t="s">
        <v>17167</v>
      </c>
      <c r="E2287" s="471" t="s">
        <v>20409</v>
      </c>
      <c r="F2287" s="489">
        <v>6879</v>
      </c>
      <c r="G2287" s="470" t="s">
        <v>1877</v>
      </c>
      <c r="H2287" s="499" t="s">
        <v>15410</v>
      </c>
      <c r="I2287" s="483">
        <v>1.53846e-002</v>
      </c>
      <c r="J2287" s="473">
        <f t="shared" si="1401"/>
        <v>212.56</v>
      </c>
      <c r="K2287" s="474">
        <f t="shared" si="1407"/>
        <v>3.2701505760000003</v>
      </c>
      <c r="L2287" s="473">
        <f t="shared" si="1411"/>
        <v>210.86000000000001</v>
      </c>
      <c r="M2287" s="474">
        <f t="shared" si="1408"/>
        <v>3.243996756</v>
      </c>
      <c r="O2287" s="434">
        <f t="shared" si="1409"/>
        <v>212.56</v>
      </c>
      <c r="P2287" s="435">
        <f t="shared" si="1410"/>
        <v>210.86000000000001</v>
      </c>
      <c r="AE2287" s="217"/>
      <c r="AF2287" s="217">
        <v>1281</v>
      </c>
      <c r="AH2287">
        <f t="shared" si="1397"/>
        <v>1281</v>
      </c>
    </row>
    <row r="2288" ht="75">
      <c r="A2288" s="217"/>
      <c r="B2288" s="217">
        <v>1281</v>
      </c>
      <c r="C2288" s="217"/>
      <c r="D2288" s="217" t="s">
        <v>17167</v>
      </c>
      <c r="E2288" s="471" t="s">
        <v>20663</v>
      </c>
      <c r="F2288" s="489">
        <v>5869</v>
      </c>
      <c r="G2288" s="470" t="s">
        <v>1892</v>
      </c>
      <c r="H2288" s="499" t="s">
        <v>15414</v>
      </c>
      <c r="I2288" s="483">
        <v>9.2306999999999997e-003</v>
      </c>
      <c r="J2288" s="473">
        <f t="shared" si="1401"/>
        <v>72.219999999999999</v>
      </c>
      <c r="K2288" s="474">
        <f t="shared" si="1407"/>
        <v>0.66664115400000001</v>
      </c>
      <c r="L2288" s="473">
        <f t="shared" si="1411"/>
        <v>70.519999999999996</v>
      </c>
      <c r="M2288" s="474">
        <f t="shared" si="1408"/>
        <v>0.65094896399999991</v>
      </c>
      <c r="O2288" s="434">
        <f t="shared" si="1409"/>
        <v>72.219999999999999</v>
      </c>
      <c r="P2288" s="435">
        <f t="shared" si="1410"/>
        <v>70.519999999999996</v>
      </c>
      <c r="AE2288" s="217"/>
      <c r="AF2288" s="217">
        <v>1281</v>
      </c>
      <c r="AH2288">
        <f t="shared" si="1397"/>
        <v>1281</v>
      </c>
    </row>
    <row r="2289" ht="75">
      <c r="A2289" s="217"/>
      <c r="B2289" s="217">
        <v>1281</v>
      </c>
      <c r="C2289" s="217"/>
      <c r="D2289" s="217" t="s">
        <v>17167</v>
      </c>
      <c r="E2289" s="471" t="s">
        <v>20665</v>
      </c>
      <c r="F2289" s="489">
        <v>5867</v>
      </c>
      <c r="G2289" s="470" t="s">
        <v>1893</v>
      </c>
      <c r="H2289" s="499" t="s">
        <v>15410</v>
      </c>
      <c r="I2289" s="483">
        <v>6.1538000000000001e-003</v>
      </c>
      <c r="J2289" s="473">
        <f t="shared" si="1401"/>
        <v>161.97999999999999</v>
      </c>
      <c r="K2289" s="474">
        <f t="shared" si="1407"/>
        <v>0.99679252399999996</v>
      </c>
      <c r="L2289" s="473">
        <f t="shared" si="1411"/>
        <v>160.28</v>
      </c>
      <c r="M2289" s="474">
        <f t="shared" si="1408"/>
        <v>0.98633106400000004</v>
      </c>
      <c r="O2289" s="434">
        <f t="shared" si="1409"/>
        <v>161.97999999999999</v>
      </c>
      <c r="P2289" s="435">
        <f t="shared" si="1410"/>
        <v>160.28</v>
      </c>
      <c r="AE2289" s="217"/>
      <c r="AF2289" s="217">
        <v>1281</v>
      </c>
      <c r="AH2289">
        <f t="shared" si="1397"/>
        <v>1281</v>
      </c>
    </row>
    <row r="2290" ht="30">
      <c r="A2290" s="217"/>
      <c r="B2290" s="217">
        <v>1281</v>
      </c>
      <c r="C2290" s="217"/>
      <c r="D2290" s="217" t="s">
        <v>17167</v>
      </c>
      <c r="E2290" s="471" t="s">
        <v>20667</v>
      </c>
      <c r="F2290" s="489">
        <v>88316</v>
      </c>
      <c r="G2290" s="470" t="s">
        <v>7393</v>
      </c>
      <c r="H2290" s="499" t="s">
        <v>15443</v>
      </c>
      <c r="I2290" s="483">
        <v>0.1230769</v>
      </c>
      <c r="J2290" s="473">
        <f t="shared" si="1401"/>
        <v>22.760000000000002</v>
      </c>
      <c r="K2290" s="474">
        <f t="shared" si="1407"/>
        <v>2.8012302440000001</v>
      </c>
      <c r="L2290" s="473">
        <f t="shared" si="1411"/>
        <v>21.550000000000001</v>
      </c>
      <c r="M2290" s="474">
        <f t="shared" si="1408"/>
        <v>2.6523071950000001</v>
      </c>
      <c r="O2290" s="434">
        <f t="shared" si="1409"/>
        <v>22.760000000000002</v>
      </c>
      <c r="P2290" s="435">
        <f t="shared" si="1410"/>
        <v>21.550000000000001</v>
      </c>
      <c r="AE2290" s="217"/>
      <c r="AF2290" s="217">
        <v>1281</v>
      </c>
      <c r="AH2290">
        <f t="shared" si="1397"/>
        <v>1281</v>
      </c>
    </row>
    <row r="2291" ht="45">
      <c r="A2291" s="217"/>
      <c r="B2291" s="217">
        <v>1281</v>
      </c>
      <c r="C2291" s="217"/>
      <c r="D2291" s="217" t="s">
        <v>17167</v>
      </c>
      <c r="E2291" s="471" t="s">
        <v>20671</v>
      </c>
      <c r="F2291" s="489">
        <v>89036</v>
      </c>
      <c r="G2291" s="470" t="s">
        <v>1934</v>
      </c>
      <c r="H2291" s="499" t="s">
        <v>15414</v>
      </c>
      <c r="I2291" s="483">
        <v>1.1692299999999999e-002</v>
      </c>
      <c r="J2291" s="473">
        <f t="shared" si="1401"/>
        <v>47.5</v>
      </c>
      <c r="K2291" s="474">
        <f t="shared" si="1407"/>
        <v>0.55538424999999991</v>
      </c>
      <c r="L2291" s="473">
        <f t="shared" si="1411"/>
        <v>45.600000000000001</v>
      </c>
      <c r="M2291" s="474">
        <f t="shared" si="1408"/>
        <v>0.53316887999999996</v>
      </c>
      <c r="O2291" s="434">
        <f t="shared" si="1409"/>
        <v>47.5</v>
      </c>
      <c r="P2291" s="435">
        <f t="shared" si="1410"/>
        <v>45.600000000000001</v>
      </c>
      <c r="AE2291" s="217"/>
      <c r="AF2291" s="217">
        <v>1281</v>
      </c>
      <c r="AH2291">
        <f t="shared" si="1397"/>
        <v>1281</v>
      </c>
    </row>
    <row r="2292" ht="45">
      <c r="A2292" s="217"/>
      <c r="B2292" s="217">
        <v>1281</v>
      </c>
      <c r="C2292" s="217"/>
      <c r="D2292" s="217" t="s">
        <v>17167</v>
      </c>
      <c r="E2292" s="471" t="s">
        <v>20672</v>
      </c>
      <c r="F2292" s="489">
        <v>89035</v>
      </c>
      <c r="G2292" s="470" t="s">
        <v>1935</v>
      </c>
      <c r="H2292" s="499" t="s">
        <v>15410</v>
      </c>
      <c r="I2292" s="483">
        <v>3.6922999999999999e-003</v>
      </c>
      <c r="J2292" s="473">
        <f t="shared" si="1401"/>
        <v>138.31</v>
      </c>
      <c r="K2292" s="474">
        <f t="shared" si="1407"/>
        <v>0.51068201300000005</v>
      </c>
      <c r="L2292" s="473">
        <f t="shared" si="1411"/>
        <v>136.41</v>
      </c>
      <c r="M2292" s="474">
        <f t="shared" si="1408"/>
        <v>0.50366664299999997</v>
      </c>
      <c r="O2292" s="434">
        <f t="shared" si="1409"/>
        <v>138.31</v>
      </c>
      <c r="P2292" s="435">
        <f t="shared" si="1410"/>
        <v>136.41</v>
      </c>
      <c r="AE2292" s="217"/>
      <c r="AF2292" s="217">
        <v>1281</v>
      </c>
      <c r="AH2292">
        <f t="shared" si="1397"/>
        <v>1281</v>
      </c>
    </row>
    <row r="2293" ht="60">
      <c r="A2293" s="217"/>
      <c r="B2293" s="217">
        <v>1281</v>
      </c>
      <c r="C2293" s="217"/>
      <c r="D2293" s="217" t="s">
        <v>17167</v>
      </c>
      <c r="E2293" s="471" t="s">
        <v>20673</v>
      </c>
      <c r="F2293" s="489">
        <v>5841</v>
      </c>
      <c r="G2293" s="470" t="s">
        <v>1954</v>
      </c>
      <c r="H2293" s="499" t="s">
        <v>15414</v>
      </c>
      <c r="I2293" s="483">
        <v>1.1692299999999999e-002</v>
      </c>
      <c r="J2293" s="473">
        <f t="shared" si="1401"/>
        <v>4.7400000000000002</v>
      </c>
      <c r="K2293" s="474">
        <f t="shared" si="1407"/>
        <v>5.5421501999999997e-002</v>
      </c>
      <c r="L2293" s="473">
        <f t="shared" si="1411"/>
        <v>4.7400000000000002</v>
      </c>
      <c r="M2293" s="474">
        <f t="shared" si="1408"/>
        <v>5.5421501999999997e-002</v>
      </c>
      <c r="O2293" s="434">
        <f t="shared" si="1409"/>
        <v>4.7400000000000002</v>
      </c>
      <c r="P2293" s="435">
        <f t="shared" si="1410"/>
        <v>4.7400000000000002</v>
      </c>
      <c r="AE2293" s="217"/>
      <c r="AF2293" s="217">
        <v>1281</v>
      </c>
      <c r="AH2293">
        <f t="shared" si="1397"/>
        <v>1281</v>
      </c>
    </row>
    <row r="2294" ht="60">
      <c r="A2294" s="217"/>
      <c r="B2294" s="217">
        <v>1281</v>
      </c>
      <c r="C2294" s="217"/>
      <c r="D2294" s="217" t="s">
        <v>17167</v>
      </c>
      <c r="E2294" s="471" t="s">
        <v>20675</v>
      </c>
      <c r="F2294" s="489">
        <v>5839</v>
      </c>
      <c r="G2294" s="470" t="s">
        <v>1955</v>
      </c>
      <c r="H2294" s="482" t="s">
        <v>15410</v>
      </c>
      <c r="I2294" s="483">
        <v>3.6922999999999999e-003</v>
      </c>
      <c r="J2294" s="473">
        <f t="shared" si="1401"/>
        <v>9.4299999999999997</v>
      </c>
      <c r="K2294" s="474">
        <f t="shared" si="1407"/>
        <v>3.4818388999999998e-002</v>
      </c>
      <c r="L2294" s="473">
        <f t="shared" si="1411"/>
        <v>9.4299999999999997</v>
      </c>
      <c r="M2294" s="474">
        <f t="shared" si="1408"/>
        <v>3.4818388999999998e-002</v>
      </c>
      <c r="O2294" s="434">
        <f t="shared" si="1409"/>
        <v>9.4299999999999997</v>
      </c>
      <c r="P2294" s="435">
        <f t="shared" si="1410"/>
        <v>9.4299999999999997</v>
      </c>
      <c r="AE2294" s="217"/>
      <c r="AF2294" s="217">
        <v>1281</v>
      </c>
      <c r="AH2294">
        <f t="shared" si="1397"/>
        <v>1281</v>
      </c>
    </row>
    <row r="2295" ht="50.25" customHeight="1">
      <c r="A2295" s="460">
        <v>1282</v>
      </c>
      <c r="B2295" s="460">
        <v>1282</v>
      </c>
      <c r="C2295" s="460"/>
      <c r="D2295" s="460"/>
      <c r="E2295" s="461">
        <v>1</v>
      </c>
      <c r="F2295" s="462" t="s">
        <v>21807</v>
      </c>
      <c r="G2295" s="477" t="s">
        <v>21722</v>
      </c>
      <c r="H2295" s="579" t="s">
        <v>31</v>
      </c>
      <c r="I2295" s="479"/>
      <c r="J2295" s="480"/>
      <c r="K2295" s="466">
        <f>SUM(K2296:K2301)</f>
        <v>167.06</v>
      </c>
      <c r="L2295" s="480"/>
      <c r="M2295" s="466">
        <f>SUM(M2296:M2301)</f>
        <v>166.09799000000001</v>
      </c>
      <c r="N2295" s="467" t="s">
        <v>21808</v>
      </c>
      <c r="O2295" s="434" t="str">
        <f t="shared" si="1409"/>
        <v xml:space="preserve">SEM VALOR</v>
      </c>
      <c r="P2295" s="435" t="str">
        <f t="shared" si="1410"/>
        <v xml:space="preserve">SEM VALOR</v>
      </c>
      <c r="AE2295" s="460">
        <v>1282</v>
      </c>
      <c r="AF2295" s="460"/>
      <c r="AH2295">
        <f t="shared" si="1397"/>
        <v>1282</v>
      </c>
    </row>
    <row r="2296" ht="30">
      <c r="A2296" s="217"/>
      <c r="B2296" s="217">
        <v>1282</v>
      </c>
      <c r="C2296" s="217"/>
      <c r="D2296" s="217" t="s">
        <v>20408</v>
      </c>
      <c r="E2296" s="471" t="s">
        <v>20399</v>
      </c>
      <c r="F2296" s="489">
        <v>3146</v>
      </c>
      <c r="G2296" s="470" t="s">
        <v>21809</v>
      </c>
      <c r="H2296" s="499" t="s">
        <v>20647</v>
      </c>
      <c r="I2296" s="483">
        <v>7.4999999999999997e-002</v>
      </c>
      <c r="J2296" s="473">
        <f t="shared" si="1401"/>
        <v>4.2400000000000002</v>
      </c>
      <c r="K2296" s="474">
        <f t="shared" ref="K2296:K2301" si="1412">TRUNC(I2296*J2296,2)</f>
        <v>0.31</v>
      </c>
      <c r="L2296" s="473">
        <f t="shared" si="1411"/>
        <v>4.2400000000000002</v>
      </c>
      <c r="M2296" s="474">
        <f t="shared" ref="M2296:M2301" si="1413">L2296*I2296</f>
        <v>0.318</v>
      </c>
      <c r="O2296" s="434">
        <f t="shared" si="1409"/>
        <v>4.2400000000000002</v>
      </c>
      <c r="P2296" s="435">
        <f t="shared" si="1410"/>
        <v>4.2400000000000002</v>
      </c>
      <c r="AE2296" s="217"/>
      <c r="AF2296" s="217">
        <v>1282</v>
      </c>
      <c r="AH2296">
        <f t="shared" si="1397"/>
        <v>1282</v>
      </c>
    </row>
    <row r="2297" ht="45">
      <c r="A2297" s="217"/>
      <c r="B2297" s="217">
        <v>1282</v>
      </c>
      <c r="C2297" s="217"/>
      <c r="D2297" s="217" t="s">
        <v>20408</v>
      </c>
      <c r="E2297" s="471" t="s">
        <v>20402</v>
      </c>
      <c r="F2297" s="489">
        <v>3729</v>
      </c>
      <c r="G2297" s="470" t="s">
        <v>12949</v>
      </c>
      <c r="H2297" s="499" t="s">
        <v>31</v>
      </c>
      <c r="I2297" s="483">
        <v>1</v>
      </c>
      <c r="J2297" s="473">
        <f t="shared" si="1401"/>
        <v>144.58000000000001</v>
      </c>
      <c r="K2297" s="474">
        <f t="shared" si="1412"/>
        <v>144.58000000000001</v>
      </c>
      <c r="L2297" s="473">
        <f t="shared" si="1411"/>
        <v>144.58000000000001</v>
      </c>
      <c r="M2297" s="474">
        <f t="shared" si="1413"/>
        <v>144.58000000000001</v>
      </c>
      <c r="O2297" s="434">
        <f t="shared" si="1409"/>
        <v>144.58000000000001</v>
      </c>
      <c r="P2297" s="435">
        <f t="shared" si="1410"/>
        <v>144.58000000000001</v>
      </c>
      <c r="AE2297" s="217"/>
      <c r="AF2297" s="217">
        <v>1282</v>
      </c>
      <c r="AH2297">
        <f t="shared" si="1397"/>
        <v>1282</v>
      </c>
    </row>
    <row r="2298" ht="45">
      <c r="A2298" s="217"/>
      <c r="B2298" s="217">
        <v>1282</v>
      </c>
      <c r="C2298" s="217"/>
      <c r="D2298" s="217" t="s">
        <v>17167</v>
      </c>
      <c r="E2298" s="471" t="s">
        <v>20405</v>
      </c>
      <c r="F2298" s="489">
        <v>88267</v>
      </c>
      <c r="G2298" s="488" t="s">
        <v>7321</v>
      </c>
      <c r="H2298" s="499" t="s">
        <v>2032</v>
      </c>
      <c r="I2298" s="483">
        <v>0.29999999999999999</v>
      </c>
      <c r="J2298" s="473">
        <f t="shared" si="1401"/>
        <v>27.84</v>
      </c>
      <c r="K2298" s="474">
        <f t="shared" si="1412"/>
        <v>8.3499999999999996</v>
      </c>
      <c r="L2298" s="473">
        <f t="shared" si="1411"/>
        <v>26.219999999999999</v>
      </c>
      <c r="M2298" s="474">
        <f t="shared" si="1413"/>
        <v>7.8659999999999997</v>
      </c>
      <c r="O2298" s="434">
        <f t="shared" si="1409"/>
        <v>27.84</v>
      </c>
      <c r="P2298" s="435">
        <f t="shared" si="1410"/>
        <v>26.219999999999999</v>
      </c>
      <c r="AE2298" s="217"/>
      <c r="AF2298" s="217">
        <v>1282</v>
      </c>
      <c r="AH2298">
        <f t="shared" si="1397"/>
        <v>1282</v>
      </c>
    </row>
    <row r="2299" ht="30">
      <c r="A2299" s="217"/>
      <c r="B2299" s="217">
        <v>1282</v>
      </c>
      <c r="C2299" s="217"/>
      <c r="D2299" s="217" t="s">
        <v>17167</v>
      </c>
      <c r="E2299" s="471" t="s">
        <v>20409</v>
      </c>
      <c r="F2299" s="489">
        <v>88316</v>
      </c>
      <c r="G2299" s="470" t="s">
        <v>7393</v>
      </c>
      <c r="H2299" s="499" t="s">
        <v>2032</v>
      </c>
      <c r="I2299" s="483">
        <v>0.29999999999999999</v>
      </c>
      <c r="J2299" s="473">
        <f t="shared" si="1401"/>
        <v>22.760000000000002</v>
      </c>
      <c r="K2299" s="474">
        <f t="shared" si="1412"/>
        <v>6.8200000000000003</v>
      </c>
      <c r="L2299" s="473">
        <f t="shared" si="1411"/>
        <v>21.550000000000001</v>
      </c>
      <c r="M2299" s="474">
        <f t="shared" si="1413"/>
        <v>6.4649999999999999</v>
      </c>
      <c r="O2299" s="434">
        <f t="shared" si="1409"/>
        <v>22.760000000000002</v>
      </c>
      <c r="P2299" s="435">
        <f t="shared" si="1410"/>
        <v>21.550000000000001</v>
      </c>
      <c r="AE2299" s="217"/>
      <c r="AF2299" s="217">
        <v>1282</v>
      </c>
      <c r="AH2299">
        <f t="shared" si="1397"/>
        <v>1282</v>
      </c>
    </row>
    <row r="2300" ht="75">
      <c r="A2300" s="217"/>
      <c r="B2300" s="217">
        <v>1282</v>
      </c>
      <c r="C2300" s="217"/>
      <c r="D2300" s="217" t="s">
        <v>17167</v>
      </c>
      <c r="E2300" s="471" t="s">
        <v>20663</v>
      </c>
      <c r="F2300" s="489">
        <v>94962</v>
      </c>
      <c r="G2300" s="470" t="s">
        <v>8726</v>
      </c>
      <c r="H2300" s="482" t="s">
        <v>15528</v>
      </c>
      <c r="I2300" s="483">
        <v>1.2999999999999999e-002</v>
      </c>
      <c r="J2300" s="473">
        <f t="shared" si="1401"/>
        <v>393.05000000000001</v>
      </c>
      <c r="K2300" s="474">
        <f t="shared" si="1412"/>
        <v>5.0999999999999996</v>
      </c>
      <c r="L2300" s="473">
        <f t="shared" si="1411"/>
        <v>387.73000000000002</v>
      </c>
      <c r="M2300" s="474">
        <f t="shared" si="1413"/>
        <v>5.0404900000000001</v>
      </c>
      <c r="O2300" s="434">
        <f t="shared" si="1409"/>
        <v>393.05000000000001</v>
      </c>
      <c r="P2300" s="435">
        <f t="shared" si="1410"/>
        <v>387.73000000000002</v>
      </c>
      <c r="AE2300" s="217"/>
      <c r="AF2300" s="217">
        <v>1282</v>
      </c>
      <c r="AH2300">
        <f t="shared" si="1397"/>
        <v>1282</v>
      </c>
    </row>
    <row r="2301" ht="60">
      <c r="A2301" s="217"/>
      <c r="B2301" s="217">
        <v>1282</v>
      </c>
      <c r="C2301" s="217"/>
      <c r="D2301" s="217" t="s">
        <v>17167</v>
      </c>
      <c r="E2301" s="471" t="s">
        <v>20665</v>
      </c>
      <c r="F2301" s="482">
        <v>96536</v>
      </c>
      <c r="G2301" s="470" t="s">
        <v>21415</v>
      </c>
      <c r="H2301" s="482" t="s">
        <v>15515</v>
      </c>
      <c r="I2301" s="483">
        <v>2.9999999999999999e-002</v>
      </c>
      <c r="J2301" s="473">
        <f t="shared" si="1401"/>
        <v>63.439999999999998</v>
      </c>
      <c r="K2301" s="474">
        <f t="shared" si="1412"/>
        <v>1.8999999999999999</v>
      </c>
      <c r="L2301" s="473">
        <f t="shared" si="1411"/>
        <v>60.950000000000003</v>
      </c>
      <c r="M2301" s="474">
        <f t="shared" si="1413"/>
        <v>1.8285</v>
      </c>
      <c r="O2301" s="434">
        <f t="shared" si="1409"/>
        <v>63.439999999999998</v>
      </c>
      <c r="P2301" s="435">
        <f t="shared" si="1410"/>
        <v>60.950000000000003</v>
      </c>
      <c r="AE2301" s="217"/>
      <c r="AF2301" s="217">
        <v>1282</v>
      </c>
      <c r="AH2301">
        <f t="shared" si="1397"/>
        <v>1282</v>
      </c>
    </row>
    <row r="2302" ht="63">
      <c r="A2302" s="460">
        <v>1283</v>
      </c>
      <c r="B2302" s="460">
        <v>1283</v>
      </c>
      <c r="C2302" s="460"/>
      <c r="D2302" s="460"/>
      <c r="E2302" s="461">
        <v>1</v>
      </c>
      <c r="F2302" s="462" t="s">
        <v>21810</v>
      </c>
      <c r="G2302" s="477" t="s">
        <v>21723</v>
      </c>
      <c r="H2302" s="579" t="s">
        <v>38</v>
      </c>
      <c r="I2302" s="479"/>
      <c r="J2302" s="480"/>
      <c r="K2302" s="466">
        <f>SUM(K2303:K2307)</f>
        <v>33.549999999999997</v>
      </c>
      <c r="L2302" s="480"/>
      <c r="M2302" s="466">
        <f>SUM(M2303:M2307)</f>
        <v>32.068169399999995</v>
      </c>
      <c r="N2302" s="467" t="s">
        <v>21811</v>
      </c>
      <c r="O2302" s="434" t="str">
        <f t="shared" si="1409"/>
        <v xml:space="preserve">SEM VALOR</v>
      </c>
      <c r="P2302" s="435" t="str">
        <f t="shared" si="1410"/>
        <v xml:space="preserve">SEM VALOR</v>
      </c>
      <c r="AE2302" s="460">
        <v>1283</v>
      </c>
      <c r="AF2302" s="460"/>
      <c r="AH2302">
        <f t="shared" si="1397"/>
        <v>1283</v>
      </c>
    </row>
    <row r="2303" ht="60">
      <c r="A2303" s="217"/>
      <c r="B2303" s="217">
        <v>1283</v>
      </c>
      <c r="C2303" s="217"/>
      <c r="D2303" s="217" t="s">
        <v>20408</v>
      </c>
      <c r="E2303" s="471" t="s">
        <v>20399</v>
      </c>
      <c r="F2303" s="489">
        <v>9813</v>
      </c>
      <c r="G2303" s="470" t="s">
        <v>15057</v>
      </c>
      <c r="H2303" s="499" t="s">
        <v>38</v>
      </c>
      <c r="I2303" s="483">
        <v>1</v>
      </c>
      <c r="J2303" s="473">
        <f t="shared" si="1401"/>
        <v>5.5099999999999998</v>
      </c>
      <c r="K2303" s="474">
        <f t="shared" ref="K2303:K2307" si="1414">TRUNC(I2303*J2303,2)</f>
        <v>5.5099999999999998</v>
      </c>
      <c r="L2303" s="473">
        <f t="shared" si="1411"/>
        <v>5.5099999999999998</v>
      </c>
      <c r="M2303" s="474">
        <f t="shared" ref="M2303:M2307" si="1415">L2303*I2303</f>
        <v>5.5099999999999998</v>
      </c>
      <c r="O2303" s="434">
        <f t="shared" si="1409"/>
        <v>5.5099999999999998</v>
      </c>
      <c r="P2303" s="435">
        <f t="shared" si="1410"/>
        <v>5.5099999999999998</v>
      </c>
      <c r="AE2303" s="217"/>
      <c r="AF2303" s="217">
        <v>1283</v>
      </c>
      <c r="AH2303">
        <f t="shared" si="1397"/>
        <v>1283</v>
      </c>
    </row>
    <row r="2304" ht="45">
      <c r="A2304" s="217"/>
      <c r="B2304" s="217">
        <v>1283</v>
      </c>
      <c r="C2304" s="217"/>
      <c r="D2304" s="217" t="s">
        <v>17167</v>
      </c>
      <c r="E2304" s="471" t="s">
        <v>20402</v>
      </c>
      <c r="F2304" s="489">
        <v>88267</v>
      </c>
      <c r="G2304" s="488" t="s">
        <v>7321</v>
      </c>
      <c r="H2304" s="499" t="s">
        <v>2032</v>
      </c>
      <c r="I2304" s="483">
        <v>4.0000000000000001e-002</v>
      </c>
      <c r="J2304" s="473">
        <f t="shared" si="1401"/>
        <v>27.84</v>
      </c>
      <c r="K2304" s="474">
        <f t="shared" si="1414"/>
        <v>1.1100000000000001</v>
      </c>
      <c r="L2304" s="473">
        <f t="shared" si="1411"/>
        <v>26.219999999999999</v>
      </c>
      <c r="M2304" s="474">
        <f t="shared" si="1415"/>
        <v>1.0488</v>
      </c>
      <c r="O2304" s="434">
        <f t="shared" si="1409"/>
        <v>27.84</v>
      </c>
      <c r="P2304" s="435">
        <f t="shared" si="1410"/>
        <v>26.219999999999999</v>
      </c>
      <c r="AE2304" s="217"/>
      <c r="AF2304" s="217">
        <v>1283</v>
      </c>
      <c r="AH2304">
        <f t="shared" si="1397"/>
        <v>1283</v>
      </c>
    </row>
    <row r="2305" ht="30">
      <c r="A2305" s="217"/>
      <c r="B2305" s="217">
        <v>1283</v>
      </c>
      <c r="C2305" s="217"/>
      <c r="D2305" s="217" t="s">
        <v>17167</v>
      </c>
      <c r="E2305" s="471" t="s">
        <v>20405</v>
      </c>
      <c r="F2305" s="489">
        <v>88316</v>
      </c>
      <c r="G2305" s="470" t="s">
        <v>7393</v>
      </c>
      <c r="H2305" s="499" t="s">
        <v>2032</v>
      </c>
      <c r="I2305" s="483">
        <v>4.0000000000000001e-002</v>
      </c>
      <c r="J2305" s="473">
        <f t="shared" si="1401"/>
        <v>22.760000000000002</v>
      </c>
      <c r="K2305" s="474">
        <f t="shared" si="1414"/>
        <v>0.91000000000000003</v>
      </c>
      <c r="L2305" s="473">
        <f t="shared" si="1411"/>
        <v>21.550000000000001</v>
      </c>
      <c r="M2305" s="474">
        <f t="shared" si="1415"/>
        <v>0.8620000000000001</v>
      </c>
      <c r="O2305" s="434">
        <f t="shared" si="1409"/>
        <v>22.760000000000002</v>
      </c>
      <c r="P2305" s="435">
        <f t="shared" si="1410"/>
        <v>21.550000000000001</v>
      </c>
      <c r="AE2305" s="217"/>
      <c r="AF2305" s="217">
        <v>1283</v>
      </c>
      <c r="AH2305">
        <f t="shared" si="1397"/>
        <v>1283</v>
      </c>
    </row>
    <row r="2306" ht="45">
      <c r="A2306" s="217"/>
      <c r="B2306" s="217">
        <v>1283</v>
      </c>
      <c r="C2306" s="217"/>
      <c r="D2306" s="217" t="s">
        <v>17167</v>
      </c>
      <c r="E2306" s="471" t="s">
        <v>20409</v>
      </c>
      <c r="F2306" s="489">
        <v>93358</v>
      </c>
      <c r="G2306" s="470" t="s">
        <v>20927</v>
      </c>
      <c r="H2306" s="499" t="s">
        <v>15528</v>
      </c>
      <c r="I2306" s="483">
        <v>0.17999999999999999</v>
      </c>
      <c r="J2306" s="473">
        <f t="shared" si="1401"/>
        <v>90.030000000000001</v>
      </c>
      <c r="K2306" s="474">
        <f t="shared" si="1414"/>
        <v>16.199999999999999</v>
      </c>
      <c r="L2306" s="473">
        <f t="shared" si="1411"/>
        <v>85.239999999999995</v>
      </c>
      <c r="M2306" s="474">
        <f t="shared" si="1415"/>
        <v>15.343199999999998</v>
      </c>
      <c r="O2306" s="434">
        <f t="shared" si="1409"/>
        <v>90.030000000000001</v>
      </c>
      <c r="P2306" s="435">
        <f t="shared" si="1410"/>
        <v>85.239999999999995</v>
      </c>
      <c r="AE2306" s="217"/>
      <c r="AF2306" s="217">
        <v>1283</v>
      </c>
      <c r="AH2306">
        <f t="shared" si="1397"/>
        <v>1283</v>
      </c>
    </row>
    <row r="2307" ht="30">
      <c r="A2307" s="217"/>
      <c r="B2307" s="217">
        <v>1283</v>
      </c>
      <c r="C2307" s="217"/>
      <c r="D2307" s="217" t="s">
        <v>20398</v>
      </c>
      <c r="E2307" s="471" t="s">
        <v>20663</v>
      </c>
      <c r="F2307" s="482">
        <v>1376</v>
      </c>
      <c r="G2307" s="470" t="s">
        <v>20928</v>
      </c>
      <c r="H2307" s="482" t="s">
        <v>15528</v>
      </c>
      <c r="I2307" s="483">
        <v>0.17999999999999999</v>
      </c>
      <c r="J2307" s="473">
        <f t="shared" si="1401"/>
        <v>54.592136000000004</v>
      </c>
      <c r="K2307" s="474">
        <f t="shared" si="1414"/>
        <v>9.8200000000000003</v>
      </c>
      <c r="L2307" s="473">
        <f t="shared" si="1411"/>
        <v>51.689830000000001</v>
      </c>
      <c r="M2307" s="474">
        <f t="shared" si="1415"/>
        <v>9.3041693999999993</v>
      </c>
      <c r="O2307" s="434">
        <f t="shared" si="1409"/>
        <v>54.592136000000004</v>
      </c>
      <c r="P2307" s="435">
        <f t="shared" si="1410"/>
        <v>51.689830000000001</v>
      </c>
      <c r="AE2307" s="217"/>
      <c r="AF2307" s="217">
        <v>1283</v>
      </c>
      <c r="AH2307">
        <f t="shared" si="1397"/>
        <v>1283</v>
      </c>
    </row>
    <row r="2308" ht="48" customHeight="1">
      <c r="A2308" s="460">
        <v>1284</v>
      </c>
      <c r="B2308" s="460">
        <v>1284</v>
      </c>
      <c r="C2308" s="460"/>
      <c r="D2308" s="460"/>
      <c r="E2308" s="461">
        <v>1</v>
      </c>
      <c r="F2308" s="462" t="s">
        <v>21812</v>
      </c>
      <c r="G2308" s="477" t="s">
        <v>21724</v>
      </c>
      <c r="H2308" s="579" t="s">
        <v>31</v>
      </c>
      <c r="I2308" s="479"/>
      <c r="J2308" s="480"/>
      <c r="K2308" s="466">
        <f>SUM(K2309:K2314)</f>
        <v>65.900000000000006</v>
      </c>
      <c r="L2308" s="480"/>
      <c r="M2308" s="466">
        <f>SUM(M2309:M2314)</f>
        <v>64.212119999999999</v>
      </c>
      <c r="N2308" s="467" t="s">
        <v>21813</v>
      </c>
      <c r="AE2308" s="460">
        <v>1284</v>
      </c>
      <c r="AF2308" s="460"/>
      <c r="AH2308">
        <f t="shared" si="1397"/>
        <v>1284</v>
      </c>
    </row>
    <row r="2309" ht="60">
      <c r="A2309" s="217"/>
      <c r="B2309" s="217">
        <v>1284</v>
      </c>
      <c r="C2309" s="217"/>
      <c r="D2309" s="217" t="s">
        <v>20408</v>
      </c>
      <c r="E2309" s="471" t="s">
        <v>20399</v>
      </c>
      <c r="F2309" s="489">
        <v>1413</v>
      </c>
      <c r="G2309" s="470" t="s">
        <v>11605</v>
      </c>
      <c r="H2309" s="499" t="s">
        <v>31</v>
      </c>
      <c r="I2309" s="483">
        <v>1</v>
      </c>
      <c r="J2309" s="473">
        <f t="shared" si="1401"/>
        <v>12.26</v>
      </c>
      <c r="K2309" s="474">
        <f t="shared" ref="K2309:K2314" si="1416">TRUNC(I2309*J2309,2)</f>
        <v>12.26</v>
      </c>
      <c r="L2309" s="473">
        <f t="shared" si="1411"/>
        <v>12.26</v>
      </c>
      <c r="M2309" s="474">
        <f t="shared" ref="M2309:M2314" si="1417">L2309*I2309</f>
        <v>12.26</v>
      </c>
      <c r="O2309" s="434">
        <f t="shared" si="1409"/>
        <v>12.26</v>
      </c>
      <c r="P2309" s="435">
        <f t="shared" si="1410"/>
        <v>12.26</v>
      </c>
      <c r="AE2309" s="217"/>
      <c r="AF2309" s="217">
        <v>1284</v>
      </c>
      <c r="AH2309">
        <f t="shared" si="1397"/>
        <v>1284</v>
      </c>
    </row>
    <row r="2310" ht="30">
      <c r="A2310" s="217"/>
      <c r="B2310" s="217">
        <v>1284</v>
      </c>
      <c r="C2310" s="217"/>
      <c r="D2310" s="217" t="s">
        <v>20408</v>
      </c>
      <c r="E2310" s="471" t="s">
        <v>20402</v>
      </c>
      <c r="F2310" s="489">
        <v>3148</v>
      </c>
      <c r="G2310" s="470" t="s">
        <v>21814</v>
      </c>
      <c r="H2310" s="499" t="s">
        <v>31</v>
      </c>
      <c r="I2310" s="483">
        <v>8.9999999999999993e-003</v>
      </c>
      <c r="J2310" s="473">
        <f t="shared" si="1401"/>
        <v>16.68</v>
      </c>
      <c r="K2310" s="474">
        <f t="shared" si="1416"/>
        <v>0.14999999999999999</v>
      </c>
      <c r="L2310" s="473">
        <f t="shared" si="1411"/>
        <v>16.68</v>
      </c>
      <c r="M2310" s="474">
        <f t="shared" si="1417"/>
        <v>0.15011999999999998</v>
      </c>
      <c r="O2310" s="434">
        <f t="shared" si="1409"/>
        <v>16.68</v>
      </c>
      <c r="P2310" s="435">
        <f t="shared" si="1410"/>
        <v>16.68</v>
      </c>
      <c r="AE2310" s="217"/>
      <c r="AF2310" s="217">
        <v>1284</v>
      </c>
      <c r="AH2310">
        <f t="shared" si="1397"/>
        <v>1284</v>
      </c>
    </row>
    <row r="2311" ht="30">
      <c r="A2311" s="217"/>
      <c r="B2311" s="217">
        <v>1284</v>
      </c>
      <c r="C2311" s="217"/>
      <c r="D2311" s="217" t="s">
        <v>20408</v>
      </c>
      <c r="E2311" s="471" t="s">
        <v>20405</v>
      </c>
      <c r="F2311" s="489">
        <v>3907</v>
      </c>
      <c r="G2311" s="470" t="s">
        <v>13197</v>
      </c>
      <c r="H2311" s="499" t="s">
        <v>31</v>
      </c>
      <c r="I2311" s="483">
        <v>1</v>
      </c>
      <c r="J2311" s="473">
        <f t="shared" si="1401"/>
        <v>5.5999999999999996</v>
      </c>
      <c r="K2311" s="474">
        <f t="shared" si="1416"/>
        <v>5.5999999999999996</v>
      </c>
      <c r="L2311" s="473">
        <f t="shared" si="1411"/>
        <v>5.5999999999999996</v>
      </c>
      <c r="M2311" s="474">
        <f t="shared" si="1417"/>
        <v>5.5999999999999996</v>
      </c>
      <c r="O2311" s="434">
        <f t="shared" si="1409"/>
        <v>5.5999999999999996</v>
      </c>
      <c r="P2311" s="435">
        <f t="shared" si="1410"/>
        <v>5.5999999999999996</v>
      </c>
      <c r="AE2311" s="217"/>
      <c r="AF2311" s="217">
        <v>1284</v>
      </c>
      <c r="AH2311">
        <f t="shared" ref="AH2311:AH2374" si="1418">IF(AF2311:AF2312=FALSE,AE2311,AF2311)</f>
        <v>1284</v>
      </c>
    </row>
    <row r="2312" ht="45">
      <c r="A2312" s="217"/>
      <c r="B2312" s="217">
        <v>1284</v>
      </c>
      <c r="C2312" s="217"/>
      <c r="D2312" s="217" t="s">
        <v>20408</v>
      </c>
      <c r="E2312" s="471" t="s">
        <v>20409</v>
      </c>
      <c r="F2312" s="489">
        <v>6029</v>
      </c>
      <c r="G2312" s="488" t="s">
        <v>14161</v>
      </c>
      <c r="H2312" s="499" t="s">
        <v>31</v>
      </c>
      <c r="I2312" s="483">
        <v>1</v>
      </c>
      <c r="J2312" s="473">
        <f t="shared" si="1401"/>
        <v>17.539999999999999</v>
      </c>
      <c r="K2312" s="474">
        <f t="shared" si="1416"/>
        <v>17.539999999999999</v>
      </c>
      <c r="L2312" s="473">
        <f t="shared" si="1411"/>
        <v>17.539999999999999</v>
      </c>
      <c r="M2312" s="474">
        <f t="shared" si="1417"/>
        <v>17.539999999999999</v>
      </c>
      <c r="O2312" s="434">
        <f t="shared" si="1409"/>
        <v>17.539999999999999</v>
      </c>
      <c r="P2312" s="435">
        <f t="shared" si="1410"/>
        <v>17.539999999999999</v>
      </c>
      <c r="AE2312" s="217"/>
      <c r="AF2312" s="217">
        <v>1284</v>
      </c>
      <c r="AH2312">
        <f t="shared" si="1418"/>
        <v>1284</v>
      </c>
    </row>
    <row r="2313" ht="45">
      <c r="A2313" s="217"/>
      <c r="B2313" s="217">
        <v>1284</v>
      </c>
      <c r="C2313" s="217"/>
      <c r="D2313" s="217" t="s">
        <v>17167</v>
      </c>
      <c r="E2313" s="471" t="s">
        <v>20663</v>
      </c>
      <c r="F2313" s="489">
        <v>88267</v>
      </c>
      <c r="G2313" s="488" t="s">
        <v>7321</v>
      </c>
      <c r="H2313" s="499" t="s">
        <v>2032</v>
      </c>
      <c r="I2313" s="483">
        <v>0.59999999999999998</v>
      </c>
      <c r="J2313" s="473">
        <f t="shared" si="1401"/>
        <v>27.84</v>
      </c>
      <c r="K2313" s="474">
        <f t="shared" si="1416"/>
        <v>16.699999999999999</v>
      </c>
      <c r="L2313" s="473">
        <f t="shared" si="1411"/>
        <v>26.219999999999999</v>
      </c>
      <c r="M2313" s="474">
        <f t="shared" si="1417"/>
        <v>15.731999999999999</v>
      </c>
      <c r="O2313" s="434">
        <f t="shared" si="1409"/>
        <v>27.84</v>
      </c>
      <c r="P2313" s="435">
        <f t="shared" si="1410"/>
        <v>26.219999999999999</v>
      </c>
      <c r="AE2313" s="217"/>
      <c r="AF2313" s="217">
        <v>1284</v>
      </c>
      <c r="AH2313">
        <f t="shared" si="1418"/>
        <v>1284</v>
      </c>
    </row>
    <row r="2314" ht="30">
      <c r="A2314" s="217"/>
      <c r="B2314" s="217">
        <v>1284</v>
      </c>
      <c r="C2314" s="217"/>
      <c r="D2314" s="217" t="s">
        <v>17167</v>
      </c>
      <c r="E2314" s="471" t="s">
        <v>20665</v>
      </c>
      <c r="F2314" s="489">
        <v>88316</v>
      </c>
      <c r="G2314" s="470" t="s">
        <v>7393</v>
      </c>
      <c r="H2314" s="482" t="s">
        <v>2032</v>
      </c>
      <c r="I2314" s="483">
        <v>0.59999999999999998</v>
      </c>
      <c r="J2314" s="473">
        <f t="shared" si="1401"/>
        <v>22.760000000000002</v>
      </c>
      <c r="K2314" s="474">
        <f t="shared" si="1416"/>
        <v>13.65</v>
      </c>
      <c r="L2314" s="473">
        <f t="shared" si="1411"/>
        <v>21.550000000000001</v>
      </c>
      <c r="M2314" s="474">
        <f t="shared" si="1417"/>
        <v>12.93</v>
      </c>
      <c r="O2314" s="434">
        <f t="shared" si="1409"/>
        <v>22.760000000000002</v>
      </c>
      <c r="P2314" s="435">
        <f t="shared" si="1410"/>
        <v>21.550000000000001</v>
      </c>
      <c r="AE2314" s="217"/>
      <c r="AF2314" s="217">
        <v>1284</v>
      </c>
      <c r="AH2314">
        <f t="shared" si="1418"/>
        <v>1284</v>
      </c>
    </row>
    <row r="2315" ht="65.25" customHeight="1">
      <c r="A2315" s="460">
        <v>1285</v>
      </c>
      <c r="B2315" s="460">
        <v>1285</v>
      </c>
      <c r="C2315" s="460"/>
      <c r="D2315" s="460"/>
      <c r="E2315" s="461">
        <v>1</v>
      </c>
      <c r="F2315" s="462" t="s">
        <v>21815</v>
      </c>
      <c r="G2315" s="477" t="s">
        <v>21733</v>
      </c>
      <c r="H2315" s="579" t="s">
        <v>15515</v>
      </c>
      <c r="I2315" s="479"/>
      <c r="J2315" s="480"/>
      <c r="K2315" s="466">
        <f>SUM(K2316:K2318)</f>
        <v>39.170000000000002</v>
      </c>
      <c r="L2315" s="480"/>
      <c r="M2315" s="466">
        <f>SUM(M2316:M2318)</f>
        <v>37.547000000000004</v>
      </c>
      <c r="O2315" s="434" t="str">
        <f t="shared" si="1409"/>
        <v xml:space="preserve">SEM VALOR</v>
      </c>
      <c r="P2315" s="435" t="str">
        <f t="shared" si="1410"/>
        <v xml:space="preserve">SEM VALOR</v>
      </c>
      <c r="AE2315" s="460">
        <v>1285</v>
      </c>
      <c r="AF2315" s="460"/>
      <c r="AH2315">
        <f t="shared" si="1418"/>
        <v>1285</v>
      </c>
    </row>
    <row r="2316" ht="30">
      <c r="A2316" s="217"/>
      <c r="B2316" s="217">
        <v>1285</v>
      </c>
      <c r="C2316" s="217"/>
      <c r="D2316" s="217" t="s">
        <v>17167</v>
      </c>
      <c r="E2316" s="471" t="s">
        <v>20399</v>
      </c>
      <c r="F2316" s="489">
        <v>88309</v>
      </c>
      <c r="G2316" s="470" t="s">
        <v>7385</v>
      </c>
      <c r="H2316" s="499" t="s">
        <v>2032</v>
      </c>
      <c r="I2316" s="483">
        <v>0.5</v>
      </c>
      <c r="J2316" s="473">
        <f t="shared" si="1401"/>
        <v>28.5</v>
      </c>
      <c r="K2316" s="474">
        <f t="shared" ref="K2316:K2318" si="1419">TRUNC(I2316*J2316,2)</f>
        <v>14.25</v>
      </c>
      <c r="L2316" s="473">
        <f t="shared" si="1411"/>
        <v>26.870000000000001</v>
      </c>
      <c r="M2316" s="474">
        <f t="shared" ref="M2316:M2318" si="1420">L2316*I2316</f>
        <v>13.435</v>
      </c>
      <c r="O2316" s="434">
        <f t="shared" si="1409"/>
        <v>28.5</v>
      </c>
      <c r="P2316" s="435">
        <f t="shared" si="1410"/>
        <v>26.870000000000001</v>
      </c>
      <c r="AE2316" s="217"/>
      <c r="AF2316" s="217">
        <v>1285</v>
      </c>
      <c r="AH2316">
        <f t="shared" si="1418"/>
        <v>1285</v>
      </c>
    </row>
    <row r="2317" ht="30">
      <c r="A2317" s="217"/>
      <c r="B2317" s="217">
        <v>1285</v>
      </c>
      <c r="C2317" s="217"/>
      <c r="D2317" s="217" t="s">
        <v>17167</v>
      </c>
      <c r="E2317" s="471" t="s">
        <v>20402</v>
      </c>
      <c r="F2317" s="489">
        <v>88316</v>
      </c>
      <c r="G2317" s="470" t="s">
        <v>7393</v>
      </c>
      <c r="H2317" s="499" t="s">
        <v>2032</v>
      </c>
      <c r="I2317" s="483">
        <v>0.5</v>
      </c>
      <c r="J2317" s="473">
        <f t="shared" si="1401"/>
        <v>22.760000000000002</v>
      </c>
      <c r="K2317" s="474">
        <f t="shared" si="1419"/>
        <v>11.380000000000001</v>
      </c>
      <c r="L2317" s="473">
        <f t="shared" si="1411"/>
        <v>21.550000000000001</v>
      </c>
      <c r="M2317" s="474">
        <f t="shared" si="1420"/>
        <v>10.775</v>
      </c>
      <c r="O2317" s="434">
        <f t="shared" si="1409"/>
        <v>22.760000000000002</v>
      </c>
      <c r="P2317" s="435">
        <f t="shared" si="1410"/>
        <v>21.550000000000001</v>
      </c>
      <c r="AE2317" s="217"/>
      <c r="AF2317" s="217">
        <v>1285</v>
      </c>
      <c r="AH2317">
        <f t="shared" si="1418"/>
        <v>1285</v>
      </c>
    </row>
    <row r="2318" ht="45">
      <c r="A2318" s="217"/>
      <c r="B2318" s="217">
        <v>1285</v>
      </c>
      <c r="C2318" s="217"/>
      <c r="D2318" s="217" t="s">
        <v>17167</v>
      </c>
      <c r="E2318" s="471" t="s">
        <v>20405</v>
      </c>
      <c r="F2318" s="489">
        <v>88629</v>
      </c>
      <c r="G2318" s="470" t="s">
        <v>21816</v>
      </c>
      <c r="H2318" s="482" t="s">
        <v>15528</v>
      </c>
      <c r="I2318" s="483">
        <v>2.e-002</v>
      </c>
      <c r="J2318" s="473">
        <f t="shared" si="1401"/>
        <v>677.22000000000003</v>
      </c>
      <c r="K2318" s="474">
        <f t="shared" si="1419"/>
        <v>13.539999999999999</v>
      </c>
      <c r="L2318" s="473">
        <f t="shared" si="1411"/>
        <v>666.85000000000002</v>
      </c>
      <c r="M2318" s="474">
        <f t="shared" si="1420"/>
        <v>13.337000000000002</v>
      </c>
      <c r="O2318" s="434">
        <f t="shared" si="1409"/>
        <v>677.22000000000003</v>
      </c>
      <c r="P2318" s="435">
        <f t="shared" si="1410"/>
        <v>666.85000000000002</v>
      </c>
      <c r="AE2318" s="217"/>
      <c r="AF2318" s="217">
        <v>1285</v>
      </c>
      <c r="AH2318">
        <f t="shared" si="1418"/>
        <v>1285</v>
      </c>
    </row>
    <row r="2319" ht="54" customHeight="1">
      <c r="A2319" s="460">
        <v>1286</v>
      </c>
      <c r="B2319" s="460">
        <v>1286</v>
      </c>
      <c r="C2319" s="460"/>
      <c r="D2319" s="460"/>
      <c r="E2319" s="461">
        <v>1</v>
      </c>
      <c r="F2319" s="462" t="s">
        <v>21817</v>
      </c>
      <c r="G2319" s="477" t="s">
        <v>21818</v>
      </c>
      <c r="H2319" s="579" t="s">
        <v>31</v>
      </c>
      <c r="I2319" s="479"/>
      <c r="J2319" s="480"/>
      <c r="K2319" s="466">
        <f>SUM(K2320:K2331)</f>
        <v>1684.4599999999998</v>
      </c>
      <c r="L2319" s="480"/>
      <c r="M2319" s="466">
        <f>SUM(M2320:M2331)</f>
        <v>1648.0840000000001</v>
      </c>
      <c r="N2319" s="467" t="s">
        <v>21661</v>
      </c>
      <c r="O2319" s="434" t="str">
        <f t="shared" si="1409"/>
        <v xml:space="preserve">SEM VALOR</v>
      </c>
      <c r="P2319" s="435" t="str">
        <f t="shared" si="1410"/>
        <v xml:space="preserve">SEM VALOR</v>
      </c>
      <c r="AE2319" s="460">
        <v>1286</v>
      </c>
      <c r="AF2319" s="460"/>
      <c r="AH2319">
        <f t="shared" si="1418"/>
        <v>1286</v>
      </c>
    </row>
    <row r="2320" ht="30">
      <c r="A2320" s="217"/>
      <c r="B2320" s="217">
        <v>1286</v>
      </c>
      <c r="C2320" s="217"/>
      <c r="D2320" s="217" t="s">
        <v>17167</v>
      </c>
      <c r="E2320" s="471" t="s">
        <v>20399</v>
      </c>
      <c r="F2320" s="489">
        <v>88262</v>
      </c>
      <c r="G2320" s="470" t="s">
        <v>7127</v>
      </c>
      <c r="H2320" s="482" t="s">
        <v>2032</v>
      </c>
      <c r="I2320" s="483">
        <f t="shared" ref="I2320:I2321" si="1421">2*6</f>
        <v>12</v>
      </c>
      <c r="J2320" s="473">
        <f t="shared" si="1401"/>
        <v>27.739999999999998</v>
      </c>
      <c r="K2320" s="474">
        <f t="shared" ref="K2320:K2331" si="1422">I2320*J2320</f>
        <v>332.88</v>
      </c>
      <c r="L2320" s="473">
        <f t="shared" si="1411"/>
        <v>26.129999999999999</v>
      </c>
      <c r="M2320" s="474">
        <f t="shared" ref="M2320:M2331" si="1423">L2320*I2320</f>
        <v>313.56</v>
      </c>
      <c r="O2320" s="434">
        <f t="shared" si="1409"/>
        <v>27.739999999999998</v>
      </c>
      <c r="P2320" s="435">
        <f t="shared" si="1410"/>
        <v>26.129999999999999</v>
      </c>
      <c r="AE2320" s="217"/>
      <c r="AF2320" s="217">
        <v>1286</v>
      </c>
      <c r="AH2320">
        <f t="shared" si="1418"/>
        <v>1286</v>
      </c>
    </row>
    <row r="2321" ht="30">
      <c r="A2321" s="217"/>
      <c r="B2321" s="217">
        <v>1286</v>
      </c>
      <c r="C2321" s="217"/>
      <c r="D2321" s="217" t="s">
        <v>17167</v>
      </c>
      <c r="E2321" s="471" t="s">
        <v>20402</v>
      </c>
      <c r="F2321" s="489">
        <v>88239</v>
      </c>
      <c r="G2321" s="470" t="s">
        <v>7088</v>
      </c>
      <c r="H2321" s="482" t="s">
        <v>2032</v>
      </c>
      <c r="I2321" s="483">
        <f t="shared" si="1421"/>
        <v>12</v>
      </c>
      <c r="J2321" s="473">
        <f t="shared" si="1401"/>
        <v>22.98</v>
      </c>
      <c r="K2321" s="474">
        <f t="shared" si="1422"/>
        <v>275.75999999999999</v>
      </c>
      <c r="L2321" s="473">
        <f t="shared" si="1411"/>
        <v>21.719999999999999</v>
      </c>
      <c r="M2321" s="474">
        <f t="shared" si="1423"/>
        <v>260.63999999999999</v>
      </c>
      <c r="O2321" s="434">
        <f t="shared" si="1409"/>
        <v>22.98</v>
      </c>
      <c r="P2321" s="435">
        <f t="shared" si="1410"/>
        <v>21.719999999999999</v>
      </c>
      <c r="AE2321" s="217"/>
      <c r="AF2321" s="217">
        <v>1286</v>
      </c>
      <c r="AH2321">
        <f t="shared" si="1418"/>
        <v>1286</v>
      </c>
    </row>
    <row r="2322" ht="30">
      <c r="A2322" s="217"/>
      <c r="B2322" s="217">
        <v>1286</v>
      </c>
      <c r="C2322" s="217"/>
      <c r="D2322" s="217" t="s">
        <v>17167</v>
      </c>
      <c r="E2322" s="471" t="s">
        <v>20405</v>
      </c>
      <c r="F2322" s="489">
        <v>88316</v>
      </c>
      <c r="G2322" s="470" t="s">
        <v>7393</v>
      </c>
      <c r="H2322" s="482" t="s">
        <v>2032</v>
      </c>
      <c r="I2322" s="483">
        <f>2*0.8</f>
        <v>1.6000000000000001</v>
      </c>
      <c r="J2322" s="473">
        <f t="shared" si="1401"/>
        <v>22.760000000000002</v>
      </c>
      <c r="K2322" s="474">
        <f t="shared" si="1422"/>
        <v>36.416000000000004</v>
      </c>
      <c r="L2322" s="473">
        <f t="shared" si="1411"/>
        <v>21.550000000000001</v>
      </c>
      <c r="M2322" s="474">
        <f t="shared" si="1423"/>
        <v>34.480000000000004</v>
      </c>
      <c r="O2322" s="434">
        <f t="shared" si="1409"/>
        <v>22.760000000000002</v>
      </c>
      <c r="P2322" s="435">
        <f t="shared" si="1410"/>
        <v>21.550000000000001</v>
      </c>
      <c r="AE2322" s="217"/>
      <c r="AF2322" s="217">
        <v>1286</v>
      </c>
      <c r="AH2322">
        <f t="shared" si="1418"/>
        <v>1286</v>
      </c>
    </row>
    <row r="2323" ht="45">
      <c r="A2323" s="217"/>
      <c r="B2323" s="217">
        <v>1286</v>
      </c>
      <c r="C2323" s="217"/>
      <c r="D2323" s="217" t="s">
        <v>20408</v>
      </c>
      <c r="E2323" s="471" t="s">
        <v>20409</v>
      </c>
      <c r="F2323" s="489">
        <v>4433</v>
      </c>
      <c r="G2323" s="470" t="s">
        <v>21662</v>
      </c>
      <c r="H2323" s="482" t="s">
        <v>38</v>
      </c>
      <c r="I2323" s="483">
        <f>2*4</f>
        <v>8</v>
      </c>
      <c r="J2323" s="473">
        <f t="shared" si="1401"/>
        <v>28.940000000000001</v>
      </c>
      <c r="K2323" s="474">
        <f t="shared" si="1422"/>
        <v>231.52000000000001</v>
      </c>
      <c r="L2323" s="473">
        <f t="shared" si="1411"/>
        <v>28.940000000000001</v>
      </c>
      <c r="M2323" s="474">
        <f t="shared" si="1423"/>
        <v>231.52000000000001</v>
      </c>
      <c r="O2323" s="434">
        <f t="shared" si="1409"/>
        <v>28.940000000000001</v>
      </c>
      <c r="P2323" s="435">
        <f t="shared" si="1410"/>
        <v>28.940000000000001</v>
      </c>
      <c r="AE2323" s="217"/>
      <c r="AF2323" s="217">
        <v>1286</v>
      </c>
      <c r="AH2323">
        <f t="shared" si="1418"/>
        <v>1286</v>
      </c>
    </row>
    <row r="2324" ht="45">
      <c r="A2324" s="217"/>
      <c r="B2324" s="217">
        <v>1286</v>
      </c>
      <c r="C2324" s="217"/>
      <c r="D2324" s="217" t="s">
        <v>20408</v>
      </c>
      <c r="E2324" s="471" t="s">
        <v>20663</v>
      </c>
      <c r="F2324" s="489">
        <v>20205</v>
      </c>
      <c r="G2324" s="470" t="s">
        <v>21663</v>
      </c>
      <c r="H2324" s="499" t="s">
        <v>38</v>
      </c>
      <c r="I2324" s="483">
        <f>2*8</f>
        <v>16</v>
      </c>
      <c r="J2324" s="473">
        <f t="shared" si="1401"/>
        <v>3.77</v>
      </c>
      <c r="K2324" s="474">
        <f t="shared" si="1422"/>
        <v>60.32</v>
      </c>
      <c r="L2324" s="473">
        <f t="shared" si="1411"/>
        <v>3.77</v>
      </c>
      <c r="M2324" s="474">
        <f t="shared" si="1423"/>
        <v>60.32</v>
      </c>
      <c r="O2324" s="434">
        <f t="shared" si="1409"/>
        <v>3.77</v>
      </c>
      <c r="P2324" s="435">
        <f t="shared" si="1410"/>
        <v>3.77</v>
      </c>
      <c r="AE2324" s="217"/>
      <c r="AF2324" s="217">
        <v>1286</v>
      </c>
      <c r="AH2324">
        <f t="shared" si="1418"/>
        <v>1286</v>
      </c>
    </row>
    <row r="2325" ht="75">
      <c r="A2325" s="217"/>
      <c r="B2325" s="217">
        <v>1286</v>
      </c>
      <c r="C2325" s="217"/>
      <c r="D2325" s="217" t="s">
        <v>20408</v>
      </c>
      <c r="E2325" s="471" t="s">
        <v>20665</v>
      </c>
      <c r="F2325" s="489">
        <v>43682</v>
      </c>
      <c r="G2325" s="470" t="s">
        <v>11571</v>
      </c>
      <c r="H2325" s="482" t="s">
        <v>15515</v>
      </c>
      <c r="I2325" s="483">
        <f>2*1</f>
        <v>2</v>
      </c>
      <c r="J2325" s="473">
        <f t="shared" si="1401"/>
        <v>17.789999999999999</v>
      </c>
      <c r="K2325" s="474">
        <f t="shared" si="1422"/>
        <v>35.579999999999998</v>
      </c>
      <c r="L2325" s="473">
        <f t="shared" si="1411"/>
        <v>17.789999999999999</v>
      </c>
      <c r="M2325" s="474">
        <f t="shared" si="1423"/>
        <v>35.579999999999998</v>
      </c>
      <c r="O2325" s="434">
        <f t="shared" si="1409"/>
        <v>17.789999999999999</v>
      </c>
      <c r="P2325" s="435">
        <f t="shared" si="1410"/>
        <v>17.789999999999999</v>
      </c>
      <c r="AE2325" s="217"/>
      <c r="AF2325" s="217">
        <v>1286</v>
      </c>
      <c r="AH2325">
        <f t="shared" si="1418"/>
        <v>1286</v>
      </c>
    </row>
    <row r="2326" ht="75">
      <c r="A2326" s="217"/>
      <c r="B2326" s="217">
        <v>1286</v>
      </c>
      <c r="C2326" s="217"/>
      <c r="D2326" s="217" t="s">
        <v>20408</v>
      </c>
      <c r="E2326" s="471" t="s">
        <v>20667</v>
      </c>
      <c r="F2326" s="489">
        <v>43681</v>
      </c>
      <c r="G2326" s="470" t="s">
        <v>21664</v>
      </c>
      <c r="H2326" s="499" t="s">
        <v>15515</v>
      </c>
      <c r="I2326" s="483">
        <f>2*6.6</f>
        <v>13.199999999999999</v>
      </c>
      <c r="J2326" s="473">
        <f t="shared" si="1401"/>
        <v>29.469999999999999</v>
      </c>
      <c r="K2326" s="474">
        <f t="shared" si="1422"/>
        <v>389.00399999999996</v>
      </c>
      <c r="L2326" s="473">
        <f t="shared" si="1411"/>
        <v>29.469999999999999</v>
      </c>
      <c r="M2326" s="474">
        <f t="shared" si="1423"/>
        <v>389.00399999999996</v>
      </c>
      <c r="O2326" s="434">
        <f t="shared" si="1409"/>
        <v>29.469999999999999</v>
      </c>
      <c r="P2326" s="435">
        <f t="shared" si="1410"/>
        <v>29.469999999999999</v>
      </c>
      <c r="AE2326" s="217"/>
      <c r="AF2326" s="217">
        <v>1286</v>
      </c>
      <c r="AH2326">
        <f t="shared" si="1418"/>
        <v>1286</v>
      </c>
    </row>
    <row r="2327" ht="30">
      <c r="A2327" s="217"/>
      <c r="B2327" s="217">
        <v>1286</v>
      </c>
      <c r="C2327" s="217"/>
      <c r="D2327" s="217" t="s">
        <v>20408</v>
      </c>
      <c r="E2327" s="471" t="s">
        <v>20671</v>
      </c>
      <c r="F2327" s="489">
        <v>5061</v>
      </c>
      <c r="G2327" s="470" t="s">
        <v>14048</v>
      </c>
      <c r="H2327" s="482" t="s">
        <v>302</v>
      </c>
      <c r="I2327" s="483">
        <f>2*1.5</f>
        <v>3</v>
      </c>
      <c r="J2327" s="473">
        <f t="shared" si="1401"/>
        <v>19.949999999999999</v>
      </c>
      <c r="K2327" s="474">
        <f t="shared" si="1422"/>
        <v>59.849999999999994</v>
      </c>
      <c r="L2327" s="473">
        <f t="shared" si="1411"/>
        <v>19.949999999999999</v>
      </c>
      <c r="M2327" s="474">
        <f t="shared" si="1423"/>
        <v>59.849999999999994</v>
      </c>
      <c r="O2327" s="434">
        <f t="shared" si="1409"/>
        <v>19.949999999999999</v>
      </c>
      <c r="P2327" s="435">
        <f t="shared" si="1410"/>
        <v>19.949999999999999</v>
      </c>
      <c r="AE2327" s="217"/>
      <c r="AF2327" s="217">
        <v>1286</v>
      </c>
      <c r="AH2327">
        <f t="shared" si="1418"/>
        <v>1286</v>
      </c>
    </row>
    <row r="2328" ht="60">
      <c r="A2328" s="217"/>
      <c r="B2328" s="217">
        <v>1286</v>
      </c>
      <c r="C2328" s="217"/>
      <c r="D2328" s="217" t="s">
        <v>20408</v>
      </c>
      <c r="E2328" s="471" t="s">
        <v>20672</v>
      </c>
      <c r="F2328" s="489">
        <v>2432</v>
      </c>
      <c r="G2328" s="470" t="s">
        <v>21665</v>
      </c>
      <c r="H2328" s="499" t="s">
        <v>31</v>
      </c>
      <c r="I2328" s="483">
        <v>6</v>
      </c>
      <c r="J2328" s="473">
        <f t="shared" si="1401"/>
        <v>28.02</v>
      </c>
      <c r="K2328" s="474">
        <f t="shared" si="1422"/>
        <v>168.12</v>
      </c>
      <c r="L2328" s="473">
        <f t="shared" si="1411"/>
        <v>28.02</v>
      </c>
      <c r="M2328" s="474">
        <f t="shared" si="1423"/>
        <v>168.12</v>
      </c>
      <c r="O2328" s="434">
        <f t="shared" si="1409"/>
        <v>28.02</v>
      </c>
      <c r="P2328" s="435">
        <f t="shared" si="1410"/>
        <v>28.02</v>
      </c>
      <c r="AE2328" s="217"/>
      <c r="AF2328" s="217">
        <v>1286</v>
      </c>
      <c r="AH2328">
        <f t="shared" si="1418"/>
        <v>1286</v>
      </c>
    </row>
    <row r="2329" ht="90">
      <c r="A2329" s="217"/>
      <c r="B2329" s="217">
        <v>1286</v>
      </c>
      <c r="C2329" s="217"/>
      <c r="D2329" s="217" t="s">
        <v>20408</v>
      </c>
      <c r="E2329" s="471" t="s">
        <v>20673</v>
      </c>
      <c r="F2329" s="489">
        <v>11456</v>
      </c>
      <c r="G2329" s="470" t="s">
        <v>12528</v>
      </c>
      <c r="H2329" s="482" t="s">
        <v>31</v>
      </c>
      <c r="I2329" s="483">
        <v>1</v>
      </c>
      <c r="J2329" s="473">
        <f t="shared" si="1401"/>
        <v>24.350000000000001</v>
      </c>
      <c r="K2329" s="474">
        <f t="shared" si="1422"/>
        <v>24.350000000000001</v>
      </c>
      <c r="L2329" s="473">
        <f t="shared" si="1411"/>
        <v>24.350000000000001</v>
      </c>
      <c r="M2329" s="474">
        <f t="shared" si="1423"/>
        <v>24.350000000000001</v>
      </c>
      <c r="O2329" s="434">
        <f t="shared" si="1409"/>
        <v>24.350000000000001</v>
      </c>
      <c r="P2329" s="435">
        <f t="shared" si="1410"/>
        <v>24.350000000000001</v>
      </c>
      <c r="AE2329" s="217"/>
      <c r="AF2329" s="217">
        <v>1286</v>
      </c>
      <c r="AH2329">
        <f t="shared" si="1418"/>
        <v>1286</v>
      </c>
    </row>
    <row r="2330" ht="90">
      <c r="A2330" s="217"/>
      <c r="B2330" s="217">
        <v>1286</v>
      </c>
      <c r="C2330" s="217"/>
      <c r="D2330" s="217" t="s">
        <v>20408</v>
      </c>
      <c r="E2330" s="471" t="s">
        <v>20675</v>
      </c>
      <c r="F2330" s="489">
        <v>43603</v>
      </c>
      <c r="G2330" s="470" t="s">
        <v>11272</v>
      </c>
      <c r="H2330" s="499" t="s">
        <v>31</v>
      </c>
      <c r="I2330" s="483">
        <v>1</v>
      </c>
      <c r="J2330" s="473">
        <f t="shared" si="1401"/>
        <v>51.719999999999999</v>
      </c>
      <c r="K2330" s="474">
        <f t="shared" si="1422"/>
        <v>51.719999999999999</v>
      </c>
      <c r="L2330" s="473">
        <f t="shared" si="1411"/>
        <v>51.719999999999999</v>
      </c>
      <c r="M2330" s="474">
        <f t="shared" si="1423"/>
        <v>51.719999999999999</v>
      </c>
      <c r="O2330" s="434">
        <f t="shared" si="1409"/>
        <v>51.719999999999999</v>
      </c>
      <c r="P2330" s="435">
        <f t="shared" si="1410"/>
        <v>51.719999999999999</v>
      </c>
      <c r="AE2330" s="217"/>
      <c r="AF2330" s="217">
        <v>1286</v>
      </c>
      <c r="AH2330">
        <f t="shared" si="1418"/>
        <v>1286</v>
      </c>
    </row>
    <row r="2331" ht="120">
      <c r="A2331" s="217"/>
      <c r="B2331" s="217">
        <v>1286</v>
      </c>
      <c r="C2331" s="217"/>
      <c r="D2331" s="217" t="s">
        <v>20408</v>
      </c>
      <c r="E2331" s="471" t="s">
        <v>20677</v>
      </c>
      <c r="F2331" s="489">
        <v>3106</v>
      </c>
      <c r="G2331" s="470" t="s">
        <v>21666</v>
      </c>
      <c r="H2331" s="482" t="s">
        <v>31</v>
      </c>
      <c r="I2331" s="483">
        <v>1</v>
      </c>
      <c r="J2331" s="473">
        <f t="shared" si="1401"/>
        <v>18.940000000000001</v>
      </c>
      <c r="K2331" s="474">
        <f t="shared" si="1422"/>
        <v>18.940000000000001</v>
      </c>
      <c r="L2331" s="473">
        <f t="shared" si="1411"/>
        <v>18.940000000000001</v>
      </c>
      <c r="M2331" s="474">
        <f t="shared" si="1423"/>
        <v>18.940000000000001</v>
      </c>
      <c r="O2331" s="434">
        <f t="shared" si="1409"/>
        <v>18.940000000000001</v>
      </c>
      <c r="P2331" s="435">
        <f t="shared" si="1410"/>
        <v>18.940000000000001</v>
      </c>
      <c r="AE2331" s="217"/>
      <c r="AF2331" s="217">
        <v>1286</v>
      </c>
      <c r="AH2331">
        <f t="shared" si="1418"/>
        <v>1286</v>
      </c>
    </row>
    <row r="2332" ht="94.5">
      <c r="A2332" s="460">
        <v>1287</v>
      </c>
      <c r="B2332" s="460">
        <v>1287</v>
      </c>
      <c r="C2332" s="460"/>
      <c r="D2332" s="460"/>
      <c r="E2332" s="461">
        <v>1</v>
      </c>
      <c r="F2332" s="462" t="s">
        <v>21819</v>
      </c>
      <c r="G2332" s="477" t="s">
        <v>21820</v>
      </c>
      <c r="H2332" s="579" t="s">
        <v>31</v>
      </c>
      <c r="I2332" s="479"/>
      <c r="J2332" s="480"/>
      <c r="K2332" s="466">
        <f>SUM(K2333:K2341)</f>
        <v>236.308203625</v>
      </c>
      <c r="L2332" s="480"/>
      <c r="M2332" s="466">
        <f>SUM(M2333:M2344)</f>
        <v>585.83279900000002</v>
      </c>
      <c r="O2332" s="434" t="str">
        <f t="shared" si="1409"/>
        <v xml:space="preserve">SEM VALOR</v>
      </c>
      <c r="P2332" s="435" t="str">
        <f t="shared" si="1410"/>
        <v xml:space="preserve">SEM VALOR</v>
      </c>
      <c r="AE2332" s="460">
        <v>1287</v>
      </c>
      <c r="AF2332" s="460"/>
      <c r="AH2332">
        <f t="shared" si="1418"/>
        <v>1287</v>
      </c>
    </row>
    <row r="2333" ht="30">
      <c r="A2333" s="217"/>
      <c r="B2333" s="217">
        <v>1287</v>
      </c>
      <c r="C2333" s="217"/>
      <c r="D2333" s="217" t="s">
        <v>20408</v>
      </c>
      <c r="E2333" s="471" t="s">
        <v>20399</v>
      </c>
      <c r="F2333" s="471">
        <v>34723</v>
      </c>
      <c r="G2333" s="470" t="s">
        <v>21184</v>
      </c>
      <c r="H2333" s="591" t="s">
        <v>15515</v>
      </c>
      <c r="I2333" s="509">
        <v>0.12</v>
      </c>
      <c r="J2333" s="473">
        <f t="shared" si="1401"/>
        <v>997.91999999999996</v>
      </c>
      <c r="K2333" s="474">
        <f t="shared" ref="K2333:K2341" si="1424">I2333*J2333</f>
        <v>119.75039999999998</v>
      </c>
      <c r="L2333" s="473">
        <f t="shared" si="1411"/>
        <v>997.91999999999996</v>
      </c>
      <c r="M2333" s="474">
        <f t="shared" ref="M2333:M2341" si="1425">L2333*I2333</f>
        <v>119.75039999999998</v>
      </c>
      <c r="O2333" s="434">
        <f t="shared" si="1409"/>
        <v>997.91999999999996</v>
      </c>
      <c r="P2333" s="435">
        <f t="shared" si="1410"/>
        <v>997.91999999999996</v>
      </c>
      <c r="AE2333" s="217"/>
      <c r="AF2333" s="217">
        <v>1287</v>
      </c>
      <c r="AH2333">
        <f t="shared" si="1418"/>
        <v>1287</v>
      </c>
    </row>
    <row r="2334" ht="45">
      <c r="A2334" s="217"/>
      <c r="B2334" s="217">
        <v>1287</v>
      </c>
      <c r="C2334" s="217"/>
      <c r="D2334" s="217" t="s">
        <v>20408</v>
      </c>
      <c r="E2334" s="471" t="s">
        <v>20402</v>
      </c>
      <c r="F2334" s="471">
        <v>4433</v>
      </c>
      <c r="G2334" s="470" t="s">
        <v>21202</v>
      </c>
      <c r="H2334" s="591" t="s">
        <v>38</v>
      </c>
      <c r="I2334" s="509">
        <v>2.7000000000000002</v>
      </c>
      <c r="J2334" s="473">
        <f t="shared" ref="J2334:J2397" si="1426">O2334*$J$3</f>
        <v>28.940000000000001</v>
      </c>
      <c r="K2334" s="474">
        <f t="shared" si="1424"/>
        <v>78.138000000000005</v>
      </c>
      <c r="L2334" s="473">
        <f t="shared" si="1411"/>
        <v>28.940000000000001</v>
      </c>
      <c r="M2334" s="474">
        <f t="shared" si="1425"/>
        <v>78.138000000000005</v>
      </c>
      <c r="O2334" s="434">
        <f t="shared" si="1409"/>
        <v>28.940000000000001</v>
      </c>
      <c r="P2334" s="435">
        <f t="shared" si="1410"/>
        <v>28.940000000000001</v>
      </c>
      <c r="AE2334" s="217"/>
      <c r="AF2334" s="217">
        <v>1287</v>
      </c>
      <c r="AH2334">
        <f t="shared" si="1418"/>
        <v>1287</v>
      </c>
    </row>
    <row r="2335" ht="60">
      <c r="A2335" s="217"/>
      <c r="B2335" s="217">
        <v>1287</v>
      </c>
      <c r="C2335" s="217"/>
      <c r="D2335" s="217" t="s">
        <v>20398</v>
      </c>
      <c r="E2335" s="471" t="s">
        <v>20405</v>
      </c>
      <c r="F2335" s="482">
        <v>1241</v>
      </c>
      <c r="G2335" s="470" t="s">
        <v>21181</v>
      </c>
      <c r="H2335" s="591" t="s">
        <v>15528</v>
      </c>
      <c r="I2335" s="509">
        <v>3.125e-002</v>
      </c>
      <c r="J2335" s="473">
        <f t="shared" si="1426"/>
        <v>453.00401999999997</v>
      </c>
      <c r="K2335" s="474">
        <f t="shared" si="1424"/>
        <v>14.156375624999999</v>
      </c>
      <c r="L2335" s="473">
        <f t="shared" si="1411"/>
        <v>445.74401999999998</v>
      </c>
      <c r="M2335" s="474">
        <f t="shared" si="1425"/>
        <v>13.929500624999999</v>
      </c>
      <c r="O2335" s="434">
        <f t="shared" si="1409"/>
        <v>453.00401999999997</v>
      </c>
      <c r="P2335" s="435">
        <f t="shared" si="1410"/>
        <v>445.74401999999998</v>
      </c>
      <c r="AE2335" s="217"/>
      <c r="AF2335" s="217">
        <v>1287</v>
      </c>
      <c r="AH2335">
        <f t="shared" si="1418"/>
        <v>1287</v>
      </c>
    </row>
    <row r="2336" ht="45">
      <c r="A2336" s="217"/>
      <c r="B2336" s="217">
        <v>1287</v>
      </c>
      <c r="C2336" s="217"/>
      <c r="D2336" s="217" t="s">
        <v>20398</v>
      </c>
      <c r="E2336" s="471" t="s">
        <v>20409</v>
      </c>
      <c r="F2336" s="482">
        <v>1243</v>
      </c>
      <c r="G2336" s="470" t="s">
        <v>21036</v>
      </c>
      <c r="H2336" s="591" t="s">
        <v>15515</v>
      </c>
      <c r="I2336" s="509">
        <v>0.51000000000000001</v>
      </c>
      <c r="J2336" s="473">
        <f t="shared" si="1426"/>
        <v>10.1928</v>
      </c>
      <c r="K2336" s="474">
        <f t="shared" si="1424"/>
        <v>5.1983280000000001</v>
      </c>
      <c r="L2336" s="473">
        <f t="shared" si="1411"/>
        <v>9.6916499999999992</v>
      </c>
      <c r="M2336" s="474">
        <f t="shared" si="1425"/>
        <v>4.9427414999999995</v>
      </c>
      <c r="O2336" s="434">
        <f t="shared" si="1409"/>
        <v>10.1928</v>
      </c>
      <c r="P2336" s="435">
        <f t="shared" si="1410"/>
        <v>9.6916499999999992</v>
      </c>
      <c r="AE2336" s="217"/>
      <c r="AF2336" s="217">
        <v>1287</v>
      </c>
      <c r="AH2336">
        <f t="shared" si="1418"/>
        <v>1287</v>
      </c>
    </row>
    <row r="2337" ht="45">
      <c r="A2337" s="217"/>
      <c r="B2337" s="217">
        <v>1287</v>
      </c>
      <c r="C2337" s="217"/>
      <c r="D2337" s="217" t="s">
        <v>20398</v>
      </c>
      <c r="E2337" s="471" t="s">
        <v>20663</v>
      </c>
      <c r="F2337" s="482">
        <v>1259</v>
      </c>
      <c r="G2337" s="470" t="s">
        <v>20796</v>
      </c>
      <c r="H2337" s="591" t="s">
        <v>15528</v>
      </c>
      <c r="I2337" s="509">
        <v>3.125e-002</v>
      </c>
      <c r="J2337" s="473">
        <f t="shared" si="1426"/>
        <v>45.520000000000003</v>
      </c>
      <c r="K2337" s="474">
        <f t="shared" si="1424"/>
        <v>1.4225000000000001</v>
      </c>
      <c r="L2337" s="473">
        <f t="shared" si="1411"/>
        <v>43.100000000000001</v>
      </c>
      <c r="M2337" s="474">
        <f t="shared" si="1425"/>
        <v>1.346875</v>
      </c>
      <c r="O2337" s="434">
        <f t="shared" si="1409"/>
        <v>45.520000000000003</v>
      </c>
      <c r="P2337" s="435">
        <f t="shared" si="1410"/>
        <v>43.100000000000001</v>
      </c>
      <c r="AE2337" s="217"/>
      <c r="AF2337" s="217">
        <v>1287</v>
      </c>
      <c r="AH2337">
        <f t="shared" si="1418"/>
        <v>1287</v>
      </c>
    </row>
    <row r="2338" ht="105">
      <c r="A2338" s="217"/>
      <c r="B2338" s="217">
        <v>1287</v>
      </c>
      <c r="C2338" s="217"/>
      <c r="D2338" s="217" t="s">
        <v>17167</v>
      </c>
      <c r="E2338" s="471" t="s">
        <v>20665</v>
      </c>
      <c r="F2338" s="471">
        <v>73467</v>
      </c>
      <c r="G2338" s="470" t="s">
        <v>1601</v>
      </c>
      <c r="H2338" s="591" t="s">
        <v>1535</v>
      </c>
      <c r="I2338" s="509">
        <v>1.e-002</v>
      </c>
      <c r="J2338" s="473">
        <f t="shared" si="1426"/>
        <v>270.61000000000001</v>
      </c>
      <c r="K2338" s="474">
        <f t="shared" si="1424"/>
        <v>2.7061000000000002</v>
      </c>
      <c r="L2338" s="473">
        <f t="shared" si="1411"/>
        <v>269.00999999999999</v>
      </c>
      <c r="M2338" s="474">
        <f t="shared" si="1425"/>
        <v>2.6901000000000002</v>
      </c>
      <c r="O2338" s="434">
        <f t="shared" si="1409"/>
        <v>270.61000000000001</v>
      </c>
      <c r="P2338" s="435">
        <f t="shared" si="1410"/>
        <v>269.00999999999999</v>
      </c>
      <c r="AE2338" s="217"/>
      <c r="AF2338" s="217">
        <v>1287</v>
      </c>
      <c r="AH2338">
        <f t="shared" si="1418"/>
        <v>1287</v>
      </c>
    </row>
    <row r="2339" ht="45">
      <c r="A2339" s="217"/>
      <c r="B2339" s="217">
        <v>1287</v>
      </c>
      <c r="C2339" s="217"/>
      <c r="D2339" s="217" t="s">
        <v>20398</v>
      </c>
      <c r="E2339" s="471" t="s">
        <v>20667</v>
      </c>
      <c r="F2339" s="471">
        <v>1000</v>
      </c>
      <c r="G2339" s="470" t="s">
        <v>20651</v>
      </c>
      <c r="H2339" s="592" t="s">
        <v>15528</v>
      </c>
      <c r="I2339" s="509">
        <v>3.125e-002</v>
      </c>
      <c r="J2339" s="473">
        <f t="shared" si="1426"/>
        <v>149.904</v>
      </c>
      <c r="K2339" s="474">
        <f t="shared" si="1424"/>
        <v>4.6844999999999999</v>
      </c>
      <c r="L2339" s="473">
        <f t="shared" si="1411"/>
        <v>141.76949999999999</v>
      </c>
      <c r="M2339" s="474">
        <f t="shared" si="1425"/>
        <v>4.4302968749999998</v>
      </c>
      <c r="O2339" s="434">
        <f t="shared" si="1409"/>
        <v>149.904</v>
      </c>
      <c r="P2339" s="435">
        <f t="shared" si="1410"/>
        <v>141.76949999999999</v>
      </c>
      <c r="AE2339" s="217"/>
      <c r="AF2339" s="217">
        <v>1287</v>
      </c>
      <c r="AH2339">
        <f t="shared" si="1418"/>
        <v>1287</v>
      </c>
    </row>
    <row r="2340" ht="30">
      <c r="A2340" s="217"/>
      <c r="B2340" s="217">
        <v>1287</v>
      </c>
      <c r="C2340" s="217"/>
      <c r="D2340" s="217" t="s">
        <v>17167</v>
      </c>
      <c r="E2340" s="471" t="s">
        <v>20671</v>
      </c>
      <c r="F2340" s="471">
        <v>88309</v>
      </c>
      <c r="G2340" s="470" t="s">
        <v>7385</v>
      </c>
      <c r="H2340" s="591" t="s">
        <v>2032</v>
      </c>
      <c r="I2340" s="509">
        <v>0.20000000000000001</v>
      </c>
      <c r="J2340" s="473">
        <f t="shared" si="1426"/>
        <v>28.5</v>
      </c>
      <c r="K2340" s="474">
        <f t="shared" si="1424"/>
        <v>5.7000000000000002</v>
      </c>
      <c r="L2340" s="473">
        <f t="shared" si="1411"/>
        <v>26.870000000000001</v>
      </c>
      <c r="M2340" s="474">
        <f t="shared" si="1425"/>
        <v>5.3740000000000006</v>
      </c>
      <c r="O2340" s="434">
        <f t="shared" si="1409"/>
        <v>28.5</v>
      </c>
      <c r="P2340" s="435">
        <f t="shared" si="1410"/>
        <v>26.870000000000001</v>
      </c>
      <c r="AE2340" s="217"/>
      <c r="AF2340" s="217">
        <v>1287</v>
      </c>
      <c r="AH2340">
        <f t="shared" si="1418"/>
        <v>1287</v>
      </c>
    </row>
    <row r="2341" ht="30">
      <c r="A2341" s="217"/>
      <c r="B2341" s="217">
        <v>1287</v>
      </c>
      <c r="C2341" s="217"/>
      <c r="D2341" s="217" t="s">
        <v>17167</v>
      </c>
      <c r="E2341" s="471" t="s">
        <v>20672</v>
      </c>
      <c r="F2341" s="471">
        <v>88316</v>
      </c>
      <c r="G2341" s="470" t="s">
        <v>7393</v>
      </c>
      <c r="H2341" s="591" t="s">
        <v>2032</v>
      </c>
      <c r="I2341" s="509">
        <v>0.20000000000000001</v>
      </c>
      <c r="J2341" s="473">
        <f t="shared" si="1426"/>
        <v>22.760000000000002</v>
      </c>
      <c r="K2341" s="474">
        <f t="shared" si="1424"/>
        <v>4.5520000000000005</v>
      </c>
      <c r="L2341" s="473">
        <f t="shared" si="1411"/>
        <v>21.550000000000001</v>
      </c>
      <c r="M2341" s="474">
        <f t="shared" si="1425"/>
        <v>4.3100000000000005</v>
      </c>
      <c r="O2341" s="434">
        <f t="shared" si="1409"/>
        <v>22.760000000000002</v>
      </c>
      <c r="P2341" s="435">
        <f t="shared" si="1410"/>
        <v>21.550000000000001</v>
      </c>
      <c r="AE2341" s="217"/>
      <c r="AF2341" s="217">
        <v>1287</v>
      </c>
      <c r="AH2341">
        <f t="shared" si="1418"/>
        <v>1287</v>
      </c>
    </row>
    <row r="2342" ht="78.75">
      <c r="A2342" s="460">
        <v>1288</v>
      </c>
      <c r="B2342" s="460">
        <v>1288</v>
      </c>
      <c r="C2342" s="460"/>
      <c r="D2342" s="460"/>
      <c r="E2342" s="461">
        <v>1</v>
      </c>
      <c r="F2342" s="462" t="s">
        <v>21821</v>
      </c>
      <c r="G2342" s="477" t="s">
        <v>21822</v>
      </c>
      <c r="H2342" s="579" t="s">
        <v>15528</v>
      </c>
      <c r="I2342" s="479"/>
      <c r="J2342" s="480"/>
      <c r="K2342" s="466">
        <f>SUM(K2343:K2347)</f>
        <v>224.93688600000002</v>
      </c>
      <c r="L2342" s="480"/>
      <c r="M2342" s="466">
        <f>SUM(M2343:M2347)</f>
        <v>220.47916499999999</v>
      </c>
      <c r="N2342" s="467" t="s">
        <v>21823</v>
      </c>
      <c r="O2342" s="434" t="str">
        <f t="shared" si="1409"/>
        <v xml:space="preserve">SEM VALOR</v>
      </c>
      <c r="P2342" s="435" t="str">
        <f t="shared" si="1410"/>
        <v xml:space="preserve">SEM VALOR</v>
      </c>
      <c r="AE2342" s="460">
        <v>1288</v>
      </c>
      <c r="AF2342" s="460"/>
      <c r="AH2342">
        <f t="shared" si="1418"/>
        <v>1288</v>
      </c>
    </row>
    <row r="2343" ht="45">
      <c r="A2343" s="217"/>
      <c r="B2343" s="217">
        <v>1288</v>
      </c>
      <c r="C2343" s="217"/>
      <c r="D2343" s="217" t="s">
        <v>20408</v>
      </c>
      <c r="E2343" s="471" t="s">
        <v>20399</v>
      </c>
      <c r="F2343" s="471">
        <v>4721</v>
      </c>
      <c r="G2343" s="470" t="s">
        <v>21669</v>
      </c>
      <c r="H2343" s="471" t="s">
        <v>15528</v>
      </c>
      <c r="I2343" s="509">
        <v>1.1000000000000001</v>
      </c>
      <c r="J2343" s="473">
        <f t="shared" si="1426"/>
        <v>100.48999999999999</v>
      </c>
      <c r="K2343" s="474">
        <f t="shared" ref="K2343:K2347" si="1427">I2343*J2343</f>
        <v>110.539</v>
      </c>
      <c r="L2343" s="473">
        <f t="shared" si="1411"/>
        <v>100.48999999999999</v>
      </c>
      <c r="M2343" s="474">
        <f t="shared" ref="M2343:M2347" si="1428">L2343*I2343</f>
        <v>110.539</v>
      </c>
      <c r="O2343" s="434">
        <f t="shared" si="1409"/>
        <v>100.48999999999999</v>
      </c>
      <c r="P2343" s="435">
        <f t="shared" si="1410"/>
        <v>100.48999999999999</v>
      </c>
      <c r="AE2343" s="217"/>
      <c r="AF2343" s="217">
        <v>1288</v>
      </c>
      <c r="AH2343">
        <f t="shared" si="1418"/>
        <v>1288</v>
      </c>
    </row>
    <row r="2344" ht="120">
      <c r="A2344" s="217"/>
      <c r="B2344" s="217">
        <v>1288</v>
      </c>
      <c r="C2344" s="217"/>
      <c r="D2344" s="217" t="s">
        <v>17167</v>
      </c>
      <c r="E2344" s="471" t="s">
        <v>20402</v>
      </c>
      <c r="F2344" s="471">
        <v>5678</v>
      </c>
      <c r="G2344" s="470" t="s">
        <v>1875</v>
      </c>
      <c r="H2344" s="471" t="s">
        <v>1535</v>
      </c>
      <c r="I2344" s="509">
        <v>0.128</v>
      </c>
      <c r="J2344" s="473">
        <f t="shared" si="1426"/>
        <v>157.62</v>
      </c>
      <c r="K2344" s="474">
        <f t="shared" si="1427"/>
        <v>20.175360000000001</v>
      </c>
      <c r="L2344" s="473">
        <f t="shared" si="1411"/>
        <v>155.49000000000001</v>
      </c>
      <c r="M2344" s="474">
        <f t="shared" si="1428"/>
        <v>19.902720000000002</v>
      </c>
      <c r="O2344" s="434">
        <f t="shared" si="1409"/>
        <v>157.62</v>
      </c>
      <c r="P2344" s="435">
        <f t="shared" si="1410"/>
        <v>155.49000000000001</v>
      </c>
      <c r="AE2344" s="217"/>
      <c r="AF2344" s="217">
        <v>1288</v>
      </c>
      <c r="AH2344">
        <f t="shared" si="1418"/>
        <v>1288</v>
      </c>
    </row>
    <row r="2345" ht="120">
      <c r="A2345" s="217"/>
      <c r="B2345" s="217">
        <v>1288</v>
      </c>
      <c r="C2345" s="217"/>
      <c r="D2345" s="217" t="s">
        <v>17167</v>
      </c>
      <c r="E2345" s="471" t="s">
        <v>20405</v>
      </c>
      <c r="F2345" s="471">
        <v>5679</v>
      </c>
      <c r="G2345" s="470" t="s">
        <v>1874</v>
      </c>
      <c r="H2345" s="471" t="s">
        <v>1533</v>
      </c>
      <c r="I2345" s="509">
        <v>0.63980000000000004</v>
      </c>
      <c r="J2345" s="473">
        <f t="shared" si="1426"/>
        <v>67.060000000000002</v>
      </c>
      <c r="K2345" s="474">
        <f t="shared" si="1427"/>
        <v>42.904988000000003</v>
      </c>
      <c r="L2345" s="473">
        <f t="shared" si="1411"/>
        <v>64.930000000000007</v>
      </c>
      <c r="M2345" s="474">
        <f t="shared" si="1428"/>
        <v>41.542214000000008</v>
      </c>
      <c r="O2345" s="434">
        <f t="shared" si="1409"/>
        <v>67.060000000000002</v>
      </c>
      <c r="P2345" s="435">
        <f t="shared" si="1410"/>
        <v>64.930000000000007</v>
      </c>
      <c r="AE2345" s="217"/>
      <c r="AF2345" s="217">
        <v>1288</v>
      </c>
      <c r="AH2345">
        <f t="shared" si="1418"/>
        <v>1288</v>
      </c>
    </row>
    <row r="2346" ht="30">
      <c r="A2346" s="217"/>
      <c r="B2346" s="217">
        <v>1288</v>
      </c>
      <c r="C2346" s="217"/>
      <c r="D2346" s="217" t="s">
        <v>17167</v>
      </c>
      <c r="E2346" s="471" t="s">
        <v>20409</v>
      </c>
      <c r="F2346" s="471">
        <v>88309</v>
      </c>
      <c r="G2346" s="470" t="s">
        <v>7385</v>
      </c>
      <c r="H2346" s="471" t="s">
        <v>2032</v>
      </c>
      <c r="I2346" s="509">
        <v>0.81930000000000003</v>
      </c>
      <c r="J2346" s="473">
        <f t="shared" si="1426"/>
        <v>28.5</v>
      </c>
      <c r="K2346" s="474">
        <f t="shared" si="1427"/>
        <v>23.35005</v>
      </c>
      <c r="L2346" s="473">
        <f t="shared" si="1411"/>
        <v>26.870000000000001</v>
      </c>
      <c r="M2346" s="474">
        <f t="shared" si="1428"/>
        <v>22.014591000000003</v>
      </c>
      <c r="O2346" s="434">
        <f t="shared" si="1409"/>
        <v>28.5</v>
      </c>
      <c r="P2346" s="435">
        <f t="shared" si="1410"/>
        <v>26.870000000000001</v>
      </c>
      <c r="AE2346" s="217"/>
      <c r="AF2346" s="217">
        <v>1288</v>
      </c>
      <c r="AH2346">
        <f t="shared" si="1418"/>
        <v>1288</v>
      </c>
    </row>
    <row r="2347" ht="30">
      <c r="A2347" s="217"/>
      <c r="B2347" s="217">
        <v>1288</v>
      </c>
      <c r="C2347" s="217"/>
      <c r="D2347" s="217" t="s">
        <v>17167</v>
      </c>
      <c r="E2347" s="471" t="s">
        <v>20663</v>
      </c>
      <c r="F2347" s="471">
        <v>88316</v>
      </c>
      <c r="G2347" s="470" t="s">
        <v>7393</v>
      </c>
      <c r="H2347" s="471" t="s">
        <v>2032</v>
      </c>
      <c r="I2347" s="509">
        <v>1.2287999999999999</v>
      </c>
      <c r="J2347" s="473">
        <f t="shared" si="1426"/>
        <v>22.760000000000002</v>
      </c>
      <c r="K2347" s="474">
        <f t="shared" si="1427"/>
        <v>27.967487999999999</v>
      </c>
      <c r="L2347" s="473">
        <f t="shared" si="1411"/>
        <v>21.550000000000001</v>
      </c>
      <c r="M2347" s="474">
        <f t="shared" si="1428"/>
        <v>26.480639999999998</v>
      </c>
      <c r="O2347" s="434">
        <f t="shared" si="1409"/>
        <v>22.760000000000002</v>
      </c>
      <c r="P2347" s="435">
        <f t="shared" si="1410"/>
        <v>21.550000000000001</v>
      </c>
      <c r="AE2347" s="217"/>
      <c r="AF2347" s="217">
        <v>1288</v>
      </c>
      <c r="AH2347">
        <f t="shared" si="1418"/>
        <v>1288</v>
      </c>
    </row>
    <row r="2348" ht="78.75">
      <c r="A2348" s="460">
        <v>1289</v>
      </c>
      <c r="B2348" s="460">
        <v>1289</v>
      </c>
      <c r="C2348" s="460"/>
      <c r="D2348" s="460"/>
      <c r="E2348" s="461">
        <v>1</v>
      </c>
      <c r="F2348" s="462" t="s">
        <v>21824</v>
      </c>
      <c r="G2348" s="477" t="s">
        <v>21825</v>
      </c>
      <c r="H2348" s="579" t="s">
        <v>15528</v>
      </c>
      <c r="I2348" s="479"/>
      <c r="J2348" s="480"/>
      <c r="K2348" s="466">
        <f>SUM(K2349:K2353)</f>
        <v>182.163804</v>
      </c>
      <c r="L2348" s="480"/>
      <c r="M2348" s="466">
        <f>SUM(M2349:M2353)</f>
        <v>179.36309700000001</v>
      </c>
      <c r="N2348" s="467" t="s">
        <v>21826</v>
      </c>
      <c r="O2348" s="434" t="str">
        <f t="shared" ref="O2348:O2411" si="1429">IFERROR(IF(D2348="SINAPI",VLOOKUP(F2348,SINCOMOD,4,FALSE),IF(D2348="INSINAPI",VLOOKUP(F2348,INSINOD,5,FALSE),IF(D2348="SICRO",VLOOKUP(F2348,SICRO,5,FALSE),IF(D2348="COTACAO",VLOOKUP(F2348,COTACAO,6,FALSE),IF(D2348="PRÓPRIO",VLOOKUP(F2348,COMPOD,11,FALSE),IF(D2348="AGESUL",VLOOKUP(F2348,AGESULOD,6,FALSE),IF(D2348="INSAGESUL",VLOOKUP(F2348,INSAGESUL,7,FALSE),"SEM VALOR"))))))),"SEM VALOR")</f>
        <v xml:space="preserve">SEM VALOR</v>
      </c>
      <c r="P2348" s="435" t="str">
        <f t="shared" ref="P2348:P2411" si="1430">IFERROR(IF(D2348="SINAPI",VLOOKUP(F2348,SINCOMOD,6,FALSE),IF(D2348="INSINAPI",VLOOKUP(F2348,INSINOD,6,FALSE),IF(D2348="SICRO",VLOOKUP(F2348,SICRO,5,FALSE),IF(D2348="COTACAO",VLOOKUP(F2348,COTACAO,6,FALSE),IF(D2348="PRÓPRIO",VLOOKUP(F2348,COMPOD,13,FALSE),IF(D2348="AGESUL",VLOOKUP(F2348,AGESULOD,11,FALSE),IF(D2348="INSAGESUL",VLOOKUP(F2348,INSAGESUL,8,FALSE),"SEM VALOR"))))))),"SEM VALOR")</f>
        <v xml:space="preserve">SEM VALOR</v>
      </c>
      <c r="AE2348" s="460">
        <v>1289</v>
      </c>
      <c r="AF2348" s="460"/>
      <c r="AH2348">
        <f t="shared" si="1418"/>
        <v>1289</v>
      </c>
    </row>
    <row r="2349" ht="45">
      <c r="A2349" s="217"/>
      <c r="B2349" s="217">
        <v>1289</v>
      </c>
      <c r="C2349" s="217"/>
      <c r="D2349" s="217" t="s">
        <v>20408</v>
      </c>
      <c r="E2349" s="471" t="s">
        <v>20399</v>
      </c>
      <c r="F2349" s="471">
        <v>4721</v>
      </c>
      <c r="G2349" s="470" t="s">
        <v>21669</v>
      </c>
      <c r="H2349" s="471" t="s">
        <v>15528</v>
      </c>
      <c r="I2349" s="509">
        <v>1.1000000000000001</v>
      </c>
      <c r="J2349" s="473">
        <f t="shared" si="1426"/>
        <v>100.48999999999999</v>
      </c>
      <c r="K2349" s="474">
        <f t="shared" ref="K2349:K2353" si="1431">I2349*J2349</f>
        <v>110.539</v>
      </c>
      <c r="L2349" s="473">
        <f t="shared" ref="L2349:L2412" si="1432">P2349*$L$3</f>
        <v>100.48999999999999</v>
      </c>
      <c r="M2349" s="474">
        <f t="shared" ref="M2349:M2353" si="1433">L2349*I2349</f>
        <v>110.539</v>
      </c>
      <c r="O2349" s="434">
        <f t="shared" si="1429"/>
        <v>100.48999999999999</v>
      </c>
      <c r="P2349" s="435">
        <f t="shared" si="1430"/>
        <v>100.48999999999999</v>
      </c>
      <c r="AE2349" s="217"/>
      <c r="AF2349" s="217">
        <v>1289</v>
      </c>
      <c r="AH2349">
        <f t="shared" si="1418"/>
        <v>1289</v>
      </c>
    </row>
    <row r="2350" ht="120">
      <c r="A2350" s="217"/>
      <c r="B2350" s="217">
        <v>1289</v>
      </c>
      <c r="C2350" s="217"/>
      <c r="D2350" s="217" t="s">
        <v>17167</v>
      </c>
      <c r="E2350" s="471" t="s">
        <v>20402</v>
      </c>
      <c r="F2350" s="471">
        <v>5678</v>
      </c>
      <c r="G2350" s="470" t="s">
        <v>1875</v>
      </c>
      <c r="H2350" s="471" t="s">
        <v>1535</v>
      </c>
      <c r="I2350" s="509">
        <v>7.9399999999999998e-002</v>
      </c>
      <c r="J2350" s="473">
        <f t="shared" si="1426"/>
        <v>157.62</v>
      </c>
      <c r="K2350" s="474">
        <f t="shared" si="1431"/>
        <v>12.515028000000001</v>
      </c>
      <c r="L2350" s="473">
        <f t="shared" si="1432"/>
        <v>155.49000000000001</v>
      </c>
      <c r="M2350" s="474">
        <f t="shared" si="1433"/>
        <v>12.345906000000001</v>
      </c>
      <c r="O2350" s="434">
        <f t="shared" si="1429"/>
        <v>157.62</v>
      </c>
      <c r="P2350" s="435">
        <f t="shared" si="1430"/>
        <v>155.49000000000001</v>
      </c>
      <c r="AE2350" s="217"/>
      <c r="AF2350" s="217">
        <v>1289</v>
      </c>
      <c r="AH2350">
        <f t="shared" si="1418"/>
        <v>1289</v>
      </c>
    </row>
    <row r="2351" ht="120">
      <c r="A2351" s="217"/>
      <c r="B2351" s="217">
        <v>1289</v>
      </c>
      <c r="C2351" s="217"/>
      <c r="D2351" s="217" t="s">
        <v>17167</v>
      </c>
      <c r="E2351" s="471" t="s">
        <v>20405</v>
      </c>
      <c r="F2351" s="471">
        <v>5679</v>
      </c>
      <c r="G2351" s="470" t="s">
        <v>1874</v>
      </c>
      <c r="H2351" s="471" t="s">
        <v>1533</v>
      </c>
      <c r="I2351" s="509">
        <v>0.3972</v>
      </c>
      <c r="J2351" s="473">
        <f t="shared" si="1426"/>
        <v>67.060000000000002</v>
      </c>
      <c r="K2351" s="474">
        <f t="shared" si="1431"/>
        <v>26.636232</v>
      </c>
      <c r="L2351" s="473">
        <f t="shared" si="1432"/>
        <v>64.930000000000007</v>
      </c>
      <c r="M2351" s="474">
        <f t="shared" si="1433"/>
        <v>25.790196000000002</v>
      </c>
      <c r="O2351" s="434">
        <f t="shared" si="1429"/>
        <v>67.060000000000002</v>
      </c>
      <c r="P2351" s="435">
        <f t="shared" si="1430"/>
        <v>64.930000000000007</v>
      </c>
      <c r="AE2351" s="217"/>
      <c r="AF2351" s="217">
        <v>1289</v>
      </c>
      <c r="AH2351">
        <f t="shared" si="1418"/>
        <v>1289</v>
      </c>
    </row>
    <row r="2352" ht="30">
      <c r="A2352" s="217"/>
      <c r="B2352" s="217">
        <v>1289</v>
      </c>
      <c r="C2352" s="217"/>
      <c r="D2352" s="217" t="s">
        <v>17167</v>
      </c>
      <c r="E2352" s="471" t="s">
        <v>20409</v>
      </c>
      <c r="F2352" s="471">
        <v>88309</v>
      </c>
      <c r="G2352" s="470" t="s">
        <v>7385</v>
      </c>
      <c r="H2352" s="471" t="s">
        <v>2032</v>
      </c>
      <c r="I2352" s="509">
        <v>0.51500000000000001</v>
      </c>
      <c r="J2352" s="473">
        <f t="shared" si="1426"/>
        <v>28.5</v>
      </c>
      <c r="K2352" s="474">
        <f t="shared" si="1431"/>
        <v>14.6775</v>
      </c>
      <c r="L2352" s="473">
        <f t="shared" si="1432"/>
        <v>26.870000000000001</v>
      </c>
      <c r="M2352" s="474">
        <f t="shared" si="1433"/>
        <v>13.838050000000001</v>
      </c>
      <c r="O2352" s="434">
        <f t="shared" si="1429"/>
        <v>28.5</v>
      </c>
      <c r="P2352" s="435">
        <f t="shared" si="1430"/>
        <v>26.870000000000001</v>
      </c>
      <c r="AE2352" s="217"/>
      <c r="AF2352" s="217">
        <v>1289</v>
      </c>
      <c r="AH2352">
        <f t="shared" si="1418"/>
        <v>1289</v>
      </c>
    </row>
    <row r="2353" ht="30">
      <c r="A2353" s="217"/>
      <c r="B2353" s="217">
        <v>1289</v>
      </c>
      <c r="C2353" s="217"/>
      <c r="D2353" s="217" t="s">
        <v>17167</v>
      </c>
      <c r="E2353" s="471" t="s">
        <v>20663</v>
      </c>
      <c r="F2353" s="471">
        <v>88316</v>
      </c>
      <c r="G2353" s="470" t="s">
        <v>7393</v>
      </c>
      <c r="H2353" s="471" t="s">
        <v>2032</v>
      </c>
      <c r="I2353" s="509">
        <v>0.78190000000000004</v>
      </c>
      <c r="J2353" s="473">
        <f t="shared" si="1426"/>
        <v>22.760000000000002</v>
      </c>
      <c r="K2353" s="474">
        <f t="shared" si="1431"/>
        <v>17.796044000000002</v>
      </c>
      <c r="L2353" s="473">
        <f t="shared" si="1432"/>
        <v>21.550000000000001</v>
      </c>
      <c r="M2353" s="474">
        <f t="shared" si="1433"/>
        <v>16.849945000000002</v>
      </c>
      <c r="O2353" s="434">
        <f t="shared" si="1429"/>
        <v>22.760000000000002</v>
      </c>
      <c r="P2353" s="435">
        <f t="shared" si="1430"/>
        <v>21.550000000000001</v>
      </c>
      <c r="AE2353" s="217"/>
      <c r="AF2353" s="217">
        <v>1289</v>
      </c>
      <c r="AH2353">
        <f t="shared" si="1418"/>
        <v>1289</v>
      </c>
    </row>
    <row r="2354" ht="78.75">
      <c r="A2354" s="460">
        <v>1290</v>
      </c>
      <c r="B2354" s="460">
        <v>1290</v>
      </c>
      <c r="C2354" s="460"/>
      <c r="D2354" s="460"/>
      <c r="E2354" s="461">
        <v>1</v>
      </c>
      <c r="F2354" s="462" t="s">
        <v>21827</v>
      </c>
      <c r="G2354" s="505" t="s">
        <v>21828</v>
      </c>
      <c r="H2354" s="461" t="s">
        <v>15515</v>
      </c>
      <c r="I2354" s="479"/>
      <c r="J2354" s="480"/>
      <c r="K2354" s="466">
        <f>SUM(K2355:K2356)</f>
        <v>30.319860288000001</v>
      </c>
      <c r="L2354" s="480"/>
      <c r="M2354" s="466">
        <f>SUM(M2355:M2356)</f>
        <v>30.315614640000003</v>
      </c>
      <c r="N2354" s="467" t="s">
        <v>21374</v>
      </c>
      <c r="O2354" s="434" t="str">
        <f t="shared" si="1429"/>
        <v xml:space="preserve">SEM VALOR</v>
      </c>
      <c r="P2354" s="435" t="str">
        <f t="shared" si="1430"/>
        <v xml:space="preserve">SEM VALOR</v>
      </c>
      <c r="AE2354" s="460">
        <v>1290</v>
      </c>
      <c r="AF2354" s="460">
        <v>1290</v>
      </c>
      <c r="AH2354">
        <f t="shared" si="1418"/>
        <v>1290</v>
      </c>
    </row>
    <row r="2355" ht="45">
      <c r="A2355" s="217"/>
      <c r="B2355" s="217">
        <v>1290</v>
      </c>
      <c r="C2355" s="217"/>
      <c r="D2355" s="217" t="s">
        <v>20644</v>
      </c>
      <c r="E2355" s="468" t="s">
        <v>20399</v>
      </c>
      <c r="F2355" s="469" t="s">
        <v>15388</v>
      </c>
      <c r="G2355" s="470" t="s">
        <v>21829</v>
      </c>
      <c r="H2355" s="482" t="s">
        <v>15515</v>
      </c>
      <c r="I2355" s="483">
        <v>1.05</v>
      </c>
      <c r="J2355" s="473">
        <f t="shared" si="1426"/>
        <v>28.800000000000001</v>
      </c>
      <c r="K2355" s="474">
        <f t="shared" ref="K2355:K2356" si="1434">I2355*J2355</f>
        <v>30.240000000000002</v>
      </c>
      <c r="L2355" s="473">
        <f t="shared" si="1432"/>
        <v>28.800000000000001</v>
      </c>
      <c r="M2355" s="474">
        <f t="shared" ref="M2355:M2356" si="1435">L2355*I2355</f>
        <v>30.240000000000002</v>
      </c>
      <c r="N2355" s="467" t="s">
        <v>21830</v>
      </c>
      <c r="O2355" s="434">
        <f t="shared" si="1429"/>
        <v>28.800000000000001</v>
      </c>
      <c r="P2355" s="435">
        <f t="shared" si="1430"/>
        <v>28.800000000000001</v>
      </c>
      <c r="AE2355" s="217"/>
      <c r="AF2355" s="217">
        <v>1290</v>
      </c>
      <c r="AH2355">
        <f t="shared" si="1418"/>
        <v>1290</v>
      </c>
    </row>
    <row r="2356" ht="30">
      <c r="A2356" s="217"/>
      <c r="B2356" s="217">
        <v>1290</v>
      </c>
      <c r="C2356" s="217"/>
      <c r="D2356" s="217" t="s">
        <v>17167</v>
      </c>
      <c r="E2356" s="468" t="s">
        <v>20402</v>
      </c>
      <c r="F2356" s="486">
        <v>88316</v>
      </c>
      <c r="G2356" s="470" t="s">
        <v>7393</v>
      </c>
      <c r="H2356" s="482" t="s">
        <v>2032</v>
      </c>
      <c r="I2356" s="483">
        <f>2/570</f>
        <v>3.5087999999999999e-003</v>
      </c>
      <c r="J2356" s="473">
        <f t="shared" si="1426"/>
        <v>22.760000000000002</v>
      </c>
      <c r="K2356" s="474">
        <f t="shared" si="1434"/>
        <v>7.9860288000000001e-002</v>
      </c>
      <c r="L2356" s="473">
        <f t="shared" si="1432"/>
        <v>21.550000000000001</v>
      </c>
      <c r="M2356" s="474">
        <f t="shared" si="1435"/>
        <v>7.5614639999999997e-002</v>
      </c>
      <c r="N2356" s="442"/>
      <c r="O2356" s="434">
        <f t="shared" si="1429"/>
        <v>22.760000000000002</v>
      </c>
      <c r="P2356" s="435">
        <f t="shared" si="1430"/>
        <v>21.550000000000001</v>
      </c>
      <c r="AE2356" s="217"/>
      <c r="AF2356" s="217">
        <v>1290</v>
      </c>
      <c r="AH2356">
        <f t="shared" si="1418"/>
        <v>1290</v>
      </c>
    </row>
    <row r="2357" ht="45.75">
      <c r="A2357" s="217"/>
      <c r="B2357" s="217">
        <v>1290</v>
      </c>
      <c r="C2357" s="217"/>
      <c r="D2357" s="217"/>
      <c r="E2357" s="468"/>
      <c r="F2357" s="486"/>
      <c r="G2357" s="470" t="s">
        <v>21831</v>
      </c>
      <c r="H2357" s="482"/>
      <c r="I2357" s="483"/>
      <c r="J2357" s="529"/>
      <c r="K2357" s="528"/>
      <c r="L2357" s="529"/>
      <c r="M2357" s="528"/>
      <c r="N2357" s="442"/>
      <c r="O2357" s="434" t="str">
        <f t="shared" si="1429"/>
        <v xml:space="preserve">SEM VALOR</v>
      </c>
      <c r="P2357" s="435" t="str">
        <f t="shared" si="1430"/>
        <v xml:space="preserve">SEM VALOR</v>
      </c>
      <c r="AE2357" s="217"/>
      <c r="AF2357" s="217">
        <v>1290</v>
      </c>
      <c r="AH2357">
        <f t="shared" si="1418"/>
        <v>1290</v>
      </c>
    </row>
    <row r="2358">
      <c r="A2358" s="217"/>
      <c r="B2358" s="217">
        <v>1290</v>
      </c>
      <c r="C2358" s="217"/>
      <c r="D2358" s="217"/>
      <c r="E2358" s="468"/>
      <c r="F2358" s="486"/>
      <c r="G2358" s="470" t="s">
        <v>21366</v>
      </c>
      <c r="H2358" s="482"/>
      <c r="I2358" s="483"/>
      <c r="J2358" s="529"/>
      <c r="K2358" s="528"/>
      <c r="L2358" s="529"/>
      <c r="M2358" s="528"/>
      <c r="N2358" s="442"/>
      <c r="O2358" s="434" t="str">
        <f t="shared" si="1429"/>
        <v xml:space="preserve">SEM VALOR</v>
      </c>
      <c r="P2358" s="435" t="str">
        <f t="shared" si="1430"/>
        <v xml:space="preserve">SEM VALOR</v>
      </c>
      <c r="AE2358" s="217"/>
      <c r="AF2358" s="217">
        <v>1290</v>
      </c>
      <c r="AH2358">
        <f t="shared" si="1418"/>
        <v>1290</v>
      </c>
    </row>
    <row r="2359" ht="94.5">
      <c r="A2359" s="460">
        <v>1291</v>
      </c>
      <c r="B2359" s="460">
        <v>1291</v>
      </c>
      <c r="C2359" s="460"/>
      <c r="D2359" s="460"/>
      <c r="E2359" s="461">
        <v>1</v>
      </c>
      <c r="F2359" s="462" t="s">
        <v>21832</v>
      </c>
      <c r="G2359" s="477" t="s">
        <v>21833</v>
      </c>
      <c r="H2359" s="579" t="s">
        <v>38</v>
      </c>
      <c r="I2359" s="479"/>
      <c r="J2359" s="480"/>
      <c r="K2359" s="466">
        <f>SUM(K2360:K2363)</f>
        <v>253.00296</v>
      </c>
      <c r="L2359" s="480"/>
      <c r="M2359" s="466">
        <f>SUM(M2360:M2363)</f>
        <v>245.58619000000002</v>
      </c>
      <c r="N2359" s="467" t="s">
        <v>21834</v>
      </c>
      <c r="O2359" s="434" t="str">
        <f t="shared" si="1429"/>
        <v xml:space="preserve">SEM VALOR</v>
      </c>
      <c r="P2359" s="435" t="str">
        <f t="shared" si="1430"/>
        <v xml:space="preserve">SEM VALOR</v>
      </c>
      <c r="AE2359" s="460">
        <v>1291</v>
      </c>
      <c r="AF2359" s="460"/>
      <c r="AH2359">
        <f t="shared" si="1418"/>
        <v>1291</v>
      </c>
    </row>
    <row r="2360" ht="45">
      <c r="A2360" s="217"/>
      <c r="B2360" s="217">
        <v>1291</v>
      </c>
      <c r="C2360" s="217"/>
      <c r="D2360" s="217" t="s">
        <v>17167</v>
      </c>
      <c r="E2360" s="471" t="s">
        <v>20399</v>
      </c>
      <c r="F2360" s="482">
        <v>88631</v>
      </c>
      <c r="G2360" s="470" t="s">
        <v>256</v>
      </c>
      <c r="H2360" s="482" t="s">
        <v>15528</v>
      </c>
      <c r="I2360" s="483">
        <v>5.3999999999999999e-002</v>
      </c>
      <c r="J2360" s="473">
        <f t="shared" si="1426"/>
        <v>599.38999999999999</v>
      </c>
      <c r="K2360" s="474">
        <f t="shared" ref="K2360:K2363" si="1436">I2360*J2360</f>
        <v>32.367060000000002</v>
      </c>
      <c r="L2360" s="473">
        <f t="shared" si="1432"/>
        <v>589.35000000000002</v>
      </c>
      <c r="M2360" s="474">
        <f t="shared" ref="M2360:M2363" si="1437">L2360*I2360</f>
        <v>31.8249</v>
      </c>
      <c r="O2360" s="434">
        <f t="shared" si="1429"/>
        <v>599.38999999999999</v>
      </c>
      <c r="P2360" s="435">
        <f t="shared" si="1430"/>
        <v>589.35000000000002</v>
      </c>
      <c r="AE2360" s="217"/>
      <c r="AF2360" s="217">
        <v>1291</v>
      </c>
      <c r="AH2360">
        <f t="shared" si="1418"/>
        <v>1291</v>
      </c>
    </row>
    <row r="2361" ht="75">
      <c r="A2361" s="217"/>
      <c r="B2361" s="217">
        <v>1291</v>
      </c>
      <c r="C2361" s="217"/>
      <c r="D2361" s="217" t="s">
        <v>17167</v>
      </c>
      <c r="E2361" s="471" t="s">
        <v>20402</v>
      </c>
      <c r="F2361" s="489">
        <v>89272</v>
      </c>
      <c r="G2361" s="470" t="s">
        <v>1723</v>
      </c>
      <c r="H2361" s="482" t="s">
        <v>1535</v>
      </c>
      <c r="I2361" s="483">
        <v>0.5</v>
      </c>
      <c r="J2361" s="473">
        <f t="shared" si="1426"/>
        <v>228.99000000000001</v>
      </c>
      <c r="K2361" s="474">
        <f t="shared" si="1436"/>
        <v>114.495</v>
      </c>
      <c r="L2361" s="473">
        <f t="shared" si="1432"/>
        <v>226.75999999999999</v>
      </c>
      <c r="M2361" s="474">
        <f t="shared" si="1437"/>
        <v>113.38</v>
      </c>
      <c r="O2361" s="434">
        <f t="shared" si="1429"/>
        <v>228.99000000000001</v>
      </c>
      <c r="P2361" s="435">
        <f t="shared" si="1430"/>
        <v>226.75999999999999</v>
      </c>
      <c r="AE2361" s="217"/>
      <c r="AF2361" s="217">
        <v>1291</v>
      </c>
      <c r="AH2361">
        <f t="shared" si="1418"/>
        <v>1291</v>
      </c>
    </row>
    <row r="2362" ht="30">
      <c r="A2362" s="217"/>
      <c r="B2362" s="217">
        <v>1291</v>
      </c>
      <c r="C2362" s="217"/>
      <c r="D2362" s="217" t="s">
        <v>17167</v>
      </c>
      <c r="E2362" s="471" t="s">
        <v>20405</v>
      </c>
      <c r="F2362" s="482">
        <v>88316</v>
      </c>
      <c r="G2362" s="470" t="s">
        <v>7393</v>
      </c>
      <c r="H2362" s="482" t="s">
        <v>2032</v>
      </c>
      <c r="I2362" s="483">
        <v>3.3900000000000001</v>
      </c>
      <c r="J2362" s="473">
        <f t="shared" si="1426"/>
        <v>22.760000000000002</v>
      </c>
      <c r="K2362" s="474">
        <f t="shared" si="1436"/>
        <v>77.156400000000005</v>
      </c>
      <c r="L2362" s="473">
        <f t="shared" si="1432"/>
        <v>21.550000000000001</v>
      </c>
      <c r="M2362" s="474">
        <f t="shared" si="1437"/>
        <v>73.054500000000004</v>
      </c>
      <c r="O2362" s="434">
        <f t="shared" si="1429"/>
        <v>22.760000000000002</v>
      </c>
      <c r="P2362" s="435">
        <f t="shared" si="1430"/>
        <v>21.550000000000001</v>
      </c>
      <c r="AE2362" s="217"/>
      <c r="AF2362" s="217">
        <v>1291</v>
      </c>
      <c r="AH2362">
        <f t="shared" si="1418"/>
        <v>1291</v>
      </c>
    </row>
    <row r="2363" ht="30">
      <c r="A2363" s="217"/>
      <c r="B2363" s="217">
        <v>1291</v>
      </c>
      <c r="C2363" s="217"/>
      <c r="D2363" s="217" t="s">
        <v>17167</v>
      </c>
      <c r="E2363" s="471" t="s">
        <v>20409</v>
      </c>
      <c r="F2363" s="482">
        <v>88309</v>
      </c>
      <c r="G2363" s="470" t="s">
        <v>7385</v>
      </c>
      <c r="H2363" s="482" t="s">
        <v>2032</v>
      </c>
      <c r="I2363" s="483">
        <v>1.0169999999999999</v>
      </c>
      <c r="J2363" s="473">
        <f t="shared" si="1426"/>
        <v>28.5</v>
      </c>
      <c r="K2363" s="474">
        <f t="shared" si="1436"/>
        <v>28.984499999999997</v>
      </c>
      <c r="L2363" s="473">
        <f t="shared" si="1432"/>
        <v>26.870000000000001</v>
      </c>
      <c r="M2363" s="474">
        <f t="shared" si="1437"/>
        <v>27.326789999999999</v>
      </c>
      <c r="O2363" s="434">
        <f t="shared" si="1429"/>
        <v>28.5</v>
      </c>
      <c r="P2363" s="435">
        <f t="shared" si="1430"/>
        <v>26.870000000000001</v>
      </c>
      <c r="AE2363" s="217"/>
      <c r="AF2363" s="217">
        <v>1291</v>
      </c>
      <c r="AH2363">
        <f t="shared" si="1418"/>
        <v>1291</v>
      </c>
    </row>
    <row r="2364" ht="66.75" customHeight="1">
      <c r="A2364" s="460">
        <v>1292</v>
      </c>
      <c r="B2364" s="460">
        <v>1292</v>
      </c>
      <c r="C2364" s="460"/>
      <c r="D2364" s="460"/>
      <c r="E2364" s="461">
        <v>1</v>
      </c>
      <c r="F2364" s="462" t="s">
        <v>21835</v>
      </c>
      <c r="G2364" s="477" t="s">
        <v>21836</v>
      </c>
      <c r="H2364" s="579" t="s">
        <v>31</v>
      </c>
      <c r="I2364" s="479"/>
      <c r="J2364" s="480"/>
      <c r="K2364" s="466">
        <f>SUM(K2365:K2366)</f>
        <v>10301.53764</v>
      </c>
      <c r="L2364" s="480"/>
      <c r="M2364" s="466">
        <f>SUM(M2365:M2366)</f>
        <v>10011.781500000001</v>
      </c>
      <c r="N2364" s="467" t="s">
        <v>21543</v>
      </c>
      <c r="O2364" s="434" t="str">
        <f t="shared" si="1429"/>
        <v xml:space="preserve">SEM VALOR</v>
      </c>
      <c r="P2364" s="435" t="str">
        <f t="shared" si="1430"/>
        <v xml:space="preserve">SEM VALOR</v>
      </c>
      <c r="AE2364" s="460">
        <v>1292</v>
      </c>
      <c r="AF2364" s="460"/>
      <c r="AH2364">
        <f t="shared" si="1418"/>
        <v>1292</v>
      </c>
    </row>
    <row r="2365" ht="47.25" customHeight="1">
      <c r="A2365" s="217"/>
      <c r="B2365" s="217">
        <v>1292</v>
      </c>
      <c r="C2365" s="217"/>
      <c r="D2365" s="217" t="s">
        <v>17167</v>
      </c>
      <c r="E2365" s="471" t="s">
        <v>20399</v>
      </c>
      <c r="F2365" s="489">
        <v>102487</v>
      </c>
      <c r="G2365" s="470" t="s">
        <v>8702</v>
      </c>
      <c r="H2365" s="482" t="s">
        <v>15528</v>
      </c>
      <c r="I2365" s="483">
        <v>11.894</v>
      </c>
      <c r="J2365" s="473">
        <f t="shared" si="1426"/>
        <v>593.75999999999999</v>
      </c>
      <c r="K2365" s="474">
        <f t="shared" ref="K2365:K2366" si="1438">I2365*J2365</f>
        <v>7062.1814400000003</v>
      </c>
      <c r="L2365" s="473">
        <f t="shared" si="1432"/>
        <v>578.95000000000005</v>
      </c>
      <c r="M2365" s="474">
        <f t="shared" ref="M2365:M2366" si="1439">L2365*I2365</f>
        <v>6886.0313000000006</v>
      </c>
      <c r="O2365" s="434">
        <f t="shared" si="1429"/>
        <v>593.75999999999999</v>
      </c>
      <c r="P2365" s="435">
        <f t="shared" si="1430"/>
        <v>578.95000000000005</v>
      </c>
      <c r="AE2365" s="217"/>
      <c r="AF2365" s="217">
        <v>1292</v>
      </c>
      <c r="AH2365">
        <f t="shared" si="1418"/>
        <v>1292</v>
      </c>
    </row>
    <row r="2366" ht="75">
      <c r="A2366" s="217"/>
      <c r="B2366" s="217">
        <v>1292</v>
      </c>
      <c r="C2366" s="217"/>
      <c r="D2366" s="217" t="s">
        <v>17167</v>
      </c>
      <c r="E2366" s="471" t="s">
        <v>20402</v>
      </c>
      <c r="F2366" s="489">
        <v>96539</v>
      </c>
      <c r="G2366" s="470" t="s">
        <v>21544</v>
      </c>
      <c r="H2366" s="482" t="s">
        <v>15515</v>
      </c>
      <c r="I2366" s="483">
        <v>26.420000000000002</v>
      </c>
      <c r="J2366" s="473">
        <f t="shared" si="1426"/>
        <v>122.61</v>
      </c>
      <c r="K2366" s="474">
        <f t="shared" si="1438"/>
        <v>3239.3562000000002</v>
      </c>
      <c r="L2366" s="473">
        <f t="shared" si="1432"/>
        <v>118.31</v>
      </c>
      <c r="M2366" s="474">
        <f t="shared" si="1439"/>
        <v>3125.7502000000004</v>
      </c>
      <c r="O2366" s="434">
        <f t="shared" si="1429"/>
        <v>122.61</v>
      </c>
      <c r="P2366" s="435">
        <f t="shared" si="1430"/>
        <v>118.31</v>
      </c>
      <c r="AE2366" s="217"/>
      <c r="AF2366" s="217">
        <v>1292</v>
      </c>
      <c r="AH2366">
        <f t="shared" si="1418"/>
        <v>1292</v>
      </c>
    </row>
    <row r="2367" ht="55.5" customHeight="1">
      <c r="A2367" s="460">
        <v>1293</v>
      </c>
      <c r="B2367" s="460">
        <v>1293</v>
      </c>
      <c r="C2367" s="460"/>
      <c r="D2367" s="460"/>
      <c r="E2367" s="461">
        <v>1</v>
      </c>
      <c r="F2367" s="462" t="s">
        <v>21837</v>
      </c>
      <c r="G2367" s="477" t="s">
        <v>21838</v>
      </c>
      <c r="H2367" s="579" t="s">
        <v>38</v>
      </c>
      <c r="I2367" s="479"/>
      <c r="J2367" s="480"/>
      <c r="K2367" s="466">
        <f>SUM(K2368:K2371)</f>
        <v>134.99119999999999</v>
      </c>
      <c r="L2367" s="480"/>
      <c r="M2367" s="466">
        <f>SUM(M2368:M2371)</f>
        <v>130.01530000000002</v>
      </c>
      <c r="N2367" s="467" t="s">
        <v>21466</v>
      </c>
      <c r="O2367" s="434" t="str">
        <f t="shared" si="1429"/>
        <v xml:space="preserve">SEM VALOR</v>
      </c>
      <c r="P2367" s="435" t="str">
        <f t="shared" si="1430"/>
        <v xml:space="preserve">SEM VALOR</v>
      </c>
      <c r="AE2367" s="460">
        <v>1293</v>
      </c>
      <c r="AF2367" s="460"/>
      <c r="AH2367">
        <f t="shared" si="1418"/>
        <v>1293</v>
      </c>
    </row>
    <row r="2368" ht="120">
      <c r="A2368" s="217"/>
      <c r="B2368" s="217">
        <v>1293</v>
      </c>
      <c r="C2368" s="217"/>
      <c r="D2368" s="217" t="s">
        <v>17167</v>
      </c>
      <c r="E2368" s="471" t="s">
        <v>20399</v>
      </c>
      <c r="F2368" s="489">
        <v>90092</v>
      </c>
      <c r="G2368" s="470" t="s">
        <v>21467</v>
      </c>
      <c r="H2368" s="482" t="s">
        <v>15528</v>
      </c>
      <c r="I2368" s="483">
        <v>1.5700000000000001</v>
      </c>
      <c r="J2368" s="473">
        <f t="shared" si="1426"/>
        <v>5.9900000000000002</v>
      </c>
      <c r="K2368" s="474">
        <f t="shared" ref="K2368:K2371" si="1440">I2368*J2368</f>
        <v>9.404300000000001</v>
      </c>
      <c r="L2368" s="473">
        <f t="shared" si="1432"/>
        <v>5.8799999999999999</v>
      </c>
      <c r="M2368" s="474">
        <f t="shared" ref="M2368:M2371" si="1441">L2368*I2368</f>
        <v>9.2316000000000003</v>
      </c>
      <c r="O2368" s="434">
        <f t="shared" si="1429"/>
        <v>5.9900000000000002</v>
      </c>
      <c r="P2368" s="435">
        <f t="shared" si="1430"/>
        <v>5.8799999999999999</v>
      </c>
      <c r="AE2368" s="217"/>
      <c r="AF2368" s="217">
        <v>1293</v>
      </c>
      <c r="AH2368">
        <f t="shared" si="1418"/>
        <v>1293</v>
      </c>
    </row>
    <row r="2369" ht="120">
      <c r="A2369" s="217"/>
      <c r="B2369" s="217">
        <v>1293</v>
      </c>
      <c r="C2369" s="217"/>
      <c r="D2369" s="217" t="s">
        <v>17167</v>
      </c>
      <c r="E2369" s="471" t="s">
        <v>20402</v>
      </c>
      <c r="F2369" s="489">
        <v>93368</v>
      </c>
      <c r="G2369" s="470" t="s">
        <v>21468</v>
      </c>
      <c r="H2369" s="482" t="s">
        <v>15528</v>
      </c>
      <c r="I2369" s="483">
        <v>1.75</v>
      </c>
      <c r="J2369" s="473">
        <f t="shared" si="1426"/>
        <v>21.190000000000001</v>
      </c>
      <c r="K2369" s="474">
        <f t="shared" si="1440"/>
        <v>37.082500000000003</v>
      </c>
      <c r="L2369" s="473">
        <f t="shared" si="1432"/>
        <v>20.690000000000001</v>
      </c>
      <c r="M2369" s="474">
        <f t="shared" si="1441"/>
        <v>36.207500000000003</v>
      </c>
      <c r="O2369" s="434">
        <f t="shared" si="1429"/>
        <v>21.190000000000001</v>
      </c>
      <c r="P2369" s="435">
        <f t="shared" si="1430"/>
        <v>20.690000000000001</v>
      </c>
      <c r="AE2369" s="217"/>
      <c r="AF2369" s="217">
        <v>1293</v>
      </c>
      <c r="AH2369">
        <f t="shared" si="1418"/>
        <v>1293</v>
      </c>
    </row>
    <row r="2370" ht="120">
      <c r="A2370" s="217"/>
      <c r="B2370" s="217">
        <v>1293</v>
      </c>
      <c r="C2370" s="217"/>
      <c r="D2370" s="217" t="s">
        <v>17167</v>
      </c>
      <c r="E2370" s="471" t="s">
        <v>20405</v>
      </c>
      <c r="F2370" s="482">
        <v>5680</v>
      </c>
      <c r="G2370" s="470" t="s">
        <v>1871</v>
      </c>
      <c r="H2370" s="482" t="s">
        <v>1535</v>
      </c>
      <c r="I2370" s="483">
        <v>0.14000000000000001</v>
      </c>
      <c r="J2370" s="473">
        <f t="shared" si="1426"/>
        <v>144.46000000000001</v>
      </c>
      <c r="K2370" s="474">
        <f t="shared" si="1440"/>
        <v>20.224400000000003</v>
      </c>
      <c r="L2370" s="473">
        <f t="shared" si="1432"/>
        <v>142.33000000000001</v>
      </c>
      <c r="M2370" s="474">
        <f t="shared" si="1441"/>
        <v>19.926200000000005</v>
      </c>
      <c r="O2370" s="434">
        <f t="shared" si="1429"/>
        <v>144.46000000000001</v>
      </c>
      <c r="P2370" s="435">
        <f t="shared" si="1430"/>
        <v>142.33000000000001</v>
      </c>
      <c r="AE2370" s="217"/>
      <c r="AF2370" s="217">
        <v>1293</v>
      </c>
      <c r="AH2370">
        <f t="shared" si="1418"/>
        <v>1293</v>
      </c>
    </row>
    <row r="2371" ht="30">
      <c r="A2371" s="217"/>
      <c r="B2371" s="217">
        <v>1293</v>
      </c>
      <c r="C2371" s="217"/>
      <c r="D2371" s="217" t="s">
        <v>17167</v>
      </c>
      <c r="E2371" s="471" t="s">
        <v>20409</v>
      </c>
      <c r="F2371" s="482">
        <v>88316</v>
      </c>
      <c r="G2371" s="470" t="s">
        <v>7393</v>
      </c>
      <c r="H2371" s="482" t="s">
        <v>2032</v>
      </c>
      <c r="I2371" s="483">
        <v>3</v>
      </c>
      <c r="J2371" s="473">
        <f t="shared" si="1426"/>
        <v>22.760000000000002</v>
      </c>
      <c r="K2371" s="474">
        <f t="shared" si="1440"/>
        <v>68.280000000000001</v>
      </c>
      <c r="L2371" s="473">
        <f t="shared" si="1432"/>
        <v>21.550000000000001</v>
      </c>
      <c r="M2371" s="474">
        <f t="shared" si="1441"/>
        <v>64.650000000000006</v>
      </c>
      <c r="O2371" s="434">
        <f t="shared" si="1429"/>
        <v>22.760000000000002</v>
      </c>
      <c r="P2371" s="435">
        <f t="shared" si="1430"/>
        <v>21.550000000000001</v>
      </c>
      <c r="AE2371" s="217"/>
      <c r="AF2371" s="217">
        <v>1293</v>
      </c>
      <c r="AH2371">
        <f t="shared" si="1418"/>
        <v>1293</v>
      </c>
    </row>
    <row r="2372" ht="78.75">
      <c r="A2372" s="460">
        <v>1294</v>
      </c>
      <c r="B2372" s="460">
        <v>1294</v>
      </c>
      <c r="C2372" s="460"/>
      <c r="D2372" s="460"/>
      <c r="E2372" s="461">
        <v>1</v>
      </c>
      <c r="F2372" s="462" t="s">
        <v>21839</v>
      </c>
      <c r="G2372" s="477" t="s">
        <v>21840</v>
      </c>
      <c r="H2372" s="579" t="s">
        <v>15515</v>
      </c>
      <c r="I2372" s="479"/>
      <c r="J2372" s="480"/>
      <c r="K2372" s="466">
        <f>SUM(K2373:K2374)</f>
        <v>9.6243820000000007</v>
      </c>
      <c r="L2372" s="480"/>
      <c r="M2372" s="466">
        <f>SUM(M2373:M2374)</f>
        <v>9.0976150000000011</v>
      </c>
      <c r="O2372" s="434" t="str">
        <f t="shared" si="1429"/>
        <v xml:space="preserve">SEM VALOR</v>
      </c>
      <c r="P2372" s="435" t="str">
        <f t="shared" si="1430"/>
        <v xml:space="preserve">SEM VALOR</v>
      </c>
      <c r="AE2372" s="460">
        <v>1294</v>
      </c>
      <c r="AF2372" s="460"/>
      <c r="AH2372">
        <f t="shared" si="1418"/>
        <v>1294</v>
      </c>
    </row>
    <row r="2373" ht="30">
      <c r="A2373" s="217"/>
      <c r="B2373" s="217">
        <v>1294</v>
      </c>
      <c r="C2373" s="217"/>
      <c r="D2373" s="217" t="s">
        <v>17167</v>
      </c>
      <c r="E2373" s="471" t="s">
        <v>20399</v>
      </c>
      <c r="F2373" s="482">
        <v>88309</v>
      </c>
      <c r="G2373" s="470" t="s">
        <v>7385</v>
      </c>
      <c r="H2373" s="482" t="s">
        <v>2032</v>
      </c>
      <c r="I2373" s="578">
        <v>0.13150000000000001</v>
      </c>
      <c r="J2373" s="473">
        <f t="shared" si="1426"/>
        <v>28.5</v>
      </c>
      <c r="K2373" s="474">
        <f t="shared" ref="K2373:K2374" si="1442">I2373*J2373</f>
        <v>3.7477500000000004</v>
      </c>
      <c r="L2373" s="473">
        <f t="shared" si="1432"/>
        <v>26.870000000000001</v>
      </c>
      <c r="M2373" s="474">
        <f t="shared" ref="M2373:M2374" si="1443">L2373*I2373</f>
        <v>3.5334050000000001</v>
      </c>
      <c r="O2373" s="434">
        <f t="shared" si="1429"/>
        <v>28.5</v>
      </c>
      <c r="P2373" s="435">
        <f t="shared" si="1430"/>
        <v>26.870000000000001</v>
      </c>
      <c r="AE2373" s="217"/>
      <c r="AF2373" s="217">
        <v>1294</v>
      </c>
      <c r="AH2373">
        <f t="shared" si="1418"/>
        <v>1294</v>
      </c>
    </row>
    <row r="2374" ht="30">
      <c r="A2374" s="217"/>
      <c r="B2374" s="217">
        <v>1294</v>
      </c>
      <c r="C2374" s="217"/>
      <c r="D2374" s="217" t="s">
        <v>17167</v>
      </c>
      <c r="E2374" s="471" t="s">
        <v>20402</v>
      </c>
      <c r="F2374" s="482">
        <v>88316</v>
      </c>
      <c r="G2374" s="470" t="s">
        <v>7393</v>
      </c>
      <c r="H2374" s="482" t="s">
        <v>2032</v>
      </c>
      <c r="I2374" s="578">
        <v>0.25819999999999999</v>
      </c>
      <c r="J2374" s="473">
        <f t="shared" si="1426"/>
        <v>22.760000000000002</v>
      </c>
      <c r="K2374" s="474">
        <f t="shared" si="1442"/>
        <v>5.8766319999999999</v>
      </c>
      <c r="L2374" s="473">
        <f t="shared" si="1432"/>
        <v>21.550000000000001</v>
      </c>
      <c r="M2374" s="474">
        <f t="shared" si="1443"/>
        <v>5.5642100000000001</v>
      </c>
      <c r="O2374" s="434">
        <f t="shared" si="1429"/>
        <v>22.760000000000002</v>
      </c>
      <c r="P2374" s="435">
        <f t="shared" si="1430"/>
        <v>21.550000000000001</v>
      </c>
      <c r="AE2374" s="217"/>
      <c r="AF2374" s="217">
        <v>1294</v>
      </c>
      <c r="AH2374">
        <f t="shared" si="1418"/>
        <v>1294</v>
      </c>
    </row>
    <row r="2375" ht="78.75">
      <c r="A2375" s="460">
        <v>1295</v>
      </c>
      <c r="B2375" s="460">
        <v>1295</v>
      </c>
      <c r="C2375" s="460"/>
      <c r="D2375" s="460"/>
      <c r="E2375" s="461">
        <v>1</v>
      </c>
      <c r="F2375" s="462" t="s">
        <v>21841</v>
      </c>
      <c r="G2375" s="477" t="s">
        <v>21842</v>
      </c>
      <c r="H2375" s="579" t="s">
        <v>38</v>
      </c>
      <c r="I2375" s="479"/>
      <c r="J2375" s="480"/>
      <c r="K2375" s="466">
        <f>SUM(K2376:K2378)</f>
        <v>30.200072000000002</v>
      </c>
      <c r="L2375" s="480"/>
      <c r="M2375" s="466">
        <f>SUM(M2376:M2378)</f>
        <v>28.558334000000002</v>
      </c>
      <c r="O2375" s="434" t="str">
        <f t="shared" si="1429"/>
        <v xml:space="preserve">SEM VALOR</v>
      </c>
      <c r="P2375" s="435" t="str">
        <f t="shared" si="1430"/>
        <v xml:space="preserve">SEM VALOR</v>
      </c>
      <c r="AE2375" s="460">
        <v>1295</v>
      </c>
      <c r="AF2375" s="460"/>
      <c r="AH2375">
        <f t="shared" ref="AH2375:AH2438" si="1444">IF(AF2375:AF2376=FALSE,AE2375,AF2375)</f>
        <v>1295</v>
      </c>
    </row>
    <row r="2376" ht="30">
      <c r="A2376" s="217"/>
      <c r="B2376" s="217">
        <v>1295</v>
      </c>
      <c r="C2376" s="217"/>
      <c r="D2376" s="217" t="s">
        <v>17167</v>
      </c>
      <c r="E2376" s="471" t="s">
        <v>20399</v>
      </c>
      <c r="F2376" s="486">
        <v>88309</v>
      </c>
      <c r="G2376" s="470" t="s">
        <v>7385</v>
      </c>
      <c r="H2376" s="482" t="s">
        <v>2032</v>
      </c>
      <c r="I2376" s="578">
        <v>0.2762</v>
      </c>
      <c r="J2376" s="473">
        <f t="shared" si="1426"/>
        <v>28.5</v>
      </c>
      <c r="K2376" s="474">
        <f t="shared" ref="K2376:K2378" si="1445">I2376*J2376</f>
        <v>7.8716999999999997</v>
      </c>
      <c r="L2376" s="473">
        <f t="shared" si="1432"/>
        <v>26.870000000000001</v>
      </c>
      <c r="M2376" s="474">
        <f t="shared" ref="M2376:M2378" si="1446">L2376*I2376</f>
        <v>7.421494</v>
      </c>
      <c r="O2376" s="434">
        <f t="shared" si="1429"/>
        <v>28.5</v>
      </c>
      <c r="P2376" s="435">
        <f t="shared" si="1430"/>
        <v>26.870000000000001</v>
      </c>
      <c r="AE2376" s="217"/>
      <c r="AF2376" s="217">
        <v>1295</v>
      </c>
      <c r="AH2376">
        <f t="shared" si="1444"/>
        <v>1295</v>
      </c>
    </row>
    <row r="2377" ht="30">
      <c r="A2377" s="217"/>
      <c r="B2377" s="217">
        <v>1295</v>
      </c>
      <c r="C2377" s="217"/>
      <c r="D2377" s="217" t="s">
        <v>17167</v>
      </c>
      <c r="E2377" s="471" t="s">
        <v>20402</v>
      </c>
      <c r="F2377" s="486">
        <v>88316</v>
      </c>
      <c r="G2377" s="470" t="s">
        <v>7393</v>
      </c>
      <c r="H2377" s="482" t="s">
        <v>2032</v>
      </c>
      <c r="I2377" s="578">
        <v>0.54220000000000002</v>
      </c>
      <c r="J2377" s="473">
        <f t="shared" si="1426"/>
        <v>22.760000000000002</v>
      </c>
      <c r="K2377" s="474">
        <f t="shared" si="1445"/>
        <v>12.340472000000002</v>
      </c>
      <c r="L2377" s="473">
        <f t="shared" si="1432"/>
        <v>21.550000000000001</v>
      </c>
      <c r="M2377" s="474">
        <f t="shared" si="1446"/>
        <v>11.684410000000002</v>
      </c>
      <c r="O2377" s="434">
        <f t="shared" si="1429"/>
        <v>22.760000000000002</v>
      </c>
      <c r="P2377" s="435">
        <f t="shared" si="1430"/>
        <v>21.550000000000001</v>
      </c>
      <c r="AE2377" s="217"/>
      <c r="AF2377" s="217">
        <v>1295</v>
      </c>
      <c r="AH2377">
        <f t="shared" si="1444"/>
        <v>1295</v>
      </c>
    </row>
    <row r="2378" ht="30">
      <c r="A2378" s="217"/>
      <c r="B2378" s="217">
        <v>1295</v>
      </c>
      <c r="C2378" s="217"/>
      <c r="D2378" s="217" t="s">
        <v>20398</v>
      </c>
      <c r="E2378" s="471" t="s">
        <v>20405</v>
      </c>
      <c r="F2378" s="486">
        <v>1245</v>
      </c>
      <c r="G2378" s="470" t="s">
        <v>21694</v>
      </c>
      <c r="H2378" s="482" t="s">
        <v>15528</v>
      </c>
      <c r="I2378" s="578">
        <v>2.9999999999999999e-002</v>
      </c>
      <c r="J2378" s="473">
        <f t="shared" si="1426"/>
        <v>332.93000000000001</v>
      </c>
      <c r="K2378" s="474">
        <f t="shared" si="1445"/>
        <v>9.9878999999999998</v>
      </c>
      <c r="L2378" s="473">
        <f t="shared" si="1432"/>
        <v>315.08100000000002</v>
      </c>
      <c r="M2378" s="474">
        <f t="shared" si="1446"/>
        <v>9.4524299999999997</v>
      </c>
      <c r="O2378" s="434">
        <f t="shared" si="1429"/>
        <v>332.93000000000001</v>
      </c>
      <c r="P2378" s="435">
        <f t="shared" si="1430"/>
        <v>315.08100000000002</v>
      </c>
      <c r="AE2378" s="217"/>
      <c r="AF2378" s="217">
        <v>1295</v>
      </c>
      <c r="AH2378">
        <f t="shared" si="1444"/>
        <v>1295</v>
      </c>
    </row>
    <row r="2379" ht="94.5">
      <c r="A2379" s="460">
        <v>1296</v>
      </c>
      <c r="B2379" s="460">
        <v>1296</v>
      </c>
      <c r="C2379" s="460"/>
      <c r="D2379" s="460"/>
      <c r="E2379" s="461">
        <v>1</v>
      </c>
      <c r="F2379" s="462" t="s">
        <v>21843</v>
      </c>
      <c r="G2379" s="477" t="s">
        <v>21844</v>
      </c>
      <c r="H2379" s="579" t="s">
        <v>31</v>
      </c>
      <c r="I2379" s="479"/>
      <c r="J2379" s="480"/>
      <c r="K2379" s="466">
        <f>SUM(K2380:K2387)</f>
        <v>586.67014059999997</v>
      </c>
      <c r="L2379" s="480"/>
      <c r="M2379" s="466">
        <f>SUM(M2380:M2387)</f>
        <v>585.55170559999999</v>
      </c>
      <c r="N2379" s="467" t="s">
        <v>21787</v>
      </c>
      <c r="O2379" s="434" t="str">
        <f t="shared" si="1429"/>
        <v xml:space="preserve">SEM VALOR</v>
      </c>
      <c r="P2379" s="435" t="str">
        <f t="shared" si="1430"/>
        <v xml:space="preserve">SEM VALOR</v>
      </c>
      <c r="AE2379" s="460">
        <v>1296</v>
      </c>
      <c r="AF2379" s="460"/>
      <c r="AH2379">
        <f t="shared" si="1444"/>
        <v>1296</v>
      </c>
    </row>
    <row r="2380" ht="30">
      <c r="A2380" s="217"/>
      <c r="B2380" s="217">
        <v>1296</v>
      </c>
      <c r="C2380" s="217"/>
      <c r="D2380" s="217" t="s">
        <v>20408</v>
      </c>
      <c r="E2380" s="471" t="s">
        <v>20399</v>
      </c>
      <c r="F2380" s="489">
        <v>34723</v>
      </c>
      <c r="G2380" s="470" t="s">
        <v>21184</v>
      </c>
      <c r="H2380" s="499" t="s">
        <v>15515</v>
      </c>
      <c r="I2380" s="483">
        <v>0.35999999999999999</v>
      </c>
      <c r="J2380" s="473">
        <f t="shared" si="1426"/>
        <v>997.91999999999996</v>
      </c>
      <c r="K2380" s="474">
        <f t="shared" ref="K2380:K2387" si="1447">I2380*J2380</f>
        <v>359.25119999999998</v>
      </c>
      <c r="L2380" s="473">
        <f t="shared" si="1432"/>
        <v>997.91999999999996</v>
      </c>
      <c r="M2380" s="474">
        <f t="shared" ref="M2380:M2387" si="1448">L2380*I2380</f>
        <v>359.25119999999998</v>
      </c>
      <c r="O2380" s="434">
        <f t="shared" si="1429"/>
        <v>997.91999999999996</v>
      </c>
      <c r="P2380" s="435">
        <f t="shared" si="1430"/>
        <v>997.91999999999996</v>
      </c>
      <c r="AE2380" s="217"/>
      <c r="AF2380" s="217">
        <v>1296</v>
      </c>
      <c r="AH2380">
        <f t="shared" si="1444"/>
        <v>1296</v>
      </c>
    </row>
    <row r="2381" ht="135">
      <c r="A2381" s="217"/>
      <c r="B2381" s="217">
        <v>1296</v>
      </c>
      <c r="C2381" s="217"/>
      <c r="D2381" s="217" t="s">
        <v>20453</v>
      </c>
      <c r="E2381" s="471" t="s">
        <v>20402</v>
      </c>
      <c r="F2381" s="489" t="s">
        <v>20094</v>
      </c>
      <c r="G2381" s="470" t="s">
        <v>21845</v>
      </c>
      <c r="H2381" s="499" t="s">
        <v>38</v>
      </c>
      <c r="I2381" s="483">
        <v>3.2000000000000002</v>
      </c>
      <c r="J2381" s="473">
        <f t="shared" si="1426"/>
        <v>60.939999999999998</v>
      </c>
      <c r="K2381" s="474">
        <f t="shared" si="1447"/>
        <v>195.00800000000001</v>
      </c>
      <c r="L2381" s="473">
        <f t="shared" si="1432"/>
        <v>60.939999999999998</v>
      </c>
      <c r="M2381" s="474">
        <f t="shared" si="1448"/>
        <v>195.00800000000001</v>
      </c>
      <c r="O2381" s="434">
        <f t="shared" si="1429"/>
        <v>60.939999999999998</v>
      </c>
      <c r="P2381" s="435">
        <f t="shared" si="1430"/>
        <v>60.939999999999998</v>
      </c>
      <c r="AE2381" s="217"/>
      <c r="AF2381" s="217">
        <v>1296</v>
      </c>
      <c r="AH2381">
        <f t="shared" si="1444"/>
        <v>1296</v>
      </c>
    </row>
    <row r="2382" ht="60">
      <c r="A2382" s="217"/>
      <c r="B2382" s="217">
        <v>1296</v>
      </c>
      <c r="C2382" s="217"/>
      <c r="D2382" s="217" t="s">
        <v>20398</v>
      </c>
      <c r="E2382" s="471" t="s">
        <v>20405</v>
      </c>
      <c r="F2382" s="489">
        <v>1241</v>
      </c>
      <c r="G2382" s="470" t="s">
        <v>21181</v>
      </c>
      <c r="H2382" s="499" t="s">
        <v>15528</v>
      </c>
      <c r="I2382" s="483">
        <v>2.9999999999999999e-002</v>
      </c>
      <c r="J2382" s="473">
        <f t="shared" si="1426"/>
        <v>453.00401999999997</v>
      </c>
      <c r="K2382" s="474">
        <f t="shared" si="1447"/>
        <v>13.590120599999999</v>
      </c>
      <c r="L2382" s="473">
        <f t="shared" si="1432"/>
        <v>445.74401999999998</v>
      </c>
      <c r="M2382" s="474">
        <f t="shared" si="1448"/>
        <v>13.372320599999998</v>
      </c>
      <c r="O2382" s="434">
        <f t="shared" si="1429"/>
        <v>453.00401999999997</v>
      </c>
      <c r="P2382" s="435">
        <f t="shared" si="1430"/>
        <v>445.74401999999998</v>
      </c>
      <c r="AE2382" s="217"/>
      <c r="AF2382" s="217">
        <v>1296</v>
      </c>
      <c r="AH2382">
        <f t="shared" si="1444"/>
        <v>1296</v>
      </c>
    </row>
    <row r="2383" ht="45">
      <c r="A2383" s="217"/>
      <c r="B2383" s="217">
        <v>1296</v>
      </c>
      <c r="C2383" s="217"/>
      <c r="D2383" s="217" t="s">
        <v>20398</v>
      </c>
      <c r="E2383" s="471" t="s">
        <v>20409</v>
      </c>
      <c r="F2383" s="482">
        <v>1259</v>
      </c>
      <c r="G2383" s="572" t="s">
        <v>20796</v>
      </c>
      <c r="H2383" s="482" t="s">
        <v>15528</v>
      </c>
      <c r="I2383" s="483">
        <v>2.9999999999999999e-002</v>
      </c>
      <c r="J2383" s="473">
        <f t="shared" si="1426"/>
        <v>45.520000000000003</v>
      </c>
      <c r="K2383" s="474">
        <f t="shared" si="1447"/>
        <v>1.3656000000000001</v>
      </c>
      <c r="L2383" s="473">
        <f t="shared" si="1432"/>
        <v>43.100000000000001</v>
      </c>
      <c r="M2383" s="474">
        <f t="shared" si="1448"/>
        <v>1.2929999999999999</v>
      </c>
      <c r="O2383" s="434">
        <f t="shared" si="1429"/>
        <v>45.520000000000003</v>
      </c>
      <c r="P2383" s="435">
        <f t="shared" si="1430"/>
        <v>43.100000000000001</v>
      </c>
      <c r="AE2383" s="217"/>
      <c r="AF2383" s="217">
        <v>1296</v>
      </c>
      <c r="AH2383">
        <f t="shared" si="1444"/>
        <v>1296</v>
      </c>
    </row>
    <row r="2384" ht="105">
      <c r="A2384" s="217"/>
      <c r="B2384" s="217">
        <v>1296</v>
      </c>
      <c r="C2384" s="217"/>
      <c r="D2384" s="217" t="s">
        <v>17167</v>
      </c>
      <c r="E2384" s="471" t="s">
        <v>20663</v>
      </c>
      <c r="F2384" s="489">
        <v>73467</v>
      </c>
      <c r="G2384" s="470" t="s">
        <v>1601</v>
      </c>
      <c r="H2384" s="482" t="s">
        <v>1535</v>
      </c>
      <c r="I2384" s="483">
        <v>1.e-002</v>
      </c>
      <c r="J2384" s="473">
        <f t="shared" si="1426"/>
        <v>270.61000000000001</v>
      </c>
      <c r="K2384" s="474">
        <f t="shared" si="1447"/>
        <v>2.7061000000000002</v>
      </c>
      <c r="L2384" s="473">
        <f t="shared" si="1432"/>
        <v>269.00999999999999</v>
      </c>
      <c r="M2384" s="474">
        <f t="shared" si="1448"/>
        <v>2.6901000000000002</v>
      </c>
      <c r="O2384" s="434">
        <f t="shared" si="1429"/>
        <v>270.61000000000001</v>
      </c>
      <c r="P2384" s="435">
        <f t="shared" si="1430"/>
        <v>269.00999999999999</v>
      </c>
      <c r="AE2384" s="217"/>
      <c r="AF2384" s="217">
        <v>1296</v>
      </c>
      <c r="AH2384">
        <f t="shared" si="1444"/>
        <v>1296</v>
      </c>
    </row>
    <row r="2385" ht="45">
      <c r="A2385" s="217"/>
      <c r="B2385" s="217">
        <v>1296</v>
      </c>
      <c r="C2385" s="217"/>
      <c r="D2385" s="217" t="s">
        <v>20398</v>
      </c>
      <c r="E2385" s="471" t="s">
        <v>20665</v>
      </c>
      <c r="F2385" s="482">
        <v>1000</v>
      </c>
      <c r="G2385" s="470" t="s">
        <v>20651</v>
      </c>
      <c r="H2385" s="482" t="s">
        <v>15528</v>
      </c>
      <c r="I2385" s="483">
        <v>2.9999999999999999e-002</v>
      </c>
      <c r="J2385" s="473">
        <f t="shared" si="1426"/>
        <v>149.904</v>
      </c>
      <c r="K2385" s="474">
        <f t="shared" si="1447"/>
        <v>4.4971199999999998</v>
      </c>
      <c r="L2385" s="473">
        <f t="shared" si="1432"/>
        <v>141.76949999999999</v>
      </c>
      <c r="M2385" s="474">
        <f t="shared" si="1448"/>
        <v>4.2530849999999996</v>
      </c>
      <c r="O2385" s="434">
        <f t="shared" si="1429"/>
        <v>149.904</v>
      </c>
      <c r="P2385" s="435">
        <f t="shared" si="1430"/>
        <v>141.76949999999999</v>
      </c>
      <c r="AE2385" s="217"/>
      <c r="AF2385" s="217">
        <v>1296</v>
      </c>
      <c r="AH2385">
        <f t="shared" si="1444"/>
        <v>1296</v>
      </c>
    </row>
    <row r="2386" ht="30">
      <c r="A2386" s="217"/>
      <c r="B2386" s="217">
        <v>1296</v>
      </c>
      <c r="C2386" s="217"/>
      <c r="D2386" s="217" t="s">
        <v>17167</v>
      </c>
      <c r="E2386" s="471" t="s">
        <v>20667</v>
      </c>
      <c r="F2386" s="489">
        <v>88309</v>
      </c>
      <c r="G2386" s="470" t="s">
        <v>7385</v>
      </c>
      <c r="H2386" s="482" t="s">
        <v>2032</v>
      </c>
      <c r="I2386" s="483">
        <v>0.20000000000000001</v>
      </c>
      <c r="J2386" s="473">
        <f t="shared" si="1426"/>
        <v>28.5</v>
      </c>
      <c r="K2386" s="474">
        <f t="shared" si="1447"/>
        <v>5.7000000000000002</v>
      </c>
      <c r="L2386" s="473">
        <f t="shared" si="1432"/>
        <v>26.870000000000001</v>
      </c>
      <c r="M2386" s="474">
        <f t="shared" si="1448"/>
        <v>5.3740000000000006</v>
      </c>
      <c r="O2386" s="434">
        <f t="shared" si="1429"/>
        <v>28.5</v>
      </c>
      <c r="P2386" s="435">
        <f t="shared" si="1430"/>
        <v>26.870000000000001</v>
      </c>
      <c r="AE2386" s="217"/>
      <c r="AF2386" s="217">
        <v>1296</v>
      </c>
      <c r="AH2386">
        <f t="shared" si="1444"/>
        <v>1296</v>
      </c>
    </row>
    <row r="2387" ht="30">
      <c r="A2387" s="217"/>
      <c r="B2387" s="217">
        <v>1296</v>
      </c>
      <c r="C2387" s="217"/>
      <c r="D2387" s="217" t="s">
        <v>17167</v>
      </c>
      <c r="E2387" s="471" t="s">
        <v>20671</v>
      </c>
      <c r="F2387" s="489">
        <v>88316</v>
      </c>
      <c r="G2387" s="470" t="s">
        <v>7393</v>
      </c>
      <c r="H2387" s="482" t="s">
        <v>2032</v>
      </c>
      <c r="I2387" s="483">
        <v>0.20000000000000001</v>
      </c>
      <c r="J2387" s="473">
        <f t="shared" si="1426"/>
        <v>22.760000000000002</v>
      </c>
      <c r="K2387" s="474">
        <f t="shared" si="1447"/>
        <v>4.5520000000000005</v>
      </c>
      <c r="L2387" s="473">
        <f t="shared" si="1432"/>
        <v>21.550000000000001</v>
      </c>
      <c r="M2387" s="474">
        <f t="shared" si="1448"/>
        <v>4.3100000000000005</v>
      </c>
      <c r="O2387" s="434">
        <f t="shared" si="1429"/>
        <v>22.760000000000002</v>
      </c>
      <c r="P2387" s="435">
        <f t="shared" si="1430"/>
        <v>21.550000000000001</v>
      </c>
      <c r="AE2387" s="217"/>
      <c r="AF2387" s="217">
        <v>1296</v>
      </c>
      <c r="AH2387">
        <f t="shared" si="1444"/>
        <v>1296</v>
      </c>
    </row>
    <row r="2388" ht="78.75">
      <c r="A2388" s="460">
        <v>1297</v>
      </c>
      <c r="B2388" s="460">
        <v>1297</v>
      </c>
      <c r="C2388" s="460"/>
      <c r="D2388" s="460"/>
      <c r="E2388" s="461">
        <v>1</v>
      </c>
      <c r="F2388" s="462" t="s">
        <v>21846</v>
      </c>
      <c r="G2388" s="463" t="s">
        <v>21847</v>
      </c>
      <c r="H2388" s="478" t="s">
        <v>21848</v>
      </c>
      <c r="I2388" s="479"/>
      <c r="J2388" s="480"/>
      <c r="K2388" s="466">
        <f>SUM(K2389:K2389)</f>
        <v>1.443346268</v>
      </c>
      <c r="L2388" s="480"/>
      <c r="M2388" s="466">
        <f>SUM(M2389:M2389)</f>
        <v>1.443346268</v>
      </c>
      <c r="N2388" s="467" t="s">
        <v>21849</v>
      </c>
      <c r="O2388" s="434" t="str">
        <f t="shared" si="1429"/>
        <v xml:space="preserve">SEM VALOR</v>
      </c>
      <c r="P2388" s="435" t="str">
        <f t="shared" si="1430"/>
        <v xml:space="preserve">SEM VALOR</v>
      </c>
      <c r="AE2388" s="460">
        <v>1297</v>
      </c>
      <c r="AF2388" s="460"/>
      <c r="AH2388">
        <f t="shared" si="1444"/>
        <v>1297</v>
      </c>
    </row>
    <row r="2389" ht="45">
      <c r="A2389" s="217"/>
      <c r="B2389" s="217">
        <v>1297</v>
      </c>
      <c r="C2389" s="217"/>
      <c r="D2389" s="217" t="s">
        <v>20644</v>
      </c>
      <c r="E2389" s="471" t="s">
        <v>20399</v>
      </c>
      <c r="F2389" s="486" t="s">
        <v>15474</v>
      </c>
      <c r="G2389" s="470" t="s">
        <v>21850</v>
      </c>
      <c r="H2389" s="482" t="s">
        <v>1535</v>
      </c>
      <c r="I2389" s="578">
        <f>1/281.87</f>
        <v>3.5477e-003</v>
      </c>
      <c r="J2389" s="473">
        <f t="shared" si="1426"/>
        <v>406.83999999999997</v>
      </c>
      <c r="K2389" s="474">
        <f>I2389*J2389</f>
        <v>1.443346268</v>
      </c>
      <c r="L2389" s="473">
        <f t="shared" si="1432"/>
        <v>406.83999999999997</v>
      </c>
      <c r="M2389" s="474">
        <f>L2389*I2389</f>
        <v>1.443346268</v>
      </c>
      <c r="N2389" s="576" t="s">
        <v>21851</v>
      </c>
      <c r="O2389" s="434">
        <f t="shared" si="1429"/>
        <v>406.83999999999997</v>
      </c>
      <c r="P2389" s="435">
        <f t="shared" si="1430"/>
        <v>406.83999999999997</v>
      </c>
      <c r="AE2389" s="217"/>
      <c r="AF2389" s="217">
        <v>1297</v>
      </c>
      <c r="AH2389">
        <f t="shared" si="1444"/>
        <v>1297</v>
      </c>
    </row>
    <row r="2390" ht="45.75">
      <c r="A2390" s="217"/>
      <c r="B2390" s="217">
        <v>1297</v>
      </c>
      <c r="C2390" s="217"/>
      <c r="D2390" s="217"/>
      <c r="E2390" s="471"/>
      <c r="F2390" s="486"/>
      <c r="G2390" s="470" t="s">
        <v>21852</v>
      </c>
      <c r="H2390" s="482"/>
      <c r="I2390" s="578"/>
      <c r="J2390" s="473"/>
      <c r="K2390" s="474"/>
      <c r="L2390" s="473"/>
      <c r="M2390" s="474"/>
      <c r="N2390" s="576"/>
      <c r="O2390" s="434" t="str">
        <f t="shared" si="1429"/>
        <v xml:space="preserve">SEM VALOR</v>
      </c>
      <c r="P2390" s="435" t="str">
        <f t="shared" si="1430"/>
        <v xml:space="preserve">SEM VALOR</v>
      </c>
      <c r="AE2390" s="217"/>
      <c r="AF2390" s="217">
        <v>1297</v>
      </c>
      <c r="AH2390">
        <f t="shared" si="1444"/>
        <v>1297</v>
      </c>
    </row>
    <row r="2391">
      <c r="A2391" s="217"/>
      <c r="B2391" s="217">
        <v>1297</v>
      </c>
      <c r="C2391" s="217"/>
      <c r="D2391" s="217"/>
      <c r="E2391" s="471"/>
      <c r="F2391" s="486"/>
      <c r="G2391" s="470" t="s">
        <v>21452</v>
      </c>
      <c r="H2391" s="482"/>
      <c r="I2391" s="578"/>
      <c r="J2391" s="577"/>
      <c r="K2391" s="474"/>
      <c r="L2391" s="577"/>
      <c r="M2391" s="474"/>
      <c r="N2391" s="576"/>
      <c r="O2391" s="434" t="str">
        <f t="shared" si="1429"/>
        <v xml:space="preserve">SEM VALOR</v>
      </c>
      <c r="P2391" s="435" t="str">
        <f t="shared" si="1430"/>
        <v xml:space="preserve">SEM VALOR</v>
      </c>
      <c r="AE2391" s="217"/>
      <c r="AF2391" s="217">
        <v>1297</v>
      </c>
      <c r="AH2391">
        <f t="shared" si="1444"/>
        <v>1297</v>
      </c>
    </row>
    <row r="2392" ht="82.5" customHeight="1">
      <c r="A2392" s="460">
        <v>1298</v>
      </c>
      <c r="B2392" s="460">
        <v>1298</v>
      </c>
      <c r="C2392" s="460"/>
      <c r="D2392" s="460"/>
      <c r="E2392" s="461">
        <v>1</v>
      </c>
      <c r="F2392" s="462" t="s">
        <v>21853</v>
      </c>
      <c r="G2392" s="477" t="s">
        <v>21854</v>
      </c>
      <c r="H2392" s="579" t="s">
        <v>31</v>
      </c>
      <c r="I2392" s="479"/>
      <c r="J2392" s="480"/>
      <c r="K2392" s="466" t="e">
        <f>SUM(K2393:K2406)</f>
        <v>#VALUE!</v>
      </c>
      <c r="L2392" s="480"/>
      <c r="M2392" s="466" t="e">
        <f>SUM(M2393:M2406)</f>
        <v>#VALUE!</v>
      </c>
      <c r="O2392" s="434" t="str">
        <f t="shared" si="1429"/>
        <v xml:space="preserve">SEM VALOR</v>
      </c>
      <c r="P2392" s="435" t="str">
        <f t="shared" si="1430"/>
        <v xml:space="preserve">SEM VALOR</v>
      </c>
      <c r="AE2392" s="460">
        <v>1298</v>
      </c>
      <c r="AF2392" s="460"/>
      <c r="AH2392">
        <f t="shared" si="1444"/>
        <v>1298</v>
      </c>
    </row>
    <row r="2393" ht="120">
      <c r="A2393" s="217"/>
      <c r="B2393" s="217">
        <v>1298</v>
      </c>
      <c r="C2393" s="217"/>
      <c r="D2393" s="217" t="s">
        <v>17167</v>
      </c>
      <c r="E2393" s="471" t="s">
        <v>20399</v>
      </c>
      <c r="F2393" s="489">
        <v>102281</v>
      </c>
      <c r="G2393" s="470" t="s">
        <v>21855</v>
      </c>
      <c r="H2393" s="471" t="s">
        <v>15528</v>
      </c>
      <c r="I2393" s="483">
        <v>14.779999999999999</v>
      </c>
      <c r="J2393" s="473">
        <f t="shared" si="1426"/>
        <v>5.8300000000000001</v>
      </c>
      <c r="K2393" s="474">
        <f t="shared" ref="K2393:K2406" si="1449">I2393*J2393</f>
        <v>86.167400000000001</v>
      </c>
      <c r="L2393" s="473">
        <f t="shared" si="1432"/>
        <v>5.7199999999999998</v>
      </c>
      <c r="M2393" s="474">
        <f t="shared" ref="M2393:M2406" si="1450">L2393*I2393</f>
        <v>84.541599999999988</v>
      </c>
      <c r="O2393" s="434">
        <f t="shared" si="1429"/>
        <v>5.8300000000000001</v>
      </c>
      <c r="P2393" s="435">
        <f t="shared" si="1430"/>
        <v>5.7199999999999998</v>
      </c>
      <c r="AE2393" s="217"/>
      <c r="AF2393" s="217">
        <v>1298</v>
      </c>
      <c r="AH2393">
        <f t="shared" si="1444"/>
        <v>1298</v>
      </c>
    </row>
    <row r="2394" ht="48.75" customHeight="1">
      <c r="A2394" s="217"/>
      <c r="B2394" s="217">
        <v>1298</v>
      </c>
      <c r="C2394" s="217"/>
      <c r="D2394" s="217" t="s">
        <v>17167</v>
      </c>
      <c r="E2394" s="471" t="s">
        <v>20402</v>
      </c>
      <c r="F2394" s="489">
        <v>93382</v>
      </c>
      <c r="G2394" s="488" t="s">
        <v>20722</v>
      </c>
      <c r="H2394" s="471" t="s">
        <v>15528</v>
      </c>
      <c r="I2394" s="483">
        <v>10.67</v>
      </c>
      <c r="J2394" s="473">
        <f t="shared" si="1426"/>
        <v>27.52</v>
      </c>
      <c r="K2394" s="474">
        <f t="shared" si="1449"/>
        <v>293.63839999999999</v>
      </c>
      <c r="L2394" s="473">
        <f t="shared" si="1432"/>
        <v>26.190000000000001</v>
      </c>
      <c r="M2394" s="474">
        <f t="shared" si="1450"/>
        <v>279.44729999999998</v>
      </c>
      <c r="O2394" s="434">
        <f t="shared" si="1429"/>
        <v>27.52</v>
      </c>
      <c r="P2394" s="435">
        <f t="shared" si="1430"/>
        <v>26.190000000000001</v>
      </c>
      <c r="AE2394" s="217"/>
      <c r="AF2394" s="217">
        <v>1298</v>
      </c>
      <c r="AH2394">
        <f t="shared" si="1444"/>
        <v>1298</v>
      </c>
    </row>
    <row r="2395" ht="60">
      <c r="A2395" s="217"/>
      <c r="B2395" s="217">
        <v>1298</v>
      </c>
      <c r="C2395" s="217"/>
      <c r="D2395" s="217" t="s">
        <v>20398</v>
      </c>
      <c r="E2395" s="471" t="s">
        <v>20405</v>
      </c>
      <c r="F2395" s="489">
        <v>1258</v>
      </c>
      <c r="G2395" s="488" t="s">
        <v>20660</v>
      </c>
      <c r="H2395" s="472" t="s">
        <v>15515</v>
      </c>
      <c r="I2395" s="483">
        <v>4.2000000000000002</v>
      </c>
      <c r="J2395" s="473">
        <f t="shared" si="1426"/>
        <v>7.5700000000000003</v>
      </c>
      <c r="K2395" s="474">
        <f t="shared" si="1449"/>
        <v>31.794000000000004</v>
      </c>
      <c r="L2395" s="473">
        <f t="shared" si="1432"/>
        <v>7.1846199999999998</v>
      </c>
      <c r="M2395" s="474">
        <f t="shared" si="1450"/>
        <v>30.175404</v>
      </c>
      <c r="O2395" s="434">
        <f t="shared" si="1429"/>
        <v>7.5700000000000003</v>
      </c>
      <c r="P2395" s="435">
        <f t="shared" si="1430"/>
        <v>7.1846199999999998</v>
      </c>
      <c r="AE2395" s="217"/>
      <c r="AF2395" s="217">
        <v>1298</v>
      </c>
      <c r="AH2395">
        <f t="shared" si="1444"/>
        <v>1298</v>
      </c>
    </row>
    <row r="2396" ht="19.5" customHeight="1">
      <c r="A2396" s="217"/>
      <c r="B2396" s="217">
        <v>1298</v>
      </c>
      <c r="C2396" s="217"/>
      <c r="D2396" s="217" t="s">
        <v>20398</v>
      </c>
      <c r="E2396" s="471" t="s">
        <v>20409</v>
      </c>
      <c r="F2396" s="489">
        <v>1234</v>
      </c>
      <c r="G2396" s="488" t="s">
        <v>21668</v>
      </c>
      <c r="H2396" s="472" t="s">
        <v>15528</v>
      </c>
      <c r="I2396" s="483">
        <v>0.20999999999999999</v>
      </c>
      <c r="J2396" s="473">
        <f t="shared" si="1426"/>
        <v>151.03450000000001</v>
      </c>
      <c r="K2396" s="474">
        <f t="shared" si="1449"/>
        <v>31.717245000000002</v>
      </c>
      <c r="L2396" s="473">
        <f t="shared" si="1432"/>
        <v>148.61449999999999</v>
      </c>
      <c r="M2396" s="474">
        <f t="shared" si="1450"/>
        <v>31.209044999999996</v>
      </c>
      <c r="O2396" s="434">
        <f t="shared" si="1429"/>
        <v>151.03450000000001</v>
      </c>
      <c r="P2396" s="435">
        <f t="shared" si="1430"/>
        <v>148.61449999999999</v>
      </c>
      <c r="AE2396" s="217"/>
      <c r="AF2396" s="217">
        <v>1298</v>
      </c>
      <c r="AH2396">
        <f t="shared" si="1444"/>
        <v>1298</v>
      </c>
    </row>
    <row r="2397" ht="60">
      <c r="A2397" s="217"/>
      <c r="B2397" s="217">
        <v>1298</v>
      </c>
      <c r="C2397" s="217"/>
      <c r="D2397" s="217" t="s">
        <v>17167</v>
      </c>
      <c r="E2397" s="471" t="s">
        <v>20663</v>
      </c>
      <c r="F2397" s="489">
        <v>96536</v>
      </c>
      <c r="G2397" s="470" t="s">
        <v>21415</v>
      </c>
      <c r="H2397" s="472" t="s">
        <v>15515</v>
      </c>
      <c r="I2397" s="483">
        <v>4.6900000000000004</v>
      </c>
      <c r="J2397" s="473">
        <f t="shared" si="1426"/>
        <v>63.439999999999998</v>
      </c>
      <c r="K2397" s="474">
        <f t="shared" si="1449"/>
        <v>297.53360000000004</v>
      </c>
      <c r="L2397" s="473">
        <f t="shared" si="1432"/>
        <v>60.950000000000003</v>
      </c>
      <c r="M2397" s="474">
        <f t="shared" si="1450"/>
        <v>285.85550000000006</v>
      </c>
      <c r="O2397" s="434">
        <f t="shared" si="1429"/>
        <v>63.439999999999998</v>
      </c>
      <c r="P2397" s="435">
        <f t="shared" si="1430"/>
        <v>60.950000000000003</v>
      </c>
      <c r="AE2397" s="217"/>
      <c r="AF2397" s="217">
        <v>1298</v>
      </c>
      <c r="AH2397">
        <f t="shared" si="1444"/>
        <v>1298</v>
      </c>
    </row>
    <row r="2398" ht="45">
      <c r="A2398" s="217"/>
      <c r="B2398" s="217">
        <v>1298</v>
      </c>
      <c r="C2398" s="217"/>
      <c r="D2398" s="217" t="s">
        <v>17167</v>
      </c>
      <c r="E2398" s="471" t="s">
        <v>20665</v>
      </c>
      <c r="F2398" s="489">
        <v>96544</v>
      </c>
      <c r="G2398" s="470" t="s">
        <v>21856</v>
      </c>
      <c r="H2398" s="472" t="s">
        <v>302</v>
      </c>
      <c r="I2398" s="483">
        <v>35.82</v>
      </c>
      <c r="J2398" s="473">
        <f t="shared" ref="J2398:J2461" si="1451">O2398*$J$3</f>
        <v>17.699999999999999</v>
      </c>
      <c r="K2398" s="474">
        <f t="shared" si="1449"/>
        <v>634.01400000000001</v>
      </c>
      <c r="L2398" s="473">
        <f t="shared" si="1432"/>
        <v>17.23</v>
      </c>
      <c r="M2398" s="474">
        <f t="shared" si="1450"/>
        <v>617.17860000000007</v>
      </c>
      <c r="O2398" s="434">
        <f t="shared" si="1429"/>
        <v>17.699999999999999</v>
      </c>
      <c r="P2398" s="435">
        <f t="shared" si="1430"/>
        <v>17.23</v>
      </c>
      <c r="AE2398" s="217"/>
      <c r="AF2398" s="217">
        <v>1298</v>
      </c>
      <c r="AH2398">
        <f t="shared" si="1444"/>
        <v>1298</v>
      </c>
    </row>
    <row r="2399" ht="75">
      <c r="A2399" s="217"/>
      <c r="B2399" s="217">
        <v>1298</v>
      </c>
      <c r="C2399" s="217"/>
      <c r="D2399" s="217" t="s">
        <v>17167</v>
      </c>
      <c r="E2399" s="471" t="s">
        <v>20667</v>
      </c>
      <c r="F2399" s="489">
        <v>94963</v>
      </c>
      <c r="G2399" s="470" t="s">
        <v>8707</v>
      </c>
      <c r="H2399" s="472" t="s">
        <v>15528</v>
      </c>
      <c r="I2399" s="483">
        <v>0.63</v>
      </c>
      <c r="J2399" s="473">
        <f t="shared" si="1451"/>
        <v>441.43000000000001</v>
      </c>
      <c r="K2399" s="474">
        <f t="shared" si="1449"/>
        <v>278.10090000000002</v>
      </c>
      <c r="L2399" s="473">
        <f t="shared" si="1432"/>
        <v>436.14999999999998</v>
      </c>
      <c r="M2399" s="474">
        <f t="shared" si="1450"/>
        <v>274.77449999999999</v>
      </c>
      <c r="O2399" s="434">
        <f t="shared" si="1429"/>
        <v>441.43000000000001</v>
      </c>
      <c r="P2399" s="435">
        <f t="shared" si="1430"/>
        <v>436.14999999999998</v>
      </c>
      <c r="AE2399" s="217"/>
      <c r="AF2399" s="217">
        <v>1298</v>
      </c>
      <c r="AH2399">
        <f t="shared" si="1444"/>
        <v>1298</v>
      </c>
    </row>
    <row r="2400" ht="60">
      <c r="A2400" s="217"/>
      <c r="B2400" s="217">
        <v>1298</v>
      </c>
      <c r="C2400" s="217"/>
      <c r="D2400" s="217" t="s">
        <v>17167</v>
      </c>
      <c r="E2400" s="471" t="s">
        <v>20671</v>
      </c>
      <c r="F2400" s="489">
        <v>94964</v>
      </c>
      <c r="G2400" s="470" t="s">
        <v>8711</v>
      </c>
      <c r="H2400" s="472" t="s">
        <v>15528</v>
      </c>
      <c r="I2400" s="483">
        <v>0.29999999999999999</v>
      </c>
      <c r="J2400" s="473">
        <f t="shared" si="1451"/>
        <v>488.52999999999997</v>
      </c>
      <c r="K2400" s="474">
        <f t="shared" si="1449"/>
        <v>146.559</v>
      </c>
      <c r="L2400" s="473">
        <f t="shared" si="1432"/>
        <v>482.79000000000002</v>
      </c>
      <c r="M2400" s="474">
        <f t="shared" si="1450"/>
        <v>144.83699999999999</v>
      </c>
      <c r="O2400" s="434">
        <f t="shared" si="1429"/>
        <v>488.52999999999997</v>
      </c>
      <c r="P2400" s="435">
        <f t="shared" si="1430"/>
        <v>482.79000000000002</v>
      </c>
      <c r="AE2400" s="217"/>
      <c r="AF2400" s="217">
        <v>1298</v>
      </c>
      <c r="AH2400">
        <f t="shared" si="1444"/>
        <v>1298</v>
      </c>
    </row>
    <row r="2401" ht="45">
      <c r="A2401" s="217"/>
      <c r="B2401" s="217">
        <v>1298</v>
      </c>
      <c r="C2401" s="217"/>
      <c r="D2401" s="217" t="s">
        <v>20398</v>
      </c>
      <c r="E2401" s="471" t="s">
        <v>20672</v>
      </c>
      <c r="F2401" s="489">
        <v>1000</v>
      </c>
      <c r="G2401" s="470" t="s">
        <v>20651</v>
      </c>
      <c r="H2401" s="472" t="s">
        <v>15528</v>
      </c>
      <c r="I2401" s="483">
        <f>I2399+I2400</f>
        <v>0.92999999999999994</v>
      </c>
      <c r="J2401" s="473">
        <f t="shared" si="1451"/>
        <v>149.904</v>
      </c>
      <c r="K2401" s="474">
        <f t="shared" si="1449"/>
        <v>139.41072</v>
      </c>
      <c r="L2401" s="473">
        <f t="shared" si="1432"/>
        <v>141.76949999999999</v>
      </c>
      <c r="M2401" s="474">
        <f t="shared" si="1450"/>
        <v>131.84563499999999</v>
      </c>
      <c r="O2401" s="434">
        <f t="shared" si="1429"/>
        <v>149.904</v>
      </c>
      <c r="P2401" s="435">
        <f t="shared" si="1430"/>
        <v>141.76949999999999</v>
      </c>
      <c r="AE2401" s="217"/>
      <c r="AF2401" s="217">
        <v>1298</v>
      </c>
      <c r="AH2401">
        <f t="shared" si="1444"/>
        <v>1298</v>
      </c>
    </row>
    <row r="2402" ht="75">
      <c r="A2402" s="217"/>
      <c r="B2402" s="217">
        <v>1298</v>
      </c>
      <c r="C2402" s="217"/>
      <c r="D2402" s="217" t="s">
        <v>20398</v>
      </c>
      <c r="E2402" s="471" t="s">
        <v>20673</v>
      </c>
      <c r="F2402" s="482">
        <v>1257</v>
      </c>
      <c r="G2402" s="470" t="s">
        <v>20906</v>
      </c>
      <c r="H2402" s="471" t="s">
        <v>15515</v>
      </c>
      <c r="I2402" s="483">
        <v>6.3399999999999999</v>
      </c>
      <c r="J2402" s="473">
        <f t="shared" si="1451"/>
        <v>202.65134000000003</v>
      </c>
      <c r="K2402" s="474">
        <f t="shared" si="1449"/>
        <v>1284.8094956000002</v>
      </c>
      <c r="L2402" s="473">
        <f t="shared" si="1432"/>
        <v>197.86072000000001</v>
      </c>
      <c r="M2402" s="474">
        <f t="shared" si="1450"/>
        <v>1254.4369648000002</v>
      </c>
      <c r="O2402" s="434">
        <f t="shared" si="1429"/>
        <v>202.65134000000003</v>
      </c>
      <c r="P2402" s="435">
        <f t="shared" si="1430"/>
        <v>197.86072000000001</v>
      </c>
      <c r="AE2402" s="217"/>
      <c r="AF2402" s="217">
        <v>1298</v>
      </c>
      <c r="AH2402">
        <f t="shared" si="1444"/>
        <v>1298</v>
      </c>
    </row>
    <row r="2403" ht="75">
      <c r="A2403" s="217"/>
      <c r="B2403" s="217">
        <v>1298</v>
      </c>
      <c r="C2403" s="217"/>
      <c r="D2403" s="217" t="s">
        <v>17167</v>
      </c>
      <c r="E2403" s="471" t="s">
        <v>20675</v>
      </c>
      <c r="F2403" s="489">
        <v>87878</v>
      </c>
      <c r="G2403" s="470" t="s">
        <v>20910</v>
      </c>
      <c r="H2403" s="471" t="s">
        <v>15515</v>
      </c>
      <c r="I2403" s="483">
        <v>12.68</v>
      </c>
      <c r="J2403" s="473">
        <f t="shared" si="1451"/>
        <v>5.0099999999999998</v>
      </c>
      <c r="K2403" s="474">
        <f t="shared" si="1449"/>
        <v>63.526799999999994</v>
      </c>
      <c r="L2403" s="473">
        <f t="shared" si="1432"/>
        <v>4.7999999999999998</v>
      </c>
      <c r="M2403" s="474">
        <f t="shared" si="1450"/>
        <v>60.863999999999997</v>
      </c>
      <c r="O2403" s="434">
        <f t="shared" si="1429"/>
        <v>5.0099999999999998</v>
      </c>
      <c r="P2403" s="435">
        <f t="shared" si="1430"/>
        <v>4.7999999999999998</v>
      </c>
      <c r="AE2403" s="217"/>
      <c r="AF2403" s="217">
        <v>1298</v>
      </c>
      <c r="AH2403">
        <f t="shared" si="1444"/>
        <v>1298</v>
      </c>
    </row>
    <row r="2404" ht="105">
      <c r="A2404" s="217"/>
      <c r="B2404" s="217">
        <v>1298</v>
      </c>
      <c r="C2404" s="217"/>
      <c r="D2404" s="217" t="s">
        <v>20398</v>
      </c>
      <c r="E2404" s="471" t="s">
        <v>20677</v>
      </c>
      <c r="F2404" s="489">
        <v>1001</v>
      </c>
      <c r="G2404" s="470" t="s">
        <v>20655</v>
      </c>
      <c r="H2404" s="471" t="s">
        <v>15515</v>
      </c>
      <c r="I2404" s="483">
        <v>6.3399999999999999</v>
      </c>
      <c r="J2404" s="473">
        <f t="shared" si="1451"/>
        <v>44.575159999999997</v>
      </c>
      <c r="K2404" s="474">
        <f t="shared" si="1449"/>
        <v>282.60651439999998</v>
      </c>
      <c r="L2404" s="473">
        <f t="shared" si="1432"/>
        <v>43.366774000000007</v>
      </c>
      <c r="M2404" s="474">
        <f t="shared" si="1450"/>
        <v>274.94534716000004</v>
      </c>
      <c r="O2404" s="434">
        <f t="shared" si="1429"/>
        <v>44.575159999999997</v>
      </c>
      <c r="P2404" s="435">
        <f t="shared" si="1430"/>
        <v>43.366774000000007</v>
      </c>
      <c r="AE2404" s="217"/>
      <c r="AF2404" s="217">
        <v>1298</v>
      </c>
      <c r="AH2404">
        <f t="shared" si="1444"/>
        <v>1298</v>
      </c>
    </row>
    <row r="2405" ht="75">
      <c r="A2405" s="217"/>
      <c r="B2405" s="217">
        <v>1298</v>
      </c>
      <c r="C2405" s="217"/>
      <c r="D2405" s="217" t="s">
        <v>20408</v>
      </c>
      <c r="E2405" s="471" t="s">
        <v>20679</v>
      </c>
      <c r="F2405" s="489">
        <v>6243</v>
      </c>
      <c r="G2405" s="470" t="s">
        <v>21857</v>
      </c>
      <c r="H2405" s="471" t="s">
        <v>20647</v>
      </c>
      <c r="I2405" s="483">
        <v>1</v>
      </c>
      <c r="J2405" s="473" t="e">
        <f t="shared" si="1451"/>
        <v>#VALUE!</v>
      </c>
      <c r="K2405" s="474" t="e">
        <f t="shared" si="1449"/>
        <v>#VALUE!</v>
      </c>
      <c r="L2405" s="473" t="e">
        <f t="shared" si="1432"/>
        <v>#VALUE!</v>
      </c>
      <c r="M2405" s="474" t="e">
        <f t="shared" si="1450"/>
        <v>#VALUE!</v>
      </c>
      <c r="O2405" s="434" t="str">
        <f t="shared" si="1429"/>
        <v>VERIFICAR</v>
      </c>
      <c r="P2405" s="435" t="str">
        <f t="shared" si="1430"/>
        <v>VERIFICAR</v>
      </c>
      <c r="AE2405" s="217"/>
      <c r="AF2405" s="217">
        <v>1298</v>
      </c>
      <c r="AH2405">
        <f t="shared" si="1444"/>
        <v>1298</v>
      </c>
    </row>
    <row r="2406" ht="45">
      <c r="A2406" s="217"/>
      <c r="B2406" s="217">
        <v>1298</v>
      </c>
      <c r="C2406" s="217"/>
      <c r="D2406" s="217" t="s">
        <v>20398</v>
      </c>
      <c r="E2406" s="471" t="s">
        <v>20681</v>
      </c>
      <c r="F2406" s="489">
        <v>1017</v>
      </c>
      <c r="G2406" s="470" t="s">
        <v>20792</v>
      </c>
      <c r="H2406" s="471" t="s">
        <v>20647</v>
      </c>
      <c r="I2406" s="483">
        <v>1</v>
      </c>
      <c r="J2406" s="473">
        <f t="shared" si="1451"/>
        <v>117.18000000000001</v>
      </c>
      <c r="K2406" s="474">
        <f t="shared" si="1449"/>
        <v>117.18000000000001</v>
      </c>
      <c r="L2406" s="473">
        <f t="shared" si="1432"/>
        <v>111.5</v>
      </c>
      <c r="M2406" s="474">
        <f t="shared" si="1450"/>
        <v>111.5</v>
      </c>
      <c r="O2406" s="434">
        <f t="shared" si="1429"/>
        <v>117.18000000000001</v>
      </c>
      <c r="P2406" s="435">
        <f t="shared" si="1430"/>
        <v>111.5</v>
      </c>
      <c r="AE2406" s="217"/>
      <c r="AF2406" s="217">
        <v>1298</v>
      </c>
      <c r="AH2406">
        <f t="shared" si="1444"/>
        <v>1298</v>
      </c>
    </row>
    <row r="2407" ht="54" customHeight="1">
      <c r="A2407" s="460">
        <v>1299</v>
      </c>
      <c r="B2407" s="460">
        <v>1299</v>
      </c>
      <c r="C2407" s="460"/>
      <c r="D2407" s="460"/>
      <c r="E2407" s="461">
        <v>1</v>
      </c>
      <c r="F2407" s="462" t="s">
        <v>21858</v>
      </c>
      <c r="G2407" s="477" t="s">
        <v>21859</v>
      </c>
      <c r="H2407" s="579" t="s">
        <v>38</v>
      </c>
      <c r="I2407" s="479"/>
      <c r="J2407" s="480"/>
      <c r="K2407" s="466">
        <f>SUM(K2408:K2411)</f>
        <v>122.50518711560002</v>
      </c>
      <c r="L2407" s="480"/>
      <c r="M2407" s="466">
        <f>SUM(M2408:M2411)</f>
        <v>120.31666407989999</v>
      </c>
      <c r="O2407" s="434" t="str">
        <f t="shared" si="1429"/>
        <v xml:space="preserve">SEM VALOR</v>
      </c>
      <c r="P2407" s="435" t="str">
        <f t="shared" si="1430"/>
        <v xml:space="preserve">SEM VALOR</v>
      </c>
      <c r="AE2407" s="460">
        <v>1299</v>
      </c>
      <c r="AF2407" s="460"/>
      <c r="AH2407">
        <f t="shared" si="1444"/>
        <v>1299</v>
      </c>
    </row>
    <row r="2408" ht="45">
      <c r="A2408" s="217"/>
      <c r="B2408" s="217">
        <v>1299</v>
      </c>
      <c r="C2408" s="217"/>
      <c r="D2408" s="217" t="s">
        <v>20398</v>
      </c>
      <c r="E2408" s="471" t="s">
        <v>20399</v>
      </c>
      <c r="F2408" s="489">
        <v>1175</v>
      </c>
      <c r="G2408" s="470" t="s">
        <v>21344</v>
      </c>
      <c r="H2408" s="471" t="s">
        <v>15528</v>
      </c>
      <c r="I2408" s="483">
        <v>0.84999999999999998</v>
      </c>
      <c r="J2408" s="473">
        <f t="shared" si="1451"/>
        <v>50.686786336000004</v>
      </c>
      <c r="K2408" s="474">
        <f t="shared" ref="K2408:K2411" si="1452">I2408*J2408</f>
        <v>43.083768385600003</v>
      </c>
      <c r="L2408" s="473">
        <f t="shared" si="1432"/>
        <v>49.684339844000007</v>
      </c>
      <c r="M2408" s="474">
        <f t="shared" ref="M2408:M2411" si="1453">L2408*I2408</f>
        <v>42.231688867400003</v>
      </c>
      <c r="O2408" s="434">
        <f t="shared" si="1429"/>
        <v>50.686786336000004</v>
      </c>
      <c r="P2408" s="435">
        <f t="shared" si="1430"/>
        <v>49.684339844000007</v>
      </c>
      <c r="AE2408" s="217"/>
      <c r="AF2408" s="217">
        <v>1299</v>
      </c>
      <c r="AH2408">
        <f t="shared" si="1444"/>
        <v>1299</v>
      </c>
    </row>
    <row r="2409" ht="45">
      <c r="A2409" s="217"/>
      <c r="B2409" s="217">
        <v>1299</v>
      </c>
      <c r="C2409" s="217"/>
      <c r="D2409" s="217" t="s">
        <v>17167</v>
      </c>
      <c r="E2409" s="471" t="s">
        <v>20402</v>
      </c>
      <c r="F2409" s="489">
        <v>93382</v>
      </c>
      <c r="G2409" s="470" t="s">
        <v>20722</v>
      </c>
      <c r="H2409" s="471" t="s">
        <v>15528</v>
      </c>
      <c r="I2409" s="483">
        <v>0.59999999999999998</v>
      </c>
      <c r="J2409" s="473">
        <f t="shared" si="1451"/>
        <v>27.52</v>
      </c>
      <c r="K2409" s="474">
        <f t="shared" si="1452"/>
        <v>16.512</v>
      </c>
      <c r="L2409" s="473">
        <f t="shared" si="1432"/>
        <v>26.190000000000001</v>
      </c>
      <c r="M2409" s="474">
        <f t="shared" si="1453"/>
        <v>15.714</v>
      </c>
      <c r="O2409" s="434">
        <f t="shared" si="1429"/>
        <v>27.52</v>
      </c>
      <c r="P2409" s="435">
        <f t="shared" si="1430"/>
        <v>26.190000000000001</v>
      </c>
      <c r="AE2409" s="217"/>
      <c r="AF2409" s="217">
        <v>1299</v>
      </c>
      <c r="AH2409">
        <f t="shared" si="1444"/>
        <v>1299</v>
      </c>
    </row>
    <row r="2410" ht="45">
      <c r="A2410" s="217"/>
      <c r="B2410" s="217">
        <v>1299</v>
      </c>
      <c r="C2410" s="217"/>
      <c r="D2410" s="217" t="s">
        <v>20398</v>
      </c>
      <c r="E2410" s="471" t="s">
        <v>20405</v>
      </c>
      <c r="F2410" s="489">
        <v>1183</v>
      </c>
      <c r="G2410" s="470" t="s">
        <v>21442</v>
      </c>
      <c r="H2410" s="471" t="s">
        <v>15515</v>
      </c>
      <c r="I2410" s="483">
        <v>2.5</v>
      </c>
      <c r="J2410" s="473">
        <f t="shared" si="1451"/>
        <v>10.795334092000001</v>
      </c>
      <c r="K2410" s="474">
        <f t="shared" si="1452"/>
        <v>26.988335230000004</v>
      </c>
      <c r="L2410" s="473">
        <f t="shared" si="1432"/>
        <v>10.775167385</v>
      </c>
      <c r="M2410" s="474">
        <f t="shared" si="1453"/>
        <v>26.937918462500001</v>
      </c>
      <c r="O2410" s="434">
        <f t="shared" si="1429"/>
        <v>10.795334092000001</v>
      </c>
      <c r="P2410" s="435">
        <f t="shared" si="1430"/>
        <v>10.775167385</v>
      </c>
      <c r="AE2410" s="217"/>
      <c r="AF2410" s="217">
        <v>1299</v>
      </c>
      <c r="AH2410">
        <f t="shared" si="1444"/>
        <v>1299</v>
      </c>
    </row>
    <row r="2411" ht="30">
      <c r="A2411" s="217"/>
      <c r="B2411" s="217">
        <v>1299</v>
      </c>
      <c r="C2411" s="217"/>
      <c r="D2411" s="217" t="s">
        <v>20398</v>
      </c>
      <c r="E2411" s="471" t="s">
        <v>20409</v>
      </c>
      <c r="F2411" s="489">
        <v>1301</v>
      </c>
      <c r="G2411" s="470" t="s">
        <v>21860</v>
      </c>
      <c r="H2411" s="471" t="s">
        <v>15528</v>
      </c>
      <c r="I2411" s="483">
        <v>0.25</v>
      </c>
      <c r="J2411" s="473">
        <f t="shared" si="1451"/>
        <v>143.68433400000001</v>
      </c>
      <c r="K2411" s="474">
        <f t="shared" si="1452"/>
        <v>35.921083500000002</v>
      </c>
      <c r="L2411" s="473">
        <f t="shared" si="1432"/>
        <v>141.73222699999999</v>
      </c>
      <c r="M2411" s="474">
        <f t="shared" si="1453"/>
        <v>35.433056749999999</v>
      </c>
      <c r="O2411" s="434">
        <f t="shared" si="1429"/>
        <v>143.68433400000001</v>
      </c>
      <c r="P2411" s="435">
        <f t="shared" si="1430"/>
        <v>141.73222699999999</v>
      </c>
      <c r="AE2411" s="217"/>
      <c r="AF2411" s="217">
        <v>1299</v>
      </c>
      <c r="AH2411">
        <f t="shared" si="1444"/>
        <v>1299</v>
      </c>
    </row>
    <row r="2412" ht="66" customHeight="1">
      <c r="A2412" s="460">
        <v>1300</v>
      </c>
      <c r="B2412" s="460">
        <v>1300</v>
      </c>
      <c r="C2412" s="460"/>
      <c r="D2412" s="460"/>
      <c r="E2412" s="461">
        <v>1</v>
      </c>
      <c r="F2412" s="462" t="s">
        <v>21861</v>
      </c>
      <c r="G2412" s="477" t="s">
        <v>21862</v>
      </c>
      <c r="H2412" s="579" t="s">
        <v>38</v>
      </c>
      <c r="I2412" s="479"/>
      <c r="J2412" s="480"/>
      <c r="K2412" s="466" t="e">
        <f>SUM(K2413:K2417)</f>
        <v>#VALUE!</v>
      </c>
      <c r="L2412" s="480"/>
      <c r="M2412" s="466" t="e">
        <f>SUM(M2413:M2417)</f>
        <v>#VALUE!</v>
      </c>
      <c r="O2412" s="434" t="str">
        <f t="shared" ref="O2412:O2475" si="1454">IFERROR(IF(D2412="SINAPI",VLOOKUP(F2412,SINCOMOD,4,FALSE),IF(D2412="INSINAPI",VLOOKUP(F2412,INSINOD,5,FALSE),IF(D2412="SICRO",VLOOKUP(F2412,SICRO,5,FALSE),IF(D2412="COTACAO",VLOOKUP(F2412,COTACAO,6,FALSE),IF(D2412="PRÓPRIO",VLOOKUP(F2412,COMPOD,11,FALSE),IF(D2412="AGESUL",VLOOKUP(F2412,AGESULOD,6,FALSE),IF(D2412="INSAGESUL",VLOOKUP(F2412,INSAGESUL,7,FALSE),"SEM VALOR"))))))),"SEM VALOR")</f>
        <v xml:space="preserve">SEM VALOR</v>
      </c>
      <c r="P2412" s="435" t="str">
        <f t="shared" ref="P2412:P2475" si="1455">IFERROR(IF(D2412="SINAPI",VLOOKUP(F2412,SINCOMOD,6,FALSE),IF(D2412="INSINAPI",VLOOKUP(F2412,INSINOD,6,FALSE),IF(D2412="SICRO",VLOOKUP(F2412,SICRO,5,FALSE),IF(D2412="COTACAO",VLOOKUP(F2412,COTACAO,6,FALSE),IF(D2412="PRÓPRIO",VLOOKUP(F2412,COMPOD,13,FALSE),IF(D2412="AGESUL",VLOOKUP(F2412,AGESULOD,11,FALSE),IF(D2412="INSAGESUL",VLOOKUP(F2412,INSAGESUL,8,FALSE),"SEM VALOR"))))))),"SEM VALOR")</f>
        <v xml:space="preserve">SEM VALOR</v>
      </c>
      <c r="AE2412" s="460">
        <v>1300</v>
      </c>
      <c r="AF2412" s="460"/>
      <c r="AH2412">
        <f t="shared" si="1444"/>
        <v>1300</v>
      </c>
    </row>
    <row r="2413" ht="45">
      <c r="A2413" s="217"/>
      <c r="B2413" s="217">
        <v>1300</v>
      </c>
      <c r="C2413" s="217"/>
      <c r="D2413" s="217" t="s">
        <v>20398</v>
      </c>
      <c r="E2413" s="471" t="s">
        <v>20399</v>
      </c>
      <c r="F2413" s="489">
        <v>1175</v>
      </c>
      <c r="G2413" s="470" t="s">
        <v>21344</v>
      </c>
      <c r="H2413" s="471" t="s">
        <v>15528</v>
      </c>
      <c r="I2413" s="483">
        <v>0.84999999999999998</v>
      </c>
      <c r="J2413" s="473">
        <f t="shared" si="1451"/>
        <v>50.686786336000004</v>
      </c>
      <c r="K2413" s="474">
        <f t="shared" ref="K2413:K2417" si="1456">I2413*J2413</f>
        <v>43.083768385600003</v>
      </c>
      <c r="L2413" s="473">
        <f t="shared" ref="L2413:L2476" si="1457">P2413*$L$3</f>
        <v>49.684339844000007</v>
      </c>
      <c r="M2413" s="474">
        <f t="shared" ref="M2413:M2417" si="1458">L2413*I2413</f>
        <v>42.231688867400003</v>
      </c>
      <c r="O2413" s="434">
        <f t="shared" si="1454"/>
        <v>50.686786336000004</v>
      </c>
      <c r="P2413" s="435">
        <f t="shared" si="1455"/>
        <v>49.684339844000007</v>
      </c>
      <c r="AE2413" s="217"/>
      <c r="AF2413" s="217">
        <v>1300</v>
      </c>
      <c r="AH2413">
        <f t="shared" si="1444"/>
        <v>1300</v>
      </c>
    </row>
    <row r="2414" ht="45">
      <c r="A2414" s="217"/>
      <c r="B2414" s="217">
        <v>1300</v>
      </c>
      <c r="C2414" s="217"/>
      <c r="D2414" s="217" t="s">
        <v>17167</v>
      </c>
      <c r="E2414" s="471" t="s">
        <v>20402</v>
      </c>
      <c r="F2414" s="489">
        <v>93382</v>
      </c>
      <c r="G2414" s="470" t="s">
        <v>20722</v>
      </c>
      <c r="H2414" s="471" t="s">
        <v>15528</v>
      </c>
      <c r="I2414" s="483">
        <v>0.59999999999999998</v>
      </c>
      <c r="J2414" s="473">
        <f t="shared" si="1451"/>
        <v>27.52</v>
      </c>
      <c r="K2414" s="474">
        <f t="shared" si="1456"/>
        <v>16.512</v>
      </c>
      <c r="L2414" s="473">
        <f t="shared" si="1457"/>
        <v>26.190000000000001</v>
      </c>
      <c r="M2414" s="474">
        <f t="shared" si="1458"/>
        <v>15.714</v>
      </c>
      <c r="O2414" s="434">
        <f t="shared" si="1454"/>
        <v>27.52</v>
      </c>
      <c r="P2414" s="435">
        <f t="shared" si="1455"/>
        <v>26.190000000000001</v>
      </c>
      <c r="AE2414" s="217"/>
      <c r="AF2414" s="217">
        <v>1300</v>
      </c>
      <c r="AH2414">
        <f t="shared" si="1444"/>
        <v>1300</v>
      </c>
    </row>
    <row r="2415" ht="45">
      <c r="A2415" s="217"/>
      <c r="B2415" s="217">
        <v>1300</v>
      </c>
      <c r="C2415" s="217"/>
      <c r="D2415" s="217" t="s">
        <v>20398</v>
      </c>
      <c r="E2415" s="471" t="s">
        <v>20405</v>
      </c>
      <c r="F2415" s="489">
        <v>1183</v>
      </c>
      <c r="G2415" s="470" t="s">
        <v>21442</v>
      </c>
      <c r="H2415" s="471" t="s">
        <v>15515</v>
      </c>
      <c r="I2415" s="483">
        <v>2.5</v>
      </c>
      <c r="J2415" s="473">
        <f t="shared" si="1451"/>
        <v>10.795334092000001</v>
      </c>
      <c r="K2415" s="474">
        <f t="shared" si="1456"/>
        <v>26.988335230000004</v>
      </c>
      <c r="L2415" s="473">
        <f t="shared" si="1457"/>
        <v>10.775167385</v>
      </c>
      <c r="M2415" s="474">
        <f t="shared" si="1458"/>
        <v>26.937918462500001</v>
      </c>
      <c r="O2415" s="434">
        <f t="shared" si="1454"/>
        <v>10.795334092000001</v>
      </c>
      <c r="P2415" s="435">
        <f t="shared" si="1455"/>
        <v>10.775167385</v>
      </c>
      <c r="AE2415" s="217"/>
      <c r="AF2415" s="217">
        <v>1300</v>
      </c>
      <c r="AH2415">
        <f t="shared" si="1444"/>
        <v>1300</v>
      </c>
    </row>
    <row r="2416" ht="30">
      <c r="A2416" s="217"/>
      <c r="B2416" s="217">
        <v>1300</v>
      </c>
      <c r="C2416" s="217"/>
      <c r="D2416" s="217" t="s">
        <v>20398</v>
      </c>
      <c r="E2416" s="471" t="s">
        <v>20409</v>
      </c>
      <c r="F2416" s="489">
        <v>1301</v>
      </c>
      <c r="G2416" s="470" t="s">
        <v>21860</v>
      </c>
      <c r="H2416" s="471" t="s">
        <v>15528</v>
      </c>
      <c r="I2416" s="483">
        <v>0.22</v>
      </c>
      <c r="J2416" s="473">
        <f t="shared" si="1451"/>
        <v>143.68433400000001</v>
      </c>
      <c r="K2416" s="474">
        <f t="shared" si="1456"/>
        <v>31.61055348</v>
      </c>
      <c r="L2416" s="473">
        <f t="shared" si="1457"/>
        <v>141.73222699999999</v>
      </c>
      <c r="M2416" s="474">
        <f t="shared" si="1458"/>
        <v>31.18108994</v>
      </c>
      <c r="O2416" s="434">
        <f t="shared" si="1454"/>
        <v>143.68433400000001</v>
      </c>
      <c r="P2416" s="435">
        <f t="shared" si="1455"/>
        <v>141.73222699999999</v>
      </c>
      <c r="AE2416" s="217"/>
      <c r="AF2416" s="217">
        <v>1300</v>
      </c>
      <c r="AH2416">
        <f t="shared" si="1444"/>
        <v>1300</v>
      </c>
    </row>
    <row r="2417" ht="60">
      <c r="A2417" s="217"/>
      <c r="B2417" s="217">
        <v>1300</v>
      </c>
      <c r="C2417" s="217"/>
      <c r="D2417" s="217" t="s">
        <v>20408</v>
      </c>
      <c r="E2417" s="471" t="s">
        <v>20663</v>
      </c>
      <c r="F2417" s="489">
        <v>12583</v>
      </c>
      <c r="G2417" s="470" t="s">
        <v>15042</v>
      </c>
      <c r="H2417" s="471" t="s">
        <v>38</v>
      </c>
      <c r="I2417" s="483">
        <v>1</v>
      </c>
      <c r="J2417" s="473" t="e">
        <f t="shared" si="1451"/>
        <v>#VALUE!</v>
      </c>
      <c r="K2417" s="474" t="e">
        <f t="shared" si="1456"/>
        <v>#VALUE!</v>
      </c>
      <c r="L2417" s="473" t="e">
        <f t="shared" si="1457"/>
        <v>#VALUE!</v>
      </c>
      <c r="M2417" s="474" t="e">
        <f t="shared" si="1458"/>
        <v>#VALUE!</v>
      </c>
      <c r="O2417" s="434" t="str">
        <f t="shared" si="1454"/>
        <v>VERIFICAR</v>
      </c>
      <c r="P2417" s="435" t="str">
        <f t="shared" si="1455"/>
        <v>VERIFICAR</v>
      </c>
      <c r="AE2417" s="217"/>
      <c r="AF2417" s="217">
        <v>1300</v>
      </c>
      <c r="AH2417">
        <f t="shared" si="1444"/>
        <v>1300</v>
      </c>
    </row>
    <row r="2418" ht="32.25" customHeight="1">
      <c r="A2418" s="460">
        <v>1301</v>
      </c>
      <c r="B2418" s="460">
        <v>1301</v>
      </c>
      <c r="C2418" s="460"/>
      <c r="D2418" s="460"/>
      <c r="E2418" s="461">
        <v>1</v>
      </c>
      <c r="F2418" s="462" t="s">
        <v>21863</v>
      </c>
      <c r="G2418" s="477" t="s">
        <v>21860</v>
      </c>
      <c r="H2418" s="579" t="s">
        <v>15528</v>
      </c>
      <c r="I2418" s="479"/>
      <c r="J2418" s="480"/>
      <c r="K2418" s="466">
        <f>SUM(K2419:K2422)</f>
        <v>143.68433400000001</v>
      </c>
      <c r="L2418" s="480"/>
      <c r="M2418" s="466">
        <f>SUM(M2419:M2422)</f>
        <v>141.73222699999999</v>
      </c>
      <c r="N2418" s="467" t="s">
        <v>21864</v>
      </c>
      <c r="O2418" s="434" t="str">
        <f t="shared" si="1454"/>
        <v xml:space="preserve">SEM VALOR</v>
      </c>
      <c r="P2418" s="435" t="str">
        <f t="shared" si="1455"/>
        <v xml:space="preserve">SEM VALOR</v>
      </c>
      <c r="AE2418" s="460">
        <v>1301</v>
      </c>
      <c r="AF2418" s="460"/>
      <c r="AH2418">
        <f t="shared" si="1444"/>
        <v>1301</v>
      </c>
    </row>
    <row r="2419" ht="45">
      <c r="A2419" s="217"/>
      <c r="B2419" s="217">
        <v>1301</v>
      </c>
      <c r="C2419" s="217"/>
      <c r="D2419" s="217" t="s">
        <v>20408</v>
      </c>
      <c r="E2419" s="471" t="s">
        <v>20399</v>
      </c>
      <c r="F2419" s="469">
        <v>4718</v>
      </c>
      <c r="G2419" s="470" t="s">
        <v>13720</v>
      </c>
      <c r="H2419" s="471" t="s">
        <v>15528</v>
      </c>
      <c r="I2419" s="483">
        <v>0.55000000000000004</v>
      </c>
      <c r="J2419" s="473">
        <f t="shared" si="1451"/>
        <v>101.02</v>
      </c>
      <c r="K2419" s="474">
        <f t="shared" ref="K2419:K2422" si="1459">I2419*J2419</f>
        <v>55.561</v>
      </c>
      <c r="L2419" s="473">
        <f t="shared" si="1457"/>
        <v>101.02</v>
      </c>
      <c r="M2419" s="474">
        <f t="shared" ref="M2419:M2422" si="1460">L2419*I2419</f>
        <v>55.561</v>
      </c>
      <c r="O2419" s="434">
        <f t="shared" si="1454"/>
        <v>101.02</v>
      </c>
      <c r="P2419" s="435">
        <f t="shared" si="1455"/>
        <v>101.02</v>
      </c>
      <c r="AE2419" s="217"/>
      <c r="AF2419" s="217">
        <v>1301</v>
      </c>
      <c r="AH2419">
        <f t="shared" si="1444"/>
        <v>1301</v>
      </c>
    </row>
    <row r="2420" ht="45">
      <c r="A2420" s="217"/>
      <c r="B2420" s="217">
        <v>1301</v>
      </c>
      <c r="C2420" s="217"/>
      <c r="D2420" s="217" t="s">
        <v>20408</v>
      </c>
      <c r="E2420" s="471" t="s">
        <v>20402</v>
      </c>
      <c r="F2420" s="469">
        <v>4722</v>
      </c>
      <c r="G2420" s="470" t="s">
        <v>13721</v>
      </c>
      <c r="H2420" s="471" t="s">
        <v>15528</v>
      </c>
      <c r="I2420" s="483">
        <v>0.55000000000000004</v>
      </c>
      <c r="J2420" s="473">
        <f t="shared" si="1451"/>
        <v>94.920000000000002</v>
      </c>
      <c r="K2420" s="474">
        <f t="shared" si="1459"/>
        <v>52.206000000000003</v>
      </c>
      <c r="L2420" s="473">
        <f t="shared" si="1457"/>
        <v>94.920000000000002</v>
      </c>
      <c r="M2420" s="474">
        <f t="shared" si="1460"/>
        <v>52.206000000000003</v>
      </c>
      <c r="O2420" s="434">
        <f t="shared" si="1454"/>
        <v>94.920000000000002</v>
      </c>
      <c r="P2420" s="435">
        <f t="shared" si="1455"/>
        <v>94.920000000000002</v>
      </c>
      <c r="AE2420" s="217"/>
      <c r="AF2420" s="217">
        <v>1301</v>
      </c>
      <c r="AH2420">
        <f t="shared" si="1444"/>
        <v>1301</v>
      </c>
    </row>
    <row r="2421" ht="30">
      <c r="A2421" s="217"/>
      <c r="B2421" s="217">
        <v>1301</v>
      </c>
      <c r="C2421" s="217"/>
      <c r="D2421" s="217" t="s">
        <v>17167</v>
      </c>
      <c r="E2421" s="471" t="s">
        <v>20405</v>
      </c>
      <c r="F2421" s="469">
        <v>88309</v>
      </c>
      <c r="G2421" s="470" t="s">
        <v>7385</v>
      </c>
      <c r="H2421" s="471" t="s">
        <v>2032</v>
      </c>
      <c r="I2421" s="483">
        <v>0.37109999999999999</v>
      </c>
      <c r="J2421" s="473">
        <f t="shared" si="1451"/>
        <v>28.5</v>
      </c>
      <c r="K2421" s="474">
        <f t="shared" si="1459"/>
        <v>10.57635</v>
      </c>
      <c r="L2421" s="473">
        <f t="shared" si="1457"/>
        <v>26.870000000000001</v>
      </c>
      <c r="M2421" s="474">
        <f t="shared" si="1460"/>
        <v>9.9714569999999991</v>
      </c>
      <c r="O2421" s="434">
        <f t="shared" si="1454"/>
        <v>28.5</v>
      </c>
      <c r="P2421" s="435">
        <f t="shared" si="1455"/>
        <v>26.870000000000001</v>
      </c>
      <c r="AE2421" s="217"/>
      <c r="AF2421" s="217">
        <v>1301</v>
      </c>
      <c r="AH2421">
        <f t="shared" si="1444"/>
        <v>1301</v>
      </c>
    </row>
    <row r="2422" ht="30">
      <c r="A2422" s="217"/>
      <c r="B2422" s="217">
        <v>1301</v>
      </c>
      <c r="C2422" s="217"/>
      <c r="D2422" s="217" t="s">
        <v>17167</v>
      </c>
      <c r="E2422" s="471" t="s">
        <v>20409</v>
      </c>
      <c r="F2422" s="469">
        <v>88316</v>
      </c>
      <c r="G2422" s="470" t="s">
        <v>7393</v>
      </c>
      <c r="H2422" s="471" t="s">
        <v>2032</v>
      </c>
      <c r="I2422" s="483">
        <v>1.1133999999999999</v>
      </c>
      <c r="J2422" s="473">
        <f t="shared" si="1451"/>
        <v>22.760000000000002</v>
      </c>
      <c r="K2422" s="474">
        <f t="shared" si="1459"/>
        <v>25.340983999999999</v>
      </c>
      <c r="L2422" s="473">
        <f t="shared" si="1457"/>
        <v>21.550000000000001</v>
      </c>
      <c r="M2422" s="474">
        <f t="shared" si="1460"/>
        <v>23.993770000000001</v>
      </c>
      <c r="O2422" s="434">
        <f t="shared" si="1454"/>
        <v>22.760000000000002</v>
      </c>
      <c r="P2422" s="435">
        <f t="shared" si="1455"/>
        <v>21.550000000000001</v>
      </c>
      <c r="AE2422" s="217"/>
      <c r="AF2422" s="217">
        <v>1301</v>
      </c>
      <c r="AH2422">
        <f t="shared" si="1444"/>
        <v>1301</v>
      </c>
    </row>
    <row r="2423" ht="94.5">
      <c r="A2423" s="460">
        <v>1302</v>
      </c>
      <c r="B2423" s="460">
        <v>1302</v>
      </c>
      <c r="C2423" s="460"/>
      <c r="D2423" s="460"/>
      <c r="E2423" s="461">
        <v>1</v>
      </c>
      <c r="F2423" s="462" t="s">
        <v>21865</v>
      </c>
      <c r="G2423" s="477" t="s">
        <v>21866</v>
      </c>
      <c r="H2423" s="579" t="s">
        <v>15515</v>
      </c>
      <c r="I2423" s="479"/>
      <c r="J2423" s="480"/>
      <c r="K2423" s="466">
        <f>SUM(K2424:K2427)</f>
        <v>235.11993000000001</v>
      </c>
      <c r="L2423" s="480"/>
      <c r="M2423" s="466">
        <f>SUM(M2424:M2427)</f>
        <v>233.79476</v>
      </c>
      <c r="O2423" s="434" t="str">
        <f t="shared" si="1454"/>
        <v xml:space="preserve">SEM VALOR</v>
      </c>
      <c r="P2423" s="435" t="str">
        <f t="shared" si="1455"/>
        <v xml:space="preserve">SEM VALOR</v>
      </c>
      <c r="AE2423" s="460">
        <v>1302</v>
      </c>
      <c r="AF2423" s="460"/>
      <c r="AH2423">
        <f t="shared" si="1444"/>
        <v>1302</v>
      </c>
    </row>
    <row r="2424" ht="20.25" customHeight="1">
      <c r="A2424" s="217"/>
      <c r="B2424" s="217">
        <v>1302</v>
      </c>
      <c r="C2424" s="217"/>
      <c r="D2424" s="217" t="s">
        <v>20453</v>
      </c>
      <c r="E2424" s="471" t="s">
        <v>20399</v>
      </c>
      <c r="F2424" s="489" t="s">
        <v>20129</v>
      </c>
      <c r="G2424" s="488" t="s">
        <v>21867</v>
      </c>
      <c r="H2424" s="471" t="s">
        <v>15515</v>
      </c>
      <c r="I2424" s="483">
        <v>1</v>
      </c>
      <c r="J2424" s="473">
        <f t="shared" si="1451"/>
        <v>135.09</v>
      </c>
      <c r="K2424" s="474">
        <f t="shared" ref="K2424:K2427" si="1461">I2424*J2424</f>
        <v>135.09</v>
      </c>
      <c r="L2424" s="473">
        <f t="shared" si="1457"/>
        <v>135.09</v>
      </c>
      <c r="M2424" s="474">
        <f t="shared" ref="M2424:M2427" si="1462">L2424*I2424</f>
        <v>135.09</v>
      </c>
      <c r="O2424" s="434">
        <f t="shared" si="1454"/>
        <v>135.09</v>
      </c>
      <c r="P2424" s="435">
        <f t="shared" si="1455"/>
        <v>135.09</v>
      </c>
      <c r="AE2424" s="217"/>
      <c r="AF2424" s="217">
        <v>1302</v>
      </c>
      <c r="AH2424">
        <f t="shared" si="1444"/>
        <v>1302</v>
      </c>
    </row>
    <row r="2425" ht="75">
      <c r="A2425" s="217"/>
      <c r="B2425" s="217">
        <v>1302</v>
      </c>
      <c r="C2425" s="217"/>
      <c r="D2425" s="217" t="s">
        <v>17167</v>
      </c>
      <c r="E2425" s="471" t="s">
        <v>20402</v>
      </c>
      <c r="F2425" s="469">
        <v>94965</v>
      </c>
      <c r="G2425" s="470" t="s">
        <v>8715</v>
      </c>
      <c r="H2425" s="439"/>
      <c r="I2425" s="483">
        <v>7.6999999999999999e-002</v>
      </c>
      <c r="J2425" s="473">
        <f t="shared" si="1451"/>
        <v>510.48000000000002</v>
      </c>
      <c r="K2425" s="474">
        <f t="shared" si="1461"/>
        <v>39.306960000000004</v>
      </c>
      <c r="L2425" s="473">
        <f t="shared" si="1457"/>
        <v>505.23000000000002</v>
      </c>
      <c r="M2425" s="474">
        <f t="shared" si="1462"/>
        <v>38.902709999999999</v>
      </c>
      <c r="O2425" s="434">
        <f t="shared" si="1454"/>
        <v>510.48000000000002</v>
      </c>
      <c r="P2425" s="435">
        <f t="shared" si="1455"/>
        <v>505.23000000000002</v>
      </c>
      <c r="AE2425" s="217"/>
      <c r="AF2425" s="217">
        <v>1302</v>
      </c>
      <c r="AH2425">
        <f t="shared" si="1444"/>
        <v>1302</v>
      </c>
    </row>
    <row r="2426" ht="60">
      <c r="A2426" s="217"/>
      <c r="B2426" s="217">
        <v>1302</v>
      </c>
      <c r="C2426" s="217"/>
      <c r="D2426" s="217" t="s">
        <v>17167</v>
      </c>
      <c r="E2426" s="471" t="s">
        <v>20405</v>
      </c>
      <c r="F2426" s="469">
        <v>103673</v>
      </c>
      <c r="G2426" s="470" t="s">
        <v>1388</v>
      </c>
      <c r="H2426" s="471" t="s">
        <v>15528</v>
      </c>
      <c r="I2426" s="483">
        <f>I2425</f>
        <v>7.6999999999999999e-002</v>
      </c>
      <c r="J2426" s="473">
        <f t="shared" si="1451"/>
        <v>43.409999999999997</v>
      </c>
      <c r="K2426" s="474">
        <f t="shared" si="1461"/>
        <v>3.3425699999999998</v>
      </c>
      <c r="L2426" s="473">
        <f t="shared" si="1457"/>
        <v>41.049999999999997</v>
      </c>
      <c r="M2426" s="474">
        <f t="shared" si="1462"/>
        <v>3.1608499999999999</v>
      </c>
      <c r="O2426" s="434">
        <f t="shared" si="1454"/>
        <v>43.409999999999997</v>
      </c>
      <c r="P2426" s="435">
        <f t="shared" si="1455"/>
        <v>41.049999999999997</v>
      </c>
      <c r="AE2426" s="217"/>
      <c r="AF2426" s="217">
        <v>1302</v>
      </c>
      <c r="AH2426">
        <f t="shared" si="1444"/>
        <v>1302</v>
      </c>
    </row>
    <row r="2427" ht="60">
      <c r="A2427" s="217"/>
      <c r="B2427" s="217">
        <v>1302</v>
      </c>
      <c r="C2427" s="217"/>
      <c r="D2427" s="217" t="s">
        <v>17167</v>
      </c>
      <c r="E2427" s="471" t="s">
        <v>20409</v>
      </c>
      <c r="F2427" s="469">
        <v>92769</v>
      </c>
      <c r="G2427" s="470" t="s">
        <v>327</v>
      </c>
      <c r="H2427" s="471" t="s">
        <v>302</v>
      </c>
      <c r="I2427" s="483">
        <v>4.6200000000000001</v>
      </c>
      <c r="J2427" s="473">
        <f t="shared" si="1451"/>
        <v>12.42</v>
      </c>
      <c r="K2427" s="474">
        <f t="shared" si="1461"/>
        <v>57.380400000000002</v>
      </c>
      <c r="L2427" s="473">
        <f t="shared" si="1457"/>
        <v>12.26</v>
      </c>
      <c r="M2427" s="474">
        <f t="shared" si="1462"/>
        <v>56.641199999999998</v>
      </c>
      <c r="O2427" s="434">
        <f t="shared" si="1454"/>
        <v>12.42</v>
      </c>
      <c r="P2427" s="435">
        <f t="shared" si="1455"/>
        <v>12.26</v>
      </c>
      <c r="AE2427" s="217"/>
      <c r="AF2427" s="217">
        <v>1302</v>
      </c>
      <c r="AH2427">
        <f t="shared" si="1444"/>
        <v>1302</v>
      </c>
    </row>
    <row r="2428" ht="63">
      <c r="A2428" s="460">
        <v>1303</v>
      </c>
      <c r="B2428" s="460">
        <v>1303</v>
      </c>
      <c r="C2428" s="460"/>
      <c r="D2428" s="460"/>
      <c r="E2428" s="461">
        <v>1</v>
      </c>
      <c r="F2428" s="462" t="s">
        <v>21868</v>
      </c>
      <c r="G2428" s="477" t="s">
        <v>21869</v>
      </c>
      <c r="H2428" s="579" t="s">
        <v>15515</v>
      </c>
      <c r="I2428" s="479"/>
      <c r="J2428" s="480"/>
      <c r="K2428" s="466">
        <f>SUM(K2429:K2432)</f>
        <v>162.27994999999999</v>
      </c>
      <c r="L2428" s="480"/>
      <c r="M2428" s="466">
        <f>SUM(M2429:M2432)</f>
        <v>159.36540000000002</v>
      </c>
      <c r="N2428" s="467" t="s">
        <v>21870</v>
      </c>
      <c r="O2428" s="434" t="str">
        <f t="shared" si="1454"/>
        <v xml:space="preserve">SEM VALOR</v>
      </c>
      <c r="P2428" s="435" t="str">
        <f t="shared" si="1455"/>
        <v xml:space="preserve">SEM VALOR</v>
      </c>
      <c r="AE2428" s="460">
        <v>1303</v>
      </c>
      <c r="AF2428" s="460"/>
      <c r="AH2428">
        <f t="shared" si="1444"/>
        <v>1303</v>
      </c>
    </row>
    <row r="2429" ht="30">
      <c r="A2429" s="217"/>
      <c r="B2429" s="217">
        <v>1303</v>
      </c>
      <c r="C2429" s="217"/>
      <c r="D2429" s="217" t="s">
        <v>20408</v>
      </c>
      <c r="E2429" s="471" t="s">
        <v>20399</v>
      </c>
      <c r="F2429" s="469">
        <v>34576</v>
      </c>
      <c r="G2429" s="470" t="s">
        <v>21871</v>
      </c>
      <c r="H2429" s="471" t="s">
        <v>31</v>
      </c>
      <c r="I2429" s="483">
        <v>13</v>
      </c>
      <c r="J2429" s="473">
        <f t="shared" si="1451"/>
        <v>7.9500000000000002</v>
      </c>
      <c r="K2429" s="474">
        <f t="shared" ref="K2429:K2432" si="1463">I2429*J2429</f>
        <v>103.35000000000001</v>
      </c>
      <c r="L2429" s="473">
        <f t="shared" si="1457"/>
        <v>7.9500000000000002</v>
      </c>
      <c r="M2429" s="474">
        <f t="shared" ref="M2429:M2432" si="1464">L2429*I2429</f>
        <v>103.35000000000001</v>
      </c>
      <c r="N2429" s="467" t="s">
        <v>21872</v>
      </c>
      <c r="O2429" s="434">
        <f t="shared" si="1454"/>
        <v>7.9500000000000002</v>
      </c>
      <c r="P2429" s="435">
        <f t="shared" si="1455"/>
        <v>7.9500000000000002</v>
      </c>
      <c r="AE2429" s="217"/>
      <c r="AF2429" s="217">
        <v>1303</v>
      </c>
      <c r="AH2429">
        <f t="shared" si="1444"/>
        <v>1303</v>
      </c>
    </row>
    <row r="2430" ht="75">
      <c r="A2430" s="217"/>
      <c r="B2430" s="217">
        <v>1303</v>
      </c>
      <c r="C2430" s="217"/>
      <c r="D2430" s="217" t="s">
        <v>17167</v>
      </c>
      <c r="E2430" s="471" t="s">
        <v>20402</v>
      </c>
      <c r="F2430" s="469">
        <v>87354</v>
      </c>
      <c r="G2430" s="470" t="s">
        <v>21873</v>
      </c>
      <c r="H2430" s="439" t="s">
        <v>15528</v>
      </c>
      <c r="I2430" s="483">
        <v>1.4999999999999999e-002</v>
      </c>
      <c r="J2430" s="473">
        <f t="shared" si="1451"/>
        <v>511.32999999999998</v>
      </c>
      <c r="K2430" s="474">
        <f t="shared" si="1463"/>
        <v>7.6699499999999992</v>
      </c>
      <c r="L2430" s="473">
        <f t="shared" si="1457"/>
        <v>506.36000000000001</v>
      </c>
      <c r="M2430" s="474">
        <f t="shared" si="1464"/>
        <v>7.5953999999999997</v>
      </c>
      <c r="O2430" s="434">
        <f t="shared" si="1454"/>
        <v>511.32999999999998</v>
      </c>
      <c r="P2430" s="435">
        <f t="shared" si="1455"/>
        <v>506.36000000000001</v>
      </c>
      <c r="AE2430" s="217"/>
      <c r="AF2430" s="217">
        <v>1303</v>
      </c>
      <c r="AH2430">
        <f t="shared" si="1444"/>
        <v>1303</v>
      </c>
    </row>
    <row r="2431" ht="30">
      <c r="A2431" s="217"/>
      <c r="B2431" s="217">
        <v>1303</v>
      </c>
      <c r="C2431" s="217"/>
      <c r="D2431" s="217" t="s">
        <v>17167</v>
      </c>
      <c r="E2431" s="471" t="s">
        <v>20405</v>
      </c>
      <c r="F2431" s="469">
        <v>88309</v>
      </c>
      <c r="G2431" s="470" t="s">
        <v>7385</v>
      </c>
      <c r="H2431" s="471" t="s">
        <v>2032</v>
      </c>
      <c r="I2431" s="483">
        <v>1</v>
      </c>
      <c r="J2431" s="473">
        <f t="shared" si="1451"/>
        <v>28.5</v>
      </c>
      <c r="K2431" s="474">
        <f t="shared" si="1463"/>
        <v>28.5</v>
      </c>
      <c r="L2431" s="473">
        <f t="shared" si="1457"/>
        <v>26.870000000000001</v>
      </c>
      <c r="M2431" s="474">
        <f t="shared" si="1464"/>
        <v>26.870000000000001</v>
      </c>
      <c r="O2431" s="434">
        <f t="shared" si="1454"/>
        <v>28.5</v>
      </c>
      <c r="P2431" s="435">
        <f t="shared" si="1455"/>
        <v>26.870000000000001</v>
      </c>
      <c r="AE2431" s="217"/>
      <c r="AF2431" s="217">
        <v>1303</v>
      </c>
      <c r="AH2431">
        <f t="shared" si="1444"/>
        <v>1303</v>
      </c>
    </row>
    <row r="2432" ht="30">
      <c r="A2432" s="217"/>
      <c r="B2432" s="217">
        <v>1303</v>
      </c>
      <c r="C2432" s="217"/>
      <c r="D2432" s="217" t="s">
        <v>17167</v>
      </c>
      <c r="E2432" s="471" t="s">
        <v>20409</v>
      </c>
      <c r="F2432" s="469">
        <v>88316</v>
      </c>
      <c r="G2432" s="470" t="s">
        <v>7393</v>
      </c>
      <c r="H2432" s="471" t="s">
        <v>2032</v>
      </c>
      <c r="I2432" s="483">
        <v>1</v>
      </c>
      <c r="J2432" s="473">
        <f t="shared" si="1451"/>
        <v>22.760000000000002</v>
      </c>
      <c r="K2432" s="474">
        <f t="shared" si="1463"/>
        <v>22.760000000000002</v>
      </c>
      <c r="L2432" s="473">
        <f t="shared" si="1457"/>
        <v>21.550000000000001</v>
      </c>
      <c r="M2432" s="474">
        <f t="shared" si="1464"/>
        <v>21.550000000000001</v>
      </c>
      <c r="O2432" s="434">
        <f t="shared" si="1454"/>
        <v>22.760000000000002</v>
      </c>
      <c r="P2432" s="435">
        <f t="shared" si="1455"/>
        <v>21.550000000000001</v>
      </c>
      <c r="AE2432" s="217"/>
      <c r="AF2432" s="217">
        <v>1303</v>
      </c>
      <c r="AH2432">
        <f t="shared" si="1444"/>
        <v>1303</v>
      </c>
    </row>
    <row r="2433" ht="63">
      <c r="A2433" s="460">
        <v>1304</v>
      </c>
      <c r="B2433" s="460">
        <v>1304</v>
      </c>
      <c r="C2433" s="460"/>
      <c r="D2433" s="460"/>
      <c r="E2433" s="461">
        <v>1</v>
      </c>
      <c r="F2433" s="462" t="s">
        <v>21874</v>
      </c>
      <c r="G2433" s="477" t="s">
        <v>21875</v>
      </c>
      <c r="H2433" s="579" t="s">
        <v>38</v>
      </c>
      <c r="I2433" s="479"/>
      <c r="J2433" s="480"/>
      <c r="K2433" s="466">
        <f>SUM(K2434:K2437)</f>
        <v>85.324479999999994</v>
      </c>
      <c r="L2433" s="480"/>
      <c r="M2433" s="466">
        <f>SUM(M2434:M2437)</f>
        <v>83.284840000000003</v>
      </c>
      <c r="N2433" s="467" t="s">
        <v>21316</v>
      </c>
      <c r="O2433" s="434" t="str">
        <f t="shared" si="1454"/>
        <v xml:space="preserve">SEM VALOR</v>
      </c>
      <c r="P2433" s="435" t="str">
        <f t="shared" si="1455"/>
        <v xml:space="preserve">SEM VALOR</v>
      </c>
      <c r="AE2433" s="460">
        <v>1304</v>
      </c>
      <c r="AF2433" s="460"/>
      <c r="AH2433">
        <f t="shared" si="1444"/>
        <v>1304</v>
      </c>
    </row>
    <row r="2434" ht="45">
      <c r="A2434" s="217"/>
      <c r="B2434" s="217">
        <v>1304</v>
      </c>
      <c r="C2434" s="217"/>
      <c r="D2434" s="217" t="s">
        <v>20398</v>
      </c>
      <c r="E2434" s="471" t="s">
        <v>20399</v>
      </c>
      <c r="F2434" s="482">
        <v>1259</v>
      </c>
      <c r="G2434" s="572" t="s">
        <v>20796</v>
      </c>
      <c r="H2434" s="499" t="s">
        <v>15528</v>
      </c>
      <c r="I2434" s="558">
        <v>0.12</v>
      </c>
      <c r="J2434" s="473">
        <f t="shared" si="1451"/>
        <v>45.520000000000003</v>
      </c>
      <c r="K2434" s="474">
        <f t="shared" ref="K2434:K2437" si="1465">I2434*J2434</f>
        <v>5.4624000000000006</v>
      </c>
      <c r="L2434" s="473">
        <f t="shared" si="1457"/>
        <v>43.100000000000001</v>
      </c>
      <c r="M2434" s="474">
        <f t="shared" ref="M2434:M2437" si="1466">L2434*I2434</f>
        <v>5.1719999999999997</v>
      </c>
      <c r="O2434" s="434">
        <f t="shared" si="1454"/>
        <v>45.520000000000003</v>
      </c>
      <c r="P2434" s="435">
        <f t="shared" si="1455"/>
        <v>43.100000000000001</v>
      </c>
      <c r="AE2434" s="217"/>
      <c r="AF2434" s="217">
        <v>1304</v>
      </c>
      <c r="AH2434">
        <f t="shared" si="1444"/>
        <v>1304</v>
      </c>
    </row>
    <row r="2435" ht="75">
      <c r="A2435" s="217"/>
      <c r="B2435" s="217">
        <v>1304</v>
      </c>
      <c r="C2435" s="217"/>
      <c r="D2435" s="217" t="s">
        <v>20398</v>
      </c>
      <c r="E2435" s="471" t="s">
        <v>20402</v>
      </c>
      <c r="F2435" s="482">
        <v>1267</v>
      </c>
      <c r="G2435" s="572" t="s">
        <v>20662</v>
      </c>
      <c r="H2435" s="499" t="s">
        <v>38</v>
      </c>
      <c r="I2435" s="558">
        <v>1</v>
      </c>
      <c r="J2435" s="473">
        <f t="shared" si="1451"/>
        <v>3.2499999999999996</v>
      </c>
      <c r="K2435" s="474">
        <f t="shared" si="1465"/>
        <v>3.2499999999999996</v>
      </c>
      <c r="L2435" s="473">
        <f t="shared" si="1457"/>
        <v>3.1657000000000002</v>
      </c>
      <c r="M2435" s="474">
        <f t="shared" si="1466"/>
        <v>3.1657000000000002</v>
      </c>
      <c r="O2435" s="434">
        <f t="shared" si="1454"/>
        <v>3.2499999999999996</v>
      </c>
      <c r="P2435" s="435">
        <f t="shared" si="1455"/>
        <v>3.1657000000000002</v>
      </c>
      <c r="AE2435" s="217"/>
      <c r="AF2435" s="217">
        <v>1304</v>
      </c>
      <c r="AH2435">
        <f t="shared" si="1444"/>
        <v>1304</v>
      </c>
    </row>
    <row r="2436" ht="45">
      <c r="A2436" s="217"/>
      <c r="B2436" s="217">
        <v>1304</v>
      </c>
      <c r="C2436" s="217"/>
      <c r="D2436" s="217" t="s">
        <v>20398</v>
      </c>
      <c r="E2436" s="471" t="s">
        <v>20405</v>
      </c>
      <c r="F2436" s="482">
        <v>1000</v>
      </c>
      <c r="G2436" s="470" t="s">
        <v>20651</v>
      </c>
      <c r="H2436" s="499" t="s">
        <v>15528</v>
      </c>
      <c r="I2436" s="558">
        <v>0.12</v>
      </c>
      <c r="J2436" s="473">
        <f t="shared" si="1451"/>
        <v>149.904</v>
      </c>
      <c r="K2436" s="474">
        <f t="shared" si="1465"/>
        <v>17.988479999999999</v>
      </c>
      <c r="L2436" s="473">
        <f t="shared" si="1457"/>
        <v>141.76949999999999</v>
      </c>
      <c r="M2436" s="474">
        <f t="shared" si="1466"/>
        <v>17.012339999999998</v>
      </c>
      <c r="O2436" s="434">
        <f t="shared" si="1454"/>
        <v>149.904</v>
      </c>
      <c r="P2436" s="435">
        <f t="shared" si="1455"/>
        <v>141.76949999999999</v>
      </c>
      <c r="AE2436" s="217"/>
      <c r="AF2436" s="217">
        <v>1304</v>
      </c>
      <c r="AH2436">
        <f t="shared" si="1444"/>
        <v>1304</v>
      </c>
    </row>
    <row r="2437" ht="60">
      <c r="A2437" s="217"/>
      <c r="B2437" s="217">
        <v>1304</v>
      </c>
      <c r="C2437" s="217"/>
      <c r="D2437" s="217" t="s">
        <v>17167</v>
      </c>
      <c r="E2437" s="471" t="s">
        <v>20409</v>
      </c>
      <c r="F2437" s="482">
        <v>94964</v>
      </c>
      <c r="G2437" s="470" t="s">
        <v>8711</v>
      </c>
      <c r="H2437" s="482" t="s">
        <v>15528</v>
      </c>
      <c r="I2437" s="559">
        <v>0.12</v>
      </c>
      <c r="J2437" s="473">
        <f t="shared" si="1451"/>
        <v>488.52999999999997</v>
      </c>
      <c r="K2437" s="474">
        <f t="shared" si="1465"/>
        <v>58.623599999999996</v>
      </c>
      <c r="L2437" s="473">
        <f t="shared" si="1457"/>
        <v>482.79000000000002</v>
      </c>
      <c r="M2437" s="474">
        <f t="shared" si="1466"/>
        <v>57.934800000000003</v>
      </c>
      <c r="O2437" s="434">
        <f t="shared" si="1454"/>
        <v>488.52999999999997</v>
      </c>
      <c r="P2437" s="435">
        <f t="shared" si="1455"/>
        <v>482.79000000000002</v>
      </c>
      <c r="AE2437" s="217"/>
      <c r="AF2437" s="217">
        <v>1304</v>
      </c>
      <c r="AH2437">
        <f t="shared" si="1444"/>
        <v>1304</v>
      </c>
    </row>
    <row r="2438" ht="31.5">
      <c r="A2438" s="460">
        <v>1305</v>
      </c>
      <c r="B2438" s="460">
        <v>1305</v>
      </c>
      <c r="C2438" s="460"/>
      <c r="D2438" s="460"/>
      <c r="E2438" s="461">
        <v>1</v>
      </c>
      <c r="F2438" s="462" t="s">
        <v>21876</v>
      </c>
      <c r="G2438" s="477" t="s">
        <v>21877</v>
      </c>
      <c r="H2438" s="579" t="s">
        <v>20647</v>
      </c>
      <c r="I2438" s="479"/>
      <c r="J2438" s="480"/>
      <c r="K2438" s="466">
        <f>SUM(K2439:K2440)</f>
        <v>60.082299999999996</v>
      </c>
      <c r="L2438" s="480"/>
      <c r="M2438" s="466">
        <f>SUM(M2439:M2440)</f>
        <v>59.201900000000002</v>
      </c>
      <c r="N2438" s="467" t="s">
        <v>21878</v>
      </c>
      <c r="O2438" s="434" t="str">
        <f t="shared" si="1454"/>
        <v xml:space="preserve">SEM VALOR</v>
      </c>
      <c r="P2438" s="435" t="str">
        <f t="shared" si="1455"/>
        <v xml:space="preserve">SEM VALOR</v>
      </c>
      <c r="AE2438" s="460">
        <v>1305</v>
      </c>
      <c r="AF2438" s="460"/>
      <c r="AH2438">
        <f t="shared" si="1444"/>
        <v>1305</v>
      </c>
    </row>
    <row r="2439" ht="60">
      <c r="A2439" s="217"/>
      <c r="B2439" s="217">
        <v>1305</v>
      </c>
      <c r="C2439" s="217"/>
      <c r="D2439" s="217" t="s">
        <v>17167</v>
      </c>
      <c r="E2439" s="471" t="s">
        <v>20399</v>
      </c>
      <c r="F2439" s="482">
        <v>94964</v>
      </c>
      <c r="G2439" s="572" t="s">
        <v>8711</v>
      </c>
      <c r="H2439" s="499" t="s">
        <v>15528</v>
      </c>
      <c r="I2439" s="558">
        <v>0.11</v>
      </c>
      <c r="J2439" s="473">
        <f t="shared" si="1451"/>
        <v>488.52999999999997</v>
      </c>
      <c r="K2439" s="474">
        <f t="shared" ref="K2439:K2440" si="1467">I2439*J2439</f>
        <v>53.738299999999995</v>
      </c>
      <c r="L2439" s="473">
        <f t="shared" si="1457"/>
        <v>482.79000000000002</v>
      </c>
      <c r="M2439" s="474">
        <f t="shared" ref="M2439:M2440" si="1468">L2439*I2439</f>
        <v>53.106900000000003</v>
      </c>
      <c r="O2439" s="434">
        <f t="shared" si="1454"/>
        <v>488.52999999999997</v>
      </c>
      <c r="P2439" s="435">
        <f t="shared" si="1455"/>
        <v>482.79000000000002</v>
      </c>
      <c r="AE2439" s="217"/>
      <c r="AF2439" s="217">
        <v>1305</v>
      </c>
      <c r="AH2439">
        <f t="shared" ref="AH2439:AH2502" si="1469">IF(AF2439:AF2440=FALSE,AE2439,AF2439)</f>
        <v>1305</v>
      </c>
    </row>
    <row r="2440" ht="60">
      <c r="A2440" s="217"/>
      <c r="B2440" s="217">
        <v>1305</v>
      </c>
      <c r="C2440" s="217"/>
      <c r="D2440" s="217" t="s">
        <v>17167</v>
      </c>
      <c r="E2440" s="471" t="s">
        <v>20402</v>
      </c>
      <c r="F2440" s="482">
        <v>96536</v>
      </c>
      <c r="G2440" s="572" t="s">
        <v>21415</v>
      </c>
      <c r="H2440" s="482" t="s">
        <v>15515</v>
      </c>
      <c r="I2440" s="558">
        <v>0.10000000000000001</v>
      </c>
      <c r="J2440" s="473">
        <f t="shared" si="1451"/>
        <v>63.439999999999998</v>
      </c>
      <c r="K2440" s="474">
        <f t="shared" si="1467"/>
        <v>6.3440000000000003</v>
      </c>
      <c r="L2440" s="473">
        <f t="shared" si="1457"/>
        <v>60.950000000000003</v>
      </c>
      <c r="M2440" s="474">
        <f t="shared" si="1468"/>
        <v>6.0950000000000006</v>
      </c>
      <c r="O2440" s="434">
        <f t="shared" si="1454"/>
        <v>63.439999999999998</v>
      </c>
      <c r="P2440" s="435">
        <f t="shared" si="1455"/>
        <v>60.950000000000003</v>
      </c>
      <c r="AE2440" s="217"/>
      <c r="AF2440" s="217">
        <v>1305</v>
      </c>
      <c r="AH2440">
        <f t="shared" si="1469"/>
        <v>1305</v>
      </c>
    </row>
    <row r="2441" ht="51.75" customHeight="1">
      <c r="A2441" s="460">
        <v>1306</v>
      </c>
      <c r="B2441" s="460">
        <v>1306</v>
      </c>
      <c r="C2441" s="460"/>
      <c r="D2441" s="460"/>
      <c r="E2441" s="461">
        <v>1</v>
      </c>
      <c r="F2441" s="462" t="s">
        <v>21879</v>
      </c>
      <c r="G2441" s="477" t="s">
        <v>21880</v>
      </c>
      <c r="H2441" s="579" t="s">
        <v>38</v>
      </c>
      <c r="I2441" s="479"/>
      <c r="J2441" s="480"/>
      <c r="K2441" s="466">
        <f>SUM(K2442:K2446)</f>
        <v>156.43185</v>
      </c>
      <c r="L2441" s="480"/>
      <c r="M2441" s="466">
        <f>SUM(M2442:M2446)</f>
        <v>151.85493000000002</v>
      </c>
      <c r="N2441" s="467" t="s">
        <v>21878</v>
      </c>
      <c r="O2441" s="434" t="str">
        <f t="shared" si="1454"/>
        <v xml:space="preserve">SEM VALOR</v>
      </c>
      <c r="P2441" s="435" t="str">
        <f t="shared" si="1455"/>
        <v xml:space="preserve">SEM VALOR</v>
      </c>
      <c r="AE2441" s="460">
        <v>1306</v>
      </c>
      <c r="AF2441" s="460"/>
      <c r="AH2441">
        <f t="shared" si="1469"/>
        <v>1306</v>
      </c>
    </row>
    <row r="2442" ht="30">
      <c r="A2442" s="217"/>
      <c r="B2442" s="217">
        <v>1306</v>
      </c>
      <c r="C2442" s="217"/>
      <c r="D2442" s="217" t="s">
        <v>17167</v>
      </c>
      <c r="E2442" s="471" t="s">
        <v>20399</v>
      </c>
      <c r="F2442" s="489">
        <v>88316</v>
      </c>
      <c r="G2442" s="470" t="s">
        <v>7393</v>
      </c>
      <c r="H2442" s="593" t="s">
        <v>2032</v>
      </c>
      <c r="I2442" s="483">
        <v>2.4e-002</v>
      </c>
      <c r="J2442" s="473">
        <f t="shared" si="1451"/>
        <v>22.760000000000002</v>
      </c>
      <c r="K2442" s="474">
        <f t="shared" ref="K2442:K2446" si="1470">I2442*J2442</f>
        <v>0.54624000000000006</v>
      </c>
      <c r="L2442" s="473">
        <f t="shared" si="1457"/>
        <v>21.550000000000001</v>
      </c>
      <c r="M2442" s="474">
        <f t="shared" ref="M2442:M2446" si="1471">L2442*I2442</f>
        <v>0.51719999999999999</v>
      </c>
      <c r="O2442" s="434">
        <f t="shared" si="1454"/>
        <v>22.760000000000002</v>
      </c>
      <c r="P2442" s="435">
        <f t="shared" si="1455"/>
        <v>21.550000000000001</v>
      </c>
      <c r="AE2442" s="217"/>
      <c r="AF2442" s="217">
        <v>1306</v>
      </c>
      <c r="AH2442">
        <f t="shared" si="1469"/>
        <v>1306</v>
      </c>
    </row>
    <row r="2443" ht="45">
      <c r="A2443" s="217"/>
      <c r="B2443" s="217">
        <v>1306</v>
      </c>
      <c r="C2443" s="217"/>
      <c r="D2443" s="217" t="s">
        <v>17167</v>
      </c>
      <c r="E2443" s="471" t="s">
        <v>20402</v>
      </c>
      <c r="F2443" s="489">
        <v>101616</v>
      </c>
      <c r="G2443" s="470" t="s">
        <v>21414</v>
      </c>
      <c r="H2443" s="593" t="s">
        <v>15528</v>
      </c>
      <c r="I2443" s="483">
        <v>0.14999999999999999</v>
      </c>
      <c r="J2443" s="473">
        <f t="shared" si="1451"/>
        <v>7.7800000000000002</v>
      </c>
      <c r="K2443" s="474">
        <f t="shared" si="1470"/>
        <v>1.167</v>
      </c>
      <c r="L2443" s="473">
        <f t="shared" si="1457"/>
        <v>7.3499999999999996</v>
      </c>
      <c r="M2443" s="474">
        <f t="shared" si="1471"/>
        <v>1.1024999999999998</v>
      </c>
      <c r="O2443" s="434">
        <f t="shared" si="1454"/>
        <v>7.7800000000000002</v>
      </c>
      <c r="P2443" s="435">
        <f t="shared" si="1455"/>
        <v>7.3499999999999996</v>
      </c>
      <c r="AE2443" s="217"/>
      <c r="AF2443" s="217">
        <v>1306</v>
      </c>
      <c r="AH2443">
        <f t="shared" si="1469"/>
        <v>1306</v>
      </c>
    </row>
    <row r="2444" ht="60">
      <c r="A2444" s="217"/>
      <c r="B2444" s="217">
        <v>1306</v>
      </c>
      <c r="C2444" s="217"/>
      <c r="D2444" s="217" t="s">
        <v>17167</v>
      </c>
      <c r="E2444" s="471" t="s">
        <v>20405</v>
      </c>
      <c r="F2444" s="489">
        <v>94964</v>
      </c>
      <c r="G2444" s="470" t="s">
        <v>8711</v>
      </c>
      <c r="H2444" s="593" t="s">
        <v>15528</v>
      </c>
      <c r="I2444" s="483">
        <v>0.13700000000000001</v>
      </c>
      <c r="J2444" s="473">
        <f t="shared" si="1451"/>
        <v>488.52999999999997</v>
      </c>
      <c r="K2444" s="474">
        <f t="shared" si="1470"/>
        <v>66.928610000000006</v>
      </c>
      <c r="L2444" s="473">
        <f t="shared" si="1457"/>
        <v>482.79000000000002</v>
      </c>
      <c r="M2444" s="474">
        <f t="shared" si="1471"/>
        <v>66.142230000000012</v>
      </c>
      <c r="O2444" s="434">
        <f t="shared" si="1454"/>
        <v>488.52999999999997</v>
      </c>
      <c r="P2444" s="435">
        <f t="shared" si="1455"/>
        <v>482.79000000000002</v>
      </c>
      <c r="AE2444" s="217"/>
      <c r="AF2444" s="217">
        <v>1306</v>
      </c>
      <c r="AH2444">
        <f t="shared" si="1469"/>
        <v>1306</v>
      </c>
    </row>
    <row r="2445" ht="45">
      <c r="A2445" s="217"/>
      <c r="B2445" s="217">
        <v>1306</v>
      </c>
      <c r="C2445" s="217"/>
      <c r="D2445" s="217" t="s">
        <v>17167</v>
      </c>
      <c r="E2445" s="471" t="s">
        <v>20409</v>
      </c>
      <c r="F2445" s="489">
        <v>93358</v>
      </c>
      <c r="G2445" s="470" t="s">
        <v>20661</v>
      </c>
      <c r="H2445" s="593" t="s">
        <v>15528</v>
      </c>
      <c r="I2445" s="483">
        <v>0.20000000000000001</v>
      </c>
      <c r="J2445" s="473">
        <f t="shared" si="1451"/>
        <v>90.030000000000001</v>
      </c>
      <c r="K2445" s="474">
        <f t="shared" si="1470"/>
        <v>18.006</v>
      </c>
      <c r="L2445" s="473">
        <f t="shared" si="1457"/>
        <v>85.239999999999995</v>
      </c>
      <c r="M2445" s="474">
        <f t="shared" si="1471"/>
        <v>17.047999999999998</v>
      </c>
      <c r="O2445" s="434">
        <f t="shared" si="1454"/>
        <v>90.030000000000001</v>
      </c>
      <c r="P2445" s="435">
        <f t="shared" si="1455"/>
        <v>85.239999999999995</v>
      </c>
      <c r="AE2445" s="217"/>
      <c r="AF2445" s="217">
        <v>1306</v>
      </c>
      <c r="AH2445">
        <f t="shared" si="1469"/>
        <v>1306</v>
      </c>
    </row>
    <row r="2446" ht="60">
      <c r="A2446" s="217"/>
      <c r="B2446" s="217">
        <v>1306</v>
      </c>
      <c r="C2446" s="217"/>
      <c r="D2446" s="217" t="s">
        <v>17167</v>
      </c>
      <c r="E2446" s="471" t="s">
        <v>20663</v>
      </c>
      <c r="F2446" s="489">
        <v>96536</v>
      </c>
      <c r="G2446" s="470" t="s">
        <v>21415</v>
      </c>
      <c r="H2446" s="483" t="s">
        <v>15515</v>
      </c>
      <c r="I2446" s="483">
        <v>1.1000000000000001</v>
      </c>
      <c r="J2446" s="473">
        <f t="shared" si="1451"/>
        <v>63.439999999999998</v>
      </c>
      <c r="K2446" s="474">
        <f t="shared" si="1470"/>
        <v>69.784000000000006</v>
      </c>
      <c r="L2446" s="473">
        <f t="shared" si="1457"/>
        <v>60.950000000000003</v>
      </c>
      <c r="M2446" s="474">
        <f t="shared" si="1471"/>
        <v>67.045000000000002</v>
      </c>
      <c r="O2446" s="434">
        <f t="shared" si="1454"/>
        <v>63.439999999999998</v>
      </c>
      <c r="P2446" s="435">
        <f t="shared" si="1455"/>
        <v>60.950000000000003</v>
      </c>
      <c r="AE2446" s="217"/>
      <c r="AF2446" s="217">
        <v>1306</v>
      </c>
      <c r="AH2446">
        <f t="shared" si="1469"/>
        <v>1306</v>
      </c>
    </row>
    <row r="2447" ht="97.5" customHeight="1">
      <c r="A2447" s="460">
        <v>1307</v>
      </c>
      <c r="B2447" s="460">
        <v>1307</v>
      </c>
      <c r="C2447" s="460"/>
      <c r="D2447" s="460"/>
      <c r="E2447" s="461">
        <v>1</v>
      </c>
      <c r="F2447" s="462" t="s">
        <v>21881</v>
      </c>
      <c r="G2447" s="477" t="s">
        <v>21882</v>
      </c>
      <c r="H2447" s="579" t="s">
        <v>31</v>
      </c>
      <c r="I2447" s="479"/>
      <c r="J2447" s="480"/>
      <c r="K2447" s="466">
        <f>SUM(K2448:K2478)</f>
        <v>45226.356656399992</v>
      </c>
      <c r="L2447" s="480"/>
      <c r="M2447" s="466">
        <f>SUM(M2448:M2478)</f>
        <v>44125.837785200005</v>
      </c>
      <c r="O2447" s="434" t="str">
        <f t="shared" si="1454"/>
        <v xml:space="preserve">SEM VALOR</v>
      </c>
      <c r="P2447" s="435" t="str">
        <f t="shared" si="1455"/>
        <v xml:space="preserve">SEM VALOR</v>
      </c>
      <c r="R2447" s="510" t="s">
        <v>21883</v>
      </c>
      <c r="S2447" s="510"/>
      <c r="T2447" s="510"/>
      <c r="Z2447" s="594" t="s">
        <v>21884</v>
      </c>
      <c r="AA2447" s="594"/>
      <c r="AB2447" s="594"/>
      <c r="AC2447" s="594"/>
      <c r="AE2447" s="460">
        <v>1307</v>
      </c>
      <c r="AF2447" s="460"/>
      <c r="AG2447" s="510"/>
      <c r="AH2447" s="510">
        <f t="shared" si="1469"/>
        <v>1307</v>
      </c>
      <c r="AI2447" s="510"/>
    </row>
    <row r="2448">
      <c r="A2448" s="217"/>
      <c r="B2448" s="217">
        <v>1307</v>
      </c>
      <c r="C2448" s="217"/>
      <c r="D2448" s="217"/>
      <c r="E2448" s="595" t="s">
        <v>20399</v>
      </c>
      <c r="F2448" s="596" t="s">
        <v>21885</v>
      </c>
      <c r="G2448" s="597"/>
      <c r="H2448" s="593"/>
      <c r="I2448" s="483"/>
      <c r="J2448" s="473"/>
      <c r="K2448" s="474"/>
      <c r="L2448" s="473"/>
      <c r="M2448" s="474"/>
      <c r="AE2448" s="217"/>
      <c r="AF2448" s="217"/>
      <c r="AH2448">
        <f t="shared" si="1469"/>
        <v>0</v>
      </c>
    </row>
    <row r="2449">
      <c r="A2449" s="217"/>
      <c r="B2449" s="217">
        <v>1307</v>
      </c>
      <c r="C2449" s="217"/>
      <c r="D2449" s="217"/>
      <c r="E2449" s="595" t="s">
        <v>20399</v>
      </c>
      <c r="F2449" s="596" t="s">
        <v>21886</v>
      </c>
      <c r="G2449" s="597"/>
      <c r="H2449" s="593"/>
      <c r="I2449" s="483"/>
      <c r="J2449" s="473"/>
      <c r="K2449" s="474"/>
      <c r="L2449" s="473"/>
      <c r="M2449" s="474"/>
      <c r="AE2449" s="217"/>
      <c r="AF2449" s="217"/>
      <c r="AH2449">
        <f t="shared" si="1469"/>
        <v>0</v>
      </c>
    </row>
    <row r="2450" ht="60">
      <c r="A2450" s="217"/>
      <c r="B2450" s="217">
        <v>1307</v>
      </c>
      <c r="C2450" s="217"/>
      <c r="D2450" s="217" t="s">
        <v>17167</v>
      </c>
      <c r="E2450" s="471" t="s">
        <v>21887</v>
      </c>
      <c r="F2450" s="489">
        <v>96535</v>
      </c>
      <c r="G2450" s="470" t="s">
        <v>21888</v>
      </c>
      <c r="H2450" s="471" t="s">
        <v>15515</v>
      </c>
      <c r="I2450" s="483">
        <v>3.2400000000000002</v>
      </c>
      <c r="J2450" s="473">
        <f t="shared" si="1451"/>
        <v>126.90000000000001</v>
      </c>
      <c r="K2450" s="474">
        <f t="shared" ref="K2450:K2478" si="1472">I2450*J2450</f>
        <v>411.15600000000006</v>
      </c>
      <c r="L2450" s="473">
        <f t="shared" si="1457"/>
        <v>121.01000000000001</v>
      </c>
      <c r="M2450" s="474">
        <f t="shared" ref="M2450:M2478" si="1473">L2450*I2450</f>
        <v>392.07240000000002</v>
      </c>
      <c r="O2450" s="434">
        <f t="shared" si="1454"/>
        <v>126.90000000000001</v>
      </c>
      <c r="P2450" s="435">
        <f t="shared" si="1455"/>
        <v>121.01000000000001</v>
      </c>
      <c r="AE2450" s="217"/>
      <c r="AF2450" s="217">
        <v>1307</v>
      </c>
      <c r="AH2450">
        <f t="shared" si="1469"/>
        <v>1307</v>
      </c>
    </row>
    <row r="2451" ht="60">
      <c r="A2451" s="217"/>
      <c r="B2451" s="217">
        <v>1307</v>
      </c>
      <c r="C2451" s="217"/>
      <c r="D2451" s="217" t="s">
        <v>17167</v>
      </c>
      <c r="E2451" s="471" t="s">
        <v>21889</v>
      </c>
      <c r="F2451" s="489">
        <v>96536</v>
      </c>
      <c r="G2451" s="470" t="s">
        <v>21415</v>
      </c>
      <c r="H2451" s="471" t="s">
        <v>15515</v>
      </c>
      <c r="I2451" s="483">
        <v>20.16</v>
      </c>
      <c r="J2451" s="473">
        <f t="shared" si="1451"/>
        <v>63.439999999999998</v>
      </c>
      <c r="K2451" s="474">
        <f t="shared" si="1472"/>
        <v>1278.9503999999999</v>
      </c>
      <c r="L2451" s="473">
        <f t="shared" si="1457"/>
        <v>60.950000000000003</v>
      </c>
      <c r="M2451" s="474">
        <f t="shared" si="1473"/>
        <v>1228.752</v>
      </c>
      <c r="O2451" s="434">
        <f t="shared" si="1454"/>
        <v>63.439999999999998</v>
      </c>
      <c r="P2451" s="435">
        <f t="shared" si="1455"/>
        <v>60.950000000000003</v>
      </c>
      <c r="AE2451" s="217"/>
      <c r="AF2451" s="217">
        <v>1307</v>
      </c>
      <c r="AH2451">
        <f t="shared" si="1469"/>
        <v>1307</v>
      </c>
    </row>
    <row r="2452">
      <c r="A2452" s="217"/>
      <c r="B2452" s="217">
        <v>1307</v>
      </c>
      <c r="C2452" s="217"/>
      <c r="D2452" s="217"/>
      <c r="E2452" s="595" t="s">
        <v>20402</v>
      </c>
      <c r="F2452" s="596" t="s">
        <v>21890</v>
      </c>
      <c r="G2452" s="597"/>
      <c r="H2452" s="471"/>
      <c r="I2452" s="483"/>
      <c r="J2452" s="473"/>
      <c r="K2452" s="474"/>
      <c r="L2452" s="473"/>
      <c r="M2452" s="474"/>
      <c r="AE2452" s="217"/>
      <c r="AF2452" s="217">
        <v>1307</v>
      </c>
      <c r="AH2452">
        <f t="shared" si="1469"/>
        <v>1307</v>
      </c>
    </row>
    <row r="2453" ht="90">
      <c r="A2453" s="217"/>
      <c r="B2453" s="217">
        <v>1307</v>
      </c>
      <c r="C2453" s="217"/>
      <c r="D2453" s="217" t="s">
        <v>17167</v>
      </c>
      <c r="E2453" s="471" t="s">
        <v>21891</v>
      </c>
      <c r="F2453" s="489">
        <v>92419</v>
      </c>
      <c r="G2453" s="470" t="s">
        <v>4308</v>
      </c>
      <c r="H2453" s="471" t="s">
        <v>15515</v>
      </c>
      <c r="I2453" s="483">
        <v>12.68</v>
      </c>
      <c r="J2453" s="473">
        <f t="shared" si="1451"/>
        <v>96.239999999999995</v>
      </c>
      <c r="K2453" s="474">
        <f t="shared" si="1472"/>
        <v>1220.3231999999998</v>
      </c>
      <c r="L2453" s="473">
        <f t="shared" si="1457"/>
        <v>93.900000000000006</v>
      </c>
      <c r="M2453" s="474">
        <f t="shared" si="1473"/>
        <v>1190.652</v>
      </c>
      <c r="O2453" s="434">
        <f t="shared" si="1454"/>
        <v>96.239999999999995</v>
      </c>
      <c r="P2453" s="435">
        <f t="shared" si="1455"/>
        <v>93.900000000000006</v>
      </c>
      <c r="AE2453" s="217"/>
      <c r="AF2453" s="217">
        <v>1307</v>
      </c>
      <c r="AH2453">
        <f t="shared" si="1469"/>
        <v>1307</v>
      </c>
    </row>
    <row r="2454" ht="45">
      <c r="A2454" s="217"/>
      <c r="B2454" s="217">
        <v>1307</v>
      </c>
      <c r="C2454" s="217"/>
      <c r="D2454" s="217" t="s">
        <v>17167</v>
      </c>
      <c r="E2454" s="471" t="s">
        <v>21892</v>
      </c>
      <c r="F2454" s="489">
        <v>92265</v>
      </c>
      <c r="G2454" s="470" t="s">
        <v>4261</v>
      </c>
      <c r="H2454" s="471" t="s">
        <v>15515</v>
      </c>
      <c r="I2454" s="483">
        <v>36.479999999999997</v>
      </c>
      <c r="J2454" s="473">
        <f t="shared" si="1451"/>
        <v>113.42</v>
      </c>
      <c r="K2454" s="474">
        <f t="shared" si="1472"/>
        <v>4137.5616</v>
      </c>
      <c r="L2454" s="473">
        <f t="shared" si="1457"/>
        <v>111.15000000000001</v>
      </c>
      <c r="M2454" s="474">
        <f t="shared" si="1473"/>
        <v>4054.752</v>
      </c>
      <c r="O2454" s="434">
        <f t="shared" si="1454"/>
        <v>113.42</v>
      </c>
      <c r="P2454" s="435">
        <f t="shared" si="1455"/>
        <v>111.15000000000001</v>
      </c>
      <c r="AE2454" s="217"/>
      <c r="AF2454" s="217">
        <v>1307</v>
      </c>
      <c r="AH2454">
        <f t="shared" si="1469"/>
        <v>1307</v>
      </c>
    </row>
    <row r="2455" ht="75">
      <c r="A2455" s="217"/>
      <c r="B2455" s="217">
        <v>1307</v>
      </c>
      <c r="C2455" s="217"/>
      <c r="D2455" s="217" t="s">
        <v>17167</v>
      </c>
      <c r="E2455" s="471" t="s">
        <v>21893</v>
      </c>
      <c r="F2455" s="489">
        <v>92514</v>
      </c>
      <c r="G2455" s="470" t="s">
        <v>4279</v>
      </c>
      <c r="H2455" s="471" t="s">
        <v>15515</v>
      </c>
      <c r="I2455" s="483">
        <v>15.640000000000001</v>
      </c>
      <c r="J2455" s="473">
        <f t="shared" si="1451"/>
        <v>56.579999999999998</v>
      </c>
      <c r="K2455" s="474">
        <f t="shared" si="1472"/>
        <v>884.91120000000001</v>
      </c>
      <c r="L2455" s="473">
        <f t="shared" si="1457"/>
        <v>55.380000000000003</v>
      </c>
      <c r="M2455" s="474">
        <f t="shared" si="1473"/>
        <v>866.14320000000009</v>
      </c>
      <c r="O2455" s="434">
        <f t="shared" si="1454"/>
        <v>56.579999999999998</v>
      </c>
      <c r="P2455" s="435">
        <f t="shared" si="1455"/>
        <v>55.380000000000003</v>
      </c>
      <c r="AE2455" s="217"/>
      <c r="AF2455" s="217">
        <v>1307</v>
      </c>
      <c r="AH2455">
        <f t="shared" si="1469"/>
        <v>1307</v>
      </c>
    </row>
    <row r="2456">
      <c r="A2456" s="217"/>
      <c r="B2456" s="217">
        <v>1307</v>
      </c>
      <c r="C2456" s="217"/>
      <c r="D2456" s="217"/>
      <c r="E2456" s="595" t="s">
        <v>20412</v>
      </c>
      <c r="F2456" s="596" t="s">
        <v>21894</v>
      </c>
      <c r="G2456" s="597"/>
      <c r="H2456" s="471"/>
      <c r="I2456" s="483"/>
      <c r="J2456" s="473"/>
      <c r="K2456" s="474"/>
      <c r="L2456" s="473"/>
      <c r="M2456" s="474"/>
      <c r="AE2456" s="217"/>
      <c r="AF2456" s="217"/>
      <c r="AH2456">
        <f t="shared" si="1469"/>
        <v>0</v>
      </c>
    </row>
    <row r="2457">
      <c r="A2457" s="217"/>
      <c r="B2457" s="217">
        <v>1307</v>
      </c>
      <c r="C2457" s="217"/>
      <c r="D2457" s="217"/>
      <c r="E2457" s="595" t="s">
        <v>20414</v>
      </c>
      <c r="F2457" s="596" t="s">
        <v>21886</v>
      </c>
      <c r="G2457" s="597"/>
      <c r="H2457" s="471"/>
      <c r="I2457" s="483"/>
      <c r="J2457" s="473"/>
      <c r="K2457" s="474"/>
      <c r="L2457" s="473"/>
      <c r="M2457" s="474"/>
      <c r="AE2457" s="217"/>
      <c r="AF2457" s="217"/>
      <c r="AH2457">
        <f t="shared" si="1469"/>
        <v>0</v>
      </c>
    </row>
    <row r="2458" ht="75">
      <c r="A2458" s="217"/>
      <c r="B2458" s="217">
        <v>1307</v>
      </c>
      <c r="C2458" s="217"/>
      <c r="D2458" s="217" t="s">
        <v>17167</v>
      </c>
      <c r="E2458" s="471" t="s">
        <v>21895</v>
      </c>
      <c r="F2458" s="489">
        <v>94971</v>
      </c>
      <c r="G2458" s="470" t="s">
        <v>8716</v>
      </c>
      <c r="H2458" s="471" t="s">
        <v>15528</v>
      </c>
      <c r="I2458" s="483">
        <f>6.77+1.01</f>
        <v>7.7800000000000002</v>
      </c>
      <c r="J2458" s="473">
        <f t="shared" si="1451"/>
        <v>502.49000000000001</v>
      </c>
      <c r="K2458" s="474">
        <f t="shared" si="1472"/>
        <v>3909.3722000000002</v>
      </c>
      <c r="L2458" s="473">
        <f t="shared" si="1457"/>
        <v>498.00999999999999</v>
      </c>
      <c r="M2458" s="474">
        <f t="shared" si="1473"/>
        <v>3874.5178000000001</v>
      </c>
      <c r="O2458" s="434">
        <f t="shared" si="1454"/>
        <v>502.49000000000001</v>
      </c>
      <c r="P2458" s="435">
        <f t="shared" si="1455"/>
        <v>498.00999999999999</v>
      </c>
      <c r="AE2458" s="217"/>
      <c r="AF2458" s="217">
        <v>1307</v>
      </c>
      <c r="AH2458">
        <f t="shared" si="1469"/>
        <v>1307</v>
      </c>
    </row>
    <row r="2459" ht="45">
      <c r="A2459" s="217"/>
      <c r="B2459" s="217">
        <v>1307</v>
      </c>
      <c r="C2459" s="217"/>
      <c r="D2459" s="217" t="s">
        <v>20398</v>
      </c>
      <c r="E2459" s="471" t="s">
        <v>21896</v>
      </c>
      <c r="F2459" s="489">
        <v>1000</v>
      </c>
      <c r="G2459" s="470" t="s">
        <v>20651</v>
      </c>
      <c r="H2459" s="471" t="s">
        <v>15528</v>
      </c>
      <c r="I2459" s="483">
        <f>I2458</f>
        <v>7.7800000000000002</v>
      </c>
      <c r="J2459" s="473">
        <f t="shared" si="1451"/>
        <v>149.904</v>
      </c>
      <c r="K2459" s="474">
        <f t="shared" si="1472"/>
        <v>1166.2531200000001</v>
      </c>
      <c r="L2459" s="473">
        <f t="shared" si="1457"/>
        <v>141.76949999999999</v>
      </c>
      <c r="M2459" s="474">
        <f t="shared" si="1473"/>
        <v>1102.9667099999999</v>
      </c>
      <c r="O2459" s="434">
        <f t="shared" si="1454"/>
        <v>149.904</v>
      </c>
      <c r="P2459" s="435">
        <f t="shared" si="1455"/>
        <v>141.76949999999999</v>
      </c>
      <c r="AE2459" s="217"/>
      <c r="AF2459" s="217">
        <v>1307</v>
      </c>
      <c r="AH2459">
        <f t="shared" si="1469"/>
        <v>1307</v>
      </c>
    </row>
    <row r="2460">
      <c r="A2460" s="217"/>
      <c r="B2460" s="217">
        <v>1307</v>
      </c>
      <c r="C2460" s="217"/>
      <c r="D2460" s="217"/>
      <c r="E2460" s="595" t="s">
        <v>20416</v>
      </c>
      <c r="F2460" s="596" t="s">
        <v>21890</v>
      </c>
      <c r="G2460" s="597"/>
      <c r="H2460" s="471"/>
      <c r="I2460" s="483"/>
      <c r="J2460" s="473"/>
      <c r="K2460" s="474"/>
      <c r="L2460" s="473"/>
      <c r="M2460" s="474"/>
      <c r="AE2460" s="217"/>
      <c r="AF2460" s="217"/>
      <c r="AH2460">
        <f t="shared" si="1469"/>
        <v>0</v>
      </c>
    </row>
    <row r="2461" ht="75">
      <c r="A2461" s="217"/>
      <c r="B2461" s="217">
        <v>1307</v>
      </c>
      <c r="C2461" s="217"/>
      <c r="D2461" s="217" t="s">
        <v>17167</v>
      </c>
      <c r="E2461" s="471" t="s">
        <v>21897</v>
      </c>
      <c r="F2461" s="489">
        <v>94971</v>
      </c>
      <c r="G2461" s="470" t="s">
        <v>8716</v>
      </c>
      <c r="H2461" s="471" t="s">
        <v>15528</v>
      </c>
      <c r="I2461" s="483">
        <f>1.27+1.11+2.35</f>
        <v>4.7300000000000004</v>
      </c>
      <c r="J2461" s="473">
        <f t="shared" si="1451"/>
        <v>502.49000000000001</v>
      </c>
      <c r="K2461" s="474">
        <f t="shared" si="1472"/>
        <v>2376.7777000000001</v>
      </c>
      <c r="L2461" s="473">
        <f t="shared" si="1457"/>
        <v>498.00999999999999</v>
      </c>
      <c r="M2461" s="474">
        <f t="shared" si="1473"/>
        <v>2355.5873000000001</v>
      </c>
      <c r="O2461" s="434">
        <f t="shared" si="1454"/>
        <v>502.49000000000001</v>
      </c>
      <c r="P2461" s="435">
        <f t="shared" si="1455"/>
        <v>498.00999999999999</v>
      </c>
      <c r="AE2461" s="217"/>
      <c r="AF2461" s="217">
        <v>1307</v>
      </c>
      <c r="AH2461">
        <f t="shared" si="1469"/>
        <v>1307</v>
      </c>
    </row>
    <row r="2462" ht="60">
      <c r="A2462" s="217"/>
      <c r="B2462" s="217">
        <v>1307</v>
      </c>
      <c r="C2462" s="217"/>
      <c r="D2462" s="217" t="s">
        <v>17167</v>
      </c>
      <c r="E2462" s="471" t="s">
        <v>21898</v>
      </c>
      <c r="F2462" s="489">
        <v>103670</v>
      </c>
      <c r="G2462" s="470" t="s">
        <v>1387</v>
      </c>
      <c r="H2462" s="471" t="s">
        <v>15528</v>
      </c>
      <c r="I2462" s="483">
        <f>I2461</f>
        <v>4.7300000000000004</v>
      </c>
      <c r="J2462" s="473">
        <f t="shared" ref="J2462:J2525" si="1474">O2462*$J$3</f>
        <v>308.60000000000002</v>
      </c>
      <c r="K2462" s="474">
        <f t="shared" si="1472"/>
        <v>1459.6780000000003</v>
      </c>
      <c r="L2462" s="473">
        <f t="shared" si="1457"/>
        <v>291.69999999999999</v>
      </c>
      <c r="M2462" s="474">
        <f t="shared" si="1473"/>
        <v>1379.741</v>
      </c>
      <c r="O2462" s="434">
        <f t="shared" si="1454"/>
        <v>308.60000000000002</v>
      </c>
      <c r="P2462" s="435">
        <f t="shared" si="1455"/>
        <v>291.69999999999999</v>
      </c>
      <c r="AE2462" s="217"/>
      <c r="AF2462" s="217">
        <v>1307</v>
      </c>
      <c r="AH2462">
        <f t="shared" si="1469"/>
        <v>1307</v>
      </c>
    </row>
    <row r="2463">
      <c r="A2463" s="217"/>
      <c r="B2463" s="217">
        <v>1307</v>
      </c>
      <c r="C2463" s="217"/>
      <c r="D2463" s="217"/>
      <c r="E2463" s="595" t="s">
        <v>20429</v>
      </c>
      <c r="F2463" s="598" t="s">
        <v>21899</v>
      </c>
      <c r="G2463" s="599"/>
      <c r="H2463" s="471"/>
      <c r="I2463" s="483"/>
      <c r="J2463" s="473"/>
      <c r="K2463" s="474"/>
      <c r="L2463" s="473"/>
      <c r="M2463" s="474"/>
      <c r="AE2463" s="217"/>
      <c r="AF2463" s="217"/>
      <c r="AH2463">
        <f t="shared" si="1469"/>
        <v>0</v>
      </c>
    </row>
    <row r="2464">
      <c r="A2464" s="217"/>
      <c r="B2464" s="217">
        <v>1307</v>
      </c>
      <c r="C2464" s="217"/>
      <c r="D2464" s="217"/>
      <c r="E2464" s="595" t="s">
        <v>20432</v>
      </c>
      <c r="F2464" s="596" t="s">
        <v>21886</v>
      </c>
      <c r="G2464" s="597"/>
      <c r="H2464" s="471"/>
      <c r="I2464" s="483"/>
      <c r="J2464" s="473"/>
      <c r="K2464" s="474"/>
      <c r="L2464" s="473"/>
      <c r="M2464" s="474"/>
      <c r="AE2464" s="217"/>
      <c r="AF2464" s="217"/>
      <c r="AH2464">
        <f t="shared" si="1469"/>
        <v>0</v>
      </c>
    </row>
    <row r="2465" ht="45">
      <c r="A2465" s="217"/>
      <c r="B2465" s="217">
        <v>1307</v>
      </c>
      <c r="C2465" s="217"/>
      <c r="D2465" s="217" t="s">
        <v>17167</v>
      </c>
      <c r="E2465" s="471" t="s">
        <v>21900</v>
      </c>
      <c r="F2465" s="489">
        <v>96543</v>
      </c>
      <c r="G2465" s="470" t="s">
        <v>20676</v>
      </c>
      <c r="H2465" s="471" t="s">
        <v>302</v>
      </c>
      <c r="I2465" s="483">
        <f>69.09+57.27+15.45</f>
        <v>141.81</v>
      </c>
      <c r="J2465" s="473">
        <f t="shared" si="1474"/>
        <v>19.829999999999998</v>
      </c>
      <c r="K2465" s="474">
        <f t="shared" si="1472"/>
        <v>2812.0922999999998</v>
      </c>
      <c r="L2465" s="473">
        <f t="shared" si="1457"/>
        <v>19.210000000000001</v>
      </c>
      <c r="M2465" s="474">
        <f t="shared" si="1473"/>
        <v>2724.1701000000003</v>
      </c>
      <c r="O2465" s="434">
        <f t="shared" si="1454"/>
        <v>19.829999999999998</v>
      </c>
      <c r="P2465" s="435">
        <f t="shared" si="1455"/>
        <v>19.210000000000001</v>
      </c>
      <c r="AE2465" s="217"/>
      <c r="AF2465" s="217">
        <v>1307</v>
      </c>
      <c r="AH2465">
        <f t="shared" si="1469"/>
        <v>1307</v>
      </c>
    </row>
    <row r="2466" ht="45">
      <c r="A2466" s="217"/>
      <c r="B2466" s="217">
        <v>1307</v>
      </c>
      <c r="C2466" s="217"/>
      <c r="D2466" s="217" t="s">
        <v>17167</v>
      </c>
      <c r="E2466" s="471" t="s">
        <v>21901</v>
      </c>
      <c r="F2466" s="489">
        <v>96544</v>
      </c>
      <c r="G2466" s="470" t="s">
        <v>21856</v>
      </c>
      <c r="H2466" s="471" t="s">
        <v>302</v>
      </c>
      <c r="I2466" s="483">
        <v>83.640000000000001</v>
      </c>
      <c r="J2466" s="473">
        <f t="shared" si="1474"/>
        <v>17.699999999999999</v>
      </c>
      <c r="K2466" s="474">
        <f t="shared" si="1472"/>
        <v>1480.4279999999999</v>
      </c>
      <c r="L2466" s="473">
        <f t="shared" si="1457"/>
        <v>17.23</v>
      </c>
      <c r="M2466" s="474">
        <f t="shared" si="1473"/>
        <v>1441.1172000000001</v>
      </c>
      <c r="O2466" s="434">
        <f t="shared" si="1454"/>
        <v>17.699999999999999</v>
      </c>
      <c r="P2466" s="435">
        <f t="shared" si="1455"/>
        <v>17.23</v>
      </c>
      <c r="AE2466" s="217"/>
      <c r="AF2466" s="217">
        <v>1307</v>
      </c>
      <c r="AH2466">
        <f t="shared" si="1469"/>
        <v>1307</v>
      </c>
    </row>
    <row r="2467" ht="45">
      <c r="A2467" s="217"/>
      <c r="B2467" s="217">
        <v>1307</v>
      </c>
      <c r="C2467" s="217"/>
      <c r="D2467" s="217" t="s">
        <v>17167</v>
      </c>
      <c r="E2467" s="471" t="s">
        <v>21902</v>
      </c>
      <c r="F2467" s="489">
        <v>96546</v>
      </c>
      <c r="G2467" s="470" t="s">
        <v>21133</v>
      </c>
      <c r="H2467" s="471" t="s">
        <v>302</v>
      </c>
      <c r="I2467" s="483">
        <v>46.359999999999999</v>
      </c>
      <c r="J2467" s="473">
        <f t="shared" si="1474"/>
        <v>13.77</v>
      </c>
      <c r="K2467" s="474">
        <f t="shared" si="1472"/>
        <v>638.37720000000002</v>
      </c>
      <c r="L2467" s="473">
        <f t="shared" si="1457"/>
        <v>13.51</v>
      </c>
      <c r="M2467" s="474">
        <f t="shared" si="1473"/>
        <v>626.32359999999994</v>
      </c>
      <c r="O2467" s="434">
        <f t="shared" si="1454"/>
        <v>13.77</v>
      </c>
      <c r="P2467" s="435">
        <f t="shared" si="1455"/>
        <v>13.51</v>
      </c>
      <c r="AE2467" s="217"/>
      <c r="AF2467" s="217">
        <v>1307</v>
      </c>
      <c r="AH2467">
        <f t="shared" si="1469"/>
        <v>1307</v>
      </c>
    </row>
    <row r="2468">
      <c r="A2468" s="217"/>
      <c r="B2468" s="217">
        <v>1307</v>
      </c>
      <c r="C2468" s="217"/>
      <c r="D2468" s="217"/>
      <c r="E2468" s="595" t="s">
        <v>20435</v>
      </c>
      <c r="F2468" s="598" t="s">
        <v>21890</v>
      </c>
      <c r="G2468" s="599"/>
      <c r="H2468" s="471"/>
      <c r="I2468" s="483"/>
      <c r="J2468" s="473"/>
      <c r="K2468" s="474"/>
      <c r="L2468" s="473"/>
      <c r="M2468" s="474"/>
      <c r="AE2468" s="217"/>
      <c r="AF2468" s="217"/>
      <c r="AH2468">
        <f t="shared" si="1469"/>
        <v>0</v>
      </c>
    </row>
    <row r="2469" ht="75">
      <c r="A2469" s="217"/>
      <c r="B2469" s="217">
        <v>1307</v>
      </c>
      <c r="C2469" s="217"/>
      <c r="D2469" s="217" t="s">
        <v>17167</v>
      </c>
      <c r="E2469" s="471" t="s">
        <v>21903</v>
      </c>
      <c r="F2469" s="489">
        <v>92915</v>
      </c>
      <c r="G2469" s="470" t="s">
        <v>322</v>
      </c>
      <c r="H2469" s="471" t="s">
        <v>302</v>
      </c>
      <c r="I2469" s="483">
        <f>41.82+3.64+11.82+30</f>
        <v>87.280000000000001</v>
      </c>
      <c r="J2469" s="473">
        <f t="shared" si="1474"/>
        <v>16.649999999999999</v>
      </c>
      <c r="K2469" s="474">
        <f t="shared" si="1472"/>
        <v>1453.212</v>
      </c>
      <c r="L2469" s="473">
        <f t="shared" si="1457"/>
        <v>16.199999999999999</v>
      </c>
      <c r="M2469" s="474">
        <f t="shared" si="1473"/>
        <v>1413.9359999999999</v>
      </c>
      <c r="O2469" s="434">
        <f t="shared" si="1454"/>
        <v>16.649999999999999</v>
      </c>
      <c r="P2469" s="435">
        <f t="shared" si="1455"/>
        <v>16.199999999999999</v>
      </c>
      <c r="AE2469" s="217"/>
      <c r="AF2469" s="217">
        <v>1307</v>
      </c>
      <c r="AH2469">
        <f t="shared" si="1469"/>
        <v>1307</v>
      </c>
    </row>
    <row r="2470" ht="60">
      <c r="A2470" s="217"/>
      <c r="B2470" s="217">
        <v>1307</v>
      </c>
      <c r="C2470" s="217"/>
      <c r="D2470" s="217" t="s">
        <v>17167</v>
      </c>
      <c r="E2470" s="471" t="s">
        <v>21904</v>
      </c>
      <c r="F2470" s="489">
        <v>92768</v>
      </c>
      <c r="G2470" s="470" t="s">
        <v>330</v>
      </c>
      <c r="H2470" s="471" t="s">
        <v>302</v>
      </c>
      <c r="I2470" s="483">
        <v>84.549999999999997</v>
      </c>
      <c r="J2470" s="473">
        <f t="shared" si="1474"/>
        <v>13.32</v>
      </c>
      <c r="K2470" s="474">
        <f t="shared" si="1472"/>
        <v>1126.2059999999999</v>
      </c>
      <c r="L2470" s="473">
        <f t="shared" si="1457"/>
        <v>13.08</v>
      </c>
      <c r="M2470" s="474">
        <f t="shared" si="1473"/>
        <v>1105.914</v>
      </c>
      <c r="O2470" s="434">
        <f t="shared" si="1454"/>
        <v>13.32</v>
      </c>
      <c r="P2470" s="435">
        <f t="shared" si="1455"/>
        <v>13.08</v>
      </c>
      <c r="AE2470" s="217"/>
      <c r="AF2470" s="217">
        <v>1307</v>
      </c>
      <c r="AH2470">
        <f t="shared" si="1469"/>
        <v>1307</v>
      </c>
    </row>
    <row r="2471" ht="75">
      <c r="A2471" s="217"/>
      <c r="B2471" s="217">
        <v>1307</v>
      </c>
      <c r="C2471" s="217"/>
      <c r="D2471" s="217" t="s">
        <v>17167</v>
      </c>
      <c r="E2471" s="471" t="s">
        <v>21905</v>
      </c>
      <c r="F2471" s="489">
        <v>92919</v>
      </c>
      <c r="G2471" s="470" t="s">
        <v>314</v>
      </c>
      <c r="H2471" s="471" t="s">
        <v>302</v>
      </c>
      <c r="I2471" s="483">
        <f>96.36+11.82+34.55+102.72</f>
        <v>245.44999999999999</v>
      </c>
      <c r="J2471" s="473">
        <f t="shared" si="1474"/>
        <v>11.74</v>
      </c>
      <c r="K2471" s="474">
        <f t="shared" si="1472"/>
        <v>2881.5830000000001</v>
      </c>
      <c r="L2471" s="473">
        <f t="shared" si="1457"/>
        <v>11.6</v>
      </c>
      <c r="M2471" s="474">
        <f t="shared" si="1473"/>
        <v>2847.2199999999998</v>
      </c>
      <c r="O2471" s="434">
        <f t="shared" si="1454"/>
        <v>11.74</v>
      </c>
      <c r="P2471" s="435">
        <f t="shared" si="1455"/>
        <v>11.6</v>
      </c>
      <c r="AE2471" s="217"/>
      <c r="AF2471" s="217">
        <v>1307</v>
      </c>
      <c r="AH2471">
        <f t="shared" si="1469"/>
        <v>1307</v>
      </c>
    </row>
    <row r="2472" ht="60">
      <c r="A2472" s="217"/>
      <c r="B2472" s="217">
        <v>1307</v>
      </c>
      <c r="C2472" s="217"/>
      <c r="D2472" s="217" t="s">
        <v>17167</v>
      </c>
      <c r="E2472" s="471" t="s">
        <v>21906</v>
      </c>
      <c r="F2472" s="489">
        <v>92771</v>
      </c>
      <c r="G2472" s="470" t="s">
        <v>323</v>
      </c>
      <c r="H2472" s="471" t="s">
        <v>302</v>
      </c>
      <c r="I2472" s="483">
        <f>216.36</f>
        <v>216.36000000000001</v>
      </c>
      <c r="J2472" s="473">
        <f t="shared" si="1474"/>
        <v>10.25</v>
      </c>
      <c r="K2472" s="474">
        <f t="shared" si="1472"/>
        <v>2217.6900000000001</v>
      </c>
      <c r="L2472" s="473">
        <f t="shared" si="1457"/>
        <v>10.199999999999999</v>
      </c>
      <c r="M2472" s="474">
        <f t="shared" si="1473"/>
        <v>2206.8719999999998</v>
      </c>
      <c r="O2472" s="434">
        <f t="shared" si="1454"/>
        <v>10.25</v>
      </c>
      <c r="P2472" s="435">
        <f t="shared" si="1455"/>
        <v>10.199999999999999</v>
      </c>
      <c r="AE2472" s="217"/>
      <c r="AF2472" s="217">
        <v>1307</v>
      </c>
      <c r="AH2472">
        <f t="shared" si="1469"/>
        <v>1307</v>
      </c>
    </row>
    <row r="2473">
      <c r="A2473" s="217"/>
      <c r="B2473" s="217">
        <v>1307</v>
      </c>
      <c r="C2473" s="217"/>
      <c r="D2473" s="217"/>
      <c r="E2473" s="595" t="s">
        <v>20522</v>
      </c>
      <c r="F2473" s="600" t="s">
        <v>15842</v>
      </c>
      <c r="G2473" s="470"/>
      <c r="H2473" s="471"/>
      <c r="I2473" s="483"/>
      <c r="J2473" s="473"/>
      <c r="K2473" s="474"/>
      <c r="L2473" s="473"/>
      <c r="M2473" s="474"/>
      <c r="AE2473" s="217"/>
      <c r="AF2473" s="217"/>
      <c r="AH2473">
        <f t="shared" si="1469"/>
        <v>0</v>
      </c>
    </row>
    <row r="2474" ht="75">
      <c r="A2474" s="217"/>
      <c r="B2474" s="217">
        <v>1307</v>
      </c>
      <c r="C2474" s="217"/>
      <c r="D2474" s="217" t="s">
        <v>20398</v>
      </c>
      <c r="E2474" s="471" t="s">
        <v>20524</v>
      </c>
      <c r="F2474" s="489">
        <v>1257</v>
      </c>
      <c r="G2474" s="470" t="s">
        <v>20906</v>
      </c>
      <c r="H2474" s="471" t="s">
        <v>15515</v>
      </c>
      <c r="I2474" s="483">
        <v>53.259999999999998</v>
      </c>
      <c r="J2474" s="473">
        <f t="shared" si="1474"/>
        <v>202.65134000000003</v>
      </c>
      <c r="K2474" s="474">
        <f t="shared" si="1472"/>
        <v>10793.210368400001</v>
      </c>
      <c r="L2474" s="473">
        <f t="shared" si="1457"/>
        <v>197.86072000000001</v>
      </c>
      <c r="M2474" s="474">
        <f t="shared" si="1473"/>
        <v>10538.0619472</v>
      </c>
      <c r="O2474" s="434">
        <f t="shared" si="1454"/>
        <v>202.65134000000003</v>
      </c>
      <c r="P2474" s="435">
        <f t="shared" si="1455"/>
        <v>197.86072000000001</v>
      </c>
      <c r="AE2474" s="217"/>
      <c r="AF2474" s="217">
        <v>1307</v>
      </c>
      <c r="AH2474">
        <f t="shared" si="1469"/>
        <v>1307</v>
      </c>
    </row>
    <row r="2475">
      <c r="A2475" s="217"/>
      <c r="B2475" s="217">
        <v>1307</v>
      </c>
      <c r="C2475" s="217"/>
      <c r="D2475" s="217"/>
      <c r="E2475" s="595" t="s">
        <v>20537</v>
      </c>
      <c r="F2475" s="600" t="s">
        <v>21907</v>
      </c>
      <c r="G2475" s="470"/>
      <c r="H2475" s="471"/>
      <c r="I2475" s="483"/>
      <c r="J2475" s="473"/>
      <c r="K2475" s="474"/>
      <c r="L2475" s="473"/>
      <c r="M2475" s="474"/>
      <c r="AE2475" s="217"/>
      <c r="AF2475" s="217"/>
      <c r="AH2475">
        <f t="shared" si="1469"/>
        <v>0</v>
      </c>
    </row>
    <row r="2476" ht="75">
      <c r="A2476" s="217"/>
      <c r="B2476" s="217">
        <v>1307</v>
      </c>
      <c r="C2476" s="217"/>
      <c r="D2476" s="217" t="s">
        <v>17167</v>
      </c>
      <c r="E2476" s="471" t="s">
        <v>20540</v>
      </c>
      <c r="F2476" s="489">
        <v>87879</v>
      </c>
      <c r="G2476" s="470" t="s">
        <v>21908</v>
      </c>
      <c r="H2476" s="471" t="s">
        <v>15515</v>
      </c>
      <c r="I2476" s="483">
        <v>106.52</v>
      </c>
      <c r="J2476" s="473">
        <f t="shared" si="1474"/>
        <v>4.5499999999999998</v>
      </c>
      <c r="K2476" s="474">
        <f t="shared" si="1472"/>
        <v>484.66599999999994</v>
      </c>
      <c r="L2476" s="473">
        <f t="shared" si="1457"/>
        <v>4.3600000000000003</v>
      </c>
      <c r="M2476" s="474">
        <f t="shared" si="1473"/>
        <v>464.42720000000003</v>
      </c>
      <c r="O2476" s="434">
        <f t="shared" ref="O2476:O2539" si="1475">IFERROR(IF(D2476="SINAPI",VLOOKUP(F2476,SINCOMOD,4,FALSE),IF(D2476="INSINAPI",VLOOKUP(F2476,INSINOD,5,FALSE),IF(D2476="SICRO",VLOOKUP(F2476,SICRO,5,FALSE),IF(D2476="COTACAO",VLOOKUP(F2476,COTACAO,6,FALSE),IF(D2476="PRÓPRIO",VLOOKUP(F2476,COMPOD,11,FALSE),IF(D2476="AGESUL",VLOOKUP(F2476,AGESULOD,6,FALSE),IF(D2476="INSAGESUL",VLOOKUP(F2476,INSAGESUL,7,FALSE),"SEM VALOR"))))))),"SEM VALOR")</f>
        <v>4.5499999999999998</v>
      </c>
      <c r="P2476" s="435">
        <f t="shared" ref="P2476:P2539" si="1476">IFERROR(IF(D2476="SINAPI",VLOOKUP(F2476,SINCOMOD,6,FALSE),IF(D2476="INSINAPI",VLOOKUP(F2476,INSINOD,6,FALSE),IF(D2476="SICRO",VLOOKUP(F2476,SICRO,5,FALSE),IF(D2476="COTACAO",VLOOKUP(F2476,COTACAO,6,FALSE),IF(D2476="PRÓPRIO",VLOOKUP(F2476,COMPOD,13,FALSE),IF(D2476="AGESUL",VLOOKUP(F2476,AGESULOD,11,FALSE),IF(D2476="INSAGESUL",VLOOKUP(F2476,INSAGESUL,8,FALSE),"SEM VALOR"))))))),"SEM VALOR")</f>
        <v>4.3600000000000003</v>
      </c>
      <c r="AE2476" s="217"/>
      <c r="AF2476" s="217">
        <v>1307</v>
      </c>
      <c r="AH2476">
        <f t="shared" si="1469"/>
        <v>1307</v>
      </c>
    </row>
    <row r="2477">
      <c r="A2477" s="217"/>
      <c r="B2477" s="217">
        <v>1307</v>
      </c>
      <c r="C2477" s="217"/>
      <c r="D2477" s="217"/>
      <c r="E2477" s="595" t="s">
        <v>20586</v>
      </c>
      <c r="F2477" s="600" t="s">
        <v>21909</v>
      </c>
      <c r="G2477" s="470"/>
      <c r="H2477" s="471"/>
      <c r="I2477" s="483"/>
      <c r="J2477" s="473"/>
      <c r="K2477" s="474"/>
      <c r="L2477" s="473"/>
      <c r="M2477" s="474"/>
      <c r="AE2477" s="217"/>
      <c r="AF2477" s="217"/>
      <c r="AH2477">
        <f t="shared" si="1469"/>
        <v>0</v>
      </c>
    </row>
    <row r="2478" ht="60">
      <c r="A2478" s="217"/>
      <c r="B2478" s="217">
        <v>1307</v>
      </c>
      <c r="C2478" s="217"/>
      <c r="D2478" s="217" t="s">
        <v>20398</v>
      </c>
      <c r="E2478" s="471" t="s">
        <v>21910</v>
      </c>
      <c r="F2478" s="489">
        <v>1308</v>
      </c>
      <c r="G2478" s="470" t="s">
        <v>21911</v>
      </c>
      <c r="H2478" s="471" t="s">
        <v>15515</v>
      </c>
      <c r="I2478" s="483">
        <f>I2476</f>
        <v>106.52</v>
      </c>
      <c r="J2478" s="473">
        <f t="shared" si="1474"/>
        <v>42.188400000000001</v>
      </c>
      <c r="K2478" s="474">
        <f t="shared" si="1472"/>
        <v>4493.9083680000003</v>
      </c>
      <c r="L2478" s="473">
        <f t="shared" ref="L2477:L2540" si="1477">P2478*$L$3</f>
        <v>40.486400000000003</v>
      </c>
      <c r="M2478" s="474">
        <f t="shared" si="1473"/>
        <v>4312.611328</v>
      </c>
      <c r="O2478" s="434">
        <f t="shared" si="1475"/>
        <v>42.188400000000001</v>
      </c>
      <c r="P2478" s="435">
        <f t="shared" si="1476"/>
        <v>40.486400000000003</v>
      </c>
      <c r="AE2478" s="217"/>
      <c r="AF2478" s="217">
        <v>1307</v>
      </c>
      <c r="AH2478">
        <f t="shared" si="1469"/>
        <v>1307</v>
      </c>
    </row>
    <row r="2479" ht="63">
      <c r="A2479" s="460">
        <v>1308</v>
      </c>
      <c r="B2479" s="460">
        <v>1308</v>
      </c>
      <c r="C2479" s="460"/>
      <c r="D2479" s="460"/>
      <c r="E2479" s="461">
        <v>1</v>
      </c>
      <c r="F2479" s="462" t="s">
        <v>21912</v>
      </c>
      <c r="G2479" s="477" t="s">
        <v>21911</v>
      </c>
      <c r="H2479" s="579" t="s">
        <v>15515</v>
      </c>
      <c r="I2479" s="479"/>
      <c r="J2479" s="480"/>
      <c r="K2479" s="466">
        <f>SUM(K2480:K2482)</f>
        <v>42.188400000000001</v>
      </c>
      <c r="L2479" s="480"/>
      <c r="M2479" s="466">
        <f>SUM(M2480:M2482)</f>
        <v>40.486400000000003</v>
      </c>
      <c r="N2479" s="467" t="s">
        <v>21913</v>
      </c>
      <c r="O2479" s="434" t="str">
        <f t="shared" si="1475"/>
        <v xml:space="preserve">SEM VALOR</v>
      </c>
      <c r="P2479" s="435" t="str">
        <f t="shared" si="1476"/>
        <v xml:space="preserve">SEM VALOR</v>
      </c>
      <c r="AE2479" s="460">
        <v>1308</v>
      </c>
      <c r="AF2479" s="460"/>
      <c r="AH2479">
        <f t="shared" si="1469"/>
        <v>1308</v>
      </c>
    </row>
    <row r="2480" ht="30">
      <c r="A2480" s="217"/>
      <c r="B2480" s="217">
        <v>1308</v>
      </c>
      <c r="C2480" s="217"/>
      <c r="D2480" s="217" t="s">
        <v>17167</v>
      </c>
      <c r="E2480" s="471" t="s">
        <v>20399</v>
      </c>
      <c r="F2480" s="489">
        <v>88309</v>
      </c>
      <c r="G2480" s="470" t="s">
        <v>7385</v>
      </c>
      <c r="H2480" s="499" t="s">
        <v>2032</v>
      </c>
      <c r="I2480" s="483">
        <v>0.5</v>
      </c>
      <c r="J2480" s="473">
        <f t="shared" si="1474"/>
        <v>28.5</v>
      </c>
      <c r="K2480" s="474">
        <f t="shared" ref="K2480:K2482" si="1478">I2480*J2480</f>
        <v>14.25</v>
      </c>
      <c r="L2480" s="473">
        <f t="shared" si="1477"/>
        <v>26.870000000000001</v>
      </c>
      <c r="M2480" s="474">
        <f t="shared" ref="M2480:M2482" si="1479">L2480*I2480</f>
        <v>13.435</v>
      </c>
      <c r="O2480" s="434">
        <f t="shared" si="1475"/>
        <v>28.5</v>
      </c>
      <c r="P2480" s="435">
        <f t="shared" si="1476"/>
        <v>26.870000000000001</v>
      </c>
      <c r="AE2480" s="217"/>
      <c r="AF2480" s="217">
        <v>1308</v>
      </c>
      <c r="AH2480">
        <f t="shared" si="1469"/>
        <v>1308</v>
      </c>
    </row>
    <row r="2481" ht="30">
      <c r="A2481" s="217"/>
      <c r="B2481" s="217">
        <v>1308</v>
      </c>
      <c r="C2481" s="217"/>
      <c r="D2481" s="217" t="s">
        <v>17167</v>
      </c>
      <c r="E2481" s="471" t="s">
        <v>20402</v>
      </c>
      <c r="F2481" s="489">
        <v>88316</v>
      </c>
      <c r="G2481" s="470" t="s">
        <v>7393</v>
      </c>
      <c r="H2481" s="499" t="s">
        <v>2032</v>
      </c>
      <c r="I2481" s="483">
        <v>0.5</v>
      </c>
      <c r="J2481" s="473">
        <f t="shared" si="1474"/>
        <v>22.760000000000002</v>
      </c>
      <c r="K2481" s="474">
        <f t="shared" si="1478"/>
        <v>11.380000000000001</v>
      </c>
      <c r="L2481" s="473">
        <f t="shared" si="1477"/>
        <v>21.550000000000001</v>
      </c>
      <c r="M2481" s="474">
        <f t="shared" si="1479"/>
        <v>10.775</v>
      </c>
      <c r="O2481" s="434">
        <f t="shared" si="1475"/>
        <v>22.760000000000002</v>
      </c>
      <c r="P2481" s="435">
        <f t="shared" si="1476"/>
        <v>21.550000000000001</v>
      </c>
      <c r="AE2481" s="217"/>
      <c r="AF2481" s="217">
        <v>1308</v>
      </c>
      <c r="AH2481">
        <f t="shared" si="1469"/>
        <v>1308</v>
      </c>
    </row>
    <row r="2482" ht="45">
      <c r="A2482" s="217"/>
      <c r="B2482" s="217">
        <v>1308</v>
      </c>
      <c r="C2482" s="217"/>
      <c r="D2482" s="217" t="s">
        <v>17167</v>
      </c>
      <c r="E2482" s="471" t="s">
        <v>20405</v>
      </c>
      <c r="F2482" s="489">
        <v>87372</v>
      </c>
      <c r="G2482" s="470" t="s">
        <v>20790</v>
      </c>
      <c r="H2482" s="482" t="s">
        <v>15528</v>
      </c>
      <c r="I2482" s="483">
        <v>2.e-002</v>
      </c>
      <c r="J2482" s="473">
        <f t="shared" si="1474"/>
        <v>827.91999999999996</v>
      </c>
      <c r="K2482" s="474">
        <f t="shared" si="1478"/>
        <v>16.558399999999999</v>
      </c>
      <c r="L2482" s="473">
        <f t="shared" si="1477"/>
        <v>813.82000000000005</v>
      </c>
      <c r="M2482" s="474">
        <f t="shared" si="1479"/>
        <v>16.276400000000002</v>
      </c>
      <c r="O2482" s="434">
        <f t="shared" si="1475"/>
        <v>827.91999999999996</v>
      </c>
      <c r="P2482" s="435">
        <f t="shared" si="1476"/>
        <v>813.82000000000005</v>
      </c>
      <c r="AE2482" s="217"/>
      <c r="AF2482" s="217">
        <v>1308</v>
      </c>
      <c r="AH2482">
        <f t="shared" si="1469"/>
        <v>1308</v>
      </c>
    </row>
    <row r="2483" ht="42" customHeight="1">
      <c r="A2483" s="460">
        <v>1309</v>
      </c>
      <c r="B2483" s="460">
        <v>1309</v>
      </c>
      <c r="C2483" s="460"/>
      <c r="D2483" s="460"/>
      <c r="E2483" s="461">
        <v>1</v>
      </c>
      <c r="F2483" s="462" t="s">
        <v>21914</v>
      </c>
      <c r="G2483" s="477" t="s">
        <v>21915</v>
      </c>
      <c r="H2483" s="579" t="s">
        <v>38</v>
      </c>
      <c r="I2483" s="479"/>
      <c r="J2483" s="480"/>
      <c r="K2483" s="466">
        <f>SUM(K2484:K2487)</f>
        <v>85.934656000000004</v>
      </c>
      <c r="L2483" s="480"/>
      <c r="M2483" s="466">
        <f>SUM(M2484:M2487)</f>
        <v>84.054342999999989</v>
      </c>
      <c r="O2483" s="434" t="str">
        <f t="shared" si="1475"/>
        <v xml:space="preserve">SEM VALOR</v>
      </c>
      <c r="P2483" s="435" t="str">
        <f t="shared" si="1476"/>
        <v xml:space="preserve">SEM VALOR</v>
      </c>
      <c r="AE2483" s="460">
        <v>1309</v>
      </c>
      <c r="AF2483" s="460"/>
      <c r="AH2483">
        <f t="shared" si="1469"/>
        <v>1309</v>
      </c>
    </row>
    <row r="2484" ht="45">
      <c r="A2484" s="217"/>
      <c r="B2484" s="217">
        <v>1309</v>
      </c>
      <c r="C2484" s="217"/>
      <c r="D2484" s="217" t="s">
        <v>20398</v>
      </c>
      <c r="E2484" s="471" t="s">
        <v>20399</v>
      </c>
      <c r="F2484" s="482">
        <v>1259</v>
      </c>
      <c r="G2484" s="572" t="s">
        <v>20796</v>
      </c>
      <c r="H2484" s="499" t="s">
        <v>15528</v>
      </c>
      <c r="I2484" s="483">
        <v>0.114</v>
      </c>
      <c r="J2484" s="473">
        <f t="shared" si="1474"/>
        <v>45.520000000000003</v>
      </c>
      <c r="K2484" s="474">
        <f t="shared" ref="K2484:K2487" si="1480">I2484*J2484</f>
        <v>5.1892800000000001</v>
      </c>
      <c r="L2484" s="473">
        <f t="shared" si="1477"/>
        <v>43.100000000000001</v>
      </c>
      <c r="M2484" s="474">
        <f t="shared" ref="M2484:M2487" si="1481">L2484*I2484</f>
        <v>4.9134000000000002</v>
      </c>
      <c r="O2484" s="434">
        <f t="shared" si="1475"/>
        <v>45.520000000000003</v>
      </c>
      <c r="P2484" s="435">
        <f t="shared" si="1476"/>
        <v>43.100000000000001</v>
      </c>
      <c r="AE2484" s="217"/>
      <c r="AF2484" s="217">
        <v>1309</v>
      </c>
      <c r="AH2484">
        <f t="shared" si="1469"/>
        <v>1309</v>
      </c>
    </row>
    <row r="2485" ht="75">
      <c r="A2485" s="217"/>
      <c r="B2485" s="217">
        <v>1309</v>
      </c>
      <c r="C2485" s="217"/>
      <c r="D2485" s="217" t="s">
        <v>20398</v>
      </c>
      <c r="E2485" s="471" t="s">
        <v>20402</v>
      </c>
      <c r="F2485" s="482">
        <v>1267</v>
      </c>
      <c r="G2485" s="572" t="s">
        <v>20662</v>
      </c>
      <c r="H2485" s="499" t="s">
        <v>38</v>
      </c>
      <c r="I2485" s="483">
        <v>1</v>
      </c>
      <c r="J2485" s="473">
        <f t="shared" si="1474"/>
        <v>3.2499999999999996</v>
      </c>
      <c r="K2485" s="474">
        <f t="shared" si="1480"/>
        <v>3.2499999999999996</v>
      </c>
      <c r="L2485" s="473">
        <f t="shared" si="1477"/>
        <v>3.1657000000000002</v>
      </c>
      <c r="M2485" s="474">
        <f t="shared" si="1481"/>
        <v>3.1657000000000002</v>
      </c>
      <c r="O2485" s="434">
        <f t="shared" si="1475"/>
        <v>3.2499999999999996</v>
      </c>
      <c r="P2485" s="435">
        <f t="shared" si="1476"/>
        <v>3.1657000000000002</v>
      </c>
      <c r="AE2485" s="217"/>
      <c r="AF2485" s="217">
        <v>1309</v>
      </c>
      <c r="AH2485">
        <f t="shared" si="1469"/>
        <v>1309</v>
      </c>
    </row>
    <row r="2486" ht="45">
      <c r="A2486" s="217"/>
      <c r="B2486" s="217">
        <v>1309</v>
      </c>
      <c r="C2486" s="217"/>
      <c r="D2486" s="217" t="s">
        <v>20398</v>
      </c>
      <c r="E2486" s="471" t="s">
        <v>20405</v>
      </c>
      <c r="F2486" s="482">
        <v>1000</v>
      </c>
      <c r="G2486" s="470" t="s">
        <v>20651</v>
      </c>
      <c r="H2486" s="499" t="s">
        <v>15528</v>
      </c>
      <c r="I2486" s="483">
        <v>0.114</v>
      </c>
      <c r="J2486" s="473">
        <f t="shared" si="1474"/>
        <v>149.904</v>
      </c>
      <c r="K2486" s="474">
        <f t="shared" si="1480"/>
        <v>17.089055999999999</v>
      </c>
      <c r="L2486" s="473">
        <f t="shared" si="1477"/>
        <v>141.76949999999999</v>
      </c>
      <c r="M2486" s="474">
        <f t="shared" si="1481"/>
        <v>16.161722999999999</v>
      </c>
      <c r="O2486" s="434">
        <f t="shared" si="1475"/>
        <v>149.904</v>
      </c>
      <c r="P2486" s="435">
        <f t="shared" si="1476"/>
        <v>141.76949999999999</v>
      </c>
      <c r="AE2486" s="217"/>
      <c r="AF2486" s="217">
        <v>1309</v>
      </c>
      <c r="AH2486">
        <f t="shared" si="1469"/>
        <v>1309</v>
      </c>
    </row>
    <row r="2487" ht="75">
      <c r="A2487" s="217"/>
      <c r="B2487" s="217">
        <v>1309</v>
      </c>
      <c r="C2487" s="217"/>
      <c r="D2487" s="217" t="s">
        <v>17167</v>
      </c>
      <c r="E2487" s="471" t="s">
        <v>20409</v>
      </c>
      <c r="F2487" s="482">
        <v>94966</v>
      </c>
      <c r="G2487" s="470" t="s">
        <v>8719</v>
      </c>
      <c r="H2487" s="482" t="s">
        <v>15528</v>
      </c>
      <c r="I2487" s="483">
        <v>0.114</v>
      </c>
      <c r="J2487" s="473">
        <f t="shared" si="1474"/>
        <v>529.88</v>
      </c>
      <c r="K2487" s="474">
        <f t="shared" si="1480"/>
        <v>60.406320000000001</v>
      </c>
      <c r="L2487" s="473">
        <f t="shared" si="1477"/>
        <v>524.67999999999995</v>
      </c>
      <c r="M2487" s="474">
        <f t="shared" si="1481"/>
        <v>59.813519999999997</v>
      </c>
      <c r="O2487" s="434">
        <f t="shared" si="1475"/>
        <v>529.88</v>
      </c>
      <c r="P2487" s="435">
        <f t="shared" si="1476"/>
        <v>524.67999999999995</v>
      </c>
      <c r="AE2487" s="217"/>
      <c r="AF2487" s="217">
        <v>1309</v>
      </c>
      <c r="AH2487">
        <f t="shared" si="1469"/>
        <v>1309</v>
      </c>
    </row>
    <row r="2488" ht="47.25">
      <c r="A2488" s="460">
        <v>1310</v>
      </c>
      <c r="B2488" s="460">
        <v>1310</v>
      </c>
      <c r="C2488" s="460"/>
      <c r="D2488" s="460"/>
      <c r="E2488" s="461">
        <v>1</v>
      </c>
      <c r="F2488" s="462" t="s">
        <v>21916</v>
      </c>
      <c r="G2488" s="477" t="s">
        <v>21917</v>
      </c>
      <c r="H2488" s="464" t="s">
        <v>38</v>
      </c>
      <c r="I2488" s="479"/>
      <c r="J2488" s="480"/>
      <c r="K2488" s="466">
        <f>SUM(K2489:K2493)</f>
        <v>52.106360999999993</v>
      </c>
      <c r="L2488" s="480"/>
      <c r="M2488" s="466">
        <f>SUM(M2489:M2493)</f>
        <v>51.031782999999997</v>
      </c>
      <c r="O2488" s="434" t="str">
        <f t="shared" si="1475"/>
        <v xml:space="preserve">SEM VALOR</v>
      </c>
      <c r="P2488" s="435" t="str">
        <f t="shared" si="1476"/>
        <v xml:space="preserve">SEM VALOR</v>
      </c>
      <c r="AE2488" s="460">
        <v>1310</v>
      </c>
      <c r="AF2488" s="460"/>
      <c r="AH2488">
        <f t="shared" si="1469"/>
        <v>1310</v>
      </c>
    </row>
    <row r="2489" ht="45">
      <c r="A2489" s="217"/>
      <c r="B2489" s="217">
        <v>1310</v>
      </c>
      <c r="C2489" s="217"/>
      <c r="D2489" s="217" t="s">
        <v>17167</v>
      </c>
      <c r="E2489" s="471" t="s">
        <v>20399</v>
      </c>
      <c r="F2489" s="486">
        <v>101616</v>
      </c>
      <c r="G2489" s="488" t="s">
        <v>21414</v>
      </c>
      <c r="H2489" s="499" t="s">
        <v>15515</v>
      </c>
      <c r="I2489" s="483">
        <v>0.15240000000000001</v>
      </c>
      <c r="J2489" s="473">
        <f t="shared" si="1474"/>
        <v>7.7800000000000002</v>
      </c>
      <c r="K2489" s="474">
        <f t="shared" ref="K2489:K2493" si="1482">I2489*J2489</f>
        <v>1.1856720000000001</v>
      </c>
      <c r="L2489" s="473">
        <f t="shared" si="1477"/>
        <v>7.3499999999999996</v>
      </c>
      <c r="M2489" s="474">
        <f t="shared" ref="M2489:M2493" si="1483">L2489*I2489</f>
        <v>1.1201399999999999</v>
      </c>
      <c r="O2489" s="434">
        <f t="shared" si="1475"/>
        <v>7.7800000000000002</v>
      </c>
      <c r="P2489" s="435">
        <f t="shared" si="1476"/>
        <v>7.3499999999999996</v>
      </c>
      <c r="AE2489" s="217"/>
      <c r="AF2489" s="217">
        <v>1310</v>
      </c>
      <c r="AH2489">
        <f t="shared" si="1469"/>
        <v>1310</v>
      </c>
    </row>
    <row r="2490" ht="60">
      <c r="A2490" s="217"/>
      <c r="B2490" s="217">
        <v>1310</v>
      </c>
      <c r="C2490" s="217"/>
      <c r="D2490" s="217" t="s">
        <v>17167</v>
      </c>
      <c r="E2490" s="471" t="s">
        <v>20402</v>
      </c>
      <c r="F2490" s="469">
        <v>94964</v>
      </c>
      <c r="G2490" s="488" t="s">
        <v>8711</v>
      </c>
      <c r="H2490" s="499" t="s">
        <v>38</v>
      </c>
      <c r="I2490" s="483">
        <v>6.1800000000000001e-002</v>
      </c>
      <c r="J2490" s="473">
        <f t="shared" si="1474"/>
        <v>488.52999999999997</v>
      </c>
      <c r="K2490" s="474">
        <f t="shared" si="1482"/>
        <v>30.191153999999997</v>
      </c>
      <c r="L2490" s="473">
        <f t="shared" si="1477"/>
        <v>482.79000000000002</v>
      </c>
      <c r="M2490" s="474">
        <f t="shared" si="1483"/>
        <v>29.836422000000002</v>
      </c>
      <c r="O2490" s="434">
        <f t="shared" si="1475"/>
        <v>488.52999999999997</v>
      </c>
      <c r="P2490" s="435">
        <f t="shared" si="1476"/>
        <v>482.79000000000002</v>
      </c>
      <c r="AE2490" s="217"/>
      <c r="AF2490" s="217">
        <v>1310</v>
      </c>
      <c r="AH2490">
        <f t="shared" si="1469"/>
        <v>1310</v>
      </c>
    </row>
    <row r="2491" ht="60">
      <c r="A2491" s="217"/>
      <c r="B2491" s="217">
        <v>1310</v>
      </c>
      <c r="C2491" s="217"/>
      <c r="D2491" s="217" t="s">
        <v>20644</v>
      </c>
      <c r="E2491" s="471" t="s">
        <v>20405</v>
      </c>
      <c r="F2491" s="486">
        <v>2003842</v>
      </c>
      <c r="G2491" s="470" t="s">
        <v>21449</v>
      </c>
      <c r="H2491" s="499" t="s">
        <v>15528</v>
      </c>
      <c r="I2491" s="483">
        <v>8.7599999999999997e-002</v>
      </c>
      <c r="J2491" s="473">
        <f t="shared" si="1474"/>
        <v>77.290000000000006</v>
      </c>
      <c r="K2491" s="474">
        <f t="shared" si="1482"/>
        <v>6.7706040000000005</v>
      </c>
      <c r="L2491" s="473">
        <f t="shared" si="1477"/>
        <v>77.290000000000006</v>
      </c>
      <c r="M2491" s="474">
        <f t="shared" si="1483"/>
        <v>6.7706040000000005</v>
      </c>
      <c r="O2491" s="434">
        <f t="shared" si="1475"/>
        <v>77.290000000000006</v>
      </c>
      <c r="P2491" s="435">
        <f t="shared" si="1476"/>
        <v>77.290000000000006</v>
      </c>
      <c r="AE2491" s="217"/>
      <c r="AF2491" s="217">
        <v>1310</v>
      </c>
      <c r="AH2491">
        <f t="shared" si="1469"/>
        <v>1310</v>
      </c>
    </row>
    <row r="2492" ht="45">
      <c r="A2492" s="217"/>
      <c r="B2492" s="217">
        <v>1310</v>
      </c>
      <c r="C2492" s="217"/>
      <c r="D2492" s="217" t="s">
        <v>17167</v>
      </c>
      <c r="E2492" s="471" t="s">
        <v>20409</v>
      </c>
      <c r="F2492" s="486">
        <v>93358</v>
      </c>
      <c r="G2492" s="470" t="s">
        <v>20661</v>
      </c>
      <c r="H2492" s="499" t="s">
        <v>15528</v>
      </c>
      <c r="I2492" s="483">
        <v>0.1366</v>
      </c>
      <c r="J2492" s="473">
        <f t="shared" si="1474"/>
        <v>90.030000000000001</v>
      </c>
      <c r="K2492" s="474">
        <f t="shared" si="1482"/>
        <v>12.298098</v>
      </c>
      <c r="L2492" s="473">
        <f t="shared" si="1477"/>
        <v>85.239999999999995</v>
      </c>
      <c r="M2492" s="474">
        <f t="shared" si="1483"/>
        <v>11.643783999999998</v>
      </c>
      <c r="O2492" s="434">
        <f t="shared" si="1475"/>
        <v>90.030000000000001</v>
      </c>
      <c r="P2492" s="435">
        <f t="shared" si="1476"/>
        <v>85.239999999999995</v>
      </c>
      <c r="AE2492" s="217"/>
      <c r="AF2492" s="217">
        <v>1310</v>
      </c>
      <c r="AH2492">
        <f t="shared" si="1469"/>
        <v>1310</v>
      </c>
    </row>
    <row r="2493" ht="30">
      <c r="A2493" s="217"/>
      <c r="B2493" s="217">
        <v>1310</v>
      </c>
      <c r="C2493" s="217"/>
      <c r="D2493" s="217" t="s">
        <v>20644</v>
      </c>
      <c r="E2493" s="471" t="s">
        <v>20663</v>
      </c>
      <c r="F2493" s="486">
        <v>3108018</v>
      </c>
      <c r="G2493" s="470" t="s">
        <v>21918</v>
      </c>
      <c r="H2493" s="482" t="s">
        <v>38</v>
      </c>
      <c r="I2493" s="483">
        <v>0.50790000000000002</v>
      </c>
      <c r="J2493" s="473">
        <f t="shared" si="1474"/>
        <v>3.27</v>
      </c>
      <c r="K2493" s="474">
        <f t="shared" si="1482"/>
        <v>1.660833</v>
      </c>
      <c r="L2493" s="473">
        <f t="shared" si="1477"/>
        <v>3.27</v>
      </c>
      <c r="M2493" s="474">
        <f t="shared" si="1483"/>
        <v>1.660833</v>
      </c>
      <c r="O2493" s="434">
        <f t="shared" si="1475"/>
        <v>3.27</v>
      </c>
      <c r="P2493" s="435">
        <f t="shared" si="1476"/>
        <v>3.27</v>
      </c>
      <c r="AE2493" s="217"/>
      <c r="AF2493" s="217">
        <v>1310</v>
      </c>
      <c r="AH2493">
        <f t="shared" si="1469"/>
        <v>1310</v>
      </c>
    </row>
    <row r="2494" ht="45.75">
      <c r="A2494" s="217"/>
      <c r="B2494" s="217">
        <v>1310</v>
      </c>
      <c r="C2494" s="217"/>
      <c r="D2494" s="217"/>
      <c r="E2494" s="471"/>
      <c r="F2494" s="486"/>
      <c r="G2494" s="470" t="s">
        <v>21919</v>
      </c>
      <c r="H2494" s="482"/>
      <c r="I2494" s="483"/>
      <c r="J2494" s="577"/>
      <c r="K2494" s="474"/>
      <c r="L2494" s="577"/>
      <c r="M2494" s="474"/>
      <c r="O2494" s="434" t="str">
        <f t="shared" si="1475"/>
        <v xml:space="preserve">SEM VALOR</v>
      </c>
      <c r="P2494" s="435" t="str">
        <f t="shared" si="1476"/>
        <v xml:space="preserve">SEM VALOR</v>
      </c>
      <c r="AE2494" s="217"/>
      <c r="AF2494" s="217">
        <v>1310</v>
      </c>
      <c r="AH2494">
        <f t="shared" si="1469"/>
        <v>1310</v>
      </c>
    </row>
    <row r="2495">
      <c r="A2495" s="217"/>
      <c r="B2495" s="217">
        <v>1310</v>
      </c>
      <c r="C2495" s="217"/>
      <c r="D2495" s="217"/>
      <c r="E2495" s="471"/>
      <c r="F2495" s="486"/>
      <c r="G2495" s="470" t="s">
        <v>21452</v>
      </c>
      <c r="H2495" s="482"/>
      <c r="I2495" s="483"/>
      <c r="J2495" s="577"/>
      <c r="K2495" s="474"/>
      <c r="L2495" s="577"/>
      <c r="M2495" s="474"/>
      <c r="O2495" s="434" t="str">
        <f t="shared" si="1475"/>
        <v xml:space="preserve">SEM VALOR</v>
      </c>
      <c r="P2495" s="435" t="str">
        <f t="shared" si="1476"/>
        <v xml:space="preserve">SEM VALOR</v>
      </c>
      <c r="AE2495" s="217"/>
      <c r="AF2495" s="217">
        <v>1310</v>
      </c>
      <c r="AH2495">
        <f t="shared" si="1469"/>
        <v>1310</v>
      </c>
    </row>
    <row r="2496" ht="94.5">
      <c r="A2496" s="460">
        <v>1311</v>
      </c>
      <c r="B2496" s="460">
        <v>1311</v>
      </c>
      <c r="C2496" s="460"/>
      <c r="D2496" s="460"/>
      <c r="E2496" s="461">
        <v>1</v>
      </c>
      <c r="F2496" s="462" t="s">
        <v>21920</v>
      </c>
      <c r="G2496" s="477" t="s">
        <v>21921</v>
      </c>
      <c r="H2496" s="579" t="s">
        <v>38</v>
      </c>
      <c r="I2496" s="479"/>
      <c r="J2496" s="480"/>
      <c r="K2496" s="466">
        <f>SUM(K2497:K2500)</f>
        <v>169.63043000000002</v>
      </c>
      <c r="L2496" s="480"/>
      <c r="M2496" s="466">
        <f>SUM(M2497:M2500)</f>
        <v>163.94145</v>
      </c>
      <c r="N2496" s="467" t="s">
        <v>21922</v>
      </c>
      <c r="O2496" s="434" t="str">
        <f t="shared" si="1475"/>
        <v xml:space="preserve">SEM VALOR</v>
      </c>
      <c r="P2496" s="435" t="str">
        <f t="shared" si="1476"/>
        <v xml:space="preserve">SEM VALOR</v>
      </c>
      <c r="AE2496" s="460">
        <v>1311</v>
      </c>
      <c r="AF2496" s="460"/>
      <c r="AH2496">
        <f t="shared" si="1469"/>
        <v>1311</v>
      </c>
    </row>
    <row r="2497" ht="45">
      <c r="A2497" s="217"/>
      <c r="B2497" s="217">
        <v>1311</v>
      </c>
      <c r="C2497" s="217"/>
      <c r="D2497" s="217" t="s">
        <v>17167</v>
      </c>
      <c r="E2497" s="471" t="s">
        <v>20399</v>
      </c>
      <c r="F2497" s="482">
        <v>88631</v>
      </c>
      <c r="G2497" s="470" t="s">
        <v>256</v>
      </c>
      <c r="H2497" s="482" t="s">
        <v>15528</v>
      </c>
      <c r="I2497" s="483">
        <v>4.2999999999999997e-002</v>
      </c>
      <c r="J2497" s="473">
        <f t="shared" si="1474"/>
        <v>599.38999999999999</v>
      </c>
      <c r="K2497" s="474">
        <f t="shared" ref="K2497:K2500" si="1484">I2497*J2497</f>
        <v>25.773769999999999</v>
      </c>
      <c r="L2497" s="473">
        <f t="shared" si="1477"/>
        <v>589.35000000000002</v>
      </c>
      <c r="M2497" s="474">
        <f t="shared" ref="M2497:M2500" si="1485">L2497*I2497</f>
        <v>25.34205</v>
      </c>
      <c r="O2497" s="434">
        <f t="shared" si="1475"/>
        <v>599.38999999999999</v>
      </c>
      <c r="P2497" s="435">
        <f t="shared" si="1476"/>
        <v>589.35000000000002</v>
      </c>
      <c r="AE2497" s="217"/>
      <c r="AF2497" s="217">
        <v>1311</v>
      </c>
      <c r="AH2497">
        <f t="shared" si="1469"/>
        <v>1311</v>
      </c>
    </row>
    <row r="2498" ht="75">
      <c r="A2498" s="217"/>
      <c r="B2498" s="217">
        <v>1311</v>
      </c>
      <c r="C2498" s="217"/>
      <c r="D2498" s="217" t="s">
        <v>17167</v>
      </c>
      <c r="E2498" s="471" t="s">
        <v>20402</v>
      </c>
      <c r="F2498" s="489">
        <v>89272</v>
      </c>
      <c r="G2498" s="470" t="s">
        <v>1723</v>
      </c>
      <c r="H2498" s="482" t="s">
        <v>1535</v>
      </c>
      <c r="I2498" s="483">
        <v>0.25</v>
      </c>
      <c r="J2498" s="473">
        <f t="shared" si="1474"/>
        <v>228.99000000000001</v>
      </c>
      <c r="K2498" s="474">
        <f t="shared" si="1484"/>
        <v>57.247500000000002</v>
      </c>
      <c r="L2498" s="473">
        <f t="shared" si="1477"/>
        <v>226.75999999999999</v>
      </c>
      <c r="M2498" s="474">
        <f t="shared" si="1485"/>
        <v>56.689999999999998</v>
      </c>
      <c r="O2498" s="434">
        <f t="shared" si="1475"/>
        <v>228.99000000000001</v>
      </c>
      <c r="P2498" s="435">
        <f t="shared" si="1476"/>
        <v>226.75999999999999</v>
      </c>
      <c r="AE2498" s="217"/>
      <c r="AF2498" s="217">
        <v>1311</v>
      </c>
      <c r="AH2498">
        <f t="shared" si="1469"/>
        <v>1311</v>
      </c>
    </row>
    <row r="2499" ht="30">
      <c r="A2499" s="217"/>
      <c r="B2499" s="217">
        <v>1311</v>
      </c>
      <c r="C2499" s="217"/>
      <c r="D2499" s="217" t="s">
        <v>17167</v>
      </c>
      <c r="E2499" s="471" t="s">
        <v>20405</v>
      </c>
      <c r="F2499" s="482">
        <v>88316</v>
      </c>
      <c r="G2499" s="470" t="s">
        <v>7393</v>
      </c>
      <c r="H2499" s="482" t="s">
        <v>2032</v>
      </c>
      <c r="I2499" s="483">
        <v>2.766</v>
      </c>
      <c r="J2499" s="473">
        <f t="shared" si="1474"/>
        <v>22.760000000000002</v>
      </c>
      <c r="K2499" s="474">
        <f t="shared" si="1484"/>
        <v>62.954160000000002</v>
      </c>
      <c r="L2499" s="473">
        <f t="shared" si="1477"/>
        <v>21.550000000000001</v>
      </c>
      <c r="M2499" s="474">
        <f t="shared" si="1485"/>
        <v>59.607300000000002</v>
      </c>
      <c r="O2499" s="434">
        <f t="shared" si="1475"/>
        <v>22.760000000000002</v>
      </c>
      <c r="P2499" s="435">
        <f t="shared" si="1476"/>
        <v>21.550000000000001</v>
      </c>
      <c r="AE2499" s="217"/>
      <c r="AF2499" s="217">
        <v>1311</v>
      </c>
      <c r="AH2499">
        <f t="shared" si="1469"/>
        <v>1311</v>
      </c>
    </row>
    <row r="2500" ht="30">
      <c r="A2500" s="217"/>
      <c r="B2500" s="217">
        <v>1311</v>
      </c>
      <c r="C2500" s="217"/>
      <c r="D2500" s="217" t="s">
        <v>17167</v>
      </c>
      <c r="E2500" s="471" t="s">
        <v>20409</v>
      </c>
      <c r="F2500" s="482">
        <v>88309</v>
      </c>
      <c r="G2500" s="470" t="s">
        <v>7385</v>
      </c>
      <c r="H2500" s="482" t="s">
        <v>2032</v>
      </c>
      <c r="I2500" s="483">
        <v>0.82999999999999996</v>
      </c>
      <c r="J2500" s="473">
        <f t="shared" si="1474"/>
        <v>28.5</v>
      </c>
      <c r="K2500" s="474">
        <f t="shared" si="1484"/>
        <v>23.654999999999998</v>
      </c>
      <c r="L2500" s="473">
        <f t="shared" si="1477"/>
        <v>26.870000000000001</v>
      </c>
      <c r="M2500" s="474">
        <f t="shared" si="1485"/>
        <v>22.302099999999999</v>
      </c>
      <c r="O2500" s="434">
        <f t="shared" si="1475"/>
        <v>28.5</v>
      </c>
      <c r="P2500" s="435">
        <f t="shared" si="1476"/>
        <v>26.870000000000001</v>
      </c>
      <c r="AE2500" s="217"/>
      <c r="AF2500" s="217">
        <v>1311</v>
      </c>
      <c r="AH2500">
        <f t="shared" si="1469"/>
        <v>1311</v>
      </c>
    </row>
    <row r="2501" ht="94.5">
      <c r="A2501" s="460">
        <v>1312</v>
      </c>
      <c r="B2501" s="460">
        <v>1312</v>
      </c>
      <c r="C2501" s="460"/>
      <c r="D2501" s="460"/>
      <c r="E2501" s="461">
        <v>1</v>
      </c>
      <c r="F2501" s="462" t="s">
        <v>21923</v>
      </c>
      <c r="G2501" s="477" t="s">
        <v>21924</v>
      </c>
      <c r="H2501" s="579" t="s">
        <v>38</v>
      </c>
      <c r="I2501" s="479"/>
      <c r="J2501" s="480"/>
      <c r="K2501" s="466" t="e">
        <f>SUM(K2502:K2504)</f>
        <v>#VALUE!</v>
      </c>
      <c r="L2501" s="480"/>
      <c r="M2501" s="466" t="e">
        <f>SUM(M2502:M2504)</f>
        <v>#VALUE!</v>
      </c>
      <c r="O2501" s="434" t="str">
        <f t="shared" si="1475"/>
        <v xml:space="preserve">SEM VALOR</v>
      </c>
      <c r="P2501" s="435" t="str">
        <f t="shared" si="1476"/>
        <v xml:space="preserve">SEM VALOR</v>
      </c>
      <c r="AE2501" s="460">
        <v>1312</v>
      </c>
      <c r="AF2501" s="460"/>
      <c r="AH2501">
        <f t="shared" si="1469"/>
        <v>1312</v>
      </c>
    </row>
    <row r="2502" ht="45">
      <c r="A2502" s="217"/>
      <c r="B2502" s="217">
        <v>1312</v>
      </c>
      <c r="C2502" s="217"/>
      <c r="D2502" s="217" t="s">
        <v>20398</v>
      </c>
      <c r="E2502" s="471" t="s">
        <v>20399</v>
      </c>
      <c r="F2502" s="489">
        <v>1183</v>
      </c>
      <c r="G2502" s="470" t="s">
        <v>21442</v>
      </c>
      <c r="H2502" s="471" t="s">
        <v>15515</v>
      </c>
      <c r="I2502" s="483">
        <v>2.5</v>
      </c>
      <c r="J2502" s="473">
        <f t="shared" si="1474"/>
        <v>10.795334092000001</v>
      </c>
      <c r="K2502" s="474">
        <f t="shared" ref="K2502:K2504" si="1486">I2502*J2502</f>
        <v>26.988335230000004</v>
      </c>
      <c r="L2502" s="473">
        <f t="shared" si="1477"/>
        <v>10.775167385</v>
      </c>
      <c r="M2502" s="474">
        <f t="shared" ref="M2502:M2504" si="1487">L2502*I2502</f>
        <v>26.937918462500001</v>
      </c>
      <c r="O2502" s="434">
        <f t="shared" si="1475"/>
        <v>10.795334092000001</v>
      </c>
      <c r="P2502" s="435">
        <f t="shared" si="1476"/>
        <v>10.775167385</v>
      </c>
      <c r="AE2502" s="217"/>
      <c r="AF2502" s="217">
        <v>1312</v>
      </c>
      <c r="AH2502">
        <f t="shared" si="1469"/>
        <v>1312</v>
      </c>
    </row>
    <row r="2503" ht="30">
      <c r="A2503" s="217"/>
      <c r="B2503" s="217">
        <v>1312</v>
      </c>
      <c r="C2503" s="217"/>
      <c r="D2503" s="217" t="s">
        <v>20398</v>
      </c>
      <c r="E2503" s="471" t="s">
        <v>20402</v>
      </c>
      <c r="F2503" s="489">
        <v>1301</v>
      </c>
      <c r="G2503" s="470" t="s">
        <v>21860</v>
      </c>
      <c r="H2503" s="471" t="s">
        <v>15528</v>
      </c>
      <c r="I2503" s="483">
        <v>0.22</v>
      </c>
      <c r="J2503" s="473">
        <f t="shared" si="1474"/>
        <v>143.68433400000001</v>
      </c>
      <c r="K2503" s="474">
        <f t="shared" si="1486"/>
        <v>31.61055348</v>
      </c>
      <c r="L2503" s="473">
        <f t="shared" si="1477"/>
        <v>141.73222699999999</v>
      </c>
      <c r="M2503" s="474">
        <f t="shared" si="1487"/>
        <v>31.18108994</v>
      </c>
      <c r="O2503" s="434">
        <f t="shared" si="1475"/>
        <v>143.68433400000001</v>
      </c>
      <c r="P2503" s="435">
        <f t="shared" si="1476"/>
        <v>141.73222699999999</v>
      </c>
      <c r="AE2503" s="217"/>
      <c r="AF2503" s="217">
        <v>1312</v>
      </c>
      <c r="AH2503">
        <f t="shared" ref="AH2503:AH2566" si="1488">IF(AF2503:AF2504=FALSE,AE2503,AF2503)</f>
        <v>1312</v>
      </c>
    </row>
    <row r="2504" ht="60">
      <c r="A2504" s="217"/>
      <c r="B2504" s="217">
        <v>1312</v>
      </c>
      <c r="C2504" s="217"/>
      <c r="D2504" s="217" t="s">
        <v>20408</v>
      </c>
      <c r="E2504" s="471" t="s">
        <v>20405</v>
      </c>
      <c r="F2504" s="489">
        <v>12583</v>
      </c>
      <c r="G2504" s="470" t="s">
        <v>15042</v>
      </c>
      <c r="H2504" s="471" t="s">
        <v>38</v>
      </c>
      <c r="I2504" s="483">
        <v>1</v>
      </c>
      <c r="J2504" s="473" t="e">
        <f t="shared" si="1474"/>
        <v>#VALUE!</v>
      </c>
      <c r="K2504" s="474" t="e">
        <f t="shared" si="1486"/>
        <v>#VALUE!</v>
      </c>
      <c r="L2504" s="473" t="e">
        <f t="shared" si="1477"/>
        <v>#VALUE!</v>
      </c>
      <c r="M2504" s="474" t="e">
        <f t="shared" si="1487"/>
        <v>#VALUE!</v>
      </c>
      <c r="O2504" s="434" t="str">
        <f t="shared" si="1475"/>
        <v>VERIFICAR</v>
      </c>
      <c r="P2504" s="435" t="str">
        <f t="shared" si="1476"/>
        <v>VERIFICAR</v>
      </c>
      <c r="AE2504" s="217"/>
      <c r="AF2504" s="217">
        <v>1312</v>
      </c>
      <c r="AH2504">
        <f t="shared" si="1488"/>
        <v>1312</v>
      </c>
    </row>
    <row r="2505" ht="110.25">
      <c r="A2505" s="460">
        <v>1313</v>
      </c>
      <c r="B2505" s="460">
        <v>1313</v>
      </c>
      <c r="C2505" s="460"/>
      <c r="D2505" s="460"/>
      <c r="E2505" s="461">
        <v>1</v>
      </c>
      <c r="F2505" s="462" t="s">
        <v>21925</v>
      </c>
      <c r="G2505" s="477" t="s">
        <v>21926</v>
      </c>
      <c r="H2505" s="579" t="s">
        <v>31</v>
      </c>
      <c r="I2505" s="479"/>
      <c r="J2505" s="480"/>
      <c r="K2505" s="466">
        <f>SUM(K2506:K2514)</f>
        <v>590.27052362500001</v>
      </c>
      <c r="L2505" s="480"/>
      <c r="M2505" s="466">
        <f>SUM(M2506:M2514)</f>
        <v>588.87423399999989</v>
      </c>
      <c r="N2505" s="467" t="s">
        <v>20703</v>
      </c>
      <c r="O2505" s="434" t="str">
        <f t="shared" si="1475"/>
        <v xml:space="preserve">SEM VALOR</v>
      </c>
      <c r="P2505" s="435" t="str">
        <f t="shared" si="1476"/>
        <v xml:space="preserve">SEM VALOR</v>
      </c>
      <c r="AE2505" s="460">
        <v>1313</v>
      </c>
      <c r="AF2505" s="460"/>
      <c r="AH2505">
        <f t="shared" si="1488"/>
        <v>1313</v>
      </c>
    </row>
    <row r="2506" ht="30">
      <c r="A2506" s="217"/>
      <c r="B2506" s="217">
        <v>1313</v>
      </c>
      <c r="C2506" s="217"/>
      <c r="D2506" s="217" t="s">
        <v>20408</v>
      </c>
      <c r="E2506" s="471" t="s">
        <v>20399</v>
      </c>
      <c r="F2506" s="471">
        <v>34723</v>
      </c>
      <c r="G2506" s="470" t="s">
        <v>21184</v>
      </c>
      <c r="H2506" s="591" t="s">
        <v>15515</v>
      </c>
      <c r="I2506" s="509">
        <v>0.46600000000000003</v>
      </c>
      <c r="J2506" s="473">
        <f t="shared" si="1474"/>
        <v>997.91999999999996</v>
      </c>
      <c r="K2506" s="474">
        <f t="shared" ref="K2506:K2514" si="1489">I2506*J2506</f>
        <v>465.03072000000003</v>
      </c>
      <c r="L2506" s="473">
        <f t="shared" si="1477"/>
        <v>997.91999999999996</v>
      </c>
      <c r="M2506" s="474">
        <f t="shared" ref="M2506:M2514" si="1490">L2506*I2506</f>
        <v>465.03072000000003</v>
      </c>
      <c r="O2506" s="434">
        <f t="shared" si="1475"/>
        <v>997.91999999999996</v>
      </c>
      <c r="P2506" s="435">
        <f t="shared" si="1476"/>
        <v>997.91999999999996</v>
      </c>
      <c r="AE2506" s="217"/>
      <c r="AF2506" s="217">
        <v>1313</v>
      </c>
      <c r="AH2506">
        <f t="shared" si="1488"/>
        <v>1313</v>
      </c>
    </row>
    <row r="2507" ht="45">
      <c r="A2507" s="217"/>
      <c r="B2507" s="217">
        <v>1313</v>
      </c>
      <c r="C2507" s="217"/>
      <c r="D2507" s="217" t="s">
        <v>20408</v>
      </c>
      <c r="E2507" s="471" t="s">
        <v>20402</v>
      </c>
      <c r="F2507" s="471">
        <v>4433</v>
      </c>
      <c r="G2507" s="470" t="s">
        <v>21202</v>
      </c>
      <c r="H2507" s="591" t="s">
        <v>38</v>
      </c>
      <c r="I2507" s="509">
        <v>3</v>
      </c>
      <c r="J2507" s="473">
        <f t="shared" si="1474"/>
        <v>28.940000000000001</v>
      </c>
      <c r="K2507" s="474">
        <f t="shared" si="1489"/>
        <v>86.820000000000007</v>
      </c>
      <c r="L2507" s="473">
        <f t="shared" si="1477"/>
        <v>28.940000000000001</v>
      </c>
      <c r="M2507" s="474">
        <f t="shared" si="1490"/>
        <v>86.820000000000007</v>
      </c>
      <c r="O2507" s="434">
        <f t="shared" si="1475"/>
        <v>28.940000000000001</v>
      </c>
      <c r="P2507" s="435">
        <f t="shared" si="1476"/>
        <v>28.940000000000001</v>
      </c>
      <c r="AE2507" s="217"/>
      <c r="AF2507" s="217">
        <v>1313</v>
      </c>
      <c r="AH2507">
        <f t="shared" si="1488"/>
        <v>1313</v>
      </c>
    </row>
    <row r="2508" ht="60">
      <c r="A2508" s="217"/>
      <c r="B2508" s="217">
        <v>1313</v>
      </c>
      <c r="C2508" s="217"/>
      <c r="D2508" s="217" t="s">
        <v>20398</v>
      </c>
      <c r="E2508" s="471" t="s">
        <v>20405</v>
      </c>
      <c r="F2508" s="482">
        <v>1241</v>
      </c>
      <c r="G2508" s="470" t="s">
        <v>21181</v>
      </c>
      <c r="H2508" s="591" t="s">
        <v>15528</v>
      </c>
      <c r="I2508" s="509">
        <v>3.125e-002</v>
      </c>
      <c r="J2508" s="473">
        <f t="shared" si="1474"/>
        <v>453.00401999999997</v>
      </c>
      <c r="K2508" s="474">
        <f t="shared" si="1489"/>
        <v>14.156375624999999</v>
      </c>
      <c r="L2508" s="473">
        <f t="shared" si="1477"/>
        <v>445.74401999999998</v>
      </c>
      <c r="M2508" s="474">
        <f t="shared" si="1490"/>
        <v>13.929500624999999</v>
      </c>
      <c r="O2508" s="434">
        <f t="shared" si="1475"/>
        <v>453.00401999999997</v>
      </c>
      <c r="P2508" s="435">
        <f t="shared" si="1476"/>
        <v>445.74401999999998</v>
      </c>
      <c r="AE2508" s="217"/>
      <c r="AF2508" s="217">
        <v>1313</v>
      </c>
      <c r="AH2508">
        <f t="shared" si="1488"/>
        <v>1313</v>
      </c>
    </row>
    <row r="2509" ht="45">
      <c r="A2509" s="217"/>
      <c r="B2509" s="217">
        <v>1313</v>
      </c>
      <c r="C2509" s="217"/>
      <c r="D2509" s="217" t="s">
        <v>20398</v>
      </c>
      <c r="E2509" s="471" t="s">
        <v>20409</v>
      </c>
      <c r="F2509" s="482">
        <v>1243</v>
      </c>
      <c r="G2509" s="470" t="s">
        <v>21036</v>
      </c>
      <c r="H2509" s="591" t="s">
        <v>15515</v>
      </c>
      <c r="I2509" s="509">
        <v>0.51000000000000001</v>
      </c>
      <c r="J2509" s="473">
        <f t="shared" si="1474"/>
        <v>10.1928</v>
      </c>
      <c r="K2509" s="474">
        <f t="shared" si="1489"/>
        <v>5.1983280000000001</v>
      </c>
      <c r="L2509" s="473">
        <f t="shared" si="1477"/>
        <v>9.6916499999999992</v>
      </c>
      <c r="M2509" s="474">
        <f t="shared" si="1490"/>
        <v>4.9427414999999995</v>
      </c>
      <c r="O2509" s="434">
        <f t="shared" si="1475"/>
        <v>10.1928</v>
      </c>
      <c r="P2509" s="435">
        <f t="shared" si="1476"/>
        <v>9.6916499999999992</v>
      </c>
      <c r="AE2509" s="217"/>
      <c r="AF2509" s="217">
        <v>1313</v>
      </c>
      <c r="AH2509">
        <f t="shared" si="1488"/>
        <v>1313</v>
      </c>
    </row>
    <row r="2510" ht="45">
      <c r="A2510" s="217"/>
      <c r="B2510" s="217">
        <v>1313</v>
      </c>
      <c r="C2510" s="217"/>
      <c r="D2510" s="217" t="s">
        <v>20398</v>
      </c>
      <c r="E2510" s="471" t="s">
        <v>20663</v>
      </c>
      <c r="F2510" s="482">
        <v>1259</v>
      </c>
      <c r="G2510" s="470" t="s">
        <v>20796</v>
      </c>
      <c r="H2510" s="591" t="s">
        <v>15528</v>
      </c>
      <c r="I2510" s="509">
        <v>3.125e-002</v>
      </c>
      <c r="J2510" s="473">
        <f t="shared" si="1474"/>
        <v>45.520000000000003</v>
      </c>
      <c r="K2510" s="474">
        <f t="shared" si="1489"/>
        <v>1.4225000000000001</v>
      </c>
      <c r="L2510" s="473">
        <f t="shared" si="1477"/>
        <v>43.100000000000001</v>
      </c>
      <c r="M2510" s="474">
        <f t="shared" si="1490"/>
        <v>1.346875</v>
      </c>
      <c r="O2510" s="434">
        <f t="shared" si="1475"/>
        <v>45.520000000000003</v>
      </c>
      <c r="P2510" s="435">
        <f t="shared" si="1476"/>
        <v>43.100000000000001</v>
      </c>
      <c r="AE2510" s="217"/>
      <c r="AF2510" s="217">
        <v>1313</v>
      </c>
      <c r="AH2510">
        <f t="shared" si="1488"/>
        <v>1313</v>
      </c>
    </row>
    <row r="2511" ht="105">
      <c r="A2511" s="217"/>
      <c r="B2511" s="217">
        <v>1313</v>
      </c>
      <c r="C2511" s="217"/>
      <c r="D2511" s="217" t="s">
        <v>17167</v>
      </c>
      <c r="E2511" s="471" t="s">
        <v>20665</v>
      </c>
      <c r="F2511" s="471">
        <v>73467</v>
      </c>
      <c r="G2511" s="470" t="s">
        <v>1601</v>
      </c>
      <c r="H2511" s="591" t="s">
        <v>1535</v>
      </c>
      <c r="I2511" s="509">
        <v>1.e-002</v>
      </c>
      <c r="J2511" s="473">
        <f t="shared" si="1474"/>
        <v>270.61000000000001</v>
      </c>
      <c r="K2511" s="474">
        <f t="shared" si="1489"/>
        <v>2.7061000000000002</v>
      </c>
      <c r="L2511" s="473">
        <f t="shared" si="1477"/>
        <v>269.00999999999999</v>
      </c>
      <c r="M2511" s="474">
        <f t="shared" si="1490"/>
        <v>2.6901000000000002</v>
      </c>
      <c r="O2511" s="434">
        <f t="shared" si="1475"/>
        <v>270.61000000000001</v>
      </c>
      <c r="P2511" s="435">
        <f t="shared" si="1476"/>
        <v>269.00999999999999</v>
      </c>
      <c r="AE2511" s="217"/>
      <c r="AF2511" s="217">
        <v>1313</v>
      </c>
      <c r="AH2511">
        <f t="shared" si="1488"/>
        <v>1313</v>
      </c>
    </row>
    <row r="2512" ht="45">
      <c r="A2512" s="217"/>
      <c r="B2512" s="217">
        <v>1313</v>
      </c>
      <c r="C2512" s="217"/>
      <c r="D2512" s="217" t="s">
        <v>20398</v>
      </c>
      <c r="E2512" s="471" t="s">
        <v>20667</v>
      </c>
      <c r="F2512" s="471">
        <v>1000</v>
      </c>
      <c r="G2512" s="470" t="s">
        <v>20651</v>
      </c>
      <c r="H2512" s="592" t="s">
        <v>15528</v>
      </c>
      <c r="I2512" s="509">
        <v>3.125e-002</v>
      </c>
      <c r="J2512" s="473">
        <f t="shared" si="1474"/>
        <v>149.904</v>
      </c>
      <c r="K2512" s="474">
        <f t="shared" si="1489"/>
        <v>4.6844999999999999</v>
      </c>
      <c r="L2512" s="473">
        <f t="shared" si="1477"/>
        <v>141.76949999999999</v>
      </c>
      <c r="M2512" s="474">
        <f t="shared" si="1490"/>
        <v>4.4302968749999998</v>
      </c>
      <c r="O2512" s="434">
        <f t="shared" si="1475"/>
        <v>149.904</v>
      </c>
      <c r="P2512" s="435">
        <f t="shared" si="1476"/>
        <v>141.76949999999999</v>
      </c>
      <c r="AE2512" s="217"/>
      <c r="AF2512" s="217">
        <v>1313</v>
      </c>
      <c r="AH2512">
        <f t="shared" si="1488"/>
        <v>1313</v>
      </c>
    </row>
    <row r="2513" ht="30">
      <c r="A2513" s="217"/>
      <c r="B2513" s="217">
        <v>1313</v>
      </c>
      <c r="C2513" s="217"/>
      <c r="D2513" s="217" t="s">
        <v>17167</v>
      </c>
      <c r="E2513" s="471" t="s">
        <v>20671</v>
      </c>
      <c r="F2513" s="471">
        <v>88309</v>
      </c>
      <c r="G2513" s="470" t="s">
        <v>7385</v>
      </c>
      <c r="H2513" s="591" t="s">
        <v>2032</v>
      </c>
      <c r="I2513" s="509">
        <v>0.20000000000000001</v>
      </c>
      <c r="J2513" s="473">
        <f t="shared" si="1474"/>
        <v>28.5</v>
      </c>
      <c r="K2513" s="474">
        <f t="shared" si="1489"/>
        <v>5.7000000000000002</v>
      </c>
      <c r="L2513" s="473">
        <f t="shared" si="1477"/>
        <v>26.870000000000001</v>
      </c>
      <c r="M2513" s="474">
        <f t="shared" si="1490"/>
        <v>5.3740000000000006</v>
      </c>
      <c r="O2513" s="434">
        <f t="shared" si="1475"/>
        <v>28.5</v>
      </c>
      <c r="P2513" s="435">
        <f t="shared" si="1476"/>
        <v>26.870000000000001</v>
      </c>
      <c r="AE2513" s="217"/>
      <c r="AF2513" s="217">
        <v>1313</v>
      </c>
      <c r="AH2513">
        <f t="shared" si="1488"/>
        <v>1313</v>
      </c>
    </row>
    <row r="2514" ht="30">
      <c r="A2514" s="217"/>
      <c r="B2514" s="217">
        <v>1313</v>
      </c>
      <c r="C2514" s="217"/>
      <c r="D2514" s="217" t="s">
        <v>17167</v>
      </c>
      <c r="E2514" s="471" t="s">
        <v>20672</v>
      </c>
      <c r="F2514" s="471">
        <v>88316</v>
      </c>
      <c r="G2514" s="470" t="s">
        <v>7393</v>
      </c>
      <c r="H2514" s="591" t="s">
        <v>2032</v>
      </c>
      <c r="I2514" s="509">
        <v>0.20000000000000001</v>
      </c>
      <c r="J2514" s="473">
        <f t="shared" si="1474"/>
        <v>22.760000000000002</v>
      </c>
      <c r="K2514" s="474">
        <f t="shared" si="1489"/>
        <v>4.5520000000000005</v>
      </c>
      <c r="L2514" s="473">
        <f t="shared" si="1477"/>
        <v>21.550000000000001</v>
      </c>
      <c r="M2514" s="474">
        <f t="shared" si="1490"/>
        <v>4.3100000000000005</v>
      </c>
      <c r="O2514" s="434">
        <f t="shared" si="1475"/>
        <v>22.760000000000002</v>
      </c>
      <c r="P2514" s="435">
        <f t="shared" si="1476"/>
        <v>21.550000000000001</v>
      </c>
      <c r="AE2514" s="217"/>
      <c r="AF2514" s="217">
        <v>1313</v>
      </c>
      <c r="AH2514">
        <f t="shared" si="1488"/>
        <v>1313</v>
      </c>
    </row>
    <row r="2515" ht="49.5" customHeight="1">
      <c r="A2515" s="460">
        <v>1314</v>
      </c>
      <c r="B2515" s="460">
        <v>1314</v>
      </c>
      <c r="C2515" s="460"/>
      <c r="D2515" s="460"/>
      <c r="E2515" s="461">
        <v>1</v>
      </c>
      <c r="F2515" s="462" t="s">
        <v>21927</v>
      </c>
      <c r="G2515" s="477" t="s">
        <v>21928</v>
      </c>
      <c r="H2515" s="579" t="s">
        <v>31</v>
      </c>
      <c r="I2515" s="479"/>
      <c r="J2515" s="480"/>
      <c r="K2515" s="466">
        <f>SUM(K2516:K2517)</f>
        <v>55.705847452</v>
      </c>
      <c r="L2515" s="480"/>
      <c r="M2515" s="466">
        <f>SUM(M2516:M2517)</f>
        <v>52.614673685</v>
      </c>
      <c r="N2515" s="467" t="s">
        <v>21929</v>
      </c>
      <c r="O2515" s="434" t="str">
        <f t="shared" si="1475"/>
        <v xml:space="preserve">SEM VALOR</v>
      </c>
      <c r="P2515" s="435" t="str">
        <f t="shared" si="1476"/>
        <v xml:space="preserve">SEM VALOR</v>
      </c>
      <c r="AE2515" s="460">
        <v>1314</v>
      </c>
      <c r="AF2515" s="460"/>
      <c r="AH2515">
        <f t="shared" si="1488"/>
        <v>1314</v>
      </c>
    </row>
    <row r="2516" ht="30">
      <c r="A2516" s="217"/>
      <c r="B2516" s="217">
        <v>1314</v>
      </c>
      <c r="C2516" s="217"/>
      <c r="D2516" s="217" t="s">
        <v>17167</v>
      </c>
      <c r="E2516" s="471" t="s">
        <v>20399</v>
      </c>
      <c r="F2516" s="482">
        <v>88316</v>
      </c>
      <c r="G2516" s="470" t="s">
        <v>7393</v>
      </c>
      <c r="H2516" s="499" t="s">
        <v>2032</v>
      </c>
      <c r="I2516" s="483">
        <f>1.5444*0.3897</f>
        <v>0.60185270000000002</v>
      </c>
      <c r="J2516" s="473">
        <f t="shared" si="1474"/>
        <v>22.760000000000002</v>
      </c>
      <c r="K2516" s="474">
        <f t="shared" ref="K2516:K2517" si="1491">I2516*J2516</f>
        <v>13.698167452000002</v>
      </c>
      <c r="L2516" s="473">
        <f t="shared" si="1477"/>
        <v>21.550000000000001</v>
      </c>
      <c r="M2516" s="474">
        <f t="shared" ref="M2516:M2517" si="1492">L2516*I2516</f>
        <v>12.969925685000002</v>
      </c>
      <c r="O2516" s="434">
        <f t="shared" si="1475"/>
        <v>22.760000000000002</v>
      </c>
      <c r="P2516" s="435">
        <f t="shared" si="1476"/>
        <v>21.550000000000001</v>
      </c>
      <c r="AE2516" s="217"/>
      <c r="AF2516" s="217">
        <v>1314</v>
      </c>
      <c r="AH2516">
        <f t="shared" si="1488"/>
        <v>1314</v>
      </c>
    </row>
    <row r="2517" ht="30">
      <c r="A2517" s="217"/>
      <c r="B2517" s="217">
        <v>1314</v>
      </c>
      <c r="C2517" s="217"/>
      <c r="D2517" s="217" t="s">
        <v>17167</v>
      </c>
      <c r="E2517" s="471" t="s">
        <v>20402</v>
      </c>
      <c r="F2517" s="482">
        <v>88441</v>
      </c>
      <c r="G2517" s="470" t="s">
        <v>7331</v>
      </c>
      <c r="H2517" s="482" t="s">
        <v>2032</v>
      </c>
      <c r="I2517" s="483">
        <v>1.5444</v>
      </c>
      <c r="J2517" s="473">
        <f t="shared" si="1474"/>
        <v>27.199999999999999</v>
      </c>
      <c r="K2517" s="474">
        <f t="shared" si="1491"/>
        <v>42.007680000000001</v>
      </c>
      <c r="L2517" s="473">
        <f t="shared" si="1477"/>
        <v>25.670000000000002</v>
      </c>
      <c r="M2517" s="474">
        <f t="shared" si="1492"/>
        <v>39.644748</v>
      </c>
      <c r="O2517" s="434">
        <f t="shared" si="1475"/>
        <v>27.199999999999999</v>
      </c>
      <c r="P2517" s="435">
        <f t="shared" si="1476"/>
        <v>25.670000000000002</v>
      </c>
      <c r="AE2517" s="217"/>
      <c r="AF2517" s="217">
        <v>1314</v>
      </c>
      <c r="AH2517">
        <f t="shared" si="1488"/>
        <v>1314</v>
      </c>
    </row>
    <row r="2518" ht="63">
      <c r="A2518" s="460">
        <v>1315</v>
      </c>
      <c r="B2518" s="460">
        <v>1315</v>
      </c>
      <c r="C2518" s="460"/>
      <c r="D2518" s="460"/>
      <c r="E2518" s="461">
        <v>1</v>
      </c>
      <c r="F2518" s="462" t="s">
        <v>21930</v>
      </c>
      <c r="G2518" s="477" t="s">
        <v>21931</v>
      </c>
      <c r="H2518" s="579" t="s">
        <v>31</v>
      </c>
      <c r="I2518" s="479"/>
      <c r="J2518" s="480"/>
      <c r="K2518" s="466">
        <f>SUM(K2519:K2522)</f>
        <v>78.581642140000014</v>
      </c>
      <c r="L2518" s="480"/>
      <c r="M2518" s="466">
        <f>SUM(M2519:M2522)</f>
        <v>75.45327703000001</v>
      </c>
      <c r="N2518" s="467" t="s">
        <v>21932</v>
      </c>
      <c r="O2518" s="434" t="str">
        <f t="shared" si="1475"/>
        <v xml:space="preserve">SEM VALOR</v>
      </c>
      <c r="P2518" s="435" t="str">
        <f t="shared" si="1476"/>
        <v xml:space="preserve">SEM VALOR</v>
      </c>
      <c r="AE2518" s="460">
        <v>1315</v>
      </c>
      <c r="AF2518" s="460"/>
      <c r="AH2518">
        <f t="shared" si="1488"/>
        <v>1315</v>
      </c>
    </row>
    <row r="2519" ht="120">
      <c r="A2519" s="217"/>
      <c r="B2519" s="217">
        <v>1315</v>
      </c>
      <c r="C2519" s="217"/>
      <c r="D2519" s="217" t="s">
        <v>17167</v>
      </c>
      <c r="E2519" s="471" t="s">
        <v>20399</v>
      </c>
      <c r="F2519" s="482">
        <v>5678</v>
      </c>
      <c r="G2519" s="470" t="s">
        <v>1875</v>
      </c>
      <c r="H2519" s="499" t="s">
        <v>1535</v>
      </c>
      <c r="I2519" s="483">
        <f>0.1333*0.3897</f>
        <v>5.1947e-002</v>
      </c>
      <c r="J2519" s="473">
        <f t="shared" si="1474"/>
        <v>157.62</v>
      </c>
      <c r="K2519" s="474">
        <f t="shared" ref="K2519:K2522" si="1493">I2519*J2519</f>
        <v>8.1878861399999998</v>
      </c>
      <c r="L2519" s="473">
        <f t="shared" si="1477"/>
        <v>155.49000000000001</v>
      </c>
      <c r="M2519" s="474">
        <f t="shared" ref="M2519:M2522" si="1494">L2519*I2519</f>
        <v>8.0772390300000012</v>
      </c>
      <c r="O2519" s="434">
        <f t="shared" si="1475"/>
        <v>157.62</v>
      </c>
      <c r="P2519" s="435">
        <f t="shared" si="1476"/>
        <v>155.49000000000001</v>
      </c>
      <c r="AE2519" s="217"/>
      <c r="AF2519" s="217">
        <v>1315</v>
      </c>
      <c r="AH2519">
        <f t="shared" si="1488"/>
        <v>1315</v>
      </c>
    </row>
    <row r="2520" ht="120">
      <c r="A2520" s="217"/>
      <c r="B2520" s="217">
        <v>1315</v>
      </c>
      <c r="C2520" s="217"/>
      <c r="D2520" s="217" t="s">
        <v>17167</v>
      </c>
      <c r="E2520" s="471" t="s">
        <v>20402</v>
      </c>
      <c r="F2520" s="482">
        <v>5679</v>
      </c>
      <c r="G2520" s="470" t="s">
        <v>1874</v>
      </c>
      <c r="H2520" s="499" t="s">
        <v>1533</v>
      </c>
      <c r="I2520" s="483">
        <f>0.5446</f>
        <v>0.54459999999999997</v>
      </c>
      <c r="J2520" s="473">
        <f t="shared" si="1474"/>
        <v>67.060000000000002</v>
      </c>
      <c r="K2520" s="474">
        <f t="shared" si="1493"/>
        <v>36.520876000000001</v>
      </c>
      <c r="L2520" s="473">
        <f t="shared" si="1477"/>
        <v>64.930000000000007</v>
      </c>
      <c r="M2520" s="474">
        <f t="shared" si="1494"/>
        <v>35.360878</v>
      </c>
      <c r="O2520" s="434">
        <f t="shared" si="1475"/>
        <v>67.060000000000002</v>
      </c>
      <c r="P2520" s="435">
        <f t="shared" si="1476"/>
        <v>64.930000000000007</v>
      </c>
      <c r="AE2520" s="217"/>
      <c r="AF2520" s="217">
        <v>1315</v>
      </c>
      <c r="AH2520">
        <f t="shared" si="1488"/>
        <v>1315</v>
      </c>
    </row>
    <row r="2521" ht="30">
      <c r="A2521" s="217"/>
      <c r="B2521" s="217">
        <v>1315</v>
      </c>
      <c r="C2521" s="217"/>
      <c r="D2521" s="217" t="s">
        <v>17167</v>
      </c>
      <c r="E2521" s="471" t="s">
        <v>20405</v>
      </c>
      <c r="F2521" s="482">
        <v>88316</v>
      </c>
      <c r="G2521" s="470" t="s">
        <v>7393</v>
      </c>
      <c r="H2521" s="499" t="s">
        <v>2032</v>
      </c>
      <c r="I2521" s="483">
        <v>0.67800000000000005</v>
      </c>
      <c r="J2521" s="473">
        <f t="shared" si="1474"/>
        <v>22.760000000000002</v>
      </c>
      <c r="K2521" s="474">
        <f t="shared" si="1493"/>
        <v>15.431280000000003</v>
      </c>
      <c r="L2521" s="473">
        <f t="shared" si="1477"/>
        <v>21.550000000000001</v>
      </c>
      <c r="M2521" s="474">
        <f t="shared" si="1494"/>
        <v>14.610900000000001</v>
      </c>
      <c r="O2521" s="434">
        <f t="shared" si="1475"/>
        <v>22.760000000000002</v>
      </c>
      <c r="P2521" s="435">
        <f t="shared" si="1476"/>
        <v>21.550000000000001</v>
      </c>
      <c r="AE2521" s="217"/>
      <c r="AF2521" s="217">
        <v>1315</v>
      </c>
      <c r="AH2521">
        <f t="shared" si="1488"/>
        <v>1315</v>
      </c>
    </row>
    <row r="2522" ht="30">
      <c r="A2522" s="217"/>
      <c r="B2522" s="217">
        <v>1315</v>
      </c>
      <c r="C2522" s="217"/>
      <c r="D2522" s="217" t="s">
        <v>17167</v>
      </c>
      <c r="E2522" s="471" t="s">
        <v>20409</v>
      </c>
      <c r="F2522" s="482">
        <v>88441</v>
      </c>
      <c r="G2522" s="470" t="s">
        <v>7331</v>
      </c>
      <c r="H2522" s="482" t="s">
        <v>2032</v>
      </c>
      <c r="I2522" s="483">
        <v>0.67800000000000005</v>
      </c>
      <c r="J2522" s="473">
        <f t="shared" si="1474"/>
        <v>27.199999999999999</v>
      </c>
      <c r="K2522" s="474">
        <f t="shared" si="1493"/>
        <v>18.441600000000001</v>
      </c>
      <c r="L2522" s="473">
        <f t="shared" si="1477"/>
        <v>25.670000000000002</v>
      </c>
      <c r="M2522" s="474">
        <f t="shared" si="1494"/>
        <v>17.404260000000001</v>
      </c>
      <c r="O2522" s="434">
        <f t="shared" si="1475"/>
        <v>27.199999999999999</v>
      </c>
      <c r="P2522" s="435">
        <f t="shared" si="1476"/>
        <v>25.670000000000002</v>
      </c>
      <c r="AE2522" s="217"/>
      <c r="AF2522" s="217">
        <v>1315</v>
      </c>
      <c r="AH2522">
        <f t="shared" si="1488"/>
        <v>1315</v>
      </c>
    </row>
    <row r="2523" ht="126">
      <c r="A2523" s="460">
        <v>1316</v>
      </c>
      <c r="B2523" s="460">
        <v>1316</v>
      </c>
      <c r="C2523" s="460"/>
      <c r="D2523" s="460"/>
      <c r="E2523" s="461">
        <v>1</v>
      </c>
      <c r="F2523" s="462" t="s">
        <v>21933</v>
      </c>
      <c r="G2523" s="477" t="s">
        <v>21934</v>
      </c>
      <c r="H2523" s="579" t="s">
        <v>31</v>
      </c>
      <c r="I2523" s="479"/>
      <c r="J2523" s="480"/>
      <c r="K2523" s="466">
        <f>SUM(K2524:K2532)</f>
        <v>512.70240362499999</v>
      </c>
      <c r="L2523" s="480"/>
      <c r="M2523" s="466">
        <f>SUM(M2524:M2532)</f>
        <v>511.30611400000004</v>
      </c>
      <c r="N2523" s="467" t="s">
        <v>20703</v>
      </c>
      <c r="O2523" s="434" t="str">
        <f t="shared" si="1475"/>
        <v xml:space="preserve">SEM VALOR</v>
      </c>
      <c r="P2523" s="435" t="str">
        <f t="shared" si="1476"/>
        <v xml:space="preserve">SEM VALOR</v>
      </c>
      <c r="AE2523" s="460">
        <v>1316</v>
      </c>
      <c r="AF2523" s="460"/>
      <c r="AH2523">
        <f t="shared" si="1488"/>
        <v>1316</v>
      </c>
    </row>
    <row r="2524" ht="30">
      <c r="A2524" s="217"/>
      <c r="B2524" s="217">
        <v>1316</v>
      </c>
      <c r="C2524" s="217"/>
      <c r="D2524" s="217" t="s">
        <v>20408</v>
      </c>
      <c r="E2524" s="471" t="s">
        <v>20399</v>
      </c>
      <c r="F2524" s="471">
        <v>34723</v>
      </c>
      <c r="G2524" s="470" t="s">
        <v>21184</v>
      </c>
      <c r="H2524" s="591" t="s">
        <v>15515</v>
      </c>
      <c r="I2524" s="509">
        <v>0.37</v>
      </c>
      <c r="J2524" s="473">
        <f t="shared" si="1474"/>
        <v>997.91999999999996</v>
      </c>
      <c r="K2524" s="474">
        <f t="shared" ref="K2524:K2532" si="1495">I2524*J2524</f>
        <v>369.23039999999997</v>
      </c>
      <c r="L2524" s="473">
        <f t="shared" si="1477"/>
        <v>997.91999999999996</v>
      </c>
      <c r="M2524" s="474">
        <f t="shared" ref="M2524:M2532" si="1496">L2524*I2524</f>
        <v>369.23039999999997</v>
      </c>
      <c r="O2524" s="434">
        <f t="shared" si="1475"/>
        <v>997.91999999999996</v>
      </c>
      <c r="P2524" s="435">
        <f t="shared" si="1476"/>
        <v>997.91999999999996</v>
      </c>
      <c r="AE2524" s="217"/>
      <c r="AF2524" s="217">
        <v>1316</v>
      </c>
      <c r="AH2524">
        <f t="shared" si="1488"/>
        <v>1316</v>
      </c>
    </row>
    <row r="2525" ht="45">
      <c r="A2525" s="217"/>
      <c r="B2525" s="217">
        <v>1316</v>
      </c>
      <c r="C2525" s="217"/>
      <c r="D2525" s="217" t="s">
        <v>20408</v>
      </c>
      <c r="E2525" s="471" t="s">
        <v>20402</v>
      </c>
      <c r="F2525" s="471">
        <v>4433</v>
      </c>
      <c r="G2525" s="470" t="s">
        <v>21202</v>
      </c>
      <c r="H2525" s="591" t="s">
        <v>38</v>
      </c>
      <c r="I2525" s="509">
        <v>3.6299999999999999</v>
      </c>
      <c r="J2525" s="473">
        <f t="shared" si="1474"/>
        <v>28.940000000000001</v>
      </c>
      <c r="K2525" s="474">
        <f t="shared" si="1495"/>
        <v>105.0522</v>
      </c>
      <c r="L2525" s="473">
        <f t="shared" si="1477"/>
        <v>28.940000000000001</v>
      </c>
      <c r="M2525" s="474">
        <f t="shared" si="1496"/>
        <v>105.0522</v>
      </c>
      <c r="O2525" s="434">
        <f t="shared" si="1475"/>
        <v>28.940000000000001</v>
      </c>
      <c r="P2525" s="435">
        <f t="shared" si="1476"/>
        <v>28.940000000000001</v>
      </c>
      <c r="AE2525" s="217"/>
      <c r="AF2525" s="217">
        <v>1316</v>
      </c>
      <c r="AH2525">
        <f t="shared" si="1488"/>
        <v>1316</v>
      </c>
    </row>
    <row r="2526" ht="60">
      <c r="A2526" s="217"/>
      <c r="B2526" s="217">
        <v>1316</v>
      </c>
      <c r="C2526" s="217"/>
      <c r="D2526" s="217" t="s">
        <v>20398</v>
      </c>
      <c r="E2526" s="471" t="s">
        <v>20405</v>
      </c>
      <c r="F2526" s="482">
        <v>1241</v>
      </c>
      <c r="G2526" s="470" t="s">
        <v>21181</v>
      </c>
      <c r="H2526" s="591" t="s">
        <v>15528</v>
      </c>
      <c r="I2526" s="509">
        <v>3.125e-002</v>
      </c>
      <c r="J2526" s="473">
        <f t="shared" ref="J2526:J2589" si="1497">O2526*$J$3</f>
        <v>453.00401999999997</v>
      </c>
      <c r="K2526" s="474">
        <f t="shared" si="1495"/>
        <v>14.156375624999999</v>
      </c>
      <c r="L2526" s="473">
        <f t="shared" si="1477"/>
        <v>445.74401999999998</v>
      </c>
      <c r="M2526" s="474">
        <f t="shared" si="1496"/>
        <v>13.929500624999999</v>
      </c>
      <c r="O2526" s="434">
        <f t="shared" si="1475"/>
        <v>453.00401999999997</v>
      </c>
      <c r="P2526" s="435">
        <f t="shared" si="1476"/>
        <v>445.74401999999998</v>
      </c>
      <c r="AE2526" s="217"/>
      <c r="AF2526" s="217">
        <v>1316</v>
      </c>
      <c r="AH2526">
        <f t="shared" si="1488"/>
        <v>1316</v>
      </c>
    </row>
    <row r="2527" ht="45">
      <c r="A2527" s="217"/>
      <c r="B2527" s="217">
        <v>1316</v>
      </c>
      <c r="C2527" s="217"/>
      <c r="D2527" s="217" t="s">
        <v>20398</v>
      </c>
      <c r="E2527" s="471" t="s">
        <v>20409</v>
      </c>
      <c r="F2527" s="482">
        <v>1243</v>
      </c>
      <c r="G2527" s="470" t="s">
        <v>21036</v>
      </c>
      <c r="H2527" s="591" t="s">
        <v>15515</v>
      </c>
      <c r="I2527" s="509">
        <v>0.51000000000000001</v>
      </c>
      <c r="J2527" s="473">
        <f t="shared" si="1497"/>
        <v>10.1928</v>
      </c>
      <c r="K2527" s="474">
        <f t="shared" si="1495"/>
        <v>5.1983280000000001</v>
      </c>
      <c r="L2527" s="473">
        <f t="shared" si="1477"/>
        <v>9.6916499999999992</v>
      </c>
      <c r="M2527" s="474">
        <f t="shared" si="1496"/>
        <v>4.9427414999999995</v>
      </c>
      <c r="O2527" s="434">
        <f t="shared" si="1475"/>
        <v>10.1928</v>
      </c>
      <c r="P2527" s="435">
        <f t="shared" si="1476"/>
        <v>9.6916499999999992</v>
      </c>
      <c r="AE2527" s="217"/>
      <c r="AF2527" s="217">
        <v>1316</v>
      </c>
      <c r="AH2527">
        <f t="shared" si="1488"/>
        <v>1316</v>
      </c>
    </row>
    <row r="2528" ht="45">
      <c r="A2528" s="217"/>
      <c r="B2528" s="217">
        <v>1316</v>
      </c>
      <c r="C2528" s="217"/>
      <c r="D2528" s="217" t="s">
        <v>20398</v>
      </c>
      <c r="E2528" s="471" t="s">
        <v>20663</v>
      </c>
      <c r="F2528" s="482">
        <v>1259</v>
      </c>
      <c r="G2528" s="470" t="s">
        <v>20796</v>
      </c>
      <c r="H2528" s="591" t="s">
        <v>15528</v>
      </c>
      <c r="I2528" s="509">
        <v>3.125e-002</v>
      </c>
      <c r="J2528" s="473">
        <f t="shared" si="1497"/>
        <v>45.520000000000003</v>
      </c>
      <c r="K2528" s="474">
        <f t="shared" si="1495"/>
        <v>1.4225000000000001</v>
      </c>
      <c r="L2528" s="473">
        <f t="shared" si="1477"/>
        <v>43.100000000000001</v>
      </c>
      <c r="M2528" s="474">
        <f t="shared" si="1496"/>
        <v>1.346875</v>
      </c>
      <c r="O2528" s="434">
        <f t="shared" si="1475"/>
        <v>45.520000000000003</v>
      </c>
      <c r="P2528" s="435">
        <f t="shared" si="1476"/>
        <v>43.100000000000001</v>
      </c>
      <c r="AE2528" s="217"/>
      <c r="AF2528" s="217">
        <v>1316</v>
      </c>
      <c r="AH2528">
        <f t="shared" si="1488"/>
        <v>1316</v>
      </c>
    </row>
    <row r="2529" ht="105">
      <c r="A2529" s="217"/>
      <c r="B2529" s="217">
        <v>1316</v>
      </c>
      <c r="C2529" s="217"/>
      <c r="D2529" s="217" t="s">
        <v>17167</v>
      </c>
      <c r="E2529" s="471" t="s">
        <v>20665</v>
      </c>
      <c r="F2529" s="471">
        <v>73467</v>
      </c>
      <c r="G2529" s="470" t="s">
        <v>1601</v>
      </c>
      <c r="H2529" s="591" t="s">
        <v>1535</v>
      </c>
      <c r="I2529" s="509">
        <v>1.e-002</v>
      </c>
      <c r="J2529" s="473">
        <f t="shared" si="1497"/>
        <v>270.61000000000001</v>
      </c>
      <c r="K2529" s="474">
        <f t="shared" si="1495"/>
        <v>2.7061000000000002</v>
      </c>
      <c r="L2529" s="473">
        <f t="shared" si="1477"/>
        <v>269.00999999999999</v>
      </c>
      <c r="M2529" s="474">
        <f t="shared" si="1496"/>
        <v>2.6901000000000002</v>
      </c>
      <c r="O2529" s="434">
        <f t="shared" si="1475"/>
        <v>270.61000000000001</v>
      </c>
      <c r="P2529" s="435">
        <f t="shared" si="1476"/>
        <v>269.00999999999999</v>
      </c>
      <c r="AE2529" s="217"/>
      <c r="AF2529" s="217">
        <v>1316</v>
      </c>
      <c r="AH2529">
        <f t="shared" si="1488"/>
        <v>1316</v>
      </c>
    </row>
    <row r="2530" ht="45">
      <c r="A2530" s="217"/>
      <c r="B2530" s="217">
        <v>1316</v>
      </c>
      <c r="C2530" s="217"/>
      <c r="D2530" s="217" t="s">
        <v>20398</v>
      </c>
      <c r="E2530" s="471" t="s">
        <v>20667</v>
      </c>
      <c r="F2530" s="471">
        <v>1000</v>
      </c>
      <c r="G2530" s="470" t="s">
        <v>20651</v>
      </c>
      <c r="H2530" s="592" t="s">
        <v>15528</v>
      </c>
      <c r="I2530" s="509">
        <v>3.125e-002</v>
      </c>
      <c r="J2530" s="473">
        <f t="shared" si="1497"/>
        <v>149.904</v>
      </c>
      <c r="K2530" s="474">
        <f t="shared" si="1495"/>
        <v>4.6844999999999999</v>
      </c>
      <c r="L2530" s="473">
        <f t="shared" si="1477"/>
        <v>141.76949999999999</v>
      </c>
      <c r="M2530" s="474">
        <f t="shared" si="1496"/>
        <v>4.4302968749999998</v>
      </c>
      <c r="O2530" s="434">
        <f t="shared" si="1475"/>
        <v>149.904</v>
      </c>
      <c r="P2530" s="435">
        <f t="shared" si="1476"/>
        <v>141.76949999999999</v>
      </c>
      <c r="AE2530" s="217"/>
      <c r="AF2530" s="217">
        <v>1316</v>
      </c>
      <c r="AH2530">
        <f t="shared" si="1488"/>
        <v>1316</v>
      </c>
    </row>
    <row r="2531" ht="30">
      <c r="A2531" s="217"/>
      <c r="B2531" s="217">
        <v>1316</v>
      </c>
      <c r="C2531" s="217"/>
      <c r="D2531" s="217" t="s">
        <v>17167</v>
      </c>
      <c r="E2531" s="471" t="s">
        <v>20671</v>
      </c>
      <c r="F2531" s="471">
        <v>88309</v>
      </c>
      <c r="G2531" s="470" t="s">
        <v>7385</v>
      </c>
      <c r="H2531" s="591" t="s">
        <v>2032</v>
      </c>
      <c r="I2531" s="509">
        <v>0.20000000000000001</v>
      </c>
      <c r="J2531" s="473">
        <f t="shared" si="1497"/>
        <v>28.5</v>
      </c>
      <c r="K2531" s="474">
        <f t="shared" si="1495"/>
        <v>5.7000000000000002</v>
      </c>
      <c r="L2531" s="473">
        <f t="shared" si="1477"/>
        <v>26.870000000000001</v>
      </c>
      <c r="M2531" s="474">
        <f t="shared" si="1496"/>
        <v>5.3740000000000006</v>
      </c>
      <c r="O2531" s="434">
        <f t="shared" si="1475"/>
        <v>28.5</v>
      </c>
      <c r="P2531" s="435">
        <f t="shared" si="1476"/>
        <v>26.870000000000001</v>
      </c>
      <c r="AE2531" s="217"/>
      <c r="AF2531" s="217">
        <v>1316</v>
      </c>
      <c r="AH2531">
        <f t="shared" si="1488"/>
        <v>1316</v>
      </c>
    </row>
    <row r="2532" ht="30">
      <c r="A2532" s="217"/>
      <c r="B2532" s="217">
        <v>1316</v>
      </c>
      <c r="C2532" s="217"/>
      <c r="D2532" s="217" t="s">
        <v>17167</v>
      </c>
      <c r="E2532" s="471" t="s">
        <v>20672</v>
      </c>
      <c r="F2532" s="471">
        <v>88316</v>
      </c>
      <c r="G2532" s="470" t="s">
        <v>7393</v>
      </c>
      <c r="H2532" s="591" t="s">
        <v>2032</v>
      </c>
      <c r="I2532" s="509">
        <v>0.20000000000000001</v>
      </c>
      <c r="J2532" s="473">
        <f t="shared" si="1497"/>
        <v>22.760000000000002</v>
      </c>
      <c r="K2532" s="474">
        <f t="shared" si="1495"/>
        <v>4.5520000000000005</v>
      </c>
      <c r="L2532" s="473">
        <f t="shared" si="1477"/>
        <v>21.550000000000001</v>
      </c>
      <c r="M2532" s="474">
        <f t="shared" si="1496"/>
        <v>4.3100000000000005</v>
      </c>
      <c r="O2532" s="434">
        <f t="shared" si="1475"/>
        <v>22.760000000000002</v>
      </c>
      <c r="P2532" s="435">
        <f t="shared" si="1476"/>
        <v>21.550000000000001</v>
      </c>
      <c r="AE2532" s="217"/>
      <c r="AF2532" s="217">
        <v>1316</v>
      </c>
      <c r="AH2532">
        <f t="shared" si="1488"/>
        <v>1316</v>
      </c>
    </row>
    <row r="2533" ht="63">
      <c r="A2533" s="460">
        <v>1317</v>
      </c>
      <c r="B2533" s="460">
        <v>1317</v>
      </c>
      <c r="C2533" s="460"/>
      <c r="D2533" s="460"/>
      <c r="E2533" s="461">
        <v>1</v>
      </c>
      <c r="F2533" s="462" t="s">
        <v>21935</v>
      </c>
      <c r="G2533" s="477" t="s">
        <v>21936</v>
      </c>
      <c r="H2533" s="478" t="s">
        <v>21848</v>
      </c>
      <c r="I2533" s="479"/>
      <c r="J2533" s="480"/>
      <c r="K2533" s="466">
        <f>SUM(K2534:K2534)</f>
        <v>0.848387738</v>
      </c>
      <c r="L2533" s="480"/>
      <c r="M2533" s="466">
        <f>SUM(M2534:M2534)</f>
        <v>0.848387738</v>
      </c>
      <c r="N2533" s="467" t="s">
        <v>21937</v>
      </c>
      <c r="O2533" s="434" t="str">
        <f t="shared" si="1475"/>
        <v xml:space="preserve">SEM VALOR</v>
      </c>
      <c r="P2533" s="435" t="str">
        <f t="shared" si="1476"/>
        <v xml:space="preserve">SEM VALOR</v>
      </c>
      <c r="AE2533" s="460">
        <v>1317</v>
      </c>
      <c r="AF2533" s="460"/>
      <c r="AH2533">
        <f t="shared" si="1488"/>
        <v>1317</v>
      </c>
    </row>
    <row r="2534" ht="30">
      <c r="A2534" s="217"/>
      <c r="B2534" s="217">
        <v>1317</v>
      </c>
      <c r="C2534" s="217"/>
      <c r="D2534" s="217" t="s">
        <v>20644</v>
      </c>
      <c r="E2534" s="471" t="s">
        <v>20399</v>
      </c>
      <c r="F2534" s="469" t="s">
        <v>15487</v>
      </c>
      <c r="G2534" s="470" t="s">
        <v>21938</v>
      </c>
      <c r="H2534" s="482" t="s">
        <v>1535</v>
      </c>
      <c r="I2534" s="578">
        <f>1/373.5</f>
        <v>2.6773999999999999e-003</v>
      </c>
      <c r="J2534" s="473">
        <f t="shared" si="1497"/>
        <v>316.87</v>
      </c>
      <c r="K2534" s="474">
        <f>I2534*J2534</f>
        <v>0.848387738</v>
      </c>
      <c r="L2534" s="473">
        <f t="shared" si="1477"/>
        <v>316.87</v>
      </c>
      <c r="M2534" s="474">
        <f>L2534*I2534</f>
        <v>0.848387738</v>
      </c>
      <c r="N2534" s="576"/>
      <c r="O2534" s="434">
        <f t="shared" si="1475"/>
        <v>316.87</v>
      </c>
      <c r="P2534" s="435">
        <f t="shared" si="1476"/>
        <v>316.87</v>
      </c>
      <c r="AE2534" s="217"/>
      <c r="AF2534" s="217">
        <v>1317</v>
      </c>
      <c r="AH2534">
        <f t="shared" si="1488"/>
        <v>1317</v>
      </c>
    </row>
    <row r="2535" ht="45.75">
      <c r="A2535" s="217"/>
      <c r="B2535" s="217">
        <v>1317</v>
      </c>
      <c r="C2535" s="217"/>
      <c r="D2535" s="217"/>
      <c r="E2535" s="471"/>
      <c r="F2535" s="486"/>
      <c r="G2535" s="470" t="s">
        <v>21939</v>
      </c>
      <c r="H2535" s="482"/>
      <c r="I2535" s="578"/>
      <c r="J2535" s="577"/>
      <c r="K2535" s="474"/>
      <c r="L2535" s="577"/>
      <c r="M2535" s="474"/>
      <c r="N2535" s="576"/>
      <c r="O2535" s="434" t="str">
        <f t="shared" si="1475"/>
        <v xml:space="preserve">SEM VALOR</v>
      </c>
      <c r="P2535" s="435" t="str">
        <f t="shared" si="1476"/>
        <v xml:space="preserve">SEM VALOR</v>
      </c>
      <c r="AE2535" s="217"/>
      <c r="AF2535" s="217">
        <v>1317</v>
      </c>
      <c r="AH2535">
        <f t="shared" si="1488"/>
        <v>1317</v>
      </c>
    </row>
    <row r="2536">
      <c r="A2536" s="217"/>
      <c r="B2536" s="217">
        <v>1317</v>
      </c>
      <c r="C2536" s="217"/>
      <c r="D2536" s="217"/>
      <c r="E2536" s="471"/>
      <c r="F2536" s="486"/>
      <c r="G2536" s="470" t="s">
        <v>21940</v>
      </c>
      <c r="H2536" s="482"/>
      <c r="I2536" s="578"/>
      <c r="J2536" s="577"/>
      <c r="K2536" s="474"/>
      <c r="L2536" s="577"/>
      <c r="M2536" s="474"/>
      <c r="N2536" s="576"/>
      <c r="O2536" s="434" t="str">
        <f t="shared" si="1475"/>
        <v xml:space="preserve">SEM VALOR</v>
      </c>
      <c r="P2536" s="435" t="str">
        <f t="shared" si="1476"/>
        <v xml:space="preserve">SEM VALOR</v>
      </c>
      <c r="AE2536" s="217"/>
      <c r="AF2536" s="217">
        <v>1317</v>
      </c>
      <c r="AH2536">
        <f t="shared" si="1488"/>
        <v>1317</v>
      </c>
    </row>
    <row r="2537" ht="78.75">
      <c r="A2537" s="460">
        <v>1318</v>
      </c>
      <c r="B2537" s="460">
        <v>1318</v>
      </c>
      <c r="C2537" s="460"/>
      <c r="D2537" s="460"/>
      <c r="E2537" s="461">
        <v>1</v>
      </c>
      <c r="F2537" s="462" t="s">
        <v>21941</v>
      </c>
      <c r="G2537" s="477" t="s">
        <v>21942</v>
      </c>
      <c r="H2537" s="478" t="s">
        <v>21848</v>
      </c>
      <c r="I2537" s="479"/>
      <c r="J2537" s="480"/>
      <c r="K2537" s="466">
        <f>SUM(K2538:K2538)</f>
        <v>0.91780586399999997</v>
      </c>
      <c r="L2537" s="480"/>
      <c r="M2537" s="466">
        <f>SUM(M2538:M2538)</f>
        <v>0.91780586399999997</v>
      </c>
      <c r="N2537" s="467" t="s">
        <v>21943</v>
      </c>
      <c r="O2537" s="434" t="str">
        <f t="shared" si="1475"/>
        <v xml:space="preserve">SEM VALOR</v>
      </c>
      <c r="P2537" s="435" t="str">
        <f t="shared" si="1476"/>
        <v xml:space="preserve">SEM VALOR</v>
      </c>
      <c r="AE2537" s="460">
        <v>1318</v>
      </c>
      <c r="AF2537" s="460"/>
      <c r="AH2537">
        <f t="shared" si="1488"/>
        <v>1318</v>
      </c>
    </row>
    <row r="2538" ht="30">
      <c r="A2538" s="217"/>
      <c r="B2538" s="217">
        <v>1318</v>
      </c>
      <c r="C2538" s="217"/>
      <c r="D2538" s="217" t="s">
        <v>20644</v>
      </c>
      <c r="E2538" s="471" t="s">
        <v>20399</v>
      </c>
      <c r="F2538" s="469" t="s">
        <v>15489</v>
      </c>
      <c r="G2538" s="470" t="s">
        <v>21944</v>
      </c>
      <c r="H2538" s="482" t="s">
        <v>1535</v>
      </c>
      <c r="I2538" s="483">
        <f>1/224.1</f>
        <v>4.4622999999999998e-003</v>
      </c>
      <c r="J2538" s="473">
        <f t="shared" si="1497"/>
        <v>205.68000000000001</v>
      </c>
      <c r="K2538" s="474">
        <f>I2538*J2538</f>
        <v>0.91780586399999997</v>
      </c>
      <c r="L2538" s="473">
        <f t="shared" si="1477"/>
        <v>205.68000000000001</v>
      </c>
      <c r="M2538" s="474">
        <f>L2538*I2538</f>
        <v>0.91780586399999997</v>
      </c>
      <c r="N2538" s="576"/>
      <c r="O2538" s="434">
        <f t="shared" si="1475"/>
        <v>205.68000000000001</v>
      </c>
      <c r="P2538" s="435">
        <f t="shared" si="1476"/>
        <v>205.68000000000001</v>
      </c>
      <c r="AE2538" s="217"/>
      <c r="AF2538" s="217">
        <v>1318</v>
      </c>
      <c r="AH2538">
        <f t="shared" si="1488"/>
        <v>1318</v>
      </c>
    </row>
    <row r="2539" ht="45.75">
      <c r="A2539" s="217"/>
      <c r="B2539" s="217">
        <v>1318</v>
      </c>
      <c r="C2539" s="217"/>
      <c r="D2539" s="217"/>
      <c r="E2539" s="471"/>
      <c r="F2539" s="486"/>
      <c r="G2539" s="470" t="s">
        <v>21945</v>
      </c>
      <c r="H2539" s="482"/>
      <c r="I2539" s="483"/>
      <c r="J2539" s="577"/>
      <c r="K2539" s="474"/>
      <c r="L2539" s="577"/>
      <c r="M2539" s="474"/>
      <c r="N2539" s="467"/>
      <c r="O2539" s="434" t="str">
        <f t="shared" si="1475"/>
        <v xml:space="preserve">SEM VALOR</v>
      </c>
      <c r="P2539" s="435" t="str">
        <f t="shared" si="1476"/>
        <v xml:space="preserve">SEM VALOR</v>
      </c>
      <c r="AE2539" s="217"/>
      <c r="AF2539" s="217">
        <v>1318</v>
      </c>
      <c r="AH2539">
        <f t="shared" si="1488"/>
        <v>1318</v>
      </c>
    </row>
    <row r="2540">
      <c r="A2540" s="217"/>
      <c r="B2540" s="217">
        <v>1318</v>
      </c>
      <c r="C2540" s="217"/>
      <c r="D2540" s="217"/>
      <c r="E2540" s="471"/>
      <c r="F2540" s="486"/>
      <c r="G2540" s="470" t="s">
        <v>21940</v>
      </c>
      <c r="H2540" s="482"/>
      <c r="I2540" s="483"/>
      <c r="J2540" s="577"/>
      <c r="K2540" s="474"/>
      <c r="L2540" s="577"/>
      <c r="M2540" s="474"/>
      <c r="N2540" s="467"/>
      <c r="O2540" s="434" t="str">
        <f t="shared" ref="O2540:O2603" si="1498">IFERROR(IF(D2540="SINAPI",VLOOKUP(F2540,SINCOMOD,4,FALSE),IF(D2540="INSINAPI",VLOOKUP(F2540,INSINOD,5,FALSE),IF(D2540="SICRO",VLOOKUP(F2540,SICRO,5,FALSE),IF(D2540="COTACAO",VLOOKUP(F2540,COTACAO,6,FALSE),IF(D2540="PRÓPRIO",VLOOKUP(F2540,COMPOD,11,FALSE),IF(D2540="AGESUL",VLOOKUP(F2540,AGESULOD,6,FALSE),IF(D2540="INSAGESUL",VLOOKUP(F2540,INSAGESUL,7,FALSE),"SEM VALOR"))))))),"SEM VALOR")</f>
        <v xml:space="preserve">SEM VALOR</v>
      </c>
      <c r="P2540" s="435" t="str">
        <f t="shared" ref="P2540:P2603" si="1499">IFERROR(IF(D2540="SINAPI",VLOOKUP(F2540,SINCOMOD,6,FALSE),IF(D2540="INSINAPI",VLOOKUP(F2540,INSINOD,6,FALSE),IF(D2540="SICRO",VLOOKUP(F2540,SICRO,5,FALSE),IF(D2540="COTACAO",VLOOKUP(F2540,COTACAO,6,FALSE),IF(D2540="PRÓPRIO",VLOOKUP(F2540,COMPOD,13,FALSE),IF(D2540="AGESUL",VLOOKUP(F2540,AGESULOD,11,FALSE),IF(D2540="INSAGESUL",VLOOKUP(F2540,INSAGESUL,8,FALSE),"SEM VALOR"))))))),"SEM VALOR")</f>
        <v xml:space="preserve">SEM VALOR</v>
      </c>
      <c r="AE2540" s="217"/>
      <c r="AF2540" s="217">
        <v>1318</v>
      </c>
      <c r="AH2540">
        <f t="shared" si="1488"/>
        <v>1318</v>
      </c>
    </row>
    <row r="2541" ht="110.25">
      <c r="A2541" s="460">
        <v>1320</v>
      </c>
      <c r="B2541" s="460">
        <v>1320</v>
      </c>
      <c r="C2541" s="460"/>
      <c r="D2541" s="460"/>
      <c r="E2541" s="461">
        <v>1</v>
      </c>
      <c r="F2541" s="462" t="s">
        <v>21946</v>
      </c>
      <c r="G2541" s="477" t="s">
        <v>21947</v>
      </c>
      <c r="H2541" s="579" t="s">
        <v>31</v>
      </c>
      <c r="I2541" s="479"/>
      <c r="J2541" s="480"/>
      <c r="K2541" s="466">
        <f>SUM(K2542:K2550)</f>
        <v>1564.2163610979997</v>
      </c>
      <c r="L2541" s="480"/>
      <c r="M2541" s="466">
        <f>SUM(M2542:M2550)</f>
        <v>1519.7773500415997</v>
      </c>
      <c r="N2541" s="467" t="s">
        <v>20703</v>
      </c>
      <c r="O2541" s="434" t="str">
        <f t="shared" si="1498"/>
        <v xml:space="preserve">SEM VALOR</v>
      </c>
      <c r="P2541" s="435" t="str">
        <f t="shared" si="1499"/>
        <v xml:space="preserve">SEM VALOR</v>
      </c>
      <c r="AE2541" s="460">
        <v>1320</v>
      </c>
      <c r="AF2541" s="460"/>
      <c r="AH2541">
        <f t="shared" si="1488"/>
        <v>1320</v>
      </c>
    </row>
    <row r="2542" ht="30">
      <c r="A2542" s="217"/>
      <c r="B2542" s="217">
        <v>1320</v>
      </c>
      <c r="C2542" s="217"/>
      <c r="D2542" s="217" t="s">
        <v>20398</v>
      </c>
      <c r="E2542" s="471" t="s">
        <v>20399</v>
      </c>
      <c r="F2542" s="482">
        <v>1321</v>
      </c>
      <c r="G2542" s="470" t="s">
        <v>20659</v>
      </c>
      <c r="H2542" s="483" t="s">
        <v>20647</v>
      </c>
      <c r="I2542" s="472">
        <v>1</v>
      </c>
      <c r="J2542" s="473">
        <f t="shared" si="1497"/>
        <v>820.0295045859998</v>
      </c>
      <c r="K2542" s="474">
        <f t="shared" ref="K2542:K2550" si="1500">I2542*J2542</f>
        <v>820.0295045859998</v>
      </c>
      <c r="L2542" s="473">
        <f t="shared" ref="L2541:L2604" si="1501">P2542*$L$3</f>
        <v>798.69750458599992</v>
      </c>
      <c r="M2542" s="474">
        <f t="shared" ref="M2542:M2550" si="1502">L2542*I2542</f>
        <v>798.69750458599992</v>
      </c>
      <c r="O2542" s="434">
        <f t="shared" si="1498"/>
        <v>820.0295045859998</v>
      </c>
      <c r="P2542" s="435">
        <f t="shared" si="1499"/>
        <v>798.69750458599992</v>
      </c>
      <c r="AE2542" s="217"/>
      <c r="AF2542" s="217">
        <v>1320</v>
      </c>
      <c r="AH2542">
        <f t="shared" si="1488"/>
        <v>1320</v>
      </c>
    </row>
    <row r="2543" ht="60">
      <c r="A2543" s="217"/>
      <c r="B2543" s="217">
        <v>1320</v>
      </c>
      <c r="C2543" s="217"/>
      <c r="D2543" s="217" t="s">
        <v>20398</v>
      </c>
      <c r="E2543" s="471" t="s">
        <v>20402</v>
      </c>
      <c r="F2543" s="482">
        <v>1258</v>
      </c>
      <c r="G2543" s="488" t="s">
        <v>20660</v>
      </c>
      <c r="H2543" s="471" t="s">
        <v>15515</v>
      </c>
      <c r="I2543" s="472">
        <f>0.72*1.15</f>
        <v>0.82799999999999996</v>
      </c>
      <c r="J2543" s="473">
        <f t="shared" si="1497"/>
        <v>7.5700000000000003</v>
      </c>
      <c r="K2543" s="474">
        <f t="shared" si="1500"/>
        <v>6.2679599999999995</v>
      </c>
      <c r="L2543" s="473">
        <f t="shared" si="1501"/>
        <v>7.1846199999999998</v>
      </c>
      <c r="M2543" s="474">
        <f t="shared" si="1502"/>
        <v>5.9488653599999992</v>
      </c>
      <c r="O2543" s="434">
        <f t="shared" si="1498"/>
        <v>7.5700000000000003</v>
      </c>
      <c r="P2543" s="435">
        <f t="shared" si="1499"/>
        <v>7.1846199999999998</v>
      </c>
      <c r="AE2543" s="217"/>
      <c r="AF2543" s="217">
        <v>1320</v>
      </c>
      <c r="AH2543">
        <f t="shared" si="1488"/>
        <v>1320</v>
      </c>
    </row>
    <row r="2544" ht="45">
      <c r="A2544" s="217"/>
      <c r="B2544" s="217">
        <v>1320</v>
      </c>
      <c r="C2544" s="217"/>
      <c r="D2544" s="217" t="s">
        <v>17167</v>
      </c>
      <c r="E2544" s="471" t="s">
        <v>20405</v>
      </c>
      <c r="F2544" s="482">
        <v>93358</v>
      </c>
      <c r="G2544" s="470" t="s">
        <v>20661</v>
      </c>
      <c r="H2544" s="472" t="s">
        <v>15528</v>
      </c>
      <c r="I2544" s="472">
        <f>1.1*1.15*0.72</f>
        <v>0.91080000000000005</v>
      </c>
      <c r="J2544" s="473">
        <f t="shared" si="1497"/>
        <v>90.030000000000001</v>
      </c>
      <c r="K2544" s="474">
        <f t="shared" si="1500"/>
        <v>81.999324000000001</v>
      </c>
      <c r="L2544" s="473">
        <f t="shared" si="1501"/>
        <v>85.239999999999995</v>
      </c>
      <c r="M2544" s="474">
        <f t="shared" si="1502"/>
        <v>77.636591999999993</v>
      </c>
      <c r="O2544" s="434">
        <f t="shared" si="1498"/>
        <v>90.030000000000001</v>
      </c>
      <c r="P2544" s="435">
        <f t="shared" si="1499"/>
        <v>85.239999999999995</v>
      </c>
      <c r="AE2544" s="217"/>
      <c r="AF2544" s="217">
        <v>1320</v>
      </c>
      <c r="AH2544">
        <f t="shared" si="1488"/>
        <v>1320</v>
      </c>
    </row>
    <row r="2545" ht="105">
      <c r="A2545" s="217"/>
      <c r="B2545" s="217">
        <v>1320</v>
      </c>
      <c r="C2545" s="217"/>
      <c r="D2545" s="217" t="s">
        <v>20398</v>
      </c>
      <c r="E2545" s="471" t="s">
        <v>20409</v>
      </c>
      <c r="F2545" s="482">
        <v>1092</v>
      </c>
      <c r="G2545" s="470" t="s">
        <v>20666</v>
      </c>
      <c r="H2545" s="472" t="s">
        <v>15528</v>
      </c>
      <c r="I2545" s="472">
        <f>I2544*1.3</f>
        <v>1.1840400000000002</v>
      </c>
      <c r="J2545" s="473">
        <f t="shared" si="1497"/>
        <v>2.2000000000000002</v>
      </c>
      <c r="K2545" s="474">
        <f t="shared" si="1500"/>
        <v>2.6048880000000008</v>
      </c>
      <c r="L2545" s="473">
        <f t="shared" si="1501"/>
        <v>2.1879900000000001</v>
      </c>
      <c r="M2545" s="474">
        <f t="shared" si="1502"/>
        <v>2.5906676796000006</v>
      </c>
      <c r="O2545" s="434">
        <f t="shared" si="1498"/>
        <v>2.2000000000000002</v>
      </c>
      <c r="P2545" s="435">
        <f t="shared" si="1499"/>
        <v>2.1879900000000001</v>
      </c>
      <c r="AE2545" s="217"/>
      <c r="AF2545" s="217">
        <v>1320</v>
      </c>
      <c r="AH2545">
        <f t="shared" si="1488"/>
        <v>1320</v>
      </c>
    </row>
    <row r="2546" ht="60">
      <c r="A2546" s="217"/>
      <c r="B2546" s="217">
        <v>1320</v>
      </c>
      <c r="C2546" s="217"/>
      <c r="D2546" s="217" t="s">
        <v>17167</v>
      </c>
      <c r="E2546" s="471" t="s">
        <v>20663</v>
      </c>
      <c r="F2546" s="482">
        <v>95875</v>
      </c>
      <c r="G2546" s="470" t="s">
        <v>20668</v>
      </c>
      <c r="H2546" s="472" t="s">
        <v>21948</v>
      </c>
      <c r="I2546" s="472">
        <f>I2545*5</f>
        <v>5.9202000000000012</v>
      </c>
      <c r="J2546" s="473">
        <f t="shared" si="1497"/>
        <v>2.7599999999999998</v>
      </c>
      <c r="K2546" s="474">
        <f t="shared" si="1500"/>
        <v>16.339752000000001</v>
      </c>
      <c r="L2546" s="473">
        <f t="shared" si="1501"/>
        <v>2.73</v>
      </c>
      <c r="M2546" s="474">
        <f t="shared" si="1502"/>
        <v>16.162146000000003</v>
      </c>
      <c r="O2546" s="434">
        <f t="shared" si="1498"/>
        <v>2.7599999999999998</v>
      </c>
      <c r="P2546" s="435">
        <f t="shared" si="1499"/>
        <v>2.73</v>
      </c>
      <c r="AE2546" s="217"/>
      <c r="AF2546" s="217">
        <v>1320</v>
      </c>
      <c r="AH2546">
        <f t="shared" si="1488"/>
        <v>1320</v>
      </c>
    </row>
    <row r="2547" ht="105">
      <c r="A2547" s="217"/>
      <c r="B2547" s="217">
        <v>1320</v>
      </c>
      <c r="C2547" s="217"/>
      <c r="D2547" s="217" t="s">
        <v>17167</v>
      </c>
      <c r="E2547" s="471" t="s">
        <v>20665</v>
      </c>
      <c r="F2547" s="489">
        <v>5928</v>
      </c>
      <c r="G2547" s="470" t="s">
        <v>1739</v>
      </c>
      <c r="H2547" s="471" t="s">
        <v>1535</v>
      </c>
      <c r="I2547" s="472">
        <v>0.10000000000000001</v>
      </c>
      <c r="J2547" s="473">
        <f t="shared" si="1497"/>
        <v>298.70999999999998</v>
      </c>
      <c r="K2547" s="474">
        <f t="shared" si="1500"/>
        <v>29.870999999999999</v>
      </c>
      <c r="L2547" s="473">
        <f t="shared" si="1501"/>
        <v>296.98000000000002</v>
      </c>
      <c r="M2547" s="474">
        <f t="shared" si="1502"/>
        <v>29.698000000000004</v>
      </c>
      <c r="O2547" s="434">
        <f t="shared" si="1498"/>
        <v>298.70999999999998</v>
      </c>
      <c r="P2547" s="435">
        <f t="shared" si="1499"/>
        <v>296.98000000000002</v>
      </c>
      <c r="AE2547" s="217"/>
      <c r="AF2547" s="217">
        <v>1320</v>
      </c>
      <c r="AH2547">
        <f t="shared" si="1488"/>
        <v>1320</v>
      </c>
    </row>
    <row r="2548" ht="45">
      <c r="A2548" s="217"/>
      <c r="B2548" s="217">
        <v>1320</v>
      </c>
      <c r="C2548" s="217"/>
      <c r="D2548" s="217" t="s">
        <v>20398</v>
      </c>
      <c r="E2548" s="471" t="s">
        <v>20667</v>
      </c>
      <c r="F2548" s="489">
        <v>1000</v>
      </c>
      <c r="G2548" s="470" t="s">
        <v>20651</v>
      </c>
      <c r="H2548" s="471" t="s">
        <v>15528</v>
      </c>
      <c r="I2548" s="472">
        <f>I2550</f>
        <v>0.47836800000000002</v>
      </c>
      <c r="J2548" s="473">
        <f t="shared" si="1497"/>
        <v>149.904</v>
      </c>
      <c r="K2548" s="474">
        <f t="shared" si="1500"/>
        <v>71.709276672000001</v>
      </c>
      <c r="L2548" s="473">
        <f t="shared" si="1501"/>
        <v>141.76949999999999</v>
      </c>
      <c r="M2548" s="474">
        <f t="shared" si="1502"/>
        <v>67.817992176000004</v>
      </c>
      <c r="O2548" s="434">
        <f t="shared" si="1498"/>
        <v>149.904</v>
      </c>
      <c r="P2548" s="435">
        <f t="shared" si="1499"/>
        <v>141.76949999999999</v>
      </c>
      <c r="AE2548" s="217"/>
      <c r="AF2548" s="217">
        <v>1320</v>
      </c>
      <c r="AH2548">
        <f t="shared" si="1488"/>
        <v>1320</v>
      </c>
    </row>
    <row r="2549" ht="75">
      <c r="A2549" s="217"/>
      <c r="B2549" s="217">
        <v>1320</v>
      </c>
      <c r="C2549" s="217"/>
      <c r="D2549" s="217" t="s">
        <v>17167</v>
      </c>
      <c r="E2549" s="471" t="s">
        <v>20671</v>
      </c>
      <c r="F2549" s="489">
        <v>96542</v>
      </c>
      <c r="G2549" s="470" t="s">
        <v>20761</v>
      </c>
      <c r="H2549" s="471" t="s">
        <v>15515</v>
      </c>
      <c r="I2549" s="472">
        <f>(0.48*2+0.91*2)*1.1</f>
        <v>3.0579999999999998</v>
      </c>
      <c r="J2549" s="473">
        <f t="shared" si="1497"/>
        <v>92.189999999999998</v>
      </c>
      <c r="K2549" s="474">
        <f t="shared" si="1500"/>
        <v>281.91701999999998</v>
      </c>
      <c r="L2549" s="473">
        <f t="shared" si="1501"/>
        <v>88.370000000000005</v>
      </c>
      <c r="M2549" s="474">
        <f t="shared" si="1502"/>
        <v>270.23545999999999</v>
      </c>
      <c r="O2549" s="434">
        <f t="shared" si="1498"/>
        <v>92.189999999999998</v>
      </c>
      <c r="P2549" s="435">
        <f t="shared" si="1499"/>
        <v>88.370000000000005</v>
      </c>
      <c r="AE2549" s="217"/>
      <c r="AF2549" s="217">
        <v>1320</v>
      </c>
      <c r="AH2549">
        <f t="shared" si="1488"/>
        <v>1320</v>
      </c>
    </row>
    <row r="2550" ht="75">
      <c r="A2550" s="217"/>
      <c r="B2550" s="217">
        <v>1320</v>
      </c>
      <c r="C2550" s="217"/>
      <c r="D2550" s="217" t="s">
        <v>17167</v>
      </c>
      <c r="E2550" s="471" t="s">
        <v>20672</v>
      </c>
      <c r="F2550" s="489">
        <v>94966</v>
      </c>
      <c r="G2550" s="470" t="s">
        <v>8719</v>
      </c>
      <c r="H2550" s="471" t="s">
        <v>15528</v>
      </c>
      <c r="I2550" s="472">
        <f>0.91*0.48*(0.12+0.1)/2+1.15*1.1*0.12*2+0.48*0.12*1.1*2</f>
        <v>0.47836800000000002</v>
      </c>
      <c r="J2550" s="473">
        <f t="shared" si="1497"/>
        <v>529.88</v>
      </c>
      <c r="K2550" s="474">
        <f t="shared" si="1500"/>
        <v>253.47763584</v>
      </c>
      <c r="L2550" s="473">
        <f t="shared" si="1501"/>
        <v>524.67999999999995</v>
      </c>
      <c r="M2550" s="474">
        <f t="shared" si="1502"/>
        <v>250.99012223999998</v>
      </c>
      <c r="O2550" s="434">
        <f t="shared" si="1498"/>
        <v>529.88</v>
      </c>
      <c r="P2550" s="435">
        <f t="shared" si="1499"/>
        <v>524.67999999999995</v>
      </c>
      <c r="AE2550" s="217"/>
      <c r="AF2550" s="217">
        <v>1320</v>
      </c>
      <c r="AH2550">
        <f t="shared" si="1488"/>
        <v>1320</v>
      </c>
    </row>
    <row r="2551" ht="35.25" customHeight="1">
      <c r="A2551" s="460">
        <v>1321</v>
      </c>
      <c r="B2551" s="460">
        <v>1321</v>
      </c>
      <c r="C2551" s="460"/>
      <c r="D2551" s="460"/>
      <c r="E2551" s="461">
        <v>1</v>
      </c>
      <c r="F2551" s="462" t="s">
        <v>21949</v>
      </c>
      <c r="G2551" s="477" t="s">
        <v>21950</v>
      </c>
      <c r="H2551" s="579" t="s">
        <v>31</v>
      </c>
      <c r="I2551" s="479"/>
      <c r="J2551" s="480"/>
      <c r="K2551" s="466">
        <f>SUM(K2552:K2561)</f>
        <v>820.0295045859998</v>
      </c>
      <c r="L2551" s="480"/>
      <c r="M2551" s="466">
        <f>SUM(M2552:M2561)</f>
        <v>798.69750458599992</v>
      </c>
      <c r="O2551" s="434" t="str">
        <f t="shared" si="1498"/>
        <v xml:space="preserve">SEM VALOR</v>
      </c>
      <c r="P2551" s="435" t="str">
        <f t="shared" si="1499"/>
        <v xml:space="preserve">SEM VALOR</v>
      </c>
      <c r="AE2551" s="460">
        <v>1321</v>
      </c>
      <c r="AF2551" s="460"/>
      <c r="AH2551">
        <f t="shared" si="1488"/>
        <v>1321</v>
      </c>
    </row>
    <row r="2552" ht="30">
      <c r="A2552" s="217"/>
      <c r="B2552" s="217">
        <v>1321</v>
      </c>
      <c r="C2552" s="217"/>
      <c r="D2552" s="217" t="s">
        <v>20408</v>
      </c>
      <c r="E2552" s="471" t="s">
        <v>20399</v>
      </c>
      <c r="F2552" s="482">
        <v>4777</v>
      </c>
      <c r="G2552" s="470" t="s">
        <v>20692</v>
      </c>
      <c r="H2552" s="471" t="s">
        <v>302</v>
      </c>
      <c r="I2552" s="472">
        <f>3.51*1.05*(1.15*2+0.6*2)</f>
        <v>12.89925</v>
      </c>
      <c r="J2552" s="473">
        <f t="shared" si="1497"/>
        <v>8.0199999999999996</v>
      </c>
      <c r="K2552" s="474">
        <f t="shared" ref="K2552:K2561" si="1503">I2552*J2552</f>
        <v>103.45198499999999</v>
      </c>
      <c r="L2552" s="473">
        <f t="shared" si="1501"/>
        <v>8.0199999999999996</v>
      </c>
      <c r="M2552" s="474">
        <f t="shared" ref="M2552:M2561" si="1504">L2552*I2552</f>
        <v>103.45198499999999</v>
      </c>
      <c r="O2552" s="434">
        <f t="shared" si="1498"/>
        <v>8.0199999999999996</v>
      </c>
      <c r="P2552" s="435">
        <f t="shared" si="1499"/>
        <v>8.0199999999999996</v>
      </c>
      <c r="AE2552" s="217"/>
      <c r="AF2552" s="217">
        <v>1321</v>
      </c>
      <c r="AH2552">
        <f t="shared" si="1488"/>
        <v>1321</v>
      </c>
    </row>
    <row r="2553" ht="45">
      <c r="A2553" s="217"/>
      <c r="B2553" s="217">
        <v>1321</v>
      </c>
      <c r="C2553" s="217"/>
      <c r="D2553" s="217" t="s">
        <v>20408</v>
      </c>
      <c r="E2553" s="471" t="s">
        <v>20402</v>
      </c>
      <c r="F2553" s="482">
        <v>43054</v>
      </c>
      <c r="G2553" s="488" t="s">
        <v>20693</v>
      </c>
      <c r="H2553" s="471" t="s">
        <v>302</v>
      </c>
      <c r="I2553" s="472">
        <f>(1.12*6+1.25)*2.47*1.05</f>
        <v>20.670195</v>
      </c>
      <c r="J2553" s="473">
        <f t="shared" si="1497"/>
        <v>8.3599999999999994</v>
      </c>
      <c r="K2553" s="474">
        <f t="shared" si="1503"/>
        <v>172.80283019999999</v>
      </c>
      <c r="L2553" s="473">
        <f t="shared" si="1501"/>
        <v>8.3599999999999994</v>
      </c>
      <c r="M2553" s="474">
        <f t="shared" si="1504"/>
        <v>172.80283019999999</v>
      </c>
      <c r="O2553" s="434">
        <f t="shared" si="1498"/>
        <v>8.3599999999999994</v>
      </c>
      <c r="P2553" s="435">
        <f t="shared" si="1499"/>
        <v>8.3599999999999994</v>
      </c>
      <c r="AE2553" s="217"/>
      <c r="AF2553" s="217">
        <v>1321</v>
      </c>
      <c r="AH2553">
        <f t="shared" si="1488"/>
        <v>1321</v>
      </c>
    </row>
    <row r="2554" ht="60">
      <c r="A2554" s="217"/>
      <c r="B2554" s="217">
        <v>1321</v>
      </c>
      <c r="C2554" s="217"/>
      <c r="D2554" s="217" t="s">
        <v>20408</v>
      </c>
      <c r="E2554" s="471" t="s">
        <v>20405</v>
      </c>
      <c r="F2554" s="482">
        <v>546</v>
      </c>
      <c r="G2554" s="470" t="s">
        <v>20694</v>
      </c>
      <c r="H2554" s="471" t="s">
        <v>302</v>
      </c>
      <c r="I2554" s="472">
        <f>0.564*5*3.17*1.05</f>
        <v>9.3863699999999994</v>
      </c>
      <c r="J2554" s="473">
        <f t="shared" si="1497"/>
        <v>9.5899999999999999</v>
      </c>
      <c r="K2554" s="474">
        <f t="shared" si="1503"/>
        <v>90.015288299999995</v>
      </c>
      <c r="L2554" s="473">
        <f t="shared" si="1501"/>
        <v>9.5899999999999999</v>
      </c>
      <c r="M2554" s="474">
        <f t="shared" si="1504"/>
        <v>90.015288299999995</v>
      </c>
      <c r="O2554" s="434">
        <f t="shared" si="1498"/>
        <v>9.5899999999999999</v>
      </c>
      <c r="P2554" s="435">
        <f t="shared" si="1499"/>
        <v>9.5899999999999999</v>
      </c>
      <c r="AE2554" s="217"/>
      <c r="AF2554" s="217">
        <v>1321</v>
      </c>
      <c r="AH2554">
        <f t="shared" si="1488"/>
        <v>1321</v>
      </c>
    </row>
    <row r="2555">
      <c r="A2555" s="217"/>
      <c r="B2555" s="217">
        <v>1321</v>
      </c>
      <c r="C2555" s="217"/>
      <c r="D2555" s="217" t="s">
        <v>20408</v>
      </c>
      <c r="E2555" s="471" t="s">
        <v>20409</v>
      </c>
      <c r="F2555" s="482">
        <v>34</v>
      </c>
      <c r="G2555" s="470" t="s">
        <v>20695</v>
      </c>
      <c r="H2555" s="471" t="s">
        <v>302</v>
      </c>
      <c r="I2555" s="472">
        <v>0.372</v>
      </c>
      <c r="J2555" s="473">
        <f t="shared" si="1497"/>
        <v>7.7800000000000002</v>
      </c>
      <c r="K2555" s="474">
        <f t="shared" si="1503"/>
        <v>2.8941600000000003</v>
      </c>
      <c r="L2555" s="473">
        <f t="shared" si="1501"/>
        <v>7.7800000000000002</v>
      </c>
      <c r="M2555" s="474">
        <f t="shared" si="1504"/>
        <v>2.8941600000000003</v>
      </c>
      <c r="O2555" s="434">
        <f t="shared" si="1498"/>
        <v>7.7800000000000002</v>
      </c>
      <c r="P2555" s="435">
        <f t="shared" si="1499"/>
        <v>7.7800000000000002</v>
      </c>
      <c r="AE2555" s="217"/>
      <c r="AF2555" s="217">
        <v>1321</v>
      </c>
      <c r="AH2555">
        <f t="shared" si="1488"/>
        <v>1321</v>
      </c>
    </row>
    <row r="2556" ht="45">
      <c r="A2556" s="217"/>
      <c r="B2556" s="217">
        <v>1321</v>
      </c>
      <c r="C2556" s="217"/>
      <c r="D2556" s="217" t="s">
        <v>20408</v>
      </c>
      <c r="E2556" s="471" t="s">
        <v>20663</v>
      </c>
      <c r="F2556" s="482">
        <v>21001</v>
      </c>
      <c r="G2556" s="470" t="s">
        <v>14865</v>
      </c>
      <c r="H2556" s="471" t="s">
        <v>38</v>
      </c>
      <c r="I2556" s="472">
        <f>0.1*2</f>
        <v>0.20000000000000001</v>
      </c>
      <c r="J2556" s="473">
        <f t="shared" si="1497"/>
        <v>21.260000000000002</v>
      </c>
      <c r="K2556" s="474">
        <f t="shared" si="1503"/>
        <v>4.2520000000000007</v>
      </c>
      <c r="L2556" s="473">
        <f t="shared" si="1501"/>
        <v>21.260000000000002</v>
      </c>
      <c r="M2556" s="474">
        <f t="shared" si="1504"/>
        <v>4.2520000000000007</v>
      </c>
      <c r="O2556" s="434">
        <f t="shared" si="1498"/>
        <v>21.260000000000002</v>
      </c>
      <c r="P2556" s="435">
        <f t="shared" si="1499"/>
        <v>21.260000000000002</v>
      </c>
      <c r="AE2556" s="217"/>
      <c r="AF2556" s="217">
        <v>1321</v>
      </c>
      <c r="AH2556">
        <f t="shared" si="1488"/>
        <v>1321</v>
      </c>
    </row>
    <row r="2557" ht="30">
      <c r="A2557" s="217"/>
      <c r="B2557" s="217">
        <v>1321</v>
      </c>
      <c r="C2557" s="217"/>
      <c r="D2557" s="217" t="s">
        <v>17167</v>
      </c>
      <c r="E2557" s="471" t="s">
        <v>20665</v>
      </c>
      <c r="F2557" s="482">
        <v>88243</v>
      </c>
      <c r="G2557" s="470" t="s">
        <v>20696</v>
      </c>
      <c r="H2557" s="471" t="s">
        <v>2032</v>
      </c>
      <c r="I2557" s="472">
        <v>6.0999999999999996</v>
      </c>
      <c r="J2557" s="473">
        <f t="shared" si="1497"/>
        <v>23.739999999999998</v>
      </c>
      <c r="K2557" s="474">
        <f t="shared" si="1503"/>
        <v>144.81399999999999</v>
      </c>
      <c r="L2557" s="473">
        <f t="shared" si="1501"/>
        <v>22.460000000000001</v>
      </c>
      <c r="M2557" s="474">
        <f t="shared" si="1504"/>
        <v>137.006</v>
      </c>
      <c r="O2557" s="434">
        <f t="shared" si="1498"/>
        <v>23.739999999999998</v>
      </c>
      <c r="P2557" s="435">
        <f t="shared" si="1499"/>
        <v>22.460000000000001</v>
      </c>
      <c r="AE2557" s="217"/>
      <c r="AF2557" s="217">
        <v>1321</v>
      </c>
      <c r="AH2557">
        <f t="shared" si="1488"/>
        <v>1321</v>
      </c>
    </row>
    <row r="2558" ht="30">
      <c r="A2558" s="217"/>
      <c r="B2558" s="217">
        <v>1321</v>
      </c>
      <c r="C2558" s="217"/>
      <c r="D2558" s="217" t="s">
        <v>17167</v>
      </c>
      <c r="E2558" s="471" t="s">
        <v>20667</v>
      </c>
      <c r="F2558" s="482">
        <v>88310</v>
      </c>
      <c r="G2558" s="470" t="s">
        <v>7386</v>
      </c>
      <c r="H2558" s="471" t="s">
        <v>2032</v>
      </c>
      <c r="I2558" s="472">
        <v>2.2999999999999998</v>
      </c>
      <c r="J2558" s="473">
        <f t="shared" si="1497"/>
        <v>30.210000000000001</v>
      </c>
      <c r="K2558" s="474">
        <f t="shared" si="1503"/>
        <v>69.48299999999999</v>
      </c>
      <c r="L2558" s="473">
        <f t="shared" si="1501"/>
        <v>28.600000000000001</v>
      </c>
      <c r="M2558" s="474">
        <f t="shared" si="1504"/>
        <v>65.780000000000001</v>
      </c>
      <c r="O2558" s="434">
        <f t="shared" si="1498"/>
        <v>30.210000000000001</v>
      </c>
      <c r="P2558" s="435">
        <f t="shared" si="1499"/>
        <v>28.600000000000001</v>
      </c>
      <c r="AE2558" s="217"/>
      <c r="AF2558" s="217">
        <v>1321</v>
      </c>
      <c r="AH2558">
        <f t="shared" si="1488"/>
        <v>1321</v>
      </c>
    </row>
    <row r="2559" ht="30">
      <c r="A2559" s="217"/>
      <c r="B2559" s="217">
        <v>1321</v>
      </c>
      <c r="C2559" s="217"/>
      <c r="D2559" s="217" t="s">
        <v>17167</v>
      </c>
      <c r="E2559" s="471" t="s">
        <v>20671</v>
      </c>
      <c r="F2559" s="482">
        <v>88317</v>
      </c>
      <c r="G2559" s="470" t="s">
        <v>7396</v>
      </c>
      <c r="H2559" s="471" t="s">
        <v>2032</v>
      </c>
      <c r="I2559" s="472">
        <v>6.0999999999999996</v>
      </c>
      <c r="J2559" s="473">
        <f t="shared" si="1497"/>
        <v>29.559999999999999</v>
      </c>
      <c r="K2559" s="474">
        <f t="shared" si="1503"/>
        <v>180.31599999999997</v>
      </c>
      <c r="L2559" s="473">
        <f t="shared" si="1501"/>
        <v>27.949999999999999</v>
      </c>
      <c r="M2559" s="474">
        <f t="shared" si="1504"/>
        <v>170.49499999999998</v>
      </c>
      <c r="O2559" s="434">
        <f t="shared" si="1498"/>
        <v>29.559999999999999</v>
      </c>
      <c r="P2559" s="435">
        <f t="shared" si="1499"/>
        <v>27.949999999999999</v>
      </c>
      <c r="AE2559" s="217"/>
      <c r="AF2559" s="217">
        <v>1321</v>
      </c>
      <c r="AH2559">
        <f t="shared" si="1488"/>
        <v>1321</v>
      </c>
    </row>
    <row r="2560" ht="30">
      <c r="A2560" s="217"/>
      <c r="B2560" s="217">
        <v>1321</v>
      </c>
      <c r="C2560" s="217"/>
      <c r="D2560" s="217" t="s">
        <v>20408</v>
      </c>
      <c r="E2560" s="471" t="s">
        <v>20672</v>
      </c>
      <c r="F2560" s="482">
        <v>7307</v>
      </c>
      <c r="G2560" s="470" t="s">
        <v>20697</v>
      </c>
      <c r="H2560" s="471" t="s">
        <v>9794</v>
      </c>
      <c r="I2560" s="472">
        <f>0.42/1/0.45*1.15*0.6</f>
        <v>0.64400000000000002</v>
      </c>
      <c r="J2560" s="473">
        <f t="shared" si="1497"/>
        <v>41.960000000000001</v>
      </c>
      <c r="K2560" s="474">
        <f t="shared" si="1503"/>
        <v>27.02224</v>
      </c>
      <c r="L2560" s="473">
        <f t="shared" si="1501"/>
        <v>41.960000000000001</v>
      </c>
      <c r="M2560" s="474">
        <f t="shared" si="1504"/>
        <v>27.02224</v>
      </c>
      <c r="O2560" s="434">
        <f t="shared" si="1498"/>
        <v>41.960000000000001</v>
      </c>
      <c r="P2560" s="435">
        <f t="shared" si="1499"/>
        <v>41.960000000000001</v>
      </c>
      <c r="AE2560" s="217"/>
      <c r="AF2560" s="217">
        <v>1321</v>
      </c>
      <c r="AH2560">
        <f t="shared" si="1488"/>
        <v>1321</v>
      </c>
    </row>
    <row r="2561" ht="30">
      <c r="A2561" s="217"/>
      <c r="B2561" s="217">
        <v>1321</v>
      </c>
      <c r="C2561" s="217"/>
      <c r="D2561" s="217" t="s">
        <v>20408</v>
      </c>
      <c r="E2561" s="471" t="s">
        <v>20673</v>
      </c>
      <c r="F2561" s="482">
        <v>10999</v>
      </c>
      <c r="G2561" s="470" t="s">
        <v>20698</v>
      </c>
      <c r="H2561" s="471" t="s">
        <v>302</v>
      </c>
      <c r="I2561" s="472">
        <f>0.5/1/0.45*1.15*0.6</f>
        <v>0.76666670000000003</v>
      </c>
      <c r="J2561" s="473">
        <f t="shared" si="1497"/>
        <v>32.579999999999998</v>
      </c>
      <c r="K2561" s="474">
        <f t="shared" si="1503"/>
        <v>24.978001085999999</v>
      </c>
      <c r="L2561" s="473">
        <f t="shared" si="1501"/>
        <v>32.579999999999998</v>
      </c>
      <c r="M2561" s="474">
        <f t="shared" si="1504"/>
        <v>24.978001085999999</v>
      </c>
      <c r="O2561" s="434">
        <f t="shared" si="1498"/>
        <v>32.579999999999998</v>
      </c>
      <c r="P2561" s="435">
        <f t="shared" si="1499"/>
        <v>32.579999999999998</v>
      </c>
      <c r="AE2561" s="217"/>
      <c r="AF2561" s="217">
        <v>1321</v>
      </c>
      <c r="AH2561">
        <f t="shared" si="1488"/>
        <v>1321</v>
      </c>
    </row>
    <row r="2562" ht="63">
      <c r="A2562" s="460">
        <v>1322</v>
      </c>
      <c r="B2562" s="460">
        <v>1322</v>
      </c>
      <c r="C2562" s="460"/>
      <c r="D2562" s="460"/>
      <c r="E2562" s="461">
        <v>1</v>
      </c>
      <c r="F2562" s="462" t="s">
        <v>21951</v>
      </c>
      <c r="G2562" s="477" t="s">
        <v>21952</v>
      </c>
      <c r="H2562" s="579" t="s">
        <v>38</v>
      </c>
      <c r="I2562" s="479"/>
      <c r="J2562" s="480"/>
      <c r="K2562" s="466">
        <f>SUM(K2563:K2569)</f>
        <v>256.62855843200003</v>
      </c>
      <c r="L2562" s="480"/>
      <c r="M2562" s="466">
        <f>SUM(M2563:M2569)</f>
        <v>254.43840651200003</v>
      </c>
      <c r="O2562" s="434" t="str">
        <f t="shared" si="1498"/>
        <v xml:space="preserve">SEM VALOR</v>
      </c>
      <c r="P2562" s="435" t="str">
        <f t="shared" si="1499"/>
        <v xml:space="preserve">SEM VALOR</v>
      </c>
      <c r="AE2562" s="460">
        <v>1322</v>
      </c>
      <c r="AF2562" s="460"/>
      <c r="AH2562">
        <f t="shared" si="1488"/>
        <v>1322</v>
      </c>
    </row>
    <row r="2563" ht="30">
      <c r="A2563" s="217"/>
      <c r="B2563" s="217">
        <v>1322</v>
      </c>
      <c r="C2563" s="217"/>
      <c r="D2563" s="217" t="s">
        <v>20453</v>
      </c>
      <c r="E2563" s="471" t="s">
        <v>20399</v>
      </c>
      <c r="F2563" s="489" t="s">
        <v>20141</v>
      </c>
      <c r="G2563" s="488" t="s">
        <v>21953</v>
      </c>
      <c r="H2563" s="471" t="s">
        <v>38</v>
      </c>
      <c r="I2563" s="472">
        <f>(1.52+1.5*2)*4/4.5</f>
        <v>4.0177778000000002</v>
      </c>
      <c r="J2563" s="473">
        <f t="shared" si="1497"/>
        <v>32.740000000000002</v>
      </c>
      <c r="K2563" s="474">
        <f t="shared" ref="K2563:K2569" si="1505">I2563*J2563</f>
        <v>131.542045172</v>
      </c>
      <c r="L2563" s="473">
        <f t="shared" si="1501"/>
        <v>32.740000000000002</v>
      </c>
      <c r="M2563" s="474">
        <f t="shared" ref="M2563:M2569" si="1506">L2563*I2563</f>
        <v>131.542045172</v>
      </c>
      <c r="O2563" s="434">
        <f t="shared" si="1498"/>
        <v>32.740000000000002</v>
      </c>
      <c r="P2563" s="435">
        <f t="shared" si="1499"/>
        <v>32.740000000000002</v>
      </c>
      <c r="AE2563" s="217"/>
      <c r="AF2563" s="217">
        <v>1322</v>
      </c>
      <c r="AH2563">
        <f t="shared" si="1488"/>
        <v>1322</v>
      </c>
    </row>
    <row r="2564" ht="30">
      <c r="A2564" s="217"/>
      <c r="B2564" s="217">
        <v>1322</v>
      </c>
      <c r="C2564" s="217"/>
      <c r="D2564" s="217" t="s">
        <v>20408</v>
      </c>
      <c r="E2564" s="471" t="s">
        <v>20402</v>
      </c>
      <c r="F2564" s="601">
        <v>7307</v>
      </c>
      <c r="G2564" s="602" t="s">
        <v>12605</v>
      </c>
      <c r="H2564" s="542" t="s">
        <v>15515</v>
      </c>
      <c r="I2564" s="472">
        <f>(0.064*3.141593*4.02)</f>
        <v>0.80826900000000002</v>
      </c>
      <c r="J2564" s="473">
        <f t="shared" si="1497"/>
        <v>41.960000000000001</v>
      </c>
      <c r="K2564" s="474">
        <f t="shared" si="1505"/>
        <v>33.914967240000003</v>
      </c>
      <c r="L2564" s="473">
        <f t="shared" si="1501"/>
        <v>41.960000000000001</v>
      </c>
      <c r="M2564" s="474">
        <f t="shared" si="1506"/>
        <v>33.914967240000003</v>
      </c>
      <c r="O2564" s="434">
        <f t="shared" si="1498"/>
        <v>41.960000000000001</v>
      </c>
      <c r="P2564" s="435">
        <f t="shared" si="1499"/>
        <v>41.960000000000001</v>
      </c>
      <c r="AE2564" s="217"/>
      <c r="AF2564" s="217">
        <v>1322</v>
      </c>
      <c r="AH2564">
        <f t="shared" si="1488"/>
        <v>1322</v>
      </c>
    </row>
    <row r="2565" ht="90">
      <c r="A2565" s="217"/>
      <c r="B2565" s="217">
        <v>1322</v>
      </c>
      <c r="C2565" s="217"/>
      <c r="D2565" s="217" t="s">
        <v>17167</v>
      </c>
      <c r="E2565" s="471" t="s">
        <v>20405</v>
      </c>
      <c r="F2565" s="601">
        <v>100741</v>
      </c>
      <c r="G2565" s="602" t="s">
        <v>21954</v>
      </c>
      <c r="H2565" s="542" t="s">
        <v>15515</v>
      </c>
      <c r="I2565" s="472">
        <f>I2564*2</f>
        <v>1.616538</v>
      </c>
      <c r="J2565" s="473">
        <f t="shared" si="1497"/>
        <v>25.289999999999999</v>
      </c>
      <c r="K2565" s="474">
        <f t="shared" si="1505"/>
        <v>40.882246019999997</v>
      </c>
      <c r="L2565" s="473">
        <f t="shared" si="1501"/>
        <v>24.449999999999999</v>
      </c>
      <c r="M2565" s="474">
        <f t="shared" si="1506"/>
        <v>39.524354099999996</v>
      </c>
      <c r="O2565" s="434">
        <f t="shared" si="1498"/>
        <v>25.289999999999999</v>
      </c>
      <c r="P2565" s="435">
        <f t="shared" si="1499"/>
        <v>24.449999999999999</v>
      </c>
      <c r="AE2565" s="217"/>
      <c r="AF2565" s="217">
        <v>1322</v>
      </c>
      <c r="AH2565">
        <f t="shared" si="1488"/>
        <v>1322</v>
      </c>
    </row>
    <row r="2566">
      <c r="A2566" s="217"/>
      <c r="B2566" s="217">
        <v>1322</v>
      </c>
      <c r="C2566" s="217"/>
      <c r="D2566" s="217" t="s">
        <v>20408</v>
      </c>
      <c r="E2566" s="471" t="s">
        <v>20409</v>
      </c>
      <c r="F2566" s="603">
        <v>11002</v>
      </c>
      <c r="G2566" s="604" t="s">
        <v>21955</v>
      </c>
      <c r="H2566" s="542" t="s">
        <v>302</v>
      </c>
      <c r="I2566" s="472">
        <v>0.97499999999999998</v>
      </c>
      <c r="J2566" s="473">
        <f t="shared" si="1497"/>
        <v>33.909999999999997</v>
      </c>
      <c r="K2566" s="474">
        <f t="shared" si="1505"/>
        <v>33.062249999999999</v>
      </c>
      <c r="L2566" s="473">
        <f t="shared" si="1501"/>
        <v>33.909999999999997</v>
      </c>
      <c r="M2566" s="474">
        <f t="shared" si="1506"/>
        <v>33.062249999999999</v>
      </c>
      <c r="O2566" s="434">
        <f t="shared" si="1498"/>
        <v>33.909999999999997</v>
      </c>
      <c r="P2566" s="435">
        <f t="shared" si="1499"/>
        <v>33.909999999999997</v>
      </c>
      <c r="AE2566" s="217"/>
      <c r="AF2566" s="217">
        <v>1322</v>
      </c>
      <c r="AH2566">
        <f t="shared" si="1488"/>
        <v>1322</v>
      </c>
    </row>
    <row r="2567" ht="60">
      <c r="A2567" s="217"/>
      <c r="B2567" s="217">
        <v>1322</v>
      </c>
      <c r="C2567" s="217"/>
      <c r="D2567" s="217" t="s">
        <v>20408</v>
      </c>
      <c r="E2567" s="471" t="s">
        <v>20663</v>
      </c>
      <c r="F2567" s="603">
        <v>44533</v>
      </c>
      <c r="G2567" s="604" t="s">
        <v>21956</v>
      </c>
      <c r="H2567" s="542" t="s">
        <v>31</v>
      </c>
      <c r="I2567" s="472">
        <v>9.7000000000000003e-002</v>
      </c>
      <c r="J2567" s="473">
        <f t="shared" si="1497"/>
        <v>22.609999999999999</v>
      </c>
      <c r="K2567" s="474">
        <f t="shared" si="1505"/>
        <v>2.1931699999999998</v>
      </c>
      <c r="L2567" s="473">
        <f t="shared" si="1501"/>
        <v>22.609999999999999</v>
      </c>
      <c r="M2567" s="474">
        <f t="shared" si="1506"/>
        <v>2.1931699999999998</v>
      </c>
      <c r="O2567" s="434">
        <f t="shared" si="1498"/>
        <v>22.609999999999999</v>
      </c>
      <c r="P2567" s="435">
        <f t="shared" si="1499"/>
        <v>22.609999999999999</v>
      </c>
      <c r="AE2567" s="217"/>
      <c r="AF2567" s="217">
        <v>1322</v>
      </c>
      <c r="AH2567">
        <f t="shared" ref="AH2567:AH2630" si="1507">IF(AF2567:AF2568=FALSE,AE2567,AF2567)</f>
        <v>1322</v>
      </c>
    </row>
    <row r="2568" ht="30">
      <c r="A2568" s="217"/>
      <c r="B2568" s="217">
        <v>1322</v>
      </c>
      <c r="C2568" s="217"/>
      <c r="D2568" s="217" t="s">
        <v>17167</v>
      </c>
      <c r="E2568" s="471" t="s">
        <v>20665</v>
      </c>
      <c r="F2568" s="603">
        <v>88315</v>
      </c>
      <c r="G2568" s="604" t="s">
        <v>7392</v>
      </c>
      <c r="H2568" s="542" t="s">
        <v>2032</v>
      </c>
      <c r="I2568" s="472">
        <v>0.24399999999999999</v>
      </c>
      <c r="J2568" s="473">
        <f t="shared" si="1497"/>
        <v>28.800000000000001</v>
      </c>
      <c r="K2568" s="474">
        <f t="shared" si="1505"/>
        <v>7.0271999999999997</v>
      </c>
      <c r="L2568" s="473">
        <f t="shared" si="1501"/>
        <v>27.149999999999999</v>
      </c>
      <c r="M2568" s="474">
        <f t="shared" si="1506"/>
        <v>6.6245999999999992</v>
      </c>
      <c r="O2568" s="434">
        <f t="shared" si="1498"/>
        <v>28.800000000000001</v>
      </c>
      <c r="P2568" s="435">
        <f t="shared" si="1499"/>
        <v>27.149999999999999</v>
      </c>
      <c r="AE2568" s="217"/>
      <c r="AF2568" s="217">
        <v>1322</v>
      </c>
      <c r="AH2568">
        <f t="shared" si="1507"/>
        <v>1322</v>
      </c>
    </row>
    <row r="2569" ht="30">
      <c r="A2569" s="217"/>
      <c r="B2569" s="217">
        <v>1322</v>
      </c>
      <c r="C2569" s="217"/>
      <c r="D2569" s="217" t="s">
        <v>17167</v>
      </c>
      <c r="E2569" s="471" t="s">
        <v>20667</v>
      </c>
      <c r="F2569" s="601">
        <v>88251</v>
      </c>
      <c r="G2569" s="602" t="s">
        <v>7116</v>
      </c>
      <c r="H2569" s="533" t="s">
        <v>2032</v>
      </c>
      <c r="I2569" s="472">
        <v>0.34100000000000003</v>
      </c>
      <c r="J2569" s="473">
        <f t="shared" si="1497"/>
        <v>23.48</v>
      </c>
      <c r="K2569" s="474">
        <f t="shared" si="1505"/>
        <v>8.0066800000000011</v>
      </c>
      <c r="L2569" s="473">
        <f t="shared" si="1501"/>
        <v>22.219999999999999</v>
      </c>
      <c r="M2569" s="474">
        <f t="shared" si="1506"/>
        <v>7.5770200000000001</v>
      </c>
      <c r="O2569" s="434">
        <f t="shared" si="1498"/>
        <v>23.48</v>
      </c>
      <c r="P2569" s="435">
        <f t="shared" si="1499"/>
        <v>22.219999999999999</v>
      </c>
      <c r="AE2569" s="217"/>
      <c r="AF2569" s="217">
        <v>1322</v>
      </c>
      <c r="AH2569">
        <f t="shared" si="1507"/>
        <v>1322</v>
      </c>
    </row>
    <row r="2570" ht="78.75">
      <c r="A2570" s="460">
        <v>1323</v>
      </c>
      <c r="B2570" s="460">
        <v>1323</v>
      </c>
      <c r="C2570" s="460"/>
      <c r="D2570" s="460"/>
      <c r="E2570" s="461">
        <v>1</v>
      </c>
      <c r="F2570" s="462" t="s">
        <v>21957</v>
      </c>
      <c r="G2570" s="463" t="s">
        <v>21958</v>
      </c>
      <c r="H2570" s="464" t="s">
        <v>31</v>
      </c>
      <c r="I2570" s="479"/>
      <c r="J2570" s="480"/>
      <c r="K2570" s="466">
        <f>SUM(K2571:K2584)</f>
        <v>427.90593098600004</v>
      </c>
      <c r="L2570" s="480"/>
      <c r="M2570" s="466">
        <f>SUM(M2571:M2584)</f>
        <v>418.79304597299995</v>
      </c>
      <c r="O2570" s="434" t="str">
        <f t="shared" si="1498"/>
        <v xml:space="preserve">SEM VALOR</v>
      </c>
      <c r="P2570" s="435" t="str">
        <f t="shared" si="1499"/>
        <v xml:space="preserve">SEM VALOR</v>
      </c>
      <c r="AE2570" s="460">
        <v>1323</v>
      </c>
      <c r="AF2570" s="460"/>
      <c r="AH2570">
        <f t="shared" si="1507"/>
        <v>1323</v>
      </c>
    </row>
    <row r="2571" ht="60">
      <c r="A2571" s="217"/>
      <c r="B2571" s="217">
        <v>1323</v>
      </c>
      <c r="C2571" s="217"/>
      <c r="D2571" s="217" t="s">
        <v>20408</v>
      </c>
      <c r="E2571" s="468" t="s">
        <v>20399</v>
      </c>
      <c r="F2571" s="605">
        <v>1318</v>
      </c>
      <c r="G2571" s="602" t="s">
        <v>21959</v>
      </c>
      <c r="H2571" s="471" t="s">
        <v>302</v>
      </c>
      <c r="I2571" s="472">
        <f>(0.04*2+0.08*2)*1.75*16</f>
        <v>6.7199999999999998</v>
      </c>
      <c r="J2571" s="473">
        <f t="shared" si="1497"/>
        <v>8.1699999999999999</v>
      </c>
      <c r="K2571" s="474">
        <f t="shared" ref="K2571:K2584" si="1508">I2571*J2571</f>
        <v>54.9024</v>
      </c>
      <c r="L2571" s="473">
        <f t="shared" si="1501"/>
        <v>8.1699999999999999</v>
      </c>
      <c r="M2571" s="474">
        <f t="shared" ref="M2571:M2584" si="1509">L2571*I2571</f>
        <v>54.9024</v>
      </c>
      <c r="O2571" s="434">
        <f t="shared" si="1498"/>
        <v>8.1699999999999999</v>
      </c>
      <c r="P2571" s="435">
        <f t="shared" si="1499"/>
        <v>8.1699999999999999</v>
      </c>
      <c r="AE2571" s="217"/>
      <c r="AF2571" s="217">
        <v>1323</v>
      </c>
      <c r="AH2571">
        <f t="shared" si="1507"/>
        <v>1323</v>
      </c>
    </row>
    <row r="2572" ht="30">
      <c r="A2572" s="217"/>
      <c r="B2572" s="217">
        <v>1323</v>
      </c>
      <c r="C2572" s="217"/>
      <c r="D2572" s="217" t="s">
        <v>20644</v>
      </c>
      <c r="E2572" s="468" t="s">
        <v>20402</v>
      </c>
      <c r="F2572" s="605" t="s">
        <v>15491</v>
      </c>
      <c r="G2572" s="470" t="s">
        <v>21960</v>
      </c>
      <c r="H2572" s="471" t="s">
        <v>38</v>
      </c>
      <c r="I2572" s="472">
        <f>1.25+0.5</f>
        <v>1.75</v>
      </c>
      <c r="J2572" s="473">
        <f t="shared" si="1497"/>
        <v>4.3899999999999997</v>
      </c>
      <c r="K2572" s="474">
        <f t="shared" si="1508"/>
        <v>7.6824999999999992</v>
      </c>
      <c r="L2572" s="473">
        <f t="shared" si="1501"/>
        <v>4.3899999999999997</v>
      </c>
      <c r="M2572" s="474">
        <f t="shared" si="1509"/>
        <v>7.6824999999999992</v>
      </c>
      <c r="O2572" s="434">
        <f t="shared" si="1498"/>
        <v>4.3899999999999997</v>
      </c>
      <c r="P2572" s="435">
        <f t="shared" si="1499"/>
        <v>4.3899999999999997</v>
      </c>
      <c r="AE2572" s="217"/>
      <c r="AF2572" s="217">
        <v>1323</v>
      </c>
      <c r="AH2572">
        <f t="shared" si="1507"/>
        <v>1323</v>
      </c>
    </row>
    <row r="2573" ht="30">
      <c r="A2573" s="217"/>
      <c r="B2573" s="217">
        <v>1323</v>
      </c>
      <c r="C2573" s="217"/>
      <c r="D2573" s="217" t="s">
        <v>20644</v>
      </c>
      <c r="E2573" s="468" t="s">
        <v>20405</v>
      </c>
      <c r="F2573" s="605" t="s">
        <v>15493</v>
      </c>
      <c r="G2573" s="470" t="s">
        <v>21961</v>
      </c>
      <c r="H2573" s="471" t="s">
        <v>38</v>
      </c>
      <c r="I2573" s="472">
        <f>(1.25+0.5)*3</f>
        <v>5.25</v>
      </c>
      <c r="J2573" s="473">
        <f t="shared" si="1497"/>
        <v>3.7999999999999998</v>
      </c>
      <c r="K2573" s="474">
        <f t="shared" si="1508"/>
        <v>19.949999999999999</v>
      </c>
      <c r="L2573" s="473">
        <f t="shared" si="1501"/>
        <v>3.7999999999999998</v>
      </c>
      <c r="M2573" s="474">
        <f t="shared" si="1509"/>
        <v>19.949999999999999</v>
      </c>
      <c r="O2573" s="434">
        <f t="shared" si="1498"/>
        <v>3.7999999999999998</v>
      </c>
      <c r="P2573" s="435">
        <f t="shared" si="1499"/>
        <v>3.7999999999999998</v>
      </c>
      <c r="AE2573" s="217"/>
      <c r="AF2573" s="217">
        <v>1323</v>
      </c>
      <c r="AH2573">
        <f t="shared" si="1507"/>
        <v>1323</v>
      </c>
    </row>
    <row r="2574" ht="30">
      <c r="A2574" s="217"/>
      <c r="B2574" s="217">
        <v>1323</v>
      </c>
      <c r="C2574" s="217"/>
      <c r="D2574" s="217" t="s">
        <v>20408</v>
      </c>
      <c r="E2574" s="468" t="s">
        <v>20409</v>
      </c>
      <c r="F2574" s="606">
        <v>7307</v>
      </c>
      <c r="G2574" s="602" t="s">
        <v>12605</v>
      </c>
      <c r="H2574" s="542" t="s">
        <v>15515</v>
      </c>
      <c r="I2574" s="472">
        <f>(0.04*2+0.08*2)*1.25</f>
        <v>0.29999999999999999</v>
      </c>
      <c r="J2574" s="473">
        <f t="shared" si="1497"/>
        <v>41.960000000000001</v>
      </c>
      <c r="K2574" s="474">
        <f t="shared" si="1508"/>
        <v>12.587999999999999</v>
      </c>
      <c r="L2574" s="473">
        <f t="shared" si="1501"/>
        <v>41.960000000000001</v>
      </c>
      <c r="M2574" s="474">
        <f t="shared" si="1509"/>
        <v>12.587999999999999</v>
      </c>
      <c r="O2574" s="434">
        <f t="shared" si="1498"/>
        <v>41.960000000000001</v>
      </c>
      <c r="P2574" s="435">
        <f t="shared" si="1499"/>
        <v>41.960000000000001</v>
      </c>
      <c r="AE2574" s="217"/>
      <c r="AF2574" s="217">
        <v>1323</v>
      </c>
      <c r="AH2574">
        <f t="shared" si="1507"/>
        <v>1323</v>
      </c>
    </row>
    <row r="2575" ht="90">
      <c r="A2575" s="217"/>
      <c r="B2575" s="217">
        <v>1323</v>
      </c>
      <c r="C2575" s="217"/>
      <c r="D2575" s="217" t="s">
        <v>17167</v>
      </c>
      <c r="E2575" s="468" t="s">
        <v>20663</v>
      </c>
      <c r="F2575" s="606">
        <v>100741</v>
      </c>
      <c r="G2575" s="602" t="s">
        <v>21954</v>
      </c>
      <c r="H2575" s="542" t="s">
        <v>15515</v>
      </c>
      <c r="I2575" s="472">
        <f>I2574*2</f>
        <v>0.59999999999999998</v>
      </c>
      <c r="J2575" s="473">
        <f t="shared" si="1497"/>
        <v>25.289999999999999</v>
      </c>
      <c r="K2575" s="474">
        <f t="shared" si="1508"/>
        <v>15.173999999999999</v>
      </c>
      <c r="L2575" s="473">
        <f t="shared" si="1501"/>
        <v>24.449999999999999</v>
      </c>
      <c r="M2575" s="474">
        <f t="shared" si="1509"/>
        <v>14.669999999999998</v>
      </c>
      <c r="O2575" s="434">
        <f t="shared" si="1498"/>
        <v>25.289999999999999</v>
      </c>
      <c r="P2575" s="435">
        <f t="shared" si="1499"/>
        <v>24.449999999999999</v>
      </c>
      <c r="AE2575" s="217"/>
      <c r="AF2575" s="217">
        <v>1323</v>
      </c>
      <c r="AH2575">
        <f t="shared" si="1507"/>
        <v>1323</v>
      </c>
    </row>
    <row r="2576" ht="30">
      <c r="A2576" s="217"/>
      <c r="B2576" s="217">
        <v>1323</v>
      </c>
      <c r="C2576" s="217"/>
      <c r="D2576" s="217" t="s">
        <v>20408</v>
      </c>
      <c r="E2576" s="468" t="s">
        <v>20665</v>
      </c>
      <c r="F2576" s="607">
        <v>11002</v>
      </c>
      <c r="G2576" s="602" t="s">
        <v>21962</v>
      </c>
      <c r="H2576" s="542" t="s">
        <v>302</v>
      </c>
      <c r="I2576" s="472">
        <f>0.975/6</f>
        <v>0.16250000000000001</v>
      </c>
      <c r="J2576" s="473">
        <f t="shared" si="1497"/>
        <v>33.909999999999997</v>
      </c>
      <c r="K2576" s="474">
        <f t="shared" si="1508"/>
        <v>5.5103749999999998</v>
      </c>
      <c r="L2576" s="473">
        <f t="shared" si="1501"/>
        <v>33.909999999999997</v>
      </c>
      <c r="M2576" s="474">
        <f t="shared" si="1509"/>
        <v>5.5103749999999998</v>
      </c>
      <c r="O2576" s="434">
        <f t="shared" si="1498"/>
        <v>33.909999999999997</v>
      </c>
      <c r="P2576" s="435">
        <f t="shared" si="1499"/>
        <v>33.909999999999997</v>
      </c>
      <c r="AE2576" s="217"/>
      <c r="AF2576" s="217">
        <v>1323</v>
      </c>
      <c r="AH2576">
        <f t="shared" si="1507"/>
        <v>1323</v>
      </c>
    </row>
    <row r="2577" ht="60">
      <c r="A2577" s="217"/>
      <c r="B2577" s="217">
        <v>1323</v>
      </c>
      <c r="C2577" s="217"/>
      <c r="D2577" s="217" t="s">
        <v>20408</v>
      </c>
      <c r="E2577" s="468" t="s">
        <v>20667</v>
      </c>
      <c r="F2577" s="607">
        <v>44533</v>
      </c>
      <c r="G2577" s="602" t="s">
        <v>21963</v>
      </c>
      <c r="H2577" s="542" t="s">
        <v>31</v>
      </c>
      <c r="I2577" s="472">
        <f>0.097/6</f>
        <v>1.6166699999999999e-002</v>
      </c>
      <c r="J2577" s="473">
        <f t="shared" si="1497"/>
        <v>22.609999999999999</v>
      </c>
      <c r="K2577" s="474">
        <f t="shared" si="1508"/>
        <v>0.36552908699999997</v>
      </c>
      <c r="L2577" s="473">
        <f t="shared" si="1501"/>
        <v>22.609999999999999</v>
      </c>
      <c r="M2577" s="474">
        <f t="shared" si="1509"/>
        <v>0.36552908699999997</v>
      </c>
      <c r="O2577" s="434">
        <f t="shared" si="1498"/>
        <v>22.609999999999999</v>
      </c>
      <c r="P2577" s="435">
        <f t="shared" si="1499"/>
        <v>22.609999999999999</v>
      </c>
      <c r="AE2577" s="217"/>
      <c r="AF2577" s="217">
        <v>1323</v>
      </c>
      <c r="AH2577">
        <f t="shared" si="1507"/>
        <v>1323</v>
      </c>
    </row>
    <row r="2578" ht="45">
      <c r="A2578" s="217"/>
      <c r="B2578" s="217">
        <v>1323</v>
      </c>
      <c r="C2578" s="217"/>
      <c r="D2578" s="217" t="s">
        <v>20398</v>
      </c>
      <c r="E2578" s="468" t="s">
        <v>20671</v>
      </c>
      <c r="F2578" s="607">
        <v>1259</v>
      </c>
      <c r="G2578" s="602" t="s">
        <v>20796</v>
      </c>
      <c r="H2578" s="542" t="s">
        <v>15528</v>
      </c>
      <c r="I2578" s="472">
        <f>0.8*0.8*0.5</f>
        <v>0.32000000000000001</v>
      </c>
      <c r="J2578" s="473">
        <f t="shared" si="1497"/>
        <v>45.520000000000003</v>
      </c>
      <c r="K2578" s="474">
        <f t="shared" si="1508"/>
        <v>14.566400000000002</v>
      </c>
      <c r="L2578" s="473">
        <f t="shared" si="1501"/>
        <v>43.100000000000001</v>
      </c>
      <c r="M2578" s="474">
        <f t="shared" si="1509"/>
        <v>13.792000000000002</v>
      </c>
      <c r="O2578" s="434">
        <f t="shared" si="1498"/>
        <v>45.520000000000003</v>
      </c>
      <c r="P2578" s="435">
        <f t="shared" si="1499"/>
        <v>43.100000000000001</v>
      </c>
      <c r="AE2578" s="217"/>
      <c r="AF2578" s="217">
        <v>1323</v>
      </c>
      <c r="AH2578">
        <f t="shared" si="1507"/>
        <v>1323</v>
      </c>
    </row>
    <row r="2579" ht="75">
      <c r="A2579" s="217"/>
      <c r="B2579" s="217">
        <v>1323</v>
      </c>
      <c r="C2579" s="217"/>
      <c r="D2579" s="217" t="s">
        <v>20398</v>
      </c>
      <c r="E2579" s="468" t="s">
        <v>20672</v>
      </c>
      <c r="F2579" s="607">
        <v>1255</v>
      </c>
      <c r="G2579" s="602" t="s">
        <v>20964</v>
      </c>
      <c r="H2579" s="542" t="s">
        <v>15528</v>
      </c>
      <c r="I2579" s="472">
        <f>I2578-0.5*0.5*0.55</f>
        <v>0.1825</v>
      </c>
      <c r="J2579" s="473">
        <f t="shared" si="1497"/>
        <v>29.707014000000001</v>
      </c>
      <c r="K2579" s="474">
        <f t="shared" si="1508"/>
        <v>5.4215300549999998</v>
      </c>
      <c r="L2579" s="473">
        <f t="shared" si="1501"/>
        <v>28.497014</v>
      </c>
      <c r="M2579" s="474">
        <f t="shared" si="1509"/>
        <v>5.2007050550000002</v>
      </c>
      <c r="O2579" s="434">
        <f t="shared" si="1498"/>
        <v>29.707014000000001</v>
      </c>
      <c r="P2579" s="435">
        <f t="shared" si="1499"/>
        <v>28.497014</v>
      </c>
      <c r="AE2579" s="217"/>
      <c r="AF2579" s="217">
        <v>1323</v>
      </c>
      <c r="AH2579">
        <f t="shared" si="1507"/>
        <v>1323</v>
      </c>
    </row>
    <row r="2580" ht="75">
      <c r="A2580" s="217"/>
      <c r="B2580" s="217">
        <v>1323</v>
      </c>
      <c r="C2580" s="217"/>
      <c r="D2580" s="217" t="s">
        <v>17167</v>
      </c>
      <c r="E2580" s="468" t="s">
        <v>20673</v>
      </c>
      <c r="F2580" s="607">
        <v>96557</v>
      </c>
      <c r="G2580" s="604" t="s">
        <v>21964</v>
      </c>
      <c r="H2580" s="542" t="s">
        <v>15528</v>
      </c>
      <c r="I2580" s="472">
        <f>0.5*0.5*0.5</f>
        <v>0.125</v>
      </c>
      <c r="J2580" s="473">
        <f t="shared" si="1497"/>
        <v>811.90999999999997</v>
      </c>
      <c r="K2580" s="474">
        <f t="shared" si="1508"/>
        <v>101.48875</v>
      </c>
      <c r="L2580" s="473">
        <f t="shared" si="1501"/>
        <v>810.75999999999999</v>
      </c>
      <c r="M2580" s="474">
        <f t="shared" si="1509"/>
        <v>101.345</v>
      </c>
      <c r="O2580" s="434">
        <f t="shared" si="1498"/>
        <v>811.90999999999997</v>
      </c>
      <c r="P2580" s="435">
        <f t="shared" si="1499"/>
        <v>810.75999999999999</v>
      </c>
      <c r="AE2580" s="217"/>
      <c r="AF2580" s="217">
        <v>1323</v>
      </c>
      <c r="AH2580">
        <f t="shared" si="1507"/>
        <v>1323</v>
      </c>
    </row>
    <row r="2581" ht="45">
      <c r="A2581" s="217"/>
      <c r="B2581" s="217">
        <v>1323</v>
      </c>
      <c r="C2581" s="217"/>
      <c r="D2581" s="217" t="s">
        <v>17167</v>
      </c>
      <c r="E2581" s="468" t="s">
        <v>20675</v>
      </c>
      <c r="F2581" s="607">
        <v>96543</v>
      </c>
      <c r="G2581" s="604" t="s">
        <v>21856</v>
      </c>
      <c r="H2581" s="542" t="s">
        <v>302</v>
      </c>
      <c r="I2581" s="472">
        <v>2.7599999999999998</v>
      </c>
      <c r="J2581" s="473">
        <f t="shared" si="1497"/>
        <v>19.829999999999998</v>
      </c>
      <c r="K2581" s="474">
        <f t="shared" si="1508"/>
        <v>54.730799999999988</v>
      </c>
      <c r="L2581" s="473">
        <f t="shared" si="1501"/>
        <v>19.210000000000001</v>
      </c>
      <c r="M2581" s="474">
        <f t="shared" si="1509"/>
        <v>53.019599999999997</v>
      </c>
      <c r="O2581" s="434">
        <f t="shared" si="1498"/>
        <v>19.829999999999998</v>
      </c>
      <c r="P2581" s="435">
        <f t="shared" si="1499"/>
        <v>19.210000000000001</v>
      </c>
      <c r="AE2581" s="217"/>
      <c r="AF2581" s="217">
        <v>1323</v>
      </c>
      <c r="AH2581">
        <f t="shared" si="1507"/>
        <v>1323</v>
      </c>
    </row>
    <row r="2582" ht="75">
      <c r="A2582" s="217"/>
      <c r="B2582" s="217">
        <v>1323</v>
      </c>
      <c r="C2582" s="217"/>
      <c r="D2582" s="217" t="s">
        <v>17167</v>
      </c>
      <c r="E2582" s="468" t="s">
        <v>20677</v>
      </c>
      <c r="F2582" s="607">
        <v>97086</v>
      </c>
      <c r="G2582" s="604" t="s">
        <v>8858</v>
      </c>
      <c r="H2582" s="542" t="s">
        <v>15515</v>
      </c>
      <c r="I2582" s="472">
        <v>1</v>
      </c>
      <c r="J2582" s="473">
        <f t="shared" si="1497"/>
        <v>133.02000000000001</v>
      </c>
      <c r="K2582" s="474">
        <f t="shared" si="1508"/>
        <v>133.02000000000001</v>
      </c>
      <c r="L2582" s="473">
        <f t="shared" si="1501"/>
        <v>127.40000000000001</v>
      </c>
      <c r="M2582" s="474">
        <f t="shared" si="1509"/>
        <v>127.40000000000001</v>
      </c>
      <c r="O2582" s="434">
        <f t="shared" si="1498"/>
        <v>133.02000000000001</v>
      </c>
      <c r="P2582" s="435">
        <f t="shared" si="1499"/>
        <v>127.40000000000001</v>
      </c>
      <c r="AE2582" s="217"/>
      <c r="AF2582" s="217">
        <v>1323</v>
      </c>
      <c r="AH2582">
        <f t="shared" si="1507"/>
        <v>1323</v>
      </c>
    </row>
    <row r="2583" ht="30">
      <c r="A2583" s="217"/>
      <c r="B2583" s="217">
        <v>1323</v>
      </c>
      <c r="C2583" s="217"/>
      <c r="D2583" s="217" t="s">
        <v>17167</v>
      </c>
      <c r="E2583" s="468" t="s">
        <v>20679</v>
      </c>
      <c r="F2583" s="607">
        <v>88315</v>
      </c>
      <c r="G2583" s="604" t="s">
        <v>7392</v>
      </c>
      <c r="H2583" s="542" t="s">
        <v>2032</v>
      </c>
      <c r="I2583" s="472">
        <f>0.244/6</f>
        <v>4.06667e-002</v>
      </c>
      <c r="J2583" s="473">
        <f t="shared" si="1497"/>
        <v>28.800000000000001</v>
      </c>
      <c r="K2583" s="474">
        <f t="shared" si="1508"/>
        <v>1.17120096</v>
      </c>
      <c r="L2583" s="473">
        <f t="shared" si="1501"/>
        <v>27.149999999999999</v>
      </c>
      <c r="M2583" s="474">
        <f t="shared" si="1509"/>
        <v>1.1041009049999999</v>
      </c>
      <c r="O2583" s="434">
        <f t="shared" si="1498"/>
        <v>28.800000000000001</v>
      </c>
      <c r="P2583" s="435">
        <f t="shared" si="1499"/>
        <v>27.149999999999999</v>
      </c>
      <c r="AE2583" s="217"/>
      <c r="AF2583" s="217">
        <v>1323</v>
      </c>
      <c r="AH2583">
        <f t="shared" si="1507"/>
        <v>1323</v>
      </c>
    </row>
    <row r="2584" ht="30">
      <c r="A2584" s="217"/>
      <c r="B2584" s="217">
        <v>1323</v>
      </c>
      <c r="C2584" s="217"/>
      <c r="D2584" s="217" t="s">
        <v>17167</v>
      </c>
      <c r="E2584" s="468" t="s">
        <v>20681</v>
      </c>
      <c r="F2584" s="606">
        <v>88251</v>
      </c>
      <c r="G2584" s="602" t="s">
        <v>7116</v>
      </c>
      <c r="H2584" s="533" t="s">
        <v>2032</v>
      </c>
      <c r="I2584" s="472">
        <f>0.341/6</f>
        <v>5.6833300000000003e-002</v>
      </c>
      <c r="J2584" s="473">
        <f t="shared" si="1497"/>
        <v>23.48</v>
      </c>
      <c r="K2584" s="474">
        <f t="shared" si="1508"/>
        <v>1.3344458840000002</v>
      </c>
      <c r="L2584" s="473">
        <f t="shared" si="1501"/>
        <v>22.219999999999999</v>
      </c>
      <c r="M2584" s="474">
        <f t="shared" si="1509"/>
        <v>1.2628359259999999</v>
      </c>
      <c r="O2584" s="434">
        <f t="shared" si="1498"/>
        <v>23.48</v>
      </c>
      <c r="P2584" s="435">
        <f t="shared" si="1499"/>
        <v>22.219999999999999</v>
      </c>
      <c r="AE2584" s="217"/>
      <c r="AF2584" s="217">
        <v>1323</v>
      </c>
      <c r="AH2584">
        <f t="shared" si="1507"/>
        <v>1323</v>
      </c>
    </row>
    <row r="2585" ht="45.75">
      <c r="A2585" s="217"/>
      <c r="B2585" s="217">
        <v>1323</v>
      </c>
      <c r="C2585" s="217"/>
      <c r="D2585" s="217"/>
      <c r="E2585" s="468"/>
      <c r="F2585" s="606"/>
      <c r="G2585" s="470" t="s">
        <v>21965</v>
      </c>
      <c r="H2585" s="608"/>
      <c r="I2585" s="527"/>
      <c r="J2585" s="529"/>
      <c r="K2585" s="528"/>
      <c r="L2585" s="529"/>
      <c r="M2585" s="528"/>
      <c r="O2585" s="434" t="str">
        <f t="shared" si="1498"/>
        <v xml:space="preserve">SEM VALOR</v>
      </c>
      <c r="P2585" s="435" t="str">
        <f t="shared" si="1499"/>
        <v xml:space="preserve">SEM VALOR</v>
      </c>
      <c r="AE2585" s="217"/>
      <c r="AF2585" s="217">
        <v>1323</v>
      </c>
      <c r="AH2585">
        <f t="shared" si="1507"/>
        <v>1323</v>
      </c>
    </row>
    <row r="2586">
      <c r="A2586" s="217"/>
      <c r="B2586" s="217">
        <v>1323</v>
      </c>
      <c r="C2586" s="217"/>
      <c r="D2586" s="217"/>
      <c r="E2586" s="468"/>
      <c r="F2586" s="606"/>
      <c r="G2586" s="470" t="s">
        <v>21966</v>
      </c>
      <c r="H2586" s="608"/>
      <c r="I2586" s="527"/>
      <c r="J2586" s="529"/>
      <c r="K2586" s="528"/>
      <c r="L2586" s="529"/>
      <c r="M2586" s="528"/>
      <c r="O2586" s="434" t="str">
        <f t="shared" si="1498"/>
        <v xml:space="preserve">SEM VALOR</v>
      </c>
      <c r="P2586" s="435" t="str">
        <f t="shared" si="1499"/>
        <v xml:space="preserve">SEM VALOR</v>
      </c>
      <c r="AE2586" s="217"/>
      <c r="AF2586" s="217">
        <v>1323</v>
      </c>
      <c r="AH2586">
        <f t="shared" si="1507"/>
        <v>1323</v>
      </c>
    </row>
    <row r="2587" ht="114.75" customHeight="1">
      <c r="A2587" s="460">
        <v>1324</v>
      </c>
      <c r="B2587" s="460">
        <v>1324</v>
      </c>
      <c r="C2587" s="460"/>
      <c r="D2587" s="460"/>
      <c r="E2587" s="461">
        <v>1</v>
      </c>
      <c r="F2587" s="462" t="s">
        <v>21967</v>
      </c>
      <c r="G2587" s="477" t="s">
        <v>21968</v>
      </c>
      <c r="H2587" s="579" t="s">
        <v>15528</v>
      </c>
      <c r="I2587" s="479"/>
      <c r="J2587" s="480"/>
      <c r="K2587" s="466">
        <f>SUM(K2588:K2591)</f>
        <v>1741.0682431800003</v>
      </c>
      <c r="L2587" s="480"/>
      <c r="M2587" s="466">
        <f>SUM(M2588:M2591)</f>
        <v>1736.7660210250003</v>
      </c>
      <c r="O2587" s="434" t="str">
        <f t="shared" si="1498"/>
        <v xml:space="preserve">SEM VALOR</v>
      </c>
      <c r="P2587" s="435" t="str">
        <f t="shared" si="1499"/>
        <v xml:space="preserve">SEM VALOR</v>
      </c>
      <c r="AE2587" s="460">
        <v>1324</v>
      </c>
      <c r="AF2587" s="460"/>
      <c r="AH2587">
        <f t="shared" si="1507"/>
        <v>1324</v>
      </c>
    </row>
    <row r="2588" ht="75">
      <c r="A2588" s="217"/>
      <c r="B2588" s="217">
        <v>1324</v>
      </c>
      <c r="C2588" s="217"/>
      <c r="D2588" s="217" t="s">
        <v>20408</v>
      </c>
      <c r="E2588" s="471" t="s">
        <v>20399</v>
      </c>
      <c r="F2588" s="609">
        <v>1518</v>
      </c>
      <c r="G2588" s="610" t="s">
        <v>21969</v>
      </c>
      <c r="H2588" s="471" t="s">
        <v>9591</v>
      </c>
      <c r="I2588" s="472">
        <v>2.5548000000000002</v>
      </c>
      <c r="J2588" s="473">
        <f t="shared" si="1497"/>
        <v>643.5</v>
      </c>
      <c r="K2588" s="474">
        <f t="shared" ref="K2588:K2591" si="1510">I2588*J2588</f>
        <v>1644.0138000000002</v>
      </c>
      <c r="L2588" s="473">
        <f t="shared" si="1501"/>
        <v>643.5</v>
      </c>
      <c r="M2588" s="474">
        <f t="shared" ref="M2588:M2591" si="1511">L2588*I2588</f>
        <v>1644.0138000000002</v>
      </c>
      <c r="O2588" s="434">
        <f t="shared" si="1498"/>
        <v>643.5</v>
      </c>
      <c r="P2588" s="435">
        <f t="shared" si="1499"/>
        <v>643.5</v>
      </c>
      <c r="AE2588" s="217"/>
      <c r="AF2588" s="217">
        <v>1324</v>
      </c>
      <c r="AH2588">
        <f t="shared" si="1507"/>
        <v>1324</v>
      </c>
    </row>
    <row r="2589" ht="90">
      <c r="A2589" s="217"/>
      <c r="B2589" s="217">
        <v>1324</v>
      </c>
      <c r="C2589" s="217"/>
      <c r="D2589" s="217" t="s">
        <v>17167</v>
      </c>
      <c r="E2589" s="471" t="s">
        <v>20402</v>
      </c>
      <c r="F2589" s="609">
        <v>5865</v>
      </c>
      <c r="G2589" s="610" t="s">
        <v>1890</v>
      </c>
      <c r="H2589" s="471" t="s">
        <v>1533</v>
      </c>
      <c r="I2589" s="472">
        <v>0.5</v>
      </c>
      <c r="J2589" s="473">
        <f t="shared" si="1497"/>
        <v>10.800000000000001</v>
      </c>
      <c r="K2589" s="474">
        <f t="shared" si="1510"/>
        <v>5.4000000000000004</v>
      </c>
      <c r="L2589" s="473">
        <f t="shared" si="1501"/>
        <v>10.800000000000001</v>
      </c>
      <c r="M2589" s="474">
        <f t="shared" si="1511"/>
        <v>5.4000000000000004</v>
      </c>
      <c r="O2589" s="434">
        <f t="shared" si="1498"/>
        <v>10.800000000000001</v>
      </c>
      <c r="P2589" s="435">
        <f t="shared" si="1499"/>
        <v>10.800000000000001</v>
      </c>
      <c r="AE2589" s="217"/>
      <c r="AF2589" s="217">
        <v>1324</v>
      </c>
      <c r="AH2589">
        <f t="shared" si="1507"/>
        <v>1324</v>
      </c>
    </row>
    <row r="2590" ht="90">
      <c r="A2590" s="217"/>
      <c r="B2590" s="217">
        <v>1324</v>
      </c>
      <c r="C2590" s="217"/>
      <c r="D2590" s="217" t="s">
        <v>17167</v>
      </c>
      <c r="E2590" s="471" t="s">
        <v>20405</v>
      </c>
      <c r="F2590" s="609">
        <v>5863</v>
      </c>
      <c r="G2590" s="610" t="s">
        <v>1891</v>
      </c>
      <c r="H2590" s="471" t="s">
        <v>1535</v>
      </c>
      <c r="I2590" s="472">
        <v>0.5</v>
      </c>
      <c r="J2590" s="473">
        <f t="shared" ref="J2590:J2653" si="1512">O2590*$J$3</f>
        <v>21.460000000000001</v>
      </c>
      <c r="K2590" s="474">
        <f t="shared" si="1510"/>
        <v>10.73</v>
      </c>
      <c r="L2590" s="473">
        <f t="shared" si="1501"/>
        <v>21.460000000000001</v>
      </c>
      <c r="M2590" s="474">
        <f t="shared" si="1511"/>
        <v>10.73</v>
      </c>
      <c r="O2590" s="434">
        <f t="shared" si="1498"/>
        <v>21.460000000000001</v>
      </c>
      <c r="P2590" s="435">
        <f t="shared" si="1499"/>
        <v>21.460000000000001</v>
      </c>
      <c r="AE2590" s="217"/>
      <c r="AF2590" s="217">
        <v>1324</v>
      </c>
      <c r="AH2590">
        <f t="shared" si="1507"/>
        <v>1324</v>
      </c>
    </row>
    <row r="2591" ht="30">
      <c r="A2591" s="217"/>
      <c r="B2591" s="217">
        <v>1324</v>
      </c>
      <c r="C2591" s="217"/>
      <c r="D2591" s="217" t="s">
        <v>17167</v>
      </c>
      <c r="E2591" s="471" t="s">
        <v>20409</v>
      </c>
      <c r="F2591" s="609">
        <v>88316</v>
      </c>
      <c r="G2591" s="610" t="s">
        <v>7393</v>
      </c>
      <c r="H2591" s="542" t="s">
        <v>2032</v>
      </c>
      <c r="I2591" s="472">
        <v>3.5555555000000001</v>
      </c>
      <c r="J2591" s="473">
        <f t="shared" si="1512"/>
        <v>22.760000000000002</v>
      </c>
      <c r="K2591" s="474">
        <f t="shared" si="1510"/>
        <v>80.924443180000011</v>
      </c>
      <c r="L2591" s="473">
        <f t="shared" si="1501"/>
        <v>21.550000000000001</v>
      </c>
      <c r="M2591" s="474">
        <f t="shared" si="1511"/>
        <v>76.622221025000002</v>
      </c>
      <c r="O2591" s="434">
        <f t="shared" si="1498"/>
        <v>22.760000000000002</v>
      </c>
      <c r="P2591" s="435">
        <f t="shared" si="1499"/>
        <v>21.550000000000001</v>
      </c>
      <c r="AE2591" s="217"/>
      <c r="AF2591" s="217">
        <v>1324</v>
      </c>
      <c r="AH2591">
        <f t="shared" si="1507"/>
        <v>1324</v>
      </c>
    </row>
    <row r="2592" ht="94.5">
      <c r="A2592" s="460">
        <v>1325</v>
      </c>
      <c r="B2592" s="460">
        <v>1325</v>
      </c>
      <c r="C2592" s="460"/>
      <c r="D2592" s="460"/>
      <c r="E2592" s="461">
        <v>1</v>
      </c>
      <c r="F2592" s="462" t="s">
        <v>21970</v>
      </c>
      <c r="G2592" s="477" t="s">
        <v>21971</v>
      </c>
      <c r="H2592" s="579" t="s">
        <v>20647</v>
      </c>
      <c r="I2592" s="479"/>
      <c r="J2592" s="480"/>
      <c r="K2592" s="466">
        <f>SUM(K2593:K2601)</f>
        <v>1790.1815028999999</v>
      </c>
      <c r="L2592" s="480"/>
      <c r="M2592" s="466">
        <f>SUM(M2593:M2601)</f>
        <v>1736.5458509600003</v>
      </c>
      <c r="O2592" s="434" t="str">
        <f t="shared" si="1498"/>
        <v xml:space="preserve">SEM VALOR</v>
      </c>
      <c r="P2592" s="435" t="str">
        <f t="shared" si="1499"/>
        <v xml:space="preserve">SEM VALOR</v>
      </c>
      <c r="R2592" s="510" t="s">
        <v>21972</v>
      </c>
      <c r="AE2592" s="460">
        <v>1325</v>
      </c>
      <c r="AF2592" s="460"/>
      <c r="AH2592">
        <f t="shared" si="1507"/>
        <v>1325</v>
      </c>
    </row>
    <row r="2593" ht="30">
      <c r="A2593" s="217"/>
      <c r="B2593" s="217">
        <v>1325</v>
      </c>
      <c r="C2593" s="217"/>
      <c r="D2593" s="217" t="s">
        <v>20398</v>
      </c>
      <c r="E2593" s="471" t="s">
        <v>20399</v>
      </c>
      <c r="F2593" s="482">
        <v>1328</v>
      </c>
      <c r="G2593" s="470" t="s">
        <v>20659</v>
      </c>
      <c r="H2593" s="483" t="s">
        <v>20647</v>
      </c>
      <c r="I2593" s="472">
        <v>1</v>
      </c>
      <c r="J2593" s="473">
        <f t="shared" si="1512"/>
        <v>773.29938289999996</v>
      </c>
      <c r="K2593" s="474">
        <f t="shared" ref="K2593:K2601" si="1513">I2593*J2593</f>
        <v>773.29938289999996</v>
      </c>
      <c r="L2593" s="473">
        <f t="shared" si="1501"/>
        <v>752.1923829000001</v>
      </c>
      <c r="M2593" s="474">
        <f t="shared" ref="M2593:M2601" si="1514">L2593*I2593</f>
        <v>752.1923829000001</v>
      </c>
      <c r="O2593" s="434">
        <f t="shared" si="1498"/>
        <v>773.29938289999996</v>
      </c>
      <c r="P2593" s="435">
        <f t="shared" si="1499"/>
        <v>752.1923829000001</v>
      </c>
      <c r="AE2593" s="217"/>
      <c r="AF2593" s="217">
        <v>1325</v>
      </c>
      <c r="AH2593">
        <f t="shared" si="1507"/>
        <v>1325</v>
      </c>
    </row>
    <row r="2594" ht="45">
      <c r="A2594" s="217"/>
      <c r="B2594" s="217">
        <v>1325</v>
      </c>
      <c r="C2594" s="217"/>
      <c r="D2594" s="217" t="s">
        <v>17167</v>
      </c>
      <c r="E2594" s="471" t="s">
        <v>20402</v>
      </c>
      <c r="F2594" s="482">
        <v>93358</v>
      </c>
      <c r="G2594" s="470" t="s">
        <v>20661</v>
      </c>
      <c r="H2594" s="472" t="s">
        <v>15528</v>
      </c>
      <c r="I2594" s="472">
        <v>1.1799999999999999</v>
      </c>
      <c r="J2594" s="473">
        <f t="shared" si="1512"/>
        <v>90.030000000000001</v>
      </c>
      <c r="K2594" s="474">
        <f t="shared" si="1513"/>
        <v>106.2354</v>
      </c>
      <c r="L2594" s="473">
        <f t="shared" si="1501"/>
        <v>85.239999999999995</v>
      </c>
      <c r="M2594" s="474">
        <f t="shared" si="1514"/>
        <v>100.58319999999999</v>
      </c>
      <c r="O2594" s="434">
        <f t="shared" si="1498"/>
        <v>90.030000000000001</v>
      </c>
      <c r="P2594" s="435">
        <f t="shared" si="1499"/>
        <v>85.239999999999995</v>
      </c>
      <c r="Q2594" s="611" t="s">
        <v>21973</v>
      </c>
      <c r="AE2594" s="217"/>
      <c r="AF2594" s="217">
        <v>1325</v>
      </c>
      <c r="AH2594">
        <f t="shared" si="1507"/>
        <v>1325</v>
      </c>
    </row>
    <row r="2595" ht="60">
      <c r="A2595" s="217"/>
      <c r="B2595" s="217">
        <v>1325</v>
      </c>
      <c r="C2595" s="217"/>
      <c r="D2595" s="217" t="s">
        <v>20398</v>
      </c>
      <c r="E2595" s="471" t="s">
        <v>20405</v>
      </c>
      <c r="F2595" s="482">
        <v>1258</v>
      </c>
      <c r="G2595" s="488" t="s">
        <v>20660</v>
      </c>
      <c r="H2595" s="471" t="s">
        <v>15515</v>
      </c>
      <c r="I2595" s="472">
        <v>2.2200000000000002</v>
      </c>
      <c r="J2595" s="473">
        <f t="shared" si="1512"/>
        <v>7.5700000000000003</v>
      </c>
      <c r="K2595" s="474">
        <f t="shared" si="1513"/>
        <v>16.805400000000002</v>
      </c>
      <c r="L2595" s="473">
        <f t="shared" si="1501"/>
        <v>7.1846199999999998</v>
      </c>
      <c r="M2595" s="474">
        <f t="shared" si="1514"/>
        <v>15.949856400000002</v>
      </c>
      <c r="O2595" s="434">
        <f t="shared" si="1498"/>
        <v>7.5700000000000003</v>
      </c>
      <c r="P2595" s="435">
        <f t="shared" si="1499"/>
        <v>7.1846199999999998</v>
      </c>
      <c r="AE2595" s="217"/>
      <c r="AF2595" s="217">
        <v>1325</v>
      </c>
      <c r="AH2595">
        <f t="shared" si="1507"/>
        <v>1325</v>
      </c>
    </row>
    <row r="2596" ht="105">
      <c r="A2596" s="217"/>
      <c r="B2596" s="217">
        <v>1325</v>
      </c>
      <c r="C2596" s="217"/>
      <c r="D2596" s="217" t="s">
        <v>20398</v>
      </c>
      <c r="E2596" s="471" t="s">
        <v>20409</v>
      </c>
      <c r="F2596" s="482">
        <v>1092</v>
      </c>
      <c r="G2596" s="470" t="s">
        <v>20666</v>
      </c>
      <c r="H2596" s="472" t="s">
        <v>15528</v>
      </c>
      <c r="I2596" s="472">
        <f>I2594*1.3</f>
        <v>1.534</v>
      </c>
      <c r="J2596" s="473">
        <f t="shared" si="1512"/>
        <v>2.2000000000000002</v>
      </c>
      <c r="K2596" s="474">
        <f t="shared" si="1513"/>
        <v>3.3748000000000005</v>
      </c>
      <c r="L2596" s="473">
        <f t="shared" si="1501"/>
        <v>2.1879900000000001</v>
      </c>
      <c r="M2596" s="474">
        <f t="shared" si="1514"/>
        <v>3.35637666</v>
      </c>
      <c r="O2596" s="434">
        <f t="shared" si="1498"/>
        <v>2.2000000000000002</v>
      </c>
      <c r="P2596" s="435">
        <f t="shared" si="1499"/>
        <v>2.1879900000000001</v>
      </c>
      <c r="AE2596" s="217"/>
      <c r="AF2596" s="217">
        <v>1325</v>
      </c>
      <c r="AH2596">
        <f t="shared" si="1507"/>
        <v>1325</v>
      </c>
    </row>
    <row r="2597" ht="60">
      <c r="A2597" s="217"/>
      <c r="B2597" s="217">
        <v>1325</v>
      </c>
      <c r="C2597" s="217"/>
      <c r="D2597" s="217" t="s">
        <v>17167</v>
      </c>
      <c r="E2597" s="471" t="s">
        <v>20663</v>
      </c>
      <c r="F2597" s="482">
        <v>95875</v>
      </c>
      <c r="G2597" s="470" t="s">
        <v>20668</v>
      </c>
      <c r="H2597" s="472" t="s">
        <v>20669</v>
      </c>
      <c r="I2597" s="472">
        <f>I2596*5</f>
        <v>7.6699999999999999</v>
      </c>
      <c r="J2597" s="473">
        <f t="shared" si="1512"/>
        <v>2.7599999999999998</v>
      </c>
      <c r="K2597" s="474">
        <f t="shared" si="1513"/>
        <v>21.169199999999996</v>
      </c>
      <c r="L2597" s="473">
        <f t="shared" si="1501"/>
        <v>2.73</v>
      </c>
      <c r="M2597" s="474">
        <f t="shared" si="1514"/>
        <v>20.9391</v>
      </c>
      <c r="O2597" s="434">
        <f t="shared" si="1498"/>
        <v>2.7599999999999998</v>
      </c>
      <c r="P2597" s="435">
        <f t="shared" si="1499"/>
        <v>2.73</v>
      </c>
      <c r="AE2597" s="217"/>
      <c r="AF2597" s="217">
        <v>1325</v>
      </c>
      <c r="AH2597">
        <f t="shared" si="1507"/>
        <v>1325</v>
      </c>
    </row>
    <row r="2598" ht="105">
      <c r="A2598" s="217"/>
      <c r="B2598" s="217">
        <v>1325</v>
      </c>
      <c r="C2598" s="217"/>
      <c r="D2598" s="217" t="s">
        <v>17167</v>
      </c>
      <c r="E2598" s="471" t="s">
        <v>20665</v>
      </c>
      <c r="F2598" s="482">
        <v>5928</v>
      </c>
      <c r="G2598" s="470" t="s">
        <v>1739</v>
      </c>
      <c r="H2598" s="471" t="s">
        <v>1535</v>
      </c>
      <c r="I2598" s="472">
        <v>0.10000000000000001</v>
      </c>
      <c r="J2598" s="473">
        <f t="shared" si="1512"/>
        <v>298.70999999999998</v>
      </c>
      <c r="K2598" s="474">
        <f t="shared" si="1513"/>
        <v>29.870999999999999</v>
      </c>
      <c r="L2598" s="473">
        <f t="shared" si="1501"/>
        <v>296.98000000000002</v>
      </c>
      <c r="M2598" s="474">
        <f t="shared" si="1514"/>
        <v>29.698000000000004</v>
      </c>
      <c r="O2598" s="434">
        <f t="shared" si="1498"/>
        <v>298.70999999999998</v>
      </c>
      <c r="P2598" s="435">
        <f t="shared" si="1499"/>
        <v>296.98000000000002</v>
      </c>
      <c r="AE2598" s="217"/>
      <c r="AF2598" s="217">
        <v>1325</v>
      </c>
      <c r="AH2598">
        <f t="shared" si="1507"/>
        <v>1325</v>
      </c>
    </row>
    <row r="2599" ht="45">
      <c r="A2599" s="217"/>
      <c r="B2599" s="217">
        <v>1325</v>
      </c>
      <c r="C2599" s="217"/>
      <c r="D2599" s="217" t="s">
        <v>20398</v>
      </c>
      <c r="E2599" s="471" t="s">
        <v>20667</v>
      </c>
      <c r="F2599" s="482">
        <v>1000</v>
      </c>
      <c r="G2599" s="470" t="s">
        <v>20651</v>
      </c>
      <c r="H2599" s="471" t="s">
        <v>15528</v>
      </c>
      <c r="I2599" s="472">
        <f>I2601</f>
        <v>0.72999999999999998</v>
      </c>
      <c r="J2599" s="473">
        <f t="shared" si="1512"/>
        <v>149.904</v>
      </c>
      <c r="K2599" s="474">
        <f t="shared" si="1513"/>
        <v>109.42992</v>
      </c>
      <c r="L2599" s="473">
        <f t="shared" si="1501"/>
        <v>141.76949999999999</v>
      </c>
      <c r="M2599" s="474">
        <f t="shared" si="1514"/>
        <v>103.49173499999999</v>
      </c>
      <c r="O2599" s="434">
        <f t="shared" si="1498"/>
        <v>149.904</v>
      </c>
      <c r="P2599" s="435">
        <f t="shared" si="1499"/>
        <v>141.76949999999999</v>
      </c>
      <c r="AE2599" s="217"/>
      <c r="AF2599" s="217">
        <v>1325</v>
      </c>
      <c r="AH2599">
        <f t="shared" si="1507"/>
        <v>1325</v>
      </c>
    </row>
    <row r="2600" ht="75">
      <c r="A2600" s="217"/>
      <c r="B2600" s="217">
        <v>1325</v>
      </c>
      <c r="C2600" s="217"/>
      <c r="D2600" s="217" t="s">
        <v>17167</v>
      </c>
      <c r="E2600" s="471" t="s">
        <v>20671</v>
      </c>
      <c r="F2600" s="482">
        <v>96542</v>
      </c>
      <c r="G2600" s="470" t="s">
        <v>20761</v>
      </c>
      <c r="H2600" s="471" t="s">
        <v>15515</v>
      </c>
      <c r="I2600" s="472">
        <f>(0.9*2+0.45*2)*1.5</f>
        <v>4.0499999999999998</v>
      </c>
      <c r="J2600" s="473">
        <f t="shared" si="1512"/>
        <v>92.189999999999998</v>
      </c>
      <c r="K2600" s="474">
        <f t="shared" si="1513"/>
        <v>373.36949999999996</v>
      </c>
      <c r="L2600" s="473">
        <f t="shared" si="1501"/>
        <v>88.370000000000005</v>
      </c>
      <c r="M2600" s="474">
        <f t="shared" si="1514"/>
        <v>357.89850000000001</v>
      </c>
      <c r="O2600" s="434">
        <f t="shared" si="1498"/>
        <v>92.189999999999998</v>
      </c>
      <c r="P2600" s="435">
        <f t="shared" si="1499"/>
        <v>88.370000000000005</v>
      </c>
      <c r="AE2600" s="217"/>
      <c r="AF2600" s="217">
        <v>1325</v>
      </c>
      <c r="AH2600">
        <f t="shared" si="1507"/>
        <v>1325</v>
      </c>
    </row>
    <row r="2601" ht="60">
      <c r="A2601" s="217"/>
      <c r="B2601" s="217">
        <v>1325</v>
      </c>
      <c r="C2601" s="217"/>
      <c r="D2601" s="217" t="s">
        <v>17167</v>
      </c>
      <c r="E2601" s="471" t="s">
        <v>20672</v>
      </c>
      <c r="F2601" s="482">
        <v>94964</v>
      </c>
      <c r="G2601" s="470" t="s">
        <v>20686</v>
      </c>
      <c r="H2601" s="471" t="s">
        <v>15528</v>
      </c>
      <c r="I2601" s="472">
        <v>0.72999999999999998</v>
      </c>
      <c r="J2601" s="473">
        <f t="shared" si="1512"/>
        <v>488.52999999999997</v>
      </c>
      <c r="K2601" s="474">
        <f t="shared" si="1513"/>
        <v>356.62689999999998</v>
      </c>
      <c r="L2601" s="473">
        <f t="shared" si="1501"/>
        <v>482.79000000000002</v>
      </c>
      <c r="M2601" s="474">
        <f t="shared" si="1514"/>
        <v>352.43670000000003</v>
      </c>
      <c r="O2601" s="434">
        <f t="shared" si="1498"/>
        <v>488.52999999999997</v>
      </c>
      <c r="P2601" s="435">
        <f t="shared" si="1499"/>
        <v>482.79000000000002</v>
      </c>
      <c r="AE2601" s="217"/>
      <c r="AF2601" s="217">
        <v>1325</v>
      </c>
      <c r="AH2601">
        <f t="shared" si="1507"/>
        <v>1325</v>
      </c>
    </row>
    <row r="2602" ht="110.25">
      <c r="A2602" s="460">
        <v>1326</v>
      </c>
      <c r="B2602" s="460">
        <v>1326</v>
      </c>
      <c r="C2602" s="460"/>
      <c r="D2602" s="460"/>
      <c r="E2602" s="461">
        <v>1</v>
      </c>
      <c r="F2602" s="462" t="s">
        <v>21974</v>
      </c>
      <c r="G2602" s="477" t="s">
        <v>21975</v>
      </c>
      <c r="H2602" s="579" t="s">
        <v>20647</v>
      </c>
      <c r="I2602" s="479"/>
      <c r="J2602" s="480"/>
      <c r="K2602" s="466">
        <f>SUM(K2603:K2613)</f>
        <v>3326.2061058000004</v>
      </c>
      <c r="L2602" s="480"/>
      <c r="M2602" s="466">
        <f>SUM(M2603:M2613)</f>
        <v>3224.630572640001</v>
      </c>
      <c r="O2602" s="434" t="str">
        <f t="shared" si="1498"/>
        <v xml:space="preserve">SEM VALOR</v>
      </c>
      <c r="P2602" s="435" t="str">
        <f t="shared" si="1499"/>
        <v xml:space="preserve">SEM VALOR</v>
      </c>
      <c r="R2602" s="510" t="s">
        <v>21972</v>
      </c>
      <c r="AE2602" s="460">
        <v>1326</v>
      </c>
      <c r="AF2602" s="460"/>
      <c r="AH2602">
        <f t="shared" si="1507"/>
        <v>1326</v>
      </c>
    </row>
    <row r="2603" ht="30">
      <c r="A2603" s="217"/>
      <c r="B2603" s="217">
        <v>1326</v>
      </c>
      <c r="C2603" s="217"/>
      <c r="D2603" s="217" t="s">
        <v>20398</v>
      </c>
      <c r="E2603" s="471" t="s">
        <v>20399</v>
      </c>
      <c r="F2603" s="482">
        <v>1328</v>
      </c>
      <c r="G2603" s="470" t="s">
        <v>20659</v>
      </c>
      <c r="H2603" s="483" t="s">
        <v>20647</v>
      </c>
      <c r="I2603" s="472">
        <v>2</v>
      </c>
      <c r="J2603" s="473">
        <f t="shared" si="1512"/>
        <v>773.29938289999996</v>
      </c>
      <c r="K2603" s="474">
        <f t="shared" ref="K2603:K2613" si="1515">I2603*J2603</f>
        <v>1546.5987657999999</v>
      </c>
      <c r="L2603" s="473">
        <f t="shared" si="1501"/>
        <v>752.1923829000001</v>
      </c>
      <c r="M2603" s="474">
        <f t="shared" ref="M2603:M2613" si="1516">L2603*I2603</f>
        <v>1504.3847658000002</v>
      </c>
      <c r="O2603" s="434">
        <f t="shared" si="1498"/>
        <v>773.29938289999996</v>
      </c>
      <c r="P2603" s="435">
        <f t="shared" si="1499"/>
        <v>752.1923829000001</v>
      </c>
      <c r="R2603" s="611" t="s">
        <v>21973</v>
      </c>
      <c r="AE2603" s="217"/>
      <c r="AF2603" s="217">
        <v>1326</v>
      </c>
      <c r="AH2603">
        <f t="shared" si="1507"/>
        <v>1326</v>
      </c>
    </row>
    <row r="2604" ht="45">
      <c r="A2604" s="217"/>
      <c r="B2604" s="217">
        <v>1326</v>
      </c>
      <c r="C2604" s="217"/>
      <c r="D2604" s="217" t="s">
        <v>17167</v>
      </c>
      <c r="E2604" s="471" t="s">
        <v>20402</v>
      </c>
      <c r="F2604" s="482">
        <v>93358</v>
      </c>
      <c r="G2604" s="470" t="s">
        <v>20661</v>
      </c>
      <c r="H2604" s="472" t="s">
        <v>15528</v>
      </c>
      <c r="I2604" s="472">
        <v>2.3199999999999998</v>
      </c>
      <c r="J2604" s="473">
        <f t="shared" si="1512"/>
        <v>90.030000000000001</v>
      </c>
      <c r="K2604" s="474">
        <f t="shared" si="1515"/>
        <v>208.86959999999999</v>
      </c>
      <c r="L2604" s="473">
        <f t="shared" si="1501"/>
        <v>85.239999999999995</v>
      </c>
      <c r="M2604" s="474">
        <f t="shared" si="1516"/>
        <v>197.75679999999997</v>
      </c>
      <c r="O2604" s="434">
        <f t="shared" ref="O2604:O2667" si="1517">IFERROR(IF(D2604="SINAPI",VLOOKUP(F2604,SINCOMOD,4,FALSE),IF(D2604="INSINAPI",VLOOKUP(F2604,INSINOD,5,FALSE),IF(D2604="SICRO",VLOOKUP(F2604,SICRO,5,FALSE),IF(D2604="COTACAO",VLOOKUP(F2604,COTACAO,6,FALSE),IF(D2604="PRÓPRIO",VLOOKUP(F2604,COMPOD,11,FALSE),IF(D2604="AGESUL",VLOOKUP(F2604,AGESULOD,6,FALSE),IF(D2604="INSAGESUL",VLOOKUP(F2604,INSAGESUL,7,FALSE),"SEM VALOR"))))))),"SEM VALOR")</f>
        <v>90.030000000000001</v>
      </c>
      <c r="P2604" s="435">
        <f t="shared" ref="P2604:P2667" si="1518">IFERROR(IF(D2604="SINAPI",VLOOKUP(F2604,SINCOMOD,6,FALSE),IF(D2604="INSINAPI",VLOOKUP(F2604,INSINOD,6,FALSE),IF(D2604="SICRO",VLOOKUP(F2604,SICRO,5,FALSE),IF(D2604="COTACAO",VLOOKUP(F2604,COTACAO,6,FALSE),IF(D2604="PRÓPRIO",VLOOKUP(F2604,COMPOD,13,FALSE),IF(D2604="AGESUL",VLOOKUP(F2604,AGESULOD,11,FALSE),IF(D2604="INSAGESUL",VLOOKUP(F2604,INSAGESUL,8,FALSE),"SEM VALOR"))))))),"SEM VALOR")</f>
        <v>85.239999999999995</v>
      </c>
      <c r="AE2604" s="217"/>
      <c r="AF2604" s="217">
        <v>1326</v>
      </c>
      <c r="AH2604">
        <f t="shared" si="1507"/>
        <v>1326</v>
      </c>
    </row>
    <row r="2605" ht="60">
      <c r="A2605" s="217"/>
      <c r="B2605" s="217">
        <v>1326</v>
      </c>
      <c r="C2605" s="217"/>
      <c r="D2605" s="217" t="s">
        <v>20398</v>
      </c>
      <c r="E2605" s="471" t="s">
        <v>20405</v>
      </c>
      <c r="F2605" s="482">
        <v>1258</v>
      </c>
      <c r="G2605" s="488" t="s">
        <v>20660</v>
      </c>
      <c r="H2605" s="471" t="s">
        <v>15515</v>
      </c>
      <c r="I2605" s="472">
        <v>3.2000000000000002</v>
      </c>
      <c r="J2605" s="473">
        <f t="shared" si="1512"/>
        <v>7.5700000000000003</v>
      </c>
      <c r="K2605" s="474">
        <f t="shared" si="1515"/>
        <v>24.224000000000004</v>
      </c>
      <c r="L2605" s="473">
        <f t="shared" ref="L2605:L2668" si="1519">P2605*$L$3</f>
        <v>7.1846199999999998</v>
      </c>
      <c r="M2605" s="474">
        <f t="shared" si="1516"/>
        <v>22.990784000000001</v>
      </c>
      <c r="O2605" s="434">
        <f t="shared" si="1517"/>
        <v>7.5700000000000003</v>
      </c>
      <c r="P2605" s="435">
        <f t="shared" si="1518"/>
        <v>7.1846199999999998</v>
      </c>
      <c r="AE2605" s="217"/>
      <c r="AF2605" s="217">
        <v>1326</v>
      </c>
      <c r="AH2605">
        <f t="shared" si="1507"/>
        <v>1326</v>
      </c>
    </row>
    <row r="2606" ht="105">
      <c r="A2606" s="217"/>
      <c r="B2606" s="217">
        <v>1326</v>
      </c>
      <c r="C2606" s="217"/>
      <c r="D2606" s="217" t="s">
        <v>20398</v>
      </c>
      <c r="E2606" s="471" t="s">
        <v>20409</v>
      </c>
      <c r="F2606" s="482">
        <v>1092</v>
      </c>
      <c r="G2606" s="470" t="s">
        <v>20666</v>
      </c>
      <c r="H2606" s="472" t="s">
        <v>15528</v>
      </c>
      <c r="I2606" s="472">
        <v>3.016</v>
      </c>
      <c r="J2606" s="473">
        <f t="shared" si="1512"/>
        <v>2.2000000000000002</v>
      </c>
      <c r="K2606" s="474">
        <f t="shared" si="1515"/>
        <v>6.6352000000000002</v>
      </c>
      <c r="L2606" s="473">
        <f t="shared" si="1519"/>
        <v>2.1879900000000001</v>
      </c>
      <c r="M2606" s="474">
        <f t="shared" si="1516"/>
        <v>6.5989778400000008</v>
      </c>
      <c r="O2606" s="434">
        <f t="shared" si="1517"/>
        <v>2.2000000000000002</v>
      </c>
      <c r="P2606" s="435">
        <f t="shared" si="1518"/>
        <v>2.1879900000000001</v>
      </c>
      <c r="AE2606" s="217"/>
      <c r="AF2606" s="217">
        <v>1326</v>
      </c>
      <c r="AH2606">
        <f t="shared" si="1507"/>
        <v>1326</v>
      </c>
    </row>
    <row r="2607" ht="60">
      <c r="A2607" s="217"/>
      <c r="B2607" s="217">
        <v>1326</v>
      </c>
      <c r="C2607" s="217"/>
      <c r="D2607" s="217" t="s">
        <v>17167</v>
      </c>
      <c r="E2607" s="471" t="s">
        <v>20663</v>
      </c>
      <c r="F2607" s="482">
        <v>95875</v>
      </c>
      <c r="G2607" s="470" t="s">
        <v>20668</v>
      </c>
      <c r="H2607" s="472" t="s">
        <v>20669</v>
      </c>
      <c r="I2607" s="472">
        <v>15.08</v>
      </c>
      <c r="J2607" s="473">
        <f t="shared" si="1512"/>
        <v>2.7599999999999998</v>
      </c>
      <c r="K2607" s="474">
        <f t="shared" si="1515"/>
        <v>41.620799999999996</v>
      </c>
      <c r="L2607" s="473">
        <f t="shared" si="1519"/>
        <v>2.73</v>
      </c>
      <c r="M2607" s="474">
        <f t="shared" si="1516"/>
        <v>41.168399999999998</v>
      </c>
      <c r="O2607" s="434">
        <f t="shared" si="1517"/>
        <v>2.7599999999999998</v>
      </c>
      <c r="P2607" s="435">
        <f t="shared" si="1518"/>
        <v>2.73</v>
      </c>
      <c r="AE2607" s="217"/>
      <c r="AF2607" s="217">
        <v>1326</v>
      </c>
      <c r="AH2607">
        <f t="shared" si="1507"/>
        <v>1326</v>
      </c>
    </row>
    <row r="2608" ht="105">
      <c r="A2608" s="217"/>
      <c r="B2608" s="217">
        <v>1326</v>
      </c>
      <c r="C2608" s="217"/>
      <c r="D2608" s="217" t="s">
        <v>17167</v>
      </c>
      <c r="E2608" s="471" t="s">
        <v>20665</v>
      </c>
      <c r="F2608" s="482">
        <v>5928</v>
      </c>
      <c r="G2608" s="470" t="s">
        <v>1739</v>
      </c>
      <c r="H2608" s="471" t="s">
        <v>1535</v>
      </c>
      <c r="I2608" s="472">
        <v>0.10000000000000001</v>
      </c>
      <c r="J2608" s="473">
        <f t="shared" si="1512"/>
        <v>298.70999999999998</v>
      </c>
      <c r="K2608" s="474">
        <f t="shared" si="1515"/>
        <v>29.870999999999999</v>
      </c>
      <c r="L2608" s="473">
        <f t="shared" si="1519"/>
        <v>296.98000000000002</v>
      </c>
      <c r="M2608" s="474">
        <f t="shared" si="1516"/>
        <v>29.698000000000004</v>
      </c>
      <c r="O2608" s="434">
        <f t="shared" si="1517"/>
        <v>298.70999999999998</v>
      </c>
      <c r="P2608" s="435">
        <f t="shared" si="1518"/>
        <v>296.98000000000002</v>
      </c>
      <c r="AE2608" s="217"/>
      <c r="AF2608" s="217">
        <v>1326</v>
      </c>
      <c r="AH2608">
        <f t="shared" si="1507"/>
        <v>1326</v>
      </c>
    </row>
    <row r="2609" ht="45">
      <c r="A2609" s="217"/>
      <c r="B2609" s="217">
        <v>1326</v>
      </c>
      <c r="C2609" s="217"/>
      <c r="D2609" s="217" t="s">
        <v>20398</v>
      </c>
      <c r="E2609" s="471" t="s">
        <v>20667</v>
      </c>
      <c r="F2609" s="482">
        <v>1000</v>
      </c>
      <c r="G2609" s="470" t="s">
        <v>20651</v>
      </c>
      <c r="H2609" s="471" t="s">
        <v>15528</v>
      </c>
      <c r="I2609" s="472">
        <v>1.1100000000000001</v>
      </c>
      <c r="J2609" s="473">
        <f t="shared" si="1512"/>
        <v>149.904</v>
      </c>
      <c r="K2609" s="474">
        <f t="shared" si="1515"/>
        <v>166.39344</v>
      </c>
      <c r="L2609" s="473">
        <f t="shared" si="1519"/>
        <v>141.76949999999999</v>
      </c>
      <c r="M2609" s="474">
        <f t="shared" si="1516"/>
        <v>157.36414500000001</v>
      </c>
      <c r="O2609" s="434">
        <f t="shared" si="1517"/>
        <v>149.904</v>
      </c>
      <c r="P2609" s="435">
        <f t="shared" si="1518"/>
        <v>141.76949999999999</v>
      </c>
      <c r="AE2609" s="217"/>
      <c r="AF2609" s="217">
        <v>1326</v>
      </c>
      <c r="AH2609">
        <f t="shared" si="1507"/>
        <v>1326</v>
      </c>
    </row>
    <row r="2610" ht="75">
      <c r="A2610" s="217"/>
      <c r="B2610" s="217">
        <v>1326</v>
      </c>
      <c r="C2610" s="217"/>
      <c r="D2610" s="217" t="s">
        <v>17167</v>
      </c>
      <c r="E2610" s="471" t="s">
        <v>20671</v>
      </c>
      <c r="F2610" s="482">
        <v>96542</v>
      </c>
      <c r="G2610" s="470" t="s">
        <v>20761</v>
      </c>
      <c r="H2610" s="471" t="s">
        <v>15515</v>
      </c>
      <c r="I2610" s="472">
        <v>7.8899999999999997</v>
      </c>
      <c r="J2610" s="473">
        <f t="shared" si="1512"/>
        <v>92.189999999999998</v>
      </c>
      <c r="K2610" s="474">
        <f t="shared" si="1515"/>
        <v>727.37909999999999</v>
      </c>
      <c r="L2610" s="473">
        <f t="shared" si="1519"/>
        <v>88.370000000000005</v>
      </c>
      <c r="M2610" s="474">
        <f t="shared" si="1516"/>
        <v>697.23929999999996</v>
      </c>
      <c r="O2610" s="434">
        <f t="shared" si="1517"/>
        <v>92.189999999999998</v>
      </c>
      <c r="P2610" s="435">
        <f t="shared" si="1518"/>
        <v>88.370000000000005</v>
      </c>
      <c r="AE2610" s="217"/>
      <c r="AF2610" s="217">
        <v>1326</v>
      </c>
      <c r="AH2610">
        <f t="shared" si="1507"/>
        <v>1326</v>
      </c>
    </row>
    <row r="2611" ht="45">
      <c r="A2611" s="217"/>
      <c r="B2611" s="217">
        <v>1326</v>
      </c>
      <c r="C2611" s="217"/>
      <c r="D2611" s="217" t="s">
        <v>17167</v>
      </c>
      <c r="E2611" s="471" t="s">
        <v>20672</v>
      </c>
      <c r="F2611" s="486">
        <v>96543</v>
      </c>
      <c r="G2611" s="470" t="s">
        <v>20676</v>
      </c>
      <c r="H2611" s="471" t="s">
        <v>302</v>
      </c>
      <c r="I2611" s="472">
        <v>0.60999999999999999</v>
      </c>
      <c r="J2611" s="473">
        <f t="shared" si="1512"/>
        <v>19.829999999999998</v>
      </c>
      <c r="K2611" s="474">
        <f t="shared" si="1515"/>
        <v>12.096299999999999</v>
      </c>
      <c r="L2611" s="473">
        <f t="shared" si="1519"/>
        <v>19.210000000000001</v>
      </c>
      <c r="M2611" s="474">
        <f t="shared" si="1516"/>
        <v>11.7181</v>
      </c>
      <c r="O2611" s="434">
        <f t="shared" si="1517"/>
        <v>19.829999999999998</v>
      </c>
      <c r="P2611" s="435">
        <f t="shared" si="1518"/>
        <v>19.210000000000001</v>
      </c>
      <c r="AE2611" s="217"/>
      <c r="AF2611" s="217">
        <v>1326</v>
      </c>
      <c r="AH2611">
        <f t="shared" si="1507"/>
        <v>1326</v>
      </c>
    </row>
    <row r="2612" ht="45">
      <c r="A2612" s="217"/>
      <c r="B2612" s="217">
        <v>1326</v>
      </c>
      <c r="C2612" s="217"/>
      <c r="D2612" s="217" t="s">
        <v>17167</v>
      </c>
      <c r="E2612" s="471" t="s">
        <v>20673</v>
      </c>
      <c r="F2612" s="486">
        <v>96545</v>
      </c>
      <c r="G2612" s="470" t="s">
        <v>20678</v>
      </c>
      <c r="H2612" s="471" t="s">
        <v>302</v>
      </c>
      <c r="I2612" s="472">
        <v>1.28</v>
      </c>
      <c r="J2612" s="473">
        <f t="shared" si="1512"/>
        <v>15.82</v>
      </c>
      <c r="K2612" s="474">
        <f t="shared" si="1515"/>
        <v>20.249600000000001</v>
      </c>
      <c r="L2612" s="473">
        <f t="shared" si="1519"/>
        <v>15.48</v>
      </c>
      <c r="M2612" s="474">
        <f t="shared" si="1516"/>
        <v>19.814400000000003</v>
      </c>
      <c r="O2612" s="434">
        <f t="shared" si="1517"/>
        <v>15.82</v>
      </c>
      <c r="P2612" s="435">
        <f t="shared" si="1518"/>
        <v>15.48</v>
      </c>
      <c r="AE2612" s="217"/>
      <c r="AF2612" s="217">
        <v>1326</v>
      </c>
      <c r="AH2612">
        <f t="shared" si="1507"/>
        <v>1326</v>
      </c>
    </row>
    <row r="2613" ht="60">
      <c r="A2613" s="217"/>
      <c r="B2613" s="217">
        <v>1326</v>
      </c>
      <c r="C2613" s="217"/>
      <c r="D2613" s="217" t="s">
        <v>17167</v>
      </c>
      <c r="E2613" s="471" t="s">
        <v>20672</v>
      </c>
      <c r="F2613" s="482">
        <v>94964</v>
      </c>
      <c r="G2613" s="470" t="s">
        <v>20686</v>
      </c>
      <c r="H2613" s="471" t="s">
        <v>15528</v>
      </c>
      <c r="I2613" s="472">
        <v>1.1100000000000001</v>
      </c>
      <c r="J2613" s="473">
        <f t="shared" si="1512"/>
        <v>488.52999999999997</v>
      </c>
      <c r="K2613" s="474">
        <f t="shared" si="1515"/>
        <v>542.26830000000007</v>
      </c>
      <c r="L2613" s="473">
        <f t="shared" si="1519"/>
        <v>482.79000000000002</v>
      </c>
      <c r="M2613" s="474">
        <f t="shared" si="1516"/>
        <v>535.89690000000007</v>
      </c>
      <c r="O2613" s="434">
        <f t="shared" si="1517"/>
        <v>488.52999999999997</v>
      </c>
      <c r="P2613" s="435">
        <f t="shared" si="1518"/>
        <v>482.79000000000002</v>
      </c>
      <c r="AE2613" s="217"/>
      <c r="AF2613" s="217">
        <v>1326</v>
      </c>
      <c r="AH2613">
        <f t="shared" si="1507"/>
        <v>1326</v>
      </c>
    </row>
    <row r="2614" ht="110.25">
      <c r="A2614" s="460">
        <v>1327</v>
      </c>
      <c r="B2614" s="460">
        <v>1327</v>
      </c>
      <c r="C2614" s="460"/>
      <c r="D2614" s="460"/>
      <c r="E2614" s="461">
        <v>1</v>
      </c>
      <c r="F2614" s="462" t="s">
        <v>21976</v>
      </c>
      <c r="G2614" s="477" t="s">
        <v>21977</v>
      </c>
      <c r="H2614" s="579" t="s">
        <v>20647</v>
      </c>
      <c r="I2614" s="479"/>
      <c r="J2614" s="480"/>
      <c r="K2614" s="466">
        <f>SUM(K2615:K2625)</f>
        <v>4932.5341487000005</v>
      </c>
      <c r="L2614" s="480"/>
      <c r="M2614" s="466">
        <f>SUM(M2615:M2625)</f>
        <v>4781.4886855200011</v>
      </c>
      <c r="O2614" s="434" t="str">
        <f t="shared" si="1517"/>
        <v xml:space="preserve">SEM VALOR</v>
      </c>
      <c r="P2614" s="435" t="str">
        <f t="shared" si="1518"/>
        <v xml:space="preserve">SEM VALOR</v>
      </c>
      <c r="R2614" s="510" t="s">
        <v>21972</v>
      </c>
      <c r="AE2614" s="460">
        <v>1327</v>
      </c>
      <c r="AF2614" s="460"/>
      <c r="AH2614">
        <f t="shared" si="1507"/>
        <v>1327</v>
      </c>
    </row>
    <row r="2615" ht="30">
      <c r="A2615" s="217"/>
      <c r="B2615" s="217">
        <v>1327</v>
      </c>
      <c r="C2615" s="217"/>
      <c r="D2615" s="217" t="s">
        <v>20398</v>
      </c>
      <c r="E2615" s="471" t="s">
        <v>20399</v>
      </c>
      <c r="F2615" s="482">
        <v>1328</v>
      </c>
      <c r="G2615" s="470" t="s">
        <v>20659</v>
      </c>
      <c r="H2615" s="483" t="s">
        <v>20647</v>
      </c>
      <c r="I2615" s="472">
        <v>3</v>
      </c>
      <c r="J2615" s="473">
        <f t="shared" si="1512"/>
        <v>773.29938289999996</v>
      </c>
      <c r="K2615" s="474">
        <f t="shared" ref="K2615:K2625" si="1520">I2615*J2615</f>
        <v>2319.8981487000001</v>
      </c>
      <c r="L2615" s="473">
        <f t="shared" si="1519"/>
        <v>752.1923829000001</v>
      </c>
      <c r="M2615" s="474">
        <f t="shared" ref="M2615:M2625" si="1521">L2615*I2615</f>
        <v>2256.5771487000002</v>
      </c>
      <c r="O2615" s="434">
        <f t="shared" si="1517"/>
        <v>773.29938289999996</v>
      </c>
      <c r="P2615" s="435">
        <f t="shared" si="1518"/>
        <v>752.1923829000001</v>
      </c>
      <c r="R2615" s="611" t="s">
        <v>21973</v>
      </c>
      <c r="AE2615" s="217"/>
      <c r="AF2615" s="217">
        <v>1327</v>
      </c>
      <c r="AH2615">
        <f t="shared" si="1507"/>
        <v>1327</v>
      </c>
    </row>
    <row r="2616" ht="45">
      <c r="A2616" s="217"/>
      <c r="B2616" s="217">
        <v>1327</v>
      </c>
      <c r="C2616" s="217"/>
      <c r="D2616" s="217" t="s">
        <v>17167</v>
      </c>
      <c r="E2616" s="471" t="s">
        <v>20402</v>
      </c>
      <c r="F2616" s="482">
        <v>93358</v>
      </c>
      <c r="G2616" s="470" t="s">
        <v>20661</v>
      </c>
      <c r="H2616" s="472" t="s">
        <v>15528</v>
      </c>
      <c r="I2616" s="472">
        <v>3.46</v>
      </c>
      <c r="J2616" s="473">
        <f t="shared" si="1512"/>
        <v>90.030000000000001</v>
      </c>
      <c r="K2616" s="474">
        <f t="shared" si="1520"/>
        <v>311.50380000000001</v>
      </c>
      <c r="L2616" s="473">
        <f t="shared" si="1519"/>
        <v>85.239999999999995</v>
      </c>
      <c r="M2616" s="474">
        <f t="shared" si="1521"/>
        <v>294.93039999999996</v>
      </c>
      <c r="O2616" s="434">
        <f t="shared" si="1517"/>
        <v>90.030000000000001</v>
      </c>
      <c r="P2616" s="435">
        <f t="shared" si="1518"/>
        <v>85.239999999999995</v>
      </c>
      <c r="AE2616" s="217"/>
      <c r="AF2616" s="217">
        <v>1327</v>
      </c>
      <c r="AH2616">
        <f t="shared" si="1507"/>
        <v>1327</v>
      </c>
    </row>
    <row r="2617" ht="60">
      <c r="A2617" s="217"/>
      <c r="B2617" s="217">
        <v>1327</v>
      </c>
      <c r="C2617" s="217"/>
      <c r="D2617" s="217" t="s">
        <v>20398</v>
      </c>
      <c r="E2617" s="471" t="s">
        <v>20405</v>
      </c>
      <c r="F2617" s="482">
        <v>1258</v>
      </c>
      <c r="G2617" s="488" t="s">
        <v>20660</v>
      </c>
      <c r="H2617" s="471" t="s">
        <v>15515</v>
      </c>
      <c r="I2617" s="472">
        <v>4.1900000000000004</v>
      </c>
      <c r="J2617" s="473">
        <f t="shared" si="1512"/>
        <v>7.5700000000000003</v>
      </c>
      <c r="K2617" s="474">
        <f t="shared" si="1520"/>
        <v>31.718300000000003</v>
      </c>
      <c r="L2617" s="473">
        <f t="shared" si="1519"/>
        <v>7.1846199999999998</v>
      </c>
      <c r="M2617" s="474">
        <f t="shared" si="1521"/>
        <v>30.103557800000001</v>
      </c>
      <c r="O2617" s="434">
        <f t="shared" si="1517"/>
        <v>7.5700000000000003</v>
      </c>
      <c r="P2617" s="435">
        <f t="shared" si="1518"/>
        <v>7.1846199999999998</v>
      </c>
      <c r="AE2617" s="217"/>
      <c r="AF2617" s="217">
        <v>1327</v>
      </c>
      <c r="AH2617">
        <f t="shared" si="1507"/>
        <v>1327</v>
      </c>
    </row>
    <row r="2618" ht="105">
      <c r="A2618" s="217"/>
      <c r="B2618" s="217">
        <v>1327</v>
      </c>
      <c r="C2618" s="217"/>
      <c r="D2618" s="217" t="s">
        <v>20398</v>
      </c>
      <c r="E2618" s="471" t="s">
        <v>20409</v>
      </c>
      <c r="F2618" s="482">
        <v>1092</v>
      </c>
      <c r="G2618" s="470" t="s">
        <v>20666</v>
      </c>
      <c r="H2618" s="472" t="s">
        <v>15528</v>
      </c>
      <c r="I2618" s="472">
        <v>4.4980000000000002</v>
      </c>
      <c r="J2618" s="473">
        <f t="shared" si="1512"/>
        <v>2.2000000000000002</v>
      </c>
      <c r="K2618" s="474">
        <f t="shared" si="1520"/>
        <v>9.8956000000000017</v>
      </c>
      <c r="L2618" s="473">
        <f t="shared" si="1519"/>
        <v>2.1879900000000001</v>
      </c>
      <c r="M2618" s="474">
        <f t="shared" si="1521"/>
        <v>9.8415790200000011</v>
      </c>
      <c r="O2618" s="434">
        <f t="shared" si="1517"/>
        <v>2.2000000000000002</v>
      </c>
      <c r="P2618" s="435">
        <f t="shared" si="1518"/>
        <v>2.1879900000000001</v>
      </c>
      <c r="AE2618" s="217"/>
      <c r="AF2618" s="217">
        <v>1327</v>
      </c>
      <c r="AH2618">
        <f t="shared" si="1507"/>
        <v>1327</v>
      </c>
    </row>
    <row r="2619" ht="60">
      <c r="A2619" s="217"/>
      <c r="B2619" s="217">
        <v>1327</v>
      </c>
      <c r="C2619" s="217"/>
      <c r="D2619" s="217" t="s">
        <v>17167</v>
      </c>
      <c r="E2619" s="471" t="s">
        <v>20663</v>
      </c>
      <c r="F2619" s="482">
        <v>95875</v>
      </c>
      <c r="G2619" s="470" t="s">
        <v>20668</v>
      </c>
      <c r="H2619" s="472" t="s">
        <v>20669</v>
      </c>
      <c r="I2619" s="472">
        <v>22.489999999999998</v>
      </c>
      <c r="J2619" s="473">
        <f t="shared" si="1512"/>
        <v>2.7599999999999998</v>
      </c>
      <c r="K2619" s="474">
        <f t="shared" si="1520"/>
        <v>62.072399999999988</v>
      </c>
      <c r="L2619" s="473">
        <f t="shared" si="1519"/>
        <v>2.73</v>
      </c>
      <c r="M2619" s="474">
        <f t="shared" si="1521"/>
        <v>61.397699999999993</v>
      </c>
      <c r="O2619" s="434">
        <f t="shared" si="1517"/>
        <v>2.7599999999999998</v>
      </c>
      <c r="P2619" s="435">
        <f t="shared" si="1518"/>
        <v>2.73</v>
      </c>
      <c r="AE2619" s="217"/>
      <c r="AF2619" s="217">
        <v>1327</v>
      </c>
      <c r="AH2619">
        <f t="shared" si="1507"/>
        <v>1327</v>
      </c>
    </row>
    <row r="2620" ht="105">
      <c r="A2620" s="217"/>
      <c r="B2620" s="217">
        <v>1327</v>
      </c>
      <c r="C2620" s="217"/>
      <c r="D2620" s="217" t="s">
        <v>17167</v>
      </c>
      <c r="E2620" s="471" t="s">
        <v>20665</v>
      </c>
      <c r="F2620" s="482">
        <v>5928</v>
      </c>
      <c r="G2620" s="470" t="s">
        <v>1739</v>
      </c>
      <c r="H2620" s="471" t="s">
        <v>1535</v>
      </c>
      <c r="I2620" s="472">
        <v>0.10000000000000001</v>
      </c>
      <c r="J2620" s="473">
        <f t="shared" si="1512"/>
        <v>298.70999999999998</v>
      </c>
      <c r="K2620" s="474">
        <f t="shared" si="1520"/>
        <v>29.870999999999999</v>
      </c>
      <c r="L2620" s="473">
        <f t="shared" si="1519"/>
        <v>296.98000000000002</v>
      </c>
      <c r="M2620" s="474">
        <f t="shared" si="1521"/>
        <v>29.698000000000004</v>
      </c>
      <c r="O2620" s="434">
        <f t="shared" si="1517"/>
        <v>298.70999999999998</v>
      </c>
      <c r="P2620" s="435">
        <f t="shared" si="1518"/>
        <v>296.98000000000002</v>
      </c>
      <c r="AE2620" s="217"/>
      <c r="AF2620" s="217">
        <v>1327</v>
      </c>
      <c r="AH2620">
        <f t="shared" si="1507"/>
        <v>1327</v>
      </c>
    </row>
    <row r="2621" ht="45">
      <c r="A2621" s="217"/>
      <c r="B2621" s="217">
        <v>1327</v>
      </c>
      <c r="C2621" s="217"/>
      <c r="D2621" s="217" t="s">
        <v>20398</v>
      </c>
      <c r="E2621" s="471" t="s">
        <v>20667</v>
      </c>
      <c r="F2621" s="482">
        <v>1000</v>
      </c>
      <c r="G2621" s="470" t="s">
        <v>20651</v>
      </c>
      <c r="H2621" s="471" t="s">
        <v>15528</v>
      </c>
      <c r="I2621" s="472">
        <v>1.6000000000000001</v>
      </c>
      <c r="J2621" s="473">
        <f t="shared" si="1512"/>
        <v>149.904</v>
      </c>
      <c r="K2621" s="474">
        <f t="shared" si="1520"/>
        <v>239.84640000000002</v>
      </c>
      <c r="L2621" s="473">
        <f t="shared" si="1519"/>
        <v>141.76949999999999</v>
      </c>
      <c r="M2621" s="474">
        <f t="shared" si="1521"/>
        <v>226.8312</v>
      </c>
      <c r="O2621" s="434">
        <f t="shared" si="1517"/>
        <v>149.904</v>
      </c>
      <c r="P2621" s="435">
        <f t="shared" si="1518"/>
        <v>141.76949999999999</v>
      </c>
      <c r="AE2621" s="217"/>
      <c r="AF2621" s="217">
        <v>1327</v>
      </c>
      <c r="AH2621">
        <f t="shared" si="1507"/>
        <v>1327</v>
      </c>
    </row>
    <row r="2622" ht="75">
      <c r="A2622" s="217"/>
      <c r="B2622" s="217">
        <v>1327</v>
      </c>
      <c r="C2622" s="217"/>
      <c r="D2622" s="217" t="s">
        <v>17167</v>
      </c>
      <c r="E2622" s="471" t="s">
        <v>20671</v>
      </c>
      <c r="F2622" s="482">
        <v>96542</v>
      </c>
      <c r="G2622" s="470" t="s">
        <v>20761</v>
      </c>
      <c r="H2622" s="471" t="s">
        <v>15515</v>
      </c>
      <c r="I2622" s="472">
        <v>11.73</v>
      </c>
      <c r="J2622" s="473">
        <f t="shared" si="1512"/>
        <v>92.189999999999998</v>
      </c>
      <c r="K2622" s="474">
        <f t="shared" si="1520"/>
        <v>1081.3887</v>
      </c>
      <c r="L2622" s="473">
        <f t="shared" si="1519"/>
        <v>88.370000000000005</v>
      </c>
      <c r="M2622" s="474">
        <f t="shared" si="1521"/>
        <v>1036.5801000000001</v>
      </c>
      <c r="O2622" s="434">
        <f t="shared" si="1517"/>
        <v>92.189999999999998</v>
      </c>
      <c r="P2622" s="435">
        <f t="shared" si="1518"/>
        <v>88.370000000000005</v>
      </c>
      <c r="AE2622" s="217"/>
      <c r="AF2622" s="217">
        <v>1327</v>
      </c>
      <c r="AH2622">
        <f t="shared" si="1507"/>
        <v>1327</v>
      </c>
    </row>
    <row r="2623" ht="45">
      <c r="A2623" s="217"/>
      <c r="B2623" s="217">
        <v>1327</v>
      </c>
      <c r="C2623" s="217"/>
      <c r="D2623" s="217" t="s">
        <v>17167</v>
      </c>
      <c r="E2623" s="471" t="s">
        <v>20672</v>
      </c>
      <c r="F2623" s="486">
        <v>96543</v>
      </c>
      <c r="G2623" s="470" t="s">
        <v>20676</v>
      </c>
      <c r="H2623" s="471" t="s">
        <v>302</v>
      </c>
      <c r="I2623" s="472">
        <v>1.22</v>
      </c>
      <c r="J2623" s="473">
        <f t="shared" si="1512"/>
        <v>19.829999999999998</v>
      </c>
      <c r="K2623" s="474">
        <f t="shared" si="1520"/>
        <v>24.192599999999999</v>
      </c>
      <c r="L2623" s="473">
        <f t="shared" si="1519"/>
        <v>19.210000000000001</v>
      </c>
      <c r="M2623" s="474">
        <f t="shared" si="1521"/>
        <v>23.436199999999999</v>
      </c>
      <c r="O2623" s="434">
        <f t="shared" si="1517"/>
        <v>19.829999999999998</v>
      </c>
      <c r="P2623" s="435">
        <f t="shared" si="1518"/>
        <v>19.210000000000001</v>
      </c>
      <c r="AE2623" s="217"/>
      <c r="AF2623" s="217">
        <v>1327</v>
      </c>
      <c r="AH2623">
        <f t="shared" si="1507"/>
        <v>1327</v>
      </c>
    </row>
    <row r="2624" ht="45">
      <c r="A2624" s="217"/>
      <c r="B2624" s="217">
        <v>1327</v>
      </c>
      <c r="C2624" s="217"/>
      <c r="D2624" s="217" t="s">
        <v>17167</v>
      </c>
      <c r="E2624" s="471" t="s">
        <v>20673</v>
      </c>
      <c r="F2624" s="486">
        <v>96545</v>
      </c>
      <c r="G2624" s="470" t="s">
        <v>20678</v>
      </c>
      <c r="H2624" s="471" t="s">
        <v>302</v>
      </c>
      <c r="I2624" s="472">
        <v>2.5600000000000001</v>
      </c>
      <c r="J2624" s="473">
        <f t="shared" si="1512"/>
        <v>15.82</v>
      </c>
      <c r="K2624" s="474">
        <f t="shared" si="1520"/>
        <v>40.499200000000002</v>
      </c>
      <c r="L2624" s="473">
        <f t="shared" si="1519"/>
        <v>15.48</v>
      </c>
      <c r="M2624" s="474">
        <f t="shared" si="1521"/>
        <v>39.628800000000005</v>
      </c>
      <c r="O2624" s="434">
        <f t="shared" si="1517"/>
        <v>15.82</v>
      </c>
      <c r="P2624" s="435">
        <f t="shared" si="1518"/>
        <v>15.48</v>
      </c>
      <c r="AE2624" s="217"/>
      <c r="AF2624" s="217">
        <v>1327</v>
      </c>
      <c r="AH2624">
        <f t="shared" si="1507"/>
        <v>1327</v>
      </c>
    </row>
    <row r="2625" ht="60">
      <c r="A2625" s="217"/>
      <c r="B2625" s="217">
        <v>1327</v>
      </c>
      <c r="C2625" s="217"/>
      <c r="D2625" s="217" t="s">
        <v>17167</v>
      </c>
      <c r="E2625" s="471" t="s">
        <v>20675</v>
      </c>
      <c r="F2625" s="482">
        <v>94964</v>
      </c>
      <c r="G2625" s="470" t="s">
        <v>20686</v>
      </c>
      <c r="H2625" s="471" t="s">
        <v>15528</v>
      </c>
      <c r="I2625" s="472">
        <v>1.6000000000000001</v>
      </c>
      <c r="J2625" s="473">
        <f t="shared" si="1512"/>
        <v>488.52999999999997</v>
      </c>
      <c r="K2625" s="474">
        <f t="shared" si="1520"/>
        <v>781.64800000000002</v>
      </c>
      <c r="L2625" s="473">
        <f t="shared" si="1519"/>
        <v>482.79000000000002</v>
      </c>
      <c r="M2625" s="474">
        <f t="shared" si="1521"/>
        <v>772.46400000000006</v>
      </c>
      <c r="O2625" s="434">
        <f t="shared" si="1517"/>
        <v>488.52999999999997</v>
      </c>
      <c r="P2625" s="435">
        <f t="shared" si="1518"/>
        <v>482.79000000000002</v>
      </c>
      <c r="AE2625" s="217"/>
      <c r="AF2625" s="217">
        <v>1327</v>
      </c>
      <c r="AH2625">
        <f t="shared" si="1507"/>
        <v>1327</v>
      </c>
    </row>
    <row r="2626" ht="34.5" customHeight="1">
      <c r="A2626" s="460">
        <v>1328</v>
      </c>
      <c r="B2626" s="460">
        <v>1328</v>
      </c>
      <c r="C2626" s="460"/>
      <c r="D2626" s="460"/>
      <c r="E2626" s="461">
        <v>1</v>
      </c>
      <c r="F2626" s="462" t="s">
        <v>21978</v>
      </c>
      <c r="G2626" s="477" t="s">
        <v>21979</v>
      </c>
      <c r="H2626" s="579" t="s">
        <v>20647</v>
      </c>
      <c r="I2626" s="479"/>
      <c r="J2626" s="480"/>
      <c r="K2626" s="466">
        <f>SUM(K2627:K2636)</f>
        <v>773.29938289999996</v>
      </c>
      <c r="L2626" s="480"/>
      <c r="M2626" s="466">
        <f>SUM(M2627:M2636)</f>
        <v>752.1923829000001</v>
      </c>
      <c r="O2626" s="434" t="str">
        <f t="shared" si="1517"/>
        <v xml:space="preserve">SEM VALOR</v>
      </c>
      <c r="P2626" s="435" t="str">
        <f t="shared" si="1518"/>
        <v xml:space="preserve">SEM VALOR</v>
      </c>
      <c r="AE2626" s="460">
        <v>1328</v>
      </c>
      <c r="AF2626" s="460"/>
      <c r="AH2626">
        <f t="shared" si="1507"/>
        <v>1328</v>
      </c>
    </row>
    <row r="2627" ht="30">
      <c r="A2627" s="217"/>
      <c r="B2627" s="217">
        <v>1328</v>
      </c>
      <c r="C2627" s="217"/>
      <c r="D2627" s="217" t="s">
        <v>20408</v>
      </c>
      <c r="E2627" s="471" t="s">
        <v>20399</v>
      </c>
      <c r="F2627" s="482">
        <v>4777</v>
      </c>
      <c r="G2627" s="470" t="s">
        <v>20692</v>
      </c>
      <c r="H2627" s="521" t="s">
        <v>302</v>
      </c>
      <c r="I2627" s="472">
        <f>(1*2+0.55*2)*3.51*1.05</f>
        <v>11.425050000000001</v>
      </c>
      <c r="J2627" s="473">
        <f t="shared" si="1512"/>
        <v>8.0199999999999996</v>
      </c>
      <c r="K2627" s="474">
        <f t="shared" ref="K2627:K2636" si="1522">I2627*J2627</f>
        <v>91.628900999999999</v>
      </c>
      <c r="L2627" s="473">
        <f t="shared" si="1519"/>
        <v>8.0199999999999996</v>
      </c>
      <c r="M2627" s="474">
        <f t="shared" ref="M2627:M2636" si="1523">L2627*I2627</f>
        <v>91.628900999999999</v>
      </c>
      <c r="O2627" s="434">
        <f t="shared" si="1517"/>
        <v>8.0199999999999996</v>
      </c>
      <c r="P2627" s="435">
        <f t="shared" si="1518"/>
        <v>8.0199999999999996</v>
      </c>
      <c r="AE2627" s="217"/>
      <c r="AF2627" s="217">
        <v>1328</v>
      </c>
      <c r="AH2627">
        <f t="shared" si="1507"/>
        <v>1328</v>
      </c>
    </row>
    <row r="2628" ht="45">
      <c r="A2628" s="217"/>
      <c r="B2628" s="217">
        <v>1328</v>
      </c>
      <c r="C2628" s="217"/>
      <c r="D2628" s="217" t="s">
        <v>20408</v>
      </c>
      <c r="E2628" s="471" t="s">
        <v>20402</v>
      </c>
      <c r="F2628" s="482">
        <v>43054</v>
      </c>
      <c r="G2628" s="488" t="s">
        <v>20693</v>
      </c>
      <c r="H2628" s="521" t="s">
        <v>302</v>
      </c>
      <c r="I2628" s="472">
        <f>(4*0.24*8+(0.02+0.1)*2)*1.05*2.24</f>
        <v>18.627839999999999</v>
      </c>
      <c r="J2628" s="473">
        <f t="shared" si="1512"/>
        <v>8.3599999999999994</v>
      </c>
      <c r="K2628" s="474">
        <f t="shared" si="1522"/>
        <v>155.72874239999999</v>
      </c>
      <c r="L2628" s="473">
        <f t="shared" si="1519"/>
        <v>8.3599999999999994</v>
      </c>
      <c r="M2628" s="474">
        <f t="shared" si="1523"/>
        <v>155.72874239999999</v>
      </c>
      <c r="O2628" s="434">
        <f t="shared" si="1517"/>
        <v>8.3599999999999994</v>
      </c>
      <c r="P2628" s="435">
        <f t="shared" si="1518"/>
        <v>8.3599999999999994</v>
      </c>
      <c r="AE2628" s="217"/>
      <c r="AF2628" s="217">
        <v>1328</v>
      </c>
      <c r="AH2628">
        <f t="shared" si="1507"/>
        <v>1328</v>
      </c>
    </row>
    <row r="2629" ht="60">
      <c r="A2629" s="217"/>
      <c r="B2629" s="217">
        <v>1328</v>
      </c>
      <c r="C2629" s="217"/>
      <c r="D2629" s="217" t="s">
        <v>20408</v>
      </c>
      <c r="E2629" s="471" t="s">
        <v>20405</v>
      </c>
      <c r="F2629" s="482">
        <v>546</v>
      </c>
      <c r="G2629" s="470" t="s">
        <v>20694</v>
      </c>
      <c r="H2629" s="521" t="s">
        <v>302</v>
      </c>
      <c r="I2629" s="472">
        <f>0.5*5*1.05*3.17</f>
        <v>8.3212499999999991</v>
      </c>
      <c r="J2629" s="473">
        <f t="shared" si="1512"/>
        <v>9.5899999999999999</v>
      </c>
      <c r="K2629" s="474">
        <f t="shared" si="1522"/>
        <v>79.800787499999984</v>
      </c>
      <c r="L2629" s="473">
        <f t="shared" si="1519"/>
        <v>9.5899999999999999</v>
      </c>
      <c r="M2629" s="474">
        <f t="shared" si="1523"/>
        <v>79.800787499999984</v>
      </c>
      <c r="O2629" s="434">
        <f t="shared" si="1517"/>
        <v>9.5899999999999999</v>
      </c>
      <c r="P2629" s="435">
        <f t="shared" si="1518"/>
        <v>9.5899999999999999</v>
      </c>
      <c r="AE2629" s="217"/>
      <c r="AF2629" s="217">
        <v>1328</v>
      </c>
      <c r="AH2629">
        <f t="shared" si="1507"/>
        <v>1328</v>
      </c>
    </row>
    <row r="2630" ht="45">
      <c r="A2630" s="217"/>
      <c r="B2630" s="217">
        <v>1328</v>
      </c>
      <c r="C2630" s="217"/>
      <c r="D2630" s="217" t="s">
        <v>20408</v>
      </c>
      <c r="E2630" s="471" t="s">
        <v>20409</v>
      </c>
      <c r="F2630" s="482">
        <v>4777</v>
      </c>
      <c r="G2630" s="470" t="s">
        <v>21980</v>
      </c>
      <c r="H2630" s="521" t="s">
        <v>302</v>
      </c>
      <c r="I2630" s="472">
        <f>0.05*8*1.05*1.03</f>
        <v>0.43259999999999998</v>
      </c>
      <c r="J2630" s="473">
        <f t="shared" si="1512"/>
        <v>8.0199999999999996</v>
      </c>
      <c r="K2630" s="474">
        <f t="shared" si="1522"/>
        <v>3.4694519999999995</v>
      </c>
      <c r="L2630" s="473">
        <f t="shared" si="1519"/>
        <v>8.0199999999999996</v>
      </c>
      <c r="M2630" s="474">
        <f t="shared" si="1523"/>
        <v>3.4694519999999995</v>
      </c>
      <c r="O2630" s="434">
        <f t="shared" si="1517"/>
        <v>8.0199999999999996</v>
      </c>
      <c r="P2630" s="435">
        <f t="shared" si="1518"/>
        <v>8.0199999999999996</v>
      </c>
      <c r="AE2630" s="217"/>
      <c r="AF2630" s="217">
        <v>1328</v>
      </c>
      <c r="AH2630">
        <f t="shared" si="1507"/>
        <v>1328</v>
      </c>
    </row>
    <row r="2631" ht="45">
      <c r="A2631" s="217"/>
      <c r="B2631" s="217">
        <v>1328</v>
      </c>
      <c r="C2631" s="217"/>
      <c r="D2631" s="217" t="s">
        <v>20408</v>
      </c>
      <c r="E2631" s="471" t="s">
        <v>20663</v>
      </c>
      <c r="F2631" s="482">
        <v>21001</v>
      </c>
      <c r="G2631" s="470" t="s">
        <v>14865</v>
      </c>
      <c r="H2631" s="521" t="s">
        <v>21420</v>
      </c>
      <c r="I2631" s="472">
        <f>0.1*2</f>
        <v>0.20000000000000001</v>
      </c>
      <c r="J2631" s="473">
        <f t="shared" si="1512"/>
        <v>21.260000000000002</v>
      </c>
      <c r="K2631" s="474">
        <f t="shared" si="1522"/>
        <v>4.2520000000000007</v>
      </c>
      <c r="L2631" s="473">
        <f t="shared" si="1519"/>
        <v>21.260000000000002</v>
      </c>
      <c r="M2631" s="474">
        <f t="shared" si="1523"/>
        <v>4.2520000000000007</v>
      </c>
      <c r="O2631" s="434">
        <f t="shared" si="1517"/>
        <v>21.260000000000002</v>
      </c>
      <c r="P2631" s="435">
        <f t="shared" si="1518"/>
        <v>21.260000000000002</v>
      </c>
      <c r="AE2631" s="217"/>
      <c r="AF2631" s="217">
        <v>1328</v>
      </c>
      <c r="AH2631">
        <f t="shared" ref="AH2631:AH2694" si="1524">IF(AF2631:AF2632=FALSE,AE2631,AF2631)</f>
        <v>1328</v>
      </c>
    </row>
    <row r="2632" ht="30">
      <c r="A2632" s="217"/>
      <c r="B2632" s="217">
        <v>1328</v>
      </c>
      <c r="C2632" s="217"/>
      <c r="D2632" s="217" t="s">
        <v>17167</v>
      </c>
      <c r="E2632" s="471" t="s">
        <v>20665</v>
      </c>
      <c r="F2632" s="482">
        <v>88243</v>
      </c>
      <c r="G2632" s="470" t="s">
        <v>20696</v>
      </c>
      <c r="H2632" s="521" t="s">
        <v>2032</v>
      </c>
      <c r="I2632" s="472">
        <f>6.05</f>
        <v>6.0499999999999998</v>
      </c>
      <c r="J2632" s="473">
        <f t="shared" si="1512"/>
        <v>23.739999999999998</v>
      </c>
      <c r="K2632" s="474">
        <f t="shared" si="1522"/>
        <v>143.62699999999998</v>
      </c>
      <c r="L2632" s="473">
        <f t="shared" si="1519"/>
        <v>22.460000000000001</v>
      </c>
      <c r="M2632" s="474">
        <f t="shared" si="1523"/>
        <v>135.88300000000001</v>
      </c>
      <c r="O2632" s="434">
        <f t="shared" si="1517"/>
        <v>23.739999999999998</v>
      </c>
      <c r="P2632" s="435">
        <f t="shared" si="1518"/>
        <v>22.460000000000001</v>
      </c>
      <c r="AE2632" s="217"/>
      <c r="AF2632" s="217">
        <v>1328</v>
      </c>
      <c r="AH2632">
        <f t="shared" si="1524"/>
        <v>1328</v>
      </c>
    </row>
    <row r="2633" ht="30">
      <c r="A2633" s="217"/>
      <c r="B2633" s="217">
        <v>1328</v>
      </c>
      <c r="C2633" s="217"/>
      <c r="D2633" s="217" t="s">
        <v>17167</v>
      </c>
      <c r="E2633" s="471" t="s">
        <v>20667</v>
      </c>
      <c r="F2633" s="482">
        <v>88310</v>
      </c>
      <c r="G2633" s="470" t="s">
        <v>7386</v>
      </c>
      <c r="H2633" s="521" t="s">
        <v>2032</v>
      </c>
      <c r="I2633" s="472">
        <f>2.25</f>
        <v>2.25</v>
      </c>
      <c r="J2633" s="473">
        <f t="shared" si="1512"/>
        <v>30.210000000000001</v>
      </c>
      <c r="K2633" s="474">
        <f t="shared" si="1522"/>
        <v>67.972499999999997</v>
      </c>
      <c r="L2633" s="473">
        <f t="shared" si="1519"/>
        <v>28.600000000000001</v>
      </c>
      <c r="M2633" s="474">
        <f t="shared" si="1523"/>
        <v>64.350000000000009</v>
      </c>
      <c r="O2633" s="434">
        <f t="shared" si="1517"/>
        <v>30.210000000000001</v>
      </c>
      <c r="P2633" s="435">
        <f t="shared" si="1518"/>
        <v>28.600000000000001</v>
      </c>
      <c r="AE2633" s="217"/>
      <c r="AF2633" s="217">
        <v>1328</v>
      </c>
      <c r="AH2633">
        <f t="shared" si="1524"/>
        <v>1328</v>
      </c>
    </row>
    <row r="2634" ht="30">
      <c r="A2634" s="217"/>
      <c r="B2634" s="217">
        <v>1328</v>
      </c>
      <c r="C2634" s="217"/>
      <c r="D2634" s="217" t="s">
        <v>17167</v>
      </c>
      <c r="E2634" s="471" t="s">
        <v>20671</v>
      </c>
      <c r="F2634" s="482">
        <v>88317</v>
      </c>
      <c r="G2634" s="470" t="s">
        <v>7396</v>
      </c>
      <c r="H2634" s="521" t="s">
        <v>2032</v>
      </c>
      <c r="I2634" s="472">
        <f>6.05</f>
        <v>6.0499999999999998</v>
      </c>
      <c r="J2634" s="473">
        <f t="shared" si="1512"/>
        <v>29.559999999999999</v>
      </c>
      <c r="K2634" s="474">
        <f t="shared" si="1522"/>
        <v>178.83799999999999</v>
      </c>
      <c r="L2634" s="473">
        <f t="shared" si="1519"/>
        <v>27.949999999999999</v>
      </c>
      <c r="M2634" s="474">
        <f t="shared" si="1523"/>
        <v>169.0975</v>
      </c>
      <c r="O2634" s="434">
        <f t="shared" si="1517"/>
        <v>29.559999999999999</v>
      </c>
      <c r="P2634" s="435">
        <f t="shared" si="1518"/>
        <v>27.949999999999999</v>
      </c>
      <c r="AE2634" s="217"/>
      <c r="AF2634" s="217">
        <v>1328</v>
      </c>
      <c r="AH2634">
        <f t="shared" si="1524"/>
        <v>1328</v>
      </c>
    </row>
    <row r="2635" ht="30">
      <c r="A2635" s="217"/>
      <c r="B2635" s="217">
        <v>1328</v>
      </c>
      <c r="C2635" s="217"/>
      <c r="D2635" s="217" t="s">
        <v>20408</v>
      </c>
      <c r="E2635" s="471" t="s">
        <v>20672</v>
      </c>
      <c r="F2635" s="482">
        <v>7307</v>
      </c>
      <c r="G2635" s="470" t="s">
        <v>20697</v>
      </c>
      <c r="H2635" s="521" t="s">
        <v>9794</v>
      </c>
      <c r="I2635" s="472">
        <f>0.6</f>
        <v>0.59999999999999998</v>
      </c>
      <c r="J2635" s="473">
        <f t="shared" si="1512"/>
        <v>41.960000000000001</v>
      </c>
      <c r="K2635" s="474">
        <f t="shared" si="1522"/>
        <v>25.175999999999998</v>
      </c>
      <c r="L2635" s="473">
        <f t="shared" si="1519"/>
        <v>41.960000000000001</v>
      </c>
      <c r="M2635" s="474">
        <f t="shared" si="1523"/>
        <v>25.175999999999998</v>
      </c>
      <c r="O2635" s="434">
        <f t="shared" si="1517"/>
        <v>41.960000000000001</v>
      </c>
      <c r="P2635" s="435">
        <f t="shared" si="1518"/>
        <v>41.960000000000001</v>
      </c>
      <c r="AE2635" s="217"/>
      <c r="AF2635" s="217">
        <v>1328</v>
      </c>
      <c r="AH2635">
        <f t="shared" si="1524"/>
        <v>1328</v>
      </c>
    </row>
    <row r="2636" ht="30">
      <c r="A2636" s="217"/>
      <c r="B2636" s="217">
        <v>1328</v>
      </c>
      <c r="C2636" s="217"/>
      <c r="D2636" s="217" t="s">
        <v>20408</v>
      </c>
      <c r="E2636" s="471" t="s">
        <v>20673</v>
      </c>
      <c r="F2636" s="482">
        <v>10999</v>
      </c>
      <c r="G2636" s="470" t="s">
        <v>20698</v>
      </c>
      <c r="H2636" s="521" t="s">
        <v>302</v>
      </c>
      <c r="I2636" s="472">
        <f>0.7</f>
        <v>0.69999999999999996</v>
      </c>
      <c r="J2636" s="473">
        <f t="shared" si="1512"/>
        <v>32.579999999999998</v>
      </c>
      <c r="K2636" s="474">
        <f t="shared" si="1522"/>
        <v>22.805999999999997</v>
      </c>
      <c r="L2636" s="473">
        <f t="shared" si="1519"/>
        <v>32.579999999999998</v>
      </c>
      <c r="M2636" s="474">
        <f t="shared" si="1523"/>
        <v>22.805999999999997</v>
      </c>
      <c r="O2636" s="434">
        <f t="shared" si="1517"/>
        <v>32.579999999999998</v>
      </c>
      <c r="P2636" s="435">
        <f t="shared" si="1518"/>
        <v>32.579999999999998</v>
      </c>
      <c r="AE2636" s="217"/>
      <c r="AF2636" s="217">
        <v>1328</v>
      </c>
      <c r="AH2636">
        <f t="shared" si="1524"/>
        <v>1328</v>
      </c>
    </row>
    <row r="2637" ht="55.5" customHeight="1">
      <c r="A2637" s="460">
        <v>1329</v>
      </c>
      <c r="B2637" s="460">
        <v>1329</v>
      </c>
      <c r="C2637" s="460"/>
      <c r="D2637" s="460"/>
      <c r="E2637" s="461">
        <v>1</v>
      </c>
      <c r="F2637" s="462" t="s">
        <v>21981</v>
      </c>
      <c r="G2637" s="477" t="s">
        <v>21982</v>
      </c>
      <c r="H2637" s="579" t="s">
        <v>38</v>
      </c>
      <c r="I2637" s="479"/>
      <c r="J2637" s="480"/>
      <c r="K2637" s="466">
        <f>SUM(K2638:K2642)</f>
        <v>318.13375983999998</v>
      </c>
      <c r="L2637" s="480"/>
      <c r="M2637" s="466">
        <f>SUM(M2638:M2642)</f>
        <v>312.28639216000005</v>
      </c>
      <c r="O2637" s="434" t="str">
        <f t="shared" si="1517"/>
        <v xml:space="preserve">SEM VALOR</v>
      </c>
      <c r="P2637" s="435" t="str">
        <f t="shared" si="1518"/>
        <v xml:space="preserve">SEM VALOR</v>
      </c>
      <c r="AE2637" s="460">
        <v>1329</v>
      </c>
      <c r="AF2637" s="460"/>
      <c r="AH2637">
        <f t="shared" si="1524"/>
        <v>1329</v>
      </c>
    </row>
    <row r="2638" ht="30">
      <c r="A2638" s="217"/>
      <c r="B2638" s="217">
        <v>1329</v>
      </c>
      <c r="C2638" s="217"/>
      <c r="D2638" s="217" t="s">
        <v>20408</v>
      </c>
      <c r="E2638" s="471" t="s">
        <v>20399</v>
      </c>
      <c r="F2638" s="482">
        <v>9829</v>
      </c>
      <c r="G2638" s="470" t="s">
        <v>21983</v>
      </c>
      <c r="H2638" s="521" t="s">
        <v>38</v>
      </c>
      <c r="I2638" s="527">
        <v>1.03</v>
      </c>
      <c r="J2638" s="473">
        <f t="shared" si="1512"/>
        <v>176.49000000000001</v>
      </c>
      <c r="K2638" s="474">
        <f t="shared" ref="K2638:K2642" si="1525">I2638*J2638</f>
        <v>181.78470000000002</v>
      </c>
      <c r="L2638" s="473">
        <f t="shared" si="1519"/>
        <v>176.49000000000001</v>
      </c>
      <c r="M2638" s="474">
        <f t="shared" ref="M2638:M2642" si="1526">L2638*I2638</f>
        <v>181.78470000000002</v>
      </c>
      <c r="O2638" s="434">
        <f t="shared" si="1517"/>
        <v>176.49000000000001</v>
      </c>
      <c r="P2638" s="435">
        <f t="shared" si="1518"/>
        <v>176.49000000000001</v>
      </c>
      <c r="AE2638" s="217"/>
      <c r="AF2638" s="217">
        <v>1329</v>
      </c>
      <c r="AH2638">
        <f t="shared" si="1524"/>
        <v>1329</v>
      </c>
    </row>
    <row r="2639" ht="30">
      <c r="A2639" s="217"/>
      <c r="B2639" s="217">
        <v>1329</v>
      </c>
      <c r="C2639" s="217"/>
      <c r="D2639" s="217" t="s">
        <v>20408</v>
      </c>
      <c r="E2639" s="471" t="s">
        <v>20402</v>
      </c>
      <c r="F2639" s="482">
        <v>20080</v>
      </c>
      <c r="G2639" s="470" t="s">
        <v>10587</v>
      </c>
      <c r="H2639" s="521" t="s">
        <v>31</v>
      </c>
      <c r="I2639" s="527">
        <f>0.194*3.2*2*1.03</f>
        <v>1.278848</v>
      </c>
      <c r="J2639" s="473">
        <f t="shared" si="1512"/>
        <v>25.109999999999999</v>
      </c>
      <c r="K2639" s="474">
        <f t="shared" si="1525"/>
        <v>32.111873279999998</v>
      </c>
      <c r="L2639" s="473">
        <f t="shared" si="1519"/>
        <v>25.109999999999999</v>
      </c>
      <c r="M2639" s="474">
        <f t="shared" si="1526"/>
        <v>32.111873279999998</v>
      </c>
      <c r="O2639" s="434">
        <f t="shared" si="1517"/>
        <v>25.109999999999999</v>
      </c>
      <c r="P2639" s="435">
        <f t="shared" si="1518"/>
        <v>25.109999999999999</v>
      </c>
      <c r="AE2639" s="217"/>
      <c r="AF2639" s="217">
        <v>1329</v>
      </c>
      <c r="AH2639">
        <f t="shared" si="1524"/>
        <v>1329</v>
      </c>
    </row>
    <row r="2640" ht="16.5" customHeight="1">
      <c r="A2640" s="217"/>
      <c r="B2640" s="217">
        <v>1329</v>
      </c>
      <c r="C2640" s="217"/>
      <c r="D2640" s="217" t="s">
        <v>20408</v>
      </c>
      <c r="E2640" s="471" t="s">
        <v>20405</v>
      </c>
      <c r="F2640" s="482">
        <v>38383</v>
      </c>
      <c r="G2640" s="470" t="s">
        <v>21984</v>
      </c>
      <c r="H2640" s="521" t="s">
        <v>31</v>
      </c>
      <c r="I2640" s="527">
        <f>0.052*3.2*2*1.03</f>
        <v>0.34278399999999998</v>
      </c>
      <c r="J2640" s="473">
        <f t="shared" si="1512"/>
        <v>3.02</v>
      </c>
      <c r="K2640" s="474">
        <f t="shared" si="1525"/>
        <v>1.0352076799999999</v>
      </c>
      <c r="L2640" s="473">
        <f t="shared" si="1519"/>
        <v>3.02</v>
      </c>
      <c r="M2640" s="474">
        <f t="shared" si="1526"/>
        <v>1.0352076799999999</v>
      </c>
      <c r="O2640" s="434">
        <f t="shared" si="1517"/>
        <v>3.02</v>
      </c>
      <c r="P2640" s="435">
        <f t="shared" si="1518"/>
        <v>3.02</v>
      </c>
      <c r="AE2640" s="217"/>
      <c r="AF2640" s="217">
        <v>1329</v>
      </c>
      <c r="AH2640">
        <f t="shared" si="1524"/>
        <v>1329</v>
      </c>
    </row>
    <row r="2641" ht="45">
      <c r="A2641" s="217"/>
      <c r="B2641" s="217">
        <v>1329</v>
      </c>
      <c r="C2641" s="217"/>
      <c r="D2641" s="217" t="s">
        <v>17167</v>
      </c>
      <c r="E2641" s="471" t="s">
        <v>20409</v>
      </c>
      <c r="F2641" s="482">
        <v>88248</v>
      </c>
      <c r="G2641" s="470" t="s">
        <v>7110</v>
      </c>
      <c r="H2641" s="521" t="s">
        <v>2032</v>
      </c>
      <c r="I2641" s="527">
        <f t="shared" ref="I2641:I2642" si="1527">0.308*3.2*2*1.03</f>
        <v>2.0303360000000001</v>
      </c>
      <c r="J2641" s="473">
        <f t="shared" si="1512"/>
        <v>22.989999999999998</v>
      </c>
      <c r="K2641" s="474">
        <f t="shared" si="1525"/>
        <v>46.677424639999998</v>
      </c>
      <c r="L2641" s="473">
        <f t="shared" si="1519"/>
        <v>21.73</v>
      </c>
      <c r="M2641" s="474">
        <f t="shared" si="1526"/>
        <v>44.119201280000006</v>
      </c>
      <c r="O2641" s="434">
        <f t="shared" si="1517"/>
        <v>22.989999999999998</v>
      </c>
      <c r="P2641" s="435">
        <f t="shared" si="1518"/>
        <v>21.73</v>
      </c>
      <c r="AE2641" s="217"/>
      <c r="AF2641" s="217">
        <v>1329</v>
      </c>
      <c r="AH2641">
        <f t="shared" si="1524"/>
        <v>1329</v>
      </c>
    </row>
    <row r="2642" ht="45">
      <c r="A2642" s="217"/>
      <c r="B2642" s="217">
        <v>1329</v>
      </c>
      <c r="C2642" s="217"/>
      <c r="D2642" s="217" t="s">
        <v>17167</v>
      </c>
      <c r="E2642" s="471" t="s">
        <v>20663</v>
      </c>
      <c r="F2642" s="482">
        <v>88267</v>
      </c>
      <c r="G2642" s="488" t="s">
        <v>7321</v>
      </c>
      <c r="H2642" s="521" t="s">
        <v>2032</v>
      </c>
      <c r="I2642" s="527">
        <f t="shared" si="1527"/>
        <v>2.0303360000000001</v>
      </c>
      <c r="J2642" s="473">
        <f t="shared" si="1512"/>
        <v>27.84</v>
      </c>
      <c r="K2642" s="474">
        <f t="shared" si="1525"/>
        <v>56.524554240000001</v>
      </c>
      <c r="L2642" s="473">
        <f t="shared" si="1519"/>
        <v>26.219999999999999</v>
      </c>
      <c r="M2642" s="474">
        <f t="shared" si="1526"/>
        <v>53.235409920000002</v>
      </c>
      <c r="O2642" s="434">
        <f t="shared" si="1517"/>
        <v>27.84</v>
      </c>
      <c r="P2642" s="435">
        <f t="shared" si="1518"/>
        <v>26.219999999999999</v>
      </c>
      <c r="AE2642" s="217"/>
      <c r="AF2642" s="217">
        <v>1329</v>
      </c>
      <c r="AH2642">
        <f t="shared" si="1524"/>
        <v>1329</v>
      </c>
    </row>
    <row r="2643" ht="126">
      <c r="A2643" s="460">
        <v>1330</v>
      </c>
      <c r="B2643" s="460">
        <v>1330</v>
      </c>
      <c r="C2643" s="460"/>
      <c r="D2643" s="460"/>
      <c r="E2643" s="461">
        <v>1</v>
      </c>
      <c r="F2643" s="462" t="s">
        <v>21985</v>
      </c>
      <c r="G2643" s="477" t="s">
        <v>21986</v>
      </c>
      <c r="H2643" s="579" t="s">
        <v>31</v>
      </c>
      <c r="I2643" s="479"/>
      <c r="J2643" s="480"/>
      <c r="K2643" s="466">
        <f>SUM(K2644:K2652)</f>
        <v>628.86240362499996</v>
      </c>
      <c r="L2643" s="480"/>
      <c r="M2643" s="466">
        <f>SUM(M2644:M2652)</f>
        <v>627.46611399999983</v>
      </c>
      <c r="N2643" s="467" t="s">
        <v>21987</v>
      </c>
      <c r="O2643" s="434" t="str">
        <f t="shared" si="1517"/>
        <v xml:space="preserve">SEM VALOR</v>
      </c>
      <c r="P2643" s="435" t="str">
        <f t="shared" si="1518"/>
        <v xml:space="preserve">SEM VALOR</v>
      </c>
      <c r="AE2643" s="460">
        <v>1330</v>
      </c>
      <c r="AF2643" s="460"/>
      <c r="AH2643">
        <f t="shared" si="1524"/>
        <v>1330</v>
      </c>
    </row>
    <row r="2644" ht="30">
      <c r="A2644" s="217"/>
      <c r="B2644" s="217">
        <v>1330</v>
      </c>
      <c r="C2644" s="217"/>
      <c r="D2644" s="217" t="s">
        <v>20408</v>
      </c>
      <c r="E2644" s="471" t="s">
        <v>20399</v>
      </c>
      <c r="F2644" s="482">
        <v>34723</v>
      </c>
      <c r="G2644" s="470" t="s">
        <v>21184</v>
      </c>
      <c r="H2644" s="471" t="s">
        <v>15515</v>
      </c>
      <c r="I2644" s="472">
        <v>0.37</v>
      </c>
      <c r="J2644" s="473">
        <f t="shared" si="1512"/>
        <v>997.91999999999996</v>
      </c>
      <c r="K2644" s="474">
        <f t="shared" ref="K2644:K2652" si="1528">I2644*J2644</f>
        <v>369.23039999999997</v>
      </c>
      <c r="L2644" s="473">
        <f t="shared" si="1519"/>
        <v>997.91999999999996</v>
      </c>
      <c r="M2644" s="474">
        <f t="shared" ref="M2644:M2652" si="1529">L2644*I2644</f>
        <v>369.23039999999997</v>
      </c>
      <c r="O2644" s="434">
        <f t="shared" si="1517"/>
        <v>997.91999999999996</v>
      </c>
      <c r="P2644" s="435">
        <f t="shared" si="1518"/>
        <v>997.91999999999996</v>
      </c>
      <c r="AE2644" s="217"/>
      <c r="AF2644" s="217">
        <v>1330</v>
      </c>
      <c r="AH2644">
        <f t="shared" si="1524"/>
        <v>1330</v>
      </c>
    </row>
    <row r="2645" ht="135">
      <c r="A2645" s="217"/>
      <c r="B2645" s="217">
        <v>1330</v>
      </c>
      <c r="C2645" s="217"/>
      <c r="D2645" s="217" t="s">
        <v>20453</v>
      </c>
      <c r="E2645" s="471" t="s">
        <v>20402</v>
      </c>
      <c r="F2645" s="482" t="s">
        <v>20094</v>
      </c>
      <c r="G2645" s="470" t="s">
        <v>21988</v>
      </c>
      <c r="H2645" s="471" t="s">
        <v>38</v>
      </c>
      <c r="I2645" s="472">
        <v>3.6299999999999999</v>
      </c>
      <c r="J2645" s="473">
        <f t="shared" si="1512"/>
        <v>60.939999999999998</v>
      </c>
      <c r="K2645" s="474">
        <f t="shared" si="1528"/>
        <v>221.2122</v>
      </c>
      <c r="L2645" s="473">
        <f t="shared" si="1519"/>
        <v>60.939999999999998</v>
      </c>
      <c r="M2645" s="474">
        <f t="shared" si="1529"/>
        <v>221.2122</v>
      </c>
      <c r="O2645" s="434">
        <f t="shared" si="1517"/>
        <v>60.939999999999998</v>
      </c>
      <c r="P2645" s="435">
        <f t="shared" si="1518"/>
        <v>60.939999999999998</v>
      </c>
      <c r="AE2645" s="217"/>
      <c r="AF2645" s="217">
        <v>1330</v>
      </c>
      <c r="AH2645">
        <f t="shared" si="1524"/>
        <v>1330</v>
      </c>
    </row>
    <row r="2646" ht="60">
      <c r="A2646" s="217"/>
      <c r="B2646" s="217">
        <v>1330</v>
      </c>
      <c r="C2646" s="217"/>
      <c r="D2646" s="217" t="s">
        <v>20398</v>
      </c>
      <c r="E2646" s="471" t="s">
        <v>20405</v>
      </c>
      <c r="F2646" s="482">
        <v>1241</v>
      </c>
      <c r="G2646" s="470" t="s">
        <v>21181</v>
      </c>
      <c r="H2646" s="471" t="s">
        <v>15528</v>
      </c>
      <c r="I2646" s="472">
        <v>3.125e-002</v>
      </c>
      <c r="J2646" s="473">
        <f t="shared" si="1512"/>
        <v>453.00401999999997</v>
      </c>
      <c r="K2646" s="474">
        <f t="shared" si="1528"/>
        <v>14.156375624999999</v>
      </c>
      <c r="L2646" s="473">
        <f t="shared" si="1519"/>
        <v>445.74401999999998</v>
      </c>
      <c r="M2646" s="474">
        <f t="shared" si="1529"/>
        <v>13.929500624999999</v>
      </c>
      <c r="O2646" s="434">
        <f t="shared" si="1517"/>
        <v>453.00401999999997</v>
      </c>
      <c r="P2646" s="435">
        <f t="shared" si="1518"/>
        <v>445.74401999999998</v>
      </c>
      <c r="AE2646" s="217"/>
      <c r="AF2646" s="217">
        <v>1330</v>
      </c>
      <c r="AH2646">
        <f t="shared" si="1524"/>
        <v>1330</v>
      </c>
    </row>
    <row r="2647" ht="45">
      <c r="A2647" s="217"/>
      <c r="B2647" s="217">
        <v>1330</v>
      </c>
      <c r="C2647" s="217"/>
      <c r="D2647" s="217" t="s">
        <v>20398</v>
      </c>
      <c r="E2647" s="471" t="s">
        <v>20409</v>
      </c>
      <c r="F2647" s="482">
        <v>1243</v>
      </c>
      <c r="G2647" s="470" t="s">
        <v>21036</v>
      </c>
      <c r="H2647" s="471" t="s">
        <v>15515</v>
      </c>
      <c r="I2647" s="472">
        <v>0.51000000000000001</v>
      </c>
      <c r="J2647" s="473">
        <f t="shared" si="1512"/>
        <v>10.1928</v>
      </c>
      <c r="K2647" s="474">
        <f t="shared" si="1528"/>
        <v>5.1983280000000001</v>
      </c>
      <c r="L2647" s="473">
        <f t="shared" si="1519"/>
        <v>9.6916499999999992</v>
      </c>
      <c r="M2647" s="474">
        <f t="shared" si="1529"/>
        <v>4.9427414999999995</v>
      </c>
      <c r="O2647" s="434">
        <f t="shared" si="1517"/>
        <v>10.1928</v>
      </c>
      <c r="P2647" s="435">
        <f t="shared" si="1518"/>
        <v>9.6916499999999992</v>
      </c>
      <c r="AE2647" s="217"/>
      <c r="AF2647" s="217">
        <v>1330</v>
      </c>
      <c r="AH2647">
        <f t="shared" si="1524"/>
        <v>1330</v>
      </c>
    </row>
    <row r="2648" ht="45">
      <c r="A2648" s="217"/>
      <c r="B2648" s="217">
        <v>1330</v>
      </c>
      <c r="C2648" s="217"/>
      <c r="D2648" s="217" t="s">
        <v>20398</v>
      </c>
      <c r="E2648" s="471" t="s">
        <v>20663</v>
      </c>
      <c r="F2648" s="482">
        <v>1259</v>
      </c>
      <c r="G2648" s="488" t="s">
        <v>20796</v>
      </c>
      <c r="H2648" s="471" t="s">
        <v>15528</v>
      </c>
      <c r="I2648" s="472">
        <v>3.125e-002</v>
      </c>
      <c r="J2648" s="473">
        <f t="shared" si="1512"/>
        <v>45.520000000000003</v>
      </c>
      <c r="K2648" s="474">
        <f t="shared" si="1528"/>
        <v>1.4225000000000001</v>
      </c>
      <c r="L2648" s="473">
        <f t="shared" si="1519"/>
        <v>43.100000000000001</v>
      </c>
      <c r="M2648" s="474">
        <f t="shared" si="1529"/>
        <v>1.346875</v>
      </c>
      <c r="O2648" s="434">
        <f t="shared" si="1517"/>
        <v>45.520000000000003</v>
      </c>
      <c r="P2648" s="435">
        <f t="shared" si="1518"/>
        <v>43.100000000000001</v>
      </c>
      <c r="AE2648" s="217"/>
      <c r="AF2648" s="217">
        <v>1330</v>
      </c>
      <c r="AH2648">
        <f t="shared" si="1524"/>
        <v>1330</v>
      </c>
    </row>
    <row r="2649" ht="105">
      <c r="A2649" s="217"/>
      <c r="B2649" s="217">
        <v>1330</v>
      </c>
      <c r="C2649" s="217"/>
      <c r="D2649" s="217" t="s">
        <v>17167</v>
      </c>
      <c r="E2649" s="471" t="s">
        <v>20665</v>
      </c>
      <c r="F2649" s="482">
        <v>73467</v>
      </c>
      <c r="G2649" s="488" t="s">
        <v>1601</v>
      </c>
      <c r="H2649" s="471" t="s">
        <v>1535</v>
      </c>
      <c r="I2649" s="472">
        <v>1.e-002</v>
      </c>
      <c r="J2649" s="473">
        <f t="shared" si="1512"/>
        <v>270.61000000000001</v>
      </c>
      <c r="K2649" s="474">
        <f t="shared" si="1528"/>
        <v>2.7061000000000002</v>
      </c>
      <c r="L2649" s="473">
        <f t="shared" si="1519"/>
        <v>269.00999999999999</v>
      </c>
      <c r="M2649" s="474">
        <f t="shared" si="1529"/>
        <v>2.6901000000000002</v>
      </c>
      <c r="O2649" s="434">
        <f t="shared" si="1517"/>
        <v>270.61000000000001</v>
      </c>
      <c r="P2649" s="435">
        <f t="shared" si="1518"/>
        <v>269.00999999999999</v>
      </c>
      <c r="AE2649" s="217"/>
      <c r="AF2649" s="217">
        <v>1330</v>
      </c>
      <c r="AH2649">
        <f t="shared" si="1524"/>
        <v>1330</v>
      </c>
    </row>
    <row r="2650" ht="45">
      <c r="A2650" s="217"/>
      <c r="B2650" s="217">
        <v>1330</v>
      </c>
      <c r="C2650" s="217"/>
      <c r="D2650" s="217" t="s">
        <v>20398</v>
      </c>
      <c r="E2650" s="471" t="s">
        <v>20667</v>
      </c>
      <c r="F2650" s="482">
        <v>1000</v>
      </c>
      <c r="G2650" s="488" t="s">
        <v>20651</v>
      </c>
      <c r="H2650" s="471" t="s">
        <v>15528</v>
      </c>
      <c r="I2650" s="472">
        <v>3.125e-002</v>
      </c>
      <c r="J2650" s="473">
        <f t="shared" si="1512"/>
        <v>149.904</v>
      </c>
      <c r="K2650" s="474">
        <f t="shared" si="1528"/>
        <v>4.6844999999999999</v>
      </c>
      <c r="L2650" s="473">
        <f t="shared" si="1519"/>
        <v>141.76949999999999</v>
      </c>
      <c r="M2650" s="474">
        <f t="shared" si="1529"/>
        <v>4.4302968749999998</v>
      </c>
      <c r="O2650" s="434">
        <f t="shared" si="1517"/>
        <v>149.904</v>
      </c>
      <c r="P2650" s="435">
        <f t="shared" si="1518"/>
        <v>141.76949999999999</v>
      </c>
      <c r="AE2650" s="217"/>
      <c r="AF2650" s="217">
        <v>1330</v>
      </c>
      <c r="AH2650">
        <f t="shared" si="1524"/>
        <v>1330</v>
      </c>
    </row>
    <row r="2651" ht="30">
      <c r="A2651" s="217"/>
      <c r="B2651" s="217">
        <v>1330</v>
      </c>
      <c r="C2651" s="217"/>
      <c r="D2651" s="217" t="s">
        <v>17167</v>
      </c>
      <c r="E2651" s="471" t="s">
        <v>20671</v>
      </c>
      <c r="F2651" s="482">
        <v>88309</v>
      </c>
      <c r="G2651" s="488" t="s">
        <v>7385</v>
      </c>
      <c r="H2651" s="471" t="s">
        <v>2032</v>
      </c>
      <c r="I2651" s="472">
        <v>0.20000000000000001</v>
      </c>
      <c r="J2651" s="473">
        <f t="shared" si="1512"/>
        <v>28.5</v>
      </c>
      <c r="K2651" s="474">
        <f t="shared" si="1528"/>
        <v>5.7000000000000002</v>
      </c>
      <c r="L2651" s="473">
        <f t="shared" si="1519"/>
        <v>26.870000000000001</v>
      </c>
      <c r="M2651" s="474">
        <f t="shared" si="1529"/>
        <v>5.3740000000000006</v>
      </c>
      <c r="O2651" s="434">
        <f t="shared" si="1517"/>
        <v>28.5</v>
      </c>
      <c r="P2651" s="435">
        <f t="shared" si="1518"/>
        <v>26.870000000000001</v>
      </c>
      <c r="AE2651" s="217"/>
      <c r="AF2651" s="217">
        <v>1330</v>
      </c>
      <c r="AH2651">
        <f t="shared" si="1524"/>
        <v>1330</v>
      </c>
    </row>
    <row r="2652" ht="30">
      <c r="A2652" s="217"/>
      <c r="B2652" s="217">
        <v>1330</v>
      </c>
      <c r="C2652" s="217"/>
      <c r="D2652" s="217" t="s">
        <v>17167</v>
      </c>
      <c r="E2652" s="471" t="s">
        <v>20672</v>
      </c>
      <c r="F2652" s="482">
        <v>88316</v>
      </c>
      <c r="G2652" s="488" t="s">
        <v>7393</v>
      </c>
      <c r="H2652" s="471" t="s">
        <v>2032</v>
      </c>
      <c r="I2652" s="472">
        <v>0.20000000000000001</v>
      </c>
      <c r="J2652" s="473">
        <f t="shared" si="1512"/>
        <v>22.760000000000002</v>
      </c>
      <c r="K2652" s="474">
        <f t="shared" si="1528"/>
        <v>4.5520000000000005</v>
      </c>
      <c r="L2652" s="473">
        <f t="shared" si="1519"/>
        <v>21.550000000000001</v>
      </c>
      <c r="M2652" s="474">
        <f t="shared" si="1529"/>
        <v>4.3100000000000005</v>
      </c>
      <c r="O2652" s="434">
        <f t="shared" si="1517"/>
        <v>22.760000000000002</v>
      </c>
      <c r="P2652" s="435">
        <f t="shared" si="1518"/>
        <v>21.550000000000001</v>
      </c>
      <c r="AE2652" s="217"/>
      <c r="AF2652" s="217">
        <v>1330</v>
      </c>
      <c r="AH2652">
        <f t="shared" si="1524"/>
        <v>1330</v>
      </c>
    </row>
    <row r="2653" ht="81.75" customHeight="1">
      <c r="A2653" s="460">
        <v>1331</v>
      </c>
      <c r="B2653" s="460">
        <v>1331</v>
      </c>
      <c r="C2653" s="460"/>
      <c r="D2653" s="460"/>
      <c r="E2653" s="461">
        <v>1</v>
      </c>
      <c r="F2653" s="462" t="s">
        <v>21989</v>
      </c>
      <c r="G2653" s="477" t="s">
        <v>21990</v>
      </c>
      <c r="H2653" s="579" t="s">
        <v>15528</v>
      </c>
      <c r="I2653" s="479"/>
      <c r="J2653" s="480"/>
      <c r="K2653" s="466">
        <f>SUM(K2654:K2659)</f>
        <v>261.79517779999998</v>
      </c>
      <c r="L2653" s="480"/>
      <c r="M2653" s="466">
        <f>SUM(M2654:M2659)</f>
        <v>257.26678629999998</v>
      </c>
      <c r="O2653" s="434" t="str">
        <f t="shared" si="1517"/>
        <v xml:space="preserve">SEM VALOR</v>
      </c>
      <c r="P2653" s="435" t="str">
        <f t="shared" si="1518"/>
        <v xml:space="preserve">SEM VALOR</v>
      </c>
      <c r="AE2653" s="460">
        <v>1331</v>
      </c>
      <c r="AF2653" s="460"/>
      <c r="AH2653">
        <f t="shared" si="1524"/>
        <v>1331</v>
      </c>
    </row>
    <row r="2654" ht="60">
      <c r="A2654" s="217"/>
      <c r="B2654" s="217">
        <v>1331</v>
      </c>
      <c r="C2654" s="217"/>
      <c r="D2654" s="217" t="s">
        <v>17167</v>
      </c>
      <c r="E2654" s="471" t="s">
        <v>20399</v>
      </c>
      <c r="F2654" s="482">
        <v>5631</v>
      </c>
      <c r="G2654" s="470" t="s">
        <v>1679</v>
      </c>
      <c r="H2654" s="471" t="s">
        <v>1535</v>
      </c>
      <c r="I2654" s="472">
        <v>9.4990000000000005e-002</v>
      </c>
      <c r="J2654" s="473">
        <f t="shared" ref="J2654:J2717" si="1530">O2654*$J$3</f>
        <v>220.5</v>
      </c>
      <c r="K2654" s="474">
        <f t="shared" ref="K2654:K2659" si="1531">I2654*J2654</f>
        <v>20.945295000000002</v>
      </c>
      <c r="L2654" s="473">
        <f t="shared" si="1519"/>
        <v>218.37</v>
      </c>
      <c r="M2654" s="474">
        <f t="shared" ref="M2654:M2659" si="1532">L2654*I2654</f>
        <v>20.742966300000003</v>
      </c>
      <c r="O2654" s="434">
        <f t="shared" si="1517"/>
        <v>220.5</v>
      </c>
      <c r="P2654" s="435">
        <f t="shared" si="1518"/>
        <v>218.37</v>
      </c>
      <c r="AE2654" s="217"/>
      <c r="AF2654" s="217">
        <v>1331</v>
      </c>
      <c r="AH2654">
        <f t="shared" si="1524"/>
        <v>1331</v>
      </c>
    </row>
    <row r="2655" ht="60">
      <c r="A2655" s="217"/>
      <c r="B2655" s="217">
        <v>1331</v>
      </c>
      <c r="C2655" s="217"/>
      <c r="D2655" s="217" t="s">
        <v>17167</v>
      </c>
      <c r="E2655" s="471" t="s">
        <v>20402</v>
      </c>
      <c r="F2655" s="482">
        <v>5632</v>
      </c>
      <c r="G2655" s="470" t="s">
        <v>1678</v>
      </c>
      <c r="H2655" s="471" t="s">
        <v>1533</v>
      </c>
      <c r="I2655" s="472">
        <v>0.54096</v>
      </c>
      <c r="J2655" s="473">
        <f t="shared" si="1530"/>
        <v>91.030000000000001</v>
      </c>
      <c r="K2655" s="474">
        <f t="shared" si="1531"/>
        <v>49.243588799999998</v>
      </c>
      <c r="L2655" s="473">
        <f t="shared" si="1519"/>
        <v>88.900000000000006</v>
      </c>
      <c r="M2655" s="474">
        <f t="shared" si="1532"/>
        <v>48.091343999999999</v>
      </c>
      <c r="O2655" s="434">
        <f t="shared" si="1517"/>
        <v>91.030000000000001</v>
      </c>
      <c r="P2655" s="435">
        <f t="shared" si="1518"/>
        <v>88.900000000000006</v>
      </c>
      <c r="AE2655" s="217"/>
      <c r="AF2655" s="217">
        <v>1331</v>
      </c>
      <c r="AH2655">
        <f t="shared" si="1524"/>
        <v>1331</v>
      </c>
    </row>
    <row r="2656" ht="30">
      <c r="A2656" s="217"/>
      <c r="B2656" s="217">
        <v>1331</v>
      </c>
      <c r="C2656" s="217"/>
      <c r="D2656" s="217" t="s">
        <v>17167</v>
      </c>
      <c r="E2656" s="471" t="s">
        <v>20405</v>
      </c>
      <c r="F2656" s="482">
        <v>88309</v>
      </c>
      <c r="G2656" s="470" t="s">
        <v>7385</v>
      </c>
      <c r="H2656" s="471" t="s">
        <v>2032</v>
      </c>
      <c r="I2656" s="472">
        <v>0.92130000000000001</v>
      </c>
      <c r="J2656" s="473">
        <f t="shared" si="1530"/>
        <v>28.5</v>
      </c>
      <c r="K2656" s="474">
        <f t="shared" si="1531"/>
        <v>26.25705</v>
      </c>
      <c r="L2656" s="473">
        <f t="shared" si="1519"/>
        <v>26.870000000000001</v>
      </c>
      <c r="M2656" s="474">
        <f t="shared" si="1532"/>
        <v>24.755331000000002</v>
      </c>
      <c r="O2656" s="434">
        <f t="shared" si="1517"/>
        <v>28.5</v>
      </c>
      <c r="P2656" s="435">
        <f t="shared" si="1518"/>
        <v>26.870000000000001</v>
      </c>
      <c r="AE2656" s="217"/>
      <c r="AF2656" s="217">
        <v>1331</v>
      </c>
      <c r="AH2656">
        <f t="shared" si="1524"/>
        <v>1331</v>
      </c>
    </row>
    <row r="2657" ht="30">
      <c r="A2657" s="217"/>
      <c r="B2657" s="217">
        <v>1331</v>
      </c>
      <c r="C2657" s="217"/>
      <c r="D2657" s="217" t="s">
        <v>17167</v>
      </c>
      <c r="E2657" s="471" t="s">
        <v>20409</v>
      </c>
      <c r="F2657" s="482">
        <v>88316</v>
      </c>
      <c r="G2657" s="470" t="s">
        <v>7393</v>
      </c>
      <c r="H2657" s="471" t="s">
        <v>2032</v>
      </c>
      <c r="I2657" s="472">
        <v>1.3818999999999999</v>
      </c>
      <c r="J2657" s="473">
        <f t="shared" si="1530"/>
        <v>22.760000000000002</v>
      </c>
      <c r="K2657" s="474">
        <f t="shared" si="1531"/>
        <v>31.452044000000001</v>
      </c>
      <c r="L2657" s="473">
        <f t="shared" si="1519"/>
        <v>21.550000000000001</v>
      </c>
      <c r="M2657" s="474">
        <f t="shared" si="1532"/>
        <v>29.779944999999998</v>
      </c>
      <c r="O2657" s="434">
        <f t="shared" si="1517"/>
        <v>22.760000000000002</v>
      </c>
      <c r="P2657" s="435">
        <f t="shared" si="1518"/>
        <v>21.550000000000001</v>
      </c>
      <c r="AE2657" s="217"/>
      <c r="AF2657" s="217">
        <v>1331</v>
      </c>
      <c r="AH2657">
        <f t="shared" si="1524"/>
        <v>1331</v>
      </c>
    </row>
    <row r="2658" ht="45">
      <c r="A2658" s="217"/>
      <c r="B2658" s="217">
        <v>1331</v>
      </c>
      <c r="C2658" s="217"/>
      <c r="D2658" s="217" t="s">
        <v>20408</v>
      </c>
      <c r="E2658" s="471" t="s">
        <v>20663</v>
      </c>
      <c r="F2658" s="482">
        <v>4730</v>
      </c>
      <c r="G2658" s="470" t="s">
        <v>21325</v>
      </c>
      <c r="H2658" s="471" t="s">
        <v>15528</v>
      </c>
      <c r="I2658" s="472">
        <v>1.3</v>
      </c>
      <c r="J2658" s="473">
        <f t="shared" si="1530"/>
        <v>94.450000000000003</v>
      </c>
      <c r="K2658" s="474">
        <f t="shared" si="1531"/>
        <v>122.78500000000001</v>
      </c>
      <c r="L2658" s="473">
        <f t="shared" si="1519"/>
        <v>94.450000000000003</v>
      </c>
      <c r="M2658" s="474">
        <f t="shared" si="1532"/>
        <v>122.78500000000001</v>
      </c>
      <c r="O2658" s="434">
        <f t="shared" si="1517"/>
        <v>94.450000000000003</v>
      </c>
      <c r="P2658" s="435">
        <f t="shared" si="1518"/>
        <v>94.450000000000003</v>
      </c>
      <c r="AE2658" s="217"/>
      <c r="AF2658" s="217">
        <v>1331</v>
      </c>
      <c r="AH2658">
        <f t="shared" si="1524"/>
        <v>1331</v>
      </c>
    </row>
    <row r="2659" ht="45">
      <c r="A2659" s="217"/>
      <c r="B2659" s="217">
        <v>1331</v>
      </c>
      <c r="C2659" s="217"/>
      <c r="D2659" s="217" t="s">
        <v>20408</v>
      </c>
      <c r="E2659" s="471" t="s">
        <v>20665</v>
      </c>
      <c r="F2659" s="482">
        <v>4718</v>
      </c>
      <c r="G2659" s="470" t="s">
        <v>21326</v>
      </c>
      <c r="H2659" s="471" t="s">
        <v>15528</v>
      </c>
      <c r="I2659" s="472">
        <v>0.11</v>
      </c>
      <c r="J2659" s="473">
        <f t="shared" si="1530"/>
        <v>101.02</v>
      </c>
      <c r="K2659" s="474">
        <f t="shared" si="1531"/>
        <v>11.1122</v>
      </c>
      <c r="L2659" s="473">
        <f t="shared" si="1519"/>
        <v>101.02</v>
      </c>
      <c r="M2659" s="474">
        <f t="shared" si="1532"/>
        <v>11.1122</v>
      </c>
      <c r="O2659" s="434">
        <f t="shared" si="1517"/>
        <v>101.02</v>
      </c>
      <c r="P2659" s="435">
        <f t="shared" si="1518"/>
        <v>101.02</v>
      </c>
      <c r="AE2659" s="217"/>
      <c r="AF2659" s="217">
        <v>1331</v>
      </c>
      <c r="AH2659">
        <f t="shared" si="1524"/>
        <v>1331</v>
      </c>
    </row>
    <row r="2660" ht="97.5" customHeight="1">
      <c r="A2660" s="460">
        <v>1332</v>
      </c>
      <c r="B2660" s="460">
        <v>1332</v>
      </c>
      <c r="C2660" s="460"/>
      <c r="D2660" s="460"/>
      <c r="E2660" s="461">
        <v>1</v>
      </c>
      <c r="F2660" s="462" t="s">
        <v>21991</v>
      </c>
      <c r="G2660" s="477" t="s">
        <v>21992</v>
      </c>
      <c r="H2660" s="579" t="s">
        <v>15528</v>
      </c>
      <c r="I2660" s="479"/>
      <c r="J2660" s="480"/>
      <c r="K2660" s="466">
        <f>SUM(K2661:K2666)</f>
        <v>213.32058400000003</v>
      </c>
      <c r="L2660" s="480"/>
      <c r="M2660" s="466">
        <f>SUM(M2661:M2666)</f>
        <v>210.508815</v>
      </c>
      <c r="O2660" s="434" t="str">
        <f t="shared" si="1517"/>
        <v xml:space="preserve">SEM VALOR</v>
      </c>
      <c r="P2660" s="435" t="str">
        <f t="shared" si="1518"/>
        <v xml:space="preserve">SEM VALOR</v>
      </c>
      <c r="AE2660" s="460">
        <v>1332</v>
      </c>
      <c r="AF2660" s="460"/>
      <c r="AH2660">
        <f t="shared" si="1524"/>
        <v>1332</v>
      </c>
    </row>
    <row r="2661" ht="60">
      <c r="A2661" s="217"/>
      <c r="B2661" s="217">
        <v>1332</v>
      </c>
      <c r="C2661" s="217"/>
      <c r="D2661" s="217" t="s">
        <v>17167</v>
      </c>
      <c r="E2661" s="471" t="s">
        <v>20399</v>
      </c>
      <c r="F2661" s="482">
        <v>5631</v>
      </c>
      <c r="G2661" s="470" t="s">
        <v>1679</v>
      </c>
      <c r="H2661" s="471" t="s">
        <v>1535</v>
      </c>
      <c r="I2661" s="472">
        <v>5.8999999999999997e-002</v>
      </c>
      <c r="J2661" s="473">
        <f t="shared" si="1530"/>
        <v>220.5</v>
      </c>
      <c r="K2661" s="474">
        <f t="shared" ref="K2661:K2666" si="1533">I2661*J2661</f>
        <v>13.009499999999999</v>
      </c>
      <c r="L2661" s="473">
        <f t="shared" si="1519"/>
        <v>218.37</v>
      </c>
      <c r="M2661" s="474">
        <f t="shared" ref="M2661:M2666" si="1534">L2661*I2661</f>
        <v>12.88383</v>
      </c>
      <c r="O2661" s="434">
        <f t="shared" si="1517"/>
        <v>220.5</v>
      </c>
      <c r="P2661" s="435">
        <f t="shared" si="1518"/>
        <v>218.37</v>
      </c>
      <c r="AE2661" s="217"/>
      <c r="AF2661" s="217">
        <v>1332</v>
      </c>
      <c r="AH2661">
        <f t="shared" si="1524"/>
        <v>1332</v>
      </c>
    </row>
    <row r="2662" ht="60">
      <c r="A2662" s="217"/>
      <c r="B2662" s="217">
        <v>1332</v>
      </c>
      <c r="C2662" s="217"/>
      <c r="D2662" s="217" t="s">
        <v>17167</v>
      </c>
      <c r="E2662" s="471" t="s">
        <v>20402</v>
      </c>
      <c r="F2662" s="482">
        <v>5632</v>
      </c>
      <c r="G2662" s="470" t="s">
        <v>1678</v>
      </c>
      <c r="H2662" s="471" t="s">
        <v>1533</v>
      </c>
      <c r="I2662" s="472">
        <v>0.33600000000000002</v>
      </c>
      <c r="J2662" s="473">
        <f t="shared" si="1530"/>
        <v>91.030000000000001</v>
      </c>
      <c r="K2662" s="474">
        <f t="shared" si="1533"/>
        <v>30.586080000000003</v>
      </c>
      <c r="L2662" s="473">
        <f t="shared" si="1519"/>
        <v>88.900000000000006</v>
      </c>
      <c r="M2662" s="474">
        <f t="shared" si="1534"/>
        <v>29.870400000000004</v>
      </c>
      <c r="O2662" s="434">
        <f t="shared" si="1517"/>
        <v>91.030000000000001</v>
      </c>
      <c r="P2662" s="435">
        <f t="shared" si="1518"/>
        <v>88.900000000000006</v>
      </c>
      <c r="AE2662" s="217"/>
      <c r="AF2662" s="217">
        <v>1332</v>
      </c>
      <c r="AH2662">
        <f t="shared" si="1524"/>
        <v>1332</v>
      </c>
    </row>
    <row r="2663" ht="30">
      <c r="A2663" s="217"/>
      <c r="B2663" s="217">
        <v>1332</v>
      </c>
      <c r="C2663" s="217"/>
      <c r="D2663" s="217" t="s">
        <v>17167</v>
      </c>
      <c r="E2663" s="471" t="s">
        <v>20405</v>
      </c>
      <c r="F2663" s="482">
        <v>88309</v>
      </c>
      <c r="G2663" s="470" t="s">
        <v>7385</v>
      </c>
      <c r="H2663" s="471" t="s">
        <v>2032</v>
      </c>
      <c r="I2663" s="472">
        <v>0.57199999999999995</v>
      </c>
      <c r="J2663" s="473">
        <f t="shared" si="1530"/>
        <v>28.5</v>
      </c>
      <c r="K2663" s="474">
        <f t="shared" si="1533"/>
        <v>16.302</v>
      </c>
      <c r="L2663" s="473">
        <f t="shared" si="1519"/>
        <v>26.870000000000001</v>
      </c>
      <c r="M2663" s="474">
        <f t="shared" si="1534"/>
        <v>15.369639999999999</v>
      </c>
      <c r="O2663" s="434">
        <f t="shared" si="1517"/>
        <v>28.5</v>
      </c>
      <c r="P2663" s="435">
        <f t="shared" si="1518"/>
        <v>26.870000000000001</v>
      </c>
      <c r="AE2663" s="217"/>
      <c r="AF2663" s="217">
        <v>1332</v>
      </c>
      <c r="AH2663">
        <f t="shared" si="1524"/>
        <v>1332</v>
      </c>
    </row>
    <row r="2664" ht="30">
      <c r="A2664" s="217"/>
      <c r="B2664" s="217">
        <v>1332</v>
      </c>
      <c r="C2664" s="217"/>
      <c r="D2664" s="217" t="s">
        <v>17167</v>
      </c>
      <c r="E2664" s="471" t="s">
        <v>20409</v>
      </c>
      <c r="F2664" s="482">
        <v>88316</v>
      </c>
      <c r="G2664" s="470" t="s">
        <v>7393</v>
      </c>
      <c r="H2664" s="471" t="s">
        <v>2032</v>
      </c>
      <c r="I2664" s="472">
        <v>0.8579</v>
      </c>
      <c r="J2664" s="473">
        <f t="shared" si="1530"/>
        <v>22.760000000000002</v>
      </c>
      <c r="K2664" s="474">
        <f t="shared" si="1533"/>
        <v>19.525804000000001</v>
      </c>
      <c r="L2664" s="473">
        <f t="shared" si="1519"/>
        <v>21.550000000000001</v>
      </c>
      <c r="M2664" s="474">
        <f t="shared" si="1534"/>
        <v>18.487745</v>
      </c>
      <c r="O2664" s="434">
        <f t="shared" si="1517"/>
        <v>22.760000000000002</v>
      </c>
      <c r="P2664" s="435">
        <f t="shared" si="1518"/>
        <v>21.550000000000001</v>
      </c>
      <c r="AE2664" s="217"/>
      <c r="AF2664" s="217">
        <v>1332</v>
      </c>
      <c r="AH2664">
        <f t="shared" si="1524"/>
        <v>1332</v>
      </c>
    </row>
    <row r="2665" ht="45">
      <c r="A2665" s="217"/>
      <c r="B2665" s="217">
        <v>1332</v>
      </c>
      <c r="C2665" s="217"/>
      <c r="D2665" s="217" t="s">
        <v>20408</v>
      </c>
      <c r="E2665" s="471" t="s">
        <v>20663</v>
      </c>
      <c r="F2665" s="482">
        <v>4730</v>
      </c>
      <c r="G2665" s="470" t="s">
        <v>21325</v>
      </c>
      <c r="H2665" s="471" t="s">
        <v>15528</v>
      </c>
      <c r="I2665" s="472">
        <v>1.3</v>
      </c>
      <c r="J2665" s="473">
        <f t="shared" si="1530"/>
        <v>94.450000000000003</v>
      </c>
      <c r="K2665" s="474">
        <f t="shared" si="1533"/>
        <v>122.78500000000001</v>
      </c>
      <c r="L2665" s="473">
        <f t="shared" si="1519"/>
        <v>94.450000000000003</v>
      </c>
      <c r="M2665" s="474">
        <f t="shared" si="1534"/>
        <v>122.78500000000001</v>
      </c>
      <c r="O2665" s="434">
        <f t="shared" si="1517"/>
        <v>94.450000000000003</v>
      </c>
      <c r="P2665" s="435">
        <f t="shared" si="1518"/>
        <v>94.450000000000003</v>
      </c>
      <c r="AE2665" s="217"/>
      <c r="AF2665" s="217">
        <v>1332</v>
      </c>
      <c r="AH2665">
        <f t="shared" si="1524"/>
        <v>1332</v>
      </c>
    </row>
    <row r="2666" ht="45">
      <c r="A2666" s="217"/>
      <c r="B2666" s="217">
        <v>1332</v>
      </c>
      <c r="C2666" s="217"/>
      <c r="D2666" s="217" t="s">
        <v>20408</v>
      </c>
      <c r="E2666" s="471" t="s">
        <v>20665</v>
      </c>
      <c r="F2666" s="482">
        <v>4718</v>
      </c>
      <c r="G2666" s="470" t="s">
        <v>21326</v>
      </c>
      <c r="H2666" s="471" t="s">
        <v>15528</v>
      </c>
      <c r="I2666" s="472">
        <v>0.11</v>
      </c>
      <c r="J2666" s="473">
        <f t="shared" si="1530"/>
        <v>101.02</v>
      </c>
      <c r="K2666" s="474">
        <f t="shared" si="1533"/>
        <v>11.1122</v>
      </c>
      <c r="L2666" s="473">
        <f t="shared" si="1519"/>
        <v>101.02</v>
      </c>
      <c r="M2666" s="474">
        <f t="shared" si="1534"/>
        <v>11.1122</v>
      </c>
      <c r="O2666" s="434">
        <f t="shared" si="1517"/>
        <v>101.02</v>
      </c>
      <c r="P2666" s="435">
        <f t="shared" si="1518"/>
        <v>101.02</v>
      </c>
      <c r="AE2666" s="217"/>
      <c r="AF2666" s="217">
        <v>1332</v>
      </c>
      <c r="AH2666">
        <f t="shared" si="1524"/>
        <v>1332</v>
      </c>
    </row>
    <row r="2667" ht="110.25">
      <c r="A2667" s="460">
        <v>1333</v>
      </c>
      <c r="B2667" s="460">
        <v>1333</v>
      </c>
      <c r="C2667" s="460"/>
      <c r="D2667" s="460"/>
      <c r="E2667" s="461">
        <v>1</v>
      </c>
      <c r="F2667" s="462" t="s">
        <v>21993</v>
      </c>
      <c r="G2667" s="477" t="s">
        <v>21994</v>
      </c>
      <c r="H2667" s="579" t="s">
        <v>20647</v>
      </c>
      <c r="I2667" s="479"/>
      <c r="J2667" s="480"/>
      <c r="K2667" s="466">
        <f>SUM(K2668:K2688)</f>
        <v>7237.8654936999983</v>
      </c>
      <c r="L2667" s="480"/>
      <c r="M2667" s="466">
        <f>SUM(M2668:M2688)</f>
        <v>7083.3792064799991</v>
      </c>
      <c r="N2667" s="467" t="s">
        <v>21995</v>
      </c>
      <c r="O2667" s="434" t="str">
        <f t="shared" si="1517"/>
        <v xml:space="preserve">SEM VALOR</v>
      </c>
      <c r="P2667" s="435" t="str">
        <f t="shared" si="1518"/>
        <v xml:space="preserve">SEM VALOR</v>
      </c>
      <c r="AE2667" s="460">
        <v>1333</v>
      </c>
      <c r="AF2667" s="460"/>
      <c r="AH2667">
        <f t="shared" si="1524"/>
        <v>1333</v>
      </c>
    </row>
    <row r="2668" ht="105">
      <c r="A2668" s="217"/>
      <c r="B2668" s="217">
        <v>1333</v>
      </c>
      <c r="C2668" s="217"/>
      <c r="D2668" s="217" t="s">
        <v>17167</v>
      </c>
      <c r="E2668" s="471" t="s">
        <v>20399</v>
      </c>
      <c r="F2668" s="489">
        <v>5928</v>
      </c>
      <c r="G2668" s="470" t="s">
        <v>1739</v>
      </c>
      <c r="H2668" s="472" t="s">
        <v>1535</v>
      </c>
      <c r="I2668" s="472">
        <v>0.10000000000000001</v>
      </c>
      <c r="J2668" s="473">
        <f t="shared" si="1530"/>
        <v>298.70999999999998</v>
      </c>
      <c r="K2668" s="474">
        <f t="shared" ref="K2668:K2688" si="1535">I2668*J2668</f>
        <v>29.870999999999999</v>
      </c>
      <c r="L2668" s="473">
        <f t="shared" si="1519"/>
        <v>296.98000000000002</v>
      </c>
      <c r="M2668" s="474">
        <f t="shared" ref="M2668:M2688" si="1536">L2668*I2668</f>
        <v>29.698000000000004</v>
      </c>
      <c r="O2668" s="434">
        <f t="shared" ref="O2668:O2731" si="1537">IFERROR(IF(D2668="SINAPI",VLOOKUP(F2668,SINCOMOD,4,FALSE),IF(D2668="INSINAPI",VLOOKUP(F2668,INSINOD,5,FALSE),IF(D2668="SICRO",VLOOKUP(F2668,SICRO,5,FALSE),IF(D2668="COTACAO",VLOOKUP(F2668,COTACAO,6,FALSE),IF(D2668="PRÓPRIO",VLOOKUP(F2668,COMPOD,11,FALSE),IF(D2668="AGESUL",VLOOKUP(F2668,AGESULOD,6,FALSE),IF(D2668="INSAGESUL",VLOOKUP(F2668,INSAGESUL,7,FALSE),"SEM VALOR"))))))),"SEM VALOR")</f>
        <v>298.70999999999998</v>
      </c>
      <c r="P2668" s="435">
        <f t="shared" ref="P2668:P2731" si="1538">IFERROR(IF(D2668="SINAPI",VLOOKUP(F2668,SINCOMOD,6,FALSE),IF(D2668="INSINAPI",VLOOKUP(F2668,INSINOD,6,FALSE),IF(D2668="SICRO",VLOOKUP(F2668,SICRO,5,FALSE),IF(D2668="COTACAO",VLOOKUP(F2668,COTACAO,6,FALSE),IF(D2668="PRÓPRIO",VLOOKUP(F2668,COMPOD,13,FALSE),IF(D2668="AGESUL",VLOOKUP(F2668,AGESULOD,11,FALSE),IF(D2668="INSAGESUL",VLOOKUP(F2668,INSAGESUL,8,FALSE),"SEM VALOR"))))))),"SEM VALOR")</f>
        <v>296.98000000000002</v>
      </c>
      <c r="AE2668" s="217"/>
      <c r="AF2668" s="217">
        <v>1333</v>
      </c>
      <c r="AH2668">
        <f t="shared" si="1524"/>
        <v>1333</v>
      </c>
    </row>
    <row r="2669" ht="30">
      <c r="A2669" s="217"/>
      <c r="B2669" s="217">
        <v>1333</v>
      </c>
      <c r="C2669" s="217"/>
      <c r="D2669" s="217" t="s">
        <v>17167</v>
      </c>
      <c r="E2669" s="471" t="s">
        <v>20402</v>
      </c>
      <c r="F2669" s="482">
        <v>88309</v>
      </c>
      <c r="G2669" s="488" t="s">
        <v>7385</v>
      </c>
      <c r="H2669" s="483" t="s">
        <v>2032</v>
      </c>
      <c r="I2669" s="472">
        <v>17.753443999999998</v>
      </c>
      <c r="J2669" s="473">
        <f t="shared" si="1530"/>
        <v>28.5</v>
      </c>
      <c r="K2669" s="474">
        <f t="shared" si="1535"/>
        <v>505.97315399999997</v>
      </c>
      <c r="L2669" s="473">
        <f t="shared" ref="L2669:L2732" si="1539">P2669*$L$3</f>
        <v>26.870000000000001</v>
      </c>
      <c r="M2669" s="474">
        <f t="shared" si="1536"/>
        <v>477.03504027999998</v>
      </c>
      <c r="O2669" s="434">
        <f t="shared" si="1537"/>
        <v>28.5</v>
      </c>
      <c r="P2669" s="435">
        <f t="shared" si="1538"/>
        <v>26.870000000000001</v>
      </c>
      <c r="AE2669" s="217"/>
      <c r="AF2669" s="217">
        <v>1333</v>
      </c>
      <c r="AH2669">
        <f t="shared" si="1524"/>
        <v>1333</v>
      </c>
    </row>
    <row r="2670" ht="30">
      <c r="A2670" s="217"/>
      <c r="B2670" s="217">
        <v>1333</v>
      </c>
      <c r="C2670" s="217"/>
      <c r="D2670" s="217" t="s">
        <v>17167</v>
      </c>
      <c r="E2670" s="471" t="s">
        <v>20405</v>
      </c>
      <c r="F2670" s="482">
        <v>88245</v>
      </c>
      <c r="G2670" s="488" t="s">
        <v>7099</v>
      </c>
      <c r="H2670" s="483" t="s">
        <v>2032</v>
      </c>
      <c r="I2670" s="472">
        <v>0.73690800000000001</v>
      </c>
      <c r="J2670" s="473">
        <f t="shared" si="1530"/>
        <v>28.289999999999999</v>
      </c>
      <c r="K2670" s="474">
        <f t="shared" si="1535"/>
        <v>20.847127319999998</v>
      </c>
      <c r="L2670" s="473">
        <f t="shared" si="1539"/>
        <v>26.68</v>
      </c>
      <c r="M2670" s="474">
        <f t="shared" si="1536"/>
        <v>19.660705440000001</v>
      </c>
      <c r="O2670" s="434">
        <f t="shared" si="1537"/>
        <v>28.289999999999999</v>
      </c>
      <c r="P2670" s="435">
        <f t="shared" si="1538"/>
        <v>26.68</v>
      </c>
      <c r="AE2670" s="217"/>
      <c r="AF2670" s="217">
        <v>1333</v>
      </c>
      <c r="AH2670">
        <f t="shared" si="1524"/>
        <v>1333</v>
      </c>
    </row>
    <row r="2671" ht="30">
      <c r="A2671" s="217"/>
      <c r="B2671" s="217">
        <v>1333</v>
      </c>
      <c r="C2671" s="217"/>
      <c r="D2671" s="217" t="s">
        <v>17167</v>
      </c>
      <c r="E2671" s="471" t="s">
        <v>20409</v>
      </c>
      <c r="F2671" s="482">
        <v>88316</v>
      </c>
      <c r="G2671" s="488" t="s">
        <v>7393</v>
      </c>
      <c r="H2671" s="483" t="s">
        <v>2032</v>
      </c>
      <c r="I2671" s="472">
        <v>14.861656</v>
      </c>
      <c r="J2671" s="473">
        <f t="shared" si="1530"/>
        <v>22.760000000000002</v>
      </c>
      <c r="K2671" s="474">
        <f t="shared" si="1535"/>
        <v>338.25129056000003</v>
      </c>
      <c r="L2671" s="473">
        <f t="shared" si="1539"/>
        <v>21.550000000000001</v>
      </c>
      <c r="M2671" s="474">
        <f t="shared" si="1536"/>
        <v>320.26868680000001</v>
      </c>
      <c r="O2671" s="434">
        <f t="shared" si="1537"/>
        <v>22.760000000000002</v>
      </c>
      <c r="P2671" s="435">
        <f t="shared" si="1538"/>
        <v>21.550000000000001</v>
      </c>
      <c r="AE2671" s="217"/>
      <c r="AF2671" s="217">
        <v>1333</v>
      </c>
      <c r="AH2671">
        <f t="shared" si="1524"/>
        <v>1333</v>
      </c>
    </row>
    <row r="2672" ht="45">
      <c r="A2672" s="217"/>
      <c r="B2672" s="217">
        <v>1333</v>
      </c>
      <c r="C2672" s="217"/>
      <c r="D2672" s="217" t="s">
        <v>17167</v>
      </c>
      <c r="E2672" s="471" t="s">
        <v>20663</v>
      </c>
      <c r="F2672" s="482">
        <v>93358</v>
      </c>
      <c r="G2672" s="488" t="s">
        <v>20661</v>
      </c>
      <c r="H2672" s="472" t="s">
        <v>15528</v>
      </c>
      <c r="I2672" s="472">
        <v>1.6819999999999999</v>
      </c>
      <c r="J2672" s="473">
        <f t="shared" si="1530"/>
        <v>90.030000000000001</v>
      </c>
      <c r="K2672" s="474">
        <f t="shared" si="1535"/>
        <v>151.43045999999998</v>
      </c>
      <c r="L2672" s="473">
        <f t="shared" si="1539"/>
        <v>85.239999999999995</v>
      </c>
      <c r="M2672" s="474">
        <f t="shared" si="1536"/>
        <v>143.37367999999998</v>
      </c>
      <c r="O2672" s="434">
        <f t="shared" si="1537"/>
        <v>90.030000000000001</v>
      </c>
      <c r="P2672" s="435">
        <f t="shared" si="1538"/>
        <v>85.239999999999995</v>
      </c>
      <c r="AE2672" s="217"/>
      <c r="AF2672" s="217">
        <v>1333</v>
      </c>
      <c r="AH2672">
        <f t="shared" si="1524"/>
        <v>1333</v>
      </c>
    </row>
    <row r="2673" ht="75">
      <c r="A2673" s="217"/>
      <c r="B2673" s="217">
        <v>1333</v>
      </c>
      <c r="C2673" s="217"/>
      <c r="D2673" s="217" t="s">
        <v>17167</v>
      </c>
      <c r="E2673" s="471" t="s">
        <v>20665</v>
      </c>
      <c r="F2673" s="482">
        <v>97083</v>
      </c>
      <c r="G2673" s="488" t="s">
        <v>8822</v>
      </c>
      <c r="H2673" s="472" t="s">
        <v>15515</v>
      </c>
      <c r="I2673" s="472">
        <v>8.4100000000000001</v>
      </c>
      <c r="J2673" s="473">
        <f t="shared" si="1530"/>
        <v>3.4900000000000002</v>
      </c>
      <c r="K2673" s="474">
        <f t="shared" si="1535"/>
        <v>29.350900000000003</v>
      </c>
      <c r="L2673" s="473">
        <f t="shared" si="1539"/>
        <v>3.2999999999999998</v>
      </c>
      <c r="M2673" s="474">
        <f t="shared" si="1536"/>
        <v>27.753</v>
      </c>
      <c r="O2673" s="434">
        <f t="shared" si="1537"/>
        <v>3.4900000000000002</v>
      </c>
      <c r="P2673" s="435">
        <f t="shared" si="1538"/>
        <v>3.2999999999999998</v>
      </c>
      <c r="AE2673" s="217"/>
      <c r="AF2673" s="217">
        <v>1333</v>
      </c>
      <c r="AH2673">
        <f t="shared" si="1524"/>
        <v>1333</v>
      </c>
    </row>
    <row r="2674" ht="75">
      <c r="A2674" s="217"/>
      <c r="B2674" s="217">
        <v>1333</v>
      </c>
      <c r="C2674" s="217"/>
      <c r="D2674" s="217" t="s">
        <v>17167</v>
      </c>
      <c r="E2674" s="471" t="s">
        <v>20667</v>
      </c>
      <c r="F2674" s="482">
        <v>100324</v>
      </c>
      <c r="G2674" s="488" t="s">
        <v>21996</v>
      </c>
      <c r="H2674" s="472" t="s">
        <v>15528</v>
      </c>
      <c r="I2674" s="472">
        <v>0.84099999999999997</v>
      </c>
      <c r="J2674" s="473">
        <f t="shared" si="1530"/>
        <v>179.66</v>
      </c>
      <c r="K2674" s="474">
        <f t="shared" si="1535"/>
        <v>151.09405999999998</v>
      </c>
      <c r="L2674" s="473">
        <f t="shared" si="1539"/>
        <v>176.31999999999999</v>
      </c>
      <c r="M2674" s="474">
        <f t="shared" si="1536"/>
        <v>148.28511999999998</v>
      </c>
      <c r="O2674" s="434">
        <f t="shared" si="1537"/>
        <v>179.66</v>
      </c>
      <c r="P2674" s="435">
        <f t="shared" si="1538"/>
        <v>176.31999999999999</v>
      </c>
      <c r="AE2674" s="217"/>
      <c r="AF2674" s="217">
        <v>1333</v>
      </c>
      <c r="AH2674">
        <f t="shared" si="1524"/>
        <v>1333</v>
      </c>
    </row>
    <row r="2675" ht="45">
      <c r="A2675" s="217"/>
      <c r="B2675" s="217">
        <v>1333</v>
      </c>
      <c r="C2675" s="217"/>
      <c r="D2675" s="217" t="s">
        <v>17167</v>
      </c>
      <c r="E2675" s="471" t="s">
        <v>20671</v>
      </c>
      <c r="F2675" s="482">
        <v>96620</v>
      </c>
      <c r="G2675" s="488" t="s">
        <v>21997</v>
      </c>
      <c r="H2675" s="472" t="s">
        <v>15528</v>
      </c>
      <c r="I2675" s="472">
        <v>0.51029999999999998</v>
      </c>
      <c r="J2675" s="473">
        <f t="shared" si="1530"/>
        <v>722.99000000000001</v>
      </c>
      <c r="K2675" s="474">
        <f t="shared" si="1535"/>
        <v>368.94179700000001</v>
      </c>
      <c r="L2675" s="473">
        <f t="shared" si="1539"/>
        <v>705.89999999999998</v>
      </c>
      <c r="M2675" s="474">
        <f t="shared" si="1536"/>
        <v>360.22076999999996</v>
      </c>
      <c r="O2675" s="434">
        <f t="shared" si="1537"/>
        <v>722.99000000000001</v>
      </c>
      <c r="P2675" s="435">
        <f t="shared" si="1538"/>
        <v>705.89999999999998</v>
      </c>
      <c r="AE2675" s="217"/>
      <c r="AF2675" s="217">
        <v>1333</v>
      </c>
      <c r="AH2675">
        <f t="shared" si="1524"/>
        <v>1333</v>
      </c>
    </row>
    <row r="2676" ht="60">
      <c r="A2676" s="217"/>
      <c r="B2676" s="217">
        <v>1333</v>
      </c>
      <c r="C2676" s="217"/>
      <c r="D2676" s="217" t="s">
        <v>17167</v>
      </c>
      <c r="E2676" s="471" t="s">
        <v>20672</v>
      </c>
      <c r="F2676" s="489">
        <v>94964</v>
      </c>
      <c r="G2676" s="470" t="s">
        <v>20686</v>
      </c>
      <c r="H2676" s="471" t="s">
        <v>15528</v>
      </c>
      <c r="I2676" s="472">
        <v>2.3508800000000001</v>
      </c>
      <c r="J2676" s="473">
        <f t="shared" si="1530"/>
        <v>488.52999999999997</v>
      </c>
      <c r="K2676" s="474">
        <f t="shared" si="1535"/>
        <v>1148.4754063999999</v>
      </c>
      <c r="L2676" s="473">
        <f t="shared" si="1539"/>
        <v>482.79000000000002</v>
      </c>
      <c r="M2676" s="474">
        <f t="shared" si="1536"/>
        <v>1134.9813552000001</v>
      </c>
      <c r="O2676" s="434">
        <f t="shared" si="1537"/>
        <v>488.52999999999997</v>
      </c>
      <c r="P2676" s="435">
        <f t="shared" si="1538"/>
        <v>482.79000000000002</v>
      </c>
      <c r="AE2676" s="217"/>
      <c r="AF2676" s="217">
        <v>1333</v>
      </c>
      <c r="AH2676">
        <f t="shared" si="1524"/>
        <v>1333</v>
      </c>
    </row>
    <row r="2677" ht="60">
      <c r="A2677" s="217"/>
      <c r="B2677" s="217">
        <v>1333</v>
      </c>
      <c r="C2677" s="217"/>
      <c r="D2677" s="217" t="s">
        <v>17167</v>
      </c>
      <c r="E2677" s="471" t="s">
        <v>20673</v>
      </c>
      <c r="F2677" s="489">
        <v>103670</v>
      </c>
      <c r="G2677" s="470" t="s">
        <v>1387</v>
      </c>
      <c r="H2677" s="471" t="s">
        <v>15528</v>
      </c>
      <c r="I2677" s="472">
        <f>I2675+I2676</f>
        <v>2.8611800000000001</v>
      </c>
      <c r="J2677" s="473">
        <f t="shared" si="1530"/>
        <v>308.60000000000002</v>
      </c>
      <c r="K2677" s="474">
        <f t="shared" si="1535"/>
        <v>882.96014800000012</v>
      </c>
      <c r="L2677" s="473">
        <f t="shared" si="1539"/>
        <v>291.69999999999999</v>
      </c>
      <c r="M2677" s="474">
        <f t="shared" si="1536"/>
        <v>834.60620599999993</v>
      </c>
      <c r="O2677" s="434">
        <f t="shared" si="1537"/>
        <v>308.60000000000002</v>
      </c>
      <c r="P2677" s="435">
        <f t="shared" si="1538"/>
        <v>291.69999999999999</v>
      </c>
      <c r="AE2677" s="217"/>
      <c r="AF2677" s="217">
        <v>1333</v>
      </c>
      <c r="AH2677">
        <f t="shared" si="1524"/>
        <v>1333</v>
      </c>
    </row>
    <row r="2678" ht="30">
      <c r="A2678" s="217"/>
      <c r="B2678" s="217">
        <v>1333</v>
      </c>
      <c r="C2678" s="217"/>
      <c r="D2678" s="217" t="s">
        <v>20408</v>
      </c>
      <c r="E2678" s="471" t="s">
        <v>20675</v>
      </c>
      <c r="F2678" s="489">
        <v>34564</v>
      </c>
      <c r="G2678" s="470" t="s">
        <v>21998</v>
      </c>
      <c r="H2678" s="471" t="s">
        <v>20647</v>
      </c>
      <c r="I2678" s="472">
        <v>176.22471999999999</v>
      </c>
      <c r="J2678" s="473">
        <f t="shared" si="1530"/>
        <v>5.9500000000000002</v>
      </c>
      <c r="K2678" s="474">
        <f t="shared" si="1535"/>
        <v>1048.537084</v>
      </c>
      <c r="L2678" s="473">
        <f t="shared" si="1539"/>
        <v>5.9500000000000002</v>
      </c>
      <c r="M2678" s="474">
        <f t="shared" si="1536"/>
        <v>1048.537084</v>
      </c>
      <c r="O2678" s="434">
        <f t="shared" si="1537"/>
        <v>5.9500000000000002</v>
      </c>
      <c r="P2678" s="435">
        <f t="shared" si="1538"/>
        <v>5.9500000000000002</v>
      </c>
      <c r="AE2678" s="217"/>
      <c r="AF2678" s="217">
        <v>1333</v>
      </c>
      <c r="AH2678">
        <f t="shared" si="1524"/>
        <v>1333</v>
      </c>
    </row>
    <row r="2679" ht="45">
      <c r="A2679" s="217"/>
      <c r="B2679" s="217">
        <v>1333</v>
      </c>
      <c r="C2679" s="217"/>
      <c r="D2679" s="217" t="s">
        <v>20408</v>
      </c>
      <c r="E2679" s="471" t="s">
        <v>20677</v>
      </c>
      <c r="F2679" s="489">
        <v>38592</v>
      </c>
      <c r="G2679" s="470" t="s">
        <v>21999</v>
      </c>
      <c r="H2679" s="471" t="s">
        <v>20647</v>
      </c>
      <c r="I2679" s="472">
        <v>63.737760000000002</v>
      </c>
      <c r="J2679" s="473">
        <f t="shared" si="1530"/>
        <v>3.5</v>
      </c>
      <c r="K2679" s="474">
        <f t="shared" si="1535"/>
        <v>223.08216000000002</v>
      </c>
      <c r="L2679" s="473">
        <f t="shared" si="1539"/>
        <v>3.5</v>
      </c>
      <c r="M2679" s="474">
        <f t="shared" si="1536"/>
        <v>223.08216000000002</v>
      </c>
      <c r="O2679" s="434">
        <f t="shared" si="1537"/>
        <v>3.5</v>
      </c>
      <c r="P2679" s="435">
        <f t="shared" si="1538"/>
        <v>3.5</v>
      </c>
      <c r="AE2679" s="217"/>
      <c r="AF2679" s="217">
        <v>1333</v>
      </c>
      <c r="AH2679">
        <f t="shared" si="1524"/>
        <v>1333</v>
      </c>
    </row>
    <row r="2680" ht="45">
      <c r="A2680" s="217"/>
      <c r="B2680" s="217">
        <v>1333</v>
      </c>
      <c r="C2680" s="217"/>
      <c r="D2680" s="217" t="s">
        <v>20408</v>
      </c>
      <c r="E2680" s="471" t="s">
        <v>20679</v>
      </c>
      <c r="F2680" s="489">
        <v>38599</v>
      </c>
      <c r="G2680" s="488" t="s">
        <v>22000</v>
      </c>
      <c r="H2680" s="471" t="s">
        <v>20647</v>
      </c>
      <c r="I2680" s="472">
        <v>41.182160000000003</v>
      </c>
      <c r="J2680" s="473">
        <f t="shared" si="1530"/>
        <v>6.9299999999999997</v>
      </c>
      <c r="K2680" s="474">
        <f t="shared" si="1535"/>
        <v>285.39236879999999</v>
      </c>
      <c r="L2680" s="473">
        <f t="shared" si="1539"/>
        <v>6.9299999999999997</v>
      </c>
      <c r="M2680" s="474">
        <f t="shared" si="1536"/>
        <v>285.39236879999999</v>
      </c>
      <c r="O2680" s="434">
        <f t="shared" si="1537"/>
        <v>6.9299999999999997</v>
      </c>
      <c r="P2680" s="435">
        <f t="shared" si="1538"/>
        <v>6.9299999999999997</v>
      </c>
      <c r="AE2680" s="217"/>
      <c r="AF2680" s="217">
        <v>1333</v>
      </c>
      <c r="AH2680">
        <f t="shared" si="1524"/>
        <v>1333</v>
      </c>
    </row>
    <row r="2681" ht="75">
      <c r="A2681" s="217"/>
      <c r="B2681" s="217">
        <v>1333</v>
      </c>
      <c r="C2681" s="217"/>
      <c r="D2681" s="217" t="s">
        <v>17167</v>
      </c>
      <c r="E2681" s="471" t="s">
        <v>20681</v>
      </c>
      <c r="F2681" s="489">
        <v>100475</v>
      </c>
      <c r="G2681" s="470" t="s">
        <v>205</v>
      </c>
      <c r="H2681" s="471" t="s">
        <v>15528</v>
      </c>
      <c r="I2681" s="472">
        <v>0.53412599999999999</v>
      </c>
      <c r="J2681" s="473">
        <f t="shared" si="1530"/>
        <v>725.75</v>
      </c>
      <c r="K2681" s="474">
        <f t="shared" si="1535"/>
        <v>387.64194449999997</v>
      </c>
      <c r="L2681" s="473">
        <f t="shared" si="1539"/>
        <v>719.49000000000001</v>
      </c>
      <c r="M2681" s="474">
        <f t="shared" si="1536"/>
        <v>384.29831574000002</v>
      </c>
      <c r="O2681" s="434">
        <f t="shared" si="1537"/>
        <v>725.75</v>
      </c>
      <c r="P2681" s="435">
        <f t="shared" si="1538"/>
        <v>719.49000000000001</v>
      </c>
      <c r="AE2681" s="217"/>
      <c r="AF2681" s="217">
        <v>1333</v>
      </c>
      <c r="AH2681">
        <f t="shared" si="1524"/>
        <v>1333</v>
      </c>
    </row>
    <row r="2682" ht="75">
      <c r="A2682" s="217"/>
      <c r="B2682" s="217">
        <v>1333</v>
      </c>
      <c r="C2682" s="217"/>
      <c r="D2682" s="217" t="s">
        <v>17167</v>
      </c>
      <c r="E2682" s="471" t="s">
        <v>20683</v>
      </c>
      <c r="F2682" s="489">
        <v>87878</v>
      </c>
      <c r="G2682" s="470" t="s">
        <v>20910</v>
      </c>
      <c r="H2682" s="471" t="s">
        <v>15515</v>
      </c>
      <c r="I2682" s="472">
        <v>13.464</v>
      </c>
      <c r="J2682" s="473">
        <f t="shared" si="1530"/>
        <v>5.0099999999999998</v>
      </c>
      <c r="K2682" s="474">
        <f t="shared" si="1535"/>
        <v>67.454639999999998</v>
      </c>
      <c r="L2682" s="473">
        <f t="shared" si="1539"/>
        <v>4.7999999999999998</v>
      </c>
      <c r="M2682" s="474">
        <f t="shared" si="1536"/>
        <v>64.627200000000002</v>
      </c>
      <c r="O2682" s="434">
        <f t="shared" si="1537"/>
        <v>5.0099999999999998</v>
      </c>
      <c r="P2682" s="435">
        <f t="shared" si="1538"/>
        <v>4.7999999999999998</v>
      </c>
      <c r="AE2682" s="217"/>
      <c r="AF2682" s="217">
        <v>1333</v>
      </c>
      <c r="AH2682">
        <f t="shared" si="1524"/>
        <v>1333</v>
      </c>
    </row>
    <row r="2683" ht="60">
      <c r="A2683" s="217"/>
      <c r="B2683" s="217">
        <v>1333</v>
      </c>
      <c r="C2683" s="217"/>
      <c r="D2683" s="217" t="s">
        <v>20408</v>
      </c>
      <c r="E2683" s="471" t="s">
        <v>20685</v>
      </c>
      <c r="F2683" s="489">
        <v>42407</v>
      </c>
      <c r="G2683" s="470" t="s">
        <v>22001</v>
      </c>
      <c r="H2683" s="472" t="s">
        <v>38</v>
      </c>
      <c r="I2683" s="472">
        <v>15.84</v>
      </c>
      <c r="J2683" s="473">
        <f t="shared" si="1530"/>
        <v>5.8499999999999996</v>
      </c>
      <c r="K2683" s="474">
        <f t="shared" si="1535"/>
        <v>92.663999999999987</v>
      </c>
      <c r="L2683" s="473">
        <f t="shared" si="1539"/>
        <v>5.8499999999999996</v>
      </c>
      <c r="M2683" s="474">
        <f t="shared" si="1536"/>
        <v>92.663999999999987</v>
      </c>
      <c r="O2683" s="434">
        <f t="shared" si="1537"/>
        <v>5.8499999999999996</v>
      </c>
      <c r="P2683" s="435">
        <f t="shared" si="1538"/>
        <v>5.8499999999999996</v>
      </c>
      <c r="AE2683" s="217"/>
      <c r="AF2683" s="217">
        <v>1333</v>
      </c>
      <c r="AH2683">
        <f t="shared" si="1524"/>
        <v>1333</v>
      </c>
    </row>
    <row r="2684" ht="75">
      <c r="A2684" s="217"/>
      <c r="B2684" s="217">
        <v>1333</v>
      </c>
      <c r="C2684" s="217"/>
      <c r="D2684" s="217" t="s">
        <v>17167</v>
      </c>
      <c r="E2684" s="471" t="s">
        <v>20687</v>
      </c>
      <c r="F2684" s="489">
        <v>92518</v>
      </c>
      <c r="G2684" s="470" t="s">
        <v>4280</v>
      </c>
      <c r="H2684" s="472" t="s">
        <v>15515</v>
      </c>
      <c r="I2684" s="472">
        <v>5.0244</v>
      </c>
      <c r="J2684" s="473">
        <f t="shared" si="1530"/>
        <v>50.25</v>
      </c>
      <c r="K2684" s="474">
        <f t="shared" si="1535"/>
        <v>252.4761</v>
      </c>
      <c r="L2684" s="473">
        <f t="shared" si="1539"/>
        <v>49.140000000000001</v>
      </c>
      <c r="M2684" s="474">
        <f t="shared" si="1536"/>
        <v>246.89901599999999</v>
      </c>
      <c r="O2684" s="434">
        <f t="shared" si="1537"/>
        <v>50.25</v>
      </c>
      <c r="P2684" s="435">
        <f t="shared" si="1538"/>
        <v>49.140000000000001</v>
      </c>
      <c r="AE2684" s="217"/>
      <c r="AF2684" s="217">
        <v>1333</v>
      </c>
      <c r="AH2684">
        <f t="shared" si="1524"/>
        <v>1333</v>
      </c>
    </row>
    <row r="2685" ht="60">
      <c r="A2685" s="217"/>
      <c r="B2685" s="217">
        <v>1333</v>
      </c>
      <c r="C2685" s="217"/>
      <c r="D2685" s="217" t="s">
        <v>17167</v>
      </c>
      <c r="E2685" s="471" t="s">
        <v>20689</v>
      </c>
      <c r="F2685" s="489">
        <v>96536</v>
      </c>
      <c r="G2685" s="470" t="s">
        <v>21415</v>
      </c>
      <c r="H2685" s="472" t="s">
        <v>15515</v>
      </c>
      <c r="I2685" s="472">
        <v>2.9159999999999999</v>
      </c>
      <c r="J2685" s="473">
        <f t="shared" si="1530"/>
        <v>63.439999999999998</v>
      </c>
      <c r="K2685" s="474">
        <f t="shared" si="1535"/>
        <v>184.99104</v>
      </c>
      <c r="L2685" s="473">
        <f t="shared" si="1539"/>
        <v>60.950000000000003</v>
      </c>
      <c r="M2685" s="474">
        <f t="shared" si="1536"/>
        <v>177.7302</v>
      </c>
      <c r="O2685" s="434">
        <f t="shared" si="1537"/>
        <v>63.439999999999998</v>
      </c>
      <c r="P2685" s="435">
        <f t="shared" si="1538"/>
        <v>60.950000000000003</v>
      </c>
      <c r="AE2685" s="217"/>
      <c r="AF2685" s="217">
        <v>1333</v>
      </c>
      <c r="AH2685">
        <f t="shared" si="1524"/>
        <v>1333</v>
      </c>
    </row>
    <row r="2686" ht="45">
      <c r="A2686" s="217"/>
      <c r="B2686" s="217">
        <v>1333</v>
      </c>
      <c r="C2686" s="217"/>
      <c r="D2686" s="217" t="s">
        <v>17167</v>
      </c>
      <c r="E2686" s="471" t="s">
        <v>20882</v>
      </c>
      <c r="F2686" s="489">
        <v>96544</v>
      </c>
      <c r="G2686" s="470" t="s">
        <v>21856</v>
      </c>
      <c r="H2686" s="472" t="s">
        <v>302</v>
      </c>
      <c r="I2686" s="472">
        <v>8.8606700000000007</v>
      </c>
      <c r="J2686" s="473">
        <f t="shared" si="1530"/>
        <v>17.699999999999999</v>
      </c>
      <c r="K2686" s="474">
        <f t="shared" si="1535"/>
        <v>156.83385900000002</v>
      </c>
      <c r="L2686" s="473">
        <f t="shared" si="1539"/>
        <v>17.23</v>
      </c>
      <c r="M2686" s="474">
        <f t="shared" si="1536"/>
        <v>152.66934410000002</v>
      </c>
      <c r="O2686" s="434">
        <f t="shared" si="1537"/>
        <v>17.699999999999999</v>
      </c>
      <c r="P2686" s="435">
        <f t="shared" si="1538"/>
        <v>17.23</v>
      </c>
      <c r="AE2686" s="217"/>
      <c r="AF2686" s="217">
        <v>1333</v>
      </c>
      <c r="AH2686">
        <f t="shared" si="1524"/>
        <v>1333</v>
      </c>
    </row>
    <row r="2687" ht="75">
      <c r="A2687" s="217"/>
      <c r="B2687" s="217">
        <v>1333</v>
      </c>
      <c r="C2687" s="217"/>
      <c r="D2687" s="217" t="s">
        <v>20408</v>
      </c>
      <c r="E2687" s="471" t="s">
        <v>22002</v>
      </c>
      <c r="F2687" s="489">
        <v>43127</v>
      </c>
      <c r="G2687" s="470" t="s">
        <v>21386</v>
      </c>
      <c r="H2687" s="472" t="s">
        <v>15515</v>
      </c>
      <c r="I2687" s="472">
        <v>24.563600000000001</v>
      </c>
      <c r="J2687" s="473">
        <f t="shared" si="1530"/>
        <v>36.710000000000001</v>
      </c>
      <c r="K2687" s="474">
        <f t="shared" si="1535"/>
        <v>901.72975600000007</v>
      </c>
      <c r="L2687" s="473">
        <f t="shared" si="1539"/>
        <v>36.710000000000001</v>
      </c>
      <c r="M2687" s="474">
        <f t="shared" si="1536"/>
        <v>901.72975600000007</v>
      </c>
      <c r="O2687" s="434">
        <f t="shared" si="1537"/>
        <v>36.710000000000001</v>
      </c>
      <c r="P2687" s="435">
        <f t="shared" si="1538"/>
        <v>36.710000000000001</v>
      </c>
      <c r="AE2687" s="217"/>
      <c r="AF2687" s="217">
        <v>1333</v>
      </c>
      <c r="AH2687">
        <f t="shared" si="1524"/>
        <v>1333</v>
      </c>
    </row>
    <row r="2688" ht="30">
      <c r="A2688" s="217"/>
      <c r="B2688" s="217">
        <v>1333</v>
      </c>
      <c r="C2688" s="217"/>
      <c r="D2688" s="217" t="s">
        <v>20408</v>
      </c>
      <c r="E2688" s="471" t="s">
        <v>22003</v>
      </c>
      <c r="F2688" s="489">
        <v>345</v>
      </c>
      <c r="G2688" s="470" t="s">
        <v>21387</v>
      </c>
      <c r="H2688" s="472" t="s">
        <v>302</v>
      </c>
      <c r="I2688" s="472">
        <v>0.368454</v>
      </c>
      <c r="J2688" s="473">
        <f t="shared" si="1530"/>
        <v>26.780000000000001</v>
      </c>
      <c r="K2688" s="474">
        <f t="shared" si="1535"/>
        <v>9.8671981200000012</v>
      </c>
      <c r="L2688" s="473">
        <f t="shared" si="1539"/>
        <v>26.780000000000001</v>
      </c>
      <c r="M2688" s="474">
        <f t="shared" si="1536"/>
        <v>9.8671981200000012</v>
      </c>
      <c r="O2688" s="434">
        <f t="shared" si="1537"/>
        <v>26.780000000000001</v>
      </c>
      <c r="P2688" s="435">
        <f t="shared" si="1538"/>
        <v>26.780000000000001</v>
      </c>
      <c r="AE2688" s="217"/>
      <c r="AF2688" s="217">
        <v>1333</v>
      </c>
      <c r="AH2688">
        <f t="shared" si="1524"/>
        <v>1333</v>
      </c>
    </row>
    <row r="2689" ht="99" customHeight="1">
      <c r="A2689" s="460">
        <v>1334</v>
      </c>
      <c r="B2689" s="460">
        <v>1334</v>
      </c>
      <c r="C2689" s="460"/>
      <c r="D2689" s="460"/>
      <c r="E2689" s="461">
        <v>1</v>
      </c>
      <c r="F2689" s="462" t="s">
        <v>22004</v>
      </c>
      <c r="G2689" s="477" t="s">
        <v>22005</v>
      </c>
      <c r="H2689" s="579" t="s">
        <v>15528</v>
      </c>
      <c r="I2689" s="479"/>
      <c r="J2689" s="480"/>
      <c r="K2689" s="466">
        <f>SUM(K2690:K2700)</f>
        <v>20.535435745999997</v>
      </c>
      <c r="L2689" s="480"/>
      <c r="M2689" s="466">
        <f>SUM(M2690:M2700)</f>
        <v>20.156653232</v>
      </c>
      <c r="N2689" s="467" t="s">
        <v>22006</v>
      </c>
      <c r="O2689" s="434" t="str">
        <f t="shared" si="1537"/>
        <v xml:space="preserve">SEM VALOR</v>
      </c>
      <c r="P2689" s="435" t="str">
        <f t="shared" si="1538"/>
        <v xml:space="preserve">SEM VALOR</v>
      </c>
      <c r="AE2689" s="460">
        <v>1334</v>
      </c>
      <c r="AF2689" s="460"/>
      <c r="AH2689">
        <f t="shared" si="1524"/>
        <v>1334</v>
      </c>
    </row>
    <row r="2690" ht="90">
      <c r="A2690" s="217"/>
      <c r="B2690" s="217">
        <v>1334</v>
      </c>
      <c r="C2690" s="217"/>
      <c r="D2690" s="217" t="s">
        <v>17167</v>
      </c>
      <c r="E2690" s="471" t="s">
        <v>20399</v>
      </c>
      <c r="F2690" s="489">
        <v>73436</v>
      </c>
      <c r="G2690" s="470" t="s">
        <v>1887</v>
      </c>
      <c r="H2690" s="472" t="s">
        <v>1535</v>
      </c>
      <c r="I2690" s="472">
        <v>1.21739e-002</v>
      </c>
      <c r="J2690" s="473">
        <f t="shared" si="1530"/>
        <v>167.11000000000001</v>
      </c>
      <c r="K2690" s="474">
        <f t="shared" ref="K2690:K2700" si="1540">I2690*J2690</f>
        <v>2.034380429</v>
      </c>
      <c r="L2690" s="473">
        <f t="shared" si="1539"/>
        <v>165.41</v>
      </c>
      <c r="M2690" s="474">
        <f t="shared" ref="M2690:M2700" si="1541">L2690*I2690</f>
        <v>2.013684799</v>
      </c>
      <c r="N2690" s="467" t="s">
        <v>22007</v>
      </c>
      <c r="O2690" s="434">
        <f t="shared" si="1537"/>
        <v>167.11000000000001</v>
      </c>
      <c r="P2690" s="435">
        <f t="shared" si="1538"/>
        <v>165.41</v>
      </c>
      <c r="AE2690" s="217"/>
      <c r="AF2690" s="217">
        <v>1334</v>
      </c>
      <c r="AH2690">
        <f t="shared" si="1524"/>
        <v>1334</v>
      </c>
    </row>
    <row r="2691" ht="90">
      <c r="A2691" s="217"/>
      <c r="B2691" s="217">
        <v>1334</v>
      </c>
      <c r="C2691" s="217"/>
      <c r="D2691" s="217" t="s">
        <v>17167</v>
      </c>
      <c r="E2691" s="471" t="s">
        <v>20402</v>
      </c>
      <c r="F2691" s="482">
        <v>93244</v>
      </c>
      <c r="G2691" s="488" t="s">
        <v>1886</v>
      </c>
      <c r="H2691" s="483" t="s">
        <v>1533</v>
      </c>
      <c r="I2691" s="472">
        <v>2.2608699999999999e-002</v>
      </c>
      <c r="J2691" s="473">
        <f t="shared" si="1530"/>
        <v>65.530000000000001</v>
      </c>
      <c r="K2691" s="474">
        <f t="shared" si="1540"/>
        <v>1.4815481109999999</v>
      </c>
      <c r="L2691" s="473">
        <f t="shared" si="1539"/>
        <v>63.829999999999998</v>
      </c>
      <c r="M2691" s="474">
        <f t="shared" si="1541"/>
        <v>1.443113321</v>
      </c>
      <c r="O2691" s="434">
        <f t="shared" si="1537"/>
        <v>65.530000000000001</v>
      </c>
      <c r="P2691" s="435">
        <f t="shared" si="1538"/>
        <v>63.829999999999998</v>
      </c>
      <c r="AE2691" s="217"/>
      <c r="AF2691" s="217">
        <v>1334</v>
      </c>
      <c r="AH2691">
        <f t="shared" si="1524"/>
        <v>1334</v>
      </c>
    </row>
    <row r="2692" ht="105">
      <c r="A2692" s="217"/>
      <c r="B2692" s="217">
        <v>1334</v>
      </c>
      <c r="C2692" s="217"/>
      <c r="D2692" s="217" t="s">
        <v>17167</v>
      </c>
      <c r="E2692" s="471" t="s">
        <v>20405</v>
      </c>
      <c r="F2692" s="482">
        <v>5901</v>
      </c>
      <c r="G2692" s="488" t="s">
        <v>1593</v>
      </c>
      <c r="H2692" s="483" t="s">
        <v>1535</v>
      </c>
      <c r="I2692" s="472">
        <v>4.1739000000000004e-003</v>
      </c>
      <c r="J2692" s="473">
        <f t="shared" si="1530"/>
        <v>346.31999999999999</v>
      </c>
      <c r="K2692" s="474">
        <f t="shared" si="1540"/>
        <v>1.445505048</v>
      </c>
      <c r="L2692" s="473">
        <f t="shared" si="1539"/>
        <v>344.72000000000003</v>
      </c>
      <c r="M2692" s="474">
        <f t="shared" si="1541"/>
        <v>1.4388268080000002</v>
      </c>
      <c r="O2692" s="434">
        <f t="shared" si="1537"/>
        <v>346.31999999999999</v>
      </c>
      <c r="P2692" s="435">
        <f t="shared" si="1538"/>
        <v>344.72000000000003</v>
      </c>
      <c r="AE2692" s="217"/>
      <c r="AF2692" s="217">
        <v>1334</v>
      </c>
      <c r="AH2692">
        <f t="shared" si="1524"/>
        <v>1334</v>
      </c>
    </row>
    <row r="2693" ht="105">
      <c r="A2693" s="217"/>
      <c r="B2693" s="217">
        <v>1334</v>
      </c>
      <c r="C2693" s="217"/>
      <c r="D2693" s="217" t="s">
        <v>17167</v>
      </c>
      <c r="E2693" s="471" t="s">
        <v>20409</v>
      </c>
      <c r="F2693" s="482">
        <v>5903</v>
      </c>
      <c r="G2693" s="488" t="s">
        <v>1592</v>
      </c>
      <c r="H2693" s="483" t="s">
        <v>1533</v>
      </c>
      <c r="I2693" s="472">
        <v>3.0608699999999999e-002</v>
      </c>
      <c r="J2693" s="473">
        <f t="shared" si="1530"/>
        <v>73.879999999999995</v>
      </c>
      <c r="K2693" s="474">
        <f t="shared" si="1540"/>
        <v>2.2613707559999998</v>
      </c>
      <c r="L2693" s="473">
        <f t="shared" si="1539"/>
        <v>72.280000000000001</v>
      </c>
      <c r="M2693" s="474">
        <f t="shared" si="1541"/>
        <v>2.2123968359999999</v>
      </c>
      <c r="O2693" s="434">
        <f t="shared" si="1537"/>
        <v>73.879999999999995</v>
      </c>
      <c r="P2693" s="435">
        <f t="shared" si="1538"/>
        <v>72.280000000000001</v>
      </c>
      <c r="AE2693" s="217"/>
      <c r="AF2693" s="217">
        <v>1334</v>
      </c>
      <c r="AH2693">
        <f t="shared" si="1524"/>
        <v>1334</v>
      </c>
    </row>
    <row r="2694" ht="60">
      <c r="A2694" s="217"/>
      <c r="B2694" s="217">
        <v>1334</v>
      </c>
      <c r="C2694" s="217"/>
      <c r="D2694" s="217" t="s">
        <v>17167</v>
      </c>
      <c r="E2694" s="471" t="s">
        <v>20663</v>
      </c>
      <c r="F2694" s="482">
        <v>96157</v>
      </c>
      <c r="G2694" s="488" t="s">
        <v>1931</v>
      </c>
      <c r="H2694" s="472" t="s">
        <v>1535</v>
      </c>
      <c r="I2694" s="472">
        <v>1.11304e-002</v>
      </c>
      <c r="J2694" s="473">
        <f t="shared" si="1530"/>
        <v>146.75</v>
      </c>
      <c r="K2694" s="474">
        <f t="shared" si="1540"/>
        <v>1.6333862000000001</v>
      </c>
      <c r="L2694" s="473">
        <f t="shared" si="1539"/>
        <v>144.84999999999999</v>
      </c>
      <c r="M2694" s="474">
        <f t="shared" si="1541"/>
        <v>1.6122384400000001</v>
      </c>
      <c r="O2694" s="434">
        <f t="shared" si="1537"/>
        <v>146.75</v>
      </c>
      <c r="P2694" s="435">
        <f t="shared" si="1538"/>
        <v>144.84999999999999</v>
      </c>
      <c r="AE2694" s="217"/>
      <c r="AF2694" s="217">
        <v>1334</v>
      </c>
      <c r="AH2694">
        <f t="shared" si="1524"/>
        <v>1334</v>
      </c>
    </row>
    <row r="2695" ht="60">
      <c r="A2695" s="217"/>
      <c r="B2695" s="217">
        <v>1334</v>
      </c>
      <c r="C2695" s="217"/>
      <c r="D2695" s="217" t="s">
        <v>17167</v>
      </c>
      <c r="E2695" s="471" t="s">
        <v>20665</v>
      </c>
      <c r="F2695" s="482">
        <v>96155</v>
      </c>
      <c r="G2695" s="488" t="s">
        <v>1930</v>
      </c>
      <c r="H2695" s="472" t="s">
        <v>1533</v>
      </c>
      <c r="I2695" s="472">
        <v>2.3652200000000002e-002</v>
      </c>
      <c r="J2695" s="473">
        <f t="shared" si="1530"/>
        <v>52.030000000000001</v>
      </c>
      <c r="K2695" s="474">
        <f t="shared" si="1540"/>
        <v>1.230623966</v>
      </c>
      <c r="L2695" s="473">
        <f t="shared" si="1539"/>
        <v>50.130000000000003</v>
      </c>
      <c r="M2695" s="474">
        <f t="shared" si="1541"/>
        <v>1.1856847860000002</v>
      </c>
      <c r="O2695" s="434">
        <f t="shared" si="1537"/>
        <v>52.030000000000001</v>
      </c>
      <c r="P2695" s="435">
        <f t="shared" si="1538"/>
        <v>50.130000000000003</v>
      </c>
      <c r="AE2695" s="217"/>
      <c r="AF2695" s="217">
        <v>1334</v>
      </c>
      <c r="AH2695">
        <f t="shared" ref="AH2695:AH2758" si="1542">IF(AF2695:AF2696=FALSE,AE2695,AF2695)</f>
        <v>1334</v>
      </c>
    </row>
    <row r="2696" ht="75">
      <c r="A2696" s="217"/>
      <c r="B2696" s="217">
        <v>1334</v>
      </c>
      <c r="C2696" s="217"/>
      <c r="D2696" s="217" t="s">
        <v>17167</v>
      </c>
      <c r="E2696" s="471" t="s">
        <v>20667</v>
      </c>
      <c r="F2696" s="482">
        <v>5932</v>
      </c>
      <c r="G2696" s="488" t="s">
        <v>1787</v>
      </c>
      <c r="H2696" s="472" t="s">
        <v>1535</v>
      </c>
      <c r="I2696" s="472">
        <v>1.1826100000000001e-002</v>
      </c>
      <c r="J2696" s="473">
        <f t="shared" si="1530"/>
        <v>294.49000000000001</v>
      </c>
      <c r="K2696" s="474">
        <f t="shared" si="1540"/>
        <v>3.4826681890000004</v>
      </c>
      <c r="L2696" s="473">
        <f t="shared" si="1539"/>
        <v>291.70999999999998</v>
      </c>
      <c r="M2696" s="474">
        <f t="shared" si="1541"/>
        <v>3.4497916310000001</v>
      </c>
      <c r="O2696" s="434">
        <f t="shared" si="1537"/>
        <v>294.49000000000001</v>
      </c>
      <c r="P2696" s="435">
        <f t="shared" si="1538"/>
        <v>291.70999999999998</v>
      </c>
      <c r="AE2696" s="217"/>
      <c r="AF2696" s="217">
        <v>1334</v>
      </c>
      <c r="AH2696">
        <f t="shared" si="1542"/>
        <v>1334</v>
      </c>
    </row>
    <row r="2697" ht="75">
      <c r="A2697" s="217"/>
      <c r="B2697" s="217">
        <v>1334</v>
      </c>
      <c r="C2697" s="217"/>
      <c r="D2697" s="217" t="s">
        <v>17167</v>
      </c>
      <c r="E2697" s="471" t="s">
        <v>20671</v>
      </c>
      <c r="F2697" s="482">
        <v>5934</v>
      </c>
      <c r="G2697" s="488" t="s">
        <v>1786</v>
      </c>
      <c r="H2697" s="472" t="s">
        <v>1533</v>
      </c>
      <c r="I2697" s="472">
        <v>2.2956500000000001e-002</v>
      </c>
      <c r="J2697" s="473">
        <f t="shared" si="1530"/>
        <v>114.31</v>
      </c>
      <c r="K2697" s="474">
        <f t="shared" si="1540"/>
        <v>2.6241575150000003</v>
      </c>
      <c r="L2697" s="473">
        <f t="shared" si="1539"/>
        <v>111.53</v>
      </c>
      <c r="M2697" s="474">
        <f t="shared" si="1541"/>
        <v>2.5603384450000002</v>
      </c>
      <c r="O2697" s="434">
        <f t="shared" si="1537"/>
        <v>114.31</v>
      </c>
      <c r="P2697" s="435">
        <f t="shared" si="1538"/>
        <v>111.53</v>
      </c>
      <c r="AE2697" s="217"/>
      <c r="AF2697" s="217">
        <v>1334</v>
      </c>
      <c r="AH2697">
        <f t="shared" si="1542"/>
        <v>1334</v>
      </c>
    </row>
    <row r="2698" ht="90">
      <c r="A2698" s="217"/>
      <c r="B2698" s="217">
        <v>1334</v>
      </c>
      <c r="C2698" s="217"/>
      <c r="D2698" s="217" t="s">
        <v>17167</v>
      </c>
      <c r="E2698" s="471" t="s">
        <v>20672</v>
      </c>
      <c r="F2698" s="489">
        <v>96463</v>
      </c>
      <c r="G2698" s="470" t="s">
        <v>22008</v>
      </c>
      <c r="H2698" s="471" t="s">
        <v>1535</v>
      </c>
      <c r="I2698" s="472">
        <v>3.8260999999999998e-003</v>
      </c>
      <c r="J2698" s="473">
        <f t="shared" si="1530"/>
        <v>218.71000000000001</v>
      </c>
      <c r="K2698" s="474">
        <f t="shared" si="1540"/>
        <v>0.83680633100000001</v>
      </c>
      <c r="L2698" s="473">
        <f t="shared" si="1539"/>
        <v>217.00999999999999</v>
      </c>
      <c r="M2698" s="474">
        <f t="shared" si="1541"/>
        <v>0.83030196099999998</v>
      </c>
      <c r="O2698" s="434">
        <f t="shared" si="1537"/>
        <v>218.71000000000001</v>
      </c>
      <c r="P2698" s="435">
        <f t="shared" si="1538"/>
        <v>217.00999999999999</v>
      </c>
      <c r="AE2698" s="217"/>
      <c r="AF2698" s="217">
        <v>1334</v>
      </c>
      <c r="AH2698">
        <f t="shared" si="1542"/>
        <v>1334</v>
      </c>
    </row>
    <row r="2699" ht="90">
      <c r="A2699" s="217"/>
      <c r="B2699" s="217">
        <v>1334</v>
      </c>
      <c r="C2699" s="217"/>
      <c r="D2699" s="217" t="s">
        <v>17167</v>
      </c>
      <c r="E2699" s="471" t="s">
        <v>20673</v>
      </c>
      <c r="F2699" s="489">
        <v>96464</v>
      </c>
      <c r="G2699" s="470" t="s">
        <v>22009</v>
      </c>
      <c r="H2699" s="471" t="s">
        <v>1533</v>
      </c>
      <c r="I2699" s="472">
        <v>3.0956500000000001e-002</v>
      </c>
      <c r="J2699" s="473">
        <f t="shared" si="1530"/>
        <v>87.650000000000006</v>
      </c>
      <c r="K2699" s="474">
        <f t="shared" si="1540"/>
        <v>2.7133372250000001</v>
      </c>
      <c r="L2699" s="473">
        <f t="shared" si="1539"/>
        <v>85.950000000000003</v>
      </c>
      <c r="M2699" s="474">
        <f t="shared" si="1541"/>
        <v>2.6607111750000003</v>
      </c>
      <c r="O2699" s="434">
        <f t="shared" si="1537"/>
        <v>87.650000000000006</v>
      </c>
      <c r="P2699" s="435">
        <f t="shared" si="1538"/>
        <v>85.950000000000003</v>
      </c>
      <c r="AE2699" s="217"/>
      <c r="AF2699" s="217">
        <v>1334</v>
      </c>
      <c r="AH2699">
        <f t="shared" si="1542"/>
        <v>1334</v>
      </c>
    </row>
    <row r="2700" ht="30">
      <c r="A2700" s="217"/>
      <c r="B2700" s="217">
        <v>1334</v>
      </c>
      <c r="C2700" s="217"/>
      <c r="D2700" s="217" t="s">
        <v>17167</v>
      </c>
      <c r="E2700" s="471" t="s">
        <v>20675</v>
      </c>
      <c r="F2700" s="489">
        <v>88316</v>
      </c>
      <c r="G2700" s="470" t="s">
        <v>7393</v>
      </c>
      <c r="H2700" s="471" t="s">
        <v>2032</v>
      </c>
      <c r="I2700" s="472">
        <v>3.4782599999999997e-002</v>
      </c>
      <c r="J2700" s="473">
        <f t="shared" si="1530"/>
        <v>22.760000000000002</v>
      </c>
      <c r="K2700" s="474">
        <f t="shared" si="1540"/>
        <v>0.79165197600000003</v>
      </c>
      <c r="L2700" s="473">
        <f t="shared" si="1539"/>
        <v>21.550000000000001</v>
      </c>
      <c r="M2700" s="474">
        <f t="shared" si="1541"/>
        <v>0.74956502999999997</v>
      </c>
      <c r="O2700" s="434">
        <f t="shared" si="1537"/>
        <v>22.760000000000002</v>
      </c>
      <c r="P2700" s="435">
        <f t="shared" si="1538"/>
        <v>21.550000000000001</v>
      </c>
      <c r="AE2700" s="217"/>
      <c r="AF2700" s="217">
        <v>1334</v>
      </c>
      <c r="AH2700">
        <f t="shared" si="1542"/>
        <v>1334</v>
      </c>
    </row>
    <row r="2701" ht="69" customHeight="1">
      <c r="A2701" s="460">
        <v>1335</v>
      </c>
      <c r="B2701" s="460">
        <v>1335</v>
      </c>
      <c r="C2701" s="460"/>
      <c r="D2701" s="460"/>
      <c r="E2701" s="461">
        <v>1</v>
      </c>
      <c r="F2701" s="462" t="s">
        <v>22010</v>
      </c>
      <c r="G2701" s="477" t="s">
        <v>22011</v>
      </c>
      <c r="H2701" s="579" t="s">
        <v>31</v>
      </c>
      <c r="I2701" s="479"/>
      <c r="J2701" s="480"/>
      <c r="K2701" s="466">
        <f>SUM(K2702:K2704)</f>
        <v>338.76479999999998</v>
      </c>
      <c r="L2701" s="480"/>
      <c r="M2701" s="466">
        <f>SUM(M2702:M2704)</f>
        <v>324.81599999999997</v>
      </c>
      <c r="N2701" s="467" t="s">
        <v>22012</v>
      </c>
      <c r="O2701" s="434" t="str">
        <f t="shared" si="1537"/>
        <v xml:space="preserve">SEM VALOR</v>
      </c>
      <c r="P2701" s="435" t="str">
        <f t="shared" si="1538"/>
        <v xml:space="preserve">SEM VALOR</v>
      </c>
      <c r="AE2701" s="460">
        <v>1335</v>
      </c>
      <c r="AF2701" s="460"/>
      <c r="AH2701">
        <f t="shared" si="1542"/>
        <v>1335</v>
      </c>
    </row>
    <row r="2702" ht="120">
      <c r="A2702" s="217"/>
      <c r="B2702" s="217">
        <v>1335</v>
      </c>
      <c r="C2702" s="217"/>
      <c r="D2702" s="217" t="s">
        <v>17167</v>
      </c>
      <c r="E2702" s="471" t="s">
        <v>20399</v>
      </c>
      <c r="F2702" s="489">
        <v>90099</v>
      </c>
      <c r="G2702" s="470" t="s">
        <v>22013</v>
      </c>
      <c r="H2702" s="472" t="s">
        <v>15528</v>
      </c>
      <c r="I2702" s="472">
        <v>2.8799999999999999</v>
      </c>
      <c r="J2702" s="473">
        <f t="shared" si="1530"/>
        <v>15.99</v>
      </c>
      <c r="K2702" s="474">
        <f t="shared" ref="K2702:K2704" si="1543">I2702*J2702</f>
        <v>46.051200000000001</v>
      </c>
      <c r="L2702" s="473">
        <f t="shared" si="1539"/>
        <v>15.59</v>
      </c>
      <c r="M2702" s="474">
        <f t="shared" ref="M2702:M2704" si="1544">L2702*I2702</f>
        <v>44.8992</v>
      </c>
      <c r="O2702" s="434">
        <f t="shared" si="1537"/>
        <v>15.99</v>
      </c>
      <c r="P2702" s="435">
        <f t="shared" si="1538"/>
        <v>15.59</v>
      </c>
      <c r="AE2702" s="217"/>
      <c r="AF2702" s="217">
        <v>1335</v>
      </c>
      <c r="AH2702">
        <f t="shared" si="1542"/>
        <v>1335</v>
      </c>
    </row>
    <row r="2703" ht="45">
      <c r="A2703" s="217"/>
      <c r="B2703" s="217">
        <v>1335</v>
      </c>
      <c r="C2703" s="217"/>
      <c r="D2703" s="217" t="s">
        <v>17167</v>
      </c>
      <c r="E2703" s="471" t="s">
        <v>20402</v>
      </c>
      <c r="F2703" s="482">
        <v>93358</v>
      </c>
      <c r="G2703" s="488" t="s">
        <v>20661</v>
      </c>
      <c r="H2703" s="483" t="s">
        <v>15528</v>
      </c>
      <c r="I2703" s="472">
        <v>1.9199999999999999</v>
      </c>
      <c r="J2703" s="473">
        <f t="shared" si="1530"/>
        <v>90.030000000000001</v>
      </c>
      <c r="K2703" s="474">
        <f t="shared" si="1543"/>
        <v>172.85759999999999</v>
      </c>
      <c r="L2703" s="473">
        <f t="shared" si="1539"/>
        <v>85.239999999999995</v>
      </c>
      <c r="M2703" s="474">
        <f t="shared" si="1544"/>
        <v>163.66079999999999</v>
      </c>
      <c r="O2703" s="434">
        <f t="shared" si="1537"/>
        <v>90.030000000000001</v>
      </c>
      <c r="P2703" s="435">
        <f t="shared" si="1538"/>
        <v>85.239999999999995</v>
      </c>
      <c r="AE2703" s="217"/>
      <c r="AF2703" s="217">
        <v>1335</v>
      </c>
      <c r="AH2703">
        <f t="shared" si="1542"/>
        <v>1335</v>
      </c>
    </row>
    <row r="2704" ht="120">
      <c r="A2704" s="217"/>
      <c r="B2704" s="217">
        <v>1335</v>
      </c>
      <c r="C2704" s="217"/>
      <c r="D2704" s="217" t="s">
        <v>17167</v>
      </c>
      <c r="E2704" s="471" t="s">
        <v>20405</v>
      </c>
      <c r="F2704" s="482">
        <v>93378</v>
      </c>
      <c r="G2704" s="488" t="s">
        <v>22014</v>
      </c>
      <c r="H2704" s="483" t="s">
        <v>15528</v>
      </c>
      <c r="I2704" s="472">
        <v>4.7999999999999998</v>
      </c>
      <c r="J2704" s="473">
        <f t="shared" si="1530"/>
        <v>24.969999999999999</v>
      </c>
      <c r="K2704" s="474">
        <f t="shared" si="1543"/>
        <v>119.85599999999999</v>
      </c>
      <c r="L2704" s="473">
        <f t="shared" si="1539"/>
        <v>24.219999999999999</v>
      </c>
      <c r="M2704" s="474">
        <f t="shared" si="1544"/>
        <v>116.25599999999999</v>
      </c>
      <c r="O2704" s="434">
        <f t="shared" si="1537"/>
        <v>24.969999999999999</v>
      </c>
      <c r="P2704" s="435">
        <f t="shared" si="1538"/>
        <v>24.219999999999999</v>
      </c>
      <c r="AE2704" s="217"/>
      <c r="AF2704" s="217">
        <v>1335</v>
      </c>
      <c r="AH2704">
        <f t="shared" si="1542"/>
        <v>1335</v>
      </c>
    </row>
    <row r="2705" ht="35.25" customHeight="1">
      <c r="A2705" s="460">
        <v>1336</v>
      </c>
      <c r="B2705" s="460">
        <v>1336</v>
      </c>
      <c r="C2705" s="460"/>
      <c r="D2705" s="460"/>
      <c r="E2705" s="461">
        <v>1</v>
      </c>
      <c r="F2705" s="462" t="s">
        <v>22015</v>
      </c>
      <c r="G2705" s="477" t="s">
        <v>22016</v>
      </c>
      <c r="H2705" s="579" t="s">
        <v>31</v>
      </c>
      <c r="I2705" s="479"/>
      <c r="J2705" s="480"/>
      <c r="K2705" s="466" t="e">
        <f>SUM(K2706:K2712)</f>
        <v>#VALUE!</v>
      </c>
      <c r="L2705" s="480"/>
      <c r="M2705" s="466" t="e">
        <f>SUM(M2706:M2712)</f>
        <v>#VALUE!</v>
      </c>
      <c r="N2705" s="467" t="s">
        <v>22017</v>
      </c>
      <c r="O2705" s="434" t="str">
        <f t="shared" si="1537"/>
        <v xml:space="preserve">SEM VALOR</v>
      </c>
      <c r="P2705" s="435" t="str">
        <f t="shared" si="1538"/>
        <v xml:space="preserve">SEM VALOR</v>
      </c>
      <c r="AE2705" s="460">
        <v>1336</v>
      </c>
      <c r="AF2705" s="460"/>
      <c r="AH2705">
        <f t="shared" si="1542"/>
        <v>1336</v>
      </c>
    </row>
    <row r="2706" ht="120">
      <c r="A2706" s="217"/>
      <c r="B2706" s="217">
        <v>1336</v>
      </c>
      <c r="C2706" s="217"/>
      <c r="D2706" s="217" t="s">
        <v>17167</v>
      </c>
      <c r="E2706" s="471" t="s">
        <v>20399</v>
      </c>
      <c r="F2706" s="482">
        <v>5681</v>
      </c>
      <c r="G2706" s="488" t="s">
        <v>1870</v>
      </c>
      <c r="H2706" s="472" t="s">
        <v>1533</v>
      </c>
      <c r="I2706" s="472">
        <f>(3.956+2.3986)/3</f>
        <v>2.1181999999999999</v>
      </c>
      <c r="J2706" s="473">
        <f t="shared" si="1530"/>
        <v>63.409999999999997</v>
      </c>
      <c r="K2706" s="474">
        <f t="shared" ref="K2706:K2712" si="1545">I2706*J2706</f>
        <v>134.31506199999998</v>
      </c>
      <c r="L2706" s="473">
        <f t="shared" si="1539"/>
        <v>61.280000000000001</v>
      </c>
      <c r="M2706" s="474">
        <f t="shared" ref="M2706:M2712" si="1546">L2706*I2706</f>
        <v>129.80329599999999</v>
      </c>
      <c r="O2706" s="434">
        <f t="shared" si="1537"/>
        <v>63.409999999999997</v>
      </c>
      <c r="P2706" s="435">
        <f t="shared" si="1538"/>
        <v>61.280000000000001</v>
      </c>
      <c r="AE2706" s="217"/>
      <c r="AF2706" s="217">
        <v>1336</v>
      </c>
      <c r="AH2706">
        <f t="shared" si="1542"/>
        <v>1336</v>
      </c>
    </row>
    <row r="2707" ht="30">
      <c r="A2707" s="217"/>
      <c r="B2707" s="217">
        <v>1336</v>
      </c>
      <c r="C2707" s="217"/>
      <c r="D2707" s="217" t="s">
        <v>17167</v>
      </c>
      <c r="E2707" s="471" t="s">
        <v>20402</v>
      </c>
      <c r="F2707" s="482">
        <v>88316</v>
      </c>
      <c r="G2707" s="488" t="s">
        <v>7393</v>
      </c>
      <c r="H2707" s="472" t="s">
        <v>2032</v>
      </c>
      <c r="I2707" s="472">
        <v>4.0000000000000001e-002</v>
      </c>
      <c r="J2707" s="473">
        <f t="shared" si="1530"/>
        <v>22.760000000000002</v>
      </c>
      <c r="K2707" s="474">
        <f t="shared" si="1545"/>
        <v>0.9104000000000001</v>
      </c>
      <c r="L2707" s="473">
        <f t="shared" si="1539"/>
        <v>21.550000000000001</v>
      </c>
      <c r="M2707" s="474">
        <f t="shared" si="1546"/>
        <v>0.8620000000000001</v>
      </c>
      <c r="O2707" s="434">
        <f t="shared" si="1537"/>
        <v>22.760000000000002</v>
      </c>
      <c r="P2707" s="435">
        <f t="shared" si="1538"/>
        <v>21.550000000000001</v>
      </c>
      <c r="AE2707" s="217"/>
      <c r="AF2707" s="217">
        <v>1336</v>
      </c>
      <c r="AH2707">
        <f t="shared" si="1542"/>
        <v>1336</v>
      </c>
    </row>
    <row r="2708" ht="45">
      <c r="A2708" s="217"/>
      <c r="B2708" s="217">
        <v>1336</v>
      </c>
      <c r="C2708" s="217"/>
      <c r="D2708" s="217" t="s">
        <v>17167</v>
      </c>
      <c r="E2708" s="471" t="s">
        <v>20405</v>
      </c>
      <c r="F2708" s="482">
        <v>88267</v>
      </c>
      <c r="G2708" s="488" t="s">
        <v>7321</v>
      </c>
      <c r="H2708" s="472" t="s">
        <v>2032</v>
      </c>
      <c r="I2708" s="472">
        <v>4.0000000000000001e-002</v>
      </c>
      <c r="J2708" s="473">
        <f t="shared" si="1530"/>
        <v>27.84</v>
      </c>
      <c r="K2708" s="474">
        <f t="shared" si="1545"/>
        <v>1.1135999999999999</v>
      </c>
      <c r="L2708" s="473">
        <f t="shared" si="1539"/>
        <v>26.219999999999999</v>
      </c>
      <c r="M2708" s="474">
        <f t="shared" si="1546"/>
        <v>1.0488</v>
      </c>
      <c r="O2708" s="434">
        <f t="shared" si="1537"/>
        <v>27.84</v>
      </c>
      <c r="P2708" s="435">
        <f t="shared" si="1538"/>
        <v>26.219999999999999</v>
      </c>
      <c r="AE2708" s="217"/>
      <c r="AF2708" s="217">
        <v>1336</v>
      </c>
      <c r="AH2708">
        <f t="shared" si="1542"/>
        <v>1336</v>
      </c>
    </row>
    <row r="2709" ht="60">
      <c r="A2709" s="217"/>
      <c r="B2709" s="217">
        <v>1336</v>
      </c>
      <c r="C2709" s="217"/>
      <c r="D2709" s="217" t="s">
        <v>20408</v>
      </c>
      <c r="E2709" s="471" t="s">
        <v>20409</v>
      </c>
      <c r="F2709" s="482">
        <v>9813</v>
      </c>
      <c r="G2709" s="488" t="s">
        <v>22018</v>
      </c>
      <c r="H2709" s="472" t="s">
        <v>38</v>
      </c>
      <c r="I2709" s="472">
        <v>2</v>
      </c>
      <c r="J2709" s="473">
        <f t="shared" si="1530"/>
        <v>5.5099999999999998</v>
      </c>
      <c r="K2709" s="474">
        <f t="shared" si="1545"/>
        <v>11.02</v>
      </c>
      <c r="L2709" s="473">
        <f t="shared" si="1539"/>
        <v>5.5099999999999998</v>
      </c>
      <c r="M2709" s="474">
        <f t="shared" si="1546"/>
        <v>11.02</v>
      </c>
      <c r="O2709" s="434">
        <f t="shared" si="1537"/>
        <v>5.5099999999999998</v>
      </c>
      <c r="P2709" s="435">
        <f t="shared" si="1538"/>
        <v>5.5099999999999998</v>
      </c>
      <c r="AE2709" s="217"/>
      <c r="AF2709" s="217">
        <v>1336</v>
      </c>
      <c r="AH2709">
        <f t="shared" si="1542"/>
        <v>1336</v>
      </c>
    </row>
    <row r="2710" ht="45">
      <c r="A2710" s="217"/>
      <c r="B2710" s="217">
        <v>1336</v>
      </c>
      <c r="C2710" s="217"/>
      <c r="D2710" s="217" t="s">
        <v>20408</v>
      </c>
      <c r="E2710" s="471" t="s">
        <v>20663</v>
      </c>
      <c r="F2710" s="482">
        <v>64</v>
      </c>
      <c r="G2710" s="488" t="s">
        <v>22019</v>
      </c>
      <c r="H2710" s="472" t="s">
        <v>31</v>
      </c>
      <c r="I2710" s="472">
        <v>2</v>
      </c>
      <c r="J2710" s="473" t="e">
        <f t="shared" si="1530"/>
        <v>#VALUE!</v>
      </c>
      <c r="K2710" s="474" t="e">
        <f t="shared" si="1545"/>
        <v>#VALUE!</v>
      </c>
      <c r="L2710" s="473" t="e">
        <f t="shared" si="1539"/>
        <v>#VALUE!</v>
      </c>
      <c r="M2710" s="474" t="e">
        <f t="shared" si="1546"/>
        <v>#VALUE!</v>
      </c>
      <c r="O2710" s="434" t="str">
        <f t="shared" si="1537"/>
        <v>VERIFICAR</v>
      </c>
      <c r="P2710" s="435" t="str">
        <f t="shared" si="1538"/>
        <v>VERIFICAR</v>
      </c>
      <c r="AE2710" s="217"/>
      <c r="AF2710" s="217">
        <v>1336</v>
      </c>
      <c r="AH2710">
        <f t="shared" si="1542"/>
        <v>1336</v>
      </c>
    </row>
    <row r="2711" ht="45">
      <c r="A2711" s="217"/>
      <c r="B2711" s="217">
        <v>1336</v>
      </c>
      <c r="C2711" s="217"/>
      <c r="D2711" s="217" t="s">
        <v>17167</v>
      </c>
      <c r="E2711" s="471" t="s">
        <v>20665</v>
      </c>
      <c r="F2711" s="482">
        <v>93358</v>
      </c>
      <c r="G2711" s="488" t="s">
        <v>20661</v>
      </c>
      <c r="H2711" s="472" t="s">
        <v>15528</v>
      </c>
      <c r="I2711" s="472">
        <v>1</v>
      </c>
      <c r="J2711" s="473">
        <f t="shared" si="1530"/>
        <v>90.030000000000001</v>
      </c>
      <c r="K2711" s="474">
        <f t="shared" si="1545"/>
        <v>90.030000000000001</v>
      </c>
      <c r="L2711" s="473">
        <f t="shared" si="1539"/>
        <v>85.239999999999995</v>
      </c>
      <c r="M2711" s="474">
        <f t="shared" si="1546"/>
        <v>85.239999999999995</v>
      </c>
      <c r="O2711" s="434">
        <f t="shared" si="1537"/>
        <v>90.030000000000001</v>
      </c>
      <c r="P2711" s="435">
        <f t="shared" si="1538"/>
        <v>85.239999999999995</v>
      </c>
      <c r="AE2711" s="217"/>
      <c r="AF2711" s="217">
        <v>1336</v>
      </c>
      <c r="AH2711">
        <f t="shared" si="1542"/>
        <v>1336</v>
      </c>
    </row>
    <row r="2712" ht="30">
      <c r="A2712" s="217"/>
      <c r="B2712" s="217">
        <v>1336</v>
      </c>
      <c r="C2712" s="217"/>
      <c r="D2712" s="217" t="s">
        <v>20398</v>
      </c>
      <c r="E2712" s="471" t="s">
        <v>20667</v>
      </c>
      <c r="F2712" s="482">
        <v>1376</v>
      </c>
      <c r="G2712" s="470" t="s">
        <v>20928</v>
      </c>
      <c r="H2712" s="472" t="s">
        <v>15528</v>
      </c>
      <c r="I2712" s="472">
        <v>1</v>
      </c>
      <c r="J2712" s="473">
        <f t="shared" si="1530"/>
        <v>54.592136000000004</v>
      </c>
      <c r="K2712" s="474">
        <f t="shared" si="1545"/>
        <v>54.592136000000004</v>
      </c>
      <c r="L2712" s="473">
        <f t="shared" si="1539"/>
        <v>51.689830000000001</v>
      </c>
      <c r="M2712" s="474">
        <f t="shared" si="1546"/>
        <v>51.689830000000001</v>
      </c>
      <c r="O2712" s="434">
        <f t="shared" si="1537"/>
        <v>54.592136000000004</v>
      </c>
      <c r="P2712" s="435">
        <f t="shared" si="1538"/>
        <v>51.689830000000001</v>
      </c>
      <c r="AE2712" s="217"/>
      <c r="AF2712" s="217">
        <v>1336</v>
      </c>
      <c r="AH2712">
        <f t="shared" si="1542"/>
        <v>1336</v>
      </c>
    </row>
    <row r="2713" ht="157.5">
      <c r="A2713" s="460">
        <v>1337</v>
      </c>
      <c r="B2713" s="460">
        <v>1337</v>
      </c>
      <c r="C2713" s="460"/>
      <c r="D2713" s="460"/>
      <c r="E2713" s="461">
        <v>1</v>
      </c>
      <c r="F2713" s="462" t="s">
        <v>22020</v>
      </c>
      <c r="G2713" s="477" t="s">
        <v>22021</v>
      </c>
      <c r="H2713" s="579" t="s">
        <v>31</v>
      </c>
      <c r="I2713" s="479"/>
      <c r="J2713" s="480"/>
      <c r="K2713" s="466" t="e">
        <f>SUM(K2714:K2721)</f>
        <v>#VALUE!</v>
      </c>
      <c r="L2713" s="480"/>
      <c r="M2713" s="466" t="e">
        <f>SUM(M2714:M2721)</f>
        <v>#VALUE!</v>
      </c>
      <c r="N2713" s="467" t="s">
        <v>22022</v>
      </c>
      <c r="O2713" s="434" t="str">
        <f t="shared" si="1537"/>
        <v xml:space="preserve">SEM VALOR</v>
      </c>
      <c r="P2713" s="435" t="str">
        <f t="shared" si="1538"/>
        <v xml:space="preserve">SEM VALOR</v>
      </c>
      <c r="AE2713" s="460">
        <v>1337</v>
      </c>
      <c r="AF2713" s="460"/>
      <c r="AH2713">
        <f t="shared" si="1542"/>
        <v>1337</v>
      </c>
    </row>
    <row r="2714" ht="105">
      <c r="A2714" s="217"/>
      <c r="B2714" s="217">
        <v>1337</v>
      </c>
      <c r="C2714" s="217"/>
      <c r="D2714" s="217" t="s">
        <v>17167</v>
      </c>
      <c r="E2714" s="471" t="s">
        <v>20399</v>
      </c>
      <c r="F2714" s="482">
        <v>5824</v>
      </c>
      <c r="G2714" s="488" t="s">
        <v>1603</v>
      </c>
      <c r="H2714" s="472" t="s">
        <v>1535</v>
      </c>
      <c r="I2714" s="472">
        <v>0.33333299999999999</v>
      </c>
      <c r="J2714" s="473">
        <f t="shared" si="1530"/>
        <v>233.72</v>
      </c>
      <c r="K2714" s="474">
        <f t="shared" ref="K2714:K2721" si="1547">I2714*J2714</f>
        <v>77.906588759999991</v>
      </c>
      <c r="L2714" s="473">
        <f t="shared" si="1539"/>
        <v>232.12</v>
      </c>
      <c r="M2714" s="474">
        <f t="shared" ref="M2714:M2721" si="1548">L2714*I2714</f>
        <v>77.373255959999995</v>
      </c>
      <c r="O2714" s="434">
        <f t="shared" si="1537"/>
        <v>233.72</v>
      </c>
      <c r="P2714" s="435">
        <f t="shared" si="1538"/>
        <v>232.12</v>
      </c>
      <c r="AE2714" s="217"/>
      <c r="AF2714" s="217">
        <v>1337</v>
      </c>
      <c r="AH2714">
        <f t="shared" si="1542"/>
        <v>1337</v>
      </c>
    </row>
    <row r="2715" ht="30">
      <c r="A2715" s="217"/>
      <c r="B2715" s="217">
        <v>1337</v>
      </c>
      <c r="C2715" s="217"/>
      <c r="D2715" s="217" t="s">
        <v>17167</v>
      </c>
      <c r="E2715" s="471" t="s">
        <v>20402</v>
      </c>
      <c r="F2715" s="482">
        <v>88278</v>
      </c>
      <c r="G2715" s="488" t="s">
        <v>21185</v>
      </c>
      <c r="H2715" s="472" t="s">
        <v>2032</v>
      </c>
      <c r="I2715" s="472">
        <v>0.35910399999999998</v>
      </c>
      <c r="J2715" s="473">
        <f t="shared" si="1530"/>
        <v>30.440000000000001</v>
      </c>
      <c r="K2715" s="474">
        <f t="shared" si="1547"/>
        <v>10.93112576</v>
      </c>
      <c r="L2715" s="473">
        <f t="shared" si="1539"/>
        <v>28.57</v>
      </c>
      <c r="M2715" s="474">
        <f t="shared" si="1548"/>
        <v>10.25960128</v>
      </c>
      <c r="O2715" s="434">
        <f t="shared" si="1537"/>
        <v>30.440000000000001</v>
      </c>
      <c r="P2715" s="435">
        <f t="shared" si="1538"/>
        <v>28.57</v>
      </c>
      <c r="AE2715" s="217"/>
      <c r="AF2715" s="217">
        <v>1337</v>
      </c>
      <c r="AH2715">
        <f t="shared" si="1542"/>
        <v>1337</v>
      </c>
    </row>
    <row r="2716" ht="30">
      <c r="A2716" s="217"/>
      <c r="B2716" s="217">
        <v>1337</v>
      </c>
      <c r="C2716" s="217"/>
      <c r="D2716" s="217" t="s">
        <v>17167</v>
      </c>
      <c r="E2716" s="471" t="s">
        <v>20405</v>
      </c>
      <c r="F2716" s="482">
        <v>88316</v>
      </c>
      <c r="G2716" s="488" t="s">
        <v>7393</v>
      </c>
      <c r="H2716" s="472" t="s">
        <v>2032</v>
      </c>
      <c r="I2716" s="472">
        <v>0.62824400000000002</v>
      </c>
      <c r="J2716" s="473">
        <f t="shared" si="1530"/>
        <v>22.760000000000002</v>
      </c>
      <c r="K2716" s="474">
        <f t="shared" si="1547"/>
        <v>14.298833440000001</v>
      </c>
      <c r="L2716" s="473">
        <f t="shared" si="1539"/>
        <v>21.550000000000001</v>
      </c>
      <c r="M2716" s="474">
        <f t="shared" si="1548"/>
        <v>13.5386582</v>
      </c>
      <c r="O2716" s="434">
        <f t="shared" si="1537"/>
        <v>22.760000000000002</v>
      </c>
      <c r="P2716" s="435">
        <f t="shared" si="1538"/>
        <v>21.550000000000001</v>
      </c>
      <c r="AE2716" s="217"/>
      <c r="AF2716" s="217">
        <v>1337</v>
      </c>
      <c r="AH2716">
        <f t="shared" si="1542"/>
        <v>1337</v>
      </c>
    </row>
    <row r="2717" ht="90">
      <c r="A2717" s="217"/>
      <c r="B2717" s="217">
        <v>1337</v>
      </c>
      <c r="C2717" s="217"/>
      <c r="D2717" s="612"/>
      <c r="E2717" s="471" t="s">
        <v>20409</v>
      </c>
      <c r="F2717" s="482" t="s">
        <v>20345</v>
      </c>
      <c r="G2717" s="488" t="s">
        <v>20346</v>
      </c>
      <c r="H2717" s="472" t="s">
        <v>31</v>
      </c>
      <c r="I2717" s="472">
        <v>1</v>
      </c>
      <c r="J2717" s="473" t="e">
        <f t="shared" si="1530"/>
        <v>#VALUE!</v>
      </c>
      <c r="K2717" s="474" t="e">
        <f t="shared" si="1547"/>
        <v>#VALUE!</v>
      </c>
      <c r="L2717" s="473" t="e">
        <f t="shared" si="1539"/>
        <v>#VALUE!</v>
      </c>
      <c r="M2717" s="474" t="e">
        <f t="shared" si="1548"/>
        <v>#VALUE!</v>
      </c>
      <c r="O2717" s="434" t="str">
        <f t="shared" si="1537"/>
        <v xml:space="preserve">SEM VALOR</v>
      </c>
      <c r="P2717" s="435" t="str">
        <f t="shared" si="1538"/>
        <v xml:space="preserve">SEM VALOR</v>
      </c>
      <c r="R2717" s="510" t="s">
        <v>20344</v>
      </c>
      <c r="AE2717" s="217"/>
      <c r="AF2717" s="217">
        <v>1337</v>
      </c>
      <c r="AH2717">
        <f t="shared" si="1542"/>
        <v>1337</v>
      </c>
    </row>
    <row r="2718" ht="45">
      <c r="A2718" s="217"/>
      <c r="B2718" s="217">
        <v>1337</v>
      </c>
      <c r="C2718" s="217"/>
      <c r="D2718" s="217" t="s">
        <v>17167</v>
      </c>
      <c r="E2718" s="471" t="s">
        <v>20663</v>
      </c>
      <c r="F2718" s="482">
        <v>93358</v>
      </c>
      <c r="G2718" s="488" t="s">
        <v>20661</v>
      </c>
      <c r="H2718" s="472" t="s">
        <v>15528</v>
      </c>
      <c r="I2718" s="472">
        <v>2.9451999999999999e-002</v>
      </c>
      <c r="J2718" s="473">
        <f t="shared" ref="J2718:J2781" si="1549">O2718*$J$3</f>
        <v>90.030000000000001</v>
      </c>
      <c r="K2718" s="474">
        <f t="shared" si="1547"/>
        <v>2.65156356</v>
      </c>
      <c r="L2718" s="473">
        <f t="shared" si="1539"/>
        <v>85.239999999999995</v>
      </c>
      <c r="M2718" s="474">
        <f t="shared" si="1548"/>
        <v>2.5104884799999998</v>
      </c>
      <c r="O2718" s="434">
        <f t="shared" si="1537"/>
        <v>90.030000000000001</v>
      </c>
      <c r="P2718" s="435">
        <f t="shared" si="1538"/>
        <v>85.239999999999995</v>
      </c>
      <c r="AE2718" s="217"/>
      <c r="AF2718" s="217">
        <v>1337</v>
      </c>
      <c r="AH2718">
        <f t="shared" si="1542"/>
        <v>1337</v>
      </c>
    </row>
    <row r="2719" ht="75">
      <c r="A2719" s="217"/>
      <c r="B2719" s="217">
        <v>1337</v>
      </c>
      <c r="C2719" s="217"/>
      <c r="D2719" s="217" t="s">
        <v>17167</v>
      </c>
      <c r="E2719" s="471" t="s">
        <v>20665</v>
      </c>
      <c r="F2719" s="482">
        <v>94963</v>
      </c>
      <c r="G2719" s="488" t="s">
        <v>8707</v>
      </c>
      <c r="H2719" s="472" t="s">
        <v>15528</v>
      </c>
      <c r="I2719" s="472">
        <v>2.8469999999999999e-002</v>
      </c>
      <c r="J2719" s="473">
        <f t="shared" si="1549"/>
        <v>441.43000000000001</v>
      </c>
      <c r="K2719" s="474">
        <f t="shared" si="1547"/>
        <v>12.5675121</v>
      </c>
      <c r="L2719" s="473">
        <f t="shared" si="1539"/>
        <v>436.14999999999998</v>
      </c>
      <c r="M2719" s="474">
        <f t="shared" si="1548"/>
        <v>12.417190499999998</v>
      </c>
      <c r="O2719" s="434">
        <f t="shared" si="1537"/>
        <v>441.43000000000001</v>
      </c>
      <c r="P2719" s="435">
        <f t="shared" si="1538"/>
        <v>436.14999999999998</v>
      </c>
      <c r="AE2719" s="217"/>
      <c r="AF2719" s="217">
        <v>1337</v>
      </c>
      <c r="AH2719">
        <f t="shared" si="1542"/>
        <v>1337</v>
      </c>
    </row>
    <row r="2720" ht="60">
      <c r="A2720" s="217"/>
      <c r="B2720" s="217">
        <v>1337</v>
      </c>
      <c r="C2720" s="217"/>
      <c r="D2720" s="217" t="s">
        <v>17167</v>
      </c>
      <c r="E2720" s="471" t="s">
        <v>20667</v>
      </c>
      <c r="F2720" s="482">
        <v>103670</v>
      </c>
      <c r="G2720" s="470" t="s">
        <v>1387</v>
      </c>
      <c r="H2720" s="472" t="s">
        <v>15528</v>
      </c>
      <c r="I2720" s="472">
        <v>2.8469999999999999e-002</v>
      </c>
      <c r="J2720" s="473">
        <f t="shared" si="1549"/>
        <v>308.60000000000002</v>
      </c>
      <c r="K2720" s="474">
        <f t="shared" si="1547"/>
        <v>8.7858420000000006</v>
      </c>
      <c r="L2720" s="473">
        <f t="shared" si="1539"/>
        <v>291.69999999999999</v>
      </c>
      <c r="M2720" s="474">
        <f t="shared" si="1548"/>
        <v>8.3046989999999994</v>
      </c>
      <c r="O2720" s="434">
        <f t="shared" si="1537"/>
        <v>308.60000000000002</v>
      </c>
      <c r="P2720" s="435">
        <f t="shared" si="1538"/>
        <v>291.69999999999999</v>
      </c>
      <c r="AE2720" s="217"/>
      <c r="AF2720" s="217">
        <v>1337</v>
      </c>
      <c r="AH2720">
        <f t="shared" si="1542"/>
        <v>1337</v>
      </c>
    </row>
    <row r="2721" ht="60">
      <c r="A2721" s="217"/>
      <c r="B2721" s="217">
        <v>1337</v>
      </c>
      <c r="C2721" s="217"/>
      <c r="D2721" s="217" t="s">
        <v>17167</v>
      </c>
      <c r="E2721" s="471" t="s">
        <v>20671</v>
      </c>
      <c r="F2721" s="482">
        <v>97914</v>
      </c>
      <c r="G2721" s="488" t="s">
        <v>21390</v>
      </c>
      <c r="H2721" s="472" t="s">
        <v>20669</v>
      </c>
      <c r="I2721" s="472">
        <v>3.8287599999999998e-002</v>
      </c>
      <c r="J2721" s="473">
        <f t="shared" si="1549"/>
        <v>3.25</v>
      </c>
      <c r="K2721" s="474">
        <f t="shared" si="1547"/>
        <v>0.1244347</v>
      </c>
      <c r="L2721" s="473">
        <f t="shared" si="1539"/>
        <v>3.21</v>
      </c>
      <c r="M2721" s="474">
        <f t="shared" si="1548"/>
        <v>0.12290319599999999</v>
      </c>
      <c r="O2721" s="434">
        <f t="shared" si="1537"/>
        <v>3.25</v>
      </c>
      <c r="P2721" s="435">
        <f t="shared" si="1538"/>
        <v>3.21</v>
      </c>
      <c r="AE2721" s="217"/>
      <c r="AF2721" s="217">
        <v>1337</v>
      </c>
      <c r="AH2721">
        <f t="shared" si="1542"/>
        <v>1337</v>
      </c>
    </row>
    <row r="2722" ht="142.5" customHeight="1">
      <c r="A2722" s="460">
        <v>1338</v>
      </c>
      <c r="B2722" s="460">
        <v>1338</v>
      </c>
      <c r="C2722" s="460"/>
      <c r="D2722" s="460"/>
      <c r="E2722" s="461">
        <v>1</v>
      </c>
      <c r="F2722" s="462" t="s">
        <v>22023</v>
      </c>
      <c r="G2722" s="477" t="s">
        <v>22024</v>
      </c>
      <c r="H2722" s="579" t="s">
        <v>31</v>
      </c>
      <c r="I2722" s="479"/>
      <c r="J2722" s="480"/>
      <c r="K2722" s="466" t="e">
        <f>SUM(K2723)</f>
        <v>#VALUE!</v>
      </c>
      <c r="L2722" s="480"/>
      <c r="M2722" s="466" t="e">
        <f>SUM(M2723)</f>
        <v>#VALUE!</v>
      </c>
      <c r="N2722" s="467" t="s">
        <v>22025</v>
      </c>
      <c r="O2722" s="434" t="str">
        <f t="shared" si="1537"/>
        <v xml:space="preserve">SEM VALOR</v>
      </c>
      <c r="P2722" s="435" t="str">
        <f t="shared" si="1538"/>
        <v xml:space="preserve">SEM VALOR</v>
      </c>
      <c r="AE2722" s="460">
        <v>1338</v>
      </c>
      <c r="AF2722" s="460"/>
      <c r="AH2722">
        <f t="shared" si="1542"/>
        <v>1338</v>
      </c>
    </row>
    <row r="2723" ht="105">
      <c r="A2723" s="217"/>
      <c r="B2723" s="217">
        <v>1338</v>
      </c>
      <c r="C2723" s="217"/>
      <c r="D2723" s="612"/>
      <c r="E2723" s="471" t="s">
        <v>20399</v>
      </c>
      <c r="F2723" s="482" t="s">
        <v>20347</v>
      </c>
      <c r="G2723" s="488" t="s">
        <v>20348</v>
      </c>
      <c r="H2723" s="472" t="s">
        <v>15515</v>
      </c>
      <c r="I2723" s="472">
        <v>1</v>
      </c>
      <c r="J2723" s="473" t="e">
        <f t="shared" si="1549"/>
        <v>#VALUE!</v>
      </c>
      <c r="K2723" s="474" t="e">
        <f>I2723*J2723</f>
        <v>#VALUE!</v>
      </c>
      <c r="L2723" s="473" t="e">
        <f t="shared" si="1539"/>
        <v>#VALUE!</v>
      </c>
      <c r="M2723" s="474" t="e">
        <f>L2723*I2723</f>
        <v>#VALUE!</v>
      </c>
      <c r="O2723" s="434" t="str">
        <f t="shared" si="1537"/>
        <v xml:space="preserve">SEM VALOR</v>
      </c>
      <c r="P2723" s="435" t="str">
        <f t="shared" si="1538"/>
        <v xml:space="preserve">SEM VALOR</v>
      </c>
      <c r="R2723" s="510" t="s">
        <v>20344</v>
      </c>
      <c r="AE2723" s="217"/>
      <c r="AF2723" s="217">
        <v>1338</v>
      </c>
      <c r="AH2723">
        <f t="shared" si="1542"/>
        <v>1338</v>
      </c>
    </row>
    <row r="2724" ht="86.25" customHeight="1">
      <c r="A2724" s="460">
        <v>1339</v>
      </c>
      <c r="B2724" s="460">
        <v>1339</v>
      </c>
      <c r="C2724" s="460"/>
      <c r="D2724" s="460"/>
      <c r="E2724" s="461">
        <v>1</v>
      </c>
      <c r="F2724" s="462" t="s">
        <v>22026</v>
      </c>
      <c r="G2724" s="477" t="s">
        <v>22027</v>
      </c>
      <c r="H2724" s="579" t="s">
        <v>38</v>
      </c>
      <c r="I2724" s="479"/>
      <c r="J2724" s="480"/>
      <c r="K2724" s="466">
        <f>SUM(K2725:K2728)</f>
        <v>75.578999999999994</v>
      </c>
      <c r="L2724" s="480"/>
      <c r="M2724" s="466">
        <f>SUM(M2725:M2728)</f>
        <v>73.971919999999997</v>
      </c>
      <c r="N2724" s="467" t="s">
        <v>22028</v>
      </c>
      <c r="O2724" s="434" t="str">
        <f t="shared" si="1537"/>
        <v xml:space="preserve">SEM VALOR</v>
      </c>
      <c r="P2724" s="435" t="str">
        <f t="shared" si="1538"/>
        <v xml:space="preserve">SEM VALOR</v>
      </c>
      <c r="AE2724" s="460">
        <v>1339</v>
      </c>
      <c r="AF2724" s="460"/>
      <c r="AH2724">
        <f t="shared" si="1542"/>
        <v>1339</v>
      </c>
    </row>
    <row r="2725" ht="30">
      <c r="A2725" s="217"/>
      <c r="B2725" s="217">
        <v>1339</v>
      </c>
      <c r="C2725" s="217"/>
      <c r="D2725" s="217" t="s">
        <v>17167</v>
      </c>
      <c r="E2725" s="471" t="s">
        <v>20399</v>
      </c>
      <c r="F2725" s="482">
        <v>88316</v>
      </c>
      <c r="G2725" s="488" t="s">
        <v>7393</v>
      </c>
      <c r="H2725" s="472" t="s">
        <v>2032</v>
      </c>
      <c r="I2725" s="472">
        <v>0.44</v>
      </c>
      <c r="J2725" s="473">
        <f t="shared" si="1549"/>
        <v>22.760000000000002</v>
      </c>
      <c r="K2725" s="474">
        <f t="shared" ref="K2725:K2728" si="1550">I2725*J2725</f>
        <v>10.0144</v>
      </c>
      <c r="L2725" s="473">
        <f t="shared" si="1539"/>
        <v>21.550000000000001</v>
      </c>
      <c r="M2725" s="474">
        <f t="shared" ref="M2725:M2728" si="1551">L2725*I2725</f>
        <v>9.4820000000000011</v>
      </c>
      <c r="O2725" s="434">
        <f t="shared" si="1537"/>
        <v>22.760000000000002</v>
      </c>
      <c r="P2725" s="435">
        <f t="shared" si="1538"/>
        <v>21.550000000000001</v>
      </c>
      <c r="AE2725" s="217"/>
      <c r="AF2725" s="217">
        <v>1339</v>
      </c>
      <c r="AH2725">
        <f t="shared" si="1542"/>
        <v>1339</v>
      </c>
    </row>
    <row r="2726" ht="30">
      <c r="A2726" s="217"/>
      <c r="B2726" s="217">
        <v>1339</v>
      </c>
      <c r="C2726" s="217"/>
      <c r="D2726" s="217" t="s">
        <v>17167</v>
      </c>
      <c r="E2726" s="471" t="s">
        <v>20402</v>
      </c>
      <c r="F2726" s="482">
        <v>88256</v>
      </c>
      <c r="G2726" s="488" t="s">
        <v>20814</v>
      </c>
      <c r="H2726" s="472" t="s">
        <v>2032</v>
      </c>
      <c r="I2726" s="472">
        <v>0.64000000000000001</v>
      </c>
      <c r="J2726" s="473">
        <f t="shared" si="1549"/>
        <v>28.359999999999999</v>
      </c>
      <c r="K2726" s="474">
        <f t="shared" si="1550"/>
        <v>18.150400000000001</v>
      </c>
      <c r="L2726" s="473">
        <f t="shared" si="1539"/>
        <v>26.75</v>
      </c>
      <c r="M2726" s="474">
        <f t="shared" si="1551"/>
        <v>17.120000000000001</v>
      </c>
      <c r="O2726" s="434">
        <f t="shared" si="1537"/>
        <v>28.359999999999999</v>
      </c>
      <c r="P2726" s="435">
        <f t="shared" si="1538"/>
        <v>26.75</v>
      </c>
      <c r="AE2726" s="217"/>
      <c r="AF2726" s="217">
        <v>1339</v>
      </c>
      <c r="AH2726">
        <f t="shared" si="1542"/>
        <v>1339</v>
      </c>
    </row>
    <row r="2727" ht="75">
      <c r="A2727" s="217"/>
      <c r="B2727" s="217">
        <v>1339</v>
      </c>
      <c r="C2727" s="217"/>
      <c r="D2727" s="217" t="s">
        <v>17167</v>
      </c>
      <c r="E2727" s="471" t="s">
        <v>20405</v>
      </c>
      <c r="F2727" s="482">
        <v>87298</v>
      </c>
      <c r="G2727" s="488" t="s">
        <v>212</v>
      </c>
      <c r="H2727" s="472" t="s">
        <v>15528</v>
      </c>
      <c r="I2727" s="472">
        <v>6.0000000000000001e-003</v>
      </c>
      <c r="J2727" s="473">
        <f t="shared" si="1549"/>
        <v>698.20000000000005</v>
      </c>
      <c r="K2727" s="474">
        <f t="shared" si="1550"/>
        <v>4.1892000000000005</v>
      </c>
      <c r="L2727" s="473">
        <f t="shared" si="1539"/>
        <v>690.82000000000005</v>
      </c>
      <c r="M2727" s="474">
        <f t="shared" si="1551"/>
        <v>4.1449200000000008</v>
      </c>
      <c r="O2727" s="434">
        <f t="shared" si="1537"/>
        <v>698.20000000000005</v>
      </c>
      <c r="P2727" s="435">
        <f t="shared" si="1538"/>
        <v>690.82000000000005</v>
      </c>
      <c r="AE2727" s="217"/>
      <c r="AF2727" s="217">
        <v>1339</v>
      </c>
      <c r="AH2727">
        <f t="shared" si="1542"/>
        <v>1339</v>
      </c>
    </row>
    <row r="2728" ht="45">
      <c r="A2728" s="217"/>
      <c r="B2728" s="217">
        <v>1339</v>
      </c>
      <c r="C2728" s="217"/>
      <c r="D2728" s="217" t="s">
        <v>20408</v>
      </c>
      <c r="E2728" s="471" t="s">
        <v>20409</v>
      </c>
      <c r="F2728" s="482">
        <v>36178</v>
      </c>
      <c r="G2728" s="488" t="s">
        <v>22029</v>
      </c>
      <c r="H2728" s="472" t="s">
        <v>31</v>
      </c>
      <c r="I2728" s="472">
        <v>2.5</v>
      </c>
      <c r="J2728" s="473">
        <f t="shared" si="1549"/>
        <v>17.289999999999999</v>
      </c>
      <c r="K2728" s="474">
        <f t="shared" si="1550"/>
        <v>43.224999999999994</v>
      </c>
      <c r="L2728" s="473">
        <f t="shared" si="1539"/>
        <v>17.289999999999999</v>
      </c>
      <c r="M2728" s="474">
        <f t="shared" si="1551"/>
        <v>43.224999999999994</v>
      </c>
      <c r="O2728" s="434">
        <f t="shared" si="1537"/>
        <v>17.289999999999999</v>
      </c>
      <c r="P2728" s="435">
        <f t="shared" si="1538"/>
        <v>17.289999999999999</v>
      </c>
      <c r="AE2728" s="217"/>
      <c r="AF2728" s="217">
        <v>1339</v>
      </c>
      <c r="AH2728">
        <f t="shared" si="1542"/>
        <v>1339</v>
      </c>
    </row>
    <row r="2729" ht="63">
      <c r="A2729" s="460">
        <v>1340</v>
      </c>
      <c r="B2729" s="460">
        <v>1340</v>
      </c>
      <c r="C2729" s="460"/>
      <c r="D2729" s="460"/>
      <c r="E2729" s="461">
        <v>1</v>
      </c>
      <c r="F2729" s="462" t="s">
        <v>22030</v>
      </c>
      <c r="G2729" s="477" t="s">
        <v>22031</v>
      </c>
      <c r="H2729" s="579" t="s">
        <v>20647</v>
      </c>
      <c r="I2729" s="479"/>
      <c r="J2729" s="480"/>
      <c r="K2729" s="466">
        <f>SUM(K2730:K2731)</f>
        <v>2737.3257100000001</v>
      </c>
      <c r="L2729" s="480"/>
      <c r="M2729" s="466">
        <f>SUM(M2730:M2731)</f>
        <v>2677.8079300000004</v>
      </c>
      <c r="N2729" s="467" t="s">
        <v>21878</v>
      </c>
      <c r="O2729" s="434" t="str">
        <f t="shared" si="1537"/>
        <v xml:space="preserve">SEM VALOR</v>
      </c>
      <c r="P2729" s="435" t="str">
        <f t="shared" si="1538"/>
        <v xml:space="preserve">SEM VALOR</v>
      </c>
      <c r="AE2729" s="460">
        <v>1340</v>
      </c>
      <c r="AF2729" s="460"/>
      <c r="AH2729">
        <f t="shared" si="1542"/>
        <v>1340</v>
      </c>
    </row>
    <row r="2730" ht="60">
      <c r="A2730" s="217"/>
      <c r="B2730" s="217">
        <v>1340</v>
      </c>
      <c r="C2730" s="217"/>
      <c r="D2730" s="217" t="s">
        <v>17167</v>
      </c>
      <c r="E2730" s="471" t="s">
        <v>20399</v>
      </c>
      <c r="F2730" s="482">
        <v>94964</v>
      </c>
      <c r="G2730" s="572" t="s">
        <v>8711</v>
      </c>
      <c r="H2730" s="499" t="s">
        <v>15528</v>
      </c>
      <c r="I2730" s="613">
        <v>3.5670000000000002</v>
      </c>
      <c r="J2730" s="473">
        <f t="shared" si="1549"/>
        <v>488.52999999999997</v>
      </c>
      <c r="K2730" s="474">
        <f t="shared" ref="K2730:K2731" si="1552">I2730*J2730</f>
        <v>1742.5865100000001</v>
      </c>
      <c r="L2730" s="473">
        <f t="shared" si="1539"/>
        <v>482.79000000000002</v>
      </c>
      <c r="M2730" s="474">
        <f t="shared" ref="M2730:M2731" si="1553">L2730*I2730</f>
        <v>1722.1119300000003</v>
      </c>
      <c r="O2730" s="434">
        <f t="shared" si="1537"/>
        <v>488.52999999999997</v>
      </c>
      <c r="P2730" s="435">
        <f t="shared" si="1538"/>
        <v>482.79000000000002</v>
      </c>
      <c r="AE2730" s="217"/>
      <c r="AF2730" s="217">
        <v>1340</v>
      </c>
      <c r="AH2730">
        <f t="shared" si="1542"/>
        <v>1340</v>
      </c>
    </row>
    <row r="2731" ht="60">
      <c r="A2731" s="217"/>
      <c r="B2731" s="217">
        <v>1340</v>
      </c>
      <c r="C2731" s="217"/>
      <c r="D2731" s="217" t="s">
        <v>17167</v>
      </c>
      <c r="E2731" s="471" t="s">
        <v>20402</v>
      </c>
      <c r="F2731" s="482">
        <v>96536</v>
      </c>
      <c r="G2731" s="572" t="s">
        <v>21415</v>
      </c>
      <c r="H2731" s="482" t="s">
        <v>15515</v>
      </c>
      <c r="I2731" s="613">
        <v>15.68</v>
      </c>
      <c r="J2731" s="473">
        <f t="shared" si="1549"/>
        <v>63.439999999999998</v>
      </c>
      <c r="K2731" s="474">
        <f t="shared" si="1552"/>
        <v>994.73919999999998</v>
      </c>
      <c r="L2731" s="473">
        <f t="shared" si="1539"/>
        <v>60.950000000000003</v>
      </c>
      <c r="M2731" s="474">
        <f t="shared" si="1553"/>
        <v>955.69600000000003</v>
      </c>
      <c r="O2731" s="434">
        <f t="shared" si="1537"/>
        <v>63.439999999999998</v>
      </c>
      <c r="P2731" s="435">
        <f t="shared" si="1538"/>
        <v>60.950000000000003</v>
      </c>
      <c r="AE2731" s="217"/>
      <c r="AF2731" s="217">
        <v>1340</v>
      </c>
      <c r="AH2731">
        <f t="shared" si="1542"/>
        <v>1340</v>
      </c>
    </row>
    <row r="2732" ht="63">
      <c r="A2732" s="460">
        <v>1341</v>
      </c>
      <c r="B2732" s="460">
        <v>1341</v>
      </c>
      <c r="C2732" s="460"/>
      <c r="D2732" s="460"/>
      <c r="E2732" s="461">
        <v>1</v>
      </c>
      <c r="F2732" s="462" t="s">
        <v>22032</v>
      </c>
      <c r="G2732" s="477" t="s">
        <v>22033</v>
      </c>
      <c r="H2732" s="579" t="s">
        <v>20647</v>
      </c>
      <c r="I2732" s="479"/>
      <c r="J2732" s="480"/>
      <c r="K2732" s="466">
        <f>SUM(K2733:K2737)</f>
        <v>3054.5933</v>
      </c>
      <c r="L2732" s="480"/>
      <c r="M2732" s="466">
        <f>SUM(M2733:M2737)</f>
        <v>2965.2285000000002</v>
      </c>
      <c r="N2732" s="467" t="s">
        <v>21878</v>
      </c>
      <c r="O2732" s="434" t="str">
        <f t="shared" ref="O2732:O2795" si="1554">IFERROR(IF(D2732="SINAPI",VLOOKUP(F2732,SINCOMOD,4,FALSE),IF(D2732="INSINAPI",VLOOKUP(F2732,INSINOD,5,FALSE),IF(D2732="SICRO",VLOOKUP(F2732,SICRO,5,FALSE),IF(D2732="COTACAO",VLOOKUP(F2732,COTACAO,6,FALSE),IF(D2732="PRÓPRIO",VLOOKUP(F2732,COMPOD,11,FALSE),IF(D2732="AGESUL",VLOOKUP(F2732,AGESULOD,6,FALSE),IF(D2732="INSAGESUL",VLOOKUP(F2732,INSAGESUL,7,FALSE),"SEM VALOR"))))))),"SEM VALOR")</f>
        <v xml:space="preserve">SEM VALOR</v>
      </c>
      <c r="P2732" s="435" t="str">
        <f t="shared" ref="P2732:P2795" si="1555">IFERROR(IF(D2732="SINAPI",VLOOKUP(F2732,SINCOMOD,6,FALSE),IF(D2732="INSINAPI",VLOOKUP(F2732,INSINOD,6,FALSE),IF(D2732="SICRO",VLOOKUP(F2732,SICRO,5,FALSE),IF(D2732="COTACAO",VLOOKUP(F2732,COTACAO,6,FALSE),IF(D2732="PRÓPRIO",VLOOKUP(F2732,COMPOD,13,FALSE),IF(D2732="AGESUL",VLOOKUP(F2732,AGESULOD,11,FALSE),IF(D2732="INSAGESUL",VLOOKUP(F2732,INSAGESUL,8,FALSE),"SEM VALOR"))))))),"SEM VALOR")</f>
        <v xml:space="preserve">SEM VALOR</v>
      </c>
      <c r="AE2732" s="460">
        <v>1341</v>
      </c>
      <c r="AF2732" s="460"/>
      <c r="AH2732">
        <f t="shared" si="1542"/>
        <v>1341</v>
      </c>
    </row>
    <row r="2733" ht="45">
      <c r="A2733" s="217"/>
      <c r="B2733" s="217">
        <v>1341</v>
      </c>
      <c r="C2733" s="217"/>
      <c r="D2733" s="217" t="s">
        <v>20408</v>
      </c>
      <c r="E2733" s="471" t="s">
        <v>20399</v>
      </c>
      <c r="F2733" s="482">
        <v>4730</v>
      </c>
      <c r="G2733" s="572" t="s">
        <v>21325</v>
      </c>
      <c r="H2733" s="499" t="s">
        <v>22034</v>
      </c>
      <c r="I2733" s="483">
        <v>2.0699999999999998</v>
      </c>
      <c r="J2733" s="473">
        <f t="shared" si="1549"/>
        <v>94.450000000000003</v>
      </c>
      <c r="K2733" s="474">
        <f t="shared" ref="K2733:K2737" si="1556">I2733*J2733</f>
        <v>195.51149999999998</v>
      </c>
      <c r="L2733" s="473">
        <f t="shared" ref="L2733:L2796" si="1557">P2733*$L$3</f>
        <v>94.450000000000003</v>
      </c>
      <c r="M2733" s="474">
        <f t="shared" ref="M2733:M2737" si="1558">L2733*I2733</f>
        <v>195.51149999999998</v>
      </c>
      <c r="O2733" s="434">
        <f t="shared" si="1554"/>
        <v>94.450000000000003</v>
      </c>
      <c r="P2733" s="435">
        <f t="shared" si="1555"/>
        <v>94.450000000000003</v>
      </c>
      <c r="AE2733" s="217"/>
      <c r="AF2733" s="217">
        <v>1341</v>
      </c>
      <c r="AH2733">
        <f t="shared" si="1542"/>
        <v>1341</v>
      </c>
    </row>
    <row r="2734" ht="60">
      <c r="A2734" s="217"/>
      <c r="B2734" s="217">
        <v>1341</v>
      </c>
      <c r="C2734" s="217"/>
      <c r="D2734" s="217" t="s">
        <v>17167</v>
      </c>
      <c r="E2734" s="471" t="s">
        <v>20402</v>
      </c>
      <c r="F2734" s="482">
        <v>94964</v>
      </c>
      <c r="G2734" s="572" t="s">
        <v>8711</v>
      </c>
      <c r="H2734" s="499" t="s">
        <v>15528</v>
      </c>
      <c r="I2734" s="613">
        <v>2.5899999999999999</v>
      </c>
      <c r="J2734" s="473">
        <f t="shared" si="1549"/>
        <v>488.52999999999997</v>
      </c>
      <c r="K2734" s="474">
        <f t="shared" si="1556"/>
        <v>1265.2927</v>
      </c>
      <c r="L2734" s="473">
        <f t="shared" si="1557"/>
        <v>482.79000000000002</v>
      </c>
      <c r="M2734" s="474">
        <f t="shared" si="1558"/>
        <v>1250.4260999999999</v>
      </c>
      <c r="O2734" s="434">
        <f t="shared" si="1554"/>
        <v>488.52999999999997</v>
      </c>
      <c r="P2734" s="435">
        <f t="shared" si="1555"/>
        <v>482.79000000000002</v>
      </c>
      <c r="AE2734" s="217"/>
      <c r="AF2734" s="217">
        <v>1341</v>
      </c>
      <c r="AH2734">
        <f t="shared" si="1542"/>
        <v>1341</v>
      </c>
    </row>
    <row r="2735" ht="45">
      <c r="A2735" s="217"/>
      <c r="B2735" s="217">
        <v>1341</v>
      </c>
      <c r="C2735" s="217"/>
      <c r="D2735" s="217" t="s">
        <v>17167</v>
      </c>
      <c r="E2735" s="471" t="s">
        <v>20405</v>
      </c>
      <c r="F2735" s="482">
        <v>93358</v>
      </c>
      <c r="G2735" s="572" t="s">
        <v>20661</v>
      </c>
      <c r="H2735" s="499" t="s">
        <v>15528</v>
      </c>
      <c r="I2735" s="613">
        <v>8.8100000000000005</v>
      </c>
      <c r="J2735" s="473">
        <f t="shared" si="1549"/>
        <v>90.030000000000001</v>
      </c>
      <c r="K2735" s="474">
        <f t="shared" si="1556"/>
        <v>793.16430000000003</v>
      </c>
      <c r="L2735" s="473">
        <f t="shared" si="1557"/>
        <v>85.239999999999995</v>
      </c>
      <c r="M2735" s="474">
        <f t="shared" si="1558"/>
        <v>750.96439999999996</v>
      </c>
      <c r="O2735" s="434">
        <f t="shared" si="1554"/>
        <v>90.030000000000001</v>
      </c>
      <c r="P2735" s="435">
        <f t="shared" si="1555"/>
        <v>85.239999999999995</v>
      </c>
      <c r="AE2735" s="217"/>
      <c r="AF2735" s="217">
        <v>1341</v>
      </c>
      <c r="AH2735">
        <f t="shared" si="1542"/>
        <v>1341</v>
      </c>
    </row>
    <row r="2736" ht="60">
      <c r="A2736" s="217"/>
      <c r="B2736" s="217">
        <v>1341</v>
      </c>
      <c r="C2736" s="217"/>
      <c r="D2736" s="217" t="s">
        <v>17167</v>
      </c>
      <c r="E2736" s="471" t="s">
        <v>20409</v>
      </c>
      <c r="F2736" s="482">
        <v>96536</v>
      </c>
      <c r="G2736" s="572" t="s">
        <v>21415</v>
      </c>
      <c r="H2736" s="482" t="s">
        <v>15515</v>
      </c>
      <c r="I2736" s="613">
        <v>11.630000000000001</v>
      </c>
      <c r="J2736" s="473">
        <f t="shared" si="1549"/>
        <v>63.439999999999998</v>
      </c>
      <c r="K2736" s="474">
        <f t="shared" si="1556"/>
        <v>737.80720000000008</v>
      </c>
      <c r="L2736" s="473">
        <f t="shared" si="1557"/>
        <v>60.950000000000003</v>
      </c>
      <c r="M2736" s="474">
        <f t="shared" si="1558"/>
        <v>708.84850000000006</v>
      </c>
      <c r="O2736" s="434">
        <f t="shared" si="1554"/>
        <v>63.439999999999998</v>
      </c>
      <c r="P2736" s="435">
        <f t="shared" si="1555"/>
        <v>60.950000000000003</v>
      </c>
      <c r="AE2736" s="217"/>
      <c r="AF2736" s="217">
        <v>1341</v>
      </c>
      <c r="AH2736">
        <f t="shared" si="1542"/>
        <v>1341</v>
      </c>
    </row>
    <row r="2737" ht="30">
      <c r="A2737" s="217"/>
      <c r="B2737" s="217">
        <v>1341</v>
      </c>
      <c r="C2737" s="217"/>
      <c r="D2737" s="217" t="s">
        <v>17167</v>
      </c>
      <c r="E2737" s="471" t="s">
        <v>20663</v>
      </c>
      <c r="F2737" s="482">
        <v>88316</v>
      </c>
      <c r="G2737" s="572" t="s">
        <v>7393</v>
      </c>
      <c r="H2737" s="482" t="s">
        <v>2032</v>
      </c>
      <c r="I2737" s="613">
        <v>2.7599999999999998</v>
      </c>
      <c r="J2737" s="473">
        <f t="shared" si="1549"/>
        <v>22.760000000000002</v>
      </c>
      <c r="K2737" s="474">
        <f t="shared" si="1556"/>
        <v>62.817599999999999</v>
      </c>
      <c r="L2737" s="473">
        <f t="shared" si="1557"/>
        <v>21.550000000000001</v>
      </c>
      <c r="M2737" s="474">
        <f t="shared" si="1558"/>
        <v>59.477999999999994</v>
      </c>
      <c r="O2737" s="434">
        <f t="shared" si="1554"/>
        <v>22.760000000000002</v>
      </c>
      <c r="P2737" s="435">
        <f t="shared" si="1555"/>
        <v>21.550000000000001</v>
      </c>
      <c r="AE2737" s="217"/>
      <c r="AF2737" s="217">
        <v>1341</v>
      </c>
      <c r="AH2737">
        <f t="shared" si="1542"/>
        <v>1341</v>
      </c>
    </row>
    <row r="2738" ht="35.25" customHeight="1">
      <c r="A2738" s="460">
        <v>1342</v>
      </c>
      <c r="B2738" s="460">
        <v>1342</v>
      </c>
      <c r="C2738" s="460"/>
      <c r="D2738" s="460"/>
      <c r="E2738" s="461">
        <v>1</v>
      </c>
      <c r="F2738" s="462" t="s">
        <v>22035</v>
      </c>
      <c r="G2738" s="477" t="s">
        <v>22036</v>
      </c>
      <c r="H2738" s="579" t="s">
        <v>20647</v>
      </c>
      <c r="I2738" s="479"/>
      <c r="J2738" s="480"/>
      <c r="K2738" s="466">
        <f>SUM(K2739:K2740)</f>
        <v>74.738199999999992</v>
      </c>
      <c r="L2738" s="480"/>
      <c r="M2738" s="466">
        <f>SUM(M2739:M2740)</f>
        <v>73.685600000000008</v>
      </c>
      <c r="N2738" s="467" t="s">
        <v>21878</v>
      </c>
      <c r="O2738" s="434" t="str">
        <f t="shared" si="1554"/>
        <v xml:space="preserve">SEM VALOR</v>
      </c>
      <c r="P2738" s="435" t="str">
        <f t="shared" si="1555"/>
        <v xml:space="preserve">SEM VALOR</v>
      </c>
      <c r="AE2738" s="460">
        <v>1342</v>
      </c>
      <c r="AF2738" s="460"/>
      <c r="AH2738">
        <f t="shared" si="1542"/>
        <v>1342</v>
      </c>
    </row>
    <row r="2739" ht="60">
      <c r="A2739" s="217"/>
      <c r="B2739" s="217">
        <v>1342</v>
      </c>
      <c r="C2739" s="217"/>
      <c r="D2739" s="217" t="s">
        <v>17167</v>
      </c>
      <c r="E2739" s="471" t="s">
        <v>20399</v>
      </c>
      <c r="F2739" s="482">
        <v>94964</v>
      </c>
      <c r="G2739" s="572" t="s">
        <v>8711</v>
      </c>
      <c r="H2739" s="499" t="s">
        <v>15528</v>
      </c>
      <c r="I2739" s="558">
        <v>0.14000000000000001</v>
      </c>
      <c r="J2739" s="473">
        <f t="shared" si="1549"/>
        <v>488.52999999999997</v>
      </c>
      <c r="K2739" s="474">
        <f t="shared" ref="K2739:K2740" si="1559">I2739*J2739</f>
        <v>68.394199999999998</v>
      </c>
      <c r="L2739" s="473">
        <f t="shared" si="1557"/>
        <v>482.79000000000002</v>
      </c>
      <c r="M2739" s="474">
        <f t="shared" ref="M2739:M2740" si="1560">L2739*I2739</f>
        <v>67.590600000000009</v>
      </c>
      <c r="O2739" s="434">
        <f t="shared" si="1554"/>
        <v>488.52999999999997</v>
      </c>
      <c r="P2739" s="435">
        <f t="shared" si="1555"/>
        <v>482.79000000000002</v>
      </c>
      <c r="AE2739" s="217"/>
      <c r="AF2739" s="217">
        <v>1342</v>
      </c>
      <c r="AH2739">
        <f t="shared" si="1542"/>
        <v>1342</v>
      </c>
    </row>
    <row r="2740" ht="60">
      <c r="A2740" s="217"/>
      <c r="B2740" s="217">
        <v>1342</v>
      </c>
      <c r="C2740" s="217"/>
      <c r="D2740" s="217" t="s">
        <v>17167</v>
      </c>
      <c r="E2740" s="471" t="s">
        <v>20402</v>
      </c>
      <c r="F2740" s="482">
        <v>96536</v>
      </c>
      <c r="G2740" s="572" t="s">
        <v>21415</v>
      </c>
      <c r="H2740" s="482" t="s">
        <v>15515</v>
      </c>
      <c r="I2740" s="558">
        <v>0.10000000000000001</v>
      </c>
      <c r="J2740" s="473">
        <f t="shared" si="1549"/>
        <v>63.439999999999998</v>
      </c>
      <c r="K2740" s="474">
        <f t="shared" si="1559"/>
        <v>6.3440000000000003</v>
      </c>
      <c r="L2740" s="473">
        <f t="shared" si="1557"/>
        <v>60.950000000000003</v>
      </c>
      <c r="M2740" s="474">
        <f t="shared" si="1560"/>
        <v>6.0950000000000006</v>
      </c>
      <c r="O2740" s="434">
        <f t="shared" si="1554"/>
        <v>63.439999999999998</v>
      </c>
      <c r="P2740" s="435">
        <f t="shared" si="1555"/>
        <v>60.950000000000003</v>
      </c>
      <c r="AE2740" s="217"/>
      <c r="AF2740" s="217">
        <v>1342</v>
      </c>
      <c r="AH2740">
        <f>IF(AF2740:AF2751=FALSE,AE2740,AF2740)</f>
        <v>1342</v>
      </c>
    </row>
    <row r="2741" ht="63">
      <c r="A2741" s="217"/>
      <c r="B2741" s="460">
        <v>1343</v>
      </c>
      <c r="C2741" s="460"/>
      <c r="D2741" s="460"/>
      <c r="E2741" s="461"/>
      <c r="F2741" s="462" t="s">
        <v>22037</v>
      </c>
      <c r="G2741" s="477" t="s">
        <v>22038</v>
      </c>
      <c r="H2741" s="579" t="s">
        <v>20647</v>
      </c>
      <c r="I2741" s="479"/>
      <c r="J2741" s="480"/>
      <c r="K2741" s="466">
        <f>SUM(K2742:K2750)</f>
        <v>197.040952</v>
      </c>
      <c r="L2741" s="473"/>
      <c r="M2741" s="474"/>
      <c r="O2741" s="434" t="str">
        <f t="shared" si="1554"/>
        <v xml:space="preserve">SEM VALOR</v>
      </c>
      <c r="P2741" s="435" t="str">
        <f t="shared" si="1555"/>
        <v xml:space="preserve">SEM VALOR</v>
      </c>
      <c r="AE2741" s="217"/>
      <c r="AF2741" s="217"/>
    </row>
    <row r="2742" ht="45">
      <c r="A2742" s="217"/>
      <c r="B2742" s="217">
        <v>1343</v>
      </c>
      <c r="C2742" s="217"/>
      <c r="D2742" s="217" t="s">
        <v>20408</v>
      </c>
      <c r="E2742" s="471" t="s">
        <v>20399</v>
      </c>
      <c r="F2742" s="482">
        <v>4433</v>
      </c>
      <c r="G2742" s="572" t="s">
        <v>21202</v>
      </c>
      <c r="H2742" s="482" t="s">
        <v>38</v>
      </c>
      <c r="I2742" s="558">
        <v>2.8500000000000001</v>
      </c>
      <c r="J2742" s="473">
        <f t="shared" si="1549"/>
        <v>28.940000000000001</v>
      </c>
      <c r="K2742" s="474">
        <f t="shared" ref="K2742:K2750" si="1561">I2742*J2742</f>
        <v>82.478999999999999</v>
      </c>
      <c r="L2742" s="473"/>
      <c r="M2742" s="474"/>
      <c r="O2742" s="434">
        <f t="shared" si="1554"/>
        <v>28.940000000000001</v>
      </c>
      <c r="P2742" s="435">
        <f t="shared" si="1555"/>
        <v>28.940000000000001</v>
      </c>
      <c r="AE2742" s="217"/>
      <c r="AF2742" s="217"/>
    </row>
    <row r="2743" ht="60">
      <c r="A2743" s="217"/>
      <c r="B2743" s="217">
        <v>1343</v>
      </c>
      <c r="C2743" s="217"/>
      <c r="D2743" s="217" t="s">
        <v>20408</v>
      </c>
      <c r="E2743" s="471" t="s">
        <v>20402</v>
      </c>
      <c r="F2743" s="482">
        <v>4460</v>
      </c>
      <c r="G2743" s="572" t="s">
        <v>22039</v>
      </c>
      <c r="H2743" s="482" t="s">
        <v>38</v>
      </c>
      <c r="I2743" s="558">
        <v>1.3999999999999999</v>
      </c>
      <c r="J2743" s="473">
        <f t="shared" si="1549"/>
        <v>10.44</v>
      </c>
      <c r="K2743" s="474">
        <f t="shared" si="1561"/>
        <v>14.615999999999998</v>
      </c>
      <c r="L2743" s="473"/>
      <c r="M2743" s="474"/>
      <c r="O2743" s="434">
        <f t="shared" si="1554"/>
        <v>10.44</v>
      </c>
      <c r="P2743" s="435">
        <f t="shared" si="1555"/>
        <v>10.44</v>
      </c>
      <c r="AE2743" s="217"/>
      <c r="AF2743" s="217"/>
    </row>
    <row r="2744" ht="45">
      <c r="A2744" s="217"/>
      <c r="B2744" s="217">
        <v>1343</v>
      </c>
      <c r="C2744" s="217"/>
      <c r="D2744" s="217" t="s">
        <v>20398</v>
      </c>
      <c r="E2744" s="471" t="s">
        <v>20405</v>
      </c>
      <c r="F2744" s="482">
        <v>1259</v>
      </c>
      <c r="G2744" s="572" t="s">
        <v>20796</v>
      </c>
      <c r="H2744" s="482" t="s">
        <v>15528</v>
      </c>
      <c r="I2744" s="558">
        <v>0.10000000000000001</v>
      </c>
      <c r="J2744" s="473">
        <f t="shared" si="1549"/>
        <v>45.520000000000003</v>
      </c>
      <c r="K2744" s="474">
        <f t="shared" si="1561"/>
        <v>4.5520000000000005</v>
      </c>
      <c r="L2744" s="473"/>
      <c r="M2744" s="474"/>
      <c r="O2744" s="434">
        <f t="shared" si="1554"/>
        <v>45.520000000000003</v>
      </c>
      <c r="P2744" s="435">
        <f t="shared" si="1555"/>
        <v>43.100000000000001</v>
      </c>
      <c r="AE2744" s="217"/>
      <c r="AF2744" s="217"/>
    </row>
    <row r="2745" ht="60">
      <c r="A2745" s="217"/>
      <c r="B2745" s="217">
        <v>1343</v>
      </c>
      <c r="C2745" s="217"/>
      <c r="D2745" s="217" t="s">
        <v>20398</v>
      </c>
      <c r="E2745" s="471" t="s">
        <v>20409</v>
      </c>
      <c r="F2745" s="482">
        <v>1241</v>
      </c>
      <c r="G2745" s="572" t="s">
        <v>21181</v>
      </c>
      <c r="H2745" s="482" t="s">
        <v>15528</v>
      </c>
      <c r="I2745" s="558">
        <v>0.10000000000000001</v>
      </c>
      <c r="J2745" s="473">
        <f t="shared" si="1549"/>
        <v>453.00401999999997</v>
      </c>
      <c r="K2745" s="474">
        <f t="shared" si="1561"/>
        <v>45.300401999999998</v>
      </c>
      <c r="L2745" s="473"/>
      <c r="M2745" s="474"/>
      <c r="O2745" s="434">
        <f t="shared" si="1554"/>
        <v>453.00401999999997</v>
      </c>
      <c r="P2745" s="435">
        <f t="shared" si="1555"/>
        <v>445.74401999999998</v>
      </c>
      <c r="AE2745" s="217"/>
      <c r="AF2745" s="217"/>
    </row>
    <row r="2746" ht="45">
      <c r="A2746" s="217"/>
      <c r="B2746" s="217">
        <v>1343</v>
      </c>
      <c r="C2746" s="217"/>
      <c r="D2746" s="217" t="s">
        <v>20398</v>
      </c>
      <c r="E2746" s="471" t="s">
        <v>20663</v>
      </c>
      <c r="F2746" s="482">
        <v>1000</v>
      </c>
      <c r="G2746" s="572" t="s">
        <v>22040</v>
      </c>
      <c r="H2746" s="482" t="s">
        <v>15528</v>
      </c>
      <c r="I2746" s="558">
        <v>0.10000000000000001</v>
      </c>
      <c r="J2746" s="473">
        <f t="shared" si="1549"/>
        <v>149.904</v>
      </c>
      <c r="K2746" s="474">
        <f t="shared" si="1561"/>
        <v>14.990400000000001</v>
      </c>
      <c r="L2746" s="473"/>
      <c r="M2746" s="474"/>
      <c r="O2746" s="434">
        <f t="shared" si="1554"/>
        <v>149.904</v>
      </c>
      <c r="P2746" s="435">
        <f t="shared" si="1555"/>
        <v>141.76949999999999</v>
      </c>
      <c r="AE2746" s="217"/>
      <c r="AF2746" s="217"/>
    </row>
    <row r="2747" ht="30">
      <c r="A2747" s="217"/>
      <c r="B2747" s="217">
        <v>1343</v>
      </c>
      <c r="C2747" s="217"/>
      <c r="D2747" s="217" t="s">
        <v>20408</v>
      </c>
      <c r="E2747" s="471" t="s">
        <v>20665</v>
      </c>
      <c r="F2747" s="482">
        <v>7288</v>
      </c>
      <c r="G2747" s="572" t="s">
        <v>22041</v>
      </c>
      <c r="H2747" s="482" t="s">
        <v>9794</v>
      </c>
      <c r="I2747" s="558">
        <v>0.33000000000000002</v>
      </c>
      <c r="J2747" s="473">
        <f t="shared" si="1549"/>
        <v>39.43</v>
      </c>
      <c r="K2747" s="474">
        <f t="shared" si="1561"/>
        <v>13.011900000000001</v>
      </c>
      <c r="L2747" s="473"/>
      <c r="M2747" s="474"/>
      <c r="O2747" s="434">
        <f t="shared" si="1554"/>
        <v>39.43</v>
      </c>
      <c r="P2747" s="435">
        <f t="shared" si="1555"/>
        <v>39.43</v>
      </c>
      <c r="AE2747" s="217"/>
      <c r="AF2747" s="217"/>
    </row>
    <row r="2748" ht="30">
      <c r="A2748" s="217"/>
      <c r="B2748" s="217">
        <v>1343</v>
      </c>
      <c r="C2748" s="217"/>
      <c r="D2748" s="217" t="s">
        <v>17167</v>
      </c>
      <c r="E2748" s="471" t="s">
        <v>20667</v>
      </c>
      <c r="F2748" s="482">
        <v>88262</v>
      </c>
      <c r="G2748" s="572" t="s">
        <v>7127</v>
      </c>
      <c r="H2748" s="482" t="s">
        <v>2032</v>
      </c>
      <c r="I2748" s="558">
        <v>0.25</v>
      </c>
      <c r="J2748" s="473">
        <f t="shared" si="1549"/>
        <v>27.739999999999998</v>
      </c>
      <c r="K2748" s="474">
        <f t="shared" si="1561"/>
        <v>6.9349999999999996</v>
      </c>
      <c r="L2748" s="473"/>
      <c r="M2748" s="474"/>
      <c r="O2748" s="434">
        <f t="shared" si="1554"/>
        <v>27.739999999999998</v>
      </c>
      <c r="P2748" s="435">
        <f t="shared" si="1555"/>
        <v>26.129999999999999</v>
      </c>
      <c r="AE2748" s="217"/>
      <c r="AF2748" s="217"/>
    </row>
    <row r="2749" ht="30">
      <c r="A2749" s="217"/>
      <c r="B2749" s="217">
        <v>1343</v>
      </c>
      <c r="C2749" s="217"/>
      <c r="D2749" s="217" t="s">
        <v>17167</v>
      </c>
      <c r="E2749" s="471" t="s">
        <v>20671</v>
      </c>
      <c r="F2749" s="482">
        <v>88310</v>
      </c>
      <c r="G2749" s="572" t="s">
        <v>7386</v>
      </c>
      <c r="H2749" s="482" t="s">
        <v>2032</v>
      </c>
      <c r="I2749" s="558">
        <v>0.125</v>
      </c>
      <c r="J2749" s="473">
        <f t="shared" si="1549"/>
        <v>30.210000000000001</v>
      </c>
      <c r="K2749" s="474">
        <f t="shared" si="1561"/>
        <v>3.7762500000000001</v>
      </c>
      <c r="L2749" s="473"/>
      <c r="M2749" s="474"/>
      <c r="O2749" s="434">
        <f t="shared" si="1554"/>
        <v>30.210000000000001</v>
      </c>
      <c r="P2749" s="435">
        <f t="shared" si="1555"/>
        <v>28.600000000000001</v>
      </c>
      <c r="AE2749" s="217"/>
      <c r="AF2749" s="217"/>
    </row>
    <row r="2750" ht="30">
      <c r="A2750" s="217"/>
      <c r="B2750" s="217">
        <v>1343</v>
      </c>
      <c r="C2750" s="217"/>
      <c r="D2750" s="217" t="s">
        <v>17167</v>
      </c>
      <c r="E2750" s="471" t="s">
        <v>20672</v>
      </c>
      <c r="F2750" s="482">
        <v>88316</v>
      </c>
      <c r="G2750" s="572" t="s">
        <v>7393</v>
      </c>
      <c r="H2750" s="482" t="s">
        <v>2032</v>
      </c>
      <c r="I2750" s="558">
        <v>0.5</v>
      </c>
      <c r="J2750" s="473">
        <f t="shared" si="1549"/>
        <v>22.760000000000002</v>
      </c>
      <c r="K2750" s="474">
        <f t="shared" si="1561"/>
        <v>11.380000000000001</v>
      </c>
      <c r="L2750" s="473"/>
      <c r="M2750" s="474"/>
      <c r="O2750" s="434">
        <f t="shared" si="1554"/>
        <v>22.760000000000002</v>
      </c>
      <c r="P2750" s="435">
        <f t="shared" si="1555"/>
        <v>21.550000000000001</v>
      </c>
      <c r="AE2750" s="217"/>
      <c r="AF2750" s="217"/>
    </row>
    <row r="2751" ht="66" customHeight="1">
      <c r="A2751" s="460">
        <v>1344</v>
      </c>
      <c r="B2751" s="460">
        <v>1344</v>
      </c>
      <c r="C2751" s="460"/>
      <c r="D2751" s="460"/>
      <c r="E2751" s="461">
        <v>1</v>
      </c>
      <c r="F2751" s="462" t="s">
        <v>22042</v>
      </c>
      <c r="G2751" s="477" t="s">
        <v>22043</v>
      </c>
      <c r="H2751" s="579" t="s">
        <v>38</v>
      </c>
      <c r="I2751" s="479"/>
      <c r="J2751" s="480"/>
      <c r="K2751" s="466">
        <f>SUM(K2752:K2755)</f>
        <v>53.034000000000006</v>
      </c>
      <c r="L2751" s="480"/>
      <c r="M2751" s="466">
        <f>SUM(M2752:M2755)</f>
        <v>51.42692000000001</v>
      </c>
      <c r="N2751" s="467" t="s">
        <v>22028</v>
      </c>
      <c r="O2751" s="434" t="str">
        <f t="shared" si="1554"/>
        <v xml:space="preserve">SEM VALOR</v>
      </c>
      <c r="P2751" s="435" t="str">
        <f t="shared" si="1555"/>
        <v xml:space="preserve">SEM VALOR</v>
      </c>
      <c r="AE2751" s="460">
        <v>1344</v>
      </c>
      <c r="AF2751" s="460"/>
      <c r="AH2751">
        <f t="shared" si="1542"/>
        <v>1344</v>
      </c>
    </row>
    <row r="2752" ht="30">
      <c r="A2752" s="217"/>
      <c r="B2752" s="217">
        <v>1344</v>
      </c>
      <c r="C2752" s="217"/>
      <c r="D2752" s="217" t="s">
        <v>17167</v>
      </c>
      <c r="E2752" s="471" t="s">
        <v>20399</v>
      </c>
      <c r="F2752" s="482">
        <v>88316</v>
      </c>
      <c r="G2752" s="488" t="s">
        <v>7393</v>
      </c>
      <c r="H2752" s="472" t="s">
        <v>2032</v>
      </c>
      <c r="I2752" s="472">
        <v>0.44</v>
      </c>
      <c r="J2752" s="473">
        <f t="shared" si="1549"/>
        <v>22.760000000000002</v>
      </c>
      <c r="K2752" s="474">
        <f t="shared" ref="K2752:K2755" si="1562">I2752*J2752</f>
        <v>10.0144</v>
      </c>
      <c r="L2752" s="473">
        <f t="shared" si="1557"/>
        <v>21.550000000000001</v>
      </c>
      <c r="M2752" s="474">
        <f t="shared" ref="M2752:M2755" si="1563">L2752*I2752</f>
        <v>9.4820000000000011</v>
      </c>
      <c r="O2752" s="434">
        <f t="shared" si="1554"/>
        <v>22.760000000000002</v>
      </c>
      <c r="P2752" s="435">
        <f t="shared" si="1555"/>
        <v>21.550000000000001</v>
      </c>
      <c r="AE2752" s="217"/>
      <c r="AF2752" s="217">
        <v>1344</v>
      </c>
      <c r="AH2752">
        <f t="shared" si="1542"/>
        <v>1344</v>
      </c>
    </row>
    <row r="2753" ht="30">
      <c r="A2753" s="217"/>
      <c r="B2753" s="217">
        <v>1344</v>
      </c>
      <c r="C2753" s="217"/>
      <c r="D2753" s="217" t="s">
        <v>17167</v>
      </c>
      <c r="E2753" s="471" t="s">
        <v>20402</v>
      </c>
      <c r="F2753" s="482">
        <v>88256</v>
      </c>
      <c r="G2753" s="488" t="s">
        <v>20814</v>
      </c>
      <c r="H2753" s="472" t="s">
        <v>2032</v>
      </c>
      <c r="I2753" s="472">
        <v>0.64000000000000001</v>
      </c>
      <c r="J2753" s="473">
        <f t="shared" si="1549"/>
        <v>28.359999999999999</v>
      </c>
      <c r="K2753" s="474">
        <f t="shared" si="1562"/>
        <v>18.150400000000001</v>
      </c>
      <c r="L2753" s="473">
        <f t="shared" si="1557"/>
        <v>26.75</v>
      </c>
      <c r="M2753" s="474">
        <f t="shared" si="1563"/>
        <v>17.120000000000001</v>
      </c>
      <c r="O2753" s="434">
        <f t="shared" si="1554"/>
        <v>28.359999999999999</v>
      </c>
      <c r="P2753" s="435">
        <f t="shared" si="1555"/>
        <v>26.75</v>
      </c>
      <c r="AE2753" s="217"/>
      <c r="AF2753" s="217">
        <v>1344</v>
      </c>
      <c r="AH2753">
        <f t="shared" si="1542"/>
        <v>1344</v>
      </c>
    </row>
    <row r="2754" ht="75">
      <c r="A2754" s="217"/>
      <c r="B2754" s="217">
        <v>1344</v>
      </c>
      <c r="C2754" s="217"/>
      <c r="D2754" s="217" t="s">
        <v>17167</v>
      </c>
      <c r="E2754" s="471" t="s">
        <v>20405</v>
      </c>
      <c r="F2754" s="482">
        <v>87298</v>
      </c>
      <c r="G2754" s="488" t="s">
        <v>212</v>
      </c>
      <c r="H2754" s="472" t="s">
        <v>15528</v>
      </c>
      <c r="I2754" s="472">
        <v>6.0000000000000001e-003</v>
      </c>
      <c r="J2754" s="473">
        <f t="shared" si="1549"/>
        <v>698.20000000000005</v>
      </c>
      <c r="K2754" s="474">
        <f t="shared" si="1562"/>
        <v>4.1892000000000005</v>
      </c>
      <c r="L2754" s="473">
        <f t="shared" si="1557"/>
        <v>690.82000000000005</v>
      </c>
      <c r="M2754" s="474">
        <f t="shared" si="1563"/>
        <v>4.1449200000000008</v>
      </c>
      <c r="O2754" s="434">
        <f t="shared" si="1554"/>
        <v>698.20000000000005</v>
      </c>
      <c r="P2754" s="435">
        <f t="shared" si="1555"/>
        <v>690.82000000000005</v>
      </c>
      <c r="AE2754" s="217"/>
      <c r="AF2754" s="217">
        <v>1344</v>
      </c>
      <c r="AH2754">
        <f t="shared" si="1542"/>
        <v>1344</v>
      </c>
    </row>
    <row r="2755" ht="45">
      <c r="A2755" s="217"/>
      <c r="B2755" s="217">
        <v>1344</v>
      </c>
      <c r="C2755" s="217"/>
      <c r="D2755" s="217" t="s">
        <v>20408</v>
      </c>
      <c r="E2755" s="471" t="s">
        <v>20409</v>
      </c>
      <c r="F2755" s="482">
        <v>38135</v>
      </c>
      <c r="G2755" s="488" t="s">
        <v>22044</v>
      </c>
      <c r="H2755" s="472" t="s">
        <v>15515</v>
      </c>
      <c r="I2755" s="472">
        <v>0.20000000000000001</v>
      </c>
      <c r="J2755" s="473">
        <f t="shared" si="1549"/>
        <v>103.40000000000001</v>
      </c>
      <c r="K2755" s="474">
        <f t="shared" si="1562"/>
        <v>20.680000000000003</v>
      </c>
      <c r="L2755" s="473">
        <f t="shared" si="1557"/>
        <v>103.40000000000001</v>
      </c>
      <c r="M2755" s="474">
        <f t="shared" si="1563"/>
        <v>20.680000000000003</v>
      </c>
      <c r="O2755" s="434">
        <f t="shared" si="1554"/>
        <v>103.40000000000001</v>
      </c>
      <c r="P2755" s="435">
        <f t="shared" si="1555"/>
        <v>103.40000000000001</v>
      </c>
      <c r="AE2755" s="217"/>
      <c r="AF2755" s="217">
        <v>1344</v>
      </c>
      <c r="AH2755">
        <f t="shared" si="1542"/>
        <v>1344</v>
      </c>
    </row>
    <row r="2756" ht="110.25">
      <c r="A2756" s="460">
        <v>1345</v>
      </c>
      <c r="B2756" s="460">
        <v>1345</v>
      </c>
      <c r="C2756" s="460"/>
      <c r="D2756" s="460"/>
      <c r="E2756" s="461">
        <v>1</v>
      </c>
      <c r="F2756" s="462" t="s">
        <v>22045</v>
      </c>
      <c r="G2756" s="477" t="s">
        <v>22046</v>
      </c>
      <c r="H2756" s="579" t="s">
        <v>20647</v>
      </c>
      <c r="I2756" s="479"/>
      <c r="J2756" s="480"/>
      <c r="K2756" s="466" t="e">
        <f>SUM(K2757:K2765)</f>
        <v>#VALUE!</v>
      </c>
      <c r="L2756" s="480"/>
      <c r="M2756" s="466" t="e">
        <f>SUM(M2757:M2765)</f>
        <v>#VALUE!</v>
      </c>
      <c r="N2756" s="467" t="s">
        <v>22047</v>
      </c>
      <c r="O2756" s="434" t="str">
        <f t="shared" si="1554"/>
        <v xml:space="preserve">SEM VALOR</v>
      </c>
      <c r="P2756" s="435" t="str">
        <f t="shared" si="1555"/>
        <v xml:space="preserve">SEM VALOR</v>
      </c>
      <c r="AE2756" s="460">
        <v>1345</v>
      </c>
      <c r="AF2756" s="460"/>
      <c r="AH2756">
        <f t="shared" si="1542"/>
        <v>1345</v>
      </c>
    </row>
    <row r="2757" ht="105">
      <c r="A2757" s="217"/>
      <c r="B2757" s="217">
        <v>1345</v>
      </c>
      <c r="C2757" s="217"/>
      <c r="D2757" s="217" t="s">
        <v>17167</v>
      </c>
      <c r="E2757" s="471" t="s">
        <v>20399</v>
      </c>
      <c r="F2757" s="482">
        <v>5824</v>
      </c>
      <c r="G2757" s="488" t="s">
        <v>1603</v>
      </c>
      <c r="H2757" s="472" t="s">
        <v>1535</v>
      </c>
      <c r="I2757" s="472">
        <v>0.33333299999999999</v>
      </c>
      <c r="J2757" s="473">
        <f t="shared" si="1549"/>
        <v>233.72</v>
      </c>
      <c r="K2757" s="474">
        <f t="shared" ref="K2757:K2765" si="1564">I2757*J2757</f>
        <v>77.906588759999991</v>
      </c>
      <c r="L2757" s="473">
        <f t="shared" si="1557"/>
        <v>232.12</v>
      </c>
      <c r="M2757" s="474">
        <f t="shared" ref="M2757:M2765" si="1565">L2757*I2757</f>
        <v>77.373255959999995</v>
      </c>
      <c r="O2757" s="434">
        <f t="shared" si="1554"/>
        <v>233.72</v>
      </c>
      <c r="P2757" s="435">
        <f t="shared" si="1555"/>
        <v>232.12</v>
      </c>
      <c r="AE2757" s="217"/>
      <c r="AF2757" s="217">
        <v>1345</v>
      </c>
      <c r="AH2757">
        <f t="shared" si="1542"/>
        <v>1345</v>
      </c>
    </row>
    <row r="2758" ht="30">
      <c r="A2758" s="217"/>
      <c r="B2758" s="217">
        <v>1345</v>
      </c>
      <c r="C2758" s="217"/>
      <c r="D2758" s="217" t="s">
        <v>17167</v>
      </c>
      <c r="E2758" s="471" t="s">
        <v>20402</v>
      </c>
      <c r="F2758" s="482">
        <v>88278</v>
      </c>
      <c r="G2758" s="488" t="s">
        <v>21185</v>
      </c>
      <c r="H2758" s="472" t="s">
        <v>2032</v>
      </c>
      <c r="I2758" s="472">
        <v>0.35910399999999998</v>
      </c>
      <c r="J2758" s="473">
        <f t="shared" si="1549"/>
        <v>30.440000000000001</v>
      </c>
      <c r="K2758" s="474">
        <f t="shared" si="1564"/>
        <v>10.93112576</v>
      </c>
      <c r="L2758" s="473">
        <f t="shared" si="1557"/>
        <v>28.57</v>
      </c>
      <c r="M2758" s="474">
        <f t="shared" si="1565"/>
        <v>10.25960128</v>
      </c>
      <c r="O2758" s="434">
        <f t="shared" si="1554"/>
        <v>30.440000000000001</v>
      </c>
      <c r="P2758" s="435">
        <f t="shared" si="1555"/>
        <v>28.57</v>
      </c>
      <c r="AE2758" s="217"/>
      <c r="AF2758" s="217">
        <v>1345</v>
      </c>
      <c r="AH2758">
        <f t="shared" si="1542"/>
        <v>1345</v>
      </c>
    </row>
    <row r="2759" ht="30">
      <c r="A2759" s="217"/>
      <c r="B2759" s="217">
        <v>1345</v>
      </c>
      <c r="C2759" s="217"/>
      <c r="D2759" s="217" t="s">
        <v>17167</v>
      </c>
      <c r="E2759" s="471" t="s">
        <v>20405</v>
      </c>
      <c r="F2759" s="482">
        <v>88316</v>
      </c>
      <c r="G2759" s="488" t="s">
        <v>7393</v>
      </c>
      <c r="H2759" s="472" t="s">
        <v>2032</v>
      </c>
      <c r="I2759" s="472">
        <v>0.62824400000000002</v>
      </c>
      <c r="J2759" s="473">
        <f t="shared" si="1549"/>
        <v>22.760000000000002</v>
      </c>
      <c r="K2759" s="474">
        <f t="shared" si="1564"/>
        <v>14.298833440000001</v>
      </c>
      <c r="L2759" s="473">
        <f t="shared" si="1557"/>
        <v>21.550000000000001</v>
      </c>
      <c r="M2759" s="474">
        <f t="shared" si="1565"/>
        <v>13.5386582</v>
      </c>
      <c r="O2759" s="434">
        <f t="shared" si="1554"/>
        <v>22.760000000000002</v>
      </c>
      <c r="P2759" s="435">
        <f t="shared" si="1555"/>
        <v>21.550000000000001</v>
      </c>
      <c r="AE2759" s="217"/>
      <c r="AF2759" s="217">
        <v>1345</v>
      </c>
      <c r="AH2759">
        <f t="shared" ref="AH2759:AH2822" si="1566">IF(AF2759:AF2760=FALSE,AE2759,AF2759)</f>
        <v>1345</v>
      </c>
    </row>
    <row r="2760" ht="105">
      <c r="A2760" s="217"/>
      <c r="B2760" s="217">
        <v>1345</v>
      </c>
      <c r="C2760" s="217"/>
      <c r="D2760" s="612"/>
      <c r="E2760" s="471" t="s">
        <v>20409</v>
      </c>
      <c r="F2760" s="482" t="s">
        <v>20347</v>
      </c>
      <c r="G2760" s="488" t="s">
        <v>20348</v>
      </c>
      <c r="H2760" s="472" t="s">
        <v>15515</v>
      </c>
      <c r="I2760" s="472">
        <f>0.196+0.12</f>
        <v>0.316</v>
      </c>
      <c r="J2760" s="473" t="e">
        <f t="shared" si="1549"/>
        <v>#VALUE!</v>
      </c>
      <c r="K2760" s="474" t="e">
        <f t="shared" si="1564"/>
        <v>#VALUE!</v>
      </c>
      <c r="L2760" s="473" t="e">
        <f t="shared" si="1557"/>
        <v>#VALUE!</v>
      </c>
      <c r="M2760" s="474" t="e">
        <f t="shared" si="1565"/>
        <v>#VALUE!</v>
      </c>
      <c r="O2760" s="434" t="str">
        <f t="shared" si="1554"/>
        <v xml:space="preserve">SEM VALOR</v>
      </c>
      <c r="P2760" s="435" t="str">
        <f t="shared" si="1555"/>
        <v xml:space="preserve">SEM VALOR</v>
      </c>
      <c r="R2760" s="510" t="s">
        <v>20344</v>
      </c>
      <c r="AE2760" s="217"/>
      <c r="AF2760" s="217">
        <v>1345</v>
      </c>
      <c r="AH2760">
        <f t="shared" si="1566"/>
        <v>1345</v>
      </c>
    </row>
    <row r="2761" ht="90">
      <c r="A2761" s="217"/>
      <c r="B2761" s="217">
        <v>1345</v>
      </c>
      <c r="C2761" s="217"/>
      <c r="D2761" s="612"/>
      <c r="E2761" s="471" t="s">
        <v>20663</v>
      </c>
      <c r="F2761" s="482" t="s">
        <v>20345</v>
      </c>
      <c r="G2761" s="488" t="s">
        <v>20346</v>
      </c>
      <c r="H2761" s="472" t="s">
        <v>31</v>
      </c>
      <c r="I2761" s="472">
        <v>1</v>
      </c>
      <c r="J2761" s="473" t="e">
        <f t="shared" si="1549"/>
        <v>#VALUE!</v>
      </c>
      <c r="K2761" s="474" t="e">
        <f t="shared" si="1564"/>
        <v>#VALUE!</v>
      </c>
      <c r="L2761" s="473" t="e">
        <f t="shared" si="1557"/>
        <v>#VALUE!</v>
      </c>
      <c r="M2761" s="474" t="e">
        <f t="shared" si="1565"/>
        <v>#VALUE!</v>
      </c>
      <c r="O2761" s="434" t="str">
        <f t="shared" si="1554"/>
        <v xml:space="preserve">SEM VALOR</v>
      </c>
      <c r="P2761" s="435" t="str">
        <f t="shared" si="1555"/>
        <v xml:space="preserve">SEM VALOR</v>
      </c>
      <c r="R2761" s="510" t="s">
        <v>20344</v>
      </c>
      <c r="AE2761" s="217"/>
      <c r="AF2761" s="217">
        <v>1345</v>
      </c>
      <c r="AH2761">
        <f t="shared" si="1566"/>
        <v>1345</v>
      </c>
    </row>
    <row r="2762" ht="45">
      <c r="A2762" s="217"/>
      <c r="B2762" s="217">
        <v>1345</v>
      </c>
      <c r="C2762" s="217"/>
      <c r="D2762" s="217" t="s">
        <v>17167</v>
      </c>
      <c r="E2762" s="471" t="s">
        <v>20665</v>
      </c>
      <c r="F2762" s="482">
        <v>93358</v>
      </c>
      <c r="G2762" s="488" t="s">
        <v>20661</v>
      </c>
      <c r="H2762" s="472" t="s">
        <v>15528</v>
      </c>
      <c r="I2762" s="472">
        <v>2.9451999999999999e-002</v>
      </c>
      <c r="J2762" s="473">
        <f t="shared" si="1549"/>
        <v>90.030000000000001</v>
      </c>
      <c r="K2762" s="474">
        <f t="shared" si="1564"/>
        <v>2.65156356</v>
      </c>
      <c r="L2762" s="473">
        <f t="shared" si="1557"/>
        <v>85.239999999999995</v>
      </c>
      <c r="M2762" s="474">
        <f t="shared" si="1565"/>
        <v>2.5104884799999998</v>
      </c>
      <c r="O2762" s="434">
        <f t="shared" si="1554"/>
        <v>90.030000000000001</v>
      </c>
      <c r="P2762" s="435">
        <f t="shared" si="1555"/>
        <v>85.239999999999995</v>
      </c>
      <c r="AE2762" s="217"/>
      <c r="AF2762" s="217">
        <v>1345</v>
      </c>
      <c r="AH2762">
        <f t="shared" si="1566"/>
        <v>1345</v>
      </c>
    </row>
    <row r="2763" ht="75">
      <c r="A2763" s="217"/>
      <c r="B2763" s="217">
        <v>1345</v>
      </c>
      <c r="C2763" s="217"/>
      <c r="D2763" s="217" t="s">
        <v>17167</v>
      </c>
      <c r="E2763" s="471" t="s">
        <v>20667</v>
      </c>
      <c r="F2763" s="482">
        <v>94963</v>
      </c>
      <c r="G2763" s="488" t="s">
        <v>8707</v>
      </c>
      <c r="H2763" s="472" t="s">
        <v>15528</v>
      </c>
      <c r="I2763" s="472">
        <v>2.8469999999999999e-002</v>
      </c>
      <c r="J2763" s="473">
        <f t="shared" si="1549"/>
        <v>441.43000000000001</v>
      </c>
      <c r="K2763" s="474">
        <f t="shared" si="1564"/>
        <v>12.5675121</v>
      </c>
      <c r="L2763" s="473">
        <f t="shared" si="1557"/>
        <v>436.14999999999998</v>
      </c>
      <c r="M2763" s="474">
        <f t="shared" si="1565"/>
        <v>12.417190499999998</v>
      </c>
      <c r="O2763" s="434">
        <f t="shared" si="1554"/>
        <v>441.43000000000001</v>
      </c>
      <c r="P2763" s="435">
        <f t="shared" si="1555"/>
        <v>436.14999999999998</v>
      </c>
      <c r="AE2763" s="217"/>
      <c r="AF2763" s="217">
        <v>1345</v>
      </c>
      <c r="AH2763">
        <f t="shared" si="1566"/>
        <v>1345</v>
      </c>
    </row>
    <row r="2764" ht="60">
      <c r="A2764" s="217"/>
      <c r="B2764" s="217">
        <v>1345</v>
      </c>
      <c r="C2764" s="217"/>
      <c r="D2764" s="217" t="s">
        <v>17167</v>
      </c>
      <c r="E2764" s="471" t="s">
        <v>20671</v>
      </c>
      <c r="F2764" s="482">
        <v>103670</v>
      </c>
      <c r="G2764" s="488" t="s">
        <v>1387</v>
      </c>
      <c r="H2764" s="472" t="s">
        <v>15528</v>
      </c>
      <c r="I2764" s="472">
        <f>I2763</f>
        <v>2.8469999999999999e-002</v>
      </c>
      <c r="J2764" s="473">
        <f t="shared" si="1549"/>
        <v>308.60000000000002</v>
      </c>
      <c r="K2764" s="474">
        <f t="shared" si="1564"/>
        <v>8.7858420000000006</v>
      </c>
      <c r="L2764" s="473">
        <f t="shared" si="1557"/>
        <v>291.69999999999999</v>
      </c>
      <c r="M2764" s="474">
        <f t="shared" si="1565"/>
        <v>8.3046989999999994</v>
      </c>
      <c r="O2764" s="434">
        <f t="shared" si="1554"/>
        <v>308.60000000000002</v>
      </c>
      <c r="P2764" s="435">
        <f t="shared" si="1555"/>
        <v>291.69999999999999</v>
      </c>
      <c r="AE2764" s="217"/>
      <c r="AF2764" s="217">
        <v>1345</v>
      </c>
      <c r="AH2764">
        <f t="shared" si="1566"/>
        <v>1345</v>
      </c>
    </row>
    <row r="2765" ht="60">
      <c r="A2765" s="217"/>
      <c r="B2765" s="217">
        <v>1345</v>
      </c>
      <c r="C2765" s="217"/>
      <c r="D2765" s="217" t="s">
        <v>17167</v>
      </c>
      <c r="E2765" s="471" t="s">
        <v>20672</v>
      </c>
      <c r="F2765" s="482">
        <v>97914</v>
      </c>
      <c r="G2765" s="488" t="s">
        <v>21390</v>
      </c>
      <c r="H2765" s="472" t="s">
        <v>20669</v>
      </c>
      <c r="I2765" s="472">
        <f>I2762*1.3*1</f>
        <v>3.8287599999999998e-002</v>
      </c>
      <c r="J2765" s="473">
        <f t="shared" si="1549"/>
        <v>3.25</v>
      </c>
      <c r="K2765" s="474">
        <f t="shared" si="1564"/>
        <v>0.1244347</v>
      </c>
      <c r="L2765" s="473">
        <f t="shared" si="1557"/>
        <v>3.21</v>
      </c>
      <c r="M2765" s="474">
        <f t="shared" si="1565"/>
        <v>0.12290319599999999</v>
      </c>
      <c r="O2765" s="434">
        <f t="shared" si="1554"/>
        <v>3.25</v>
      </c>
      <c r="P2765" s="435">
        <f t="shared" si="1555"/>
        <v>3.21</v>
      </c>
      <c r="AE2765" s="217"/>
      <c r="AF2765" s="217">
        <v>1345</v>
      </c>
      <c r="AH2765">
        <f t="shared" si="1566"/>
        <v>1345</v>
      </c>
    </row>
    <row r="2766" ht="101.25" customHeight="1">
      <c r="A2766" s="460">
        <v>1346</v>
      </c>
      <c r="B2766" s="460">
        <v>1346</v>
      </c>
      <c r="C2766" s="460"/>
      <c r="D2766" s="460"/>
      <c r="E2766" s="461">
        <v>1</v>
      </c>
      <c r="F2766" s="462" t="s">
        <v>22048</v>
      </c>
      <c r="G2766" s="477" t="s">
        <v>22049</v>
      </c>
      <c r="H2766" s="579" t="s">
        <v>20647</v>
      </c>
      <c r="I2766" s="479"/>
      <c r="J2766" s="480"/>
      <c r="K2766" s="466">
        <f>SUM(K2767:K2778)</f>
        <v>1746.2387699999997</v>
      </c>
      <c r="L2766" s="480"/>
      <c r="M2766" s="466">
        <f>SUM(M2767:M2778)</f>
        <v>1716.3786644999998</v>
      </c>
      <c r="N2766" s="467" t="s">
        <v>22050</v>
      </c>
      <c r="O2766" s="434" t="str">
        <f t="shared" si="1554"/>
        <v xml:space="preserve">SEM VALOR</v>
      </c>
      <c r="P2766" s="435" t="str">
        <f t="shared" si="1555"/>
        <v xml:space="preserve">SEM VALOR</v>
      </c>
      <c r="AE2766" s="460">
        <v>1346</v>
      </c>
      <c r="AF2766" s="460"/>
      <c r="AH2766">
        <f t="shared" si="1566"/>
        <v>1346</v>
      </c>
    </row>
    <row r="2767" ht="105">
      <c r="A2767" s="217"/>
      <c r="B2767" s="217">
        <v>1346</v>
      </c>
      <c r="C2767" s="217"/>
      <c r="D2767" s="217" t="s">
        <v>17167</v>
      </c>
      <c r="E2767" s="471" t="s">
        <v>20399</v>
      </c>
      <c r="F2767" s="489">
        <v>5928</v>
      </c>
      <c r="G2767" s="470" t="s">
        <v>1739</v>
      </c>
      <c r="H2767" s="472" t="s">
        <v>1535</v>
      </c>
      <c r="I2767" s="472">
        <v>0.10000000000000001</v>
      </c>
      <c r="J2767" s="473">
        <f t="shared" si="1549"/>
        <v>298.70999999999998</v>
      </c>
      <c r="K2767" s="474">
        <f t="shared" ref="K2767:K2778" si="1567">I2767*J2767</f>
        <v>29.870999999999999</v>
      </c>
      <c r="L2767" s="473">
        <f t="shared" si="1557"/>
        <v>296.98000000000002</v>
      </c>
      <c r="M2767" s="474">
        <f t="shared" ref="M2767:M2778" si="1568">L2767*I2767</f>
        <v>29.698000000000004</v>
      </c>
      <c r="O2767" s="434">
        <f t="shared" si="1554"/>
        <v>298.70999999999998</v>
      </c>
      <c r="P2767" s="435">
        <f t="shared" si="1555"/>
        <v>296.98000000000002</v>
      </c>
      <c r="AE2767" s="217"/>
      <c r="AF2767" s="217">
        <v>1346</v>
      </c>
      <c r="AH2767">
        <f t="shared" si="1566"/>
        <v>1346</v>
      </c>
    </row>
    <row r="2768" ht="30">
      <c r="A2768" s="217"/>
      <c r="B2768" s="217">
        <v>1346</v>
      </c>
      <c r="C2768" s="217"/>
      <c r="D2768" s="217" t="s">
        <v>17167</v>
      </c>
      <c r="E2768" s="471" t="s">
        <v>20402</v>
      </c>
      <c r="F2768" s="489">
        <v>88316</v>
      </c>
      <c r="G2768" s="470" t="s">
        <v>7393</v>
      </c>
      <c r="H2768" s="472" t="s">
        <v>2032</v>
      </c>
      <c r="I2768" s="472">
        <v>0.83125000000000004</v>
      </c>
      <c r="J2768" s="473">
        <f t="shared" si="1549"/>
        <v>22.760000000000002</v>
      </c>
      <c r="K2768" s="474">
        <f t="shared" si="1567"/>
        <v>18.919250000000002</v>
      </c>
      <c r="L2768" s="473">
        <f t="shared" si="1557"/>
        <v>21.550000000000001</v>
      </c>
      <c r="M2768" s="474">
        <f t="shared" si="1568"/>
        <v>17.913437500000001</v>
      </c>
      <c r="O2768" s="434">
        <f t="shared" si="1554"/>
        <v>22.760000000000002</v>
      </c>
      <c r="P2768" s="435">
        <f t="shared" si="1555"/>
        <v>21.550000000000001</v>
      </c>
      <c r="AE2768" s="217"/>
      <c r="AF2768" s="217">
        <v>1346</v>
      </c>
      <c r="AH2768">
        <f t="shared" si="1566"/>
        <v>1346</v>
      </c>
    </row>
    <row r="2769" ht="45">
      <c r="A2769" s="217"/>
      <c r="B2769" s="217">
        <v>1346</v>
      </c>
      <c r="C2769" s="217"/>
      <c r="D2769" s="217" t="s">
        <v>17167</v>
      </c>
      <c r="E2769" s="471" t="s">
        <v>20405</v>
      </c>
      <c r="F2769" s="482">
        <v>93358</v>
      </c>
      <c r="G2769" s="470" t="s">
        <v>20661</v>
      </c>
      <c r="H2769" s="472" t="s">
        <v>15528</v>
      </c>
      <c r="I2769" s="472">
        <v>0.94999999999999996</v>
      </c>
      <c r="J2769" s="473">
        <f t="shared" si="1549"/>
        <v>90.030000000000001</v>
      </c>
      <c r="K2769" s="474">
        <f t="shared" si="1567"/>
        <v>85.528499999999994</v>
      </c>
      <c r="L2769" s="473">
        <f t="shared" si="1557"/>
        <v>85.239999999999995</v>
      </c>
      <c r="M2769" s="474">
        <f t="shared" si="1568"/>
        <v>80.977999999999994</v>
      </c>
      <c r="O2769" s="434">
        <f t="shared" si="1554"/>
        <v>90.030000000000001</v>
      </c>
      <c r="P2769" s="435">
        <f t="shared" si="1555"/>
        <v>85.239999999999995</v>
      </c>
      <c r="AE2769" s="217"/>
      <c r="AF2769" s="217">
        <v>1346</v>
      </c>
      <c r="AH2769">
        <f t="shared" si="1566"/>
        <v>1346</v>
      </c>
    </row>
    <row r="2770" ht="60">
      <c r="A2770" s="217"/>
      <c r="B2770" s="217">
        <v>1346</v>
      </c>
      <c r="C2770" s="217"/>
      <c r="D2770" s="217" t="s">
        <v>17167</v>
      </c>
      <c r="E2770" s="471" t="s">
        <v>20409</v>
      </c>
      <c r="F2770" s="482">
        <v>97083</v>
      </c>
      <c r="G2770" s="470" t="s">
        <v>22051</v>
      </c>
      <c r="H2770" s="472" t="s">
        <v>15515</v>
      </c>
      <c r="I2770" s="472">
        <v>2.0600000000000001</v>
      </c>
      <c r="J2770" s="473">
        <f t="shared" si="1549"/>
        <v>3.4900000000000002</v>
      </c>
      <c r="K2770" s="474">
        <f t="shared" si="1567"/>
        <v>7.1894000000000009</v>
      </c>
      <c r="L2770" s="473">
        <f t="shared" si="1557"/>
        <v>3.2999999999999998</v>
      </c>
      <c r="M2770" s="474">
        <f t="shared" si="1568"/>
        <v>6.798</v>
      </c>
      <c r="O2770" s="434">
        <f t="shared" si="1554"/>
        <v>3.4900000000000002</v>
      </c>
      <c r="P2770" s="435">
        <f t="shared" si="1555"/>
        <v>3.2999999999999998</v>
      </c>
      <c r="AE2770" s="217"/>
      <c r="AF2770" s="217">
        <v>1346</v>
      </c>
      <c r="AH2770">
        <f t="shared" si="1566"/>
        <v>1346</v>
      </c>
    </row>
    <row r="2771" ht="90">
      <c r="A2771" s="217"/>
      <c r="B2771" s="217">
        <v>1346</v>
      </c>
      <c r="C2771" s="217"/>
      <c r="D2771" s="217" t="s">
        <v>17167</v>
      </c>
      <c r="E2771" s="471" t="s">
        <v>20663</v>
      </c>
      <c r="F2771" s="482">
        <v>92431</v>
      </c>
      <c r="G2771" s="470" t="s">
        <v>4303</v>
      </c>
      <c r="H2771" s="472" t="s">
        <v>15515</v>
      </c>
      <c r="I2771" s="472">
        <v>3.6200000000000001</v>
      </c>
      <c r="J2771" s="473">
        <f t="shared" si="1549"/>
        <v>70.030000000000001</v>
      </c>
      <c r="K2771" s="474">
        <f t="shared" si="1567"/>
        <v>253.5086</v>
      </c>
      <c r="L2771" s="473">
        <f t="shared" si="1557"/>
        <v>68.510000000000005</v>
      </c>
      <c r="M2771" s="474">
        <f t="shared" si="1568"/>
        <v>248.00620000000004</v>
      </c>
      <c r="O2771" s="434">
        <f t="shared" si="1554"/>
        <v>70.030000000000001</v>
      </c>
      <c r="P2771" s="435">
        <f t="shared" si="1555"/>
        <v>68.510000000000005</v>
      </c>
      <c r="AE2771" s="217"/>
      <c r="AF2771" s="217">
        <v>1346</v>
      </c>
      <c r="AH2771">
        <f t="shared" si="1566"/>
        <v>1346</v>
      </c>
    </row>
    <row r="2772" ht="75">
      <c r="A2772" s="217"/>
      <c r="B2772" s="217">
        <v>1346</v>
      </c>
      <c r="C2772" s="217"/>
      <c r="D2772" s="217" t="s">
        <v>17167</v>
      </c>
      <c r="E2772" s="471" t="s">
        <v>20665</v>
      </c>
      <c r="F2772" s="489">
        <v>92915</v>
      </c>
      <c r="G2772" s="470" t="s">
        <v>20970</v>
      </c>
      <c r="H2772" s="471" t="s">
        <v>302</v>
      </c>
      <c r="I2772" s="472">
        <v>0.92000000000000004</v>
      </c>
      <c r="J2772" s="473">
        <f t="shared" si="1549"/>
        <v>16.649999999999999</v>
      </c>
      <c r="K2772" s="474">
        <f t="shared" si="1567"/>
        <v>15.318</v>
      </c>
      <c r="L2772" s="473">
        <f t="shared" si="1557"/>
        <v>16.199999999999999</v>
      </c>
      <c r="M2772" s="474">
        <f t="shared" si="1568"/>
        <v>14.904</v>
      </c>
      <c r="O2772" s="434">
        <f t="shared" si="1554"/>
        <v>16.649999999999999</v>
      </c>
      <c r="P2772" s="435">
        <f t="shared" si="1555"/>
        <v>16.199999999999999</v>
      </c>
      <c r="AE2772" s="217"/>
      <c r="AF2772" s="217">
        <v>1346</v>
      </c>
      <c r="AH2772">
        <f t="shared" si="1566"/>
        <v>1346</v>
      </c>
    </row>
    <row r="2773" ht="75">
      <c r="A2773" s="217"/>
      <c r="B2773" s="217">
        <v>1346</v>
      </c>
      <c r="C2773" s="217"/>
      <c r="D2773" s="217" t="s">
        <v>17167</v>
      </c>
      <c r="E2773" s="471" t="s">
        <v>20667</v>
      </c>
      <c r="F2773" s="489">
        <v>92917</v>
      </c>
      <c r="G2773" s="470" t="s">
        <v>20768</v>
      </c>
      <c r="H2773" s="471" t="s">
        <v>302</v>
      </c>
      <c r="I2773" s="472">
        <v>4.5</v>
      </c>
      <c r="J2773" s="473">
        <f t="shared" si="1549"/>
        <v>13.529999999999999</v>
      </c>
      <c r="K2773" s="474">
        <f t="shared" si="1567"/>
        <v>60.884999999999998</v>
      </c>
      <c r="L2773" s="473">
        <f t="shared" si="1557"/>
        <v>13.31</v>
      </c>
      <c r="M2773" s="474">
        <f t="shared" si="1568"/>
        <v>59.895000000000003</v>
      </c>
      <c r="O2773" s="434">
        <f t="shared" si="1554"/>
        <v>13.529999999999999</v>
      </c>
      <c r="P2773" s="435">
        <f t="shared" si="1555"/>
        <v>13.31</v>
      </c>
      <c r="AE2773" s="217"/>
      <c r="AF2773" s="217">
        <v>1346</v>
      </c>
      <c r="AH2773">
        <f t="shared" si="1566"/>
        <v>1346</v>
      </c>
    </row>
    <row r="2774" ht="60">
      <c r="A2774" s="217"/>
      <c r="B2774" s="217">
        <v>1346</v>
      </c>
      <c r="C2774" s="217"/>
      <c r="D2774" s="217" t="s">
        <v>17167</v>
      </c>
      <c r="E2774" s="471" t="s">
        <v>20671</v>
      </c>
      <c r="F2774" s="489">
        <v>94964</v>
      </c>
      <c r="G2774" s="470" t="s">
        <v>20686</v>
      </c>
      <c r="H2774" s="471" t="s">
        <v>15528</v>
      </c>
      <c r="I2774" s="472">
        <v>0.72899999999999998</v>
      </c>
      <c r="J2774" s="473">
        <f t="shared" si="1549"/>
        <v>488.52999999999997</v>
      </c>
      <c r="K2774" s="474">
        <f t="shared" si="1567"/>
        <v>356.13836999999995</v>
      </c>
      <c r="L2774" s="473">
        <f t="shared" si="1557"/>
        <v>482.79000000000002</v>
      </c>
      <c r="M2774" s="474">
        <f t="shared" si="1568"/>
        <v>351.95391000000001</v>
      </c>
      <c r="O2774" s="434">
        <f t="shared" si="1554"/>
        <v>488.52999999999997</v>
      </c>
      <c r="P2774" s="435">
        <f t="shared" si="1555"/>
        <v>482.79000000000002</v>
      </c>
      <c r="AE2774" s="217"/>
      <c r="AF2774" s="217">
        <v>1346</v>
      </c>
      <c r="AH2774">
        <f t="shared" si="1566"/>
        <v>1346</v>
      </c>
    </row>
    <row r="2775" ht="60">
      <c r="A2775" s="217"/>
      <c r="B2775" s="217">
        <v>1346</v>
      </c>
      <c r="C2775" s="217"/>
      <c r="D2775" s="217" t="s">
        <v>17167</v>
      </c>
      <c r="E2775" s="471" t="s">
        <v>20672</v>
      </c>
      <c r="F2775" s="489">
        <v>103670</v>
      </c>
      <c r="G2775" s="470" t="s">
        <v>1387</v>
      </c>
      <c r="H2775" s="471" t="s">
        <v>15528</v>
      </c>
      <c r="I2775" s="472">
        <f>I2774</f>
        <v>0.72899999999999998</v>
      </c>
      <c r="J2775" s="473">
        <f t="shared" si="1549"/>
        <v>308.60000000000002</v>
      </c>
      <c r="K2775" s="474">
        <f t="shared" si="1567"/>
        <v>224.96940000000001</v>
      </c>
      <c r="L2775" s="473">
        <f t="shared" si="1557"/>
        <v>291.69999999999999</v>
      </c>
      <c r="M2775" s="474">
        <f t="shared" si="1568"/>
        <v>212.64929999999998</v>
      </c>
      <c r="O2775" s="434">
        <f t="shared" si="1554"/>
        <v>308.60000000000002</v>
      </c>
      <c r="P2775" s="435">
        <f t="shared" si="1555"/>
        <v>291.69999999999999</v>
      </c>
      <c r="AE2775" s="217"/>
      <c r="AF2775" s="217">
        <v>1346</v>
      </c>
      <c r="AH2775">
        <f t="shared" si="1566"/>
        <v>1346</v>
      </c>
    </row>
    <row r="2776" ht="60">
      <c r="A2776" s="217"/>
      <c r="B2776" s="217">
        <v>1346</v>
      </c>
      <c r="C2776" s="217"/>
      <c r="D2776" s="217" t="s">
        <v>20453</v>
      </c>
      <c r="E2776" s="471" t="s">
        <v>20673</v>
      </c>
      <c r="F2776" s="489" t="s">
        <v>20149</v>
      </c>
      <c r="G2776" s="470" t="s">
        <v>22052</v>
      </c>
      <c r="H2776" s="471" t="s">
        <v>20647</v>
      </c>
      <c r="I2776" s="472">
        <v>1</v>
      </c>
      <c r="J2776" s="473">
        <f t="shared" si="1549"/>
        <v>679.13999999999999</v>
      </c>
      <c r="K2776" s="474">
        <f t="shared" si="1567"/>
        <v>679.13999999999999</v>
      </c>
      <c r="L2776" s="473">
        <f t="shared" si="1557"/>
        <v>679.13999999999999</v>
      </c>
      <c r="M2776" s="474">
        <f t="shared" si="1568"/>
        <v>679.13999999999999</v>
      </c>
      <c r="O2776" s="434">
        <f t="shared" si="1554"/>
        <v>679.13999999999999</v>
      </c>
      <c r="P2776" s="435">
        <f t="shared" si="1555"/>
        <v>679.13999999999999</v>
      </c>
      <c r="AE2776" s="217"/>
      <c r="AF2776" s="217">
        <v>1346</v>
      </c>
      <c r="AH2776">
        <f t="shared" si="1566"/>
        <v>1346</v>
      </c>
    </row>
    <row r="2777" ht="75">
      <c r="A2777" s="217"/>
      <c r="B2777" s="217">
        <v>1346</v>
      </c>
      <c r="C2777" s="217"/>
      <c r="D2777" s="217" t="s">
        <v>20398</v>
      </c>
      <c r="E2777" s="471" t="s">
        <v>20675</v>
      </c>
      <c r="F2777" s="489">
        <v>1267</v>
      </c>
      <c r="G2777" s="470" t="s">
        <v>20662</v>
      </c>
      <c r="H2777" s="471" t="s">
        <v>38</v>
      </c>
      <c r="I2777" s="472">
        <v>3.3100000000000001</v>
      </c>
      <c r="J2777" s="473">
        <f t="shared" si="1549"/>
        <v>3.2499999999999996</v>
      </c>
      <c r="K2777" s="474">
        <f t="shared" si="1567"/>
        <v>10.757499999999999</v>
      </c>
      <c r="L2777" s="473">
        <f t="shared" si="1557"/>
        <v>3.1657000000000002</v>
      </c>
      <c r="M2777" s="474">
        <f t="shared" si="1568"/>
        <v>10.478467</v>
      </c>
      <c r="O2777" s="434">
        <f t="shared" si="1554"/>
        <v>3.2499999999999996</v>
      </c>
      <c r="P2777" s="435">
        <f t="shared" si="1555"/>
        <v>3.1657000000000002</v>
      </c>
      <c r="AE2777" s="217"/>
      <c r="AF2777" s="217">
        <v>1346</v>
      </c>
      <c r="AH2777">
        <f t="shared" si="1566"/>
        <v>1346</v>
      </c>
    </row>
    <row r="2778" ht="60">
      <c r="A2778" s="217"/>
      <c r="B2778" s="217">
        <v>1346</v>
      </c>
      <c r="C2778" s="217"/>
      <c r="D2778" s="217" t="s">
        <v>17167</v>
      </c>
      <c r="E2778" s="471" t="s">
        <v>20677</v>
      </c>
      <c r="F2778" s="489">
        <v>97914</v>
      </c>
      <c r="G2778" s="470" t="s">
        <v>21390</v>
      </c>
      <c r="H2778" s="471" t="s">
        <v>21107</v>
      </c>
      <c r="I2778" s="472">
        <f>I2769*1.3*1</f>
        <v>1.2349999999999999</v>
      </c>
      <c r="J2778" s="473">
        <f t="shared" si="1549"/>
        <v>3.25</v>
      </c>
      <c r="K2778" s="474">
        <f t="shared" si="1567"/>
        <v>4.0137499999999999</v>
      </c>
      <c r="L2778" s="473">
        <f t="shared" si="1557"/>
        <v>3.21</v>
      </c>
      <c r="M2778" s="474">
        <f t="shared" si="1568"/>
        <v>3.9643499999999996</v>
      </c>
      <c r="O2778" s="434">
        <f t="shared" si="1554"/>
        <v>3.25</v>
      </c>
      <c r="P2778" s="435">
        <f t="shared" si="1555"/>
        <v>3.21</v>
      </c>
      <c r="AE2778" s="217"/>
      <c r="AF2778" s="217">
        <v>1346</v>
      </c>
      <c r="AH2778">
        <f t="shared" si="1566"/>
        <v>1346</v>
      </c>
    </row>
    <row r="2779" ht="94.5">
      <c r="A2779" s="460">
        <v>1347</v>
      </c>
      <c r="B2779" s="460">
        <v>1347</v>
      </c>
      <c r="C2779" s="460"/>
      <c r="D2779" s="460"/>
      <c r="E2779" s="461">
        <v>1</v>
      </c>
      <c r="F2779" s="462" t="s">
        <v>22053</v>
      </c>
      <c r="G2779" s="477" t="s">
        <v>22054</v>
      </c>
      <c r="H2779" s="579" t="s">
        <v>20647</v>
      </c>
      <c r="I2779" s="479"/>
      <c r="J2779" s="480"/>
      <c r="K2779" s="466">
        <f>SUM(K2780:K2791)</f>
        <v>3249.1003600000004</v>
      </c>
      <c r="L2779" s="480"/>
      <c r="M2779" s="466">
        <f>SUM(M2780:M2791)</f>
        <v>3195.2093544999998</v>
      </c>
      <c r="N2779" s="467" t="s">
        <v>22055</v>
      </c>
      <c r="O2779" s="434" t="str">
        <f t="shared" si="1554"/>
        <v xml:space="preserve">SEM VALOR</v>
      </c>
      <c r="P2779" s="435" t="str">
        <f t="shared" si="1555"/>
        <v xml:space="preserve">SEM VALOR</v>
      </c>
      <c r="AE2779" s="460">
        <v>1347</v>
      </c>
      <c r="AF2779" s="460"/>
      <c r="AH2779">
        <f t="shared" si="1566"/>
        <v>1347</v>
      </c>
    </row>
    <row r="2780" ht="105">
      <c r="A2780" s="217"/>
      <c r="B2780" s="217">
        <v>1347</v>
      </c>
      <c r="C2780" s="217"/>
      <c r="D2780" s="217" t="s">
        <v>17167</v>
      </c>
      <c r="E2780" s="471" t="s">
        <v>20399</v>
      </c>
      <c r="F2780" s="489">
        <v>5928</v>
      </c>
      <c r="G2780" s="470" t="s">
        <v>1739</v>
      </c>
      <c r="H2780" s="472" t="s">
        <v>1535</v>
      </c>
      <c r="I2780" s="472">
        <v>0.10000000000000001</v>
      </c>
      <c r="J2780" s="473">
        <f t="shared" si="1549"/>
        <v>298.70999999999998</v>
      </c>
      <c r="K2780" s="474">
        <f t="shared" ref="K2780:K2791" si="1569">I2780*J2780</f>
        <v>29.870999999999999</v>
      </c>
      <c r="L2780" s="473">
        <f t="shared" si="1557"/>
        <v>296.98000000000002</v>
      </c>
      <c r="M2780" s="474">
        <f t="shared" ref="M2780:M2791" si="1570">L2780*I2780</f>
        <v>29.698000000000004</v>
      </c>
      <c r="O2780" s="434">
        <f t="shared" si="1554"/>
        <v>298.70999999999998</v>
      </c>
      <c r="P2780" s="435">
        <f t="shared" si="1555"/>
        <v>296.98000000000002</v>
      </c>
      <c r="AE2780" s="217"/>
      <c r="AF2780" s="217">
        <v>1347</v>
      </c>
      <c r="AH2780">
        <f t="shared" si="1566"/>
        <v>1347</v>
      </c>
    </row>
    <row r="2781" ht="30">
      <c r="A2781" s="217"/>
      <c r="B2781" s="217">
        <v>1347</v>
      </c>
      <c r="C2781" s="217"/>
      <c r="D2781" s="217" t="s">
        <v>17167</v>
      </c>
      <c r="E2781" s="471" t="s">
        <v>20402</v>
      </c>
      <c r="F2781" s="489">
        <v>88316</v>
      </c>
      <c r="G2781" s="470" t="s">
        <v>7393</v>
      </c>
      <c r="H2781" s="472" t="s">
        <v>2032</v>
      </c>
      <c r="I2781" s="472">
        <v>1.6712499999999999</v>
      </c>
      <c r="J2781" s="473">
        <f t="shared" si="1549"/>
        <v>22.760000000000002</v>
      </c>
      <c r="K2781" s="474">
        <f t="shared" si="1569"/>
        <v>38.037649999999999</v>
      </c>
      <c r="L2781" s="473">
        <f t="shared" si="1557"/>
        <v>21.550000000000001</v>
      </c>
      <c r="M2781" s="474">
        <f t="shared" si="1570"/>
        <v>36.015437499999997</v>
      </c>
      <c r="O2781" s="434">
        <f t="shared" si="1554"/>
        <v>22.760000000000002</v>
      </c>
      <c r="P2781" s="435">
        <f t="shared" si="1555"/>
        <v>21.550000000000001</v>
      </c>
      <c r="AE2781" s="217"/>
      <c r="AF2781" s="217">
        <v>1347</v>
      </c>
      <c r="AH2781">
        <f t="shared" si="1566"/>
        <v>1347</v>
      </c>
    </row>
    <row r="2782" ht="45">
      <c r="A2782" s="217"/>
      <c r="B2782" s="217">
        <v>1347</v>
      </c>
      <c r="C2782" s="217"/>
      <c r="D2782" s="217" t="s">
        <v>17167</v>
      </c>
      <c r="E2782" s="471" t="s">
        <v>20405</v>
      </c>
      <c r="F2782" s="482">
        <v>93358</v>
      </c>
      <c r="G2782" s="470" t="s">
        <v>20661</v>
      </c>
      <c r="H2782" s="472" t="s">
        <v>15528</v>
      </c>
      <c r="I2782" s="472">
        <v>1.9099999999999999</v>
      </c>
      <c r="J2782" s="473">
        <f t="shared" ref="J2782:J2845" si="1571">O2782*$J$3</f>
        <v>90.030000000000001</v>
      </c>
      <c r="K2782" s="474">
        <f t="shared" si="1569"/>
        <v>171.9573</v>
      </c>
      <c r="L2782" s="473">
        <f t="shared" si="1557"/>
        <v>85.239999999999995</v>
      </c>
      <c r="M2782" s="474">
        <f t="shared" si="1570"/>
        <v>162.80839999999998</v>
      </c>
      <c r="O2782" s="434">
        <f t="shared" si="1554"/>
        <v>90.030000000000001</v>
      </c>
      <c r="P2782" s="435">
        <f t="shared" si="1555"/>
        <v>85.239999999999995</v>
      </c>
      <c r="AE2782" s="217"/>
      <c r="AF2782" s="217">
        <v>1347</v>
      </c>
      <c r="AH2782">
        <f t="shared" si="1566"/>
        <v>1347</v>
      </c>
    </row>
    <row r="2783" ht="60">
      <c r="A2783" s="217"/>
      <c r="B2783" s="217">
        <v>1347</v>
      </c>
      <c r="C2783" s="217"/>
      <c r="D2783" s="217" t="s">
        <v>17167</v>
      </c>
      <c r="E2783" s="471" t="s">
        <v>20409</v>
      </c>
      <c r="F2783" s="482">
        <v>97083</v>
      </c>
      <c r="G2783" s="470" t="s">
        <v>22051</v>
      </c>
      <c r="H2783" s="472" t="s">
        <v>15515</v>
      </c>
      <c r="I2783" s="472">
        <v>3.02</v>
      </c>
      <c r="J2783" s="473">
        <f t="shared" si="1571"/>
        <v>3.4900000000000002</v>
      </c>
      <c r="K2783" s="474">
        <f t="shared" si="1569"/>
        <v>10.539800000000001</v>
      </c>
      <c r="L2783" s="473">
        <f t="shared" si="1557"/>
        <v>3.2999999999999998</v>
      </c>
      <c r="M2783" s="474">
        <f t="shared" si="1570"/>
        <v>9.9659999999999993</v>
      </c>
      <c r="O2783" s="434">
        <f t="shared" si="1554"/>
        <v>3.4900000000000002</v>
      </c>
      <c r="P2783" s="435">
        <f t="shared" si="1555"/>
        <v>3.2999999999999998</v>
      </c>
      <c r="AE2783" s="217"/>
      <c r="AF2783" s="217">
        <v>1347</v>
      </c>
      <c r="AH2783">
        <f t="shared" si="1566"/>
        <v>1347</v>
      </c>
    </row>
    <row r="2784" ht="90">
      <c r="A2784" s="217"/>
      <c r="B2784" s="217">
        <v>1347</v>
      </c>
      <c r="C2784" s="217"/>
      <c r="D2784" s="217" t="s">
        <v>17167</v>
      </c>
      <c r="E2784" s="471" t="s">
        <v>20663</v>
      </c>
      <c r="F2784" s="482">
        <v>92431</v>
      </c>
      <c r="G2784" s="470" t="s">
        <v>4303</v>
      </c>
      <c r="H2784" s="472" t="s">
        <v>15515</v>
      </c>
      <c r="I2784" s="472">
        <v>6.3600000000000003</v>
      </c>
      <c r="J2784" s="473">
        <f t="shared" si="1571"/>
        <v>70.030000000000001</v>
      </c>
      <c r="K2784" s="474">
        <f t="shared" si="1569"/>
        <v>445.39080000000001</v>
      </c>
      <c r="L2784" s="473">
        <f t="shared" si="1557"/>
        <v>68.510000000000005</v>
      </c>
      <c r="M2784" s="474">
        <f t="shared" si="1570"/>
        <v>435.72360000000003</v>
      </c>
      <c r="O2784" s="434">
        <f t="shared" si="1554"/>
        <v>70.030000000000001</v>
      </c>
      <c r="P2784" s="435">
        <f t="shared" si="1555"/>
        <v>68.510000000000005</v>
      </c>
      <c r="AE2784" s="217"/>
      <c r="AF2784" s="217">
        <v>1347</v>
      </c>
      <c r="AH2784">
        <f t="shared" si="1566"/>
        <v>1347</v>
      </c>
    </row>
    <row r="2785" ht="75">
      <c r="A2785" s="217"/>
      <c r="B2785" s="217">
        <v>1347</v>
      </c>
      <c r="C2785" s="217"/>
      <c r="D2785" s="217" t="s">
        <v>17167</v>
      </c>
      <c r="E2785" s="471" t="s">
        <v>20665</v>
      </c>
      <c r="F2785" s="489">
        <v>92915</v>
      </c>
      <c r="G2785" s="470" t="s">
        <v>20970</v>
      </c>
      <c r="H2785" s="471" t="s">
        <v>302</v>
      </c>
      <c r="I2785" s="472">
        <v>2.5299999999999998</v>
      </c>
      <c r="J2785" s="473">
        <f t="shared" si="1571"/>
        <v>16.649999999999999</v>
      </c>
      <c r="K2785" s="474">
        <f t="shared" si="1569"/>
        <v>42.124499999999991</v>
      </c>
      <c r="L2785" s="473">
        <f t="shared" si="1557"/>
        <v>16.199999999999999</v>
      </c>
      <c r="M2785" s="474">
        <f t="shared" si="1570"/>
        <v>40.985999999999997</v>
      </c>
      <c r="O2785" s="434">
        <f t="shared" si="1554"/>
        <v>16.649999999999999</v>
      </c>
      <c r="P2785" s="435">
        <f t="shared" si="1555"/>
        <v>16.199999999999999</v>
      </c>
      <c r="AE2785" s="217"/>
      <c r="AF2785" s="217">
        <v>1347</v>
      </c>
      <c r="AH2785">
        <f t="shared" si="1566"/>
        <v>1347</v>
      </c>
    </row>
    <row r="2786" ht="75">
      <c r="A2786" s="217"/>
      <c r="B2786" s="217">
        <v>1347</v>
      </c>
      <c r="C2786" s="217"/>
      <c r="D2786" s="217" t="s">
        <v>17167</v>
      </c>
      <c r="E2786" s="471" t="s">
        <v>20667</v>
      </c>
      <c r="F2786" s="489">
        <v>92917</v>
      </c>
      <c r="G2786" s="470" t="s">
        <v>20768</v>
      </c>
      <c r="H2786" s="471" t="s">
        <v>302</v>
      </c>
      <c r="I2786" s="472">
        <v>8.5899999999999999</v>
      </c>
      <c r="J2786" s="473">
        <f t="shared" si="1571"/>
        <v>13.529999999999999</v>
      </c>
      <c r="K2786" s="474">
        <f t="shared" si="1569"/>
        <v>116.22269999999999</v>
      </c>
      <c r="L2786" s="473">
        <f t="shared" si="1557"/>
        <v>13.31</v>
      </c>
      <c r="M2786" s="474">
        <f t="shared" si="1570"/>
        <v>114.33290000000001</v>
      </c>
      <c r="O2786" s="434">
        <f t="shared" si="1554"/>
        <v>13.529999999999999</v>
      </c>
      <c r="P2786" s="435">
        <f t="shared" si="1555"/>
        <v>13.31</v>
      </c>
      <c r="AE2786" s="217"/>
      <c r="AF2786" s="217">
        <v>1347</v>
      </c>
      <c r="AH2786">
        <f t="shared" si="1566"/>
        <v>1347</v>
      </c>
    </row>
    <row r="2787" ht="60">
      <c r="A2787" s="217"/>
      <c r="B2787" s="217">
        <v>1347</v>
      </c>
      <c r="C2787" s="217"/>
      <c r="D2787" s="217" t="s">
        <v>17167</v>
      </c>
      <c r="E2787" s="471" t="s">
        <v>20671</v>
      </c>
      <c r="F2787" s="489">
        <v>94964</v>
      </c>
      <c r="G2787" s="470" t="s">
        <v>20686</v>
      </c>
      <c r="H2787" s="471" t="s">
        <v>15528</v>
      </c>
      <c r="I2787" s="472">
        <v>1.272</v>
      </c>
      <c r="J2787" s="473">
        <f t="shared" si="1571"/>
        <v>488.52999999999997</v>
      </c>
      <c r="K2787" s="474">
        <f t="shared" si="1569"/>
        <v>621.41016000000002</v>
      </c>
      <c r="L2787" s="473">
        <f t="shared" si="1557"/>
        <v>482.79000000000002</v>
      </c>
      <c r="M2787" s="474">
        <f t="shared" si="1570"/>
        <v>614.10888</v>
      </c>
      <c r="O2787" s="434">
        <f t="shared" si="1554"/>
        <v>488.52999999999997</v>
      </c>
      <c r="P2787" s="435">
        <f t="shared" si="1555"/>
        <v>482.79000000000002</v>
      </c>
      <c r="AE2787" s="217"/>
      <c r="AF2787" s="217">
        <v>1347</v>
      </c>
      <c r="AH2787">
        <f t="shared" si="1566"/>
        <v>1347</v>
      </c>
    </row>
    <row r="2788" ht="60">
      <c r="A2788" s="217"/>
      <c r="B2788" s="217">
        <v>1347</v>
      </c>
      <c r="C2788" s="217"/>
      <c r="D2788" s="217" t="s">
        <v>17167</v>
      </c>
      <c r="E2788" s="471" t="s">
        <v>20672</v>
      </c>
      <c r="F2788" s="489">
        <v>103670</v>
      </c>
      <c r="G2788" s="470" t="s">
        <v>1387</v>
      </c>
      <c r="H2788" s="471" t="s">
        <v>15528</v>
      </c>
      <c r="I2788" s="472">
        <v>1.272</v>
      </c>
      <c r="J2788" s="473">
        <f t="shared" si="1571"/>
        <v>308.60000000000002</v>
      </c>
      <c r="K2788" s="474">
        <f t="shared" si="1569"/>
        <v>392.53920000000005</v>
      </c>
      <c r="L2788" s="473">
        <f t="shared" si="1557"/>
        <v>291.69999999999999</v>
      </c>
      <c r="M2788" s="474">
        <f t="shared" si="1570"/>
        <v>371.04239999999999</v>
      </c>
      <c r="O2788" s="434">
        <f t="shared" si="1554"/>
        <v>308.60000000000002</v>
      </c>
      <c r="P2788" s="435">
        <f t="shared" si="1555"/>
        <v>291.69999999999999</v>
      </c>
      <c r="AE2788" s="217"/>
      <c r="AF2788" s="217">
        <v>1347</v>
      </c>
      <c r="AH2788">
        <f t="shared" si="1566"/>
        <v>1347</v>
      </c>
    </row>
    <row r="2789" ht="60">
      <c r="A2789" s="217"/>
      <c r="B2789" s="217">
        <v>1347</v>
      </c>
      <c r="C2789" s="217"/>
      <c r="D2789" s="217" t="s">
        <v>20453</v>
      </c>
      <c r="E2789" s="471" t="s">
        <v>20673</v>
      </c>
      <c r="F2789" s="489" t="s">
        <v>20149</v>
      </c>
      <c r="G2789" s="470" t="s">
        <v>22052</v>
      </c>
      <c r="H2789" s="471" t="s">
        <v>20647</v>
      </c>
      <c r="I2789" s="472">
        <v>2</v>
      </c>
      <c r="J2789" s="473">
        <f t="shared" si="1571"/>
        <v>679.13999999999999</v>
      </c>
      <c r="K2789" s="474">
        <f t="shared" si="1569"/>
        <v>1358.28</v>
      </c>
      <c r="L2789" s="473">
        <f t="shared" si="1557"/>
        <v>679.13999999999999</v>
      </c>
      <c r="M2789" s="474">
        <f t="shared" si="1570"/>
        <v>1358.28</v>
      </c>
      <c r="O2789" s="434">
        <f t="shared" si="1554"/>
        <v>679.13999999999999</v>
      </c>
      <c r="P2789" s="435">
        <f t="shared" si="1555"/>
        <v>679.13999999999999</v>
      </c>
      <c r="AE2789" s="217"/>
      <c r="AF2789" s="217">
        <v>1347</v>
      </c>
      <c r="AH2789">
        <f t="shared" si="1566"/>
        <v>1347</v>
      </c>
    </row>
    <row r="2790" ht="75">
      <c r="A2790" s="217"/>
      <c r="B2790" s="217">
        <v>1347</v>
      </c>
      <c r="C2790" s="217"/>
      <c r="D2790" s="217" t="s">
        <v>20398</v>
      </c>
      <c r="E2790" s="471" t="s">
        <v>20675</v>
      </c>
      <c r="F2790" s="489">
        <v>1267</v>
      </c>
      <c r="G2790" s="470" t="s">
        <v>20662</v>
      </c>
      <c r="H2790" s="471" t="s">
        <v>38</v>
      </c>
      <c r="I2790" s="472">
        <v>4.5099999999999998</v>
      </c>
      <c r="J2790" s="473">
        <f t="shared" si="1571"/>
        <v>3.2499999999999996</v>
      </c>
      <c r="K2790" s="474">
        <f t="shared" si="1569"/>
        <v>14.657499999999997</v>
      </c>
      <c r="L2790" s="473">
        <f t="shared" si="1557"/>
        <v>3.1657000000000002</v>
      </c>
      <c r="M2790" s="474">
        <f t="shared" si="1570"/>
        <v>14.277307</v>
      </c>
      <c r="O2790" s="434">
        <f t="shared" si="1554"/>
        <v>3.2499999999999996</v>
      </c>
      <c r="P2790" s="435">
        <f t="shared" si="1555"/>
        <v>3.1657000000000002</v>
      </c>
      <c r="AE2790" s="217"/>
      <c r="AF2790" s="217">
        <v>1347</v>
      </c>
      <c r="AH2790">
        <f t="shared" si="1566"/>
        <v>1347</v>
      </c>
    </row>
    <row r="2791" ht="60">
      <c r="A2791" s="217"/>
      <c r="B2791" s="217">
        <v>1347</v>
      </c>
      <c r="C2791" s="217"/>
      <c r="D2791" s="217" t="s">
        <v>17167</v>
      </c>
      <c r="E2791" s="471" t="s">
        <v>20677</v>
      </c>
      <c r="F2791" s="489">
        <v>97914</v>
      </c>
      <c r="G2791" s="470" t="s">
        <v>21390</v>
      </c>
      <c r="H2791" s="471" t="s">
        <v>21107</v>
      </c>
      <c r="I2791" s="472">
        <v>2.4830000000000001</v>
      </c>
      <c r="J2791" s="473">
        <f t="shared" si="1571"/>
        <v>3.25</v>
      </c>
      <c r="K2791" s="474">
        <f t="shared" si="1569"/>
        <v>8.0697500000000009</v>
      </c>
      <c r="L2791" s="473">
        <f t="shared" si="1557"/>
        <v>3.21</v>
      </c>
      <c r="M2791" s="474">
        <f t="shared" si="1570"/>
        <v>7.9704300000000003</v>
      </c>
      <c r="O2791" s="434">
        <f t="shared" si="1554"/>
        <v>3.25</v>
      </c>
      <c r="P2791" s="435">
        <f t="shared" si="1555"/>
        <v>3.21</v>
      </c>
      <c r="AE2791" s="217"/>
      <c r="AF2791" s="217">
        <v>1347</v>
      </c>
      <c r="AH2791">
        <f t="shared" si="1566"/>
        <v>1347</v>
      </c>
    </row>
    <row r="2792" ht="100.5" customHeight="1">
      <c r="A2792" s="460">
        <v>1348</v>
      </c>
      <c r="B2792" s="460">
        <v>1348</v>
      </c>
      <c r="C2792" s="460"/>
      <c r="D2792" s="460"/>
      <c r="E2792" s="461">
        <v>1</v>
      </c>
      <c r="F2792" s="462" t="s">
        <v>22056</v>
      </c>
      <c r="G2792" s="477" t="s">
        <v>22057</v>
      </c>
      <c r="H2792" s="579" t="s">
        <v>20647</v>
      </c>
      <c r="I2792" s="479"/>
      <c r="J2792" s="480"/>
      <c r="K2792" s="466">
        <f>SUM(K2793:K2804)</f>
        <v>4752.3187500000004</v>
      </c>
      <c r="L2792" s="480"/>
      <c r="M2792" s="466">
        <f>SUM(M2793:M2804)</f>
        <v>4674.415352</v>
      </c>
      <c r="N2792" s="467" t="s">
        <v>22058</v>
      </c>
      <c r="O2792" s="434" t="str">
        <f t="shared" si="1554"/>
        <v xml:space="preserve">SEM VALOR</v>
      </c>
      <c r="P2792" s="435" t="str">
        <f t="shared" si="1555"/>
        <v xml:space="preserve">SEM VALOR</v>
      </c>
      <c r="AE2792" s="460">
        <v>1348</v>
      </c>
      <c r="AF2792" s="460"/>
      <c r="AH2792">
        <f t="shared" si="1566"/>
        <v>1348</v>
      </c>
    </row>
    <row r="2793" ht="105">
      <c r="A2793" s="217"/>
      <c r="B2793" s="217">
        <v>1348</v>
      </c>
      <c r="C2793" s="217"/>
      <c r="D2793" s="217" t="s">
        <v>17167</v>
      </c>
      <c r="E2793" s="471" t="s">
        <v>20399</v>
      </c>
      <c r="F2793" s="489">
        <v>5928</v>
      </c>
      <c r="G2793" s="470" t="s">
        <v>1739</v>
      </c>
      <c r="H2793" s="472" t="s">
        <v>1535</v>
      </c>
      <c r="I2793" s="472">
        <v>0.10000000000000001</v>
      </c>
      <c r="J2793" s="473">
        <f t="shared" si="1571"/>
        <v>298.70999999999998</v>
      </c>
      <c r="K2793" s="474">
        <f t="shared" ref="K2793:K2804" si="1572">I2793*J2793</f>
        <v>29.870999999999999</v>
      </c>
      <c r="L2793" s="473">
        <f t="shared" si="1557"/>
        <v>296.98000000000002</v>
      </c>
      <c r="M2793" s="474">
        <f t="shared" ref="M2793:M2804" si="1573">L2793*I2793</f>
        <v>29.698000000000004</v>
      </c>
      <c r="O2793" s="434">
        <f t="shared" si="1554"/>
        <v>298.70999999999998</v>
      </c>
      <c r="P2793" s="435">
        <f t="shared" si="1555"/>
        <v>296.98000000000002</v>
      </c>
      <c r="AE2793" s="217"/>
      <c r="AF2793" s="217">
        <v>1348</v>
      </c>
      <c r="AH2793">
        <f t="shared" si="1566"/>
        <v>1348</v>
      </c>
    </row>
    <row r="2794" ht="30">
      <c r="A2794" s="217"/>
      <c r="B2794" s="217">
        <v>1348</v>
      </c>
      <c r="C2794" s="217"/>
      <c r="D2794" s="217" t="s">
        <v>17167</v>
      </c>
      <c r="E2794" s="471" t="s">
        <v>20402</v>
      </c>
      <c r="F2794" s="489">
        <v>88316</v>
      </c>
      <c r="G2794" s="470" t="s">
        <v>7393</v>
      </c>
      <c r="H2794" s="472" t="s">
        <v>2032</v>
      </c>
      <c r="I2794" s="472">
        <v>2.5024999999999999</v>
      </c>
      <c r="J2794" s="473">
        <f t="shared" si="1571"/>
        <v>22.760000000000002</v>
      </c>
      <c r="K2794" s="474">
        <f t="shared" si="1572"/>
        <v>56.956900000000005</v>
      </c>
      <c r="L2794" s="473">
        <f t="shared" si="1557"/>
        <v>21.550000000000001</v>
      </c>
      <c r="M2794" s="474">
        <f t="shared" si="1573"/>
        <v>53.928874999999998</v>
      </c>
      <c r="O2794" s="434">
        <f t="shared" si="1554"/>
        <v>22.760000000000002</v>
      </c>
      <c r="P2794" s="435">
        <f t="shared" si="1555"/>
        <v>21.550000000000001</v>
      </c>
      <c r="AE2794" s="217"/>
      <c r="AF2794" s="217">
        <v>1348</v>
      </c>
      <c r="AH2794">
        <f t="shared" si="1566"/>
        <v>1348</v>
      </c>
    </row>
    <row r="2795" ht="45">
      <c r="A2795" s="217"/>
      <c r="B2795" s="217">
        <v>1348</v>
      </c>
      <c r="C2795" s="217"/>
      <c r="D2795" s="217" t="s">
        <v>17167</v>
      </c>
      <c r="E2795" s="471" t="s">
        <v>20405</v>
      </c>
      <c r="F2795" s="482">
        <v>93358</v>
      </c>
      <c r="G2795" s="470" t="s">
        <v>20661</v>
      </c>
      <c r="H2795" s="472" t="s">
        <v>15528</v>
      </c>
      <c r="I2795" s="472">
        <v>2.8599999999999999</v>
      </c>
      <c r="J2795" s="473">
        <f t="shared" si="1571"/>
        <v>90.030000000000001</v>
      </c>
      <c r="K2795" s="474">
        <f t="shared" si="1572"/>
        <v>257.48579999999998</v>
      </c>
      <c r="L2795" s="473">
        <f t="shared" si="1557"/>
        <v>85.239999999999995</v>
      </c>
      <c r="M2795" s="474">
        <f t="shared" si="1573"/>
        <v>243.78639999999999</v>
      </c>
      <c r="O2795" s="434">
        <f t="shared" si="1554"/>
        <v>90.030000000000001</v>
      </c>
      <c r="P2795" s="435">
        <f t="shared" si="1555"/>
        <v>85.239999999999995</v>
      </c>
      <c r="AE2795" s="217"/>
      <c r="AF2795" s="217">
        <v>1348</v>
      </c>
      <c r="AH2795">
        <f t="shared" si="1566"/>
        <v>1348</v>
      </c>
    </row>
    <row r="2796" ht="60">
      <c r="A2796" s="217"/>
      <c r="B2796" s="217">
        <v>1348</v>
      </c>
      <c r="C2796" s="217"/>
      <c r="D2796" s="217" t="s">
        <v>17167</v>
      </c>
      <c r="E2796" s="471" t="s">
        <v>20409</v>
      </c>
      <c r="F2796" s="482">
        <v>97083</v>
      </c>
      <c r="G2796" s="470" t="s">
        <v>22051</v>
      </c>
      <c r="H2796" s="472" t="s">
        <v>15515</v>
      </c>
      <c r="I2796" s="472">
        <v>3.98</v>
      </c>
      <c r="J2796" s="473">
        <f t="shared" si="1571"/>
        <v>3.4900000000000002</v>
      </c>
      <c r="K2796" s="474">
        <f t="shared" si="1572"/>
        <v>13.8902</v>
      </c>
      <c r="L2796" s="473">
        <f t="shared" si="1557"/>
        <v>3.2999999999999998</v>
      </c>
      <c r="M2796" s="474">
        <f t="shared" si="1573"/>
        <v>13.133999999999999</v>
      </c>
      <c r="O2796" s="434">
        <f t="shared" ref="O2796:O2859" si="1574">IFERROR(IF(D2796="SINAPI",VLOOKUP(F2796,SINCOMOD,4,FALSE),IF(D2796="INSINAPI",VLOOKUP(F2796,INSINOD,5,FALSE),IF(D2796="SICRO",VLOOKUP(F2796,SICRO,5,FALSE),IF(D2796="COTACAO",VLOOKUP(F2796,COTACAO,6,FALSE),IF(D2796="PRÓPRIO",VLOOKUP(F2796,COMPOD,11,FALSE),IF(D2796="AGESUL",VLOOKUP(F2796,AGESULOD,6,FALSE),IF(D2796="INSAGESUL",VLOOKUP(F2796,INSAGESUL,7,FALSE),"SEM VALOR"))))))),"SEM VALOR")</f>
        <v>3.4900000000000002</v>
      </c>
      <c r="P2796" s="435">
        <f t="shared" ref="P2796:P2859" si="1575">IFERROR(IF(D2796="SINAPI",VLOOKUP(F2796,SINCOMOD,6,FALSE),IF(D2796="INSINAPI",VLOOKUP(F2796,INSINOD,6,FALSE),IF(D2796="SICRO",VLOOKUP(F2796,SICRO,5,FALSE),IF(D2796="COTACAO",VLOOKUP(F2796,COTACAO,6,FALSE),IF(D2796="PRÓPRIO",VLOOKUP(F2796,COMPOD,13,FALSE),IF(D2796="AGESUL",VLOOKUP(F2796,AGESULOD,11,FALSE),IF(D2796="INSAGESUL",VLOOKUP(F2796,INSAGESUL,8,FALSE),"SEM VALOR"))))))),"SEM VALOR")</f>
        <v>3.2999999999999998</v>
      </c>
      <c r="AE2796" s="217"/>
      <c r="AF2796" s="217">
        <v>1348</v>
      </c>
      <c r="AH2796">
        <f t="shared" si="1566"/>
        <v>1348</v>
      </c>
    </row>
    <row r="2797" ht="90">
      <c r="A2797" s="217"/>
      <c r="B2797" s="217">
        <v>1348</v>
      </c>
      <c r="C2797" s="217"/>
      <c r="D2797" s="217" t="s">
        <v>17167</v>
      </c>
      <c r="E2797" s="471" t="s">
        <v>20663</v>
      </c>
      <c r="F2797" s="482">
        <v>92431</v>
      </c>
      <c r="G2797" s="470" t="s">
        <v>4303</v>
      </c>
      <c r="H2797" s="472" t="s">
        <v>15515</v>
      </c>
      <c r="I2797" s="472">
        <v>9.0999999999999996</v>
      </c>
      <c r="J2797" s="473">
        <f t="shared" si="1571"/>
        <v>70.030000000000001</v>
      </c>
      <c r="K2797" s="474">
        <f t="shared" si="1572"/>
        <v>637.27300000000002</v>
      </c>
      <c r="L2797" s="473">
        <f t="shared" ref="L2797:L2860" si="1576">P2797*$L$3</f>
        <v>68.510000000000005</v>
      </c>
      <c r="M2797" s="474">
        <f t="shared" si="1573"/>
        <v>623.44100000000003</v>
      </c>
      <c r="O2797" s="434">
        <f t="shared" si="1574"/>
        <v>70.030000000000001</v>
      </c>
      <c r="P2797" s="435">
        <f t="shared" si="1575"/>
        <v>68.510000000000005</v>
      </c>
      <c r="AE2797" s="217"/>
      <c r="AF2797" s="217">
        <v>1348</v>
      </c>
      <c r="AH2797">
        <f t="shared" si="1566"/>
        <v>1348</v>
      </c>
    </row>
    <row r="2798" ht="75">
      <c r="A2798" s="217"/>
      <c r="B2798" s="217">
        <v>1348</v>
      </c>
      <c r="C2798" s="217"/>
      <c r="D2798" s="217" t="s">
        <v>17167</v>
      </c>
      <c r="E2798" s="471" t="s">
        <v>20665</v>
      </c>
      <c r="F2798" s="489">
        <v>92915</v>
      </c>
      <c r="G2798" s="470" t="s">
        <v>20970</v>
      </c>
      <c r="H2798" s="471" t="s">
        <v>302</v>
      </c>
      <c r="I2798" s="472">
        <v>4.2300000000000004</v>
      </c>
      <c r="J2798" s="473">
        <f t="shared" si="1571"/>
        <v>16.649999999999999</v>
      </c>
      <c r="K2798" s="474">
        <f t="shared" si="1572"/>
        <v>70.429500000000004</v>
      </c>
      <c r="L2798" s="473">
        <f t="shared" si="1576"/>
        <v>16.199999999999999</v>
      </c>
      <c r="M2798" s="474">
        <f t="shared" si="1573"/>
        <v>68.52600000000001</v>
      </c>
      <c r="O2798" s="434">
        <f t="shared" si="1574"/>
        <v>16.649999999999999</v>
      </c>
      <c r="P2798" s="435">
        <f t="shared" si="1575"/>
        <v>16.199999999999999</v>
      </c>
      <c r="AE2798" s="217"/>
      <c r="AF2798" s="217">
        <v>1348</v>
      </c>
      <c r="AH2798">
        <f t="shared" si="1566"/>
        <v>1348</v>
      </c>
    </row>
    <row r="2799" ht="75">
      <c r="A2799" s="217"/>
      <c r="B2799" s="217">
        <v>1348</v>
      </c>
      <c r="C2799" s="217"/>
      <c r="D2799" s="217" t="s">
        <v>17167</v>
      </c>
      <c r="E2799" s="471" t="s">
        <v>20667</v>
      </c>
      <c r="F2799" s="489">
        <v>92917</v>
      </c>
      <c r="G2799" s="470" t="s">
        <v>20768</v>
      </c>
      <c r="H2799" s="471" t="s">
        <v>302</v>
      </c>
      <c r="I2799" s="472">
        <v>12.68</v>
      </c>
      <c r="J2799" s="473">
        <f t="shared" si="1571"/>
        <v>13.529999999999999</v>
      </c>
      <c r="K2799" s="474">
        <f t="shared" si="1572"/>
        <v>171.56039999999999</v>
      </c>
      <c r="L2799" s="473">
        <f t="shared" si="1576"/>
        <v>13.31</v>
      </c>
      <c r="M2799" s="474">
        <f t="shared" si="1573"/>
        <v>168.77080000000001</v>
      </c>
      <c r="O2799" s="434">
        <f t="shared" si="1574"/>
        <v>13.529999999999999</v>
      </c>
      <c r="P2799" s="435">
        <f t="shared" si="1575"/>
        <v>13.31</v>
      </c>
      <c r="AE2799" s="217"/>
      <c r="AF2799" s="217">
        <v>1348</v>
      </c>
      <c r="AH2799">
        <f t="shared" si="1566"/>
        <v>1348</v>
      </c>
    </row>
    <row r="2800" ht="60">
      <c r="A2800" s="217"/>
      <c r="B2800" s="217">
        <v>1348</v>
      </c>
      <c r="C2800" s="217"/>
      <c r="D2800" s="217" t="s">
        <v>17167</v>
      </c>
      <c r="E2800" s="471" t="s">
        <v>20671</v>
      </c>
      <c r="F2800" s="489">
        <v>94964</v>
      </c>
      <c r="G2800" s="470" t="s">
        <v>20686</v>
      </c>
      <c r="H2800" s="471" t="s">
        <v>15528</v>
      </c>
      <c r="I2800" s="472">
        <v>1.8149999999999999</v>
      </c>
      <c r="J2800" s="473">
        <f t="shared" si="1571"/>
        <v>488.52999999999997</v>
      </c>
      <c r="K2800" s="474">
        <f t="shared" si="1572"/>
        <v>886.68194999999992</v>
      </c>
      <c r="L2800" s="473">
        <f t="shared" si="1576"/>
        <v>482.79000000000002</v>
      </c>
      <c r="M2800" s="474">
        <f t="shared" si="1573"/>
        <v>876.26385000000005</v>
      </c>
      <c r="O2800" s="434">
        <f t="shared" si="1574"/>
        <v>488.52999999999997</v>
      </c>
      <c r="P2800" s="435">
        <f t="shared" si="1575"/>
        <v>482.79000000000002</v>
      </c>
      <c r="AE2800" s="217"/>
      <c r="AF2800" s="217">
        <v>1348</v>
      </c>
      <c r="AH2800">
        <f t="shared" si="1566"/>
        <v>1348</v>
      </c>
    </row>
    <row r="2801" ht="60">
      <c r="A2801" s="217"/>
      <c r="B2801" s="217">
        <v>1348</v>
      </c>
      <c r="C2801" s="217"/>
      <c r="D2801" s="217" t="s">
        <v>17167</v>
      </c>
      <c r="E2801" s="471" t="s">
        <v>20672</v>
      </c>
      <c r="F2801" s="489">
        <v>103670</v>
      </c>
      <c r="G2801" s="470" t="s">
        <v>1387</v>
      </c>
      <c r="H2801" s="471" t="s">
        <v>15528</v>
      </c>
      <c r="I2801" s="472">
        <v>1.8149999999999999</v>
      </c>
      <c r="J2801" s="473">
        <f t="shared" si="1571"/>
        <v>308.60000000000002</v>
      </c>
      <c r="K2801" s="474">
        <f t="shared" si="1572"/>
        <v>560.10900000000004</v>
      </c>
      <c r="L2801" s="473">
        <f t="shared" si="1576"/>
        <v>291.69999999999999</v>
      </c>
      <c r="M2801" s="474">
        <f t="shared" si="1573"/>
        <v>529.43549999999993</v>
      </c>
      <c r="O2801" s="434">
        <f t="shared" si="1574"/>
        <v>308.60000000000002</v>
      </c>
      <c r="P2801" s="435">
        <f t="shared" si="1575"/>
        <v>291.69999999999999</v>
      </c>
      <c r="AE2801" s="217"/>
      <c r="AF2801" s="217">
        <v>1348</v>
      </c>
      <c r="AH2801">
        <f t="shared" si="1566"/>
        <v>1348</v>
      </c>
    </row>
    <row r="2802" ht="60">
      <c r="A2802" s="217"/>
      <c r="B2802" s="217">
        <v>1348</v>
      </c>
      <c r="C2802" s="217"/>
      <c r="D2802" s="217" t="s">
        <v>20453</v>
      </c>
      <c r="E2802" s="471" t="s">
        <v>20673</v>
      </c>
      <c r="F2802" s="489" t="s">
        <v>20149</v>
      </c>
      <c r="G2802" s="470" t="s">
        <v>22052</v>
      </c>
      <c r="H2802" s="471" t="s">
        <v>20647</v>
      </c>
      <c r="I2802" s="472">
        <v>3</v>
      </c>
      <c r="J2802" s="473">
        <f t="shared" si="1571"/>
        <v>679.13999999999999</v>
      </c>
      <c r="K2802" s="474">
        <f t="shared" si="1572"/>
        <v>2037.4200000000001</v>
      </c>
      <c r="L2802" s="473">
        <f t="shared" si="1576"/>
        <v>679.13999999999999</v>
      </c>
      <c r="M2802" s="474">
        <f t="shared" si="1573"/>
        <v>2037.4200000000001</v>
      </c>
      <c r="O2802" s="434">
        <f t="shared" si="1574"/>
        <v>679.13999999999999</v>
      </c>
      <c r="P2802" s="435">
        <f t="shared" si="1575"/>
        <v>679.13999999999999</v>
      </c>
      <c r="AE2802" s="217"/>
      <c r="AF2802" s="217">
        <v>1348</v>
      </c>
      <c r="AH2802">
        <f t="shared" si="1566"/>
        <v>1348</v>
      </c>
    </row>
    <row r="2803" ht="75">
      <c r="A2803" s="217"/>
      <c r="B2803" s="217">
        <v>1348</v>
      </c>
      <c r="C2803" s="217"/>
      <c r="D2803" s="217" t="s">
        <v>20398</v>
      </c>
      <c r="E2803" s="471" t="s">
        <v>20675</v>
      </c>
      <c r="F2803" s="489">
        <v>1267</v>
      </c>
      <c r="G2803" s="470" t="s">
        <v>20662</v>
      </c>
      <c r="H2803" s="471" t="s">
        <v>38</v>
      </c>
      <c r="I2803" s="472">
        <v>5.71</v>
      </c>
      <c r="J2803" s="473">
        <f t="shared" si="1571"/>
        <v>3.2499999999999996</v>
      </c>
      <c r="K2803" s="474">
        <f t="shared" si="1572"/>
        <v>18.557499999999997</v>
      </c>
      <c r="L2803" s="473">
        <f t="shared" si="1576"/>
        <v>3.1657000000000002</v>
      </c>
      <c r="M2803" s="474">
        <f t="shared" si="1573"/>
        <v>18.076147000000002</v>
      </c>
      <c r="O2803" s="434">
        <f t="shared" si="1574"/>
        <v>3.2499999999999996</v>
      </c>
      <c r="P2803" s="435">
        <f t="shared" si="1575"/>
        <v>3.1657000000000002</v>
      </c>
      <c r="AE2803" s="217"/>
      <c r="AF2803" s="217">
        <v>1348</v>
      </c>
      <c r="AH2803">
        <f t="shared" si="1566"/>
        <v>1348</v>
      </c>
    </row>
    <row r="2804" ht="60">
      <c r="A2804" s="217"/>
      <c r="B2804" s="217">
        <v>1348</v>
      </c>
      <c r="C2804" s="217"/>
      <c r="D2804" s="217" t="s">
        <v>17167</v>
      </c>
      <c r="E2804" s="471" t="s">
        <v>20677</v>
      </c>
      <c r="F2804" s="489">
        <v>97914</v>
      </c>
      <c r="G2804" s="470" t="s">
        <v>21390</v>
      </c>
      <c r="H2804" s="471" t="s">
        <v>21107</v>
      </c>
      <c r="I2804" s="472">
        <v>3.718</v>
      </c>
      <c r="J2804" s="473">
        <f t="shared" si="1571"/>
        <v>3.25</v>
      </c>
      <c r="K2804" s="474">
        <f t="shared" si="1572"/>
        <v>12.083500000000001</v>
      </c>
      <c r="L2804" s="473">
        <f t="shared" si="1576"/>
        <v>3.21</v>
      </c>
      <c r="M2804" s="474">
        <f t="shared" si="1573"/>
        <v>11.93478</v>
      </c>
      <c r="O2804" s="434">
        <f t="shared" si="1574"/>
        <v>3.25</v>
      </c>
      <c r="P2804" s="435">
        <f t="shared" si="1575"/>
        <v>3.21</v>
      </c>
      <c r="AE2804" s="217"/>
      <c r="AF2804" s="217">
        <v>1348</v>
      </c>
      <c r="AH2804">
        <f t="shared" si="1566"/>
        <v>1348</v>
      </c>
    </row>
    <row r="2805" ht="84" customHeight="1">
      <c r="A2805" s="460">
        <v>1349</v>
      </c>
      <c r="B2805" s="460">
        <v>1349</v>
      </c>
      <c r="C2805" s="460"/>
      <c r="D2805" s="460"/>
      <c r="E2805" s="461">
        <v>1</v>
      </c>
      <c r="F2805" s="462" t="s">
        <v>22059</v>
      </c>
      <c r="G2805" s="477" t="s">
        <v>22060</v>
      </c>
      <c r="H2805" s="579" t="s">
        <v>20647</v>
      </c>
      <c r="I2805" s="479"/>
      <c r="J2805" s="480"/>
      <c r="K2805" s="466">
        <f>SUM(K2806:K2814)</f>
        <v>634.50594284499994</v>
      </c>
      <c r="L2805" s="480"/>
      <c r="M2805" s="466">
        <f>SUM(M2806:M2814)</f>
        <v>632.93254330399998</v>
      </c>
      <c r="N2805" s="467" t="s">
        <v>22061</v>
      </c>
      <c r="O2805" s="434" t="str">
        <f t="shared" si="1574"/>
        <v xml:space="preserve">SEM VALOR</v>
      </c>
      <c r="P2805" s="435" t="str">
        <f t="shared" si="1575"/>
        <v xml:space="preserve">SEM VALOR</v>
      </c>
      <c r="AE2805" s="460">
        <v>1349</v>
      </c>
      <c r="AF2805" s="460"/>
      <c r="AH2805">
        <f t="shared" si="1566"/>
        <v>1349</v>
      </c>
    </row>
    <row r="2806" ht="105">
      <c r="A2806" s="217"/>
      <c r="B2806" s="217">
        <v>1349</v>
      </c>
      <c r="C2806" s="217"/>
      <c r="D2806" s="217" t="s">
        <v>17167</v>
      </c>
      <c r="E2806" s="471" t="s">
        <v>20399</v>
      </c>
      <c r="F2806" s="482">
        <v>73467</v>
      </c>
      <c r="G2806" s="470" t="s">
        <v>1601</v>
      </c>
      <c r="H2806" s="482" t="s">
        <v>1535</v>
      </c>
      <c r="I2806" s="578">
        <f>0.3/4.2</f>
        <v>7.1428599999999995e-002</v>
      </c>
      <c r="J2806" s="473">
        <f t="shared" si="1571"/>
        <v>270.61000000000001</v>
      </c>
      <c r="K2806" s="474">
        <f t="shared" ref="K2806:K2814" si="1577">I2806*J2806</f>
        <v>19.329293446000001</v>
      </c>
      <c r="L2806" s="473">
        <f t="shared" si="1576"/>
        <v>269.00999999999999</v>
      </c>
      <c r="M2806" s="474">
        <f t="shared" ref="M2806:M2814" si="1578">L2806*I2806</f>
        <v>19.215007685999996</v>
      </c>
      <c r="N2806" s="467" t="s">
        <v>21418</v>
      </c>
      <c r="O2806" s="434">
        <f t="shared" si="1574"/>
        <v>270.61000000000001</v>
      </c>
      <c r="P2806" s="435">
        <f t="shared" si="1575"/>
        <v>269.00999999999999</v>
      </c>
      <c r="AE2806" s="217"/>
      <c r="AF2806" s="217">
        <v>1349</v>
      </c>
      <c r="AH2806">
        <f t="shared" si="1566"/>
        <v>1349</v>
      </c>
    </row>
    <row r="2807" ht="105">
      <c r="A2807" s="217"/>
      <c r="B2807" s="217">
        <v>1349</v>
      </c>
      <c r="C2807" s="217"/>
      <c r="D2807" s="217" t="s">
        <v>17167</v>
      </c>
      <c r="E2807" s="471" t="s">
        <v>20402</v>
      </c>
      <c r="F2807" s="482">
        <v>91395</v>
      </c>
      <c r="G2807" s="470" t="s">
        <v>1600</v>
      </c>
      <c r="H2807" s="482" t="s">
        <v>1533</v>
      </c>
      <c r="I2807" s="578">
        <f>0.7/4.2</f>
        <v>0.1666667</v>
      </c>
      <c r="J2807" s="473">
        <f t="shared" si="1571"/>
        <v>58.25</v>
      </c>
      <c r="K2807" s="474">
        <f t="shared" si="1577"/>
        <v>9.7083352749999996</v>
      </c>
      <c r="L2807" s="473">
        <f t="shared" si="1576"/>
        <v>56.649999999999999</v>
      </c>
      <c r="M2807" s="474">
        <f t="shared" si="1578"/>
        <v>9.4416685549999997</v>
      </c>
      <c r="O2807" s="434">
        <f t="shared" si="1574"/>
        <v>58.25</v>
      </c>
      <c r="P2807" s="435">
        <f t="shared" si="1575"/>
        <v>56.649999999999999</v>
      </c>
      <c r="AE2807" s="217"/>
      <c r="AF2807" s="217">
        <v>1349</v>
      </c>
      <c r="AH2807">
        <f t="shared" si="1566"/>
        <v>1349</v>
      </c>
    </row>
    <row r="2808" ht="45">
      <c r="A2808" s="217"/>
      <c r="B2808" s="217">
        <v>1349</v>
      </c>
      <c r="C2808" s="217"/>
      <c r="D2808" s="217" t="s">
        <v>17167</v>
      </c>
      <c r="E2808" s="471" t="s">
        <v>20405</v>
      </c>
      <c r="F2808" s="482">
        <v>88277</v>
      </c>
      <c r="G2808" s="488" t="s">
        <v>7341</v>
      </c>
      <c r="H2808" s="482" t="s">
        <v>2032</v>
      </c>
      <c r="I2808" s="578">
        <f t="shared" ref="I2808:I2809" si="1579">1/4.2</f>
        <v>0.23809520000000001</v>
      </c>
      <c r="J2808" s="473">
        <f t="shared" si="1571"/>
        <v>28.359999999999999</v>
      </c>
      <c r="K2808" s="474">
        <f t="shared" si="1577"/>
        <v>6.7523798719999997</v>
      </c>
      <c r="L2808" s="473">
        <f t="shared" si="1576"/>
        <v>26.640000000000001</v>
      </c>
      <c r="M2808" s="474">
        <f t="shared" si="1578"/>
        <v>6.3428561280000002</v>
      </c>
      <c r="O2808" s="434">
        <f t="shared" si="1574"/>
        <v>28.359999999999999</v>
      </c>
      <c r="P2808" s="435">
        <f t="shared" si="1575"/>
        <v>26.640000000000001</v>
      </c>
      <c r="AE2808" s="217"/>
      <c r="AF2808" s="217">
        <v>1349</v>
      </c>
      <c r="AH2808">
        <f t="shared" si="1566"/>
        <v>1349</v>
      </c>
    </row>
    <row r="2809" ht="30">
      <c r="A2809" s="217"/>
      <c r="B2809" s="217">
        <v>1349</v>
      </c>
      <c r="C2809" s="217"/>
      <c r="D2809" s="217" t="s">
        <v>17167</v>
      </c>
      <c r="E2809" s="471" t="s">
        <v>20409</v>
      </c>
      <c r="F2809" s="482">
        <v>88316</v>
      </c>
      <c r="G2809" s="470" t="s">
        <v>7393</v>
      </c>
      <c r="H2809" s="482" t="s">
        <v>2032</v>
      </c>
      <c r="I2809" s="578">
        <f t="shared" si="1579"/>
        <v>0.23809520000000001</v>
      </c>
      <c r="J2809" s="473">
        <f t="shared" si="1571"/>
        <v>22.760000000000002</v>
      </c>
      <c r="K2809" s="474">
        <f t="shared" si="1577"/>
        <v>5.4190467520000007</v>
      </c>
      <c r="L2809" s="473">
        <f t="shared" si="1576"/>
        <v>21.550000000000001</v>
      </c>
      <c r="M2809" s="474">
        <f t="shared" si="1578"/>
        <v>5.1309515600000006</v>
      </c>
      <c r="O2809" s="434">
        <f t="shared" si="1574"/>
        <v>22.760000000000002</v>
      </c>
      <c r="P2809" s="435">
        <f t="shared" si="1575"/>
        <v>21.550000000000001</v>
      </c>
      <c r="AE2809" s="217"/>
      <c r="AF2809" s="217">
        <v>1349</v>
      </c>
      <c r="AH2809">
        <f t="shared" si="1566"/>
        <v>1349</v>
      </c>
    </row>
    <row r="2810" ht="60">
      <c r="A2810" s="217"/>
      <c r="B2810" s="217">
        <v>1349</v>
      </c>
      <c r="C2810" s="217"/>
      <c r="D2810" s="217" t="s">
        <v>20408</v>
      </c>
      <c r="E2810" s="471" t="s">
        <v>20663</v>
      </c>
      <c r="F2810" s="482">
        <v>21013</v>
      </c>
      <c r="G2810" s="470" t="s">
        <v>22062</v>
      </c>
      <c r="H2810" s="482" t="s">
        <v>21420</v>
      </c>
      <c r="I2810" s="578">
        <v>3.2000000000000002</v>
      </c>
      <c r="J2810" s="473">
        <f t="shared" si="1571"/>
        <v>66.920000000000002</v>
      </c>
      <c r="K2810" s="474">
        <f t="shared" si="1577"/>
        <v>214.14400000000001</v>
      </c>
      <c r="L2810" s="473">
        <f t="shared" si="1576"/>
        <v>66.920000000000002</v>
      </c>
      <c r="M2810" s="474">
        <f t="shared" si="1578"/>
        <v>214.14400000000001</v>
      </c>
      <c r="O2810" s="434">
        <f t="shared" si="1574"/>
        <v>66.920000000000002</v>
      </c>
      <c r="P2810" s="435">
        <f t="shared" si="1575"/>
        <v>66.920000000000002</v>
      </c>
      <c r="AE2810" s="217"/>
      <c r="AF2810" s="217">
        <v>1349</v>
      </c>
      <c r="AH2810">
        <f t="shared" si="1566"/>
        <v>1349</v>
      </c>
    </row>
    <row r="2811" ht="30">
      <c r="A2811" s="217"/>
      <c r="B2811" s="217">
        <v>1349</v>
      </c>
      <c r="C2811" s="217"/>
      <c r="D2811" s="217" t="s">
        <v>20408</v>
      </c>
      <c r="E2811" s="471" t="s">
        <v>20665</v>
      </c>
      <c r="F2811" s="489">
        <v>34723</v>
      </c>
      <c r="G2811" s="470" t="s">
        <v>21184</v>
      </c>
      <c r="H2811" s="499" t="s">
        <v>15515</v>
      </c>
      <c r="I2811" s="483">
        <v>0.35999999999999999</v>
      </c>
      <c r="J2811" s="473">
        <f t="shared" si="1571"/>
        <v>997.91999999999996</v>
      </c>
      <c r="K2811" s="474">
        <f t="shared" si="1577"/>
        <v>359.25119999999998</v>
      </c>
      <c r="L2811" s="473">
        <f t="shared" si="1576"/>
        <v>997.91999999999996</v>
      </c>
      <c r="M2811" s="474">
        <f t="shared" si="1578"/>
        <v>359.25119999999998</v>
      </c>
      <c r="O2811" s="434">
        <f t="shared" si="1574"/>
        <v>997.91999999999996</v>
      </c>
      <c r="P2811" s="435">
        <f t="shared" si="1575"/>
        <v>997.91999999999996</v>
      </c>
      <c r="AE2811" s="217"/>
      <c r="AF2811" s="217">
        <v>1349</v>
      </c>
      <c r="AH2811">
        <f t="shared" si="1566"/>
        <v>1349</v>
      </c>
    </row>
    <row r="2812" ht="60">
      <c r="A2812" s="217"/>
      <c r="B2812" s="217">
        <v>1349</v>
      </c>
      <c r="C2812" s="217"/>
      <c r="D2812" s="217" t="s">
        <v>17167</v>
      </c>
      <c r="E2812" s="471" t="s">
        <v>20667</v>
      </c>
      <c r="F2812" s="482">
        <v>94963</v>
      </c>
      <c r="G2812" s="470" t="s">
        <v>20684</v>
      </c>
      <c r="H2812" s="482" t="s">
        <v>15528</v>
      </c>
      <c r="I2812" s="578">
        <v>3.125e-002</v>
      </c>
      <c r="J2812" s="473">
        <f t="shared" si="1571"/>
        <v>441.43000000000001</v>
      </c>
      <c r="K2812" s="474">
        <f t="shared" si="1577"/>
        <v>13.7946875</v>
      </c>
      <c r="L2812" s="473">
        <f t="shared" si="1576"/>
        <v>436.14999999999998</v>
      </c>
      <c r="M2812" s="474">
        <f t="shared" si="1578"/>
        <v>13.629687499999999</v>
      </c>
      <c r="O2812" s="434">
        <f t="shared" si="1574"/>
        <v>441.43000000000001</v>
      </c>
      <c r="P2812" s="435">
        <f t="shared" si="1575"/>
        <v>436.14999999999998</v>
      </c>
      <c r="AE2812" s="217"/>
      <c r="AF2812" s="217">
        <v>1349</v>
      </c>
      <c r="AH2812">
        <f t="shared" si="1566"/>
        <v>1349</v>
      </c>
    </row>
    <row r="2813" ht="45">
      <c r="A2813" s="217"/>
      <c r="B2813" s="217">
        <v>1349</v>
      </c>
      <c r="C2813" s="217"/>
      <c r="D2813" s="217" t="s">
        <v>20398</v>
      </c>
      <c r="E2813" s="471" t="s">
        <v>20671</v>
      </c>
      <c r="F2813" s="489">
        <v>1259</v>
      </c>
      <c r="G2813" s="470" t="s">
        <v>20796</v>
      </c>
      <c r="H2813" s="482" t="s">
        <v>15528</v>
      </c>
      <c r="I2813" s="614">
        <v>3.125e-002</v>
      </c>
      <c r="J2813" s="473">
        <f t="shared" si="1571"/>
        <v>45.520000000000003</v>
      </c>
      <c r="K2813" s="474">
        <f t="shared" si="1577"/>
        <v>1.4225000000000001</v>
      </c>
      <c r="L2813" s="473">
        <f t="shared" si="1576"/>
        <v>43.100000000000001</v>
      </c>
      <c r="M2813" s="474">
        <f t="shared" si="1578"/>
        <v>1.346875</v>
      </c>
      <c r="O2813" s="434">
        <f t="shared" si="1574"/>
        <v>45.520000000000003</v>
      </c>
      <c r="P2813" s="435">
        <f t="shared" si="1575"/>
        <v>43.100000000000001</v>
      </c>
      <c r="AE2813" s="217"/>
      <c r="AF2813" s="217">
        <v>1349</v>
      </c>
      <c r="AH2813">
        <f t="shared" si="1566"/>
        <v>1349</v>
      </c>
    </row>
    <row r="2814" ht="45">
      <c r="A2814" s="217"/>
      <c r="B2814" s="217">
        <v>1349</v>
      </c>
      <c r="C2814" s="217"/>
      <c r="D2814" s="217" t="s">
        <v>20398</v>
      </c>
      <c r="E2814" s="471" t="s">
        <v>20672</v>
      </c>
      <c r="F2814" s="482">
        <v>1000</v>
      </c>
      <c r="G2814" s="470" t="s">
        <v>20651</v>
      </c>
      <c r="H2814" s="482" t="s">
        <v>15528</v>
      </c>
      <c r="I2814" s="614">
        <f>I2812</f>
        <v>3.125e-002</v>
      </c>
      <c r="J2814" s="473">
        <f t="shared" si="1571"/>
        <v>149.904</v>
      </c>
      <c r="K2814" s="474">
        <f t="shared" si="1577"/>
        <v>4.6844999999999999</v>
      </c>
      <c r="L2814" s="473">
        <f t="shared" si="1576"/>
        <v>141.76949999999999</v>
      </c>
      <c r="M2814" s="474">
        <f t="shared" si="1578"/>
        <v>4.4302968749999998</v>
      </c>
      <c r="O2814" s="434">
        <f t="shared" si="1574"/>
        <v>149.904</v>
      </c>
      <c r="P2814" s="435">
        <f t="shared" si="1575"/>
        <v>141.76949999999999</v>
      </c>
      <c r="AE2814" s="217"/>
      <c r="AF2814" s="217">
        <v>1349</v>
      </c>
      <c r="AH2814">
        <f t="shared" si="1566"/>
        <v>1349</v>
      </c>
    </row>
    <row r="2815" ht="66.75" customHeight="1">
      <c r="A2815" s="460">
        <v>1350</v>
      </c>
      <c r="B2815" s="460">
        <v>1350</v>
      </c>
      <c r="C2815" s="460"/>
      <c r="D2815" s="460"/>
      <c r="E2815" s="461">
        <v>1</v>
      </c>
      <c r="F2815" s="462" t="s">
        <v>22063</v>
      </c>
      <c r="G2815" s="477" t="s">
        <v>22064</v>
      </c>
      <c r="H2815" s="579" t="s">
        <v>20647</v>
      </c>
      <c r="I2815" s="479"/>
      <c r="J2815" s="480"/>
      <c r="K2815" s="466">
        <f>SUM(K2816:K2823)</f>
        <v>1182.5942555219999</v>
      </c>
      <c r="L2815" s="480"/>
      <c r="M2815" s="466">
        <f>SUM(M2816:M2823)</f>
        <v>1181.3642409900001</v>
      </c>
      <c r="N2815" s="467" t="s">
        <v>22065</v>
      </c>
      <c r="O2815" s="434" t="str">
        <f t="shared" si="1574"/>
        <v xml:space="preserve">SEM VALOR</v>
      </c>
      <c r="P2815" s="435" t="str">
        <f t="shared" si="1575"/>
        <v xml:space="preserve">SEM VALOR</v>
      </c>
      <c r="AE2815" s="460">
        <v>1350</v>
      </c>
      <c r="AF2815" s="460"/>
      <c r="AH2815">
        <f t="shared" si="1566"/>
        <v>1350</v>
      </c>
    </row>
    <row r="2816" ht="45">
      <c r="A2816" s="217"/>
      <c r="B2816" s="217">
        <v>1350</v>
      </c>
      <c r="C2816" s="217"/>
      <c r="D2816" s="217" t="s">
        <v>20398</v>
      </c>
      <c r="E2816" s="471" t="s">
        <v>20399</v>
      </c>
      <c r="F2816" s="482">
        <v>1043</v>
      </c>
      <c r="G2816" s="470" t="s">
        <v>20919</v>
      </c>
      <c r="H2816" s="482" t="s">
        <v>15515</v>
      </c>
      <c r="I2816" s="578">
        <f>1.5*7.4</f>
        <v>11.1</v>
      </c>
      <c r="J2816" s="473">
        <f t="shared" si="1571"/>
        <v>2.8999999999999999</v>
      </c>
      <c r="K2816" s="474">
        <f t="shared" ref="K2816:K2823" si="1580">I2816*J2816</f>
        <v>32.189999999999998</v>
      </c>
      <c r="L2816" s="473">
        <f t="shared" si="1576"/>
        <v>2.9202519999999996</v>
      </c>
      <c r="M2816" s="474">
        <f t="shared" ref="M2816:M2823" si="1581">L2816*I2816</f>
        <v>32.414797199999995</v>
      </c>
      <c r="O2816" s="434">
        <f t="shared" si="1574"/>
        <v>2.8999999999999999</v>
      </c>
      <c r="P2816" s="435">
        <f t="shared" si="1575"/>
        <v>2.9202519999999996</v>
      </c>
      <c r="AE2816" s="217"/>
      <c r="AF2816" s="217">
        <v>1350</v>
      </c>
      <c r="AH2816">
        <f t="shared" si="1566"/>
        <v>1350</v>
      </c>
    </row>
    <row r="2817" ht="75">
      <c r="A2817" s="217"/>
      <c r="B2817" s="217">
        <v>1350</v>
      </c>
      <c r="C2817" s="217"/>
      <c r="D2817" s="217" t="s">
        <v>20408</v>
      </c>
      <c r="E2817" s="471" t="s">
        <v>20402</v>
      </c>
      <c r="F2817" s="482">
        <v>1518</v>
      </c>
      <c r="G2817" s="488" t="s">
        <v>11633</v>
      </c>
      <c r="H2817" s="482" t="s">
        <v>9591</v>
      </c>
      <c r="I2817" s="578">
        <f>0.666*2.5548</f>
        <v>1.7014967999999999</v>
      </c>
      <c r="J2817" s="473">
        <f t="shared" si="1571"/>
        <v>643.5</v>
      </c>
      <c r="K2817" s="474">
        <f t="shared" si="1580"/>
        <v>1094.9131907999999</v>
      </c>
      <c r="L2817" s="473">
        <f t="shared" si="1576"/>
        <v>643.5</v>
      </c>
      <c r="M2817" s="474">
        <f t="shared" si="1581"/>
        <v>1094.9131907999999</v>
      </c>
      <c r="O2817" s="434">
        <f t="shared" si="1574"/>
        <v>643.5</v>
      </c>
      <c r="P2817" s="435">
        <f t="shared" si="1575"/>
        <v>643.5</v>
      </c>
      <c r="AE2817" s="217"/>
      <c r="AF2817" s="217">
        <v>1350</v>
      </c>
      <c r="AH2817">
        <f t="shared" si="1566"/>
        <v>1350</v>
      </c>
    </row>
    <row r="2818" ht="30">
      <c r="A2818" s="217"/>
      <c r="B2818" s="217">
        <v>1350</v>
      </c>
      <c r="C2818" s="217"/>
      <c r="D2818" s="217" t="s">
        <v>17167</v>
      </c>
      <c r="E2818" s="471" t="s">
        <v>20405</v>
      </c>
      <c r="F2818" s="482">
        <v>88314</v>
      </c>
      <c r="G2818" s="470" t="s">
        <v>7391</v>
      </c>
      <c r="H2818" s="482" t="s">
        <v>2032</v>
      </c>
      <c r="I2818" s="578">
        <f>0.666*1.1301</f>
        <v>0.75264660000000005</v>
      </c>
      <c r="J2818" s="473">
        <f t="shared" si="1571"/>
        <v>24.82</v>
      </c>
      <c r="K2818" s="474">
        <f t="shared" si="1580"/>
        <v>18.680688612000001</v>
      </c>
      <c r="L2818" s="473">
        <f t="shared" si="1576"/>
        <v>23.379999999999999</v>
      </c>
      <c r="M2818" s="474">
        <f t="shared" si="1581"/>
        <v>17.596877508000002</v>
      </c>
      <c r="O2818" s="434">
        <f t="shared" si="1574"/>
        <v>24.82</v>
      </c>
      <c r="P2818" s="435">
        <f t="shared" si="1575"/>
        <v>23.379999999999999</v>
      </c>
      <c r="AE2818" s="217"/>
      <c r="AF2818" s="217">
        <v>1350</v>
      </c>
      <c r="AH2818">
        <f t="shared" si="1566"/>
        <v>1350</v>
      </c>
    </row>
    <row r="2819" ht="105">
      <c r="A2819" s="217"/>
      <c r="B2819" s="217">
        <v>1350</v>
      </c>
      <c r="C2819" s="217"/>
      <c r="D2819" s="217" t="s">
        <v>17167</v>
      </c>
      <c r="E2819" s="471" t="s">
        <v>20409</v>
      </c>
      <c r="F2819" s="482">
        <v>91386</v>
      </c>
      <c r="G2819" s="470" t="s">
        <v>1571</v>
      </c>
      <c r="H2819" s="482" t="s">
        <v>1535</v>
      </c>
      <c r="I2819" s="578">
        <f>0.666*0.0464</f>
        <v>3.09024e-002</v>
      </c>
      <c r="J2819" s="473">
        <f t="shared" si="1571"/>
        <v>290.23000000000002</v>
      </c>
      <c r="K2819" s="474">
        <f t="shared" si="1580"/>
        <v>8.9688035520000007</v>
      </c>
      <c r="L2819" s="473">
        <f t="shared" si="1576"/>
        <v>288.56</v>
      </c>
      <c r="M2819" s="474">
        <f t="shared" si="1581"/>
        <v>8.9171965439999994</v>
      </c>
      <c r="O2819" s="434">
        <f t="shared" si="1574"/>
        <v>290.23000000000002</v>
      </c>
      <c r="P2819" s="435">
        <f t="shared" si="1575"/>
        <v>288.56</v>
      </c>
      <c r="AE2819" s="217"/>
      <c r="AF2819" s="217">
        <v>1350</v>
      </c>
      <c r="AH2819">
        <f t="shared" si="1566"/>
        <v>1350</v>
      </c>
    </row>
    <row r="2820" ht="75">
      <c r="A2820" s="217"/>
      <c r="B2820" s="217">
        <v>1350</v>
      </c>
      <c r="C2820" s="217"/>
      <c r="D2820" s="217" t="s">
        <v>17167</v>
      </c>
      <c r="E2820" s="471" t="s">
        <v>20663</v>
      </c>
      <c r="F2820" s="482">
        <v>95631</v>
      </c>
      <c r="G2820" s="470" t="s">
        <v>1883</v>
      </c>
      <c r="H2820" s="482" t="s">
        <v>1535</v>
      </c>
      <c r="I2820" s="578">
        <f>0.666*0.0805</f>
        <v>5.3613000000000001e-002</v>
      </c>
      <c r="J2820" s="473">
        <f t="shared" si="1571"/>
        <v>235.97999999999999</v>
      </c>
      <c r="K2820" s="474">
        <f t="shared" si="1580"/>
        <v>12.651595739999999</v>
      </c>
      <c r="L2820" s="473">
        <f t="shared" si="1576"/>
        <v>234.28</v>
      </c>
      <c r="M2820" s="474">
        <f t="shared" si="1581"/>
        <v>12.56045364</v>
      </c>
      <c r="O2820" s="434">
        <f t="shared" si="1574"/>
        <v>235.97999999999999</v>
      </c>
      <c r="P2820" s="435">
        <f t="shared" si="1575"/>
        <v>234.28</v>
      </c>
      <c r="AE2820" s="217"/>
      <c r="AF2820" s="217">
        <v>1350</v>
      </c>
      <c r="AH2820">
        <f t="shared" si="1566"/>
        <v>1350</v>
      </c>
    </row>
    <row r="2821" ht="75">
      <c r="A2821" s="217"/>
      <c r="B2821" s="217">
        <v>1350</v>
      </c>
      <c r="C2821" s="217"/>
      <c r="D2821" s="217" t="s">
        <v>17167</v>
      </c>
      <c r="E2821" s="471" t="s">
        <v>20665</v>
      </c>
      <c r="F2821" s="482">
        <v>95632</v>
      </c>
      <c r="G2821" s="470" t="s">
        <v>1882</v>
      </c>
      <c r="H2821" s="482" t="s">
        <v>1533</v>
      </c>
      <c r="I2821" s="578">
        <f>0.666*0.0607</f>
        <v>4.0426200000000002e-002</v>
      </c>
      <c r="J2821" s="473">
        <f t="shared" si="1571"/>
        <v>81.819999999999993</v>
      </c>
      <c r="K2821" s="474">
        <f t="shared" si="1580"/>
        <v>3.3076716839999998</v>
      </c>
      <c r="L2821" s="473">
        <f t="shared" si="1576"/>
        <v>80.120000000000005</v>
      </c>
      <c r="M2821" s="474">
        <f t="shared" si="1581"/>
        <v>3.2389471440000004</v>
      </c>
      <c r="O2821" s="434">
        <f t="shared" si="1574"/>
        <v>81.819999999999993</v>
      </c>
      <c r="P2821" s="435">
        <f t="shared" si="1575"/>
        <v>80.120000000000005</v>
      </c>
      <c r="AE2821" s="217"/>
      <c r="AF2821" s="217">
        <v>1350</v>
      </c>
      <c r="AH2821">
        <f t="shared" si="1566"/>
        <v>1350</v>
      </c>
    </row>
    <row r="2822" ht="90">
      <c r="A2822" s="217"/>
      <c r="B2822" s="217">
        <v>1350</v>
      </c>
      <c r="C2822" s="217"/>
      <c r="D2822" s="217" t="s">
        <v>17167</v>
      </c>
      <c r="E2822" s="471" t="s">
        <v>20667</v>
      </c>
      <c r="F2822" s="482">
        <v>96463</v>
      </c>
      <c r="G2822" s="470" t="s">
        <v>22008</v>
      </c>
      <c r="H2822" s="482" t="s">
        <v>1535</v>
      </c>
      <c r="I2822" s="483">
        <f>0.666*0.0419</f>
        <v>2.79054e-002</v>
      </c>
      <c r="J2822" s="473">
        <f t="shared" si="1571"/>
        <v>218.71000000000001</v>
      </c>
      <c r="K2822" s="474">
        <f t="shared" si="1580"/>
        <v>6.1031900340000007</v>
      </c>
      <c r="L2822" s="473">
        <f t="shared" si="1576"/>
        <v>217.00999999999999</v>
      </c>
      <c r="M2822" s="474">
        <f t="shared" si="1581"/>
        <v>6.0557508540000002</v>
      </c>
      <c r="O2822" s="434">
        <f t="shared" si="1574"/>
        <v>218.71000000000001</v>
      </c>
      <c r="P2822" s="435">
        <f t="shared" si="1575"/>
        <v>217.00999999999999</v>
      </c>
      <c r="AE2822" s="217"/>
      <c r="AF2822" s="217">
        <v>1350</v>
      </c>
      <c r="AH2822">
        <f t="shared" si="1566"/>
        <v>1350</v>
      </c>
    </row>
    <row r="2823" ht="90">
      <c r="A2823" s="217"/>
      <c r="B2823" s="217">
        <v>1350</v>
      </c>
      <c r="C2823" s="217"/>
      <c r="D2823" s="217" t="s">
        <v>17167</v>
      </c>
      <c r="E2823" s="471" t="s">
        <v>20671</v>
      </c>
      <c r="F2823" s="482">
        <v>96464</v>
      </c>
      <c r="G2823" s="470" t="s">
        <v>22009</v>
      </c>
      <c r="H2823" s="482" t="s">
        <v>1533</v>
      </c>
      <c r="I2823" s="578">
        <f>0.666*0.099</f>
        <v>6.5934000000000006e-002</v>
      </c>
      <c r="J2823" s="473">
        <f t="shared" si="1571"/>
        <v>87.650000000000006</v>
      </c>
      <c r="K2823" s="474">
        <f t="shared" si="1580"/>
        <v>5.7791151000000012</v>
      </c>
      <c r="L2823" s="473">
        <f t="shared" si="1576"/>
        <v>85.950000000000003</v>
      </c>
      <c r="M2823" s="474">
        <f t="shared" si="1581"/>
        <v>5.6670273000000009</v>
      </c>
      <c r="O2823" s="434">
        <f t="shared" si="1574"/>
        <v>87.650000000000006</v>
      </c>
      <c r="P2823" s="435">
        <f t="shared" si="1575"/>
        <v>85.950000000000003</v>
      </c>
      <c r="AE2823" s="217"/>
      <c r="AF2823" s="217">
        <v>1350</v>
      </c>
      <c r="AH2823">
        <f t="shared" ref="AH2823:AH2886" si="1582">IF(AF2823:AF2824=FALSE,AE2823,AF2823)</f>
        <v>1350</v>
      </c>
    </row>
    <row r="2824" ht="66.75" customHeight="1">
      <c r="A2824" s="460">
        <v>1351</v>
      </c>
      <c r="B2824" s="460">
        <v>1351</v>
      </c>
      <c r="C2824" s="460"/>
      <c r="D2824" s="460"/>
      <c r="E2824" s="461">
        <v>1</v>
      </c>
      <c r="F2824" s="462" t="s">
        <v>22066</v>
      </c>
      <c r="G2824" s="477" t="s">
        <v>22067</v>
      </c>
      <c r="H2824" s="579" t="s">
        <v>20647</v>
      </c>
      <c r="I2824" s="479"/>
      <c r="J2824" s="480"/>
      <c r="K2824" s="466">
        <f>SUM(K2825:K2832)</f>
        <v>1821.8343936419999</v>
      </c>
      <c r="L2824" s="480"/>
      <c r="M2824" s="466">
        <f>SUM(M2825:M2832)</f>
        <v>1819.9395063899997</v>
      </c>
      <c r="N2824" s="467" t="s">
        <v>22065</v>
      </c>
      <c r="O2824" s="434" t="str">
        <f t="shared" si="1574"/>
        <v xml:space="preserve">SEM VALOR</v>
      </c>
      <c r="P2824" s="435" t="str">
        <f t="shared" si="1575"/>
        <v xml:space="preserve">SEM VALOR</v>
      </c>
      <c r="AE2824" s="460">
        <v>1351</v>
      </c>
      <c r="AF2824" s="460"/>
      <c r="AH2824">
        <f t="shared" si="1582"/>
        <v>1351</v>
      </c>
    </row>
    <row r="2825" ht="45">
      <c r="A2825" s="217"/>
      <c r="B2825" s="217">
        <v>1351</v>
      </c>
      <c r="C2825" s="217"/>
      <c r="D2825" s="217" t="s">
        <v>20398</v>
      </c>
      <c r="E2825" s="471" t="s">
        <v>20399</v>
      </c>
      <c r="F2825" s="482">
        <v>1043</v>
      </c>
      <c r="G2825" s="470" t="s">
        <v>20919</v>
      </c>
      <c r="H2825" s="482" t="s">
        <v>15515</v>
      </c>
      <c r="I2825" s="578">
        <f>11.4*1.5</f>
        <v>17.100000000000001</v>
      </c>
      <c r="J2825" s="473">
        <f t="shared" si="1571"/>
        <v>2.8999999999999999</v>
      </c>
      <c r="K2825" s="474">
        <f t="shared" ref="K2825:K2832" si="1583">I2825*J2825</f>
        <v>49.590000000000003</v>
      </c>
      <c r="L2825" s="473">
        <f t="shared" si="1576"/>
        <v>2.9202519999999996</v>
      </c>
      <c r="M2825" s="474">
        <f t="shared" ref="M2825:M2832" si="1584">L2825*I2825</f>
        <v>49.936309199999997</v>
      </c>
      <c r="O2825" s="434">
        <f t="shared" si="1574"/>
        <v>2.8999999999999999</v>
      </c>
      <c r="P2825" s="435">
        <f t="shared" si="1575"/>
        <v>2.9202519999999996</v>
      </c>
      <c r="AE2825" s="217"/>
      <c r="AF2825" s="217">
        <v>1351</v>
      </c>
      <c r="AH2825">
        <f t="shared" si="1582"/>
        <v>1351</v>
      </c>
    </row>
    <row r="2826" ht="75">
      <c r="A2826" s="217"/>
      <c r="B2826" s="217">
        <v>1351</v>
      </c>
      <c r="C2826" s="217"/>
      <c r="D2826" s="217" t="s">
        <v>20408</v>
      </c>
      <c r="E2826" s="471" t="s">
        <v>20402</v>
      </c>
      <c r="F2826" s="482">
        <v>1518</v>
      </c>
      <c r="G2826" s="488" t="s">
        <v>11633</v>
      </c>
      <c r="H2826" s="482" t="s">
        <v>9591</v>
      </c>
      <c r="I2826" s="578">
        <f>1.026*2.5548</f>
        <v>2.6212247999999998</v>
      </c>
      <c r="J2826" s="473">
        <f t="shared" si="1571"/>
        <v>643.5</v>
      </c>
      <c r="K2826" s="474">
        <f t="shared" si="1583"/>
        <v>1686.7581587999998</v>
      </c>
      <c r="L2826" s="473">
        <f t="shared" si="1576"/>
        <v>643.5</v>
      </c>
      <c r="M2826" s="474">
        <f t="shared" si="1584"/>
        <v>1686.7581587999998</v>
      </c>
      <c r="O2826" s="434">
        <f t="shared" si="1574"/>
        <v>643.5</v>
      </c>
      <c r="P2826" s="435">
        <f t="shared" si="1575"/>
        <v>643.5</v>
      </c>
      <c r="AE2826" s="217"/>
      <c r="AF2826" s="217">
        <v>1351</v>
      </c>
      <c r="AH2826">
        <f t="shared" si="1582"/>
        <v>1351</v>
      </c>
    </row>
    <row r="2827" ht="30">
      <c r="A2827" s="217"/>
      <c r="B2827" s="217">
        <v>1351</v>
      </c>
      <c r="C2827" s="217"/>
      <c r="D2827" s="217" t="s">
        <v>17167</v>
      </c>
      <c r="E2827" s="471" t="s">
        <v>20405</v>
      </c>
      <c r="F2827" s="482">
        <v>88314</v>
      </c>
      <c r="G2827" s="470" t="s">
        <v>7391</v>
      </c>
      <c r="H2827" s="482" t="s">
        <v>2032</v>
      </c>
      <c r="I2827" s="578">
        <f>1.026*1.1301</f>
        <v>1.1594826</v>
      </c>
      <c r="J2827" s="473">
        <f t="shared" si="1571"/>
        <v>24.82</v>
      </c>
      <c r="K2827" s="474">
        <f t="shared" si="1583"/>
        <v>28.778358132000001</v>
      </c>
      <c r="L2827" s="473">
        <f t="shared" si="1576"/>
        <v>23.379999999999999</v>
      </c>
      <c r="M2827" s="474">
        <f t="shared" si="1584"/>
        <v>27.108703188</v>
      </c>
      <c r="O2827" s="434">
        <f t="shared" si="1574"/>
        <v>24.82</v>
      </c>
      <c r="P2827" s="435">
        <f t="shared" si="1575"/>
        <v>23.379999999999999</v>
      </c>
      <c r="AE2827" s="217"/>
      <c r="AF2827" s="217">
        <v>1351</v>
      </c>
      <c r="AH2827">
        <f t="shared" si="1582"/>
        <v>1351</v>
      </c>
    </row>
    <row r="2828" ht="105">
      <c r="A2828" s="217"/>
      <c r="B2828" s="217">
        <v>1351</v>
      </c>
      <c r="C2828" s="217"/>
      <c r="D2828" s="217" t="s">
        <v>17167</v>
      </c>
      <c r="E2828" s="471" t="s">
        <v>20409</v>
      </c>
      <c r="F2828" s="482">
        <v>91386</v>
      </c>
      <c r="G2828" s="470" t="s">
        <v>1571</v>
      </c>
      <c r="H2828" s="482" t="s">
        <v>1535</v>
      </c>
      <c r="I2828" s="578">
        <f>1.026*0.0464</f>
        <v>4.76064e-002</v>
      </c>
      <c r="J2828" s="473">
        <f t="shared" si="1571"/>
        <v>290.23000000000002</v>
      </c>
      <c r="K2828" s="474">
        <f t="shared" si="1583"/>
        <v>13.816805472</v>
      </c>
      <c r="L2828" s="473">
        <f t="shared" si="1576"/>
        <v>288.56</v>
      </c>
      <c r="M2828" s="474">
        <f t="shared" si="1584"/>
        <v>13.737302784000001</v>
      </c>
      <c r="O2828" s="434">
        <f t="shared" si="1574"/>
        <v>290.23000000000002</v>
      </c>
      <c r="P2828" s="435">
        <f t="shared" si="1575"/>
        <v>288.56</v>
      </c>
      <c r="AE2828" s="217"/>
      <c r="AF2828" s="217">
        <v>1351</v>
      </c>
      <c r="AH2828">
        <f t="shared" si="1582"/>
        <v>1351</v>
      </c>
    </row>
    <row r="2829" ht="75">
      <c r="A2829" s="217"/>
      <c r="B2829" s="217">
        <v>1351</v>
      </c>
      <c r="C2829" s="217"/>
      <c r="D2829" s="217" t="s">
        <v>17167</v>
      </c>
      <c r="E2829" s="471" t="s">
        <v>20663</v>
      </c>
      <c r="F2829" s="482">
        <v>95631</v>
      </c>
      <c r="G2829" s="470" t="s">
        <v>1883</v>
      </c>
      <c r="H2829" s="482" t="s">
        <v>1535</v>
      </c>
      <c r="I2829" s="578">
        <f>1.026*0.0805</f>
        <v>8.2593e-002</v>
      </c>
      <c r="J2829" s="473">
        <f t="shared" si="1571"/>
        <v>235.97999999999999</v>
      </c>
      <c r="K2829" s="474">
        <f t="shared" si="1583"/>
        <v>19.490296139999998</v>
      </c>
      <c r="L2829" s="473">
        <f t="shared" si="1576"/>
        <v>234.28</v>
      </c>
      <c r="M2829" s="474">
        <f t="shared" si="1584"/>
        <v>19.34988804</v>
      </c>
      <c r="O2829" s="434">
        <f t="shared" si="1574"/>
        <v>235.97999999999999</v>
      </c>
      <c r="P2829" s="435">
        <f t="shared" si="1575"/>
        <v>234.28</v>
      </c>
      <c r="AE2829" s="217"/>
      <c r="AF2829" s="217">
        <v>1351</v>
      </c>
      <c r="AH2829">
        <f t="shared" si="1582"/>
        <v>1351</v>
      </c>
    </row>
    <row r="2830" ht="75">
      <c r="A2830" s="217"/>
      <c r="B2830" s="217">
        <v>1351</v>
      </c>
      <c r="C2830" s="217"/>
      <c r="D2830" s="217" t="s">
        <v>17167</v>
      </c>
      <c r="E2830" s="471" t="s">
        <v>20665</v>
      </c>
      <c r="F2830" s="482">
        <v>95632</v>
      </c>
      <c r="G2830" s="470" t="s">
        <v>1882</v>
      </c>
      <c r="H2830" s="482" t="s">
        <v>1533</v>
      </c>
      <c r="I2830" s="578">
        <f>1.026*0.0607</f>
        <v>6.2278199999999999e-002</v>
      </c>
      <c r="J2830" s="473">
        <f t="shared" si="1571"/>
        <v>81.819999999999993</v>
      </c>
      <c r="K2830" s="474">
        <f t="shared" si="1583"/>
        <v>5.0956023239999997</v>
      </c>
      <c r="L2830" s="473">
        <f t="shared" si="1576"/>
        <v>80.120000000000005</v>
      </c>
      <c r="M2830" s="474">
        <f t="shared" si="1584"/>
        <v>4.9897293840000003</v>
      </c>
      <c r="O2830" s="434">
        <f t="shared" si="1574"/>
        <v>81.819999999999993</v>
      </c>
      <c r="P2830" s="435">
        <f t="shared" si="1575"/>
        <v>80.120000000000005</v>
      </c>
      <c r="AE2830" s="217"/>
      <c r="AF2830" s="217">
        <v>1351</v>
      </c>
      <c r="AH2830">
        <f t="shared" si="1582"/>
        <v>1351</v>
      </c>
    </row>
    <row r="2831" ht="90">
      <c r="A2831" s="217"/>
      <c r="B2831" s="217">
        <v>1351</v>
      </c>
      <c r="C2831" s="217"/>
      <c r="D2831" s="217" t="s">
        <v>17167</v>
      </c>
      <c r="E2831" s="471" t="s">
        <v>20667</v>
      </c>
      <c r="F2831" s="482">
        <v>96463</v>
      </c>
      <c r="G2831" s="470" t="s">
        <v>22008</v>
      </c>
      <c r="H2831" s="482" t="s">
        <v>1535</v>
      </c>
      <c r="I2831" s="483">
        <f>1.026*0.0419</f>
        <v>4.2989399999999997e-002</v>
      </c>
      <c r="J2831" s="473">
        <f t="shared" si="1571"/>
        <v>218.71000000000001</v>
      </c>
      <c r="K2831" s="474">
        <f t="shared" si="1583"/>
        <v>9.4022116740000001</v>
      </c>
      <c r="L2831" s="473">
        <f t="shared" si="1576"/>
        <v>217.00999999999999</v>
      </c>
      <c r="M2831" s="474">
        <f t="shared" si="1584"/>
        <v>9.3291296939999988</v>
      </c>
      <c r="O2831" s="434">
        <f t="shared" si="1574"/>
        <v>218.71000000000001</v>
      </c>
      <c r="P2831" s="435">
        <f t="shared" si="1575"/>
        <v>217.00999999999999</v>
      </c>
      <c r="AE2831" s="217"/>
      <c r="AF2831" s="217">
        <v>1351</v>
      </c>
      <c r="AH2831">
        <f t="shared" si="1582"/>
        <v>1351</v>
      </c>
    </row>
    <row r="2832" ht="90">
      <c r="A2832" s="217"/>
      <c r="B2832" s="217">
        <v>1351</v>
      </c>
      <c r="C2832" s="217"/>
      <c r="D2832" s="217" t="s">
        <v>17167</v>
      </c>
      <c r="E2832" s="471" t="s">
        <v>20671</v>
      </c>
      <c r="F2832" s="482">
        <v>96464</v>
      </c>
      <c r="G2832" s="470" t="s">
        <v>22009</v>
      </c>
      <c r="H2832" s="482" t="s">
        <v>1533</v>
      </c>
      <c r="I2832" s="578">
        <f>1.026*0.099</f>
        <v>0.101574</v>
      </c>
      <c r="J2832" s="473">
        <f t="shared" si="1571"/>
        <v>87.650000000000006</v>
      </c>
      <c r="K2832" s="474">
        <f t="shared" si="1583"/>
        <v>8.9029611000000006</v>
      </c>
      <c r="L2832" s="473">
        <f t="shared" si="1576"/>
        <v>85.950000000000003</v>
      </c>
      <c r="M2832" s="474">
        <f t="shared" si="1584"/>
        <v>8.7302853000000002</v>
      </c>
      <c r="O2832" s="434">
        <f t="shared" si="1574"/>
        <v>87.650000000000006</v>
      </c>
      <c r="P2832" s="435">
        <f t="shared" si="1575"/>
        <v>85.950000000000003</v>
      </c>
      <c r="AE2832" s="217"/>
      <c r="AF2832" s="217">
        <v>1351</v>
      </c>
      <c r="AH2832">
        <f t="shared" si="1582"/>
        <v>1351</v>
      </c>
    </row>
    <row r="2833" ht="78.75">
      <c r="A2833" s="460">
        <v>1352</v>
      </c>
      <c r="B2833" s="460">
        <v>1352</v>
      </c>
      <c r="C2833" s="460"/>
      <c r="D2833" s="460"/>
      <c r="E2833" s="461">
        <v>1</v>
      </c>
      <c r="F2833" s="462" t="s">
        <v>22068</v>
      </c>
      <c r="G2833" s="477" t="s">
        <v>22069</v>
      </c>
      <c r="H2833" s="579" t="s">
        <v>20647</v>
      </c>
      <c r="I2833" s="479"/>
      <c r="J2833" s="480"/>
      <c r="K2833" s="466">
        <f>SUM(K2834:K2842)</f>
        <v>672.92586284499998</v>
      </c>
      <c r="L2833" s="480"/>
      <c r="M2833" s="466">
        <f>SUM(M2834:M2842)</f>
        <v>671.35246330400003</v>
      </c>
      <c r="N2833" s="467" t="s">
        <v>22061</v>
      </c>
      <c r="O2833" s="434" t="str">
        <f t="shared" si="1574"/>
        <v xml:space="preserve">SEM VALOR</v>
      </c>
      <c r="P2833" s="435" t="str">
        <f t="shared" si="1575"/>
        <v xml:space="preserve">SEM VALOR</v>
      </c>
      <c r="AE2833" s="460">
        <v>1352</v>
      </c>
      <c r="AF2833" s="460"/>
      <c r="AH2833">
        <f t="shared" si="1582"/>
        <v>1352</v>
      </c>
    </row>
    <row r="2834" ht="105">
      <c r="A2834" s="217"/>
      <c r="B2834" s="217">
        <v>1352</v>
      </c>
      <c r="C2834" s="217"/>
      <c r="D2834" s="217" t="s">
        <v>17167</v>
      </c>
      <c r="E2834" s="471" t="s">
        <v>20399</v>
      </c>
      <c r="F2834" s="482">
        <v>73467</v>
      </c>
      <c r="G2834" s="470" t="s">
        <v>1601</v>
      </c>
      <c r="H2834" s="482" t="s">
        <v>1535</v>
      </c>
      <c r="I2834" s="578">
        <f>0.3/4.2</f>
        <v>7.1428599999999995e-002</v>
      </c>
      <c r="J2834" s="473">
        <f t="shared" si="1571"/>
        <v>270.61000000000001</v>
      </c>
      <c r="K2834" s="474">
        <f t="shared" ref="K2834:K2842" si="1585">I2834*J2834</f>
        <v>19.329293446000001</v>
      </c>
      <c r="L2834" s="473">
        <f t="shared" si="1576"/>
        <v>269.00999999999999</v>
      </c>
      <c r="M2834" s="474">
        <f t="shared" ref="M2834:M2842" si="1586">L2834*I2834</f>
        <v>19.215007685999996</v>
      </c>
      <c r="N2834" s="467" t="s">
        <v>21418</v>
      </c>
      <c r="O2834" s="434">
        <f t="shared" si="1574"/>
        <v>270.61000000000001</v>
      </c>
      <c r="P2834" s="435">
        <f t="shared" si="1575"/>
        <v>269.00999999999999</v>
      </c>
      <c r="AE2834" s="217"/>
      <c r="AF2834" s="217">
        <v>1352</v>
      </c>
      <c r="AH2834">
        <f t="shared" si="1582"/>
        <v>1352</v>
      </c>
    </row>
    <row r="2835" ht="105">
      <c r="A2835" s="217"/>
      <c r="B2835" s="217">
        <v>1352</v>
      </c>
      <c r="C2835" s="217"/>
      <c r="D2835" s="217" t="s">
        <v>17167</v>
      </c>
      <c r="E2835" s="471" t="s">
        <v>20402</v>
      </c>
      <c r="F2835" s="482">
        <v>91395</v>
      </c>
      <c r="G2835" s="470" t="s">
        <v>1600</v>
      </c>
      <c r="H2835" s="482" t="s">
        <v>1533</v>
      </c>
      <c r="I2835" s="578">
        <f>0.7/4.2</f>
        <v>0.1666667</v>
      </c>
      <c r="J2835" s="473">
        <f t="shared" si="1571"/>
        <v>58.25</v>
      </c>
      <c r="K2835" s="474">
        <f t="shared" si="1585"/>
        <v>9.7083352749999996</v>
      </c>
      <c r="L2835" s="473">
        <f t="shared" si="1576"/>
        <v>56.649999999999999</v>
      </c>
      <c r="M2835" s="474">
        <f t="shared" si="1586"/>
        <v>9.4416685549999997</v>
      </c>
      <c r="O2835" s="434">
        <f t="shared" si="1574"/>
        <v>58.25</v>
      </c>
      <c r="P2835" s="435">
        <f t="shared" si="1575"/>
        <v>56.649999999999999</v>
      </c>
      <c r="AE2835" s="217"/>
      <c r="AF2835" s="217">
        <v>1352</v>
      </c>
      <c r="AH2835">
        <f t="shared" si="1582"/>
        <v>1352</v>
      </c>
    </row>
    <row r="2836" ht="45">
      <c r="A2836" s="217"/>
      <c r="B2836" s="217">
        <v>1352</v>
      </c>
      <c r="C2836" s="217"/>
      <c r="D2836" s="217" t="s">
        <v>17167</v>
      </c>
      <c r="E2836" s="471" t="s">
        <v>20405</v>
      </c>
      <c r="F2836" s="482">
        <v>88277</v>
      </c>
      <c r="G2836" s="488" t="s">
        <v>7341</v>
      </c>
      <c r="H2836" s="482" t="s">
        <v>2032</v>
      </c>
      <c r="I2836" s="578">
        <f t="shared" ref="I2836:I2837" si="1587">1/4.2</f>
        <v>0.23809520000000001</v>
      </c>
      <c r="J2836" s="473">
        <f t="shared" si="1571"/>
        <v>28.359999999999999</v>
      </c>
      <c r="K2836" s="474">
        <f t="shared" si="1585"/>
        <v>6.7523798719999997</v>
      </c>
      <c r="L2836" s="473">
        <f t="shared" si="1576"/>
        <v>26.640000000000001</v>
      </c>
      <c r="M2836" s="474">
        <f t="shared" si="1586"/>
        <v>6.3428561280000002</v>
      </c>
      <c r="O2836" s="434">
        <f t="shared" si="1574"/>
        <v>28.359999999999999</v>
      </c>
      <c r="P2836" s="435">
        <f t="shared" si="1575"/>
        <v>26.640000000000001</v>
      </c>
      <c r="AE2836" s="217"/>
      <c r="AF2836" s="217">
        <v>1352</v>
      </c>
      <c r="AH2836">
        <f t="shared" si="1582"/>
        <v>1352</v>
      </c>
    </row>
    <row r="2837" ht="30">
      <c r="A2837" s="217"/>
      <c r="B2837" s="217">
        <v>1352</v>
      </c>
      <c r="C2837" s="217"/>
      <c r="D2837" s="217" t="s">
        <v>17167</v>
      </c>
      <c r="E2837" s="471" t="s">
        <v>20409</v>
      </c>
      <c r="F2837" s="482">
        <v>88316</v>
      </c>
      <c r="G2837" s="470" t="s">
        <v>7393</v>
      </c>
      <c r="H2837" s="482" t="s">
        <v>2032</v>
      </c>
      <c r="I2837" s="578">
        <f t="shared" si="1587"/>
        <v>0.23809520000000001</v>
      </c>
      <c r="J2837" s="473">
        <f t="shared" si="1571"/>
        <v>22.760000000000002</v>
      </c>
      <c r="K2837" s="474">
        <f t="shared" si="1585"/>
        <v>5.4190467520000007</v>
      </c>
      <c r="L2837" s="473">
        <f t="shared" si="1576"/>
        <v>21.550000000000001</v>
      </c>
      <c r="M2837" s="474">
        <f t="shared" si="1586"/>
        <v>5.1309515600000006</v>
      </c>
      <c r="O2837" s="434">
        <f t="shared" si="1574"/>
        <v>22.760000000000002</v>
      </c>
      <c r="P2837" s="435">
        <f t="shared" si="1575"/>
        <v>21.550000000000001</v>
      </c>
      <c r="AE2837" s="217"/>
      <c r="AF2837" s="217">
        <v>1352</v>
      </c>
      <c r="AH2837">
        <f t="shared" si="1582"/>
        <v>1352</v>
      </c>
    </row>
    <row r="2838" ht="60">
      <c r="A2838" s="217"/>
      <c r="B2838" s="217">
        <v>1352</v>
      </c>
      <c r="C2838" s="217"/>
      <c r="D2838" s="217" t="s">
        <v>20408</v>
      </c>
      <c r="E2838" s="471" t="s">
        <v>20663</v>
      </c>
      <c r="F2838" s="482">
        <v>21013</v>
      </c>
      <c r="G2838" s="470" t="s">
        <v>22062</v>
      </c>
      <c r="H2838" s="482" t="s">
        <v>21420</v>
      </c>
      <c r="I2838" s="578">
        <v>3.2000000000000002</v>
      </c>
      <c r="J2838" s="473">
        <f t="shared" si="1571"/>
        <v>66.920000000000002</v>
      </c>
      <c r="K2838" s="474">
        <f t="shared" si="1585"/>
        <v>214.14400000000001</v>
      </c>
      <c r="L2838" s="473">
        <f t="shared" si="1576"/>
        <v>66.920000000000002</v>
      </c>
      <c r="M2838" s="474">
        <f t="shared" si="1586"/>
        <v>214.14400000000001</v>
      </c>
      <c r="O2838" s="434">
        <f t="shared" si="1574"/>
        <v>66.920000000000002</v>
      </c>
      <c r="P2838" s="435">
        <f t="shared" si="1575"/>
        <v>66.920000000000002</v>
      </c>
      <c r="AE2838" s="217"/>
      <c r="AF2838" s="217">
        <v>1352</v>
      </c>
      <c r="AH2838">
        <f t="shared" si="1582"/>
        <v>1352</v>
      </c>
    </row>
    <row r="2839" ht="30">
      <c r="A2839" s="217"/>
      <c r="B2839" s="217">
        <v>1352</v>
      </c>
      <c r="C2839" s="217"/>
      <c r="D2839" s="217" t="s">
        <v>20408</v>
      </c>
      <c r="E2839" s="471" t="s">
        <v>20665</v>
      </c>
      <c r="F2839" s="489">
        <v>34723</v>
      </c>
      <c r="G2839" s="470" t="s">
        <v>21184</v>
      </c>
      <c r="H2839" s="499" t="s">
        <v>15515</v>
      </c>
      <c r="I2839" s="483">
        <v>0.39850000000000002</v>
      </c>
      <c r="J2839" s="473">
        <f t="shared" si="1571"/>
        <v>997.91999999999996</v>
      </c>
      <c r="K2839" s="474">
        <f t="shared" si="1585"/>
        <v>397.67112000000003</v>
      </c>
      <c r="L2839" s="473">
        <f t="shared" si="1576"/>
        <v>997.91999999999996</v>
      </c>
      <c r="M2839" s="474">
        <f t="shared" si="1586"/>
        <v>397.67112000000003</v>
      </c>
      <c r="O2839" s="434">
        <f t="shared" si="1574"/>
        <v>997.91999999999996</v>
      </c>
      <c r="P2839" s="435">
        <f t="shared" si="1575"/>
        <v>997.91999999999996</v>
      </c>
      <c r="AE2839" s="217"/>
      <c r="AF2839" s="217">
        <v>1352</v>
      </c>
      <c r="AH2839">
        <f t="shared" si="1582"/>
        <v>1352</v>
      </c>
    </row>
    <row r="2840" ht="60">
      <c r="A2840" s="217"/>
      <c r="B2840" s="217">
        <v>1352</v>
      </c>
      <c r="C2840" s="217"/>
      <c r="D2840" s="217" t="s">
        <v>17167</v>
      </c>
      <c r="E2840" s="471" t="s">
        <v>20667</v>
      </c>
      <c r="F2840" s="482">
        <v>94963</v>
      </c>
      <c r="G2840" s="470" t="s">
        <v>20684</v>
      </c>
      <c r="H2840" s="482" t="s">
        <v>15528</v>
      </c>
      <c r="I2840" s="578">
        <v>3.125e-002</v>
      </c>
      <c r="J2840" s="473">
        <f t="shared" si="1571"/>
        <v>441.43000000000001</v>
      </c>
      <c r="K2840" s="474">
        <f t="shared" si="1585"/>
        <v>13.7946875</v>
      </c>
      <c r="L2840" s="473">
        <f t="shared" si="1576"/>
        <v>436.14999999999998</v>
      </c>
      <c r="M2840" s="474">
        <f t="shared" si="1586"/>
        <v>13.629687499999999</v>
      </c>
      <c r="O2840" s="434">
        <f t="shared" si="1574"/>
        <v>441.43000000000001</v>
      </c>
      <c r="P2840" s="435">
        <f t="shared" si="1575"/>
        <v>436.14999999999998</v>
      </c>
      <c r="AE2840" s="217"/>
      <c r="AF2840" s="217">
        <v>1352</v>
      </c>
      <c r="AH2840">
        <f t="shared" si="1582"/>
        <v>1352</v>
      </c>
    </row>
    <row r="2841" ht="45">
      <c r="A2841" s="217"/>
      <c r="B2841" s="217">
        <v>1352</v>
      </c>
      <c r="C2841" s="217"/>
      <c r="D2841" s="217" t="s">
        <v>20398</v>
      </c>
      <c r="E2841" s="471" t="s">
        <v>20671</v>
      </c>
      <c r="F2841" s="489">
        <v>1259</v>
      </c>
      <c r="G2841" s="470" t="s">
        <v>20796</v>
      </c>
      <c r="H2841" s="482" t="s">
        <v>15528</v>
      </c>
      <c r="I2841" s="614">
        <v>3.125e-002</v>
      </c>
      <c r="J2841" s="473">
        <f t="shared" si="1571"/>
        <v>45.520000000000003</v>
      </c>
      <c r="K2841" s="474">
        <f t="shared" si="1585"/>
        <v>1.4225000000000001</v>
      </c>
      <c r="L2841" s="473">
        <f t="shared" si="1576"/>
        <v>43.100000000000001</v>
      </c>
      <c r="M2841" s="474">
        <f t="shared" si="1586"/>
        <v>1.346875</v>
      </c>
      <c r="O2841" s="434">
        <f t="shared" si="1574"/>
        <v>45.520000000000003</v>
      </c>
      <c r="P2841" s="435">
        <f t="shared" si="1575"/>
        <v>43.100000000000001</v>
      </c>
      <c r="AE2841" s="217"/>
      <c r="AF2841" s="217">
        <v>1352</v>
      </c>
      <c r="AH2841">
        <f t="shared" si="1582"/>
        <v>1352</v>
      </c>
    </row>
    <row r="2842" ht="45">
      <c r="A2842" s="217"/>
      <c r="B2842" s="217">
        <v>1352</v>
      </c>
      <c r="C2842" s="217"/>
      <c r="D2842" s="217" t="s">
        <v>20398</v>
      </c>
      <c r="E2842" s="471" t="s">
        <v>20672</v>
      </c>
      <c r="F2842" s="482">
        <v>1000</v>
      </c>
      <c r="G2842" s="470" t="s">
        <v>20651</v>
      </c>
      <c r="H2842" s="482" t="s">
        <v>15528</v>
      </c>
      <c r="I2842" s="614">
        <f>I2840</f>
        <v>3.125e-002</v>
      </c>
      <c r="J2842" s="473">
        <f t="shared" si="1571"/>
        <v>149.904</v>
      </c>
      <c r="K2842" s="474">
        <f t="shared" si="1585"/>
        <v>4.6844999999999999</v>
      </c>
      <c r="L2842" s="473">
        <f t="shared" si="1576"/>
        <v>141.76949999999999</v>
      </c>
      <c r="M2842" s="474">
        <f t="shared" si="1586"/>
        <v>4.4302968749999998</v>
      </c>
      <c r="O2842" s="434">
        <f t="shared" si="1574"/>
        <v>149.904</v>
      </c>
      <c r="P2842" s="435">
        <f t="shared" si="1575"/>
        <v>141.76949999999999</v>
      </c>
      <c r="AE2842" s="217"/>
      <c r="AF2842" s="217">
        <v>1352</v>
      </c>
      <c r="AH2842">
        <f t="shared" si="1582"/>
        <v>1352</v>
      </c>
    </row>
    <row r="2843" ht="94.5">
      <c r="A2843" s="460">
        <v>1353</v>
      </c>
      <c r="B2843" s="460">
        <v>1353</v>
      </c>
      <c r="C2843" s="460"/>
      <c r="D2843" s="460"/>
      <c r="E2843" s="461">
        <v>1</v>
      </c>
      <c r="F2843" s="462" t="s">
        <v>22070</v>
      </c>
      <c r="G2843" s="477" t="s">
        <v>22071</v>
      </c>
      <c r="H2843" s="579" t="s">
        <v>20647</v>
      </c>
      <c r="I2843" s="479"/>
      <c r="J2843" s="480"/>
      <c r="K2843" s="466">
        <f>SUM(K2844:K2852)</f>
        <v>590.597462845</v>
      </c>
      <c r="L2843" s="480"/>
      <c r="M2843" s="466">
        <f>SUM(M2844:M2852)</f>
        <v>589.02406330399992</v>
      </c>
      <c r="N2843" s="467" t="s">
        <v>22061</v>
      </c>
      <c r="O2843" s="434" t="str">
        <f t="shared" si="1574"/>
        <v xml:space="preserve">SEM VALOR</v>
      </c>
      <c r="P2843" s="435" t="str">
        <f t="shared" si="1575"/>
        <v xml:space="preserve">SEM VALOR</v>
      </c>
      <c r="AE2843" s="460">
        <v>1353</v>
      </c>
      <c r="AF2843" s="460"/>
      <c r="AH2843">
        <f t="shared" si="1582"/>
        <v>1353</v>
      </c>
    </row>
    <row r="2844" ht="105">
      <c r="A2844" s="217"/>
      <c r="B2844" s="217">
        <v>1353</v>
      </c>
      <c r="C2844" s="217"/>
      <c r="D2844" s="217" t="s">
        <v>17167</v>
      </c>
      <c r="E2844" s="471" t="s">
        <v>20399</v>
      </c>
      <c r="F2844" s="482">
        <v>73467</v>
      </c>
      <c r="G2844" s="470" t="s">
        <v>1601</v>
      </c>
      <c r="H2844" s="482" t="s">
        <v>1535</v>
      </c>
      <c r="I2844" s="578">
        <v>7.1428599999999995e-002</v>
      </c>
      <c r="J2844" s="473">
        <f t="shared" si="1571"/>
        <v>270.61000000000001</v>
      </c>
      <c r="K2844" s="474">
        <f t="shared" ref="K2844:K2852" si="1588">I2844*J2844</f>
        <v>19.329293446000001</v>
      </c>
      <c r="L2844" s="473">
        <f t="shared" si="1576"/>
        <v>269.00999999999999</v>
      </c>
      <c r="M2844" s="474">
        <f t="shared" ref="M2844:M2852" si="1589">L2844*I2844</f>
        <v>19.215007685999996</v>
      </c>
      <c r="N2844" s="467" t="s">
        <v>21418</v>
      </c>
      <c r="O2844" s="434">
        <f t="shared" si="1574"/>
        <v>270.61000000000001</v>
      </c>
      <c r="P2844" s="435">
        <f t="shared" si="1575"/>
        <v>269.00999999999999</v>
      </c>
      <c r="AE2844" s="217"/>
      <c r="AF2844" s="217">
        <v>1353</v>
      </c>
      <c r="AH2844">
        <f t="shared" si="1582"/>
        <v>1353</v>
      </c>
    </row>
    <row r="2845" ht="105">
      <c r="A2845" s="217"/>
      <c r="B2845" s="217">
        <v>1353</v>
      </c>
      <c r="C2845" s="217"/>
      <c r="D2845" s="217" t="s">
        <v>17167</v>
      </c>
      <c r="E2845" s="471" t="s">
        <v>20402</v>
      </c>
      <c r="F2845" s="482">
        <v>91395</v>
      </c>
      <c r="G2845" s="470" t="s">
        <v>1600</v>
      </c>
      <c r="H2845" s="482" t="s">
        <v>1533</v>
      </c>
      <c r="I2845" s="578">
        <v>0.1666667</v>
      </c>
      <c r="J2845" s="473">
        <f t="shared" si="1571"/>
        <v>58.25</v>
      </c>
      <c r="K2845" s="474">
        <f t="shared" si="1588"/>
        <v>9.7083352749999996</v>
      </c>
      <c r="L2845" s="473">
        <f t="shared" si="1576"/>
        <v>56.649999999999999</v>
      </c>
      <c r="M2845" s="474">
        <f t="shared" si="1589"/>
        <v>9.4416685549999997</v>
      </c>
      <c r="O2845" s="434">
        <f t="shared" si="1574"/>
        <v>58.25</v>
      </c>
      <c r="P2845" s="435">
        <f t="shared" si="1575"/>
        <v>56.649999999999999</v>
      </c>
      <c r="AE2845" s="217"/>
      <c r="AF2845" s="217">
        <v>1353</v>
      </c>
      <c r="AH2845">
        <f t="shared" si="1582"/>
        <v>1353</v>
      </c>
    </row>
    <row r="2846" ht="45">
      <c r="A2846" s="217"/>
      <c r="B2846" s="217">
        <v>1353</v>
      </c>
      <c r="C2846" s="217"/>
      <c r="D2846" s="217" t="s">
        <v>17167</v>
      </c>
      <c r="E2846" s="471" t="s">
        <v>20405</v>
      </c>
      <c r="F2846" s="482">
        <v>88277</v>
      </c>
      <c r="G2846" s="488" t="s">
        <v>7341</v>
      </c>
      <c r="H2846" s="482" t="s">
        <v>2032</v>
      </c>
      <c r="I2846" s="578">
        <v>0.23809520000000001</v>
      </c>
      <c r="J2846" s="473">
        <f t="shared" ref="J2846:J2909" si="1590">O2846*$J$3</f>
        <v>28.359999999999999</v>
      </c>
      <c r="K2846" s="474">
        <f t="shared" si="1588"/>
        <v>6.7523798719999997</v>
      </c>
      <c r="L2846" s="473">
        <f t="shared" si="1576"/>
        <v>26.640000000000001</v>
      </c>
      <c r="M2846" s="474">
        <f t="shared" si="1589"/>
        <v>6.3428561280000002</v>
      </c>
      <c r="O2846" s="434">
        <f t="shared" si="1574"/>
        <v>28.359999999999999</v>
      </c>
      <c r="P2846" s="435">
        <f t="shared" si="1575"/>
        <v>26.640000000000001</v>
      </c>
      <c r="AE2846" s="217"/>
      <c r="AF2846" s="217">
        <v>1353</v>
      </c>
      <c r="AH2846">
        <f t="shared" si="1582"/>
        <v>1353</v>
      </c>
    </row>
    <row r="2847" ht="30">
      <c r="A2847" s="217"/>
      <c r="B2847" s="217">
        <v>1353</v>
      </c>
      <c r="C2847" s="217"/>
      <c r="D2847" s="217" t="s">
        <v>17167</v>
      </c>
      <c r="E2847" s="471" t="s">
        <v>20409</v>
      </c>
      <c r="F2847" s="482">
        <v>88316</v>
      </c>
      <c r="G2847" s="470" t="s">
        <v>7393</v>
      </c>
      <c r="H2847" s="482" t="s">
        <v>2032</v>
      </c>
      <c r="I2847" s="578">
        <v>0.23809520000000001</v>
      </c>
      <c r="J2847" s="473">
        <f t="shared" si="1590"/>
        <v>22.760000000000002</v>
      </c>
      <c r="K2847" s="474">
        <f t="shared" si="1588"/>
        <v>5.4190467520000007</v>
      </c>
      <c r="L2847" s="473">
        <f t="shared" si="1576"/>
        <v>21.550000000000001</v>
      </c>
      <c r="M2847" s="474">
        <f t="shared" si="1589"/>
        <v>5.1309515600000006</v>
      </c>
      <c r="O2847" s="434">
        <f t="shared" si="1574"/>
        <v>22.760000000000002</v>
      </c>
      <c r="P2847" s="435">
        <f t="shared" si="1575"/>
        <v>21.550000000000001</v>
      </c>
      <c r="AE2847" s="217"/>
      <c r="AF2847" s="217">
        <v>1353</v>
      </c>
      <c r="AH2847">
        <f t="shared" si="1582"/>
        <v>1353</v>
      </c>
    </row>
    <row r="2848" ht="60">
      <c r="A2848" s="217"/>
      <c r="B2848" s="217">
        <v>1353</v>
      </c>
      <c r="C2848" s="217"/>
      <c r="D2848" s="217" t="s">
        <v>20408</v>
      </c>
      <c r="E2848" s="471" t="s">
        <v>20663</v>
      </c>
      <c r="F2848" s="482">
        <v>21013</v>
      </c>
      <c r="G2848" s="470" t="s">
        <v>22062</v>
      </c>
      <c r="H2848" s="482" t="s">
        <v>21420</v>
      </c>
      <c r="I2848" s="578">
        <v>3.2000000000000002</v>
      </c>
      <c r="J2848" s="473">
        <f t="shared" si="1590"/>
        <v>66.920000000000002</v>
      </c>
      <c r="K2848" s="474">
        <f t="shared" si="1588"/>
        <v>214.14400000000001</v>
      </c>
      <c r="L2848" s="473">
        <f t="shared" si="1576"/>
        <v>66.920000000000002</v>
      </c>
      <c r="M2848" s="474">
        <f t="shared" si="1589"/>
        <v>214.14400000000001</v>
      </c>
      <c r="O2848" s="434">
        <f t="shared" si="1574"/>
        <v>66.920000000000002</v>
      </c>
      <c r="P2848" s="435">
        <f t="shared" si="1575"/>
        <v>66.920000000000002</v>
      </c>
      <c r="AE2848" s="217"/>
      <c r="AF2848" s="217">
        <v>1353</v>
      </c>
      <c r="AH2848">
        <f t="shared" si="1582"/>
        <v>1353</v>
      </c>
    </row>
    <row r="2849" ht="30">
      <c r="A2849" s="217"/>
      <c r="B2849" s="217">
        <v>1353</v>
      </c>
      <c r="C2849" s="217"/>
      <c r="D2849" s="217" t="s">
        <v>20408</v>
      </c>
      <c r="E2849" s="471" t="s">
        <v>20665</v>
      </c>
      <c r="F2849" s="489">
        <v>34723</v>
      </c>
      <c r="G2849" s="470" t="s">
        <v>21184</v>
      </c>
      <c r="H2849" s="499" t="s">
        <v>15515</v>
      </c>
      <c r="I2849" s="483">
        <v>0.316</v>
      </c>
      <c r="J2849" s="473">
        <f t="shared" si="1590"/>
        <v>997.91999999999996</v>
      </c>
      <c r="K2849" s="474">
        <f t="shared" si="1588"/>
        <v>315.34271999999999</v>
      </c>
      <c r="L2849" s="473">
        <f t="shared" si="1576"/>
        <v>997.91999999999996</v>
      </c>
      <c r="M2849" s="474">
        <f t="shared" si="1589"/>
        <v>315.34271999999999</v>
      </c>
      <c r="O2849" s="434">
        <f t="shared" si="1574"/>
        <v>997.91999999999996</v>
      </c>
      <c r="P2849" s="435">
        <f t="shared" si="1575"/>
        <v>997.91999999999996</v>
      </c>
      <c r="AE2849" s="217"/>
      <c r="AF2849" s="217">
        <v>1353</v>
      </c>
      <c r="AH2849">
        <f t="shared" si="1582"/>
        <v>1353</v>
      </c>
    </row>
    <row r="2850" ht="60">
      <c r="A2850" s="217"/>
      <c r="B2850" s="217">
        <v>1353</v>
      </c>
      <c r="C2850" s="217"/>
      <c r="D2850" s="217" t="s">
        <v>17167</v>
      </c>
      <c r="E2850" s="471" t="s">
        <v>20667</v>
      </c>
      <c r="F2850" s="482">
        <v>94963</v>
      </c>
      <c r="G2850" s="470" t="s">
        <v>20684</v>
      </c>
      <c r="H2850" s="482" t="s">
        <v>15528</v>
      </c>
      <c r="I2850" s="578">
        <v>3.125e-002</v>
      </c>
      <c r="J2850" s="473">
        <f t="shared" si="1590"/>
        <v>441.43000000000001</v>
      </c>
      <c r="K2850" s="474">
        <f t="shared" si="1588"/>
        <v>13.7946875</v>
      </c>
      <c r="L2850" s="473">
        <f t="shared" si="1576"/>
        <v>436.14999999999998</v>
      </c>
      <c r="M2850" s="474">
        <f t="shared" si="1589"/>
        <v>13.629687499999999</v>
      </c>
      <c r="O2850" s="434">
        <f t="shared" si="1574"/>
        <v>441.43000000000001</v>
      </c>
      <c r="P2850" s="435">
        <f t="shared" si="1575"/>
        <v>436.14999999999998</v>
      </c>
      <c r="AE2850" s="217"/>
      <c r="AF2850" s="217">
        <v>1353</v>
      </c>
      <c r="AH2850">
        <f t="shared" si="1582"/>
        <v>1353</v>
      </c>
    </row>
    <row r="2851" ht="45">
      <c r="A2851" s="217"/>
      <c r="B2851" s="217">
        <v>1353</v>
      </c>
      <c r="C2851" s="217"/>
      <c r="D2851" s="217" t="s">
        <v>20398</v>
      </c>
      <c r="E2851" s="471" t="s">
        <v>20671</v>
      </c>
      <c r="F2851" s="489">
        <v>1259</v>
      </c>
      <c r="G2851" s="470" t="s">
        <v>20796</v>
      </c>
      <c r="H2851" s="482" t="s">
        <v>15528</v>
      </c>
      <c r="I2851" s="614">
        <v>3.125e-002</v>
      </c>
      <c r="J2851" s="473">
        <f t="shared" si="1590"/>
        <v>45.520000000000003</v>
      </c>
      <c r="K2851" s="474">
        <f t="shared" si="1588"/>
        <v>1.4225000000000001</v>
      </c>
      <c r="L2851" s="473">
        <f t="shared" si="1576"/>
        <v>43.100000000000001</v>
      </c>
      <c r="M2851" s="474">
        <f t="shared" si="1589"/>
        <v>1.346875</v>
      </c>
      <c r="O2851" s="434">
        <f t="shared" si="1574"/>
        <v>45.520000000000003</v>
      </c>
      <c r="P2851" s="435">
        <f t="shared" si="1575"/>
        <v>43.100000000000001</v>
      </c>
      <c r="AE2851" s="217"/>
      <c r="AF2851" s="217">
        <v>1353</v>
      </c>
      <c r="AH2851">
        <f t="shared" si="1582"/>
        <v>1353</v>
      </c>
    </row>
    <row r="2852" ht="45">
      <c r="A2852" s="217"/>
      <c r="B2852" s="217">
        <v>1353</v>
      </c>
      <c r="C2852" s="217"/>
      <c r="D2852" s="217" t="s">
        <v>20398</v>
      </c>
      <c r="E2852" s="471" t="s">
        <v>20672</v>
      </c>
      <c r="F2852" s="482">
        <v>1000</v>
      </c>
      <c r="G2852" s="470" t="s">
        <v>20651</v>
      </c>
      <c r="H2852" s="482" t="s">
        <v>15528</v>
      </c>
      <c r="I2852" s="614">
        <v>3.125e-002</v>
      </c>
      <c r="J2852" s="473">
        <f t="shared" si="1590"/>
        <v>149.904</v>
      </c>
      <c r="K2852" s="474">
        <f t="shared" si="1588"/>
        <v>4.6844999999999999</v>
      </c>
      <c r="L2852" s="473">
        <f t="shared" si="1576"/>
        <v>141.76949999999999</v>
      </c>
      <c r="M2852" s="474">
        <f t="shared" si="1589"/>
        <v>4.4302968749999998</v>
      </c>
      <c r="O2852" s="434">
        <f t="shared" si="1574"/>
        <v>149.904</v>
      </c>
      <c r="P2852" s="435">
        <f t="shared" si="1575"/>
        <v>141.76949999999999</v>
      </c>
      <c r="AE2852" s="217"/>
      <c r="AF2852" s="217">
        <v>1353</v>
      </c>
      <c r="AH2852">
        <f t="shared" si="1582"/>
        <v>1353</v>
      </c>
    </row>
    <row r="2853" ht="50.25" customHeight="1">
      <c r="A2853" s="460">
        <v>1354</v>
      </c>
      <c r="B2853" s="460">
        <v>1354</v>
      </c>
      <c r="C2853" s="460"/>
      <c r="D2853" s="460"/>
      <c r="E2853" s="461">
        <v>1</v>
      </c>
      <c r="F2853" s="462" t="s">
        <v>22072</v>
      </c>
      <c r="G2853" s="477" t="s">
        <v>22073</v>
      </c>
      <c r="H2853" s="579" t="s">
        <v>15528</v>
      </c>
      <c r="I2853" s="479"/>
      <c r="J2853" s="480"/>
      <c r="K2853" s="466">
        <f>SUM(K2854:K2862)</f>
        <v>15.625956</v>
      </c>
      <c r="L2853" s="480"/>
      <c r="M2853" s="466">
        <f>SUM(M2854:M2862)</f>
        <v>15.391906000000002</v>
      </c>
      <c r="N2853" s="467" t="s">
        <v>22074</v>
      </c>
      <c r="O2853" s="434" t="str">
        <f t="shared" si="1574"/>
        <v xml:space="preserve">SEM VALOR</v>
      </c>
      <c r="P2853" s="435" t="str">
        <f t="shared" si="1575"/>
        <v xml:space="preserve">SEM VALOR</v>
      </c>
      <c r="AE2853" s="460">
        <v>1354</v>
      </c>
      <c r="AF2853" s="460"/>
      <c r="AH2853">
        <f t="shared" si="1582"/>
        <v>1354</v>
      </c>
    </row>
    <row r="2854" ht="90">
      <c r="A2854" s="217"/>
      <c r="B2854" s="217">
        <v>1354</v>
      </c>
      <c r="C2854" s="217"/>
      <c r="D2854" s="217" t="s">
        <v>17167</v>
      </c>
      <c r="E2854" s="471" t="s">
        <v>20399</v>
      </c>
      <c r="F2854" s="489">
        <v>5684</v>
      </c>
      <c r="G2854" s="470" t="s">
        <v>1885</v>
      </c>
      <c r="H2854" s="482" t="s">
        <v>1535</v>
      </c>
      <c r="I2854" s="483">
        <v>9.4000000000000004e-003</v>
      </c>
      <c r="J2854" s="473">
        <f t="shared" si="1590"/>
        <v>164.22</v>
      </c>
      <c r="K2854" s="474">
        <f t="shared" ref="K2854:K2862" si="1591">I2854*J2854</f>
        <v>1.543668</v>
      </c>
      <c r="L2854" s="473">
        <f t="shared" si="1576"/>
        <v>162.52000000000001</v>
      </c>
      <c r="M2854" s="474">
        <f t="shared" ref="M2854:M2862" si="1592">L2854*I2854</f>
        <v>1.5276880000000002</v>
      </c>
      <c r="O2854" s="434">
        <f t="shared" si="1574"/>
        <v>164.22</v>
      </c>
      <c r="P2854" s="435">
        <f t="shared" si="1575"/>
        <v>162.52000000000001</v>
      </c>
      <c r="AE2854" s="217"/>
      <c r="AF2854" s="217">
        <v>1354</v>
      </c>
      <c r="AH2854">
        <f t="shared" si="1582"/>
        <v>1354</v>
      </c>
    </row>
    <row r="2855" ht="90">
      <c r="A2855" s="217"/>
      <c r="B2855" s="217">
        <v>1354</v>
      </c>
      <c r="C2855" s="217"/>
      <c r="D2855" s="217" t="s">
        <v>17167</v>
      </c>
      <c r="E2855" s="471" t="s">
        <v>20402</v>
      </c>
      <c r="F2855" s="489">
        <v>5685</v>
      </c>
      <c r="G2855" s="470" t="s">
        <v>1884</v>
      </c>
      <c r="H2855" s="482" t="s">
        <v>1533</v>
      </c>
      <c r="I2855" s="483">
        <v>3.0999999999999999e-003</v>
      </c>
      <c r="J2855" s="473">
        <f t="shared" si="1590"/>
        <v>64.049999999999997</v>
      </c>
      <c r="K2855" s="474">
        <f t="shared" si="1591"/>
        <v>0.19855499999999998</v>
      </c>
      <c r="L2855" s="473">
        <f t="shared" si="1576"/>
        <v>62.350000000000001</v>
      </c>
      <c r="M2855" s="474">
        <f t="shared" si="1592"/>
        <v>0.19328499999999998</v>
      </c>
      <c r="O2855" s="434">
        <f t="shared" si="1574"/>
        <v>64.049999999999997</v>
      </c>
      <c r="P2855" s="435">
        <f t="shared" si="1575"/>
        <v>62.350000000000001</v>
      </c>
      <c r="AE2855" s="217"/>
      <c r="AF2855" s="217">
        <v>1354</v>
      </c>
      <c r="AH2855">
        <f t="shared" si="1582"/>
        <v>1354</v>
      </c>
    </row>
    <row r="2856" ht="75">
      <c r="A2856" s="217"/>
      <c r="B2856" s="217">
        <v>1354</v>
      </c>
      <c r="C2856" s="217"/>
      <c r="D2856" s="217" t="s">
        <v>17167</v>
      </c>
      <c r="E2856" s="471" t="s">
        <v>20405</v>
      </c>
      <c r="F2856" s="489">
        <v>5940</v>
      </c>
      <c r="G2856" s="470" t="s">
        <v>1863</v>
      </c>
      <c r="H2856" s="482" t="s">
        <v>1535</v>
      </c>
      <c r="I2856" s="483">
        <v>9.4000000000000004e-003</v>
      </c>
      <c r="J2856" s="473">
        <f t="shared" si="1590"/>
        <v>171.97999999999999</v>
      </c>
      <c r="K2856" s="474">
        <f t="shared" si="1591"/>
        <v>1.6166119999999999</v>
      </c>
      <c r="L2856" s="473">
        <f t="shared" si="1576"/>
        <v>170.09</v>
      </c>
      <c r="M2856" s="474">
        <f t="shared" si="1592"/>
        <v>1.598846</v>
      </c>
      <c r="O2856" s="434">
        <f t="shared" si="1574"/>
        <v>171.97999999999999</v>
      </c>
      <c r="P2856" s="435">
        <f t="shared" si="1575"/>
        <v>170.09</v>
      </c>
      <c r="AE2856" s="217"/>
      <c r="AF2856" s="217">
        <v>1354</v>
      </c>
      <c r="AH2856">
        <f t="shared" si="1582"/>
        <v>1354</v>
      </c>
    </row>
    <row r="2857" ht="75">
      <c r="A2857" s="217"/>
      <c r="B2857" s="217">
        <v>1354</v>
      </c>
      <c r="C2857" s="217"/>
      <c r="D2857" s="217" t="s">
        <v>17167</v>
      </c>
      <c r="E2857" s="471" t="s">
        <v>20409</v>
      </c>
      <c r="F2857" s="489">
        <v>5942</v>
      </c>
      <c r="G2857" s="470" t="s">
        <v>1862</v>
      </c>
      <c r="H2857" s="482" t="s">
        <v>1533</v>
      </c>
      <c r="I2857" s="483">
        <v>3.0999999999999999e-003</v>
      </c>
      <c r="J2857" s="473">
        <f t="shared" si="1590"/>
        <v>75.659999999999997</v>
      </c>
      <c r="K2857" s="474">
        <f t="shared" si="1591"/>
        <v>0.23454599999999998</v>
      </c>
      <c r="L2857" s="473">
        <f t="shared" si="1576"/>
        <v>73.769999999999996</v>
      </c>
      <c r="M2857" s="474">
        <f t="shared" si="1592"/>
        <v>0.22868699999999997</v>
      </c>
      <c r="O2857" s="434">
        <f t="shared" si="1574"/>
        <v>75.659999999999997</v>
      </c>
      <c r="P2857" s="435">
        <f t="shared" si="1575"/>
        <v>73.769999999999996</v>
      </c>
      <c r="AE2857" s="217"/>
      <c r="AF2857" s="217">
        <v>1354</v>
      </c>
      <c r="AH2857">
        <f t="shared" si="1582"/>
        <v>1354</v>
      </c>
    </row>
    <row r="2858" ht="90">
      <c r="A2858" s="217"/>
      <c r="B2858" s="217">
        <v>1354</v>
      </c>
      <c r="C2858" s="217"/>
      <c r="D2858" s="217" t="s">
        <v>17167</v>
      </c>
      <c r="E2858" s="471" t="s">
        <v>20663</v>
      </c>
      <c r="F2858" s="489">
        <v>6259</v>
      </c>
      <c r="G2858" s="470" t="s">
        <v>1597</v>
      </c>
      <c r="H2858" s="482" t="s">
        <v>1535</v>
      </c>
      <c r="I2858" s="483">
        <v>1.2500000000000001e-002</v>
      </c>
      <c r="J2858" s="473">
        <f t="shared" si="1590"/>
        <v>278.72000000000003</v>
      </c>
      <c r="K2858" s="474">
        <f t="shared" si="1591"/>
        <v>3.4840000000000004</v>
      </c>
      <c r="L2858" s="473">
        <f t="shared" si="1576"/>
        <v>277.12</v>
      </c>
      <c r="M2858" s="474">
        <f t="shared" si="1592"/>
        <v>3.4640000000000004</v>
      </c>
      <c r="O2858" s="434">
        <f t="shared" si="1574"/>
        <v>278.72000000000003</v>
      </c>
      <c r="P2858" s="435">
        <f t="shared" si="1575"/>
        <v>277.12</v>
      </c>
      <c r="AE2858" s="217"/>
      <c r="AF2858" s="217">
        <v>1354</v>
      </c>
      <c r="AH2858">
        <f t="shared" si="1582"/>
        <v>1354</v>
      </c>
    </row>
    <row r="2859" ht="90">
      <c r="A2859" s="217"/>
      <c r="B2859" s="217">
        <v>1354</v>
      </c>
      <c r="C2859" s="217"/>
      <c r="D2859" s="217" t="s">
        <v>17167</v>
      </c>
      <c r="E2859" s="471" t="s">
        <v>20665</v>
      </c>
      <c r="F2859" s="489">
        <v>6879</v>
      </c>
      <c r="G2859" s="470" t="s">
        <v>1877</v>
      </c>
      <c r="H2859" s="482" t="s">
        <v>1535</v>
      </c>
      <c r="I2859" s="483">
        <v>1.e-002</v>
      </c>
      <c r="J2859" s="473">
        <f t="shared" si="1590"/>
        <v>212.56</v>
      </c>
      <c r="K2859" s="474">
        <f t="shared" si="1591"/>
        <v>2.1255999999999999</v>
      </c>
      <c r="L2859" s="473">
        <f t="shared" si="1576"/>
        <v>210.86000000000001</v>
      </c>
      <c r="M2859" s="474">
        <f t="shared" si="1592"/>
        <v>2.1086</v>
      </c>
      <c r="O2859" s="434">
        <f t="shared" si="1574"/>
        <v>212.56</v>
      </c>
      <c r="P2859" s="435">
        <f t="shared" si="1575"/>
        <v>210.86000000000001</v>
      </c>
      <c r="AE2859" s="217"/>
      <c r="AF2859" s="217">
        <v>1354</v>
      </c>
      <c r="AH2859">
        <f t="shared" si="1582"/>
        <v>1354</v>
      </c>
    </row>
    <row r="2860" ht="90">
      <c r="A2860" s="217"/>
      <c r="B2860" s="217">
        <v>1354</v>
      </c>
      <c r="C2860" s="217"/>
      <c r="D2860" s="217" t="s">
        <v>17167</v>
      </c>
      <c r="E2860" s="471" t="s">
        <v>20667</v>
      </c>
      <c r="F2860" s="489">
        <v>6880</v>
      </c>
      <c r="G2860" s="470" t="s">
        <v>1876</v>
      </c>
      <c r="H2860" s="482" t="s">
        <v>1533</v>
      </c>
      <c r="I2860" s="483">
        <v>2.5000000000000001e-003</v>
      </c>
      <c r="J2860" s="473">
        <f t="shared" si="1590"/>
        <v>84.219999999999999</v>
      </c>
      <c r="K2860" s="474">
        <f t="shared" si="1591"/>
        <v>0.21055000000000001</v>
      </c>
      <c r="L2860" s="473">
        <f t="shared" si="1576"/>
        <v>82.519999999999996</v>
      </c>
      <c r="M2860" s="474">
        <f t="shared" si="1592"/>
        <v>0.20629999999999998</v>
      </c>
      <c r="O2860" s="434">
        <f t="shared" ref="O2860:O2923" si="1593">IFERROR(IF(D2860="SINAPI",VLOOKUP(F2860,SINCOMOD,4,FALSE),IF(D2860="INSINAPI",VLOOKUP(F2860,INSINOD,5,FALSE),IF(D2860="SICRO",VLOOKUP(F2860,SICRO,5,FALSE),IF(D2860="COTACAO",VLOOKUP(F2860,COTACAO,6,FALSE),IF(D2860="PRÓPRIO",VLOOKUP(F2860,COMPOD,11,FALSE),IF(D2860="AGESUL",VLOOKUP(F2860,AGESULOD,6,FALSE),IF(D2860="INSAGESUL",VLOOKUP(F2860,INSAGESUL,7,FALSE),"SEM VALOR"))))))),"SEM VALOR")</f>
        <v>84.219999999999999</v>
      </c>
      <c r="P2860" s="435">
        <f t="shared" ref="P2860:P2923" si="1594">IFERROR(IF(D2860="SINAPI",VLOOKUP(F2860,SINCOMOD,6,FALSE),IF(D2860="INSINAPI",VLOOKUP(F2860,INSINOD,6,FALSE),IF(D2860="SICRO",VLOOKUP(F2860,SICRO,5,FALSE),IF(D2860="COTACAO",VLOOKUP(F2860,COTACAO,6,FALSE),IF(D2860="PRÓPRIO",VLOOKUP(F2860,COMPOD,13,FALSE),IF(D2860="AGESUL",VLOOKUP(F2860,AGESULOD,11,FALSE),IF(D2860="INSAGESUL",VLOOKUP(F2860,INSAGESUL,8,FALSE),"SEM VALOR"))))))),"SEM VALOR")</f>
        <v>82.519999999999996</v>
      </c>
      <c r="AE2860" s="217"/>
      <c r="AF2860" s="217">
        <v>1354</v>
      </c>
      <c r="AH2860">
        <f t="shared" si="1582"/>
        <v>1354</v>
      </c>
    </row>
    <row r="2861" ht="30">
      <c r="A2861" s="217"/>
      <c r="B2861" s="217">
        <v>1354</v>
      </c>
      <c r="C2861" s="217"/>
      <c r="D2861" s="217" t="s">
        <v>17167</v>
      </c>
      <c r="E2861" s="471" t="s">
        <v>20671</v>
      </c>
      <c r="F2861" s="489">
        <v>88316</v>
      </c>
      <c r="G2861" s="470" t="s">
        <v>7393</v>
      </c>
      <c r="H2861" s="482" t="s">
        <v>2032</v>
      </c>
      <c r="I2861" s="483">
        <v>0.105</v>
      </c>
      <c r="J2861" s="473">
        <f t="shared" si="1590"/>
        <v>22.760000000000002</v>
      </c>
      <c r="K2861" s="474">
        <f t="shared" si="1591"/>
        <v>2.3898000000000001</v>
      </c>
      <c r="L2861" s="473">
        <f t="shared" ref="L2861:L2924" si="1595">P2861*$L$3</f>
        <v>21.550000000000001</v>
      </c>
      <c r="M2861" s="474">
        <f t="shared" si="1592"/>
        <v>2.26275</v>
      </c>
      <c r="O2861" s="434">
        <f t="shared" si="1593"/>
        <v>22.760000000000002</v>
      </c>
      <c r="P2861" s="435">
        <f t="shared" si="1594"/>
        <v>21.550000000000001</v>
      </c>
      <c r="AE2861" s="217"/>
      <c r="AF2861" s="217">
        <v>1354</v>
      </c>
      <c r="AH2861">
        <f t="shared" si="1582"/>
        <v>1354</v>
      </c>
    </row>
    <row r="2862" ht="75">
      <c r="A2862" s="217"/>
      <c r="B2862" s="217">
        <v>1354</v>
      </c>
      <c r="C2862" s="217"/>
      <c r="D2862" s="217" t="s">
        <v>17167</v>
      </c>
      <c r="E2862" s="471" t="s">
        <v>20672</v>
      </c>
      <c r="F2862" s="489">
        <v>96035</v>
      </c>
      <c r="G2862" s="470" t="s">
        <v>1573</v>
      </c>
      <c r="H2862" s="482" t="s">
        <v>1535</v>
      </c>
      <c r="I2862" s="483">
        <v>1.2500000000000001e-002</v>
      </c>
      <c r="J2862" s="473">
        <f t="shared" si="1590"/>
        <v>305.81</v>
      </c>
      <c r="K2862" s="474">
        <f t="shared" si="1591"/>
        <v>3.8226250000000004</v>
      </c>
      <c r="L2862" s="473">
        <f t="shared" si="1595"/>
        <v>304.13999999999999</v>
      </c>
      <c r="M2862" s="474">
        <f t="shared" si="1592"/>
        <v>3.8017500000000002</v>
      </c>
      <c r="O2862" s="434">
        <f t="shared" si="1593"/>
        <v>305.81</v>
      </c>
      <c r="P2862" s="435">
        <f t="shared" si="1594"/>
        <v>304.13999999999999</v>
      </c>
      <c r="AE2862" s="217"/>
      <c r="AF2862" s="217">
        <v>1354</v>
      </c>
      <c r="AH2862">
        <f t="shared" si="1582"/>
        <v>1354</v>
      </c>
    </row>
    <row r="2863" ht="98.25" customHeight="1">
      <c r="A2863" s="460">
        <v>1355</v>
      </c>
      <c r="B2863" s="460">
        <v>1355</v>
      </c>
      <c r="C2863" s="460"/>
      <c r="D2863" s="460"/>
      <c r="E2863" s="461">
        <v>1</v>
      </c>
      <c r="F2863" s="462" t="s">
        <v>22075</v>
      </c>
      <c r="G2863" s="477" t="s">
        <v>22076</v>
      </c>
      <c r="H2863" s="579" t="s">
        <v>31</v>
      </c>
      <c r="I2863" s="479"/>
      <c r="J2863" s="480"/>
      <c r="K2863" s="466">
        <f>SUM(K2864:K2875)</f>
        <v>3617.0096919999996</v>
      </c>
      <c r="L2863" s="480"/>
      <c r="M2863" s="466">
        <f>SUM(M2864:M2875)</f>
        <v>3523.9208803699994</v>
      </c>
      <c r="N2863" s="467" t="s">
        <v>22077</v>
      </c>
      <c r="O2863" s="434" t="str">
        <f t="shared" si="1593"/>
        <v xml:space="preserve">SEM VALOR</v>
      </c>
      <c r="P2863" s="435" t="str">
        <f t="shared" si="1594"/>
        <v xml:space="preserve">SEM VALOR</v>
      </c>
      <c r="AE2863" s="460">
        <v>1355</v>
      </c>
      <c r="AF2863" s="460"/>
      <c r="AH2863">
        <f t="shared" si="1582"/>
        <v>1355</v>
      </c>
    </row>
    <row r="2864" ht="105">
      <c r="A2864" s="217"/>
      <c r="B2864" s="217">
        <v>1355</v>
      </c>
      <c r="C2864" s="217"/>
      <c r="D2864" s="217" t="s">
        <v>17167</v>
      </c>
      <c r="E2864" s="471" t="s">
        <v>20399</v>
      </c>
      <c r="F2864" s="482">
        <v>5928</v>
      </c>
      <c r="G2864" s="470" t="s">
        <v>1739</v>
      </c>
      <c r="H2864" s="482" t="s">
        <v>1535</v>
      </c>
      <c r="I2864" s="483">
        <v>0.10000000000000001</v>
      </c>
      <c r="J2864" s="473">
        <f t="shared" si="1590"/>
        <v>298.70999999999998</v>
      </c>
      <c r="K2864" s="474">
        <f t="shared" ref="K2864:K2875" si="1596">I2864*J2864</f>
        <v>29.870999999999999</v>
      </c>
      <c r="L2864" s="473">
        <f t="shared" si="1595"/>
        <v>296.98000000000002</v>
      </c>
      <c r="M2864" s="474">
        <f t="shared" ref="M2864:M2875" si="1597">L2864*I2864</f>
        <v>29.698000000000004</v>
      </c>
      <c r="O2864" s="434">
        <f t="shared" si="1593"/>
        <v>298.70999999999998</v>
      </c>
      <c r="P2864" s="435">
        <f t="shared" si="1594"/>
        <v>296.98000000000002</v>
      </c>
      <c r="AE2864" s="217"/>
      <c r="AF2864" s="217">
        <v>1355</v>
      </c>
      <c r="AH2864">
        <f t="shared" si="1582"/>
        <v>1355</v>
      </c>
    </row>
    <row r="2865" ht="45">
      <c r="A2865" s="217"/>
      <c r="B2865" s="217">
        <v>1355</v>
      </c>
      <c r="C2865" s="217"/>
      <c r="D2865" s="217" t="s">
        <v>17167</v>
      </c>
      <c r="E2865" s="471" t="s">
        <v>20402</v>
      </c>
      <c r="F2865" s="482">
        <v>93358</v>
      </c>
      <c r="G2865" s="470" t="s">
        <v>20661</v>
      </c>
      <c r="H2865" s="482" t="s">
        <v>15528</v>
      </c>
      <c r="I2865" s="483">
        <v>3.4100000000000001</v>
      </c>
      <c r="J2865" s="473">
        <f t="shared" si="1590"/>
        <v>90.030000000000001</v>
      </c>
      <c r="K2865" s="474">
        <f t="shared" si="1596"/>
        <v>307.00229999999999</v>
      </c>
      <c r="L2865" s="473">
        <f t="shared" si="1595"/>
        <v>85.239999999999995</v>
      </c>
      <c r="M2865" s="474">
        <f t="shared" si="1597"/>
        <v>290.66840000000002</v>
      </c>
      <c r="O2865" s="434">
        <f t="shared" si="1593"/>
        <v>90.030000000000001</v>
      </c>
      <c r="P2865" s="435">
        <f t="shared" si="1594"/>
        <v>85.239999999999995</v>
      </c>
      <c r="AE2865" s="217"/>
      <c r="AF2865" s="217">
        <v>1355</v>
      </c>
      <c r="AH2865">
        <f t="shared" si="1582"/>
        <v>1355</v>
      </c>
    </row>
    <row r="2866" ht="60">
      <c r="A2866" s="217"/>
      <c r="B2866" s="217">
        <v>1355</v>
      </c>
      <c r="C2866" s="217"/>
      <c r="D2866" s="217" t="s">
        <v>20398</v>
      </c>
      <c r="E2866" s="471" t="s">
        <v>20405</v>
      </c>
      <c r="F2866" s="482">
        <v>1258</v>
      </c>
      <c r="G2866" s="488" t="s">
        <v>20660</v>
      </c>
      <c r="H2866" s="482" t="s">
        <v>15515</v>
      </c>
      <c r="I2866" s="483">
        <v>3.5600000000000001</v>
      </c>
      <c r="J2866" s="473">
        <f t="shared" si="1590"/>
        <v>7.5700000000000003</v>
      </c>
      <c r="K2866" s="474">
        <f t="shared" si="1596"/>
        <v>26.949200000000001</v>
      </c>
      <c r="L2866" s="473">
        <f t="shared" si="1595"/>
        <v>7.1846199999999998</v>
      </c>
      <c r="M2866" s="474">
        <f t="shared" si="1597"/>
        <v>25.577247199999999</v>
      </c>
      <c r="O2866" s="434">
        <f t="shared" si="1593"/>
        <v>7.5700000000000003</v>
      </c>
      <c r="P2866" s="435">
        <f t="shared" si="1594"/>
        <v>7.1846199999999998</v>
      </c>
      <c r="AE2866" s="217"/>
      <c r="AF2866" s="217">
        <v>1355</v>
      </c>
      <c r="AH2866">
        <f t="shared" si="1582"/>
        <v>1355</v>
      </c>
    </row>
    <row r="2867" ht="75">
      <c r="A2867" s="217"/>
      <c r="B2867" s="217">
        <v>1355</v>
      </c>
      <c r="C2867" s="217"/>
      <c r="D2867" s="217" t="s">
        <v>17167</v>
      </c>
      <c r="E2867" s="471" t="s">
        <v>20409</v>
      </c>
      <c r="F2867" s="482">
        <v>96542</v>
      </c>
      <c r="G2867" s="470" t="s">
        <v>20761</v>
      </c>
      <c r="H2867" s="482" t="s">
        <v>15515</v>
      </c>
      <c r="I2867" s="483">
        <v>9.2599999999999998</v>
      </c>
      <c r="J2867" s="473">
        <f t="shared" si="1590"/>
        <v>92.189999999999998</v>
      </c>
      <c r="K2867" s="474">
        <f t="shared" si="1596"/>
        <v>853.67939999999999</v>
      </c>
      <c r="L2867" s="473">
        <f t="shared" si="1595"/>
        <v>88.370000000000005</v>
      </c>
      <c r="M2867" s="474">
        <f t="shared" si="1597"/>
        <v>818.30619999999999</v>
      </c>
      <c r="O2867" s="434">
        <f t="shared" si="1593"/>
        <v>92.189999999999998</v>
      </c>
      <c r="P2867" s="435">
        <f t="shared" si="1594"/>
        <v>88.370000000000005</v>
      </c>
      <c r="AE2867" s="217"/>
      <c r="AF2867" s="217">
        <v>1355</v>
      </c>
      <c r="AH2867">
        <f t="shared" si="1582"/>
        <v>1355</v>
      </c>
    </row>
    <row r="2868" ht="45">
      <c r="A2868" s="217"/>
      <c r="B2868" s="217">
        <v>1355</v>
      </c>
      <c r="C2868" s="217"/>
      <c r="D2868" s="217" t="s">
        <v>17167</v>
      </c>
      <c r="E2868" s="471" t="s">
        <v>20663</v>
      </c>
      <c r="F2868" s="482">
        <v>96543</v>
      </c>
      <c r="G2868" s="470" t="s">
        <v>20676</v>
      </c>
      <c r="H2868" s="482" t="s">
        <v>302</v>
      </c>
      <c r="I2868" s="483">
        <v>1.9199999999999999</v>
      </c>
      <c r="J2868" s="473">
        <f t="shared" si="1590"/>
        <v>19.829999999999998</v>
      </c>
      <c r="K2868" s="474">
        <f t="shared" si="1596"/>
        <v>38.073599999999992</v>
      </c>
      <c r="L2868" s="473">
        <f t="shared" si="1595"/>
        <v>19.210000000000001</v>
      </c>
      <c r="M2868" s="474">
        <f t="shared" si="1597"/>
        <v>36.883200000000002</v>
      </c>
      <c r="O2868" s="434">
        <f t="shared" si="1593"/>
        <v>19.829999999999998</v>
      </c>
      <c r="P2868" s="435">
        <f t="shared" si="1594"/>
        <v>19.210000000000001</v>
      </c>
      <c r="AE2868" s="217"/>
      <c r="AF2868" s="217">
        <v>1355</v>
      </c>
      <c r="AH2868">
        <f t="shared" si="1582"/>
        <v>1355</v>
      </c>
    </row>
    <row r="2869" ht="45">
      <c r="A2869" s="217"/>
      <c r="B2869" s="217">
        <v>1355</v>
      </c>
      <c r="C2869" s="217"/>
      <c r="D2869" s="217" t="s">
        <v>17167</v>
      </c>
      <c r="E2869" s="471" t="s">
        <v>20665</v>
      </c>
      <c r="F2869" s="482">
        <v>96545</v>
      </c>
      <c r="G2869" s="470" t="s">
        <v>20678</v>
      </c>
      <c r="H2869" s="482" t="s">
        <v>302</v>
      </c>
      <c r="I2869" s="483">
        <v>2.96</v>
      </c>
      <c r="J2869" s="473">
        <f t="shared" si="1590"/>
        <v>15.82</v>
      </c>
      <c r="K2869" s="474">
        <f t="shared" si="1596"/>
        <v>46.827199999999998</v>
      </c>
      <c r="L2869" s="473">
        <f t="shared" si="1595"/>
        <v>15.48</v>
      </c>
      <c r="M2869" s="474">
        <f t="shared" si="1597"/>
        <v>45.820799999999998</v>
      </c>
      <c r="O2869" s="434">
        <f t="shared" si="1593"/>
        <v>15.82</v>
      </c>
      <c r="P2869" s="435">
        <f t="shared" si="1594"/>
        <v>15.48</v>
      </c>
      <c r="AE2869" s="217"/>
      <c r="AF2869" s="217">
        <v>1355</v>
      </c>
      <c r="AH2869">
        <f t="shared" si="1582"/>
        <v>1355</v>
      </c>
    </row>
    <row r="2870" ht="45">
      <c r="A2870" s="217"/>
      <c r="B2870" s="217">
        <v>1355</v>
      </c>
      <c r="C2870" s="217"/>
      <c r="D2870" s="217" t="s">
        <v>17167</v>
      </c>
      <c r="E2870" s="471" t="s">
        <v>20667</v>
      </c>
      <c r="F2870" s="482">
        <v>96546</v>
      </c>
      <c r="G2870" s="470" t="s">
        <v>21133</v>
      </c>
      <c r="H2870" s="482" t="s">
        <v>302</v>
      </c>
      <c r="I2870" s="483">
        <v>39.07</v>
      </c>
      <c r="J2870" s="473">
        <f t="shared" si="1590"/>
        <v>13.77</v>
      </c>
      <c r="K2870" s="474">
        <f t="shared" si="1596"/>
        <v>537.99389999999994</v>
      </c>
      <c r="L2870" s="473">
        <f t="shared" si="1595"/>
        <v>13.51</v>
      </c>
      <c r="M2870" s="474">
        <f t="shared" si="1597"/>
        <v>527.83569999999997</v>
      </c>
      <c r="O2870" s="434">
        <f t="shared" si="1593"/>
        <v>13.77</v>
      </c>
      <c r="P2870" s="435">
        <f t="shared" si="1594"/>
        <v>13.51</v>
      </c>
      <c r="AE2870" s="217"/>
      <c r="AF2870" s="217">
        <v>1355</v>
      </c>
      <c r="AH2870">
        <f t="shared" si="1582"/>
        <v>1355</v>
      </c>
    </row>
    <row r="2871" ht="60">
      <c r="A2871" s="217"/>
      <c r="B2871" s="217">
        <v>1355</v>
      </c>
      <c r="C2871" s="217"/>
      <c r="D2871" s="217" t="s">
        <v>17167</v>
      </c>
      <c r="E2871" s="471" t="s">
        <v>20671</v>
      </c>
      <c r="F2871" s="482">
        <v>94964</v>
      </c>
      <c r="G2871" s="470" t="s">
        <v>8711</v>
      </c>
      <c r="H2871" s="482" t="s">
        <v>15528</v>
      </c>
      <c r="I2871" s="483">
        <v>1.913</v>
      </c>
      <c r="J2871" s="473">
        <f t="shared" si="1590"/>
        <v>488.52999999999997</v>
      </c>
      <c r="K2871" s="474">
        <f t="shared" si="1596"/>
        <v>934.55788999999993</v>
      </c>
      <c r="L2871" s="473">
        <f t="shared" si="1595"/>
        <v>482.79000000000002</v>
      </c>
      <c r="M2871" s="474">
        <f t="shared" si="1597"/>
        <v>923.57727</v>
      </c>
      <c r="O2871" s="434">
        <f t="shared" si="1593"/>
        <v>488.52999999999997</v>
      </c>
      <c r="P2871" s="435">
        <f t="shared" si="1594"/>
        <v>482.79000000000002</v>
      </c>
      <c r="AE2871" s="217"/>
      <c r="AF2871" s="217">
        <v>1355</v>
      </c>
      <c r="AH2871">
        <f t="shared" si="1582"/>
        <v>1355</v>
      </c>
    </row>
    <row r="2872" ht="45">
      <c r="A2872" s="217"/>
      <c r="B2872" s="217">
        <v>1355</v>
      </c>
      <c r="C2872" s="217"/>
      <c r="D2872" s="217" t="s">
        <v>20398</v>
      </c>
      <c r="E2872" s="471" t="s">
        <v>20672</v>
      </c>
      <c r="F2872" s="489">
        <v>1000</v>
      </c>
      <c r="G2872" s="470" t="s">
        <v>20651</v>
      </c>
      <c r="H2872" s="482" t="s">
        <v>15528</v>
      </c>
      <c r="I2872" s="483">
        <f>I2871</f>
        <v>1.913</v>
      </c>
      <c r="J2872" s="473">
        <f t="shared" si="1590"/>
        <v>149.904</v>
      </c>
      <c r="K2872" s="474">
        <f t="shared" si="1596"/>
        <v>286.76635199999998</v>
      </c>
      <c r="L2872" s="473">
        <f t="shared" si="1595"/>
        <v>141.76949999999999</v>
      </c>
      <c r="M2872" s="474">
        <f t="shared" si="1597"/>
        <v>271.20505350000002</v>
      </c>
      <c r="O2872" s="434">
        <f t="shared" si="1593"/>
        <v>149.904</v>
      </c>
      <c r="P2872" s="435">
        <f t="shared" si="1594"/>
        <v>141.76949999999999</v>
      </c>
      <c r="AE2872" s="217"/>
      <c r="AF2872" s="217">
        <v>1355</v>
      </c>
      <c r="AH2872">
        <f t="shared" si="1582"/>
        <v>1355</v>
      </c>
    </row>
    <row r="2873" ht="75">
      <c r="A2873" s="217"/>
      <c r="B2873" s="217">
        <v>1355</v>
      </c>
      <c r="C2873" s="217"/>
      <c r="D2873" s="217" t="s">
        <v>20453</v>
      </c>
      <c r="E2873" s="471" t="s">
        <v>20673</v>
      </c>
      <c r="F2873" s="489" t="s">
        <v>20113</v>
      </c>
      <c r="G2873" s="470" t="s">
        <v>20114</v>
      </c>
      <c r="H2873" s="482" t="s">
        <v>302</v>
      </c>
      <c r="I2873" s="483">
        <v>1</v>
      </c>
      <c r="J2873" s="473">
        <f t="shared" si="1590"/>
        <v>473.5</v>
      </c>
      <c r="K2873" s="474">
        <f t="shared" si="1596"/>
        <v>473.5</v>
      </c>
      <c r="L2873" s="473">
        <f t="shared" si="1595"/>
        <v>473.5</v>
      </c>
      <c r="M2873" s="474">
        <f t="shared" si="1597"/>
        <v>473.5</v>
      </c>
      <c r="O2873" s="434">
        <f t="shared" si="1593"/>
        <v>473.5</v>
      </c>
      <c r="P2873" s="435">
        <f t="shared" si="1594"/>
        <v>473.5</v>
      </c>
      <c r="AE2873" s="217"/>
      <c r="AF2873" s="217">
        <v>1355</v>
      </c>
      <c r="AH2873">
        <f t="shared" si="1582"/>
        <v>1355</v>
      </c>
    </row>
    <row r="2874" ht="105">
      <c r="A2874" s="217"/>
      <c r="B2874" s="217">
        <v>1355</v>
      </c>
      <c r="C2874" s="217"/>
      <c r="D2874" s="217" t="s">
        <v>20398</v>
      </c>
      <c r="E2874" s="471" t="s">
        <v>20675</v>
      </c>
      <c r="F2874" s="489">
        <v>1092</v>
      </c>
      <c r="G2874" s="470" t="s">
        <v>20666</v>
      </c>
      <c r="H2874" s="482" t="s">
        <v>15528</v>
      </c>
      <c r="I2874" s="483">
        <f>I2865*1.3</f>
        <v>4.4330000000000007</v>
      </c>
      <c r="J2874" s="473">
        <f t="shared" si="1590"/>
        <v>2.2000000000000002</v>
      </c>
      <c r="K2874" s="474">
        <f t="shared" si="1596"/>
        <v>9.7526000000000028</v>
      </c>
      <c r="L2874" s="473">
        <f t="shared" si="1595"/>
        <v>2.1879900000000001</v>
      </c>
      <c r="M2874" s="474">
        <f t="shared" si="1597"/>
        <v>9.6993596700000015</v>
      </c>
      <c r="O2874" s="434">
        <f t="shared" si="1593"/>
        <v>2.2000000000000002</v>
      </c>
      <c r="P2874" s="435">
        <f t="shared" si="1594"/>
        <v>2.1879900000000001</v>
      </c>
      <c r="AE2874" s="217"/>
      <c r="AF2874" s="217">
        <v>1355</v>
      </c>
      <c r="AH2874">
        <f t="shared" si="1582"/>
        <v>1355</v>
      </c>
    </row>
    <row r="2875" ht="60">
      <c r="A2875" s="217"/>
      <c r="B2875" s="217">
        <v>1355</v>
      </c>
      <c r="C2875" s="217"/>
      <c r="D2875" s="217" t="s">
        <v>17167</v>
      </c>
      <c r="E2875" s="471" t="s">
        <v>20677</v>
      </c>
      <c r="F2875" s="489">
        <v>97914</v>
      </c>
      <c r="G2875" s="470" t="s">
        <v>21390</v>
      </c>
      <c r="H2875" s="482" t="s">
        <v>20669</v>
      </c>
      <c r="I2875" s="483">
        <f>I2874*5</f>
        <v>22.165000000000003</v>
      </c>
      <c r="J2875" s="473">
        <f t="shared" si="1590"/>
        <v>3.25</v>
      </c>
      <c r="K2875" s="474">
        <f t="shared" si="1596"/>
        <v>72.03625000000001</v>
      </c>
      <c r="L2875" s="473">
        <f t="shared" si="1595"/>
        <v>3.21</v>
      </c>
      <c r="M2875" s="474">
        <f t="shared" si="1597"/>
        <v>71.149650000000008</v>
      </c>
      <c r="O2875" s="434">
        <f t="shared" si="1593"/>
        <v>3.25</v>
      </c>
      <c r="P2875" s="435">
        <f t="shared" si="1594"/>
        <v>3.21</v>
      </c>
      <c r="AE2875" s="217"/>
      <c r="AF2875" s="217">
        <v>1355</v>
      </c>
      <c r="AH2875">
        <f t="shared" si="1582"/>
        <v>1355</v>
      </c>
    </row>
    <row r="2876" ht="94.5">
      <c r="A2876" s="460">
        <v>1356</v>
      </c>
      <c r="B2876" s="460">
        <v>1356</v>
      </c>
      <c r="C2876" s="460"/>
      <c r="D2876" s="460"/>
      <c r="E2876" s="461">
        <v>1</v>
      </c>
      <c r="F2876" s="462" t="s">
        <v>22078</v>
      </c>
      <c r="G2876" s="477" t="s">
        <v>22079</v>
      </c>
      <c r="H2876" s="579" t="s">
        <v>20647</v>
      </c>
      <c r="I2876" s="479"/>
      <c r="J2876" s="480"/>
      <c r="K2876" s="466">
        <f>SUM(K2877:K2885)</f>
        <v>666.43938284499995</v>
      </c>
      <c r="L2876" s="480"/>
      <c r="M2876" s="466">
        <f>SUM(M2877:M2885)</f>
        <v>664.865983304</v>
      </c>
      <c r="N2876" s="467" t="s">
        <v>22061</v>
      </c>
      <c r="O2876" s="434" t="str">
        <f t="shared" si="1593"/>
        <v xml:space="preserve">SEM VALOR</v>
      </c>
      <c r="P2876" s="435" t="str">
        <f t="shared" si="1594"/>
        <v xml:space="preserve">SEM VALOR</v>
      </c>
      <c r="AE2876" s="460">
        <v>1356</v>
      </c>
      <c r="AF2876" s="460"/>
      <c r="AH2876">
        <f t="shared" si="1582"/>
        <v>1356</v>
      </c>
    </row>
    <row r="2877" ht="105">
      <c r="A2877" s="217"/>
      <c r="B2877" s="217">
        <v>1356</v>
      </c>
      <c r="C2877" s="217"/>
      <c r="D2877" s="217" t="s">
        <v>17167</v>
      </c>
      <c r="E2877" s="471" t="s">
        <v>20399</v>
      </c>
      <c r="F2877" s="482">
        <v>73467</v>
      </c>
      <c r="G2877" s="470" t="s">
        <v>1601</v>
      </c>
      <c r="H2877" s="482" t="s">
        <v>1535</v>
      </c>
      <c r="I2877" s="578">
        <f>0.3/4.2</f>
        <v>7.1428599999999995e-002</v>
      </c>
      <c r="J2877" s="473">
        <f t="shared" si="1590"/>
        <v>270.61000000000001</v>
      </c>
      <c r="K2877" s="474">
        <f t="shared" ref="K2877:K2885" si="1598">I2877*J2877</f>
        <v>19.329293446000001</v>
      </c>
      <c r="L2877" s="473">
        <f t="shared" si="1595"/>
        <v>269.00999999999999</v>
      </c>
      <c r="M2877" s="474">
        <f t="shared" ref="M2877:M2885" si="1599">L2877*I2877</f>
        <v>19.215007685999996</v>
      </c>
      <c r="N2877" s="467" t="s">
        <v>21418</v>
      </c>
      <c r="O2877" s="434">
        <f t="shared" si="1593"/>
        <v>270.61000000000001</v>
      </c>
      <c r="P2877" s="435">
        <f t="shared" si="1594"/>
        <v>269.00999999999999</v>
      </c>
      <c r="AE2877" s="217"/>
      <c r="AF2877" s="217">
        <v>1356</v>
      </c>
      <c r="AH2877">
        <f t="shared" si="1582"/>
        <v>1356</v>
      </c>
    </row>
    <row r="2878" ht="105">
      <c r="A2878" s="217"/>
      <c r="B2878" s="217">
        <v>1356</v>
      </c>
      <c r="C2878" s="217"/>
      <c r="D2878" s="217" t="s">
        <v>17167</v>
      </c>
      <c r="E2878" s="471" t="s">
        <v>20402</v>
      </c>
      <c r="F2878" s="482">
        <v>91395</v>
      </c>
      <c r="G2878" s="470" t="s">
        <v>1600</v>
      </c>
      <c r="H2878" s="482" t="s">
        <v>1533</v>
      </c>
      <c r="I2878" s="578">
        <f>0.7/4.2</f>
        <v>0.1666667</v>
      </c>
      <c r="J2878" s="473">
        <f t="shared" si="1590"/>
        <v>58.25</v>
      </c>
      <c r="K2878" s="474">
        <f t="shared" si="1598"/>
        <v>9.7083352749999996</v>
      </c>
      <c r="L2878" s="473">
        <f t="shared" si="1595"/>
        <v>56.649999999999999</v>
      </c>
      <c r="M2878" s="474">
        <f t="shared" si="1599"/>
        <v>9.4416685549999997</v>
      </c>
      <c r="O2878" s="434">
        <f t="shared" si="1593"/>
        <v>58.25</v>
      </c>
      <c r="P2878" s="435">
        <f t="shared" si="1594"/>
        <v>56.649999999999999</v>
      </c>
      <c r="AE2878" s="217"/>
      <c r="AF2878" s="217">
        <v>1356</v>
      </c>
      <c r="AH2878">
        <f t="shared" si="1582"/>
        <v>1356</v>
      </c>
    </row>
    <row r="2879" ht="45">
      <c r="A2879" s="217"/>
      <c r="B2879" s="217">
        <v>1356</v>
      </c>
      <c r="C2879" s="217"/>
      <c r="D2879" s="217" t="s">
        <v>17167</v>
      </c>
      <c r="E2879" s="471" t="s">
        <v>20405</v>
      </c>
      <c r="F2879" s="482">
        <v>88277</v>
      </c>
      <c r="G2879" s="488" t="s">
        <v>7341</v>
      </c>
      <c r="H2879" s="482" t="s">
        <v>2032</v>
      </c>
      <c r="I2879" s="578">
        <f t="shared" ref="I2879:I2880" si="1600">1/4.2</f>
        <v>0.23809520000000001</v>
      </c>
      <c r="J2879" s="473">
        <f t="shared" si="1590"/>
        <v>28.359999999999999</v>
      </c>
      <c r="K2879" s="474">
        <f t="shared" si="1598"/>
        <v>6.7523798719999997</v>
      </c>
      <c r="L2879" s="473">
        <f t="shared" si="1595"/>
        <v>26.640000000000001</v>
      </c>
      <c r="M2879" s="474">
        <f t="shared" si="1599"/>
        <v>6.3428561280000002</v>
      </c>
      <c r="O2879" s="434">
        <f t="shared" si="1593"/>
        <v>28.359999999999999</v>
      </c>
      <c r="P2879" s="435">
        <f t="shared" si="1594"/>
        <v>26.640000000000001</v>
      </c>
      <c r="AE2879" s="217"/>
      <c r="AF2879" s="217">
        <v>1356</v>
      </c>
      <c r="AH2879">
        <f t="shared" si="1582"/>
        <v>1356</v>
      </c>
    </row>
    <row r="2880" ht="30">
      <c r="A2880" s="217"/>
      <c r="B2880" s="217">
        <v>1356</v>
      </c>
      <c r="C2880" s="217"/>
      <c r="D2880" s="217" t="s">
        <v>17167</v>
      </c>
      <c r="E2880" s="471" t="s">
        <v>20409</v>
      </c>
      <c r="F2880" s="482">
        <v>88316</v>
      </c>
      <c r="G2880" s="470" t="s">
        <v>7393</v>
      </c>
      <c r="H2880" s="482" t="s">
        <v>2032</v>
      </c>
      <c r="I2880" s="578">
        <f t="shared" si="1600"/>
        <v>0.23809520000000001</v>
      </c>
      <c r="J2880" s="473">
        <f t="shared" si="1590"/>
        <v>22.760000000000002</v>
      </c>
      <c r="K2880" s="474">
        <f t="shared" si="1598"/>
        <v>5.4190467520000007</v>
      </c>
      <c r="L2880" s="473">
        <f t="shared" si="1595"/>
        <v>21.550000000000001</v>
      </c>
      <c r="M2880" s="474">
        <f t="shared" si="1599"/>
        <v>5.1309515600000006</v>
      </c>
      <c r="O2880" s="434">
        <f t="shared" si="1593"/>
        <v>22.760000000000002</v>
      </c>
      <c r="P2880" s="435">
        <f t="shared" si="1594"/>
        <v>21.550000000000001</v>
      </c>
      <c r="AE2880" s="217"/>
      <c r="AF2880" s="217">
        <v>1356</v>
      </c>
      <c r="AH2880">
        <f t="shared" si="1582"/>
        <v>1356</v>
      </c>
    </row>
    <row r="2881" ht="60">
      <c r="A2881" s="217"/>
      <c r="B2881" s="217">
        <v>1356</v>
      </c>
      <c r="C2881" s="217"/>
      <c r="D2881" s="217" t="s">
        <v>20408</v>
      </c>
      <c r="E2881" s="471" t="s">
        <v>20663</v>
      </c>
      <c r="F2881" s="482">
        <v>21013</v>
      </c>
      <c r="G2881" s="470" t="s">
        <v>22062</v>
      </c>
      <c r="H2881" s="482" t="s">
        <v>21420</v>
      </c>
      <c r="I2881" s="578">
        <v>3.2000000000000002</v>
      </c>
      <c r="J2881" s="473">
        <f t="shared" si="1590"/>
        <v>66.920000000000002</v>
      </c>
      <c r="K2881" s="474">
        <f t="shared" si="1598"/>
        <v>214.14400000000001</v>
      </c>
      <c r="L2881" s="473">
        <f t="shared" si="1595"/>
        <v>66.920000000000002</v>
      </c>
      <c r="M2881" s="474">
        <f t="shared" si="1599"/>
        <v>214.14400000000001</v>
      </c>
      <c r="O2881" s="434">
        <f t="shared" si="1593"/>
        <v>66.920000000000002</v>
      </c>
      <c r="P2881" s="435">
        <f t="shared" si="1594"/>
        <v>66.920000000000002</v>
      </c>
      <c r="AE2881" s="217"/>
      <c r="AF2881" s="217">
        <v>1356</v>
      </c>
      <c r="AH2881">
        <f t="shared" si="1582"/>
        <v>1356</v>
      </c>
    </row>
    <row r="2882" ht="30">
      <c r="A2882" s="217"/>
      <c r="B2882" s="217">
        <v>1356</v>
      </c>
      <c r="C2882" s="217"/>
      <c r="D2882" s="217" t="s">
        <v>20408</v>
      </c>
      <c r="E2882" s="471" t="s">
        <v>20665</v>
      </c>
      <c r="F2882" s="489">
        <v>34723</v>
      </c>
      <c r="G2882" s="470" t="s">
        <v>21184</v>
      </c>
      <c r="H2882" s="499" t="s">
        <v>15515</v>
      </c>
      <c r="I2882" s="483">
        <v>0.39200000000000002</v>
      </c>
      <c r="J2882" s="473">
        <f t="shared" si="1590"/>
        <v>997.91999999999996</v>
      </c>
      <c r="K2882" s="474">
        <f t="shared" si="1598"/>
        <v>391.18464</v>
      </c>
      <c r="L2882" s="473">
        <f t="shared" si="1595"/>
        <v>997.91999999999996</v>
      </c>
      <c r="M2882" s="474">
        <f t="shared" si="1599"/>
        <v>391.18464</v>
      </c>
      <c r="O2882" s="434">
        <f t="shared" si="1593"/>
        <v>997.91999999999996</v>
      </c>
      <c r="P2882" s="435">
        <f t="shared" si="1594"/>
        <v>997.91999999999996</v>
      </c>
      <c r="AE2882" s="217"/>
      <c r="AF2882" s="217">
        <v>1356</v>
      </c>
      <c r="AH2882">
        <f t="shared" si="1582"/>
        <v>1356</v>
      </c>
    </row>
    <row r="2883" ht="60">
      <c r="A2883" s="217"/>
      <c r="B2883" s="217">
        <v>1356</v>
      </c>
      <c r="C2883" s="217"/>
      <c r="D2883" s="217" t="s">
        <v>17167</v>
      </c>
      <c r="E2883" s="471" t="s">
        <v>20667</v>
      </c>
      <c r="F2883" s="482">
        <v>94963</v>
      </c>
      <c r="G2883" s="470" t="s">
        <v>20684</v>
      </c>
      <c r="H2883" s="482" t="s">
        <v>15528</v>
      </c>
      <c r="I2883" s="578">
        <v>3.125e-002</v>
      </c>
      <c r="J2883" s="473">
        <f t="shared" si="1590"/>
        <v>441.43000000000001</v>
      </c>
      <c r="K2883" s="474">
        <f t="shared" si="1598"/>
        <v>13.7946875</v>
      </c>
      <c r="L2883" s="473">
        <f t="shared" si="1595"/>
        <v>436.14999999999998</v>
      </c>
      <c r="M2883" s="474">
        <f t="shared" si="1599"/>
        <v>13.629687499999999</v>
      </c>
      <c r="O2883" s="434">
        <f t="shared" si="1593"/>
        <v>441.43000000000001</v>
      </c>
      <c r="P2883" s="435">
        <f t="shared" si="1594"/>
        <v>436.14999999999998</v>
      </c>
      <c r="AE2883" s="217"/>
      <c r="AF2883" s="217">
        <v>1356</v>
      </c>
      <c r="AH2883">
        <f t="shared" si="1582"/>
        <v>1356</v>
      </c>
    </row>
    <row r="2884" ht="45">
      <c r="A2884" s="217"/>
      <c r="B2884" s="217">
        <v>1356</v>
      </c>
      <c r="C2884" s="217"/>
      <c r="D2884" s="217" t="s">
        <v>20398</v>
      </c>
      <c r="E2884" s="471" t="s">
        <v>20671</v>
      </c>
      <c r="F2884" s="489">
        <v>1259</v>
      </c>
      <c r="G2884" s="470" t="s">
        <v>20796</v>
      </c>
      <c r="H2884" s="482" t="s">
        <v>15528</v>
      </c>
      <c r="I2884" s="614">
        <v>3.125e-002</v>
      </c>
      <c r="J2884" s="473">
        <f t="shared" si="1590"/>
        <v>45.520000000000003</v>
      </c>
      <c r="K2884" s="474">
        <f t="shared" si="1598"/>
        <v>1.4225000000000001</v>
      </c>
      <c r="L2884" s="473">
        <f t="shared" si="1595"/>
        <v>43.100000000000001</v>
      </c>
      <c r="M2884" s="474">
        <f t="shared" si="1599"/>
        <v>1.346875</v>
      </c>
      <c r="O2884" s="434">
        <f t="shared" si="1593"/>
        <v>45.520000000000003</v>
      </c>
      <c r="P2884" s="435">
        <f t="shared" si="1594"/>
        <v>43.100000000000001</v>
      </c>
      <c r="AE2884" s="217"/>
      <c r="AF2884" s="217">
        <v>1356</v>
      </c>
      <c r="AH2884">
        <f t="shared" si="1582"/>
        <v>1356</v>
      </c>
    </row>
    <row r="2885" ht="45">
      <c r="A2885" s="217"/>
      <c r="B2885" s="217">
        <v>1356</v>
      </c>
      <c r="C2885" s="217"/>
      <c r="D2885" s="217" t="s">
        <v>20398</v>
      </c>
      <c r="E2885" s="471" t="s">
        <v>20672</v>
      </c>
      <c r="F2885" s="482">
        <v>1000</v>
      </c>
      <c r="G2885" s="470" t="s">
        <v>20651</v>
      </c>
      <c r="H2885" s="482" t="s">
        <v>15528</v>
      </c>
      <c r="I2885" s="614">
        <f>I2883</f>
        <v>3.125e-002</v>
      </c>
      <c r="J2885" s="473">
        <f t="shared" si="1590"/>
        <v>149.904</v>
      </c>
      <c r="K2885" s="474">
        <f t="shared" si="1598"/>
        <v>4.6844999999999999</v>
      </c>
      <c r="L2885" s="473">
        <f t="shared" si="1595"/>
        <v>141.76949999999999</v>
      </c>
      <c r="M2885" s="474">
        <f t="shared" si="1599"/>
        <v>4.4302968749999998</v>
      </c>
      <c r="O2885" s="434">
        <f t="shared" si="1593"/>
        <v>149.904</v>
      </c>
      <c r="P2885" s="435">
        <f t="shared" si="1594"/>
        <v>141.76949999999999</v>
      </c>
      <c r="AE2885" s="217"/>
      <c r="AF2885" s="217">
        <v>1356</v>
      </c>
      <c r="AH2885">
        <f t="shared" si="1582"/>
        <v>1356</v>
      </c>
    </row>
    <row r="2886" ht="47.25">
      <c r="A2886" s="460">
        <v>1357</v>
      </c>
      <c r="B2886" s="460">
        <v>1357</v>
      </c>
      <c r="C2886" s="460"/>
      <c r="D2886" s="460"/>
      <c r="E2886" s="461">
        <v>1</v>
      </c>
      <c r="F2886" s="462" t="s">
        <v>22080</v>
      </c>
      <c r="G2886" s="477" t="s">
        <v>22081</v>
      </c>
      <c r="H2886" s="579" t="s">
        <v>1535</v>
      </c>
      <c r="I2886" s="479"/>
      <c r="J2886" s="480"/>
      <c r="K2886" s="466" t="e">
        <f>SUM(K2887:K2894)</f>
        <v>#VALUE!</v>
      </c>
      <c r="L2886" s="480"/>
      <c r="M2886" s="466" t="e">
        <f>SUM(M2887:M2894)</f>
        <v>#VALUE!</v>
      </c>
      <c r="N2886" s="467" t="s">
        <v>22082</v>
      </c>
      <c r="O2886" s="434" t="str">
        <f t="shared" si="1593"/>
        <v xml:space="preserve">SEM VALOR</v>
      </c>
      <c r="P2886" s="435" t="str">
        <f t="shared" si="1594"/>
        <v xml:space="preserve">SEM VALOR</v>
      </c>
      <c r="AE2886" s="460">
        <v>1357</v>
      </c>
      <c r="AF2886" s="460"/>
      <c r="AH2886">
        <f t="shared" si="1582"/>
        <v>1357</v>
      </c>
    </row>
    <row r="2887" ht="45">
      <c r="A2887" s="217"/>
      <c r="B2887" s="217">
        <v>1357</v>
      </c>
      <c r="C2887" s="217"/>
      <c r="D2887" s="217" t="s">
        <v>17167</v>
      </c>
      <c r="E2887" s="471" t="s">
        <v>20399</v>
      </c>
      <c r="F2887" s="482">
        <v>88297</v>
      </c>
      <c r="G2887" s="470" t="s">
        <v>7375</v>
      </c>
      <c r="H2887" s="482" t="s">
        <v>2032</v>
      </c>
      <c r="I2887" s="483">
        <v>1</v>
      </c>
      <c r="J2887" s="473">
        <f t="shared" si="1590"/>
        <v>30.850000000000001</v>
      </c>
      <c r="K2887" s="474">
        <f t="shared" ref="K2887:K2894" si="1601">I2887*J2887</f>
        <v>30.850000000000001</v>
      </c>
      <c r="L2887" s="473">
        <f t="shared" si="1595"/>
        <v>28.949999999999999</v>
      </c>
      <c r="M2887" s="474">
        <f t="shared" ref="M2887:M2894" si="1602">L2887*I2887</f>
        <v>28.949999999999999</v>
      </c>
      <c r="O2887" s="434">
        <f t="shared" si="1593"/>
        <v>30.850000000000001</v>
      </c>
      <c r="P2887" s="435">
        <f t="shared" si="1594"/>
        <v>28.949999999999999</v>
      </c>
      <c r="AE2887" s="217"/>
      <c r="AF2887" s="217">
        <v>1357</v>
      </c>
      <c r="AH2887">
        <f t="shared" ref="AH2887:AH2950" si="1603">IF(AF2887:AF2888=FALSE,AE2887,AF2887)</f>
        <v>1357</v>
      </c>
    </row>
    <row r="2888">
      <c r="A2888" s="217"/>
      <c r="B2888" s="217">
        <v>1357</v>
      </c>
      <c r="C2888" s="217"/>
      <c r="D2888" s="217" t="s">
        <v>20408</v>
      </c>
      <c r="E2888" s="471" t="s">
        <v>20402</v>
      </c>
      <c r="F2888" s="482">
        <v>4221</v>
      </c>
      <c r="G2888" s="470" t="s">
        <v>22083</v>
      </c>
      <c r="H2888" s="482" t="s">
        <v>9794</v>
      </c>
      <c r="I2888" s="483">
        <v>2</v>
      </c>
      <c r="J2888" s="473">
        <f t="shared" si="1590"/>
        <v>6.79</v>
      </c>
      <c r="K2888" s="474">
        <f t="shared" si="1601"/>
        <v>13.58</v>
      </c>
      <c r="L2888" s="473">
        <f t="shared" si="1595"/>
        <v>6.79</v>
      </c>
      <c r="M2888" s="474">
        <f t="shared" si="1602"/>
        <v>13.58</v>
      </c>
      <c r="O2888" s="434">
        <f t="shared" si="1593"/>
        <v>6.79</v>
      </c>
      <c r="P2888" s="435">
        <f t="shared" si="1594"/>
        <v>6.79</v>
      </c>
      <c r="AE2888" s="217"/>
      <c r="AF2888" s="217">
        <v>1357</v>
      </c>
      <c r="AH2888">
        <f t="shared" si="1603"/>
        <v>1357</v>
      </c>
    </row>
    <row r="2889">
      <c r="A2889" s="217"/>
      <c r="B2889" s="217">
        <v>1357</v>
      </c>
      <c r="C2889" s="217"/>
      <c r="D2889" s="217" t="s">
        <v>20408</v>
      </c>
      <c r="E2889" s="471" t="s">
        <v>20405</v>
      </c>
      <c r="F2889" s="482">
        <v>4229</v>
      </c>
      <c r="G2889" s="470" t="s">
        <v>22084</v>
      </c>
      <c r="H2889" s="482" t="s">
        <v>21801</v>
      </c>
      <c r="I2889" s="483">
        <v>4.0000000000000001e-003</v>
      </c>
      <c r="J2889" s="473">
        <f t="shared" si="1590"/>
        <v>50.57</v>
      </c>
      <c r="K2889" s="474">
        <f t="shared" si="1601"/>
        <v>0.20228000000000002</v>
      </c>
      <c r="L2889" s="473">
        <f t="shared" si="1595"/>
        <v>50.57</v>
      </c>
      <c r="M2889" s="474">
        <f t="shared" si="1602"/>
        <v>0.20228000000000002</v>
      </c>
      <c r="O2889" s="434">
        <f t="shared" si="1593"/>
        <v>50.57</v>
      </c>
      <c r="P2889" s="435">
        <f t="shared" si="1594"/>
        <v>50.57</v>
      </c>
      <c r="AE2889" s="217"/>
      <c r="AF2889" s="217">
        <v>1357</v>
      </c>
      <c r="AH2889">
        <f t="shared" si="1603"/>
        <v>1357</v>
      </c>
    </row>
    <row r="2890" ht="30">
      <c r="A2890" s="217"/>
      <c r="B2890" s="217">
        <v>1357</v>
      </c>
      <c r="C2890" s="217"/>
      <c r="D2890" s="612"/>
      <c r="E2890" s="471" t="s">
        <v>20409</v>
      </c>
      <c r="F2890" s="482" t="s">
        <v>20356</v>
      </c>
      <c r="G2890" s="488" t="s">
        <v>22085</v>
      </c>
      <c r="H2890" s="482" t="s">
        <v>31</v>
      </c>
      <c r="I2890" s="483">
        <v>1.6000000000000001e-003</v>
      </c>
      <c r="J2890" s="473" t="e">
        <f t="shared" si="1590"/>
        <v>#VALUE!</v>
      </c>
      <c r="K2890" s="474" t="e">
        <f t="shared" si="1601"/>
        <v>#VALUE!</v>
      </c>
      <c r="L2890" s="473" t="e">
        <f t="shared" si="1595"/>
        <v>#VALUE!</v>
      </c>
      <c r="M2890" s="474" t="e">
        <f t="shared" si="1602"/>
        <v>#VALUE!</v>
      </c>
      <c r="O2890" s="434" t="str">
        <f t="shared" si="1593"/>
        <v xml:space="preserve">SEM VALOR</v>
      </c>
      <c r="P2890" s="435" t="str">
        <f t="shared" si="1594"/>
        <v xml:space="preserve">SEM VALOR</v>
      </c>
      <c r="AE2890" s="217"/>
      <c r="AF2890" s="217">
        <v>1357</v>
      </c>
      <c r="AH2890">
        <f t="shared" si="1603"/>
        <v>1357</v>
      </c>
    </row>
    <row r="2891" ht="60">
      <c r="A2891" s="217"/>
      <c r="B2891" s="217">
        <v>1357</v>
      </c>
      <c r="C2891" s="217"/>
      <c r="D2891" s="612"/>
      <c r="E2891" s="471" t="s">
        <v>20663</v>
      </c>
      <c r="F2891" s="482" t="s">
        <v>20358</v>
      </c>
      <c r="G2891" s="470" t="s">
        <v>22086</v>
      </c>
      <c r="H2891" s="482" t="s">
        <v>20360</v>
      </c>
      <c r="I2891" s="483">
        <v>6.9999999999999994e-005</v>
      </c>
      <c r="J2891" s="473" t="e">
        <f t="shared" si="1590"/>
        <v>#VALUE!</v>
      </c>
      <c r="K2891" s="474" t="e">
        <f t="shared" si="1601"/>
        <v>#VALUE!</v>
      </c>
      <c r="L2891" s="473" t="e">
        <f t="shared" si="1595"/>
        <v>#VALUE!</v>
      </c>
      <c r="M2891" s="474" t="e">
        <f t="shared" si="1602"/>
        <v>#VALUE!</v>
      </c>
      <c r="O2891" s="434" t="str">
        <f t="shared" si="1593"/>
        <v xml:space="preserve">SEM VALOR</v>
      </c>
      <c r="P2891" s="435" t="str">
        <f t="shared" si="1594"/>
        <v xml:space="preserve">SEM VALOR</v>
      </c>
      <c r="AE2891" s="217"/>
      <c r="AF2891" s="217">
        <v>1357</v>
      </c>
      <c r="AH2891">
        <f t="shared" si="1603"/>
        <v>1357</v>
      </c>
    </row>
    <row r="2892" ht="60">
      <c r="A2892" s="217"/>
      <c r="B2892" s="217">
        <v>1357</v>
      </c>
      <c r="C2892" s="217"/>
      <c r="D2892" s="612"/>
      <c r="E2892" s="471" t="s">
        <v>20665</v>
      </c>
      <c r="F2892" s="482" t="s">
        <v>20361</v>
      </c>
      <c r="G2892" s="470" t="s">
        <v>22087</v>
      </c>
      <c r="H2892" s="482" t="s">
        <v>20363</v>
      </c>
      <c r="I2892" s="483">
        <v>8.0000000000000007e-005</v>
      </c>
      <c r="J2892" s="473" t="e">
        <f t="shared" si="1590"/>
        <v>#VALUE!</v>
      </c>
      <c r="K2892" s="474" t="e">
        <f t="shared" si="1601"/>
        <v>#VALUE!</v>
      </c>
      <c r="L2892" s="473" t="e">
        <f t="shared" si="1595"/>
        <v>#VALUE!</v>
      </c>
      <c r="M2892" s="474" t="e">
        <f t="shared" si="1602"/>
        <v>#VALUE!</v>
      </c>
      <c r="O2892" s="434" t="str">
        <f t="shared" si="1593"/>
        <v xml:space="preserve">SEM VALOR</v>
      </c>
      <c r="P2892" s="435" t="str">
        <f t="shared" si="1594"/>
        <v xml:space="preserve">SEM VALOR</v>
      </c>
      <c r="AE2892" s="217"/>
      <c r="AF2892" s="217">
        <v>1357</v>
      </c>
      <c r="AH2892">
        <f t="shared" si="1603"/>
        <v>1357</v>
      </c>
    </row>
    <row r="2893" ht="60">
      <c r="A2893" s="217"/>
      <c r="B2893" s="217">
        <v>1357</v>
      </c>
      <c r="C2893" s="217"/>
      <c r="D2893" s="612"/>
      <c r="E2893" s="471" t="s">
        <v>20667</v>
      </c>
      <c r="F2893" s="482" t="s">
        <v>20364</v>
      </c>
      <c r="G2893" s="470" t="s">
        <v>22088</v>
      </c>
      <c r="H2893" s="482" t="s">
        <v>20366</v>
      </c>
      <c r="I2893" s="483">
        <v>3.0000000000000001e-005</v>
      </c>
      <c r="J2893" s="473" t="e">
        <f t="shared" si="1590"/>
        <v>#VALUE!</v>
      </c>
      <c r="K2893" s="474" t="e">
        <f t="shared" si="1601"/>
        <v>#VALUE!</v>
      </c>
      <c r="L2893" s="473" t="e">
        <f t="shared" si="1595"/>
        <v>#VALUE!</v>
      </c>
      <c r="M2893" s="474" t="e">
        <f t="shared" si="1602"/>
        <v>#VALUE!</v>
      </c>
      <c r="O2893" s="434" t="str">
        <f t="shared" si="1593"/>
        <v xml:space="preserve">SEM VALOR</v>
      </c>
      <c r="P2893" s="435" t="str">
        <f t="shared" si="1594"/>
        <v xml:space="preserve">SEM VALOR</v>
      </c>
      <c r="AE2893" s="217"/>
      <c r="AF2893" s="217">
        <v>1357</v>
      </c>
      <c r="AH2893">
        <f t="shared" si="1603"/>
        <v>1357</v>
      </c>
    </row>
    <row r="2894" ht="60">
      <c r="A2894" s="217"/>
      <c r="B2894" s="217">
        <v>1357</v>
      </c>
      <c r="C2894" s="217"/>
      <c r="D2894" s="612"/>
      <c r="E2894" s="471" t="s">
        <v>20671</v>
      </c>
      <c r="F2894" s="482" t="s">
        <v>20367</v>
      </c>
      <c r="G2894" s="470" t="s">
        <v>22089</v>
      </c>
      <c r="H2894" s="482" t="s">
        <v>20369</v>
      </c>
      <c r="I2894" s="483">
        <v>3.0000000000000001e-006</v>
      </c>
      <c r="J2894" s="473" t="e">
        <f t="shared" si="1590"/>
        <v>#VALUE!</v>
      </c>
      <c r="K2894" s="474" t="e">
        <f t="shared" si="1601"/>
        <v>#VALUE!</v>
      </c>
      <c r="L2894" s="473" t="e">
        <f t="shared" si="1595"/>
        <v>#VALUE!</v>
      </c>
      <c r="M2894" s="474" t="e">
        <f t="shared" si="1602"/>
        <v>#VALUE!</v>
      </c>
      <c r="O2894" s="434" t="str">
        <f t="shared" si="1593"/>
        <v xml:space="preserve">SEM VALOR</v>
      </c>
      <c r="P2894" s="435" t="str">
        <f t="shared" si="1594"/>
        <v xml:space="preserve">SEM VALOR</v>
      </c>
      <c r="AE2894" s="217"/>
      <c r="AF2894" s="217">
        <v>1357</v>
      </c>
      <c r="AH2894">
        <f t="shared" si="1603"/>
        <v>1357</v>
      </c>
    </row>
    <row r="2895" ht="47.25">
      <c r="A2895" s="460">
        <v>1358</v>
      </c>
      <c r="B2895" s="460">
        <v>1358</v>
      </c>
      <c r="C2895" s="460"/>
      <c r="D2895" s="460"/>
      <c r="E2895" s="461">
        <v>1</v>
      </c>
      <c r="F2895" s="462" t="s">
        <v>22090</v>
      </c>
      <c r="G2895" s="477" t="s">
        <v>22081</v>
      </c>
      <c r="H2895" s="579" t="s">
        <v>1533</v>
      </c>
      <c r="I2895" s="479"/>
      <c r="J2895" s="480"/>
      <c r="K2895" s="466" t="e">
        <f>SUM(K2896:K2899)</f>
        <v>#VALUE!</v>
      </c>
      <c r="L2895" s="480"/>
      <c r="M2895" s="466" t="e">
        <f>SUM(M2896:M2899)</f>
        <v>#VALUE!</v>
      </c>
      <c r="N2895" s="467" t="s">
        <v>22082</v>
      </c>
      <c r="O2895" s="434" t="str">
        <f t="shared" si="1593"/>
        <v xml:space="preserve">SEM VALOR</v>
      </c>
      <c r="P2895" s="435" t="str">
        <f t="shared" si="1594"/>
        <v xml:space="preserve">SEM VALOR</v>
      </c>
      <c r="AE2895" s="460">
        <v>1358</v>
      </c>
      <c r="AF2895" s="460"/>
      <c r="AH2895">
        <f t="shared" si="1603"/>
        <v>1358</v>
      </c>
    </row>
    <row r="2896" ht="45">
      <c r="A2896" s="217"/>
      <c r="B2896" s="217">
        <v>1358</v>
      </c>
      <c r="C2896" s="217"/>
      <c r="D2896" s="217" t="s">
        <v>17167</v>
      </c>
      <c r="E2896" s="471" t="s">
        <v>20399</v>
      </c>
      <c r="F2896" s="482">
        <v>88297</v>
      </c>
      <c r="G2896" s="470" t="s">
        <v>7375</v>
      </c>
      <c r="H2896" s="482" t="s">
        <v>2032</v>
      </c>
      <c r="I2896" s="483">
        <v>1</v>
      </c>
      <c r="J2896" s="473">
        <f t="shared" si="1590"/>
        <v>30.850000000000001</v>
      </c>
      <c r="K2896" s="474">
        <f t="shared" ref="K2896:K2899" si="1604">I2896*J2896</f>
        <v>30.850000000000001</v>
      </c>
      <c r="L2896" s="473">
        <f t="shared" si="1595"/>
        <v>28.949999999999999</v>
      </c>
      <c r="M2896" s="474">
        <f t="shared" ref="M2896:M2899" si="1605">L2896*I2896</f>
        <v>28.949999999999999</v>
      </c>
      <c r="O2896" s="434">
        <f t="shared" si="1593"/>
        <v>30.850000000000001</v>
      </c>
      <c r="P2896" s="435">
        <f t="shared" si="1594"/>
        <v>28.949999999999999</v>
      </c>
      <c r="AE2896" s="217"/>
      <c r="AF2896" s="217">
        <v>1358</v>
      </c>
      <c r="AH2896">
        <f t="shared" si="1603"/>
        <v>1358</v>
      </c>
    </row>
    <row r="2897" ht="60">
      <c r="A2897" s="217"/>
      <c r="B2897" s="217">
        <v>1358</v>
      </c>
      <c r="C2897" s="217"/>
      <c r="D2897" s="612"/>
      <c r="E2897" s="471" t="s">
        <v>20402</v>
      </c>
      <c r="F2897" s="482" t="s">
        <v>20361</v>
      </c>
      <c r="G2897" s="470" t="s">
        <v>22087</v>
      </c>
      <c r="H2897" s="482" t="s">
        <v>20363</v>
      </c>
      <c r="I2897" s="483">
        <v>8.0000000000000007e-005</v>
      </c>
      <c r="J2897" s="473" t="e">
        <f t="shared" si="1590"/>
        <v>#VALUE!</v>
      </c>
      <c r="K2897" s="474" t="e">
        <f t="shared" si="1604"/>
        <v>#VALUE!</v>
      </c>
      <c r="L2897" s="473" t="e">
        <f t="shared" si="1595"/>
        <v>#VALUE!</v>
      </c>
      <c r="M2897" s="474" t="e">
        <f t="shared" si="1605"/>
        <v>#VALUE!</v>
      </c>
      <c r="O2897" s="434" t="str">
        <f t="shared" si="1593"/>
        <v xml:space="preserve">SEM VALOR</v>
      </c>
      <c r="P2897" s="435" t="str">
        <f t="shared" si="1594"/>
        <v xml:space="preserve">SEM VALOR</v>
      </c>
      <c r="AE2897" s="217"/>
      <c r="AF2897" s="217">
        <v>1358</v>
      </c>
      <c r="AH2897">
        <f t="shared" si="1603"/>
        <v>1358</v>
      </c>
    </row>
    <row r="2898" ht="60">
      <c r="A2898" s="217"/>
      <c r="B2898" s="217">
        <v>1358</v>
      </c>
      <c r="C2898" s="217"/>
      <c r="D2898" s="612"/>
      <c r="E2898" s="471" t="s">
        <v>20405</v>
      </c>
      <c r="F2898" s="482" t="s">
        <v>20364</v>
      </c>
      <c r="G2898" s="470" t="s">
        <v>22088</v>
      </c>
      <c r="H2898" s="482" t="s">
        <v>20366</v>
      </c>
      <c r="I2898" s="483">
        <v>3.0000000000000001e-005</v>
      </c>
      <c r="J2898" s="473" t="e">
        <f t="shared" si="1590"/>
        <v>#VALUE!</v>
      </c>
      <c r="K2898" s="474" t="e">
        <f t="shared" si="1604"/>
        <v>#VALUE!</v>
      </c>
      <c r="L2898" s="473" t="e">
        <f t="shared" si="1595"/>
        <v>#VALUE!</v>
      </c>
      <c r="M2898" s="474" t="e">
        <f t="shared" si="1605"/>
        <v>#VALUE!</v>
      </c>
      <c r="O2898" s="434" t="str">
        <f t="shared" si="1593"/>
        <v xml:space="preserve">SEM VALOR</v>
      </c>
      <c r="P2898" s="435" t="str">
        <f t="shared" si="1594"/>
        <v xml:space="preserve">SEM VALOR</v>
      </c>
      <c r="AE2898" s="217"/>
      <c r="AF2898" s="217">
        <v>1358</v>
      </c>
      <c r="AH2898">
        <f t="shared" si="1603"/>
        <v>1358</v>
      </c>
    </row>
    <row r="2899" ht="60">
      <c r="A2899" s="217"/>
      <c r="B2899" s="217">
        <v>1358</v>
      </c>
      <c r="C2899" s="217"/>
      <c r="D2899" s="612"/>
      <c r="E2899" s="471" t="s">
        <v>20409</v>
      </c>
      <c r="F2899" s="482" t="s">
        <v>20367</v>
      </c>
      <c r="G2899" s="470" t="s">
        <v>22089</v>
      </c>
      <c r="H2899" s="482" t="s">
        <v>20369</v>
      </c>
      <c r="I2899" s="483">
        <v>3.0000000000000001e-006</v>
      </c>
      <c r="J2899" s="473" t="e">
        <f t="shared" si="1590"/>
        <v>#VALUE!</v>
      </c>
      <c r="K2899" s="474" t="e">
        <f t="shared" si="1604"/>
        <v>#VALUE!</v>
      </c>
      <c r="L2899" s="473" t="e">
        <f t="shared" si="1595"/>
        <v>#VALUE!</v>
      </c>
      <c r="M2899" s="474" t="e">
        <f t="shared" si="1605"/>
        <v>#VALUE!</v>
      </c>
      <c r="O2899" s="434" t="str">
        <f t="shared" si="1593"/>
        <v xml:space="preserve">SEM VALOR</v>
      </c>
      <c r="P2899" s="435" t="str">
        <f t="shared" si="1594"/>
        <v xml:space="preserve">SEM VALOR</v>
      </c>
      <c r="AE2899" s="217"/>
      <c r="AF2899" s="217">
        <v>1358</v>
      </c>
      <c r="AH2899">
        <f t="shared" si="1603"/>
        <v>1358</v>
      </c>
    </row>
    <row r="2900" ht="94.5">
      <c r="A2900" s="460">
        <v>1359</v>
      </c>
      <c r="B2900" s="460">
        <v>1359</v>
      </c>
      <c r="C2900" s="460"/>
      <c r="D2900" s="460"/>
      <c r="E2900" s="461">
        <v>1</v>
      </c>
      <c r="F2900" s="462" t="s">
        <v>22091</v>
      </c>
      <c r="G2900" s="477" t="s">
        <v>22092</v>
      </c>
      <c r="H2900" s="579" t="s">
        <v>20647</v>
      </c>
      <c r="I2900" s="479"/>
      <c r="J2900" s="480"/>
      <c r="K2900" s="466">
        <f>SUM(K2901:K2909)</f>
        <v>714.33954284499998</v>
      </c>
      <c r="L2900" s="480"/>
      <c r="M2900" s="466">
        <f>SUM(M2901:M2909)</f>
        <v>712.76614330399991</v>
      </c>
      <c r="N2900" s="467" t="s">
        <v>22061</v>
      </c>
      <c r="O2900" s="434" t="str">
        <f t="shared" si="1593"/>
        <v xml:space="preserve">SEM VALOR</v>
      </c>
      <c r="P2900" s="435" t="str">
        <f t="shared" si="1594"/>
        <v xml:space="preserve">SEM VALOR</v>
      </c>
      <c r="AE2900" s="460">
        <v>1359</v>
      </c>
      <c r="AF2900" s="460"/>
      <c r="AH2900">
        <f t="shared" si="1603"/>
        <v>1359</v>
      </c>
    </row>
    <row r="2901" ht="105">
      <c r="A2901" s="217"/>
      <c r="B2901" s="217">
        <v>1359</v>
      </c>
      <c r="C2901" s="217"/>
      <c r="D2901" s="217" t="s">
        <v>17167</v>
      </c>
      <c r="E2901" s="471" t="s">
        <v>20399</v>
      </c>
      <c r="F2901" s="482">
        <v>73467</v>
      </c>
      <c r="G2901" s="470" t="s">
        <v>1601</v>
      </c>
      <c r="H2901" s="482" t="s">
        <v>1535</v>
      </c>
      <c r="I2901" s="578">
        <f>0.3/4.2</f>
        <v>7.1428599999999995e-002</v>
      </c>
      <c r="J2901" s="473">
        <f t="shared" si="1590"/>
        <v>270.61000000000001</v>
      </c>
      <c r="K2901" s="474">
        <f t="shared" ref="K2901:K2909" si="1606">I2901*J2901</f>
        <v>19.329293446000001</v>
      </c>
      <c r="L2901" s="473">
        <f t="shared" si="1595"/>
        <v>269.00999999999999</v>
      </c>
      <c r="M2901" s="474">
        <f t="shared" ref="M2901:M2909" si="1607">L2901*I2901</f>
        <v>19.215007685999996</v>
      </c>
      <c r="N2901" s="467" t="s">
        <v>21418</v>
      </c>
      <c r="O2901" s="434">
        <f t="shared" si="1593"/>
        <v>270.61000000000001</v>
      </c>
      <c r="P2901" s="435">
        <f t="shared" si="1594"/>
        <v>269.00999999999999</v>
      </c>
      <c r="AE2901" s="217"/>
      <c r="AF2901" s="217">
        <v>1359</v>
      </c>
      <c r="AH2901">
        <f t="shared" si="1603"/>
        <v>1359</v>
      </c>
    </row>
    <row r="2902" ht="105">
      <c r="A2902" s="217"/>
      <c r="B2902" s="217">
        <v>1359</v>
      </c>
      <c r="C2902" s="217"/>
      <c r="D2902" s="217" t="s">
        <v>17167</v>
      </c>
      <c r="E2902" s="471" t="s">
        <v>20402</v>
      </c>
      <c r="F2902" s="482">
        <v>91395</v>
      </c>
      <c r="G2902" s="470" t="s">
        <v>1600</v>
      </c>
      <c r="H2902" s="482" t="s">
        <v>1533</v>
      </c>
      <c r="I2902" s="578">
        <f>0.7/4.2</f>
        <v>0.1666667</v>
      </c>
      <c r="J2902" s="473">
        <f t="shared" si="1590"/>
        <v>58.25</v>
      </c>
      <c r="K2902" s="474">
        <f t="shared" si="1606"/>
        <v>9.7083352749999996</v>
      </c>
      <c r="L2902" s="473">
        <f t="shared" si="1595"/>
        <v>56.649999999999999</v>
      </c>
      <c r="M2902" s="474">
        <f t="shared" si="1607"/>
        <v>9.4416685549999997</v>
      </c>
      <c r="O2902" s="434">
        <f t="shared" si="1593"/>
        <v>58.25</v>
      </c>
      <c r="P2902" s="435">
        <f t="shared" si="1594"/>
        <v>56.649999999999999</v>
      </c>
      <c r="AE2902" s="217"/>
      <c r="AF2902" s="217">
        <v>1359</v>
      </c>
      <c r="AH2902">
        <f t="shared" si="1603"/>
        <v>1359</v>
      </c>
    </row>
    <row r="2903" ht="45">
      <c r="A2903" s="217"/>
      <c r="B2903" s="217">
        <v>1359</v>
      </c>
      <c r="C2903" s="217"/>
      <c r="D2903" s="217" t="s">
        <v>17167</v>
      </c>
      <c r="E2903" s="471" t="s">
        <v>20405</v>
      </c>
      <c r="F2903" s="482">
        <v>88277</v>
      </c>
      <c r="G2903" s="488" t="s">
        <v>7341</v>
      </c>
      <c r="H2903" s="482" t="s">
        <v>2032</v>
      </c>
      <c r="I2903" s="578">
        <f t="shared" ref="I2903:I2904" si="1608">1/4.2</f>
        <v>0.23809520000000001</v>
      </c>
      <c r="J2903" s="473">
        <f t="shared" si="1590"/>
        <v>28.359999999999999</v>
      </c>
      <c r="K2903" s="474">
        <f t="shared" si="1606"/>
        <v>6.7523798719999997</v>
      </c>
      <c r="L2903" s="473">
        <f t="shared" si="1595"/>
        <v>26.640000000000001</v>
      </c>
      <c r="M2903" s="474">
        <f t="shared" si="1607"/>
        <v>6.3428561280000002</v>
      </c>
      <c r="O2903" s="434">
        <f t="shared" si="1593"/>
        <v>28.359999999999999</v>
      </c>
      <c r="P2903" s="435">
        <f t="shared" si="1594"/>
        <v>26.640000000000001</v>
      </c>
      <c r="AE2903" s="217"/>
      <c r="AF2903" s="217">
        <v>1359</v>
      </c>
      <c r="AH2903">
        <f t="shared" si="1603"/>
        <v>1359</v>
      </c>
    </row>
    <row r="2904" ht="30">
      <c r="A2904" s="217"/>
      <c r="B2904" s="217">
        <v>1359</v>
      </c>
      <c r="C2904" s="217"/>
      <c r="D2904" s="217" t="s">
        <v>17167</v>
      </c>
      <c r="E2904" s="471" t="s">
        <v>20409</v>
      </c>
      <c r="F2904" s="482">
        <v>88316</v>
      </c>
      <c r="G2904" s="470" t="s">
        <v>7393</v>
      </c>
      <c r="H2904" s="482" t="s">
        <v>2032</v>
      </c>
      <c r="I2904" s="578">
        <f t="shared" si="1608"/>
        <v>0.23809520000000001</v>
      </c>
      <c r="J2904" s="473">
        <f t="shared" si="1590"/>
        <v>22.760000000000002</v>
      </c>
      <c r="K2904" s="474">
        <f t="shared" si="1606"/>
        <v>5.4190467520000007</v>
      </c>
      <c r="L2904" s="473">
        <f t="shared" si="1595"/>
        <v>21.550000000000001</v>
      </c>
      <c r="M2904" s="474">
        <f t="shared" si="1607"/>
        <v>5.1309515600000006</v>
      </c>
      <c r="O2904" s="434">
        <f t="shared" si="1593"/>
        <v>22.760000000000002</v>
      </c>
      <c r="P2904" s="435">
        <f t="shared" si="1594"/>
        <v>21.550000000000001</v>
      </c>
      <c r="AE2904" s="217"/>
      <c r="AF2904" s="217">
        <v>1359</v>
      </c>
      <c r="AH2904">
        <f t="shared" si="1603"/>
        <v>1359</v>
      </c>
    </row>
    <row r="2905" ht="60">
      <c r="A2905" s="217"/>
      <c r="B2905" s="217">
        <v>1359</v>
      </c>
      <c r="C2905" s="217"/>
      <c r="D2905" s="217" t="s">
        <v>20408</v>
      </c>
      <c r="E2905" s="471" t="s">
        <v>20663</v>
      </c>
      <c r="F2905" s="482">
        <v>21013</v>
      </c>
      <c r="G2905" s="470" t="s">
        <v>22062</v>
      </c>
      <c r="H2905" s="482" t="s">
        <v>21420</v>
      </c>
      <c r="I2905" s="578">
        <v>3.2000000000000002</v>
      </c>
      <c r="J2905" s="473">
        <f t="shared" si="1590"/>
        <v>66.920000000000002</v>
      </c>
      <c r="K2905" s="474">
        <f t="shared" si="1606"/>
        <v>214.14400000000001</v>
      </c>
      <c r="L2905" s="473">
        <f t="shared" si="1595"/>
        <v>66.920000000000002</v>
      </c>
      <c r="M2905" s="474">
        <f t="shared" si="1607"/>
        <v>214.14400000000001</v>
      </c>
      <c r="O2905" s="434">
        <f t="shared" si="1593"/>
        <v>66.920000000000002</v>
      </c>
      <c r="P2905" s="435">
        <f t="shared" si="1594"/>
        <v>66.920000000000002</v>
      </c>
      <c r="AE2905" s="217"/>
      <c r="AF2905" s="217">
        <v>1359</v>
      </c>
      <c r="AH2905">
        <f t="shared" si="1603"/>
        <v>1359</v>
      </c>
    </row>
    <row r="2906" ht="30">
      <c r="A2906" s="217"/>
      <c r="B2906" s="217">
        <v>1359</v>
      </c>
      <c r="C2906" s="217"/>
      <c r="D2906" s="217" t="s">
        <v>20408</v>
      </c>
      <c r="E2906" s="471" t="s">
        <v>20665</v>
      </c>
      <c r="F2906" s="489">
        <v>34723</v>
      </c>
      <c r="G2906" s="470" t="s">
        <v>21184</v>
      </c>
      <c r="H2906" s="499" t="s">
        <v>15515</v>
      </c>
      <c r="I2906" s="483">
        <f>0.244+0.196</f>
        <v>0.44</v>
      </c>
      <c r="J2906" s="473">
        <f t="shared" si="1590"/>
        <v>997.91999999999996</v>
      </c>
      <c r="K2906" s="474">
        <f t="shared" si="1606"/>
        <v>439.08479999999997</v>
      </c>
      <c r="L2906" s="473">
        <f t="shared" si="1595"/>
        <v>997.91999999999996</v>
      </c>
      <c r="M2906" s="474">
        <f t="shared" si="1607"/>
        <v>439.08479999999997</v>
      </c>
      <c r="O2906" s="434">
        <f t="shared" si="1593"/>
        <v>997.91999999999996</v>
      </c>
      <c r="P2906" s="435">
        <f t="shared" si="1594"/>
        <v>997.91999999999996</v>
      </c>
      <c r="AE2906" s="217"/>
      <c r="AF2906" s="217">
        <v>1359</v>
      </c>
      <c r="AH2906">
        <f t="shared" si="1603"/>
        <v>1359</v>
      </c>
    </row>
    <row r="2907" ht="60">
      <c r="A2907" s="217"/>
      <c r="B2907" s="217">
        <v>1359</v>
      </c>
      <c r="C2907" s="217"/>
      <c r="D2907" s="217" t="s">
        <v>17167</v>
      </c>
      <c r="E2907" s="471" t="s">
        <v>20667</v>
      </c>
      <c r="F2907" s="482">
        <v>94963</v>
      </c>
      <c r="G2907" s="470" t="s">
        <v>20684</v>
      </c>
      <c r="H2907" s="482" t="s">
        <v>15528</v>
      </c>
      <c r="I2907" s="578">
        <v>3.125e-002</v>
      </c>
      <c r="J2907" s="473">
        <f t="shared" si="1590"/>
        <v>441.43000000000001</v>
      </c>
      <c r="K2907" s="474">
        <f t="shared" si="1606"/>
        <v>13.7946875</v>
      </c>
      <c r="L2907" s="473">
        <f t="shared" si="1595"/>
        <v>436.14999999999998</v>
      </c>
      <c r="M2907" s="474">
        <f t="shared" si="1607"/>
        <v>13.629687499999999</v>
      </c>
      <c r="O2907" s="434">
        <f t="shared" si="1593"/>
        <v>441.43000000000001</v>
      </c>
      <c r="P2907" s="435">
        <f t="shared" si="1594"/>
        <v>436.14999999999998</v>
      </c>
      <c r="AE2907" s="217"/>
      <c r="AF2907" s="217">
        <v>1359</v>
      </c>
      <c r="AH2907">
        <f t="shared" si="1603"/>
        <v>1359</v>
      </c>
    </row>
    <row r="2908" ht="45">
      <c r="A2908" s="217"/>
      <c r="B2908" s="217">
        <v>1359</v>
      </c>
      <c r="C2908" s="217"/>
      <c r="D2908" s="217" t="s">
        <v>20398</v>
      </c>
      <c r="E2908" s="471" t="s">
        <v>20671</v>
      </c>
      <c r="F2908" s="489">
        <v>1259</v>
      </c>
      <c r="G2908" s="470" t="s">
        <v>20796</v>
      </c>
      <c r="H2908" s="482" t="s">
        <v>15528</v>
      </c>
      <c r="I2908" s="614">
        <v>3.125e-002</v>
      </c>
      <c r="J2908" s="473">
        <f t="shared" si="1590"/>
        <v>45.520000000000003</v>
      </c>
      <c r="K2908" s="474">
        <f t="shared" si="1606"/>
        <v>1.4225000000000001</v>
      </c>
      <c r="L2908" s="473">
        <f t="shared" si="1595"/>
        <v>43.100000000000001</v>
      </c>
      <c r="M2908" s="474">
        <f t="shared" si="1607"/>
        <v>1.346875</v>
      </c>
      <c r="O2908" s="434">
        <f t="shared" si="1593"/>
        <v>45.520000000000003</v>
      </c>
      <c r="P2908" s="435">
        <f t="shared" si="1594"/>
        <v>43.100000000000001</v>
      </c>
      <c r="AE2908" s="217"/>
      <c r="AF2908" s="217">
        <v>1359</v>
      </c>
      <c r="AH2908">
        <f t="shared" si="1603"/>
        <v>1359</v>
      </c>
    </row>
    <row r="2909" ht="45">
      <c r="A2909" s="217"/>
      <c r="B2909" s="217">
        <v>1359</v>
      </c>
      <c r="C2909" s="217"/>
      <c r="D2909" s="217" t="s">
        <v>20398</v>
      </c>
      <c r="E2909" s="471" t="s">
        <v>20672</v>
      </c>
      <c r="F2909" s="482">
        <v>1000</v>
      </c>
      <c r="G2909" s="470" t="s">
        <v>20651</v>
      </c>
      <c r="H2909" s="482" t="s">
        <v>15528</v>
      </c>
      <c r="I2909" s="614">
        <f>I2907</f>
        <v>3.125e-002</v>
      </c>
      <c r="J2909" s="473">
        <f t="shared" si="1590"/>
        <v>149.904</v>
      </c>
      <c r="K2909" s="474">
        <f t="shared" si="1606"/>
        <v>4.6844999999999999</v>
      </c>
      <c r="L2909" s="473">
        <f t="shared" si="1595"/>
        <v>141.76949999999999</v>
      </c>
      <c r="M2909" s="474">
        <f t="shared" si="1607"/>
        <v>4.4302968749999998</v>
      </c>
      <c r="O2909" s="434">
        <f t="shared" si="1593"/>
        <v>149.904</v>
      </c>
      <c r="P2909" s="435">
        <f t="shared" si="1594"/>
        <v>141.76949999999999</v>
      </c>
      <c r="AE2909" s="217"/>
      <c r="AF2909" s="217">
        <v>1359</v>
      </c>
      <c r="AH2909">
        <f t="shared" si="1603"/>
        <v>1359</v>
      </c>
    </row>
    <row r="2910" ht="99" customHeight="1">
      <c r="A2910" s="460">
        <v>1360</v>
      </c>
      <c r="B2910" s="460">
        <v>1360</v>
      </c>
      <c r="C2910" s="460"/>
      <c r="D2910" s="460"/>
      <c r="E2910" s="461">
        <v>1</v>
      </c>
      <c r="F2910" s="462" t="s">
        <v>22093</v>
      </c>
      <c r="G2910" s="477" t="s">
        <v>22094</v>
      </c>
      <c r="H2910" s="579" t="s">
        <v>15528</v>
      </c>
      <c r="I2910" s="479"/>
      <c r="J2910" s="480"/>
      <c r="K2910" s="466">
        <f>SUM(K2911:K2916)</f>
        <v>254.68664200000003</v>
      </c>
      <c r="L2910" s="480"/>
      <c r="M2910" s="466">
        <f>SUM(M2911:M2916)</f>
        <v>249.87741000000003</v>
      </c>
      <c r="O2910" s="434" t="str">
        <f t="shared" si="1593"/>
        <v xml:space="preserve">SEM VALOR</v>
      </c>
      <c r="P2910" s="435" t="str">
        <f t="shared" si="1594"/>
        <v xml:space="preserve">SEM VALOR</v>
      </c>
      <c r="AE2910" s="460">
        <v>1360</v>
      </c>
      <c r="AF2910" s="460"/>
      <c r="AH2910">
        <f t="shared" si="1603"/>
        <v>1360</v>
      </c>
    </row>
    <row r="2911" ht="120">
      <c r="A2911" s="217"/>
      <c r="B2911" s="217">
        <v>1360</v>
      </c>
      <c r="C2911" s="217"/>
      <c r="D2911" s="217" t="s">
        <v>17167</v>
      </c>
      <c r="E2911" s="471" t="s">
        <v>20399</v>
      </c>
      <c r="F2911" s="482">
        <v>5678</v>
      </c>
      <c r="G2911" s="470" t="s">
        <v>1875</v>
      </c>
      <c r="H2911" s="471" t="s">
        <v>1535</v>
      </c>
      <c r="I2911" s="472">
        <v>0.128</v>
      </c>
      <c r="J2911" s="473">
        <f t="shared" ref="J2910:J2973" si="1609">O2911*$J$3</f>
        <v>157.62</v>
      </c>
      <c r="K2911" s="474">
        <f t="shared" ref="K2911:K2916" si="1610">I2911*J2911</f>
        <v>20.175360000000001</v>
      </c>
      <c r="L2911" s="473">
        <f t="shared" si="1595"/>
        <v>155.49000000000001</v>
      </c>
      <c r="M2911" s="474">
        <f t="shared" ref="M2911:M2916" si="1611">L2911*I2911</f>
        <v>19.902720000000002</v>
      </c>
      <c r="O2911" s="434">
        <f t="shared" si="1593"/>
        <v>157.62</v>
      </c>
      <c r="P2911" s="435">
        <f t="shared" si="1594"/>
        <v>155.49000000000001</v>
      </c>
      <c r="AE2911" s="217"/>
      <c r="AF2911" s="217">
        <v>1360</v>
      </c>
      <c r="AH2911">
        <f t="shared" si="1603"/>
        <v>1360</v>
      </c>
    </row>
    <row r="2912" ht="120">
      <c r="A2912" s="217"/>
      <c r="B2912" s="217">
        <v>1360</v>
      </c>
      <c r="C2912" s="217"/>
      <c r="D2912" s="217" t="s">
        <v>17167</v>
      </c>
      <c r="E2912" s="471" t="s">
        <v>20402</v>
      </c>
      <c r="F2912" s="482">
        <v>5679</v>
      </c>
      <c r="G2912" s="470" t="s">
        <v>1874</v>
      </c>
      <c r="H2912" s="471" t="s">
        <v>1533</v>
      </c>
      <c r="I2912" s="472">
        <v>0.63980000000000004</v>
      </c>
      <c r="J2912" s="473">
        <f t="shared" si="1609"/>
        <v>67.060000000000002</v>
      </c>
      <c r="K2912" s="474">
        <f t="shared" si="1610"/>
        <v>42.904988000000003</v>
      </c>
      <c r="L2912" s="473">
        <f t="shared" si="1595"/>
        <v>64.930000000000007</v>
      </c>
      <c r="M2912" s="474">
        <f t="shared" si="1611"/>
        <v>41.542214000000008</v>
      </c>
      <c r="O2912" s="434">
        <f t="shared" si="1593"/>
        <v>67.060000000000002</v>
      </c>
      <c r="P2912" s="435">
        <f t="shared" si="1594"/>
        <v>64.930000000000007</v>
      </c>
      <c r="AE2912" s="217"/>
      <c r="AF2912" s="217">
        <v>1360</v>
      </c>
      <c r="AH2912">
        <f t="shared" si="1603"/>
        <v>1360</v>
      </c>
    </row>
    <row r="2913" ht="30">
      <c r="A2913" s="217"/>
      <c r="B2913" s="217">
        <v>1360</v>
      </c>
      <c r="C2913" s="217"/>
      <c r="D2913" s="217" t="s">
        <v>17167</v>
      </c>
      <c r="E2913" s="471" t="s">
        <v>20405</v>
      </c>
      <c r="F2913" s="482">
        <v>88309</v>
      </c>
      <c r="G2913" s="470" t="s">
        <v>7385</v>
      </c>
      <c r="H2913" s="471" t="s">
        <v>2032</v>
      </c>
      <c r="I2913" s="472">
        <v>0.92130000000000001</v>
      </c>
      <c r="J2913" s="473">
        <f t="shared" si="1609"/>
        <v>28.5</v>
      </c>
      <c r="K2913" s="474">
        <f t="shared" si="1610"/>
        <v>26.25705</v>
      </c>
      <c r="L2913" s="473">
        <f t="shared" si="1595"/>
        <v>26.870000000000001</v>
      </c>
      <c r="M2913" s="474">
        <f t="shared" si="1611"/>
        <v>24.755331000000002</v>
      </c>
      <c r="O2913" s="434">
        <f t="shared" si="1593"/>
        <v>28.5</v>
      </c>
      <c r="P2913" s="435">
        <f t="shared" si="1594"/>
        <v>26.870000000000001</v>
      </c>
      <c r="AE2913" s="217"/>
      <c r="AF2913" s="217">
        <v>1360</v>
      </c>
      <c r="AH2913">
        <f t="shared" si="1603"/>
        <v>1360</v>
      </c>
    </row>
    <row r="2914" ht="30">
      <c r="A2914" s="217"/>
      <c r="B2914" s="217">
        <v>1360</v>
      </c>
      <c r="C2914" s="217"/>
      <c r="D2914" s="217" t="s">
        <v>17167</v>
      </c>
      <c r="E2914" s="471" t="s">
        <v>20409</v>
      </c>
      <c r="F2914" s="482">
        <v>88316</v>
      </c>
      <c r="G2914" s="470" t="s">
        <v>7393</v>
      </c>
      <c r="H2914" s="471" t="s">
        <v>2032</v>
      </c>
      <c r="I2914" s="472">
        <v>1.3818999999999999</v>
      </c>
      <c r="J2914" s="473">
        <f t="shared" si="1609"/>
        <v>22.760000000000002</v>
      </c>
      <c r="K2914" s="474">
        <f t="shared" si="1610"/>
        <v>31.452044000000001</v>
      </c>
      <c r="L2914" s="473">
        <f t="shared" si="1595"/>
        <v>21.550000000000001</v>
      </c>
      <c r="M2914" s="474">
        <f t="shared" si="1611"/>
        <v>29.779944999999998</v>
      </c>
      <c r="O2914" s="434">
        <f t="shared" si="1593"/>
        <v>22.760000000000002</v>
      </c>
      <c r="P2914" s="435">
        <f t="shared" si="1594"/>
        <v>21.550000000000001</v>
      </c>
      <c r="AE2914" s="217"/>
      <c r="AF2914" s="217">
        <v>1360</v>
      </c>
      <c r="AH2914">
        <f t="shared" si="1603"/>
        <v>1360</v>
      </c>
    </row>
    <row r="2915" ht="45">
      <c r="A2915" s="217"/>
      <c r="B2915" s="217">
        <v>1360</v>
      </c>
      <c r="C2915" s="217"/>
      <c r="D2915" s="217" t="s">
        <v>20408</v>
      </c>
      <c r="E2915" s="471" t="s">
        <v>20663</v>
      </c>
      <c r="F2915" s="482">
        <v>4730</v>
      </c>
      <c r="G2915" s="470" t="s">
        <v>21325</v>
      </c>
      <c r="H2915" s="471" t="s">
        <v>15528</v>
      </c>
      <c r="I2915" s="472">
        <v>1.3</v>
      </c>
      <c r="J2915" s="473">
        <f t="shared" si="1609"/>
        <v>94.450000000000003</v>
      </c>
      <c r="K2915" s="474">
        <f t="shared" si="1610"/>
        <v>122.78500000000001</v>
      </c>
      <c r="L2915" s="473">
        <f t="shared" si="1595"/>
        <v>94.450000000000003</v>
      </c>
      <c r="M2915" s="474">
        <f t="shared" si="1611"/>
        <v>122.78500000000001</v>
      </c>
      <c r="O2915" s="434">
        <f t="shared" si="1593"/>
        <v>94.450000000000003</v>
      </c>
      <c r="P2915" s="435">
        <f t="shared" si="1594"/>
        <v>94.450000000000003</v>
      </c>
      <c r="AE2915" s="217"/>
      <c r="AF2915" s="217">
        <v>1360</v>
      </c>
      <c r="AH2915">
        <f t="shared" si="1603"/>
        <v>1360</v>
      </c>
    </row>
    <row r="2916" ht="45">
      <c r="A2916" s="217"/>
      <c r="B2916" s="217">
        <v>1360</v>
      </c>
      <c r="C2916" s="217"/>
      <c r="D2916" s="217" t="s">
        <v>20408</v>
      </c>
      <c r="E2916" s="471" t="s">
        <v>20665</v>
      </c>
      <c r="F2916" s="482">
        <v>4718</v>
      </c>
      <c r="G2916" s="470" t="s">
        <v>21326</v>
      </c>
      <c r="H2916" s="471" t="s">
        <v>15528</v>
      </c>
      <c r="I2916" s="472">
        <v>0.11</v>
      </c>
      <c r="J2916" s="473">
        <f t="shared" si="1609"/>
        <v>101.02</v>
      </c>
      <c r="K2916" s="474">
        <f t="shared" si="1610"/>
        <v>11.1122</v>
      </c>
      <c r="L2916" s="473">
        <f t="shared" si="1595"/>
        <v>101.02</v>
      </c>
      <c r="M2916" s="474">
        <f t="shared" si="1611"/>
        <v>11.1122</v>
      </c>
      <c r="O2916" s="434">
        <f t="shared" si="1593"/>
        <v>101.02</v>
      </c>
      <c r="P2916" s="435">
        <f t="shared" si="1594"/>
        <v>101.02</v>
      </c>
      <c r="AE2916" s="217"/>
      <c r="AF2916" s="217">
        <v>1360</v>
      </c>
      <c r="AH2916">
        <f t="shared" si="1603"/>
        <v>1360</v>
      </c>
    </row>
    <row r="2917" ht="110.25">
      <c r="A2917" s="460">
        <v>1361</v>
      </c>
      <c r="B2917" s="460">
        <v>1361</v>
      </c>
      <c r="C2917" s="460"/>
      <c r="D2917" s="460"/>
      <c r="E2917" s="461">
        <v>1</v>
      </c>
      <c r="F2917" s="462" t="s">
        <v>22095</v>
      </c>
      <c r="G2917" s="477" t="s">
        <v>22096</v>
      </c>
      <c r="H2917" s="579" t="s">
        <v>15528</v>
      </c>
      <c r="I2917" s="479"/>
      <c r="J2917" s="480"/>
      <c r="K2917" s="466">
        <f>SUM(K2918:K2923)</f>
        <v>208.87626400000002</v>
      </c>
      <c r="L2917" s="480"/>
      <c r="M2917" s="466">
        <f>SUM(M2918:M2923)</f>
        <v>205.89068700000001</v>
      </c>
      <c r="O2917" s="434" t="str">
        <f t="shared" si="1593"/>
        <v xml:space="preserve">SEM VALOR</v>
      </c>
      <c r="P2917" s="435" t="str">
        <f t="shared" si="1594"/>
        <v xml:space="preserve">SEM VALOR</v>
      </c>
      <c r="AE2917" s="460">
        <v>1361</v>
      </c>
      <c r="AF2917" s="460"/>
      <c r="AH2917">
        <f t="shared" si="1603"/>
        <v>1361</v>
      </c>
    </row>
    <row r="2918" ht="120">
      <c r="A2918" s="217"/>
      <c r="B2918" s="217">
        <v>1361</v>
      </c>
      <c r="C2918" s="217"/>
      <c r="D2918" s="217" t="s">
        <v>17167</v>
      </c>
      <c r="E2918" s="471" t="s">
        <v>20399</v>
      </c>
      <c r="F2918" s="482">
        <v>5678</v>
      </c>
      <c r="G2918" s="470" t="s">
        <v>1875</v>
      </c>
      <c r="H2918" s="471" t="s">
        <v>1535</v>
      </c>
      <c r="I2918" s="472">
        <v>7.9399999999999998e-002</v>
      </c>
      <c r="J2918" s="473">
        <f t="shared" si="1609"/>
        <v>157.62</v>
      </c>
      <c r="K2918" s="474">
        <f t="shared" ref="K2918:K2923" si="1612">I2918*J2918</f>
        <v>12.515028000000001</v>
      </c>
      <c r="L2918" s="473">
        <f t="shared" si="1595"/>
        <v>155.49000000000001</v>
      </c>
      <c r="M2918" s="474">
        <f t="shared" ref="M2918:M2923" si="1613">L2918*I2918</f>
        <v>12.345906000000001</v>
      </c>
      <c r="O2918" s="434">
        <f t="shared" si="1593"/>
        <v>157.62</v>
      </c>
      <c r="P2918" s="435">
        <f t="shared" si="1594"/>
        <v>155.49000000000001</v>
      </c>
      <c r="AE2918" s="217"/>
      <c r="AF2918" s="217">
        <v>1361</v>
      </c>
      <c r="AH2918">
        <f t="shared" si="1603"/>
        <v>1361</v>
      </c>
    </row>
    <row r="2919" ht="120">
      <c r="A2919" s="217"/>
      <c r="B2919" s="217">
        <v>1361</v>
      </c>
      <c r="C2919" s="217"/>
      <c r="D2919" s="217" t="s">
        <v>17167</v>
      </c>
      <c r="E2919" s="471" t="s">
        <v>20402</v>
      </c>
      <c r="F2919" s="482">
        <v>5679</v>
      </c>
      <c r="G2919" s="470" t="s">
        <v>1874</v>
      </c>
      <c r="H2919" s="471" t="s">
        <v>1533</v>
      </c>
      <c r="I2919" s="472">
        <v>0.3972</v>
      </c>
      <c r="J2919" s="473">
        <f t="shared" si="1609"/>
        <v>67.060000000000002</v>
      </c>
      <c r="K2919" s="474">
        <f t="shared" si="1612"/>
        <v>26.636232</v>
      </c>
      <c r="L2919" s="473">
        <f t="shared" si="1595"/>
        <v>64.930000000000007</v>
      </c>
      <c r="M2919" s="474">
        <f t="shared" si="1613"/>
        <v>25.790196000000002</v>
      </c>
      <c r="O2919" s="434">
        <f t="shared" si="1593"/>
        <v>67.060000000000002</v>
      </c>
      <c r="P2919" s="435">
        <f t="shared" si="1594"/>
        <v>64.930000000000007</v>
      </c>
      <c r="AE2919" s="217"/>
      <c r="AF2919" s="217">
        <v>1361</v>
      </c>
      <c r="AH2919">
        <f t="shared" si="1603"/>
        <v>1361</v>
      </c>
    </row>
    <row r="2920" ht="30">
      <c r="A2920" s="217"/>
      <c r="B2920" s="217">
        <v>1361</v>
      </c>
      <c r="C2920" s="217"/>
      <c r="D2920" s="217" t="s">
        <v>17167</v>
      </c>
      <c r="E2920" s="471" t="s">
        <v>20405</v>
      </c>
      <c r="F2920" s="482">
        <v>88309</v>
      </c>
      <c r="G2920" s="470" t="s">
        <v>7385</v>
      </c>
      <c r="H2920" s="471" t="s">
        <v>2032</v>
      </c>
      <c r="I2920" s="472">
        <v>0.57199999999999995</v>
      </c>
      <c r="J2920" s="473">
        <f t="shared" si="1609"/>
        <v>28.5</v>
      </c>
      <c r="K2920" s="474">
        <f t="shared" si="1612"/>
        <v>16.302</v>
      </c>
      <c r="L2920" s="473">
        <f t="shared" si="1595"/>
        <v>26.870000000000001</v>
      </c>
      <c r="M2920" s="474">
        <f t="shared" si="1613"/>
        <v>15.369639999999999</v>
      </c>
      <c r="O2920" s="434">
        <f t="shared" si="1593"/>
        <v>28.5</v>
      </c>
      <c r="P2920" s="435">
        <f t="shared" si="1594"/>
        <v>26.870000000000001</v>
      </c>
      <c r="AE2920" s="217"/>
      <c r="AF2920" s="217">
        <v>1361</v>
      </c>
      <c r="AH2920">
        <f t="shared" si="1603"/>
        <v>1361</v>
      </c>
    </row>
    <row r="2921" ht="30">
      <c r="A2921" s="217"/>
      <c r="B2921" s="217">
        <v>1361</v>
      </c>
      <c r="C2921" s="217"/>
      <c r="D2921" s="217" t="s">
        <v>17167</v>
      </c>
      <c r="E2921" s="471" t="s">
        <v>20409</v>
      </c>
      <c r="F2921" s="482">
        <v>88316</v>
      </c>
      <c r="G2921" s="470" t="s">
        <v>7393</v>
      </c>
      <c r="H2921" s="471" t="s">
        <v>2032</v>
      </c>
      <c r="I2921" s="472">
        <v>0.8579</v>
      </c>
      <c r="J2921" s="473">
        <f t="shared" si="1609"/>
        <v>22.760000000000002</v>
      </c>
      <c r="K2921" s="474">
        <f t="shared" si="1612"/>
        <v>19.525804000000001</v>
      </c>
      <c r="L2921" s="473">
        <f t="shared" si="1595"/>
        <v>21.550000000000001</v>
      </c>
      <c r="M2921" s="474">
        <f t="shared" si="1613"/>
        <v>18.487745</v>
      </c>
      <c r="O2921" s="434">
        <f t="shared" si="1593"/>
        <v>22.760000000000002</v>
      </c>
      <c r="P2921" s="435">
        <f t="shared" si="1594"/>
        <v>21.550000000000001</v>
      </c>
      <c r="AE2921" s="217"/>
      <c r="AF2921" s="217">
        <v>1361</v>
      </c>
      <c r="AH2921">
        <f t="shared" si="1603"/>
        <v>1361</v>
      </c>
    </row>
    <row r="2922" ht="45">
      <c r="A2922" s="217"/>
      <c r="B2922" s="217">
        <v>1361</v>
      </c>
      <c r="C2922" s="217"/>
      <c r="D2922" s="217" t="s">
        <v>20408</v>
      </c>
      <c r="E2922" s="471" t="s">
        <v>20663</v>
      </c>
      <c r="F2922" s="482">
        <v>4730</v>
      </c>
      <c r="G2922" s="470" t="s">
        <v>21325</v>
      </c>
      <c r="H2922" s="471" t="s">
        <v>15528</v>
      </c>
      <c r="I2922" s="472">
        <v>1.3</v>
      </c>
      <c r="J2922" s="473">
        <f t="shared" si="1609"/>
        <v>94.450000000000003</v>
      </c>
      <c r="K2922" s="474">
        <f t="shared" si="1612"/>
        <v>122.78500000000001</v>
      </c>
      <c r="L2922" s="473">
        <f t="shared" si="1595"/>
        <v>94.450000000000003</v>
      </c>
      <c r="M2922" s="474">
        <f t="shared" si="1613"/>
        <v>122.78500000000001</v>
      </c>
      <c r="O2922" s="434">
        <f t="shared" si="1593"/>
        <v>94.450000000000003</v>
      </c>
      <c r="P2922" s="435">
        <f t="shared" si="1594"/>
        <v>94.450000000000003</v>
      </c>
      <c r="AE2922" s="217"/>
      <c r="AF2922" s="217">
        <v>1361</v>
      </c>
      <c r="AH2922">
        <f t="shared" si="1603"/>
        <v>1361</v>
      </c>
    </row>
    <row r="2923" ht="45">
      <c r="A2923" s="217"/>
      <c r="B2923" s="217">
        <v>1361</v>
      </c>
      <c r="C2923" s="217"/>
      <c r="D2923" s="217" t="s">
        <v>20408</v>
      </c>
      <c r="E2923" s="471" t="s">
        <v>20665</v>
      </c>
      <c r="F2923" s="482">
        <v>4718</v>
      </c>
      <c r="G2923" s="470" t="s">
        <v>21326</v>
      </c>
      <c r="H2923" s="471" t="s">
        <v>15528</v>
      </c>
      <c r="I2923" s="472">
        <v>0.11</v>
      </c>
      <c r="J2923" s="473">
        <f t="shared" si="1609"/>
        <v>101.02</v>
      </c>
      <c r="K2923" s="474">
        <f t="shared" si="1612"/>
        <v>11.1122</v>
      </c>
      <c r="L2923" s="473">
        <f t="shared" si="1595"/>
        <v>101.02</v>
      </c>
      <c r="M2923" s="474">
        <f t="shared" si="1613"/>
        <v>11.1122</v>
      </c>
      <c r="O2923" s="434">
        <f t="shared" si="1593"/>
        <v>101.02</v>
      </c>
      <c r="P2923" s="435">
        <f t="shared" si="1594"/>
        <v>101.02</v>
      </c>
      <c r="AE2923" s="217"/>
      <c r="AF2923" s="217">
        <v>1361</v>
      </c>
      <c r="AH2923">
        <f t="shared" si="1603"/>
        <v>1361</v>
      </c>
    </row>
    <row r="2924" ht="95.25" customHeight="1">
      <c r="A2924" s="460">
        <v>1362</v>
      </c>
      <c r="B2924" s="460">
        <v>1362</v>
      </c>
      <c r="C2924" s="460"/>
      <c r="D2924" s="460"/>
      <c r="E2924" s="461">
        <v>1</v>
      </c>
      <c r="F2924" s="462" t="s">
        <v>22097</v>
      </c>
      <c r="G2924" s="477" t="s">
        <v>22098</v>
      </c>
      <c r="H2924" s="579" t="s">
        <v>20647</v>
      </c>
      <c r="I2924" s="479"/>
      <c r="J2924" s="480"/>
      <c r="K2924" s="466">
        <f>SUM(K2925:K2930)</f>
        <v>189.847362581</v>
      </c>
      <c r="L2924" s="480"/>
      <c r="M2924" s="466">
        <f>SUM(M2925:M2930)</f>
        <v>183.39446628624998</v>
      </c>
      <c r="O2924" s="434" t="str">
        <f t="shared" ref="O2924:O2987" si="1614">IFERROR(IF(D2924="SINAPI",VLOOKUP(F2924,SINCOMOD,4,FALSE),IF(D2924="INSINAPI",VLOOKUP(F2924,INSINOD,5,FALSE),IF(D2924="SICRO",VLOOKUP(F2924,SICRO,5,FALSE),IF(D2924="COTACAO",VLOOKUP(F2924,COTACAO,6,FALSE),IF(D2924="PRÓPRIO",VLOOKUP(F2924,COMPOD,11,FALSE),IF(D2924="AGESUL",VLOOKUP(F2924,AGESULOD,6,FALSE),IF(D2924="INSAGESUL",VLOOKUP(F2924,INSAGESUL,7,FALSE),"SEM VALOR"))))))),"SEM VALOR")</f>
        <v xml:space="preserve">SEM VALOR</v>
      </c>
      <c r="P2924" s="435" t="str">
        <f t="shared" ref="P2924:P2987" si="1615">IFERROR(IF(D2924="SINAPI",VLOOKUP(F2924,SINCOMOD,6,FALSE),IF(D2924="INSINAPI",VLOOKUP(F2924,INSINOD,6,FALSE),IF(D2924="SICRO",VLOOKUP(F2924,SICRO,5,FALSE),IF(D2924="COTACAO",VLOOKUP(F2924,COTACAO,6,FALSE),IF(D2924="PRÓPRIO",VLOOKUP(F2924,COMPOD,13,FALSE),IF(D2924="AGESUL",VLOOKUP(F2924,AGESULOD,11,FALSE),IF(D2924="INSAGESUL",VLOOKUP(F2924,INSAGESUL,8,FALSE),"SEM VALOR"))))))),"SEM VALOR")</f>
        <v xml:space="preserve">SEM VALOR</v>
      </c>
      <c r="AE2924" s="460">
        <v>1362</v>
      </c>
      <c r="AF2924" s="460"/>
      <c r="AH2924">
        <f t="shared" si="1603"/>
        <v>1362</v>
      </c>
    </row>
    <row r="2925" ht="45">
      <c r="A2925" s="217"/>
      <c r="B2925" s="217">
        <v>1362</v>
      </c>
      <c r="C2925" s="217"/>
      <c r="D2925" s="217" t="s">
        <v>17167</v>
      </c>
      <c r="E2925" s="471" t="s">
        <v>20399</v>
      </c>
      <c r="F2925" s="482">
        <v>93358</v>
      </c>
      <c r="G2925" s="470" t="s">
        <v>20927</v>
      </c>
      <c r="H2925" s="471" t="s">
        <v>15528</v>
      </c>
      <c r="I2925" s="472">
        <f>(0.125+0.2)*0.25*4.3</f>
        <v>0.34937499999999999</v>
      </c>
      <c r="J2925" s="473">
        <f t="shared" si="1609"/>
        <v>90.030000000000001</v>
      </c>
      <c r="K2925" s="474">
        <f t="shared" ref="K2925:K2930" si="1616">I2925*J2925</f>
        <v>31.454231249999999</v>
      </c>
      <c r="L2925" s="473">
        <f t="shared" ref="L2925:L2988" si="1617">P2925*$L$3</f>
        <v>85.239999999999995</v>
      </c>
      <c r="M2925" s="474">
        <f t="shared" ref="M2925:M2930" si="1618">L2925*I2925</f>
        <v>29.780724999999997</v>
      </c>
      <c r="O2925" s="434">
        <f t="shared" si="1614"/>
        <v>90.030000000000001</v>
      </c>
      <c r="P2925" s="435">
        <f t="shared" si="1615"/>
        <v>85.239999999999995</v>
      </c>
      <c r="R2925" s="615" t="s">
        <v>22099</v>
      </c>
      <c r="AE2925" s="217"/>
      <c r="AF2925" s="217">
        <v>1362</v>
      </c>
      <c r="AH2925">
        <f t="shared" si="1603"/>
        <v>1362</v>
      </c>
    </row>
    <row r="2926" ht="30">
      <c r="A2926" s="217"/>
      <c r="B2926" s="217">
        <v>1362</v>
      </c>
      <c r="C2926" s="217"/>
      <c r="D2926" s="217" t="s">
        <v>20398</v>
      </c>
      <c r="E2926" s="471" t="s">
        <v>20402</v>
      </c>
      <c r="F2926" s="482">
        <v>1376</v>
      </c>
      <c r="G2926" s="470" t="s">
        <v>20928</v>
      </c>
      <c r="H2926" s="471" t="s">
        <v>15528</v>
      </c>
      <c r="I2926" s="472">
        <f>(0.125+0.2)*0.25*4.3-0.25*0.12*4.3</f>
        <v>0.22037499999999999</v>
      </c>
      <c r="J2926" s="473">
        <f t="shared" si="1609"/>
        <v>54.592136000000004</v>
      </c>
      <c r="K2926" s="474">
        <f t="shared" si="1616"/>
        <v>12.030741970999999</v>
      </c>
      <c r="L2926" s="473">
        <f t="shared" si="1617"/>
        <v>51.689830000000001</v>
      </c>
      <c r="M2926" s="474">
        <f t="shared" si="1618"/>
        <v>11.391146286249999</v>
      </c>
      <c r="O2926" s="434">
        <f t="shared" si="1614"/>
        <v>54.592136000000004</v>
      </c>
      <c r="P2926" s="435">
        <f t="shared" si="1615"/>
        <v>51.689830000000001</v>
      </c>
      <c r="R2926" s="615" t="s">
        <v>22100</v>
      </c>
      <c r="AE2926" s="217"/>
      <c r="AF2926" s="217">
        <v>1362</v>
      </c>
      <c r="AH2926">
        <f t="shared" si="1603"/>
        <v>1362</v>
      </c>
    </row>
    <row r="2927" ht="45">
      <c r="A2927" s="217"/>
      <c r="B2927" s="217">
        <v>1362</v>
      </c>
      <c r="C2927" s="217"/>
      <c r="D2927" s="217" t="s">
        <v>17167</v>
      </c>
      <c r="E2927" s="471" t="s">
        <v>20405</v>
      </c>
      <c r="F2927" s="489">
        <v>101616</v>
      </c>
      <c r="G2927" s="470" t="s">
        <v>20929</v>
      </c>
      <c r="H2927" s="472" t="s">
        <v>15515</v>
      </c>
      <c r="I2927" s="472">
        <f>0.125*4.3</f>
        <v>0.53749999999999998</v>
      </c>
      <c r="J2927" s="473">
        <f t="shared" si="1609"/>
        <v>7.7800000000000002</v>
      </c>
      <c r="K2927" s="474">
        <f t="shared" si="1616"/>
        <v>4.1817500000000001</v>
      </c>
      <c r="L2927" s="473">
        <f t="shared" si="1617"/>
        <v>7.3499999999999996</v>
      </c>
      <c r="M2927" s="474">
        <f t="shared" si="1618"/>
        <v>3.9506249999999996</v>
      </c>
      <c r="O2927" s="434">
        <f t="shared" si="1614"/>
        <v>7.7800000000000002</v>
      </c>
      <c r="P2927" s="435">
        <f t="shared" si="1615"/>
        <v>7.3499999999999996</v>
      </c>
      <c r="R2927" s="615" t="s">
        <v>22101</v>
      </c>
      <c r="AE2927" s="217"/>
      <c r="AF2927" s="217">
        <v>1362</v>
      </c>
      <c r="AH2927">
        <f t="shared" si="1603"/>
        <v>1362</v>
      </c>
    </row>
    <row r="2928" ht="75">
      <c r="A2928" s="217"/>
      <c r="B2928" s="217">
        <v>1362</v>
      </c>
      <c r="C2928" s="217"/>
      <c r="D2928" s="217" t="s">
        <v>20398</v>
      </c>
      <c r="E2928" s="471" t="s">
        <v>20409</v>
      </c>
      <c r="F2928" s="489">
        <v>1065</v>
      </c>
      <c r="G2928" s="470" t="s">
        <v>20800</v>
      </c>
      <c r="H2928" s="472" t="s">
        <v>15515</v>
      </c>
      <c r="I2928" s="472">
        <f>0.25*4.3</f>
        <v>1.075</v>
      </c>
      <c r="J2928" s="473">
        <f t="shared" si="1609"/>
        <v>104.37038079999999</v>
      </c>
      <c r="K2928" s="474">
        <f t="shared" si="1616"/>
        <v>112.19815935999999</v>
      </c>
      <c r="L2928" s="473">
        <f t="shared" si="1617"/>
        <v>101.735</v>
      </c>
      <c r="M2928" s="474">
        <f t="shared" si="1618"/>
        <v>109.36512499999999</v>
      </c>
      <c r="O2928" s="434">
        <f t="shared" si="1614"/>
        <v>104.37038079999999</v>
      </c>
      <c r="P2928" s="435">
        <f t="shared" si="1615"/>
        <v>101.735</v>
      </c>
      <c r="R2928" s="615" t="s">
        <v>22102</v>
      </c>
      <c r="AE2928" s="217"/>
      <c r="AF2928" s="217">
        <v>1362</v>
      </c>
      <c r="AH2928">
        <f t="shared" si="1603"/>
        <v>1362</v>
      </c>
    </row>
    <row r="2929" ht="90">
      <c r="A2929" s="217"/>
      <c r="B2929" s="217">
        <v>1362</v>
      </c>
      <c r="C2929" s="217"/>
      <c r="D2929" s="217" t="s">
        <v>17167</v>
      </c>
      <c r="E2929" s="471" t="s">
        <v>20663</v>
      </c>
      <c r="F2929" s="482">
        <v>87894</v>
      </c>
      <c r="G2929" s="470" t="s">
        <v>20930</v>
      </c>
      <c r="H2929" s="471" t="s">
        <v>15515</v>
      </c>
      <c r="I2929" s="472">
        <f>0.1*4.3+(0.085/2)*2.8+0.085*1.5</f>
        <v>0.67649999999999999</v>
      </c>
      <c r="J2929" s="473">
        <f t="shared" si="1609"/>
        <v>7.0499999999999998</v>
      </c>
      <c r="K2929" s="474">
        <f t="shared" si="1616"/>
        <v>4.7693249999999994</v>
      </c>
      <c r="L2929" s="473">
        <f t="shared" si="1617"/>
        <v>6.7400000000000002</v>
      </c>
      <c r="M2929" s="474">
        <f t="shared" si="1618"/>
        <v>4.5596100000000002</v>
      </c>
      <c r="O2929" s="434">
        <f t="shared" si="1614"/>
        <v>7.0499999999999998</v>
      </c>
      <c r="P2929" s="435">
        <f t="shared" si="1615"/>
        <v>6.7400000000000002</v>
      </c>
      <c r="R2929" s="615" t="s">
        <v>22103</v>
      </c>
      <c r="AE2929" s="217"/>
      <c r="AF2929" s="217">
        <v>1362</v>
      </c>
      <c r="AH2929">
        <f t="shared" si="1603"/>
        <v>1362</v>
      </c>
    </row>
    <row r="2930" ht="105">
      <c r="A2930" s="217"/>
      <c r="B2930" s="217">
        <v>1362</v>
      </c>
      <c r="C2930" s="217"/>
      <c r="D2930" s="217" t="s">
        <v>17167</v>
      </c>
      <c r="E2930" s="471" t="s">
        <v>20665</v>
      </c>
      <c r="F2930" s="482">
        <v>87529</v>
      </c>
      <c r="G2930" s="470" t="s">
        <v>20931</v>
      </c>
      <c r="H2930" s="471" t="s">
        <v>15515</v>
      </c>
      <c r="I2930" s="472">
        <f>I2929</f>
        <v>0.67649999999999999</v>
      </c>
      <c r="J2930" s="473">
        <f t="shared" si="1609"/>
        <v>37.270000000000003</v>
      </c>
      <c r="K2930" s="474">
        <f t="shared" si="1616"/>
        <v>25.213155</v>
      </c>
      <c r="L2930" s="473">
        <f t="shared" si="1617"/>
        <v>35.990000000000002</v>
      </c>
      <c r="M2930" s="474">
        <f t="shared" si="1618"/>
        <v>24.347235000000001</v>
      </c>
      <c r="O2930" s="434">
        <f t="shared" si="1614"/>
        <v>37.270000000000003</v>
      </c>
      <c r="P2930" s="435">
        <f t="shared" si="1615"/>
        <v>35.990000000000002</v>
      </c>
      <c r="R2930" s="615" t="s">
        <v>22103</v>
      </c>
      <c r="AE2930" s="217"/>
      <c r="AF2930" s="217">
        <v>1362</v>
      </c>
      <c r="AH2930">
        <f t="shared" si="1603"/>
        <v>1362</v>
      </c>
    </row>
    <row r="2931" ht="78.75">
      <c r="A2931" s="460">
        <v>1363</v>
      </c>
      <c r="B2931" s="460">
        <v>1363</v>
      </c>
      <c r="C2931" s="460"/>
      <c r="D2931" s="460"/>
      <c r="E2931" s="461">
        <v>1</v>
      </c>
      <c r="F2931" s="462" t="s">
        <v>22104</v>
      </c>
      <c r="G2931" s="477" t="s">
        <v>22105</v>
      </c>
      <c r="H2931" s="579" t="s">
        <v>20647</v>
      </c>
      <c r="I2931" s="479"/>
      <c r="J2931" s="480"/>
      <c r="K2931" s="466">
        <f>SUM(K2932:K2940)</f>
        <v>776.70954284499987</v>
      </c>
      <c r="L2931" s="480"/>
      <c r="M2931" s="466">
        <f>SUM(M2932:M2940)</f>
        <v>775.1361433039998</v>
      </c>
      <c r="N2931" s="467" t="s">
        <v>22061</v>
      </c>
      <c r="O2931" s="434" t="str">
        <f t="shared" si="1614"/>
        <v xml:space="preserve">SEM VALOR</v>
      </c>
      <c r="P2931" s="435" t="str">
        <f t="shared" si="1615"/>
        <v xml:space="preserve">SEM VALOR</v>
      </c>
      <c r="AE2931" s="460">
        <v>1363</v>
      </c>
      <c r="AF2931" s="460"/>
      <c r="AH2931">
        <f t="shared" si="1603"/>
        <v>1363</v>
      </c>
    </row>
    <row r="2932" ht="105">
      <c r="A2932" s="217"/>
      <c r="B2932" s="217">
        <v>1363</v>
      </c>
      <c r="C2932" s="217"/>
      <c r="D2932" s="217" t="s">
        <v>17167</v>
      </c>
      <c r="E2932" s="471" t="s">
        <v>20399</v>
      </c>
      <c r="F2932" s="482">
        <v>73467</v>
      </c>
      <c r="G2932" s="470" t="s">
        <v>1601</v>
      </c>
      <c r="H2932" s="482" t="s">
        <v>1535</v>
      </c>
      <c r="I2932" s="578">
        <f>0.3/4.2</f>
        <v>7.1428599999999995e-002</v>
      </c>
      <c r="J2932" s="473">
        <f t="shared" si="1609"/>
        <v>270.61000000000001</v>
      </c>
      <c r="K2932" s="474">
        <f t="shared" ref="K2932:K2940" si="1619">I2932*J2932</f>
        <v>19.329293446000001</v>
      </c>
      <c r="L2932" s="473">
        <f t="shared" si="1617"/>
        <v>269.00999999999999</v>
      </c>
      <c r="M2932" s="474">
        <f t="shared" ref="M2932:M2940" si="1620">L2932*I2932</f>
        <v>19.215007685999996</v>
      </c>
      <c r="N2932" s="467" t="s">
        <v>21418</v>
      </c>
      <c r="O2932" s="434">
        <f t="shared" si="1614"/>
        <v>270.61000000000001</v>
      </c>
      <c r="P2932" s="435">
        <f t="shared" si="1615"/>
        <v>269.00999999999999</v>
      </c>
      <c r="AE2932" s="217"/>
      <c r="AF2932" s="217">
        <v>1363</v>
      </c>
      <c r="AH2932">
        <f t="shared" si="1603"/>
        <v>1363</v>
      </c>
    </row>
    <row r="2933" ht="105">
      <c r="A2933" s="217"/>
      <c r="B2933" s="217">
        <v>1363</v>
      </c>
      <c r="C2933" s="217"/>
      <c r="D2933" s="217" t="s">
        <v>17167</v>
      </c>
      <c r="E2933" s="471" t="s">
        <v>20402</v>
      </c>
      <c r="F2933" s="482">
        <v>91395</v>
      </c>
      <c r="G2933" s="470" t="s">
        <v>1600</v>
      </c>
      <c r="H2933" s="482" t="s">
        <v>1533</v>
      </c>
      <c r="I2933" s="578">
        <f>0.7/4.2</f>
        <v>0.1666667</v>
      </c>
      <c r="J2933" s="473">
        <f t="shared" si="1609"/>
        <v>58.25</v>
      </c>
      <c r="K2933" s="474">
        <f t="shared" si="1619"/>
        <v>9.7083352749999996</v>
      </c>
      <c r="L2933" s="473">
        <f t="shared" si="1617"/>
        <v>56.649999999999999</v>
      </c>
      <c r="M2933" s="474">
        <f t="shared" si="1620"/>
        <v>9.4416685549999997</v>
      </c>
      <c r="O2933" s="434">
        <f t="shared" si="1614"/>
        <v>58.25</v>
      </c>
      <c r="P2933" s="435">
        <f t="shared" si="1615"/>
        <v>56.649999999999999</v>
      </c>
      <c r="AE2933" s="217"/>
      <c r="AF2933" s="217">
        <v>1363</v>
      </c>
      <c r="AH2933">
        <f t="shared" si="1603"/>
        <v>1363</v>
      </c>
    </row>
    <row r="2934" ht="45">
      <c r="A2934" s="217"/>
      <c r="B2934" s="217">
        <v>1363</v>
      </c>
      <c r="C2934" s="217"/>
      <c r="D2934" s="217" t="s">
        <v>17167</v>
      </c>
      <c r="E2934" s="471" t="s">
        <v>20405</v>
      </c>
      <c r="F2934" s="482">
        <v>88277</v>
      </c>
      <c r="G2934" s="488" t="s">
        <v>7341</v>
      </c>
      <c r="H2934" s="482" t="s">
        <v>2032</v>
      </c>
      <c r="I2934" s="578">
        <f t="shared" ref="I2934:I2935" si="1621">1/4.2</f>
        <v>0.23809520000000001</v>
      </c>
      <c r="J2934" s="473">
        <f t="shared" si="1609"/>
        <v>28.359999999999999</v>
      </c>
      <c r="K2934" s="474">
        <f t="shared" si="1619"/>
        <v>6.7523798719999997</v>
      </c>
      <c r="L2934" s="473">
        <f t="shared" si="1617"/>
        <v>26.640000000000001</v>
      </c>
      <c r="M2934" s="474">
        <f t="shared" si="1620"/>
        <v>6.3428561280000002</v>
      </c>
      <c r="O2934" s="434">
        <f t="shared" si="1614"/>
        <v>28.359999999999999</v>
      </c>
      <c r="P2934" s="435">
        <f t="shared" si="1615"/>
        <v>26.640000000000001</v>
      </c>
      <c r="AE2934" s="217"/>
      <c r="AF2934" s="217">
        <v>1363</v>
      </c>
      <c r="AH2934">
        <f t="shared" si="1603"/>
        <v>1363</v>
      </c>
    </row>
    <row r="2935" ht="30">
      <c r="A2935" s="217"/>
      <c r="B2935" s="217">
        <v>1363</v>
      </c>
      <c r="C2935" s="217"/>
      <c r="D2935" s="217" t="s">
        <v>17167</v>
      </c>
      <c r="E2935" s="471" t="s">
        <v>20409</v>
      </c>
      <c r="F2935" s="482">
        <v>88316</v>
      </c>
      <c r="G2935" s="470" t="s">
        <v>7393</v>
      </c>
      <c r="H2935" s="482" t="s">
        <v>2032</v>
      </c>
      <c r="I2935" s="578">
        <f t="shared" si="1621"/>
        <v>0.23809520000000001</v>
      </c>
      <c r="J2935" s="473">
        <f t="shared" si="1609"/>
        <v>22.760000000000002</v>
      </c>
      <c r="K2935" s="474">
        <f t="shared" si="1619"/>
        <v>5.4190467520000007</v>
      </c>
      <c r="L2935" s="473">
        <f t="shared" si="1617"/>
        <v>21.550000000000001</v>
      </c>
      <c r="M2935" s="474">
        <f t="shared" si="1620"/>
        <v>5.1309515600000006</v>
      </c>
      <c r="O2935" s="434">
        <f t="shared" si="1614"/>
        <v>22.760000000000002</v>
      </c>
      <c r="P2935" s="435">
        <f t="shared" si="1615"/>
        <v>21.550000000000001</v>
      </c>
      <c r="AE2935" s="217"/>
      <c r="AF2935" s="217">
        <v>1363</v>
      </c>
      <c r="AH2935">
        <f t="shared" si="1603"/>
        <v>1363</v>
      </c>
    </row>
    <row r="2936" ht="60">
      <c r="A2936" s="217"/>
      <c r="B2936" s="217">
        <v>1363</v>
      </c>
      <c r="C2936" s="217"/>
      <c r="D2936" s="217" t="s">
        <v>20408</v>
      </c>
      <c r="E2936" s="471" t="s">
        <v>20663</v>
      </c>
      <c r="F2936" s="482">
        <v>21013</v>
      </c>
      <c r="G2936" s="470" t="s">
        <v>22062</v>
      </c>
      <c r="H2936" s="482" t="s">
        <v>21420</v>
      </c>
      <c r="I2936" s="578">
        <v>3.2000000000000002</v>
      </c>
      <c r="J2936" s="473">
        <f t="shared" si="1609"/>
        <v>66.920000000000002</v>
      </c>
      <c r="K2936" s="474">
        <f t="shared" si="1619"/>
        <v>214.14400000000001</v>
      </c>
      <c r="L2936" s="473">
        <f t="shared" si="1617"/>
        <v>66.920000000000002</v>
      </c>
      <c r="M2936" s="474">
        <f t="shared" si="1620"/>
        <v>214.14400000000001</v>
      </c>
      <c r="O2936" s="434">
        <f t="shared" si="1614"/>
        <v>66.920000000000002</v>
      </c>
      <c r="P2936" s="435">
        <f t="shared" si="1615"/>
        <v>66.920000000000002</v>
      </c>
      <c r="AE2936" s="217"/>
      <c r="AF2936" s="217">
        <v>1363</v>
      </c>
      <c r="AH2936">
        <f t="shared" si="1603"/>
        <v>1363</v>
      </c>
    </row>
    <row r="2937" ht="30">
      <c r="A2937" s="217"/>
      <c r="B2937" s="217">
        <v>1363</v>
      </c>
      <c r="C2937" s="217"/>
      <c r="D2937" s="217" t="s">
        <v>20408</v>
      </c>
      <c r="E2937" s="471" t="s">
        <v>20665</v>
      </c>
      <c r="F2937" s="489">
        <v>34723</v>
      </c>
      <c r="G2937" s="470" t="s">
        <v>21184</v>
      </c>
      <c r="H2937" s="499" t="s">
        <v>15515</v>
      </c>
      <c r="I2937" s="483">
        <f>0.3+0.2025</f>
        <v>0.50249999999999995</v>
      </c>
      <c r="J2937" s="473">
        <f t="shared" si="1609"/>
        <v>997.91999999999996</v>
      </c>
      <c r="K2937" s="474">
        <f t="shared" si="1619"/>
        <v>501.45479999999992</v>
      </c>
      <c r="L2937" s="473">
        <f t="shared" si="1617"/>
        <v>997.91999999999996</v>
      </c>
      <c r="M2937" s="474">
        <f t="shared" si="1620"/>
        <v>501.45479999999992</v>
      </c>
      <c r="O2937" s="434">
        <f t="shared" si="1614"/>
        <v>997.91999999999996</v>
      </c>
      <c r="P2937" s="435">
        <f t="shared" si="1615"/>
        <v>997.91999999999996</v>
      </c>
      <c r="AE2937" s="217"/>
      <c r="AF2937" s="217">
        <v>1363</v>
      </c>
      <c r="AH2937">
        <f t="shared" si="1603"/>
        <v>1363</v>
      </c>
    </row>
    <row r="2938" ht="60">
      <c r="A2938" s="217"/>
      <c r="B2938" s="217">
        <v>1363</v>
      </c>
      <c r="C2938" s="217"/>
      <c r="D2938" s="217" t="s">
        <v>17167</v>
      </c>
      <c r="E2938" s="471" t="s">
        <v>20667</v>
      </c>
      <c r="F2938" s="482">
        <v>94963</v>
      </c>
      <c r="G2938" s="470" t="s">
        <v>20684</v>
      </c>
      <c r="H2938" s="482" t="s">
        <v>15528</v>
      </c>
      <c r="I2938" s="578">
        <v>3.125e-002</v>
      </c>
      <c r="J2938" s="473">
        <f t="shared" si="1609"/>
        <v>441.43000000000001</v>
      </c>
      <c r="K2938" s="474">
        <f t="shared" si="1619"/>
        <v>13.7946875</v>
      </c>
      <c r="L2938" s="473">
        <f t="shared" si="1617"/>
        <v>436.14999999999998</v>
      </c>
      <c r="M2938" s="474">
        <f t="shared" si="1620"/>
        <v>13.629687499999999</v>
      </c>
      <c r="O2938" s="434">
        <f t="shared" si="1614"/>
        <v>441.43000000000001</v>
      </c>
      <c r="P2938" s="435">
        <f t="shared" si="1615"/>
        <v>436.14999999999998</v>
      </c>
      <c r="AE2938" s="217"/>
      <c r="AF2938" s="217">
        <v>1363</v>
      </c>
      <c r="AH2938">
        <f t="shared" si="1603"/>
        <v>1363</v>
      </c>
    </row>
    <row r="2939" ht="45">
      <c r="A2939" s="217"/>
      <c r="B2939" s="217">
        <v>1363</v>
      </c>
      <c r="C2939" s="217"/>
      <c r="D2939" s="217" t="s">
        <v>20398</v>
      </c>
      <c r="E2939" s="471" t="s">
        <v>20671</v>
      </c>
      <c r="F2939" s="489">
        <v>1259</v>
      </c>
      <c r="G2939" s="470" t="s">
        <v>20796</v>
      </c>
      <c r="H2939" s="482" t="s">
        <v>15528</v>
      </c>
      <c r="I2939" s="614">
        <v>3.125e-002</v>
      </c>
      <c r="J2939" s="473">
        <f t="shared" si="1609"/>
        <v>45.520000000000003</v>
      </c>
      <c r="K2939" s="474">
        <f t="shared" si="1619"/>
        <v>1.4225000000000001</v>
      </c>
      <c r="L2939" s="473">
        <f t="shared" si="1617"/>
        <v>43.100000000000001</v>
      </c>
      <c r="M2939" s="474">
        <f t="shared" si="1620"/>
        <v>1.346875</v>
      </c>
      <c r="O2939" s="434">
        <f t="shared" si="1614"/>
        <v>45.520000000000003</v>
      </c>
      <c r="P2939" s="435">
        <f t="shared" si="1615"/>
        <v>43.100000000000001</v>
      </c>
      <c r="AE2939" s="217"/>
      <c r="AF2939" s="217">
        <v>1363</v>
      </c>
      <c r="AH2939">
        <f t="shared" si="1603"/>
        <v>1363</v>
      </c>
    </row>
    <row r="2940" ht="45">
      <c r="A2940" s="217"/>
      <c r="B2940" s="217">
        <v>1363</v>
      </c>
      <c r="C2940" s="217"/>
      <c r="D2940" s="217" t="s">
        <v>20398</v>
      </c>
      <c r="E2940" s="471" t="s">
        <v>20672</v>
      </c>
      <c r="F2940" s="482">
        <v>1000</v>
      </c>
      <c r="G2940" s="470" t="s">
        <v>20651</v>
      </c>
      <c r="H2940" s="482" t="s">
        <v>15528</v>
      </c>
      <c r="I2940" s="614">
        <f>I2938</f>
        <v>3.125e-002</v>
      </c>
      <c r="J2940" s="473">
        <f t="shared" si="1609"/>
        <v>149.904</v>
      </c>
      <c r="K2940" s="474">
        <f t="shared" si="1619"/>
        <v>4.6844999999999999</v>
      </c>
      <c r="L2940" s="473">
        <f t="shared" si="1617"/>
        <v>141.76949999999999</v>
      </c>
      <c r="M2940" s="474">
        <f t="shared" si="1620"/>
        <v>4.4302968749999998</v>
      </c>
      <c r="O2940" s="434">
        <f t="shared" si="1614"/>
        <v>149.904</v>
      </c>
      <c r="P2940" s="435">
        <f t="shared" si="1615"/>
        <v>141.76949999999999</v>
      </c>
      <c r="AE2940" s="217"/>
      <c r="AF2940" s="217">
        <v>1363</v>
      </c>
      <c r="AH2940">
        <f t="shared" si="1603"/>
        <v>1363</v>
      </c>
    </row>
    <row r="2941" ht="63">
      <c r="A2941" s="460">
        <v>1364</v>
      </c>
      <c r="B2941" s="460">
        <v>1364</v>
      </c>
      <c r="C2941" s="460"/>
      <c r="D2941" s="460"/>
      <c r="E2941" s="461">
        <v>1</v>
      </c>
      <c r="F2941" s="462" t="s">
        <v>22106</v>
      </c>
      <c r="G2941" s="477" t="s">
        <v>20861</v>
      </c>
      <c r="H2941" s="478" t="s">
        <v>15528</v>
      </c>
      <c r="I2941" s="479"/>
      <c r="J2941" s="480"/>
      <c r="K2941" s="466">
        <f>SUM(K2942:K2955)</f>
        <v>123.24927752531646</v>
      </c>
      <c r="L2941" s="480"/>
      <c r="M2941" s="466">
        <f>SUM(M2942:M2955)</f>
        <v>122.7635868263621</v>
      </c>
      <c r="N2941" s="467" t="s">
        <v>22107</v>
      </c>
      <c r="O2941" s="434" t="str">
        <f t="shared" si="1614"/>
        <v xml:space="preserve">SEM VALOR</v>
      </c>
      <c r="P2941" s="435" t="str">
        <f t="shared" si="1615"/>
        <v xml:space="preserve">SEM VALOR</v>
      </c>
      <c r="AE2941" s="460">
        <v>1364</v>
      </c>
      <c r="AF2941" s="460"/>
      <c r="AH2941">
        <f t="shared" si="1603"/>
        <v>1364</v>
      </c>
    </row>
    <row r="2942" ht="26.25" customHeight="1">
      <c r="A2942" s="217"/>
      <c r="B2942" s="217">
        <v>1364</v>
      </c>
      <c r="C2942" s="217"/>
      <c r="D2942" s="217" t="s">
        <v>20408</v>
      </c>
      <c r="E2942" s="471" t="s">
        <v>20399</v>
      </c>
      <c r="F2942" s="482">
        <v>1379</v>
      </c>
      <c r="G2942" s="488" t="s">
        <v>22108</v>
      </c>
      <c r="H2942" s="482" t="s">
        <v>302</v>
      </c>
      <c r="I2942" s="483">
        <v>66</v>
      </c>
      <c r="J2942" s="473">
        <f t="shared" si="1609"/>
        <v>0.82999999999999996</v>
      </c>
      <c r="K2942" s="474">
        <f t="shared" ref="K2942:K2955" si="1622">I2942*J2942</f>
        <v>54.779999999999994</v>
      </c>
      <c r="L2942" s="475">
        <f t="shared" si="1617"/>
        <v>0.82999999999999996</v>
      </c>
      <c r="M2942" s="474">
        <f t="shared" ref="M2942:M2955" si="1623">L2942*I2942</f>
        <v>54.779999999999994</v>
      </c>
      <c r="N2942" s="467" t="s">
        <v>22109</v>
      </c>
      <c r="O2942" s="434">
        <f t="shared" si="1614"/>
        <v>0.82999999999999996</v>
      </c>
      <c r="P2942" s="435">
        <f t="shared" si="1615"/>
        <v>0.82999999999999996</v>
      </c>
      <c r="AE2942" s="217"/>
      <c r="AF2942" s="217">
        <v>1364</v>
      </c>
      <c r="AH2942">
        <f t="shared" si="1603"/>
        <v>1364</v>
      </c>
    </row>
    <row r="2943">
      <c r="A2943" s="217"/>
      <c r="B2943" s="217">
        <v>1364</v>
      </c>
      <c r="C2943" s="217"/>
      <c r="D2943" s="217" t="s">
        <v>20644</v>
      </c>
      <c r="E2943" s="471" t="s">
        <v>20402</v>
      </c>
      <c r="F2943" s="489" t="s">
        <v>15400</v>
      </c>
      <c r="G2943" s="488" t="s">
        <v>22110</v>
      </c>
      <c r="H2943" s="482" t="s">
        <v>31</v>
      </c>
      <c r="I2943" s="509">
        <v>9.5000000000000001e-002</v>
      </c>
      <c r="J2943" s="473">
        <f t="shared" si="1609"/>
        <v>54.57</v>
      </c>
      <c r="K2943" s="474">
        <f t="shared" si="1622"/>
        <v>5.1841499999999998</v>
      </c>
      <c r="L2943" s="475">
        <f t="shared" si="1617"/>
        <v>54.57</v>
      </c>
      <c r="M2943" s="474">
        <f t="shared" si="1623"/>
        <v>5.1841499999999998</v>
      </c>
      <c r="N2943" s="616">
        <v>36.340000000000003</v>
      </c>
      <c r="O2943" s="434">
        <f t="shared" si="1614"/>
        <v>54.57</v>
      </c>
      <c r="P2943" s="435">
        <f t="shared" si="1615"/>
        <v>54.57</v>
      </c>
      <c r="R2943" s="617">
        <f>90.84/100</f>
        <v>0.90839999999999999</v>
      </c>
      <c r="AE2943" s="217"/>
      <c r="AF2943" s="217">
        <v>1364</v>
      </c>
      <c r="AH2943">
        <f t="shared" si="1603"/>
        <v>1364</v>
      </c>
    </row>
    <row r="2944" ht="30">
      <c r="A2944" s="217"/>
      <c r="B2944" s="217">
        <v>1364</v>
      </c>
      <c r="C2944" s="217"/>
      <c r="D2944" s="217" t="s">
        <v>20644</v>
      </c>
      <c r="E2944" s="471" t="s">
        <v>20405</v>
      </c>
      <c r="F2944" s="489" t="s">
        <v>15402</v>
      </c>
      <c r="G2944" s="488" t="s">
        <v>22111</v>
      </c>
      <c r="H2944" s="482" t="s">
        <v>31</v>
      </c>
      <c r="I2944" s="509">
        <v>1.0499999999999999e-003</v>
      </c>
      <c r="J2944" s="473">
        <f t="shared" si="1609"/>
        <v>541.11000000000001</v>
      </c>
      <c r="K2944" s="474">
        <f t="shared" si="1622"/>
        <v>0.56816549999999999</v>
      </c>
      <c r="L2944" s="475">
        <f t="shared" si="1617"/>
        <v>541.11000000000001</v>
      </c>
      <c r="M2944" s="474">
        <f t="shared" si="1623"/>
        <v>0.56816549999999999</v>
      </c>
      <c r="O2944" s="434">
        <f t="shared" si="1614"/>
        <v>541.11000000000001</v>
      </c>
      <c r="P2944" s="435">
        <f t="shared" si="1615"/>
        <v>541.11000000000001</v>
      </c>
      <c r="R2944" s="618">
        <f>R2943*40</f>
        <v>36.335999999999999</v>
      </c>
      <c r="AE2944" s="217"/>
      <c r="AF2944" s="217">
        <v>1364</v>
      </c>
      <c r="AH2944">
        <f t="shared" si="1603"/>
        <v>1364</v>
      </c>
    </row>
    <row r="2945" ht="30">
      <c r="A2945" s="217"/>
      <c r="B2945" s="217">
        <v>1364</v>
      </c>
      <c r="C2945" s="217"/>
      <c r="D2945" s="217" t="s">
        <v>17167</v>
      </c>
      <c r="E2945" s="471" t="s">
        <v>20409</v>
      </c>
      <c r="F2945" s="482">
        <v>88316</v>
      </c>
      <c r="G2945" s="470" t="s">
        <v>7393</v>
      </c>
      <c r="H2945" s="482" t="s">
        <v>2032</v>
      </c>
      <c r="I2945" s="509">
        <f>6/N2943</f>
        <v>0.16510731975784257</v>
      </c>
      <c r="J2945" s="473">
        <f t="shared" si="1609"/>
        <v>22.760000000000002</v>
      </c>
      <c r="K2945" s="474">
        <f t="shared" si="1622"/>
        <v>3.757842597688497</v>
      </c>
      <c r="L2945" s="475">
        <f t="shared" si="1617"/>
        <v>21.550000000000001</v>
      </c>
      <c r="M2945" s="474">
        <f t="shared" si="1623"/>
        <v>3.5580627407815073</v>
      </c>
      <c r="O2945" s="434">
        <f t="shared" si="1614"/>
        <v>22.760000000000002</v>
      </c>
      <c r="P2945" s="435">
        <f t="shared" si="1615"/>
        <v>21.550000000000001</v>
      </c>
      <c r="AE2945" s="217"/>
      <c r="AF2945" s="217">
        <v>1364</v>
      </c>
      <c r="AH2945">
        <f t="shared" si="1603"/>
        <v>1364</v>
      </c>
    </row>
    <row r="2946" ht="60">
      <c r="A2946" s="217"/>
      <c r="B2946" s="217">
        <v>1364</v>
      </c>
      <c r="C2946" s="217"/>
      <c r="D2946" s="217" t="s">
        <v>17167</v>
      </c>
      <c r="E2946" s="471" t="s">
        <v>20663</v>
      </c>
      <c r="F2946" s="489">
        <v>95127</v>
      </c>
      <c r="G2946" s="470" t="s">
        <v>22112</v>
      </c>
      <c r="H2946" s="471" t="s">
        <v>1535</v>
      </c>
      <c r="I2946" s="509">
        <f>0.26/N2943</f>
        <v>7.1546505228398454e-003</v>
      </c>
      <c r="J2946" s="473">
        <f t="shared" si="1609"/>
        <v>246.74000000000001</v>
      </c>
      <c r="K2946" s="474">
        <f t="shared" si="1622"/>
        <v>1.7653384700055035</v>
      </c>
      <c r="L2946" s="475">
        <f t="shared" si="1617"/>
        <v>244.84</v>
      </c>
      <c r="M2946" s="474">
        <f t="shared" si="1623"/>
        <v>1.7517446340121079</v>
      </c>
      <c r="O2946" s="434">
        <f t="shared" si="1614"/>
        <v>246.74000000000001</v>
      </c>
      <c r="P2946" s="435">
        <f t="shared" si="1615"/>
        <v>244.84</v>
      </c>
      <c r="AE2946" s="217"/>
      <c r="AF2946" s="217">
        <v>1364</v>
      </c>
      <c r="AH2946">
        <f t="shared" si="1603"/>
        <v>1364</v>
      </c>
    </row>
    <row r="2947" ht="60">
      <c r="A2947" s="217"/>
      <c r="B2947" s="217">
        <v>1364</v>
      </c>
      <c r="C2947" s="217"/>
      <c r="D2947" s="217" t="s">
        <v>17167</v>
      </c>
      <c r="E2947" s="471" t="s">
        <v>20665</v>
      </c>
      <c r="F2947" s="489">
        <v>95128</v>
      </c>
      <c r="G2947" s="470" t="s">
        <v>22113</v>
      </c>
      <c r="H2947" s="471" t="s">
        <v>1533</v>
      </c>
      <c r="I2947" s="509">
        <f>0.74/N2943</f>
        <v>2.0363236103467252e-002</v>
      </c>
      <c r="J2947" s="473">
        <f t="shared" si="1609"/>
        <v>57.420000000000002</v>
      </c>
      <c r="K2947" s="474">
        <f t="shared" si="1622"/>
        <v>1.1692570170610896</v>
      </c>
      <c r="L2947" s="475">
        <f t="shared" si="1617"/>
        <v>55.520000000000003</v>
      </c>
      <c r="M2947" s="474">
        <f t="shared" si="1623"/>
        <v>1.1305668684645018</v>
      </c>
      <c r="O2947" s="434">
        <f t="shared" si="1614"/>
        <v>57.420000000000002</v>
      </c>
      <c r="P2947" s="435">
        <f t="shared" si="1615"/>
        <v>55.520000000000003</v>
      </c>
      <c r="AE2947" s="217"/>
      <c r="AF2947" s="217">
        <v>1364</v>
      </c>
      <c r="AH2947">
        <f t="shared" si="1603"/>
        <v>1364</v>
      </c>
    </row>
    <row r="2948" ht="105">
      <c r="A2948" s="217"/>
      <c r="B2948" s="217">
        <v>1364</v>
      </c>
      <c r="C2948" s="217"/>
      <c r="D2948" s="217" t="s">
        <v>17167</v>
      </c>
      <c r="E2948" s="471" t="s">
        <v>20667</v>
      </c>
      <c r="F2948" s="489">
        <v>5901</v>
      </c>
      <c r="G2948" s="470" t="s">
        <v>22114</v>
      </c>
      <c r="H2948" s="471" t="s">
        <v>1535</v>
      </c>
      <c r="I2948" s="509">
        <f>0.64*2/N2943</f>
        <v>3.5222894881673086e-002</v>
      </c>
      <c r="J2948" s="473">
        <f t="shared" si="1609"/>
        <v>346.31999999999999</v>
      </c>
      <c r="K2948" s="474">
        <f t="shared" si="1622"/>
        <v>12.198392955421022</v>
      </c>
      <c r="L2948" s="475">
        <f t="shared" si="1617"/>
        <v>344.72000000000003</v>
      </c>
      <c r="M2948" s="474">
        <f t="shared" si="1623"/>
        <v>12.142036323610347</v>
      </c>
      <c r="O2948" s="434">
        <f t="shared" si="1614"/>
        <v>346.31999999999999</v>
      </c>
      <c r="P2948" s="435">
        <f t="shared" si="1615"/>
        <v>344.72000000000003</v>
      </c>
      <c r="AE2948" s="217"/>
      <c r="AF2948" s="217">
        <v>1364</v>
      </c>
      <c r="AH2948">
        <f t="shared" si="1603"/>
        <v>1364</v>
      </c>
    </row>
    <row r="2949" ht="105">
      <c r="A2949" s="217"/>
      <c r="B2949" s="217">
        <v>1364</v>
      </c>
      <c r="C2949" s="217"/>
      <c r="D2949" s="217" t="s">
        <v>17167</v>
      </c>
      <c r="E2949" s="471" t="s">
        <v>20671</v>
      </c>
      <c r="F2949" s="489">
        <v>5903</v>
      </c>
      <c r="G2949" s="470" t="s">
        <v>22115</v>
      </c>
      <c r="H2949" s="471" t="s">
        <v>1533</v>
      </c>
      <c r="I2949" s="509">
        <f>0.36*2/N2943</f>
        <v>1.981287837094111e-002</v>
      </c>
      <c r="J2949" s="473">
        <f t="shared" si="1609"/>
        <v>73.879999999999995</v>
      </c>
      <c r="K2949" s="474">
        <f t="shared" si="1622"/>
        <v>1.4637754540451291</v>
      </c>
      <c r="L2949" s="475">
        <f t="shared" si="1617"/>
        <v>72.280000000000001</v>
      </c>
      <c r="M2949" s="474">
        <f t="shared" si="1623"/>
        <v>1.4320748486516235</v>
      </c>
      <c r="O2949" s="434">
        <f t="shared" si="1614"/>
        <v>73.879999999999995</v>
      </c>
      <c r="P2949" s="435">
        <f t="shared" si="1615"/>
        <v>72.280000000000001</v>
      </c>
      <c r="AE2949" s="217"/>
      <c r="AF2949" s="217">
        <v>1364</v>
      </c>
      <c r="AH2949">
        <f t="shared" si="1603"/>
        <v>1364</v>
      </c>
    </row>
    <row r="2950" ht="60">
      <c r="A2950" s="217"/>
      <c r="B2950" s="217">
        <v>1364</v>
      </c>
      <c r="C2950" s="217"/>
      <c r="D2950" s="217" t="s">
        <v>17167</v>
      </c>
      <c r="E2950" s="471" t="s">
        <v>20672</v>
      </c>
      <c r="F2950" s="489">
        <v>89250</v>
      </c>
      <c r="G2950" s="470" t="s">
        <v>1867</v>
      </c>
      <c r="H2950" s="471" t="s">
        <v>1535</v>
      </c>
      <c r="I2950" s="509">
        <f>1/N2943</f>
        <v>2.7517886626307098e-002</v>
      </c>
      <c r="J2950" s="473">
        <f t="shared" si="1609"/>
        <v>1229.3800000000001</v>
      </c>
      <c r="K2950" s="474">
        <f t="shared" si="1622"/>
        <v>33.82993946064942</v>
      </c>
      <c r="L2950" s="475">
        <f t="shared" si="1617"/>
        <v>1227.49</v>
      </c>
      <c r="M2950" s="474">
        <f t="shared" si="1623"/>
        <v>33.777930654925697</v>
      </c>
      <c r="O2950" s="434">
        <f t="shared" si="1614"/>
        <v>1229.3800000000001</v>
      </c>
      <c r="P2950" s="435">
        <f t="shared" si="1615"/>
        <v>1227.49</v>
      </c>
      <c r="AE2950" s="217"/>
      <c r="AF2950" s="217">
        <v>1364</v>
      </c>
      <c r="AH2950">
        <f t="shared" si="1603"/>
        <v>1364</v>
      </c>
    </row>
    <row r="2951" ht="60">
      <c r="A2951" s="217"/>
      <c r="B2951" s="217">
        <v>1364</v>
      </c>
      <c r="C2951" s="217"/>
      <c r="D2951" s="217" t="s">
        <v>17167</v>
      </c>
      <c r="E2951" s="471" t="s">
        <v>20673</v>
      </c>
      <c r="F2951" s="489">
        <v>89251</v>
      </c>
      <c r="G2951" s="470" t="s">
        <v>1866</v>
      </c>
      <c r="H2951" s="471" t="s">
        <v>1533</v>
      </c>
      <c r="I2951" s="509">
        <v>0</v>
      </c>
      <c r="J2951" s="473">
        <f t="shared" si="1609"/>
        <v>356.70999999999998</v>
      </c>
      <c r="K2951" s="474">
        <f t="shared" si="1622"/>
        <v>0</v>
      </c>
      <c r="L2951" s="475">
        <f t="shared" si="1617"/>
        <v>354.81999999999999</v>
      </c>
      <c r="M2951" s="474">
        <f t="shared" si="1623"/>
        <v>0</v>
      </c>
      <c r="O2951" s="434">
        <f t="shared" si="1614"/>
        <v>356.70999999999998</v>
      </c>
      <c r="P2951" s="435">
        <f t="shared" si="1615"/>
        <v>354.81999999999999</v>
      </c>
      <c r="AE2951" s="217"/>
      <c r="AF2951" s="217">
        <v>1364</v>
      </c>
      <c r="AH2951">
        <f t="shared" ref="AH2951:AH3014" si="1624">IF(AF2951:AF2952=FALSE,AE2951,AF2951)</f>
        <v>1364</v>
      </c>
    </row>
    <row r="2952" ht="90">
      <c r="A2952" s="217"/>
      <c r="B2952" s="217">
        <v>1364</v>
      </c>
      <c r="C2952" s="217"/>
      <c r="D2952" s="217" t="s">
        <v>17167</v>
      </c>
      <c r="E2952" s="471" t="s">
        <v>20675</v>
      </c>
      <c r="F2952" s="489">
        <v>6879</v>
      </c>
      <c r="G2952" s="470" t="s">
        <v>1877</v>
      </c>
      <c r="H2952" s="471" t="s">
        <v>1535</v>
      </c>
      <c r="I2952" s="509">
        <f>0.52/N2943</f>
        <v>1.4309301045679691e-002</v>
      </c>
      <c r="J2952" s="473">
        <f t="shared" si="1609"/>
        <v>212.56</v>
      </c>
      <c r="K2952" s="474">
        <f t="shared" si="1622"/>
        <v>3.0415850302696752</v>
      </c>
      <c r="L2952" s="475">
        <f t="shared" si="1617"/>
        <v>210.86000000000001</v>
      </c>
      <c r="M2952" s="474">
        <f t="shared" si="1623"/>
        <v>3.0172592184920197</v>
      </c>
      <c r="O2952" s="434">
        <f t="shared" si="1614"/>
        <v>212.56</v>
      </c>
      <c r="P2952" s="435">
        <f t="shared" si="1615"/>
        <v>210.86000000000001</v>
      </c>
      <c r="AE2952" s="217"/>
      <c r="AF2952" s="217">
        <v>1364</v>
      </c>
      <c r="AH2952">
        <f t="shared" si="1624"/>
        <v>1364</v>
      </c>
    </row>
    <row r="2953" ht="90">
      <c r="A2953" s="217"/>
      <c r="B2953" s="217">
        <v>1364</v>
      </c>
      <c r="C2953" s="217"/>
      <c r="D2953" s="217" t="s">
        <v>17167</v>
      </c>
      <c r="E2953" s="471" t="s">
        <v>20677</v>
      </c>
      <c r="F2953" s="489">
        <v>6880</v>
      </c>
      <c r="G2953" s="470" t="s">
        <v>1876</v>
      </c>
      <c r="H2953" s="471" t="s">
        <v>1533</v>
      </c>
      <c r="I2953" s="509">
        <f>0.48/N2943</f>
        <v>1.3208585580627406e-002</v>
      </c>
      <c r="J2953" s="473">
        <f t="shared" si="1609"/>
        <v>84.219999999999999</v>
      </c>
      <c r="K2953" s="474">
        <f t="shared" si="1622"/>
        <v>1.1124270776004401</v>
      </c>
      <c r="L2953" s="475">
        <f t="shared" si="1617"/>
        <v>82.519999999999996</v>
      </c>
      <c r="M2953" s="474">
        <f t="shared" si="1623"/>
        <v>1.0899724821133734</v>
      </c>
      <c r="O2953" s="434">
        <f t="shared" si="1614"/>
        <v>84.219999999999999</v>
      </c>
      <c r="P2953" s="435">
        <f t="shared" si="1615"/>
        <v>82.519999999999996</v>
      </c>
      <c r="AE2953" s="217"/>
      <c r="AF2953" s="217">
        <v>1364</v>
      </c>
      <c r="AH2953">
        <f t="shared" si="1624"/>
        <v>1364</v>
      </c>
    </row>
    <row r="2954" ht="105">
      <c r="A2954" s="217"/>
      <c r="B2954" s="217">
        <v>1364</v>
      </c>
      <c r="C2954" s="217"/>
      <c r="D2954" s="217" t="s">
        <v>17167</v>
      </c>
      <c r="E2954" s="471" t="s">
        <v>20679</v>
      </c>
      <c r="F2954" s="489">
        <v>7049</v>
      </c>
      <c r="G2954" s="488" t="s">
        <v>21764</v>
      </c>
      <c r="H2954" s="471" t="s">
        <v>1535</v>
      </c>
      <c r="I2954" s="509">
        <f>0.54/N2943</f>
        <v>1.4859658778205833e-002</v>
      </c>
      <c r="J2954" s="473">
        <f t="shared" si="1609"/>
        <v>228.24000000000001</v>
      </c>
      <c r="K2954" s="474">
        <f t="shared" si="1622"/>
        <v>3.3915685195376994</v>
      </c>
      <c r="L2954" s="475">
        <f t="shared" si="1617"/>
        <v>226.53999999999999</v>
      </c>
      <c r="M2954" s="474">
        <f t="shared" si="1623"/>
        <v>3.3663070996147493</v>
      </c>
      <c r="O2954" s="434">
        <f t="shared" si="1614"/>
        <v>228.24000000000001</v>
      </c>
      <c r="P2954" s="435">
        <f t="shared" si="1615"/>
        <v>226.53999999999999</v>
      </c>
      <c r="AE2954" s="217"/>
      <c r="AF2954" s="217">
        <v>1364</v>
      </c>
      <c r="AH2954">
        <f t="shared" si="1624"/>
        <v>1364</v>
      </c>
    </row>
    <row r="2955" ht="105">
      <c r="A2955" s="217"/>
      <c r="B2955" s="217">
        <v>1364</v>
      </c>
      <c r="C2955" s="217"/>
      <c r="D2955" s="217" t="s">
        <v>17167</v>
      </c>
      <c r="E2955" s="471" t="s">
        <v>20681</v>
      </c>
      <c r="F2955" s="489">
        <v>7050</v>
      </c>
      <c r="G2955" s="488" t="s">
        <v>21765</v>
      </c>
      <c r="H2955" s="471" t="s">
        <v>1533</v>
      </c>
      <c r="I2955" s="509">
        <f>0.46/N2943</f>
        <v>1.2658227848101266e-002</v>
      </c>
      <c r="J2955" s="473">
        <f t="shared" si="1609"/>
        <v>77.959999999999994</v>
      </c>
      <c r="K2955" s="474">
        <f t="shared" si="1622"/>
        <v>0.98683544303797455</v>
      </c>
      <c r="L2955" s="475">
        <f t="shared" si="1617"/>
        <v>76.260000000000005</v>
      </c>
      <c r="M2955" s="474">
        <f t="shared" si="1623"/>
        <v>0.96531645569620261</v>
      </c>
      <c r="O2955" s="434">
        <f t="shared" si="1614"/>
        <v>77.959999999999994</v>
      </c>
      <c r="P2955" s="435">
        <f t="shared" si="1615"/>
        <v>76.260000000000005</v>
      </c>
      <c r="AE2955" s="217"/>
      <c r="AF2955" s="217">
        <v>1364</v>
      </c>
      <c r="AH2955">
        <f t="shared" si="1624"/>
        <v>1364</v>
      </c>
    </row>
    <row r="2956" ht="69.75" customHeight="1">
      <c r="A2956" s="460">
        <v>1365</v>
      </c>
      <c r="B2956" s="460">
        <v>1365</v>
      </c>
      <c r="C2956" s="460"/>
      <c r="D2956" s="460"/>
      <c r="E2956" s="461">
        <v>1</v>
      </c>
      <c r="F2956" s="462" t="s">
        <v>22116</v>
      </c>
      <c r="G2956" s="477" t="s">
        <v>22117</v>
      </c>
      <c r="H2956" s="478" t="s">
        <v>15528</v>
      </c>
      <c r="I2956" s="479"/>
      <c r="J2956" s="480"/>
      <c r="K2956" s="466">
        <f>SUM(K2957:K2970)</f>
        <v>104.98927752531644</v>
      </c>
      <c r="L2956" s="480"/>
      <c r="M2956" s="466">
        <f>SUM(M2957:M2970)</f>
        <v>104.50358682636211</v>
      </c>
      <c r="N2956" s="467" t="s">
        <v>22107</v>
      </c>
      <c r="O2956" s="434" t="str">
        <f t="shared" si="1614"/>
        <v xml:space="preserve">SEM VALOR</v>
      </c>
      <c r="P2956" s="435" t="str">
        <f t="shared" si="1615"/>
        <v xml:space="preserve">SEM VALOR</v>
      </c>
      <c r="AE2956" s="460">
        <v>1365</v>
      </c>
      <c r="AF2956" s="460"/>
      <c r="AH2956">
        <f t="shared" si="1624"/>
        <v>1365</v>
      </c>
    </row>
    <row r="2957" ht="29.25" customHeight="1">
      <c r="A2957" s="217"/>
      <c r="B2957" s="217">
        <v>1365</v>
      </c>
      <c r="C2957" s="217"/>
      <c r="D2957" s="217" t="s">
        <v>20408</v>
      </c>
      <c r="E2957" s="471" t="s">
        <v>20399</v>
      </c>
      <c r="F2957" s="482">
        <v>1379</v>
      </c>
      <c r="G2957" s="488" t="s">
        <v>22108</v>
      </c>
      <c r="H2957" s="482" t="s">
        <v>302</v>
      </c>
      <c r="I2957" s="509">
        <v>44</v>
      </c>
      <c r="J2957" s="473">
        <f t="shared" si="1609"/>
        <v>0.82999999999999996</v>
      </c>
      <c r="K2957" s="474">
        <f t="shared" ref="K2957:K2970" si="1625">I2957*J2957</f>
        <v>36.519999999999996</v>
      </c>
      <c r="L2957" s="475">
        <f t="shared" si="1617"/>
        <v>0.82999999999999996</v>
      </c>
      <c r="M2957" s="474">
        <f t="shared" ref="M2957:M2970" si="1626">L2957*I2957</f>
        <v>36.519999999999996</v>
      </c>
      <c r="N2957" s="467" t="s">
        <v>22109</v>
      </c>
      <c r="O2957" s="434">
        <f t="shared" si="1614"/>
        <v>0.82999999999999996</v>
      </c>
      <c r="P2957" s="435">
        <f t="shared" si="1615"/>
        <v>0.82999999999999996</v>
      </c>
      <c r="AE2957" s="217"/>
      <c r="AF2957" s="217">
        <v>1365</v>
      </c>
      <c r="AH2957">
        <f t="shared" si="1624"/>
        <v>1365</v>
      </c>
    </row>
    <row r="2958">
      <c r="A2958" s="217"/>
      <c r="B2958" s="217">
        <v>1365</v>
      </c>
      <c r="C2958" s="217"/>
      <c r="D2958" s="217" t="s">
        <v>20644</v>
      </c>
      <c r="E2958" s="471" t="s">
        <v>20402</v>
      </c>
      <c r="F2958" s="489" t="s">
        <v>15400</v>
      </c>
      <c r="G2958" s="488" t="s">
        <v>22110</v>
      </c>
      <c r="H2958" s="482" t="s">
        <v>31</v>
      </c>
      <c r="I2958" s="509">
        <v>9.5000000000000001e-002</v>
      </c>
      <c r="J2958" s="473">
        <f t="shared" si="1609"/>
        <v>54.57</v>
      </c>
      <c r="K2958" s="474">
        <f t="shared" si="1625"/>
        <v>5.1841499999999998</v>
      </c>
      <c r="L2958" s="475">
        <f t="shared" si="1617"/>
        <v>54.57</v>
      </c>
      <c r="M2958" s="474">
        <f t="shared" si="1626"/>
        <v>5.1841499999999998</v>
      </c>
      <c r="N2958" s="616">
        <v>36.340000000000003</v>
      </c>
      <c r="O2958" s="434">
        <f t="shared" si="1614"/>
        <v>54.57</v>
      </c>
      <c r="P2958" s="435">
        <f t="shared" si="1615"/>
        <v>54.57</v>
      </c>
      <c r="R2958" s="619">
        <f>90.84/100</f>
        <v>0.90839999999999999</v>
      </c>
      <c r="AE2958" s="217"/>
      <c r="AF2958" s="217">
        <v>1365</v>
      </c>
      <c r="AH2958">
        <f t="shared" si="1624"/>
        <v>1365</v>
      </c>
    </row>
    <row r="2959" ht="30">
      <c r="A2959" s="217"/>
      <c r="B2959" s="217">
        <v>1365</v>
      </c>
      <c r="C2959" s="217"/>
      <c r="D2959" s="217" t="s">
        <v>20644</v>
      </c>
      <c r="E2959" s="471" t="s">
        <v>20405</v>
      </c>
      <c r="F2959" s="489" t="s">
        <v>15402</v>
      </c>
      <c r="G2959" s="488" t="s">
        <v>22111</v>
      </c>
      <c r="H2959" s="482" t="s">
        <v>31</v>
      </c>
      <c r="I2959" s="509">
        <v>1.0499999999999999e-003</v>
      </c>
      <c r="J2959" s="473">
        <f t="shared" si="1609"/>
        <v>541.11000000000001</v>
      </c>
      <c r="K2959" s="474">
        <f t="shared" si="1625"/>
        <v>0.56816549999999999</v>
      </c>
      <c r="L2959" s="475">
        <f t="shared" si="1617"/>
        <v>541.11000000000001</v>
      </c>
      <c r="M2959" s="474">
        <f t="shared" si="1626"/>
        <v>0.56816549999999999</v>
      </c>
      <c r="O2959" s="434">
        <f t="shared" si="1614"/>
        <v>541.11000000000001</v>
      </c>
      <c r="P2959" s="435">
        <f t="shared" si="1615"/>
        <v>541.11000000000001</v>
      </c>
      <c r="R2959" s="620">
        <f>R2958*40</f>
        <v>36.335999999999999</v>
      </c>
      <c r="AE2959" s="217"/>
      <c r="AF2959" s="217">
        <v>1365</v>
      </c>
      <c r="AH2959">
        <f t="shared" si="1624"/>
        <v>1365</v>
      </c>
    </row>
    <row r="2960" ht="30">
      <c r="A2960" s="217"/>
      <c r="B2960" s="217">
        <v>1365</v>
      </c>
      <c r="C2960" s="217"/>
      <c r="D2960" s="217" t="s">
        <v>17167</v>
      </c>
      <c r="E2960" s="471" t="s">
        <v>20409</v>
      </c>
      <c r="F2960" s="482">
        <v>88316</v>
      </c>
      <c r="G2960" s="470" t="s">
        <v>7393</v>
      </c>
      <c r="H2960" s="482" t="s">
        <v>2032</v>
      </c>
      <c r="I2960" s="509">
        <f>6/N2958</f>
        <v>0.16510731975784257</v>
      </c>
      <c r="J2960" s="473">
        <f t="shared" si="1609"/>
        <v>22.760000000000002</v>
      </c>
      <c r="K2960" s="474">
        <f t="shared" si="1625"/>
        <v>3.757842597688497</v>
      </c>
      <c r="L2960" s="475">
        <f t="shared" si="1617"/>
        <v>21.550000000000001</v>
      </c>
      <c r="M2960" s="474">
        <f t="shared" si="1626"/>
        <v>3.5580627407815073</v>
      </c>
      <c r="O2960" s="434">
        <f t="shared" si="1614"/>
        <v>22.760000000000002</v>
      </c>
      <c r="P2960" s="435">
        <f t="shared" si="1615"/>
        <v>21.550000000000001</v>
      </c>
      <c r="AE2960" s="217"/>
      <c r="AF2960" s="217">
        <v>1365</v>
      </c>
      <c r="AH2960">
        <f t="shared" si="1624"/>
        <v>1365</v>
      </c>
    </row>
    <row r="2961" ht="60">
      <c r="A2961" s="217"/>
      <c r="B2961" s="217">
        <v>1365</v>
      </c>
      <c r="C2961" s="217"/>
      <c r="D2961" s="217" t="s">
        <v>17167</v>
      </c>
      <c r="E2961" s="471" t="s">
        <v>20663</v>
      </c>
      <c r="F2961" s="489">
        <v>95127</v>
      </c>
      <c r="G2961" s="470" t="s">
        <v>22112</v>
      </c>
      <c r="H2961" s="471" t="s">
        <v>1535</v>
      </c>
      <c r="I2961" s="509">
        <f>0.26/N2958</f>
        <v>7.1546505228398454e-003</v>
      </c>
      <c r="J2961" s="473">
        <f t="shared" si="1609"/>
        <v>246.74000000000001</v>
      </c>
      <c r="K2961" s="474">
        <f t="shared" si="1625"/>
        <v>1.7653384700055035</v>
      </c>
      <c r="L2961" s="475">
        <f t="shared" si="1617"/>
        <v>244.84</v>
      </c>
      <c r="M2961" s="474">
        <f t="shared" si="1626"/>
        <v>1.7517446340121079</v>
      </c>
      <c r="O2961" s="434">
        <f t="shared" si="1614"/>
        <v>246.74000000000001</v>
      </c>
      <c r="P2961" s="435">
        <f t="shared" si="1615"/>
        <v>244.84</v>
      </c>
      <c r="AE2961" s="217"/>
      <c r="AF2961" s="217">
        <v>1365</v>
      </c>
      <c r="AH2961">
        <f t="shared" si="1624"/>
        <v>1365</v>
      </c>
    </row>
    <row r="2962" ht="60">
      <c r="A2962" s="217"/>
      <c r="B2962" s="217">
        <v>1365</v>
      </c>
      <c r="C2962" s="217"/>
      <c r="D2962" s="217" t="s">
        <v>17167</v>
      </c>
      <c r="E2962" s="471" t="s">
        <v>20665</v>
      </c>
      <c r="F2962" s="489">
        <v>95128</v>
      </c>
      <c r="G2962" s="470" t="s">
        <v>22113</v>
      </c>
      <c r="H2962" s="471" t="s">
        <v>1533</v>
      </c>
      <c r="I2962" s="509">
        <f>0.74/N2958</f>
        <v>2.0363236103467252e-002</v>
      </c>
      <c r="J2962" s="473">
        <f t="shared" si="1609"/>
        <v>57.420000000000002</v>
      </c>
      <c r="K2962" s="474">
        <f t="shared" si="1625"/>
        <v>1.1692570170610896</v>
      </c>
      <c r="L2962" s="475">
        <f t="shared" si="1617"/>
        <v>55.520000000000003</v>
      </c>
      <c r="M2962" s="474">
        <f t="shared" si="1626"/>
        <v>1.1305668684645018</v>
      </c>
      <c r="O2962" s="434">
        <f t="shared" si="1614"/>
        <v>57.420000000000002</v>
      </c>
      <c r="P2962" s="435">
        <f t="shared" si="1615"/>
        <v>55.520000000000003</v>
      </c>
      <c r="AE2962" s="217"/>
      <c r="AF2962" s="217">
        <v>1365</v>
      </c>
      <c r="AH2962">
        <f t="shared" si="1624"/>
        <v>1365</v>
      </c>
    </row>
    <row r="2963" ht="105">
      <c r="A2963" s="217"/>
      <c r="B2963" s="217">
        <v>1365</v>
      </c>
      <c r="C2963" s="217"/>
      <c r="D2963" s="217" t="s">
        <v>17167</v>
      </c>
      <c r="E2963" s="471" t="s">
        <v>20667</v>
      </c>
      <c r="F2963" s="489">
        <v>5901</v>
      </c>
      <c r="G2963" s="470" t="s">
        <v>22114</v>
      </c>
      <c r="H2963" s="471" t="s">
        <v>1535</v>
      </c>
      <c r="I2963" s="509">
        <f>0.64*2/N2958</f>
        <v>3.5222894881673086e-002</v>
      </c>
      <c r="J2963" s="473">
        <f t="shared" si="1609"/>
        <v>346.31999999999999</v>
      </c>
      <c r="K2963" s="474">
        <f t="shared" si="1625"/>
        <v>12.198392955421022</v>
      </c>
      <c r="L2963" s="475">
        <f t="shared" si="1617"/>
        <v>344.72000000000003</v>
      </c>
      <c r="M2963" s="474">
        <f t="shared" si="1626"/>
        <v>12.142036323610347</v>
      </c>
      <c r="O2963" s="434">
        <f t="shared" si="1614"/>
        <v>346.31999999999999</v>
      </c>
      <c r="P2963" s="435">
        <f t="shared" si="1615"/>
        <v>344.72000000000003</v>
      </c>
      <c r="AE2963" s="217"/>
      <c r="AF2963" s="217">
        <v>1365</v>
      </c>
      <c r="AH2963">
        <f t="shared" si="1624"/>
        <v>1365</v>
      </c>
    </row>
    <row r="2964" ht="105">
      <c r="A2964" s="217"/>
      <c r="B2964" s="217">
        <v>1365</v>
      </c>
      <c r="C2964" s="217"/>
      <c r="D2964" s="217" t="s">
        <v>17167</v>
      </c>
      <c r="E2964" s="471" t="s">
        <v>20671</v>
      </c>
      <c r="F2964" s="489">
        <v>5903</v>
      </c>
      <c r="G2964" s="470" t="s">
        <v>22115</v>
      </c>
      <c r="H2964" s="471" t="s">
        <v>1533</v>
      </c>
      <c r="I2964" s="509">
        <f>0.36*2/N2958</f>
        <v>1.981287837094111e-002</v>
      </c>
      <c r="J2964" s="473">
        <f t="shared" si="1609"/>
        <v>73.879999999999995</v>
      </c>
      <c r="K2964" s="474">
        <f t="shared" si="1625"/>
        <v>1.4637754540451291</v>
      </c>
      <c r="L2964" s="475">
        <f t="shared" si="1617"/>
        <v>72.280000000000001</v>
      </c>
      <c r="M2964" s="474">
        <f t="shared" si="1626"/>
        <v>1.4320748486516235</v>
      </c>
      <c r="O2964" s="434">
        <f t="shared" si="1614"/>
        <v>73.879999999999995</v>
      </c>
      <c r="P2964" s="435">
        <f t="shared" si="1615"/>
        <v>72.280000000000001</v>
      </c>
      <c r="AE2964" s="217"/>
      <c r="AF2964" s="217">
        <v>1365</v>
      </c>
      <c r="AH2964">
        <f t="shared" si="1624"/>
        <v>1365</v>
      </c>
    </row>
    <row r="2965" ht="60">
      <c r="A2965" s="217"/>
      <c r="B2965" s="217">
        <v>1365</v>
      </c>
      <c r="C2965" s="217"/>
      <c r="D2965" s="217" t="s">
        <v>17167</v>
      </c>
      <c r="E2965" s="471" t="s">
        <v>20672</v>
      </c>
      <c r="F2965" s="489">
        <v>89250</v>
      </c>
      <c r="G2965" s="470" t="s">
        <v>1867</v>
      </c>
      <c r="H2965" s="471" t="s">
        <v>1535</v>
      </c>
      <c r="I2965" s="509">
        <f>1/N2958</f>
        <v>2.7517886626307098e-002</v>
      </c>
      <c r="J2965" s="473">
        <f t="shared" si="1609"/>
        <v>1229.3800000000001</v>
      </c>
      <c r="K2965" s="474">
        <f t="shared" si="1625"/>
        <v>33.82993946064942</v>
      </c>
      <c r="L2965" s="475">
        <f t="shared" si="1617"/>
        <v>1227.49</v>
      </c>
      <c r="M2965" s="474">
        <f t="shared" si="1626"/>
        <v>33.777930654925697</v>
      </c>
      <c r="O2965" s="434">
        <f t="shared" si="1614"/>
        <v>1229.3800000000001</v>
      </c>
      <c r="P2965" s="435">
        <f t="shared" si="1615"/>
        <v>1227.49</v>
      </c>
      <c r="AE2965" s="217"/>
      <c r="AF2965" s="217">
        <v>1365</v>
      </c>
      <c r="AH2965">
        <f t="shared" si="1624"/>
        <v>1365</v>
      </c>
    </row>
    <row r="2966" ht="60">
      <c r="A2966" s="217"/>
      <c r="B2966" s="217">
        <v>1365</v>
      </c>
      <c r="C2966" s="217"/>
      <c r="D2966" s="217" t="s">
        <v>17167</v>
      </c>
      <c r="E2966" s="471" t="s">
        <v>20673</v>
      </c>
      <c r="F2966" s="489">
        <v>89251</v>
      </c>
      <c r="G2966" s="470" t="s">
        <v>1866</v>
      </c>
      <c r="H2966" s="471" t="s">
        <v>1533</v>
      </c>
      <c r="I2966" s="509">
        <v>0</v>
      </c>
      <c r="J2966" s="473">
        <f t="shared" si="1609"/>
        <v>356.70999999999998</v>
      </c>
      <c r="K2966" s="474">
        <f t="shared" si="1625"/>
        <v>0</v>
      </c>
      <c r="L2966" s="475">
        <f t="shared" si="1617"/>
        <v>354.81999999999999</v>
      </c>
      <c r="M2966" s="474">
        <f t="shared" si="1626"/>
        <v>0</v>
      </c>
      <c r="O2966" s="434">
        <f t="shared" si="1614"/>
        <v>356.70999999999998</v>
      </c>
      <c r="P2966" s="435">
        <f t="shared" si="1615"/>
        <v>354.81999999999999</v>
      </c>
      <c r="AE2966" s="217"/>
      <c r="AF2966" s="217">
        <v>1365</v>
      </c>
      <c r="AH2966">
        <f t="shared" si="1624"/>
        <v>1365</v>
      </c>
    </row>
    <row r="2967" ht="90">
      <c r="A2967" s="217"/>
      <c r="B2967" s="217">
        <v>1365</v>
      </c>
      <c r="C2967" s="217"/>
      <c r="D2967" s="217" t="s">
        <v>17167</v>
      </c>
      <c r="E2967" s="471" t="s">
        <v>20675</v>
      </c>
      <c r="F2967" s="489">
        <v>6879</v>
      </c>
      <c r="G2967" s="470" t="s">
        <v>1877</v>
      </c>
      <c r="H2967" s="471" t="s">
        <v>1535</v>
      </c>
      <c r="I2967" s="509">
        <f>0.52/N2958</f>
        <v>1.4309301045679691e-002</v>
      </c>
      <c r="J2967" s="473">
        <f t="shared" si="1609"/>
        <v>212.56</v>
      </c>
      <c r="K2967" s="474">
        <f t="shared" si="1625"/>
        <v>3.0415850302696752</v>
      </c>
      <c r="L2967" s="475">
        <f t="shared" si="1617"/>
        <v>210.86000000000001</v>
      </c>
      <c r="M2967" s="474">
        <f t="shared" si="1626"/>
        <v>3.0172592184920197</v>
      </c>
      <c r="O2967" s="434">
        <f t="shared" si="1614"/>
        <v>212.56</v>
      </c>
      <c r="P2967" s="435">
        <f t="shared" si="1615"/>
        <v>210.86000000000001</v>
      </c>
      <c r="AE2967" s="217"/>
      <c r="AF2967" s="217">
        <v>1365</v>
      </c>
      <c r="AH2967">
        <f t="shared" si="1624"/>
        <v>1365</v>
      </c>
    </row>
    <row r="2968" ht="90">
      <c r="A2968" s="217"/>
      <c r="B2968" s="217">
        <v>1365</v>
      </c>
      <c r="C2968" s="217"/>
      <c r="D2968" s="217" t="s">
        <v>17167</v>
      </c>
      <c r="E2968" s="471" t="s">
        <v>20677</v>
      </c>
      <c r="F2968" s="489">
        <v>6880</v>
      </c>
      <c r="G2968" s="470" t="s">
        <v>1876</v>
      </c>
      <c r="H2968" s="471" t="s">
        <v>1533</v>
      </c>
      <c r="I2968" s="509">
        <f>0.48/N2958</f>
        <v>1.3208585580627406e-002</v>
      </c>
      <c r="J2968" s="473">
        <f t="shared" si="1609"/>
        <v>84.219999999999999</v>
      </c>
      <c r="K2968" s="474">
        <f t="shared" si="1625"/>
        <v>1.1124270776004401</v>
      </c>
      <c r="L2968" s="475">
        <f t="shared" si="1617"/>
        <v>82.519999999999996</v>
      </c>
      <c r="M2968" s="474">
        <f t="shared" si="1626"/>
        <v>1.0899724821133734</v>
      </c>
      <c r="O2968" s="434">
        <f t="shared" si="1614"/>
        <v>84.219999999999999</v>
      </c>
      <c r="P2968" s="435">
        <f t="shared" si="1615"/>
        <v>82.519999999999996</v>
      </c>
      <c r="AE2968" s="217"/>
      <c r="AF2968" s="217">
        <v>1365</v>
      </c>
      <c r="AH2968">
        <f t="shared" si="1624"/>
        <v>1365</v>
      </c>
    </row>
    <row r="2969" ht="105">
      <c r="A2969" s="217"/>
      <c r="B2969" s="217">
        <v>1365</v>
      </c>
      <c r="C2969" s="217"/>
      <c r="D2969" s="217" t="s">
        <v>17167</v>
      </c>
      <c r="E2969" s="471" t="s">
        <v>20679</v>
      </c>
      <c r="F2969" s="489">
        <v>7049</v>
      </c>
      <c r="G2969" s="488" t="s">
        <v>21764</v>
      </c>
      <c r="H2969" s="471" t="s">
        <v>1535</v>
      </c>
      <c r="I2969" s="509">
        <f>0.54/N2958</f>
        <v>1.4859658778205833e-002</v>
      </c>
      <c r="J2969" s="473">
        <f t="shared" si="1609"/>
        <v>228.24000000000001</v>
      </c>
      <c r="K2969" s="474">
        <f t="shared" si="1625"/>
        <v>3.3915685195376994</v>
      </c>
      <c r="L2969" s="475">
        <f t="shared" si="1617"/>
        <v>226.53999999999999</v>
      </c>
      <c r="M2969" s="474">
        <f t="shared" si="1626"/>
        <v>3.3663070996147493</v>
      </c>
      <c r="O2969" s="434">
        <f t="shared" si="1614"/>
        <v>228.24000000000001</v>
      </c>
      <c r="P2969" s="435">
        <f t="shared" si="1615"/>
        <v>226.53999999999999</v>
      </c>
      <c r="AE2969" s="217"/>
      <c r="AF2969" s="217">
        <v>1365</v>
      </c>
      <c r="AH2969">
        <f t="shared" si="1624"/>
        <v>1365</v>
      </c>
    </row>
    <row r="2970" ht="105">
      <c r="A2970" s="217"/>
      <c r="B2970" s="217">
        <v>1365</v>
      </c>
      <c r="C2970" s="217"/>
      <c r="D2970" s="217" t="s">
        <v>17167</v>
      </c>
      <c r="E2970" s="471" t="s">
        <v>20681</v>
      </c>
      <c r="F2970" s="489">
        <v>7050</v>
      </c>
      <c r="G2970" s="488" t="s">
        <v>21765</v>
      </c>
      <c r="H2970" s="471" t="s">
        <v>1533</v>
      </c>
      <c r="I2970" s="509">
        <f>0.46/N2958</f>
        <v>1.2658227848101266e-002</v>
      </c>
      <c r="J2970" s="473">
        <f t="shared" si="1609"/>
        <v>77.959999999999994</v>
      </c>
      <c r="K2970" s="474">
        <f t="shared" si="1625"/>
        <v>0.98683544303797455</v>
      </c>
      <c r="L2970" s="475">
        <f t="shared" si="1617"/>
        <v>76.260000000000005</v>
      </c>
      <c r="M2970" s="474">
        <f t="shared" si="1626"/>
        <v>0.96531645569620261</v>
      </c>
      <c r="O2970" s="434">
        <f t="shared" si="1614"/>
        <v>77.959999999999994</v>
      </c>
      <c r="P2970" s="435">
        <f t="shared" si="1615"/>
        <v>76.260000000000005</v>
      </c>
      <c r="AE2970" s="217"/>
      <c r="AF2970" s="217">
        <v>1365</v>
      </c>
      <c r="AH2970">
        <f t="shared" si="1624"/>
        <v>1365</v>
      </c>
    </row>
    <row r="2971" ht="66" customHeight="1">
      <c r="A2971" s="460">
        <v>1366</v>
      </c>
      <c r="B2971" s="460">
        <v>1366</v>
      </c>
      <c r="C2971" s="460"/>
      <c r="D2971" s="460"/>
      <c r="E2971" s="461">
        <v>1</v>
      </c>
      <c r="F2971" s="462" t="s">
        <v>22118</v>
      </c>
      <c r="G2971" s="477" t="s">
        <v>22119</v>
      </c>
      <c r="H2971" s="478" t="s">
        <v>15528</v>
      </c>
      <c r="I2971" s="479"/>
      <c r="J2971" s="480"/>
      <c r="K2971" s="466">
        <f>SUM(K2972:K2985)</f>
        <v>86.562445384424862</v>
      </c>
      <c r="L2971" s="480"/>
      <c r="M2971" s="466">
        <f>SUM(M2972:M2985)</f>
        <v>86.076754685470533</v>
      </c>
      <c r="N2971" s="467" t="s">
        <v>22107</v>
      </c>
      <c r="O2971" s="434" t="str">
        <f t="shared" si="1614"/>
        <v xml:space="preserve">SEM VALOR</v>
      </c>
      <c r="P2971" s="435" t="str">
        <f t="shared" si="1615"/>
        <v xml:space="preserve">SEM VALOR</v>
      </c>
      <c r="AE2971" s="460">
        <v>1366</v>
      </c>
      <c r="AF2971" s="460"/>
      <c r="AH2971">
        <f t="shared" si="1624"/>
        <v>1366</v>
      </c>
    </row>
    <row r="2972" ht="24.75" customHeight="1">
      <c r="A2972" s="217"/>
      <c r="B2972" s="217">
        <v>1366</v>
      </c>
      <c r="C2972" s="217"/>
      <c r="D2972" s="217" t="s">
        <v>20408</v>
      </c>
      <c r="E2972" s="471" t="s">
        <v>20399</v>
      </c>
      <c r="F2972" s="489">
        <v>4741</v>
      </c>
      <c r="G2972" s="488" t="s">
        <v>22120</v>
      </c>
      <c r="H2972" s="482" t="s">
        <v>302</v>
      </c>
      <c r="I2972" s="509">
        <v>0.14999999999999999</v>
      </c>
      <c r="J2972" s="473">
        <f t="shared" si="1609"/>
        <v>94.920000000000002</v>
      </c>
      <c r="K2972" s="474">
        <f t="shared" ref="K2972:K2985" si="1627">I2972*J2972</f>
        <v>14.238</v>
      </c>
      <c r="L2972" s="475">
        <f t="shared" si="1617"/>
        <v>94.920000000000002</v>
      </c>
      <c r="M2972" s="474">
        <f t="shared" ref="M2972:M2985" si="1628">L2972*I2972</f>
        <v>14.238</v>
      </c>
      <c r="N2972" s="467" t="s">
        <v>22109</v>
      </c>
      <c r="O2972" s="434">
        <f t="shared" si="1614"/>
        <v>94.920000000000002</v>
      </c>
      <c r="P2972" s="435">
        <f t="shared" si="1615"/>
        <v>94.920000000000002</v>
      </c>
      <c r="AE2972" s="217"/>
      <c r="AF2972" s="217">
        <v>1366</v>
      </c>
      <c r="AH2972">
        <f t="shared" si="1624"/>
        <v>1366</v>
      </c>
    </row>
    <row r="2973" ht="25.5" customHeight="1">
      <c r="A2973" s="217"/>
      <c r="B2973" s="217">
        <v>1366</v>
      </c>
      <c r="C2973" s="217"/>
      <c r="D2973" s="217" t="s">
        <v>20644</v>
      </c>
      <c r="E2973" s="471" t="s">
        <v>20402</v>
      </c>
      <c r="F2973" s="489" t="s">
        <v>15400</v>
      </c>
      <c r="G2973" s="488" t="s">
        <v>22110</v>
      </c>
      <c r="H2973" s="482" t="s">
        <v>31</v>
      </c>
      <c r="I2973" s="509">
        <v>9.5000000000000001e-002</v>
      </c>
      <c r="J2973" s="473">
        <f t="shared" si="1609"/>
        <v>54.57</v>
      </c>
      <c r="K2973" s="474">
        <f t="shared" si="1627"/>
        <v>5.1841499999999998</v>
      </c>
      <c r="L2973" s="475">
        <f t="shared" si="1617"/>
        <v>54.57</v>
      </c>
      <c r="M2973" s="474">
        <f t="shared" si="1628"/>
        <v>5.1841499999999998</v>
      </c>
      <c r="N2973" s="616">
        <v>36.340000000000003</v>
      </c>
      <c r="O2973" s="434">
        <f t="shared" si="1614"/>
        <v>54.57</v>
      </c>
      <c r="P2973" s="435">
        <f t="shared" si="1615"/>
        <v>54.57</v>
      </c>
      <c r="R2973" s="617">
        <f>90.84/100</f>
        <v>0.90839999999999999</v>
      </c>
      <c r="AE2973" s="217"/>
      <c r="AF2973" s="217">
        <v>1366</v>
      </c>
      <c r="AH2973">
        <f t="shared" si="1624"/>
        <v>1366</v>
      </c>
    </row>
    <row r="2974" ht="30">
      <c r="A2974" s="217"/>
      <c r="B2974" s="217">
        <v>1366</v>
      </c>
      <c r="C2974" s="217"/>
      <c r="D2974" s="217" t="s">
        <v>20644</v>
      </c>
      <c r="E2974" s="471" t="s">
        <v>20405</v>
      </c>
      <c r="F2974" s="489" t="s">
        <v>15402</v>
      </c>
      <c r="G2974" s="488" t="s">
        <v>22111</v>
      </c>
      <c r="H2974" s="482" t="s">
        <v>31</v>
      </c>
      <c r="I2974" s="509">
        <v>1.0499999999999999e-003</v>
      </c>
      <c r="J2974" s="473">
        <f t="shared" ref="J2974:J3037" si="1629">O2974*$J$3</f>
        <v>541.11000000000001</v>
      </c>
      <c r="K2974" s="474">
        <f t="shared" si="1627"/>
        <v>0.56816549999999999</v>
      </c>
      <c r="L2974" s="475">
        <f t="shared" si="1617"/>
        <v>541.11000000000001</v>
      </c>
      <c r="M2974" s="474">
        <f t="shared" si="1628"/>
        <v>0.56816549999999999</v>
      </c>
      <c r="O2974" s="434">
        <f t="shared" si="1614"/>
        <v>541.11000000000001</v>
      </c>
      <c r="P2974" s="435">
        <f t="shared" si="1615"/>
        <v>541.11000000000001</v>
      </c>
      <c r="R2974" s="618">
        <f>R2973*40</f>
        <v>36.335999999999999</v>
      </c>
      <c r="AE2974" s="217"/>
      <c r="AF2974" s="217">
        <v>1366</v>
      </c>
      <c r="AH2974">
        <f t="shared" si="1624"/>
        <v>1366</v>
      </c>
    </row>
    <row r="2975" ht="30">
      <c r="A2975" s="217"/>
      <c r="B2975" s="217">
        <v>1366</v>
      </c>
      <c r="C2975" s="217"/>
      <c r="D2975" s="217" t="s">
        <v>17167</v>
      </c>
      <c r="E2975" s="471" t="s">
        <v>20409</v>
      </c>
      <c r="F2975" s="482">
        <v>88316</v>
      </c>
      <c r="G2975" s="470" t="s">
        <v>7393</v>
      </c>
      <c r="H2975" s="482" t="s">
        <v>2032</v>
      </c>
      <c r="I2975" s="509">
        <f>6/N2973</f>
        <v>0.16510731975784257</v>
      </c>
      <c r="J2975" s="473">
        <f t="shared" si="1629"/>
        <v>22.760000000000002</v>
      </c>
      <c r="K2975" s="474">
        <f t="shared" si="1627"/>
        <v>3.757842597688497</v>
      </c>
      <c r="L2975" s="475">
        <f t="shared" si="1617"/>
        <v>21.550000000000001</v>
      </c>
      <c r="M2975" s="474">
        <f t="shared" si="1628"/>
        <v>3.5580627407815073</v>
      </c>
      <c r="O2975" s="434">
        <f t="shared" si="1614"/>
        <v>22.760000000000002</v>
      </c>
      <c r="P2975" s="435">
        <f t="shared" si="1615"/>
        <v>21.550000000000001</v>
      </c>
      <c r="AE2975" s="217"/>
      <c r="AF2975" s="217">
        <v>1366</v>
      </c>
      <c r="AH2975">
        <f t="shared" si="1624"/>
        <v>1366</v>
      </c>
    </row>
    <row r="2976" ht="60">
      <c r="A2976" s="217"/>
      <c r="B2976" s="217">
        <v>1366</v>
      </c>
      <c r="C2976" s="217"/>
      <c r="D2976" s="217" t="s">
        <v>17167</v>
      </c>
      <c r="E2976" s="471" t="s">
        <v>20663</v>
      </c>
      <c r="F2976" s="489">
        <v>95127</v>
      </c>
      <c r="G2976" s="470" t="s">
        <v>22112</v>
      </c>
      <c r="H2976" s="471" t="s">
        <v>1535</v>
      </c>
      <c r="I2976" s="509">
        <f>1/N2973</f>
        <v>2.7517886626307098e-002</v>
      </c>
      <c r="J2976" s="473">
        <f t="shared" si="1629"/>
        <v>246.74000000000001</v>
      </c>
      <c r="K2976" s="474">
        <f t="shared" si="1627"/>
        <v>6.7897633461750138</v>
      </c>
      <c r="L2976" s="475">
        <f t="shared" si="1617"/>
        <v>244.84</v>
      </c>
      <c r="M2976" s="474">
        <f t="shared" si="1628"/>
        <v>6.7374793615850299</v>
      </c>
      <c r="O2976" s="434">
        <f t="shared" si="1614"/>
        <v>246.74000000000001</v>
      </c>
      <c r="P2976" s="435">
        <f t="shared" si="1615"/>
        <v>244.84</v>
      </c>
      <c r="AE2976" s="217"/>
      <c r="AF2976" s="217">
        <v>1366</v>
      </c>
      <c r="AH2976">
        <f t="shared" si="1624"/>
        <v>1366</v>
      </c>
    </row>
    <row r="2977" ht="60">
      <c r="A2977" s="217"/>
      <c r="B2977" s="217">
        <v>1366</v>
      </c>
      <c r="C2977" s="217"/>
      <c r="D2977" s="217" t="s">
        <v>17167</v>
      </c>
      <c r="E2977" s="471" t="s">
        <v>20665</v>
      </c>
      <c r="F2977" s="489">
        <v>95128</v>
      </c>
      <c r="G2977" s="470" t="s">
        <v>22113</v>
      </c>
      <c r="H2977" s="471" t="s">
        <v>1533</v>
      </c>
      <c r="I2977" s="509">
        <f>0/N2973</f>
        <v>0</v>
      </c>
      <c r="J2977" s="473">
        <f t="shared" si="1629"/>
        <v>57.420000000000002</v>
      </c>
      <c r="K2977" s="474">
        <f t="shared" si="1627"/>
        <v>0</v>
      </c>
      <c r="L2977" s="475">
        <f t="shared" si="1617"/>
        <v>55.520000000000003</v>
      </c>
      <c r="M2977" s="474">
        <f t="shared" si="1628"/>
        <v>0</v>
      </c>
      <c r="O2977" s="434">
        <f t="shared" si="1614"/>
        <v>57.420000000000002</v>
      </c>
      <c r="P2977" s="435">
        <f t="shared" si="1615"/>
        <v>55.520000000000003</v>
      </c>
      <c r="AE2977" s="217"/>
      <c r="AF2977" s="217">
        <v>1366</v>
      </c>
      <c r="AH2977">
        <f t="shared" si="1624"/>
        <v>1366</v>
      </c>
    </row>
    <row r="2978" ht="105">
      <c r="A2978" s="217"/>
      <c r="B2978" s="217">
        <v>1366</v>
      </c>
      <c r="C2978" s="217"/>
      <c r="D2978" s="217" t="s">
        <v>17167</v>
      </c>
      <c r="E2978" s="471" t="s">
        <v>20667</v>
      </c>
      <c r="F2978" s="489">
        <v>5901</v>
      </c>
      <c r="G2978" s="470" t="s">
        <v>22114</v>
      </c>
      <c r="H2978" s="471" t="s">
        <v>1535</v>
      </c>
      <c r="I2978" s="509">
        <f>0.64*2/N2973</f>
        <v>3.5222894881673086e-002</v>
      </c>
      <c r="J2978" s="473">
        <f t="shared" si="1629"/>
        <v>346.31999999999999</v>
      </c>
      <c r="K2978" s="474">
        <f t="shared" si="1627"/>
        <v>12.198392955421022</v>
      </c>
      <c r="L2978" s="475">
        <f t="shared" si="1617"/>
        <v>344.72000000000003</v>
      </c>
      <c r="M2978" s="474">
        <f t="shared" si="1628"/>
        <v>12.142036323610347</v>
      </c>
      <c r="O2978" s="434">
        <f t="shared" si="1614"/>
        <v>346.31999999999999</v>
      </c>
      <c r="P2978" s="435">
        <f t="shared" si="1615"/>
        <v>344.72000000000003</v>
      </c>
      <c r="AE2978" s="217"/>
      <c r="AF2978" s="217">
        <v>1366</v>
      </c>
      <c r="AH2978">
        <f t="shared" si="1624"/>
        <v>1366</v>
      </c>
    </row>
    <row r="2979" ht="105">
      <c r="A2979" s="217"/>
      <c r="B2979" s="217">
        <v>1366</v>
      </c>
      <c r="C2979" s="217"/>
      <c r="D2979" s="217" t="s">
        <v>17167</v>
      </c>
      <c r="E2979" s="471" t="s">
        <v>20671</v>
      </c>
      <c r="F2979" s="489">
        <v>5903</v>
      </c>
      <c r="G2979" s="470" t="s">
        <v>22115</v>
      </c>
      <c r="H2979" s="471" t="s">
        <v>1533</v>
      </c>
      <c r="I2979" s="509">
        <f>0.36*2/N2973</f>
        <v>1.981287837094111e-002</v>
      </c>
      <c r="J2979" s="473">
        <f t="shared" si="1629"/>
        <v>73.879999999999995</v>
      </c>
      <c r="K2979" s="474">
        <f t="shared" si="1627"/>
        <v>1.4637754540451291</v>
      </c>
      <c r="L2979" s="475">
        <f t="shared" si="1617"/>
        <v>72.280000000000001</v>
      </c>
      <c r="M2979" s="474">
        <f t="shared" si="1628"/>
        <v>1.4320748486516235</v>
      </c>
      <c r="O2979" s="434">
        <f t="shared" si="1614"/>
        <v>73.879999999999995</v>
      </c>
      <c r="P2979" s="435">
        <f t="shared" si="1615"/>
        <v>72.280000000000001</v>
      </c>
      <c r="AE2979" s="217"/>
      <c r="AF2979" s="217">
        <v>1366</v>
      </c>
      <c r="AH2979">
        <f t="shared" si="1624"/>
        <v>1366</v>
      </c>
    </row>
    <row r="2980" ht="60">
      <c r="A2980" s="217"/>
      <c r="B2980" s="217">
        <v>1366</v>
      </c>
      <c r="C2980" s="217"/>
      <c r="D2980" s="217" t="s">
        <v>17167</v>
      </c>
      <c r="E2980" s="471" t="s">
        <v>20672</v>
      </c>
      <c r="F2980" s="489">
        <v>89250</v>
      </c>
      <c r="G2980" s="470" t="s">
        <v>1867</v>
      </c>
      <c r="H2980" s="471" t="s">
        <v>1535</v>
      </c>
      <c r="I2980" s="509">
        <f>1/N2973</f>
        <v>2.7517886626307098e-002</v>
      </c>
      <c r="J2980" s="473">
        <f t="shared" si="1629"/>
        <v>1229.3800000000001</v>
      </c>
      <c r="K2980" s="474">
        <f t="shared" si="1627"/>
        <v>33.82993946064942</v>
      </c>
      <c r="L2980" s="475">
        <f t="shared" si="1617"/>
        <v>1227.49</v>
      </c>
      <c r="M2980" s="474">
        <f t="shared" si="1628"/>
        <v>33.777930654925697</v>
      </c>
      <c r="O2980" s="434">
        <f t="shared" si="1614"/>
        <v>1229.3800000000001</v>
      </c>
      <c r="P2980" s="435">
        <f t="shared" si="1615"/>
        <v>1227.49</v>
      </c>
      <c r="AE2980" s="217"/>
      <c r="AF2980" s="217">
        <v>1366</v>
      </c>
      <c r="AH2980">
        <f t="shared" si="1624"/>
        <v>1366</v>
      </c>
    </row>
    <row r="2981" ht="60">
      <c r="A2981" s="217"/>
      <c r="B2981" s="217">
        <v>1366</v>
      </c>
      <c r="C2981" s="217"/>
      <c r="D2981" s="217" t="s">
        <v>17167</v>
      </c>
      <c r="E2981" s="471" t="s">
        <v>20673</v>
      </c>
      <c r="F2981" s="489">
        <v>89251</v>
      </c>
      <c r="G2981" s="470" t="s">
        <v>1866</v>
      </c>
      <c r="H2981" s="471" t="s">
        <v>1533</v>
      </c>
      <c r="I2981" s="509">
        <v>0</v>
      </c>
      <c r="J2981" s="473">
        <f t="shared" si="1629"/>
        <v>356.70999999999998</v>
      </c>
      <c r="K2981" s="474">
        <f t="shared" si="1627"/>
        <v>0</v>
      </c>
      <c r="L2981" s="475">
        <f t="shared" si="1617"/>
        <v>354.81999999999999</v>
      </c>
      <c r="M2981" s="474">
        <f t="shared" si="1628"/>
        <v>0</v>
      </c>
      <c r="O2981" s="434">
        <f t="shared" si="1614"/>
        <v>356.70999999999998</v>
      </c>
      <c r="P2981" s="435">
        <f t="shared" si="1615"/>
        <v>354.81999999999999</v>
      </c>
      <c r="AE2981" s="217"/>
      <c r="AF2981" s="217">
        <v>1366</v>
      </c>
      <c r="AH2981">
        <f t="shared" si="1624"/>
        <v>1366</v>
      </c>
    </row>
    <row r="2982" ht="90">
      <c r="A2982" s="217"/>
      <c r="B2982" s="217">
        <v>1366</v>
      </c>
      <c r="C2982" s="217"/>
      <c r="D2982" s="217" t="s">
        <v>17167</v>
      </c>
      <c r="E2982" s="471" t="s">
        <v>20675</v>
      </c>
      <c r="F2982" s="489">
        <v>6879</v>
      </c>
      <c r="G2982" s="470" t="s">
        <v>1877</v>
      </c>
      <c r="H2982" s="471" t="s">
        <v>1535</v>
      </c>
      <c r="I2982" s="509">
        <f>0.52/N2973</f>
        <v>1.4309301045679691e-002</v>
      </c>
      <c r="J2982" s="473">
        <f t="shared" si="1629"/>
        <v>212.56</v>
      </c>
      <c r="K2982" s="474">
        <f t="shared" si="1627"/>
        <v>3.0415850302696752</v>
      </c>
      <c r="L2982" s="475">
        <f t="shared" si="1617"/>
        <v>210.86000000000001</v>
      </c>
      <c r="M2982" s="474">
        <f t="shared" si="1628"/>
        <v>3.0172592184920197</v>
      </c>
      <c r="O2982" s="434">
        <f t="shared" si="1614"/>
        <v>212.56</v>
      </c>
      <c r="P2982" s="435">
        <f t="shared" si="1615"/>
        <v>210.86000000000001</v>
      </c>
      <c r="AE2982" s="217"/>
      <c r="AF2982" s="217">
        <v>1366</v>
      </c>
      <c r="AH2982">
        <f t="shared" si="1624"/>
        <v>1366</v>
      </c>
    </row>
    <row r="2983" ht="90">
      <c r="A2983" s="217"/>
      <c r="B2983" s="217">
        <v>1366</v>
      </c>
      <c r="C2983" s="217"/>
      <c r="D2983" s="217" t="s">
        <v>17167</v>
      </c>
      <c r="E2983" s="471" t="s">
        <v>20677</v>
      </c>
      <c r="F2983" s="489">
        <v>6880</v>
      </c>
      <c r="G2983" s="470" t="s">
        <v>1876</v>
      </c>
      <c r="H2983" s="471" t="s">
        <v>1533</v>
      </c>
      <c r="I2983" s="509">
        <f>0.48/N2973</f>
        <v>1.3208585580627406e-002</v>
      </c>
      <c r="J2983" s="473">
        <f t="shared" si="1629"/>
        <v>84.219999999999999</v>
      </c>
      <c r="K2983" s="474">
        <f t="shared" si="1627"/>
        <v>1.1124270776004401</v>
      </c>
      <c r="L2983" s="475">
        <f t="shared" si="1617"/>
        <v>82.519999999999996</v>
      </c>
      <c r="M2983" s="474">
        <f t="shared" si="1628"/>
        <v>1.0899724821133734</v>
      </c>
      <c r="O2983" s="434">
        <f t="shared" si="1614"/>
        <v>84.219999999999999</v>
      </c>
      <c r="P2983" s="435">
        <f t="shared" si="1615"/>
        <v>82.519999999999996</v>
      </c>
      <c r="AE2983" s="217"/>
      <c r="AF2983" s="217">
        <v>1366</v>
      </c>
      <c r="AH2983">
        <f t="shared" si="1624"/>
        <v>1366</v>
      </c>
    </row>
    <row r="2984" ht="105">
      <c r="A2984" s="217"/>
      <c r="B2984" s="217">
        <v>1366</v>
      </c>
      <c r="C2984" s="217"/>
      <c r="D2984" s="217" t="s">
        <v>17167</v>
      </c>
      <c r="E2984" s="471" t="s">
        <v>20679</v>
      </c>
      <c r="F2984" s="489">
        <v>7049</v>
      </c>
      <c r="G2984" s="488" t="s">
        <v>21764</v>
      </c>
      <c r="H2984" s="471" t="s">
        <v>1535</v>
      </c>
      <c r="I2984" s="509">
        <f>0.54/N2973</f>
        <v>1.4859658778205833e-002</v>
      </c>
      <c r="J2984" s="473">
        <f t="shared" si="1629"/>
        <v>228.24000000000001</v>
      </c>
      <c r="K2984" s="474">
        <f t="shared" si="1627"/>
        <v>3.3915685195376994</v>
      </c>
      <c r="L2984" s="475">
        <f t="shared" si="1617"/>
        <v>226.53999999999999</v>
      </c>
      <c r="M2984" s="474">
        <f t="shared" si="1628"/>
        <v>3.3663070996147493</v>
      </c>
      <c r="O2984" s="434">
        <f t="shared" si="1614"/>
        <v>228.24000000000001</v>
      </c>
      <c r="P2984" s="435">
        <f t="shared" si="1615"/>
        <v>226.53999999999999</v>
      </c>
      <c r="AE2984" s="217"/>
      <c r="AF2984" s="217">
        <v>1366</v>
      </c>
      <c r="AH2984">
        <f t="shared" si="1624"/>
        <v>1366</v>
      </c>
    </row>
    <row r="2985" ht="105">
      <c r="A2985" s="217"/>
      <c r="B2985" s="217">
        <v>1366</v>
      </c>
      <c r="C2985" s="217"/>
      <c r="D2985" s="217" t="s">
        <v>17167</v>
      </c>
      <c r="E2985" s="471" t="s">
        <v>20681</v>
      </c>
      <c r="F2985" s="489">
        <v>7050</v>
      </c>
      <c r="G2985" s="488" t="s">
        <v>21765</v>
      </c>
      <c r="H2985" s="471" t="s">
        <v>1533</v>
      </c>
      <c r="I2985" s="509">
        <f>0.46/N2973</f>
        <v>1.2658227848101266e-002</v>
      </c>
      <c r="J2985" s="473">
        <f t="shared" si="1629"/>
        <v>77.959999999999994</v>
      </c>
      <c r="K2985" s="474">
        <f t="shared" si="1627"/>
        <v>0.98683544303797455</v>
      </c>
      <c r="L2985" s="475">
        <f t="shared" si="1617"/>
        <v>76.260000000000005</v>
      </c>
      <c r="M2985" s="474">
        <f t="shared" si="1628"/>
        <v>0.96531645569620261</v>
      </c>
      <c r="O2985" s="434">
        <f t="shared" si="1614"/>
        <v>77.959999999999994</v>
      </c>
      <c r="P2985" s="435">
        <f t="shared" si="1615"/>
        <v>76.260000000000005</v>
      </c>
      <c r="AE2985" s="217"/>
      <c r="AF2985" s="217">
        <v>1366</v>
      </c>
      <c r="AH2985">
        <f t="shared" si="1624"/>
        <v>1366</v>
      </c>
    </row>
    <row r="2986" ht="63">
      <c r="A2986" s="460">
        <v>1367</v>
      </c>
      <c r="B2986" s="460">
        <v>1367</v>
      </c>
      <c r="C2986" s="460"/>
      <c r="D2986" s="460"/>
      <c r="E2986" s="461">
        <v>1</v>
      </c>
      <c r="F2986" s="462" t="s">
        <v>22121</v>
      </c>
      <c r="G2986" s="477" t="s">
        <v>22122</v>
      </c>
      <c r="H2986" s="478" t="s">
        <v>15528</v>
      </c>
      <c r="I2986" s="479"/>
      <c r="J2986" s="480"/>
      <c r="K2986" s="466">
        <f>SUM(K2987:K2997)</f>
        <v>65.534682038249855</v>
      </c>
      <c r="L2986" s="480"/>
      <c r="M2986" s="466">
        <f>SUM(M2987:M2997)</f>
        <v>65.101275323885517</v>
      </c>
      <c r="N2986" s="467" t="s">
        <v>22107</v>
      </c>
      <c r="O2986" s="434" t="str">
        <f t="shared" si="1614"/>
        <v xml:space="preserve">SEM VALOR</v>
      </c>
      <c r="P2986" s="435" t="str">
        <f t="shared" si="1615"/>
        <v xml:space="preserve">SEM VALOR</v>
      </c>
      <c r="AE2986" s="460">
        <v>1367</v>
      </c>
      <c r="AF2986" s="460"/>
      <c r="AH2986">
        <f t="shared" si="1624"/>
        <v>1367</v>
      </c>
    </row>
    <row r="2987" ht="24" customHeight="1">
      <c r="A2987" s="217"/>
      <c r="B2987" s="217">
        <v>1367</v>
      </c>
      <c r="C2987" s="217"/>
      <c r="D2987" s="217" t="s">
        <v>20644</v>
      </c>
      <c r="E2987" s="471" t="s">
        <v>20399</v>
      </c>
      <c r="F2987" s="489" t="s">
        <v>15400</v>
      </c>
      <c r="G2987" s="488" t="s">
        <v>22110</v>
      </c>
      <c r="H2987" s="482" t="s">
        <v>31</v>
      </c>
      <c r="I2987" s="509">
        <v>9.5000000000000001e-002</v>
      </c>
      <c r="J2987" s="473">
        <f t="shared" si="1629"/>
        <v>54.57</v>
      </c>
      <c r="K2987" s="474">
        <f t="shared" ref="K2987:K2997" si="1630">I2987*J2987</f>
        <v>5.1841499999999998</v>
      </c>
      <c r="L2987" s="475">
        <f t="shared" si="1617"/>
        <v>54.57</v>
      </c>
      <c r="M2987" s="474">
        <f t="shared" ref="M2987:M2997" si="1631">L2987*I2987</f>
        <v>5.1841499999999998</v>
      </c>
      <c r="N2987" s="467" t="s">
        <v>22109</v>
      </c>
      <c r="O2987" s="434">
        <f t="shared" si="1614"/>
        <v>54.57</v>
      </c>
      <c r="P2987" s="435">
        <f t="shared" si="1615"/>
        <v>54.57</v>
      </c>
      <c r="AE2987" s="217"/>
      <c r="AF2987" s="217">
        <v>1367</v>
      </c>
      <c r="AH2987">
        <f t="shared" si="1624"/>
        <v>1367</v>
      </c>
    </row>
    <row r="2988" ht="30">
      <c r="A2988" s="217"/>
      <c r="B2988" s="217">
        <v>1367</v>
      </c>
      <c r="C2988" s="217"/>
      <c r="D2988" s="217" t="s">
        <v>20644</v>
      </c>
      <c r="E2988" s="471" t="s">
        <v>20402</v>
      </c>
      <c r="F2988" s="489" t="s">
        <v>15402</v>
      </c>
      <c r="G2988" s="488" t="s">
        <v>22111</v>
      </c>
      <c r="H2988" s="482" t="s">
        <v>31</v>
      </c>
      <c r="I2988" s="509">
        <v>1.0499999999999999e-003</v>
      </c>
      <c r="J2988" s="473">
        <f t="shared" si="1629"/>
        <v>541.11000000000001</v>
      </c>
      <c r="K2988" s="474">
        <f t="shared" si="1630"/>
        <v>0.56816549999999999</v>
      </c>
      <c r="L2988" s="475">
        <f t="shared" si="1617"/>
        <v>541.11000000000001</v>
      </c>
      <c r="M2988" s="474">
        <f t="shared" si="1631"/>
        <v>0.56816549999999999</v>
      </c>
      <c r="N2988" s="616">
        <v>36.340000000000003</v>
      </c>
      <c r="O2988" s="434">
        <f t="shared" ref="O2988:O3051" si="1632">IFERROR(IF(D2988="SINAPI",VLOOKUP(F2988,SINCOMOD,4,FALSE),IF(D2988="INSINAPI",VLOOKUP(F2988,INSINOD,5,FALSE),IF(D2988="SICRO",VLOOKUP(F2988,SICRO,5,FALSE),IF(D2988="COTACAO",VLOOKUP(F2988,COTACAO,6,FALSE),IF(D2988="PRÓPRIO",VLOOKUP(F2988,COMPOD,11,FALSE),IF(D2988="AGESUL",VLOOKUP(F2988,AGESULOD,6,FALSE),IF(D2988="INSAGESUL",VLOOKUP(F2988,INSAGESUL,7,FALSE),"SEM VALOR"))))))),"SEM VALOR")</f>
        <v>541.11000000000001</v>
      </c>
      <c r="P2988" s="435">
        <f t="shared" ref="P2988:P3051" si="1633">IFERROR(IF(D2988="SINAPI",VLOOKUP(F2988,SINCOMOD,6,FALSE),IF(D2988="INSINAPI",VLOOKUP(F2988,INSINOD,6,FALSE),IF(D2988="SICRO",VLOOKUP(F2988,SICRO,5,FALSE),IF(D2988="COTACAO",VLOOKUP(F2988,COTACAO,6,FALSE),IF(D2988="PRÓPRIO",VLOOKUP(F2988,COMPOD,13,FALSE),IF(D2988="AGESUL",VLOOKUP(F2988,AGESULOD,11,FALSE),IF(D2988="INSAGESUL",VLOOKUP(F2988,INSAGESUL,8,FALSE),"SEM VALOR"))))))),"SEM VALOR")</f>
        <v>541.11000000000001</v>
      </c>
      <c r="AE2988" s="217"/>
      <c r="AF2988" s="217">
        <v>1367</v>
      </c>
      <c r="AH2988">
        <f t="shared" si="1624"/>
        <v>1367</v>
      </c>
    </row>
    <row r="2989" ht="30">
      <c r="A2989" s="217"/>
      <c r="B2989" s="217">
        <v>1367</v>
      </c>
      <c r="C2989" s="217"/>
      <c r="D2989" s="217" t="s">
        <v>17167</v>
      </c>
      <c r="E2989" s="471" t="s">
        <v>20405</v>
      </c>
      <c r="F2989" s="482">
        <v>88316</v>
      </c>
      <c r="G2989" s="470" t="s">
        <v>7393</v>
      </c>
      <c r="H2989" s="482" t="s">
        <v>2032</v>
      </c>
      <c r="I2989" s="509">
        <f>6/N2988</f>
        <v>0.16510731975784257</v>
      </c>
      <c r="J2989" s="473">
        <f t="shared" si="1629"/>
        <v>22.760000000000002</v>
      </c>
      <c r="K2989" s="474">
        <f t="shared" si="1630"/>
        <v>3.757842597688497</v>
      </c>
      <c r="L2989" s="475">
        <f t="shared" ref="L2989:L3052" si="1634">P2989*$L$3</f>
        <v>21.550000000000001</v>
      </c>
      <c r="M2989" s="474">
        <f t="shared" si="1631"/>
        <v>3.5580627407815073</v>
      </c>
      <c r="O2989" s="434">
        <f t="shared" si="1632"/>
        <v>22.760000000000002</v>
      </c>
      <c r="P2989" s="435">
        <f t="shared" si="1633"/>
        <v>21.550000000000001</v>
      </c>
      <c r="AE2989" s="217"/>
      <c r="AF2989" s="217">
        <v>1367</v>
      </c>
      <c r="AH2989">
        <f t="shared" si="1624"/>
        <v>1367</v>
      </c>
    </row>
    <row r="2990" ht="105">
      <c r="A2990" s="217"/>
      <c r="B2990" s="217">
        <v>1367</v>
      </c>
      <c r="C2990" s="217"/>
      <c r="D2990" s="217" t="s">
        <v>17167</v>
      </c>
      <c r="E2990" s="471" t="s">
        <v>20409</v>
      </c>
      <c r="F2990" s="489">
        <v>5901</v>
      </c>
      <c r="G2990" s="470" t="s">
        <v>22114</v>
      </c>
      <c r="H2990" s="471" t="s">
        <v>1535</v>
      </c>
      <c r="I2990" s="509">
        <f>0.64*2/N2988</f>
        <v>3.5222894881673086e-002</v>
      </c>
      <c r="J2990" s="473">
        <f t="shared" si="1629"/>
        <v>346.31999999999999</v>
      </c>
      <c r="K2990" s="474">
        <f t="shared" si="1630"/>
        <v>12.198392955421022</v>
      </c>
      <c r="L2990" s="475">
        <f t="shared" si="1634"/>
        <v>344.72000000000003</v>
      </c>
      <c r="M2990" s="474">
        <f t="shared" si="1631"/>
        <v>12.142036323610347</v>
      </c>
      <c r="O2990" s="434">
        <f t="shared" si="1632"/>
        <v>346.31999999999999</v>
      </c>
      <c r="P2990" s="435">
        <f t="shared" si="1633"/>
        <v>344.72000000000003</v>
      </c>
      <c r="AE2990" s="217"/>
      <c r="AF2990" s="217">
        <v>1367</v>
      </c>
      <c r="AH2990">
        <f t="shared" si="1624"/>
        <v>1367</v>
      </c>
    </row>
    <row r="2991" ht="105">
      <c r="A2991" s="217"/>
      <c r="B2991" s="217">
        <v>1367</v>
      </c>
      <c r="C2991" s="217"/>
      <c r="D2991" s="217" t="s">
        <v>17167</v>
      </c>
      <c r="E2991" s="471" t="s">
        <v>20663</v>
      </c>
      <c r="F2991" s="489">
        <v>5903</v>
      </c>
      <c r="G2991" s="470" t="s">
        <v>22115</v>
      </c>
      <c r="H2991" s="471" t="s">
        <v>1533</v>
      </c>
      <c r="I2991" s="509">
        <f>0.36*2/N2988</f>
        <v>1.981287837094111e-002</v>
      </c>
      <c r="J2991" s="473">
        <f t="shared" si="1629"/>
        <v>73.879999999999995</v>
      </c>
      <c r="K2991" s="474">
        <f t="shared" si="1630"/>
        <v>1.4637754540451291</v>
      </c>
      <c r="L2991" s="475">
        <f t="shared" si="1634"/>
        <v>72.280000000000001</v>
      </c>
      <c r="M2991" s="474">
        <f t="shared" si="1631"/>
        <v>1.4320748486516235</v>
      </c>
      <c r="O2991" s="434">
        <f t="shared" si="1632"/>
        <v>73.879999999999995</v>
      </c>
      <c r="P2991" s="435">
        <f t="shared" si="1633"/>
        <v>72.280000000000001</v>
      </c>
      <c r="AE2991" s="217"/>
      <c r="AF2991" s="217">
        <v>1367</v>
      </c>
      <c r="AH2991">
        <f t="shared" si="1624"/>
        <v>1367</v>
      </c>
    </row>
    <row r="2992" ht="60">
      <c r="A2992" s="217"/>
      <c r="B2992" s="217">
        <v>1367</v>
      </c>
      <c r="C2992" s="217"/>
      <c r="D2992" s="217" t="s">
        <v>17167</v>
      </c>
      <c r="E2992" s="471" t="s">
        <v>20665</v>
      </c>
      <c r="F2992" s="489">
        <v>89250</v>
      </c>
      <c r="G2992" s="470" t="s">
        <v>1867</v>
      </c>
      <c r="H2992" s="471" t="s">
        <v>1535</v>
      </c>
      <c r="I2992" s="509">
        <f>1/N2988</f>
        <v>2.7517886626307098e-002</v>
      </c>
      <c r="J2992" s="473">
        <f t="shared" si="1629"/>
        <v>1229.3800000000001</v>
      </c>
      <c r="K2992" s="474">
        <f t="shared" si="1630"/>
        <v>33.82993946064942</v>
      </c>
      <c r="L2992" s="475">
        <f t="shared" si="1634"/>
        <v>1227.49</v>
      </c>
      <c r="M2992" s="474">
        <f t="shared" si="1631"/>
        <v>33.777930654925697</v>
      </c>
      <c r="O2992" s="434">
        <f t="shared" si="1632"/>
        <v>1229.3800000000001</v>
      </c>
      <c r="P2992" s="435">
        <f t="shared" si="1633"/>
        <v>1227.49</v>
      </c>
      <c r="AE2992" s="217"/>
      <c r="AF2992" s="217">
        <v>1367</v>
      </c>
      <c r="AH2992">
        <f t="shared" si="1624"/>
        <v>1367</v>
      </c>
    </row>
    <row r="2993" ht="60">
      <c r="A2993" s="217"/>
      <c r="B2993" s="217">
        <v>1367</v>
      </c>
      <c r="C2993" s="217"/>
      <c r="D2993" s="217" t="s">
        <v>17167</v>
      </c>
      <c r="E2993" s="471" t="s">
        <v>20667</v>
      </c>
      <c r="F2993" s="489">
        <v>89251</v>
      </c>
      <c r="G2993" s="470" t="s">
        <v>1866</v>
      </c>
      <c r="H2993" s="471" t="s">
        <v>1533</v>
      </c>
      <c r="I2993" s="509">
        <v>0</v>
      </c>
      <c r="J2993" s="473">
        <f t="shared" si="1629"/>
        <v>356.70999999999998</v>
      </c>
      <c r="K2993" s="474">
        <f t="shared" si="1630"/>
        <v>0</v>
      </c>
      <c r="L2993" s="475">
        <f t="shared" si="1634"/>
        <v>354.81999999999999</v>
      </c>
      <c r="M2993" s="474">
        <f t="shared" si="1631"/>
        <v>0</v>
      </c>
      <c r="O2993" s="434">
        <f t="shared" si="1632"/>
        <v>356.70999999999998</v>
      </c>
      <c r="P2993" s="435">
        <f t="shared" si="1633"/>
        <v>354.81999999999999</v>
      </c>
      <c r="AE2993" s="217"/>
      <c r="AF2993" s="217">
        <v>1367</v>
      </c>
      <c r="AH2993">
        <f t="shared" si="1624"/>
        <v>1367</v>
      </c>
    </row>
    <row r="2994" ht="90">
      <c r="A2994" s="217"/>
      <c r="B2994" s="217">
        <v>1367</v>
      </c>
      <c r="C2994" s="217"/>
      <c r="D2994" s="217" t="s">
        <v>17167</v>
      </c>
      <c r="E2994" s="471" t="s">
        <v>20671</v>
      </c>
      <c r="F2994" s="489">
        <v>6879</v>
      </c>
      <c r="G2994" s="470" t="s">
        <v>1877</v>
      </c>
      <c r="H2994" s="471" t="s">
        <v>1535</v>
      </c>
      <c r="I2994" s="509">
        <f>0.52/N2988</f>
        <v>1.4309301045679691e-002</v>
      </c>
      <c r="J2994" s="473">
        <f t="shared" si="1629"/>
        <v>212.56</v>
      </c>
      <c r="K2994" s="474">
        <f t="shared" si="1630"/>
        <v>3.0415850302696752</v>
      </c>
      <c r="L2994" s="475">
        <f t="shared" si="1634"/>
        <v>210.86000000000001</v>
      </c>
      <c r="M2994" s="474">
        <f t="shared" si="1631"/>
        <v>3.0172592184920197</v>
      </c>
      <c r="O2994" s="434">
        <f t="shared" si="1632"/>
        <v>212.56</v>
      </c>
      <c r="P2994" s="435">
        <f t="shared" si="1633"/>
        <v>210.86000000000001</v>
      </c>
      <c r="AE2994" s="217"/>
      <c r="AF2994" s="217">
        <v>1367</v>
      </c>
      <c r="AH2994">
        <f t="shared" si="1624"/>
        <v>1367</v>
      </c>
    </row>
    <row r="2995" ht="90">
      <c r="A2995" s="217"/>
      <c r="B2995" s="217">
        <v>1367</v>
      </c>
      <c r="C2995" s="217"/>
      <c r="D2995" s="217" t="s">
        <v>17167</v>
      </c>
      <c r="E2995" s="471" t="s">
        <v>20672</v>
      </c>
      <c r="F2995" s="489">
        <v>6880</v>
      </c>
      <c r="G2995" s="470" t="s">
        <v>1876</v>
      </c>
      <c r="H2995" s="471" t="s">
        <v>1533</v>
      </c>
      <c r="I2995" s="509">
        <f>0.48/N2988</f>
        <v>1.3208585580627406e-002</v>
      </c>
      <c r="J2995" s="473">
        <f t="shared" si="1629"/>
        <v>84.219999999999999</v>
      </c>
      <c r="K2995" s="474">
        <f t="shared" si="1630"/>
        <v>1.1124270776004401</v>
      </c>
      <c r="L2995" s="475">
        <f t="shared" si="1634"/>
        <v>82.519999999999996</v>
      </c>
      <c r="M2995" s="474">
        <f t="shared" si="1631"/>
        <v>1.0899724821133734</v>
      </c>
      <c r="O2995" s="434">
        <f t="shared" si="1632"/>
        <v>84.219999999999999</v>
      </c>
      <c r="P2995" s="435">
        <f t="shared" si="1633"/>
        <v>82.519999999999996</v>
      </c>
      <c r="AE2995" s="217"/>
      <c r="AF2995" s="217">
        <v>1367</v>
      </c>
      <c r="AH2995">
        <f t="shared" si="1624"/>
        <v>1367</v>
      </c>
    </row>
    <row r="2996" ht="105">
      <c r="A2996" s="217"/>
      <c r="B2996" s="217">
        <v>1367</v>
      </c>
      <c r="C2996" s="217"/>
      <c r="D2996" s="217" t="s">
        <v>17167</v>
      </c>
      <c r="E2996" s="471" t="s">
        <v>20673</v>
      </c>
      <c r="F2996" s="489">
        <v>7049</v>
      </c>
      <c r="G2996" s="488" t="s">
        <v>21764</v>
      </c>
      <c r="H2996" s="471" t="s">
        <v>1535</v>
      </c>
      <c r="I2996" s="509">
        <f>0.54/N2988</f>
        <v>1.4859658778205833e-002</v>
      </c>
      <c r="J2996" s="473">
        <f t="shared" si="1629"/>
        <v>228.24000000000001</v>
      </c>
      <c r="K2996" s="474">
        <f t="shared" si="1630"/>
        <v>3.3915685195376994</v>
      </c>
      <c r="L2996" s="475">
        <f t="shared" si="1634"/>
        <v>226.53999999999999</v>
      </c>
      <c r="M2996" s="474">
        <f t="shared" si="1631"/>
        <v>3.3663070996147493</v>
      </c>
      <c r="O2996" s="434">
        <f t="shared" si="1632"/>
        <v>228.24000000000001</v>
      </c>
      <c r="P2996" s="435">
        <f t="shared" si="1633"/>
        <v>226.53999999999999</v>
      </c>
      <c r="AE2996" s="217"/>
      <c r="AF2996" s="217">
        <v>1367</v>
      </c>
      <c r="AH2996">
        <f t="shared" si="1624"/>
        <v>1367</v>
      </c>
    </row>
    <row r="2997" ht="105">
      <c r="A2997" s="217"/>
      <c r="B2997" s="217">
        <v>1367</v>
      </c>
      <c r="C2997" s="217"/>
      <c r="D2997" s="217" t="s">
        <v>17167</v>
      </c>
      <c r="E2997" s="471" t="s">
        <v>20675</v>
      </c>
      <c r="F2997" s="489">
        <v>7050</v>
      </c>
      <c r="G2997" s="488" t="s">
        <v>21765</v>
      </c>
      <c r="H2997" s="471" t="s">
        <v>1533</v>
      </c>
      <c r="I2997" s="509">
        <f>0.46/N2988</f>
        <v>1.2658227848101266e-002</v>
      </c>
      <c r="J2997" s="473">
        <f t="shared" si="1629"/>
        <v>77.959999999999994</v>
      </c>
      <c r="K2997" s="474">
        <f t="shared" si="1630"/>
        <v>0.98683544303797455</v>
      </c>
      <c r="L2997" s="475">
        <f t="shared" si="1634"/>
        <v>76.260000000000005</v>
      </c>
      <c r="M2997" s="474">
        <f t="shared" si="1631"/>
        <v>0.96531645569620261</v>
      </c>
      <c r="O2997" s="434">
        <f t="shared" si="1632"/>
        <v>77.959999999999994</v>
      </c>
      <c r="P2997" s="435">
        <f t="shared" si="1633"/>
        <v>76.260000000000005</v>
      </c>
      <c r="AE2997" s="217"/>
      <c r="AF2997" s="217">
        <v>1367</v>
      </c>
      <c r="AH2997">
        <f t="shared" si="1624"/>
        <v>1367</v>
      </c>
    </row>
    <row r="2998" ht="47.25">
      <c r="A2998" s="460">
        <v>1368</v>
      </c>
      <c r="B2998" s="460">
        <v>1368</v>
      </c>
      <c r="C2998" s="460"/>
      <c r="D2998" s="460"/>
      <c r="E2998" s="461">
        <v>1</v>
      </c>
      <c r="F2998" s="462" t="s">
        <v>22123</v>
      </c>
      <c r="G2998" s="477" t="s">
        <v>22124</v>
      </c>
      <c r="H2998" s="478" t="s">
        <v>15528</v>
      </c>
      <c r="I2998" s="479"/>
      <c r="J2998" s="480"/>
      <c r="K2998" s="466">
        <f>SUM(K2999:K3007)</f>
        <v>73.357220390243896</v>
      </c>
      <c r="L2998" s="480"/>
      <c r="M2998" s="466">
        <f>SUM(M2999:M3007)</f>
        <v>73.174090308943093</v>
      </c>
      <c r="N2998" s="467" t="s">
        <v>22125</v>
      </c>
      <c r="O2998" s="434" t="str">
        <f t="shared" si="1632"/>
        <v xml:space="preserve">SEM VALOR</v>
      </c>
      <c r="P2998" s="435" t="str">
        <f t="shared" si="1633"/>
        <v xml:space="preserve">SEM VALOR</v>
      </c>
      <c r="AE2998" s="460">
        <v>1368</v>
      </c>
      <c r="AF2998" s="460"/>
      <c r="AH2998">
        <f t="shared" si="1624"/>
        <v>1368</v>
      </c>
    </row>
    <row r="2999">
      <c r="A2999" s="217"/>
      <c r="B2999" s="217">
        <v>1368</v>
      </c>
      <c r="C2999" s="217"/>
      <c r="D2999" s="217" t="s">
        <v>20408</v>
      </c>
      <c r="E2999" s="471" t="s">
        <v>20399</v>
      </c>
      <c r="F2999" s="469">
        <v>44472</v>
      </c>
      <c r="G2999" s="470" t="s">
        <v>12141</v>
      </c>
      <c r="H2999" s="499" t="s">
        <v>31</v>
      </c>
      <c r="I2999" s="483">
        <v>0.64800000000000002</v>
      </c>
      <c r="J2999" s="473">
        <f t="shared" si="1629"/>
        <v>56.189999999999998</v>
      </c>
      <c r="K2999" s="474">
        <f t="shared" ref="K2999:K3007" si="1635">I2999*J2999</f>
        <v>36.411119999999997</v>
      </c>
      <c r="L2999" s="475">
        <f t="shared" si="1634"/>
        <v>56.189999999999998</v>
      </c>
      <c r="M2999" s="474">
        <f t="shared" ref="M2999:M3007" si="1636">L2999*I2999</f>
        <v>36.411119999999997</v>
      </c>
      <c r="N2999" s="467" t="s">
        <v>22126</v>
      </c>
      <c r="O2999" s="434">
        <f t="shared" si="1632"/>
        <v>56.189999999999998</v>
      </c>
      <c r="P2999" s="435">
        <f t="shared" si="1633"/>
        <v>56.189999999999998</v>
      </c>
      <c r="AE2999" s="217"/>
      <c r="AF2999" s="217">
        <v>1368</v>
      </c>
      <c r="AH2999">
        <f t="shared" si="1624"/>
        <v>1368</v>
      </c>
    </row>
    <row r="3000">
      <c r="A3000" s="217"/>
      <c r="B3000" s="217">
        <v>1368</v>
      </c>
      <c r="C3000" s="217"/>
      <c r="D3000" s="217" t="s">
        <v>20408</v>
      </c>
      <c r="E3000" s="471" t="s">
        <v>20402</v>
      </c>
      <c r="F3000" s="469">
        <v>44471</v>
      </c>
      <c r="G3000" s="488" t="s">
        <v>13953</v>
      </c>
      <c r="H3000" s="499" t="s">
        <v>31</v>
      </c>
      <c r="I3000" s="483">
        <v>1.3600000000000001e-003</v>
      </c>
      <c r="J3000" s="473">
        <f t="shared" si="1629"/>
        <v>529.10000000000002</v>
      </c>
      <c r="K3000" s="474">
        <f t="shared" si="1635"/>
        <v>0.7195760000000001</v>
      </c>
      <c r="L3000" s="475">
        <f t="shared" si="1634"/>
        <v>529.10000000000002</v>
      </c>
      <c r="M3000" s="474">
        <f t="shared" si="1636"/>
        <v>0.7195760000000001</v>
      </c>
      <c r="N3000" s="621">
        <v>49.200000000000003</v>
      </c>
      <c r="O3000" s="434">
        <f t="shared" si="1632"/>
        <v>529.10000000000002</v>
      </c>
      <c r="P3000" s="435">
        <f t="shared" si="1633"/>
        <v>529.10000000000002</v>
      </c>
      <c r="AE3000" s="217"/>
      <c r="AF3000" s="217">
        <v>1368</v>
      </c>
      <c r="AH3000">
        <f t="shared" si="1624"/>
        <v>1368</v>
      </c>
    </row>
    <row r="3001" ht="30">
      <c r="A3001" s="217"/>
      <c r="B3001" s="217">
        <v>1368</v>
      </c>
      <c r="C3001" s="217"/>
      <c r="D3001" s="217" t="s">
        <v>17167</v>
      </c>
      <c r="E3001" s="471" t="s">
        <v>20405</v>
      </c>
      <c r="F3001" s="469">
        <v>88316</v>
      </c>
      <c r="G3001" s="470" t="s">
        <v>7393</v>
      </c>
      <c r="H3001" s="499" t="s">
        <v>2032</v>
      </c>
      <c r="I3001" s="483">
        <f>3/N3000</f>
        <v>6.097560975609756e-002</v>
      </c>
      <c r="J3001" s="473">
        <f t="shared" si="1629"/>
        <v>22.760000000000002</v>
      </c>
      <c r="K3001" s="474">
        <f t="shared" si="1635"/>
        <v>1.3878048780487806</v>
      </c>
      <c r="L3001" s="475">
        <f t="shared" si="1634"/>
        <v>21.550000000000001</v>
      </c>
      <c r="M3001" s="474">
        <f t="shared" si="1636"/>
        <v>1.3140243902439024</v>
      </c>
      <c r="O3001" s="434">
        <f t="shared" si="1632"/>
        <v>22.760000000000002</v>
      </c>
      <c r="P3001" s="435">
        <f t="shared" si="1633"/>
        <v>21.550000000000001</v>
      </c>
      <c r="AE3001" s="217"/>
      <c r="AF3001" s="217">
        <v>1368</v>
      </c>
      <c r="AH3001">
        <f t="shared" si="1624"/>
        <v>1368</v>
      </c>
    </row>
    <row r="3002" ht="105">
      <c r="A3002" s="217"/>
      <c r="B3002" s="217">
        <v>1368</v>
      </c>
      <c r="C3002" s="217"/>
      <c r="D3002" s="217" t="s">
        <v>17167</v>
      </c>
      <c r="E3002" s="471" t="s">
        <v>20409</v>
      </c>
      <c r="F3002" s="469">
        <v>5901</v>
      </c>
      <c r="G3002" s="470" t="s">
        <v>1593</v>
      </c>
      <c r="H3002" s="499" t="s">
        <v>1535</v>
      </c>
      <c r="I3002" s="483">
        <f>0.27/N3000</f>
        <v>5.4878048780487802e-003</v>
      </c>
      <c r="J3002" s="473">
        <f t="shared" si="1629"/>
        <v>346.31999999999999</v>
      </c>
      <c r="K3002" s="474">
        <f t="shared" si="1635"/>
        <v>1.9005365853658536</v>
      </c>
      <c r="L3002" s="475">
        <f t="shared" si="1634"/>
        <v>344.72000000000003</v>
      </c>
      <c r="M3002" s="474">
        <f t="shared" si="1636"/>
        <v>1.8917560975609757</v>
      </c>
      <c r="O3002" s="434">
        <f t="shared" si="1632"/>
        <v>346.31999999999999</v>
      </c>
      <c r="P3002" s="435">
        <f t="shared" si="1633"/>
        <v>344.72000000000003</v>
      </c>
      <c r="AE3002" s="217"/>
      <c r="AF3002" s="217">
        <v>1368</v>
      </c>
      <c r="AH3002">
        <f t="shared" si="1624"/>
        <v>1368</v>
      </c>
    </row>
    <row r="3003" ht="105">
      <c r="A3003" s="217"/>
      <c r="B3003" s="217">
        <v>1368</v>
      </c>
      <c r="C3003" s="217"/>
      <c r="D3003" s="217" t="s">
        <v>17167</v>
      </c>
      <c r="E3003" s="471" t="s">
        <v>20663</v>
      </c>
      <c r="F3003" s="469">
        <v>5903</v>
      </c>
      <c r="G3003" s="470" t="s">
        <v>1592</v>
      </c>
      <c r="H3003" s="499" t="s">
        <v>1533</v>
      </c>
      <c r="I3003" s="483">
        <f>0.73/N3000</f>
        <v>1.4837398373983738e-002</v>
      </c>
      <c r="J3003" s="473">
        <f t="shared" si="1629"/>
        <v>73.879999999999995</v>
      </c>
      <c r="K3003" s="474">
        <f t="shared" si="1635"/>
        <v>1.0961869918699185</v>
      </c>
      <c r="L3003" s="475">
        <f t="shared" si="1634"/>
        <v>72.280000000000001</v>
      </c>
      <c r="M3003" s="474">
        <f t="shared" si="1636"/>
        <v>1.0724471544715446</v>
      </c>
      <c r="O3003" s="434">
        <f t="shared" si="1632"/>
        <v>73.879999999999995</v>
      </c>
      <c r="P3003" s="435">
        <f t="shared" si="1633"/>
        <v>72.280000000000001</v>
      </c>
      <c r="AE3003" s="217"/>
      <c r="AF3003" s="217">
        <v>1368</v>
      </c>
      <c r="AH3003">
        <f t="shared" si="1624"/>
        <v>1368</v>
      </c>
    </row>
    <row r="3004" ht="60">
      <c r="A3004" s="217"/>
      <c r="B3004" s="217">
        <v>1368</v>
      </c>
      <c r="C3004" s="217"/>
      <c r="D3004" s="217" t="s">
        <v>17167</v>
      </c>
      <c r="E3004" s="471" t="s">
        <v>20665</v>
      </c>
      <c r="F3004" s="469">
        <v>89242</v>
      </c>
      <c r="G3004" s="470" t="s">
        <v>1691</v>
      </c>
      <c r="H3004" s="499" t="s">
        <v>1535</v>
      </c>
      <c r="I3004" s="483">
        <f>1/N3000</f>
        <v>2.032520325203252e-002</v>
      </c>
      <c r="J3004" s="473">
        <f t="shared" si="1629"/>
        <v>1419.71</v>
      </c>
      <c r="K3004" s="474">
        <f t="shared" si="1635"/>
        <v>28.855894308943089</v>
      </c>
      <c r="L3004" s="475">
        <f t="shared" si="1634"/>
        <v>1417.8199999999999</v>
      </c>
      <c r="M3004" s="474">
        <f t="shared" si="1636"/>
        <v>28.817479674796747</v>
      </c>
      <c r="O3004" s="434">
        <f t="shared" si="1632"/>
        <v>1419.71</v>
      </c>
      <c r="P3004" s="435">
        <f t="shared" si="1633"/>
        <v>1417.8199999999999</v>
      </c>
      <c r="AE3004" s="217"/>
      <c r="AF3004" s="217">
        <v>1368</v>
      </c>
      <c r="AH3004">
        <f t="shared" si="1624"/>
        <v>1368</v>
      </c>
    </row>
    <row r="3005" ht="75">
      <c r="A3005" s="217"/>
      <c r="B3005" s="217">
        <v>1368</v>
      </c>
      <c r="C3005" s="217"/>
      <c r="D3005" s="217" t="s">
        <v>17167</v>
      </c>
      <c r="E3005" s="471" t="s">
        <v>20667</v>
      </c>
      <c r="F3005" s="469">
        <v>96158</v>
      </c>
      <c r="G3005" s="470" t="s">
        <v>1767</v>
      </c>
      <c r="H3005" s="499" t="s">
        <v>1535</v>
      </c>
      <c r="I3005" s="483">
        <f>0.82/N3000</f>
        <v>1.6666666666666666e-002</v>
      </c>
      <c r="J3005" s="473">
        <f t="shared" si="1629"/>
        <v>156.81999999999999</v>
      </c>
      <c r="K3005" s="474">
        <f t="shared" si="1635"/>
        <v>2.6136666666666666</v>
      </c>
      <c r="L3005" s="475">
        <f t="shared" si="1634"/>
        <v>154.93000000000001</v>
      </c>
      <c r="M3005" s="474">
        <f t="shared" si="1636"/>
        <v>2.5821666666666667</v>
      </c>
      <c r="O3005" s="434">
        <f t="shared" si="1632"/>
        <v>156.81999999999999</v>
      </c>
      <c r="P3005" s="435">
        <f t="shared" si="1633"/>
        <v>154.93000000000001</v>
      </c>
      <c r="AE3005" s="217"/>
      <c r="AF3005" s="217">
        <v>1368</v>
      </c>
      <c r="AH3005">
        <f t="shared" si="1624"/>
        <v>1368</v>
      </c>
    </row>
    <row r="3006" ht="75">
      <c r="A3006" s="217"/>
      <c r="B3006" s="217">
        <v>1368</v>
      </c>
      <c r="C3006" s="217"/>
      <c r="D3006" s="217" t="s">
        <v>17167</v>
      </c>
      <c r="E3006" s="471" t="s">
        <v>20671</v>
      </c>
      <c r="F3006" s="469">
        <v>96156</v>
      </c>
      <c r="G3006" s="470" t="s">
        <v>1766</v>
      </c>
      <c r="H3006" s="499" t="s">
        <v>1533</v>
      </c>
      <c r="I3006" s="483">
        <f>0.18/N3000</f>
        <v>3.6585365853658534e-003</v>
      </c>
      <c r="J3006" s="473">
        <f t="shared" si="1629"/>
        <v>70.409999999999997</v>
      </c>
      <c r="K3006" s="474">
        <f t="shared" si="1635"/>
        <v>0.25759756097560971</v>
      </c>
      <c r="L3006" s="475">
        <f t="shared" si="1634"/>
        <v>68.519999999999996</v>
      </c>
      <c r="M3006" s="474">
        <f t="shared" si="1636"/>
        <v>0.25068292682926824</v>
      </c>
      <c r="O3006" s="434">
        <f t="shared" si="1632"/>
        <v>70.409999999999997</v>
      </c>
      <c r="P3006" s="435">
        <f t="shared" si="1633"/>
        <v>68.519999999999996</v>
      </c>
      <c r="AE3006" s="217"/>
      <c r="AF3006" s="217">
        <v>1368</v>
      </c>
      <c r="AH3006">
        <f t="shared" si="1624"/>
        <v>1368</v>
      </c>
    </row>
    <row r="3007">
      <c r="A3007" s="217"/>
      <c r="B3007" s="217">
        <v>1368</v>
      </c>
      <c r="C3007" s="217"/>
      <c r="D3007" s="217" t="s">
        <v>20644</v>
      </c>
      <c r="E3007" s="471" t="s">
        <v>20672</v>
      </c>
      <c r="F3007" s="469" t="s">
        <v>15502</v>
      </c>
      <c r="G3007" s="488" t="s">
        <v>22127</v>
      </c>
      <c r="H3007" s="482" t="s">
        <v>1535</v>
      </c>
      <c r="I3007" s="483">
        <f>1/N3000</f>
        <v>2.032520325203252e-002</v>
      </c>
      <c r="J3007" s="473">
        <f t="shared" si="1629"/>
        <v>5.6500000000000004</v>
      </c>
      <c r="K3007" s="474">
        <f t="shared" si="1635"/>
        <v>0.11483739837398374</v>
      </c>
      <c r="L3007" s="475">
        <f t="shared" si="1634"/>
        <v>5.6500000000000004</v>
      </c>
      <c r="M3007" s="474">
        <f t="shared" si="1636"/>
        <v>0.11483739837398374</v>
      </c>
      <c r="O3007" s="434">
        <f t="shared" si="1632"/>
        <v>5.6500000000000004</v>
      </c>
      <c r="P3007" s="435">
        <f t="shared" si="1633"/>
        <v>5.6500000000000004</v>
      </c>
      <c r="AE3007" s="217"/>
      <c r="AF3007" s="217">
        <v>1368</v>
      </c>
      <c r="AH3007">
        <f t="shared" si="1624"/>
        <v>1368</v>
      </c>
    </row>
    <row r="3008" ht="50.25" customHeight="1">
      <c r="A3008" s="460">
        <v>1369</v>
      </c>
      <c r="B3008" s="460">
        <v>1369</v>
      </c>
      <c r="C3008" s="460"/>
      <c r="D3008" s="460"/>
      <c r="E3008" s="461">
        <v>1</v>
      </c>
      <c r="F3008" s="462" t="s">
        <v>22128</v>
      </c>
      <c r="G3008" s="477" t="s">
        <v>22129</v>
      </c>
      <c r="H3008" s="478" t="s">
        <v>15528</v>
      </c>
      <c r="I3008" s="479"/>
      <c r="J3008" s="480"/>
      <c r="K3008" s="466">
        <f>SUM(K3009:K3017)</f>
        <v>57.741063469879528</v>
      </c>
      <c r="L3008" s="480"/>
      <c r="M3008" s="466">
        <f>SUM(M3009:M3017)</f>
        <v>57.607328530120483</v>
      </c>
      <c r="N3008" s="467" t="s">
        <v>22130</v>
      </c>
      <c r="O3008" s="434" t="str">
        <f t="shared" si="1632"/>
        <v xml:space="preserve">SEM VALOR</v>
      </c>
      <c r="P3008" s="435" t="str">
        <f t="shared" si="1633"/>
        <v xml:space="preserve">SEM VALOR</v>
      </c>
      <c r="AE3008" s="460">
        <v>1369</v>
      </c>
      <c r="AF3008" s="460"/>
      <c r="AH3008">
        <f t="shared" si="1624"/>
        <v>1369</v>
      </c>
    </row>
    <row r="3009">
      <c r="A3009" s="217"/>
      <c r="B3009" s="217">
        <v>1369</v>
      </c>
      <c r="C3009" s="217"/>
      <c r="D3009" s="217" t="s">
        <v>20408</v>
      </c>
      <c r="E3009" s="471" t="s">
        <v>20399</v>
      </c>
      <c r="F3009" s="489">
        <v>44472</v>
      </c>
      <c r="G3009" s="470" t="s">
        <v>12141</v>
      </c>
      <c r="H3009" s="499" t="s">
        <v>31</v>
      </c>
      <c r="I3009" s="483">
        <v>0.64800000000000002</v>
      </c>
      <c r="J3009" s="473">
        <f t="shared" si="1629"/>
        <v>56.189999999999998</v>
      </c>
      <c r="K3009" s="474">
        <f t="shared" ref="K3009:K3017" si="1637">I3009*J3009</f>
        <v>36.411119999999997</v>
      </c>
      <c r="L3009" s="475">
        <f t="shared" si="1634"/>
        <v>56.189999999999998</v>
      </c>
      <c r="M3009" s="474">
        <f t="shared" ref="M3009:M3017" si="1638">L3009*I3009</f>
        <v>36.411119999999997</v>
      </c>
      <c r="N3009" s="467" t="s">
        <v>22131</v>
      </c>
      <c r="O3009" s="434">
        <f t="shared" si="1632"/>
        <v>56.189999999999998</v>
      </c>
      <c r="P3009" s="435">
        <f t="shared" si="1633"/>
        <v>56.189999999999998</v>
      </c>
      <c r="AE3009" s="217"/>
      <c r="AF3009" s="217">
        <v>1369</v>
      </c>
      <c r="AH3009">
        <f t="shared" si="1624"/>
        <v>1369</v>
      </c>
    </row>
    <row r="3010">
      <c r="A3010" s="217"/>
      <c r="B3010" s="217">
        <v>1369</v>
      </c>
      <c r="C3010" s="217"/>
      <c r="D3010" s="217" t="s">
        <v>20408</v>
      </c>
      <c r="E3010" s="471" t="s">
        <v>20402</v>
      </c>
      <c r="F3010" s="489">
        <v>44471</v>
      </c>
      <c r="G3010" s="488" t="s">
        <v>13953</v>
      </c>
      <c r="H3010" s="499" t="s">
        <v>31</v>
      </c>
      <c r="I3010" s="483">
        <v>1.3600000000000001e-003</v>
      </c>
      <c r="J3010" s="473">
        <f t="shared" si="1629"/>
        <v>529.10000000000002</v>
      </c>
      <c r="K3010" s="474">
        <f t="shared" si="1637"/>
        <v>0.7195760000000001</v>
      </c>
      <c r="L3010" s="475">
        <f t="shared" si="1634"/>
        <v>529.10000000000002</v>
      </c>
      <c r="M3010" s="474">
        <f t="shared" si="1638"/>
        <v>0.7195760000000001</v>
      </c>
      <c r="N3010" s="621">
        <v>99.599999999999994</v>
      </c>
      <c r="O3010" s="434">
        <f t="shared" si="1632"/>
        <v>529.10000000000002</v>
      </c>
      <c r="P3010" s="435">
        <f t="shared" si="1633"/>
        <v>529.10000000000002</v>
      </c>
      <c r="AE3010" s="217"/>
      <c r="AF3010" s="217">
        <v>1369</v>
      </c>
      <c r="AH3010">
        <f t="shared" si="1624"/>
        <v>1369</v>
      </c>
    </row>
    <row r="3011" ht="30">
      <c r="A3011" s="217"/>
      <c r="B3011" s="217">
        <v>1369</v>
      </c>
      <c r="C3011" s="217"/>
      <c r="D3011" s="217" t="s">
        <v>17167</v>
      </c>
      <c r="E3011" s="471" t="s">
        <v>20405</v>
      </c>
      <c r="F3011" s="489">
        <v>88316</v>
      </c>
      <c r="G3011" s="470" t="s">
        <v>7393</v>
      </c>
      <c r="H3011" s="499" t="s">
        <v>2032</v>
      </c>
      <c r="I3011" s="483">
        <f>5/N3010</f>
        <v>5.0200803212851405e-002</v>
      </c>
      <c r="J3011" s="473">
        <f t="shared" si="1629"/>
        <v>22.760000000000002</v>
      </c>
      <c r="K3011" s="474">
        <f t="shared" si="1637"/>
        <v>1.142570281124498</v>
      </c>
      <c r="L3011" s="475">
        <f t="shared" si="1634"/>
        <v>21.550000000000001</v>
      </c>
      <c r="M3011" s="474">
        <f t="shared" si="1638"/>
        <v>1.0818273092369479</v>
      </c>
      <c r="O3011" s="434">
        <f t="shared" si="1632"/>
        <v>22.760000000000002</v>
      </c>
      <c r="P3011" s="435">
        <f t="shared" si="1633"/>
        <v>21.550000000000001</v>
      </c>
      <c r="AE3011" s="217"/>
      <c r="AF3011" s="217">
        <v>1369</v>
      </c>
      <c r="AH3011">
        <f t="shared" si="1624"/>
        <v>1369</v>
      </c>
    </row>
    <row r="3012" ht="105">
      <c r="A3012" s="217"/>
      <c r="B3012" s="217">
        <v>1369</v>
      </c>
      <c r="C3012" s="217"/>
      <c r="D3012" s="217" t="s">
        <v>17167</v>
      </c>
      <c r="E3012" s="471" t="s">
        <v>20409</v>
      </c>
      <c r="F3012" s="489">
        <v>5901</v>
      </c>
      <c r="G3012" s="470" t="s">
        <v>1593</v>
      </c>
      <c r="H3012" s="499" t="s">
        <v>1535</v>
      </c>
      <c r="I3012" s="483">
        <f>0.55/N3010</f>
        <v>5.5220883534136556e-003</v>
      </c>
      <c r="J3012" s="473">
        <f t="shared" si="1629"/>
        <v>346.31999999999999</v>
      </c>
      <c r="K3012" s="474">
        <f t="shared" si="1637"/>
        <v>1.9124096385542171</v>
      </c>
      <c r="L3012" s="475">
        <f t="shared" si="1634"/>
        <v>344.72000000000003</v>
      </c>
      <c r="M3012" s="474">
        <f t="shared" si="1638"/>
        <v>1.9035742971887555</v>
      </c>
      <c r="O3012" s="434">
        <f t="shared" si="1632"/>
        <v>346.31999999999999</v>
      </c>
      <c r="P3012" s="435">
        <f t="shared" si="1633"/>
        <v>344.72000000000003</v>
      </c>
      <c r="AE3012" s="217"/>
      <c r="AF3012" s="217">
        <v>1369</v>
      </c>
      <c r="AH3012">
        <f t="shared" si="1624"/>
        <v>1369</v>
      </c>
    </row>
    <row r="3013" ht="105">
      <c r="A3013" s="217"/>
      <c r="B3013" s="217">
        <v>1369</v>
      </c>
      <c r="C3013" s="217"/>
      <c r="D3013" s="217" t="s">
        <v>17167</v>
      </c>
      <c r="E3013" s="471" t="s">
        <v>20663</v>
      </c>
      <c r="F3013" s="489">
        <v>5903</v>
      </c>
      <c r="G3013" s="470" t="s">
        <v>1592</v>
      </c>
      <c r="H3013" s="499" t="s">
        <v>1533</v>
      </c>
      <c r="I3013" s="483">
        <f>0.45/N3010</f>
        <v>4.5180722891566272e-003</v>
      </c>
      <c r="J3013" s="473">
        <f t="shared" si="1629"/>
        <v>73.879999999999995</v>
      </c>
      <c r="K3013" s="474">
        <f t="shared" si="1637"/>
        <v>0.3337951807228916</v>
      </c>
      <c r="L3013" s="475">
        <f t="shared" si="1634"/>
        <v>72.280000000000001</v>
      </c>
      <c r="M3013" s="474">
        <f t="shared" si="1638"/>
        <v>0.326566265060241</v>
      </c>
      <c r="O3013" s="434">
        <f t="shared" si="1632"/>
        <v>73.879999999999995</v>
      </c>
      <c r="P3013" s="435">
        <f t="shared" si="1633"/>
        <v>72.280000000000001</v>
      </c>
      <c r="AE3013" s="217"/>
      <c r="AF3013" s="217">
        <v>1369</v>
      </c>
      <c r="AH3013">
        <f t="shared" si="1624"/>
        <v>1369</v>
      </c>
    </row>
    <row r="3014" ht="60">
      <c r="A3014" s="217"/>
      <c r="B3014" s="217">
        <v>1369</v>
      </c>
      <c r="C3014" s="217"/>
      <c r="D3014" s="217" t="s">
        <v>17167</v>
      </c>
      <c r="E3014" s="471" t="s">
        <v>20665</v>
      </c>
      <c r="F3014" s="489">
        <v>89242</v>
      </c>
      <c r="G3014" s="470" t="s">
        <v>1691</v>
      </c>
      <c r="H3014" s="499" t="s">
        <v>1535</v>
      </c>
      <c r="I3014" s="483">
        <f>1/N3010</f>
        <v>1.0040160642570281e-002</v>
      </c>
      <c r="J3014" s="473">
        <f t="shared" si="1629"/>
        <v>1419.71</v>
      </c>
      <c r="K3014" s="474">
        <f t="shared" si="1637"/>
        <v>14.254116465863454</v>
      </c>
      <c r="L3014" s="475">
        <f t="shared" si="1634"/>
        <v>1417.8199999999999</v>
      </c>
      <c r="M3014" s="474">
        <f t="shared" si="1638"/>
        <v>14.235140562248995</v>
      </c>
      <c r="O3014" s="434">
        <f t="shared" si="1632"/>
        <v>1419.71</v>
      </c>
      <c r="P3014" s="435">
        <f t="shared" si="1633"/>
        <v>1417.8199999999999</v>
      </c>
      <c r="AE3014" s="217"/>
      <c r="AF3014" s="217">
        <v>1369</v>
      </c>
      <c r="AH3014">
        <f t="shared" si="1624"/>
        <v>1369</v>
      </c>
    </row>
    <row r="3015" ht="75">
      <c r="A3015" s="217"/>
      <c r="B3015" s="217">
        <v>1369</v>
      </c>
      <c r="C3015" s="217"/>
      <c r="D3015" s="217" t="s">
        <v>17167</v>
      </c>
      <c r="E3015" s="471" t="s">
        <v>20667</v>
      </c>
      <c r="F3015" s="489">
        <v>96158</v>
      </c>
      <c r="G3015" s="470" t="s">
        <v>1767</v>
      </c>
      <c r="H3015" s="499" t="s">
        <v>1535</v>
      </c>
      <c r="I3015" s="483">
        <f>0.83*2/N3010</f>
        <v>1.6666666666666666e-002</v>
      </c>
      <c r="J3015" s="473">
        <f t="shared" si="1629"/>
        <v>156.81999999999999</v>
      </c>
      <c r="K3015" s="474">
        <f t="shared" si="1637"/>
        <v>2.6136666666666666</v>
      </c>
      <c r="L3015" s="475">
        <f t="shared" si="1634"/>
        <v>154.93000000000001</v>
      </c>
      <c r="M3015" s="474">
        <f t="shared" si="1638"/>
        <v>2.5821666666666667</v>
      </c>
      <c r="O3015" s="434">
        <f t="shared" si="1632"/>
        <v>156.81999999999999</v>
      </c>
      <c r="P3015" s="435">
        <f t="shared" si="1633"/>
        <v>154.93000000000001</v>
      </c>
      <c r="AE3015" s="217"/>
      <c r="AF3015" s="217">
        <v>1369</v>
      </c>
      <c r="AH3015">
        <f t="shared" ref="AH3015:AH3078" si="1639">IF(AF3015:AF3016=FALSE,AE3015,AF3015)</f>
        <v>1369</v>
      </c>
    </row>
    <row r="3016" ht="75">
      <c r="A3016" s="217"/>
      <c r="B3016" s="217">
        <v>1369</v>
      </c>
      <c r="C3016" s="217"/>
      <c r="D3016" s="217" t="s">
        <v>17167</v>
      </c>
      <c r="E3016" s="471" t="s">
        <v>20671</v>
      </c>
      <c r="F3016" s="489">
        <v>96156</v>
      </c>
      <c r="G3016" s="470" t="s">
        <v>1766</v>
      </c>
      <c r="H3016" s="499" t="s">
        <v>1533</v>
      </c>
      <c r="I3016" s="483">
        <f>0.17*2/N3010</f>
        <v>3.4136546184738961e-003</v>
      </c>
      <c r="J3016" s="473">
        <f t="shared" si="1629"/>
        <v>70.409999999999997</v>
      </c>
      <c r="K3016" s="474">
        <f t="shared" si="1637"/>
        <v>0.24035542168674701</v>
      </c>
      <c r="L3016" s="475">
        <f t="shared" si="1634"/>
        <v>68.519999999999996</v>
      </c>
      <c r="M3016" s="474">
        <f t="shared" si="1638"/>
        <v>0.23390361445783134</v>
      </c>
      <c r="O3016" s="434">
        <f t="shared" si="1632"/>
        <v>70.409999999999997</v>
      </c>
      <c r="P3016" s="435">
        <f t="shared" si="1633"/>
        <v>68.519999999999996</v>
      </c>
      <c r="AE3016" s="217"/>
      <c r="AF3016" s="217">
        <v>1369</v>
      </c>
      <c r="AH3016">
        <f t="shared" si="1639"/>
        <v>1369</v>
      </c>
    </row>
    <row r="3017" ht="18" customHeight="1">
      <c r="A3017" s="217"/>
      <c r="B3017" s="217">
        <v>1369</v>
      </c>
      <c r="C3017" s="217"/>
      <c r="D3017" s="217" t="s">
        <v>20644</v>
      </c>
      <c r="E3017" s="471" t="s">
        <v>20672</v>
      </c>
      <c r="F3017" s="489" t="s">
        <v>15502</v>
      </c>
      <c r="G3017" s="488" t="s">
        <v>22127</v>
      </c>
      <c r="H3017" s="482" t="s">
        <v>1535</v>
      </c>
      <c r="I3017" s="483">
        <f>1*2/N3010</f>
        <v>2.0080321285140562e-002</v>
      </c>
      <c r="J3017" s="473">
        <f t="shared" si="1629"/>
        <v>5.6500000000000004</v>
      </c>
      <c r="K3017" s="474">
        <f t="shared" si="1637"/>
        <v>0.11345381526104419</v>
      </c>
      <c r="L3017" s="475">
        <f t="shared" si="1634"/>
        <v>5.6500000000000004</v>
      </c>
      <c r="M3017" s="474">
        <f t="shared" si="1638"/>
        <v>0.11345381526104419</v>
      </c>
      <c r="O3017" s="434">
        <f t="shared" si="1632"/>
        <v>5.6500000000000004</v>
      </c>
      <c r="P3017" s="435">
        <f t="shared" si="1633"/>
        <v>5.6500000000000004</v>
      </c>
      <c r="AE3017" s="217"/>
      <c r="AF3017" s="217">
        <v>1369</v>
      </c>
      <c r="AH3017">
        <f t="shared" si="1639"/>
        <v>1369</v>
      </c>
    </row>
    <row r="3018" ht="39.75" customHeight="1">
      <c r="A3018" s="460">
        <v>1370</v>
      </c>
      <c r="B3018" s="460">
        <v>1370</v>
      </c>
      <c r="C3018" s="460"/>
      <c r="D3018" s="460"/>
      <c r="E3018" s="461">
        <v>1</v>
      </c>
      <c r="F3018" s="462" t="s">
        <v>22132</v>
      </c>
      <c r="G3018" s="477" t="s">
        <v>22133</v>
      </c>
      <c r="H3018" s="478" t="s">
        <v>15528</v>
      </c>
      <c r="I3018" s="479"/>
      <c r="J3018" s="480"/>
      <c r="K3018" s="466">
        <f>SUM(K3019:K3028)</f>
        <v>76.230407</v>
      </c>
      <c r="L3018" s="480"/>
      <c r="M3018" s="466">
        <f>SUM(M3019:M3028)</f>
        <v>91.402697120900001</v>
      </c>
      <c r="O3018" s="434" t="str">
        <f t="shared" si="1632"/>
        <v xml:space="preserve">SEM VALOR</v>
      </c>
      <c r="P3018" s="435" t="str">
        <f t="shared" si="1633"/>
        <v xml:space="preserve">SEM VALOR</v>
      </c>
      <c r="AE3018" s="460">
        <v>1370</v>
      </c>
      <c r="AF3018" s="460"/>
      <c r="AH3018">
        <f t="shared" si="1639"/>
        <v>1370</v>
      </c>
    </row>
    <row r="3019" ht="75">
      <c r="A3019" s="217"/>
      <c r="B3019" s="217">
        <v>1370</v>
      </c>
      <c r="C3019" s="217"/>
      <c r="D3019" s="217" t="s">
        <v>20398</v>
      </c>
      <c r="E3019" s="471" t="s">
        <v>20399</v>
      </c>
      <c r="F3019" s="489">
        <v>1270</v>
      </c>
      <c r="G3019" s="488" t="s">
        <v>21766</v>
      </c>
      <c r="H3019" s="499" t="s">
        <v>15528</v>
      </c>
      <c r="I3019" s="483">
        <v>0.17999999999999999</v>
      </c>
      <c r="J3019" s="473">
        <f t="shared" si="1629"/>
        <v>19.439999999999998</v>
      </c>
      <c r="K3019" s="474">
        <f t="shared" ref="K3019:K3028" si="1640">I3019*J3019</f>
        <v>3.4991999999999996</v>
      </c>
      <c r="L3019" s="475">
        <f t="shared" si="1634"/>
        <v>18.886704505000001</v>
      </c>
      <c r="M3019" s="474">
        <f t="shared" ref="M3019:M3028" si="1641">L3019*I3019</f>
        <v>3.3996068108999999</v>
      </c>
      <c r="O3019" s="434">
        <f t="shared" si="1632"/>
        <v>19.439999999999998</v>
      </c>
      <c r="P3019" s="435">
        <f t="shared" si="1633"/>
        <v>18.886704505000001</v>
      </c>
      <c r="AE3019" s="217"/>
      <c r="AF3019" s="217">
        <v>1370</v>
      </c>
      <c r="AH3019">
        <f t="shared" si="1639"/>
        <v>1370</v>
      </c>
    </row>
    <row r="3020" ht="105">
      <c r="A3020" s="217"/>
      <c r="B3020" s="217">
        <v>1370</v>
      </c>
      <c r="C3020" s="217"/>
      <c r="D3020" s="217" t="s">
        <v>20398</v>
      </c>
      <c r="E3020" s="471" t="s">
        <v>20402</v>
      </c>
      <c r="F3020" s="489">
        <v>1092</v>
      </c>
      <c r="G3020" s="488" t="s">
        <v>20666</v>
      </c>
      <c r="H3020" s="499" t="s">
        <v>15528</v>
      </c>
      <c r="I3020" s="483">
        <f>I3019*1.25</f>
        <v>0.22499999999999998</v>
      </c>
      <c r="J3020" s="473">
        <f t="shared" si="1629"/>
        <v>2.2000000000000002</v>
      </c>
      <c r="K3020" s="474">
        <f t="shared" si="1640"/>
        <v>0.495</v>
      </c>
      <c r="L3020" s="475">
        <f t="shared" si="1634"/>
        <v>2.1879900000000001</v>
      </c>
      <c r="M3020" s="474">
        <f t="shared" si="1641"/>
        <v>0.49229774999999998</v>
      </c>
      <c r="O3020" s="434">
        <f t="shared" si="1632"/>
        <v>2.2000000000000002</v>
      </c>
      <c r="P3020" s="435">
        <f t="shared" si="1633"/>
        <v>2.1879900000000001</v>
      </c>
      <c r="AE3020" s="217"/>
      <c r="AF3020" s="217">
        <v>1370</v>
      </c>
      <c r="AH3020">
        <f t="shared" si="1639"/>
        <v>1370</v>
      </c>
    </row>
    <row r="3021" ht="60">
      <c r="A3021" s="217"/>
      <c r="B3021" s="217">
        <v>1370</v>
      </c>
      <c r="C3021" s="217"/>
      <c r="D3021" s="217" t="s">
        <v>17167</v>
      </c>
      <c r="E3021" s="471" t="s">
        <v>20405</v>
      </c>
      <c r="F3021" s="489">
        <v>95875</v>
      </c>
      <c r="G3021" s="488" t="s">
        <v>20668</v>
      </c>
      <c r="H3021" s="499" t="s">
        <v>21107</v>
      </c>
      <c r="I3021" s="483">
        <f>I3020*5</f>
        <v>1.125</v>
      </c>
      <c r="J3021" s="473">
        <f t="shared" si="1629"/>
        <v>2.7599999999999998</v>
      </c>
      <c r="K3021" s="474">
        <f t="shared" si="1640"/>
        <v>3.1049999999999995</v>
      </c>
      <c r="L3021" s="475">
        <f t="shared" si="1634"/>
        <v>2.73</v>
      </c>
      <c r="M3021" s="474">
        <f t="shared" si="1641"/>
        <v>3.07125</v>
      </c>
      <c r="O3021" s="434">
        <f t="shared" si="1632"/>
        <v>2.7599999999999998</v>
      </c>
      <c r="P3021" s="435">
        <f t="shared" si="1633"/>
        <v>2.73</v>
      </c>
      <c r="AE3021" s="217"/>
      <c r="AF3021" s="217">
        <v>1370</v>
      </c>
      <c r="AH3021">
        <f t="shared" si="1639"/>
        <v>1370</v>
      </c>
    </row>
    <row r="3022" ht="60">
      <c r="A3022" s="217"/>
      <c r="B3022" s="217">
        <v>1370</v>
      </c>
      <c r="C3022" s="217"/>
      <c r="D3022" s="217" t="s">
        <v>20398</v>
      </c>
      <c r="E3022" s="471" t="s">
        <v>20409</v>
      </c>
      <c r="F3022" s="489">
        <v>1258</v>
      </c>
      <c r="G3022" s="488" t="s">
        <v>20660</v>
      </c>
      <c r="H3022" s="499" t="s">
        <v>15515</v>
      </c>
      <c r="I3022" s="483">
        <v>1</v>
      </c>
      <c r="J3022" s="473">
        <f t="shared" si="1629"/>
        <v>7.5700000000000003</v>
      </c>
      <c r="K3022" s="474">
        <f t="shared" si="1640"/>
        <v>7.5700000000000003</v>
      </c>
      <c r="L3022" s="475">
        <f t="shared" si="1634"/>
        <v>7.1846199999999998</v>
      </c>
      <c r="M3022" s="474">
        <f t="shared" si="1641"/>
        <v>7.1846199999999998</v>
      </c>
      <c r="O3022" s="434">
        <f t="shared" si="1632"/>
        <v>7.5700000000000003</v>
      </c>
      <c r="P3022" s="435">
        <f t="shared" si="1633"/>
        <v>7.1846199999999998</v>
      </c>
      <c r="AE3022" s="217"/>
      <c r="AF3022" s="217">
        <v>1370</v>
      </c>
      <c r="AH3022">
        <f t="shared" si="1639"/>
        <v>1370</v>
      </c>
    </row>
    <row r="3023" ht="30">
      <c r="A3023" s="217"/>
      <c r="B3023" s="217">
        <v>1370</v>
      </c>
      <c r="C3023" s="217"/>
      <c r="D3023" s="217" t="s">
        <v>20398</v>
      </c>
      <c r="E3023" s="471" t="s">
        <v>20663</v>
      </c>
      <c r="F3023" s="489">
        <v>1272</v>
      </c>
      <c r="G3023" s="488" t="s">
        <v>22134</v>
      </c>
      <c r="H3023" s="499" t="s">
        <v>15515</v>
      </c>
      <c r="I3023" s="483">
        <v>1</v>
      </c>
      <c r="J3023" s="473">
        <f t="shared" si="1629"/>
        <v>7.3900000000000006</v>
      </c>
      <c r="K3023" s="474">
        <f t="shared" si="1640"/>
        <v>7.3900000000000006</v>
      </c>
      <c r="L3023" s="475">
        <f t="shared" si="1634"/>
        <v>7.3809813100000001</v>
      </c>
      <c r="M3023" s="474">
        <f t="shared" si="1641"/>
        <v>7.3809813100000001</v>
      </c>
      <c r="O3023" s="434">
        <f t="shared" si="1632"/>
        <v>7.3900000000000006</v>
      </c>
      <c r="P3023" s="435">
        <f t="shared" si="1633"/>
        <v>7.3809813100000001</v>
      </c>
      <c r="AE3023" s="217"/>
      <c r="AF3023" s="217">
        <v>1370</v>
      </c>
      <c r="AH3023">
        <f t="shared" si="1639"/>
        <v>1370</v>
      </c>
    </row>
    <row r="3024" ht="75">
      <c r="A3024" s="217"/>
      <c r="B3024" s="217">
        <v>1370</v>
      </c>
      <c r="C3024" s="217"/>
      <c r="D3024" s="217" t="s">
        <v>17167</v>
      </c>
      <c r="E3024" s="471" t="s">
        <v>20665</v>
      </c>
      <c r="F3024" s="489">
        <v>102330</v>
      </c>
      <c r="G3024" s="488" t="s">
        <v>22135</v>
      </c>
      <c r="H3024" s="499" t="s">
        <v>9693</v>
      </c>
      <c r="I3024" s="483">
        <f>0.3*30/1000</f>
        <v>8.9999999999999993e-003</v>
      </c>
      <c r="J3024" s="473">
        <f t="shared" si="1629"/>
        <v>1.5700000000000001</v>
      </c>
      <c r="K3024" s="474">
        <f t="shared" si="1640"/>
        <v>1.413e-002</v>
      </c>
      <c r="L3024" s="475">
        <f t="shared" si="1634"/>
        <v>1.5700000000000001</v>
      </c>
      <c r="M3024" s="474">
        <f t="shared" si="1641"/>
        <v>1.413e-002</v>
      </c>
      <c r="O3024" s="434">
        <f t="shared" si="1632"/>
        <v>1.5700000000000001</v>
      </c>
      <c r="P3024" s="435">
        <f t="shared" si="1633"/>
        <v>1.5700000000000001</v>
      </c>
      <c r="AE3024" s="217"/>
      <c r="AF3024" s="217">
        <v>1370</v>
      </c>
      <c r="AH3024">
        <f t="shared" si="1639"/>
        <v>1370</v>
      </c>
    </row>
    <row r="3025" ht="90">
      <c r="A3025" s="217"/>
      <c r="B3025" s="217">
        <v>1370</v>
      </c>
      <c r="C3025" s="217"/>
      <c r="D3025" s="217" t="s">
        <v>17167</v>
      </c>
      <c r="E3025" s="471" t="s">
        <v>20667</v>
      </c>
      <c r="F3025" s="489">
        <v>102331</v>
      </c>
      <c r="G3025" s="488" t="s">
        <v>22136</v>
      </c>
      <c r="H3025" s="499" t="s">
        <v>9693</v>
      </c>
      <c r="I3025" s="483">
        <f>0.3*171/1000</f>
        <v>5.1299999999999998e-002</v>
      </c>
      <c r="J3025" s="473">
        <f t="shared" si="1629"/>
        <v>0.58999999999999997</v>
      </c>
      <c r="K3025" s="474">
        <f t="shared" si="1640"/>
        <v>3.0266999999999999e-002</v>
      </c>
      <c r="L3025" s="475">
        <f t="shared" si="1634"/>
        <v>0.58999999999999997</v>
      </c>
      <c r="M3025" s="474">
        <f t="shared" si="1641"/>
        <v>3.0266999999999999e-002</v>
      </c>
      <c r="O3025" s="434">
        <f t="shared" si="1632"/>
        <v>0.58999999999999997</v>
      </c>
      <c r="P3025" s="435">
        <f t="shared" si="1633"/>
        <v>0.58999999999999997</v>
      </c>
      <c r="AE3025" s="217"/>
      <c r="AF3025" s="217">
        <v>1370</v>
      </c>
      <c r="AH3025">
        <f t="shared" si="1639"/>
        <v>1370</v>
      </c>
    </row>
    <row r="3026" ht="75">
      <c r="A3026" s="217"/>
      <c r="B3026" s="217">
        <v>1370</v>
      </c>
      <c r="C3026" s="217"/>
      <c r="D3026" s="217" t="s">
        <v>20408</v>
      </c>
      <c r="E3026" s="471" t="s">
        <v>20671</v>
      </c>
      <c r="F3026" s="489">
        <v>1518</v>
      </c>
      <c r="G3026" s="488" t="s">
        <v>11633</v>
      </c>
      <c r="H3026" s="499" t="s">
        <v>22137</v>
      </c>
      <c r="I3026" s="483">
        <v>7.6499999999999999e-002</v>
      </c>
      <c r="J3026" s="473">
        <f t="shared" si="1629"/>
        <v>643.5</v>
      </c>
      <c r="K3026" s="474">
        <f t="shared" si="1640"/>
        <v>49.22775</v>
      </c>
      <c r="L3026" s="475">
        <f t="shared" si="1634"/>
        <v>643.5</v>
      </c>
      <c r="M3026" s="474">
        <f t="shared" si="1641"/>
        <v>49.22775</v>
      </c>
      <c r="O3026" s="434">
        <f t="shared" si="1632"/>
        <v>643.5</v>
      </c>
      <c r="P3026" s="435">
        <f t="shared" si="1633"/>
        <v>643.5</v>
      </c>
      <c r="AE3026" s="217"/>
      <c r="AF3026" s="217">
        <v>1370</v>
      </c>
      <c r="AH3026">
        <f t="shared" si="1639"/>
        <v>1370</v>
      </c>
    </row>
    <row r="3027" ht="45">
      <c r="A3027" s="217"/>
      <c r="B3027" s="217">
        <v>1370</v>
      </c>
      <c r="C3027" s="217"/>
      <c r="D3027" s="217" t="s">
        <v>20398</v>
      </c>
      <c r="E3027" s="471" t="s">
        <v>20672</v>
      </c>
      <c r="F3027" s="489">
        <v>1023</v>
      </c>
      <c r="G3027" s="488" t="s">
        <v>22138</v>
      </c>
      <c r="H3027" s="499" t="s">
        <v>9591</v>
      </c>
      <c r="I3027" s="483">
        <f>I3026</f>
        <v>7.6499999999999999e-002</v>
      </c>
      <c r="J3027" s="473">
        <f t="shared" si="1629"/>
        <v>45.640000000000001</v>
      </c>
      <c r="K3027" s="474">
        <f t="shared" si="1640"/>
        <v>3.49146</v>
      </c>
      <c r="L3027" s="475">
        <f t="shared" si="1634"/>
        <v>251.1045</v>
      </c>
      <c r="M3027" s="474">
        <f t="shared" si="1641"/>
        <v>19.209494249999999</v>
      </c>
      <c r="O3027" s="434">
        <f t="shared" si="1632"/>
        <v>45.640000000000001</v>
      </c>
      <c r="P3027" s="435">
        <f t="shared" si="1633"/>
        <v>251.1045</v>
      </c>
      <c r="AE3027" s="217"/>
      <c r="AF3027" s="217">
        <v>1370</v>
      </c>
      <c r="AH3027">
        <f t="shared" si="1639"/>
        <v>1370</v>
      </c>
    </row>
    <row r="3028" ht="60">
      <c r="A3028" s="217"/>
      <c r="B3028" s="217">
        <v>1370</v>
      </c>
      <c r="C3028" s="217"/>
      <c r="D3028" s="217" t="s">
        <v>17167</v>
      </c>
      <c r="E3028" s="471" t="s">
        <v>20673</v>
      </c>
      <c r="F3028" s="489">
        <v>95878</v>
      </c>
      <c r="G3028" s="488" t="s">
        <v>22139</v>
      </c>
      <c r="H3028" s="482" t="s">
        <v>9693</v>
      </c>
      <c r="I3028" s="483">
        <f>I3026*10</f>
        <v>0.76500000000000001</v>
      </c>
      <c r="J3028" s="473">
        <f t="shared" si="1629"/>
        <v>1.8400000000000001</v>
      </c>
      <c r="K3028" s="474">
        <f t="shared" si="1640"/>
        <v>1.4076000000000002</v>
      </c>
      <c r="L3028" s="475">
        <f t="shared" si="1634"/>
        <v>1.8200000000000001</v>
      </c>
      <c r="M3028" s="474">
        <f t="shared" si="1641"/>
        <v>1.3923000000000001</v>
      </c>
      <c r="O3028" s="434">
        <f t="shared" si="1632"/>
        <v>1.8400000000000001</v>
      </c>
      <c r="P3028" s="435">
        <f t="shared" si="1633"/>
        <v>1.8200000000000001</v>
      </c>
      <c r="AE3028" s="217"/>
      <c r="AF3028" s="217">
        <v>1370</v>
      </c>
      <c r="AH3028">
        <f t="shared" si="1639"/>
        <v>1370</v>
      </c>
    </row>
    <row r="3029" ht="47.25">
      <c r="A3029" s="460">
        <v>1371</v>
      </c>
      <c r="B3029" s="460">
        <v>1371</v>
      </c>
      <c r="C3029" s="460"/>
      <c r="D3029" s="460"/>
      <c r="E3029" s="461">
        <v>1</v>
      </c>
      <c r="F3029" s="462" t="s">
        <v>22140</v>
      </c>
      <c r="G3029" s="477" t="s">
        <v>22141</v>
      </c>
      <c r="H3029" s="478" t="s">
        <v>15528</v>
      </c>
      <c r="I3029" s="479"/>
      <c r="J3029" s="480"/>
      <c r="K3029" s="466">
        <f>SUM(K3030:K3041)</f>
        <v>107.24040700000002</v>
      </c>
      <c r="L3029" s="480"/>
      <c r="M3029" s="466">
        <f>SUM(M3030:M3041)</f>
        <v>121.47239062090003</v>
      </c>
      <c r="N3029" s="622" t="s">
        <v>22142</v>
      </c>
      <c r="O3029" s="434" t="str">
        <f t="shared" si="1632"/>
        <v xml:space="preserve">SEM VALOR</v>
      </c>
      <c r="P3029" s="435" t="str">
        <f t="shared" si="1633"/>
        <v xml:space="preserve">SEM VALOR</v>
      </c>
      <c r="AE3029" s="460">
        <v>1371</v>
      </c>
      <c r="AF3029" s="460"/>
      <c r="AH3029">
        <f t="shared" si="1639"/>
        <v>1371</v>
      </c>
    </row>
    <row r="3030" ht="75">
      <c r="A3030" s="217"/>
      <c r="B3030" s="217">
        <v>1371</v>
      </c>
      <c r="C3030" s="217"/>
      <c r="D3030" s="217" t="s">
        <v>20398</v>
      </c>
      <c r="E3030" s="471" t="s">
        <v>20399</v>
      </c>
      <c r="F3030" s="489">
        <v>1270</v>
      </c>
      <c r="G3030" s="488" t="s">
        <v>21766</v>
      </c>
      <c r="H3030" s="499" t="s">
        <v>15528</v>
      </c>
      <c r="I3030" s="483">
        <v>0.17999999999999999</v>
      </c>
      <c r="J3030" s="473">
        <f t="shared" si="1629"/>
        <v>19.439999999999998</v>
      </c>
      <c r="K3030" s="474">
        <f t="shared" ref="K3030:K3041" si="1642">I3030*J3030</f>
        <v>3.4991999999999996</v>
      </c>
      <c r="L3030" s="475">
        <f t="shared" si="1634"/>
        <v>18.886704505000001</v>
      </c>
      <c r="M3030" s="474">
        <f t="shared" ref="M3030:M3041" si="1643">L3030*I3030</f>
        <v>3.3996068108999999</v>
      </c>
      <c r="O3030" s="434">
        <f t="shared" si="1632"/>
        <v>19.439999999999998</v>
      </c>
      <c r="P3030" s="435">
        <f t="shared" si="1633"/>
        <v>18.886704505000001</v>
      </c>
      <c r="AE3030" s="217"/>
      <c r="AF3030" s="217">
        <v>1371</v>
      </c>
      <c r="AH3030">
        <f t="shared" si="1639"/>
        <v>1371</v>
      </c>
    </row>
    <row r="3031" ht="120">
      <c r="A3031" s="217"/>
      <c r="B3031" s="217">
        <v>1371</v>
      </c>
      <c r="C3031" s="217"/>
      <c r="D3031" s="217" t="s">
        <v>17167</v>
      </c>
      <c r="E3031" s="471" t="s">
        <v>20402</v>
      </c>
      <c r="F3031" s="489">
        <v>90100</v>
      </c>
      <c r="G3031" s="488" t="s">
        <v>22143</v>
      </c>
      <c r="H3031" s="499" t="s">
        <v>15528</v>
      </c>
      <c r="I3031" s="483">
        <v>0.5</v>
      </c>
      <c r="J3031" s="473">
        <f t="shared" si="1629"/>
        <v>13.699999999999999</v>
      </c>
      <c r="K3031" s="474">
        <f t="shared" si="1642"/>
        <v>6.8499999999999996</v>
      </c>
      <c r="L3031" s="475">
        <f t="shared" si="1634"/>
        <v>13.359999999999999</v>
      </c>
      <c r="M3031" s="474">
        <f t="shared" si="1643"/>
        <v>6.6799999999999997</v>
      </c>
      <c r="O3031" s="434">
        <f t="shared" si="1632"/>
        <v>13.699999999999999</v>
      </c>
      <c r="P3031" s="435">
        <f t="shared" si="1633"/>
        <v>13.359999999999999</v>
      </c>
      <c r="AE3031" s="217"/>
      <c r="AF3031" s="217">
        <v>1371</v>
      </c>
      <c r="AH3031">
        <f t="shared" si="1639"/>
        <v>1371</v>
      </c>
    </row>
    <row r="3032" ht="105">
      <c r="A3032" s="217"/>
      <c r="B3032" s="217">
        <v>1371</v>
      </c>
      <c r="C3032" s="217"/>
      <c r="D3032" s="217" t="s">
        <v>20398</v>
      </c>
      <c r="E3032" s="471" t="s">
        <v>20405</v>
      </c>
      <c r="F3032" s="489">
        <v>1092</v>
      </c>
      <c r="G3032" s="488" t="s">
        <v>20666</v>
      </c>
      <c r="H3032" s="499" t="s">
        <v>15528</v>
      </c>
      <c r="I3032" s="483">
        <f>0.18*1.25+0.5*1.3</f>
        <v>0.875</v>
      </c>
      <c r="J3032" s="473">
        <f t="shared" si="1629"/>
        <v>2.2000000000000002</v>
      </c>
      <c r="K3032" s="474">
        <f t="shared" si="1642"/>
        <v>1.9250000000000003</v>
      </c>
      <c r="L3032" s="475">
        <f t="shared" si="1634"/>
        <v>2.1879900000000001</v>
      </c>
      <c r="M3032" s="474">
        <f t="shared" si="1643"/>
        <v>1.9144912500000002</v>
      </c>
      <c r="O3032" s="434">
        <f t="shared" si="1632"/>
        <v>2.2000000000000002</v>
      </c>
      <c r="P3032" s="435">
        <f t="shared" si="1633"/>
        <v>2.1879900000000001</v>
      </c>
      <c r="AE3032" s="217"/>
      <c r="AF3032" s="217">
        <v>1371</v>
      </c>
      <c r="AH3032">
        <f t="shared" si="1639"/>
        <v>1371</v>
      </c>
    </row>
    <row r="3033" ht="60">
      <c r="A3033" s="217"/>
      <c r="B3033" s="217">
        <v>1371</v>
      </c>
      <c r="C3033" s="217"/>
      <c r="D3033" s="217" t="s">
        <v>17167</v>
      </c>
      <c r="E3033" s="471" t="s">
        <v>20409</v>
      </c>
      <c r="F3033" s="489">
        <v>95875</v>
      </c>
      <c r="G3033" s="488" t="s">
        <v>20668</v>
      </c>
      <c r="H3033" s="499" t="s">
        <v>21107</v>
      </c>
      <c r="I3033" s="483">
        <f>I3032*5</f>
        <v>4.375</v>
      </c>
      <c r="J3033" s="473">
        <f t="shared" si="1629"/>
        <v>2.7599999999999998</v>
      </c>
      <c r="K3033" s="474">
        <f t="shared" si="1642"/>
        <v>12.074999999999999</v>
      </c>
      <c r="L3033" s="475">
        <f t="shared" si="1634"/>
        <v>2.73</v>
      </c>
      <c r="M3033" s="474">
        <f t="shared" si="1643"/>
        <v>11.94375</v>
      </c>
      <c r="O3033" s="434">
        <f t="shared" si="1632"/>
        <v>2.7599999999999998</v>
      </c>
      <c r="P3033" s="435">
        <f t="shared" si="1633"/>
        <v>2.73</v>
      </c>
      <c r="AE3033" s="217"/>
      <c r="AF3033" s="217">
        <v>1371</v>
      </c>
      <c r="AH3033">
        <f t="shared" si="1639"/>
        <v>1371</v>
      </c>
    </row>
    <row r="3034" ht="45">
      <c r="A3034" s="217"/>
      <c r="B3034" s="217">
        <v>1371</v>
      </c>
      <c r="C3034" s="217"/>
      <c r="D3034" s="217" t="s">
        <v>17167</v>
      </c>
      <c r="E3034" s="471" t="s">
        <v>20663</v>
      </c>
      <c r="F3034" s="489">
        <v>93382</v>
      </c>
      <c r="G3034" s="488" t="s">
        <v>20722</v>
      </c>
      <c r="H3034" s="499" t="s">
        <v>15528</v>
      </c>
      <c r="I3034" s="483">
        <v>0.5</v>
      </c>
      <c r="J3034" s="473">
        <f t="shared" si="1629"/>
        <v>27.52</v>
      </c>
      <c r="K3034" s="474">
        <f t="shared" si="1642"/>
        <v>13.76</v>
      </c>
      <c r="L3034" s="475">
        <f t="shared" si="1634"/>
        <v>26.190000000000001</v>
      </c>
      <c r="M3034" s="474">
        <f t="shared" si="1643"/>
        <v>13.095000000000001</v>
      </c>
      <c r="O3034" s="434">
        <f t="shared" si="1632"/>
        <v>27.52</v>
      </c>
      <c r="P3034" s="435">
        <f t="shared" si="1633"/>
        <v>26.190000000000001</v>
      </c>
      <c r="AE3034" s="217"/>
      <c r="AF3034" s="217">
        <v>1371</v>
      </c>
      <c r="AH3034">
        <f t="shared" si="1639"/>
        <v>1371</v>
      </c>
    </row>
    <row r="3035" ht="60">
      <c r="A3035" s="217"/>
      <c r="B3035" s="217">
        <v>1371</v>
      </c>
      <c r="C3035" s="217"/>
      <c r="D3035" s="217" t="s">
        <v>20398</v>
      </c>
      <c r="E3035" s="471" t="s">
        <v>20665</v>
      </c>
      <c r="F3035" s="489">
        <v>1258</v>
      </c>
      <c r="G3035" s="488" t="s">
        <v>20660</v>
      </c>
      <c r="H3035" s="499" t="s">
        <v>15515</v>
      </c>
      <c r="I3035" s="483">
        <v>1</v>
      </c>
      <c r="J3035" s="473">
        <f t="shared" si="1629"/>
        <v>7.5700000000000003</v>
      </c>
      <c r="K3035" s="474">
        <f t="shared" si="1642"/>
        <v>7.5700000000000003</v>
      </c>
      <c r="L3035" s="475">
        <f t="shared" si="1634"/>
        <v>7.1846199999999998</v>
      </c>
      <c r="M3035" s="474">
        <f t="shared" si="1643"/>
        <v>7.1846199999999998</v>
      </c>
      <c r="O3035" s="434">
        <f t="shared" si="1632"/>
        <v>7.5700000000000003</v>
      </c>
      <c r="P3035" s="435">
        <f t="shared" si="1633"/>
        <v>7.1846199999999998</v>
      </c>
      <c r="AE3035" s="217"/>
      <c r="AF3035" s="217">
        <v>1371</v>
      </c>
      <c r="AH3035">
        <f t="shared" si="1639"/>
        <v>1371</v>
      </c>
    </row>
    <row r="3036" ht="30">
      <c r="A3036" s="217"/>
      <c r="B3036" s="217">
        <v>1371</v>
      </c>
      <c r="C3036" s="217"/>
      <c r="D3036" s="217" t="s">
        <v>20398</v>
      </c>
      <c r="E3036" s="471" t="s">
        <v>20667</v>
      </c>
      <c r="F3036" s="489">
        <v>1272</v>
      </c>
      <c r="G3036" s="488" t="s">
        <v>22134</v>
      </c>
      <c r="H3036" s="499" t="s">
        <v>15515</v>
      </c>
      <c r="I3036" s="483">
        <v>1</v>
      </c>
      <c r="J3036" s="473">
        <f t="shared" si="1629"/>
        <v>7.3900000000000006</v>
      </c>
      <c r="K3036" s="474">
        <f t="shared" si="1642"/>
        <v>7.3900000000000006</v>
      </c>
      <c r="L3036" s="475">
        <f t="shared" si="1634"/>
        <v>7.3809813100000001</v>
      </c>
      <c r="M3036" s="474">
        <f t="shared" si="1643"/>
        <v>7.3809813100000001</v>
      </c>
      <c r="O3036" s="434">
        <f t="shared" si="1632"/>
        <v>7.3900000000000006</v>
      </c>
      <c r="P3036" s="435">
        <f t="shared" si="1633"/>
        <v>7.3809813100000001</v>
      </c>
      <c r="AE3036" s="217"/>
      <c r="AF3036" s="217">
        <v>1371</v>
      </c>
      <c r="AH3036">
        <f t="shared" si="1639"/>
        <v>1371</v>
      </c>
    </row>
    <row r="3037" ht="75">
      <c r="A3037" s="217"/>
      <c r="B3037" s="217">
        <v>1371</v>
      </c>
      <c r="C3037" s="217"/>
      <c r="D3037" s="217" t="s">
        <v>17167</v>
      </c>
      <c r="E3037" s="471" t="s">
        <v>20671</v>
      </c>
      <c r="F3037" s="489">
        <v>102330</v>
      </c>
      <c r="G3037" s="488" t="s">
        <v>22135</v>
      </c>
      <c r="H3037" s="499" t="s">
        <v>9693</v>
      </c>
      <c r="I3037" s="483">
        <f>0.3*30/1000</f>
        <v>8.9999999999999993e-003</v>
      </c>
      <c r="J3037" s="473">
        <f t="shared" si="1629"/>
        <v>1.5700000000000001</v>
      </c>
      <c r="K3037" s="474">
        <f t="shared" si="1642"/>
        <v>1.413e-002</v>
      </c>
      <c r="L3037" s="475">
        <f t="shared" si="1634"/>
        <v>1.5700000000000001</v>
      </c>
      <c r="M3037" s="474">
        <f t="shared" si="1643"/>
        <v>1.413e-002</v>
      </c>
      <c r="O3037" s="434">
        <f t="shared" si="1632"/>
        <v>1.5700000000000001</v>
      </c>
      <c r="P3037" s="435">
        <f t="shared" si="1633"/>
        <v>1.5700000000000001</v>
      </c>
      <c r="AE3037" s="217"/>
      <c r="AF3037" s="217">
        <v>1371</v>
      </c>
      <c r="AH3037">
        <f t="shared" si="1639"/>
        <v>1371</v>
      </c>
    </row>
    <row r="3038" ht="90">
      <c r="A3038" s="217"/>
      <c r="B3038" s="217">
        <v>1371</v>
      </c>
      <c r="C3038" s="217"/>
      <c r="D3038" s="217" t="s">
        <v>17167</v>
      </c>
      <c r="E3038" s="471" t="s">
        <v>20672</v>
      </c>
      <c r="F3038" s="489">
        <v>102331</v>
      </c>
      <c r="G3038" s="488" t="s">
        <v>22136</v>
      </c>
      <c r="H3038" s="499" t="s">
        <v>9693</v>
      </c>
      <c r="I3038" s="483">
        <f>0.3*171/1000</f>
        <v>5.1299999999999998e-002</v>
      </c>
      <c r="J3038" s="473">
        <f t="shared" ref="J3038:J3101" si="1644">O3038*$J$3</f>
        <v>0.58999999999999997</v>
      </c>
      <c r="K3038" s="474">
        <f t="shared" si="1642"/>
        <v>3.0266999999999999e-002</v>
      </c>
      <c r="L3038" s="475">
        <f t="shared" si="1634"/>
        <v>0.58999999999999997</v>
      </c>
      <c r="M3038" s="474">
        <f t="shared" si="1643"/>
        <v>3.0266999999999999e-002</v>
      </c>
      <c r="O3038" s="434">
        <f t="shared" si="1632"/>
        <v>0.58999999999999997</v>
      </c>
      <c r="P3038" s="435">
        <f t="shared" si="1633"/>
        <v>0.58999999999999997</v>
      </c>
      <c r="AE3038" s="217"/>
      <c r="AF3038" s="217">
        <v>1371</v>
      </c>
      <c r="AH3038">
        <f t="shared" si="1639"/>
        <v>1371</v>
      </c>
    </row>
    <row r="3039" ht="75">
      <c r="A3039" s="217"/>
      <c r="B3039" s="217">
        <v>1371</v>
      </c>
      <c r="C3039" s="217"/>
      <c r="D3039" s="217" t="s">
        <v>20408</v>
      </c>
      <c r="E3039" s="471" t="s">
        <v>20673</v>
      </c>
      <c r="F3039" s="489">
        <v>1518</v>
      </c>
      <c r="G3039" s="488" t="s">
        <v>11633</v>
      </c>
      <c r="H3039" s="499" t="s">
        <v>22137</v>
      </c>
      <c r="I3039" s="483">
        <v>7.6499999999999999e-002</v>
      </c>
      <c r="J3039" s="473">
        <f t="shared" si="1644"/>
        <v>643.5</v>
      </c>
      <c r="K3039" s="474">
        <f t="shared" si="1642"/>
        <v>49.22775</v>
      </c>
      <c r="L3039" s="475">
        <f t="shared" si="1634"/>
        <v>643.5</v>
      </c>
      <c r="M3039" s="474">
        <f t="shared" si="1643"/>
        <v>49.22775</v>
      </c>
      <c r="O3039" s="434">
        <f t="shared" si="1632"/>
        <v>643.5</v>
      </c>
      <c r="P3039" s="435">
        <f t="shared" si="1633"/>
        <v>643.5</v>
      </c>
      <c r="AE3039" s="217"/>
      <c r="AF3039" s="217">
        <v>1371</v>
      </c>
      <c r="AH3039">
        <f t="shared" si="1639"/>
        <v>1371</v>
      </c>
    </row>
    <row r="3040" ht="45">
      <c r="A3040" s="217"/>
      <c r="B3040" s="217">
        <v>1371</v>
      </c>
      <c r="C3040" s="217"/>
      <c r="D3040" s="217" t="s">
        <v>20398</v>
      </c>
      <c r="E3040" s="471" t="s">
        <v>20675</v>
      </c>
      <c r="F3040" s="489">
        <v>1023</v>
      </c>
      <c r="G3040" s="488" t="s">
        <v>22138</v>
      </c>
      <c r="H3040" s="499" t="s">
        <v>9591</v>
      </c>
      <c r="I3040" s="483">
        <f>I3039</f>
        <v>7.6499999999999999e-002</v>
      </c>
      <c r="J3040" s="473">
        <f t="shared" si="1644"/>
        <v>45.640000000000001</v>
      </c>
      <c r="K3040" s="474">
        <f t="shared" si="1642"/>
        <v>3.49146</v>
      </c>
      <c r="L3040" s="475">
        <f t="shared" si="1634"/>
        <v>251.1045</v>
      </c>
      <c r="M3040" s="474">
        <f t="shared" si="1643"/>
        <v>19.209494249999999</v>
      </c>
      <c r="O3040" s="434">
        <f t="shared" si="1632"/>
        <v>45.640000000000001</v>
      </c>
      <c r="P3040" s="435">
        <f t="shared" si="1633"/>
        <v>251.1045</v>
      </c>
      <c r="AE3040" s="217"/>
      <c r="AF3040" s="217">
        <v>1371</v>
      </c>
      <c r="AH3040">
        <f t="shared" si="1639"/>
        <v>1371</v>
      </c>
    </row>
    <row r="3041" ht="60">
      <c r="A3041" s="217"/>
      <c r="B3041" s="217">
        <v>1371</v>
      </c>
      <c r="C3041" s="217"/>
      <c r="D3041" s="217" t="s">
        <v>17167</v>
      </c>
      <c r="E3041" s="471" t="s">
        <v>20677</v>
      </c>
      <c r="F3041" s="489">
        <v>95878</v>
      </c>
      <c r="G3041" s="488" t="s">
        <v>22139</v>
      </c>
      <c r="H3041" s="482" t="s">
        <v>9693</v>
      </c>
      <c r="I3041" s="483">
        <f>I3039*10</f>
        <v>0.76500000000000001</v>
      </c>
      <c r="J3041" s="473">
        <f t="shared" si="1644"/>
        <v>1.8400000000000001</v>
      </c>
      <c r="K3041" s="474">
        <f t="shared" si="1642"/>
        <v>1.4076000000000002</v>
      </c>
      <c r="L3041" s="475">
        <f t="shared" si="1634"/>
        <v>1.8200000000000001</v>
      </c>
      <c r="M3041" s="474">
        <f t="shared" si="1643"/>
        <v>1.3923000000000001</v>
      </c>
      <c r="O3041" s="434">
        <f t="shared" si="1632"/>
        <v>1.8400000000000001</v>
      </c>
      <c r="P3041" s="435">
        <f t="shared" si="1633"/>
        <v>1.8200000000000001</v>
      </c>
      <c r="AE3041" s="217"/>
      <c r="AF3041" s="217">
        <v>1371</v>
      </c>
      <c r="AH3041">
        <f t="shared" si="1639"/>
        <v>1371</v>
      </c>
    </row>
    <row r="3042" ht="63">
      <c r="A3042" s="460">
        <v>1372</v>
      </c>
      <c r="B3042" s="460">
        <v>1372</v>
      </c>
      <c r="C3042" s="460"/>
      <c r="D3042" s="460"/>
      <c r="E3042" s="461">
        <v>1</v>
      </c>
      <c r="F3042" s="462" t="s">
        <v>22144</v>
      </c>
      <c r="G3042" s="477" t="s">
        <v>22145</v>
      </c>
      <c r="H3042" s="478" t="s">
        <v>15528</v>
      </c>
      <c r="I3042" s="479"/>
      <c r="J3042" s="480"/>
      <c r="K3042" s="466">
        <f>SUM(K3043:K3051)</f>
        <v>103.49313021409215</v>
      </c>
      <c r="L3042" s="480"/>
      <c r="M3042" s="466">
        <f>SUM(M3043:M3051)</f>
        <v>102.8826966097561</v>
      </c>
      <c r="N3042" s="467" t="s">
        <v>22146</v>
      </c>
      <c r="O3042" s="434" t="str">
        <f t="shared" si="1632"/>
        <v xml:space="preserve">SEM VALOR</v>
      </c>
      <c r="P3042" s="435" t="str">
        <f t="shared" si="1633"/>
        <v xml:space="preserve">SEM VALOR</v>
      </c>
      <c r="AE3042" s="460">
        <v>1372</v>
      </c>
      <c r="AF3042" s="460"/>
      <c r="AH3042">
        <f t="shared" si="1639"/>
        <v>1372</v>
      </c>
    </row>
    <row r="3043">
      <c r="A3043" s="217"/>
      <c r="B3043" s="217">
        <v>1372</v>
      </c>
      <c r="C3043" s="217"/>
      <c r="D3043" s="217" t="s">
        <v>20408</v>
      </c>
      <c r="E3043" s="471" t="s">
        <v>20399</v>
      </c>
      <c r="F3043" s="489">
        <v>44472</v>
      </c>
      <c r="G3043" s="470" t="s">
        <v>12141</v>
      </c>
      <c r="H3043" s="499" t="s">
        <v>31</v>
      </c>
      <c r="I3043" s="483">
        <v>0.80000000000000004</v>
      </c>
      <c r="J3043" s="473">
        <f t="shared" si="1644"/>
        <v>56.189999999999998</v>
      </c>
      <c r="K3043" s="474">
        <f t="shared" ref="K3043:K3051" si="1645">I3043*J3043</f>
        <v>44.951999999999998</v>
      </c>
      <c r="L3043" s="475">
        <f t="shared" si="1634"/>
        <v>56.189999999999998</v>
      </c>
      <c r="M3043" s="474">
        <f t="shared" ref="M3043:M3051" si="1646">L3043*I3043</f>
        <v>44.951999999999998</v>
      </c>
      <c r="N3043" s="467" t="s">
        <v>22147</v>
      </c>
      <c r="O3043" s="434">
        <f t="shared" si="1632"/>
        <v>56.189999999999998</v>
      </c>
      <c r="P3043" s="435">
        <f t="shared" si="1633"/>
        <v>56.189999999999998</v>
      </c>
      <c r="AE3043" s="217"/>
      <c r="AF3043" s="217">
        <v>1372</v>
      </c>
      <c r="AH3043">
        <f t="shared" si="1639"/>
        <v>1372</v>
      </c>
    </row>
    <row r="3044">
      <c r="A3044" s="217"/>
      <c r="B3044" s="217">
        <v>1372</v>
      </c>
      <c r="C3044" s="217"/>
      <c r="D3044" s="217" t="s">
        <v>20408</v>
      </c>
      <c r="E3044" s="471" t="s">
        <v>20402</v>
      </c>
      <c r="F3044" s="489">
        <v>44471</v>
      </c>
      <c r="G3044" s="488" t="s">
        <v>13953</v>
      </c>
      <c r="H3044" s="499" t="s">
        <v>31</v>
      </c>
      <c r="I3044" s="483">
        <v>2.31e-003</v>
      </c>
      <c r="J3044" s="473">
        <f t="shared" si="1644"/>
        <v>529.10000000000002</v>
      </c>
      <c r="K3044" s="474">
        <f t="shared" si="1645"/>
        <v>1.222221</v>
      </c>
      <c r="L3044" s="475">
        <f t="shared" si="1634"/>
        <v>529.10000000000002</v>
      </c>
      <c r="M3044" s="474">
        <f t="shared" si="1646"/>
        <v>1.222221</v>
      </c>
      <c r="N3044" s="616">
        <v>14.76</v>
      </c>
      <c r="O3044" s="434">
        <f t="shared" si="1632"/>
        <v>529.10000000000002</v>
      </c>
      <c r="P3044" s="435">
        <f t="shared" si="1633"/>
        <v>529.10000000000002</v>
      </c>
      <c r="AE3044" s="217"/>
      <c r="AF3044" s="217">
        <v>1372</v>
      </c>
      <c r="AH3044">
        <f t="shared" si="1639"/>
        <v>1372</v>
      </c>
    </row>
    <row r="3045" ht="30">
      <c r="A3045" s="217"/>
      <c r="B3045" s="217">
        <v>1372</v>
      </c>
      <c r="C3045" s="217"/>
      <c r="D3045" s="217" t="s">
        <v>17167</v>
      </c>
      <c r="E3045" s="471" t="s">
        <v>20405</v>
      </c>
      <c r="F3045" s="489">
        <v>88316</v>
      </c>
      <c r="G3045" s="470" t="s">
        <v>7393</v>
      </c>
      <c r="H3045" s="499" t="s">
        <v>2032</v>
      </c>
      <c r="I3045" s="483">
        <f>3/N3044</f>
        <v>0.2032520325203252</v>
      </c>
      <c r="J3045" s="473">
        <f t="shared" si="1644"/>
        <v>22.760000000000002</v>
      </c>
      <c r="K3045" s="474">
        <f t="shared" si="1645"/>
        <v>4.6260162601626016</v>
      </c>
      <c r="L3045" s="475">
        <f t="shared" si="1634"/>
        <v>21.550000000000001</v>
      </c>
      <c r="M3045" s="474">
        <f t="shared" si="1646"/>
        <v>4.3800813008130079</v>
      </c>
      <c r="O3045" s="434">
        <f t="shared" si="1632"/>
        <v>22.760000000000002</v>
      </c>
      <c r="P3045" s="435">
        <f t="shared" si="1633"/>
        <v>21.550000000000001</v>
      </c>
      <c r="AE3045" s="217"/>
      <c r="AF3045" s="217">
        <v>1372</v>
      </c>
      <c r="AH3045">
        <f t="shared" si="1639"/>
        <v>1372</v>
      </c>
    </row>
    <row r="3046" ht="90">
      <c r="A3046" s="217"/>
      <c r="B3046" s="217">
        <v>1372</v>
      </c>
      <c r="C3046" s="217"/>
      <c r="D3046" s="217" t="s">
        <v>17167</v>
      </c>
      <c r="E3046" s="471" t="s">
        <v>20409</v>
      </c>
      <c r="F3046" s="489">
        <v>6259</v>
      </c>
      <c r="G3046" s="470" t="s">
        <v>1597</v>
      </c>
      <c r="H3046" s="499" t="s">
        <v>1535</v>
      </c>
      <c r="I3046" s="483">
        <f>0.08/N3044</f>
        <v>5.4200542005420054e-003</v>
      </c>
      <c r="J3046" s="473">
        <f t="shared" si="1644"/>
        <v>278.72000000000003</v>
      </c>
      <c r="K3046" s="474">
        <f t="shared" si="1645"/>
        <v>1.510677506775068</v>
      </c>
      <c r="L3046" s="475">
        <f t="shared" si="1634"/>
        <v>277.12</v>
      </c>
      <c r="M3046" s="474">
        <f t="shared" si="1646"/>
        <v>1.5020054200542006</v>
      </c>
      <c r="O3046" s="434">
        <f t="shared" si="1632"/>
        <v>278.72000000000003</v>
      </c>
      <c r="P3046" s="435">
        <f t="shared" si="1633"/>
        <v>277.12</v>
      </c>
      <c r="AE3046" s="217"/>
      <c r="AF3046" s="217">
        <v>1372</v>
      </c>
      <c r="AH3046">
        <f t="shared" si="1639"/>
        <v>1372</v>
      </c>
    </row>
    <row r="3047" ht="90">
      <c r="A3047" s="217"/>
      <c r="B3047" s="217">
        <v>1372</v>
      </c>
      <c r="C3047" s="217"/>
      <c r="D3047" s="217" t="s">
        <v>17167</v>
      </c>
      <c r="E3047" s="471" t="s">
        <v>20663</v>
      </c>
      <c r="F3047" s="489">
        <v>6260</v>
      </c>
      <c r="G3047" s="470" t="s">
        <v>1596</v>
      </c>
      <c r="H3047" s="499" t="s">
        <v>1533</v>
      </c>
      <c r="I3047" s="483">
        <f>0.92/N3044</f>
        <v>6.2330623306233068e-002</v>
      </c>
      <c r="J3047" s="473">
        <f t="shared" si="1644"/>
        <v>60.640000000000001</v>
      </c>
      <c r="K3047" s="474">
        <f t="shared" si="1645"/>
        <v>3.7797289972899732</v>
      </c>
      <c r="L3047" s="475">
        <f t="shared" si="1634"/>
        <v>59.039999999999999</v>
      </c>
      <c r="M3047" s="474">
        <f t="shared" si="1646"/>
        <v>3.6800000000000002</v>
      </c>
      <c r="O3047" s="434">
        <f t="shared" si="1632"/>
        <v>60.640000000000001</v>
      </c>
      <c r="P3047" s="435">
        <f t="shared" si="1633"/>
        <v>59.039999999999999</v>
      </c>
      <c r="AE3047" s="217"/>
      <c r="AF3047" s="217">
        <v>1372</v>
      </c>
      <c r="AH3047">
        <f t="shared" si="1639"/>
        <v>1372</v>
      </c>
    </row>
    <row r="3048" ht="60">
      <c r="A3048" s="217"/>
      <c r="B3048" s="217">
        <v>1372</v>
      </c>
      <c r="C3048" s="217"/>
      <c r="D3048" s="217" t="s">
        <v>17167</v>
      </c>
      <c r="E3048" s="471" t="s">
        <v>20665</v>
      </c>
      <c r="F3048" s="489">
        <v>89234</v>
      </c>
      <c r="G3048" s="470" t="s">
        <v>1689</v>
      </c>
      <c r="H3048" s="499" t="s">
        <v>1535</v>
      </c>
      <c r="I3048" s="483">
        <f>1/N3044</f>
        <v>6.7750677506775075e-002</v>
      </c>
      <c r="J3048" s="473">
        <f t="shared" si="1644"/>
        <v>600.26999999999998</v>
      </c>
      <c r="K3048" s="474">
        <f t="shared" si="1645"/>
        <v>40.668699186991873</v>
      </c>
      <c r="L3048" s="475">
        <f t="shared" si="1634"/>
        <v>598.38</v>
      </c>
      <c r="M3048" s="474">
        <f t="shared" si="1646"/>
        <v>40.540650406504071</v>
      </c>
      <c r="O3048" s="434">
        <f t="shared" si="1632"/>
        <v>600.26999999999998</v>
      </c>
      <c r="P3048" s="435">
        <f t="shared" si="1633"/>
        <v>598.38</v>
      </c>
      <c r="AE3048" s="217"/>
      <c r="AF3048" s="217">
        <v>1372</v>
      </c>
      <c r="AH3048">
        <f t="shared" si="1639"/>
        <v>1372</v>
      </c>
    </row>
    <row r="3049" ht="75">
      <c r="A3049" s="217"/>
      <c r="B3049" s="217">
        <v>1372</v>
      </c>
      <c r="C3049" s="217"/>
      <c r="D3049" s="217" t="s">
        <v>17167</v>
      </c>
      <c r="E3049" s="471" t="s">
        <v>20667</v>
      </c>
      <c r="F3049" s="489">
        <v>96158</v>
      </c>
      <c r="G3049" s="470" t="s">
        <v>1767</v>
      </c>
      <c r="H3049" s="499" t="s">
        <v>1535</v>
      </c>
      <c r="I3049" s="483">
        <f>0.27/N3044</f>
        <v>1.8292682926829271e-002</v>
      </c>
      <c r="J3049" s="473">
        <f t="shared" si="1644"/>
        <v>156.81999999999999</v>
      </c>
      <c r="K3049" s="474">
        <f t="shared" si="1645"/>
        <v>2.8686585365853663</v>
      </c>
      <c r="L3049" s="475">
        <f t="shared" si="1634"/>
        <v>154.93000000000001</v>
      </c>
      <c r="M3049" s="474">
        <f t="shared" si="1646"/>
        <v>2.8340853658536589</v>
      </c>
      <c r="O3049" s="434">
        <f t="shared" si="1632"/>
        <v>156.81999999999999</v>
      </c>
      <c r="P3049" s="435">
        <f t="shared" si="1633"/>
        <v>154.93000000000001</v>
      </c>
      <c r="AE3049" s="217"/>
      <c r="AF3049" s="217">
        <v>1372</v>
      </c>
      <c r="AH3049">
        <f t="shared" si="1639"/>
        <v>1372</v>
      </c>
    </row>
    <row r="3050" ht="75">
      <c r="A3050" s="217"/>
      <c r="B3050" s="217">
        <v>1372</v>
      </c>
      <c r="C3050" s="217"/>
      <c r="D3050" s="217" t="s">
        <v>17167</v>
      </c>
      <c r="E3050" s="471" t="s">
        <v>20671</v>
      </c>
      <c r="F3050" s="489">
        <v>96156</v>
      </c>
      <c r="G3050" s="470" t="s">
        <v>1766</v>
      </c>
      <c r="H3050" s="499" t="s">
        <v>1533</v>
      </c>
      <c r="I3050" s="483">
        <f>0.73/N3044</f>
        <v>4.9457994579945798e-002</v>
      </c>
      <c r="J3050" s="473">
        <f t="shared" si="1644"/>
        <v>70.409999999999997</v>
      </c>
      <c r="K3050" s="474">
        <f t="shared" si="1645"/>
        <v>3.4823373983739834</v>
      </c>
      <c r="L3050" s="475">
        <f t="shared" si="1634"/>
        <v>68.519999999999996</v>
      </c>
      <c r="M3050" s="474">
        <f t="shared" si="1646"/>
        <v>3.388861788617886</v>
      </c>
      <c r="O3050" s="434">
        <f t="shared" si="1632"/>
        <v>70.409999999999997</v>
      </c>
      <c r="P3050" s="435">
        <f t="shared" si="1633"/>
        <v>68.519999999999996</v>
      </c>
      <c r="AE3050" s="217"/>
      <c r="AF3050" s="217">
        <v>1372</v>
      </c>
      <c r="AH3050">
        <f t="shared" si="1639"/>
        <v>1372</v>
      </c>
    </row>
    <row r="3051">
      <c r="A3051" s="217"/>
      <c r="B3051" s="217">
        <v>1372</v>
      </c>
      <c r="C3051" s="217"/>
      <c r="D3051" s="217" t="s">
        <v>20644</v>
      </c>
      <c r="E3051" s="471" t="s">
        <v>20672</v>
      </c>
      <c r="F3051" s="489" t="s">
        <v>15502</v>
      </c>
      <c r="G3051" s="488" t="s">
        <v>22127</v>
      </c>
      <c r="H3051" s="482" t="s">
        <v>1535</v>
      </c>
      <c r="I3051" s="483">
        <f>1/N3044</f>
        <v>6.7750677506775075e-002</v>
      </c>
      <c r="J3051" s="473">
        <f t="shared" si="1644"/>
        <v>5.6500000000000004</v>
      </c>
      <c r="K3051" s="474">
        <f t="shared" si="1645"/>
        <v>0.38279132791327919</v>
      </c>
      <c r="L3051" s="475">
        <f t="shared" si="1634"/>
        <v>5.6500000000000004</v>
      </c>
      <c r="M3051" s="474">
        <f t="shared" si="1646"/>
        <v>0.38279132791327919</v>
      </c>
      <c r="O3051" s="434">
        <f t="shared" si="1632"/>
        <v>5.6500000000000004</v>
      </c>
      <c r="P3051" s="435">
        <f t="shared" si="1633"/>
        <v>5.6500000000000004</v>
      </c>
      <c r="AE3051" s="217"/>
      <c r="AF3051" s="217">
        <v>1372</v>
      </c>
      <c r="AH3051">
        <f t="shared" si="1639"/>
        <v>1372</v>
      </c>
    </row>
    <row r="3052" ht="78.75">
      <c r="A3052" s="460">
        <v>1373</v>
      </c>
      <c r="B3052" s="460">
        <v>1373</v>
      </c>
      <c r="C3052" s="460"/>
      <c r="D3052" s="460"/>
      <c r="E3052" s="461">
        <v>1</v>
      </c>
      <c r="F3052" s="462" t="s">
        <v>22148</v>
      </c>
      <c r="G3052" s="477" t="s">
        <v>22149</v>
      </c>
      <c r="H3052" s="478" t="s">
        <v>15528</v>
      </c>
      <c r="I3052" s="479"/>
      <c r="J3052" s="480"/>
      <c r="K3052" s="466">
        <f>SUM(K3053:K3061)</f>
        <v>189.56864472881355</v>
      </c>
      <c r="L3052" s="480"/>
      <c r="M3052" s="466">
        <f>SUM(M3053:M3061)</f>
        <v>188.04152608474578</v>
      </c>
      <c r="N3052" s="467" t="s">
        <v>22146</v>
      </c>
      <c r="O3052" s="434" t="str">
        <f t="shared" ref="O3052:O3115" si="1647">IFERROR(IF(D3052="SINAPI",VLOOKUP(F3052,SINCOMOD,4,FALSE),IF(D3052="INSINAPI",VLOOKUP(F3052,INSINOD,5,FALSE),IF(D3052="SICRO",VLOOKUP(F3052,SICRO,5,FALSE),IF(D3052="COTACAO",VLOOKUP(F3052,COTACAO,6,FALSE),IF(D3052="PRÓPRIO",VLOOKUP(F3052,COMPOD,11,FALSE),IF(D3052="AGESUL",VLOOKUP(F3052,AGESULOD,6,FALSE),IF(D3052="INSAGESUL",VLOOKUP(F3052,INSAGESUL,7,FALSE),"SEM VALOR"))))))),"SEM VALOR")</f>
        <v xml:space="preserve">SEM VALOR</v>
      </c>
      <c r="P3052" s="435" t="str">
        <f t="shared" ref="P3052:P3115" si="1648">IFERROR(IF(D3052="SINAPI",VLOOKUP(F3052,SINCOMOD,6,FALSE),IF(D3052="INSINAPI",VLOOKUP(F3052,INSINOD,6,FALSE),IF(D3052="SICRO",VLOOKUP(F3052,SICRO,5,FALSE),IF(D3052="COTACAO",VLOOKUP(F3052,COTACAO,6,FALSE),IF(D3052="PRÓPRIO",VLOOKUP(F3052,COMPOD,13,FALSE),IF(D3052="AGESUL",VLOOKUP(F3052,AGESULOD,11,FALSE),IF(D3052="INSAGESUL",VLOOKUP(F3052,INSAGESUL,8,FALSE),"SEM VALOR"))))))),"SEM VALOR")</f>
        <v xml:space="preserve">SEM VALOR</v>
      </c>
      <c r="AE3052" s="460">
        <v>1373</v>
      </c>
      <c r="AF3052" s="460"/>
      <c r="AH3052">
        <f t="shared" si="1639"/>
        <v>1373</v>
      </c>
    </row>
    <row r="3053" ht="25.5" customHeight="1">
      <c r="A3053" s="217"/>
      <c r="B3053" s="217">
        <v>1373</v>
      </c>
      <c r="C3053" s="217"/>
      <c r="D3053" s="217" t="s">
        <v>20408</v>
      </c>
      <c r="E3053" s="471" t="s">
        <v>20399</v>
      </c>
      <c r="F3053" s="489">
        <v>44472</v>
      </c>
      <c r="G3053" s="488" t="s">
        <v>12141</v>
      </c>
      <c r="H3053" s="499" t="s">
        <v>31</v>
      </c>
      <c r="I3053" s="483">
        <v>0.80000000000000004</v>
      </c>
      <c r="J3053" s="473">
        <f t="shared" si="1644"/>
        <v>56.189999999999998</v>
      </c>
      <c r="K3053" s="474">
        <f t="shared" ref="K3053:K3061" si="1649">I3053*J3053</f>
        <v>44.951999999999998</v>
      </c>
      <c r="L3053" s="475">
        <f t="shared" ref="L3053:L3116" si="1650">P3053*$L$3</f>
        <v>56.189999999999998</v>
      </c>
      <c r="M3053" s="474">
        <f t="shared" ref="M3053:M3061" si="1651">L3053*I3053</f>
        <v>44.951999999999998</v>
      </c>
      <c r="N3053" s="467" t="s">
        <v>22150</v>
      </c>
      <c r="O3053" s="434">
        <f t="shared" si="1647"/>
        <v>56.189999999999998</v>
      </c>
      <c r="P3053" s="435">
        <f t="shared" si="1648"/>
        <v>56.189999999999998</v>
      </c>
      <c r="AE3053" s="217"/>
      <c r="AF3053" s="217">
        <v>1373</v>
      </c>
      <c r="AH3053">
        <f t="shared" si="1639"/>
        <v>1373</v>
      </c>
    </row>
    <row r="3054">
      <c r="A3054" s="217"/>
      <c r="B3054" s="217">
        <v>1373</v>
      </c>
      <c r="C3054" s="217"/>
      <c r="D3054" s="217" t="s">
        <v>20408</v>
      </c>
      <c r="E3054" s="471" t="s">
        <v>20402</v>
      </c>
      <c r="F3054" s="489">
        <v>44471</v>
      </c>
      <c r="G3054" s="488" t="s">
        <v>13953</v>
      </c>
      <c r="H3054" s="499" t="s">
        <v>31</v>
      </c>
      <c r="I3054" s="483">
        <v>2.31e-003</v>
      </c>
      <c r="J3054" s="473">
        <f t="shared" si="1644"/>
        <v>529.10000000000002</v>
      </c>
      <c r="K3054" s="474">
        <f t="shared" si="1649"/>
        <v>1.222221</v>
      </c>
      <c r="L3054" s="475">
        <f t="shared" si="1650"/>
        <v>529.10000000000002</v>
      </c>
      <c r="M3054" s="474">
        <f t="shared" si="1651"/>
        <v>1.222221</v>
      </c>
      <c r="N3054" s="621">
        <v>5.9000000000000004</v>
      </c>
      <c r="O3054" s="434">
        <f t="shared" si="1647"/>
        <v>529.10000000000002</v>
      </c>
      <c r="P3054" s="435">
        <f t="shared" si="1648"/>
        <v>529.10000000000002</v>
      </c>
      <c r="R3054" s="617">
        <f>14.76/100</f>
        <v>0.14760000000000001</v>
      </c>
      <c r="AE3054" s="217"/>
      <c r="AF3054" s="217">
        <v>1373</v>
      </c>
      <c r="AH3054">
        <f t="shared" si="1639"/>
        <v>1373</v>
      </c>
    </row>
    <row r="3055" ht="30">
      <c r="A3055" s="217"/>
      <c r="B3055" s="217">
        <v>1373</v>
      </c>
      <c r="C3055" s="217"/>
      <c r="D3055" s="217" t="s">
        <v>17167</v>
      </c>
      <c r="E3055" s="471" t="s">
        <v>20405</v>
      </c>
      <c r="F3055" s="489">
        <v>88316</v>
      </c>
      <c r="G3055" s="470" t="s">
        <v>7393</v>
      </c>
      <c r="H3055" s="499" t="s">
        <v>2032</v>
      </c>
      <c r="I3055" s="483">
        <f>3/N3054</f>
        <v>0.50847457627118642</v>
      </c>
      <c r="J3055" s="473">
        <f t="shared" si="1644"/>
        <v>22.760000000000002</v>
      </c>
      <c r="K3055" s="474">
        <f t="shared" si="1649"/>
        <v>11.572881355932203</v>
      </c>
      <c r="L3055" s="475">
        <f t="shared" si="1650"/>
        <v>21.550000000000001</v>
      </c>
      <c r="M3055" s="474">
        <f t="shared" si="1651"/>
        <v>10.957627118644067</v>
      </c>
      <c r="O3055" s="434">
        <f t="shared" si="1647"/>
        <v>22.760000000000002</v>
      </c>
      <c r="P3055" s="435">
        <f t="shared" si="1648"/>
        <v>21.550000000000001</v>
      </c>
      <c r="R3055" s="618">
        <f>R3054*40</f>
        <v>5.9039999999999999</v>
      </c>
      <c r="AE3055" s="217"/>
      <c r="AF3055" s="217">
        <v>1373</v>
      </c>
      <c r="AH3055">
        <f t="shared" si="1639"/>
        <v>1373</v>
      </c>
    </row>
    <row r="3056" ht="90">
      <c r="A3056" s="217"/>
      <c r="B3056" s="217">
        <v>1373</v>
      </c>
      <c r="C3056" s="217"/>
      <c r="D3056" s="217" t="s">
        <v>17167</v>
      </c>
      <c r="E3056" s="471" t="s">
        <v>20409</v>
      </c>
      <c r="F3056" s="489">
        <v>6259</v>
      </c>
      <c r="G3056" s="470" t="s">
        <v>1597</v>
      </c>
      <c r="H3056" s="499" t="s">
        <v>1535</v>
      </c>
      <c r="I3056" s="483">
        <f>0.08/N3054</f>
        <v>1.3559322033898305e-002</v>
      </c>
      <c r="J3056" s="473">
        <f t="shared" si="1644"/>
        <v>278.72000000000003</v>
      </c>
      <c r="K3056" s="474">
        <f t="shared" si="1649"/>
        <v>3.7792542372881357</v>
      </c>
      <c r="L3056" s="475">
        <f t="shared" si="1650"/>
        <v>277.12</v>
      </c>
      <c r="M3056" s="474">
        <f t="shared" si="1651"/>
        <v>3.7575593220338983</v>
      </c>
      <c r="O3056" s="434">
        <f t="shared" si="1647"/>
        <v>278.72000000000003</v>
      </c>
      <c r="P3056" s="435">
        <f t="shared" si="1648"/>
        <v>277.12</v>
      </c>
      <c r="AE3056" s="217"/>
      <c r="AF3056" s="217">
        <v>1373</v>
      </c>
      <c r="AH3056">
        <f t="shared" si="1639"/>
        <v>1373</v>
      </c>
    </row>
    <row r="3057" ht="90">
      <c r="A3057" s="217"/>
      <c r="B3057" s="217">
        <v>1373</v>
      </c>
      <c r="C3057" s="217"/>
      <c r="D3057" s="217" t="s">
        <v>17167</v>
      </c>
      <c r="E3057" s="471" t="s">
        <v>20663</v>
      </c>
      <c r="F3057" s="489">
        <v>6260</v>
      </c>
      <c r="G3057" s="470" t="s">
        <v>1596</v>
      </c>
      <c r="H3057" s="499" t="s">
        <v>1533</v>
      </c>
      <c r="I3057" s="483">
        <f>0.92/N3054</f>
        <v>0.15593220338983049</v>
      </c>
      <c r="J3057" s="473">
        <f t="shared" si="1644"/>
        <v>60.640000000000001</v>
      </c>
      <c r="K3057" s="474">
        <f t="shared" si="1649"/>
        <v>9.4557288135593218</v>
      </c>
      <c r="L3057" s="475">
        <f t="shared" si="1650"/>
        <v>59.039999999999999</v>
      </c>
      <c r="M3057" s="474">
        <f t="shared" si="1651"/>
        <v>9.2062372881355916</v>
      </c>
      <c r="O3057" s="434">
        <f t="shared" si="1647"/>
        <v>60.640000000000001</v>
      </c>
      <c r="P3057" s="435">
        <f t="shared" si="1648"/>
        <v>59.039999999999999</v>
      </c>
      <c r="AE3057" s="217"/>
      <c r="AF3057" s="217">
        <v>1373</v>
      </c>
      <c r="AH3057">
        <f t="shared" si="1639"/>
        <v>1373</v>
      </c>
    </row>
    <row r="3058" ht="60">
      <c r="A3058" s="217"/>
      <c r="B3058" s="217">
        <v>1373</v>
      </c>
      <c r="C3058" s="217"/>
      <c r="D3058" s="217" t="s">
        <v>17167</v>
      </c>
      <c r="E3058" s="471" t="s">
        <v>20665</v>
      </c>
      <c r="F3058" s="489">
        <v>89234</v>
      </c>
      <c r="G3058" s="470" t="s">
        <v>1689</v>
      </c>
      <c r="H3058" s="499" t="s">
        <v>1535</v>
      </c>
      <c r="I3058" s="483">
        <f>1/N3054</f>
        <v>0.16949152542372881</v>
      </c>
      <c r="J3058" s="473">
        <f t="shared" si="1644"/>
        <v>600.26999999999998</v>
      </c>
      <c r="K3058" s="474">
        <f t="shared" si="1649"/>
        <v>101.74067796610169</v>
      </c>
      <c r="L3058" s="475">
        <f t="shared" si="1650"/>
        <v>598.38</v>
      </c>
      <c r="M3058" s="474">
        <f t="shared" si="1651"/>
        <v>101.42033898305084</v>
      </c>
      <c r="O3058" s="434">
        <f t="shared" si="1647"/>
        <v>600.26999999999998</v>
      </c>
      <c r="P3058" s="435">
        <f t="shared" si="1648"/>
        <v>598.38</v>
      </c>
      <c r="AE3058" s="217"/>
      <c r="AF3058" s="217">
        <v>1373</v>
      </c>
      <c r="AH3058">
        <f t="shared" si="1639"/>
        <v>1373</v>
      </c>
    </row>
    <row r="3059" ht="75">
      <c r="A3059" s="217"/>
      <c r="B3059" s="217">
        <v>1373</v>
      </c>
      <c r="C3059" s="217"/>
      <c r="D3059" s="217" t="s">
        <v>17167</v>
      </c>
      <c r="E3059" s="471" t="s">
        <v>20667</v>
      </c>
      <c r="F3059" s="489">
        <v>96158</v>
      </c>
      <c r="G3059" s="470" t="s">
        <v>1767</v>
      </c>
      <c r="H3059" s="499" t="s">
        <v>1535</v>
      </c>
      <c r="I3059" s="483">
        <f>0.27/N3054</f>
        <v>4.576271186440678e-002</v>
      </c>
      <c r="J3059" s="473">
        <f t="shared" si="1644"/>
        <v>156.81999999999999</v>
      </c>
      <c r="K3059" s="474">
        <f t="shared" si="1649"/>
        <v>7.1765084745762708</v>
      </c>
      <c r="L3059" s="475">
        <f t="shared" si="1650"/>
        <v>154.93000000000001</v>
      </c>
      <c r="M3059" s="474">
        <f t="shared" si="1651"/>
        <v>7.0900169491525427</v>
      </c>
      <c r="O3059" s="434">
        <f t="shared" si="1647"/>
        <v>156.81999999999999</v>
      </c>
      <c r="P3059" s="435">
        <f t="shared" si="1648"/>
        <v>154.93000000000001</v>
      </c>
      <c r="AE3059" s="217"/>
      <c r="AF3059" s="217">
        <v>1373</v>
      </c>
      <c r="AH3059">
        <f t="shared" si="1639"/>
        <v>1373</v>
      </c>
    </row>
    <row r="3060" ht="75">
      <c r="A3060" s="217"/>
      <c r="B3060" s="217">
        <v>1373</v>
      </c>
      <c r="C3060" s="217"/>
      <c r="D3060" s="217" t="s">
        <v>17167</v>
      </c>
      <c r="E3060" s="471" t="s">
        <v>20671</v>
      </c>
      <c r="F3060" s="489">
        <v>96156</v>
      </c>
      <c r="G3060" s="470" t="s">
        <v>1766</v>
      </c>
      <c r="H3060" s="499" t="s">
        <v>1533</v>
      </c>
      <c r="I3060" s="483">
        <f>0.73/N3054</f>
        <v>0.12372881355932203</v>
      </c>
      <c r="J3060" s="473">
        <f t="shared" si="1644"/>
        <v>70.409999999999997</v>
      </c>
      <c r="K3060" s="474">
        <f t="shared" si="1649"/>
        <v>8.711745762711864</v>
      </c>
      <c r="L3060" s="475">
        <f t="shared" si="1650"/>
        <v>68.519999999999996</v>
      </c>
      <c r="M3060" s="474">
        <f t="shared" si="1651"/>
        <v>8.4778983050847447</v>
      </c>
      <c r="O3060" s="434">
        <f t="shared" si="1647"/>
        <v>70.409999999999997</v>
      </c>
      <c r="P3060" s="435">
        <f t="shared" si="1648"/>
        <v>68.519999999999996</v>
      </c>
      <c r="AE3060" s="217"/>
      <c r="AF3060" s="217">
        <v>1373</v>
      </c>
      <c r="AH3060">
        <f t="shared" si="1639"/>
        <v>1373</v>
      </c>
    </row>
    <row r="3061">
      <c r="A3061" s="217"/>
      <c r="B3061" s="217">
        <v>1373</v>
      </c>
      <c r="C3061" s="217"/>
      <c r="D3061" s="217" t="s">
        <v>20644</v>
      </c>
      <c r="E3061" s="471" t="s">
        <v>20672</v>
      </c>
      <c r="F3061" s="489" t="s">
        <v>15502</v>
      </c>
      <c r="G3061" s="488" t="s">
        <v>22127</v>
      </c>
      <c r="H3061" s="482" t="s">
        <v>1535</v>
      </c>
      <c r="I3061" s="483">
        <f>1/N3054</f>
        <v>0.16949152542372881</v>
      </c>
      <c r="J3061" s="473">
        <f t="shared" si="1644"/>
        <v>5.6500000000000004</v>
      </c>
      <c r="K3061" s="474">
        <f t="shared" si="1649"/>
        <v>0.9576271186440678</v>
      </c>
      <c r="L3061" s="475">
        <f t="shared" si="1650"/>
        <v>5.6500000000000004</v>
      </c>
      <c r="M3061" s="474">
        <f t="shared" si="1651"/>
        <v>0.9576271186440678</v>
      </c>
      <c r="O3061" s="434">
        <f t="shared" si="1647"/>
        <v>5.6500000000000004</v>
      </c>
      <c r="P3061" s="435">
        <f t="shared" si="1648"/>
        <v>5.6500000000000004</v>
      </c>
      <c r="AE3061" s="217"/>
      <c r="AF3061" s="217">
        <v>1373</v>
      </c>
      <c r="AH3061">
        <f t="shared" si="1639"/>
        <v>1373</v>
      </c>
    </row>
    <row r="3062" ht="63">
      <c r="A3062" s="460">
        <v>1374</v>
      </c>
      <c r="B3062" s="460">
        <v>1374</v>
      </c>
      <c r="C3062" s="460"/>
      <c r="D3062" s="460"/>
      <c r="E3062" s="461">
        <v>1</v>
      </c>
      <c r="F3062" s="462" t="s">
        <v>22151</v>
      </c>
      <c r="G3062" s="477" t="s">
        <v>22152</v>
      </c>
      <c r="H3062" s="478" t="s">
        <v>15528</v>
      </c>
      <c r="I3062" s="479"/>
      <c r="J3062" s="480"/>
      <c r="K3062" s="466">
        <f>SUM(K3063:K3071)</f>
        <v>127.69700697560974</v>
      </c>
      <c r="L3062" s="480"/>
      <c r="M3062" s="466">
        <f>SUM(M3063:M3071)</f>
        <v>127.2391817723577</v>
      </c>
      <c r="N3062" s="467" t="s">
        <v>22125</v>
      </c>
      <c r="O3062" s="434" t="str">
        <f t="shared" si="1647"/>
        <v xml:space="preserve">SEM VALOR</v>
      </c>
      <c r="P3062" s="435" t="str">
        <f t="shared" si="1648"/>
        <v xml:space="preserve">SEM VALOR</v>
      </c>
      <c r="AE3062" s="460">
        <v>1374</v>
      </c>
      <c r="AF3062" s="460"/>
      <c r="AH3062">
        <f t="shared" si="1639"/>
        <v>1374</v>
      </c>
    </row>
    <row r="3063" ht="22.5">
      <c r="A3063" s="217"/>
      <c r="B3063" s="217">
        <v>1374</v>
      </c>
      <c r="C3063" s="217"/>
      <c r="D3063" s="217" t="s">
        <v>20408</v>
      </c>
      <c r="E3063" s="471" t="s">
        <v>20399</v>
      </c>
      <c r="F3063" s="469">
        <v>44472</v>
      </c>
      <c r="G3063" s="470" t="s">
        <v>12141</v>
      </c>
      <c r="H3063" s="499" t="s">
        <v>31</v>
      </c>
      <c r="I3063" s="483">
        <v>0.64800000000000002</v>
      </c>
      <c r="J3063" s="473">
        <f t="shared" si="1644"/>
        <v>56.189999999999998</v>
      </c>
      <c r="K3063" s="474">
        <f t="shared" ref="K3063:K3071" si="1652">I3063*J3063</f>
        <v>36.411119999999997</v>
      </c>
      <c r="L3063" s="475">
        <f t="shared" si="1650"/>
        <v>56.189999999999998</v>
      </c>
      <c r="M3063" s="474">
        <f t="shared" ref="M3063:M3071" si="1653">L3063*I3063</f>
        <v>36.411119999999997</v>
      </c>
      <c r="N3063" s="467" t="s">
        <v>22153</v>
      </c>
      <c r="O3063" s="434">
        <f t="shared" si="1647"/>
        <v>56.189999999999998</v>
      </c>
      <c r="P3063" s="435">
        <f t="shared" si="1648"/>
        <v>56.189999999999998</v>
      </c>
      <c r="R3063" s="437">
        <f>49.2/100</f>
        <v>0.49199999999999999</v>
      </c>
      <c r="AE3063" s="217"/>
      <c r="AF3063" s="217">
        <v>1374</v>
      </c>
      <c r="AH3063">
        <f t="shared" si="1639"/>
        <v>1374</v>
      </c>
    </row>
    <row r="3064">
      <c r="A3064" s="217"/>
      <c r="B3064" s="217">
        <v>1374</v>
      </c>
      <c r="C3064" s="217"/>
      <c r="D3064" s="217" t="s">
        <v>20408</v>
      </c>
      <c r="E3064" s="471" t="s">
        <v>20402</v>
      </c>
      <c r="F3064" s="469">
        <v>44471</v>
      </c>
      <c r="G3064" s="488" t="s">
        <v>13953</v>
      </c>
      <c r="H3064" s="499" t="s">
        <v>31</v>
      </c>
      <c r="I3064" s="483">
        <v>1.3600000000000001e-003</v>
      </c>
      <c r="J3064" s="473">
        <f t="shared" si="1644"/>
        <v>529.10000000000002</v>
      </c>
      <c r="K3064" s="474">
        <f t="shared" si="1652"/>
        <v>0.7195760000000001</v>
      </c>
      <c r="L3064" s="475">
        <f t="shared" si="1650"/>
        <v>529.10000000000002</v>
      </c>
      <c r="M3064" s="474">
        <f t="shared" si="1653"/>
        <v>0.7195760000000001</v>
      </c>
      <c r="N3064" s="621">
        <v>19.68</v>
      </c>
      <c r="O3064" s="434">
        <f t="shared" si="1647"/>
        <v>529.10000000000002</v>
      </c>
      <c r="P3064" s="435">
        <f t="shared" si="1648"/>
        <v>529.10000000000002</v>
      </c>
      <c r="R3064" s="437">
        <f>R3063*40</f>
        <v>19.68</v>
      </c>
      <c r="AE3064" s="217"/>
      <c r="AF3064" s="217">
        <v>1374</v>
      </c>
      <c r="AH3064">
        <f t="shared" si="1639"/>
        <v>1374</v>
      </c>
    </row>
    <row r="3065" ht="30">
      <c r="A3065" s="217"/>
      <c r="B3065" s="217">
        <v>1374</v>
      </c>
      <c r="C3065" s="217"/>
      <c r="D3065" s="217" t="s">
        <v>17167</v>
      </c>
      <c r="E3065" s="471" t="s">
        <v>20405</v>
      </c>
      <c r="F3065" s="489">
        <v>88316</v>
      </c>
      <c r="G3065" s="470" t="s">
        <v>7393</v>
      </c>
      <c r="H3065" s="499" t="s">
        <v>2032</v>
      </c>
      <c r="I3065" s="483">
        <f>3/N3064</f>
        <v>0.1524390243902439</v>
      </c>
      <c r="J3065" s="473">
        <f t="shared" si="1644"/>
        <v>22.760000000000002</v>
      </c>
      <c r="K3065" s="474">
        <f t="shared" si="1652"/>
        <v>3.4695121951219514</v>
      </c>
      <c r="L3065" s="475">
        <f t="shared" si="1650"/>
        <v>21.550000000000001</v>
      </c>
      <c r="M3065" s="474">
        <f t="shared" si="1653"/>
        <v>3.2850609756097562</v>
      </c>
      <c r="O3065" s="434">
        <f t="shared" si="1647"/>
        <v>22.760000000000002</v>
      </c>
      <c r="P3065" s="435">
        <f t="shared" si="1648"/>
        <v>21.550000000000001</v>
      </c>
      <c r="AE3065" s="217"/>
      <c r="AF3065" s="217">
        <v>1374</v>
      </c>
      <c r="AH3065">
        <f t="shared" si="1639"/>
        <v>1374</v>
      </c>
    </row>
    <row r="3066" ht="105">
      <c r="A3066" s="217"/>
      <c r="B3066" s="217">
        <v>1374</v>
      </c>
      <c r="C3066" s="217"/>
      <c r="D3066" s="217" t="s">
        <v>17167</v>
      </c>
      <c r="E3066" s="471" t="s">
        <v>20409</v>
      </c>
      <c r="F3066" s="489">
        <v>5901</v>
      </c>
      <c r="G3066" s="470" t="s">
        <v>1593</v>
      </c>
      <c r="H3066" s="499" t="s">
        <v>1535</v>
      </c>
      <c r="I3066" s="483">
        <f>0.27/N3064</f>
        <v>1.3719512195121953e-002</v>
      </c>
      <c r="J3066" s="473">
        <f t="shared" si="1644"/>
        <v>346.31999999999999</v>
      </c>
      <c r="K3066" s="474">
        <f t="shared" si="1652"/>
        <v>4.7513414634146347</v>
      </c>
      <c r="L3066" s="475">
        <f t="shared" si="1650"/>
        <v>344.72000000000003</v>
      </c>
      <c r="M3066" s="474">
        <f t="shared" si="1653"/>
        <v>4.72939024390244</v>
      </c>
      <c r="O3066" s="434">
        <f t="shared" si="1647"/>
        <v>346.31999999999999</v>
      </c>
      <c r="P3066" s="435">
        <f t="shared" si="1648"/>
        <v>344.72000000000003</v>
      </c>
      <c r="AE3066" s="217"/>
      <c r="AF3066" s="217">
        <v>1374</v>
      </c>
      <c r="AH3066">
        <f t="shared" si="1639"/>
        <v>1374</v>
      </c>
    </row>
    <row r="3067" ht="105">
      <c r="A3067" s="217"/>
      <c r="B3067" s="217">
        <v>1374</v>
      </c>
      <c r="C3067" s="217"/>
      <c r="D3067" s="217" t="s">
        <v>17167</v>
      </c>
      <c r="E3067" s="471" t="s">
        <v>20663</v>
      </c>
      <c r="F3067" s="489">
        <v>5903</v>
      </c>
      <c r="G3067" s="470" t="s">
        <v>1592</v>
      </c>
      <c r="H3067" s="499" t="s">
        <v>1533</v>
      </c>
      <c r="I3067" s="483">
        <f>0.73/N3064</f>
        <v>3.709349593495935e-002</v>
      </c>
      <c r="J3067" s="473">
        <f t="shared" si="1644"/>
        <v>73.879999999999995</v>
      </c>
      <c r="K3067" s="474">
        <f t="shared" si="1652"/>
        <v>2.7404674796747965</v>
      </c>
      <c r="L3067" s="475">
        <f t="shared" si="1650"/>
        <v>72.280000000000001</v>
      </c>
      <c r="M3067" s="474">
        <f t="shared" si="1653"/>
        <v>2.6811178861788618</v>
      </c>
      <c r="O3067" s="434">
        <f t="shared" si="1647"/>
        <v>73.879999999999995</v>
      </c>
      <c r="P3067" s="435">
        <f t="shared" si="1648"/>
        <v>72.280000000000001</v>
      </c>
      <c r="AE3067" s="217"/>
      <c r="AF3067" s="217">
        <v>1374</v>
      </c>
      <c r="AH3067">
        <f t="shared" si="1639"/>
        <v>1374</v>
      </c>
    </row>
    <row r="3068" ht="60">
      <c r="A3068" s="217"/>
      <c r="B3068" s="217">
        <v>1374</v>
      </c>
      <c r="C3068" s="217"/>
      <c r="D3068" s="217" t="s">
        <v>17167</v>
      </c>
      <c r="E3068" s="471" t="s">
        <v>20665</v>
      </c>
      <c r="F3068" s="489">
        <v>89242</v>
      </c>
      <c r="G3068" s="470" t="s">
        <v>1691</v>
      </c>
      <c r="H3068" s="499" t="s">
        <v>1535</v>
      </c>
      <c r="I3068" s="483">
        <f>1/N3064</f>
        <v>5.08130081300813e-002</v>
      </c>
      <c r="J3068" s="473">
        <f t="shared" si="1644"/>
        <v>1419.71</v>
      </c>
      <c r="K3068" s="474">
        <f t="shared" si="1652"/>
        <v>72.139735772357724</v>
      </c>
      <c r="L3068" s="475">
        <f t="shared" si="1650"/>
        <v>1417.8199999999999</v>
      </c>
      <c r="M3068" s="474">
        <f t="shared" si="1653"/>
        <v>72.043699186991859</v>
      </c>
      <c r="O3068" s="434">
        <f t="shared" si="1647"/>
        <v>1419.71</v>
      </c>
      <c r="P3068" s="435">
        <f t="shared" si="1648"/>
        <v>1417.8199999999999</v>
      </c>
      <c r="AE3068" s="217"/>
      <c r="AF3068" s="217">
        <v>1374</v>
      </c>
      <c r="AH3068">
        <f t="shared" si="1639"/>
        <v>1374</v>
      </c>
    </row>
    <row r="3069" ht="75">
      <c r="A3069" s="217"/>
      <c r="B3069" s="217">
        <v>1374</v>
      </c>
      <c r="C3069" s="217"/>
      <c r="D3069" s="217" t="s">
        <v>17167</v>
      </c>
      <c r="E3069" s="471" t="s">
        <v>20667</v>
      </c>
      <c r="F3069" s="489">
        <v>96158</v>
      </c>
      <c r="G3069" s="470" t="s">
        <v>1767</v>
      </c>
      <c r="H3069" s="499" t="s">
        <v>1535</v>
      </c>
      <c r="I3069" s="483">
        <f>0.82/N3064</f>
        <v>4.1666666666666664e-002</v>
      </c>
      <c r="J3069" s="473">
        <f t="shared" si="1644"/>
        <v>156.81999999999999</v>
      </c>
      <c r="K3069" s="474">
        <f t="shared" si="1652"/>
        <v>6.5341666666666658</v>
      </c>
      <c r="L3069" s="475">
        <f t="shared" si="1650"/>
        <v>154.93000000000001</v>
      </c>
      <c r="M3069" s="474">
        <f t="shared" si="1653"/>
        <v>6.4554166666666664</v>
      </c>
      <c r="O3069" s="434">
        <f t="shared" si="1647"/>
        <v>156.81999999999999</v>
      </c>
      <c r="P3069" s="435">
        <f t="shared" si="1648"/>
        <v>154.93000000000001</v>
      </c>
      <c r="AE3069" s="217"/>
      <c r="AF3069" s="217">
        <v>1374</v>
      </c>
      <c r="AH3069">
        <f t="shared" si="1639"/>
        <v>1374</v>
      </c>
    </row>
    <row r="3070" ht="75">
      <c r="A3070" s="217"/>
      <c r="B3070" s="217">
        <v>1374</v>
      </c>
      <c r="C3070" s="217"/>
      <c r="D3070" s="217" t="s">
        <v>17167</v>
      </c>
      <c r="E3070" s="471" t="s">
        <v>20671</v>
      </c>
      <c r="F3070" s="489">
        <v>96156</v>
      </c>
      <c r="G3070" s="470" t="s">
        <v>1766</v>
      </c>
      <c r="H3070" s="499" t="s">
        <v>1533</v>
      </c>
      <c r="I3070" s="483">
        <f>0.18/N3064</f>
        <v>9.1463414634146336e-003</v>
      </c>
      <c r="J3070" s="473">
        <f t="shared" si="1644"/>
        <v>70.409999999999997</v>
      </c>
      <c r="K3070" s="474">
        <f t="shared" si="1652"/>
        <v>0.64399390243902432</v>
      </c>
      <c r="L3070" s="475">
        <f t="shared" si="1650"/>
        <v>68.519999999999996</v>
      </c>
      <c r="M3070" s="474">
        <f t="shared" si="1653"/>
        <v>0.62670731707317062</v>
      </c>
      <c r="O3070" s="434">
        <f t="shared" si="1647"/>
        <v>70.409999999999997</v>
      </c>
      <c r="P3070" s="435">
        <f t="shared" si="1648"/>
        <v>68.519999999999996</v>
      </c>
      <c r="AE3070" s="217"/>
      <c r="AF3070" s="217">
        <v>1374</v>
      </c>
      <c r="AH3070">
        <f t="shared" si="1639"/>
        <v>1374</v>
      </c>
    </row>
    <row r="3071">
      <c r="A3071" s="217"/>
      <c r="B3071" s="217">
        <v>1374</v>
      </c>
      <c r="C3071" s="217"/>
      <c r="D3071" s="217" t="s">
        <v>20644</v>
      </c>
      <c r="E3071" s="471" t="s">
        <v>20672</v>
      </c>
      <c r="F3071" s="489" t="s">
        <v>15502</v>
      </c>
      <c r="G3071" s="488" t="s">
        <v>22127</v>
      </c>
      <c r="H3071" s="482" t="s">
        <v>1535</v>
      </c>
      <c r="I3071" s="483">
        <f>1/N3064</f>
        <v>5.08130081300813e-002</v>
      </c>
      <c r="J3071" s="473">
        <f t="shared" si="1644"/>
        <v>5.6500000000000004</v>
      </c>
      <c r="K3071" s="474">
        <f t="shared" si="1652"/>
        <v>0.28709349593495936</v>
      </c>
      <c r="L3071" s="475">
        <f t="shared" si="1650"/>
        <v>5.6500000000000004</v>
      </c>
      <c r="M3071" s="474">
        <f t="shared" si="1653"/>
        <v>0.28709349593495936</v>
      </c>
      <c r="O3071" s="434">
        <f t="shared" si="1647"/>
        <v>5.6500000000000004</v>
      </c>
      <c r="P3071" s="435">
        <f t="shared" si="1648"/>
        <v>5.6500000000000004</v>
      </c>
      <c r="AE3071" s="217"/>
      <c r="AF3071" s="217">
        <v>1374</v>
      </c>
      <c r="AH3071">
        <f t="shared" si="1639"/>
        <v>1374</v>
      </c>
    </row>
    <row r="3072" ht="63">
      <c r="A3072" s="460">
        <v>1375</v>
      </c>
      <c r="B3072" s="460">
        <v>1375</v>
      </c>
      <c r="C3072" s="460"/>
      <c r="D3072" s="460"/>
      <c r="E3072" s="461">
        <v>1</v>
      </c>
      <c r="F3072" s="462" t="s">
        <v>22154</v>
      </c>
      <c r="G3072" s="477" t="s">
        <v>22155</v>
      </c>
      <c r="H3072" s="478" t="s">
        <v>15528</v>
      </c>
      <c r="I3072" s="479"/>
      <c r="J3072" s="480"/>
      <c r="K3072" s="466">
        <f>SUM(K3073:K3081)</f>
        <v>88.656614674698787</v>
      </c>
      <c r="L3072" s="480"/>
      <c r="M3072" s="466">
        <f>SUM(M3073:M3081)</f>
        <v>88.322277325301187</v>
      </c>
      <c r="N3072" s="467" t="s">
        <v>22130</v>
      </c>
      <c r="O3072" s="434" t="str">
        <f t="shared" si="1647"/>
        <v xml:space="preserve">SEM VALOR</v>
      </c>
      <c r="P3072" s="435" t="str">
        <f t="shared" si="1648"/>
        <v xml:space="preserve">SEM VALOR</v>
      </c>
      <c r="AE3072" s="460">
        <v>1375</v>
      </c>
      <c r="AF3072" s="460"/>
      <c r="AH3072">
        <f t="shared" si="1639"/>
        <v>1375</v>
      </c>
    </row>
    <row r="3073" ht="22.5">
      <c r="A3073" s="217"/>
      <c r="B3073" s="217">
        <v>1375</v>
      </c>
      <c r="C3073" s="217"/>
      <c r="D3073" s="217" t="s">
        <v>20408</v>
      </c>
      <c r="E3073" s="471" t="s">
        <v>20399</v>
      </c>
      <c r="F3073" s="489">
        <v>44472</v>
      </c>
      <c r="G3073" s="488" t="s">
        <v>12141</v>
      </c>
      <c r="H3073" s="499" t="s">
        <v>31</v>
      </c>
      <c r="I3073" s="483">
        <v>0.64800000000000002</v>
      </c>
      <c r="J3073" s="473">
        <f t="shared" si="1644"/>
        <v>56.189999999999998</v>
      </c>
      <c r="K3073" s="474">
        <f t="shared" ref="K3073:K3081" si="1654">I3073*J3073</f>
        <v>36.411119999999997</v>
      </c>
      <c r="L3073" s="475">
        <f t="shared" si="1650"/>
        <v>56.189999999999998</v>
      </c>
      <c r="M3073" s="474">
        <f t="shared" ref="M3073:M3081" si="1655">L3073*I3073</f>
        <v>36.411119999999997</v>
      </c>
      <c r="N3073" s="467" t="s">
        <v>22156</v>
      </c>
      <c r="O3073" s="434">
        <f t="shared" si="1647"/>
        <v>56.189999999999998</v>
      </c>
      <c r="P3073" s="435">
        <f t="shared" si="1648"/>
        <v>56.189999999999998</v>
      </c>
      <c r="AE3073" s="217"/>
      <c r="AF3073" s="217">
        <v>1375</v>
      </c>
      <c r="AH3073">
        <f t="shared" si="1639"/>
        <v>1375</v>
      </c>
    </row>
    <row r="3074">
      <c r="A3074" s="217"/>
      <c r="B3074" s="217">
        <v>1375</v>
      </c>
      <c r="C3074" s="217"/>
      <c r="D3074" s="217" t="s">
        <v>20408</v>
      </c>
      <c r="E3074" s="471" t="s">
        <v>20402</v>
      </c>
      <c r="F3074" s="489">
        <v>44471</v>
      </c>
      <c r="G3074" s="488" t="s">
        <v>13953</v>
      </c>
      <c r="H3074" s="499" t="s">
        <v>31</v>
      </c>
      <c r="I3074" s="483">
        <v>1.3600000000000001e-003</v>
      </c>
      <c r="J3074" s="473">
        <f t="shared" si="1644"/>
        <v>529.10000000000002</v>
      </c>
      <c r="K3074" s="474">
        <f t="shared" si="1654"/>
        <v>0.7195760000000001</v>
      </c>
      <c r="L3074" s="475">
        <f t="shared" si="1650"/>
        <v>529.10000000000002</v>
      </c>
      <c r="M3074" s="474">
        <f t="shared" si="1655"/>
        <v>0.7195760000000001</v>
      </c>
      <c r="N3074" s="621">
        <v>39.840000000000003</v>
      </c>
      <c r="O3074" s="434">
        <f t="shared" si="1647"/>
        <v>529.10000000000002</v>
      </c>
      <c r="P3074" s="435">
        <f t="shared" si="1648"/>
        <v>529.10000000000002</v>
      </c>
      <c r="AE3074" s="217"/>
      <c r="AF3074" s="217">
        <v>1375</v>
      </c>
      <c r="AH3074">
        <f t="shared" si="1639"/>
        <v>1375</v>
      </c>
    </row>
    <row r="3075" ht="30">
      <c r="A3075" s="217"/>
      <c r="B3075" s="217">
        <v>1375</v>
      </c>
      <c r="C3075" s="217"/>
      <c r="D3075" s="217" t="s">
        <v>17167</v>
      </c>
      <c r="E3075" s="471" t="s">
        <v>20405</v>
      </c>
      <c r="F3075" s="489">
        <v>88316</v>
      </c>
      <c r="G3075" s="470" t="s">
        <v>7393</v>
      </c>
      <c r="H3075" s="499" t="s">
        <v>2032</v>
      </c>
      <c r="I3075" s="483">
        <f>5/N3074</f>
        <v>0.12550200803212849</v>
      </c>
      <c r="J3075" s="473">
        <f t="shared" si="1644"/>
        <v>22.760000000000002</v>
      </c>
      <c r="K3075" s="474">
        <f t="shared" si="1654"/>
        <v>2.8564257028112445</v>
      </c>
      <c r="L3075" s="475">
        <f t="shared" si="1650"/>
        <v>21.550000000000001</v>
      </c>
      <c r="M3075" s="474">
        <f t="shared" si="1655"/>
        <v>2.7045682730923692</v>
      </c>
      <c r="O3075" s="434">
        <f t="shared" si="1647"/>
        <v>22.760000000000002</v>
      </c>
      <c r="P3075" s="435">
        <f t="shared" si="1648"/>
        <v>21.550000000000001</v>
      </c>
      <c r="AE3075" s="217"/>
      <c r="AF3075" s="217">
        <v>1375</v>
      </c>
      <c r="AH3075">
        <f t="shared" si="1639"/>
        <v>1375</v>
      </c>
    </row>
    <row r="3076" ht="105">
      <c r="A3076" s="217"/>
      <c r="B3076" s="217">
        <v>1375</v>
      </c>
      <c r="C3076" s="217"/>
      <c r="D3076" s="217" t="s">
        <v>17167</v>
      </c>
      <c r="E3076" s="471" t="s">
        <v>20409</v>
      </c>
      <c r="F3076" s="489">
        <v>5901</v>
      </c>
      <c r="G3076" s="470" t="s">
        <v>1593</v>
      </c>
      <c r="H3076" s="499" t="s">
        <v>1535</v>
      </c>
      <c r="I3076" s="483">
        <f>0.55/N3074</f>
        <v>1.3805220883534136e-002</v>
      </c>
      <c r="J3076" s="473">
        <f t="shared" si="1644"/>
        <v>346.31999999999999</v>
      </c>
      <c r="K3076" s="474">
        <f t="shared" si="1654"/>
        <v>4.7810240963855417</v>
      </c>
      <c r="L3076" s="475">
        <f t="shared" si="1650"/>
        <v>344.72000000000003</v>
      </c>
      <c r="M3076" s="474">
        <f t="shared" si="1655"/>
        <v>4.7589357429718877</v>
      </c>
      <c r="N3076" s="467"/>
      <c r="O3076" s="434">
        <f t="shared" si="1647"/>
        <v>346.31999999999999</v>
      </c>
      <c r="P3076" s="435">
        <f t="shared" si="1648"/>
        <v>344.72000000000003</v>
      </c>
      <c r="AE3076" s="217"/>
      <c r="AF3076" s="217">
        <v>1375</v>
      </c>
      <c r="AH3076">
        <f t="shared" si="1639"/>
        <v>1375</v>
      </c>
    </row>
    <row r="3077" ht="105">
      <c r="A3077" s="217"/>
      <c r="B3077" s="217">
        <v>1375</v>
      </c>
      <c r="C3077" s="217"/>
      <c r="D3077" s="217" t="s">
        <v>17167</v>
      </c>
      <c r="E3077" s="471" t="s">
        <v>20663</v>
      </c>
      <c r="F3077" s="489">
        <v>5903</v>
      </c>
      <c r="G3077" s="470" t="s">
        <v>1592</v>
      </c>
      <c r="H3077" s="499" t="s">
        <v>1533</v>
      </c>
      <c r="I3077" s="483">
        <f>0.45/N3074</f>
        <v>1.1295180722891566e-002</v>
      </c>
      <c r="J3077" s="473">
        <f t="shared" si="1644"/>
        <v>73.879999999999995</v>
      </c>
      <c r="K3077" s="474">
        <f t="shared" si="1654"/>
        <v>0.8344879518072289</v>
      </c>
      <c r="L3077" s="475">
        <f t="shared" si="1650"/>
        <v>72.280000000000001</v>
      </c>
      <c r="M3077" s="474">
        <f t="shared" si="1655"/>
        <v>0.81641566265060239</v>
      </c>
      <c r="N3077" s="467"/>
      <c r="O3077" s="434">
        <f t="shared" si="1647"/>
        <v>73.879999999999995</v>
      </c>
      <c r="P3077" s="435">
        <f t="shared" si="1648"/>
        <v>72.280000000000001</v>
      </c>
      <c r="AE3077" s="217"/>
      <c r="AF3077" s="217">
        <v>1375</v>
      </c>
      <c r="AH3077">
        <f t="shared" si="1639"/>
        <v>1375</v>
      </c>
    </row>
    <row r="3078" ht="60">
      <c r="A3078" s="217"/>
      <c r="B3078" s="217">
        <v>1375</v>
      </c>
      <c r="C3078" s="217"/>
      <c r="D3078" s="217" t="s">
        <v>17167</v>
      </c>
      <c r="E3078" s="471" t="s">
        <v>20665</v>
      </c>
      <c r="F3078" s="489">
        <v>89242</v>
      </c>
      <c r="G3078" s="470" t="s">
        <v>1691</v>
      </c>
      <c r="H3078" s="499" t="s">
        <v>1535</v>
      </c>
      <c r="I3078" s="483">
        <f>1/N3074</f>
        <v>2.5100401606425699e-002</v>
      </c>
      <c r="J3078" s="473">
        <f t="shared" si="1644"/>
        <v>1419.71</v>
      </c>
      <c r="K3078" s="474">
        <f t="shared" si="1654"/>
        <v>35.635291164658632</v>
      </c>
      <c r="L3078" s="475">
        <f t="shared" si="1650"/>
        <v>1417.8199999999999</v>
      </c>
      <c r="M3078" s="474">
        <f t="shared" si="1655"/>
        <v>35.58785140562248</v>
      </c>
      <c r="N3078" s="621"/>
      <c r="O3078" s="434">
        <f t="shared" si="1647"/>
        <v>1419.71</v>
      </c>
      <c r="P3078" s="435">
        <f t="shared" si="1648"/>
        <v>1417.8199999999999</v>
      </c>
      <c r="AE3078" s="217"/>
      <c r="AF3078" s="217">
        <v>1375</v>
      </c>
      <c r="AH3078">
        <f t="shared" si="1639"/>
        <v>1375</v>
      </c>
    </row>
    <row r="3079" ht="75">
      <c r="A3079" s="217"/>
      <c r="B3079" s="217">
        <v>1375</v>
      </c>
      <c r="C3079" s="217"/>
      <c r="D3079" s="217" t="s">
        <v>17167</v>
      </c>
      <c r="E3079" s="471" t="s">
        <v>20667</v>
      </c>
      <c r="F3079" s="489">
        <v>96158</v>
      </c>
      <c r="G3079" s="470" t="s">
        <v>1767</v>
      </c>
      <c r="H3079" s="499" t="s">
        <v>1535</v>
      </c>
      <c r="I3079" s="483">
        <f>0.83*2/N3074</f>
        <v>4.1666666666666664e-002</v>
      </c>
      <c r="J3079" s="473">
        <f t="shared" si="1644"/>
        <v>156.81999999999999</v>
      </c>
      <c r="K3079" s="474">
        <f t="shared" si="1654"/>
        <v>6.5341666666666658</v>
      </c>
      <c r="L3079" s="475">
        <f t="shared" si="1650"/>
        <v>154.93000000000001</v>
      </c>
      <c r="M3079" s="474">
        <f t="shared" si="1655"/>
        <v>6.4554166666666664</v>
      </c>
      <c r="O3079" s="434">
        <f t="shared" si="1647"/>
        <v>156.81999999999999</v>
      </c>
      <c r="P3079" s="435">
        <f t="shared" si="1648"/>
        <v>154.93000000000001</v>
      </c>
      <c r="AE3079" s="217"/>
      <c r="AF3079" s="217">
        <v>1375</v>
      </c>
      <c r="AH3079">
        <f t="shared" ref="AH3079:AH3142" si="1656">IF(AF3079:AF3080=FALSE,AE3079,AF3079)</f>
        <v>1375</v>
      </c>
    </row>
    <row r="3080" ht="75">
      <c r="A3080" s="217"/>
      <c r="B3080" s="217">
        <v>1375</v>
      </c>
      <c r="C3080" s="217"/>
      <c r="D3080" s="217" t="s">
        <v>17167</v>
      </c>
      <c r="E3080" s="471" t="s">
        <v>20671</v>
      </c>
      <c r="F3080" s="489">
        <v>96156</v>
      </c>
      <c r="G3080" s="470" t="s">
        <v>1766</v>
      </c>
      <c r="H3080" s="499" t="s">
        <v>1533</v>
      </c>
      <c r="I3080" s="483">
        <f>0.17*2/N3074</f>
        <v>8.5341365461847393e-003</v>
      </c>
      <c r="J3080" s="473">
        <f t="shared" si="1644"/>
        <v>70.409999999999997</v>
      </c>
      <c r="K3080" s="474">
        <f t="shared" si="1654"/>
        <v>0.60088855421686749</v>
      </c>
      <c r="L3080" s="475">
        <f t="shared" si="1650"/>
        <v>68.519999999999996</v>
      </c>
      <c r="M3080" s="474">
        <f t="shared" si="1655"/>
        <v>0.58475903614457825</v>
      </c>
      <c r="O3080" s="434">
        <f t="shared" si="1647"/>
        <v>70.409999999999997</v>
      </c>
      <c r="P3080" s="435">
        <f t="shared" si="1648"/>
        <v>68.519999999999996</v>
      </c>
      <c r="AE3080" s="217"/>
      <c r="AF3080" s="217">
        <v>1375</v>
      </c>
      <c r="AH3080">
        <f t="shared" si="1656"/>
        <v>1375</v>
      </c>
    </row>
    <row r="3081">
      <c r="A3081" s="217"/>
      <c r="B3081" s="217">
        <v>1375</v>
      </c>
      <c r="C3081" s="217"/>
      <c r="D3081" s="217" t="s">
        <v>20644</v>
      </c>
      <c r="E3081" s="471" t="s">
        <v>20672</v>
      </c>
      <c r="F3081" s="489" t="s">
        <v>15502</v>
      </c>
      <c r="G3081" s="488" t="s">
        <v>22127</v>
      </c>
      <c r="H3081" s="482" t="s">
        <v>1535</v>
      </c>
      <c r="I3081" s="483">
        <f>1*2/N3074</f>
        <v>5.0200803212851398e-002</v>
      </c>
      <c r="J3081" s="473">
        <f t="shared" si="1644"/>
        <v>5.6500000000000004</v>
      </c>
      <c r="K3081" s="474">
        <f t="shared" si="1654"/>
        <v>0.28363453815261042</v>
      </c>
      <c r="L3081" s="475">
        <f t="shared" si="1650"/>
        <v>5.6500000000000004</v>
      </c>
      <c r="M3081" s="474">
        <f t="shared" si="1655"/>
        <v>0.28363453815261042</v>
      </c>
      <c r="O3081" s="434">
        <f t="shared" si="1647"/>
        <v>5.6500000000000004</v>
      </c>
      <c r="P3081" s="435">
        <f t="shared" si="1648"/>
        <v>5.6500000000000004</v>
      </c>
      <c r="AE3081" s="217"/>
      <c r="AF3081" s="217">
        <v>1375</v>
      </c>
      <c r="AH3081">
        <f t="shared" si="1656"/>
        <v>1375</v>
      </c>
    </row>
    <row r="3082" ht="35.25" customHeight="1">
      <c r="A3082" s="460">
        <v>1376</v>
      </c>
      <c r="B3082" s="460">
        <v>1376</v>
      </c>
      <c r="C3082" s="460"/>
      <c r="D3082" s="460"/>
      <c r="E3082" s="461">
        <v>1</v>
      </c>
      <c r="F3082" s="462" t="s">
        <v>22157</v>
      </c>
      <c r="G3082" s="477" t="s">
        <v>20928</v>
      </c>
      <c r="H3082" s="478" t="s">
        <v>15528</v>
      </c>
      <c r="I3082" s="479"/>
      <c r="J3082" s="480"/>
      <c r="K3082" s="466">
        <f>SUM(K3083)</f>
        <v>54.592136000000004</v>
      </c>
      <c r="L3082" s="480"/>
      <c r="M3082" s="466">
        <f>SUM(M3083)</f>
        <v>51.689830000000001</v>
      </c>
      <c r="O3082" s="434" t="str">
        <f t="shared" si="1647"/>
        <v xml:space="preserve">SEM VALOR</v>
      </c>
      <c r="P3082" s="435" t="str">
        <f t="shared" si="1648"/>
        <v xml:space="preserve">SEM VALOR</v>
      </c>
      <c r="AE3082" s="460">
        <v>1376</v>
      </c>
      <c r="AF3082" s="460"/>
      <c r="AH3082">
        <f t="shared" si="1656"/>
        <v>1376</v>
      </c>
    </row>
    <row r="3083" ht="30">
      <c r="A3083" s="217"/>
      <c r="B3083" s="217">
        <v>1376</v>
      </c>
      <c r="C3083" s="217"/>
      <c r="D3083" s="217" t="s">
        <v>17167</v>
      </c>
      <c r="E3083" s="471" t="s">
        <v>20399</v>
      </c>
      <c r="F3083" s="469">
        <v>88316</v>
      </c>
      <c r="G3083" s="470" t="s">
        <v>7393</v>
      </c>
      <c r="H3083" s="482" t="s">
        <v>2032</v>
      </c>
      <c r="I3083" s="483">
        <v>2.3986000000000001</v>
      </c>
      <c r="J3083" s="473">
        <f t="shared" si="1644"/>
        <v>22.760000000000002</v>
      </c>
      <c r="K3083" s="474">
        <f>I3083*J3083</f>
        <v>54.592136000000004</v>
      </c>
      <c r="L3083" s="475">
        <f t="shared" si="1650"/>
        <v>21.550000000000001</v>
      </c>
      <c r="M3083" s="474">
        <f>L3083*I3083</f>
        <v>51.689830000000001</v>
      </c>
      <c r="O3083" s="434">
        <f t="shared" si="1647"/>
        <v>22.760000000000002</v>
      </c>
      <c r="P3083" s="435">
        <f t="shared" si="1648"/>
        <v>21.550000000000001</v>
      </c>
      <c r="AE3083" s="217"/>
      <c r="AF3083" s="217">
        <v>1376</v>
      </c>
      <c r="AH3083">
        <f t="shared" si="1656"/>
        <v>1376</v>
      </c>
    </row>
    <row r="3084" ht="94.5" hidden="1">
      <c r="A3084" s="460">
        <v>1377</v>
      </c>
      <c r="B3084" s="460">
        <v>1377</v>
      </c>
      <c r="C3084" s="460"/>
      <c r="D3084" s="460"/>
      <c r="E3084" s="461">
        <v>1</v>
      </c>
      <c r="F3084" s="462" t="s">
        <v>22158</v>
      </c>
      <c r="G3084" s="477" t="s">
        <v>22159</v>
      </c>
      <c r="H3084" s="478" t="s">
        <v>38</v>
      </c>
      <c r="I3084" s="479"/>
      <c r="J3084" s="480"/>
      <c r="K3084" s="466">
        <f>SUM(K3085:K3090)</f>
        <v>5453595020.5563078</v>
      </c>
      <c r="L3084" s="480"/>
      <c r="M3084" s="466">
        <f>SUM(M3085:M3090)</f>
        <v>5453595020.1113853</v>
      </c>
      <c r="N3084" s="467" t="s">
        <v>22160</v>
      </c>
      <c r="O3084" s="434" t="str">
        <f t="shared" si="1647"/>
        <v xml:space="preserve">SEM VALOR</v>
      </c>
      <c r="P3084" s="435" t="str">
        <f t="shared" si="1648"/>
        <v xml:space="preserve">SEM VALOR</v>
      </c>
      <c r="AE3084" s="460">
        <v>1377</v>
      </c>
      <c r="AF3084" s="460"/>
      <c r="AH3084">
        <f t="shared" si="1656"/>
        <v>1377</v>
      </c>
    </row>
    <row r="3085" ht="60" hidden="1">
      <c r="A3085" s="217"/>
      <c r="B3085" s="217">
        <v>1377</v>
      </c>
      <c r="C3085" s="217"/>
      <c r="D3085" s="217" t="s">
        <v>17167</v>
      </c>
      <c r="E3085" s="471" t="s">
        <v>20399</v>
      </c>
      <c r="F3085" s="489">
        <v>5631</v>
      </c>
      <c r="G3085" s="470" t="s">
        <v>1679</v>
      </c>
      <c r="H3085" s="471" t="s">
        <v>1535</v>
      </c>
      <c r="I3085" s="472">
        <v>4.2200000000000001e-002</v>
      </c>
      <c r="J3085" s="473">
        <f t="shared" si="1644"/>
        <v>220.5</v>
      </c>
      <c r="K3085" s="474">
        <f t="shared" ref="K3085:K3090" si="1657">I3085*J3085</f>
        <v>9.3050999999999995</v>
      </c>
      <c r="L3085" s="475">
        <f t="shared" si="1650"/>
        <v>218.37</v>
      </c>
      <c r="M3085" s="474">
        <f t="shared" ref="M3085:M3090" si="1658">L3085*I3085</f>
        <v>9.2152140000000013</v>
      </c>
      <c r="N3085" s="467" t="s">
        <v>20744</v>
      </c>
      <c r="O3085" s="434">
        <f t="shared" si="1647"/>
        <v>220.5</v>
      </c>
      <c r="P3085" s="435">
        <f t="shared" si="1648"/>
        <v>218.37</v>
      </c>
      <c r="AE3085" s="217"/>
      <c r="AF3085" s="217">
        <v>1377</v>
      </c>
      <c r="AH3085">
        <f t="shared" si="1656"/>
        <v>1377</v>
      </c>
    </row>
    <row r="3086" ht="60" hidden="1">
      <c r="A3086" s="217"/>
      <c r="B3086" s="217">
        <v>1377</v>
      </c>
      <c r="C3086" s="217"/>
      <c r="D3086" s="217" t="s">
        <v>17167</v>
      </c>
      <c r="E3086" s="471" t="s">
        <v>20402</v>
      </c>
      <c r="F3086" s="489">
        <v>5632</v>
      </c>
      <c r="G3086" s="470" t="s">
        <v>1678</v>
      </c>
      <c r="H3086" s="471" t="s">
        <v>1533</v>
      </c>
      <c r="I3086" s="472">
        <v>2.6200000000000001e-002</v>
      </c>
      <c r="J3086" s="473">
        <f t="shared" si="1644"/>
        <v>91.030000000000001</v>
      </c>
      <c r="K3086" s="474">
        <f t="shared" si="1657"/>
        <v>2.3849860000000001</v>
      </c>
      <c r="L3086" s="475">
        <f t="shared" si="1650"/>
        <v>88.900000000000006</v>
      </c>
      <c r="M3086" s="474">
        <f t="shared" si="1658"/>
        <v>2.32918</v>
      </c>
      <c r="O3086" s="434">
        <f t="shared" si="1647"/>
        <v>91.030000000000001</v>
      </c>
      <c r="P3086" s="435">
        <f t="shared" si="1648"/>
        <v>88.900000000000006</v>
      </c>
      <c r="AE3086" s="217"/>
      <c r="AF3086" s="217">
        <v>1377</v>
      </c>
      <c r="AH3086">
        <f t="shared" si="1656"/>
        <v>1377</v>
      </c>
    </row>
    <row r="3087" ht="60" hidden="1">
      <c r="A3087" s="217"/>
      <c r="B3087" s="217">
        <v>1377</v>
      </c>
      <c r="C3087" s="217"/>
      <c r="D3087" s="217" t="s">
        <v>20408</v>
      </c>
      <c r="E3087" s="471" t="s">
        <v>20405</v>
      </c>
      <c r="F3087" s="489">
        <v>20078</v>
      </c>
      <c r="G3087" s="470" t="s">
        <v>20736</v>
      </c>
      <c r="H3087" s="471" t="s">
        <v>31</v>
      </c>
      <c r="I3087" s="472">
        <v>0.1042</v>
      </c>
      <c r="J3087" s="473">
        <f t="shared" si="1644"/>
        <v>31.75</v>
      </c>
      <c r="K3087" s="474">
        <f t="shared" si="1657"/>
        <v>3.3083499999999999</v>
      </c>
      <c r="L3087" s="475">
        <f t="shared" si="1650"/>
        <v>31.75</v>
      </c>
      <c r="M3087" s="474">
        <f t="shared" si="1658"/>
        <v>3.3083499999999999</v>
      </c>
      <c r="O3087" s="434">
        <f t="shared" si="1647"/>
        <v>31.75</v>
      </c>
      <c r="P3087" s="435">
        <f t="shared" si="1648"/>
        <v>31.75</v>
      </c>
      <c r="AE3087" s="217"/>
      <c r="AF3087" s="217">
        <v>1377</v>
      </c>
      <c r="AH3087">
        <f t="shared" si="1656"/>
        <v>1377</v>
      </c>
    </row>
    <row r="3088" ht="45" hidden="1">
      <c r="A3088" s="217"/>
      <c r="B3088" s="217">
        <v>1377</v>
      </c>
      <c r="C3088" s="217"/>
      <c r="D3088" s="217" t="s">
        <v>20644</v>
      </c>
      <c r="E3088" s="471" t="s">
        <v>20409</v>
      </c>
      <c r="F3088" s="482" t="s">
        <v>15350</v>
      </c>
      <c r="G3088" s="470" t="s">
        <v>20183</v>
      </c>
      <c r="H3088" s="471" t="s">
        <v>38</v>
      </c>
      <c r="I3088" s="472" t="s">
        <v>20738</v>
      </c>
      <c r="J3088" s="473">
        <f t="shared" si="1644"/>
        <v>519.38999999999999</v>
      </c>
      <c r="K3088" s="474">
        <f t="shared" si="1657"/>
        <v>5453595000</v>
      </c>
      <c r="L3088" s="475">
        <f t="shared" si="1650"/>
        <v>519.38999999999999</v>
      </c>
      <c r="M3088" s="474">
        <f t="shared" si="1658"/>
        <v>5453595000</v>
      </c>
      <c r="O3088" s="434">
        <f t="shared" si="1647"/>
        <v>519.38999999999999</v>
      </c>
      <c r="P3088" s="435">
        <f t="shared" si="1648"/>
        <v>519.38999999999999</v>
      </c>
      <c r="AE3088" s="217"/>
      <c r="AF3088" s="217">
        <v>1377</v>
      </c>
      <c r="AH3088">
        <f t="shared" si="1656"/>
        <v>1377</v>
      </c>
    </row>
    <row r="3089" ht="30" hidden="1">
      <c r="A3089" s="217"/>
      <c r="B3089" s="217">
        <v>1377</v>
      </c>
      <c r="C3089" s="217"/>
      <c r="D3089" s="217" t="s">
        <v>17167</v>
      </c>
      <c r="E3089" s="471" t="s">
        <v>20663</v>
      </c>
      <c r="F3089" s="489">
        <v>88246</v>
      </c>
      <c r="G3089" s="470" t="s">
        <v>7107</v>
      </c>
      <c r="H3089" s="471" t="s">
        <v>2032</v>
      </c>
      <c r="I3089" s="472">
        <v>0.13009999999999999</v>
      </c>
      <c r="J3089" s="473">
        <f t="shared" si="1644"/>
        <v>19.960000000000001</v>
      </c>
      <c r="K3089" s="474">
        <f t="shared" si="1657"/>
        <v>2.5967959999999999</v>
      </c>
      <c r="L3089" s="475">
        <f t="shared" si="1650"/>
        <v>18.870000000000001</v>
      </c>
      <c r="M3089" s="474">
        <f t="shared" si="1658"/>
        <v>2.454987</v>
      </c>
      <c r="O3089" s="434">
        <f t="shared" si="1647"/>
        <v>19.960000000000001</v>
      </c>
      <c r="P3089" s="435">
        <f t="shared" si="1648"/>
        <v>18.870000000000001</v>
      </c>
      <c r="AE3089" s="217"/>
      <c r="AF3089" s="217">
        <v>1377</v>
      </c>
      <c r="AH3089">
        <f t="shared" si="1656"/>
        <v>1377</v>
      </c>
    </row>
    <row r="3090" ht="30" hidden="1">
      <c r="A3090" s="217"/>
      <c r="B3090" s="217">
        <v>1377</v>
      </c>
      <c r="C3090" s="217"/>
      <c r="D3090" s="217" t="s">
        <v>17167</v>
      </c>
      <c r="E3090" s="471" t="s">
        <v>20665</v>
      </c>
      <c r="F3090" s="489">
        <v>88316</v>
      </c>
      <c r="G3090" s="470" t="s">
        <v>7393</v>
      </c>
      <c r="H3090" s="471" t="s">
        <v>2032</v>
      </c>
      <c r="I3090" s="472">
        <v>0.13009999999999999</v>
      </c>
      <c r="J3090" s="473">
        <f t="shared" si="1644"/>
        <v>22.760000000000002</v>
      </c>
      <c r="K3090" s="474">
        <f t="shared" si="1657"/>
        <v>2.9610760000000003</v>
      </c>
      <c r="L3090" s="475">
        <f t="shared" si="1650"/>
        <v>21.550000000000001</v>
      </c>
      <c r="M3090" s="474">
        <f t="shared" si="1658"/>
        <v>2.803655</v>
      </c>
      <c r="O3090" s="434">
        <f t="shared" si="1647"/>
        <v>22.760000000000002</v>
      </c>
      <c r="P3090" s="435">
        <f t="shared" si="1648"/>
        <v>21.550000000000001</v>
      </c>
      <c r="AE3090" s="217"/>
      <c r="AF3090" s="217">
        <v>1377</v>
      </c>
      <c r="AH3090">
        <f t="shared" si="1656"/>
        <v>1377</v>
      </c>
    </row>
    <row r="3091" ht="94.5" hidden="1">
      <c r="A3091" s="460">
        <v>1378</v>
      </c>
      <c r="B3091" s="460">
        <v>1378</v>
      </c>
      <c r="C3091" s="460"/>
      <c r="D3091" s="460"/>
      <c r="E3091" s="461">
        <v>1</v>
      </c>
      <c r="F3091" s="462" t="s">
        <v>22161</v>
      </c>
      <c r="G3091" s="477" t="s">
        <v>22162</v>
      </c>
      <c r="H3091" s="478" t="s">
        <v>38</v>
      </c>
      <c r="I3091" s="479"/>
      <c r="J3091" s="480"/>
      <c r="K3091" s="466">
        <f>SUM(K3092:K3097)</f>
        <v>8044365029.4059811</v>
      </c>
      <c r="L3091" s="480"/>
      <c r="M3091" s="466">
        <f>SUM(M3092:M3097)</f>
        <v>8044365028.7324257</v>
      </c>
      <c r="N3091" s="467" t="s">
        <v>22163</v>
      </c>
      <c r="O3091" s="434" t="str">
        <f t="shared" si="1647"/>
        <v xml:space="preserve">SEM VALOR</v>
      </c>
      <c r="P3091" s="435" t="str">
        <f t="shared" si="1648"/>
        <v xml:space="preserve">SEM VALOR</v>
      </c>
      <c r="AE3091" s="460">
        <v>1378</v>
      </c>
      <c r="AF3091" s="460"/>
      <c r="AH3091">
        <f t="shared" si="1656"/>
        <v>1378</v>
      </c>
    </row>
    <row r="3092" ht="60" hidden="1">
      <c r="A3092" s="217"/>
      <c r="B3092" s="217">
        <v>1378</v>
      </c>
      <c r="C3092" s="217"/>
      <c r="D3092" s="217" t="s">
        <v>17167</v>
      </c>
      <c r="E3092" s="471" t="s">
        <v>20399</v>
      </c>
      <c r="F3092" s="489">
        <v>5631</v>
      </c>
      <c r="G3092" s="470" t="s">
        <v>1679</v>
      </c>
      <c r="H3092" s="471" t="s">
        <v>1535</v>
      </c>
      <c r="I3092" s="472">
        <v>6.3799999999999996e-002</v>
      </c>
      <c r="J3092" s="473">
        <f t="shared" si="1644"/>
        <v>220.5</v>
      </c>
      <c r="K3092" s="474">
        <f t="shared" ref="K3092:K3097" si="1659">I3092*J3092</f>
        <v>14.0679</v>
      </c>
      <c r="L3092" s="475">
        <f t="shared" si="1650"/>
        <v>218.37</v>
      </c>
      <c r="M3092" s="474">
        <f t="shared" ref="M3092:M3097" si="1660">L3092*I3092</f>
        <v>13.932005999999999</v>
      </c>
      <c r="N3092" s="467" t="s">
        <v>20744</v>
      </c>
      <c r="O3092" s="434">
        <f t="shared" si="1647"/>
        <v>220.5</v>
      </c>
      <c r="P3092" s="435">
        <f t="shared" si="1648"/>
        <v>218.37</v>
      </c>
      <c r="AE3092" s="217"/>
      <c r="AF3092" s="217">
        <v>1378</v>
      </c>
      <c r="AH3092">
        <f t="shared" si="1656"/>
        <v>1378</v>
      </c>
    </row>
    <row r="3093" ht="60" hidden="1">
      <c r="A3093" s="217"/>
      <c r="B3093" s="217">
        <v>1378</v>
      </c>
      <c r="C3093" s="217"/>
      <c r="D3093" s="217" t="s">
        <v>17167</v>
      </c>
      <c r="E3093" s="471" t="s">
        <v>20402</v>
      </c>
      <c r="F3093" s="489">
        <v>5632</v>
      </c>
      <c r="G3093" s="470" t="s">
        <v>1678</v>
      </c>
      <c r="H3093" s="471" t="s">
        <v>1533</v>
      </c>
      <c r="I3093" s="472">
        <v>3.9699999999999999e-002</v>
      </c>
      <c r="J3093" s="473">
        <f t="shared" si="1644"/>
        <v>91.030000000000001</v>
      </c>
      <c r="K3093" s="474">
        <f t="shared" si="1659"/>
        <v>3.6138910000000002</v>
      </c>
      <c r="L3093" s="475">
        <f t="shared" si="1650"/>
        <v>88.900000000000006</v>
      </c>
      <c r="M3093" s="474">
        <f t="shared" si="1660"/>
        <v>3.5293300000000003</v>
      </c>
      <c r="O3093" s="434">
        <f t="shared" si="1647"/>
        <v>91.030000000000001</v>
      </c>
      <c r="P3093" s="435">
        <f t="shared" si="1648"/>
        <v>88.900000000000006</v>
      </c>
      <c r="AE3093" s="217"/>
      <c r="AF3093" s="217">
        <v>1378</v>
      </c>
      <c r="AH3093">
        <f t="shared" si="1656"/>
        <v>1378</v>
      </c>
    </row>
    <row r="3094" ht="60" hidden="1">
      <c r="A3094" s="217"/>
      <c r="B3094" s="217">
        <v>1378</v>
      </c>
      <c r="C3094" s="217"/>
      <c r="D3094" s="217" t="s">
        <v>20408</v>
      </c>
      <c r="E3094" s="471" t="s">
        <v>20405</v>
      </c>
      <c r="F3094" s="489">
        <v>20078</v>
      </c>
      <c r="G3094" s="470" t="s">
        <v>20736</v>
      </c>
      <c r="H3094" s="471" t="s">
        <v>31</v>
      </c>
      <c r="I3094" s="472">
        <v>0.1042</v>
      </c>
      <c r="J3094" s="473">
        <f t="shared" si="1644"/>
        <v>31.75</v>
      </c>
      <c r="K3094" s="474">
        <f t="shared" si="1659"/>
        <v>3.3083499999999999</v>
      </c>
      <c r="L3094" s="475">
        <f t="shared" si="1650"/>
        <v>31.75</v>
      </c>
      <c r="M3094" s="474">
        <f t="shared" si="1660"/>
        <v>3.3083499999999999</v>
      </c>
      <c r="O3094" s="434">
        <f t="shared" si="1647"/>
        <v>31.75</v>
      </c>
      <c r="P3094" s="435">
        <f t="shared" si="1648"/>
        <v>31.75</v>
      </c>
      <c r="AE3094" s="217"/>
      <c r="AF3094" s="217">
        <v>1378</v>
      </c>
      <c r="AH3094">
        <f t="shared" si="1656"/>
        <v>1378</v>
      </c>
    </row>
    <row r="3095" ht="45" hidden="1">
      <c r="A3095" s="217"/>
      <c r="B3095" s="217">
        <v>1378</v>
      </c>
      <c r="C3095" s="217"/>
      <c r="D3095" s="217" t="s">
        <v>20644</v>
      </c>
      <c r="E3095" s="471" t="s">
        <v>20409</v>
      </c>
      <c r="F3095" s="482" t="s">
        <v>15353</v>
      </c>
      <c r="G3095" s="470" t="s">
        <v>20186</v>
      </c>
      <c r="H3095" s="471" t="s">
        <v>38</v>
      </c>
      <c r="I3095" s="472" t="s">
        <v>20738</v>
      </c>
      <c r="J3095" s="473">
        <f t="shared" si="1644"/>
        <v>766.13</v>
      </c>
      <c r="K3095" s="474">
        <f t="shared" si="1659"/>
        <v>8044365000</v>
      </c>
      <c r="L3095" s="475">
        <f t="shared" si="1650"/>
        <v>766.13</v>
      </c>
      <c r="M3095" s="474">
        <f t="shared" si="1660"/>
        <v>8044365000</v>
      </c>
      <c r="O3095" s="434">
        <f t="shared" si="1647"/>
        <v>766.13</v>
      </c>
      <c r="P3095" s="435">
        <f t="shared" si="1648"/>
        <v>766.13</v>
      </c>
      <c r="AE3095" s="217"/>
      <c r="AF3095" s="217">
        <v>1378</v>
      </c>
      <c r="AH3095">
        <f t="shared" si="1656"/>
        <v>1378</v>
      </c>
    </row>
    <row r="3096" ht="30" hidden="1">
      <c r="A3096" s="217"/>
      <c r="B3096" s="217">
        <v>1378</v>
      </c>
      <c r="C3096" s="217"/>
      <c r="D3096" s="217" t="s">
        <v>17167</v>
      </c>
      <c r="E3096" s="471" t="s">
        <v>20663</v>
      </c>
      <c r="F3096" s="489">
        <v>88246</v>
      </c>
      <c r="G3096" s="470" t="s">
        <v>7107</v>
      </c>
      <c r="H3096" s="471" t="s">
        <v>2032</v>
      </c>
      <c r="I3096" s="472">
        <v>0.19700000000000001</v>
      </c>
      <c r="J3096" s="473">
        <f t="shared" si="1644"/>
        <v>19.960000000000001</v>
      </c>
      <c r="K3096" s="474">
        <f t="shared" si="1659"/>
        <v>3.9321200000000003</v>
      </c>
      <c r="L3096" s="475">
        <f t="shared" si="1650"/>
        <v>18.870000000000001</v>
      </c>
      <c r="M3096" s="474">
        <f t="shared" si="1660"/>
        <v>3.7173900000000004</v>
      </c>
      <c r="O3096" s="434">
        <f t="shared" si="1647"/>
        <v>19.960000000000001</v>
      </c>
      <c r="P3096" s="435">
        <f t="shared" si="1648"/>
        <v>18.870000000000001</v>
      </c>
      <c r="AE3096" s="217"/>
      <c r="AF3096" s="217">
        <v>1378</v>
      </c>
      <c r="AH3096">
        <f t="shared" si="1656"/>
        <v>1378</v>
      </c>
    </row>
    <row r="3097" ht="30" hidden="1">
      <c r="A3097" s="217"/>
      <c r="B3097" s="217">
        <v>1378</v>
      </c>
      <c r="C3097" s="217"/>
      <c r="D3097" s="217" t="s">
        <v>17167</v>
      </c>
      <c r="E3097" s="471" t="s">
        <v>20665</v>
      </c>
      <c r="F3097" s="489">
        <v>88316</v>
      </c>
      <c r="G3097" s="470" t="s">
        <v>7393</v>
      </c>
      <c r="H3097" s="471" t="s">
        <v>2032</v>
      </c>
      <c r="I3097" s="472">
        <v>0.19700000000000001</v>
      </c>
      <c r="J3097" s="473">
        <f t="shared" si="1644"/>
        <v>22.760000000000002</v>
      </c>
      <c r="K3097" s="474">
        <f t="shared" si="1659"/>
        <v>4.4837200000000008</v>
      </c>
      <c r="L3097" s="475">
        <f t="shared" si="1650"/>
        <v>21.550000000000001</v>
      </c>
      <c r="M3097" s="474">
        <f t="shared" si="1660"/>
        <v>4.2453500000000002</v>
      </c>
      <c r="O3097" s="434">
        <f t="shared" si="1647"/>
        <v>22.760000000000002</v>
      </c>
      <c r="P3097" s="435">
        <f t="shared" si="1648"/>
        <v>21.550000000000001</v>
      </c>
      <c r="AE3097" s="217"/>
      <c r="AF3097" s="217">
        <v>1378</v>
      </c>
      <c r="AH3097">
        <f t="shared" si="1656"/>
        <v>1378</v>
      </c>
    </row>
    <row r="3098" ht="110.25" hidden="1">
      <c r="A3098" s="460">
        <v>1379</v>
      </c>
      <c r="B3098" s="460">
        <v>1379</v>
      </c>
      <c r="C3098" s="460"/>
      <c r="D3098" s="460"/>
      <c r="E3098" s="461">
        <v>1</v>
      </c>
      <c r="F3098" s="462" t="s">
        <v>22164</v>
      </c>
      <c r="G3098" s="477" t="s">
        <v>22165</v>
      </c>
      <c r="H3098" s="478" t="s">
        <v>31</v>
      </c>
      <c r="I3098" s="479"/>
      <c r="J3098" s="480"/>
      <c r="K3098" s="466">
        <f>SUM(K3099:K3109)</f>
        <v>2331.0845328539999</v>
      </c>
      <c r="L3098" s="480"/>
      <c r="M3098" s="466">
        <f>SUM(M3099:M3109)</f>
        <v>2272.7527794110006</v>
      </c>
      <c r="N3098" s="467" t="s">
        <v>21384</v>
      </c>
      <c r="O3098" s="434" t="str">
        <f t="shared" si="1647"/>
        <v xml:space="preserve">SEM VALOR</v>
      </c>
      <c r="P3098" s="435" t="str">
        <f t="shared" si="1648"/>
        <v xml:space="preserve">SEM VALOR</v>
      </c>
      <c r="AE3098" s="460">
        <v>1379</v>
      </c>
      <c r="AF3098" s="460"/>
      <c r="AH3098">
        <f t="shared" si="1656"/>
        <v>1379</v>
      </c>
    </row>
    <row r="3099" ht="135" hidden="1">
      <c r="A3099" s="217"/>
      <c r="B3099" s="217">
        <v>1379</v>
      </c>
      <c r="C3099" s="217"/>
      <c r="D3099" s="217" t="s">
        <v>17167</v>
      </c>
      <c r="E3099" s="471" t="s">
        <v>20399</v>
      </c>
      <c r="F3099" s="482">
        <v>102281</v>
      </c>
      <c r="G3099" s="470" t="s">
        <v>21471</v>
      </c>
      <c r="H3099" s="482" t="s">
        <v>15528</v>
      </c>
      <c r="I3099" s="483">
        <v>7.9400000000000004</v>
      </c>
      <c r="J3099" s="473">
        <f t="shared" si="1644"/>
        <v>5.8300000000000001</v>
      </c>
      <c r="K3099" s="474">
        <f t="shared" ref="K3099:K3109" si="1661">I3099*J3099</f>
        <v>46.290200000000006</v>
      </c>
      <c r="L3099" s="475">
        <f t="shared" si="1650"/>
        <v>5.7199999999999998</v>
      </c>
      <c r="M3099" s="474">
        <f t="shared" ref="M3099:M3109" si="1662">L3099*I3099</f>
        <v>45.416800000000002</v>
      </c>
      <c r="O3099" s="434">
        <f t="shared" si="1647"/>
        <v>5.8300000000000001</v>
      </c>
      <c r="P3099" s="435">
        <f t="shared" si="1648"/>
        <v>5.7199999999999998</v>
      </c>
      <c r="AE3099" s="217"/>
      <c r="AF3099" s="217">
        <v>1379</v>
      </c>
      <c r="AH3099">
        <f t="shared" si="1656"/>
        <v>1379</v>
      </c>
    </row>
    <row r="3100" ht="45" hidden="1">
      <c r="A3100" s="217"/>
      <c r="B3100" s="217">
        <v>1379</v>
      </c>
      <c r="C3100" s="217"/>
      <c r="D3100" s="217" t="s">
        <v>17167</v>
      </c>
      <c r="E3100" s="471" t="s">
        <v>20402</v>
      </c>
      <c r="F3100" s="482">
        <v>93382</v>
      </c>
      <c r="G3100" s="470" t="s">
        <v>20722</v>
      </c>
      <c r="H3100" s="482" t="s">
        <v>15528</v>
      </c>
      <c r="I3100" s="483">
        <v>4.9800000000000004</v>
      </c>
      <c r="J3100" s="473">
        <f t="shared" si="1644"/>
        <v>27.52</v>
      </c>
      <c r="K3100" s="474">
        <f t="shared" si="1661"/>
        <v>137.0496</v>
      </c>
      <c r="L3100" s="475">
        <f t="shared" si="1650"/>
        <v>26.190000000000001</v>
      </c>
      <c r="M3100" s="474">
        <f t="shared" si="1662"/>
        <v>130.42620000000002</v>
      </c>
      <c r="O3100" s="434">
        <f t="shared" si="1647"/>
        <v>27.52</v>
      </c>
      <c r="P3100" s="435">
        <f t="shared" si="1648"/>
        <v>26.190000000000001</v>
      </c>
      <c r="AE3100" s="217"/>
      <c r="AF3100" s="217">
        <v>1379</v>
      </c>
      <c r="AH3100">
        <f t="shared" si="1656"/>
        <v>1379</v>
      </c>
    </row>
    <row r="3101" ht="75" hidden="1">
      <c r="A3101" s="217"/>
      <c r="B3101" s="217">
        <v>1379</v>
      </c>
      <c r="C3101" s="217"/>
      <c r="D3101" s="217" t="s">
        <v>17167</v>
      </c>
      <c r="E3101" s="471" t="s">
        <v>20405</v>
      </c>
      <c r="F3101" s="482">
        <v>97083</v>
      </c>
      <c r="G3101" s="470" t="s">
        <v>8822</v>
      </c>
      <c r="H3101" s="482" t="s">
        <v>15515</v>
      </c>
      <c r="I3101" s="483">
        <v>3.6099999999999999</v>
      </c>
      <c r="J3101" s="473">
        <f t="shared" si="1644"/>
        <v>3.4900000000000002</v>
      </c>
      <c r="K3101" s="474">
        <f t="shared" si="1661"/>
        <v>12.5989</v>
      </c>
      <c r="L3101" s="475">
        <f t="shared" si="1650"/>
        <v>3.2999999999999998</v>
      </c>
      <c r="M3101" s="474">
        <f t="shared" si="1662"/>
        <v>11.912999999999998</v>
      </c>
      <c r="O3101" s="434">
        <f t="shared" si="1647"/>
        <v>3.4900000000000002</v>
      </c>
      <c r="P3101" s="435">
        <f t="shared" si="1648"/>
        <v>3.2999999999999998</v>
      </c>
      <c r="AE3101" s="217"/>
      <c r="AF3101" s="217">
        <v>1379</v>
      </c>
      <c r="AH3101">
        <f t="shared" si="1656"/>
        <v>1379</v>
      </c>
    </row>
    <row r="3102" ht="75" hidden="1">
      <c r="A3102" s="217"/>
      <c r="B3102" s="217">
        <v>1379</v>
      </c>
      <c r="C3102" s="217"/>
      <c r="D3102" s="217" t="s">
        <v>20398</v>
      </c>
      <c r="E3102" s="471" t="s">
        <v>20409</v>
      </c>
      <c r="F3102" s="482">
        <v>1380</v>
      </c>
      <c r="G3102" s="470" t="s">
        <v>22166</v>
      </c>
      <c r="H3102" s="482" t="s">
        <v>15528</v>
      </c>
      <c r="I3102" s="623">
        <v>0.18099999999999999</v>
      </c>
      <c r="J3102" s="473">
        <f t="shared" ref="J3102:J3165" si="1663">O3102*$J$3</f>
        <v>245.48073399999998</v>
      </c>
      <c r="K3102" s="474">
        <f t="shared" si="1661"/>
        <v>44.432012853999993</v>
      </c>
      <c r="L3102" s="475">
        <f t="shared" si="1650"/>
        <v>238.09553099999997</v>
      </c>
      <c r="M3102" s="474">
        <f t="shared" si="1662"/>
        <v>43.095291110999995</v>
      </c>
      <c r="O3102" s="434">
        <f t="shared" si="1647"/>
        <v>245.48073399999998</v>
      </c>
      <c r="P3102" s="435">
        <f t="shared" si="1648"/>
        <v>238.09553099999997</v>
      </c>
      <c r="AE3102" s="217"/>
      <c r="AF3102" s="217">
        <v>1379</v>
      </c>
      <c r="AH3102">
        <f t="shared" si="1656"/>
        <v>1379</v>
      </c>
    </row>
    <row r="3103" ht="75" hidden="1">
      <c r="A3103" s="217"/>
      <c r="B3103" s="217">
        <v>1379</v>
      </c>
      <c r="C3103" s="217"/>
      <c r="D3103" s="217" t="s">
        <v>17167</v>
      </c>
      <c r="E3103" s="471" t="s">
        <v>20663</v>
      </c>
      <c r="F3103" s="482">
        <v>96531</v>
      </c>
      <c r="G3103" s="470" t="s">
        <v>22167</v>
      </c>
      <c r="H3103" s="482" t="s">
        <v>15515</v>
      </c>
      <c r="I3103" s="483">
        <v>1.3600000000000001</v>
      </c>
      <c r="J3103" s="473">
        <f t="shared" si="1663"/>
        <v>96.560000000000002</v>
      </c>
      <c r="K3103" s="474">
        <f t="shared" si="1661"/>
        <v>131.32160000000002</v>
      </c>
      <c r="L3103" s="475">
        <f t="shared" si="1650"/>
        <v>93.290000000000006</v>
      </c>
      <c r="M3103" s="474">
        <f t="shared" si="1662"/>
        <v>126.87440000000002</v>
      </c>
      <c r="O3103" s="434">
        <f t="shared" si="1647"/>
        <v>96.560000000000002</v>
      </c>
      <c r="P3103" s="435">
        <f t="shared" si="1648"/>
        <v>93.290000000000006</v>
      </c>
      <c r="AE3103" s="217"/>
      <c r="AF3103" s="217">
        <v>1379</v>
      </c>
      <c r="AH3103">
        <f t="shared" si="1656"/>
        <v>1379</v>
      </c>
    </row>
    <row r="3104" ht="60" hidden="1">
      <c r="A3104" s="217"/>
      <c r="B3104" s="217">
        <v>1379</v>
      </c>
      <c r="C3104" s="217"/>
      <c r="D3104" s="217" t="s">
        <v>17167</v>
      </c>
      <c r="E3104" s="471" t="s">
        <v>20665</v>
      </c>
      <c r="F3104" s="482">
        <v>94964</v>
      </c>
      <c r="G3104" s="470" t="s">
        <v>8711</v>
      </c>
      <c r="H3104" s="482" t="s">
        <v>15528</v>
      </c>
      <c r="I3104" s="483">
        <v>0.65500000000000003</v>
      </c>
      <c r="J3104" s="473">
        <f t="shared" si="1663"/>
        <v>488.52999999999997</v>
      </c>
      <c r="K3104" s="474">
        <f t="shared" si="1661"/>
        <v>319.98714999999999</v>
      </c>
      <c r="L3104" s="475">
        <f t="shared" si="1650"/>
        <v>482.79000000000002</v>
      </c>
      <c r="M3104" s="474">
        <f t="shared" si="1662"/>
        <v>316.22745000000003</v>
      </c>
      <c r="O3104" s="434">
        <f t="shared" si="1647"/>
        <v>488.52999999999997</v>
      </c>
      <c r="P3104" s="435">
        <f t="shared" si="1648"/>
        <v>482.79000000000002</v>
      </c>
      <c r="AE3104" s="217"/>
      <c r="AF3104" s="217">
        <v>1379</v>
      </c>
      <c r="AH3104">
        <f t="shared" si="1656"/>
        <v>1379</v>
      </c>
    </row>
    <row r="3105" ht="45" hidden="1">
      <c r="A3105" s="217"/>
      <c r="B3105" s="217">
        <v>1379</v>
      </c>
      <c r="C3105" s="217"/>
      <c r="D3105" s="217" t="s">
        <v>20398</v>
      </c>
      <c r="E3105" s="471" t="s">
        <v>20667</v>
      </c>
      <c r="F3105" s="482">
        <v>1000</v>
      </c>
      <c r="G3105" s="470" t="s">
        <v>20651</v>
      </c>
      <c r="H3105" s="482" t="s">
        <v>15528</v>
      </c>
      <c r="I3105" s="483">
        <f>I3104</f>
        <v>0.65500000000000003</v>
      </c>
      <c r="J3105" s="473">
        <f t="shared" si="1663"/>
        <v>149.904</v>
      </c>
      <c r="K3105" s="474">
        <f t="shared" si="1661"/>
        <v>98.187120000000007</v>
      </c>
      <c r="L3105" s="475">
        <f t="shared" si="1650"/>
        <v>141.76949999999999</v>
      </c>
      <c r="M3105" s="474">
        <f t="shared" si="1662"/>
        <v>92.859022499999995</v>
      </c>
      <c r="O3105" s="434">
        <f t="shared" si="1647"/>
        <v>149.904</v>
      </c>
      <c r="P3105" s="435">
        <f t="shared" si="1648"/>
        <v>141.76949999999999</v>
      </c>
      <c r="AE3105" s="217"/>
      <c r="AF3105" s="217">
        <v>1379</v>
      </c>
      <c r="AH3105">
        <f t="shared" si="1656"/>
        <v>1379</v>
      </c>
    </row>
    <row r="3106" ht="75" hidden="1">
      <c r="A3106" s="217"/>
      <c r="B3106" s="217">
        <v>1379</v>
      </c>
      <c r="C3106" s="217"/>
      <c r="D3106" s="217" t="s">
        <v>20408</v>
      </c>
      <c r="E3106" s="471" t="s">
        <v>20671</v>
      </c>
      <c r="F3106" s="482">
        <v>43127</v>
      </c>
      <c r="G3106" s="470" t="s">
        <v>21386</v>
      </c>
      <c r="H3106" s="482" t="s">
        <v>15515</v>
      </c>
      <c r="I3106" s="483">
        <v>2.8900000000000001</v>
      </c>
      <c r="J3106" s="473">
        <f t="shared" si="1663"/>
        <v>36.710000000000001</v>
      </c>
      <c r="K3106" s="474">
        <f t="shared" si="1661"/>
        <v>106.09190000000001</v>
      </c>
      <c r="L3106" s="475">
        <f t="shared" si="1650"/>
        <v>36.710000000000001</v>
      </c>
      <c r="M3106" s="474">
        <f t="shared" si="1662"/>
        <v>106.09190000000001</v>
      </c>
      <c r="O3106" s="434">
        <f t="shared" si="1647"/>
        <v>36.710000000000001</v>
      </c>
      <c r="P3106" s="435">
        <f t="shared" si="1648"/>
        <v>36.710000000000001</v>
      </c>
      <c r="AE3106" s="217"/>
      <c r="AF3106" s="217">
        <v>1379</v>
      </c>
      <c r="AH3106">
        <f t="shared" si="1656"/>
        <v>1379</v>
      </c>
    </row>
    <row r="3107" ht="75" hidden="1">
      <c r="A3107" s="217"/>
      <c r="B3107" s="217">
        <v>1379</v>
      </c>
      <c r="C3107" s="217"/>
      <c r="D3107" s="217" t="s">
        <v>20398</v>
      </c>
      <c r="E3107" s="471" t="s">
        <v>20672</v>
      </c>
      <c r="F3107" s="482">
        <v>1257</v>
      </c>
      <c r="G3107" s="470" t="s">
        <v>20906</v>
      </c>
      <c r="H3107" s="482" t="s">
        <v>15515</v>
      </c>
      <c r="I3107" s="483">
        <v>5.7000000000000002</v>
      </c>
      <c r="J3107" s="473">
        <f t="shared" si="1663"/>
        <v>202.65134000000003</v>
      </c>
      <c r="K3107" s="474">
        <f t="shared" si="1661"/>
        <v>1155.1126380000003</v>
      </c>
      <c r="L3107" s="475">
        <f t="shared" si="1650"/>
        <v>197.86072000000001</v>
      </c>
      <c r="M3107" s="474">
        <f t="shared" si="1662"/>
        <v>1127.8061040000002</v>
      </c>
      <c r="O3107" s="434">
        <f t="shared" si="1647"/>
        <v>202.65134000000003</v>
      </c>
      <c r="P3107" s="435">
        <f t="shared" si="1648"/>
        <v>197.86072000000001</v>
      </c>
      <c r="AE3107" s="217"/>
      <c r="AF3107" s="217">
        <v>1379</v>
      </c>
      <c r="AH3107">
        <f t="shared" si="1656"/>
        <v>1379</v>
      </c>
    </row>
    <row r="3108" ht="75" hidden="1">
      <c r="A3108" s="217"/>
      <c r="B3108" s="217">
        <v>1379</v>
      </c>
      <c r="C3108" s="217"/>
      <c r="D3108" s="217" t="s">
        <v>17167</v>
      </c>
      <c r="E3108" s="471" t="s">
        <v>20673</v>
      </c>
      <c r="F3108" s="482">
        <v>87879</v>
      </c>
      <c r="G3108" s="470" t="s">
        <v>22168</v>
      </c>
      <c r="H3108" s="482" t="s">
        <v>15515</v>
      </c>
      <c r="I3108" s="483">
        <v>5.7000000000000002</v>
      </c>
      <c r="J3108" s="473">
        <f t="shared" si="1663"/>
        <v>4.5499999999999998</v>
      </c>
      <c r="K3108" s="474">
        <f t="shared" si="1661"/>
        <v>25.934999999999999</v>
      </c>
      <c r="L3108" s="475">
        <f t="shared" si="1650"/>
        <v>4.3600000000000003</v>
      </c>
      <c r="M3108" s="474">
        <f t="shared" si="1662"/>
        <v>24.852000000000004</v>
      </c>
      <c r="O3108" s="434">
        <f t="shared" si="1647"/>
        <v>4.5499999999999998</v>
      </c>
      <c r="P3108" s="435">
        <f t="shared" si="1648"/>
        <v>4.3600000000000003</v>
      </c>
      <c r="AE3108" s="217"/>
      <c r="AF3108" s="217">
        <v>1379</v>
      </c>
      <c r="AH3108">
        <f t="shared" si="1656"/>
        <v>1379</v>
      </c>
    </row>
    <row r="3109" ht="105" hidden="1">
      <c r="A3109" s="217"/>
      <c r="B3109" s="217">
        <v>1379</v>
      </c>
      <c r="C3109" s="217"/>
      <c r="D3109" s="217" t="s">
        <v>20398</v>
      </c>
      <c r="E3109" s="471" t="s">
        <v>20675</v>
      </c>
      <c r="F3109" s="482">
        <v>1001</v>
      </c>
      <c r="G3109" s="470" t="s">
        <v>20655</v>
      </c>
      <c r="H3109" s="482" t="s">
        <v>15515</v>
      </c>
      <c r="I3109" s="483">
        <v>5.7000000000000002</v>
      </c>
      <c r="J3109" s="473">
        <f t="shared" si="1663"/>
        <v>44.575159999999997</v>
      </c>
      <c r="K3109" s="474">
        <f t="shared" si="1661"/>
        <v>254.07841199999999</v>
      </c>
      <c r="L3109" s="475">
        <f t="shared" si="1650"/>
        <v>43.366774000000007</v>
      </c>
      <c r="M3109" s="474">
        <f t="shared" si="1662"/>
        <v>247.19061180000006</v>
      </c>
      <c r="O3109" s="434">
        <f t="shared" si="1647"/>
        <v>44.575159999999997</v>
      </c>
      <c r="P3109" s="435">
        <f t="shared" si="1648"/>
        <v>43.366774000000007</v>
      </c>
      <c r="AE3109" s="217"/>
      <c r="AF3109" s="217">
        <v>1379</v>
      </c>
      <c r="AH3109">
        <f t="shared" si="1656"/>
        <v>1379</v>
      </c>
    </row>
    <row r="3110" ht="82.5" hidden="1" customHeight="1">
      <c r="A3110" s="460">
        <v>1380</v>
      </c>
      <c r="B3110" s="460">
        <v>1380</v>
      </c>
      <c r="C3110" s="460"/>
      <c r="D3110" s="460"/>
      <c r="E3110" s="461">
        <v>1</v>
      </c>
      <c r="F3110" s="462" t="s">
        <v>22169</v>
      </c>
      <c r="G3110" s="477" t="s">
        <v>22166</v>
      </c>
      <c r="H3110" s="478" t="s">
        <v>15528</v>
      </c>
      <c r="I3110" s="479"/>
      <c r="J3110" s="480"/>
      <c r="K3110" s="466">
        <f>SUM(K3111:K3115)</f>
        <v>245.48073399999998</v>
      </c>
      <c r="L3110" s="480"/>
      <c r="M3110" s="466">
        <f>SUM(M3111:M3115)</f>
        <v>238.09553099999997</v>
      </c>
      <c r="N3110" s="467" t="s">
        <v>22170</v>
      </c>
      <c r="O3110" s="434" t="str">
        <f t="shared" si="1647"/>
        <v xml:space="preserve">SEM VALOR</v>
      </c>
      <c r="P3110" s="435" t="str">
        <f t="shared" si="1648"/>
        <v xml:space="preserve">SEM VALOR</v>
      </c>
      <c r="AE3110" s="460">
        <v>1380</v>
      </c>
      <c r="AF3110" s="460"/>
      <c r="AH3110">
        <f t="shared" si="1656"/>
        <v>1380</v>
      </c>
    </row>
    <row r="3111" ht="45" hidden="1">
      <c r="A3111" s="217"/>
      <c r="B3111" s="217">
        <v>1380</v>
      </c>
      <c r="C3111" s="217"/>
      <c r="D3111" s="217" t="s">
        <v>20408</v>
      </c>
      <c r="E3111" s="471" t="s">
        <v>20399</v>
      </c>
      <c r="F3111" s="482">
        <v>4718</v>
      </c>
      <c r="G3111" s="470" t="s">
        <v>13720</v>
      </c>
      <c r="H3111" s="482" t="s">
        <v>15528</v>
      </c>
      <c r="I3111" s="483">
        <v>1.1000000000000001</v>
      </c>
      <c r="J3111" s="473">
        <f t="shared" si="1663"/>
        <v>101.02</v>
      </c>
      <c r="K3111" s="474">
        <f t="shared" ref="K3111:K3115" si="1664">I3111*J3111</f>
        <v>111.122</v>
      </c>
      <c r="L3111" s="475">
        <f t="shared" si="1650"/>
        <v>101.02</v>
      </c>
      <c r="M3111" s="474">
        <f t="shared" ref="M3111:M3115" si="1665">L3111*I3111</f>
        <v>111.122</v>
      </c>
      <c r="O3111" s="434">
        <f t="shared" si="1647"/>
        <v>101.02</v>
      </c>
      <c r="P3111" s="435">
        <f t="shared" si="1648"/>
        <v>101.02</v>
      </c>
      <c r="AE3111" s="217"/>
      <c r="AF3111" s="217">
        <v>1380</v>
      </c>
      <c r="AH3111">
        <f t="shared" si="1656"/>
        <v>1380</v>
      </c>
    </row>
    <row r="3112" ht="30" hidden="1">
      <c r="A3112" s="217"/>
      <c r="B3112" s="217">
        <v>1380</v>
      </c>
      <c r="C3112" s="217"/>
      <c r="D3112" s="217" t="s">
        <v>17167</v>
      </c>
      <c r="E3112" s="471" t="s">
        <v>20402</v>
      </c>
      <c r="F3112" s="482">
        <v>88309</v>
      </c>
      <c r="G3112" s="470" t="s">
        <v>7385</v>
      </c>
      <c r="H3112" s="482" t="s">
        <v>2032</v>
      </c>
      <c r="I3112" s="483">
        <v>2.1092</v>
      </c>
      <c r="J3112" s="473">
        <f t="shared" si="1663"/>
        <v>28.5</v>
      </c>
      <c r="K3112" s="474">
        <f t="shared" si="1664"/>
        <v>60.112200000000001</v>
      </c>
      <c r="L3112" s="475">
        <f t="shared" si="1650"/>
        <v>26.870000000000001</v>
      </c>
      <c r="M3112" s="474">
        <f t="shared" si="1665"/>
        <v>56.674204000000003</v>
      </c>
      <c r="O3112" s="434">
        <f t="shared" si="1647"/>
        <v>28.5</v>
      </c>
      <c r="P3112" s="435">
        <f t="shared" si="1648"/>
        <v>26.870000000000001</v>
      </c>
      <c r="AE3112" s="217"/>
      <c r="AF3112" s="217">
        <v>1380</v>
      </c>
      <c r="AH3112">
        <f t="shared" si="1656"/>
        <v>1380</v>
      </c>
    </row>
    <row r="3113" ht="30" hidden="1">
      <c r="A3113" s="217"/>
      <c r="B3113" s="217">
        <v>1380</v>
      </c>
      <c r="C3113" s="217"/>
      <c r="D3113" s="217" t="s">
        <v>17167</v>
      </c>
      <c r="E3113" s="471" t="s">
        <v>20405</v>
      </c>
      <c r="F3113" s="482">
        <v>88316</v>
      </c>
      <c r="G3113" s="470" t="s">
        <v>7393</v>
      </c>
      <c r="H3113" s="482" t="s">
        <v>2032</v>
      </c>
      <c r="I3113" s="483">
        <v>3.1637</v>
      </c>
      <c r="J3113" s="473">
        <f t="shared" si="1663"/>
        <v>22.760000000000002</v>
      </c>
      <c r="K3113" s="474">
        <f t="shared" si="1664"/>
        <v>72.005812000000006</v>
      </c>
      <c r="L3113" s="475">
        <f t="shared" si="1650"/>
        <v>21.550000000000001</v>
      </c>
      <c r="M3113" s="474">
        <f t="shared" si="1665"/>
        <v>68.177734999999998</v>
      </c>
      <c r="O3113" s="434">
        <f t="shared" si="1647"/>
        <v>22.760000000000002</v>
      </c>
      <c r="P3113" s="435">
        <f t="shared" si="1648"/>
        <v>21.550000000000001</v>
      </c>
      <c r="AE3113" s="217"/>
      <c r="AF3113" s="217">
        <v>1380</v>
      </c>
      <c r="AH3113">
        <f t="shared" si="1656"/>
        <v>1380</v>
      </c>
    </row>
    <row r="3114" ht="60" hidden="1">
      <c r="A3114" s="217"/>
      <c r="B3114" s="217">
        <v>1380</v>
      </c>
      <c r="C3114" s="217"/>
      <c r="D3114" s="217" t="s">
        <v>17167</v>
      </c>
      <c r="E3114" s="471" t="s">
        <v>20409</v>
      </c>
      <c r="F3114" s="482">
        <v>91533</v>
      </c>
      <c r="G3114" s="470" t="s">
        <v>1627</v>
      </c>
      <c r="H3114" s="482" t="s">
        <v>1535</v>
      </c>
      <c r="I3114" s="623">
        <v>3.2500000000000001e-002</v>
      </c>
      <c r="J3114" s="473">
        <f t="shared" si="1663"/>
        <v>39.340000000000003</v>
      </c>
      <c r="K3114" s="474">
        <f t="shared" si="1664"/>
        <v>1.2785500000000001</v>
      </c>
      <c r="L3114" s="475">
        <f t="shared" si="1650"/>
        <v>37.439999999999998</v>
      </c>
      <c r="M3114" s="474">
        <f t="shared" si="1665"/>
        <v>1.2167999999999999</v>
      </c>
      <c r="O3114" s="434">
        <f t="shared" si="1647"/>
        <v>39.340000000000003</v>
      </c>
      <c r="P3114" s="435">
        <f t="shared" si="1648"/>
        <v>37.439999999999998</v>
      </c>
      <c r="AE3114" s="217"/>
      <c r="AF3114" s="217">
        <v>1380</v>
      </c>
      <c r="AH3114">
        <f t="shared" si="1656"/>
        <v>1380</v>
      </c>
    </row>
    <row r="3115" ht="60" hidden="1">
      <c r="A3115" s="217"/>
      <c r="B3115" s="217">
        <v>1380</v>
      </c>
      <c r="C3115" s="217"/>
      <c r="D3115" s="217" t="s">
        <v>17167</v>
      </c>
      <c r="E3115" s="471" t="s">
        <v>20663</v>
      </c>
      <c r="F3115" s="482">
        <v>91534</v>
      </c>
      <c r="G3115" s="470" t="s">
        <v>1626</v>
      </c>
      <c r="H3115" s="482" t="s">
        <v>1533</v>
      </c>
      <c r="I3115" s="483">
        <v>3.0200000000000001e-002</v>
      </c>
      <c r="J3115" s="473">
        <f t="shared" si="1663"/>
        <v>31.859999999999999</v>
      </c>
      <c r="K3115" s="474">
        <f t="shared" si="1664"/>
        <v>0.96217200000000003</v>
      </c>
      <c r="L3115" s="475">
        <f t="shared" si="1650"/>
        <v>29.960000000000001</v>
      </c>
      <c r="M3115" s="474">
        <f t="shared" si="1665"/>
        <v>0.90479200000000004</v>
      </c>
      <c r="O3115" s="434">
        <f t="shared" si="1647"/>
        <v>31.859999999999999</v>
      </c>
      <c r="P3115" s="435">
        <f t="shared" si="1648"/>
        <v>29.960000000000001</v>
      </c>
      <c r="AE3115" s="217"/>
      <c r="AF3115" s="217">
        <v>1380</v>
      </c>
      <c r="AH3115">
        <f t="shared" si="1656"/>
        <v>1380</v>
      </c>
    </row>
    <row r="3116" ht="66" hidden="1" customHeight="1">
      <c r="A3116" s="460">
        <v>1381</v>
      </c>
      <c r="B3116" s="460">
        <v>1381</v>
      </c>
      <c r="C3116" s="460"/>
      <c r="D3116" s="460"/>
      <c r="E3116" s="461">
        <v>1</v>
      </c>
      <c r="F3116" s="462" t="s">
        <v>22171</v>
      </c>
      <c r="G3116" s="477" t="s">
        <v>22172</v>
      </c>
      <c r="H3116" s="478" t="s">
        <v>15515</v>
      </c>
      <c r="I3116" s="479"/>
      <c r="J3116" s="480"/>
      <c r="K3116" s="466">
        <f>SUM(K3117:K3119)</f>
        <v>37.962447999999995</v>
      </c>
      <c r="L3116" s="480"/>
      <c r="M3116" s="466">
        <f>SUM(M3117:M3119)</f>
        <v>36.717966000000004</v>
      </c>
      <c r="N3116" s="467" t="s">
        <v>22173</v>
      </c>
      <c r="O3116" s="434" t="str">
        <f t="shared" ref="O3116:O3179" si="1666">IFERROR(IF(D3116="SINAPI",VLOOKUP(F3116,SINCOMOD,4,FALSE),IF(D3116="INSINAPI",VLOOKUP(F3116,INSINOD,5,FALSE),IF(D3116="SICRO",VLOOKUP(F3116,SICRO,5,FALSE),IF(D3116="COTACAO",VLOOKUP(F3116,COTACAO,6,FALSE),IF(D3116="PRÓPRIO",VLOOKUP(F3116,COMPOD,11,FALSE),IF(D3116="AGESUL",VLOOKUP(F3116,AGESULOD,6,FALSE),IF(D3116="INSAGESUL",VLOOKUP(F3116,INSAGESUL,7,FALSE),"SEM VALOR"))))))),"SEM VALOR")</f>
        <v xml:space="preserve">SEM VALOR</v>
      </c>
      <c r="P3116" s="435" t="str">
        <f t="shared" ref="P3116:P3179" si="1667">IFERROR(IF(D3116="SINAPI",VLOOKUP(F3116,SINCOMOD,6,FALSE),IF(D3116="INSINAPI",VLOOKUP(F3116,INSINOD,6,FALSE),IF(D3116="SICRO",VLOOKUP(F3116,SICRO,5,FALSE),IF(D3116="COTACAO",VLOOKUP(F3116,COTACAO,6,FALSE),IF(D3116="PRÓPRIO",VLOOKUP(F3116,COMPOD,13,FALSE),IF(D3116="AGESUL",VLOOKUP(F3116,AGESULOD,11,FALSE),IF(D3116="INSAGESUL",VLOOKUP(F3116,INSAGESUL,8,FALSE),"SEM VALOR"))))))),"SEM VALOR")</f>
        <v xml:space="preserve">SEM VALOR</v>
      </c>
      <c r="AE3116" s="460">
        <v>1381</v>
      </c>
      <c r="AF3116" s="460"/>
      <c r="AH3116">
        <f t="shared" si="1656"/>
        <v>1381</v>
      </c>
    </row>
    <row r="3117" ht="75" hidden="1">
      <c r="A3117" s="217"/>
      <c r="B3117" s="217">
        <v>1381</v>
      </c>
      <c r="C3117" s="217"/>
      <c r="D3117" s="217" t="s">
        <v>17167</v>
      </c>
      <c r="E3117" s="471" t="s">
        <v>20399</v>
      </c>
      <c r="F3117" s="482">
        <v>87313</v>
      </c>
      <c r="G3117" s="470" t="s">
        <v>198</v>
      </c>
      <c r="H3117" s="482" t="s">
        <v>15528</v>
      </c>
      <c r="I3117" s="483">
        <v>3.7600000000000001e-002</v>
      </c>
      <c r="J3117" s="473">
        <f t="shared" si="1663"/>
        <v>549.88</v>
      </c>
      <c r="K3117" s="474">
        <f t="shared" ref="K3117:K3119" si="1668">I3117*J3117</f>
        <v>20.675488000000001</v>
      </c>
      <c r="L3117" s="475">
        <f t="shared" ref="L3117:L3180" si="1669">P3117*$L$3</f>
        <v>542.65999999999997</v>
      </c>
      <c r="M3117" s="474">
        <f t="shared" ref="M3117:M3119" si="1670">L3117*I3117</f>
        <v>20.404015999999999</v>
      </c>
      <c r="O3117" s="434">
        <f t="shared" si="1666"/>
        <v>549.88</v>
      </c>
      <c r="P3117" s="435">
        <f t="shared" si="1667"/>
        <v>542.65999999999997</v>
      </c>
      <c r="AE3117" s="217"/>
      <c r="AF3117" s="217">
        <v>1381</v>
      </c>
      <c r="AH3117">
        <f t="shared" si="1656"/>
        <v>1381</v>
      </c>
    </row>
    <row r="3118" ht="30" hidden="1">
      <c r="A3118" s="217"/>
      <c r="B3118" s="217">
        <v>1381</v>
      </c>
      <c r="C3118" s="217"/>
      <c r="D3118" s="217" t="s">
        <v>17167</v>
      </c>
      <c r="E3118" s="471" t="s">
        <v>20402</v>
      </c>
      <c r="F3118" s="482">
        <v>88309</v>
      </c>
      <c r="G3118" s="470" t="s">
        <v>7385</v>
      </c>
      <c r="H3118" s="482" t="s">
        <v>2032</v>
      </c>
      <c r="I3118" s="483">
        <v>0.46999999999999997</v>
      </c>
      <c r="J3118" s="473">
        <f t="shared" si="1663"/>
        <v>28.5</v>
      </c>
      <c r="K3118" s="474">
        <f t="shared" si="1668"/>
        <v>13.395</v>
      </c>
      <c r="L3118" s="475">
        <f t="shared" si="1669"/>
        <v>26.870000000000001</v>
      </c>
      <c r="M3118" s="474">
        <f t="shared" si="1670"/>
        <v>12.6289</v>
      </c>
      <c r="O3118" s="434">
        <f t="shared" si="1666"/>
        <v>28.5</v>
      </c>
      <c r="P3118" s="435">
        <f t="shared" si="1667"/>
        <v>26.870000000000001</v>
      </c>
      <c r="AE3118" s="217"/>
      <c r="AF3118" s="217">
        <v>1381</v>
      </c>
      <c r="AH3118">
        <f t="shared" si="1656"/>
        <v>1381</v>
      </c>
    </row>
    <row r="3119" ht="30" hidden="1">
      <c r="A3119" s="217"/>
      <c r="B3119" s="217">
        <v>1381</v>
      </c>
      <c r="C3119" s="217"/>
      <c r="D3119" s="217" t="s">
        <v>17167</v>
      </c>
      <c r="E3119" s="471" t="s">
        <v>20405</v>
      </c>
      <c r="F3119" s="482">
        <v>88316</v>
      </c>
      <c r="G3119" s="470" t="s">
        <v>7393</v>
      </c>
      <c r="H3119" s="482" t="s">
        <v>2032</v>
      </c>
      <c r="I3119" s="483">
        <v>0.17100000000000001</v>
      </c>
      <c r="J3119" s="473">
        <f t="shared" si="1663"/>
        <v>22.760000000000002</v>
      </c>
      <c r="K3119" s="474">
        <f t="shared" si="1668"/>
        <v>3.8919600000000005</v>
      </c>
      <c r="L3119" s="475">
        <f t="shared" si="1669"/>
        <v>21.550000000000001</v>
      </c>
      <c r="M3119" s="474">
        <f t="shared" si="1670"/>
        <v>3.6850500000000004</v>
      </c>
      <c r="O3119" s="434">
        <f t="shared" si="1666"/>
        <v>22.760000000000002</v>
      </c>
      <c r="P3119" s="435">
        <f t="shared" si="1667"/>
        <v>21.550000000000001</v>
      </c>
      <c r="AE3119" s="217"/>
      <c r="AF3119" s="217">
        <v>1381</v>
      </c>
      <c r="AH3119">
        <f t="shared" si="1656"/>
        <v>1381</v>
      </c>
    </row>
    <row r="3120" ht="33.75" hidden="1" customHeight="1">
      <c r="A3120" s="460">
        <v>1382</v>
      </c>
      <c r="B3120" s="460">
        <v>1382</v>
      </c>
      <c r="C3120" s="460"/>
      <c r="D3120" s="460"/>
      <c r="E3120" s="461">
        <v>1</v>
      </c>
      <c r="F3120" s="462" t="s">
        <v>22174</v>
      </c>
      <c r="G3120" s="477" t="s">
        <v>22175</v>
      </c>
      <c r="H3120" s="478" t="s">
        <v>15515</v>
      </c>
      <c r="I3120" s="479"/>
      <c r="J3120" s="480"/>
      <c r="K3120" s="466">
        <f>SUM(K3121:K3127)</f>
        <v>798.45250107499999</v>
      </c>
      <c r="L3120" s="480"/>
      <c r="M3120" s="466">
        <f>SUM(M3121:M3127)</f>
        <v>797.27231307500006</v>
      </c>
      <c r="N3120" s="467" t="s">
        <v>22176</v>
      </c>
      <c r="O3120" s="434" t="str">
        <f t="shared" si="1666"/>
        <v xml:space="preserve">SEM VALOR</v>
      </c>
      <c r="P3120" s="435" t="str">
        <f t="shared" si="1667"/>
        <v xml:space="preserve">SEM VALOR</v>
      </c>
      <c r="AE3120" s="460">
        <v>1382</v>
      </c>
      <c r="AF3120" s="460"/>
      <c r="AH3120">
        <f t="shared" si="1656"/>
        <v>1382</v>
      </c>
    </row>
    <row r="3121" ht="45" hidden="1">
      <c r="A3121" s="217"/>
      <c r="B3121" s="217">
        <v>1382</v>
      </c>
      <c r="C3121" s="217"/>
      <c r="D3121" s="217" t="s">
        <v>17167</v>
      </c>
      <c r="E3121" s="471" t="s">
        <v>20399</v>
      </c>
      <c r="F3121" s="489">
        <v>88267</v>
      </c>
      <c r="G3121" s="488" t="s">
        <v>7321</v>
      </c>
      <c r="H3121" s="482" t="s">
        <v>2032</v>
      </c>
      <c r="I3121" s="483">
        <v>0.4546</v>
      </c>
      <c r="J3121" s="473">
        <f t="shared" si="1663"/>
        <v>27.84</v>
      </c>
      <c r="K3121" s="474">
        <f t="shared" ref="K3121:K3127" si="1671">I3121*J3121</f>
        <v>12.656064000000001</v>
      </c>
      <c r="L3121" s="475">
        <f t="shared" si="1669"/>
        <v>26.219999999999999</v>
      </c>
      <c r="M3121" s="474">
        <f t="shared" ref="M3121:M3127" si="1672">L3121*I3121</f>
        <v>11.919611999999999</v>
      </c>
      <c r="O3121" s="434">
        <f t="shared" si="1666"/>
        <v>27.84</v>
      </c>
      <c r="P3121" s="435">
        <f t="shared" si="1667"/>
        <v>26.219999999999999</v>
      </c>
      <c r="AE3121" s="217"/>
      <c r="AF3121" s="217">
        <v>1382</v>
      </c>
      <c r="AH3121">
        <f t="shared" si="1656"/>
        <v>1382</v>
      </c>
    </row>
    <row r="3122" ht="45" hidden="1">
      <c r="A3122" s="217"/>
      <c r="B3122" s="217">
        <v>1382</v>
      </c>
      <c r="C3122" s="217"/>
      <c r="D3122" s="217" t="s">
        <v>17167</v>
      </c>
      <c r="E3122" s="471" t="s">
        <v>20402</v>
      </c>
      <c r="F3122" s="489">
        <v>88248</v>
      </c>
      <c r="G3122" s="470" t="s">
        <v>7110</v>
      </c>
      <c r="H3122" s="482" t="s">
        <v>2032</v>
      </c>
      <c r="I3122" s="483">
        <v>0.12479999999999999</v>
      </c>
      <c r="J3122" s="473">
        <f t="shared" si="1663"/>
        <v>22.989999999999998</v>
      </c>
      <c r="K3122" s="474">
        <f t="shared" si="1671"/>
        <v>2.8691519999999997</v>
      </c>
      <c r="L3122" s="475">
        <f t="shared" si="1669"/>
        <v>21.73</v>
      </c>
      <c r="M3122" s="474">
        <f t="shared" si="1672"/>
        <v>2.7119040000000001</v>
      </c>
      <c r="O3122" s="434">
        <f t="shared" si="1666"/>
        <v>22.989999999999998</v>
      </c>
      <c r="P3122" s="435">
        <f t="shared" si="1667"/>
        <v>21.73</v>
      </c>
      <c r="AE3122" s="217"/>
      <c r="AF3122" s="217">
        <v>1382</v>
      </c>
      <c r="AH3122">
        <f t="shared" si="1656"/>
        <v>1382</v>
      </c>
    </row>
    <row r="3123" ht="60" hidden="1">
      <c r="A3123" s="217"/>
      <c r="B3123" s="217">
        <v>1382</v>
      </c>
      <c r="C3123" s="217"/>
      <c r="D3123" s="217" t="s">
        <v>20408</v>
      </c>
      <c r="E3123" s="471" t="s">
        <v>20405</v>
      </c>
      <c r="F3123" s="489">
        <v>20078</v>
      </c>
      <c r="G3123" s="470" t="s">
        <v>13698</v>
      </c>
      <c r="H3123" s="482" t="s">
        <v>302</v>
      </c>
      <c r="I3123" s="483">
        <f>(1.01)/6*(0.9/33)</f>
        <v>4.5909000000000002e-003</v>
      </c>
      <c r="J3123" s="473">
        <f t="shared" si="1663"/>
        <v>31.75</v>
      </c>
      <c r="K3123" s="474">
        <f t="shared" si="1671"/>
        <v>0.14576107500000002</v>
      </c>
      <c r="L3123" s="475">
        <f t="shared" si="1669"/>
        <v>31.75</v>
      </c>
      <c r="M3123" s="474">
        <f t="shared" si="1672"/>
        <v>0.14576107500000002</v>
      </c>
      <c r="O3123" s="434">
        <f t="shared" si="1666"/>
        <v>31.75</v>
      </c>
      <c r="P3123" s="435">
        <f t="shared" si="1667"/>
        <v>31.75</v>
      </c>
      <c r="AE3123" s="217"/>
      <c r="AF3123" s="217">
        <v>1382</v>
      </c>
      <c r="AH3123">
        <f t="shared" si="1656"/>
        <v>1382</v>
      </c>
    </row>
    <row r="3124" ht="30" hidden="1">
      <c r="A3124" s="217"/>
      <c r="B3124" s="217">
        <v>1382</v>
      </c>
      <c r="C3124" s="217"/>
      <c r="D3124" s="217" t="s">
        <v>20453</v>
      </c>
      <c r="E3124" s="471" t="s">
        <v>20409</v>
      </c>
      <c r="F3124" s="489" t="s">
        <v>20194</v>
      </c>
      <c r="G3124" s="470" t="s">
        <v>22177</v>
      </c>
      <c r="H3124" s="482" t="s">
        <v>31</v>
      </c>
      <c r="I3124" s="483">
        <v>0.33000000000000002</v>
      </c>
      <c r="J3124" s="473">
        <f t="shared" si="1663"/>
        <v>45.630000000000003</v>
      </c>
      <c r="K3124" s="474">
        <f t="shared" si="1671"/>
        <v>15.057900000000002</v>
      </c>
      <c r="L3124" s="475">
        <f t="shared" si="1669"/>
        <v>45.630000000000003</v>
      </c>
      <c r="M3124" s="474">
        <f t="shared" si="1672"/>
        <v>15.057900000000002</v>
      </c>
      <c r="O3124" s="434">
        <f t="shared" si="1666"/>
        <v>45.630000000000003</v>
      </c>
      <c r="P3124" s="435">
        <f t="shared" si="1667"/>
        <v>45.630000000000003</v>
      </c>
      <c r="AE3124" s="217"/>
      <c r="AF3124" s="217">
        <v>1382</v>
      </c>
      <c r="AH3124">
        <f t="shared" si="1656"/>
        <v>1382</v>
      </c>
    </row>
    <row r="3125" ht="30" hidden="1">
      <c r="A3125" s="217"/>
      <c r="B3125" s="217">
        <v>1382</v>
      </c>
      <c r="C3125" s="217"/>
      <c r="D3125" s="217" t="s">
        <v>20453</v>
      </c>
      <c r="E3125" s="471" t="s">
        <v>20663</v>
      </c>
      <c r="F3125" s="489" t="s">
        <v>20178</v>
      </c>
      <c r="G3125" s="470" t="s">
        <v>22178</v>
      </c>
      <c r="H3125" s="482" t="s">
        <v>38</v>
      </c>
      <c r="I3125" s="483">
        <v>1.01</v>
      </c>
      <c r="J3125" s="473">
        <f t="shared" si="1663"/>
        <v>736</v>
      </c>
      <c r="K3125" s="474">
        <f t="shared" si="1671"/>
        <v>743.36000000000001</v>
      </c>
      <c r="L3125" s="475">
        <f t="shared" si="1669"/>
        <v>736</v>
      </c>
      <c r="M3125" s="474">
        <f t="shared" si="1672"/>
        <v>743.36000000000001</v>
      </c>
      <c r="O3125" s="434">
        <f t="shared" si="1666"/>
        <v>736</v>
      </c>
      <c r="P3125" s="435">
        <f t="shared" si="1667"/>
        <v>736</v>
      </c>
      <c r="AE3125" s="217"/>
      <c r="AF3125" s="217">
        <v>1382</v>
      </c>
      <c r="AH3125">
        <f t="shared" si="1656"/>
        <v>1382</v>
      </c>
    </row>
    <row r="3126" ht="105" hidden="1">
      <c r="A3126" s="217"/>
      <c r="B3126" s="217">
        <v>1382</v>
      </c>
      <c r="C3126" s="217"/>
      <c r="D3126" s="217" t="s">
        <v>17167</v>
      </c>
      <c r="E3126" s="471" t="s">
        <v>20665</v>
      </c>
      <c r="F3126" s="489">
        <v>5928</v>
      </c>
      <c r="G3126" s="470" t="s">
        <v>1739</v>
      </c>
      <c r="H3126" s="482" t="s">
        <v>1535</v>
      </c>
      <c r="I3126" s="578">
        <v>5.5199999999999999e-002</v>
      </c>
      <c r="J3126" s="473">
        <f t="shared" si="1663"/>
        <v>298.70999999999998</v>
      </c>
      <c r="K3126" s="474">
        <f t="shared" si="1671"/>
        <v>16.488792</v>
      </c>
      <c r="L3126" s="475">
        <f t="shared" si="1669"/>
        <v>296.98000000000002</v>
      </c>
      <c r="M3126" s="474">
        <f t="shared" si="1672"/>
        <v>16.393295999999999</v>
      </c>
      <c r="O3126" s="434">
        <f t="shared" si="1666"/>
        <v>298.70999999999998</v>
      </c>
      <c r="P3126" s="435">
        <f t="shared" si="1667"/>
        <v>296.98000000000002</v>
      </c>
      <c r="AE3126" s="217"/>
      <c r="AF3126" s="217">
        <v>1382</v>
      </c>
      <c r="AH3126">
        <f t="shared" si="1656"/>
        <v>1382</v>
      </c>
    </row>
    <row r="3127" ht="105" hidden="1">
      <c r="A3127" s="217"/>
      <c r="B3127" s="217">
        <v>1382</v>
      </c>
      <c r="C3127" s="217"/>
      <c r="D3127" s="217" t="s">
        <v>17167</v>
      </c>
      <c r="E3127" s="471" t="s">
        <v>20667</v>
      </c>
      <c r="F3127" s="489">
        <v>5930</v>
      </c>
      <c r="G3127" s="470" t="s">
        <v>1738</v>
      </c>
      <c r="H3127" s="482" t="s">
        <v>1533</v>
      </c>
      <c r="I3127" s="578">
        <v>0.1104</v>
      </c>
      <c r="J3127" s="473">
        <f t="shared" si="1663"/>
        <v>71.329999999999998</v>
      </c>
      <c r="K3127" s="474">
        <f t="shared" si="1671"/>
        <v>7.8748319999999996</v>
      </c>
      <c r="L3127" s="475">
        <f t="shared" si="1669"/>
        <v>69.599999999999994</v>
      </c>
      <c r="M3127" s="474">
        <f t="shared" si="1672"/>
        <v>7.6838399999999991</v>
      </c>
      <c r="O3127" s="434">
        <f t="shared" si="1666"/>
        <v>71.329999999999998</v>
      </c>
      <c r="P3127" s="435">
        <f t="shared" si="1667"/>
        <v>69.599999999999994</v>
      </c>
      <c r="R3127" s="624" t="s">
        <v>22179</v>
      </c>
      <c r="AE3127" s="217"/>
      <c r="AF3127" s="217">
        <v>1382</v>
      </c>
      <c r="AH3127">
        <f t="shared" si="1656"/>
        <v>1382</v>
      </c>
    </row>
    <row r="3128" ht="78.75" hidden="1">
      <c r="A3128" s="460">
        <v>1383</v>
      </c>
      <c r="B3128" s="460">
        <v>1383</v>
      </c>
      <c r="C3128" s="460"/>
      <c r="D3128" s="460"/>
      <c r="E3128" s="461">
        <v>1</v>
      </c>
      <c r="F3128" s="462" t="s">
        <v>22180</v>
      </c>
      <c r="G3128" s="477" t="s">
        <v>20900</v>
      </c>
      <c r="H3128" s="478" t="s">
        <v>15528</v>
      </c>
      <c r="I3128" s="479"/>
      <c r="J3128" s="480"/>
      <c r="K3128" s="466">
        <f>SUM(K3129:K3131)</f>
        <v>78.299273806000002</v>
      </c>
      <c r="L3128" s="480"/>
      <c r="M3128" s="466">
        <f>SUM(M3129:M3131)</f>
        <v>78.246989795999994</v>
      </c>
      <c r="N3128" s="467" t="s">
        <v>22109</v>
      </c>
      <c r="O3128" s="434" t="str">
        <f t="shared" si="1666"/>
        <v xml:space="preserve">SEM VALOR</v>
      </c>
      <c r="P3128" s="435" t="str">
        <f t="shared" si="1667"/>
        <v xml:space="preserve">SEM VALOR</v>
      </c>
      <c r="AE3128" s="460">
        <v>1383</v>
      </c>
      <c r="AF3128" s="460"/>
      <c r="AH3128">
        <f t="shared" si="1656"/>
        <v>1383</v>
      </c>
    </row>
    <row r="3129" ht="60" hidden="1">
      <c r="A3129" s="217"/>
      <c r="B3129" s="217">
        <v>1383</v>
      </c>
      <c r="C3129" s="217"/>
      <c r="D3129" s="217" t="s">
        <v>17167</v>
      </c>
      <c r="E3129" s="471" t="s">
        <v>20399</v>
      </c>
      <c r="F3129" s="471">
        <v>95127</v>
      </c>
      <c r="G3129" s="535" t="s">
        <v>1657</v>
      </c>
      <c r="H3129" s="471" t="s">
        <v>1535</v>
      </c>
      <c r="I3129" s="509">
        <f>0.33/N3129</f>
        <v>9.0808999999999994e-003</v>
      </c>
      <c r="J3129" s="473">
        <f t="shared" si="1663"/>
        <v>246.74000000000001</v>
      </c>
      <c r="K3129" s="474">
        <f t="shared" ref="K3129:K3131" si="1673">I3129*J3129</f>
        <v>2.2406212659999998</v>
      </c>
      <c r="L3129" s="475">
        <f t="shared" si="1669"/>
        <v>244.84</v>
      </c>
      <c r="M3129" s="474">
        <f t="shared" ref="M3129:M3131" si="1674">L3129*I3129</f>
        <v>2.2233675559999999</v>
      </c>
      <c r="N3129" s="616">
        <v>36.340000000000003</v>
      </c>
      <c r="O3129" s="434">
        <f t="shared" si="1666"/>
        <v>246.74000000000001</v>
      </c>
      <c r="P3129" s="435">
        <f t="shared" si="1667"/>
        <v>244.84</v>
      </c>
      <c r="AE3129" s="217"/>
      <c r="AF3129" s="217">
        <v>1383</v>
      </c>
      <c r="AH3129">
        <f t="shared" si="1656"/>
        <v>1383</v>
      </c>
    </row>
    <row r="3130" ht="60" hidden="1">
      <c r="A3130" s="217"/>
      <c r="B3130" s="217">
        <v>1383</v>
      </c>
      <c r="C3130" s="217"/>
      <c r="D3130" s="217" t="s">
        <v>17167</v>
      </c>
      <c r="E3130" s="471" t="s">
        <v>20402</v>
      </c>
      <c r="F3130" s="482">
        <v>95128</v>
      </c>
      <c r="G3130" s="470" t="s">
        <v>1656</v>
      </c>
      <c r="H3130" s="471" t="s">
        <v>1533</v>
      </c>
      <c r="I3130" s="509">
        <f>0.67/N3129</f>
        <v>1.8436999999999999e-002</v>
      </c>
      <c r="J3130" s="473">
        <f t="shared" si="1663"/>
        <v>57.420000000000002</v>
      </c>
      <c r="K3130" s="474">
        <f t="shared" si="1673"/>
        <v>1.05865254</v>
      </c>
      <c r="L3130" s="475">
        <f t="shared" si="1669"/>
        <v>55.520000000000003</v>
      </c>
      <c r="M3130" s="474">
        <f t="shared" si="1674"/>
        <v>1.0236222399999999</v>
      </c>
      <c r="O3130" s="434">
        <f t="shared" si="1666"/>
        <v>57.420000000000002</v>
      </c>
      <c r="P3130" s="435">
        <f t="shared" si="1667"/>
        <v>55.520000000000003</v>
      </c>
      <c r="AE3130" s="217"/>
      <c r="AF3130" s="217">
        <v>1383</v>
      </c>
      <c r="AH3130">
        <f t="shared" si="1656"/>
        <v>1383</v>
      </c>
    </row>
    <row r="3131" ht="30" hidden="1">
      <c r="A3131" s="217"/>
      <c r="B3131" s="217">
        <v>1383</v>
      </c>
      <c r="C3131" s="217"/>
      <c r="D3131" s="217" t="s">
        <v>20453</v>
      </c>
      <c r="E3131" s="471" t="s">
        <v>20405</v>
      </c>
      <c r="F3131" s="486" t="s">
        <v>20251</v>
      </c>
      <c r="G3131" s="470" t="s">
        <v>20902</v>
      </c>
      <c r="H3131" s="471" t="s">
        <v>15528</v>
      </c>
      <c r="I3131" s="509">
        <v>1</v>
      </c>
      <c r="J3131" s="473">
        <f t="shared" si="1663"/>
        <v>75</v>
      </c>
      <c r="K3131" s="474">
        <f t="shared" si="1673"/>
        <v>75</v>
      </c>
      <c r="L3131" s="475">
        <f t="shared" si="1669"/>
        <v>75</v>
      </c>
      <c r="M3131" s="474">
        <f t="shared" si="1674"/>
        <v>75</v>
      </c>
      <c r="O3131" s="434">
        <f t="shared" si="1666"/>
        <v>75</v>
      </c>
      <c r="P3131" s="435">
        <f t="shared" si="1667"/>
        <v>75</v>
      </c>
      <c r="AE3131" s="217"/>
      <c r="AF3131" s="217">
        <v>1383</v>
      </c>
      <c r="AH3131">
        <f t="shared" si="1656"/>
        <v>1383</v>
      </c>
    </row>
    <row r="3132" ht="96.75" hidden="1" customHeight="1">
      <c r="A3132" s="460">
        <v>1384</v>
      </c>
      <c r="B3132" s="460">
        <v>1384</v>
      </c>
      <c r="C3132" s="460"/>
      <c r="D3132" s="460"/>
      <c r="E3132" s="461">
        <v>1</v>
      </c>
      <c r="F3132" s="462" t="s">
        <v>22181</v>
      </c>
      <c r="G3132" s="477" t="s">
        <v>22182</v>
      </c>
      <c r="H3132" s="478" t="s">
        <v>38</v>
      </c>
      <c r="I3132" s="479"/>
      <c r="J3132" s="480"/>
      <c r="K3132" s="466">
        <f>SUM(K3133:K3138)</f>
        <v>3765.7171129999997</v>
      </c>
      <c r="L3132" s="480"/>
      <c r="M3132" s="466">
        <f>SUM(M3133:M3138)</f>
        <v>3764.5697309999996</v>
      </c>
      <c r="N3132" s="467" t="s">
        <v>22183</v>
      </c>
      <c r="O3132" s="434" t="str">
        <f t="shared" si="1666"/>
        <v xml:space="preserve">SEM VALOR</v>
      </c>
      <c r="P3132" s="435" t="str">
        <f t="shared" si="1667"/>
        <v xml:space="preserve">SEM VALOR</v>
      </c>
      <c r="AE3132" s="460">
        <v>1384</v>
      </c>
      <c r="AF3132" s="460"/>
      <c r="AH3132">
        <f t="shared" si="1656"/>
        <v>1384</v>
      </c>
    </row>
    <row r="3133" ht="60" hidden="1">
      <c r="A3133" s="217"/>
      <c r="B3133" s="217">
        <v>1384</v>
      </c>
      <c r="C3133" s="217"/>
      <c r="D3133" s="217" t="s">
        <v>17167</v>
      </c>
      <c r="E3133" s="471" t="s">
        <v>20399</v>
      </c>
      <c r="F3133" s="489">
        <v>5631</v>
      </c>
      <c r="G3133" s="470" t="s">
        <v>1679</v>
      </c>
      <c r="H3133" s="471" t="s">
        <v>1535</v>
      </c>
      <c r="I3133" s="509">
        <v>0.10879999999999999</v>
      </c>
      <c r="J3133" s="473">
        <f t="shared" si="1663"/>
        <v>220.5</v>
      </c>
      <c r="K3133" s="474">
        <f t="shared" ref="K3133:K3138" si="1675">I3133*J3133</f>
        <v>23.990399999999998</v>
      </c>
      <c r="L3133" s="475">
        <f t="shared" si="1669"/>
        <v>218.37</v>
      </c>
      <c r="M3133" s="474">
        <f t="shared" ref="M3133:M3138" si="1676">L3133*I3133</f>
        <v>23.758655999999998</v>
      </c>
      <c r="N3133" s="467" t="s">
        <v>20744</v>
      </c>
      <c r="O3133" s="434">
        <f t="shared" si="1666"/>
        <v>220.5</v>
      </c>
      <c r="P3133" s="435">
        <f t="shared" si="1667"/>
        <v>218.37</v>
      </c>
      <c r="AE3133" s="217"/>
      <c r="AF3133" s="217">
        <v>1384</v>
      </c>
      <c r="AH3133">
        <f t="shared" si="1656"/>
        <v>1384</v>
      </c>
    </row>
    <row r="3134" ht="60" hidden="1">
      <c r="A3134" s="217"/>
      <c r="B3134" s="217">
        <v>1384</v>
      </c>
      <c r="C3134" s="217"/>
      <c r="D3134" s="217" t="s">
        <v>17167</v>
      </c>
      <c r="E3134" s="471" t="s">
        <v>20402</v>
      </c>
      <c r="F3134" s="489">
        <v>5632</v>
      </c>
      <c r="G3134" s="470" t="s">
        <v>1678</v>
      </c>
      <c r="H3134" s="471" t="s">
        <v>1533</v>
      </c>
      <c r="I3134" s="509">
        <v>6.7599999999999993e-002</v>
      </c>
      <c r="J3134" s="473">
        <f t="shared" si="1663"/>
        <v>91.030000000000001</v>
      </c>
      <c r="K3134" s="474">
        <f t="shared" si="1675"/>
        <v>6.1536279999999994</v>
      </c>
      <c r="L3134" s="475">
        <f t="shared" si="1669"/>
        <v>88.900000000000006</v>
      </c>
      <c r="M3134" s="474">
        <f t="shared" si="1676"/>
        <v>6.0096400000000001</v>
      </c>
      <c r="O3134" s="434">
        <f t="shared" si="1666"/>
        <v>91.030000000000001</v>
      </c>
      <c r="P3134" s="435">
        <f t="shared" si="1667"/>
        <v>88.900000000000006</v>
      </c>
      <c r="AE3134" s="217"/>
      <c r="AF3134" s="217">
        <v>1384</v>
      </c>
      <c r="AH3134">
        <f t="shared" si="1656"/>
        <v>1384</v>
      </c>
    </row>
    <row r="3135" ht="60" hidden="1">
      <c r="A3135" s="217"/>
      <c r="B3135" s="217">
        <v>1384</v>
      </c>
      <c r="C3135" s="217"/>
      <c r="D3135" s="217" t="s">
        <v>20408</v>
      </c>
      <c r="E3135" s="471" t="s">
        <v>20405</v>
      </c>
      <c r="F3135" s="489">
        <v>20078</v>
      </c>
      <c r="G3135" s="470" t="s">
        <v>20736</v>
      </c>
      <c r="H3135" s="471" t="s">
        <v>31</v>
      </c>
      <c r="I3135" s="509">
        <v>0.20830000000000001</v>
      </c>
      <c r="J3135" s="473">
        <f t="shared" si="1663"/>
        <v>31.75</v>
      </c>
      <c r="K3135" s="474">
        <f t="shared" si="1675"/>
        <v>6.6135250000000001</v>
      </c>
      <c r="L3135" s="475">
        <f t="shared" si="1669"/>
        <v>31.75</v>
      </c>
      <c r="M3135" s="474">
        <f t="shared" si="1676"/>
        <v>6.6135250000000001</v>
      </c>
      <c r="O3135" s="434">
        <f t="shared" si="1666"/>
        <v>31.75</v>
      </c>
      <c r="P3135" s="435">
        <f t="shared" si="1667"/>
        <v>31.75</v>
      </c>
      <c r="AE3135" s="217"/>
      <c r="AF3135" s="217">
        <v>1384</v>
      </c>
      <c r="AH3135">
        <f t="shared" si="1656"/>
        <v>1384</v>
      </c>
    </row>
    <row r="3136" ht="45" hidden="1">
      <c r="A3136" s="217"/>
      <c r="B3136" s="217">
        <v>1384</v>
      </c>
      <c r="C3136" s="217"/>
      <c r="D3136" s="217" t="s">
        <v>20644</v>
      </c>
      <c r="E3136" s="471" t="s">
        <v>20409</v>
      </c>
      <c r="F3136" s="482" t="s">
        <v>15378</v>
      </c>
      <c r="G3136" s="470" t="s">
        <v>20752</v>
      </c>
      <c r="H3136" s="471" t="s">
        <v>38</v>
      </c>
      <c r="I3136" s="509">
        <v>1.05</v>
      </c>
      <c r="J3136" s="473">
        <f t="shared" si="1663"/>
        <v>3537.7399999999998</v>
      </c>
      <c r="K3136" s="474">
        <f t="shared" si="1675"/>
        <v>3714.627</v>
      </c>
      <c r="L3136" s="475">
        <f t="shared" si="1669"/>
        <v>3537.7399999999998</v>
      </c>
      <c r="M3136" s="474">
        <f t="shared" si="1676"/>
        <v>3714.627</v>
      </c>
      <c r="O3136" s="434">
        <f t="shared" si="1666"/>
        <v>3537.7399999999998</v>
      </c>
      <c r="P3136" s="435">
        <f t="shared" si="1667"/>
        <v>3537.7399999999998</v>
      </c>
      <c r="AE3136" s="217"/>
      <c r="AF3136" s="217">
        <v>1384</v>
      </c>
      <c r="AH3136">
        <f t="shared" si="1656"/>
        <v>1384</v>
      </c>
    </row>
    <row r="3137" ht="30" hidden="1">
      <c r="A3137" s="217"/>
      <c r="B3137" s="217">
        <v>1384</v>
      </c>
      <c r="C3137" s="217"/>
      <c r="D3137" s="217" t="s">
        <v>17167</v>
      </c>
      <c r="E3137" s="471" t="s">
        <v>20663</v>
      </c>
      <c r="F3137" s="489">
        <v>88246</v>
      </c>
      <c r="G3137" s="470" t="s">
        <v>7107</v>
      </c>
      <c r="H3137" s="471" t="s">
        <v>2032</v>
      </c>
      <c r="I3137" s="509">
        <v>0.33550000000000002</v>
      </c>
      <c r="J3137" s="473">
        <f t="shared" si="1663"/>
        <v>19.960000000000001</v>
      </c>
      <c r="K3137" s="474">
        <f t="shared" si="1675"/>
        <v>6.6965800000000009</v>
      </c>
      <c r="L3137" s="475">
        <f t="shared" si="1669"/>
        <v>18.870000000000001</v>
      </c>
      <c r="M3137" s="474">
        <f t="shared" si="1676"/>
        <v>6.3308850000000003</v>
      </c>
      <c r="O3137" s="434">
        <f t="shared" si="1666"/>
        <v>19.960000000000001</v>
      </c>
      <c r="P3137" s="435">
        <f t="shared" si="1667"/>
        <v>18.870000000000001</v>
      </c>
      <c r="AE3137" s="217"/>
      <c r="AF3137" s="217">
        <v>1384</v>
      </c>
      <c r="AH3137">
        <f t="shared" si="1656"/>
        <v>1384</v>
      </c>
    </row>
    <row r="3138" ht="30" hidden="1">
      <c r="A3138" s="217"/>
      <c r="B3138" s="217">
        <v>1384</v>
      </c>
      <c r="C3138" s="217"/>
      <c r="D3138" s="217" t="s">
        <v>17167</v>
      </c>
      <c r="E3138" s="471" t="s">
        <v>20665</v>
      </c>
      <c r="F3138" s="489">
        <v>88316</v>
      </c>
      <c r="G3138" s="470" t="s">
        <v>7393</v>
      </c>
      <c r="H3138" s="471" t="s">
        <v>2032</v>
      </c>
      <c r="I3138" s="509">
        <v>0.33550000000000002</v>
      </c>
      <c r="J3138" s="473">
        <f t="shared" si="1663"/>
        <v>22.760000000000002</v>
      </c>
      <c r="K3138" s="474">
        <f t="shared" si="1675"/>
        <v>7.6359800000000009</v>
      </c>
      <c r="L3138" s="475">
        <f t="shared" si="1669"/>
        <v>21.550000000000001</v>
      </c>
      <c r="M3138" s="474">
        <f t="shared" si="1676"/>
        <v>7.2300250000000004</v>
      </c>
      <c r="O3138" s="434">
        <f t="shared" si="1666"/>
        <v>22.760000000000002</v>
      </c>
      <c r="P3138" s="435">
        <f t="shared" si="1667"/>
        <v>21.550000000000001</v>
      </c>
      <c r="AE3138" s="217"/>
      <c r="AF3138" s="217">
        <v>1384</v>
      </c>
      <c r="AH3138">
        <f t="shared" si="1656"/>
        <v>1384</v>
      </c>
    </row>
    <row r="3139" ht="35.25" hidden="1" customHeight="1">
      <c r="A3139" s="460">
        <v>1385</v>
      </c>
      <c r="B3139" s="460">
        <v>1385</v>
      </c>
      <c r="C3139" s="460"/>
      <c r="D3139" s="460"/>
      <c r="E3139" s="461">
        <v>1</v>
      </c>
      <c r="F3139" s="462" t="s">
        <v>22184</v>
      </c>
      <c r="G3139" s="477" t="s">
        <v>22185</v>
      </c>
      <c r="H3139" s="478" t="s">
        <v>15515</v>
      </c>
      <c r="I3139" s="479"/>
      <c r="J3139" s="480"/>
      <c r="K3139" s="466" t="e">
        <f>SUM(K3140:K3152)</f>
        <v>#VALUE!</v>
      </c>
      <c r="L3139" s="480"/>
      <c r="M3139" s="466" t="e">
        <f>SUM(M3140:M3152)</f>
        <v>#VALUE!</v>
      </c>
      <c r="N3139" s="467" t="s">
        <v>22186</v>
      </c>
      <c r="O3139" s="434" t="str">
        <f t="shared" si="1666"/>
        <v xml:space="preserve">SEM VALOR</v>
      </c>
      <c r="P3139" s="435" t="str">
        <f t="shared" si="1667"/>
        <v xml:space="preserve">SEM VALOR</v>
      </c>
      <c r="AE3139" s="460">
        <v>1385</v>
      </c>
      <c r="AF3139" s="460"/>
      <c r="AH3139">
        <f t="shared" si="1656"/>
        <v>1385</v>
      </c>
    </row>
    <row r="3140" ht="30" hidden="1">
      <c r="A3140" s="217"/>
      <c r="B3140" s="217">
        <v>1385</v>
      </c>
      <c r="C3140" s="217"/>
      <c r="D3140" s="217" t="s">
        <v>17167</v>
      </c>
      <c r="E3140" s="471" t="s">
        <v>20399</v>
      </c>
      <c r="F3140" s="489">
        <v>88316</v>
      </c>
      <c r="G3140" s="470" t="s">
        <v>7393</v>
      </c>
      <c r="H3140" s="471" t="s">
        <v>2032</v>
      </c>
      <c r="I3140" s="472">
        <f>0.0124417/0.6</f>
        <v>2.07362e-002</v>
      </c>
      <c r="J3140" s="473">
        <f t="shared" si="1663"/>
        <v>22.760000000000002</v>
      </c>
      <c r="K3140" s="474">
        <f t="shared" ref="K3140:K3152" si="1677">I3140*J3140</f>
        <v>0.47195591200000003</v>
      </c>
      <c r="L3140" s="475">
        <f t="shared" si="1669"/>
        <v>21.550000000000001</v>
      </c>
      <c r="M3140" s="474">
        <f t="shared" ref="M3140:M3152" si="1678">L3140*I3140</f>
        <v>0.44686511000000001</v>
      </c>
      <c r="N3140" s="467" t="s">
        <v>22187</v>
      </c>
      <c r="O3140" s="434">
        <f t="shared" si="1666"/>
        <v>22.760000000000002</v>
      </c>
      <c r="P3140" s="435">
        <f t="shared" si="1667"/>
        <v>21.550000000000001</v>
      </c>
      <c r="AE3140" s="217"/>
      <c r="AF3140" s="217">
        <v>1385</v>
      </c>
      <c r="AH3140">
        <f t="shared" si="1656"/>
        <v>1385</v>
      </c>
    </row>
    <row r="3141" ht="45" hidden="1">
      <c r="A3141" s="217"/>
      <c r="B3141" s="217">
        <v>1385</v>
      </c>
      <c r="C3141" s="217"/>
      <c r="D3141" s="217" t="s">
        <v>20408</v>
      </c>
      <c r="E3141" s="471" t="s">
        <v>20402</v>
      </c>
      <c r="F3141" s="489">
        <v>4721</v>
      </c>
      <c r="G3141" s="470" t="s">
        <v>21669</v>
      </c>
      <c r="H3141" s="471" t="s">
        <v>15528</v>
      </c>
      <c r="I3141" s="472">
        <v>1.2999999999999999e-002</v>
      </c>
      <c r="J3141" s="473">
        <f t="shared" si="1663"/>
        <v>100.48999999999999</v>
      </c>
      <c r="K3141" s="474">
        <f t="shared" si="1677"/>
        <v>1.3063699999999998</v>
      </c>
      <c r="L3141" s="475">
        <f t="shared" si="1669"/>
        <v>100.48999999999999</v>
      </c>
      <c r="M3141" s="474">
        <f t="shared" si="1678"/>
        <v>1.3063699999999998</v>
      </c>
      <c r="O3141" s="434">
        <f t="shared" si="1666"/>
        <v>100.48999999999999</v>
      </c>
      <c r="P3141" s="435">
        <f t="shared" si="1667"/>
        <v>100.48999999999999</v>
      </c>
      <c r="AE3141" s="217"/>
      <c r="AF3141" s="217">
        <v>1385</v>
      </c>
      <c r="AH3141">
        <f t="shared" si="1656"/>
        <v>1385</v>
      </c>
    </row>
    <row r="3142" ht="45" hidden="1">
      <c r="A3142" s="217"/>
      <c r="B3142" s="217">
        <v>1385</v>
      </c>
      <c r="C3142" s="217"/>
      <c r="D3142" s="217" t="s">
        <v>20453</v>
      </c>
      <c r="E3142" s="471" t="s">
        <v>20405</v>
      </c>
      <c r="F3142" s="489" t="s">
        <v>20153</v>
      </c>
      <c r="G3142" s="470" t="s">
        <v>20936</v>
      </c>
      <c r="H3142" s="471" t="s">
        <v>302</v>
      </c>
      <c r="I3142" s="472">
        <v>2</v>
      </c>
      <c r="J3142" s="473">
        <f t="shared" si="1663"/>
        <v>4.5199999999999996</v>
      </c>
      <c r="K3142" s="474">
        <f t="shared" si="1677"/>
        <v>9.0399999999999991</v>
      </c>
      <c r="L3142" s="475">
        <f t="shared" si="1669"/>
        <v>4.5199999999999996</v>
      </c>
      <c r="M3142" s="474">
        <f t="shared" si="1678"/>
        <v>9.0399999999999991</v>
      </c>
      <c r="O3142" s="434">
        <f t="shared" si="1666"/>
        <v>4.5199999999999996</v>
      </c>
      <c r="P3142" s="435">
        <f t="shared" si="1667"/>
        <v>4.5199999999999996</v>
      </c>
      <c r="AE3142" s="217"/>
      <c r="AF3142" s="217">
        <v>1385</v>
      </c>
      <c r="AH3142">
        <f t="shared" si="1656"/>
        <v>1385</v>
      </c>
    </row>
    <row r="3143" ht="45" hidden="1">
      <c r="A3143" s="217"/>
      <c r="B3143" s="217">
        <v>1385</v>
      </c>
      <c r="C3143" s="217"/>
      <c r="D3143" s="217" t="s">
        <v>17167</v>
      </c>
      <c r="E3143" s="471" t="s">
        <v>20409</v>
      </c>
      <c r="F3143" s="489">
        <v>7030</v>
      </c>
      <c r="G3143" s="470" t="s">
        <v>1905</v>
      </c>
      <c r="H3143" s="471" t="s">
        <v>1535</v>
      </c>
      <c r="I3143" s="472">
        <f>0.0031104/0.6</f>
        <v>5.1840000000000002e-003</v>
      </c>
      <c r="J3143" s="473">
        <f t="shared" si="1663"/>
        <v>303.69999999999999</v>
      </c>
      <c r="K3143" s="474">
        <f t="shared" si="1677"/>
        <v>1.5743807999999999</v>
      </c>
      <c r="L3143" s="475">
        <f t="shared" si="1669"/>
        <v>303.69999999999999</v>
      </c>
      <c r="M3143" s="474">
        <f t="shared" si="1678"/>
        <v>1.5743807999999999</v>
      </c>
      <c r="O3143" s="434">
        <f t="shared" si="1666"/>
        <v>303.69999999999999</v>
      </c>
      <c r="P3143" s="435">
        <f t="shared" si="1667"/>
        <v>303.69999999999999</v>
      </c>
      <c r="AE3143" s="217"/>
      <c r="AF3143" s="217">
        <v>1385</v>
      </c>
      <c r="AH3143">
        <f t="shared" ref="AH3143:AH3206" si="1679">IF(AF3143:AF3144=FALSE,AE3143,AF3143)</f>
        <v>1385</v>
      </c>
    </row>
    <row r="3144" ht="30" hidden="1">
      <c r="A3144" s="217"/>
      <c r="B3144" s="217">
        <v>1385</v>
      </c>
      <c r="C3144" s="217"/>
      <c r="D3144" s="612"/>
      <c r="E3144" s="471" t="s">
        <v>20663</v>
      </c>
      <c r="F3144" s="489" t="s">
        <v>22188</v>
      </c>
      <c r="G3144" s="470" t="s">
        <v>22189</v>
      </c>
      <c r="H3144" s="471" t="s">
        <v>1535</v>
      </c>
      <c r="I3144" s="472">
        <v>5.1999999999999995e-004</v>
      </c>
      <c r="J3144" s="473" t="e">
        <f t="shared" si="1663"/>
        <v>#VALUE!</v>
      </c>
      <c r="K3144" s="474" t="e">
        <f t="shared" si="1677"/>
        <v>#VALUE!</v>
      </c>
      <c r="L3144" s="475" t="e">
        <f t="shared" si="1669"/>
        <v>#VALUE!</v>
      </c>
      <c r="M3144" s="474" t="e">
        <f t="shared" si="1678"/>
        <v>#VALUE!</v>
      </c>
      <c r="O3144" s="434" t="str">
        <f t="shared" si="1666"/>
        <v xml:space="preserve">SEM VALOR</v>
      </c>
      <c r="P3144" s="435" t="str">
        <f t="shared" si="1667"/>
        <v xml:space="preserve">SEM VALOR</v>
      </c>
      <c r="AE3144" s="217"/>
      <c r="AF3144" s="217">
        <v>1385</v>
      </c>
      <c r="AH3144">
        <f t="shared" si="1679"/>
        <v>1385</v>
      </c>
    </row>
    <row r="3145" ht="30" hidden="1">
      <c r="A3145" s="217"/>
      <c r="B3145" s="217">
        <v>1385</v>
      </c>
      <c r="C3145" s="217"/>
      <c r="D3145" s="612"/>
      <c r="E3145" s="471" t="s">
        <v>20665</v>
      </c>
      <c r="F3145" s="489" t="s">
        <v>22190</v>
      </c>
      <c r="G3145" s="470" t="s">
        <v>22191</v>
      </c>
      <c r="H3145" s="471" t="s">
        <v>1535</v>
      </c>
      <c r="I3145" s="472">
        <v>1.e-004</v>
      </c>
      <c r="J3145" s="473" t="e">
        <f t="shared" si="1663"/>
        <v>#VALUE!</v>
      </c>
      <c r="K3145" s="474" t="e">
        <f t="shared" si="1677"/>
        <v>#VALUE!</v>
      </c>
      <c r="L3145" s="475" t="e">
        <f t="shared" si="1669"/>
        <v>#VALUE!</v>
      </c>
      <c r="M3145" s="474" t="e">
        <f t="shared" si="1678"/>
        <v>#VALUE!</v>
      </c>
      <c r="O3145" s="434" t="str">
        <f t="shared" si="1666"/>
        <v xml:space="preserve">SEM VALOR</v>
      </c>
      <c r="P3145" s="435" t="str">
        <f t="shared" si="1667"/>
        <v xml:space="preserve">SEM VALOR</v>
      </c>
      <c r="AE3145" s="217"/>
      <c r="AF3145" s="217">
        <v>1385</v>
      </c>
      <c r="AH3145">
        <f t="shared" si="1679"/>
        <v>1385</v>
      </c>
    </row>
    <row r="3146" ht="30" hidden="1">
      <c r="A3146" s="217"/>
      <c r="B3146" s="217">
        <v>1385</v>
      </c>
      <c r="C3146" s="217"/>
      <c r="D3146" s="612"/>
      <c r="E3146" s="471" t="s">
        <v>20667</v>
      </c>
      <c r="F3146" s="489" t="s">
        <v>22192</v>
      </c>
      <c r="G3146" s="488" t="s">
        <v>22193</v>
      </c>
      <c r="H3146" s="471" t="s">
        <v>1535</v>
      </c>
      <c r="I3146" s="472">
        <v>2.9999999999999997e-004</v>
      </c>
      <c r="J3146" s="473" t="e">
        <f t="shared" si="1663"/>
        <v>#VALUE!</v>
      </c>
      <c r="K3146" s="474" t="e">
        <f t="shared" si="1677"/>
        <v>#VALUE!</v>
      </c>
      <c r="L3146" s="475" t="e">
        <f t="shared" si="1669"/>
        <v>#VALUE!</v>
      </c>
      <c r="M3146" s="474" t="e">
        <f t="shared" si="1678"/>
        <v>#VALUE!</v>
      </c>
      <c r="O3146" s="434" t="str">
        <f t="shared" si="1666"/>
        <v xml:space="preserve">SEM VALOR</v>
      </c>
      <c r="P3146" s="435" t="str">
        <f t="shared" si="1667"/>
        <v xml:space="preserve">SEM VALOR</v>
      </c>
      <c r="AE3146" s="217"/>
      <c r="AF3146" s="217">
        <v>1385</v>
      </c>
      <c r="AH3146">
        <f t="shared" si="1679"/>
        <v>1385</v>
      </c>
    </row>
    <row r="3147" ht="45" hidden="1">
      <c r="A3147" s="217"/>
      <c r="B3147" s="217">
        <v>1385</v>
      </c>
      <c r="C3147" s="217"/>
      <c r="D3147" s="612"/>
      <c r="E3147" s="471" t="s">
        <v>20671</v>
      </c>
      <c r="F3147" s="489" t="s">
        <v>22194</v>
      </c>
      <c r="G3147" s="470" t="s">
        <v>22195</v>
      </c>
      <c r="H3147" s="471" t="s">
        <v>1535</v>
      </c>
      <c r="I3147" s="472">
        <v>2.9999999999999997e-004</v>
      </c>
      <c r="J3147" s="473" t="e">
        <f t="shared" si="1663"/>
        <v>#VALUE!</v>
      </c>
      <c r="K3147" s="474" t="e">
        <f t="shared" si="1677"/>
        <v>#VALUE!</v>
      </c>
      <c r="L3147" s="475" t="e">
        <f t="shared" si="1669"/>
        <v>#VALUE!</v>
      </c>
      <c r="M3147" s="474" t="e">
        <f t="shared" si="1678"/>
        <v>#VALUE!</v>
      </c>
      <c r="O3147" s="434" t="str">
        <f t="shared" si="1666"/>
        <v xml:space="preserve">SEM VALOR</v>
      </c>
      <c r="P3147" s="435" t="str">
        <f t="shared" si="1667"/>
        <v xml:space="preserve">SEM VALOR</v>
      </c>
      <c r="AE3147" s="217"/>
      <c r="AF3147" s="217">
        <v>1385</v>
      </c>
      <c r="AH3147">
        <f t="shared" si="1679"/>
        <v>1385</v>
      </c>
    </row>
    <row r="3148" ht="45" hidden="1">
      <c r="A3148" s="217"/>
      <c r="B3148" s="217">
        <v>1385</v>
      </c>
      <c r="C3148" s="217"/>
      <c r="D3148" s="612"/>
      <c r="E3148" s="471" t="s">
        <v>20672</v>
      </c>
      <c r="F3148" s="489" t="s">
        <v>22196</v>
      </c>
      <c r="G3148" s="470" t="s">
        <v>22197</v>
      </c>
      <c r="H3148" s="471" t="s">
        <v>1535</v>
      </c>
      <c r="I3148" s="472">
        <v>2.0000000000000001e-004</v>
      </c>
      <c r="J3148" s="473" t="e">
        <f t="shared" si="1663"/>
        <v>#VALUE!</v>
      </c>
      <c r="K3148" s="474" t="e">
        <f t="shared" si="1677"/>
        <v>#VALUE!</v>
      </c>
      <c r="L3148" s="475" t="e">
        <f t="shared" si="1669"/>
        <v>#VALUE!</v>
      </c>
      <c r="M3148" s="474" t="e">
        <f t="shared" si="1678"/>
        <v>#VALUE!</v>
      </c>
      <c r="O3148" s="434" t="str">
        <f t="shared" si="1666"/>
        <v xml:space="preserve">SEM VALOR</v>
      </c>
      <c r="P3148" s="435" t="str">
        <f t="shared" si="1667"/>
        <v xml:space="preserve">SEM VALOR</v>
      </c>
      <c r="AE3148" s="217"/>
      <c r="AF3148" s="217">
        <v>1385</v>
      </c>
      <c r="AH3148">
        <f t="shared" si="1679"/>
        <v>1385</v>
      </c>
    </row>
    <row r="3149" ht="60" hidden="1">
      <c r="A3149" s="217"/>
      <c r="B3149" s="217">
        <v>1385</v>
      </c>
      <c r="C3149" s="217"/>
      <c r="D3149" s="612"/>
      <c r="E3149" s="471" t="s">
        <v>20673</v>
      </c>
      <c r="F3149" s="489" t="s">
        <v>22198</v>
      </c>
      <c r="G3149" s="470" t="s">
        <v>22199</v>
      </c>
      <c r="H3149" s="471" t="s">
        <v>1535</v>
      </c>
      <c r="I3149" s="472">
        <f>0.00155/0.6</f>
        <v>2.5833000000000002e-003</v>
      </c>
      <c r="J3149" s="473" t="e">
        <f t="shared" si="1663"/>
        <v>#VALUE!</v>
      </c>
      <c r="K3149" s="474" t="e">
        <f t="shared" si="1677"/>
        <v>#VALUE!</v>
      </c>
      <c r="L3149" s="475" t="e">
        <f t="shared" si="1669"/>
        <v>#VALUE!</v>
      </c>
      <c r="M3149" s="474" t="e">
        <f t="shared" si="1678"/>
        <v>#VALUE!</v>
      </c>
      <c r="O3149" s="434" t="str">
        <f t="shared" si="1666"/>
        <v xml:space="preserve">SEM VALOR</v>
      </c>
      <c r="P3149" s="435" t="str">
        <f t="shared" si="1667"/>
        <v xml:space="preserve">SEM VALOR</v>
      </c>
      <c r="AE3149" s="217"/>
      <c r="AF3149" s="217">
        <v>1385</v>
      </c>
      <c r="AH3149">
        <f t="shared" si="1679"/>
        <v>1385</v>
      </c>
    </row>
    <row r="3150" ht="60" hidden="1">
      <c r="A3150" s="217"/>
      <c r="B3150" s="217">
        <v>1385</v>
      </c>
      <c r="C3150" s="217"/>
      <c r="D3150" s="612"/>
      <c r="E3150" s="471" t="s">
        <v>20675</v>
      </c>
      <c r="F3150" s="489" t="s">
        <v>22200</v>
      </c>
      <c r="G3150" s="488" t="s">
        <v>22201</v>
      </c>
      <c r="H3150" s="471" t="s">
        <v>1535</v>
      </c>
      <c r="I3150" s="472">
        <v>1.1000000000000001e-003</v>
      </c>
      <c r="J3150" s="473" t="e">
        <f t="shared" si="1663"/>
        <v>#VALUE!</v>
      </c>
      <c r="K3150" s="474" t="e">
        <f t="shared" si="1677"/>
        <v>#VALUE!</v>
      </c>
      <c r="L3150" s="475" t="e">
        <f t="shared" si="1669"/>
        <v>#VALUE!</v>
      </c>
      <c r="M3150" s="474" t="e">
        <f t="shared" si="1678"/>
        <v>#VALUE!</v>
      </c>
      <c r="O3150" s="434" t="str">
        <f t="shared" si="1666"/>
        <v xml:space="preserve">SEM VALOR</v>
      </c>
      <c r="P3150" s="435" t="str">
        <f t="shared" si="1667"/>
        <v xml:space="preserve">SEM VALOR</v>
      </c>
      <c r="AE3150" s="217"/>
      <c r="AF3150" s="217">
        <v>1385</v>
      </c>
      <c r="AH3150">
        <f t="shared" si="1679"/>
        <v>1385</v>
      </c>
    </row>
    <row r="3151" ht="30" hidden="1">
      <c r="A3151" s="217"/>
      <c r="B3151" s="217">
        <v>1385</v>
      </c>
      <c r="C3151" s="217"/>
      <c r="D3151" s="612"/>
      <c r="E3151" s="471" t="s">
        <v>20677</v>
      </c>
      <c r="F3151" s="489" t="s">
        <v>22202</v>
      </c>
      <c r="G3151" s="470" t="s">
        <v>22203</v>
      </c>
      <c r="H3151" s="471" t="s">
        <v>1535</v>
      </c>
      <c r="I3151" s="472">
        <v>2.9999999999999997e-004</v>
      </c>
      <c r="J3151" s="473" t="e">
        <f t="shared" si="1663"/>
        <v>#VALUE!</v>
      </c>
      <c r="K3151" s="474" t="e">
        <f t="shared" si="1677"/>
        <v>#VALUE!</v>
      </c>
      <c r="L3151" s="475" t="e">
        <f t="shared" si="1669"/>
        <v>#VALUE!</v>
      </c>
      <c r="M3151" s="474" t="e">
        <f t="shared" si="1678"/>
        <v>#VALUE!</v>
      </c>
      <c r="O3151" s="434" t="str">
        <f t="shared" si="1666"/>
        <v xml:space="preserve">SEM VALOR</v>
      </c>
      <c r="P3151" s="435" t="str">
        <f t="shared" si="1667"/>
        <v xml:space="preserve">SEM VALOR</v>
      </c>
      <c r="AE3151" s="217"/>
      <c r="AF3151" s="217">
        <v>1385</v>
      </c>
      <c r="AH3151">
        <f t="shared" si="1679"/>
        <v>1385</v>
      </c>
    </row>
    <row r="3152" ht="45" hidden="1">
      <c r="A3152" s="217"/>
      <c r="B3152" s="217">
        <v>1385</v>
      </c>
      <c r="C3152" s="217"/>
      <c r="D3152" s="217" t="s">
        <v>20398</v>
      </c>
      <c r="E3152" s="471" t="s">
        <v>20679</v>
      </c>
      <c r="F3152" s="489">
        <v>1096</v>
      </c>
      <c r="G3152" s="470" t="s">
        <v>21117</v>
      </c>
      <c r="H3152" s="471" t="s">
        <v>20669</v>
      </c>
      <c r="I3152" s="472">
        <f>I3141*1.1*182</f>
        <v>2.6025999999999998</v>
      </c>
      <c r="J3152" s="473">
        <f t="shared" si="1663"/>
        <v>1.3436488080000002</v>
      </c>
      <c r="K3152" s="474">
        <f t="shared" si="1677"/>
        <v>3.4969803877008001</v>
      </c>
      <c r="L3152" s="475">
        <f t="shared" si="1669"/>
        <v>1.335917376</v>
      </c>
      <c r="M3152" s="474">
        <f t="shared" si="1678"/>
        <v>3.4768585627775996</v>
      </c>
      <c r="O3152" s="434">
        <f t="shared" si="1666"/>
        <v>1.3436488080000002</v>
      </c>
      <c r="P3152" s="435">
        <f t="shared" si="1667"/>
        <v>1.335917376</v>
      </c>
      <c r="AE3152" s="217"/>
      <c r="AF3152" s="217">
        <v>1385</v>
      </c>
      <c r="AH3152">
        <f t="shared" si="1679"/>
        <v>1385</v>
      </c>
    </row>
    <row r="3153" ht="66" hidden="1" customHeight="1">
      <c r="A3153" s="460">
        <v>1386</v>
      </c>
      <c r="B3153" s="460">
        <v>1386</v>
      </c>
      <c r="C3153" s="460"/>
      <c r="D3153" s="460"/>
      <c r="E3153" s="461">
        <v>1</v>
      </c>
      <c r="F3153" s="462" t="s">
        <v>22204</v>
      </c>
      <c r="G3153" s="477" t="s">
        <v>21099</v>
      </c>
      <c r="H3153" s="478" t="s">
        <v>15528</v>
      </c>
      <c r="I3153" s="479"/>
      <c r="J3153" s="480"/>
      <c r="K3153" s="466">
        <f>SUM(K3154:K3156)</f>
        <v>101.066873806</v>
      </c>
      <c r="L3153" s="480"/>
      <c r="M3153" s="466">
        <f>SUM(M3154:M3156)</f>
        <v>101.014589796</v>
      </c>
      <c r="N3153" s="467" t="s">
        <v>22205</v>
      </c>
      <c r="O3153" s="434" t="str">
        <f t="shared" si="1666"/>
        <v xml:space="preserve">SEM VALOR</v>
      </c>
      <c r="P3153" s="435" t="str">
        <f t="shared" si="1667"/>
        <v xml:space="preserve">SEM VALOR</v>
      </c>
      <c r="AE3153" s="460">
        <v>1386</v>
      </c>
      <c r="AF3153" s="460"/>
      <c r="AH3153">
        <f t="shared" si="1679"/>
        <v>1386</v>
      </c>
    </row>
    <row r="3154" ht="60" hidden="1">
      <c r="A3154" s="217"/>
      <c r="B3154" s="217">
        <v>1386</v>
      </c>
      <c r="C3154" s="217"/>
      <c r="D3154" s="217" t="s">
        <v>17167</v>
      </c>
      <c r="E3154" s="471" t="s">
        <v>20399</v>
      </c>
      <c r="F3154" s="471">
        <v>95127</v>
      </c>
      <c r="G3154" s="535" t="s">
        <v>1657</v>
      </c>
      <c r="H3154" s="471" t="s">
        <v>1535</v>
      </c>
      <c r="I3154" s="509">
        <f>0.33/N3154</f>
        <v>9.0808999999999994e-003</v>
      </c>
      <c r="J3154" s="473">
        <f t="shared" si="1663"/>
        <v>246.74000000000001</v>
      </c>
      <c r="K3154" s="474">
        <f t="shared" ref="K3154:K3156" si="1680">I3154*J3154</f>
        <v>2.2406212659999998</v>
      </c>
      <c r="L3154" s="475">
        <f t="shared" si="1669"/>
        <v>244.84</v>
      </c>
      <c r="M3154" s="474">
        <f t="shared" ref="M3154:M3156" si="1681">L3154*I3154</f>
        <v>2.2233675559999999</v>
      </c>
      <c r="N3154" s="625">
        <v>36.340000000000003</v>
      </c>
      <c r="O3154" s="434">
        <f t="shared" si="1666"/>
        <v>246.74000000000001</v>
      </c>
      <c r="P3154" s="435">
        <f t="shared" si="1667"/>
        <v>244.84</v>
      </c>
      <c r="AE3154" s="217"/>
      <c r="AF3154" s="217">
        <v>1386</v>
      </c>
      <c r="AH3154">
        <f t="shared" si="1679"/>
        <v>1386</v>
      </c>
    </row>
    <row r="3155" ht="60" hidden="1">
      <c r="A3155" s="217"/>
      <c r="B3155" s="217">
        <v>1386</v>
      </c>
      <c r="C3155" s="217"/>
      <c r="D3155" s="217" t="s">
        <v>17167</v>
      </c>
      <c r="E3155" s="471" t="s">
        <v>20402</v>
      </c>
      <c r="F3155" s="482">
        <v>95128</v>
      </c>
      <c r="G3155" s="470" t="s">
        <v>1656</v>
      </c>
      <c r="H3155" s="471" t="s">
        <v>1533</v>
      </c>
      <c r="I3155" s="509">
        <f>0.67/N3154</f>
        <v>1.8436999999999999e-002</v>
      </c>
      <c r="J3155" s="473">
        <f t="shared" si="1663"/>
        <v>57.420000000000002</v>
      </c>
      <c r="K3155" s="474">
        <f t="shared" si="1680"/>
        <v>1.05865254</v>
      </c>
      <c r="L3155" s="475">
        <f t="shared" si="1669"/>
        <v>55.520000000000003</v>
      </c>
      <c r="M3155" s="474">
        <f t="shared" si="1681"/>
        <v>1.0236222399999999</v>
      </c>
      <c r="O3155" s="434">
        <f t="shared" si="1666"/>
        <v>57.420000000000002</v>
      </c>
      <c r="P3155" s="435">
        <f t="shared" si="1667"/>
        <v>55.520000000000003</v>
      </c>
      <c r="AE3155" s="217"/>
      <c r="AF3155" s="217">
        <v>1386</v>
      </c>
      <c r="AH3155">
        <f t="shared" si="1679"/>
        <v>1386</v>
      </c>
    </row>
    <row r="3156" hidden="1">
      <c r="A3156" s="217"/>
      <c r="B3156" s="217">
        <v>1386</v>
      </c>
      <c r="C3156" s="217"/>
      <c r="D3156" s="217" t="s">
        <v>20408</v>
      </c>
      <c r="E3156" s="471" t="s">
        <v>20405</v>
      </c>
      <c r="F3156" s="489">
        <v>4741</v>
      </c>
      <c r="G3156" s="470" t="s">
        <v>21100</v>
      </c>
      <c r="H3156" s="471" t="s">
        <v>15528</v>
      </c>
      <c r="I3156" s="509">
        <v>1.03</v>
      </c>
      <c r="J3156" s="473">
        <f t="shared" si="1663"/>
        <v>94.920000000000002</v>
      </c>
      <c r="K3156" s="474">
        <f t="shared" si="1680"/>
        <v>97.767600000000002</v>
      </c>
      <c r="L3156" s="475">
        <f t="shared" si="1669"/>
        <v>94.920000000000002</v>
      </c>
      <c r="M3156" s="474">
        <f t="shared" si="1681"/>
        <v>97.767600000000002</v>
      </c>
      <c r="O3156" s="434">
        <f t="shared" si="1666"/>
        <v>94.920000000000002</v>
      </c>
      <c r="P3156" s="435">
        <f t="shared" si="1667"/>
        <v>94.920000000000002</v>
      </c>
      <c r="AE3156" s="217"/>
      <c r="AF3156" s="217">
        <v>1386</v>
      </c>
      <c r="AH3156">
        <f t="shared" si="1679"/>
        <v>1386</v>
      </c>
    </row>
    <row r="3157" ht="37.5" hidden="1" customHeight="1">
      <c r="A3157" s="460">
        <v>1387</v>
      </c>
      <c r="B3157" s="460">
        <v>1387</v>
      </c>
      <c r="C3157" s="460"/>
      <c r="D3157" s="460"/>
      <c r="E3157" s="461">
        <v>1</v>
      </c>
      <c r="F3157" s="462" t="s">
        <v>22206</v>
      </c>
      <c r="G3157" s="477" t="s">
        <v>22207</v>
      </c>
      <c r="H3157" s="478" t="s">
        <v>2032</v>
      </c>
      <c r="I3157" s="479"/>
      <c r="J3157" s="480"/>
      <c r="K3157" s="466" t="e">
        <f>SUM(K3158:K3165)</f>
        <v>#VALUE!</v>
      </c>
      <c r="L3157" s="480"/>
      <c r="M3157" s="466" t="e">
        <f>SUM(M3158:M3165)</f>
        <v>#VALUE!</v>
      </c>
      <c r="N3157" s="467" t="s">
        <v>22208</v>
      </c>
      <c r="O3157" s="434" t="str">
        <f t="shared" si="1666"/>
        <v xml:space="preserve">SEM VALOR</v>
      </c>
      <c r="P3157" s="435" t="str">
        <f t="shared" si="1667"/>
        <v xml:space="preserve">SEM VALOR</v>
      </c>
      <c r="AE3157" s="460">
        <v>1387</v>
      </c>
      <c r="AF3157" s="460"/>
      <c r="AH3157">
        <f t="shared" si="1679"/>
        <v>1387</v>
      </c>
    </row>
    <row r="3158" ht="45" hidden="1">
      <c r="A3158" s="217"/>
      <c r="B3158" s="217">
        <v>1387</v>
      </c>
      <c r="C3158" s="217"/>
      <c r="D3158" s="217" t="s">
        <v>20408</v>
      </c>
      <c r="E3158" s="471" t="s">
        <v>20399</v>
      </c>
      <c r="F3158" s="489">
        <v>37370</v>
      </c>
      <c r="G3158" s="488" t="s">
        <v>22209</v>
      </c>
      <c r="H3158" s="471" t="s">
        <v>22210</v>
      </c>
      <c r="I3158" s="509">
        <v>1</v>
      </c>
      <c r="J3158" s="473">
        <f t="shared" si="1663"/>
        <v>1.73</v>
      </c>
      <c r="K3158" s="474">
        <f t="shared" ref="K3158:K3165" si="1682">I3158*J3158</f>
        <v>1.73</v>
      </c>
      <c r="L3158" s="475">
        <f t="shared" si="1669"/>
        <v>1.73</v>
      </c>
      <c r="M3158" s="474">
        <f t="shared" ref="M3158:M3165" si="1683">L3158*I3158</f>
        <v>1.73</v>
      </c>
      <c r="N3158" s="467"/>
      <c r="O3158" s="434">
        <f t="shared" si="1666"/>
        <v>1.73</v>
      </c>
      <c r="P3158" s="435">
        <f t="shared" si="1667"/>
        <v>1.73</v>
      </c>
      <c r="AE3158" s="217"/>
      <c r="AF3158" s="217">
        <v>1387</v>
      </c>
      <c r="AH3158">
        <f t="shared" si="1679"/>
        <v>1387</v>
      </c>
    </row>
    <row r="3159" ht="45" hidden="1">
      <c r="A3159" s="217"/>
      <c r="B3159" s="217">
        <v>1387</v>
      </c>
      <c r="C3159" s="217"/>
      <c r="D3159" s="217" t="s">
        <v>20408</v>
      </c>
      <c r="E3159" s="471" t="s">
        <v>20402</v>
      </c>
      <c r="F3159" s="489">
        <v>37371</v>
      </c>
      <c r="G3159" s="488" t="s">
        <v>22211</v>
      </c>
      <c r="H3159" s="471" t="s">
        <v>22210</v>
      </c>
      <c r="I3159" s="509">
        <v>1</v>
      </c>
      <c r="J3159" s="473">
        <f t="shared" si="1663"/>
        <v>1.04</v>
      </c>
      <c r="K3159" s="474">
        <f t="shared" si="1682"/>
        <v>1.04</v>
      </c>
      <c r="L3159" s="475">
        <f t="shared" si="1669"/>
        <v>1.04</v>
      </c>
      <c r="M3159" s="474">
        <f t="shared" si="1683"/>
        <v>1.04</v>
      </c>
      <c r="O3159" s="434">
        <f t="shared" si="1666"/>
        <v>1.04</v>
      </c>
      <c r="P3159" s="435">
        <f t="shared" si="1667"/>
        <v>1.04</v>
      </c>
      <c r="AE3159" s="217"/>
      <c r="AF3159" s="217">
        <v>1387</v>
      </c>
      <c r="AH3159">
        <f t="shared" si="1679"/>
        <v>1387</v>
      </c>
    </row>
    <row r="3160" ht="30" hidden="1">
      <c r="A3160" s="217"/>
      <c r="B3160" s="217">
        <v>1387</v>
      </c>
      <c r="C3160" s="217"/>
      <c r="D3160" s="217" t="s">
        <v>20408</v>
      </c>
      <c r="E3160" s="471" t="s">
        <v>20405</v>
      </c>
      <c r="F3160" s="489">
        <v>37372</v>
      </c>
      <c r="G3160" s="470" t="s">
        <v>22212</v>
      </c>
      <c r="H3160" s="471" t="s">
        <v>22210</v>
      </c>
      <c r="I3160" s="509">
        <v>1</v>
      </c>
      <c r="J3160" s="473">
        <f t="shared" si="1663"/>
        <v>1.6699999999999999</v>
      </c>
      <c r="K3160" s="474">
        <f t="shared" si="1682"/>
        <v>1.6699999999999999</v>
      </c>
      <c r="L3160" s="475">
        <f t="shared" si="1669"/>
        <v>1.6699999999999999</v>
      </c>
      <c r="M3160" s="474">
        <f t="shared" si="1683"/>
        <v>1.6699999999999999</v>
      </c>
      <c r="O3160" s="434">
        <f t="shared" si="1666"/>
        <v>1.6699999999999999</v>
      </c>
      <c r="P3160" s="435">
        <f t="shared" si="1667"/>
        <v>1.6699999999999999</v>
      </c>
      <c r="AE3160" s="217"/>
      <c r="AF3160" s="217">
        <v>1387</v>
      </c>
      <c r="AH3160">
        <f t="shared" si="1679"/>
        <v>1387</v>
      </c>
    </row>
    <row r="3161" ht="30" hidden="1">
      <c r="A3161" s="217"/>
      <c r="B3161" s="217">
        <v>1387</v>
      </c>
      <c r="C3161" s="217"/>
      <c r="D3161" s="217" t="s">
        <v>20408</v>
      </c>
      <c r="E3161" s="471" t="s">
        <v>20409</v>
      </c>
      <c r="F3161" s="489">
        <v>37373</v>
      </c>
      <c r="G3161" s="470" t="s">
        <v>22213</v>
      </c>
      <c r="H3161" s="471" t="s">
        <v>22210</v>
      </c>
      <c r="I3161" s="509">
        <v>1</v>
      </c>
      <c r="J3161" s="473">
        <f t="shared" si="1663"/>
        <v>0.11</v>
      </c>
      <c r="K3161" s="474">
        <f t="shared" si="1682"/>
        <v>0.11</v>
      </c>
      <c r="L3161" s="475">
        <f t="shared" si="1669"/>
        <v>0.11</v>
      </c>
      <c r="M3161" s="474">
        <f t="shared" si="1683"/>
        <v>0.11</v>
      </c>
      <c r="O3161" s="434">
        <f t="shared" si="1666"/>
        <v>0.11</v>
      </c>
      <c r="P3161" s="435">
        <f t="shared" si="1667"/>
        <v>0.11</v>
      </c>
      <c r="AE3161" s="217"/>
      <c r="AF3161" s="217">
        <v>1387</v>
      </c>
      <c r="AH3161">
        <f t="shared" si="1679"/>
        <v>1387</v>
      </c>
    </row>
    <row r="3162" ht="45" hidden="1">
      <c r="A3162" s="217"/>
      <c r="B3162" s="217">
        <v>1387</v>
      </c>
      <c r="C3162" s="217"/>
      <c r="D3162" s="217" t="s">
        <v>20408</v>
      </c>
      <c r="E3162" s="471" t="s">
        <v>20663</v>
      </c>
      <c r="F3162" s="489">
        <v>41776</v>
      </c>
      <c r="G3162" s="470" t="s">
        <v>22214</v>
      </c>
      <c r="H3162" s="471" t="s">
        <v>22210</v>
      </c>
      <c r="I3162" s="509">
        <v>1</v>
      </c>
      <c r="J3162" s="473" t="e">
        <f t="shared" si="1663"/>
        <v>#VALUE!</v>
      </c>
      <c r="K3162" s="474" t="e">
        <f t="shared" si="1682"/>
        <v>#VALUE!</v>
      </c>
      <c r="L3162" s="475" t="e">
        <f t="shared" si="1669"/>
        <v>#VALUE!</v>
      </c>
      <c r="M3162" s="474" t="e">
        <f t="shared" si="1683"/>
        <v>#VALUE!</v>
      </c>
      <c r="O3162" s="434" t="str">
        <f t="shared" si="1666"/>
        <v xml:space="preserve">SEM VALOR</v>
      </c>
      <c r="P3162" s="435" t="str">
        <f t="shared" si="1667"/>
        <v xml:space="preserve">SEM VALOR</v>
      </c>
      <c r="AE3162" s="217"/>
      <c r="AF3162" s="217">
        <v>1387</v>
      </c>
      <c r="AH3162">
        <f t="shared" si="1679"/>
        <v>1387</v>
      </c>
    </row>
    <row r="3163" ht="60" hidden="1">
      <c r="A3163" s="217"/>
      <c r="B3163" s="217">
        <v>1387</v>
      </c>
      <c r="C3163" s="217"/>
      <c r="D3163" s="217" t="s">
        <v>20408</v>
      </c>
      <c r="E3163" s="471" t="s">
        <v>20665</v>
      </c>
      <c r="F3163" s="489">
        <v>43467</v>
      </c>
      <c r="G3163" s="488" t="s">
        <v>22215</v>
      </c>
      <c r="H3163" s="471" t="s">
        <v>22210</v>
      </c>
      <c r="I3163" s="509">
        <v>1</v>
      </c>
      <c r="J3163" s="473">
        <f t="shared" si="1663"/>
        <v>0.48999999999999999</v>
      </c>
      <c r="K3163" s="474">
        <f t="shared" si="1682"/>
        <v>0.48999999999999999</v>
      </c>
      <c r="L3163" s="475">
        <f t="shared" si="1669"/>
        <v>0.48999999999999999</v>
      </c>
      <c r="M3163" s="474">
        <f t="shared" si="1683"/>
        <v>0.48999999999999999</v>
      </c>
      <c r="O3163" s="434">
        <f t="shared" si="1666"/>
        <v>0.48999999999999999</v>
      </c>
      <c r="P3163" s="435">
        <f t="shared" si="1667"/>
        <v>0.48999999999999999</v>
      </c>
      <c r="AE3163" s="217"/>
      <c r="AF3163" s="217">
        <v>1387</v>
      </c>
      <c r="AH3163">
        <f t="shared" si="1679"/>
        <v>1387</v>
      </c>
    </row>
    <row r="3164" ht="45" hidden="1">
      <c r="A3164" s="217"/>
      <c r="B3164" s="217">
        <v>1387</v>
      </c>
      <c r="C3164" s="217"/>
      <c r="D3164" s="217" t="s">
        <v>20408</v>
      </c>
      <c r="E3164" s="471" t="s">
        <v>20667</v>
      </c>
      <c r="F3164" s="489">
        <v>43491</v>
      </c>
      <c r="G3164" s="470" t="s">
        <v>22216</v>
      </c>
      <c r="H3164" s="471" t="s">
        <v>22210</v>
      </c>
      <c r="I3164" s="509">
        <v>1</v>
      </c>
      <c r="J3164" s="473">
        <f t="shared" si="1663"/>
        <v>1.5</v>
      </c>
      <c r="K3164" s="474">
        <f t="shared" si="1682"/>
        <v>1.5</v>
      </c>
      <c r="L3164" s="475">
        <f t="shared" si="1669"/>
        <v>1.5</v>
      </c>
      <c r="M3164" s="474">
        <f t="shared" si="1683"/>
        <v>1.5</v>
      </c>
      <c r="O3164" s="434">
        <f t="shared" si="1666"/>
        <v>1.5</v>
      </c>
      <c r="P3164" s="435">
        <f t="shared" si="1667"/>
        <v>1.5</v>
      </c>
      <c r="AE3164" s="217"/>
      <c r="AF3164" s="217">
        <v>1387</v>
      </c>
      <c r="AH3164">
        <f t="shared" si="1679"/>
        <v>1387</v>
      </c>
    </row>
    <row r="3165" ht="45" hidden="1">
      <c r="A3165" s="217"/>
      <c r="B3165" s="217">
        <v>1387</v>
      </c>
      <c r="C3165" s="217"/>
      <c r="D3165" s="217" t="s">
        <v>20398</v>
      </c>
      <c r="E3165" s="471" t="s">
        <v>20671</v>
      </c>
      <c r="F3165" s="489">
        <v>1388</v>
      </c>
      <c r="G3165" s="488" t="s">
        <v>22217</v>
      </c>
      <c r="H3165" s="471" t="s">
        <v>22210</v>
      </c>
      <c r="I3165" s="626">
        <v>1</v>
      </c>
      <c r="J3165" s="473" t="e">
        <f t="shared" si="1663"/>
        <v>#VALUE!</v>
      </c>
      <c r="K3165" s="474" t="e">
        <f t="shared" si="1682"/>
        <v>#VALUE!</v>
      </c>
      <c r="L3165" s="475" t="e">
        <f t="shared" si="1669"/>
        <v>#VALUE!</v>
      </c>
      <c r="M3165" s="474" t="e">
        <f t="shared" si="1683"/>
        <v>#VALUE!</v>
      </c>
      <c r="O3165" s="434" t="str">
        <f t="shared" si="1666"/>
        <v xml:space="preserve">SEM VALOR</v>
      </c>
      <c r="P3165" s="435" t="str">
        <f t="shared" si="1667"/>
        <v xml:space="preserve">SEM VALOR</v>
      </c>
      <c r="AE3165" s="217"/>
      <c r="AF3165" s="217">
        <v>1387</v>
      </c>
      <c r="AH3165">
        <f t="shared" si="1679"/>
        <v>1387</v>
      </c>
    </row>
    <row r="3166" ht="47.25" hidden="1">
      <c r="A3166" s="460">
        <v>1388</v>
      </c>
      <c r="B3166" s="460">
        <v>1388</v>
      </c>
      <c r="C3166" s="460"/>
      <c r="D3166" s="460"/>
      <c r="E3166" s="461">
        <v>1</v>
      </c>
      <c r="F3166" s="462" t="s">
        <v>22218</v>
      </c>
      <c r="G3166" s="477" t="s">
        <v>22217</v>
      </c>
      <c r="H3166" s="478" t="s">
        <v>2032</v>
      </c>
      <c r="I3166" s="479"/>
      <c r="J3166" s="480"/>
      <c r="K3166" s="466" t="e">
        <f>SUM(K3167)</f>
        <v>#VALUE!</v>
      </c>
      <c r="L3166" s="480"/>
      <c r="M3166" s="466" t="e">
        <f>SUM(M3167)</f>
        <v>#VALUE!</v>
      </c>
      <c r="N3166" s="467" t="s">
        <v>22219</v>
      </c>
      <c r="O3166" s="434" t="str">
        <f t="shared" si="1666"/>
        <v xml:space="preserve">SEM VALOR</v>
      </c>
      <c r="P3166" s="435" t="str">
        <f t="shared" si="1667"/>
        <v xml:space="preserve">SEM VALOR</v>
      </c>
      <c r="AE3166" s="460">
        <v>1388</v>
      </c>
      <c r="AF3166" s="460"/>
      <c r="AH3166">
        <f t="shared" si="1679"/>
        <v>1388</v>
      </c>
    </row>
    <row r="3167" ht="45" hidden="1">
      <c r="A3167" s="217"/>
      <c r="B3167" s="217">
        <v>1388</v>
      </c>
      <c r="C3167" s="217"/>
      <c r="D3167" s="217" t="s">
        <v>20408</v>
      </c>
      <c r="E3167" s="471" t="s">
        <v>20399</v>
      </c>
      <c r="F3167" s="469">
        <v>41776</v>
      </c>
      <c r="G3167" s="488" t="s">
        <v>22214</v>
      </c>
      <c r="H3167" s="471" t="s">
        <v>22210</v>
      </c>
      <c r="I3167" s="509">
        <v>5.3400000000000001e-003</v>
      </c>
      <c r="J3167" s="473" t="e">
        <f t="shared" ref="J3166:J3229" si="1684">O3167*$J$3</f>
        <v>#VALUE!</v>
      </c>
      <c r="K3167" s="474" t="e">
        <f>I3167*J3167</f>
        <v>#VALUE!</v>
      </c>
      <c r="L3167" s="475" t="e">
        <f t="shared" si="1669"/>
        <v>#VALUE!</v>
      </c>
      <c r="M3167" s="474" t="e">
        <f>L3167*I3167</f>
        <v>#VALUE!</v>
      </c>
      <c r="O3167" s="434" t="str">
        <f t="shared" si="1666"/>
        <v xml:space="preserve">SEM VALOR</v>
      </c>
      <c r="P3167" s="435" t="str">
        <f t="shared" si="1667"/>
        <v xml:space="preserve">SEM VALOR</v>
      </c>
      <c r="AE3167" s="217"/>
      <c r="AF3167" s="217">
        <v>1388</v>
      </c>
      <c r="AH3167">
        <f t="shared" si="1679"/>
        <v>1388</v>
      </c>
    </row>
    <row r="3168" ht="97.5" hidden="1" customHeight="1">
      <c r="A3168" s="460">
        <v>1389</v>
      </c>
      <c r="B3168" s="460">
        <v>1389</v>
      </c>
      <c r="C3168" s="460"/>
      <c r="D3168" s="460"/>
      <c r="E3168" s="461">
        <v>1</v>
      </c>
      <c r="F3168" s="462" t="s">
        <v>22220</v>
      </c>
      <c r="G3168" s="477" t="s">
        <v>22221</v>
      </c>
      <c r="H3168" s="478" t="s">
        <v>38</v>
      </c>
      <c r="I3168" s="479"/>
      <c r="J3168" s="480"/>
      <c r="K3168" s="466">
        <f>SUM(K3169:K3182)</f>
        <v>691.49029874999997</v>
      </c>
      <c r="L3168" s="480"/>
      <c r="M3168" s="466">
        <f>SUM(M3169:M3182)</f>
        <v>680.45628625000006</v>
      </c>
      <c r="O3168" s="434" t="str">
        <f t="shared" si="1666"/>
        <v xml:space="preserve">SEM VALOR</v>
      </c>
      <c r="P3168" s="435" t="str">
        <f t="shared" si="1667"/>
        <v xml:space="preserve">SEM VALOR</v>
      </c>
      <c r="AE3168" s="460">
        <v>1389</v>
      </c>
      <c r="AF3168" s="460"/>
      <c r="AH3168">
        <f t="shared" si="1679"/>
        <v>1389</v>
      </c>
    </row>
    <row r="3169" ht="75" hidden="1">
      <c r="A3169" s="217"/>
      <c r="B3169" s="217">
        <v>1389</v>
      </c>
      <c r="C3169" s="217"/>
      <c r="D3169" s="217" t="s">
        <v>17167</v>
      </c>
      <c r="E3169" s="471" t="s">
        <v>20399</v>
      </c>
      <c r="F3169" s="489">
        <v>101176</v>
      </c>
      <c r="G3169" s="488" t="s">
        <v>22222</v>
      </c>
      <c r="H3169" s="471" t="s">
        <v>38</v>
      </c>
      <c r="I3169" s="472">
        <v>0.59999999999999998</v>
      </c>
      <c r="J3169" s="473">
        <f t="shared" si="1684"/>
        <v>145.56</v>
      </c>
      <c r="K3169" s="474">
        <f t="shared" ref="K3169:K3182" si="1685">I3169*J3169</f>
        <v>87.335999999999999</v>
      </c>
      <c r="L3169" s="475">
        <f t="shared" si="1669"/>
        <v>141.34</v>
      </c>
      <c r="M3169" s="474">
        <f t="shared" ref="M3169:M3182" si="1686">L3169*I3169</f>
        <v>84.804000000000002</v>
      </c>
      <c r="O3169" s="434">
        <f t="shared" si="1666"/>
        <v>145.56</v>
      </c>
      <c r="P3169" s="435">
        <f t="shared" si="1667"/>
        <v>141.34</v>
      </c>
      <c r="AE3169" s="217"/>
      <c r="AF3169" s="217">
        <v>1389</v>
      </c>
      <c r="AH3169">
        <f t="shared" si="1679"/>
        <v>1389</v>
      </c>
    </row>
    <row r="3170" ht="30" hidden="1">
      <c r="A3170" s="217"/>
      <c r="B3170" s="217">
        <v>1389</v>
      </c>
      <c r="C3170" s="217"/>
      <c r="D3170" s="217" t="s">
        <v>17167</v>
      </c>
      <c r="E3170" s="471" t="s">
        <v>20402</v>
      </c>
      <c r="F3170" s="489">
        <v>92801</v>
      </c>
      <c r="G3170" s="488" t="s">
        <v>366</v>
      </c>
      <c r="H3170" s="471" t="s">
        <v>302</v>
      </c>
      <c r="I3170" s="472">
        <v>0.97999999999999998</v>
      </c>
      <c r="J3170" s="473">
        <f t="shared" si="1684"/>
        <v>9.7599999999999998</v>
      </c>
      <c r="K3170" s="474">
        <f t="shared" si="1685"/>
        <v>9.5648</v>
      </c>
      <c r="L3170" s="475">
        <f t="shared" si="1669"/>
        <v>9.7100000000000009</v>
      </c>
      <c r="M3170" s="474">
        <f t="shared" si="1686"/>
        <v>9.5158000000000005</v>
      </c>
      <c r="O3170" s="434">
        <f t="shared" si="1666"/>
        <v>9.7599999999999998</v>
      </c>
      <c r="P3170" s="435">
        <f t="shared" si="1667"/>
        <v>9.7100000000000009</v>
      </c>
      <c r="AE3170" s="217"/>
      <c r="AF3170" s="217">
        <v>1389</v>
      </c>
      <c r="AH3170">
        <f t="shared" si="1679"/>
        <v>1389</v>
      </c>
    </row>
    <row r="3171" ht="30" hidden="1">
      <c r="A3171" s="217"/>
      <c r="B3171" s="217">
        <v>1389</v>
      </c>
      <c r="C3171" s="217"/>
      <c r="D3171" s="217" t="s">
        <v>17167</v>
      </c>
      <c r="E3171" s="471" t="s">
        <v>20405</v>
      </c>
      <c r="F3171" s="489">
        <v>92799</v>
      </c>
      <c r="G3171" s="488" t="s">
        <v>368</v>
      </c>
      <c r="H3171" s="471" t="s">
        <v>302</v>
      </c>
      <c r="I3171" s="472">
        <v>0.45100000000000001</v>
      </c>
      <c r="J3171" s="473">
        <f t="shared" si="1684"/>
        <v>10.85</v>
      </c>
      <c r="K3171" s="474">
        <f t="shared" si="1685"/>
        <v>4.8933499999999999</v>
      </c>
      <c r="L3171" s="475">
        <f t="shared" si="1669"/>
        <v>10.68</v>
      </c>
      <c r="M3171" s="474">
        <f t="shared" si="1686"/>
        <v>4.8166799999999999</v>
      </c>
      <c r="O3171" s="434">
        <f t="shared" si="1666"/>
        <v>10.85</v>
      </c>
      <c r="P3171" s="435">
        <f t="shared" si="1667"/>
        <v>10.68</v>
      </c>
      <c r="AE3171" s="217"/>
      <c r="AF3171" s="217">
        <v>1389</v>
      </c>
      <c r="AH3171">
        <f t="shared" si="1679"/>
        <v>1389</v>
      </c>
    </row>
    <row r="3172" hidden="1">
      <c r="A3172" s="217"/>
      <c r="B3172" s="217">
        <v>1389</v>
      </c>
      <c r="C3172" s="217"/>
      <c r="D3172" s="217" t="s">
        <v>20398</v>
      </c>
      <c r="E3172" s="471" t="s">
        <v>20409</v>
      </c>
      <c r="F3172" s="489">
        <v>1234</v>
      </c>
      <c r="G3172" s="488" t="s">
        <v>21668</v>
      </c>
      <c r="H3172" s="471" t="s">
        <v>15528</v>
      </c>
      <c r="I3172" s="472">
        <v>7.4999999999999997e-003</v>
      </c>
      <c r="J3172" s="473">
        <f t="shared" si="1684"/>
        <v>151.03450000000001</v>
      </c>
      <c r="K3172" s="474">
        <f t="shared" si="1685"/>
        <v>1.13275875</v>
      </c>
      <c r="L3172" s="475">
        <f t="shared" si="1669"/>
        <v>148.61449999999999</v>
      </c>
      <c r="M3172" s="474">
        <f t="shared" si="1686"/>
        <v>1.1146087499999999</v>
      </c>
      <c r="O3172" s="434">
        <f t="shared" si="1666"/>
        <v>151.03450000000001</v>
      </c>
      <c r="P3172" s="435">
        <f t="shared" si="1667"/>
        <v>148.61449999999999</v>
      </c>
      <c r="AE3172" s="217"/>
      <c r="AF3172" s="217">
        <v>1389</v>
      </c>
      <c r="AH3172">
        <f t="shared" si="1679"/>
        <v>1389</v>
      </c>
    </row>
    <row r="3173" ht="75" hidden="1">
      <c r="A3173" s="217"/>
      <c r="B3173" s="217">
        <v>1389</v>
      </c>
      <c r="C3173" s="217"/>
      <c r="D3173" s="217" t="s">
        <v>17167</v>
      </c>
      <c r="E3173" s="471" t="s">
        <v>20663</v>
      </c>
      <c r="F3173" s="489">
        <v>96542</v>
      </c>
      <c r="G3173" s="488" t="s">
        <v>20761</v>
      </c>
      <c r="H3173" s="471" t="s">
        <v>15515</v>
      </c>
      <c r="I3173" s="472">
        <v>0.59999999999999998</v>
      </c>
      <c r="J3173" s="473">
        <f t="shared" si="1684"/>
        <v>92.189999999999998</v>
      </c>
      <c r="K3173" s="474">
        <f t="shared" si="1685"/>
        <v>55.314</v>
      </c>
      <c r="L3173" s="475">
        <f t="shared" si="1669"/>
        <v>88.370000000000005</v>
      </c>
      <c r="M3173" s="474">
        <f t="shared" si="1686"/>
        <v>53.021999999999998</v>
      </c>
      <c r="O3173" s="434">
        <f t="shared" si="1666"/>
        <v>92.189999999999998</v>
      </c>
      <c r="P3173" s="435">
        <f t="shared" si="1667"/>
        <v>88.370000000000005</v>
      </c>
      <c r="AE3173" s="217"/>
      <c r="AF3173" s="217">
        <v>1389</v>
      </c>
      <c r="AH3173">
        <f t="shared" si="1679"/>
        <v>1389</v>
      </c>
    </row>
    <row r="3174" ht="45" hidden="1">
      <c r="A3174" s="217"/>
      <c r="B3174" s="217">
        <v>1389</v>
      </c>
      <c r="C3174" s="217"/>
      <c r="D3174" s="217" t="s">
        <v>17167</v>
      </c>
      <c r="E3174" s="471" t="s">
        <v>20665</v>
      </c>
      <c r="F3174" s="489">
        <v>96545</v>
      </c>
      <c r="G3174" s="488" t="s">
        <v>20678</v>
      </c>
      <c r="H3174" s="471" t="s">
        <v>302</v>
      </c>
      <c r="I3174" s="472">
        <v>1.5800000000000001</v>
      </c>
      <c r="J3174" s="473">
        <f t="shared" si="1684"/>
        <v>15.82</v>
      </c>
      <c r="K3174" s="474">
        <f t="shared" si="1685"/>
        <v>24.995600000000003</v>
      </c>
      <c r="L3174" s="475">
        <f t="shared" si="1669"/>
        <v>15.48</v>
      </c>
      <c r="M3174" s="474">
        <f t="shared" si="1686"/>
        <v>24.458400000000001</v>
      </c>
      <c r="O3174" s="434">
        <f t="shared" si="1666"/>
        <v>15.82</v>
      </c>
      <c r="P3174" s="435">
        <f t="shared" si="1667"/>
        <v>15.48</v>
      </c>
      <c r="AE3174" s="217"/>
      <c r="AF3174" s="217">
        <v>1389</v>
      </c>
      <c r="AH3174">
        <f t="shared" si="1679"/>
        <v>1389</v>
      </c>
    </row>
    <row r="3175" ht="45" hidden="1">
      <c r="A3175" s="217"/>
      <c r="B3175" s="217">
        <v>1389</v>
      </c>
      <c r="C3175" s="217"/>
      <c r="D3175" s="217" t="s">
        <v>17167</v>
      </c>
      <c r="E3175" s="471" t="s">
        <v>20667</v>
      </c>
      <c r="F3175" s="489">
        <v>96543</v>
      </c>
      <c r="G3175" s="488" t="s">
        <v>20676</v>
      </c>
      <c r="H3175" s="471" t="s">
        <v>302</v>
      </c>
      <c r="I3175" s="472">
        <v>0.82199999999999995</v>
      </c>
      <c r="J3175" s="473">
        <f t="shared" si="1684"/>
        <v>19.829999999999998</v>
      </c>
      <c r="K3175" s="474">
        <f t="shared" si="1685"/>
        <v>16.300259999999998</v>
      </c>
      <c r="L3175" s="475">
        <f t="shared" si="1669"/>
        <v>19.210000000000001</v>
      </c>
      <c r="M3175" s="474">
        <f t="shared" si="1686"/>
        <v>15.790620000000001</v>
      </c>
      <c r="O3175" s="434">
        <f t="shared" si="1666"/>
        <v>19.829999999999998</v>
      </c>
      <c r="P3175" s="435">
        <f t="shared" si="1667"/>
        <v>19.210000000000001</v>
      </c>
      <c r="AE3175" s="217"/>
      <c r="AF3175" s="217">
        <v>1389</v>
      </c>
      <c r="AH3175">
        <f t="shared" si="1679"/>
        <v>1389</v>
      </c>
    </row>
    <row r="3176" ht="60" hidden="1">
      <c r="A3176" s="217"/>
      <c r="B3176" s="217">
        <v>1389</v>
      </c>
      <c r="C3176" s="217"/>
      <c r="D3176" s="217" t="s">
        <v>17167</v>
      </c>
      <c r="E3176" s="471" t="s">
        <v>20671</v>
      </c>
      <c r="F3176" s="489">
        <v>94964</v>
      </c>
      <c r="G3176" s="488" t="s">
        <v>8711</v>
      </c>
      <c r="H3176" s="471" t="s">
        <v>15528</v>
      </c>
      <c r="I3176" s="472">
        <v>4.4999999999999998e-002</v>
      </c>
      <c r="J3176" s="473">
        <f t="shared" si="1684"/>
        <v>488.52999999999997</v>
      </c>
      <c r="K3176" s="474">
        <f t="shared" si="1685"/>
        <v>21.983849999999997</v>
      </c>
      <c r="L3176" s="475">
        <f t="shared" si="1669"/>
        <v>482.79000000000002</v>
      </c>
      <c r="M3176" s="474">
        <f t="shared" si="1686"/>
        <v>21.725549999999998</v>
      </c>
      <c r="O3176" s="434">
        <f t="shared" si="1666"/>
        <v>488.52999999999997</v>
      </c>
      <c r="P3176" s="435">
        <f t="shared" si="1667"/>
        <v>482.79000000000002</v>
      </c>
      <c r="AE3176" s="217"/>
      <c r="AF3176" s="217">
        <v>1389</v>
      </c>
      <c r="AH3176">
        <f t="shared" si="1679"/>
        <v>1389</v>
      </c>
    </row>
    <row r="3177" ht="45" hidden="1">
      <c r="A3177" s="217"/>
      <c r="B3177" s="217">
        <v>1389</v>
      </c>
      <c r="C3177" s="217"/>
      <c r="D3177" s="217" t="s">
        <v>20398</v>
      </c>
      <c r="E3177" s="471" t="s">
        <v>20672</v>
      </c>
      <c r="F3177" s="489">
        <v>1000</v>
      </c>
      <c r="G3177" s="488" t="s">
        <v>20651</v>
      </c>
      <c r="H3177" s="471" t="s">
        <v>15528</v>
      </c>
      <c r="I3177" s="472">
        <f>I3176</f>
        <v>4.4999999999999998e-002</v>
      </c>
      <c r="J3177" s="473">
        <f t="shared" si="1684"/>
        <v>149.904</v>
      </c>
      <c r="K3177" s="474">
        <f t="shared" si="1685"/>
        <v>6.7456799999999992</v>
      </c>
      <c r="L3177" s="475">
        <f t="shared" si="1669"/>
        <v>141.76949999999999</v>
      </c>
      <c r="M3177" s="474">
        <f t="shared" si="1686"/>
        <v>6.3796274999999998</v>
      </c>
      <c r="O3177" s="434">
        <f t="shared" si="1666"/>
        <v>149.904</v>
      </c>
      <c r="P3177" s="435">
        <f t="shared" si="1667"/>
        <v>141.76949999999999</v>
      </c>
      <c r="AE3177" s="217"/>
      <c r="AF3177" s="217">
        <v>1389</v>
      </c>
      <c r="AH3177">
        <f t="shared" si="1679"/>
        <v>1389</v>
      </c>
    </row>
    <row r="3178" ht="90" hidden="1">
      <c r="A3178" s="217"/>
      <c r="B3178" s="217">
        <v>1389</v>
      </c>
      <c r="C3178" s="217"/>
      <c r="D3178" s="217" t="s">
        <v>20453</v>
      </c>
      <c r="E3178" s="471" t="s">
        <v>20673</v>
      </c>
      <c r="F3178" s="489" t="s">
        <v>20215</v>
      </c>
      <c r="G3178" s="488" t="s">
        <v>22223</v>
      </c>
      <c r="H3178" s="471" t="s">
        <v>38</v>
      </c>
      <c r="I3178" s="472">
        <v>1</v>
      </c>
      <c r="J3178" s="473">
        <f t="shared" si="1684"/>
        <v>268</v>
      </c>
      <c r="K3178" s="474">
        <f t="shared" si="1685"/>
        <v>268</v>
      </c>
      <c r="L3178" s="475">
        <f t="shared" si="1669"/>
        <v>268</v>
      </c>
      <c r="M3178" s="474">
        <f t="shared" si="1686"/>
        <v>268</v>
      </c>
      <c r="O3178" s="434">
        <f t="shared" si="1666"/>
        <v>268</v>
      </c>
      <c r="P3178" s="435">
        <f t="shared" si="1667"/>
        <v>268</v>
      </c>
      <c r="AE3178" s="217"/>
      <c r="AF3178" s="217">
        <v>1389</v>
      </c>
      <c r="AH3178">
        <f t="shared" si="1679"/>
        <v>1389</v>
      </c>
    </row>
    <row r="3179" hidden="1">
      <c r="A3179" s="217"/>
      <c r="B3179" s="217">
        <v>1389</v>
      </c>
      <c r="C3179" s="217"/>
      <c r="D3179" s="217" t="s">
        <v>20453</v>
      </c>
      <c r="E3179" s="471" t="s">
        <v>20675</v>
      </c>
      <c r="F3179" s="489" t="s">
        <v>20223</v>
      </c>
      <c r="G3179" s="488" t="s">
        <v>22224</v>
      </c>
      <c r="H3179" s="471" t="s">
        <v>38</v>
      </c>
      <c r="I3179" s="472">
        <v>0.40000000000000002</v>
      </c>
      <c r="J3179" s="473">
        <f t="shared" si="1684"/>
        <v>287.86000000000001</v>
      </c>
      <c r="K3179" s="474">
        <f t="shared" si="1685"/>
        <v>115.14400000000001</v>
      </c>
      <c r="L3179" s="475">
        <f t="shared" si="1669"/>
        <v>287.86000000000001</v>
      </c>
      <c r="M3179" s="474">
        <f t="shared" si="1686"/>
        <v>115.14400000000001</v>
      </c>
      <c r="O3179" s="434">
        <f t="shared" si="1666"/>
        <v>287.86000000000001</v>
      </c>
      <c r="P3179" s="435">
        <f t="shared" si="1667"/>
        <v>287.86000000000001</v>
      </c>
      <c r="AE3179" s="217"/>
      <c r="AF3179" s="217">
        <v>1389</v>
      </c>
      <c r="AH3179">
        <f t="shared" si="1679"/>
        <v>1389</v>
      </c>
    </row>
    <row r="3180" ht="30" hidden="1">
      <c r="A3180" s="217"/>
      <c r="B3180" s="217">
        <v>1389</v>
      </c>
      <c r="C3180" s="217"/>
      <c r="D3180" s="217" t="s">
        <v>20453</v>
      </c>
      <c r="E3180" s="471" t="s">
        <v>20677</v>
      </c>
      <c r="F3180" s="489" t="s">
        <v>20229</v>
      </c>
      <c r="G3180" s="488" t="s">
        <v>22225</v>
      </c>
      <c r="H3180" s="471" t="s">
        <v>38</v>
      </c>
      <c r="I3180" s="472">
        <v>0.40000000000000002</v>
      </c>
      <c r="J3180" s="473">
        <f t="shared" si="1684"/>
        <v>8.5</v>
      </c>
      <c r="K3180" s="474">
        <f t="shared" si="1685"/>
        <v>3.4000000000000004</v>
      </c>
      <c r="L3180" s="475">
        <f t="shared" si="1669"/>
        <v>8.5</v>
      </c>
      <c r="M3180" s="474">
        <f t="shared" si="1686"/>
        <v>3.4000000000000004</v>
      </c>
      <c r="O3180" s="434">
        <f t="shared" ref="O3180:O3243" si="1687">IFERROR(IF(D3180="SINAPI",VLOOKUP(F3180,SINCOMOD,4,FALSE),IF(D3180="INSINAPI",VLOOKUP(F3180,INSINOD,5,FALSE),IF(D3180="SICRO",VLOOKUP(F3180,SICRO,5,FALSE),IF(D3180="COTACAO",VLOOKUP(F3180,COTACAO,6,FALSE),IF(D3180="PRÓPRIO",VLOOKUP(F3180,COMPOD,11,FALSE),IF(D3180="AGESUL",VLOOKUP(F3180,AGESULOD,6,FALSE),IF(D3180="INSAGESUL",VLOOKUP(F3180,INSAGESUL,7,FALSE),"SEM VALOR"))))))),"SEM VALOR")</f>
        <v>8.5</v>
      </c>
      <c r="P3180" s="435">
        <f t="shared" ref="P3180:P3243" si="1688">IFERROR(IF(D3180="SINAPI",VLOOKUP(F3180,SINCOMOD,6,FALSE),IF(D3180="INSINAPI",VLOOKUP(F3180,INSINOD,6,FALSE),IF(D3180="SICRO",VLOOKUP(F3180,SICRO,5,FALSE),IF(D3180="COTACAO",VLOOKUP(F3180,COTACAO,6,FALSE),IF(D3180="PRÓPRIO",VLOOKUP(F3180,COMPOD,13,FALSE),IF(D3180="AGESUL",VLOOKUP(F3180,AGESULOD,11,FALSE),IF(D3180="INSAGESUL",VLOOKUP(F3180,INSAGESUL,8,FALSE),"SEM VALOR"))))))),"SEM VALOR")</f>
        <v>8.5</v>
      </c>
      <c r="AE3180" s="217"/>
      <c r="AF3180" s="217">
        <v>1389</v>
      </c>
      <c r="AH3180">
        <f t="shared" si="1679"/>
        <v>1389</v>
      </c>
    </row>
    <row r="3181" ht="45" hidden="1">
      <c r="A3181" s="217"/>
      <c r="B3181" s="217">
        <v>1389</v>
      </c>
      <c r="C3181" s="217"/>
      <c r="D3181" s="217" t="s">
        <v>17167</v>
      </c>
      <c r="E3181" s="471" t="s">
        <v>20679</v>
      </c>
      <c r="F3181" s="489">
        <v>88277</v>
      </c>
      <c r="G3181" s="488" t="s">
        <v>7341</v>
      </c>
      <c r="H3181" s="471" t="s">
        <v>2032</v>
      </c>
      <c r="I3181" s="472">
        <v>1.5</v>
      </c>
      <c r="J3181" s="473">
        <f t="shared" si="1684"/>
        <v>28.359999999999999</v>
      </c>
      <c r="K3181" s="474">
        <f t="shared" si="1685"/>
        <v>42.539999999999999</v>
      </c>
      <c r="L3181" s="475">
        <f t="shared" ref="L3181:L3244" si="1689">P3181*$L$3</f>
        <v>26.640000000000001</v>
      </c>
      <c r="M3181" s="474">
        <f t="shared" si="1686"/>
        <v>39.960000000000001</v>
      </c>
      <c r="O3181" s="434">
        <f t="shared" si="1687"/>
        <v>28.359999999999999</v>
      </c>
      <c r="P3181" s="435">
        <f t="shared" si="1688"/>
        <v>26.640000000000001</v>
      </c>
      <c r="AE3181" s="217"/>
      <c r="AF3181" s="217">
        <v>1389</v>
      </c>
      <c r="AH3181">
        <f t="shared" si="1679"/>
        <v>1389</v>
      </c>
    </row>
    <row r="3182" ht="30" hidden="1">
      <c r="A3182" s="217"/>
      <c r="B3182" s="217">
        <v>1389</v>
      </c>
      <c r="C3182" s="217"/>
      <c r="D3182" s="217" t="s">
        <v>17167</v>
      </c>
      <c r="E3182" s="471" t="s">
        <v>20681</v>
      </c>
      <c r="F3182" s="489">
        <v>88316</v>
      </c>
      <c r="G3182" s="488" t="s">
        <v>7394</v>
      </c>
      <c r="H3182" s="471" t="s">
        <v>2032</v>
      </c>
      <c r="I3182" s="472">
        <v>1.5</v>
      </c>
      <c r="J3182" s="473">
        <f t="shared" si="1684"/>
        <v>22.760000000000002</v>
      </c>
      <c r="K3182" s="474">
        <f t="shared" si="1685"/>
        <v>34.140000000000001</v>
      </c>
      <c r="L3182" s="475">
        <f t="shared" si="1689"/>
        <v>21.550000000000001</v>
      </c>
      <c r="M3182" s="474">
        <f t="shared" si="1686"/>
        <v>32.325000000000003</v>
      </c>
      <c r="O3182" s="434">
        <f t="shared" si="1687"/>
        <v>22.760000000000002</v>
      </c>
      <c r="P3182" s="435">
        <f t="shared" si="1688"/>
        <v>21.550000000000001</v>
      </c>
      <c r="AE3182" s="217"/>
      <c r="AF3182" s="217">
        <v>1389</v>
      </c>
      <c r="AH3182">
        <f t="shared" si="1679"/>
        <v>1389</v>
      </c>
    </row>
    <row r="3183" ht="67.5" hidden="1" customHeight="1">
      <c r="A3183" s="460">
        <v>1390</v>
      </c>
      <c r="B3183" s="460">
        <v>1390</v>
      </c>
      <c r="C3183" s="460"/>
      <c r="D3183" s="460"/>
      <c r="E3183" s="461">
        <v>1</v>
      </c>
      <c r="F3183" s="462" t="s">
        <v>22226</v>
      </c>
      <c r="G3183" s="477" t="s">
        <v>22227</v>
      </c>
      <c r="H3183" s="478" t="s">
        <v>15528</v>
      </c>
      <c r="I3183" s="479"/>
      <c r="J3183" s="480"/>
      <c r="K3183" s="466">
        <f>SUM(K3184:K3196)</f>
        <v>72.324476276000013</v>
      </c>
      <c r="L3183" s="480"/>
      <c r="M3183" s="466">
        <f>SUM(M3184:M3196)</f>
        <v>71.838785462000004</v>
      </c>
      <c r="N3183" s="467" t="s">
        <v>22228</v>
      </c>
      <c r="O3183" s="434" t="str">
        <f t="shared" si="1687"/>
        <v xml:space="preserve">SEM VALOR</v>
      </c>
      <c r="P3183" s="435" t="str">
        <f t="shared" si="1688"/>
        <v xml:space="preserve">SEM VALOR</v>
      </c>
      <c r="AE3183" s="460">
        <v>1390</v>
      </c>
      <c r="AF3183" s="460"/>
      <c r="AH3183">
        <f t="shared" si="1679"/>
        <v>1390</v>
      </c>
    </row>
    <row r="3184" ht="26.25" hidden="1" customHeight="1">
      <c r="A3184" s="217"/>
      <c r="B3184" s="217">
        <v>1390</v>
      </c>
      <c r="C3184" s="217"/>
      <c r="D3184" s="217" t="s">
        <v>20644</v>
      </c>
      <c r="E3184" s="471" t="s">
        <v>20399</v>
      </c>
      <c r="F3184" s="489" t="s">
        <v>15400</v>
      </c>
      <c r="G3184" s="488" t="s">
        <v>22110</v>
      </c>
      <c r="H3184" s="482" t="s">
        <v>31</v>
      </c>
      <c r="I3184" s="509">
        <v>9.5000000000000001e-002</v>
      </c>
      <c r="J3184" s="473">
        <f t="shared" si="1684"/>
        <v>54.57</v>
      </c>
      <c r="K3184" s="474">
        <f t="shared" ref="K3184:K3196" si="1690">I3184*J3184</f>
        <v>5.1841499999999998</v>
      </c>
      <c r="L3184" s="475">
        <f t="shared" si="1689"/>
        <v>54.57</v>
      </c>
      <c r="M3184" s="474">
        <f t="shared" ref="M3184:M3196" si="1691">L3184*I3184</f>
        <v>5.1841499999999998</v>
      </c>
      <c r="N3184" s="467" t="s">
        <v>22109</v>
      </c>
      <c r="O3184" s="434">
        <f t="shared" si="1687"/>
        <v>54.57</v>
      </c>
      <c r="P3184" s="435">
        <f t="shared" si="1688"/>
        <v>54.57</v>
      </c>
      <c r="R3184" s="437">
        <f>90.84/100</f>
        <v>0.90839999999999999</v>
      </c>
      <c r="AE3184" s="217"/>
      <c r="AF3184" s="217">
        <v>1390</v>
      </c>
      <c r="AH3184">
        <f t="shared" si="1679"/>
        <v>1390</v>
      </c>
    </row>
    <row r="3185" ht="30" hidden="1">
      <c r="A3185" s="217"/>
      <c r="B3185" s="217">
        <v>1390</v>
      </c>
      <c r="C3185" s="217"/>
      <c r="D3185" s="217" t="s">
        <v>20644</v>
      </c>
      <c r="E3185" s="471" t="s">
        <v>20402</v>
      </c>
      <c r="F3185" s="489" t="s">
        <v>15402</v>
      </c>
      <c r="G3185" s="488" t="s">
        <v>22111</v>
      </c>
      <c r="H3185" s="482" t="s">
        <v>31</v>
      </c>
      <c r="I3185" s="509">
        <v>1.0499999999999999e-003</v>
      </c>
      <c r="J3185" s="473">
        <f t="shared" si="1684"/>
        <v>541.11000000000001</v>
      </c>
      <c r="K3185" s="474">
        <f t="shared" si="1690"/>
        <v>0.56816549999999999</v>
      </c>
      <c r="L3185" s="475">
        <f t="shared" si="1689"/>
        <v>541.11000000000001</v>
      </c>
      <c r="M3185" s="474">
        <f t="shared" si="1691"/>
        <v>0.56816549999999999</v>
      </c>
      <c r="N3185" s="616">
        <v>36.340000000000003</v>
      </c>
      <c r="O3185" s="434">
        <f t="shared" si="1687"/>
        <v>541.11000000000001</v>
      </c>
      <c r="P3185" s="435">
        <f t="shared" si="1688"/>
        <v>541.11000000000001</v>
      </c>
      <c r="R3185" s="627">
        <f>R3184*40</f>
        <v>36.340000000000003</v>
      </c>
      <c r="AE3185" s="217"/>
      <c r="AF3185" s="217">
        <v>1390</v>
      </c>
      <c r="AH3185">
        <f t="shared" si="1679"/>
        <v>1390</v>
      </c>
    </row>
    <row r="3186" ht="30" hidden="1">
      <c r="A3186" s="217"/>
      <c r="B3186" s="217">
        <v>1390</v>
      </c>
      <c r="C3186" s="217"/>
      <c r="D3186" s="217" t="s">
        <v>17167</v>
      </c>
      <c r="E3186" s="471" t="s">
        <v>20405</v>
      </c>
      <c r="F3186" s="482">
        <v>88316</v>
      </c>
      <c r="G3186" s="470" t="s">
        <v>7393</v>
      </c>
      <c r="H3186" s="482" t="s">
        <v>2032</v>
      </c>
      <c r="I3186" s="509">
        <f>6/N3185</f>
        <v>0.16510730000000001</v>
      </c>
      <c r="J3186" s="473">
        <f t="shared" si="1684"/>
        <v>22.760000000000002</v>
      </c>
      <c r="K3186" s="474">
        <f t="shared" si="1690"/>
        <v>3.7578421480000004</v>
      </c>
      <c r="L3186" s="475">
        <f t="shared" si="1689"/>
        <v>21.550000000000001</v>
      </c>
      <c r="M3186" s="474">
        <f t="shared" si="1691"/>
        <v>3.5580623150000004</v>
      </c>
      <c r="O3186" s="434">
        <f t="shared" si="1687"/>
        <v>22.760000000000002</v>
      </c>
      <c r="P3186" s="435">
        <f t="shared" si="1688"/>
        <v>21.550000000000001</v>
      </c>
      <c r="AE3186" s="217"/>
      <c r="AF3186" s="217">
        <v>1390</v>
      </c>
      <c r="AH3186">
        <f t="shared" si="1679"/>
        <v>1390</v>
      </c>
    </row>
    <row r="3187" ht="60" hidden="1">
      <c r="A3187" s="217"/>
      <c r="B3187" s="217">
        <v>1390</v>
      </c>
      <c r="C3187" s="217"/>
      <c r="D3187" s="217" t="s">
        <v>17167</v>
      </c>
      <c r="E3187" s="471" t="s">
        <v>20409</v>
      </c>
      <c r="F3187" s="489">
        <v>95127</v>
      </c>
      <c r="G3187" s="470" t="s">
        <v>22112</v>
      </c>
      <c r="H3187" s="471" t="s">
        <v>1535</v>
      </c>
      <c r="I3187" s="509">
        <f>1/N3185</f>
        <v>2.7517900000000001e-002</v>
      </c>
      <c r="J3187" s="473">
        <f t="shared" si="1684"/>
        <v>246.74000000000001</v>
      </c>
      <c r="K3187" s="474">
        <f t="shared" si="1690"/>
        <v>6.7897666460000003</v>
      </c>
      <c r="L3187" s="475">
        <f t="shared" si="1689"/>
        <v>244.84</v>
      </c>
      <c r="M3187" s="474">
        <f t="shared" si="1691"/>
        <v>6.7374826360000002</v>
      </c>
      <c r="O3187" s="434">
        <f t="shared" si="1687"/>
        <v>246.74000000000001</v>
      </c>
      <c r="P3187" s="435">
        <f t="shared" si="1688"/>
        <v>244.84</v>
      </c>
      <c r="AE3187" s="217"/>
      <c r="AF3187" s="217">
        <v>1390</v>
      </c>
      <c r="AH3187">
        <f t="shared" si="1679"/>
        <v>1390</v>
      </c>
    </row>
    <row r="3188" ht="60" hidden="1">
      <c r="A3188" s="217"/>
      <c r="B3188" s="217">
        <v>1390</v>
      </c>
      <c r="C3188" s="217"/>
      <c r="D3188" s="217" t="s">
        <v>17167</v>
      </c>
      <c r="E3188" s="471" t="s">
        <v>20663</v>
      </c>
      <c r="F3188" s="489">
        <v>95128</v>
      </c>
      <c r="G3188" s="470" t="s">
        <v>22113</v>
      </c>
      <c r="H3188" s="471" t="s">
        <v>1533</v>
      </c>
      <c r="I3188" s="509">
        <f>0/N3185</f>
        <v>0</v>
      </c>
      <c r="J3188" s="473">
        <f t="shared" si="1684"/>
        <v>57.420000000000002</v>
      </c>
      <c r="K3188" s="474">
        <f t="shared" si="1690"/>
        <v>0</v>
      </c>
      <c r="L3188" s="475">
        <f t="shared" si="1689"/>
        <v>55.520000000000003</v>
      </c>
      <c r="M3188" s="474">
        <f t="shared" si="1691"/>
        <v>0</v>
      </c>
      <c r="O3188" s="434">
        <f t="shared" si="1687"/>
        <v>57.420000000000002</v>
      </c>
      <c r="P3188" s="435">
        <f t="shared" si="1688"/>
        <v>55.520000000000003</v>
      </c>
      <c r="AE3188" s="217"/>
      <c r="AF3188" s="217">
        <v>1390</v>
      </c>
      <c r="AH3188">
        <f t="shared" si="1679"/>
        <v>1390</v>
      </c>
    </row>
    <row r="3189" ht="105" hidden="1">
      <c r="A3189" s="217"/>
      <c r="B3189" s="217">
        <v>1390</v>
      </c>
      <c r="C3189" s="217"/>
      <c r="D3189" s="217" t="s">
        <v>17167</v>
      </c>
      <c r="E3189" s="471" t="s">
        <v>20665</v>
      </c>
      <c r="F3189" s="489">
        <v>5901</v>
      </c>
      <c r="G3189" s="470" t="s">
        <v>22114</v>
      </c>
      <c r="H3189" s="471" t="s">
        <v>1535</v>
      </c>
      <c r="I3189" s="509">
        <f>0.64*2/N3185</f>
        <v>3.5222900000000001e-002</v>
      </c>
      <c r="J3189" s="473">
        <f t="shared" si="1684"/>
        <v>346.31999999999999</v>
      </c>
      <c r="K3189" s="474">
        <f t="shared" si="1690"/>
        <v>12.198394728</v>
      </c>
      <c r="L3189" s="475">
        <f t="shared" si="1689"/>
        <v>344.72000000000003</v>
      </c>
      <c r="M3189" s="474">
        <f t="shared" si="1691"/>
        <v>12.142038088000001</v>
      </c>
      <c r="O3189" s="434">
        <f t="shared" si="1687"/>
        <v>346.31999999999999</v>
      </c>
      <c r="P3189" s="435">
        <f t="shared" si="1688"/>
        <v>344.72000000000003</v>
      </c>
      <c r="AE3189" s="217"/>
      <c r="AF3189" s="217">
        <v>1390</v>
      </c>
      <c r="AH3189">
        <f t="shared" si="1679"/>
        <v>1390</v>
      </c>
    </row>
    <row r="3190" ht="105" hidden="1">
      <c r="A3190" s="217"/>
      <c r="B3190" s="217">
        <v>1390</v>
      </c>
      <c r="C3190" s="217"/>
      <c r="D3190" s="217" t="s">
        <v>17167</v>
      </c>
      <c r="E3190" s="471" t="s">
        <v>20667</v>
      </c>
      <c r="F3190" s="489">
        <v>5903</v>
      </c>
      <c r="G3190" s="470" t="s">
        <v>22115</v>
      </c>
      <c r="H3190" s="471" t="s">
        <v>1533</v>
      </c>
      <c r="I3190" s="509">
        <f>0.36*2/N3185</f>
        <v>1.9812900000000001e-002</v>
      </c>
      <c r="J3190" s="473">
        <f t="shared" si="1684"/>
        <v>73.879999999999995</v>
      </c>
      <c r="K3190" s="474">
        <f t="shared" si="1690"/>
        <v>1.463777052</v>
      </c>
      <c r="L3190" s="475">
        <f t="shared" si="1689"/>
        <v>72.280000000000001</v>
      </c>
      <c r="M3190" s="474">
        <f t="shared" si="1691"/>
        <v>1.432076412</v>
      </c>
      <c r="O3190" s="434">
        <f t="shared" si="1687"/>
        <v>73.879999999999995</v>
      </c>
      <c r="P3190" s="435">
        <f t="shared" si="1688"/>
        <v>72.280000000000001</v>
      </c>
      <c r="AE3190" s="217"/>
      <c r="AF3190" s="217">
        <v>1390</v>
      </c>
      <c r="AH3190">
        <f t="shared" si="1679"/>
        <v>1390</v>
      </c>
    </row>
    <row r="3191" ht="60" hidden="1">
      <c r="A3191" s="217"/>
      <c r="B3191" s="217">
        <v>1390</v>
      </c>
      <c r="C3191" s="217"/>
      <c r="D3191" s="217" t="s">
        <v>17167</v>
      </c>
      <c r="E3191" s="471" t="s">
        <v>20671</v>
      </c>
      <c r="F3191" s="489">
        <v>89250</v>
      </c>
      <c r="G3191" s="470" t="s">
        <v>1867</v>
      </c>
      <c r="H3191" s="471" t="s">
        <v>1535</v>
      </c>
      <c r="I3191" s="509">
        <f>1/N3185</f>
        <v>2.7517900000000001e-002</v>
      </c>
      <c r="J3191" s="473">
        <f t="shared" si="1684"/>
        <v>1229.3800000000001</v>
      </c>
      <c r="K3191" s="474">
        <f t="shared" si="1690"/>
        <v>33.829955902000002</v>
      </c>
      <c r="L3191" s="475">
        <f t="shared" si="1689"/>
        <v>1227.49</v>
      </c>
      <c r="M3191" s="474">
        <f t="shared" si="1691"/>
        <v>33.777947071</v>
      </c>
      <c r="O3191" s="434">
        <f t="shared" si="1687"/>
        <v>1229.3800000000001</v>
      </c>
      <c r="P3191" s="435">
        <f t="shared" si="1688"/>
        <v>1227.49</v>
      </c>
      <c r="AE3191" s="217"/>
      <c r="AF3191" s="217">
        <v>1390</v>
      </c>
      <c r="AH3191">
        <f t="shared" si="1679"/>
        <v>1390</v>
      </c>
    </row>
    <row r="3192" ht="60" hidden="1">
      <c r="A3192" s="217"/>
      <c r="B3192" s="217">
        <v>1390</v>
      </c>
      <c r="C3192" s="217"/>
      <c r="D3192" s="217" t="s">
        <v>17167</v>
      </c>
      <c r="E3192" s="471" t="s">
        <v>20672</v>
      </c>
      <c r="F3192" s="489">
        <v>89251</v>
      </c>
      <c r="G3192" s="470" t="s">
        <v>1866</v>
      </c>
      <c r="H3192" s="471" t="s">
        <v>1533</v>
      </c>
      <c r="I3192" s="509">
        <v>0</v>
      </c>
      <c r="J3192" s="473">
        <f t="shared" si="1684"/>
        <v>356.70999999999998</v>
      </c>
      <c r="K3192" s="474">
        <f t="shared" si="1690"/>
        <v>0</v>
      </c>
      <c r="L3192" s="475">
        <f t="shared" si="1689"/>
        <v>354.81999999999999</v>
      </c>
      <c r="M3192" s="474">
        <f t="shared" si="1691"/>
        <v>0</v>
      </c>
      <c r="O3192" s="434">
        <f t="shared" si="1687"/>
        <v>356.70999999999998</v>
      </c>
      <c r="P3192" s="435">
        <f t="shared" si="1688"/>
        <v>354.81999999999999</v>
      </c>
      <c r="AE3192" s="217"/>
      <c r="AF3192" s="217">
        <v>1390</v>
      </c>
      <c r="AH3192">
        <f t="shared" si="1679"/>
        <v>1390</v>
      </c>
    </row>
    <row r="3193" ht="90" hidden="1">
      <c r="A3193" s="217"/>
      <c r="B3193" s="217">
        <v>1390</v>
      </c>
      <c r="C3193" s="217"/>
      <c r="D3193" s="217" t="s">
        <v>17167</v>
      </c>
      <c r="E3193" s="471" t="s">
        <v>20673</v>
      </c>
      <c r="F3193" s="489">
        <v>6879</v>
      </c>
      <c r="G3193" s="470" t="s">
        <v>1877</v>
      </c>
      <c r="H3193" s="471" t="s">
        <v>1535</v>
      </c>
      <c r="I3193" s="509">
        <f>0.52/N3185</f>
        <v>1.43093e-002</v>
      </c>
      <c r="J3193" s="473">
        <f t="shared" si="1684"/>
        <v>212.56</v>
      </c>
      <c r="K3193" s="474">
        <f t="shared" si="1690"/>
        <v>3.0415848080000001</v>
      </c>
      <c r="L3193" s="475">
        <f t="shared" si="1689"/>
        <v>210.86000000000001</v>
      </c>
      <c r="M3193" s="474">
        <f t="shared" si="1691"/>
        <v>3.0172589980000004</v>
      </c>
      <c r="O3193" s="434">
        <f t="shared" si="1687"/>
        <v>212.56</v>
      </c>
      <c r="P3193" s="435">
        <f t="shared" si="1688"/>
        <v>210.86000000000001</v>
      </c>
      <c r="AE3193" s="217"/>
      <c r="AF3193" s="217">
        <v>1390</v>
      </c>
      <c r="AH3193">
        <f t="shared" si="1679"/>
        <v>1390</v>
      </c>
    </row>
    <row r="3194" ht="90" hidden="1">
      <c r="A3194" s="217"/>
      <c r="B3194" s="217">
        <v>1390</v>
      </c>
      <c r="C3194" s="217"/>
      <c r="D3194" s="217" t="s">
        <v>17167</v>
      </c>
      <c r="E3194" s="471" t="s">
        <v>20675</v>
      </c>
      <c r="F3194" s="489">
        <v>6880</v>
      </c>
      <c r="G3194" s="470" t="s">
        <v>1876</v>
      </c>
      <c r="H3194" s="471" t="s">
        <v>1533</v>
      </c>
      <c r="I3194" s="509">
        <f>0.48/N3185</f>
        <v>1.3208599999999999e-002</v>
      </c>
      <c r="J3194" s="473">
        <f t="shared" si="1684"/>
        <v>84.219999999999999</v>
      </c>
      <c r="K3194" s="474">
        <f t="shared" si="1690"/>
        <v>1.1124282919999999</v>
      </c>
      <c r="L3194" s="475">
        <f t="shared" si="1689"/>
        <v>82.519999999999996</v>
      </c>
      <c r="M3194" s="474">
        <f t="shared" si="1691"/>
        <v>1.0899736719999999</v>
      </c>
      <c r="O3194" s="434">
        <f t="shared" si="1687"/>
        <v>84.219999999999999</v>
      </c>
      <c r="P3194" s="435">
        <f t="shared" si="1688"/>
        <v>82.519999999999996</v>
      </c>
      <c r="AE3194" s="217"/>
      <c r="AF3194" s="217">
        <v>1390</v>
      </c>
      <c r="AH3194">
        <f t="shared" si="1679"/>
        <v>1390</v>
      </c>
    </row>
    <row r="3195" ht="105" hidden="1">
      <c r="A3195" s="217"/>
      <c r="B3195" s="217">
        <v>1390</v>
      </c>
      <c r="C3195" s="217"/>
      <c r="D3195" s="217" t="s">
        <v>17167</v>
      </c>
      <c r="E3195" s="471" t="s">
        <v>20677</v>
      </c>
      <c r="F3195" s="489">
        <v>7049</v>
      </c>
      <c r="G3195" s="488" t="s">
        <v>21764</v>
      </c>
      <c r="H3195" s="471" t="s">
        <v>1535</v>
      </c>
      <c r="I3195" s="509">
        <f>0.54/N3185</f>
        <v>1.48597e-002</v>
      </c>
      <c r="J3195" s="473">
        <f t="shared" si="1684"/>
        <v>228.24000000000001</v>
      </c>
      <c r="K3195" s="474">
        <f t="shared" si="1690"/>
        <v>3.3915779280000002</v>
      </c>
      <c r="L3195" s="475">
        <f t="shared" si="1689"/>
        <v>226.53999999999999</v>
      </c>
      <c r="M3195" s="474">
        <f t="shared" si="1691"/>
        <v>3.3663164379999997</v>
      </c>
      <c r="O3195" s="434">
        <f t="shared" si="1687"/>
        <v>228.24000000000001</v>
      </c>
      <c r="P3195" s="435">
        <f t="shared" si="1688"/>
        <v>226.53999999999999</v>
      </c>
      <c r="AE3195" s="217"/>
      <c r="AF3195" s="217">
        <v>1390</v>
      </c>
      <c r="AH3195">
        <f t="shared" si="1679"/>
        <v>1390</v>
      </c>
    </row>
    <row r="3196" ht="105" hidden="1">
      <c r="A3196" s="217"/>
      <c r="B3196" s="217">
        <v>1390</v>
      </c>
      <c r="C3196" s="217"/>
      <c r="D3196" s="217" t="s">
        <v>17167</v>
      </c>
      <c r="E3196" s="471" t="s">
        <v>20679</v>
      </c>
      <c r="F3196" s="489">
        <v>7050</v>
      </c>
      <c r="G3196" s="488" t="s">
        <v>21765</v>
      </c>
      <c r="H3196" s="471" t="s">
        <v>1533</v>
      </c>
      <c r="I3196" s="509">
        <f>0.46/N3185</f>
        <v>1.26582e-002</v>
      </c>
      <c r="J3196" s="473">
        <f t="shared" si="1684"/>
        <v>77.959999999999994</v>
      </c>
      <c r="K3196" s="474">
        <f t="shared" si="1690"/>
        <v>0.98683327199999993</v>
      </c>
      <c r="L3196" s="475">
        <f t="shared" si="1689"/>
        <v>76.260000000000005</v>
      </c>
      <c r="M3196" s="474">
        <f t="shared" si="1691"/>
        <v>0.96531433200000005</v>
      </c>
      <c r="O3196" s="434">
        <f t="shared" si="1687"/>
        <v>77.959999999999994</v>
      </c>
      <c r="P3196" s="435">
        <f t="shared" si="1688"/>
        <v>76.260000000000005</v>
      </c>
      <c r="AE3196" s="217"/>
      <c r="AF3196" s="217">
        <v>1390</v>
      </c>
      <c r="AH3196">
        <f t="shared" si="1679"/>
        <v>1390</v>
      </c>
    </row>
    <row r="3197" ht="82.5" hidden="1" customHeight="1">
      <c r="A3197" s="460">
        <v>1391</v>
      </c>
      <c r="B3197" s="460">
        <v>1391</v>
      </c>
      <c r="C3197" s="460"/>
      <c r="D3197" s="460"/>
      <c r="E3197" s="461">
        <v>1</v>
      </c>
      <c r="F3197" s="462" t="s">
        <v>22229</v>
      </c>
      <c r="G3197" s="477" t="s">
        <v>22230</v>
      </c>
      <c r="H3197" s="478" t="s">
        <v>15528</v>
      </c>
      <c r="I3197" s="479"/>
      <c r="J3197" s="480"/>
      <c r="K3197" s="466">
        <f>SUM(K3198:K3206)</f>
        <v>776.70954284499987</v>
      </c>
      <c r="L3197" s="480"/>
      <c r="M3197" s="466">
        <f>SUM(M3198:M3206)</f>
        <v>775.1361433039998</v>
      </c>
      <c r="N3197" s="467" t="s">
        <v>22061</v>
      </c>
      <c r="O3197" s="434" t="str">
        <f t="shared" si="1687"/>
        <v xml:space="preserve">SEM VALOR</v>
      </c>
      <c r="P3197" s="435" t="str">
        <f t="shared" si="1688"/>
        <v xml:space="preserve">SEM VALOR</v>
      </c>
      <c r="AE3197" s="460">
        <v>1391</v>
      </c>
      <c r="AF3197" s="460"/>
      <c r="AH3197">
        <f t="shared" si="1679"/>
        <v>1391</v>
      </c>
    </row>
    <row r="3198" ht="105" hidden="1">
      <c r="A3198" s="217"/>
      <c r="B3198" s="217">
        <v>1391</v>
      </c>
      <c r="C3198" s="217"/>
      <c r="D3198" s="217" t="s">
        <v>17167</v>
      </c>
      <c r="E3198" s="471" t="s">
        <v>20399</v>
      </c>
      <c r="F3198" s="482">
        <v>73467</v>
      </c>
      <c r="G3198" s="470" t="s">
        <v>1601</v>
      </c>
      <c r="H3198" s="482" t="s">
        <v>1535</v>
      </c>
      <c r="I3198" s="578">
        <f>0.3/4.2</f>
        <v>7.1428599999999995e-002</v>
      </c>
      <c r="J3198" s="473">
        <f t="shared" si="1684"/>
        <v>270.61000000000001</v>
      </c>
      <c r="K3198" s="474">
        <f t="shared" ref="K3198:K3206" si="1692">I3198*J3198</f>
        <v>19.329293446000001</v>
      </c>
      <c r="L3198" s="475">
        <f t="shared" si="1689"/>
        <v>269.00999999999999</v>
      </c>
      <c r="M3198" s="474">
        <f t="shared" ref="M3198:M3206" si="1693">L3198*I3198</f>
        <v>19.215007685999996</v>
      </c>
      <c r="N3198" s="467" t="s">
        <v>21418</v>
      </c>
      <c r="O3198" s="434">
        <f t="shared" si="1687"/>
        <v>270.61000000000001</v>
      </c>
      <c r="P3198" s="435">
        <f t="shared" si="1688"/>
        <v>269.00999999999999</v>
      </c>
      <c r="AE3198" s="217"/>
      <c r="AF3198" s="217">
        <v>1391</v>
      </c>
      <c r="AH3198">
        <f t="shared" si="1679"/>
        <v>1391</v>
      </c>
    </row>
    <row r="3199" ht="105" hidden="1">
      <c r="A3199" s="217"/>
      <c r="B3199" s="217">
        <v>1391</v>
      </c>
      <c r="C3199" s="217"/>
      <c r="D3199" s="217" t="s">
        <v>17167</v>
      </c>
      <c r="E3199" s="471" t="s">
        <v>20402</v>
      </c>
      <c r="F3199" s="482">
        <v>91395</v>
      </c>
      <c r="G3199" s="470" t="s">
        <v>1600</v>
      </c>
      <c r="H3199" s="482" t="s">
        <v>1533</v>
      </c>
      <c r="I3199" s="578">
        <f>0.7/4.2</f>
        <v>0.1666667</v>
      </c>
      <c r="J3199" s="473">
        <f t="shared" si="1684"/>
        <v>58.25</v>
      </c>
      <c r="K3199" s="474">
        <f t="shared" si="1692"/>
        <v>9.7083352749999996</v>
      </c>
      <c r="L3199" s="475">
        <f t="shared" si="1689"/>
        <v>56.649999999999999</v>
      </c>
      <c r="M3199" s="474">
        <f t="shared" si="1693"/>
        <v>9.4416685549999997</v>
      </c>
      <c r="O3199" s="434">
        <f t="shared" si="1687"/>
        <v>58.25</v>
      </c>
      <c r="P3199" s="435">
        <f t="shared" si="1688"/>
        <v>56.649999999999999</v>
      </c>
      <c r="AE3199" s="217"/>
      <c r="AF3199" s="217">
        <v>1391</v>
      </c>
      <c r="AH3199">
        <f t="shared" si="1679"/>
        <v>1391</v>
      </c>
    </row>
    <row r="3200" ht="45" hidden="1">
      <c r="A3200" s="217"/>
      <c r="B3200" s="217">
        <v>1391</v>
      </c>
      <c r="C3200" s="217"/>
      <c r="D3200" s="217" t="s">
        <v>17167</v>
      </c>
      <c r="E3200" s="471" t="s">
        <v>20405</v>
      </c>
      <c r="F3200" s="482">
        <v>88277</v>
      </c>
      <c r="G3200" s="488" t="s">
        <v>7341</v>
      </c>
      <c r="H3200" s="482" t="s">
        <v>2032</v>
      </c>
      <c r="I3200" s="578">
        <f t="shared" ref="I3200:I3201" si="1694">1/4.2</f>
        <v>0.23809520000000001</v>
      </c>
      <c r="J3200" s="473">
        <f t="shared" si="1684"/>
        <v>28.359999999999999</v>
      </c>
      <c r="K3200" s="474">
        <f t="shared" si="1692"/>
        <v>6.7523798719999997</v>
      </c>
      <c r="L3200" s="475">
        <f t="shared" si="1689"/>
        <v>26.640000000000001</v>
      </c>
      <c r="M3200" s="474">
        <f t="shared" si="1693"/>
        <v>6.3428561280000002</v>
      </c>
      <c r="O3200" s="434">
        <f t="shared" si="1687"/>
        <v>28.359999999999999</v>
      </c>
      <c r="P3200" s="435">
        <f t="shared" si="1688"/>
        <v>26.640000000000001</v>
      </c>
      <c r="AE3200" s="217"/>
      <c r="AF3200" s="217">
        <v>1391</v>
      </c>
      <c r="AH3200">
        <f t="shared" si="1679"/>
        <v>1391</v>
      </c>
    </row>
    <row r="3201" ht="30" hidden="1">
      <c r="A3201" s="217"/>
      <c r="B3201" s="217">
        <v>1391</v>
      </c>
      <c r="C3201" s="217"/>
      <c r="D3201" s="217" t="s">
        <v>17167</v>
      </c>
      <c r="E3201" s="471" t="s">
        <v>20409</v>
      </c>
      <c r="F3201" s="482">
        <v>88316</v>
      </c>
      <c r="G3201" s="470" t="s">
        <v>7393</v>
      </c>
      <c r="H3201" s="482" t="s">
        <v>2032</v>
      </c>
      <c r="I3201" s="578">
        <f t="shared" si="1694"/>
        <v>0.23809520000000001</v>
      </c>
      <c r="J3201" s="473">
        <f t="shared" si="1684"/>
        <v>22.760000000000002</v>
      </c>
      <c r="K3201" s="474">
        <f t="shared" si="1692"/>
        <v>5.4190467520000007</v>
      </c>
      <c r="L3201" s="475">
        <f t="shared" si="1689"/>
        <v>21.550000000000001</v>
      </c>
      <c r="M3201" s="474">
        <f t="shared" si="1693"/>
        <v>5.1309515600000006</v>
      </c>
      <c r="O3201" s="434">
        <f t="shared" si="1687"/>
        <v>22.760000000000002</v>
      </c>
      <c r="P3201" s="435">
        <f t="shared" si="1688"/>
        <v>21.550000000000001</v>
      </c>
      <c r="AE3201" s="217"/>
      <c r="AF3201" s="217">
        <v>1391</v>
      </c>
      <c r="AH3201">
        <f t="shared" si="1679"/>
        <v>1391</v>
      </c>
    </row>
    <row r="3202" ht="45" hidden="1">
      <c r="A3202" s="217"/>
      <c r="B3202" s="217">
        <v>1391</v>
      </c>
      <c r="C3202" s="217"/>
      <c r="D3202" s="217" t="s">
        <v>20408</v>
      </c>
      <c r="E3202" s="471" t="s">
        <v>20663</v>
      </c>
      <c r="F3202" s="482">
        <v>21013</v>
      </c>
      <c r="G3202" s="470" t="s">
        <v>21419</v>
      </c>
      <c r="H3202" s="482" t="s">
        <v>21420</v>
      </c>
      <c r="I3202" s="578">
        <v>3.2000000000000002</v>
      </c>
      <c r="J3202" s="473">
        <f t="shared" si="1684"/>
        <v>66.920000000000002</v>
      </c>
      <c r="K3202" s="474">
        <f t="shared" si="1692"/>
        <v>214.14400000000001</v>
      </c>
      <c r="L3202" s="475">
        <f t="shared" si="1689"/>
        <v>66.920000000000002</v>
      </c>
      <c r="M3202" s="474">
        <f t="shared" si="1693"/>
        <v>214.14400000000001</v>
      </c>
      <c r="O3202" s="434">
        <f t="shared" si="1687"/>
        <v>66.920000000000002</v>
      </c>
      <c r="P3202" s="435">
        <f t="shared" si="1688"/>
        <v>66.920000000000002</v>
      </c>
      <c r="AE3202" s="217"/>
      <c r="AF3202" s="217">
        <v>1391</v>
      </c>
      <c r="AH3202">
        <f t="shared" si="1679"/>
        <v>1391</v>
      </c>
    </row>
    <row r="3203" ht="30" hidden="1">
      <c r="A3203" s="217"/>
      <c r="B3203" s="217">
        <v>1391</v>
      </c>
      <c r="C3203" s="217"/>
      <c r="D3203" s="217" t="s">
        <v>20408</v>
      </c>
      <c r="E3203" s="471" t="s">
        <v>20665</v>
      </c>
      <c r="F3203" s="489">
        <v>34723</v>
      </c>
      <c r="G3203" s="470" t="s">
        <v>21184</v>
      </c>
      <c r="H3203" s="499" t="s">
        <v>15515</v>
      </c>
      <c r="I3203" s="483">
        <f>0.3+0.2025</f>
        <v>0.50249999999999995</v>
      </c>
      <c r="J3203" s="473">
        <f t="shared" si="1684"/>
        <v>997.91999999999996</v>
      </c>
      <c r="K3203" s="474">
        <f t="shared" si="1692"/>
        <v>501.45479999999992</v>
      </c>
      <c r="L3203" s="475">
        <f t="shared" si="1689"/>
        <v>997.91999999999996</v>
      </c>
      <c r="M3203" s="474">
        <f t="shared" si="1693"/>
        <v>501.45479999999992</v>
      </c>
      <c r="O3203" s="434">
        <f t="shared" si="1687"/>
        <v>997.91999999999996</v>
      </c>
      <c r="P3203" s="435">
        <f t="shared" si="1688"/>
        <v>997.91999999999996</v>
      </c>
      <c r="AE3203" s="217"/>
      <c r="AF3203" s="217">
        <v>1391</v>
      </c>
      <c r="AH3203">
        <f t="shared" si="1679"/>
        <v>1391</v>
      </c>
    </row>
    <row r="3204" ht="60" hidden="1">
      <c r="A3204" s="217"/>
      <c r="B3204" s="217">
        <v>1391</v>
      </c>
      <c r="C3204" s="217"/>
      <c r="D3204" s="217" t="s">
        <v>17167</v>
      </c>
      <c r="E3204" s="471" t="s">
        <v>20667</v>
      </c>
      <c r="F3204" s="482">
        <v>94963</v>
      </c>
      <c r="G3204" s="470" t="s">
        <v>20684</v>
      </c>
      <c r="H3204" s="482" t="s">
        <v>15528</v>
      </c>
      <c r="I3204" s="578">
        <v>3.125e-002</v>
      </c>
      <c r="J3204" s="473">
        <f t="shared" si="1684"/>
        <v>441.43000000000001</v>
      </c>
      <c r="K3204" s="474">
        <f t="shared" si="1692"/>
        <v>13.7946875</v>
      </c>
      <c r="L3204" s="475">
        <f t="shared" si="1689"/>
        <v>436.14999999999998</v>
      </c>
      <c r="M3204" s="474">
        <f t="shared" si="1693"/>
        <v>13.629687499999999</v>
      </c>
      <c r="O3204" s="434">
        <f t="shared" si="1687"/>
        <v>441.43000000000001</v>
      </c>
      <c r="P3204" s="435">
        <f t="shared" si="1688"/>
        <v>436.14999999999998</v>
      </c>
      <c r="AE3204" s="217"/>
      <c r="AF3204" s="217">
        <v>1391</v>
      </c>
      <c r="AH3204">
        <f t="shared" si="1679"/>
        <v>1391</v>
      </c>
    </row>
    <row r="3205" ht="45" hidden="1">
      <c r="A3205" s="217"/>
      <c r="B3205" s="217">
        <v>1391</v>
      </c>
      <c r="C3205" s="217"/>
      <c r="D3205" s="217" t="s">
        <v>20398</v>
      </c>
      <c r="E3205" s="471" t="s">
        <v>20671</v>
      </c>
      <c r="F3205" s="489">
        <v>1259</v>
      </c>
      <c r="G3205" s="470" t="s">
        <v>20796</v>
      </c>
      <c r="H3205" s="482" t="s">
        <v>15528</v>
      </c>
      <c r="I3205" s="614">
        <v>3.125e-002</v>
      </c>
      <c r="J3205" s="473">
        <f t="shared" si="1684"/>
        <v>45.520000000000003</v>
      </c>
      <c r="K3205" s="474">
        <f t="shared" si="1692"/>
        <v>1.4225000000000001</v>
      </c>
      <c r="L3205" s="475">
        <f t="shared" si="1689"/>
        <v>43.100000000000001</v>
      </c>
      <c r="M3205" s="474">
        <f t="shared" si="1693"/>
        <v>1.346875</v>
      </c>
      <c r="O3205" s="434">
        <f t="shared" si="1687"/>
        <v>45.520000000000003</v>
      </c>
      <c r="P3205" s="435">
        <f t="shared" si="1688"/>
        <v>43.100000000000001</v>
      </c>
      <c r="AE3205" s="217"/>
      <c r="AF3205" s="217">
        <v>1391</v>
      </c>
      <c r="AH3205">
        <f t="shared" si="1679"/>
        <v>1391</v>
      </c>
    </row>
    <row r="3206" ht="45" hidden="1">
      <c r="A3206" s="217"/>
      <c r="B3206" s="217">
        <v>1391</v>
      </c>
      <c r="C3206" s="217"/>
      <c r="D3206" s="217" t="s">
        <v>20398</v>
      </c>
      <c r="E3206" s="471" t="s">
        <v>20672</v>
      </c>
      <c r="F3206" s="482">
        <v>1000</v>
      </c>
      <c r="G3206" s="470" t="s">
        <v>20651</v>
      </c>
      <c r="H3206" s="482" t="s">
        <v>15528</v>
      </c>
      <c r="I3206" s="614">
        <f>I3204</f>
        <v>3.125e-002</v>
      </c>
      <c r="J3206" s="473">
        <f t="shared" si="1684"/>
        <v>149.904</v>
      </c>
      <c r="K3206" s="474">
        <f t="shared" si="1692"/>
        <v>4.6844999999999999</v>
      </c>
      <c r="L3206" s="475">
        <f t="shared" si="1689"/>
        <v>141.76949999999999</v>
      </c>
      <c r="M3206" s="474">
        <f t="shared" si="1693"/>
        <v>4.4302968749999998</v>
      </c>
      <c r="O3206" s="434">
        <f t="shared" si="1687"/>
        <v>149.904</v>
      </c>
      <c r="P3206" s="435">
        <f t="shared" si="1688"/>
        <v>141.76949999999999</v>
      </c>
      <c r="AE3206" s="217"/>
      <c r="AF3206" s="217">
        <v>1391</v>
      </c>
      <c r="AH3206">
        <f t="shared" si="1679"/>
        <v>1391</v>
      </c>
    </row>
    <row r="3207" ht="81.75" hidden="1" customHeight="1">
      <c r="A3207" s="460">
        <v>1392</v>
      </c>
      <c r="B3207" s="460">
        <v>1392</v>
      </c>
      <c r="C3207" s="460"/>
      <c r="D3207" s="460"/>
      <c r="E3207" s="461">
        <v>1</v>
      </c>
      <c r="F3207" s="462" t="s">
        <v>22231</v>
      </c>
      <c r="G3207" s="477" t="s">
        <v>22232</v>
      </c>
      <c r="H3207" s="478" t="s">
        <v>15515</v>
      </c>
      <c r="I3207" s="479"/>
      <c r="J3207" s="480"/>
      <c r="K3207" s="466">
        <f>SUM(K3208:K3213)</f>
        <v>222.28223410849438</v>
      </c>
      <c r="L3207" s="480"/>
      <c r="M3207" s="466">
        <f>SUM(M3208:M3213)</f>
        <v>214.65109107338199</v>
      </c>
      <c r="O3207" s="434" t="str">
        <f t="shared" si="1687"/>
        <v xml:space="preserve">SEM VALOR</v>
      </c>
      <c r="P3207" s="435" t="str">
        <f t="shared" si="1688"/>
        <v xml:space="preserve">SEM VALOR</v>
      </c>
      <c r="R3207" s="510" t="s">
        <v>22233</v>
      </c>
      <c r="AE3207" s="460">
        <v>1392</v>
      </c>
      <c r="AF3207" s="460"/>
      <c r="AH3207">
        <f t="shared" ref="AH3207:AH3270" si="1695">IF(AF3207:AF3208=FALSE,AE3207,AF3207)</f>
        <v>1392</v>
      </c>
    </row>
    <row r="3208" ht="45" hidden="1">
      <c r="A3208" s="217"/>
      <c r="B3208" s="217">
        <v>1392</v>
      </c>
      <c r="C3208" s="217"/>
      <c r="D3208" s="217" t="s">
        <v>17167</v>
      </c>
      <c r="E3208" s="471" t="s">
        <v>20399</v>
      </c>
      <c r="F3208" s="482">
        <v>93358</v>
      </c>
      <c r="G3208" s="470" t="s">
        <v>20927</v>
      </c>
      <c r="H3208" s="471" t="s">
        <v>15528</v>
      </c>
      <c r="I3208" s="472">
        <f>(0.125+0.2)*0.26*1.68/(0.26*1.68)</f>
        <v>0.32500000000000001</v>
      </c>
      <c r="J3208" s="473">
        <f t="shared" si="1684"/>
        <v>90.030000000000001</v>
      </c>
      <c r="K3208" s="474">
        <f t="shared" ref="K3208:K3213" si="1696">I3208*J3208</f>
        <v>29.25975</v>
      </c>
      <c r="L3208" s="475">
        <f t="shared" si="1689"/>
        <v>85.239999999999995</v>
      </c>
      <c r="M3208" s="474">
        <f t="shared" ref="M3208:M3213" si="1697">L3208*I3208</f>
        <v>27.702999999999999</v>
      </c>
      <c r="O3208" s="434">
        <f t="shared" si="1687"/>
        <v>90.030000000000001</v>
      </c>
      <c r="P3208" s="435">
        <f t="shared" si="1688"/>
        <v>85.239999999999995</v>
      </c>
      <c r="R3208" s="615" t="s">
        <v>22234</v>
      </c>
      <c r="AE3208" s="217"/>
      <c r="AF3208" s="217">
        <v>1392</v>
      </c>
      <c r="AH3208">
        <f t="shared" si="1695"/>
        <v>1392</v>
      </c>
    </row>
    <row r="3209" ht="30" hidden="1">
      <c r="A3209" s="217"/>
      <c r="B3209" s="217">
        <v>1392</v>
      </c>
      <c r="C3209" s="217"/>
      <c r="D3209" s="217" t="s">
        <v>20398</v>
      </c>
      <c r="E3209" s="471" t="s">
        <v>20402</v>
      </c>
      <c r="F3209" s="482">
        <v>1376</v>
      </c>
      <c r="G3209" s="470" t="s">
        <v>20928</v>
      </c>
      <c r="H3209" s="471" t="s">
        <v>15528</v>
      </c>
      <c r="I3209" s="472">
        <f>((0.125+0.2)*0.25*1.68-0.25*0.12*1.68)/(0.26*1.68)</f>
        <v>0.1971154</v>
      </c>
      <c r="J3209" s="473">
        <f t="shared" si="1684"/>
        <v>54.592136000000004</v>
      </c>
      <c r="K3209" s="474">
        <f t="shared" si="1696"/>
        <v>10.7609507244944</v>
      </c>
      <c r="L3209" s="475">
        <f t="shared" si="1689"/>
        <v>51.689830000000001</v>
      </c>
      <c r="M3209" s="474">
        <f t="shared" si="1697"/>
        <v>10.188861516382</v>
      </c>
      <c r="O3209" s="434">
        <f t="shared" si="1687"/>
        <v>54.592136000000004</v>
      </c>
      <c r="P3209" s="435">
        <f t="shared" si="1688"/>
        <v>51.689830000000001</v>
      </c>
      <c r="R3209" s="615" t="s">
        <v>22235</v>
      </c>
      <c r="AE3209" s="217"/>
      <c r="AF3209" s="217">
        <v>1392</v>
      </c>
      <c r="AH3209">
        <f t="shared" si="1695"/>
        <v>1392</v>
      </c>
    </row>
    <row r="3210" ht="45" hidden="1">
      <c r="A3210" s="217"/>
      <c r="B3210" s="217">
        <v>1392</v>
      </c>
      <c r="C3210" s="217"/>
      <c r="D3210" s="217" t="s">
        <v>17167</v>
      </c>
      <c r="E3210" s="471" t="s">
        <v>20405</v>
      </c>
      <c r="F3210" s="489">
        <v>101616</v>
      </c>
      <c r="G3210" s="470" t="s">
        <v>20929</v>
      </c>
      <c r="H3210" s="472" t="s">
        <v>15515</v>
      </c>
      <c r="I3210" s="472">
        <f>0.125*1.68/(0.26*1.68)</f>
        <v>0.48076920000000001</v>
      </c>
      <c r="J3210" s="473">
        <f t="shared" si="1684"/>
        <v>7.7800000000000002</v>
      </c>
      <c r="K3210" s="474">
        <f t="shared" si="1696"/>
        <v>3.7403843760000002</v>
      </c>
      <c r="L3210" s="475">
        <f t="shared" si="1689"/>
        <v>7.3499999999999996</v>
      </c>
      <c r="M3210" s="474">
        <f t="shared" si="1697"/>
        <v>3.5336536199999999</v>
      </c>
      <c r="O3210" s="434">
        <f t="shared" si="1687"/>
        <v>7.7800000000000002</v>
      </c>
      <c r="P3210" s="435">
        <f t="shared" si="1688"/>
        <v>7.3499999999999996</v>
      </c>
      <c r="R3210" s="615" t="s">
        <v>22236</v>
      </c>
      <c r="AE3210" s="217"/>
      <c r="AF3210" s="217">
        <v>1392</v>
      </c>
      <c r="AH3210">
        <f t="shared" si="1695"/>
        <v>1392</v>
      </c>
    </row>
    <row r="3211" ht="75" hidden="1">
      <c r="A3211" s="217"/>
      <c r="B3211" s="217">
        <v>1392</v>
      </c>
      <c r="C3211" s="217"/>
      <c r="D3211" s="217" t="s">
        <v>20398</v>
      </c>
      <c r="E3211" s="471" t="s">
        <v>20409</v>
      </c>
      <c r="F3211" s="489">
        <v>1065</v>
      </c>
      <c r="G3211" s="470" t="s">
        <v>20800</v>
      </c>
      <c r="H3211" s="472" t="s">
        <v>15515</v>
      </c>
      <c r="I3211" s="472">
        <f>0.26*1.68/(0.26*1.68)</f>
        <v>1</v>
      </c>
      <c r="J3211" s="473">
        <f t="shared" si="1684"/>
        <v>104.37038079999999</v>
      </c>
      <c r="K3211" s="474">
        <f t="shared" si="1696"/>
        <v>104.37038079999999</v>
      </c>
      <c r="L3211" s="475">
        <f t="shared" si="1689"/>
        <v>101.735</v>
      </c>
      <c r="M3211" s="474">
        <f t="shared" si="1697"/>
        <v>101.735</v>
      </c>
      <c r="O3211" s="434">
        <f t="shared" si="1687"/>
        <v>104.37038079999999</v>
      </c>
      <c r="P3211" s="435">
        <f t="shared" si="1688"/>
        <v>101.735</v>
      </c>
      <c r="R3211" s="615" t="s">
        <v>22237</v>
      </c>
      <c r="AE3211" s="217"/>
      <c r="AF3211" s="217">
        <v>1392</v>
      </c>
      <c r="AH3211">
        <f t="shared" si="1695"/>
        <v>1392</v>
      </c>
    </row>
    <row r="3212" ht="90" hidden="1">
      <c r="A3212" s="217"/>
      <c r="B3212" s="217">
        <v>1392</v>
      </c>
      <c r="C3212" s="217"/>
      <c r="D3212" s="217" t="s">
        <v>17167</v>
      </c>
      <c r="E3212" s="471" t="s">
        <v>20663</v>
      </c>
      <c r="F3212" s="482">
        <v>87894</v>
      </c>
      <c r="G3212" s="470" t="s">
        <v>20930</v>
      </c>
      <c r="H3212" s="471" t="s">
        <v>15515</v>
      </c>
      <c r="I3212" s="472">
        <f>(0.1*1.68+(0.15/2)*1.68+0.26*1.68)/(0.26*1.68)</f>
        <v>1.6730769000000001</v>
      </c>
      <c r="J3212" s="473">
        <f t="shared" si="1684"/>
        <v>7.0499999999999998</v>
      </c>
      <c r="K3212" s="474">
        <f t="shared" si="1696"/>
        <v>11.795192145</v>
      </c>
      <c r="L3212" s="475">
        <f t="shared" si="1689"/>
        <v>6.7400000000000002</v>
      </c>
      <c r="M3212" s="474">
        <f t="shared" si="1697"/>
        <v>11.276538306000001</v>
      </c>
      <c r="O3212" s="434">
        <f t="shared" si="1687"/>
        <v>7.0499999999999998</v>
      </c>
      <c r="P3212" s="435">
        <f t="shared" si="1688"/>
        <v>6.7400000000000002</v>
      </c>
      <c r="R3212" s="615" t="s">
        <v>22238</v>
      </c>
      <c r="AE3212" s="217"/>
      <c r="AF3212" s="217">
        <v>1392</v>
      </c>
      <c r="AH3212">
        <f t="shared" si="1695"/>
        <v>1392</v>
      </c>
    </row>
    <row r="3213" ht="105" hidden="1">
      <c r="A3213" s="217"/>
      <c r="B3213" s="217">
        <v>1392</v>
      </c>
      <c r="C3213" s="217"/>
      <c r="D3213" s="217" t="s">
        <v>17167</v>
      </c>
      <c r="E3213" s="471" t="s">
        <v>20665</v>
      </c>
      <c r="F3213" s="482">
        <v>87529</v>
      </c>
      <c r="G3213" s="470" t="s">
        <v>20931</v>
      </c>
      <c r="H3213" s="471" t="s">
        <v>15515</v>
      </c>
      <c r="I3213" s="472">
        <f>I3212</f>
        <v>1.6730769000000001</v>
      </c>
      <c r="J3213" s="473">
        <f t="shared" si="1684"/>
        <v>37.270000000000003</v>
      </c>
      <c r="K3213" s="474">
        <f t="shared" si="1696"/>
        <v>62.355576063000008</v>
      </c>
      <c r="L3213" s="475">
        <f t="shared" si="1689"/>
        <v>35.990000000000002</v>
      </c>
      <c r="M3213" s="474">
        <f t="shared" si="1697"/>
        <v>60.214037631000004</v>
      </c>
      <c r="O3213" s="434">
        <f t="shared" si="1687"/>
        <v>37.270000000000003</v>
      </c>
      <c r="P3213" s="435">
        <f t="shared" si="1688"/>
        <v>35.990000000000002</v>
      </c>
      <c r="R3213" s="615" t="s">
        <v>22238</v>
      </c>
      <c r="AE3213" s="217"/>
      <c r="AF3213" s="217">
        <v>1392</v>
      </c>
      <c r="AH3213">
        <f t="shared" si="1695"/>
        <v>1392</v>
      </c>
    </row>
    <row r="3214" ht="36" hidden="1" customHeight="1">
      <c r="A3214" s="460">
        <v>1393</v>
      </c>
      <c r="B3214" s="460">
        <v>1393</v>
      </c>
      <c r="C3214" s="460"/>
      <c r="D3214" s="460"/>
      <c r="E3214" s="461">
        <v>1</v>
      </c>
      <c r="F3214" s="462" t="s">
        <v>22239</v>
      </c>
      <c r="G3214" s="477" t="s">
        <v>22240</v>
      </c>
      <c r="H3214" s="478" t="s">
        <v>15528</v>
      </c>
      <c r="I3214" s="479"/>
      <c r="J3214" s="480"/>
      <c r="K3214" s="466">
        <f>SUM(K3215:K3223)</f>
        <v>15.625956</v>
      </c>
      <c r="L3214" s="480"/>
      <c r="M3214" s="466">
        <f>SUM(M3215:M3223)</f>
        <v>15.391906000000002</v>
      </c>
      <c r="N3214" s="467" t="s">
        <v>22241</v>
      </c>
      <c r="O3214" s="434" t="str">
        <f t="shared" si="1687"/>
        <v xml:space="preserve">SEM VALOR</v>
      </c>
      <c r="P3214" s="435" t="str">
        <f t="shared" si="1688"/>
        <v xml:space="preserve">SEM VALOR</v>
      </c>
      <c r="AE3214" s="460">
        <v>1393</v>
      </c>
      <c r="AF3214" s="460"/>
      <c r="AH3214">
        <f t="shared" si="1695"/>
        <v>1393</v>
      </c>
    </row>
    <row r="3215" ht="90" hidden="1">
      <c r="A3215" s="217"/>
      <c r="B3215" s="217">
        <v>1393</v>
      </c>
      <c r="C3215" s="217"/>
      <c r="D3215" s="217" t="s">
        <v>17167</v>
      </c>
      <c r="E3215" s="471" t="s">
        <v>20399</v>
      </c>
      <c r="F3215" s="489">
        <v>5684</v>
      </c>
      <c r="G3215" s="470" t="s">
        <v>1885</v>
      </c>
      <c r="H3215" s="482" t="s">
        <v>1535</v>
      </c>
      <c r="I3215" s="483">
        <v>9.4000000000000004e-003</v>
      </c>
      <c r="J3215" s="473">
        <f t="shared" si="1684"/>
        <v>164.22</v>
      </c>
      <c r="K3215" s="474">
        <f t="shared" ref="K3215:K3223" si="1698">I3215*J3215</f>
        <v>1.543668</v>
      </c>
      <c r="L3215" s="475">
        <f t="shared" si="1689"/>
        <v>162.52000000000001</v>
      </c>
      <c r="M3215" s="474">
        <f t="shared" ref="M3215:M3223" si="1699">L3215*I3215</f>
        <v>1.5276880000000002</v>
      </c>
      <c r="O3215" s="434">
        <f t="shared" si="1687"/>
        <v>164.22</v>
      </c>
      <c r="P3215" s="435">
        <f t="shared" si="1688"/>
        <v>162.52000000000001</v>
      </c>
      <c r="AE3215" s="217"/>
      <c r="AF3215" s="217">
        <v>1393</v>
      </c>
      <c r="AH3215">
        <f t="shared" si="1695"/>
        <v>1393</v>
      </c>
    </row>
    <row r="3216" ht="90" hidden="1">
      <c r="A3216" s="217"/>
      <c r="B3216" s="217">
        <v>1393</v>
      </c>
      <c r="C3216" s="217"/>
      <c r="D3216" s="217" t="s">
        <v>17167</v>
      </c>
      <c r="E3216" s="471" t="s">
        <v>20402</v>
      </c>
      <c r="F3216" s="489">
        <v>5685</v>
      </c>
      <c r="G3216" s="470" t="s">
        <v>1884</v>
      </c>
      <c r="H3216" s="482" t="s">
        <v>1533</v>
      </c>
      <c r="I3216" s="483">
        <v>3.0999999999999999e-003</v>
      </c>
      <c r="J3216" s="473">
        <f t="shared" si="1684"/>
        <v>64.049999999999997</v>
      </c>
      <c r="K3216" s="474">
        <f t="shared" si="1698"/>
        <v>0.19855499999999998</v>
      </c>
      <c r="L3216" s="475">
        <f t="shared" si="1689"/>
        <v>62.350000000000001</v>
      </c>
      <c r="M3216" s="474">
        <f t="shared" si="1699"/>
        <v>0.19328499999999998</v>
      </c>
      <c r="O3216" s="434">
        <f t="shared" si="1687"/>
        <v>64.049999999999997</v>
      </c>
      <c r="P3216" s="435">
        <f t="shared" si="1688"/>
        <v>62.350000000000001</v>
      </c>
      <c r="AE3216" s="217"/>
      <c r="AF3216" s="217">
        <v>1393</v>
      </c>
      <c r="AH3216">
        <f t="shared" si="1695"/>
        <v>1393</v>
      </c>
    </row>
    <row r="3217" ht="75" hidden="1">
      <c r="A3217" s="217"/>
      <c r="B3217" s="217">
        <v>1393</v>
      </c>
      <c r="C3217" s="217"/>
      <c r="D3217" s="217" t="s">
        <v>17167</v>
      </c>
      <c r="E3217" s="471" t="s">
        <v>20405</v>
      </c>
      <c r="F3217" s="489">
        <v>5940</v>
      </c>
      <c r="G3217" s="470" t="s">
        <v>1863</v>
      </c>
      <c r="H3217" s="482" t="s">
        <v>1535</v>
      </c>
      <c r="I3217" s="483">
        <v>9.4000000000000004e-003</v>
      </c>
      <c r="J3217" s="473">
        <f t="shared" si="1684"/>
        <v>171.97999999999999</v>
      </c>
      <c r="K3217" s="474">
        <f t="shared" si="1698"/>
        <v>1.6166119999999999</v>
      </c>
      <c r="L3217" s="475">
        <f t="shared" si="1689"/>
        <v>170.09</v>
      </c>
      <c r="M3217" s="474">
        <f t="shared" si="1699"/>
        <v>1.598846</v>
      </c>
      <c r="O3217" s="434">
        <f t="shared" si="1687"/>
        <v>171.97999999999999</v>
      </c>
      <c r="P3217" s="435">
        <f t="shared" si="1688"/>
        <v>170.09</v>
      </c>
      <c r="AE3217" s="217"/>
      <c r="AF3217" s="217">
        <v>1393</v>
      </c>
      <c r="AH3217">
        <f t="shared" si="1695"/>
        <v>1393</v>
      </c>
    </row>
    <row r="3218" ht="75" hidden="1">
      <c r="A3218" s="217"/>
      <c r="B3218" s="217">
        <v>1393</v>
      </c>
      <c r="C3218" s="217"/>
      <c r="D3218" s="217" t="s">
        <v>17167</v>
      </c>
      <c r="E3218" s="471" t="s">
        <v>20409</v>
      </c>
      <c r="F3218" s="489">
        <v>5942</v>
      </c>
      <c r="G3218" s="470" t="s">
        <v>1862</v>
      </c>
      <c r="H3218" s="482" t="s">
        <v>1533</v>
      </c>
      <c r="I3218" s="483">
        <v>3.0999999999999999e-003</v>
      </c>
      <c r="J3218" s="473">
        <f t="shared" si="1684"/>
        <v>75.659999999999997</v>
      </c>
      <c r="K3218" s="474">
        <f t="shared" si="1698"/>
        <v>0.23454599999999998</v>
      </c>
      <c r="L3218" s="475">
        <f t="shared" si="1689"/>
        <v>73.769999999999996</v>
      </c>
      <c r="M3218" s="474">
        <f t="shared" si="1699"/>
        <v>0.22868699999999997</v>
      </c>
      <c r="O3218" s="434">
        <f t="shared" si="1687"/>
        <v>75.659999999999997</v>
      </c>
      <c r="P3218" s="435">
        <f t="shared" si="1688"/>
        <v>73.769999999999996</v>
      </c>
      <c r="AE3218" s="217"/>
      <c r="AF3218" s="217">
        <v>1393</v>
      </c>
      <c r="AH3218">
        <f t="shared" si="1695"/>
        <v>1393</v>
      </c>
    </row>
    <row r="3219" ht="90" hidden="1">
      <c r="A3219" s="217"/>
      <c r="B3219" s="217">
        <v>1393</v>
      </c>
      <c r="C3219" s="217"/>
      <c r="D3219" s="217" t="s">
        <v>17167</v>
      </c>
      <c r="E3219" s="471" t="s">
        <v>20663</v>
      </c>
      <c r="F3219" s="489">
        <v>6259</v>
      </c>
      <c r="G3219" s="470" t="s">
        <v>1597</v>
      </c>
      <c r="H3219" s="482" t="s">
        <v>1535</v>
      </c>
      <c r="I3219" s="483">
        <v>1.2500000000000001e-002</v>
      </c>
      <c r="J3219" s="473">
        <f t="shared" si="1684"/>
        <v>278.72000000000003</v>
      </c>
      <c r="K3219" s="474">
        <f t="shared" si="1698"/>
        <v>3.4840000000000004</v>
      </c>
      <c r="L3219" s="475">
        <f t="shared" si="1689"/>
        <v>277.12</v>
      </c>
      <c r="M3219" s="474">
        <f t="shared" si="1699"/>
        <v>3.4640000000000004</v>
      </c>
      <c r="O3219" s="434">
        <f t="shared" si="1687"/>
        <v>278.72000000000003</v>
      </c>
      <c r="P3219" s="435">
        <f t="shared" si="1688"/>
        <v>277.12</v>
      </c>
      <c r="AE3219" s="217"/>
      <c r="AF3219" s="217">
        <v>1393</v>
      </c>
      <c r="AH3219">
        <f t="shared" si="1695"/>
        <v>1393</v>
      </c>
    </row>
    <row r="3220" ht="90" hidden="1">
      <c r="A3220" s="217"/>
      <c r="B3220" s="217">
        <v>1393</v>
      </c>
      <c r="C3220" s="217"/>
      <c r="D3220" s="217" t="s">
        <v>17167</v>
      </c>
      <c r="E3220" s="471" t="s">
        <v>20665</v>
      </c>
      <c r="F3220" s="489">
        <v>6879</v>
      </c>
      <c r="G3220" s="470" t="s">
        <v>1877</v>
      </c>
      <c r="H3220" s="482" t="s">
        <v>1535</v>
      </c>
      <c r="I3220" s="483">
        <v>1.e-002</v>
      </c>
      <c r="J3220" s="473">
        <f t="shared" si="1684"/>
        <v>212.56</v>
      </c>
      <c r="K3220" s="474">
        <f t="shared" si="1698"/>
        <v>2.1255999999999999</v>
      </c>
      <c r="L3220" s="475">
        <f t="shared" si="1689"/>
        <v>210.86000000000001</v>
      </c>
      <c r="M3220" s="474">
        <f t="shared" si="1699"/>
        <v>2.1086</v>
      </c>
      <c r="O3220" s="434">
        <f t="shared" si="1687"/>
        <v>212.56</v>
      </c>
      <c r="P3220" s="435">
        <f t="shared" si="1688"/>
        <v>210.86000000000001</v>
      </c>
      <c r="AE3220" s="217"/>
      <c r="AF3220" s="217">
        <v>1393</v>
      </c>
      <c r="AH3220">
        <f t="shared" si="1695"/>
        <v>1393</v>
      </c>
    </row>
    <row r="3221" ht="90" hidden="1">
      <c r="A3221" s="217"/>
      <c r="B3221" s="217">
        <v>1393</v>
      </c>
      <c r="C3221" s="217"/>
      <c r="D3221" s="217" t="s">
        <v>17167</v>
      </c>
      <c r="E3221" s="471" t="s">
        <v>20667</v>
      </c>
      <c r="F3221" s="489">
        <v>6880</v>
      </c>
      <c r="G3221" s="470" t="s">
        <v>1876</v>
      </c>
      <c r="H3221" s="482" t="s">
        <v>1533</v>
      </c>
      <c r="I3221" s="483">
        <v>2.5000000000000001e-003</v>
      </c>
      <c r="J3221" s="473">
        <f t="shared" si="1684"/>
        <v>84.219999999999999</v>
      </c>
      <c r="K3221" s="474">
        <f t="shared" si="1698"/>
        <v>0.21055000000000001</v>
      </c>
      <c r="L3221" s="475">
        <f t="shared" si="1689"/>
        <v>82.519999999999996</v>
      </c>
      <c r="M3221" s="474">
        <f t="shared" si="1699"/>
        <v>0.20629999999999998</v>
      </c>
      <c r="O3221" s="434">
        <f t="shared" si="1687"/>
        <v>84.219999999999999</v>
      </c>
      <c r="P3221" s="435">
        <f t="shared" si="1688"/>
        <v>82.519999999999996</v>
      </c>
      <c r="AE3221" s="217"/>
      <c r="AF3221" s="217">
        <v>1393</v>
      </c>
      <c r="AH3221">
        <f t="shared" si="1695"/>
        <v>1393</v>
      </c>
    </row>
    <row r="3222" ht="30" hidden="1">
      <c r="A3222" s="217"/>
      <c r="B3222" s="217">
        <v>1393</v>
      </c>
      <c r="C3222" s="217"/>
      <c r="D3222" s="217" t="s">
        <v>17167</v>
      </c>
      <c r="E3222" s="471" t="s">
        <v>20671</v>
      </c>
      <c r="F3222" s="489">
        <v>88316</v>
      </c>
      <c r="G3222" s="470" t="s">
        <v>7393</v>
      </c>
      <c r="H3222" s="482" t="s">
        <v>2032</v>
      </c>
      <c r="I3222" s="483">
        <v>0.105</v>
      </c>
      <c r="J3222" s="473">
        <f t="shared" si="1684"/>
        <v>22.760000000000002</v>
      </c>
      <c r="K3222" s="474">
        <f t="shared" si="1698"/>
        <v>2.3898000000000001</v>
      </c>
      <c r="L3222" s="475">
        <f t="shared" si="1689"/>
        <v>21.550000000000001</v>
      </c>
      <c r="M3222" s="474">
        <f t="shared" si="1699"/>
        <v>2.26275</v>
      </c>
      <c r="O3222" s="434">
        <f t="shared" si="1687"/>
        <v>22.760000000000002</v>
      </c>
      <c r="P3222" s="435">
        <f t="shared" si="1688"/>
        <v>21.550000000000001</v>
      </c>
      <c r="AE3222" s="217"/>
      <c r="AF3222" s="217">
        <v>1393</v>
      </c>
      <c r="AH3222">
        <f t="shared" si="1695"/>
        <v>1393</v>
      </c>
    </row>
    <row r="3223" ht="75" hidden="1">
      <c r="A3223" s="217"/>
      <c r="B3223" s="217">
        <v>1393</v>
      </c>
      <c r="C3223" s="217"/>
      <c r="D3223" s="217" t="s">
        <v>17167</v>
      </c>
      <c r="E3223" s="471" t="s">
        <v>20672</v>
      </c>
      <c r="F3223" s="489">
        <v>96035</v>
      </c>
      <c r="G3223" s="470" t="s">
        <v>1573</v>
      </c>
      <c r="H3223" s="482" t="s">
        <v>1535</v>
      </c>
      <c r="I3223" s="483">
        <v>1.2500000000000001e-002</v>
      </c>
      <c r="J3223" s="473">
        <f t="shared" si="1684"/>
        <v>305.81</v>
      </c>
      <c r="K3223" s="474">
        <f t="shared" si="1698"/>
        <v>3.8226250000000004</v>
      </c>
      <c r="L3223" s="475">
        <f t="shared" si="1689"/>
        <v>304.13999999999999</v>
      </c>
      <c r="M3223" s="474">
        <f t="shared" si="1699"/>
        <v>3.8017500000000002</v>
      </c>
      <c r="O3223" s="434">
        <f t="shared" si="1687"/>
        <v>305.81</v>
      </c>
      <c r="P3223" s="435">
        <f t="shared" si="1688"/>
        <v>304.13999999999999</v>
      </c>
      <c r="AE3223" s="217"/>
      <c r="AF3223" s="217">
        <v>1393</v>
      </c>
      <c r="AH3223">
        <f t="shared" si="1695"/>
        <v>1393</v>
      </c>
    </row>
    <row r="3224" ht="94.5" hidden="1">
      <c r="A3224" s="460">
        <v>1394</v>
      </c>
      <c r="B3224" s="511">
        <v>1394</v>
      </c>
      <c r="C3224" s="511"/>
      <c r="D3224" s="511"/>
      <c r="E3224" s="512">
        <v>1</v>
      </c>
      <c r="F3224" s="513" t="s">
        <v>22242</v>
      </c>
      <c r="G3224" s="514" t="s">
        <v>22243</v>
      </c>
      <c r="H3224" s="515" t="s">
        <v>31</v>
      </c>
      <c r="I3224" s="516"/>
      <c r="J3224" s="517"/>
      <c r="K3224" s="518">
        <f>SUM(K3225:K3233)</f>
        <v>590.597462845</v>
      </c>
      <c r="L3224" s="480"/>
      <c r="M3224" s="466">
        <f>SUM(M3225:M3233)</f>
        <v>589.02406330399992</v>
      </c>
      <c r="N3224" s="467" t="s">
        <v>22061</v>
      </c>
      <c r="O3224" s="434" t="str">
        <f t="shared" si="1687"/>
        <v xml:space="preserve">SEM VALOR</v>
      </c>
      <c r="P3224" s="435" t="str">
        <f t="shared" si="1688"/>
        <v xml:space="preserve">SEM VALOR</v>
      </c>
      <c r="Q3224" s="628" t="s">
        <v>22244</v>
      </c>
      <c r="AE3224" s="460">
        <v>1394</v>
      </c>
      <c r="AF3224" s="460"/>
      <c r="AH3224">
        <f t="shared" si="1695"/>
        <v>1394</v>
      </c>
    </row>
    <row r="3225" ht="105" hidden="1">
      <c r="A3225" s="217"/>
      <c r="B3225" s="217">
        <v>1394</v>
      </c>
      <c r="C3225" s="217"/>
      <c r="D3225" s="217" t="s">
        <v>17167</v>
      </c>
      <c r="E3225" s="471" t="s">
        <v>20399</v>
      </c>
      <c r="F3225" s="482">
        <v>73467</v>
      </c>
      <c r="G3225" s="470" t="s">
        <v>1601</v>
      </c>
      <c r="H3225" s="482" t="s">
        <v>1535</v>
      </c>
      <c r="I3225" s="578">
        <f>0.3/4.2</f>
        <v>7.1428599999999995e-002</v>
      </c>
      <c r="J3225" s="473">
        <f t="shared" si="1684"/>
        <v>270.61000000000001</v>
      </c>
      <c r="K3225" s="474">
        <f t="shared" ref="K3225:K3233" si="1700">I3225*J3225</f>
        <v>19.329293446000001</v>
      </c>
      <c r="L3225" s="475">
        <f t="shared" si="1689"/>
        <v>269.00999999999999</v>
      </c>
      <c r="M3225" s="474">
        <f t="shared" ref="M3225:M3233" si="1701">L3225*I3225</f>
        <v>19.215007685999996</v>
      </c>
      <c r="N3225" s="467" t="s">
        <v>21418</v>
      </c>
      <c r="O3225" s="434">
        <f t="shared" si="1687"/>
        <v>270.61000000000001</v>
      </c>
      <c r="P3225" s="435">
        <f t="shared" si="1688"/>
        <v>269.00999999999999</v>
      </c>
      <c r="AE3225" s="217"/>
      <c r="AF3225" s="217">
        <v>1394</v>
      </c>
      <c r="AH3225">
        <f t="shared" si="1695"/>
        <v>1394</v>
      </c>
    </row>
    <row r="3226" ht="105" hidden="1">
      <c r="A3226" s="217"/>
      <c r="B3226" s="217">
        <v>1394</v>
      </c>
      <c r="C3226" s="217"/>
      <c r="D3226" s="217" t="s">
        <v>17167</v>
      </c>
      <c r="E3226" s="471" t="s">
        <v>20402</v>
      </c>
      <c r="F3226" s="482">
        <v>91395</v>
      </c>
      <c r="G3226" s="470" t="s">
        <v>1600</v>
      </c>
      <c r="H3226" s="482" t="s">
        <v>1533</v>
      </c>
      <c r="I3226" s="578">
        <f>0.7/4.2</f>
        <v>0.1666667</v>
      </c>
      <c r="J3226" s="473">
        <f t="shared" si="1684"/>
        <v>58.25</v>
      </c>
      <c r="K3226" s="474">
        <f t="shared" si="1700"/>
        <v>9.7083352749999996</v>
      </c>
      <c r="L3226" s="475">
        <f t="shared" si="1689"/>
        <v>56.649999999999999</v>
      </c>
      <c r="M3226" s="474">
        <f t="shared" si="1701"/>
        <v>9.4416685549999997</v>
      </c>
      <c r="O3226" s="434">
        <f t="shared" si="1687"/>
        <v>58.25</v>
      </c>
      <c r="P3226" s="435">
        <f t="shared" si="1688"/>
        <v>56.649999999999999</v>
      </c>
      <c r="AE3226" s="217"/>
      <c r="AF3226" s="217">
        <v>1394</v>
      </c>
      <c r="AH3226">
        <f t="shared" si="1695"/>
        <v>1394</v>
      </c>
    </row>
    <row r="3227" ht="45" hidden="1">
      <c r="A3227" s="217"/>
      <c r="B3227" s="217">
        <v>1394</v>
      </c>
      <c r="C3227" s="217"/>
      <c r="D3227" s="217" t="s">
        <v>17167</v>
      </c>
      <c r="E3227" s="471" t="s">
        <v>20405</v>
      </c>
      <c r="F3227" s="482">
        <v>88277</v>
      </c>
      <c r="G3227" s="488" t="s">
        <v>7341</v>
      </c>
      <c r="H3227" s="482" t="s">
        <v>2032</v>
      </c>
      <c r="I3227" s="578">
        <f t="shared" ref="I3227:I3228" si="1702">1/4.2</f>
        <v>0.23809520000000001</v>
      </c>
      <c r="J3227" s="473">
        <f t="shared" si="1684"/>
        <v>28.359999999999999</v>
      </c>
      <c r="K3227" s="474">
        <f t="shared" si="1700"/>
        <v>6.7523798719999997</v>
      </c>
      <c r="L3227" s="475">
        <f t="shared" si="1689"/>
        <v>26.640000000000001</v>
      </c>
      <c r="M3227" s="474">
        <f t="shared" si="1701"/>
        <v>6.3428561280000002</v>
      </c>
      <c r="O3227" s="434">
        <f t="shared" si="1687"/>
        <v>28.359999999999999</v>
      </c>
      <c r="P3227" s="435">
        <f t="shared" si="1688"/>
        <v>26.640000000000001</v>
      </c>
      <c r="AE3227" s="217"/>
      <c r="AF3227" s="217">
        <v>1394</v>
      </c>
      <c r="AH3227">
        <f t="shared" si="1695"/>
        <v>1394</v>
      </c>
    </row>
    <row r="3228" ht="30" hidden="1">
      <c r="A3228" s="217"/>
      <c r="B3228" s="217">
        <v>1394</v>
      </c>
      <c r="C3228" s="217"/>
      <c r="D3228" s="217" t="s">
        <v>17167</v>
      </c>
      <c r="E3228" s="471" t="s">
        <v>20409</v>
      </c>
      <c r="F3228" s="482">
        <v>88316</v>
      </c>
      <c r="G3228" s="470" t="s">
        <v>7393</v>
      </c>
      <c r="H3228" s="482" t="s">
        <v>2032</v>
      </c>
      <c r="I3228" s="578">
        <f t="shared" si="1702"/>
        <v>0.23809520000000001</v>
      </c>
      <c r="J3228" s="473">
        <f t="shared" si="1684"/>
        <v>22.760000000000002</v>
      </c>
      <c r="K3228" s="474">
        <f t="shared" si="1700"/>
        <v>5.4190467520000007</v>
      </c>
      <c r="L3228" s="475">
        <f t="shared" si="1689"/>
        <v>21.550000000000001</v>
      </c>
      <c r="M3228" s="474">
        <f t="shared" si="1701"/>
        <v>5.1309515600000006</v>
      </c>
      <c r="O3228" s="434">
        <f t="shared" si="1687"/>
        <v>22.760000000000002</v>
      </c>
      <c r="P3228" s="435">
        <f t="shared" si="1688"/>
        <v>21.550000000000001</v>
      </c>
      <c r="AE3228" s="217"/>
      <c r="AF3228" s="217">
        <v>1394</v>
      </c>
      <c r="AH3228">
        <f t="shared" si="1695"/>
        <v>1394</v>
      </c>
    </row>
    <row r="3229" ht="45" hidden="1">
      <c r="A3229" s="217"/>
      <c r="B3229" s="217">
        <v>1394</v>
      </c>
      <c r="C3229" s="217"/>
      <c r="D3229" s="217" t="s">
        <v>20408</v>
      </c>
      <c r="E3229" s="471" t="s">
        <v>20663</v>
      </c>
      <c r="F3229" s="482">
        <v>21013</v>
      </c>
      <c r="G3229" s="470" t="s">
        <v>21419</v>
      </c>
      <c r="H3229" s="482" t="s">
        <v>21420</v>
      </c>
      <c r="I3229" s="578">
        <v>3.2000000000000002</v>
      </c>
      <c r="J3229" s="473">
        <f t="shared" si="1684"/>
        <v>66.920000000000002</v>
      </c>
      <c r="K3229" s="474">
        <f t="shared" si="1700"/>
        <v>214.14400000000001</v>
      </c>
      <c r="L3229" s="475">
        <f t="shared" si="1689"/>
        <v>66.920000000000002</v>
      </c>
      <c r="M3229" s="474">
        <f t="shared" si="1701"/>
        <v>214.14400000000001</v>
      </c>
      <c r="O3229" s="434">
        <f t="shared" si="1687"/>
        <v>66.920000000000002</v>
      </c>
      <c r="P3229" s="435">
        <f t="shared" si="1688"/>
        <v>66.920000000000002</v>
      </c>
      <c r="AE3229" s="217"/>
      <c r="AF3229" s="217">
        <v>1394</v>
      </c>
      <c r="AH3229">
        <f t="shared" si="1695"/>
        <v>1394</v>
      </c>
    </row>
    <row r="3230" ht="30" hidden="1">
      <c r="A3230" s="217"/>
      <c r="B3230" s="217">
        <v>1394</v>
      </c>
      <c r="C3230" s="217"/>
      <c r="D3230" s="217" t="s">
        <v>20408</v>
      </c>
      <c r="E3230" s="471" t="s">
        <v>20665</v>
      </c>
      <c r="F3230" s="489">
        <v>34723</v>
      </c>
      <c r="G3230" s="470" t="s">
        <v>21184</v>
      </c>
      <c r="H3230" s="499" t="s">
        <v>15515</v>
      </c>
      <c r="I3230" s="483">
        <f>0.196+0.12</f>
        <v>0.316</v>
      </c>
      <c r="J3230" s="473">
        <f t="shared" ref="J3230:J3293" si="1703">O3230*$J$3</f>
        <v>997.91999999999996</v>
      </c>
      <c r="K3230" s="474">
        <f t="shared" si="1700"/>
        <v>315.34271999999999</v>
      </c>
      <c r="L3230" s="475">
        <f t="shared" si="1689"/>
        <v>997.91999999999996</v>
      </c>
      <c r="M3230" s="474">
        <f t="shared" si="1701"/>
        <v>315.34271999999999</v>
      </c>
      <c r="O3230" s="434">
        <f t="shared" si="1687"/>
        <v>997.91999999999996</v>
      </c>
      <c r="P3230" s="435">
        <f t="shared" si="1688"/>
        <v>997.91999999999996</v>
      </c>
      <c r="AE3230" s="217"/>
      <c r="AF3230" s="217">
        <v>1394</v>
      </c>
      <c r="AH3230">
        <f t="shared" si="1695"/>
        <v>1394</v>
      </c>
    </row>
    <row r="3231" ht="60" hidden="1">
      <c r="A3231" s="217"/>
      <c r="B3231" s="217">
        <v>1394</v>
      </c>
      <c r="C3231" s="217"/>
      <c r="D3231" s="217" t="s">
        <v>17167</v>
      </c>
      <c r="E3231" s="471" t="s">
        <v>20667</v>
      </c>
      <c r="F3231" s="482">
        <v>94963</v>
      </c>
      <c r="G3231" s="470" t="s">
        <v>20684</v>
      </c>
      <c r="H3231" s="482" t="s">
        <v>15528</v>
      </c>
      <c r="I3231" s="578">
        <v>3.125e-002</v>
      </c>
      <c r="J3231" s="473">
        <f t="shared" si="1703"/>
        <v>441.43000000000001</v>
      </c>
      <c r="K3231" s="474">
        <f t="shared" si="1700"/>
        <v>13.7946875</v>
      </c>
      <c r="L3231" s="475">
        <f t="shared" si="1689"/>
        <v>436.14999999999998</v>
      </c>
      <c r="M3231" s="474">
        <f t="shared" si="1701"/>
        <v>13.629687499999999</v>
      </c>
      <c r="O3231" s="434">
        <f t="shared" si="1687"/>
        <v>441.43000000000001</v>
      </c>
      <c r="P3231" s="435">
        <f t="shared" si="1688"/>
        <v>436.14999999999998</v>
      </c>
      <c r="AE3231" s="217"/>
      <c r="AF3231" s="217">
        <v>1394</v>
      </c>
      <c r="AH3231">
        <f t="shared" si="1695"/>
        <v>1394</v>
      </c>
    </row>
    <row r="3232" ht="45" hidden="1">
      <c r="A3232" s="217"/>
      <c r="B3232" s="217">
        <v>1394</v>
      </c>
      <c r="C3232" s="217"/>
      <c r="D3232" s="217" t="s">
        <v>20398</v>
      </c>
      <c r="E3232" s="471" t="s">
        <v>20671</v>
      </c>
      <c r="F3232" s="489">
        <v>1259</v>
      </c>
      <c r="G3232" s="470" t="s">
        <v>20796</v>
      </c>
      <c r="H3232" s="482" t="s">
        <v>15528</v>
      </c>
      <c r="I3232" s="614">
        <v>3.125e-002</v>
      </c>
      <c r="J3232" s="473">
        <f t="shared" si="1703"/>
        <v>45.520000000000003</v>
      </c>
      <c r="K3232" s="474">
        <f t="shared" si="1700"/>
        <v>1.4225000000000001</v>
      </c>
      <c r="L3232" s="475">
        <f t="shared" si="1689"/>
        <v>43.100000000000001</v>
      </c>
      <c r="M3232" s="474">
        <f t="shared" si="1701"/>
        <v>1.346875</v>
      </c>
      <c r="O3232" s="434">
        <f t="shared" si="1687"/>
        <v>45.520000000000003</v>
      </c>
      <c r="P3232" s="435">
        <f t="shared" si="1688"/>
        <v>43.100000000000001</v>
      </c>
      <c r="AE3232" s="217"/>
      <c r="AF3232" s="217">
        <v>1394</v>
      </c>
      <c r="AH3232">
        <f t="shared" si="1695"/>
        <v>1394</v>
      </c>
    </row>
    <row r="3233" ht="45" hidden="1">
      <c r="A3233" s="217"/>
      <c r="B3233" s="217">
        <v>1394</v>
      </c>
      <c r="C3233" s="217"/>
      <c r="D3233" s="217" t="s">
        <v>20398</v>
      </c>
      <c r="E3233" s="471" t="s">
        <v>20672</v>
      </c>
      <c r="F3233" s="482">
        <v>1000</v>
      </c>
      <c r="G3233" s="470" t="s">
        <v>20651</v>
      </c>
      <c r="H3233" s="482" t="s">
        <v>15528</v>
      </c>
      <c r="I3233" s="614">
        <f>I3231</f>
        <v>3.125e-002</v>
      </c>
      <c r="J3233" s="473">
        <f t="shared" si="1703"/>
        <v>149.904</v>
      </c>
      <c r="K3233" s="474">
        <f t="shared" si="1700"/>
        <v>4.6844999999999999</v>
      </c>
      <c r="L3233" s="475">
        <f t="shared" si="1689"/>
        <v>141.76949999999999</v>
      </c>
      <c r="M3233" s="474">
        <f t="shared" si="1701"/>
        <v>4.4302968749999998</v>
      </c>
      <c r="O3233" s="434">
        <f t="shared" si="1687"/>
        <v>149.904</v>
      </c>
      <c r="P3233" s="435">
        <f t="shared" si="1688"/>
        <v>141.76949999999999</v>
      </c>
      <c r="AE3233" s="217"/>
      <c r="AF3233" s="217">
        <v>1394</v>
      </c>
      <c r="AH3233">
        <f t="shared" si="1695"/>
        <v>1394</v>
      </c>
    </row>
    <row r="3234" ht="83.25" hidden="1" customHeight="1">
      <c r="A3234" s="460">
        <v>1395</v>
      </c>
      <c r="B3234" s="460">
        <v>1395</v>
      </c>
      <c r="C3234" s="460"/>
      <c r="D3234" s="460"/>
      <c r="E3234" s="461">
        <v>1</v>
      </c>
      <c r="F3234" s="462" t="s">
        <v>22245</v>
      </c>
      <c r="G3234" s="477" t="s">
        <v>22246</v>
      </c>
      <c r="H3234" s="478" t="s">
        <v>31</v>
      </c>
      <c r="I3234" s="479"/>
      <c r="J3234" s="480"/>
      <c r="K3234" s="466">
        <f>SUM(K3235:K3243)</f>
        <v>590.597462845</v>
      </c>
      <c r="L3234" s="480"/>
      <c r="M3234" s="466">
        <f>SUM(M3235:M3243)</f>
        <v>589.02406330399992</v>
      </c>
      <c r="N3234" s="467" t="s">
        <v>22061</v>
      </c>
      <c r="O3234" s="434" t="str">
        <f t="shared" si="1687"/>
        <v xml:space="preserve">SEM VALOR</v>
      </c>
      <c r="P3234" s="435" t="str">
        <f t="shared" si="1688"/>
        <v xml:space="preserve">SEM VALOR</v>
      </c>
      <c r="AE3234" s="460">
        <v>1395</v>
      </c>
      <c r="AF3234" s="460"/>
      <c r="AH3234">
        <f t="shared" si="1695"/>
        <v>1395</v>
      </c>
    </row>
    <row r="3235" ht="105" hidden="1">
      <c r="A3235" s="217"/>
      <c r="B3235" s="217">
        <v>1395</v>
      </c>
      <c r="C3235" s="217"/>
      <c r="D3235" s="217" t="s">
        <v>17167</v>
      </c>
      <c r="E3235" s="471" t="s">
        <v>20399</v>
      </c>
      <c r="F3235" s="482">
        <v>73467</v>
      </c>
      <c r="G3235" s="470" t="s">
        <v>1601</v>
      </c>
      <c r="H3235" s="482" t="s">
        <v>1535</v>
      </c>
      <c r="I3235" s="578">
        <f>0.3/4.2</f>
        <v>7.1428599999999995e-002</v>
      </c>
      <c r="J3235" s="473">
        <f t="shared" si="1703"/>
        <v>270.61000000000001</v>
      </c>
      <c r="K3235" s="474">
        <f t="shared" ref="K3235:K3243" si="1704">I3235*J3235</f>
        <v>19.329293446000001</v>
      </c>
      <c r="L3235" s="475">
        <f t="shared" si="1689"/>
        <v>269.00999999999999</v>
      </c>
      <c r="M3235" s="474">
        <f t="shared" ref="M3235:M3243" si="1705">L3235*I3235</f>
        <v>19.215007685999996</v>
      </c>
      <c r="N3235" s="467" t="s">
        <v>21418</v>
      </c>
      <c r="O3235" s="434">
        <f t="shared" si="1687"/>
        <v>270.61000000000001</v>
      </c>
      <c r="P3235" s="435">
        <f t="shared" si="1688"/>
        <v>269.00999999999999</v>
      </c>
      <c r="AE3235" s="217"/>
      <c r="AF3235" s="217">
        <v>1395</v>
      </c>
      <c r="AH3235">
        <f t="shared" si="1695"/>
        <v>1395</v>
      </c>
    </row>
    <row r="3236" ht="105" hidden="1">
      <c r="A3236" s="217"/>
      <c r="B3236" s="217">
        <v>1395</v>
      </c>
      <c r="C3236" s="217"/>
      <c r="D3236" s="217" t="s">
        <v>17167</v>
      </c>
      <c r="E3236" s="471" t="s">
        <v>20402</v>
      </c>
      <c r="F3236" s="482">
        <v>91395</v>
      </c>
      <c r="G3236" s="470" t="s">
        <v>1600</v>
      </c>
      <c r="H3236" s="482" t="s">
        <v>1533</v>
      </c>
      <c r="I3236" s="578">
        <f>0.7/4.2</f>
        <v>0.1666667</v>
      </c>
      <c r="J3236" s="473">
        <f t="shared" si="1703"/>
        <v>58.25</v>
      </c>
      <c r="K3236" s="474">
        <f t="shared" si="1704"/>
        <v>9.7083352749999996</v>
      </c>
      <c r="L3236" s="475">
        <f t="shared" si="1689"/>
        <v>56.649999999999999</v>
      </c>
      <c r="M3236" s="474">
        <f t="shared" si="1705"/>
        <v>9.4416685549999997</v>
      </c>
      <c r="O3236" s="434">
        <f t="shared" si="1687"/>
        <v>58.25</v>
      </c>
      <c r="P3236" s="435">
        <f t="shared" si="1688"/>
        <v>56.649999999999999</v>
      </c>
      <c r="AE3236" s="217"/>
      <c r="AF3236" s="217">
        <v>1395</v>
      </c>
      <c r="AH3236">
        <f t="shared" si="1695"/>
        <v>1395</v>
      </c>
    </row>
    <row r="3237" ht="45" hidden="1">
      <c r="A3237" s="217"/>
      <c r="B3237" s="217">
        <v>1395</v>
      </c>
      <c r="C3237" s="217"/>
      <c r="D3237" s="217" t="s">
        <v>17167</v>
      </c>
      <c r="E3237" s="471" t="s">
        <v>20405</v>
      </c>
      <c r="F3237" s="482">
        <v>88277</v>
      </c>
      <c r="G3237" s="488" t="s">
        <v>7341</v>
      </c>
      <c r="H3237" s="482" t="s">
        <v>2032</v>
      </c>
      <c r="I3237" s="578">
        <f t="shared" ref="I3237:I3238" si="1706">1/4.2</f>
        <v>0.23809520000000001</v>
      </c>
      <c r="J3237" s="473">
        <f t="shared" si="1703"/>
        <v>28.359999999999999</v>
      </c>
      <c r="K3237" s="474">
        <f t="shared" si="1704"/>
        <v>6.7523798719999997</v>
      </c>
      <c r="L3237" s="475">
        <f t="shared" si="1689"/>
        <v>26.640000000000001</v>
      </c>
      <c r="M3237" s="474">
        <f t="shared" si="1705"/>
        <v>6.3428561280000002</v>
      </c>
      <c r="O3237" s="434">
        <f t="shared" si="1687"/>
        <v>28.359999999999999</v>
      </c>
      <c r="P3237" s="435">
        <f t="shared" si="1688"/>
        <v>26.640000000000001</v>
      </c>
      <c r="AE3237" s="217"/>
      <c r="AF3237" s="217">
        <v>1395</v>
      </c>
      <c r="AH3237">
        <f t="shared" si="1695"/>
        <v>1395</v>
      </c>
    </row>
    <row r="3238" ht="30" hidden="1">
      <c r="A3238" s="217"/>
      <c r="B3238" s="217">
        <v>1395</v>
      </c>
      <c r="C3238" s="217"/>
      <c r="D3238" s="217" t="s">
        <v>17167</v>
      </c>
      <c r="E3238" s="471" t="s">
        <v>20409</v>
      </c>
      <c r="F3238" s="482">
        <v>88316</v>
      </c>
      <c r="G3238" s="470" t="s">
        <v>7393</v>
      </c>
      <c r="H3238" s="482" t="s">
        <v>2032</v>
      </c>
      <c r="I3238" s="578">
        <f t="shared" si="1706"/>
        <v>0.23809520000000001</v>
      </c>
      <c r="J3238" s="473">
        <f t="shared" si="1703"/>
        <v>22.760000000000002</v>
      </c>
      <c r="K3238" s="474">
        <f t="shared" si="1704"/>
        <v>5.4190467520000007</v>
      </c>
      <c r="L3238" s="475">
        <f t="shared" si="1689"/>
        <v>21.550000000000001</v>
      </c>
      <c r="M3238" s="474">
        <f t="shared" si="1705"/>
        <v>5.1309515600000006</v>
      </c>
      <c r="O3238" s="434">
        <f t="shared" si="1687"/>
        <v>22.760000000000002</v>
      </c>
      <c r="P3238" s="435">
        <f t="shared" si="1688"/>
        <v>21.550000000000001</v>
      </c>
      <c r="AE3238" s="217"/>
      <c r="AF3238" s="217">
        <v>1395</v>
      </c>
      <c r="AH3238">
        <f t="shared" si="1695"/>
        <v>1395</v>
      </c>
    </row>
    <row r="3239" ht="45" hidden="1">
      <c r="A3239" s="217"/>
      <c r="B3239" s="217">
        <v>1395</v>
      </c>
      <c r="C3239" s="217"/>
      <c r="D3239" s="217" t="s">
        <v>20408</v>
      </c>
      <c r="E3239" s="471" t="s">
        <v>20663</v>
      </c>
      <c r="F3239" s="482">
        <v>21013</v>
      </c>
      <c r="G3239" s="470" t="s">
        <v>21419</v>
      </c>
      <c r="H3239" s="482" t="s">
        <v>21420</v>
      </c>
      <c r="I3239" s="578">
        <v>3.2000000000000002</v>
      </c>
      <c r="J3239" s="473">
        <f t="shared" si="1703"/>
        <v>66.920000000000002</v>
      </c>
      <c r="K3239" s="474">
        <f t="shared" si="1704"/>
        <v>214.14400000000001</v>
      </c>
      <c r="L3239" s="475">
        <f t="shared" si="1689"/>
        <v>66.920000000000002</v>
      </c>
      <c r="M3239" s="474">
        <f t="shared" si="1705"/>
        <v>214.14400000000001</v>
      </c>
      <c r="O3239" s="434">
        <f t="shared" si="1687"/>
        <v>66.920000000000002</v>
      </c>
      <c r="P3239" s="435">
        <f t="shared" si="1688"/>
        <v>66.920000000000002</v>
      </c>
      <c r="AE3239" s="217"/>
      <c r="AF3239" s="217">
        <v>1395</v>
      </c>
      <c r="AH3239">
        <f t="shared" si="1695"/>
        <v>1395</v>
      </c>
    </row>
    <row r="3240" ht="30" hidden="1">
      <c r="A3240" s="217"/>
      <c r="B3240" s="217">
        <v>1395</v>
      </c>
      <c r="C3240" s="217"/>
      <c r="D3240" s="217" t="s">
        <v>20408</v>
      </c>
      <c r="E3240" s="471" t="s">
        <v>20665</v>
      </c>
      <c r="F3240" s="489">
        <v>34723</v>
      </c>
      <c r="G3240" s="470" t="s">
        <v>21184</v>
      </c>
      <c r="H3240" s="499" t="s">
        <v>15515</v>
      </c>
      <c r="I3240" s="483">
        <f>0.196+0.12</f>
        <v>0.316</v>
      </c>
      <c r="J3240" s="473">
        <f t="shared" si="1703"/>
        <v>997.91999999999996</v>
      </c>
      <c r="K3240" s="474">
        <f t="shared" si="1704"/>
        <v>315.34271999999999</v>
      </c>
      <c r="L3240" s="475">
        <f t="shared" si="1689"/>
        <v>997.91999999999996</v>
      </c>
      <c r="M3240" s="474">
        <f t="shared" si="1705"/>
        <v>315.34271999999999</v>
      </c>
      <c r="O3240" s="434">
        <f t="shared" si="1687"/>
        <v>997.91999999999996</v>
      </c>
      <c r="P3240" s="435">
        <f t="shared" si="1688"/>
        <v>997.91999999999996</v>
      </c>
      <c r="AE3240" s="217"/>
      <c r="AF3240" s="217">
        <v>1395</v>
      </c>
      <c r="AH3240">
        <f t="shared" si="1695"/>
        <v>1395</v>
      </c>
    </row>
    <row r="3241" ht="60" hidden="1">
      <c r="A3241" s="217"/>
      <c r="B3241" s="217">
        <v>1395</v>
      </c>
      <c r="C3241" s="217"/>
      <c r="D3241" s="217" t="s">
        <v>17167</v>
      </c>
      <c r="E3241" s="471" t="s">
        <v>20667</v>
      </c>
      <c r="F3241" s="482">
        <v>94963</v>
      </c>
      <c r="G3241" s="470" t="s">
        <v>20684</v>
      </c>
      <c r="H3241" s="482" t="s">
        <v>15528</v>
      </c>
      <c r="I3241" s="578">
        <v>3.125e-002</v>
      </c>
      <c r="J3241" s="473">
        <f t="shared" si="1703"/>
        <v>441.43000000000001</v>
      </c>
      <c r="K3241" s="474">
        <f t="shared" si="1704"/>
        <v>13.7946875</v>
      </c>
      <c r="L3241" s="475">
        <f t="shared" si="1689"/>
        <v>436.14999999999998</v>
      </c>
      <c r="M3241" s="474">
        <f t="shared" si="1705"/>
        <v>13.629687499999999</v>
      </c>
      <c r="O3241" s="434">
        <f t="shared" si="1687"/>
        <v>441.43000000000001</v>
      </c>
      <c r="P3241" s="435">
        <f t="shared" si="1688"/>
        <v>436.14999999999998</v>
      </c>
      <c r="AE3241" s="217"/>
      <c r="AF3241" s="217">
        <v>1395</v>
      </c>
      <c r="AH3241">
        <f t="shared" si="1695"/>
        <v>1395</v>
      </c>
    </row>
    <row r="3242" ht="45" hidden="1">
      <c r="A3242" s="217"/>
      <c r="B3242" s="217">
        <v>1395</v>
      </c>
      <c r="C3242" s="217"/>
      <c r="D3242" s="217" t="s">
        <v>20398</v>
      </c>
      <c r="E3242" s="471" t="s">
        <v>20671</v>
      </c>
      <c r="F3242" s="489">
        <v>1259</v>
      </c>
      <c r="G3242" s="470" t="s">
        <v>20796</v>
      </c>
      <c r="H3242" s="482" t="s">
        <v>15528</v>
      </c>
      <c r="I3242" s="614">
        <v>3.125e-002</v>
      </c>
      <c r="J3242" s="473">
        <f t="shared" si="1703"/>
        <v>45.520000000000003</v>
      </c>
      <c r="K3242" s="474">
        <f t="shared" si="1704"/>
        <v>1.4225000000000001</v>
      </c>
      <c r="L3242" s="475">
        <f t="shared" si="1689"/>
        <v>43.100000000000001</v>
      </c>
      <c r="M3242" s="474">
        <f t="shared" si="1705"/>
        <v>1.346875</v>
      </c>
      <c r="O3242" s="434">
        <f t="shared" si="1687"/>
        <v>45.520000000000003</v>
      </c>
      <c r="P3242" s="435">
        <f t="shared" si="1688"/>
        <v>43.100000000000001</v>
      </c>
      <c r="AE3242" s="217"/>
      <c r="AF3242" s="217">
        <v>1395</v>
      </c>
      <c r="AH3242">
        <f t="shared" si="1695"/>
        <v>1395</v>
      </c>
    </row>
    <row r="3243" ht="45" hidden="1">
      <c r="A3243" s="217"/>
      <c r="B3243" s="217">
        <v>1395</v>
      </c>
      <c r="C3243" s="217"/>
      <c r="D3243" s="217" t="s">
        <v>20398</v>
      </c>
      <c r="E3243" s="471" t="s">
        <v>20672</v>
      </c>
      <c r="F3243" s="482">
        <v>1000</v>
      </c>
      <c r="G3243" s="470" t="s">
        <v>20651</v>
      </c>
      <c r="H3243" s="482" t="s">
        <v>15528</v>
      </c>
      <c r="I3243" s="614">
        <f>I3241</f>
        <v>3.125e-002</v>
      </c>
      <c r="J3243" s="473">
        <f t="shared" si="1703"/>
        <v>149.904</v>
      </c>
      <c r="K3243" s="474">
        <f t="shared" si="1704"/>
        <v>4.6844999999999999</v>
      </c>
      <c r="L3243" s="475">
        <f t="shared" si="1689"/>
        <v>141.76949999999999</v>
      </c>
      <c r="M3243" s="474">
        <f t="shared" si="1705"/>
        <v>4.4302968749999998</v>
      </c>
      <c r="O3243" s="434">
        <f t="shared" si="1687"/>
        <v>149.904</v>
      </c>
      <c r="P3243" s="435">
        <f t="shared" si="1688"/>
        <v>141.76949999999999</v>
      </c>
      <c r="AE3243" s="217"/>
      <c r="AF3243" s="217">
        <v>1395</v>
      </c>
      <c r="AH3243">
        <f t="shared" si="1695"/>
        <v>1395</v>
      </c>
    </row>
    <row r="3244" ht="69" hidden="1" customHeight="1">
      <c r="A3244" s="460">
        <v>1396</v>
      </c>
      <c r="B3244" s="460">
        <v>1396</v>
      </c>
      <c r="C3244" s="460"/>
      <c r="D3244" s="460"/>
      <c r="E3244" s="461">
        <v>1</v>
      </c>
      <c r="F3244" s="462" t="s">
        <v>22247</v>
      </c>
      <c r="G3244" s="477" t="s">
        <v>22248</v>
      </c>
      <c r="H3244" s="478" t="s">
        <v>31</v>
      </c>
      <c r="I3244" s="479"/>
      <c r="J3244" s="480"/>
      <c r="K3244" s="466">
        <f>SUM(K3245:K3250)</f>
        <v>4077.5649600000002</v>
      </c>
      <c r="L3244" s="480"/>
      <c r="M3244" s="466">
        <f>SUM(M3245:M3250)</f>
        <v>3932.3635599999998</v>
      </c>
      <c r="N3244" s="467" t="s">
        <v>22249</v>
      </c>
      <c r="O3244" s="434" t="str">
        <f t="shared" ref="O3244:O3307" si="1707">IFERROR(IF(D3244="SINAPI",VLOOKUP(F3244,SINCOMOD,4,FALSE),IF(D3244="INSINAPI",VLOOKUP(F3244,INSINOD,5,FALSE),IF(D3244="SICRO",VLOOKUP(F3244,SICRO,5,FALSE),IF(D3244="COTACAO",VLOOKUP(F3244,COTACAO,6,FALSE),IF(D3244="PRÓPRIO",VLOOKUP(F3244,COMPOD,11,FALSE),IF(D3244="AGESUL",VLOOKUP(F3244,AGESULOD,6,FALSE),IF(D3244="INSAGESUL",VLOOKUP(F3244,INSAGESUL,7,FALSE),"SEM VALOR"))))))),"SEM VALOR")</f>
        <v xml:space="preserve">SEM VALOR</v>
      </c>
      <c r="P3244" s="435" t="str">
        <f t="shared" ref="P3244:P3307" si="1708">IFERROR(IF(D3244="SINAPI",VLOOKUP(F3244,SINCOMOD,6,FALSE),IF(D3244="INSINAPI",VLOOKUP(F3244,INSINOD,6,FALSE),IF(D3244="SICRO",VLOOKUP(F3244,SICRO,5,FALSE),IF(D3244="COTACAO",VLOOKUP(F3244,COTACAO,6,FALSE),IF(D3244="PRÓPRIO",VLOOKUP(F3244,COMPOD,13,FALSE),IF(D3244="AGESUL",VLOOKUP(F3244,AGESULOD,11,FALSE),IF(D3244="INSAGESUL",VLOOKUP(F3244,INSAGESUL,8,FALSE),"SEM VALOR"))))))),"SEM VALOR")</f>
        <v xml:space="preserve">SEM VALOR</v>
      </c>
      <c r="AE3244" s="460">
        <v>1396</v>
      </c>
      <c r="AF3244" s="460"/>
      <c r="AH3244">
        <f t="shared" si="1695"/>
        <v>1396</v>
      </c>
    </row>
    <row r="3245" ht="45" hidden="1">
      <c r="A3245" s="217"/>
      <c r="B3245" s="217">
        <v>1396</v>
      </c>
      <c r="C3245" s="217"/>
      <c r="D3245" s="217" t="s">
        <v>17167</v>
      </c>
      <c r="E3245" s="471" t="s">
        <v>20399</v>
      </c>
      <c r="F3245" s="482">
        <v>101616</v>
      </c>
      <c r="G3245" s="470" t="s">
        <v>21414</v>
      </c>
      <c r="H3245" s="482" t="s">
        <v>15515</v>
      </c>
      <c r="I3245" s="483">
        <v>5</v>
      </c>
      <c r="J3245" s="473">
        <f t="shared" si="1703"/>
        <v>7.7800000000000002</v>
      </c>
      <c r="K3245" s="474">
        <f t="shared" ref="K3245:K3250" si="1709">I3245*J3245</f>
        <v>38.899999999999999</v>
      </c>
      <c r="L3245" s="475">
        <f t="shared" ref="L3245:L3308" si="1710">P3245*$L$3</f>
        <v>7.3499999999999996</v>
      </c>
      <c r="M3245" s="474">
        <f t="shared" ref="M3245:M3250" si="1711">L3245*I3245</f>
        <v>36.75</v>
      </c>
      <c r="O3245" s="434">
        <f t="shared" si="1707"/>
        <v>7.7800000000000002</v>
      </c>
      <c r="P3245" s="435">
        <f t="shared" si="1708"/>
        <v>7.3499999999999996</v>
      </c>
      <c r="AE3245" s="217"/>
      <c r="AF3245" s="217">
        <v>1396</v>
      </c>
      <c r="AH3245">
        <f t="shared" si="1695"/>
        <v>1396</v>
      </c>
    </row>
    <row r="3246" ht="45" hidden="1">
      <c r="A3246" s="217"/>
      <c r="B3246" s="217">
        <v>1396</v>
      </c>
      <c r="C3246" s="217"/>
      <c r="D3246" s="217" t="s">
        <v>17167</v>
      </c>
      <c r="E3246" s="471" t="s">
        <v>20402</v>
      </c>
      <c r="F3246" s="489">
        <v>96545</v>
      </c>
      <c r="G3246" s="488" t="s">
        <v>20678</v>
      </c>
      <c r="H3246" s="482" t="s">
        <v>302</v>
      </c>
      <c r="I3246" s="483">
        <v>12.08</v>
      </c>
      <c r="J3246" s="473">
        <f t="shared" si="1703"/>
        <v>15.82</v>
      </c>
      <c r="K3246" s="474">
        <f t="shared" si="1709"/>
        <v>191.10560000000001</v>
      </c>
      <c r="L3246" s="475">
        <f t="shared" si="1710"/>
        <v>15.48</v>
      </c>
      <c r="M3246" s="474">
        <f t="shared" si="1711"/>
        <v>186.9984</v>
      </c>
      <c r="O3246" s="434">
        <f t="shared" si="1707"/>
        <v>15.82</v>
      </c>
      <c r="P3246" s="435">
        <f t="shared" si="1708"/>
        <v>15.48</v>
      </c>
      <c r="AE3246" s="217"/>
      <c r="AF3246" s="217">
        <v>1396</v>
      </c>
      <c r="AH3246">
        <f t="shared" si="1695"/>
        <v>1396</v>
      </c>
    </row>
    <row r="3247" ht="60" hidden="1">
      <c r="A3247" s="217"/>
      <c r="B3247" s="217">
        <v>1396</v>
      </c>
      <c r="C3247" s="217"/>
      <c r="D3247" s="217" t="s">
        <v>17167</v>
      </c>
      <c r="E3247" s="471" t="s">
        <v>20405</v>
      </c>
      <c r="F3247" s="489">
        <v>94964</v>
      </c>
      <c r="G3247" s="470" t="s">
        <v>8711</v>
      </c>
      <c r="H3247" s="482" t="s">
        <v>15528</v>
      </c>
      <c r="I3247" s="483">
        <v>2.2000000000000002</v>
      </c>
      <c r="J3247" s="473">
        <f t="shared" si="1703"/>
        <v>488.52999999999997</v>
      </c>
      <c r="K3247" s="474">
        <f t="shared" si="1709"/>
        <v>1074.7660000000001</v>
      </c>
      <c r="L3247" s="475">
        <f t="shared" si="1710"/>
        <v>482.79000000000002</v>
      </c>
      <c r="M3247" s="474">
        <f t="shared" si="1711"/>
        <v>1062.1380000000001</v>
      </c>
      <c r="O3247" s="434">
        <f t="shared" si="1707"/>
        <v>488.52999999999997</v>
      </c>
      <c r="P3247" s="435">
        <f t="shared" si="1708"/>
        <v>482.79000000000002</v>
      </c>
      <c r="AE3247" s="217"/>
      <c r="AF3247" s="217">
        <v>1396</v>
      </c>
      <c r="AH3247">
        <f t="shared" si="1695"/>
        <v>1396</v>
      </c>
    </row>
    <row r="3248" ht="75" hidden="1">
      <c r="A3248" s="217"/>
      <c r="B3248" s="217">
        <v>1396</v>
      </c>
      <c r="C3248" s="217"/>
      <c r="D3248" s="217" t="s">
        <v>17167</v>
      </c>
      <c r="E3248" s="471" t="s">
        <v>20409</v>
      </c>
      <c r="F3248" s="489">
        <v>94965</v>
      </c>
      <c r="G3248" s="470" t="s">
        <v>8715</v>
      </c>
      <c r="H3248" s="482" t="s">
        <v>15528</v>
      </c>
      <c r="I3248" s="483">
        <v>9.1999999999999998e-002</v>
      </c>
      <c r="J3248" s="473">
        <f t="shared" si="1703"/>
        <v>510.48000000000002</v>
      </c>
      <c r="K3248" s="474">
        <f t="shared" si="1709"/>
        <v>46.96416</v>
      </c>
      <c r="L3248" s="475">
        <f t="shared" si="1710"/>
        <v>505.23000000000002</v>
      </c>
      <c r="M3248" s="474">
        <f t="shared" si="1711"/>
        <v>46.481160000000003</v>
      </c>
      <c r="O3248" s="434">
        <f t="shared" si="1707"/>
        <v>510.48000000000002</v>
      </c>
      <c r="P3248" s="435">
        <f t="shared" si="1708"/>
        <v>505.23000000000002</v>
      </c>
      <c r="AE3248" s="217"/>
      <c r="AF3248" s="217">
        <v>1396</v>
      </c>
      <c r="AH3248">
        <f t="shared" si="1695"/>
        <v>1396</v>
      </c>
    </row>
    <row r="3249" ht="45" hidden="1">
      <c r="A3249" s="217"/>
      <c r="B3249" s="217">
        <v>1396</v>
      </c>
      <c r="C3249" s="217"/>
      <c r="D3249" s="217" t="s">
        <v>17167</v>
      </c>
      <c r="E3249" s="471" t="s">
        <v>20663</v>
      </c>
      <c r="F3249" s="489">
        <v>93358</v>
      </c>
      <c r="G3249" s="470" t="s">
        <v>20661</v>
      </c>
      <c r="H3249" s="482" t="s">
        <v>15528</v>
      </c>
      <c r="I3249" s="483">
        <v>15</v>
      </c>
      <c r="J3249" s="473">
        <f t="shared" si="1703"/>
        <v>90.030000000000001</v>
      </c>
      <c r="K3249" s="474">
        <f t="shared" si="1709"/>
        <v>1350.45</v>
      </c>
      <c r="L3249" s="475">
        <f t="shared" si="1710"/>
        <v>85.239999999999995</v>
      </c>
      <c r="M3249" s="474">
        <f t="shared" si="1711"/>
        <v>1278.5999999999999</v>
      </c>
      <c r="O3249" s="434">
        <f t="shared" si="1707"/>
        <v>90.030000000000001</v>
      </c>
      <c r="P3249" s="435">
        <f t="shared" si="1708"/>
        <v>85.239999999999995</v>
      </c>
      <c r="AE3249" s="217"/>
      <c r="AF3249" s="217">
        <v>1396</v>
      </c>
      <c r="AH3249">
        <f t="shared" si="1695"/>
        <v>1396</v>
      </c>
    </row>
    <row r="3250" ht="60" hidden="1">
      <c r="A3250" s="217"/>
      <c r="B3250" s="217">
        <v>1396</v>
      </c>
      <c r="C3250" s="217"/>
      <c r="D3250" s="217" t="s">
        <v>17167</v>
      </c>
      <c r="E3250" s="471" t="s">
        <v>20665</v>
      </c>
      <c r="F3250" s="489">
        <v>96536</v>
      </c>
      <c r="G3250" s="470" t="s">
        <v>21415</v>
      </c>
      <c r="H3250" s="482" t="s">
        <v>15515</v>
      </c>
      <c r="I3250" s="483">
        <v>21.68</v>
      </c>
      <c r="J3250" s="473">
        <f t="shared" si="1703"/>
        <v>63.439999999999998</v>
      </c>
      <c r="K3250" s="474">
        <f t="shared" si="1709"/>
        <v>1375.3791999999999</v>
      </c>
      <c r="L3250" s="475">
        <f t="shared" si="1710"/>
        <v>60.950000000000003</v>
      </c>
      <c r="M3250" s="474">
        <f t="shared" si="1711"/>
        <v>1321.396</v>
      </c>
      <c r="O3250" s="434">
        <f t="shared" si="1707"/>
        <v>63.439999999999998</v>
      </c>
      <c r="P3250" s="435">
        <f t="shared" si="1708"/>
        <v>60.950000000000003</v>
      </c>
      <c r="AE3250" s="217"/>
      <c r="AF3250" s="217">
        <v>1396</v>
      </c>
      <c r="AH3250">
        <f t="shared" si="1695"/>
        <v>1396</v>
      </c>
    </row>
    <row r="3251" ht="66" hidden="1" customHeight="1">
      <c r="A3251" s="460">
        <v>1398</v>
      </c>
      <c r="B3251" s="460">
        <v>1398</v>
      </c>
      <c r="C3251" s="460"/>
      <c r="D3251" s="460"/>
      <c r="E3251" s="461">
        <v>1</v>
      </c>
      <c r="F3251" s="462" t="s">
        <v>22250</v>
      </c>
      <c r="G3251" s="477" t="s">
        <v>22251</v>
      </c>
      <c r="H3251" s="478" t="s">
        <v>31</v>
      </c>
      <c r="I3251" s="479"/>
      <c r="J3251" s="480"/>
      <c r="K3251" s="466">
        <f>SUM(K3252:K3260)</f>
        <v>661.27394284499997</v>
      </c>
      <c r="L3251" s="480"/>
      <c r="M3251" s="466">
        <f>SUM(M3252:M3260)</f>
        <v>659.70054330400001</v>
      </c>
      <c r="N3251" s="467" t="s">
        <v>22061</v>
      </c>
      <c r="O3251" s="434" t="str">
        <f t="shared" si="1707"/>
        <v xml:space="preserve">SEM VALOR</v>
      </c>
      <c r="P3251" s="435" t="str">
        <f t="shared" si="1708"/>
        <v xml:space="preserve">SEM VALOR</v>
      </c>
      <c r="AE3251" s="460">
        <v>1398</v>
      </c>
      <c r="AF3251" s="460"/>
      <c r="AH3251">
        <f t="shared" si="1695"/>
        <v>1398</v>
      </c>
    </row>
    <row r="3252" ht="105" hidden="1">
      <c r="A3252" s="217"/>
      <c r="B3252" s="217">
        <v>1398</v>
      </c>
      <c r="C3252" s="217"/>
      <c r="D3252" s="217" t="s">
        <v>17167</v>
      </c>
      <c r="E3252" s="471" t="s">
        <v>20399</v>
      </c>
      <c r="F3252" s="482">
        <v>73467</v>
      </c>
      <c r="G3252" s="470" t="s">
        <v>1601</v>
      </c>
      <c r="H3252" s="482" t="s">
        <v>1535</v>
      </c>
      <c r="I3252" s="578">
        <f>0.3/4.2</f>
        <v>7.1428599999999995e-002</v>
      </c>
      <c r="J3252" s="473">
        <f t="shared" si="1703"/>
        <v>270.61000000000001</v>
      </c>
      <c r="K3252" s="474">
        <f t="shared" ref="K3252:K3260" si="1712">I3252*J3252</f>
        <v>19.329293446000001</v>
      </c>
      <c r="L3252" s="475">
        <f t="shared" si="1710"/>
        <v>269.00999999999999</v>
      </c>
      <c r="M3252" s="474">
        <f t="shared" ref="M3252:M3260" si="1713">L3252*I3252</f>
        <v>19.215007685999996</v>
      </c>
      <c r="N3252" s="467" t="s">
        <v>21418</v>
      </c>
      <c r="O3252" s="434">
        <f t="shared" si="1707"/>
        <v>270.61000000000001</v>
      </c>
      <c r="P3252" s="435">
        <f t="shared" si="1708"/>
        <v>269.00999999999999</v>
      </c>
      <c r="AE3252" s="217"/>
      <c r="AF3252" s="217">
        <v>1398</v>
      </c>
      <c r="AH3252">
        <f t="shared" si="1695"/>
        <v>1398</v>
      </c>
    </row>
    <row r="3253" ht="105" hidden="1">
      <c r="A3253" s="217"/>
      <c r="B3253" s="217">
        <v>1398</v>
      </c>
      <c r="C3253" s="217"/>
      <c r="D3253" s="217" t="s">
        <v>17167</v>
      </c>
      <c r="E3253" s="471" t="s">
        <v>20402</v>
      </c>
      <c r="F3253" s="482">
        <v>91395</v>
      </c>
      <c r="G3253" s="470" t="s">
        <v>1600</v>
      </c>
      <c r="H3253" s="482" t="s">
        <v>1533</v>
      </c>
      <c r="I3253" s="578">
        <f>0.7/4.2</f>
        <v>0.1666667</v>
      </c>
      <c r="J3253" s="473">
        <f t="shared" si="1703"/>
        <v>58.25</v>
      </c>
      <c r="K3253" s="474">
        <f t="shared" si="1712"/>
        <v>9.7083352749999996</v>
      </c>
      <c r="L3253" s="475">
        <f t="shared" si="1710"/>
        <v>56.649999999999999</v>
      </c>
      <c r="M3253" s="474">
        <f t="shared" si="1713"/>
        <v>9.4416685549999997</v>
      </c>
      <c r="O3253" s="434">
        <f t="shared" si="1707"/>
        <v>58.25</v>
      </c>
      <c r="P3253" s="435">
        <f t="shared" si="1708"/>
        <v>56.649999999999999</v>
      </c>
      <c r="AE3253" s="217"/>
      <c r="AF3253" s="217">
        <v>1398</v>
      </c>
      <c r="AH3253">
        <f t="shared" si="1695"/>
        <v>1398</v>
      </c>
    </row>
    <row r="3254" ht="45" hidden="1">
      <c r="A3254" s="217"/>
      <c r="B3254" s="217">
        <v>1398</v>
      </c>
      <c r="C3254" s="217"/>
      <c r="D3254" s="217" t="s">
        <v>17167</v>
      </c>
      <c r="E3254" s="471" t="s">
        <v>20405</v>
      </c>
      <c r="F3254" s="482">
        <v>88277</v>
      </c>
      <c r="G3254" s="488" t="s">
        <v>7341</v>
      </c>
      <c r="H3254" s="482" t="s">
        <v>2032</v>
      </c>
      <c r="I3254" s="578">
        <f t="shared" ref="I3254:I3255" si="1714">1/4.2</f>
        <v>0.23809520000000001</v>
      </c>
      <c r="J3254" s="473">
        <f t="shared" si="1703"/>
        <v>28.359999999999999</v>
      </c>
      <c r="K3254" s="474">
        <f t="shared" si="1712"/>
        <v>6.7523798719999997</v>
      </c>
      <c r="L3254" s="475">
        <f t="shared" si="1710"/>
        <v>26.640000000000001</v>
      </c>
      <c r="M3254" s="474">
        <f t="shared" si="1713"/>
        <v>6.3428561280000002</v>
      </c>
      <c r="O3254" s="434">
        <f t="shared" si="1707"/>
        <v>28.359999999999999</v>
      </c>
      <c r="P3254" s="435">
        <f t="shared" si="1708"/>
        <v>26.640000000000001</v>
      </c>
      <c r="AE3254" s="217"/>
      <c r="AF3254" s="217">
        <v>1398</v>
      </c>
      <c r="AH3254">
        <f t="shared" si="1695"/>
        <v>1398</v>
      </c>
    </row>
    <row r="3255" ht="30" hidden="1">
      <c r="A3255" s="217"/>
      <c r="B3255" s="217">
        <v>1398</v>
      </c>
      <c r="C3255" s="217"/>
      <c r="D3255" s="217" t="s">
        <v>17167</v>
      </c>
      <c r="E3255" s="471" t="s">
        <v>20409</v>
      </c>
      <c r="F3255" s="482">
        <v>88316</v>
      </c>
      <c r="G3255" s="470" t="s">
        <v>7393</v>
      </c>
      <c r="H3255" s="482" t="s">
        <v>2032</v>
      </c>
      <c r="I3255" s="578">
        <f t="shared" si="1714"/>
        <v>0.23809520000000001</v>
      </c>
      <c r="J3255" s="473">
        <f t="shared" si="1703"/>
        <v>22.760000000000002</v>
      </c>
      <c r="K3255" s="474">
        <f t="shared" si="1712"/>
        <v>5.4190467520000007</v>
      </c>
      <c r="L3255" s="475">
        <f t="shared" si="1710"/>
        <v>21.550000000000001</v>
      </c>
      <c r="M3255" s="474">
        <f t="shared" si="1713"/>
        <v>5.1309515600000006</v>
      </c>
      <c r="O3255" s="434">
        <f t="shared" si="1707"/>
        <v>22.760000000000002</v>
      </c>
      <c r="P3255" s="435">
        <f t="shared" si="1708"/>
        <v>21.550000000000001</v>
      </c>
      <c r="AE3255" s="217"/>
      <c r="AF3255" s="217">
        <v>1398</v>
      </c>
      <c r="AH3255">
        <f t="shared" si="1695"/>
        <v>1398</v>
      </c>
    </row>
    <row r="3256" ht="45" hidden="1">
      <c r="A3256" s="217"/>
      <c r="B3256" s="217">
        <v>1398</v>
      </c>
      <c r="C3256" s="217"/>
      <c r="D3256" s="217" t="s">
        <v>20408</v>
      </c>
      <c r="E3256" s="471" t="s">
        <v>20663</v>
      </c>
      <c r="F3256" s="482">
        <v>21013</v>
      </c>
      <c r="G3256" s="470" t="s">
        <v>21419</v>
      </c>
      <c r="H3256" s="482" t="s">
        <v>21420</v>
      </c>
      <c r="I3256" s="578">
        <v>3.6000000000000001</v>
      </c>
      <c r="J3256" s="473">
        <f t="shared" si="1703"/>
        <v>66.920000000000002</v>
      </c>
      <c r="K3256" s="474">
        <f t="shared" si="1712"/>
        <v>240.91200000000001</v>
      </c>
      <c r="L3256" s="475">
        <f t="shared" si="1710"/>
        <v>66.920000000000002</v>
      </c>
      <c r="M3256" s="474">
        <f t="shared" si="1713"/>
        <v>240.91200000000001</v>
      </c>
      <c r="O3256" s="434">
        <f t="shared" si="1707"/>
        <v>66.920000000000002</v>
      </c>
      <c r="P3256" s="435">
        <f t="shared" si="1708"/>
        <v>66.920000000000002</v>
      </c>
      <c r="AE3256" s="217"/>
      <c r="AF3256" s="217">
        <v>1398</v>
      </c>
      <c r="AH3256">
        <f t="shared" si="1695"/>
        <v>1398</v>
      </c>
    </row>
    <row r="3257" ht="30" hidden="1">
      <c r="A3257" s="217"/>
      <c r="B3257" s="217">
        <v>1398</v>
      </c>
      <c r="C3257" s="217"/>
      <c r="D3257" s="217" t="s">
        <v>20408</v>
      </c>
      <c r="E3257" s="471" t="s">
        <v>20665</v>
      </c>
      <c r="F3257" s="489">
        <v>34723</v>
      </c>
      <c r="G3257" s="470" t="s">
        <v>21184</v>
      </c>
      <c r="H3257" s="499" t="s">
        <v>15515</v>
      </c>
      <c r="I3257" s="483">
        <v>0.35999999999999999</v>
      </c>
      <c r="J3257" s="473">
        <f t="shared" si="1703"/>
        <v>997.91999999999996</v>
      </c>
      <c r="K3257" s="474">
        <f t="shared" si="1712"/>
        <v>359.25119999999998</v>
      </c>
      <c r="L3257" s="475">
        <f t="shared" si="1710"/>
        <v>997.91999999999996</v>
      </c>
      <c r="M3257" s="474">
        <f t="shared" si="1713"/>
        <v>359.25119999999998</v>
      </c>
      <c r="O3257" s="434">
        <f t="shared" si="1707"/>
        <v>997.91999999999996</v>
      </c>
      <c r="P3257" s="435">
        <f t="shared" si="1708"/>
        <v>997.91999999999996</v>
      </c>
      <c r="AE3257" s="217"/>
      <c r="AF3257" s="217">
        <v>1398</v>
      </c>
      <c r="AH3257">
        <f t="shared" si="1695"/>
        <v>1398</v>
      </c>
    </row>
    <row r="3258" ht="60" hidden="1">
      <c r="A3258" s="217"/>
      <c r="B3258" s="217">
        <v>1398</v>
      </c>
      <c r="C3258" s="217"/>
      <c r="D3258" s="217" t="s">
        <v>17167</v>
      </c>
      <c r="E3258" s="471" t="s">
        <v>20667</v>
      </c>
      <c r="F3258" s="482">
        <v>94963</v>
      </c>
      <c r="G3258" s="470" t="s">
        <v>20684</v>
      </c>
      <c r="H3258" s="482" t="s">
        <v>15528</v>
      </c>
      <c r="I3258" s="578">
        <v>3.125e-002</v>
      </c>
      <c r="J3258" s="473">
        <f t="shared" si="1703"/>
        <v>441.43000000000001</v>
      </c>
      <c r="K3258" s="474">
        <f t="shared" si="1712"/>
        <v>13.7946875</v>
      </c>
      <c r="L3258" s="475">
        <f t="shared" si="1710"/>
        <v>436.14999999999998</v>
      </c>
      <c r="M3258" s="474">
        <f t="shared" si="1713"/>
        <v>13.629687499999999</v>
      </c>
      <c r="O3258" s="434">
        <f t="shared" si="1707"/>
        <v>441.43000000000001</v>
      </c>
      <c r="P3258" s="435">
        <f t="shared" si="1708"/>
        <v>436.14999999999998</v>
      </c>
      <c r="AE3258" s="217"/>
      <c r="AF3258" s="217">
        <v>1398</v>
      </c>
      <c r="AH3258">
        <f t="shared" si="1695"/>
        <v>1398</v>
      </c>
    </row>
    <row r="3259" ht="45" hidden="1">
      <c r="A3259" s="217"/>
      <c r="B3259" s="217">
        <v>1398</v>
      </c>
      <c r="C3259" s="217"/>
      <c r="D3259" s="217" t="s">
        <v>20398</v>
      </c>
      <c r="E3259" s="471" t="s">
        <v>20671</v>
      </c>
      <c r="F3259" s="489">
        <v>1259</v>
      </c>
      <c r="G3259" s="470" t="s">
        <v>20796</v>
      </c>
      <c r="H3259" s="482" t="s">
        <v>15528</v>
      </c>
      <c r="I3259" s="614">
        <v>3.125e-002</v>
      </c>
      <c r="J3259" s="473">
        <f t="shared" si="1703"/>
        <v>45.520000000000003</v>
      </c>
      <c r="K3259" s="474">
        <f t="shared" si="1712"/>
        <v>1.4225000000000001</v>
      </c>
      <c r="L3259" s="475">
        <f t="shared" si="1710"/>
        <v>43.100000000000001</v>
      </c>
      <c r="M3259" s="474">
        <f t="shared" si="1713"/>
        <v>1.346875</v>
      </c>
      <c r="O3259" s="434">
        <f t="shared" si="1707"/>
        <v>45.520000000000003</v>
      </c>
      <c r="P3259" s="435">
        <f t="shared" si="1708"/>
        <v>43.100000000000001</v>
      </c>
      <c r="AE3259" s="217"/>
      <c r="AF3259" s="217">
        <v>1398</v>
      </c>
      <c r="AH3259">
        <f t="shared" si="1695"/>
        <v>1398</v>
      </c>
    </row>
    <row r="3260" ht="45" hidden="1">
      <c r="A3260" s="217"/>
      <c r="B3260" s="217">
        <v>1398</v>
      </c>
      <c r="C3260" s="217"/>
      <c r="D3260" s="217" t="s">
        <v>20398</v>
      </c>
      <c r="E3260" s="471" t="s">
        <v>20672</v>
      </c>
      <c r="F3260" s="482">
        <v>1000</v>
      </c>
      <c r="G3260" s="470" t="s">
        <v>20651</v>
      </c>
      <c r="H3260" s="482" t="s">
        <v>15528</v>
      </c>
      <c r="I3260" s="614">
        <f>I3258</f>
        <v>3.125e-002</v>
      </c>
      <c r="J3260" s="473">
        <f t="shared" si="1703"/>
        <v>149.904</v>
      </c>
      <c r="K3260" s="474">
        <f t="shared" si="1712"/>
        <v>4.6844999999999999</v>
      </c>
      <c r="L3260" s="475">
        <f t="shared" si="1710"/>
        <v>141.76949999999999</v>
      </c>
      <c r="M3260" s="474">
        <f t="shared" si="1713"/>
        <v>4.4302968749999998</v>
      </c>
      <c r="O3260" s="434">
        <f t="shared" si="1707"/>
        <v>149.904</v>
      </c>
      <c r="P3260" s="435">
        <f t="shared" si="1708"/>
        <v>141.76949999999999</v>
      </c>
      <c r="AE3260" s="217"/>
      <c r="AF3260" s="217">
        <v>1398</v>
      </c>
      <c r="AH3260">
        <f t="shared" si="1695"/>
        <v>1398</v>
      </c>
    </row>
    <row r="3261" ht="78.75" hidden="1">
      <c r="A3261" s="460">
        <v>1399</v>
      </c>
      <c r="B3261" s="460">
        <v>1399</v>
      </c>
      <c r="C3261" s="460"/>
      <c r="D3261" s="460"/>
      <c r="E3261" s="461">
        <v>1</v>
      </c>
      <c r="F3261" s="462" t="s">
        <v>22252</v>
      </c>
      <c r="G3261" s="477" t="s">
        <v>22253</v>
      </c>
      <c r="H3261" s="478" t="s">
        <v>31</v>
      </c>
      <c r="I3261" s="479"/>
      <c r="J3261" s="480"/>
      <c r="K3261" s="466">
        <f>SUM(K3262:K3270)</f>
        <v>796.99106284499999</v>
      </c>
      <c r="L3261" s="480"/>
      <c r="M3261" s="466">
        <f>SUM(M3262:M3270)</f>
        <v>795.41766330399992</v>
      </c>
      <c r="N3261" s="467" t="s">
        <v>22061</v>
      </c>
      <c r="O3261" s="434" t="str">
        <f t="shared" si="1707"/>
        <v xml:space="preserve">SEM VALOR</v>
      </c>
      <c r="P3261" s="435" t="str">
        <f t="shared" si="1708"/>
        <v xml:space="preserve">SEM VALOR</v>
      </c>
      <c r="AE3261" s="460">
        <v>1399</v>
      </c>
      <c r="AF3261" s="460"/>
      <c r="AH3261">
        <f t="shared" si="1695"/>
        <v>1399</v>
      </c>
    </row>
    <row r="3262" ht="105" hidden="1">
      <c r="A3262" s="217"/>
      <c r="B3262" s="217">
        <v>1399</v>
      </c>
      <c r="C3262" s="217"/>
      <c r="D3262" s="217" t="s">
        <v>17167</v>
      </c>
      <c r="E3262" s="471" t="s">
        <v>20399</v>
      </c>
      <c r="F3262" s="482">
        <v>73467</v>
      </c>
      <c r="G3262" s="470" t="s">
        <v>1601</v>
      </c>
      <c r="H3262" s="482" t="s">
        <v>1535</v>
      </c>
      <c r="I3262" s="578">
        <f>0.3/4.2</f>
        <v>7.1428599999999995e-002</v>
      </c>
      <c r="J3262" s="473">
        <f t="shared" si="1703"/>
        <v>270.61000000000001</v>
      </c>
      <c r="K3262" s="474">
        <f t="shared" ref="K3262:K3270" si="1715">I3262*J3262</f>
        <v>19.329293446000001</v>
      </c>
      <c r="L3262" s="475">
        <f t="shared" si="1710"/>
        <v>269.00999999999999</v>
      </c>
      <c r="M3262" s="474">
        <f t="shared" ref="M3262:M3270" si="1716">L3262*I3262</f>
        <v>19.215007685999996</v>
      </c>
      <c r="N3262" s="467" t="s">
        <v>21418</v>
      </c>
      <c r="O3262" s="434">
        <f t="shared" si="1707"/>
        <v>270.61000000000001</v>
      </c>
      <c r="P3262" s="435">
        <f t="shared" si="1708"/>
        <v>269.00999999999999</v>
      </c>
      <c r="AE3262" s="217"/>
      <c r="AF3262" s="217">
        <v>1399</v>
      </c>
      <c r="AH3262">
        <f t="shared" si="1695"/>
        <v>1399</v>
      </c>
    </row>
    <row r="3263" ht="105" hidden="1">
      <c r="A3263" s="217"/>
      <c r="B3263" s="217">
        <v>1399</v>
      </c>
      <c r="C3263" s="217"/>
      <c r="D3263" s="217" t="s">
        <v>17167</v>
      </c>
      <c r="E3263" s="471" t="s">
        <v>20402</v>
      </c>
      <c r="F3263" s="482">
        <v>91395</v>
      </c>
      <c r="G3263" s="470" t="s">
        <v>1600</v>
      </c>
      <c r="H3263" s="482" t="s">
        <v>1533</v>
      </c>
      <c r="I3263" s="578">
        <f>0.7/4.2</f>
        <v>0.1666667</v>
      </c>
      <c r="J3263" s="473">
        <f t="shared" si="1703"/>
        <v>58.25</v>
      </c>
      <c r="K3263" s="474">
        <f t="shared" si="1715"/>
        <v>9.7083352749999996</v>
      </c>
      <c r="L3263" s="475">
        <f t="shared" si="1710"/>
        <v>56.649999999999999</v>
      </c>
      <c r="M3263" s="474">
        <f t="shared" si="1716"/>
        <v>9.4416685549999997</v>
      </c>
      <c r="O3263" s="434">
        <f t="shared" si="1707"/>
        <v>58.25</v>
      </c>
      <c r="P3263" s="435">
        <f t="shared" si="1708"/>
        <v>56.649999999999999</v>
      </c>
      <c r="AE3263" s="217"/>
      <c r="AF3263" s="217">
        <v>1399</v>
      </c>
      <c r="AH3263">
        <f t="shared" si="1695"/>
        <v>1399</v>
      </c>
    </row>
    <row r="3264" ht="45" hidden="1">
      <c r="A3264" s="217"/>
      <c r="B3264" s="217">
        <v>1399</v>
      </c>
      <c r="C3264" s="217"/>
      <c r="D3264" s="217" t="s">
        <v>17167</v>
      </c>
      <c r="E3264" s="471" t="s">
        <v>20405</v>
      </c>
      <c r="F3264" s="482">
        <v>88277</v>
      </c>
      <c r="G3264" s="488" t="s">
        <v>7341</v>
      </c>
      <c r="H3264" s="482" t="s">
        <v>2032</v>
      </c>
      <c r="I3264" s="578">
        <f t="shared" ref="I3264:I3265" si="1717">1/4.2</f>
        <v>0.23809520000000001</v>
      </c>
      <c r="J3264" s="473">
        <f t="shared" si="1703"/>
        <v>28.359999999999999</v>
      </c>
      <c r="K3264" s="474">
        <f t="shared" si="1715"/>
        <v>6.7523798719999997</v>
      </c>
      <c r="L3264" s="475">
        <f t="shared" si="1710"/>
        <v>26.640000000000001</v>
      </c>
      <c r="M3264" s="474">
        <f t="shared" si="1716"/>
        <v>6.3428561280000002</v>
      </c>
      <c r="O3264" s="434">
        <f t="shared" si="1707"/>
        <v>28.359999999999999</v>
      </c>
      <c r="P3264" s="435">
        <f t="shared" si="1708"/>
        <v>26.640000000000001</v>
      </c>
      <c r="AE3264" s="217"/>
      <c r="AF3264" s="217">
        <v>1399</v>
      </c>
      <c r="AH3264">
        <f t="shared" si="1695"/>
        <v>1399</v>
      </c>
    </row>
    <row r="3265" ht="30" hidden="1">
      <c r="A3265" s="217"/>
      <c r="B3265" s="217">
        <v>1399</v>
      </c>
      <c r="C3265" s="217"/>
      <c r="D3265" s="217" t="s">
        <v>17167</v>
      </c>
      <c r="E3265" s="471" t="s">
        <v>20409</v>
      </c>
      <c r="F3265" s="482">
        <v>88316</v>
      </c>
      <c r="G3265" s="470" t="s">
        <v>7393</v>
      </c>
      <c r="H3265" s="482" t="s">
        <v>2032</v>
      </c>
      <c r="I3265" s="578">
        <f t="shared" si="1717"/>
        <v>0.23809520000000001</v>
      </c>
      <c r="J3265" s="473">
        <f t="shared" si="1703"/>
        <v>22.760000000000002</v>
      </c>
      <c r="K3265" s="474">
        <f t="shared" si="1715"/>
        <v>5.4190467520000007</v>
      </c>
      <c r="L3265" s="475">
        <f t="shared" si="1710"/>
        <v>21.550000000000001</v>
      </c>
      <c r="M3265" s="474">
        <f t="shared" si="1716"/>
        <v>5.1309515600000006</v>
      </c>
      <c r="O3265" s="434">
        <f t="shared" si="1707"/>
        <v>22.760000000000002</v>
      </c>
      <c r="P3265" s="435">
        <f t="shared" si="1708"/>
        <v>21.550000000000001</v>
      </c>
      <c r="AE3265" s="217"/>
      <c r="AF3265" s="217">
        <v>1399</v>
      </c>
      <c r="AH3265">
        <f t="shared" si="1695"/>
        <v>1399</v>
      </c>
    </row>
    <row r="3266" ht="45" hidden="1">
      <c r="A3266" s="217"/>
      <c r="B3266" s="217">
        <v>1399</v>
      </c>
      <c r="C3266" s="217"/>
      <c r="D3266" s="217" t="s">
        <v>20408</v>
      </c>
      <c r="E3266" s="471" t="s">
        <v>20663</v>
      </c>
      <c r="F3266" s="482">
        <v>21013</v>
      </c>
      <c r="G3266" s="470" t="s">
        <v>21419</v>
      </c>
      <c r="H3266" s="482" t="s">
        <v>21420</v>
      </c>
      <c r="I3266" s="578">
        <v>3.6000000000000001</v>
      </c>
      <c r="J3266" s="473">
        <f t="shared" si="1703"/>
        <v>66.920000000000002</v>
      </c>
      <c r="K3266" s="474">
        <f t="shared" si="1715"/>
        <v>240.91200000000001</v>
      </c>
      <c r="L3266" s="475">
        <f t="shared" si="1710"/>
        <v>66.920000000000002</v>
      </c>
      <c r="M3266" s="474">
        <f t="shared" si="1716"/>
        <v>240.91200000000001</v>
      </c>
      <c r="O3266" s="434">
        <f t="shared" si="1707"/>
        <v>66.920000000000002</v>
      </c>
      <c r="P3266" s="435">
        <f t="shared" si="1708"/>
        <v>66.920000000000002</v>
      </c>
      <c r="AE3266" s="217"/>
      <c r="AF3266" s="217">
        <v>1399</v>
      </c>
      <c r="AH3266">
        <f t="shared" si="1695"/>
        <v>1399</v>
      </c>
    </row>
    <row r="3267" ht="30" hidden="1">
      <c r="A3267" s="217"/>
      <c r="B3267" s="217">
        <v>1399</v>
      </c>
      <c r="C3267" s="217"/>
      <c r="D3267" s="217" t="s">
        <v>20408</v>
      </c>
      <c r="E3267" s="471" t="s">
        <v>20665</v>
      </c>
      <c r="F3267" s="489">
        <v>34723</v>
      </c>
      <c r="G3267" s="470" t="s">
        <v>21184</v>
      </c>
      <c r="H3267" s="499" t="s">
        <v>15515</v>
      </c>
      <c r="I3267" s="483">
        <f>0.3+0.196</f>
        <v>0.496</v>
      </c>
      <c r="J3267" s="473">
        <f t="shared" si="1703"/>
        <v>997.91999999999996</v>
      </c>
      <c r="K3267" s="474">
        <f t="shared" si="1715"/>
        <v>494.96831999999995</v>
      </c>
      <c r="L3267" s="475">
        <f t="shared" si="1710"/>
        <v>997.91999999999996</v>
      </c>
      <c r="M3267" s="474">
        <f t="shared" si="1716"/>
        <v>494.96831999999995</v>
      </c>
      <c r="O3267" s="434">
        <f t="shared" si="1707"/>
        <v>997.91999999999996</v>
      </c>
      <c r="P3267" s="435">
        <f t="shared" si="1708"/>
        <v>997.91999999999996</v>
      </c>
      <c r="AE3267" s="217"/>
      <c r="AF3267" s="217">
        <v>1399</v>
      </c>
      <c r="AH3267">
        <f t="shared" si="1695"/>
        <v>1399</v>
      </c>
    </row>
    <row r="3268" ht="60" hidden="1">
      <c r="A3268" s="217"/>
      <c r="B3268" s="217">
        <v>1399</v>
      </c>
      <c r="C3268" s="217"/>
      <c r="D3268" s="217" t="s">
        <v>17167</v>
      </c>
      <c r="E3268" s="471" t="s">
        <v>20667</v>
      </c>
      <c r="F3268" s="482">
        <v>94963</v>
      </c>
      <c r="G3268" s="470" t="s">
        <v>20684</v>
      </c>
      <c r="H3268" s="482" t="s">
        <v>15528</v>
      </c>
      <c r="I3268" s="578">
        <v>3.125e-002</v>
      </c>
      <c r="J3268" s="473">
        <f t="shared" si="1703"/>
        <v>441.43000000000001</v>
      </c>
      <c r="K3268" s="474">
        <f t="shared" si="1715"/>
        <v>13.7946875</v>
      </c>
      <c r="L3268" s="475">
        <f t="shared" si="1710"/>
        <v>436.14999999999998</v>
      </c>
      <c r="M3268" s="474">
        <f t="shared" si="1716"/>
        <v>13.629687499999999</v>
      </c>
      <c r="O3268" s="434">
        <f t="shared" si="1707"/>
        <v>441.43000000000001</v>
      </c>
      <c r="P3268" s="435">
        <f t="shared" si="1708"/>
        <v>436.14999999999998</v>
      </c>
      <c r="AE3268" s="217"/>
      <c r="AF3268" s="217">
        <v>1399</v>
      </c>
      <c r="AH3268">
        <f t="shared" si="1695"/>
        <v>1399</v>
      </c>
    </row>
    <row r="3269" ht="45" hidden="1">
      <c r="A3269" s="217"/>
      <c r="B3269" s="217">
        <v>1399</v>
      </c>
      <c r="C3269" s="217"/>
      <c r="D3269" s="217" t="s">
        <v>20398</v>
      </c>
      <c r="E3269" s="471" t="s">
        <v>20671</v>
      </c>
      <c r="F3269" s="489">
        <v>1259</v>
      </c>
      <c r="G3269" s="470" t="s">
        <v>20796</v>
      </c>
      <c r="H3269" s="482" t="s">
        <v>15528</v>
      </c>
      <c r="I3269" s="614">
        <v>3.125e-002</v>
      </c>
      <c r="J3269" s="473">
        <f t="shared" si="1703"/>
        <v>45.520000000000003</v>
      </c>
      <c r="K3269" s="474">
        <f t="shared" si="1715"/>
        <v>1.4225000000000001</v>
      </c>
      <c r="L3269" s="475">
        <f t="shared" si="1710"/>
        <v>43.100000000000001</v>
      </c>
      <c r="M3269" s="474">
        <f t="shared" si="1716"/>
        <v>1.346875</v>
      </c>
      <c r="O3269" s="434">
        <f t="shared" si="1707"/>
        <v>45.520000000000003</v>
      </c>
      <c r="P3269" s="435">
        <f t="shared" si="1708"/>
        <v>43.100000000000001</v>
      </c>
      <c r="AE3269" s="217"/>
      <c r="AF3269" s="217">
        <v>1399</v>
      </c>
      <c r="AH3269">
        <f t="shared" si="1695"/>
        <v>1399</v>
      </c>
    </row>
    <row r="3270" ht="45" hidden="1">
      <c r="A3270" s="217"/>
      <c r="B3270" s="217">
        <v>1399</v>
      </c>
      <c r="C3270" s="217"/>
      <c r="D3270" s="217" t="s">
        <v>20398</v>
      </c>
      <c r="E3270" s="471" t="s">
        <v>20672</v>
      </c>
      <c r="F3270" s="482">
        <v>1000</v>
      </c>
      <c r="G3270" s="470" t="s">
        <v>20651</v>
      </c>
      <c r="H3270" s="482" t="s">
        <v>15528</v>
      </c>
      <c r="I3270" s="614">
        <f>I3268</f>
        <v>3.125e-002</v>
      </c>
      <c r="J3270" s="473">
        <f t="shared" si="1703"/>
        <v>149.904</v>
      </c>
      <c r="K3270" s="474">
        <f t="shared" si="1715"/>
        <v>4.6844999999999999</v>
      </c>
      <c r="L3270" s="475">
        <f t="shared" si="1710"/>
        <v>141.76949999999999</v>
      </c>
      <c r="M3270" s="474">
        <f t="shared" si="1716"/>
        <v>4.4302968749999998</v>
      </c>
      <c r="O3270" s="434">
        <f t="shared" si="1707"/>
        <v>149.904</v>
      </c>
      <c r="P3270" s="435">
        <f t="shared" si="1708"/>
        <v>141.76949999999999</v>
      </c>
      <c r="AE3270" s="217"/>
      <c r="AF3270" s="217">
        <v>1399</v>
      </c>
      <c r="AH3270">
        <f t="shared" si="1695"/>
        <v>1399</v>
      </c>
    </row>
    <row r="3271" ht="78.75" hidden="1">
      <c r="A3271" s="460">
        <v>1400</v>
      </c>
      <c r="B3271" s="460">
        <v>1400</v>
      </c>
      <c r="C3271" s="460"/>
      <c r="D3271" s="460"/>
      <c r="E3271" s="461">
        <v>1</v>
      </c>
      <c r="F3271" s="462" t="s">
        <v>22254</v>
      </c>
      <c r="G3271" s="477" t="s">
        <v>22255</v>
      </c>
      <c r="H3271" s="478" t="s">
        <v>31</v>
      </c>
      <c r="I3271" s="479"/>
      <c r="J3271" s="480"/>
      <c r="K3271" s="466">
        <f>SUM(K3272:K3280)</f>
        <v>693.20738284499998</v>
      </c>
      <c r="L3271" s="480"/>
      <c r="M3271" s="466">
        <f>SUM(M3272:M3280)</f>
        <v>691.63398330400003</v>
      </c>
      <c r="N3271" s="467" t="s">
        <v>22061</v>
      </c>
      <c r="O3271" s="434" t="str">
        <f t="shared" si="1707"/>
        <v xml:space="preserve">SEM VALOR</v>
      </c>
      <c r="P3271" s="435" t="str">
        <f t="shared" si="1708"/>
        <v xml:space="preserve">SEM VALOR</v>
      </c>
      <c r="AE3271" s="460">
        <v>1400</v>
      </c>
      <c r="AF3271" s="460"/>
      <c r="AH3271">
        <f t="shared" ref="AH3271:AH3334" si="1718">IF(AF3271:AF3272=FALSE,AE3271,AF3271)</f>
        <v>1400</v>
      </c>
    </row>
    <row r="3272" ht="105" hidden="1">
      <c r="A3272" s="217"/>
      <c r="B3272" s="217">
        <v>1400</v>
      </c>
      <c r="C3272" s="217"/>
      <c r="D3272" s="217" t="s">
        <v>17167</v>
      </c>
      <c r="E3272" s="471" t="s">
        <v>20399</v>
      </c>
      <c r="F3272" s="482">
        <v>73467</v>
      </c>
      <c r="G3272" s="470" t="s">
        <v>1601</v>
      </c>
      <c r="H3272" s="482" t="s">
        <v>1535</v>
      </c>
      <c r="I3272" s="578">
        <f>0.3/4.2</f>
        <v>7.1428599999999995e-002</v>
      </c>
      <c r="J3272" s="473">
        <f t="shared" si="1703"/>
        <v>270.61000000000001</v>
      </c>
      <c r="K3272" s="474">
        <f t="shared" ref="K3272:K3280" si="1719">I3272*J3272</f>
        <v>19.329293446000001</v>
      </c>
      <c r="L3272" s="475">
        <f t="shared" si="1710"/>
        <v>269.00999999999999</v>
      </c>
      <c r="M3272" s="474">
        <f t="shared" ref="M3272:M3280" si="1720">L3272*I3272</f>
        <v>19.215007685999996</v>
      </c>
      <c r="N3272" s="467" t="s">
        <v>21418</v>
      </c>
      <c r="O3272" s="434">
        <f t="shared" si="1707"/>
        <v>270.61000000000001</v>
      </c>
      <c r="P3272" s="435">
        <f t="shared" si="1708"/>
        <v>269.00999999999999</v>
      </c>
      <c r="AE3272" s="217"/>
      <c r="AF3272" s="217">
        <v>1400</v>
      </c>
      <c r="AH3272">
        <f t="shared" si="1718"/>
        <v>1400</v>
      </c>
    </row>
    <row r="3273" ht="105" hidden="1">
      <c r="A3273" s="217"/>
      <c r="B3273" s="217">
        <v>1400</v>
      </c>
      <c r="C3273" s="217"/>
      <c r="D3273" s="217" t="s">
        <v>17167</v>
      </c>
      <c r="E3273" s="471" t="s">
        <v>20402</v>
      </c>
      <c r="F3273" s="482">
        <v>91395</v>
      </c>
      <c r="G3273" s="470" t="s">
        <v>1600</v>
      </c>
      <c r="H3273" s="482" t="s">
        <v>1533</v>
      </c>
      <c r="I3273" s="578">
        <f>0.7/4.2</f>
        <v>0.1666667</v>
      </c>
      <c r="J3273" s="473">
        <f t="shared" si="1703"/>
        <v>58.25</v>
      </c>
      <c r="K3273" s="474">
        <f t="shared" si="1719"/>
        <v>9.7083352749999996</v>
      </c>
      <c r="L3273" s="475">
        <f t="shared" si="1710"/>
        <v>56.649999999999999</v>
      </c>
      <c r="M3273" s="474">
        <f t="shared" si="1720"/>
        <v>9.4416685549999997</v>
      </c>
      <c r="O3273" s="434">
        <f t="shared" si="1707"/>
        <v>58.25</v>
      </c>
      <c r="P3273" s="435">
        <f t="shared" si="1708"/>
        <v>56.649999999999999</v>
      </c>
      <c r="AE3273" s="217"/>
      <c r="AF3273" s="217">
        <v>1400</v>
      </c>
      <c r="AH3273">
        <f t="shared" si="1718"/>
        <v>1400</v>
      </c>
    </row>
    <row r="3274" ht="45" hidden="1">
      <c r="A3274" s="217"/>
      <c r="B3274" s="217">
        <v>1400</v>
      </c>
      <c r="C3274" s="217"/>
      <c r="D3274" s="217" t="s">
        <v>17167</v>
      </c>
      <c r="E3274" s="471" t="s">
        <v>20405</v>
      </c>
      <c r="F3274" s="482">
        <v>88277</v>
      </c>
      <c r="G3274" s="488" t="s">
        <v>7341</v>
      </c>
      <c r="H3274" s="482" t="s">
        <v>2032</v>
      </c>
      <c r="I3274" s="578">
        <f t="shared" ref="I3274:I3275" si="1721">1/4.2</f>
        <v>0.23809520000000001</v>
      </c>
      <c r="J3274" s="473">
        <f t="shared" si="1703"/>
        <v>28.359999999999999</v>
      </c>
      <c r="K3274" s="474">
        <f t="shared" si="1719"/>
        <v>6.7523798719999997</v>
      </c>
      <c r="L3274" s="475">
        <f t="shared" si="1710"/>
        <v>26.640000000000001</v>
      </c>
      <c r="M3274" s="474">
        <f t="shared" si="1720"/>
        <v>6.3428561280000002</v>
      </c>
      <c r="O3274" s="434">
        <f t="shared" si="1707"/>
        <v>28.359999999999999</v>
      </c>
      <c r="P3274" s="435">
        <f t="shared" si="1708"/>
        <v>26.640000000000001</v>
      </c>
      <c r="AE3274" s="217"/>
      <c r="AF3274" s="217">
        <v>1400</v>
      </c>
      <c r="AH3274">
        <f t="shared" si="1718"/>
        <v>1400</v>
      </c>
    </row>
    <row r="3275" ht="30" hidden="1">
      <c r="A3275" s="217"/>
      <c r="B3275" s="217">
        <v>1400</v>
      </c>
      <c r="C3275" s="217"/>
      <c r="D3275" s="217" t="s">
        <v>17167</v>
      </c>
      <c r="E3275" s="471" t="s">
        <v>20409</v>
      </c>
      <c r="F3275" s="482">
        <v>88316</v>
      </c>
      <c r="G3275" s="470" t="s">
        <v>7393</v>
      </c>
      <c r="H3275" s="482" t="s">
        <v>2032</v>
      </c>
      <c r="I3275" s="578">
        <f t="shared" si="1721"/>
        <v>0.23809520000000001</v>
      </c>
      <c r="J3275" s="473">
        <f t="shared" si="1703"/>
        <v>22.760000000000002</v>
      </c>
      <c r="K3275" s="474">
        <f t="shared" si="1719"/>
        <v>5.4190467520000007</v>
      </c>
      <c r="L3275" s="475">
        <f t="shared" si="1710"/>
        <v>21.550000000000001</v>
      </c>
      <c r="M3275" s="474">
        <f t="shared" si="1720"/>
        <v>5.1309515600000006</v>
      </c>
      <c r="O3275" s="434">
        <f t="shared" si="1707"/>
        <v>22.760000000000002</v>
      </c>
      <c r="P3275" s="435">
        <f t="shared" si="1708"/>
        <v>21.550000000000001</v>
      </c>
      <c r="AE3275" s="217"/>
      <c r="AF3275" s="217">
        <v>1400</v>
      </c>
      <c r="AH3275">
        <f t="shared" si="1718"/>
        <v>1400</v>
      </c>
    </row>
    <row r="3276" ht="45" hidden="1">
      <c r="A3276" s="217"/>
      <c r="B3276" s="217">
        <v>1400</v>
      </c>
      <c r="C3276" s="217"/>
      <c r="D3276" s="217" t="s">
        <v>20408</v>
      </c>
      <c r="E3276" s="471" t="s">
        <v>20663</v>
      </c>
      <c r="F3276" s="482">
        <v>21013</v>
      </c>
      <c r="G3276" s="470" t="s">
        <v>21419</v>
      </c>
      <c r="H3276" s="482" t="s">
        <v>21420</v>
      </c>
      <c r="I3276" s="578">
        <v>3.6000000000000001</v>
      </c>
      <c r="J3276" s="473">
        <f t="shared" si="1703"/>
        <v>66.920000000000002</v>
      </c>
      <c r="K3276" s="474">
        <f t="shared" si="1719"/>
        <v>240.91200000000001</v>
      </c>
      <c r="L3276" s="475">
        <f t="shared" si="1710"/>
        <v>66.920000000000002</v>
      </c>
      <c r="M3276" s="474">
        <f t="shared" si="1720"/>
        <v>240.91200000000001</v>
      </c>
      <c r="O3276" s="434">
        <f t="shared" si="1707"/>
        <v>66.920000000000002</v>
      </c>
      <c r="P3276" s="435">
        <f t="shared" si="1708"/>
        <v>66.920000000000002</v>
      </c>
      <c r="AE3276" s="217"/>
      <c r="AF3276" s="217">
        <v>1400</v>
      </c>
      <c r="AH3276">
        <f t="shared" si="1718"/>
        <v>1400</v>
      </c>
    </row>
    <row r="3277" ht="30" hidden="1">
      <c r="A3277" s="217"/>
      <c r="B3277" s="217">
        <v>1400</v>
      </c>
      <c r="C3277" s="217"/>
      <c r="D3277" s="217" t="s">
        <v>20408</v>
      </c>
      <c r="E3277" s="471" t="s">
        <v>20665</v>
      </c>
      <c r="F3277" s="489">
        <v>34723</v>
      </c>
      <c r="G3277" s="470" t="s">
        <v>21184</v>
      </c>
      <c r="H3277" s="499" t="s">
        <v>15515</v>
      </c>
      <c r="I3277" s="483">
        <f>0.196+0.196</f>
        <v>0.39200000000000002</v>
      </c>
      <c r="J3277" s="473">
        <f t="shared" si="1703"/>
        <v>997.91999999999996</v>
      </c>
      <c r="K3277" s="474">
        <f t="shared" si="1719"/>
        <v>391.18464</v>
      </c>
      <c r="L3277" s="475">
        <f t="shared" si="1710"/>
        <v>997.91999999999996</v>
      </c>
      <c r="M3277" s="474">
        <f t="shared" si="1720"/>
        <v>391.18464</v>
      </c>
      <c r="O3277" s="434">
        <f t="shared" si="1707"/>
        <v>997.91999999999996</v>
      </c>
      <c r="P3277" s="435">
        <f t="shared" si="1708"/>
        <v>997.91999999999996</v>
      </c>
      <c r="AE3277" s="217"/>
      <c r="AF3277" s="217">
        <v>1400</v>
      </c>
      <c r="AH3277">
        <f t="shared" si="1718"/>
        <v>1400</v>
      </c>
    </row>
    <row r="3278" ht="60" hidden="1">
      <c r="A3278" s="217"/>
      <c r="B3278" s="217">
        <v>1400</v>
      </c>
      <c r="C3278" s="217"/>
      <c r="D3278" s="217" t="s">
        <v>17167</v>
      </c>
      <c r="E3278" s="471" t="s">
        <v>20667</v>
      </c>
      <c r="F3278" s="482">
        <v>94963</v>
      </c>
      <c r="G3278" s="470" t="s">
        <v>20684</v>
      </c>
      <c r="H3278" s="482" t="s">
        <v>15528</v>
      </c>
      <c r="I3278" s="578">
        <v>3.125e-002</v>
      </c>
      <c r="J3278" s="473">
        <f t="shared" si="1703"/>
        <v>441.43000000000001</v>
      </c>
      <c r="K3278" s="474">
        <f t="shared" si="1719"/>
        <v>13.7946875</v>
      </c>
      <c r="L3278" s="475">
        <f t="shared" si="1710"/>
        <v>436.14999999999998</v>
      </c>
      <c r="M3278" s="474">
        <f t="shared" si="1720"/>
        <v>13.629687499999999</v>
      </c>
      <c r="O3278" s="434">
        <f t="shared" si="1707"/>
        <v>441.43000000000001</v>
      </c>
      <c r="P3278" s="435">
        <f t="shared" si="1708"/>
        <v>436.14999999999998</v>
      </c>
      <c r="AE3278" s="217"/>
      <c r="AF3278" s="217">
        <v>1400</v>
      </c>
      <c r="AH3278">
        <f t="shared" si="1718"/>
        <v>1400</v>
      </c>
    </row>
    <row r="3279" ht="45" hidden="1">
      <c r="A3279" s="217"/>
      <c r="B3279" s="217">
        <v>1400</v>
      </c>
      <c r="C3279" s="217"/>
      <c r="D3279" s="217" t="s">
        <v>20398</v>
      </c>
      <c r="E3279" s="471" t="s">
        <v>20671</v>
      </c>
      <c r="F3279" s="489">
        <v>1259</v>
      </c>
      <c r="G3279" s="470" t="s">
        <v>20796</v>
      </c>
      <c r="H3279" s="482" t="s">
        <v>15528</v>
      </c>
      <c r="I3279" s="614">
        <v>3.125e-002</v>
      </c>
      <c r="J3279" s="473">
        <f t="shared" si="1703"/>
        <v>45.520000000000003</v>
      </c>
      <c r="K3279" s="474">
        <f t="shared" si="1719"/>
        <v>1.4225000000000001</v>
      </c>
      <c r="L3279" s="475">
        <f t="shared" si="1710"/>
        <v>43.100000000000001</v>
      </c>
      <c r="M3279" s="474">
        <f t="shared" si="1720"/>
        <v>1.346875</v>
      </c>
      <c r="O3279" s="434">
        <f t="shared" si="1707"/>
        <v>45.520000000000003</v>
      </c>
      <c r="P3279" s="435">
        <f t="shared" si="1708"/>
        <v>43.100000000000001</v>
      </c>
      <c r="AE3279" s="217"/>
      <c r="AF3279" s="217">
        <v>1400</v>
      </c>
      <c r="AH3279">
        <f t="shared" si="1718"/>
        <v>1400</v>
      </c>
    </row>
    <row r="3280" ht="45" hidden="1">
      <c r="A3280" s="217"/>
      <c r="B3280" s="217">
        <v>1400</v>
      </c>
      <c r="C3280" s="217"/>
      <c r="D3280" s="217" t="s">
        <v>20398</v>
      </c>
      <c r="E3280" s="471" t="s">
        <v>20672</v>
      </c>
      <c r="F3280" s="482">
        <v>1000</v>
      </c>
      <c r="G3280" s="470" t="s">
        <v>20651</v>
      </c>
      <c r="H3280" s="482" t="s">
        <v>15528</v>
      </c>
      <c r="I3280" s="614">
        <f>I3278</f>
        <v>3.125e-002</v>
      </c>
      <c r="J3280" s="473">
        <f t="shared" si="1703"/>
        <v>149.904</v>
      </c>
      <c r="K3280" s="474">
        <f t="shared" si="1719"/>
        <v>4.6844999999999999</v>
      </c>
      <c r="L3280" s="475">
        <f t="shared" si="1710"/>
        <v>141.76949999999999</v>
      </c>
      <c r="M3280" s="474">
        <f t="shared" si="1720"/>
        <v>4.4302968749999998</v>
      </c>
      <c r="O3280" s="434">
        <f t="shared" si="1707"/>
        <v>149.904</v>
      </c>
      <c r="P3280" s="435">
        <f t="shared" si="1708"/>
        <v>141.76949999999999</v>
      </c>
      <c r="AE3280" s="217"/>
      <c r="AF3280" s="217">
        <v>1400</v>
      </c>
      <c r="AH3280">
        <f t="shared" si="1718"/>
        <v>1400</v>
      </c>
    </row>
    <row r="3281" ht="67.5" hidden="1" customHeight="1">
      <c r="A3281" s="460">
        <v>1401</v>
      </c>
      <c r="B3281" s="460">
        <v>1401</v>
      </c>
      <c r="C3281" s="460"/>
      <c r="D3281" s="460"/>
      <c r="E3281" s="461">
        <v>1</v>
      </c>
      <c r="F3281" s="462" t="s">
        <v>22256</v>
      </c>
      <c r="G3281" s="477" t="s">
        <v>22257</v>
      </c>
      <c r="H3281" s="478" t="s">
        <v>31</v>
      </c>
      <c r="I3281" s="479"/>
      <c r="J3281" s="480"/>
      <c r="K3281" s="466">
        <f>SUM(K3282:K3290)</f>
        <v>754.25634284499995</v>
      </c>
      <c r="L3281" s="480"/>
      <c r="M3281" s="466">
        <f>SUM(M3282:M3290)</f>
        <v>752.68294330399988</v>
      </c>
      <c r="N3281" s="467" t="s">
        <v>22061</v>
      </c>
      <c r="O3281" s="434" t="str">
        <f t="shared" si="1707"/>
        <v xml:space="preserve">SEM VALOR</v>
      </c>
      <c r="P3281" s="435" t="str">
        <f t="shared" si="1708"/>
        <v xml:space="preserve">SEM VALOR</v>
      </c>
      <c r="AE3281" s="460">
        <v>1401</v>
      </c>
      <c r="AF3281" s="460"/>
      <c r="AH3281">
        <f t="shared" si="1718"/>
        <v>1401</v>
      </c>
    </row>
    <row r="3282" ht="105" hidden="1">
      <c r="A3282" s="217"/>
      <c r="B3282" s="217">
        <v>1401</v>
      </c>
      <c r="C3282" s="217"/>
      <c r="D3282" s="217" t="s">
        <v>17167</v>
      </c>
      <c r="E3282" s="471" t="s">
        <v>20399</v>
      </c>
      <c r="F3282" s="482">
        <v>73467</v>
      </c>
      <c r="G3282" s="470" t="s">
        <v>1601</v>
      </c>
      <c r="H3282" s="482" t="s">
        <v>1535</v>
      </c>
      <c r="I3282" s="578">
        <f>0.3/4.2</f>
        <v>7.1428599999999995e-002</v>
      </c>
      <c r="J3282" s="473">
        <f t="shared" si="1703"/>
        <v>270.61000000000001</v>
      </c>
      <c r="K3282" s="474">
        <f t="shared" ref="K3282:K3290" si="1722">I3282*J3282</f>
        <v>19.329293446000001</v>
      </c>
      <c r="L3282" s="475">
        <f t="shared" si="1710"/>
        <v>269.00999999999999</v>
      </c>
      <c r="M3282" s="474">
        <f t="shared" ref="M3282:M3290" si="1723">L3282*I3282</f>
        <v>19.215007685999996</v>
      </c>
      <c r="N3282" s="467" t="s">
        <v>21418</v>
      </c>
      <c r="O3282" s="434">
        <f t="shared" si="1707"/>
        <v>270.61000000000001</v>
      </c>
      <c r="P3282" s="435">
        <f t="shared" si="1708"/>
        <v>269.00999999999999</v>
      </c>
      <c r="AE3282" s="217"/>
      <c r="AF3282" s="217">
        <v>1401</v>
      </c>
      <c r="AH3282">
        <f t="shared" si="1718"/>
        <v>1401</v>
      </c>
    </row>
    <row r="3283" ht="105" hidden="1">
      <c r="A3283" s="217"/>
      <c r="B3283" s="217">
        <v>1401</v>
      </c>
      <c r="C3283" s="217"/>
      <c r="D3283" s="217" t="s">
        <v>17167</v>
      </c>
      <c r="E3283" s="471" t="s">
        <v>20402</v>
      </c>
      <c r="F3283" s="482">
        <v>91395</v>
      </c>
      <c r="G3283" s="470" t="s">
        <v>1600</v>
      </c>
      <c r="H3283" s="482" t="s">
        <v>1533</v>
      </c>
      <c r="I3283" s="578">
        <f>0.7/4.2</f>
        <v>0.1666667</v>
      </c>
      <c r="J3283" s="473">
        <f t="shared" si="1703"/>
        <v>58.25</v>
      </c>
      <c r="K3283" s="474">
        <f t="shared" si="1722"/>
        <v>9.7083352749999996</v>
      </c>
      <c r="L3283" s="475">
        <f t="shared" si="1710"/>
        <v>56.649999999999999</v>
      </c>
      <c r="M3283" s="474">
        <f t="shared" si="1723"/>
        <v>9.4416685549999997</v>
      </c>
      <c r="O3283" s="434">
        <f t="shared" si="1707"/>
        <v>58.25</v>
      </c>
      <c r="P3283" s="435">
        <f t="shared" si="1708"/>
        <v>56.649999999999999</v>
      </c>
      <c r="AE3283" s="217"/>
      <c r="AF3283" s="217">
        <v>1401</v>
      </c>
      <c r="AH3283">
        <f t="shared" si="1718"/>
        <v>1401</v>
      </c>
    </row>
    <row r="3284" ht="45" hidden="1">
      <c r="A3284" s="217"/>
      <c r="B3284" s="217">
        <v>1401</v>
      </c>
      <c r="C3284" s="217"/>
      <c r="D3284" s="217" t="s">
        <v>17167</v>
      </c>
      <c r="E3284" s="471" t="s">
        <v>20405</v>
      </c>
      <c r="F3284" s="482">
        <v>88277</v>
      </c>
      <c r="G3284" s="488" t="s">
        <v>7341</v>
      </c>
      <c r="H3284" s="482" t="s">
        <v>2032</v>
      </c>
      <c r="I3284" s="578">
        <f t="shared" ref="I3284:I3285" si="1724">1/4.2</f>
        <v>0.23809520000000001</v>
      </c>
      <c r="J3284" s="473">
        <f t="shared" si="1703"/>
        <v>28.359999999999999</v>
      </c>
      <c r="K3284" s="474">
        <f t="shared" si="1722"/>
        <v>6.7523798719999997</v>
      </c>
      <c r="L3284" s="475">
        <f t="shared" si="1710"/>
        <v>26.640000000000001</v>
      </c>
      <c r="M3284" s="474">
        <f t="shared" si="1723"/>
        <v>6.3428561280000002</v>
      </c>
      <c r="O3284" s="434">
        <f t="shared" si="1707"/>
        <v>28.359999999999999</v>
      </c>
      <c r="P3284" s="435">
        <f t="shared" si="1708"/>
        <v>26.640000000000001</v>
      </c>
      <c r="AE3284" s="217"/>
      <c r="AF3284" s="217">
        <v>1401</v>
      </c>
      <c r="AH3284">
        <f t="shared" si="1718"/>
        <v>1401</v>
      </c>
    </row>
    <row r="3285" ht="30" hidden="1">
      <c r="A3285" s="217"/>
      <c r="B3285" s="217">
        <v>1401</v>
      </c>
      <c r="C3285" s="217"/>
      <c r="D3285" s="217" t="s">
        <v>17167</v>
      </c>
      <c r="E3285" s="471" t="s">
        <v>20409</v>
      </c>
      <c r="F3285" s="482">
        <v>88316</v>
      </c>
      <c r="G3285" s="470" t="s">
        <v>7393</v>
      </c>
      <c r="H3285" s="482" t="s">
        <v>2032</v>
      </c>
      <c r="I3285" s="578">
        <f t="shared" si="1724"/>
        <v>0.23809520000000001</v>
      </c>
      <c r="J3285" s="473">
        <f t="shared" si="1703"/>
        <v>22.760000000000002</v>
      </c>
      <c r="K3285" s="474">
        <f t="shared" si="1722"/>
        <v>5.4190467520000007</v>
      </c>
      <c r="L3285" s="475">
        <f t="shared" si="1710"/>
        <v>21.550000000000001</v>
      </c>
      <c r="M3285" s="474">
        <f t="shared" si="1723"/>
        <v>5.1309515600000006</v>
      </c>
      <c r="O3285" s="434">
        <f t="shared" si="1707"/>
        <v>22.760000000000002</v>
      </c>
      <c r="P3285" s="435">
        <f t="shared" si="1708"/>
        <v>21.550000000000001</v>
      </c>
      <c r="AE3285" s="217"/>
      <c r="AF3285" s="217">
        <v>1401</v>
      </c>
      <c r="AH3285">
        <f t="shared" si="1718"/>
        <v>1401</v>
      </c>
    </row>
    <row r="3286" ht="45" hidden="1">
      <c r="A3286" s="217"/>
      <c r="B3286" s="217">
        <v>1401</v>
      </c>
      <c r="C3286" s="217"/>
      <c r="D3286" s="217" t="s">
        <v>20408</v>
      </c>
      <c r="E3286" s="471" t="s">
        <v>20663</v>
      </c>
      <c r="F3286" s="482">
        <v>21013</v>
      </c>
      <c r="G3286" s="470" t="s">
        <v>21419</v>
      </c>
      <c r="H3286" s="482" t="s">
        <v>21420</v>
      </c>
      <c r="I3286" s="578">
        <v>3.2000000000000002</v>
      </c>
      <c r="J3286" s="473">
        <f t="shared" si="1703"/>
        <v>66.920000000000002</v>
      </c>
      <c r="K3286" s="474">
        <f t="shared" si="1722"/>
        <v>214.14400000000001</v>
      </c>
      <c r="L3286" s="475">
        <f t="shared" si="1710"/>
        <v>66.920000000000002</v>
      </c>
      <c r="M3286" s="474">
        <f t="shared" si="1723"/>
        <v>214.14400000000001</v>
      </c>
      <c r="O3286" s="434">
        <f t="shared" si="1707"/>
        <v>66.920000000000002</v>
      </c>
      <c r="P3286" s="435">
        <f t="shared" si="1708"/>
        <v>66.920000000000002</v>
      </c>
      <c r="AE3286" s="217"/>
      <c r="AF3286" s="217">
        <v>1401</v>
      </c>
      <c r="AH3286">
        <f t="shared" si="1718"/>
        <v>1401</v>
      </c>
    </row>
    <row r="3287" ht="30" hidden="1">
      <c r="A3287" s="217"/>
      <c r="B3287" s="217">
        <v>1401</v>
      </c>
      <c r="C3287" s="217"/>
      <c r="D3287" s="217" t="s">
        <v>20408</v>
      </c>
      <c r="E3287" s="471" t="s">
        <v>20665</v>
      </c>
      <c r="F3287" s="489">
        <v>34723</v>
      </c>
      <c r="G3287" s="470" t="s">
        <v>21184</v>
      </c>
      <c r="H3287" s="499" t="s">
        <v>15515</v>
      </c>
      <c r="I3287" s="483">
        <v>0.47999999999999998</v>
      </c>
      <c r="J3287" s="473">
        <f t="shared" si="1703"/>
        <v>997.91999999999996</v>
      </c>
      <c r="K3287" s="474">
        <f t="shared" si="1722"/>
        <v>479.00159999999994</v>
      </c>
      <c r="L3287" s="475">
        <f t="shared" si="1710"/>
        <v>997.91999999999996</v>
      </c>
      <c r="M3287" s="474">
        <f t="shared" si="1723"/>
        <v>479.00159999999994</v>
      </c>
      <c r="O3287" s="434">
        <f t="shared" si="1707"/>
        <v>997.91999999999996</v>
      </c>
      <c r="P3287" s="435">
        <f t="shared" si="1708"/>
        <v>997.91999999999996</v>
      </c>
      <c r="AE3287" s="217"/>
      <c r="AF3287" s="217">
        <v>1401</v>
      </c>
      <c r="AH3287">
        <f t="shared" si="1718"/>
        <v>1401</v>
      </c>
    </row>
    <row r="3288" ht="60" hidden="1">
      <c r="A3288" s="217"/>
      <c r="B3288" s="217">
        <v>1401</v>
      </c>
      <c r="C3288" s="217"/>
      <c r="D3288" s="217" t="s">
        <v>17167</v>
      </c>
      <c r="E3288" s="471" t="s">
        <v>20667</v>
      </c>
      <c r="F3288" s="482">
        <v>94963</v>
      </c>
      <c r="G3288" s="470" t="s">
        <v>20684</v>
      </c>
      <c r="H3288" s="482" t="s">
        <v>15528</v>
      </c>
      <c r="I3288" s="578">
        <v>3.125e-002</v>
      </c>
      <c r="J3288" s="473">
        <f t="shared" si="1703"/>
        <v>441.43000000000001</v>
      </c>
      <c r="K3288" s="474">
        <f t="shared" si="1722"/>
        <v>13.7946875</v>
      </c>
      <c r="L3288" s="475">
        <f t="shared" si="1710"/>
        <v>436.14999999999998</v>
      </c>
      <c r="M3288" s="474">
        <f t="shared" si="1723"/>
        <v>13.629687499999999</v>
      </c>
      <c r="O3288" s="434">
        <f t="shared" si="1707"/>
        <v>441.43000000000001</v>
      </c>
      <c r="P3288" s="435">
        <f t="shared" si="1708"/>
        <v>436.14999999999998</v>
      </c>
      <c r="AE3288" s="217"/>
      <c r="AF3288" s="217">
        <v>1401</v>
      </c>
      <c r="AH3288">
        <f t="shared" si="1718"/>
        <v>1401</v>
      </c>
    </row>
    <row r="3289" ht="45" hidden="1">
      <c r="A3289" s="217"/>
      <c r="B3289" s="217">
        <v>1401</v>
      </c>
      <c r="C3289" s="217"/>
      <c r="D3289" s="217" t="s">
        <v>20398</v>
      </c>
      <c r="E3289" s="471" t="s">
        <v>20671</v>
      </c>
      <c r="F3289" s="489">
        <v>1259</v>
      </c>
      <c r="G3289" s="470" t="s">
        <v>20796</v>
      </c>
      <c r="H3289" s="482" t="s">
        <v>15528</v>
      </c>
      <c r="I3289" s="614">
        <v>3.125e-002</v>
      </c>
      <c r="J3289" s="473">
        <f t="shared" si="1703"/>
        <v>45.520000000000003</v>
      </c>
      <c r="K3289" s="474">
        <f t="shared" si="1722"/>
        <v>1.4225000000000001</v>
      </c>
      <c r="L3289" s="475">
        <f t="shared" si="1710"/>
        <v>43.100000000000001</v>
      </c>
      <c r="M3289" s="474">
        <f t="shared" si="1723"/>
        <v>1.346875</v>
      </c>
      <c r="O3289" s="434">
        <f t="shared" si="1707"/>
        <v>45.520000000000003</v>
      </c>
      <c r="P3289" s="435">
        <f t="shared" si="1708"/>
        <v>43.100000000000001</v>
      </c>
      <c r="AE3289" s="217"/>
      <c r="AF3289" s="217">
        <v>1401</v>
      </c>
      <c r="AH3289">
        <f t="shared" si="1718"/>
        <v>1401</v>
      </c>
    </row>
    <row r="3290" ht="45" hidden="1">
      <c r="A3290" s="217"/>
      <c r="B3290" s="217">
        <v>1401</v>
      </c>
      <c r="C3290" s="217"/>
      <c r="D3290" s="217" t="s">
        <v>20398</v>
      </c>
      <c r="E3290" s="471" t="s">
        <v>20672</v>
      </c>
      <c r="F3290" s="482">
        <v>1000</v>
      </c>
      <c r="G3290" s="470" t="s">
        <v>20651</v>
      </c>
      <c r="H3290" s="482" t="s">
        <v>15528</v>
      </c>
      <c r="I3290" s="614">
        <f>I3288</f>
        <v>3.125e-002</v>
      </c>
      <c r="J3290" s="473">
        <f t="shared" si="1703"/>
        <v>149.904</v>
      </c>
      <c r="K3290" s="474">
        <f t="shared" si="1722"/>
        <v>4.6844999999999999</v>
      </c>
      <c r="L3290" s="475">
        <f t="shared" si="1710"/>
        <v>141.76949999999999</v>
      </c>
      <c r="M3290" s="474">
        <f t="shared" si="1723"/>
        <v>4.4302968749999998</v>
      </c>
      <c r="O3290" s="434">
        <f t="shared" si="1707"/>
        <v>149.904</v>
      </c>
      <c r="P3290" s="435">
        <f t="shared" si="1708"/>
        <v>141.76949999999999</v>
      </c>
      <c r="AE3290" s="217"/>
      <c r="AF3290" s="217">
        <v>1401</v>
      </c>
      <c r="AH3290">
        <f t="shared" si="1718"/>
        <v>1401</v>
      </c>
    </row>
    <row r="3291" ht="78.75" hidden="1">
      <c r="A3291" s="460">
        <v>1402</v>
      </c>
      <c r="B3291" s="460">
        <v>1402</v>
      </c>
      <c r="C3291" s="460"/>
      <c r="D3291" s="460"/>
      <c r="E3291" s="461">
        <v>1</v>
      </c>
      <c r="F3291" s="462" t="s">
        <v>22258</v>
      </c>
      <c r="G3291" s="477" t="s">
        <v>20234</v>
      </c>
      <c r="H3291" s="478" t="s">
        <v>15515</v>
      </c>
      <c r="I3291" s="479"/>
      <c r="J3291" s="480"/>
      <c r="K3291" s="466">
        <f>SUM(K3292:K3295)</f>
        <v>16.0487009722526</v>
      </c>
      <c r="L3291" s="480"/>
      <c r="M3291" s="466">
        <f>SUM(M3292:M3295)</f>
        <v>16.044304479634</v>
      </c>
      <c r="O3291" s="434" t="str">
        <f t="shared" si="1707"/>
        <v xml:space="preserve">SEM VALOR</v>
      </c>
      <c r="P3291" s="435" t="str">
        <f t="shared" si="1708"/>
        <v xml:space="preserve">SEM VALOR</v>
      </c>
      <c r="AE3291" s="460">
        <v>1402</v>
      </c>
      <c r="AF3291" s="460"/>
      <c r="AH3291">
        <f t="shared" si="1718"/>
        <v>1402</v>
      </c>
    </row>
    <row r="3292" ht="75" hidden="1">
      <c r="A3292" s="217"/>
      <c r="B3292" s="217">
        <v>1402</v>
      </c>
      <c r="C3292" s="217"/>
      <c r="D3292" s="217" t="s">
        <v>20453</v>
      </c>
      <c r="E3292" s="471" t="s">
        <v>20399</v>
      </c>
      <c r="F3292" s="489" t="s">
        <v>20233</v>
      </c>
      <c r="G3292" s="572" t="s">
        <v>20234</v>
      </c>
      <c r="H3292" s="489" t="s">
        <v>15515</v>
      </c>
      <c r="I3292" s="483">
        <v>1.05</v>
      </c>
      <c r="J3292" s="473">
        <f t="shared" si="1703"/>
        <v>14.66</v>
      </c>
      <c r="K3292" s="474">
        <f t="shared" ref="K3292:K3295" si="1725">I3292*J3292</f>
        <v>15.393000000000001</v>
      </c>
      <c r="L3292" s="475">
        <f t="shared" si="1710"/>
        <v>14.66</v>
      </c>
      <c r="M3292" s="474">
        <f t="shared" ref="M3292:M3295" si="1726">L3292*I3292</f>
        <v>15.393000000000001</v>
      </c>
      <c r="O3292" s="434">
        <f t="shared" si="1707"/>
        <v>14.66</v>
      </c>
      <c r="P3292" s="435">
        <f t="shared" si="1708"/>
        <v>14.66</v>
      </c>
      <c r="AE3292" s="217"/>
      <c r="AF3292" s="217">
        <v>1402</v>
      </c>
      <c r="AH3292">
        <f t="shared" si="1718"/>
        <v>1402</v>
      </c>
    </row>
    <row r="3293" ht="60" hidden="1">
      <c r="A3293" s="217"/>
      <c r="B3293" s="217">
        <v>1402</v>
      </c>
      <c r="C3293" s="217"/>
      <c r="D3293" s="217" t="s">
        <v>20398</v>
      </c>
      <c r="E3293" s="471" t="s">
        <v>20402</v>
      </c>
      <c r="F3293" s="489">
        <v>1085</v>
      </c>
      <c r="G3293" s="572" t="s">
        <v>22259</v>
      </c>
      <c r="H3293" s="489" t="s">
        <v>9591</v>
      </c>
      <c r="I3293" s="483">
        <v>2.0000000000000001e-004</v>
      </c>
      <c r="J3293" s="473">
        <f t="shared" si="1703"/>
        <v>28.443421263000001</v>
      </c>
      <c r="K3293" s="474">
        <f t="shared" si="1725"/>
        <v>5.6886842526000002e-003</v>
      </c>
      <c r="L3293" s="475">
        <f t="shared" si="1710"/>
        <v>27.689198170000004</v>
      </c>
      <c r="M3293" s="474">
        <f t="shared" si="1726"/>
        <v>5.5378396340000011e-003</v>
      </c>
      <c r="O3293" s="434">
        <f t="shared" si="1707"/>
        <v>28.443421263000001</v>
      </c>
      <c r="P3293" s="435">
        <f t="shared" si="1708"/>
        <v>27.689198170000004</v>
      </c>
      <c r="AE3293" s="217"/>
      <c r="AF3293" s="217">
        <v>1402</v>
      </c>
      <c r="AH3293">
        <f t="shared" si="1718"/>
        <v>1402</v>
      </c>
    </row>
    <row r="3294" ht="45" hidden="1">
      <c r="A3294" s="217"/>
      <c r="B3294" s="217">
        <v>1402</v>
      </c>
      <c r="C3294" s="217"/>
      <c r="D3294" s="217" t="s">
        <v>20408</v>
      </c>
      <c r="E3294" s="471" t="s">
        <v>20405</v>
      </c>
      <c r="F3294" s="489">
        <v>43054</v>
      </c>
      <c r="G3294" s="572" t="s">
        <v>10509</v>
      </c>
      <c r="H3294" s="489" t="s">
        <v>302</v>
      </c>
      <c r="I3294" s="483">
        <v>6.8199999999999997e-002</v>
      </c>
      <c r="J3294" s="473">
        <f t="shared" ref="J3294:J3357" si="1727">O3294*$J$3</f>
        <v>8.3599999999999994</v>
      </c>
      <c r="K3294" s="474">
        <f t="shared" si="1725"/>
        <v>0.57015199999999988</v>
      </c>
      <c r="L3294" s="475">
        <f t="shared" si="1710"/>
        <v>8.3599999999999994</v>
      </c>
      <c r="M3294" s="474">
        <f t="shared" si="1726"/>
        <v>0.57015199999999988</v>
      </c>
      <c r="O3294" s="434">
        <f t="shared" si="1707"/>
        <v>8.3599999999999994</v>
      </c>
      <c r="P3294" s="435">
        <f t="shared" si="1708"/>
        <v>8.3599999999999994</v>
      </c>
      <c r="AE3294" s="217"/>
      <c r="AF3294" s="217">
        <v>1402</v>
      </c>
      <c r="AH3294">
        <f t="shared" si="1718"/>
        <v>1402</v>
      </c>
    </row>
    <row r="3295" ht="30" hidden="1">
      <c r="A3295" s="217"/>
      <c r="B3295" s="217">
        <v>1402</v>
      </c>
      <c r="C3295" s="217"/>
      <c r="D3295" s="217" t="s">
        <v>17167</v>
      </c>
      <c r="E3295" s="471" t="s">
        <v>20409</v>
      </c>
      <c r="F3295" s="489">
        <v>88316</v>
      </c>
      <c r="G3295" s="572" t="s">
        <v>7393</v>
      </c>
      <c r="H3295" s="489" t="s">
        <v>2032</v>
      </c>
      <c r="I3295" s="483">
        <v>3.5087999999999999e-003</v>
      </c>
      <c r="J3295" s="473">
        <f t="shared" si="1727"/>
        <v>22.760000000000002</v>
      </c>
      <c r="K3295" s="474">
        <f t="shared" si="1725"/>
        <v>7.9860288000000001e-002</v>
      </c>
      <c r="L3295" s="475">
        <f t="shared" si="1710"/>
        <v>21.550000000000001</v>
      </c>
      <c r="M3295" s="474">
        <f t="shared" si="1726"/>
        <v>7.5614639999999997e-002</v>
      </c>
      <c r="O3295" s="434">
        <f t="shared" si="1707"/>
        <v>22.760000000000002</v>
      </c>
      <c r="P3295" s="435">
        <f t="shared" si="1708"/>
        <v>21.550000000000001</v>
      </c>
      <c r="AE3295" s="217"/>
      <c r="AF3295" s="217">
        <v>1402</v>
      </c>
      <c r="AH3295">
        <f t="shared" si="1718"/>
        <v>1402</v>
      </c>
    </row>
    <row r="3296" ht="75">
      <c r="A3296" s="460">
        <v>1403</v>
      </c>
      <c r="B3296" s="460">
        <v>1403</v>
      </c>
      <c r="C3296" s="460"/>
      <c r="D3296" s="460"/>
      <c r="E3296" s="461">
        <v>1</v>
      </c>
      <c r="F3296" s="462" t="s">
        <v>20619</v>
      </c>
      <c r="G3296" s="463" t="s">
        <v>22260</v>
      </c>
      <c r="H3296" s="478" t="s">
        <v>31</v>
      </c>
      <c r="I3296" s="479"/>
      <c r="J3296" s="480"/>
      <c r="K3296" s="466">
        <f>SUM(K3297:K3307)</f>
        <v>480.56</v>
      </c>
      <c r="L3296" s="480"/>
      <c r="M3296" s="466">
        <f>SUM(M3297:M3307)</f>
        <v>479.03174330399997</v>
      </c>
      <c r="N3296" s="467" t="s">
        <v>22261</v>
      </c>
      <c r="O3296" s="434" t="str">
        <f t="shared" si="1707"/>
        <v xml:space="preserve">SEM VALOR</v>
      </c>
      <c r="P3296" s="435" t="str">
        <f t="shared" si="1708"/>
        <v xml:space="preserve">SEM VALOR</v>
      </c>
      <c r="AE3296" s="460">
        <v>1403</v>
      </c>
      <c r="AF3296" s="460"/>
      <c r="AH3296">
        <f t="shared" si="1718"/>
        <v>1403</v>
      </c>
    </row>
    <row r="3297" ht="105">
      <c r="A3297" s="217"/>
      <c r="B3297" s="217">
        <v>1403</v>
      </c>
      <c r="C3297" s="217"/>
      <c r="D3297" s="217" t="s">
        <v>17167</v>
      </c>
      <c r="E3297" s="471" t="s">
        <v>20399</v>
      </c>
      <c r="F3297" s="482">
        <v>73467</v>
      </c>
      <c r="G3297" s="470" t="s">
        <v>1601</v>
      </c>
      <c r="H3297" s="482" t="s">
        <v>1535</v>
      </c>
      <c r="I3297" s="578">
        <f>0.3/4.2</f>
        <v>7.1428599999999995e-002</v>
      </c>
      <c r="J3297" s="473">
        <f t="shared" si="1727"/>
        <v>270.61000000000001</v>
      </c>
      <c r="K3297" s="474">
        <f>TRUNC(I3297*J3297,2)</f>
        <v>19.32</v>
      </c>
      <c r="L3297" s="473">
        <f t="shared" si="1710"/>
        <v>269.00999999999999</v>
      </c>
      <c r="M3297" s="474">
        <f t="shared" ref="M3297:M3307" si="1728">L3297*I3297</f>
        <v>19.215007685999996</v>
      </c>
      <c r="N3297" s="467" t="s">
        <v>21418</v>
      </c>
      <c r="O3297" s="434">
        <f t="shared" si="1707"/>
        <v>270.61000000000001</v>
      </c>
      <c r="P3297" s="435">
        <f t="shared" si="1708"/>
        <v>269.00999999999999</v>
      </c>
      <c r="AE3297" s="217"/>
      <c r="AF3297" s="217">
        <v>1403</v>
      </c>
      <c r="AH3297">
        <f t="shared" si="1718"/>
        <v>1403</v>
      </c>
    </row>
    <row r="3298" ht="105">
      <c r="A3298" s="217"/>
      <c r="B3298" s="217">
        <v>1403</v>
      </c>
      <c r="C3298" s="217"/>
      <c r="D3298" s="217" t="s">
        <v>17167</v>
      </c>
      <c r="E3298" s="471" t="s">
        <v>20402</v>
      </c>
      <c r="F3298" s="482">
        <v>91395</v>
      </c>
      <c r="G3298" s="470" t="s">
        <v>1600</v>
      </c>
      <c r="H3298" s="482" t="s">
        <v>1533</v>
      </c>
      <c r="I3298" s="578">
        <f>0.7/4.2</f>
        <v>0.1666667</v>
      </c>
      <c r="J3298" s="473">
        <f t="shared" si="1727"/>
        <v>58.25</v>
      </c>
      <c r="K3298" s="474">
        <f>TRUNC(I3298*J3298,2)</f>
        <v>9.6999999999999993</v>
      </c>
      <c r="L3298" s="473">
        <f t="shared" si="1710"/>
        <v>56.649999999999999</v>
      </c>
      <c r="M3298" s="474">
        <f t="shared" si="1728"/>
        <v>9.4416685549999997</v>
      </c>
      <c r="N3298" s="467"/>
      <c r="O3298" s="434">
        <f t="shared" si="1707"/>
        <v>58.25</v>
      </c>
      <c r="P3298" s="435">
        <f t="shared" si="1708"/>
        <v>56.649999999999999</v>
      </c>
      <c r="AE3298" s="217"/>
      <c r="AF3298" s="217">
        <v>1403</v>
      </c>
      <c r="AH3298">
        <f t="shared" si="1718"/>
        <v>1403</v>
      </c>
    </row>
    <row r="3299" ht="30">
      <c r="A3299" s="217"/>
      <c r="B3299" s="217">
        <v>1403</v>
      </c>
      <c r="C3299" s="217"/>
      <c r="D3299" s="217" t="s">
        <v>17167</v>
      </c>
      <c r="E3299" s="471" t="s">
        <v>20405</v>
      </c>
      <c r="F3299" s="482">
        <v>88277</v>
      </c>
      <c r="G3299" s="488" t="s">
        <v>7341</v>
      </c>
      <c r="H3299" s="482" t="s">
        <v>2032</v>
      </c>
      <c r="I3299" s="578">
        <f t="shared" ref="I3299:I3300" si="1729">1/4.2</f>
        <v>0.23809520000000001</v>
      </c>
      <c r="J3299" s="473">
        <f t="shared" si="1727"/>
        <v>28.359999999999999</v>
      </c>
      <c r="K3299" s="474">
        <f>TRUNC(I3299*J3299,2)</f>
        <v>6.75</v>
      </c>
      <c r="L3299" s="473">
        <f t="shared" si="1710"/>
        <v>26.640000000000001</v>
      </c>
      <c r="M3299" s="474">
        <f t="shared" si="1728"/>
        <v>6.3428561280000002</v>
      </c>
      <c r="N3299" s="629"/>
      <c r="O3299" s="434">
        <f t="shared" si="1707"/>
        <v>28.359999999999999</v>
      </c>
      <c r="P3299" s="435">
        <f t="shared" si="1708"/>
        <v>26.640000000000001</v>
      </c>
      <c r="AE3299" s="217"/>
      <c r="AF3299" s="217">
        <v>1403</v>
      </c>
      <c r="AH3299">
        <f t="shared" si="1718"/>
        <v>1403</v>
      </c>
    </row>
    <row r="3300" ht="30">
      <c r="A3300" s="217"/>
      <c r="B3300" s="217">
        <v>1403</v>
      </c>
      <c r="C3300" s="217"/>
      <c r="D3300" s="217" t="s">
        <v>17167</v>
      </c>
      <c r="E3300" s="471" t="s">
        <v>20409</v>
      </c>
      <c r="F3300" s="482">
        <v>88316</v>
      </c>
      <c r="G3300" s="470" t="s">
        <v>7393</v>
      </c>
      <c r="H3300" s="482" t="s">
        <v>2032</v>
      </c>
      <c r="I3300" s="578">
        <f t="shared" si="1729"/>
        <v>0.23809520000000001</v>
      </c>
      <c r="J3300" s="473">
        <f t="shared" si="1727"/>
        <v>22.760000000000002</v>
      </c>
      <c r="K3300" s="474">
        <f>TRUNC(I3300*J3300,2)</f>
        <v>5.4100000000000001</v>
      </c>
      <c r="L3300" s="473">
        <f t="shared" si="1710"/>
        <v>21.550000000000001</v>
      </c>
      <c r="M3300" s="474">
        <f t="shared" si="1728"/>
        <v>5.1309515600000006</v>
      </c>
      <c r="N3300" s="467"/>
      <c r="O3300" s="434">
        <f t="shared" si="1707"/>
        <v>22.760000000000002</v>
      </c>
      <c r="P3300" s="435">
        <f t="shared" si="1708"/>
        <v>21.550000000000001</v>
      </c>
      <c r="AE3300" s="217"/>
      <c r="AF3300" s="217">
        <v>1403</v>
      </c>
      <c r="AH3300">
        <f t="shared" si="1718"/>
        <v>1403</v>
      </c>
    </row>
    <row r="3301" ht="60">
      <c r="A3301" s="217"/>
      <c r="B3301" s="217">
        <v>1403</v>
      </c>
      <c r="C3301" s="217"/>
      <c r="D3301" s="217" t="s">
        <v>20408</v>
      </c>
      <c r="E3301" s="471" t="s">
        <v>20663</v>
      </c>
      <c r="F3301" s="482">
        <v>21013</v>
      </c>
      <c r="G3301" s="470" t="s">
        <v>22062</v>
      </c>
      <c r="H3301" s="482" t="s">
        <v>21420</v>
      </c>
      <c r="I3301" s="578">
        <v>3.2000000000000002</v>
      </c>
      <c r="J3301" s="473">
        <f t="shared" si="1727"/>
        <v>66.920000000000002</v>
      </c>
      <c r="K3301" s="474">
        <f>TRUNC(I3301*J3301,2)</f>
        <v>214.13999999999999</v>
      </c>
      <c r="L3301" s="473">
        <f t="shared" si="1710"/>
        <v>66.920000000000002</v>
      </c>
      <c r="M3301" s="474">
        <f t="shared" si="1728"/>
        <v>214.14400000000001</v>
      </c>
      <c r="N3301" s="467" t="s">
        <v>22262</v>
      </c>
      <c r="O3301" s="434">
        <f t="shared" si="1707"/>
        <v>66.920000000000002</v>
      </c>
      <c r="P3301" s="435">
        <f t="shared" si="1708"/>
        <v>66.920000000000002</v>
      </c>
      <c r="AE3301" s="217"/>
      <c r="AF3301" s="217">
        <v>1403</v>
      </c>
      <c r="AH3301">
        <f t="shared" si="1718"/>
        <v>1403</v>
      </c>
    </row>
    <row r="3302" ht="30">
      <c r="A3302" s="217"/>
      <c r="B3302" s="217">
        <v>1403</v>
      </c>
      <c r="C3302" s="217"/>
      <c r="D3302" s="217" t="s">
        <v>20644</v>
      </c>
      <c r="E3302" s="471" t="s">
        <v>20665</v>
      </c>
      <c r="F3302" s="482" t="s">
        <v>15504</v>
      </c>
      <c r="G3302" s="470" t="s">
        <v>22263</v>
      </c>
      <c r="H3302" s="482" t="s">
        <v>15370</v>
      </c>
      <c r="I3302" s="483">
        <v>4.2400000000000002</v>
      </c>
      <c r="J3302" s="473">
        <f t="shared" si="1727"/>
        <v>10</v>
      </c>
      <c r="K3302" s="474">
        <f>TRUNC(I3302*J3302,2)</f>
        <v>42.399999999999999</v>
      </c>
      <c r="L3302" s="473">
        <f t="shared" si="1710"/>
        <v>10</v>
      </c>
      <c r="M3302" s="474">
        <f t="shared" si="1728"/>
        <v>42.400000000000006</v>
      </c>
      <c r="N3302" s="467"/>
      <c r="O3302" s="434">
        <f t="shared" si="1707"/>
        <v>10</v>
      </c>
      <c r="P3302" s="435">
        <f t="shared" si="1708"/>
        <v>10</v>
      </c>
      <c r="AE3302" s="217"/>
      <c r="AF3302" s="217">
        <v>1403</v>
      </c>
      <c r="AH3302">
        <f t="shared" si="1718"/>
        <v>1403</v>
      </c>
    </row>
    <row r="3303" ht="45">
      <c r="A3303" s="217"/>
      <c r="B3303" s="217">
        <v>1403</v>
      </c>
      <c r="C3303" s="217"/>
      <c r="D3303" s="217" t="s">
        <v>20644</v>
      </c>
      <c r="E3303" s="471" t="s">
        <v>20667</v>
      </c>
      <c r="F3303" s="482" t="s">
        <v>15506</v>
      </c>
      <c r="G3303" s="470" t="s">
        <v>22264</v>
      </c>
      <c r="H3303" s="482" t="s">
        <v>15383</v>
      </c>
      <c r="I3303" s="483">
        <v>0.35999999999999999</v>
      </c>
      <c r="J3303" s="473">
        <f t="shared" si="1727"/>
        <v>435.75</v>
      </c>
      <c r="K3303" s="474">
        <f>TRUNC(I3303*J3303,2)</f>
        <v>156.87</v>
      </c>
      <c r="L3303" s="473">
        <f t="shared" si="1710"/>
        <v>435.75</v>
      </c>
      <c r="M3303" s="474">
        <f t="shared" si="1728"/>
        <v>156.87</v>
      </c>
      <c r="N3303" s="467"/>
      <c r="O3303" s="434">
        <f t="shared" si="1707"/>
        <v>435.75</v>
      </c>
      <c r="P3303" s="435">
        <f t="shared" si="1708"/>
        <v>435.75</v>
      </c>
      <c r="AE3303" s="217"/>
      <c r="AF3303" s="217">
        <v>1403</v>
      </c>
      <c r="AH3303">
        <f t="shared" si="1718"/>
        <v>1403</v>
      </c>
    </row>
    <row r="3304" ht="30">
      <c r="A3304" s="217"/>
      <c r="B3304" s="217">
        <v>1403</v>
      </c>
      <c r="C3304" s="217"/>
      <c r="D3304" s="217" t="s">
        <v>20644</v>
      </c>
      <c r="E3304" s="471" t="s">
        <v>20671</v>
      </c>
      <c r="F3304" s="482">
        <v>5212552</v>
      </c>
      <c r="G3304" s="470" t="s">
        <v>22265</v>
      </c>
      <c r="H3304" s="482" t="s">
        <v>15383</v>
      </c>
      <c r="I3304" s="483">
        <v>0.35999999999999999</v>
      </c>
      <c r="J3304" s="473">
        <f t="shared" si="1727"/>
        <v>16.890000000000001</v>
      </c>
      <c r="K3304" s="474">
        <f>TRUNC(I3304*J3304,2)</f>
        <v>6.0800000000000001</v>
      </c>
      <c r="L3304" s="473">
        <f t="shared" si="1710"/>
        <v>16.890000000000001</v>
      </c>
      <c r="M3304" s="474">
        <f t="shared" si="1728"/>
        <v>6.0804</v>
      </c>
      <c r="N3304" s="467"/>
      <c r="O3304" s="434">
        <f t="shared" si="1707"/>
        <v>16.890000000000001</v>
      </c>
      <c r="P3304" s="435">
        <f t="shared" si="1708"/>
        <v>16.890000000000001</v>
      </c>
      <c r="AE3304" s="217"/>
      <c r="AF3304" s="217">
        <v>1403</v>
      </c>
      <c r="AH3304">
        <f t="shared" si="1718"/>
        <v>1403</v>
      </c>
    </row>
    <row r="3305" ht="60">
      <c r="A3305" s="217"/>
      <c r="B3305" s="217">
        <v>1403</v>
      </c>
      <c r="C3305" s="217"/>
      <c r="D3305" s="217" t="s">
        <v>17167</v>
      </c>
      <c r="E3305" s="471" t="s">
        <v>20672</v>
      </c>
      <c r="F3305" s="482">
        <v>94963</v>
      </c>
      <c r="G3305" s="470" t="s">
        <v>20684</v>
      </c>
      <c r="H3305" s="482" t="s">
        <v>15528</v>
      </c>
      <c r="I3305" s="578">
        <v>3.125e-002</v>
      </c>
      <c r="J3305" s="473">
        <f t="shared" si="1727"/>
        <v>441.43000000000001</v>
      </c>
      <c r="K3305" s="474">
        <f>TRUNC(I3305*J3305,2)</f>
        <v>13.789999999999999</v>
      </c>
      <c r="L3305" s="473">
        <f t="shared" si="1710"/>
        <v>436.14999999999998</v>
      </c>
      <c r="M3305" s="474">
        <f t="shared" si="1728"/>
        <v>13.629687499999999</v>
      </c>
      <c r="N3305" s="467"/>
      <c r="O3305" s="434">
        <f t="shared" si="1707"/>
        <v>441.43000000000001</v>
      </c>
      <c r="P3305" s="435">
        <f t="shared" si="1708"/>
        <v>436.14999999999998</v>
      </c>
      <c r="AE3305" s="217"/>
      <c r="AF3305" s="217">
        <v>1403</v>
      </c>
      <c r="AH3305">
        <f t="shared" si="1718"/>
        <v>1403</v>
      </c>
    </row>
    <row r="3306" ht="30">
      <c r="A3306" s="217"/>
      <c r="B3306" s="217">
        <v>1403</v>
      </c>
      <c r="C3306" s="217"/>
      <c r="D3306" s="217" t="s">
        <v>20398</v>
      </c>
      <c r="E3306" s="471" t="s">
        <v>20673</v>
      </c>
      <c r="F3306" s="489">
        <v>1259</v>
      </c>
      <c r="G3306" s="470" t="s">
        <v>20796</v>
      </c>
      <c r="H3306" s="482" t="s">
        <v>15528</v>
      </c>
      <c r="I3306" s="614">
        <v>3.125e-002</v>
      </c>
      <c r="J3306" s="473">
        <f t="shared" si="1727"/>
        <v>45.520000000000003</v>
      </c>
      <c r="K3306" s="474">
        <f>TRUNC(I3306*J3306,2)</f>
        <v>1.4199999999999999</v>
      </c>
      <c r="L3306" s="473">
        <f t="shared" si="1710"/>
        <v>43.100000000000001</v>
      </c>
      <c r="M3306" s="474">
        <f t="shared" si="1728"/>
        <v>1.346875</v>
      </c>
      <c r="N3306" s="467"/>
      <c r="O3306" s="434">
        <f t="shared" si="1707"/>
        <v>45.520000000000003</v>
      </c>
      <c r="P3306" s="435">
        <f t="shared" si="1708"/>
        <v>43.100000000000001</v>
      </c>
      <c r="AE3306" s="217"/>
      <c r="AF3306" s="217">
        <v>1403</v>
      </c>
      <c r="AH3306">
        <f t="shared" si="1718"/>
        <v>1403</v>
      </c>
    </row>
    <row r="3307" ht="45">
      <c r="A3307" s="217"/>
      <c r="B3307" s="217">
        <v>1403</v>
      </c>
      <c r="C3307" s="217"/>
      <c r="D3307" s="217" t="s">
        <v>20398</v>
      </c>
      <c r="E3307" s="471" t="s">
        <v>20675</v>
      </c>
      <c r="F3307" s="482">
        <v>1000</v>
      </c>
      <c r="G3307" s="470" t="s">
        <v>20651</v>
      </c>
      <c r="H3307" s="482" t="s">
        <v>15528</v>
      </c>
      <c r="I3307" s="614">
        <f>I3305</f>
        <v>3.125e-002</v>
      </c>
      <c r="J3307" s="473">
        <f t="shared" si="1727"/>
        <v>149.904</v>
      </c>
      <c r="K3307" s="474">
        <f>TRUNC(I3307*J3307,2)</f>
        <v>4.6799999999999997</v>
      </c>
      <c r="L3307" s="473">
        <f t="shared" si="1710"/>
        <v>141.76949999999999</v>
      </c>
      <c r="M3307" s="474">
        <f t="shared" si="1728"/>
        <v>4.4302968749999998</v>
      </c>
      <c r="N3307" s="467"/>
      <c r="O3307" s="434">
        <f t="shared" si="1707"/>
        <v>149.904</v>
      </c>
      <c r="P3307" s="435">
        <f t="shared" si="1708"/>
        <v>141.76949999999999</v>
      </c>
      <c r="AE3307" s="217"/>
      <c r="AF3307" s="217">
        <v>1403</v>
      </c>
      <c r="AH3307">
        <f t="shared" si="1718"/>
        <v>1403</v>
      </c>
    </row>
    <row r="3308" ht="45">
      <c r="A3308" s="217"/>
      <c r="B3308" s="217">
        <v>1403</v>
      </c>
      <c r="C3308" s="217"/>
      <c r="D3308" s="217"/>
      <c r="E3308" s="471"/>
      <c r="F3308" s="482" t="s">
        <v>20464</v>
      </c>
      <c r="G3308" s="488" t="s">
        <v>22266</v>
      </c>
      <c r="H3308" s="482"/>
      <c r="I3308" s="578"/>
      <c r="J3308" s="577"/>
      <c r="K3308" s="474"/>
      <c r="L3308" s="577"/>
      <c r="M3308" s="474"/>
      <c r="N3308" s="467"/>
      <c r="O3308" s="434" t="str">
        <f t="shared" ref="O3308:O3371" si="1730">IFERROR(IF(D3308="SINAPI",VLOOKUP(F3308,SINCOMOD,4,FALSE),IF(D3308="INSINAPI",VLOOKUP(F3308,INSINOD,5,FALSE),IF(D3308="SICRO",VLOOKUP(F3308,SICRO,5,FALSE),IF(D3308="COTACAO",VLOOKUP(F3308,COTACAO,6,FALSE),IF(D3308="PRÓPRIO",VLOOKUP(F3308,COMPOD,11,FALSE),IF(D3308="AGESUL",VLOOKUP(F3308,AGESULOD,6,FALSE),IF(D3308="INSAGESUL",VLOOKUP(F3308,INSAGESUL,7,FALSE),"SEM VALOR"))))))),"SEM VALOR")</f>
        <v xml:space="preserve">SEM VALOR</v>
      </c>
      <c r="P3308" s="435" t="str">
        <f t="shared" ref="P3308:P3371" si="1731">IFERROR(IF(D3308="SINAPI",VLOOKUP(F3308,SINCOMOD,6,FALSE),IF(D3308="INSINAPI",VLOOKUP(F3308,INSINOD,6,FALSE),IF(D3308="SICRO",VLOOKUP(F3308,SICRO,5,FALSE),IF(D3308="COTACAO",VLOOKUP(F3308,COTACAO,6,FALSE),IF(D3308="PRÓPRIO",VLOOKUP(F3308,COMPOD,13,FALSE),IF(D3308="AGESUL",VLOOKUP(F3308,AGESULOD,11,FALSE),IF(D3308="INSAGESUL",VLOOKUP(F3308,INSAGESUL,8,FALSE),"SEM VALOR"))))))),"SEM VALOR")</f>
        <v xml:space="preserve">SEM VALOR</v>
      </c>
      <c r="AE3308" s="217"/>
      <c r="AF3308" s="217">
        <v>1403</v>
      </c>
      <c r="AH3308">
        <f t="shared" si="1718"/>
        <v>1403</v>
      </c>
    </row>
    <row r="3309" ht="16.5">
      <c r="A3309" s="217"/>
      <c r="B3309" s="217">
        <v>1403</v>
      </c>
      <c r="C3309" s="217"/>
      <c r="D3309" s="217"/>
      <c r="E3309" s="471"/>
      <c r="F3309" s="482"/>
      <c r="G3309" s="470" t="s">
        <v>22267</v>
      </c>
      <c r="H3309" s="482"/>
      <c r="I3309" s="578"/>
      <c r="J3309" s="577"/>
      <c r="K3309" s="474"/>
      <c r="L3309" s="577"/>
      <c r="M3309" s="474"/>
      <c r="N3309" s="467"/>
      <c r="O3309" s="434" t="str">
        <f t="shared" si="1730"/>
        <v xml:space="preserve">SEM VALOR</v>
      </c>
      <c r="P3309" s="435" t="str">
        <f t="shared" si="1731"/>
        <v xml:space="preserve">SEM VALOR</v>
      </c>
      <c r="AE3309" s="217"/>
      <c r="AF3309" s="217">
        <v>1403</v>
      </c>
      <c r="AH3309">
        <f t="shared" si="1718"/>
        <v>1403</v>
      </c>
    </row>
    <row r="3310" ht="63" hidden="1">
      <c r="A3310" s="460">
        <v>1404</v>
      </c>
      <c r="B3310" s="460">
        <v>1404</v>
      </c>
      <c r="C3310" s="460"/>
      <c r="D3310" s="460"/>
      <c r="E3310" s="461">
        <v>1</v>
      </c>
      <c r="F3310" s="462" t="s">
        <v>22268</v>
      </c>
      <c r="G3310" s="477" t="s">
        <v>21546</v>
      </c>
      <c r="H3310" s="478" t="s">
        <v>31</v>
      </c>
      <c r="I3310" s="479"/>
      <c r="J3310" s="480"/>
      <c r="K3310" s="466">
        <f>SUM(K3311:K3312)</f>
        <v>1347.9968099999999</v>
      </c>
      <c r="L3310" s="480"/>
      <c r="M3310" s="466">
        <f>SUM(M3311:M3312)</f>
        <v>1304.2707720000001</v>
      </c>
      <c r="N3310" s="467" t="s">
        <v>21547</v>
      </c>
      <c r="O3310" s="434" t="str">
        <f t="shared" si="1730"/>
        <v xml:space="preserve">SEM VALOR</v>
      </c>
      <c r="P3310" s="435" t="str">
        <f t="shared" si="1731"/>
        <v xml:space="preserve">SEM VALOR</v>
      </c>
      <c r="AE3310" s="460">
        <v>1404</v>
      </c>
      <c r="AF3310" s="460"/>
      <c r="AH3310">
        <f t="shared" si="1718"/>
        <v>1404</v>
      </c>
    </row>
    <row r="3311" ht="45" hidden="1">
      <c r="A3311" s="217"/>
      <c r="B3311" s="217">
        <v>1404</v>
      </c>
      <c r="C3311" s="217"/>
      <c r="D3311" s="217" t="s">
        <v>17167</v>
      </c>
      <c r="E3311" s="471" t="s">
        <v>20399</v>
      </c>
      <c r="F3311" s="489">
        <v>102487</v>
      </c>
      <c r="G3311" s="470" t="s">
        <v>8702</v>
      </c>
      <c r="H3311" s="482" t="s">
        <v>15528</v>
      </c>
      <c r="I3311" s="483">
        <v>1.2385999999999999</v>
      </c>
      <c r="J3311" s="473">
        <f t="shared" si="1727"/>
        <v>593.75999999999999</v>
      </c>
      <c r="K3311" s="474">
        <f t="shared" ref="K3311:K3312" si="1732">I3311*J3311</f>
        <v>735.43113599999992</v>
      </c>
      <c r="L3311" s="475">
        <f t="shared" ref="L3309:L3372" si="1733">P3311*$L$3</f>
        <v>578.95000000000005</v>
      </c>
      <c r="M3311" s="474">
        <f t="shared" ref="M3311:M3312" si="1734">L3311*I3311</f>
        <v>717.08747000000005</v>
      </c>
      <c r="O3311" s="434">
        <f t="shared" si="1730"/>
        <v>593.75999999999999</v>
      </c>
      <c r="P3311" s="435">
        <f t="shared" si="1731"/>
        <v>578.95000000000005</v>
      </c>
      <c r="AE3311" s="217"/>
      <c r="AF3311" s="217">
        <v>1404</v>
      </c>
      <c r="AH3311">
        <f t="shared" si="1718"/>
        <v>1404</v>
      </c>
    </row>
    <row r="3312" ht="75" hidden="1">
      <c r="A3312" s="217"/>
      <c r="B3312" s="217">
        <v>1404</v>
      </c>
      <c r="C3312" s="217"/>
      <c r="D3312" s="217" t="s">
        <v>17167</v>
      </c>
      <c r="E3312" s="471" t="s">
        <v>20402</v>
      </c>
      <c r="F3312" s="489">
        <v>96542</v>
      </c>
      <c r="G3312" s="470" t="s">
        <v>20761</v>
      </c>
      <c r="H3312" s="482" t="s">
        <v>15515</v>
      </c>
      <c r="I3312" s="483">
        <v>6.6445999999999996</v>
      </c>
      <c r="J3312" s="473">
        <f t="shared" si="1727"/>
        <v>92.189999999999998</v>
      </c>
      <c r="K3312" s="474">
        <f t="shared" si="1732"/>
        <v>612.56567399999994</v>
      </c>
      <c r="L3312" s="475">
        <f t="shared" si="1733"/>
        <v>88.370000000000005</v>
      </c>
      <c r="M3312" s="474">
        <f t="shared" si="1734"/>
        <v>587.18330200000003</v>
      </c>
      <c r="O3312" s="434">
        <f t="shared" si="1730"/>
        <v>92.189999999999998</v>
      </c>
      <c r="P3312" s="435">
        <f t="shared" si="1731"/>
        <v>88.370000000000005</v>
      </c>
      <c r="AE3312" s="217"/>
      <c r="AF3312" s="217">
        <v>1404</v>
      </c>
      <c r="AH3312">
        <f t="shared" si="1718"/>
        <v>1404</v>
      </c>
    </row>
    <row r="3313" ht="65.25" hidden="1" customHeight="1">
      <c r="A3313" s="460">
        <v>1405</v>
      </c>
      <c r="B3313" s="460">
        <v>1405</v>
      </c>
      <c r="C3313" s="460"/>
      <c r="D3313" s="460"/>
      <c r="E3313" s="461">
        <v>1</v>
      </c>
      <c r="F3313" s="462" t="s">
        <v>22269</v>
      </c>
      <c r="G3313" s="477" t="s">
        <v>21549</v>
      </c>
      <c r="H3313" s="478" t="s">
        <v>31</v>
      </c>
      <c r="I3313" s="479"/>
      <c r="J3313" s="480"/>
      <c r="K3313" s="466">
        <f>SUM(K3314:K3315)</f>
        <v>2225.6828310000001</v>
      </c>
      <c r="L3313" s="480"/>
      <c r="M3313" s="466">
        <f>SUM(M3314:M3315)</f>
        <v>2155.3173530000004</v>
      </c>
      <c r="N3313" s="467" t="s">
        <v>21550</v>
      </c>
      <c r="O3313" s="434" t="str">
        <f t="shared" si="1730"/>
        <v xml:space="preserve">SEM VALOR</v>
      </c>
      <c r="P3313" s="435" t="str">
        <f t="shared" si="1731"/>
        <v xml:space="preserve">SEM VALOR</v>
      </c>
      <c r="AE3313" s="460">
        <v>1405</v>
      </c>
      <c r="AF3313" s="460"/>
      <c r="AH3313">
        <f t="shared" si="1718"/>
        <v>1405</v>
      </c>
    </row>
    <row r="3314" ht="47.25" hidden="1" customHeight="1">
      <c r="A3314" s="217"/>
      <c r="B3314" s="217">
        <v>1405</v>
      </c>
      <c r="C3314" s="217"/>
      <c r="D3314" s="217" t="s">
        <v>17167</v>
      </c>
      <c r="E3314" s="471" t="s">
        <v>20399</v>
      </c>
      <c r="F3314" s="489">
        <v>102487</v>
      </c>
      <c r="G3314" s="470" t="s">
        <v>8702</v>
      </c>
      <c r="H3314" s="482" t="s">
        <v>15528</v>
      </c>
      <c r="I3314" s="483">
        <v>2.2320000000000002</v>
      </c>
      <c r="J3314" s="473">
        <f t="shared" si="1727"/>
        <v>593.75999999999999</v>
      </c>
      <c r="K3314" s="474">
        <f t="shared" ref="K3314:K3315" si="1735">I3314*J3314</f>
        <v>1325.27232</v>
      </c>
      <c r="L3314" s="475">
        <f t="shared" si="1733"/>
        <v>578.95000000000005</v>
      </c>
      <c r="M3314" s="474">
        <f t="shared" ref="M3314:M3315" si="1736">L3314*I3314</f>
        <v>1292.2164000000002</v>
      </c>
      <c r="O3314" s="434">
        <f t="shared" si="1730"/>
        <v>593.75999999999999</v>
      </c>
      <c r="P3314" s="435">
        <f t="shared" si="1731"/>
        <v>578.95000000000005</v>
      </c>
      <c r="AE3314" s="217"/>
      <c r="AF3314" s="217">
        <v>1405</v>
      </c>
      <c r="AH3314">
        <f t="shared" si="1718"/>
        <v>1405</v>
      </c>
    </row>
    <row r="3315" ht="75" hidden="1">
      <c r="A3315" s="217"/>
      <c r="B3315" s="217">
        <v>1405</v>
      </c>
      <c r="C3315" s="217"/>
      <c r="D3315" s="217" t="s">
        <v>17167</v>
      </c>
      <c r="E3315" s="471" t="s">
        <v>20402</v>
      </c>
      <c r="F3315" s="489">
        <v>96542</v>
      </c>
      <c r="G3315" s="470" t="s">
        <v>20761</v>
      </c>
      <c r="H3315" s="482" t="s">
        <v>15515</v>
      </c>
      <c r="I3315" s="483">
        <v>9.7668999999999997</v>
      </c>
      <c r="J3315" s="473">
        <f t="shared" si="1727"/>
        <v>92.189999999999998</v>
      </c>
      <c r="K3315" s="474">
        <f t="shared" si="1735"/>
        <v>900.41051099999993</v>
      </c>
      <c r="L3315" s="475">
        <f t="shared" si="1733"/>
        <v>88.370000000000005</v>
      </c>
      <c r="M3315" s="474">
        <f t="shared" si="1736"/>
        <v>863.100953</v>
      </c>
      <c r="O3315" s="434">
        <f t="shared" si="1730"/>
        <v>92.189999999999998</v>
      </c>
      <c r="P3315" s="435">
        <f t="shared" si="1731"/>
        <v>88.370000000000005</v>
      </c>
      <c r="AE3315" s="217"/>
      <c r="AF3315" s="217">
        <v>1405</v>
      </c>
      <c r="AH3315">
        <f t="shared" si="1718"/>
        <v>1405</v>
      </c>
    </row>
    <row r="3316" ht="99" hidden="1" customHeight="1">
      <c r="A3316" s="460">
        <v>1406</v>
      </c>
      <c r="B3316" s="460">
        <v>1406</v>
      </c>
      <c r="C3316" s="460"/>
      <c r="D3316" s="460"/>
      <c r="E3316" s="461">
        <v>1</v>
      </c>
      <c r="F3316" s="462" t="s">
        <v>22270</v>
      </c>
      <c r="G3316" s="477" t="s">
        <v>22271</v>
      </c>
      <c r="H3316" s="478" t="s">
        <v>15528</v>
      </c>
      <c r="I3316" s="479"/>
      <c r="J3316" s="480"/>
      <c r="K3316" s="466">
        <f>SUM(K3317:K3318)</f>
        <v>52.635791107999999</v>
      </c>
      <c r="L3316" s="480"/>
      <c r="M3316" s="466">
        <f>SUM(M3317:M3318)</f>
        <v>52.635791107999999</v>
      </c>
      <c r="N3316" s="467" t="s">
        <v>22272</v>
      </c>
      <c r="O3316" s="434" t="str">
        <f t="shared" si="1730"/>
        <v xml:space="preserve">SEM VALOR</v>
      </c>
      <c r="P3316" s="435" t="str">
        <f t="shared" si="1731"/>
        <v xml:space="preserve">SEM VALOR</v>
      </c>
      <c r="AE3316" s="460">
        <v>1406</v>
      </c>
      <c r="AF3316" s="460"/>
      <c r="AH3316">
        <f t="shared" si="1718"/>
        <v>1406</v>
      </c>
    </row>
    <row r="3317" ht="45" hidden="1">
      <c r="A3317" s="217"/>
      <c r="B3317" s="217">
        <v>1406</v>
      </c>
      <c r="C3317" s="217"/>
      <c r="D3317" s="217" t="s">
        <v>20644</v>
      </c>
      <c r="E3317" s="471" t="s">
        <v>20399</v>
      </c>
      <c r="F3317" s="469" t="s">
        <v>15463</v>
      </c>
      <c r="G3317" s="470" t="s">
        <v>21576</v>
      </c>
      <c r="H3317" s="482" t="s">
        <v>1535</v>
      </c>
      <c r="I3317" s="483">
        <f>1/N3317</f>
        <v>7.5757599999999994e-002</v>
      </c>
      <c r="J3317" s="473">
        <f t="shared" si="1727"/>
        <v>646.33000000000004</v>
      </c>
      <c r="K3317" s="474">
        <f t="shared" ref="K3317:K3318" si="1737">I3317*J3317</f>
        <v>48.964409607999997</v>
      </c>
      <c r="L3317" s="473">
        <f t="shared" si="1733"/>
        <v>646.33000000000004</v>
      </c>
      <c r="M3317" s="474">
        <f t="shared" ref="M3317:M3318" si="1738">L3317*I3317</f>
        <v>48.964409607999997</v>
      </c>
      <c r="N3317" s="630">
        <v>13.199999999999999</v>
      </c>
      <c r="O3317" s="434">
        <f t="shared" si="1730"/>
        <v>646.33000000000004</v>
      </c>
      <c r="P3317" s="435">
        <f t="shared" si="1731"/>
        <v>646.33000000000004</v>
      </c>
      <c r="AE3317" s="217"/>
      <c r="AF3317" s="217">
        <v>1406</v>
      </c>
      <c r="AH3317">
        <f t="shared" si="1718"/>
        <v>1406</v>
      </c>
    </row>
    <row r="3318" ht="30" hidden="1">
      <c r="A3318" s="217"/>
      <c r="B3318" s="217">
        <v>1406</v>
      </c>
      <c r="C3318" s="217"/>
      <c r="D3318" s="217" t="s">
        <v>20644</v>
      </c>
      <c r="E3318" s="471" t="s">
        <v>20402</v>
      </c>
      <c r="F3318" s="469" t="s">
        <v>15509</v>
      </c>
      <c r="G3318" s="488" t="s">
        <v>22273</v>
      </c>
      <c r="H3318" s="482" t="s">
        <v>31</v>
      </c>
      <c r="I3318" s="483">
        <f>0.00047</f>
        <v>4.6999999999999999e-004</v>
      </c>
      <c r="J3318" s="473">
        <f t="shared" si="1727"/>
        <v>7811.4499999999998</v>
      </c>
      <c r="K3318" s="474">
        <f t="shared" si="1737"/>
        <v>3.6713814999999999</v>
      </c>
      <c r="L3318" s="473">
        <f t="shared" si="1733"/>
        <v>7811.4499999999998</v>
      </c>
      <c r="M3318" s="474">
        <f t="shared" si="1738"/>
        <v>3.6713814999999999</v>
      </c>
      <c r="N3318" s="467" t="s">
        <v>22274</v>
      </c>
      <c r="O3318" s="434">
        <f t="shared" si="1730"/>
        <v>7811.4499999999998</v>
      </c>
      <c r="P3318" s="435">
        <f t="shared" si="1731"/>
        <v>7811.4499999999998</v>
      </c>
      <c r="AE3318" s="217"/>
      <c r="AF3318" s="217">
        <v>1406</v>
      </c>
      <c r="AH3318">
        <f t="shared" si="1718"/>
        <v>1406</v>
      </c>
    </row>
    <row r="3319" ht="45.75" hidden="1">
      <c r="A3319" s="217"/>
      <c r="B3319" s="217">
        <v>1406</v>
      </c>
      <c r="C3319" s="217"/>
      <c r="D3319" s="217"/>
      <c r="E3319" s="471"/>
      <c r="F3319" s="469"/>
      <c r="G3319" s="470" t="s">
        <v>22275</v>
      </c>
      <c r="H3319" s="482"/>
      <c r="I3319" s="483"/>
      <c r="J3319" s="577"/>
      <c r="K3319" s="474"/>
      <c r="L3319" s="577"/>
      <c r="M3319" s="474"/>
      <c r="N3319" s="467"/>
      <c r="O3319" s="434" t="str">
        <f t="shared" si="1730"/>
        <v xml:space="preserve">SEM VALOR</v>
      </c>
      <c r="P3319" s="435" t="str">
        <f t="shared" si="1731"/>
        <v xml:space="preserve">SEM VALOR</v>
      </c>
      <c r="AE3319" s="217"/>
      <c r="AF3319" s="217">
        <v>1406</v>
      </c>
      <c r="AH3319">
        <f t="shared" si="1718"/>
        <v>1406</v>
      </c>
    </row>
    <row r="3320" hidden="1">
      <c r="A3320" s="217"/>
      <c r="B3320" s="217">
        <v>1406</v>
      </c>
      <c r="C3320" s="217"/>
      <c r="D3320" s="217"/>
      <c r="E3320" s="471"/>
      <c r="F3320" s="469"/>
      <c r="G3320" s="470" t="s">
        <v>21452</v>
      </c>
      <c r="H3320" s="482"/>
      <c r="I3320" s="483"/>
      <c r="J3320" s="577"/>
      <c r="K3320" s="474"/>
      <c r="L3320" s="577"/>
      <c r="M3320" s="474"/>
      <c r="N3320" s="467"/>
      <c r="O3320" s="434" t="str">
        <f t="shared" si="1730"/>
        <v xml:space="preserve">SEM VALOR</v>
      </c>
      <c r="P3320" s="435" t="str">
        <f t="shared" si="1731"/>
        <v xml:space="preserve">SEM VALOR</v>
      </c>
      <c r="AE3320" s="217"/>
      <c r="AF3320" s="217">
        <v>1406</v>
      </c>
      <c r="AH3320">
        <f t="shared" si="1718"/>
        <v>1406</v>
      </c>
    </row>
    <row r="3321" ht="63" hidden="1">
      <c r="A3321" s="460">
        <v>1407</v>
      </c>
      <c r="B3321" s="460">
        <v>1407</v>
      </c>
      <c r="C3321" s="460"/>
      <c r="D3321" s="460"/>
      <c r="E3321" s="461">
        <v>1</v>
      </c>
      <c r="F3321" s="462" t="s">
        <v>22276</v>
      </c>
      <c r="G3321" s="477" t="s">
        <v>22277</v>
      </c>
      <c r="H3321" s="478" t="s">
        <v>31</v>
      </c>
      <c r="I3321" s="479"/>
      <c r="J3321" s="480"/>
      <c r="K3321" s="466">
        <f>SUM(K3322:K3326)</f>
        <v>1544.23756</v>
      </c>
      <c r="L3321" s="480"/>
      <c r="M3321" s="466">
        <f>SUM(M3322:M3326)</f>
        <v>1497.5427500000001</v>
      </c>
      <c r="O3321" s="434" t="str">
        <f t="shared" si="1730"/>
        <v xml:space="preserve">SEM VALOR</v>
      </c>
      <c r="P3321" s="435" t="str">
        <f t="shared" si="1731"/>
        <v xml:space="preserve">SEM VALOR</v>
      </c>
      <c r="AE3321" s="460">
        <v>1407</v>
      </c>
      <c r="AF3321" s="460"/>
      <c r="AH3321">
        <f t="shared" si="1718"/>
        <v>1407</v>
      </c>
    </row>
    <row r="3322" ht="45" hidden="1">
      <c r="A3322" s="217"/>
      <c r="B3322" s="217">
        <v>1407</v>
      </c>
      <c r="C3322" s="217"/>
      <c r="D3322" s="217" t="s">
        <v>20408</v>
      </c>
      <c r="E3322" s="471" t="s">
        <v>20399</v>
      </c>
      <c r="F3322" s="482">
        <v>4730</v>
      </c>
      <c r="G3322" s="572" t="s">
        <v>21325</v>
      </c>
      <c r="H3322" s="499" t="s">
        <v>22034</v>
      </c>
      <c r="I3322" s="483">
        <v>0.87</v>
      </c>
      <c r="J3322" s="473">
        <f t="shared" si="1727"/>
        <v>94.450000000000003</v>
      </c>
      <c r="K3322" s="474">
        <f t="shared" ref="K3322:K3326" si="1739">I3322*J3322</f>
        <v>82.171500000000009</v>
      </c>
      <c r="L3322" s="475">
        <f t="shared" si="1733"/>
        <v>94.450000000000003</v>
      </c>
      <c r="M3322" s="474">
        <f t="shared" ref="M3322:M3326" si="1740">L3322*I3322</f>
        <v>82.171500000000009</v>
      </c>
      <c r="O3322" s="434">
        <f t="shared" si="1730"/>
        <v>94.450000000000003</v>
      </c>
      <c r="P3322" s="435">
        <f t="shared" si="1731"/>
        <v>94.450000000000003</v>
      </c>
      <c r="AE3322" s="217"/>
      <c r="AF3322" s="217">
        <v>1407</v>
      </c>
      <c r="AH3322">
        <f t="shared" si="1718"/>
        <v>1407</v>
      </c>
    </row>
    <row r="3323" ht="60" hidden="1">
      <c r="A3323" s="217"/>
      <c r="B3323" s="217">
        <v>1407</v>
      </c>
      <c r="C3323" s="217"/>
      <c r="D3323" s="217" t="s">
        <v>17167</v>
      </c>
      <c r="E3323" s="471" t="s">
        <v>20402</v>
      </c>
      <c r="F3323" s="482">
        <v>94964</v>
      </c>
      <c r="G3323" s="572" t="s">
        <v>8711</v>
      </c>
      <c r="H3323" s="499" t="s">
        <v>15528</v>
      </c>
      <c r="I3323" s="558">
        <v>1.2</v>
      </c>
      <c r="J3323" s="473">
        <f t="shared" si="1727"/>
        <v>488.52999999999997</v>
      </c>
      <c r="K3323" s="474">
        <f t="shared" si="1739"/>
        <v>586.23599999999999</v>
      </c>
      <c r="L3323" s="475">
        <f t="shared" si="1733"/>
        <v>482.79000000000002</v>
      </c>
      <c r="M3323" s="474">
        <f t="shared" si="1740"/>
        <v>579.34799999999996</v>
      </c>
      <c r="O3323" s="434">
        <f t="shared" si="1730"/>
        <v>488.52999999999997</v>
      </c>
      <c r="P3323" s="435">
        <f t="shared" si="1731"/>
        <v>482.79000000000002</v>
      </c>
      <c r="AE3323" s="217"/>
      <c r="AF3323" s="217">
        <v>1407</v>
      </c>
      <c r="AH3323">
        <f t="shared" si="1718"/>
        <v>1407</v>
      </c>
    </row>
    <row r="3324" ht="45" hidden="1">
      <c r="A3324" s="217"/>
      <c r="B3324" s="217">
        <v>1407</v>
      </c>
      <c r="C3324" s="217"/>
      <c r="D3324" s="217" t="s">
        <v>17167</v>
      </c>
      <c r="E3324" s="471" t="s">
        <v>20405</v>
      </c>
      <c r="F3324" s="482">
        <v>93358</v>
      </c>
      <c r="G3324" s="572" t="s">
        <v>20661</v>
      </c>
      <c r="H3324" s="499" t="s">
        <v>15528</v>
      </c>
      <c r="I3324" s="558">
        <v>4.0300000000000002</v>
      </c>
      <c r="J3324" s="473">
        <f t="shared" si="1727"/>
        <v>90.030000000000001</v>
      </c>
      <c r="K3324" s="474">
        <f t="shared" si="1739"/>
        <v>362.82090000000005</v>
      </c>
      <c r="L3324" s="475">
        <f t="shared" si="1733"/>
        <v>85.239999999999995</v>
      </c>
      <c r="M3324" s="474">
        <f t="shared" si="1740"/>
        <v>343.5172</v>
      </c>
      <c r="O3324" s="434">
        <f t="shared" si="1730"/>
        <v>90.030000000000001</v>
      </c>
      <c r="P3324" s="435">
        <f t="shared" si="1731"/>
        <v>85.239999999999995</v>
      </c>
      <c r="AE3324" s="217"/>
      <c r="AF3324" s="217">
        <v>1407</v>
      </c>
      <c r="AH3324">
        <f t="shared" si="1718"/>
        <v>1407</v>
      </c>
    </row>
    <row r="3325" ht="60" hidden="1">
      <c r="A3325" s="217"/>
      <c r="B3325" s="217">
        <v>1407</v>
      </c>
      <c r="C3325" s="217"/>
      <c r="D3325" s="217" t="s">
        <v>17167</v>
      </c>
      <c r="E3325" s="471" t="s">
        <v>20409</v>
      </c>
      <c r="F3325" s="482">
        <v>96536</v>
      </c>
      <c r="G3325" s="572" t="s">
        <v>21415</v>
      </c>
      <c r="H3325" s="482" t="s">
        <v>15515</v>
      </c>
      <c r="I3325" s="558">
        <v>7.6699999999999999</v>
      </c>
      <c r="J3325" s="473">
        <f t="shared" si="1727"/>
        <v>63.439999999999998</v>
      </c>
      <c r="K3325" s="474">
        <f t="shared" si="1739"/>
        <v>486.58479999999997</v>
      </c>
      <c r="L3325" s="475">
        <f t="shared" si="1733"/>
        <v>60.950000000000003</v>
      </c>
      <c r="M3325" s="474">
        <f t="shared" si="1740"/>
        <v>467.48650000000004</v>
      </c>
      <c r="O3325" s="434">
        <f t="shared" si="1730"/>
        <v>63.439999999999998</v>
      </c>
      <c r="P3325" s="435">
        <f t="shared" si="1731"/>
        <v>60.950000000000003</v>
      </c>
      <c r="AE3325" s="217"/>
      <c r="AF3325" s="217">
        <v>1407</v>
      </c>
      <c r="AH3325">
        <f t="shared" si="1718"/>
        <v>1407</v>
      </c>
    </row>
    <row r="3326" ht="30" hidden="1">
      <c r="A3326" s="217"/>
      <c r="B3326" s="217">
        <v>1407</v>
      </c>
      <c r="C3326" s="217"/>
      <c r="D3326" s="217" t="s">
        <v>17167</v>
      </c>
      <c r="E3326" s="471" t="s">
        <v>20663</v>
      </c>
      <c r="F3326" s="482">
        <v>88316</v>
      </c>
      <c r="G3326" s="572" t="s">
        <v>7393</v>
      </c>
      <c r="H3326" s="482" t="s">
        <v>2032</v>
      </c>
      <c r="I3326" s="558">
        <v>1.161</v>
      </c>
      <c r="J3326" s="473">
        <f t="shared" si="1727"/>
        <v>22.760000000000002</v>
      </c>
      <c r="K3326" s="474">
        <f t="shared" si="1739"/>
        <v>26.424360000000004</v>
      </c>
      <c r="L3326" s="475">
        <f t="shared" si="1733"/>
        <v>21.550000000000001</v>
      </c>
      <c r="M3326" s="474">
        <f t="shared" si="1740"/>
        <v>25.019550000000002</v>
      </c>
      <c r="O3326" s="434">
        <f t="shared" si="1730"/>
        <v>22.760000000000002</v>
      </c>
      <c r="P3326" s="435">
        <f t="shared" si="1731"/>
        <v>21.550000000000001</v>
      </c>
      <c r="AE3326" s="217"/>
      <c r="AF3326" s="217">
        <v>1407</v>
      </c>
      <c r="AH3326">
        <f t="shared" si="1718"/>
        <v>1407</v>
      </c>
    </row>
    <row r="3327" ht="47.25" hidden="1">
      <c r="A3327" s="460">
        <v>1408</v>
      </c>
      <c r="B3327" s="460">
        <v>1408</v>
      </c>
      <c r="C3327" s="460"/>
      <c r="D3327" s="460"/>
      <c r="E3327" s="461">
        <v>1</v>
      </c>
      <c r="F3327" s="462" t="s">
        <v>22278</v>
      </c>
      <c r="G3327" s="477" t="s">
        <v>22279</v>
      </c>
      <c r="H3327" s="478" t="s">
        <v>31</v>
      </c>
      <c r="I3327" s="479"/>
      <c r="J3327" s="480"/>
      <c r="K3327" s="466">
        <f>SUM(K3328:K3329)</f>
        <v>96.297570488999995</v>
      </c>
      <c r="L3327" s="480"/>
      <c r="M3327" s="466">
        <f>SUM(M3328:M3329)</f>
        <v>95.77708856000001</v>
      </c>
      <c r="N3327" s="467" t="s">
        <v>22280</v>
      </c>
      <c r="O3327" s="434" t="str">
        <f t="shared" si="1730"/>
        <v xml:space="preserve">SEM VALOR</v>
      </c>
      <c r="P3327" s="435" t="str">
        <f t="shared" si="1731"/>
        <v xml:space="preserve">SEM VALOR</v>
      </c>
      <c r="AE3327" s="460">
        <v>1408</v>
      </c>
      <c r="AF3327" s="460"/>
      <c r="AH3327">
        <f t="shared" si="1718"/>
        <v>1408</v>
      </c>
    </row>
    <row r="3328" ht="60" hidden="1">
      <c r="A3328" s="217"/>
      <c r="B3328" s="217">
        <v>1408</v>
      </c>
      <c r="C3328" s="217"/>
      <c r="D3328" s="217" t="s">
        <v>17167</v>
      </c>
      <c r="E3328" s="471" t="s">
        <v>20399</v>
      </c>
      <c r="F3328" s="482">
        <v>5855</v>
      </c>
      <c r="G3328" s="470" t="s">
        <v>1923</v>
      </c>
      <c r="H3328" s="482" t="s">
        <v>1535</v>
      </c>
      <c r="I3328" s="483">
        <f>1/8.3</f>
        <v>0.1204819</v>
      </c>
      <c r="J3328" s="473">
        <f t="shared" si="1727"/>
        <v>753.75</v>
      </c>
      <c r="K3328" s="474">
        <f t="shared" ref="K3328:K3329" si="1741">I3328*J3328</f>
        <v>90.813232124999999</v>
      </c>
      <c r="L3328" s="475">
        <f t="shared" si="1733"/>
        <v>751.85000000000002</v>
      </c>
      <c r="M3328" s="474">
        <f t="shared" ref="M3328:M3329" si="1742">L3328*I3328</f>
        <v>90.584316515000012</v>
      </c>
      <c r="N3328" s="467" t="s">
        <v>22281</v>
      </c>
      <c r="O3328" s="434">
        <f t="shared" si="1730"/>
        <v>753.75</v>
      </c>
      <c r="P3328" s="435">
        <f t="shared" si="1731"/>
        <v>751.85000000000002</v>
      </c>
      <c r="AE3328" s="217"/>
      <c r="AF3328" s="217">
        <v>1408</v>
      </c>
      <c r="AH3328">
        <f t="shared" si="1718"/>
        <v>1408</v>
      </c>
    </row>
    <row r="3329" ht="30" hidden="1">
      <c r="A3329" s="217"/>
      <c r="B3329" s="217">
        <v>1408</v>
      </c>
      <c r="C3329" s="217"/>
      <c r="D3329" s="217" t="s">
        <v>17167</v>
      </c>
      <c r="E3329" s="471" t="s">
        <v>20402</v>
      </c>
      <c r="F3329" s="482">
        <v>88316</v>
      </c>
      <c r="G3329" s="470" t="s">
        <v>7393</v>
      </c>
      <c r="H3329" s="482" t="s">
        <v>2032</v>
      </c>
      <c r="I3329" s="483">
        <f>2/8.3</f>
        <v>0.24096390000000001</v>
      </c>
      <c r="J3329" s="473">
        <f t="shared" si="1727"/>
        <v>22.760000000000002</v>
      </c>
      <c r="K3329" s="474">
        <f t="shared" si="1741"/>
        <v>5.484338364000001</v>
      </c>
      <c r="L3329" s="475">
        <f t="shared" si="1733"/>
        <v>21.550000000000001</v>
      </c>
      <c r="M3329" s="474">
        <f t="shared" si="1742"/>
        <v>5.1927720450000008</v>
      </c>
      <c r="O3329" s="434">
        <f t="shared" si="1730"/>
        <v>22.760000000000002</v>
      </c>
      <c r="P3329" s="435">
        <f t="shared" si="1731"/>
        <v>21.550000000000001</v>
      </c>
      <c r="AE3329" s="217"/>
      <c r="AF3329" s="217">
        <v>1408</v>
      </c>
      <c r="AH3329">
        <f t="shared" si="1718"/>
        <v>1408</v>
      </c>
    </row>
    <row r="3330" ht="63" hidden="1">
      <c r="A3330" s="460">
        <v>1409</v>
      </c>
      <c r="B3330" s="460">
        <v>1409</v>
      </c>
      <c r="C3330" s="460"/>
      <c r="D3330" s="460"/>
      <c r="E3330" s="461">
        <v>1</v>
      </c>
      <c r="F3330" s="462" t="s">
        <v>22282</v>
      </c>
      <c r="G3330" s="463" t="s">
        <v>22283</v>
      </c>
      <c r="H3330" s="478" t="s">
        <v>38</v>
      </c>
      <c r="I3330" s="479"/>
      <c r="J3330" s="480"/>
      <c r="K3330" s="466">
        <f>SUM(K3331:K3333)</f>
        <v>46.102968000000004</v>
      </c>
      <c r="L3330" s="480"/>
      <c r="M3330" s="466">
        <f>SUM(M3331:M3333)</f>
        <v>46.077072999999999</v>
      </c>
      <c r="N3330" s="442"/>
      <c r="O3330" s="434" t="str">
        <f t="shared" si="1730"/>
        <v xml:space="preserve">SEM VALOR</v>
      </c>
      <c r="P3330" s="435" t="str">
        <f t="shared" si="1731"/>
        <v xml:space="preserve">SEM VALOR</v>
      </c>
      <c r="AE3330" s="460">
        <v>1409</v>
      </c>
      <c r="AF3330" s="460"/>
      <c r="AH3330">
        <f t="shared" si="1718"/>
        <v>1409</v>
      </c>
    </row>
    <row r="3331" ht="30" hidden="1">
      <c r="A3331" s="217"/>
      <c r="B3331" s="217">
        <v>1409</v>
      </c>
      <c r="C3331" s="217"/>
      <c r="D3331" s="217" t="s">
        <v>20644</v>
      </c>
      <c r="E3331" s="471" t="s">
        <v>20399</v>
      </c>
      <c r="F3331" s="482" t="s">
        <v>15511</v>
      </c>
      <c r="G3331" s="572" t="s">
        <v>22284</v>
      </c>
      <c r="H3331" s="499" t="s">
        <v>22034</v>
      </c>
      <c r="I3331" s="483">
        <v>1.0029999999999999</v>
      </c>
      <c r="J3331" s="473">
        <f t="shared" si="1727"/>
        <v>45.490000000000002</v>
      </c>
      <c r="K3331" s="474">
        <f t="shared" ref="K3331:K3333" si="1743">I3331*J3331</f>
        <v>45.626469999999998</v>
      </c>
      <c r="L3331" s="473">
        <f t="shared" si="1733"/>
        <v>45.490000000000002</v>
      </c>
      <c r="M3331" s="474">
        <f t="shared" ref="M3331:M3333" si="1744">L3331*I3331</f>
        <v>45.626469999999998</v>
      </c>
      <c r="O3331" s="434">
        <f t="shared" si="1730"/>
        <v>45.490000000000002</v>
      </c>
      <c r="P3331" s="435">
        <f t="shared" si="1731"/>
        <v>45.490000000000002</v>
      </c>
      <c r="AE3331" s="217"/>
      <c r="AF3331" s="217">
        <v>1409</v>
      </c>
      <c r="AH3331">
        <f t="shared" si="1718"/>
        <v>1409</v>
      </c>
    </row>
    <row r="3332" ht="30" hidden="1">
      <c r="A3332" s="217"/>
      <c r="B3332" s="217">
        <v>1409</v>
      </c>
      <c r="C3332" s="217"/>
      <c r="D3332" s="217" t="s">
        <v>17167</v>
      </c>
      <c r="E3332" s="471" t="s">
        <v>20402</v>
      </c>
      <c r="F3332" s="482">
        <v>88309</v>
      </c>
      <c r="G3332" s="572" t="s">
        <v>7385</v>
      </c>
      <c r="H3332" s="499" t="s">
        <v>2032</v>
      </c>
      <c r="I3332" s="558">
        <v>4.8999999999999998e-003</v>
      </c>
      <c r="J3332" s="473">
        <f t="shared" si="1727"/>
        <v>28.5</v>
      </c>
      <c r="K3332" s="474">
        <f t="shared" si="1743"/>
        <v>0.13965</v>
      </c>
      <c r="L3332" s="473">
        <f t="shared" si="1733"/>
        <v>26.870000000000001</v>
      </c>
      <c r="M3332" s="474">
        <f t="shared" si="1744"/>
        <v>0.131663</v>
      </c>
      <c r="O3332" s="434">
        <f t="shared" si="1730"/>
        <v>28.5</v>
      </c>
      <c r="P3332" s="435">
        <f t="shared" si="1731"/>
        <v>26.870000000000001</v>
      </c>
      <c r="AE3332" s="217"/>
      <c r="AF3332" s="217">
        <v>1409</v>
      </c>
      <c r="AH3332">
        <f t="shared" si="1718"/>
        <v>1409</v>
      </c>
    </row>
    <row r="3333" ht="30" hidden="1">
      <c r="A3333" s="217"/>
      <c r="B3333" s="217">
        <v>1409</v>
      </c>
      <c r="C3333" s="217"/>
      <c r="D3333" s="217" t="s">
        <v>17167</v>
      </c>
      <c r="E3333" s="471" t="s">
        <v>20405</v>
      </c>
      <c r="F3333" s="482">
        <v>88316</v>
      </c>
      <c r="G3333" s="572" t="s">
        <v>7393</v>
      </c>
      <c r="H3333" s="482" t="s">
        <v>2032</v>
      </c>
      <c r="I3333" s="558">
        <v>1.4800000000000001e-002</v>
      </c>
      <c r="J3333" s="473">
        <f t="shared" si="1727"/>
        <v>22.760000000000002</v>
      </c>
      <c r="K3333" s="474">
        <f t="shared" si="1743"/>
        <v>0.33684800000000004</v>
      </c>
      <c r="L3333" s="473">
        <f t="shared" si="1733"/>
        <v>21.550000000000001</v>
      </c>
      <c r="M3333" s="474">
        <f t="shared" si="1744"/>
        <v>0.31894</v>
      </c>
      <c r="O3333" s="434">
        <f t="shared" si="1730"/>
        <v>22.760000000000002</v>
      </c>
      <c r="P3333" s="435">
        <f t="shared" si="1731"/>
        <v>21.550000000000001</v>
      </c>
      <c r="AE3333" s="217"/>
      <c r="AF3333" s="217">
        <v>1409</v>
      </c>
      <c r="AH3333">
        <f t="shared" si="1718"/>
        <v>1409</v>
      </c>
    </row>
    <row r="3334" ht="45.75" hidden="1">
      <c r="A3334" s="217"/>
      <c r="B3334" s="217">
        <v>1409</v>
      </c>
      <c r="C3334" s="217"/>
      <c r="D3334" s="217"/>
      <c r="E3334" s="471"/>
      <c r="F3334" s="631"/>
      <c r="G3334" s="470" t="s">
        <v>22275</v>
      </c>
      <c r="H3334" s="521"/>
      <c r="I3334" s="521"/>
      <c r="J3334" s="521"/>
      <c r="K3334" s="471"/>
      <c r="L3334" s="521"/>
      <c r="M3334" s="471"/>
      <c r="O3334" s="434" t="str">
        <f t="shared" si="1730"/>
        <v xml:space="preserve">SEM VALOR</v>
      </c>
      <c r="P3334" s="435" t="str">
        <f t="shared" si="1731"/>
        <v xml:space="preserve">SEM VALOR</v>
      </c>
      <c r="AE3334" s="217"/>
      <c r="AF3334" s="217">
        <v>1409</v>
      </c>
      <c r="AH3334">
        <f t="shared" si="1718"/>
        <v>1409</v>
      </c>
    </row>
    <row r="3335" hidden="1">
      <c r="A3335" s="217"/>
      <c r="B3335" s="217">
        <v>1409</v>
      </c>
      <c r="C3335" s="217"/>
      <c r="D3335" s="217"/>
      <c r="E3335" s="471"/>
      <c r="F3335" s="631"/>
      <c r="G3335" s="470" t="s">
        <v>21452</v>
      </c>
      <c r="H3335" s="521"/>
      <c r="I3335" s="521"/>
      <c r="J3335" s="521"/>
      <c r="K3335" s="471"/>
      <c r="L3335" s="521"/>
      <c r="M3335" s="471"/>
      <c r="O3335" s="434" t="str">
        <f t="shared" si="1730"/>
        <v xml:space="preserve">SEM VALOR</v>
      </c>
      <c r="P3335" s="435" t="str">
        <f t="shared" si="1731"/>
        <v xml:space="preserve">SEM VALOR</v>
      </c>
      <c r="AE3335" s="217"/>
      <c r="AF3335" s="217">
        <v>1409</v>
      </c>
      <c r="AH3335">
        <f t="shared" ref="AH3335:AH3398" si="1745">IF(AF3335:AF3336=FALSE,AE3335,AF3335)</f>
        <v>1409</v>
      </c>
    </row>
    <row r="3336" ht="112.5" hidden="1" customHeight="1">
      <c r="A3336" s="460">
        <v>1410</v>
      </c>
      <c r="B3336" s="460">
        <v>1410</v>
      </c>
      <c r="C3336" s="460"/>
      <c r="D3336" s="460"/>
      <c r="E3336" s="461">
        <v>1</v>
      </c>
      <c r="F3336" s="462" t="s">
        <v>22285</v>
      </c>
      <c r="G3336" s="477" t="s">
        <v>22286</v>
      </c>
      <c r="H3336" s="478" t="s">
        <v>38</v>
      </c>
      <c r="I3336" s="479"/>
      <c r="J3336" s="480"/>
      <c r="K3336" s="466">
        <f>SUM(K3337:K3341)</f>
        <v>281.6602608</v>
      </c>
      <c r="L3336" s="480"/>
      <c r="M3336" s="466">
        <f>SUM(M3337:M3341)</f>
        <v>273.2565204</v>
      </c>
      <c r="O3336" s="434" t="str">
        <f t="shared" si="1730"/>
        <v xml:space="preserve">SEM VALOR</v>
      </c>
      <c r="P3336" s="435" t="str">
        <f t="shared" si="1731"/>
        <v xml:space="preserve">SEM VALOR</v>
      </c>
      <c r="AE3336" s="460">
        <v>1410</v>
      </c>
      <c r="AF3336" s="460"/>
      <c r="AH3336">
        <f t="shared" si="1745"/>
        <v>1410</v>
      </c>
    </row>
    <row r="3337" ht="60" hidden="1">
      <c r="A3337" s="217"/>
      <c r="B3337" s="217">
        <v>1410</v>
      </c>
      <c r="C3337" s="217"/>
      <c r="D3337" s="217" t="s">
        <v>17167</v>
      </c>
      <c r="E3337" s="471" t="s">
        <v>20399</v>
      </c>
      <c r="F3337" s="482">
        <v>5631</v>
      </c>
      <c r="G3337" s="572" t="s">
        <v>1679</v>
      </c>
      <c r="H3337" s="499" t="s">
        <v>1535</v>
      </c>
      <c r="I3337" s="483">
        <v>0.33744000000000002</v>
      </c>
      <c r="J3337" s="473">
        <f t="shared" si="1727"/>
        <v>220.5</v>
      </c>
      <c r="K3337" s="474">
        <f t="shared" ref="K3337:K3341" si="1746">I3337*J3337</f>
        <v>74.40552000000001</v>
      </c>
      <c r="L3337" s="475">
        <f t="shared" si="1733"/>
        <v>218.37</v>
      </c>
      <c r="M3337" s="474">
        <f t="shared" ref="M3337:M3341" si="1747">L3337*I3337</f>
        <v>73.6867728</v>
      </c>
      <c r="O3337" s="434">
        <f t="shared" si="1730"/>
        <v>220.5</v>
      </c>
      <c r="P3337" s="435">
        <f t="shared" si="1731"/>
        <v>218.37</v>
      </c>
      <c r="AE3337" s="217"/>
      <c r="AF3337" s="217">
        <v>1410</v>
      </c>
      <c r="AH3337">
        <f t="shared" si="1745"/>
        <v>1410</v>
      </c>
    </row>
    <row r="3338" ht="60" hidden="1">
      <c r="A3338" s="217"/>
      <c r="B3338" s="217">
        <v>1410</v>
      </c>
      <c r="C3338" s="217"/>
      <c r="D3338" s="217" t="s">
        <v>17167</v>
      </c>
      <c r="E3338" s="471" t="s">
        <v>20402</v>
      </c>
      <c r="F3338" s="482">
        <v>5632</v>
      </c>
      <c r="G3338" s="572" t="s">
        <v>1678</v>
      </c>
      <c r="H3338" s="499" t="s">
        <v>1533</v>
      </c>
      <c r="I3338" s="558">
        <v>0.71135999999999999</v>
      </c>
      <c r="J3338" s="473">
        <f t="shared" si="1727"/>
        <v>91.030000000000001</v>
      </c>
      <c r="K3338" s="474">
        <f t="shared" si="1746"/>
        <v>64.755100799999994</v>
      </c>
      <c r="L3338" s="475">
        <f t="shared" si="1733"/>
        <v>88.900000000000006</v>
      </c>
      <c r="M3338" s="474">
        <f t="shared" si="1747"/>
        <v>63.239904000000003</v>
      </c>
      <c r="O3338" s="434">
        <f t="shared" si="1730"/>
        <v>91.030000000000001</v>
      </c>
      <c r="P3338" s="435">
        <f t="shared" si="1731"/>
        <v>88.900000000000006</v>
      </c>
      <c r="AE3338" s="217"/>
      <c r="AF3338" s="217">
        <v>1410</v>
      </c>
      <c r="AH3338">
        <f t="shared" si="1745"/>
        <v>1410</v>
      </c>
    </row>
    <row r="3339" ht="30" hidden="1">
      <c r="A3339" s="217"/>
      <c r="B3339" s="217">
        <v>1410</v>
      </c>
      <c r="C3339" s="217"/>
      <c r="D3339" s="217" t="s">
        <v>17167</v>
      </c>
      <c r="E3339" s="471" t="s">
        <v>20405</v>
      </c>
      <c r="F3339" s="482">
        <v>88246</v>
      </c>
      <c r="G3339" s="572" t="s">
        <v>7107</v>
      </c>
      <c r="H3339" s="499" t="s">
        <v>2032</v>
      </c>
      <c r="I3339" s="558">
        <v>1.5904799999999999</v>
      </c>
      <c r="J3339" s="473">
        <f t="shared" si="1727"/>
        <v>19.960000000000001</v>
      </c>
      <c r="K3339" s="474">
        <f t="shared" si="1746"/>
        <v>31.745980799999998</v>
      </c>
      <c r="L3339" s="475">
        <f t="shared" si="1733"/>
        <v>18.870000000000001</v>
      </c>
      <c r="M3339" s="474">
        <f t="shared" si="1747"/>
        <v>30.012357599999998</v>
      </c>
      <c r="O3339" s="434">
        <f t="shared" si="1730"/>
        <v>19.960000000000001</v>
      </c>
      <c r="P3339" s="435">
        <f t="shared" si="1731"/>
        <v>18.870000000000001</v>
      </c>
      <c r="AE3339" s="217"/>
      <c r="AF3339" s="217">
        <v>1410</v>
      </c>
      <c r="AH3339">
        <f t="shared" si="1745"/>
        <v>1410</v>
      </c>
    </row>
    <row r="3340" ht="30" hidden="1">
      <c r="A3340" s="217"/>
      <c r="B3340" s="217">
        <v>1410</v>
      </c>
      <c r="C3340" s="217"/>
      <c r="D3340" s="217" t="s">
        <v>17167</v>
      </c>
      <c r="E3340" s="471" t="s">
        <v>20409</v>
      </c>
      <c r="F3340" s="482">
        <v>88316</v>
      </c>
      <c r="G3340" s="572" t="s">
        <v>7393</v>
      </c>
      <c r="H3340" s="482" t="s">
        <v>2032</v>
      </c>
      <c r="I3340" s="558">
        <v>3.1808399999999999</v>
      </c>
      <c r="J3340" s="473">
        <f t="shared" si="1727"/>
        <v>22.760000000000002</v>
      </c>
      <c r="K3340" s="474">
        <f t="shared" si="1746"/>
        <v>72.395918399999999</v>
      </c>
      <c r="L3340" s="475">
        <f t="shared" si="1733"/>
        <v>21.550000000000001</v>
      </c>
      <c r="M3340" s="474">
        <f t="shared" si="1747"/>
        <v>68.547101999999995</v>
      </c>
      <c r="O3340" s="434">
        <f t="shared" si="1730"/>
        <v>22.760000000000002</v>
      </c>
      <c r="P3340" s="435">
        <f t="shared" si="1731"/>
        <v>21.550000000000001</v>
      </c>
      <c r="AE3340" s="217"/>
      <c r="AF3340" s="217">
        <v>1410</v>
      </c>
      <c r="AH3340">
        <f t="shared" si="1745"/>
        <v>1410</v>
      </c>
    </row>
    <row r="3341" ht="45" hidden="1">
      <c r="A3341" s="217"/>
      <c r="B3341" s="217">
        <v>1410</v>
      </c>
      <c r="C3341" s="217"/>
      <c r="D3341" s="217" t="s">
        <v>17167</v>
      </c>
      <c r="E3341" s="471" t="s">
        <v>20663</v>
      </c>
      <c r="F3341" s="482">
        <v>88629</v>
      </c>
      <c r="G3341" s="572" t="s">
        <v>217</v>
      </c>
      <c r="H3341" s="482" t="s">
        <v>15528</v>
      </c>
      <c r="I3341" s="558">
        <v>5.6640000000000003e-002</v>
      </c>
      <c r="J3341" s="473">
        <f t="shared" si="1727"/>
        <v>677.22000000000003</v>
      </c>
      <c r="K3341" s="474">
        <f t="shared" si="1746"/>
        <v>38.357740800000002</v>
      </c>
      <c r="L3341" s="475">
        <f t="shared" si="1733"/>
        <v>666.85000000000002</v>
      </c>
      <c r="M3341" s="474">
        <f t="shared" si="1747"/>
        <v>37.770384</v>
      </c>
      <c r="O3341" s="434">
        <f t="shared" si="1730"/>
        <v>677.22000000000003</v>
      </c>
      <c r="P3341" s="435">
        <f t="shared" si="1731"/>
        <v>666.85000000000002</v>
      </c>
      <c r="AE3341" s="217"/>
      <c r="AF3341" s="217">
        <v>1410</v>
      </c>
      <c r="AH3341">
        <f t="shared" si="1745"/>
        <v>1410</v>
      </c>
    </row>
    <row r="3342" ht="112.5" hidden="1" customHeight="1">
      <c r="A3342" s="460">
        <v>1411</v>
      </c>
      <c r="B3342" s="460">
        <v>1411</v>
      </c>
      <c r="C3342" s="460"/>
      <c r="D3342" s="460"/>
      <c r="E3342" s="461">
        <v>1</v>
      </c>
      <c r="F3342" s="462" t="s">
        <v>22287</v>
      </c>
      <c r="G3342" s="477" t="s">
        <v>22288</v>
      </c>
      <c r="H3342" s="478" t="s">
        <v>38</v>
      </c>
      <c r="I3342" s="479"/>
      <c r="J3342" s="480"/>
      <c r="K3342" s="466">
        <f>SUM(K3343:K3348)</f>
        <v>77.483980623999997</v>
      </c>
      <c r="L3342" s="480"/>
      <c r="M3342" s="466">
        <f>SUM(M3343:M3348)</f>
        <v>74.127929160000008</v>
      </c>
      <c r="N3342" s="467" t="s">
        <v>22289</v>
      </c>
      <c r="O3342" s="434" t="str">
        <f t="shared" si="1730"/>
        <v xml:space="preserve">SEM VALOR</v>
      </c>
      <c r="P3342" s="435" t="str">
        <f t="shared" si="1731"/>
        <v xml:space="preserve">SEM VALOR</v>
      </c>
      <c r="AE3342" s="460">
        <v>1411</v>
      </c>
      <c r="AF3342" s="460"/>
      <c r="AH3342">
        <f t="shared" si="1745"/>
        <v>1411</v>
      </c>
    </row>
    <row r="3343" ht="45" hidden="1">
      <c r="A3343" s="217"/>
      <c r="B3343" s="217">
        <v>1411</v>
      </c>
      <c r="C3343" s="217"/>
      <c r="D3343" s="217" t="s">
        <v>17167</v>
      </c>
      <c r="E3343" s="471" t="s">
        <v>20399</v>
      </c>
      <c r="F3343" s="482">
        <v>93358</v>
      </c>
      <c r="G3343" s="470" t="s">
        <v>20927</v>
      </c>
      <c r="H3343" s="471" t="s">
        <v>15528</v>
      </c>
      <c r="I3343" s="472">
        <f>((0.125+0.2)*0.195*0.9/(0.9*0.195))</f>
        <v>0.32500000000000001</v>
      </c>
      <c r="J3343" s="473">
        <f t="shared" si="1727"/>
        <v>90.030000000000001</v>
      </c>
      <c r="K3343" s="474">
        <f t="shared" ref="K3343:K3348" si="1748">I3343*J3343</f>
        <v>29.25975</v>
      </c>
      <c r="L3343" s="475">
        <f t="shared" si="1733"/>
        <v>85.239999999999995</v>
      </c>
      <c r="M3343" s="474">
        <f t="shared" ref="M3343:M3348" si="1749">L3343*I3343</f>
        <v>27.702999999999999</v>
      </c>
      <c r="O3343" s="434">
        <f t="shared" si="1730"/>
        <v>90.030000000000001</v>
      </c>
      <c r="P3343" s="435">
        <f t="shared" si="1731"/>
        <v>85.239999999999995</v>
      </c>
      <c r="AE3343" s="217"/>
      <c r="AF3343" s="217">
        <v>1411</v>
      </c>
      <c r="AH3343">
        <f t="shared" si="1745"/>
        <v>1411</v>
      </c>
    </row>
    <row r="3344" ht="30" hidden="1">
      <c r="A3344" s="217"/>
      <c r="B3344" s="217">
        <v>1411</v>
      </c>
      <c r="C3344" s="217"/>
      <c r="D3344" s="217" t="s">
        <v>20398</v>
      </c>
      <c r="E3344" s="471" t="s">
        <v>20402</v>
      </c>
      <c r="F3344" s="482">
        <v>1376</v>
      </c>
      <c r="G3344" s="470" t="s">
        <v>20928</v>
      </c>
      <c r="H3344" s="471" t="s">
        <v>15528</v>
      </c>
      <c r="I3344" s="472">
        <f>(((0.125+0.2)*0.195*0.9-0.125*0.195*0.9)/(0.9*0.195))</f>
        <v>0.20000000000000001</v>
      </c>
      <c r="J3344" s="473">
        <f t="shared" si="1727"/>
        <v>54.592136000000004</v>
      </c>
      <c r="K3344" s="474">
        <f t="shared" si="1748"/>
        <v>10.918427200000002</v>
      </c>
      <c r="L3344" s="475">
        <f t="shared" si="1733"/>
        <v>51.689830000000001</v>
      </c>
      <c r="M3344" s="474">
        <f t="shared" si="1749"/>
        <v>10.337966000000002</v>
      </c>
      <c r="O3344" s="434">
        <f t="shared" si="1730"/>
        <v>54.592136000000004</v>
      </c>
      <c r="P3344" s="435">
        <f t="shared" si="1731"/>
        <v>51.689830000000001</v>
      </c>
      <c r="AE3344" s="217"/>
      <c r="AF3344" s="217">
        <v>1411</v>
      </c>
      <c r="AH3344">
        <f t="shared" si="1745"/>
        <v>1411</v>
      </c>
    </row>
    <row r="3345" ht="45" hidden="1">
      <c r="A3345" s="217"/>
      <c r="B3345" s="217">
        <v>1411</v>
      </c>
      <c r="C3345" s="217"/>
      <c r="D3345" s="217" t="s">
        <v>17167</v>
      </c>
      <c r="E3345" s="471" t="s">
        <v>20405</v>
      </c>
      <c r="F3345" s="489">
        <v>101616</v>
      </c>
      <c r="G3345" s="470" t="s">
        <v>20929</v>
      </c>
      <c r="H3345" s="472" t="s">
        <v>15515</v>
      </c>
      <c r="I3345" s="472">
        <f>(0.125*0.9/(0.195*0.9))</f>
        <v>0.64102559999999997</v>
      </c>
      <c r="J3345" s="473">
        <f t="shared" si="1727"/>
        <v>7.7800000000000002</v>
      </c>
      <c r="K3345" s="474">
        <f t="shared" si="1748"/>
        <v>4.9871791679999999</v>
      </c>
      <c r="L3345" s="475">
        <f t="shared" si="1733"/>
        <v>7.3499999999999996</v>
      </c>
      <c r="M3345" s="474">
        <f t="shared" si="1749"/>
        <v>4.7115381599999999</v>
      </c>
      <c r="O3345" s="434">
        <f t="shared" si="1730"/>
        <v>7.7800000000000002</v>
      </c>
      <c r="P3345" s="435">
        <f t="shared" si="1731"/>
        <v>7.3499999999999996</v>
      </c>
      <c r="AE3345" s="217"/>
      <c r="AF3345" s="217">
        <v>1411</v>
      </c>
      <c r="AH3345">
        <f t="shared" si="1745"/>
        <v>1411</v>
      </c>
    </row>
    <row r="3346" ht="75" hidden="1">
      <c r="A3346" s="217"/>
      <c r="B3346" s="217">
        <v>1411</v>
      </c>
      <c r="C3346" s="217"/>
      <c r="D3346" s="217" t="s">
        <v>20398</v>
      </c>
      <c r="E3346" s="471" t="s">
        <v>20409</v>
      </c>
      <c r="F3346" s="489">
        <v>1065</v>
      </c>
      <c r="G3346" s="470" t="s">
        <v>20800</v>
      </c>
      <c r="H3346" s="472" t="s">
        <v>15515</v>
      </c>
      <c r="I3346" s="472">
        <f>(0.195*0.9/(0.9))</f>
        <v>0.19500000000000001</v>
      </c>
      <c r="J3346" s="473">
        <f t="shared" si="1727"/>
        <v>104.37038079999999</v>
      </c>
      <c r="K3346" s="474">
        <f t="shared" si="1748"/>
        <v>20.352224256</v>
      </c>
      <c r="L3346" s="475">
        <f t="shared" si="1733"/>
        <v>101.735</v>
      </c>
      <c r="M3346" s="474">
        <f t="shared" si="1749"/>
        <v>19.838325000000001</v>
      </c>
      <c r="O3346" s="434">
        <f t="shared" si="1730"/>
        <v>104.37038079999999</v>
      </c>
      <c r="P3346" s="435">
        <f t="shared" si="1731"/>
        <v>101.735</v>
      </c>
      <c r="AE3346" s="217"/>
      <c r="AF3346" s="217">
        <v>1411</v>
      </c>
      <c r="AH3346">
        <f t="shared" si="1745"/>
        <v>1411</v>
      </c>
    </row>
    <row r="3347" ht="90" hidden="1">
      <c r="A3347" s="217"/>
      <c r="B3347" s="217">
        <v>1411</v>
      </c>
      <c r="C3347" s="217"/>
      <c r="D3347" s="217" t="s">
        <v>17167</v>
      </c>
      <c r="E3347" s="471" t="s">
        <v>20663</v>
      </c>
      <c r="F3347" s="482">
        <v>87894</v>
      </c>
      <c r="G3347" s="470" t="s">
        <v>20930</v>
      </c>
      <c r="H3347" s="471" t="s">
        <v>15515</v>
      </c>
      <c r="I3347" s="472">
        <f>((0.1+0.085*2)*0.9/0.9)</f>
        <v>0.27000000000000002</v>
      </c>
      <c r="J3347" s="473">
        <f t="shared" si="1727"/>
        <v>7.0499999999999998</v>
      </c>
      <c r="K3347" s="474">
        <f t="shared" si="1748"/>
        <v>1.9035</v>
      </c>
      <c r="L3347" s="475">
        <f t="shared" si="1733"/>
        <v>6.7400000000000002</v>
      </c>
      <c r="M3347" s="474">
        <f t="shared" si="1749"/>
        <v>1.8198000000000001</v>
      </c>
      <c r="O3347" s="434">
        <f t="shared" si="1730"/>
        <v>7.0499999999999998</v>
      </c>
      <c r="P3347" s="435">
        <f t="shared" si="1731"/>
        <v>6.7400000000000002</v>
      </c>
      <c r="AE3347" s="217"/>
      <c r="AF3347" s="217">
        <v>1411</v>
      </c>
      <c r="AH3347">
        <f t="shared" si="1745"/>
        <v>1411</v>
      </c>
    </row>
    <row r="3348" ht="105" hidden="1">
      <c r="A3348" s="217"/>
      <c r="B3348" s="217">
        <v>1411</v>
      </c>
      <c r="C3348" s="217"/>
      <c r="D3348" s="217" t="s">
        <v>17167</v>
      </c>
      <c r="E3348" s="471" t="s">
        <v>20665</v>
      </c>
      <c r="F3348" s="482">
        <v>87529</v>
      </c>
      <c r="G3348" s="470" t="s">
        <v>20931</v>
      </c>
      <c r="H3348" s="471" t="s">
        <v>15515</v>
      </c>
      <c r="I3348" s="472">
        <f>I3347</f>
        <v>0.27000000000000002</v>
      </c>
      <c r="J3348" s="473">
        <f t="shared" si="1727"/>
        <v>37.270000000000003</v>
      </c>
      <c r="K3348" s="474">
        <f t="shared" si="1748"/>
        <v>10.062900000000001</v>
      </c>
      <c r="L3348" s="475">
        <f t="shared" si="1733"/>
        <v>35.990000000000002</v>
      </c>
      <c r="M3348" s="474">
        <f t="shared" si="1749"/>
        <v>9.7173000000000016</v>
      </c>
      <c r="O3348" s="434">
        <f t="shared" si="1730"/>
        <v>37.270000000000003</v>
      </c>
      <c r="P3348" s="435">
        <f t="shared" si="1731"/>
        <v>35.990000000000002</v>
      </c>
      <c r="R3348" s="510" t="s">
        <v>22290</v>
      </c>
      <c r="AE3348" s="217"/>
      <c r="AF3348" s="217">
        <v>1411</v>
      </c>
      <c r="AH3348">
        <f t="shared" si="1745"/>
        <v>1411</v>
      </c>
    </row>
    <row r="3349" ht="47.25" hidden="1">
      <c r="A3349" s="460">
        <v>1412</v>
      </c>
      <c r="B3349" s="460">
        <v>1412</v>
      </c>
      <c r="C3349" s="460"/>
      <c r="D3349" s="460"/>
      <c r="E3349" s="461">
        <v>1</v>
      </c>
      <c r="F3349" s="462" t="s">
        <v>22291</v>
      </c>
      <c r="G3349" s="477" t="s">
        <v>22292</v>
      </c>
      <c r="H3349" s="478" t="s">
        <v>20647</v>
      </c>
      <c r="I3349" s="479"/>
      <c r="J3349" s="480"/>
      <c r="K3349" s="466">
        <f>SUM(K3350:K3353)</f>
        <v>1085.6401000000001</v>
      </c>
      <c r="L3349" s="480"/>
      <c r="M3349" s="466">
        <f>SUM(M3350:M3353)</f>
        <v>1060.0228999999999</v>
      </c>
      <c r="O3349" s="434" t="str">
        <f t="shared" si="1730"/>
        <v xml:space="preserve">SEM VALOR</v>
      </c>
      <c r="P3349" s="435" t="str">
        <f t="shared" si="1731"/>
        <v xml:space="preserve">SEM VALOR</v>
      </c>
      <c r="AE3349" s="460">
        <v>1412</v>
      </c>
      <c r="AF3349" s="460"/>
      <c r="AH3349">
        <f t="shared" si="1745"/>
        <v>1412</v>
      </c>
    </row>
    <row r="3350" ht="120" hidden="1">
      <c r="A3350" s="217"/>
      <c r="B3350" s="217">
        <v>1412</v>
      </c>
      <c r="C3350" s="217"/>
      <c r="D3350" s="217" t="s">
        <v>17167</v>
      </c>
      <c r="E3350" s="471" t="s">
        <v>20399</v>
      </c>
      <c r="F3350" s="482">
        <v>90098</v>
      </c>
      <c r="G3350" s="572" t="s">
        <v>3492</v>
      </c>
      <c r="H3350" s="499" t="s">
        <v>15528</v>
      </c>
      <c r="I3350" s="483">
        <v>49.5</v>
      </c>
      <c r="J3350" s="473">
        <f t="shared" si="1727"/>
        <v>5.4800000000000004</v>
      </c>
      <c r="K3350" s="474">
        <f t="shared" ref="K3350:K3353" si="1750">I3350*J3350</f>
        <v>271.26000000000005</v>
      </c>
      <c r="L3350" s="475">
        <f t="shared" si="1733"/>
        <v>5.4000000000000004</v>
      </c>
      <c r="M3350" s="474">
        <f t="shared" ref="M3350:M3353" si="1751">L3350*I3350</f>
        <v>267.30000000000001</v>
      </c>
      <c r="O3350" s="434">
        <f t="shared" si="1730"/>
        <v>5.4800000000000004</v>
      </c>
      <c r="P3350" s="435">
        <f t="shared" si="1731"/>
        <v>5.4000000000000004</v>
      </c>
      <c r="AE3350" s="217"/>
      <c r="AF3350" s="217">
        <v>1412</v>
      </c>
      <c r="AH3350">
        <f t="shared" si="1745"/>
        <v>1412</v>
      </c>
    </row>
    <row r="3351" ht="45" hidden="1">
      <c r="A3351" s="217"/>
      <c r="B3351" s="217">
        <v>1412</v>
      </c>
      <c r="C3351" s="217"/>
      <c r="D3351" s="217" t="s">
        <v>20453</v>
      </c>
      <c r="E3351" s="471" t="s">
        <v>20402</v>
      </c>
      <c r="F3351" s="632" t="s">
        <v>20199</v>
      </c>
      <c r="G3351" s="572" t="s">
        <v>20201</v>
      </c>
      <c r="H3351" s="499" t="s">
        <v>38</v>
      </c>
      <c r="I3351" s="558">
        <v>3</v>
      </c>
      <c r="J3351" s="473">
        <f t="shared" si="1727"/>
        <v>0</v>
      </c>
      <c r="K3351" s="474">
        <f t="shared" si="1750"/>
        <v>0</v>
      </c>
      <c r="L3351" s="475">
        <f t="shared" si="1733"/>
        <v>0</v>
      </c>
      <c r="M3351" s="474">
        <f t="shared" si="1751"/>
        <v>0</v>
      </c>
      <c r="O3351" s="434">
        <f t="shared" si="1730"/>
        <v>0</v>
      </c>
      <c r="P3351" s="435">
        <f t="shared" si="1731"/>
        <v>0</v>
      </c>
      <c r="AE3351" s="217"/>
      <c r="AF3351" s="217">
        <v>1412</v>
      </c>
      <c r="AH3351">
        <f t="shared" si="1745"/>
        <v>1412</v>
      </c>
    </row>
    <row r="3352" ht="77.25" hidden="1" customHeight="1">
      <c r="A3352" s="217"/>
      <c r="B3352" s="217">
        <v>1412</v>
      </c>
      <c r="C3352" s="217"/>
      <c r="D3352" s="217" t="s">
        <v>17167</v>
      </c>
      <c r="E3352" s="471" t="s">
        <v>20405</v>
      </c>
      <c r="F3352" s="482">
        <v>94884</v>
      </c>
      <c r="G3352" s="572" t="s">
        <v>398</v>
      </c>
      <c r="H3352" s="499" t="s">
        <v>38</v>
      </c>
      <c r="I3352" s="558">
        <v>3</v>
      </c>
      <c r="J3352" s="473">
        <f t="shared" si="1727"/>
        <v>65.219999999999999</v>
      </c>
      <c r="K3352" s="474">
        <f t="shared" si="1750"/>
        <v>195.66</v>
      </c>
      <c r="L3352" s="475">
        <f t="shared" si="1733"/>
        <v>63.710000000000001</v>
      </c>
      <c r="M3352" s="474">
        <f t="shared" si="1751"/>
        <v>191.13</v>
      </c>
      <c r="O3352" s="434">
        <f t="shared" si="1730"/>
        <v>65.219999999999999</v>
      </c>
      <c r="P3352" s="435">
        <f t="shared" si="1731"/>
        <v>63.710000000000001</v>
      </c>
      <c r="AE3352" s="217"/>
      <c r="AF3352" s="217">
        <v>1412</v>
      </c>
      <c r="AH3352">
        <f t="shared" si="1745"/>
        <v>1412</v>
      </c>
    </row>
    <row r="3353" ht="120" hidden="1">
      <c r="A3353" s="217"/>
      <c r="B3353" s="217">
        <v>1412</v>
      </c>
      <c r="C3353" s="217"/>
      <c r="D3353" s="217" t="s">
        <v>17167</v>
      </c>
      <c r="E3353" s="471" t="s">
        <v>20409</v>
      </c>
      <c r="F3353" s="482">
        <v>93373</v>
      </c>
      <c r="G3353" s="572" t="s">
        <v>785</v>
      </c>
      <c r="H3353" s="482" t="s">
        <v>15528</v>
      </c>
      <c r="I3353" s="558">
        <v>42.817999999999998</v>
      </c>
      <c r="J3353" s="473">
        <f t="shared" si="1727"/>
        <v>14.449999999999999</v>
      </c>
      <c r="K3353" s="474">
        <f t="shared" si="1750"/>
        <v>618.72009999999989</v>
      </c>
      <c r="L3353" s="475">
        <f t="shared" si="1733"/>
        <v>14.050000000000001</v>
      </c>
      <c r="M3353" s="474">
        <f t="shared" si="1751"/>
        <v>601.59289999999999</v>
      </c>
      <c r="O3353" s="434">
        <f t="shared" si="1730"/>
        <v>14.449999999999999</v>
      </c>
      <c r="P3353" s="435">
        <f t="shared" si="1731"/>
        <v>14.050000000000001</v>
      </c>
      <c r="AE3353" s="217"/>
      <c r="AF3353" s="217">
        <v>1412</v>
      </c>
      <c r="AH3353">
        <f t="shared" si="1745"/>
        <v>1412</v>
      </c>
    </row>
    <row r="3354" ht="66" hidden="1" customHeight="1">
      <c r="A3354" s="460">
        <v>1413</v>
      </c>
      <c r="B3354" s="460">
        <v>1413</v>
      </c>
      <c r="C3354" s="460"/>
      <c r="D3354" s="460"/>
      <c r="E3354" s="461">
        <v>1</v>
      </c>
      <c r="F3354" s="462" t="s">
        <v>22293</v>
      </c>
      <c r="G3354" s="477" t="s">
        <v>22294</v>
      </c>
      <c r="H3354" s="478" t="s">
        <v>20647</v>
      </c>
      <c r="I3354" s="479"/>
      <c r="J3354" s="480"/>
      <c r="K3354" s="466">
        <f>SUM(K3355:K3356)</f>
        <v>719.85475999999994</v>
      </c>
      <c r="L3354" s="480"/>
      <c r="M3354" s="466">
        <f>SUM(M3355:M3356)</f>
        <v>704.12178000000006</v>
      </c>
      <c r="N3354" s="467" t="s">
        <v>21878</v>
      </c>
      <c r="O3354" s="434" t="str">
        <f t="shared" si="1730"/>
        <v xml:space="preserve">SEM VALOR</v>
      </c>
      <c r="P3354" s="435" t="str">
        <f t="shared" si="1731"/>
        <v xml:space="preserve">SEM VALOR</v>
      </c>
      <c r="AE3354" s="460">
        <v>1413</v>
      </c>
      <c r="AF3354" s="460"/>
      <c r="AH3354">
        <f t="shared" si="1745"/>
        <v>1413</v>
      </c>
    </row>
    <row r="3355" ht="60" hidden="1">
      <c r="A3355" s="217"/>
      <c r="B3355" s="217">
        <v>1413</v>
      </c>
      <c r="C3355" s="217"/>
      <c r="D3355" s="217" t="s">
        <v>17167</v>
      </c>
      <c r="E3355" s="471" t="s">
        <v>20399</v>
      </c>
      <c r="F3355" s="482">
        <v>94964</v>
      </c>
      <c r="G3355" s="572" t="s">
        <v>8711</v>
      </c>
      <c r="H3355" s="499" t="s">
        <v>15528</v>
      </c>
      <c r="I3355" s="558">
        <v>0.93200000000000005</v>
      </c>
      <c r="J3355" s="473">
        <f t="shared" si="1727"/>
        <v>488.52999999999997</v>
      </c>
      <c r="K3355" s="474">
        <f t="shared" ref="K3355:K3356" si="1752">I3355*J3355</f>
        <v>455.30995999999999</v>
      </c>
      <c r="L3355" s="475">
        <f t="shared" si="1733"/>
        <v>482.79000000000002</v>
      </c>
      <c r="M3355" s="474">
        <f t="shared" ref="M3355:M3356" si="1753">L3355*I3355</f>
        <v>449.96028000000007</v>
      </c>
      <c r="O3355" s="434">
        <f t="shared" si="1730"/>
        <v>488.52999999999997</v>
      </c>
      <c r="P3355" s="435">
        <f t="shared" si="1731"/>
        <v>482.79000000000002</v>
      </c>
      <c r="AE3355" s="217"/>
      <c r="AF3355" s="217">
        <v>1413</v>
      </c>
      <c r="AH3355">
        <f t="shared" si="1745"/>
        <v>1413</v>
      </c>
    </row>
    <row r="3356" ht="60" hidden="1">
      <c r="A3356" s="217"/>
      <c r="B3356" s="217">
        <v>1413</v>
      </c>
      <c r="C3356" s="217"/>
      <c r="D3356" s="217" t="s">
        <v>17167</v>
      </c>
      <c r="E3356" s="471" t="s">
        <v>20402</v>
      </c>
      <c r="F3356" s="482">
        <v>96536</v>
      </c>
      <c r="G3356" s="572" t="s">
        <v>21415</v>
      </c>
      <c r="H3356" s="482" t="s">
        <v>15515</v>
      </c>
      <c r="I3356" s="558">
        <v>4.1699999999999999</v>
      </c>
      <c r="J3356" s="473">
        <f t="shared" si="1727"/>
        <v>63.439999999999998</v>
      </c>
      <c r="K3356" s="474">
        <f t="shared" si="1752"/>
        <v>264.54480000000001</v>
      </c>
      <c r="L3356" s="475">
        <f t="shared" si="1733"/>
        <v>60.950000000000003</v>
      </c>
      <c r="M3356" s="474">
        <f t="shared" si="1753"/>
        <v>254.16150000000002</v>
      </c>
      <c r="O3356" s="434">
        <f t="shared" si="1730"/>
        <v>63.439999999999998</v>
      </c>
      <c r="P3356" s="435">
        <f t="shared" si="1731"/>
        <v>60.950000000000003</v>
      </c>
      <c r="AE3356" s="217"/>
      <c r="AF3356" s="217">
        <v>1413</v>
      </c>
      <c r="AH3356">
        <f t="shared" si="1745"/>
        <v>1413</v>
      </c>
    </row>
    <row r="3357" ht="101.25" hidden="1" customHeight="1">
      <c r="A3357" s="460">
        <v>1414</v>
      </c>
      <c r="B3357" s="460">
        <v>1414</v>
      </c>
      <c r="C3357" s="460"/>
      <c r="D3357" s="460"/>
      <c r="E3357" s="461">
        <v>1</v>
      </c>
      <c r="F3357" s="462" t="s">
        <v>22295</v>
      </c>
      <c r="G3357" s="477" t="s">
        <v>22296</v>
      </c>
      <c r="H3357" s="478" t="s">
        <v>38</v>
      </c>
      <c r="I3357" s="479"/>
      <c r="J3357" s="480"/>
      <c r="K3357" s="466">
        <f>SUM(K3358:K3361)</f>
        <v>1381485002.814903</v>
      </c>
      <c r="L3357" s="480"/>
      <c r="M3357" s="466">
        <f>SUM(M3358:M3361)</f>
        <v>1381485002.734633</v>
      </c>
      <c r="N3357" s="467" t="s">
        <v>22297</v>
      </c>
      <c r="O3357" s="434" t="str">
        <f t="shared" si="1730"/>
        <v xml:space="preserve">SEM VALOR</v>
      </c>
      <c r="P3357" s="435" t="str">
        <f t="shared" si="1731"/>
        <v xml:space="preserve">SEM VALOR</v>
      </c>
      <c r="AE3357" s="460">
        <v>1414</v>
      </c>
      <c r="AF3357" s="460"/>
      <c r="AH3357">
        <f t="shared" si="1745"/>
        <v>1414</v>
      </c>
    </row>
    <row r="3358" ht="60" hidden="1">
      <c r="A3358" s="217"/>
      <c r="B3358" s="217">
        <v>1414</v>
      </c>
      <c r="C3358" s="217"/>
      <c r="D3358" s="217" t="s">
        <v>20408</v>
      </c>
      <c r="E3358" s="471" t="s">
        <v>20399</v>
      </c>
      <c r="F3358" s="489">
        <v>20078</v>
      </c>
      <c r="G3358" s="470" t="s">
        <v>20736</v>
      </c>
      <c r="H3358" s="471" t="s">
        <v>31</v>
      </c>
      <c r="I3358" s="472">
        <v>4.1700000000000001e-002</v>
      </c>
      <c r="J3358" s="473">
        <f t="shared" ref="J3358:J3421" si="1754">O3358*$J$3</f>
        <v>31.75</v>
      </c>
      <c r="K3358" s="474">
        <f t="shared" ref="K3358:K3361" si="1755">I3358*J3358</f>
        <v>1.3239750000000001</v>
      </c>
      <c r="L3358" s="475">
        <f t="shared" si="1733"/>
        <v>31.75</v>
      </c>
      <c r="M3358" s="474">
        <f t="shared" ref="M3358:M3361" si="1756">L3358*I3358</f>
        <v>1.3239750000000001</v>
      </c>
      <c r="O3358" s="434">
        <f t="shared" si="1730"/>
        <v>31.75</v>
      </c>
      <c r="P3358" s="435">
        <f t="shared" si="1731"/>
        <v>31.75</v>
      </c>
      <c r="AE3358" s="217"/>
      <c r="AF3358" s="217">
        <v>1414</v>
      </c>
      <c r="AH3358">
        <f t="shared" si="1745"/>
        <v>1414</v>
      </c>
    </row>
    <row r="3359" ht="45" hidden="1">
      <c r="A3359" s="217"/>
      <c r="B3359" s="217">
        <v>1414</v>
      </c>
      <c r="C3359" s="217"/>
      <c r="D3359" s="217" t="s">
        <v>20453</v>
      </c>
      <c r="E3359" s="471" t="s">
        <v>20402</v>
      </c>
      <c r="F3359" s="489" t="s">
        <v>20258</v>
      </c>
      <c r="G3359" s="470" t="s">
        <v>20259</v>
      </c>
      <c r="H3359" s="471" t="s">
        <v>38</v>
      </c>
      <c r="I3359" s="472" t="s">
        <v>20738</v>
      </c>
      <c r="J3359" s="473">
        <f t="shared" si="1754"/>
        <v>131.56999999999999</v>
      </c>
      <c r="K3359" s="474">
        <f t="shared" si="1755"/>
        <v>1381485000</v>
      </c>
      <c r="L3359" s="475">
        <f t="shared" si="1733"/>
        <v>131.56999999999999</v>
      </c>
      <c r="M3359" s="474">
        <f t="shared" si="1756"/>
        <v>1381485000</v>
      </c>
      <c r="O3359" s="434">
        <f t="shared" si="1730"/>
        <v>131.56999999999999</v>
      </c>
      <c r="P3359" s="435">
        <f t="shared" si="1731"/>
        <v>131.56999999999999</v>
      </c>
      <c r="AE3359" s="217"/>
      <c r="AF3359" s="217">
        <v>1414</v>
      </c>
      <c r="AH3359">
        <f t="shared" si="1745"/>
        <v>1414</v>
      </c>
    </row>
    <row r="3360" ht="30" hidden="1">
      <c r="A3360" s="217"/>
      <c r="B3360" s="217">
        <v>1414</v>
      </c>
      <c r="C3360" s="217"/>
      <c r="D3360" s="217" t="s">
        <v>17167</v>
      </c>
      <c r="E3360" s="471" t="s">
        <v>20405</v>
      </c>
      <c r="F3360" s="489">
        <v>88246</v>
      </c>
      <c r="G3360" s="470" t="s">
        <v>7107</v>
      </c>
      <c r="H3360" s="471" t="s">
        <v>2032</v>
      </c>
      <c r="I3360" s="472">
        <v>3.49e-002</v>
      </c>
      <c r="J3360" s="473">
        <f t="shared" si="1754"/>
        <v>19.960000000000001</v>
      </c>
      <c r="K3360" s="474">
        <f t="shared" si="1755"/>
        <v>0.696604</v>
      </c>
      <c r="L3360" s="475">
        <f t="shared" si="1733"/>
        <v>18.870000000000001</v>
      </c>
      <c r="M3360" s="474">
        <f t="shared" si="1756"/>
        <v>0.65856300000000001</v>
      </c>
      <c r="O3360" s="434">
        <f t="shared" si="1730"/>
        <v>19.960000000000001</v>
      </c>
      <c r="P3360" s="435">
        <f t="shared" si="1731"/>
        <v>18.870000000000001</v>
      </c>
      <c r="AE3360" s="217"/>
      <c r="AF3360" s="217">
        <v>1414</v>
      </c>
      <c r="AH3360">
        <f t="shared" si="1745"/>
        <v>1414</v>
      </c>
    </row>
    <row r="3361" ht="30" hidden="1">
      <c r="A3361" s="217"/>
      <c r="B3361" s="217">
        <v>1414</v>
      </c>
      <c r="C3361" s="217"/>
      <c r="D3361" s="217" t="s">
        <v>17167</v>
      </c>
      <c r="E3361" s="471" t="s">
        <v>20409</v>
      </c>
      <c r="F3361" s="489">
        <v>88316</v>
      </c>
      <c r="G3361" s="470" t="s">
        <v>7393</v>
      </c>
      <c r="H3361" s="471" t="s">
        <v>2032</v>
      </c>
      <c r="I3361" s="472">
        <v>3.49e-002</v>
      </c>
      <c r="J3361" s="473">
        <f t="shared" si="1754"/>
        <v>22.760000000000002</v>
      </c>
      <c r="K3361" s="474">
        <f t="shared" si="1755"/>
        <v>0.79432400000000003</v>
      </c>
      <c r="L3361" s="475">
        <f t="shared" si="1733"/>
        <v>21.550000000000001</v>
      </c>
      <c r="M3361" s="474">
        <f t="shared" si="1756"/>
        <v>0.75209500000000007</v>
      </c>
      <c r="O3361" s="434">
        <f t="shared" si="1730"/>
        <v>22.760000000000002</v>
      </c>
      <c r="P3361" s="435">
        <f t="shared" si="1731"/>
        <v>21.550000000000001</v>
      </c>
      <c r="AE3361" s="217"/>
      <c r="AF3361" s="217">
        <v>1414</v>
      </c>
      <c r="AH3361">
        <f t="shared" si="1745"/>
        <v>1414</v>
      </c>
    </row>
    <row r="3362" ht="110.25" hidden="1">
      <c r="A3362" s="460">
        <v>1415</v>
      </c>
      <c r="B3362" s="460">
        <v>1415</v>
      </c>
      <c r="C3362" s="460"/>
      <c r="D3362" s="460"/>
      <c r="E3362" s="461">
        <v>1</v>
      </c>
      <c r="F3362" s="462" t="s">
        <v>22298</v>
      </c>
      <c r="G3362" s="477" t="s">
        <v>22299</v>
      </c>
      <c r="H3362" s="478" t="s">
        <v>20647</v>
      </c>
      <c r="I3362" s="479"/>
      <c r="J3362" s="480"/>
      <c r="K3362" s="466">
        <f>SUM(K3363:K3384)</f>
        <v>4376.5806480000001</v>
      </c>
      <c r="L3362" s="480"/>
      <c r="M3362" s="466">
        <f>SUM(M3363:M3384)</f>
        <v>4285.1866529999998</v>
      </c>
      <c r="N3362" s="467" t="s">
        <v>22300</v>
      </c>
      <c r="O3362" s="434" t="str">
        <f t="shared" si="1730"/>
        <v xml:space="preserve">SEM VALOR</v>
      </c>
      <c r="P3362" s="435" t="str">
        <f t="shared" si="1731"/>
        <v xml:space="preserve">SEM VALOR</v>
      </c>
      <c r="R3362" s="143" t="s">
        <v>22301</v>
      </c>
      <c r="AE3362" s="460">
        <v>1415</v>
      </c>
      <c r="AF3362" s="460"/>
      <c r="AH3362">
        <f t="shared" si="1745"/>
        <v>1415</v>
      </c>
    </row>
    <row r="3363" ht="30" hidden="1">
      <c r="A3363" s="217"/>
      <c r="B3363" s="217">
        <v>1415</v>
      </c>
      <c r="C3363" s="217"/>
      <c r="D3363" s="217" t="s">
        <v>17167</v>
      </c>
      <c r="E3363" s="471" t="s">
        <v>20399</v>
      </c>
      <c r="F3363" s="482">
        <v>88309</v>
      </c>
      <c r="G3363" s="470" t="s">
        <v>7385</v>
      </c>
      <c r="H3363" s="471" t="s">
        <v>2032</v>
      </c>
      <c r="I3363" s="472">
        <v>6.2973999999999997</v>
      </c>
      <c r="J3363" s="473">
        <f t="shared" si="1754"/>
        <v>28.5</v>
      </c>
      <c r="K3363" s="474">
        <f t="shared" ref="K3363:K3384" si="1757">I3363*J3363</f>
        <v>179.4759</v>
      </c>
      <c r="L3363" s="475">
        <f t="shared" si="1733"/>
        <v>26.870000000000001</v>
      </c>
      <c r="M3363" s="474">
        <f t="shared" ref="M3363:M3384" si="1758">L3363*I3363</f>
        <v>169.21113800000001</v>
      </c>
      <c r="O3363" s="434">
        <f t="shared" si="1730"/>
        <v>28.5</v>
      </c>
      <c r="P3363" s="435">
        <f t="shared" si="1731"/>
        <v>26.870000000000001</v>
      </c>
      <c r="AE3363" s="217"/>
      <c r="AF3363" s="217">
        <v>1415</v>
      </c>
      <c r="AH3363">
        <f t="shared" si="1745"/>
        <v>1415</v>
      </c>
    </row>
    <row r="3364" ht="30" hidden="1">
      <c r="A3364" s="217"/>
      <c r="B3364" s="217">
        <v>1415</v>
      </c>
      <c r="C3364" s="217"/>
      <c r="D3364" s="217" t="s">
        <v>17167</v>
      </c>
      <c r="E3364" s="471" t="s">
        <v>20402</v>
      </c>
      <c r="F3364" s="482">
        <v>88316</v>
      </c>
      <c r="G3364" s="488" t="s">
        <v>7393</v>
      </c>
      <c r="H3364" s="471" t="s">
        <v>2032</v>
      </c>
      <c r="I3364" s="472">
        <v>4.8493000000000004</v>
      </c>
      <c r="J3364" s="473">
        <f t="shared" si="1754"/>
        <v>22.760000000000002</v>
      </c>
      <c r="K3364" s="474">
        <f t="shared" si="1757"/>
        <v>110.37006800000002</v>
      </c>
      <c r="L3364" s="475">
        <f t="shared" si="1733"/>
        <v>21.550000000000001</v>
      </c>
      <c r="M3364" s="474">
        <f t="shared" si="1758"/>
        <v>104.50241500000001</v>
      </c>
      <c r="O3364" s="434">
        <f t="shared" si="1730"/>
        <v>22.760000000000002</v>
      </c>
      <c r="P3364" s="435">
        <f t="shared" si="1731"/>
        <v>21.550000000000001</v>
      </c>
      <c r="AE3364" s="217"/>
      <c r="AF3364" s="217">
        <v>1415</v>
      </c>
      <c r="AH3364">
        <f t="shared" si="1745"/>
        <v>1415</v>
      </c>
    </row>
    <row r="3365" ht="30" hidden="1">
      <c r="A3365" s="217"/>
      <c r="B3365" s="217">
        <v>1415</v>
      </c>
      <c r="C3365" s="217"/>
      <c r="D3365" s="217" t="s">
        <v>20453</v>
      </c>
      <c r="E3365" s="471" t="s">
        <v>20405</v>
      </c>
      <c r="F3365" s="482" t="s">
        <v>20261</v>
      </c>
      <c r="G3365" s="488" t="s">
        <v>20262</v>
      </c>
      <c r="H3365" s="471" t="s">
        <v>31</v>
      </c>
      <c r="I3365" s="472">
        <v>43.049999999999997</v>
      </c>
      <c r="J3365" s="473">
        <f t="shared" si="1754"/>
        <v>5.8300000000000001</v>
      </c>
      <c r="K3365" s="474">
        <f t="shared" si="1757"/>
        <v>250.98149999999998</v>
      </c>
      <c r="L3365" s="475">
        <f t="shared" si="1733"/>
        <v>5.8300000000000001</v>
      </c>
      <c r="M3365" s="474">
        <f t="shared" si="1758"/>
        <v>250.98149999999998</v>
      </c>
      <c r="O3365" s="434">
        <f t="shared" si="1730"/>
        <v>5.8300000000000001</v>
      </c>
      <c r="P3365" s="435">
        <f t="shared" si="1731"/>
        <v>5.8300000000000001</v>
      </c>
      <c r="AE3365" s="217"/>
      <c r="AF3365" s="217">
        <v>1415</v>
      </c>
      <c r="AH3365">
        <f t="shared" si="1745"/>
        <v>1415</v>
      </c>
    </row>
    <row r="3366" ht="45" hidden="1">
      <c r="A3366" s="217"/>
      <c r="B3366" s="217">
        <v>1415</v>
      </c>
      <c r="C3366" s="217"/>
      <c r="D3366" s="217" t="s">
        <v>20453</v>
      </c>
      <c r="E3366" s="471" t="s">
        <v>20409</v>
      </c>
      <c r="F3366" s="482" t="s">
        <v>20263</v>
      </c>
      <c r="G3366" s="488" t="s">
        <v>20264</v>
      </c>
      <c r="H3366" s="471" t="s">
        <v>31</v>
      </c>
      <c r="I3366" s="472">
        <v>12.06</v>
      </c>
      <c r="J3366" s="473">
        <f t="shared" si="1754"/>
        <v>3.2999999999999998</v>
      </c>
      <c r="K3366" s="474">
        <f t="shared" si="1757"/>
        <v>39.798000000000002</v>
      </c>
      <c r="L3366" s="475">
        <f t="shared" si="1733"/>
        <v>3.2999999999999998</v>
      </c>
      <c r="M3366" s="474">
        <f t="shared" si="1758"/>
        <v>39.798000000000002</v>
      </c>
      <c r="O3366" s="434">
        <f t="shared" si="1730"/>
        <v>3.2999999999999998</v>
      </c>
      <c r="P3366" s="435">
        <f t="shared" si="1731"/>
        <v>3.2999999999999998</v>
      </c>
      <c r="AE3366" s="217"/>
      <c r="AF3366" s="217">
        <v>1415</v>
      </c>
      <c r="AH3366">
        <f t="shared" si="1745"/>
        <v>1415</v>
      </c>
    </row>
    <row r="3367" ht="45" hidden="1">
      <c r="A3367" s="217"/>
      <c r="B3367" s="217">
        <v>1415</v>
      </c>
      <c r="C3367" s="217"/>
      <c r="D3367" s="217" t="s">
        <v>20453</v>
      </c>
      <c r="E3367" s="471" t="s">
        <v>20663</v>
      </c>
      <c r="F3367" s="482" t="s">
        <v>20265</v>
      </c>
      <c r="G3367" s="488" t="s">
        <v>20266</v>
      </c>
      <c r="H3367" s="471" t="s">
        <v>31</v>
      </c>
      <c r="I3367" s="472">
        <v>8.0399999999999991</v>
      </c>
      <c r="J3367" s="473">
        <f t="shared" si="1754"/>
        <v>6.9199999999999999</v>
      </c>
      <c r="K3367" s="474">
        <f t="shared" si="1757"/>
        <v>55.636799999999994</v>
      </c>
      <c r="L3367" s="475">
        <f t="shared" si="1733"/>
        <v>6.9199999999999999</v>
      </c>
      <c r="M3367" s="474">
        <f t="shared" si="1758"/>
        <v>55.636799999999994</v>
      </c>
      <c r="O3367" s="434">
        <f t="shared" si="1730"/>
        <v>6.9199999999999999</v>
      </c>
      <c r="P3367" s="435">
        <f t="shared" si="1731"/>
        <v>6.9199999999999999</v>
      </c>
      <c r="AE3367" s="217"/>
      <c r="AF3367" s="217">
        <v>1415</v>
      </c>
      <c r="AH3367">
        <f t="shared" si="1745"/>
        <v>1415</v>
      </c>
    </row>
    <row r="3368" ht="75" hidden="1">
      <c r="A3368" s="217"/>
      <c r="B3368" s="217">
        <v>1415</v>
      </c>
      <c r="C3368" s="217"/>
      <c r="D3368" s="217" t="s">
        <v>17167</v>
      </c>
      <c r="E3368" s="471" t="s">
        <v>20665</v>
      </c>
      <c r="F3368" s="482">
        <v>97083</v>
      </c>
      <c r="G3368" s="470" t="s">
        <v>8822</v>
      </c>
      <c r="H3368" s="471" t="s">
        <v>15515</v>
      </c>
      <c r="I3368" s="472">
        <v>4.1600000000000001</v>
      </c>
      <c r="J3368" s="473">
        <f t="shared" si="1754"/>
        <v>3.4900000000000002</v>
      </c>
      <c r="K3368" s="474">
        <f t="shared" si="1757"/>
        <v>14.518400000000002</v>
      </c>
      <c r="L3368" s="475">
        <f t="shared" si="1733"/>
        <v>3.2999999999999998</v>
      </c>
      <c r="M3368" s="474">
        <f t="shared" si="1758"/>
        <v>13.728</v>
      </c>
      <c r="O3368" s="434">
        <f t="shared" si="1730"/>
        <v>3.4900000000000002</v>
      </c>
      <c r="P3368" s="435">
        <f t="shared" si="1731"/>
        <v>3.2999999999999998</v>
      </c>
      <c r="AE3368" s="217"/>
      <c r="AF3368" s="217">
        <v>1415</v>
      </c>
      <c r="AH3368">
        <f t="shared" si="1745"/>
        <v>1415</v>
      </c>
    </row>
    <row r="3369" ht="75" hidden="1">
      <c r="A3369" s="217"/>
      <c r="B3369" s="217">
        <v>1415</v>
      </c>
      <c r="C3369" s="217"/>
      <c r="D3369" s="217" t="s">
        <v>17167</v>
      </c>
      <c r="E3369" s="471" t="s">
        <v>20667</v>
      </c>
      <c r="F3369" s="482">
        <v>100324</v>
      </c>
      <c r="G3369" s="470" t="s">
        <v>6998</v>
      </c>
      <c r="H3369" s="471" t="s">
        <v>15528</v>
      </c>
      <c r="I3369" s="472">
        <v>0.41599999999999998</v>
      </c>
      <c r="J3369" s="473">
        <f t="shared" si="1754"/>
        <v>179.66</v>
      </c>
      <c r="K3369" s="474">
        <f t="shared" si="1757"/>
        <v>74.738559999999993</v>
      </c>
      <c r="L3369" s="475">
        <f t="shared" si="1733"/>
        <v>176.31999999999999</v>
      </c>
      <c r="M3369" s="474">
        <f t="shared" si="1758"/>
        <v>73.349119999999999</v>
      </c>
      <c r="O3369" s="434">
        <f t="shared" si="1730"/>
        <v>179.66</v>
      </c>
      <c r="P3369" s="435">
        <f t="shared" si="1731"/>
        <v>176.31999999999999</v>
      </c>
      <c r="AE3369" s="217"/>
      <c r="AF3369" s="217">
        <v>1415</v>
      </c>
      <c r="AH3369">
        <f t="shared" si="1745"/>
        <v>1415</v>
      </c>
    </row>
    <row r="3370" ht="75" hidden="1">
      <c r="A3370" s="217"/>
      <c r="B3370" s="217">
        <v>1415</v>
      </c>
      <c r="C3370" s="217"/>
      <c r="D3370" s="217" t="s">
        <v>17167</v>
      </c>
      <c r="E3370" s="471" t="s">
        <v>20671</v>
      </c>
      <c r="F3370" s="482">
        <v>94971</v>
      </c>
      <c r="G3370" s="470" t="s">
        <v>8716</v>
      </c>
      <c r="H3370" s="471" t="s">
        <v>15528</v>
      </c>
      <c r="I3370" s="472">
        <v>1.6100000000000001</v>
      </c>
      <c r="J3370" s="473">
        <f t="shared" si="1754"/>
        <v>502.49000000000001</v>
      </c>
      <c r="K3370" s="474">
        <f t="shared" si="1757"/>
        <v>809.00890000000004</v>
      </c>
      <c r="L3370" s="475">
        <f t="shared" si="1733"/>
        <v>498.00999999999999</v>
      </c>
      <c r="M3370" s="474">
        <f t="shared" si="1758"/>
        <v>801.79610000000002</v>
      </c>
      <c r="O3370" s="434">
        <f t="shared" si="1730"/>
        <v>502.49000000000001</v>
      </c>
      <c r="P3370" s="435">
        <f t="shared" si="1731"/>
        <v>498.00999999999999</v>
      </c>
      <c r="AE3370" s="217"/>
      <c r="AF3370" s="217">
        <v>1415</v>
      </c>
      <c r="AH3370">
        <f t="shared" si="1745"/>
        <v>1415</v>
      </c>
    </row>
    <row r="3371" ht="60" hidden="1">
      <c r="A3371" s="217"/>
      <c r="B3371" s="217">
        <v>1415</v>
      </c>
      <c r="C3371" s="217"/>
      <c r="D3371" s="217" t="s">
        <v>17167</v>
      </c>
      <c r="E3371" s="471" t="s">
        <v>20672</v>
      </c>
      <c r="F3371" s="482">
        <v>103670</v>
      </c>
      <c r="G3371" s="470" t="s">
        <v>1387</v>
      </c>
      <c r="H3371" s="471" t="s">
        <v>15528</v>
      </c>
      <c r="I3371" s="472">
        <f>I3370</f>
        <v>1.6100000000000001</v>
      </c>
      <c r="J3371" s="473">
        <f t="shared" si="1754"/>
        <v>308.60000000000002</v>
      </c>
      <c r="K3371" s="474">
        <f t="shared" si="1757"/>
        <v>496.84600000000006</v>
      </c>
      <c r="L3371" s="475">
        <f t="shared" si="1733"/>
        <v>291.69999999999999</v>
      </c>
      <c r="M3371" s="474">
        <f t="shared" si="1758"/>
        <v>469.637</v>
      </c>
      <c r="O3371" s="434">
        <f t="shared" si="1730"/>
        <v>308.60000000000002</v>
      </c>
      <c r="P3371" s="435">
        <f t="shared" si="1731"/>
        <v>291.69999999999999</v>
      </c>
      <c r="AE3371" s="217"/>
      <c r="AF3371" s="217">
        <v>1415</v>
      </c>
      <c r="AH3371">
        <f t="shared" si="1745"/>
        <v>1415</v>
      </c>
    </row>
    <row r="3372" ht="75" hidden="1">
      <c r="A3372" s="217"/>
      <c r="B3372" s="217">
        <v>1415</v>
      </c>
      <c r="C3372" s="217"/>
      <c r="D3372" s="217" t="s">
        <v>17167</v>
      </c>
      <c r="E3372" s="471" t="s">
        <v>20673</v>
      </c>
      <c r="F3372" s="482">
        <v>97086</v>
      </c>
      <c r="G3372" s="470" t="s">
        <v>8858</v>
      </c>
      <c r="H3372" s="471" t="s">
        <v>15515</v>
      </c>
      <c r="I3372" s="472">
        <v>1.1040000000000001</v>
      </c>
      <c r="J3372" s="473">
        <f t="shared" si="1754"/>
        <v>133.02000000000001</v>
      </c>
      <c r="K3372" s="474">
        <f t="shared" si="1757"/>
        <v>146.85408000000001</v>
      </c>
      <c r="L3372" s="475">
        <f t="shared" si="1733"/>
        <v>127.40000000000001</v>
      </c>
      <c r="M3372" s="474">
        <f t="shared" si="1758"/>
        <v>140.64960000000002</v>
      </c>
      <c r="O3372" s="434">
        <f t="shared" ref="O3372:O3435" si="1759">IFERROR(IF(D3372="SINAPI",VLOOKUP(F3372,SINCOMOD,4,FALSE),IF(D3372="INSINAPI",VLOOKUP(F3372,INSINOD,5,FALSE),IF(D3372="SICRO",VLOOKUP(F3372,SICRO,5,FALSE),IF(D3372="COTACAO",VLOOKUP(F3372,COTACAO,6,FALSE),IF(D3372="PRÓPRIO",VLOOKUP(F3372,COMPOD,11,FALSE),IF(D3372="AGESUL",VLOOKUP(F3372,AGESULOD,6,FALSE),IF(D3372="INSAGESUL",VLOOKUP(F3372,INSAGESUL,7,FALSE),"SEM VALOR"))))))),"SEM VALOR")</f>
        <v>133.02000000000001</v>
      </c>
      <c r="P3372" s="435">
        <f t="shared" ref="P3372:P3435" si="1760">IFERROR(IF(D3372="SINAPI",VLOOKUP(F3372,SINCOMOD,6,FALSE),IF(D3372="INSINAPI",VLOOKUP(F3372,INSINOD,6,FALSE),IF(D3372="SICRO",VLOOKUP(F3372,SICRO,5,FALSE),IF(D3372="COTACAO",VLOOKUP(F3372,COTACAO,6,FALSE),IF(D3372="PRÓPRIO",VLOOKUP(F3372,COMPOD,13,FALSE),IF(D3372="AGESUL",VLOOKUP(F3372,AGESULOD,11,FALSE),IF(D3372="INSAGESUL",VLOOKUP(F3372,INSAGESUL,8,FALSE),"SEM VALOR"))))))),"SEM VALOR")</f>
        <v>127.40000000000001</v>
      </c>
      <c r="AE3372" s="217"/>
      <c r="AF3372" s="217">
        <v>1415</v>
      </c>
      <c r="AH3372">
        <f t="shared" si="1745"/>
        <v>1415</v>
      </c>
    </row>
    <row r="3373" ht="45" hidden="1">
      <c r="A3373" s="217"/>
      <c r="B3373" s="217">
        <v>1415</v>
      </c>
      <c r="C3373" s="217"/>
      <c r="D3373" s="217" t="s">
        <v>17167</v>
      </c>
      <c r="E3373" s="471" t="s">
        <v>20675</v>
      </c>
      <c r="F3373" s="482">
        <v>92267</v>
      </c>
      <c r="G3373" s="470" t="s">
        <v>4254</v>
      </c>
      <c r="H3373" s="471" t="s">
        <v>15515</v>
      </c>
      <c r="I3373" s="472">
        <v>0.80800000000000005</v>
      </c>
      <c r="J3373" s="473">
        <f t="shared" si="1754"/>
        <v>50.18</v>
      </c>
      <c r="K3373" s="474">
        <f t="shared" si="1757"/>
        <v>40.545439999999999</v>
      </c>
      <c r="L3373" s="475">
        <f t="shared" ref="L3373:L3436" si="1761">P3373*$L$3</f>
        <v>50.109999999999999</v>
      </c>
      <c r="M3373" s="474">
        <f t="shared" si="1758"/>
        <v>40.488880000000002</v>
      </c>
      <c r="O3373" s="434">
        <f t="shared" si="1759"/>
        <v>50.18</v>
      </c>
      <c r="P3373" s="435">
        <f t="shared" si="1760"/>
        <v>50.109999999999999</v>
      </c>
      <c r="AE3373" s="217"/>
      <c r="AF3373" s="217">
        <v>1415</v>
      </c>
      <c r="AH3373">
        <f t="shared" si="1745"/>
        <v>1415</v>
      </c>
    </row>
    <row r="3374" ht="90" hidden="1">
      <c r="A3374" s="217"/>
      <c r="B3374" s="217">
        <v>1415</v>
      </c>
      <c r="C3374" s="217"/>
      <c r="D3374" s="217" t="s">
        <v>17167</v>
      </c>
      <c r="E3374" s="471" t="s">
        <v>20677</v>
      </c>
      <c r="F3374" s="482">
        <v>92419</v>
      </c>
      <c r="G3374" s="470" t="s">
        <v>4308</v>
      </c>
      <c r="H3374" s="471" t="s">
        <v>15515</v>
      </c>
      <c r="I3374" s="472">
        <v>7.8399999999999999</v>
      </c>
      <c r="J3374" s="473">
        <f t="shared" si="1754"/>
        <v>96.239999999999995</v>
      </c>
      <c r="K3374" s="474">
        <f t="shared" si="1757"/>
        <v>754.52159999999992</v>
      </c>
      <c r="L3374" s="475">
        <f t="shared" si="1761"/>
        <v>93.900000000000006</v>
      </c>
      <c r="M3374" s="474">
        <f t="shared" si="1758"/>
        <v>736.17600000000004</v>
      </c>
      <c r="O3374" s="434">
        <f t="shared" si="1759"/>
        <v>96.239999999999995</v>
      </c>
      <c r="P3374" s="435">
        <f t="shared" si="1760"/>
        <v>93.900000000000006</v>
      </c>
      <c r="AE3374" s="217"/>
      <c r="AF3374" s="217">
        <v>1415</v>
      </c>
      <c r="AH3374">
        <f t="shared" si="1745"/>
        <v>1415</v>
      </c>
    </row>
    <row r="3375" ht="60" hidden="1">
      <c r="A3375" s="217"/>
      <c r="B3375" s="217">
        <v>1415</v>
      </c>
      <c r="C3375" s="217"/>
      <c r="D3375" s="217" t="s">
        <v>17167</v>
      </c>
      <c r="E3375" s="471" t="s">
        <v>20679</v>
      </c>
      <c r="F3375" s="482">
        <v>97093</v>
      </c>
      <c r="G3375" s="470" t="s">
        <v>8818</v>
      </c>
      <c r="H3375" s="471" t="s">
        <v>302</v>
      </c>
      <c r="I3375" s="472">
        <v>27.739999999999998</v>
      </c>
      <c r="J3375" s="473">
        <f t="shared" si="1754"/>
        <v>12.140000000000001</v>
      </c>
      <c r="K3375" s="474">
        <f t="shared" si="1757"/>
        <v>336.7636</v>
      </c>
      <c r="L3375" s="475">
        <f t="shared" si="1761"/>
        <v>12.109999999999999</v>
      </c>
      <c r="M3375" s="474">
        <f t="shared" si="1758"/>
        <v>335.93139999999994</v>
      </c>
      <c r="O3375" s="434">
        <f t="shared" si="1759"/>
        <v>12.140000000000001</v>
      </c>
      <c r="P3375" s="435">
        <f t="shared" si="1760"/>
        <v>12.109999999999999</v>
      </c>
      <c r="AE3375" s="217"/>
      <c r="AF3375" s="217">
        <v>1415</v>
      </c>
      <c r="AH3375">
        <f t="shared" si="1745"/>
        <v>1415</v>
      </c>
    </row>
    <row r="3376" ht="60" hidden="1">
      <c r="A3376" s="217"/>
      <c r="B3376" s="217">
        <v>1415</v>
      </c>
      <c r="C3376" s="217"/>
      <c r="D3376" s="217" t="s">
        <v>17167</v>
      </c>
      <c r="E3376" s="471" t="s">
        <v>20681</v>
      </c>
      <c r="F3376" s="482">
        <v>92770</v>
      </c>
      <c r="G3376" s="470" t="s">
        <v>328</v>
      </c>
      <c r="H3376" s="471" t="s">
        <v>302</v>
      </c>
      <c r="I3376" s="472">
        <v>35.700000000000003</v>
      </c>
      <c r="J3376" s="473">
        <f t="shared" si="1754"/>
        <v>11.57</v>
      </c>
      <c r="K3376" s="474">
        <f t="shared" si="1757"/>
        <v>413.04900000000004</v>
      </c>
      <c r="L3376" s="475">
        <f t="shared" si="1761"/>
        <v>11.460000000000001</v>
      </c>
      <c r="M3376" s="474">
        <f t="shared" si="1758"/>
        <v>409.12200000000007</v>
      </c>
      <c r="O3376" s="434">
        <f t="shared" si="1759"/>
        <v>11.57</v>
      </c>
      <c r="P3376" s="435">
        <f t="shared" si="1760"/>
        <v>11.460000000000001</v>
      </c>
      <c r="AE3376" s="217"/>
      <c r="AF3376" s="217">
        <v>1415</v>
      </c>
      <c r="AH3376">
        <f t="shared" si="1745"/>
        <v>1415</v>
      </c>
    </row>
    <row r="3377" ht="60" hidden="1">
      <c r="A3377" s="217"/>
      <c r="B3377" s="217">
        <v>1415</v>
      </c>
      <c r="C3377" s="217"/>
      <c r="D3377" s="217" t="s">
        <v>17167</v>
      </c>
      <c r="E3377" s="471" t="s">
        <v>20683</v>
      </c>
      <c r="F3377" s="482">
        <v>92772</v>
      </c>
      <c r="G3377" s="470" t="s">
        <v>324</v>
      </c>
      <c r="H3377" s="471" t="s">
        <v>302</v>
      </c>
      <c r="I3377" s="472">
        <v>1.2</v>
      </c>
      <c r="J3377" s="473">
        <f t="shared" si="1754"/>
        <v>8.5600000000000005</v>
      </c>
      <c r="K3377" s="474">
        <f t="shared" si="1757"/>
        <v>10.272</v>
      </c>
      <c r="L3377" s="475">
        <f t="shared" si="1761"/>
        <v>8.5299999999999994</v>
      </c>
      <c r="M3377" s="474">
        <f t="shared" si="1758"/>
        <v>10.235999999999999</v>
      </c>
      <c r="O3377" s="434">
        <f t="shared" si="1759"/>
        <v>8.5600000000000005</v>
      </c>
      <c r="P3377" s="435">
        <f t="shared" si="1760"/>
        <v>8.5299999999999994</v>
      </c>
      <c r="AE3377" s="217"/>
      <c r="AF3377" s="217">
        <v>1415</v>
      </c>
      <c r="AH3377">
        <f t="shared" si="1745"/>
        <v>1415</v>
      </c>
    </row>
    <row r="3378" ht="30" hidden="1">
      <c r="A3378" s="217"/>
      <c r="B3378" s="217">
        <v>1415</v>
      </c>
      <c r="C3378" s="217"/>
      <c r="D3378" s="217" t="s">
        <v>17167</v>
      </c>
      <c r="E3378" s="471" t="s">
        <v>20685</v>
      </c>
      <c r="F3378" s="482">
        <v>89993</v>
      </c>
      <c r="G3378" s="470" t="s">
        <v>4453</v>
      </c>
      <c r="H3378" s="471" t="s">
        <v>15528</v>
      </c>
      <c r="I3378" s="472">
        <v>6.4000000000000001e-002</v>
      </c>
      <c r="J3378" s="473">
        <f t="shared" si="1754"/>
        <v>1072.4000000000001</v>
      </c>
      <c r="K3378" s="474">
        <f t="shared" si="1757"/>
        <v>68.633600000000001</v>
      </c>
      <c r="L3378" s="475">
        <f t="shared" si="1761"/>
        <v>1045.25</v>
      </c>
      <c r="M3378" s="474">
        <f t="shared" si="1758"/>
        <v>66.896000000000001</v>
      </c>
      <c r="O3378" s="434">
        <f t="shared" si="1759"/>
        <v>1072.4000000000001</v>
      </c>
      <c r="P3378" s="435">
        <f t="shared" si="1760"/>
        <v>1045.25</v>
      </c>
      <c r="AE3378" s="217"/>
      <c r="AF3378" s="217">
        <v>1415</v>
      </c>
      <c r="AH3378">
        <f t="shared" si="1745"/>
        <v>1415</v>
      </c>
    </row>
    <row r="3379" ht="45" hidden="1">
      <c r="A3379" s="217"/>
      <c r="B3379" s="217">
        <v>1415</v>
      </c>
      <c r="C3379" s="217"/>
      <c r="D3379" s="217" t="s">
        <v>17167</v>
      </c>
      <c r="E3379" s="471" t="s">
        <v>20687</v>
      </c>
      <c r="F3379" s="482">
        <v>89995</v>
      </c>
      <c r="G3379" s="470" t="s">
        <v>4452</v>
      </c>
      <c r="H3379" s="471" t="s">
        <v>15528</v>
      </c>
      <c r="I3379" s="472">
        <v>4.7e-002</v>
      </c>
      <c r="J3379" s="473">
        <f t="shared" si="1754"/>
        <v>1033.8599999999999</v>
      </c>
      <c r="K3379" s="474">
        <f t="shared" si="1757"/>
        <v>48.591419999999992</v>
      </c>
      <c r="L3379" s="475">
        <f t="shared" si="1761"/>
        <v>1008.86</v>
      </c>
      <c r="M3379" s="474">
        <f t="shared" si="1758"/>
        <v>47.416420000000002</v>
      </c>
      <c r="O3379" s="434">
        <f t="shared" si="1759"/>
        <v>1033.8599999999999</v>
      </c>
      <c r="P3379" s="435">
        <f t="shared" si="1760"/>
        <v>1008.86</v>
      </c>
      <c r="AE3379" s="217"/>
      <c r="AF3379" s="217">
        <v>1415</v>
      </c>
      <c r="AH3379">
        <f t="shared" si="1745"/>
        <v>1415</v>
      </c>
    </row>
    <row r="3380" ht="45" hidden="1">
      <c r="A3380" s="217"/>
      <c r="B3380" s="217">
        <v>1415</v>
      </c>
      <c r="C3380" s="217"/>
      <c r="D3380" s="217" t="s">
        <v>17167</v>
      </c>
      <c r="E3380" s="471" t="s">
        <v>20689</v>
      </c>
      <c r="F3380" s="482">
        <v>102920</v>
      </c>
      <c r="G3380" s="470" t="s">
        <v>4434</v>
      </c>
      <c r="H3380" s="471" t="s">
        <v>302</v>
      </c>
      <c r="I3380" s="472">
        <v>11.199999999999999</v>
      </c>
      <c r="J3380" s="473">
        <f t="shared" si="1754"/>
        <v>8.1099999999999994</v>
      </c>
      <c r="K3380" s="474">
        <f t="shared" si="1757"/>
        <v>90.831999999999994</v>
      </c>
      <c r="L3380" s="475">
        <f t="shared" si="1761"/>
        <v>8.0299999999999994</v>
      </c>
      <c r="M3380" s="474">
        <f t="shared" si="1758"/>
        <v>89.935999999999993</v>
      </c>
      <c r="O3380" s="434">
        <f t="shared" si="1759"/>
        <v>8.1099999999999994</v>
      </c>
      <c r="P3380" s="435">
        <f t="shared" si="1760"/>
        <v>8.0299999999999994</v>
      </c>
      <c r="AE3380" s="217"/>
      <c r="AF3380" s="217">
        <v>1415</v>
      </c>
      <c r="AH3380">
        <f t="shared" si="1745"/>
        <v>1415</v>
      </c>
    </row>
    <row r="3381" ht="45" hidden="1">
      <c r="A3381" s="217"/>
      <c r="B3381" s="217">
        <v>1415</v>
      </c>
      <c r="C3381" s="217"/>
      <c r="D3381" s="217" t="s">
        <v>17167</v>
      </c>
      <c r="E3381" s="471" t="s">
        <v>20882</v>
      </c>
      <c r="F3381" s="482">
        <v>89996</v>
      </c>
      <c r="G3381" s="470" t="s">
        <v>4440</v>
      </c>
      <c r="H3381" s="471" t="s">
        <v>302</v>
      </c>
      <c r="I3381" s="472">
        <v>27.5</v>
      </c>
      <c r="J3381" s="473">
        <f t="shared" si="1754"/>
        <v>10.470000000000001</v>
      </c>
      <c r="K3381" s="474">
        <f t="shared" si="1757"/>
        <v>287.92500000000001</v>
      </c>
      <c r="L3381" s="475">
        <f t="shared" si="1761"/>
        <v>10.33</v>
      </c>
      <c r="M3381" s="474">
        <f t="shared" si="1758"/>
        <v>284.07499999999999</v>
      </c>
      <c r="O3381" s="434">
        <f t="shared" si="1759"/>
        <v>10.470000000000001</v>
      </c>
      <c r="P3381" s="435">
        <f t="shared" si="1760"/>
        <v>10.33</v>
      </c>
      <c r="AE3381" s="217"/>
      <c r="AF3381" s="217">
        <v>1415</v>
      </c>
      <c r="AH3381">
        <f t="shared" si="1745"/>
        <v>1415</v>
      </c>
    </row>
    <row r="3382" ht="90" hidden="1">
      <c r="A3382" s="217"/>
      <c r="B3382" s="217">
        <v>1415</v>
      </c>
      <c r="C3382" s="217"/>
      <c r="D3382" s="217" t="s">
        <v>17167</v>
      </c>
      <c r="E3382" s="471" t="s">
        <v>22002</v>
      </c>
      <c r="F3382" s="482">
        <v>87286</v>
      </c>
      <c r="G3382" s="470" t="s">
        <v>174</v>
      </c>
      <c r="H3382" s="471" t="s">
        <v>15528</v>
      </c>
      <c r="I3382" s="472">
        <v>7.4999999999999997e-002</v>
      </c>
      <c r="J3382" s="473">
        <f t="shared" si="1754"/>
        <v>607.99000000000001</v>
      </c>
      <c r="K3382" s="474">
        <f t="shared" si="1757"/>
        <v>45.599249999999998</v>
      </c>
      <c r="L3382" s="475">
        <f t="shared" si="1761"/>
        <v>599.37</v>
      </c>
      <c r="M3382" s="474">
        <f t="shared" si="1758"/>
        <v>44.952750000000002</v>
      </c>
      <c r="O3382" s="434">
        <f t="shared" si="1759"/>
        <v>607.99000000000001</v>
      </c>
      <c r="P3382" s="435">
        <f t="shared" si="1760"/>
        <v>599.37</v>
      </c>
      <c r="AE3382" s="217"/>
      <c r="AF3382" s="217">
        <v>1415</v>
      </c>
      <c r="AH3382">
        <f t="shared" si="1745"/>
        <v>1415</v>
      </c>
    </row>
    <row r="3383" ht="75" hidden="1">
      <c r="A3383" s="217"/>
      <c r="B3383" s="217">
        <v>1415</v>
      </c>
      <c r="C3383" s="217"/>
      <c r="D3383" s="217" t="s">
        <v>17167</v>
      </c>
      <c r="E3383" s="471" t="s">
        <v>22003</v>
      </c>
      <c r="F3383" s="482">
        <v>100475</v>
      </c>
      <c r="G3383" s="470" t="s">
        <v>205</v>
      </c>
      <c r="H3383" s="471" t="s">
        <v>15528</v>
      </c>
      <c r="I3383" s="472">
        <v>0.125</v>
      </c>
      <c r="J3383" s="473">
        <f t="shared" si="1754"/>
        <v>725.75</v>
      </c>
      <c r="K3383" s="474">
        <f t="shared" si="1757"/>
        <v>90.71875</v>
      </c>
      <c r="L3383" s="475">
        <f t="shared" si="1761"/>
        <v>719.49000000000001</v>
      </c>
      <c r="M3383" s="474">
        <f t="shared" si="1758"/>
        <v>89.936250000000001</v>
      </c>
      <c r="O3383" s="434">
        <f t="shared" si="1759"/>
        <v>725.75</v>
      </c>
      <c r="P3383" s="435">
        <f t="shared" si="1760"/>
        <v>719.49000000000001</v>
      </c>
      <c r="AE3383" s="217"/>
      <c r="AF3383" s="217">
        <v>1415</v>
      </c>
      <c r="AH3383">
        <f t="shared" si="1745"/>
        <v>1415</v>
      </c>
    </row>
    <row r="3384" ht="75" hidden="1">
      <c r="A3384" s="217"/>
      <c r="B3384" s="217">
        <v>1415</v>
      </c>
      <c r="C3384" s="217"/>
      <c r="D3384" s="217" t="s">
        <v>17167</v>
      </c>
      <c r="E3384" s="471" t="s">
        <v>22302</v>
      </c>
      <c r="F3384" s="482">
        <v>87316</v>
      </c>
      <c r="G3384" s="470" t="s">
        <v>237</v>
      </c>
      <c r="H3384" s="471" t="s">
        <v>15528</v>
      </c>
      <c r="I3384" s="472">
        <v>2.1999999999999999e-002</v>
      </c>
      <c r="J3384" s="473">
        <f t="shared" si="1754"/>
        <v>495.49000000000001</v>
      </c>
      <c r="K3384" s="474">
        <f t="shared" si="1757"/>
        <v>10.900779999999999</v>
      </c>
      <c r="L3384" s="475">
        <f t="shared" si="1761"/>
        <v>487.74000000000001</v>
      </c>
      <c r="M3384" s="474">
        <f t="shared" si="1758"/>
        <v>10.730279999999999</v>
      </c>
      <c r="O3384" s="434">
        <f t="shared" si="1759"/>
        <v>495.49000000000001</v>
      </c>
      <c r="P3384" s="435">
        <f t="shared" si="1760"/>
        <v>487.74000000000001</v>
      </c>
      <c r="AE3384" s="217"/>
      <c r="AF3384" s="217">
        <v>1415</v>
      </c>
      <c r="AH3384">
        <f t="shared" si="1745"/>
        <v>1415</v>
      </c>
    </row>
    <row r="3385" ht="110.25" hidden="1">
      <c r="A3385" s="460">
        <v>1416</v>
      </c>
      <c r="B3385" s="460">
        <v>1416</v>
      </c>
      <c r="C3385" s="460"/>
      <c r="D3385" s="460"/>
      <c r="E3385" s="461">
        <v>1</v>
      </c>
      <c r="F3385" s="462" t="s">
        <v>22303</v>
      </c>
      <c r="G3385" s="477" t="s">
        <v>22304</v>
      </c>
      <c r="H3385" s="478" t="s">
        <v>20647</v>
      </c>
      <c r="I3385" s="479"/>
      <c r="J3385" s="480"/>
      <c r="K3385" s="466">
        <f>SUM(K3386:K3409)</f>
        <v>9065.7923339999979</v>
      </c>
      <c r="L3385" s="480"/>
      <c r="M3385" s="466">
        <f>SUM(M3386:M3409)</f>
        <v>8877.9889300000013</v>
      </c>
      <c r="O3385" s="434" t="str">
        <f t="shared" si="1759"/>
        <v xml:space="preserve">SEM VALOR</v>
      </c>
      <c r="P3385" s="435" t="str">
        <f t="shared" si="1760"/>
        <v xml:space="preserve">SEM VALOR</v>
      </c>
      <c r="R3385" s="143" t="s">
        <v>22301</v>
      </c>
      <c r="AE3385" s="460">
        <v>1416</v>
      </c>
      <c r="AF3385" s="460"/>
      <c r="AH3385">
        <f t="shared" si="1745"/>
        <v>1416</v>
      </c>
    </row>
    <row r="3386" ht="30" hidden="1">
      <c r="A3386" s="217"/>
      <c r="B3386" s="217">
        <v>1416</v>
      </c>
      <c r="C3386" s="217"/>
      <c r="D3386" s="217" t="s">
        <v>17167</v>
      </c>
      <c r="E3386" s="471" t="s">
        <v>20399</v>
      </c>
      <c r="F3386" s="482">
        <v>88309</v>
      </c>
      <c r="G3386" s="470" t="s">
        <v>7385</v>
      </c>
      <c r="H3386" s="471" t="s">
        <v>2032</v>
      </c>
      <c r="I3386" s="472">
        <v>9.4306000000000001</v>
      </c>
      <c r="J3386" s="473">
        <f t="shared" si="1754"/>
        <v>28.5</v>
      </c>
      <c r="K3386" s="474">
        <f t="shared" ref="K3386:K3409" si="1762">I3386*J3386</f>
        <v>268.77210000000002</v>
      </c>
      <c r="L3386" s="475">
        <f t="shared" si="1761"/>
        <v>26.870000000000001</v>
      </c>
      <c r="M3386" s="474">
        <f t="shared" ref="M3386:M3409" si="1763">L3386*I3386</f>
        <v>253.40022200000001</v>
      </c>
      <c r="O3386" s="434">
        <f t="shared" si="1759"/>
        <v>28.5</v>
      </c>
      <c r="P3386" s="435">
        <f t="shared" si="1760"/>
        <v>26.870000000000001</v>
      </c>
      <c r="AE3386" s="217"/>
      <c r="AF3386" s="217">
        <v>1416</v>
      </c>
      <c r="AH3386">
        <f t="shared" si="1745"/>
        <v>1416</v>
      </c>
    </row>
    <row r="3387" ht="30" hidden="1">
      <c r="A3387" s="217"/>
      <c r="B3387" s="217">
        <v>1416</v>
      </c>
      <c r="C3387" s="217"/>
      <c r="D3387" s="217" t="s">
        <v>17167</v>
      </c>
      <c r="E3387" s="471" t="s">
        <v>20402</v>
      </c>
      <c r="F3387" s="482">
        <v>88316</v>
      </c>
      <c r="G3387" s="488" t="s">
        <v>7393</v>
      </c>
      <c r="H3387" s="471" t="s">
        <v>2032</v>
      </c>
      <c r="I3387" s="472">
        <v>7.2619999999999996</v>
      </c>
      <c r="J3387" s="473">
        <f t="shared" si="1754"/>
        <v>22.760000000000002</v>
      </c>
      <c r="K3387" s="474">
        <f t="shared" si="1762"/>
        <v>165.28312</v>
      </c>
      <c r="L3387" s="475">
        <f t="shared" si="1761"/>
        <v>21.550000000000001</v>
      </c>
      <c r="M3387" s="474">
        <f t="shared" si="1763"/>
        <v>156.49609999999998</v>
      </c>
      <c r="O3387" s="434">
        <f t="shared" si="1759"/>
        <v>22.760000000000002</v>
      </c>
      <c r="P3387" s="435">
        <f t="shared" si="1760"/>
        <v>21.550000000000001</v>
      </c>
      <c r="AE3387" s="217"/>
      <c r="AF3387" s="217">
        <v>1416</v>
      </c>
      <c r="AH3387">
        <f t="shared" si="1745"/>
        <v>1416</v>
      </c>
    </row>
    <row r="3388" ht="30" hidden="1">
      <c r="A3388" s="217"/>
      <c r="B3388" s="217">
        <v>1416</v>
      </c>
      <c r="C3388" s="217"/>
      <c r="D3388" s="217" t="s">
        <v>20453</v>
      </c>
      <c r="E3388" s="471" t="s">
        <v>20405</v>
      </c>
      <c r="F3388" s="482" t="s">
        <v>20261</v>
      </c>
      <c r="G3388" s="470" t="s">
        <v>20262</v>
      </c>
      <c r="H3388" s="471" t="s">
        <v>31</v>
      </c>
      <c r="I3388" s="472">
        <v>57.399999999999999</v>
      </c>
      <c r="J3388" s="473">
        <f t="shared" si="1754"/>
        <v>5.8300000000000001</v>
      </c>
      <c r="K3388" s="474">
        <f t="shared" si="1762"/>
        <v>334.642</v>
      </c>
      <c r="L3388" s="475">
        <f t="shared" si="1761"/>
        <v>5.8300000000000001</v>
      </c>
      <c r="M3388" s="474">
        <f t="shared" si="1763"/>
        <v>334.642</v>
      </c>
      <c r="O3388" s="434">
        <f t="shared" si="1759"/>
        <v>5.8300000000000001</v>
      </c>
      <c r="P3388" s="435">
        <f t="shared" si="1760"/>
        <v>5.8300000000000001</v>
      </c>
      <c r="AE3388" s="217"/>
      <c r="AF3388" s="217">
        <v>1416</v>
      </c>
      <c r="AH3388">
        <f t="shared" si="1745"/>
        <v>1416</v>
      </c>
    </row>
    <row r="3389" ht="45" hidden="1">
      <c r="A3389" s="217"/>
      <c r="B3389" s="217">
        <v>1416</v>
      </c>
      <c r="C3389" s="217"/>
      <c r="D3389" s="217" t="s">
        <v>20453</v>
      </c>
      <c r="E3389" s="471" t="s">
        <v>20409</v>
      </c>
      <c r="F3389" s="482" t="s">
        <v>20263</v>
      </c>
      <c r="G3389" s="470" t="s">
        <v>20264</v>
      </c>
      <c r="H3389" s="471" t="s">
        <v>31</v>
      </c>
      <c r="I3389" s="472">
        <v>8.0399999999999991</v>
      </c>
      <c r="J3389" s="473">
        <f t="shared" si="1754"/>
        <v>3.2999999999999998</v>
      </c>
      <c r="K3389" s="474">
        <f t="shared" si="1762"/>
        <v>26.531999999999996</v>
      </c>
      <c r="L3389" s="475">
        <f t="shared" si="1761"/>
        <v>3.2999999999999998</v>
      </c>
      <c r="M3389" s="474">
        <f t="shared" si="1763"/>
        <v>26.531999999999996</v>
      </c>
      <c r="O3389" s="434">
        <f t="shared" si="1759"/>
        <v>3.2999999999999998</v>
      </c>
      <c r="P3389" s="435">
        <f t="shared" si="1760"/>
        <v>3.2999999999999998</v>
      </c>
      <c r="AE3389" s="217"/>
      <c r="AF3389" s="217">
        <v>1416</v>
      </c>
      <c r="AH3389">
        <f t="shared" si="1745"/>
        <v>1416</v>
      </c>
    </row>
    <row r="3390" ht="45" hidden="1">
      <c r="A3390" s="217"/>
      <c r="B3390" s="217">
        <v>1416</v>
      </c>
      <c r="C3390" s="217"/>
      <c r="D3390" s="217" t="s">
        <v>20453</v>
      </c>
      <c r="E3390" s="471" t="s">
        <v>20663</v>
      </c>
      <c r="F3390" s="482" t="s">
        <v>20265</v>
      </c>
      <c r="G3390" s="488" t="s">
        <v>20266</v>
      </c>
      <c r="H3390" s="471" t="s">
        <v>31</v>
      </c>
      <c r="I3390" s="472">
        <v>24.120000000000001</v>
      </c>
      <c r="J3390" s="473">
        <f t="shared" si="1754"/>
        <v>6.9199999999999999</v>
      </c>
      <c r="K3390" s="474">
        <f t="shared" si="1762"/>
        <v>166.91040000000001</v>
      </c>
      <c r="L3390" s="475">
        <f t="shared" si="1761"/>
        <v>6.9199999999999999</v>
      </c>
      <c r="M3390" s="474">
        <f t="shared" si="1763"/>
        <v>166.91040000000001</v>
      </c>
      <c r="O3390" s="434">
        <f t="shared" si="1759"/>
        <v>6.9199999999999999</v>
      </c>
      <c r="P3390" s="435">
        <f t="shared" si="1760"/>
        <v>6.9199999999999999</v>
      </c>
      <c r="AE3390" s="217"/>
      <c r="AF3390" s="217">
        <v>1416</v>
      </c>
      <c r="AH3390">
        <f t="shared" si="1745"/>
        <v>1416</v>
      </c>
    </row>
    <row r="3391" ht="75" hidden="1">
      <c r="A3391" s="217"/>
      <c r="B3391" s="217">
        <v>1416</v>
      </c>
      <c r="C3391" s="217"/>
      <c r="D3391" s="217" t="s">
        <v>17167</v>
      </c>
      <c r="E3391" s="471" t="s">
        <v>20665</v>
      </c>
      <c r="F3391" s="482">
        <v>97083</v>
      </c>
      <c r="G3391" s="470" t="s">
        <v>8822</v>
      </c>
      <c r="H3391" s="471" t="s">
        <v>15515</v>
      </c>
      <c r="I3391" s="472">
        <v>8.6999999999999993</v>
      </c>
      <c r="J3391" s="473">
        <f t="shared" si="1754"/>
        <v>3.4900000000000002</v>
      </c>
      <c r="K3391" s="474">
        <f t="shared" si="1762"/>
        <v>30.363</v>
      </c>
      <c r="L3391" s="475">
        <f t="shared" si="1761"/>
        <v>3.2999999999999998</v>
      </c>
      <c r="M3391" s="474">
        <f t="shared" si="1763"/>
        <v>28.709999999999997</v>
      </c>
      <c r="O3391" s="434">
        <f t="shared" si="1759"/>
        <v>3.4900000000000002</v>
      </c>
      <c r="P3391" s="435">
        <f t="shared" si="1760"/>
        <v>3.2999999999999998</v>
      </c>
      <c r="AE3391" s="217"/>
      <c r="AF3391" s="217">
        <v>1416</v>
      </c>
      <c r="AH3391">
        <f t="shared" si="1745"/>
        <v>1416</v>
      </c>
    </row>
    <row r="3392" ht="75" hidden="1">
      <c r="A3392" s="217"/>
      <c r="B3392" s="217">
        <v>1416</v>
      </c>
      <c r="C3392" s="217"/>
      <c r="D3392" s="217" t="s">
        <v>17167</v>
      </c>
      <c r="E3392" s="471" t="s">
        <v>20667</v>
      </c>
      <c r="F3392" s="482">
        <v>100324</v>
      </c>
      <c r="G3392" s="470" t="s">
        <v>6998</v>
      </c>
      <c r="H3392" s="471" t="s">
        <v>15528</v>
      </c>
      <c r="I3392" s="472">
        <v>0.87</v>
      </c>
      <c r="J3392" s="473">
        <f t="shared" si="1754"/>
        <v>179.66</v>
      </c>
      <c r="K3392" s="474">
        <f t="shared" si="1762"/>
        <v>156.30420000000001</v>
      </c>
      <c r="L3392" s="475">
        <f t="shared" si="1761"/>
        <v>176.31999999999999</v>
      </c>
      <c r="M3392" s="474">
        <f t="shared" si="1763"/>
        <v>153.39839999999998</v>
      </c>
      <c r="O3392" s="434">
        <f t="shared" si="1759"/>
        <v>179.66</v>
      </c>
      <c r="P3392" s="435">
        <f t="shared" si="1760"/>
        <v>176.31999999999999</v>
      </c>
      <c r="AE3392" s="217"/>
      <c r="AF3392" s="217">
        <v>1416</v>
      </c>
      <c r="AH3392">
        <f t="shared" si="1745"/>
        <v>1416</v>
      </c>
    </row>
    <row r="3393" ht="45" hidden="1">
      <c r="A3393" s="217"/>
      <c r="B3393" s="217">
        <v>1416</v>
      </c>
      <c r="C3393" s="217"/>
      <c r="D3393" s="217" t="s">
        <v>17167</v>
      </c>
      <c r="E3393" s="471" t="s">
        <v>20671</v>
      </c>
      <c r="F3393" s="482">
        <v>96620</v>
      </c>
      <c r="G3393" s="470" t="s">
        <v>7009</v>
      </c>
      <c r="H3393" s="471" t="s">
        <v>121</v>
      </c>
      <c r="I3393" s="472">
        <v>0.52900000000000003</v>
      </c>
      <c r="J3393" s="473">
        <f t="shared" si="1754"/>
        <v>722.99000000000001</v>
      </c>
      <c r="K3393" s="474">
        <f t="shared" si="1762"/>
        <v>382.46171000000004</v>
      </c>
      <c r="L3393" s="475">
        <f t="shared" si="1761"/>
        <v>705.89999999999998</v>
      </c>
      <c r="M3393" s="474">
        <f t="shared" si="1763"/>
        <v>373.42110000000002</v>
      </c>
      <c r="O3393" s="434">
        <f t="shared" si="1759"/>
        <v>722.99000000000001</v>
      </c>
      <c r="P3393" s="435">
        <f t="shared" si="1760"/>
        <v>705.89999999999998</v>
      </c>
      <c r="AE3393" s="217"/>
      <c r="AF3393" s="217">
        <v>1416</v>
      </c>
      <c r="AH3393">
        <f t="shared" si="1745"/>
        <v>1416</v>
      </c>
    </row>
    <row r="3394" ht="75" hidden="1">
      <c r="A3394" s="217"/>
      <c r="B3394" s="217">
        <v>1416</v>
      </c>
      <c r="C3394" s="217"/>
      <c r="D3394" s="217" t="s">
        <v>17167</v>
      </c>
      <c r="E3394" s="471" t="s">
        <v>20672</v>
      </c>
      <c r="F3394" s="482">
        <v>94971</v>
      </c>
      <c r="G3394" s="470" t="s">
        <v>8716</v>
      </c>
      <c r="H3394" s="471" t="s">
        <v>15528</v>
      </c>
      <c r="I3394" s="472">
        <v>3.9329999999999998</v>
      </c>
      <c r="J3394" s="473">
        <f t="shared" si="1754"/>
        <v>502.49000000000001</v>
      </c>
      <c r="K3394" s="474">
        <f t="shared" si="1762"/>
        <v>1976.2931699999999</v>
      </c>
      <c r="L3394" s="475">
        <f t="shared" si="1761"/>
        <v>498.00999999999999</v>
      </c>
      <c r="M3394" s="474">
        <f t="shared" si="1763"/>
        <v>1958.6733299999999</v>
      </c>
      <c r="O3394" s="434">
        <f t="shared" si="1759"/>
        <v>502.49000000000001</v>
      </c>
      <c r="P3394" s="435">
        <f t="shared" si="1760"/>
        <v>498.00999999999999</v>
      </c>
      <c r="AE3394" s="217"/>
      <c r="AF3394" s="217">
        <v>1416</v>
      </c>
      <c r="AH3394">
        <f t="shared" si="1745"/>
        <v>1416</v>
      </c>
    </row>
    <row r="3395" ht="60" hidden="1">
      <c r="A3395" s="217"/>
      <c r="B3395" s="217">
        <v>1416</v>
      </c>
      <c r="C3395" s="217"/>
      <c r="D3395" s="217" t="s">
        <v>17167</v>
      </c>
      <c r="E3395" s="471" t="s">
        <v>20673</v>
      </c>
      <c r="F3395" s="482">
        <v>103670</v>
      </c>
      <c r="G3395" s="470" t="s">
        <v>1387</v>
      </c>
      <c r="H3395" s="471" t="s">
        <v>15528</v>
      </c>
      <c r="I3395" s="472">
        <f>I3394</f>
        <v>3.9329999999999998</v>
      </c>
      <c r="J3395" s="473">
        <f t="shared" si="1754"/>
        <v>308.60000000000002</v>
      </c>
      <c r="K3395" s="474">
        <f t="shared" si="1762"/>
        <v>1213.7238</v>
      </c>
      <c r="L3395" s="475">
        <f t="shared" si="1761"/>
        <v>291.69999999999999</v>
      </c>
      <c r="M3395" s="474">
        <f t="shared" si="1763"/>
        <v>1147.2560999999998</v>
      </c>
      <c r="O3395" s="434">
        <f t="shared" si="1759"/>
        <v>308.60000000000002</v>
      </c>
      <c r="P3395" s="435">
        <f t="shared" si="1760"/>
        <v>291.69999999999999</v>
      </c>
      <c r="AE3395" s="217"/>
      <c r="AF3395" s="217">
        <v>1416</v>
      </c>
      <c r="AH3395">
        <f t="shared" si="1745"/>
        <v>1416</v>
      </c>
    </row>
    <row r="3396" ht="75" hidden="1">
      <c r="A3396" s="217"/>
      <c r="B3396" s="217">
        <v>1416</v>
      </c>
      <c r="C3396" s="217"/>
      <c r="D3396" s="217" t="s">
        <v>17167</v>
      </c>
      <c r="E3396" s="471" t="s">
        <v>20675</v>
      </c>
      <c r="F3396" s="482">
        <v>97086</v>
      </c>
      <c r="G3396" s="470" t="s">
        <v>8858</v>
      </c>
      <c r="H3396" s="471" t="s">
        <v>15515</v>
      </c>
      <c r="I3396" s="472">
        <v>2.9700000000000002</v>
      </c>
      <c r="J3396" s="473">
        <f t="shared" si="1754"/>
        <v>133.02000000000001</v>
      </c>
      <c r="K3396" s="474">
        <f t="shared" si="1762"/>
        <v>395.06940000000003</v>
      </c>
      <c r="L3396" s="475">
        <f t="shared" si="1761"/>
        <v>127.40000000000001</v>
      </c>
      <c r="M3396" s="474">
        <f t="shared" si="1763"/>
        <v>378.37800000000004</v>
      </c>
      <c r="O3396" s="434">
        <f t="shared" si="1759"/>
        <v>133.02000000000001</v>
      </c>
      <c r="P3396" s="435">
        <f t="shared" si="1760"/>
        <v>127.40000000000001</v>
      </c>
      <c r="AE3396" s="217"/>
      <c r="AF3396" s="217">
        <v>1416</v>
      </c>
      <c r="AH3396">
        <f t="shared" si="1745"/>
        <v>1416</v>
      </c>
    </row>
    <row r="3397" ht="45" hidden="1">
      <c r="A3397" s="217"/>
      <c r="B3397" s="217">
        <v>1416</v>
      </c>
      <c r="C3397" s="217"/>
      <c r="D3397" s="217" t="s">
        <v>17167</v>
      </c>
      <c r="E3397" s="471" t="s">
        <v>20677</v>
      </c>
      <c r="F3397" s="482">
        <v>92267</v>
      </c>
      <c r="G3397" s="470" t="s">
        <v>4254</v>
      </c>
      <c r="H3397" s="471" t="s">
        <v>15515</v>
      </c>
      <c r="I3397" s="472">
        <v>1.8048</v>
      </c>
      <c r="J3397" s="473">
        <f t="shared" si="1754"/>
        <v>50.18</v>
      </c>
      <c r="K3397" s="474">
        <f t="shared" si="1762"/>
        <v>90.564864</v>
      </c>
      <c r="L3397" s="475">
        <f t="shared" si="1761"/>
        <v>50.109999999999999</v>
      </c>
      <c r="M3397" s="474">
        <f t="shared" si="1763"/>
        <v>90.438527999999991</v>
      </c>
      <c r="O3397" s="434">
        <f t="shared" si="1759"/>
        <v>50.18</v>
      </c>
      <c r="P3397" s="435">
        <f t="shared" si="1760"/>
        <v>50.109999999999999</v>
      </c>
      <c r="AE3397" s="217"/>
      <c r="AF3397" s="217">
        <v>1416</v>
      </c>
      <c r="AH3397">
        <f t="shared" si="1745"/>
        <v>1416</v>
      </c>
    </row>
    <row r="3398" ht="90" hidden="1">
      <c r="A3398" s="217"/>
      <c r="B3398" s="217">
        <v>1416</v>
      </c>
      <c r="C3398" s="217"/>
      <c r="D3398" s="217" t="s">
        <v>17167</v>
      </c>
      <c r="E3398" s="471" t="s">
        <v>20679</v>
      </c>
      <c r="F3398" s="482">
        <v>92419</v>
      </c>
      <c r="G3398" s="470" t="s">
        <v>4308</v>
      </c>
      <c r="H3398" s="471" t="s">
        <v>15515</v>
      </c>
      <c r="I3398" s="472">
        <v>11.256</v>
      </c>
      <c r="J3398" s="473">
        <f t="shared" si="1754"/>
        <v>96.239999999999995</v>
      </c>
      <c r="K3398" s="474">
        <f t="shared" si="1762"/>
        <v>1083.2774400000001</v>
      </c>
      <c r="L3398" s="475">
        <f t="shared" si="1761"/>
        <v>93.900000000000006</v>
      </c>
      <c r="M3398" s="474">
        <f t="shared" si="1763"/>
        <v>1056.9384</v>
      </c>
      <c r="O3398" s="434">
        <f t="shared" si="1759"/>
        <v>96.239999999999995</v>
      </c>
      <c r="P3398" s="435">
        <f t="shared" si="1760"/>
        <v>93.900000000000006</v>
      </c>
      <c r="AE3398" s="217"/>
      <c r="AF3398" s="217">
        <v>1416</v>
      </c>
      <c r="AH3398">
        <f t="shared" si="1745"/>
        <v>1416</v>
      </c>
    </row>
    <row r="3399" ht="60" hidden="1">
      <c r="A3399" s="217"/>
      <c r="B3399" s="217">
        <v>1416</v>
      </c>
      <c r="C3399" s="217"/>
      <c r="D3399" s="217" t="s">
        <v>17167</v>
      </c>
      <c r="E3399" s="471" t="s">
        <v>20681</v>
      </c>
      <c r="F3399" s="482">
        <v>97093</v>
      </c>
      <c r="G3399" s="470" t="s">
        <v>8818</v>
      </c>
      <c r="H3399" s="471" t="s">
        <v>302</v>
      </c>
      <c r="I3399" s="472">
        <v>63.850000000000001</v>
      </c>
      <c r="J3399" s="473">
        <f t="shared" si="1754"/>
        <v>12.140000000000001</v>
      </c>
      <c r="K3399" s="474">
        <f t="shared" si="1762"/>
        <v>775.13900000000001</v>
      </c>
      <c r="L3399" s="475">
        <f t="shared" si="1761"/>
        <v>12.109999999999999</v>
      </c>
      <c r="M3399" s="474">
        <f t="shared" si="1763"/>
        <v>773.22349999999994</v>
      </c>
      <c r="O3399" s="434">
        <f t="shared" si="1759"/>
        <v>12.140000000000001</v>
      </c>
      <c r="P3399" s="435">
        <f t="shared" si="1760"/>
        <v>12.109999999999999</v>
      </c>
      <c r="AE3399" s="217"/>
      <c r="AF3399" s="217">
        <v>1416</v>
      </c>
      <c r="AH3399">
        <f t="shared" ref="AH3399:AH3462" si="1764">IF(AF3399:AF3400=FALSE,AE3399,AF3399)</f>
        <v>1416</v>
      </c>
    </row>
    <row r="3400" ht="60" hidden="1">
      <c r="A3400" s="217"/>
      <c r="B3400" s="217">
        <v>1416</v>
      </c>
      <c r="C3400" s="217"/>
      <c r="D3400" s="217" t="s">
        <v>17167</v>
      </c>
      <c r="E3400" s="471" t="s">
        <v>20683</v>
      </c>
      <c r="F3400" s="482">
        <v>92769</v>
      </c>
      <c r="G3400" s="470" t="s">
        <v>327</v>
      </c>
      <c r="H3400" s="471" t="s">
        <v>302</v>
      </c>
      <c r="I3400" s="472">
        <v>32.700000000000003</v>
      </c>
      <c r="J3400" s="473">
        <f t="shared" si="1754"/>
        <v>12.42</v>
      </c>
      <c r="K3400" s="474">
        <f t="shared" si="1762"/>
        <v>406.13400000000001</v>
      </c>
      <c r="L3400" s="475">
        <f t="shared" si="1761"/>
        <v>12.26</v>
      </c>
      <c r="M3400" s="474">
        <f t="shared" si="1763"/>
        <v>400.90200000000004</v>
      </c>
      <c r="O3400" s="434">
        <f t="shared" si="1759"/>
        <v>12.42</v>
      </c>
      <c r="P3400" s="435">
        <f t="shared" si="1760"/>
        <v>12.26</v>
      </c>
      <c r="AE3400" s="217"/>
      <c r="AF3400" s="217">
        <v>1416</v>
      </c>
      <c r="AH3400">
        <f t="shared" si="1764"/>
        <v>1416</v>
      </c>
    </row>
    <row r="3401" ht="60" hidden="1">
      <c r="A3401" s="217"/>
      <c r="B3401" s="217">
        <v>1416</v>
      </c>
      <c r="C3401" s="217"/>
      <c r="D3401" s="217" t="s">
        <v>17167</v>
      </c>
      <c r="E3401" s="471" t="s">
        <v>20685</v>
      </c>
      <c r="F3401" s="482">
        <v>92771</v>
      </c>
      <c r="G3401" s="470" t="s">
        <v>323</v>
      </c>
      <c r="H3401" s="471" t="s">
        <v>302</v>
      </c>
      <c r="I3401" s="472">
        <v>3.2000000000000002</v>
      </c>
      <c r="J3401" s="473">
        <f t="shared" si="1754"/>
        <v>10.25</v>
      </c>
      <c r="K3401" s="474">
        <f t="shared" si="1762"/>
        <v>32.800000000000004</v>
      </c>
      <c r="L3401" s="475">
        <f t="shared" si="1761"/>
        <v>10.199999999999999</v>
      </c>
      <c r="M3401" s="474">
        <f t="shared" si="1763"/>
        <v>32.640000000000001</v>
      </c>
      <c r="O3401" s="434">
        <f t="shared" si="1759"/>
        <v>10.25</v>
      </c>
      <c r="P3401" s="435">
        <f t="shared" si="1760"/>
        <v>10.199999999999999</v>
      </c>
      <c r="AE3401" s="217"/>
      <c r="AF3401" s="217">
        <v>1416</v>
      </c>
      <c r="AH3401">
        <f t="shared" si="1764"/>
        <v>1416</v>
      </c>
    </row>
    <row r="3402" ht="60" hidden="1">
      <c r="A3402" s="217"/>
      <c r="B3402" s="217">
        <v>1416</v>
      </c>
      <c r="C3402" s="217"/>
      <c r="D3402" s="217" t="s">
        <v>17167</v>
      </c>
      <c r="E3402" s="471" t="s">
        <v>20687</v>
      </c>
      <c r="F3402" s="482">
        <v>92772</v>
      </c>
      <c r="G3402" s="470" t="s">
        <v>324</v>
      </c>
      <c r="H3402" s="471" t="s">
        <v>302</v>
      </c>
      <c r="I3402" s="472">
        <v>5.4000000000000004</v>
      </c>
      <c r="J3402" s="473">
        <f t="shared" si="1754"/>
        <v>8.5600000000000005</v>
      </c>
      <c r="K3402" s="474">
        <f t="shared" si="1762"/>
        <v>46.224000000000004</v>
      </c>
      <c r="L3402" s="475">
        <f t="shared" si="1761"/>
        <v>8.5299999999999994</v>
      </c>
      <c r="M3402" s="474">
        <f t="shared" si="1763"/>
        <v>46.061999999999998</v>
      </c>
      <c r="O3402" s="434">
        <f t="shared" si="1759"/>
        <v>8.5600000000000005</v>
      </c>
      <c r="P3402" s="435">
        <f t="shared" si="1760"/>
        <v>8.5299999999999994</v>
      </c>
      <c r="AE3402" s="217"/>
      <c r="AF3402" s="217">
        <v>1416</v>
      </c>
      <c r="AH3402">
        <f t="shared" si="1764"/>
        <v>1416</v>
      </c>
    </row>
    <row r="3403" ht="60" hidden="1">
      <c r="A3403" s="217"/>
      <c r="B3403" s="217">
        <v>1416</v>
      </c>
      <c r="C3403" s="217"/>
      <c r="D3403" s="217" t="s">
        <v>17167</v>
      </c>
      <c r="E3403" s="471" t="s">
        <v>20689</v>
      </c>
      <c r="F3403" s="482">
        <v>92773</v>
      </c>
      <c r="G3403" s="470" t="s">
        <v>325</v>
      </c>
      <c r="H3403" s="471" t="s">
        <v>302</v>
      </c>
      <c r="I3403" s="472">
        <v>70.5</v>
      </c>
      <c r="J3403" s="473">
        <f t="shared" si="1754"/>
        <v>8.3900000000000006</v>
      </c>
      <c r="K3403" s="474">
        <f t="shared" si="1762"/>
        <v>591.495</v>
      </c>
      <c r="L3403" s="475">
        <f t="shared" si="1761"/>
        <v>8.3599999999999994</v>
      </c>
      <c r="M3403" s="474">
        <f t="shared" si="1763"/>
        <v>589.38</v>
      </c>
      <c r="O3403" s="434">
        <f t="shared" si="1759"/>
        <v>8.3900000000000006</v>
      </c>
      <c r="P3403" s="435">
        <f t="shared" si="1760"/>
        <v>8.3599999999999994</v>
      </c>
      <c r="AE3403" s="217"/>
      <c r="AF3403" s="217">
        <v>1416</v>
      </c>
      <c r="AH3403">
        <f t="shared" si="1764"/>
        <v>1416</v>
      </c>
    </row>
    <row r="3404" ht="30" hidden="1">
      <c r="A3404" s="217"/>
      <c r="B3404" s="217">
        <v>1416</v>
      </c>
      <c r="C3404" s="217"/>
      <c r="D3404" s="217" t="s">
        <v>17167</v>
      </c>
      <c r="E3404" s="471" t="s">
        <v>20882</v>
      </c>
      <c r="F3404" s="482">
        <v>89993</v>
      </c>
      <c r="G3404" s="470" t="s">
        <v>4453</v>
      </c>
      <c r="H3404" s="471" t="s">
        <v>15528</v>
      </c>
      <c r="I3404" s="472">
        <v>5.3999999999999999e-002</v>
      </c>
      <c r="J3404" s="473">
        <f t="shared" si="1754"/>
        <v>1072.4000000000001</v>
      </c>
      <c r="K3404" s="474">
        <f t="shared" si="1762"/>
        <v>57.909600000000005</v>
      </c>
      <c r="L3404" s="475">
        <f t="shared" si="1761"/>
        <v>1045.25</v>
      </c>
      <c r="M3404" s="474">
        <f t="shared" si="1763"/>
        <v>56.4435</v>
      </c>
      <c r="O3404" s="434">
        <f t="shared" si="1759"/>
        <v>1072.4000000000001</v>
      </c>
      <c r="P3404" s="435">
        <f t="shared" si="1760"/>
        <v>1045.25</v>
      </c>
      <c r="AE3404" s="217"/>
      <c r="AF3404" s="217">
        <v>1416</v>
      </c>
      <c r="AH3404">
        <f t="shared" si="1764"/>
        <v>1416</v>
      </c>
    </row>
    <row r="3405" ht="45" hidden="1">
      <c r="A3405" s="217"/>
      <c r="B3405" s="217">
        <v>1416</v>
      </c>
      <c r="C3405" s="217"/>
      <c r="D3405" s="217" t="s">
        <v>17167</v>
      </c>
      <c r="E3405" s="471" t="s">
        <v>22002</v>
      </c>
      <c r="F3405" s="482">
        <v>89995</v>
      </c>
      <c r="G3405" s="470" t="s">
        <v>4452</v>
      </c>
      <c r="H3405" s="471" t="s">
        <v>15528</v>
      </c>
      <c r="I3405" s="472">
        <v>0.14199999999999999</v>
      </c>
      <c r="J3405" s="473">
        <f t="shared" si="1754"/>
        <v>1033.8599999999999</v>
      </c>
      <c r="K3405" s="474">
        <f t="shared" si="1762"/>
        <v>146.80811999999997</v>
      </c>
      <c r="L3405" s="475">
        <f t="shared" si="1761"/>
        <v>1008.86</v>
      </c>
      <c r="M3405" s="474">
        <f t="shared" si="1763"/>
        <v>143.25811999999999</v>
      </c>
      <c r="O3405" s="434">
        <f t="shared" si="1759"/>
        <v>1033.8599999999999</v>
      </c>
      <c r="P3405" s="435">
        <f t="shared" si="1760"/>
        <v>1008.86</v>
      </c>
      <c r="AE3405" s="217"/>
      <c r="AF3405" s="217">
        <v>1416</v>
      </c>
      <c r="AH3405">
        <f t="shared" si="1764"/>
        <v>1416</v>
      </c>
    </row>
    <row r="3406" ht="45" hidden="1">
      <c r="A3406" s="217"/>
      <c r="B3406" s="217">
        <v>1416</v>
      </c>
      <c r="C3406" s="217"/>
      <c r="D3406" s="217" t="s">
        <v>17167</v>
      </c>
      <c r="E3406" s="471" t="s">
        <v>22003</v>
      </c>
      <c r="F3406" s="482">
        <v>102920</v>
      </c>
      <c r="G3406" s="470" t="s">
        <v>4434</v>
      </c>
      <c r="H3406" s="471" t="s">
        <v>302</v>
      </c>
      <c r="I3406" s="472">
        <v>26.199999999999999</v>
      </c>
      <c r="J3406" s="473">
        <f t="shared" si="1754"/>
        <v>8.1099999999999994</v>
      </c>
      <c r="K3406" s="474">
        <f t="shared" si="1762"/>
        <v>212.48199999999997</v>
      </c>
      <c r="L3406" s="475">
        <f t="shared" si="1761"/>
        <v>8.0299999999999994</v>
      </c>
      <c r="M3406" s="474">
        <f t="shared" si="1763"/>
        <v>210.38599999999997</v>
      </c>
      <c r="O3406" s="434">
        <f t="shared" si="1759"/>
        <v>8.1099999999999994</v>
      </c>
      <c r="P3406" s="435">
        <f t="shared" si="1760"/>
        <v>8.0299999999999994</v>
      </c>
      <c r="AE3406" s="217"/>
      <c r="AF3406" s="217">
        <v>1416</v>
      </c>
      <c r="AH3406">
        <f t="shared" si="1764"/>
        <v>1416</v>
      </c>
    </row>
    <row r="3407" ht="45" hidden="1">
      <c r="A3407" s="217"/>
      <c r="B3407" s="217">
        <v>1416</v>
      </c>
      <c r="C3407" s="217"/>
      <c r="D3407" s="217" t="s">
        <v>17167</v>
      </c>
      <c r="E3407" s="471" t="s">
        <v>22302</v>
      </c>
      <c r="F3407" s="482">
        <v>89996</v>
      </c>
      <c r="G3407" s="470" t="s">
        <v>4440</v>
      </c>
      <c r="H3407" s="471" t="s">
        <v>302</v>
      </c>
      <c r="I3407" s="472">
        <v>27.5</v>
      </c>
      <c r="J3407" s="473">
        <f t="shared" si="1754"/>
        <v>10.470000000000001</v>
      </c>
      <c r="K3407" s="474">
        <f t="shared" si="1762"/>
        <v>287.92500000000001</v>
      </c>
      <c r="L3407" s="475">
        <f t="shared" si="1761"/>
        <v>10.33</v>
      </c>
      <c r="M3407" s="474">
        <f t="shared" si="1763"/>
        <v>284.07499999999999</v>
      </c>
      <c r="O3407" s="434">
        <f t="shared" si="1759"/>
        <v>10.470000000000001</v>
      </c>
      <c r="P3407" s="435">
        <f t="shared" si="1760"/>
        <v>10.33</v>
      </c>
      <c r="AE3407" s="217"/>
      <c r="AF3407" s="217">
        <v>1416</v>
      </c>
      <c r="AH3407">
        <f t="shared" si="1764"/>
        <v>1416</v>
      </c>
    </row>
    <row r="3408" ht="90" hidden="1">
      <c r="A3408" s="217"/>
      <c r="B3408" s="217">
        <v>1416</v>
      </c>
      <c r="C3408" s="217"/>
      <c r="D3408" s="217" t="s">
        <v>17167</v>
      </c>
      <c r="E3408" s="471" t="s">
        <v>22305</v>
      </c>
      <c r="F3408" s="482">
        <v>87286</v>
      </c>
      <c r="G3408" s="470" t="s">
        <v>174</v>
      </c>
      <c r="H3408" s="471" t="s">
        <v>15528</v>
      </c>
      <c r="I3408" s="472">
        <v>0.109</v>
      </c>
      <c r="J3408" s="473">
        <f t="shared" si="1754"/>
        <v>607.99000000000001</v>
      </c>
      <c r="K3408" s="474">
        <f t="shared" si="1762"/>
        <v>66.270910000000001</v>
      </c>
      <c r="L3408" s="475">
        <f t="shared" si="1761"/>
        <v>599.37</v>
      </c>
      <c r="M3408" s="474">
        <f t="shared" si="1763"/>
        <v>65.331329999999994</v>
      </c>
      <c r="O3408" s="434">
        <f t="shared" si="1759"/>
        <v>607.99000000000001</v>
      </c>
      <c r="P3408" s="435">
        <f t="shared" si="1760"/>
        <v>599.37</v>
      </c>
      <c r="AE3408" s="217"/>
      <c r="AF3408" s="217">
        <v>1416</v>
      </c>
      <c r="AH3408">
        <f t="shared" si="1764"/>
        <v>1416</v>
      </c>
    </row>
    <row r="3409" ht="75" hidden="1">
      <c r="A3409" s="217"/>
      <c r="B3409" s="217">
        <v>1416</v>
      </c>
      <c r="C3409" s="217"/>
      <c r="D3409" s="217" t="s">
        <v>17167</v>
      </c>
      <c r="E3409" s="471" t="s">
        <v>22306</v>
      </c>
      <c r="F3409" s="482">
        <v>100475</v>
      </c>
      <c r="G3409" s="470" t="s">
        <v>205</v>
      </c>
      <c r="H3409" s="471" t="s">
        <v>15528</v>
      </c>
      <c r="I3409" s="472">
        <v>0.20999999999999999</v>
      </c>
      <c r="J3409" s="473">
        <f t="shared" si="1754"/>
        <v>725.75</v>
      </c>
      <c r="K3409" s="474">
        <f t="shared" si="1762"/>
        <v>152.4075</v>
      </c>
      <c r="L3409" s="475">
        <f t="shared" si="1761"/>
        <v>719.49000000000001</v>
      </c>
      <c r="M3409" s="474">
        <f t="shared" si="1763"/>
        <v>151.09289999999999</v>
      </c>
      <c r="O3409" s="434">
        <f t="shared" si="1759"/>
        <v>725.75</v>
      </c>
      <c r="P3409" s="435">
        <f t="shared" si="1760"/>
        <v>719.49000000000001</v>
      </c>
      <c r="AE3409" s="217"/>
      <c r="AF3409" s="217">
        <v>1416</v>
      </c>
      <c r="AH3409">
        <f t="shared" si="1764"/>
        <v>1416</v>
      </c>
    </row>
    <row r="3410" ht="110.25" hidden="1">
      <c r="A3410" s="460">
        <v>1417</v>
      </c>
      <c r="B3410" s="460">
        <v>1417</v>
      </c>
      <c r="C3410" s="460"/>
      <c r="D3410" s="460"/>
      <c r="E3410" s="461">
        <v>1</v>
      </c>
      <c r="F3410" s="462" t="s">
        <v>22307</v>
      </c>
      <c r="G3410" s="477" t="s">
        <v>22308</v>
      </c>
      <c r="H3410" s="478" t="s">
        <v>20647</v>
      </c>
      <c r="I3410" s="479"/>
      <c r="J3410" s="480"/>
      <c r="K3410" s="466">
        <f>SUM(K3411:K3434)</f>
        <v>13687.788944000002</v>
      </c>
      <c r="L3410" s="480"/>
      <c r="M3410" s="466">
        <f>SUM(M3411:M3434)</f>
        <v>13407.810770999999</v>
      </c>
      <c r="O3410" s="434" t="str">
        <f t="shared" si="1759"/>
        <v xml:space="preserve">SEM VALOR</v>
      </c>
      <c r="P3410" s="435" t="str">
        <f t="shared" si="1760"/>
        <v xml:space="preserve">SEM VALOR</v>
      </c>
      <c r="R3410" s="143" t="s">
        <v>22301</v>
      </c>
      <c r="AE3410" s="460">
        <v>1417</v>
      </c>
      <c r="AF3410" s="460"/>
      <c r="AH3410">
        <f t="shared" si="1764"/>
        <v>1417</v>
      </c>
    </row>
    <row r="3411" ht="30" hidden="1">
      <c r="A3411" s="217"/>
      <c r="B3411" s="217">
        <v>1417</v>
      </c>
      <c r="C3411" s="217"/>
      <c r="D3411" s="217" t="s">
        <v>17167</v>
      </c>
      <c r="E3411" s="471" t="s">
        <v>20399</v>
      </c>
      <c r="F3411" s="482">
        <v>88309</v>
      </c>
      <c r="G3411" s="470" t="s">
        <v>7385</v>
      </c>
      <c r="H3411" s="471" t="s">
        <v>2032</v>
      </c>
      <c r="I3411" s="472">
        <v>18.874500000000001</v>
      </c>
      <c r="J3411" s="473">
        <f t="shared" si="1754"/>
        <v>28.5</v>
      </c>
      <c r="K3411" s="474">
        <f t="shared" ref="K3411:K3434" si="1765">I3411*J3411</f>
        <v>537.92325000000005</v>
      </c>
      <c r="L3411" s="475">
        <f t="shared" si="1761"/>
        <v>26.870000000000001</v>
      </c>
      <c r="M3411" s="474">
        <f t="shared" ref="M3411:M3434" si="1766">L3411*I3411</f>
        <v>507.15781500000003</v>
      </c>
      <c r="O3411" s="434">
        <f t="shared" si="1759"/>
        <v>28.5</v>
      </c>
      <c r="P3411" s="435">
        <f t="shared" si="1760"/>
        <v>26.870000000000001</v>
      </c>
      <c r="AE3411" s="217"/>
      <c r="AF3411" s="217">
        <v>1417</v>
      </c>
      <c r="AH3411">
        <f t="shared" si="1764"/>
        <v>1417</v>
      </c>
    </row>
    <row r="3412" ht="30" hidden="1">
      <c r="A3412" s="217"/>
      <c r="B3412" s="217">
        <v>1417</v>
      </c>
      <c r="C3412" s="217"/>
      <c r="D3412" s="217" t="s">
        <v>17167</v>
      </c>
      <c r="E3412" s="471" t="s">
        <v>20402</v>
      </c>
      <c r="F3412" s="482">
        <v>88316</v>
      </c>
      <c r="G3412" s="488" t="s">
        <v>7393</v>
      </c>
      <c r="H3412" s="471" t="s">
        <v>2032</v>
      </c>
      <c r="I3412" s="472">
        <v>14.5342</v>
      </c>
      <c r="J3412" s="473">
        <f t="shared" si="1754"/>
        <v>22.760000000000002</v>
      </c>
      <c r="K3412" s="474">
        <f t="shared" si="1765"/>
        <v>330.79839200000004</v>
      </c>
      <c r="L3412" s="475">
        <f t="shared" si="1761"/>
        <v>21.550000000000001</v>
      </c>
      <c r="M3412" s="474">
        <f t="shared" si="1766"/>
        <v>313.21201000000002</v>
      </c>
      <c r="O3412" s="434">
        <f t="shared" si="1759"/>
        <v>22.760000000000002</v>
      </c>
      <c r="P3412" s="435">
        <f t="shared" si="1760"/>
        <v>21.550000000000001</v>
      </c>
      <c r="AE3412" s="217"/>
      <c r="AF3412" s="217">
        <v>1417</v>
      </c>
      <c r="AH3412">
        <f t="shared" si="1764"/>
        <v>1417</v>
      </c>
    </row>
    <row r="3413" ht="30" hidden="1">
      <c r="A3413" s="217"/>
      <c r="B3413" s="217">
        <v>1417</v>
      </c>
      <c r="C3413" s="217"/>
      <c r="D3413" s="217" t="s">
        <v>20453</v>
      </c>
      <c r="E3413" s="471" t="s">
        <v>20405</v>
      </c>
      <c r="F3413" s="482" t="s">
        <v>20261</v>
      </c>
      <c r="G3413" s="470" t="s">
        <v>20262</v>
      </c>
      <c r="H3413" s="471" t="s">
        <v>31</v>
      </c>
      <c r="I3413" s="472">
        <v>120.95</v>
      </c>
      <c r="J3413" s="473">
        <f t="shared" si="1754"/>
        <v>5.8300000000000001</v>
      </c>
      <c r="K3413" s="474">
        <f t="shared" si="1765"/>
        <v>705.13850000000002</v>
      </c>
      <c r="L3413" s="475">
        <f t="shared" si="1761"/>
        <v>5.8300000000000001</v>
      </c>
      <c r="M3413" s="474">
        <f t="shared" si="1766"/>
        <v>705.13850000000002</v>
      </c>
      <c r="O3413" s="434">
        <f t="shared" si="1759"/>
        <v>5.8300000000000001</v>
      </c>
      <c r="P3413" s="435">
        <f t="shared" si="1760"/>
        <v>5.8300000000000001</v>
      </c>
      <c r="AE3413" s="217"/>
      <c r="AF3413" s="217">
        <v>1417</v>
      </c>
      <c r="AH3413">
        <f t="shared" si="1764"/>
        <v>1417</v>
      </c>
    </row>
    <row r="3414" ht="45" hidden="1">
      <c r="A3414" s="217"/>
      <c r="B3414" s="217">
        <v>1417</v>
      </c>
      <c r="C3414" s="217"/>
      <c r="D3414" s="217" t="s">
        <v>20453</v>
      </c>
      <c r="E3414" s="471" t="s">
        <v>20409</v>
      </c>
      <c r="F3414" s="482" t="s">
        <v>20263</v>
      </c>
      <c r="G3414" s="470" t="s">
        <v>20264</v>
      </c>
      <c r="H3414" s="471" t="s">
        <v>31</v>
      </c>
      <c r="I3414" s="472">
        <v>20.100000000000001</v>
      </c>
      <c r="J3414" s="473">
        <f t="shared" si="1754"/>
        <v>3.2999999999999998</v>
      </c>
      <c r="K3414" s="474">
        <f t="shared" si="1765"/>
        <v>66.329999999999998</v>
      </c>
      <c r="L3414" s="475">
        <f t="shared" si="1761"/>
        <v>3.2999999999999998</v>
      </c>
      <c r="M3414" s="474">
        <f t="shared" si="1766"/>
        <v>66.329999999999998</v>
      </c>
      <c r="O3414" s="434">
        <f t="shared" si="1759"/>
        <v>3.2999999999999998</v>
      </c>
      <c r="P3414" s="435">
        <f t="shared" si="1760"/>
        <v>3.2999999999999998</v>
      </c>
      <c r="AE3414" s="217"/>
      <c r="AF3414" s="217">
        <v>1417</v>
      </c>
      <c r="AH3414">
        <f t="shared" si="1764"/>
        <v>1417</v>
      </c>
    </row>
    <row r="3415" ht="45" hidden="1">
      <c r="A3415" s="217"/>
      <c r="B3415" s="217">
        <v>1417</v>
      </c>
      <c r="C3415" s="217"/>
      <c r="D3415" s="217" t="s">
        <v>20453</v>
      </c>
      <c r="E3415" s="471" t="s">
        <v>20663</v>
      </c>
      <c r="F3415" s="482" t="s">
        <v>20265</v>
      </c>
      <c r="G3415" s="488" t="s">
        <v>20266</v>
      </c>
      <c r="H3415" s="471" t="s">
        <v>31</v>
      </c>
      <c r="I3415" s="472">
        <v>40.200000000000003</v>
      </c>
      <c r="J3415" s="473">
        <f t="shared" si="1754"/>
        <v>6.9199999999999999</v>
      </c>
      <c r="K3415" s="474">
        <f t="shared" si="1765"/>
        <v>278.18400000000003</v>
      </c>
      <c r="L3415" s="475">
        <f t="shared" si="1761"/>
        <v>6.9199999999999999</v>
      </c>
      <c r="M3415" s="474">
        <f t="shared" si="1766"/>
        <v>278.18400000000003</v>
      </c>
      <c r="O3415" s="434">
        <f t="shared" si="1759"/>
        <v>6.9199999999999999</v>
      </c>
      <c r="P3415" s="435">
        <f t="shared" si="1760"/>
        <v>6.9199999999999999</v>
      </c>
      <c r="AE3415" s="217"/>
      <c r="AF3415" s="217">
        <v>1417</v>
      </c>
      <c r="AH3415">
        <f t="shared" si="1764"/>
        <v>1417</v>
      </c>
    </row>
    <row r="3416" ht="75" hidden="1">
      <c r="A3416" s="217"/>
      <c r="B3416" s="217">
        <v>1417</v>
      </c>
      <c r="C3416" s="217"/>
      <c r="D3416" s="217" t="s">
        <v>17167</v>
      </c>
      <c r="E3416" s="471" t="s">
        <v>20665</v>
      </c>
      <c r="F3416" s="482">
        <v>97083</v>
      </c>
      <c r="G3416" s="470" t="s">
        <v>8822</v>
      </c>
      <c r="H3416" s="471" t="s">
        <v>15515</v>
      </c>
      <c r="I3416" s="472">
        <v>12.300000000000001</v>
      </c>
      <c r="J3416" s="473">
        <f t="shared" si="1754"/>
        <v>3.4900000000000002</v>
      </c>
      <c r="K3416" s="474">
        <f t="shared" si="1765"/>
        <v>42.927000000000007</v>
      </c>
      <c r="L3416" s="475">
        <f t="shared" si="1761"/>
        <v>3.2999999999999998</v>
      </c>
      <c r="M3416" s="474">
        <f t="shared" si="1766"/>
        <v>40.590000000000003</v>
      </c>
      <c r="O3416" s="434">
        <f t="shared" si="1759"/>
        <v>3.4900000000000002</v>
      </c>
      <c r="P3416" s="435">
        <f t="shared" si="1760"/>
        <v>3.2999999999999998</v>
      </c>
      <c r="AE3416" s="217"/>
      <c r="AF3416" s="217">
        <v>1417</v>
      </c>
      <c r="AH3416">
        <f t="shared" si="1764"/>
        <v>1417</v>
      </c>
    </row>
    <row r="3417" ht="75" hidden="1">
      <c r="A3417" s="217"/>
      <c r="B3417" s="217">
        <v>1417</v>
      </c>
      <c r="C3417" s="217"/>
      <c r="D3417" s="217" t="s">
        <v>17167</v>
      </c>
      <c r="E3417" s="471" t="s">
        <v>20667</v>
      </c>
      <c r="F3417" s="482">
        <v>100324</v>
      </c>
      <c r="G3417" s="470" t="s">
        <v>6998</v>
      </c>
      <c r="H3417" s="471" t="s">
        <v>15528</v>
      </c>
      <c r="I3417" s="472">
        <v>1.23</v>
      </c>
      <c r="J3417" s="473">
        <f t="shared" si="1754"/>
        <v>179.66</v>
      </c>
      <c r="K3417" s="474">
        <f t="shared" si="1765"/>
        <v>220.98179999999999</v>
      </c>
      <c r="L3417" s="475">
        <f t="shared" si="1761"/>
        <v>176.31999999999999</v>
      </c>
      <c r="M3417" s="474">
        <f t="shared" si="1766"/>
        <v>216.87359999999998</v>
      </c>
      <c r="O3417" s="434">
        <f t="shared" si="1759"/>
        <v>179.66</v>
      </c>
      <c r="P3417" s="435">
        <f t="shared" si="1760"/>
        <v>176.31999999999999</v>
      </c>
      <c r="AE3417" s="217"/>
      <c r="AF3417" s="217">
        <v>1417</v>
      </c>
      <c r="AH3417">
        <f t="shared" si="1764"/>
        <v>1417</v>
      </c>
    </row>
    <row r="3418" ht="45" hidden="1">
      <c r="A3418" s="217"/>
      <c r="B3418" s="217">
        <v>1417</v>
      </c>
      <c r="C3418" s="217"/>
      <c r="D3418" s="217" t="s">
        <v>17167</v>
      </c>
      <c r="E3418" s="471" t="s">
        <v>20671</v>
      </c>
      <c r="F3418" s="482">
        <v>96620</v>
      </c>
      <c r="G3418" s="470" t="s">
        <v>7009</v>
      </c>
      <c r="H3418" s="471" t="s">
        <v>121</v>
      </c>
      <c r="I3418" s="472">
        <v>0.76400000000000001</v>
      </c>
      <c r="J3418" s="473">
        <f t="shared" si="1754"/>
        <v>722.99000000000001</v>
      </c>
      <c r="K3418" s="474">
        <f t="shared" si="1765"/>
        <v>552.36436000000003</v>
      </c>
      <c r="L3418" s="475">
        <f t="shared" si="1761"/>
        <v>705.89999999999998</v>
      </c>
      <c r="M3418" s="474">
        <f t="shared" si="1766"/>
        <v>539.30759999999998</v>
      </c>
      <c r="O3418" s="434">
        <f t="shared" si="1759"/>
        <v>722.99000000000001</v>
      </c>
      <c r="P3418" s="435">
        <f t="shared" si="1760"/>
        <v>705.89999999999998</v>
      </c>
      <c r="AE3418" s="217"/>
      <c r="AF3418" s="217">
        <v>1417</v>
      </c>
      <c r="AH3418">
        <f t="shared" si="1764"/>
        <v>1417</v>
      </c>
    </row>
    <row r="3419" ht="75" hidden="1">
      <c r="A3419" s="217"/>
      <c r="B3419" s="217">
        <v>1417</v>
      </c>
      <c r="C3419" s="217"/>
      <c r="D3419" s="217" t="s">
        <v>17167</v>
      </c>
      <c r="E3419" s="471" t="s">
        <v>20672</v>
      </c>
      <c r="F3419" s="482">
        <v>94971</v>
      </c>
      <c r="G3419" s="470" t="s">
        <v>8716</v>
      </c>
      <c r="H3419" s="471" t="s">
        <v>15528</v>
      </c>
      <c r="I3419" s="472">
        <v>5.6399999999999997</v>
      </c>
      <c r="J3419" s="473">
        <f t="shared" si="1754"/>
        <v>502.49000000000001</v>
      </c>
      <c r="K3419" s="474">
        <f t="shared" si="1765"/>
        <v>2834.0436</v>
      </c>
      <c r="L3419" s="475">
        <f t="shared" si="1761"/>
        <v>498.00999999999999</v>
      </c>
      <c r="M3419" s="474">
        <f t="shared" si="1766"/>
        <v>2808.7763999999997</v>
      </c>
      <c r="O3419" s="434">
        <f t="shared" si="1759"/>
        <v>502.49000000000001</v>
      </c>
      <c r="P3419" s="435">
        <f t="shared" si="1760"/>
        <v>498.00999999999999</v>
      </c>
      <c r="AE3419" s="217"/>
      <c r="AF3419" s="217">
        <v>1417</v>
      </c>
      <c r="AH3419">
        <f t="shared" si="1764"/>
        <v>1417</v>
      </c>
    </row>
    <row r="3420" ht="60" hidden="1">
      <c r="A3420" s="217"/>
      <c r="B3420" s="217">
        <v>1417</v>
      </c>
      <c r="C3420" s="217"/>
      <c r="D3420" s="217" t="s">
        <v>17167</v>
      </c>
      <c r="E3420" s="471" t="s">
        <v>20673</v>
      </c>
      <c r="F3420" s="482">
        <v>103670</v>
      </c>
      <c r="G3420" s="470" t="s">
        <v>1387</v>
      </c>
      <c r="H3420" s="471" t="s">
        <v>15528</v>
      </c>
      <c r="I3420" s="472">
        <f>I3419</f>
        <v>5.6399999999999997</v>
      </c>
      <c r="J3420" s="473">
        <f t="shared" si="1754"/>
        <v>308.60000000000002</v>
      </c>
      <c r="K3420" s="474">
        <f t="shared" si="1765"/>
        <v>1740.5040000000001</v>
      </c>
      <c r="L3420" s="475">
        <f t="shared" si="1761"/>
        <v>291.69999999999999</v>
      </c>
      <c r="M3420" s="474">
        <f t="shared" si="1766"/>
        <v>1645.1879999999999</v>
      </c>
      <c r="O3420" s="434">
        <f t="shared" si="1759"/>
        <v>308.60000000000002</v>
      </c>
      <c r="P3420" s="435">
        <f t="shared" si="1760"/>
        <v>291.69999999999999</v>
      </c>
      <c r="AE3420" s="217"/>
      <c r="AF3420" s="217">
        <v>1417</v>
      </c>
      <c r="AH3420">
        <f t="shared" si="1764"/>
        <v>1417</v>
      </c>
    </row>
    <row r="3421" ht="75" hidden="1">
      <c r="A3421" s="217"/>
      <c r="B3421" s="217">
        <v>1417</v>
      </c>
      <c r="C3421" s="217"/>
      <c r="D3421" s="217" t="s">
        <v>17167</v>
      </c>
      <c r="E3421" s="471" t="s">
        <v>20675</v>
      </c>
      <c r="F3421" s="482">
        <v>97086</v>
      </c>
      <c r="G3421" s="470" t="s">
        <v>8858</v>
      </c>
      <c r="H3421" s="471" t="s">
        <v>15515</v>
      </c>
      <c r="I3421" s="472">
        <v>3.6179999999999999</v>
      </c>
      <c r="J3421" s="473">
        <f t="shared" si="1754"/>
        <v>133.02000000000001</v>
      </c>
      <c r="K3421" s="474">
        <f t="shared" si="1765"/>
        <v>481.26636000000002</v>
      </c>
      <c r="L3421" s="475">
        <f t="shared" si="1761"/>
        <v>127.40000000000001</v>
      </c>
      <c r="M3421" s="474">
        <f t="shared" si="1766"/>
        <v>460.9332</v>
      </c>
      <c r="O3421" s="434">
        <f t="shared" si="1759"/>
        <v>133.02000000000001</v>
      </c>
      <c r="P3421" s="435">
        <f t="shared" si="1760"/>
        <v>127.40000000000001</v>
      </c>
      <c r="AE3421" s="217"/>
      <c r="AF3421" s="217">
        <v>1417</v>
      </c>
      <c r="AH3421">
        <f t="shared" si="1764"/>
        <v>1417</v>
      </c>
    </row>
    <row r="3422" ht="45" hidden="1">
      <c r="A3422" s="217"/>
      <c r="B3422" s="217">
        <v>1417</v>
      </c>
      <c r="C3422" s="217"/>
      <c r="D3422" s="217" t="s">
        <v>17167</v>
      </c>
      <c r="E3422" s="471" t="s">
        <v>20677</v>
      </c>
      <c r="F3422" s="482">
        <v>92267</v>
      </c>
      <c r="G3422" s="470" t="s">
        <v>4254</v>
      </c>
      <c r="H3422" s="471" t="s">
        <v>15515</v>
      </c>
      <c r="I3422" s="472">
        <v>2.9535999999999998</v>
      </c>
      <c r="J3422" s="473">
        <f t="shared" ref="J3422:J3485" si="1767">O3422*$J$3</f>
        <v>50.18</v>
      </c>
      <c r="K3422" s="474">
        <f t="shared" si="1765"/>
        <v>148.211648</v>
      </c>
      <c r="L3422" s="475">
        <f t="shared" si="1761"/>
        <v>50.109999999999999</v>
      </c>
      <c r="M3422" s="474">
        <f t="shared" si="1766"/>
        <v>148.00489599999997</v>
      </c>
      <c r="O3422" s="434">
        <f t="shared" si="1759"/>
        <v>50.18</v>
      </c>
      <c r="P3422" s="435">
        <f t="shared" si="1760"/>
        <v>50.109999999999999</v>
      </c>
      <c r="AE3422" s="217"/>
      <c r="AF3422" s="217">
        <v>1417</v>
      </c>
      <c r="AH3422">
        <f t="shared" si="1764"/>
        <v>1417</v>
      </c>
    </row>
    <row r="3423" ht="90" hidden="1">
      <c r="A3423" s="217"/>
      <c r="B3423" s="217">
        <v>1417</v>
      </c>
      <c r="C3423" s="217"/>
      <c r="D3423" s="217" t="s">
        <v>17167</v>
      </c>
      <c r="E3423" s="471" t="s">
        <v>20679</v>
      </c>
      <c r="F3423" s="482">
        <v>92419</v>
      </c>
      <c r="G3423" s="470" t="s">
        <v>4308</v>
      </c>
      <c r="H3423" s="471" t="s">
        <v>15515</v>
      </c>
      <c r="I3423" s="472">
        <v>14.5831</v>
      </c>
      <c r="J3423" s="473">
        <f t="shared" si="1767"/>
        <v>96.239999999999995</v>
      </c>
      <c r="K3423" s="474">
        <f t="shared" si="1765"/>
        <v>1403.4775439999999</v>
      </c>
      <c r="L3423" s="475">
        <f t="shared" si="1761"/>
        <v>93.900000000000006</v>
      </c>
      <c r="M3423" s="474">
        <f t="shared" si="1766"/>
        <v>1369.3530900000001</v>
      </c>
      <c r="O3423" s="434">
        <f t="shared" si="1759"/>
        <v>96.239999999999995</v>
      </c>
      <c r="P3423" s="435">
        <f t="shared" si="1760"/>
        <v>93.900000000000006</v>
      </c>
      <c r="AE3423" s="217"/>
      <c r="AF3423" s="217">
        <v>1417</v>
      </c>
      <c r="AH3423">
        <f t="shared" si="1764"/>
        <v>1417</v>
      </c>
    </row>
    <row r="3424" ht="60" hidden="1">
      <c r="A3424" s="217"/>
      <c r="B3424" s="217">
        <v>1417</v>
      </c>
      <c r="C3424" s="217"/>
      <c r="D3424" s="217" t="s">
        <v>17167</v>
      </c>
      <c r="E3424" s="471" t="s">
        <v>20681</v>
      </c>
      <c r="F3424" s="482">
        <v>97093</v>
      </c>
      <c r="G3424" s="470" t="s">
        <v>8818</v>
      </c>
      <c r="H3424" s="471" t="s">
        <v>302</v>
      </c>
      <c r="I3424" s="472">
        <v>93.099999999999994</v>
      </c>
      <c r="J3424" s="473">
        <f t="shared" si="1767"/>
        <v>12.140000000000001</v>
      </c>
      <c r="K3424" s="474">
        <f t="shared" si="1765"/>
        <v>1130.2339999999999</v>
      </c>
      <c r="L3424" s="475">
        <f t="shared" si="1761"/>
        <v>12.109999999999999</v>
      </c>
      <c r="M3424" s="474">
        <f t="shared" si="1766"/>
        <v>1127.4409999999998</v>
      </c>
      <c r="O3424" s="434">
        <f t="shared" si="1759"/>
        <v>12.140000000000001</v>
      </c>
      <c r="P3424" s="435">
        <f t="shared" si="1760"/>
        <v>12.109999999999999</v>
      </c>
      <c r="AE3424" s="217"/>
      <c r="AF3424" s="217">
        <v>1417</v>
      </c>
      <c r="AH3424">
        <f t="shared" si="1764"/>
        <v>1417</v>
      </c>
    </row>
    <row r="3425" ht="60" hidden="1">
      <c r="A3425" s="217"/>
      <c r="B3425" s="217">
        <v>1417</v>
      </c>
      <c r="C3425" s="217"/>
      <c r="D3425" s="217" t="s">
        <v>17167</v>
      </c>
      <c r="E3425" s="471" t="s">
        <v>20683</v>
      </c>
      <c r="F3425" s="482">
        <v>92769</v>
      </c>
      <c r="G3425" s="470" t="s">
        <v>327</v>
      </c>
      <c r="H3425" s="471" t="s">
        <v>302</v>
      </c>
      <c r="I3425" s="472">
        <v>51.100000000000001</v>
      </c>
      <c r="J3425" s="473">
        <f t="shared" si="1767"/>
        <v>12.42</v>
      </c>
      <c r="K3425" s="474">
        <f t="shared" si="1765"/>
        <v>634.66200000000003</v>
      </c>
      <c r="L3425" s="475">
        <f t="shared" si="1761"/>
        <v>12.26</v>
      </c>
      <c r="M3425" s="474">
        <f t="shared" si="1766"/>
        <v>626.48599999999999</v>
      </c>
      <c r="O3425" s="434">
        <f t="shared" si="1759"/>
        <v>12.42</v>
      </c>
      <c r="P3425" s="435">
        <f t="shared" si="1760"/>
        <v>12.26</v>
      </c>
      <c r="AE3425" s="217"/>
      <c r="AF3425" s="217">
        <v>1417</v>
      </c>
      <c r="AH3425">
        <f t="shared" si="1764"/>
        <v>1417</v>
      </c>
    </row>
    <row r="3426" ht="60" hidden="1">
      <c r="A3426" s="217"/>
      <c r="B3426" s="217">
        <v>1417</v>
      </c>
      <c r="C3426" s="217"/>
      <c r="D3426" s="217" t="s">
        <v>17167</v>
      </c>
      <c r="E3426" s="471" t="s">
        <v>20685</v>
      </c>
      <c r="F3426" s="482">
        <v>92771</v>
      </c>
      <c r="G3426" s="470" t="s">
        <v>323</v>
      </c>
      <c r="H3426" s="471" t="s">
        <v>302</v>
      </c>
      <c r="I3426" s="472">
        <v>3.2000000000000002</v>
      </c>
      <c r="J3426" s="473">
        <f t="shared" si="1767"/>
        <v>10.25</v>
      </c>
      <c r="K3426" s="474">
        <f t="shared" si="1765"/>
        <v>32.800000000000004</v>
      </c>
      <c r="L3426" s="475">
        <f t="shared" si="1761"/>
        <v>10.199999999999999</v>
      </c>
      <c r="M3426" s="474">
        <f t="shared" si="1766"/>
        <v>32.640000000000001</v>
      </c>
      <c r="O3426" s="434">
        <f t="shared" si="1759"/>
        <v>10.25</v>
      </c>
      <c r="P3426" s="435">
        <f t="shared" si="1760"/>
        <v>10.199999999999999</v>
      </c>
      <c r="AE3426" s="217"/>
      <c r="AF3426" s="217">
        <v>1417</v>
      </c>
      <c r="AH3426">
        <f t="shared" si="1764"/>
        <v>1417</v>
      </c>
    </row>
    <row r="3427" ht="60" hidden="1">
      <c r="A3427" s="217"/>
      <c r="B3427" s="217">
        <v>1417</v>
      </c>
      <c r="C3427" s="217"/>
      <c r="D3427" s="217" t="s">
        <v>17167</v>
      </c>
      <c r="E3427" s="471" t="s">
        <v>20687</v>
      </c>
      <c r="F3427" s="482">
        <v>92772</v>
      </c>
      <c r="G3427" s="470" t="s">
        <v>324</v>
      </c>
      <c r="H3427" s="471" t="s">
        <v>302</v>
      </c>
      <c r="I3427" s="472">
        <v>8</v>
      </c>
      <c r="J3427" s="473">
        <f t="shared" si="1767"/>
        <v>8.5600000000000005</v>
      </c>
      <c r="K3427" s="474">
        <f t="shared" si="1765"/>
        <v>68.480000000000004</v>
      </c>
      <c r="L3427" s="475">
        <f t="shared" si="1761"/>
        <v>8.5299999999999994</v>
      </c>
      <c r="M3427" s="474">
        <f t="shared" si="1766"/>
        <v>68.239999999999995</v>
      </c>
      <c r="O3427" s="434">
        <f t="shared" si="1759"/>
        <v>8.5600000000000005</v>
      </c>
      <c r="P3427" s="435">
        <f t="shared" si="1760"/>
        <v>8.5299999999999994</v>
      </c>
      <c r="AE3427" s="217"/>
      <c r="AF3427" s="217">
        <v>1417</v>
      </c>
      <c r="AH3427">
        <f t="shared" si="1764"/>
        <v>1417</v>
      </c>
    </row>
    <row r="3428" ht="60" hidden="1">
      <c r="A3428" s="217"/>
      <c r="B3428" s="217">
        <v>1417</v>
      </c>
      <c r="C3428" s="217"/>
      <c r="D3428" s="217" t="s">
        <v>17167</v>
      </c>
      <c r="E3428" s="471" t="s">
        <v>20689</v>
      </c>
      <c r="F3428" s="482">
        <v>92773</v>
      </c>
      <c r="G3428" s="470" t="s">
        <v>325</v>
      </c>
      <c r="H3428" s="471" t="s">
        <v>302</v>
      </c>
      <c r="I3428" s="472">
        <v>109.40000000000001</v>
      </c>
      <c r="J3428" s="473">
        <f t="shared" si="1767"/>
        <v>8.3900000000000006</v>
      </c>
      <c r="K3428" s="474">
        <f t="shared" si="1765"/>
        <v>917.8660000000001</v>
      </c>
      <c r="L3428" s="475">
        <f t="shared" si="1761"/>
        <v>8.3599999999999994</v>
      </c>
      <c r="M3428" s="474">
        <f t="shared" si="1766"/>
        <v>914.58399999999995</v>
      </c>
      <c r="O3428" s="434">
        <f t="shared" si="1759"/>
        <v>8.3900000000000006</v>
      </c>
      <c r="P3428" s="435">
        <f t="shared" si="1760"/>
        <v>8.3599999999999994</v>
      </c>
      <c r="AE3428" s="217"/>
      <c r="AF3428" s="217">
        <v>1417</v>
      </c>
      <c r="AH3428">
        <f t="shared" si="1764"/>
        <v>1417</v>
      </c>
    </row>
    <row r="3429" ht="30" hidden="1">
      <c r="A3429" s="217"/>
      <c r="B3429" s="217">
        <v>1417</v>
      </c>
      <c r="C3429" s="217"/>
      <c r="D3429" s="217" t="s">
        <v>17167</v>
      </c>
      <c r="E3429" s="471" t="s">
        <v>20882</v>
      </c>
      <c r="F3429" s="482">
        <v>89993</v>
      </c>
      <c r="G3429" s="470" t="s">
        <v>4453</v>
      </c>
      <c r="H3429" s="471" t="s">
        <v>15528</v>
      </c>
      <c r="I3429" s="472">
        <v>0.107</v>
      </c>
      <c r="J3429" s="473">
        <f t="shared" si="1767"/>
        <v>1072.4000000000001</v>
      </c>
      <c r="K3429" s="474">
        <f t="shared" si="1765"/>
        <v>114.74680000000001</v>
      </c>
      <c r="L3429" s="475">
        <f t="shared" si="1761"/>
        <v>1045.25</v>
      </c>
      <c r="M3429" s="474">
        <f t="shared" si="1766"/>
        <v>111.84175</v>
      </c>
      <c r="O3429" s="434">
        <f t="shared" si="1759"/>
        <v>1072.4000000000001</v>
      </c>
      <c r="P3429" s="435">
        <f t="shared" si="1760"/>
        <v>1045.25</v>
      </c>
      <c r="AE3429" s="217"/>
      <c r="AF3429" s="217">
        <v>1417</v>
      </c>
      <c r="AH3429">
        <f t="shared" si="1764"/>
        <v>1417</v>
      </c>
    </row>
    <row r="3430" ht="45" hidden="1">
      <c r="A3430" s="217"/>
      <c r="B3430" s="217">
        <v>1417</v>
      </c>
      <c r="C3430" s="217"/>
      <c r="D3430" s="217" t="s">
        <v>17167</v>
      </c>
      <c r="E3430" s="471" t="s">
        <v>22002</v>
      </c>
      <c r="F3430" s="482">
        <v>89995</v>
      </c>
      <c r="G3430" s="470" t="s">
        <v>4452</v>
      </c>
      <c r="H3430" s="471" t="s">
        <v>15528</v>
      </c>
      <c r="I3430" s="472">
        <v>0.23699999999999999</v>
      </c>
      <c r="J3430" s="473">
        <f t="shared" si="1767"/>
        <v>1033.8599999999999</v>
      </c>
      <c r="K3430" s="474">
        <f t="shared" si="1765"/>
        <v>245.02481999999998</v>
      </c>
      <c r="L3430" s="475">
        <f t="shared" si="1761"/>
        <v>1008.86</v>
      </c>
      <c r="M3430" s="474">
        <f t="shared" si="1766"/>
        <v>239.09981999999999</v>
      </c>
      <c r="O3430" s="434">
        <f t="shared" si="1759"/>
        <v>1033.8599999999999</v>
      </c>
      <c r="P3430" s="435">
        <f t="shared" si="1760"/>
        <v>1008.86</v>
      </c>
      <c r="AE3430" s="217"/>
      <c r="AF3430" s="217">
        <v>1417</v>
      </c>
      <c r="AH3430">
        <f t="shared" si="1764"/>
        <v>1417</v>
      </c>
    </row>
    <row r="3431" ht="45" hidden="1">
      <c r="A3431" s="217"/>
      <c r="B3431" s="217">
        <v>1417</v>
      </c>
      <c r="C3431" s="217"/>
      <c r="D3431" s="217" t="s">
        <v>17167</v>
      </c>
      <c r="E3431" s="471" t="s">
        <v>22003</v>
      </c>
      <c r="F3431" s="482">
        <v>102920</v>
      </c>
      <c r="G3431" s="470" t="s">
        <v>4434</v>
      </c>
      <c r="H3431" s="471" t="s">
        <v>302</v>
      </c>
      <c r="I3431" s="472">
        <v>44</v>
      </c>
      <c r="J3431" s="473">
        <f t="shared" si="1767"/>
        <v>8.1099999999999994</v>
      </c>
      <c r="K3431" s="474">
        <f t="shared" si="1765"/>
        <v>356.83999999999997</v>
      </c>
      <c r="L3431" s="475">
        <f t="shared" si="1761"/>
        <v>8.0299999999999994</v>
      </c>
      <c r="M3431" s="474">
        <f t="shared" si="1766"/>
        <v>353.31999999999999</v>
      </c>
      <c r="O3431" s="434">
        <f t="shared" si="1759"/>
        <v>8.1099999999999994</v>
      </c>
      <c r="P3431" s="435">
        <f t="shared" si="1760"/>
        <v>8.0299999999999994</v>
      </c>
      <c r="AE3431" s="217"/>
      <c r="AF3431" s="217">
        <v>1417</v>
      </c>
      <c r="AH3431">
        <f t="shared" si="1764"/>
        <v>1417</v>
      </c>
    </row>
    <row r="3432" ht="45" hidden="1">
      <c r="A3432" s="217"/>
      <c r="B3432" s="217">
        <v>1417</v>
      </c>
      <c r="C3432" s="217"/>
      <c r="D3432" s="217" t="s">
        <v>17167</v>
      </c>
      <c r="E3432" s="471" t="s">
        <v>22302</v>
      </c>
      <c r="F3432" s="482">
        <v>89996</v>
      </c>
      <c r="G3432" s="470" t="s">
        <v>4440</v>
      </c>
      <c r="H3432" s="471" t="s">
        <v>302</v>
      </c>
      <c r="I3432" s="472">
        <v>35.899999999999999</v>
      </c>
      <c r="J3432" s="473">
        <f t="shared" si="1767"/>
        <v>10.470000000000001</v>
      </c>
      <c r="K3432" s="474">
        <f t="shared" si="1765"/>
        <v>375.87299999999999</v>
      </c>
      <c r="L3432" s="475">
        <f t="shared" si="1761"/>
        <v>10.33</v>
      </c>
      <c r="M3432" s="474">
        <f t="shared" si="1766"/>
        <v>370.84699999999998</v>
      </c>
      <c r="O3432" s="434">
        <f t="shared" si="1759"/>
        <v>10.470000000000001</v>
      </c>
      <c r="P3432" s="435">
        <f t="shared" si="1760"/>
        <v>10.33</v>
      </c>
      <c r="AE3432" s="217"/>
      <c r="AF3432" s="217">
        <v>1417</v>
      </c>
      <c r="AH3432">
        <f t="shared" si="1764"/>
        <v>1417</v>
      </c>
    </row>
    <row r="3433" ht="90" hidden="1">
      <c r="A3433" s="217"/>
      <c r="B3433" s="217">
        <v>1417</v>
      </c>
      <c r="C3433" s="217"/>
      <c r="D3433" s="217" t="s">
        <v>17167</v>
      </c>
      <c r="E3433" s="471" t="s">
        <v>22305</v>
      </c>
      <c r="F3433" s="482">
        <v>87286</v>
      </c>
      <c r="G3433" s="470" t="s">
        <v>174</v>
      </c>
      <c r="H3433" s="471" t="s">
        <v>15528</v>
      </c>
      <c r="I3433" s="472">
        <v>0.23799999999999999</v>
      </c>
      <c r="J3433" s="473">
        <f t="shared" si="1767"/>
        <v>607.99000000000001</v>
      </c>
      <c r="K3433" s="474">
        <f t="shared" si="1765"/>
        <v>144.70161999999999</v>
      </c>
      <c r="L3433" s="475">
        <f t="shared" si="1761"/>
        <v>599.37</v>
      </c>
      <c r="M3433" s="474">
        <f t="shared" si="1766"/>
        <v>142.65006</v>
      </c>
      <c r="O3433" s="434">
        <f t="shared" si="1759"/>
        <v>607.99000000000001</v>
      </c>
      <c r="P3433" s="435">
        <f t="shared" si="1760"/>
        <v>599.37</v>
      </c>
      <c r="AE3433" s="217"/>
      <c r="AF3433" s="217">
        <v>1417</v>
      </c>
      <c r="AH3433">
        <f t="shared" si="1764"/>
        <v>1417</v>
      </c>
    </row>
    <row r="3434" ht="75" hidden="1">
      <c r="A3434" s="217"/>
      <c r="B3434" s="217">
        <v>1417</v>
      </c>
      <c r="C3434" s="217"/>
      <c r="D3434" s="217" t="s">
        <v>17167</v>
      </c>
      <c r="E3434" s="471" t="s">
        <v>22306</v>
      </c>
      <c r="F3434" s="482">
        <v>100475</v>
      </c>
      <c r="G3434" s="470" t="s">
        <v>205</v>
      </c>
      <c r="H3434" s="471" t="s">
        <v>15528</v>
      </c>
      <c r="I3434" s="472">
        <v>0.44700000000000001</v>
      </c>
      <c r="J3434" s="473">
        <f t="shared" si="1767"/>
        <v>725.75</v>
      </c>
      <c r="K3434" s="474">
        <f t="shared" si="1765"/>
        <v>324.41025000000002</v>
      </c>
      <c r="L3434" s="475">
        <f t="shared" si="1761"/>
        <v>719.49000000000001</v>
      </c>
      <c r="M3434" s="474">
        <f t="shared" si="1766"/>
        <v>321.61203</v>
      </c>
      <c r="O3434" s="434">
        <f t="shared" si="1759"/>
        <v>725.75</v>
      </c>
      <c r="P3434" s="435">
        <f t="shared" si="1760"/>
        <v>719.49000000000001</v>
      </c>
      <c r="AE3434" s="217"/>
      <c r="AF3434" s="217">
        <v>1417</v>
      </c>
      <c r="AH3434">
        <f t="shared" si="1764"/>
        <v>1417</v>
      </c>
    </row>
    <row r="3435" ht="141.75" hidden="1">
      <c r="A3435" s="460">
        <v>1418</v>
      </c>
      <c r="B3435" s="460">
        <v>1418</v>
      </c>
      <c r="C3435" s="460"/>
      <c r="D3435" s="460"/>
      <c r="E3435" s="461">
        <v>1</v>
      </c>
      <c r="F3435" s="462" t="s">
        <v>22309</v>
      </c>
      <c r="G3435" s="463" t="s">
        <v>22310</v>
      </c>
      <c r="H3435" s="478" t="s">
        <v>31</v>
      </c>
      <c r="I3435" s="479"/>
      <c r="J3435" s="480"/>
      <c r="K3435" s="466">
        <f>SUM(K3436:K3446)</f>
        <v>2751.9510767209999</v>
      </c>
      <c r="L3435" s="480"/>
      <c r="M3435" s="466">
        <f>SUM(M3436:M3446)</f>
        <v>3771.9692242410001</v>
      </c>
      <c r="O3435" s="434" t="str">
        <f t="shared" si="1759"/>
        <v xml:space="preserve">SEM VALOR</v>
      </c>
      <c r="P3435" s="435" t="str">
        <f t="shared" si="1760"/>
        <v xml:space="preserve">SEM VALOR</v>
      </c>
      <c r="AE3435" s="460">
        <v>1418</v>
      </c>
      <c r="AF3435" s="460"/>
      <c r="AH3435">
        <f t="shared" si="1764"/>
        <v>1418</v>
      </c>
    </row>
    <row r="3436" ht="45" hidden="1">
      <c r="A3436" s="217"/>
      <c r="B3436" s="217">
        <v>1418</v>
      </c>
      <c r="C3436" s="217"/>
      <c r="D3436" s="217" t="s">
        <v>20398</v>
      </c>
      <c r="E3436" s="471" t="s">
        <v>20399</v>
      </c>
      <c r="F3436" s="482">
        <v>1259</v>
      </c>
      <c r="G3436" s="470" t="s">
        <v>20796</v>
      </c>
      <c r="H3436" s="471" t="s">
        <v>15528</v>
      </c>
      <c r="I3436" s="483">
        <v>0.59999999999999998</v>
      </c>
      <c r="J3436" s="473">
        <f t="shared" si="1767"/>
        <v>45.520000000000003</v>
      </c>
      <c r="K3436" s="474">
        <f t="shared" ref="K3436:K3459" si="1768">I3436*J3436</f>
        <v>27.312000000000001</v>
      </c>
      <c r="L3436" s="473">
        <f t="shared" si="1761"/>
        <v>43.100000000000001</v>
      </c>
      <c r="M3436" s="474">
        <f t="shared" ref="M3436:M3459" si="1769">L3436*I3436</f>
        <v>25.859999999999999</v>
      </c>
      <c r="O3436" s="434">
        <f t="shared" ref="O3436:O3499" si="1770">IFERROR(IF(D3436="SINAPI",VLOOKUP(F3436,SINCOMOD,4,FALSE),IF(D3436="INSINAPI",VLOOKUP(F3436,INSINOD,5,FALSE),IF(D3436="SICRO",VLOOKUP(F3436,SICRO,5,FALSE),IF(D3436="COTACAO",VLOOKUP(F3436,COTACAO,6,FALSE),IF(D3436="PRÓPRIO",VLOOKUP(F3436,COMPOD,11,FALSE),IF(D3436="AGESUL",VLOOKUP(F3436,AGESULOD,6,FALSE),IF(D3436="INSAGESUL",VLOOKUP(F3436,INSAGESUL,7,FALSE),"SEM VALOR"))))))),"SEM VALOR")</f>
        <v>45.520000000000003</v>
      </c>
      <c r="P3436" s="435">
        <f t="shared" ref="P3436:P3499" si="1771">IFERROR(IF(D3436="SINAPI",VLOOKUP(F3436,SINCOMOD,6,FALSE),IF(D3436="INSINAPI",VLOOKUP(F3436,INSINOD,6,FALSE),IF(D3436="SICRO",VLOOKUP(F3436,SICRO,5,FALSE),IF(D3436="COTACAO",VLOOKUP(F3436,COTACAO,6,FALSE),IF(D3436="PRÓPRIO",VLOOKUP(F3436,COMPOD,13,FALSE),IF(D3436="AGESUL",VLOOKUP(F3436,AGESULOD,11,FALSE),IF(D3436="INSAGESUL",VLOOKUP(F3436,INSAGESUL,8,FALSE),"SEM VALOR"))))))),"SEM VALOR")</f>
        <v>43.100000000000001</v>
      </c>
      <c r="AE3436" s="217"/>
      <c r="AF3436" s="217">
        <v>1418</v>
      </c>
      <c r="AH3436">
        <f t="shared" si="1764"/>
        <v>1418</v>
      </c>
    </row>
    <row r="3437" ht="60" hidden="1">
      <c r="A3437" s="217"/>
      <c r="B3437" s="217">
        <v>1418</v>
      </c>
      <c r="C3437" s="217"/>
      <c r="D3437" s="217" t="s">
        <v>20398</v>
      </c>
      <c r="E3437" s="471" t="s">
        <v>20402</v>
      </c>
      <c r="F3437" s="482">
        <v>1241</v>
      </c>
      <c r="G3437" s="470" t="s">
        <v>21181</v>
      </c>
      <c r="H3437" s="471" t="s">
        <v>15528</v>
      </c>
      <c r="I3437" s="509">
        <v>0.59999999999999998</v>
      </c>
      <c r="J3437" s="473">
        <f t="shared" si="1767"/>
        <v>453.00401999999997</v>
      </c>
      <c r="K3437" s="474">
        <f t="shared" si="1768"/>
        <v>271.80241199999995</v>
      </c>
      <c r="L3437" s="473">
        <f t="shared" ref="L3437:L3500" si="1772">P3437*$L$3</f>
        <v>445.74401999999998</v>
      </c>
      <c r="M3437" s="474">
        <f t="shared" si="1769"/>
        <v>267.44641199999995</v>
      </c>
      <c r="O3437" s="434">
        <f t="shared" si="1770"/>
        <v>453.00401999999997</v>
      </c>
      <c r="P3437" s="435">
        <f t="shared" si="1771"/>
        <v>445.74401999999998</v>
      </c>
      <c r="AE3437" s="217"/>
      <c r="AF3437" s="217">
        <v>1418</v>
      </c>
      <c r="AH3437">
        <f t="shared" si="1764"/>
        <v>1418</v>
      </c>
    </row>
    <row r="3438" ht="45" hidden="1">
      <c r="A3438" s="217"/>
      <c r="B3438" s="217">
        <v>1418</v>
      </c>
      <c r="C3438" s="217"/>
      <c r="D3438" s="217" t="s">
        <v>20398</v>
      </c>
      <c r="E3438" s="471" t="s">
        <v>20405</v>
      </c>
      <c r="F3438" s="482">
        <v>1000</v>
      </c>
      <c r="G3438" s="470" t="s">
        <v>20651</v>
      </c>
      <c r="H3438" s="471" t="s">
        <v>15528</v>
      </c>
      <c r="I3438" s="509">
        <f>I3437</f>
        <v>0.59999999999999998</v>
      </c>
      <c r="J3438" s="473">
        <f t="shared" si="1767"/>
        <v>149.904</v>
      </c>
      <c r="K3438" s="474">
        <f t="shared" si="1768"/>
        <v>89.942399999999992</v>
      </c>
      <c r="L3438" s="473">
        <f t="shared" si="1772"/>
        <v>141.76949999999999</v>
      </c>
      <c r="M3438" s="474">
        <f t="shared" si="1769"/>
        <v>85.061699999999988</v>
      </c>
      <c r="O3438" s="434">
        <f t="shared" si="1770"/>
        <v>149.904</v>
      </c>
      <c r="P3438" s="435">
        <f t="shared" si="1771"/>
        <v>141.76949999999999</v>
      </c>
      <c r="AE3438" s="217"/>
      <c r="AF3438" s="217">
        <v>1418</v>
      </c>
      <c r="AH3438">
        <f t="shared" si="1764"/>
        <v>1418</v>
      </c>
    </row>
    <row r="3439" ht="45" hidden="1">
      <c r="A3439" s="217"/>
      <c r="B3439" s="217">
        <v>1418</v>
      </c>
      <c r="C3439" s="217"/>
      <c r="D3439" s="217" t="s">
        <v>17167</v>
      </c>
      <c r="E3439" s="471" t="s">
        <v>20409</v>
      </c>
      <c r="F3439" s="482">
        <v>96545</v>
      </c>
      <c r="G3439" s="470" t="s">
        <v>20678</v>
      </c>
      <c r="H3439" s="471" t="s">
        <v>302</v>
      </c>
      <c r="I3439" s="509">
        <v>10.15</v>
      </c>
      <c r="J3439" s="473">
        <f t="shared" si="1767"/>
        <v>15.82</v>
      </c>
      <c r="K3439" s="474">
        <f t="shared" si="1768"/>
        <v>160.57300000000001</v>
      </c>
      <c r="L3439" s="473">
        <f t="shared" si="1772"/>
        <v>15.48</v>
      </c>
      <c r="M3439" s="474">
        <f t="shared" si="1769"/>
        <v>157.12200000000001</v>
      </c>
      <c r="O3439" s="434">
        <f t="shared" si="1770"/>
        <v>15.82</v>
      </c>
      <c r="P3439" s="435">
        <f t="shared" si="1771"/>
        <v>15.48</v>
      </c>
      <c r="AE3439" s="217"/>
      <c r="AF3439" s="217">
        <v>1418</v>
      </c>
      <c r="AH3439">
        <f t="shared" si="1764"/>
        <v>1418</v>
      </c>
    </row>
    <row r="3440" ht="45" hidden="1">
      <c r="A3440" s="217"/>
      <c r="B3440" s="217">
        <v>1418</v>
      </c>
      <c r="C3440" s="217"/>
      <c r="D3440" s="217" t="s">
        <v>17167</v>
      </c>
      <c r="E3440" s="471" t="s">
        <v>20663</v>
      </c>
      <c r="F3440" s="482">
        <v>96546</v>
      </c>
      <c r="G3440" s="470" t="s">
        <v>21133</v>
      </c>
      <c r="H3440" s="471" t="s">
        <v>302</v>
      </c>
      <c r="I3440" s="509">
        <v>4.46</v>
      </c>
      <c r="J3440" s="473">
        <f t="shared" si="1767"/>
        <v>13.77</v>
      </c>
      <c r="K3440" s="474">
        <f t="shared" si="1768"/>
        <v>61.414200000000001</v>
      </c>
      <c r="L3440" s="473">
        <f t="shared" si="1772"/>
        <v>13.51</v>
      </c>
      <c r="M3440" s="474">
        <f t="shared" si="1769"/>
        <v>60.254599999999996</v>
      </c>
      <c r="O3440" s="434">
        <f t="shared" si="1770"/>
        <v>13.77</v>
      </c>
      <c r="P3440" s="435">
        <f t="shared" si="1771"/>
        <v>13.51</v>
      </c>
      <c r="AE3440" s="217"/>
      <c r="AF3440" s="217">
        <v>1418</v>
      </c>
      <c r="AH3440">
        <f t="shared" si="1764"/>
        <v>1418</v>
      </c>
    </row>
    <row r="3441" ht="30" hidden="1">
      <c r="A3441" s="217"/>
      <c r="B3441" s="217">
        <v>1418</v>
      </c>
      <c r="C3441" s="217"/>
      <c r="D3441" s="217" t="s">
        <v>20408</v>
      </c>
      <c r="E3441" s="471" t="s">
        <v>20665</v>
      </c>
      <c r="F3441" s="489">
        <v>43082</v>
      </c>
      <c r="G3441" s="470" t="s">
        <v>21182</v>
      </c>
      <c r="H3441" s="471" t="s">
        <v>302</v>
      </c>
      <c r="I3441" s="509">
        <v>145.34</v>
      </c>
      <c r="J3441" s="473">
        <f t="shared" si="1767"/>
        <v>10</v>
      </c>
      <c r="K3441" s="474">
        <f t="shared" si="1768"/>
        <v>1453.4000000000001</v>
      </c>
      <c r="L3441" s="473">
        <f t="shared" si="1772"/>
        <v>10</v>
      </c>
      <c r="M3441" s="474">
        <f t="shared" si="1769"/>
        <v>1453.4000000000001</v>
      </c>
      <c r="O3441" s="434">
        <f t="shared" si="1770"/>
        <v>10</v>
      </c>
      <c r="P3441" s="435">
        <f t="shared" si="1771"/>
        <v>10</v>
      </c>
      <c r="AE3441" s="217"/>
      <c r="AF3441" s="217">
        <v>1418</v>
      </c>
      <c r="AH3441">
        <f t="shared" si="1764"/>
        <v>1418</v>
      </c>
    </row>
    <row r="3442" ht="45" hidden="1">
      <c r="A3442" s="217"/>
      <c r="B3442" s="217">
        <v>1418</v>
      </c>
      <c r="C3442" s="217"/>
      <c r="D3442" s="217" t="s">
        <v>20408</v>
      </c>
      <c r="E3442" s="471" t="s">
        <v>20667</v>
      </c>
      <c r="F3442" s="489">
        <v>40839</v>
      </c>
      <c r="G3442" s="470" t="s">
        <v>21183</v>
      </c>
      <c r="H3442" s="471" t="s">
        <v>31</v>
      </c>
      <c r="I3442" s="509">
        <v>8</v>
      </c>
      <c r="J3442" s="473">
        <f>O3442*$J$3/100</f>
        <v>1.3077000000000001</v>
      </c>
      <c r="K3442" s="474">
        <f t="shared" si="1768"/>
        <v>10.461600000000001</v>
      </c>
      <c r="L3442" s="473">
        <f t="shared" si="1772"/>
        <v>130.77000000000001</v>
      </c>
      <c r="M3442" s="474">
        <f t="shared" si="1769"/>
        <v>1046.1600000000001</v>
      </c>
      <c r="O3442" s="434">
        <f t="shared" si="1770"/>
        <v>130.77000000000001</v>
      </c>
      <c r="P3442" s="435">
        <f t="shared" si="1771"/>
        <v>130.77000000000001</v>
      </c>
      <c r="AE3442" s="217"/>
      <c r="AF3442" s="217">
        <v>1418</v>
      </c>
      <c r="AH3442">
        <f t="shared" si="1764"/>
        <v>1418</v>
      </c>
    </row>
    <row r="3443" hidden="1">
      <c r="A3443" s="217"/>
      <c r="B3443" s="217">
        <v>1418</v>
      </c>
      <c r="C3443" s="217"/>
      <c r="D3443" s="217" t="s">
        <v>20644</v>
      </c>
      <c r="E3443" s="471" t="s">
        <v>20671</v>
      </c>
      <c r="F3443" s="489" t="s">
        <v>15504</v>
      </c>
      <c r="G3443" s="488" t="s">
        <v>22311</v>
      </c>
      <c r="H3443" s="471" t="s">
        <v>302</v>
      </c>
      <c r="I3443" s="509">
        <f>11.775*2.14*0.7</f>
        <v>17.638950000000001</v>
      </c>
      <c r="J3443" s="473">
        <f t="shared" si="1767"/>
        <v>10</v>
      </c>
      <c r="K3443" s="474">
        <f t="shared" si="1768"/>
        <v>176.3895</v>
      </c>
      <c r="L3443" s="473">
        <f t="shared" si="1772"/>
        <v>10</v>
      </c>
      <c r="M3443" s="474">
        <f t="shared" si="1769"/>
        <v>176.3895</v>
      </c>
      <c r="O3443" s="434">
        <f t="shared" si="1770"/>
        <v>10</v>
      </c>
      <c r="P3443" s="435">
        <f t="shared" si="1771"/>
        <v>10</v>
      </c>
      <c r="AE3443" s="217"/>
      <c r="AF3443" s="217">
        <v>1418</v>
      </c>
      <c r="AH3443">
        <f t="shared" si="1764"/>
        <v>1418</v>
      </c>
    </row>
    <row r="3444" hidden="1">
      <c r="A3444" s="217"/>
      <c r="B3444" s="217">
        <v>1418</v>
      </c>
      <c r="C3444" s="217"/>
      <c r="D3444" s="217" t="s">
        <v>20644</v>
      </c>
      <c r="E3444" s="471" t="s">
        <v>20672</v>
      </c>
      <c r="F3444" s="482" t="s">
        <v>15513</v>
      </c>
      <c r="G3444" s="470" t="s">
        <v>15514</v>
      </c>
      <c r="H3444" s="471" t="s">
        <v>15515</v>
      </c>
      <c r="I3444" s="509">
        <f>2.14*0.7*1.4</f>
        <v>2.0972</v>
      </c>
      <c r="J3444" s="473">
        <f t="shared" si="1767"/>
        <v>224.88</v>
      </c>
      <c r="K3444" s="474">
        <f t="shared" si="1768"/>
        <v>471.618336</v>
      </c>
      <c r="L3444" s="473">
        <f t="shared" si="1772"/>
        <v>224.88</v>
      </c>
      <c r="M3444" s="474">
        <f t="shared" si="1769"/>
        <v>471.618336</v>
      </c>
      <c r="O3444" s="434">
        <f t="shared" si="1770"/>
        <v>224.88</v>
      </c>
      <c r="P3444" s="435">
        <f t="shared" si="1771"/>
        <v>224.88</v>
      </c>
      <c r="AE3444" s="217"/>
      <c r="AF3444" s="217">
        <v>1418</v>
      </c>
      <c r="AH3444">
        <f t="shared" si="1764"/>
        <v>1418</v>
      </c>
    </row>
    <row r="3445" ht="105" hidden="1">
      <c r="A3445" s="217"/>
      <c r="B3445" s="217">
        <v>1418</v>
      </c>
      <c r="C3445" s="217"/>
      <c r="D3445" s="217" t="s">
        <v>17167</v>
      </c>
      <c r="E3445" s="471" t="s">
        <v>20673</v>
      </c>
      <c r="F3445" s="482">
        <v>73467</v>
      </c>
      <c r="G3445" s="470" t="s">
        <v>1601</v>
      </c>
      <c r="H3445" s="471" t="s">
        <v>1535</v>
      </c>
      <c r="I3445" s="509">
        <v>7.1428599999999995e-002</v>
      </c>
      <c r="J3445" s="473">
        <f t="shared" si="1767"/>
        <v>270.61000000000001</v>
      </c>
      <c r="K3445" s="474">
        <f t="shared" si="1768"/>
        <v>19.329293446000001</v>
      </c>
      <c r="L3445" s="473">
        <f t="shared" si="1772"/>
        <v>269.00999999999999</v>
      </c>
      <c r="M3445" s="474">
        <f t="shared" si="1769"/>
        <v>19.215007685999996</v>
      </c>
      <c r="O3445" s="434">
        <f t="shared" si="1770"/>
        <v>270.61000000000001</v>
      </c>
      <c r="P3445" s="435">
        <f t="shared" si="1771"/>
        <v>269.00999999999999</v>
      </c>
      <c r="AE3445" s="217"/>
      <c r="AF3445" s="217">
        <v>1418</v>
      </c>
      <c r="AH3445">
        <f t="shared" si="1764"/>
        <v>1418</v>
      </c>
    </row>
    <row r="3446" ht="105" hidden="1">
      <c r="A3446" s="217"/>
      <c r="B3446" s="217">
        <v>1418</v>
      </c>
      <c r="C3446" s="217"/>
      <c r="D3446" s="217" t="s">
        <v>17167</v>
      </c>
      <c r="E3446" s="471" t="s">
        <v>20675</v>
      </c>
      <c r="F3446" s="482">
        <v>91395</v>
      </c>
      <c r="G3446" s="470" t="s">
        <v>1600</v>
      </c>
      <c r="H3446" s="471" t="s">
        <v>1533</v>
      </c>
      <c r="I3446" s="509">
        <v>0.1666667</v>
      </c>
      <c r="J3446" s="473">
        <f t="shared" si="1767"/>
        <v>58.25</v>
      </c>
      <c r="K3446" s="474">
        <f t="shared" si="1768"/>
        <v>9.7083352749999996</v>
      </c>
      <c r="L3446" s="473">
        <f t="shared" si="1772"/>
        <v>56.649999999999999</v>
      </c>
      <c r="M3446" s="474">
        <f t="shared" si="1769"/>
        <v>9.4416685549999997</v>
      </c>
      <c r="O3446" s="434">
        <f t="shared" si="1770"/>
        <v>58.25</v>
      </c>
      <c r="P3446" s="435">
        <f t="shared" si="1771"/>
        <v>56.649999999999999</v>
      </c>
      <c r="AE3446" s="217"/>
      <c r="AF3446" s="217">
        <v>1418</v>
      </c>
      <c r="AH3446">
        <f t="shared" si="1764"/>
        <v>1418</v>
      </c>
    </row>
    <row r="3447" ht="30" hidden="1">
      <c r="A3447" s="217"/>
      <c r="B3447" s="217">
        <v>1418</v>
      </c>
      <c r="C3447" s="217"/>
      <c r="D3447" s="217" t="s">
        <v>17167</v>
      </c>
      <c r="E3447" s="471" t="s">
        <v>20677</v>
      </c>
      <c r="F3447" s="482">
        <v>88242</v>
      </c>
      <c r="G3447" s="470" t="s">
        <v>7093</v>
      </c>
      <c r="H3447" s="471" t="s">
        <v>2032</v>
      </c>
      <c r="I3447" s="509">
        <f>2/4</f>
        <v>0.5</v>
      </c>
      <c r="J3447" s="473">
        <f t="shared" si="1767"/>
        <v>23.530000000000001</v>
      </c>
      <c r="K3447" s="474">
        <f t="shared" si="1768"/>
        <v>11.765000000000001</v>
      </c>
      <c r="L3447" s="473">
        <f t="shared" si="1772"/>
        <v>22.27</v>
      </c>
      <c r="M3447" s="474">
        <f t="shared" si="1769"/>
        <v>11.135</v>
      </c>
      <c r="O3447" s="434">
        <f t="shared" si="1770"/>
        <v>23.530000000000001</v>
      </c>
      <c r="P3447" s="435">
        <f t="shared" si="1771"/>
        <v>22.27</v>
      </c>
      <c r="AE3447" s="217"/>
      <c r="AF3447" s="217">
        <v>1418</v>
      </c>
      <c r="AH3447">
        <f t="shared" si="1764"/>
        <v>1418</v>
      </c>
    </row>
    <row r="3448" ht="30" hidden="1">
      <c r="A3448" s="217"/>
      <c r="B3448" s="217">
        <v>1418</v>
      </c>
      <c r="C3448" s="217"/>
      <c r="D3448" s="217" t="s">
        <v>17167</v>
      </c>
      <c r="E3448" s="471" t="s">
        <v>20679</v>
      </c>
      <c r="F3448" s="482">
        <v>88278</v>
      </c>
      <c r="G3448" s="470" t="s">
        <v>21185</v>
      </c>
      <c r="H3448" s="471" t="s">
        <v>2032</v>
      </c>
      <c r="I3448" s="509">
        <f t="shared" ref="I3448:I3449" si="1773">1/4</f>
        <v>0.25</v>
      </c>
      <c r="J3448" s="473">
        <f t="shared" si="1767"/>
        <v>30.440000000000001</v>
      </c>
      <c r="K3448" s="474">
        <f t="shared" si="1768"/>
        <v>7.6100000000000003</v>
      </c>
      <c r="L3448" s="473">
        <f t="shared" si="1772"/>
        <v>28.57</v>
      </c>
      <c r="M3448" s="474">
        <f t="shared" si="1769"/>
        <v>7.1425000000000001</v>
      </c>
      <c r="O3448" s="434">
        <f t="shared" si="1770"/>
        <v>30.440000000000001</v>
      </c>
      <c r="P3448" s="435">
        <f t="shared" si="1771"/>
        <v>28.57</v>
      </c>
      <c r="AE3448" s="217"/>
      <c r="AF3448" s="217">
        <v>1418</v>
      </c>
      <c r="AH3448">
        <f t="shared" si="1764"/>
        <v>1418</v>
      </c>
    </row>
    <row r="3449" ht="30" hidden="1">
      <c r="A3449" s="217"/>
      <c r="B3449" s="217">
        <v>1418</v>
      </c>
      <c r="C3449" s="217"/>
      <c r="D3449" s="217" t="s">
        <v>17167</v>
      </c>
      <c r="E3449" s="471" t="s">
        <v>20681</v>
      </c>
      <c r="F3449" s="482">
        <v>88315</v>
      </c>
      <c r="G3449" s="470" t="s">
        <v>7392</v>
      </c>
      <c r="H3449" s="471" t="s">
        <v>2032</v>
      </c>
      <c r="I3449" s="509">
        <f t="shared" si="1773"/>
        <v>0.25</v>
      </c>
      <c r="J3449" s="473">
        <f t="shared" si="1767"/>
        <v>28.800000000000001</v>
      </c>
      <c r="K3449" s="474">
        <f t="shared" si="1768"/>
        <v>7.2000000000000002</v>
      </c>
      <c r="L3449" s="473">
        <f t="shared" si="1772"/>
        <v>27.149999999999999</v>
      </c>
      <c r="M3449" s="474">
        <f t="shared" si="1769"/>
        <v>6.7874999999999996</v>
      </c>
      <c r="O3449" s="434">
        <f t="shared" si="1770"/>
        <v>28.800000000000001</v>
      </c>
      <c r="P3449" s="435">
        <f t="shared" si="1771"/>
        <v>27.149999999999999</v>
      </c>
      <c r="AE3449" s="217"/>
      <c r="AF3449" s="217">
        <v>1418</v>
      </c>
      <c r="AH3449">
        <f t="shared" si="1764"/>
        <v>1418</v>
      </c>
    </row>
    <row r="3450" ht="30" hidden="1">
      <c r="A3450" s="217"/>
      <c r="B3450" s="217">
        <v>1418</v>
      </c>
      <c r="C3450" s="217"/>
      <c r="D3450" s="217" t="s">
        <v>17167</v>
      </c>
      <c r="E3450" s="471" t="s">
        <v>20683</v>
      </c>
      <c r="F3450" s="482">
        <v>88316</v>
      </c>
      <c r="G3450" s="470" t="s">
        <v>7393</v>
      </c>
      <c r="H3450" s="471" t="s">
        <v>2032</v>
      </c>
      <c r="I3450" s="509">
        <f>2/4</f>
        <v>0.5</v>
      </c>
      <c r="J3450" s="473">
        <f t="shared" si="1767"/>
        <v>22.760000000000002</v>
      </c>
      <c r="K3450" s="474">
        <f t="shared" si="1768"/>
        <v>11.380000000000001</v>
      </c>
      <c r="L3450" s="473">
        <f t="shared" si="1772"/>
        <v>21.550000000000001</v>
      </c>
      <c r="M3450" s="474">
        <f t="shared" si="1769"/>
        <v>10.775</v>
      </c>
      <c r="O3450" s="434">
        <f t="shared" si="1770"/>
        <v>22.760000000000002</v>
      </c>
      <c r="P3450" s="435">
        <f t="shared" si="1771"/>
        <v>21.550000000000001</v>
      </c>
      <c r="AE3450" s="217"/>
      <c r="AF3450" s="217">
        <v>1418</v>
      </c>
      <c r="AH3450">
        <f t="shared" si="1764"/>
        <v>1418</v>
      </c>
    </row>
    <row r="3451" ht="75" hidden="1">
      <c r="A3451" s="217"/>
      <c r="B3451" s="217">
        <v>1418</v>
      </c>
      <c r="C3451" s="217"/>
      <c r="D3451" s="217" t="s">
        <v>17167</v>
      </c>
      <c r="E3451" s="471" t="s">
        <v>20685</v>
      </c>
      <c r="F3451" s="482">
        <v>100722</v>
      </c>
      <c r="G3451" s="470" t="s">
        <v>21187</v>
      </c>
      <c r="H3451" s="471" t="s">
        <v>15515</v>
      </c>
      <c r="I3451" s="509">
        <f>8.25+I3452</f>
        <v>9.7479999999999993</v>
      </c>
      <c r="J3451" s="473">
        <f t="shared" si="1767"/>
        <v>25.260000000000002</v>
      </c>
      <c r="K3451" s="474">
        <f t="shared" si="1768"/>
        <v>246.23447999999999</v>
      </c>
      <c r="L3451" s="473">
        <f t="shared" si="1772"/>
        <v>24.170000000000002</v>
      </c>
      <c r="M3451" s="474">
        <f t="shared" si="1769"/>
        <v>235.60916</v>
      </c>
      <c r="O3451" s="434">
        <f t="shared" si="1770"/>
        <v>25.260000000000002</v>
      </c>
      <c r="P3451" s="435">
        <f t="shared" si="1771"/>
        <v>24.170000000000002</v>
      </c>
      <c r="AE3451" s="217"/>
      <c r="AF3451" s="217">
        <v>1418</v>
      </c>
      <c r="AH3451">
        <f t="shared" si="1764"/>
        <v>1418</v>
      </c>
    </row>
    <row r="3452" ht="90" hidden="1">
      <c r="A3452" s="217"/>
      <c r="B3452" s="217">
        <v>1418</v>
      </c>
      <c r="C3452" s="217"/>
      <c r="D3452" s="217" t="s">
        <v>17167</v>
      </c>
      <c r="E3452" s="471" t="s">
        <v>20687</v>
      </c>
      <c r="F3452" s="482">
        <v>100750</v>
      </c>
      <c r="G3452" s="470" t="s">
        <v>22312</v>
      </c>
      <c r="H3452" s="471" t="s">
        <v>15515</v>
      </c>
      <c r="I3452" s="509">
        <f>2.14*0.7</f>
        <v>1.498</v>
      </c>
      <c r="J3452" s="473">
        <f t="shared" si="1767"/>
        <v>25.710000000000001</v>
      </c>
      <c r="K3452" s="474">
        <f t="shared" si="1768"/>
        <v>38.513580000000005</v>
      </c>
      <c r="L3452" s="473">
        <f t="shared" si="1772"/>
        <v>24.620000000000001</v>
      </c>
      <c r="M3452" s="474">
        <f t="shared" si="1769"/>
        <v>36.880760000000002</v>
      </c>
      <c r="O3452" s="434">
        <f t="shared" si="1770"/>
        <v>25.710000000000001</v>
      </c>
      <c r="P3452" s="435">
        <f t="shared" si="1771"/>
        <v>24.620000000000001</v>
      </c>
      <c r="AE3452" s="217"/>
      <c r="AF3452" s="217">
        <v>1418</v>
      </c>
      <c r="AH3452">
        <f t="shared" si="1764"/>
        <v>1418</v>
      </c>
    </row>
    <row r="3453" ht="90" hidden="1">
      <c r="A3453" s="217"/>
      <c r="B3453" s="217">
        <v>1418</v>
      </c>
      <c r="C3453" s="217"/>
      <c r="D3453" s="217" t="s">
        <v>17167</v>
      </c>
      <c r="E3453" s="471" t="s">
        <v>20689</v>
      </c>
      <c r="F3453" s="482">
        <v>100758</v>
      </c>
      <c r="G3453" s="470" t="s">
        <v>22313</v>
      </c>
      <c r="H3453" s="471" t="s">
        <v>15515</v>
      </c>
      <c r="I3453" s="509">
        <f>8.25</f>
        <v>8.25</v>
      </c>
      <c r="J3453" s="473">
        <f t="shared" si="1767"/>
        <v>51.649999999999999</v>
      </c>
      <c r="K3453" s="474">
        <f t="shared" si="1768"/>
        <v>426.11250000000001</v>
      </c>
      <c r="L3453" s="473">
        <f t="shared" si="1772"/>
        <v>49.460000000000001</v>
      </c>
      <c r="M3453" s="474">
        <f t="shared" si="1769"/>
        <v>408.04500000000002</v>
      </c>
      <c r="O3453" s="434">
        <f t="shared" si="1770"/>
        <v>51.649999999999999</v>
      </c>
      <c r="P3453" s="435">
        <f t="shared" si="1771"/>
        <v>49.460000000000001</v>
      </c>
      <c r="AE3453" s="217"/>
      <c r="AF3453" s="217">
        <v>1418</v>
      </c>
      <c r="AH3453">
        <f t="shared" si="1764"/>
        <v>1418</v>
      </c>
    </row>
    <row r="3454" ht="45" hidden="1">
      <c r="A3454" s="217"/>
      <c r="B3454" s="217">
        <v>1418</v>
      </c>
      <c r="C3454" s="217"/>
      <c r="D3454" s="217" t="s">
        <v>20408</v>
      </c>
      <c r="E3454" s="471" t="s">
        <v>20882</v>
      </c>
      <c r="F3454" s="482">
        <v>4777</v>
      </c>
      <c r="G3454" s="470" t="s">
        <v>11427</v>
      </c>
      <c r="H3454" s="471" t="s">
        <v>302</v>
      </c>
      <c r="I3454" s="509">
        <v>4.7199999999999998</v>
      </c>
      <c r="J3454" s="473">
        <f t="shared" si="1767"/>
        <v>8.0199999999999996</v>
      </c>
      <c r="K3454" s="474">
        <f t="shared" si="1768"/>
        <v>37.854399999999998</v>
      </c>
      <c r="L3454" s="473">
        <f t="shared" si="1772"/>
        <v>8.0199999999999996</v>
      </c>
      <c r="M3454" s="474">
        <f t="shared" si="1769"/>
        <v>37.854399999999998</v>
      </c>
      <c r="O3454" s="434">
        <f t="shared" si="1770"/>
        <v>8.0199999999999996</v>
      </c>
      <c r="P3454" s="435">
        <f t="shared" si="1771"/>
        <v>8.0199999999999996</v>
      </c>
      <c r="AE3454" s="217"/>
      <c r="AF3454" s="217">
        <v>1418</v>
      </c>
      <c r="AH3454">
        <f t="shared" si="1764"/>
        <v>1418</v>
      </c>
    </row>
    <row r="3455" ht="30" hidden="1">
      <c r="A3455" s="217"/>
      <c r="B3455" s="217">
        <v>1418</v>
      </c>
      <c r="C3455" s="217"/>
      <c r="D3455" s="217" t="s">
        <v>20644</v>
      </c>
      <c r="E3455" s="471" t="s">
        <v>22002</v>
      </c>
      <c r="F3455" s="482" t="s">
        <v>15516</v>
      </c>
      <c r="G3455" s="470" t="s">
        <v>15517</v>
      </c>
      <c r="H3455" s="471" t="s">
        <v>1535</v>
      </c>
      <c r="I3455" s="509">
        <v>0.15060000000000001</v>
      </c>
      <c r="J3455" s="473">
        <f t="shared" si="1767"/>
        <v>3721.7600000000002</v>
      </c>
      <c r="K3455" s="474">
        <f t="shared" si="1768"/>
        <v>560.49705600000004</v>
      </c>
      <c r="L3455" s="473">
        <f t="shared" si="1772"/>
        <v>3721.7600000000002</v>
      </c>
      <c r="M3455" s="474">
        <f t="shared" si="1769"/>
        <v>560.49705600000004</v>
      </c>
      <c r="O3455" s="434">
        <f t="shared" si="1770"/>
        <v>3721.7600000000002</v>
      </c>
      <c r="P3455" s="435">
        <f t="shared" si="1771"/>
        <v>3721.7600000000002</v>
      </c>
      <c r="AE3455" s="217"/>
      <c r="AF3455" s="217">
        <v>1418</v>
      </c>
      <c r="AH3455">
        <f t="shared" si="1764"/>
        <v>1418</v>
      </c>
    </row>
    <row r="3456" hidden="1">
      <c r="A3456" s="217"/>
      <c r="B3456" s="217">
        <v>1418</v>
      </c>
      <c r="C3456" s="217"/>
      <c r="D3456" s="217" t="s">
        <v>20644</v>
      </c>
      <c r="E3456" s="471" t="s">
        <v>22003</v>
      </c>
      <c r="F3456" s="482" t="s">
        <v>15518</v>
      </c>
      <c r="G3456" s="470" t="s">
        <v>15519</v>
      </c>
      <c r="H3456" s="471" t="s">
        <v>1535</v>
      </c>
      <c r="I3456" s="509">
        <v>0.48193000000000003</v>
      </c>
      <c r="J3456" s="473">
        <f t="shared" si="1767"/>
        <v>31.469999999999999</v>
      </c>
      <c r="K3456" s="474">
        <f t="shared" si="1768"/>
        <v>15.1663371</v>
      </c>
      <c r="L3456" s="473">
        <f t="shared" si="1772"/>
        <v>31.469999999999999</v>
      </c>
      <c r="M3456" s="474">
        <f t="shared" si="1769"/>
        <v>15.1663371</v>
      </c>
      <c r="O3456" s="434">
        <f t="shared" si="1770"/>
        <v>31.469999999999999</v>
      </c>
      <c r="P3456" s="435">
        <f t="shared" si="1771"/>
        <v>31.469999999999999</v>
      </c>
      <c r="AE3456" s="217"/>
      <c r="AF3456" s="217">
        <v>1418</v>
      </c>
      <c r="AH3456">
        <f t="shared" si="1764"/>
        <v>1418</v>
      </c>
    </row>
    <row r="3457" ht="30" hidden="1">
      <c r="A3457" s="217"/>
      <c r="B3457" s="217">
        <v>1418</v>
      </c>
      <c r="C3457" s="217"/>
      <c r="D3457" s="217" t="s">
        <v>20644</v>
      </c>
      <c r="E3457" s="471" t="s">
        <v>22302</v>
      </c>
      <c r="F3457" s="482" t="s">
        <v>15520</v>
      </c>
      <c r="G3457" s="470" t="s">
        <v>15521</v>
      </c>
      <c r="H3457" s="471" t="s">
        <v>1535</v>
      </c>
      <c r="I3457" s="509">
        <v>0.20080000000000001</v>
      </c>
      <c r="J3457" s="473">
        <f t="shared" si="1767"/>
        <v>14.970000000000001</v>
      </c>
      <c r="K3457" s="474">
        <f t="shared" si="1768"/>
        <v>3.0059760000000004</v>
      </c>
      <c r="L3457" s="473">
        <f t="shared" si="1772"/>
        <v>14.970000000000001</v>
      </c>
      <c r="M3457" s="474">
        <f t="shared" si="1769"/>
        <v>3.0059760000000004</v>
      </c>
      <c r="O3457" s="434">
        <f t="shared" si="1770"/>
        <v>14.970000000000001</v>
      </c>
      <c r="P3457" s="435">
        <f t="shared" si="1771"/>
        <v>14.970000000000001</v>
      </c>
      <c r="AE3457" s="217"/>
      <c r="AF3457" s="217">
        <v>1418</v>
      </c>
      <c r="AH3457">
        <f t="shared" si="1764"/>
        <v>1418</v>
      </c>
    </row>
    <row r="3458" ht="30" hidden="1">
      <c r="A3458" s="217"/>
      <c r="B3458" s="217">
        <v>1418</v>
      </c>
      <c r="C3458" s="217"/>
      <c r="D3458" s="217" t="s">
        <v>20644</v>
      </c>
      <c r="E3458" s="471" t="s">
        <v>22305</v>
      </c>
      <c r="F3458" s="482" t="s">
        <v>15522</v>
      </c>
      <c r="G3458" s="470" t="s">
        <v>15523</v>
      </c>
      <c r="H3458" s="471" t="s">
        <v>1535</v>
      </c>
      <c r="I3458" s="509">
        <v>0.48193000000000003</v>
      </c>
      <c r="J3458" s="473">
        <f t="shared" si="1767"/>
        <v>11.42</v>
      </c>
      <c r="K3458" s="474">
        <f t="shared" si="1768"/>
        <v>5.5036406000000007</v>
      </c>
      <c r="L3458" s="473">
        <f t="shared" si="1772"/>
        <v>11.42</v>
      </c>
      <c r="M3458" s="474">
        <f t="shared" si="1769"/>
        <v>5.5036406000000007</v>
      </c>
      <c r="O3458" s="434">
        <f t="shared" si="1770"/>
        <v>11.42</v>
      </c>
      <c r="P3458" s="435">
        <f t="shared" si="1771"/>
        <v>11.42</v>
      </c>
      <c r="AE3458" s="217"/>
      <c r="AF3458" s="217">
        <v>1418</v>
      </c>
      <c r="AH3458">
        <f t="shared" si="1764"/>
        <v>1418</v>
      </c>
    </row>
    <row r="3459" ht="45" hidden="1">
      <c r="A3459" s="217"/>
      <c r="B3459" s="217">
        <v>1418</v>
      </c>
      <c r="C3459" s="217"/>
      <c r="D3459" s="217" t="s">
        <v>20644</v>
      </c>
      <c r="E3459" s="471" t="s">
        <v>22306</v>
      </c>
      <c r="F3459" s="482" t="s">
        <v>15524</v>
      </c>
      <c r="G3459" s="470" t="s">
        <v>15525</v>
      </c>
      <c r="H3459" s="471" t="s">
        <v>1535</v>
      </c>
      <c r="I3459" s="509">
        <v>0.48193000000000003</v>
      </c>
      <c r="J3459" s="473">
        <f t="shared" si="1767"/>
        <v>26.09</v>
      </c>
      <c r="K3459" s="474">
        <f t="shared" si="1768"/>
        <v>12.5735537</v>
      </c>
      <c r="L3459" s="473">
        <f t="shared" si="1772"/>
        <v>26.09</v>
      </c>
      <c r="M3459" s="474">
        <f t="shared" si="1769"/>
        <v>12.5735537</v>
      </c>
      <c r="O3459" s="434">
        <f t="shared" si="1770"/>
        <v>26.09</v>
      </c>
      <c r="P3459" s="435">
        <f t="shared" si="1771"/>
        <v>26.09</v>
      </c>
      <c r="AE3459" s="217"/>
      <c r="AF3459" s="217">
        <v>1418</v>
      </c>
      <c r="AH3459">
        <f t="shared" si="1764"/>
        <v>1418</v>
      </c>
    </row>
    <row r="3460" ht="144" hidden="1" customHeight="1">
      <c r="A3460" s="460">
        <v>1419</v>
      </c>
      <c r="B3460" s="460">
        <v>1419</v>
      </c>
      <c r="C3460" s="460"/>
      <c r="D3460" s="460"/>
      <c r="E3460" s="461">
        <v>1</v>
      </c>
      <c r="F3460" s="462" t="s">
        <v>22314</v>
      </c>
      <c r="G3460" s="463" t="s">
        <v>22315</v>
      </c>
      <c r="H3460" s="478" t="s">
        <v>31</v>
      </c>
      <c r="I3460" s="479"/>
      <c r="J3460" s="480"/>
      <c r="K3460" s="466">
        <f>SUM(K3461:K3479)</f>
        <v>3936.0308562090004</v>
      </c>
      <c r="L3460" s="480"/>
      <c r="M3460" s="466">
        <f>SUM(M3461:M3479)</f>
        <v>4920.614079809</v>
      </c>
      <c r="O3460" s="434" t="str">
        <f t="shared" si="1770"/>
        <v xml:space="preserve">SEM VALOR</v>
      </c>
      <c r="P3460" s="435" t="str">
        <f t="shared" si="1771"/>
        <v xml:space="preserve">SEM VALOR</v>
      </c>
      <c r="AE3460" s="460">
        <v>1419</v>
      </c>
      <c r="AF3460" s="460"/>
      <c r="AH3460">
        <f t="shared" si="1764"/>
        <v>1419</v>
      </c>
    </row>
    <row r="3461" ht="45" hidden="1">
      <c r="A3461" s="217"/>
      <c r="B3461" s="217">
        <v>1419</v>
      </c>
      <c r="C3461" s="217"/>
      <c r="D3461" s="217" t="s">
        <v>20398</v>
      </c>
      <c r="E3461" s="471" t="s">
        <v>20399</v>
      </c>
      <c r="F3461" s="482">
        <v>1259</v>
      </c>
      <c r="G3461" s="470" t="s">
        <v>20796</v>
      </c>
      <c r="H3461" s="471" t="s">
        <v>15528</v>
      </c>
      <c r="I3461" s="483">
        <v>0.59999999999999998</v>
      </c>
      <c r="J3461" s="473">
        <f t="shared" si="1767"/>
        <v>45.520000000000003</v>
      </c>
      <c r="K3461" s="474">
        <f t="shared" ref="K3461:K3484" si="1774">I3461*J3461</f>
        <v>27.312000000000001</v>
      </c>
      <c r="L3461" s="473">
        <f t="shared" si="1772"/>
        <v>43.100000000000001</v>
      </c>
      <c r="M3461" s="474">
        <f t="shared" ref="M3461:M3484" si="1775">L3461*I3461</f>
        <v>25.859999999999999</v>
      </c>
      <c r="O3461" s="434">
        <f t="shared" si="1770"/>
        <v>45.520000000000003</v>
      </c>
      <c r="P3461" s="435">
        <f t="shared" si="1771"/>
        <v>43.100000000000001</v>
      </c>
      <c r="AE3461" s="217"/>
      <c r="AF3461" s="217">
        <v>1419</v>
      </c>
      <c r="AH3461">
        <f t="shared" si="1764"/>
        <v>1419</v>
      </c>
    </row>
    <row r="3462" ht="60" hidden="1">
      <c r="A3462" s="217"/>
      <c r="B3462" s="217">
        <v>1419</v>
      </c>
      <c r="C3462" s="217"/>
      <c r="D3462" s="217" t="s">
        <v>20398</v>
      </c>
      <c r="E3462" s="471" t="s">
        <v>20402</v>
      </c>
      <c r="F3462" s="482">
        <v>1241</v>
      </c>
      <c r="G3462" s="470" t="s">
        <v>21181</v>
      </c>
      <c r="H3462" s="471" t="s">
        <v>15528</v>
      </c>
      <c r="I3462" s="509">
        <v>0.59999999999999998</v>
      </c>
      <c r="J3462" s="473">
        <f t="shared" si="1767"/>
        <v>453.00401999999997</v>
      </c>
      <c r="K3462" s="474">
        <f t="shared" si="1774"/>
        <v>271.80241199999995</v>
      </c>
      <c r="L3462" s="473">
        <f t="shared" si="1772"/>
        <v>445.74401999999998</v>
      </c>
      <c r="M3462" s="474">
        <f t="shared" si="1775"/>
        <v>267.44641199999995</v>
      </c>
      <c r="O3462" s="434">
        <f t="shared" si="1770"/>
        <v>453.00401999999997</v>
      </c>
      <c r="P3462" s="435">
        <f t="shared" si="1771"/>
        <v>445.74401999999998</v>
      </c>
      <c r="AE3462" s="217"/>
      <c r="AF3462" s="217">
        <v>1419</v>
      </c>
      <c r="AH3462">
        <f t="shared" si="1764"/>
        <v>1419</v>
      </c>
    </row>
    <row r="3463" ht="45" hidden="1">
      <c r="A3463" s="217"/>
      <c r="B3463" s="217">
        <v>1419</v>
      </c>
      <c r="C3463" s="217"/>
      <c r="D3463" s="217" t="s">
        <v>20398</v>
      </c>
      <c r="E3463" s="471" t="s">
        <v>20405</v>
      </c>
      <c r="F3463" s="482">
        <v>1000</v>
      </c>
      <c r="G3463" s="470" t="s">
        <v>20651</v>
      </c>
      <c r="H3463" s="471" t="s">
        <v>15528</v>
      </c>
      <c r="I3463" s="509">
        <f>I3462</f>
        <v>0.59999999999999998</v>
      </c>
      <c r="J3463" s="473">
        <f t="shared" si="1767"/>
        <v>149.904</v>
      </c>
      <c r="K3463" s="474">
        <f t="shared" si="1774"/>
        <v>89.942399999999992</v>
      </c>
      <c r="L3463" s="473">
        <f t="shared" si="1772"/>
        <v>141.76949999999999</v>
      </c>
      <c r="M3463" s="474">
        <f t="shared" si="1775"/>
        <v>85.061699999999988</v>
      </c>
      <c r="O3463" s="434">
        <f t="shared" si="1770"/>
        <v>149.904</v>
      </c>
      <c r="P3463" s="435">
        <f t="shared" si="1771"/>
        <v>141.76949999999999</v>
      </c>
      <c r="AE3463" s="217"/>
      <c r="AF3463" s="217">
        <v>1419</v>
      </c>
      <c r="AH3463">
        <f t="shared" ref="AH3463:AH3526" si="1776">IF(AF3463:AF3464=FALSE,AE3463,AF3463)</f>
        <v>1419</v>
      </c>
    </row>
    <row r="3464" ht="45" hidden="1">
      <c r="A3464" s="217"/>
      <c r="B3464" s="217">
        <v>1419</v>
      </c>
      <c r="C3464" s="217"/>
      <c r="D3464" s="217" t="s">
        <v>17167</v>
      </c>
      <c r="E3464" s="471" t="s">
        <v>20409</v>
      </c>
      <c r="F3464" s="482">
        <v>96545</v>
      </c>
      <c r="G3464" s="470" t="s">
        <v>20678</v>
      </c>
      <c r="H3464" s="471" t="s">
        <v>302</v>
      </c>
      <c r="I3464" s="509">
        <v>10.15</v>
      </c>
      <c r="J3464" s="473">
        <f t="shared" si="1767"/>
        <v>15.82</v>
      </c>
      <c r="K3464" s="474">
        <f t="shared" si="1774"/>
        <v>160.57300000000001</v>
      </c>
      <c r="L3464" s="473">
        <f t="shared" si="1772"/>
        <v>15.48</v>
      </c>
      <c r="M3464" s="474">
        <f t="shared" si="1775"/>
        <v>157.12200000000001</v>
      </c>
      <c r="O3464" s="434">
        <f t="shared" si="1770"/>
        <v>15.82</v>
      </c>
      <c r="P3464" s="435">
        <f t="shared" si="1771"/>
        <v>15.48</v>
      </c>
      <c r="AE3464" s="217"/>
      <c r="AF3464" s="217">
        <v>1419</v>
      </c>
      <c r="AH3464">
        <f t="shared" si="1776"/>
        <v>1419</v>
      </c>
    </row>
    <row r="3465" ht="45" hidden="1">
      <c r="A3465" s="217"/>
      <c r="B3465" s="217">
        <v>1419</v>
      </c>
      <c r="C3465" s="217"/>
      <c r="D3465" s="217" t="s">
        <v>17167</v>
      </c>
      <c r="E3465" s="471" t="s">
        <v>20663</v>
      </c>
      <c r="F3465" s="482">
        <v>96546</v>
      </c>
      <c r="G3465" s="470" t="s">
        <v>21133</v>
      </c>
      <c r="H3465" s="471" t="s">
        <v>302</v>
      </c>
      <c r="I3465" s="509">
        <v>4.46</v>
      </c>
      <c r="J3465" s="473">
        <f t="shared" si="1767"/>
        <v>13.77</v>
      </c>
      <c r="K3465" s="474">
        <f t="shared" si="1774"/>
        <v>61.414200000000001</v>
      </c>
      <c r="L3465" s="473">
        <f t="shared" si="1772"/>
        <v>13.51</v>
      </c>
      <c r="M3465" s="474">
        <f t="shared" si="1775"/>
        <v>60.254599999999996</v>
      </c>
      <c r="O3465" s="434">
        <f t="shared" si="1770"/>
        <v>13.77</v>
      </c>
      <c r="P3465" s="435">
        <f t="shared" si="1771"/>
        <v>13.51</v>
      </c>
      <c r="AE3465" s="217"/>
      <c r="AF3465" s="217">
        <v>1419</v>
      </c>
      <c r="AH3465">
        <f t="shared" si="1776"/>
        <v>1419</v>
      </c>
    </row>
    <row r="3466" ht="30" hidden="1">
      <c r="A3466" s="217"/>
      <c r="B3466" s="217">
        <v>1419</v>
      </c>
      <c r="C3466" s="217"/>
      <c r="D3466" s="217" t="s">
        <v>20408</v>
      </c>
      <c r="E3466" s="471" t="s">
        <v>20665</v>
      </c>
      <c r="F3466" s="489">
        <v>43082</v>
      </c>
      <c r="G3466" s="470" t="s">
        <v>21182</v>
      </c>
      <c r="H3466" s="471" t="s">
        <v>302</v>
      </c>
      <c r="I3466" s="509">
        <v>145.34</v>
      </c>
      <c r="J3466" s="473">
        <f t="shared" si="1767"/>
        <v>10</v>
      </c>
      <c r="K3466" s="474">
        <f t="shared" si="1774"/>
        <v>1453.4000000000001</v>
      </c>
      <c r="L3466" s="473">
        <f t="shared" si="1772"/>
        <v>10</v>
      </c>
      <c r="M3466" s="474">
        <f t="shared" si="1775"/>
        <v>1453.4000000000001</v>
      </c>
      <c r="O3466" s="434">
        <f t="shared" si="1770"/>
        <v>10</v>
      </c>
      <c r="P3466" s="435">
        <f t="shared" si="1771"/>
        <v>10</v>
      </c>
      <c r="AE3466" s="217"/>
      <c r="AF3466" s="217">
        <v>1419</v>
      </c>
      <c r="AH3466">
        <f t="shared" si="1776"/>
        <v>1419</v>
      </c>
    </row>
    <row r="3467" ht="45" hidden="1">
      <c r="A3467" s="217"/>
      <c r="B3467" s="217">
        <v>1419</v>
      </c>
      <c r="C3467" s="217"/>
      <c r="D3467" s="217" t="s">
        <v>20408</v>
      </c>
      <c r="E3467" s="471" t="s">
        <v>20667</v>
      </c>
      <c r="F3467" s="489">
        <v>40839</v>
      </c>
      <c r="G3467" s="470" t="s">
        <v>21183</v>
      </c>
      <c r="H3467" s="471" t="s">
        <v>31</v>
      </c>
      <c r="I3467" s="509">
        <v>8</v>
      </c>
      <c r="J3467" s="473">
        <f>O3467*$J$3/100</f>
        <v>1.3077000000000001</v>
      </c>
      <c r="K3467" s="474">
        <f t="shared" si="1774"/>
        <v>10.461600000000001</v>
      </c>
      <c r="L3467" s="473">
        <f t="shared" si="1772"/>
        <v>130.77000000000001</v>
      </c>
      <c r="M3467" s="474">
        <f t="shared" si="1775"/>
        <v>1046.1600000000001</v>
      </c>
      <c r="O3467" s="434">
        <f t="shared" si="1770"/>
        <v>130.77000000000001</v>
      </c>
      <c r="P3467" s="435">
        <f t="shared" si="1771"/>
        <v>130.77000000000001</v>
      </c>
      <c r="AE3467" s="217"/>
      <c r="AF3467" s="217">
        <v>1419</v>
      </c>
      <c r="AH3467">
        <f t="shared" si="1776"/>
        <v>1419</v>
      </c>
    </row>
    <row r="3468" hidden="1">
      <c r="A3468" s="217"/>
      <c r="B3468" s="217">
        <v>1419</v>
      </c>
      <c r="C3468" s="217"/>
      <c r="D3468" s="217" t="s">
        <v>20644</v>
      </c>
      <c r="E3468" s="471" t="s">
        <v>20671</v>
      </c>
      <c r="F3468" s="489" t="s">
        <v>15504</v>
      </c>
      <c r="G3468" s="488" t="s">
        <v>22311</v>
      </c>
      <c r="H3468" s="471" t="s">
        <v>302</v>
      </c>
      <c r="I3468" s="509">
        <f>11.775*2.723*0.828</f>
        <v>26.5484331</v>
      </c>
      <c r="J3468" s="473">
        <f t="shared" si="1767"/>
        <v>10</v>
      </c>
      <c r="K3468" s="474">
        <f t="shared" si="1774"/>
        <v>265.484331</v>
      </c>
      <c r="L3468" s="473">
        <f t="shared" si="1772"/>
        <v>10</v>
      </c>
      <c r="M3468" s="474">
        <f t="shared" si="1775"/>
        <v>265.484331</v>
      </c>
      <c r="O3468" s="434">
        <f t="shared" si="1770"/>
        <v>10</v>
      </c>
      <c r="P3468" s="435">
        <f t="shared" si="1771"/>
        <v>10</v>
      </c>
      <c r="AE3468" s="217"/>
      <c r="AF3468" s="217">
        <v>1419</v>
      </c>
      <c r="AH3468">
        <f t="shared" si="1776"/>
        <v>1419</v>
      </c>
    </row>
    <row r="3469" hidden="1">
      <c r="A3469" s="217"/>
      <c r="B3469" s="217">
        <v>1419</v>
      </c>
      <c r="C3469" s="217"/>
      <c r="D3469" s="217" t="s">
        <v>20644</v>
      </c>
      <c r="E3469" s="471" t="s">
        <v>20672</v>
      </c>
      <c r="F3469" s="482" t="s">
        <v>15513</v>
      </c>
      <c r="G3469" s="470" t="s">
        <v>15514</v>
      </c>
      <c r="H3469" s="471" t="s">
        <v>15515</v>
      </c>
      <c r="I3469" s="509">
        <f>2.723*0.828*1.4</f>
        <v>3.1565015999999999</v>
      </c>
      <c r="J3469" s="473">
        <f t="shared" si="1767"/>
        <v>224.88</v>
      </c>
      <c r="K3469" s="474">
        <f t="shared" si="1774"/>
        <v>709.83407980799996</v>
      </c>
      <c r="L3469" s="473">
        <f t="shared" si="1772"/>
        <v>224.88</v>
      </c>
      <c r="M3469" s="474">
        <f t="shared" si="1775"/>
        <v>709.83407980799996</v>
      </c>
      <c r="O3469" s="434">
        <f t="shared" si="1770"/>
        <v>224.88</v>
      </c>
      <c r="P3469" s="435">
        <f t="shared" si="1771"/>
        <v>224.88</v>
      </c>
      <c r="AE3469" s="217"/>
      <c r="AF3469" s="217">
        <v>1419</v>
      </c>
      <c r="AH3469">
        <f t="shared" si="1776"/>
        <v>1419</v>
      </c>
    </row>
    <row r="3470" ht="105" hidden="1">
      <c r="A3470" s="217"/>
      <c r="B3470" s="217">
        <v>1419</v>
      </c>
      <c r="C3470" s="217"/>
      <c r="D3470" s="217" t="s">
        <v>17167</v>
      </c>
      <c r="E3470" s="471" t="s">
        <v>20673</v>
      </c>
      <c r="F3470" s="482">
        <v>73467</v>
      </c>
      <c r="G3470" s="470" t="s">
        <v>1601</v>
      </c>
      <c r="H3470" s="471" t="s">
        <v>1535</v>
      </c>
      <c r="I3470" s="509">
        <v>7.1428599999999995e-002</v>
      </c>
      <c r="J3470" s="473">
        <f t="shared" si="1767"/>
        <v>270.61000000000001</v>
      </c>
      <c r="K3470" s="474">
        <f t="shared" si="1774"/>
        <v>19.329293446000001</v>
      </c>
      <c r="L3470" s="473">
        <f t="shared" si="1772"/>
        <v>269.00999999999999</v>
      </c>
      <c r="M3470" s="474">
        <f t="shared" si="1775"/>
        <v>19.215007685999996</v>
      </c>
      <c r="O3470" s="434">
        <f t="shared" si="1770"/>
        <v>270.61000000000001</v>
      </c>
      <c r="P3470" s="435">
        <f t="shared" si="1771"/>
        <v>269.00999999999999</v>
      </c>
      <c r="AE3470" s="217"/>
      <c r="AF3470" s="217">
        <v>1419</v>
      </c>
      <c r="AH3470">
        <f t="shared" si="1776"/>
        <v>1419</v>
      </c>
    </row>
    <row r="3471" ht="105" hidden="1">
      <c r="A3471" s="217"/>
      <c r="B3471" s="217">
        <v>1419</v>
      </c>
      <c r="C3471" s="217"/>
      <c r="D3471" s="217" t="s">
        <v>17167</v>
      </c>
      <c r="E3471" s="471" t="s">
        <v>20675</v>
      </c>
      <c r="F3471" s="482">
        <v>91395</v>
      </c>
      <c r="G3471" s="470" t="s">
        <v>1600</v>
      </c>
      <c r="H3471" s="471" t="s">
        <v>1533</v>
      </c>
      <c r="I3471" s="509">
        <v>0.1666667</v>
      </c>
      <c r="J3471" s="473">
        <f t="shared" si="1767"/>
        <v>58.25</v>
      </c>
      <c r="K3471" s="474">
        <f t="shared" si="1774"/>
        <v>9.7083352749999996</v>
      </c>
      <c r="L3471" s="473">
        <f t="shared" si="1772"/>
        <v>56.649999999999999</v>
      </c>
      <c r="M3471" s="474">
        <f t="shared" si="1775"/>
        <v>9.4416685549999997</v>
      </c>
      <c r="O3471" s="434">
        <f t="shared" si="1770"/>
        <v>58.25</v>
      </c>
      <c r="P3471" s="435">
        <f t="shared" si="1771"/>
        <v>56.649999999999999</v>
      </c>
      <c r="AE3471" s="217"/>
      <c r="AF3471" s="217">
        <v>1419</v>
      </c>
      <c r="AH3471">
        <f t="shared" si="1776"/>
        <v>1419</v>
      </c>
    </row>
    <row r="3472" ht="30" hidden="1">
      <c r="A3472" s="217"/>
      <c r="B3472" s="217">
        <v>1419</v>
      </c>
      <c r="C3472" s="217"/>
      <c r="D3472" s="217" t="s">
        <v>17167</v>
      </c>
      <c r="E3472" s="471" t="s">
        <v>20677</v>
      </c>
      <c r="F3472" s="482">
        <v>88242</v>
      </c>
      <c r="G3472" s="470" t="s">
        <v>7093</v>
      </c>
      <c r="H3472" s="471" t="s">
        <v>2032</v>
      </c>
      <c r="I3472" s="509">
        <f>2/4</f>
        <v>0.5</v>
      </c>
      <c r="J3472" s="473">
        <f t="shared" si="1767"/>
        <v>23.530000000000001</v>
      </c>
      <c r="K3472" s="474">
        <f t="shared" si="1774"/>
        <v>11.765000000000001</v>
      </c>
      <c r="L3472" s="473">
        <f t="shared" si="1772"/>
        <v>22.27</v>
      </c>
      <c r="M3472" s="474">
        <f t="shared" si="1775"/>
        <v>11.135</v>
      </c>
      <c r="O3472" s="434">
        <f t="shared" si="1770"/>
        <v>23.530000000000001</v>
      </c>
      <c r="P3472" s="435">
        <f t="shared" si="1771"/>
        <v>22.27</v>
      </c>
      <c r="AE3472" s="217"/>
      <c r="AF3472" s="217">
        <v>1419</v>
      </c>
      <c r="AH3472">
        <f t="shared" si="1776"/>
        <v>1419</v>
      </c>
    </row>
    <row r="3473" ht="30" hidden="1">
      <c r="A3473" s="217"/>
      <c r="B3473" s="217">
        <v>1419</v>
      </c>
      <c r="C3473" s="217"/>
      <c r="D3473" s="217" t="s">
        <v>17167</v>
      </c>
      <c r="E3473" s="471" t="s">
        <v>20679</v>
      </c>
      <c r="F3473" s="482">
        <v>88278</v>
      </c>
      <c r="G3473" s="470" t="s">
        <v>21185</v>
      </c>
      <c r="H3473" s="471" t="s">
        <v>2032</v>
      </c>
      <c r="I3473" s="509">
        <f t="shared" ref="I3473:I3474" si="1777">1/4</f>
        <v>0.25</v>
      </c>
      <c r="J3473" s="473">
        <f t="shared" si="1767"/>
        <v>30.440000000000001</v>
      </c>
      <c r="K3473" s="474">
        <f t="shared" si="1774"/>
        <v>7.6100000000000003</v>
      </c>
      <c r="L3473" s="473">
        <f t="shared" si="1772"/>
        <v>28.57</v>
      </c>
      <c r="M3473" s="474">
        <f t="shared" si="1775"/>
        <v>7.1425000000000001</v>
      </c>
      <c r="O3473" s="434">
        <f t="shared" si="1770"/>
        <v>30.440000000000001</v>
      </c>
      <c r="P3473" s="435">
        <f t="shared" si="1771"/>
        <v>28.57</v>
      </c>
      <c r="AE3473" s="217"/>
      <c r="AF3473" s="217">
        <v>1419</v>
      </c>
      <c r="AH3473">
        <f t="shared" si="1776"/>
        <v>1419</v>
      </c>
    </row>
    <row r="3474" ht="30" hidden="1">
      <c r="A3474" s="217"/>
      <c r="B3474" s="217">
        <v>1419</v>
      </c>
      <c r="C3474" s="217"/>
      <c r="D3474" s="217" t="s">
        <v>17167</v>
      </c>
      <c r="E3474" s="471" t="s">
        <v>20681</v>
      </c>
      <c r="F3474" s="482">
        <v>88315</v>
      </c>
      <c r="G3474" s="470" t="s">
        <v>7392</v>
      </c>
      <c r="H3474" s="471" t="s">
        <v>2032</v>
      </c>
      <c r="I3474" s="509">
        <f t="shared" si="1777"/>
        <v>0.25</v>
      </c>
      <c r="J3474" s="473">
        <f t="shared" si="1767"/>
        <v>28.800000000000001</v>
      </c>
      <c r="K3474" s="474">
        <f t="shared" si="1774"/>
        <v>7.2000000000000002</v>
      </c>
      <c r="L3474" s="473">
        <f t="shared" si="1772"/>
        <v>27.149999999999999</v>
      </c>
      <c r="M3474" s="474">
        <f t="shared" si="1775"/>
        <v>6.7874999999999996</v>
      </c>
      <c r="O3474" s="434">
        <f t="shared" si="1770"/>
        <v>28.800000000000001</v>
      </c>
      <c r="P3474" s="435">
        <f t="shared" si="1771"/>
        <v>27.149999999999999</v>
      </c>
      <c r="AE3474" s="217"/>
      <c r="AF3474" s="217">
        <v>1419</v>
      </c>
      <c r="AH3474">
        <f t="shared" si="1776"/>
        <v>1419</v>
      </c>
    </row>
    <row r="3475" ht="30" hidden="1">
      <c r="A3475" s="217"/>
      <c r="B3475" s="217">
        <v>1419</v>
      </c>
      <c r="C3475" s="217"/>
      <c r="D3475" s="217" t="s">
        <v>17167</v>
      </c>
      <c r="E3475" s="471" t="s">
        <v>20683</v>
      </c>
      <c r="F3475" s="482">
        <v>88316</v>
      </c>
      <c r="G3475" s="470" t="s">
        <v>7393</v>
      </c>
      <c r="H3475" s="471" t="s">
        <v>2032</v>
      </c>
      <c r="I3475" s="509">
        <f>2/4</f>
        <v>0.5</v>
      </c>
      <c r="J3475" s="473">
        <f t="shared" si="1767"/>
        <v>22.760000000000002</v>
      </c>
      <c r="K3475" s="474">
        <f t="shared" si="1774"/>
        <v>11.380000000000001</v>
      </c>
      <c r="L3475" s="473">
        <f t="shared" si="1772"/>
        <v>21.550000000000001</v>
      </c>
      <c r="M3475" s="474">
        <f t="shared" si="1775"/>
        <v>10.775</v>
      </c>
      <c r="O3475" s="434">
        <f t="shared" si="1770"/>
        <v>22.760000000000002</v>
      </c>
      <c r="P3475" s="435">
        <f t="shared" si="1771"/>
        <v>21.550000000000001</v>
      </c>
      <c r="AE3475" s="217"/>
      <c r="AF3475" s="217">
        <v>1419</v>
      </c>
      <c r="AH3475">
        <f t="shared" si="1776"/>
        <v>1419</v>
      </c>
    </row>
    <row r="3476" ht="75" hidden="1">
      <c r="A3476" s="217"/>
      <c r="B3476" s="217">
        <v>1419</v>
      </c>
      <c r="C3476" s="217"/>
      <c r="D3476" s="217" t="s">
        <v>17167</v>
      </c>
      <c r="E3476" s="471" t="s">
        <v>20685</v>
      </c>
      <c r="F3476" s="482">
        <v>100722</v>
      </c>
      <c r="G3476" s="470" t="s">
        <v>21187</v>
      </c>
      <c r="H3476" s="471" t="s">
        <v>15515</v>
      </c>
      <c r="I3476" s="509">
        <f>8.66+I3477</f>
        <v>10.914643999999999</v>
      </c>
      <c r="J3476" s="473">
        <f t="shared" si="1767"/>
        <v>25.260000000000002</v>
      </c>
      <c r="K3476" s="474">
        <f t="shared" si="1774"/>
        <v>275.70390744000002</v>
      </c>
      <c r="L3476" s="473">
        <f t="shared" si="1772"/>
        <v>24.170000000000002</v>
      </c>
      <c r="M3476" s="474">
        <f t="shared" si="1775"/>
        <v>263.80694548000002</v>
      </c>
      <c r="O3476" s="434">
        <f t="shared" si="1770"/>
        <v>25.260000000000002</v>
      </c>
      <c r="P3476" s="435">
        <f t="shared" si="1771"/>
        <v>24.170000000000002</v>
      </c>
      <c r="AE3476" s="217"/>
      <c r="AF3476" s="217">
        <v>1419</v>
      </c>
      <c r="AH3476">
        <f t="shared" si="1776"/>
        <v>1419</v>
      </c>
    </row>
    <row r="3477" ht="90" hidden="1">
      <c r="A3477" s="217"/>
      <c r="B3477" s="217">
        <v>1419</v>
      </c>
      <c r="C3477" s="217"/>
      <c r="D3477" s="217" t="s">
        <v>17167</v>
      </c>
      <c r="E3477" s="471" t="s">
        <v>20687</v>
      </c>
      <c r="F3477" s="482">
        <v>100750</v>
      </c>
      <c r="G3477" s="470" t="s">
        <v>22312</v>
      </c>
      <c r="H3477" s="471" t="s">
        <v>15515</v>
      </c>
      <c r="I3477" s="509">
        <f>2.723*0.828</f>
        <v>2.2546439999999999</v>
      </c>
      <c r="J3477" s="473">
        <f t="shared" si="1767"/>
        <v>25.710000000000001</v>
      </c>
      <c r="K3477" s="474">
        <f t="shared" si="1774"/>
        <v>57.966897240000002</v>
      </c>
      <c r="L3477" s="473">
        <f t="shared" si="1772"/>
        <v>24.620000000000001</v>
      </c>
      <c r="M3477" s="474">
        <f t="shared" si="1775"/>
        <v>55.509335280000002</v>
      </c>
      <c r="O3477" s="434">
        <f t="shared" si="1770"/>
        <v>25.710000000000001</v>
      </c>
      <c r="P3477" s="435">
        <f t="shared" si="1771"/>
        <v>24.620000000000001</v>
      </c>
      <c r="AE3477" s="217"/>
      <c r="AF3477" s="217">
        <v>1419</v>
      </c>
      <c r="AH3477">
        <f t="shared" si="1776"/>
        <v>1419</v>
      </c>
    </row>
    <row r="3478" ht="90" hidden="1">
      <c r="A3478" s="217"/>
      <c r="B3478" s="217">
        <v>1419</v>
      </c>
      <c r="C3478" s="217"/>
      <c r="D3478" s="217" t="s">
        <v>17167</v>
      </c>
      <c r="E3478" s="471" t="s">
        <v>20689</v>
      </c>
      <c r="F3478" s="482">
        <v>100758</v>
      </c>
      <c r="G3478" s="470" t="s">
        <v>22313</v>
      </c>
      <c r="H3478" s="471" t="s">
        <v>15515</v>
      </c>
      <c r="I3478" s="509">
        <f>8.66</f>
        <v>8.6600000000000001</v>
      </c>
      <c r="J3478" s="473">
        <f t="shared" si="1767"/>
        <v>51.649999999999999</v>
      </c>
      <c r="K3478" s="474">
        <f t="shared" si="1774"/>
        <v>447.28899999999999</v>
      </c>
      <c r="L3478" s="473">
        <f t="shared" si="1772"/>
        <v>49.460000000000001</v>
      </c>
      <c r="M3478" s="474">
        <f t="shared" si="1775"/>
        <v>428.3236</v>
      </c>
      <c r="O3478" s="434">
        <f t="shared" si="1770"/>
        <v>51.649999999999999</v>
      </c>
      <c r="P3478" s="435">
        <f t="shared" si="1771"/>
        <v>49.460000000000001</v>
      </c>
      <c r="AE3478" s="217"/>
      <c r="AF3478" s="217">
        <v>1419</v>
      </c>
      <c r="AH3478">
        <f t="shared" si="1776"/>
        <v>1419</v>
      </c>
    </row>
    <row r="3479" ht="45" hidden="1">
      <c r="A3479" s="217"/>
      <c r="B3479" s="217">
        <v>1419</v>
      </c>
      <c r="C3479" s="217"/>
      <c r="D3479" s="217" t="s">
        <v>20408</v>
      </c>
      <c r="E3479" s="471" t="s">
        <v>20882</v>
      </c>
      <c r="F3479" s="482">
        <v>4777</v>
      </c>
      <c r="G3479" s="470" t="s">
        <v>11427</v>
      </c>
      <c r="H3479" s="471" t="s">
        <v>302</v>
      </c>
      <c r="I3479" s="509">
        <v>4.7199999999999998</v>
      </c>
      <c r="J3479" s="473">
        <f t="shared" si="1767"/>
        <v>8.0199999999999996</v>
      </c>
      <c r="K3479" s="474">
        <f t="shared" si="1774"/>
        <v>37.854399999999998</v>
      </c>
      <c r="L3479" s="473">
        <f t="shared" si="1772"/>
        <v>8.0199999999999996</v>
      </c>
      <c r="M3479" s="474">
        <f t="shared" si="1775"/>
        <v>37.854399999999998</v>
      </c>
      <c r="O3479" s="434">
        <f t="shared" si="1770"/>
        <v>8.0199999999999996</v>
      </c>
      <c r="P3479" s="435">
        <f t="shared" si="1771"/>
        <v>8.0199999999999996</v>
      </c>
      <c r="AE3479" s="217"/>
      <c r="AF3479" s="217">
        <v>1419</v>
      </c>
      <c r="AH3479">
        <f t="shared" si="1776"/>
        <v>1419</v>
      </c>
    </row>
    <row r="3480" ht="30" hidden="1">
      <c r="A3480" s="217"/>
      <c r="B3480" s="217">
        <v>1419</v>
      </c>
      <c r="C3480" s="217"/>
      <c r="D3480" s="217" t="s">
        <v>20644</v>
      </c>
      <c r="E3480" s="471" t="s">
        <v>22002</v>
      </c>
      <c r="F3480" s="482" t="s">
        <v>15516</v>
      </c>
      <c r="G3480" s="470" t="s">
        <v>15517</v>
      </c>
      <c r="H3480" s="471" t="s">
        <v>1535</v>
      </c>
      <c r="I3480" s="509">
        <v>0.15060000000000001</v>
      </c>
      <c r="J3480" s="473">
        <f t="shared" si="1767"/>
        <v>3721.7600000000002</v>
      </c>
      <c r="K3480" s="474">
        <f t="shared" si="1774"/>
        <v>560.49705600000004</v>
      </c>
      <c r="L3480" s="473">
        <f t="shared" si="1772"/>
        <v>3721.7600000000002</v>
      </c>
      <c r="M3480" s="474">
        <f t="shared" si="1775"/>
        <v>560.49705600000004</v>
      </c>
      <c r="O3480" s="434">
        <f t="shared" si="1770"/>
        <v>3721.7600000000002</v>
      </c>
      <c r="P3480" s="435">
        <f t="shared" si="1771"/>
        <v>3721.7600000000002</v>
      </c>
      <c r="AE3480" s="217"/>
      <c r="AF3480" s="217">
        <v>1419</v>
      </c>
      <c r="AH3480">
        <f t="shared" si="1776"/>
        <v>1419</v>
      </c>
    </row>
    <row r="3481" hidden="1">
      <c r="A3481" s="217"/>
      <c r="B3481" s="217">
        <v>1419</v>
      </c>
      <c r="C3481" s="217"/>
      <c r="D3481" s="217" t="s">
        <v>20644</v>
      </c>
      <c r="E3481" s="471" t="s">
        <v>22003</v>
      </c>
      <c r="F3481" s="482" t="s">
        <v>15518</v>
      </c>
      <c r="G3481" s="470" t="s">
        <v>15519</v>
      </c>
      <c r="H3481" s="471" t="s">
        <v>1535</v>
      </c>
      <c r="I3481" s="509">
        <v>0.48193000000000003</v>
      </c>
      <c r="J3481" s="473">
        <f t="shared" si="1767"/>
        <v>31.469999999999999</v>
      </c>
      <c r="K3481" s="474">
        <f t="shared" si="1774"/>
        <v>15.1663371</v>
      </c>
      <c r="L3481" s="473">
        <f t="shared" si="1772"/>
        <v>31.469999999999999</v>
      </c>
      <c r="M3481" s="474">
        <f t="shared" si="1775"/>
        <v>15.1663371</v>
      </c>
      <c r="O3481" s="434">
        <f t="shared" si="1770"/>
        <v>31.469999999999999</v>
      </c>
      <c r="P3481" s="435">
        <f t="shared" si="1771"/>
        <v>31.469999999999999</v>
      </c>
      <c r="AE3481" s="217"/>
      <c r="AF3481" s="217">
        <v>1419</v>
      </c>
      <c r="AH3481">
        <f t="shared" si="1776"/>
        <v>1419</v>
      </c>
    </row>
    <row r="3482" ht="30" hidden="1">
      <c r="A3482" s="217"/>
      <c r="B3482" s="217">
        <v>1419</v>
      </c>
      <c r="C3482" s="217"/>
      <c r="D3482" s="217" t="s">
        <v>20644</v>
      </c>
      <c r="E3482" s="471" t="s">
        <v>22302</v>
      </c>
      <c r="F3482" s="482" t="s">
        <v>15520</v>
      </c>
      <c r="G3482" s="470" t="s">
        <v>15521</v>
      </c>
      <c r="H3482" s="471" t="s">
        <v>1535</v>
      </c>
      <c r="I3482" s="509">
        <v>0.20080000000000001</v>
      </c>
      <c r="J3482" s="473">
        <f t="shared" si="1767"/>
        <v>14.970000000000001</v>
      </c>
      <c r="K3482" s="474">
        <f t="shared" si="1774"/>
        <v>3.0059760000000004</v>
      </c>
      <c r="L3482" s="473">
        <f t="shared" si="1772"/>
        <v>14.970000000000001</v>
      </c>
      <c r="M3482" s="474">
        <f t="shared" si="1775"/>
        <v>3.0059760000000004</v>
      </c>
      <c r="O3482" s="434">
        <f t="shared" si="1770"/>
        <v>14.970000000000001</v>
      </c>
      <c r="P3482" s="435">
        <f t="shared" si="1771"/>
        <v>14.970000000000001</v>
      </c>
      <c r="AE3482" s="217"/>
      <c r="AF3482" s="217">
        <v>1419</v>
      </c>
      <c r="AH3482">
        <f t="shared" si="1776"/>
        <v>1419</v>
      </c>
    </row>
    <row r="3483" ht="30" hidden="1">
      <c r="A3483" s="217"/>
      <c r="B3483" s="217">
        <v>1419</v>
      </c>
      <c r="C3483" s="217"/>
      <c r="D3483" s="217" t="s">
        <v>20644</v>
      </c>
      <c r="E3483" s="471" t="s">
        <v>22305</v>
      </c>
      <c r="F3483" s="482" t="s">
        <v>15522</v>
      </c>
      <c r="G3483" s="470" t="s">
        <v>15523</v>
      </c>
      <c r="H3483" s="471" t="s">
        <v>1535</v>
      </c>
      <c r="I3483" s="509">
        <v>0.48193000000000003</v>
      </c>
      <c r="J3483" s="473">
        <f t="shared" si="1767"/>
        <v>11.42</v>
      </c>
      <c r="K3483" s="474">
        <f t="shared" si="1774"/>
        <v>5.5036406000000007</v>
      </c>
      <c r="L3483" s="473">
        <f t="shared" si="1772"/>
        <v>11.42</v>
      </c>
      <c r="M3483" s="474">
        <f t="shared" si="1775"/>
        <v>5.5036406000000007</v>
      </c>
      <c r="O3483" s="434">
        <f t="shared" si="1770"/>
        <v>11.42</v>
      </c>
      <c r="P3483" s="435">
        <f t="shared" si="1771"/>
        <v>11.42</v>
      </c>
      <c r="AE3483" s="217"/>
      <c r="AF3483" s="217">
        <v>1419</v>
      </c>
      <c r="AH3483">
        <f t="shared" si="1776"/>
        <v>1419</v>
      </c>
    </row>
    <row r="3484" ht="45" hidden="1">
      <c r="A3484" s="217"/>
      <c r="B3484" s="217">
        <v>1419</v>
      </c>
      <c r="C3484" s="217"/>
      <c r="D3484" s="217" t="s">
        <v>20644</v>
      </c>
      <c r="E3484" s="471" t="s">
        <v>22306</v>
      </c>
      <c r="F3484" s="482" t="s">
        <v>15524</v>
      </c>
      <c r="G3484" s="470" t="s">
        <v>15525</v>
      </c>
      <c r="H3484" s="471" t="s">
        <v>1535</v>
      </c>
      <c r="I3484" s="509">
        <v>0.48193000000000003</v>
      </c>
      <c r="J3484" s="473">
        <f t="shared" si="1767"/>
        <v>26.09</v>
      </c>
      <c r="K3484" s="474">
        <f t="shared" si="1774"/>
        <v>12.5735537</v>
      </c>
      <c r="L3484" s="473">
        <f t="shared" si="1772"/>
        <v>26.09</v>
      </c>
      <c r="M3484" s="474">
        <f t="shared" si="1775"/>
        <v>12.5735537</v>
      </c>
      <c r="O3484" s="434">
        <f t="shared" si="1770"/>
        <v>26.09</v>
      </c>
      <c r="P3484" s="435">
        <f t="shared" si="1771"/>
        <v>26.09</v>
      </c>
      <c r="AE3484" s="217"/>
      <c r="AF3484" s="217">
        <v>1419</v>
      </c>
      <c r="AH3484">
        <f t="shared" si="1776"/>
        <v>1419</v>
      </c>
    </row>
    <row r="3485" ht="146.25" hidden="1" customHeight="1">
      <c r="A3485" s="460">
        <v>1420</v>
      </c>
      <c r="B3485" s="460">
        <v>1420</v>
      </c>
      <c r="C3485" s="460"/>
      <c r="D3485" s="460"/>
      <c r="E3485" s="461">
        <v>1</v>
      </c>
      <c r="F3485" s="462" t="s">
        <v>22316</v>
      </c>
      <c r="G3485" s="463" t="s">
        <v>22317</v>
      </c>
      <c r="H3485" s="464" t="s">
        <v>20647</v>
      </c>
      <c r="I3485" s="479"/>
      <c r="J3485" s="480"/>
      <c r="K3485" s="466">
        <f>SUM(K3486:K3504)</f>
        <v>3823.0463231210006</v>
      </c>
      <c r="L3485" s="480"/>
      <c r="M3485" s="466">
        <f>SUM(M3486:M3504)</f>
        <v>4809.3415546410006</v>
      </c>
      <c r="O3485" s="434" t="str">
        <f t="shared" si="1770"/>
        <v xml:space="preserve">SEM VALOR</v>
      </c>
      <c r="P3485" s="435" t="str">
        <f t="shared" si="1771"/>
        <v xml:space="preserve">SEM VALOR</v>
      </c>
      <c r="AE3485" s="460">
        <v>1420</v>
      </c>
      <c r="AF3485" s="460"/>
      <c r="AH3485">
        <f t="shared" si="1776"/>
        <v>1420</v>
      </c>
    </row>
    <row r="3486" ht="45" hidden="1">
      <c r="A3486" s="217"/>
      <c r="B3486" s="217">
        <v>1420</v>
      </c>
      <c r="C3486" s="217"/>
      <c r="D3486" s="217" t="s">
        <v>20398</v>
      </c>
      <c r="E3486" s="471" t="s">
        <v>20399</v>
      </c>
      <c r="F3486" s="482">
        <v>1259</v>
      </c>
      <c r="G3486" s="470" t="s">
        <v>20796</v>
      </c>
      <c r="H3486" s="471" t="s">
        <v>15528</v>
      </c>
      <c r="I3486" s="483">
        <v>0.59999999999999998</v>
      </c>
      <c r="J3486" s="473">
        <f t="shared" ref="J3486:J3549" si="1778">O3486*$J$3</f>
        <v>45.520000000000003</v>
      </c>
      <c r="K3486" s="474">
        <f t="shared" ref="K3486:K3509" si="1779">I3486*J3486</f>
        <v>27.312000000000001</v>
      </c>
      <c r="L3486" s="473">
        <f t="shared" si="1772"/>
        <v>43.100000000000001</v>
      </c>
      <c r="M3486" s="474">
        <f t="shared" ref="M3486:M3509" si="1780">L3486*I3486</f>
        <v>25.859999999999999</v>
      </c>
      <c r="O3486" s="434">
        <f t="shared" si="1770"/>
        <v>45.520000000000003</v>
      </c>
      <c r="P3486" s="435">
        <f t="shared" si="1771"/>
        <v>43.100000000000001</v>
      </c>
      <c r="AE3486" s="217"/>
      <c r="AF3486" s="217">
        <v>1420</v>
      </c>
      <c r="AH3486">
        <f t="shared" si="1776"/>
        <v>1420</v>
      </c>
    </row>
    <row r="3487" ht="60" hidden="1">
      <c r="A3487" s="217"/>
      <c r="B3487" s="217">
        <v>1420</v>
      </c>
      <c r="C3487" s="217"/>
      <c r="D3487" s="217" t="s">
        <v>20398</v>
      </c>
      <c r="E3487" s="471" t="s">
        <v>20402</v>
      </c>
      <c r="F3487" s="482">
        <v>1241</v>
      </c>
      <c r="G3487" s="470" t="s">
        <v>21181</v>
      </c>
      <c r="H3487" s="471" t="s">
        <v>15528</v>
      </c>
      <c r="I3487" s="509">
        <v>0.59999999999999998</v>
      </c>
      <c r="J3487" s="473">
        <f t="shared" si="1778"/>
        <v>453.00401999999997</v>
      </c>
      <c r="K3487" s="474">
        <f t="shared" si="1779"/>
        <v>271.80241199999995</v>
      </c>
      <c r="L3487" s="473">
        <f t="shared" si="1772"/>
        <v>445.74401999999998</v>
      </c>
      <c r="M3487" s="474">
        <f t="shared" si="1780"/>
        <v>267.44641199999995</v>
      </c>
      <c r="O3487" s="434">
        <f t="shared" si="1770"/>
        <v>453.00401999999997</v>
      </c>
      <c r="P3487" s="435">
        <f t="shared" si="1771"/>
        <v>445.74401999999998</v>
      </c>
      <c r="AE3487" s="217"/>
      <c r="AF3487" s="217">
        <v>1420</v>
      </c>
      <c r="AH3487">
        <f t="shared" si="1776"/>
        <v>1420</v>
      </c>
    </row>
    <row r="3488" ht="45" hidden="1">
      <c r="A3488" s="217"/>
      <c r="B3488" s="217">
        <v>1420</v>
      </c>
      <c r="C3488" s="217"/>
      <c r="D3488" s="217" t="s">
        <v>20398</v>
      </c>
      <c r="E3488" s="471" t="s">
        <v>20405</v>
      </c>
      <c r="F3488" s="482">
        <v>1000</v>
      </c>
      <c r="G3488" s="470" t="s">
        <v>20651</v>
      </c>
      <c r="H3488" s="471" t="s">
        <v>15528</v>
      </c>
      <c r="I3488" s="509">
        <f>I3487</f>
        <v>0.59999999999999998</v>
      </c>
      <c r="J3488" s="473">
        <f t="shared" si="1778"/>
        <v>149.904</v>
      </c>
      <c r="K3488" s="474">
        <f t="shared" si="1779"/>
        <v>89.942399999999992</v>
      </c>
      <c r="L3488" s="473">
        <f t="shared" si="1772"/>
        <v>141.76949999999999</v>
      </c>
      <c r="M3488" s="474">
        <f t="shared" si="1780"/>
        <v>85.061699999999988</v>
      </c>
      <c r="O3488" s="434">
        <f t="shared" si="1770"/>
        <v>149.904</v>
      </c>
      <c r="P3488" s="435">
        <f t="shared" si="1771"/>
        <v>141.76949999999999</v>
      </c>
      <c r="AE3488" s="217"/>
      <c r="AF3488" s="217">
        <v>1420</v>
      </c>
      <c r="AH3488">
        <f t="shared" si="1776"/>
        <v>1420</v>
      </c>
    </row>
    <row r="3489" ht="45" hidden="1">
      <c r="A3489" s="217"/>
      <c r="B3489" s="217">
        <v>1420</v>
      </c>
      <c r="C3489" s="217"/>
      <c r="D3489" s="217" t="s">
        <v>17167</v>
      </c>
      <c r="E3489" s="471" t="s">
        <v>20409</v>
      </c>
      <c r="F3489" s="482">
        <v>96545</v>
      </c>
      <c r="G3489" s="470" t="s">
        <v>20678</v>
      </c>
      <c r="H3489" s="471" t="s">
        <v>302</v>
      </c>
      <c r="I3489" s="509">
        <v>10.15</v>
      </c>
      <c r="J3489" s="473">
        <f t="shared" si="1778"/>
        <v>15.82</v>
      </c>
      <c r="K3489" s="474">
        <f t="shared" si="1779"/>
        <v>160.57300000000001</v>
      </c>
      <c r="L3489" s="473">
        <f t="shared" si="1772"/>
        <v>15.48</v>
      </c>
      <c r="M3489" s="474">
        <f t="shared" si="1780"/>
        <v>157.12200000000001</v>
      </c>
      <c r="O3489" s="434">
        <f t="shared" si="1770"/>
        <v>15.82</v>
      </c>
      <c r="P3489" s="435">
        <f t="shared" si="1771"/>
        <v>15.48</v>
      </c>
      <c r="AE3489" s="217"/>
      <c r="AF3489" s="217">
        <v>1420</v>
      </c>
      <c r="AH3489">
        <f t="shared" si="1776"/>
        <v>1420</v>
      </c>
    </row>
    <row r="3490" ht="45" hidden="1">
      <c r="A3490" s="217"/>
      <c r="B3490" s="217">
        <v>1420</v>
      </c>
      <c r="C3490" s="217"/>
      <c r="D3490" s="217" t="s">
        <v>17167</v>
      </c>
      <c r="E3490" s="471" t="s">
        <v>20663</v>
      </c>
      <c r="F3490" s="482">
        <v>96546</v>
      </c>
      <c r="G3490" s="470" t="s">
        <v>21133</v>
      </c>
      <c r="H3490" s="471" t="s">
        <v>302</v>
      </c>
      <c r="I3490" s="509">
        <v>4.46</v>
      </c>
      <c r="J3490" s="473">
        <f t="shared" si="1778"/>
        <v>13.77</v>
      </c>
      <c r="K3490" s="474">
        <f t="shared" si="1779"/>
        <v>61.414200000000001</v>
      </c>
      <c r="L3490" s="473">
        <f t="shared" si="1772"/>
        <v>13.51</v>
      </c>
      <c r="M3490" s="474">
        <f t="shared" si="1780"/>
        <v>60.254599999999996</v>
      </c>
      <c r="O3490" s="434">
        <f t="shared" si="1770"/>
        <v>13.77</v>
      </c>
      <c r="P3490" s="435">
        <f t="shared" si="1771"/>
        <v>13.51</v>
      </c>
      <c r="AE3490" s="217"/>
      <c r="AF3490" s="217">
        <v>1420</v>
      </c>
      <c r="AH3490">
        <f t="shared" si="1776"/>
        <v>1420</v>
      </c>
    </row>
    <row r="3491" ht="30" hidden="1">
      <c r="A3491" s="217"/>
      <c r="B3491" s="217">
        <v>1420</v>
      </c>
      <c r="C3491" s="217"/>
      <c r="D3491" s="217" t="s">
        <v>20408</v>
      </c>
      <c r="E3491" s="471" t="s">
        <v>20665</v>
      </c>
      <c r="F3491" s="489">
        <v>43082</v>
      </c>
      <c r="G3491" s="470" t="s">
        <v>21182</v>
      </c>
      <c r="H3491" s="471" t="s">
        <v>302</v>
      </c>
      <c r="I3491" s="509">
        <v>145.34</v>
      </c>
      <c r="J3491" s="473">
        <f t="shared" si="1778"/>
        <v>10</v>
      </c>
      <c r="K3491" s="474">
        <f t="shared" si="1779"/>
        <v>1453.4000000000001</v>
      </c>
      <c r="L3491" s="473">
        <f t="shared" si="1772"/>
        <v>10</v>
      </c>
      <c r="M3491" s="474">
        <f t="shared" si="1780"/>
        <v>1453.4000000000001</v>
      </c>
      <c r="O3491" s="434">
        <f t="shared" si="1770"/>
        <v>10</v>
      </c>
      <c r="P3491" s="435">
        <f t="shared" si="1771"/>
        <v>10</v>
      </c>
      <c r="AE3491" s="217"/>
      <c r="AF3491" s="217">
        <v>1420</v>
      </c>
      <c r="AH3491">
        <f t="shared" si="1776"/>
        <v>1420</v>
      </c>
    </row>
    <row r="3492" ht="45" hidden="1">
      <c r="A3492" s="217"/>
      <c r="B3492" s="217">
        <v>1420</v>
      </c>
      <c r="C3492" s="217"/>
      <c r="D3492" s="217" t="s">
        <v>20408</v>
      </c>
      <c r="E3492" s="471" t="s">
        <v>20667</v>
      </c>
      <c r="F3492" s="489">
        <v>40839</v>
      </c>
      <c r="G3492" s="470" t="s">
        <v>21183</v>
      </c>
      <c r="H3492" s="471" t="s">
        <v>31</v>
      </c>
      <c r="I3492" s="509">
        <v>8</v>
      </c>
      <c r="J3492" s="473">
        <f>O3492*$J$3/100</f>
        <v>1.3077000000000001</v>
      </c>
      <c r="K3492" s="474">
        <f t="shared" si="1779"/>
        <v>10.461600000000001</v>
      </c>
      <c r="L3492" s="473">
        <f t="shared" si="1772"/>
        <v>130.77000000000001</v>
      </c>
      <c r="M3492" s="474">
        <f t="shared" si="1780"/>
        <v>1046.1600000000001</v>
      </c>
      <c r="O3492" s="434">
        <f t="shared" si="1770"/>
        <v>130.77000000000001</v>
      </c>
      <c r="P3492" s="435">
        <f t="shared" si="1771"/>
        <v>130.77000000000001</v>
      </c>
      <c r="AE3492" s="217"/>
      <c r="AF3492" s="217">
        <v>1420</v>
      </c>
      <c r="AH3492">
        <f t="shared" si="1776"/>
        <v>1420</v>
      </c>
    </row>
    <row r="3493" hidden="1">
      <c r="A3493" s="217"/>
      <c r="B3493" s="217">
        <v>1420</v>
      </c>
      <c r="C3493" s="217"/>
      <c r="D3493" s="217" t="s">
        <v>20644</v>
      </c>
      <c r="E3493" s="471" t="s">
        <v>20671</v>
      </c>
      <c r="F3493" s="489" t="s">
        <v>15504</v>
      </c>
      <c r="G3493" s="488" t="s">
        <v>22311</v>
      </c>
      <c r="H3493" s="471" t="s">
        <v>302</v>
      </c>
      <c r="I3493" s="509">
        <f>11.775*1.71*1.22</f>
        <v>24.565004999999999</v>
      </c>
      <c r="J3493" s="473">
        <f t="shared" si="1778"/>
        <v>10</v>
      </c>
      <c r="K3493" s="474">
        <f t="shared" si="1779"/>
        <v>245.65004999999999</v>
      </c>
      <c r="L3493" s="473">
        <f t="shared" si="1772"/>
        <v>10</v>
      </c>
      <c r="M3493" s="474">
        <f t="shared" si="1780"/>
        <v>245.65004999999999</v>
      </c>
      <c r="O3493" s="434">
        <f t="shared" si="1770"/>
        <v>10</v>
      </c>
      <c r="P3493" s="435">
        <f t="shared" si="1771"/>
        <v>10</v>
      </c>
      <c r="AE3493" s="217"/>
      <c r="AF3493" s="217">
        <v>1420</v>
      </c>
      <c r="AH3493">
        <f t="shared" si="1776"/>
        <v>1420</v>
      </c>
    </row>
    <row r="3494" hidden="1">
      <c r="A3494" s="217"/>
      <c r="B3494" s="217">
        <v>1420</v>
      </c>
      <c r="C3494" s="217"/>
      <c r="D3494" s="217" t="s">
        <v>20644</v>
      </c>
      <c r="E3494" s="471" t="s">
        <v>20672</v>
      </c>
      <c r="F3494" s="482" t="s">
        <v>15513</v>
      </c>
      <c r="G3494" s="470" t="s">
        <v>15514</v>
      </c>
      <c r="H3494" s="471" t="s">
        <v>15515</v>
      </c>
      <c r="I3494" s="509">
        <f>1.71*1.22*1.4</f>
        <v>2.9206799999999999</v>
      </c>
      <c r="J3494" s="473">
        <f t="shared" si="1778"/>
        <v>224.88</v>
      </c>
      <c r="K3494" s="474">
        <f t="shared" si="1779"/>
        <v>656.80251839999994</v>
      </c>
      <c r="L3494" s="473">
        <f t="shared" si="1772"/>
        <v>224.88</v>
      </c>
      <c r="M3494" s="474">
        <f t="shared" si="1780"/>
        <v>656.80251839999994</v>
      </c>
      <c r="O3494" s="434">
        <f t="shared" si="1770"/>
        <v>224.88</v>
      </c>
      <c r="P3494" s="435">
        <f t="shared" si="1771"/>
        <v>224.88</v>
      </c>
      <c r="AE3494" s="217"/>
      <c r="AF3494" s="217">
        <v>1420</v>
      </c>
      <c r="AH3494">
        <f t="shared" si="1776"/>
        <v>1420</v>
      </c>
    </row>
    <row r="3495" ht="105" hidden="1">
      <c r="A3495" s="217"/>
      <c r="B3495" s="217">
        <v>1420</v>
      </c>
      <c r="C3495" s="217"/>
      <c r="D3495" s="217" t="s">
        <v>17167</v>
      </c>
      <c r="E3495" s="471" t="s">
        <v>20673</v>
      </c>
      <c r="F3495" s="482">
        <v>73467</v>
      </c>
      <c r="G3495" s="470" t="s">
        <v>1601</v>
      </c>
      <c r="H3495" s="471" t="s">
        <v>1535</v>
      </c>
      <c r="I3495" s="509">
        <v>7.1428599999999995e-002</v>
      </c>
      <c r="J3495" s="473">
        <f t="shared" si="1778"/>
        <v>270.61000000000001</v>
      </c>
      <c r="K3495" s="474">
        <f t="shared" si="1779"/>
        <v>19.329293446000001</v>
      </c>
      <c r="L3495" s="473">
        <f t="shared" si="1772"/>
        <v>269.00999999999999</v>
      </c>
      <c r="M3495" s="474">
        <f t="shared" si="1780"/>
        <v>19.215007685999996</v>
      </c>
      <c r="O3495" s="434">
        <f t="shared" si="1770"/>
        <v>270.61000000000001</v>
      </c>
      <c r="P3495" s="435">
        <f t="shared" si="1771"/>
        <v>269.00999999999999</v>
      </c>
      <c r="AE3495" s="217"/>
      <c r="AF3495" s="217">
        <v>1420</v>
      </c>
      <c r="AH3495">
        <f t="shared" si="1776"/>
        <v>1420</v>
      </c>
    </row>
    <row r="3496" ht="105" hidden="1">
      <c r="A3496" s="217"/>
      <c r="B3496" s="217">
        <v>1420</v>
      </c>
      <c r="C3496" s="217"/>
      <c r="D3496" s="217" t="s">
        <v>17167</v>
      </c>
      <c r="E3496" s="471" t="s">
        <v>20675</v>
      </c>
      <c r="F3496" s="482">
        <v>91395</v>
      </c>
      <c r="G3496" s="470" t="s">
        <v>1600</v>
      </c>
      <c r="H3496" s="471" t="s">
        <v>1533</v>
      </c>
      <c r="I3496" s="509">
        <v>0.1666667</v>
      </c>
      <c r="J3496" s="473">
        <f t="shared" si="1778"/>
        <v>58.25</v>
      </c>
      <c r="K3496" s="474">
        <f t="shared" si="1779"/>
        <v>9.7083352749999996</v>
      </c>
      <c r="L3496" s="473">
        <f t="shared" si="1772"/>
        <v>56.649999999999999</v>
      </c>
      <c r="M3496" s="474">
        <f t="shared" si="1780"/>
        <v>9.4416685549999997</v>
      </c>
      <c r="O3496" s="434">
        <f t="shared" si="1770"/>
        <v>58.25</v>
      </c>
      <c r="P3496" s="435">
        <f t="shared" si="1771"/>
        <v>56.649999999999999</v>
      </c>
      <c r="AE3496" s="217"/>
      <c r="AF3496" s="217">
        <v>1420</v>
      </c>
      <c r="AH3496">
        <f t="shared" si="1776"/>
        <v>1420</v>
      </c>
    </row>
    <row r="3497" ht="30" hidden="1">
      <c r="A3497" s="217"/>
      <c r="B3497" s="217">
        <v>1420</v>
      </c>
      <c r="C3497" s="217"/>
      <c r="D3497" s="217" t="s">
        <v>17167</v>
      </c>
      <c r="E3497" s="471" t="s">
        <v>20677</v>
      </c>
      <c r="F3497" s="482">
        <v>88242</v>
      </c>
      <c r="G3497" s="470" t="s">
        <v>7093</v>
      </c>
      <c r="H3497" s="471" t="s">
        <v>2032</v>
      </c>
      <c r="I3497" s="509">
        <f>2/4</f>
        <v>0.5</v>
      </c>
      <c r="J3497" s="473">
        <f t="shared" si="1778"/>
        <v>23.530000000000001</v>
      </c>
      <c r="K3497" s="474">
        <f t="shared" si="1779"/>
        <v>11.765000000000001</v>
      </c>
      <c r="L3497" s="473">
        <f t="shared" si="1772"/>
        <v>22.27</v>
      </c>
      <c r="M3497" s="474">
        <f t="shared" si="1780"/>
        <v>11.135</v>
      </c>
      <c r="O3497" s="434">
        <f t="shared" si="1770"/>
        <v>23.530000000000001</v>
      </c>
      <c r="P3497" s="435">
        <f t="shared" si="1771"/>
        <v>22.27</v>
      </c>
      <c r="AE3497" s="217"/>
      <c r="AF3497" s="217">
        <v>1420</v>
      </c>
      <c r="AH3497">
        <f t="shared" si="1776"/>
        <v>1420</v>
      </c>
    </row>
    <row r="3498" ht="30" hidden="1">
      <c r="A3498" s="217"/>
      <c r="B3498" s="217">
        <v>1420</v>
      </c>
      <c r="C3498" s="217"/>
      <c r="D3498" s="217" t="s">
        <v>17167</v>
      </c>
      <c r="E3498" s="471" t="s">
        <v>20679</v>
      </c>
      <c r="F3498" s="482">
        <v>88278</v>
      </c>
      <c r="G3498" s="470" t="s">
        <v>21185</v>
      </c>
      <c r="H3498" s="471" t="s">
        <v>2032</v>
      </c>
      <c r="I3498" s="509">
        <f t="shared" ref="I3498:I3499" si="1781">1/4</f>
        <v>0.25</v>
      </c>
      <c r="J3498" s="473">
        <f t="shared" si="1778"/>
        <v>30.440000000000001</v>
      </c>
      <c r="K3498" s="474">
        <f t="shared" si="1779"/>
        <v>7.6100000000000003</v>
      </c>
      <c r="L3498" s="473">
        <f t="shared" si="1772"/>
        <v>28.57</v>
      </c>
      <c r="M3498" s="474">
        <f t="shared" si="1780"/>
        <v>7.1425000000000001</v>
      </c>
      <c r="O3498" s="434">
        <f t="shared" si="1770"/>
        <v>30.440000000000001</v>
      </c>
      <c r="P3498" s="435">
        <f t="shared" si="1771"/>
        <v>28.57</v>
      </c>
      <c r="AE3498" s="217"/>
      <c r="AF3498" s="217">
        <v>1420</v>
      </c>
      <c r="AH3498">
        <f t="shared" si="1776"/>
        <v>1420</v>
      </c>
    </row>
    <row r="3499" ht="30" hidden="1">
      <c r="A3499" s="217"/>
      <c r="B3499" s="217">
        <v>1420</v>
      </c>
      <c r="C3499" s="217"/>
      <c r="D3499" s="217" t="s">
        <v>17167</v>
      </c>
      <c r="E3499" s="471" t="s">
        <v>20681</v>
      </c>
      <c r="F3499" s="482">
        <v>88315</v>
      </c>
      <c r="G3499" s="470" t="s">
        <v>7392</v>
      </c>
      <c r="H3499" s="471" t="s">
        <v>2032</v>
      </c>
      <c r="I3499" s="509">
        <f t="shared" si="1781"/>
        <v>0.25</v>
      </c>
      <c r="J3499" s="473">
        <f t="shared" si="1778"/>
        <v>28.800000000000001</v>
      </c>
      <c r="K3499" s="474">
        <f t="shared" si="1779"/>
        <v>7.2000000000000002</v>
      </c>
      <c r="L3499" s="473">
        <f t="shared" si="1772"/>
        <v>27.149999999999999</v>
      </c>
      <c r="M3499" s="474">
        <f t="shared" si="1780"/>
        <v>6.7874999999999996</v>
      </c>
      <c r="O3499" s="434">
        <f t="shared" si="1770"/>
        <v>28.800000000000001</v>
      </c>
      <c r="P3499" s="435">
        <f t="shared" si="1771"/>
        <v>27.149999999999999</v>
      </c>
      <c r="AE3499" s="217"/>
      <c r="AF3499" s="217">
        <v>1420</v>
      </c>
      <c r="AH3499">
        <f t="shared" si="1776"/>
        <v>1420</v>
      </c>
    </row>
    <row r="3500" ht="30" hidden="1">
      <c r="A3500" s="217"/>
      <c r="B3500" s="217">
        <v>1420</v>
      </c>
      <c r="C3500" s="217"/>
      <c r="D3500" s="217" t="s">
        <v>17167</v>
      </c>
      <c r="E3500" s="471" t="s">
        <v>20683</v>
      </c>
      <c r="F3500" s="482">
        <v>88316</v>
      </c>
      <c r="G3500" s="470" t="s">
        <v>7393</v>
      </c>
      <c r="H3500" s="471" t="s">
        <v>2032</v>
      </c>
      <c r="I3500" s="509">
        <f>2/4</f>
        <v>0.5</v>
      </c>
      <c r="J3500" s="473">
        <f t="shared" si="1778"/>
        <v>22.760000000000002</v>
      </c>
      <c r="K3500" s="474">
        <f t="shared" si="1779"/>
        <v>11.380000000000001</v>
      </c>
      <c r="L3500" s="473">
        <f t="shared" si="1772"/>
        <v>21.550000000000001</v>
      </c>
      <c r="M3500" s="474">
        <f t="shared" si="1780"/>
        <v>10.775</v>
      </c>
      <c r="O3500" s="434">
        <f t="shared" ref="O3500:O3563" si="1782">IFERROR(IF(D3500="SINAPI",VLOOKUP(F3500,SINCOMOD,4,FALSE),IF(D3500="INSINAPI",VLOOKUP(F3500,INSINOD,5,FALSE),IF(D3500="SICRO",VLOOKUP(F3500,SICRO,5,FALSE),IF(D3500="COTACAO",VLOOKUP(F3500,COTACAO,6,FALSE),IF(D3500="PRÓPRIO",VLOOKUP(F3500,COMPOD,11,FALSE),IF(D3500="AGESUL",VLOOKUP(F3500,AGESULOD,6,FALSE),IF(D3500="INSAGESUL",VLOOKUP(F3500,INSAGESUL,7,FALSE),"SEM VALOR"))))))),"SEM VALOR")</f>
        <v>22.760000000000002</v>
      </c>
      <c r="P3500" s="435">
        <f t="shared" ref="P3500:P3563" si="1783">IFERROR(IF(D3500="SINAPI",VLOOKUP(F3500,SINCOMOD,6,FALSE),IF(D3500="INSINAPI",VLOOKUP(F3500,INSINOD,6,FALSE),IF(D3500="SICRO",VLOOKUP(F3500,SICRO,5,FALSE),IF(D3500="COTACAO",VLOOKUP(F3500,COTACAO,6,FALSE),IF(D3500="PRÓPRIO",VLOOKUP(F3500,COMPOD,13,FALSE),IF(D3500="AGESUL",VLOOKUP(F3500,AGESULOD,11,FALSE),IF(D3500="INSAGESUL",VLOOKUP(F3500,INSAGESUL,8,FALSE),"SEM VALOR"))))))),"SEM VALOR")</f>
        <v>21.550000000000001</v>
      </c>
      <c r="AE3500" s="217"/>
      <c r="AF3500" s="217">
        <v>1420</v>
      </c>
      <c r="AH3500">
        <f t="shared" si="1776"/>
        <v>1420</v>
      </c>
    </row>
    <row r="3501" ht="75" hidden="1">
      <c r="A3501" s="217"/>
      <c r="B3501" s="217">
        <v>1420</v>
      </c>
      <c r="C3501" s="217"/>
      <c r="D3501" s="217" t="s">
        <v>17167</v>
      </c>
      <c r="E3501" s="471" t="s">
        <v>20685</v>
      </c>
      <c r="F3501" s="482">
        <v>100722</v>
      </c>
      <c r="G3501" s="470" t="s">
        <v>21187</v>
      </c>
      <c r="H3501" s="471" t="s">
        <v>15515</v>
      </c>
      <c r="I3501" s="509">
        <f>8.25+I3502</f>
        <v>10.3362</v>
      </c>
      <c r="J3501" s="473">
        <f t="shared" si="1778"/>
        <v>25.260000000000002</v>
      </c>
      <c r="K3501" s="474">
        <f t="shared" si="1779"/>
        <v>261.09241200000002</v>
      </c>
      <c r="L3501" s="473">
        <f t="shared" ref="L3501:L3564" si="1784">P3501*$L$3</f>
        <v>24.170000000000002</v>
      </c>
      <c r="M3501" s="474">
        <f t="shared" si="1780"/>
        <v>249.82595400000002</v>
      </c>
      <c r="O3501" s="434">
        <f t="shared" si="1782"/>
        <v>25.260000000000002</v>
      </c>
      <c r="P3501" s="435">
        <f t="shared" si="1783"/>
        <v>24.170000000000002</v>
      </c>
      <c r="AE3501" s="217"/>
      <c r="AF3501" s="217">
        <v>1420</v>
      </c>
      <c r="AH3501">
        <f t="shared" si="1776"/>
        <v>1420</v>
      </c>
    </row>
    <row r="3502" ht="90" hidden="1">
      <c r="A3502" s="217"/>
      <c r="B3502" s="217">
        <v>1420</v>
      </c>
      <c r="C3502" s="217"/>
      <c r="D3502" s="217" t="s">
        <v>17167</v>
      </c>
      <c r="E3502" s="471" t="s">
        <v>20687</v>
      </c>
      <c r="F3502" s="482">
        <v>100750</v>
      </c>
      <c r="G3502" s="470" t="s">
        <v>22312</v>
      </c>
      <c r="H3502" s="471" t="s">
        <v>15515</v>
      </c>
      <c r="I3502" s="509">
        <f>1.71*1.22</f>
        <v>2.0861999999999998</v>
      </c>
      <c r="J3502" s="473">
        <f t="shared" si="1778"/>
        <v>25.710000000000001</v>
      </c>
      <c r="K3502" s="474">
        <f t="shared" si="1779"/>
        <v>53.636201999999997</v>
      </c>
      <c r="L3502" s="473">
        <f t="shared" si="1784"/>
        <v>24.620000000000001</v>
      </c>
      <c r="M3502" s="474">
        <f t="shared" si="1780"/>
        <v>51.362243999999997</v>
      </c>
      <c r="O3502" s="434">
        <f t="shared" si="1782"/>
        <v>25.710000000000001</v>
      </c>
      <c r="P3502" s="435">
        <f t="shared" si="1783"/>
        <v>24.620000000000001</v>
      </c>
      <c r="AE3502" s="217"/>
      <c r="AF3502" s="217">
        <v>1420</v>
      </c>
      <c r="AH3502">
        <f t="shared" si="1776"/>
        <v>1420</v>
      </c>
    </row>
    <row r="3503" ht="90" hidden="1">
      <c r="A3503" s="217"/>
      <c r="B3503" s="217">
        <v>1420</v>
      </c>
      <c r="C3503" s="217"/>
      <c r="D3503" s="217" t="s">
        <v>17167</v>
      </c>
      <c r="E3503" s="471" t="s">
        <v>20689</v>
      </c>
      <c r="F3503" s="482">
        <v>100758</v>
      </c>
      <c r="G3503" s="470" t="s">
        <v>22313</v>
      </c>
      <c r="H3503" s="471" t="s">
        <v>15515</v>
      </c>
      <c r="I3503" s="509">
        <f>8.25</f>
        <v>8.25</v>
      </c>
      <c r="J3503" s="473">
        <f t="shared" si="1778"/>
        <v>51.649999999999999</v>
      </c>
      <c r="K3503" s="474">
        <f t="shared" si="1779"/>
        <v>426.11250000000001</v>
      </c>
      <c r="L3503" s="473">
        <f t="shared" si="1784"/>
        <v>49.460000000000001</v>
      </c>
      <c r="M3503" s="474">
        <f t="shared" si="1780"/>
        <v>408.04500000000002</v>
      </c>
      <c r="O3503" s="434">
        <f t="shared" si="1782"/>
        <v>51.649999999999999</v>
      </c>
      <c r="P3503" s="435">
        <f t="shared" si="1783"/>
        <v>49.460000000000001</v>
      </c>
      <c r="AE3503" s="217"/>
      <c r="AF3503" s="217">
        <v>1420</v>
      </c>
      <c r="AH3503">
        <f t="shared" si="1776"/>
        <v>1420</v>
      </c>
    </row>
    <row r="3504" ht="45" hidden="1">
      <c r="A3504" s="217"/>
      <c r="B3504" s="217">
        <v>1420</v>
      </c>
      <c r="C3504" s="217"/>
      <c r="D3504" s="217" t="s">
        <v>20408</v>
      </c>
      <c r="E3504" s="471" t="s">
        <v>20882</v>
      </c>
      <c r="F3504" s="482">
        <v>4777</v>
      </c>
      <c r="G3504" s="470" t="s">
        <v>11427</v>
      </c>
      <c r="H3504" s="471" t="s">
        <v>302</v>
      </c>
      <c r="I3504" s="509">
        <v>4.7199999999999998</v>
      </c>
      <c r="J3504" s="473">
        <f t="shared" si="1778"/>
        <v>8.0199999999999996</v>
      </c>
      <c r="K3504" s="474">
        <f t="shared" si="1779"/>
        <v>37.854399999999998</v>
      </c>
      <c r="L3504" s="473">
        <f t="shared" si="1784"/>
        <v>8.0199999999999996</v>
      </c>
      <c r="M3504" s="474">
        <f t="shared" si="1780"/>
        <v>37.854399999999998</v>
      </c>
      <c r="O3504" s="434">
        <f t="shared" si="1782"/>
        <v>8.0199999999999996</v>
      </c>
      <c r="P3504" s="435">
        <f t="shared" si="1783"/>
        <v>8.0199999999999996</v>
      </c>
      <c r="AE3504" s="217"/>
      <c r="AF3504" s="217">
        <v>1420</v>
      </c>
      <c r="AH3504">
        <f t="shared" si="1776"/>
        <v>1420</v>
      </c>
    </row>
    <row r="3505" ht="30" hidden="1">
      <c r="A3505" s="217"/>
      <c r="B3505" s="217">
        <v>1420</v>
      </c>
      <c r="C3505" s="217"/>
      <c r="D3505" s="217" t="s">
        <v>20644</v>
      </c>
      <c r="E3505" s="471" t="s">
        <v>22002</v>
      </c>
      <c r="F3505" s="482" t="s">
        <v>15516</v>
      </c>
      <c r="G3505" s="470" t="s">
        <v>15517</v>
      </c>
      <c r="H3505" s="471" t="s">
        <v>1535</v>
      </c>
      <c r="I3505" s="509">
        <v>0.15060000000000001</v>
      </c>
      <c r="J3505" s="473">
        <f t="shared" si="1778"/>
        <v>3721.7600000000002</v>
      </c>
      <c r="K3505" s="474">
        <f t="shared" si="1779"/>
        <v>560.49705600000004</v>
      </c>
      <c r="L3505" s="473">
        <f t="shared" si="1784"/>
        <v>3721.7600000000002</v>
      </c>
      <c r="M3505" s="474">
        <f t="shared" si="1780"/>
        <v>560.49705600000004</v>
      </c>
      <c r="O3505" s="434">
        <f t="shared" si="1782"/>
        <v>3721.7600000000002</v>
      </c>
      <c r="P3505" s="435">
        <f t="shared" si="1783"/>
        <v>3721.7600000000002</v>
      </c>
      <c r="AE3505" s="217"/>
      <c r="AF3505" s="217">
        <v>1420</v>
      </c>
      <c r="AH3505">
        <f t="shared" si="1776"/>
        <v>1420</v>
      </c>
    </row>
    <row r="3506" hidden="1">
      <c r="A3506" s="217"/>
      <c r="B3506" s="217">
        <v>1420</v>
      </c>
      <c r="C3506" s="217"/>
      <c r="D3506" s="217" t="s">
        <v>20644</v>
      </c>
      <c r="E3506" s="471" t="s">
        <v>22003</v>
      </c>
      <c r="F3506" s="482" t="s">
        <v>15518</v>
      </c>
      <c r="G3506" s="470" t="s">
        <v>15519</v>
      </c>
      <c r="H3506" s="471" t="s">
        <v>1535</v>
      </c>
      <c r="I3506" s="509">
        <v>0.48193000000000003</v>
      </c>
      <c r="J3506" s="473">
        <f t="shared" si="1778"/>
        <v>31.469999999999999</v>
      </c>
      <c r="K3506" s="474">
        <f t="shared" si="1779"/>
        <v>15.1663371</v>
      </c>
      <c r="L3506" s="473">
        <f t="shared" si="1784"/>
        <v>31.469999999999999</v>
      </c>
      <c r="M3506" s="474">
        <f t="shared" si="1780"/>
        <v>15.1663371</v>
      </c>
      <c r="O3506" s="434">
        <f t="shared" si="1782"/>
        <v>31.469999999999999</v>
      </c>
      <c r="P3506" s="435">
        <f t="shared" si="1783"/>
        <v>31.469999999999999</v>
      </c>
      <c r="AE3506" s="217"/>
      <c r="AF3506" s="217">
        <v>1420</v>
      </c>
      <c r="AH3506">
        <f t="shared" si="1776"/>
        <v>1420</v>
      </c>
    </row>
    <row r="3507" ht="30" hidden="1">
      <c r="A3507" s="217"/>
      <c r="B3507" s="217">
        <v>1420</v>
      </c>
      <c r="C3507" s="217"/>
      <c r="D3507" s="217" t="s">
        <v>20644</v>
      </c>
      <c r="E3507" s="471" t="s">
        <v>22302</v>
      </c>
      <c r="F3507" s="482" t="s">
        <v>15520</v>
      </c>
      <c r="G3507" s="470" t="s">
        <v>15521</v>
      </c>
      <c r="H3507" s="471" t="s">
        <v>1535</v>
      </c>
      <c r="I3507" s="509">
        <v>0.20080000000000001</v>
      </c>
      <c r="J3507" s="473">
        <f t="shared" si="1778"/>
        <v>14.970000000000001</v>
      </c>
      <c r="K3507" s="474">
        <f t="shared" si="1779"/>
        <v>3.0059760000000004</v>
      </c>
      <c r="L3507" s="473">
        <f t="shared" si="1784"/>
        <v>14.970000000000001</v>
      </c>
      <c r="M3507" s="474">
        <f t="shared" si="1780"/>
        <v>3.0059760000000004</v>
      </c>
      <c r="O3507" s="434">
        <f t="shared" si="1782"/>
        <v>14.970000000000001</v>
      </c>
      <c r="P3507" s="435">
        <f t="shared" si="1783"/>
        <v>14.970000000000001</v>
      </c>
      <c r="AE3507" s="217"/>
      <c r="AF3507" s="217">
        <v>1420</v>
      </c>
      <c r="AH3507">
        <f t="shared" si="1776"/>
        <v>1420</v>
      </c>
    </row>
    <row r="3508" ht="30" hidden="1">
      <c r="A3508" s="217"/>
      <c r="B3508" s="217">
        <v>1420</v>
      </c>
      <c r="C3508" s="217"/>
      <c r="D3508" s="217" t="s">
        <v>20644</v>
      </c>
      <c r="E3508" s="471" t="s">
        <v>22305</v>
      </c>
      <c r="F3508" s="482" t="s">
        <v>15522</v>
      </c>
      <c r="G3508" s="470" t="s">
        <v>15523</v>
      </c>
      <c r="H3508" s="471" t="s">
        <v>1535</v>
      </c>
      <c r="I3508" s="509">
        <v>0.48193000000000003</v>
      </c>
      <c r="J3508" s="473">
        <f t="shared" si="1778"/>
        <v>11.42</v>
      </c>
      <c r="K3508" s="474">
        <f t="shared" si="1779"/>
        <v>5.5036406000000007</v>
      </c>
      <c r="L3508" s="473">
        <f t="shared" si="1784"/>
        <v>11.42</v>
      </c>
      <c r="M3508" s="474">
        <f t="shared" si="1780"/>
        <v>5.5036406000000007</v>
      </c>
      <c r="O3508" s="434">
        <f t="shared" si="1782"/>
        <v>11.42</v>
      </c>
      <c r="P3508" s="435">
        <f t="shared" si="1783"/>
        <v>11.42</v>
      </c>
      <c r="AE3508" s="217"/>
      <c r="AF3508" s="217">
        <v>1420</v>
      </c>
      <c r="AH3508">
        <f t="shared" si="1776"/>
        <v>1420</v>
      </c>
    </row>
    <row r="3509" ht="45" hidden="1">
      <c r="A3509" s="217"/>
      <c r="B3509" s="217">
        <v>1420</v>
      </c>
      <c r="C3509" s="217"/>
      <c r="D3509" s="217" t="s">
        <v>20644</v>
      </c>
      <c r="E3509" s="471" t="s">
        <v>22306</v>
      </c>
      <c r="F3509" s="482" t="s">
        <v>15524</v>
      </c>
      <c r="G3509" s="470" t="s">
        <v>15525</v>
      </c>
      <c r="H3509" s="471" t="s">
        <v>1535</v>
      </c>
      <c r="I3509" s="509">
        <v>0.48193000000000003</v>
      </c>
      <c r="J3509" s="473">
        <f t="shared" si="1778"/>
        <v>26.09</v>
      </c>
      <c r="K3509" s="474">
        <f t="shared" si="1779"/>
        <v>12.5735537</v>
      </c>
      <c r="L3509" s="473">
        <f t="shared" si="1784"/>
        <v>26.09</v>
      </c>
      <c r="M3509" s="474">
        <f t="shared" si="1780"/>
        <v>12.5735537</v>
      </c>
      <c r="O3509" s="434">
        <f t="shared" si="1782"/>
        <v>26.09</v>
      </c>
      <c r="P3509" s="435">
        <f t="shared" si="1783"/>
        <v>26.09</v>
      </c>
      <c r="AE3509" s="217"/>
      <c r="AF3509" s="217">
        <v>1420</v>
      </c>
      <c r="AH3509">
        <f t="shared" si="1776"/>
        <v>1420</v>
      </c>
    </row>
    <row r="3510" ht="66.75" hidden="1" customHeight="1">
      <c r="A3510" s="217"/>
      <c r="B3510" s="217">
        <v>1420</v>
      </c>
      <c r="C3510" s="217"/>
      <c r="D3510" s="217"/>
      <c r="E3510" s="471"/>
      <c r="F3510" s="482"/>
      <c r="G3510" s="488" t="s">
        <v>22318</v>
      </c>
      <c r="H3510" s="482"/>
      <c r="I3510" s="578"/>
      <c r="J3510" s="473"/>
      <c r="K3510" s="474"/>
      <c r="L3510" s="577"/>
      <c r="M3510" s="474"/>
      <c r="O3510" s="434" t="str">
        <f t="shared" si="1782"/>
        <v xml:space="preserve">SEM VALOR</v>
      </c>
      <c r="P3510" s="435" t="str">
        <f t="shared" si="1783"/>
        <v xml:space="preserve">SEM VALOR</v>
      </c>
      <c r="AE3510" s="217"/>
      <c r="AF3510" s="217">
        <v>1420</v>
      </c>
      <c r="AH3510">
        <f t="shared" si="1776"/>
        <v>1420</v>
      </c>
    </row>
    <row r="3511" hidden="1">
      <c r="A3511" s="217"/>
      <c r="B3511" s="217">
        <v>1420</v>
      </c>
      <c r="C3511" s="217"/>
      <c r="D3511" s="217"/>
      <c r="E3511" s="471"/>
      <c r="F3511" s="482"/>
      <c r="G3511" s="470" t="s">
        <v>22319</v>
      </c>
      <c r="H3511" s="482"/>
      <c r="I3511" s="578"/>
      <c r="J3511" s="473"/>
      <c r="K3511" s="474"/>
      <c r="L3511" s="577"/>
      <c r="M3511" s="474"/>
      <c r="O3511" s="434" t="str">
        <f t="shared" si="1782"/>
        <v xml:space="preserve">SEM VALOR</v>
      </c>
      <c r="P3511" s="435" t="str">
        <f t="shared" si="1783"/>
        <v xml:space="preserve">SEM VALOR</v>
      </c>
      <c r="AE3511" s="217"/>
      <c r="AF3511" s="217">
        <v>1420</v>
      </c>
      <c r="AH3511">
        <f t="shared" si="1776"/>
        <v>1420</v>
      </c>
    </row>
    <row r="3512" ht="63" hidden="1">
      <c r="A3512" s="460">
        <v>1421</v>
      </c>
      <c r="B3512" s="460">
        <v>1421</v>
      </c>
      <c r="C3512" s="460"/>
      <c r="D3512" s="460"/>
      <c r="E3512" s="461">
        <v>1</v>
      </c>
      <c r="F3512" s="462" t="s">
        <v>22320</v>
      </c>
      <c r="G3512" s="477" t="s">
        <v>20968</v>
      </c>
      <c r="H3512" s="478" t="s">
        <v>15515</v>
      </c>
      <c r="I3512" s="479"/>
      <c r="J3512" s="480"/>
      <c r="K3512" s="466">
        <f>SUM(K3513:K3516)</f>
        <v>46.577570000000001</v>
      </c>
      <c r="L3512" s="480"/>
      <c r="M3512" s="466">
        <f>SUM(M3513:M3516)</f>
        <v>44.735900000000001</v>
      </c>
      <c r="O3512" s="434" t="str">
        <f t="shared" si="1782"/>
        <v xml:space="preserve">SEM VALOR</v>
      </c>
      <c r="P3512" s="435" t="str">
        <f t="shared" si="1783"/>
        <v xml:space="preserve">SEM VALOR</v>
      </c>
      <c r="AE3512" s="460">
        <v>1421</v>
      </c>
      <c r="AF3512" s="460"/>
      <c r="AH3512">
        <f t="shared" si="1776"/>
        <v>1421</v>
      </c>
    </row>
    <row r="3513" ht="60" hidden="1">
      <c r="A3513" s="217"/>
      <c r="B3513" s="217">
        <v>1421</v>
      </c>
      <c r="C3513" s="217"/>
      <c r="D3513" s="217" t="s">
        <v>20408</v>
      </c>
      <c r="E3513" s="471" t="s">
        <v>20399</v>
      </c>
      <c r="F3513" s="482">
        <v>123</v>
      </c>
      <c r="G3513" s="572" t="s">
        <v>22321</v>
      </c>
      <c r="H3513" s="499" t="s">
        <v>21404</v>
      </c>
      <c r="I3513" s="483">
        <v>0.38700000000000001</v>
      </c>
      <c r="J3513" s="473">
        <f t="shared" si="1778"/>
        <v>6.8799999999999999</v>
      </c>
      <c r="K3513" s="474">
        <f t="shared" ref="K3513:K3516" si="1785">I3513*J3513</f>
        <v>2.66256</v>
      </c>
      <c r="L3513" s="475">
        <f t="shared" si="1784"/>
        <v>6.8799999999999999</v>
      </c>
      <c r="M3513" s="474">
        <f t="shared" ref="M3513:M3516" si="1786">L3513*I3513</f>
        <v>2.66256</v>
      </c>
      <c r="O3513" s="434">
        <f t="shared" si="1782"/>
        <v>6.8799999999999999</v>
      </c>
      <c r="P3513" s="435">
        <f t="shared" si="1783"/>
        <v>6.8799999999999999</v>
      </c>
      <c r="AE3513" s="217"/>
      <c r="AF3513" s="217">
        <v>1421</v>
      </c>
      <c r="AH3513">
        <f t="shared" si="1776"/>
        <v>1421</v>
      </c>
    </row>
    <row r="3514" ht="90" hidden="1">
      <c r="A3514" s="217"/>
      <c r="B3514" s="217">
        <v>1421</v>
      </c>
      <c r="C3514" s="217"/>
      <c r="D3514" s="217" t="s">
        <v>17167</v>
      </c>
      <c r="E3514" s="471" t="s">
        <v>20402</v>
      </c>
      <c r="F3514" s="482">
        <v>87286</v>
      </c>
      <c r="G3514" s="572" t="s">
        <v>174</v>
      </c>
      <c r="H3514" s="499" t="s">
        <v>15528</v>
      </c>
      <c r="I3514" s="558">
        <v>2.5000000000000001e-002</v>
      </c>
      <c r="J3514" s="473">
        <f t="shared" si="1778"/>
        <v>607.99000000000001</v>
      </c>
      <c r="K3514" s="474">
        <f t="shared" si="1785"/>
        <v>15.199750000000002</v>
      </c>
      <c r="L3514" s="475">
        <f t="shared" si="1784"/>
        <v>599.37</v>
      </c>
      <c r="M3514" s="474">
        <f t="shared" si="1786"/>
        <v>14.984250000000001</v>
      </c>
      <c r="O3514" s="434">
        <f t="shared" si="1782"/>
        <v>607.99000000000001</v>
      </c>
      <c r="P3514" s="435">
        <f t="shared" si="1783"/>
        <v>599.37</v>
      </c>
      <c r="AE3514" s="217"/>
      <c r="AF3514" s="217">
        <v>1421</v>
      </c>
      <c r="AH3514">
        <f t="shared" si="1776"/>
        <v>1421</v>
      </c>
    </row>
    <row r="3515" ht="30" hidden="1">
      <c r="A3515" s="217"/>
      <c r="B3515" s="217">
        <v>1421</v>
      </c>
      <c r="C3515" s="217"/>
      <c r="D3515" s="217" t="s">
        <v>17167</v>
      </c>
      <c r="E3515" s="471" t="s">
        <v>20405</v>
      </c>
      <c r="F3515" s="482">
        <v>88309</v>
      </c>
      <c r="G3515" s="572" t="s">
        <v>7385</v>
      </c>
      <c r="H3515" s="499" t="s">
        <v>2032</v>
      </c>
      <c r="I3515" s="558">
        <v>0.86699999999999999</v>
      </c>
      <c r="J3515" s="473">
        <f t="shared" si="1778"/>
        <v>28.5</v>
      </c>
      <c r="K3515" s="474">
        <f t="shared" si="1785"/>
        <v>24.709499999999998</v>
      </c>
      <c r="L3515" s="475">
        <f t="shared" si="1784"/>
        <v>26.870000000000001</v>
      </c>
      <c r="M3515" s="474">
        <f t="shared" si="1786"/>
        <v>23.296289999999999</v>
      </c>
      <c r="O3515" s="434">
        <f t="shared" si="1782"/>
        <v>28.5</v>
      </c>
      <c r="P3515" s="435">
        <f t="shared" si="1783"/>
        <v>26.870000000000001</v>
      </c>
      <c r="AE3515" s="217"/>
      <c r="AF3515" s="217">
        <v>1421</v>
      </c>
      <c r="AH3515">
        <f t="shared" si="1776"/>
        <v>1421</v>
      </c>
    </row>
    <row r="3516" ht="30" hidden="1">
      <c r="A3516" s="217"/>
      <c r="B3516" s="217">
        <v>1421</v>
      </c>
      <c r="C3516" s="217"/>
      <c r="D3516" s="217" t="s">
        <v>17167</v>
      </c>
      <c r="E3516" s="471" t="s">
        <v>20409</v>
      </c>
      <c r="F3516" s="482">
        <v>88316</v>
      </c>
      <c r="G3516" s="572" t="s">
        <v>7393</v>
      </c>
      <c r="H3516" s="482" t="s">
        <v>2032</v>
      </c>
      <c r="I3516" s="558">
        <v>0.17599999999999999</v>
      </c>
      <c r="J3516" s="473">
        <f t="shared" si="1778"/>
        <v>22.760000000000002</v>
      </c>
      <c r="K3516" s="474">
        <f t="shared" si="1785"/>
        <v>4.0057600000000004</v>
      </c>
      <c r="L3516" s="475">
        <f t="shared" si="1784"/>
        <v>21.550000000000001</v>
      </c>
      <c r="M3516" s="474">
        <f t="shared" si="1786"/>
        <v>3.7927999999999997</v>
      </c>
      <c r="O3516" s="434">
        <f t="shared" si="1782"/>
        <v>22.760000000000002</v>
      </c>
      <c r="P3516" s="435">
        <f t="shared" si="1783"/>
        <v>21.550000000000001</v>
      </c>
      <c r="AE3516" s="217"/>
      <c r="AF3516" s="217">
        <v>1421</v>
      </c>
      <c r="AH3516">
        <f t="shared" si="1776"/>
        <v>1421</v>
      </c>
    </row>
    <row r="3517" ht="132.75" hidden="1" customHeight="1">
      <c r="A3517" s="460">
        <v>1422</v>
      </c>
      <c r="B3517" s="460">
        <v>1422</v>
      </c>
      <c r="C3517" s="460"/>
      <c r="D3517" s="460"/>
      <c r="E3517" s="461">
        <v>1</v>
      </c>
      <c r="F3517" s="462" t="s">
        <v>22322</v>
      </c>
      <c r="G3517" s="477" t="s">
        <v>22323</v>
      </c>
      <c r="H3517" s="478" t="s">
        <v>31</v>
      </c>
      <c r="I3517" s="479"/>
      <c r="J3517" s="480"/>
      <c r="K3517" s="466">
        <f>SUM(K3518:K3523)</f>
        <v>299.91253500000005</v>
      </c>
      <c r="L3517" s="480"/>
      <c r="M3517" s="466">
        <f>SUM(M3518:M3523)</f>
        <v>289.50755750000002</v>
      </c>
      <c r="O3517" s="434" t="str">
        <f t="shared" si="1782"/>
        <v xml:space="preserve">SEM VALOR</v>
      </c>
      <c r="P3517" s="435" t="str">
        <f t="shared" si="1783"/>
        <v xml:space="preserve">SEM VALOR</v>
      </c>
      <c r="AE3517" s="460">
        <v>1422</v>
      </c>
      <c r="AF3517" s="460"/>
      <c r="AH3517">
        <f t="shared" si="1776"/>
        <v>1422</v>
      </c>
    </row>
    <row r="3518" ht="45" hidden="1">
      <c r="A3518" s="217"/>
      <c r="B3518" s="217">
        <v>1422</v>
      </c>
      <c r="C3518" s="217"/>
      <c r="D3518" s="217" t="s">
        <v>17167</v>
      </c>
      <c r="E3518" s="471" t="s">
        <v>20399</v>
      </c>
      <c r="F3518" s="482">
        <v>93358</v>
      </c>
      <c r="G3518" s="470" t="s">
        <v>20927</v>
      </c>
      <c r="H3518" s="471" t="s">
        <v>15528</v>
      </c>
      <c r="I3518" s="472">
        <f>(0.15+0.2)*0.25*5</f>
        <v>0.4375</v>
      </c>
      <c r="J3518" s="473">
        <f t="shared" si="1778"/>
        <v>90.030000000000001</v>
      </c>
      <c r="K3518" s="474">
        <f t="shared" ref="K3518:K3523" si="1787">I3518*J3518</f>
        <v>39.388125000000002</v>
      </c>
      <c r="L3518" s="475">
        <f t="shared" si="1784"/>
        <v>85.239999999999995</v>
      </c>
      <c r="M3518" s="474">
        <f t="shared" ref="M3518:M3523" si="1788">L3518*I3518</f>
        <v>37.292499999999997</v>
      </c>
      <c r="O3518" s="434">
        <f t="shared" si="1782"/>
        <v>90.030000000000001</v>
      </c>
      <c r="P3518" s="435">
        <f t="shared" si="1783"/>
        <v>85.239999999999995</v>
      </c>
      <c r="R3518" s="615" t="s">
        <v>22324</v>
      </c>
      <c r="AE3518" s="217"/>
      <c r="AF3518" s="217">
        <v>1422</v>
      </c>
      <c r="AH3518">
        <f t="shared" si="1776"/>
        <v>1422</v>
      </c>
    </row>
    <row r="3519" ht="30" hidden="1">
      <c r="A3519" s="217"/>
      <c r="B3519" s="217">
        <v>1422</v>
      </c>
      <c r="C3519" s="217"/>
      <c r="D3519" s="217" t="s">
        <v>20398</v>
      </c>
      <c r="E3519" s="471" t="s">
        <v>20402</v>
      </c>
      <c r="F3519" s="482">
        <v>1376</v>
      </c>
      <c r="G3519" s="470" t="s">
        <v>20928</v>
      </c>
      <c r="H3519" s="471" t="s">
        <v>15528</v>
      </c>
      <c r="I3519" s="472">
        <f>I3518-0.25*0.15*5</f>
        <v>0.25</v>
      </c>
      <c r="J3519" s="473">
        <f t="shared" si="1778"/>
        <v>54.592136000000004</v>
      </c>
      <c r="K3519" s="474">
        <f t="shared" si="1787"/>
        <v>13.648034000000001</v>
      </c>
      <c r="L3519" s="475">
        <f t="shared" si="1784"/>
        <v>51.689830000000001</v>
      </c>
      <c r="M3519" s="474">
        <f t="shared" si="1788"/>
        <v>12.9224575</v>
      </c>
      <c r="O3519" s="434">
        <f t="shared" si="1782"/>
        <v>54.592136000000004</v>
      </c>
      <c r="P3519" s="435">
        <f t="shared" si="1783"/>
        <v>51.689830000000001</v>
      </c>
      <c r="R3519" s="615" t="s">
        <v>22324</v>
      </c>
      <c r="AE3519" s="217"/>
      <c r="AF3519" s="217">
        <v>1422</v>
      </c>
      <c r="AH3519">
        <f t="shared" si="1776"/>
        <v>1422</v>
      </c>
    </row>
    <row r="3520" ht="45" hidden="1">
      <c r="A3520" s="217"/>
      <c r="B3520" s="217">
        <v>1422</v>
      </c>
      <c r="C3520" s="217"/>
      <c r="D3520" s="217" t="s">
        <v>17167</v>
      </c>
      <c r="E3520" s="471" t="s">
        <v>20405</v>
      </c>
      <c r="F3520" s="489">
        <v>101616</v>
      </c>
      <c r="G3520" s="470" t="s">
        <v>20929</v>
      </c>
      <c r="H3520" s="472" t="s">
        <v>15515</v>
      </c>
      <c r="I3520" s="472">
        <f>5*0.15</f>
        <v>0.75</v>
      </c>
      <c r="J3520" s="473">
        <f t="shared" si="1778"/>
        <v>7.7800000000000002</v>
      </c>
      <c r="K3520" s="474">
        <f t="shared" si="1787"/>
        <v>5.835</v>
      </c>
      <c r="L3520" s="475">
        <f t="shared" si="1784"/>
        <v>7.3499999999999996</v>
      </c>
      <c r="M3520" s="474">
        <f t="shared" si="1788"/>
        <v>5.5124999999999993</v>
      </c>
      <c r="O3520" s="434">
        <f t="shared" si="1782"/>
        <v>7.7800000000000002</v>
      </c>
      <c r="P3520" s="435">
        <f t="shared" si="1783"/>
        <v>7.3499999999999996</v>
      </c>
      <c r="R3520" s="615" t="s">
        <v>22325</v>
      </c>
      <c r="AE3520" s="217"/>
      <c r="AF3520" s="217">
        <v>1422</v>
      </c>
      <c r="AH3520">
        <f t="shared" si="1776"/>
        <v>1422</v>
      </c>
    </row>
    <row r="3521" ht="75" hidden="1">
      <c r="A3521" s="217"/>
      <c r="B3521" s="217">
        <v>1422</v>
      </c>
      <c r="C3521" s="217"/>
      <c r="D3521" s="217" t="s">
        <v>20398</v>
      </c>
      <c r="E3521" s="471" t="s">
        <v>20409</v>
      </c>
      <c r="F3521" s="489">
        <v>1065</v>
      </c>
      <c r="G3521" s="470" t="s">
        <v>20800</v>
      </c>
      <c r="H3521" s="472" t="s">
        <v>15515</v>
      </c>
      <c r="I3521" s="472">
        <f>5*0.25</f>
        <v>1.25</v>
      </c>
      <c r="J3521" s="473">
        <f t="shared" si="1778"/>
        <v>104.37038079999999</v>
      </c>
      <c r="K3521" s="474">
        <f t="shared" si="1787"/>
        <v>130.462976</v>
      </c>
      <c r="L3521" s="475">
        <f t="shared" si="1784"/>
        <v>101.735</v>
      </c>
      <c r="M3521" s="474">
        <f t="shared" si="1788"/>
        <v>127.16875</v>
      </c>
      <c r="O3521" s="434">
        <f t="shared" si="1782"/>
        <v>104.37038079999999</v>
      </c>
      <c r="P3521" s="435">
        <f t="shared" si="1783"/>
        <v>101.735</v>
      </c>
      <c r="R3521" s="615" t="s">
        <v>22326</v>
      </c>
      <c r="AE3521" s="217"/>
      <c r="AF3521" s="217">
        <v>1422</v>
      </c>
      <c r="AH3521">
        <f t="shared" si="1776"/>
        <v>1422</v>
      </c>
    </row>
    <row r="3522" ht="90" hidden="1">
      <c r="A3522" s="217"/>
      <c r="B3522" s="217">
        <v>1422</v>
      </c>
      <c r="C3522" s="217"/>
      <c r="D3522" s="217" t="s">
        <v>17167</v>
      </c>
      <c r="E3522" s="471" t="s">
        <v>20663</v>
      </c>
      <c r="F3522" s="482">
        <v>87894</v>
      </c>
      <c r="G3522" s="470" t="s">
        <v>20930</v>
      </c>
      <c r="H3522" s="471" t="s">
        <v>15515</v>
      </c>
      <c r="I3522" s="472">
        <f>5*0.25+5*0.15+1.5*0.15+1.8*0.15/2*2</f>
        <v>2.4950000000000001</v>
      </c>
      <c r="J3522" s="473">
        <f t="shared" si="1778"/>
        <v>7.0499999999999998</v>
      </c>
      <c r="K3522" s="474">
        <f t="shared" si="1787"/>
        <v>17.589749999999999</v>
      </c>
      <c r="L3522" s="475">
        <f t="shared" si="1784"/>
        <v>6.7400000000000002</v>
      </c>
      <c r="M3522" s="474">
        <f t="shared" si="1788"/>
        <v>16.816300000000002</v>
      </c>
      <c r="O3522" s="434">
        <f t="shared" si="1782"/>
        <v>7.0499999999999998</v>
      </c>
      <c r="P3522" s="435">
        <f t="shared" si="1783"/>
        <v>6.7400000000000002</v>
      </c>
      <c r="R3522" s="615" t="s">
        <v>22327</v>
      </c>
      <c r="AE3522" s="217"/>
      <c r="AF3522" s="217">
        <v>1422</v>
      </c>
      <c r="AH3522">
        <f t="shared" si="1776"/>
        <v>1422</v>
      </c>
    </row>
    <row r="3523" ht="105" hidden="1">
      <c r="A3523" s="217"/>
      <c r="B3523" s="217">
        <v>1422</v>
      </c>
      <c r="C3523" s="217"/>
      <c r="D3523" s="217" t="s">
        <v>17167</v>
      </c>
      <c r="E3523" s="471" t="s">
        <v>20665</v>
      </c>
      <c r="F3523" s="482">
        <v>87529</v>
      </c>
      <c r="G3523" s="470" t="s">
        <v>20931</v>
      </c>
      <c r="H3523" s="471" t="s">
        <v>15515</v>
      </c>
      <c r="I3523" s="472">
        <f>I3522</f>
        <v>2.4950000000000001</v>
      </c>
      <c r="J3523" s="473">
        <f t="shared" si="1778"/>
        <v>37.270000000000003</v>
      </c>
      <c r="K3523" s="474">
        <f t="shared" si="1787"/>
        <v>92.988650000000007</v>
      </c>
      <c r="L3523" s="475">
        <f t="shared" si="1784"/>
        <v>35.990000000000002</v>
      </c>
      <c r="M3523" s="474">
        <f t="shared" si="1788"/>
        <v>89.795050000000003</v>
      </c>
      <c r="O3523" s="434">
        <f t="shared" si="1782"/>
        <v>37.270000000000003</v>
      </c>
      <c r="P3523" s="435">
        <f t="shared" si="1783"/>
        <v>35.990000000000002</v>
      </c>
      <c r="R3523" s="615" t="s">
        <v>22327</v>
      </c>
      <c r="AE3523" s="217"/>
      <c r="AF3523" s="217">
        <v>1422</v>
      </c>
      <c r="AH3523">
        <f t="shared" si="1776"/>
        <v>1422</v>
      </c>
    </row>
    <row r="3524" ht="64.5" hidden="1" customHeight="1">
      <c r="A3524" s="460">
        <v>1423</v>
      </c>
      <c r="B3524" s="460">
        <v>1423</v>
      </c>
      <c r="C3524" s="460"/>
      <c r="D3524" s="460"/>
      <c r="E3524" s="461">
        <v>1</v>
      </c>
      <c r="F3524" s="462" t="s">
        <v>22328</v>
      </c>
      <c r="G3524" s="477" t="s">
        <v>22329</v>
      </c>
      <c r="H3524" s="478" t="s">
        <v>31</v>
      </c>
      <c r="I3524" s="479"/>
      <c r="J3524" s="480"/>
      <c r="K3524" s="466">
        <f>SUM(K3525:K3526)</f>
        <v>1035.90309</v>
      </c>
      <c r="L3524" s="480"/>
      <c r="M3524" s="466">
        <f>SUM(M3525:M3526)</f>
        <v>1010.7343700000001</v>
      </c>
      <c r="O3524" s="434" t="str">
        <f t="shared" si="1782"/>
        <v xml:space="preserve">SEM VALOR</v>
      </c>
      <c r="P3524" s="435" t="str">
        <f t="shared" si="1783"/>
        <v xml:space="preserve">SEM VALOR</v>
      </c>
      <c r="AE3524" s="460">
        <v>1423</v>
      </c>
      <c r="AF3524" s="460"/>
      <c r="AH3524">
        <f t="shared" si="1776"/>
        <v>1423</v>
      </c>
    </row>
    <row r="3525" ht="60" hidden="1">
      <c r="A3525" s="217"/>
      <c r="B3525" s="217">
        <v>1423</v>
      </c>
      <c r="C3525" s="217"/>
      <c r="D3525" s="217" t="s">
        <v>17167</v>
      </c>
      <c r="E3525" s="471" t="s">
        <v>20399</v>
      </c>
      <c r="F3525" s="482">
        <v>94964</v>
      </c>
      <c r="G3525" s="572" t="s">
        <v>8711</v>
      </c>
      <c r="H3525" s="499" t="s">
        <v>15528</v>
      </c>
      <c r="I3525" s="558">
        <v>1.153</v>
      </c>
      <c r="J3525" s="473">
        <f t="shared" si="1778"/>
        <v>488.52999999999997</v>
      </c>
      <c r="K3525" s="474">
        <f t="shared" ref="K3525:K3526" si="1789">I3525*J3525</f>
        <v>563.27508999999998</v>
      </c>
      <c r="L3525" s="475">
        <f t="shared" si="1784"/>
        <v>482.79000000000002</v>
      </c>
      <c r="M3525" s="474">
        <f t="shared" ref="M3525:M3526" si="1790">L3525*I3525</f>
        <v>556.65687000000003</v>
      </c>
      <c r="O3525" s="434">
        <f t="shared" si="1782"/>
        <v>488.52999999999997</v>
      </c>
      <c r="P3525" s="435">
        <f t="shared" si="1783"/>
        <v>482.79000000000002</v>
      </c>
      <c r="AE3525" s="217"/>
      <c r="AF3525" s="217">
        <v>1423</v>
      </c>
      <c r="AH3525">
        <f t="shared" si="1776"/>
        <v>1423</v>
      </c>
    </row>
    <row r="3526" ht="60" hidden="1">
      <c r="A3526" s="217"/>
      <c r="B3526" s="217">
        <v>1423</v>
      </c>
      <c r="C3526" s="217"/>
      <c r="D3526" s="217" t="s">
        <v>17167</v>
      </c>
      <c r="E3526" s="471" t="s">
        <v>20402</v>
      </c>
      <c r="F3526" s="482">
        <v>96536</v>
      </c>
      <c r="G3526" s="572" t="s">
        <v>21415</v>
      </c>
      <c r="H3526" s="482" t="s">
        <v>15515</v>
      </c>
      <c r="I3526" s="558">
        <v>7.4500000000000002</v>
      </c>
      <c r="J3526" s="473">
        <f t="shared" si="1778"/>
        <v>63.439999999999998</v>
      </c>
      <c r="K3526" s="474">
        <f t="shared" si="1789"/>
        <v>472.62799999999999</v>
      </c>
      <c r="L3526" s="475">
        <f t="shared" si="1784"/>
        <v>60.950000000000003</v>
      </c>
      <c r="M3526" s="474">
        <f t="shared" si="1790"/>
        <v>454.07750000000004</v>
      </c>
      <c r="N3526" s="467"/>
      <c r="O3526" s="434">
        <f t="shared" si="1782"/>
        <v>63.439999999999998</v>
      </c>
      <c r="P3526" s="435">
        <f t="shared" si="1783"/>
        <v>60.950000000000003</v>
      </c>
      <c r="AE3526" s="217"/>
      <c r="AF3526" s="217">
        <v>1423</v>
      </c>
      <c r="AH3526">
        <f t="shared" si="1776"/>
        <v>1423</v>
      </c>
    </row>
    <row r="3527" ht="78.75" hidden="1">
      <c r="A3527" s="460">
        <v>1424</v>
      </c>
      <c r="B3527" s="460">
        <v>1424</v>
      </c>
      <c r="C3527" s="460"/>
      <c r="D3527" s="460"/>
      <c r="E3527" s="461">
        <v>1</v>
      </c>
      <c r="F3527" s="462" t="s">
        <v>22330</v>
      </c>
      <c r="G3527" s="463" t="s">
        <v>22331</v>
      </c>
      <c r="H3527" s="478" t="s">
        <v>31</v>
      </c>
      <c r="I3527" s="479"/>
      <c r="J3527" s="480"/>
      <c r="K3527" s="466">
        <f>SUM(K3528:K3538)</f>
        <v>549.02194284500001</v>
      </c>
      <c r="L3527" s="480"/>
      <c r="M3527" s="466">
        <f>SUM(M3528:M3538)</f>
        <v>547.44854330399994</v>
      </c>
      <c r="N3527" s="467" t="s">
        <v>22261</v>
      </c>
      <c r="O3527" s="434" t="str">
        <f t="shared" si="1782"/>
        <v xml:space="preserve">SEM VALOR</v>
      </c>
      <c r="P3527" s="435" t="str">
        <f t="shared" si="1783"/>
        <v xml:space="preserve">SEM VALOR</v>
      </c>
      <c r="AE3527" s="460">
        <v>1424</v>
      </c>
      <c r="AF3527" s="460"/>
      <c r="AH3527">
        <f t="shared" ref="AH3527:AH3590" si="1791">IF(AF3527:AF3528=FALSE,AE3527,AF3527)</f>
        <v>1424</v>
      </c>
    </row>
    <row r="3528" ht="105" hidden="1">
      <c r="A3528" s="217"/>
      <c r="B3528" s="217">
        <v>1424</v>
      </c>
      <c r="C3528" s="217"/>
      <c r="D3528" s="217" t="s">
        <v>17167</v>
      </c>
      <c r="E3528" s="471" t="s">
        <v>20399</v>
      </c>
      <c r="F3528" s="486">
        <v>73467</v>
      </c>
      <c r="G3528" s="470" t="s">
        <v>1601</v>
      </c>
      <c r="H3528" s="482" t="s">
        <v>1535</v>
      </c>
      <c r="I3528" s="578">
        <f>0.3/4.2</f>
        <v>7.1428599999999995e-002</v>
      </c>
      <c r="J3528" s="473">
        <f t="shared" si="1778"/>
        <v>270.61000000000001</v>
      </c>
      <c r="K3528" s="474">
        <f t="shared" ref="K3528:K3538" si="1792">I3528*J3528</f>
        <v>19.329293446000001</v>
      </c>
      <c r="L3528" s="473">
        <f t="shared" si="1784"/>
        <v>269.00999999999999</v>
      </c>
      <c r="M3528" s="474">
        <f t="shared" ref="M3528:M3538" si="1793">L3528*I3528</f>
        <v>19.215007685999996</v>
      </c>
      <c r="N3528" s="467" t="s">
        <v>21418</v>
      </c>
      <c r="O3528" s="434">
        <f t="shared" si="1782"/>
        <v>270.61000000000001</v>
      </c>
      <c r="P3528" s="435">
        <f t="shared" si="1783"/>
        <v>269.00999999999999</v>
      </c>
      <c r="AE3528" s="217"/>
      <c r="AF3528" s="217">
        <v>1424</v>
      </c>
      <c r="AH3528">
        <f t="shared" si="1791"/>
        <v>1424</v>
      </c>
    </row>
    <row r="3529" ht="105" hidden="1">
      <c r="A3529" s="217"/>
      <c r="B3529" s="217">
        <v>1424</v>
      </c>
      <c r="C3529" s="217"/>
      <c r="D3529" s="217" t="s">
        <v>17167</v>
      </c>
      <c r="E3529" s="471" t="s">
        <v>20402</v>
      </c>
      <c r="F3529" s="486">
        <v>91395</v>
      </c>
      <c r="G3529" s="470" t="s">
        <v>1600</v>
      </c>
      <c r="H3529" s="482" t="s">
        <v>1533</v>
      </c>
      <c r="I3529" s="578">
        <f>0.7/4.2</f>
        <v>0.1666667</v>
      </c>
      <c r="J3529" s="473">
        <f t="shared" si="1778"/>
        <v>58.25</v>
      </c>
      <c r="K3529" s="474">
        <f t="shared" si="1792"/>
        <v>9.7083352749999996</v>
      </c>
      <c r="L3529" s="473">
        <f t="shared" si="1784"/>
        <v>56.649999999999999</v>
      </c>
      <c r="M3529" s="474">
        <f t="shared" si="1793"/>
        <v>9.4416685549999997</v>
      </c>
      <c r="N3529" s="467"/>
      <c r="O3529" s="434">
        <f t="shared" si="1782"/>
        <v>58.25</v>
      </c>
      <c r="P3529" s="435">
        <f t="shared" si="1783"/>
        <v>56.649999999999999</v>
      </c>
      <c r="AE3529" s="217"/>
      <c r="AF3529" s="217">
        <v>1424</v>
      </c>
      <c r="AH3529">
        <f t="shared" si="1791"/>
        <v>1424</v>
      </c>
    </row>
    <row r="3530" ht="45" hidden="1">
      <c r="A3530" s="217"/>
      <c r="B3530" s="217">
        <v>1424</v>
      </c>
      <c r="C3530" s="217"/>
      <c r="D3530" s="217" t="s">
        <v>17167</v>
      </c>
      <c r="E3530" s="471" t="s">
        <v>20405</v>
      </c>
      <c r="F3530" s="486">
        <v>88277</v>
      </c>
      <c r="G3530" s="488" t="s">
        <v>7341</v>
      </c>
      <c r="H3530" s="482" t="s">
        <v>2032</v>
      </c>
      <c r="I3530" s="578">
        <f t="shared" ref="I3530:I3531" si="1794">1/4.2</f>
        <v>0.23809520000000001</v>
      </c>
      <c r="J3530" s="473">
        <f t="shared" si="1778"/>
        <v>28.359999999999999</v>
      </c>
      <c r="K3530" s="474">
        <f t="shared" si="1792"/>
        <v>6.7523798719999997</v>
      </c>
      <c r="L3530" s="473">
        <f t="shared" si="1784"/>
        <v>26.640000000000001</v>
      </c>
      <c r="M3530" s="474">
        <f t="shared" si="1793"/>
        <v>6.3428561280000002</v>
      </c>
      <c r="N3530" s="629"/>
      <c r="O3530" s="434">
        <f t="shared" si="1782"/>
        <v>28.359999999999999</v>
      </c>
      <c r="P3530" s="435">
        <f t="shared" si="1783"/>
        <v>26.640000000000001</v>
      </c>
      <c r="AE3530" s="217"/>
      <c r="AF3530" s="217">
        <v>1424</v>
      </c>
      <c r="AH3530">
        <f t="shared" si="1791"/>
        <v>1424</v>
      </c>
    </row>
    <row r="3531" ht="30" hidden="1">
      <c r="A3531" s="217"/>
      <c r="B3531" s="217">
        <v>1424</v>
      </c>
      <c r="C3531" s="217"/>
      <c r="D3531" s="217" t="s">
        <v>17167</v>
      </c>
      <c r="E3531" s="471" t="s">
        <v>20409</v>
      </c>
      <c r="F3531" s="486">
        <v>88316</v>
      </c>
      <c r="G3531" s="470" t="s">
        <v>7393</v>
      </c>
      <c r="H3531" s="482" t="s">
        <v>2032</v>
      </c>
      <c r="I3531" s="578">
        <f t="shared" si="1794"/>
        <v>0.23809520000000001</v>
      </c>
      <c r="J3531" s="473">
        <f t="shared" si="1778"/>
        <v>22.760000000000002</v>
      </c>
      <c r="K3531" s="474">
        <f t="shared" si="1792"/>
        <v>5.4190467520000007</v>
      </c>
      <c r="L3531" s="473">
        <f t="shared" si="1784"/>
        <v>21.550000000000001</v>
      </c>
      <c r="M3531" s="474">
        <f t="shared" si="1793"/>
        <v>5.1309515600000006</v>
      </c>
      <c r="N3531" s="467"/>
      <c r="O3531" s="434">
        <f t="shared" si="1782"/>
        <v>22.760000000000002</v>
      </c>
      <c r="P3531" s="435">
        <f t="shared" si="1783"/>
        <v>21.550000000000001</v>
      </c>
      <c r="AE3531" s="217"/>
      <c r="AF3531" s="217">
        <v>1424</v>
      </c>
      <c r="AH3531">
        <f t="shared" si="1791"/>
        <v>1424</v>
      </c>
    </row>
    <row r="3532" ht="60" hidden="1">
      <c r="A3532" s="217"/>
      <c r="B3532" s="217">
        <v>1424</v>
      </c>
      <c r="C3532" s="217"/>
      <c r="D3532" s="217" t="s">
        <v>20408</v>
      </c>
      <c r="E3532" s="471" t="s">
        <v>20663</v>
      </c>
      <c r="F3532" s="486">
        <v>21013</v>
      </c>
      <c r="G3532" s="470" t="s">
        <v>22062</v>
      </c>
      <c r="H3532" s="482" t="s">
        <v>21420</v>
      </c>
      <c r="I3532" s="578">
        <v>3.2000000000000002</v>
      </c>
      <c r="J3532" s="473">
        <f t="shared" si="1778"/>
        <v>66.920000000000002</v>
      </c>
      <c r="K3532" s="474">
        <f t="shared" si="1792"/>
        <v>214.14400000000001</v>
      </c>
      <c r="L3532" s="473">
        <f t="shared" si="1784"/>
        <v>66.920000000000002</v>
      </c>
      <c r="M3532" s="474">
        <f t="shared" si="1793"/>
        <v>214.14400000000001</v>
      </c>
      <c r="N3532" s="467" t="s">
        <v>22262</v>
      </c>
      <c r="O3532" s="434">
        <f t="shared" si="1782"/>
        <v>66.920000000000002</v>
      </c>
      <c r="P3532" s="435">
        <f t="shared" si="1783"/>
        <v>66.920000000000002</v>
      </c>
      <c r="AE3532" s="217"/>
      <c r="AF3532" s="217">
        <v>1424</v>
      </c>
      <c r="AH3532">
        <f t="shared" si="1791"/>
        <v>1424</v>
      </c>
    </row>
    <row r="3533" hidden="1">
      <c r="A3533" s="217"/>
      <c r="B3533" s="217">
        <v>1424</v>
      </c>
      <c r="C3533" s="217"/>
      <c r="D3533" s="217" t="s">
        <v>20644</v>
      </c>
      <c r="E3533" s="471" t="s">
        <v>20665</v>
      </c>
      <c r="F3533" s="486" t="s">
        <v>15504</v>
      </c>
      <c r="G3533" s="470" t="s">
        <v>22311</v>
      </c>
      <c r="H3533" s="482" t="s">
        <v>15370</v>
      </c>
      <c r="I3533" s="483">
        <v>5.6500000000000004</v>
      </c>
      <c r="J3533" s="473">
        <f t="shared" si="1778"/>
        <v>10</v>
      </c>
      <c r="K3533" s="474">
        <f t="shared" si="1792"/>
        <v>56.5</v>
      </c>
      <c r="L3533" s="473">
        <f t="shared" si="1784"/>
        <v>10</v>
      </c>
      <c r="M3533" s="474">
        <f t="shared" si="1793"/>
        <v>56.5</v>
      </c>
      <c r="N3533" s="467"/>
      <c r="O3533" s="434">
        <f t="shared" si="1782"/>
        <v>10</v>
      </c>
      <c r="P3533" s="435">
        <f t="shared" si="1783"/>
        <v>10</v>
      </c>
      <c r="AE3533" s="217"/>
      <c r="AF3533" s="217">
        <v>1424</v>
      </c>
      <c r="AH3533">
        <f t="shared" si="1791"/>
        <v>1424</v>
      </c>
    </row>
    <row r="3534" ht="45" hidden="1">
      <c r="A3534" s="217"/>
      <c r="B3534" s="217">
        <v>1424</v>
      </c>
      <c r="C3534" s="217"/>
      <c r="D3534" s="217" t="s">
        <v>20644</v>
      </c>
      <c r="E3534" s="471" t="s">
        <v>20667</v>
      </c>
      <c r="F3534" s="486" t="s">
        <v>15506</v>
      </c>
      <c r="G3534" s="470" t="s">
        <v>22264</v>
      </c>
      <c r="H3534" s="482" t="s">
        <v>15383</v>
      </c>
      <c r="I3534" s="483">
        <v>0.47999999999999998</v>
      </c>
      <c r="J3534" s="473">
        <f t="shared" si="1778"/>
        <v>435.75</v>
      </c>
      <c r="K3534" s="474">
        <f t="shared" si="1792"/>
        <v>209.16</v>
      </c>
      <c r="L3534" s="473">
        <f t="shared" si="1784"/>
        <v>435.75</v>
      </c>
      <c r="M3534" s="474">
        <f t="shared" si="1793"/>
        <v>209.16</v>
      </c>
      <c r="N3534" s="467"/>
      <c r="O3534" s="434">
        <f t="shared" si="1782"/>
        <v>435.75</v>
      </c>
      <c r="P3534" s="435">
        <f t="shared" si="1783"/>
        <v>435.75</v>
      </c>
      <c r="AE3534" s="217"/>
      <c r="AF3534" s="217">
        <v>1424</v>
      </c>
      <c r="AH3534">
        <f t="shared" si="1791"/>
        <v>1424</v>
      </c>
    </row>
    <row r="3535" ht="30" hidden="1">
      <c r="A3535" s="217"/>
      <c r="B3535" s="217">
        <v>1424</v>
      </c>
      <c r="C3535" s="217"/>
      <c r="D3535" s="217" t="s">
        <v>20644</v>
      </c>
      <c r="E3535" s="471" t="s">
        <v>20671</v>
      </c>
      <c r="F3535" s="486">
        <v>5212552</v>
      </c>
      <c r="G3535" s="470" t="s">
        <v>22265</v>
      </c>
      <c r="H3535" s="482" t="s">
        <v>15383</v>
      </c>
      <c r="I3535" s="483">
        <v>0.47999999999999998</v>
      </c>
      <c r="J3535" s="473">
        <f t="shared" si="1778"/>
        <v>16.890000000000001</v>
      </c>
      <c r="K3535" s="474">
        <f t="shared" si="1792"/>
        <v>8.1072000000000006</v>
      </c>
      <c r="L3535" s="473">
        <f t="shared" si="1784"/>
        <v>16.890000000000001</v>
      </c>
      <c r="M3535" s="474">
        <f t="shared" si="1793"/>
        <v>8.1072000000000006</v>
      </c>
      <c r="N3535" s="467"/>
      <c r="O3535" s="434">
        <f t="shared" si="1782"/>
        <v>16.890000000000001</v>
      </c>
      <c r="P3535" s="435">
        <f t="shared" si="1783"/>
        <v>16.890000000000001</v>
      </c>
      <c r="AE3535" s="217"/>
      <c r="AF3535" s="217">
        <v>1424</v>
      </c>
      <c r="AH3535">
        <f t="shared" si="1791"/>
        <v>1424</v>
      </c>
    </row>
    <row r="3536" ht="60" hidden="1">
      <c r="A3536" s="217"/>
      <c r="B3536" s="217">
        <v>1424</v>
      </c>
      <c r="C3536" s="217"/>
      <c r="D3536" s="217" t="s">
        <v>17167</v>
      </c>
      <c r="E3536" s="471" t="s">
        <v>20672</v>
      </c>
      <c r="F3536" s="486">
        <v>94963</v>
      </c>
      <c r="G3536" s="470" t="s">
        <v>20684</v>
      </c>
      <c r="H3536" s="482" t="s">
        <v>15528</v>
      </c>
      <c r="I3536" s="578">
        <v>3.125e-002</v>
      </c>
      <c r="J3536" s="473">
        <f t="shared" si="1778"/>
        <v>441.43000000000001</v>
      </c>
      <c r="K3536" s="474">
        <f t="shared" si="1792"/>
        <v>13.7946875</v>
      </c>
      <c r="L3536" s="473">
        <f t="shared" si="1784"/>
        <v>436.14999999999998</v>
      </c>
      <c r="M3536" s="474">
        <f t="shared" si="1793"/>
        <v>13.629687499999999</v>
      </c>
      <c r="N3536" s="467"/>
      <c r="O3536" s="434">
        <f t="shared" si="1782"/>
        <v>441.43000000000001</v>
      </c>
      <c r="P3536" s="435">
        <f t="shared" si="1783"/>
        <v>436.14999999999998</v>
      </c>
      <c r="AE3536" s="217"/>
      <c r="AF3536" s="217">
        <v>1424</v>
      </c>
      <c r="AH3536">
        <f t="shared" si="1791"/>
        <v>1424</v>
      </c>
    </row>
    <row r="3537" ht="45" hidden="1">
      <c r="A3537" s="217"/>
      <c r="B3537" s="217">
        <v>1424</v>
      </c>
      <c r="C3537" s="217"/>
      <c r="D3537" s="217" t="s">
        <v>20398</v>
      </c>
      <c r="E3537" s="471" t="s">
        <v>20673</v>
      </c>
      <c r="F3537" s="469">
        <v>1259</v>
      </c>
      <c r="G3537" s="470" t="s">
        <v>20796</v>
      </c>
      <c r="H3537" s="482" t="s">
        <v>15528</v>
      </c>
      <c r="I3537" s="614">
        <v>3.125e-002</v>
      </c>
      <c r="J3537" s="473">
        <f t="shared" si="1778"/>
        <v>45.520000000000003</v>
      </c>
      <c r="K3537" s="474">
        <f t="shared" si="1792"/>
        <v>1.4225000000000001</v>
      </c>
      <c r="L3537" s="473">
        <f t="shared" si="1784"/>
        <v>43.100000000000001</v>
      </c>
      <c r="M3537" s="474">
        <f t="shared" si="1793"/>
        <v>1.346875</v>
      </c>
      <c r="N3537" s="467"/>
      <c r="O3537" s="434">
        <f t="shared" si="1782"/>
        <v>45.520000000000003</v>
      </c>
      <c r="P3537" s="435">
        <f t="shared" si="1783"/>
        <v>43.100000000000001</v>
      </c>
      <c r="AE3537" s="217"/>
      <c r="AF3537" s="217">
        <v>1424</v>
      </c>
      <c r="AH3537">
        <f t="shared" si="1791"/>
        <v>1424</v>
      </c>
    </row>
    <row r="3538" ht="45" hidden="1">
      <c r="A3538" s="217"/>
      <c r="B3538" s="217">
        <v>1424</v>
      </c>
      <c r="C3538" s="217"/>
      <c r="D3538" s="217" t="s">
        <v>20398</v>
      </c>
      <c r="E3538" s="471" t="s">
        <v>20675</v>
      </c>
      <c r="F3538" s="482">
        <v>1000</v>
      </c>
      <c r="G3538" s="470" t="s">
        <v>20651</v>
      </c>
      <c r="H3538" s="482" t="s">
        <v>15528</v>
      </c>
      <c r="I3538" s="614">
        <f>I3536</f>
        <v>3.125e-002</v>
      </c>
      <c r="J3538" s="473">
        <f t="shared" si="1778"/>
        <v>149.904</v>
      </c>
      <c r="K3538" s="474">
        <f t="shared" si="1792"/>
        <v>4.6844999999999999</v>
      </c>
      <c r="L3538" s="473">
        <f t="shared" si="1784"/>
        <v>141.76949999999999</v>
      </c>
      <c r="M3538" s="474">
        <f t="shared" si="1793"/>
        <v>4.4302968749999998</v>
      </c>
      <c r="N3538" s="467"/>
      <c r="O3538" s="434">
        <f t="shared" si="1782"/>
        <v>149.904</v>
      </c>
      <c r="P3538" s="435">
        <f t="shared" si="1783"/>
        <v>141.76949999999999</v>
      </c>
      <c r="AE3538" s="217"/>
      <c r="AF3538" s="217">
        <v>1424</v>
      </c>
      <c r="AH3538">
        <f t="shared" si="1791"/>
        <v>1424</v>
      </c>
    </row>
    <row r="3539" ht="60.75" hidden="1">
      <c r="A3539" s="217"/>
      <c r="B3539" s="217">
        <v>1424</v>
      </c>
      <c r="C3539" s="217"/>
      <c r="D3539" s="217"/>
      <c r="E3539" s="471"/>
      <c r="F3539" s="482"/>
      <c r="G3539" s="488" t="s">
        <v>22332</v>
      </c>
      <c r="H3539" s="482"/>
      <c r="I3539" s="578"/>
      <c r="J3539" s="473"/>
      <c r="K3539" s="474"/>
      <c r="L3539" s="577"/>
      <c r="M3539" s="474"/>
      <c r="N3539" s="467"/>
      <c r="O3539" s="434" t="str">
        <f t="shared" si="1782"/>
        <v xml:space="preserve">SEM VALOR</v>
      </c>
      <c r="P3539" s="435" t="str">
        <f t="shared" si="1783"/>
        <v xml:space="preserve">SEM VALOR</v>
      </c>
      <c r="AE3539" s="217"/>
      <c r="AF3539" s="217">
        <v>1424</v>
      </c>
      <c r="AH3539">
        <f t="shared" si="1791"/>
        <v>1424</v>
      </c>
    </row>
    <row r="3540" hidden="1">
      <c r="A3540" s="217"/>
      <c r="B3540" s="217">
        <v>1424</v>
      </c>
      <c r="C3540" s="217"/>
      <c r="D3540" s="217"/>
      <c r="E3540" s="471"/>
      <c r="F3540" s="482"/>
      <c r="G3540" s="470" t="s">
        <v>22319</v>
      </c>
      <c r="H3540" s="482"/>
      <c r="I3540" s="578"/>
      <c r="J3540" s="473"/>
      <c r="K3540" s="474"/>
      <c r="L3540" s="577"/>
      <c r="M3540" s="474"/>
      <c r="N3540" s="467"/>
      <c r="O3540" s="434" t="str">
        <f t="shared" si="1782"/>
        <v xml:space="preserve">SEM VALOR</v>
      </c>
      <c r="P3540" s="435" t="str">
        <f t="shared" si="1783"/>
        <v xml:space="preserve">SEM VALOR</v>
      </c>
      <c r="AE3540" s="217"/>
      <c r="AF3540" s="217">
        <v>1424</v>
      </c>
      <c r="AH3540">
        <f t="shared" si="1791"/>
        <v>1424</v>
      </c>
    </row>
    <row r="3541" ht="47.25" hidden="1">
      <c r="A3541" s="460">
        <v>1425</v>
      </c>
      <c r="B3541" s="460">
        <v>1425</v>
      </c>
      <c r="C3541" s="460"/>
      <c r="D3541" s="460"/>
      <c r="E3541" s="461">
        <v>1</v>
      </c>
      <c r="F3541" s="462" t="s">
        <v>22333</v>
      </c>
      <c r="G3541" s="477" t="s">
        <v>22334</v>
      </c>
      <c r="H3541" s="478" t="s">
        <v>31</v>
      </c>
      <c r="I3541" s="479"/>
      <c r="J3541" s="480"/>
      <c r="K3541" s="466">
        <f>SUM(K3542:K3550)</f>
        <v>5736.3652749000003</v>
      </c>
      <c r="L3541" s="480"/>
      <c r="M3541" s="466" t="e">
        <f>SUM(M3542:M3550)</f>
        <v>#VALUE!</v>
      </c>
      <c r="N3541" s="467" t="s">
        <v>22335</v>
      </c>
      <c r="O3541" s="434" t="str">
        <f t="shared" si="1782"/>
        <v xml:space="preserve">SEM VALOR</v>
      </c>
      <c r="P3541" s="435" t="str">
        <f t="shared" si="1783"/>
        <v xml:space="preserve">SEM VALOR</v>
      </c>
      <c r="AE3541" s="460">
        <v>1425</v>
      </c>
      <c r="AF3541" s="460"/>
      <c r="AH3541">
        <f t="shared" si="1791"/>
        <v>1425</v>
      </c>
    </row>
    <row r="3542" ht="45" hidden="1">
      <c r="A3542" s="217"/>
      <c r="B3542" s="217">
        <v>1425</v>
      </c>
      <c r="C3542" s="217"/>
      <c r="D3542" s="217" t="s">
        <v>20408</v>
      </c>
      <c r="E3542" s="471" t="s">
        <v>20399</v>
      </c>
      <c r="F3542" s="489" t="s">
        <v>22336</v>
      </c>
      <c r="G3542" s="470" t="s">
        <v>22337</v>
      </c>
      <c r="H3542" s="482" t="s">
        <v>302</v>
      </c>
      <c r="I3542" s="580">
        <v>39.5627</v>
      </c>
      <c r="J3542" s="473">
        <v>9.8100000000000005</v>
      </c>
      <c r="K3542" s="474">
        <f t="shared" ref="K3542:K3550" si="1795">I3542*J3542</f>
        <v>388.11008700000002</v>
      </c>
      <c r="L3542" s="475" t="e">
        <f t="shared" si="1784"/>
        <v>#VALUE!</v>
      </c>
      <c r="M3542" s="474" t="e">
        <f t="shared" ref="M3542:M3550" si="1796">L3542*I3542</f>
        <v>#VALUE!</v>
      </c>
      <c r="O3542" s="434" t="str">
        <f t="shared" si="1782"/>
        <v xml:space="preserve">SEM VALOR</v>
      </c>
      <c r="P3542" s="435" t="str">
        <f t="shared" si="1783"/>
        <v xml:space="preserve">SEM VALOR</v>
      </c>
      <c r="AE3542" s="217"/>
      <c r="AF3542" s="217">
        <v>1425</v>
      </c>
      <c r="AH3542">
        <f t="shared" si="1791"/>
        <v>1425</v>
      </c>
    </row>
    <row r="3543" ht="45" hidden="1">
      <c r="A3543" s="217"/>
      <c r="B3543" s="217">
        <v>1425</v>
      </c>
      <c r="C3543" s="217"/>
      <c r="D3543" s="217" t="s">
        <v>20408</v>
      </c>
      <c r="E3543" s="471" t="s">
        <v>20402</v>
      </c>
      <c r="F3543" s="489">
        <v>21009</v>
      </c>
      <c r="G3543" s="488" t="s">
        <v>14895</v>
      </c>
      <c r="H3543" s="499" t="s">
        <v>38</v>
      </c>
      <c r="I3543" s="580">
        <v>7.0000000000000007e-002</v>
      </c>
      <c r="J3543" s="473">
        <f t="shared" si="1778"/>
        <v>23.710000000000001</v>
      </c>
      <c r="K3543" s="474">
        <f t="shared" si="1795"/>
        <v>1.6597000000000002</v>
      </c>
      <c r="L3543" s="475">
        <f t="shared" si="1784"/>
        <v>23.710000000000001</v>
      </c>
      <c r="M3543" s="474">
        <f t="shared" si="1796"/>
        <v>1.6597000000000002</v>
      </c>
      <c r="O3543" s="434">
        <f t="shared" si="1782"/>
        <v>23.710000000000001</v>
      </c>
      <c r="P3543" s="435">
        <f t="shared" si="1783"/>
        <v>23.710000000000001</v>
      </c>
      <c r="AE3543" s="217"/>
      <c r="AF3543" s="217">
        <v>1425</v>
      </c>
      <c r="AH3543">
        <f t="shared" si="1791"/>
        <v>1425</v>
      </c>
    </row>
    <row r="3544" ht="45" hidden="1">
      <c r="A3544" s="217"/>
      <c r="B3544" s="217">
        <v>1425</v>
      </c>
      <c r="C3544" s="217"/>
      <c r="D3544" s="217" t="s">
        <v>17167</v>
      </c>
      <c r="E3544" s="471" t="s">
        <v>20405</v>
      </c>
      <c r="F3544" s="489">
        <v>96545</v>
      </c>
      <c r="G3544" s="470" t="s">
        <v>20678</v>
      </c>
      <c r="H3544" s="482" t="s">
        <v>302</v>
      </c>
      <c r="I3544" s="483">
        <v>128.7433</v>
      </c>
      <c r="J3544" s="473">
        <f t="shared" si="1778"/>
        <v>15.82</v>
      </c>
      <c r="K3544" s="474">
        <f t="shared" si="1795"/>
        <v>2036.719006</v>
      </c>
      <c r="L3544" s="475">
        <f t="shared" si="1784"/>
        <v>15.48</v>
      </c>
      <c r="M3544" s="474">
        <f t="shared" si="1796"/>
        <v>1992.9462840000001</v>
      </c>
      <c r="O3544" s="434">
        <f t="shared" si="1782"/>
        <v>15.82</v>
      </c>
      <c r="P3544" s="435">
        <f t="shared" si="1783"/>
        <v>15.48</v>
      </c>
      <c r="AE3544" s="217"/>
      <c r="AF3544" s="217">
        <v>1425</v>
      </c>
      <c r="AH3544">
        <f t="shared" si="1791"/>
        <v>1425</v>
      </c>
    </row>
    <row r="3545" ht="60" hidden="1">
      <c r="A3545" s="217"/>
      <c r="B3545" s="217">
        <v>1425</v>
      </c>
      <c r="C3545" s="217"/>
      <c r="D3545" s="217" t="s">
        <v>17167</v>
      </c>
      <c r="E3545" s="471" t="s">
        <v>20409</v>
      </c>
      <c r="F3545" s="489">
        <v>94964</v>
      </c>
      <c r="G3545" s="470" t="s">
        <v>8711</v>
      </c>
      <c r="H3545" s="482" t="s">
        <v>15528</v>
      </c>
      <c r="I3545" s="483">
        <v>2.5</v>
      </c>
      <c r="J3545" s="473">
        <f t="shared" si="1778"/>
        <v>488.52999999999997</v>
      </c>
      <c r="K3545" s="474">
        <f t="shared" si="1795"/>
        <v>1221.3249999999998</v>
      </c>
      <c r="L3545" s="475">
        <f t="shared" si="1784"/>
        <v>482.79000000000002</v>
      </c>
      <c r="M3545" s="474">
        <f t="shared" si="1796"/>
        <v>1206.9750000000001</v>
      </c>
      <c r="O3545" s="434">
        <f t="shared" si="1782"/>
        <v>488.52999999999997</v>
      </c>
      <c r="P3545" s="435">
        <f t="shared" si="1783"/>
        <v>482.79000000000002</v>
      </c>
      <c r="AE3545" s="217"/>
      <c r="AF3545" s="217">
        <v>1425</v>
      </c>
      <c r="AH3545">
        <f t="shared" si="1791"/>
        <v>1425</v>
      </c>
    </row>
    <row r="3546" ht="75" hidden="1">
      <c r="A3546" s="217"/>
      <c r="B3546" s="217">
        <v>1425</v>
      </c>
      <c r="C3546" s="217"/>
      <c r="D3546" s="217" t="s">
        <v>17167</v>
      </c>
      <c r="E3546" s="471" t="s">
        <v>20663</v>
      </c>
      <c r="F3546" s="489">
        <v>94962</v>
      </c>
      <c r="G3546" s="470" t="s">
        <v>8726</v>
      </c>
      <c r="H3546" s="482" t="s">
        <v>15528</v>
      </c>
      <c r="I3546" s="483">
        <v>0.26879999999999998</v>
      </c>
      <c r="J3546" s="473">
        <f t="shared" si="1778"/>
        <v>393.05000000000001</v>
      </c>
      <c r="K3546" s="474">
        <f t="shared" si="1795"/>
        <v>105.65183999999999</v>
      </c>
      <c r="L3546" s="475">
        <f t="shared" si="1784"/>
        <v>387.73000000000002</v>
      </c>
      <c r="M3546" s="474">
        <f t="shared" si="1796"/>
        <v>104.221824</v>
      </c>
      <c r="O3546" s="434">
        <f t="shared" si="1782"/>
        <v>393.05000000000001</v>
      </c>
      <c r="P3546" s="435">
        <f t="shared" si="1783"/>
        <v>387.73000000000002</v>
      </c>
      <c r="AE3546" s="217"/>
      <c r="AF3546" s="217">
        <v>1425</v>
      </c>
      <c r="AH3546">
        <f t="shared" si="1791"/>
        <v>1425</v>
      </c>
    </row>
    <row r="3547" ht="45" hidden="1">
      <c r="A3547" s="217"/>
      <c r="B3547" s="217">
        <v>1425</v>
      </c>
      <c r="C3547" s="217"/>
      <c r="D3547" s="217" t="s">
        <v>20398</v>
      </c>
      <c r="E3547" s="471" t="s">
        <v>20665</v>
      </c>
      <c r="F3547" s="482">
        <v>1000</v>
      </c>
      <c r="G3547" s="470" t="s">
        <v>20651</v>
      </c>
      <c r="H3547" s="482" t="s">
        <v>15528</v>
      </c>
      <c r="I3547" s="483">
        <f>I3546+I3545</f>
        <v>2.7688000000000001</v>
      </c>
      <c r="J3547" s="473">
        <f t="shared" si="1778"/>
        <v>149.904</v>
      </c>
      <c r="K3547" s="474">
        <f t="shared" si="1795"/>
        <v>415.05419520000004</v>
      </c>
      <c r="L3547" s="475">
        <f t="shared" si="1784"/>
        <v>141.76949999999999</v>
      </c>
      <c r="M3547" s="474">
        <f t="shared" si="1796"/>
        <v>392.53139160000001</v>
      </c>
      <c r="O3547" s="434">
        <f t="shared" si="1782"/>
        <v>149.904</v>
      </c>
      <c r="P3547" s="435">
        <f t="shared" si="1783"/>
        <v>141.76949999999999</v>
      </c>
      <c r="AE3547" s="217"/>
      <c r="AF3547" s="217">
        <v>1425</v>
      </c>
      <c r="AH3547">
        <f t="shared" si="1791"/>
        <v>1425</v>
      </c>
    </row>
    <row r="3548" ht="120" hidden="1">
      <c r="A3548" s="217"/>
      <c r="B3548" s="217">
        <v>1425</v>
      </c>
      <c r="C3548" s="217"/>
      <c r="D3548" s="217" t="s">
        <v>17167</v>
      </c>
      <c r="E3548" s="471" t="s">
        <v>20667</v>
      </c>
      <c r="F3548" s="489">
        <v>90105</v>
      </c>
      <c r="G3548" s="470" t="s">
        <v>3505</v>
      </c>
      <c r="H3548" s="482" t="s">
        <v>15528</v>
      </c>
      <c r="I3548" s="483">
        <v>14.82</v>
      </c>
      <c r="J3548" s="473">
        <f t="shared" si="1778"/>
        <v>9.4800000000000004</v>
      </c>
      <c r="K3548" s="474">
        <f t="shared" si="1795"/>
        <v>140.49360000000001</v>
      </c>
      <c r="L3548" s="475">
        <f t="shared" si="1784"/>
        <v>9.2400000000000002</v>
      </c>
      <c r="M3548" s="474">
        <f t="shared" si="1796"/>
        <v>136.93680000000001</v>
      </c>
      <c r="O3548" s="434">
        <f t="shared" si="1782"/>
        <v>9.4800000000000004</v>
      </c>
      <c r="P3548" s="435">
        <f t="shared" si="1783"/>
        <v>9.2400000000000002</v>
      </c>
      <c r="AE3548" s="217"/>
      <c r="AF3548" s="217">
        <v>1425</v>
      </c>
      <c r="AH3548">
        <f t="shared" si="1791"/>
        <v>1425</v>
      </c>
    </row>
    <row r="3549" ht="60" hidden="1">
      <c r="A3549" s="217"/>
      <c r="B3549" s="217">
        <v>1425</v>
      </c>
      <c r="C3549" s="217"/>
      <c r="D3549" s="217" t="s">
        <v>17167</v>
      </c>
      <c r="E3549" s="471" t="s">
        <v>20671</v>
      </c>
      <c r="F3549" s="489">
        <v>96536</v>
      </c>
      <c r="G3549" s="470" t="s">
        <v>21415</v>
      </c>
      <c r="H3549" s="482" t="s">
        <v>15515</v>
      </c>
      <c r="I3549" s="483">
        <v>21.670000000000002</v>
      </c>
      <c r="J3549" s="473">
        <f t="shared" si="1778"/>
        <v>63.439999999999998</v>
      </c>
      <c r="K3549" s="474">
        <f t="shared" si="1795"/>
        <v>1374.7448000000002</v>
      </c>
      <c r="L3549" s="475">
        <f t="shared" si="1784"/>
        <v>60.950000000000003</v>
      </c>
      <c r="M3549" s="474">
        <f t="shared" si="1796"/>
        <v>1320.7865000000002</v>
      </c>
      <c r="O3549" s="434">
        <f t="shared" si="1782"/>
        <v>63.439999999999998</v>
      </c>
      <c r="P3549" s="435">
        <f t="shared" si="1783"/>
        <v>60.950000000000003</v>
      </c>
      <c r="AE3549" s="217"/>
      <c r="AF3549" s="217">
        <v>1425</v>
      </c>
      <c r="AH3549">
        <f t="shared" si="1791"/>
        <v>1425</v>
      </c>
    </row>
    <row r="3550" ht="45" hidden="1">
      <c r="A3550" s="217"/>
      <c r="B3550" s="217">
        <v>1425</v>
      </c>
      <c r="C3550" s="217"/>
      <c r="D3550" s="217" t="s">
        <v>20644</v>
      </c>
      <c r="E3550" s="471" t="s">
        <v>20672</v>
      </c>
      <c r="F3550" s="489">
        <v>2408058</v>
      </c>
      <c r="G3550" s="470" t="s">
        <v>15526</v>
      </c>
      <c r="H3550" s="482" t="s">
        <v>15515</v>
      </c>
      <c r="I3550" s="483">
        <v>0.75922999999999996</v>
      </c>
      <c r="J3550" s="473">
        <f t="shared" ref="J3550:J3613" si="1797">O3550*$J$3</f>
        <v>69.290000000000006</v>
      </c>
      <c r="K3550" s="474">
        <f t="shared" si="1795"/>
        <v>52.607046700000005</v>
      </c>
      <c r="L3550" s="475">
        <f t="shared" si="1784"/>
        <v>69.290000000000006</v>
      </c>
      <c r="M3550" s="474">
        <f t="shared" si="1796"/>
        <v>52.607046700000005</v>
      </c>
      <c r="O3550" s="434">
        <f t="shared" si="1782"/>
        <v>69.290000000000006</v>
      </c>
      <c r="P3550" s="435">
        <f t="shared" si="1783"/>
        <v>69.290000000000006</v>
      </c>
      <c r="AE3550" s="217"/>
      <c r="AF3550" s="217">
        <v>1425</v>
      </c>
      <c r="AH3550">
        <f t="shared" si="1791"/>
        <v>1425</v>
      </c>
    </row>
    <row r="3551" ht="45" hidden="1">
      <c r="A3551" s="217"/>
      <c r="B3551" s="217">
        <v>1425</v>
      </c>
      <c r="C3551" s="217"/>
      <c r="D3551" s="217"/>
      <c r="E3551" s="471"/>
      <c r="F3551" s="482"/>
      <c r="G3551" s="470" t="s">
        <v>22338</v>
      </c>
      <c r="H3551" s="521"/>
      <c r="I3551" s="527"/>
      <c r="J3551" s="473"/>
      <c r="K3551" s="474"/>
      <c r="L3551" s="473"/>
      <c r="M3551" s="474"/>
      <c r="O3551" s="434" t="str">
        <f t="shared" si="1782"/>
        <v xml:space="preserve">SEM VALOR</v>
      </c>
      <c r="P3551" s="435" t="str">
        <f t="shared" si="1783"/>
        <v xml:space="preserve">SEM VALOR</v>
      </c>
      <c r="AE3551" s="217"/>
      <c r="AF3551" s="217">
        <v>1425</v>
      </c>
      <c r="AH3551">
        <f t="shared" si="1791"/>
        <v>1425</v>
      </c>
    </row>
    <row r="3552" ht="158.25" hidden="1" customHeight="1">
      <c r="A3552" s="460">
        <v>1426</v>
      </c>
      <c r="B3552" s="460">
        <v>1426</v>
      </c>
      <c r="C3552" s="460"/>
      <c r="D3552" s="460"/>
      <c r="E3552" s="461">
        <v>1</v>
      </c>
      <c r="F3552" s="462" t="s">
        <v>22339</v>
      </c>
      <c r="G3552" s="477" t="s">
        <v>22340</v>
      </c>
      <c r="H3552" s="478" t="s">
        <v>31</v>
      </c>
      <c r="I3552" s="479"/>
      <c r="J3552" s="480"/>
      <c r="K3552" s="466">
        <f>SUM(K3553:K3569)</f>
        <v>49705.71256854399</v>
      </c>
      <c r="L3552" s="480"/>
      <c r="M3552" s="466">
        <f>SUM(M3553:M3569)</f>
        <v>48610.887263627003</v>
      </c>
      <c r="N3552" s="467" t="s">
        <v>22341</v>
      </c>
      <c r="O3552" s="434" t="str">
        <f t="shared" si="1782"/>
        <v xml:space="preserve">SEM VALOR</v>
      </c>
      <c r="P3552" s="435" t="str">
        <f t="shared" si="1783"/>
        <v xml:space="preserve">SEM VALOR</v>
      </c>
      <c r="AE3552" s="460">
        <v>1426</v>
      </c>
      <c r="AF3552" s="460"/>
      <c r="AH3552">
        <f t="shared" si="1791"/>
        <v>1426</v>
      </c>
    </row>
    <row r="3553" ht="30" hidden="1">
      <c r="A3553" s="217"/>
      <c r="B3553" s="217">
        <v>1426</v>
      </c>
      <c r="C3553" s="217"/>
      <c r="D3553" s="217" t="s">
        <v>20398</v>
      </c>
      <c r="E3553" s="471" t="s">
        <v>20399</v>
      </c>
      <c r="F3553" s="482">
        <v>1242</v>
      </c>
      <c r="G3553" s="488" t="s">
        <v>20905</v>
      </c>
      <c r="H3553" s="471" t="s">
        <v>15528</v>
      </c>
      <c r="I3553" s="472">
        <f>(4+1)*(7.72+1)*0.05</f>
        <v>2.1800000000000002</v>
      </c>
      <c r="J3553" s="473">
        <f t="shared" si="1797"/>
        <v>151.59100000000001</v>
      </c>
      <c r="K3553" s="474">
        <f t="shared" ref="K3553:K3569" si="1798">I3553*J3553</f>
        <v>330.46838000000002</v>
      </c>
      <c r="L3553" s="475">
        <f t="shared" si="1784"/>
        <v>149.17099999999999</v>
      </c>
      <c r="M3553" s="474">
        <f t="shared" ref="M3553:M3569" si="1799">L3553*I3553</f>
        <v>325.19278000000003</v>
      </c>
      <c r="O3553" s="434">
        <f t="shared" si="1782"/>
        <v>151.59100000000001</v>
      </c>
      <c r="P3553" s="435">
        <f t="shared" si="1783"/>
        <v>149.17099999999999</v>
      </c>
      <c r="AE3553" s="217"/>
      <c r="AF3553" s="217">
        <v>1426</v>
      </c>
      <c r="AH3553">
        <f t="shared" si="1791"/>
        <v>1426</v>
      </c>
    </row>
    <row r="3554" ht="75" hidden="1">
      <c r="A3554" s="217"/>
      <c r="B3554" s="217">
        <v>1426</v>
      </c>
      <c r="C3554" s="217"/>
      <c r="D3554" s="217" t="s">
        <v>20398</v>
      </c>
      <c r="E3554" s="471" t="s">
        <v>20402</v>
      </c>
      <c r="F3554" s="482">
        <v>1257</v>
      </c>
      <c r="G3554" s="470" t="s">
        <v>20906</v>
      </c>
      <c r="H3554" s="471" t="s">
        <v>15515</v>
      </c>
      <c r="I3554" s="472">
        <f>(((4+0.4)*1.16))+((7.72+0.4)*2*1.74)+(1*1*0.3)</f>
        <v>33.6616</v>
      </c>
      <c r="J3554" s="473">
        <f t="shared" si="1797"/>
        <v>202.65134000000003</v>
      </c>
      <c r="K3554" s="474">
        <f t="shared" si="1798"/>
        <v>6821.5683465440015</v>
      </c>
      <c r="L3554" s="475">
        <f t="shared" si="1784"/>
        <v>197.86072000000001</v>
      </c>
      <c r="M3554" s="474">
        <f t="shared" si="1799"/>
        <v>6660.3084123520002</v>
      </c>
      <c r="O3554" s="434">
        <f t="shared" si="1782"/>
        <v>202.65134000000003</v>
      </c>
      <c r="P3554" s="435">
        <f t="shared" si="1783"/>
        <v>197.86072000000001</v>
      </c>
      <c r="R3554" s="633" t="s">
        <v>22342</v>
      </c>
      <c r="S3554" s="633" t="s">
        <v>22343</v>
      </c>
      <c r="T3554" s="633" t="s">
        <v>22344</v>
      </c>
      <c r="U3554" s="633" t="s">
        <v>22345</v>
      </c>
      <c r="AE3554" s="217"/>
      <c r="AF3554" s="217">
        <v>1426</v>
      </c>
      <c r="AH3554">
        <f t="shared" si="1791"/>
        <v>1426</v>
      </c>
    </row>
    <row r="3555" ht="45" hidden="1">
      <c r="A3555" s="217"/>
      <c r="B3555" s="217">
        <v>1426</v>
      </c>
      <c r="C3555" s="217"/>
      <c r="D3555" s="217" t="s">
        <v>20398</v>
      </c>
      <c r="E3555" s="471" t="s">
        <v>20405</v>
      </c>
      <c r="F3555" s="482">
        <v>1303</v>
      </c>
      <c r="G3555" s="470" t="s">
        <v>21869</v>
      </c>
      <c r="H3555" s="471" t="s">
        <v>15515</v>
      </c>
      <c r="I3555" s="472">
        <f>(((7.72+0.4)*2)*1.28+((4+0.4)*3.32)+((4+0.4)*1.86))</f>
        <v>43.5792</v>
      </c>
      <c r="J3555" s="473">
        <f t="shared" si="1797"/>
        <v>162.27994999999999</v>
      </c>
      <c r="K3555" s="474">
        <f t="shared" si="1798"/>
        <v>7072.0303970399991</v>
      </c>
      <c r="L3555" s="475">
        <f t="shared" si="1784"/>
        <v>159.36540000000002</v>
      </c>
      <c r="M3555" s="474">
        <f t="shared" si="1799"/>
        <v>6945.0166396800014</v>
      </c>
      <c r="O3555" s="434">
        <f t="shared" si="1782"/>
        <v>162.27994999999999</v>
      </c>
      <c r="P3555" s="435">
        <f t="shared" si="1783"/>
        <v>159.36540000000002</v>
      </c>
      <c r="R3555" s="633">
        <v>1.5</v>
      </c>
      <c r="S3555" s="633">
        <v>4</v>
      </c>
      <c r="T3555" s="633">
        <v>3.52</v>
      </c>
      <c r="U3555" s="634">
        <f>S3555-T3555-0.185</f>
        <v>0.29999999999999999</v>
      </c>
      <c r="AE3555" s="217"/>
      <c r="AF3555" s="217">
        <v>1426</v>
      </c>
      <c r="AH3555">
        <f t="shared" si="1791"/>
        <v>1426</v>
      </c>
    </row>
    <row r="3556" ht="60" hidden="1">
      <c r="A3556" s="217"/>
      <c r="B3556" s="217">
        <v>1426</v>
      </c>
      <c r="C3556" s="217"/>
      <c r="D3556" s="217" t="s">
        <v>20398</v>
      </c>
      <c r="E3556" s="471" t="s">
        <v>20409</v>
      </c>
      <c r="F3556" s="569">
        <v>1258</v>
      </c>
      <c r="G3556" s="488" t="s">
        <v>20660</v>
      </c>
      <c r="H3556" s="472" t="s">
        <v>15515</v>
      </c>
      <c r="I3556" s="472">
        <f>(4+1)*(7.72+1)</f>
        <v>43.600000000000001</v>
      </c>
      <c r="J3556" s="473">
        <f t="shared" si="1797"/>
        <v>7.5700000000000003</v>
      </c>
      <c r="K3556" s="474">
        <f t="shared" si="1798"/>
        <v>330.05200000000002</v>
      </c>
      <c r="L3556" s="475">
        <f t="shared" si="1784"/>
        <v>7.1846199999999998</v>
      </c>
      <c r="M3556" s="474">
        <f t="shared" si="1799"/>
        <v>313.24943200000001</v>
      </c>
      <c r="O3556" s="434">
        <f t="shared" si="1782"/>
        <v>7.5700000000000003</v>
      </c>
      <c r="P3556" s="435">
        <f t="shared" si="1783"/>
        <v>7.1846199999999998</v>
      </c>
      <c r="AE3556" s="217"/>
      <c r="AF3556" s="217">
        <v>1426</v>
      </c>
      <c r="AH3556">
        <f t="shared" si="1791"/>
        <v>1426</v>
      </c>
    </row>
    <row r="3557" ht="120" hidden="1">
      <c r="A3557" s="217"/>
      <c r="B3557" s="217">
        <v>1426</v>
      </c>
      <c r="C3557" s="217"/>
      <c r="D3557" s="217" t="s">
        <v>17167</v>
      </c>
      <c r="E3557" s="471" t="s">
        <v>20663</v>
      </c>
      <c r="F3557" s="489">
        <v>90108</v>
      </c>
      <c r="G3557" s="470" t="s">
        <v>20907</v>
      </c>
      <c r="H3557" s="472" t="s">
        <v>15528</v>
      </c>
      <c r="I3557" s="472">
        <f>((4+1)*(7.72+1))*(4+0.18+0.15+0.05)</f>
        <v>190.96799999999999</v>
      </c>
      <c r="J3557" s="473">
        <f t="shared" si="1797"/>
        <v>7.8099999999999996</v>
      </c>
      <c r="K3557" s="474">
        <f t="shared" si="1798"/>
        <v>1491.4600799999998</v>
      </c>
      <c r="L3557" s="475">
        <f t="shared" si="1784"/>
        <v>7.6100000000000003</v>
      </c>
      <c r="M3557" s="474">
        <f t="shared" si="1799"/>
        <v>1453.26648</v>
      </c>
      <c r="O3557" s="434">
        <f t="shared" si="1782"/>
        <v>7.8099999999999996</v>
      </c>
      <c r="P3557" s="435">
        <f t="shared" si="1783"/>
        <v>7.6100000000000003</v>
      </c>
      <c r="AE3557" s="217"/>
      <c r="AF3557" s="217">
        <v>1426</v>
      </c>
      <c r="AH3557">
        <f t="shared" si="1791"/>
        <v>1426</v>
      </c>
    </row>
    <row r="3558" ht="105" hidden="1">
      <c r="A3558" s="217"/>
      <c r="B3558" s="217">
        <v>1426</v>
      </c>
      <c r="C3558" s="217"/>
      <c r="D3558" s="217" t="s">
        <v>17167</v>
      </c>
      <c r="E3558" s="471" t="s">
        <v>20665</v>
      </c>
      <c r="F3558" s="489">
        <v>5928</v>
      </c>
      <c r="G3558" s="470" t="s">
        <v>1739</v>
      </c>
      <c r="H3558" s="472" t="s">
        <v>1535</v>
      </c>
      <c r="I3558" s="472">
        <v>0.10000000000000001</v>
      </c>
      <c r="J3558" s="473">
        <f t="shared" si="1797"/>
        <v>298.70999999999998</v>
      </c>
      <c r="K3558" s="474">
        <f t="shared" si="1798"/>
        <v>29.870999999999999</v>
      </c>
      <c r="L3558" s="475">
        <f t="shared" si="1784"/>
        <v>296.98000000000002</v>
      </c>
      <c r="M3558" s="474">
        <f t="shared" si="1799"/>
        <v>29.698000000000004</v>
      </c>
      <c r="O3558" s="434">
        <f t="shared" si="1782"/>
        <v>298.70999999999998</v>
      </c>
      <c r="P3558" s="435">
        <f t="shared" si="1783"/>
        <v>296.98000000000002</v>
      </c>
      <c r="AE3558" s="217"/>
      <c r="AF3558" s="217">
        <v>1426</v>
      </c>
      <c r="AH3558">
        <f t="shared" si="1791"/>
        <v>1426</v>
      </c>
    </row>
    <row r="3559" ht="45" hidden="1">
      <c r="A3559" s="217"/>
      <c r="B3559" s="217">
        <v>1426</v>
      </c>
      <c r="C3559" s="217"/>
      <c r="D3559" s="217" t="s">
        <v>20398</v>
      </c>
      <c r="E3559" s="471" t="s">
        <v>20667</v>
      </c>
      <c r="F3559" s="489">
        <v>1000</v>
      </c>
      <c r="G3559" s="488" t="s">
        <v>20651</v>
      </c>
      <c r="H3559" s="472" t="s">
        <v>15528</v>
      </c>
      <c r="I3559" s="472">
        <f>I3567</f>
        <v>17.3432</v>
      </c>
      <c r="J3559" s="473">
        <f t="shared" si="1797"/>
        <v>149.904</v>
      </c>
      <c r="K3559" s="474">
        <f t="shared" si="1798"/>
        <v>2599.8150527999996</v>
      </c>
      <c r="L3559" s="475">
        <f t="shared" si="1784"/>
        <v>141.76949999999999</v>
      </c>
      <c r="M3559" s="474">
        <f t="shared" si="1799"/>
        <v>2458.7367924</v>
      </c>
      <c r="O3559" s="434">
        <f t="shared" si="1782"/>
        <v>149.904</v>
      </c>
      <c r="P3559" s="435">
        <f t="shared" si="1783"/>
        <v>141.76949999999999</v>
      </c>
      <c r="AE3559" s="217"/>
      <c r="AF3559" s="217">
        <v>1426</v>
      </c>
      <c r="AH3559">
        <f t="shared" si="1791"/>
        <v>1426</v>
      </c>
    </row>
    <row r="3560" ht="60" hidden="1">
      <c r="A3560" s="217"/>
      <c r="B3560" s="217">
        <v>1426</v>
      </c>
      <c r="C3560" s="217"/>
      <c r="D3560" s="217" t="s">
        <v>17167</v>
      </c>
      <c r="E3560" s="471" t="s">
        <v>20671</v>
      </c>
      <c r="F3560" s="489">
        <v>87313</v>
      </c>
      <c r="G3560" s="470" t="s">
        <v>20909</v>
      </c>
      <c r="H3560" s="472" t="s">
        <v>15528</v>
      </c>
      <c r="I3560" s="472">
        <f>(4*2+7.72*2)*(3.32)*0.02</f>
        <v>1.556416</v>
      </c>
      <c r="J3560" s="473">
        <f t="shared" si="1797"/>
        <v>549.88</v>
      </c>
      <c r="K3560" s="474">
        <f t="shared" si="1798"/>
        <v>855.84203007999997</v>
      </c>
      <c r="L3560" s="475">
        <f t="shared" si="1784"/>
        <v>542.65999999999997</v>
      </c>
      <c r="M3560" s="474">
        <f t="shared" si="1799"/>
        <v>844.60470655999995</v>
      </c>
      <c r="O3560" s="434">
        <f t="shared" si="1782"/>
        <v>549.88</v>
      </c>
      <c r="P3560" s="435">
        <f t="shared" si="1783"/>
        <v>542.65999999999997</v>
      </c>
      <c r="AE3560" s="217"/>
      <c r="AF3560" s="217">
        <v>1426</v>
      </c>
      <c r="AH3560">
        <f t="shared" si="1791"/>
        <v>1426</v>
      </c>
    </row>
    <row r="3561" ht="75" hidden="1">
      <c r="A3561" s="217"/>
      <c r="B3561" s="217">
        <v>1426</v>
      </c>
      <c r="C3561" s="217"/>
      <c r="D3561" s="217" t="s">
        <v>17167</v>
      </c>
      <c r="E3561" s="471" t="s">
        <v>20672</v>
      </c>
      <c r="F3561" s="489">
        <v>87878</v>
      </c>
      <c r="G3561" s="470" t="s">
        <v>20910</v>
      </c>
      <c r="H3561" s="471" t="s">
        <v>15515</v>
      </c>
      <c r="I3561" s="472">
        <f>(4*2+7.72*2)*(3.32)</f>
        <v>77.820800000000006</v>
      </c>
      <c r="J3561" s="473">
        <f t="shared" si="1797"/>
        <v>5.0099999999999998</v>
      </c>
      <c r="K3561" s="474">
        <f t="shared" si="1798"/>
        <v>389.88220799999999</v>
      </c>
      <c r="L3561" s="475">
        <f t="shared" si="1784"/>
        <v>4.7999999999999998</v>
      </c>
      <c r="M3561" s="474">
        <f t="shared" si="1799"/>
        <v>373.53984000000003</v>
      </c>
      <c r="O3561" s="434">
        <f t="shared" si="1782"/>
        <v>5.0099999999999998</v>
      </c>
      <c r="P3561" s="435">
        <f t="shared" si="1783"/>
        <v>4.7999999999999998</v>
      </c>
      <c r="AE3561" s="217"/>
      <c r="AF3561" s="217">
        <v>1426</v>
      </c>
      <c r="AH3561">
        <f t="shared" si="1791"/>
        <v>1426</v>
      </c>
    </row>
    <row r="3562" ht="45" hidden="1">
      <c r="A3562" s="217"/>
      <c r="B3562" s="217">
        <v>1426</v>
      </c>
      <c r="C3562" s="217"/>
      <c r="D3562" s="217" t="s">
        <v>17167</v>
      </c>
      <c r="E3562" s="471" t="s">
        <v>20673</v>
      </c>
      <c r="F3562" s="489">
        <v>96543</v>
      </c>
      <c r="G3562" s="470" t="s">
        <v>20676</v>
      </c>
      <c r="H3562" s="471" t="s">
        <v>302</v>
      </c>
      <c r="I3562" s="472">
        <v>58.719999999999999</v>
      </c>
      <c r="J3562" s="473">
        <f t="shared" si="1797"/>
        <v>19.829999999999998</v>
      </c>
      <c r="K3562" s="474">
        <f t="shared" si="1798"/>
        <v>1164.4175999999998</v>
      </c>
      <c r="L3562" s="475">
        <f t="shared" si="1784"/>
        <v>19.210000000000001</v>
      </c>
      <c r="M3562" s="474">
        <f t="shared" si="1799"/>
        <v>1128.0111999999999</v>
      </c>
      <c r="O3562" s="434">
        <f t="shared" si="1782"/>
        <v>19.829999999999998</v>
      </c>
      <c r="P3562" s="435">
        <f t="shared" si="1783"/>
        <v>19.210000000000001</v>
      </c>
      <c r="AE3562" s="217"/>
      <c r="AF3562" s="217">
        <v>1426</v>
      </c>
      <c r="AH3562">
        <f t="shared" si="1791"/>
        <v>1426</v>
      </c>
    </row>
    <row r="3563" ht="45" hidden="1">
      <c r="A3563" s="217"/>
      <c r="B3563" s="217">
        <v>1426</v>
      </c>
      <c r="C3563" s="217"/>
      <c r="D3563" s="217" t="s">
        <v>17167</v>
      </c>
      <c r="E3563" s="471" t="s">
        <v>20675</v>
      </c>
      <c r="F3563" s="489">
        <v>96544</v>
      </c>
      <c r="G3563" s="470" t="s">
        <v>20763</v>
      </c>
      <c r="H3563" s="471" t="s">
        <v>302</v>
      </c>
      <c r="I3563" s="472">
        <f>20.79+188.74</f>
        <v>209.53</v>
      </c>
      <c r="J3563" s="473">
        <f t="shared" si="1797"/>
        <v>17.699999999999999</v>
      </c>
      <c r="K3563" s="474">
        <f t="shared" si="1798"/>
        <v>3708.681</v>
      </c>
      <c r="L3563" s="475">
        <f t="shared" si="1784"/>
        <v>17.23</v>
      </c>
      <c r="M3563" s="474">
        <f t="shared" si="1799"/>
        <v>3610.2019</v>
      </c>
      <c r="O3563" s="434">
        <f t="shared" si="1782"/>
        <v>17.699999999999999</v>
      </c>
      <c r="P3563" s="435">
        <f t="shared" si="1783"/>
        <v>17.23</v>
      </c>
      <c r="AE3563" s="217"/>
      <c r="AF3563" s="217">
        <v>1426</v>
      </c>
      <c r="AH3563">
        <f t="shared" si="1791"/>
        <v>1426</v>
      </c>
    </row>
    <row r="3564" ht="45" hidden="1">
      <c r="A3564" s="217"/>
      <c r="B3564" s="217">
        <v>1426</v>
      </c>
      <c r="C3564" s="217"/>
      <c r="D3564" s="217" t="s">
        <v>17167</v>
      </c>
      <c r="E3564" s="471" t="s">
        <v>20677</v>
      </c>
      <c r="F3564" s="489">
        <v>96545</v>
      </c>
      <c r="G3564" s="470" t="s">
        <v>22346</v>
      </c>
      <c r="H3564" s="471" t="s">
        <v>302</v>
      </c>
      <c r="I3564" s="472">
        <v>304.30000000000001</v>
      </c>
      <c r="J3564" s="473">
        <f t="shared" si="1797"/>
        <v>15.82</v>
      </c>
      <c r="K3564" s="474">
        <f t="shared" si="1798"/>
        <v>4814.0259999999998</v>
      </c>
      <c r="L3564" s="475">
        <f t="shared" si="1784"/>
        <v>15.48</v>
      </c>
      <c r="M3564" s="474">
        <f t="shared" si="1799"/>
        <v>4710.5640000000003</v>
      </c>
      <c r="O3564" s="434">
        <f t="shared" ref="O3564:O3627" si="1800">IFERROR(IF(D3564="SINAPI",VLOOKUP(F3564,SINCOMOD,4,FALSE),IF(D3564="INSINAPI",VLOOKUP(F3564,INSINOD,5,FALSE),IF(D3564="SICRO",VLOOKUP(F3564,SICRO,5,FALSE),IF(D3564="COTACAO",VLOOKUP(F3564,COTACAO,6,FALSE),IF(D3564="PRÓPRIO",VLOOKUP(F3564,COMPOD,11,FALSE),IF(D3564="AGESUL",VLOOKUP(F3564,AGESULOD,6,FALSE),IF(D3564="INSAGESUL",VLOOKUP(F3564,INSAGESUL,7,FALSE),"SEM VALOR"))))))),"SEM VALOR")</f>
        <v>15.82</v>
      </c>
      <c r="P3564" s="435">
        <f t="shared" ref="P3564:P3627" si="1801">IFERROR(IF(D3564="SINAPI",VLOOKUP(F3564,SINCOMOD,6,FALSE),IF(D3564="INSINAPI",VLOOKUP(F3564,INSINOD,6,FALSE),IF(D3564="SICRO",VLOOKUP(F3564,SICRO,5,FALSE),IF(D3564="COTACAO",VLOOKUP(F3564,COTACAO,6,FALSE),IF(D3564="PRÓPRIO",VLOOKUP(F3564,COMPOD,13,FALSE),IF(D3564="AGESUL",VLOOKUP(F3564,AGESULOD,11,FALSE),IF(D3564="INSAGESUL",VLOOKUP(F3564,INSAGESUL,8,FALSE),"SEM VALOR"))))))),"SEM VALOR")</f>
        <v>15.48</v>
      </c>
      <c r="AE3564" s="217"/>
      <c r="AF3564" s="217">
        <v>1426</v>
      </c>
      <c r="AH3564">
        <f t="shared" si="1791"/>
        <v>1426</v>
      </c>
    </row>
    <row r="3565" ht="45" hidden="1">
      <c r="A3565" s="217"/>
      <c r="B3565" s="217">
        <v>1426</v>
      </c>
      <c r="C3565" s="217"/>
      <c r="D3565" s="217" t="s">
        <v>17167</v>
      </c>
      <c r="E3565" s="471" t="s">
        <v>20679</v>
      </c>
      <c r="F3565" s="482">
        <v>96546</v>
      </c>
      <c r="G3565" s="470" t="s">
        <v>22347</v>
      </c>
      <c r="H3565" s="471" t="s">
        <v>302</v>
      </c>
      <c r="I3565" s="472">
        <v>117.11</v>
      </c>
      <c r="J3565" s="473">
        <f t="shared" si="1797"/>
        <v>13.77</v>
      </c>
      <c r="K3565" s="474">
        <f t="shared" si="1798"/>
        <v>1612.6046999999999</v>
      </c>
      <c r="L3565" s="475">
        <f t="shared" ref="L3565:L3628" si="1802">P3565*$L$3</f>
        <v>13.51</v>
      </c>
      <c r="M3565" s="474">
        <f t="shared" si="1799"/>
        <v>1582.1560999999999</v>
      </c>
      <c r="O3565" s="434">
        <f t="shared" si="1800"/>
        <v>13.77</v>
      </c>
      <c r="P3565" s="435">
        <f t="shared" si="1801"/>
        <v>13.51</v>
      </c>
      <c r="AE3565" s="217"/>
      <c r="AF3565" s="217">
        <v>1426</v>
      </c>
      <c r="AH3565">
        <f t="shared" si="1791"/>
        <v>1426</v>
      </c>
    </row>
    <row r="3566" ht="45" hidden="1">
      <c r="A3566" s="217"/>
      <c r="B3566" s="217">
        <v>1426</v>
      </c>
      <c r="C3566" s="217"/>
      <c r="D3566" s="217" t="s">
        <v>17167</v>
      </c>
      <c r="E3566" s="471" t="s">
        <v>20681</v>
      </c>
      <c r="F3566" s="489">
        <v>93382</v>
      </c>
      <c r="G3566" s="470" t="s">
        <v>20722</v>
      </c>
      <c r="H3566" s="471" t="s">
        <v>15528</v>
      </c>
      <c r="I3566" s="472">
        <f>I3557-((4+1)*(7.72+1)*0.05)-((4+0.8)*(7.72+0.8)*0.15)-((4+0.4)*(7.72+0.4)*(0.18+T3555+0.2))-(2*(PI()*((R3555*1.2)^2)/4)*0.3)-((PI()*(1^2)/4)*U3555)-(1*1*0.185)</f>
        <v>41.366966499999997</v>
      </c>
      <c r="J3566" s="473">
        <f t="shared" si="1797"/>
        <v>27.52</v>
      </c>
      <c r="K3566" s="474">
        <f t="shared" si="1798"/>
        <v>1138.4189180799999</v>
      </c>
      <c r="L3566" s="475">
        <f t="shared" si="1802"/>
        <v>26.190000000000001</v>
      </c>
      <c r="M3566" s="474">
        <f t="shared" si="1799"/>
        <v>1083.4008526349999</v>
      </c>
      <c r="O3566" s="434">
        <f t="shared" si="1800"/>
        <v>27.52</v>
      </c>
      <c r="P3566" s="435">
        <f t="shared" si="1801"/>
        <v>26.190000000000001</v>
      </c>
      <c r="AE3566" s="217"/>
      <c r="AF3566" s="217">
        <v>1426</v>
      </c>
      <c r="AH3566">
        <f t="shared" si="1791"/>
        <v>1426</v>
      </c>
    </row>
    <row r="3567" ht="60" hidden="1">
      <c r="A3567" s="217"/>
      <c r="B3567" s="217">
        <v>1426</v>
      </c>
      <c r="C3567" s="217"/>
      <c r="D3567" s="217" t="s">
        <v>17167</v>
      </c>
      <c r="E3567" s="471" t="s">
        <v>20683</v>
      </c>
      <c r="F3567" s="489">
        <v>94964</v>
      </c>
      <c r="G3567" s="470" t="s">
        <v>20686</v>
      </c>
      <c r="H3567" s="471" t="s">
        <v>15528</v>
      </c>
      <c r="I3567" s="472">
        <f>((((7.72*2)+(4*2))*0.4*0.2)+(((7.72*2)+(4))*0.3*0.2)+(4*0.2*0.2*3.85))+((4+1)*(7.72+1)*0.15)+((4+0.4)*(7.72+0.4)*0.2)</f>
        <v>17.3432</v>
      </c>
      <c r="J3567" s="473">
        <f t="shared" si="1797"/>
        <v>488.52999999999997</v>
      </c>
      <c r="K3567" s="474">
        <f t="shared" si="1798"/>
        <v>8472.6734959999994</v>
      </c>
      <c r="L3567" s="475">
        <f t="shared" si="1802"/>
        <v>482.79000000000002</v>
      </c>
      <c r="M3567" s="474">
        <f t="shared" si="1799"/>
        <v>8373.1235280000001</v>
      </c>
      <c r="O3567" s="434">
        <f t="shared" si="1800"/>
        <v>488.52999999999997</v>
      </c>
      <c r="P3567" s="435">
        <f t="shared" si="1801"/>
        <v>482.79000000000002</v>
      </c>
      <c r="AE3567" s="217"/>
      <c r="AF3567" s="217">
        <v>1426</v>
      </c>
      <c r="AH3567">
        <f t="shared" si="1791"/>
        <v>1426</v>
      </c>
    </row>
    <row r="3568" ht="60" hidden="1">
      <c r="A3568" s="217"/>
      <c r="B3568" s="217">
        <v>1426</v>
      </c>
      <c r="C3568" s="217"/>
      <c r="D3568" s="217" t="s">
        <v>17167</v>
      </c>
      <c r="E3568" s="471" t="s">
        <v>20685</v>
      </c>
      <c r="F3568" s="489">
        <v>96533</v>
      </c>
      <c r="G3568" s="470" t="s">
        <v>20912</v>
      </c>
      <c r="H3568" s="471" t="s">
        <v>15515</v>
      </c>
      <c r="I3568" s="472">
        <f>((7.72*2*2*0.4)+(4*2*2*0.4)+(7.72*2*0.2)+(4*2*0.2))+((7.72*2*2*0.3)+(4*2*0.3)+(7.72*2*0.2)+(4*0.2))+4*((0.2*0.2)+(3.85*0.2*4))</f>
        <v>51.472000000000001</v>
      </c>
      <c r="J3568" s="473">
        <f t="shared" si="1797"/>
        <v>85.980000000000004</v>
      </c>
      <c r="K3568" s="474">
        <f t="shared" si="1798"/>
        <v>4425.5625600000003</v>
      </c>
      <c r="L3568" s="475">
        <f t="shared" si="1802"/>
        <v>83.200000000000003</v>
      </c>
      <c r="M3568" s="474">
        <f t="shared" si="1799"/>
        <v>4282.4704000000002</v>
      </c>
      <c r="O3568" s="434">
        <f t="shared" si="1800"/>
        <v>85.980000000000004</v>
      </c>
      <c r="P3568" s="435">
        <f t="shared" si="1801"/>
        <v>83.200000000000003</v>
      </c>
      <c r="AE3568" s="217"/>
      <c r="AF3568" s="217">
        <v>1426</v>
      </c>
      <c r="AH3568">
        <f t="shared" si="1791"/>
        <v>1426</v>
      </c>
    </row>
    <row r="3569" ht="60" hidden="1">
      <c r="A3569" s="217"/>
      <c r="B3569" s="217">
        <v>1426</v>
      </c>
      <c r="C3569" s="217"/>
      <c r="D3569" s="217" t="s">
        <v>17167</v>
      </c>
      <c r="E3569" s="471" t="s">
        <v>20687</v>
      </c>
      <c r="F3569" s="489">
        <v>97093</v>
      </c>
      <c r="G3569" s="470" t="s">
        <v>8818</v>
      </c>
      <c r="H3569" s="471" t="s">
        <v>302</v>
      </c>
      <c r="I3569" s="472">
        <v>366.42000000000002</v>
      </c>
      <c r="J3569" s="473">
        <f t="shared" si="1797"/>
        <v>12.140000000000001</v>
      </c>
      <c r="K3569" s="474">
        <f t="shared" si="1798"/>
        <v>4448.3388000000004</v>
      </c>
      <c r="L3569" s="475">
        <f t="shared" si="1802"/>
        <v>12.109999999999999</v>
      </c>
      <c r="M3569" s="474">
        <f t="shared" si="1799"/>
        <v>4437.3462</v>
      </c>
      <c r="O3569" s="434">
        <f t="shared" si="1800"/>
        <v>12.140000000000001</v>
      </c>
      <c r="P3569" s="435">
        <f t="shared" si="1801"/>
        <v>12.109999999999999</v>
      </c>
      <c r="AE3569" s="217"/>
      <c r="AF3569" s="217">
        <v>1426</v>
      </c>
      <c r="AH3569">
        <f t="shared" si="1791"/>
        <v>1426</v>
      </c>
    </row>
    <row r="3570" ht="141.75" hidden="1">
      <c r="A3570" s="460">
        <v>1427</v>
      </c>
      <c r="B3570" s="460">
        <v>1427</v>
      </c>
      <c r="C3570" s="460"/>
      <c r="D3570" s="460"/>
      <c r="E3570" s="461">
        <v>1</v>
      </c>
      <c r="F3570" s="462" t="s">
        <v>22348</v>
      </c>
      <c r="G3570" s="477" t="s">
        <v>22349</v>
      </c>
      <c r="H3570" s="478" t="s">
        <v>31</v>
      </c>
      <c r="I3570" s="479"/>
      <c r="J3570" s="480"/>
      <c r="K3570" s="466">
        <f>SUM(K3571:K3587)</f>
        <v>32427.744140855997</v>
      </c>
      <c r="L3570" s="480"/>
      <c r="M3570" s="466">
        <f>SUM(M3571:M3587)</f>
        <v>31709.405675353002</v>
      </c>
      <c r="N3570" s="467" t="s">
        <v>22341</v>
      </c>
      <c r="O3570" s="434" t="str">
        <f t="shared" si="1800"/>
        <v xml:space="preserve">SEM VALOR</v>
      </c>
      <c r="P3570" s="435" t="str">
        <f t="shared" si="1801"/>
        <v xml:space="preserve">SEM VALOR</v>
      </c>
      <c r="AE3570" s="460">
        <v>1427</v>
      </c>
      <c r="AF3570" s="460"/>
      <c r="AH3570">
        <f t="shared" si="1791"/>
        <v>1427</v>
      </c>
    </row>
    <row r="3571" ht="30" hidden="1">
      <c r="A3571" s="217"/>
      <c r="B3571" s="217">
        <v>1427</v>
      </c>
      <c r="C3571" s="217"/>
      <c r="D3571" s="217" t="s">
        <v>20398</v>
      </c>
      <c r="E3571" s="471" t="s">
        <v>20399</v>
      </c>
      <c r="F3571" s="482">
        <v>1242</v>
      </c>
      <c r="G3571" s="488" t="s">
        <v>20905</v>
      </c>
      <c r="H3571" s="471" t="s">
        <v>15528</v>
      </c>
      <c r="I3571" s="472">
        <f>(3+1)*(5.28+1)*0.05</f>
        <v>1.256</v>
      </c>
      <c r="J3571" s="473">
        <f t="shared" si="1797"/>
        <v>151.59100000000001</v>
      </c>
      <c r="K3571" s="474">
        <f t="shared" ref="K3571:K3587" si="1803">I3571*J3571</f>
        <v>190.39829600000002</v>
      </c>
      <c r="L3571" s="475">
        <f t="shared" si="1802"/>
        <v>149.17099999999999</v>
      </c>
      <c r="M3571" s="474">
        <f t="shared" ref="M3571:M3587" si="1804">L3571*I3571</f>
        <v>187.35877599999998</v>
      </c>
      <c r="O3571" s="434">
        <f t="shared" si="1800"/>
        <v>151.59100000000001</v>
      </c>
      <c r="P3571" s="435">
        <f t="shared" si="1801"/>
        <v>149.17099999999999</v>
      </c>
      <c r="AE3571" s="217"/>
      <c r="AF3571" s="217">
        <v>1427</v>
      </c>
      <c r="AH3571">
        <f t="shared" si="1791"/>
        <v>1427</v>
      </c>
    </row>
    <row r="3572" ht="75" hidden="1">
      <c r="A3572" s="217"/>
      <c r="B3572" s="217">
        <v>1427</v>
      </c>
      <c r="C3572" s="217"/>
      <c r="D3572" s="217" t="s">
        <v>20398</v>
      </c>
      <c r="E3572" s="471" t="s">
        <v>20402</v>
      </c>
      <c r="F3572" s="482">
        <v>1257</v>
      </c>
      <c r="G3572" s="470" t="s">
        <v>20906</v>
      </c>
      <c r="H3572" s="471" t="s">
        <v>15515</v>
      </c>
      <c r="I3572" s="472">
        <f>(((3+0.4)*1.16))+((5.28+0.4)*2*1.74)+(1*1*0.3)</f>
        <v>24.010400000000001</v>
      </c>
      <c r="J3572" s="473">
        <f t="shared" si="1797"/>
        <v>202.65134000000003</v>
      </c>
      <c r="K3572" s="474">
        <f t="shared" si="1803"/>
        <v>4865.7397339360014</v>
      </c>
      <c r="L3572" s="475">
        <f t="shared" si="1802"/>
        <v>197.86072000000001</v>
      </c>
      <c r="M3572" s="474">
        <f t="shared" si="1804"/>
        <v>4750.7150314880009</v>
      </c>
      <c r="O3572" s="434">
        <f t="shared" si="1800"/>
        <v>202.65134000000003</v>
      </c>
      <c r="P3572" s="435">
        <f t="shared" si="1801"/>
        <v>197.86072000000001</v>
      </c>
      <c r="R3572" s="633" t="s">
        <v>22342</v>
      </c>
      <c r="S3572" s="633" t="s">
        <v>22343</v>
      </c>
      <c r="T3572" s="633" t="s">
        <v>22344</v>
      </c>
      <c r="U3572" s="633" t="s">
        <v>22345</v>
      </c>
      <c r="AE3572" s="217"/>
      <c r="AF3572" s="217">
        <v>1427</v>
      </c>
      <c r="AH3572">
        <f t="shared" si="1791"/>
        <v>1427</v>
      </c>
    </row>
    <row r="3573" ht="45" hidden="1">
      <c r="A3573" s="217"/>
      <c r="B3573" s="217">
        <v>1427</v>
      </c>
      <c r="C3573" s="217"/>
      <c r="D3573" s="217" t="s">
        <v>20398</v>
      </c>
      <c r="E3573" s="471" t="s">
        <v>20405</v>
      </c>
      <c r="F3573" s="482">
        <v>1303</v>
      </c>
      <c r="G3573" s="470" t="s">
        <v>21869</v>
      </c>
      <c r="H3573" s="471" t="s">
        <v>15515</v>
      </c>
      <c r="I3573" s="472">
        <f>(((5.28+0.4)*2)*1.28+((3+0.4)*3.32)+((3+0.4)*1.86))</f>
        <v>32.152799999999999</v>
      </c>
      <c r="J3573" s="473">
        <f t="shared" si="1797"/>
        <v>162.27994999999999</v>
      </c>
      <c r="K3573" s="474">
        <f t="shared" si="1803"/>
        <v>5217.7547763599996</v>
      </c>
      <c r="L3573" s="475">
        <f t="shared" si="1802"/>
        <v>159.36540000000002</v>
      </c>
      <c r="M3573" s="474">
        <f t="shared" si="1804"/>
        <v>5124.0438331200003</v>
      </c>
      <c r="O3573" s="434">
        <f t="shared" si="1800"/>
        <v>162.27994999999999</v>
      </c>
      <c r="P3573" s="435">
        <f t="shared" si="1801"/>
        <v>159.36540000000002</v>
      </c>
      <c r="R3573" s="633">
        <v>1.5</v>
      </c>
      <c r="S3573" s="633">
        <v>4</v>
      </c>
      <c r="T3573" s="633">
        <v>3.52</v>
      </c>
      <c r="U3573" s="634">
        <f>S3573-T3573-0.185</f>
        <v>0.29999999999999999</v>
      </c>
      <c r="AE3573" s="217"/>
      <c r="AF3573" s="217">
        <v>1427</v>
      </c>
      <c r="AH3573">
        <f t="shared" si="1791"/>
        <v>1427</v>
      </c>
    </row>
    <row r="3574" ht="60" hidden="1">
      <c r="A3574" s="217"/>
      <c r="B3574" s="217">
        <v>1427</v>
      </c>
      <c r="C3574" s="217"/>
      <c r="D3574" s="217" t="s">
        <v>20398</v>
      </c>
      <c r="E3574" s="471" t="s">
        <v>20409</v>
      </c>
      <c r="F3574" s="569">
        <v>1258</v>
      </c>
      <c r="G3574" s="488" t="s">
        <v>20660</v>
      </c>
      <c r="H3574" s="472" t="s">
        <v>15515</v>
      </c>
      <c r="I3574" s="472">
        <f>(3+1)*(5.28+1)</f>
        <v>25.120000000000001</v>
      </c>
      <c r="J3574" s="473">
        <f t="shared" si="1797"/>
        <v>7.5700000000000003</v>
      </c>
      <c r="K3574" s="474">
        <f t="shared" si="1803"/>
        <v>190.15840000000003</v>
      </c>
      <c r="L3574" s="475">
        <f t="shared" si="1802"/>
        <v>7.1846199999999998</v>
      </c>
      <c r="M3574" s="474">
        <f t="shared" si="1804"/>
        <v>180.47765440000001</v>
      </c>
      <c r="O3574" s="434">
        <f t="shared" si="1800"/>
        <v>7.5700000000000003</v>
      </c>
      <c r="P3574" s="435">
        <f t="shared" si="1801"/>
        <v>7.1846199999999998</v>
      </c>
      <c r="AE3574" s="217"/>
      <c r="AF3574" s="217">
        <v>1427</v>
      </c>
      <c r="AH3574">
        <f t="shared" si="1791"/>
        <v>1427</v>
      </c>
    </row>
    <row r="3575" ht="120" hidden="1">
      <c r="A3575" s="217"/>
      <c r="B3575" s="217">
        <v>1427</v>
      </c>
      <c r="C3575" s="217"/>
      <c r="D3575" s="217" t="s">
        <v>17167</v>
      </c>
      <c r="E3575" s="471" t="s">
        <v>20663</v>
      </c>
      <c r="F3575" s="489">
        <v>90108</v>
      </c>
      <c r="G3575" s="470" t="s">
        <v>20907</v>
      </c>
      <c r="H3575" s="472" t="s">
        <v>15528</v>
      </c>
      <c r="I3575" s="472">
        <f>((3+1)*(5.28+1))*(S3573+0.18+0.15+0.05)</f>
        <v>110.0256</v>
      </c>
      <c r="J3575" s="473">
        <f t="shared" si="1797"/>
        <v>7.8099999999999996</v>
      </c>
      <c r="K3575" s="474">
        <f t="shared" si="1803"/>
        <v>859.29993599999989</v>
      </c>
      <c r="L3575" s="475">
        <f t="shared" si="1802"/>
        <v>7.6100000000000003</v>
      </c>
      <c r="M3575" s="474">
        <f t="shared" si="1804"/>
        <v>837.29481599999997</v>
      </c>
      <c r="O3575" s="434">
        <f t="shared" si="1800"/>
        <v>7.8099999999999996</v>
      </c>
      <c r="P3575" s="435">
        <f t="shared" si="1801"/>
        <v>7.6100000000000003</v>
      </c>
      <c r="AE3575" s="217"/>
      <c r="AF3575" s="217">
        <v>1427</v>
      </c>
      <c r="AH3575">
        <f t="shared" si="1791"/>
        <v>1427</v>
      </c>
    </row>
    <row r="3576" ht="105" hidden="1">
      <c r="A3576" s="217"/>
      <c r="B3576" s="217">
        <v>1427</v>
      </c>
      <c r="C3576" s="217"/>
      <c r="D3576" s="217" t="s">
        <v>17167</v>
      </c>
      <c r="E3576" s="471" t="s">
        <v>20665</v>
      </c>
      <c r="F3576" s="489">
        <v>5928</v>
      </c>
      <c r="G3576" s="470" t="s">
        <v>1739</v>
      </c>
      <c r="H3576" s="472" t="s">
        <v>1535</v>
      </c>
      <c r="I3576" s="472">
        <v>0.10000000000000001</v>
      </c>
      <c r="J3576" s="473">
        <f t="shared" si="1797"/>
        <v>298.70999999999998</v>
      </c>
      <c r="K3576" s="474">
        <f t="shared" si="1803"/>
        <v>29.870999999999999</v>
      </c>
      <c r="L3576" s="475">
        <f t="shared" si="1802"/>
        <v>296.98000000000002</v>
      </c>
      <c r="M3576" s="474">
        <f t="shared" si="1804"/>
        <v>29.698000000000004</v>
      </c>
      <c r="O3576" s="434">
        <f t="shared" si="1800"/>
        <v>298.70999999999998</v>
      </c>
      <c r="P3576" s="435">
        <f t="shared" si="1801"/>
        <v>296.98000000000002</v>
      </c>
      <c r="AE3576" s="217"/>
      <c r="AF3576" s="217">
        <v>1427</v>
      </c>
      <c r="AH3576">
        <f t="shared" si="1791"/>
        <v>1427</v>
      </c>
    </row>
    <row r="3577" ht="45" hidden="1">
      <c r="A3577" s="217"/>
      <c r="B3577" s="217">
        <v>1427</v>
      </c>
      <c r="C3577" s="217"/>
      <c r="D3577" s="217" t="s">
        <v>20398</v>
      </c>
      <c r="E3577" s="471" t="s">
        <v>20667</v>
      </c>
      <c r="F3577" s="489">
        <v>1000</v>
      </c>
      <c r="G3577" s="488" t="s">
        <v>20651</v>
      </c>
      <c r="H3577" s="472" t="s">
        <v>15528</v>
      </c>
      <c r="I3577" s="472">
        <f>I3585</f>
        <v>10.3848</v>
      </c>
      <c r="J3577" s="473">
        <f t="shared" si="1797"/>
        <v>149.904</v>
      </c>
      <c r="K3577" s="474">
        <f t="shared" si="1803"/>
        <v>1556.7230592000001</v>
      </c>
      <c r="L3577" s="475">
        <f t="shared" si="1802"/>
        <v>141.76949999999999</v>
      </c>
      <c r="M3577" s="474">
        <f t="shared" si="1804"/>
        <v>1472.2479036</v>
      </c>
      <c r="O3577" s="434">
        <f t="shared" si="1800"/>
        <v>149.904</v>
      </c>
      <c r="P3577" s="435">
        <f t="shared" si="1801"/>
        <v>141.76949999999999</v>
      </c>
      <c r="AE3577" s="217"/>
      <c r="AF3577" s="217">
        <v>1427</v>
      </c>
      <c r="AH3577">
        <f t="shared" si="1791"/>
        <v>1427</v>
      </c>
    </row>
    <row r="3578" ht="60" hidden="1">
      <c r="A3578" s="217"/>
      <c r="B3578" s="217">
        <v>1427</v>
      </c>
      <c r="C3578" s="217"/>
      <c r="D3578" s="217" t="s">
        <v>17167</v>
      </c>
      <c r="E3578" s="471" t="s">
        <v>20671</v>
      </c>
      <c r="F3578" s="489">
        <v>87313</v>
      </c>
      <c r="G3578" s="470" t="s">
        <v>20909</v>
      </c>
      <c r="H3578" s="472" t="s">
        <v>15528</v>
      </c>
      <c r="I3578" s="472">
        <f>(3*2+5.28*2)*(3.32)*0.02</f>
        <v>1.0995839999999999</v>
      </c>
      <c r="J3578" s="473">
        <f t="shared" si="1797"/>
        <v>549.88</v>
      </c>
      <c r="K3578" s="474">
        <f t="shared" si="1803"/>
        <v>604.63924991999988</v>
      </c>
      <c r="L3578" s="475">
        <f t="shared" si="1802"/>
        <v>542.65999999999997</v>
      </c>
      <c r="M3578" s="474">
        <f t="shared" si="1804"/>
        <v>596.70025343999987</v>
      </c>
      <c r="O3578" s="434">
        <f t="shared" si="1800"/>
        <v>549.88</v>
      </c>
      <c r="P3578" s="435">
        <f t="shared" si="1801"/>
        <v>542.65999999999997</v>
      </c>
      <c r="AE3578" s="217"/>
      <c r="AF3578" s="217">
        <v>1427</v>
      </c>
      <c r="AH3578">
        <f t="shared" si="1791"/>
        <v>1427</v>
      </c>
    </row>
    <row r="3579" ht="75" hidden="1">
      <c r="A3579" s="217"/>
      <c r="B3579" s="217">
        <v>1427</v>
      </c>
      <c r="C3579" s="217"/>
      <c r="D3579" s="217" t="s">
        <v>17167</v>
      </c>
      <c r="E3579" s="471" t="s">
        <v>20672</v>
      </c>
      <c r="F3579" s="489">
        <v>87878</v>
      </c>
      <c r="G3579" s="470" t="s">
        <v>20910</v>
      </c>
      <c r="H3579" s="471" t="s">
        <v>15515</v>
      </c>
      <c r="I3579" s="472">
        <f>(3*2+5.28*2)*(3.32)</f>
        <v>54.979199999999999</v>
      </c>
      <c r="J3579" s="473">
        <f t="shared" si="1797"/>
        <v>5.0099999999999998</v>
      </c>
      <c r="K3579" s="474">
        <f t="shared" si="1803"/>
        <v>275.44579199999998</v>
      </c>
      <c r="L3579" s="475">
        <f t="shared" si="1802"/>
        <v>4.7999999999999998</v>
      </c>
      <c r="M3579" s="474">
        <f t="shared" si="1804"/>
        <v>263.90015999999997</v>
      </c>
      <c r="O3579" s="434">
        <f t="shared" si="1800"/>
        <v>5.0099999999999998</v>
      </c>
      <c r="P3579" s="435">
        <f t="shared" si="1801"/>
        <v>4.7999999999999998</v>
      </c>
      <c r="AE3579" s="217"/>
      <c r="AF3579" s="217">
        <v>1427</v>
      </c>
      <c r="AH3579">
        <f t="shared" si="1791"/>
        <v>1427</v>
      </c>
    </row>
    <row r="3580" ht="45" hidden="1">
      <c r="A3580" s="217"/>
      <c r="B3580" s="217">
        <v>1427</v>
      </c>
      <c r="C3580" s="217"/>
      <c r="D3580" s="217" t="s">
        <v>17167</v>
      </c>
      <c r="E3580" s="471" t="s">
        <v>20673</v>
      </c>
      <c r="F3580" s="489">
        <v>96543</v>
      </c>
      <c r="G3580" s="470" t="s">
        <v>20676</v>
      </c>
      <c r="H3580" s="471" t="s">
        <v>302</v>
      </c>
      <c r="I3580" s="472">
        <v>44.909999999999997</v>
      </c>
      <c r="J3580" s="473">
        <f t="shared" si="1797"/>
        <v>19.829999999999998</v>
      </c>
      <c r="K3580" s="474">
        <f t="shared" si="1803"/>
        <v>890.56529999999987</v>
      </c>
      <c r="L3580" s="475">
        <f t="shared" si="1802"/>
        <v>19.210000000000001</v>
      </c>
      <c r="M3580" s="474">
        <f t="shared" si="1804"/>
        <v>862.72109999999998</v>
      </c>
      <c r="O3580" s="434">
        <f t="shared" si="1800"/>
        <v>19.829999999999998</v>
      </c>
      <c r="P3580" s="435">
        <f t="shared" si="1801"/>
        <v>19.210000000000001</v>
      </c>
      <c r="AE3580" s="217"/>
      <c r="AF3580" s="217">
        <v>1427</v>
      </c>
      <c r="AH3580">
        <f t="shared" si="1791"/>
        <v>1427</v>
      </c>
    </row>
    <row r="3581" ht="45" hidden="1">
      <c r="A3581" s="217"/>
      <c r="B3581" s="217">
        <v>1427</v>
      </c>
      <c r="C3581" s="217"/>
      <c r="D3581" s="217" t="s">
        <v>17167</v>
      </c>
      <c r="E3581" s="471" t="s">
        <v>20675</v>
      </c>
      <c r="F3581" s="489">
        <v>96544</v>
      </c>
      <c r="G3581" s="470" t="s">
        <v>20763</v>
      </c>
      <c r="H3581" s="471" t="s">
        <v>302</v>
      </c>
      <c r="I3581" s="472">
        <f>15.02+110.13</f>
        <v>125.15000000000001</v>
      </c>
      <c r="J3581" s="473">
        <f t="shared" si="1797"/>
        <v>17.699999999999999</v>
      </c>
      <c r="K3581" s="474">
        <f t="shared" si="1803"/>
        <v>2215.1550000000002</v>
      </c>
      <c r="L3581" s="475">
        <f t="shared" si="1802"/>
        <v>17.23</v>
      </c>
      <c r="M3581" s="474">
        <f t="shared" si="1804"/>
        <v>2156.3344999999999</v>
      </c>
      <c r="O3581" s="434">
        <f t="shared" si="1800"/>
        <v>17.699999999999999</v>
      </c>
      <c r="P3581" s="435">
        <f t="shared" si="1801"/>
        <v>17.23</v>
      </c>
      <c r="AE3581" s="217"/>
      <c r="AF3581" s="217">
        <v>1427</v>
      </c>
      <c r="AH3581">
        <f t="shared" si="1791"/>
        <v>1427</v>
      </c>
    </row>
    <row r="3582" ht="45" hidden="1">
      <c r="A3582" s="217"/>
      <c r="B3582" s="217">
        <v>1427</v>
      </c>
      <c r="C3582" s="217"/>
      <c r="D3582" s="217" t="s">
        <v>17167</v>
      </c>
      <c r="E3582" s="471" t="s">
        <v>20677</v>
      </c>
      <c r="F3582" s="486">
        <v>96546</v>
      </c>
      <c r="G3582" s="635" t="s">
        <v>22350</v>
      </c>
      <c r="H3582" s="471" t="s">
        <v>302</v>
      </c>
      <c r="I3582" s="472">
        <f>177.56</f>
        <v>177.56</v>
      </c>
      <c r="J3582" s="473">
        <f t="shared" si="1797"/>
        <v>13.77</v>
      </c>
      <c r="K3582" s="474">
        <f t="shared" si="1803"/>
        <v>2445.0012000000002</v>
      </c>
      <c r="L3582" s="475">
        <f t="shared" si="1802"/>
        <v>13.51</v>
      </c>
      <c r="M3582" s="474">
        <f t="shared" si="1804"/>
        <v>2398.8355999999999</v>
      </c>
      <c r="O3582" s="434">
        <f t="shared" si="1800"/>
        <v>13.77</v>
      </c>
      <c r="P3582" s="435">
        <f t="shared" si="1801"/>
        <v>13.51</v>
      </c>
      <c r="AE3582" s="217"/>
      <c r="AF3582" s="217">
        <v>1427</v>
      </c>
      <c r="AH3582">
        <f t="shared" si="1791"/>
        <v>1427</v>
      </c>
    </row>
    <row r="3583" ht="45" hidden="1">
      <c r="A3583" s="217"/>
      <c r="B3583" s="217">
        <v>1427</v>
      </c>
      <c r="C3583" s="217"/>
      <c r="D3583" s="217" t="s">
        <v>17167</v>
      </c>
      <c r="E3583" s="471" t="s">
        <v>20679</v>
      </c>
      <c r="F3583" s="482">
        <v>96546</v>
      </c>
      <c r="G3583" s="470" t="s">
        <v>22347</v>
      </c>
      <c r="H3583" s="471" t="s">
        <v>302</v>
      </c>
      <c r="I3583" s="472">
        <v>95.879999999999995</v>
      </c>
      <c r="J3583" s="473">
        <f t="shared" si="1797"/>
        <v>13.77</v>
      </c>
      <c r="K3583" s="474">
        <f t="shared" si="1803"/>
        <v>1320.2675999999999</v>
      </c>
      <c r="L3583" s="475">
        <f t="shared" si="1802"/>
        <v>13.51</v>
      </c>
      <c r="M3583" s="474">
        <f t="shared" si="1804"/>
        <v>1295.3388</v>
      </c>
      <c r="O3583" s="434">
        <f t="shared" si="1800"/>
        <v>13.77</v>
      </c>
      <c r="P3583" s="435">
        <f t="shared" si="1801"/>
        <v>13.51</v>
      </c>
      <c r="AE3583" s="217"/>
      <c r="AF3583" s="217">
        <v>1427</v>
      </c>
      <c r="AH3583">
        <f t="shared" si="1791"/>
        <v>1427</v>
      </c>
    </row>
    <row r="3584" ht="45" hidden="1">
      <c r="A3584" s="217"/>
      <c r="B3584" s="217">
        <v>1427</v>
      </c>
      <c r="C3584" s="217"/>
      <c r="D3584" s="217" t="s">
        <v>17167</v>
      </c>
      <c r="E3584" s="471" t="s">
        <v>20681</v>
      </c>
      <c r="F3584" s="489">
        <v>93382</v>
      </c>
      <c r="G3584" s="470" t="s">
        <v>20722</v>
      </c>
      <c r="H3584" s="471" t="s">
        <v>15528</v>
      </c>
      <c r="I3584" s="472">
        <f>I3575-((3+1)*(5.28+1)*0.05)-((3+0.8)*(5.28+0.8)*0.15)-((3+0.4)*(5.28+0.4)*(0.18+T3573+0.2))-(3*(PI()*((R3573*1.2)^2)/4)*0.3)-((PI()*(1^2)/4)*U3573)-(1*1*0.185)</f>
        <v>27.276359500000002</v>
      </c>
      <c r="J3584" s="473">
        <f t="shared" si="1797"/>
        <v>27.52</v>
      </c>
      <c r="K3584" s="474">
        <f t="shared" si="1803"/>
        <v>750.64541344000008</v>
      </c>
      <c r="L3584" s="475">
        <f t="shared" si="1802"/>
        <v>26.190000000000001</v>
      </c>
      <c r="M3584" s="474">
        <f t="shared" si="1804"/>
        <v>714.36785530500003</v>
      </c>
      <c r="O3584" s="434">
        <f t="shared" si="1800"/>
        <v>27.52</v>
      </c>
      <c r="P3584" s="435">
        <f t="shared" si="1801"/>
        <v>26.190000000000001</v>
      </c>
      <c r="AE3584" s="217"/>
      <c r="AF3584" s="217">
        <v>1427</v>
      </c>
      <c r="AH3584">
        <f t="shared" si="1791"/>
        <v>1427</v>
      </c>
    </row>
    <row r="3585" ht="60" hidden="1">
      <c r="A3585" s="217"/>
      <c r="B3585" s="217">
        <v>1427</v>
      </c>
      <c r="C3585" s="217"/>
      <c r="D3585" s="217" t="s">
        <v>17167</v>
      </c>
      <c r="E3585" s="471" t="s">
        <v>20683</v>
      </c>
      <c r="F3585" s="489">
        <v>94964</v>
      </c>
      <c r="G3585" s="470" t="s">
        <v>20686</v>
      </c>
      <c r="H3585" s="471" t="s">
        <v>15528</v>
      </c>
      <c r="I3585" s="472">
        <f>((((5.28*2)+(3*2))*0.4*0.2)+(((5.28*2)+(3))*0.3*0.2)+(4*0.2*0.2*3.85))+((3+1)*(5.28+1)*0.15)+((3+0.4)*(5.28+0.4)*0.2)</f>
        <v>10.3848</v>
      </c>
      <c r="J3585" s="473">
        <f t="shared" si="1797"/>
        <v>488.52999999999997</v>
      </c>
      <c r="K3585" s="474">
        <f t="shared" si="1803"/>
        <v>5073.2863440000001</v>
      </c>
      <c r="L3585" s="475">
        <f t="shared" si="1802"/>
        <v>482.79000000000002</v>
      </c>
      <c r="M3585" s="474">
        <f t="shared" si="1804"/>
        <v>5013.677592</v>
      </c>
      <c r="O3585" s="434">
        <f t="shared" si="1800"/>
        <v>488.52999999999997</v>
      </c>
      <c r="P3585" s="435">
        <f t="shared" si="1801"/>
        <v>482.79000000000002</v>
      </c>
      <c r="AE3585" s="217"/>
      <c r="AF3585" s="217">
        <v>1427</v>
      </c>
      <c r="AH3585">
        <f t="shared" si="1791"/>
        <v>1427</v>
      </c>
    </row>
    <row r="3586" ht="60" hidden="1">
      <c r="A3586" s="217"/>
      <c r="B3586" s="217">
        <v>1427</v>
      </c>
      <c r="C3586" s="217"/>
      <c r="D3586" s="217" t="s">
        <v>17167</v>
      </c>
      <c r="E3586" s="471" t="s">
        <v>20685</v>
      </c>
      <c r="F3586" s="489">
        <v>96533</v>
      </c>
      <c r="G3586" s="470" t="s">
        <v>20912</v>
      </c>
      <c r="H3586" s="471" t="s">
        <v>15515</v>
      </c>
      <c r="I3586" s="472">
        <f>((5.28*2*2*0.4)+(3*2*2*0.4)+(5.28*2*0.2)+(3*2*0.2))+((5.28*2*2*0.3)+(3*2*0.3)+(5.28*2*0.2)+(3*0.2))+4*((0.2*0.2)+(3.85*0.2*4))</f>
        <v>39.887999999999998</v>
      </c>
      <c r="J3586" s="473">
        <f t="shared" si="1797"/>
        <v>85.980000000000004</v>
      </c>
      <c r="K3586" s="474">
        <f t="shared" si="1803"/>
        <v>3429.57024</v>
      </c>
      <c r="L3586" s="475">
        <f t="shared" si="1802"/>
        <v>83.200000000000003</v>
      </c>
      <c r="M3586" s="474">
        <f t="shared" si="1804"/>
        <v>3318.6815999999999</v>
      </c>
      <c r="O3586" s="434">
        <f t="shared" si="1800"/>
        <v>85.980000000000004</v>
      </c>
      <c r="P3586" s="435">
        <f t="shared" si="1801"/>
        <v>83.200000000000003</v>
      </c>
      <c r="AE3586" s="217"/>
      <c r="AF3586" s="217">
        <v>1427</v>
      </c>
      <c r="AH3586">
        <f t="shared" si="1791"/>
        <v>1427</v>
      </c>
    </row>
    <row r="3587" ht="60" hidden="1">
      <c r="A3587" s="217"/>
      <c r="B3587" s="217">
        <v>1427</v>
      </c>
      <c r="C3587" s="217"/>
      <c r="D3587" s="217" t="s">
        <v>17167</v>
      </c>
      <c r="E3587" s="471" t="s">
        <v>20687</v>
      </c>
      <c r="F3587" s="489">
        <v>97093</v>
      </c>
      <c r="G3587" s="470" t="s">
        <v>8818</v>
      </c>
      <c r="H3587" s="471" t="s">
        <v>302</v>
      </c>
      <c r="I3587" s="472">
        <v>207.02000000000001</v>
      </c>
      <c r="J3587" s="473">
        <f t="shared" si="1797"/>
        <v>12.140000000000001</v>
      </c>
      <c r="K3587" s="474">
        <f t="shared" si="1803"/>
        <v>2513.2228000000005</v>
      </c>
      <c r="L3587" s="475">
        <f t="shared" si="1802"/>
        <v>12.109999999999999</v>
      </c>
      <c r="M3587" s="474">
        <f t="shared" si="1804"/>
        <v>2507.0122000000001</v>
      </c>
      <c r="O3587" s="434">
        <f t="shared" si="1800"/>
        <v>12.140000000000001</v>
      </c>
      <c r="P3587" s="435">
        <f t="shared" si="1801"/>
        <v>12.109999999999999</v>
      </c>
      <c r="AE3587" s="217"/>
      <c r="AF3587" s="217">
        <v>1427</v>
      </c>
      <c r="AH3587">
        <f t="shared" si="1791"/>
        <v>1427</v>
      </c>
    </row>
    <row r="3588" ht="31.5" hidden="1">
      <c r="A3588" s="460">
        <v>1428</v>
      </c>
      <c r="B3588" s="460">
        <v>1428</v>
      </c>
      <c r="C3588" s="460"/>
      <c r="D3588" s="460"/>
      <c r="E3588" s="461">
        <v>1</v>
      </c>
      <c r="F3588" s="462" t="s">
        <v>22351</v>
      </c>
      <c r="G3588" s="477" t="s">
        <v>22352</v>
      </c>
      <c r="H3588" s="478" t="s">
        <v>15528</v>
      </c>
      <c r="I3588" s="479"/>
      <c r="J3588" s="480"/>
      <c r="K3588" s="466">
        <f>SUM(K3589:K3596)</f>
        <v>531.19582285000001</v>
      </c>
      <c r="L3588" s="480"/>
      <c r="M3588" s="466">
        <f>SUM(M3589:M3596)</f>
        <v>521.45532285000002</v>
      </c>
      <c r="N3588" s="467" t="s">
        <v>21256</v>
      </c>
      <c r="O3588" s="434" t="str">
        <f t="shared" si="1800"/>
        <v xml:space="preserve">SEM VALOR</v>
      </c>
      <c r="P3588" s="435" t="str">
        <f t="shared" si="1801"/>
        <v xml:space="preserve">SEM VALOR</v>
      </c>
      <c r="AE3588" s="460">
        <v>1428</v>
      </c>
      <c r="AF3588" s="460"/>
      <c r="AH3588">
        <f t="shared" si="1791"/>
        <v>1428</v>
      </c>
    </row>
    <row r="3589" ht="60" hidden="1">
      <c r="A3589" s="217"/>
      <c r="B3589" s="217">
        <v>1428</v>
      </c>
      <c r="C3589" s="217"/>
      <c r="D3589" s="217" t="s">
        <v>17167</v>
      </c>
      <c r="E3589" s="471" t="s">
        <v>20399</v>
      </c>
      <c r="F3589" s="482">
        <v>90586</v>
      </c>
      <c r="G3589" s="470" t="s">
        <v>1957</v>
      </c>
      <c r="H3589" s="471" t="s">
        <v>1535</v>
      </c>
      <c r="I3589" s="509">
        <v>0.2198</v>
      </c>
      <c r="J3589" s="473">
        <f t="shared" si="1797"/>
        <v>1.53</v>
      </c>
      <c r="K3589" s="474">
        <f t="shared" ref="K3589:K3596" si="1805">I3589*J3589</f>
        <v>0.33629399999999998</v>
      </c>
      <c r="L3589" s="475">
        <f t="shared" si="1802"/>
        <v>1.53</v>
      </c>
      <c r="M3589" s="474">
        <f t="shared" ref="M3589:M3596" si="1806">L3589*I3589</f>
        <v>0.33629399999999998</v>
      </c>
      <c r="O3589" s="434">
        <f t="shared" si="1800"/>
        <v>1.53</v>
      </c>
      <c r="P3589" s="435">
        <f t="shared" si="1801"/>
        <v>1.53</v>
      </c>
      <c r="AE3589" s="217"/>
      <c r="AF3589" s="217">
        <v>1428</v>
      </c>
      <c r="AH3589">
        <f t="shared" si="1791"/>
        <v>1428</v>
      </c>
    </row>
    <row r="3590" ht="60" hidden="1">
      <c r="A3590" s="217"/>
      <c r="B3590" s="217">
        <v>1428</v>
      </c>
      <c r="C3590" s="217"/>
      <c r="D3590" s="217" t="s">
        <v>17167</v>
      </c>
      <c r="E3590" s="471" t="s">
        <v>20402</v>
      </c>
      <c r="F3590" s="482">
        <v>90587</v>
      </c>
      <c r="G3590" s="470" t="s">
        <v>1956</v>
      </c>
      <c r="H3590" s="471" t="s">
        <v>1533</v>
      </c>
      <c r="I3590" s="509">
        <v>0.63770000000000004</v>
      </c>
      <c r="J3590" s="473">
        <f t="shared" si="1797"/>
        <v>0.57999999999999996</v>
      </c>
      <c r="K3590" s="474">
        <f t="shared" si="1805"/>
        <v>0.36986600000000003</v>
      </c>
      <c r="L3590" s="475">
        <f t="shared" si="1802"/>
        <v>0.57999999999999996</v>
      </c>
      <c r="M3590" s="474">
        <f t="shared" si="1806"/>
        <v>0.36986600000000003</v>
      </c>
      <c r="O3590" s="434">
        <f t="shared" si="1800"/>
        <v>0.57999999999999996</v>
      </c>
      <c r="P3590" s="435">
        <f t="shared" si="1801"/>
        <v>0.57999999999999996</v>
      </c>
      <c r="AE3590" s="217"/>
      <c r="AF3590" s="217">
        <v>1428</v>
      </c>
      <c r="AH3590">
        <f t="shared" si="1791"/>
        <v>1428</v>
      </c>
    </row>
    <row r="3591" ht="47.25" hidden="1">
      <c r="A3591" s="460"/>
      <c r="B3591" s="217">
        <v>1428</v>
      </c>
      <c r="C3591" s="217"/>
      <c r="D3591" s="217"/>
      <c r="E3591" s="471"/>
      <c r="F3591" s="482"/>
      <c r="G3591" s="636" t="s">
        <v>22353</v>
      </c>
      <c r="H3591" s="595" t="s">
        <v>15528</v>
      </c>
      <c r="I3591" s="637">
        <v>0.80500000000000005</v>
      </c>
      <c r="J3591" s="473"/>
      <c r="K3591" s="474"/>
      <c r="L3591" s="481"/>
      <c r="M3591" s="508"/>
      <c r="O3591" s="434" t="str">
        <f t="shared" si="1800"/>
        <v xml:space="preserve">SEM VALOR</v>
      </c>
      <c r="P3591" s="435" t="str">
        <f t="shared" si="1801"/>
        <v xml:space="preserve">SEM VALOR</v>
      </c>
      <c r="AE3591" s="460"/>
      <c r="AF3591" s="460"/>
      <c r="AH3591">
        <f t="shared" ref="AH3591:AH3654" si="1807">IF(AF3591:AF3592=FALSE,AE3591,AF3591)</f>
        <v>0</v>
      </c>
    </row>
    <row r="3592" ht="30" hidden="1">
      <c r="A3592" s="217"/>
      <c r="B3592" s="217">
        <v>1428</v>
      </c>
      <c r="C3592" s="217"/>
      <c r="D3592" s="217" t="s">
        <v>20408</v>
      </c>
      <c r="E3592" s="471" t="s">
        <v>20409</v>
      </c>
      <c r="F3592" s="482">
        <v>1379</v>
      </c>
      <c r="G3592" s="488" t="s">
        <v>11588</v>
      </c>
      <c r="H3592" s="471" t="s">
        <v>302</v>
      </c>
      <c r="I3592" s="509">
        <f>357*I3591</f>
        <v>287.38499999999999</v>
      </c>
      <c r="J3592" s="473">
        <f t="shared" si="1797"/>
        <v>0.82999999999999996</v>
      </c>
      <c r="K3592" s="474">
        <f t="shared" si="1805"/>
        <v>238.52954999999997</v>
      </c>
      <c r="L3592" s="475">
        <f t="shared" si="1802"/>
        <v>0.82999999999999996</v>
      </c>
      <c r="M3592" s="474">
        <f t="shared" si="1806"/>
        <v>238.52954999999997</v>
      </c>
      <c r="O3592" s="434">
        <f t="shared" si="1800"/>
        <v>0.82999999999999996</v>
      </c>
      <c r="P3592" s="435">
        <f t="shared" si="1801"/>
        <v>0.82999999999999996</v>
      </c>
      <c r="AE3592" s="217"/>
      <c r="AF3592" s="217">
        <v>1428</v>
      </c>
      <c r="AH3592">
        <f t="shared" si="1807"/>
        <v>1428</v>
      </c>
    </row>
    <row r="3593" ht="45" hidden="1">
      <c r="A3593" s="217"/>
      <c r="B3593" s="217">
        <v>1428</v>
      </c>
      <c r="C3593" s="217"/>
      <c r="D3593" s="217" t="s">
        <v>20408</v>
      </c>
      <c r="E3593" s="471" t="s">
        <v>20663</v>
      </c>
      <c r="F3593" s="489">
        <v>370</v>
      </c>
      <c r="G3593" s="470" t="s">
        <v>10767</v>
      </c>
      <c r="H3593" s="471" t="s">
        <v>15528</v>
      </c>
      <c r="I3593" s="509">
        <f>0.6122*I3591</f>
        <v>0.49282100000000001</v>
      </c>
      <c r="J3593" s="473">
        <f t="shared" si="1797"/>
        <v>76</v>
      </c>
      <c r="K3593" s="474">
        <f t="shared" si="1805"/>
        <v>37.454396000000003</v>
      </c>
      <c r="L3593" s="475">
        <f t="shared" si="1802"/>
        <v>76</v>
      </c>
      <c r="M3593" s="474">
        <f t="shared" si="1806"/>
        <v>37.454396000000003</v>
      </c>
      <c r="O3593" s="434">
        <f t="shared" si="1800"/>
        <v>76</v>
      </c>
      <c r="P3593" s="435">
        <f t="shared" si="1801"/>
        <v>76</v>
      </c>
      <c r="AE3593" s="217"/>
      <c r="AF3593" s="217">
        <v>1428</v>
      </c>
      <c r="AH3593">
        <f t="shared" si="1807"/>
        <v>1428</v>
      </c>
    </row>
    <row r="3594" ht="45" hidden="1">
      <c r="A3594" s="217"/>
      <c r="B3594" s="217">
        <v>1428</v>
      </c>
      <c r="C3594" s="217"/>
      <c r="D3594" s="217" t="s">
        <v>20408</v>
      </c>
      <c r="E3594" s="471" t="s">
        <v>20665</v>
      </c>
      <c r="F3594" s="489">
        <v>4721</v>
      </c>
      <c r="G3594" s="470" t="s">
        <v>21669</v>
      </c>
      <c r="H3594" s="471" t="s">
        <v>15528</v>
      </c>
      <c r="I3594" s="509">
        <f>0.263*I3591</f>
        <v>0.21171499999999999</v>
      </c>
      <c r="J3594" s="473">
        <f t="shared" si="1797"/>
        <v>100.48999999999999</v>
      </c>
      <c r="K3594" s="474">
        <f t="shared" si="1805"/>
        <v>21.275240349999997</v>
      </c>
      <c r="L3594" s="475">
        <f t="shared" si="1802"/>
        <v>100.48999999999999</v>
      </c>
      <c r="M3594" s="474">
        <f t="shared" si="1806"/>
        <v>21.275240349999997</v>
      </c>
      <c r="O3594" s="434">
        <f t="shared" si="1800"/>
        <v>100.48999999999999</v>
      </c>
      <c r="P3594" s="435">
        <f t="shared" si="1801"/>
        <v>100.48999999999999</v>
      </c>
      <c r="AE3594" s="217"/>
      <c r="AF3594" s="217">
        <v>1428</v>
      </c>
      <c r="AH3594">
        <f t="shared" si="1807"/>
        <v>1428</v>
      </c>
    </row>
    <row r="3595" ht="45" hidden="1">
      <c r="A3595" s="217"/>
      <c r="B3595" s="217">
        <v>1428</v>
      </c>
      <c r="C3595" s="217"/>
      <c r="D3595" s="217" t="s">
        <v>20408</v>
      </c>
      <c r="E3595" s="471" t="s">
        <v>20667</v>
      </c>
      <c r="F3595" s="489">
        <v>4718</v>
      </c>
      <c r="G3595" s="470" t="s">
        <v>13720</v>
      </c>
      <c r="H3595" s="471" t="s">
        <v>15528</v>
      </c>
      <c r="I3595" s="509">
        <f>0.615*I3591</f>
        <v>0.49507499999999999</v>
      </c>
      <c r="J3595" s="473">
        <f t="shared" si="1797"/>
        <v>101.02</v>
      </c>
      <c r="K3595" s="474">
        <f t="shared" si="1805"/>
        <v>50.012476499999998</v>
      </c>
      <c r="L3595" s="475">
        <f t="shared" si="1802"/>
        <v>101.02</v>
      </c>
      <c r="M3595" s="474">
        <f t="shared" si="1806"/>
        <v>50.012476499999998</v>
      </c>
      <c r="O3595" s="434">
        <f t="shared" si="1800"/>
        <v>101.02</v>
      </c>
      <c r="P3595" s="435">
        <f t="shared" si="1801"/>
        <v>101.02</v>
      </c>
      <c r="AE3595" s="217"/>
      <c r="AF3595" s="217">
        <v>1428</v>
      </c>
      <c r="AH3595">
        <f t="shared" si="1807"/>
        <v>1428</v>
      </c>
    </row>
    <row r="3596" ht="30" hidden="1">
      <c r="A3596" s="217"/>
      <c r="B3596" s="217">
        <v>1428</v>
      </c>
      <c r="C3596" s="217"/>
      <c r="D3596" s="217" t="s">
        <v>17167</v>
      </c>
      <c r="E3596" s="471" t="s">
        <v>20671</v>
      </c>
      <c r="F3596" s="489">
        <v>88316</v>
      </c>
      <c r="G3596" s="470" t="s">
        <v>7393</v>
      </c>
      <c r="H3596" s="472" t="s">
        <v>2032</v>
      </c>
      <c r="I3596" s="509">
        <f>10*I3591</f>
        <v>8.0500000000000007</v>
      </c>
      <c r="J3596" s="473">
        <f t="shared" si="1797"/>
        <v>22.760000000000002</v>
      </c>
      <c r="K3596" s="474">
        <f t="shared" si="1805"/>
        <v>183.21800000000002</v>
      </c>
      <c r="L3596" s="475">
        <f t="shared" si="1802"/>
        <v>21.550000000000001</v>
      </c>
      <c r="M3596" s="474">
        <f t="shared" si="1806"/>
        <v>173.47750000000002</v>
      </c>
      <c r="O3596" s="434">
        <f t="shared" si="1800"/>
        <v>22.760000000000002</v>
      </c>
      <c r="P3596" s="435">
        <f t="shared" si="1801"/>
        <v>21.550000000000001</v>
      </c>
      <c r="AE3596" s="217"/>
      <c r="AF3596" s="217">
        <v>1428</v>
      </c>
      <c r="AH3596">
        <f t="shared" si="1807"/>
        <v>1428</v>
      </c>
    </row>
    <row r="3597" ht="96.75" hidden="1" customHeight="1">
      <c r="A3597" s="460">
        <v>1429</v>
      </c>
      <c r="B3597" s="460">
        <v>1429</v>
      </c>
      <c r="C3597" s="460"/>
      <c r="D3597" s="460"/>
      <c r="E3597" s="461">
        <v>1</v>
      </c>
      <c r="F3597" s="462" t="s">
        <v>22354</v>
      </c>
      <c r="G3597" s="463" t="s">
        <v>22355</v>
      </c>
      <c r="H3597" s="478" t="s">
        <v>31</v>
      </c>
      <c r="I3597" s="479"/>
      <c r="J3597" s="507"/>
      <c r="K3597" s="466">
        <f>SUM(K3598:K3608)</f>
        <v>685.93554284499999</v>
      </c>
      <c r="L3597" s="480"/>
      <c r="M3597" s="466">
        <f>SUM(M3598:M3608)</f>
        <v>684.36214330399991</v>
      </c>
      <c r="N3597" s="467" t="s">
        <v>22261</v>
      </c>
      <c r="O3597" s="434" t="str">
        <f t="shared" si="1800"/>
        <v xml:space="preserve">SEM VALOR</v>
      </c>
      <c r="P3597" s="435" t="str">
        <f t="shared" si="1801"/>
        <v xml:space="preserve">SEM VALOR</v>
      </c>
      <c r="AE3597" s="460">
        <v>1429</v>
      </c>
      <c r="AF3597" s="460"/>
      <c r="AH3597">
        <f t="shared" si="1807"/>
        <v>1429</v>
      </c>
    </row>
    <row r="3598" ht="105" hidden="1">
      <c r="A3598" s="217"/>
      <c r="B3598" s="217">
        <v>1429</v>
      </c>
      <c r="C3598" s="217"/>
      <c r="D3598" s="217" t="s">
        <v>17167</v>
      </c>
      <c r="E3598" s="471" t="s">
        <v>20399</v>
      </c>
      <c r="F3598" s="486">
        <v>73467</v>
      </c>
      <c r="G3598" s="470" t="s">
        <v>1601</v>
      </c>
      <c r="H3598" s="482" t="s">
        <v>1535</v>
      </c>
      <c r="I3598" s="578">
        <f>0.3/4.2</f>
        <v>7.1428599999999995e-002</v>
      </c>
      <c r="J3598" s="473">
        <f t="shared" si="1797"/>
        <v>270.61000000000001</v>
      </c>
      <c r="K3598" s="474">
        <f t="shared" ref="K3598:K3608" si="1808">I3598*J3598</f>
        <v>19.329293446000001</v>
      </c>
      <c r="L3598" s="473">
        <f t="shared" si="1802"/>
        <v>269.00999999999999</v>
      </c>
      <c r="M3598" s="474">
        <f t="shared" ref="M3598:M3608" si="1809">L3598*I3598</f>
        <v>19.215007685999996</v>
      </c>
      <c r="N3598" s="467" t="s">
        <v>21418</v>
      </c>
      <c r="O3598" s="434">
        <f t="shared" si="1800"/>
        <v>270.61000000000001</v>
      </c>
      <c r="P3598" s="435">
        <f t="shared" si="1801"/>
        <v>269.00999999999999</v>
      </c>
      <c r="AE3598" s="217"/>
      <c r="AF3598" s="217">
        <v>1429</v>
      </c>
      <c r="AH3598">
        <f t="shared" si="1807"/>
        <v>1429</v>
      </c>
    </row>
    <row r="3599" ht="105" hidden="1">
      <c r="A3599" s="217"/>
      <c r="B3599" s="217">
        <v>1429</v>
      </c>
      <c r="C3599" s="217"/>
      <c r="D3599" s="217" t="s">
        <v>17167</v>
      </c>
      <c r="E3599" s="471" t="s">
        <v>20402</v>
      </c>
      <c r="F3599" s="486">
        <v>91395</v>
      </c>
      <c r="G3599" s="470" t="s">
        <v>1600</v>
      </c>
      <c r="H3599" s="482" t="s">
        <v>1533</v>
      </c>
      <c r="I3599" s="578">
        <f>0.7/4.2</f>
        <v>0.1666667</v>
      </c>
      <c r="J3599" s="473">
        <f t="shared" si="1797"/>
        <v>58.25</v>
      </c>
      <c r="K3599" s="474">
        <f t="shared" si="1808"/>
        <v>9.7083352749999996</v>
      </c>
      <c r="L3599" s="473">
        <f t="shared" si="1802"/>
        <v>56.649999999999999</v>
      </c>
      <c r="M3599" s="474">
        <f t="shared" si="1809"/>
        <v>9.4416685549999997</v>
      </c>
      <c r="N3599" s="467"/>
      <c r="O3599" s="434">
        <f t="shared" si="1800"/>
        <v>58.25</v>
      </c>
      <c r="P3599" s="435">
        <f t="shared" si="1801"/>
        <v>56.649999999999999</v>
      </c>
      <c r="AE3599" s="217"/>
      <c r="AF3599" s="217">
        <v>1429</v>
      </c>
      <c r="AH3599">
        <f t="shared" si="1807"/>
        <v>1429</v>
      </c>
    </row>
    <row r="3600" ht="45" hidden="1">
      <c r="A3600" s="217"/>
      <c r="B3600" s="217">
        <v>1429</v>
      </c>
      <c r="C3600" s="217"/>
      <c r="D3600" s="217" t="s">
        <v>17167</v>
      </c>
      <c r="E3600" s="471" t="s">
        <v>20405</v>
      </c>
      <c r="F3600" s="486">
        <v>88277</v>
      </c>
      <c r="G3600" s="488" t="s">
        <v>7341</v>
      </c>
      <c r="H3600" s="482" t="s">
        <v>2032</v>
      </c>
      <c r="I3600" s="578">
        <f t="shared" ref="I3600:I3601" si="1810">1/4.2</f>
        <v>0.23809520000000001</v>
      </c>
      <c r="J3600" s="473">
        <f t="shared" si="1797"/>
        <v>28.359999999999999</v>
      </c>
      <c r="K3600" s="474">
        <f t="shared" si="1808"/>
        <v>6.7523798719999997</v>
      </c>
      <c r="L3600" s="473">
        <f t="shared" si="1802"/>
        <v>26.640000000000001</v>
      </c>
      <c r="M3600" s="474">
        <f t="shared" si="1809"/>
        <v>6.3428561280000002</v>
      </c>
      <c r="N3600" s="629"/>
      <c r="O3600" s="434">
        <f t="shared" si="1800"/>
        <v>28.359999999999999</v>
      </c>
      <c r="P3600" s="435">
        <f t="shared" si="1801"/>
        <v>26.640000000000001</v>
      </c>
      <c r="AE3600" s="217"/>
      <c r="AF3600" s="217">
        <v>1429</v>
      </c>
      <c r="AH3600">
        <f t="shared" si="1807"/>
        <v>1429</v>
      </c>
    </row>
    <row r="3601" ht="30" hidden="1">
      <c r="A3601" s="217"/>
      <c r="B3601" s="217">
        <v>1429</v>
      </c>
      <c r="C3601" s="217"/>
      <c r="D3601" s="217" t="s">
        <v>17167</v>
      </c>
      <c r="E3601" s="471" t="s">
        <v>20409</v>
      </c>
      <c r="F3601" s="486">
        <v>88316</v>
      </c>
      <c r="G3601" s="470" t="s">
        <v>7393</v>
      </c>
      <c r="H3601" s="482" t="s">
        <v>2032</v>
      </c>
      <c r="I3601" s="578">
        <f t="shared" si="1810"/>
        <v>0.23809520000000001</v>
      </c>
      <c r="J3601" s="473">
        <f t="shared" si="1797"/>
        <v>22.760000000000002</v>
      </c>
      <c r="K3601" s="474">
        <f t="shared" si="1808"/>
        <v>5.4190467520000007</v>
      </c>
      <c r="L3601" s="473">
        <f t="shared" si="1802"/>
        <v>21.550000000000001</v>
      </c>
      <c r="M3601" s="474">
        <f t="shared" si="1809"/>
        <v>5.1309515600000006</v>
      </c>
      <c r="N3601" s="467"/>
      <c r="O3601" s="434">
        <f t="shared" si="1800"/>
        <v>22.760000000000002</v>
      </c>
      <c r="P3601" s="435">
        <f t="shared" si="1801"/>
        <v>21.550000000000001</v>
      </c>
      <c r="AE3601" s="217"/>
      <c r="AF3601" s="217">
        <v>1429</v>
      </c>
      <c r="AH3601">
        <f t="shared" si="1807"/>
        <v>1429</v>
      </c>
    </row>
    <row r="3602" ht="60" hidden="1">
      <c r="A3602" s="217"/>
      <c r="B3602" s="217">
        <v>1429</v>
      </c>
      <c r="C3602" s="217"/>
      <c r="D3602" s="217" t="s">
        <v>20408</v>
      </c>
      <c r="E3602" s="471" t="s">
        <v>20663</v>
      </c>
      <c r="F3602" s="486">
        <v>21013</v>
      </c>
      <c r="G3602" s="470" t="s">
        <v>22062</v>
      </c>
      <c r="H3602" s="482" t="s">
        <v>21420</v>
      </c>
      <c r="I3602" s="578">
        <v>3.2000000000000002</v>
      </c>
      <c r="J3602" s="473">
        <f t="shared" si="1797"/>
        <v>66.920000000000002</v>
      </c>
      <c r="K3602" s="474">
        <f t="shared" si="1808"/>
        <v>214.14400000000001</v>
      </c>
      <c r="L3602" s="473">
        <f t="shared" si="1802"/>
        <v>66.920000000000002</v>
      </c>
      <c r="M3602" s="474">
        <f t="shared" si="1809"/>
        <v>214.14400000000001</v>
      </c>
      <c r="N3602" s="467" t="s">
        <v>22262</v>
      </c>
      <c r="O3602" s="434">
        <f t="shared" si="1800"/>
        <v>66.920000000000002</v>
      </c>
      <c r="P3602" s="435">
        <f t="shared" si="1801"/>
        <v>66.920000000000002</v>
      </c>
      <c r="AE3602" s="217"/>
      <c r="AF3602" s="217">
        <v>1429</v>
      </c>
      <c r="AH3602">
        <f t="shared" si="1807"/>
        <v>1429</v>
      </c>
    </row>
    <row r="3603" ht="30" hidden="1">
      <c r="A3603" s="217"/>
      <c r="B3603" s="217">
        <v>1429</v>
      </c>
      <c r="C3603" s="217"/>
      <c r="D3603" s="217" t="s">
        <v>20644</v>
      </c>
      <c r="E3603" s="471" t="s">
        <v>20665</v>
      </c>
      <c r="F3603" s="482" t="s">
        <v>15504</v>
      </c>
      <c r="G3603" s="488" t="s">
        <v>22263</v>
      </c>
      <c r="H3603" s="482" t="s">
        <v>302</v>
      </c>
      <c r="I3603" s="578">
        <f>0.72*11.775</f>
        <v>8.4779999999999998</v>
      </c>
      <c r="J3603" s="473">
        <f t="shared" si="1797"/>
        <v>10</v>
      </c>
      <c r="K3603" s="474">
        <f t="shared" si="1808"/>
        <v>84.780000000000001</v>
      </c>
      <c r="L3603" s="473">
        <f t="shared" si="1802"/>
        <v>10</v>
      </c>
      <c r="M3603" s="474">
        <f t="shared" si="1809"/>
        <v>84.780000000000001</v>
      </c>
      <c r="N3603" s="467"/>
      <c r="O3603" s="434">
        <f t="shared" si="1800"/>
        <v>10</v>
      </c>
      <c r="P3603" s="435">
        <f t="shared" si="1801"/>
        <v>10</v>
      </c>
      <c r="AE3603" s="217"/>
      <c r="AF3603" s="217">
        <v>1429</v>
      </c>
      <c r="AH3603">
        <f t="shared" si="1807"/>
        <v>1429</v>
      </c>
    </row>
    <row r="3604" ht="45" hidden="1">
      <c r="A3604" s="217"/>
      <c r="B3604" s="217">
        <v>1429</v>
      </c>
      <c r="C3604" s="217"/>
      <c r="D3604" s="217" t="s">
        <v>20644</v>
      </c>
      <c r="E3604" s="471" t="s">
        <v>20667</v>
      </c>
      <c r="F3604" s="486" t="s">
        <v>15506</v>
      </c>
      <c r="G3604" s="470" t="s">
        <v>22264</v>
      </c>
      <c r="H3604" s="482" t="s">
        <v>15515</v>
      </c>
      <c r="I3604" s="483">
        <f t="shared" ref="I3604:I3605" si="1811">0.72</f>
        <v>0.71999999999999997</v>
      </c>
      <c r="J3604" s="473">
        <f t="shared" si="1797"/>
        <v>435.75</v>
      </c>
      <c r="K3604" s="474">
        <f t="shared" si="1808"/>
        <v>313.74000000000001</v>
      </c>
      <c r="L3604" s="473">
        <f t="shared" si="1802"/>
        <v>435.75</v>
      </c>
      <c r="M3604" s="474">
        <f t="shared" si="1809"/>
        <v>313.74000000000001</v>
      </c>
      <c r="N3604" s="467"/>
      <c r="O3604" s="434">
        <f t="shared" si="1800"/>
        <v>435.75</v>
      </c>
      <c r="P3604" s="435">
        <f t="shared" si="1801"/>
        <v>435.75</v>
      </c>
      <c r="AE3604" s="217"/>
      <c r="AF3604" s="217">
        <v>1429</v>
      </c>
      <c r="AH3604">
        <f t="shared" si="1807"/>
        <v>1429</v>
      </c>
    </row>
    <row r="3605" ht="30" hidden="1">
      <c r="A3605" s="217"/>
      <c r="B3605" s="217">
        <v>1429</v>
      </c>
      <c r="C3605" s="217"/>
      <c r="D3605" s="217" t="s">
        <v>20644</v>
      </c>
      <c r="E3605" s="471" t="s">
        <v>20671</v>
      </c>
      <c r="F3605" s="486">
        <v>5212552</v>
      </c>
      <c r="G3605" s="470" t="s">
        <v>22265</v>
      </c>
      <c r="H3605" s="482" t="s">
        <v>15515</v>
      </c>
      <c r="I3605" s="483">
        <f t="shared" si="1811"/>
        <v>0.71999999999999997</v>
      </c>
      <c r="J3605" s="473">
        <f t="shared" si="1797"/>
        <v>16.890000000000001</v>
      </c>
      <c r="K3605" s="474">
        <f t="shared" si="1808"/>
        <v>12.1608</v>
      </c>
      <c r="L3605" s="473">
        <f t="shared" si="1802"/>
        <v>16.890000000000001</v>
      </c>
      <c r="M3605" s="474">
        <f t="shared" si="1809"/>
        <v>12.1608</v>
      </c>
      <c r="N3605" s="467"/>
      <c r="O3605" s="434">
        <f t="shared" si="1800"/>
        <v>16.890000000000001</v>
      </c>
      <c r="P3605" s="435">
        <f t="shared" si="1801"/>
        <v>16.890000000000001</v>
      </c>
      <c r="AE3605" s="217"/>
      <c r="AF3605" s="217">
        <v>1429</v>
      </c>
      <c r="AH3605">
        <f t="shared" si="1807"/>
        <v>1429</v>
      </c>
    </row>
    <row r="3606" ht="60" hidden="1">
      <c r="A3606" s="217"/>
      <c r="B3606" s="217">
        <v>1429</v>
      </c>
      <c r="C3606" s="217"/>
      <c r="D3606" s="217" t="s">
        <v>17167</v>
      </c>
      <c r="E3606" s="471" t="s">
        <v>20672</v>
      </c>
      <c r="F3606" s="486">
        <v>94963</v>
      </c>
      <c r="G3606" s="470" t="s">
        <v>20684</v>
      </c>
      <c r="H3606" s="482" t="s">
        <v>15528</v>
      </c>
      <c r="I3606" s="578">
        <v>3.125e-002</v>
      </c>
      <c r="J3606" s="473">
        <f t="shared" si="1797"/>
        <v>441.43000000000001</v>
      </c>
      <c r="K3606" s="474">
        <f t="shared" si="1808"/>
        <v>13.7946875</v>
      </c>
      <c r="L3606" s="473">
        <f t="shared" si="1802"/>
        <v>436.14999999999998</v>
      </c>
      <c r="M3606" s="474">
        <f t="shared" si="1809"/>
        <v>13.629687499999999</v>
      </c>
      <c r="N3606" s="467"/>
      <c r="O3606" s="434">
        <f t="shared" si="1800"/>
        <v>441.43000000000001</v>
      </c>
      <c r="P3606" s="435">
        <f t="shared" si="1801"/>
        <v>436.14999999999998</v>
      </c>
      <c r="AE3606" s="217"/>
      <c r="AF3606" s="217">
        <v>1429</v>
      </c>
      <c r="AH3606">
        <f t="shared" si="1807"/>
        <v>1429</v>
      </c>
    </row>
    <row r="3607" ht="45" hidden="1">
      <c r="A3607" s="217"/>
      <c r="B3607" s="217">
        <v>1429</v>
      </c>
      <c r="C3607" s="217"/>
      <c r="D3607" s="217" t="s">
        <v>20398</v>
      </c>
      <c r="E3607" s="471" t="s">
        <v>20673</v>
      </c>
      <c r="F3607" s="469">
        <v>1259</v>
      </c>
      <c r="G3607" s="470" t="s">
        <v>20796</v>
      </c>
      <c r="H3607" s="482" t="s">
        <v>15528</v>
      </c>
      <c r="I3607" s="614">
        <v>3.125e-002</v>
      </c>
      <c r="J3607" s="473">
        <f t="shared" si="1797"/>
        <v>45.520000000000003</v>
      </c>
      <c r="K3607" s="474">
        <f t="shared" si="1808"/>
        <v>1.4225000000000001</v>
      </c>
      <c r="L3607" s="473">
        <f t="shared" si="1802"/>
        <v>43.100000000000001</v>
      </c>
      <c r="M3607" s="474">
        <f t="shared" si="1809"/>
        <v>1.346875</v>
      </c>
      <c r="N3607" s="467"/>
      <c r="O3607" s="434">
        <f t="shared" si="1800"/>
        <v>45.520000000000003</v>
      </c>
      <c r="P3607" s="435">
        <f t="shared" si="1801"/>
        <v>43.100000000000001</v>
      </c>
      <c r="AE3607" s="217"/>
      <c r="AF3607" s="217">
        <v>1429</v>
      </c>
      <c r="AH3607">
        <f t="shared" si="1807"/>
        <v>1429</v>
      </c>
    </row>
    <row r="3608" ht="45" hidden="1">
      <c r="A3608" s="217"/>
      <c r="B3608" s="217">
        <v>1429</v>
      </c>
      <c r="C3608" s="217"/>
      <c r="D3608" s="217" t="s">
        <v>20398</v>
      </c>
      <c r="E3608" s="471" t="s">
        <v>20675</v>
      </c>
      <c r="F3608" s="482">
        <v>1000</v>
      </c>
      <c r="G3608" s="470" t="s">
        <v>20651</v>
      </c>
      <c r="H3608" s="482" t="s">
        <v>15528</v>
      </c>
      <c r="I3608" s="614">
        <f>I3606</f>
        <v>3.125e-002</v>
      </c>
      <c r="J3608" s="473">
        <f t="shared" si="1797"/>
        <v>149.904</v>
      </c>
      <c r="K3608" s="474">
        <f t="shared" si="1808"/>
        <v>4.6844999999999999</v>
      </c>
      <c r="L3608" s="473">
        <f t="shared" si="1802"/>
        <v>141.76949999999999</v>
      </c>
      <c r="M3608" s="474">
        <f t="shared" si="1809"/>
        <v>4.4302968749999998</v>
      </c>
      <c r="N3608" s="467"/>
      <c r="O3608" s="434">
        <f t="shared" si="1800"/>
        <v>149.904</v>
      </c>
      <c r="P3608" s="435">
        <f t="shared" si="1801"/>
        <v>141.76949999999999</v>
      </c>
      <c r="AE3608" s="217"/>
      <c r="AF3608" s="217">
        <v>1429</v>
      </c>
      <c r="AH3608">
        <f t="shared" si="1807"/>
        <v>1429</v>
      </c>
    </row>
    <row r="3609" ht="60.75" hidden="1">
      <c r="A3609" s="217"/>
      <c r="B3609" s="217">
        <v>1429</v>
      </c>
      <c r="C3609" s="217"/>
      <c r="D3609" s="217"/>
      <c r="E3609" s="471"/>
      <c r="F3609" s="482"/>
      <c r="G3609" s="488" t="s">
        <v>22266</v>
      </c>
      <c r="H3609" s="482"/>
      <c r="I3609" s="578"/>
      <c r="J3609" s="577"/>
      <c r="K3609" s="474"/>
      <c r="L3609" s="577"/>
      <c r="M3609" s="474"/>
      <c r="N3609" s="467"/>
      <c r="O3609" s="434" t="str">
        <f t="shared" si="1800"/>
        <v xml:space="preserve">SEM VALOR</v>
      </c>
      <c r="P3609" s="435" t="str">
        <f t="shared" si="1801"/>
        <v xml:space="preserve">SEM VALOR</v>
      </c>
      <c r="AE3609" s="217"/>
      <c r="AF3609" s="217">
        <v>1429</v>
      </c>
      <c r="AH3609">
        <f t="shared" si="1807"/>
        <v>1429</v>
      </c>
    </row>
    <row r="3610" hidden="1">
      <c r="A3610" s="217"/>
      <c r="B3610" s="217">
        <v>1429</v>
      </c>
      <c r="C3610" s="217"/>
      <c r="D3610" s="217"/>
      <c r="E3610" s="471"/>
      <c r="F3610" s="482"/>
      <c r="G3610" s="470" t="s">
        <v>22267</v>
      </c>
      <c r="H3610" s="482"/>
      <c r="I3610" s="578"/>
      <c r="J3610" s="577"/>
      <c r="K3610" s="474"/>
      <c r="L3610" s="577"/>
      <c r="M3610" s="474"/>
      <c r="N3610" s="467"/>
      <c r="O3610" s="434" t="str">
        <f t="shared" si="1800"/>
        <v xml:space="preserve">SEM VALOR</v>
      </c>
      <c r="P3610" s="435" t="str">
        <f t="shared" si="1801"/>
        <v xml:space="preserve">SEM VALOR</v>
      </c>
      <c r="AE3610" s="217"/>
      <c r="AF3610" s="217">
        <v>1429</v>
      </c>
      <c r="AH3610">
        <f t="shared" si="1807"/>
        <v>1429</v>
      </c>
    </row>
    <row r="3611" ht="94.5" hidden="1">
      <c r="A3611" s="460">
        <v>1430</v>
      </c>
      <c r="B3611" s="460">
        <v>1430</v>
      </c>
      <c r="C3611" s="460"/>
      <c r="D3611" s="460"/>
      <c r="E3611" s="461">
        <v>1</v>
      </c>
      <c r="F3611" s="462" t="s">
        <v>22356</v>
      </c>
      <c r="G3611" s="477" t="s">
        <v>22357</v>
      </c>
      <c r="H3611" s="478" t="s">
        <v>15515</v>
      </c>
      <c r="I3611" s="479"/>
      <c r="J3611" s="480"/>
      <c r="K3611" s="466">
        <f>SUM(K3612:K3619)</f>
        <v>138.32292730000003</v>
      </c>
      <c r="L3611" s="480"/>
      <c r="M3611" s="466">
        <f>SUM(M3612:M3619)</f>
        <v>135.83618530000004</v>
      </c>
      <c r="N3611" s="467" t="s">
        <v>22358</v>
      </c>
      <c r="O3611" s="434" t="str">
        <f t="shared" si="1800"/>
        <v xml:space="preserve">SEM VALOR</v>
      </c>
      <c r="P3611" s="435" t="str">
        <f t="shared" si="1801"/>
        <v xml:space="preserve">SEM VALOR</v>
      </c>
      <c r="AE3611" s="460">
        <v>1430</v>
      </c>
      <c r="AF3611" s="460"/>
      <c r="AH3611">
        <f t="shared" si="1807"/>
        <v>1430</v>
      </c>
    </row>
    <row r="3612" ht="75" hidden="1">
      <c r="A3612" s="217"/>
      <c r="B3612" s="217">
        <v>1430</v>
      </c>
      <c r="C3612" s="217"/>
      <c r="D3612" s="217" t="s">
        <v>20408</v>
      </c>
      <c r="E3612" s="471" t="s">
        <v>20399</v>
      </c>
      <c r="F3612" s="489">
        <v>43127</v>
      </c>
      <c r="G3612" s="488" t="s">
        <v>14636</v>
      </c>
      <c r="H3612" s="499" t="s">
        <v>15515</v>
      </c>
      <c r="I3612" s="580">
        <v>1.1224000000000001</v>
      </c>
      <c r="J3612" s="473">
        <f t="shared" si="1797"/>
        <v>36.710000000000001</v>
      </c>
      <c r="K3612" s="474">
        <f t="shared" ref="K3612:K3619" si="1812">I3612*J3612</f>
        <v>41.203304000000003</v>
      </c>
      <c r="L3612" s="475">
        <f t="shared" si="1802"/>
        <v>36.710000000000001</v>
      </c>
      <c r="M3612" s="474">
        <f t="shared" ref="M3612:M3619" si="1813">L3612*I3612</f>
        <v>41.203304000000003</v>
      </c>
      <c r="O3612" s="434">
        <f t="shared" si="1800"/>
        <v>36.710000000000001</v>
      </c>
      <c r="P3612" s="435">
        <f t="shared" si="1801"/>
        <v>36.710000000000001</v>
      </c>
      <c r="AE3612" s="217"/>
      <c r="AF3612" s="217">
        <v>1430</v>
      </c>
      <c r="AH3612">
        <f t="shared" si="1807"/>
        <v>1430</v>
      </c>
    </row>
    <row r="3613" ht="60" hidden="1">
      <c r="A3613" s="217"/>
      <c r="B3613" s="217">
        <v>1430</v>
      </c>
      <c r="C3613" s="217"/>
      <c r="D3613" s="217" t="s">
        <v>17167</v>
      </c>
      <c r="E3613" s="471" t="s">
        <v>20402</v>
      </c>
      <c r="F3613" s="489">
        <v>94964</v>
      </c>
      <c r="G3613" s="488" t="s">
        <v>8711</v>
      </c>
      <c r="H3613" s="499" t="s">
        <v>15528</v>
      </c>
      <c r="I3613" s="580">
        <v>0.12130000000000001</v>
      </c>
      <c r="J3613" s="473">
        <f t="shared" si="1797"/>
        <v>488.52999999999997</v>
      </c>
      <c r="K3613" s="474">
        <f t="shared" si="1812"/>
        <v>59.258688999999997</v>
      </c>
      <c r="L3613" s="475">
        <f t="shared" si="1802"/>
        <v>482.79000000000002</v>
      </c>
      <c r="M3613" s="474">
        <f t="shared" si="1813"/>
        <v>58.562427000000007</v>
      </c>
      <c r="O3613" s="434">
        <f t="shared" si="1800"/>
        <v>488.52999999999997</v>
      </c>
      <c r="P3613" s="435">
        <f t="shared" si="1801"/>
        <v>482.79000000000002</v>
      </c>
      <c r="AE3613" s="217"/>
      <c r="AF3613" s="217">
        <v>1430</v>
      </c>
      <c r="AH3613">
        <f t="shared" si="1807"/>
        <v>1430</v>
      </c>
    </row>
    <row r="3614" ht="30" hidden="1">
      <c r="A3614" s="217"/>
      <c r="B3614" s="217">
        <v>1430</v>
      </c>
      <c r="C3614" s="217"/>
      <c r="D3614" s="217" t="s">
        <v>20408</v>
      </c>
      <c r="E3614" s="471" t="s">
        <v>20405</v>
      </c>
      <c r="F3614" s="489">
        <v>3777</v>
      </c>
      <c r="G3614" s="488" t="s">
        <v>13072</v>
      </c>
      <c r="H3614" s="499" t="s">
        <v>15515</v>
      </c>
      <c r="I3614" s="483">
        <v>1.1279999999999999</v>
      </c>
      <c r="J3614" s="473">
        <f t="shared" ref="J3614:J3677" si="1814">O3614*$J$3</f>
        <v>2.54</v>
      </c>
      <c r="K3614" s="474">
        <f t="shared" si="1812"/>
        <v>2.8651199999999997</v>
      </c>
      <c r="L3614" s="475">
        <f t="shared" si="1802"/>
        <v>2.54</v>
      </c>
      <c r="M3614" s="474">
        <f t="shared" si="1813"/>
        <v>2.8651199999999997</v>
      </c>
      <c r="O3614" s="434">
        <f t="shared" si="1800"/>
        <v>2.54</v>
      </c>
      <c r="P3614" s="435">
        <f t="shared" si="1801"/>
        <v>2.54</v>
      </c>
      <c r="AE3614" s="217"/>
      <c r="AF3614" s="217">
        <v>1430</v>
      </c>
      <c r="AH3614">
        <f t="shared" si="1807"/>
        <v>1430</v>
      </c>
    </row>
    <row r="3615" ht="60" hidden="1">
      <c r="A3615" s="217"/>
      <c r="B3615" s="217">
        <v>1430</v>
      </c>
      <c r="C3615" s="217"/>
      <c r="D3615" s="217" t="s">
        <v>17167</v>
      </c>
      <c r="E3615" s="471" t="s">
        <v>20409</v>
      </c>
      <c r="F3615" s="489">
        <v>95276</v>
      </c>
      <c r="G3615" s="488" t="s">
        <v>1849</v>
      </c>
      <c r="H3615" s="499" t="s">
        <v>1535</v>
      </c>
      <c r="I3615" s="483">
        <v>8.3299999999999999e-002</v>
      </c>
      <c r="J3615" s="473">
        <f t="shared" si="1814"/>
        <v>4.0300000000000002</v>
      </c>
      <c r="K3615" s="474">
        <f t="shared" si="1812"/>
        <v>0.33569900000000003</v>
      </c>
      <c r="L3615" s="475">
        <f t="shared" si="1802"/>
        <v>4.0300000000000002</v>
      </c>
      <c r="M3615" s="474">
        <f t="shared" si="1813"/>
        <v>0.33569900000000003</v>
      </c>
      <c r="O3615" s="434">
        <f t="shared" si="1800"/>
        <v>4.0300000000000002</v>
      </c>
      <c r="P3615" s="435">
        <f t="shared" si="1801"/>
        <v>4.0300000000000002</v>
      </c>
      <c r="AE3615" s="217"/>
      <c r="AF3615" s="217">
        <v>1430</v>
      </c>
      <c r="AH3615">
        <f t="shared" si="1807"/>
        <v>1430</v>
      </c>
    </row>
    <row r="3616" ht="105" hidden="1">
      <c r="A3616" s="217"/>
      <c r="B3616" s="217">
        <v>1430</v>
      </c>
      <c r="C3616" s="217"/>
      <c r="D3616" s="217" t="s">
        <v>17167</v>
      </c>
      <c r="E3616" s="471" t="s">
        <v>20663</v>
      </c>
      <c r="F3616" s="489">
        <v>91283</v>
      </c>
      <c r="G3616" s="488" t="s">
        <v>1653</v>
      </c>
      <c r="H3616" s="499" t="s">
        <v>1535</v>
      </c>
      <c r="I3616" s="483">
        <v>0.16667000000000001</v>
      </c>
      <c r="J3616" s="473">
        <f t="shared" si="1814"/>
        <v>10.390000000000001</v>
      </c>
      <c r="K3616" s="474">
        <f t="shared" si="1812"/>
        <v>1.7317013000000003</v>
      </c>
      <c r="L3616" s="475">
        <f t="shared" si="1802"/>
        <v>10.390000000000001</v>
      </c>
      <c r="M3616" s="474">
        <f t="shared" si="1813"/>
        <v>1.7317013000000003</v>
      </c>
      <c r="O3616" s="434">
        <f t="shared" si="1800"/>
        <v>10.390000000000001</v>
      </c>
      <c r="P3616" s="435">
        <f t="shared" si="1801"/>
        <v>10.390000000000001</v>
      </c>
      <c r="AE3616" s="217"/>
      <c r="AF3616" s="217">
        <v>1430</v>
      </c>
      <c r="AH3616">
        <f t="shared" si="1807"/>
        <v>1430</v>
      </c>
    </row>
    <row r="3617" ht="30" hidden="1">
      <c r="A3617" s="217"/>
      <c r="B3617" s="217">
        <v>1430</v>
      </c>
      <c r="C3617" s="217"/>
      <c r="D3617" s="217" t="s">
        <v>17167</v>
      </c>
      <c r="E3617" s="471" t="s">
        <v>20665</v>
      </c>
      <c r="F3617" s="489">
        <v>88309</v>
      </c>
      <c r="G3617" s="488" t="s">
        <v>7385</v>
      </c>
      <c r="H3617" s="499" t="s">
        <v>2032</v>
      </c>
      <c r="I3617" s="483">
        <v>0.33169999999999999</v>
      </c>
      <c r="J3617" s="473">
        <f t="shared" si="1814"/>
        <v>28.5</v>
      </c>
      <c r="K3617" s="474">
        <f t="shared" si="1812"/>
        <v>9.4534500000000001</v>
      </c>
      <c r="L3617" s="475">
        <f t="shared" si="1802"/>
        <v>26.870000000000001</v>
      </c>
      <c r="M3617" s="474">
        <f t="shared" si="1813"/>
        <v>8.9127790000000005</v>
      </c>
      <c r="O3617" s="434">
        <f t="shared" si="1800"/>
        <v>28.5</v>
      </c>
      <c r="P3617" s="435">
        <f t="shared" si="1801"/>
        <v>26.870000000000001</v>
      </c>
      <c r="AE3617" s="217"/>
      <c r="AF3617" s="217">
        <v>1430</v>
      </c>
      <c r="AH3617">
        <f t="shared" si="1807"/>
        <v>1430</v>
      </c>
    </row>
    <row r="3618" ht="30" hidden="1">
      <c r="A3618" s="217"/>
      <c r="B3618" s="217">
        <v>1430</v>
      </c>
      <c r="C3618" s="217"/>
      <c r="D3618" s="217" t="s">
        <v>17167</v>
      </c>
      <c r="E3618" s="471" t="s">
        <v>20667</v>
      </c>
      <c r="F3618" s="489">
        <v>88316</v>
      </c>
      <c r="G3618" s="488" t="s">
        <v>7393</v>
      </c>
      <c r="H3618" s="499" t="s">
        <v>2032</v>
      </c>
      <c r="I3618" s="483">
        <v>0.80730000000000002</v>
      </c>
      <c r="J3618" s="473">
        <f t="shared" si="1814"/>
        <v>22.760000000000002</v>
      </c>
      <c r="K3618" s="474">
        <f t="shared" si="1812"/>
        <v>18.374148000000002</v>
      </c>
      <c r="L3618" s="475">
        <f t="shared" si="1802"/>
        <v>21.550000000000001</v>
      </c>
      <c r="M3618" s="474">
        <f t="shared" si="1813"/>
        <v>17.397315000000003</v>
      </c>
      <c r="O3618" s="434">
        <f t="shared" si="1800"/>
        <v>22.760000000000002</v>
      </c>
      <c r="P3618" s="435">
        <f t="shared" si="1801"/>
        <v>21.550000000000001</v>
      </c>
      <c r="AE3618" s="217"/>
      <c r="AF3618" s="217">
        <v>1430</v>
      </c>
      <c r="AH3618">
        <f t="shared" si="1807"/>
        <v>1430</v>
      </c>
    </row>
    <row r="3619" ht="30" hidden="1">
      <c r="A3619" s="217"/>
      <c r="B3619" s="217">
        <v>1430</v>
      </c>
      <c r="C3619" s="217"/>
      <c r="D3619" s="217" t="s">
        <v>17167</v>
      </c>
      <c r="E3619" s="471" t="s">
        <v>20671</v>
      </c>
      <c r="F3619" s="489">
        <v>88252</v>
      </c>
      <c r="G3619" s="488" t="s">
        <v>7117</v>
      </c>
      <c r="H3619" s="482" t="s">
        <v>2032</v>
      </c>
      <c r="I3619" s="483">
        <v>0.22559999999999999</v>
      </c>
      <c r="J3619" s="473">
        <f t="shared" si="1814"/>
        <v>22.609999999999999</v>
      </c>
      <c r="K3619" s="474">
        <f t="shared" si="1812"/>
        <v>5.100816</v>
      </c>
      <c r="L3619" s="475">
        <f t="shared" si="1802"/>
        <v>21.399999999999999</v>
      </c>
      <c r="M3619" s="474">
        <f t="shared" si="1813"/>
        <v>4.8278399999999992</v>
      </c>
      <c r="O3619" s="434">
        <f t="shared" si="1800"/>
        <v>22.609999999999999</v>
      </c>
      <c r="P3619" s="435">
        <f t="shared" si="1801"/>
        <v>21.399999999999999</v>
      </c>
      <c r="AE3619" s="217"/>
      <c r="AF3619" s="217">
        <v>1430</v>
      </c>
      <c r="AH3619">
        <f t="shared" si="1807"/>
        <v>1430</v>
      </c>
    </row>
    <row r="3620" ht="145.5" hidden="1" customHeight="1">
      <c r="A3620" s="460">
        <v>1431</v>
      </c>
      <c r="B3620" s="460">
        <v>1431</v>
      </c>
      <c r="C3620" s="460"/>
      <c r="D3620" s="460"/>
      <c r="E3620" s="461">
        <v>1</v>
      </c>
      <c r="F3620" s="462" t="s">
        <v>22359</v>
      </c>
      <c r="G3620" s="477" t="s">
        <v>22360</v>
      </c>
      <c r="H3620" s="478" t="s">
        <v>20647</v>
      </c>
      <c r="I3620" s="479"/>
      <c r="J3620" s="480"/>
      <c r="K3620" s="466">
        <f>SUM(K3621:K3634)</f>
        <v>10143.609069800001</v>
      </c>
      <c r="L3620" s="480"/>
      <c r="M3620" s="466">
        <f>SUM(M3621:M3634)</f>
        <v>9860.9514878500013</v>
      </c>
      <c r="O3620" s="434" t="str">
        <f t="shared" si="1800"/>
        <v xml:space="preserve">SEM VALOR</v>
      </c>
      <c r="P3620" s="435" t="str">
        <f t="shared" si="1801"/>
        <v xml:space="preserve">SEM VALOR</v>
      </c>
      <c r="AE3620" s="460">
        <v>1431</v>
      </c>
      <c r="AF3620" s="460"/>
      <c r="AH3620">
        <f t="shared" si="1807"/>
        <v>1431</v>
      </c>
    </row>
    <row r="3621" ht="120" hidden="1">
      <c r="A3621" s="217"/>
      <c r="B3621" s="217">
        <v>1431</v>
      </c>
      <c r="C3621" s="217"/>
      <c r="D3621" s="217" t="s">
        <v>17167</v>
      </c>
      <c r="E3621" s="471" t="s">
        <v>20399</v>
      </c>
      <c r="F3621" s="489">
        <v>90108</v>
      </c>
      <c r="G3621" s="470" t="s">
        <v>20907</v>
      </c>
      <c r="H3621" s="472" t="s">
        <v>15528</v>
      </c>
      <c r="I3621" s="472">
        <v>60.446249999999999</v>
      </c>
      <c r="J3621" s="473">
        <f t="shared" si="1814"/>
        <v>7.8099999999999996</v>
      </c>
      <c r="K3621" s="474">
        <f t="shared" ref="K3621:K3634" si="1815">I3621*J3621</f>
        <v>472.08521249999995</v>
      </c>
      <c r="L3621" s="475">
        <f t="shared" si="1802"/>
        <v>7.6100000000000003</v>
      </c>
      <c r="M3621" s="474">
        <f t="shared" ref="M3621:M3634" si="1816">L3621*I3621</f>
        <v>459.99596250000002</v>
      </c>
      <c r="O3621" s="434">
        <f t="shared" si="1800"/>
        <v>7.8099999999999996</v>
      </c>
      <c r="P3621" s="435">
        <f t="shared" si="1801"/>
        <v>7.6100000000000003</v>
      </c>
      <c r="AE3621" s="217"/>
      <c r="AF3621" s="217">
        <v>1431</v>
      </c>
      <c r="AH3621">
        <f t="shared" si="1807"/>
        <v>1431</v>
      </c>
    </row>
    <row r="3622" ht="60" hidden="1">
      <c r="A3622" s="217"/>
      <c r="B3622" s="217">
        <v>1431</v>
      </c>
      <c r="C3622" s="217"/>
      <c r="D3622" s="217" t="s">
        <v>20398</v>
      </c>
      <c r="E3622" s="471" t="s">
        <v>20402</v>
      </c>
      <c r="F3622" s="569">
        <v>1258</v>
      </c>
      <c r="G3622" s="488" t="s">
        <v>20660</v>
      </c>
      <c r="H3622" s="472" t="s">
        <v>15515</v>
      </c>
      <c r="I3622" s="472">
        <v>8.4100000000000001</v>
      </c>
      <c r="J3622" s="473">
        <f t="shared" si="1814"/>
        <v>7.5700000000000003</v>
      </c>
      <c r="K3622" s="474">
        <f t="shared" si="1815"/>
        <v>63.663700000000006</v>
      </c>
      <c r="L3622" s="475">
        <f t="shared" si="1802"/>
        <v>7.1846199999999998</v>
      </c>
      <c r="M3622" s="474">
        <f t="shared" si="1816"/>
        <v>60.422654199999997</v>
      </c>
      <c r="O3622" s="434">
        <f t="shared" si="1800"/>
        <v>7.5700000000000003</v>
      </c>
      <c r="P3622" s="435">
        <f t="shared" si="1801"/>
        <v>7.1846199999999998</v>
      </c>
      <c r="AE3622" s="217"/>
      <c r="AF3622" s="217">
        <v>1431</v>
      </c>
      <c r="AH3622">
        <f t="shared" si="1807"/>
        <v>1431</v>
      </c>
    </row>
    <row r="3623" ht="30" hidden="1">
      <c r="A3623" s="217"/>
      <c r="B3623" s="217">
        <v>1431</v>
      </c>
      <c r="C3623" s="217"/>
      <c r="D3623" s="217" t="s">
        <v>20398</v>
      </c>
      <c r="E3623" s="471" t="s">
        <v>20405</v>
      </c>
      <c r="F3623" s="482">
        <v>1242</v>
      </c>
      <c r="G3623" s="488" t="s">
        <v>20905</v>
      </c>
      <c r="H3623" s="471" t="s">
        <v>15528</v>
      </c>
      <c r="I3623" s="472">
        <v>0.42049999999999998</v>
      </c>
      <c r="J3623" s="473">
        <f t="shared" si="1814"/>
        <v>151.59100000000001</v>
      </c>
      <c r="K3623" s="474">
        <f t="shared" si="1815"/>
        <v>63.744015500000003</v>
      </c>
      <c r="L3623" s="475">
        <f t="shared" si="1802"/>
        <v>149.17099999999999</v>
      </c>
      <c r="M3623" s="474">
        <f t="shared" si="1816"/>
        <v>62.726405499999991</v>
      </c>
      <c r="O3623" s="434">
        <f t="shared" si="1800"/>
        <v>151.59100000000001</v>
      </c>
      <c r="P3623" s="435">
        <f t="shared" si="1801"/>
        <v>149.17099999999999</v>
      </c>
      <c r="R3623" s="633" t="s">
        <v>22342</v>
      </c>
      <c r="S3623" s="633" t="s">
        <v>22343</v>
      </c>
      <c r="T3623" s="633" t="s">
        <v>22344</v>
      </c>
      <c r="AE3623" s="217"/>
      <c r="AF3623" s="217">
        <v>1431</v>
      </c>
      <c r="AH3623">
        <f t="shared" si="1807"/>
        <v>1431</v>
      </c>
    </row>
    <row r="3624" ht="60" hidden="1">
      <c r="A3624" s="217"/>
      <c r="B3624" s="217">
        <v>1431</v>
      </c>
      <c r="C3624" s="217"/>
      <c r="D3624" s="217" t="s">
        <v>17167</v>
      </c>
      <c r="E3624" s="471" t="s">
        <v>20409</v>
      </c>
      <c r="F3624" s="489">
        <v>96533</v>
      </c>
      <c r="G3624" s="470" t="s">
        <v>20912</v>
      </c>
      <c r="H3624" s="471" t="s">
        <v>15515</v>
      </c>
      <c r="I3624" s="472">
        <v>11.35</v>
      </c>
      <c r="J3624" s="473">
        <f t="shared" si="1814"/>
        <v>85.980000000000004</v>
      </c>
      <c r="K3624" s="474">
        <f t="shared" si="1815"/>
        <v>975.87300000000005</v>
      </c>
      <c r="L3624" s="475">
        <f t="shared" si="1802"/>
        <v>83.200000000000003</v>
      </c>
      <c r="M3624" s="474">
        <f t="shared" si="1816"/>
        <v>944.32000000000005</v>
      </c>
      <c r="O3624" s="434">
        <f t="shared" si="1800"/>
        <v>85.980000000000004</v>
      </c>
      <c r="P3624" s="435">
        <f t="shared" si="1801"/>
        <v>83.200000000000003</v>
      </c>
      <c r="R3624" s="633">
        <v>1.5</v>
      </c>
      <c r="S3624" s="633">
        <v>2.605</v>
      </c>
      <c r="T3624" s="633">
        <v>2</v>
      </c>
      <c r="AE3624" s="217"/>
      <c r="AF3624" s="217">
        <v>1431</v>
      </c>
      <c r="AH3624">
        <f t="shared" si="1807"/>
        <v>1431</v>
      </c>
    </row>
    <row r="3625" ht="60" hidden="1">
      <c r="A3625" s="217"/>
      <c r="B3625" s="217">
        <v>1431</v>
      </c>
      <c r="C3625" s="217"/>
      <c r="D3625" s="217" t="s">
        <v>17167</v>
      </c>
      <c r="E3625" s="471" t="s">
        <v>20663</v>
      </c>
      <c r="F3625" s="609">
        <v>97093</v>
      </c>
      <c r="G3625" s="638" t="s">
        <v>8818</v>
      </c>
      <c r="H3625" s="639" t="s">
        <v>302</v>
      </c>
      <c r="I3625" s="640">
        <v>31.469999999999999</v>
      </c>
      <c r="J3625" s="473">
        <f t="shared" si="1814"/>
        <v>12.140000000000001</v>
      </c>
      <c r="K3625" s="474">
        <f t="shared" si="1815"/>
        <v>382.04579999999999</v>
      </c>
      <c r="L3625" s="475">
        <f t="shared" si="1802"/>
        <v>12.109999999999999</v>
      </c>
      <c r="M3625" s="474">
        <f t="shared" si="1816"/>
        <v>381.10169999999999</v>
      </c>
      <c r="O3625" s="434">
        <f t="shared" si="1800"/>
        <v>12.140000000000001</v>
      </c>
      <c r="P3625" s="435">
        <f t="shared" si="1801"/>
        <v>12.109999999999999</v>
      </c>
      <c r="AE3625" s="217"/>
      <c r="AF3625" s="217">
        <v>1431</v>
      </c>
      <c r="AH3625">
        <f t="shared" si="1807"/>
        <v>1431</v>
      </c>
    </row>
    <row r="3626" ht="45" hidden="1">
      <c r="A3626" s="217"/>
      <c r="B3626" s="217">
        <v>1431</v>
      </c>
      <c r="C3626" s="217"/>
      <c r="D3626" s="217" t="s">
        <v>17167</v>
      </c>
      <c r="E3626" s="471" t="s">
        <v>20665</v>
      </c>
      <c r="F3626" s="489">
        <v>96543</v>
      </c>
      <c r="G3626" s="470" t="s">
        <v>20676</v>
      </c>
      <c r="H3626" s="471" t="s">
        <v>302</v>
      </c>
      <c r="I3626" s="472">
        <v>4.8799999999999999</v>
      </c>
      <c r="J3626" s="473">
        <f t="shared" si="1814"/>
        <v>19.829999999999998</v>
      </c>
      <c r="K3626" s="474">
        <f t="shared" si="1815"/>
        <v>96.770399999999995</v>
      </c>
      <c r="L3626" s="475">
        <f t="shared" si="1802"/>
        <v>19.210000000000001</v>
      </c>
      <c r="M3626" s="474">
        <f t="shared" si="1816"/>
        <v>93.744799999999998</v>
      </c>
      <c r="O3626" s="434">
        <f t="shared" si="1800"/>
        <v>19.829999999999998</v>
      </c>
      <c r="P3626" s="435">
        <f t="shared" si="1801"/>
        <v>19.210000000000001</v>
      </c>
      <c r="AE3626" s="217"/>
      <c r="AF3626" s="217">
        <v>1431</v>
      </c>
      <c r="AH3626">
        <f t="shared" si="1807"/>
        <v>1431</v>
      </c>
    </row>
    <row r="3627" ht="45" hidden="1">
      <c r="A3627" s="217"/>
      <c r="B3627" s="217">
        <v>1431</v>
      </c>
      <c r="C3627" s="217"/>
      <c r="D3627" s="217" t="s">
        <v>17167</v>
      </c>
      <c r="E3627" s="471" t="s">
        <v>20667</v>
      </c>
      <c r="F3627" s="489">
        <v>96544</v>
      </c>
      <c r="G3627" s="470" t="s">
        <v>20763</v>
      </c>
      <c r="H3627" s="471" t="s">
        <v>302</v>
      </c>
      <c r="I3627" s="472">
        <v>59.640000000000001</v>
      </c>
      <c r="J3627" s="473">
        <f t="shared" si="1814"/>
        <v>17.699999999999999</v>
      </c>
      <c r="K3627" s="474">
        <f t="shared" si="1815"/>
        <v>1055.6279999999999</v>
      </c>
      <c r="L3627" s="475">
        <f t="shared" si="1802"/>
        <v>17.23</v>
      </c>
      <c r="M3627" s="474">
        <f t="shared" si="1816"/>
        <v>1027.5971999999999</v>
      </c>
      <c r="O3627" s="434">
        <f t="shared" si="1800"/>
        <v>17.699999999999999</v>
      </c>
      <c r="P3627" s="435">
        <f t="shared" si="1801"/>
        <v>17.23</v>
      </c>
      <c r="AE3627" s="217"/>
      <c r="AF3627" s="217">
        <v>1431</v>
      </c>
      <c r="AH3627">
        <f t="shared" si="1807"/>
        <v>1431</v>
      </c>
    </row>
    <row r="3628" ht="60" hidden="1">
      <c r="A3628" s="217"/>
      <c r="B3628" s="217">
        <v>1431</v>
      </c>
      <c r="C3628" s="217"/>
      <c r="D3628" s="217" t="s">
        <v>17167</v>
      </c>
      <c r="E3628" s="471" t="s">
        <v>20671</v>
      </c>
      <c r="F3628" s="489">
        <v>94964</v>
      </c>
      <c r="G3628" s="470" t="s">
        <v>20686</v>
      </c>
      <c r="H3628" s="471" t="s">
        <v>15528</v>
      </c>
      <c r="I3628" s="472">
        <v>3.0165000000000002</v>
      </c>
      <c r="J3628" s="473">
        <f t="shared" si="1814"/>
        <v>488.52999999999997</v>
      </c>
      <c r="K3628" s="474">
        <f t="shared" si="1815"/>
        <v>1473.6507449999999</v>
      </c>
      <c r="L3628" s="475">
        <f t="shared" si="1802"/>
        <v>482.79000000000002</v>
      </c>
      <c r="M3628" s="474">
        <f t="shared" si="1816"/>
        <v>1456.336035</v>
      </c>
      <c r="O3628" s="434">
        <f t="shared" ref="O3628:O3691" si="1817">IFERROR(IF(D3628="SINAPI",VLOOKUP(F3628,SINCOMOD,4,FALSE),IF(D3628="INSINAPI",VLOOKUP(F3628,INSINOD,5,FALSE),IF(D3628="SICRO",VLOOKUP(F3628,SICRO,5,FALSE),IF(D3628="COTACAO",VLOOKUP(F3628,COTACAO,6,FALSE),IF(D3628="PRÓPRIO",VLOOKUP(F3628,COMPOD,11,FALSE),IF(D3628="AGESUL",VLOOKUP(F3628,AGESULOD,6,FALSE),IF(D3628="INSAGESUL",VLOOKUP(F3628,INSAGESUL,7,FALSE),"SEM VALOR"))))))),"SEM VALOR")</f>
        <v>488.52999999999997</v>
      </c>
      <c r="P3628" s="435">
        <f t="shared" ref="P3628:P3691" si="1818">IFERROR(IF(D3628="SINAPI",VLOOKUP(F3628,SINCOMOD,6,FALSE),IF(D3628="INSINAPI",VLOOKUP(F3628,INSINOD,6,FALSE),IF(D3628="SICRO",VLOOKUP(F3628,SICRO,5,FALSE),IF(D3628="COTACAO",VLOOKUP(F3628,COTACAO,6,FALSE),IF(D3628="PRÓPRIO",VLOOKUP(F3628,COMPOD,13,FALSE),IF(D3628="AGESUL",VLOOKUP(F3628,AGESULOD,11,FALSE),IF(D3628="INSAGESUL",VLOOKUP(F3628,INSAGESUL,8,FALSE),"SEM VALOR"))))))),"SEM VALOR")</f>
        <v>482.79000000000002</v>
      </c>
      <c r="AE3628" s="217"/>
      <c r="AF3628" s="217">
        <v>1431</v>
      </c>
      <c r="AH3628">
        <f t="shared" si="1807"/>
        <v>1431</v>
      </c>
    </row>
    <row r="3629" ht="45" hidden="1">
      <c r="A3629" s="217"/>
      <c r="B3629" s="217">
        <v>1431</v>
      </c>
      <c r="C3629" s="217"/>
      <c r="D3629" s="217" t="s">
        <v>20398</v>
      </c>
      <c r="E3629" s="471" t="s">
        <v>20672</v>
      </c>
      <c r="F3629" s="489">
        <v>1000</v>
      </c>
      <c r="G3629" s="488" t="s">
        <v>20651</v>
      </c>
      <c r="H3629" s="472" t="s">
        <v>15528</v>
      </c>
      <c r="I3629" s="472">
        <f>I3628</f>
        <v>3.0165000000000002</v>
      </c>
      <c r="J3629" s="473">
        <f t="shared" si="1814"/>
        <v>149.904</v>
      </c>
      <c r="K3629" s="474">
        <f t="shared" si="1815"/>
        <v>452.18541600000003</v>
      </c>
      <c r="L3629" s="475">
        <f t="shared" ref="L3629:L3692" si="1819">P3629*$L$3</f>
        <v>141.76949999999999</v>
      </c>
      <c r="M3629" s="474">
        <f t="shared" si="1816"/>
        <v>427.64769675000002</v>
      </c>
      <c r="O3629" s="434">
        <f t="shared" si="1817"/>
        <v>149.904</v>
      </c>
      <c r="P3629" s="435">
        <f t="shared" si="1818"/>
        <v>141.76949999999999</v>
      </c>
      <c r="AE3629" s="217"/>
      <c r="AF3629" s="217">
        <v>1431</v>
      </c>
      <c r="AH3629">
        <f t="shared" si="1807"/>
        <v>1431</v>
      </c>
    </row>
    <row r="3630" ht="75" hidden="1">
      <c r="A3630" s="217"/>
      <c r="B3630" s="217">
        <v>1431</v>
      </c>
      <c r="C3630" s="217"/>
      <c r="D3630" s="217" t="s">
        <v>20398</v>
      </c>
      <c r="E3630" s="471" t="s">
        <v>20673</v>
      </c>
      <c r="F3630" s="482">
        <v>1257</v>
      </c>
      <c r="G3630" s="470" t="s">
        <v>20906</v>
      </c>
      <c r="H3630" s="471" t="s">
        <v>15515</v>
      </c>
      <c r="I3630" s="472">
        <v>15.119999999999999</v>
      </c>
      <c r="J3630" s="473">
        <f t="shared" si="1814"/>
        <v>202.65134000000003</v>
      </c>
      <c r="K3630" s="474">
        <f t="shared" si="1815"/>
        <v>3064.0882608000002</v>
      </c>
      <c r="L3630" s="475">
        <f t="shared" si="1819"/>
        <v>197.86072000000001</v>
      </c>
      <c r="M3630" s="474">
        <f t="shared" si="1816"/>
        <v>2991.6540863999999</v>
      </c>
      <c r="O3630" s="434">
        <f t="shared" si="1817"/>
        <v>202.65134000000003</v>
      </c>
      <c r="P3630" s="435">
        <f t="shared" si="1818"/>
        <v>197.86072000000001</v>
      </c>
      <c r="AE3630" s="217"/>
      <c r="AF3630" s="217">
        <v>1431</v>
      </c>
      <c r="AH3630">
        <f t="shared" si="1807"/>
        <v>1431</v>
      </c>
    </row>
    <row r="3631" ht="75" hidden="1">
      <c r="A3631" s="217"/>
      <c r="B3631" s="217">
        <v>1431</v>
      </c>
      <c r="C3631" s="217"/>
      <c r="D3631" s="217" t="s">
        <v>17167</v>
      </c>
      <c r="E3631" s="471" t="s">
        <v>20675</v>
      </c>
      <c r="F3631" s="489">
        <v>87878</v>
      </c>
      <c r="G3631" s="470" t="s">
        <v>20910</v>
      </c>
      <c r="H3631" s="471" t="s">
        <v>15515</v>
      </c>
      <c r="I3631" s="472">
        <v>34.704000000000001</v>
      </c>
      <c r="J3631" s="473">
        <f t="shared" si="1814"/>
        <v>5.0099999999999998</v>
      </c>
      <c r="K3631" s="474">
        <f t="shared" si="1815"/>
        <v>173.86704</v>
      </c>
      <c r="L3631" s="475">
        <f t="shared" si="1819"/>
        <v>4.7999999999999998</v>
      </c>
      <c r="M3631" s="474">
        <f t="shared" si="1816"/>
        <v>166.57919999999999</v>
      </c>
      <c r="O3631" s="434">
        <f t="shared" si="1817"/>
        <v>5.0099999999999998</v>
      </c>
      <c r="P3631" s="435">
        <f t="shared" si="1818"/>
        <v>4.7999999999999998</v>
      </c>
      <c r="AE3631" s="217"/>
      <c r="AF3631" s="217">
        <v>1431</v>
      </c>
      <c r="AH3631">
        <f t="shared" si="1807"/>
        <v>1431</v>
      </c>
    </row>
    <row r="3632" ht="105" hidden="1">
      <c r="A3632" s="217"/>
      <c r="B3632" s="217">
        <v>1431</v>
      </c>
      <c r="C3632" s="217"/>
      <c r="D3632" s="217" t="s">
        <v>17167</v>
      </c>
      <c r="E3632" s="471" t="s">
        <v>20677</v>
      </c>
      <c r="F3632" s="482">
        <v>87529</v>
      </c>
      <c r="G3632" s="470" t="s">
        <v>20931</v>
      </c>
      <c r="H3632" s="471" t="s">
        <v>15515</v>
      </c>
      <c r="I3632" s="472">
        <v>15.199999999999999</v>
      </c>
      <c r="J3632" s="473">
        <f t="shared" si="1814"/>
        <v>37.270000000000003</v>
      </c>
      <c r="K3632" s="474">
        <f t="shared" si="1815"/>
        <v>566.50400000000002</v>
      </c>
      <c r="L3632" s="475">
        <f t="shared" si="1819"/>
        <v>35.990000000000002</v>
      </c>
      <c r="M3632" s="474">
        <f t="shared" si="1816"/>
        <v>547.048</v>
      </c>
      <c r="O3632" s="434">
        <f t="shared" si="1817"/>
        <v>37.270000000000003</v>
      </c>
      <c r="P3632" s="435">
        <f t="shared" si="1818"/>
        <v>35.990000000000002</v>
      </c>
      <c r="AE3632" s="217"/>
      <c r="AF3632" s="217">
        <v>1431</v>
      </c>
      <c r="AH3632">
        <f t="shared" si="1807"/>
        <v>1431</v>
      </c>
    </row>
    <row r="3633" ht="105" hidden="1">
      <c r="A3633" s="217"/>
      <c r="B3633" s="217">
        <v>1431</v>
      </c>
      <c r="C3633" s="217"/>
      <c r="D3633" s="217" t="s">
        <v>17167</v>
      </c>
      <c r="E3633" s="471" t="s">
        <v>20679</v>
      </c>
      <c r="F3633" s="489">
        <v>5928</v>
      </c>
      <c r="G3633" s="470" t="s">
        <v>1739</v>
      </c>
      <c r="H3633" s="472" t="s">
        <v>1535</v>
      </c>
      <c r="I3633" s="472">
        <v>0.10000000000000001</v>
      </c>
      <c r="J3633" s="473">
        <f t="shared" si="1814"/>
        <v>298.70999999999998</v>
      </c>
      <c r="K3633" s="474">
        <f t="shared" si="1815"/>
        <v>29.870999999999999</v>
      </c>
      <c r="L3633" s="475">
        <f t="shared" si="1819"/>
        <v>296.98000000000002</v>
      </c>
      <c r="M3633" s="474">
        <f t="shared" si="1816"/>
        <v>29.698000000000004</v>
      </c>
      <c r="O3633" s="434">
        <f t="shared" si="1817"/>
        <v>298.70999999999998</v>
      </c>
      <c r="P3633" s="435">
        <f t="shared" si="1818"/>
        <v>296.98000000000002</v>
      </c>
      <c r="AE3633" s="217"/>
      <c r="AF3633" s="217">
        <v>1431</v>
      </c>
      <c r="AH3633">
        <f t="shared" si="1807"/>
        <v>1431</v>
      </c>
    </row>
    <row r="3634" ht="45" hidden="1">
      <c r="A3634" s="217"/>
      <c r="B3634" s="217">
        <v>1431</v>
      </c>
      <c r="C3634" s="217"/>
      <c r="D3634" s="217" t="s">
        <v>17167</v>
      </c>
      <c r="E3634" s="471" t="s">
        <v>20681</v>
      </c>
      <c r="F3634" s="489">
        <v>93382</v>
      </c>
      <c r="G3634" s="470" t="s">
        <v>20722</v>
      </c>
      <c r="H3634" s="471" t="s">
        <v>15528</v>
      </c>
      <c r="I3634" s="472">
        <v>46.280250000000002</v>
      </c>
      <c r="J3634" s="473">
        <f t="shared" si="1814"/>
        <v>27.52</v>
      </c>
      <c r="K3634" s="474">
        <f t="shared" si="1815"/>
        <v>1273.63248</v>
      </c>
      <c r="L3634" s="475">
        <f t="shared" si="1819"/>
        <v>26.190000000000001</v>
      </c>
      <c r="M3634" s="474">
        <f t="shared" si="1816"/>
        <v>1212.0797475000002</v>
      </c>
      <c r="O3634" s="434">
        <f t="shared" si="1817"/>
        <v>27.52</v>
      </c>
      <c r="P3634" s="435">
        <f t="shared" si="1818"/>
        <v>26.190000000000001</v>
      </c>
      <c r="AE3634" s="217"/>
      <c r="AF3634" s="217">
        <v>1431</v>
      </c>
      <c r="AH3634">
        <f t="shared" si="1807"/>
        <v>1431</v>
      </c>
    </row>
    <row r="3635" ht="141.75" hidden="1">
      <c r="A3635" s="460">
        <v>1432</v>
      </c>
      <c r="B3635" s="460">
        <v>1432</v>
      </c>
      <c r="C3635" s="460"/>
      <c r="D3635" s="460"/>
      <c r="E3635" s="461">
        <v>1</v>
      </c>
      <c r="F3635" s="462" t="s">
        <v>22361</v>
      </c>
      <c r="G3635" s="477" t="s">
        <v>22362</v>
      </c>
      <c r="H3635" s="478" t="s">
        <v>20647</v>
      </c>
      <c r="I3635" s="479"/>
      <c r="J3635" s="480"/>
      <c r="K3635" s="466">
        <f>SUM(K3636:K3649)</f>
        <v>12250.062975599998</v>
      </c>
      <c r="L3635" s="480"/>
      <c r="M3635" s="466">
        <f>SUM(M3636:M3649)</f>
        <v>11911.913956100001</v>
      </c>
      <c r="O3635" s="434" t="str">
        <f t="shared" si="1817"/>
        <v xml:space="preserve">SEM VALOR</v>
      </c>
      <c r="P3635" s="435" t="str">
        <f t="shared" si="1818"/>
        <v xml:space="preserve">SEM VALOR</v>
      </c>
      <c r="AE3635" s="460">
        <v>1432</v>
      </c>
      <c r="AF3635" s="460"/>
      <c r="AH3635">
        <f t="shared" si="1807"/>
        <v>1432</v>
      </c>
    </row>
    <row r="3636" ht="120" hidden="1">
      <c r="A3636" s="217"/>
      <c r="B3636" s="217">
        <v>1432</v>
      </c>
      <c r="C3636" s="217"/>
      <c r="D3636" s="217" t="s">
        <v>17167</v>
      </c>
      <c r="E3636" s="471" t="s">
        <v>20399</v>
      </c>
      <c r="F3636" s="489">
        <v>90108</v>
      </c>
      <c r="G3636" s="470" t="s">
        <v>20907</v>
      </c>
      <c r="H3636" s="472" t="s">
        <v>15528</v>
      </c>
      <c r="I3636" s="472">
        <v>69.849000000000004</v>
      </c>
      <c r="J3636" s="473">
        <f t="shared" si="1814"/>
        <v>7.8099999999999996</v>
      </c>
      <c r="K3636" s="474">
        <f t="shared" ref="K3636:K3649" si="1820">I3636*J3636</f>
        <v>545.52069000000006</v>
      </c>
      <c r="L3636" s="475">
        <f t="shared" si="1819"/>
        <v>7.6100000000000003</v>
      </c>
      <c r="M3636" s="474">
        <f t="shared" ref="M3636:M3649" si="1821">L3636*I3636</f>
        <v>531.55089000000009</v>
      </c>
      <c r="O3636" s="434">
        <f t="shared" si="1817"/>
        <v>7.8099999999999996</v>
      </c>
      <c r="P3636" s="435">
        <f t="shared" si="1818"/>
        <v>7.6100000000000003</v>
      </c>
      <c r="AE3636" s="217"/>
      <c r="AF3636" s="217">
        <v>1432</v>
      </c>
      <c r="AH3636">
        <f t="shared" si="1807"/>
        <v>1432</v>
      </c>
    </row>
    <row r="3637" ht="60" hidden="1">
      <c r="A3637" s="217"/>
      <c r="B3637" s="217">
        <v>1432</v>
      </c>
      <c r="C3637" s="217"/>
      <c r="D3637" s="217" t="s">
        <v>20398</v>
      </c>
      <c r="E3637" s="471" t="s">
        <v>20402</v>
      </c>
      <c r="F3637" s="569">
        <v>1258</v>
      </c>
      <c r="G3637" s="488" t="s">
        <v>20660</v>
      </c>
      <c r="H3637" s="472" t="s">
        <v>15515</v>
      </c>
      <c r="I3637" s="472">
        <v>10.44</v>
      </c>
      <c r="J3637" s="473">
        <f t="shared" si="1814"/>
        <v>7.5700000000000003</v>
      </c>
      <c r="K3637" s="474">
        <f t="shared" si="1820"/>
        <v>79.030799999999999</v>
      </c>
      <c r="L3637" s="475">
        <f t="shared" si="1819"/>
        <v>7.1846199999999998</v>
      </c>
      <c r="M3637" s="474">
        <f t="shared" si="1821"/>
        <v>75.007432799999989</v>
      </c>
      <c r="O3637" s="434">
        <f t="shared" si="1817"/>
        <v>7.5700000000000003</v>
      </c>
      <c r="P3637" s="435">
        <f t="shared" si="1818"/>
        <v>7.1846199999999998</v>
      </c>
      <c r="R3637" s="633" t="s">
        <v>22342</v>
      </c>
      <c r="S3637" s="633" t="s">
        <v>22343</v>
      </c>
      <c r="T3637" s="633" t="s">
        <v>22344</v>
      </c>
      <c r="AE3637" s="217"/>
      <c r="AF3637" s="217">
        <v>1432</v>
      </c>
      <c r="AH3637">
        <f t="shared" si="1807"/>
        <v>1432</v>
      </c>
    </row>
    <row r="3638" ht="30" hidden="1">
      <c r="A3638" s="217"/>
      <c r="B3638" s="217">
        <v>1432</v>
      </c>
      <c r="C3638" s="217"/>
      <c r="D3638" s="217" t="s">
        <v>20398</v>
      </c>
      <c r="E3638" s="471" t="s">
        <v>20405</v>
      </c>
      <c r="F3638" s="482">
        <v>1242</v>
      </c>
      <c r="G3638" s="488" t="s">
        <v>20905</v>
      </c>
      <c r="H3638" s="471" t="s">
        <v>15528</v>
      </c>
      <c r="I3638" s="472">
        <v>0.52200000000000002</v>
      </c>
      <c r="J3638" s="473">
        <f t="shared" si="1814"/>
        <v>151.59100000000001</v>
      </c>
      <c r="K3638" s="474">
        <f t="shared" si="1820"/>
        <v>79.130502000000007</v>
      </c>
      <c r="L3638" s="475">
        <f t="shared" si="1819"/>
        <v>149.17099999999999</v>
      </c>
      <c r="M3638" s="474">
        <f t="shared" si="1821"/>
        <v>77.867261999999997</v>
      </c>
      <c r="O3638" s="434">
        <f t="shared" si="1817"/>
        <v>151.59100000000001</v>
      </c>
      <c r="P3638" s="435">
        <f t="shared" si="1818"/>
        <v>149.17099999999999</v>
      </c>
      <c r="R3638" s="633">
        <v>1.5</v>
      </c>
      <c r="S3638" s="633">
        <v>2.605</v>
      </c>
      <c r="T3638" s="633">
        <v>2</v>
      </c>
      <c r="AE3638" s="217"/>
      <c r="AF3638" s="217">
        <v>1432</v>
      </c>
      <c r="AH3638">
        <f t="shared" si="1807"/>
        <v>1432</v>
      </c>
    </row>
    <row r="3639" ht="60" hidden="1">
      <c r="A3639" s="217"/>
      <c r="B3639" s="217">
        <v>1432</v>
      </c>
      <c r="C3639" s="217"/>
      <c r="D3639" s="217" t="s">
        <v>17167</v>
      </c>
      <c r="E3639" s="471" t="s">
        <v>20409</v>
      </c>
      <c r="F3639" s="489">
        <v>96533</v>
      </c>
      <c r="G3639" s="470" t="s">
        <v>20912</v>
      </c>
      <c r="H3639" s="471" t="s">
        <v>15515</v>
      </c>
      <c r="I3639" s="472">
        <v>13.869999999999999</v>
      </c>
      <c r="J3639" s="473">
        <f t="shared" si="1814"/>
        <v>85.980000000000004</v>
      </c>
      <c r="K3639" s="474">
        <f t="shared" si="1820"/>
        <v>1192.5426</v>
      </c>
      <c r="L3639" s="475">
        <f t="shared" si="1819"/>
        <v>83.200000000000003</v>
      </c>
      <c r="M3639" s="474">
        <f t="shared" si="1821"/>
        <v>1153.9839999999999</v>
      </c>
      <c r="O3639" s="434">
        <f t="shared" si="1817"/>
        <v>85.980000000000004</v>
      </c>
      <c r="P3639" s="435">
        <f t="shared" si="1818"/>
        <v>83.200000000000003</v>
      </c>
      <c r="AE3639" s="217"/>
      <c r="AF3639" s="217">
        <v>1432</v>
      </c>
      <c r="AH3639">
        <f t="shared" si="1807"/>
        <v>1432</v>
      </c>
    </row>
    <row r="3640" ht="60" hidden="1">
      <c r="A3640" s="217"/>
      <c r="B3640" s="217">
        <v>1432</v>
      </c>
      <c r="C3640" s="217"/>
      <c r="D3640" s="217" t="s">
        <v>17167</v>
      </c>
      <c r="E3640" s="471" t="s">
        <v>20663</v>
      </c>
      <c r="F3640" s="609">
        <v>97093</v>
      </c>
      <c r="G3640" s="638" t="s">
        <v>8818</v>
      </c>
      <c r="H3640" s="639" t="s">
        <v>302</v>
      </c>
      <c r="I3640" s="640">
        <v>39.780000000000001</v>
      </c>
      <c r="J3640" s="473">
        <f t="shared" si="1814"/>
        <v>12.140000000000001</v>
      </c>
      <c r="K3640" s="474">
        <f t="shared" si="1820"/>
        <v>482.92920000000004</v>
      </c>
      <c r="L3640" s="475">
        <f t="shared" si="1819"/>
        <v>12.109999999999999</v>
      </c>
      <c r="M3640" s="474">
        <f t="shared" si="1821"/>
        <v>481.73579999999998</v>
      </c>
      <c r="O3640" s="434">
        <f t="shared" si="1817"/>
        <v>12.140000000000001</v>
      </c>
      <c r="P3640" s="435">
        <f t="shared" si="1818"/>
        <v>12.109999999999999</v>
      </c>
      <c r="AE3640" s="217"/>
      <c r="AF3640" s="217">
        <v>1432</v>
      </c>
      <c r="AH3640">
        <f t="shared" si="1807"/>
        <v>1432</v>
      </c>
    </row>
    <row r="3641" ht="45" hidden="1">
      <c r="A3641" s="217"/>
      <c r="B3641" s="217">
        <v>1432</v>
      </c>
      <c r="C3641" s="217"/>
      <c r="D3641" s="217" t="s">
        <v>17167</v>
      </c>
      <c r="E3641" s="471" t="s">
        <v>20665</v>
      </c>
      <c r="F3641" s="489">
        <v>96543</v>
      </c>
      <c r="G3641" s="470" t="s">
        <v>20676</v>
      </c>
      <c r="H3641" s="471" t="s">
        <v>302</v>
      </c>
      <c r="I3641" s="472">
        <v>6.71</v>
      </c>
      <c r="J3641" s="473">
        <f t="shared" si="1814"/>
        <v>19.829999999999998</v>
      </c>
      <c r="K3641" s="474">
        <f t="shared" si="1820"/>
        <v>133.05929999999998</v>
      </c>
      <c r="L3641" s="475">
        <f t="shared" si="1819"/>
        <v>19.210000000000001</v>
      </c>
      <c r="M3641" s="474">
        <f t="shared" si="1821"/>
        <v>128.8991</v>
      </c>
      <c r="O3641" s="434">
        <f t="shared" si="1817"/>
        <v>19.829999999999998</v>
      </c>
      <c r="P3641" s="435">
        <f t="shared" si="1818"/>
        <v>19.210000000000001</v>
      </c>
      <c r="AE3641" s="217"/>
      <c r="AF3641" s="217">
        <v>1432</v>
      </c>
      <c r="AH3641">
        <f t="shared" si="1807"/>
        <v>1432</v>
      </c>
    </row>
    <row r="3642" ht="45" hidden="1">
      <c r="A3642" s="217"/>
      <c r="B3642" s="217">
        <v>1432</v>
      </c>
      <c r="C3642" s="217"/>
      <c r="D3642" s="217" t="s">
        <v>17167</v>
      </c>
      <c r="E3642" s="471" t="s">
        <v>20667</v>
      </c>
      <c r="F3642" s="489">
        <v>96544</v>
      </c>
      <c r="G3642" s="470" t="s">
        <v>20763</v>
      </c>
      <c r="H3642" s="471" t="s">
        <v>302</v>
      </c>
      <c r="I3642" s="472">
        <v>78.459999999999994</v>
      </c>
      <c r="J3642" s="473">
        <f t="shared" si="1814"/>
        <v>17.699999999999999</v>
      </c>
      <c r="K3642" s="474">
        <f t="shared" si="1820"/>
        <v>1388.7419999999997</v>
      </c>
      <c r="L3642" s="475">
        <f t="shared" si="1819"/>
        <v>17.23</v>
      </c>
      <c r="M3642" s="474">
        <f t="shared" si="1821"/>
        <v>1351.8658</v>
      </c>
      <c r="O3642" s="434">
        <f t="shared" si="1817"/>
        <v>17.699999999999999</v>
      </c>
      <c r="P3642" s="435">
        <f t="shared" si="1818"/>
        <v>17.23</v>
      </c>
      <c r="AE3642" s="217"/>
      <c r="AF3642" s="217">
        <v>1432</v>
      </c>
      <c r="AH3642">
        <f t="shared" si="1807"/>
        <v>1432</v>
      </c>
    </row>
    <row r="3643" ht="60" hidden="1">
      <c r="A3643" s="217"/>
      <c r="B3643" s="217">
        <v>1432</v>
      </c>
      <c r="C3643" s="217"/>
      <c r="D3643" s="217" t="s">
        <v>17167</v>
      </c>
      <c r="E3643" s="471" t="s">
        <v>20671</v>
      </c>
      <c r="F3643" s="489">
        <v>94964</v>
      </c>
      <c r="G3643" s="470" t="s">
        <v>20686</v>
      </c>
      <c r="H3643" s="471" t="s">
        <v>15528</v>
      </c>
      <c r="I3643" s="472">
        <v>3.839</v>
      </c>
      <c r="J3643" s="473">
        <f t="shared" si="1814"/>
        <v>488.52999999999997</v>
      </c>
      <c r="K3643" s="474">
        <f t="shared" si="1820"/>
        <v>1875.4666699999998</v>
      </c>
      <c r="L3643" s="475">
        <f t="shared" si="1819"/>
        <v>482.79000000000002</v>
      </c>
      <c r="M3643" s="474">
        <f t="shared" si="1821"/>
        <v>1853.4308100000001</v>
      </c>
      <c r="O3643" s="434">
        <f t="shared" si="1817"/>
        <v>488.52999999999997</v>
      </c>
      <c r="P3643" s="435">
        <f t="shared" si="1818"/>
        <v>482.79000000000002</v>
      </c>
      <c r="AE3643" s="217"/>
      <c r="AF3643" s="217">
        <v>1432</v>
      </c>
      <c r="AH3643">
        <f t="shared" si="1807"/>
        <v>1432</v>
      </c>
    </row>
    <row r="3644" ht="45" hidden="1">
      <c r="A3644" s="217"/>
      <c r="B3644" s="217">
        <v>1432</v>
      </c>
      <c r="C3644" s="217"/>
      <c r="D3644" s="217" t="s">
        <v>20398</v>
      </c>
      <c r="E3644" s="471" t="s">
        <v>20672</v>
      </c>
      <c r="F3644" s="489">
        <v>1000</v>
      </c>
      <c r="G3644" s="488" t="s">
        <v>20651</v>
      </c>
      <c r="H3644" s="472" t="s">
        <v>15528</v>
      </c>
      <c r="I3644" s="472">
        <f>I3643</f>
        <v>3.839</v>
      </c>
      <c r="J3644" s="473">
        <f t="shared" si="1814"/>
        <v>149.904</v>
      </c>
      <c r="K3644" s="474">
        <f t="shared" si="1820"/>
        <v>575.48145599999998</v>
      </c>
      <c r="L3644" s="475">
        <f t="shared" si="1819"/>
        <v>141.76949999999999</v>
      </c>
      <c r="M3644" s="474">
        <f t="shared" si="1821"/>
        <v>544.25311049999993</v>
      </c>
      <c r="O3644" s="434">
        <f t="shared" si="1817"/>
        <v>149.904</v>
      </c>
      <c r="P3644" s="435">
        <f t="shared" si="1818"/>
        <v>141.76949999999999</v>
      </c>
      <c r="AE3644" s="217"/>
      <c r="AF3644" s="217">
        <v>1432</v>
      </c>
      <c r="AH3644">
        <f t="shared" si="1807"/>
        <v>1432</v>
      </c>
    </row>
    <row r="3645" ht="75" hidden="1">
      <c r="A3645" s="217"/>
      <c r="B3645" s="217">
        <v>1432</v>
      </c>
      <c r="C3645" s="217"/>
      <c r="D3645" s="217" t="s">
        <v>20398</v>
      </c>
      <c r="E3645" s="471" t="s">
        <v>20673</v>
      </c>
      <c r="F3645" s="482">
        <v>1257</v>
      </c>
      <c r="G3645" s="470" t="s">
        <v>20906</v>
      </c>
      <c r="H3645" s="471" t="s">
        <v>15515</v>
      </c>
      <c r="I3645" s="472">
        <v>17.640000000000001</v>
      </c>
      <c r="J3645" s="473">
        <f t="shared" si="1814"/>
        <v>202.65134000000003</v>
      </c>
      <c r="K3645" s="474">
        <f t="shared" si="1820"/>
        <v>3574.7696376000008</v>
      </c>
      <c r="L3645" s="475">
        <f t="shared" si="1819"/>
        <v>197.86072000000001</v>
      </c>
      <c r="M3645" s="474">
        <f t="shared" si="1821"/>
        <v>3490.2631008000003</v>
      </c>
      <c r="O3645" s="434">
        <f t="shared" si="1817"/>
        <v>202.65134000000003</v>
      </c>
      <c r="P3645" s="435">
        <f t="shared" si="1818"/>
        <v>197.86072000000001</v>
      </c>
      <c r="AE3645" s="217"/>
      <c r="AF3645" s="217">
        <v>1432</v>
      </c>
      <c r="AH3645">
        <f t="shared" si="1807"/>
        <v>1432</v>
      </c>
    </row>
    <row r="3646" ht="75" hidden="1">
      <c r="A3646" s="217"/>
      <c r="B3646" s="217">
        <v>1432</v>
      </c>
      <c r="C3646" s="217"/>
      <c r="D3646" s="217" t="s">
        <v>17167</v>
      </c>
      <c r="E3646" s="471" t="s">
        <v>20675</v>
      </c>
      <c r="F3646" s="489">
        <v>87878</v>
      </c>
      <c r="G3646" s="470" t="s">
        <v>20910</v>
      </c>
      <c r="H3646" s="471" t="s">
        <v>15515</v>
      </c>
      <c r="I3646" s="472">
        <v>40.472000000000001</v>
      </c>
      <c r="J3646" s="473">
        <f t="shared" si="1814"/>
        <v>5.0099999999999998</v>
      </c>
      <c r="K3646" s="474">
        <f t="shared" si="1820"/>
        <v>202.76472000000001</v>
      </c>
      <c r="L3646" s="475">
        <f t="shared" si="1819"/>
        <v>4.7999999999999998</v>
      </c>
      <c r="M3646" s="474">
        <f t="shared" si="1821"/>
        <v>194.26560000000001</v>
      </c>
      <c r="O3646" s="434">
        <f t="shared" si="1817"/>
        <v>5.0099999999999998</v>
      </c>
      <c r="P3646" s="435">
        <f t="shared" si="1818"/>
        <v>4.7999999999999998</v>
      </c>
      <c r="AE3646" s="217"/>
      <c r="AF3646" s="217">
        <v>1432</v>
      </c>
      <c r="AH3646">
        <f t="shared" si="1807"/>
        <v>1432</v>
      </c>
    </row>
    <row r="3647" ht="105" hidden="1">
      <c r="A3647" s="217"/>
      <c r="B3647" s="217">
        <v>1432</v>
      </c>
      <c r="C3647" s="217"/>
      <c r="D3647" s="217" t="s">
        <v>17167</v>
      </c>
      <c r="E3647" s="471" t="s">
        <v>20677</v>
      </c>
      <c r="F3647" s="482">
        <v>87529</v>
      </c>
      <c r="G3647" s="470" t="s">
        <v>20931</v>
      </c>
      <c r="H3647" s="471" t="s">
        <v>15515</v>
      </c>
      <c r="I3647" s="472">
        <v>18</v>
      </c>
      <c r="J3647" s="473">
        <f t="shared" si="1814"/>
        <v>37.270000000000003</v>
      </c>
      <c r="K3647" s="474">
        <f t="shared" si="1820"/>
        <v>670.86000000000001</v>
      </c>
      <c r="L3647" s="475">
        <f t="shared" si="1819"/>
        <v>35.990000000000002</v>
      </c>
      <c r="M3647" s="474">
        <f t="shared" si="1821"/>
        <v>647.82000000000005</v>
      </c>
      <c r="O3647" s="434">
        <f t="shared" si="1817"/>
        <v>37.270000000000003</v>
      </c>
      <c r="P3647" s="435">
        <f t="shared" si="1818"/>
        <v>35.990000000000002</v>
      </c>
      <c r="AE3647" s="217"/>
      <c r="AF3647" s="217">
        <v>1432</v>
      </c>
      <c r="AH3647">
        <f t="shared" si="1807"/>
        <v>1432</v>
      </c>
    </row>
    <row r="3648" ht="105" hidden="1">
      <c r="A3648" s="217"/>
      <c r="B3648" s="217">
        <v>1432</v>
      </c>
      <c r="C3648" s="217"/>
      <c r="D3648" s="217" t="s">
        <v>17167</v>
      </c>
      <c r="E3648" s="471" t="s">
        <v>20679</v>
      </c>
      <c r="F3648" s="489">
        <v>5928</v>
      </c>
      <c r="G3648" s="470" t="s">
        <v>1739</v>
      </c>
      <c r="H3648" s="472" t="s">
        <v>1535</v>
      </c>
      <c r="I3648" s="472">
        <v>0.10000000000000001</v>
      </c>
      <c r="J3648" s="473">
        <f t="shared" si="1814"/>
        <v>298.70999999999998</v>
      </c>
      <c r="K3648" s="474">
        <f t="shared" si="1820"/>
        <v>29.870999999999999</v>
      </c>
      <c r="L3648" s="475">
        <f t="shared" si="1819"/>
        <v>296.98000000000002</v>
      </c>
      <c r="M3648" s="474">
        <f t="shared" si="1821"/>
        <v>29.698000000000004</v>
      </c>
      <c r="O3648" s="434">
        <f t="shared" si="1817"/>
        <v>298.70999999999998</v>
      </c>
      <c r="P3648" s="435">
        <f t="shared" si="1818"/>
        <v>296.98000000000002</v>
      </c>
      <c r="AE3648" s="217"/>
      <c r="AF3648" s="217">
        <v>1432</v>
      </c>
      <c r="AH3648">
        <f t="shared" si="1807"/>
        <v>1432</v>
      </c>
    </row>
    <row r="3649" ht="45" hidden="1">
      <c r="A3649" s="217"/>
      <c r="B3649" s="217">
        <v>1432</v>
      </c>
      <c r="C3649" s="217"/>
      <c r="D3649" s="217" t="s">
        <v>17167</v>
      </c>
      <c r="E3649" s="471" t="s">
        <v>20681</v>
      </c>
      <c r="F3649" s="489">
        <v>93382</v>
      </c>
      <c r="G3649" s="470" t="s">
        <v>20722</v>
      </c>
      <c r="H3649" s="471" t="s">
        <v>15528</v>
      </c>
      <c r="I3649" s="472">
        <v>51.594999999999999</v>
      </c>
      <c r="J3649" s="473">
        <f t="shared" si="1814"/>
        <v>27.52</v>
      </c>
      <c r="K3649" s="474">
        <f t="shared" si="1820"/>
        <v>1419.8943999999999</v>
      </c>
      <c r="L3649" s="475">
        <f t="shared" si="1819"/>
        <v>26.190000000000001</v>
      </c>
      <c r="M3649" s="474">
        <f t="shared" si="1821"/>
        <v>1351.27305</v>
      </c>
      <c r="O3649" s="434">
        <f t="shared" si="1817"/>
        <v>27.52</v>
      </c>
      <c r="P3649" s="435">
        <f t="shared" si="1818"/>
        <v>26.190000000000001</v>
      </c>
      <c r="AE3649" s="217"/>
      <c r="AF3649" s="217">
        <v>1432</v>
      </c>
      <c r="AH3649">
        <f t="shared" si="1807"/>
        <v>1432</v>
      </c>
    </row>
    <row r="3650" ht="141.75" hidden="1">
      <c r="A3650" s="460">
        <v>1433</v>
      </c>
      <c r="B3650" s="460">
        <v>1433</v>
      </c>
      <c r="C3650" s="460"/>
      <c r="D3650" s="460"/>
      <c r="E3650" s="461">
        <v>1</v>
      </c>
      <c r="F3650" s="462" t="s">
        <v>22363</v>
      </c>
      <c r="G3650" s="477" t="s">
        <v>22364</v>
      </c>
      <c r="H3650" s="478" t="s">
        <v>20647</v>
      </c>
      <c r="I3650" s="479"/>
      <c r="J3650" s="480"/>
      <c r="K3650" s="466">
        <f>SUM(K3651:K3664)</f>
        <v>14568.779410799998</v>
      </c>
      <c r="L3650" s="480"/>
      <c r="M3650" s="466">
        <f>SUM(M3651:M3664)</f>
        <v>14169.676134099998</v>
      </c>
      <c r="O3650" s="434" t="str">
        <f t="shared" si="1817"/>
        <v xml:space="preserve">SEM VALOR</v>
      </c>
      <c r="P3650" s="435" t="str">
        <f t="shared" si="1818"/>
        <v xml:space="preserve">SEM VALOR</v>
      </c>
      <c r="AE3650" s="460">
        <v>1433</v>
      </c>
      <c r="AF3650" s="460"/>
      <c r="AH3650">
        <f t="shared" si="1807"/>
        <v>1433</v>
      </c>
    </row>
    <row r="3651" ht="120" hidden="1">
      <c r="A3651" s="217"/>
      <c r="B3651" s="217">
        <v>1433</v>
      </c>
      <c r="C3651" s="217"/>
      <c r="D3651" s="217" t="s">
        <v>17167</v>
      </c>
      <c r="E3651" s="471" t="s">
        <v>20399</v>
      </c>
      <c r="F3651" s="489">
        <v>90108</v>
      </c>
      <c r="G3651" s="470" t="s">
        <v>20907</v>
      </c>
      <c r="H3651" s="472" t="s">
        <v>15528</v>
      </c>
      <c r="I3651" s="472">
        <v>80.594999999999999</v>
      </c>
      <c r="J3651" s="473">
        <f t="shared" si="1814"/>
        <v>7.8099999999999996</v>
      </c>
      <c r="K3651" s="474">
        <f t="shared" ref="K3651:K3664" si="1822">I3651*J3651</f>
        <v>629.44695000000002</v>
      </c>
      <c r="L3651" s="475">
        <f t="shared" si="1819"/>
        <v>7.6100000000000003</v>
      </c>
      <c r="M3651" s="474">
        <f t="shared" ref="M3651:M3664" si="1823">L3651*I3651</f>
        <v>613.32794999999999</v>
      </c>
      <c r="O3651" s="434">
        <f t="shared" si="1817"/>
        <v>7.8099999999999996</v>
      </c>
      <c r="P3651" s="435">
        <f t="shared" si="1818"/>
        <v>7.6100000000000003</v>
      </c>
      <c r="AE3651" s="217"/>
      <c r="AF3651" s="217">
        <v>1433</v>
      </c>
      <c r="AH3651">
        <f t="shared" si="1807"/>
        <v>1433</v>
      </c>
    </row>
    <row r="3652" ht="60" hidden="1">
      <c r="A3652" s="217"/>
      <c r="B3652" s="217">
        <v>1433</v>
      </c>
      <c r="C3652" s="217"/>
      <c r="D3652" s="217" t="s">
        <v>20398</v>
      </c>
      <c r="E3652" s="471" t="s">
        <v>20402</v>
      </c>
      <c r="F3652" s="569">
        <v>1258</v>
      </c>
      <c r="G3652" s="488" t="s">
        <v>20660</v>
      </c>
      <c r="H3652" s="472" t="s">
        <v>15515</v>
      </c>
      <c r="I3652" s="472">
        <v>12.76</v>
      </c>
      <c r="J3652" s="473">
        <f t="shared" si="1814"/>
        <v>7.5700000000000003</v>
      </c>
      <c r="K3652" s="474">
        <f t="shared" si="1822"/>
        <v>96.593199999999996</v>
      </c>
      <c r="L3652" s="475">
        <f t="shared" si="1819"/>
        <v>7.1846199999999998</v>
      </c>
      <c r="M3652" s="474">
        <f t="shared" si="1823"/>
        <v>91.675751199999993</v>
      </c>
      <c r="O3652" s="434">
        <f t="shared" si="1817"/>
        <v>7.5700000000000003</v>
      </c>
      <c r="P3652" s="435">
        <f t="shared" si="1818"/>
        <v>7.1846199999999998</v>
      </c>
      <c r="AE3652" s="217"/>
      <c r="AF3652" s="217">
        <v>1433</v>
      </c>
      <c r="AH3652">
        <f t="shared" si="1807"/>
        <v>1433</v>
      </c>
    </row>
    <row r="3653" ht="30" hidden="1">
      <c r="A3653" s="217"/>
      <c r="B3653" s="217">
        <v>1433</v>
      </c>
      <c r="C3653" s="217"/>
      <c r="D3653" s="217" t="s">
        <v>20398</v>
      </c>
      <c r="E3653" s="471" t="s">
        <v>20405</v>
      </c>
      <c r="F3653" s="482">
        <v>1242</v>
      </c>
      <c r="G3653" s="488" t="s">
        <v>20905</v>
      </c>
      <c r="H3653" s="471" t="s">
        <v>15528</v>
      </c>
      <c r="I3653" s="472">
        <v>0.63800000000000001</v>
      </c>
      <c r="J3653" s="473">
        <f t="shared" si="1814"/>
        <v>151.59100000000001</v>
      </c>
      <c r="K3653" s="474">
        <f t="shared" si="1822"/>
        <v>96.715058000000013</v>
      </c>
      <c r="L3653" s="475">
        <f t="shared" si="1819"/>
        <v>149.17099999999999</v>
      </c>
      <c r="M3653" s="474">
        <f t="shared" si="1823"/>
        <v>95.171098000000001</v>
      </c>
      <c r="O3653" s="434">
        <f t="shared" si="1817"/>
        <v>151.59100000000001</v>
      </c>
      <c r="P3653" s="435">
        <f t="shared" si="1818"/>
        <v>149.17099999999999</v>
      </c>
      <c r="R3653" s="633" t="s">
        <v>22342</v>
      </c>
      <c r="S3653" s="633" t="s">
        <v>22343</v>
      </c>
      <c r="T3653" s="633" t="s">
        <v>22344</v>
      </c>
      <c r="AE3653" s="217"/>
      <c r="AF3653" s="217">
        <v>1433</v>
      </c>
      <c r="AH3653">
        <f t="shared" si="1807"/>
        <v>1433</v>
      </c>
    </row>
    <row r="3654" ht="60" hidden="1">
      <c r="A3654" s="217"/>
      <c r="B3654" s="217">
        <v>1433</v>
      </c>
      <c r="C3654" s="217"/>
      <c r="D3654" s="217" t="s">
        <v>17167</v>
      </c>
      <c r="E3654" s="471" t="s">
        <v>20409</v>
      </c>
      <c r="F3654" s="489">
        <v>96533</v>
      </c>
      <c r="G3654" s="470" t="s">
        <v>20912</v>
      </c>
      <c r="H3654" s="471" t="s">
        <v>15515</v>
      </c>
      <c r="I3654" s="472">
        <v>16.75</v>
      </c>
      <c r="J3654" s="473">
        <f t="shared" si="1814"/>
        <v>85.980000000000004</v>
      </c>
      <c r="K3654" s="474">
        <f t="shared" si="1822"/>
        <v>1440.165</v>
      </c>
      <c r="L3654" s="475">
        <f t="shared" si="1819"/>
        <v>83.200000000000003</v>
      </c>
      <c r="M3654" s="474">
        <f t="shared" si="1823"/>
        <v>1393.6000000000001</v>
      </c>
      <c r="O3654" s="434">
        <f t="shared" si="1817"/>
        <v>85.980000000000004</v>
      </c>
      <c r="P3654" s="435">
        <f t="shared" si="1818"/>
        <v>83.200000000000003</v>
      </c>
      <c r="R3654" s="633">
        <v>1.5</v>
      </c>
      <c r="S3654" s="633">
        <v>2.605</v>
      </c>
      <c r="T3654" s="633">
        <v>2</v>
      </c>
      <c r="AE3654" s="217"/>
      <c r="AF3654" s="217">
        <v>1433</v>
      </c>
      <c r="AH3654">
        <f t="shared" si="1807"/>
        <v>1433</v>
      </c>
    </row>
    <row r="3655" ht="60" hidden="1">
      <c r="A3655" s="217"/>
      <c r="B3655" s="217">
        <v>1433</v>
      </c>
      <c r="C3655" s="217"/>
      <c r="D3655" s="217" t="s">
        <v>17167</v>
      </c>
      <c r="E3655" s="471" t="s">
        <v>20663</v>
      </c>
      <c r="F3655" s="609">
        <v>97093</v>
      </c>
      <c r="G3655" s="638" t="s">
        <v>8818</v>
      </c>
      <c r="H3655" s="639" t="s">
        <v>302</v>
      </c>
      <c r="I3655" s="640">
        <v>49.280000000000001</v>
      </c>
      <c r="J3655" s="473">
        <f t="shared" si="1814"/>
        <v>12.140000000000001</v>
      </c>
      <c r="K3655" s="474">
        <f t="shared" si="1822"/>
        <v>598.25920000000008</v>
      </c>
      <c r="L3655" s="475">
        <f t="shared" si="1819"/>
        <v>12.109999999999999</v>
      </c>
      <c r="M3655" s="474">
        <f t="shared" si="1823"/>
        <v>596.7808</v>
      </c>
      <c r="O3655" s="434">
        <f t="shared" si="1817"/>
        <v>12.140000000000001</v>
      </c>
      <c r="P3655" s="435">
        <f t="shared" si="1818"/>
        <v>12.109999999999999</v>
      </c>
      <c r="AE3655" s="217"/>
      <c r="AF3655" s="217">
        <v>1433</v>
      </c>
      <c r="AH3655">
        <f t="shared" ref="AH3655:AH3718" si="1824">IF(AF3655:AF3656=FALSE,AE3655,AF3655)</f>
        <v>1433</v>
      </c>
    </row>
    <row r="3656" ht="45" hidden="1">
      <c r="A3656" s="217"/>
      <c r="B3656" s="217">
        <v>1433</v>
      </c>
      <c r="C3656" s="217"/>
      <c r="D3656" s="217" t="s">
        <v>17167</v>
      </c>
      <c r="E3656" s="471" t="s">
        <v>20665</v>
      </c>
      <c r="F3656" s="489">
        <v>96543</v>
      </c>
      <c r="G3656" s="470" t="s">
        <v>20676</v>
      </c>
      <c r="H3656" s="471" t="s">
        <v>302</v>
      </c>
      <c r="I3656" s="472">
        <v>7.6299999999999999</v>
      </c>
      <c r="J3656" s="473">
        <f t="shared" si="1814"/>
        <v>19.829999999999998</v>
      </c>
      <c r="K3656" s="474">
        <f t="shared" si="1822"/>
        <v>151.30289999999999</v>
      </c>
      <c r="L3656" s="475">
        <f t="shared" si="1819"/>
        <v>19.210000000000001</v>
      </c>
      <c r="M3656" s="474">
        <f t="shared" si="1823"/>
        <v>146.57230000000001</v>
      </c>
      <c r="O3656" s="434">
        <f t="shared" si="1817"/>
        <v>19.829999999999998</v>
      </c>
      <c r="P3656" s="435">
        <f t="shared" si="1818"/>
        <v>19.210000000000001</v>
      </c>
      <c r="AE3656" s="217"/>
      <c r="AF3656" s="217">
        <v>1433</v>
      </c>
      <c r="AH3656">
        <f t="shared" si="1824"/>
        <v>1433</v>
      </c>
    </row>
    <row r="3657" ht="45" hidden="1">
      <c r="A3657" s="217"/>
      <c r="B3657" s="217">
        <v>1433</v>
      </c>
      <c r="C3657" s="217"/>
      <c r="D3657" s="217" t="s">
        <v>17167</v>
      </c>
      <c r="E3657" s="471" t="s">
        <v>20667</v>
      </c>
      <c r="F3657" s="489">
        <v>96544</v>
      </c>
      <c r="G3657" s="470" t="s">
        <v>20763</v>
      </c>
      <c r="H3657" s="471" t="s">
        <v>302</v>
      </c>
      <c r="I3657" s="472">
        <v>96.269999999999996</v>
      </c>
      <c r="J3657" s="473">
        <f t="shared" si="1814"/>
        <v>17.699999999999999</v>
      </c>
      <c r="K3657" s="474">
        <f t="shared" si="1822"/>
        <v>1703.9789999999998</v>
      </c>
      <c r="L3657" s="475">
        <f t="shared" si="1819"/>
        <v>17.23</v>
      </c>
      <c r="M3657" s="474">
        <f t="shared" si="1823"/>
        <v>1658.7320999999999</v>
      </c>
      <c r="O3657" s="434">
        <f t="shared" si="1817"/>
        <v>17.699999999999999</v>
      </c>
      <c r="P3657" s="435">
        <f t="shared" si="1818"/>
        <v>17.23</v>
      </c>
      <c r="AE3657" s="217"/>
      <c r="AF3657" s="217">
        <v>1433</v>
      </c>
      <c r="AH3657">
        <f t="shared" si="1824"/>
        <v>1433</v>
      </c>
    </row>
    <row r="3658" ht="60" hidden="1">
      <c r="A3658" s="217"/>
      <c r="B3658" s="217">
        <v>1433</v>
      </c>
      <c r="C3658" s="217"/>
      <c r="D3658" s="217" t="s">
        <v>17167</v>
      </c>
      <c r="E3658" s="471" t="s">
        <v>20671</v>
      </c>
      <c r="F3658" s="489">
        <v>94964</v>
      </c>
      <c r="G3658" s="470" t="s">
        <v>20686</v>
      </c>
      <c r="H3658" s="471" t="s">
        <v>15528</v>
      </c>
      <c r="I3658" s="472">
        <v>4.7789999999999999</v>
      </c>
      <c r="J3658" s="473">
        <f t="shared" si="1814"/>
        <v>488.52999999999997</v>
      </c>
      <c r="K3658" s="474">
        <f t="shared" si="1822"/>
        <v>2334.68487</v>
      </c>
      <c r="L3658" s="475">
        <f t="shared" si="1819"/>
        <v>482.79000000000002</v>
      </c>
      <c r="M3658" s="474">
        <f t="shared" si="1823"/>
        <v>2307.2534100000003</v>
      </c>
      <c r="O3658" s="434">
        <f t="shared" si="1817"/>
        <v>488.52999999999997</v>
      </c>
      <c r="P3658" s="435">
        <f t="shared" si="1818"/>
        <v>482.79000000000002</v>
      </c>
      <c r="AE3658" s="217"/>
      <c r="AF3658" s="217">
        <v>1433</v>
      </c>
      <c r="AH3658">
        <f t="shared" si="1824"/>
        <v>1433</v>
      </c>
    </row>
    <row r="3659" ht="45" hidden="1">
      <c r="A3659" s="217"/>
      <c r="B3659" s="217">
        <v>1433</v>
      </c>
      <c r="C3659" s="217"/>
      <c r="D3659" s="217" t="s">
        <v>20398</v>
      </c>
      <c r="E3659" s="471" t="s">
        <v>20672</v>
      </c>
      <c r="F3659" s="489">
        <v>1000</v>
      </c>
      <c r="G3659" s="488" t="s">
        <v>20651</v>
      </c>
      <c r="H3659" s="472" t="s">
        <v>15528</v>
      </c>
      <c r="I3659" s="472">
        <v>4.7789999999999999</v>
      </c>
      <c r="J3659" s="473">
        <f t="shared" si="1814"/>
        <v>149.904</v>
      </c>
      <c r="K3659" s="474">
        <f t="shared" si="1822"/>
        <v>716.39121599999999</v>
      </c>
      <c r="L3659" s="475">
        <f t="shared" si="1819"/>
        <v>141.76949999999999</v>
      </c>
      <c r="M3659" s="474">
        <f t="shared" si="1823"/>
        <v>677.51644049999993</v>
      </c>
      <c r="O3659" s="434">
        <f t="shared" si="1817"/>
        <v>149.904</v>
      </c>
      <c r="P3659" s="435">
        <f t="shared" si="1818"/>
        <v>141.76949999999999</v>
      </c>
      <c r="AE3659" s="217"/>
      <c r="AF3659" s="217">
        <v>1433</v>
      </c>
      <c r="AH3659">
        <f t="shared" si="1824"/>
        <v>1433</v>
      </c>
    </row>
    <row r="3660" ht="75" hidden="1">
      <c r="A3660" s="217"/>
      <c r="B3660" s="217">
        <v>1433</v>
      </c>
      <c r="C3660" s="217"/>
      <c r="D3660" s="217" t="s">
        <v>20398</v>
      </c>
      <c r="E3660" s="471" t="s">
        <v>20673</v>
      </c>
      <c r="F3660" s="482">
        <v>1257</v>
      </c>
      <c r="G3660" s="470" t="s">
        <v>20906</v>
      </c>
      <c r="H3660" s="471" t="s">
        <v>15515</v>
      </c>
      <c r="I3660" s="472">
        <v>20.52</v>
      </c>
      <c r="J3660" s="473">
        <f t="shared" si="1814"/>
        <v>202.65134000000003</v>
      </c>
      <c r="K3660" s="474">
        <f t="shared" si="1822"/>
        <v>4158.4054968000009</v>
      </c>
      <c r="L3660" s="475">
        <f t="shared" si="1819"/>
        <v>197.86072000000001</v>
      </c>
      <c r="M3660" s="474">
        <f t="shared" si="1823"/>
        <v>4060.1019744</v>
      </c>
      <c r="O3660" s="434">
        <f t="shared" si="1817"/>
        <v>202.65134000000003</v>
      </c>
      <c r="P3660" s="435">
        <f t="shared" si="1818"/>
        <v>197.86072000000001</v>
      </c>
      <c r="AE3660" s="217"/>
      <c r="AF3660" s="217">
        <v>1433</v>
      </c>
      <c r="AH3660">
        <f t="shared" si="1824"/>
        <v>1433</v>
      </c>
    </row>
    <row r="3661" ht="75" hidden="1">
      <c r="A3661" s="217"/>
      <c r="B3661" s="217">
        <v>1433</v>
      </c>
      <c r="C3661" s="217"/>
      <c r="D3661" s="217" t="s">
        <v>17167</v>
      </c>
      <c r="E3661" s="471" t="s">
        <v>20675</v>
      </c>
      <c r="F3661" s="489">
        <v>87878</v>
      </c>
      <c r="G3661" s="470" t="s">
        <v>20910</v>
      </c>
      <c r="H3661" s="471" t="s">
        <v>15515</v>
      </c>
      <c r="I3661" s="472">
        <v>47.064</v>
      </c>
      <c r="J3661" s="473">
        <f t="shared" si="1814"/>
        <v>5.0099999999999998</v>
      </c>
      <c r="K3661" s="474">
        <f t="shared" si="1822"/>
        <v>235.79064</v>
      </c>
      <c r="L3661" s="475">
        <f t="shared" si="1819"/>
        <v>4.7999999999999998</v>
      </c>
      <c r="M3661" s="474">
        <f t="shared" si="1823"/>
        <v>225.90719999999999</v>
      </c>
      <c r="O3661" s="434">
        <f t="shared" si="1817"/>
        <v>5.0099999999999998</v>
      </c>
      <c r="P3661" s="435">
        <f t="shared" si="1818"/>
        <v>4.7999999999999998</v>
      </c>
      <c r="AE3661" s="217"/>
      <c r="AF3661" s="217">
        <v>1433</v>
      </c>
      <c r="AH3661">
        <f t="shared" si="1824"/>
        <v>1433</v>
      </c>
    </row>
    <row r="3662" ht="105" hidden="1">
      <c r="A3662" s="217"/>
      <c r="B3662" s="217">
        <v>1433</v>
      </c>
      <c r="C3662" s="217"/>
      <c r="D3662" s="217" t="s">
        <v>17167</v>
      </c>
      <c r="E3662" s="471" t="s">
        <v>20677</v>
      </c>
      <c r="F3662" s="482">
        <v>87529</v>
      </c>
      <c r="G3662" s="470" t="s">
        <v>20931</v>
      </c>
      <c r="H3662" s="471" t="s">
        <v>15515</v>
      </c>
      <c r="I3662" s="472">
        <v>21.199999999999999</v>
      </c>
      <c r="J3662" s="473">
        <f t="shared" si="1814"/>
        <v>37.270000000000003</v>
      </c>
      <c r="K3662" s="474">
        <f t="shared" si="1822"/>
        <v>790.12400000000002</v>
      </c>
      <c r="L3662" s="475">
        <f t="shared" si="1819"/>
        <v>35.990000000000002</v>
      </c>
      <c r="M3662" s="474">
        <f t="shared" si="1823"/>
        <v>762.98800000000006</v>
      </c>
      <c r="O3662" s="434">
        <f t="shared" si="1817"/>
        <v>37.270000000000003</v>
      </c>
      <c r="P3662" s="435">
        <f t="shared" si="1818"/>
        <v>35.990000000000002</v>
      </c>
      <c r="AE3662" s="217"/>
      <c r="AF3662" s="217">
        <v>1433</v>
      </c>
      <c r="AH3662">
        <f t="shared" si="1824"/>
        <v>1433</v>
      </c>
    </row>
    <row r="3663" ht="105" hidden="1">
      <c r="A3663" s="217"/>
      <c r="B3663" s="217">
        <v>1433</v>
      </c>
      <c r="C3663" s="217"/>
      <c r="D3663" s="217" t="s">
        <v>17167</v>
      </c>
      <c r="E3663" s="471" t="s">
        <v>20679</v>
      </c>
      <c r="F3663" s="489">
        <v>5928</v>
      </c>
      <c r="G3663" s="470" t="s">
        <v>1739</v>
      </c>
      <c r="H3663" s="472" t="s">
        <v>1535</v>
      </c>
      <c r="I3663" s="472">
        <v>0.10000000000000001</v>
      </c>
      <c r="J3663" s="473">
        <f t="shared" si="1814"/>
        <v>298.70999999999998</v>
      </c>
      <c r="K3663" s="474">
        <f t="shared" si="1822"/>
        <v>29.870999999999999</v>
      </c>
      <c r="L3663" s="475">
        <f t="shared" si="1819"/>
        <v>296.98000000000002</v>
      </c>
      <c r="M3663" s="474">
        <f t="shared" si="1823"/>
        <v>29.698000000000004</v>
      </c>
      <c r="O3663" s="434">
        <f t="shared" si="1817"/>
        <v>298.70999999999998</v>
      </c>
      <c r="P3663" s="435">
        <f t="shared" si="1818"/>
        <v>296.98000000000002</v>
      </c>
      <c r="AE3663" s="217"/>
      <c r="AF3663" s="217">
        <v>1433</v>
      </c>
      <c r="AH3663">
        <f t="shared" si="1824"/>
        <v>1433</v>
      </c>
    </row>
    <row r="3664" ht="45" hidden="1">
      <c r="A3664" s="217"/>
      <c r="B3664" s="217">
        <v>1433</v>
      </c>
      <c r="C3664" s="217"/>
      <c r="D3664" s="217" t="s">
        <v>17167</v>
      </c>
      <c r="E3664" s="471" t="s">
        <v>20681</v>
      </c>
      <c r="F3664" s="489">
        <v>93382</v>
      </c>
      <c r="G3664" s="470" t="s">
        <v>20722</v>
      </c>
      <c r="H3664" s="471" t="s">
        <v>15528</v>
      </c>
      <c r="I3664" s="472">
        <v>57.668999999999997</v>
      </c>
      <c r="J3664" s="473">
        <f t="shared" si="1814"/>
        <v>27.52</v>
      </c>
      <c r="K3664" s="474">
        <f t="shared" si="1822"/>
        <v>1587.0508799999998</v>
      </c>
      <c r="L3664" s="475">
        <f t="shared" si="1819"/>
        <v>26.190000000000001</v>
      </c>
      <c r="M3664" s="474">
        <f t="shared" si="1823"/>
        <v>1510.3511100000001</v>
      </c>
      <c r="O3664" s="434">
        <f t="shared" si="1817"/>
        <v>27.52</v>
      </c>
      <c r="P3664" s="435">
        <f t="shared" si="1818"/>
        <v>26.190000000000001</v>
      </c>
      <c r="AE3664" s="217"/>
      <c r="AF3664" s="217">
        <v>1433</v>
      </c>
      <c r="AH3664">
        <f t="shared" si="1824"/>
        <v>1433</v>
      </c>
    </row>
    <row r="3665" ht="141.75" hidden="1">
      <c r="A3665" s="460">
        <v>1434</v>
      </c>
      <c r="B3665" s="460">
        <v>1434</v>
      </c>
      <c r="C3665" s="460"/>
      <c r="D3665" s="460"/>
      <c r="E3665" s="461">
        <v>1</v>
      </c>
      <c r="F3665" s="462" t="s">
        <v>22365</v>
      </c>
      <c r="G3665" s="477" t="s">
        <v>22366</v>
      </c>
      <c r="H3665" s="478" t="s">
        <v>20647</v>
      </c>
      <c r="I3665" s="479"/>
      <c r="J3665" s="480"/>
      <c r="K3665" s="466">
        <f>SUM(K3666:K3679)</f>
        <v>18993.949751799999</v>
      </c>
      <c r="L3665" s="480"/>
      <c r="M3665" s="466">
        <f>SUM(M3666:M3679)</f>
        <v>18478.400780350003</v>
      </c>
      <c r="O3665" s="434" t="str">
        <f t="shared" si="1817"/>
        <v xml:space="preserve">SEM VALOR</v>
      </c>
      <c r="P3665" s="435" t="str">
        <f t="shared" si="1818"/>
        <v xml:space="preserve">SEM VALOR</v>
      </c>
      <c r="AE3665" s="460">
        <v>1434</v>
      </c>
      <c r="AF3665" s="460"/>
      <c r="AH3665">
        <f t="shared" si="1824"/>
        <v>1434</v>
      </c>
    </row>
    <row r="3666" ht="120" hidden="1">
      <c r="A3666" s="217"/>
      <c r="B3666" s="217">
        <v>1434</v>
      </c>
      <c r="C3666" s="217"/>
      <c r="D3666" s="217" t="s">
        <v>17167</v>
      </c>
      <c r="E3666" s="471" t="s">
        <v>20399</v>
      </c>
      <c r="F3666" s="489">
        <v>90108</v>
      </c>
      <c r="G3666" s="470" t="s">
        <v>20907</v>
      </c>
      <c r="H3666" s="472" t="s">
        <v>15528</v>
      </c>
      <c r="I3666" s="472">
        <v>100.74375000000001</v>
      </c>
      <c r="J3666" s="473">
        <f t="shared" si="1814"/>
        <v>7.8099999999999996</v>
      </c>
      <c r="K3666" s="474">
        <f t="shared" ref="K3666:K3679" si="1825">I3666*J3666</f>
        <v>786.80868750000002</v>
      </c>
      <c r="L3666" s="475">
        <f t="shared" si="1819"/>
        <v>7.6100000000000003</v>
      </c>
      <c r="M3666" s="474">
        <f t="shared" ref="M3666:M3679" si="1826">L3666*I3666</f>
        <v>766.65993750000007</v>
      </c>
      <c r="O3666" s="434">
        <f t="shared" si="1817"/>
        <v>7.8099999999999996</v>
      </c>
      <c r="P3666" s="435">
        <f t="shared" si="1818"/>
        <v>7.6100000000000003</v>
      </c>
      <c r="AE3666" s="217"/>
      <c r="AF3666" s="217">
        <v>1434</v>
      </c>
      <c r="AH3666">
        <f t="shared" si="1824"/>
        <v>1434</v>
      </c>
    </row>
    <row r="3667" ht="60" hidden="1">
      <c r="A3667" s="217"/>
      <c r="B3667" s="217">
        <v>1434</v>
      </c>
      <c r="C3667" s="217"/>
      <c r="D3667" s="217" t="s">
        <v>20398</v>
      </c>
      <c r="E3667" s="471" t="s">
        <v>20402</v>
      </c>
      <c r="F3667" s="569">
        <v>1258</v>
      </c>
      <c r="G3667" s="488" t="s">
        <v>20660</v>
      </c>
      <c r="H3667" s="472" t="s">
        <v>15515</v>
      </c>
      <c r="I3667" s="472">
        <v>17.109999999999999</v>
      </c>
      <c r="J3667" s="473">
        <f t="shared" si="1814"/>
        <v>7.5700000000000003</v>
      </c>
      <c r="K3667" s="474">
        <f t="shared" si="1825"/>
        <v>129.52270000000001</v>
      </c>
      <c r="L3667" s="475">
        <f t="shared" si="1819"/>
        <v>7.1846199999999998</v>
      </c>
      <c r="M3667" s="474">
        <f t="shared" si="1826"/>
        <v>122.92884819999999</v>
      </c>
      <c r="O3667" s="434">
        <f t="shared" si="1817"/>
        <v>7.5700000000000003</v>
      </c>
      <c r="P3667" s="435">
        <f t="shared" si="1818"/>
        <v>7.1846199999999998</v>
      </c>
      <c r="AE3667" s="217"/>
      <c r="AF3667" s="217">
        <v>1434</v>
      </c>
      <c r="AH3667">
        <f t="shared" si="1824"/>
        <v>1434</v>
      </c>
    </row>
    <row r="3668" ht="30" hidden="1">
      <c r="A3668" s="217"/>
      <c r="B3668" s="217">
        <v>1434</v>
      </c>
      <c r="C3668" s="217"/>
      <c r="D3668" s="217" t="s">
        <v>20398</v>
      </c>
      <c r="E3668" s="471" t="s">
        <v>20405</v>
      </c>
      <c r="F3668" s="482">
        <v>1242</v>
      </c>
      <c r="G3668" s="488" t="s">
        <v>20905</v>
      </c>
      <c r="H3668" s="471" t="s">
        <v>15528</v>
      </c>
      <c r="I3668" s="472">
        <v>0.85550000000000004</v>
      </c>
      <c r="J3668" s="473">
        <f t="shared" si="1814"/>
        <v>151.59100000000001</v>
      </c>
      <c r="K3668" s="474">
        <f t="shared" si="1825"/>
        <v>129.68610050000001</v>
      </c>
      <c r="L3668" s="475">
        <f t="shared" si="1819"/>
        <v>149.17099999999999</v>
      </c>
      <c r="M3668" s="474">
        <f t="shared" si="1826"/>
        <v>127.6157905</v>
      </c>
      <c r="O3668" s="434">
        <f t="shared" si="1817"/>
        <v>151.59100000000001</v>
      </c>
      <c r="P3668" s="435">
        <f t="shared" si="1818"/>
        <v>149.17099999999999</v>
      </c>
      <c r="R3668" s="633" t="s">
        <v>22342</v>
      </c>
      <c r="S3668" s="633" t="s">
        <v>22343</v>
      </c>
      <c r="T3668" s="633" t="s">
        <v>22344</v>
      </c>
      <c r="AE3668" s="217"/>
      <c r="AF3668" s="217">
        <v>1434</v>
      </c>
      <c r="AH3668">
        <f t="shared" si="1824"/>
        <v>1434</v>
      </c>
    </row>
    <row r="3669" ht="60" hidden="1">
      <c r="A3669" s="217"/>
      <c r="B3669" s="217">
        <v>1434</v>
      </c>
      <c r="C3669" s="217"/>
      <c r="D3669" s="217" t="s">
        <v>17167</v>
      </c>
      <c r="E3669" s="471" t="s">
        <v>20409</v>
      </c>
      <c r="F3669" s="489">
        <v>96533</v>
      </c>
      <c r="G3669" s="470" t="s">
        <v>20912</v>
      </c>
      <c r="H3669" s="471" t="s">
        <v>15515</v>
      </c>
      <c r="I3669" s="472">
        <v>22.149999999999999</v>
      </c>
      <c r="J3669" s="473">
        <f t="shared" si="1814"/>
        <v>85.980000000000004</v>
      </c>
      <c r="K3669" s="474">
        <f t="shared" si="1825"/>
        <v>1904.4569999999999</v>
      </c>
      <c r="L3669" s="475">
        <f t="shared" si="1819"/>
        <v>83.200000000000003</v>
      </c>
      <c r="M3669" s="474">
        <f t="shared" si="1826"/>
        <v>1842.8799999999999</v>
      </c>
      <c r="O3669" s="434">
        <f t="shared" si="1817"/>
        <v>85.980000000000004</v>
      </c>
      <c r="P3669" s="435">
        <f t="shared" si="1818"/>
        <v>83.200000000000003</v>
      </c>
      <c r="R3669" s="633">
        <v>1.5</v>
      </c>
      <c r="S3669" s="633">
        <v>2.605</v>
      </c>
      <c r="T3669" s="633">
        <v>2</v>
      </c>
      <c r="AE3669" s="217"/>
      <c r="AF3669" s="217">
        <v>1434</v>
      </c>
      <c r="AH3669">
        <f t="shared" si="1824"/>
        <v>1434</v>
      </c>
    </row>
    <row r="3670" ht="60" hidden="1">
      <c r="A3670" s="217"/>
      <c r="B3670" s="217">
        <v>1434</v>
      </c>
      <c r="C3670" s="217"/>
      <c r="D3670" s="217" t="s">
        <v>17167</v>
      </c>
      <c r="E3670" s="471" t="s">
        <v>20663</v>
      </c>
      <c r="F3670" s="609">
        <v>97093</v>
      </c>
      <c r="G3670" s="638" t="s">
        <v>8818</v>
      </c>
      <c r="H3670" s="639" t="s">
        <v>302</v>
      </c>
      <c r="I3670" s="640">
        <v>67.090000000000003</v>
      </c>
      <c r="J3670" s="473">
        <f t="shared" si="1814"/>
        <v>12.140000000000001</v>
      </c>
      <c r="K3670" s="474">
        <f t="shared" si="1825"/>
        <v>814.47260000000006</v>
      </c>
      <c r="L3670" s="475">
        <f t="shared" si="1819"/>
        <v>12.109999999999999</v>
      </c>
      <c r="M3670" s="474">
        <f t="shared" si="1826"/>
        <v>812.45989999999995</v>
      </c>
      <c r="O3670" s="434">
        <f t="shared" si="1817"/>
        <v>12.140000000000001</v>
      </c>
      <c r="P3670" s="435">
        <f t="shared" si="1818"/>
        <v>12.109999999999999</v>
      </c>
      <c r="AE3670" s="217"/>
      <c r="AF3670" s="217">
        <v>1434</v>
      </c>
      <c r="AH3670">
        <f t="shared" si="1824"/>
        <v>1434</v>
      </c>
    </row>
    <row r="3671" ht="45" hidden="1">
      <c r="A3671" s="217"/>
      <c r="B3671" s="217">
        <v>1434</v>
      </c>
      <c r="C3671" s="217"/>
      <c r="D3671" s="217" t="s">
        <v>17167</v>
      </c>
      <c r="E3671" s="471" t="s">
        <v>20665</v>
      </c>
      <c r="F3671" s="489">
        <v>96543</v>
      </c>
      <c r="G3671" s="470" t="s">
        <v>20676</v>
      </c>
      <c r="H3671" s="471" t="s">
        <v>302</v>
      </c>
      <c r="I3671" s="472">
        <v>10.380000000000001</v>
      </c>
      <c r="J3671" s="473">
        <f t="shared" si="1814"/>
        <v>19.829999999999998</v>
      </c>
      <c r="K3671" s="474">
        <f t="shared" si="1825"/>
        <v>205.83539999999999</v>
      </c>
      <c r="L3671" s="475">
        <f t="shared" si="1819"/>
        <v>19.210000000000001</v>
      </c>
      <c r="M3671" s="474">
        <f t="shared" si="1826"/>
        <v>199.39980000000003</v>
      </c>
      <c r="O3671" s="434">
        <f t="shared" si="1817"/>
        <v>19.829999999999998</v>
      </c>
      <c r="P3671" s="435">
        <f t="shared" si="1818"/>
        <v>19.210000000000001</v>
      </c>
      <c r="AE3671" s="217"/>
      <c r="AF3671" s="217">
        <v>1434</v>
      </c>
      <c r="AH3671">
        <f t="shared" si="1824"/>
        <v>1434</v>
      </c>
    </row>
    <row r="3672" ht="45" hidden="1">
      <c r="A3672" s="217"/>
      <c r="B3672" s="217">
        <v>1434</v>
      </c>
      <c r="C3672" s="217"/>
      <c r="D3672" s="217" t="s">
        <v>17167</v>
      </c>
      <c r="E3672" s="471" t="s">
        <v>20667</v>
      </c>
      <c r="F3672" s="489">
        <v>96544</v>
      </c>
      <c r="G3672" s="470" t="s">
        <v>20763</v>
      </c>
      <c r="H3672" s="471" t="s">
        <v>302</v>
      </c>
      <c r="I3672" s="472">
        <v>132.90000000000001</v>
      </c>
      <c r="J3672" s="473">
        <f t="shared" si="1814"/>
        <v>17.699999999999999</v>
      </c>
      <c r="K3672" s="474">
        <f t="shared" si="1825"/>
        <v>2352.3299999999999</v>
      </c>
      <c r="L3672" s="475">
        <f t="shared" si="1819"/>
        <v>17.23</v>
      </c>
      <c r="M3672" s="474">
        <f t="shared" si="1826"/>
        <v>2289.8670000000002</v>
      </c>
      <c r="O3672" s="434">
        <f t="shared" si="1817"/>
        <v>17.699999999999999</v>
      </c>
      <c r="P3672" s="435">
        <f t="shared" si="1818"/>
        <v>17.23</v>
      </c>
      <c r="AE3672" s="217"/>
      <c r="AF3672" s="217">
        <v>1434</v>
      </c>
      <c r="AH3672">
        <f t="shared" si="1824"/>
        <v>1434</v>
      </c>
    </row>
    <row r="3673" ht="60" hidden="1">
      <c r="A3673" s="217"/>
      <c r="B3673" s="217">
        <v>1434</v>
      </c>
      <c r="C3673" s="217"/>
      <c r="D3673" s="217" t="s">
        <v>17167</v>
      </c>
      <c r="E3673" s="471" t="s">
        <v>20671</v>
      </c>
      <c r="F3673" s="489">
        <v>94964</v>
      </c>
      <c r="G3673" s="470" t="s">
        <v>20686</v>
      </c>
      <c r="H3673" s="471" t="s">
        <v>15528</v>
      </c>
      <c r="I3673" s="472">
        <v>6.5415000000000001</v>
      </c>
      <c r="J3673" s="473">
        <f t="shared" si="1814"/>
        <v>488.52999999999997</v>
      </c>
      <c r="K3673" s="474">
        <f t="shared" si="1825"/>
        <v>3195.7189949999997</v>
      </c>
      <c r="L3673" s="475">
        <f t="shared" si="1819"/>
        <v>482.79000000000002</v>
      </c>
      <c r="M3673" s="474">
        <f t="shared" si="1826"/>
        <v>3158.1707850000003</v>
      </c>
      <c r="O3673" s="434">
        <f t="shared" si="1817"/>
        <v>488.52999999999997</v>
      </c>
      <c r="P3673" s="435">
        <f t="shared" si="1818"/>
        <v>482.79000000000002</v>
      </c>
      <c r="AE3673" s="217"/>
      <c r="AF3673" s="217">
        <v>1434</v>
      </c>
      <c r="AH3673">
        <f t="shared" si="1824"/>
        <v>1434</v>
      </c>
    </row>
    <row r="3674" ht="45" hidden="1">
      <c r="A3674" s="217"/>
      <c r="B3674" s="217">
        <v>1434</v>
      </c>
      <c r="C3674" s="217"/>
      <c r="D3674" s="217" t="s">
        <v>20398</v>
      </c>
      <c r="E3674" s="471" t="s">
        <v>20672</v>
      </c>
      <c r="F3674" s="489">
        <v>1000</v>
      </c>
      <c r="G3674" s="488" t="s">
        <v>20651</v>
      </c>
      <c r="H3674" s="472" t="s">
        <v>15528</v>
      </c>
      <c r="I3674" s="472">
        <v>6.5415000000000001</v>
      </c>
      <c r="J3674" s="473">
        <f t="shared" si="1814"/>
        <v>149.904</v>
      </c>
      <c r="K3674" s="474">
        <f t="shared" si="1825"/>
        <v>980.59701599999994</v>
      </c>
      <c r="L3674" s="475">
        <f t="shared" si="1819"/>
        <v>141.76949999999999</v>
      </c>
      <c r="M3674" s="474">
        <f t="shared" si="1826"/>
        <v>927.38518424999995</v>
      </c>
      <c r="O3674" s="434">
        <f t="shared" si="1817"/>
        <v>149.904</v>
      </c>
      <c r="P3674" s="435">
        <f t="shared" si="1818"/>
        <v>141.76949999999999</v>
      </c>
      <c r="AE3674" s="217"/>
      <c r="AF3674" s="217">
        <v>1434</v>
      </c>
      <c r="AH3674">
        <f t="shared" si="1824"/>
        <v>1434</v>
      </c>
    </row>
    <row r="3675" ht="75" hidden="1">
      <c r="A3675" s="217"/>
      <c r="B3675" s="217">
        <v>1434</v>
      </c>
      <c r="C3675" s="217"/>
      <c r="D3675" s="217" t="s">
        <v>20398</v>
      </c>
      <c r="E3675" s="471" t="s">
        <v>20673</v>
      </c>
      <c r="F3675" s="482">
        <v>1257</v>
      </c>
      <c r="G3675" s="470" t="s">
        <v>20906</v>
      </c>
      <c r="H3675" s="471" t="s">
        <v>15515</v>
      </c>
      <c r="I3675" s="472">
        <v>25.920000000000002</v>
      </c>
      <c r="J3675" s="473">
        <f t="shared" si="1814"/>
        <v>202.65134000000003</v>
      </c>
      <c r="K3675" s="474">
        <f t="shared" si="1825"/>
        <v>5252.7227328000008</v>
      </c>
      <c r="L3675" s="475">
        <f t="shared" si="1819"/>
        <v>197.86072000000001</v>
      </c>
      <c r="M3675" s="474">
        <f t="shared" si="1826"/>
        <v>5128.5498624000011</v>
      </c>
      <c r="O3675" s="434">
        <f t="shared" si="1817"/>
        <v>202.65134000000003</v>
      </c>
      <c r="P3675" s="435">
        <f t="shared" si="1818"/>
        <v>197.86072000000001</v>
      </c>
      <c r="AE3675" s="217"/>
      <c r="AF3675" s="217">
        <v>1434</v>
      </c>
      <c r="AH3675">
        <f t="shared" si="1824"/>
        <v>1434</v>
      </c>
    </row>
    <row r="3676" ht="75" hidden="1">
      <c r="A3676" s="217"/>
      <c r="B3676" s="217">
        <v>1434</v>
      </c>
      <c r="C3676" s="217"/>
      <c r="D3676" s="217" t="s">
        <v>17167</v>
      </c>
      <c r="E3676" s="471" t="s">
        <v>20675</v>
      </c>
      <c r="F3676" s="489">
        <v>87878</v>
      </c>
      <c r="G3676" s="470" t="s">
        <v>20910</v>
      </c>
      <c r="H3676" s="471" t="s">
        <v>15515</v>
      </c>
      <c r="I3676" s="472">
        <v>59.423999999999999</v>
      </c>
      <c r="J3676" s="473">
        <f t="shared" si="1814"/>
        <v>5.0099999999999998</v>
      </c>
      <c r="K3676" s="474">
        <f t="shared" si="1825"/>
        <v>297.71423999999996</v>
      </c>
      <c r="L3676" s="475">
        <f t="shared" si="1819"/>
        <v>4.7999999999999998</v>
      </c>
      <c r="M3676" s="474">
        <f t="shared" si="1826"/>
        <v>285.23519999999996</v>
      </c>
      <c r="O3676" s="434">
        <f t="shared" si="1817"/>
        <v>5.0099999999999998</v>
      </c>
      <c r="P3676" s="435">
        <f t="shared" si="1818"/>
        <v>4.7999999999999998</v>
      </c>
      <c r="AE3676" s="217"/>
      <c r="AF3676" s="217">
        <v>1434</v>
      </c>
      <c r="AH3676">
        <f t="shared" si="1824"/>
        <v>1434</v>
      </c>
    </row>
    <row r="3677" ht="105" hidden="1">
      <c r="A3677" s="217"/>
      <c r="B3677" s="217">
        <v>1434</v>
      </c>
      <c r="C3677" s="217"/>
      <c r="D3677" s="217" t="s">
        <v>17167</v>
      </c>
      <c r="E3677" s="471" t="s">
        <v>20677</v>
      </c>
      <c r="F3677" s="482">
        <v>87529</v>
      </c>
      <c r="G3677" s="470" t="s">
        <v>20931</v>
      </c>
      <c r="H3677" s="471" t="s">
        <v>15515</v>
      </c>
      <c r="I3677" s="472">
        <v>27.199999999999999</v>
      </c>
      <c r="J3677" s="473">
        <f t="shared" si="1814"/>
        <v>37.270000000000003</v>
      </c>
      <c r="K3677" s="474">
        <f t="shared" si="1825"/>
        <v>1013.744</v>
      </c>
      <c r="L3677" s="475">
        <f t="shared" si="1819"/>
        <v>35.990000000000002</v>
      </c>
      <c r="M3677" s="474">
        <f t="shared" si="1826"/>
        <v>978.928</v>
      </c>
      <c r="O3677" s="434">
        <f t="shared" si="1817"/>
        <v>37.270000000000003</v>
      </c>
      <c r="P3677" s="435">
        <f t="shared" si="1818"/>
        <v>35.990000000000002</v>
      </c>
      <c r="AE3677" s="217"/>
      <c r="AF3677" s="217">
        <v>1434</v>
      </c>
      <c r="AH3677">
        <f t="shared" si="1824"/>
        <v>1434</v>
      </c>
    </row>
    <row r="3678" ht="105" hidden="1">
      <c r="A3678" s="217"/>
      <c r="B3678" s="217">
        <v>1434</v>
      </c>
      <c r="C3678" s="217"/>
      <c r="D3678" s="217" t="s">
        <v>17167</v>
      </c>
      <c r="E3678" s="471" t="s">
        <v>20679</v>
      </c>
      <c r="F3678" s="489">
        <v>5928</v>
      </c>
      <c r="G3678" s="470" t="s">
        <v>1739</v>
      </c>
      <c r="H3678" s="472" t="s">
        <v>1535</v>
      </c>
      <c r="I3678" s="472">
        <v>0.10000000000000001</v>
      </c>
      <c r="J3678" s="473">
        <f t="shared" ref="J3678:J3741" si="1827">O3678*$J$3</f>
        <v>298.70999999999998</v>
      </c>
      <c r="K3678" s="474">
        <f t="shared" si="1825"/>
        <v>29.870999999999999</v>
      </c>
      <c r="L3678" s="475">
        <f t="shared" si="1819"/>
        <v>296.98000000000002</v>
      </c>
      <c r="M3678" s="474">
        <f t="shared" si="1826"/>
        <v>29.698000000000004</v>
      </c>
      <c r="O3678" s="434">
        <f t="shared" si="1817"/>
        <v>298.70999999999998</v>
      </c>
      <c r="P3678" s="435">
        <f t="shared" si="1818"/>
        <v>296.98000000000002</v>
      </c>
      <c r="AE3678" s="217"/>
      <c r="AF3678" s="217">
        <v>1434</v>
      </c>
      <c r="AH3678">
        <f t="shared" si="1824"/>
        <v>1434</v>
      </c>
    </row>
    <row r="3679" ht="45" hidden="1">
      <c r="A3679" s="217"/>
      <c r="B3679" s="217">
        <v>1434</v>
      </c>
      <c r="C3679" s="217"/>
      <c r="D3679" s="217" t="s">
        <v>17167</v>
      </c>
      <c r="E3679" s="471" t="s">
        <v>20681</v>
      </c>
      <c r="F3679" s="489">
        <v>93382</v>
      </c>
      <c r="G3679" s="470" t="s">
        <v>20722</v>
      </c>
      <c r="H3679" s="471" t="s">
        <v>15528</v>
      </c>
      <c r="I3679" s="472">
        <v>69.057749999999999</v>
      </c>
      <c r="J3679" s="473">
        <f t="shared" si="1827"/>
        <v>27.52</v>
      </c>
      <c r="K3679" s="474">
        <f t="shared" si="1825"/>
        <v>1900.46928</v>
      </c>
      <c r="L3679" s="475">
        <f t="shared" si="1819"/>
        <v>26.190000000000001</v>
      </c>
      <c r="M3679" s="474">
        <f t="shared" si="1826"/>
        <v>1808.6224725</v>
      </c>
      <c r="O3679" s="434">
        <f t="shared" si="1817"/>
        <v>27.52</v>
      </c>
      <c r="P3679" s="435">
        <f t="shared" si="1818"/>
        <v>26.190000000000001</v>
      </c>
      <c r="AE3679" s="217"/>
      <c r="AF3679" s="217">
        <v>1434</v>
      </c>
      <c r="AH3679">
        <f t="shared" si="1824"/>
        <v>1434</v>
      </c>
    </row>
    <row r="3680" ht="141.75" hidden="1">
      <c r="A3680" s="460">
        <v>1435</v>
      </c>
      <c r="B3680" s="460">
        <v>1435</v>
      </c>
      <c r="C3680" s="460"/>
      <c r="D3680" s="460"/>
      <c r="E3680" s="461">
        <v>1</v>
      </c>
      <c r="F3680" s="462" t="s">
        <v>22367</v>
      </c>
      <c r="G3680" s="477" t="s">
        <v>22368</v>
      </c>
      <c r="H3680" s="478" t="s">
        <v>20647</v>
      </c>
      <c r="I3680" s="479"/>
      <c r="J3680" s="480"/>
      <c r="K3680" s="466">
        <f>SUM(K3681:K3694)</f>
        <v>23624.561622200003</v>
      </c>
      <c r="L3680" s="480"/>
      <c r="M3680" s="466">
        <f>SUM(M3681:M3694)</f>
        <v>22987.312236350001</v>
      </c>
      <c r="O3680" s="434" t="str">
        <f t="shared" si="1817"/>
        <v xml:space="preserve">SEM VALOR</v>
      </c>
      <c r="P3680" s="435" t="str">
        <f t="shared" si="1818"/>
        <v xml:space="preserve">SEM VALOR</v>
      </c>
      <c r="AE3680" s="460">
        <v>1435</v>
      </c>
      <c r="AF3680" s="460"/>
      <c r="AH3680">
        <f t="shared" si="1824"/>
        <v>1435</v>
      </c>
    </row>
    <row r="3681" ht="120" hidden="1">
      <c r="A3681" s="217"/>
      <c r="B3681" s="217">
        <v>1435</v>
      </c>
      <c r="C3681" s="217"/>
      <c r="D3681" s="217" t="s">
        <v>17167</v>
      </c>
      <c r="E3681" s="471" t="s">
        <v>20399</v>
      </c>
      <c r="F3681" s="489">
        <v>90108</v>
      </c>
      <c r="G3681" s="470" t="s">
        <v>20907</v>
      </c>
      <c r="H3681" s="472" t="s">
        <v>15528</v>
      </c>
      <c r="I3681" s="472">
        <v>122.23575</v>
      </c>
      <c r="J3681" s="473">
        <f t="shared" si="1827"/>
        <v>7.8099999999999996</v>
      </c>
      <c r="K3681" s="474">
        <f t="shared" ref="K3681:K3694" si="1828">I3681*J3681</f>
        <v>954.66120749999993</v>
      </c>
      <c r="L3681" s="475">
        <f t="shared" si="1819"/>
        <v>7.6100000000000003</v>
      </c>
      <c r="M3681" s="474">
        <f t="shared" ref="M3681:M3694" si="1829">L3681*I3681</f>
        <v>930.21405749999997</v>
      </c>
      <c r="O3681" s="434">
        <f t="shared" si="1817"/>
        <v>7.8099999999999996</v>
      </c>
      <c r="P3681" s="435">
        <f t="shared" si="1818"/>
        <v>7.6100000000000003</v>
      </c>
      <c r="AE3681" s="217"/>
      <c r="AF3681" s="217">
        <v>1435</v>
      </c>
      <c r="AH3681">
        <f t="shared" si="1824"/>
        <v>1435</v>
      </c>
    </row>
    <row r="3682" ht="60" hidden="1">
      <c r="A3682" s="217"/>
      <c r="B3682" s="217">
        <v>1435</v>
      </c>
      <c r="C3682" s="217"/>
      <c r="D3682" s="217" t="s">
        <v>20398</v>
      </c>
      <c r="E3682" s="471" t="s">
        <v>20402</v>
      </c>
      <c r="F3682" s="569">
        <v>1258</v>
      </c>
      <c r="G3682" s="488" t="s">
        <v>20660</v>
      </c>
      <c r="H3682" s="472" t="s">
        <v>15515</v>
      </c>
      <c r="I3682" s="472">
        <v>21.75</v>
      </c>
      <c r="J3682" s="473">
        <f t="shared" si="1827"/>
        <v>7.5700000000000003</v>
      </c>
      <c r="K3682" s="474">
        <f t="shared" si="1828"/>
        <v>164.64750000000001</v>
      </c>
      <c r="L3682" s="475">
        <f t="shared" si="1819"/>
        <v>7.1846199999999998</v>
      </c>
      <c r="M3682" s="474">
        <f t="shared" si="1829"/>
        <v>156.26548499999998</v>
      </c>
      <c r="O3682" s="434">
        <f t="shared" si="1817"/>
        <v>7.5700000000000003</v>
      </c>
      <c r="P3682" s="435">
        <f t="shared" si="1818"/>
        <v>7.1846199999999998</v>
      </c>
      <c r="AE3682" s="217"/>
      <c r="AF3682" s="217">
        <v>1435</v>
      </c>
      <c r="AH3682">
        <f t="shared" si="1824"/>
        <v>1435</v>
      </c>
    </row>
    <row r="3683" ht="30" hidden="1">
      <c r="A3683" s="217"/>
      <c r="B3683" s="217">
        <v>1435</v>
      </c>
      <c r="C3683" s="217"/>
      <c r="D3683" s="217" t="s">
        <v>20398</v>
      </c>
      <c r="E3683" s="471" t="s">
        <v>20405</v>
      </c>
      <c r="F3683" s="482">
        <v>1242</v>
      </c>
      <c r="G3683" s="488" t="s">
        <v>20905</v>
      </c>
      <c r="H3683" s="471" t="s">
        <v>15528</v>
      </c>
      <c r="I3683" s="472">
        <v>1.0874999999999999</v>
      </c>
      <c r="J3683" s="473">
        <f t="shared" si="1827"/>
        <v>151.59100000000001</v>
      </c>
      <c r="K3683" s="474">
        <f t="shared" si="1828"/>
        <v>164.85521249999999</v>
      </c>
      <c r="L3683" s="475">
        <f t="shared" si="1819"/>
        <v>149.17099999999999</v>
      </c>
      <c r="M3683" s="474">
        <f t="shared" si="1829"/>
        <v>162.22346249999998</v>
      </c>
      <c r="O3683" s="434">
        <f t="shared" si="1817"/>
        <v>151.59100000000001</v>
      </c>
      <c r="P3683" s="435">
        <f t="shared" si="1818"/>
        <v>149.17099999999999</v>
      </c>
      <c r="R3683" s="633" t="s">
        <v>22342</v>
      </c>
      <c r="S3683" s="633" t="s">
        <v>22343</v>
      </c>
      <c r="T3683" s="633" t="s">
        <v>22344</v>
      </c>
      <c r="AE3683" s="217"/>
      <c r="AF3683" s="217">
        <v>1435</v>
      </c>
      <c r="AH3683">
        <f t="shared" si="1824"/>
        <v>1435</v>
      </c>
    </row>
    <row r="3684" ht="60" hidden="1">
      <c r="A3684" s="217"/>
      <c r="B3684" s="217">
        <v>1435</v>
      </c>
      <c r="C3684" s="217"/>
      <c r="D3684" s="217" t="s">
        <v>17167</v>
      </c>
      <c r="E3684" s="471" t="s">
        <v>20409</v>
      </c>
      <c r="F3684" s="489">
        <v>96533</v>
      </c>
      <c r="G3684" s="470" t="s">
        <v>20912</v>
      </c>
      <c r="H3684" s="471" t="s">
        <v>15515</v>
      </c>
      <c r="I3684" s="472">
        <v>27.91</v>
      </c>
      <c r="J3684" s="473">
        <f t="shared" si="1827"/>
        <v>85.980000000000004</v>
      </c>
      <c r="K3684" s="474">
        <f t="shared" si="1828"/>
        <v>2399.7018000000003</v>
      </c>
      <c r="L3684" s="475">
        <f t="shared" si="1819"/>
        <v>83.200000000000003</v>
      </c>
      <c r="M3684" s="474">
        <f t="shared" si="1829"/>
        <v>2322.1120000000001</v>
      </c>
      <c r="O3684" s="434">
        <f t="shared" si="1817"/>
        <v>85.980000000000004</v>
      </c>
      <c r="P3684" s="435">
        <f t="shared" si="1818"/>
        <v>83.200000000000003</v>
      </c>
      <c r="R3684" s="633">
        <v>1.5</v>
      </c>
      <c r="S3684" s="633">
        <v>2.605</v>
      </c>
      <c r="T3684" s="633">
        <v>2</v>
      </c>
      <c r="AE3684" s="217"/>
      <c r="AF3684" s="217">
        <v>1435</v>
      </c>
      <c r="AH3684">
        <f t="shared" si="1824"/>
        <v>1435</v>
      </c>
    </row>
    <row r="3685" ht="60" hidden="1">
      <c r="A3685" s="217"/>
      <c r="B3685" s="217">
        <v>1435</v>
      </c>
      <c r="C3685" s="217"/>
      <c r="D3685" s="217" t="s">
        <v>17167</v>
      </c>
      <c r="E3685" s="471" t="s">
        <v>20663</v>
      </c>
      <c r="F3685" s="609">
        <v>97093</v>
      </c>
      <c r="G3685" s="638" t="s">
        <v>8818</v>
      </c>
      <c r="H3685" s="639" t="s">
        <v>302</v>
      </c>
      <c r="I3685" s="640">
        <v>86.079999999999998</v>
      </c>
      <c r="J3685" s="473">
        <f t="shared" si="1827"/>
        <v>12.140000000000001</v>
      </c>
      <c r="K3685" s="474">
        <f t="shared" si="1828"/>
        <v>1045.0111999999999</v>
      </c>
      <c r="L3685" s="475">
        <f t="shared" si="1819"/>
        <v>12.109999999999999</v>
      </c>
      <c r="M3685" s="474">
        <f t="shared" si="1829"/>
        <v>1042.4287999999999</v>
      </c>
      <c r="O3685" s="434">
        <f t="shared" si="1817"/>
        <v>12.140000000000001</v>
      </c>
      <c r="P3685" s="435">
        <f t="shared" si="1818"/>
        <v>12.109999999999999</v>
      </c>
      <c r="AE3685" s="217"/>
      <c r="AF3685" s="217">
        <v>1435</v>
      </c>
      <c r="AH3685">
        <f t="shared" si="1824"/>
        <v>1435</v>
      </c>
    </row>
    <row r="3686" ht="45" hidden="1">
      <c r="A3686" s="217"/>
      <c r="B3686" s="217">
        <v>1435</v>
      </c>
      <c r="C3686" s="217"/>
      <c r="D3686" s="217" t="s">
        <v>17167</v>
      </c>
      <c r="E3686" s="471" t="s">
        <v>20665</v>
      </c>
      <c r="F3686" s="489">
        <v>96543</v>
      </c>
      <c r="G3686" s="470" t="s">
        <v>20676</v>
      </c>
      <c r="H3686" s="471" t="s">
        <v>302</v>
      </c>
      <c r="I3686" s="472">
        <v>11.9</v>
      </c>
      <c r="J3686" s="473">
        <f t="shared" si="1827"/>
        <v>19.829999999999998</v>
      </c>
      <c r="K3686" s="474">
        <f t="shared" si="1828"/>
        <v>235.97699999999998</v>
      </c>
      <c r="L3686" s="475">
        <f t="shared" si="1819"/>
        <v>19.210000000000001</v>
      </c>
      <c r="M3686" s="474">
        <f t="shared" si="1829"/>
        <v>228.59900000000002</v>
      </c>
      <c r="O3686" s="434">
        <f t="shared" si="1817"/>
        <v>19.829999999999998</v>
      </c>
      <c r="P3686" s="435">
        <f t="shared" si="1818"/>
        <v>19.210000000000001</v>
      </c>
      <c r="AE3686" s="217"/>
      <c r="AF3686" s="217">
        <v>1435</v>
      </c>
      <c r="AH3686">
        <f t="shared" si="1824"/>
        <v>1435</v>
      </c>
    </row>
    <row r="3687" ht="45" hidden="1">
      <c r="A3687" s="217"/>
      <c r="B3687" s="217">
        <v>1435</v>
      </c>
      <c r="C3687" s="217"/>
      <c r="D3687" s="217" t="s">
        <v>17167</v>
      </c>
      <c r="E3687" s="471" t="s">
        <v>20667</v>
      </c>
      <c r="F3687" s="489">
        <v>96544</v>
      </c>
      <c r="G3687" s="470" t="s">
        <v>20763</v>
      </c>
      <c r="H3687" s="471" t="s">
        <v>302</v>
      </c>
      <c r="I3687" s="472">
        <v>168.5</v>
      </c>
      <c r="J3687" s="473">
        <f t="shared" si="1827"/>
        <v>17.699999999999999</v>
      </c>
      <c r="K3687" s="474">
        <f t="shared" si="1828"/>
        <v>2982.4499999999998</v>
      </c>
      <c r="L3687" s="475">
        <f t="shared" si="1819"/>
        <v>17.23</v>
      </c>
      <c r="M3687" s="474">
        <f t="shared" si="1829"/>
        <v>2903.2550000000001</v>
      </c>
      <c r="O3687" s="434">
        <f t="shared" si="1817"/>
        <v>17.699999999999999</v>
      </c>
      <c r="P3687" s="435">
        <f t="shared" si="1818"/>
        <v>17.23</v>
      </c>
      <c r="AE3687" s="217"/>
      <c r="AF3687" s="217">
        <v>1435</v>
      </c>
      <c r="AH3687">
        <f t="shared" si="1824"/>
        <v>1435</v>
      </c>
    </row>
    <row r="3688" ht="60" hidden="1">
      <c r="A3688" s="217"/>
      <c r="B3688" s="217">
        <v>1435</v>
      </c>
      <c r="C3688" s="217"/>
      <c r="D3688" s="217" t="s">
        <v>17167</v>
      </c>
      <c r="E3688" s="471" t="s">
        <v>20671</v>
      </c>
      <c r="F3688" s="489">
        <v>94964</v>
      </c>
      <c r="G3688" s="470" t="s">
        <v>20686</v>
      </c>
      <c r="H3688" s="471" t="s">
        <v>15528</v>
      </c>
      <c r="I3688" s="472">
        <v>8.4215</v>
      </c>
      <c r="J3688" s="473">
        <f t="shared" si="1827"/>
        <v>488.52999999999997</v>
      </c>
      <c r="K3688" s="474">
        <f t="shared" si="1828"/>
        <v>4114.1553949999998</v>
      </c>
      <c r="L3688" s="475">
        <f t="shared" si="1819"/>
        <v>482.79000000000002</v>
      </c>
      <c r="M3688" s="474">
        <f t="shared" si="1829"/>
        <v>4065.8159850000002</v>
      </c>
      <c r="O3688" s="434">
        <f t="shared" si="1817"/>
        <v>488.52999999999997</v>
      </c>
      <c r="P3688" s="435">
        <f t="shared" si="1818"/>
        <v>482.79000000000002</v>
      </c>
      <c r="AE3688" s="217"/>
      <c r="AF3688" s="217">
        <v>1435</v>
      </c>
      <c r="AH3688">
        <f t="shared" si="1824"/>
        <v>1435</v>
      </c>
    </row>
    <row r="3689" ht="45" hidden="1">
      <c r="A3689" s="217"/>
      <c r="B3689" s="217">
        <v>1435</v>
      </c>
      <c r="C3689" s="217"/>
      <c r="D3689" s="217" t="s">
        <v>20398</v>
      </c>
      <c r="E3689" s="471" t="s">
        <v>20672</v>
      </c>
      <c r="F3689" s="489">
        <v>1000</v>
      </c>
      <c r="G3689" s="488" t="s">
        <v>20651</v>
      </c>
      <c r="H3689" s="472" t="s">
        <v>15528</v>
      </c>
      <c r="I3689" s="472">
        <v>8.4215</v>
      </c>
      <c r="J3689" s="473">
        <f t="shared" si="1827"/>
        <v>149.904</v>
      </c>
      <c r="K3689" s="474">
        <f t="shared" si="1828"/>
        <v>1262.416536</v>
      </c>
      <c r="L3689" s="475">
        <f t="shared" si="1819"/>
        <v>141.76949999999999</v>
      </c>
      <c r="M3689" s="474">
        <f t="shared" si="1829"/>
        <v>1193.9118442499998</v>
      </c>
      <c r="O3689" s="434">
        <f t="shared" si="1817"/>
        <v>149.904</v>
      </c>
      <c r="P3689" s="435">
        <f t="shared" si="1818"/>
        <v>141.76949999999999</v>
      </c>
      <c r="AE3689" s="217"/>
      <c r="AF3689" s="217">
        <v>1435</v>
      </c>
      <c r="AH3689">
        <f t="shared" si="1824"/>
        <v>1435</v>
      </c>
    </row>
    <row r="3690" ht="75" hidden="1">
      <c r="A3690" s="217"/>
      <c r="B3690" s="217">
        <v>1435</v>
      </c>
      <c r="C3690" s="217"/>
      <c r="D3690" s="217" t="s">
        <v>20398</v>
      </c>
      <c r="E3690" s="471" t="s">
        <v>20673</v>
      </c>
      <c r="F3690" s="482">
        <v>1257</v>
      </c>
      <c r="G3690" s="470" t="s">
        <v>20906</v>
      </c>
      <c r="H3690" s="471" t="s">
        <v>15515</v>
      </c>
      <c r="I3690" s="472">
        <v>31.68</v>
      </c>
      <c r="J3690" s="473">
        <f t="shared" si="1827"/>
        <v>202.65134000000003</v>
      </c>
      <c r="K3690" s="474">
        <f t="shared" si="1828"/>
        <v>6419.9944512000011</v>
      </c>
      <c r="L3690" s="475">
        <f t="shared" si="1819"/>
        <v>197.86072000000001</v>
      </c>
      <c r="M3690" s="474">
        <f t="shared" si="1829"/>
        <v>6268.2276096000005</v>
      </c>
      <c r="O3690" s="434">
        <f t="shared" si="1817"/>
        <v>202.65134000000003</v>
      </c>
      <c r="P3690" s="435">
        <f t="shared" si="1818"/>
        <v>197.86072000000001</v>
      </c>
      <c r="AE3690" s="217"/>
      <c r="AF3690" s="217">
        <v>1435</v>
      </c>
      <c r="AH3690">
        <f t="shared" si="1824"/>
        <v>1435</v>
      </c>
    </row>
    <row r="3691" ht="75" hidden="1">
      <c r="A3691" s="217"/>
      <c r="B3691" s="217">
        <v>1435</v>
      </c>
      <c r="C3691" s="217"/>
      <c r="D3691" s="217" t="s">
        <v>17167</v>
      </c>
      <c r="E3691" s="471" t="s">
        <v>20675</v>
      </c>
      <c r="F3691" s="489">
        <v>87878</v>
      </c>
      <c r="G3691" s="470" t="s">
        <v>20910</v>
      </c>
      <c r="H3691" s="471" t="s">
        <v>15515</v>
      </c>
      <c r="I3691" s="472">
        <v>72.608000000000004</v>
      </c>
      <c r="J3691" s="473">
        <f t="shared" si="1827"/>
        <v>5.0099999999999998</v>
      </c>
      <c r="K3691" s="474">
        <f t="shared" si="1828"/>
        <v>363.76607999999999</v>
      </c>
      <c r="L3691" s="475">
        <f t="shared" si="1819"/>
        <v>4.7999999999999998</v>
      </c>
      <c r="M3691" s="474">
        <f t="shared" si="1829"/>
        <v>348.51839999999999</v>
      </c>
      <c r="O3691" s="434">
        <f t="shared" si="1817"/>
        <v>5.0099999999999998</v>
      </c>
      <c r="P3691" s="435">
        <f t="shared" si="1818"/>
        <v>4.7999999999999998</v>
      </c>
      <c r="AE3691" s="217"/>
      <c r="AF3691" s="217">
        <v>1435</v>
      </c>
      <c r="AH3691">
        <f t="shared" si="1824"/>
        <v>1435</v>
      </c>
    </row>
    <row r="3692" ht="105" hidden="1">
      <c r="A3692" s="217"/>
      <c r="B3692" s="217">
        <v>1435</v>
      </c>
      <c r="C3692" s="217"/>
      <c r="D3692" s="217" t="s">
        <v>17167</v>
      </c>
      <c r="E3692" s="471" t="s">
        <v>20677</v>
      </c>
      <c r="F3692" s="482">
        <v>87529</v>
      </c>
      <c r="G3692" s="470" t="s">
        <v>20931</v>
      </c>
      <c r="H3692" s="471" t="s">
        <v>15515</v>
      </c>
      <c r="I3692" s="472">
        <v>33.600000000000001</v>
      </c>
      <c r="J3692" s="473">
        <f t="shared" si="1827"/>
        <v>37.270000000000003</v>
      </c>
      <c r="K3692" s="474">
        <f t="shared" si="1828"/>
        <v>1252.2720000000002</v>
      </c>
      <c r="L3692" s="475">
        <f t="shared" si="1819"/>
        <v>35.990000000000002</v>
      </c>
      <c r="M3692" s="474">
        <f t="shared" si="1829"/>
        <v>1209.2640000000001</v>
      </c>
      <c r="O3692" s="434">
        <f t="shared" ref="O3692:O3755" si="1830">IFERROR(IF(D3692="SINAPI",VLOOKUP(F3692,SINCOMOD,4,FALSE),IF(D3692="INSINAPI",VLOOKUP(F3692,INSINOD,5,FALSE),IF(D3692="SICRO",VLOOKUP(F3692,SICRO,5,FALSE),IF(D3692="COTACAO",VLOOKUP(F3692,COTACAO,6,FALSE),IF(D3692="PRÓPRIO",VLOOKUP(F3692,COMPOD,11,FALSE),IF(D3692="AGESUL",VLOOKUP(F3692,AGESULOD,6,FALSE),IF(D3692="INSAGESUL",VLOOKUP(F3692,INSAGESUL,7,FALSE),"SEM VALOR"))))))),"SEM VALOR")</f>
        <v>37.270000000000003</v>
      </c>
      <c r="P3692" s="435">
        <f t="shared" ref="P3692:P3755" si="1831">IFERROR(IF(D3692="SINAPI",VLOOKUP(F3692,SINCOMOD,6,FALSE),IF(D3692="INSINAPI",VLOOKUP(F3692,INSINOD,6,FALSE),IF(D3692="SICRO",VLOOKUP(F3692,SICRO,5,FALSE),IF(D3692="COTACAO",VLOOKUP(F3692,COTACAO,6,FALSE),IF(D3692="PRÓPRIO",VLOOKUP(F3692,COMPOD,13,FALSE),IF(D3692="AGESUL",VLOOKUP(F3692,AGESULOD,11,FALSE),IF(D3692="INSAGESUL",VLOOKUP(F3692,INSAGESUL,8,FALSE),"SEM VALOR"))))))),"SEM VALOR")</f>
        <v>35.990000000000002</v>
      </c>
      <c r="AE3692" s="217"/>
      <c r="AF3692" s="217">
        <v>1435</v>
      </c>
      <c r="AH3692">
        <f t="shared" si="1824"/>
        <v>1435</v>
      </c>
    </row>
    <row r="3693" ht="105" hidden="1">
      <c r="A3693" s="217"/>
      <c r="B3693" s="217">
        <v>1435</v>
      </c>
      <c r="C3693" s="217"/>
      <c r="D3693" s="217" t="s">
        <v>17167</v>
      </c>
      <c r="E3693" s="471" t="s">
        <v>20679</v>
      </c>
      <c r="F3693" s="489">
        <v>5928</v>
      </c>
      <c r="G3693" s="470" t="s">
        <v>1739</v>
      </c>
      <c r="H3693" s="472" t="s">
        <v>1535</v>
      </c>
      <c r="I3693" s="472">
        <v>0.10000000000000001</v>
      </c>
      <c r="J3693" s="473">
        <f t="shared" si="1827"/>
        <v>298.70999999999998</v>
      </c>
      <c r="K3693" s="474">
        <f t="shared" si="1828"/>
        <v>29.870999999999999</v>
      </c>
      <c r="L3693" s="475">
        <f t="shared" ref="L3693:L3756" si="1832">P3693*$L$3</f>
        <v>296.98000000000002</v>
      </c>
      <c r="M3693" s="474">
        <f t="shared" si="1829"/>
        <v>29.698000000000004</v>
      </c>
      <c r="O3693" s="434">
        <f t="shared" si="1830"/>
        <v>298.70999999999998</v>
      </c>
      <c r="P3693" s="435">
        <f t="shared" si="1831"/>
        <v>296.98000000000002</v>
      </c>
      <c r="AE3693" s="217"/>
      <c r="AF3693" s="217">
        <v>1435</v>
      </c>
      <c r="AH3693">
        <f t="shared" si="1824"/>
        <v>1435</v>
      </c>
    </row>
    <row r="3694" ht="45" hidden="1">
      <c r="A3694" s="217"/>
      <c r="B3694" s="217">
        <v>1435</v>
      </c>
      <c r="C3694" s="217"/>
      <c r="D3694" s="217" t="s">
        <v>17167</v>
      </c>
      <c r="E3694" s="471" t="s">
        <v>20681</v>
      </c>
      <c r="F3694" s="489">
        <v>93382</v>
      </c>
      <c r="G3694" s="470" t="s">
        <v>20722</v>
      </c>
      <c r="H3694" s="471" t="s">
        <v>15528</v>
      </c>
      <c r="I3694" s="472">
        <v>81.205749999999995</v>
      </c>
      <c r="J3694" s="473">
        <f t="shared" si="1827"/>
        <v>27.52</v>
      </c>
      <c r="K3694" s="474">
        <f t="shared" si="1828"/>
        <v>2234.78224</v>
      </c>
      <c r="L3694" s="475">
        <f t="shared" si="1832"/>
        <v>26.190000000000001</v>
      </c>
      <c r="M3694" s="474">
        <f t="shared" si="1829"/>
        <v>2126.7785924999998</v>
      </c>
      <c r="O3694" s="434">
        <f t="shared" si="1830"/>
        <v>27.52</v>
      </c>
      <c r="P3694" s="435">
        <f t="shared" si="1831"/>
        <v>26.190000000000001</v>
      </c>
      <c r="AE3694" s="217"/>
      <c r="AF3694" s="217">
        <v>1435</v>
      </c>
      <c r="AH3694">
        <f t="shared" si="1824"/>
        <v>1435</v>
      </c>
    </row>
    <row r="3695" ht="141.75" hidden="1">
      <c r="A3695" s="460">
        <v>1436</v>
      </c>
      <c r="B3695" s="460">
        <v>1436</v>
      </c>
      <c r="C3695" s="460"/>
      <c r="D3695" s="460"/>
      <c r="E3695" s="461">
        <v>1</v>
      </c>
      <c r="F3695" s="462" t="s">
        <v>22369</v>
      </c>
      <c r="G3695" s="477" t="s">
        <v>22370</v>
      </c>
      <c r="H3695" s="478" t="s">
        <v>20647</v>
      </c>
      <c r="I3695" s="479"/>
      <c r="J3695" s="480"/>
      <c r="K3695" s="466">
        <f>SUM(K3696:K3709)</f>
        <v>30159.330489000004</v>
      </c>
      <c r="L3695" s="480"/>
      <c r="M3695" s="466">
        <f>SUM(M3696:M3709)</f>
        <v>29350.046603350005</v>
      </c>
      <c r="O3695" s="434" t="str">
        <f t="shared" si="1830"/>
        <v xml:space="preserve">SEM VALOR</v>
      </c>
      <c r="P3695" s="435" t="str">
        <f t="shared" si="1831"/>
        <v xml:space="preserve">SEM VALOR</v>
      </c>
      <c r="AE3695" s="460">
        <v>1436</v>
      </c>
      <c r="AF3695" s="460"/>
      <c r="AH3695">
        <f t="shared" si="1824"/>
        <v>1436</v>
      </c>
    </row>
    <row r="3696" ht="120" hidden="1">
      <c r="A3696" s="217"/>
      <c r="B3696" s="217">
        <v>1436</v>
      </c>
      <c r="C3696" s="217"/>
      <c r="D3696" s="217" t="s">
        <v>17167</v>
      </c>
      <c r="E3696" s="471" t="s">
        <v>20399</v>
      </c>
      <c r="F3696" s="489">
        <v>90108</v>
      </c>
      <c r="G3696" s="470" t="s">
        <v>20907</v>
      </c>
      <c r="H3696" s="472" t="s">
        <v>15528</v>
      </c>
      <c r="I3696" s="472">
        <v>151.78725</v>
      </c>
      <c r="J3696" s="473">
        <f t="shared" si="1827"/>
        <v>7.8099999999999996</v>
      </c>
      <c r="K3696" s="474">
        <f t="shared" ref="K3696:K3709" si="1833">I3696*J3696</f>
        <v>1185.4584224999999</v>
      </c>
      <c r="L3696" s="475">
        <f t="shared" si="1832"/>
        <v>7.6100000000000003</v>
      </c>
      <c r="M3696" s="474">
        <f t="shared" ref="M3696:M3709" si="1834">L3696*I3696</f>
        <v>1155.1009725000001</v>
      </c>
      <c r="O3696" s="434">
        <f t="shared" si="1830"/>
        <v>7.8099999999999996</v>
      </c>
      <c r="P3696" s="435">
        <f t="shared" si="1831"/>
        <v>7.6100000000000003</v>
      </c>
      <c r="AE3696" s="217"/>
      <c r="AF3696" s="217">
        <v>1436</v>
      </c>
      <c r="AH3696">
        <f t="shared" si="1824"/>
        <v>1436</v>
      </c>
    </row>
    <row r="3697" ht="60" hidden="1">
      <c r="A3697" s="217"/>
      <c r="B3697" s="217">
        <v>1436</v>
      </c>
      <c r="C3697" s="217"/>
      <c r="D3697" s="217" t="s">
        <v>20398</v>
      </c>
      <c r="E3697" s="471" t="s">
        <v>20402</v>
      </c>
      <c r="F3697" s="569">
        <v>1258</v>
      </c>
      <c r="G3697" s="488" t="s">
        <v>20660</v>
      </c>
      <c r="H3697" s="472" t="s">
        <v>15515</v>
      </c>
      <c r="I3697" s="472">
        <v>28.129999999999999</v>
      </c>
      <c r="J3697" s="473">
        <f t="shared" si="1827"/>
        <v>7.5700000000000003</v>
      </c>
      <c r="K3697" s="474">
        <f t="shared" si="1833"/>
        <v>212.94409999999999</v>
      </c>
      <c r="L3697" s="475">
        <f t="shared" si="1832"/>
        <v>7.1846199999999998</v>
      </c>
      <c r="M3697" s="474">
        <f t="shared" si="1834"/>
        <v>202.10336059999997</v>
      </c>
      <c r="O3697" s="434">
        <f t="shared" si="1830"/>
        <v>7.5700000000000003</v>
      </c>
      <c r="P3697" s="435">
        <f t="shared" si="1831"/>
        <v>7.1846199999999998</v>
      </c>
      <c r="AE3697" s="217"/>
      <c r="AF3697" s="217">
        <v>1436</v>
      </c>
      <c r="AH3697">
        <f t="shared" si="1824"/>
        <v>1436</v>
      </c>
    </row>
    <row r="3698" ht="30" hidden="1">
      <c r="A3698" s="217"/>
      <c r="B3698" s="217">
        <v>1436</v>
      </c>
      <c r="C3698" s="217"/>
      <c r="D3698" s="217" t="s">
        <v>20398</v>
      </c>
      <c r="E3698" s="471" t="s">
        <v>20405</v>
      </c>
      <c r="F3698" s="482">
        <v>1242</v>
      </c>
      <c r="G3698" s="488" t="s">
        <v>20905</v>
      </c>
      <c r="H3698" s="471" t="s">
        <v>15528</v>
      </c>
      <c r="I3698" s="472">
        <v>1.4065000000000001</v>
      </c>
      <c r="J3698" s="473">
        <f t="shared" si="1827"/>
        <v>151.59100000000001</v>
      </c>
      <c r="K3698" s="474">
        <f t="shared" si="1833"/>
        <v>213.21274150000002</v>
      </c>
      <c r="L3698" s="475">
        <f t="shared" si="1832"/>
        <v>149.17099999999999</v>
      </c>
      <c r="M3698" s="474">
        <f t="shared" si="1834"/>
        <v>209.8090115</v>
      </c>
      <c r="O3698" s="434">
        <f t="shared" si="1830"/>
        <v>151.59100000000001</v>
      </c>
      <c r="P3698" s="435">
        <f t="shared" si="1831"/>
        <v>149.17099999999999</v>
      </c>
      <c r="R3698" s="633" t="s">
        <v>22342</v>
      </c>
      <c r="S3698" s="633" t="s">
        <v>22343</v>
      </c>
      <c r="T3698" s="633" t="s">
        <v>22344</v>
      </c>
      <c r="AE3698" s="217"/>
      <c r="AF3698" s="217">
        <v>1436</v>
      </c>
      <c r="AH3698">
        <f t="shared" si="1824"/>
        <v>1436</v>
      </c>
    </row>
    <row r="3699" ht="60" hidden="1">
      <c r="A3699" s="217"/>
      <c r="B3699" s="217">
        <v>1436</v>
      </c>
      <c r="C3699" s="217"/>
      <c r="D3699" s="217" t="s">
        <v>17167</v>
      </c>
      <c r="E3699" s="471" t="s">
        <v>20409</v>
      </c>
      <c r="F3699" s="489">
        <v>96533</v>
      </c>
      <c r="G3699" s="470" t="s">
        <v>20912</v>
      </c>
      <c r="H3699" s="471" t="s">
        <v>15515</v>
      </c>
      <c r="I3699" s="472">
        <v>35.829999999999998</v>
      </c>
      <c r="J3699" s="473">
        <f t="shared" si="1827"/>
        <v>85.980000000000004</v>
      </c>
      <c r="K3699" s="474">
        <f t="shared" si="1833"/>
        <v>3080.6633999999999</v>
      </c>
      <c r="L3699" s="475">
        <f t="shared" si="1832"/>
        <v>83.200000000000003</v>
      </c>
      <c r="M3699" s="474">
        <f t="shared" si="1834"/>
        <v>2981.056</v>
      </c>
      <c r="O3699" s="434">
        <f t="shared" si="1830"/>
        <v>85.980000000000004</v>
      </c>
      <c r="P3699" s="435">
        <f t="shared" si="1831"/>
        <v>83.200000000000003</v>
      </c>
      <c r="R3699" s="633">
        <v>1.5</v>
      </c>
      <c r="S3699" s="633">
        <v>2.605</v>
      </c>
      <c r="T3699" s="633">
        <v>2</v>
      </c>
      <c r="AE3699" s="217"/>
      <c r="AF3699" s="217">
        <v>1436</v>
      </c>
      <c r="AH3699">
        <f t="shared" si="1824"/>
        <v>1436</v>
      </c>
    </row>
    <row r="3700" ht="60" hidden="1">
      <c r="A3700" s="217"/>
      <c r="B3700" s="217">
        <v>1436</v>
      </c>
      <c r="C3700" s="217"/>
      <c r="D3700" s="217" t="s">
        <v>17167</v>
      </c>
      <c r="E3700" s="471" t="s">
        <v>20663</v>
      </c>
      <c r="F3700" s="609">
        <v>97093</v>
      </c>
      <c r="G3700" s="638" t="s">
        <v>8818</v>
      </c>
      <c r="H3700" s="639" t="s">
        <v>302</v>
      </c>
      <c r="I3700" s="640">
        <v>112.2</v>
      </c>
      <c r="J3700" s="473">
        <f t="shared" si="1827"/>
        <v>12.140000000000001</v>
      </c>
      <c r="K3700" s="474">
        <f t="shared" si="1833"/>
        <v>1362.1080000000002</v>
      </c>
      <c r="L3700" s="475">
        <f t="shared" si="1832"/>
        <v>12.109999999999999</v>
      </c>
      <c r="M3700" s="474">
        <f t="shared" si="1834"/>
        <v>1358.742</v>
      </c>
      <c r="O3700" s="434">
        <f t="shared" si="1830"/>
        <v>12.140000000000001</v>
      </c>
      <c r="P3700" s="435">
        <f t="shared" si="1831"/>
        <v>12.109999999999999</v>
      </c>
      <c r="AE3700" s="217"/>
      <c r="AF3700" s="217">
        <v>1436</v>
      </c>
      <c r="AH3700">
        <f t="shared" si="1824"/>
        <v>1436</v>
      </c>
    </row>
    <row r="3701" ht="45" hidden="1">
      <c r="A3701" s="217"/>
      <c r="B3701" s="217">
        <v>1436</v>
      </c>
      <c r="C3701" s="217"/>
      <c r="D3701" s="217" t="s">
        <v>17167</v>
      </c>
      <c r="E3701" s="471" t="s">
        <v>20665</v>
      </c>
      <c r="F3701" s="489">
        <v>96543</v>
      </c>
      <c r="G3701" s="470" t="s">
        <v>20676</v>
      </c>
      <c r="H3701" s="471" t="s">
        <v>302</v>
      </c>
      <c r="I3701" s="472">
        <v>16.629999999999999</v>
      </c>
      <c r="J3701" s="473">
        <f t="shared" si="1827"/>
        <v>19.829999999999998</v>
      </c>
      <c r="K3701" s="474">
        <f t="shared" si="1833"/>
        <v>329.77289999999994</v>
      </c>
      <c r="L3701" s="475">
        <f t="shared" si="1832"/>
        <v>19.210000000000001</v>
      </c>
      <c r="M3701" s="474">
        <f t="shared" si="1834"/>
        <v>319.46229999999997</v>
      </c>
      <c r="O3701" s="434">
        <f t="shared" si="1830"/>
        <v>19.829999999999998</v>
      </c>
      <c r="P3701" s="435">
        <f t="shared" si="1831"/>
        <v>19.210000000000001</v>
      </c>
      <c r="AE3701" s="217"/>
      <c r="AF3701" s="217">
        <v>1436</v>
      </c>
      <c r="AH3701">
        <f t="shared" si="1824"/>
        <v>1436</v>
      </c>
    </row>
    <row r="3702" ht="45" hidden="1">
      <c r="A3702" s="217"/>
      <c r="B3702" s="217">
        <v>1436</v>
      </c>
      <c r="C3702" s="217"/>
      <c r="D3702" s="217" t="s">
        <v>17167</v>
      </c>
      <c r="E3702" s="471" t="s">
        <v>20667</v>
      </c>
      <c r="F3702" s="489">
        <v>96544</v>
      </c>
      <c r="G3702" s="470" t="s">
        <v>20763</v>
      </c>
      <c r="H3702" s="471" t="s">
        <v>302</v>
      </c>
      <c r="I3702" s="472">
        <v>223.96000000000001</v>
      </c>
      <c r="J3702" s="473">
        <f t="shared" si="1827"/>
        <v>17.699999999999999</v>
      </c>
      <c r="K3702" s="474">
        <f t="shared" si="1833"/>
        <v>3964.0920000000001</v>
      </c>
      <c r="L3702" s="475">
        <f t="shared" si="1832"/>
        <v>17.23</v>
      </c>
      <c r="M3702" s="474">
        <f t="shared" si="1834"/>
        <v>3858.8308000000002</v>
      </c>
      <c r="O3702" s="434">
        <f t="shared" si="1830"/>
        <v>17.699999999999999</v>
      </c>
      <c r="P3702" s="435">
        <f t="shared" si="1831"/>
        <v>17.23</v>
      </c>
      <c r="AE3702" s="217"/>
      <c r="AF3702" s="217">
        <v>1436</v>
      </c>
      <c r="AH3702">
        <f t="shared" si="1824"/>
        <v>1436</v>
      </c>
    </row>
    <row r="3703" ht="60" hidden="1">
      <c r="A3703" s="217"/>
      <c r="B3703" s="217">
        <v>1436</v>
      </c>
      <c r="C3703" s="217"/>
      <c r="D3703" s="217" t="s">
        <v>17167</v>
      </c>
      <c r="E3703" s="471" t="s">
        <v>20671</v>
      </c>
      <c r="F3703" s="489">
        <v>94964</v>
      </c>
      <c r="G3703" s="470" t="s">
        <v>20686</v>
      </c>
      <c r="H3703" s="471" t="s">
        <v>15528</v>
      </c>
      <c r="I3703" s="472">
        <v>11.006500000000001</v>
      </c>
      <c r="J3703" s="473">
        <f t="shared" si="1827"/>
        <v>488.52999999999997</v>
      </c>
      <c r="K3703" s="474">
        <f t="shared" si="1833"/>
        <v>5377.0054449999998</v>
      </c>
      <c r="L3703" s="475">
        <f t="shared" si="1832"/>
        <v>482.79000000000002</v>
      </c>
      <c r="M3703" s="474">
        <f t="shared" si="1834"/>
        <v>5313.8281350000007</v>
      </c>
      <c r="O3703" s="434">
        <f t="shared" si="1830"/>
        <v>488.52999999999997</v>
      </c>
      <c r="P3703" s="435">
        <f t="shared" si="1831"/>
        <v>482.79000000000002</v>
      </c>
      <c r="AE3703" s="217"/>
      <c r="AF3703" s="217">
        <v>1436</v>
      </c>
      <c r="AH3703">
        <f t="shared" si="1824"/>
        <v>1436</v>
      </c>
    </row>
    <row r="3704" ht="45" hidden="1">
      <c r="A3704" s="217"/>
      <c r="B3704" s="217">
        <v>1436</v>
      </c>
      <c r="C3704" s="217"/>
      <c r="D3704" s="217" t="s">
        <v>20398</v>
      </c>
      <c r="E3704" s="471" t="s">
        <v>20672</v>
      </c>
      <c r="F3704" s="489">
        <v>1000</v>
      </c>
      <c r="G3704" s="488" t="s">
        <v>20651</v>
      </c>
      <c r="H3704" s="472" t="s">
        <v>15528</v>
      </c>
      <c r="I3704" s="472">
        <v>11.006500000000001</v>
      </c>
      <c r="J3704" s="473">
        <f t="shared" si="1827"/>
        <v>149.904</v>
      </c>
      <c r="K3704" s="474">
        <f t="shared" si="1833"/>
        <v>1649.9183760000001</v>
      </c>
      <c r="L3704" s="475">
        <f t="shared" si="1832"/>
        <v>141.76949999999999</v>
      </c>
      <c r="M3704" s="474">
        <f t="shared" si="1834"/>
        <v>1560.3860017500001</v>
      </c>
      <c r="O3704" s="434">
        <f t="shared" si="1830"/>
        <v>149.904</v>
      </c>
      <c r="P3704" s="435">
        <f t="shared" si="1831"/>
        <v>141.76949999999999</v>
      </c>
      <c r="AE3704" s="217"/>
      <c r="AF3704" s="217">
        <v>1436</v>
      </c>
      <c r="AH3704">
        <f t="shared" si="1824"/>
        <v>1436</v>
      </c>
    </row>
    <row r="3705" ht="75" hidden="1">
      <c r="A3705" s="217"/>
      <c r="B3705" s="217">
        <v>1436</v>
      </c>
      <c r="C3705" s="217"/>
      <c r="D3705" s="217" t="s">
        <v>20398</v>
      </c>
      <c r="E3705" s="471" t="s">
        <v>20673</v>
      </c>
      <c r="F3705" s="482">
        <v>1257</v>
      </c>
      <c r="G3705" s="470" t="s">
        <v>20906</v>
      </c>
      <c r="H3705" s="471" t="s">
        <v>15515</v>
      </c>
      <c r="I3705" s="472">
        <v>39.600000000000001</v>
      </c>
      <c r="J3705" s="473">
        <f t="shared" si="1827"/>
        <v>202.65134000000003</v>
      </c>
      <c r="K3705" s="474">
        <f t="shared" si="1833"/>
        <v>8024.9930640000021</v>
      </c>
      <c r="L3705" s="475">
        <f t="shared" si="1832"/>
        <v>197.86072000000001</v>
      </c>
      <c r="M3705" s="474">
        <f t="shared" si="1834"/>
        <v>7835.2845120000011</v>
      </c>
      <c r="O3705" s="434">
        <f t="shared" si="1830"/>
        <v>202.65134000000003</v>
      </c>
      <c r="P3705" s="435">
        <f t="shared" si="1831"/>
        <v>197.86072000000001</v>
      </c>
      <c r="AE3705" s="217"/>
      <c r="AF3705" s="217">
        <v>1436</v>
      </c>
      <c r="AH3705">
        <f t="shared" si="1824"/>
        <v>1436</v>
      </c>
    </row>
    <row r="3706" ht="75" hidden="1">
      <c r="A3706" s="217"/>
      <c r="B3706" s="217">
        <v>1436</v>
      </c>
      <c r="C3706" s="217"/>
      <c r="D3706" s="217" t="s">
        <v>17167</v>
      </c>
      <c r="E3706" s="471" t="s">
        <v>20675</v>
      </c>
      <c r="F3706" s="489">
        <v>87878</v>
      </c>
      <c r="G3706" s="470" t="s">
        <v>20910</v>
      </c>
      <c r="H3706" s="471" t="s">
        <v>15515</v>
      </c>
      <c r="I3706" s="472">
        <v>90.736000000000004</v>
      </c>
      <c r="J3706" s="473">
        <f t="shared" si="1827"/>
        <v>5.0099999999999998</v>
      </c>
      <c r="K3706" s="474">
        <f t="shared" si="1833"/>
        <v>454.58735999999999</v>
      </c>
      <c r="L3706" s="475">
        <f t="shared" si="1832"/>
        <v>4.7999999999999998</v>
      </c>
      <c r="M3706" s="474">
        <f t="shared" si="1834"/>
        <v>435.53280000000001</v>
      </c>
      <c r="O3706" s="434">
        <f t="shared" si="1830"/>
        <v>5.0099999999999998</v>
      </c>
      <c r="P3706" s="435">
        <f t="shared" si="1831"/>
        <v>4.7999999999999998</v>
      </c>
      <c r="AE3706" s="217"/>
      <c r="AF3706" s="217">
        <v>1436</v>
      </c>
      <c r="AH3706">
        <f t="shared" si="1824"/>
        <v>1436</v>
      </c>
    </row>
    <row r="3707" ht="105" hidden="1">
      <c r="A3707" s="217"/>
      <c r="B3707" s="217">
        <v>1436</v>
      </c>
      <c r="C3707" s="217"/>
      <c r="D3707" s="217" t="s">
        <v>17167</v>
      </c>
      <c r="E3707" s="471" t="s">
        <v>20677</v>
      </c>
      <c r="F3707" s="482">
        <v>87529</v>
      </c>
      <c r="G3707" s="470" t="s">
        <v>20931</v>
      </c>
      <c r="H3707" s="471" t="s">
        <v>15515</v>
      </c>
      <c r="I3707" s="472">
        <v>42.399999999999999</v>
      </c>
      <c r="J3707" s="473">
        <f t="shared" si="1827"/>
        <v>37.270000000000003</v>
      </c>
      <c r="K3707" s="474">
        <f t="shared" si="1833"/>
        <v>1580.248</v>
      </c>
      <c r="L3707" s="475">
        <f t="shared" si="1832"/>
        <v>35.990000000000002</v>
      </c>
      <c r="M3707" s="474">
        <f t="shared" si="1834"/>
        <v>1525.9760000000001</v>
      </c>
      <c r="O3707" s="434">
        <f t="shared" si="1830"/>
        <v>37.270000000000003</v>
      </c>
      <c r="P3707" s="435">
        <f t="shared" si="1831"/>
        <v>35.990000000000002</v>
      </c>
      <c r="AE3707" s="217"/>
      <c r="AF3707" s="217">
        <v>1436</v>
      </c>
      <c r="AH3707">
        <f t="shared" si="1824"/>
        <v>1436</v>
      </c>
    </row>
    <row r="3708" ht="105" hidden="1">
      <c r="A3708" s="217"/>
      <c r="B3708" s="217">
        <v>1436</v>
      </c>
      <c r="C3708" s="217"/>
      <c r="D3708" s="217" t="s">
        <v>17167</v>
      </c>
      <c r="E3708" s="471" t="s">
        <v>20679</v>
      </c>
      <c r="F3708" s="489">
        <v>5928</v>
      </c>
      <c r="G3708" s="470" t="s">
        <v>1739</v>
      </c>
      <c r="H3708" s="472" t="s">
        <v>1535</v>
      </c>
      <c r="I3708" s="472">
        <v>0.10000000000000001</v>
      </c>
      <c r="J3708" s="473">
        <f t="shared" si="1827"/>
        <v>298.70999999999998</v>
      </c>
      <c r="K3708" s="474">
        <f t="shared" si="1833"/>
        <v>29.870999999999999</v>
      </c>
      <c r="L3708" s="475">
        <f t="shared" si="1832"/>
        <v>296.98000000000002</v>
      </c>
      <c r="M3708" s="474">
        <f t="shared" si="1834"/>
        <v>29.698000000000004</v>
      </c>
      <c r="O3708" s="434">
        <f t="shared" si="1830"/>
        <v>298.70999999999998</v>
      </c>
      <c r="P3708" s="435">
        <f t="shared" si="1831"/>
        <v>296.98000000000002</v>
      </c>
      <c r="AE3708" s="217"/>
      <c r="AF3708" s="217">
        <v>1436</v>
      </c>
      <c r="AH3708">
        <f t="shared" si="1824"/>
        <v>1436</v>
      </c>
    </row>
    <row r="3709" ht="45" hidden="1">
      <c r="A3709" s="217"/>
      <c r="B3709" s="217">
        <v>1436</v>
      </c>
      <c r="C3709" s="217"/>
      <c r="D3709" s="217" t="s">
        <v>17167</v>
      </c>
      <c r="E3709" s="471" t="s">
        <v>20681</v>
      </c>
      <c r="F3709" s="489">
        <v>93382</v>
      </c>
      <c r="G3709" s="470" t="s">
        <v>20722</v>
      </c>
      <c r="H3709" s="471" t="s">
        <v>15528</v>
      </c>
      <c r="I3709" s="472">
        <v>97.909000000000006</v>
      </c>
      <c r="J3709" s="473">
        <f t="shared" si="1827"/>
        <v>27.52</v>
      </c>
      <c r="K3709" s="474">
        <f t="shared" si="1833"/>
        <v>2694.45568</v>
      </c>
      <c r="L3709" s="475">
        <f t="shared" si="1832"/>
        <v>26.190000000000001</v>
      </c>
      <c r="M3709" s="474">
        <f t="shared" si="1834"/>
        <v>2564.2367100000001</v>
      </c>
      <c r="O3709" s="434">
        <f t="shared" si="1830"/>
        <v>27.52</v>
      </c>
      <c r="P3709" s="435">
        <f t="shared" si="1831"/>
        <v>26.190000000000001</v>
      </c>
      <c r="AE3709" s="217"/>
      <c r="AF3709" s="217">
        <v>1436</v>
      </c>
      <c r="AH3709">
        <f t="shared" si="1824"/>
        <v>1436</v>
      </c>
    </row>
    <row r="3710" ht="49.5" hidden="1" customHeight="1">
      <c r="A3710" s="460">
        <v>1437</v>
      </c>
      <c r="B3710" s="460">
        <v>1437</v>
      </c>
      <c r="C3710" s="460"/>
      <c r="D3710" s="460"/>
      <c r="E3710" s="461">
        <v>1</v>
      </c>
      <c r="F3710" s="462" t="s">
        <v>22371</v>
      </c>
      <c r="G3710" s="477" t="s">
        <v>22372</v>
      </c>
      <c r="H3710" s="478" t="s">
        <v>38</v>
      </c>
      <c r="I3710" s="479"/>
      <c r="J3710" s="480"/>
      <c r="K3710" s="466">
        <f>SUM(K3711:K3713)</f>
        <v>562.62633600000004</v>
      </c>
      <c r="L3710" s="480"/>
      <c r="M3710" s="466">
        <f>SUM(M3711:M3713)</f>
        <v>548.31148799999994</v>
      </c>
      <c r="O3710" s="434" t="str">
        <f t="shared" si="1830"/>
        <v xml:space="preserve">SEM VALOR</v>
      </c>
      <c r="P3710" s="435" t="str">
        <f t="shared" si="1831"/>
        <v xml:space="preserve">SEM VALOR</v>
      </c>
      <c r="AE3710" s="460">
        <v>1437</v>
      </c>
      <c r="AF3710" s="460"/>
      <c r="AH3710">
        <f t="shared" si="1824"/>
        <v>1437</v>
      </c>
    </row>
    <row r="3711" ht="75" hidden="1">
      <c r="A3711" s="217"/>
      <c r="B3711" s="217">
        <v>1437</v>
      </c>
      <c r="C3711" s="217"/>
      <c r="D3711" s="217" t="s">
        <v>20398</v>
      </c>
      <c r="E3711" s="471" t="s">
        <v>20399</v>
      </c>
      <c r="F3711" s="482">
        <v>1257</v>
      </c>
      <c r="G3711" s="470" t="s">
        <v>20906</v>
      </c>
      <c r="H3711" s="471" t="s">
        <v>15515</v>
      </c>
      <c r="I3711" s="472">
        <v>2.3999999999999999</v>
      </c>
      <c r="J3711" s="473">
        <f t="shared" si="1827"/>
        <v>202.65134000000003</v>
      </c>
      <c r="K3711" s="474">
        <f t="shared" ref="K3711:K3713" si="1835">I3711*J3711</f>
        <v>486.36321600000008</v>
      </c>
      <c r="L3711" s="475">
        <f t="shared" si="1832"/>
        <v>197.86072000000001</v>
      </c>
      <c r="M3711" s="474">
        <f t="shared" ref="M3711:M3713" si="1836">L3711*I3711</f>
        <v>474.86572799999999</v>
      </c>
      <c r="O3711" s="434">
        <f t="shared" si="1830"/>
        <v>202.65134000000003</v>
      </c>
      <c r="P3711" s="435">
        <f t="shared" si="1831"/>
        <v>197.86072000000001</v>
      </c>
      <c r="AE3711" s="217"/>
      <c r="AF3711" s="217">
        <v>1437</v>
      </c>
      <c r="AH3711">
        <f t="shared" si="1824"/>
        <v>1437</v>
      </c>
    </row>
    <row r="3712" ht="75" hidden="1">
      <c r="A3712" s="217"/>
      <c r="B3712" s="217">
        <v>1437</v>
      </c>
      <c r="C3712" s="217"/>
      <c r="D3712" s="217" t="s">
        <v>17167</v>
      </c>
      <c r="E3712" s="471" t="s">
        <v>20402</v>
      </c>
      <c r="F3712" s="489">
        <v>87878</v>
      </c>
      <c r="G3712" s="470" t="s">
        <v>20910</v>
      </c>
      <c r="H3712" s="471" t="s">
        <v>15515</v>
      </c>
      <c r="I3712" s="472">
        <v>5.2240000000000002</v>
      </c>
      <c r="J3712" s="473">
        <f t="shared" si="1827"/>
        <v>5.0099999999999998</v>
      </c>
      <c r="K3712" s="474">
        <f t="shared" si="1835"/>
        <v>26.172239999999999</v>
      </c>
      <c r="L3712" s="475">
        <f t="shared" si="1832"/>
        <v>4.7999999999999998</v>
      </c>
      <c r="M3712" s="474">
        <f t="shared" si="1836"/>
        <v>25.075199999999999</v>
      </c>
      <c r="O3712" s="434">
        <f t="shared" si="1830"/>
        <v>5.0099999999999998</v>
      </c>
      <c r="P3712" s="435">
        <f t="shared" si="1831"/>
        <v>4.7999999999999998</v>
      </c>
      <c r="R3712" s="633">
        <v>2.605</v>
      </c>
      <c r="S3712" s="633">
        <v>2</v>
      </c>
      <c r="T3712" s="633">
        <f>R3712-S3712-0.12-0.185</f>
        <v>0.29999999999999999</v>
      </c>
      <c r="AE3712" s="217"/>
      <c r="AF3712" s="217">
        <v>1437</v>
      </c>
      <c r="AH3712">
        <f t="shared" si="1824"/>
        <v>1437</v>
      </c>
    </row>
    <row r="3713" ht="105" hidden="1">
      <c r="A3713" s="217"/>
      <c r="B3713" s="217">
        <v>1437</v>
      </c>
      <c r="C3713" s="217"/>
      <c r="D3713" s="217" t="s">
        <v>17167</v>
      </c>
      <c r="E3713" s="471" t="s">
        <v>20405</v>
      </c>
      <c r="F3713" s="482">
        <v>87529</v>
      </c>
      <c r="G3713" s="470" t="s">
        <v>20931</v>
      </c>
      <c r="H3713" s="471" t="s">
        <v>15515</v>
      </c>
      <c r="I3713" s="472">
        <v>1.3440000000000001</v>
      </c>
      <c r="J3713" s="473">
        <f t="shared" si="1827"/>
        <v>37.270000000000003</v>
      </c>
      <c r="K3713" s="474">
        <f t="shared" si="1835"/>
        <v>50.090880000000006</v>
      </c>
      <c r="L3713" s="475">
        <f t="shared" si="1832"/>
        <v>35.990000000000002</v>
      </c>
      <c r="M3713" s="474">
        <f t="shared" si="1836"/>
        <v>48.370560000000005</v>
      </c>
      <c r="O3713" s="434">
        <f t="shared" si="1830"/>
        <v>37.270000000000003</v>
      </c>
      <c r="P3713" s="435">
        <f t="shared" si="1831"/>
        <v>35.990000000000002</v>
      </c>
      <c r="AE3713" s="217"/>
      <c r="AF3713" s="217">
        <v>1437</v>
      </c>
      <c r="AH3713">
        <f t="shared" si="1824"/>
        <v>1437</v>
      </c>
    </row>
    <row r="3714" ht="47.25" hidden="1">
      <c r="A3714" s="460">
        <v>1438</v>
      </c>
      <c r="B3714" s="460">
        <v>1438</v>
      </c>
      <c r="C3714" s="460"/>
      <c r="D3714" s="460"/>
      <c r="E3714" s="461">
        <v>1</v>
      </c>
      <c r="F3714" s="462" t="s">
        <v>22373</v>
      </c>
      <c r="G3714" s="477" t="s">
        <v>22374</v>
      </c>
      <c r="H3714" s="478" t="s">
        <v>20647</v>
      </c>
      <c r="I3714" s="479"/>
      <c r="J3714" s="480"/>
      <c r="K3714" s="466">
        <f>SUM(K3715:K3717)</f>
        <v>148.35752204600001</v>
      </c>
      <c r="L3714" s="480"/>
      <c r="M3714" s="466">
        <f>SUM(M3715:M3717)</f>
        <v>144.45891228049999</v>
      </c>
      <c r="O3714" s="434" t="str">
        <f t="shared" si="1830"/>
        <v xml:space="preserve">SEM VALOR</v>
      </c>
      <c r="P3714" s="435" t="str">
        <f t="shared" si="1831"/>
        <v xml:space="preserve">SEM VALOR</v>
      </c>
      <c r="AE3714" s="460">
        <v>1438</v>
      </c>
      <c r="AF3714" s="460"/>
      <c r="AH3714">
        <f t="shared" si="1824"/>
        <v>1438</v>
      </c>
    </row>
    <row r="3715" ht="45" hidden="1">
      <c r="A3715" s="217"/>
      <c r="B3715" s="217">
        <v>1438</v>
      </c>
      <c r="C3715" s="217"/>
      <c r="D3715" s="217" t="s">
        <v>20398</v>
      </c>
      <c r="E3715" s="471" t="s">
        <v>20399</v>
      </c>
      <c r="F3715" s="489">
        <v>1000</v>
      </c>
      <c r="G3715" s="488" t="s">
        <v>20651</v>
      </c>
      <c r="H3715" s="472" t="s">
        <v>15528</v>
      </c>
      <c r="I3715" s="472">
        <f>I3716</f>
        <v>0.132719</v>
      </c>
      <c r="J3715" s="473">
        <f t="shared" si="1827"/>
        <v>149.904</v>
      </c>
      <c r="K3715" s="474">
        <f t="shared" ref="K3715:K3717" si="1837">I3715*J3715</f>
        <v>19.895108976</v>
      </c>
      <c r="L3715" s="475">
        <f t="shared" si="1832"/>
        <v>141.76949999999999</v>
      </c>
      <c r="M3715" s="474">
        <f t="shared" ref="M3715:M3717" si="1838">L3715*I3715</f>
        <v>18.815506270499998</v>
      </c>
      <c r="O3715" s="434">
        <f t="shared" si="1830"/>
        <v>149.904</v>
      </c>
      <c r="P3715" s="435">
        <f t="shared" si="1831"/>
        <v>141.76949999999999</v>
      </c>
      <c r="AE3715" s="217"/>
      <c r="AF3715" s="217">
        <v>1438</v>
      </c>
      <c r="AH3715">
        <f t="shared" si="1824"/>
        <v>1438</v>
      </c>
    </row>
    <row r="3716" ht="60" hidden="1">
      <c r="A3716" s="217"/>
      <c r="B3716" s="217">
        <v>1438</v>
      </c>
      <c r="C3716" s="217"/>
      <c r="D3716" s="217" t="s">
        <v>17167</v>
      </c>
      <c r="E3716" s="471" t="s">
        <v>20402</v>
      </c>
      <c r="F3716" s="489">
        <v>94964</v>
      </c>
      <c r="G3716" s="470" t="s">
        <v>20686</v>
      </c>
      <c r="H3716" s="471" t="s">
        <v>15528</v>
      </c>
      <c r="I3716" s="472">
        <f>0.185-R3716</f>
        <v>0.132719</v>
      </c>
      <c r="J3716" s="473">
        <f t="shared" si="1827"/>
        <v>488.52999999999997</v>
      </c>
      <c r="K3716" s="474">
        <f t="shared" si="1837"/>
        <v>64.837213070000004</v>
      </c>
      <c r="L3716" s="475">
        <f t="shared" si="1832"/>
        <v>482.79000000000002</v>
      </c>
      <c r="M3716" s="474">
        <f t="shared" si="1838"/>
        <v>64.075406010000009</v>
      </c>
      <c r="O3716" s="434">
        <f t="shared" si="1830"/>
        <v>488.52999999999997</v>
      </c>
      <c r="P3716" s="435">
        <f t="shared" si="1831"/>
        <v>482.79000000000002</v>
      </c>
      <c r="R3716" s="611">
        <f>3.14*(0.3*0.3)*0.185</f>
        <v>5.2281000000000001e-002</v>
      </c>
      <c r="AE3716" s="217"/>
      <c r="AF3716" s="217">
        <v>1438</v>
      </c>
      <c r="AH3716">
        <f t="shared" si="1824"/>
        <v>1438</v>
      </c>
    </row>
    <row r="3717" ht="60" hidden="1">
      <c r="A3717" s="217"/>
      <c r="B3717" s="217">
        <v>1438</v>
      </c>
      <c r="C3717" s="217"/>
      <c r="D3717" s="217" t="s">
        <v>17167</v>
      </c>
      <c r="E3717" s="471" t="s">
        <v>20405</v>
      </c>
      <c r="F3717" s="489">
        <v>96533</v>
      </c>
      <c r="G3717" s="470" t="s">
        <v>20912</v>
      </c>
      <c r="H3717" s="471" t="s">
        <v>15515</v>
      </c>
      <c r="I3717" s="472">
        <f>(1*4)*0.185</f>
        <v>0.73999999999999999</v>
      </c>
      <c r="J3717" s="473">
        <f t="shared" si="1827"/>
        <v>85.980000000000004</v>
      </c>
      <c r="K3717" s="474">
        <f t="shared" si="1837"/>
        <v>63.6252</v>
      </c>
      <c r="L3717" s="475">
        <f t="shared" si="1832"/>
        <v>83.200000000000003</v>
      </c>
      <c r="M3717" s="474">
        <f t="shared" si="1838"/>
        <v>61.567999999999998</v>
      </c>
      <c r="O3717" s="434">
        <f t="shared" si="1830"/>
        <v>85.980000000000004</v>
      </c>
      <c r="P3717" s="435">
        <f t="shared" si="1831"/>
        <v>83.200000000000003</v>
      </c>
      <c r="AE3717" s="217"/>
      <c r="AF3717" s="217">
        <v>1438</v>
      </c>
      <c r="AH3717">
        <f t="shared" si="1824"/>
        <v>1438</v>
      </c>
    </row>
    <row r="3718" ht="78.75" hidden="1">
      <c r="A3718" s="460">
        <v>1439</v>
      </c>
      <c r="B3718" s="460">
        <v>1439</v>
      </c>
      <c r="C3718" s="460"/>
      <c r="D3718" s="460"/>
      <c r="E3718" s="461">
        <v>1</v>
      </c>
      <c r="F3718" s="462" t="s">
        <v>22375</v>
      </c>
      <c r="G3718" s="477" t="s">
        <v>22376</v>
      </c>
      <c r="H3718" s="478" t="s">
        <v>38</v>
      </c>
      <c r="I3718" s="479"/>
      <c r="J3718" s="480"/>
      <c r="K3718" s="466">
        <f>SUM(K3719:K3723)</f>
        <v>62.051831999999997</v>
      </c>
      <c r="L3718" s="480"/>
      <c r="M3718" s="466">
        <f>SUM(M3719:M3723)</f>
        <v>61.153321000000005</v>
      </c>
      <c r="N3718" s="467" t="s">
        <v>21044</v>
      </c>
      <c r="O3718" s="434" t="str">
        <f t="shared" si="1830"/>
        <v xml:space="preserve">SEM VALOR</v>
      </c>
      <c r="P3718" s="435" t="str">
        <f t="shared" si="1831"/>
        <v xml:space="preserve">SEM VALOR</v>
      </c>
      <c r="AE3718" s="460">
        <v>1439</v>
      </c>
      <c r="AF3718" s="460"/>
      <c r="AH3718">
        <f t="shared" si="1824"/>
        <v>1439</v>
      </c>
    </row>
    <row r="3719" ht="45" hidden="1">
      <c r="A3719" s="217"/>
      <c r="B3719" s="217">
        <v>1439</v>
      </c>
      <c r="C3719" s="217"/>
      <c r="D3719" s="217" t="s">
        <v>20398</v>
      </c>
      <c r="E3719" s="471" t="s">
        <v>20399</v>
      </c>
      <c r="F3719" s="482">
        <v>1259</v>
      </c>
      <c r="G3719" s="572" t="s">
        <v>20796</v>
      </c>
      <c r="H3719" s="499" t="s">
        <v>15528</v>
      </c>
      <c r="I3719" s="558">
        <v>6.6000000000000003e-002</v>
      </c>
      <c r="J3719" s="473">
        <f t="shared" si="1827"/>
        <v>45.520000000000003</v>
      </c>
      <c r="K3719" s="474">
        <f t="shared" ref="K3719:K3723" si="1839">I3719*J3719</f>
        <v>3.0043200000000003</v>
      </c>
      <c r="L3719" s="475">
        <f t="shared" si="1832"/>
        <v>43.100000000000001</v>
      </c>
      <c r="M3719" s="474">
        <f t="shared" ref="M3719:M3723" si="1840">L3719*I3719</f>
        <v>2.8446000000000002</v>
      </c>
      <c r="O3719" s="434">
        <f t="shared" si="1830"/>
        <v>45.520000000000003</v>
      </c>
      <c r="P3719" s="435">
        <f t="shared" si="1831"/>
        <v>43.100000000000001</v>
      </c>
      <c r="AE3719" s="217"/>
      <c r="AF3719" s="217">
        <v>1439</v>
      </c>
      <c r="AH3719">
        <f t="shared" ref="AH3719:AH3782" si="1841">IF(AF3719:AF3720=FALSE,AE3719,AF3719)</f>
        <v>1439</v>
      </c>
    </row>
    <row r="3720" ht="75" hidden="1">
      <c r="A3720" s="217"/>
      <c r="B3720" s="217">
        <v>1439</v>
      </c>
      <c r="C3720" s="217"/>
      <c r="D3720" s="217" t="s">
        <v>20398</v>
      </c>
      <c r="E3720" s="471" t="s">
        <v>20402</v>
      </c>
      <c r="F3720" s="482">
        <v>1267</v>
      </c>
      <c r="G3720" s="572" t="s">
        <v>20662</v>
      </c>
      <c r="H3720" s="499" t="s">
        <v>38</v>
      </c>
      <c r="I3720" s="558">
        <v>1</v>
      </c>
      <c r="J3720" s="473">
        <f t="shared" si="1827"/>
        <v>3.2499999999999996</v>
      </c>
      <c r="K3720" s="474">
        <f t="shared" si="1839"/>
        <v>3.2499999999999996</v>
      </c>
      <c r="L3720" s="475">
        <f t="shared" si="1832"/>
        <v>3.1657000000000002</v>
      </c>
      <c r="M3720" s="474">
        <f t="shared" si="1840"/>
        <v>3.1657000000000002</v>
      </c>
      <c r="O3720" s="434">
        <f t="shared" si="1830"/>
        <v>3.2499999999999996</v>
      </c>
      <c r="P3720" s="435">
        <f t="shared" si="1831"/>
        <v>3.1657000000000002</v>
      </c>
      <c r="AE3720" s="217"/>
      <c r="AF3720" s="217">
        <v>1439</v>
      </c>
      <c r="AH3720">
        <f t="shared" si="1841"/>
        <v>1439</v>
      </c>
    </row>
    <row r="3721" ht="45" hidden="1">
      <c r="A3721" s="217"/>
      <c r="B3721" s="217">
        <v>1439</v>
      </c>
      <c r="C3721" s="217"/>
      <c r="D3721" s="217" t="s">
        <v>17167</v>
      </c>
      <c r="E3721" s="471" t="s">
        <v>20405</v>
      </c>
      <c r="F3721" s="482">
        <v>102498</v>
      </c>
      <c r="G3721" s="470" t="s">
        <v>8369</v>
      </c>
      <c r="H3721" s="499" t="s">
        <v>15515</v>
      </c>
      <c r="I3721" s="559">
        <v>0.25</v>
      </c>
      <c r="J3721" s="473">
        <f t="shared" si="1827"/>
        <v>1.7</v>
      </c>
      <c r="K3721" s="474">
        <f t="shared" si="1839"/>
        <v>0.42499999999999999</v>
      </c>
      <c r="L3721" s="475">
        <f t="shared" si="1832"/>
        <v>1.6200000000000001</v>
      </c>
      <c r="M3721" s="474">
        <f t="shared" si="1840"/>
        <v>0.40500000000000003</v>
      </c>
      <c r="O3721" s="434">
        <f t="shared" si="1830"/>
        <v>1.7</v>
      </c>
      <c r="P3721" s="435">
        <f t="shared" si="1831"/>
        <v>1.6200000000000001</v>
      </c>
      <c r="AE3721" s="217"/>
      <c r="AF3721" s="217">
        <v>1439</v>
      </c>
      <c r="AH3721">
        <f t="shared" si="1841"/>
        <v>1439</v>
      </c>
    </row>
    <row r="3722" ht="45" hidden="1">
      <c r="A3722" s="217"/>
      <c r="B3722" s="217">
        <v>1439</v>
      </c>
      <c r="C3722" s="217"/>
      <c r="D3722" s="217" t="s">
        <v>20398</v>
      </c>
      <c r="E3722" s="471" t="s">
        <v>20409</v>
      </c>
      <c r="F3722" s="482">
        <v>1000</v>
      </c>
      <c r="G3722" s="470" t="s">
        <v>20651</v>
      </c>
      <c r="H3722" s="499" t="s">
        <v>15528</v>
      </c>
      <c r="I3722" s="559">
        <v>7.8e-002</v>
      </c>
      <c r="J3722" s="473">
        <f t="shared" si="1827"/>
        <v>149.904</v>
      </c>
      <c r="K3722" s="474">
        <f t="shared" si="1839"/>
        <v>11.692511999999999</v>
      </c>
      <c r="L3722" s="475">
        <f t="shared" si="1832"/>
        <v>141.76949999999999</v>
      </c>
      <c r="M3722" s="474">
        <f t="shared" si="1840"/>
        <v>11.058021</v>
      </c>
      <c r="O3722" s="434">
        <f t="shared" si="1830"/>
        <v>149.904</v>
      </c>
      <c r="P3722" s="435">
        <f t="shared" si="1831"/>
        <v>141.76949999999999</v>
      </c>
      <c r="AE3722" s="217"/>
      <c r="AF3722" s="217">
        <v>1439</v>
      </c>
      <c r="AH3722">
        <f t="shared" si="1841"/>
        <v>1439</v>
      </c>
    </row>
    <row r="3723" ht="75" hidden="1">
      <c r="A3723" s="217"/>
      <c r="B3723" s="217">
        <v>1439</v>
      </c>
      <c r="C3723" s="217"/>
      <c r="D3723" s="217" t="s">
        <v>20408</v>
      </c>
      <c r="E3723" s="471" t="s">
        <v>20663</v>
      </c>
      <c r="F3723" s="482">
        <v>34492</v>
      </c>
      <c r="G3723" s="470" t="s">
        <v>11636</v>
      </c>
      <c r="H3723" s="482" t="s">
        <v>15528</v>
      </c>
      <c r="I3723" s="558">
        <v>7.8e-002</v>
      </c>
      <c r="J3723" s="473">
        <f t="shared" si="1827"/>
        <v>560</v>
      </c>
      <c r="K3723" s="474">
        <f t="shared" si="1839"/>
        <v>43.68</v>
      </c>
      <c r="L3723" s="475">
        <f t="shared" si="1832"/>
        <v>560</v>
      </c>
      <c r="M3723" s="474">
        <f t="shared" si="1840"/>
        <v>43.68</v>
      </c>
      <c r="O3723" s="434">
        <f t="shared" si="1830"/>
        <v>560</v>
      </c>
      <c r="P3723" s="435">
        <f t="shared" si="1831"/>
        <v>560</v>
      </c>
      <c r="AE3723" s="217"/>
      <c r="AF3723" s="217">
        <v>1439</v>
      </c>
      <c r="AH3723">
        <f t="shared" si="1841"/>
        <v>1439</v>
      </c>
    </row>
    <row r="3724" ht="78.75">
      <c r="A3724" s="460">
        <v>1440</v>
      </c>
      <c r="B3724" s="460">
        <v>1440</v>
      </c>
      <c r="C3724" s="460"/>
      <c r="D3724" s="460"/>
      <c r="E3724" s="461">
        <v>1</v>
      </c>
      <c r="F3724" s="462" t="s">
        <v>20577</v>
      </c>
      <c r="G3724" s="477" t="s">
        <v>22377</v>
      </c>
      <c r="H3724" s="478" t="s">
        <v>38</v>
      </c>
      <c r="I3724" s="479"/>
      <c r="J3724" s="480"/>
      <c r="K3724" s="466">
        <f>SUM(K3725:K3729)</f>
        <v>49.420000000000002</v>
      </c>
      <c r="L3724" s="480"/>
      <c r="M3724" s="466">
        <f>SUM(M3725:M3729)</f>
        <v>48.720744249999996</v>
      </c>
      <c r="O3724" s="434" t="str">
        <f t="shared" si="1830"/>
        <v xml:space="preserve">SEM VALOR</v>
      </c>
      <c r="P3724" s="435" t="str">
        <f t="shared" si="1831"/>
        <v xml:space="preserve">SEM VALOR</v>
      </c>
      <c r="AE3724" s="460">
        <v>1440</v>
      </c>
      <c r="AF3724" s="460"/>
      <c r="AH3724">
        <f t="shared" si="1841"/>
        <v>1440</v>
      </c>
    </row>
    <row r="3725" ht="45">
      <c r="A3725" s="217"/>
      <c r="B3725" s="217">
        <v>1440</v>
      </c>
      <c r="C3725" s="217"/>
      <c r="D3725" s="217" t="s">
        <v>20398</v>
      </c>
      <c r="E3725" s="471" t="s">
        <v>20399</v>
      </c>
      <c r="F3725" s="482">
        <v>1259</v>
      </c>
      <c r="G3725" s="572" t="s">
        <v>20796</v>
      </c>
      <c r="H3725" s="499" t="s">
        <v>15528</v>
      </c>
      <c r="I3725" s="483">
        <v>4.6199999999999998e-002</v>
      </c>
      <c r="J3725" s="473">
        <f t="shared" si="1827"/>
        <v>45.520000000000003</v>
      </c>
      <c r="K3725" s="474">
        <f>TRUNC(I3725*J3725,2)</f>
        <v>2.1000000000000001</v>
      </c>
      <c r="L3725" s="475">
        <f t="shared" si="1832"/>
        <v>43.100000000000001</v>
      </c>
      <c r="M3725" s="474">
        <f t="shared" ref="M3725:M3729" si="1842">L3725*I3725</f>
        <v>1.99122</v>
      </c>
      <c r="O3725" s="434">
        <f t="shared" si="1830"/>
        <v>45.520000000000003</v>
      </c>
      <c r="P3725" s="435">
        <f t="shared" si="1831"/>
        <v>43.100000000000001</v>
      </c>
      <c r="AE3725" s="217"/>
      <c r="AF3725" s="217">
        <v>1440</v>
      </c>
      <c r="AH3725">
        <f t="shared" si="1841"/>
        <v>1440</v>
      </c>
    </row>
    <row r="3726" ht="75">
      <c r="A3726" s="217"/>
      <c r="B3726" s="217">
        <v>1440</v>
      </c>
      <c r="C3726" s="217"/>
      <c r="D3726" s="217" t="s">
        <v>20398</v>
      </c>
      <c r="E3726" s="471" t="s">
        <v>20402</v>
      </c>
      <c r="F3726" s="482">
        <v>1267</v>
      </c>
      <c r="G3726" s="572" t="s">
        <v>20662</v>
      </c>
      <c r="H3726" s="499" t="s">
        <v>38</v>
      </c>
      <c r="I3726" s="483">
        <v>1</v>
      </c>
      <c r="J3726" s="473">
        <f t="shared" si="1827"/>
        <v>3.2499999999999996</v>
      </c>
      <c r="K3726" s="474">
        <v>3.25</v>
      </c>
      <c r="L3726" s="475">
        <f t="shared" si="1832"/>
        <v>3.1657000000000002</v>
      </c>
      <c r="M3726" s="474">
        <f t="shared" si="1842"/>
        <v>3.1657000000000002</v>
      </c>
      <c r="O3726" s="434">
        <f t="shared" si="1830"/>
        <v>3.2499999999999996</v>
      </c>
      <c r="P3726" s="435">
        <f t="shared" si="1831"/>
        <v>3.1657000000000002</v>
      </c>
      <c r="AE3726" s="217"/>
      <c r="AF3726" s="217">
        <v>1440</v>
      </c>
      <c r="AH3726">
        <f t="shared" si="1841"/>
        <v>1440</v>
      </c>
    </row>
    <row r="3727" ht="45">
      <c r="A3727" s="217"/>
      <c r="B3727" s="217">
        <v>1440</v>
      </c>
      <c r="C3727" s="217"/>
      <c r="D3727" s="217" t="s">
        <v>17167</v>
      </c>
      <c r="E3727" s="471" t="s">
        <v>20405</v>
      </c>
      <c r="F3727" s="482">
        <v>102498</v>
      </c>
      <c r="G3727" s="470" t="s">
        <v>8369</v>
      </c>
      <c r="H3727" s="499" t="s">
        <v>15515</v>
      </c>
      <c r="I3727" s="483">
        <v>0.25</v>
      </c>
      <c r="J3727" s="473">
        <f t="shared" si="1827"/>
        <v>1.7</v>
      </c>
      <c r="K3727" s="474">
        <f>TRUNC(I3727*J3727,2)</f>
        <v>0.41999999999999998</v>
      </c>
      <c r="L3727" s="475">
        <f t="shared" si="1832"/>
        <v>1.6200000000000001</v>
      </c>
      <c r="M3727" s="474">
        <f t="shared" si="1842"/>
        <v>0.40500000000000003</v>
      </c>
      <c r="O3727" s="434">
        <f t="shared" si="1830"/>
        <v>1.7</v>
      </c>
      <c r="P3727" s="435">
        <f t="shared" si="1831"/>
        <v>1.6200000000000001</v>
      </c>
      <c r="AE3727" s="217"/>
      <c r="AF3727" s="217">
        <v>1440</v>
      </c>
      <c r="AH3727">
        <f t="shared" si="1841"/>
        <v>1440</v>
      </c>
    </row>
    <row r="3728" ht="45">
      <c r="A3728" s="217"/>
      <c r="B3728" s="217">
        <v>1440</v>
      </c>
      <c r="C3728" s="217"/>
      <c r="D3728" s="217" t="s">
        <v>20398</v>
      </c>
      <c r="E3728" s="471" t="s">
        <v>20409</v>
      </c>
      <c r="F3728" s="482">
        <v>1000</v>
      </c>
      <c r="G3728" s="470" t="s">
        <v>20651</v>
      </c>
      <c r="H3728" s="499" t="s">
        <v>15528</v>
      </c>
      <c r="I3728" s="483">
        <v>6.1499999999999999e-002</v>
      </c>
      <c r="J3728" s="473">
        <f t="shared" si="1827"/>
        <v>149.904</v>
      </c>
      <c r="K3728" s="474">
        <f>TRUNC(I3728*J3728,2)</f>
        <v>9.2100000000000009</v>
      </c>
      <c r="L3728" s="475">
        <f t="shared" si="1832"/>
        <v>141.76949999999999</v>
      </c>
      <c r="M3728" s="474">
        <f t="shared" si="1842"/>
        <v>8.7188242499999991</v>
      </c>
      <c r="O3728" s="434">
        <f t="shared" si="1830"/>
        <v>149.904</v>
      </c>
      <c r="P3728" s="435">
        <f t="shared" si="1831"/>
        <v>141.76949999999999</v>
      </c>
      <c r="AE3728" s="217"/>
      <c r="AF3728" s="217">
        <v>1440</v>
      </c>
      <c r="AH3728">
        <f t="shared" si="1841"/>
        <v>1440</v>
      </c>
    </row>
    <row r="3729" ht="75">
      <c r="A3729" s="217"/>
      <c r="B3729" s="217">
        <v>1440</v>
      </c>
      <c r="C3729" s="217"/>
      <c r="D3729" s="217" t="s">
        <v>20408</v>
      </c>
      <c r="E3729" s="471" t="s">
        <v>20663</v>
      </c>
      <c r="F3729" s="482">
        <v>34492</v>
      </c>
      <c r="G3729" s="470" t="s">
        <v>11636</v>
      </c>
      <c r="H3729" s="482" t="s">
        <v>15528</v>
      </c>
      <c r="I3729" s="483">
        <v>6.1499999999999999e-002</v>
      </c>
      <c r="J3729" s="473">
        <f t="shared" si="1827"/>
        <v>560</v>
      </c>
      <c r="K3729" s="474">
        <f>TRUNC(I3729*J3729,2)</f>
        <v>34.439999999999998</v>
      </c>
      <c r="L3729" s="475">
        <f t="shared" si="1832"/>
        <v>560</v>
      </c>
      <c r="M3729" s="474">
        <f t="shared" si="1842"/>
        <v>34.439999999999998</v>
      </c>
      <c r="O3729" s="434">
        <f t="shared" si="1830"/>
        <v>560</v>
      </c>
      <c r="P3729" s="435">
        <f t="shared" si="1831"/>
        <v>560</v>
      </c>
      <c r="AE3729" s="217"/>
      <c r="AF3729" s="217">
        <v>1440</v>
      </c>
      <c r="AH3729">
        <f t="shared" si="1841"/>
        <v>1440</v>
      </c>
    </row>
    <row r="3730" ht="66" hidden="1" customHeight="1">
      <c r="A3730" s="460">
        <v>1441</v>
      </c>
      <c r="B3730" s="460">
        <v>1441</v>
      </c>
      <c r="C3730" s="460"/>
      <c r="D3730" s="460"/>
      <c r="E3730" s="461">
        <v>1</v>
      </c>
      <c r="F3730" s="462" t="s">
        <v>22378</v>
      </c>
      <c r="G3730" s="477" t="s">
        <v>22379</v>
      </c>
      <c r="H3730" s="478" t="s">
        <v>38</v>
      </c>
      <c r="I3730" s="479"/>
      <c r="J3730" s="480"/>
      <c r="K3730" s="466">
        <f>SUM(K3731:K3734)</f>
        <v>28.178992000000001</v>
      </c>
      <c r="L3730" s="480"/>
      <c r="M3730" s="466">
        <f>SUM(M3731:M3734)</f>
        <v>27.7463935</v>
      </c>
      <c r="O3730" s="434" t="str">
        <f t="shared" si="1830"/>
        <v xml:space="preserve">SEM VALOR</v>
      </c>
      <c r="P3730" s="435" t="str">
        <f t="shared" si="1831"/>
        <v xml:space="preserve">SEM VALOR</v>
      </c>
      <c r="AE3730" s="460">
        <v>1441</v>
      </c>
      <c r="AF3730" s="460"/>
      <c r="AH3730">
        <f t="shared" si="1841"/>
        <v>1441</v>
      </c>
    </row>
    <row r="3731" ht="45" hidden="1">
      <c r="A3731" s="217"/>
      <c r="B3731" s="217">
        <v>1441</v>
      </c>
      <c r="C3731" s="217"/>
      <c r="D3731" s="217" t="s">
        <v>20398</v>
      </c>
      <c r="E3731" s="471" t="s">
        <v>20399</v>
      </c>
      <c r="F3731" s="482">
        <v>1259</v>
      </c>
      <c r="G3731" s="572" t="s">
        <v>20796</v>
      </c>
      <c r="H3731" s="499" t="s">
        <v>15528</v>
      </c>
      <c r="I3731" s="483">
        <v>3.3000000000000002e-002</v>
      </c>
      <c r="J3731" s="473">
        <f t="shared" si="1827"/>
        <v>45.520000000000003</v>
      </c>
      <c r="K3731" s="474">
        <f t="shared" ref="K3731:K3734" si="1843">I3731*J3731</f>
        <v>1.5021600000000002</v>
      </c>
      <c r="L3731" s="475">
        <f t="shared" si="1832"/>
        <v>43.100000000000001</v>
      </c>
      <c r="M3731" s="474">
        <f t="shared" ref="M3731:M3734" si="1844">L3731*I3731</f>
        <v>1.4223000000000001</v>
      </c>
      <c r="O3731" s="434">
        <f t="shared" si="1830"/>
        <v>45.520000000000003</v>
      </c>
      <c r="P3731" s="435">
        <f t="shared" si="1831"/>
        <v>43.100000000000001</v>
      </c>
      <c r="AE3731" s="217"/>
      <c r="AF3731" s="217">
        <v>1441</v>
      </c>
      <c r="AH3731">
        <f t="shared" si="1841"/>
        <v>1441</v>
      </c>
    </row>
    <row r="3732" ht="75" hidden="1">
      <c r="A3732" s="217"/>
      <c r="B3732" s="217">
        <v>1441</v>
      </c>
      <c r="C3732" s="217"/>
      <c r="D3732" s="217" t="s">
        <v>20398</v>
      </c>
      <c r="E3732" s="471" t="s">
        <v>20402</v>
      </c>
      <c r="F3732" s="482">
        <v>1267</v>
      </c>
      <c r="G3732" s="572" t="s">
        <v>20662</v>
      </c>
      <c r="H3732" s="499" t="s">
        <v>38</v>
      </c>
      <c r="I3732" s="483">
        <v>1</v>
      </c>
      <c r="J3732" s="473">
        <f t="shared" si="1827"/>
        <v>3.2499999999999996</v>
      </c>
      <c r="K3732" s="474">
        <f t="shared" si="1843"/>
        <v>3.2499999999999996</v>
      </c>
      <c r="L3732" s="475">
        <f t="shared" si="1832"/>
        <v>3.1657000000000002</v>
      </c>
      <c r="M3732" s="474">
        <f t="shared" si="1844"/>
        <v>3.1657000000000002</v>
      </c>
      <c r="O3732" s="434">
        <f t="shared" si="1830"/>
        <v>3.2499999999999996</v>
      </c>
      <c r="P3732" s="435">
        <f t="shared" si="1831"/>
        <v>3.1657000000000002</v>
      </c>
      <c r="AE3732" s="217"/>
      <c r="AF3732" s="217">
        <v>1441</v>
      </c>
      <c r="AH3732">
        <f t="shared" si="1841"/>
        <v>1441</v>
      </c>
    </row>
    <row r="3733" ht="45" hidden="1">
      <c r="A3733" s="217"/>
      <c r="B3733" s="217">
        <v>1441</v>
      </c>
      <c r="C3733" s="217"/>
      <c r="D3733" s="217" t="s">
        <v>20398</v>
      </c>
      <c r="E3733" s="471" t="s">
        <v>20405</v>
      </c>
      <c r="F3733" s="482">
        <v>1000</v>
      </c>
      <c r="G3733" s="470" t="s">
        <v>20651</v>
      </c>
      <c r="H3733" s="499" t="s">
        <v>15515</v>
      </c>
      <c r="I3733" s="483">
        <v>3.3000000000000002e-002</v>
      </c>
      <c r="J3733" s="473">
        <f t="shared" si="1827"/>
        <v>149.904</v>
      </c>
      <c r="K3733" s="474">
        <f t="shared" si="1843"/>
        <v>4.9468319999999997</v>
      </c>
      <c r="L3733" s="475">
        <f t="shared" si="1832"/>
        <v>141.76949999999999</v>
      </c>
      <c r="M3733" s="474">
        <f t="shared" si="1844"/>
        <v>4.6783935000000003</v>
      </c>
      <c r="O3733" s="434">
        <f t="shared" si="1830"/>
        <v>149.904</v>
      </c>
      <c r="P3733" s="435">
        <f t="shared" si="1831"/>
        <v>141.76949999999999</v>
      </c>
      <c r="AE3733" s="217"/>
      <c r="AF3733" s="217">
        <v>1441</v>
      </c>
      <c r="AH3733">
        <f t="shared" si="1841"/>
        <v>1441</v>
      </c>
    </row>
    <row r="3734" ht="75" hidden="1">
      <c r="A3734" s="217"/>
      <c r="B3734" s="217">
        <v>1441</v>
      </c>
      <c r="C3734" s="217"/>
      <c r="D3734" s="217" t="s">
        <v>20408</v>
      </c>
      <c r="E3734" s="471" t="s">
        <v>20409</v>
      </c>
      <c r="F3734" s="482">
        <v>34492</v>
      </c>
      <c r="G3734" s="470" t="s">
        <v>11636</v>
      </c>
      <c r="H3734" s="482" t="s">
        <v>15528</v>
      </c>
      <c r="I3734" s="483">
        <v>3.3000000000000002e-002</v>
      </c>
      <c r="J3734" s="473">
        <f t="shared" si="1827"/>
        <v>560</v>
      </c>
      <c r="K3734" s="474">
        <f t="shared" si="1843"/>
        <v>18.48</v>
      </c>
      <c r="L3734" s="475">
        <f t="shared" si="1832"/>
        <v>560</v>
      </c>
      <c r="M3734" s="474">
        <f t="shared" si="1844"/>
        <v>18.48</v>
      </c>
      <c r="O3734" s="434">
        <f t="shared" si="1830"/>
        <v>560</v>
      </c>
      <c r="P3734" s="435">
        <f t="shared" si="1831"/>
        <v>560</v>
      </c>
      <c r="AE3734" s="217"/>
      <c r="AF3734" s="217">
        <v>1441</v>
      </c>
      <c r="AH3734">
        <f t="shared" si="1841"/>
        <v>1441</v>
      </c>
    </row>
    <row r="3735" ht="72" hidden="1" customHeight="1">
      <c r="A3735" s="460">
        <v>1442</v>
      </c>
      <c r="B3735" s="460">
        <v>1442</v>
      </c>
      <c r="C3735" s="460"/>
      <c r="D3735" s="460"/>
      <c r="E3735" s="461">
        <v>1</v>
      </c>
      <c r="F3735" s="462" t="s">
        <v>22380</v>
      </c>
      <c r="G3735" s="477" t="s">
        <v>22381</v>
      </c>
      <c r="H3735" s="478" t="s">
        <v>38</v>
      </c>
      <c r="I3735" s="479"/>
      <c r="J3735" s="480"/>
      <c r="K3735" s="466">
        <f>SUM(K3736:K3742)</f>
        <v>24.884958000000001</v>
      </c>
      <c r="L3735" s="480"/>
      <c r="M3735" s="466">
        <f>SUM(M3736:M3742)</f>
        <v>24.504610750000001</v>
      </c>
      <c r="O3735" s="434" t="str">
        <f t="shared" si="1830"/>
        <v xml:space="preserve">SEM VALOR</v>
      </c>
      <c r="P3735" s="435" t="str">
        <f t="shared" si="1831"/>
        <v xml:space="preserve">SEM VALOR</v>
      </c>
      <c r="AE3735" s="460">
        <v>1442</v>
      </c>
      <c r="AF3735" s="460"/>
      <c r="AH3735">
        <f t="shared" si="1841"/>
        <v>1442</v>
      </c>
    </row>
    <row r="3736" ht="45" hidden="1">
      <c r="A3736" s="217"/>
      <c r="B3736" s="217">
        <v>1442</v>
      </c>
      <c r="C3736" s="217"/>
      <c r="D3736" s="217" t="s">
        <v>20398</v>
      </c>
      <c r="E3736" s="471" t="s">
        <v>20399</v>
      </c>
      <c r="F3736" s="482">
        <v>1259</v>
      </c>
      <c r="G3736" s="572" t="s">
        <v>20796</v>
      </c>
      <c r="H3736" s="499" t="s">
        <v>15528</v>
      </c>
      <c r="I3736" s="483">
        <v>1.2e-002</v>
      </c>
      <c r="J3736" s="473">
        <f t="shared" si="1827"/>
        <v>45.520000000000003</v>
      </c>
      <c r="K3736" s="474">
        <f t="shared" ref="K3736:K3742" si="1845">I3736*J3736</f>
        <v>0.54624000000000006</v>
      </c>
      <c r="L3736" s="475">
        <f t="shared" si="1832"/>
        <v>43.100000000000001</v>
      </c>
      <c r="M3736" s="474">
        <f t="shared" ref="M3736:M3742" si="1846">L3736*I3736</f>
        <v>0.51719999999999999</v>
      </c>
      <c r="O3736" s="434">
        <f t="shared" si="1830"/>
        <v>45.520000000000003</v>
      </c>
      <c r="P3736" s="435">
        <f t="shared" si="1831"/>
        <v>43.100000000000001</v>
      </c>
      <c r="AE3736" s="217"/>
      <c r="AF3736" s="217">
        <v>1442</v>
      </c>
      <c r="AH3736">
        <f t="shared" si="1841"/>
        <v>1442</v>
      </c>
    </row>
    <row r="3737" ht="75" hidden="1">
      <c r="A3737" s="217"/>
      <c r="B3737" s="217">
        <v>1442</v>
      </c>
      <c r="C3737" s="217"/>
      <c r="D3737" s="217" t="s">
        <v>20398</v>
      </c>
      <c r="E3737" s="471" t="s">
        <v>20402</v>
      </c>
      <c r="F3737" s="482">
        <v>1267</v>
      </c>
      <c r="G3737" s="572" t="s">
        <v>20662</v>
      </c>
      <c r="H3737" s="499" t="s">
        <v>38</v>
      </c>
      <c r="I3737" s="483">
        <v>1</v>
      </c>
      <c r="J3737" s="473">
        <f t="shared" si="1827"/>
        <v>3.2499999999999996</v>
      </c>
      <c r="K3737" s="474">
        <f t="shared" si="1845"/>
        <v>3.2499999999999996</v>
      </c>
      <c r="L3737" s="475">
        <f t="shared" si="1832"/>
        <v>3.1657000000000002</v>
      </c>
      <c r="M3737" s="474">
        <f t="shared" si="1846"/>
        <v>3.1657000000000002</v>
      </c>
      <c r="O3737" s="434">
        <f t="shared" si="1830"/>
        <v>3.2499999999999996</v>
      </c>
      <c r="P3737" s="435">
        <f t="shared" si="1831"/>
        <v>3.1657000000000002</v>
      </c>
      <c r="AE3737" s="217"/>
      <c r="AF3737" s="217">
        <v>1442</v>
      </c>
      <c r="AH3737">
        <f t="shared" si="1841"/>
        <v>1442</v>
      </c>
    </row>
    <row r="3738" ht="45" hidden="1">
      <c r="A3738" s="217"/>
      <c r="B3738" s="217">
        <v>1442</v>
      </c>
      <c r="C3738" s="217"/>
      <c r="D3738" s="217" t="s">
        <v>20398</v>
      </c>
      <c r="E3738" s="471" t="s">
        <v>20405</v>
      </c>
      <c r="F3738" s="489">
        <v>1093</v>
      </c>
      <c r="G3738" s="572" t="s">
        <v>21111</v>
      </c>
      <c r="H3738" s="499" t="s">
        <v>15528</v>
      </c>
      <c r="I3738" s="483">
        <v>1.2e-002</v>
      </c>
      <c r="J3738" s="473">
        <f t="shared" si="1827"/>
        <v>31.7545</v>
      </c>
      <c r="K3738" s="474">
        <f t="shared" si="1845"/>
        <v>0.381054</v>
      </c>
      <c r="L3738" s="475">
        <f t="shared" si="1832"/>
        <v>30.489999999999998</v>
      </c>
      <c r="M3738" s="474">
        <f t="shared" si="1846"/>
        <v>0.36587999999999998</v>
      </c>
      <c r="O3738" s="434">
        <f t="shared" si="1830"/>
        <v>31.7545</v>
      </c>
      <c r="P3738" s="435">
        <f t="shared" si="1831"/>
        <v>30.489999999999998</v>
      </c>
      <c r="AE3738" s="217"/>
      <c r="AF3738" s="217">
        <v>1442</v>
      </c>
      <c r="AH3738">
        <f t="shared" si="1841"/>
        <v>1442</v>
      </c>
    </row>
    <row r="3739" ht="45" hidden="1">
      <c r="A3739" s="217"/>
      <c r="B3739" s="217">
        <v>1442</v>
      </c>
      <c r="C3739" s="217"/>
      <c r="D3739" s="217" t="s">
        <v>17167</v>
      </c>
      <c r="E3739" s="471" t="s">
        <v>20409</v>
      </c>
      <c r="F3739" s="482">
        <v>102498</v>
      </c>
      <c r="G3739" s="470" t="s">
        <v>8369</v>
      </c>
      <c r="H3739" s="499" t="s">
        <v>15515</v>
      </c>
      <c r="I3739" s="483">
        <v>0.25</v>
      </c>
      <c r="J3739" s="473">
        <f t="shared" si="1827"/>
        <v>1.7</v>
      </c>
      <c r="K3739" s="474">
        <f t="shared" si="1845"/>
        <v>0.42499999999999999</v>
      </c>
      <c r="L3739" s="475">
        <f t="shared" si="1832"/>
        <v>1.6200000000000001</v>
      </c>
      <c r="M3739" s="474">
        <f t="shared" si="1846"/>
        <v>0.40500000000000003</v>
      </c>
      <c r="O3739" s="434">
        <f t="shared" si="1830"/>
        <v>1.7</v>
      </c>
      <c r="P3739" s="435">
        <f t="shared" si="1831"/>
        <v>1.6200000000000001</v>
      </c>
      <c r="AE3739" s="217"/>
      <c r="AF3739" s="217">
        <v>1442</v>
      </c>
      <c r="AH3739">
        <f t="shared" si="1841"/>
        <v>1442</v>
      </c>
    </row>
    <row r="3740" ht="45" hidden="1">
      <c r="A3740" s="217"/>
      <c r="B3740" s="217">
        <v>1442</v>
      </c>
      <c r="C3740" s="217"/>
      <c r="D3740" s="217" t="s">
        <v>20398</v>
      </c>
      <c r="E3740" s="471" t="s">
        <v>20663</v>
      </c>
      <c r="F3740" s="482">
        <v>1000</v>
      </c>
      <c r="G3740" s="470" t="s">
        <v>20651</v>
      </c>
      <c r="H3740" s="499" t="s">
        <v>15528</v>
      </c>
      <c r="I3740" s="483">
        <v>2.8500000000000001e-002</v>
      </c>
      <c r="J3740" s="473">
        <f t="shared" si="1827"/>
        <v>149.904</v>
      </c>
      <c r="K3740" s="474">
        <f t="shared" si="1845"/>
        <v>4.2722639999999998</v>
      </c>
      <c r="L3740" s="475">
        <f t="shared" si="1832"/>
        <v>141.76949999999999</v>
      </c>
      <c r="M3740" s="474">
        <f t="shared" si="1846"/>
        <v>4.0404307499999996</v>
      </c>
      <c r="O3740" s="434">
        <f t="shared" si="1830"/>
        <v>149.904</v>
      </c>
      <c r="P3740" s="435">
        <f t="shared" si="1831"/>
        <v>141.76949999999999</v>
      </c>
      <c r="AE3740" s="217"/>
      <c r="AF3740" s="217">
        <v>1442</v>
      </c>
      <c r="AH3740">
        <f t="shared" si="1841"/>
        <v>1442</v>
      </c>
    </row>
    <row r="3741" ht="60" hidden="1">
      <c r="A3741" s="217"/>
      <c r="B3741" s="217">
        <v>1442</v>
      </c>
      <c r="C3741" s="217"/>
      <c r="D3741" s="217" t="s">
        <v>17167</v>
      </c>
      <c r="E3741" s="471" t="s">
        <v>20665</v>
      </c>
      <c r="F3741" s="482">
        <v>93590</v>
      </c>
      <c r="G3741" s="470" t="s">
        <v>21771</v>
      </c>
      <c r="H3741" s="499" t="s">
        <v>20669</v>
      </c>
      <c r="I3741" s="483">
        <v>4.8000000000000001e-002</v>
      </c>
      <c r="J3741" s="473">
        <f t="shared" si="1827"/>
        <v>1.05</v>
      </c>
      <c r="K3741" s="474">
        <f t="shared" si="1845"/>
        <v>5.04e-002</v>
      </c>
      <c r="L3741" s="475">
        <f t="shared" si="1832"/>
        <v>1.05</v>
      </c>
      <c r="M3741" s="474">
        <f t="shared" si="1846"/>
        <v>5.04e-002</v>
      </c>
      <c r="O3741" s="434">
        <f t="shared" si="1830"/>
        <v>1.05</v>
      </c>
      <c r="P3741" s="435">
        <f t="shared" si="1831"/>
        <v>1.05</v>
      </c>
      <c r="AE3741" s="217"/>
      <c r="AF3741" s="217">
        <v>1442</v>
      </c>
      <c r="AH3741">
        <f t="shared" si="1841"/>
        <v>1442</v>
      </c>
    </row>
    <row r="3742" ht="75" hidden="1">
      <c r="A3742" s="217"/>
      <c r="B3742" s="217">
        <v>1442</v>
      </c>
      <c r="C3742" s="217"/>
      <c r="D3742" s="217" t="s">
        <v>20408</v>
      </c>
      <c r="E3742" s="471" t="s">
        <v>20667</v>
      </c>
      <c r="F3742" s="482">
        <v>34492</v>
      </c>
      <c r="G3742" s="470" t="s">
        <v>11636</v>
      </c>
      <c r="H3742" s="482" t="s">
        <v>15528</v>
      </c>
      <c r="I3742" s="483">
        <v>2.8500000000000001e-002</v>
      </c>
      <c r="J3742" s="473">
        <f t="shared" ref="J3742:J3805" si="1847">O3742*$J$3</f>
        <v>560</v>
      </c>
      <c r="K3742" s="474">
        <f t="shared" si="1845"/>
        <v>15.960000000000001</v>
      </c>
      <c r="L3742" s="475">
        <f t="shared" si="1832"/>
        <v>560</v>
      </c>
      <c r="M3742" s="474">
        <f t="shared" si="1846"/>
        <v>15.960000000000001</v>
      </c>
      <c r="O3742" s="434">
        <f t="shared" si="1830"/>
        <v>560</v>
      </c>
      <c r="P3742" s="435">
        <f t="shared" si="1831"/>
        <v>560</v>
      </c>
      <c r="AE3742" s="217"/>
      <c r="AF3742" s="217">
        <v>1442</v>
      </c>
      <c r="AH3742">
        <f t="shared" si="1841"/>
        <v>1442</v>
      </c>
    </row>
    <row r="3743" ht="47.25" hidden="1">
      <c r="A3743" s="460">
        <v>1443</v>
      </c>
      <c r="B3743" s="460">
        <v>1443</v>
      </c>
      <c r="C3743" s="460"/>
      <c r="D3743" s="460"/>
      <c r="E3743" s="461">
        <v>1</v>
      </c>
      <c r="F3743" s="462" t="s">
        <v>22382</v>
      </c>
      <c r="G3743" s="477" t="s">
        <v>22383</v>
      </c>
      <c r="H3743" s="478" t="s">
        <v>38</v>
      </c>
      <c r="I3743" s="479"/>
      <c r="J3743" s="480"/>
      <c r="K3743" s="466">
        <f>SUM(K3744:K3748)</f>
        <v>68.626912000000004</v>
      </c>
      <c r="L3743" s="480"/>
      <c r="M3743" s="466">
        <f>SUM(M3744:M3748)</f>
        <v>67.386493000000002</v>
      </c>
      <c r="O3743" s="434" t="str">
        <f t="shared" si="1830"/>
        <v xml:space="preserve">SEM VALOR</v>
      </c>
      <c r="P3743" s="435" t="str">
        <f t="shared" si="1831"/>
        <v xml:space="preserve">SEM VALOR</v>
      </c>
      <c r="AE3743" s="460">
        <v>1443</v>
      </c>
      <c r="AF3743" s="460"/>
      <c r="AH3743">
        <f t="shared" si="1841"/>
        <v>1443</v>
      </c>
    </row>
    <row r="3744" ht="45" hidden="1">
      <c r="A3744" s="217"/>
      <c r="B3744" s="217">
        <v>1443</v>
      </c>
      <c r="C3744" s="217"/>
      <c r="D3744" s="217" t="s">
        <v>20398</v>
      </c>
      <c r="E3744" s="471" t="s">
        <v>20399</v>
      </c>
      <c r="F3744" s="482">
        <v>1259</v>
      </c>
      <c r="G3744" s="572" t="s">
        <v>20796</v>
      </c>
      <c r="H3744" s="499" t="s">
        <v>15528</v>
      </c>
      <c r="I3744" s="558">
        <v>0.12</v>
      </c>
      <c r="J3744" s="473">
        <f t="shared" si="1847"/>
        <v>45.520000000000003</v>
      </c>
      <c r="K3744" s="474">
        <f t="shared" ref="K3744:K3748" si="1848">I3744*J3744</f>
        <v>5.4624000000000006</v>
      </c>
      <c r="L3744" s="475">
        <f t="shared" si="1832"/>
        <v>43.100000000000001</v>
      </c>
      <c r="M3744" s="474">
        <f t="shared" ref="M3744:M3748" si="1849">L3744*I3744</f>
        <v>5.1719999999999997</v>
      </c>
      <c r="O3744" s="434">
        <f t="shared" si="1830"/>
        <v>45.520000000000003</v>
      </c>
      <c r="P3744" s="435">
        <f t="shared" si="1831"/>
        <v>43.100000000000001</v>
      </c>
      <c r="AE3744" s="217"/>
      <c r="AF3744" s="217">
        <v>1443</v>
      </c>
      <c r="AH3744">
        <f t="shared" si="1841"/>
        <v>1443</v>
      </c>
    </row>
    <row r="3745" ht="75" hidden="1">
      <c r="A3745" s="217"/>
      <c r="B3745" s="217">
        <v>1443</v>
      </c>
      <c r="C3745" s="217"/>
      <c r="D3745" s="217" t="s">
        <v>20398</v>
      </c>
      <c r="E3745" s="471" t="s">
        <v>20402</v>
      </c>
      <c r="F3745" s="482">
        <v>1267</v>
      </c>
      <c r="G3745" s="572" t="s">
        <v>20662</v>
      </c>
      <c r="H3745" s="499" t="s">
        <v>38</v>
      </c>
      <c r="I3745" s="558">
        <v>1</v>
      </c>
      <c r="J3745" s="473">
        <f t="shared" si="1847"/>
        <v>3.2499999999999996</v>
      </c>
      <c r="K3745" s="474">
        <f t="shared" si="1848"/>
        <v>3.2499999999999996</v>
      </c>
      <c r="L3745" s="475">
        <f t="shared" si="1832"/>
        <v>3.1657000000000002</v>
      </c>
      <c r="M3745" s="474">
        <f t="shared" si="1849"/>
        <v>3.1657000000000002</v>
      </c>
      <c r="O3745" s="434">
        <f t="shared" si="1830"/>
        <v>3.2499999999999996</v>
      </c>
      <c r="P3745" s="435">
        <f t="shared" si="1831"/>
        <v>3.1657000000000002</v>
      </c>
      <c r="AE3745" s="217"/>
      <c r="AF3745" s="217">
        <v>1443</v>
      </c>
      <c r="AH3745">
        <f t="shared" si="1841"/>
        <v>1443</v>
      </c>
    </row>
    <row r="3746" ht="45" hidden="1">
      <c r="A3746" s="217"/>
      <c r="B3746" s="217">
        <v>1443</v>
      </c>
      <c r="C3746" s="217"/>
      <c r="D3746" s="217" t="s">
        <v>20398</v>
      </c>
      <c r="E3746" s="471" t="s">
        <v>20405</v>
      </c>
      <c r="F3746" s="482">
        <v>1000</v>
      </c>
      <c r="G3746" s="470" t="s">
        <v>20651</v>
      </c>
      <c r="H3746" s="499" t="s">
        <v>15528</v>
      </c>
      <c r="I3746" s="559">
        <v>7.8e-002</v>
      </c>
      <c r="J3746" s="473">
        <f t="shared" si="1847"/>
        <v>149.904</v>
      </c>
      <c r="K3746" s="474">
        <f t="shared" si="1848"/>
        <v>11.692511999999999</v>
      </c>
      <c r="L3746" s="475">
        <f t="shared" si="1832"/>
        <v>141.76949999999999</v>
      </c>
      <c r="M3746" s="474">
        <f t="shared" si="1849"/>
        <v>11.058021</v>
      </c>
      <c r="O3746" s="434">
        <f t="shared" si="1830"/>
        <v>149.904</v>
      </c>
      <c r="P3746" s="435">
        <f t="shared" si="1831"/>
        <v>141.76949999999999</v>
      </c>
      <c r="AE3746" s="217"/>
      <c r="AF3746" s="217">
        <v>1443</v>
      </c>
      <c r="AH3746">
        <f t="shared" si="1841"/>
        <v>1443</v>
      </c>
    </row>
    <row r="3747" ht="75" hidden="1">
      <c r="A3747" s="217"/>
      <c r="B3747" s="217">
        <v>1443</v>
      </c>
      <c r="C3747" s="217"/>
      <c r="D3747" s="217" t="s">
        <v>20408</v>
      </c>
      <c r="E3747" s="471" t="s">
        <v>20409</v>
      </c>
      <c r="F3747" s="482">
        <v>34492</v>
      </c>
      <c r="G3747" s="470" t="s">
        <v>11636</v>
      </c>
      <c r="H3747" s="482" t="s">
        <v>15528</v>
      </c>
      <c r="I3747" s="558">
        <v>7.8e-002</v>
      </c>
      <c r="J3747" s="473">
        <f t="shared" si="1847"/>
        <v>560</v>
      </c>
      <c r="K3747" s="474">
        <f t="shared" si="1848"/>
        <v>43.68</v>
      </c>
      <c r="L3747" s="475">
        <f t="shared" si="1832"/>
        <v>560</v>
      </c>
      <c r="M3747" s="474">
        <f t="shared" si="1849"/>
        <v>43.68</v>
      </c>
      <c r="O3747" s="434">
        <f t="shared" si="1830"/>
        <v>560</v>
      </c>
      <c r="P3747" s="435">
        <f t="shared" si="1831"/>
        <v>560</v>
      </c>
      <c r="AE3747" s="217"/>
      <c r="AF3747" s="217">
        <v>1443</v>
      </c>
      <c r="AH3747">
        <f t="shared" si="1841"/>
        <v>1443</v>
      </c>
    </row>
    <row r="3748" ht="60" hidden="1">
      <c r="A3748" s="217"/>
      <c r="B3748" s="217">
        <v>1443</v>
      </c>
      <c r="C3748" s="217"/>
      <c r="D3748" s="217" t="s">
        <v>20398</v>
      </c>
      <c r="E3748" s="471" t="s">
        <v>20663</v>
      </c>
      <c r="F3748" s="482">
        <v>1258</v>
      </c>
      <c r="G3748" s="488" t="s">
        <v>20660</v>
      </c>
      <c r="H3748" s="482" t="s">
        <v>15515</v>
      </c>
      <c r="I3748" s="558">
        <v>0.59999999999999998</v>
      </c>
      <c r="J3748" s="473">
        <f t="shared" si="1847"/>
        <v>7.5700000000000003</v>
      </c>
      <c r="K3748" s="474">
        <f t="shared" si="1848"/>
        <v>4.5419999999999998</v>
      </c>
      <c r="L3748" s="475">
        <f t="shared" si="1832"/>
        <v>7.1846199999999998</v>
      </c>
      <c r="M3748" s="474">
        <f t="shared" si="1849"/>
        <v>4.310772</v>
      </c>
      <c r="O3748" s="434">
        <f t="shared" si="1830"/>
        <v>7.5700000000000003</v>
      </c>
      <c r="P3748" s="435">
        <f t="shared" si="1831"/>
        <v>7.1846199999999998</v>
      </c>
      <c r="AE3748" s="217"/>
      <c r="AF3748" s="217">
        <v>1443</v>
      </c>
      <c r="AH3748">
        <f t="shared" si="1841"/>
        <v>1443</v>
      </c>
    </row>
    <row r="3749" ht="34.5" hidden="1" customHeight="1">
      <c r="A3749" s="460">
        <v>1444</v>
      </c>
      <c r="B3749" s="460">
        <v>1444</v>
      </c>
      <c r="C3749" s="460"/>
      <c r="D3749" s="460"/>
      <c r="E3749" s="461">
        <v>1</v>
      </c>
      <c r="F3749" s="462" t="s">
        <v>22384</v>
      </c>
      <c r="G3749" s="477" t="s">
        <v>22385</v>
      </c>
      <c r="H3749" s="478" t="s">
        <v>38</v>
      </c>
      <c r="I3749" s="479"/>
      <c r="J3749" s="480"/>
      <c r="K3749" s="466">
        <f>SUM(K3750:K3755)</f>
        <v>167.134615</v>
      </c>
      <c r="L3749" s="480"/>
      <c r="M3749" s="466">
        <f>SUM(M3750:M3755)</f>
        <v>164.65205950000001</v>
      </c>
      <c r="O3749" s="434" t="str">
        <f t="shared" si="1830"/>
        <v xml:space="preserve">SEM VALOR</v>
      </c>
      <c r="P3749" s="435" t="str">
        <f t="shared" si="1831"/>
        <v xml:space="preserve">SEM VALOR</v>
      </c>
      <c r="AE3749" s="460">
        <v>1444</v>
      </c>
      <c r="AF3749" s="460"/>
      <c r="AH3749">
        <f t="shared" si="1841"/>
        <v>1444</v>
      </c>
    </row>
    <row r="3750" ht="45" hidden="1">
      <c r="A3750" s="217"/>
      <c r="B3750" s="217">
        <v>1444</v>
      </c>
      <c r="C3750" s="217"/>
      <c r="D3750" s="217" t="s">
        <v>20398</v>
      </c>
      <c r="E3750" s="471" t="s">
        <v>20399</v>
      </c>
      <c r="F3750" s="482">
        <v>1259</v>
      </c>
      <c r="G3750" s="572" t="s">
        <v>20796</v>
      </c>
      <c r="H3750" s="499" t="s">
        <v>15528</v>
      </c>
      <c r="I3750" s="558">
        <v>0.20999999999999999</v>
      </c>
      <c r="J3750" s="473">
        <f t="shared" si="1847"/>
        <v>45.520000000000003</v>
      </c>
      <c r="K3750" s="474">
        <f t="shared" ref="K3750:K3755" si="1850">I3750*J3750</f>
        <v>9.5592000000000006</v>
      </c>
      <c r="L3750" s="475">
        <f t="shared" si="1832"/>
        <v>43.100000000000001</v>
      </c>
      <c r="M3750" s="474">
        <f t="shared" ref="M3750:M3755" si="1851">L3750*I3750</f>
        <v>9.0510000000000002</v>
      </c>
      <c r="O3750" s="434">
        <f t="shared" si="1830"/>
        <v>45.520000000000003</v>
      </c>
      <c r="P3750" s="435">
        <f t="shared" si="1831"/>
        <v>43.100000000000001</v>
      </c>
      <c r="AE3750" s="217"/>
      <c r="AF3750" s="217">
        <v>1444</v>
      </c>
      <c r="AH3750">
        <f t="shared" si="1841"/>
        <v>1444</v>
      </c>
    </row>
    <row r="3751" ht="75" hidden="1">
      <c r="A3751" s="217"/>
      <c r="B3751" s="217">
        <v>1444</v>
      </c>
      <c r="C3751" s="217"/>
      <c r="D3751" s="217" t="s">
        <v>20398</v>
      </c>
      <c r="E3751" s="471" t="s">
        <v>20402</v>
      </c>
      <c r="F3751" s="482">
        <v>1267</v>
      </c>
      <c r="G3751" s="572" t="s">
        <v>20662</v>
      </c>
      <c r="H3751" s="499" t="s">
        <v>38</v>
      </c>
      <c r="I3751" s="558">
        <v>1</v>
      </c>
      <c r="J3751" s="473">
        <f t="shared" si="1847"/>
        <v>3.2499999999999996</v>
      </c>
      <c r="K3751" s="474">
        <f t="shared" si="1850"/>
        <v>3.2499999999999996</v>
      </c>
      <c r="L3751" s="475">
        <f t="shared" si="1832"/>
        <v>3.1657000000000002</v>
      </c>
      <c r="M3751" s="474">
        <f t="shared" si="1851"/>
        <v>3.1657000000000002</v>
      </c>
      <c r="O3751" s="434">
        <f t="shared" si="1830"/>
        <v>3.2499999999999996</v>
      </c>
      <c r="P3751" s="435">
        <f t="shared" si="1831"/>
        <v>3.1657000000000002</v>
      </c>
      <c r="AE3751" s="217"/>
      <c r="AF3751" s="217">
        <v>1444</v>
      </c>
      <c r="AH3751">
        <f t="shared" si="1841"/>
        <v>1444</v>
      </c>
    </row>
    <row r="3752" ht="45" hidden="1">
      <c r="A3752" s="217"/>
      <c r="B3752" s="217">
        <v>1444</v>
      </c>
      <c r="C3752" s="217"/>
      <c r="D3752" s="217" t="s">
        <v>20398</v>
      </c>
      <c r="E3752" s="471" t="s">
        <v>20405</v>
      </c>
      <c r="F3752" s="482">
        <v>1000</v>
      </c>
      <c r="G3752" s="470" t="s">
        <v>20651</v>
      </c>
      <c r="H3752" s="499" t="s">
        <v>15528</v>
      </c>
      <c r="I3752" s="559">
        <v>0.19500000000000001</v>
      </c>
      <c r="J3752" s="473">
        <f t="shared" si="1847"/>
        <v>149.904</v>
      </c>
      <c r="K3752" s="474">
        <f t="shared" si="1850"/>
        <v>29.231280000000002</v>
      </c>
      <c r="L3752" s="475">
        <f t="shared" si="1832"/>
        <v>141.76949999999999</v>
      </c>
      <c r="M3752" s="474">
        <f t="shared" si="1851"/>
        <v>27.645052499999998</v>
      </c>
      <c r="O3752" s="434">
        <f t="shared" si="1830"/>
        <v>149.904</v>
      </c>
      <c r="P3752" s="435">
        <f t="shared" si="1831"/>
        <v>141.76949999999999</v>
      </c>
      <c r="AE3752" s="217"/>
      <c r="AF3752" s="217">
        <v>1444</v>
      </c>
      <c r="AH3752">
        <f t="shared" si="1841"/>
        <v>1444</v>
      </c>
    </row>
    <row r="3753" ht="75" hidden="1">
      <c r="A3753" s="217"/>
      <c r="B3753" s="217">
        <v>1444</v>
      </c>
      <c r="C3753" s="217"/>
      <c r="D3753" s="217" t="s">
        <v>20408</v>
      </c>
      <c r="E3753" s="471" t="s">
        <v>20409</v>
      </c>
      <c r="F3753" s="482">
        <v>34494</v>
      </c>
      <c r="G3753" s="470" t="s">
        <v>11645</v>
      </c>
      <c r="H3753" s="482" t="s">
        <v>15528</v>
      </c>
      <c r="I3753" s="558">
        <v>0.19500000000000001</v>
      </c>
      <c r="J3753" s="473">
        <f t="shared" si="1847"/>
        <v>594.98000000000002</v>
      </c>
      <c r="K3753" s="474">
        <f t="shared" si="1850"/>
        <v>116.0211</v>
      </c>
      <c r="L3753" s="475">
        <f t="shared" si="1832"/>
        <v>594.98000000000002</v>
      </c>
      <c r="M3753" s="474">
        <f t="shared" si="1851"/>
        <v>116.0211</v>
      </c>
      <c r="O3753" s="434">
        <f t="shared" si="1830"/>
        <v>594.98000000000002</v>
      </c>
      <c r="P3753" s="435">
        <f t="shared" si="1831"/>
        <v>594.98000000000002</v>
      </c>
      <c r="AE3753" s="217"/>
      <c r="AF3753" s="217">
        <v>1444</v>
      </c>
      <c r="AH3753">
        <f t="shared" si="1841"/>
        <v>1444</v>
      </c>
    </row>
    <row r="3754" hidden="1">
      <c r="A3754" s="217"/>
      <c r="B3754" s="217">
        <v>1444</v>
      </c>
      <c r="C3754" s="217"/>
      <c r="D3754" s="217" t="s">
        <v>20398</v>
      </c>
      <c r="E3754" s="471" t="s">
        <v>20663</v>
      </c>
      <c r="F3754" s="482">
        <v>1234</v>
      </c>
      <c r="G3754" s="470" t="s">
        <v>21668</v>
      </c>
      <c r="H3754" s="482" t="s">
        <v>15528</v>
      </c>
      <c r="I3754" s="558">
        <v>2.9999999999999999e-002</v>
      </c>
      <c r="J3754" s="473">
        <f t="shared" si="1847"/>
        <v>151.03450000000001</v>
      </c>
      <c r="K3754" s="474">
        <f t="shared" si="1850"/>
        <v>4.5310350000000001</v>
      </c>
      <c r="L3754" s="475">
        <f t="shared" si="1832"/>
        <v>148.61449999999999</v>
      </c>
      <c r="M3754" s="474">
        <f t="shared" si="1851"/>
        <v>4.4584349999999997</v>
      </c>
      <c r="O3754" s="434">
        <f t="shared" si="1830"/>
        <v>151.03450000000001</v>
      </c>
      <c r="P3754" s="435">
        <f t="shared" si="1831"/>
        <v>148.61449999999999</v>
      </c>
      <c r="AE3754" s="217"/>
      <c r="AF3754" s="217">
        <v>1444</v>
      </c>
      <c r="AH3754">
        <f t="shared" si="1841"/>
        <v>1444</v>
      </c>
    </row>
    <row r="3755" ht="60" hidden="1">
      <c r="A3755" s="217"/>
      <c r="B3755" s="217">
        <v>1444</v>
      </c>
      <c r="C3755" s="217"/>
      <c r="D3755" s="217" t="s">
        <v>20398</v>
      </c>
      <c r="E3755" s="471" t="s">
        <v>20665</v>
      </c>
      <c r="F3755" s="482">
        <v>1258</v>
      </c>
      <c r="G3755" s="488" t="s">
        <v>20660</v>
      </c>
      <c r="H3755" s="482" t="s">
        <v>15515</v>
      </c>
      <c r="I3755" s="558">
        <v>0.59999999999999998</v>
      </c>
      <c r="J3755" s="473">
        <f t="shared" si="1847"/>
        <v>7.5700000000000003</v>
      </c>
      <c r="K3755" s="474">
        <f t="shared" si="1850"/>
        <v>4.5419999999999998</v>
      </c>
      <c r="L3755" s="475">
        <f t="shared" si="1832"/>
        <v>7.1846199999999998</v>
      </c>
      <c r="M3755" s="474">
        <f t="shared" si="1851"/>
        <v>4.310772</v>
      </c>
      <c r="O3755" s="434">
        <f t="shared" si="1830"/>
        <v>7.5700000000000003</v>
      </c>
      <c r="P3755" s="435">
        <f t="shared" si="1831"/>
        <v>7.1846199999999998</v>
      </c>
      <c r="AE3755" s="217"/>
      <c r="AF3755" s="217">
        <v>1444</v>
      </c>
      <c r="AH3755">
        <f t="shared" si="1841"/>
        <v>1444</v>
      </c>
    </row>
    <row r="3756" ht="65.25" hidden="1" customHeight="1">
      <c r="A3756" s="460">
        <v>1446</v>
      </c>
      <c r="B3756" s="460">
        <v>1446</v>
      </c>
      <c r="C3756" s="460"/>
      <c r="D3756" s="460"/>
      <c r="E3756" s="461">
        <v>1</v>
      </c>
      <c r="F3756" s="462" t="s">
        <v>22386</v>
      </c>
      <c r="G3756" s="477" t="s">
        <v>22387</v>
      </c>
      <c r="H3756" s="478" t="s">
        <v>38</v>
      </c>
      <c r="I3756" s="479"/>
      <c r="J3756" s="480"/>
      <c r="K3756" s="466">
        <f>SUM(K3757:K3761)</f>
        <v>425.45410048299999</v>
      </c>
      <c r="L3756" s="480"/>
      <c r="M3756" s="466">
        <f>SUM(M3757:M3761)</f>
        <v>421.95571543299997</v>
      </c>
      <c r="N3756" s="467" t="s">
        <v>21616</v>
      </c>
      <c r="O3756" s="434" t="str">
        <f t="shared" ref="O3756:O3819" si="1852">IFERROR(IF(D3756="SINAPI",VLOOKUP(F3756,SINCOMOD,4,FALSE),IF(D3756="INSINAPI",VLOOKUP(F3756,INSINOD,5,FALSE),IF(D3756="SICRO",VLOOKUP(F3756,SICRO,5,FALSE),IF(D3756="COTACAO",VLOOKUP(F3756,COTACAO,6,FALSE),IF(D3756="PRÓPRIO",VLOOKUP(F3756,COMPOD,11,FALSE),IF(D3756="AGESUL",VLOOKUP(F3756,AGESULOD,6,FALSE),IF(D3756="INSAGESUL",VLOOKUP(F3756,INSAGESUL,7,FALSE),"SEM VALOR"))))))),"SEM VALOR")</f>
        <v xml:space="preserve">SEM VALOR</v>
      </c>
      <c r="P3756" s="435" t="str">
        <f t="shared" ref="P3756:P3819" si="1853">IFERROR(IF(D3756="SINAPI",VLOOKUP(F3756,SINCOMOD,6,FALSE),IF(D3756="INSINAPI",VLOOKUP(F3756,INSINOD,6,FALSE),IF(D3756="SICRO",VLOOKUP(F3756,SICRO,5,FALSE),IF(D3756="COTACAO",VLOOKUP(F3756,COTACAO,6,FALSE),IF(D3756="PRÓPRIO",VLOOKUP(F3756,COMPOD,13,FALSE),IF(D3756="AGESUL",VLOOKUP(F3756,AGESULOD,11,FALSE),IF(D3756="INSAGESUL",VLOOKUP(F3756,INSAGESUL,8,FALSE),"SEM VALOR"))))))),"SEM VALOR")</f>
        <v xml:space="preserve">SEM VALOR</v>
      </c>
      <c r="AE3756" s="460">
        <v>1446</v>
      </c>
      <c r="AF3756" s="460"/>
      <c r="AH3756">
        <f t="shared" si="1841"/>
        <v>1446</v>
      </c>
    </row>
    <row r="3757" ht="75" hidden="1">
      <c r="A3757" s="217"/>
      <c r="B3757" s="217">
        <v>1446</v>
      </c>
      <c r="C3757" s="217"/>
      <c r="D3757" s="641" t="s">
        <v>17167</v>
      </c>
      <c r="E3757" s="471" t="s">
        <v>20399</v>
      </c>
      <c r="F3757" s="482">
        <v>92916</v>
      </c>
      <c r="G3757" s="572" t="s">
        <v>320</v>
      </c>
      <c r="H3757" s="482" t="s">
        <v>302</v>
      </c>
      <c r="I3757" s="483">
        <f>2.18/0.95</f>
        <v>2.2947367999999999</v>
      </c>
      <c r="J3757" s="473">
        <f t="shared" si="1847"/>
        <v>15</v>
      </c>
      <c r="K3757" s="474">
        <f t="shared" ref="K3757:K3761" si="1854">I3757*J3757</f>
        <v>34.421051999999996</v>
      </c>
      <c r="L3757" s="475">
        <f t="shared" ref="L3757:L3820" si="1855">P3757*$L$3</f>
        <v>14.69</v>
      </c>
      <c r="M3757" s="474">
        <f t="shared" ref="M3757:M3761" si="1856">L3757*I3757</f>
        <v>33.709683591999998</v>
      </c>
      <c r="O3757" s="434">
        <f t="shared" si="1852"/>
        <v>15</v>
      </c>
      <c r="P3757" s="435">
        <f t="shared" si="1853"/>
        <v>14.69</v>
      </c>
      <c r="AE3757" s="217"/>
      <c r="AF3757" s="217">
        <v>1446</v>
      </c>
      <c r="AH3757">
        <f t="shared" si="1841"/>
        <v>1446</v>
      </c>
    </row>
    <row r="3758" ht="75" hidden="1">
      <c r="A3758" s="217"/>
      <c r="B3758" s="217">
        <v>1446</v>
      </c>
      <c r="C3758" s="217"/>
      <c r="D3758" s="641" t="s">
        <v>17167</v>
      </c>
      <c r="E3758" s="471" t="s">
        <v>20402</v>
      </c>
      <c r="F3758" s="482">
        <v>92917</v>
      </c>
      <c r="G3758" s="470" t="s">
        <v>20768</v>
      </c>
      <c r="H3758" s="482" t="s">
        <v>302</v>
      </c>
      <c r="I3758" s="483">
        <f>8.52/0.95</f>
        <v>8.9684211000000005</v>
      </c>
      <c r="J3758" s="473">
        <f t="shared" si="1847"/>
        <v>13.529999999999999</v>
      </c>
      <c r="K3758" s="474">
        <f t="shared" si="1854"/>
        <v>121.34273748300001</v>
      </c>
      <c r="L3758" s="475">
        <f t="shared" si="1855"/>
        <v>13.31</v>
      </c>
      <c r="M3758" s="474">
        <f t="shared" si="1856"/>
        <v>119.36968484100001</v>
      </c>
      <c r="O3758" s="434">
        <f t="shared" si="1852"/>
        <v>13.529999999999999</v>
      </c>
      <c r="P3758" s="435">
        <f t="shared" si="1853"/>
        <v>13.31</v>
      </c>
      <c r="AE3758" s="217"/>
      <c r="AF3758" s="217">
        <v>1446</v>
      </c>
      <c r="AH3758">
        <f t="shared" si="1841"/>
        <v>1446</v>
      </c>
    </row>
    <row r="3759" ht="75" hidden="1">
      <c r="A3759" s="217"/>
      <c r="B3759" s="217">
        <v>1446</v>
      </c>
      <c r="C3759" s="217"/>
      <c r="D3759" s="641" t="s">
        <v>20408</v>
      </c>
      <c r="E3759" s="471" t="s">
        <v>20405</v>
      </c>
      <c r="F3759" s="482">
        <v>34494</v>
      </c>
      <c r="G3759" s="470" t="s">
        <v>11645</v>
      </c>
      <c r="H3759" s="482" t="s">
        <v>15528</v>
      </c>
      <c r="I3759" s="483">
        <v>0.34489999999999998</v>
      </c>
      <c r="J3759" s="473">
        <f t="shared" si="1847"/>
        <v>594.98000000000002</v>
      </c>
      <c r="K3759" s="474">
        <f t="shared" si="1854"/>
        <v>205.20860199999998</v>
      </c>
      <c r="L3759" s="475">
        <f t="shared" si="1855"/>
        <v>594.98000000000002</v>
      </c>
      <c r="M3759" s="474">
        <f t="shared" si="1856"/>
        <v>205.20860199999998</v>
      </c>
      <c r="O3759" s="434">
        <f t="shared" si="1852"/>
        <v>594.98000000000002</v>
      </c>
      <c r="P3759" s="435">
        <f t="shared" si="1853"/>
        <v>594.98000000000002</v>
      </c>
      <c r="AE3759" s="217"/>
      <c r="AF3759" s="217">
        <v>1446</v>
      </c>
      <c r="AH3759">
        <f t="shared" si="1841"/>
        <v>1446</v>
      </c>
    </row>
    <row r="3760" ht="60" hidden="1">
      <c r="A3760" s="217"/>
      <c r="B3760" s="217">
        <v>1446</v>
      </c>
      <c r="C3760" s="217"/>
      <c r="D3760" s="641" t="s">
        <v>17167</v>
      </c>
      <c r="E3760" s="471" t="s">
        <v>20409</v>
      </c>
      <c r="F3760" s="482">
        <v>103673</v>
      </c>
      <c r="G3760" s="470" t="s">
        <v>1388</v>
      </c>
      <c r="H3760" s="482" t="s">
        <v>15528</v>
      </c>
      <c r="I3760" s="483">
        <f>I3759</f>
        <v>0.34489999999999998</v>
      </c>
      <c r="J3760" s="473">
        <f t="shared" si="1847"/>
        <v>43.409999999999997</v>
      </c>
      <c r="K3760" s="474">
        <f t="shared" si="1854"/>
        <v>14.972108999999998</v>
      </c>
      <c r="L3760" s="475">
        <f t="shared" si="1855"/>
        <v>41.049999999999997</v>
      </c>
      <c r="M3760" s="474">
        <f t="shared" si="1856"/>
        <v>14.158144999999998</v>
      </c>
      <c r="O3760" s="434">
        <f t="shared" si="1852"/>
        <v>43.409999999999997</v>
      </c>
      <c r="P3760" s="435">
        <f t="shared" si="1853"/>
        <v>41.049999999999997</v>
      </c>
      <c r="AE3760" s="217"/>
      <c r="AF3760" s="217">
        <v>1446</v>
      </c>
      <c r="AH3760">
        <f t="shared" si="1841"/>
        <v>1446</v>
      </c>
    </row>
    <row r="3761" ht="75" hidden="1">
      <c r="A3761" s="217"/>
      <c r="B3761" s="217">
        <v>1446</v>
      </c>
      <c r="C3761" s="217"/>
      <c r="D3761" s="641" t="s">
        <v>20408</v>
      </c>
      <c r="E3761" s="471" t="s">
        <v>20663</v>
      </c>
      <c r="F3761" s="482">
        <v>43681</v>
      </c>
      <c r="G3761" s="470" t="s">
        <v>22388</v>
      </c>
      <c r="H3761" s="482" t="s">
        <v>15515</v>
      </c>
      <c r="I3761" s="483">
        <v>1.6799999999999999</v>
      </c>
      <c r="J3761" s="473">
        <f t="shared" si="1847"/>
        <v>29.469999999999999</v>
      </c>
      <c r="K3761" s="474">
        <f t="shared" si="1854"/>
        <v>49.509599999999999</v>
      </c>
      <c r="L3761" s="475">
        <f t="shared" si="1855"/>
        <v>29.469999999999999</v>
      </c>
      <c r="M3761" s="474">
        <f t="shared" si="1856"/>
        <v>49.509599999999999</v>
      </c>
      <c r="O3761" s="434">
        <f t="shared" si="1852"/>
        <v>29.469999999999999</v>
      </c>
      <c r="P3761" s="435">
        <f t="shared" si="1853"/>
        <v>29.469999999999999</v>
      </c>
      <c r="AE3761" s="217"/>
      <c r="AF3761" s="217">
        <v>1446</v>
      </c>
      <c r="AH3761">
        <f t="shared" si="1841"/>
        <v>1446</v>
      </c>
    </row>
    <row r="3762" ht="69.75" hidden="1" customHeight="1">
      <c r="A3762" s="460">
        <v>1447</v>
      </c>
      <c r="B3762" s="460">
        <v>1447</v>
      </c>
      <c r="C3762" s="460"/>
      <c r="D3762" s="460"/>
      <c r="E3762" s="461">
        <v>1</v>
      </c>
      <c r="F3762" s="462" t="s">
        <v>22389</v>
      </c>
      <c r="G3762" s="477" t="s">
        <v>22390</v>
      </c>
      <c r="H3762" s="478" t="s">
        <v>38</v>
      </c>
      <c r="I3762" s="479"/>
      <c r="J3762" s="480"/>
      <c r="K3762" s="466">
        <f>SUM(K3763:K3767)</f>
        <v>14.423808000000001</v>
      </c>
      <c r="L3762" s="480"/>
      <c r="M3762" s="466">
        <f>SUM(M3763:M3767)</f>
        <v>14.177357750000002</v>
      </c>
      <c r="O3762" s="434" t="str">
        <f t="shared" si="1852"/>
        <v xml:space="preserve">SEM VALOR</v>
      </c>
      <c r="P3762" s="435" t="str">
        <f t="shared" si="1853"/>
        <v xml:space="preserve">SEM VALOR</v>
      </c>
      <c r="AE3762" s="460">
        <v>1447</v>
      </c>
      <c r="AF3762" s="460"/>
      <c r="AH3762">
        <f t="shared" si="1841"/>
        <v>1447</v>
      </c>
    </row>
    <row r="3763" ht="45" hidden="1">
      <c r="A3763" s="217"/>
      <c r="B3763" s="217">
        <v>1447</v>
      </c>
      <c r="C3763" s="217"/>
      <c r="D3763" s="641" t="s">
        <v>20398</v>
      </c>
      <c r="E3763" s="471" t="s">
        <v>20399</v>
      </c>
      <c r="F3763" s="482">
        <v>1259</v>
      </c>
      <c r="G3763" s="572" t="s">
        <v>20796</v>
      </c>
      <c r="H3763" s="499" t="s">
        <v>15528</v>
      </c>
      <c r="I3763" s="483">
        <v>1.e-002</v>
      </c>
      <c r="J3763" s="473">
        <f t="shared" si="1847"/>
        <v>45.520000000000003</v>
      </c>
      <c r="K3763" s="474">
        <f t="shared" ref="K3763:K3767" si="1857">I3763*J3763</f>
        <v>0.45520000000000005</v>
      </c>
      <c r="L3763" s="475">
        <f t="shared" si="1855"/>
        <v>43.100000000000001</v>
      </c>
      <c r="M3763" s="474">
        <f t="shared" ref="M3763:M3767" si="1858">L3763*I3763</f>
        <v>0.43100000000000005</v>
      </c>
      <c r="O3763" s="434">
        <f t="shared" si="1852"/>
        <v>45.520000000000003</v>
      </c>
      <c r="P3763" s="435">
        <f t="shared" si="1853"/>
        <v>43.100000000000001</v>
      </c>
      <c r="AE3763" s="217"/>
      <c r="AF3763" s="217">
        <v>1447</v>
      </c>
      <c r="AH3763">
        <f t="shared" si="1841"/>
        <v>1447</v>
      </c>
    </row>
    <row r="3764" ht="75" hidden="1">
      <c r="A3764" s="217"/>
      <c r="B3764" s="217">
        <v>1447</v>
      </c>
      <c r="C3764" s="217"/>
      <c r="D3764" s="641" t="s">
        <v>20398</v>
      </c>
      <c r="E3764" s="471" t="s">
        <v>20402</v>
      </c>
      <c r="F3764" s="482">
        <v>1267</v>
      </c>
      <c r="G3764" s="572" t="s">
        <v>20662</v>
      </c>
      <c r="H3764" s="499" t="s">
        <v>38</v>
      </c>
      <c r="I3764" s="483">
        <v>1</v>
      </c>
      <c r="J3764" s="473">
        <f t="shared" si="1847"/>
        <v>3.2499999999999996</v>
      </c>
      <c r="K3764" s="474">
        <f t="shared" si="1857"/>
        <v>3.2499999999999996</v>
      </c>
      <c r="L3764" s="475">
        <f t="shared" si="1855"/>
        <v>3.1657000000000002</v>
      </c>
      <c r="M3764" s="474">
        <f t="shared" si="1858"/>
        <v>3.1657000000000002</v>
      </c>
      <c r="O3764" s="434">
        <f t="shared" si="1852"/>
        <v>3.2499999999999996</v>
      </c>
      <c r="P3764" s="435">
        <f t="shared" si="1853"/>
        <v>3.1657000000000002</v>
      </c>
      <c r="AE3764" s="217"/>
      <c r="AF3764" s="217">
        <v>1447</v>
      </c>
      <c r="AH3764">
        <f t="shared" si="1841"/>
        <v>1447</v>
      </c>
    </row>
    <row r="3765" ht="45" hidden="1">
      <c r="A3765" s="217"/>
      <c r="B3765" s="217">
        <v>1447</v>
      </c>
      <c r="C3765" s="217"/>
      <c r="D3765" s="641" t="s">
        <v>17167</v>
      </c>
      <c r="E3765" s="471" t="s">
        <v>20405</v>
      </c>
      <c r="F3765" s="482">
        <v>102498</v>
      </c>
      <c r="G3765" s="470" t="s">
        <v>8369</v>
      </c>
      <c r="H3765" s="499" t="s">
        <v>15515</v>
      </c>
      <c r="I3765" s="483">
        <v>0.25</v>
      </c>
      <c r="J3765" s="473">
        <f t="shared" si="1847"/>
        <v>1.7</v>
      </c>
      <c r="K3765" s="474">
        <f t="shared" si="1857"/>
        <v>0.42499999999999999</v>
      </c>
      <c r="L3765" s="475">
        <f t="shared" si="1855"/>
        <v>1.6200000000000001</v>
      </c>
      <c r="M3765" s="474">
        <f t="shared" si="1858"/>
        <v>0.40500000000000003</v>
      </c>
      <c r="O3765" s="434">
        <f t="shared" si="1852"/>
        <v>1.7</v>
      </c>
      <c r="P3765" s="435">
        <f t="shared" si="1853"/>
        <v>1.6200000000000001</v>
      </c>
      <c r="AE3765" s="217"/>
      <c r="AF3765" s="217">
        <v>1447</v>
      </c>
      <c r="AH3765">
        <f t="shared" si="1841"/>
        <v>1447</v>
      </c>
    </row>
    <row r="3766" ht="45" hidden="1">
      <c r="A3766" s="217"/>
      <c r="B3766" s="217">
        <v>1447</v>
      </c>
      <c r="C3766" s="217"/>
      <c r="D3766" s="641" t="s">
        <v>20398</v>
      </c>
      <c r="E3766" s="471" t="s">
        <v>20409</v>
      </c>
      <c r="F3766" s="482">
        <v>1000</v>
      </c>
      <c r="G3766" s="470" t="s">
        <v>20651</v>
      </c>
      <c r="H3766" s="499" t="s">
        <v>15528</v>
      </c>
      <c r="I3766" s="483">
        <v>1.4500000000000001e-002</v>
      </c>
      <c r="J3766" s="473">
        <f t="shared" si="1847"/>
        <v>149.904</v>
      </c>
      <c r="K3766" s="474">
        <f t="shared" si="1857"/>
        <v>2.1736080000000002</v>
      </c>
      <c r="L3766" s="475">
        <f t="shared" si="1855"/>
        <v>141.76949999999999</v>
      </c>
      <c r="M3766" s="474">
        <f t="shared" si="1858"/>
        <v>2.05565775</v>
      </c>
      <c r="O3766" s="434">
        <f t="shared" si="1852"/>
        <v>149.904</v>
      </c>
      <c r="P3766" s="435">
        <f t="shared" si="1853"/>
        <v>141.76949999999999</v>
      </c>
      <c r="AE3766" s="217"/>
      <c r="AF3766" s="217">
        <v>1447</v>
      </c>
      <c r="AH3766">
        <f t="shared" si="1841"/>
        <v>1447</v>
      </c>
    </row>
    <row r="3767" ht="75" hidden="1">
      <c r="A3767" s="217"/>
      <c r="B3767" s="217">
        <v>1447</v>
      </c>
      <c r="C3767" s="217"/>
      <c r="D3767" s="641" t="s">
        <v>20408</v>
      </c>
      <c r="E3767" s="471" t="s">
        <v>20663</v>
      </c>
      <c r="F3767" s="482">
        <v>34492</v>
      </c>
      <c r="G3767" s="470" t="s">
        <v>11636</v>
      </c>
      <c r="H3767" s="482" t="s">
        <v>15528</v>
      </c>
      <c r="I3767" s="483">
        <v>1.4500000000000001e-002</v>
      </c>
      <c r="J3767" s="473">
        <f t="shared" si="1847"/>
        <v>560</v>
      </c>
      <c r="K3767" s="474">
        <f t="shared" si="1857"/>
        <v>8.120000000000001</v>
      </c>
      <c r="L3767" s="475">
        <f t="shared" si="1855"/>
        <v>560</v>
      </c>
      <c r="M3767" s="474">
        <f t="shared" si="1858"/>
        <v>8.120000000000001</v>
      </c>
      <c r="O3767" s="434">
        <f t="shared" si="1852"/>
        <v>560</v>
      </c>
      <c r="P3767" s="435">
        <f t="shared" si="1853"/>
        <v>560</v>
      </c>
      <c r="AE3767" s="217"/>
      <c r="AF3767" s="217">
        <v>1447</v>
      </c>
      <c r="AH3767">
        <f t="shared" si="1841"/>
        <v>1447</v>
      </c>
    </row>
    <row r="3768" ht="66" hidden="1" customHeight="1">
      <c r="A3768" s="460">
        <v>1448</v>
      </c>
      <c r="B3768" s="460">
        <v>1448</v>
      </c>
      <c r="C3768" s="460"/>
      <c r="D3768" s="460"/>
      <c r="E3768" s="461">
        <v>1</v>
      </c>
      <c r="F3768" s="462" t="s">
        <v>22391</v>
      </c>
      <c r="G3768" s="477" t="s">
        <v>22392</v>
      </c>
      <c r="H3768" s="478" t="s">
        <v>38</v>
      </c>
      <c r="I3768" s="479"/>
      <c r="J3768" s="480"/>
      <c r="K3768" s="466">
        <f>SUM(K3769:K3773)</f>
        <v>41.478724800000002</v>
      </c>
      <c r="L3768" s="480"/>
      <c r="M3768" s="466">
        <f>SUM(M3769:M3773)</f>
        <v>40.8804984</v>
      </c>
      <c r="N3768" s="467" t="s">
        <v>22393</v>
      </c>
      <c r="O3768" s="434" t="str">
        <f t="shared" si="1852"/>
        <v xml:space="preserve">SEM VALOR</v>
      </c>
      <c r="P3768" s="435" t="str">
        <f t="shared" si="1853"/>
        <v xml:space="preserve">SEM VALOR</v>
      </c>
      <c r="AE3768" s="460">
        <v>1448</v>
      </c>
      <c r="AF3768" s="460"/>
      <c r="AH3768">
        <f t="shared" si="1841"/>
        <v>1448</v>
      </c>
    </row>
    <row r="3769" ht="45" hidden="1">
      <c r="A3769" s="217"/>
      <c r="B3769" s="217">
        <v>1448</v>
      </c>
      <c r="C3769" s="217"/>
      <c r="D3769" s="641" t="s">
        <v>20398</v>
      </c>
      <c r="E3769" s="471" t="s">
        <v>20399</v>
      </c>
      <c r="F3769" s="482">
        <v>1259</v>
      </c>
      <c r="G3769" s="572" t="s">
        <v>20796</v>
      </c>
      <c r="H3769" s="499" t="s">
        <v>15528</v>
      </c>
      <c r="I3769" s="483">
        <v>3.2000000000000001e-002</v>
      </c>
      <c r="J3769" s="473">
        <f t="shared" si="1847"/>
        <v>45.520000000000003</v>
      </c>
      <c r="K3769" s="474">
        <f t="shared" ref="K3769:K3773" si="1859">I3769*J3769</f>
        <v>1.4566400000000002</v>
      </c>
      <c r="L3769" s="475">
        <f t="shared" si="1855"/>
        <v>43.100000000000001</v>
      </c>
      <c r="M3769" s="474">
        <f t="shared" ref="M3769:M3773" si="1860">L3769*I3769</f>
        <v>1.3792</v>
      </c>
      <c r="O3769" s="434">
        <f t="shared" si="1852"/>
        <v>45.520000000000003</v>
      </c>
      <c r="P3769" s="435">
        <f t="shared" si="1853"/>
        <v>43.100000000000001</v>
      </c>
      <c r="AE3769" s="217"/>
      <c r="AF3769" s="217">
        <v>1448</v>
      </c>
      <c r="AH3769">
        <f t="shared" si="1841"/>
        <v>1448</v>
      </c>
    </row>
    <row r="3770" ht="75" hidden="1">
      <c r="A3770" s="217"/>
      <c r="B3770" s="217">
        <v>1448</v>
      </c>
      <c r="C3770" s="217"/>
      <c r="D3770" s="641" t="s">
        <v>20398</v>
      </c>
      <c r="E3770" s="471" t="s">
        <v>20402</v>
      </c>
      <c r="F3770" s="482">
        <v>1267</v>
      </c>
      <c r="G3770" s="572" t="s">
        <v>20662</v>
      </c>
      <c r="H3770" s="499" t="s">
        <v>38</v>
      </c>
      <c r="I3770" s="483">
        <v>1</v>
      </c>
      <c r="J3770" s="473">
        <f t="shared" si="1847"/>
        <v>3.2499999999999996</v>
      </c>
      <c r="K3770" s="474">
        <f t="shared" si="1859"/>
        <v>3.2499999999999996</v>
      </c>
      <c r="L3770" s="475">
        <f t="shared" si="1855"/>
        <v>3.1657000000000002</v>
      </c>
      <c r="M3770" s="474">
        <f t="shared" si="1860"/>
        <v>3.1657000000000002</v>
      </c>
      <c r="O3770" s="434">
        <f t="shared" si="1852"/>
        <v>3.2499999999999996</v>
      </c>
      <c r="P3770" s="435">
        <f t="shared" si="1853"/>
        <v>3.1657000000000002</v>
      </c>
      <c r="AE3770" s="217"/>
      <c r="AF3770" s="217">
        <v>1448</v>
      </c>
      <c r="AH3770">
        <f t="shared" si="1841"/>
        <v>1448</v>
      </c>
    </row>
    <row r="3771" ht="45" hidden="1">
      <c r="A3771" s="217"/>
      <c r="B3771" s="217">
        <v>1448</v>
      </c>
      <c r="C3771" s="217"/>
      <c r="D3771" s="641" t="s">
        <v>17167</v>
      </c>
      <c r="E3771" s="471" t="s">
        <v>20405</v>
      </c>
      <c r="F3771" s="482">
        <v>102498</v>
      </c>
      <c r="G3771" s="470" t="s">
        <v>8369</v>
      </c>
      <c r="H3771" s="499" t="s">
        <v>15515</v>
      </c>
      <c r="I3771" s="483">
        <v>0.25</v>
      </c>
      <c r="J3771" s="473">
        <f t="shared" si="1847"/>
        <v>1.7</v>
      </c>
      <c r="K3771" s="474">
        <f t="shared" si="1859"/>
        <v>0.42499999999999999</v>
      </c>
      <c r="L3771" s="475">
        <f t="shared" si="1855"/>
        <v>1.6200000000000001</v>
      </c>
      <c r="M3771" s="474">
        <f t="shared" si="1860"/>
        <v>0.40500000000000003</v>
      </c>
      <c r="O3771" s="434">
        <f t="shared" si="1852"/>
        <v>1.7</v>
      </c>
      <c r="P3771" s="435">
        <f t="shared" si="1853"/>
        <v>1.6200000000000001</v>
      </c>
      <c r="AE3771" s="217"/>
      <c r="AF3771" s="217">
        <v>1448</v>
      </c>
      <c r="AH3771">
        <f t="shared" si="1841"/>
        <v>1448</v>
      </c>
    </row>
    <row r="3772" ht="45" hidden="1">
      <c r="A3772" s="217"/>
      <c r="B3772" s="217">
        <v>1448</v>
      </c>
      <c r="C3772" s="217"/>
      <c r="D3772" s="641" t="s">
        <v>20398</v>
      </c>
      <c r="E3772" s="471" t="s">
        <v>20409</v>
      </c>
      <c r="F3772" s="482">
        <v>1000</v>
      </c>
      <c r="G3772" s="470" t="s">
        <v>20651</v>
      </c>
      <c r="H3772" s="499" t="s">
        <v>15528</v>
      </c>
      <c r="I3772" s="483">
        <v>5.1200000000000002e-002</v>
      </c>
      <c r="J3772" s="473">
        <f t="shared" si="1847"/>
        <v>149.904</v>
      </c>
      <c r="K3772" s="474">
        <f t="shared" si="1859"/>
        <v>7.6750848000000005</v>
      </c>
      <c r="L3772" s="475">
        <f t="shared" si="1855"/>
        <v>141.76949999999999</v>
      </c>
      <c r="M3772" s="474">
        <f t="shared" si="1860"/>
        <v>7.2585984000000003</v>
      </c>
      <c r="O3772" s="434">
        <f t="shared" si="1852"/>
        <v>149.904</v>
      </c>
      <c r="P3772" s="435">
        <f t="shared" si="1853"/>
        <v>141.76949999999999</v>
      </c>
      <c r="AE3772" s="217"/>
      <c r="AF3772" s="217">
        <v>1448</v>
      </c>
      <c r="AH3772">
        <f t="shared" si="1841"/>
        <v>1448</v>
      </c>
    </row>
    <row r="3773" ht="75" hidden="1">
      <c r="A3773" s="217"/>
      <c r="B3773" s="217">
        <v>1448</v>
      </c>
      <c r="C3773" s="217"/>
      <c r="D3773" s="641" t="s">
        <v>20408</v>
      </c>
      <c r="E3773" s="471" t="s">
        <v>20663</v>
      </c>
      <c r="F3773" s="482">
        <v>34492</v>
      </c>
      <c r="G3773" s="470" t="s">
        <v>11636</v>
      </c>
      <c r="H3773" s="482" t="s">
        <v>15528</v>
      </c>
      <c r="I3773" s="483">
        <v>5.1200000000000002e-002</v>
      </c>
      <c r="J3773" s="473">
        <f t="shared" si="1847"/>
        <v>560</v>
      </c>
      <c r="K3773" s="474">
        <f t="shared" si="1859"/>
        <v>28.672000000000001</v>
      </c>
      <c r="L3773" s="475">
        <f t="shared" si="1855"/>
        <v>560</v>
      </c>
      <c r="M3773" s="474">
        <f t="shared" si="1860"/>
        <v>28.672000000000001</v>
      </c>
      <c r="O3773" s="434">
        <f t="shared" si="1852"/>
        <v>560</v>
      </c>
      <c r="P3773" s="435">
        <f t="shared" si="1853"/>
        <v>560</v>
      </c>
      <c r="AE3773" s="217"/>
      <c r="AF3773" s="217">
        <v>1448</v>
      </c>
      <c r="AH3773">
        <f t="shared" si="1841"/>
        <v>1448</v>
      </c>
    </row>
    <row r="3774" ht="65.25" hidden="1" customHeight="1">
      <c r="A3774" s="460">
        <v>1450</v>
      </c>
      <c r="B3774" s="460">
        <v>1450</v>
      </c>
      <c r="C3774" s="460"/>
      <c r="D3774" s="460"/>
      <c r="E3774" s="461">
        <v>1</v>
      </c>
      <c r="F3774" s="462" t="s">
        <v>22394</v>
      </c>
      <c r="G3774" s="477" t="s">
        <v>22395</v>
      </c>
      <c r="H3774" s="478" t="s">
        <v>20647</v>
      </c>
      <c r="I3774" s="479"/>
      <c r="J3774" s="480"/>
      <c r="K3774" s="466">
        <f>SUM(K3775:K3776)</f>
        <v>351.92579000000001</v>
      </c>
      <c r="L3774" s="480"/>
      <c r="M3774" s="466">
        <f>SUM(M3775:M3776)</f>
        <v>343.79566999999997</v>
      </c>
      <c r="O3774" s="434" t="str">
        <f t="shared" si="1852"/>
        <v xml:space="preserve">SEM VALOR</v>
      </c>
      <c r="P3774" s="435" t="str">
        <f t="shared" si="1853"/>
        <v xml:space="preserve">SEM VALOR</v>
      </c>
      <c r="AE3774" s="460">
        <v>1450</v>
      </c>
      <c r="AF3774" s="460"/>
      <c r="AH3774">
        <f t="shared" si="1841"/>
        <v>1450</v>
      </c>
    </row>
    <row r="3775" ht="60" hidden="1">
      <c r="A3775" s="217"/>
      <c r="B3775" s="217">
        <v>1450</v>
      </c>
      <c r="C3775" s="217"/>
      <c r="D3775" s="641" t="s">
        <v>17167</v>
      </c>
      <c r="E3775" s="471" t="s">
        <v>20399</v>
      </c>
      <c r="F3775" s="482">
        <v>94964</v>
      </c>
      <c r="G3775" s="572" t="s">
        <v>8711</v>
      </c>
      <c r="H3775" s="499" t="s">
        <v>15528</v>
      </c>
      <c r="I3775" s="558">
        <v>0.42299999999999999</v>
      </c>
      <c r="J3775" s="473">
        <f t="shared" si="1847"/>
        <v>488.52999999999997</v>
      </c>
      <c r="K3775" s="474">
        <f t="shared" ref="K3775:K3776" si="1861">I3775*J3775</f>
        <v>206.64818999999997</v>
      </c>
      <c r="L3775" s="475">
        <f t="shared" si="1855"/>
        <v>482.79000000000002</v>
      </c>
      <c r="M3775" s="474">
        <f t="shared" ref="M3775:M3776" si="1862">L3775*I3775</f>
        <v>204.22017</v>
      </c>
      <c r="O3775" s="434">
        <f t="shared" si="1852"/>
        <v>488.52999999999997</v>
      </c>
      <c r="P3775" s="435">
        <f t="shared" si="1853"/>
        <v>482.79000000000002</v>
      </c>
      <c r="AE3775" s="217"/>
      <c r="AF3775" s="217">
        <v>1450</v>
      </c>
      <c r="AH3775">
        <f t="shared" si="1841"/>
        <v>1450</v>
      </c>
    </row>
    <row r="3776" ht="60" hidden="1">
      <c r="A3776" s="217"/>
      <c r="B3776" s="217">
        <v>1450</v>
      </c>
      <c r="C3776" s="217"/>
      <c r="D3776" s="641" t="s">
        <v>17167</v>
      </c>
      <c r="E3776" s="471" t="s">
        <v>20402</v>
      </c>
      <c r="F3776" s="482">
        <v>96536</v>
      </c>
      <c r="G3776" s="572" t="s">
        <v>21415</v>
      </c>
      <c r="H3776" s="482" t="s">
        <v>15515</v>
      </c>
      <c r="I3776" s="558">
        <v>2.29</v>
      </c>
      <c r="J3776" s="473">
        <f t="shared" si="1847"/>
        <v>63.439999999999998</v>
      </c>
      <c r="K3776" s="474">
        <f t="shared" si="1861"/>
        <v>145.27760000000001</v>
      </c>
      <c r="L3776" s="475">
        <f t="shared" si="1855"/>
        <v>60.950000000000003</v>
      </c>
      <c r="M3776" s="474">
        <f t="shared" si="1862"/>
        <v>139.57550000000001</v>
      </c>
      <c r="O3776" s="434">
        <f t="shared" si="1852"/>
        <v>63.439999999999998</v>
      </c>
      <c r="P3776" s="435">
        <f t="shared" si="1853"/>
        <v>60.950000000000003</v>
      </c>
      <c r="AE3776" s="217"/>
      <c r="AF3776" s="217">
        <v>1450</v>
      </c>
      <c r="AH3776">
        <f t="shared" si="1841"/>
        <v>1450</v>
      </c>
    </row>
    <row r="3777" ht="69" hidden="1" customHeight="1">
      <c r="A3777" s="460">
        <v>1451</v>
      </c>
      <c r="B3777" s="460">
        <v>1451</v>
      </c>
      <c r="C3777" s="460"/>
      <c r="D3777" s="460"/>
      <c r="E3777" s="461">
        <v>1</v>
      </c>
      <c r="F3777" s="462" t="s">
        <v>22396</v>
      </c>
      <c r="G3777" s="477" t="s">
        <v>22397</v>
      </c>
      <c r="H3777" s="478" t="s">
        <v>38</v>
      </c>
      <c r="I3777" s="479"/>
      <c r="J3777" s="480"/>
      <c r="K3777" s="466">
        <f>SUM(K3778:K3782)</f>
        <v>35.407940800000006</v>
      </c>
      <c r="L3777" s="480"/>
      <c r="M3777" s="466">
        <f>SUM(M3778:M3782)</f>
        <v>34.539378400000004</v>
      </c>
      <c r="N3777" s="467" t="s">
        <v>22398</v>
      </c>
      <c r="O3777" s="434" t="str">
        <f t="shared" si="1852"/>
        <v xml:space="preserve">SEM VALOR</v>
      </c>
      <c r="P3777" s="435" t="str">
        <f t="shared" si="1853"/>
        <v xml:space="preserve">SEM VALOR</v>
      </c>
      <c r="AE3777" s="460">
        <v>1451</v>
      </c>
      <c r="AF3777" s="460"/>
      <c r="AH3777">
        <f t="shared" si="1841"/>
        <v>1451</v>
      </c>
    </row>
    <row r="3778" ht="45" hidden="1">
      <c r="A3778" s="217"/>
      <c r="B3778" s="217">
        <v>1451</v>
      </c>
      <c r="C3778" s="217"/>
      <c r="D3778" s="641" t="s">
        <v>20398</v>
      </c>
      <c r="E3778" s="471" t="s">
        <v>20399</v>
      </c>
      <c r="F3778" s="482">
        <v>1259</v>
      </c>
      <c r="G3778" s="572" t="s">
        <v>20796</v>
      </c>
      <c r="H3778" s="499" t="s">
        <v>15528</v>
      </c>
      <c r="I3778" s="483">
        <v>3.2000000000000001e-002</v>
      </c>
      <c r="J3778" s="473">
        <f t="shared" si="1847"/>
        <v>45.520000000000003</v>
      </c>
      <c r="K3778" s="474">
        <f t="shared" ref="K3778:K3782" si="1863">I3778*J3778</f>
        <v>1.4566400000000002</v>
      </c>
      <c r="L3778" s="475">
        <f t="shared" si="1855"/>
        <v>43.100000000000001</v>
      </c>
      <c r="M3778" s="474">
        <f t="shared" ref="M3778:M3782" si="1864">L3778*I3778</f>
        <v>1.3792</v>
      </c>
      <c r="O3778" s="434">
        <f t="shared" si="1852"/>
        <v>45.520000000000003</v>
      </c>
      <c r="P3778" s="435">
        <f t="shared" si="1853"/>
        <v>43.100000000000001</v>
      </c>
      <c r="AE3778" s="217"/>
      <c r="AF3778" s="217">
        <v>1451</v>
      </c>
      <c r="AH3778">
        <f t="shared" si="1841"/>
        <v>1451</v>
      </c>
    </row>
    <row r="3779" ht="75" hidden="1">
      <c r="A3779" s="217"/>
      <c r="B3779" s="217">
        <v>1451</v>
      </c>
      <c r="C3779" s="217"/>
      <c r="D3779" s="641" t="s">
        <v>20398</v>
      </c>
      <c r="E3779" s="471" t="s">
        <v>20402</v>
      </c>
      <c r="F3779" s="482">
        <v>1267</v>
      </c>
      <c r="G3779" s="572" t="s">
        <v>20662</v>
      </c>
      <c r="H3779" s="499" t="s">
        <v>38</v>
      </c>
      <c r="I3779" s="483">
        <v>1</v>
      </c>
      <c r="J3779" s="473">
        <f t="shared" si="1847"/>
        <v>3.2499999999999996</v>
      </c>
      <c r="K3779" s="474">
        <f t="shared" si="1863"/>
        <v>3.2499999999999996</v>
      </c>
      <c r="L3779" s="475">
        <f t="shared" si="1855"/>
        <v>3.1657000000000002</v>
      </c>
      <c r="M3779" s="474">
        <f t="shared" si="1864"/>
        <v>3.1657000000000002</v>
      </c>
      <c r="O3779" s="434">
        <f t="shared" si="1852"/>
        <v>3.2499999999999996</v>
      </c>
      <c r="P3779" s="435">
        <f t="shared" si="1853"/>
        <v>3.1657000000000002</v>
      </c>
      <c r="AE3779" s="217"/>
      <c r="AF3779" s="217">
        <v>1451</v>
      </c>
      <c r="AH3779">
        <f t="shared" si="1841"/>
        <v>1451</v>
      </c>
    </row>
    <row r="3780" ht="45" hidden="1">
      <c r="A3780" s="217"/>
      <c r="B3780" s="217">
        <v>1451</v>
      </c>
      <c r="C3780" s="217"/>
      <c r="D3780" s="641" t="s">
        <v>17167</v>
      </c>
      <c r="E3780" s="471" t="s">
        <v>20405</v>
      </c>
      <c r="F3780" s="482">
        <v>102498</v>
      </c>
      <c r="G3780" s="470" t="s">
        <v>8369</v>
      </c>
      <c r="H3780" s="499" t="s">
        <v>15515</v>
      </c>
      <c r="I3780" s="483">
        <v>0.25</v>
      </c>
      <c r="J3780" s="473">
        <f t="shared" si="1847"/>
        <v>1.7</v>
      </c>
      <c r="K3780" s="474">
        <f t="shared" si="1863"/>
        <v>0.42499999999999999</v>
      </c>
      <c r="L3780" s="475">
        <f t="shared" si="1855"/>
        <v>1.6200000000000001</v>
      </c>
      <c r="M3780" s="474">
        <f t="shared" si="1864"/>
        <v>0.40500000000000003</v>
      </c>
      <c r="O3780" s="434">
        <f t="shared" si="1852"/>
        <v>1.7</v>
      </c>
      <c r="P3780" s="435">
        <f t="shared" si="1853"/>
        <v>1.6200000000000001</v>
      </c>
      <c r="AE3780" s="217"/>
      <c r="AF3780" s="217">
        <v>1451</v>
      </c>
      <c r="AH3780">
        <f t="shared" si="1841"/>
        <v>1451</v>
      </c>
    </row>
    <row r="3781" ht="45" hidden="1">
      <c r="A3781" s="217"/>
      <c r="B3781" s="217">
        <v>1451</v>
      </c>
      <c r="C3781" s="217"/>
      <c r="D3781" s="641" t="s">
        <v>20398</v>
      </c>
      <c r="E3781" s="471" t="s">
        <v>20409</v>
      </c>
      <c r="F3781" s="482">
        <v>1000</v>
      </c>
      <c r="G3781" s="470" t="s">
        <v>20651</v>
      </c>
      <c r="H3781" s="499" t="s">
        <v>15528</v>
      </c>
      <c r="I3781" s="483">
        <v>5.1200000000000002e-002</v>
      </c>
      <c r="J3781" s="473">
        <f t="shared" si="1847"/>
        <v>149.904</v>
      </c>
      <c r="K3781" s="474">
        <f t="shared" si="1863"/>
        <v>7.6750848000000005</v>
      </c>
      <c r="L3781" s="475">
        <f t="shared" si="1855"/>
        <v>141.76949999999999</v>
      </c>
      <c r="M3781" s="474">
        <f t="shared" si="1864"/>
        <v>7.2585984000000003</v>
      </c>
      <c r="O3781" s="434">
        <f t="shared" si="1852"/>
        <v>149.904</v>
      </c>
      <c r="P3781" s="435">
        <f t="shared" si="1853"/>
        <v>141.76949999999999</v>
      </c>
      <c r="AE3781" s="217"/>
      <c r="AF3781" s="217">
        <v>1451</v>
      </c>
      <c r="AH3781">
        <f t="shared" si="1841"/>
        <v>1451</v>
      </c>
    </row>
    <row r="3782" ht="60" hidden="1">
      <c r="A3782" s="217"/>
      <c r="B3782" s="217">
        <v>1451</v>
      </c>
      <c r="C3782" s="217"/>
      <c r="D3782" s="641" t="s">
        <v>17167</v>
      </c>
      <c r="E3782" s="471" t="s">
        <v>20663</v>
      </c>
      <c r="F3782" s="482">
        <v>94963</v>
      </c>
      <c r="G3782" s="470" t="s">
        <v>20911</v>
      </c>
      <c r="H3782" s="482" t="s">
        <v>15528</v>
      </c>
      <c r="I3782" s="483">
        <v>5.1200000000000002e-002</v>
      </c>
      <c r="J3782" s="473">
        <f t="shared" si="1847"/>
        <v>441.43000000000001</v>
      </c>
      <c r="K3782" s="474">
        <f t="shared" si="1863"/>
        <v>22.601216000000001</v>
      </c>
      <c r="L3782" s="475">
        <f t="shared" si="1855"/>
        <v>436.14999999999998</v>
      </c>
      <c r="M3782" s="474">
        <f t="shared" si="1864"/>
        <v>22.330880000000001</v>
      </c>
      <c r="O3782" s="434">
        <f t="shared" si="1852"/>
        <v>441.43000000000001</v>
      </c>
      <c r="P3782" s="435">
        <f t="shared" si="1853"/>
        <v>436.14999999999998</v>
      </c>
      <c r="AE3782" s="217"/>
      <c r="AF3782" s="217">
        <v>1451</v>
      </c>
      <c r="AH3782">
        <f t="shared" si="1841"/>
        <v>1451</v>
      </c>
    </row>
    <row r="3783" ht="78.75" hidden="1">
      <c r="A3783" s="460">
        <v>1452</v>
      </c>
      <c r="B3783" s="460">
        <v>1452</v>
      </c>
      <c r="C3783" s="460"/>
      <c r="D3783" s="460"/>
      <c r="E3783" s="461">
        <v>1</v>
      </c>
      <c r="F3783" s="462" t="s">
        <v>22399</v>
      </c>
      <c r="G3783" s="477" t="s">
        <v>21602</v>
      </c>
      <c r="H3783" s="478" t="s">
        <v>38</v>
      </c>
      <c r="I3783" s="479"/>
      <c r="J3783" s="480"/>
      <c r="K3783" s="466">
        <f>SUM(K3784:K3790)</f>
        <v>110.3877935168</v>
      </c>
      <c r="L3783" s="480"/>
      <c r="M3783" s="466">
        <f>SUM(M3784:M3790)</f>
        <v>109.6074188102</v>
      </c>
      <c r="O3783" s="434" t="str">
        <f t="shared" si="1852"/>
        <v xml:space="preserve">SEM VALOR</v>
      </c>
      <c r="P3783" s="435" t="str">
        <f t="shared" si="1853"/>
        <v xml:space="preserve">SEM VALOR</v>
      </c>
      <c r="AE3783" s="460">
        <v>1452</v>
      </c>
      <c r="AF3783" s="460"/>
      <c r="AH3783">
        <f t="shared" ref="AH3783:AH3846" si="1865">IF(AF3783:AF3784=FALSE,AE3783,AF3783)</f>
        <v>1452</v>
      </c>
    </row>
    <row r="3784" ht="18.75" hidden="1" customHeight="1">
      <c r="A3784" s="217"/>
      <c r="B3784" s="217">
        <v>1452</v>
      </c>
      <c r="C3784" s="217"/>
      <c r="D3784" s="641" t="s">
        <v>20644</v>
      </c>
      <c r="E3784" s="471" t="s">
        <v>20399</v>
      </c>
      <c r="F3784" s="482" t="s">
        <v>15381</v>
      </c>
      <c r="G3784" s="488" t="s">
        <v>20723</v>
      </c>
      <c r="H3784" s="482" t="s">
        <v>15515</v>
      </c>
      <c r="I3784" s="483">
        <v>1.5037499999999999</v>
      </c>
      <c r="J3784" s="473">
        <f t="shared" si="1847"/>
        <v>46.75</v>
      </c>
      <c r="K3784" s="474">
        <f t="shared" ref="K3784:K3790" si="1866">I3784*J3784</f>
        <v>70.30031249999999</v>
      </c>
      <c r="L3784" s="475">
        <f t="shared" si="1855"/>
        <v>46.75</v>
      </c>
      <c r="M3784" s="474">
        <f t="shared" ref="M3784:M3790" si="1867">L3784*I3784</f>
        <v>70.30031249999999</v>
      </c>
      <c r="O3784" s="434">
        <f t="shared" si="1852"/>
        <v>46.75</v>
      </c>
      <c r="P3784" s="435">
        <f t="shared" si="1853"/>
        <v>46.75</v>
      </c>
      <c r="AE3784" s="217"/>
      <c r="AF3784" s="217">
        <v>1452</v>
      </c>
      <c r="AH3784">
        <f t="shared" si="1865"/>
        <v>1452</v>
      </c>
    </row>
    <row r="3785" ht="60" hidden="1">
      <c r="A3785" s="217"/>
      <c r="B3785" s="217">
        <v>1452</v>
      </c>
      <c r="C3785" s="217"/>
      <c r="D3785" s="641" t="s">
        <v>17167</v>
      </c>
      <c r="E3785" s="471" t="s">
        <v>20402</v>
      </c>
      <c r="F3785" s="482">
        <v>102704</v>
      </c>
      <c r="G3785" s="470" t="s">
        <v>3053</v>
      </c>
      <c r="H3785" s="482" t="s">
        <v>38</v>
      </c>
      <c r="I3785" s="483">
        <v>1</v>
      </c>
      <c r="J3785" s="473">
        <f t="shared" si="1847"/>
        <v>11.19</v>
      </c>
      <c r="K3785" s="474">
        <f t="shared" si="1866"/>
        <v>11.19</v>
      </c>
      <c r="L3785" s="475">
        <f t="shared" si="1855"/>
        <v>11.17</v>
      </c>
      <c r="M3785" s="474">
        <f t="shared" si="1867"/>
        <v>11.17</v>
      </c>
      <c r="O3785" s="434">
        <f t="shared" si="1852"/>
        <v>11.19</v>
      </c>
      <c r="P3785" s="435">
        <f t="shared" si="1853"/>
        <v>11.17</v>
      </c>
      <c r="AE3785" s="217"/>
      <c r="AF3785" s="217">
        <v>1452</v>
      </c>
      <c r="AH3785">
        <f t="shared" si="1865"/>
        <v>1452</v>
      </c>
    </row>
    <row r="3786" ht="30" hidden="1">
      <c r="A3786" s="217"/>
      <c r="B3786" s="217">
        <v>1452</v>
      </c>
      <c r="C3786" s="217"/>
      <c r="D3786" s="641" t="s">
        <v>17167</v>
      </c>
      <c r="E3786" s="471" t="s">
        <v>20405</v>
      </c>
      <c r="F3786" s="482">
        <v>102719</v>
      </c>
      <c r="G3786" s="470" t="s">
        <v>3041</v>
      </c>
      <c r="H3786" s="482" t="s">
        <v>15528</v>
      </c>
      <c r="I3786" s="483">
        <v>4.0000000000000001e-002</v>
      </c>
      <c r="J3786" s="473">
        <f t="shared" si="1847"/>
        <v>147.03</v>
      </c>
      <c r="K3786" s="474">
        <f t="shared" si="1866"/>
        <v>5.8811999999999998</v>
      </c>
      <c r="L3786" s="475">
        <f t="shared" si="1855"/>
        <v>145.08000000000001</v>
      </c>
      <c r="M3786" s="474">
        <f t="shared" si="1867"/>
        <v>5.8032000000000004</v>
      </c>
      <c r="O3786" s="434">
        <f t="shared" si="1852"/>
        <v>147.03</v>
      </c>
      <c r="P3786" s="435">
        <f t="shared" si="1853"/>
        <v>145.08000000000001</v>
      </c>
      <c r="AE3786" s="217"/>
      <c r="AF3786" s="217">
        <v>1452</v>
      </c>
      <c r="AH3786">
        <f t="shared" si="1865"/>
        <v>1452</v>
      </c>
    </row>
    <row r="3787" ht="45" hidden="1">
      <c r="A3787" s="217"/>
      <c r="B3787" s="217">
        <v>1452</v>
      </c>
      <c r="C3787" s="217"/>
      <c r="D3787" s="641" t="s">
        <v>20398</v>
      </c>
      <c r="E3787" s="471" t="s">
        <v>20409</v>
      </c>
      <c r="F3787" s="482">
        <v>1175</v>
      </c>
      <c r="G3787" s="470" t="s">
        <v>21344</v>
      </c>
      <c r="H3787" s="482" t="s">
        <v>15528</v>
      </c>
      <c r="I3787" s="483">
        <v>0.29999999999999999</v>
      </c>
      <c r="J3787" s="473">
        <f t="shared" si="1847"/>
        <v>50.686786336000004</v>
      </c>
      <c r="K3787" s="474">
        <f t="shared" si="1866"/>
        <v>15.2060359008</v>
      </c>
      <c r="L3787" s="475">
        <f t="shared" si="1855"/>
        <v>49.684339844000007</v>
      </c>
      <c r="M3787" s="474">
        <f t="shared" si="1867"/>
        <v>14.905301953200002</v>
      </c>
      <c r="O3787" s="434">
        <f t="shared" si="1852"/>
        <v>50.686786336000004</v>
      </c>
      <c r="P3787" s="435">
        <f t="shared" si="1853"/>
        <v>49.684339844000007</v>
      </c>
      <c r="AE3787" s="217"/>
      <c r="AF3787" s="217">
        <v>1452</v>
      </c>
      <c r="AH3787">
        <f t="shared" si="1865"/>
        <v>1452</v>
      </c>
    </row>
    <row r="3788" ht="45" hidden="1">
      <c r="A3788" s="217"/>
      <c r="B3788" s="217">
        <v>1452</v>
      </c>
      <c r="C3788" s="217"/>
      <c r="D3788" s="641" t="s">
        <v>17167</v>
      </c>
      <c r="E3788" s="471" t="s">
        <v>20663</v>
      </c>
      <c r="F3788" s="482">
        <v>93382</v>
      </c>
      <c r="G3788" s="470" t="s">
        <v>20722</v>
      </c>
      <c r="H3788" s="482" t="s">
        <v>15528</v>
      </c>
      <c r="I3788" s="483">
        <v>0.26000000000000001</v>
      </c>
      <c r="J3788" s="473">
        <f t="shared" si="1847"/>
        <v>27.52</v>
      </c>
      <c r="K3788" s="474">
        <f t="shared" si="1866"/>
        <v>7.1551999999999998</v>
      </c>
      <c r="L3788" s="475">
        <f t="shared" si="1855"/>
        <v>26.190000000000001</v>
      </c>
      <c r="M3788" s="474">
        <f t="shared" si="1867"/>
        <v>6.809400000000001</v>
      </c>
      <c r="O3788" s="434">
        <f t="shared" si="1852"/>
        <v>27.52</v>
      </c>
      <c r="P3788" s="435">
        <f t="shared" si="1853"/>
        <v>26.190000000000001</v>
      </c>
      <c r="AE3788" s="217"/>
      <c r="AF3788" s="217">
        <v>1452</v>
      </c>
      <c r="AH3788">
        <f t="shared" si="1865"/>
        <v>1452</v>
      </c>
    </row>
    <row r="3789" ht="30" hidden="1">
      <c r="A3789" s="217"/>
      <c r="B3789" s="217">
        <v>1452</v>
      </c>
      <c r="C3789" s="217"/>
      <c r="D3789" s="641" t="s">
        <v>17167</v>
      </c>
      <c r="E3789" s="471" t="s">
        <v>20665</v>
      </c>
      <c r="F3789" s="482">
        <v>88316</v>
      </c>
      <c r="G3789" s="470" t="s">
        <v>7393</v>
      </c>
      <c r="H3789" s="482" t="s">
        <v>2032</v>
      </c>
      <c r="I3789" s="483">
        <f>2/113</f>
        <v>1.7699099999999999e-002</v>
      </c>
      <c r="J3789" s="473">
        <f t="shared" si="1847"/>
        <v>22.760000000000002</v>
      </c>
      <c r="K3789" s="474">
        <f t="shared" si="1866"/>
        <v>0.402831516</v>
      </c>
      <c r="L3789" s="475">
        <f t="shared" si="1855"/>
        <v>21.550000000000001</v>
      </c>
      <c r="M3789" s="474">
        <f t="shared" si="1867"/>
        <v>0.38141560499999999</v>
      </c>
      <c r="O3789" s="434">
        <f t="shared" si="1852"/>
        <v>22.760000000000002</v>
      </c>
      <c r="P3789" s="435">
        <f t="shared" si="1853"/>
        <v>21.550000000000001</v>
      </c>
      <c r="AE3789" s="217"/>
      <c r="AF3789" s="217">
        <v>1452</v>
      </c>
      <c r="AH3789">
        <f t="shared" si="1865"/>
        <v>1452</v>
      </c>
    </row>
    <row r="3790" ht="30" hidden="1">
      <c r="A3790" s="217"/>
      <c r="B3790" s="217">
        <v>1452</v>
      </c>
      <c r="C3790" s="217"/>
      <c r="D3790" s="641" t="s">
        <v>17167</v>
      </c>
      <c r="E3790" s="471" t="s">
        <v>20667</v>
      </c>
      <c r="F3790" s="482">
        <v>88309</v>
      </c>
      <c r="G3790" s="470" t="s">
        <v>7385</v>
      </c>
      <c r="H3790" s="482" t="s">
        <v>2032</v>
      </c>
      <c r="I3790" s="483">
        <f>1/113</f>
        <v>8.8495999999999991e-003</v>
      </c>
      <c r="J3790" s="473">
        <f t="shared" si="1847"/>
        <v>28.5</v>
      </c>
      <c r="K3790" s="474">
        <f t="shared" si="1866"/>
        <v>0.25221359999999998</v>
      </c>
      <c r="L3790" s="475">
        <f t="shared" si="1855"/>
        <v>26.870000000000001</v>
      </c>
      <c r="M3790" s="474">
        <f t="shared" si="1867"/>
        <v>0.23778875199999999</v>
      </c>
      <c r="O3790" s="434">
        <f t="shared" si="1852"/>
        <v>28.5</v>
      </c>
      <c r="P3790" s="435">
        <f t="shared" si="1853"/>
        <v>26.870000000000001</v>
      </c>
      <c r="AE3790" s="217"/>
      <c r="AF3790" s="217">
        <v>1452</v>
      </c>
      <c r="AH3790">
        <f t="shared" si="1865"/>
        <v>1452</v>
      </c>
    </row>
    <row r="3791" ht="50.25" hidden="1" customHeight="1">
      <c r="A3791" s="217"/>
      <c r="B3791" s="217">
        <v>1452</v>
      </c>
      <c r="C3791" s="217"/>
      <c r="D3791" s="217"/>
      <c r="E3791" s="471"/>
      <c r="F3791" s="482"/>
      <c r="G3791" s="470" t="s">
        <v>22400</v>
      </c>
      <c r="H3791" s="521"/>
      <c r="I3791" s="527"/>
      <c r="J3791" s="473"/>
      <c r="K3791" s="474"/>
      <c r="L3791" s="473"/>
      <c r="M3791" s="474"/>
      <c r="AE3791" s="217"/>
      <c r="AF3791" s="217">
        <v>1452</v>
      </c>
      <c r="AH3791">
        <f t="shared" si="1865"/>
        <v>1452</v>
      </c>
    </row>
    <row r="3792" hidden="1">
      <c r="A3792" s="217"/>
      <c r="B3792" s="217">
        <v>1452</v>
      </c>
      <c r="C3792" s="217"/>
      <c r="D3792" s="217"/>
      <c r="E3792" s="471"/>
      <c r="F3792" s="482"/>
      <c r="G3792" s="470" t="s">
        <v>21452</v>
      </c>
      <c r="H3792" s="521"/>
      <c r="I3792" s="527"/>
      <c r="J3792" s="473"/>
      <c r="K3792" s="474"/>
      <c r="L3792" s="473"/>
      <c r="M3792" s="474"/>
      <c r="AE3792" s="217"/>
      <c r="AF3792" s="217">
        <v>1452</v>
      </c>
      <c r="AH3792">
        <f t="shared" si="1865"/>
        <v>1452</v>
      </c>
    </row>
    <row r="3793" ht="78.75" hidden="1">
      <c r="A3793" s="460">
        <v>1453</v>
      </c>
      <c r="B3793" s="460">
        <v>1453</v>
      </c>
      <c r="C3793" s="460"/>
      <c r="D3793" s="460"/>
      <c r="E3793" s="461">
        <v>1</v>
      </c>
      <c r="F3793" s="462" t="s">
        <v>22401</v>
      </c>
      <c r="G3793" s="477" t="s">
        <v>21602</v>
      </c>
      <c r="H3793" s="478" t="s">
        <v>38</v>
      </c>
      <c r="I3793" s="479"/>
      <c r="J3793" s="480"/>
      <c r="K3793" s="466" t="e">
        <f>SUM(K3794:K3803)</f>
        <v>#VALUE!</v>
      </c>
      <c r="L3793" s="480"/>
      <c r="M3793" s="466" t="e">
        <f>SUM(M3794:M3803)</f>
        <v>#VALUE!</v>
      </c>
      <c r="N3793" s="467" t="s">
        <v>22402</v>
      </c>
      <c r="O3793" s="434" t="str">
        <f t="shared" si="1852"/>
        <v xml:space="preserve">SEM VALOR</v>
      </c>
      <c r="P3793" s="435" t="str">
        <f t="shared" si="1853"/>
        <v xml:space="preserve">SEM VALOR</v>
      </c>
      <c r="AE3793" s="460">
        <v>1453</v>
      </c>
      <c r="AF3793" s="460"/>
      <c r="AH3793">
        <f t="shared" si="1865"/>
        <v>1453</v>
      </c>
    </row>
    <row r="3794" hidden="1">
      <c r="A3794" s="217"/>
      <c r="B3794" s="217">
        <v>1453</v>
      </c>
      <c r="C3794" s="217"/>
      <c r="D3794" t="s">
        <v>20453</v>
      </c>
      <c r="E3794" s="471" t="s">
        <v>20399</v>
      </c>
      <c r="F3794" s="531" t="s">
        <v>20011</v>
      </c>
      <c r="G3794" s="488" t="s">
        <v>21053</v>
      </c>
      <c r="H3794" s="531" t="s">
        <v>9591</v>
      </c>
      <c r="I3794" s="532">
        <v>2.3600000000000001e-003</v>
      </c>
      <c r="J3794" s="642">
        <f t="shared" si="1847"/>
        <v>5287</v>
      </c>
      <c r="K3794" s="474">
        <f t="shared" ref="K3794:K3803" si="1868">I3794*J3794</f>
        <v>12.477320000000001</v>
      </c>
      <c r="L3794" s="642">
        <f t="shared" si="1855"/>
        <v>5287</v>
      </c>
      <c r="M3794" s="474">
        <f t="shared" ref="M3794:M3803" si="1869">L3794*I3794</f>
        <v>12.477320000000001</v>
      </c>
      <c r="N3794" s="616">
        <v>664</v>
      </c>
      <c r="O3794" s="434">
        <f t="shared" si="1852"/>
        <v>5287</v>
      </c>
      <c r="P3794" s="435">
        <f t="shared" si="1853"/>
        <v>5287</v>
      </c>
      <c r="AE3794" s="217"/>
      <c r="AF3794" s="217">
        <v>1453</v>
      </c>
      <c r="AH3794">
        <f t="shared" si="1865"/>
        <v>1453</v>
      </c>
    </row>
    <row r="3795" ht="30" hidden="1">
      <c r="A3795" s="217"/>
      <c r="B3795" s="217">
        <v>1453</v>
      </c>
      <c r="C3795" s="217"/>
      <c r="D3795" s="641" t="s">
        <v>20408</v>
      </c>
      <c r="E3795" s="471" t="s">
        <v>20402</v>
      </c>
      <c r="F3795" s="533">
        <v>1107</v>
      </c>
      <c r="G3795" s="470" t="s">
        <v>11380</v>
      </c>
      <c r="H3795" s="531" t="s">
        <v>302</v>
      </c>
      <c r="I3795" s="532">
        <v>0.33750000000000002</v>
      </c>
      <c r="J3795" s="473">
        <f t="shared" si="1847"/>
        <v>1.1100000000000001</v>
      </c>
      <c r="K3795" s="474">
        <f t="shared" si="1868"/>
        <v>0.37462500000000004</v>
      </c>
      <c r="L3795" s="475">
        <f t="shared" si="1855"/>
        <v>1.1100000000000001</v>
      </c>
      <c r="M3795" s="474">
        <f t="shared" si="1869"/>
        <v>0.37462500000000004</v>
      </c>
      <c r="O3795" s="434">
        <f t="shared" si="1852"/>
        <v>1.1100000000000001</v>
      </c>
      <c r="P3795" s="435">
        <f t="shared" si="1853"/>
        <v>1.1100000000000001</v>
      </c>
      <c r="AE3795" s="217"/>
      <c r="AF3795" s="217">
        <v>1453</v>
      </c>
      <c r="AH3795">
        <f t="shared" si="1865"/>
        <v>1453</v>
      </c>
    </row>
    <row r="3796" ht="45" hidden="1">
      <c r="A3796" s="217"/>
      <c r="B3796" s="217">
        <v>1453</v>
      </c>
      <c r="C3796" s="217"/>
      <c r="D3796" s="641" t="s">
        <v>20408</v>
      </c>
      <c r="E3796" s="471" t="s">
        <v>20405</v>
      </c>
      <c r="F3796" s="533">
        <v>4720</v>
      </c>
      <c r="G3796" s="470" t="s">
        <v>13718</v>
      </c>
      <c r="H3796" s="531" t="s">
        <v>15528</v>
      </c>
      <c r="I3796" s="532">
        <v>1.4999999999999999e-002</v>
      </c>
      <c r="J3796" s="473">
        <f t="shared" si="1847"/>
        <v>116.02</v>
      </c>
      <c r="K3796" s="474">
        <f t="shared" si="1868"/>
        <v>1.7403</v>
      </c>
      <c r="L3796" s="475">
        <f t="shared" si="1855"/>
        <v>116.02</v>
      </c>
      <c r="M3796" s="474">
        <f t="shared" si="1869"/>
        <v>1.7403</v>
      </c>
      <c r="O3796" s="434">
        <f t="shared" si="1852"/>
        <v>116.02</v>
      </c>
      <c r="P3796" s="435">
        <f t="shared" si="1853"/>
        <v>116.02</v>
      </c>
      <c r="AE3796" s="217"/>
      <c r="AF3796" s="217">
        <v>1453</v>
      </c>
      <c r="AH3796">
        <f t="shared" si="1865"/>
        <v>1453</v>
      </c>
    </row>
    <row r="3797" ht="105" hidden="1">
      <c r="A3797" s="217"/>
      <c r="B3797" s="217">
        <v>1453</v>
      </c>
      <c r="C3797" s="217"/>
      <c r="D3797" s="641" t="s">
        <v>17167</v>
      </c>
      <c r="E3797" s="471" t="s">
        <v>20409</v>
      </c>
      <c r="F3797" s="533">
        <v>92242</v>
      </c>
      <c r="G3797" s="470" t="s">
        <v>1587</v>
      </c>
      <c r="H3797" s="531" t="s">
        <v>1535</v>
      </c>
      <c r="I3797" s="532">
        <f>0.13/N3794</f>
        <v>1.9579999999999999e-004</v>
      </c>
      <c r="J3797" s="473">
        <f t="shared" si="1847"/>
        <v>444.67000000000002</v>
      </c>
      <c r="K3797" s="474">
        <f t="shared" si="1868"/>
        <v>8.7066385999999996e-002</v>
      </c>
      <c r="L3797" s="475">
        <f t="shared" si="1855"/>
        <v>442.68000000000001</v>
      </c>
      <c r="M3797" s="474">
        <f t="shared" si="1869"/>
        <v>8.6676744e-002</v>
      </c>
      <c r="O3797" s="434">
        <f t="shared" si="1852"/>
        <v>444.67000000000002</v>
      </c>
      <c r="P3797" s="435">
        <f t="shared" si="1853"/>
        <v>442.68000000000001</v>
      </c>
      <c r="AE3797" s="217"/>
      <c r="AF3797" s="217">
        <v>1453</v>
      </c>
      <c r="AH3797">
        <f t="shared" si="1865"/>
        <v>1453</v>
      </c>
    </row>
    <row r="3798" ht="105" hidden="1">
      <c r="A3798" s="217"/>
      <c r="B3798" s="217">
        <v>1453</v>
      </c>
      <c r="C3798" s="217"/>
      <c r="D3798" s="641" t="s">
        <v>17167</v>
      </c>
      <c r="E3798" s="471" t="s">
        <v>20663</v>
      </c>
      <c r="F3798" s="533">
        <v>92243</v>
      </c>
      <c r="G3798" s="470" t="s">
        <v>1586</v>
      </c>
      <c r="H3798" s="531" t="s">
        <v>1533</v>
      </c>
      <c r="I3798" s="532">
        <f>0.87/N3794</f>
        <v>1.3102000000000001e-003</v>
      </c>
      <c r="J3798" s="473">
        <f t="shared" si="1847"/>
        <v>78.340000000000003</v>
      </c>
      <c r="K3798" s="474">
        <f t="shared" si="1868"/>
        <v>0.10264106800000002</v>
      </c>
      <c r="L3798" s="475">
        <f t="shared" si="1855"/>
        <v>76.349999999999994</v>
      </c>
      <c r="M3798" s="474">
        <f t="shared" si="1869"/>
        <v>0.10003376999999999</v>
      </c>
      <c r="O3798" s="434">
        <f t="shared" si="1852"/>
        <v>78.340000000000003</v>
      </c>
      <c r="P3798" s="435">
        <f t="shared" si="1853"/>
        <v>76.349999999999994</v>
      </c>
      <c r="AE3798" s="217"/>
      <c r="AF3798" s="217">
        <v>1453</v>
      </c>
      <c r="AH3798">
        <f t="shared" si="1865"/>
        <v>1453</v>
      </c>
    </row>
    <row r="3799" ht="75" hidden="1">
      <c r="A3799" s="217"/>
      <c r="B3799" s="217">
        <v>1453</v>
      </c>
      <c r="C3799" s="217"/>
      <c r="D3799" s="641" t="s">
        <v>17167</v>
      </c>
      <c r="E3799" s="471" t="s">
        <v>20665</v>
      </c>
      <c r="F3799" s="533">
        <v>5940</v>
      </c>
      <c r="G3799" s="470" t="s">
        <v>1863</v>
      </c>
      <c r="H3799" s="531" t="s">
        <v>1535</v>
      </c>
      <c r="I3799" s="532">
        <f>0.06/N3794</f>
        <v>9.0400000000000002e-005</v>
      </c>
      <c r="J3799" s="473">
        <f t="shared" si="1847"/>
        <v>171.97999999999999</v>
      </c>
      <c r="K3799" s="474">
        <f t="shared" si="1868"/>
        <v>1.5546991999999999e-002</v>
      </c>
      <c r="L3799" s="475">
        <f t="shared" si="1855"/>
        <v>170.09</v>
      </c>
      <c r="M3799" s="474">
        <f t="shared" si="1869"/>
        <v>1.5376136e-002</v>
      </c>
      <c r="O3799" s="434">
        <f t="shared" si="1852"/>
        <v>171.97999999999999</v>
      </c>
      <c r="P3799" s="435">
        <f t="shared" si="1853"/>
        <v>170.09</v>
      </c>
      <c r="AE3799" s="217"/>
      <c r="AF3799" s="217">
        <v>1453</v>
      </c>
      <c r="AH3799">
        <f t="shared" si="1865"/>
        <v>1453</v>
      </c>
    </row>
    <row r="3800" ht="75" hidden="1">
      <c r="A3800" s="217"/>
      <c r="B3800" s="217">
        <v>1453</v>
      </c>
      <c r="C3800" s="217"/>
      <c r="D3800" s="641" t="s">
        <v>17167</v>
      </c>
      <c r="E3800" s="471" t="s">
        <v>20667</v>
      </c>
      <c r="F3800" s="533">
        <v>5942</v>
      </c>
      <c r="G3800" s="470" t="s">
        <v>1862</v>
      </c>
      <c r="H3800" s="531" t="s">
        <v>1533</v>
      </c>
      <c r="I3800" s="532">
        <f>0.94/N3794</f>
        <v>1.4157e-003</v>
      </c>
      <c r="J3800" s="473">
        <f t="shared" si="1847"/>
        <v>75.659999999999997</v>
      </c>
      <c r="K3800" s="474">
        <f t="shared" si="1868"/>
        <v>0.10711186199999999</v>
      </c>
      <c r="L3800" s="475">
        <f t="shared" si="1855"/>
        <v>73.769999999999996</v>
      </c>
      <c r="M3800" s="474">
        <f t="shared" si="1869"/>
        <v>0.104436189</v>
      </c>
      <c r="O3800" s="434">
        <f t="shared" si="1852"/>
        <v>75.659999999999997</v>
      </c>
      <c r="P3800" s="435">
        <f t="shared" si="1853"/>
        <v>73.769999999999996</v>
      </c>
      <c r="AE3800" s="217"/>
      <c r="AF3800" s="217">
        <v>1453</v>
      </c>
      <c r="AH3800">
        <f t="shared" si="1865"/>
        <v>1453</v>
      </c>
    </row>
    <row r="3801" ht="45" hidden="1">
      <c r="A3801" s="217"/>
      <c r="B3801" s="217">
        <v>1453</v>
      </c>
      <c r="C3801" s="217"/>
      <c r="D3801" s="641" t="s">
        <v>17167</v>
      </c>
      <c r="E3801" s="471" t="s">
        <v>20671</v>
      </c>
      <c r="F3801" s="533">
        <v>7030</v>
      </c>
      <c r="G3801" s="470" t="s">
        <v>21055</v>
      </c>
      <c r="H3801" s="531" t="s">
        <v>1535</v>
      </c>
      <c r="I3801" s="532">
        <f>1/N3794</f>
        <v>1.506e-003</v>
      </c>
      <c r="J3801" s="473">
        <f t="shared" si="1847"/>
        <v>303.69999999999999</v>
      </c>
      <c r="K3801" s="474">
        <f t="shared" si="1868"/>
        <v>0.45737219999999995</v>
      </c>
      <c r="L3801" s="475">
        <f t="shared" si="1855"/>
        <v>303.69999999999999</v>
      </c>
      <c r="M3801" s="474">
        <f t="shared" si="1869"/>
        <v>0.45737219999999995</v>
      </c>
      <c r="O3801" s="434">
        <f t="shared" si="1852"/>
        <v>303.69999999999999</v>
      </c>
      <c r="P3801" s="435">
        <f t="shared" si="1853"/>
        <v>303.69999999999999</v>
      </c>
      <c r="R3801" s="643" t="s">
        <v>22403</v>
      </c>
      <c r="AE3801" s="217"/>
      <c r="AF3801" s="217">
        <v>1453</v>
      </c>
      <c r="AH3801">
        <f t="shared" si="1865"/>
        <v>1453</v>
      </c>
    </row>
    <row r="3802" ht="90" hidden="1">
      <c r="A3802" s="217"/>
      <c r="B3802" s="217">
        <v>1453</v>
      </c>
      <c r="C3802" s="217"/>
      <c r="D3802" s="641" t="s">
        <v>17167</v>
      </c>
      <c r="E3802" s="471" t="s">
        <v>20672</v>
      </c>
      <c r="F3802" s="533">
        <v>5882</v>
      </c>
      <c r="G3802" s="470" t="s">
        <v>22404</v>
      </c>
      <c r="H3802" s="531" t="s">
        <v>1535</v>
      </c>
      <c r="I3802" s="532">
        <f>1/N3794</f>
        <v>1.506e-003</v>
      </c>
      <c r="J3802" s="473" t="e">
        <f t="shared" si="1847"/>
        <v>#VALUE!</v>
      </c>
      <c r="K3802" s="474" t="e">
        <f t="shared" si="1868"/>
        <v>#VALUE!</v>
      </c>
      <c r="L3802" s="475" t="e">
        <f t="shared" si="1855"/>
        <v>#VALUE!</v>
      </c>
      <c r="M3802" s="474" t="e">
        <f t="shared" si="1869"/>
        <v>#VALUE!</v>
      </c>
      <c r="O3802" s="434" t="str">
        <f t="shared" si="1852"/>
        <v xml:space="preserve">SEM VALOR</v>
      </c>
      <c r="P3802" s="435" t="str">
        <f t="shared" si="1853"/>
        <v xml:space="preserve">SEM VALOR</v>
      </c>
      <c r="AE3802" s="217"/>
      <c r="AF3802" s="217">
        <v>1453</v>
      </c>
      <c r="AH3802">
        <f t="shared" si="1865"/>
        <v>1453</v>
      </c>
    </row>
    <row r="3803" ht="30" hidden="1">
      <c r="A3803" s="217"/>
      <c r="B3803" s="217">
        <v>1453</v>
      </c>
      <c r="C3803" s="217"/>
      <c r="D3803" s="641" t="s">
        <v>17167</v>
      </c>
      <c r="E3803" s="471" t="s">
        <v>20673</v>
      </c>
      <c r="F3803" s="533">
        <v>88316</v>
      </c>
      <c r="G3803" s="470" t="s">
        <v>7393</v>
      </c>
      <c r="H3803" s="531" t="s">
        <v>2032</v>
      </c>
      <c r="I3803" s="532">
        <f>10/N3794</f>
        <v>1.5060199999999999e-002</v>
      </c>
      <c r="J3803" s="473">
        <f t="shared" si="1847"/>
        <v>22.760000000000002</v>
      </c>
      <c r="K3803" s="474">
        <f t="shared" si="1868"/>
        <v>0.34277015199999999</v>
      </c>
      <c r="L3803" s="475">
        <f t="shared" si="1855"/>
        <v>21.550000000000001</v>
      </c>
      <c r="M3803" s="474">
        <f t="shared" si="1869"/>
        <v>0.32454730999999998</v>
      </c>
      <c r="O3803" s="434">
        <f t="shared" si="1852"/>
        <v>22.760000000000002</v>
      </c>
      <c r="P3803" s="435">
        <f t="shared" si="1853"/>
        <v>21.550000000000001</v>
      </c>
      <c r="AE3803" s="217"/>
      <c r="AF3803" s="217">
        <v>1453</v>
      </c>
      <c r="AH3803">
        <f t="shared" si="1865"/>
        <v>1453</v>
      </c>
    </row>
    <row r="3804" ht="95.25" hidden="1" customHeight="1">
      <c r="A3804" s="460">
        <v>1454</v>
      </c>
      <c r="B3804" s="460">
        <v>1454</v>
      </c>
      <c r="C3804" s="460"/>
      <c r="D3804" s="460"/>
      <c r="E3804" s="461">
        <v>1</v>
      </c>
      <c r="F3804" s="462" t="s">
        <v>22405</v>
      </c>
      <c r="G3804" s="477" t="s">
        <v>22406</v>
      </c>
      <c r="H3804" s="478" t="s">
        <v>31</v>
      </c>
      <c r="I3804" s="479"/>
      <c r="J3804" s="480"/>
      <c r="K3804" s="466">
        <f>SUM(K3805:K3813)</f>
        <v>848.61774060000005</v>
      </c>
      <c r="L3804" s="480"/>
      <c r="M3804" s="466">
        <f>SUM(M3805:M3813)</f>
        <v>847.24873060000004</v>
      </c>
      <c r="O3804" s="434" t="str">
        <f t="shared" si="1852"/>
        <v xml:space="preserve">SEM VALOR</v>
      </c>
      <c r="P3804" s="435" t="str">
        <f t="shared" si="1853"/>
        <v xml:space="preserve">SEM VALOR</v>
      </c>
      <c r="AE3804" s="460">
        <v>1454</v>
      </c>
      <c r="AF3804" s="460"/>
      <c r="AH3804">
        <f t="shared" si="1865"/>
        <v>1454</v>
      </c>
    </row>
    <row r="3805" ht="30" hidden="1">
      <c r="A3805" s="217"/>
      <c r="B3805" s="217">
        <v>1454</v>
      </c>
      <c r="C3805" s="217"/>
      <c r="D3805" t="s">
        <v>20408</v>
      </c>
      <c r="E3805" s="471" t="s">
        <v>20399</v>
      </c>
      <c r="F3805" s="489">
        <v>34723</v>
      </c>
      <c r="G3805" s="470" t="s">
        <v>21184</v>
      </c>
      <c r="H3805" s="499" t="s">
        <v>15515</v>
      </c>
      <c r="I3805" s="483">
        <v>0.71999999999999997</v>
      </c>
      <c r="J3805" s="642">
        <f t="shared" si="1847"/>
        <v>997.91999999999996</v>
      </c>
      <c r="K3805" s="474">
        <f t="shared" ref="K3805:K3813" si="1870">I3805*J3805</f>
        <v>718.50239999999997</v>
      </c>
      <c r="L3805" s="642">
        <f t="shared" si="1855"/>
        <v>997.91999999999996</v>
      </c>
      <c r="M3805" s="474">
        <f t="shared" ref="M3805:M3813" si="1871">L3805*I3805</f>
        <v>718.50239999999997</v>
      </c>
      <c r="O3805" s="434">
        <f t="shared" si="1852"/>
        <v>997.91999999999996</v>
      </c>
      <c r="P3805" s="435">
        <f t="shared" si="1853"/>
        <v>997.91999999999996</v>
      </c>
      <c r="AE3805" s="217"/>
      <c r="AF3805" s="217">
        <v>1454</v>
      </c>
      <c r="AH3805">
        <f t="shared" si="1865"/>
        <v>1454</v>
      </c>
    </row>
    <row r="3806" ht="60" hidden="1">
      <c r="A3806" s="217"/>
      <c r="B3806" s="217">
        <v>1454</v>
      </c>
      <c r="C3806" s="217"/>
      <c r="D3806" s="641" t="s">
        <v>20408</v>
      </c>
      <c r="E3806" s="471" t="s">
        <v>20402</v>
      </c>
      <c r="F3806" s="489">
        <v>4433</v>
      </c>
      <c r="G3806" s="470" t="s">
        <v>22407</v>
      </c>
      <c r="H3806" s="499" t="s">
        <v>38</v>
      </c>
      <c r="I3806" s="483">
        <v>3.2000000000000002</v>
      </c>
      <c r="J3806" s="473">
        <f t="shared" ref="J3806:J3869" si="1872">O3806*$J$3</f>
        <v>28.940000000000001</v>
      </c>
      <c r="K3806" s="474">
        <f t="shared" si="1870"/>
        <v>92.608000000000004</v>
      </c>
      <c r="L3806" s="475">
        <f t="shared" si="1855"/>
        <v>28.940000000000001</v>
      </c>
      <c r="M3806" s="474">
        <f t="shared" si="1871"/>
        <v>92.608000000000004</v>
      </c>
      <c r="O3806" s="434">
        <f t="shared" si="1852"/>
        <v>28.940000000000001</v>
      </c>
      <c r="P3806" s="435">
        <f t="shared" si="1853"/>
        <v>28.940000000000001</v>
      </c>
      <c r="AE3806" s="217"/>
      <c r="AF3806" s="217">
        <v>1454</v>
      </c>
      <c r="AH3806">
        <f t="shared" si="1865"/>
        <v>1454</v>
      </c>
    </row>
    <row r="3807" ht="60" hidden="1">
      <c r="A3807" s="217"/>
      <c r="B3807" s="217">
        <v>1454</v>
      </c>
      <c r="C3807" s="217"/>
      <c r="D3807" s="641" t="s">
        <v>20398</v>
      </c>
      <c r="E3807" s="471" t="s">
        <v>20405</v>
      </c>
      <c r="F3807" s="489">
        <v>1241</v>
      </c>
      <c r="G3807" s="470" t="s">
        <v>21181</v>
      </c>
      <c r="H3807" s="499" t="s">
        <v>15528</v>
      </c>
      <c r="I3807" s="483">
        <v>2.9999999999999999e-002</v>
      </c>
      <c r="J3807" s="473">
        <f t="shared" si="1872"/>
        <v>453.00401999999997</v>
      </c>
      <c r="K3807" s="474">
        <f t="shared" si="1870"/>
        <v>13.590120599999999</v>
      </c>
      <c r="L3807" s="475">
        <f t="shared" si="1855"/>
        <v>445.74401999999998</v>
      </c>
      <c r="M3807" s="474">
        <f t="shared" si="1871"/>
        <v>13.372320599999998</v>
      </c>
      <c r="O3807" s="434">
        <f t="shared" si="1852"/>
        <v>453.00401999999997</v>
      </c>
      <c r="P3807" s="435">
        <f t="shared" si="1853"/>
        <v>445.74401999999998</v>
      </c>
      <c r="AE3807" s="217"/>
      <c r="AF3807" s="217">
        <v>1454</v>
      </c>
      <c r="AH3807">
        <f t="shared" si="1865"/>
        <v>1454</v>
      </c>
    </row>
    <row r="3808" ht="45" hidden="1">
      <c r="A3808" s="217"/>
      <c r="B3808" s="217">
        <v>1454</v>
      </c>
      <c r="C3808" s="217"/>
      <c r="D3808" s="641" t="s">
        <v>20398</v>
      </c>
      <c r="E3808" s="471" t="s">
        <v>20409</v>
      </c>
      <c r="F3808" s="489">
        <v>1243</v>
      </c>
      <c r="G3808" s="470" t="s">
        <v>21036</v>
      </c>
      <c r="H3808" s="499" t="s">
        <v>15515</v>
      </c>
      <c r="I3808" s="483">
        <v>0.5</v>
      </c>
      <c r="J3808" s="473">
        <f t="shared" si="1872"/>
        <v>10.1928</v>
      </c>
      <c r="K3808" s="474">
        <f t="shared" si="1870"/>
        <v>5.0964</v>
      </c>
      <c r="L3808" s="475">
        <f t="shared" si="1855"/>
        <v>9.6916499999999992</v>
      </c>
      <c r="M3808" s="474">
        <f t="shared" si="1871"/>
        <v>4.8458249999999996</v>
      </c>
      <c r="O3808" s="434">
        <f t="shared" si="1852"/>
        <v>10.1928</v>
      </c>
      <c r="P3808" s="435">
        <f t="shared" si="1853"/>
        <v>9.6916499999999992</v>
      </c>
      <c r="AE3808" s="217"/>
      <c r="AF3808" s="217">
        <v>1454</v>
      </c>
      <c r="AH3808">
        <f t="shared" si="1865"/>
        <v>1454</v>
      </c>
    </row>
    <row r="3809" ht="45" hidden="1">
      <c r="A3809" s="217"/>
      <c r="B3809" s="217">
        <v>1454</v>
      </c>
      <c r="C3809" s="217"/>
      <c r="D3809" s="641" t="s">
        <v>20398</v>
      </c>
      <c r="E3809" s="471" t="s">
        <v>20663</v>
      </c>
      <c r="F3809" s="482">
        <v>1259</v>
      </c>
      <c r="G3809" s="572" t="s">
        <v>20796</v>
      </c>
      <c r="H3809" s="482" t="s">
        <v>15528</v>
      </c>
      <c r="I3809" s="483">
        <v>2.9999999999999999e-002</v>
      </c>
      <c r="J3809" s="473">
        <f t="shared" si="1872"/>
        <v>45.520000000000003</v>
      </c>
      <c r="K3809" s="474">
        <f t="shared" si="1870"/>
        <v>1.3656000000000001</v>
      </c>
      <c r="L3809" s="475">
        <f t="shared" si="1855"/>
        <v>43.100000000000001</v>
      </c>
      <c r="M3809" s="474">
        <f t="shared" si="1871"/>
        <v>1.2929999999999999</v>
      </c>
      <c r="O3809" s="434">
        <f t="shared" si="1852"/>
        <v>45.520000000000003</v>
      </c>
      <c r="P3809" s="435">
        <f t="shared" si="1853"/>
        <v>43.100000000000001</v>
      </c>
      <c r="AE3809" s="217"/>
      <c r="AF3809" s="217">
        <v>1454</v>
      </c>
      <c r="AH3809">
        <f t="shared" si="1865"/>
        <v>1454</v>
      </c>
    </row>
    <row r="3810" ht="105" hidden="1">
      <c r="A3810" s="217"/>
      <c r="B3810" s="217">
        <v>1454</v>
      </c>
      <c r="C3810" s="217"/>
      <c r="D3810" s="641" t="s">
        <v>17167</v>
      </c>
      <c r="E3810" s="471" t="s">
        <v>20665</v>
      </c>
      <c r="F3810" s="489">
        <v>73467</v>
      </c>
      <c r="G3810" s="470" t="s">
        <v>1601</v>
      </c>
      <c r="H3810" s="482" t="s">
        <v>1535</v>
      </c>
      <c r="I3810" s="483">
        <v>1.e-002</v>
      </c>
      <c r="J3810" s="473">
        <f t="shared" si="1872"/>
        <v>270.61000000000001</v>
      </c>
      <c r="K3810" s="474">
        <f t="shared" si="1870"/>
        <v>2.7061000000000002</v>
      </c>
      <c r="L3810" s="475">
        <f t="shared" si="1855"/>
        <v>269.00999999999999</v>
      </c>
      <c r="M3810" s="474">
        <f t="shared" si="1871"/>
        <v>2.6901000000000002</v>
      </c>
      <c r="O3810" s="434">
        <f t="shared" si="1852"/>
        <v>270.61000000000001</v>
      </c>
      <c r="P3810" s="435">
        <f t="shared" si="1853"/>
        <v>269.00999999999999</v>
      </c>
      <c r="AE3810" s="217"/>
      <c r="AF3810" s="217">
        <v>1454</v>
      </c>
      <c r="AH3810">
        <f t="shared" si="1865"/>
        <v>1454</v>
      </c>
    </row>
    <row r="3811" ht="45" hidden="1">
      <c r="A3811" s="217"/>
      <c r="B3811" s="217">
        <v>1454</v>
      </c>
      <c r="C3811" s="217"/>
      <c r="D3811" s="641" t="s">
        <v>20398</v>
      </c>
      <c r="E3811" s="471" t="s">
        <v>20667</v>
      </c>
      <c r="F3811" s="482">
        <v>1000</v>
      </c>
      <c r="G3811" s="470" t="s">
        <v>20651</v>
      </c>
      <c r="H3811" s="482" t="s">
        <v>15528</v>
      </c>
      <c r="I3811" s="483">
        <v>2.9999999999999999e-002</v>
      </c>
      <c r="J3811" s="473">
        <f t="shared" si="1872"/>
        <v>149.904</v>
      </c>
      <c r="K3811" s="474">
        <f t="shared" si="1870"/>
        <v>4.4971199999999998</v>
      </c>
      <c r="L3811" s="475">
        <f t="shared" si="1855"/>
        <v>141.76949999999999</v>
      </c>
      <c r="M3811" s="474">
        <f t="shared" si="1871"/>
        <v>4.2530849999999996</v>
      </c>
      <c r="O3811" s="434">
        <f t="shared" si="1852"/>
        <v>149.904</v>
      </c>
      <c r="P3811" s="435">
        <f t="shared" si="1853"/>
        <v>141.76949999999999</v>
      </c>
      <c r="AE3811" s="217"/>
      <c r="AF3811" s="217">
        <v>1454</v>
      </c>
      <c r="AH3811">
        <f t="shared" si="1865"/>
        <v>1454</v>
      </c>
    </row>
    <row r="3812" ht="30" hidden="1">
      <c r="A3812" s="217"/>
      <c r="B3812" s="217">
        <v>1454</v>
      </c>
      <c r="C3812" s="217"/>
      <c r="D3812" s="641" t="s">
        <v>17167</v>
      </c>
      <c r="E3812" s="471" t="s">
        <v>20671</v>
      </c>
      <c r="F3812" s="489">
        <v>88309</v>
      </c>
      <c r="G3812" s="470" t="s">
        <v>7385</v>
      </c>
      <c r="H3812" s="482" t="s">
        <v>2032</v>
      </c>
      <c r="I3812" s="483">
        <v>0.20000000000000001</v>
      </c>
      <c r="J3812" s="473">
        <f t="shared" si="1872"/>
        <v>28.5</v>
      </c>
      <c r="K3812" s="474">
        <f t="shared" si="1870"/>
        <v>5.7000000000000002</v>
      </c>
      <c r="L3812" s="475">
        <f t="shared" si="1855"/>
        <v>26.870000000000001</v>
      </c>
      <c r="M3812" s="474">
        <f t="shared" si="1871"/>
        <v>5.3740000000000006</v>
      </c>
      <c r="O3812" s="434">
        <f t="shared" si="1852"/>
        <v>28.5</v>
      </c>
      <c r="P3812" s="435">
        <f t="shared" si="1853"/>
        <v>26.870000000000001</v>
      </c>
      <c r="AE3812" s="217"/>
      <c r="AF3812" s="217">
        <v>1454</v>
      </c>
      <c r="AH3812">
        <f t="shared" si="1865"/>
        <v>1454</v>
      </c>
    </row>
    <row r="3813" ht="30" hidden="1">
      <c r="A3813" s="217"/>
      <c r="B3813" s="217">
        <v>1454</v>
      </c>
      <c r="C3813" s="217"/>
      <c r="D3813" s="641" t="s">
        <v>17167</v>
      </c>
      <c r="E3813" s="471" t="s">
        <v>20672</v>
      </c>
      <c r="F3813" s="489">
        <v>88316</v>
      </c>
      <c r="G3813" s="470" t="s">
        <v>7393</v>
      </c>
      <c r="H3813" s="482" t="s">
        <v>2032</v>
      </c>
      <c r="I3813" s="483">
        <v>0.20000000000000001</v>
      </c>
      <c r="J3813" s="473">
        <f t="shared" si="1872"/>
        <v>22.760000000000002</v>
      </c>
      <c r="K3813" s="474">
        <f t="shared" si="1870"/>
        <v>4.5520000000000005</v>
      </c>
      <c r="L3813" s="475">
        <f t="shared" si="1855"/>
        <v>21.550000000000001</v>
      </c>
      <c r="M3813" s="474">
        <f t="shared" si="1871"/>
        <v>4.3100000000000005</v>
      </c>
      <c r="O3813" s="434">
        <f t="shared" si="1852"/>
        <v>22.760000000000002</v>
      </c>
      <c r="P3813" s="435">
        <f t="shared" si="1853"/>
        <v>21.550000000000001</v>
      </c>
      <c r="AE3813" s="217"/>
      <c r="AF3813" s="217">
        <v>1454</v>
      </c>
      <c r="AH3813">
        <f t="shared" si="1865"/>
        <v>1454</v>
      </c>
    </row>
    <row r="3814" ht="78.75" hidden="1">
      <c r="A3814" s="460">
        <v>1455</v>
      </c>
      <c r="B3814" s="460">
        <v>1455</v>
      </c>
      <c r="C3814" s="460"/>
      <c r="D3814" s="460"/>
      <c r="E3814" s="461">
        <v>1</v>
      </c>
      <c r="F3814" s="462" t="s">
        <v>22408</v>
      </c>
      <c r="G3814" s="477" t="s">
        <v>22409</v>
      </c>
      <c r="H3814" s="478" t="s">
        <v>38</v>
      </c>
      <c r="I3814" s="479"/>
      <c r="J3814" s="480"/>
      <c r="K3814" s="466">
        <f>SUM(K3815:K3819)</f>
        <v>41.628175999999996</v>
      </c>
      <c r="L3814" s="480"/>
      <c r="M3814" s="466">
        <f>SUM(M3815:M3819)</f>
        <v>41.001279750000002</v>
      </c>
      <c r="O3814" s="434" t="str">
        <f t="shared" si="1852"/>
        <v xml:space="preserve">SEM VALOR</v>
      </c>
      <c r="P3814" s="435" t="str">
        <f t="shared" si="1853"/>
        <v xml:space="preserve">SEM VALOR</v>
      </c>
      <c r="AE3814" s="460">
        <v>1455</v>
      </c>
      <c r="AF3814" s="460"/>
      <c r="AH3814">
        <f t="shared" si="1865"/>
        <v>1455</v>
      </c>
    </row>
    <row r="3815" ht="45" hidden="1">
      <c r="A3815" s="217"/>
      <c r="B3815" s="217">
        <v>1455</v>
      </c>
      <c r="C3815" s="217"/>
      <c r="D3815" s="641" t="s">
        <v>20398</v>
      </c>
      <c r="E3815" s="471" t="s">
        <v>20399</v>
      </c>
      <c r="F3815" s="482">
        <v>1259</v>
      </c>
      <c r="G3815" s="572" t="s">
        <v>20796</v>
      </c>
      <c r="H3815" s="499" t="s">
        <v>15528</v>
      </c>
      <c r="I3815" s="483">
        <v>4.6199999999999998e-002</v>
      </c>
      <c r="J3815" s="473">
        <f t="shared" si="1872"/>
        <v>45.520000000000003</v>
      </c>
      <c r="K3815" s="474">
        <f t="shared" ref="K3815:K3819" si="1873">I3815*J3815</f>
        <v>2.103024</v>
      </c>
      <c r="L3815" s="475">
        <f t="shared" si="1855"/>
        <v>43.100000000000001</v>
      </c>
      <c r="M3815" s="474">
        <f t="shared" ref="M3815:M3819" si="1874">L3815*I3815</f>
        <v>1.99122</v>
      </c>
      <c r="O3815" s="434">
        <f t="shared" si="1852"/>
        <v>45.520000000000003</v>
      </c>
      <c r="P3815" s="435">
        <f t="shared" si="1853"/>
        <v>43.100000000000001</v>
      </c>
      <c r="AE3815" s="217"/>
      <c r="AF3815" s="217">
        <v>1455</v>
      </c>
      <c r="AH3815">
        <f t="shared" si="1865"/>
        <v>1455</v>
      </c>
    </row>
    <row r="3816" ht="75" hidden="1">
      <c r="A3816" s="217"/>
      <c r="B3816" s="217">
        <v>1455</v>
      </c>
      <c r="C3816" s="217"/>
      <c r="D3816" s="641" t="s">
        <v>20398</v>
      </c>
      <c r="E3816" s="471" t="s">
        <v>20402</v>
      </c>
      <c r="F3816" s="482">
        <v>1267</v>
      </c>
      <c r="G3816" s="572" t="s">
        <v>20662</v>
      </c>
      <c r="H3816" s="499" t="s">
        <v>38</v>
      </c>
      <c r="I3816" s="483">
        <v>1</v>
      </c>
      <c r="J3816" s="473">
        <f t="shared" si="1872"/>
        <v>3.2499999999999996</v>
      </c>
      <c r="K3816" s="474">
        <f t="shared" si="1873"/>
        <v>3.2499999999999996</v>
      </c>
      <c r="L3816" s="475">
        <f t="shared" si="1855"/>
        <v>3.1657000000000002</v>
      </c>
      <c r="M3816" s="474">
        <f t="shared" si="1874"/>
        <v>3.1657000000000002</v>
      </c>
      <c r="O3816" s="434">
        <f t="shared" si="1852"/>
        <v>3.2499999999999996</v>
      </c>
      <c r="P3816" s="435">
        <f t="shared" si="1853"/>
        <v>3.1657000000000002</v>
      </c>
      <c r="AE3816" s="217"/>
      <c r="AF3816" s="217">
        <v>1455</v>
      </c>
      <c r="AH3816">
        <f t="shared" si="1865"/>
        <v>1455</v>
      </c>
    </row>
    <row r="3817" ht="45" hidden="1">
      <c r="A3817" s="217"/>
      <c r="B3817" s="217">
        <v>1455</v>
      </c>
      <c r="C3817" s="217"/>
      <c r="D3817" s="641" t="s">
        <v>17167</v>
      </c>
      <c r="E3817" s="471" t="s">
        <v>20405</v>
      </c>
      <c r="F3817" s="482">
        <v>102498</v>
      </c>
      <c r="G3817" s="470" t="s">
        <v>8369</v>
      </c>
      <c r="H3817" s="499" t="s">
        <v>15515</v>
      </c>
      <c r="I3817" s="483">
        <v>0.25</v>
      </c>
      <c r="J3817" s="473">
        <f t="shared" si="1872"/>
        <v>1.7</v>
      </c>
      <c r="K3817" s="474">
        <f t="shared" si="1873"/>
        <v>0.42499999999999999</v>
      </c>
      <c r="L3817" s="475">
        <f t="shared" si="1855"/>
        <v>1.6200000000000001</v>
      </c>
      <c r="M3817" s="474">
        <f t="shared" si="1874"/>
        <v>0.40500000000000003</v>
      </c>
      <c r="O3817" s="434">
        <f t="shared" si="1852"/>
        <v>1.7</v>
      </c>
      <c r="P3817" s="435">
        <f t="shared" si="1853"/>
        <v>1.6200000000000001</v>
      </c>
      <c r="AE3817" s="217"/>
      <c r="AF3817" s="217">
        <v>1455</v>
      </c>
      <c r="AH3817">
        <f t="shared" si="1865"/>
        <v>1455</v>
      </c>
    </row>
    <row r="3818" ht="45" hidden="1">
      <c r="A3818" s="217"/>
      <c r="B3818" s="217">
        <v>1455</v>
      </c>
      <c r="C3818" s="217"/>
      <c r="D3818" s="641" t="s">
        <v>20398</v>
      </c>
      <c r="E3818" s="471" t="s">
        <v>20409</v>
      </c>
      <c r="F3818" s="482">
        <v>1000</v>
      </c>
      <c r="G3818" s="470" t="s">
        <v>20651</v>
      </c>
      <c r="H3818" s="499" t="s">
        <v>15528</v>
      </c>
      <c r="I3818" s="483">
        <f>I3819</f>
        <v>5.0500000000000003e-002</v>
      </c>
      <c r="J3818" s="473">
        <f t="shared" si="1872"/>
        <v>149.904</v>
      </c>
      <c r="K3818" s="474">
        <f t="shared" si="1873"/>
        <v>7.5701520000000002</v>
      </c>
      <c r="L3818" s="475">
        <f t="shared" si="1855"/>
        <v>141.76949999999999</v>
      </c>
      <c r="M3818" s="474">
        <f t="shared" si="1874"/>
        <v>7.1593597500000001</v>
      </c>
      <c r="O3818" s="434">
        <f t="shared" si="1852"/>
        <v>149.904</v>
      </c>
      <c r="P3818" s="435">
        <f t="shared" si="1853"/>
        <v>141.76949999999999</v>
      </c>
      <c r="AE3818" s="217"/>
      <c r="AF3818" s="217">
        <v>1455</v>
      </c>
      <c r="AH3818">
        <f t="shared" si="1865"/>
        <v>1455</v>
      </c>
    </row>
    <row r="3819" ht="75" hidden="1">
      <c r="A3819" s="217"/>
      <c r="B3819" s="217">
        <v>1455</v>
      </c>
      <c r="C3819" s="217"/>
      <c r="D3819" s="641" t="s">
        <v>20408</v>
      </c>
      <c r="E3819" s="471" t="s">
        <v>20663</v>
      </c>
      <c r="F3819" s="482">
        <v>34492</v>
      </c>
      <c r="G3819" s="470" t="s">
        <v>11636</v>
      </c>
      <c r="H3819" s="482" t="s">
        <v>15528</v>
      </c>
      <c r="I3819" s="483">
        <v>5.0500000000000003e-002</v>
      </c>
      <c r="J3819" s="473">
        <f t="shared" si="1872"/>
        <v>560</v>
      </c>
      <c r="K3819" s="474">
        <f t="shared" si="1873"/>
        <v>28.280000000000001</v>
      </c>
      <c r="L3819" s="475">
        <f t="shared" si="1855"/>
        <v>560</v>
      </c>
      <c r="M3819" s="474">
        <f t="shared" si="1874"/>
        <v>28.280000000000001</v>
      </c>
      <c r="O3819" s="434">
        <f t="shared" si="1852"/>
        <v>560</v>
      </c>
      <c r="P3819" s="435">
        <f t="shared" si="1853"/>
        <v>560</v>
      </c>
      <c r="AE3819" s="217"/>
      <c r="AF3819" s="217">
        <v>1455</v>
      </c>
      <c r="AH3819">
        <f t="shared" si="1865"/>
        <v>1455</v>
      </c>
    </row>
    <row r="3820" ht="78.75" hidden="1">
      <c r="A3820" s="460">
        <v>1456</v>
      </c>
      <c r="B3820" s="460">
        <v>1456</v>
      </c>
      <c r="C3820" s="460"/>
      <c r="D3820" s="460"/>
      <c r="E3820" s="461">
        <v>1</v>
      </c>
      <c r="F3820" s="462" t="s">
        <v>22410</v>
      </c>
      <c r="G3820" s="477" t="s">
        <v>22411</v>
      </c>
      <c r="H3820" s="478" t="s">
        <v>38</v>
      </c>
      <c r="I3820" s="479"/>
      <c r="J3820" s="480"/>
      <c r="K3820" s="466">
        <f>SUM(K3821:K3828)</f>
        <v>124.53528439999999</v>
      </c>
      <c r="L3820" s="480"/>
      <c r="M3820" s="466">
        <f>SUM(M3821:M3828)</f>
        <v>121.40932411200001</v>
      </c>
      <c r="N3820" s="467" t="s">
        <v>22412</v>
      </c>
      <c r="O3820" s="434" t="str">
        <f t="shared" ref="O3820:O3883" si="1875">IFERROR(IF(D3820="SINAPI",VLOOKUP(F3820,SINCOMOD,4,FALSE),IF(D3820="INSINAPI",VLOOKUP(F3820,INSINOD,5,FALSE),IF(D3820="SICRO",VLOOKUP(F3820,SICRO,5,FALSE),IF(D3820="COTACAO",VLOOKUP(F3820,COTACAO,6,FALSE),IF(D3820="PRÓPRIO",VLOOKUP(F3820,COMPOD,11,FALSE),IF(D3820="AGESUL",VLOOKUP(F3820,AGESULOD,6,FALSE),IF(D3820="INSAGESUL",VLOOKUP(F3820,INSAGESUL,7,FALSE),"SEM VALOR"))))))),"SEM VALOR")</f>
        <v xml:space="preserve">SEM VALOR</v>
      </c>
      <c r="P3820" s="435" t="str">
        <f t="shared" ref="P3820:P3883" si="1876">IFERROR(IF(D3820="SINAPI",VLOOKUP(F3820,SINCOMOD,6,FALSE),IF(D3820="INSINAPI",VLOOKUP(F3820,INSINOD,6,FALSE),IF(D3820="SICRO",VLOOKUP(F3820,SICRO,5,FALSE),IF(D3820="COTACAO",VLOOKUP(F3820,COTACAO,6,FALSE),IF(D3820="PRÓPRIO",VLOOKUP(F3820,COMPOD,13,FALSE),IF(D3820="AGESUL",VLOOKUP(F3820,AGESULOD,11,FALSE),IF(D3820="INSAGESUL",VLOOKUP(F3820,INSAGESUL,8,FALSE),"SEM VALOR"))))))),"SEM VALOR")</f>
        <v xml:space="preserve">SEM VALOR</v>
      </c>
      <c r="AE3820" s="460">
        <v>1456</v>
      </c>
      <c r="AF3820" s="460"/>
      <c r="AH3820">
        <f t="shared" si="1865"/>
        <v>1456</v>
      </c>
    </row>
    <row r="3821" ht="45" hidden="1">
      <c r="A3821" s="217"/>
      <c r="B3821" s="217">
        <v>1456</v>
      </c>
      <c r="C3821" s="217"/>
      <c r="D3821" s="641" t="s">
        <v>17167</v>
      </c>
      <c r="E3821" s="471" t="s">
        <v>20399</v>
      </c>
      <c r="F3821" s="486">
        <v>101616</v>
      </c>
      <c r="G3821" s="470" t="s">
        <v>21414</v>
      </c>
      <c r="H3821" s="482" t="s">
        <v>15515</v>
      </c>
      <c r="I3821" s="483">
        <v>1.7411000000000001</v>
      </c>
      <c r="J3821" s="473">
        <f t="shared" si="1872"/>
        <v>7.7800000000000002</v>
      </c>
      <c r="K3821" s="474">
        <f t="shared" ref="K3821:K3828" si="1877">I3821*J3821</f>
        <v>13.545758000000001</v>
      </c>
      <c r="L3821" s="475">
        <f t="shared" ref="L3821:L3884" si="1878">P3821*$L$3</f>
        <v>7.3499999999999996</v>
      </c>
      <c r="M3821" s="474">
        <f t="shared" ref="M3821:M3828" si="1879">L3821*I3821</f>
        <v>12.797085000000001</v>
      </c>
      <c r="O3821" s="434">
        <f t="shared" si="1875"/>
        <v>7.7800000000000002</v>
      </c>
      <c r="P3821" s="435">
        <f t="shared" si="1876"/>
        <v>7.3499999999999996</v>
      </c>
      <c r="AE3821" s="217"/>
      <c r="AF3821" s="217">
        <v>1456</v>
      </c>
      <c r="AH3821">
        <f t="shared" si="1865"/>
        <v>1456</v>
      </c>
    </row>
    <row r="3822" ht="60" hidden="1">
      <c r="A3822" s="217"/>
      <c r="B3822" s="217">
        <v>1456</v>
      </c>
      <c r="C3822" s="217"/>
      <c r="D3822" s="641" t="s">
        <v>17167</v>
      </c>
      <c r="E3822" s="471" t="s">
        <v>20402</v>
      </c>
      <c r="F3822" s="486">
        <v>88628</v>
      </c>
      <c r="G3822" s="470" t="s">
        <v>219</v>
      </c>
      <c r="H3822" s="482" t="s">
        <v>15528</v>
      </c>
      <c r="I3822" s="483">
        <v>1.e-004</v>
      </c>
      <c r="J3822" s="473">
        <f t="shared" si="1872"/>
        <v>579.97000000000003</v>
      </c>
      <c r="K3822" s="474">
        <f t="shared" si="1877"/>
        <v>5.7997000000000007e-002</v>
      </c>
      <c r="L3822" s="475">
        <f t="shared" si="1878"/>
        <v>574.25999999999999</v>
      </c>
      <c r="M3822" s="474">
        <f t="shared" si="1879"/>
        <v>5.7426000000000005e-002</v>
      </c>
      <c r="O3822" s="434">
        <f t="shared" si="1875"/>
        <v>579.97000000000003</v>
      </c>
      <c r="P3822" s="435">
        <f t="shared" si="1876"/>
        <v>574.25999999999999</v>
      </c>
      <c r="AE3822" s="217"/>
      <c r="AF3822" s="217">
        <v>1456</v>
      </c>
      <c r="AH3822">
        <f t="shared" si="1865"/>
        <v>1456</v>
      </c>
    </row>
    <row r="3823" ht="60" hidden="1">
      <c r="A3823" s="217"/>
      <c r="B3823" s="217">
        <v>1456</v>
      </c>
      <c r="C3823" s="217"/>
      <c r="D3823" s="641" t="s">
        <v>20398</v>
      </c>
      <c r="E3823" s="471" t="s">
        <v>20405</v>
      </c>
      <c r="F3823" s="486">
        <v>1258</v>
      </c>
      <c r="G3823" s="488" t="s">
        <v>20660</v>
      </c>
      <c r="H3823" s="482" t="s">
        <v>15515</v>
      </c>
      <c r="I3823" s="483">
        <v>0.39760000000000001</v>
      </c>
      <c r="J3823" s="473">
        <f t="shared" si="1872"/>
        <v>7.5700000000000003</v>
      </c>
      <c r="K3823" s="474">
        <f t="shared" si="1877"/>
        <v>3.0098320000000003</v>
      </c>
      <c r="L3823" s="475">
        <f t="shared" si="1878"/>
        <v>7.1846199999999998</v>
      </c>
      <c r="M3823" s="474">
        <f t="shared" si="1879"/>
        <v>2.8566049119999999</v>
      </c>
      <c r="O3823" s="434">
        <f t="shared" si="1875"/>
        <v>7.5700000000000003</v>
      </c>
      <c r="P3823" s="435">
        <f t="shared" si="1876"/>
        <v>7.1846199999999998</v>
      </c>
      <c r="AE3823" s="217"/>
      <c r="AF3823" s="217">
        <v>1456</v>
      </c>
      <c r="AH3823">
        <f t="shared" si="1865"/>
        <v>1456</v>
      </c>
    </row>
    <row r="3824" ht="60" hidden="1">
      <c r="A3824" s="217"/>
      <c r="B3824" s="217">
        <v>1456</v>
      </c>
      <c r="C3824" s="217"/>
      <c r="D3824" s="641" t="s">
        <v>17167</v>
      </c>
      <c r="E3824" s="471" t="s">
        <v>20409</v>
      </c>
      <c r="F3824" s="469">
        <v>94964</v>
      </c>
      <c r="G3824" s="470" t="s">
        <v>8711</v>
      </c>
      <c r="H3824" s="482" t="s">
        <v>15528</v>
      </c>
      <c r="I3824" s="483">
        <v>0.12759999999999999</v>
      </c>
      <c r="J3824" s="473">
        <f t="shared" si="1872"/>
        <v>488.52999999999997</v>
      </c>
      <c r="K3824" s="474">
        <f t="shared" si="1877"/>
        <v>62.336427999999991</v>
      </c>
      <c r="L3824" s="475">
        <f t="shared" si="1878"/>
        <v>482.79000000000002</v>
      </c>
      <c r="M3824" s="474">
        <f t="shared" si="1879"/>
        <v>61.604003999999996</v>
      </c>
      <c r="O3824" s="434">
        <f t="shared" si="1875"/>
        <v>488.52999999999997</v>
      </c>
      <c r="P3824" s="435">
        <f t="shared" si="1876"/>
        <v>482.79000000000002</v>
      </c>
      <c r="AE3824" s="217"/>
      <c r="AF3824" s="217">
        <v>1456</v>
      </c>
      <c r="AH3824">
        <f t="shared" si="1865"/>
        <v>1456</v>
      </c>
    </row>
    <row r="3825" ht="45" hidden="1">
      <c r="A3825" s="217"/>
      <c r="B3825" s="217">
        <v>1456</v>
      </c>
      <c r="C3825" s="217"/>
      <c r="D3825" s="641" t="s">
        <v>20398</v>
      </c>
      <c r="E3825" s="471" t="s">
        <v>20663</v>
      </c>
      <c r="F3825" s="469">
        <v>1000</v>
      </c>
      <c r="G3825" s="488" t="s">
        <v>20651</v>
      </c>
      <c r="H3825" s="482" t="s">
        <v>15528</v>
      </c>
      <c r="I3825" s="483">
        <f>I3824</f>
        <v>0.12759999999999999</v>
      </c>
      <c r="J3825" s="473">
        <f t="shared" si="1872"/>
        <v>149.904</v>
      </c>
      <c r="K3825" s="474">
        <f t="shared" si="1877"/>
        <v>19.127750399999996</v>
      </c>
      <c r="L3825" s="475">
        <f t="shared" si="1878"/>
        <v>141.76949999999999</v>
      </c>
      <c r="M3825" s="474">
        <f t="shared" si="1879"/>
        <v>18.089788199999997</v>
      </c>
      <c r="O3825" s="434">
        <f t="shared" si="1875"/>
        <v>149.904</v>
      </c>
      <c r="P3825" s="435">
        <f t="shared" si="1876"/>
        <v>141.76949999999999</v>
      </c>
      <c r="AE3825" s="217"/>
      <c r="AF3825" s="217">
        <v>1456</v>
      </c>
      <c r="AH3825">
        <f t="shared" si="1865"/>
        <v>1456</v>
      </c>
    </row>
    <row r="3826" ht="30" hidden="1">
      <c r="A3826" s="217"/>
      <c r="B3826" s="217">
        <v>1456</v>
      </c>
      <c r="C3826" s="217"/>
      <c r="D3826" s="641" t="s">
        <v>17167</v>
      </c>
      <c r="E3826" s="471" t="s">
        <v>20665</v>
      </c>
      <c r="F3826" s="469">
        <v>98504</v>
      </c>
      <c r="G3826" s="470" t="s">
        <v>7872</v>
      </c>
      <c r="H3826" s="482" t="s">
        <v>15515</v>
      </c>
      <c r="I3826" s="483">
        <v>1.7411000000000001</v>
      </c>
      <c r="J3826" s="473">
        <f t="shared" si="1872"/>
        <v>11.390000000000001</v>
      </c>
      <c r="K3826" s="474">
        <f t="shared" si="1877"/>
        <v>19.831129000000001</v>
      </c>
      <c r="L3826" s="475">
        <f t="shared" si="1878"/>
        <v>11.18</v>
      </c>
      <c r="M3826" s="474">
        <f t="shared" si="1879"/>
        <v>19.465498</v>
      </c>
      <c r="O3826" s="434">
        <f t="shared" si="1875"/>
        <v>11.390000000000001</v>
      </c>
      <c r="P3826" s="435">
        <f t="shared" si="1876"/>
        <v>11.18</v>
      </c>
      <c r="AE3826" s="217"/>
      <c r="AF3826" s="217">
        <v>1456</v>
      </c>
      <c r="AH3826">
        <f t="shared" si="1865"/>
        <v>1456</v>
      </c>
    </row>
    <row r="3827" ht="120" hidden="1">
      <c r="A3827" s="217"/>
      <c r="B3827" s="217">
        <v>1456</v>
      </c>
      <c r="C3827" s="217"/>
      <c r="D3827" s="641" t="s">
        <v>17167</v>
      </c>
      <c r="E3827" s="471" t="s">
        <v>20667</v>
      </c>
      <c r="F3827" s="469">
        <v>90106</v>
      </c>
      <c r="G3827" s="470" t="s">
        <v>22413</v>
      </c>
      <c r="H3827" s="482" t="s">
        <v>15528</v>
      </c>
      <c r="I3827" s="483">
        <v>0.39760000000000001</v>
      </c>
      <c r="J3827" s="473">
        <f t="shared" si="1872"/>
        <v>8.6300000000000008</v>
      </c>
      <c r="K3827" s="474">
        <f t="shared" si="1877"/>
        <v>3.4312880000000003</v>
      </c>
      <c r="L3827" s="475">
        <f t="shared" si="1878"/>
        <v>8.4100000000000001</v>
      </c>
      <c r="M3827" s="474">
        <f t="shared" si="1879"/>
        <v>3.3438160000000003</v>
      </c>
      <c r="O3827" s="434">
        <f t="shared" si="1875"/>
        <v>8.6300000000000008</v>
      </c>
      <c r="P3827" s="435">
        <f t="shared" si="1876"/>
        <v>8.4100000000000001</v>
      </c>
      <c r="AE3827" s="217"/>
      <c r="AF3827" s="217">
        <v>1456</v>
      </c>
      <c r="AH3827">
        <f t="shared" si="1865"/>
        <v>1456</v>
      </c>
    </row>
    <row r="3828" ht="30" hidden="1">
      <c r="A3828" s="217"/>
      <c r="B3828" s="217">
        <v>1456</v>
      </c>
      <c r="C3828" s="217"/>
      <c r="D3828" s="641" t="s">
        <v>20644</v>
      </c>
      <c r="E3828" s="471" t="s">
        <v>20671</v>
      </c>
      <c r="F3828" s="486">
        <v>3108022</v>
      </c>
      <c r="G3828" s="470" t="s">
        <v>21450</v>
      </c>
      <c r="H3828" s="482" t="s">
        <v>38</v>
      </c>
      <c r="I3828" s="483">
        <v>0.87060000000000004</v>
      </c>
      <c r="J3828" s="473">
        <f t="shared" si="1872"/>
        <v>3.6699999999999999</v>
      </c>
      <c r="K3828" s="474">
        <f t="shared" si="1877"/>
        <v>3.1951019999999999</v>
      </c>
      <c r="L3828" s="475">
        <f t="shared" si="1878"/>
        <v>3.6699999999999999</v>
      </c>
      <c r="M3828" s="474">
        <f t="shared" si="1879"/>
        <v>3.1951019999999999</v>
      </c>
      <c r="O3828" s="434">
        <f t="shared" si="1875"/>
        <v>3.6699999999999999</v>
      </c>
      <c r="P3828" s="435">
        <f t="shared" si="1876"/>
        <v>3.6699999999999999</v>
      </c>
      <c r="AE3828" s="217"/>
      <c r="AF3828" s="217">
        <v>1456</v>
      </c>
      <c r="AH3828">
        <f t="shared" si="1865"/>
        <v>1456</v>
      </c>
    </row>
    <row r="3829" ht="45.75" hidden="1">
      <c r="A3829" s="217"/>
      <c r="B3829" s="217">
        <v>1456</v>
      </c>
      <c r="C3829" s="217"/>
      <c r="D3829" s="641"/>
      <c r="E3829" s="471"/>
      <c r="F3829" s="482"/>
      <c r="G3829" s="470" t="s">
        <v>22414</v>
      </c>
      <c r="H3829" s="499"/>
      <c r="I3829" s="483"/>
      <c r="J3829" s="473"/>
      <c r="K3829" s="474"/>
      <c r="L3829" s="475"/>
      <c r="M3829" s="474"/>
      <c r="AE3829" s="217"/>
      <c r="AF3829" s="217"/>
      <c r="AH3829">
        <f t="shared" si="1865"/>
        <v>0</v>
      </c>
    </row>
    <row r="3830" hidden="1">
      <c r="A3830" s="217"/>
      <c r="B3830" s="217">
        <v>1456</v>
      </c>
      <c r="C3830" s="217"/>
      <c r="D3830" s="641"/>
      <c r="E3830" s="471"/>
      <c r="F3830" s="482"/>
      <c r="G3830" s="470" t="s">
        <v>21452</v>
      </c>
      <c r="H3830" s="499"/>
      <c r="I3830" s="483"/>
      <c r="J3830" s="473"/>
      <c r="K3830" s="474"/>
      <c r="L3830" s="475"/>
      <c r="M3830" s="474"/>
      <c r="AE3830" s="217"/>
      <c r="AF3830" s="217"/>
      <c r="AH3830">
        <f t="shared" si="1865"/>
        <v>0</v>
      </c>
    </row>
    <row r="3831" ht="70.5" hidden="1" customHeight="1">
      <c r="A3831" s="460">
        <v>1457</v>
      </c>
      <c r="B3831" s="460">
        <v>1457</v>
      </c>
      <c r="C3831" s="460"/>
      <c r="D3831" s="460"/>
      <c r="E3831" s="461">
        <v>1</v>
      </c>
      <c r="F3831" s="462" t="s">
        <v>22415</v>
      </c>
      <c r="G3831" s="477" t="s">
        <v>22416</v>
      </c>
      <c r="H3831" s="478" t="s">
        <v>38</v>
      </c>
      <c r="I3831" s="479"/>
      <c r="J3831" s="480"/>
      <c r="K3831" s="466">
        <f>SUM(K3832:K3835)</f>
        <v>80.521119999999996</v>
      </c>
      <c r="L3831" s="480"/>
      <c r="M3831" s="466">
        <f>SUM(M3832:M3835)</f>
        <v>79.437497499999992</v>
      </c>
      <c r="O3831" s="434" t="str">
        <f t="shared" si="1875"/>
        <v xml:space="preserve">SEM VALOR</v>
      </c>
      <c r="P3831" s="435" t="str">
        <f t="shared" si="1876"/>
        <v xml:space="preserve">SEM VALOR</v>
      </c>
      <c r="AE3831" s="460">
        <v>1457</v>
      </c>
      <c r="AF3831" s="460"/>
      <c r="AH3831">
        <f t="shared" si="1865"/>
        <v>1457</v>
      </c>
    </row>
    <row r="3832" ht="45" hidden="1">
      <c r="A3832" s="217"/>
      <c r="B3832" s="217">
        <v>1457</v>
      </c>
      <c r="C3832" s="217"/>
      <c r="D3832" s="641" t="s">
        <v>20398</v>
      </c>
      <c r="E3832" s="471" t="s">
        <v>20399</v>
      </c>
      <c r="F3832" s="482">
        <v>1259</v>
      </c>
      <c r="G3832" s="572" t="s">
        <v>20796</v>
      </c>
      <c r="H3832" s="499" t="s">
        <v>15528</v>
      </c>
      <c r="I3832" s="558">
        <f>0.6*0.1*1</f>
        <v>5.9999999999999998e-002</v>
      </c>
      <c r="J3832" s="473">
        <f t="shared" si="1872"/>
        <v>45.520000000000003</v>
      </c>
      <c r="K3832" s="474">
        <f t="shared" ref="K3832:K3835" si="1880">I3832*J3832</f>
        <v>2.7312000000000003</v>
      </c>
      <c r="L3832" s="475">
        <f t="shared" si="1878"/>
        <v>43.100000000000001</v>
      </c>
      <c r="M3832" s="474">
        <f t="shared" ref="M3832:M3835" si="1881">L3832*I3832</f>
        <v>2.5859999999999999</v>
      </c>
      <c r="O3832" s="434">
        <f t="shared" si="1875"/>
        <v>45.520000000000003</v>
      </c>
      <c r="P3832" s="435">
        <f t="shared" si="1876"/>
        <v>43.100000000000001</v>
      </c>
      <c r="AE3832" s="217"/>
      <c r="AF3832" s="217">
        <v>1457</v>
      </c>
      <c r="AH3832">
        <f t="shared" si="1865"/>
        <v>1457</v>
      </c>
    </row>
    <row r="3833" ht="75" hidden="1">
      <c r="A3833" s="217"/>
      <c r="B3833" s="217">
        <v>1457</v>
      </c>
      <c r="C3833" s="217"/>
      <c r="D3833" s="641" t="s">
        <v>20398</v>
      </c>
      <c r="E3833" s="471" t="s">
        <v>20402</v>
      </c>
      <c r="F3833" s="482">
        <v>1267</v>
      </c>
      <c r="G3833" s="572" t="s">
        <v>20662</v>
      </c>
      <c r="H3833" s="499" t="s">
        <v>38</v>
      </c>
      <c r="I3833" s="558">
        <v>1</v>
      </c>
      <c r="J3833" s="473">
        <f t="shared" si="1872"/>
        <v>3.2499999999999996</v>
      </c>
      <c r="K3833" s="474">
        <f t="shared" si="1880"/>
        <v>3.2499999999999996</v>
      </c>
      <c r="L3833" s="475">
        <f t="shared" si="1878"/>
        <v>3.1657000000000002</v>
      </c>
      <c r="M3833" s="474">
        <f t="shared" si="1881"/>
        <v>3.1657000000000002</v>
      </c>
      <c r="O3833" s="434">
        <f t="shared" si="1875"/>
        <v>3.2499999999999996</v>
      </c>
      <c r="P3833" s="435">
        <f t="shared" si="1876"/>
        <v>3.1657000000000002</v>
      </c>
      <c r="AE3833" s="217"/>
      <c r="AF3833" s="217">
        <v>1457</v>
      </c>
      <c r="AH3833">
        <f t="shared" si="1865"/>
        <v>1457</v>
      </c>
    </row>
    <row r="3834" ht="45" hidden="1">
      <c r="A3834" s="217"/>
      <c r="B3834" s="217">
        <v>1457</v>
      </c>
      <c r="C3834" s="217"/>
      <c r="D3834" s="641" t="s">
        <v>20398</v>
      </c>
      <c r="E3834" s="471" t="s">
        <v>20405</v>
      </c>
      <c r="F3834" s="482">
        <v>1000</v>
      </c>
      <c r="G3834" s="470" t="s">
        <v>20651</v>
      </c>
      <c r="H3834" s="499" t="s">
        <v>15528</v>
      </c>
      <c r="I3834" s="558">
        <f>I3835</f>
        <v>0.105</v>
      </c>
      <c r="J3834" s="473">
        <f t="shared" si="1872"/>
        <v>149.904</v>
      </c>
      <c r="K3834" s="474">
        <f t="shared" si="1880"/>
        <v>15.73992</v>
      </c>
      <c r="L3834" s="475">
        <f t="shared" si="1878"/>
        <v>141.76949999999999</v>
      </c>
      <c r="M3834" s="474">
        <f t="shared" si="1881"/>
        <v>14.885797499999999</v>
      </c>
      <c r="O3834" s="434">
        <f t="shared" si="1875"/>
        <v>149.904</v>
      </c>
      <c r="P3834" s="435">
        <f t="shared" si="1876"/>
        <v>141.76949999999999</v>
      </c>
      <c r="AE3834" s="217"/>
      <c r="AF3834" s="217">
        <v>1457</v>
      </c>
      <c r="AH3834">
        <f t="shared" si="1865"/>
        <v>1457</v>
      </c>
    </row>
    <row r="3835" ht="75" hidden="1">
      <c r="A3835" s="217"/>
      <c r="B3835" s="217">
        <v>1457</v>
      </c>
      <c r="C3835" s="217"/>
      <c r="D3835" s="641" t="s">
        <v>20408</v>
      </c>
      <c r="E3835" s="471" t="s">
        <v>20409</v>
      </c>
      <c r="F3835" s="482">
        <v>34492</v>
      </c>
      <c r="G3835" s="470" t="s">
        <v>11636</v>
      </c>
      <c r="H3835" s="482" t="s">
        <v>15528</v>
      </c>
      <c r="I3835" s="558">
        <v>0.105</v>
      </c>
      <c r="J3835" s="473">
        <f t="shared" si="1872"/>
        <v>560</v>
      </c>
      <c r="K3835" s="474">
        <f t="shared" si="1880"/>
        <v>58.799999999999997</v>
      </c>
      <c r="L3835" s="475">
        <f t="shared" si="1878"/>
        <v>560</v>
      </c>
      <c r="M3835" s="474">
        <f t="shared" si="1881"/>
        <v>58.799999999999997</v>
      </c>
      <c r="O3835" s="434">
        <f t="shared" si="1875"/>
        <v>560</v>
      </c>
      <c r="P3835" s="435">
        <f t="shared" si="1876"/>
        <v>560</v>
      </c>
      <c r="AE3835" s="217"/>
      <c r="AF3835" s="217">
        <v>1457</v>
      </c>
      <c r="AH3835">
        <f t="shared" si="1865"/>
        <v>1457</v>
      </c>
    </row>
    <row r="3836" ht="96.75" hidden="1" customHeight="1">
      <c r="A3836" s="460">
        <v>1458</v>
      </c>
      <c r="B3836" s="460">
        <v>1458</v>
      </c>
      <c r="C3836" s="460"/>
      <c r="D3836" s="460"/>
      <c r="E3836" s="461">
        <v>1</v>
      </c>
      <c r="F3836" s="462" t="s">
        <v>22417</v>
      </c>
      <c r="G3836" s="477" t="s">
        <v>22418</v>
      </c>
      <c r="H3836" s="478" t="s">
        <v>20196</v>
      </c>
      <c r="I3836" s="479"/>
      <c r="J3836" s="480"/>
      <c r="K3836" s="466">
        <f>SUM(K3837:K3851)</f>
        <v>2459.0703095999997</v>
      </c>
      <c r="L3836" s="480"/>
      <c r="M3836" s="466">
        <f>SUM(M3837:M3851)</f>
        <v>2380.7648976</v>
      </c>
      <c r="N3836" s="467" t="s">
        <v>22419</v>
      </c>
      <c r="O3836" s="434" t="str">
        <f t="shared" si="1875"/>
        <v xml:space="preserve">SEM VALOR</v>
      </c>
      <c r="P3836" s="435" t="str">
        <f t="shared" si="1876"/>
        <v xml:space="preserve">SEM VALOR</v>
      </c>
      <c r="AE3836" s="460">
        <v>1458</v>
      </c>
      <c r="AF3836" s="460"/>
      <c r="AH3836">
        <f t="shared" si="1865"/>
        <v>1458</v>
      </c>
    </row>
    <row r="3837" ht="30" hidden="1">
      <c r="A3837" s="217"/>
      <c r="B3837" s="217">
        <v>1458</v>
      </c>
      <c r="C3837" s="217"/>
      <c r="D3837" s="217" t="s">
        <v>20408</v>
      </c>
      <c r="E3837" s="471" t="s">
        <v>20399</v>
      </c>
      <c r="F3837" s="486">
        <v>3768</v>
      </c>
      <c r="G3837" s="470" t="s">
        <v>13044</v>
      </c>
      <c r="H3837" s="482" t="s">
        <v>20196</v>
      </c>
      <c r="I3837" s="644">
        <f>ROUNDUP(2/3.5*5,0)</f>
        <v>3</v>
      </c>
      <c r="J3837" s="473">
        <f t="shared" si="1872"/>
        <v>4.4400000000000004</v>
      </c>
      <c r="K3837" s="474">
        <f t="shared" ref="K3837:K3851" si="1882">I3837*J3837</f>
        <v>13.32</v>
      </c>
      <c r="L3837" s="473">
        <f t="shared" si="1878"/>
        <v>4.4400000000000004</v>
      </c>
      <c r="M3837" s="474">
        <f t="shared" ref="M3837:M3851" si="1883">L3837*I3837</f>
        <v>13.32</v>
      </c>
      <c r="N3837" s="624">
        <f>M3837+M3838+M3840+M3841+M3842+M3843+M3844+M3845+M3846+M3847+M3848+M3849+M3850+M3851</f>
        <v>2380.7648976</v>
      </c>
      <c r="O3837" s="434">
        <f t="shared" si="1875"/>
        <v>4.4400000000000004</v>
      </c>
      <c r="P3837" s="435">
        <f t="shared" si="1876"/>
        <v>4.4400000000000004</v>
      </c>
      <c r="AE3837" s="217"/>
      <c r="AF3837" s="217">
        <v>1458</v>
      </c>
      <c r="AH3837">
        <f t="shared" si="1865"/>
        <v>1458</v>
      </c>
    </row>
    <row r="3838" ht="60" hidden="1">
      <c r="A3838" s="217"/>
      <c r="B3838" s="217">
        <v>1458</v>
      </c>
      <c r="C3838" s="217"/>
      <c r="D3838" s="217" t="s">
        <v>20408</v>
      </c>
      <c r="E3838" s="471" t="s">
        <v>20402</v>
      </c>
      <c r="F3838" s="486">
        <v>7158</v>
      </c>
      <c r="G3838" s="470" t="s">
        <v>21330</v>
      </c>
      <c r="H3838" s="482" t="s">
        <v>15515</v>
      </c>
      <c r="I3838" s="644">
        <f>5.5*1.7*1.05</f>
        <v>9.8175000000000008</v>
      </c>
      <c r="J3838" s="473">
        <f t="shared" si="1872"/>
        <v>33.469999999999999</v>
      </c>
      <c r="K3838" s="474">
        <f t="shared" si="1882"/>
        <v>328.591725</v>
      </c>
      <c r="L3838" s="473">
        <f t="shared" si="1878"/>
        <v>33.469999999999999</v>
      </c>
      <c r="M3838" s="474">
        <f t="shared" si="1883"/>
        <v>328.591725</v>
      </c>
      <c r="O3838" s="434">
        <f t="shared" si="1875"/>
        <v>33.469999999999999</v>
      </c>
      <c r="P3838" s="435">
        <f t="shared" si="1876"/>
        <v>33.469999999999999</v>
      </c>
      <c r="AE3838" s="217"/>
      <c r="AF3838" s="217">
        <v>1458</v>
      </c>
      <c r="AH3838">
        <f t="shared" si="1865"/>
        <v>1458</v>
      </c>
    </row>
    <row r="3839" ht="30" hidden="1">
      <c r="A3839" s="217"/>
      <c r="B3839" s="217">
        <v>1458</v>
      </c>
      <c r="C3839" s="217"/>
      <c r="D3839" s="217" t="s">
        <v>20453</v>
      </c>
      <c r="E3839" s="471" t="s">
        <v>20405</v>
      </c>
      <c r="F3839" s="574" t="s">
        <v>20084</v>
      </c>
      <c r="G3839" s="470" t="s">
        <v>22420</v>
      </c>
      <c r="H3839" s="482" t="s">
        <v>38</v>
      </c>
      <c r="I3839" s="644">
        <f>(5*3+1.7*8)*1.05</f>
        <v>30.030000000000001</v>
      </c>
      <c r="J3839" s="473">
        <f t="shared" si="1872"/>
        <v>0</v>
      </c>
      <c r="K3839" s="474">
        <f t="shared" si="1882"/>
        <v>0</v>
      </c>
      <c r="L3839" s="473">
        <f t="shared" si="1878"/>
        <v>0</v>
      </c>
      <c r="M3839" s="474">
        <f t="shared" si="1883"/>
        <v>0</v>
      </c>
      <c r="O3839" s="434">
        <f t="shared" si="1875"/>
        <v>0</v>
      </c>
      <c r="P3839" s="435">
        <f t="shared" si="1876"/>
        <v>0</v>
      </c>
      <c r="AE3839" s="217"/>
      <c r="AF3839" s="217">
        <v>1458</v>
      </c>
      <c r="AH3839">
        <f t="shared" si="1865"/>
        <v>1458</v>
      </c>
    </row>
    <row r="3840" ht="30" hidden="1">
      <c r="A3840" s="217"/>
      <c r="B3840" s="217">
        <v>1458</v>
      </c>
      <c r="C3840" s="217"/>
      <c r="D3840" s="217" t="s">
        <v>20408</v>
      </c>
      <c r="E3840" s="471" t="s">
        <v>20409</v>
      </c>
      <c r="F3840" s="486">
        <v>11002</v>
      </c>
      <c r="G3840" s="470" t="s">
        <v>12284</v>
      </c>
      <c r="H3840" s="482" t="s">
        <v>302</v>
      </c>
      <c r="I3840" s="644">
        <f>ROUNDUP(2/3.5*5,0)</f>
        <v>3</v>
      </c>
      <c r="J3840" s="473">
        <f t="shared" si="1872"/>
        <v>33.909999999999997</v>
      </c>
      <c r="K3840" s="474">
        <f t="shared" si="1882"/>
        <v>101.72999999999999</v>
      </c>
      <c r="L3840" s="473">
        <f t="shared" si="1878"/>
        <v>33.909999999999997</v>
      </c>
      <c r="M3840" s="474">
        <f t="shared" si="1883"/>
        <v>101.72999999999999</v>
      </c>
      <c r="N3840" s="510" t="s">
        <v>21332</v>
      </c>
      <c r="O3840" s="434">
        <f t="shared" si="1875"/>
        <v>33.909999999999997</v>
      </c>
      <c r="P3840" s="435">
        <f t="shared" si="1876"/>
        <v>33.909999999999997</v>
      </c>
      <c r="AE3840" s="217"/>
      <c r="AF3840" s="217">
        <v>1458</v>
      </c>
      <c r="AH3840">
        <f t="shared" si="1865"/>
        <v>1458</v>
      </c>
    </row>
    <row r="3841" ht="30" hidden="1">
      <c r="A3841" s="217"/>
      <c r="B3841" s="217">
        <v>1458</v>
      </c>
      <c r="C3841" s="217"/>
      <c r="D3841" s="217" t="s">
        <v>17167</v>
      </c>
      <c r="E3841" s="471" t="s">
        <v>20663</v>
      </c>
      <c r="F3841" s="486">
        <v>88315</v>
      </c>
      <c r="G3841" s="470" t="s">
        <v>7392</v>
      </c>
      <c r="H3841" s="482" t="s">
        <v>2032</v>
      </c>
      <c r="I3841" s="644">
        <f>(20.16/1.5)/3.5*5</f>
        <v>19.199999999999999</v>
      </c>
      <c r="J3841" s="473">
        <f t="shared" si="1872"/>
        <v>28.800000000000001</v>
      </c>
      <c r="K3841" s="474">
        <f t="shared" si="1882"/>
        <v>552.96000000000004</v>
      </c>
      <c r="L3841" s="473">
        <f t="shared" si="1878"/>
        <v>27.149999999999999</v>
      </c>
      <c r="M3841" s="474">
        <f t="shared" si="1883"/>
        <v>521.27999999999997</v>
      </c>
      <c r="N3841" s="510"/>
      <c r="O3841" s="434">
        <f t="shared" si="1875"/>
        <v>28.800000000000001</v>
      </c>
      <c r="P3841" s="435">
        <f t="shared" si="1876"/>
        <v>27.149999999999999</v>
      </c>
      <c r="AE3841" s="217"/>
      <c r="AF3841" s="217">
        <v>1458</v>
      </c>
      <c r="AH3841">
        <f t="shared" si="1865"/>
        <v>1458</v>
      </c>
    </row>
    <row r="3842" ht="30" hidden="1">
      <c r="A3842" s="217"/>
      <c r="B3842" s="217">
        <v>1458</v>
      </c>
      <c r="C3842" s="217"/>
      <c r="D3842" s="217" t="s">
        <v>17167</v>
      </c>
      <c r="E3842" s="471" t="s">
        <v>20665</v>
      </c>
      <c r="F3842" s="486">
        <v>88316</v>
      </c>
      <c r="G3842" s="470" t="s">
        <v>7393</v>
      </c>
      <c r="H3842" s="482" t="s">
        <v>2032</v>
      </c>
      <c r="I3842" s="644">
        <f>(0.9774*7*1.7/1.5)/3.5*5</f>
        <v>11.077199999999999</v>
      </c>
      <c r="J3842" s="473">
        <f t="shared" si="1872"/>
        <v>22.760000000000002</v>
      </c>
      <c r="K3842" s="474">
        <f t="shared" si="1882"/>
        <v>252.11707200000001</v>
      </c>
      <c r="L3842" s="473">
        <f t="shared" si="1878"/>
        <v>21.550000000000001</v>
      </c>
      <c r="M3842" s="474">
        <f t="shared" si="1883"/>
        <v>238.71366</v>
      </c>
      <c r="N3842" s="510" t="s">
        <v>21333</v>
      </c>
      <c r="O3842" s="434">
        <f t="shared" si="1875"/>
        <v>22.760000000000002</v>
      </c>
      <c r="P3842" s="435">
        <f t="shared" si="1876"/>
        <v>21.550000000000001</v>
      </c>
      <c r="AE3842" s="217"/>
      <c r="AF3842" s="217">
        <v>1458</v>
      </c>
      <c r="AH3842">
        <f t="shared" si="1865"/>
        <v>1458</v>
      </c>
    </row>
    <row r="3843" ht="30" hidden="1">
      <c r="A3843" s="217"/>
      <c r="B3843" s="217">
        <v>1458</v>
      </c>
      <c r="C3843" s="217"/>
      <c r="D3843" s="217" t="s">
        <v>17167</v>
      </c>
      <c r="E3843" s="471" t="s">
        <v>20667</v>
      </c>
      <c r="F3843" s="486">
        <v>88240</v>
      </c>
      <c r="G3843" s="470" t="s">
        <v>7090</v>
      </c>
      <c r="H3843" s="482" t="s">
        <v>2032</v>
      </c>
      <c r="I3843" s="644">
        <f>(10.08/2)/3.5*5</f>
        <v>7.2000000000000002</v>
      </c>
      <c r="J3843" s="473">
        <f t="shared" si="1872"/>
        <v>22.16</v>
      </c>
      <c r="K3843" s="474">
        <f t="shared" si="1882"/>
        <v>159.55199999999999</v>
      </c>
      <c r="L3843" s="473">
        <f t="shared" si="1878"/>
        <v>20.899999999999999</v>
      </c>
      <c r="M3843" s="474">
        <f t="shared" si="1883"/>
        <v>150.47999999999999</v>
      </c>
      <c r="O3843" s="434">
        <f t="shared" si="1875"/>
        <v>22.16</v>
      </c>
      <c r="P3843" s="435">
        <f t="shared" si="1876"/>
        <v>20.899999999999999</v>
      </c>
      <c r="AE3843" s="217"/>
      <c r="AF3843" s="217">
        <v>1458</v>
      </c>
      <c r="AH3843">
        <f t="shared" si="1865"/>
        <v>1458</v>
      </c>
    </row>
    <row r="3844" ht="30" hidden="1">
      <c r="A3844" s="217"/>
      <c r="B3844" s="217">
        <v>1458</v>
      </c>
      <c r="C3844" s="217"/>
      <c r="D3844" s="217" t="s">
        <v>17167</v>
      </c>
      <c r="E3844" s="471" t="s">
        <v>20671</v>
      </c>
      <c r="F3844" s="486">
        <v>88317</v>
      </c>
      <c r="G3844" s="470" t="s">
        <v>7396</v>
      </c>
      <c r="H3844" s="482" t="s">
        <v>2032</v>
      </c>
      <c r="I3844" s="644">
        <f>(7.56/2)/3.5*5</f>
        <v>5.4000000000000004</v>
      </c>
      <c r="J3844" s="473">
        <f t="shared" si="1872"/>
        <v>29.559999999999999</v>
      </c>
      <c r="K3844" s="474">
        <f t="shared" si="1882"/>
        <v>159.624</v>
      </c>
      <c r="L3844" s="473">
        <f t="shared" si="1878"/>
        <v>27.949999999999999</v>
      </c>
      <c r="M3844" s="474">
        <f t="shared" si="1883"/>
        <v>150.93000000000001</v>
      </c>
      <c r="O3844" s="434">
        <f t="shared" si="1875"/>
        <v>29.559999999999999</v>
      </c>
      <c r="P3844" s="435">
        <f t="shared" si="1876"/>
        <v>27.949999999999999</v>
      </c>
      <c r="AE3844" s="217"/>
      <c r="AF3844" s="217">
        <v>1458</v>
      </c>
      <c r="AH3844">
        <f t="shared" si="1865"/>
        <v>1458</v>
      </c>
    </row>
    <row r="3845" ht="45.75" hidden="1">
      <c r="A3845" s="217"/>
      <c r="B3845" s="217">
        <v>1458</v>
      </c>
      <c r="C3845" s="217"/>
      <c r="D3845" s="217" t="s">
        <v>17167</v>
      </c>
      <c r="E3845" s="471" t="s">
        <v>20672</v>
      </c>
      <c r="F3845" s="486">
        <v>92880</v>
      </c>
      <c r="G3845" s="470" t="s">
        <v>21334</v>
      </c>
      <c r="H3845" s="482" t="s">
        <v>302</v>
      </c>
      <c r="I3845" s="644">
        <f>0.15*3*2*2.47*1.05*2</f>
        <v>4.6683000000000003</v>
      </c>
      <c r="J3845" s="473">
        <f t="shared" si="1872"/>
        <v>9.5800000000000001</v>
      </c>
      <c r="K3845" s="474">
        <f t="shared" si="1882"/>
        <v>44.722314000000004</v>
      </c>
      <c r="L3845" s="473">
        <f t="shared" si="1878"/>
        <v>9.5800000000000001</v>
      </c>
      <c r="M3845" s="474">
        <f t="shared" si="1883"/>
        <v>44.722314000000004</v>
      </c>
      <c r="O3845" s="434">
        <f t="shared" si="1875"/>
        <v>9.5800000000000001</v>
      </c>
      <c r="P3845" s="435">
        <f t="shared" si="1876"/>
        <v>9.5800000000000001</v>
      </c>
      <c r="AE3845" s="217"/>
      <c r="AF3845" s="217">
        <v>1458</v>
      </c>
      <c r="AH3845">
        <f t="shared" si="1865"/>
        <v>1458</v>
      </c>
    </row>
    <row r="3846" ht="30" hidden="1">
      <c r="A3846" s="217"/>
      <c r="B3846" s="217">
        <v>1458</v>
      </c>
      <c r="C3846" s="217"/>
      <c r="D3846" s="217" t="s">
        <v>17167</v>
      </c>
      <c r="E3846" s="471" t="s">
        <v>20673</v>
      </c>
      <c r="F3846" s="486">
        <v>88310</v>
      </c>
      <c r="G3846" s="470" t="s">
        <v>7386</v>
      </c>
      <c r="H3846" s="482" t="s">
        <v>2032</v>
      </c>
      <c r="I3846" s="644">
        <f>(10.08/1.5)/3.5*5</f>
        <v>9.5999999999999996</v>
      </c>
      <c r="J3846" s="473">
        <f t="shared" si="1872"/>
        <v>30.210000000000001</v>
      </c>
      <c r="K3846" s="474">
        <f t="shared" si="1882"/>
        <v>290.01600000000002</v>
      </c>
      <c r="L3846" s="473">
        <f t="shared" si="1878"/>
        <v>28.600000000000001</v>
      </c>
      <c r="M3846" s="474">
        <f t="shared" si="1883"/>
        <v>274.56</v>
      </c>
      <c r="O3846" s="434">
        <f t="shared" si="1875"/>
        <v>30.210000000000001</v>
      </c>
      <c r="P3846" s="435">
        <f t="shared" si="1876"/>
        <v>28.600000000000001</v>
      </c>
      <c r="AE3846" s="217"/>
      <c r="AF3846" s="217">
        <v>1458</v>
      </c>
      <c r="AH3846">
        <f t="shared" si="1865"/>
        <v>1458</v>
      </c>
    </row>
    <row r="3847" ht="30" hidden="1">
      <c r="A3847" s="217"/>
      <c r="B3847" s="217">
        <v>1458</v>
      </c>
      <c r="C3847" s="217"/>
      <c r="D3847" s="217" t="s">
        <v>20408</v>
      </c>
      <c r="E3847" s="471" t="s">
        <v>20675</v>
      </c>
      <c r="F3847" s="486">
        <v>7307</v>
      </c>
      <c r="G3847" s="470" t="s">
        <v>20998</v>
      </c>
      <c r="H3847" s="482" t="s">
        <v>9794</v>
      </c>
      <c r="I3847" s="644">
        <f>(0.41958*3.6/2)/3.5*5</f>
        <v>1.0789200000000001</v>
      </c>
      <c r="J3847" s="473">
        <f t="shared" si="1872"/>
        <v>41.960000000000001</v>
      </c>
      <c r="K3847" s="474">
        <f t="shared" si="1882"/>
        <v>45.271483200000006</v>
      </c>
      <c r="L3847" s="473">
        <f t="shared" si="1878"/>
        <v>41.960000000000001</v>
      </c>
      <c r="M3847" s="474">
        <f t="shared" si="1883"/>
        <v>45.271483200000006</v>
      </c>
      <c r="O3847" s="434">
        <f t="shared" si="1875"/>
        <v>41.960000000000001</v>
      </c>
      <c r="P3847" s="435">
        <f t="shared" si="1876"/>
        <v>41.960000000000001</v>
      </c>
      <c r="AE3847" s="217"/>
      <c r="AF3847" s="217">
        <v>1458</v>
      </c>
      <c r="AH3847">
        <f t="shared" ref="AH3847:AH3910" si="1884">IF(AF3847:AF3848=FALSE,AE3847,AF3847)</f>
        <v>1458</v>
      </c>
    </row>
    <row r="3848" ht="30" hidden="1">
      <c r="A3848" s="217"/>
      <c r="B3848" s="217">
        <v>1458</v>
      </c>
      <c r="C3848" s="217"/>
      <c r="D3848" s="217" t="s">
        <v>20408</v>
      </c>
      <c r="E3848" s="471" t="s">
        <v>20677</v>
      </c>
      <c r="F3848" s="486">
        <v>43647</v>
      </c>
      <c r="G3848" s="470" t="s">
        <v>14768</v>
      </c>
      <c r="H3848" s="482" t="s">
        <v>9794</v>
      </c>
      <c r="I3848" s="644">
        <f>(0.504*3.6/2)/3.5*5</f>
        <v>1.296</v>
      </c>
      <c r="J3848" s="473">
        <f t="shared" si="1872"/>
        <v>28.920000000000002</v>
      </c>
      <c r="K3848" s="474">
        <f t="shared" si="1882"/>
        <v>37.480320000000006</v>
      </c>
      <c r="L3848" s="473">
        <f t="shared" si="1878"/>
        <v>28.920000000000002</v>
      </c>
      <c r="M3848" s="474">
        <f t="shared" si="1883"/>
        <v>37.480320000000006</v>
      </c>
      <c r="O3848" s="434">
        <f t="shared" si="1875"/>
        <v>28.920000000000002</v>
      </c>
      <c r="P3848" s="435">
        <f t="shared" si="1876"/>
        <v>28.920000000000002</v>
      </c>
      <c r="AE3848" s="217"/>
      <c r="AF3848" s="217">
        <v>1458</v>
      </c>
      <c r="AH3848">
        <f t="shared" si="1884"/>
        <v>1458</v>
      </c>
    </row>
    <row r="3849" ht="45" hidden="1">
      <c r="A3849" s="217"/>
      <c r="B3849" s="217">
        <v>1458</v>
      </c>
      <c r="C3849" s="217"/>
      <c r="D3849" s="217" t="s">
        <v>20408</v>
      </c>
      <c r="E3849" s="471" t="s">
        <v>20679</v>
      </c>
      <c r="F3849" s="486">
        <v>43054</v>
      </c>
      <c r="G3849" s="470" t="s">
        <v>21335</v>
      </c>
      <c r="H3849" s="482" t="s">
        <v>302</v>
      </c>
      <c r="I3849" s="644">
        <f>0.2*1.6*1.05</f>
        <v>0.33600000000000002</v>
      </c>
      <c r="J3849" s="473">
        <f t="shared" si="1872"/>
        <v>8.3599999999999994</v>
      </c>
      <c r="K3849" s="474">
        <f t="shared" si="1882"/>
        <v>2.8089599999999999</v>
      </c>
      <c r="L3849" s="473">
        <f t="shared" si="1878"/>
        <v>8.3599999999999994</v>
      </c>
      <c r="M3849" s="474">
        <f t="shared" si="1883"/>
        <v>2.8089599999999999</v>
      </c>
      <c r="O3849" s="434">
        <f t="shared" si="1875"/>
        <v>8.3599999999999994</v>
      </c>
      <c r="P3849" s="435">
        <f t="shared" si="1876"/>
        <v>8.3599999999999994</v>
      </c>
      <c r="AE3849" s="217"/>
      <c r="AF3849" s="217">
        <v>1458</v>
      </c>
      <c r="AH3849">
        <f t="shared" si="1884"/>
        <v>1458</v>
      </c>
    </row>
    <row r="3850" ht="45" hidden="1">
      <c r="A3850" s="217"/>
      <c r="B3850" s="217">
        <v>1458</v>
      </c>
      <c r="C3850" s="217"/>
      <c r="D3850" s="217" t="s">
        <v>20408</v>
      </c>
      <c r="E3850" s="471" t="s">
        <v>20681</v>
      </c>
      <c r="F3850" s="486">
        <v>546</v>
      </c>
      <c r="G3850" s="470" t="s">
        <v>21336</v>
      </c>
      <c r="H3850" s="482" t="s">
        <v>302</v>
      </c>
      <c r="I3850" s="644">
        <f>((0.75*2+0.74*2)*12+0.2*4)*0.4*1.05+0.1*2*1.27*1.05</f>
        <v>15.6219</v>
      </c>
      <c r="J3850" s="473">
        <f t="shared" si="1872"/>
        <v>9.5899999999999999</v>
      </c>
      <c r="K3850" s="474">
        <f t="shared" si="1882"/>
        <v>149.814021</v>
      </c>
      <c r="L3850" s="473">
        <f t="shared" si="1878"/>
        <v>9.5899999999999999</v>
      </c>
      <c r="M3850" s="474">
        <f t="shared" si="1883"/>
        <v>149.814021</v>
      </c>
      <c r="O3850" s="434">
        <f t="shared" si="1875"/>
        <v>9.5899999999999999</v>
      </c>
      <c r="P3850" s="435">
        <f t="shared" si="1876"/>
        <v>9.5899999999999999</v>
      </c>
      <c r="AE3850" s="217"/>
      <c r="AF3850" s="217">
        <v>1458</v>
      </c>
      <c r="AH3850">
        <f t="shared" si="1884"/>
        <v>1458</v>
      </c>
    </row>
    <row r="3851" ht="60" hidden="1">
      <c r="A3851" s="217"/>
      <c r="B3851" s="217">
        <v>1458</v>
      </c>
      <c r="C3851" s="217"/>
      <c r="D3851" s="217" t="s">
        <v>20408</v>
      </c>
      <c r="E3851" s="471" t="s">
        <v>20683</v>
      </c>
      <c r="F3851" s="486">
        <v>4777</v>
      </c>
      <c r="G3851" s="470" t="s">
        <v>21337</v>
      </c>
      <c r="H3851" s="482" t="s">
        <v>302</v>
      </c>
      <c r="I3851" s="644">
        <f>((0.75*2+0.74*2)*12+0.15*6)*1.04*1.05</f>
        <v>40.032719999999998</v>
      </c>
      <c r="J3851" s="473">
        <f t="shared" si="1872"/>
        <v>8.0199999999999996</v>
      </c>
      <c r="K3851" s="474">
        <f t="shared" si="1882"/>
        <v>321.06241439999997</v>
      </c>
      <c r="L3851" s="473">
        <f t="shared" si="1878"/>
        <v>8.0199999999999996</v>
      </c>
      <c r="M3851" s="474">
        <f t="shared" si="1883"/>
        <v>321.06241439999997</v>
      </c>
      <c r="O3851" s="434">
        <f t="shared" si="1875"/>
        <v>8.0199999999999996</v>
      </c>
      <c r="P3851" s="435">
        <f t="shared" si="1876"/>
        <v>8.0199999999999996</v>
      </c>
      <c r="AE3851" s="217"/>
      <c r="AF3851" s="217">
        <v>1458</v>
      </c>
      <c r="AH3851">
        <f t="shared" si="1884"/>
        <v>1458</v>
      </c>
    </row>
    <row r="3852" ht="103.5" hidden="1" customHeight="1">
      <c r="A3852" s="460">
        <v>1459</v>
      </c>
      <c r="B3852" s="460">
        <v>1459</v>
      </c>
      <c r="C3852" s="460"/>
      <c r="D3852" s="460"/>
      <c r="E3852" s="461">
        <v>1</v>
      </c>
      <c r="F3852" s="462" t="s">
        <v>22421</v>
      </c>
      <c r="G3852" s="477" t="s">
        <v>22422</v>
      </c>
      <c r="H3852" s="478" t="s">
        <v>20196</v>
      </c>
      <c r="I3852" s="479"/>
      <c r="J3852" s="480"/>
      <c r="K3852" s="466" t="e">
        <f>SUM(K3853:K3867)</f>
        <v>#VALUE!</v>
      </c>
      <c r="L3852" s="480"/>
      <c r="M3852" s="466" t="e">
        <f>SUM(M3853:M3867)</f>
        <v>#VALUE!</v>
      </c>
      <c r="N3852" s="467" t="s">
        <v>22419</v>
      </c>
      <c r="O3852" s="434" t="str">
        <f t="shared" si="1875"/>
        <v xml:space="preserve">SEM VALOR</v>
      </c>
      <c r="P3852" s="435" t="str">
        <f t="shared" si="1876"/>
        <v xml:space="preserve">SEM VALOR</v>
      </c>
      <c r="AE3852" s="460">
        <v>1459</v>
      </c>
      <c r="AF3852" s="460"/>
      <c r="AH3852">
        <f t="shared" si="1884"/>
        <v>1459</v>
      </c>
    </row>
    <row r="3853" ht="30" hidden="1">
      <c r="A3853" s="217"/>
      <c r="B3853" s="217">
        <v>1459</v>
      </c>
      <c r="C3853" s="217"/>
      <c r="D3853" s="217" t="s">
        <v>20408</v>
      </c>
      <c r="E3853" s="471" t="s">
        <v>20399</v>
      </c>
      <c r="F3853" s="486">
        <v>3768</v>
      </c>
      <c r="G3853" s="470" t="s">
        <v>13044</v>
      </c>
      <c r="H3853" s="482" t="s">
        <v>20196</v>
      </c>
      <c r="I3853" s="483">
        <f>ROUNDUP(2/5,0)</f>
        <v>1</v>
      </c>
      <c r="J3853" s="473">
        <f t="shared" si="1872"/>
        <v>4.4400000000000004</v>
      </c>
      <c r="K3853" s="474">
        <f t="shared" ref="K3853:K3867" si="1885">I3853*J3853</f>
        <v>4.4400000000000004</v>
      </c>
      <c r="L3853" s="473">
        <f t="shared" si="1878"/>
        <v>4.4400000000000004</v>
      </c>
      <c r="M3853" s="474">
        <f t="shared" ref="M3853:M3867" si="1886">L3853*I3853</f>
        <v>4.4400000000000004</v>
      </c>
      <c r="N3853" s="624" t="e">
        <f>M3853+M3854+M3856+M3857+M3858+M3859+M3860+M3861+M3862+M3863+M3864+M3865+M3866+M3867+M3855</f>
        <v>#VALUE!</v>
      </c>
      <c r="O3853" s="434">
        <f t="shared" si="1875"/>
        <v>4.4400000000000004</v>
      </c>
      <c r="P3853" s="435">
        <f t="shared" si="1876"/>
        <v>4.4400000000000004</v>
      </c>
      <c r="AE3853" s="217"/>
      <c r="AF3853" s="217">
        <v>1459</v>
      </c>
      <c r="AH3853">
        <f t="shared" si="1884"/>
        <v>1459</v>
      </c>
    </row>
    <row r="3854" ht="60" hidden="1">
      <c r="A3854" s="217"/>
      <c r="B3854" s="217">
        <v>1459</v>
      </c>
      <c r="C3854" s="217"/>
      <c r="D3854" s="217" t="s">
        <v>20408</v>
      </c>
      <c r="E3854" s="471" t="s">
        <v>20402</v>
      </c>
      <c r="F3854" s="486">
        <v>7158</v>
      </c>
      <c r="G3854" s="470" t="s">
        <v>21330</v>
      </c>
      <c r="H3854" s="482" t="s">
        <v>15515</v>
      </c>
      <c r="I3854" s="483">
        <f>1*1.7*1.05</f>
        <v>1.7849999999999999</v>
      </c>
      <c r="J3854" s="473">
        <f t="shared" si="1872"/>
        <v>33.469999999999999</v>
      </c>
      <c r="K3854" s="474">
        <f t="shared" si="1885"/>
        <v>59.743949999999998</v>
      </c>
      <c r="L3854" s="473">
        <f t="shared" si="1878"/>
        <v>33.469999999999999</v>
      </c>
      <c r="M3854" s="474">
        <f t="shared" si="1886"/>
        <v>59.743949999999998</v>
      </c>
      <c r="O3854" s="434">
        <f t="shared" si="1875"/>
        <v>33.469999999999999</v>
      </c>
      <c r="P3854" s="435">
        <f t="shared" si="1876"/>
        <v>33.469999999999999</v>
      </c>
      <c r="AE3854" s="217"/>
      <c r="AF3854" s="217">
        <v>1459</v>
      </c>
      <c r="AH3854">
        <f t="shared" si="1884"/>
        <v>1459</v>
      </c>
    </row>
    <row r="3855" ht="30" hidden="1">
      <c r="A3855" s="217"/>
      <c r="B3855" s="217">
        <v>1459</v>
      </c>
      <c r="C3855" s="217"/>
      <c r="D3855" s="217" t="s">
        <v>20408</v>
      </c>
      <c r="E3855" s="471" t="s">
        <v>20405</v>
      </c>
      <c r="F3855" s="486">
        <v>13356</v>
      </c>
      <c r="G3855" s="470" t="s">
        <v>14913</v>
      </c>
      <c r="H3855" s="482" t="s">
        <v>38</v>
      </c>
      <c r="I3855" s="483">
        <f>(1*3+1.7*2)*1.05</f>
        <v>6.7199999999999998</v>
      </c>
      <c r="J3855" s="473" t="e">
        <f t="shared" si="1872"/>
        <v>#VALUE!</v>
      </c>
      <c r="K3855" s="474" t="e">
        <f t="shared" si="1885"/>
        <v>#VALUE!</v>
      </c>
      <c r="L3855" s="473" t="e">
        <f t="shared" si="1878"/>
        <v>#VALUE!</v>
      </c>
      <c r="M3855" s="474" t="e">
        <f t="shared" si="1886"/>
        <v>#VALUE!</v>
      </c>
      <c r="O3855" s="434" t="str">
        <f t="shared" si="1875"/>
        <v>VERIFICAR</v>
      </c>
      <c r="P3855" s="435" t="str">
        <f t="shared" si="1876"/>
        <v>VERIFICAR</v>
      </c>
      <c r="AE3855" s="217"/>
      <c r="AF3855" s="217">
        <v>1459</v>
      </c>
      <c r="AH3855">
        <f t="shared" si="1884"/>
        <v>1459</v>
      </c>
    </row>
    <row r="3856" ht="30" hidden="1">
      <c r="A3856" s="217"/>
      <c r="B3856" s="217">
        <v>1459</v>
      </c>
      <c r="C3856" s="217"/>
      <c r="D3856" s="217" t="s">
        <v>20408</v>
      </c>
      <c r="E3856" s="471" t="s">
        <v>20409</v>
      </c>
      <c r="F3856" s="486">
        <v>11002</v>
      </c>
      <c r="G3856" s="470" t="s">
        <v>12284</v>
      </c>
      <c r="H3856" s="482" t="s">
        <v>302</v>
      </c>
      <c r="I3856" s="483">
        <f>ROUNDUP(2/3.5*1,0)</f>
        <v>1</v>
      </c>
      <c r="J3856" s="473">
        <f t="shared" si="1872"/>
        <v>33.909999999999997</v>
      </c>
      <c r="K3856" s="474">
        <f t="shared" si="1885"/>
        <v>33.909999999999997</v>
      </c>
      <c r="L3856" s="473">
        <f t="shared" si="1878"/>
        <v>33.909999999999997</v>
      </c>
      <c r="M3856" s="474">
        <f t="shared" si="1886"/>
        <v>33.909999999999997</v>
      </c>
      <c r="N3856" s="510" t="s">
        <v>21332</v>
      </c>
      <c r="O3856" s="434">
        <f t="shared" si="1875"/>
        <v>33.909999999999997</v>
      </c>
      <c r="P3856" s="435">
        <f t="shared" si="1876"/>
        <v>33.909999999999997</v>
      </c>
      <c r="AE3856" s="217"/>
      <c r="AF3856" s="217">
        <v>1459</v>
      </c>
      <c r="AH3856">
        <f t="shared" si="1884"/>
        <v>1459</v>
      </c>
    </row>
    <row r="3857" ht="30" hidden="1">
      <c r="A3857" s="217"/>
      <c r="B3857" s="217">
        <v>1459</v>
      </c>
      <c r="C3857" s="217"/>
      <c r="D3857" s="217" t="s">
        <v>17167</v>
      </c>
      <c r="E3857" s="471" t="s">
        <v>20663</v>
      </c>
      <c r="F3857" s="486">
        <v>88315</v>
      </c>
      <c r="G3857" s="470" t="s">
        <v>7392</v>
      </c>
      <c r="H3857" s="482" t="s">
        <v>2032</v>
      </c>
      <c r="I3857" s="483">
        <f>(20.16/1.5)/3.5*1</f>
        <v>3.8399999999999999</v>
      </c>
      <c r="J3857" s="473">
        <f t="shared" si="1872"/>
        <v>28.800000000000001</v>
      </c>
      <c r="K3857" s="474">
        <f t="shared" si="1885"/>
        <v>110.592</v>
      </c>
      <c r="L3857" s="473">
        <f t="shared" si="1878"/>
        <v>27.149999999999999</v>
      </c>
      <c r="M3857" s="474">
        <f t="shared" si="1886"/>
        <v>104.25599999999999</v>
      </c>
      <c r="N3857" s="510"/>
      <c r="O3857" s="434">
        <f t="shared" si="1875"/>
        <v>28.800000000000001</v>
      </c>
      <c r="P3857" s="435">
        <f t="shared" si="1876"/>
        <v>27.149999999999999</v>
      </c>
      <c r="AE3857" s="217"/>
      <c r="AF3857" s="217">
        <v>1459</v>
      </c>
      <c r="AH3857">
        <f t="shared" si="1884"/>
        <v>1459</v>
      </c>
    </row>
    <row r="3858" ht="30" hidden="1">
      <c r="A3858" s="217"/>
      <c r="B3858" s="217">
        <v>1459</v>
      </c>
      <c r="C3858" s="217"/>
      <c r="D3858" s="217" t="s">
        <v>17167</v>
      </c>
      <c r="E3858" s="471" t="s">
        <v>20665</v>
      </c>
      <c r="F3858" s="486">
        <v>88316</v>
      </c>
      <c r="G3858" s="470" t="s">
        <v>7393</v>
      </c>
      <c r="H3858" s="482" t="s">
        <v>2032</v>
      </c>
      <c r="I3858" s="483">
        <f>(0.9774*7*1.7/1.5)/3.5*1</f>
        <v>2.2154400000000001</v>
      </c>
      <c r="J3858" s="473">
        <f t="shared" si="1872"/>
        <v>22.760000000000002</v>
      </c>
      <c r="K3858" s="474">
        <f t="shared" si="1885"/>
        <v>50.423414400000006</v>
      </c>
      <c r="L3858" s="473">
        <f t="shared" si="1878"/>
        <v>21.550000000000001</v>
      </c>
      <c r="M3858" s="474">
        <f t="shared" si="1886"/>
        <v>47.742732000000004</v>
      </c>
      <c r="N3858" s="510" t="s">
        <v>21333</v>
      </c>
      <c r="O3858" s="434">
        <f t="shared" si="1875"/>
        <v>22.760000000000002</v>
      </c>
      <c r="P3858" s="435">
        <f t="shared" si="1876"/>
        <v>21.550000000000001</v>
      </c>
      <c r="AE3858" s="217"/>
      <c r="AF3858" s="217">
        <v>1459</v>
      </c>
      <c r="AH3858">
        <f t="shared" si="1884"/>
        <v>1459</v>
      </c>
    </row>
    <row r="3859" ht="30" hidden="1">
      <c r="A3859" s="217"/>
      <c r="B3859" s="217">
        <v>1459</v>
      </c>
      <c r="C3859" s="217"/>
      <c r="D3859" s="217" t="s">
        <v>17167</v>
      </c>
      <c r="E3859" s="471" t="s">
        <v>20667</v>
      </c>
      <c r="F3859" s="486">
        <v>88240</v>
      </c>
      <c r="G3859" s="470" t="s">
        <v>7090</v>
      </c>
      <c r="H3859" s="482" t="s">
        <v>2032</v>
      </c>
      <c r="I3859" s="483">
        <f>(10.08/2)/3.5*1</f>
        <v>1.4399999999999999</v>
      </c>
      <c r="J3859" s="473">
        <f t="shared" si="1872"/>
        <v>22.16</v>
      </c>
      <c r="K3859" s="474">
        <f t="shared" si="1885"/>
        <v>31.910399999999999</v>
      </c>
      <c r="L3859" s="473">
        <f t="shared" si="1878"/>
        <v>20.899999999999999</v>
      </c>
      <c r="M3859" s="474">
        <f t="shared" si="1886"/>
        <v>30.095999999999997</v>
      </c>
      <c r="O3859" s="434">
        <f t="shared" si="1875"/>
        <v>22.16</v>
      </c>
      <c r="P3859" s="435">
        <f t="shared" si="1876"/>
        <v>20.899999999999999</v>
      </c>
      <c r="AE3859" s="217"/>
      <c r="AF3859" s="217">
        <v>1459</v>
      </c>
      <c r="AH3859">
        <f t="shared" si="1884"/>
        <v>1459</v>
      </c>
    </row>
    <row r="3860" ht="30" hidden="1">
      <c r="A3860" s="217"/>
      <c r="B3860" s="217">
        <v>1459</v>
      </c>
      <c r="C3860" s="217"/>
      <c r="D3860" s="217" t="s">
        <v>17167</v>
      </c>
      <c r="E3860" s="471" t="s">
        <v>20671</v>
      </c>
      <c r="F3860" s="486">
        <v>88317</v>
      </c>
      <c r="G3860" s="470" t="s">
        <v>7396</v>
      </c>
      <c r="H3860" s="482" t="s">
        <v>2032</v>
      </c>
      <c r="I3860" s="483">
        <f>(7.56/2)/3.5*1</f>
        <v>1.0800000000000001</v>
      </c>
      <c r="J3860" s="473">
        <f t="shared" si="1872"/>
        <v>29.559999999999999</v>
      </c>
      <c r="K3860" s="474">
        <f t="shared" si="1885"/>
        <v>31.924800000000001</v>
      </c>
      <c r="L3860" s="473">
        <f t="shared" si="1878"/>
        <v>27.949999999999999</v>
      </c>
      <c r="M3860" s="474">
        <f t="shared" si="1886"/>
        <v>30.186</v>
      </c>
      <c r="O3860" s="434">
        <f t="shared" si="1875"/>
        <v>29.559999999999999</v>
      </c>
      <c r="P3860" s="435">
        <f t="shared" si="1876"/>
        <v>27.949999999999999</v>
      </c>
      <c r="AE3860" s="217"/>
      <c r="AF3860" s="217">
        <v>1459</v>
      </c>
      <c r="AH3860">
        <f t="shared" si="1884"/>
        <v>1459</v>
      </c>
    </row>
    <row r="3861" ht="45.75" hidden="1">
      <c r="A3861" s="217"/>
      <c r="B3861" s="217">
        <v>1459</v>
      </c>
      <c r="C3861" s="217"/>
      <c r="D3861" s="217" t="s">
        <v>17167</v>
      </c>
      <c r="E3861" s="471" t="s">
        <v>20672</v>
      </c>
      <c r="F3861" s="486">
        <v>92880</v>
      </c>
      <c r="G3861" s="470" t="s">
        <v>21334</v>
      </c>
      <c r="H3861" s="482" t="s">
        <v>302</v>
      </c>
      <c r="I3861" s="483">
        <f>0.15*3*2*2.47*1.05</f>
        <v>2.3341500000000002</v>
      </c>
      <c r="J3861" s="473">
        <f t="shared" si="1872"/>
        <v>9.5800000000000001</v>
      </c>
      <c r="K3861" s="474">
        <f t="shared" si="1885"/>
        <v>22.361157000000002</v>
      </c>
      <c r="L3861" s="473">
        <f t="shared" si="1878"/>
        <v>9.5800000000000001</v>
      </c>
      <c r="M3861" s="474">
        <f t="shared" si="1886"/>
        <v>22.361157000000002</v>
      </c>
      <c r="O3861" s="434">
        <f t="shared" si="1875"/>
        <v>9.5800000000000001</v>
      </c>
      <c r="P3861" s="435">
        <f t="shared" si="1876"/>
        <v>9.5800000000000001</v>
      </c>
      <c r="AE3861" s="217"/>
      <c r="AF3861" s="217">
        <v>1459</v>
      </c>
      <c r="AH3861">
        <f t="shared" si="1884"/>
        <v>1459</v>
      </c>
    </row>
    <row r="3862" ht="30" hidden="1">
      <c r="A3862" s="217"/>
      <c r="B3862" s="217">
        <v>1459</v>
      </c>
      <c r="C3862" s="217"/>
      <c r="D3862" s="217" t="s">
        <v>17167</v>
      </c>
      <c r="E3862" s="471" t="s">
        <v>20673</v>
      </c>
      <c r="F3862" s="486">
        <v>88310</v>
      </c>
      <c r="G3862" s="470" t="s">
        <v>7386</v>
      </c>
      <c r="H3862" s="482" t="s">
        <v>2032</v>
      </c>
      <c r="I3862" s="483">
        <f>(10.08/1.5)/3.5*1</f>
        <v>1.9199999999999999</v>
      </c>
      <c r="J3862" s="473">
        <f t="shared" si="1872"/>
        <v>30.210000000000001</v>
      </c>
      <c r="K3862" s="474">
        <f t="shared" si="1885"/>
        <v>58.0032</v>
      </c>
      <c r="L3862" s="473">
        <f t="shared" si="1878"/>
        <v>28.600000000000001</v>
      </c>
      <c r="M3862" s="474">
        <f t="shared" si="1886"/>
        <v>54.911999999999999</v>
      </c>
      <c r="O3862" s="434">
        <f t="shared" si="1875"/>
        <v>30.210000000000001</v>
      </c>
      <c r="P3862" s="435">
        <f t="shared" si="1876"/>
        <v>28.600000000000001</v>
      </c>
      <c r="AE3862" s="217"/>
      <c r="AF3862" s="217">
        <v>1459</v>
      </c>
      <c r="AH3862">
        <f t="shared" si="1884"/>
        <v>1459</v>
      </c>
    </row>
    <row r="3863" ht="30" hidden="1">
      <c r="A3863" s="217"/>
      <c r="B3863" s="217">
        <v>1459</v>
      </c>
      <c r="C3863" s="217"/>
      <c r="D3863" s="217" t="s">
        <v>20408</v>
      </c>
      <c r="E3863" s="471" t="s">
        <v>20675</v>
      </c>
      <c r="F3863" s="486">
        <v>7307</v>
      </c>
      <c r="G3863" s="470" t="s">
        <v>20998</v>
      </c>
      <c r="H3863" s="482" t="s">
        <v>9794</v>
      </c>
      <c r="I3863" s="483">
        <f>(0.41958*3.6/2)/3.5*1</f>
        <v>0.215784</v>
      </c>
      <c r="J3863" s="473">
        <f t="shared" si="1872"/>
        <v>41.960000000000001</v>
      </c>
      <c r="K3863" s="474">
        <f t="shared" si="1885"/>
        <v>9.0542966400000005</v>
      </c>
      <c r="L3863" s="473">
        <f t="shared" si="1878"/>
        <v>41.960000000000001</v>
      </c>
      <c r="M3863" s="474">
        <f t="shared" si="1886"/>
        <v>9.0542966400000005</v>
      </c>
      <c r="O3863" s="434">
        <f t="shared" si="1875"/>
        <v>41.960000000000001</v>
      </c>
      <c r="P3863" s="435">
        <f t="shared" si="1876"/>
        <v>41.960000000000001</v>
      </c>
      <c r="AE3863" s="217"/>
      <c r="AF3863" s="217">
        <v>1459</v>
      </c>
      <c r="AH3863">
        <f t="shared" si="1884"/>
        <v>1459</v>
      </c>
    </row>
    <row r="3864" ht="30" hidden="1">
      <c r="A3864" s="217"/>
      <c r="B3864" s="217">
        <v>1459</v>
      </c>
      <c r="C3864" s="217"/>
      <c r="D3864" s="217" t="s">
        <v>20408</v>
      </c>
      <c r="E3864" s="471" t="s">
        <v>20677</v>
      </c>
      <c r="F3864" s="486">
        <v>43647</v>
      </c>
      <c r="G3864" s="470" t="s">
        <v>14768</v>
      </c>
      <c r="H3864" s="482" t="s">
        <v>9794</v>
      </c>
      <c r="I3864" s="483">
        <f>(0.504*3.6/2)/3.5*1</f>
        <v>0.25919999999999999</v>
      </c>
      <c r="J3864" s="473">
        <f t="shared" si="1872"/>
        <v>28.920000000000002</v>
      </c>
      <c r="K3864" s="474">
        <f t="shared" si="1885"/>
        <v>7.4960639999999996</v>
      </c>
      <c r="L3864" s="473">
        <f t="shared" si="1878"/>
        <v>28.920000000000002</v>
      </c>
      <c r="M3864" s="474">
        <f t="shared" si="1886"/>
        <v>7.4960639999999996</v>
      </c>
      <c r="O3864" s="434">
        <f t="shared" si="1875"/>
        <v>28.920000000000002</v>
      </c>
      <c r="P3864" s="435">
        <f t="shared" si="1876"/>
        <v>28.920000000000002</v>
      </c>
      <c r="AE3864" s="217"/>
      <c r="AF3864" s="217">
        <v>1459</v>
      </c>
      <c r="AH3864">
        <f t="shared" si="1884"/>
        <v>1459</v>
      </c>
    </row>
    <row r="3865" ht="45" hidden="1">
      <c r="A3865" s="217"/>
      <c r="B3865" s="217">
        <v>1459</v>
      </c>
      <c r="C3865" s="217"/>
      <c r="D3865" s="217" t="s">
        <v>20408</v>
      </c>
      <c r="E3865" s="471" t="s">
        <v>20679</v>
      </c>
      <c r="F3865" s="486">
        <v>43054</v>
      </c>
      <c r="G3865" s="470" t="s">
        <v>21335</v>
      </c>
      <c r="H3865" s="482" t="s">
        <v>302</v>
      </c>
      <c r="I3865" s="483">
        <f>0.2*1.6*1.05</f>
        <v>0.33600000000000002</v>
      </c>
      <c r="J3865" s="473">
        <f t="shared" si="1872"/>
        <v>8.3599999999999994</v>
      </c>
      <c r="K3865" s="474">
        <f t="shared" si="1885"/>
        <v>2.8089599999999999</v>
      </c>
      <c r="L3865" s="473">
        <f t="shared" si="1878"/>
        <v>8.3599999999999994</v>
      </c>
      <c r="M3865" s="474">
        <f t="shared" si="1886"/>
        <v>2.8089599999999999</v>
      </c>
      <c r="O3865" s="434">
        <f t="shared" si="1875"/>
        <v>8.3599999999999994</v>
      </c>
      <c r="P3865" s="435">
        <f t="shared" si="1876"/>
        <v>8.3599999999999994</v>
      </c>
      <c r="AE3865" s="217"/>
      <c r="AF3865" s="217">
        <v>1459</v>
      </c>
      <c r="AH3865">
        <f t="shared" si="1884"/>
        <v>1459</v>
      </c>
    </row>
    <row r="3866" ht="45" hidden="1">
      <c r="A3866" s="217"/>
      <c r="B3866" s="217">
        <v>1459</v>
      </c>
      <c r="C3866" s="217"/>
      <c r="D3866" s="217" t="s">
        <v>20408</v>
      </c>
      <c r="E3866" s="471" t="s">
        <v>20681</v>
      </c>
      <c r="F3866" s="486">
        <v>546</v>
      </c>
      <c r="G3866" s="470" t="s">
        <v>21336</v>
      </c>
      <c r="H3866" s="482" t="s">
        <v>302</v>
      </c>
      <c r="I3866" s="483">
        <f>((0.78*4+0.9*4)+0.2*4)*0.4*1.05+0.1*2*1.27*1.05</f>
        <v>3.4251</v>
      </c>
      <c r="J3866" s="473">
        <f t="shared" si="1872"/>
        <v>9.5899999999999999</v>
      </c>
      <c r="K3866" s="474">
        <f t="shared" si="1885"/>
        <v>32.846708999999997</v>
      </c>
      <c r="L3866" s="473">
        <f t="shared" si="1878"/>
        <v>9.5899999999999999</v>
      </c>
      <c r="M3866" s="474">
        <f t="shared" si="1886"/>
        <v>32.846708999999997</v>
      </c>
      <c r="O3866" s="434">
        <f t="shared" si="1875"/>
        <v>9.5899999999999999</v>
      </c>
      <c r="P3866" s="435">
        <f t="shared" si="1876"/>
        <v>9.5899999999999999</v>
      </c>
      <c r="AE3866" s="217"/>
      <c r="AF3866" s="217">
        <v>1459</v>
      </c>
      <c r="AH3866">
        <f t="shared" si="1884"/>
        <v>1459</v>
      </c>
    </row>
    <row r="3867" ht="60" hidden="1">
      <c r="A3867" s="217"/>
      <c r="B3867" s="217">
        <v>1459</v>
      </c>
      <c r="C3867" s="217"/>
      <c r="D3867" s="217" t="s">
        <v>20408</v>
      </c>
      <c r="E3867" s="471" t="s">
        <v>20683</v>
      </c>
      <c r="F3867" s="486">
        <v>4777</v>
      </c>
      <c r="G3867" s="470" t="s">
        <v>21337</v>
      </c>
      <c r="H3867" s="482" t="s">
        <v>302</v>
      </c>
      <c r="I3867" s="483">
        <f>((0.78*4+0.9*4)+0.15*6)*1.04*1.05</f>
        <v>8.32104</v>
      </c>
      <c r="J3867" s="473">
        <f t="shared" si="1872"/>
        <v>8.0199999999999996</v>
      </c>
      <c r="K3867" s="474">
        <f t="shared" si="1885"/>
        <v>66.734740799999997</v>
      </c>
      <c r="L3867" s="473">
        <f t="shared" si="1878"/>
        <v>8.0199999999999996</v>
      </c>
      <c r="M3867" s="474">
        <f t="shared" si="1886"/>
        <v>66.734740799999997</v>
      </c>
      <c r="O3867" s="434">
        <f t="shared" si="1875"/>
        <v>8.0199999999999996</v>
      </c>
      <c r="P3867" s="435">
        <f t="shared" si="1876"/>
        <v>8.0199999999999996</v>
      </c>
      <c r="AE3867" s="217"/>
      <c r="AF3867" s="217">
        <v>1459</v>
      </c>
      <c r="AH3867">
        <f t="shared" si="1884"/>
        <v>1459</v>
      </c>
    </row>
    <row r="3868" ht="51.75" hidden="1" customHeight="1">
      <c r="A3868" s="460">
        <v>1460</v>
      </c>
      <c r="B3868" s="460">
        <v>1460</v>
      </c>
      <c r="C3868" s="460"/>
      <c r="D3868" s="460"/>
      <c r="E3868" s="461">
        <v>1</v>
      </c>
      <c r="F3868" s="462" t="s">
        <v>22423</v>
      </c>
      <c r="G3868" s="477" t="s">
        <v>22424</v>
      </c>
      <c r="H3868" s="478" t="s">
        <v>20196</v>
      </c>
      <c r="I3868" s="479"/>
      <c r="J3868" s="480"/>
      <c r="K3868" s="466">
        <f>SUM(K3869:K3874)</f>
        <v>532.2218499999999</v>
      </c>
      <c r="L3868" s="480"/>
      <c r="M3868" s="466">
        <f>SUM(M3869:M3874)</f>
        <v>518.61744999999996</v>
      </c>
      <c r="O3868" s="434" t="str">
        <f t="shared" si="1875"/>
        <v xml:space="preserve">SEM VALOR</v>
      </c>
      <c r="P3868" s="435" t="str">
        <f t="shared" si="1876"/>
        <v xml:space="preserve">SEM VALOR</v>
      </c>
      <c r="AE3868" s="460">
        <v>1460</v>
      </c>
      <c r="AF3868" s="460"/>
      <c r="AH3868">
        <f t="shared" si="1884"/>
        <v>1460</v>
      </c>
    </row>
    <row r="3869" ht="60" hidden="1">
      <c r="A3869" s="217"/>
      <c r="B3869" s="217">
        <v>1460</v>
      </c>
      <c r="C3869" s="217"/>
      <c r="D3869" s="217" t="s">
        <v>17167</v>
      </c>
      <c r="E3869" s="471" t="s">
        <v>20399</v>
      </c>
      <c r="F3869" s="482">
        <v>101174</v>
      </c>
      <c r="G3869" s="470" t="s">
        <v>3760</v>
      </c>
      <c r="H3869" s="482" t="s">
        <v>20196</v>
      </c>
      <c r="I3869" s="483">
        <v>3</v>
      </c>
      <c r="J3869" s="473">
        <f t="shared" si="1872"/>
        <v>86.799999999999997</v>
      </c>
      <c r="K3869" s="474">
        <f t="shared" ref="K3869:K3874" si="1887">I3869*J3869</f>
        <v>260.39999999999998</v>
      </c>
      <c r="L3869" s="473">
        <f t="shared" si="1878"/>
        <v>84.010000000000005</v>
      </c>
      <c r="M3869" s="474">
        <f t="shared" ref="M3869:M3874" si="1888">L3869*I3869</f>
        <v>252.03000000000003</v>
      </c>
      <c r="O3869" s="434">
        <f t="shared" si="1875"/>
        <v>86.799999999999997</v>
      </c>
      <c r="P3869" s="435">
        <f t="shared" si="1876"/>
        <v>84.010000000000005</v>
      </c>
      <c r="AE3869" s="217"/>
      <c r="AF3869" s="217">
        <v>1460</v>
      </c>
      <c r="AH3869">
        <f t="shared" si="1884"/>
        <v>1460</v>
      </c>
    </row>
    <row r="3870" ht="90" hidden="1">
      <c r="A3870" s="217"/>
      <c r="B3870" s="217">
        <v>1460</v>
      </c>
      <c r="C3870" s="217"/>
      <c r="D3870" s="217" t="s">
        <v>17167</v>
      </c>
      <c r="E3870" s="471" t="s">
        <v>20402</v>
      </c>
      <c r="F3870" s="482">
        <v>92431</v>
      </c>
      <c r="G3870" s="470" t="s">
        <v>4303</v>
      </c>
      <c r="H3870" s="482" t="s">
        <v>15515</v>
      </c>
      <c r="I3870" s="483">
        <v>1.2</v>
      </c>
      <c r="J3870" s="473">
        <f t="shared" ref="J3870:J3933" si="1889">O3870*$J$3</f>
        <v>70.030000000000001</v>
      </c>
      <c r="K3870" s="474">
        <f t="shared" si="1887"/>
        <v>84.036000000000001</v>
      </c>
      <c r="L3870" s="473">
        <f t="shared" si="1878"/>
        <v>68.510000000000005</v>
      </c>
      <c r="M3870" s="474">
        <f t="shared" si="1888"/>
        <v>82.212000000000003</v>
      </c>
      <c r="O3870" s="434">
        <f t="shared" si="1875"/>
        <v>70.030000000000001</v>
      </c>
      <c r="P3870" s="435">
        <f t="shared" si="1876"/>
        <v>68.510000000000005</v>
      </c>
      <c r="AE3870" s="217"/>
      <c r="AF3870" s="217">
        <v>1460</v>
      </c>
      <c r="AH3870">
        <f t="shared" si="1884"/>
        <v>1460</v>
      </c>
    </row>
    <row r="3871" ht="75" hidden="1">
      <c r="A3871" s="217"/>
      <c r="B3871" s="217">
        <v>1460</v>
      </c>
      <c r="C3871" s="217"/>
      <c r="D3871" s="217" t="s">
        <v>17167</v>
      </c>
      <c r="E3871" s="471" t="s">
        <v>20405</v>
      </c>
      <c r="F3871" s="482">
        <v>92759</v>
      </c>
      <c r="G3871" s="470" t="s">
        <v>339</v>
      </c>
      <c r="H3871" s="482" t="s">
        <v>302</v>
      </c>
      <c r="I3871" s="483">
        <v>2.0800000000000001</v>
      </c>
      <c r="J3871" s="473">
        <f t="shared" si="1889"/>
        <v>13.880000000000001</v>
      </c>
      <c r="K3871" s="474">
        <f t="shared" si="1887"/>
        <v>28.870400000000004</v>
      </c>
      <c r="L3871" s="473">
        <f t="shared" si="1878"/>
        <v>13.58</v>
      </c>
      <c r="M3871" s="474">
        <f t="shared" si="1888"/>
        <v>28.246400000000001</v>
      </c>
      <c r="O3871" s="434">
        <f t="shared" si="1875"/>
        <v>13.880000000000001</v>
      </c>
      <c r="P3871" s="435">
        <f t="shared" si="1876"/>
        <v>13.58</v>
      </c>
      <c r="AE3871" s="217"/>
      <c r="AF3871" s="217">
        <v>1460</v>
      </c>
      <c r="AH3871">
        <f t="shared" si="1884"/>
        <v>1460</v>
      </c>
    </row>
    <row r="3872" ht="75" hidden="1">
      <c r="A3872" s="217"/>
      <c r="B3872" s="217">
        <v>1460</v>
      </c>
      <c r="C3872" s="217"/>
      <c r="D3872" s="217" t="s">
        <v>17167</v>
      </c>
      <c r="E3872" s="471" t="s">
        <v>20409</v>
      </c>
      <c r="F3872" s="482">
        <v>104108</v>
      </c>
      <c r="G3872" s="470" t="s">
        <v>340</v>
      </c>
      <c r="H3872" s="482" t="s">
        <v>302</v>
      </c>
      <c r="I3872" s="483">
        <v>9.8200000000000003</v>
      </c>
      <c r="J3872" s="473">
        <f t="shared" si="1889"/>
        <v>12.529999999999999</v>
      </c>
      <c r="K3872" s="474">
        <f t="shared" si="1887"/>
        <v>123.0446</v>
      </c>
      <c r="L3872" s="473">
        <f t="shared" si="1878"/>
        <v>12.35</v>
      </c>
      <c r="M3872" s="474">
        <f t="shared" si="1888"/>
        <v>121.277</v>
      </c>
      <c r="O3872" s="434">
        <f t="shared" si="1875"/>
        <v>12.529999999999999</v>
      </c>
      <c r="P3872" s="435">
        <f t="shared" si="1876"/>
        <v>12.35</v>
      </c>
      <c r="AE3872" s="217"/>
      <c r="AF3872" s="217">
        <v>1460</v>
      </c>
      <c r="AH3872">
        <f t="shared" si="1884"/>
        <v>1460</v>
      </c>
    </row>
    <row r="3873" ht="60" hidden="1">
      <c r="A3873" s="217"/>
      <c r="B3873" s="217">
        <v>1460</v>
      </c>
      <c r="C3873" s="217"/>
      <c r="D3873" s="217" t="s">
        <v>17167</v>
      </c>
      <c r="E3873" s="471" t="s">
        <v>20663</v>
      </c>
      <c r="F3873" s="482">
        <v>94964</v>
      </c>
      <c r="G3873" s="470" t="s">
        <v>8711</v>
      </c>
      <c r="H3873" s="482" t="s">
        <v>15528</v>
      </c>
      <c r="I3873" s="483">
        <v>4.4999999999999998e-002</v>
      </c>
      <c r="J3873" s="473">
        <f t="shared" si="1889"/>
        <v>488.52999999999997</v>
      </c>
      <c r="K3873" s="474">
        <f t="shared" si="1887"/>
        <v>21.983849999999997</v>
      </c>
      <c r="L3873" s="473">
        <f t="shared" si="1878"/>
        <v>482.79000000000002</v>
      </c>
      <c r="M3873" s="474">
        <f t="shared" si="1888"/>
        <v>21.725549999999998</v>
      </c>
      <c r="O3873" s="434">
        <f t="shared" si="1875"/>
        <v>488.52999999999997</v>
      </c>
      <c r="P3873" s="435">
        <f t="shared" si="1876"/>
        <v>482.79000000000002</v>
      </c>
      <c r="AE3873" s="217"/>
      <c r="AF3873" s="217">
        <v>1460</v>
      </c>
      <c r="AH3873">
        <f t="shared" si="1884"/>
        <v>1460</v>
      </c>
    </row>
    <row r="3874" ht="60" hidden="1">
      <c r="A3874" s="217"/>
      <c r="B3874" s="217">
        <v>1460</v>
      </c>
      <c r="C3874" s="217"/>
      <c r="D3874" s="217" t="s">
        <v>17167</v>
      </c>
      <c r="E3874" s="471" t="s">
        <v>20665</v>
      </c>
      <c r="F3874" s="482">
        <v>103670</v>
      </c>
      <c r="G3874" s="470" t="s">
        <v>1387</v>
      </c>
      <c r="H3874" s="482" t="s">
        <v>15528</v>
      </c>
      <c r="I3874" s="483">
        <v>4.4999999999999998e-002</v>
      </c>
      <c r="J3874" s="473">
        <f t="shared" si="1889"/>
        <v>308.60000000000002</v>
      </c>
      <c r="K3874" s="474">
        <f t="shared" si="1887"/>
        <v>13.887</v>
      </c>
      <c r="L3874" s="473">
        <f t="shared" si="1878"/>
        <v>291.69999999999999</v>
      </c>
      <c r="M3874" s="474">
        <f t="shared" si="1888"/>
        <v>13.126499999999998</v>
      </c>
      <c r="O3874" s="434">
        <f t="shared" si="1875"/>
        <v>308.60000000000002</v>
      </c>
      <c r="P3874" s="435">
        <f t="shared" si="1876"/>
        <v>291.69999999999999</v>
      </c>
      <c r="AE3874" s="217"/>
      <c r="AF3874" s="217">
        <v>1460</v>
      </c>
      <c r="AH3874">
        <f t="shared" si="1884"/>
        <v>1460</v>
      </c>
    </row>
    <row r="3875" ht="49.5" hidden="1" customHeight="1">
      <c r="A3875" s="460">
        <v>1461</v>
      </c>
      <c r="B3875" s="460">
        <v>1461</v>
      </c>
      <c r="C3875" s="460"/>
      <c r="D3875" s="460"/>
      <c r="E3875" s="461">
        <v>1</v>
      </c>
      <c r="F3875" s="462" t="s">
        <v>22425</v>
      </c>
      <c r="G3875" s="477" t="s">
        <v>22426</v>
      </c>
      <c r="H3875" s="478" t="s">
        <v>20196</v>
      </c>
      <c r="I3875" s="479"/>
      <c r="J3875" s="480"/>
      <c r="K3875" s="466">
        <f>SUM(K3876:K3881)</f>
        <v>620.05879000000004</v>
      </c>
      <c r="L3875" s="480"/>
      <c r="M3875" s="466">
        <f>SUM(M3876:M3881)</f>
        <v>604.54387000000008</v>
      </c>
      <c r="O3875" s="434" t="str">
        <f t="shared" si="1875"/>
        <v xml:space="preserve">SEM VALOR</v>
      </c>
      <c r="P3875" s="435" t="str">
        <f t="shared" si="1876"/>
        <v xml:space="preserve">SEM VALOR</v>
      </c>
      <c r="AE3875" s="460">
        <v>1461</v>
      </c>
      <c r="AF3875" s="460"/>
      <c r="AH3875">
        <f t="shared" si="1884"/>
        <v>1461</v>
      </c>
    </row>
    <row r="3876" ht="60" hidden="1">
      <c r="A3876" s="217"/>
      <c r="B3876" s="217">
        <v>1461</v>
      </c>
      <c r="C3876" s="217"/>
      <c r="D3876" s="217" t="s">
        <v>17167</v>
      </c>
      <c r="E3876" s="471" t="s">
        <v>20399</v>
      </c>
      <c r="F3876" s="482">
        <v>101174</v>
      </c>
      <c r="G3876" s="470" t="s">
        <v>3760</v>
      </c>
      <c r="H3876" s="482" t="s">
        <v>20196</v>
      </c>
      <c r="I3876" s="483">
        <v>3.1000000000000001</v>
      </c>
      <c r="J3876" s="473">
        <f t="shared" si="1889"/>
        <v>86.799999999999997</v>
      </c>
      <c r="K3876" s="474">
        <f t="shared" ref="K3876:K3881" si="1890">I3876*J3876</f>
        <v>269.07999999999998</v>
      </c>
      <c r="L3876" s="473">
        <f t="shared" si="1878"/>
        <v>84.010000000000005</v>
      </c>
      <c r="M3876" s="474">
        <f t="shared" ref="M3876:M3881" si="1891">L3876*I3876</f>
        <v>260.43100000000004</v>
      </c>
      <c r="O3876" s="434">
        <f t="shared" si="1875"/>
        <v>86.799999999999997</v>
      </c>
      <c r="P3876" s="435">
        <f t="shared" si="1876"/>
        <v>84.010000000000005</v>
      </c>
      <c r="AE3876" s="217"/>
      <c r="AF3876" s="217">
        <v>1461</v>
      </c>
      <c r="AH3876">
        <f t="shared" si="1884"/>
        <v>1461</v>
      </c>
    </row>
    <row r="3877" ht="90" hidden="1">
      <c r="A3877" s="217"/>
      <c r="B3877" s="217">
        <v>1461</v>
      </c>
      <c r="C3877" s="217"/>
      <c r="D3877" s="217" t="s">
        <v>17167</v>
      </c>
      <c r="E3877" s="471" t="s">
        <v>20402</v>
      </c>
      <c r="F3877" s="482">
        <v>92431</v>
      </c>
      <c r="G3877" s="470" t="s">
        <v>4303</v>
      </c>
      <c r="H3877" s="482" t="s">
        <v>15515</v>
      </c>
      <c r="I3877" s="483">
        <v>1.6799999999999999</v>
      </c>
      <c r="J3877" s="473">
        <f t="shared" si="1889"/>
        <v>70.030000000000001</v>
      </c>
      <c r="K3877" s="474">
        <f t="shared" si="1890"/>
        <v>117.65039999999999</v>
      </c>
      <c r="L3877" s="473">
        <f t="shared" si="1878"/>
        <v>68.510000000000005</v>
      </c>
      <c r="M3877" s="474">
        <f t="shared" si="1891"/>
        <v>115.0968</v>
      </c>
      <c r="O3877" s="434">
        <f t="shared" si="1875"/>
        <v>70.030000000000001</v>
      </c>
      <c r="P3877" s="435">
        <f t="shared" si="1876"/>
        <v>68.510000000000005</v>
      </c>
      <c r="AE3877" s="217"/>
      <c r="AF3877" s="217">
        <v>1461</v>
      </c>
      <c r="AH3877">
        <f t="shared" si="1884"/>
        <v>1461</v>
      </c>
    </row>
    <row r="3878" ht="75" hidden="1">
      <c r="A3878" s="217"/>
      <c r="B3878" s="217">
        <v>1461</v>
      </c>
      <c r="C3878" s="217"/>
      <c r="D3878" s="217" t="s">
        <v>17167</v>
      </c>
      <c r="E3878" s="471" t="s">
        <v>20405</v>
      </c>
      <c r="F3878" s="482">
        <v>92759</v>
      </c>
      <c r="G3878" s="470" t="s">
        <v>339</v>
      </c>
      <c r="H3878" s="482" t="s">
        <v>302</v>
      </c>
      <c r="I3878" s="483">
        <v>2.54</v>
      </c>
      <c r="J3878" s="473">
        <f t="shared" si="1889"/>
        <v>13.880000000000001</v>
      </c>
      <c r="K3878" s="474">
        <f t="shared" si="1890"/>
        <v>35.255200000000002</v>
      </c>
      <c r="L3878" s="473">
        <f t="shared" si="1878"/>
        <v>13.58</v>
      </c>
      <c r="M3878" s="474">
        <f t="shared" si="1891"/>
        <v>34.493200000000002</v>
      </c>
      <c r="O3878" s="434">
        <f t="shared" si="1875"/>
        <v>13.880000000000001</v>
      </c>
      <c r="P3878" s="435">
        <f t="shared" si="1876"/>
        <v>13.58</v>
      </c>
      <c r="AE3878" s="217"/>
      <c r="AF3878" s="217">
        <v>1461</v>
      </c>
      <c r="AH3878">
        <f t="shared" si="1884"/>
        <v>1461</v>
      </c>
    </row>
    <row r="3879" ht="75" hidden="1">
      <c r="A3879" s="217"/>
      <c r="B3879" s="217">
        <v>1461</v>
      </c>
      <c r="C3879" s="217"/>
      <c r="D3879" s="217" t="s">
        <v>17167</v>
      </c>
      <c r="E3879" s="471" t="s">
        <v>20409</v>
      </c>
      <c r="F3879" s="482">
        <v>104108</v>
      </c>
      <c r="G3879" s="470" t="s">
        <v>340</v>
      </c>
      <c r="H3879" s="482" t="s">
        <v>302</v>
      </c>
      <c r="I3879" s="483">
        <v>11.800000000000001</v>
      </c>
      <c r="J3879" s="473">
        <f t="shared" si="1889"/>
        <v>12.529999999999999</v>
      </c>
      <c r="K3879" s="474">
        <f t="shared" si="1890"/>
        <v>147.85400000000001</v>
      </c>
      <c r="L3879" s="473">
        <f t="shared" si="1878"/>
        <v>12.35</v>
      </c>
      <c r="M3879" s="474">
        <f t="shared" si="1891"/>
        <v>145.73000000000002</v>
      </c>
      <c r="O3879" s="434">
        <f t="shared" si="1875"/>
        <v>12.529999999999999</v>
      </c>
      <c r="P3879" s="435">
        <f t="shared" si="1876"/>
        <v>12.35</v>
      </c>
      <c r="AE3879" s="217"/>
      <c r="AF3879" s="217">
        <v>1461</v>
      </c>
      <c r="AH3879">
        <f t="shared" si="1884"/>
        <v>1461</v>
      </c>
    </row>
    <row r="3880" ht="60" hidden="1">
      <c r="A3880" s="217"/>
      <c r="B3880" s="217">
        <v>1461</v>
      </c>
      <c r="C3880" s="217"/>
      <c r="D3880" s="217" t="s">
        <v>17167</v>
      </c>
      <c r="E3880" s="471" t="s">
        <v>20663</v>
      </c>
      <c r="F3880" s="482">
        <v>94964</v>
      </c>
      <c r="G3880" s="470" t="s">
        <v>8711</v>
      </c>
      <c r="H3880" s="482" t="s">
        <v>15528</v>
      </c>
      <c r="I3880" s="483">
        <v>6.3e-002</v>
      </c>
      <c r="J3880" s="473">
        <f t="shared" si="1889"/>
        <v>488.52999999999997</v>
      </c>
      <c r="K3880" s="474">
        <f t="shared" si="1890"/>
        <v>30.777389999999997</v>
      </c>
      <c r="L3880" s="473">
        <f t="shared" si="1878"/>
        <v>482.79000000000002</v>
      </c>
      <c r="M3880" s="474">
        <f t="shared" si="1891"/>
        <v>30.415770000000002</v>
      </c>
      <c r="O3880" s="434">
        <f t="shared" si="1875"/>
        <v>488.52999999999997</v>
      </c>
      <c r="P3880" s="435">
        <f t="shared" si="1876"/>
        <v>482.79000000000002</v>
      </c>
      <c r="AE3880" s="217"/>
      <c r="AF3880" s="217">
        <v>1461</v>
      </c>
      <c r="AH3880">
        <f t="shared" si="1884"/>
        <v>1461</v>
      </c>
    </row>
    <row r="3881" ht="60" hidden="1">
      <c r="A3881" s="217"/>
      <c r="B3881" s="217">
        <v>1461</v>
      </c>
      <c r="C3881" s="217"/>
      <c r="D3881" s="217" t="s">
        <v>17167</v>
      </c>
      <c r="E3881" s="471" t="s">
        <v>20665</v>
      </c>
      <c r="F3881" s="482">
        <v>103670</v>
      </c>
      <c r="G3881" s="470" t="s">
        <v>1387</v>
      </c>
      <c r="H3881" s="482" t="s">
        <v>15528</v>
      </c>
      <c r="I3881" s="483">
        <v>6.3e-002</v>
      </c>
      <c r="J3881" s="473">
        <f t="shared" si="1889"/>
        <v>308.60000000000002</v>
      </c>
      <c r="K3881" s="474">
        <f t="shared" si="1890"/>
        <v>19.441800000000001</v>
      </c>
      <c r="L3881" s="473">
        <f t="shared" si="1878"/>
        <v>291.69999999999999</v>
      </c>
      <c r="M3881" s="474">
        <f t="shared" si="1891"/>
        <v>18.377099999999999</v>
      </c>
      <c r="O3881" s="434">
        <f t="shared" si="1875"/>
        <v>308.60000000000002</v>
      </c>
      <c r="P3881" s="435">
        <f t="shared" si="1876"/>
        <v>291.69999999999999</v>
      </c>
      <c r="AE3881" s="217"/>
      <c r="AF3881" s="217">
        <v>1461</v>
      </c>
      <c r="AH3881">
        <f t="shared" si="1884"/>
        <v>1461</v>
      </c>
    </row>
    <row r="3882" ht="69" hidden="1" customHeight="1">
      <c r="A3882" s="460">
        <v>1462</v>
      </c>
      <c r="B3882" s="460">
        <v>1462</v>
      </c>
      <c r="C3882" s="460"/>
      <c r="D3882" s="460"/>
      <c r="E3882" s="461">
        <v>1</v>
      </c>
      <c r="F3882" s="462" t="s">
        <v>22427</v>
      </c>
      <c r="G3882" s="477" t="s">
        <v>22428</v>
      </c>
      <c r="H3882" s="478" t="s">
        <v>20196</v>
      </c>
      <c r="I3882" s="479"/>
      <c r="J3882" s="480"/>
      <c r="K3882" s="466">
        <f>SUM(K3883:K3888)</f>
        <v>962.24604699999986</v>
      </c>
      <c r="L3882" s="480"/>
      <c r="M3882" s="466">
        <f>SUM(M3883:M3888)</f>
        <v>936.94385699999998</v>
      </c>
      <c r="N3882" s="467" t="s">
        <v>22429</v>
      </c>
      <c r="O3882" s="434" t="str">
        <f t="shared" si="1875"/>
        <v xml:space="preserve">SEM VALOR</v>
      </c>
      <c r="P3882" s="435" t="str">
        <f t="shared" si="1876"/>
        <v xml:space="preserve">SEM VALOR</v>
      </c>
      <c r="AE3882" s="460">
        <v>1462</v>
      </c>
      <c r="AF3882" s="460"/>
      <c r="AH3882">
        <f t="shared" si="1884"/>
        <v>1462</v>
      </c>
    </row>
    <row r="3883" ht="30" hidden="1">
      <c r="A3883" s="217"/>
      <c r="B3883" s="217">
        <v>1462</v>
      </c>
      <c r="C3883" s="217"/>
      <c r="D3883" s="217" t="s">
        <v>17167</v>
      </c>
      <c r="E3883" s="471" t="s">
        <v>20399</v>
      </c>
      <c r="F3883" s="489">
        <v>88316</v>
      </c>
      <c r="G3883" s="470" t="s">
        <v>7393</v>
      </c>
      <c r="H3883" s="471" t="s">
        <v>2032</v>
      </c>
      <c r="I3883" s="472">
        <v>0.94679999999999997</v>
      </c>
      <c r="J3883" s="473">
        <f t="shared" si="1889"/>
        <v>22.760000000000002</v>
      </c>
      <c r="K3883" s="474">
        <f t="shared" ref="K3883:K3888" si="1892">I3883*J3883</f>
        <v>21.549168000000002</v>
      </c>
      <c r="L3883" s="473">
        <f t="shared" si="1878"/>
        <v>21.550000000000001</v>
      </c>
      <c r="M3883" s="474">
        <f t="shared" ref="M3883:M3888" si="1893">L3883*I3883</f>
        <v>20.40354</v>
      </c>
      <c r="O3883" s="434">
        <f t="shared" si="1875"/>
        <v>22.760000000000002</v>
      </c>
      <c r="P3883" s="435">
        <f t="shared" si="1876"/>
        <v>21.550000000000001</v>
      </c>
      <c r="AE3883" s="217"/>
      <c r="AF3883" s="217">
        <v>1462</v>
      </c>
      <c r="AH3883">
        <f t="shared" si="1884"/>
        <v>1462</v>
      </c>
    </row>
    <row r="3884" ht="45" hidden="1">
      <c r="A3884" s="217"/>
      <c r="B3884" s="217">
        <v>1462</v>
      </c>
      <c r="C3884" s="217"/>
      <c r="D3884" s="217" t="s">
        <v>20408</v>
      </c>
      <c r="E3884" s="471" t="s">
        <v>20402</v>
      </c>
      <c r="F3884" s="482">
        <v>4730</v>
      </c>
      <c r="G3884" s="572" t="s">
        <v>21325</v>
      </c>
      <c r="H3884" s="499" t="s">
        <v>22034</v>
      </c>
      <c r="I3884" s="483">
        <v>0.37480000000000002</v>
      </c>
      <c r="J3884" s="473">
        <f t="shared" si="1889"/>
        <v>94.450000000000003</v>
      </c>
      <c r="K3884" s="474">
        <f t="shared" si="1892"/>
        <v>35.399860000000004</v>
      </c>
      <c r="L3884" s="473">
        <f t="shared" si="1878"/>
        <v>94.450000000000003</v>
      </c>
      <c r="M3884" s="474">
        <f t="shared" si="1893"/>
        <v>35.399860000000004</v>
      </c>
      <c r="O3884" s="434">
        <f t="shared" ref="O3884:O3947" si="1894">IFERROR(IF(D3884="SINAPI",VLOOKUP(F3884,SINCOMOD,4,FALSE),IF(D3884="INSINAPI",VLOOKUP(F3884,INSINOD,5,FALSE),IF(D3884="SICRO",VLOOKUP(F3884,SICRO,5,FALSE),IF(D3884="COTACAO",VLOOKUP(F3884,COTACAO,6,FALSE),IF(D3884="PRÓPRIO",VLOOKUP(F3884,COMPOD,11,FALSE),IF(D3884="AGESUL",VLOOKUP(F3884,AGESULOD,6,FALSE),IF(D3884="INSAGESUL",VLOOKUP(F3884,INSAGESUL,7,FALSE),"SEM VALOR"))))))),"SEM VALOR")</f>
        <v>94.450000000000003</v>
      </c>
      <c r="P3884" s="435">
        <f t="shared" ref="P3884:P3947" si="1895">IFERROR(IF(D3884="SINAPI",VLOOKUP(F3884,SINCOMOD,6,FALSE),IF(D3884="INSINAPI",VLOOKUP(F3884,INSINOD,6,FALSE),IF(D3884="SICRO",VLOOKUP(F3884,SICRO,5,FALSE),IF(D3884="COTACAO",VLOOKUP(F3884,COTACAO,6,FALSE),IF(D3884="PRÓPRIO",VLOOKUP(F3884,COMPOD,13,FALSE),IF(D3884="AGESUL",VLOOKUP(F3884,AGESULOD,11,FALSE),IF(D3884="INSAGESUL",VLOOKUP(F3884,INSAGESUL,8,FALSE),"SEM VALOR"))))))),"SEM VALOR")</f>
        <v>94.450000000000003</v>
      </c>
      <c r="AE3884" s="217"/>
      <c r="AF3884" s="217">
        <v>1462</v>
      </c>
      <c r="AH3884">
        <f t="shared" si="1884"/>
        <v>1462</v>
      </c>
    </row>
    <row r="3885" ht="60" hidden="1">
      <c r="A3885" s="217"/>
      <c r="B3885" s="217">
        <v>1462</v>
      </c>
      <c r="C3885" s="217"/>
      <c r="D3885" s="217" t="s">
        <v>17167</v>
      </c>
      <c r="E3885" s="471" t="s">
        <v>20405</v>
      </c>
      <c r="F3885" s="482">
        <v>101616</v>
      </c>
      <c r="G3885" s="572" t="s">
        <v>21269</v>
      </c>
      <c r="H3885" s="499" t="s">
        <v>15515</v>
      </c>
      <c r="I3885" s="483">
        <v>5.4370000000000003</v>
      </c>
      <c r="J3885" s="473">
        <f t="shared" si="1889"/>
        <v>7.7800000000000002</v>
      </c>
      <c r="K3885" s="474">
        <f t="shared" si="1892"/>
        <v>42.299860000000002</v>
      </c>
      <c r="L3885" s="473">
        <f t="shared" ref="L3885:L3948" si="1896">P3885*$L$3</f>
        <v>7.3499999999999996</v>
      </c>
      <c r="M3885" s="474">
        <f t="shared" si="1893"/>
        <v>39.961950000000002</v>
      </c>
      <c r="O3885" s="434">
        <f t="shared" si="1894"/>
        <v>7.7800000000000002</v>
      </c>
      <c r="P3885" s="435">
        <f t="shared" si="1895"/>
        <v>7.3499999999999996</v>
      </c>
      <c r="AE3885" s="217"/>
      <c r="AF3885" s="217">
        <v>1462</v>
      </c>
      <c r="AH3885">
        <f t="shared" si="1884"/>
        <v>1462</v>
      </c>
    </row>
    <row r="3886" ht="60" hidden="1">
      <c r="A3886" s="217"/>
      <c r="B3886" s="217">
        <v>1462</v>
      </c>
      <c r="C3886" s="217"/>
      <c r="D3886" s="217" t="s">
        <v>17167</v>
      </c>
      <c r="E3886" s="471" t="s">
        <v>20409</v>
      </c>
      <c r="F3886" s="482">
        <v>94964</v>
      </c>
      <c r="G3886" s="572" t="s">
        <v>8711</v>
      </c>
      <c r="H3886" s="499" t="s">
        <v>15528</v>
      </c>
      <c r="I3886" s="558">
        <v>0.99890000000000001</v>
      </c>
      <c r="J3886" s="473">
        <f t="shared" si="1889"/>
        <v>488.52999999999997</v>
      </c>
      <c r="K3886" s="474">
        <f t="shared" si="1892"/>
        <v>487.992617</v>
      </c>
      <c r="L3886" s="473">
        <f t="shared" si="1896"/>
        <v>482.79000000000002</v>
      </c>
      <c r="M3886" s="474">
        <f t="shared" si="1893"/>
        <v>482.25893100000002</v>
      </c>
      <c r="O3886" s="434">
        <f t="shared" si="1894"/>
        <v>488.52999999999997</v>
      </c>
      <c r="P3886" s="435">
        <f t="shared" si="1895"/>
        <v>482.79000000000002</v>
      </c>
      <c r="AE3886" s="217"/>
      <c r="AF3886" s="217">
        <v>1462</v>
      </c>
      <c r="AH3886">
        <f t="shared" si="1884"/>
        <v>1462</v>
      </c>
    </row>
    <row r="3887" ht="45" hidden="1">
      <c r="A3887" s="217"/>
      <c r="B3887" s="217">
        <v>1462</v>
      </c>
      <c r="C3887" s="217"/>
      <c r="D3887" s="217" t="s">
        <v>17167</v>
      </c>
      <c r="E3887" s="471" t="s">
        <v>20663</v>
      </c>
      <c r="F3887" s="482">
        <v>93358</v>
      </c>
      <c r="G3887" s="572" t="s">
        <v>20661</v>
      </c>
      <c r="H3887" s="499" t="s">
        <v>15528</v>
      </c>
      <c r="I3887" s="483">
        <v>1.0873999999999999</v>
      </c>
      <c r="J3887" s="473">
        <f t="shared" si="1889"/>
        <v>90.030000000000001</v>
      </c>
      <c r="K3887" s="474">
        <f t="shared" si="1892"/>
        <v>97.898621999999989</v>
      </c>
      <c r="L3887" s="473">
        <f t="shared" si="1896"/>
        <v>85.239999999999995</v>
      </c>
      <c r="M3887" s="474">
        <f t="shared" si="1893"/>
        <v>92.689975999999987</v>
      </c>
      <c r="O3887" s="434">
        <f t="shared" si="1894"/>
        <v>90.030000000000001</v>
      </c>
      <c r="P3887" s="435">
        <f t="shared" si="1895"/>
        <v>85.239999999999995</v>
      </c>
      <c r="AE3887" s="217"/>
      <c r="AF3887" s="217">
        <v>1462</v>
      </c>
      <c r="AH3887">
        <f t="shared" si="1884"/>
        <v>1462</v>
      </c>
    </row>
    <row r="3888" ht="60" hidden="1">
      <c r="A3888" s="217"/>
      <c r="B3888" s="217">
        <v>1462</v>
      </c>
      <c r="C3888" s="217"/>
      <c r="D3888" s="217" t="s">
        <v>17167</v>
      </c>
      <c r="E3888" s="471" t="s">
        <v>20665</v>
      </c>
      <c r="F3888" s="482">
        <v>96536</v>
      </c>
      <c r="G3888" s="572" t="s">
        <v>21415</v>
      </c>
      <c r="H3888" s="482" t="s">
        <v>15515</v>
      </c>
      <c r="I3888" s="483">
        <v>4.3680000000000003</v>
      </c>
      <c r="J3888" s="473">
        <f t="shared" si="1889"/>
        <v>63.439999999999998</v>
      </c>
      <c r="K3888" s="474">
        <f t="shared" si="1892"/>
        <v>277.10592000000003</v>
      </c>
      <c r="L3888" s="473">
        <f t="shared" si="1896"/>
        <v>60.950000000000003</v>
      </c>
      <c r="M3888" s="474">
        <f t="shared" si="1893"/>
        <v>266.2296</v>
      </c>
      <c r="O3888" s="434">
        <f t="shared" si="1894"/>
        <v>63.439999999999998</v>
      </c>
      <c r="P3888" s="435">
        <f t="shared" si="1895"/>
        <v>60.950000000000003</v>
      </c>
      <c r="AE3888" s="217"/>
      <c r="AF3888" s="217">
        <v>1462</v>
      </c>
      <c r="AH3888">
        <f t="shared" si="1884"/>
        <v>1462</v>
      </c>
    </row>
    <row r="3889" ht="84.75" hidden="1" customHeight="1">
      <c r="A3889" s="460">
        <v>1463</v>
      </c>
      <c r="B3889" s="460">
        <v>1463</v>
      </c>
      <c r="C3889" s="460"/>
      <c r="D3889" s="460"/>
      <c r="E3889" s="461">
        <v>1</v>
      </c>
      <c r="F3889" s="462" t="s">
        <v>22430</v>
      </c>
      <c r="G3889" s="477" t="s">
        <v>22431</v>
      </c>
      <c r="H3889" s="478" t="s">
        <v>20196</v>
      </c>
      <c r="I3889" s="479"/>
      <c r="J3889" s="480"/>
      <c r="K3889" s="466">
        <f>SUM(K3890:K3895)</f>
        <v>2013.4621199999999</v>
      </c>
      <c r="L3889" s="480"/>
      <c r="M3889" s="466">
        <f>SUM(M3890:M3895)</f>
        <v>1964.4364989999999</v>
      </c>
      <c r="N3889" s="467" t="s">
        <v>22432</v>
      </c>
      <c r="O3889" s="434" t="str">
        <f t="shared" si="1894"/>
        <v xml:space="preserve">SEM VALOR</v>
      </c>
      <c r="P3889" s="435" t="str">
        <f t="shared" si="1895"/>
        <v xml:space="preserve">SEM VALOR</v>
      </c>
      <c r="AE3889" s="460">
        <v>1463</v>
      </c>
      <c r="AF3889" s="460"/>
      <c r="AH3889">
        <f t="shared" si="1884"/>
        <v>1463</v>
      </c>
    </row>
    <row r="3890" ht="75" hidden="1">
      <c r="A3890" s="217"/>
      <c r="B3890" s="217">
        <v>1463</v>
      </c>
      <c r="C3890" s="217"/>
      <c r="D3890" s="217" t="s">
        <v>17167</v>
      </c>
      <c r="E3890" s="471" t="s">
        <v>20399</v>
      </c>
      <c r="F3890" s="482">
        <v>94962</v>
      </c>
      <c r="G3890" s="572" t="s">
        <v>8726</v>
      </c>
      <c r="H3890" s="499" t="s">
        <v>15528</v>
      </c>
      <c r="I3890" s="558">
        <v>0.15409999999999999</v>
      </c>
      <c r="J3890" s="473">
        <f t="shared" si="1889"/>
        <v>393.05000000000001</v>
      </c>
      <c r="K3890" s="474">
        <f t="shared" ref="K3890:K3895" si="1897">I3890*J3890</f>
        <v>60.569004999999997</v>
      </c>
      <c r="L3890" s="473">
        <f t="shared" si="1896"/>
        <v>387.73000000000002</v>
      </c>
      <c r="M3890" s="474">
        <f t="shared" ref="M3890:M3895" si="1898">L3890*I3890</f>
        <v>59.749192999999998</v>
      </c>
      <c r="O3890" s="434">
        <f t="shared" si="1894"/>
        <v>393.05000000000001</v>
      </c>
      <c r="P3890" s="435">
        <f t="shared" si="1895"/>
        <v>387.73000000000002</v>
      </c>
      <c r="AE3890" s="217"/>
      <c r="AF3890" s="217">
        <v>1463</v>
      </c>
      <c r="AH3890">
        <f t="shared" si="1884"/>
        <v>1463</v>
      </c>
    </row>
    <row r="3891" ht="60" hidden="1">
      <c r="A3891" s="217"/>
      <c r="B3891" s="217">
        <v>1463</v>
      </c>
      <c r="C3891" s="217"/>
      <c r="D3891" s="217" t="s">
        <v>17167</v>
      </c>
      <c r="E3891" s="471" t="s">
        <v>20402</v>
      </c>
      <c r="F3891" s="482">
        <v>94964</v>
      </c>
      <c r="G3891" s="572" t="s">
        <v>8711</v>
      </c>
      <c r="H3891" s="499" t="s">
        <v>15528</v>
      </c>
      <c r="I3891" s="558">
        <v>1.1335</v>
      </c>
      <c r="J3891" s="473">
        <f t="shared" si="1889"/>
        <v>488.52999999999997</v>
      </c>
      <c r="K3891" s="474">
        <f t="shared" si="1897"/>
        <v>553.74875499999996</v>
      </c>
      <c r="L3891" s="473">
        <f t="shared" si="1896"/>
        <v>482.79000000000002</v>
      </c>
      <c r="M3891" s="474">
        <f t="shared" si="1898"/>
        <v>547.24246500000004</v>
      </c>
      <c r="O3891" s="434">
        <f t="shared" si="1894"/>
        <v>488.52999999999997</v>
      </c>
      <c r="P3891" s="435">
        <f t="shared" si="1895"/>
        <v>482.79000000000002</v>
      </c>
      <c r="AE3891" s="217"/>
      <c r="AF3891" s="217">
        <v>1463</v>
      </c>
      <c r="AH3891">
        <f t="shared" si="1884"/>
        <v>1463</v>
      </c>
    </row>
    <row r="3892" ht="60" hidden="1">
      <c r="A3892" s="217"/>
      <c r="B3892" s="217">
        <v>1463</v>
      </c>
      <c r="C3892" s="217"/>
      <c r="D3892" s="217" t="s">
        <v>17167</v>
      </c>
      <c r="E3892" s="471" t="s">
        <v>20405</v>
      </c>
      <c r="F3892" s="482">
        <v>96536</v>
      </c>
      <c r="G3892" s="572" t="s">
        <v>21415</v>
      </c>
      <c r="H3892" s="482" t="s">
        <v>15515</v>
      </c>
      <c r="I3892" s="558">
        <v>5.8240999999999996</v>
      </c>
      <c r="J3892" s="473">
        <f t="shared" si="1889"/>
        <v>63.439999999999998</v>
      </c>
      <c r="K3892" s="474">
        <f t="shared" si="1897"/>
        <v>369.48090399999995</v>
      </c>
      <c r="L3892" s="473">
        <f t="shared" si="1896"/>
        <v>60.950000000000003</v>
      </c>
      <c r="M3892" s="474">
        <f t="shared" si="1898"/>
        <v>354.97889499999997</v>
      </c>
      <c r="O3892" s="434">
        <f t="shared" si="1894"/>
        <v>63.439999999999998</v>
      </c>
      <c r="P3892" s="435">
        <f t="shared" si="1895"/>
        <v>60.950000000000003</v>
      </c>
      <c r="AE3892" s="217"/>
      <c r="AF3892" s="217">
        <v>1463</v>
      </c>
      <c r="AH3892">
        <f t="shared" si="1884"/>
        <v>1463</v>
      </c>
    </row>
    <row r="3893" ht="45" hidden="1">
      <c r="A3893" s="217"/>
      <c r="B3893" s="217">
        <v>1463</v>
      </c>
      <c r="C3893" s="217"/>
      <c r="D3893" s="217" t="s">
        <v>17167</v>
      </c>
      <c r="E3893" s="471" t="s">
        <v>20409</v>
      </c>
      <c r="F3893" s="482">
        <v>96543</v>
      </c>
      <c r="G3893" s="572" t="s">
        <v>4200</v>
      </c>
      <c r="H3893" s="482" t="s">
        <v>302</v>
      </c>
      <c r="I3893" s="558">
        <v>3.6806000000000001</v>
      </c>
      <c r="J3893" s="473">
        <f t="shared" si="1889"/>
        <v>19.829999999999998</v>
      </c>
      <c r="K3893" s="474">
        <f t="shared" si="1897"/>
        <v>72.986297999999991</v>
      </c>
      <c r="L3893" s="473">
        <f t="shared" si="1896"/>
        <v>19.210000000000001</v>
      </c>
      <c r="M3893" s="474">
        <f t="shared" si="1898"/>
        <v>70.704326000000009</v>
      </c>
      <c r="O3893" s="434">
        <f t="shared" si="1894"/>
        <v>19.829999999999998</v>
      </c>
      <c r="P3893" s="435">
        <f t="shared" si="1895"/>
        <v>19.210000000000001</v>
      </c>
      <c r="AE3893" s="217"/>
      <c r="AF3893" s="217">
        <v>1463</v>
      </c>
      <c r="AH3893">
        <f t="shared" si="1884"/>
        <v>1463</v>
      </c>
    </row>
    <row r="3894" ht="45" hidden="1">
      <c r="A3894" s="217"/>
      <c r="B3894" s="217">
        <v>1463</v>
      </c>
      <c r="C3894" s="217"/>
      <c r="D3894" s="217" t="s">
        <v>17167</v>
      </c>
      <c r="E3894" s="471" t="s">
        <v>20663</v>
      </c>
      <c r="F3894" s="482">
        <v>96544</v>
      </c>
      <c r="G3894" s="572" t="s">
        <v>4198</v>
      </c>
      <c r="H3894" s="482" t="s">
        <v>302</v>
      </c>
      <c r="I3894" s="558">
        <v>48.605600000000003</v>
      </c>
      <c r="J3894" s="473">
        <f t="shared" si="1889"/>
        <v>17.699999999999999</v>
      </c>
      <c r="K3894" s="474">
        <f t="shared" si="1897"/>
        <v>860.31912</v>
      </c>
      <c r="L3894" s="473">
        <f t="shared" si="1896"/>
        <v>17.23</v>
      </c>
      <c r="M3894" s="474">
        <f t="shared" si="1898"/>
        <v>837.47448800000006</v>
      </c>
      <c r="O3894" s="434">
        <f t="shared" si="1894"/>
        <v>17.699999999999999</v>
      </c>
      <c r="P3894" s="435">
        <f t="shared" si="1895"/>
        <v>17.23</v>
      </c>
      <c r="AE3894" s="217"/>
      <c r="AF3894" s="217">
        <v>1463</v>
      </c>
      <c r="AH3894">
        <f t="shared" si="1884"/>
        <v>1463</v>
      </c>
    </row>
    <row r="3895" ht="45" hidden="1">
      <c r="A3895" s="217"/>
      <c r="B3895" s="217">
        <v>1463</v>
      </c>
      <c r="C3895" s="217"/>
      <c r="D3895" s="217" t="s">
        <v>17167</v>
      </c>
      <c r="E3895" s="471" t="s">
        <v>20665</v>
      </c>
      <c r="F3895" s="482">
        <v>96545</v>
      </c>
      <c r="G3895" s="572" t="s">
        <v>4199</v>
      </c>
      <c r="H3895" s="482" t="s">
        <v>302</v>
      </c>
      <c r="I3895" s="558">
        <v>6.0909000000000004</v>
      </c>
      <c r="J3895" s="473">
        <f t="shared" si="1889"/>
        <v>15.82</v>
      </c>
      <c r="K3895" s="474">
        <f t="shared" si="1897"/>
        <v>96.358038000000008</v>
      </c>
      <c r="L3895" s="473">
        <f t="shared" si="1896"/>
        <v>15.48</v>
      </c>
      <c r="M3895" s="474">
        <f t="shared" si="1898"/>
        <v>94.287132000000014</v>
      </c>
      <c r="O3895" s="434">
        <f t="shared" si="1894"/>
        <v>15.82</v>
      </c>
      <c r="P3895" s="435">
        <f t="shared" si="1895"/>
        <v>15.48</v>
      </c>
      <c r="AE3895" s="217"/>
      <c r="AF3895" s="217">
        <v>1463</v>
      </c>
      <c r="AH3895">
        <f t="shared" si="1884"/>
        <v>1463</v>
      </c>
    </row>
    <row r="3896" ht="82.5" hidden="1" customHeight="1">
      <c r="A3896" s="460">
        <v>1464</v>
      </c>
      <c r="B3896" s="460">
        <v>1464</v>
      </c>
      <c r="C3896" s="460"/>
      <c r="D3896" s="460"/>
      <c r="E3896" s="461">
        <v>1</v>
      </c>
      <c r="F3896" s="462" t="s">
        <v>22433</v>
      </c>
      <c r="G3896" s="477" t="s">
        <v>22434</v>
      </c>
      <c r="H3896" s="478" t="s">
        <v>38</v>
      </c>
      <c r="I3896" s="479"/>
      <c r="J3896" s="480"/>
      <c r="K3896" s="466">
        <f>SUM(K3897:K3910)</f>
        <v>711.62159536580316</v>
      </c>
      <c r="L3896" s="480"/>
      <c r="M3896" s="466">
        <f>SUM(M3897:M3910)</f>
        <v>691.96076682185378</v>
      </c>
      <c r="N3896" s="467" t="s">
        <v>22435</v>
      </c>
      <c r="O3896" s="434" t="str">
        <f t="shared" si="1894"/>
        <v xml:space="preserve">SEM VALOR</v>
      </c>
      <c r="P3896" s="435" t="str">
        <f t="shared" si="1895"/>
        <v xml:space="preserve">SEM VALOR</v>
      </c>
      <c r="AE3896" s="460">
        <v>1464</v>
      </c>
      <c r="AF3896" s="460"/>
      <c r="AH3896">
        <f t="shared" si="1884"/>
        <v>1464</v>
      </c>
    </row>
    <row r="3897" ht="75" hidden="1">
      <c r="A3897" s="217"/>
      <c r="B3897" s="217">
        <v>1464</v>
      </c>
      <c r="C3897" s="217"/>
      <c r="D3897" s="217" t="s">
        <v>20398</v>
      </c>
      <c r="E3897" s="471" t="s">
        <v>20399</v>
      </c>
      <c r="F3897" s="489">
        <v>1267</v>
      </c>
      <c r="G3897" s="602" t="s">
        <v>20662</v>
      </c>
      <c r="H3897" s="471" t="s">
        <v>38</v>
      </c>
      <c r="I3897" s="472">
        <f>1*2+1.3+1.3/2</f>
        <v>3.9500000000000002</v>
      </c>
      <c r="J3897" s="473">
        <f t="shared" si="1889"/>
        <v>3.2499999999999996</v>
      </c>
      <c r="K3897" s="474">
        <f t="shared" ref="K3897:K3910" si="1899">I3897*J3897</f>
        <v>12.837499999999999</v>
      </c>
      <c r="L3897" s="473">
        <f t="shared" si="1896"/>
        <v>3.1657000000000002</v>
      </c>
      <c r="M3897" s="474">
        <f t="shared" ref="M3897:M3910" si="1900">L3897*I3897</f>
        <v>12.504515000000001</v>
      </c>
      <c r="O3897" s="434">
        <f t="shared" si="1894"/>
        <v>3.2499999999999996</v>
      </c>
      <c r="P3897" s="435">
        <f t="shared" si="1895"/>
        <v>3.1657000000000002</v>
      </c>
      <c r="AE3897" s="217"/>
      <c r="AF3897" s="217">
        <v>1464</v>
      </c>
      <c r="AH3897">
        <f t="shared" si="1884"/>
        <v>1464</v>
      </c>
    </row>
    <row r="3898" ht="75" hidden="1">
      <c r="A3898" s="217"/>
      <c r="B3898" s="217">
        <v>1464</v>
      </c>
      <c r="C3898" s="217"/>
      <c r="D3898" s="217" t="s">
        <v>20398</v>
      </c>
      <c r="E3898" s="471" t="s">
        <v>20402</v>
      </c>
      <c r="F3898" s="489">
        <v>1036</v>
      </c>
      <c r="G3898" s="602" t="s">
        <v>20891</v>
      </c>
      <c r="H3898" s="471" t="s">
        <v>15528</v>
      </c>
      <c r="I3898" s="472">
        <f>1.3*0.18</f>
        <v>0.23400000000000001</v>
      </c>
      <c r="J3898" s="473">
        <f t="shared" si="1889"/>
        <v>19.600000000000001</v>
      </c>
      <c r="K3898" s="474">
        <f t="shared" si="1899"/>
        <v>4.5864000000000003</v>
      </c>
      <c r="L3898" s="473">
        <f t="shared" si="1896"/>
        <v>19.015000000000001</v>
      </c>
      <c r="M3898" s="474">
        <f t="shared" si="1900"/>
        <v>4.4495100000000001</v>
      </c>
      <c r="O3898" s="434">
        <f t="shared" si="1894"/>
        <v>19.600000000000001</v>
      </c>
      <c r="P3898" s="435">
        <f t="shared" si="1895"/>
        <v>19.015000000000001</v>
      </c>
      <c r="AE3898" s="217"/>
      <c r="AF3898" s="217">
        <v>1464</v>
      </c>
      <c r="AH3898">
        <f t="shared" si="1884"/>
        <v>1464</v>
      </c>
    </row>
    <row r="3899" ht="105" hidden="1">
      <c r="A3899" s="217"/>
      <c r="B3899" s="217">
        <v>1464</v>
      </c>
      <c r="C3899" s="217"/>
      <c r="D3899" s="217" t="s">
        <v>20398</v>
      </c>
      <c r="E3899" s="471" t="s">
        <v>20405</v>
      </c>
      <c r="F3899" s="489">
        <v>1092</v>
      </c>
      <c r="G3899" s="470" t="s">
        <v>20666</v>
      </c>
      <c r="H3899" s="471" t="s">
        <v>15528</v>
      </c>
      <c r="I3899" s="472">
        <f>I3898*1.3+I3902*1.3</f>
        <v>0.59150000000000003</v>
      </c>
      <c r="J3899" s="473">
        <f t="shared" si="1889"/>
        <v>2.2000000000000002</v>
      </c>
      <c r="K3899" s="474">
        <f t="shared" si="1899"/>
        <v>1.3013000000000001</v>
      </c>
      <c r="L3899" s="473">
        <f t="shared" si="1896"/>
        <v>2.1879900000000001</v>
      </c>
      <c r="M3899" s="474">
        <f t="shared" si="1900"/>
        <v>1.2941960850000001</v>
      </c>
      <c r="O3899" s="434">
        <f t="shared" si="1894"/>
        <v>2.2000000000000002</v>
      </c>
      <c r="P3899" s="435">
        <f t="shared" si="1895"/>
        <v>2.1879900000000001</v>
      </c>
      <c r="AE3899" s="217"/>
      <c r="AF3899" s="217">
        <v>1464</v>
      </c>
      <c r="AH3899">
        <f t="shared" si="1884"/>
        <v>1464</v>
      </c>
    </row>
    <row r="3900" ht="60" hidden="1">
      <c r="A3900" s="217"/>
      <c r="B3900" s="217">
        <v>1464</v>
      </c>
      <c r="C3900" s="217"/>
      <c r="D3900" s="217" t="s">
        <v>20398</v>
      </c>
      <c r="E3900" s="471" t="s">
        <v>20409</v>
      </c>
      <c r="F3900" s="489">
        <v>1277</v>
      </c>
      <c r="G3900" s="470" t="s">
        <v>21788</v>
      </c>
      <c r="H3900" s="471" t="s">
        <v>20669</v>
      </c>
      <c r="I3900" s="472">
        <f>I3899*10.6</f>
        <v>6.2698999999999998</v>
      </c>
      <c r="J3900" s="473">
        <f t="shared" si="1889"/>
        <v>1.23</v>
      </c>
      <c r="K3900" s="474">
        <f t="shared" si="1899"/>
        <v>7.7119770000000001</v>
      </c>
      <c r="L3900" s="473">
        <f t="shared" si="1896"/>
        <v>1.22709</v>
      </c>
      <c r="M3900" s="474">
        <f t="shared" si="1900"/>
        <v>7.6937315909999997</v>
      </c>
      <c r="N3900" s="645" t="s">
        <v>22436</v>
      </c>
      <c r="O3900" s="434">
        <f t="shared" si="1894"/>
        <v>1.23</v>
      </c>
      <c r="P3900" s="435">
        <f t="shared" si="1895"/>
        <v>1.22709</v>
      </c>
      <c r="AE3900" s="217"/>
      <c r="AF3900" s="217">
        <v>1464</v>
      </c>
      <c r="AH3900">
        <f t="shared" si="1884"/>
        <v>1464</v>
      </c>
    </row>
    <row r="3901" ht="60" hidden="1">
      <c r="A3901" s="217"/>
      <c r="B3901" s="217">
        <v>1464</v>
      </c>
      <c r="C3901" s="217"/>
      <c r="D3901" s="217" t="s">
        <v>17167</v>
      </c>
      <c r="E3901" s="471" t="s">
        <v>20663</v>
      </c>
      <c r="F3901" s="489">
        <v>95875</v>
      </c>
      <c r="G3901" s="470" t="s">
        <v>20668</v>
      </c>
      <c r="H3901" s="471" t="s">
        <v>20669</v>
      </c>
      <c r="I3901" s="472">
        <f>I3899*2.7</f>
        <v>1.5970500000000001</v>
      </c>
      <c r="J3901" s="473">
        <f t="shared" si="1889"/>
        <v>2.7599999999999998</v>
      </c>
      <c r="K3901" s="474">
        <f t="shared" si="1899"/>
        <v>4.4078580000000001</v>
      </c>
      <c r="L3901" s="473">
        <f t="shared" si="1896"/>
        <v>2.73</v>
      </c>
      <c r="M3901" s="474">
        <f t="shared" si="1900"/>
        <v>4.3599465000000004</v>
      </c>
      <c r="N3901" s="645" t="s">
        <v>22437</v>
      </c>
      <c r="O3901" s="434">
        <f t="shared" si="1894"/>
        <v>2.7599999999999998</v>
      </c>
      <c r="P3901" s="435">
        <f t="shared" si="1895"/>
        <v>2.73</v>
      </c>
      <c r="AE3901" s="217"/>
      <c r="AF3901" s="217">
        <v>1464</v>
      </c>
      <c r="AH3901">
        <f t="shared" si="1884"/>
        <v>1464</v>
      </c>
    </row>
    <row r="3902" ht="45" hidden="1">
      <c r="A3902" s="217"/>
      <c r="B3902" s="217">
        <v>1464</v>
      </c>
      <c r="C3902" s="217"/>
      <c r="D3902" s="217" t="s">
        <v>17167</v>
      </c>
      <c r="E3902" s="471" t="s">
        <v>20665</v>
      </c>
      <c r="F3902" s="489">
        <v>93358</v>
      </c>
      <c r="G3902" s="470" t="s">
        <v>20661</v>
      </c>
      <c r="H3902" s="471" t="s">
        <v>15528</v>
      </c>
      <c r="I3902" s="472">
        <f>((0.35-0.18)*1.3)</f>
        <v>0.221</v>
      </c>
      <c r="J3902" s="473">
        <f t="shared" si="1889"/>
        <v>90.030000000000001</v>
      </c>
      <c r="K3902" s="474">
        <f t="shared" si="1899"/>
        <v>19.896630000000002</v>
      </c>
      <c r="L3902" s="473">
        <f t="shared" si="1896"/>
        <v>85.239999999999995</v>
      </c>
      <c r="M3902" s="474">
        <f t="shared" si="1900"/>
        <v>18.838039999999999</v>
      </c>
      <c r="O3902" s="434">
        <f t="shared" si="1894"/>
        <v>90.030000000000001</v>
      </c>
      <c r="P3902" s="435">
        <f t="shared" si="1895"/>
        <v>85.239999999999995</v>
      </c>
      <c r="AE3902" s="217"/>
      <c r="AF3902" s="217">
        <v>1464</v>
      </c>
      <c r="AH3902">
        <f t="shared" si="1884"/>
        <v>1464</v>
      </c>
    </row>
    <row r="3903" ht="60" hidden="1">
      <c r="A3903" s="217"/>
      <c r="B3903" s="217">
        <v>1464</v>
      </c>
      <c r="C3903" s="217"/>
      <c r="D3903" s="217" t="s">
        <v>17167</v>
      </c>
      <c r="E3903" s="471" t="s">
        <v>20667</v>
      </c>
      <c r="F3903" s="489">
        <v>100576</v>
      </c>
      <c r="G3903" s="470" t="s">
        <v>22438</v>
      </c>
      <c r="H3903" s="471" t="s">
        <v>15515</v>
      </c>
      <c r="I3903" s="472">
        <f>1.3</f>
        <v>1.3</v>
      </c>
      <c r="J3903" s="473">
        <f t="shared" si="1889"/>
        <v>2.9500000000000002</v>
      </c>
      <c r="K3903" s="474">
        <f t="shared" si="1899"/>
        <v>3.8350000000000004</v>
      </c>
      <c r="L3903" s="473">
        <f t="shared" si="1896"/>
        <v>2.8700000000000001</v>
      </c>
      <c r="M3903" s="474">
        <f t="shared" si="1900"/>
        <v>3.7310000000000003</v>
      </c>
      <c r="O3903" s="434">
        <f t="shared" si="1894"/>
        <v>2.9500000000000002</v>
      </c>
      <c r="P3903" s="435">
        <f t="shared" si="1895"/>
        <v>2.8700000000000001</v>
      </c>
      <c r="AE3903" s="217"/>
      <c r="AF3903" s="217">
        <v>1464</v>
      </c>
      <c r="AH3903">
        <f t="shared" si="1884"/>
        <v>1464</v>
      </c>
    </row>
    <row r="3904" ht="60" hidden="1">
      <c r="A3904" s="217"/>
      <c r="B3904" s="217">
        <v>1464</v>
      </c>
      <c r="C3904" s="217"/>
      <c r="D3904" s="217" t="s">
        <v>17167</v>
      </c>
      <c r="E3904" s="471" t="s">
        <v>20671</v>
      </c>
      <c r="F3904" s="489">
        <v>94966</v>
      </c>
      <c r="G3904" s="470" t="s">
        <v>20843</v>
      </c>
      <c r="H3904" s="471" t="s">
        <v>15528</v>
      </c>
      <c r="I3904" s="472">
        <f>(0.363)</f>
        <v>0.36299999999999999</v>
      </c>
      <c r="J3904" s="473">
        <f t="shared" si="1889"/>
        <v>529.88</v>
      </c>
      <c r="K3904" s="474">
        <f t="shared" si="1899"/>
        <v>192.34644</v>
      </c>
      <c r="L3904" s="473">
        <f t="shared" si="1896"/>
        <v>524.67999999999995</v>
      </c>
      <c r="M3904" s="474">
        <f t="shared" si="1900"/>
        <v>190.45883999999998</v>
      </c>
      <c r="O3904" s="434">
        <f t="shared" si="1894"/>
        <v>529.88</v>
      </c>
      <c r="P3904" s="435">
        <f t="shared" si="1895"/>
        <v>524.67999999999995</v>
      </c>
      <c r="AE3904" s="217"/>
      <c r="AF3904" s="217">
        <v>1464</v>
      </c>
      <c r="AH3904">
        <f t="shared" si="1884"/>
        <v>1464</v>
      </c>
    </row>
    <row r="3905" ht="60" hidden="1">
      <c r="A3905" s="217"/>
      <c r="B3905" s="217">
        <v>1464</v>
      </c>
      <c r="C3905" s="217"/>
      <c r="D3905" s="217" t="s">
        <v>17167</v>
      </c>
      <c r="E3905" s="471" t="s">
        <v>20672</v>
      </c>
      <c r="F3905" s="489">
        <v>103670</v>
      </c>
      <c r="G3905" s="470" t="s">
        <v>1387</v>
      </c>
      <c r="H3905" s="471" t="s">
        <v>15528</v>
      </c>
      <c r="I3905" s="472">
        <f>I3904</f>
        <v>0.36299999999999999</v>
      </c>
      <c r="J3905" s="473">
        <f t="shared" si="1889"/>
        <v>308.60000000000002</v>
      </c>
      <c r="K3905" s="474">
        <f t="shared" si="1899"/>
        <v>112.0218</v>
      </c>
      <c r="L3905" s="473">
        <f t="shared" si="1896"/>
        <v>291.69999999999999</v>
      </c>
      <c r="M3905" s="474">
        <f t="shared" si="1900"/>
        <v>105.88709999999999</v>
      </c>
      <c r="O3905" s="434">
        <f t="shared" si="1894"/>
        <v>308.60000000000002</v>
      </c>
      <c r="P3905" s="435">
        <f t="shared" si="1895"/>
        <v>291.69999999999999</v>
      </c>
      <c r="AE3905" s="217"/>
      <c r="AF3905" s="217">
        <v>1464</v>
      </c>
      <c r="AH3905">
        <f t="shared" si="1884"/>
        <v>1464</v>
      </c>
    </row>
    <row r="3906" ht="45" hidden="1">
      <c r="A3906" s="217"/>
      <c r="B3906" s="217">
        <v>1464</v>
      </c>
      <c r="C3906" s="217"/>
      <c r="D3906" s="217" t="s">
        <v>17167</v>
      </c>
      <c r="E3906" s="471" t="s">
        <v>20673</v>
      </c>
      <c r="F3906" s="489">
        <v>96622</v>
      </c>
      <c r="G3906" s="470" t="s">
        <v>20893</v>
      </c>
      <c r="H3906" s="471" t="s">
        <v>15528</v>
      </c>
      <c r="I3906" s="472">
        <f>1.3*0.05</f>
        <v>6.5000000000000002e-002</v>
      </c>
      <c r="J3906" s="473">
        <f t="shared" si="1889"/>
        <v>212.5</v>
      </c>
      <c r="K3906" s="474">
        <f t="shared" si="1899"/>
        <v>13.8125</v>
      </c>
      <c r="L3906" s="473">
        <f t="shared" si="1896"/>
        <v>208.41</v>
      </c>
      <c r="M3906" s="474">
        <f t="shared" si="1900"/>
        <v>13.54665</v>
      </c>
      <c r="O3906" s="434">
        <f t="shared" si="1894"/>
        <v>212.5</v>
      </c>
      <c r="P3906" s="435">
        <f t="shared" si="1895"/>
        <v>208.41</v>
      </c>
      <c r="AE3906" s="217"/>
      <c r="AF3906" s="217">
        <v>1464</v>
      </c>
      <c r="AH3906">
        <f t="shared" si="1884"/>
        <v>1464</v>
      </c>
    </row>
    <row r="3907" ht="30" hidden="1">
      <c r="A3907" s="217"/>
      <c r="B3907" s="217">
        <v>1464</v>
      </c>
      <c r="C3907" s="217"/>
      <c r="D3907" s="217" t="s">
        <v>20398</v>
      </c>
      <c r="E3907" s="471" t="s">
        <v>20675</v>
      </c>
      <c r="F3907" s="489">
        <v>1096</v>
      </c>
      <c r="G3907" s="470" t="s">
        <v>20894</v>
      </c>
      <c r="H3907" s="471" t="s">
        <v>20669</v>
      </c>
      <c r="I3907" s="472">
        <f>1.13*I3906*13.3</f>
        <v>0.976885</v>
      </c>
      <c r="J3907" s="473">
        <f t="shared" si="1889"/>
        <v>1.3436488080000002</v>
      </c>
      <c r="K3907" s="474">
        <f t="shared" si="1899"/>
        <v>1.3125903658030802</v>
      </c>
      <c r="L3907" s="473">
        <f t="shared" si="1896"/>
        <v>1.335917376</v>
      </c>
      <c r="M3907" s="474">
        <f t="shared" si="1900"/>
        <v>1.30503764585376</v>
      </c>
      <c r="N3907" s="645" t="s">
        <v>22439</v>
      </c>
      <c r="O3907" s="434">
        <f t="shared" si="1894"/>
        <v>1.3436488080000002</v>
      </c>
      <c r="P3907" s="435">
        <f t="shared" si="1895"/>
        <v>1.335917376</v>
      </c>
      <c r="AE3907" s="217"/>
      <c r="AF3907" s="217">
        <v>1464</v>
      </c>
      <c r="AH3907">
        <f t="shared" si="1884"/>
        <v>1464</v>
      </c>
    </row>
    <row r="3908" ht="75" hidden="1">
      <c r="A3908" s="217"/>
      <c r="B3908" s="217">
        <v>1464</v>
      </c>
      <c r="C3908" s="217"/>
      <c r="D3908" s="217" t="s">
        <v>17167</v>
      </c>
      <c r="E3908" s="471" t="s">
        <v>20677</v>
      </c>
      <c r="F3908" s="489">
        <v>96542</v>
      </c>
      <c r="G3908" s="470" t="s">
        <v>20761</v>
      </c>
      <c r="H3908" s="471" t="s">
        <v>15515</v>
      </c>
      <c r="I3908" s="472">
        <f>0.3*2+0.15*2</f>
        <v>0.90000000000000002</v>
      </c>
      <c r="J3908" s="473">
        <f t="shared" si="1889"/>
        <v>92.189999999999998</v>
      </c>
      <c r="K3908" s="474">
        <f t="shared" si="1899"/>
        <v>82.971000000000004</v>
      </c>
      <c r="L3908" s="473">
        <f t="shared" si="1896"/>
        <v>88.370000000000005</v>
      </c>
      <c r="M3908" s="474">
        <f t="shared" si="1900"/>
        <v>79.533000000000001</v>
      </c>
      <c r="O3908" s="434">
        <f t="shared" si="1894"/>
        <v>92.189999999999998</v>
      </c>
      <c r="P3908" s="435">
        <f t="shared" si="1895"/>
        <v>88.370000000000005</v>
      </c>
      <c r="AE3908" s="217"/>
      <c r="AF3908" s="217">
        <v>1464</v>
      </c>
      <c r="AH3908">
        <f t="shared" si="1884"/>
        <v>1464</v>
      </c>
    </row>
    <row r="3909" ht="45" hidden="1">
      <c r="A3909" s="217"/>
      <c r="B3909" s="217">
        <v>1464</v>
      </c>
      <c r="C3909" s="217"/>
      <c r="D3909" s="217" t="s">
        <v>17167</v>
      </c>
      <c r="E3909" s="471" t="s">
        <v>20679</v>
      </c>
      <c r="F3909" s="489">
        <v>96543</v>
      </c>
      <c r="G3909" s="470" t="s">
        <v>20676</v>
      </c>
      <c r="H3909" s="471" t="s">
        <v>302</v>
      </c>
      <c r="I3909" s="472">
        <v>4.29</v>
      </c>
      <c r="J3909" s="473">
        <f t="shared" si="1889"/>
        <v>19.829999999999998</v>
      </c>
      <c r="K3909" s="474">
        <f t="shared" si="1899"/>
        <v>85.070699999999988</v>
      </c>
      <c r="L3909" s="473">
        <f t="shared" si="1896"/>
        <v>19.210000000000001</v>
      </c>
      <c r="M3909" s="474">
        <f t="shared" si="1900"/>
        <v>82.410899999999998</v>
      </c>
      <c r="O3909" s="434">
        <f t="shared" si="1894"/>
        <v>19.829999999999998</v>
      </c>
      <c r="P3909" s="435">
        <f t="shared" si="1895"/>
        <v>19.210000000000001</v>
      </c>
      <c r="AE3909" s="217"/>
      <c r="AF3909" s="217">
        <v>1464</v>
      </c>
      <c r="AH3909">
        <f t="shared" si="1884"/>
        <v>1464</v>
      </c>
    </row>
    <row r="3910" ht="60" hidden="1">
      <c r="A3910" s="217"/>
      <c r="B3910" s="217">
        <v>1464</v>
      </c>
      <c r="C3910" s="217"/>
      <c r="D3910" s="217" t="s">
        <v>17167</v>
      </c>
      <c r="E3910" s="471" t="s">
        <v>20681</v>
      </c>
      <c r="F3910" s="489">
        <v>104917</v>
      </c>
      <c r="G3910" s="470" t="s">
        <v>4205</v>
      </c>
      <c r="H3910" s="471" t="s">
        <v>302</v>
      </c>
      <c r="I3910" s="472">
        <v>11.130000000000001</v>
      </c>
      <c r="J3910" s="473">
        <f t="shared" si="1889"/>
        <v>15.23</v>
      </c>
      <c r="K3910" s="474">
        <f t="shared" si="1899"/>
        <v>169.50990000000002</v>
      </c>
      <c r="L3910" s="473">
        <f t="shared" si="1896"/>
        <v>14.91</v>
      </c>
      <c r="M3910" s="474">
        <f t="shared" si="1900"/>
        <v>165.94830000000002</v>
      </c>
      <c r="O3910" s="434">
        <f t="shared" si="1894"/>
        <v>15.23</v>
      </c>
      <c r="P3910" s="435">
        <f t="shared" si="1895"/>
        <v>14.91</v>
      </c>
      <c r="AE3910" s="217"/>
      <c r="AF3910" s="217">
        <v>1464</v>
      </c>
      <c r="AH3910">
        <f t="shared" si="1884"/>
        <v>1464</v>
      </c>
    </row>
    <row r="3911" ht="47.25" hidden="1" customHeight="1">
      <c r="A3911" s="460">
        <v>1465</v>
      </c>
      <c r="B3911" s="460">
        <v>1465</v>
      </c>
      <c r="C3911" s="460"/>
      <c r="D3911" s="460"/>
      <c r="E3911" s="461">
        <v>1</v>
      </c>
      <c r="F3911" s="462" t="s">
        <v>22440</v>
      </c>
      <c r="G3911" s="477" t="s">
        <v>22441</v>
      </c>
      <c r="H3911" s="478" t="s">
        <v>20647</v>
      </c>
      <c r="I3911" s="479"/>
      <c r="J3911" s="480"/>
      <c r="K3911" s="466">
        <f>SUM(K3912:K3929)</f>
        <v>20103.478349520199</v>
      </c>
      <c r="L3911" s="480"/>
      <c r="M3911" s="466">
        <f>SUM(M3912:M3929)</f>
        <v>19734.489963810702</v>
      </c>
      <c r="O3911" s="434" t="str">
        <f t="shared" si="1894"/>
        <v xml:space="preserve">SEM VALOR</v>
      </c>
      <c r="P3911" s="435" t="str">
        <f t="shared" si="1895"/>
        <v xml:space="preserve">SEM VALOR</v>
      </c>
      <c r="AE3911" s="460">
        <v>1465</v>
      </c>
      <c r="AF3911" s="460"/>
      <c r="AH3911">
        <f t="shared" ref="AH3911:AH3947" si="1901">IF(AF3911:AF3912=FALSE,AE3911,AF3911)</f>
        <v>1465</v>
      </c>
    </row>
    <row r="3912" ht="120" hidden="1">
      <c r="A3912" s="217"/>
      <c r="B3912" s="217">
        <v>1465</v>
      </c>
      <c r="C3912" s="217"/>
      <c r="D3912" s="217" t="s">
        <v>17167</v>
      </c>
      <c r="E3912" s="471" t="s">
        <v>20399</v>
      </c>
      <c r="F3912" s="482">
        <v>90091</v>
      </c>
      <c r="G3912" s="572" t="s">
        <v>20961</v>
      </c>
      <c r="H3912" s="558" t="s">
        <v>15528</v>
      </c>
      <c r="I3912" s="646">
        <f>0.9*(1.45+0.15*2)*(9.1+0.15*2)+0.66*(1.45+0.15*2)*(2.35+0.15*2)</f>
        <v>17.865749999999998</v>
      </c>
      <c r="J3912" s="473">
        <f t="shared" si="1889"/>
        <v>6.1799999999999997</v>
      </c>
      <c r="K3912" s="474">
        <f t="shared" ref="K3912:K3929" si="1902">I3912*J3912</f>
        <v>110.41033499999999</v>
      </c>
      <c r="L3912" s="473">
        <f t="shared" si="1896"/>
        <v>6.0700000000000003</v>
      </c>
      <c r="M3912" s="474">
        <f t="shared" ref="M3912:M3929" si="1903">L3912*I3912</f>
        <v>108.44510249999999</v>
      </c>
      <c r="O3912" s="434">
        <f t="shared" si="1894"/>
        <v>6.1799999999999997</v>
      </c>
      <c r="P3912" s="435">
        <f t="shared" si="1895"/>
        <v>6.0700000000000003</v>
      </c>
      <c r="R3912" s="647" t="s">
        <v>22442</v>
      </c>
      <c r="S3912" s="647" t="s">
        <v>22443</v>
      </c>
      <c r="AE3912" s="217"/>
      <c r="AF3912" s="217">
        <v>1465</v>
      </c>
      <c r="AH3912">
        <f t="shared" si="1901"/>
        <v>1465</v>
      </c>
    </row>
    <row r="3913" ht="75" hidden="1">
      <c r="A3913" s="217"/>
      <c r="B3913" s="217">
        <v>1465</v>
      </c>
      <c r="C3913" s="217"/>
      <c r="D3913" s="217" t="s">
        <v>17167</v>
      </c>
      <c r="E3913" s="471" t="s">
        <v>20402</v>
      </c>
      <c r="F3913" s="482">
        <v>101617</v>
      </c>
      <c r="G3913" s="572" t="s">
        <v>20963</v>
      </c>
      <c r="H3913" s="558" t="s">
        <v>15515</v>
      </c>
      <c r="I3913" s="646">
        <f>(9.1-1.9)*1.75+2.35*1.75</f>
        <v>16.712499999999999</v>
      </c>
      <c r="J3913" s="473">
        <f t="shared" si="1889"/>
        <v>3.5299999999999998</v>
      </c>
      <c r="K3913" s="474">
        <f t="shared" si="1902"/>
        <v>58.995124999999994</v>
      </c>
      <c r="L3913" s="473">
        <f t="shared" si="1896"/>
        <v>3.3399999999999999</v>
      </c>
      <c r="M3913" s="474">
        <f t="shared" si="1903"/>
        <v>55.819749999999992</v>
      </c>
      <c r="O3913" s="434">
        <f t="shared" si="1894"/>
        <v>3.5299999999999998</v>
      </c>
      <c r="P3913" s="435">
        <f t="shared" si="1895"/>
        <v>3.3399999999999999</v>
      </c>
      <c r="R3913" s="647" t="s">
        <v>22444</v>
      </c>
      <c r="S3913" s="81"/>
      <c r="AE3913" s="217"/>
      <c r="AF3913" s="217">
        <v>1465</v>
      </c>
      <c r="AH3913">
        <f t="shared" si="1901"/>
        <v>1465</v>
      </c>
    </row>
    <row r="3914" ht="75" hidden="1">
      <c r="A3914" s="217"/>
      <c r="B3914" s="217">
        <v>1465</v>
      </c>
      <c r="C3914" s="217"/>
      <c r="D3914" s="217" t="s">
        <v>20398</v>
      </c>
      <c r="E3914" s="471" t="s">
        <v>20405</v>
      </c>
      <c r="F3914" s="482">
        <v>1255</v>
      </c>
      <c r="G3914" s="572" t="s">
        <v>20964</v>
      </c>
      <c r="H3914" s="558" t="s">
        <v>15528</v>
      </c>
      <c r="I3914" s="646">
        <f>I3912-0.9*9.1*1.45-0.66*2.35*1.45</f>
        <v>3.7412999999999998</v>
      </c>
      <c r="J3914" s="473">
        <f t="shared" si="1889"/>
        <v>29.707014000000001</v>
      </c>
      <c r="K3914" s="474">
        <f t="shared" si="1902"/>
        <v>111.1428514782</v>
      </c>
      <c r="L3914" s="473">
        <f t="shared" si="1896"/>
        <v>28.497014</v>
      </c>
      <c r="M3914" s="474">
        <f t="shared" si="1903"/>
        <v>106.6158784782</v>
      </c>
      <c r="O3914" s="434">
        <f t="shared" si="1894"/>
        <v>29.707014000000001</v>
      </c>
      <c r="P3914" s="435">
        <f t="shared" si="1895"/>
        <v>28.497014</v>
      </c>
      <c r="AE3914" s="217"/>
      <c r="AF3914" s="217">
        <v>1465</v>
      </c>
      <c r="AH3914">
        <f t="shared" si="1901"/>
        <v>1465</v>
      </c>
    </row>
    <row r="3915" ht="105" hidden="1">
      <c r="A3915" s="217"/>
      <c r="B3915" s="217">
        <v>1465</v>
      </c>
      <c r="C3915" s="217"/>
      <c r="D3915" s="217" t="s">
        <v>20398</v>
      </c>
      <c r="E3915" s="471" t="s">
        <v>20409</v>
      </c>
      <c r="F3915" s="482">
        <v>1092</v>
      </c>
      <c r="G3915" s="572" t="s">
        <v>20666</v>
      </c>
      <c r="H3915" s="558" t="s">
        <v>15528</v>
      </c>
      <c r="I3915" s="646">
        <f>I3912-I3914</f>
        <v>14.12445</v>
      </c>
      <c r="J3915" s="473">
        <f t="shared" si="1889"/>
        <v>2.2000000000000002</v>
      </c>
      <c r="K3915" s="474">
        <f t="shared" si="1902"/>
        <v>31.073790000000002</v>
      </c>
      <c r="L3915" s="473">
        <f t="shared" si="1896"/>
        <v>2.1879900000000001</v>
      </c>
      <c r="M3915" s="474">
        <f t="shared" si="1903"/>
        <v>30.904155355499999</v>
      </c>
      <c r="O3915" s="434">
        <f t="shared" si="1894"/>
        <v>2.2000000000000002</v>
      </c>
      <c r="P3915" s="435">
        <f t="shared" si="1895"/>
        <v>2.1879900000000001</v>
      </c>
      <c r="AE3915" s="217"/>
      <c r="AF3915" s="217">
        <v>1465</v>
      </c>
      <c r="AH3915">
        <f t="shared" si="1901"/>
        <v>1465</v>
      </c>
    </row>
    <row r="3916" ht="60" hidden="1">
      <c r="A3916" s="217"/>
      <c r="B3916" s="217">
        <v>1465</v>
      </c>
      <c r="C3916" s="217"/>
      <c r="D3916" s="217" t="s">
        <v>17167</v>
      </c>
      <c r="E3916" s="471" t="s">
        <v>20663</v>
      </c>
      <c r="F3916" s="482">
        <v>95875</v>
      </c>
      <c r="G3916" s="572" t="s">
        <v>20668</v>
      </c>
      <c r="H3916" s="558" t="s">
        <v>20669</v>
      </c>
      <c r="I3916" s="646">
        <f>I3915*5*1.3</f>
        <v>91.808930000000004</v>
      </c>
      <c r="J3916" s="473">
        <f t="shared" si="1889"/>
        <v>2.7599999999999998</v>
      </c>
      <c r="K3916" s="474">
        <f t="shared" si="1902"/>
        <v>253.39264679999999</v>
      </c>
      <c r="L3916" s="473">
        <f t="shared" si="1896"/>
        <v>2.73</v>
      </c>
      <c r="M3916" s="474">
        <f t="shared" si="1903"/>
        <v>250.63837890000002</v>
      </c>
      <c r="O3916" s="434">
        <f t="shared" si="1894"/>
        <v>2.7599999999999998</v>
      </c>
      <c r="P3916" s="435">
        <f t="shared" si="1895"/>
        <v>2.73</v>
      </c>
      <c r="AE3916" s="217"/>
      <c r="AF3916" s="217">
        <v>1465</v>
      </c>
      <c r="AH3916">
        <f t="shared" si="1901"/>
        <v>1465</v>
      </c>
    </row>
    <row r="3917" ht="60" hidden="1">
      <c r="A3917" s="217"/>
      <c r="B3917" s="217">
        <v>1465</v>
      </c>
      <c r="C3917" s="217"/>
      <c r="D3917" s="217" t="s">
        <v>17167</v>
      </c>
      <c r="E3917" s="471" t="s">
        <v>20665</v>
      </c>
      <c r="F3917" s="482">
        <v>96530</v>
      </c>
      <c r="G3917" s="572" t="s">
        <v>20966</v>
      </c>
      <c r="H3917" s="558" t="s">
        <v>15515</v>
      </c>
      <c r="I3917" s="646">
        <f>0.4*(1.45*2*2+9.1*2*2)+0.325*(2*8)+0.15*1*8+0.1*1*2</f>
        <v>23.48</v>
      </c>
      <c r="J3917" s="473">
        <f t="shared" si="1889"/>
        <v>129.25999999999999</v>
      </c>
      <c r="K3917" s="474">
        <f t="shared" si="1902"/>
        <v>3035.0247999999997</v>
      </c>
      <c r="L3917" s="473">
        <f t="shared" si="1896"/>
        <v>125.91</v>
      </c>
      <c r="M3917" s="474">
        <f t="shared" si="1903"/>
        <v>2956.3667999999998</v>
      </c>
      <c r="O3917" s="434">
        <f t="shared" si="1894"/>
        <v>129.25999999999999</v>
      </c>
      <c r="P3917" s="435">
        <f t="shared" si="1895"/>
        <v>125.91</v>
      </c>
      <c r="R3917" s="648" t="s">
        <v>22445</v>
      </c>
      <c r="AE3917" s="217"/>
      <c r="AF3917" s="217">
        <v>1465</v>
      </c>
      <c r="AH3917">
        <f t="shared" si="1901"/>
        <v>1465</v>
      </c>
    </row>
    <row r="3918" ht="75" hidden="1">
      <c r="A3918" s="217"/>
      <c r="B3918" s="217">
        <v>1465</v>
      </c>
      <c r="C3918" s="217"/>
      <c r="D3918" s="217" t="s">
        <v>20398</v>
      </c>
      <c r="E3918" s="471" t="s">
        <v>20667</v>
      </c>
      <c r="F3918" s="482">
        <v>1064</v>
      </c>
      <c r="G3918" s="572" t="s">
        <v>20967</v>
      </c>
      <c r="H3918" s="558" t="s">
        <v>15515</v>
      </c>
      <c r="I3918" s="646">
        <f>0.51*(2.35*2+1.45*2)+0.4*(9.1*2+1.45*2)</f>
        <v>12.316000000000001</v>
      </c>
      <c r="J3918" s="473">
        <f t="shared" si="1889"/>
        <v>202.79016000000001</v>
      </c>
      <c r="K3918" s="474">
        <f t="shared" si="1902"/>
        <v>2497.5636105600001</v>
      </c>
      <c r="L3918" s="473">
        <f t="shared" si="1896"/>
        <v>197.94299999999998</v>
      </c>
      <c r="M3918" s="474">
        <f t="shared" si="1903"/>
        <v>2437.865988</v>
      </c>
      <c r="O3918" s="434">
        <f t="shared" si="1894"/>
        <v>202.79016000000001</v>
      </c>
      <c r="P3918" s="435">
        <f t="shared" si="1895"/>
        <v>197.94299999999998</v>
      </c>
      <c r="AE3918" s="217"/>
      <c r="AF3918" s="217">
        <v>1465</v>
      </c>
      <c r="AH3918">
        <f t="shared" si="1901"/>
        <v>1465</v>
      </c>
    </row>
    <row r="3919" ht="75" hidden="1">
      <c r="A3919" s="217"/>
      <c r="B3919" s="217">
        <v>1465</v>
      </c>
      <c r="C3919" s="217"/>
      <c r="D3919" s="217" t="s">
        <v>17167</v>
      </c>
      <c r="E3919" s="471" t="s">
        <v>20671</v>
      </c>
      <c r="F3919" s="482">
        <v>87878</v>
      </c>
      <c r="G3919" s="572" t="s">
        <v>20910</v>
      </c>
      <c r="H3919" s="558" t="s">
        <v>15515</v>
      </c>
      <c r="I3919" s="646">
        <f>(0.61*(2.35*2+1.45*2)+0.4*(9.1*2+1.45*2))*2</f>
        <v>26.152000000000001</v>
      </c>
      <c r="J3919" s="473">
        <f t="shared" si="1889"/>
        <v>5.0099999999999998</v>
      </c>
      <c r="K3919" s="474">
        <f t="shared" si="1902"/>
        <v>131.02152000000001</v>
      </c>
      <c r="L3919" s="473">
        <f t="shared" si="1896"/>
        <v>4.7999999999999998</v>
      </c>
      <c r="M3919" s="474">
        <f t="shared" si="1903"/>
        <v>125.5296</v>
      </c>
      <c r="O3919" s="434">
        <f t="shared" si="1894"/>
        <v>5.0099999999999998</v>
      </c>
      <c r="P3919" s="435">
        <f t="shared" si="1895"/>
        <v>4.7999999999999998</v>
      </c>
      <c r="AE3919" s="217"/>
      <c r="AF3919" s="217">
        <v>1465</v>
      </c>
      <c r="AH3919">
        <f t="shared" si="1901"/>
        <v>1465</v>
      </c>
    </row>
    <row r="3920" ht="60" hidden="1">
      <c r="A3920" s="217"/>
      <c r="B3920" s="217">
        <v>1465</v>
      </c>
      <c r="C3920" s="217"/>
      <c r="D3920" s="217" t="s">
        <v>20398</v>
      </c>
      <c r="E3920" s="471" t="s">
        <v>20672</v>
      </c>
      <c r="F3920" s="482">
        <v>1421</v>
      </c>
      <c r="G3920" s="572" t="s">
        <v>21279</v>
      </c>
      <c r="H3920" s="558" t="s">
        <v>15515</v>
      </c>
      <c r="I3920" s="646">
        <f>0.61*(2.35*2+1.45*2)+0.4*(9.1*2+1.45*2)</f>
        <v>13.076000000000001</v>
      </c>
      <c r="J3920" s="473">
        <f t="shared" si="1889"/>
        <v>46.577570000000001</v>
      </c>
      <c r="K3920" s="474">
        <f t="shared" si="1902"/>
        <v>609.04830532000005</v>
      </c>
      <c r="L3920" s="473">
        <f t="shared" si="1896"/>
        <v>44.735900000000001</v>
      </c>
      <c r="M3920" s="474">
        <f t="shared" si="1903"/>
        <v>584.96662839999999</v>
      </c>
      <c r="O3920" s="434">
        <f t="shared" si="1894"/>
        <v>46.577570000000001</v>
      </c>
      <c r="P3920" s="435">
        <f t="shared" si="1895"/>
        <v>44.735900000000001</v>
      </c>
      <c r="AE3920" s="217"/>
      <c r="AF3920" s="217">
        <v>1465</v>
      </c>
      <c r="AH3920">
        <f t="shared" si="1901"/>
        <v>1465</v>
      </c>
    </row>
    <row r="3921" ht="76.5" hidden="1">
      <c r="A3921" s="217"/>
      <c r="B3921" s="217">
        <v>1465</v>
      </c>
      <c r="C3921" s="217"/>
      <c r="D3921" s="217" t="s">
        <v>20398</v>
      </c>
      <c r="E3921" s="471" t="s">
        <v>20673</v>
      </c>
      <c r="F3921" s="482">
        <v>1059</v>
      </c>
      <c r="G3921" s="572" t="s">
        <v>20965</v>
      </c>
      <c r="H3921" s="558" t="s">
        <v>15528</v>
      </c>
      <c r="I3921" s="646">
        <f>1.9*(1.9)*0.11</f>
        <v>0.39710000000000001</v>
      </c>
      <c r="J3921" s="473">
        <f t="shared" si="1889"/>
        <v>453.00401999999997</v>
      </c>
      <c r="K3921" s="474">
        <f t="shared" si="1902"/>
        <v>179.887896342</v>
      </c>
      <c r="L3921" s="473">
        <f t="shared" si="1896"/>
        <v>445.74401999999998</v>
      </c>
      <c r="M3921" s="474">
        <f t="shared" si="1903"/>
        <v>177.004950342</v>
      </c>
      <c r="O3921" s="434">
        <f t="shared" si="1894"/>
        <v>453.00401999999997</v>
      </c>
      <c r="P3921" s="435">
        <f t="shared" si="1895"/>
        <v>445.74401999999998</v>
      </c>
      <c r="R3921" s="647" t="s">
        <v>22446</v>
      </c>
      <c r="S3921" s="647" t="s">
        <v>22447</v>
      </c>
      <c r="AE3921" s="217"/>
      <c r="AF3921" s="217">
        <v>1465</v>
      </c>
      <c r="AH3921">
        <f t="shared" si="1901"/>
        <v>1465</v>
      </c>
    </row>
    <row r="3922" ht="75" hidden="1">
      <c r="A3922" s="217"/>
      <c r="B3922" s="217">
        <v>1465</v>
      </c>
      <c r="C3922" s="217"/>
      <c r="D3922" s="217" t="s">
        <v>17167</v>
      </c>
      <c r="E3922" s="471" t="s">
        <v>20675</v>
      </c>
      <c r="F3922" s="482">
        <v>94963</v>
      </c>
      <c r="G3922" s="572" t="s">
        <v>8707</v>
      </c>
      <c r="H3922" s="558" t="s">
        <v>15528</v>
      </c>
      <c r="I3922" s="646">
        <f>1.75*2.65*0.15+(9.1-1.9)*0.1*1.45</f>
        <v>1.73963</v>
      </c>
      <c r="J3922" s="473">
        <f t="shared" si="1889"/>
        <v>441.43000000000001</v>
      </c>
      <c r="K3922" s="474">
        <f t="shared" si="1902"/>
        <v>767.92487089999997</v>
      </c>
      <c r="L3922" s="473">
        <f t="shared" si="1896"/>
        <v>436.14999999999998</v>
      </c>
      <c r="M3922" s="474">
        <f t="shared" si="1903"/>
        <v>758.73962449999999</v>
      </c>
      <c r="O3922" s="434">
        <f t="shared" si="1894"/>
        <v>441.43000000000001</v>
      </c>
      <c r="P3922" s="435">
        <f t="shared" si="1895"/>
        <v>436.14999999999998</v>
      </c>
      <c r="R3922" s="81"/>
      <c r="S3922" s="647" t="s">
        <v>22448</v>
      </c>
      <c r="AE3922" s="217"/>
      <c r="AF3922" s="217">
        <v>1465</v>
      </c>
      <c r="AH3922">
        <f t="shared" si="1901"/>
        <v>1465</v>
      </c>
    </row>
    <row r="3923" ht="63.75" hidden="1">
      <c r="A3923" s="217"/>
      <c r="B3923" s="217">
        <v>1465</v>
      </c>
      <c r="C3923" s="217"/>
      <c r="D3923" s="217" t="s">
        <v>17167</v>
      </c>
      <c r="E3923" s="471" t="s">
        <v>20677</v>
      </c>
      <c r="F3923" s="482">
        <v>94964</v>
      </c>
      <c r="G3923" s="572" t="s">
        <v>20686</v>
      </c>
      <c r="H3923" s="558" t="s">
        <v>15528</v>
      </c>
      <c r="I3923" s="646">
        <f>0.2*0.4*9.1*2+0.2*0.4*1.45*2+0.1*0.325*8+1.2*0.12*2*8.1</f>
        <v>4.2808000000000002</v>
      </c>
      <c r="J3923" s="473">
        <f t="shared" si="1889"/>
        <v>488.52999999999997</v>
      </c>
      <c r="K3923" s="474">
        <f t="shared" si="1902"/>
        <v>2091.2992239999999</v>
      </c>
      <c r="L3923" s="473">
        <f t="shared" si="1896"/>
        <v>482.79000000000002</v>
      </c>
      <c r="M3923" s="474">
        <f t="shared" si="1903"/>
        <v>2066.7274320000001</v>
      </c>
      <c r="O3923" s="434">
        <f t="shared" si="1894"/>
        <v>488.52999999999997</v>
      </c>
      <c r="P3923" s="435">
        <f t="shared" si="1895"/>
        <v>482.79000000000002</v>
      </c>
      <c r="R3923" s="81"/>
      <c r="S3923" s="649" t="s">
        <v>22449</v>
      </c>
      <c r="AE3923" s="217"/>
      <c r="AF3923" s="217">
        <v>1465</v>
      </c>
      <c r="AH3923">
        <f t="shared" si="1901"/>
        <v>1465</v>
      </c>
    </row>
    <row r="3924" ht="45" hidden="1">
      <c r="A3924" s="217"/>
      <c r="B3924" s="217">
        <v>1465</v>
      </c>
      <c r="C3924" s="217"/>
      <c r="D3924" s="217" t="s">
        <v>20398</v>
      </c>
      <c r="E3924" s="471" t="s">
        <v>20679</v>
      </c>
      <c r="F3924" s="482">
        <v>1000</v>
      </c>
      <c r="G3924" s="572" t="s">
        <v>20651</v>
      </c>
      <c r="H3924" s="558" t="s">
        <v>15528</v>
      </c>
      <c r="I3924" s="646">
        <f>I3921+I3922+I3923</f>
        <v>6.4175300000000002</v>
      </c>
      <c r="J3924" s="473">
        <f t="shared" si="1889"/>
        <v>149.904</v>
      </c>
      <c r="K3924" s="474">
        <f t="shared" si="1902"/>
        <v>962.01341711999999</v>
      </c>
      <c r="L3924" s="473">
        <f t="shared" si="1896"/>
        <v>141.76949999999999</v>
      </c>
      <c r="M3924" s="474">
        <f t="shared" si="1903"/>
        <v>909.81001933499999</v>
      </c>
      <c r="O3924" s="434">
        <f t="shared" si="1894"/>
        <v>149.904</v>
      </c>
      <c r="P3924" s="435">
        <f t="shared" si="1895"/>
        <v>141.76949999999999</v>
      </c>
      <c r="R3924" s="81"/>
      <c r="S3924" s="81"/>
      <c r="AE3924" s="217"/>
      <c r="AF3924" s="217">
        <v>1465</v>
      </c>
      <c r="AH3924">
        <f t="shared" si="1901"/>
        <v>1465</v>
      </c>
    </row>
    <row r="3925" ht="75" hidden="1">
      <c r="A3925" s="217"/>
      <c r="B3925" s="217">
        <v>1465</v>
      </c>
      <c r="C3925" s="217"/>
      <c r="D3925" s="217" t="s">
        <v>17167</v>
      </c>
      <c r="E3925" s="471" t="s">
        <v>20681</v>
      </c>
      <c r="F3925" s="482">
        <v>92919</v>
      </c>
      <c r="G3925" s="572" t="s">
        <v>20985</v>
      </c>
      <c r="H3925" s="558" t="s">
        <v>302</v>
      </c>
      <c r="I3925" s="646">
        <v>108.81</v>
      </c>
      <c r="J3925" s="473">
        <f t="shared" si="1889"/>
        <v>11.74</v>
      </c>
      <c r="K3925" s="474">
        <f t="shared" si="1902"/>
        <v>1277.4294</v>
      </c>
      <c r="L3925" s="473">
        <f t="shared" si="1896"/>
        <v>11.6</v>
      </c>
      <c r="M3925" s="474">
        <f t="shared" si="1903"/>
        <v>1262.1959999999999</v>
      </c>
      <c r="O3925" s="434">
        <f t="shared" si="1894"/>
        <v>11.74</v>
      </c>
      <c r="P3925" s="435">
        <f t="shared" si="1895"/>
        <v>11.6</v>
      </c>
      <c r="AE3925" s="217"/>
      <c r="AF3925" s="217">
        <v>1465</v>
      </c>
      <c r="AH3925">
        <f t="shared" si="1901"/>
        <v>1465</v>
      </c>
    </row>
    <row r="3926" ht="75" hidden="1">
      <c r="A3926" s="217"/>
      <c r="B3926" s="217">
        <v>1465</v>
      </c>
      <c r="C3926" s="217"/>
      <c r="D3926" s="217" t="s">
        <v>17167</v>
      </c>
      <c r="E3926" s="471" t="s">
        <v>20683</v>
      </c>
      <c r="F3926" s="482">
        <v>92915</v>
      </c>
      <c r="G3926" s="572" t="s">
        <v>20970</v>
      </c>
      <c r="H3926" s="558" t="s">
        <v>302</v>
      </c>
      <c r="I3926" s="646">
        <f>23.82</f>
        <v>23.82</v>
      </c>
      <c r="J3926" s="473">
        <f t="shared" si="1889"/>
        <v>16.649999999999999</v>
      </c>
      <c r="K3926" s="474">
        <f t="shared" si="1902"/>
        <v>396.60299999999995</v>
      </c>
      <c r="L3926" s="473">
        <f t="shared" si="1896"/>
        <v>16.199999999999999</v>
      </c>
      <c r="M3926" s="474">
        <f t="shared" si="1903"/>
        <v>385.88400000000001</v>
      </c>
      <c r="O3926" s="434">
        <f t="shared" si="1894"/>
        <v>16.649999999999999</v>
      </c>
      <c r="P3926" s="435">
        <f t="shared" si="1895"/>
        <v>16.199999999999999</v>
      </c>
      <c r="AE3926" s="217"/>
      <c r="AF3926" s="217">
        <v>1465</v>
      </c>
      <c r="AH3926">
        <f t="shared" si="1901"/>
        <v>1465</v>
      </c>
    </row>
    <row r="3927" ht="60" hidden="1">
      <c r="A3927" s="217"/>
      <c r="B3927" s="217">
        <v>1465</v>
      </c>
      <c r="C3927" s="217"/>
      <c r="D3927" s="217" t="s">
        <v>17167</v>
      </c>
      <c r="E3927" s="471" t="s">
        <v>20685</v>
      </c>
      <c r="F3927" s="482">
        <v>91593</v>
      </c>
      <c r="G3927" s="572" t="s">
        <v>20971</v>
      </c>
      <c r="H3927" s="558" t="s">
        <v>302</v>
      </c>
      <c r="I3927" s="646">
        <v>45.939999999999998</v>
      </c>
      <c r="J3927" s="473">
        <f t="shared" si="1889"/>
        <v>10.199999999999999</v>
      </c>
      <c r="K3927" s="474">
        <f t="shared" si="1902"/>
        <v>468.58799999999997</v>
      </c>
      <c r="L3927" s="473">
        <f t="shared" si="1896"/>
        <v>10.16</v>
      </c>
      <c r="M3927" s="474">
        <f t="shared" si="1903"/>
        <v>466.75039999999996</v>
      </c>
      <c r="O3927" s="434">
        <f t="shared" si="1894"/>
        <v>10.199999999999999</v>
      </c>
      <c r="P3927" s="435">
        <f t="shared" si="1895"/>
        <v>10.16</v>
      </c>
      <c r="AE3927" s="217"/>
      <c r="AF3927" s="217">
        <v>1465</v>
      </c>
      <c r="AH3927">
        <f t="shared" si="1901"/>
        <v>1465</v>
      </c>
    </row>
    <row r="3928" ht="75" hidden="1">
      <c r="A3928" s="217"/>
      <c r="B3928" s="217">
        <v>1465</v>
      </c>
      <c r="C3928" s="217"/>
      <c r="D3928" s="217" t="s">
        <v>20398</v>
      </c>
      <c r="E3928" s="471" t="s">
        <v>20687</v>
      </c>
      <c r="F3928" s="482">
        <v>1058</v>
      </c>
      <c r="G3928" s="572" t="s">
        <v>21281</v>
      </c>
      <c r="H3928" s="558" t="s">
        <v>15515</v>
      </c>
      <c r="I3928" s="646">
        <f>6.75*0.04*1</f>
        <v>0.27000000000000002</v>
      </c>
      <c r="J3928" s="473">
        <f t="shared" si="1889"/>
        <v>30.214100000000002</v>
      </c>
      <c r="K3928" s="474">
        <f t="shared" si="1902"/>
        <v>8.1578070000000018</v>
      </c>
      <c r="L3928" s="473">
        <f t="shared" si="1896"/>
        <v>29.332799999999999</v>
      </c>
      <c r="M3928" s="474">
        <f t="shared" si="1903"/>
        <v>7.9198560000000002</v>
      </c>
      <c r="O3928" s="434">
        <f t="shared" si="1894"/>
        <v>30.214100000000002</v>
      </c>
      <c r="P3928" s="435">
        <f t="shared" si="1895"/>
        <v>29.332799999999999</v>
      </c>
      <c r="AE3928" s="217"/>
      <c r="AF3928" s="217">
        <v>1465</v>
      </c>
      <c r="AH3928">
        <f t="shared" si="1901"/>
        <v>1465</v>
      </c>
    </row>
    <row r="3929" ht="30" hidden="1">
      <c r="A3929" s="217"/>
      <c r="B3929" s="217">
        <v>1465</v>
      </c>
      <c r="C3929" s="217"/>
      <c r="D3929" s="217" t="s">
        <v>20398</v>
      </c>
      <c r="E3929" s="471" t="s">
        <v>20689</v>
      </c>
      <c r="F3929" s="482">
        <v>1466</v>
      </c>
      <c r="G3929" s="572" t="s">
        <v>22450</v>
      </c>
      <c r="H3929" s="558" t="s">
        <v>20647</v>
      </c>
      <c r="I3929" s="646">
        <v>1</v>
      </c>
      <c r="J3929" s="473">
        <f t="shared" si="1889"/>
        <v>7113.9017500000009</v>
      </c>
      <c r="K3929" s="474">
        <f t="shared" si="1902"/>
        <v>7113.9017500000009</v>
      </c>
      <c r="L3929" s="473">
        <f t="shared" si="1896"/>
        <v>7042.3053999999993</v>
      </c>
      <c r="M3929" s="474">
        <f t="shared" si="1903"/>
        <v>7042.3053999999993</v>
      </c>
      <c r="O3929" s="434">
        <f t="shared" si="1894"/>
        <v>7113.9017500000009</v>
      </c>
      <c r="P3929" s="435">
        <f t="shared" si="1895"/>
        <v>7042.3053999999993</v>
      </c>
      <c r="AE3929" s="217"/>
      <c r="AF3929" s="217">
        <v>1465</v>
      </c>
      <c r="AH3929">
        <f t="shared" si="1901"/>
        <v>1465</v>
      </c>
    </row>
    <row r="3930" ht="31.5" hidden="1">
      <c r="A3930" s="460">
        <v>1466</v>
      </c>
      <c r="B3930" s="460">
        <v>1466</v>
      </c>
      <c r="C3930" s="460"/>
      <c r="D3930" s="460"/>
      <c r="E3930" s="461">
        <v>1</v>
      </c>
      <c r="F3930" s="462" t="s">
        <v>22451</v>
      </c>
      <c r="G3930" s="477" t="s">
        <v>22450</v>
      </c>
      <c r="H3930" s="478" t="s">
        <v>20647</v>
      </c>
      <c r="I3930" s="479"/>
      <c r="J3930" s="480"/>
      <c r="K3930" s="466">
        <f>K3941</f>
        <v>7113.9017500000009</v>
      </c>
      <c r="L3930" s="480"/>
      <c r="M3930" s="466">
        <f>M3941</f>
        <v>7042.3053999999993</v>
      </c>
      <c r="O3930" s="434" t="str">
        <f t="shared" si="1894"/>
        <v xml:space="preserve">SEM VALOR</v>
      </c>
      <c r="P3930" s="435" t="str">
        <f t="shared" si="1895"/>
        <v xml:space="preserve">SEM VALOR</v>
      </c>
      <c r="AE3930" s="460">
        <v>1466</v>
      </c>
      <c r="AF3930" s="460"/>
      <c r="AH3930">
        <f t="shared" si="1901"/>
        <v>1466</v>
      </c>
    </row>
    <row r="3931" ht="30" hidden="1">
      <c r="A3931" s="217"/>
      <c r="B3931" s="217">
        <v>1466</v>
      </c>
      <c r="C3931" s="217"/>
      <c r="D3931" s="217" t="s">
        <v>20408</v>
      </c>
      <c r="E3931" s="471" t="s">
        <v>20399</v>
      </c>
      <c r="F3931" s="650">
        <v>43082</v>
      </c>
      <c r="G3931" s="651" t="s">
        <v>13739</v>
      </c>
      <c r="H3931" s="542" t="s">
        <v>302</v>
      </c>
      <c r="I3931" s="652">
        <f>8.48*6*8.7*1.05</f>
        <v>464.78899999999999</v>
      </c>
      <c r="J3931" s="473">
        <f t="shared" si="1889"/>
        <v>10</v>
      </c>
      <c r="K3931" s="474">
        <f t="shared" ref="K3931:K3938" si="1904">I3931*J3931</f>
        <v>4647.8899999999994</v>
      </c>
      <c r="L3931" s="473">
        <f t="shared" si="1896"/>
        <v>10</v>
      </c>
      <c r="M3931" s="474">
        <f t="shared" ref="M3931:M3938" si="1905">L3931*I3931</f>
        <v>4647.8899999999994</v>
      </c>
      <c r="N3931" s="615" t="s">
        <v>22452</v>
      </c>
      <c r="O3931" s="434">
        <f t="shared" si="1894"/>
        <v>10</v>
      </c>
      <c r="P3931" s="435">
        <f t="shared" si="1895"/>
        <v>10</v>
      </c>
      <c r="AE3931" s="217"/>
      <c r="AF3931" s="217">
        <v>1466</v>
      </c>
      <c r="AH3931">
        <f t="shared" si="1901"/>
        <v>1466</v>
      </c>
    </row>
    <row r="3932" ht="30" hidden="1">
      <c r="A3932" s="217"/>
      <c r="B3932" s="217">
        <v>1466</v>
      </c>
      <c r="C3932" s="217"/>
      <c r="D3932" s="217" t="s">
        <v>20408</v>
      </c>
      <c r="E3932" s="471" t="s">
        <v>20402</v>
      </c>
      <c r="F3932" s="542">
        <v>546</v>
      </c>
      <c r="G3932" s="537" t="s">
        <v>20997</v>
      </c>
      <c r="H3932" s="542" t="s">
        <v>302</v>
      </c>
      <c r="I3932" s="652">
        <f>3.17*8*1</f>
        <v>25.359999999999999</v>
      </c>
      <c r="J3932" s="473">
        <f t="shared" si="1889"/>
        <v>9.5899999999999999</v>
      </c>
      <c r="K3932" s="474">
        <f t="shared" si="1904"/>
        <v>243.20239999999998</v>
      </c>
      <c r="L3932" s="473">
        <f t="shared" si="1896"/>
        <v>9.5899999999999999</v>
      </c>
      <c r="M3932" s="474">
        <f t="shared" si="1905"/>
        <v>243.20239999999998</v>
      </c>
      <c r="N3932" s="615" t="s">
        <v>22453</v>
      </c>
      <c r="O3932" s="434">
        <f t="shared" si="1894"/>
        <v>9.5899999999999999</v>
      </c>
      <c r="P3932" s="435">
        <f t="shared" si="1895"/>
        <v>9.5899999999999999</v>
      </c>
      <c r="AE3932" s="217"/>
      <c r="AF3932" s="217">
        <v>1466</v>
      </c>
      <c r="AH3932">
        <f t="shared" si="1901"/>
        <v>1466</v>
      </c>
    </row>
    <row r="3933" ht="45" hidden="1">
      <c r="A3933" s="217"/>
      <c r="B3933" s="217">
        <v>1466</v>
      </c>
      <c r="C3933" s="217"/>
      <c r="D3933" s="217" t="s">
        <v>20408</v>
      </c>
      <c r="E3933" s="471" t="s">
        <v>20405</v>
      </c>
      <c r="F3933" s="650">
        <v>43054</v>
      </c>
      <c r="G3933" s="539" t="s">
        <v>10509</v>
      </c>
      <c r="H3933" s="653" t="s">
        <v>302</v>
      </c>
      <c r="I3933" s="652">
        <f>1*40*0.21*1</f>
        <v>8.4000000000000004</v>
      </c>
      <c r="J3933" s="473">
        <f t="shared" si="1889"/>
        <v>8.3599999999999994</v>
      </c>
      <c r="K3933" s="474">
        <f t="shared" si="1904"/>
        <v>70.224000000000004</v>
      </c>
      <c r="L3933" s="473">
        <f t="shared" si="1896"/>
        <v>8.3599999999999994</v>
      </c>
      <c r="M3933" s="474">
        <f t="shared" si="1905"/>
        <v>70.224000000000004</v>
      </c>
      <c r="N3933" s="615" t="s">
        <v>22454</v>
      </c>
      <c r="O3933" s="434">
        <f t="shared" si="1894"/>
        <v>8.3599999999999994</v>
      </c>
      <c r="P3933" s="435">
        <f t="shared" si="1895"/>
        <v>8.3599999999999994</v>
      </c>
      <c r="AE3933" s="217"/>
      <c r="AF3933" s="217">
        <v>1466</v>
      </c>
      <c r="AH3933">
        <f t="shared" si="1901"/>
        <v>1466</v>
      </c>
    </row>
    <row r="3934" ht="30" hidden="1">
      <c r="A3934" s="217"/>
      <c r="B3934" s="217">
        <v>1466</v>
      </c>
      <c r="C3934" s="217"/>
      <c r="D3934" s="217" t="s">
        <v>17167</v>
      </c>
      <c r="E3934" s="471" t="s">
        <v>20409</v>
      </c>
      <c r="F3934" s="542">
        <v>88317</v>
      </c>
      <c r="G3934" s="654" t="s">
        <v>7396</v>
      </c>
      <c r="H3934" s="542" t="s">
        <v>2032</v>
      </c>
      <c r="I3934" s="652">
        <v>20</v>
      </c>
      <c r="J3934" s="473">
        <f t="shared" ref="J3934:J3997" si="1906">O3934*$J$3</f>
        <v>29.559999999999999</v>
      </c>
      <c r="K3934" s="474">
        <f t="shared" si="1904"/>
        <v>591.19999999999993</v>
      </c>
      <c r="L3934" s="473">
        <f t="shared" si="1896"/>
        <v>27.949999999999999</v>
      </c>
      <c r="M3934" s="474">
        <f t="shared" si="1905"/>
        <v>559</v>
      </c>
      <c r="O3934" s="434">
        <f t="shared" si="1894"/>
        <v>29.559999999999999</v>
      </c>
      <c r="P3934" s="435">
        <f t="shared" si="1895"/>
        <v>27.949999999999999</v>
      </c>
      <c r="AE3934" s="217"/>
      <c r="AF3934" s="217">
        <v>1466</v>
      </c>
      <c r="AH3934">
        <f t="shared" si="1901"/>
        <v>1466</v>
      </c>
    </row>
    <row r="3935" ht="30" hidden="1">
      <c r="A3935" s="217"/>
      <c r="B3935" s="217">
        <v>1466</v>
      </c>
      <c r="C3935" s="217"/>
      <c r="D3935" s="217" t="s">
        <v>17167</v>
      </c>
      <c r="E3935" s="471" t="s">
        <v>20663</v>
      </c>
      <c r="F3935" s="655">
        <v>88239</v>
      </c>
      <c r="G3935" s="656" t="s">
        <v>20696</v>
      </c>
      <c r="H3935" s="655" t="s">
        <v>2032</v>
      </c>
      <c r="I3935" s="652">
        <v>20</v>
      </c>
      <c r="J3935" s="473">
        <f t="shared" si="1906"/>
        <v>22.98</v>
      </c>
      <c r="K3935" s="474">
        <f t="shared" si="1904"/>
        <v>459.60000000000002</v>
      </c>
      <c r="L3935" s="473">
        <f t="shared" si="1896"/>
        <v>21.719999999999999</v>
      </c>
      <c r="M3935" s="474">
        <f t="shared" si="1905"/>
        <v>434.39999999999998</v>
      </c>
      <c r="O3935" s="434">
        <f t="shared" si="1894"/>
        <v>22.98</v>
      </c>
      <c r="P3935" s="435">
        <f t="shared" si="1895"/>
        <v>21.719999999999999</v>
      </c>
      <c r="AC3935" s="50"/>
      <c r="AD3935" s="50">
        <v>3.6000000000000001</v>
      </c>
      <c r="AE3935" s="217"/>
      <c r="AF3935" s="217">
        <v>1466</v>
      </c>
      <c r="AH3935">
        <f t="shared" si="1901"/>
        <v>1466</v>
      </c>
    </row>
    <row r="3936" ht="30" hidden="1">
      <c r="A3936" s="217"/>
      <c r="B3936" s="217">
        <v>1466</v>
      </c>
      <c r="C3936" s="217"/>
      <c r="D3936" s="217" t="s">
        <v>17167</v>
      </c>
      <c r="E3936" s="471" t="s">
        <v>20665</v>
      </c>
      <c r="F3936" s="542">
        <v>88310</v>
      </c>
      <c r="G3936" s="654" t="s">
        <v>7386</v>
      </c>
      <c r="H3936" s="542" t="s">
        <v>2032</v>
      </c>
      <c r="I3936" s="652">
        <v>6.7000000000000002</v>
      </c>
      <c r="J3936" s="473">
        <f t="shared" si="1906"/>
        <v>30.210000000000001</v>
      </c>
      <c r="K3936" s="474">
        <f t="shared" si="1904"/>
        <v>202.40700000000001</v>
      </c>
      <c r="L3936" s="473">
        <f t="shared" si="1896"/>
        <v>28.600000000000001</v>
      </c>
      <c r="M3936" s="474">
        <f t="shared" si="1905"/>
        <v>191.62</v>
      </c>
      <c r="O3936" s="434">
        <f t="shared" si="1894"/>
        <v>30.210000000000001</v>
      </c>
      <c r="P3936" s="435">
        <f t="shared" si="1895"/>
        <v>28.600000000000001</v>
      </c>
      <c r="AC3936" s="50"/>
      <c r="AD3936" s="50">
        <v>1</v>
      </c>
      <c r="AE3936" s="217"/>
      <c r="AF3936" s="217">
        <v>1466</v>
      </c>
      <c r="AH3936">
        <f t="shared" si="1901"/>
        <v>1466</v>
      </c>
    </row>
    <row r="3937" ht="30" hidden="1">
      <c r="A3937" s="217"/>
      <c r="B3937" s="217">
        <v>1466</v>
      </c>
      <c r="C3937" s="217"/>
      <c r="D3937" s="217" t="s">
        <v>20408</v>
      </c>
      <c r="E3937" s="471" t="s">
        <v>20667</v>
      </c>
      <c r="F3937" s="542">
        <v>7307</v>
      </c>
      <c r="G3937" s="654" t="s">
        <v>20998</v>
      </c>
      <c r="H3937" s="542" t="s">
        <v>9794</v>
      </c>
      <c r="I3937" s="657">
        <f>0.39*70.14/8.33+8*0.1/8.33+0.064*2*6/8.33+0.3*(0.39*70.14/8.33+8*0.1/8.33+0.064*2*6/8.33)+0.29</f>
        <v>4.7999999999999998</v>
      </c>
      <c r="J3937" s="473">
        <f t="shared" si="1906"/>
        <v>41.960000000000001</v>
      </c>
      <c r="K3937" s="474">
        <f t="shared" si="1904"/>
        <v>201.40799999999999</v>
      </c>
      <c r="L3937" s="473">
        <f t="shared" si="1896"/>
        <v>41.960000000000001</v>
      </c>
      <c r="M3937" s="474">
        <f t="shared" si="1905"/>
        <v>201.40799999999999</v>
      </c>
      <c r="O3937" s="434">
        <f t="shared" si="1894"/>
        <v>41.960000000000001</v>
      </c>
      <c r="P3937" s="435">
        <f t="shared" si="1895"/>
        <v>41.960000000000001</v>
      </c>
      <c r="AC3937" s="50"/>
      <c r="AD3937" s="50"/>
      <c r="AE3937" s="217"/>
      <c r="AF3937" s="217">
        <v>1466</v>
      </c>
      <c r="AH3937">
        <f t="shared" si="1901"/>
        <v>1466</v>
      </c>
    </row>
    <row r="3938" ht="30" hidden="1">
      <c r="A3938" s="217"/>
      <c r="B3938" s="217">
        <v>1466</v>
      </c>
      <c r="C3938" s="217"/>
      <c r="D3938" s="217" t="s">
        <v>20408</v>
      </c>
      <c r="E3938" s="471" t="s">
        <v>20671</v>
      </c>
      <c r="F3938" s="542">
        <v>10999</v>
      </c>
      <c r="G3938" s="654" t="s">
        <v>20999</v>
      </c>
      <c r="H3938" s="542" t="s">
        <v>302</v>
      </c>
      <c r="I3938" s="652">
        <v>19.5</v>
      </c>
      <c r="J3938" s="473">
        <f t="shared" si="1906"/>
        <v>32.579999999999998</v>
      </c>
      <c r="K3938" s="474">
        <f t="shared" si="1904"/>
        <v>635.30999999999995</v>
      </c>
      <c r="L3938" s="473">
        <f t="shared" si="1896"/>
        <v>32.579999999999998</v>
      </c>
      <c r="M3938" s="474">
        <f t="shared" si="1905"/>
        <v>635.30999999999995</v>
      </c>
      <c r="O3938" s="434">
        <f t="shared" si="1894"/>
        <v>32.579999999999998</v>
      </c>
      <c r="P3938" s="435">
        <f t="shared" si="1895"/>
        <v>32.579999999999998</v>
      </c>
      <c r="AC3938" s="50"/>
      <c r="AD3938" s="412" t="s">
        <v>22455</v>
      </c>
      <c r="AE3938" s="217"/>
      <c r="AF3938" s="217">
        <v>1466</v>
      </c>
      <c r="AH3938">
        <f t="shared" si="1901"/>
        <v>1466</v>
      </c>
    </row>
    <row r="3939" hidden="1">
      <c r="A3939" s="217"/>
      <c r="B3939" s="217">
        <v>1466</v>
      </c>
      <c r="C3939" s="217"/>
      <c r="D3939" s="217"/>
      <c r="E3939" s="471"/>
      <c r="F3939" s="486"/>
      <c r="G3939" s="658" t="s">
        <v>22456</v>
      </c>
      <c r="H3939" s="499"/>
      <c r="I3939" s="644"/>
      <c r="J3939" s="473"/>
      <c r="K3939" s="502">
        <f>SUM(K3931:K3938)</f>
        <v>7051.2414000000008</v>
      </c>
      <c r="L3939" s="475"/>
      <c r="M3939" s="502">
        <f>SUM(M3931:M3938)</f>
        <v>6983.0543999999991</v>
      </c>
      <c r="O3939" s="434" t="str">
        <f t="shared" si="1894"/>
        <v xml:space="preserve">SEM VALOR</v>
      </c>
      <c r="P3939" s="435" t="str">
        <f t="shared" si="1895"/>
        <v xml:space="preserve">SEM VALOR</v>
      </c>
      <c r="AE3939" s="217"/>
      <c r="AF3939" s="217"/>
      <c r="AH3939">
        <f t="shared" si="1901"/>
        <v>0</v>
      </c>
    </row>
    <row r="3940" hidden="1">
      <c r="A3940" s="217"/>
      <c r="B3940" s="217">
        <v>1466</v>
      </c>
      <c r="C3940" s="217"/>
      <c r="D3940" s="217"/>
      <c r="E3940" s="471"/>
      <c r="F3940" s="486"/>
      <c r="G3940" s="659" t="s">
        <v>21000</v>
      </c>
      <c r="H3940" s="499"/>
      <c r="I3940" s="644"/>
      <c r="J3940" s="473"/>
      <c r="K3940" s="474">
        <f>(K3934+K3935+K3936)/100*5</f>
        <v>62.660349999999994</v>
      </c>
      <c r="L3940" s="475"/>
      <c r="M3940" s="502">
        <f>(M3934+M3935+M3936)/100*5</f>
        <v>59.250999999999998</v>
      </c>
      <c r="O3940" s="434" t="str">
        <f t="shared" si="1894"/>
        <v xml:space="preserve">SEM VALOR</v>
      </c>
      <c r="P3940" s="435" t="str">
        <f t="shared" si="1895"/>
        <v xml:space="preserve">SEM VALOR</v>
      </c>
      <c r="AE3940" s="217"/>
      <c r="AF3940" s="217"/>
      <c r="AH3940">
        <f t="shared" si="1901"/>
        <v>0</v>
      </c>
    </row>
    <row r="3941" hidden="1">
      <c r="A3941" s="217"/>
      <c r="B3941" s="217">
        <v>1466</v>
      </c>
      <c r="C3941" s="217"/>
      <c r="D3941" s="217"/>
      <c r="E3941" s="471"/>
      <c r="F3941" s="486"/>
      <c r="G3941" s="658" t="s">
        <v>15550</v>
      </c>
      <c r="H3941" s="499"/>
      <c r="I3941" s="644"/>
      <c r="J3941" s="473"/>
      <c r="K3941" s="502">
        <f>K3939+K3940</f>
        <v>7113.9017500000009</v>
      </c>
      <c r="L3941" s="475"/>
      <c r="M3941" s="502">
        <f>M3939+M3940</f>
        <v>7042.3053999999993</v>
      </c>
      <c r="O3941" s="434" t="str">
        <f t="shared" si="1894"/>
        <v xml:space="preserve">SEM VALOR</v>
      </c>
      <c r="P3941" s="435" t="str">
        <f t="shared" si="1895"/>
        <v xml:space="preserve">SEM VALOR</v>
      </c>
      <c r="AE3941" s="217"/>
      <c r="AF3941" s="217"/>
      <c r="AH3941">
        <f t="shared" si="1901"/>
        <v>0</v>
      </c>
    </row>
    <row r="3942" ht="69.75" hidden="1" customHeight="1">
      <c r="A3942" s="460">
        <v>1467</v>
      </c>
      <c r="B3942" s="460">
        <v>1467</v>
      </c>
      <c r="C3942" s="460"/>
      <c r="D3942" s="460"/>
      <c r="E3942" s="461">
        <v>1</v>
      </c>
      <c r="F3942" s="462" t="s">
        <v>22457</v>
      </c>
      <c r="G3942" s="477" t="s">
        <v>21258</v>
      </c>
      <c r="H3942" s="478" t="s">
        <v>15528</v>
      </c>
      <c r="I3942" s="479"/>
      <c r="J3942" s="480"/>
      <c r="K3942" s="466">
        <f>SUM(K3943:K3948)</f>
        <v>542.57773000000009</v>
      </c>
      <c r="L3942" s="480"/>
      <c r="M3942" s="466">
        <f>SUM(M3943:M3948)</f>
        <v>535.3177300000001</v>
      </c>
      <c r="N3942" s="510" t="s">
        <v>22458</v>
      </c>
      <c r="O3942" s="434" t="str">
        <f t="shared" si="1894"/>
        <v xml:space="preserve">SEM VALOR</v>
      </c>
      <c r="P3942" s="435" t="str">
        <f t="shared" si="1895"/>
        <v xml:space="preserve">SEM VALOR</v>
      </c>
      <c r="AE3942" s="460">
        <v>1467</v>
      </c>
      <c r="AF3942" s="460"/>
      <c r="AH3942">
        <f t="shared" si="1901"/>
        <v>1467</v>
      </c>
    </row>
    <row r="3943" ht="30" hidden="1">
      <c r="A3943" s="217"/>
      <c r="B3943" s="217">
        <v>1467</v>
      </c>
      <c r="C3943" s="217"/>
      <c r="D3943" s="217" t="s">
        <v>20408</v>
      </c>
      <c r="E3943" s="471" t="s">
        <v>20399</v>
      </c>
      <c r="F3943" s="482">
        <v>1379</v>
      </c>
      <c r="G3943" s="488" t="s">
        <v>11588</v>
      </c>
      <c r="H3943" s="471" t="s">
        <v>302</v>
      </c>
      <c r="I3943" s="509">
        <v>304</v>
      </c>
      <c r="J3943" s="473">
        <f t="shared" si="1906"/>
        <v>0.82999999999999996</v>
      </c>
      <c r="K3943" s="474">
        <f t="shared" ref="K3943:K3948" si="1907">I3943*J3943</f>
        <v>252.31999999999999</v>
      </c>
      <c r="L3943" s="473">
        <f t="shared" si="1896"/>
        <v>0.82999999999999996</v>
      </c>
      <c r="M3943" s="474">
        <f t="shared" ref="M3943:M3948" si="1908">L3943*I3943</f>
        <v>252.31999999999999</v>
      </c>
      <c r="O3943" s="434">
        <f t="shared" si="1894"/>
        <v>0.82999999999999996</v>
      </c>
      <c r="P3943" s="435">
        <f t="shared" si="1895"/>
        <v>0.82999999999999996</v>
      </c>
      <c r="AE3943" s="217"/>
      <c r="AF3943" s="217">
        <v>1467</v>
      </c>
      <c r="AH3943">
        <f t="shared" si="1901"/>
        <v>1467</v>
      </c>
    </row>
    <row r="3944" ht="45" hidden="1">
      <c r="A3944" s="217"/>
      <c r="B3944" s="217">
        <v>1467</v>
      </c>
      <c r="C3944" s="217"/>
      <c r="D3944" s="217" t="s">
        <v>20408</v>
      </c>
      <c r="E3944" s="471" t="s">
        <v>20402</v>
      </c>
      <c r="F3944" s="489">
        <v>370</v>
      </c>
      <c r="G3944" s="470" t="s">
        <v>10767</v>
      </c>
      <c r="H3944" s="472" t="s">
        <v>15528</v>
      </c>
      <c r="I3944" s="509">
        <f>0.904</f>
        <v>0.90400000000000003</v>
      </c>
      <c r="J3944" s="473">
        <f t="shared" si="1906"/>
        <v>76</v>
      </c>
      <c r="K3944" s="474">
        <f t="shared" si="1907"/>
        <v>68.704000000000008</v>
      </c>
      <c r="L3944" s="473">
        <f t="shared" si="1896"/>
        <v>76</v>
      </c>
      <c r="M3944" s="474">
        <f t="shared" si="1908"/>
        <v>68.704000000000008</v>
      </c>
      <c r="O3944" s="434">
        <f t="shared" si="1894"/>
        <v>76</v>
      </c>
      <c r="P3944" s="435">
        <f t="shared" si="1895"/>
        <v>76</v>
      </c>
      <c r="AE3944" s="217"/>
      <c r="AF3944" s="217">
        <v>1467</v>
      </c>
      <c r="AH3944">
        <f t="shared" si="1901"/>
        <v>1467</v>
      </c>
    </row>
    <row r="3945" ht="45" hidden="1">
      <c r="A3945" s="217"/>
      <c r="B3945" s="217">
        <v>1467</v>
      </c>
      <c r="C3945" s="217"/>
      <c r="D3945" s="217" t="s">
        <v>20408</v>
      </c>
      <c r="E3945" s="471" t="s">
        <v>20405</v>
      </c>
      <c r="F3945" s="489">
        <v>4721</v>
      </c>
      <c r="G3945" s="470" t="s">
        <v>21669</v>
      </c>
      <c r="H3945" s="472" t="s">
        <v>15528</v>
      </c>
      <c r="I3945" s="509">
        <v>0.20899999999999999</v>
      </c>
      <c r="J3945" s="473">
        <f t="shared" si="1906"/>
        <v>100.48999999999999</v>
      </c>
      <c r="K3945" s="474">
        <f t="shared" si="1907"/>
        <v>21.002409999999998</v>
      </c>
      <c r="L3945" s="473">
        <f t="shared" si="1896"/>
        <v>100.48999999999999</v>
      </c>
      <c r="M3945" s="474">
        <f t="shared" si="1908"/>
        <v>21.002409999999998</v>
      </c>
      <c r="O3945" s="434">
        <f t="shared" si="1894"/>
        <v>100.48999999999999</v>
      </c>
      <c r="P3945" s="435">
        <f t="shared" si="1895"/>
        <v>100.48999999999999</v>
      </c>
      <c r="AE3945" s="217"/>
      <c r="AF3945" s="217">
        <v>1467</v>
      </c>
      <c r="AH3945">
        <f t="shared" si="1901"/>
        <v>1467</v>
      </c>
    </row>
    <row r="3946" ht="45" hidden="1">
      <c r="A3946" s="217"/>
      <c r="B3946" s="217">
        <v>1467</v>
      </c>
      <c r="C3946" s="217"/>
      <c r="D3946" s="217" t="s">
        <v>20408</v>
      </c>
      <c r="E3946" s="471" t="s">
        <v>20409</v>
      </c>
      <c r="F3946" s="489">
        <v>4718</v>
      </c>
      <c r="G3946" s="470" t="s">
        <v>13720</v>
      </c>
      <c r="H3946" s="472" t="s">
        <v>15528</v>
      </c>
      <c r="I3946" s="509">
        <f>0.627</f>
        <v>0.627</v>
      </c>
      <c r="J3946" s="473">
        <f t="shared" si="1906"/>
        <v>101.02</v>
      </c>
      <c r="K3946" s="474">
        <f t="shared" si="1907"/>
        <v>63.33954</v>
      </c>
      <c r="L3946" s="473">
        <f t="shared" si="1896"/>
        <v>101.02</v>
      </c>
      <c r="M3946" s="474">
        <f t="shared" si="1908"/>
        <v>63.33954</v>
      </c>
      <c r="O3946" s="434">
        <f t="shared" si="1894"/>
        <v>101.02</v>
      </c>
      <c r="P3946" s="435">
        <f t="shared" si="1895"/>
        <v>101.02</v>
      </c>
      <c r="AE3946" s="217"/>
      <c r="AF3946" s="217">
        <v>1467</v>
      </c>
      <c r="AH3946">
        <f t="shared" si="1901"/>
        <v>1467</v>
      </c>
    </row>
    <row r="3947" ht="30" hidden="1">
      <c r="A3947" s="217"/>
      <c r="B3947" s="217">
        <v>1467</v>
      </c>
      <c r="C3947" s="217"/>
      <c r="D3947" s="217" t="s">
        <v>17167</v>
      </c>
      <c r="E3947" s="471" t="s">
        <v>20663</v>
      </c>
      <c r="F3947" s="489">
        <v>88316</v>
      </c>
      <c r="G3947" s="470" t="s">
        <v>7393</v>
      </c>
      <c r="H3947" s="472" t="s">
        <v>2032</v>
      </c>
      <c r="I3947" s="509">
        <v>6</v>
      </c>
      <c r="J3947" s="473">
        <f t="shared" si="1906"/>
        <v>22.760000000000002</v>
      </c>
      <c r="K3947" s="474">
        <f t="shared" si="1907"/>
        <v>136.56</v>
      </c>
      <c r="L3947" s="473">
        <f t="shared" si="1896"/>
        <v>21.550000000000001</v>
      </c>
      <c r="M3947" s="474">
        <f t="shared" si="1908"/>
        <v>129.30000000000001</v>
      </c>
      <c r="O3947" s="434">
        <f t="shared" si="1894"/>
        <v>22.760000000000002</v>
      </c>
      <c r="P3947" s="435">
        <f t="shared" si="1895"/>
        <v>21.550000000000001</v>
      </c>
      <c r="AE3947" s="217"/>
      <c r="AF3947" s="217">
        <v>1467</v>
      </c>
      <c r="AH3947">
        <f t="shared" si="1901"/>
        <v>1467</v>
      </c>
    </row>
    <row r="3948" ht="75" hidden="1">
      <c r="A3948" s="217"/>
      <c r="B3948" s="217">
        <v>1467</v>
      </c>
      <c r="C3948" s="217"/>
      <c r="D3948" s="217" t="s">
        <v>17167</v>
      </c>
      <c r="E3948" s="471" t="s">
        <v>20665</v>
      </c>
      <c r="F3948" s="489">
        <v>88830</v>
      </c>
      <c r="G3948" s="470" t="s">
        <v>1547</v>
      </c>
      <c r="H3948" s="472" t="s">
        <v>1535</v>
      </c>
      <c r="I3948" s="509">
        <v>0.30599999999999999</v>
      </c>
      <c r="J3948" s="473">
        <f t="shared" si="1906"/>
        <v>2.1299999999999999</v>
      </c>
      <c r="K3948" s="474">
        <f t="shared" si="1907"/>
        <v>0.65177999999999991</v>
      </c>
      <c r="L3948" s="473">
        <f t="shared" si="1896"/>
        <v>2.1299999999999999</v>
      </c>
      <c r="M3948" s="474">
        <f t="shared" si="1908"/>
        <v>0.65177999999999991</v>
      </c>
      <c r="O3948" s="434">
        <f t="shared" ref="O3948:O4011" si="1909">IFERROR(IF(D3948="SINAPI",VLOOKUP(F3948,SINCOMOD,4,FALSE),IF(D3948="INSINAPI",VLOOKUP(F3948,INSINOD,5,FALSE),IF(D3948="SICRO",VLOOKUP(F3948,SICRO,5,FALSE),IF(D3948="COTACAO",VLOOKUP(F3948,COTACAO,6,FALSE),IF(D3948="PRÓPRIO",VLOOKUP(F3948,COMPOD,11,FALSE),IF(D3948="AGESUL",VLOOKUP(F3948,AGESULOD,6,FALSE),IF(D3948="INSAGESUL",VLOOKUP(F3948,INSAGESUL,7,FALSE),"SEM VALOR"))))))),"SEM VALOR")</f>
        <v>2.1299999999999999</v>
      </c>
      <c r="P3948" s="435">
        <f t="shared" ref="P3948:P4011" si="1910">IFERROR(IF(D3948="SINAPI",VLOOKUP(F3948,SINCOMOD,6,FALSE),IF(D3948="INSINAPI",VLOOKUP(F3948,INSINOD,6,FALSE),IF(D3948="SICRO",VLOOKUP(F3948,SICRO,5,FALSE),IF(D3948="COTACAO",VLOOKUP(F3948,COTACAO,6,FALSE),IF(D3948="PRÓPRIO",VLOOKUP(F3948,COMPOD,13,FALSE),IF(D3948="AGESUL",VLOOKUP(F3948,AGESULOD,11,FALSE),IF(D3948="INSAGESUL",VLOOKUP(F3948,INSAGESUL,8,FALSE),"SEM VALOR"))))))),"SEM VALOR")</f>
        <v>2.1299999999999999</v>
      </c>
      <c r="AE3948" s="217"/>
      <c r="AF3948" s="217">
        <v>1467</v>
      </c>
      <c r="AH3948">
        <f>IF(AF3948:AF4422=FALSE,AE3948,AF3948)</f>
        <v>1467</v>
      </c>
    </row>
    <row r="3949" ht="94.5" hidden="1">
      <c r="A3949" s="217">
        <v>1468</v>
      </c>
      <c r="B3949" s="460">
        <v>1468</v>
      </c>
      <c r="C3949" s="460"/>
      <c r="D3949" s="460"/>
      <c r="E3949" s="461">
        <v>1</v>
      </c>
      <c r="F3949" s="462" t="s">
        <v>22459</v>
      </c>
      <c r="G3949" s="477" t="s">
        <v>22460</v>
      </c>
      <c r="H3949" s="478" t="s">
        <v>20196</v>
      </c>
      <c r="I3949" s="479"/>
      <c r="J3949" s="480"/>
      <c r="K3949" s="466">
        <f>K3969</f>
        <v>4490.4145687997488</v>
      </c>
      <c r="L3949" s="473"/>
      <c r="M3949" s="502">
        <f>SUM(M3950:M3966)</f>
        <v>4276.2845787799997</v>
      </c>
      <c r="N3949" s="589" t="s">
        <v>22461</v>
      </c>
      <c r="O3949" s="434" t="str">
        <f t="shared" si="1909"/>
        <v xml:space="preserve">SEM VALOR</v>
      </c>
      <c r="P3949" s="435" t="str">
        <f t="shared" si="1910"/>
        <v xml:space="preserve">SEM VALOR</v>
      </c>
      <c r="Q3949" s="218">
        <f>K3949/10.99</f>
        <v>408.59095257504538</v>
      </c>
      <c r="AE3949" s="217"/>
      <c r="AF3949" s="217"/>
    </row>
    <row r="3950" ht="30" hidden="1">
      <c r="A3950" s="217"/>
      <c r="B3950" s="217">
        <v>1468</v>
      </c>
      <c r="C3950" s="217"/>
      <c r="D3950" s="217" t="s">
        <v>20408</v>
      </c>
      <c r="E3950" s="471" t="s">
        <v>20399</v>
      </c>
      <c r="F3950" s="482">
        <v>3768</v>
      </c>
      <c r="G3950" s="488" t="s">
        <v>13044</v>
      </c>
      <c r="H3950" s="471" t="s">
        <v>31</v>
      </c>
      <c r="I3950" s="509">
        <v>11</v>
      </c>
      <c r="J3950" s="473">
        <f t="shared" si="1906"/>
        <v>4.4400000000000004</v>
      </c>
      <c r="K3950" s="474">
        <f t="shared" ref="K3950:K3966" si="1911">I3950*J3950</f>
        <v>48.840000000000003</v>
      </c>
      <c r="L3950" s="473">
        <f t="shared" ref="L3949:L4012" si="1912">P3950*$L$3</f>
        <v>4.4400000000000004</v>
      </c>
      <c r="M3950" s="474">
        <f t="shared" ref="M3950:M3966" si="1913">L3950*I3950</f>
        <v>48.840000000000003</v>
      </c>
      <c r="N3950" s="660" t="s">
        <v>22462</v>
      </c>
      <c r="O3950" s="434">
        <f t="shared" si="1909"/>
        <v>4.4400000000000004</v>
      </c>
      <c r="P3950" s="435">
        <f t="shared" si="1910"/>
        <v>4.4400000000000004</v>
      </c>
      <c r="AE3950" s="217"/>
      <c r="AF3950" s="217"/>
    </row>
    <row r="3951" ht="30" hidden="1">
      <c r="A3951" s="217"/>
      <c r="B3951" s="217">
        <v>1468</v>
      </c>
      <c r="C3951" s="217"/>
      <c r="D3951" s="217" t="s">
        <v>20408</v>
      </c>
      <c r="E3951" s="471" t="s">
        <v>20402</v>
      </c>
      <c r="F3951" s="489">
        <v>7307</v>
      </c>
      <c r="G3951" s="470" t="s">
        <v>12605</v>
      </c>
      <c r="H3951" s="472" t="s">
        <v>9794</v>
      </c>
      <c r="I3951" s="509">
        <v>11.5395</v>
      </c>
      <c r="J3951" s="473">
        <f t="shared" si="1906"/>
        <v>41.960000000000001</v>
      </c>
      <c r="K3951" s="474">
        <f t="shared" si="1911"/>
        <v>484.19742000000002</v>
      </c>
      <c r="L3951" s="473">
        <f t="shared" si="1912"/>
        <v>41.960000000000001</v>
      </c>
      <c r="M3951" s="474">
        <f t="shared" si="1913"/>
        <v>484.19742000000002</v>
      </c>
      <c r="N3951" s="660" t="s">
        <v>22463</v>
      </c>
      <c r="O3951" s="434">
        <f t="shared" si="1909"/>
        <v>41.960000000000001</v>
      </c>
      <c r="P3951" s="435">
        <f t="shared" si="1910"/>
        <v>41.960000000000001</v>
      </c>
      <c r="AE3951" s="217"/>
      <c r="AF3951" s="217"/>
    </row>
    <row r="3952" ht="30" hidden="1">
      <c r="A3952" s="217"/>
      <c r="B3952" s="217">
        <v>1468</v>
      </c>
      <c r="C3952" s="217"/>
      <c r="D3952" s="217" t="s">
        <v>20408</v>
      </c>
      <c r="E3952" s="471" t="s">
        <v>20405</v>
      </c>
      <c r="F3952" s="489">
        <v>7292</v>
      </c>
      <c r="G3952" s="470" t="s">
        <v>14763</v>
      </c>
      <c r="H3952" s="472" t="s">
        <v>9794</v>
      </c>
      <c r="I3952" s="509">
        <v>11.5395</v>
      </c>
      <c r="J3952" s="473">
        <f t="shared" si="1906"/>
        <v>38.899999999999999</v>
      </c>
      <c r="K3952" s="474">
        <f t="shared" si="1911"/>
        <v>448.88655</v>
      </c>
      <c r="L3952" s="473">
        <f t="shared" si="1912"/>
        <v>38.899999999999999</v>
      </c>
      <c r="M3952" s="474">
        <f t="shared" si="1913"/>
        <v>448.88655</v>
      </c>
      <c r="N3952" s="660" t="s">
        <v>22463</v>
      </c>
      <c r="O3952" s="434">
        <f t="shared" si="1909"/>
        <v>38.899999999999999</v>
      </c>
      <c r="P3952" s="435">
        <f t="shared" si="1910"/>
        <v>38.899999999999999</v>
      </c>
      <c r="AE3952" s="217"/>
      <c r="AF3952" s="217"/>
    </row>
    <row r="3953" hidden="1">
      <c r="A3953" s="217"/>
      <c r="B3953" s="217">
        <v>1468</v>
      </c>
      <c r="C3953" s="217"/>
      <c r="D3953" s="217" t="s">
        <v>20408</v>
      </c>
      <c r="E3953" s="471" t="s">
        <v>20409</v>
      </c>
      <c r="F3953" s="489">
        <v>5318</v>
      </c>
      <c r="G3953" s="470" t="s">
        <v>12154</v>
      </c>
      <c r="H3953" s="472" t="s">
        <v>9794</v>
      </c>
      <c r="I3953" s="509">
        <v>2.8848750000000001</v>
      </c>
      <c r="J3953" s="473">
        <f t="shared" si="1906"/>
        <v>17.699999999999999</v>
      </c>
      <c r="K3953" s="474">
        <f t="shared" si="1911"/>
        <v>51.062287499999996</v>
      </c>
      <c r="L3953" s="473">
        <f t="shared" si="1912"/>
        <v>17.699999999999999</v>
      </c>
      <c r="M3953" s="474">
        <f t="shared" si="1913"/>
        <v>51.062287499999996</v>
      </c>
      <c r="O3953" s="434">
        <f t="shared" si="1909"/>
        <v>17.699999999999999</v>
      </c>
      <c r="P3953" s="435">
        <f t="shared" si="1910"/>
        <v>17.699999999999999</v>
      </c>
      <c r="AE3953" s="217"/>
      <c r="AF3953" s="217"/>
    </row>
    <row r="3954" ht="30" hidden="1">
      <c r="A3954" s="217"/>
      <c r="B3954" s="217">
        <v>1468</v>
      </c>
      <c r="C3954" s="217"/>
      <c r="D3954" s="217" t="s">
        <v>20408</v>
      </c>
      <c r="E3954" s="471" t="s">
        <v>20663</v>
      </c>
      <c r="F3954" s="489">
        <v>10999</v>
      </c>
      <c r="G3954" s="470" t="s">
        <v>12285</v>
      </c>
      <c r="H3954" s="472" t="s">
        <v>302</v>
      </c>
      <c r="I3954" s="509">
        <v>10.477866000000001</v>
      </c>
      <c r="J3954" s="473">
        <f t="shared" si="1906"/>
        <v>32.579999999999998</v>
      </c>
      <c r="K3954" s="474">
        <f t="shared" si="1911"/>
        <v>341.36887428</v>
      </c>
      <c r="L3954" s="473">
        <f t="shared" si="1912"/>
        <v>32.579999999999998</v>
      </c>
      <c r="M3954" s="474">
        <f t="shared" si="1913"/>
        <v>341.36887428</v>
      </c>
      <c r="O3954" s="434">
        <f t="shared" si="1909"/>
        <v>32.579999999999998</v>
      </c>
      <c r="P3954" s="435">
        <f t="shared" si="1910"/>
        <v>32.579999999999998</v>
      </c>
      <c r="AE3954" s="217"/>
      <c r="AF3954" s="217"/>
    </row>
    <row r="3955" hidden="1">
      <c r="A3955" s="217"/>
      <c r="B3955" s="217">
        <v>1468</v>
      </c>
      <c r="C3955" s="217"/>
      <c r="D3955" s="217" t="s">
        <v>20453</v>
      </c>
      <c r="E3955" s="471" t="s">
        <v>20665</v>
      </c>
      <c r="F3955" s="489" t="s">
        <v>20284</v>
      </c>
      <c r="G3955" s="470" t="s">
        <v>20285</v>
      </c>
      <c r="H3955" s="472" t="s">
        <v>38</v>
      </c>
      <c r="I3955" s="509">
        <v>90</v>
      </c>
      <c r="J3955" s="473">
        <f t="shared" si="1906"/>
        <v>6.6699999999999999</v>
      </c>
      <c r="K3955" s="474">
        <f t="shared" si="1911"/>
        <v>600.29999999999995</v>
      </c>
      <c r="L3955" s="473">
        <f t="shared" si="1912"/>
        <v>6.6699999999999999</v>
      </c>
      <c r="M3955" s="474">
        <f t="shared" si="1913"/>
        <v>600.29999999999995</v>
      </c>
      <c r="O3955" s="434">
        <f t="shared" si="1909"/>
        <v>6.6699999999999999</v>
      </c>
      <c r="P3955" s="435">
        <f t="shared" si="1910"/>
        <v>6.6699999999999999</v>
      </c>
      <c r="AE3955" s="217"/>
      <c r="AF3955" s="217"/>
    </row>
    <row r="3956" hidden="1">
      <c r="A3956" s="217"/>
      <c r="B3956" s="217">
        <v>1468</v>
      </c>
      <c r="C3956" s="217"/>
      <c r="D3956" s="217" t="s">
        <v>20453</v>
      </c>
      <c r="E3956" s="471" t="s">
        <v>20667</v>
      </c>
      <c r="F3956" s="489" t="s">
        <v>20292</v>
      </c>
      <c r="G3956" s="470" t="s">
        <v>20293</v>
      </c>
      <c r="H3956" s="661" t="s">
        <v>38</v>
      </c>
      <c r="I3956" s="509">
        <v>0.46000000000000002</v>
      </c>
      <c r="J3956" s="473">
        <f t="shared" si="1906"/>
        <v>21.670000000000002</v>
      </c>
      <c r="K3956" s="474">
        <f t="shared" si="1911"/>
        <v>9.9682000000000013</v>
      </c>
      <c r="L3956" s="473">
        <f t="shared" si="1912"/>
        <v>21.670000000000002</v>
      </c>
      <c r="M3956" s="474">
        <f t="shared" si="1913"/>
        <v>9.9682000000000013</v>
      </c>
      <c r="O3956" s="434">
        <f t="shared" si="1909"/>
        <v>21.670000000000002</v>
      </c>
      <c r="P3956" s="435">
        <f t="shared" si="1910"/>
        <v>21.670000000000002</v>
      </c>
      <c r="AE3956" s="217"/>
      <c r="AF3956" s="217"/>
    </row>
    <row r="3957" hidden="1">
      <c r="A3957" s="217"/>
      <c r="B3957" s="217">
        <v>1468</v>
      </c>
      <c r="C3957" s="217"/>
      <c r="D3957" s="217" t="s">
        <v>20453</v>
      </c>
      <c r="E3957" s="471" t="s">
        <v>20671</v>
      </c>
      <c r="F3957" s="489" t="s">
        <v>20298</v>
      </c>
      <c r="G3957" s="470" t="s">
        <v>20299</v>
      </c>
      <c r="H3957" s="661" t="s">
        <v>38</v>
      </c>
      <c r="I3957" s="509">
        <v>11.128</v>
      </c>
      <c r="J3957" s="473">
        <f t="shared" si="1906"/>
        <v>24.73</v>
      </c>
      <c r="K3957" s="474">
        <f t="shared" si="1911"/>
        <v>275.19544000000002</v>
      </c>
      <c r="L3957" s="473">
        <f t="shared" si="1912"/>
        <v>24.73</v>
      </c>
      <c r="M3957" s="474">
        <f t="shared" si="1913"/>
        <v>275.19544000000002</v>
      </c>
      <c r="O3957" s="434">
        <f t="shared" si="1909"/>
        <v>24.73</v>
      </c>
      <c r="P3957" s="435">
        <f t="shared" si="1910"/>
        <v>24.73</v>
      </c>
      <c r="AE3957" s="217"/>
      <c r="AF3957" s="217"/>
    </row>
    <row r="3958" ht="45" hidden="1">
      <c r="A3958" s="217"/>
      <c r="B3958" s="217">
        <v>1468</v>
      </c>
      <c r="C3958" s="217"/>
      <c r="D3958" s="217" t="s">
        <v>20408</v>
      </c>
      <c r="E3958" s="471" t="s">
        <v>20672</v>
      </c>
      <c r="F3958" s="489">
        <v>4777</v>
      </c>
      <c r="G3958" s="470" t="s">
        <v>11427</v>
      </c>
      <c r="H3958" s="661" t="s">
        <v>38</v>
      </c>
      <c r="I3958" s="509">
        <v>4.048</v>
      </c>
      <c r="J3958" s="473">
        <f t="shared" si="1906"/>
        <v>8.0199999999999996</v>
      </c>
      <c r="K3958" s="474">
        <f t="shared" si="1911"/>
        <v>32.464959999999998</v>
      </c>
      <c r="L3958" s="473">
        <f t="shared" si="1912"/>
        <v>8.0199999999999996</v>
      </c>
      <c r="M3958" s="474">
        <f t="shared" si="1913"/>
        <v>32.464959999999998</v>
      </c>
      <c r="O3958" s="434">
        <f t="shared" si="1909"/>
        <v>8.0199999999999996</v>
      </c>
      <c r="P3958" s="435">
        <f t="shared" si="1910"/>
        <v>8.0199999999999996</v>
      </c>
      <c r="AE3958" s="217"/>
      <c r="AF3958" s="217"/>
    </row>
    <row r="3959" ht="30" hidden="1">
      <c r="A3959" s="217"/>
      <c r="B3959" s="217">
        <v>1468</v>
      </c>
      <c r="C3959" s="217"/>
      <c r="D3959" s="217" t="s">
        <v>20453</v>
      </c>
      <c r="E3959" s="471" t="s">
        <v>20673</v>
      </c>
      <c r="F3959" s="489" t="s">
        <v>20302</v>
      </c>
      <c r="G3959" s="470" t="s">
        <v>22464</v>
      </c>
      <c r="H3959" s="661" t="s">
        <v>302</v>
      </c>
      <c r="I3959" s="509">
        <v>3.5327999999999999</v>
      </c>
      <c r="J3959" s="473">
        <f t="shared" si="1906"/>
        <v>7.1200000000000001</v>
      </c>
      <c r="K3959" s="474">
        <f t="shared" si="1911"/>
        <v>25.153535999999999</v>
      </c>
      <c r="L3959" s="473">
        <f t="shared" si="1912"/>
        <v>7.1200000000000001</v>
      </c>
      <c r="M3959" s="474">
        <f t="shared" si="1913"/>
        <v>25.153535999999999</v>
      </c>
      <c r="O3959" s="434">
        <f t="shared" si="1909"/>
        <v>7.1200000000000001</v>
      </c>
      <c r="P3959" s="435">
        <f t="shared" si="1910"/>
        <v>7.1200000000000001</v>
      </c>
      <c r="AE3959" s="217"/>
      <c r="AF3959" s="217"/>
    </row>
    <row r="3960" ht="30" hidden="1">
      <c r="A3960" s="217"/>
      <c r="B3960" s="217">
        <v>1468</v>
      </c>
      <c r="C3960" s="217"/>
      <c r="D3960" s="217" t="s">
        <v>20453</v>
      </c>
      <c r="E3960" s="471" t="s">
        <v>20675</v>
      </c>
      <c r="F3960" s="489" t="s">
        <v>20307</v>
      </c>
      <c r="G3960" s="470" t="s">
        <v>11517</v>
      </c>
      <c r="H3960" s="661" t="s">
        <v>302</v>
      </c>
      <c r="I3960" s="509">
        <v>4.5999999999999996</v>
      </c>
      <c r="J3960" s="473">
        <f t="shared" si="1906"/>
        <v>7.1200000000000001</v>
      </c>
      <c r="K3960" s="474">
        <f t="shared" si="1911"/>
        <v>32.751999999999995</v>
      </c>
      <c r="L3960" s="473">
        <f t="shared" si="1912"/>
        <v>7.1200000000000001</v>
      </c>
      <c r="M3960" s="474">
        <f t="shared" si="1913"/>
        <v>32.751999999999995</v>
      </c>
      <c r="O3960" s="434">
        <f t="shared" si="1909"/>
        <v>7.1200000000000001</v>
      </c>
      <c r="P3960" s="435">
        <f t="shared" si="1910"/>
        <v>7.1200000000000001</v>
      </c>
      <c r="AE3960" s="217"/>
      <c r="AF3960" s="217"/>
    </row>
    <row r="3961" ht="30" hidden="1">
      <c r="A3961" s="217"/>
      <c r="B3961" s="217">
        <v>1468</v>
      </c>
      <c r="C3961" s="217"/>
      <c r="D3961" s="217" t="s">
        <v>17167</v>
      </c>
      <c r="E3961" s="471" t="s">
        <v>20677</v>
      </c>
      <c r="F3961" s="489">
        <v>88310</v>
      </c>
      <c r="G3961" s="470" t="s">
        <v>7386</v>
      </c>
      <c r="H3961" s="661" t="s">
        <v>2032</v>
      </c>
      <c r="I3961" s="509">
        <v>11.5510395</v>
      </c>
      <c r="J3961" s="473">
        <f t="shared" si="1906"/>
        <v>30.210000000000001</v>
      </c>
      <c r="K3961" s="474">
        <f t="shared" si="1911"/>
        <v>348.95690329500002</v>
      </c>
      <c r="L3961" s="473">
        <f t="shared" si="1912"/>
        <v>28.600000000000001</v>
      </c>
      <c r="M3961" s="474">
        <f t="shared" si="1913"/>
        <v>330.3597297</v>
      </c>
      <c r="O3961" s="434">
        <f t="shared" si="1909"/>
        <v>30.210000000000001</v>
      </c>
      <c r="P3961" s="435">
        <f t="shared" si="1910"/>
        <v>28.600000000000001</v>
      </c>
      <c r="AE3961" s="217"/>
      <c r="AF3961" s="217"/>
    </row>
    <row r="3962" ht="30" hidden="1">
      <c r="A3962" s="217"/>
      <c r="B3962" s="217">
        <v>1468</v>
      </c>
      <c r="C3962" s="217"/>
      <c r="D3962" s="217" t="s">
        <v>17167</v>
      </c>
      <c r="E3962" s="471" t="s">
        <v>20679</v>
      </c>
      <c r="F3962" s="489">
        <v>88316</v>
      </c>
      <c r="G3962" s="470" t="s">
        <v>7393</v>
      </c>
      <c r="H3962" s="661" t="s">
        <v>2032</v>
      </c>
      <c r="I3962" s="509">
        <v>1.4330959999999999</v>
      </c>
      <c r="J3962" s="473">
        <f t="shared" si="1906"/>
        <v>22.760000000000002</v>
      </c>
      <c r="K3962" s="474">
        <f t="shared" si="1911"/>
        <v>32.61726496</v>
      </c>
      <c r="L3962" s="473">
        <f t="shared" si="1912"/>
        <v>21.550000000000001</v>
      </c>
      <c r="M3962" s="474">
        <f t="shared" si="1913"/>
        <v>30.883218799999998</v>
      </c>
      <c r="O3962" s="434">
        <f t="shared" si="1909"/>
        <v>22.760000000000002</v>
      </c>
      <c r="P3962" s="435">
        <f t="shared" si="1910"/>
        <v>21.550000000000001</v>
      </c>
      <c r="AE3962" s="217"/>
      <c r="AF3962" s="217"/>
    </row>
    <row r="3963" ht="30" hidden="1">
      <c r="A3963" s="217"/>
      <c r="B3963" s="217">
        <v>1468</v>
      </c>
      <c r="C3963" s="217"/>
      <c r="D3963" s="217" t="s">
        <v>17167</v>
      </c>
      <c r="E3963" s="471" t="s">
        <v>20681</v>
      </c>
      <c r="F3963" s="489">
        <v>88317</v>
      </c>
      <c r="G3963" s="470" t="s">
        <v>7396</v>
      </c>
      <c r="H3963" s="661" t="s">
        <v>2032</v>
      </c>
      <c r="I3963" s="509">
        <v>13.991369000000001</v>
      </c>
      <c r="J3963" s="473">
        <f t="shared" si="1906"/>
        <v>29.559999999999999</v>
      </c>
      <c r="K3963" s="474">
        <f t="shared" si="1911"/>
        <v>413.58486764000003</v>
      </c>
      <c r="L3963" s="473">
        <f t="shared" si="1912"/>
        <v>27.949999999999999</v>
      </c>
      <c r="M3963" s="474">
        <f t="shared" si="1913"/>
        <v>391.05876354999998</v>
      </c>
      <c r="O3963" s="434">
        <f t="shared" si="1909"/>
        <v>29.559999999999999</v>
      </c>
      <c r="P3963" s="435">
        <f t="shared" si="1910"/>
        <v>27.949999999999999</v>
      </c>
      <c r="AE3963" s="217"/>
      <c r="AF3963" s="217"/>
    </row>
    <row r="3964" ht="30" hidden="1">
      <c r="A3964" s="217"/>
      <c r="B3964" s="217">
        <v>1468</v>
      </c>
      <c r="C3964" s="217"/>
      <c r="D3964" s="217" t="s">
        <v>17167</v>
      </c>
      <c r="E3964" s="471" t="s">
        <v>20683</v>
      </c>
      <c r="F3964" s="489">
        <v>88315</v>
      </c>
      <c r="G3964" s="470" t="s">
        <v>7392</v>
      </c>
      <c r="H3964" s="661" t="s">
        <v>2032</v>
      </c>
      <c r="I3964" s="509">
        <v>21.765695000000001</v>
      </c>
      <c r="J3964" s="473">
        <f t="shared" si="1906"/>
        <v>28.800000000000001</v>
      </c>
      <c r="K3964" s="474">
        <f t="shared" si="1911"/>
        <v>626.85201600000005</v>
      </c>
      <c r="L3964" s="473">
        <f t="shared" si="1912"/>
        <v>27.149999999999999</v>
      </c>
      <c r="M3964" s="474">
        <f t="shared" si="1913"/>
        <v>590.93861924999999</v>
      </c>
      <c r="O3964" s="434">
        <f t="shared" si="1909"/>
        <v>28.800000000000001</v>
      </c>
      <c r="P3964" s="435">
        <f t="shared" si="1910"/>
        <v>27.149999999999999</v>
      </c>
      <c r="AE3964" s="217"/>
      <c r="AF3964" s="217"/>
    </row>
    <row r="3965" ht="30" hidden="1">
      <c r="A3965" s="217"/>
      <c r="B3965" s="217">
        <v>1468</v>
      </c>
      <c r="C3965" s="217"/>
      <c r="D3965" s="217" t="s">
        <v>17167</v>
      </c>
      <c r="E3965" s="471" t="s">
        <v>20685</v>
      </c>
      <c r="F3965" s="489">
        <v>88309</v>
      </c>
      <c r="G3965" s="470" t="s">
        <v>7385</v>
      </c>
      <c r="H3965" s="661" t="s">
        <v>2032</v>
      </c>
      <c r="I3965" s="509">
        <v>3.6926399999999999</v>
      </c>
      <c r="J3965" s="473">
        <f t="shared" si="1906"/>
        <v>28.5</v>
      </c>
      <c r="K3965" s="474">
        <f t="shared" si="1911"/>
        <v>105.24024</v>
      </c>
      <c r="L3965" s="473">
        <f t="shared" si="1912"/>
        <v>26.870000000000001</v>
      </c>
      <c r="M3965" s="474">
        <f t="shared" si="1913"/>
        <v>99.2212368</v>
      </c>
      <c r="O3965" s="434">
        <f t="shared" si="1909"/>
        <v>28.5</v>
      </c>
      <c r="P3965" s="435">
        <f t="shared" si="1910"/>
        <v>26.870000000000001</v>
      </c>
      <c r="AE3965" s="217"/>
      <c r="AF3965" s="217"/>
    </row>
    <row r="3966" ht="30" hidden="1">
      <c r="A3966" s="217"/>
      <c r="B3966" s="217">
        <v>1468</v>
      </c>
      <c r="C3966" s="217"/>
      <c r="D3966" s="217" t="s">
        <v>17167</v>
      </c>
      <c r="E3966" s="471" t="s">
        <v>20687</v>
      </c>
      <c r="F3966" s="489">
        <v>88251</v>
      </c>
      <c r="G3966" s="470" t="s">
        <v>7116</v>
      </c>
      <c r="H3966" s="661" t="s">
        <v>2032</v>
      </c>
      <c r="I3966" s="509">
        <v>21.765695000000001</v>
      </c>
      <c r="J3966" s="473">
        <f t="shared" si="1906"/>
        <v>23.48</v>
      </c>
      <c r="K3966" s="474">
        <f t="shared" si="1911"/>
        <v>511.05851860000001</v>
      </c>
      <c r="L3966" s="473">
        <f t="shared" si="1912"/>
        <v>22.219999999999999</v>
      </c>
      <c r="M3966" s="474">
        <f t="shared" si="1913"/>
        <v>483.63374290000002</v>
      </c>
      <c r="O3966" s="434">
        <f t="shared" si="1909"/>
        <v>23.48</v>
      </c>
      <c r="P3966" s="435">
        <f t="shared" si="1910"/>
        <v>22.219999999999999</v>
      </c>
      <c r="AE3966" s="217"/>
      <c r="AF3966" s="217"/>
    </row>
    <row r="3967" hidden="1">
      <c r="A3967" s="217"/>
      <c r="B3967" s="217">
        <v>1468</v>
      </c>
      <c r="C3967" s="217"/>
      <c r="D3967" s="217"/>
      <c r="E3967" s="471"/>
      <c r="F3967" s="469"/>
      <c r="G3967" s="658" t="s">
        <v>22456</v>
      </c>
      <c r="H3967" s="661"/>
      <c r="I3967" s="509"/>
      <c r="J3967" s="473"/>
      <c r="K3967" s="502">
        <f>SUM(K3950:K3966)</f>
        <v>4388.4990782749992</v>
      </c>
      <c r="L3967" s="473"/>
      <c r="M3967" s="474"/>
      <c r="O3967" s="434" t="str">
        <f t="shared" si="1909"/>
        <v xml:space="preserve">SEM VALOR</v>
      </c>
      <c r="P3967" s="435" t="str">
        <f t="shared" si="1910"/>
        <v xml:space="preserve">SEM VALOR</v>
      </c>
      <c r="AE3967" s="217"/>
      <c r="AF3967" s="217"/>
    </row>
    <row r="3968" hidden="1">
      <c r="A3968" s="217"/>
      <c r="B3968" s="217">
        <v>1468</v>
      </c>
      <c r="C3968" s="217"/>
      <c r="D3968" s="217"/>
      <c r="E3968" s="471"/>
      <c r="F3968" s="469"/>
      <c r="G3968" s="659" t="s">
        <v>21000</v>
      </c>
      <c r="H3968" s="661"/>
      <c r="I3968" s="509"/>
      <c r="J3968" s="473"/>
      <c r="K3968" s="474">
        <f>(K3961+K3962+K3963+K3964+K3965+K3966)*0.05</f>
        <v>101.91549052475001</v>
      </c>
      <c r="L3968" s="473"/>
      <c r="M3968" s="474"/>
      <c r="O3968" s="434" t="str">
        <f t="shared" si="1909"/>
        <v xml:space="preserve">SEM VALOR</v>
      </c>
      <c r="P3968" s="435" t="str">
        <f t="shared" si="1910"/>
        <v xml:space="preserve">SEM VALOR</v>
      </c>
      <c r="AE3968" s="217"/>
      <c r="AF3968" s="217"/>
    </row>
    <row r="3969" hidden="1">
      <c r="A3969" s="217"/>
      <c r="B3969" s="217">
        <v>1468</v>
      </c>
      <c r="C3969" s="217"/>
      <c r="D3969" s="217"/>
      <c r="E3969" s="471"/>
      <c r="F3969" s="469"/>
      <c r="G3969" s="658" t="s">
        <v>15550</v>
      </c>
      <c r="H3969" s="661"/>
      <c r="I3969" s="509"/>
      <c r="J3969" s="473"/>
      <c r="K3969" s="502">
        <f>K3967+K3968</f>
        <v>4490.4145687997488</v>
      </c>
      <c r="L3969" s="473"/>
      <c r="M3969" s="474"/>
      <c r="O3969" s="434" t="str">
        <f t="shared" si="1909"/>
        <v xml:space="preserve">SEM VALOR</v>
      </c>
      <c r="P3969" s="435" t="str">
        <f t="shared" si="1910"/>
        <v xml:space="preserve">SEM VALOR</v>
      </c>
      <c r="AE3969" s="217"/>
      <c r="AF3969" s="217"/>
    </row>
    <row r="3970" ht="78.75" hidden="1">
      <c r="A3970" s="217"/>
      <c r="B3970" s="460">
        <v>1470</v>
      </c>
      <c r="C3970" s="460"/>
      <c r="D3970" s="460"/>
      <c r="E3970" s="461">
        <v>1</v>
      </c>
      <c r="F3970" s="462" t="s">
        <v>22465</v>
      </c>
      <c r="G3970" s="477" t="s">
        <v>22466</v>
      </c>
      <c r="H3970" s="478" t="s">
        <v>31</v>
      </c>
      <c r="I3970" s="479"/>
      <c r="J3970" s="480"/>
      <c r="K3970" s="466">
        <f>SUM(K3971:K3973)</f>
        <v>23078.514824999998</v>
      </c>
      <c r="L3970" s="473"/>
      <c r="M3970" s="474"/>
      <c r="O3970" s="434" t="str">
        <f t="shared" si="1909"/>
        <v xml:space="preserve">SEM VALOR</v>
      </c>
      <c r="P3970" s="435" t="str">
        <f t="shared" si="1910"/>
        <v xml:space="preserve">SEM VALOR</v>
      </c>
      <c r="AE3970" s="217"/>
      <c r="AF3970" s="217"/>
    </row>
    <row r="3971" ht="75" hidden="1">
      <c r="A3971" s="217"/>
      <c r="B3971" s="217">
        <v>1470</v>
      </c>
      <c r="C3971" s="217"/>
      <c r="D3971" s="217" t="s">
        <v>20408</v>
      </c>
      <c r="E3971" s="471" t="s">
        <v>20399</v>
      </c>
      <c r="F3971" s="540">
        <v>11145</v>
      </c>
      <c r="G3971" s="557" t="s">
        <v>21124</v>
      </c>
      <c r="H3971" s="542" t="s">
        <v>15528</v>
      </c>
      <c r="I3971" s="559">
        <f>17.7*(((0.23+0.08)*1.5)+(0.23*5))+(0.15*2)</f>
        <v>28.8855</v>
      </c>
      <c r="J3971" s="473">
        <f t="shared" si="1906"/>
        <v>662.14999999999998</v>
      </c>
      <c r="K3971" s="474">
        <f t="shared" ref="K3971:K3973" si="1914">I3971*J3971</f>
        <v>19126.533824999999</v>
      </c>
      <c r="L3971" s="473"/>
      <c r="M3971" s="474"/>
      <c r="O3971" s="434">
        <f t="shared" si="1909"/>
        <v>662.14999999999998</v>
      </c>
      <c r="P3971" s="435">
        <f t="shared" si="1910"/>
        <v>662.14999999999998</v>
      </c>
      <c r="AE3971" s="217"/>
      <c r="AF3971" s="217"/>
    </row>
    <row r="3972" ht="60" hidden="1">
      <c r="A3972" s="217"/>
      <c r="B3972" s="217">
        <v>1470</v>
      </c>
      <c r="C3972" s="217"/>
      <c r="D3972" s="217" t="s">
        <v>17167</v>
      </c>
      <c r="E3972" s="471" t="s">
        <v>20402</v>
      </c>
      <c r="F3972" s="540">
        <v>96530</v>
      </c>
      <c r="G3972" s="557" t="s">
        <v>20966</v>
      </c>
      <c r="H3972" s="542" t="s">
        <v>15515</v>
      </c>
      <c r="I3972" s="559">
        <f>0.3*5*2+0.15*5*2+0.15*1.5/2*2*2</f>
        <v>4.9500000000000002</v>
      </c>
      <c r="J3972" s="473">
        <f t="shared" si="1906"/>
        <v>129.25999999999999</v>
      </c>
      <c r="K3972" s="474">
        <f t="shared" si="1914"/>
        <v>639.83699999999999</v>
      </c>
      <c r="L3972" s="473"/>
      <c r="M3972" s="474"/>
      <c r="O3972" s="434">
        <f t="shared" si="1909"/>
        <v>129.25999999999999</v>
      </c>
      <c r="P3972" s="435">
        <f t="shared" si="1910"/>
        <v>125.91</v>
      </c>
      <c r="AE3972" s="217"/>
      <c r="AF3972" s="217"/>
    </row>
    <row r="3973" ht="75" hidden="1">
      <c r="A3973" s="217"/>
      <c r="B3973" s="217">
        <v>1470</v>
      </c>
      <c r="C3973" s="217"/>
      <c r="D3973" s="217" t="s">
        <v>17167</v>
      </c>
      <c r="E3973" s="471" t="s">
        <v>20405</v>
      </c>
      <c r="F3973" s="540">
        <v>91593</v>
      </c>
      <c r="G3973" s="557" t="s">
        <v>21125</v>
      </c>
      <c r="H3973" s="542" t="s">
        <v>302</v>
      </c>
      <c r="I3973" s="559">
        <f>17.7*8*R3973+0.6*2*5*R3973</f>
        <v>324.72000000000003</v>
      </c>
      <c r="J3973" s="473">
        <f t="shared" si="1906"/>
        <v>10.199999999999999</v>
      </c>
      <c r="K3973" s="474">
        <f t="shared" si="1914"/>
        <v>3312.1440000000002</v>
      </c>
      <c r="L3973" s="473"/>
      <c r="M3973" s="474"/>
      <c r="O3973" s="434">
        <f t="shared" si="1909"/>
        <v>10.199999999999999</v>
      </c>
      <c r="P3973" s="435">
        <f t="shared" si="1910"/>
        <v>10.16</v>
      </c>
      <c r="R3973" s="434">
        <v>2.2000000000000002</v>
      </c>
      <c r="S3973" t="s">
        <v>22467</v>
      </c>
      <c r="AE3973" s="217"/>
      <c r="AF3973" s="217"/>
    </row>
    <row r="3974" ht="78.75" hidden="1">
      <c r="A3974" s="217"/>
      <c r="B3974" s="460">
        <v>1471</v>
      </c>
      <c r="C3974" s="460"/>
      <c r="D3974" s="460"/>
      <c r="E3974" s="461">
        <v>1</v>
      </c>
      <c r="F3974" s="462" t="s">
        <v>22468</v>
      </c>
      <c r="G3974" s="477" t="s">
        <v>22469</v>
      </c>
      <c r="H3974" s="478" t="s">
        <v>31</v>
      </c>
      <c r="I3974" s="479"/>
      <c r="J3974" s="480"/>
      <c r="K3974" s="466">
        <f>SUM(K3975:K3977)</f>
        <v>23702.960949999997</v>
      </c>
      <c r="L3974" s="473"/>
      <c r="M3974" s="474"/>
      <c r="O3974" s="434" t="str">
        <f t="shared" si="1909"/>
        <v xml:space="preserve">SEM VALOR</v>
      </c>
      <c r="P3974" s="435" t="str">
        <f t="shared" si="1910"/>
        <v xml:space="preserve">SEM VALOR</v>
      </c>
      <c r="AE3974" s="217"/>
      <c r="AF3974" s="217"/>
    </row>
    <row r="3975" ht="75" hidden="1">
      <c r="A3975" s="217"/>
      <c r="B3975" s="217">
        <v>1471</v>
      </c>
      <c r="C3975" s="217"/>
      <c r="D3975" s="217" t="s">
        <v>20408</v>
      </c>
      <c r="E3975" s="471" t="s">
        <v>20399</v>
      </c>
      <c r="F3975" s="540">
        <v>11145</v>
      </c>
      <c r="G3975" s="557" t="s">
        <v>21124</v>
      </c>
      <c r="H3975" s="542" t="s">
        <v>15528</v>
      </c>
      <c r="I3975" s="559">
        <f>18.2*(((0.23+0.08)*1.5)+(0.23*5))+(0.15*2)</f>
        <v>29.693000000000001</v>
      </c>
      <c r="J3975" s="473">
        <f t="shared" si="1906"/>
        <v>662.14999999999998</v>
      </c>
      <c r="K3975" s="474">
        <f t="shared" ref="K3975:K3977" si="1915">I3975*J3975</f>
        <v>19661.219949999999</v>
      </c>
      <c r="L3975" s="473"/>
      <c r="M3975" s="474"/>
      <c r="O3975" s="434">
        <f t="shared" si="1909"/>
        <v>662.14999999999998</v>
      </c>
      <c r="P3975" s="435">
        <f t="shared" si="1910"/>
        <v>662.14999999999998</v>
      </c>
      <c r="AE3975" s="217"/>
      <c r="AF3975" s="217"/>
    </row>
    <row r="3976" ht="60" hidden="1">
      <c r="A3976" s="217"/>
      <c r="B3976" s="217">
        <v>1471</v>
      </c>
      <c r="C3976" s="217"/>
      <c r="D3976" s="217" t="s">
        <v>17167</v>
      </c>
      <c r="E3976" s="471" t="s">
        <v>20402</v>
      </c>
      <c r="F3976" s="540">
        <v>96530</v>
      </c>
      <c r="G3976" s="557" t="s">
        <v>20966</v>
      </c>
      <c r="H3976" s="542" t="s">
        <v>15515</v>
      </c>
      <c r="I3976" s="559">
        <f>0.3*5*2+0.15*5*2+0.15*1.5/2*2*2</f>
        <v>4.9500000000000002</v>
      </c>
      <c r="J3976" s="473">
        <f t="shared" si="1906"/>
        <v>129.25999999999999</v>
      </c>
      <c r="K3976" s="474">
        <f t="shared" si="1915"/>
        <v>639.83699999999999</v>
      </c>
      <c r="L3976" s="473"/>
      <c r="M3976" s="474"/>
      <c r="O3976" s="434">
        <f t="shared" si="1909"/>
        <v>129.25999999999999</v>
      </c>
      <c r="P3976" s="435">
        <f t="shared" si="1910"/>
        <v>125.91</v>
      </c>
      <c r="AE3976" s="217"/>
      <c r="AF3976" s="217"/>
    </row>
    <row r="3977" ht="75" hidden="1">
      <c r="A3977" s="217"/>
      <c r="B3977" s="217">
        <v>1471</v>
      </c>
      <c r="C3977" s="217"/>
      <c r="D3977" s="217" t="s">
        <v>17167</v>
      </c>
      <c r="E3977" s="471" t="s">
        <v>20405</v>
      </c>
      <c r="F3977" s="540">
        <v>91593</v>
      </c>
      <c r="G3977" s="557" t="s">
        <v>21125</v>
      </c>
      <c r="H3977" s="542" t="s">
        <v>302</v>
      </c>
      <c r="I3977" s="559">
        <f>18.2*8*R3977+0.6*2*5*R3977</f>
        <v>333.51999999999998</v>
      </c>
      <c r="J3977" s="473">
        <f t="shared" si="1906"/>
        <v>10.199999999999999</v>
      </c>
      <c r="K3977" s="474">
        <f t="shared" si="1915"/>
        <v>3401.9039999999995</v>
      </c>
      <c r="L3977" s="473"/>
      <c r="M3977" s="474"/>
      <c r="O3977" s="434">
        <f t="shared" si="1909"/>
        <v>10.199999999999999</v>
      </c>
      <c r="P3977" s="435">
        <f t="shared" si="1910"/>
        <v>10.16</v>
      </c>
      <c r="R3977" s="434">
        <v>2.2000000000000002</v>
      </c>
      <c r="S3977" t="s">
        <v>22467</v>
      </c>
      <c r="AE3977" s="217"/>
      <c r="AF3977" s="217"/>
    </row>
    <row r="3978" ht="53.25" hidden="1" customHeight="1">
      <c r="A3978" s="217"/>
      <c r="B3978" s="460">
        <v>1472</v>
      </c>
      <c r="C3978" s="460"/>
      <c r="D3978" s="460"/>
      <c r="E3978" s="461">
        <v>1</v>
      </c>
      <c r="F3978" s="462" t="s">
        <v>22470</v>
      </c>
      <c r="G3978" s="477" t="s">
        <v>22471</v>
      </c>
      <c r="H3978" s="478" t="s">
        <v>20647</v>
      </c>
      <c r="I3978" s="479"/>
      <c r="J3978" s="480"/>
      <c r="K3978" s="466">
        <f>SUM(K3979:K3990)</f>
        <v>3910.4342468</v>
      </c>
      <c r="L3978" s="473"/>
      <c r="M3978" s="474"/>
      <c r="O3978" s="434" t="str">
        <f t="shared" si="1909"/>
        <v xml:space="preserve">SEM VALOR</v>
      </c>
      <c r="P3978" s="435" t="str">
        <f t="shared" si="1910"/>
        <v xml:space="preserve">SEM VALOR</v>
      </c>
      <c r="AE3978" s="217"/>
      <c r="AF3978" s="217"/>
    </row>
    <row r="3979" ht="45" hidden="1">
      <c r="A3979" s="217"/>
      <c r="B3979" s="217">
        <v>1472</v>
      </c>
      <c r="C3979" s="217"/>
      <c r="D3979" s="217" t="s">
        <v>20398</v>
      </c>
      <c r="E3979" s="471" t="s">
        <v>20399</v>
      </c>
      <c r="F3979" s="482">
        <v>1259</v>
      </c>
      <c r="G3979" s="470" t="s">
        <v>21123</v>
      </c>
      <c r="H3979" s="472" t="s">
        <v>15528</v>
      </c>
      <c r="I3979" s="472">
        <v>15.68</v>
      </c>
      <c r="J3979" s="473">
        <f t="shared" si="1906"/>
        <v>45.520000000000003</v>
      </c>
      <c r="K3979" s="474">
        <f t="shared" ref="K3979:K3990" si="1916">I3979*J3979</f>
        <v>713.75360000000001</v>
      </c>
      <c r="L3979" s="473"/>
      <c r="M3979" s="474"/>
      <c r="O3979" s="434">
        <f t="shared" si="1909"/>
        <v>45.520000000000003</v>
      </c>
      <c r="P3979" s="435">
        <f t="shared" si="1910"/>
        <v>43.100000000000001</v>
      </c>
      <c r="AE3979" s="217"/>
      <c r="AF3979" s="217"/>
    </row>
    <row r="3980" ht="60" hidden="1">
      <c r="A3980" s="217"/>
      <c r="B3980" s="217">
        <v>1472</v>
      </c>
      <c r="C3980" s="217"/>
      <c r="D3980" s="217" t="s">
        <v>20398</v>
      </c>
      <c r="E3980" s="471" t="s">
        <v>20402</v>
      </c>
      <c r="F3980" s="482">
        <v>1258</v>
      </c>
      <c r="G3980" s="488" t="s">
        <v>20660</v>
      </c>
      <c r="H3980" s="471" t="s">
        <v>15515</v>
      </c>
      <c r="I3980" s="472">
        <v>7.8399999999999999</v>
      </c>
      <c r="J3980" s="473">
        <f t="shared" si="1906"/>
        <v>7.5700000000000003</v>
      </c>
      <c r="K3980" s="474">
        <f t="shared" si="1916"/>
        <v>59.348800000000004</v>
      </c>
      <c r="L3980" s="473"/>
      <c r="M3980" s="474"/>
      <c r="O3980" s="434">
        <f t="shared" si="1909"/>
        <v>7.5700000000000003</v>
      </c>
      <c r="P3980" s="435">
        <f t="shared" si="1910"/>
        <v>7.1846199999999998</v>
      </c>
      <c r="AE3980" s="217"/>
      <c r="AF3980" s="217"/>
    </row>
    <row r="3981" ht="60" hidden="1">
      <c r="A3981" s="217"/>
      <c r="B3981" s="217">
        <v>1472</v>
      </c>
      <c r="C3981" s="217"/>
      <c r="D3981" s="217" t="s">
        <v>17167</v>
      </c>
      <c r="E3981" s="471" t="s">
        <v>20405</v>
      </c>
      <c r="F3981" s="482">
        <v>94962</v>
      </c>
      <c r="G3981" s="470" t="s">
        <v>20797</v>
      </c>
      <c r="H3981" s="471" t="s">
        <v>15528</v>
      </c>
      <c r="I3981" s="472">
        <v>0.62</v>
      </c>
      <c r="J3981" s="473">
        <f t="shared" si="1906"/>
        <v>393.05000000000001</v>
      </c>
      <c r="K3981" s="474">
        <f t="shared" si="1916"/>
        <v>243.691</v>
      </c>
      <c r="L3981" s="473"/>
      <c r="M3981" s="474"/>
      <c r="O3981" s="434">
        <f t="shared" si="1909"/>
        <v>393.05000000000001</v>
      </c>
      <c r="P3981" s="435">
        <f t="shared" si="1910"/>
        <v>387.73000000000002</v>
      </c>
      <c r="AE3981" s="217"/>
      <c r="AF3981" s="217"/>
    </row>
    <row r="3982" ht="120" hidden="1">
      <c r="A3982" s="217"/>
      <c r="B3982" s="217">
        <v>1472</v>
      </c>
      <c r="C3982" s="217"/>
      <c r="D3982" s="217" t="s">
        <v>17167</v>
      </c>
      <c r="E3982" s="471" t="s">
        <v>20409</v>
      </c>
      <c r="F3982" s="489">
        <v>93367</v>
      </c>
      <c r="G3982" s="470" t="s">
        <v>20798</v>
      </c>
      <c r="H3982" s="471" t="s">
        <v>1535</v>
      </c>
      <c r="I3982" s="472">
        <v>13.23</v>
      </c>
      <c r="J3982" s="473">
        <f t="shared" si="1906"/>
        <v>24.16</v>
      </c>
      <c r="K3982" s="474">
        <f t="shared" si="1916"/>
        <v>319.63679999999999</v>
      </c>
      <c r="L3982" s="473"/>
      <c r="M3982" s="474"/>
      <c r="O3982" s="434">
        <f t="shared" si="1909"/>
        <v>24.16</v>
      </c>
      <c r="P3982" s="435">
        <f t="shared" si="1910"/>
        <v>23.59</v>
      </c>
      <c r="AE3982" s="217"/>
      <c r="AF3982" s="217"/>
    </row>
    <row r="3983" ht="60" hidden="1">
      <c r="A3983" s="217"/>
      <c r="B3983" s="217">
        <v>1472</v>
      </c>
      <c r="C3983" s="217"/>
      <c r="D3983" s="217" t="s">
        <v>17167</v>
      </c>
      <c r="E3983" s="471" t="s">
        <v>20663</v>
      </c>
      <c r="F3983" s="489">
        <v>94964</v>
      </c>
      <c r="G3983" s="470" t="s">
        <v>20686</v>
      </c>
      <c r="H3983" s="471" t="s">
        <v>15528</v>
      </c>
      <c r="I3983" s="472">
        <v>0.38</v>
      </c>
      <c r="J3983" s="473">
        <f t="shared" si="1906"/>
        <v>488.52999999999997</v>
      </c>
      <c r="K3983" s="474">
        <f t="shared" si="1916"/>
        <v>185.6414</v>
      </c>
      <c r="L3983" s="473"/>
      <c r="M3983" s="474"/>
      <c r="O3983" s="434">
        <f t="shared" si="1909"/>
        <v>488.52999999999997</v>
      </c>
      <c r="P3983" s="435">
        <f t="shared" si="1910"/>
        <v>482.79000000000002</v>
      </c>
      <c r="AE3983" s="217"/>
      <c r="AF3983" s="217"/>
    </row>
    <row r="3984" ht="45" hidden="1">
      <c r="A3984" s="217"/>
      <c r="B3984" s="217">
        <v>1472</v>
      </c>
      <c r="C3984" s="217"/>
      <c r="D3984" s="217" t="s">
        <v>20398</v>
      </c>
      <c r="E3984" s="471" t="s">
        <v>20665</v>
      </c>
      <c r="F3984" s="489">
        <v>1000</v>
      </c>
      <c r="G3984" s="470" t="s">
        <v>20651</v>
      </c>
      <c r="H3984" s="471" t="s">
        <v>15528</v>
      </c>
      <c r="I3984" s="472">
        <f>I3983+I3981</f>
        <v>1</v>
      </c>
      <c r="J3984" s="473">
        <f t="shared" si="1906"/>
        <v>149.904</v>
      </c>
      <c r="K3984" s="474">
        <f t="shared" si="1916"/>
        <v>149.904</v>
      </c>
      <c r="L3984" s="473"/>
      <c r="M3984" s="474"/>
      <c r="O3984" s="434">
        <f t="shared" si="1909"/>
        <v>149.904</v>
      </c>
      <c r="P3984" s="435">
        <f t="shared" si="1910"/>
        <v>141.76949999999999</v>
      </c>
      <c r="AE3984" s="217"/>
      <c r="AF3984" s="217"/>
    </row>
    <row r="3985" ht="45" hidden="1">
      <c r="A3985" s="217"/>
      <c r="B3985" s="217">
        <v>1472</v>
      </c>
      <c r="C3985" s="217"/>
      <c r="D3985" s="217" t="s">
        <v>17167</v>
      </c>
      <c r="E3985" s="471" t="s">
        <v>20667</v>
      </c>
      <c r="F3985" s="489">
        <v>92267</v>
      </c>
      <c r="G3985" s="470" t="s">
        <v>20799</v>
      </c>
      <c r="H3985" s="471" t="s">
        <v>15515</v>
      </c>
      <c r="I3985" s="472">
        <v>3.3700000000000001</v>
      </c>
      <c r="J3985" s="473">
        <f t="shared" si="1906"/>
        <v>50.18</v>
      </c>
      <c r="K3985" s="474">
        <f t="shared" si="1916"/>
        <v>169.10660000000001</v>
      </c>
      <c r="L3985" s="473"/>
      <c r="M3985" s="474"/>
      <c r="O3985" s="434">
        <f t="shared" si="1909"/>
        <v>50.18</v>
      </c>
      <c r="P3985" s="435">
        <f t="shared" si="1910"/>
        <v>50.109999999999999</v>
      </c>
      <c r="AE3985" s="217"/>
      <c r="AF3985" s="217"/>
    </row>
    <row r="3986" ht="75" hidden="1">
      <c r="A3986" s="217"/>
      <c r="B3986" s="217">
        <v>1472</v>
      </c>
      <c r="C3986" s="217"/>
      <c r="D3986" s="217" t="s">
        <v>20398</v>
      </c>
      <c r="E3986" s="471" t="s">
        <v>20671</v>
      </c>
      <c r="F3986" s="482">
        <v>1064</v>
      </c>
      <c r="G3986" s="470" t="s">
        <v>20967</v>
      </c>
      <c r="H3986" s="471" t="s">
        <v>15515</v>
      </c>
      <c r="I3986" s="472">
        <v>6.2400000000000002</v>
      </c>
      <c r="J3986" s="473">
        <f t="shared" si="1906"/>
        <v>202.79016000000001</v>
      </c>
      <c r="K3986" s="474">
        <f t="shared" si="1916"/>
        <v>1265.4105984</v>
      </c>
      <c r="L3986" s="473"/>
      <c r="M3986" s="474"/>
      <c r="O3986" s="434">
        <f t="shared" si="1909"/>
        <v>202.79016000000001</v>
      </c>
      <c r="P3986" s="435">
        <f t="shared" si="1910"/>
        <v>197.94299999999998</v>
      </c>
      <c r="AE3986" s="217"/>
      <c r="AF3986" s="217"/>
    </row>
    <row r="3987" ht="75" hidden="1">
      <c r="A3987" s="217"/>
      <c r="B3987" s="217">
        <v>1472</v>
      </c>
      <c r="C3987" s="217"/>
      <c r="D3987" s="217" t="s">
        <v>17167</v>
      </c>
      <c r="E3987" s="471" t="s">
        <v>20672</v>
      </c>
      <c r="F3987" s="489">
        <v>87879</v>
      </c>
      <c r="G3987" s="470" t="s">
        <v>20688</v>
      </c>
      <c r="H3987" s="471" t="s">
        <v>15515</v>
      </c>
      <c r="I3987" s="472">
        <v>12.48</v>
      </c>
      <c r="J3987" s="473">
        <f t="shared" si="1906"/>
        <v>4.5499999999999998</v>
      </c>
      <c r="K3987" s="474">
        <f t="shared" si="1916"/>
        <v>56.783999999999999</v>
      </c>
      <c r="L3987" s="473"/>
      <c r="M3987" s="474"/>
      <c r="O3987" s="434">
        <f t="shared" si="1909"/>
        <v>4.5499999999999998</v>
      </c>
      <c r="P3987" s="435">
        <f t="shared" si="1910"/>
        <v>4.3600000000000003</v>
      </c>
      <c r="AE3987" s="217"/>
      <c r="AF3987" s="217"/>
    </row>
    <row r="3988" ht="90" hidden="1">
      <c r="A3988" s="217"/>
      <c r="B3988" s="217">
        <v>1472</v>
      </c>
      <c r="C3988" s="217"/>
      <c r="D3988" s="217" t="s">
        <v>20398</v>
      </c>
      <c r="E3988" s="471" t="s">
        <v>20673</v>
      </c>
      <c r="F3988" s="489">
        <v>1001</v>
      </c>
      <c r="G3988" s="470" t="s">
        <v>20690</v>
      </c>
      <c r="H3988" s="471" t="s">
        <v>15515</v>
      </c>
      <c r="I3988" s="472">
        <v>6.2400000000000002</v>
      </c>
      <c r="J3988" s="473">
        <f t="shared" si="1906"/>
        <v>44.575159999999997</v>
      </c>
      <c r="K3988" s="474">
        <f t="shared" si="1916"/>
        <v>278.14899839999998</v>
      </c>
      <c r="L3988" s="473"/>
      <c r="M3988" s="474"/>
      <c r="O3988" s="434">
        <f t="shared" si="1909"/>
        <v>44.575159999999997</v>
      </c>
      <c r="P3988" s="435">
        <f t="shared" si="1910"/>
        <v>43.366774000000007</v>
      </c>
      <c r="AE3988" s="217"/>
      <c r="AF3988" s="217"/>
    </row>
    <row r="3989" ht="45" hidden="1">
      <c r="A3989" s="217"/>
      <c r="B3989" s="217">
        <v>1472</v>
      </c>
      <c r="C3989" s="217"/>
      <c r="D3989" s="217" t="s">
        <v>20398</v>
      </c>
      <c r="E3989" s="471" t="s">
        <v>20673</v>
      </c>
      <c r="F3989" s="482">
        <v>1028</v>
      </c>
      <c r="G3989" s="470" t="s">
        <v>20840</v>
      </c>
      <c r="H3989" s="482" t="s">
        <v>302</v>
      </c>
      <c r="I3989" s="559">
        <v>2.75</v>
      </c>
      <c r="J3989" s="473">
        <f t="shared" si="1906"/>
        <v>18.1998</v>
      </c>
      <c r="K3989" s="474">
        <f t="shared" si="1916"/>
        <v>50.04945</v>
      </c>
      <c r="L3989" s="473"/>
      <c r="M3989" s="474"/>
      <c r="O3989" s="434">
        <f t="shared" si="1909"/>
        <v>18.1998</v>
      </c>
      <c r="P3989" s="435">
        <f t="shared" si="1910"/>
        <v>17.669228</v>
      </c>
      <c r="AE3989" s="217"/>
      <c r="AF3989" s="217"/>
    </row>
    <row r="3990" ht="45" hidden="1">
      <c r="A3990" s="217"/>
      <c r="B3990" s="217">
        <v>1472</v>
      </c>
      <c r="C3990" s="217"/>
      <c r="D3990" s="217" t="s">
        <v>17167</v>
      </c>
      <c r="E3990" s="471" t="s">
        <v>20673</v>
      </c>
      <c r="F3990" s="482">
        <v>96544</v>
      </c>
      <c r="G3990" s="470" t="s">
        <v>20841</v>
      </c>
      <c r="H3990" s="482" t="s">
        <v>302</v>
      </c>
      <c r="I3990" s="559">
        <v>23.670000000000002</v>
      </c>
      <c r="J3990" s="473">
        <f t="shared" si="1906"/>
        <v>17.699999999999999</v>
      </c>
      <c r="K3990" s="474">
        <f t="shared" si="1916"/>
        <v>418.959</v>
      </c>
      <c r="L3990" s="473"/>
      <c r="M3990" s="474"/>
      <c r="O3990" s="434">
        <f t="shared" si="1909"/>
        <v>17.699999999999999</v>
      </c>
      <c r="P3990" s="435">
        <f t="shared" si="1910"/>
        <v>17.23</v>
      </c>
      <c r="AE3990" s="217"/>
      <c r="AF3990" s="217"/>
    </row>
    <row r="3991" ht="63">
      <c r="A3991" s="217"/>
      <c r="B3991" s="460">
        <v>1473</v>
      </c>
      <c r="C3991" s="460"/>
      <c r="D3991" s="460"/>
      <c r="E3991" s="461">
        <v>1</v>
      </c>
      <c r="F3991" s="462" t="s">
        <v>20592</v>
      </c>
      <c r="G3991" s="477" t="s">
        <v>22117</v>
      </c>
      <c r="H3991" s="478" t="s">
        <v>15528</v>
      </c>
      <c r="I3991" s="479"/>
      <c r="J3991" s="480"/>
      <c r="K3991" s="466">
        <f>SUM(K3992:K4005)</f>
        <v>73.579999999999984</v>
      </c>
      <c r="L3991" s="473"/>
      <c r="M3991" s="474"/>
      <c r="N3991" s="467" t="s">
        <v>22107</v>
      </c>
      <c r="O3991" s="434" t="str">
        <f t="shared" si="1909"/>
        <v xml:space="preserve">SEM VALOR</v>
      </c>
      <c r="P3991" s="435" t="str">
        <f t="shared" si="1910"/>
        <v xml:space="preserve">SEM VALOR</v>
      </c>
      <c r="AE3991" s="217"/>
      <c r="AF3991" s="217"/>
    </row>
    <row r="3992" ht="33.75" customHeight="1">
      <c r="A3992" s="217"/>
      <c r="B3992" s="217">
        <v>1473</v>
      </c>
      <c r="C3992" s="217"/>
      <c r="D3992" s="217" t="s">
        <v>20408</v>
      </c>
      <c r="E3992" s="471" t="s">
        <v>20399</v>
      </c>
      <c r="F3992" s="482">
        <v>1379</v>
      </c>
      <c r="G3992" s="488" t="s">
        <v>22108</v>
      </c>
      <c r="H3992" s="482" t="s">
        <v>302</v>
      </c>
      <c r="I3992" s="509">
        <v>44</v>
      </c>
      <c r="J3992" s="473">
        <f t="shared" si="1906"/>
        <v>0.82999999999999996</v>
      </c>
      <c r="K3992" s="474">
        <v>36.520000000000003</v>
      </c>
      <c r="L3992" s="473"/>
      <c r="M3992" s="474"/>
      <c r="N3992" s="467" t="s">
        <v>22472</v>
      </c>
      <c r="O3992" s="434">
        <f t="shared" si="1909"/>
        <v>0.82999999999999996</v>
      </c>
      <c r="P3992" s="435">
        <f t="shared" si="1910"/>
        <v>0.82999999999999996</v>
      </c>
      <c r="AE3992" s="217"/>
      <c r="AF3992" s="217"/>
    </row>
    <row r="3993" ht="30" customHeight="1">
      <c r="A3993" s="217"/>
      <c r="B3993" s="217">
        <v>1473</v>
      </c>
      <c r="C3993" s="217"/>
      <c r="D3993" s="217" t="s">
        <v>20644</v>
      </c>
      <c r="E3993" s="471" t="s">
        <v>20402</v>
      </c>
      <c r="F3993" s="489" t="s">
        <v>15400</v>
      </c>
      <c r="G3993" s="488" t="s">
        <v>22110</v>
      </c>
      <c r="H3993" s="482" t="s">
        <v>31</v>
      </c>
      <c r="I3993" s="509">
        <v>9.5000000000000001e-002</v>
      </c>
      <c r="J3993" s="473">
        <f t="shared" si="1906"/>
        <v>54.57</v>
      </c>
      <c r="K3993" s="474">
        <f>TRUNC(I3993*J3993,2)</f>
        <v>5.1799999999999997</v>
      </c>
      <c r="L3993" s="473"/>
      <c r="M3993" s="474"/>
      <c r="N3993" s="616">
        <v>72.670000000000002</v>
      </c>
      <c r="O3993" s="434">
        <f t="shared" si="1909"/>
        <v>54.57</v>
      </c>
      <c r="P3993" s="435">
        <f t="shared" si="1910"/>
        <v>54.57</v>
      </c>
      <c r="AE3993" s="217"/>
      <c r="AF3993" s="217"/>
    </row>
    <row r="3994" ht="30">
      <c r="A3994" s="217"/>
      <c r="B3994" s="217">
        <v>1473</v>
      </c>
      <c r="C3994" s="217"/>
      <c r="D3994" s="217" t="s">
        <v>20644</v>
      </c>
      <c r="E3994" s="471" t="s">
        <v>20405</v>
      </c>
      <c r="F3994" s="489" t="s">
        <v>15402</v>
      </c>
      <c r="G3994" s="488" t="s">
        <v>22111</v>
      </c>
      <c r="H3994" s="482" t="s">
        <v>31</v>
      </c>
      <c r="I3994" s="509">
        <v>1.0499999999999999e-003</v>
      </c>
      <c r="J3994" s="473">
        <f t="shared" si="1906"/>
        <v>541.11000000000001</v>
      </c>
      <c r="K3994" s="474">
        <f>TRUNC(I3994*J3994,2)</f>
        <v>0.56000000000000005</v>
      </c>
      <c r="L3994" s="473"/>
      <c r="M3994" s="474"/>
      <c r="O3994" s="434">
        <f t="shared" si="1909"/>
        <v>541.11000000000001</v>
      </c>
      <c r="P3994" s="435">
        <f t="shared" si="1910"/>
        <v>541.11000000000001</v>
      </c>
      <c r="AE3994" s="217"/>
      <c r="AF3994" s="217"/>
    </row>
    <row r="3995" ht="30">
      <c r="A3995" s="217"/>
      <c r="B3995" s="217">
        <v>1473</v>
      </c>
      <c r="C3995" s="217"/>
      <c r="D3995" s="217" t="s">
        <v>17167</v>
      </c>
      <c r="E3995" s="471" t="s">
        <v>20409</v>
      </c>
      <c r="F3995" s="482">
        <v>88316</v>
      </c>
      <c r="G3995" s="470" t="s">
        <v>7393</v>
      </c>
      <c r="H3995" s="482" t="s">
        <v>2032</v>
      </c>
      <c r="I3995" s="509">
        <f>6/N3993</f>
        <v>8.2565e-002</v>
      </c>
      <c r="J3995" s="473">
        <f t="shared" si="1906"/>
        <v>22.760000000000002</v>
      </c>
      <c r="K3995" s="474">
        <f>TRUNC(I3995*J3995,2)</f>
        <v>1.8700000000000001</v>
      </c>
      <c r="L3995" s="473"/>
      <c r="M3995" s="474"/>
      <c r="N3995" s="589" t="s">
        <v>22473</v>
      </c>
      <c r="O3995" s="434">
        <f t="shared" si="1909"/>
        <v>22.760000000000002</v>
      </c>
      <c r="P3995" s="435">
        <f t="shared" si="1910"/>
        <v>21.550000000000001</v>
      </c>
      <c r="AE3995" s="217"/>
      <c r="AF3995" s="217"/>
    </row>
    <row r="3996" ht="60">
      <c r="A3996" s="217"/>
      <c r="B3996" s="217">
        <v>1473</v>
      </c>
      <c r="C3996" s="217"/>
      <c r="D3996" s="217" t="s">
        <v>17167</v>
      </c>
      <c r="E3996" s="471" t="s">
        <v>20663</v>
      </c>
      <c r="F3996" s="489">
        <v>95127</v>
      </c>
      <c r="G3996" s="470" t="s">
        <v>22112</v>
      </c>
      <c r="H3996" s="471" t="s">
        <v>1535</v>
      </c>
      <c r="I3996" s="509">
        <f>0.26/N3993</f>
        <v>3.5777999999999999e-003</v>
      </c>
      <c r="J3996" s="473">
        <f t="shared" si="1906"/>
        <v>246.74000000000001</v>
      </c>
      <c r="K3996" s="474">
        <f>TRUNC(I3996*J3996,2)</f>
        <v>0.88</v>
      </c>
      <c r="L3996" s="473"/>
      <c r="M3996" s="474"/>
      <c r="O3996" s="434">
        <f t="shared" si="1909"/>
        <v>246.74000000000001</v>
      </c>
      <c r="P3996" s="435">
        <f t="shared" si="1910"/>
        <v>244.84</v>
      </c>
      <c r="AE3996" s="217"/>
      <c r="AF3996" s="217"/>
    </row>
    <row r="3997" ht="60">
      <c r="A3997" s="217"/>
      <c r="B3997" s="217">
        <v>1473</v>
      </c>
      <c r="C3997" s="217"/>
      <c r="D3997" s="217" t="s">
        <v>17167</v>
      </c>
      <c r="E3997" s="471" t="s">
        <v>20665</v>
      </c>
      <c r="F3997" s="489">
        <v>95128</v>
      </c>
      <c r="G3997" s="470" t="s">
        <v>22113</v>
      </c>
      <c r="H3997" s="471" t="s">
        <v>1533</v>
      </c>
      <c r="I3997" s="509">
        <f>0.74/N3993</f>
        <v>1.0182999999999999e-002</v>
      </c>
      <c r="J3997" s="473">
        <f t="shared" si="1906"/>
        <v>57.420000000000002</v>
      </c>
      <c r="K3997" s="474">
        <f>TRUNC(I3997*J3997,2)</f>
        <v>0.57999999999999996</v>
      </c>
      <c r="L3997" s="473"/>
      <c r="M3997" s="474"/>
      <c r="O3997" s="434">
        <f t="shared" si="1909"/>
        <v>57.420000000000002</v>
      </c>
      <c r="P3997" s="435">
        <f t="shared" si="1910"/>
        <v>55.520000000000003</v>
      </c>
      <c r="AE3997" s="217"/>
      <c r="AF3997" s="217"/>
    </row>
    <row r="3998" ht="105">
      <c r="A3998" s="217"/>
      <c r="B3998" s="217">
        <v>1473</v>
      </c>
      <c r="C3998" s="217"/>
      <c r="D3998" s="217" t="s">
        <v>17167</v>
      </c>
      <c r="E3998" s="471" t="s">
        <v>20667</v>
      </c>
      <c r="F3998" s="489">
        <v>5901</v>
      </c>
      <c r="G3998" s="470" t="s">
        <v>22114</v>
      </c>
      <c r="H3998" s="471" t="s">
        <v>1535</v>
      </c>
      <c r="I3998" s="509">
        <f>0.64*2/N3993</f>
        <v>1.7613899999999998e-002</v>
      </c>
      <c r="J3998" s="473">
        <f t="shared" ref="J3998:J4061" si="1917">O3998*$J$3</f>
        <v>346.31999999999999</v>
      </c>
      <c r="K3998" s="474">
        <f>TRUNC(I3998*J3998,2)</f>
        <v>6.0999999999999996</v>
      </c>
      <c r="L3998" s="473"/>
      <c r="M3998" s="474"/>
      <c r="O3998" s="434">
        <f t="shared" si="1909"/>
        <v>346.31999999999999</v>
      </c>
      <c r="P3998" s="435">
        <f t="shared" si="1910"/>
        <v>344.72000000000003</v>
      </c>
      <c r="AE3998" s="217"/>
      <c r="AF3998" s="217"/>
    </row>
    <row r="3999" ht="105">
      <c r="A3999" s="217"/>
      <c r="B3999" s="217">
        <v>1473</v>
      </c>
      <c r="C3999" s="217"/>
      <c r="D3999" s="217" t="s">
        <v>17167</v>
      </c>
      <c r="E3999" s="471" t="s">
        <v>20671</v>
      </c>
      <c r="F3999" s="489">
        <v>5903</v>
      </c>
      <c r="G3999" s="470" t="s">
        <v>22115</v>
      </c>
      <c r="H3999" s="471" t="s">
        <v>1533</v>
      </c>
      <c r="I3999" s="509">
        <f>0.36*2/N3993</f>
        <v>9.9077999999999996e-003</v>
      </c>
      <c r="J3999" s="473">
        <f t="shared" si="1917"/>
        <v>73.879999999999995</v>
      </c>
      <c r="K3999" s="474">
        <f>TRUNC(I3999*J3999,2)</f>
        <v>0.72999999999999998</v>
      </c>
      <c r="L3999" s="473"/>
      <c r="M3999" s="474"/>
      <c r="O3999" s="434">
        <f t="shared" si="1909"/>
        <v>73.879999999999995</v>
      </c>
      <c r="P3999" s="435">
        <f t="shared" si="1910"/>
        <v>72.280000000000001</v>
      </c>
      <c r="AE3999" s="217"/>
      <c r="AF3999" s="217"/>
    </row>
    <row r="4000" ht="60">
      <c r="A4000" s="217"/>
      <c r="B4000" s="217">
        <v>1473</v>
      </c>
      <c r="C4000" s="217"/>
      <c r="D4000" s="217" t="s">
        <v>17167</v>
      </c>
      <c r="E4000" s="471" t="s">
        <v>20672</v>
      </c>
      <c r="F4000" s="489">
        <v>89250</v>
      </c>
      <c r="G4000" s="470" t="s">
        <v>1867</v>
      </c>
      <c r="H4000" s="471" t="s">
        <v>1535</v>
      </c>
      <c r="I4000" s="509">
        <f>1/N3993</f>
        <v>1.37608e-002</v>
      </c>
      <c r="J4000" s="473">
        <f t="shared" si="1917"/>
        <v>1229.3800000000001</v>
      </c>
      <c r="K4000" s="474">
        <f>TRUNC(I4000*J4000,2)</f>
        <v>16.91</v>
      </c>
      <c r="L4000" s="473"/>
      <c r="M4000" s="474"/>
      <c r="O4000" s="434">
        <f t="shared" si="1909"/>
        <v>1229.3800000000001</v>
      </c>
      <c r="P4000" s="435">
        <f t="shared" si="1910"/>
        <v>1227.49</v>
      </c>
      <c r="AE4000" s="217"/>
      <c r="AF4000" s="217"/>
    </row>
    <row r="4001" ht="60">
      <c r="A4001" s="217"/>
      <c r="B4001" s="217">
        <v>1473</v>
      </c>
      <c r="C4001" s="217"/>
      <c r="D4001" s="217" t="s">
        <v>17167</v>
      </c>
      <c r="E4001" s="471" t="s">
        <v>20673</v>
      </c>
      <c r="F4001" s="489">
        <v>89251</v>
      </c>
      <c r="G4001" s="470" t="s">
        <v>1866</v>
      </c>
      <c r="H4001" s="471" t="s">
        <v>1533</v>
      </c>
      <c r="I4001" s="509">
        <v>0</v>
      </c>
      <c r="J4001" s="473">
        <f t="shared" si="1917"/>
        <v>356.70999999999998</v>
      </c>
      <c r="K4001" s="474">
        <f>TRUNC(I4001*J4001,2)</f>
        <v>0</v>
      </c>
      <c r="L4001" s="473"/>
      <c r="M4001" s="474"/>
      <c r="O4001" s="434">
        <f t="shared" si="1909"/>
        <v>356.70999999999998</v>
      </c>
      <c r="P4001" s="435">
        <f t="shared" si="1910"/>
        <v>354.81999999999999</v>
      </c>
      <c r="AE4001" s="217"/>
      <c r="AF4001" s="217"/>
    </row>
    <row r="4002" ht="90">
      <c r="A4002" s="217"/>
      <c r="B4002" s="217">
        <v>1473</v>
      </c>
      <c r="C4002" s="217"/>
      <c r="D4002" s="217" t="s">
        <v>17167</v>
      </c>
      <c r="E4002" s="471" t="s">
        <v>20675</v>
      </c>
      <c r="F4002" s="489">
        <v>6879</v>
      </c>
      <c r="G4002" s="470" t="s">
        <v>1877</v>
      </c>
      <c r="H4002" s="471" t="s">
        <v>1535</v>
      </c>
      <c r="I4002" s="509">
        <f>0.52/N3993</f>
        <v>7.1555999999999998e-003</v>
      </c>
      <c r="J4002" s="473">
        <f t="shared" si="1917"/>
        <v>212.56</v>
      </c>
      <c r="K4002" s="474">
        <f>TRUNC(I4002*J4002,2)</f>
        <v>1.52</v>
      </c>
      <c r="L4002" s="473"/>
      <c r="M4002" s="474"/>
      <c r="O4002" s="434">
        <f t="shared" si="1909"/>
        <v>212.56</v>
      </c>
      <c r="P4002" s="435">
        <f t="shared" si="1910"/>
        <v>210.86000000000001</v>
      </c>
      <c r="AE4002" s="217"/>
      <c r="AF4002" s="217"/>
    </row>
    <row r="4003" ht="90">
      <c r="A4003" s="217"/>
      <c r="B4003" s="217">
        <v>1473</v>
      </c>
      <c r="C4003" s="217"/>
      <c r="D4003" s="217" t="s">
        <v>17167</v>
      </c>
      <c r="E4003" s="471" t="s">
        <v>20677</v>
      </c>
      <c r="F4003" s="489">
        <v>6880</v>
      </c>
      <c r="G4003" s="470" t="s">
        <v>1876</v>
      </c>
      <c r="H4003" s="471" t="s">
        <v>1533</v>
      </c>
      <c r="I4003" s="509">
        <f>0.48/N3993</f>
        <v>6.6052000000000003e-003</v>
      </c>
      <c r="J4003" s="473">
        <f t="shared" si="1917"/>
        <v>84.219999999999999</v>
      </c>
      <c r="K4003" s="474">
        <f>TRUNC(I4003*J4003,2)</f>
        <v>0.55000000000000004</v>
      </c>
      <c r="L4003" s="473"/>
      <c r="M4003" s="474"/>
      <c r="O4003" s="434">
        <f t="shared" si="1909"/>
        <v>84.219999999999999</v>
      </c>
      <c r="P4003" s="435">
        <f t="shared" si="1910"/>
        <v>82.519999999999996</v>
      </c>
      <c r="AE4003" s="217"/>
      <c r="AF4003" s="217"/>
    </row>
    <row r="4004" ht="105">
      <c r="A4004" s="217"/>
      <c r="B4004" s="217">
        <v>1473</v>
      </c>
      <c r="C4004" s="217"/>
      <c r="D4004" s="217" t="s">
        <v>17167</v>
      </c>
      <c r="E4004" s="471" t="s">
        <v>20679</v>
      </c>
      <c r="F4004" s="489">
        <v>7049</v>
      </c>
      <c r="G4004" s="488" t="s">
        <v>21764</v>
      </c>
      <c r="H4004" s="471" t="s">
        <v>1535</v>
      </c>
      <c r="I4004" s="509">
        <f>0.54/N3993</f>
        <v>7.4308999999999998e-003</v>
      </c>
      <c r="J4004" s="473">
        <f t="shared" si="1917"/>
        <v>228.24000000000001</v>
      </c>
      <c r="K4004" s="474">
        <f>TRUNC(I4004*J4004,2)</f>
        <v>1.6899999999999999</v>
      </c>
      <c r="L4004" s="473"/>
      <c r="M4004" s="474"/>
      <c r="O4004" s="434">
        <f t="shared" si="1909"/>
        <v>228.24000000000001</v>
      </c>
      <c r="P4004" s="435">
        <f t="shared" si="1910"/>
        <v>226.53999999999999</v>
      </c>
      <c r="AE4004" s="217"/>
      <c r="AF4004" s="217"/>
    </row>
    <row r="4005" ht="105">
      <c r="A4005" s="217"/>
      <c r="B4005" s="217">
        <v>1473</v>
      </c>
      <c r="C4005" s="217"/>
      <c r="D4005" s="217" t="s">
        <v>17167</v>
      </c>
      <c r="E4005" s="471" t="s">
        <v>20681</v>
      </c>
      <c r="F4005" s="489">
        <v>7050</v>
      </c>
      <c r="G4005" s="488" t="s">
        <v>21765</v>
      </c>
      <c r="H4005" s="471" t="s">
        <v>1533</v>
      </c>
      <c r="I4005" s="509">
        <f>0.46/N3993</f>
        <v>6.3299999999999997e-003</v>
      </c>
      <c r="J4005" s="473">
        <f t="shared" si="1917"/>
        <v>77.959999999999994</v>
      </c>
      <c r="K4005" s="474">
        <f>TRUNC(I4005*J4005,2)</f>
        <v>0.48999999999999999</v>
      </c>
      <c r="L4005" s="473"/>
      <c r="M4005" s="474"/>
      <c r="O4005" s="434">
        <f t="shared" si="1909"/>
        <v>77.959999999999994</v>
      </c>
      <c r="P4005" s="435">
        <f t="shared" si="1910"/>
        <v>76.260000000000005</v>
      </c>
      <c r="AE4005" s="217"/>
      <c r="AF4005" s="217"/>
    </row>
    <row r="4006" ht="63">
      <c r="A4006" s="217"/>
      <c r="B4006" s="460">
        <v>1474</v>
      </c>
      <c r="C4006" s="460"/>
      <c r="D4006" s="460"/>
      <c r="E4006" s="461">
        <v>1</v>
      </c>
      <c r="F4006" s="462" t="s">
        <v>20544</v>
      </c>
      <c r="G4006" s="477" t="s">
        <v>22122</v>
      </c>
      <c r="H4006" s="478" t="s">
        <v>15528</v>
      </c>
      <c r="I4006" s="479"/>
      <c r="J4006" s="480"/>
      <c r="K4006" s="466">
        <f>SUM(K4007:K4017)</f>
        <v>35.600000000000001</v>
      </c>
      <c r="L4006" s="473"/>
      <c r="M4006" s="474"/>
      <c r="N4006" s="467" t="s">
        <v>22107</v>
      </c>
      <c r="O4006" s="434" t="str">
        <f t="shared" si="1909"/>
        <v xml:space="preserve">SEM VALOR</v>
      </c>
      <c r="P4006" s="435" t="str">
        <f t="shared" si="1910"/>
        <v xml:space="preserve">SEM VALOR</v>
      </c>
      <c r="AE4006" s="217"/>
      <c r="AF4006" s="217"/>
    </row>
    <row r="4007" ht="34.5" customHeight="1">
      <c r="A4007" s="217"/>
      <c r="B4007" s="217">
        <v>1474</v>
      </c>
      <c r="C4007" s="217"/>
      <c r="D4007" s="217" t="s">
        <v>20644</v>
      </c>
      <c r="E4007" s="471" t="s">
        <v>20399</v>
      </c>
      <c r="F4007" s="489" t="s">
        <v>15400</v>
      </c>
      <c r="G4007" s="488" t="s">
        <v>22110</v>
      </c>
      <c r="H4007" s="482" t="s">
        <v>31</v>
      </c>
      <c r="I4007" s="509">
        <v>9.5000000000000001e-002</v>
      </c>
      <c r="J4007" s="473">
        <f t="shared" si="1917"/>
        <v>54.57</v>
      </c>
      <c r="K4007" s="474">
        <f>TRUNC(I4007*J4007,2)</f>
        <v>5.1799999999999997</v>
      </c>
      <c r="L4007" s="473"/>
      <c r="M4007" s="474"/>
      <c r="N4007" s="467" t="s">
        <v>22472</v>
      </c>
      <c r="O4007" s="434">
        <f t="shared" si="1909"/>
        <v>54.57</v>
      </c>
      <c r="P4007" s="435">
        <f t="shared" si="1910"/>
        <v>54.57</v>
      </c>
      <c r="AE4007" s="217"/>
      <c r="AF4007" s="217"/>
    </row>
    <row r="4008" ht="30">
      <c r="A4008" s="217"/>
      <c r="B4008" s="217">
        <v>1474</v>
      </c>
      <c r="C4008" s="217"/>
      <c r="D4008" s="217" t="s">
        <v>20644</v>
      </c>
      <c r="E4008" s="471" t="s">
        <v>20402</v>
      </c>
      <c r="F4008" s="489" t="s">
        <v>15402</v>
      </c>
      <c r="G4008" s="488" t="s">
        <v>22111</v>
      </c>
      <c r="H4008" s="482" t="s">
        <v>31</v>
      </c>
      <c r="I4008" s="509">
        <v>1.0499999999999999e-003</v>
      </c>
      <c r="J4008" s="473">
        <f t="shared" si="1917"/>
        <v>541.11000000000001</v>
      </c>
      <c r="K4008" s="474">
        <f>TRUNC(I4008*J4008,2)</f>
        <v>0.56000000000000005</v>
      </c>
      <c r="L4008" s="473"/>
      <c r="M4008" s="474"/>
      <c r="N4008" s="616">
        <v>72.670000000000002</v>
      </c>
      <c r="O4008" s="434">
        <f t="shared" si="1909"/>
        <v>541.11000000000001</v>
      </c>
      <c r="P4008" s="435">
        <f t="shared" si="1910"/>
        <v>541.11000000000001</v>
      </c>
      <c r="AE4008" s="217"/>
      <c r="AF4008" s="217"/>
    </row>
    <row r="4009" ht="30">
      <c r="A4009" s="217"/>
      <c r="B4009" s="217">
        <v>1474</v>
      </c>
      <c r="C4009" s="217"/>
      <c r="D4009" s="217" t="s">
        <v>17167</v>
      </c>
      <c r="E4009" s="471" t="s">
        <v>20405</v>
      </c>
      <c r="F4009" s="482">
        <v>88316</v>
      </c>
      <c r="G4009" s="470" t="s">
        <v>7393</v>
      </c>
      <c r="H4009" s="482" t="s">
        <v>2032</v>
      </c>
      <c r="I4009" s="509">
        <f>6/N4008</f>
        <v>8.2565e-002</v>
      </c>
      <c r="J4009" s="473">
        <f t="shared" si="1917"/>
        <v>22.760000000000002</v>
      </c>
      <c r="K4009" s="474">
        <f>TRUNC(I4009*J4009,2)</f>
        <v>1.8700000000000001</v>
      </c>
      <c r="L4009" s="473"/>
      <c r="M4009" s="474"/>
      <c r="N4009" s="589" t="s">
        <v>22473</v>
      </c>
      <c r="O4009" s="434">
        <f t="shared" si="1909"/>
        <v>22.760000000000002</v>
      </c>
      <c r="P4009" s="435">
        <f t="shared" si="1910"/>
        <v>21.550000000000001</v>
      </c>
      <c r="AE4009" s="217"/>
      <c r="AF4009" s="217"/>
    </row>
    <row r="4010" ht="105">
      <c r="A4010" s="217"/>
      <c r="B4010" s="217">
        <v>1474</v>
      </c>
      <c r="C4010" s="217"/>
      <c r="D4010" s="217" t="s">
        <v>17167</v>
      </c>
      <c r="E4010" s="471" t="s">
        <v>20409</v>
      </c>
      <c r="F4010" s="489">
        <v>5901</v>
      </c>
      <c r="G4010" s="470" t="s">
        <v>22114</v>
      </c>
      <c r="H4010" s="471" t="s">
        <v>1535</v>
      </c>
      <c r="I4010" s="509">
        <f>0.64*2/N4008</f>
        <v>1.7613899999999998e-002</v>
      </c>
      <c r="J4010" s="473">
        <f t="shared" si="1917"/>
        <v>346.31999999999999</v>
      </c>
      <c r="K4010" s="474">
        <f>TRUNC(I4010*J4010,2)</f>
        <v>6.0999999999999996</v>
      </c>
      <c r="L4010" s="473"/>
      <c r="M4010" s="474"/>
      <c r="O4010" s="434">
        <f t="shared" si="1909"/>
        <v>346.31999999999999</v>
      </c>
      <c r="P4010" s="435">
        <f t="shared" si="1910"/>
        <v>344.72000000000003</v>
      </c>
      <c r="AE4010" s="217"/>
      <c r="AF4010" s="217"/>
    </row>
    <row r="4011" ht="105">
      <c r="A4011" s="217"/>
      <c r="B4011" s="217">
        <v>1474</v>
      </c>
      <c r="C4011" s="217"/>
      <c r="D4011" s="217" t="s">
        <v>17167</v>
      </c>
      <c r="E4011" s="471" t="s">
        <v>20663</v>
      </c>
      <c r="F4011" s="489">
        <v>5903</v>
      </c>
      <c r="G4011" s="470" t="s">
        <v>22115</v>
      </c>
      <c r="H4011" s="471" t="s">
        <v>1533</v>
      </c>
      <c r="I4011" s="509">
        <f>0.36*2/N4008</f>
        <v>9.9077999999999996e-003</v>
      </c>
      <c r="J4011" s="473">
        <f t="shared" si="1917"/>
        <v>73.879999999999995</v>
      </c>
      <c r="K4011" s="474">
        <f>TRUNC(I4011*J4011,2)</f>
        <v>0.72999999999999998</v>
      </c>
      <c r="L4011" s="473"/>
      <c r="M4011" s="474"/>
      <c r="O4011" s="434">
        <f t="shared" si="1909"/>
        <v>73.879999999999995</v>
      </c>
      <c r="P4011" s="435">
        <f t="shared" si="1910"/>
        <v>72.280000000000001</v>
      </c>
      <c r="AE4011" s="217"/>
      <c r="AF4011" s="217"/>
    </row>
    <row r="4012" ht="60">
      <c r="A4012" s="217"/>
      <c r="B4012" s="217">
        <v>1474</v>
      </c>
      <c r="C4012" s="217"/>
      <c r="D4012" s="217" t="s">
        <v>17167</v>
      </c>
      <c r="E4012" s="471" t="s">
        <v>20665</v>
      </c>
      <c r="F4012" s="489">
        <v>89250</v>
      </c>
      <c r="G4012" s="470" t="s">
        <v>1867</v>
      </c>
      <c r="H4012" s="471" t="s">
        <v>1535</v>
      </c>
      <c r="I4012" s="509">
        <f>1/N4008</f>
        <v>1.37608e-002</v>
      </c>
      <c r="J4012" s="473">
        <f t="shared" si="1917"/>
        <v>1229.3800000000001</v>
      </c>
      <c r="K4012" s="474">
        <f>TRUNC(I4012*J4012,2)</f>
        <v>16.91</v>
      </c>
      <c r="L4012" s="473"/>
      <c r="M4012" s="474"/>
      <c r="O4012" s="434">
        <f t="shared" ref="O4012:O4075" si="1918">IFERROR(IF(D4012="SINAPI",VLOOKUP(F4012,SINCOMOD,4,FALSE),IF(D4012="INSINAPI",VLOOKUP(F4012,INSINOD,5,FALSE),IF(D4012="SICRO",VLOOKUP(F4012,SICRO,5,FALSE),IF(D4012="COTACAO",VLOOKUP(F4012,COTACAO,6,FALSE),IF(D4012="PRÓPRIO",VLOOKUP(F4012,COMPOD,11,FALSE),IF(D4012="AGESUL",VLOOKUP(F4012,AGESULOD,6,FALSE),IF(D4012="INSAGESUL",VLOOKUP(F4012,INSAGESUL,7,FALSE),"SEM VALOR"))))))),"SEM VALOR")</f>
        <v>1229.3800000000001</v>
      </c>
      <c r="P4012" s="435">
        <f t="shared" ref="P4012:P4075" si="1919">IFERROR(IF(D4012="SINAPI",VLOOKUP(F4012,SINCOMOD,6,FALSE),IF(D4012="INSINAPI",VLOOKUP(F4012,INSINOD,6,FALSE),IF(D4012="SICRO",VLOOKUP(F4012,SICRO,5,FALSE),IF(D4012="COTACAO",VLOOKUP(F4012,COTACAO,6,FALSE),IF(D4012="PRÓPRIO",VLOOKUP(F4012,COMPOD,13,FALSE),IF(D4012="AGESUL",VLOOKUP(F4012,AGESULOD,11,FALSE),IF(D4012="INSAGESUL",VLOOKUP(F4012,INSAGESUL,8,FALSE),"SEM VALOR"))))))),"SEM VALOR")</f>
        <v>1227.49</v>
      </c>
      <c r="AE4012" s="217"/>
      <c r="AF4012" s="217"/>
    </row>
    <row r="4013" ht="60">
      <c r="A4013" s="217"/>
      <c r="B4013" s="217">
        <v>1474</v>
      </c>
      <c r="C4013" s="217"/>
      <c r="D4013" s="217" t="s">
        <v>17167</v>
      </c>
      <c r="E4013" s="471" t="s">
        <v>20667</v>
      </c>
      <c r="F4013" s="489">
        <v>89251</v>
      </c>
      <c r="G4013" s="470" t="s">
        <v>1866</v>
      </c>
      <c r="H4013" s="471" t="s">
        <v>1533</v>
      </c>
      <c r="I4013" s="509">
        <v>0</v>
      </c>
      <c r="J4013" s="473">
        <f t="shared" si="1917"/>
        <v>356.70999999999998</v>
      </c>
      <c r="K4013" s="474">
        <f>TRUNC(I4013*J4013,2)</f>
        <v>0</v>
      </c>
      <c r="L4013" s="473"/>
      <c r="M4013" s="474"/>
      <c r="O4013" s="434">
        <f t="shared" si="1918"/>
        <v>356.70999999999998</v>
      </c>
      <c r="P4013" s="435">
        <f t="shared" si="1919"/>
        <v>354.81999999999999</v>
      </c>
      <c r="AE4013" s="217"/>
      <c r="AF4013" s="217"/>
    </row>
    <row r="4014" ht="90">
      <c r="A4014" s="217"/>
      <c r="B4014" s="217">
        <v>1474</v>
      </c>
      <c r="C4014" s="217"/>
      <c r="D4014" s="217" t="s">
        <v>17167</v>
      </c>
      <c r="E4014" s="471" t="s">
        <v>20671</v>
      </c>
      <c r="F4014" s="489">
        <v>6879</v>
      </c>
      <c r="G4014" s="470" t="s">
        <v>1877</v>
      </c>
      <c r="H4014" s="471" t="s">
        <v>1535</v>
      </c>
      <c r="I4014" s="509">
        <f>0.52/N4008</f>
        <v>7.1555999999999998e-003</v>
      </c>
      <c r="J4014" s="473">
        <f t="shared" si="1917"/>
        <v>212.56</v>
      </c>
      <c r="K4014" s="474">
        <f>TRUNC(I4014*J4014,2)</f>
        <v>1.52</v>
      </c>
      <c r="L4014" s="473"/>
      <c r="M4014" s="474"/>
      <c r="O4014" s="434">
        <f t="shared" si="1918"/>
        <v>212.56</v>
      </c>
      <c r="P4014" s="435">
        <f t="shared" si="1919"/>
        <v>210.86000000000001</v>
      </c>
      <c r="AE4014" s="217"/>
      <c r="AF4014" s="217"/>
    </row>
    <row r="4015" ht="90">
      <c r="A4015" s="217"/>
      <c r="B4015" s="217">
        <v>1474</v>
      </c>
      <c r="C4015" s="217"/>
      <c r="D4015" s="217" t="s">
        <v>17167</v>
      </c>
      <c r="E4015" s="471" t="s">
        <v>20672</v>
      </c>
      <c r="F4015" s="489">
        <v>6880</v>
      </c>
      <c r="G4015" s="470" t="s">
        <v>1876</v>
      </c>
      <c r="H4015" s="471" t="s">
        <v>1533</v>
      </c>
      <c r="I4015" s="509">
        <f>0.48/N4008</f>
        <v>6.6052000000000003e-003</v>
      </c>
      <c r="J4015" s="473">
        <f t="shared" si="1917"/>
        <v>84.219999999999999</v>
      </c>
      <c r="K4015" s="474">
        <f>TRUNC(I4015*J4015,2)</f>
        <v>0.55000000000000004</v>
      </c>
      <c r="L4015" s="473"/>
      <c r="M4015" s="474"/>
      <c r="O4015" s="434">
        <f t="shared" si="1918"/>
        <v>84.219999999999999</v>
      </c>
      <c r="P4015" s="435">
        <f t="shared" si="1919"/>
        <v>82.519999999999996</v>
      </c>
      <c r="AE4015" s="217"/>
      <c r="AF4015" s="217"/>
    </row>
    <row r="4016" ht="105">
      <c r="A4016" s="217"/>
      <c r="B4016" s="217">
        <v>1474</v>
      </c>
      <c r="C4016" s="217"/>
      <c r="D4016" s="217" t="s">
        <v>17167</v>
      </c>
      <c r="E4016" s="471" t="s">
        <v>20673</v>
      </c>
      <c r="F4016" s="489">
        <v>7049</v>
      </c>
      <c r="G4016" s="488" t="s">
        <v>21764</v>
      </c>
      <c r="H4016" s="471" t="s">
        <v>1535</v>
      </c>
      <c r="I4016" s="509">
        <f>0.54/N4008</f>
        <v>7.4308999999999998e-003</v>
      </c>
      <c r="J4016" s="473">
        <f t="shared" si="1917"/>
        <v>228.24000000000001</v>
      </c>
      <c r="K4016" s="474">
        <f>TRUNC(I4016*J4016,2)</f>
        <v>1.6899999999999999</v>
      </c>
      <c r="L4016" s="473"/>
      <c r="M4016" s="474"/>
      <c r="O4016" s="434">
        <f t="shared" si="1918"/>
        <v>228.24000000000001</v>
      </c>
      <c r="P4016" s="435">
        <f t="shared" si="1919"/>
        <v>226.53999999999999</v>
      </c>
      <c r="AE4016" s="217"/>
      <c r="AF4016" s="217"/>
    </row>
    <row r="4017" ht="105">
      <c r="A4017" s="217"/>
      <c r="B4017" s="217">
        <v>1474</v>
      </c>
      <c r="C4017" s="217"/>
      <c r="D4017" s="217" t="s">
        <v>17167</v>
      </c>
      <c r="E4017" s="471" t="s">
        <v>20675</v>
      </c>
      <c r="F4017" s="489">
        <v>7050</v>
      </c>
      <c r="G4017" s="488" t="s">
        <v>21765</v>
      </c>
      <c r="H4017" s="471" t="s">
        <v>1533</v>
      </c>
      <c r="I4017" s="509">
        <f>0.46/N4008</f>
        <v>6.3299999999999997e-003</v>
      </c>
      <c r="J4017" s="473">
        <f t="shared" si="1917"/>
        <v>77.959999999999994</v>
      </c>
      <c r="K4017" s="474">
        <f>TRUNC(I4017*J4017,2)</f>
        <v>0.48999999999999999</v>
      </c>
      <c r="L4017" s="473"/>
      <c r="M4017" s="474"/>
      <c r="O4017" s="434">
        <f t="shared" si="1918"/>
        <v>77.959999999999994</v>
      </c>
      <c r="P4017" s="435">
        <f t="shared" si="1919"/>
        <v>76.260000000000005</v>
      </c>
      <c r="AE4017" s="217"/>
      <c r="AF4017" s="217"/>
    </row>
    <row r="4018" ht="66.75" customHeight="1">
      <c r="A4018" s="217"/>
      <c r="B4018" s="460">
        <v>1475</v>
      </c>
      <c r="C4018" s="460"/>
      <c r="D4018" s="460"/>
      <c r="E4018" s="461">
        <v>1</v>
      </c>
      <c r="F4018" s="462" t="s">
        <v>20600</v>
      </c>
      <c r="G4018" s="477" t="s">
        <v>22227</v>
      </c>
      <c r="H4018" s="478" t="s">
        <v>15528</v>
      </c>
      <c r="I4018" s="479"/>
      <c r="J4018" s="480"/>
      <c r="K4018" s="466">
        <f>SUM(K4019:K4031)</f>
        <v>38.990000000000002</v>
      </c>
      <c r="L4018" s="473"/>
      <c r="M4018" s="474"/>
      <c r="N4018" s="467" t="s">
        <v>22107</v>
      </c>
      <c r="O4018" s="434" t="str">
        <f t="shared" si="1918"/>
        <v xml:space="preserve">SEM VALOR</v>
      </c>
      <c r="P4018" s="435" t="str">
        <f t="shared" si="1919"/>
        <v xml:space="preserve">SEM VALOR</v>
      </c>
      <c r="AE4018" s="217"/>
      <c r="AF4018" s="217"/>
    </row>
    <row r="4019" ht="37.5" customHeight="1">
      <c r="A4019" s="217"/>
      <c r="B4019" s="217">
        <v>1475</v>
      </c>
      <c r="C4019" s="217"/>
      <c r="D4019" s="217" t="s">
        <v>20644</v>
      </c>
      <c r="E4019" s="471" t="s">
        <v>20399</v>
      </c>
      <c r="F4019" s="489" t="s">
        <v>15400</v>
      </c>
      <c r="G4019" s="488" t="s">
        <v>22110</v>
      </c>
      <c r="H4019" s="482" t="s">
        <v>31</v>
      </c>
      <c r="I4019" s="509">
        <v>9.5000000000000001e-002</v>
      </c>
      <c r="J4019" s="473">
        <f t="shared" si="1917"/>
        <v>54.57</v>
      </c>
      <c r="K4019" s="474">
        <f>TRUNC(I4019*J4019,2)</f>
        <v>5.1799999999999997</v>
      </c>
      <c r="L4019" s="473"/>
      <c r="M4019" s="474"/>
      <c r="N4019" s="467" t="s">
        <v>22472</v>
      </c>
      <c r="O4019" s="434">
        <f t="shared" si="1918"/>
        <v>54.57</v>
      </c>
      <c r="P4019" s="435">
        <f t="shared" si="1919"/>
        <v>54.57</v>
      </c>
      <c r="AE4019" s="217"/>
      <c r="AF4019" s="217"/>
    </row>
    <row r="4020" ht="30">
      <c r="A4020" s="217"/>
      <c r="B4020" s="217">
        <v>1475</v>
      </c>
      <c r="C4020" s="217"/>
      <c r="D4020" s="217" t="s">
        <v>20644</v>
      </c>
      <c r="E4020" s="471" t="s">
        <v>20402</v>
      </c>
      <c r="F4020" s="489" t="s">
        <v>15402</v>
      </c>
      <c r="G4020" s="488" t="s">
        <v>22111</v>
      </c>
      <c r="H4020" s="482" t="s">
        <v>31</v>
      </c>
      <c r="I4020" s="509">
        <v>1.0499999999999999e-003</v>
      </c>
      <c r="J4020" s="473">
        <f t="shared" si="1917"/>
        <v>541.11000000000001</v>
      </c>
      <c r="K4020" s="474">
        <f>TRUNC(I4020*J4020,2)</f>
        <v>0.56000000000000005</v>
      </c>
      <c r="L4020" s="473"/>
      <c r="M4020" s="474"/>
      <c r="N4020" s="616">
        <v>72.670000000000002</v>
      </c>
      <c r="O4020" s="434">
        <f t="shared" si="1918"/>
        <v>541.11000000000001</v>
      </c>
      <c r="P4020" s="435">
        <f t="shared" si="1919"/>
        <v>541.11000000000001</v>
      </c>
      <c r="AE4020" s="217"/>
      <c r="AF4020" s="217"/>
    </row>
    <row r="4021" ht="30">
      <c r="A4021" s="217"/>
      <c r="B4021" s="217">
        <v>1475</v>
      </c>
      <c r="C4021" s="217"/>
      <c r="D4021" s="217" t="s">
        <v>17167</v>
      </c>
      <c r="E4021" s="471" t="s">
        <v>20405</v>
      </c>
      <c r="F4021" s="482">
        <v>88316</v>
      </c>
      <c r="G4021" s="470" t="s">
        <v>7393</v>
      </c>
      <c r="H4021" s="482" t="s">
        <v>2032</v>
      </c>
      <c r="I4021" s="509">
        <f>6/N4020</f>
        <v>8.2565e-002</v>
      </c>
      <c r="J4021" s="473">
        <f t="shared" si="1917"/>
        <v>22.760000000000002</v>
      </c>
      <c r="K4021" s="474">
        <f>TRUNC(I4021*J4021,2)</f>
        <v>1.8700000000000001</v>
      </c>
      <c r="L4021" s="473"/>
      <c r="M4021" s="474"/>
      <c r="N4021" s="589" t="s">
        <v>22473</v>
      </c>
      <c r="O4021" s="434">
        <f t="shared" si="1918"/>
        <v>22.760000000000002</v>
      </c>
      <c r="P4021" s="435">
        <f t="shared" si="1919"/>
        <v>21.550000000000001</v>
      </c>
      <c r="AE4021" s="217"/>
      <c r="AF4021" s="217"/>
    </row>
    <row r="4022" ht="60">
      <c r="A4022" s="217"/>
      <c r="B4022" s="217">
        <v>1475</v>
      </c>
      <c r="C4022" s="217"/>
      <c r="D4022" s="217" t="s">
        <v>17167</v>
      </c>
      <c r="E4022" s="471" t="s">
        <v>20409</v>
      </c>
      <c r="F4022" s="489">
        <v>95127</v>
      </c>
      <c r="G4022" s="470" t="s">
        <v>22112</v>
      </c>
      <c r="H4022" s="471" t="s">
        <v>1535</v>
      </c>
      <c r="I4022" s="509">
        <f>1/N4020</f>
        <v>1.37608e-002</v>
      </c>
      <c r="J4022" s="473">
        <f t="shared" si="1917"/>
        <v>246.74000000000001</v>
      </c>
      <c r="K4022" s="474">
        <f>TRUNC(I4022*J4022,2)</f>
        <v>3.3900000000000001</v>
      </c>
      <c r="L4022" s="473"/>
      <c r="M4022" s="474"/>
      <c r="O4022" s="434">
        <f t="shared" si="1918"/>
        <v>246.74000000000001</v>
      </c>
      <c r="P4022" s="435">
        <f t="shared" si="1919"/>
        <v>244.84</v>
      </c>
      <c r="AE4022" s="217"/>
      <c r="AF4022" s="217"/>
    </row>
    <row r="4023" ht="60">
      <c r="A4023" s="217"/>
      <c r="B4023" s="217">
        <v>1475</v>
      </c>
      <c r="C4023" s="217"/>
      <c r="D4023" s="217" t="s">
        <v>17167</v>
      </c>
      <c r="E4023" s="471" t="s">
        <v>20663</v>
      </c>
      <c r="F4023" s="489">
        <v>95128</v>
      </c>
      <c r="G4023" s="470" t="s">
        <v>22113</v>
      </c>
      <c r="H4023" s="471" t="s">
        <v>1533</v>
      </c>
      <c r="I4023" s="509">
        <f>0/N4020</f>
        <v>0</v>
      </c>
      <c r="J4023" s="473">
        <f t="shared" si="1917"/>
        <v>57.420000000000002</v>
      </c>
      <c r="K4023" s="474">
        <f>TRUNC(I4023*J4023,2)</f>
        <v>0</v>
      </c>
      <c r="L4023" s="473"/>
      <c r="M4023" s="474"/>
      <c r="O4023" s="434">
        <f t="shared" si="1918"/>
        <v>57.420000000000002</v>
      </c>
      <c r="P4023" s="435">
        <f t="shared" si="1919"/>
        <v>55.520000000000003</v>
      </c>
      <c r="AE4023" s="217"/>
      <c r="AF4023" s="217"/>
    </row>
    <row r="4024" ht="105">
      <c r="A4024" s="217"/>
      <c r="B4024" s="217">
        <v>1475</v>
      </c>
      <c r="C4024" s="217"/>
      <c r="D4024" s="217" t="s">
        <v>17167</v>
      </c>
      <c r="E4024" s="471" t="s">
        <v>20665</v>
      </c>
      <c r="F4024" s="489">
        <v>5901</v>
      </c>
      <c r="G4024" s="470" t="s">
        <v>22114</v>
      </c>
      <c r="H4024" s="471" t="s">
        <v>1535</v>
      </c>
      <c r="I4024" s="509">
        <f>0.64*2/N4020</f>
        <v>1.7613899999999998e-002</v>
      </c>
      <c r="J4024" s="473">
        <f t="shared" si="1917"/>
        <v>346.31999999999999</v>
      </c>
      <c r="K4024" s="474">
        <f>TRUNC(I4024*J4024,2)</f>
        <v>6.0999999999999996</v>
      </c>
      <c r="L4024" s="473"/>
      <c r="M4024" s="474"/>
      <c r="O4024" s="434">
        <f t="shared" si="1918"/>
        <v>346.31999999999999</v>
      </c>
      <c r="P4024" s="435">
        <f t="shared" si="1919"/>
        <v>344.72000000000003</v>
      </c>
      <c r="AE4024" s="217"/>
      <c r="AF4024" s="217"/>
    </row>
    <row r="4025" ht="105">
      <c r="A4025" s="217"/>
      <c r="B4025" s="217">
        <v>1475</v>
      </c>
      <c r="C4025" s="217"/>
      <c r="D4025" s="217" t="s">
        <v>17167</v>
      </c>
      <c r="E4025" s="471" t="s">
        <v>20667</v>
      </c>
      <c r="F4025" s="489">
        <v>5903</v>
      </c>
      <c r="G4025" s="470" t="s">
        <v>22115</v>
      </c>
      <c r="H4025" s="471" t="s">
        <v>1533</v>
      </c>
      <c r="I4025" s="509">
        <f>0.36*2/N4020</f>
        <v>9.9077999999999996e-003</v>
      </c>
      <c r="J4025" s="473">
        <f t="shared" si="1917"/>
        <v>73.879999999999995</v>
      </c>
      <c r="K4025" s="474">
        <f>TRUNC(I4025*J4025,2)</f>
        <v>0.72999999999999998</v>
      </c>
      <c r="L4025" s="473"/>
      <c r="M4025" s="474"/>
      <c r="O4025" s="434">
        <f t="shared" si="1918"/>
        <v>73.879999999999995</v>
      </c>
      <c r="P4025" s="435">
        <f t="shared" si="1919"/>
        <v>72.280000000000001</v>
      </c>
      <c r="AE4025" s="217"/>
      <c r="AF4025" s="217"/>
    </row>
    <row r="4026" ht="60">
      <c r="A4026" s="217"/>
      <c r="B4026" s="217">
        <v>1475</v>
      </c>
      <c r="C4026" s="217"/>
      <c r="D4026" s="217" t="s">
        <v>17167</v>
      </c>
      <c r="E4026" s="471" t="s">
        <v>20671</v>
      </c>
      <c r="F4026" s="489">
        <v>89250</v>
      </c>
      <c r="G4026" s="470" t="s">
        <v>1867</v>
      </c>
      <c r="H4026" s="471" t="s">
        <v>1535</v>
      </c>
      <c r="I4026" s="509">
        <f>1/N4020</f>
        <v>1.37608e-002</v>
      </c>
      <c r="J4026" s="473">
        <f t="shared" si="1917"/>
        <v>1229.3800000000001</v>
      </c>
      <c r="K4026" s="474">
        <f>TRUNC(I4026*J4026,2)</f>
        <v>16.91</v>
      </c>
      <c r="L4026" s="473"/>
      <c r="M4026" s="474"/>
      <c r="O4026" s="434">
        <f t="shared" si="1918"/>
        <v>1229.3800000000001</v>
      </c>
      <c r="P4026" s="435">
        <f t="shared" si="1919"/>
        <v>1227.49</v>
      </c>
      <c r="AE4026" s="217"/>
      <c r="AF4026" s="217"/>
    </row>
    <row r="4027" ht="60">
      <c r="A4027" s="217"/>
      <c r="B4027" s="217">
        <v>1475</v>
      </c>
      <c r="C4027" s="217"/>
      <c r="D4027" s="217" t="s">
        <v>17167</v>
      </c>
      <c r="E4027" s="471" t="s">
        <v>20672</v>
      </c>
      <c r="F4027" s="489">
        <v>89251</v>
      </c>
      <c r="G4027" s="470" t="s">
        <v>1866</v>
      </c>
      <c r="H4027" s="471" t="s">
        <v>1533</v>
      </c>
      <c r="I4027" s="509">
        <v>0</v>
      </c>
      <c r="J4027" s="473">
        <f t="shared" si="1917"/>
        <v>356.70999999999998</v>
      </c>
      <c r="K4027" s="474">
        <f>TRUNC(I4027*J4027,2)</f>
        <v>0</v>
      </c>
      <c r="L4027" s="473"/>
      <c r="M4027" s="474"/>
      <c r="O4027" s="434">
        <f t="shared" si="1918"/>
        <v>356.70999999999998</v>
      </c>
      <c r="P4027" s="435">
        <f t="shared" si="1919"/>
        <v>354.81999999999999</v>
      </c>
      <c r="AE4027" s="217"/>
      <c r="AF4027" s="217"/>
    </row>
    <row r="4028" ht="90">
      <c r="A4028" s="217"/>
      <c r="B4028" s="217">
        <v>1475</v>
      </c>
      <c r="C4028" s="217"/>
      <c r="D4028" s="217" t="s">
        <v>17167</v>
      </c>
      <c r="E4028" s="471" t="s">
        <v>20673</v>
      </c>
      <c r="F4028" s="489">
        <v>6879</v>
      </c>
      <c r="G4028" s="470" t="s">
        <v>1877</v>
      </c>
      <c r="H4028" s="471" t="s">
        <v>1535</v>
      </c>
      <c r="I4028" s="509">
        <f>0.52/N4020</f>
        <v>7.1555999999999998e-003</v>
      </c>
      <c r="J4028" s="473">
        <f t="shared" si="1917"/>
        <v>212.56</v>
      </c>
      <c r="K4028" s="474">
        <f>TRUNC(I4028*J4028,2)</f>
        <v>1.52</v>
      </c>
      <c r="L4028" s="473"/>
      <c r="M4028" s="474"/>
      <c r="O4028" s="434">
        <f t="shared" si="1918"/>
        <v>212.56</v>
      </c>
      <c r="P4028" s="435">
        <f t="shared" si="1919"/>
        <v>210.86000000000001</v>
      </c>
      <c r="AE4028" s="217"/>
      <c r="AF4028" s="217"/>
    </row>
    <row r="4029" ht="90">
      <c r="A4029" s="217"/>
      <c r="B4029" s="217">
        <v>1475</v>
      </c>
      <c r="C4029" s="217"/>
      <c r="D4029" s="217" t="s">
        <v>17167</v>
      </c>
      <c r="E4029" s="471" t="s">
        <v>20675</v>
      </c>
      <c r="F4029" s="489">
        <v>6880</v>
      </c>
      <c r="G4029" s="470" t="s">
        <v>1876</v>
      </c>
      <c r="H4029" s="471" t="s">
        <v>1533</v>
      </c>
      <c r="I4029" s="509">
        <f>0.48/N4020</f>
        <v>6.6052000000000003e-003</v>
      </c>
      <c r="J4029" s="473">
        <f t="shared" si="1917"/>
        <v>84.219999999999999</v>
      </c>
      <c r="K4029" s="474">
        <f>TRUNC(I4029*J4029,2)</f>
        <v>0.55000000000000004</v>
      </c>
      <c r="L4029" s="473"/>
      <c r="M4029" s="474"/>
      <c r="O4029" s="434">
        <f t="shared" si="1918"/>
        <v>84.219999999999999</v>
      </c>
      <c r="P4029" s="435">
        <f t="shared" si="1919"/>
        <v>82.519999999999996</v>
      </c>
      <c r="AE4029" s="217"/>
      <c r="AF4029" s="217"/>
    </row>
    <row r="4030" ht="105">
      <c r="A4030" s="217"/>
      <c r="B4030" s="217">
        <v>1475</v>
      </c>
      <c r="C4030" s="217"/>
      <c r="D4030" s="217" t="s">
        <v>17167</v>
      </c>
      <c r="E4030" s="471" t="s">
        <v>20677</v>
      </c>
      <c r="F4030" s="489">
        <v>7049</v>
      </c>
      <c r="G4030" s="488" t="s">
        <v>21764</v>
      </c>
      <c r="H4030" s="471" t="s">
        <v>1535</v>
      </c>
      <c r="I4030" s="509">
        <f>0.54/N4020</f>
        <v>7.4308999999999998e-003</v>
      </c>
      <c r="J4030" s="473">
        <f t="shared" si="1917"/>
        <v>228.24000000000001</v>
      </c>
      <c r="K4030" s="474">
        <f>TRUNC(I4030*J4030,2)</f>
        <v>1.6899999999999999</v>
      </c>
      <c r="L4030" s="473"/>
      <c r="M4030" s="474"/>
      <c r="O4030" s="434">
        <f t="shared" si="1918"/>
        <v>228.24000000000001</v>
      </c>
      <c r="P4030" s="435">
        <f t="shared" si="1919"/>
        <v>226.53999999999999</v>
      </c>
      <c r="AE4030" s="217"/>
      <c r="AF4030" s="217"/>
    </row>
    <row r="4031" ht="105">
      <c r="A4031" s="217"/>
      <c r="B4031" s="217">
        <v>1475</v>
      </c>
      <c r="C4031" s="217"/>
      <c r="D4031" s="217" t="s">
        <v>17167</v>
      </c>
      <c r="E4031" s="471" t="s">
        <v>20679</v>
      </c>
      <c r="F4031" s="489">
        <v>7050</v>
      </c>
      <c r="G4031" s="488" t="s">
        <v>21765</v>
      </c>
      <c r="H4031" s="471" t="s">
        <v>1533</v>
      </c>
      <c r="I4031" s="509">
        <f>0.46/N4020</f>
        <v>6.3299999999999997e-003</v>
      </c>
      <c r="J4031" s="473">
        <f t="shared" si="1917"/>
        <v>77.959999999999994</v>
      </c>
      <c r="K4031" s="474">
        <f>TRUNC(I4031*J4031,2)</f>
        <v>0.48999999999999999</v>
      </c>
      <c r="L4031" s="473"/>
      <c r="M4031" s="474"/>
      <c r="O4031" s="434">
        <f t="shared" si="1918"/>
        <v>77.959999999999994</v>
      </c>
      <c r="P4031" s="435">
        <f t="shared" si="1919"/>
        <v>76.260000000000005</v>
      </c>
      <c r="AE4031" s="217"/>
      <c r="AF4031" s="217"/>
    </row>
    <row r="4032" ht="63" hidden="1">
      <c r="A4032" s="217"/>
      <c r="B4032" s="460">
        <v>1476</v>
      </c>
      <c r="C4032" s="460"/>
      <c r="D4032" s="460"/>
      <c r="E4032" s="461">
        <v>1</v>
      </c>
      <c r="F4032" s="462" t="s">
        <v>22474</v>
      </c>
      <c r="G4032" s="477" t="s">
        <v>20861</v>
      </c>
      <c r="H4032" s="478" t="s">
        <v>15528</v>
      </c>
      <c r="I4032" s="479"/>
      <c r="J4032" s="480"/>
      <c r="K4032" s="466">
        <f>SUM(K4033:K4046)</f>
        <v>91.895075243999997</v>
      </c>
      <c r="L4032" s="473"/>
      <c r="M4032" s="474"/>
      <c r="N4032" s="467" t="s">
        <v>22107</v>
      </c>
      <c r="O4032" s="434" t="str">
        <f t="shared" si="1918"/>
        <v xml:space="preserve">SEM VALOR</v>
      </c>
      <c r="P4032" s="435" t="str">
        <f t="shared" si="1919"/>
        <v xml:space="preserve">SEM VALOR</v>
      </c>
      <c r="AE4032" s="217"/>
      <c r="AF4032" s="217"/>
    </row>
    <row r="4033" ht="30.75" hidden="1" customHeight="1">
      <c r="A4033" s="217"/>
      <c r="B4033" s="217">
        <v>1476</v>
      </c>
      <c r="C4033" s="217"/>
      <c r="D4033" s="217" t="s">
        <v>20408</v>
      </c>
      <c r="E4033" s="471" t="s">
        <v>20399</v>
      </c>
      <c r="F4033" s="482">
        <v>1379</v>
      </c>
      <c r="G4033" s="488" t="s">
        <v>22108</v>
      </c>
      <c r="H4033" s="482" t="s">
        <v>302</v>
      </c>
      <c r="I4033" s="483">
        <v>66</v>
      </c>
      <c r="J4033" s="473">
        <f t="shared" si="1917"/>
        <v>0.82999999999999996</v>
      </c>
      <c r="K4033" s="474">
        <f t="shared" ref="K4033:K4046" si="1920">I4033*J4033</f>
        <v>54.779999999999994</v>
      </c>
      <c r="L4033" s="473"/>
      <c r="M4033" s="474"/>
      <c r="N4033" s="467" t="s">
        <v>22472</v>
      </c>
      <c r="O4033" s="434">
        <f t="shared" si="1918"/>
        <v>0.82999999999999996</v>
      </c>
      <c r="P4033" s="435">
        <f t="shared" si="1919"/>
        <v>0.82999999999999996</v>
      </c>
      <c r="AE4033" s="217"/>
      <c r="AF4033" s="217"/>
    </row>
    <row r="4034" hidden="1">
      <c r="A4034" s="217"/>
      <c r="B4034" s="217">
        <v>1476</v>
      </c>
      <c r="C4034" s="217"/>
      <c r="D4034" s="217" t="s">
        <v>20644</v>
      </c>
      <c r="E4034" s="471" t="s">
        <v>20402</v>
      </c>
      <c r="F4034" s="489" t="s">
        <v>15400</v>
      </c>
      <c r="G4034" s="488" t="s">
        <v>22110</v>
      </c>
      <c r="H4034" s="482" t="s">
        <v>31</v>
      </c>
      <c r="I4034" s="509">
        <v>9.5000000000000001e-002</v>
      </c>
      <c r="J4034" s="473">
        <f t="shared" si="1917"/>
        <v>54.57</v>
      </c>
      <c r="K4034" s="474">
        <f t="shared" si="1920"/>
        <v>5.1841499999999998</v>
      </c>
      <c r="L4034" s="473"/>
      <c r="M4034" s="474"/>
      <c r="N4034" s="616">
        <v>72.670000000000002</v>
      </c>
      <c r="O4034" s="434">
        <f t="shared" si="1918"/>
        <v>54.57</v>
      </c>
      <c r="P4034" s="435">
        <f t="shared" si="1919"/>
        <v>54.57</v>
      </c>
      <c r="AE4034" s="217"/>
      <c r="AF4034" s="217"/>
    </row>
    <row r="4035" ht="30" hidden="1">
      <c r="A4035" s="217"/>
      <c r="B4035" s="217">
        <v>1476</v>
      </c>
      <c r="C4035" s="217"/>
      <c r="D4035" s="217" t="s">
        <v>20644</v>
      </c>
      <c r="E4035" s="471" t="s">
        <v>20405</v>
      </c>
      <c r="F4035" s="489" t="s">
        <v>15402</v>
      </c>
      <c r="G4035" s="488" t="s">
        <v>22111</v>
      </c>
      <c r="H4035" s="482" t="s">
        <v>31</v>
      </c>
      <c r="I4035" s="509">
        <v>1.0499999999999999e-003</v>
      </c>
      <c r="J4035" s="473">
        <f t="shared" si="1917"/>
        <v>541.11000000000001</v>
      </c>
      <c r="K4035" s="474">
        <f t="shared" si="1920"/>
        <v>0.56816549999999999</v>
      </c>
      <c r="L4035" s="473"/>
      <c r="M4035" s="474"/>
      <c r="N4035" s="589" t="s">
        <v>22473</v>
      </c>
      <c r="O4035" s="434">
        <f t="shared" si="1918"/>
        <v>541.11000000000001</v>
      </c>
      <c r="P4035" s="435">
        <f t="shared" si="1919"/>
        <v>541.11000000000001</v>
      </c>
      <c r="AE4035" s="217"/>
      <c r="AF4035" s="217"/>
    </row>
    <row r="4036" ht="30" hidden="1">
      <c r="A4036" s="217"/>
      <c r="B4036" s="217">
        <v>1476</v>
      </c>
      <c r="C4036" s="217"/>
      <c r="D4036" s="217" t="s">
        <v>17167</v>
      </c>
      <c r="E4036" s="471" t="s">
        <v>20409</v>
      </c>
      <c r="F4036" s="482">
        <v>88316</v>
      </c>
      <c r="G4036" s="470" t="s">
        <v>7393</v>
      </c>
      <c r="H4036" s="482" t="s">
        <v>2032</v>
      </c>
      <c r="I4036" s="509">
        <f>6/N4034</f>
        <v>8.2565e-002</v>
      </c>
      <c r="J4036" s="473">
        <f t="shared" si="1917"/>
        <v>22.760000000000002</v>
      </c>
      <c r="K4036" s="474">
        <f t="shared" si="1920"/>
        <v>1.8791794000000002</v>
      </c>
      <c r="L4036" s="473"/>
      <c r="M4036" s="474"/>
      <c r="O4036" s="434">
        <f t="shared" si="1918"/>
        <v>22.760000000000002</v>
      </c>
      <c r="P4036" s="435">
        <f t="shared" si="1919"/>
        <v>21.550000000000001</v>
      </c>
      <c r="AE4036" s="217"/>
      <c r="AF4036" s="217"/>
    </row>
    <row r="4037" ht="60" hidden="1">
      <c r="A4037" s="217"/>
      <c r="B4037" s="217">
        <v>1476</v>
      </c>
      <c r="C4037" s="217"/>
      <c r="D4037" s="217" t="s">
        <v>17167</v>
      </c>
      <c r="E4037" s="471" t="s">
        <v>20663</v>
      </c>
      <c r="F4037" s="489">
        <v>95127</v>
      </c>
      <c r="G4037" s="470" t="s">
        <v>22112</v>
      </c>
      <c r="H4037" s="471" t="s">
        <v>1535</v>
      </c>
      <c r="I4037" s="509">
        <f>0.26/N4034</f>
        <v>3.5777999999999999e-003</v>
      </c>
      <c r="J4037" s="473">
        <f t="shared" si="1917"/>
        <v>246.74000000000001</v>
      </c>
      <c r="K4037" s="474">
        <f t="shared" si="1920"/>
        <v>0.88278637199999999</v>
      </c>
      <c r="L4037" s="473"/>
      <c r="M4037" s="474"/>
      <c r="O4037" s="434">
        <f t="shared" si="1918"/>
        <v>246.74000000000001</v>
      </c>
      <c r="P4037" s="435">
        <f t="shared" si="1919"/>
        <v>244.84</v>
      </c>
      <c r="AE4037" s="217"/>
      <c r="AF4037" s="217"/>
    </row>
    <row r="4038" ht="60" hidden="1">
      <c r="A4038" s="217"/>
      <c r="B4038" s="217">
        <v>1476</v>
      </c>
      <c r="C4038" s="217"/>
      <c r="D4038" s="217" t="s">
        <v>17167</v>
      </c>
      <c r="E4038" s="471" t="s">
        <v>20665</v>
      </c>
      <c r="F4038" s="489">
        <v>95128</v>
      </c>
      <c r="G4038" s="470" t="s">
        <v>22113</v>
      </c>
      <c r="H4038" s="471" t="s">
        <v>1533</v>
      </c>
      <c r="I4038" s="509">
        <f>0.74/N4034</f>
        <v>1.0182999999999999e-002</v>
      </c>
      <c r="J4038" s="473">
        <f t="shared" si="1917"/>
        <v>57.420000000000002</v>
      </c>
      <c r="K4038" s="474">
        <f t="shared" si="1920"/>
        <v>0.58470785999999997</v>
      </c>
      <c r="L4038" s="473"/>
      <c r="M4038" s="474"/>
      <c r="O4038" s="434">
        <f t="shared" si="1918"/>
        <v>57.420000000000002</v>
      </c>
      <c r="P4038" s="435">
        <f t="shared" si="1919"/>
        <v>55.520000000000003</v>
      </c>
      <c r="AE4038" s="217"/>
      <c r="AF4038" s="217"/>
    </row>
    <row r="4039" ht="105" hidden="1">
      <c r="A4039" s="217"/>
      <c r="B4039" s="217">
        <v>1476</v>
      </c>
      <c r="C4039" s="217"/>
      <c r="D4039" s="217" t="s">
        <v>17167</v>
      </c>
      <c r="E4039" s="471" t="s">
        <v>20667</v>
      </c>
      <c r="F4039" s="489">
        <v>5901</v>
      </c>
      <c r="G4039" s="470" t="s">
        <v>22114</v>
      </c>
      <c r="H4039" s="471" t="s">
        <v>1535</v>
      </c>
      <c r="I4039" s="509">
        <f>0.64*2/N4034</f>
        <v>1.7613899999999998e-002</v>
      </c>
      <c r="J4039" s="473">
        <f t="shared" si="1917"/>
        <v>346.31999999999999</v>
      </c>
      <c r="K4039" s="474">
        <f t="shared" si="1920"/>
        <v>6.1000458479999997</v>
      </c>
      <c r="L4039" s="473"/>
      <c r="M4039" s="474"/>
      <c r="O4039" s="434">
        <f t="shared" si="1918"/>
        <v>346.31999999999999</v>
      </c>
      <c r="P4039" s="435">
        <f t="shared" si="1919"/>
        <v>344.72000000000003</v>
      </c>
      <c r="AE4039" s="217"/>
      <c r="AF4039" s="217"/>
    </row>
    <row r="4040" ht="105" hidden="1">
      <c r="A4040" s="217"/>
      <c r="B4040" s="217">
        <v>1476</v>
      </c>
      <c r="C4040" s="217"/>
      <c r="D4040" s="217" t="s">
        <v>17167</v>
      </c>
      <c r="E4040" s="471" t="s">
        <v>20671</v>
      </c>
      <c r="F4040" s="489">
        <v>5903</v>
      </c>
      <c r="G4040" s="470" t="s">
        <v>22115</v>
      </c>
      <c r="H4040" s="471" t="s">
        <v>1533</v>
      </c>
      <c r="I4040" s="509">
        <f>0.36*2/N4034</f>
        <v>9.9077999999999996e-003</v>
      </c>
      <c r="J4040" s="473">
        <f t="shared" si="1917"/>
        <v>73.879999999999995</v>
      </c>
      <c r="K4040" s="474">
        <f t="shared" si="1920"/>
        <v>0.73198826399999994</v>
      </c>
      <c r="L4040" s="473"/>
      <c r="M4040" s="474"/>
      <c r="O4040" s="434">
        <f t="shared" si="1918"/>
        <v>73.879999999999995</v>
      </c>
      <c r="P4040" s="435">
        <f t="shared" si="1919"/>
        <v>72.280000000000001</v>
      </c>
      <c r="AE4040" s="217"/>
      <c r="AF4040" s="217"/>
    </row>
    <row r="4041" ht="60" hidden="1">
      <c r="A4041" s="217"/>
      <c r="B4041" s="217">
        <v>1476</v>
      </c>
      <c r="C4041" s="217"/>
      <c r="D4041" s="217" t="s">
        <v>17167</v>
      </c>
      <c r="E4041" s="471" t="s">
        <v>20672</v>
      </c>
      <c r="F4041" s="489">
        <v>89250</v>
      </c>
      <c r="G4041" s="470" t="s">
        <v>1867</v>
      </c>
      <c r="H4041" s="471" t="s">
        <v>1535</v>
      </c>
      <c r="I4041" s="509">
        <f>1/N4034</f>
        <v>1.37608e-002</v>
      </c>
      <c r="J4041" s="473">
        <f t="shared" si="1917"/>
        <v>1229.3800000000001</v>
      </c>
      <c r="K4041" s="474">
        <f t="shared" si="1920"/>
        <v>16.917252304000002</v>
      </c>
      <c r="L4041" s="473"/>
      <c r="M4041" s="474"/>
      <c r="O4041" s="434">
        <f t="shared" si="1918"/>
        <v>1229.3800000000001</v>
      </c>
      <c r="P4041" s="435">
        <f t="shared" si="1919"/>
        <v>1227.49</v>
      </c>
      <c r="AE4041" s="217"/>
      <c r="AF4041" s="217"/>
    </row>
    <row r="4042" ht="60" hidden="1">
      <c r="A4042" s="217"/>
      <c r="B4042" s="217">
        <v>1476</v>
      </c>
      <c r="C4042" s="217"/>
      <c r="D4042" s="217" t="s">
        <v>17167</v>
      </c>
      <c r="E4042" s="471" t="s">
        <v>20673</v>
      </c>
      <c r="F4042" s="489">
        <v>89251</v>
      </c>
      <c r="G4042" s="470" t="s">
        <v>1866</v>
      </c>
      <c r="H4042" s="471" t="s">
        <v>1533</v>
      </c>
      <c r="I4042" s="509">
        <v>0</v>
      </c>
      <c r="J4042" s="473">
        <f t="shared" si="1917"/>
        <v>356.70999999999998</v>
      </c>
      <c r="K4042" s="474">
        <f t="shared" si="1920"/>
        <v>0</v>
      </c>
      <c r="L4042" s="473"/>
      <c r="M4042" s="474"/>
      <c r="O4042" s="434">
        <f t="shared" si="1918"/>
        <v>356.70999999999998</v>
      </c>
      <c r="P4042" s="435">
        <f t="shared" si="1919"/>
        <v>354.81999999999999</v>
      </c>
      <c r="AE4042" s="217"/>
      <c r="AF4042" s="217"/>
    </row>
    <row r="4043" ht="90" hidden="1">
      <c r="A4043" s="217"/>
      <c r="B4043" s="217">
        <v>1476</v>
      </c>
      <c r="C4043" s="217"/>
      <c r="D4043" s="217" t="s">
        <v>17167</v>
      </c>
      <c r="E4043" s="471" t="s">
        <v>20675</v>
      </c>
      <c r="F4043" s="489">
        <v>6879</v>
      </c>
      <c r="G4043" s="470" t="s">
        <v>1877</v>
      </c>
      <c r="H4043" s="471" t="s">
        <v>1535</v>
      </c>
      <c r="I4043" s="509">
        <f>0.52/N4034</f>
        <v>7.1555999999999998e-003</v>
      </c>
      <c r="J4043" s="473">
        <f t="shared" si="1917"/>
        <v>212.56</v>
      </c>
      <c r="K4043" s="474">
        <f t="shared" si="1920"/>
        <v>1.520994336</v>
      </c>
      <c r="L4043" s="473"/>
      <c r="M4043" s="474"/>
      <c r="O4043" s="434">
        <f t="shared" si="1918"/>
        <v>212.56</v>
      </c>
      <c r="P4043" s="435">
        <f t="shared" si="1919"/>
        <v>210.86000000000001</v>
      </c>
      <c r="AE4043" s="217"/>
      <c r="AF4043" s="217"/>
    </row>
    <row r="4044" ht="90" hidden="1">
      <c r="A4044" s="217"/>
      <c r="B4044" s="217">
        <v>1476</v>
      </c>
      <c r="C4044" s="217"/>
      <c r="D4044" s="217" t="s">
        <v>17167</v>
      </c>
      <c r="E4044" s="471" t="s">
        <v>20677</v>
      </c>
      <c r="F4044" s="489">
        <v>6880</v>
      </c>
      <c r="G4044" s="470" t="s">
        <v>1876</v>
      </c>
      <c r="H4044" s="471" t="s">
        <v>1533</v>
      </c>
      <c r="I4044" s="509">
        <f>0.48/N4034</f>
        <v>6.6052000000000003e-003</v>
      </c>
      <c r="J4044" s="473">
        <f t="shared" si="1917"/>
        <v>84.219999999999999</v>
      </c>
      <c r="K4044" s="474">
        <f t="shared" si="1920"/>
        <v>0.55628994399999998</v>
      </c>
      <c r="L4044" s="473"/>
      <c r="M4044" s="474"/>
      <c r="O4044" s="434">
        <f t="shared" si="1918"/>
        <v>84.219999999999999</v>
      </c>
      <c r="P4044" s="435">
        <f t="shared" si="1919"/>
        <v>82.519999999999996</v>
      </c>
      <c r="AE4044" s="217"/>
      <c r="AF4044" s="217"/>
    </row>
    <row r="4045" ht="105" hidden="1">
      <c r="A4045" s="217"/>
      <c r="B4045" s="217">
        <v>1476</v>
      </c>
      <c r="C4045" s="217"/>
      <c r="D4045" s="217" t="s">
        <v>17167</v>
      </c>
      <c r="E4045" s="471" t="s">
        <v>20679</v>
      </c>
      <c r="F4045" s="489">
        <v>7049</v>
      </c>
      <c r="G4045" s="488" t="s">
        <v>21764</v>
      </c>
      <c r="H4045" s="471" t="s">
        <v>1535</v>
      </c>
      <c r="I4045" s="509">
        <f>0.54/N4034</f>
        <v>7.4308999999999998e-003</v>
      </c>
      <c r="J4045" s="473">
        <f t="shared" si="1917"/>
        <v>228.24000000000001</v>
      </c>
      <c r="K4045" s="474">
        <f t="shared" si="1920"/>
        <v>1.696028616</v>
      </c>
      <c r="L4045" s="473"/>
      <c r="M4045" s="474"/>
      <c r="O4045" s="434">
        <f t="shared" si="1918"/>
        <v>228.24000000000001</v>
      </c>
      <c r="P4045" s="435">
        <f t="shared" si="1919"/>
        <v>226.53999999999999</v>
      </c>
      <c r="AE4045" s="217"/>
      <c r="AF4045" s="217"/>
    </row>
    <row r="4046" ht="105" hidden="1">
      <c r="A4046" s="217"/>
      <c r="B4046" s="217">
        <v>1476</v>
      </c>
      <c r="C4046" s="217"/>
      <c r="D4046" s="217" t="s">
        <v>17167</v>
      </c>
      <c r="E4046" s="471" t="s">
        <v>20681</v>
      </c>
      <c r="F4046" s="489">
        <v>7050</v>
      </c>
      <c r="G4046" s="488" t="s">
        <v>21765</v>
      </c>
      <c r="H4046" s="471" t="s">
        <v>1533</v>
      </c>
      <c r="I4046" s="509">
        <f>0.46/N4034</f>
        <v>6.3299999999999997e-003</v>
      </c>
      <c r="J4046" s="473">
        <f t="shared" si="1917"/>
        <v>77.959999999999994</v>
      </c>
      <c r="K4046" s="474">
        <f t="shared" si="1920"/>
        <v>0.49348679999999995</v>
      </c>
      <c r="L4046" s="473"/>
      <c r="M4046" s="474"/>
      <c r="O4046" s="434">
        <f t="shared" si="1918"/>
        <v>77.959999999999994</v>
      </c>
      <c r="P4046" s="435">
        <f t="shared" si="1919"/>
        <v>76.260000000000005</v>
      </c>
      <c r="AE4046" s="217"/>
      <c r="AF4046" s="217"/>
    </row>
    <row r="4047" ht="69.75" hidden="1" customHeight="1">
      <c r="A4047" s="217"/>
      <c r="B4047" s="460">
        <v>1477</v>
      </c>
      <c r="C4047" s="460"/>
      <c r="D4047" s="460"/>
      <c r="E4047" s="461">
        <v>1</v>
      </c>
      <c r="F4047" s="462" t="s">
        <v>22475</v>
      </c>
      <c r="G4047" s="477" t="s">
        <v>22119</v>
      </c>
      <c r="H4047" s="478" t="s">
        <v>15528</v>
      </c>
      <c r="I4047" s="479"/>
      <c r="J4047" s="480"/>
      <c r="K4047" s="466">
        <f>SUM(K4048:K4061)</f>
        <v>53.280920804000004</v>
      </c>
      <c r="L4047" s="473"/>
      <c r="M4047" s="474"/>
      <c r="N4047" s="467" t="s">
        <v>22107</v>
      </c>
      <c r="O4047" s="434" t="str">
        <f t="shared" si="1918"/>
        <v xml:space="preserve">SEM VALOR</v>
      </c>
      <c r="P4047" s="435" t="str">
        <f t="shared" si="1919"/>
        <v xml:space="preserve">SEM VALOR</v>
      </c>
      <c r="AE4047" s="217"/>
      <c r="AF4047" s="217"/>
    </row>
    <row r="4048" ht="25.5" hidden="1" customHeight="1">
      <c r="A4048" s="217"/>
      <c r="B4048" s="217">
        <v>1477</v>
      </c>
      <c r="C4048" s="217"/>
      <c r="D4048" s="217" t="s">
        <v>20408</v>
      </c>
      <c r="E4048" s="471" t="s">
        <v>20399</v>
      </c>
      <c r="F4048" s="489">
        <v>4741</v>
      </c>
      <c r="G4048" s="488" t="s">
        <v>22120</v>
      </c>
      <c r="H4048" s="482" t="s">
        <v>302</v>
      </c>
      <c r="I4048" s="509">
        <v>0.14999999999999999</v>
      </c>
      <c r="J4048" s="473">
        <f t="shared" si="1917"/>
        <v>94.920000000000002</v>
      </c>
      <c r="K4048" s="474">
        <f t="shared" ref="K4048:K4061" si="1921">I4048*J4048</f>
        <v>14.238</v>
      </c>
      <c r="L4048" s="473"/>
      <c r="M4048" s="474"/>
      <c r="N4048" s="467" t="s">
        <v>22472</v>
      </c>
      <c r="O4048" s="434">
        <f t="shared" si="1918"/>
        <v>94.920000000000002</v>
      </c>
      <c r="P4048" s="435">
        <f t="shared" si="1919"/>
        <v>94.920000000000002</v>
      </c>
      <c r="AE4048" s="217"/>
      <c r="AF4048" s="217"/>
    </row>
    <row r="4049" ht="27.75" hidden="1" customHeight="1">
      <c r="A4049" s="217"/>
      <c r="B4049" s="217">
        <v>1477</v>
      </c>
      <c r="C4049" s="217"/>
      <c r="D4049" s="217" t="s">
        <v>20644</v>
      </c>
      <c r="E4049" s="471" t="s">
        <v>20402</v>
      </c>
      <c r="F4049" s="489" t="s">
        <v>15400</v>
      </c>
      <c r="G4049" s="488" t="s">
        <v>22110</v>
      </c>
      <c r="H4049" s="482" t="s">
        <v>31</v>
      </c>
      <c r="I4049" s="509">
        <v>9.5000000000000001e-002</v>
      </c>
      <c r="J4049" s="473">
        <f t="shared" si="1917"/>
        <v>54.57</v>
      </c>
      <c r="K4049" s="474">
        <f t="shared" si="1921"/>
        <v>5.1841499999999998</v>
      </c>
      <c r="L4049" s="473"/>
      <c r="M4049" s="474"/>
      <c r="N4049" s="616">
        <v>72.670000000000002</v>
      </c>
      <c r="O4049" s="434">
        <f t="shared" si="1918"/>
        <v>54.57</v>
      </c>
      <c r="P4049" s="435">
        <f t="shared" si="1919"/>
        <v>54.57</v>
      </c>
      <c r="AE4049" s="217"/>
      <c r="AF4049" s="217"/>
    </row>
    <row r="4050" ht="30" hidden="1">
      <c r="A4050" s="217"/>
      <c r="B4050" s="217">
        <v>1477</v>
      </c>
      <c r="C4050" s="217"/>
      <c r="D4050" s="217" t="s">
        <v>20644</v>
      </c>
      <c r="E4050" s="471" t="s">
        <v>20405</v>
      </c>
      <c r="F4050" s="489" t="s">
        <v>15402</v>
      </c>
      <c r="G4050" s="488" t="s">
        <v>22111</v>
      </c>
      <c r="H4050" s="482" t="s">
        <v>31</v>
      </c>
      <c r="I4050" s="509">
        <v>1.0499999999999999e-003</v>
      </c>
      <c r="J4050" s="473">
        <f t="shared" si="1917"/>
        <v>541.11000000000001</v>
      </c>
      <c r="K4050" s="474">
        <f t="shared" si="1921"/>
        <v>0.56816549999999999</v>
      </c>
      <c r="L4050" s="473"/>
      <c r="M4050" s="474"/>
      <c r="N4050" s="589" t="s">
        <v>22473</v>
      </c>
      <c r="O4050" s="434">
        <f t="shared" si="1918"/>
        <v>541.11000000000001</v>
      </c>
      <c r="P4050" s="435">
        <f t="shared" si="1919"/>
        <v>541.11000000000001</v>
      </c>
      <c r="AE4050" s="217"/>
      <c r="AF4050" s="217"/>
    </row>
    <row r="4051" ht="30" hidden="1">
      <c r="A4051" s="217"/>
      <c r="B4051" s="217">
        <v>1477</v>
      </c>
      <c r="C4051" s="217"/>
      <c r="D4051" s="217" t="s">
        <v>17167</v>
      </c>
      <c r="E4051" s="471" t="s">
        <v>20409</v>
      </c>
      <c r="F4051" s="482">
        <v>88316</v>
      </c>
      <c r="G4051" s="470" t="s">
        <v>7393</v>
      </c>
      <c r="H4051" s="482" t="s">
        <v>2032</v>
      </c>
      <c r="I4051" s="509">
        <f>6/N4049</f>
        <v>8.2565e-002</v>
      </c>
      <c r="J4051" s="473">
        <f t="shared" si="1917"/>
        <v>22.760000000000002</v>
      </c>
      <c r="K4051" s="474">
        <f t="shared" si="1921"/>
        <v>1.8791794000000002</v>
      </c>
      <c r="L4051" s="473"/>
      <c r="M4051" s="474"/>
      <c r="O4051" s="434">
        <f t="shared" si="1918"/>
        <v>22.760000000000002</v>
      </c>
      <c r="P4051" s="435">
        <f t="shared" si="1919"/>
        <v>21.550000000000001</v>
      </c>
      <c r="AE4051" s="217"/>
      <c r="AF4051" s="217"/>
    </row>
    <row r="4052" ht="60" hidden="1">
      <c r="A4052" s="217"/>
      <c r="B4052" s="217">
        <v>1477</v>
      </c>
      <c r="C4052" s="217"/>
      <c r="D4052" s="217" t="s">
        <v>17167</v>
      </c>
      <c r="E4052" s="471" t="s">
        <v>20663</v>
      </c>
      <c r="F4052" s="489">
        <v>95127</v>
      </c>
      <c r="G4052" s="470" t="s">
        <v>22112</v>
      </c>
      <c r="H4052" s="471" t="s">
        <v>1535</v>
      </c>
      <c r="I4052" s="509">
        <f>1/N4049</f>
        <v>1.37608e-002</v>
      </c>
      <c r="J4052" s="473">
        <f t="shared" si="1917"/>
        <v>246.74000000000001</v>
      </c>
      <c r="K4052" s="474">
        <f t="shared" si="1921"/>
        <v>3.3953397920000001</v>
      </c>
      <c r="L4052" s="473"/>
      <c r="M4052" s="474"/>
      <c r="O4052" s="434">
        <f t="shared" si="1918"/>
        <v>246.74000000000001</v>
      </c>
      <c r="P4052" s="435">
        <f t="shared" si="1919"/>
        <v>244.84</v>
      </c>
      <c r="AE4052" s="217"/>
      <c r="AF4052" s="217"/>
    </row>
    <row r="4053" ht="60" hidden="1">
      <c r="A4053" s="217"/>
      <c r="B4053" s="217">
        <v>1477</v>
      </c>
      <c r="C4053" s="217"/>
      <c r="D4053" s="217" t="s">
        <v>17167</v>
      </c>
      <c r="E4053" s="471" t="s">
        <v>20665</v>
      </c>
      <c r="F4053" s="489">
        <v>95128</v>
      </c>
      <c r="G4053" s="470" t="s">
        <v>22113</v>
      </c>
      <c r="H4053" s="471" t="s">
        <v>1533</v>
      </c>
      <c r="I4053" s="509">
        <f>0/N4049</f>
        <v>0</v>
      </c>
      <c r="J4053" s="473">
        <f t="shared" si="1917"/>
        <v>57.420000000000002</v>
      </c>
      <c r="K4053" s="474">
        <f t="shared" si="1921"/>
        <v>0</v>
      </c>
      <c r="L4053" s="473"/>
      <c r="M4053" s="474"/>
      <c r="O4053" s="434">
        <f t="shared" si="1918"/>
        <v>57.420000000000002</v>
      </c>
      <c r="P4053" s="435">
        <f t="shared" si="1919"/>
        <v>55.520000000000003</v>
      </c>
      <c r="AE4053" s="217"/>
      <c r="AF4053" s="217"/>
    </row>
    <row r="4054" ht="105" hidden="1">
      <c r="A4054" s="217"/>
      <c r="B4054" s="217">
        <v>1477</v>
      </c>
      <c r="C4054" s="217"/>
      <c r="D4054" s="217" t="s">
        <v>17167</v>
      </c>
      <c r="E4054" s="471" t="s">
        <v>20667</v>
      </c>
      <c r="F4054" s="489">
        <v>5901</v>
      </c>
      <c r="G4054" s="470" t="s">
        <v>22114</v>
      </c>
      <c r="H4054" s="471" t="s">
        <v>1535</v>
      </c>
      <c r="I4054" s="509">
        <f>0.64*2/N4049</f>
        <v>1.7613899999999998e-002</v>
      </c>
      <c r="J4054" s="473">
        <f t="shared" si="1917"/>
        <v>346.31999999999999</v>
      </c>
      <c r="K4054" s="474">
        <f t="shared" si="1921"/>
        <v>6.1000458479999997</v>
      </c>
      <c r="L4054" s="473"/>
      <c r="M4054" s="474"/>
      <c r="O4054" s="434">
        <f t="shared" si="1918"/>
        <v>346.31999999999999</v>
      </c>
      <c r="P4054" s="435">
        <f t="shared" si="1919"/>
        <v>344.72000000000003</v>
      </c>
      <c r="AE4054" s="217"/>
      <c r="AF4054" s="217"/>
    </row>
    <row r="4055" ht="105" hidden="1">
      <c r="A4055" s="217"/>
      <c r="B4055" s="217">
        <v>1477</v>
      </c>
      <c r="C4055" s="217"/>
      <c r="D4055" s="217" t="s">
        <v>17167</v>
      </c>
      <c r="E4055" s="471" t="s">
        <v>20671</v>
      </c>
      <c r="F4055" s="489">
        <v>5903</v>
      </c>
      <c r="G4055" s="470" t="s">
        <v>22115</v>
      </c>
      <c r="H4055" s="471" t="s">
        <v>1533</v>
      </c>
      <c r="I4055" s="509">
        <f>0.36*2/N4049</f>
        <v>9.9077999999999996e-003</v>
      </c>
      <c r="J4055" s="473">
        <f t="shared" si="1917"/>
        <v>73.879999999999995</v>
      </c>
      <c r="K4055" s="474">
        <f t="shared" si="1921"/>
        <v>0.73198826399999994</v>
      </c>
      <c r="L4055" s="473"/>
      <c r="M4055" s="474"/>
      <c r="O4055" s="434">
        <f t="shared" si="1918"/>
        <v>73.879999999999995</v>
      </c>
      <c r="P4055" s="435">
        <f t="shared" si="1919"/>
        <v>72.280000000000001</v>
      </c>
      <c r="AE4055" s="217"/>
      <c r="AF4055" s="217"/>
    </row>
    <row r="4056" ht="60" hidden="1">
      <c r="A4056" s="217"/>
      <c r="B4056" s="217">
        <v>1477</v>
      </c>
      <c r="C4056" s="217"/>
      <c r="D4056" s="217" t="s">
        <v>17167</v>
      </c>
      <c r="E4056" s="471" t="s">
        <v>20672</v>
      </c>
      <c r="F4056" s="489">
        <v>89250</v>
      </c>
      <c r="G4056" s="470" t="s">
        <v>1867</v>
      </c>
      <c r="H4056" s="471" t="s">
        <v>1535</v>
      </c>
      <c r="I4056" s="509">
        <f>1/N4049</f>
        <v>1.37608e-002</v>
      </c>
      <c r="J4056" s="473">
        <f t="shared" si="1917"/>
        <v>1229.3800000000001</v>
      </c>
      <c r="K4056" s="474">
        <f t="shared" si="1921"/>
        <v>16.917252304000002</v>
      </c>
      <c r="L4056" s="473"/>
      <c r="M4056" s="474"/>
      <c r="O4056" s="434">
        <f t="shared" si="1918"/>
        <v>1229.3800000000001</v>
      </c>
      <c r="P4056" s="435">
        <f t="shared" si="1919"/>
        <v>1227.49</v>
      </c>
      <c r="AE4056" s="217"/>
      <c r="AF4056" s="217"/>
    </row>
    <row r="4057" ht="60" hidden="1">
      <c r="A4057" s="217"/>
      <c r="B4057" s="217">
        <v>1477</v>
      </c>
      <c r="C4057" s="217"/>
      <c r="D4057" s="217" t="s">
        <v>17167</v>
      </c>
      <c r="E4057" s="471" t="s">
        <v>20673</v>
      </c>
      <c r="F4057" s="489">
        <v>89251</v>
      </c>
      <c r="G4057" s="470" t="s">
        <v>1866</v>
      </c>
      <c r="H4057" s="471" t="s">
        <v>1533</v>
      </c>
      <c r="I4057" s="509">
        <v>0</v>
      </c>
      <c r="J4057" s="473">
        <f t="shared" si="1917"/>
        <v>356.70999999999998</v>
      </c>
      <c r="K4057" s="474">
        <f t="shared" si="1921"/>
        <v>0</v>
      </c>
      <c r="L4057" s="473"/>
      <c r="M4057" s="474"/>
      <c r="O4057" s="434">
        <f t="shared" si="1918"/>
        <v>356.70999999999998</v>
      </c>
      <c r="P4057" s="435">
        <f t="shared" si="1919"/>
        <v>354.81999999999999</v>
      </c>
      <c r="AE4057" s="217"/>
      <c r="AF4057" s="217"/>
    </row>
    <row r="4058" ht="90" hidden="1">
      <c r="A4058" s="217"/>
      <c r="B4058" s="217">
        <v>1477</v>
      </c>
      <c r="C4058" s="217"/>
      <c r="D4058" s="217" t="s">
        <v>17167</v>
      </c>
      <c r="E4058" s="471" t="s">
        <v>20675</v>
      </c>
      <c r="F4058" s="489">
        <v>6879</v>
      </c>
      <c r="G4058" s="470" t="s">
        <v>1877</v>
      </c>
      <c r="H4058" s="471" t="s">
        <v>1535</v>
      </c>
      <c r="I4058" s="509">
        <f>0.52/N4049</f>
        <v>7.1555999999999998e-003</v>
      </c>
      <c r="J4058" s="473">
        <f t="shared" si="1917"/>
        <v>212.56</v>
      </c>
      <c r="K4058" s="474">
        <f t="shared" si="1921"/>
        <v>1.520994336</v>
      </c>
      <c r="L4058" s="473"/>
      <c r="M4058" s="474"/>
      <c r="O4058" s="434">
        <f t="shared" si="1918"/>
        <v>212.56</v>
      </c>
      <c r="P4058" s="435">
        <f t="shared" si="1919"/>
        <v>210.86000000000001</v>
      </c>
      <c r="AE4058" s="217"/>
      <c r="AF4058" s="217"/>
    </row>
    <row r="4059" ht="90" hidden="1">
      <c r="A4059" s="217"/>
      <c r="B4059" s="217">
        <v>1477</v>
      </c>
      <c r="C4059" s="217"/>
      <c r="D4059" s="217" t="s">
        <v>17167</v>
      </c>
      <c r="E4059" s="471" t="s">
        <v>20677</v>
      </c>
      <c r="F4059" s="489">
        <v>6880</v>
      </c>
      <c r="G4059" s="470" t="s">
        <v>1876</v>
      </c>
      <c r="H4059" s="471" t="s">
        <v>1533</v>
      </c>
      <c r="I4059" s="509">
        <f>0.48/N4049</f>
        <v>6.6052000000000003e-003</v>
      </c>
      <c r="J4059" s="473">
        <f t="shared" si="1917"/>
        <v>84.219999999999999</v>
      </c>
      <c r="K4059" s="474">
        <f t="shared" si="1921"/>
        <v>0.55628994399999998</v>
      </c>
      <c r="L4059" s="473"/>
      <c r="M4059" s="474"/>
      <c r="O4059" s="434">
        <f t="shared" si="1918"/>
        <v>84.219999999999999</v>
      </c>
      <c r="P4059" s="435">
        <f t="shared" si="1919"/>
        <v>82.519999999999996</v>
      </c>
      <c r="AE4059" s="217"/>
      <c r="AF4059" s="217"/>
    </row>
    <row r="4060" ht="105" hidden="1">
      <c r="A4060" s="217"/>
      <c r="B4060" s="217">
        <v>1477</v>
      </c>
      <c r="C4060" s="217"/>
      <c r="D4060" s="217" t="s">
        <v>17167</v>
      </c>
      <c r="E4060" s="471" t="s">
        <v>20679</v>
      </c>
      <c r="F4060" s="489">
        <v>7049</v>
      </c>
      <c r="G4060" s="488" t="s">
        <v>21764</v>
      </c>
      <c r="H4060" s="471" t="s">
        <v>1535</v>
      </c>
      <c r="I4060" s="509">
        <f>0.54/N4049</f>
        <v>7.4308999999999998e-003</v>
      </c>
      <c r="J4060" s="473">
        <f t="shared" si="1917"/>
        <v>228.24000000000001</v>
      </c>
      <c r="K4060" s="474">
        <f t="shared" si="1921"/>
        <v>1.696028616</v>
      </c>
      <c r="L4060" s="473"/>
      <c r="M4060" s="474"/>
      <c r="O4060" s="434">
        <f t="shared" si="1918"/>
        <v>228.24000000000001</v>
      </c>
      <c r="P4060" s="435">
        <f t="shared" si="1919"/>
        <v>226.53999999999999</v>
      </c>
      <c r="AE4060" s="217"/>
      <c r="AF4060" s="217"/>
    </row>
    <row r="4061" ht="105" hidden="1">
      <c r="A4061" s="217"/>
      <c r="B4061" s="217">
        <v>1477</v>
      </c>
      <c r="C4061" s="217"/>
      <c r="D4061" s="217" t="s">
        <v>17167</v>
      </c>
      <c r="E4061" s="471" t="s">
        <v>20681</v>
      </c>
      <c r="F4061" s="489">
        <v>7050</v>
      </c>
      <c r="G4061" s="488" t="s">
        <v>21765</v>
      </c>
      <c r="H4061" s="471" t="s">
        <v>1533</v>
      </c>
      <c r="I4061" s="509">
        <f>0.46/N4049</f>
        <v>6.3299999999999997e-003</v>
      </c>
      <c r="J4061" s="473">
        <f t="shared" si="1917"/>
        <v>77.959999999999994</v>
      </c>
      <c r="K4061" s="474">
        <f t="shared" si="1921"/>
        <v>0.49348679999999995</v>
      </c>
      <c r="L4061" s="473"/>
      <c r="M4061" s="474"/>
      <c r="O4061" s="434">
        <f t="shared" si="1918"/>
        <v>77.959999999999994</v>
      </c>
      <c r="P4061" s="435">
        <f t="shared" si="1919"/>
        <v>76.260000000000005</v>
      </c>
      <c r="AE4061" s="217"/>
      <c r="AF4061" s="217"/>
    </row>
    <row r="4062" ht="47.25" hidden="1">
      <c r="A4062" s="217"/>
      <c r="B4062" s="460">
        <v>1478</v>
      </c>
      <c r="C4062" s="460"/>
      <c r="D4062" s="460"/>
      <c r="E4062" s="461">
        <v>1</v>
      </c>
      <c r="F4062" s="462" t="s">
        <v>22476</v>
      </c>
      <c r="G4062" s="477" t="s">
        <v>22477</v>
      </c>
      <c r="H4062" s="464" t="s">
        <v>38</v>
      </c>
      <c r="I4062" s="479"/>
      <c r="J4062" s="480"/>
      <c r="K4062" s="466">
        <f>SUM(K4063:K4066)</f>
        <v>123.04957019999999</v>
      </c>
      <c r="L4062" s="473"/>
      <c r="M4062" s="474"/>
      <c r="O4062" s="434" t="str">
        <f t="shared" si="1918"/>
        <v xml:space="preserve">SEM VALOR</v>
      </c>
      <c r="P4062" s="435" t="str">
        <f t="shared" si="1919"/>
        <v xml:space="preserve">SEM VALOR</v>
      </c>
      <c r="AE4062" s="217"/>
      <c r="AF4062" s="217"/>
    </row>
    <row r="4063" ht="75" hidden="1">
      <c r="A4063" s="217"/>
      <c r="B4063" s="217">
        <v>1478</v>
      </c>
      <c r="C4063" s="217"/>
      <c r="D4063" s="217" t="s">
        <v>17167</v>
      </c>
      <c r="E4063" s="471"/>
      <c r="F4063" s="469">
        <v>87313</v>
      </c>
      <c r="G4063" s="488" t="s">
        <v>198</v>
      </c>
      <c r="H4063" s="499" t="s">
        <v>15528</v>
      </c>
      <c r="I4063" s="483">
        <v>2.0000000000000001e-004</v>
      </c>
      <c r="J4063" s="473">
        <f t="shared" ref="J4062:J4125" si="1922">O4063*$J$3</f>
        <v>549.88</v>
      </c>
      <c r="K4063" s="474">
        <f t="shared" ref="K4063:K4066" si="1923">I4063*J4063</f>
        <v>0.109976</v>
      </c>
      <c r="L4063" s="473"/>
      <c r="M4063" s="474"/>
      <c r="O4063" s="434">
        <f t="shared" si="1918"/>
        <v>549.88</v>
      </c>
      <c r="P4063" s="435">
        <f t="shared" si="1919"/>
        <v>542.65999999999997</v>
      </c>
      <c r="AE4063" s="217"/>
      <c r="AF4063" s="217"/>
    </row>
    <row r="4064" ht="60" hidden="1">
      <c r="A4064" s="217"/>
      <c r="B4064" s="217">
        <v>1478</v>
      </c>
      <c r="C4064" s="217"/>
      <c r="D4064" s="217" t="s">
        <v>17167</v>
      </c>
      <c r="E4064" s="471" t="s">
        <v>20402</v>
      </c>
      <c r="F4064" s="469">
        <v>94964</v>
      </c>
      <c r="G4064" s="488" t="s">
        <v>8711</v>
      </c>
      <c r="H4064" s="499" t="s">
        <v>15528</v>
      </c>
      <c r="I4064" s="483">
        <v>0.18729999999999999</v>
      </c>
      <c r="J4064" s="473">
        <f t="shared" si="1922"/>
        <v>488.52999999999997</v>
      </c>
      <c r="K4064" s="474">
        <f t="shared" si="1923"/>
        <v>91.501668999999993</v>
      </c>
      <c r="L4064" s="473"/>
      <c r="M4064" s="474"/>
      <c r="O4064" s="434">
        <f t="shared" si="1918"/>
        <v>488.52999999999997</v>
      </c>
      <c r="P4064" s="435">
        <f t="shared" si="1919"/>
        <v>482.79000000000002</v>
      </c>
      <c r="AE4064" s="217"/>
      <c r="AF4064" s="217"/>
    </row>
    <row r="4065" ht="45" hidden="1">
      <c r="A4065" s="217"/>
      <c r="B4065" s="217">
        <v>1478</v>
      </c>
      <c r="C4065" s="217"/>
      <c r="D4065" s="217" t="s">
        <v>20398</v>
      </c>
      <c r="E4065" s="471"/>
      <c r="F4065" s="469">
        <v>1000</v>
      </c>
      <c r="G4065" s="488" t="s">
        <v>20651</v>
      </c>
      <c r="H4065" s="499" t="s">
        <v>15528</v>
      </c>
      <c r="I4065" s="483">
        <f>I4064</f>
        <v>0.18729999999999999</v>
      </c>
      <c r="J4065" s="473">
        <f t="shared" si="1922"/>
        <v>149.904</v>
      </c>
      <c r="K4065" s="474">
        <f t="shared" si="1923"/>
        <v>28.077019199999999</v>
      </c>
      <c r="L4065" s="473"/>
      <c r="M4065" s="474"/>
      <c r="O4065" s="434">
        <f t="shared" si="1918"/>
        <v>149.904</v>
      </c>
      <c r="P4065" s="435">
        <f t="shared" si="1919"/>
        <v>141.76949999999999</v>
      </c>
      <c r="AE4065" s="217"/>
      <c r="AF4065" s="217"/>
    </row>
    <row r="4066" ht="30" hidden="1">
      <c r="A4066" s="217"/>
      <c r="B4066" s="217">
        <v>1478</v>
      </c>
      <c r="C4066" s="217"/>
      <c r="D4066" s="217" t="s">
        <v>20644</v>
      </c>
      <c r="E4066" s="471" t="s">
        <v>20663</v>
      </c>
      <c r="F4066" s="486">
        <v>3108018</v>
      </c>
      <c r="G4066" s="488" t="s">
        <v>21918</v>
      </c>
      <c r="H4066" s="482" t="s">
        <v>38</v>
      </c>
      <c r="I4066" s="483">
        <v>1.0278</v>
      </c>
      <c r="J4066" s="473">
        <f t="shared" si="1922"/>
        <v>3.27</v>
      </c>
      <c r="K4066" s="474">
        <f t="shared" si="1923"/>
        <v>3.3609060000000004</v>
      </c>
      <c r="L4066" s="473"/>
      <c r="M4066" s="474"/>
      <c r="O4066" s="434">
        <f t="shared" si="1918"/>
        <v>3.27</v>
      </c>
      <c r="P4066" s="435">
        <f t="shared" si="1919"/>
        <v>3.27</v>
      </c>
      <c r="AE4066" s="217"/>
      <c r="AF4066" s="217"/>
    </row>
    <row r="4067" ht="45.75" hidden="1">
      <c r="A4067" s="217"/>
      <c r="B4067" s="217">
        <v>1478</v>
      </c>
      <c r="C4067" s="217"/>
      <c r="D4067" s="217"/>
      <c r="E4067" s="471"/>
      <c r="F4067" s="486"/>
      <c r="G4067" s="488" t="s">
        <v>22478</v>
      </c>
      <c r="H4067" s="482"/>
      <c r="I4067" s="483"/>
      <c r="J4067" s="577"/>
      <c r="K4067" s="474"/>
      <c r="L4067" s="473"/>
      <c r="M4067" s="474"/>
      <c r="O4067" s="434" t="str">
        <f t="shared" si="1918"/>
        <v xml:space="preserve">SEM VALOR</v>
      </c>
      <c r="P4067" s="435" t="str">
        <f t="shared" si="1919"/>
        <v xml:space="preserve">SEM VALOR</v>
      </c>
      <c r="AE4067" s="217"/>
      <c r="AF4067" s="217"/>
    </row>
    <row r="4068" hidden="1">
      <c r="A4068" s="217"/>
      <c r="B4068" s="217">
        <v>1478</v>
      </c>
      <c r="C4068" s="217"/>
      <c r="D4068" s="217"/>
      <c r="E4068" s="471"/>
      <c r="F4068" s="486"/>
      <c r="G4068" s="470" t="s">
        <v>22479</v>
      </c>
      <c r="H4068" s="482"/>
      <c r="I4068" s="483"/>
      <c r="J4068" s="577"/>
      <c r="K4068" s="474"/>
      <c r="L4068" s="473"/>
      <c r="M4068" s="474"/>
      <c r="O4068" s="434" t="str">
        <f t="shared" si="1918"/>
        <v xml:space="preserve">SEM VALOR</v>
      </c>
      <c r="P4068" s="435" t="str">
        <f t="shared" si="1919"/>
        <v xml:space="preserve">SEM VALOR</v>
      </c>
      <c r="AE4068" s="217"/>
      <c r="AF4068" s="217"/>
    </row>
    <row r="4069" ht="63" hidden="1">
      <c r="A4069" s="217"/>
      <c r="B4069" s="460">
        <v>1479</v>
      </c>
      <c r="C4069" s="460"/>
      <c r="D4069" s="460"/>
      <c r="E4069" s="461">
        <v>1</v>
      </c>
      <c r="F4069" s="462" t="s">
        <v>22480</v>
      </c>
      <c r="G4069" s="477" t="s">
        <v>22481</v>
      </c>
      <c r="H4069" s="478" t="s">
        <v>20196</v>
      </c>
      <c r="I4069" s="479"/>
      <c r="J4069" s="480"/>
      <c r="K4069" s="466">
        <f>SUM(K4070:K4075)</f>
        <v>3051.131488</v>
      </c>
      <c r="L4069" s="473"/>
      <c r="M4069" s="474"/>
      <c r="O4069" s="434" t="str">
        <f t="shared" si="1918"/>
        <v xml:space="preserve">SEM VALOR</v>
      </c>
      <c r="P4069" s="435" t="str">
        <f t="shared" si="1919"/>
        <v xml:space="preserve">SEM VALOR</v>
      </c>
      <c r="AE4069" s="217"/>
      <c r="AF4069" s="217"/>
    </row>
    <row r="4070" ht="75" hidden="1">
      <c r="A4070" s="217"/>
      <c r="B4070" s="217">
        <v>1479</v>
      </c>
      <c r="C4070" s="217"/>
      <c r="D4070" s="217" t="s">
        <v>17167</v>
      </c>
      <c r="E4070" s="471" t="s">
        <v>20399</v>
      </c>
      <c r="F4070" s="482">
        <v>94962</v>
      </c>
      <c r="G4070" s="572" t="s">
        <v>8726</v>
      </c>
      <c r="H4070" s="499" t="s">
        <v>15528</v>
      </c>
      <c r="I4070" s="558">
        <v>0.21429999999999999</v>
      </c>
      <c r="J4070" s="473">
        <f t="shared" si="1922"/>
        <v>393.05000000000001</v>
      </c>
      <c r="K4070" s="474">
        <f t="shared" ref="K4070:K4075" si="1924">I4070*J4070</f>
        <v>84.230615</v>
      </c>
      <c r="L4070" s="473"/>
      <c r="M4070" s="474"/>
      <c r="O4070" s="434">
        <f t="shared" si="1918"/>
        <v>393.05000000000001</v>
      </c>
      <c r="P4070" s="435">
        <f t="shared" si="1919"/>
        <v>387.73000000000002</v>
      </c>
      <c r="AE4070" s="217"/>
      <c r="AF4070" s="217"/>
    </row>
    <row r="4071" ht="60" hidden="1">
      <c r="A4071" s="217"/>
      <c r="B4071" s="217">
        <v>1479</v>
      </c>
      <c r="C4071" s="217"/>
      <c r="D4071" s="217" t="s">
        <v>17167</v>
      </c>
      <c r="E4071" s="471" t="s">
        <v>20402</v>
      </c>
      <c r="F4071" s="482">
        <v>94964</v>
      </c>
      <c r="G4071" s="572" t="s">
        <v>8711</v>
      </c>
      <c r="H4071" s="499" t="s">
        <v>15528</v>
      </c>
      <c r="I4071" s="558">
        <v>1.6919</v>
      </c>
      <c r="J4071" s="473">
        <f t="shared" si="1922"/>
        <v>488.52999999999997</v>
      </c>
      <c r="K4071" s="474">
        <f t="shared" si="1924"/>
        <v>826.54390699999999</v>
      </c>
      <c r="L4071" s="473"/>
      <c r="M4071" s="474"/>
      <c r="O4071" s="434">
        <f t="shared" si="1918"/>
        <v>488.52999999999997</v>
      </c>
      <c r="P4071" s="435">
        <f t="shared" si="1919"/>
        <v>482.79000000000002</v>
      </c>
      <c r="AE4071" s="217"/>
      <c r="AF4071" s="217"/>
    </row>
    <row r="4072" ht="60" hidden="1">
      <c r="A4072" s="217"/>
      <c r="B4072" s="217">
        <v>1479</v>
      </c>
      <c r="C4072" s="217"/>
      <c r="D4072" s="217" t="s">
        <v>17167</v>
      </c>
      <c r="E4072" s="471" t="s">
        <v>20405</v>
      </c>
      <c r="F4072" s="482">
        <v>96536</v>
      </c>
      <c r="G4072" s="572" t="s">
        <v>21415</v>
      </c>
      <c r="H4072" s="482" t="s">
        <v>15515</v>
      </c>
      <c r="I4072" s="558">
        <v>8.9187999999999992</v>
      </c>
      <c r="J4072" s="473">
        <f t="shared" si="1922"/>
        <v>63.439999999999998</v>
      </c>
      <c r="K4072" s="474">
        <f t="shared" si="1924"/>
        <v>565.80867199999989</v>
      </c>
      <c r="L4072" s="473"/>
      <c r="M4072" s="474"/>
      <c r="O4072" s="434">
        <f t="shared" si="1918"/>
        <v>63.439999999999998</v>
      </c>
      <c r="P4072" s="435">
        <f t="shared" si="1919"/>
        <v>60.950000000000003</v>
      </c>
      <c r="AE4072" s="217"/>
      <c r="AF4072" s="217"/>
    </row>
    <row r="4073" ht="45" hidden="1">
      <c r="A4073" s="217"/>
      <c r="B4073" s="217">
        <v>1479</v>
      </c>
      <c r="C4073" s="217"/>
      <c r="D4073" s="217" t="s">
        <v>17167</v>
      </c>
      <c r="E4073" s="471" t="s">
        <v>20409</v>
      </c>
      <c r="F4073" s="482">
        <v>96543</v>
      </c>
      <c r="G4073" s="572" t="s">
        <v>4200</v>
      </c>
      <c r="H4073" s="482" t="s">
        <v>302</v>
      </c>
      <c r="I4073" s="558">
        <v>4.2565999999999997</v>
      </c>
      <c r="J4073" s="473">
        <f t="shared" si="1922"/>
        <v>19.829999999999998</v>
      </c>
      <c r="K4073" s="474">
        <f t="shared" si="1924"/>
        <v>84.408377999999985</v>
      </c>
      <c r="L4073" s="473"/>
      <c r="M4073" s="474"/>
      <c r="O4073" s="434">
        <f t="shared" si="1918"/>
        <v>19.829999999999998</v>
      </c>
      <c r="P4073" s="435">
        <f t="shared" si="1919"/>
        <v>19.210000000000001</v>
      </c>
      <c r="AE4073" s="217"/>
      <c r="AF4073" s="217"/>
    </row>
    <row r="4074" ht="45" hidden="1">
      <c r="A4074" s="217"/>
      <c r="B4074" s="217">
        <v>1479</v>
      </c>
      <c r="C4074" s="217"/>
      <c r="D4074" s="217" t="s">
        <v>17167</v>
      </c>
      <c r="E4074" s="471" t="s">
        <v>20663</v>
      </c>
      <c r="F4074" s="482">
        <v>96544</v>
      </c>
      <c r="G4074" s="572" t="s">
        <v>4198</v>
      </c>
      <c r="H4074" s="482" t="s">
        <v>302</v>
      </c>
      <c r="I4074" s="558">
        <v>48.446399999999997</v>
      </c>
      <c r="J4074" s="473">
        <f t="shared" si="1922"/>
        <v>17.699999999999999</v>
      </c>
      <c r="K4074" s="474">
        <f t="shared" si="1924"/>
        <v>857.50127999999995</v>
      </c>
      <c r="L4074" s="473"/>
      <c r="M4074" s="474"/>
      <c r="O4074" s="434">
        <f t="shared" si="1918"/>
        <v>17.699999999999999</v>
      </c>
      <c r="P4074" s="435">
        <f t="shared" si="1919"/>
        <v>17.23</v>
      </c>
      <c r="AE4074" s="217"/>
      <c r="AF4074" s="217"/>
    </row>
    <row r="4075" ht="45" hidden="1">
      <c r="A4075" s="217"/>
      <c r="B4075" s="217">
        <v>1479</v>
      </c>
      <c r="C4075" s="217"/>
      <c r="D4075" s="217" t="s">
        <v>17167</v>
      </c>
      <c r="E4075" s="471" t="s">
        <v>20665</v>
      </c>
      <c r="F4075" s="482">
        <v>96545</v>
      </c>
      <c r="G4075" s="572" t="s">
        <v>4199</v>
      </c>
      <c r="H4075" s="482" t="s">
        <v>302</v>
      </c>
      <c r="I4075" s="558">
        <v>39.989800000000002</v>
      </c>
      <c r="J4075" s="473">
        <f t="shared" si="1922"/>
        <v>15.82</v>
      </c>
      <c r="K4075" s="474">
        <f t="shared" si="1924"/>
        <v>632.63863600000002</v>
      </c>
      <c r="L4075" s="473"/>
      <c r="M4075" s="474"/>
      <c r="O4075" s="434">
        <f t="shared" si="1918"/>
        <v>15.82</v>
      </c>
      <c r="P4075" s="435">
        <f t="shared" si="1919"/>
        <v>15.48</v>
      </c>
      <c r="AE4075" s="217"/>
      <c r="AF4075" s="217"/>
    </row>
    <row r="4076" ht="63" hidden="1">
      <c r="A4076" s="217"/>
      <c r="B4076" s="460">
        <v>1480</v>
      </c>
      <c r="C4076" s="460"/>
      <c r="D4076" s="460"/>
      <c r="E4076" s="461">
        <v>1</v>
      </c>
      <c r="F4076" s="462" t="s">
        <v>22482</v>
      </c>
      <c r="G4076" s="477" t="s">
        <v>22483</v>
      </c>
      <c r="H4076" s="478" t="s">
        <v>31</v>
      </c>
      <c r="I4076" s="479"/>
      <c r="J4076" s="480"/>
      <c r="K4076" s="466">
        <f>SUM(K4077:K4083)</f>
        <v>6876.915994</v>
      </c>
      <c r="L4076" s="473"/>
      <c r="M4076" s="474"/>
      <c r="O4076" s="434" t="str">
        <f t="shared" ref="O4076:O4139" si="1925">IFERROR(IF(D4076="SINAPI",VLOOKUP(F4076,SINCOMOD,4,FALSE),IF(D4076="INSINAPI",VLOOKUP(F4076,INSINOD,5,FALSE),IF(D4076="SICRO",VLOOKUP(F4076,SICRO,5,FALSE),IF(D4076="COTACAO",VLOOKUP(F4076,COTACAO,6,FALSE),IF(D4076="PRÓPRIO",VLOOKUP(F4076,COMPOD,11,FALSE),IF(D4076="AGESUL",VLOOKUP(F4076,AGESULOD,6,FALSE),IF(D4076="INSAGESUL",VLOOKUP(F4076,INSAGESUL,7,FALSE),"SEM VALOR"))))))),"SEM VALOR")</f>
        <v xml:space="preserve">SEM VALOR</v>
      </c>
      <c r="P4076" s="435" t="str">
        <f t="shared" ref="P4076:P4139" si="1926">IFERROR(IF(D4076="SINAPI",VLOOKUP(F4076,SINCOMOD,6,FALSE),IF(D4076="INSINAPI",VLOOKUP(F4076,INSINOD,6,FALSE),IF(D4076="SICRO",VLOOKUP(F4076,SICRO,5,FALSE),IF(D4076="COTACAO",VLOOKUP(F4076,COTACAO,6,FALSE),IF(D4076="PRÓPRIO",VLOOKUP(F4076,COMPOD,13,FALSE),IF(D4076="AGESUL",VLOOKUP(F4076,AGESULOD,11,FALSE),IF(D4076="INSAGESUL",VLOOKUP(F4076,INSAGESUL,8,FALSE),"SEM VALOR"))))))),"SEM VALOR")</f>
        <v xml:space="preserve">SEM VALOR</v>
      </c>
      <c r="AE4076" s="217"/>
      <c r="AF4076" s="217"/>
    </row>
    <row r="4077" ht="45" hidden="1">
      <c r="A4077" s="217"/>
      <c r="B4077" s="217">
        <v>1480</v>
      </c>
      <c r="C4077" s="217"/>
      <c r="D4077" s="217" t="s">
        <v>17167</v>
      </c>
      <c r="E4077" s="471" t="s">
        <v>20402</v>
      </c>
      <c r="F4077" s="489">
        <v>96545</v>
      </c>
      <c r="G4077" s="488" t="s">
        <v>20678</v>
      </c>
      <c r="H4077" s="482" t="s">
        <v>302</v>
      </c>
      <c r="I4077" s="483">
        <v>129.82429999999999</v>
      </c>
      <c r="J4077" s="473">
        <f t="shared" si="1922"/>
        <v>15.82</v>
      </c>
      <c r="K4077" s="474">
        <f t="shared" ref="K4077:K4083" si="1927">I4077*J4077</f>
        <v>2053.8204259999998</v>
      </c>
      <c r="L4077" s="473"/>
      <c r="M4077" s="474"/>
      <c r="O4077" s="434">
        <f t="shared" si="1925"/>
        <v>15.82</v>
      </c>
      <c r="P4077" s="435">
        <f t="shared" si="1926"/>
        <v>15.48</v>
      </c>
      <c r="AE4077" s="217"/>
      <c r="AF4077" s="217"/>
    </row>
    <row r="4078" ht="60" hidden="1">
      <c r="A4078" s="217"/>
      <c r="B4078" s="217">
        <v>1480</v>
      </c>
      <c r="C4078" s="217"/>
      <c r="D4078" s="217" t="s">
        <v>17167</v>
      </c>
      <c r="E4078" s="471" t="s">
        <v>20405</v>
      </c>
      <c r="F4078" s="489">
        <v>94964</v>
      </c>
      <c r="G4078" s="488" t="s">
        <v>8711</v>
      </c>
      <c r="H4078" s="482" t="s">
        <v>15528</v>
      </c>
      <c r="I4078" s="483">
        <v>2.2759999999999998</v>
      </c>
      <c r="J4078" s="473">
        <f t="shared" si="1922"/>
        <v>488.52999999999997</v>
      </c>
      <c r="K4078" s="474">
        <f t="shared" si="1927"/>
        <v>1111.8942799999998</v>
      </c>
      <c r="L4078" s="473"/>
      <c r="M4078" s="474"/>
      <c r="O4078" s="434">
        <f t="shared" si="1925"/>
        <v>488.52999999999997</v>
      </c>
      <c r="P4078" s="435">
        <f t="shared" si="1926"/>
        <v>482.79000000000002</v>
      </c>
      <c r="AE4078" s="217"/>
      <c r="AF4078" s="217"/>
    </row>
    <row r="4079" ht="75" hidden="1">
      <c r="A4079" s="217"/>
      <c r="B4079" s="217">
        <v>1480</v>
      </c>
      <c r="C4079" s="217"/>
      <c r="D4079" s="217" t="s">
        <v>17167</v>
      </c>
      <c r="E4079" s="471" t="s">
        <v>20409</v>
      </c>
      <c r="F4079" s="489">
        <v>94965</v>
      </c>
      <c r="G4079" s="488" t="s">
        <v>8715</v>
      </c>
      <c r="H4079" s="482" t="s">
        <v>15528</v>
      </c>
      <c r="I4079" s="483">
        <v>9.2399999999999996e-002</v>
      </c>
      <c r="J4079" s="473">
        <f t="shared" si="1922"/>
        <v>510.48000000000002</v>
      </c>
      <c r="K4079" s="474">
        <f t="shared" si="1927"/>
        <v>47.168351999999999</v>
      </c>
      <c r="L4079" s="473"/>
      <c r="M4079" s="474"/>
      <c r="O4079" s="434">
        <f t="shared" si="1925"/>
        <v>510.48000000000002</v>
      </c>
      <c r="P4079" s="435">
        <f t="shared" si="1926"/>
        <v>505.23000000000002</v>
      </c>
      <c r="AE4079" s="217"/>
      <c r="AF4079" s="217"/>
    </row>
    <row r="4080" ht="75" hidden="1">
      <c r="A4080" s="217"/>
      <c r="B4080" s="217">
        <v>1480</v>
      </c>
      <c r="C4080" s="217"/>
      <c r="D4080" s="217" t="s">
        <v>17167</v>
      </c>
      <c r="E4080" s="471" t="s">
        <v>20409</v>
      </c>
      <c r="F4080" s="482">
        <v>94962</v>
      </c>
      <c r="G4080" s="572" t="s">
        <v>8726</v>
      </c>
      <c r="H4080" s="499" t="s">
        <v>15528</v>
      </c>
      <c r="I4080" s="483">
        <v>0.26879999999999998</v>
      </c>
      <c r="J4080" s="473">
        <f t="shared" si="1922"/>
        <v>393.05000000000001</v>
      </c>
      <c r="K4080" s="474">
        <f t="shared" si="1927"/>
        <v>105.65183999999999</v>
      </c>
      <c r="L4080" s="473"/>
      <c r="M4080" s="474"/>
      <c r="O4080" s="434">
        <f t="shared" si="1925"/>
        <v>393.05000000000001</v>
      </c>
      <c r="P4080" s="435">
        <f t="shared" si="1926"/>
        <v>387.73000000000002</v>
      </c>
      <c r="AE4080" s="217"/>
      <c r="AF4080" s="217"/>
    </row>
    <row r="4081" ht="60" hidden="1">
      <c r="A4081" s="217"/>
      <c r="B4081" s="217">
        <v>1480</v>
      </c>
      <c r="C4081" s="217"/>
      <c r="D4081" s="217" t="s">
        <v>17167</v>
      </c>
      <c r="E4081" s="471" t="s">
        <v>20409</v>
      </c>
      <c r="F4081" s="489">
        <v>103670</v>
      </c>
      <c r="G4081" s="488" t="s">
        <v>1387</v>
      </c>
      <c r="H4081" s="482" t="s">
        <v>15528</v>
      </c>
      <c r="I4081" s="483">
        <f>I4078+I4079+I4080</f>
        <v>2.6372</v>
      </c>
      <c r="J4081" s="473">
        <f t="shared" si="1922"/>
        <v>308.60000000000002</v>
      </c>
      <c r="K4081" s="474">
        <f t="shared" si="1927"/>
        <v>813.83992000000001</v>
      </c>
      <c r="L4081" s="473"/>
      <c r="M4081" s="474"/>
      <c r="O4081" s="434">
        <f t="shared" si="1925"/>
        <v>308.60000000000002</v>
      </c>
      <c r="P4081" s="435">
        <f t="shared" si="1926"/>
        <v>291.69999999999999</v>
      </c>
      <c r="AE4081" s="217"/>
      <c r="AF4081" s="217"/>
    </row>
    <row r="4082" ht="45" hidden="1">
      <c r="A4082" s="217"/>
      <c r="B4082" s="217">
        <v>1480</v>
      </c>
      <c r="C4082" s="217"/>
      <c r="D4082" s="217" t="s">
        <v>17167</v>
      </c>
      <c r="E4082" s="471" t="s">
        <v>20663</v>
      </c>
      <c r="F4082" s="489">
        <v>93358</v>
      </c>
      <c r="G4082" s="488" t="s">
        <v>20661</v>
      </c>
      <c r="H4082" s="482" t="s">
        <v>15528</v>
      </c>
      <c r="I4082" s="483">
        <v>14.82</v>
      </c>
      <c r="J4082" s="473">
        <f t="shared" si="1922"/>
        <v>90.030000000000001</v>
      </c>
      <c r="K4082" s="474">
        <f t="shared" si="1927"/>
        <v>1334.2446</v>
      </c>
      <c r="L4082" s="473"/>
      <c r="M4082" s="474"/>
      <c r="O4082" s="434">
        <f t="shared" si="1925"/>
        <v>90.030000000000001</v>
      </c>
      <c r="P4082" s="435">
        <f t="shared" si="1926"/>
        <v>85.239999999999995</v>
      </c>
      <c r="AE4082" s="217"/>
      <c r="AF4082" s="217"/>
    </row>
    <row r="4083" ht="60" hidden="1">
      <c r="A4083" s="217"/>
      <c r="B4083" s="217">
        <v>1480</v>
      </c>
      <c r="C4083" s="217"/>
      <c r="D4083" s="217" t="s">
        <v>17167</v>
      </c>
      <c r="E4083" s="471" t="s">
        <v>20665</v>
      </c>
      <c r="F4083" s="489">
        <v>96536</v>
      </c>
      <c r="G4083" s="488" t="s">
        <v>21415</v>
      </c>
      <c r="H4083" s="482" t="s">
        <v>15515</v>
      </c>
      <c r="I4083" s="483">
        <v>22.230399999999999</v>
      </c>
      <c r="J4083" s="473">
        <f t="shared" si="1922"/>
        <v>63.439999999999998</v>
      </c>
      <c r="K4083" s="474">
        <f t="shared" si="1927"/>
        <v>1410.296576</v>
      </c>
      <c r="L4083" s="473"/>
      <c r="M4083" s="474"/>
      <c r="O4083" s="434">
        <f t="shared" si="1925"/>
        <v>63.439999999999998</v>
      </c>
      <c r="P4083" s="435">
        <f t="shared" si="1926"/>
        <v>60.950000000000003</v>
      </c>
      <c r="AE4083" s="217"/>
      <c r="AF4083" s="217"/>
    </row>
    <row r="4084" ht="34.5" hidden="1" customHeight="1">
      <c r="A4084" s="217"/>
      <c r="B4084" s="460">
        <v>1481</v>
      </c>
      <c r="C4084" s="460"/>
      <c r="D4084" s="460"/>
      <c r="E4084" s="461">
        <v>1</v>
      </c>
      <c r="F4084" s="462" t="s">
        <v>22484</v>
      </c>
      <c r="G4084" s="477" t="s">
        <v>22485</v>
      </c>
      <c r="H4084" s="478" t="s">
        <v>15528</v>
      </c>
      <c r="I4084" s="479"/>
      <c r="J4084" s="480"/>
      <c r="K4084" s="466">
        <f>SUM(K4085)</f>
        <v>22.760000000000002</v>
      </c>
      <c r="L4084" s="473"/>
      <c r="M4084" s="474"/>
      <c r="N4084" s="510" t="s">
        <v>22486</v>
      </c>
      <c r="O4084" s="434" t="str">
        <f t="shared" si="1925"/>
        <v xml:space="preserve">SEM VALOR</v>
      </c>
      <c r="P4084" s="435" t="str">
        <f t="shared" si="1926"/>
        <v xml:space="preserve">SEM VALOR</v>
      </c>
      <c r="AE4084" s="217"/>
      <c r="AF4084" s="217"/>
    </row>
    <row r="4085" ht="43.5" hidden="1" customHeight="1">
      <c r="A4085" s="217"/>
      <c r="B4085" s="217">
        <v>1481</v>
      </c>
      <c r="C4085" s="217"/>
      <c r="D4085" s="217" t="s">
        <v>17167</v>
      </c>
      <c r="E4085" s="471" t="s">
        <v>20399</v>
      </c>
      <c r="F4085" s="489">
        <v>88316</v>
      </c>
      <c r="G4085" s="488" t="s">
        <v>7393</v>
      </c>
      <c r="H4085" s="471" t="s">
        <v>2032</v>
      </c>
      <c r="I4085" s="509">
        <f>5/5</f>
        <v>1</v>
      </c>
      <c r="J4085" s="577">
        <f t="shared" si="1922"/>
        <v>22.760000000000002</v>
      </c>
      <c r="K4085" s="474">
        <f>I4085*J4085</f>
        <v>22.760000000000002</v>
      </c>
      <c r="L4085" s="473"/>
      <c r="M4085" s="474"/>
      <c r="N4085" s="662" t="s">
        <v>22487</v>
      </c>
      <c r="O4085" s="434">
        <f t="shared" si="1925"/>
        <v>22.760000000000002</v>
      </c>
      <c r="P4085" s="435">
        <f t="shared" si="1926"/>
        <v>21.550000000000001</v>
      </c>
      <c r="AE4085" s="217"/>
      <c r="AF4085" s="217"/>
    </row>
    <row r="4086" ht="147.75" hidden="1" customHeight="1">
      <c r="A4086" s="217"/>
      <c r="B4086" s="460">
        <v>1482</v>
      </c>
      <c r="C4086" s="460"/>
      <c r="D4086" s="460"/>
      <c r="E4086" s="461">
        <v>1</v>
      </c>
      <c r="F4086" s="462" t="s">
        <v>22488</v>
      </c>
      <c r="G4086" s="477" t="s">
        <v>22489</v>
      </c>
      <c r="H4086" s="478" t="s">
        <v>20647</v>
      </c>
      <c r="I4086" s="479"/>
      <c r="J4086" s="480"/>
      <c r="K4086" s="466">
        <f>SUM(K4087:K4102)</f>
        <v>34313.531073999999</v>
      </c>
      <c r="L4086" s="473"/>
      <c r="M4086" s="474"/>
      <c r="O4086" s="434" t="str">
        <f t="shared" si="1925"/>
        <v xml:space="preserve">SEM VALOR</v>
      </c>
      <c r="P4086" s="435" t="str">
        <f t="shared" si="1926"/>
        <v xml:space="preserve">SEM VALOR</v>
      </c>
      <c r="AE4086" s="217"/>
      <c r="AF4086" s="217"/>
    </row>
    <row r="4087" ht="123.75" hidden="1" customHeight="1">
      <c r="A4087" s="217"/>
      <c r="B4087" s="217">
        <v>1482</v>
      </c>
      <c r="C4087" s="217"/>
      <c r="D4087" s="217" t="s">
        <v>17167</v>
      </c>
      <c r="E4087" s="471" t="s">
        <v>20399</v>
      </c>
      <c r="F4087" s="489">
        <v>90108</v>
      </c>
      <c r="G4087" s="470" t="s">
        <v>20907</v>
      </c>
      <c r="H4087" s="472" t="s">
        <v>15528</v>
      </c>
      <c r="I4087" s="472">
        <v>123.90000000000001</v>
      </c>
      <c r="J4087" s="473">
        <f t="shared" si="1922"/>
        <v>7.8099999999999996</v>
      </c>
      <c r="K4087" s="474">
        <f t="shared" ref="K4087:K4102" si="1928">I4087*J4087</f>
        <v>967.65899999999999</v>
      </c>
      <c r="L4087" s="473"/>
      <c r="M4087" s="474"/>
      <c r="O4087" s="434">
        <f t="shared" si="1925"/>
        <v>7.8099999999999996</v>
      </c>
      <c r="P4087" s="435">
        <f t="shared" si="1926"/>
        <v>7.6100000000000003</v>
      </c>
      <c r="AE4087" s="217"/>
      <c r="AF4087" s="217"/>
    </row>
    <row r="4088" ht="60" hidden="1">
      <c r="A4088" s="217"/>
      <c r="B4088" s="217">
        <v>1482</v>
      </c>
      <c r="C4088" s="217"/>
      <c r="D4088" s="217" t="s">
        <v>20398</v>
      </c>
      <c r="E4088" s="471" t="s">
        <v>20402</v>
      </c>
      <c r="F4088" s="489">
        <v>1258</v>
      </c>
      <c r="G4088" s="488" t="s">
        <v>20660</v>
      </c>
      <c r="H4088" s="472" t="s">
        <v>15515</v>
      </c>
      <c r="I4088" s="472">
        <v>20</v>
      </c>
      <c r="J4088" s="473">
        <f t="shared" si="1922"/>
        <v>7.5700000000000003</v>
      </c>
      <c r="K4088" s="474">
        <f t="shared" si="1928"/>
        <v>151.40000000000001</v>
      </c>
      <c r="L4088" s="473"/>
      <c r="M4088" s="474"/>
      <c r="O4088" s="434">
        <f t="shared" si="1925"/>
        <v>7.5700000000000003</v>
      </c>
      <c r="P4088" s="435">
        <f t="shared" si="1926"/>
        <v>7.1846199999999998</v>
      </c>
      <c r="R4088" s="633" t="s">
        <v>22342</v>
      </c>
      <c r="S4088" s="633" t="s">
        <v>22343</v>
      </c>
      <c r="T4088" s="633" t="s">
        <v>22344</v>
      </c>
      <c r="AE4088" s="217"/>
      <c r="AF4088" s="217"/>
    </row>
    <row r="4089" ht="43.5" hidden="1" customHeight="1">
      <c r="A4089" s="217"/>
      <c r="B4089" s="217">
        <v>1482</v>
      </c>
      <c r="C4089" s="217"/>
      <c r="D4089" s="217" t="s">
        <v>20398</v>
      </c>
      <c r="E4089" s="471" t="s">
        <v>20405</v>
      </c>
      <c r="F4089" s="482">
        <v>1242</v>
      </c>
      <c r="G4089" s="488" t="s">
        <v>20905</v>
      </c>
      <c r="H4089" s="471" t="s">
        <v>15528</v>
      </c>
      <c r="I4089" s="472">
        <v>2</v>
      </c>
      <c r="J4089" s="473">
        <f t="shared" si="1922"/>
        <v>151.59100000000001</v>
      </c>
      <c r="K4089" s="474">
        <f t="shared" si="1928"/>
        <v>303.18200000000002</v>
      </c>
      <c r="L4089" s="473"/>
      <c r="M4089" s="474"/>
      <c r="O4089" s="434">
        <f t="shared" si="1925"/>
        <v>151.59100000000001</v>
      </c>
      <c r="P4089" s="435">
        <f t="shared" si="1926"/>
        <v>149.17099999999999</v>
      </c>
      <c r="R4089" s="633">
        <v>1.5</v>
      </c>
      <c r="S4089" s="633">
        <v>2.605</v>
      </c>
      <c r="T4089" s="633">
        <v>2</v>
      </c>
      <c r="AE4089" s="217"/>
      <c r="AF4089" s="217"/>
    </row>
    <row r="4090" ht="60" hidden="1">
      <c r="A4090" s="217"/>
      <c r="B4090" s="217">
        <v>1482</v>
      </c>
      <c r="C4090" s="217"/>
      <c r="D4090" s="217" t="s">
        <v>17167</v>
      </c>
      <c r="E4090" s="471" t="s">
        <v>20409</v>
      </c>
      <c r="F4090" s="489">
        <v>96533</v>
      </c>
      <c r="G4090" s="470" t="s">
        <v>20912</v>
      </c>
      <c r="H4090" s="471" t="s">
        <v>15515</v>
      </c>
      <c r="I4090" s="472">
        <v>28.32</v>
      </c>
      <c r="J4090" s="473">
        <f t="shared" si="1922"/>
        <v>85.980000000000004</v>
      </c>
      <c r="K4090" s="474">
        <f t="shared" si="1928"/>
        <v>2434.9536000000003</v>
      </c>
      <c r="L4090" s="473"/>
      <c r="M4090" s="474"/>
      <c r="O4090" s="434">
        <f t="shared" si="1925"/>
        <v>85.980000000000004</v>
      </c>
      <c r="P4090" s="435">
        <f t="shared" si="1926"/>
        <v>83.200000000000003</v>
      </c>
      <c r="AE4090" s="217"/>
      <c r="AF4090" s="217"/>
    </row>
    <row r="4091" ht="60" hidden="1">
      <c r="A4091" s="217"/>
      <c r="B4091" s="217">
        <v>1482</v>
      </c>
      <c r="C4091" s="217"/>
      <c r="D4091" s="217" t="s">
        <v>17167</v>
      </c>
      <c r="E4091" s="471" t="s">
        <v>20663</v>
      </c>
      <c r="F4091" s="609">
        <v>97093</v>
      </c>
      <c r="G4091" s="638" t="s">
        <v>8818</v>
      </c>
      <c r="H4091" s="639" t="s">
        <v>302</v>
      </c>
      <c r="I4091" s="640">
        <v>163.30000000000001</v>
      </c>
      <c r="J4091" s="473">
        <f t="shared" si="1922"/>
        <v>12.140000000000001</v>
      </c>
      <c r="K4091" s="474">
        <f t="shared" si="1928"/>
        <v>1982.4620000000002</v>
      </c>
      <c r="L4091" s="473"/>
      <c r="M4091" s="474"/>
      <c r="O4091" s="434">
        <f t="shared" si="1925"/>
        <v>12.140000000000001</v>
      </c>
      <c r="P4091" s="435">
        <f t="shared" si="1926"/>
        <v>12.109999999999999</v>
      </c>
      <c r="AE4091" s="217"/>
      <c r="AF4091" s="217"/>
    </row>
    <row r="4092" ht="45" hidden="1">
      <c r="A4092" s="217"/>
      <c r="B4092" s="217">
        <v>1482</v>
      </c>
      <c r="C4092" s="217"/>
      <c r="D4092" s="217" t="s">
        <v>17167</v>
      </c>
      <c r="E4092" s="471" t="s">
        <v>20665</v>
      </c>
      <c r="F4092" s="489">
        <v>96543</v>
      </c>
      <c r="G4092" s="470" t="s">
        <v>20676</v>
      </c>
      <c r="H4092" s="471" t="s">
        <v>302</v>
      </c>
      <c r="I4092" s="472">
        <v>35.93</v>
      </c>
      <c r="J4092" s="473">
        <f t="shared" si="1922"/>
        <v>19.829999999999998</v>
      </c>
      <c r="K4092" s="474">
        <f t="shared" si="1928"/>
        <v>712.49189999999999</v>
      </c>
      <c r="L4092" s="473"/>
      <c r="M4092" s="474"/>
      <c r="O4092" s="434">
        <f t="shared" si="1925"/>
        <v>19.829999999999998</v>
      </c>
      <c r="P4092" s="435">
        <f t="shared" si="1926"/>
        <v>19.210000000000001</v>
      </c>
      <c r="AE4092" s="217"/>
      <c r="AF4092" s="217"/>
    </row>
    <row r="4093" ht="45" hidden="1">
      <c r="A4093" s="217"/>
      <c r="B4093" s="217">
        <v>1482</v>
      </c>
      <c r="C4093" s="217"/>
      <c r="D4093" s="217" t="s">
        <v>17167</v>
      </c>
      <c r="E4093" s="471" t="s">
        <v>20667</v>
      </c>
      <c r="F4093" s="489">
        <v>96544</v>
      </c>
      <c r="G4093" s="470" t="s">
        <v>20763</v>
      </c>
      <c r="H4093" s="471" t="s">
        <v>302</v>
      </c>
      <c r="I4093" s="472">
        <v>78.260000000000005</v>
      </c>
      <c r="J4093" s="473">
        <f t="shared" si="1922"/>
        <v>17.699999999999999</v>
      </c>
      <c r="K4093" s="474">
        <f t="shared" si="1928"/>
        <v>1385.202</v>
      </c>
      <c r="L4093" s="473"/>
      <c r="M4093" s="474"/>
      <c r="O4093" s="434">
        <f t="shared" si="1925"/>
        <v>17.699999999999999</v>
      </c>
      <c r="P4093" s="435">
        <f t="shared" si="1926"/>
        <v>17.23</v>
      </c>
      <c r="AE4093" s="217"/>
      <c r="AF4093" s="217"/>
    </row>
    <row r="4094" ht="45" hidden="1">
      <c r="A4094" s="217"/>
      <c r="B4094" s="217">
        <v>1482</v>
      </c>
      <c r="C4094" s="217"/>
      <c r="D4094" s="217" t="s">
        <v>17167</v>
      </c>
      <c r="E4094" s="471" t="s">
        <v>20671</v>
      </c>
      <c r="F4094" s="489">
        <v>96545</v>
      </c>
      <c r="G4094" s="470" t="s">
        <v>22346</v>
      </c>
      <c r="H4094" s="471" t="s">
        <v>302</v>
      </c>
      <c r="I4094" s="472">
        <v>126.17</v>
      </c>
      <c r="J4094" s="473">
        <f t="shared" si="1922"/>
        <v>15.82</v>
      </c>
      <c r="K4094" s="474">
        <f t="shared" si="1928"/>
        <v>1996.0094000000001</v>
      </c>
      <c r="L4094" s="473"/>
      <c r="M4094" s="474"/>
      <c r="O4094" s="434">
        <f t="shared" si="1925"/>
        <v>15.82</v>
      </c>
      <c r="P4094" s="435">
        <f t="shared" si="1926"/>
        <v>15.48</v>
      </c>
      <c r="AE4094" s="217"/>
      <c r="AF4094" s="217"/>
    </row>
    <row r="4095" ht="45" hidden="1">
      <c r="A4095" s="217"/>
      <c r="B4095" s="217">
        <v>1482</v>
      </c>
      <c r="C4095" s="217"/>
      <c r="D4095" s="217" t="s">
        <v>17167</v>
      </c>
      <c r="E4095" s="471" t="s">
        <v>20672</v>
      </c>
      <c r="F4095" s="482">
        <v>96546</v>
      </c>
      <c r="G4095" s="470" t="s">
        <v>22347</v>
      </c>
      <c r="H4095" s="471" t="s">
        <v>302</v>
      </c>
      <c r="I4095" s="472">
        <v>140.68000000000001</v>
      </c>
      <c r="J4095" s="473">
        <f t="shared" si="1922"/>
        <v>13.77</v>
      </c>
      <c r="K4095" s="474">
        <f t="shared" si="1928"/>
        <v>1937.1636000000001</v>
      </c>
      <c r="L4095" s="473"/>
      <c r="M4095" s="474"/>
      <c r="O4095" s="434">
        <f t="shared" si="1925"/>
        <v>13.77</v>
      </c>
      <c r="P4095" s="435">
        <f t="shared" si="1926"/>
        <v>13.51</v>
      </c>
      <c r="AE4095" s="217"/>
      <c r="AF4095" s="217"/>
    </row>
    <row r="4096" ht="60" hidden="1">
      <c r="A4096" s="217"/>
      <c r="B4096" s="217">
        <v>1482</v>
      </c>
      <c r="C4096" s="217"/>
      <c r="D4096" s="217" t="s">
        <v>17167</v>
      </c>
      <c r="E4096" s="471" t="s">
        <v>20673</v>
      </c>
      <c r="F4096" s="489">
        <v>94964</v>
      </c>
      <c r="G4096" s="470" t="s">
        <v>20686</v>
      </c>
      <c r="H4096" s="471" t="s">
        <v>15528</v>
      </c>
      <c r="I4096" s="472">
        <v>14.82</v>
      </c>
      <c r="J4096" s="473">
        <f t="shared" si="1922"/>
        <v>488.52999999999997</v>
      </c>
      <c r="K4096" s="474">
        <f t="shared" si="1928"/>
        <v>7240.0145999999995</v>
      </c>
      <c r="L4096" s="473"/>
      <c r="M4096" s="474"/>
      <c r="O4096" s="434">
        <f t="shared" si="1925"/>
        <v>488.52999999999997</v>
      </c>
      <c r="P4096" s="435">
        <f t="shared" si="1926"/>
        <v>482.79000000000002</v>
      </c>
      <c r="AE4096" s="217"/>
      <c r="AF4096" s="217"/>
    </row>
    <row r="4097" ht="45" hidden="1">
      <c r="A4097" s="217"/>
      <c r="B4097" s="217">
        <v>1482</v>
      </c>
      <c r="C4097" s="217"/>
      <c r="D4097" s="217" t="s">
        <v>20398</v>
      </c>
      <c r="E4097" s="471" t="s">
        <v>20675</v>
      </c>
      <c r="F4097" s="489">
        <v>1000</v>
      </c>
      <c r="G4097" s="488" t="s">
        <v>20651</v>
      </c>
      <c r="H4097" s="472" t="s">
        <v>15528</v>
      </c>
      <c r="I4097" s="472">
        <f>I4096</f>
        <v>14.82</v>
      </c>
      <c r="J4097" s="473">
        <f t="shared" si="1922"/>
        <v>149.904</v>
      </c>
      <c r="K4097" s="474">
        <f t="shared" si="1928"/>
        <v>2221.57728</v>
      </c>
      <c r="L4097" s="473"/>
      <c r="M4097" s="474"/>
      <c r="O4097" s="434">
        <f t="shared" si="1925"/>
        <v>149.904</v>
      </c>
      <c r="P4097" s="435">
        <f t="shared" si="1926"/>
        <v>141.76949999999999</v>
      </c>
      <c r="AE4097" s="217"/>
      <c r="AF4097" s="217"/>
    </row>
    <row r="4098" ht="75" hidden="1">
      <c r="A4098" s="217"/>
      <c r="B4098" s="217">
        <v>1482</v>
      </c>
      <c r="C4098" s="217"/>
      <c r="D4098" s="217" t="s">
        <v>20398</v>
      </c>
      <c r="E4098" s="471" t="s">
        <v>20677</v>
      </c>
      <c r="F4098" s="482">
        <v>1257</v>
      </c>
      <c r="G4098" s="470" t="s">
        <v>20906</v>
      </c>
      <c r="H4098" s="471" t="s">
        <v>15515</v>
      </c>
      <c r="I4098" s="472">
        <v>44.100000000000001</v>
      </c>
      <c r="J4098" s="473">
        <f t="shared" si="1922"/>
        <v>202.65134000000003</v>
      </c>
      <c r="K4098" s="474">
        <f t="shared" si="1928"/>
        <v>8936.9240940000018</v>
      </c>
      <c r="L4098" s="473"/>
      <c r="M4098" s="474"/>
      <c r="O4098" s="434">
        <f t="shared" si="1925"/>
        <v>202.65134000000003</v>
      </c>
      <c r="P4098" s="435">
        <f t="shared" si="1926"/>
        <v>197.86072000000001</v>
      </c>
      <c r="AE4098" s="217"/>
      <c r="AF4098" s="217"/>
    </row>
    <row r="4099" ht="75" hidden="1">
      <c r="A4099" s="217"/>
      <c r="B4099" s="217">
        <v>1482</v>
      </c>
      <c r="C4099" s="217"/>
      <c r="D4099" s="217" t="s">
        <v>17167</v>
      </c>
      <c r="E4099" s="471" t="s">
        <v>20679</v>
      </c>
      <c r="F4099" s="489">
        <v>87878</v>
      </c>
      <c r="G4099" s="470" t="s">
        <v>20910</v>
      </c>
      <c r="H4099" s="471" t="s">
        <v>15515</v>
      </c>
      <c r="I4099" s="472">
        <v>103.84</v>
      </c>
      <c r="J4099" s="473">
        <f t="shared" si="1922"/>
        <v>5.0099999999999998</v>
      </c>
      <c r="K4099" s="474">
        <f t="shared" si="1928"/>
        <v>520.23839999999996</v>
      </c>
      <c r="L4099" s="473"/>
      <c r="M4099" s="474"/>
      <c r="O4099" s="434">
        <f t="shared" si="1925"/>
        <v>5.0099999999999998</v>
      </c>
      <c r="P4099" s="435">
        <f t="shared" si="1926"/>
        <v>4.7999999999999998</v>
      </c>
      <c r="AE4099" s="217"/>
      <c r="AF4099" s="217"/>
    </row>
    <row r="4100" ht="105" hidden="1">
      <c r="A4100" s="217"/>
      <c r="B4100" s="217">
        <v>1482</v>
      </c>
      <c r="C4100" s="217"/>
      <c r="D4100" s="217" t="s">
        <v>17167</v>
      </c>
      <c r="E4100" s="471" t="s">
        <v>20681</v>
      </c>
      <c r="F4100" s="482">
        <v>87529</v>
      </c>
      <c r="G4100" s="470" t="s">
        <v>20931</v>
      </c>
      <c r="H4100" s="471" t="s">
        <v>15515</v>
      </c>
      <c r="I4100" s="472">
        <v>46.899999999999999</v>
      </c>
      <c r="J4100" s="473">
        <f t="shared" si="1922"/>
        <v>37.270000000000003</v>
      </c>
      <c r="K4100" s="474">
        <f t="shared" si="1928"/>
        <v>1747.9630000000002</v>
      </c>
      <c r="L4100" s="473"/>
      <c r="M4100" s="474"/>
      <c r="O4100" s="434">
        <f t="shared" si="1925"/>
        <v>37.270000000000003</v>
      </c>
      <c r="P4100" s="435">
        <f t="shared" si="1926"/>
        <v>35.990000000000002</v>
      </c>
      <c r="AE4100" s="217"/>
      <c r="AF4100" s="217"/>
    </row>
    <row r="4101" ht="105" hidden="1">
      <c r="A4101" s="217"/>
      <c r="B4101" s="217">
        <v>1482</v>
      </c>
      <c r="C4101" s="217"/>
      <c r="D4101" s="217" t="s">
        <v>17167</v>
      </c>
      <c r="E4101" s="471" t="s">
        <v>20683</v>
      </c>
      <c r="F4101" s="489">
        <v>5928</v>
      </c>
      <c r="G4101" s="470" t="s">
        <v>1739</v>
      </c>
      <c r="H4101" s="472" t="s">
        <v>1535</v>
      </c>
      <c r="I4101" s="472">
        <v>0.10000000000000001</v>
      </c>
      <c r="J4101" s="473">
        <f t="shared" si="1922"/>
        <v>298.70999999999998</v>
      </c>
      <c r="K4101" s="474">
        <f t="shared" si="1928"/>
        <v>29.870999999999999</v>
      </c>
      <c r="L4101" s="473"/>
      <c r="M4101" s="474"/>
      <c r="O4101" s="434">
        <f t="shared" si="1925"/>
        <v>298.70999999999998</v>
      </c>
      <c r="P4101" s="435">
        <f t="shared" si="1926"/>
        <v>296.98000000000002</v>
      </c>
      <c r="AE4101" s="217"/>
      <c r="AF4101" s="217"/>
    </row>
    <row r="4102" ht="45" hidden="1">
      <c r="A4102" s="217"/>
      <c r="B4102" s="217">
        <v>1482</v>
      </c>
      <c r="C4102" s="217"/>
      <c r="D4102" s="217" t="s">
        <v>17167</v>
      </c>
      <c r="E4102" s="471" t="s">
        <v>20685</v>
      </c>
      <c r="F4102" s="489">
        <v>93382</v>
      </c>
      <c r="G4102" s="470" t="s">
        <v>20722</v>
      </c>
      <c r="H4102" s="471" t="s">
        <v>15528</v>
      </c>
      <c r="I4102" s="472">
        <v>63.460000000000001</v>
      </c>
      <c r="J4102" s="473">
        <f t="shared" si="1922"/>
        <v>27.52</v>
      </c>
      <c r="K4102" s="474">
        <f t="shared" si="1928"/>
        <v>1746.4192</v>
      </c>
      <c r="L4102" s="473"/>
      <c r="M4102" s="474"/>
      <c r="O4102" s="434">
        <f t="shared" si="1925"/>
        <v>27.52</v>
      </c>
      <c r="P4102" s="435">
        <f t="shared" si="1926"/>
        <v>26.190000000000001</v>
      </c>
      <c r="AE4102" s="217"/>
      <c r="AF4102" s="217"/>
    </row>
    <row r="4103" ht="43.5" hidden="1" customHeight="1">
      <c r="A4103" s="217"/>
      <c r="B4103" s="460">
        <v>1483</v>
      </c>
      <c r="C4103" s="460"/>
      <c r="D4103" s="460"/>
      <c r="E4103" s="461" t="s">
        <v>20395</v>
      </c>
      <c r="F4103" s="462" t="s">
        <v>22490</v>
      </c>
      <c r="G4103" s="477" t="s">
        <v>20980</v>
      </c>
      <c r="H4103" s="478" t="s">
        <v>20387</v>
      </c>
      <c r="I4103" s="479"/>
      <c r="J4103" s="480"/>
      <c r="K4103" s="466">
        <f>SUM(K4104:K4121)</f>
        <v>19445.256303440001</v>
      </c>
      <c r="L4103" s="473"/>
      <c r="M4103" s="474"/>
      <c r="O4103" s="434" t="str">
        <f t="shared" si="1925"/>
        <v xml:space="preserve">SEM VALOR</v>
      </c>
      <c r="P4103" s="435" t="str">
        <f t="shared" si="1926"/>
        <v xml:space="preserve">SEM VALOR</v>
      </c>
      <c r="AE4103" s="217"/>
      <c r="AF4103" s="217"/>
    </row>
    <row r="4104" ht="135" hidden="1">
      <c r="A4104" s="217"/>
      <c r="B4104" s="217">
        <v>1483</v>
      </c>
      <c r="C4104" s="217"/>
      <c r="D4104" s="217" t="s">
        <v>17167</v>
      </c>
      <c r="E4104" s="471" t="s">
        <v>20399</v>
      </c>
      <c r="F4104" s="482">
        <v>102281</v>
      </c>
      <c r="G4104" s="470" t="s">
        <v>20962</v>
      </c>
      <c r="H4104" s="482" t="s">
        <v>15528</v>
      </c>
      <c r="I4104" s="483">
        <v>25.73</v>
      </c>
      <c r="J4104" s="473">
        <f t="shared" si="1922"/>
        <v>5.8300000000000001</v>
      </c>
      <c r="K4104" s="474">
        <f t="shared" ref="K4104:K4167" si="1929">I4104*J4104</f>
        <v>150.0059</v>
      </c>
      <c r="L4104" s="473"/>
      <c r="M4104" s="474"/>
      <c r="O4104" s="434">
        <f t="shared" si="1925"/>
        <v>5.8300000000000001</v>
      </c>
      <c r="P4104" s="435">
        <f t="shared" si="1926"/>
        <v>5.7199999999999998</v>
      </c>
      <c r="AE4104" s="217"/>
      <c r="AF4104" s="217"/>
    </row>
    <row r="4105" ht="75" hidden="1">
      <c r="A4105" s="217"/>
      <c r="B4105" s="217">
        <v>1483</v>
      </c>
      <c r="C4105" s="217"/>
      <c r="D4105" s="217" t="s">
        <v>17167</v>
      </c>
      <c r="E4105" s="471" t="s">
        <v>20402</v>
      </c>
      <c r="F4105" s="482">
        <v>101617</v>
      </c>
      <c r="G4105" s="488" t="s">
        <v>20963</v>
      </c>
      <c r="H4105" s="482" t="s">
        <v>15515</v>
      </c>
      <c r="I4105" s="483">
        <v>14.26</v>
      </c>
      <c r="J4105" s="473">
        <f t="shared" si="1922"/>
        <v>3.5299999999999998</v>
      </c>
      <c r="K4105" s="474">
        <f t="shared" si="1929"/>
        <v>50.337799999999994</v>
      </c>
      <c r="L4105" s="473"/>
      <c r="M4105" s="474"/>
      <c r="O4105" s="434">
        <f t="shared" si="1925"/>
        <v>3.5299999999999998</v>
      </c>
      <c r="P4105" s="435">
        <f t="shared" si="1926"/>
        <v>3.3399999999999999</v>
      </c>
      <c r="AE4105" s="217"/>
      <c r="AF4105" s="217"/>
    </row>
    <row r="4106" ht="75" hidden="1">
      <c r="A4106" s="217"/>
      <c r="B4106" s="217">
        <v>1483</v>
      </c>
      <c r="C4106" s="217"/>
      <c r="D4106" s="217" t="s">
        <v>20398</v>
      </c>
      <c r="E4106" s="471" t="s">
        <v>20405</v>
      </c>
      <c r="F4106" s="482">
        <v>1255</v>
      </c>
      <c r="G4106" s="470" t="s">
        <v>20964</v>
      </c>
      <c r="H4106" s="482" t="s">
        <v>15528</v>
      </c>
      <c r="I4106" s="483">
        <v>8.2100000000000009</v>
      </c>
      <c r="J4106" s="473">
        <f t="shared" si="1922"/>
        <v>29.707014000000001</v>
      </c>
      <c r="K4106" s="474">
        <f t="shared" si="1929"/>
        <v>243.89458494000004</v>
      </c>
      <c r="L4106" s="473"/>
      <c r="M4106" s="474"/>
      <c r="O4106" s="434">
        <f t="shared" si="1925"/>
        <v>29.707014000000001</v>
      </c>
      <c r="P4106" s="435">
        <f t="shared" si="1926"/>
        <v>28.497014</v>
      </c>
      <c r="AE4106" s="217"/>
      <c r="AF4106" s="217"/>
    </row>
    <row r="4107" ht="60" hidden="1">
      <c r="A4107" s="217"/>
      <c r="B4107" s="217">
        <v>1483</v>
      </c>
      <c r="C4107" s="217"/>
      <c r="D4107" s="217" t="s">
        <v>20398</v>
      </c>
      <c r="E4107" s="471" t="s">
        <v>20409</v>
      </c>
      <c r="F4107" s="482">
        <v>1059</v>
      </c>
      <c r="G4107" s="470" t="s">
        <v>20965</v>
      </c>
      <c r="H4107" s="482" t="s">
        <v>15528</v>
      </c>
      <c r="I4107" s="483">
        <v>0.20000000000000001</v>
      </c>
      <c r="J4107" s="473">
        <f t="shared" si="1922"/>
        <v>453.00401999999997</v>
      </c>
      <c r="K4107" s="474">
        <f t="shared" si="1929"/>
        <v>90.600803999999997</v>
      </c>
      <c r="L4107" s="473"/>
      <c r="M4107" s="474"/>
      <c r="O4107" s="434">
        <f t="shared" si="1925"/>
        <v>453.00401999999997</v>
      </c>
      <c r="P4107" s="435">
        <f t="shared" si="1926"/>
        <v>445.74401999999998</v>
      </c>
      <c r="AE4107" s="217"/>
      <c r="AF4107" s="217"/>
    </row>
    <row r="4108" ht="45" hidden="1">
      <c r="A4108" s="217"/>
      <c r="B4108" s="217">
        <v>1483</v>
      </c>
      <c r="C4108" s="217"/>
      <c r="D4108" s="217" t="s">
        <v>20398</v>
      </c>
      <c r="E4108" s="471" t="s">
        <v>20663</v>
      </c>
      <c r="F4108" s="482">
        <v>1000</v>
      </c>
      <c r="G4108" s="470" t="s">
        <v>20651</v>
      </c>
      <c r="H4108" s="482" t="s">
        <v>15528</v>
      </c>
      <c r="I4108" s="483">
        <v>0.20000000000000001</v>
      </c>
      <c r="J4108" s="473">
        <f t="shared" si="1922"/>
        <v>149.904</v>
      </c>
      <c r="K4108" s="474">
        <f t="shared" si="1929"/>
        <v>29.980800000000002</v>
      </c>
      <c r="L4108" s="473"/>
      <c r="M4108" s="474"/>
      <c r="O4108" s="434">
        <f t="shared" si="1925"/>
        <v>149.904</v>
      </c>
      <c r="P4108" s="435">
        <f t="shared" si="1926"/>
        <v>141.76949999999999</v>
      </c>
      <c r="AE4108" s="217"/>
      <c r="AF4108" s="217"/>
    </row>
    <row r="4109" ht="60" hidden="1">
      <c r="A4109" s="217"/>
      <c r="B4109" s="217">
        <v>1483</v>
      </c>
      <c r="C4109" s="217"/>
      <c r="D4109" s="217" t="s">
        <v>17167</v>
      </c>
      <c r="E4109" s="471" t="s">
        <v>20665</v>
      </c>
      <c r="F4109" s="482">
        <v>96530</v>
      </c>
      <c r="G4109" s="470" t="s">
        <v>20966</v>
      </c>
      <c r="H4109" s="482" t="s">
        <v>15515</v>
      </c>
      <c r="I4109" s="483">
        <v>22.91</v>
      </c>
      <c r="J4109" s="473">
        <f t="shared" si="1922"/>
        <v>129.25999999999999</v>
      </c>
      <c r="K4109" s="474">
        <f t="shared" si="1929"/>
        <v>2961.3465999999999</v>
      </c>
      <c r="L4109" s="473"/>
      <c r="M4109" s="474"/>
      <c r="O4109" s="434">
        <f t="shared" si="1925"/>
        <v>129.25999999999999</v>
      </c>
      <c r="P4109" s="435">
        <f t="shared" si="1926"/>
        <v>125.91</v>
      </c>
      <c r="AE4109" s="217"/>
      <c r="AF4109" s="217"/>
    </row>
    <row r="4110" ht="75" hidden="1">
      <c r="A4110" s="217"/>
      <c r="B4110" s="217">
        <v>1483</v>
      </c>
      <c r="C4110" s="217"/>
      <c r="D4110" s="217" t="s">
        <v>20398</v>
      </c>
      <c r="E4110" s="471" t="s">
        <v>20667</v>
      </c>
      <c r="F4110" s="482">
        <v>1064</v>
      </c>
      <c r="G4110" s="470" t="s">
        <v>20967</v>
      </c>
      <c r="H4110" s="482" t="s">
        <v>15515</v>
      </c>
      <c r="I4110" s="483">
        <v>23.300000000000001</v>
      </c>
      <c r="J4110" s="473">
        <f t="shared" si="1922"/>
        <v>202.79016000000001</v>
      </c>
      <c r="K4110" s="474">
        <f t="shared" si="1929"/>
        <v>4725.0107280000002</v>
      </c>
      <c r="L4110" s="473"/>
      <c r="M4110" s="474"/>
      <c r="O4110" s="434">
        <f t="shared" si="1925"/>
        <v>202.79016000000001</v>
      </c>
      <c r="P4110" s="435">
        <f t="shared" si="1926"/>
        <v>197.94299999999998</v>
      </c>
      <c r="AE4110" s="217"/>
      <c r="AF4110" s="217"/>
    </row>
    <row r="4111" ht="75" hidden="1">
      <c r="A4111" s="217"/>
      <c r="B4111" s="217">
        <v>1483</v>
      </c>
      <c r="C4111" s="217"/>
      <c r="D4111" s="217" t="s">
        <v>17167</v>
      </c>
      <c r="E4111" s="471" t="s">
        <v>20671</v>
      </c>
      <c r="F4111" s="482">
        <v>87878</v>
      </c>
      <c r="G4111" s="470" t="s">
        <v>20910</v>
      </c>
      <c r="H4111" s="482" t="s">
        <v>15515</v>
      </c>
      <c r="I4111" s="483">
        <v>37.68</v>
      </c>
      <c r="J4111" s="473">
        <f t="shared" si="1922"/>
        <v>5.0099999999999998</v>
      </c>
      <c r="K4111" s="474">
        <f t="shared" si="1929"/>
        <v>188.77679999999998</v>
      </c>
      <c r="L4111" s="473"/>
      <c r="M4111" s="474"/>
      <c r="O4111" s="434">
        <f t="shared" si="1925"/>
        <v>5.0099999999999998</v>
      </c>
      <c r="P4111" s="435">
        <f t="shared" si="1926"/>
        <v>4.7999999999999998</v>
      </c>
      <c r="AE4111" s="217"/>
      <c r="AF4111" s="217"/>
    </row>
    <row r="4112" ht="60" hidden="1">
      <c r="A4112" s="217"/>
      <c r="B4112" s="217">
        <v>1483</v>
      </c>
      <c r="C4112" s="217"/>
      <c r="D4112" s="217" t="s">
        <v>20398</v>
      </c>
      <c r="E4112" s="471" t="s">
        <v>20672</v>
      </c>
      <c r="F4112" s="482">
        <v>1421</v>
      </c>
      <c r="G4112" s="470" t="s">
        <v>20968</v>
      </c>
      <c r="H4112" s="482" t="s">
        <v>15515</v>
      </c>
      <c r="I4112" s="483">
        <v>13.449999999999999</v>
      </c>
      <c r="J4112" s="473">
        <f t="shared" si="1922"/>
        <v>46.577570000000001</v>
      </c>
      <c r="K4112" s="474">
        <f t="shared" si="1929"/>
        <v>626.46831650000001</v>
      </c>
      <c r="L4112" s="473"/>
      <c r="M4112" s="474"/>
      <c r="O4112" s="434">
        <f t="shared" si="1925"/>
        <v>46.577570000000001</v>
      </c>
      <c r="P4112" s="435">
        <f t="shared" si="1926"/>
        <v>44.735900000000001</v>
      </c>
      <c r="AE4112" s="217"/>
      <c r="AF4112" s="217"/>
    </row>
    <row r="4113" ht="60" hidden="1">
      <c r="A4113" s="217"/>
      <c r="B4113" s="217">
        <v>1483</v>
      </c>
      <c r="C4113" s="217"/>
      <c r="D4113" s="217" t="s">
        <v>17167</v>
      </c>
      <c r="E4113" s="471" t="s">
        <v>20673</v>
      </c>
      <c r="F4113" s="482">
        <v>94963</v>
      </c>
      <c r="G4113" s="470" t="s">
        <v>20911</v>
      </c>
      <c r="H4113" s="482" t="s">
        <v>15528</v>
      </c>
      <c r="I4113" s="483">
        <v>1.48</v>
      </c>
      <c r="J4113" s="473">
        <f t="shared" si="1922"/>
        <v>441.43000000000001</v>
      </c>
      <c r="K4113" s="474">
        <f t="shared" si="1929"/>
        <v>653.31640000000004</v>
      </c>
      <c r="L4113" s="473"/>
      <c r="M4113" s="474"/>
      <c r="O4113" s="434">
        <f t="shared" si="1925"/>
        <v>441.43000000000001</v>
      </c>
      <c r="P4113" s="435">
        <f t="shared" si="1926"/>
        <v>436.14999999999998</v>
      </c>
      <c r="AE4113" s="217"/>
      <c r="AF4113" s="217"/>
    </row>
    <row r="4114" ht="43.5" hidden="1" customHeight="1">
      <c r="A4114" s="217"/>
      <c r="B4114" s="217">
        <v>1483</v>
      </c>
      <c r="C4114" s="217"/>
      <c r="D4114" s="217" t="s">
        <v>20398</v>
      </c>
      <c r="E4114" s="471" t="s">
        <v>20675</v>
      </c>
      <c r="F4114" s="482">
        <v>1000</v>
      </c>
      <c r="G4114" s="488" t="s">
        <v>20976</v>
      </c>
      <c r="H4114" s="482" t="s">
        <v>15528</v>
      </c>
      <c r="I4114" s="483">
        <v>1.48</v>
      </c>
      <c r="J4114" s="473">
        <f t="shared" si="1922"/>
        <v>149.904</v>
      </c>
      <c r="K4114" s="474">
        <f t="shared" si="1929"/>
        <v>221.85791999999998</v>
      </c>
      <c r="L4114" s="473"/>
      <c r="M4114" s="474"/>
      <c r="O4114" s="434">
        <f t="shared" si="1925"/>
        <v>149.904</v>
      </c>
      <c r="P4114" s="435">
        <f t="shared" si="1926"/>
        <v>141.76949999999999</v>
      </c>
      <c r="AE4114" s="217"/>
      <c r="AF4114" s="217"/>
    </row>
    <row r="4115" ht="60" hidden="1">
      <c r="A4115" s="217"/>
      <c r="B4115" s="217">
        <v>1483</v>
      </c>
      <c r="C4115" s="217"/>
      <c r="D4115" s="217" t="s">
        <v>17167</v>
      </c>
      <c r="E4115" s="471" t="s">
        <v>20677</v>
      </c>
      <c r="F4115" s="482">
        <v>94964</v>
      </c>
      <c r="G4115" s="488" t="s">
        <v>20686</v>
      </c>
      <c r="H4115" s="482" t="s">
        <v>15528</v>
      </c>
      <c r="I4115" s="483">
        <v>3.6600000000000001</v>
      </c>
      <c r="J4115" s="473">
        <f t="shared" si="1922"/>
        <v>488.52999999999997</v>
      </c>
      <c r="K4115" s="474">
        <f t="shared" si="1929"/>
        <v>1788.0198</v>
      </c>
      <c r="L4115" s="473"/>
      <c r="M4115" s="474"/>
      <c r="O4115" s="434">
        <f t="shared" si="1925"/>
        <v>488.52999999999997</v>
      </c>
      <c r="P4115" s="435">
        <f t="shared" si="1926"/>
        <v>482.79000000000002</v>
      </c>
      <c r="AE4115" s="217"/>
      <c r="AF4115" s="217"/>
    </row>
    <row r="4116" ht="30" hidden="1">
      <c r="A4116" s="217"/>
      <c r="B4116" s="217">
        <v>1483</v>
      </c>
      <c r="C4116" s="217"/>
      <c r="D4116" s="217" t="s">
        <v>20398</v>
      </c>
      <c r="E4116" s="471" t="s">
        <v>20679</v>
      </c>
      <c r="F4116" s="482">
        <v>1000</v>
      </c>
      <c r="G4116" s="488" t="s">
        <v>20976</v>
      </c>
      <c r="H4116" s="482" t="s">
        <v>15528</v>
      </c>
      <c r="I4116" s="483">
        <v>3.6600000000000001</v>
      </c>
      <c r="J4116" s="473">
        <f t="shared" si="1922"/>
        <v>149.904</v>
      </c>
      <c r="K4116" s="474">
        <f t="shared" si="1929"/>
        <v>548.64864</v>
      </c>
      <c r="L4116" s="473"/>
      <c r="M4116" s="474"/>
      <c r="O4116" s="434">
        <f t="shared" si="1925"/>
        <v>149.904</v>
      </c>
      <c r="P4116" s="435">
        <f t="shared" si="1926"/>
        <v>141.76949999999999</v>
      </c>
      <c r="AE4116" s="217"/>
      <c r="AF4116" s="217"/>
    </row>
    <row r="4117" ht="75" hidden="1">
      <c r="A4117" s="217"/>
      <c r="B4117" s="217">
        <v>1483</v>
      </c>
      <c r="C4117" s="217"/>
      <c r="D4117" s="217" t="s">
        <v>17167</v>
      </c>
      <c r="E4117" s="471" t="s">
        <v>20681</v>
      </c>
      <c r="F4117" s="482">
        <v>92916</v>
      </c>
      <c r="G4117" s="488" t="s">
        <v>20969</v>
      </c>
      <c r="H4117" s="482" t="s">
        <v>302</v>
      </c>
      <c r="I4117" s="483">
        <v>106.34</v>
      </c>
      <c r="J4117" s="473">
        <f t="shared" si="1922"/>
        <v>15</v>
      </c>
      <c r="K4117" s="474">
        <f t="shared" si="1929"/>
        <v>1595.1000000000001</v>
      </c>
      <c r="L4117" s="473"/>
      <c r="M4117" s="474"/>
      <c r="O4117" s="434">
        <f t="shared" si="1925"/>
        <v>15</v>
      </c>
      <c r="P4117" s="435">
        <f t="shared" si="1926"/>
        <v>14.69</v>
      </c>
      <c r="AE4117" s="217"/>
      <c r="AF4117" s="217"/>
    </row>
    <row r="4118" ht="75" hidden="1">
      <c r="A4118" s="217"/>
      <c r="B4118" s="217">
        <v>1483</v>
      </c>
      <c r="C4118" s="217"/>
      <c r="D4118" s="217" t="s">
        <v>17167</v>
      </c>
      <c r="E4118" s="471" t="s">
        <v>20683</v>
      </c>
      <c r="F4118" s="482">
        <v>92915</v>
      </c>
      <c r="G4118" s="488" t="s">
        <v>20970</v>
      </c>
      <c r="H4118" s="482" t="s">
        <v>302</v>
      </c>
      <c r="I4118" s="483">
        <v>16.489999999999998</v>
      </c>
      <c r="J4118" s="473">
        <f t="shared" si="1922"/>
        <v>16.649999999999999</v>
      </c>
      <c r="K4118" s="474">
        <f t="shared" si="1929"/>
        <v>274.55849999999992</v>
      </c>
      <c r="L4118" s="473"/>
      <c r="M4118" s="474"/>
      <c r="O4118" s="434">
        <f t="shared" si="1925"/>
        <v>16.649999999999999</v>
      </c>
      <c r="P4118" s="435">
        <f t="shared" si="1926"/>
        <v>16.199999999999999</v>
      </c>
      <c r="AE4118" s="217"/>
      <c r="AF4118" s="217"/>
    </row>
    <row r="4119" ht="60" hidden="1">
      <c r="A4119" s="217"/>
      <c r="B4119" s="217">
        <v>1483</v>
      </c>
      <c r="C4119" s="217"/>
      <c r="D4119" s="217" t="s">
        <v>17167</v>
      </c>
      <c r="E4119" s="471" t="s">
        <v>20685</v>
      </c>
      <c r="F4119" s="482">
        <v>91593</v>
      </c>
      <c r="G4119" s="488" t="s">
        <v>20971</v>
      </c>
      <c r="H4119" s="482" t="s">
        <v>302</v>
      </c>
      <c r="I4119" s="483">
        <v>31.68</v>
      </c>
      <c r="J4119" s="473">
        <f t="shared" si="1922"/>
        <v>10.199999999999999</v>
      </c>
      <c r="K4119" s="474">
        <f t="shared" si="1929"/>
        <v>323.13599999999997</v>
      </c>
      <c r="L4119" s="473"/>
      <c r="M4119" s="474"/>
      <c r="O4119" s="434">
        <f t="shared" si="1925"/>
        <v>10.199999999999999</v>
      </c>
      <c r="P4119" s="435">
        <f t="shared" si="1926"/>
        <v>10.16</v>
      </c>
      <c r="AE4119" s="217"/>
      <c r="AF4119" s="217"/>
    </row>
    <row r="4120" ht="75" hidden="1">
      <c r="A4120" s="217"/>
      <c r="B4120" s="217">
        <v>1483</v>
      </c>
      <c r="C4120" s="217"/>
      <c r="D4120" s="217" t="s">
        <v>20398</v>
      </c>
      <c r="E4120" s="471" t="s">
        <v>20687</v>
      </c>
      <c r="F4120" s="482">
        <v>1058</v>
      </c>
      <c r="G4120" s="488" t="s">
        <v>20972</v>
      </c>
      <c r="H4120" s="482" t="s">
        <v>15515</v>
      </c>
      <c r="I4120" s="483">
        <v>4.0999999999999996</v>
      </c>
      <c r="J4120" s="473">
        <f t="shared" si="1922"/>
        <v>30.214100000000002</v>
      </c>
      <c r="K4120" s="474">
        <f t="shared" si="1929"/>
        <v>123.87781</v>
      </c>
      <c r="L4120" s="473"/>
      <c r="M4120" s="474"/>
      <c r="O4120" s="434">
        <f t="shared" si="1925"/>
        <v>30.214100000000002</v>
      </c>
      <c r="P4120" s="435">
        <f t="shared" si="1926"/>
        <v>29.332799999999999</v>
      </c>
      <c r="AE4120" s="217"/>
      <c r="AF4120" s="217"/>
    </row>
    <row r="4121" ht="45" hidden="1">
      <c r="A4121" s="217"/>
      <c r="B4121" s="217">
        <v>1483</v>
      </c>
      <c r="C4121" s="217"/>
      <c r="D4121" s="217" t="s">
        <v>20398</v>
      </c>
      <c r="E4121" s="471" t="s">
        <v>20689</v>
      </c>
      <c r="F4121" s="482">
        <v>1063</v>
      </c>
      <c r="G4121" s="488" t="s">
        <v>20973</v>
      </c>
      <c r="H4121" s="482" t="s">
        <v>31</v>
      </c>
      <c r="I4121" s="483">
        <v>1</v>
      </c>
      <c r="J4121" s="473">
        <f t="shared" si="1922"/>
        <v>4850.3189000000002</v>
      </c>
      <c r="K4121" s="474">
        <f t="shared" si="1929"/>
        <v>4850.3189000000002</v>
      </c>
      <c r="L4121" s="473"/>
      <c r="M4121" s="474"/>
      <c r="O4121" s="434">
        <f t="shared" si="1925"/>
        <v>4850.3189000000002</v>
      </c>
      <c r="P4121" s="435">
        <f t="shared" si="1926"/>
        <v>4796.6638999999996</v>
      </c>
      <c r="AE4121" s="217"/>
      <c r="AF4121" s="217"/>
    </row>
    <row r="4122" ht="110.25" hidden="1">
      <c r="A4122" s="217"/>
      <c r="B4122" s="460">
        <v>1484</v>
      </c>
      <c r="C4122" s="460"/>
      <c r="D4122" s="460"/>
      <c r="E4122" s="461">
        <v>1</v>
      </c>
      <c r="F4122" s="462" t="s">
        <v>22491</v>
      </c>
      <c r="G4122" s="477" t="s">
        <v>22492</v>
      </c>
      <c r="H4122" s="478" t="s">
        <v>20647</v>
      </c>
      <c r="I4122" s="479"/>
      <c r="J4122" s="480"/>
      <c r="K4122" s="466">
        <f>SUM(K4123:K4146)</f>
        <v>23114.367930000004</v>
      </c>
      <c r="L4122" s="663" t="s">
        <v>22493</v>
      </c>
      <c r="M4122" s="474"/>
      <c r="N4122" s="663" t="s">
        <v>22493</v>
      </c>
      <c r="O4122" s="434" t="str">
        <f t="shared" si="1925"/>
        <v xml:space="preserve">SEM VALOR</v>
      </c>
      <c r="P4122" s="435" t="str">
        <f t="shared" si="1926"/>
        <v xml:space="preserve">SEM VALOR</v>
      </c>
      <c r="AE4122" s="217"/>
      <c r="AF4122" s="217"/>
    </row>
    <row r="4123" ht="30" hidden="1">
      <c r="A4123" s="217"/>
      <c r="B4123" s="217">
        <v>1484</v>
      </c>
      <c r="C4123" s="217"/>
      <c r="D4123" s="217" t="s">
        <v>17167</v>
      </c>
      <c r="E4123" s="471" t="s">
        <v>20399</v>
      </c>
      <c r="F4123" s="482">
        <v>88309</v>
      </c>
      <c r="G4123" s="470" t="s">
        <v>7385</v>
      </c>
      <c r="H4123" s="471" t="s">
        <v>2032</v>
      </c>
      <c r="I4123" s="472">
        <v>18.2041</v>
      </c>
      <c r="J4123" s="473">
        <f t="shared" si="1922"/>
        <v>28.5</v>
      </c>
      <c r="K4123" s="474">
        <f t="shared" si="1929"/>
        <v>518.81685000000004</v>
      </c>
      <c r="L4123" s="433"/>
      <c r="M4123" s="474"/>
      <c r="O4123" s="434">
        <f t="shared" si="1925"/>
        <v>28.5</v>
      </c>
      <c r="P4123" s="435">
        <f t="shared" si="1926"/>
        <v>26.870000000000001</v>
      </c>
      <c r="AE4123" s="217"/>
      <c r="AF4123" s="217"/>
    </row>
    <row r="4124" ht="30" hidden="1">
      <c r="A4124" s="217"/>
      <c r="B4124" s="217">
        <v>1484</v>
      </c>
      <c r="C4124" s="217"/>
      <c r="D4124" s="217" t="s">
        <v>17167</v>
      </c>
      <c r="E4124" s="471" t="s">
        <v>20402</v>
      </c>
      <c r="F4124" s="482">
        <v>88316</v>
      </c>
      <c r="G4124" s="488" t="s">
        <v>7393</v>
      </c>
      <c r="H4124" s="471" t="s">
        <v>2032</v>
      </c>
      <c r="I4124" s="472">
        <v>14.018000000000001</v>
      </c>
      <c r="J4124" s="473">
        <f t="shared" si="1922"/>
        <v>22.760000000000002</v>
      </c>
      <c r="K4124" s="474">
        <f t="shared" si="1929"/>
        <v>319.04968000000002</v>
      </c>
      <c r="L4124" s="433"/>
      <c r="M4124" s="474"/>
      <c r="O4124" s="434">
        <f t="shared" si="1925"/>
        <v>22.760000000000002</v>
      </c>
      <c r="P4124" s="435">
        <f t="shared" si="1926"/>
        <v>21.550000000000001</v>
      </c>
      <c r="AE4124" s="217"/>
      <c r="AF4124" s="217"/>
    </row>
    <row r="4125" ht="30" hidden="1">
      <c r="A4125" s="217"/>
      <c r="B4125" s="217">
        <v>1484</v>
      </c>
      <c r="C4125" s="217"/>
      <c r="D4125" s="217" t="s">
        <v>20408</v>
      </c>
      <c r="E4125" s="471" t="s">
        <v>20405</v>
      </c>
      <c r="F4125" s="482">
        <v>34573</v>
      </c>
      <c r="G4125" s="470" t="s">
        <v>20262</v>
      </c>
      <c r="H4125" s="471" t="s">
        <v>31</v>
      </c>
      <c r="I4125" s="472">
        <v>117.88</v>
      </c>
      <c r="J4125" s="473">
        <f t="shared" si="1922"/>
        <v>5.46</v>
      </c>
      <c r="K4125" s="474">
        <f t="shared" si="1929"/>
        <v>643.62479999999994</v>
      </c>
      <c r="L4125" s="433"/>
      <c r="M4125" s="474"/>
      <c r="O4125" s="434">
        <f t="shared" si="1925"/>
        <v>5.46</v>
      </c>
      <c r="P4125" s="435">
        <f t="shared" si="1926"/>
        <v>5.46</v>
      </c>
      <c r="Q4125" s="664">
        <v>0.80000000000000004</v>
      </c>
      <c r="AE4125" s="217"/>
      <c r="AF4125" s="217"/>
    </row>
    <row r="4126" ht="45" hidden="1">
      <c r="A4126" s="217"/>
      <c r="B4126" s="217">
        <v>1484</v>
      </c>
      <c r="C4126" s="217"/>
      <c r="D4126" s="217" t="s">
        <v>20408</v>
      </c>
      <c r="E4126" s="471" t="s">
        <v>20409</v>
      </c>
      <c r="F4126" s="482">
        <v>38594</v>
      </c>
      <c r="G4126" s="470" t="s">
        <v>20264</v>
      </c>
      <c r="H4126" s="471" t="s">
        <v>31</v>
      </c>
      <c r="I4126" s="472">
        <v>18.09</v>
      </c>
      <c r="J4126" s="473">
        <f t="shared" ref="J4126:J4189" si="1930">O4126*$J$3</f>
        <v>6.0899999999999999</v>
      </c>
      <c r="K4126" s="474">
        <f t="shared" si="1929"/>
        <v>110.1681</v>
      </c>
      <c r="L4126" s="589" t="s">
        <v>22494</v>
      </c>
      <c r="M4126" s="474"/>
      <c r="N4126" s="589" t="s">
        <v>22494</v>
      </c>
      <c r="O4126" s="434">
        <f t="shared" si="1925"/>
        <v>6.0899999999999999</v>
      </c>
      <c r="P4126" s="435">
        <f t="shared" si="1926"/>
        <v>6.0899999999999999</v>
      </c>
      <c r="AE4126" s="217"/>
      <c r="AF4126" s="217"/>
    </row>
    <row r="4127" ht="45" hidden="1">
      <c r="A4127" s="217"/>
      <c r="B4127" s="217">
        <v>1484</v>
      </c>
      <c r="C4127" s="217"/>
      <c r="D4127" s="217" t="s">
        <v>20408</v>
      </c>
      <c r="E4127" s="471" t="s">
        <v>20663</v>
      </c>
      <c r="F4127" s="482">
        <v>38600</v>
      </c>
      <c r="G4127" s="488" t="s">
        <v>20266</v>
      </c>
      <c r="H4127" s="471" t="s">
        <v>31</v>
      </c>
      <c r="I4127" s="472">
        <v>38.195</v>
      </c>
      <c r="J4127" s="473">
        <f t="shared" si="1930"/>
        <v>7.3399999999999999</v>
      </c>
      <c r="K4127" s="474">
        <f t="shared" si="1929"/>
        <v>280.35129999999998</v>
      </c>
      <c r="L4127" s="589" t="s">
        <v>22494</v>
      </c>
      <c r="M4127" s="474"/>
      <c r="N4127" s="589" t="s">
        <v>22494</v>
      </c>
      <c r="O4127" s="434">
        <f t="shared" si="1925"/>
        <v>7.3399999999999999</v>
      </c>
      <c r="P4127" s="435">
        <f t="shared" si="1926"/>
        <v>7.3399999999999999</v>
      </c>
      <c r="AE4127" s="217"/>
      <c r="AF4127" s="217"/>
    </row>
    <row r="4128" ht="75" hidden="1">
      <c r="A4128" s="217"/>
      <c r="B4128" s="217">
        <v>1484</v>
      </c>
      <c r="C4128" s="217"/>
      <c r="D4128" s="217" t="s">
        <v>17167</v>
      </c>
      <c r="E4128" s="471" t="s">
        <v>20665</v>
      </c>
      <c r="F4128" s="482">
        <v>97083</v>
      </c>
      <c r="G4128" s="470" t="s">
        <v>8822</v>
      </c>
      <c r="H4128" s="471" t="s">
        <v>15515</v>
      </c>
      <c r="I4128" s="472">
        <v>19.5</v>
      </c>
      <c r="J4128" s="473">
        <f t="shared" si="1930"/>
        <v>3.4900000000000002</v>
      </c>
      <c r="K4128" s="474">
        <f t="shared" si="1929"/>
        <v>68.055000000000007</v>
      </c>
      <c r="L4128" s="433"/>
      <c r="M4128" s="474"/>
      <c r="O4128" s="434">
        <f t="shared" si="1925"/>
        <v>3.4900000000000002</v>
      </c>
      <c r="P4128" s="435">
        <f t="shared" si="1926"/>
        <v>3.2999999999999998</v>
      </c>
      <c r="AE4128" s="217"/>
      <c r="AF4128" s="217"/>
    </row>
    <row r="4129" ht="75" hidden="1">
      <c r="A4129" s="217"/>
      <c r="B4129" s="217">
        <v>1484</v>
      </c>
      <c r="C4129" s="217"/>
      <c r="D4129" s="217" t="s">
        <v>17167</v>
      </c>
      <c r="E4129" s="471" t="s">
        <v>20667</v>
      </c>
      <c r="F4129" s="482">
        <v>100324</v>
      </c>
      <c r="G4129" s="470" t="s">
        <v>6998</v>
      </c>
      <c r="H4129" s="471" t="s">
        <v>15528</v>
      </c>
      <c r="I4129" s="472">
        <v>1.95</v>
      </c>
      <c r="J4129" s="473">
        <f t="shared" si="1930"/>
        <v>179.66</v>
      </c>
      <c r="K4129" s="474">
        <f t="shared" si="1929"/>
        <v>350.33699999999999</v>
      </c>
      <c r="L4129" s="433"/>
      <c r="M4129" s="474"/>
      <c r="O4129" s="434">
        <f t="shared" si="1925"/>
        <v>179.66</v>
      </c>
      <c r="P4129" s="435">
        <f t="shared" si="1926"/>
        <v>176.31999999999999</v>
      </c>
      <c r="AE4129" s="217"/>
      <c r="AF4129" s="217"/>
    </row>
    <row r="4130" ht="45" hidden="1">
      <c r="A4130" s="217"/>
      <c r="B4130" s="217">
        <v>1484</v>
      </c>
      <c r="C4130" s="217"/>
      <c r="D4130" s="217" t="s">
        <v>17167</v>
      </c>
      <c r="E4130" s="471" t="s">
        <v>20671</v>
      </c>
      <c r="F4130" s="482">
        <v>96620</v>
      </c>
      <c r="G4130" s="470" t="s">
        <v>7009</v>
      </c>
      <c r="H4130" s="471" t="s">
        <v>121</v>
      </c>
      <c r="I4130" s="472">
        <v>1.2350000000000001</v>
      </c>
      <c r="J4130" s="473">
        <f t="shared" si="1930"/>
        <v>722.99000000000001</v>
      </c>
      <c r="K4130" s="474">
        <f t="shared" si="1929"/>
        <v>892.89265000000012</v>
      </c>
      <c r="L4130" s="433"/>
      <c r="M4130" s="474"/>
      <c r="O4130" s="434">
        <f t="shared" si="1925"/>
        <v>722.99000000000001</v>
      </c>
      <c r="P4130" s="435">
        <f t="shared" si="1926"/>
        <v>705.89999999999998</v>
      </c>
      <c r="AE4130" s="217"/>
      <c r="AF4130" s="217"/>
    </row>
    <row r="4131" ht="75" hidden="1">
      <c r="A4131" s="217"/>
      <c r="B4131" s="217">
        <v>1484</v>
      </c>
      <c r="C4131" s="217"/>
      <c r="D4131" s="217" t="s">
        <v>17167</v>
      </c>
      <c r="E4131" s="471" t="s">
        <v>20672</v>
      </c>
      <c r="F4131" s="482">
        <v>94971</v>
      </c>
      <c r="G4131" s="470" t="s">
        <v>8716</v>
      </c>
      <c r="H4131" s="471" t="s">
        <v>15528</v>
      </c>
      <c r="I4131" s="472">
        <v>9.9589999999999996</v>
      </c>
      <c r="J4131" s="473">
        <f t="shared" si="1930"/>
        <v>502.49000000000001</v>
      </c>
      <c r="K4131" s="474">
        <f t="shared" si="1929"/>
        <v>5004.2979100000002</v>
      </c>
      <c r="L4131" s="433"/>
      <c r="M4131" s="474"/>
      <c r="O4131" s="434">
        <f t="shared" si="1925"/>
        <v>502.49000000000001</v>
      </c>
      <c r="P4131" s="435">
        <f t="shared" si="1926"/>
        <v>498.00999999999999</v>
      </c>
      <c r="AE4131" s="217"/>
      <c r="AF4131" s="217"/>
    </row>
    <row r="4132" ht="60" hidden="1">
      <c r="A4132" s="217"/>
      <c r="B4132" s="217">
        <v>1484</v>
      </c>
      <c r="C4132" s="217"/>
      <c r="D4132" s="217" t="s">
        <v>17167</v>
      </c>
      <c r="E4132" s="471" t="s">
        <v>20673</v>
      </c>
      <c r="F4132" s="482">
        <v>103670</v>
      </c>
      <c r="G4132" s="470" t="s">
        <v>1387</v>
      </c>
      <c r="H4132" s="471" t="s">
        <v>15528</v>
      </c>
      <c r="I4132" s="472">
        <v>9.9589999999999996</v>
      </c>
      <c r="J4132" s="473">
        <f t="shared" si="1930"/>
        <v>308.60000000000002</v>
      </c>
      <c r="K4132" s="474">
        <f t="shared" si="1929"/>
        <v>3073.3474000000001</v>
      </c>
      <c r="L4132" s="433"/>
      <c r="M4132" s="474"/>
      <c r="O4132" s="434">
        <f t="shared" si="1925"/>
        <v>308.60000000000002</v>
      </c>
      <c r="P4132" s="435">
        <f t="shared" si="1926"/>
        <v>291.69999999999999</v>
      </c>
      <c r="AE4132" s="217"/>
      <c r="AF4132" s="217"/>
    </row>
    <row r="4133" ht="75" hidden="1">
      <c r="A4133" s="217"/>
      <c r="B4133" s="217">
        <v>1484</v>
      </c>
      <c r="C4133" s="217"/>
      <c r="D4133" s="217" t="s">
        <v>17167</v>
      </c>
      <c r="E4133" s="471" t="s">
        <v>20675</v>
      </c>
      <c r="F4133" s="482">
        <v>97086</v>
      </c>
      <c r="G4133" s="470" t="s">
        <v>8858</v>
      </c>
      <c r="H4133" s="471" t="s">
        <v>15515</v>
      </c>
      <c r="I4133" s="472">
        <v>4.9139999999999997</v>
      </c>
      <c r="J4133" s="473">
        <f t="shared" si="1930"/>
        <v>133.02000000000001</v>
      </c>
      <c r="K4133" s="474">
        <f t="shared" si="1929"/>
        <v>653.66028000000006</v>
      </c>
      <c r="L4133" s="433"/>
      <c r="M4133" s="474"/>
      <c r="O4133" s="434">
        <f t="shared" si="1925"/>
        <v>133.02000000000001</v>
      </c>
      <c r="P4133" s="435">
        <f t="shared" si="1926"/>
        <v>127.40000000000001</v>
      </c>
      <c r="AE4133" s="217"/>
      <c r="AF4133" s="217"/>
    </row>
    <row r="4134" ht="45" hidden="1">
      <c r="A4134" s="217"/>
      <c r="B4134" s="217">
        <v>1484</v>
      </c>
      <c r="C4134" s="217"/>
      <c r="D4134" s="217" t="s">
        <v>17167</v>
      </c>
      <c r="E4134" s="471" t="s">
        <v>20677</v>
      </c>
      <c r="F4134" s="482">
        <v>92267</v>
      </c>
      <c r="G4134" s="470" t="s">
        <v>4254</v>
      </c>
      <c r="H4134" s="471" t="s">
        <v>15515</v>
      </c>
      <c r="I4134" s="472">
        <v>5.2514000000000003</v>
      </c>
      <c r="J4134" s="473">
        <f t="shared" si="1930"/>
        <v>50.18</v>
      </c>
      <c r="K4134" s="474">
        <f t="shared" si="1929"/>
        <v>263.51525200000003</v>
      </c>
      <c r="L4134" s="433"/>
      <c r="M4134" s="474"/>
      <c r="O4134" s="434">
        <f t="shared" si="1925"/>
        <v>50.18</v>
      </c>
      <c r="P4134" s="435">
        <f t="shared" si="1926"/>
        <v>50.109999999999999</v>
      </c>
      <c r="AE4134" s="217"/>
      <c r="AF4134" s="217"/>
    </row>
    <row r="4135" ht="90" hidden="1">
      <c r="A4135" s="217"/>
      <c r="B4135" s="217">
        <v>1484</v>
      </c>
      <c r="C4135" s="217"/>
      <c r="D4135" s="217" t="s">
        <v>17167</v>
      </c>
      <c r="E4135" s="471" t="s">
        <v>20679</v>
      </c>
      <c r="F4135" s="482">
        <v>92419</v>
      </c>
      <c r="G4135" s="470" t="s">
        <v>4308</v>
      </c>
      <c r="H4135" s="471" t="s">
        <v>15515</v>
      </c>
      <c r="I4135" s="472">
        <v>31.7392</v>
      </c>
      <c r="J4135" s="473">
        <f t="shared" si="1930"/>
        <v>96.239999999999995</v>
      </c>
      <c r="K4135" s="474">
        <f t="shared" si="1929"/>
        <v>3054.5806079999998</v>
      </c>
      <c r="L4135" s="433"/>
      <c r="M4135" s="474"/>
      <c r="O4135" s="434">
        <f t="shared" si="1925"/>
        <v>96.239999999999995</v>
      </c>
      <c r="P4135" s="435">
        <f t="shared" si="1926"/>
        <v>93.900000000000006</v>
      </c>
      <c r="AE4135" s="217"/>
      <c r="AF4135" s="217"/>
    </row>
    <row r="4136" ht="60" hidden="1">
      <c r="A4136" s="217"/>
      <c r="B4136" s="217">
        <v>1484</v>
      </c>
      <c r="C4136" s="217"/>
      <c r="D4136" s="217" t="s">
        <v>17167</v>
      </c>
      <c r="E4136" s="471" t="s">
        <v>20681</v>
      </c>
      <c r="F4136" s="482">
        <v>97093</v>
      </c>
      <c r="G4136" s="470" t="s">
        <v>8818</v>
      </c>
      <c r="H4136" s="471" t="s">
        <v>302</v>
      </c>
      <c r="I4136" s="472">
        <v>87.900000000000006</v>
      </c>
      <c r="J4136" s="473">
        <f t="shared" si="1930"/>
        <v>12.140000000000001</v>
      </c>
      <c r="K4136" s="474">
        <f t="shared" si="1929"/>
        <v>1067.1060000000002</v>
      </c>
      <c r="L4136" s="433"/>
      <c r="M4136" s="474"/>
      <c r="O4136" s="434">
        <f t="shared" si="1925"/>
        <v>12.140000000000001</v>
      </c>
      <c r="P4136" s="435">
        <f t="shared" si="1926"/>
        <v>12.109999999999999</v>
      </c>
      <c r="AE4136" s="217"/>
      <c r="AF4136" s="217"/>
    </row>
    <row r="4137" ht="60" hidden="1">
      <c r="A4137" s="217"/>
      <c r="B4137" s="217">
        <v>1484</v>
      </c>
      <c r="C4137" s="217"/>
      <c r="D4137" s="217" t="s">
        <v>17167</v>
      </c>
      <c r="E4137" s="471" t="s">
        <v>20683</v>
      </c>
      <c r="F4137" s="482">
        <v>92769</v>
      </c>
      <c r="G4137" s="470" t="s">
        <v>327</v>
      </c>
      <c r="H4137" s="471" t="s">
        <v>302</v>
      </c>
      <c r="I4137" s="472">
        <v>146</v>
      </c>
      <c r="J4137" s="473">
        <f t="shared" si="1930"/>
        <v>12.42</v>
      </c>
      <c r="K4137" s="474">
        <f t="shared" si="1929"/>
        <v>1813.3199999999999</v>
      </c>
      <c r="L4137" s="433"/>
      <c r="M4137" s="474"/>
      <c r="O4137" s="434">
        <f t="shared" si="1925"/>
        <v>12.42</v>
      </c>
      <c r="P4137" s="435">
        <f t="shared" si="1926"/>
        <v>12.26</v>
      </c>
      <c r="AE4137" s="217"/>
      <c r="AF4137" s="217"/>
    </row>
    <row r="4138" ht="60" hidden="1">
      <c r="A4138" s="217"/>
      <c r="B4138" s="217">
        <v>1484</v>
      </c>
      <c r="C4138" s="217"/>
      <c r="D4138" s="217" t="s">
        <v>17167</v>
      </c>
      <c r="E4138" s="471" t="s">
        <v>20685</v>
      </c>
      <c r="F4138" s="482">
        <v>92771</v>
      </c>
      <c r="G4138" s="470" t="s">
        <v>323</v>
      </c>
      <c r="H4138" s="471" t="s">
        <v>302</v>
      </c>
      <c r="I4138" s="472">
        <v>3.2000000000000002</v>
      </c>
      <c r="J4138" s="473">
        <f t="shared" si="1930"/>
        <v>10.25</v>
      </c>
      <c r="K4138" s="474">
        <f t="shared" si="1929"/>
        <v>32.800000000000004</v>
      </c>
      <c r="L4138" s="433"/>
      <c r="M4138" s="474"/>
      <c r="O4138" s="434">
        <f t="shared" si="1925"/>
        <v>10.25</v>
      </c>
      <c r="P4138" s="435">
        <f t="shared" si="1926"/>
        <v>10.199999999999999</v>
      </c>
      <c r="AE4138" s="217"/>
      <c r="AF4138" s="217"/>
    </row>
    <row r="4139" ht="60" hidden="1">
      <c r="A4139" s="217"/>
      <c r="B4139" s="217">
        <v>1484</v>
      </c>
      <c r="C4139" s="217"/>
      <c r="D4139" s="217" t="s">
        <v>17167</v>
      </c>
      <c r="E4139" s="471" t="s">
        <v>20687</v>
      </c>
      <c r="F4139" s="482">
        <v>92772</v>
      </c>
      <c r="G4139" s="470" t="s">
        <v>324</v>
      </c>
      <c r="H4139" s="471" t="s">
        <v>302</v>
      </c>
      <c r="I4139" s="472">
        <v>13.4</v>
      </c>
      <c r="J4139" s="473">
        <f t="shared" si="1930"/>
        <v>8.5600000000000005</v>
      </c>
      <c r="K4139" s="474">
        <f t="shared" si="1929"/>
        <v>114.70400000000001</v>
      </c>
      <c r="L4139" s="433"/>
      <c r="M4139" s="474"/>
      <c r="O4139" s="434">
        <f t="shared" si="1925"/>
        <v>8.5600000000000005</v>
      </c>
      <c r="P4139" s="435">
        <f t="shared" si="1926"/>
        <v>8.5299999999999994</v>
      </c>
      <c r="AE4139" s="217"/>
      <c r="AF4139" s="217"/>
    </row>
    <row r="4140" ht="60" hidden="1">
      <c r="A4140" s="217"/>
      <c r="B4140" s="217">
        <v>1484</v>
      </c>
      <c r="C4140" s="217"/>
      <c r="D4140" s="217" t="s">
        <v>17167</v>
      </c>
      <c r="E4140" s="471" t="s">
        <v>20689</v>
      </c>
      <c r="F4140" s="482">
        <v>92773</v>
      </c>
      <c r="G4140" s="470" t="s">
        <v>325</v>
      </c>
      <c r="H4140" s="471" t="s">
        <v>302</v>
      </c>
      <c r="I4140" s="472">
        <v>379.5</v>
      </c>
      <c r="J4140" s="473">
        <f t="shared" si="1930"/>
        <v>8.3900000000000006</v>
      </c>
      <c r="K4140" s="474">
        <f t="shared" si="1929"/>
        <v>3184.0050000000001</v>
      </c>
      <c r="L4140" s="433"/>
      <c r="M4140" s="474"/>
      <c r="O4140" s="434">
        <f t="shared" ref="O4140:O4203" si="1931">IFERROR(IF(D4140="SINAPI",VLOOKUP(F4140,SINCOMOD,4,FALSE),IF(D4140="INSINAPI",VLOOKUP(F4140,INSINOD,5,FALSE),IF(D4140="SICRO",VLOOKUP(F4140,SICRO,5,FALSE),IF(D4140="COTACAO",VLOOKUP(F4140,COTACAO,6,FALSE),IF(D4140="PRÓPRIO",VLOOKUP(F4140,COMPOD,11,FALSE),IF(D4140="AGESUL",VLOOKUP(F4140,AGESULOD,6,FALSE),IF(D4140="INSAGESUL",VLOOKUP(F4140,INSAGESUL,7,FALSE),"SEM VALOR"))))))),"SEM VALOR")</f>
        <v>8.3900000000000006</v>
      </c>
      <c r="P4140" s="435">
        <f t="shared" ref="P4140:P4203" si="1932">IFERROR(IF(D4140="SINAPI",VLOOKUP(F4140,SINCOMOD,6,FALSE),IF(D4140="INSINAPI",VLOOKUP(F4140,INSINOD,6,FALSE),IF(D4140="SICRO",VLOOKUP(F4140,SICRO,5,FALSE),IF(D4140="COTACAO",VLOOKUP(F4140,COTACAO,6,FALSE),IF(D4140="PRÓPRIO",VLOOKUP(F4140,COMPOD,13,FALSE),IF(D4140="AGESUL",VLOOKUP(F4140,AGESULOD,11,FALSE),IF(D4140="INSAGESUL",VLOOKUP(F4140,INSAGESUL,8,FALSE),"SEM VALOR"))))))),"SEM VALOR")</f>
        <v>8.3599999999999994</v>
      </c>
      <c r="AE4140" s="217"/>
      <c r="AF4140" s="217"/>
    </row>
    <row r="4141" ht="30" hidden="1">
      <c r="A4141" s="217"/>
      <c r="B4141" s="217">
        <v>1484</v>
      </c>
      <c r="C4141" s="217"/>
      <c r="D4141" s="217" t="s">
        <v>17167</v>
      </c>
      <c r="E4141" s="471" t="s">
        <v>20882</v>
      </c>
      <c r="F4141" s="482">
        <v>89993</v>
      </c>
      <c r="G4141" s="470" t="s">
        <v>4453</v>
      </c>
      <c r="H4141" s="471" t="s">
        <v>15528</v>
      </c>
      <c r="I4141" s="472">
        <v>9.6000000000000002e-002</v>
      </c>
      <c r="J4141" s="473">
        <f t="shared" si="1930"/>
        <v>1072.4000000000001</v>
      </c>
      <c r="K4141" s="474">
        <f t="shared" si="1929"/>
        <v>102.95040000000002</v>
      </c>
      <c r="L4141" s="433"/>
      <c r="M4141" s="474"/>
      <c r="O4141" s="434">
        <f t="shared" si="1931"/>
        <v>1072.4000000000001</v>
      </c>
      <c r="P4141" s="435">
        <f t="shared" si="1932"/>
        <v>1045.25</v>
      </c>
      <c r="AE4141" s="217"/>
      <c r="AF4141" s="217"/>
    </row>
    <row r="4142" ht="45" hidden="1">
      <c r="A4142" s="217"/>
      <c r="B4142" s="217">
        <v>1484</v>
      </c>
      <c r="C4142" s="217"/>
      <c r="D4142" s="217" t="s">
        <v>17167</v>
      </c>
      <c r="E4142" s="471" t="s">
        <v>22002</v>
      </c>
      <c r="F4142" s="482">
        <v>89995</v>
      </c>
      <c r="G4142" s="470" t="s">
        <v>4452</v>
      </c>
      <c r="H4142" s="471" t="s">
        <v>15528</v>
      </c>
      <c r="I4142" s="472">
        <v>0.309</v>
      </c>
      <c r="J4142" s="473">
        <f t="shared" si="1930"/>
        <v>1033.8599999999999</v>
      </c>
      <c r="K4142" s="474">
        <f t="shared" si="1929"/>
        <v>319.46273999999994</v>
      </c>
      <c r="L4142" s="433"/>
      <c r="M4142" s="474"/>
      <c r="O4142" s="434">
        <f t="shared" si="1931"/>
        <v>1033.8599999999999</v>
      </c>
      <c r="P4142" s="435">
        <f t="shared" si="1932"/>
        <v>1008.86</v>
      </c>
      <c r="AE4142" s="217"/>
      <c r="AF4142" s="217"/>
    </row>
    <row r="4143" ht="45" hidden="1">
      <c r="A4143" s="217"/>
      <c r="B4143" s="217">
        <v>1484</v>
      </c>
      <c r="C4143" s="217"/>
      <c r="D4143" s="217" t="s">
        <v>17167</v>
      </c>
      <c r="E4143" s="471" t="s">
        <v>22003</v>
      </c>
      <c r="F4143" s="482">
        <v>102920</v>
      </c>
      <c r="G4143" s="470" t="s">
        <v>4434</v>
      </c>
      <c r="H4143" s="471" t="s">
        <v>302</v>
      </c>
      <c r="I4143" s="472">
        <v>51.299999999999997</v>
      </c>
      <c r="J4143" s="473">
        <f t="shared" si="1930"/>
        <v>8.1099999999999994</v>
      </c>
      <c r="K4143" s="474">
        <f t="shared" si="1929"/>
        <v>416.04299999999995</v>
      </c>
      <c r="L4143" s="433"/>
      <c r="M4143" s="474"/>
      <c r="O4143" s="434">
        <f t="shared" si="1931"/>
        <v>8.1099999999999994</v>
      </c>
      <c r="P4143" s="435">
        <f t="shared" si="1932"/>
        <v>8.0299999999999994</v>
      </c>
      <c r="AE4143" s="217"/>
      <c r="AF4143" s="217"/>
    </row>
    <row r="4144" ht="45" hidden="1">
      <c r="A4144" s="217"/>
      <c r="B4144" s="217">
        <v>1484</v>
      </c>
      <c r="C4144" s="217"/>
      <c r="D4144" s="217" t="s">
        <v>17167</v>
      </c>
      <c r="E4144" s="471" t="s">
        <v>22302</v>
      </c>
      <c r="F4144" s="482">
        <v>89996</v>
      </c>
      <c r="G4144" s="470" t="s">
        <v>4440</v>
      </c>
      <c r="H4144" s="471" t="s">
        <v>302</v>
      </c>
      <c r="I4144" s="472">
        <v>36.5</v>
      </c>
      <c r="J4144" s="473">
        <f t="shared" si="1930"/>
        <v>10.470000000000001</v>
      </c>
      <c r="K4144" s="474">
        <f t="shared" si="1929"/>
        <v>382.15500000000003</v>
      </c>
      <c r="L4144" s="433"/>
      <c r="M4144" s="474"/>
      <c r="O4144" s="434">
        <f t="shared" si="1931"/>
        <v>10.470000000000001</v>
      </c>
      <c r="P4144" s="435">
        <f t="shared" si="1932"/>
        <v>10.33</v>
      </c>
      <c r="AE4144" s="217"/>
      <c r="AF4144" s="217"/>
    </row>
    <row r="4145" ht="90" hidden="1">
      <c r="A4145" s="217"/>
      <c r="B4145" s="217">
        <v>1484</v>
      </c>
      <c r="C4145" s="217"/>
      <c r="D4145" s="217" t="s">
        <v>17167</v>
      </c>
      <c r="E4145" s="471" t="s">
        <v>22305</v>
      </c>
      <c r="F4145" s="482">
        <v>87286</v>
      </c>
      <c r="G4145" s="470" t="s">
        <v>174</v>
      </c>
      <c r="H4145" s="471" t="s">
        <v>15528</v>
      </c>
      <c r="I4145" s="472">
        <v>0.22900000000000001</v>
      </c>
      <c r="J4145" s="473">
        <f t="shared" si="1930"/>
        <v>607.99000000000001</v>
      </c>
      <c r="K4145" s="474">
        <f t="shared" si="1929"/>
        <v>139.22971000000001</v>
      </c>
      <c r="L4145" s="433"/>
      <c r="M4145" s="474"/>
      <c r="O4145" s="434">
        <f t="shared" si="1931"/>
        <v>607.99000000000001</v>
      </c>
      <c r="P4145" s="435">
        <f t="shared" si="1932"/>
        <v>599.37</v>
      </c>
      <c r="AE4145" s="217"/>
      <c r="AF4145" s="217"/>
    </row>
    <row r="4146" ht="75" hidden="1">
      <c r="A4146" s="217"/>
      <c r="B4146" s="217">
        <v>1484</v>
      </c>
      <c r="C4146" s="217"/>
      <c r="D4146" s="217" t="s">
        <v>17167</v>
      </c>
      <c r="E4146" s="471" t="s">
        <v>22306</v>
      </c>
      <c r="F4146" s="482">
        <v>100475</v>
      </c>
      <c r="G4146" s="470" t="s">
        <v>205</v>
      </c>
      <c r="H4146" s="471" t="s">
        <v>15528</v>
      </c>
      <c r="I4146" s="472">
        <v>0.42699999999999999</v>
      </c>
      <c r="J4146" s="473">
        <f t="shared" si="1930"/>
        <v>725.75</v>
      </c>
      <c r="K4146" s="474">
        <f t="shared" si="1929"/>
        <v>309.89524999999998</v>
      </c>
      <c r="L4146" s="433"/>
      <c r="M4146" s="474"/>
      <c r="O4146" s="434">
        <f t="shared" si="1931"/>
        <v>725.75</v>
      </c>
      <c r="P4146" s="435">
        <f t="shared" si="1932"/>
        <v>719.49000000000001</v>
      </c>
      <c r="AE4146" s="217"/>
      <c r="AF4146" s="217"/>
    </row>
    <row r="4147" ht="110.25" hidden="1">
      <c r="A4147" s="217"/>
      <c r="B4147" s="460">
        <v>1485</v>
      </c>
      <c r="C4147" s="460"/>
      <c r="D4147" s="460"/>
      <c r="E4147" s="461">
        <v>1</v>
      </c>
      <c r="F4147" s="462" t="s">
        <v>22495</v>
      </c>
      <c r="G4147" s="477" t="s">
        <v>22496</v>
      </c>
      <c r="H4147" s="478" t="s">
        <v>20647</v>
      </c>
      <c r="I4147" s="479"/>
      <c r="J4147" s="480"/>
      <c r="K4147" s="466">
        <f>SUM(K4148:K4171)</f>
        <v>31318.163366000008</v>
      </c>
      <c r="L4147" s="433"/>
      <c r="M4147" s="474"/>
      <c r="O4147" s="434" t="str">
        <f t="shared" si="1931"/>
        <v xml:space="preserve">SEM VALOR</v>
      </c>
      <c r="P4147" s="435" t="str">
        <f t="shared" si="1932"/>
        <v xml:space="preserve">SEM VALOR</v>
      </c>
      <c r="AE4147" s="217"/>
      <c r="AF4147" s="217"/>
    </row>
    <row r="4148" ht="30" hidden="1">
      <c r="A4148" s="217"/>
      <c r="B4148" s="217">
        <v>1485</v>
      </c>
      <c r="C4148" s="217"/>
      <c r="D4148" s="217" t="s">
        <v>17167</v>
      </c>
      <c r="E4148" s="471" t="s">
        <v>20399</v>
      </c>
      <c r="F4148" s="482">
        <v>88309</v>
      </c>
      <c r="G4148" s="470" t="s">
        <v>7385</v>
      </c>
      <c r="H4148" s="471" t="s">
        <v>2032</v>
      </c>
      <c r="I4148" s="472">
        <v>13.4899</v>
      </c>
      <c r="J4148" s="473">
        <f t="shared" si="1930"/>
        <v>28.5</v>
      </c>
      <c r="K4148" s="474">
        <f t="shared" si="1929"/>
        <v>384.46215000000001</v>
      </c>
      <c r="L4148" s="433"/>
      <c r="M4148" s="474"/>
      <c r="O4148" s="434">
        <f t="shared" si="1931"/>
        <v>28.5</v>
      </c>
      <c r="P4148" s="435">
        <f t="shared" si="1932"/>
        <v>26.870000000000001</v>
      </c>
      <c r="AE4148" s="217"/>
      <c r="AF4148" s="217"/>
    </row>
    <row r="4149" ht="30" hidden="1">
      <c r="A4149" s="217"/>
      <c r="B4149" s="217">
        <v>1485</v>
      </c>
      <c r="C4149" s="217"/>
      <c r="D4149" s="217" t="s">
        <v>17167</v>
      </c>
      <c r="E4149" s="471" t="s">
        <v>20402</v>
      </c>
      <c r="F4149" s="482">
        <v>88316</v>
      </c>
      <c r="G4149" s="488" t="s">
        <v>7393</v>
      </c>
      <c r="H4149" s="471" t="s">
        <v>2032</v>
      </c>
      <c r="I4149" s="472">
        <v>10.3879</v>
      </c>
      <c r="J4149" s="473">
        <f t="shared" si="1930"/>
        <v>22.760000000000002</v>
      </c>
      <c r="K4149" s="474">
        <f t="shared" si="1929"/>
        <v>236.42860400000001</v>
      </c>
      <c r="L4149" s="433"/>
      <c r="M4149" s="474"/>
      <c r="O4149" s="434">
        <f t="shared" si="1931"/>
        <v>22.760000000000002</v>
      </c>
      <c r="P4149" s="435">
        <f t="shared" si="1932"/>
        <v>21.550000000000001</v>
      </c>
      <c r="AE4149" s="217"/>
      <c r="AF4149" s="217"/>
    </row>
    <row r="4150" ht="30" hidden="1">
      <c r="A4150" s="217"/>
      <c r="B4150" s="217">
        <v>1485</v>
      </c>
      <c r="C4150" s="217"/>
      <c r="D4150" s="217" t="s">
        <v>20408</v>
      </c>
      <c r="E4150" s="471" t="s">
        <v>20405</v>
      </c>
      <c r="F4150" s="482">
        <v>34573</v>
      </c>
      <c r="G4150" s="488" t="s">
        <v>20262</v>
      </c>
      <c r="H4150" s="471" t="s">
        <v>31</v>
      </c>
      <c r="I4150" s="472">
        <v>90.200000000000003</v>
      </c>
      <c r="J4150" s="473">
        <f t="shared" si="1930"/>
        <v>5.46</v>
      </c>
      <c r="K4150" s="474">
        <f t="shared" si="1929"/>
        <v>492.49200000000002</v>
      </c>
      <c r="L4150" s="433"/>
      <c r="M4150" s="474"/>
      <c r="O4150" s="434">
        <f t="shared" si="1931"/>
        <v>5.46</v>
      </c>
      <c r="P4150" s="435">
        <f t="shared" si="1932"/>
        <v>5.46</v>
      </c>
      <c r="AE4150" s="217"/>
      <c r="AF4150" s="217"/>
    </row>
    <row r="4151" ht="45" hidden="1">
      <c r="A4151" s="217"/>
      <c r="B4151" s="217">
        <v>1485</v>
      </c>
      <c r="C4151" s="217"/>
      <c r="D4151" s="217" t="s">
        <v>20408</v>
      </c>
      <c r="E4151" s="471" t="s">
        <v>20409</v>
      </c>
      <c r="F4151" s="482">
        <v>38594</v>
      </c>
      <c r="G4151" s="488" t="s">
        <v>20264</v>
      </c>
      <c r="H4151" s="471" t="s">
        <v>31</v>
      </c>
      <c r="I4151" s="472">
        <v>16.079999999999998</v>
      </c>
      <c r="J4151" s="473">
        <f t="shared" si="1930"/>
        <v>6.0899999999999999</v>
      </c>
      <c r="K4151" s="474">
        <f t="shared" si="1929"/>
        <v>97.927199999999985</v>
      </c>
      <c r="L4151" s="589" t="s">
        <v>22494</v>
      </c>
      <c r="M4151" s="474"/>
      <c r="N4151" s="589" t="s">
        <v>22494</v>
      </c>
      <c r="O4151" s="434">
        <f t="shared" si="1931"/>
        <v>6.0899999999999999</v>
      </c>
      <c r="P4151" s="435">
        <f t="shared" si="1932"/>
        <v>6.0899999999999999</v>
      </c>
      <c r="Q4151" s="664">
        <v>0.80000000000000004</v>
      </c>
      <c r="AE4151" s="217"/>
      <c r="AF4151" s="217"/>
    </row>
    <row r="4152" ht="45" hidden="1">
      <c r="A4152" s="217"/>
      <c r="B4152" s="217">
        <v>1485</v>
      </c>
      <c r="C4152" s="217"/>
      <c r="D4152" s="217" t="s">
        <v>20408</v>
      </c>
      <c r="E4152" s="471" t="s">
        <v>20663</v>
      </c>
      <c r="F4152" s="482">
        <v>38600</v>
      </c>
      <c r="G4152" s="488" t="s">
        <v>20266</v>
      </c>
      <c r="H4152" s="471" t="s">
        <v>31</v>
      </c>
      <c r="I4152" s="472">
        <v>24.120000000000001</v>
      </c>
      <c r="J4152" s="473">
        <f t="shared" si="1930"/>
        <v>7.3399999999999999</v>
      </c>
      <c r="K4152" s="474">
        <f t="shared" si="1929"/>
        <v>177.04079999999999</v>
      </c>
      <c r="L4152" s="589" t="s">
        <v>22494</v>
      </c>
      <c r="M4152" s="474"/>
      <c r="N4152" s="589" t="s">
        <v>22494</v>
      </c>
      <c r="O4152" s="434">
        <f t="shared" si="1931"/>
        <v>7.3399999999999999</v>
      </c>
      <c r="P4152" s="435">
        <f t="shared" si="1932"/>
        <v>7.3399999999999999</v>
      </c>
      <c r="AE4152" s="217"/>
      <c r="AF4152" s="217"/>
    </row>
    <row r="4153" ht="75" hidden="1">
      <c r="A4153" s="217"/>
      <c r="B4153" s="217">
        <v>1485</v>
      </c>
      <c r="C4153" s="217"/>
      <c r="D4153" s="217" t="s">
        <v>17167</v>
      </c>
      <c r="E4153" s="471" t="s">
        <v>20665</v>
      </c>
      <c r="F4153" s="482">
        <v>97083</v>
      </c>
      <c r="G4153" s="470" t="s">
        <v>8822</v>
      </c>
      <c r="H4153" s="471" t="s">
        <v>15515</v>
      </c>
      <c r="I4153" s="472">
        <v>26.699999999999999</v>
      </c>
      <c r="J4153" s="473">
        <f t="shared" si="1930"/>
        <v>3.4900000000000002</v>
      </c>
      <c r="K4153" s="474">
        <f t="shared" si="1929"/>
        <v>93.183000000000007</v>
      </c>
      <c r="L4153" s="433"/>
      <c r="M4153" s="474"/>
      <c r="O4153" s="434">
        <f t="shared" si="1931"/>
        <v>3.4900000000000002</v>
      </c>
      <c r="P4153" s="435">
        <f t="shared" si="1932"/>
        <v>3.2999999999999998</v>
      </c>
      <c r="AE4153" s="217"/>
      <c r="AF4153" s="217"/>
    </row>
    <row r="4154" ht="75" hidden="1">
      <c r="A4154" s="217"/>
      <c r="B4154" s="217">
        <v>1485</v>
      </c>
      <c r="C4154" s="217"/>
      <c r="D4154" s="217" t="s">
        <v>17167</v>
      </c>
      <c r="E4154" s="471" t="s">
        <v>20667</v>
      </c>
      <c r="F4154" s="482">
        <v>100324</v>
      </c>
      <c r="G4154" s="470" t="s">
        <v>6998</v>
      </c>
      <c r="H4154" s="471" t="s">
        <v>15528</v>
      </c>
      <c r="I4154" s="472">
        <v>2.6699999999999999</v>
      </c>
      <c r="J4154" s="473">
        <f t="shared" si="1930"/>
        <v>179.66</v>
      </c>
      <c r="K4154" s="474">
        <f t="shared" si="1929"/>
        <v>479.69219999999996</v>
      </c>
      <c r="L4154" s="433"/>
      <c r="M4154" s="474"/>
      <c r="O4154" s="434">
        <f t="shared" si="1931"/>
        <v>179.66</v>
      </c>
      <c r="P4154" s="435">
        <f t="shared" si="1932"/>
        <v>176.31999999999999</v>
      </c>
      <c r="AE4154" s="217"/>
      <c r="AF4154" s="217"/>
    </row>
    <row r="4155" ht="45" hidden="1">
      <c r="A4155" s="217"/>
      <c r="B4155" s="217">
        <v>1485</v>
      </c>
      <c r="C4155" s="217"/>
      <c r="D4155" s="217" t="s">
        <v>17167</v>
      </c>
      <c r="E4155" s="471" t="s">
        <v>20671</v>
      </c>
      <c r="F4155" s="482">
        <v>96620</v>
      </c>
      <c r="G4155" s="470" t="s">
        <v>7009</v>
      </c>
      <c r="H4155" s="471" t="s">
        <v>121</v>
      </c>
      <c r="I4155" s="472">
        <v>1.7050000000000001</v>
      </c>
      <c r="J4155" s="473">
        <f t="shared" si="1930"/>
        <v>722.99000000000001</v>
      </c>
      <c r="K4155" s="474">
        <f t="shared" si="1929"/>
        <v>1232.69795</v>
      </c>
      <c r="L4155" s="433"/>
      <c r="M4155" s="474"/>
      <c r="O4155" s="434">
        <f t="shared" si="1931"/>
        <v>722.99000000000001</v>
      </c>
      <c r="P4155" s="435">
        <f t="shared" si="1932"/>
        <v>705.89999999999998</v>
      </c>
      <c r="AE4155" s="217"/>
      <c r="AF4155" s="217"/>
    </row>
    <row r="4156" ht="75" hidden="1">
      <c r="A4156" s="217"/>
      <c r="B4156" s="217">
        <v>1485</v>
      </c>
      <c r="C4156" s="217"/>
      <c r="D4156" s="217" t="s">
        <v>17167</v>
      </c>
      <c r="E4156" s="471" t="s">
        <v>20672</v>
      </c>
      <c r="F4156" s="482">
        <v>94971</v>
      </c>
      <c r="G4156" s="470" t="s">
        <v>8716</v>
      </c>
      <c r="H4156" s="471" t="s">
        <v>15528</v>
      </c>
      <c r="I4156" s="472">
        <v>14.332000000000001</v>
      </c>
      <c r="J4156" s="473">
        <f t="shared" si="1930"/>
        <v>502.49000000000001</v>
      </c>
      <c r="K4156" s="474">
        <f t="shared" si="1929"/>
        <v>7201.6866800000007</v>
      </c>
      <c r="L4156" s="433"/>
      <c r="M4156" s="474"/>
      <c r="O4156" s="434">
        <f t="shared" si="1931"/>
        <v>502.49000000000001</v>
      </c>
      <c r="P4156" s="435">
        <f t="shared" si="1932"/>
        <v>498.00999999999999</v>
      </c>
      <c r="AE4156" s="217"/>
      <c r="AF4156" s="217"/>
    </row>
    <row r="4157" ht="60" hidden="1">
      <c r="A4157" s="217"/>
      <c r="B4157" s="217">
        <v>1485</v>
      </c>
      <c r="C4157" s="217"/>
      <c r="D4157" s="217" t="s">
        <v>17167</v>
      </c>
      <c r="E4157" s="471" t="s">
        <v>20673</v>
      </c>
      <c r="F4157" s="482">
        <v>103670</v>
      </c>
      <c r="G4157" s="470" t="s">
        <v>1387</v>
      </c>
      <c r="H4157" s="471" t="s">
        <v>15528</v>
      </c>
      <c r="I4157" s="472">
        <v>14.332000000000001</v>
      </c>
      <c r="J4157" s="473">
        <f t="shared" si="1930"/>
        <v>308.60000000000002</v>
      </c>
      <c r="K4157" s="474">
        <f t="shared" si="1929"/>
        <v>4422.8552000000009</v>
      </c>
      <c r="L4157" s="433"/>
      <c r="M4157" s="474"/>
      <c r="O4157" s="434">
        <f t="shared" si="1931"/>
        <v>308.60000000000002</v>
      </c>
      <c r="P4157" s="435">
        <f t="shared" si="1932"/>
        <v>291.69999999999999</v>
      </c>
      <c r="AE4157" s="217"/>
      <c r="AF4157" s="217"/>
    </row>
    <row r="4158" ht="75" hidden="1">
      <c r="A4158" s="217"/>
      <c r="B4158" s="217">
        <v>1485</v>
      </c>
      <c r="C4158" s="217"/>
      <c r="D4158" s="217" t="s">
        <v>17167</v>
      </c>
      <c r="E4158" s="471" t="s">
        <v>20675</v>
      </c>
      <c r="F4158" s="482">
        <v>97086</v>
      </c>
      <c r="G4158" s="470" t="s">
        <v>8858</v>
      </c>
      <c r="H4158" s="471" t="s">
        <v>15515</v>
      </c>
      <c r="I4158" s="472">
        <v>6.21</v>
      </c>
      <c r="J4158" s="473">
        <f t="shared" si="1930"/>
        <v>133.02000000000001</v>
      </c>
      <c r="K4158" s="474">
        <f t="shared" si="1929"/>
        <v>826.05420000000004</v>
      </c>
      <c r="L4158" s="433"/>
      <c r="M4158" s="474"/>
      <c r="O4158" s="434">
        <f t="shared" si="1931"/>
        <v>133.02000000000001</v>
      </c>
      <c r="P4158" s="435">
        <f t="shared" si="1932"/>
        <v>127.40000000000001</v>
      </c>
      <c r="AE4158" s="217"/>
      <c r="AF4158" s="217"/>
    </row>
    <row r="4159" ht="45" hidden="1">
      <c r="A4159" s="217"/>
      <c r="B4159" s="217">
        <v>1485</v>
      </c>
      <c r="C4159" s="217"/>
      <c r="D4159" s="217" t="s">
        <v>17167</v>
      </c>
      <c r="E4159" s="471" t="s">
        <v>20677</v>
      </c>
      <c r="F4159" s="482">
        <v>92267</v>
      </c>
      <c r="G4159" s="470" t="s">
        <v>4254</v>
      </c>
      <c r="H4159" s="471" t="s">
        <v>15515</v>
      </c>
      <c r="I4159" s="472">
        <v>7.5490000000000004</v>
      </c>
      <c r="J4159" s="473">
        <f t="shared" si="1930"/>
        <v>50.18</v>
      </c>
      <c r="K4159" s="474">
        <f t="shared" si="1929"/>
        <v>378.80882000000003</v>
      </c>
      <c r="L4159" s="433"/>
      <c r="M4159" s="474"/>
      <c r="O4159" s="434">
        <f t="shared" si="1931"/>
        <v>50.18</v>
      </c>
      <c r="P4159" s="435">
        <f t="shared" si="1932"/>
        <v>50.109999999999999</v>
      </c>
      <c r="AE4159" s="217"/>
      <c r="AF4159" s="217"/>
    </row>
    <row r="4160" ht="90" hidden="1">
      <c r="A4160" s="217"/>
      <c r="B4160" s="217">
        <v>1485</v>
      </c>
      <c r="C4160" s="217"/>
      <c r="D4160" s="217" t="s">
        <v>17167</v>
      </c>
      <c r="E4160" s="471" t="s">
        <v>20679</v>
      </c>
      <c r="F4160" s="482">
        <v>92419</v>
      </c>
      <c r="G4160" s="470" t="s">
        <v>4308</v>
      </c>
      <c r="H4160" s="471" t="s">
        <v>15515</v>
      </c>
      <c r="I4160" s="472">
        <v>52.581800000000001</v>
      </c>
      <c r="J4160" s="473">
        <f t="shared" si="1930"/>
        <v>96.239999999999995</v>
      </c>
      <c r="K4160" s="474">
        <f t="shared" si="1929"/>
        <v>5060.4724319999996</v>
      </c>
      <c r="L4160" s="433"/>
      <c r="M4160" s="474"/>
      <c r="O4160" s="434">
        <f t="shared" si="1931"/>
        <v>96.239999999999995</v>
      </c>
      <c r="P4160" s="435">
        <f t="shared" si="1932"/>
        <v>93.900000000000006</v>
      </c>
      <c r="AE4160" s="217"/>
      <c r="AF4160" s="217"/>
    </row>
    <row r="4161" ht="60" hidden="1">
      <c r="A4161" s="217"/>
      <c r="B4161" s="217">
        <v>1485</v>
      </c>
      <c r="C4161" s="217"/>
      <c r="D4161" s="217" t="s">
        <v>17167</v>
      </c>
      <c r="E4161" s="471" t="s">
        <v>20681</v>
      </c>
      <c r="F4161" s="482">
        <v>97093</v>
      </c>
      <c r="G4161" s="470" t="s">
        <v>8818</v>
      </c>
      <c r="H4161" s="471" t="s">
        <v>302</v>
      </c>
      <c r="I4161" s="472">
        <v>124.8</v>
      </c>
      <c r="J4161" s="473">
        <f t="shared" si="1930"/>
        <v>12.140000000000001</v>
      </c>
      <c r="K4161" s="474">
        <f t="shared" si="1929"/>
        <v>1515.0720000000001</v>
      </c>
      <c r="L4161" s="433"/>
      <c r="M4161" s="474"/>
      <c r="O4161" s="434">
        <f t="shared" si="1931"/>
        <v>12.140000000000001</v>
      </c>
      <c r="P4161" s="435">
        <f t="shared" si="1932"/>
        <v>12.109999999999999</v>
      </c>
      <c r="AE4161" s="217"/>
      <c r="AF4161" s="217"/>
    </row>
    <row r="4162" ht="60" hidden="1">
      <c r="A4162" s="217"/>
      <c r="B4162" s="217">
        <v>1485</v>
      </c>
      <c r="C4162" s="217"/>
      <c r="D4162" s="217" t="s">
        <v>17167</v>
      </c>
      <c r="E4162" s="471" t="s">
        <v>20683</v>
      </c>
      <c r="F4162" s="482">
        <v>92769</v>
      </c>
      <c r="G4162" s="470" t="s">
        <v>327</v>
      </c>
      <c r="H4162" s="471" t="s">
        <v>302</v>
      </c>
      <c r="I4162" s="472">
        <v>134.90000000000001</v>
      </c>
      <c r="J4162" s="473">
        <f t="shared" si="1930"/>
        <v>12.42</v>
      </c>
      <c r="K4162" s="474">
        <f t="shared" si="1929"/>
        <v>1675.4580000000001</v>
      </c>
      <c r="L4162" s="433"/>
      <c r="M4162" s="474"/>
      <c r="O4162" s="434">
        <f t="shared" si="1931"/>
        <v>12.42</v>
      </c>
      <c r="P4162" s="435">
        <f t="shared" si="1932"/>
        <v>12.26</v>
      </c>
      <c r="AE4162" s="217"/>
      <c r="AF4162" s="217"/>
    </row>
    <row r="4163" ht="60" hidden="1">
      <c r="A4163" s="217"/>
      <c r="B4163" s="217">
        <v>1485</v>
      </c>
      <c r="C4163" s="217"/>
      <c r="D4163" s="217" t="s">
        <v>17167</v>
      </c>
      <c r="E4163" s="471" t="s">
        <v>20685</v>
      </c>
      <c r="F4163" s="482">
        <v>92771</v>
      </c>
      <c r="G4163" s="470" t="s">
        <v>323</v>
      </c>
      <c r="H4163" s="471" t="s">
        <v>302</v>
      </c>
      <c r="I4163" s="472">
        <v>106.8</v>
      </c>
      <c r="J4163" s="473">
        <f t="shared" si="1930"/>
        <v>10.25</v>
      </c>
      <c r="K4163" s="474">
        <f t="shared" si="1929"/>
        <v>1094.7</v>
      </c>
      <c r="L4163" s="433"/>
      <c r="M4163" s="474"/>
      <c r="O4163" s="434">
        <f t="shared" si="1931"/>
        <v>10.25</v>
      </c>
      <c r="P4163" s="435">
        <f t="shared" si="1932"/>
        <v>10.199999999999999</v>
      </c>
      <c r="AE4163" s="217"/>
      <c r="AF4163" s="217"/>
    </row>
    <row r="4164" ht="60" hidden="1">
      <c r="A4164" s="217"/>
      <c r="B4164" s="217">
        <v>1485</v>
      </c>
      <c r="C4164" s="217"/>
      <c r="D4164" s="217" t="s">
        <v>17167</v>
      </c>
      <c r="E4164" s="471" t="s">
        <v>20687</v>
      </c>
      <c r="F4164" s="482">
        <v>92772</v>
      </c>
      <c r="G4164" s="470" t="s">
        <v>324</v>
      </c>
      <c r="H4164" s="471" t="s">
        <v>302</v>
      </c>
      <c r="I4164" s="472">
        <v>18.899999999999999</v>
      </c>
      <c r="J4164" s="473">
        <f t="shared" si="1930"/>
        <v>8.5600000000000005</v>
      </c>
      <c r="K4164" s="474">
        <f t="shared" si="1929"/>
        <v>161.78399999999999</v>
      </c>
      <c r="L4164" s="433"/>
      <c r="M4164" s="474"/>
      <c r="O4164" s="434">
        <f t="shared" si="1931"/>
        <v>8.5600000000000005</v>
      </c>
      <c r="P4164" s="435">
        <f t="shared" si="1932"/>
        <v>8.5299999999999994</v>
      </c>
      <c r="AE4164" s="217"/>
      <c r="AF4164" s="217"/>
    </row>
    <row r="4165" ht="60" hidden="1">
      <c r="A4165" s="217"/>
      <c r="B4165" s="217">
        <v>1485</v>
      </c>
      <c r="C4165" s="217"/>
      <c r="D4165" s="217" t="s">
        <v>17167</v>
      </c>
      <c r="E4165" s="471" t="s">
        <v>20689</v>
      </c>
      <c r="F4165" s="482">
        <v>92773</v>
      </c>
      <c r="G4165" s="470" t="s">
        <v>325</v>
      </c>
      <c r="H4165" s="471" t="s">
        <v>302</v>
      </c>
      <c r="I4165" s="472">
        <v>529.60000000000002</v>
      </c>
      <c r="J4165" s="473">
        <f t="shared" si="1930"/>
        <v>8.3900000000000006</v>
      </c>
      <c r="K4165" s="474">
        <f t="shared" si="1929"/>
        <v>4443.3440000000001</v>
      </c>
      <c r="L4165" s="433"/>
      <c r="M4165" s="474"/>
      <c r="O4165" s="434">
        <f t="shared" si="1931"/>
        <v>8.3900000000000006</v>
      </c>
      <c r="P4165" s="435">
        <f t="shared" si="1932"/>
        <v>8.3599999999999994</v>
      </c>
      <c r="AE4165" s="217"/>
      <c r="AF4165" s="217"/>
    </row>
    <row r="4166" ht="30" hidden="1">
      <c r="A4166" s="217"/>
      <c r="B4166" s="217">
        <v>1485</v>
      </c>
      <c r="C4166" s="217"/>
      <c r="D4166" s="217" t="s">
        <v>17167</v>
      </c>
      <c r="E4166" s="471" t="s">
        <v>20882</v>
      </c>
      <c r="F4166" s="482">
        <v>89993</v>
      </c>
      <c r="G4166" s="470" t="s">
        <v>4453</v>
      </c>
      <c r="H4166" s="471" t="s">
        <v>15528</v>
      </c>
      <c r="I4166" s="472">
        <v>8.5999999999999993e-002</v>
      </c>
      <c r="J4166" s="473">
        <f t="shared" si="1930"/>
        <v>1072.4000000000001</v>
      </c>
      <c r="K4166" s="474">
        <f t="shared" si="1929"/>
        <v>92.226399999999998</v>
      </c>
      <c r="L4166" s="433"/>
      <c r="M4166" s="474"/>
      <c r="O4166" s="434">
        <f t="shared" si="1931"/>
        <v>1072.4000000000001</v>
      </c>
      <c r="P4166" s="435">
        <f t="shared" si="1932"/>
        <v>1045.25</v>
      </c>
      <c r="AE4166" s="217"/>
      <c r="AF4166" s="217"/>
    </row>
    <row r="4167" ht="45" hidden="1">
      <c r="A4167" s="217"/>
      <c r="B4167" s="217">
        <v>1485</v>
      </c>
      <c r="C4167" s="217"/>
      <c r="D4167" s="217" t="s">
        <v>17167</v>
      </c>
      <c r="E4167" s="471" t="s">
        <v>22002</v>
      </c>
      <c r="F4167" s="482">
        <v>89995</v>
      </c>
      <c r="G4167" s="470" t="s">
        <v>4452</v>
      </c>
      <c r="H4167" s="471" t="s">
        <v>15528</v>
      </c>
      <c r="I4167" s="472">
        <v>0.14199999999999999</v>
      </c>
      <c r="J4167" s="473">
        <f t="shared" si="1930"/>
        <v>1033.8599999999999</v>
      </c>
      <c r="K4167" s="474">
        <f t="shared" si="1929"/>
        <v>146.80811999999997</v>
      </c>
      <c r="L4167" s="433"/>
      <c r="M4167" s="474"/>
      <c r="O4167" s="434">
        <f t="shared" si="1931"/>
        <v>1033.8599999999999</v>
      </c>
      <c r="P4167" s="435">
        <f t="shared" si="1932"/>
        <v>1008.86</v>
      </c>
      <c r="AE4167" s="217"/>
      <c r="AF4167" s="217"/>
    </row>
    <row r="4168" ht="45" hidden="1">
      <c r="A4168" s="217"/>
      <c r="B4168" s="217">
        <v>1485</v>
      </c>
      <c r="C4168" s="217"/>
      <c r="D4168" s="217" t="s">
        <v>17167</v>
      </c>
      <c r="E4168" s="471" t="s">
        <v>22003</v>
      </c>
      <c r="F4168" s="482">
        <v>102920</v>
      </c>
      <c r="G4168" s="470" t="s">
        <v>4434</v>
      </c>
      <c r="H4168" s="471" t="s">
        <v>302</v>
      </c>
      <c r="I4168" s="472">
        <v>49.299999999999997</v>
      </c>
      <c r="J4168" s="473">
        <f t="shared" si="1930"/>
        <v>8.1099999999999994</v>
      </c>
      <c r="K4168" s="474">
        <f t="shared" ref="K4168:K4231" si="1933">I4168*J4168</f>
        <v>399.82299999999992</v>
      </c>
      <c r="L4168" s="433"/>
      <c r="M4168" s="474"/>
      <c r="O4168" s="434">
        <f t="shared" si="1931"/>
        <v>8.1099999999999994</v>
      </c>
      <c r="P4168" s="435">
        <f t="shared" si="1932"/>
        <v>8.0299999999999994</v>
      </c>
      <c r="AE4168" s="217"/>
      <c r="AF4168" s="217"/>
    </row>
    <row r="4169" ht="45" hidden="1">
      <c r="A4169" s="217"/>
      <c r="B4169" s="217">
        <v>1485</v>
      </c>
      <c r="C4169" s="217"/>
      <c r="D4169" s="217" t="s">
        <v>17167</v>
      </c>
      <c r="E4169" s="471" t="s">
        <v>22302</v>
      </c>
      <c r="F4169" s="482">
        <v>89996</v>
      </c>
      <c r="G4169" s="470" t="s">
        <v>4440</v>
      </c>
      <c r="H4169" s="471" t="s">
        <v>302</v>
      </c>
      <c r="I4169" s="472">
        <v>37.100000000000001</v>
      </c>
      <c r="J4169" s="473">
        <f t="shared" si="1930"/>
        <v>10.470000000000001</v>
      </c>
      <c r="K4169" s="474">
        <f t="shared" si="1933"/>
        <v>388.43700000000001</v>
      </c>
      <c r="L4169" s="433"/>
      <c r="M4169" s="474"/>
      <c r="O4169" s="434">
        <f t="shared" si="1931"/>
        <v>10.470000000000001</v>
      </c>
      <c r="P4169" s="435">
        <f t="shared" si="1932"/>
        <v>10.33</v>
      </c>
      <c r="AE4169" s="217"/>
      <c r="AF4169" s="217"/>
    </row>
    <row r="4170" ht="90" hidden="1">
      <c r="A4170" s="217"/>
      <c r="B4170" s="217">
        <v>1485</v>
      </c>
      <c r="C4170" s="217"/>
      <c r="D4170" s="217" t="s">
        <v>17167</v>
      </c>
      <c r="E4170" s="471" t="s">
        <v>22305</v>
      </c>
      <c r="F4170" s="482">
        <v>87286</v>
      </c>
      <c r="G4170" s="470" t="s">
        <v>174</v>
      </c>
      <c r="H4170" s="471" t="s">
        <v>15528</v>
      </c>
      <c r="I4170" s="472">
        <v>0.16400000000000001</v>
      </c>
      <c r="J4170" s="473">
        <f t="shared" si="1930"/>
        <v>607.99000000000001</v>
      </c>
      <c r="K4170" s="474">
        <f t="shared" si="1933"/>
        <v>99.710360000000009</v>
      </c>
      <c r="L4170" s="433"/>
      <c r="M4170" s="474"/>
      <c r="O4170" s="434">
        <f t="shared" si="1931"/>
        <v>607.99000000000001</v>
      </c>
      <c r="P4170" s="435">
        <f t="shared" si="1932"/>
        <v>599.37</v>
      </c>
      <c r="AE4170" s="217"/>
      <c r="AF4170" s="217"/>
    </row>
    <row r="4171" ht="75" hidden="1">
      <c r="A4171" s="217"/>
      <c r="B4171" s="217">
        <v>1485</v>
      </c>
      <c r="C4171" s="217"/>
      <c r="D4171" s="217" t="s">
        <v>17167</v>
      </c>
      <c r="E4171" s="471" t="s">
        <v>22306</v>
      </c>
      <c r="F4171" s="482">
        <v>100475</v>
      </c>
      <c r="G4171" s="470" t="s">
        <v>205</v>
      </c>
      <c r="H4171" s="471" t="s">
        <v>15528</v>
      </c>
      <c r="I4171" s="472">
        <v>0.29899999999999999</v>
      </c>
      <c r="J4171" s="473">
        <f t="shared" si="1930"/>
        <v>725.75</v>
      </c>
      <c r="K4171" s="474">
        <f t="shared" si="1933"/>
        <v>216.99924999999999</v>
      </c>
      <c r="L4171" s="433"/>
      <c r="M4171" s="474"/>
      <c r="O4171" s="434">
        <f t="shared" si="1931"/>
        <v>725.75</v>
      </c>
      <c r="P4171" s="435">
        <f t="shared" si="1932"/>
        <v>719.49000000000001</v>
      </c>
      <c r="AE4171" s="217"/>
      <c r="AF4171" s="217"/>
    </row>
    <row r="4172" ht="78.75" hidden="1">
      <c r="A4172" s="217"/>
      <c r="B4172" s="460">
        <v>1486</v>
      </c>
      <c r="C4172" s="460"/>
      <c r="D4172" s="460"/>
      <c r="E4172" s="461">
        <v>1</v>
      </c>
      <c r="F4172" s="462" t="s">
        <v>22497</v>
      </c>
      <c r="G4172" s="477" t="s">
        <v>22498</v>
      </c>
      <c r="H4172" s="478" t="s">
        <v>20196</v>
      </c>
      <c r="I4172" s="479"/>
      <c r="J4172" s="480"/>
      <c r="K4172" s="466">
        <f>SUM(K4173:K4178)</f>
        <v>4902.8030949999993</v>
      </c>
      <c r="L4172" s="467" t="s">
        <v>22499</v>
      </c>
      <c r="M4172" s="474"/>
      <c r="N4172" s="467" t="s">
        <v>22499</v>
      </c>
      <c r="O4172" s="434" t="str">
        <f t="shared" si="1931"/>
        <v xml:space="preserve">SEM VALOR</v>
      </c>
      <c r="P4172" s="435" t="str">
        <f t="shared" si="1932"/>
        <v xml:space="preserve">SEM VALOR</v>
      </c>
      <c r="AE4172" s="217"/>
      <c r="AF4172" s="217"/>
    </row>
    <row r="4173" ht="75" hidden="1">
      <c r="A4173" s="217"/>
      <c r="B4173" s="217">
        <v>1486</v>
      </c>
      <c r="C4173" s="217"/>
      <c r="D4173" s="217" t="s">
        <v>17167</v>
      </c>
      <c r="E4173" s="471" t="s">
        <v>20399</v>
      </c>
      <c r="F4173" s="482">
        <v>94962</v>
      </c>
      <c r="G4173" s="572" t="s">
        <v>8726</v>
      </c>
      <c r="H4173" s="499" t="s">
        <v>15528</v>
      </c>
      <c r="I4173" s="558">
        <v>0.28410000000000002</v>
      </c>
      <c r="J4173" s="473">
        <f t="shared" si="1930"/>
        <v>393.05000000000001</v>
      </c>
      <c r="K4173" s="474">
        <f t="shared" si="1933"/>
        <v>111.66550500000001</v>
      </c>
      <c r="L4173" s="433"/>
      <c r="M4173" s="474"/>
      <c r="O4173" s="434">
        <f t="shared" si="1931"/>
        <v>393.05000000000001</v>
      </c>
      <c r="P4173" s="435">
        <f t="shared" si="1932"/>
        <v>387.73000000000002</v>
      </c>
      <c r="AE4173" s="217"/>
      <c r="AF4173" s="217"/>
    </row>
    <row r="4174" ht="60" hidden="1">
      <c r="A4174" s="217"/>
      <c r="B4174" s="217">
        <v>1486</v>
      </c>
      <c r="C4174" s="217"/>
      <c r="D4174" s="217" t="s">
        <v>17167</v>
      </c>
      <c r="E4174" s="471" t="s">
        <v>20402</v>
      </c>
      <c r="F4174" s="482">
        <v>94964</v>
      </c>
      <c r="G4174" s="572" t="s">
        <v>8711</v>
      </c>
      <c r="H4174" s="499" t="s">
        <v>15528</v>
      </c>
      <c r="I4174" s="558">
        <v>2.9131999999999998</v>
      </c>
      <c r="J4174" s="473">
        <f t="shared" si="1930"/>
        <v>488.52999999999997</v>
      </c>
      <c r="K4174" s="474">
        <f t="shared" si="1933"/>
        <v>1423.1855959999998</v>
      </c>
      <c r="L4174" s="433"/>
      <c r="M4174" s="474"/>
      <c r="O4174" s="434">
        <f t="shared" si="1931"/>
        <v>488.52999999999997</v>
      </c>
      <c r="P4174" s="435">
        <f t="shared" si="1932"/>
        <v>482.79000000000002</v>
      </c>
      <c r="AE4174" s="217"/>
      <c r="AF4174" s="217"/>
    </row>
    <row r="4175" ht="60" hidden="1">
      <c r="A4175" s="217"/>
      <c r="B4175" s="217">
        <v>1486</v>
      </c>
      <c r="C4175" s="217"/>
      <c r="D4175" s="217" t="s">
        <v>17167</v>
      </c>
      <c r="E4175" s="471" t="s">
        <v>20405</v>
      </c>
      <c r="F4175" s="482">
        <v>96536</v>
      </c>
      <c r="G4175" s="572" t="s">
        <v>21415</v>
      </c>
      <c r="H4175" s="482" t="s">
        <v>15515</v>
      </c>
      <c r="I4175" s="558">
        <v>12.2661</v>
      </c>
      <c r="J4175" s="473">
        <f t="shared" si="1930"/>
        <v>63.439999999999998</v>
      </c>
      <c r="K4175" s="474">
        <f t="shared" si="1933"/>
        <v>778.161384</v>
      </c>
      <c r="L4175" s="433"/>
      <c r="M4175" s="474"/>
      <c r="O4175" s="434">
        <f t="shared" si="1931"/>
        <v>63.439999999999998</v>
      </c>
      <c r="P4175" s="435">
        <f t="shared" si="1932"/>
        <v>60.950000000000003</v>
      </c>
      <c r="AE4175" s="217"/>
      <c r="AF4175" s="217"/>
    </row>
    <row r="4176" ht="45" hidden="1">
      <c r="A4176" s="217"/>
      <c r="B4176" s="217">
        <v>1486</v>
      </c>
      <c r="C4176" s="217"/>
      <c r="D4176" s="217" t="s">
        <v>17167</v>
      </c>
      <c r="E4176" s="471" t="s">
        <v>20409</v>
      </c>
      <c r="F4176" s="482">
        <v>96544</v>
      </c>
      <c r="G4176" s="572" t="s">
        <v>4198</v>
      </c>
      <c r="H4176" s="482" t="s">
        <v>302</v>
      </c>
      <c r="I4176" s="558">
        <v>40.851399999999998</v>
      </c>
      <c r="J4176" s="473">
        <f t="shared" si="1930"/>
        <v>17.699999999999999</v>
      </c>
      <c r="K4176" s="474">
        <f t="shared" si="1933"/>
        <v>723.06977999999992</v>
      </c>
      <c r="L4176" s="433"/>
      <c r="M4176" s="474"/>
      <c r="O4176" s="434">
        <f t="shared" si="1931"/>
        <v>17.699999999999999</v>
      </c>
      <c r="P4176" s="435">
        <f t="shared" si="1932"/>
        <v>17.23</v>
      </c>
      <c r="AE4176" s="217"/>
      <c r="AF4176" s="217"/>
    </row>
    <row r="4177" ht="45" hidden="1">
      <c r="A4177" s="217"/>
      <c r="B4177" s="217">
        <v>1486</v>
      </c>
      <c r="C4177" s="217"/>
      <c r="D4177" s="217" t="s">
        <v>17167</v>
      </c>
      <c r="E4177" s="471" t="s">
        <v>20663</v>
      </c>
      <c r="F4177" s="482">
        <v>96545</v>
      </c>
      <c r="G4177" s="572" t="s">
        <v>4199</v>
      </c>
      <c r="H4177" s="482" t="s">
        <v>302</v>
      </c>
      <c r="I4177" s="558">
        <v>106.3973</v>
      </c>
      <c r="J4177" s="473">
        <f t="shared" si="1930"/>
        <v>15.82</v>
      </c>
      <c r="K4177" s="474">
        <f t="shared" si="1933"/>
        <v>1683.2052860000001</v>
      </c>
      <c r="L4177" s="433"/>
      <c r="M4177" s="474"/>
      <c r="O4177" s="434">
        <f t="shared" si="1931"/>
        <v>15.82</v>
      </c>
      <c r="P4177" s="435">
        <f t="shared" si="1932"/>
        <v>15.48</v>
      </c>
      <c r="AE4177" s="217"/>
      <c r="AF4177" s="217"/>
    </row>
    <row r="4178" ht="45" hidden="1">
      <c r="A4178" s="217"/>
      <c r="B4178" s="217">
        <v>1486</v>
      </c>
      <c r="C4178" s="217"/>
      <c r="D4178" s="217" t="s">
        <v>17167</v>
      </c>
      <c r="E4178" s="471" t="s">
        <v>20665</v>
      </c>
      <c r="F4178" s="482">
        <v>96546</v>
      </c>
      <c r="G4178" s="572" t="s">
        <v>4197</v>
      </c>
      <c r="H4178" s="482" t="s">
        <v>302</v>
      </c>
      <c r="I4178" s="558">
        <v>13.327199999999999</v>
      </c>
      <c r="J4178" s="473">
        <f t="shared" si="1930"/>
        <v>13.77</v>
      </c>
      <c r="K4178" s="474">
        <f t="shared" si="1933"/>
        <v>183.51554399999998</v>
      </c>
      <c r="L4178" s="433"/>
      <c r="M4178" s="474"/>
      <c r="O4178" s="434">
        <f t="shared" si="1931"/>
        <v>13.77</v>
      </c>
      <c r="P4178" s="435">
        <f t="shared" si="1932"/>
        <v>13.51</v>
      </c>
      <c r="AE4178" s="217"/>
      <c r="AF4178" s="217"/>
    </row>
    <row r="4179" ht="78.75" hidden="1">
      <c r="A4179" s="217"/>
      <c r="B4179" s="460">
        <v>1487</v>
      </c>
      <c r="C4179" s="460"/>
      <c r="D4179" s="460"/>
      <c r="E4179" s="461">
        <v>1</v>
      </c>
      <c r="F4179" s="462" t="s">
        <v>22500</v>
      </c>
      <c r="G4179" s="477" t="s">
        <v>22501</v>
      </c>
      <c r="H4179" s="478" t="s">
        <v>20196</v>
      </c>
      <c r="I4179" s="479"/>
      <c r="J4179" s="480"/>
      <c r="K4179" s="466">
        <f>SUM(K4180:K4185)</f>
        <v>6493.8541400000004</v>
      </c>
      <c r="L4179" s="467" t="s">
        <v>22502</v>
      </c>
      <c r="M4179" s="474"/>
      <c r="N4179" s="467" t="s">
        <v>22502</v>
      </c>
      <c r="O4179" s="434" t="str">
        <f t="shared" si="1931"/>
        <v xml:space="preserve">SEM VALOR</v>
      </c>
      <c r="P4179" s="435" t="str">
        <f t="shared" si="1932"/>
        <v xml:space="preserve">SEM VALOR</v>
      </c>
      <c r="AE4179" s="217"/>
      <c r="AF4179" s="217"/>
    </row>
    <row r="4180" ht="75" hidden="1">
      <c r="A4180" s="217"/>
      <c r="B4180" s="217">
        <v>1486</v>
      </c>
      <c r="C4180" s="217"/>
      <c r="D4180" s="217" t="s">
        <v>17167</v>
      </c>
      <c r="E4180" s="471" t="s">
        <v>20399</v>
      </c>
      <c r="F4180" s="482">
        <v>94962</v>
      </c>
      <c r="G4180" s="572" t="s">
        <v>8726</v>
      </c>
      <c r="H4180" s="499" t="s">
        <v>15528</v>
      </c>
      <c r="I4180" s="558">
        <v>0.3584</v>
      </c>
      <c r="J4180" s="473">
        <f t="shared" si="1930"/>
        <v>393.05000000000001</v>
      </c>
      <c r="K4180" s="474">
        <f t="shared" si="1933"/>
        <v>140.86912000000001</v>
      </c>
      <c r="L4180" s="433"/>
      <c r="M4180" s="474"/>
      <c r="O4180" s="434">
        <f t="shared" si="1931"/>
        <v>393.05000000000001</v>
      </c>
      <c r="P4180" s="435">
        <f t="shared" si="1932"/>
        <v>387.73000000000002</v>
      </c>
      <c r="AE4180" s="217"/>
      <c r="AF4180" s="217"/>
    </row>
    <row r="4181" ht="60" hidden="1">
      <c r="A4181" s="217"/>
      <c r="B4181" s="217">
        <v>1486</v>
      </c>
      <c r="C4181" s="217"/>
      <c r="D4181" s="217" t="s">
        <v>17167</v>
      </c>
      <c r="E4181" s="471" t="s">
        <v>20402</v>
      </c>
      <c r="F4181" s="482">
        <v>94964</v>
      </c>
      <c r="G4181" s="572" t="s">
        <v>8711</v>
      </c>
      <c r="H4181" s="499" t="s">
        <v>15528</v>
      </c>
      <c r="I4181" s="558">
        <v>3.8599000000000001</v>
      </c>
      <c r="J4181" s="473">
        <f t="shared" si="1930"/>
        <v>488.52999999999997</v>
      </c>
      <c r="K4181" s="474">
        <f t="shared" si="1933"/>
        <v>1885.6769469999999</v>
      </c>
      <c r="L4181" s="433"/>
      <c r="M4181" s="474"/>
      <c r="O4181" s="434">
        <f t="shared" si="1931"/>
        <v>488.52999999999997</v>
      </c>
      <c r="P4181" s="435">
        <f t="shared" si="1932"/>
        <v>482.79000000000002</v>
      </c>
      <c r="AE4181" s="217"/>
      <c r="AF4181" s="217"/>
    </row>
    <row r="4182" ht="60" hidden="1">
      <c r="A4182" s="217"/>
      <c r="B4182" s="217">
        <v>1486</v>
      </c>
      <c r="C4182" s="217"/>
      <c r="D4182" s="217" t="s">
        <v>17167</v>
      </c>
      <c r="E4182" s="471" t="s">
        <v>20405</v>
      </c>
      <c r="F4182" s="482">
        <v>96536</v>
      </c>
      <c r="G4182" s="572" t="s">
        <v>21415</v>
      </c>
      <c r="H4182" s="482" t="s">
        <v>15515</v>
      </c>
      <c r="I4182" s="558">
        <v>15.5901</v>
      </c>
      <c r="J4182" s="473">
        <f t="shared" si="1930"/>
        <v>63.439999999999998</v>
      </c>
      <c r="K4182" s="474">
        <f t="shared" si="1933"/>
        <v>989.03594399999997</v>
      </c>
      <c r="L4182" s="433"/>
      <c r="M4182" s="474"/>
      <c r="O4182" s="434">
        <f t="shared" si="1931"/>
        <v>63.439999999999998</v>
      </c>
      <c r="P4182" s="435">
        <f t="shared" si="1932"/>
        <v>60.950000000000003</v>
      </c>
      <c r="AE4182" s="217"/>
      <c r="AF4182" s="217"/>
    </row>
    <row r="4183" ht="45" hidden="1">
      <c r="A4183" s="217"/>
      <c r="B4183" s="217">
        <v>1486</v>
      </c>
      <c r="C4183" s="217"/>
      <c r="D4183" s="217" t="s">
        <v>17167</v>
      </c>
      <c r="E4183" s="471" t="s">
        <v>20409</v>
      </c>
      <c r="F4183" s="482">
        <v>96544</v>
      </c>
      <c r="G4183" s="572" t="s">
        <v>4198</v>
      </c>
      <c r="H4183" s="482" t="s">
        <v>302</v>
      </c>
      <c r="I4183" s="558">
        <v>49.130000000000003</v>
      </c>
      <c r="J4183" s="473">
        <f t="shared" si="1930"/>
        <v>17.699999999999999</v>
      </c>
      <c r="K4183" s="474">
        <f t="shared" si="1933"/>
        <v>869.601</v>
      </c>
      <c r="L4183" s="433"/>
      <c r="M4183" s="474"/>
      <c r="O4183" s="434">
        <f t="shared" si="1931"/>
        <v>17.699999999999999</v>
      </c>
      <c r="P4183" s="435">
        <f t="shared" si="1932"/>
        <v>17.23</v>
      </c>
      <c r="AE4183" s="217"/>
      <c r="AF4183" s="217"/>
    </row>
    <row r="4184" ht="45" hidden="1">
      <c r="A4184" s="217"/>
      <c r="B4184" s="217">
        <v>1486</v>
      </c>
      <c r="C4184" s="217"/>
      <c r="D4184" s="217" t="s">
        <v>17167</v>
      </c>
      <c r="E4184" s="471" t="s">
        <v>20663</v>
      </c>
      <c r="F4184" s="482">
        <v>96545</v>
      </c>
      <c r="G4184" s="572" t="s">
        <v>4199</v>
      </c>
      <c r="H4184" s="482" t="s">
        <v>302</v>
      </c>
      <c r="I4184" s="558">
        <v>72.599999999999994</v>
      </c>
      <c r="J4184" s="473">
        <f t="shared" si="1930"/>
        <v>15.82</v>
      </c>
      <c r="K4184" s="474">
        <f t="shared" si="1933"/>
        <v>1148.5319999999999</v>
      </c>
      <c r="L4184" s="433"/>
      <c r="M4184" s="474"/>
      <c r="O4184" s="434">
        <f t="shared" si="1931"/>
        <v>15.82</v>
      </c>
      <c r="P4184" s="435">
        <f t="shared" si="1932"/>
        <v>15.48</v>
      </c>
      <c r="AE4184" s="217"/>
      <c r="AF4184" s="217"/>
    </row>
    <row r="4185" ht="45" hidden="1">
      <c r="A4185" s="217"/>
      <c r="B4185" s="217">
        <v>1486</v>
      </c>
      <c r="C4185" s="217"/>
      <c r="D4185" s="217" t="s">
        <v>17167</v>
      </c>
      <c r="E4185" s="471" t="s">
        <v>20665</v>
      </c>
      <c r="F4185" s="482">
        <v>96546</v>
      </c>
      <c r="G4185" s="572" t="s">
        <v>4197</v>
      </c>
      <c r="H4185" s="482" t="s">
        <v>302</v>
      </c>
      <c r="I4185" s="558">
        <v>106.0377</v>
      </c>
      <c r="J4185" s="473">
        <f t="shared" si="1930"/>
        <v>13.77</v>
      </c>
      <c r="K4185" s="474">
        <f t="shared" si="1933"/>
        <v>1460.1391289999999</v>
      </c>
      <c r="L4185" s="433"/>
      <c r="M4185" s="474"/>
      <c r="O4185" s="434">
        <f t="shared" si="1931"/>
        <v>13.77</v>
      </c>
      <c r="P4185" s="435">
        <f t="shared" si="1932"/>
        <v>13.51</v>
      </c>
      <c r="AE4185" s="217"/>
      <c r="AF4185" s="217"/>
    </row>
    <row r="4186" ht="94.5" hidden="1">
      <c r="A4186" s="217"/>
      <c r="B4186" s="460">
        <v>1488</v>
      </c>
      <c r="C4186" s="460"/>
      <c r="D4186" s="460"/>
      <c r="E4186" s="461">
        <v>1</v>
      </c>
      <c r="F4186" s="462" t="s">
        <v>22503</v>
      </c>
      <c r="G4186" s="463" t="s">
        <v>22504</v>
      </c>
      <c r="H4186" s="478" t="s">
        <v>20196</v>
      </c>
      <c r="I4186" s="479"/>
      <c r="J4186" s="480"/>
      <c r="K4186" s="466" t="e">
        <f>SUM(K4187:K4201)</f>
        <v>#VALUE!</v>
      </c>
      <c r="L4186" s="510" t="s">
        <v>22505</v>
      </c>
      <c r="M4186" s="474"/>
      <c r="N4186" s="510" t="s">
        <v>22505</v>
      </c>
      <c r="O4186" s="434" t="str">
        <f t="shared" si="1931"/>
        <v xml:space="preserve">SEM VALOR</v>
      </c>
      <c r="P4186" s="435" t="str">
        <f t="shared" si="1932"/>
        <v xml:space="preserve">SEM VALOR</v>
      </c>
      <c r="AE4186" s="217"/>
      <c r="AF4186" s="217"/>
    </row>
    <row r="4187" ht="30" hidden="1">
      <c r="A4187" s="217"/>
      <c r="B4187" s="217">
        <v>1488</v>
      </c>
      <c r="C4187" s="217"/>
      <c r="D4187" s="217" t="s">
        <v>20408</v>
      </c>
      <c r="E4187" s="471" t="s">
        <v>20399</v>
      </c>
      <c r="F4187" s="486">
        <v>3768</v>
      </c>
      <c r="G4187" s="470" t="s">
        <v>13044</v>
      </c>
      <c r="H4187" s="482" t="s">
        <v>20196</v>
      </c>
      <c r="I4187" s="483">
        <v>2</v>
      </c>
      <c r="J4187" s="473">
        <f t="shared" si="1930"/>
        <v>4.4400000000000004</v>
      </c>
      <c r="K4187" s="474">
        <f t="shared" si="1933"/>
        <v>8.8800000000000008</v>
      </c>
      <c r="L4187" s="433"/>
      <c r="M4187" s="474"/>
      <c r="O4187" s="434">
        <f t="shared" si="1931"/>
        <v>4.4400000000000004</v>
      </c>
      <c r="P4187" s="435">
        <f t="shared" si="1932"/>
        <v>4.4400000000000004</v>
      </c>
      <c r="AE4187" s="217"/>
      <c r="AF4187" s="217"/>
    </row>
    <row r="4188" ht="60" hidden="1">
      <c r="A4188" s="217"/>
      <c r="B4188" s="217">
        <v>1488</v>
      </c>
      <c r="C4188" s="217"/>
      <c r="D4188" s="217" t="s">
        <v>20408</v>
      </c>
      <c r="E4188" s="471" t="s">
        <v>20402</v>
      </c>
      <c r="F4188" s="486">
        <v>7158</v>
      </c>
      <c r="G4188" s="470" t="s">
        <v>21330</v>
      </c>
      <c r="H4188" s="482" t="s">
        <v>15515</v>
      </c>
      <c r="I4188" s="483">
        <v>5.0999999999999996</v>
      </c>
      <c r="J4188" s="473">
        <f t="shared" si="1930"/>
        <v>33.469999999999999</v>
      </c>
      <c r="K4188" s="474">
        <f t="shared" si="1933"/>
        <v>170.69699999999997</v>
      </c>
      <c r="L4188" s="433"/>
      <c r="M4188" s="474"/>
      <c r="O4188" s="434">
        <f t="shared" si="1931"/>
        <v>33.469999999999999</v>
      </c>
      <c r="P4188" s="435">
        <f t="shared" si="1932"/>
        <v>33.469999999999999</v>
      </c>
      <c r="AE4188" s="217"/>
      <c r="AF4188" s="217"/>
    </row>
    <row r="4189" ht="30" hidden="1">
      <c r="A4189" s="217"/>
      <c r="B4189" s="217">
        <v>1488</v>
      </c>
      <c r="C4189" s="217"/>
      <c r="D4189" s="217" t="s">
        <v>20408</v>
      </c>
      <c r="E4189" s="471" t="s">
        <v>20405</v>
      </c>
      <c r="F4189" s="486">
        <v>13356</v>
      </c>
      <c r="G4189" s="470" t="s">
        <v>14913</v>
      </c>
      <c r="H4189" s="482" t="s">
        <v>38</v>
      </c>
      <c r="I4189" s="483">
        <v>15.960000000000001</v>
      </c>
      <c r="J4189" s="473" t="e">
        <f t="shared" si="1930"/>
        <v>#VALUE!</v>
      </c>
      <c r="K4189" s="474" t="e">
        <f t="shared" si="1933"/>
        <v>#VALUE!</v>
      </c>
      <c r="L4189" s="433"/>
      <c r="M4189" s="474"/>
      <c r="O4189" s="434" t="str">
        <f t="shared" si="1931"/>
        <v>VERIFICAR</v>
      </c>
      <c r="P4189" s="435" t="str">
        <f t="shared" si="1932"/>
        <v>VERIFICAR</v>
      </c>
      <c r="AE4189" s="217"/>
      <c r="AF4189" s="217"/>
    </row>
    <row r="4190" ht="30" hidden="1">
      <c r="A4190" s="217"/>
      <c r="B4190" s="217">
        <v>1488</v>
      </c>
      <c r="C4190" s="217"/>
      <c r="D4190" s="217" t="s">
        <v>20408</v>
      </c>
      <c r="E4190" s="471" t="s">
        <v>20409</v>
      </c>
      <c r="F4190" s="486">
        <v>11002</v>
      </c>
      <c r="G4190" s="470" t="s">
        <v>12284</v>
      </c>
      <c r="H4190" s="482" t="s">
        <v>302</v>
      </c>
      <c r="I4190" s="483">
        <v>2</v>
      </c>
      <c r="J4190" s="473">
        <f t="shared" ref="J4190:J4253" si="1934">O4190*$J$3</f>
        <v>33.909999999999997</v>
      </c>
      <c r="K4190" s="474">
        <f t="shared" si="1933"/>
        <v>67.819999999999993</v>
      </c>
      <c r="L4190" s="433"/>
      <c r="M4190" s="474"/>
      <c r="O4190" s="434">
        <f t="shared" si="1931"/>
        <v>33.909999999999997</v>
      </c>
      <c r="P4190" s="435">
        <f t="shared" si="1932"/>
        <v>33.909999999999997</v>
      </c>
      <c r="AE4190" s="217"/>
      <c r="AF4190" s="217"/>
    </row>
    <row r="4191" ht="30" hidden="1">
      <c r="A4191" s="217"/>
      <c r="B4191" s="217">
        <v>1488</v>
      </c>
      <c r="C4191" s="217"/>
      <c r="D4191" s="217" t="s">
        <v>17167</v>
      </c>
      <c r="E4191" s="471" t="s">
        <v>20663</v>
      </c>
      <c r="F4191" s="486">
        <v>88315</v>
      </c>
      <c r="G4191" s="470" t="s">
        <v>7392</v>
      </c>
      <c r="H4191" s="482" t="s">
        <v>2032</v>
      </c>
      <c r="I4191" s="483">
        <v>13.44</v>
      </c>
      <c r="J4191" s="473">
        <f t="shared" si="1934"/>
        <v>28.800000000000001</v>
      </c>
      <c r="K4191" s="474">
        <f t="shared" si="1933"/>
        <v>387.072</v>
      </c>
      <c r="L4191" s="433"/>
      <c r="M4191" s="474"/>
      <c r="O4191" s="434">
        <f t="shared" si="1931"/>
        <v>28.800000000000001</v>
      </c>
      <c r="P4191" s="435">
        <f t="shared" si="1932"/>
        <v>27.149999999999999</v>
      </c>
      <c r="AE4191" s="217"/>
      <c r="AF4191" s="217"/>
    </row>
    <row r="4192" ht="30" hidden="1">
      <c r="A4192" s="217"/>
      <c r="B4192" s="217">
        <v>1488</v>
      </c>
      <c r="C4192" s="217"/>
      <c r="D4192" s="217" t="s">
        <v>17167</v>
      </c>
      <c r="E4192" s="471" t="s">
        <v>20665</v>
      </c>
      <c r="F4192" s="486">
        <v>88316</v>
      </c>
      <c r="G4192" s="470" t="s">
        <v>7393</v>
      </c>
      <c r="H4192" s="482" t="s">
        <v>2032</v>
      </c>
      <c r="I4192" s="483">
        <v>7.7540399999999998</v>
      </c>
      <c r="J4192" s="473">
        <f t="shared" si="1934"/>
        <v>22.760000000000002</v>
      </c>
      <c r="K4192" s="474">
        <f t="shared" si="1933"/>
        <v>176.48195040000002</v>
      </c>
      <c r="L4192" s="433"/>
      <c r="M4192" s="474"/>
      <c r="O4192" s="434">
        <f t="shared" si="1931"/>
        <v>22.760000000000002</v>
      </c>
      <c r="P4192" s="435">
        <f t="shared" si="1932"/>
        <v>21.550000000000001</v>
      </c>
      <c r="AE4192" s="217"/>
      <c r="AF4192" s="217"/>
    </row>
    <row r="4193" ht="30" hidden="1">
      <c r="A4193" s="217"/>
      <c r="B4193" s="217">
        <v>1488</v>
      </c>
      <c r="C4193" s="217"/>
      <c r="D4193" s="217" t="s">
        <v>17167</v>
      </c>
      <c r="E4193" s="471" t="s">
        <v>20667</v>
      </c>
      <c r="F4193" s="486">
        <v>88240</v>
      </c>
      <c r="G4193" s="470" t="s">
        <v>7090</v>
      </c>
      <c r="H4193" s="482" t="s">
        <v>2032</v>
      </c>
      <c r="I4193" s="483">
        <v>5.04</v>
      </c>
      <c r="J4193" s="473">
        <f t="shared" si="1934"/>
        <v>22.16</v>
      </c>
      <c r="K4193" s="474">
        <f t="shared" si="1933"/>
        <v>111.68640000000001</v>
      </c>
      <c r="L4193" s="433"/>
      <c r="M4193" s="474"/>
      <c r="O4193" s="434">
        <f t="shared" si="1931"/>
        <v>22.16</v>
      </c>
      <c r="P4193" s="435">
        <f t="shared" si="1932"/>
        <v>20.899999999999999</v>
      </c>
      <c r="AE4193" s="217"/>
      <c r="AF4193" s="217"/>
    </row>
    <row r="4194" ht="30" hidden="1">
      <c r="A4194" s="217"/>
      <c r="B4194" s="217">
        <v>1488</v>
      </c>
      <c r="C4194" s="217"/>
      <c r="D4194" s="217" t="s">
        <v>17167</v>
      </c>
      <c r="E4194" s="471" t="s">
        <v>20671</v>
      </c>
      <c r="F4194" s="486">
        <v>88317</v>
      </c>
      <c r="G4194" s="470" t="s">
        <v>7396</v>
      </c>
      <c r="H4194" s="482" t="s">
        <v>2032</v>
      </c>
      <c r="I4194" s="483">
        <v>3.7799999999999998</v>
      </c>
      <c r="J4194" s="473">
        <f t="shared" si="1934"/>
        <v>29.559999999999999</v>
      </c>
      <c r="K4194" s="474">
        <f t="shared" si="1933"/>
        <v>111.73679999999999</v>
      </c>
      <c r="L4194" s="433"/>
      <c r="M4194" s="474"/>
      <c r="O4194" s="434">
        <f t="shared" si="1931"/>
        <v>29.559999999999999</v>
      </c>
      <c r="P4194" s="435">
        <f t="shared" si="1932"/>
        <v>27.949999999999999</v>
      </c>
      <c r="AE4194" s="217"/>
      <c r="AF4194" s="217"/>
    </row>
    <row r="4195" ht="45.75" hidden="1">
      <c r="A4195" s="217"/>
      <c r="B4195" s="217">
        <v>1488</v>
      </c>
      <c r="C4195" s="217"/>
      <c r="D4195" s="217" t="s">
        <v>17167</v>
      </c>
      <c r="E4195" s="471" t="s">
        <v>20672</v>
      </c>
      <c r="F4195" s="486">
        <v>92880</v>
      </c>
      <c r="G4195" s="470" t="s">
        <v>21334</v>
      </c>
      <c r="H4195" s="482" t="s">
        <v>302</v>
      </c>
      <c r="I4195" s="483">
        <v>4.6683000000000003</v>
      </c>
      <c r="J4195" s="473">
        <f t="shared" si="1934"/>
        <v>9.5800000000000001</v>
      </c>
      <c r="K4195" s="474">
        <f t="shared" si="1933"/>
        <v>44.722314000000004</v>
      </c>
      <c r="L4195" s="433"/>
      <c r="M4195" s="474"/>
      <c r="O4195" s="434">
        <f t="shared" si="1931"/>
        <v>9.5800000000000001</v>
      </c>
      <c r="P4195" s="435">
        <f t="shared" si="1932"/>
        <v>9.5800000000000001</v>
      </c>
      <c r="AE4195" s="217"/>
      <c r="AF4195" s="217"/>
    </row>
    <row r="4196" ht="30" hidden="1">
      <c r="A4196" s="217"/>
      <c r="B4196" s="217">
        <v>1488</v>
      </c>
      <c r="C4196" s="217"/>
      <c r="D4196" s="217" t="s">
        <v>17167</v>
      </c>
      <c r="E4196" s="471" t="s">
        <v>20673</v>
      </c>
      <c r="F4196" s="486">
        <v>88310</v>
      </c>
      <c r="G4196" s="470" t="s">
        <v>7386</v>
      </c>
      <c r="H4196" s="482" t="s">
        <v>2032</v>
      </c>
      <c r="I4196" s="483">
        <v>6.7199999999999998</v>
      </c>
      <c r="J4196" s="473">
        <f t="shared" si="1934"/>
        <v>30.210000000000001</v>
      </c>
      <c r="K4196" s="474">
        <f t="shared" si="1933"/>
        <v>203.0112</v>
      </c>
      <c r="L4196" s="433"/>
      <c r="M4196" s="474"/>
      <c r="O4196" s="434">
        <f t="shared" si="1931"/>
        <v>30.210000000000001</v>
      </c>
      <c r="P4196" s="435">
        <f t="shared" si="1932"/>
        <v>28.600000000000001</v>
      </c>
      <c r="AE4196" s="217"/>
      <c r="AF4196" s="217"/>
    </row>
    <row r="4197" ht="30" hidden="1">
      <c r="A4197" s="217"/>
      <c r="B4197" s="217">
        <v>1488</v>
      </c>
      <c r="C4197" s="217"/>
      <c r="D4197" s="217" t="s">
        <v>20408</v>
      </c>
      <c r="E4197" s="471" t="s">
        <v>20675</v>
      </c>
      <c r="F4197" s="486">
        <v>7307</v>
      </c>
      <c r="G4197" s="470" t="s">
        <v>20998</v>
      </c>
      <c r="H4197" s="482" t="s">
        <v>9794</v>
      </c>
      <c r="I4197" s="483">
        <v>0.75524400000000003</v>
      </c>
      <c r="J4197" s="473">
        <f t="shared" si="1934"/>
        <v>41.960000000000001</v>
      </c>
      <c r="K4197" s="474">
        <f t="shared" si="1933"/>
        <v>31.690038240000003</v>
      </c>
      <c r="L4197" s="433"/>
      <c r="M4197" s="474"/>
      <c r="O4197" s="434">
        <f t="shared" si="1931"/>
        <v>41.960000000000001</v>
      </c>
      <c r="P4197" s="435">
        <f t="shared" si="1932"/>
        <v>41.960000000000001</v>
      </c>
      <c r="AE4197" s="217"/>
      <c r="AF4197" s="217"/>
    </row>
    <row r="4198" ht="30" hidden="1">
      <c r="A4198" s="217"/>
      <c r="B4198" s="217">
        <v>1488</v>
      </c>
      <c r="C4198" s="217"/>
      <c r="D4198" s="217" t="s">
        <v>20408</v>
      </c>
      <c r="E4198" s="471" t="s">
        <v>20677</v>
      </c>
      <c r="F4198" s="486">
        <v>43647</v>
      </c>
      <c r="G4198" s="470" t="s">
        <v>14768</v>
      </c>
      <c r="H4198" s="482" t="s">
        <v>9794</v>
      </c>
      <c r="I4198" s="483">
        <v>0.90720000000000001</v>
      </c>
      <c r="J4198" s="473">
        <f t="shared" si="1934"/>
        <v>28.920000000000002</v>
      </c>
      <c r="K4198" s="474">
        <f t="shared" si="1933"/>
        <v>26.236224</v>
      </c>
      <c r="L4198" s="433"/>
      <c r="M4198" s="474"/>
      <c r="O4198" s="434">
        <f t="shared" si="1931"/>
        <v>28.920000000000002</v>
      </c>
      <c r="P4198" s="435">
        <f t="shared" si="1932"/>
        <v>28.920000000000002</v>
      </c>
      <c r="AE4198" s="217"/>
      <c r="AF4198" s="217"/>
    </row>
    <row r="4199" ht="45" hidden="1">
      <c r="A4199" s="217"/>
      <c r="B4199" s="217">
        <v>1488</v>
      </c>
      <c r="C4199" s="217"/>
      <c r="D4199" s="217" t="s">
        <v>20408</v>
      </c>
      <c r="E4199" s="471" t="s">
        <v>20679</v>
      </c>
      <c r="F4199" s="486">
        <v>43054</v>
      </c>
      <c r="G4199" s="470" t="s">
        <v>21335</v>
      </c>
      <c r="H4199" s="482" t="s">
        <v>302</v>
      </c>
      <c r="I4199" s="483">
        <v>0.33600000000000002</v>
      </c>
      <c r="J4199" s="473">
        <f t="shared" si="1934"/>
        <v>8.3599999999999994</v>
      </c>
      <c r="K4199" s="474">
        <f t="shared" si="1933"/>
        <v>2.8089599999999999</v>
      </c>
      <c r="L4199" s="433"/>
      <c r="M4199" s="474"/>
      <c r="O4199" s="434">
        <f t="shared" si="1931"/>
        <v>8.3599999999999994</v>
      </c>
      <c r="P4199" s="435">
        <f t="shared" si="1932"/>
        <v>8.3599999999999994</v>
      </c>
      <c r="AE4199" s="217"/>
      <c r="AF4199" s="217"/>
    </row>
    <row r="4200" ht="45" hidden="1">
      <c r="A4200" s="217"/>
      <c r="B4200" s="217">
        <v>1488</v>
      </c>
      <c r="C4200" s="217"/>
      <c r="D4200" s="217" t="s">
        <v>20408</v>
      </c>
      <c r="E4200" s="471" t="s">
        <v>20681</v>
      </c>
      <c r="F4200" s="486">
        <v>546</v>
      </c>
      <c r="G4200" s="470" t="s">
        <v>21336</v>
      </c>
      <c r="H4200" s="482" t="s">
        <v>302</v>
      </c>
      <c r="I4200" s="483">
        <v>11.085900000000001</v>
      </c>
      <c r="J4200" s="473">
        <f t="shared" si="1934"/>
        <v>9.5899999999999999</v>
      </c>
      <c r="K4200" s="474">
        <f t="shared" si="1933"/>
        <v>106.31378100000001</v>
      </c>
      <c r="L4200" s="433"/>
      <c r="M4200" s="474"/>
      <c r="O4200" s="434">
        <f t="shared" si="1931"/>
        <v>9.5899999999999999</v>
      </c>
      <c r="P4200" s="435">
        <f t="shared" si="1932"/>
        <v>9.5899999999999999</v>
      </c>
      <c r="AE4200" s="217"/>
      <c r="AF4200" s="217"/>
    </row>
    <row r="4201" ht="60" hidden="1">
      <c r="A4201" s="217"/>
      <c r="B4201" s="217">
        <v>1488</v>
      </c>
      <c r="C4201" s="217"/>
      <c r="D4201" s="217" t="s">
        <v>20408</v>
      </c>
      <c r="E4201" s="471" t="s">
        <v>20683</v>
      </c>
      <c r="F4201" s="486">
        <v>4777</v>
      </c>
      <c r="G4201" s="470" t="s">
        <v>21337</v>
      </c>
      <c r="H4201" s="482" t="s">
        <v>302</v>
      </c>
      <c r="I4201" s="483">
        <v>12.800000000000001</v>
      </c>
      <c r="J4201" s="473">
        <f t="shared" si="1934"/>
        <v>8.0199999999999996</v>
      </c>
      <c r="K4201" s="474">
        <f t="shared" si="1933"/>
        <v>102.65600000000001</v>
      </c>
      <c r="L4201" s="433"/>
      <c r="M4201" s="474"/>
      <c r="O4201" s="434">
        <f t="shared" si="1931"/>
        <v>8.0199999999999996</v>
      </c>
      <c r="P4201" s="435">
        <f t="shared" si="1932"/>
        <v>8.0199999999999996</v>
      </c>
      <c r="AE4201" s="217"/>
      <c r="AF4201" s="217"/>
    </row>
    <row r="4202" ht="110.25" hidden="1">
      <c r="A4202" s="217"/>
      <c r="B4202" s="460">
        <v>1489</v>
      </c>
      <c r="C4202" s="460"/>
      <c r="D4202" s="460"/>
      <c r="E4202" s="665">
        <v>1</v>
      </c>
      <c r="F4202" s="462" t="s">
        <v>22506</v>
      </c>
      <c r="G4202" s="477" t="s">
        <v>22507</v>
      </c>
      <c r="H4202" s="666" t="s">
        <v>20647</v>
      </c>
      <c r="I4202" s="667"/>
      <c r="J4202" s="668"/>
      <c r="K4202" s="669">
        <f>SUM(K4203:K4226)</f>
        <v>16068.739947999999</v>
      </c>
      <c r="L4202" s="663" t="s">
        <v>22508</v>
      </c>
      <c r="M4202" s="474"/>
      <c r="N4202" s="663" t="s">
        <v>22508</v>
      </c>
      <c r="O4202" s="434" t="str">
        <f t="shared" si="1931"/>
        <v xml:space="preserve">SEM VALOR</v>
      </c>
      <c r="P4202" s="435" t="str">
        <f t="shared" si="1932"/>
        <v xml:space="preserve">SEM VALOR</v>
      </c>
      <c r="AE4202" s="217"/>
      <c r="AF4202" s="217"/>
    </row>
    <row r="4203" ht="30" hidden="1">
      <c r="A4203" s="217"/>
      <c r="B4203" s="217">
        <v>1489</v>
      </c>
      <c r="C4203" s="217"/>
      <c r="D4203" s="217" t="s">
        <v>17167</v>
      </c>
      <c r="E4203" s="471" t="s">
        <v>20399</v>
      </c>
      <c r="F4203" s="482">
        <v>88309</v>
      </c>
      <c r="G4203" s="488" t="s">
        <v>7385</v>
      </c>
      <c r="H4203" s="471" t="s">
        <v>2032</v>
      </c>
      <c r="I4203" s="472">
        <v>20.221699999999998</v>
      </c>
      <c r="J4203" s="473">
        <f t="shared" si="1934"/>
        <v>28.5</v>
      </c>
      <c r="K4203" s="474">
        <f t="shared" si="1933"/>
        <v>576.31844999999998</v>
      </c>
      <c r="L4203" s="433"/>
      <c r="M4203" s="474"/>
      <c r="O4203" s="434">
        <f t="shared" si="1931"/>
        <v>28.5</v>
      </c>
      <c r="P4203" s="435">
        <f t="shared" si="1932"/>
        <v>26.870000000000001</v>
      </c>
      <c r="AE4203" s="217"/>
      <c r="AF4203" s="217"/>
    </row>
    <row r="4204" ht="30" hidden="1">
      <c r="A4204" s="217"/>
      <c r="B4204" s="217">
        <v>1489</v>
      </c>
      <c r="C4204" s="217"/>
      <c r="D4204" s="217" t="s">
        <v>17167</v>
      </c>
      <c r="E4204" s="471" t="s">
        <v>20402</v>
      </c>
      <c r="F4204" s="482">
        <v>88316</v>
      </c>
      <c r="G4204" s="488" t="s">
        <v>7393</v>
      </c>
      <c r="H4204" s="471" t="s">
        <v>2032</v>
      </c>
      <c r="I4204" s="472">
        <v>15.5716</v>
      </c>
      <c r="J4204" s="473">
        <f t="shared" si="1934"/>
        <v>22.760000000000002</v>
      </c>
      <c r="K4204" s="474">
        <f t="shared" si="1933"/>
        <v>354.40961600000003</v>
      </c>
      <c r="L4204" s="433"/>
      <c r="M4204" s="474"/>
      <c r="O4204" s="434">
        <f t="shared" ref="O4204:O4267" si="1935">IFERROR(IF(D4204="SINAPI",VLOOKUP(F4204,SINCOMOD,4,FALSE),IF(D4204="INSINAPI",VLOOKUP(F4204,INSINOD,5,FALSE),IF(D4204="SICRO",VLOOKUP(F4204,SICRO,5,FALSE),IF(D4204="COTACAO",VLOOKUP(F4204,COTACAO,6,FALSE),IF(D4204="PRÓPRIO",VLOOKUP(F4204,COMPOD,11,FALSE),IF(D4204="AGESUL",VLOOKUP(F4204,AGESULOD,6,FALSE),IF(D4204="INSAGESUL",VLOOKUP(F4204,INSAGESUL,7,FALSE),"SEM VALOR"))))))),"SEM VALOR")</f>
        <v>22.760000000000002</v>
      </c>
      <c r="P4204" s="435">
        <f t="shared" ref="P4204:P4267" si="1936">IFERROR(IF(D4204="SINAPI",VLOOKUP(F4204,SINCOMOD,6,FALSE),IF(D4204="INSINAPI",VLOOKUP(F4204,INSINOD,6,FALSE),IF(D4204="SICRO",VLOOKUP(F4204,SICRO,5,FALSE),IF(D4204="COTACAO",VLOOKUP(F4204,COTACAO,6,FALSE),IF(D4204="PRÓPRIO",VLOOKUP(F4204,COMPOD,13,FALSE),IF(D4204="AGESUL",VLOOKUP(F4204,AGESULOD,11,FALSE),IF(D4204="INSAGESUL",VLOOKUP(F4204,INSAGESUL,8,FALSE),"SEM VALOR"))))))),"SEM VALOR")</f>
        <v>21.550000000000001</v>
      </c>
      <c r="AE4204" s="217"/>
      <c r="AF4204" s="217"/>
    </row>
    <row r="4205" ht="30" hidden="1">
      <c r="A4205" s="217"/>
      <c r="B4205" s="217">
        <v>1489</v>
      </c>
      <c r="C4205" s="217"/>
      <c r="D4205" s="217" t="s">
        <v>20408</v>
      </c>
      <c r="E4205" s="471" t="s">
        <v>20405</v>
      </c>
      <c r="F4205" s="482">
        <v>34573</v>
      </c>
      <c r="G4205" s="488" t="s">
        <v>20262</v>
      </c>
      <c r="H4205" s="471" t="s">
        <v>31</v>
      </c>
      <c r="I4205" s="472">
        <v>129.15000000000001</v>
      </c>
      <c r="J4205" s="473">
        <f>O4205*$J$3*Q4205</f>
        <v>4.3680000000000003</v>
      </c>
      <c r="K4205" s="474">
        <f t="shared" si="1933"/>
        <v>564.12720000000002</v>
      </c>
      <c r="L4205" s="433"/>
      <c r="M4205" s="474"/>
      <c r="N4205" s="589" t="s">
        <v>22494</v>
      </c>
      <c r="O4205" s="434">
        <f t="shared" si="1935"/>
        <v>5.46</v>
      </c>
      <c r="P4205" s="435">
        <f t="shared" si="1936"/>
        <v>5.46</v>
      </c>
      <c r="Q4205" s="664">
        <v>0.80000000000000004</v>
      </c>
      <c r="AE4205" s="217"/>
      <c r="AF4205" s="217"/>
    </row>
    <row r="4206" ht="45" hidden="1">
      <c r="A4206" s="217"/>
      <c r="B4206" s="217">
        <v>1489</v>
      </c>
      <c r="C4206" s="217"/>
      <c r="D4206" s="217" t="s">
        <v>20408</v>
      </c>
      <c r="E4206" s="471" t="s">
        <v>20409</v>
      </c>
      <c r="F4206" s="482">
        <v>38594</v>
      </c>
      <c r="G4206" s="488" t="s">
        <v>20264</v>
      </c>
      <c r="H4206" s="471" t="s">
        <v>31</v>
      </c>
      <c r="I4206" s="472">
        <v>20.100000000000001</v>
      </c>
      <c r="J4206" s="473">
        <f>O4206*$J$3*Q4205</f>
        <v>4.8719999999999999</v>
      </c>
      <c r="K4206" s="474">
        <f t="shared" si="1933"/>
        <v>97.927199999999999</v>
      </c>
      <c r="L4206" s="589" t="s">
        <v>22494</v>
      </c>
      <c r="M4206" s="474"/>
      <c r="N4206" s="589" t="s">
        <v>22494</v>
      </c>
      <c r="O4206" s="434">
        <f t="shared" si="1935"/>
        <v>6.0899999999999999</v>
      </c>
      <c r="P4206" s="435">
        <f t="shared" si="1936"/>
        <v>6.0899999999999999</v>
      </c>
      <c r="AE4206" s="217"/>
      <c r="AF4206" s="217"/>
    </row>
    <row r="4207" ht="45" hidden="1">
      <c r="A4207" s="217"/>
      <c r="B4207" s="217">
        <v>1489</v>
      </c>
      <c r="C4207" s="217"/>
      <c r="D4207" s="217" t="s">
        <v>20408</v>
      </c>
      <c r="E4207" s="471" t="s">
        <v>20663</v>
      </c>
      <c r="F4207" s="482">
        <v>38600</v>
      </c>
      <c r="G4207" s="488" t="s">
        <v>20266</v>
      </c>
      <c r="H4207" s="471" t="s">
        <v>31</v>
      </c>
      <c r="I4207" s="472">
        <v>44.219999999999999</v>
      </c>
      <c r="J4207" s="473">
        <f t="shared" si="1934"/>
        <v>7.3399999999999999</v>
      </c>
      <c r="K4207" s="474">
        <f t="shared" si="1933"/>
        <v>324.57479999999998</v>
      </c>
      <c r="L4207" s="589" t="s">
        <v>22494</v>
      </c>
      <c r="M4207" s="474"/>
      <c r="O4207" s="434">
        <f t="shared" si="1935"/>
        <v>7.3399999999999999</v>
      </c>
      <c r="P4207" s="435">
        <f t="shared" si="1936"/>
        <v>7.3399999999999999</v>
      </c>
      <c r="AE4207" s="217"/>
      <c r="AF4207" s="217"/>
    </row>
    <row r="4208" ht="75" hidden="1">
      <c r="A4208" s="217"/>
      <c r="B4208" s="217">
        <v>1489</v>
      </c>
      <c r="C4208" s="217"/>
      <c r="D4208" s="217" t="s">
        <v>17167</v>
      </c>
      <c r="E4208" s="471" t="s">
        <v>20665</v>
      </c>
      <c r="F4208" s="482">
        <v>97083</v>
      </c>
      <c r="G4208" s="488" t="s">
        <v>8822</v>
      </c>
      <c r="H4208" s="471" t="s">
        <v>15515</v>
      </c>
      <c r="I4208" s="472">
        <v>14.699999999999999</v>
      </c>
      <c r="J4208" s="473">
        <f t="shared" si="1934"/>
        <v>3.4900000000000002</v>
      </c>
      <c r="K4208" s="474">
        <f t="shared" si="1933"/>
        <v>51.302999999999997</v>
      </c>
      <c r="L4208" s="433"/>
      <c r="M4208" s="474"/>
      <c r="O4208" s="434">
        <f t="shared" si="1935"/>
        <v>3.4900000000000002</v>
      </c>
      <c r="P4208" s="435">
        <f t="shared" si="1936"/>
        <v>3.2999999999999998</v>
      </c>
      <c r="AE4208" s="217"/>
      <c r="AF4208" s="217"/>
    </row>
    <row r="4209" ht="75" hidden="1">
      <c r="A4209" s="217"/>
      <c r="B4209" s="217">
        <v>1489</v>
      </c>
      <c r="C4209" s="217"/>
      <c r="D4209" s="217" t="s">
        <v>17167</v>
      </c>
      <c r="E4209" s="471" t="s">
        <v>20667</v>
      </c>
      <c r="F4209" s="482">
        <v>100324</v>
      </c>
      <c r="G4209" s="488" t="s">
        <v>6998</v>
      </c>
      <c r="H4209" s="471" t="s">
        <v>15528</v>
      </c>
      <c r="I4209" s="472">
        <v>1.47</v>
      </c>
      <c r="J4209" s="473">
        <f t="shared" si="1934"/>
        <v>179.66</v>
      </c>
      <c r="K4209" s="474">
        <f t="shared" si="1933"/>
        <v>264.10019999999997</v>
      </c>
      <c r="L4209" s="433"/>
      <c r="M4209" s="474"/>
      <c r="O4209" s="434">
        <f t="shared" si="1935"/>
        <v>179.66</v>
      </c>
      <c r="P4209" s="435">
        <f t="shared" si="1936"/>
        <v>176.31999999999999</v>
      </c>
      <c r="AE4209" s="217"/>
      <c r="AF4209" s="217"/>
    </row>
    <row r="4210" ht="45" hidden="1">
      <c r="A4210" s="217"/>
      <c r="B4210" s="217">
        <v>1489</v>
      </c>
      <c r="C4210" s="217"/>
      <c r="D4210" s="217" t="s">
        <v>17167</v>
      </c>
      <c r="E4210" s="471" t="s">
        <v>20671</v>
      </c>
      <c r="F4210" s="482">
        <v>96620</v>
      </c>
      <c r="G4210" s="488" t="s">
        <v>7009</v>
      </c>
      <c r="H4210" s="471" t="s">
        <v>121</v>
      </c>
      <c r="I4210" s="472">
        <v>0.92100000000000004</v>
      </c>
      <c r="J4210" s="473">
        <f t="shared" si="1934"/>
        <v>722.99000000000001</v>
      </c>
      <c r="K4210" s="474">
        <f t="shared" si="1933"/>
        <v>665.87378999999999</v>
      </c>
      <c r="L4210" s="433"/>
      <c r="M4210" s="474"/>
      <c r="O4210" s="434">
        <f t="shared" si="1935"/>
        <v>722.99000000000001</v>
      </c>
      <c r="P4210" s="435">
        <f t="shared" si="1936"/>
        <v>705.89999999999998</v>
      </c>
      <c r="AE4210" s="217"/>
      <c r="AF4210" s="217"/>
    </row>
    <row r="4211" ht="75" hidden="1">
      <c r="A4211" s="217"/>
      <c r="B4211" s="217">
        <v>1489</v>
      </c>
      <c r="C4211" s="217"/>
      <c r="D4211" s="217" t="s">
        <v>17167</v>
      </c>
      <c r="E4211" s="471" t="s">
        <v>20672</v>
      </c>
      <c r="F4211" s="482">
        <v>94971</v>
      </c>
      <c r="G4211" s="488" t="s">
        <v>8716</v>
      </c>
      <c r="H4211" s="471" t="s">
        <v>15528</v>
      </c>
      <c r="I4211" s="472">
        <v>6.7649999999999997</v>
      </c>
      <c r="J4211" s="473">
        <f t="shared" si="1934"/>
        <v>502.49000000000001</v>
      </c>
      <c r="K4211" s="474">
        <f t="shared" si="1933"/>
        <v>3399.34485</v>
      </c>
      <c r="L4211" s="433"/>
      <c r="M4211" s="474"/>
      <c r="O4211" s="434">
        <f t="shared" si="1935"/>
        <v>502.49000000000001</v>
      </c>
      <c r="P4211" s="435">
        <f t="shared" si="1936"/>
        <v>498.00999999999999</v>
      </c>
      <c r="AE4211" s="217"/>
      <c r="AF4211" s="217"/>
    </row>
    <row r="4212" ht="60" hidden="1">
      <c r="A4212" s="217"/>
      <c r="B4212" s="217">
        <v>1489</v>
      </c>
      <c r="C4212" s="217"/>
      <c r="D4212" s="217" t="s">
        <v>17167</v>
      </c>
      <c r="E4212" s="471" t="s">
        <v>20673</v>
      </c>
      <c r="F4212" s="482">
        <v>103670</v>
      </c>
      <c r="G4212" s="488" t="s">
        <v>1387</v>
      </c>
      <c r="H4212" s="471" t="s">
        <v>15528</v>
      </c>
      <c r="I4212" s="472">
        <v>6.7649999999999997</v>
      </c>
      <c r="J4212" s="473">
        <f t="shared" si="1934"/>
        <v>308.60000000000002</v>
      </c>
      <c r="K4212" s="474">
        <f t="shared" si="1933"/>
        <v>2087.6790000000001</v>
      </c>
      <c r="L4212" s="433"/>
      <c r="M4212" s="474"/>
      <c r="O4212" s="434">
        <f t="shared" si="1935"/>
        <v>308.60000000000002</v>
      </c>
      <c r="P4212" s="435">
        <f t="shared" si="1936"/>
        <v>291.69999999999999</v>
      </c>
      <c r="AE4212" s="217"/>
      <c r="AF4212" s="217"/>
    </row>
    <row r="4213" ht="75" hidden="1">
      <c r="A4213" s="217"/>
      <c r="B4213" s="217">
        <v>1489</v>
      </c>
      <c r="C4213" s="217"/>
      <c r="D4213" s="217" t="s">
        <v>17167</v>
      </c>
      <c r="E4213" s="471" t="s">
        <v>20675</v>
      </c>
      <c r="F4213" s="482">
        <v>97086</v>
      </c>
      <c r="G4213" s="488" t="s">
        <v>8858</v>
      </c>
      <c r="H4213" s="471" t="s">
        <v>15515</v>
      </c>
      <c r="I4213" s="472">
        <v>4.0499999999999998</v>
      </c>
      <c r="J4213" s="473">
        <f t="shared" si="1934"/>
        <v>133.02000000000001</v>
      </c>
      <c r="K4213" s="474">
        <f t="shared" si="1933"/>
        <v>538.73099999999999</v>
      </c>
      <c r="L4213" s="433"/>
      <c r="M4213" s="474"/>
      <c r="O4213" s="434">
        <f t="shared" si="1935"/>
        <v>133.02000000000001</v>
      </c>
      <c r="P4213" s="435">
        <f t="shared" si="1936"/>
        <v>127.40000000000001</v>
      </c>
      <c r="AE4213" s="217"/>
      <c r="AF4213" s="217"/>
    </row>
    <row r="4214" ht="45" hidden="1">
      <c r="A4214" s="217"/>
      <c r="B4214" s="217">
        <v>1489</v>
      </c>
      <c r="C4214" s="217"/>
      <c r="D4214" s="217" t="s">
        <v>17167</v>
      </c>
      <c r="E4214" s="471" t="s">
        <v>20677</v>
      </c>
      <c r="F4214" s="482">
        <v>92267</v>
      </c>
      <c r="G4214" s="488" t="s">
        <v>4254</v>
      </c>
      <c r="H4214" s="471" t="s">
        <v>15515</v>
      </c>
      <c r="I4214" s="472">
        <v>3.2096</v>
      </c>
      <c r="J4214" s="473">
        <f t="shared" si="1934"/>
        <v>50.18</v>
      </c>
      <c r="K4214" s="474">
        <f t="shared" si="1933"/>
        <v>161.057728</v>
      </c>
      <c r="L4214" s="433"/>
      <c r="M4214" s="474"/>
      <c r="O4214" s="434">
        <f t="shared" si="1935"/>
        <v>50.18</v>
      </c>
      <c r="P4214" s="435">
        <f t="shared" si="1936"/>
        <v>50.109999999999999</v>
      </c>
      <c r="AE4214" s="217"/>
      <c r="AF4214" s="217"/>
    </row>
    <row r="4215" ht="90" hidden="1">
      <c r="A4215" s="217"/>
      <c r="B4215" s="217">
        <v>1489</v>
      </c>
      <c r="C4215" s="217"/>
      <c r="D4215" s="217" t="s">
        <v>17167</v>
      </c>
      <c r="E4215" s="471" t="s">
        <v>20679</v>
      </c>
      <c r="F4215" s="482">
        <v>92419</v>
      </c>
      <c r="G4215" s="488" t="s">
        <v>4308</v>
      </c>
      <c r="H4215" s="471" t="s">
        <v>15515</v>
      </c>
      <c r="I4215" s="472">
        <v>12.9316</v>
      </c>
      <c r="J4215" s="473">
        <f t="shared" si="1934"/>
        <v>96.239999999999995</v>
      </c>
      <c r="K4215" s="474">
        <f t="shared" si="1933"/>
        <v>1244.5371839999998</v>
      </c>
      <c r="L4215" s="433"/>
      <c r="M4215" s="474"/>
      <c r="O4215" s="434">
        <f t="shared" si="1935"/>
        <v>96.239999999999995</v>
      </c>
      <c r="P4215" s="435">
        <f t="shared" si="1936"/>
        <v>93.900000000000006</v>
      </c>
      <c r="AE4215" s="217"/>
      <c r="AF4215" s="217"/>
    </row>
    <row r="4216" ht="60" hidden="1">
      <c r="A4216" s="217"/>
      <c r="B4216" s="217">
        <v>1489</v>
      </c>
      <c r="C4216" s="217"/>
      <c r="D4216" s="217" t="s">
        <v>17167</v>
      </c>
      <c r="E4216" s="471" t="s">
        <v>20681</v>
      </c>
      <c r="F4216" s="482">
        <v>92769</v>
      </c>
      <c r="G4216" s="488" t="s">
        <v>327</v>
      </c>
      <c r="H4216" s="471" t="s">
        <v>302</v>
      </c>
      <c r="I4216" s="472">
        <v>62.899999999999999</v>
      </c>
      <c r="J4216" s="473">
        <f t="shared" si="1934"/>
        <v>12.42</v>
      </c>
      <c r="K4216" s="474">
        <f t="shared" si="1933"/>
        <v>781.21799999999996</v>
      </c>
      <c r="L4216" s="433"/>
      <c r="M4216" s="474"/>
      <c r="O4216" s="434">
        <f t="shared" si="1935"/>
        <v>12.42</v>
      </c>
      <c r="P4216" s="435">
        <f t="shared" si="1936"/>
        <v>12.26</v>
      </c>
      <c r="AE4216" s="217"/>
      <c r="AF4216" s="217"/>
    </row>
    <row r="4217" ht="60" hidden="1">
      <c r="A4217" s="217"/>
      <c r="B4217" s="217">
        <v>1489</v>
      </c>
      <c r="C4217" s="217"/>
      <c r="D4217" s="217" t="s">
        <v>17167</v>
      </c>
      <c r="E4217" s="471" t="s">
        <v>20683</v>
      </c>
      <c r="F4217" s="482">
        <v>92770</v>
      </c>
      <c r="G4217" s="488" t="s">
        <v>328</v>
      </c>
      <c r="H4217" s="471" t="s">
        <v>302</v>
      </c>
      <c r="I4217" s="472">
        <v>108.5</v>
      </c>
      <c r="J4217" s="473">
        <f t="shared" si="1934"/>
        <v>11.57</v>
      </c>
      <c r="K4217" s="474">
        <f t="shared" si="1933"/>
        <v>1255.345</v>
      </c>
      <c r="L4217" s="433"/>
      <c r="M4217" s="474"/>
      <c r="O4217" s="434">
        <f t="shared" si="1935"/>
        <v>11.57</v>
      </c>
      <c r="P4217" s="435">
        <f t="shared" si="1936"/>
        <v>11.460000000000001</v>
      </c>
      <c r="AE4217" s="217"/>
      <c r="AF4217" s="217"/>
    </row>
    <row r="4218" ht="60" hidden="1">
      <c r="A4218" s="217"/>
      <c r="B4218" s="217">
        <v>1489</v>
      </c>
      <c r="C4218" s="217"/>
      <c r="D4218" s="217" t="s">
        <v>17167</v>
      </c>
      <c r="E4218" s="471" t="s">
        <v>20685</v>
      </c>
      <c r="F4218" s="482">
        <v>92771</v>
      </c>
      <c r="G4218" s="488" t="s">
        <v>323</v>
      </c>
      <c r="H4218" s="471" t="s">
        <v>302</v>
      </c>
      <c r="I4218" s="472">
        <v>3.2000000000000002</v>
      </c>
      <c r="J4218" s="473">
        <f t="shared" si="1934"/>
        <v>10.25</v>
      </c>
      <c r="K4218" s="474">
        <f t="shared" si="1933"/>
        <v>32.800000000000004</v>
      </c>
      <c r="L4218" s="433"/>
      <c r="M4218" s="474"/>
      <c r="O4218" s="434">
        <f t="shared" si="1935"/>
        <v>10.25</v>
      </c>
      <c r="P4218" s="435">
        <f t="shared" si="1936"/>
        <v>10.199999999999999</v>
      </c>
      <c r="AE4218" s="217"/>
      <c r="AF4218" s="217"/>
    </row>
    <row r="4219" ht="60" hidden="1">
      <c r="A4219" s="217"/>
      <c r="B4219" s="217">
        <v>1489</v>
      </c>
      <c r="C4219" s="217"/>
      <c r="D4219" s="217" t="s">
        <v>17167</v>
      </c>
      <c r="E4219" s="471" t="s">
        <v>20687</v>
      </c>
      <c r="F4219" s="482">
        <v>92772</v>
      </c>
      <c r="G4219" s="488" t="s">
        <v>324</v>
      </c>
      <c r="H4219" s="471" t="s">
        <v>302</v>
      </c>
      <c r="I4219" s="472">
        <v>99.200000000000003</v>
      </c>
      <c r="J4219" s="473">
        <f t="shared" si="1934"/>
        <v>8.5600000000000005</v>
      </c>
      <c r="K4219" s="474">
        <f t="shared" si="1933"/>
        <v>849.15200000000004</v>
      </c>
      <c r="L4219" s="433"/>
      <c r="M4219" s="474"/>
      <c r="O4219" s="434">
        <f t="shared" si="1935"/>
        <v>8.5600000000000005</v>
      </c>
      <c r="P4219" s="435">
        <f t="shared" si="1936"/>
        <v>8.5299999999999994</v>
      </c>
      <c r="AE4219" s="217"/>
      <c r="AF4219" s="217"/>
    </row>
    <row r="4220" ht="60" hidden="1">
      <c r="A4220" s="217"/>
      <c r="B4220" s="217">
        <v>1489</v>
      </c>
      <c r="C4220" s="217"/>
      <c r="D4220" s="217" t="s">
        <v>17167</v>
      </c>
      <c r="E4220" s="471" t="s">
        <v>20689</v>
      </c>
      <c r="F4220" s="482">
        <v>92773</v>
      </c>
      <c r="G4220" s="488" t="s">
        <v>325</v>
      </c>
      <c r="H4220" s="471" t="s">
        <v>302</v>
      </c>
      <c r="I4220" s="472">
        <v>136.59999999999999</v>
      </c>
      <c r="J4220" s="473">
        <f t="shared" si="1934"/>
        <v>8.3900000000000006</v>
      </c>
      <c r="K4220" s="474">
        <f t="shared" si="1933"/>
        <v>1146.0740000000001</v>
      </c>
      <c r="L4220" s="433"/>
      <c r="M4220" s="474"/>
      <c r="O4220" s="434">
        <f t="shared" si="1935"/>
        <v>8.3900000000000006</v>
      </c>
      <c r="P4220" s="435">
        <f t="shared" si="1936"/>
        <v>8.3599999999999994</v>
      </c>
      <c r="AE4220" s="217"/>
      <c r="AF4220" s="217"/>
    </row>
    <row r="4221" ht="30" hidden="1">
      <c r="A4221" s="217"/>
      <c r="B4221" s="217">
        <v>1489</v>
      </c>
      <c r="C4221" s="217"/>
      <c r="D4221" s="217" t="s">
        <v>17167</v>
      </c>
      <c r="E4221" s="471" t="s">
        <v>20882</v>
      </c>
      <c r="F4221" s="482">
        <v>89993</v>
      </c>
      <c r="G4221" s="488" t="s">
        <v>4453</v>
      </c>
      <c r="H4221" s="471" t="s">
        <v>15528</v>
      </c>
      <c r="I4221" s="472">
        <v>0.107</v>
      </c>
      <c r="J4221" s="473">
        <f t="shared" si="1934"/>
        <v>1072.4000000000001</v>
      </c>
      <c r="K4221" s="474">
        <f t="shared" si="1933"/>
        <v>114.74680000000001</v>
      </c>
      <c r="L4221" s="433"/>
      <c r="M4221" s="474"/>
      <c r="O4221" s="434">
        <f t="shared" si="1935"/>
        <v>1072.4000000000001</v>
      </c>
      <c r="P4221" s="435">
        <f t="shared" si="1936"/>
        <v>1045.25</v>
      </c>
      <c r="AE4221" s="217"/>
      <c r="AF4221" s="217"/>
    </row>
    <row r="4222" ht="45" hidden="1">
      <c r="A4222" s="217"/>
      <c r="B4222" s="217">
        <v>1489</v>
      </c>
      <c r="C4222" s="217"/>
      <c r="D4222" s="217" t="s">
        <v>17167</v>
      </c>
      <c r="E4222" s="471" t="s">
        <v>22002</v>
      </c>
      <c r="F4222" s="482">
        <v>89995</v>
      </c>
      <c r="G4222" s="488" t="s">
        <v>4452</v>
      </c>
      <c r="H4222" s="471" t="s">
        <v>15528</v>
      </c>
      <c r="I4222" s="472">
        <v>0.26100000000000001</v>
      </c>
      <c r="J4222" s="473">
        <f t="shared" si="1934"/>
        <v>1033.8599999999999</v>
      </c>
      <c r="K4222" s="474">
        <f t="shared" si="1933"/>
        <v>269.83745999999996</v>
      </c>
      <c r="L4222" s="433"/>
      <c r="M4222" s="474"/>
      <c r="O4222" s="434">
        <f t="shared" si="1935"/>
        <v>1033.8599999999999</v>
      </c>
      <c r="P4222" s="435">
        <f t="shared" si="1936"/>
        <v>1008.86</v>
      </c>
      <c r="AE4222" s="217"/>
      <c r="AF4222" s="217"/>
    </row>
    <row r="4223" ht="45" hidden="1">
      <c r="A4223" s="217"/>
      <c r="B4223" s="217">
        <v>1489</v>
      </c>
      <c r="C4223" s="217"/>
      <c r="D4223" s="217" t="s">
        <v>17167</v>
      </c>
      <c r="E4223" s="471" t="s">
        <v>22003</v>
      </c>
      <c r="F4223" s="482">
        <v>102920</v>
      </c>
      <c r="G4223" s="488" t="s">
        <v>4434</v>
      </c>
      <c r="H4223" s="471" t="s">
        <v>302</v>
      </c>
      <c r="I4223" s="472">
        <v>50.100000000000001</v>
      </c>
      <c r="J4223" s="473">
        <f t="shared" si="1934"/>
        <v>8.1099999999999994</v>
      </c>
      <c r="K4223" s="474">
        <f t="shared" si="1933"/>
        <v>406.31099999999998</v>
      </c>
      <c r="L4223" s="433"/>
      <c r="M4223" s="474"/>
      <c r="O4223" s="434">
        <f t="shared" si="1935"/>
        <v>8.1099999999999994</v>
      </c>
      <c r="P4223" s="435">
        <f t="shared" si="1936"/>
        <v>8.0299999999999994</v>
      </c>
      <c r="AE4223" s="217"/>
      <c r="AF4223" s="217"/>
    </row>
    <row r="4224" ht="45" hidden="1">
      <c r="A4224" s="217"/>
      <c r="B4224" s="217">
        <v>1489</v>
      </c>
      <c r="C4224" s="217"/>
      <c r="D4224" s="217" t="s">
        <v>17167</v>
      </c>
      <c r="E4224" s="471" t="s">
        <v>22302</v>
      </c>
      <c r="F4224" s="482">
        <v>89996</v>
      </c>
      <c r="G4224" s="488" t="s">
        <v>4440</v>
      </c>
      <c r="H4224" s="471" t="s">
        <v>302</v>
      </c>
      <c r="I4224" s="472">
        <v>35.899999999999999</v>
      </c>
      <c r="J4224" s="473">
        <f t="shared" si="1934"/>
        <v>10.470000000000001</v>
      </c>
      <c r="K4224" s="474">
        <f t="shared" si="1933"/>
        <v>375.87299999999999</v>
      </c>
      <c r="L4224" s="433"/>
      <c r="M4224" s="474"/>
      <c r="O4224" s="434">
        <f t="shared" si="1935"/>
        <v>10.470000000000001</v>
      </c>
      <c r="P4224" s="435">
        <f t="shared" si="1936"/>
        <v>10.33</v>
      </c>
      <c r="AE4224" s="217"/>
      <c r="AF4224" s="217"/>
    </row>
    <row r="4225" ht="90" hidden="1">
      <c r="A4225" s="217"/>
      <c r="B4225" s="217">
        <v>1489</v>
      </c>
      <c r="C4225" s="217"/>
      <c r="D4225" s="217" t="s">
        <v>17167</v>
      </c>
      <c r="E4225" s="471" t="s">
        <v>22305</v>
      </c>
      <c r="F4225" s="482">
        <v>87286</v>
      </c>
      <c r="G4225" s="488" t="s">
        <v>174</v>
      </c>
      <c r="H4225" s="471" t="s">
        <v>15528</v>
      </c>
      <c r="I4225" s="472">
        <v>0.25800000000000001</v>
      </c>
      <c r="J4225" s="473">
        <f t="shared" si="1934"/>
        <v>607.99000000000001</v>
      </c>
      <c r="K4225" s="474">
        <f t="shared" si="1933"/>
        <v>156.86142000000001</v>
      </c>
      <c r="L4225" s="433"/>
      <c r="M4225" s="474"/>
      <c r="O4225" s="434">
        <f t="shared" si="1935"/>
        <v>607.99000000000001</v>
      </c>
      <c r="P4225" s="435">
        <f t="shared" si="1936"/>
        <v>599.37</v>
      </c>
      <c r="AE4225" s="217"/>
      <c r="AF4225" s="217"/>
    </row>
    <row r="4226" ht="75" hidden="1">
      <c r="A4226" s="217"/>
      <c r="B4226" s="217">
        <v>1489</v>
      </c>
      <c r="C4226" s="217"/>
      <c r="D4226" s="217" t="s">
        <v>17167</v>
      </c>
      <c r="E4226" s="471" t="s">
        <v>22306</v>
      </c>
      <c r="F4226" s="482">
        <v>100475</v>
      </c>
      <c r="G4226" s="488" t="s">
        <v>205</v>
      </c>
      <c r="H4226" s="471" t="s">
        <v>15528</v>
      </c>
      <c r="I4226" s="472">
        <v>0.48299999999999998</v>
      </c>
      <c r="J4226" s="473">
        <f t="shared" si="1934"/>
        <v>725.75</v>
      </c>
      <c r="K4226" s="474">
        <f t="shared" si="1933"/>
        <v>350.53724999999997</v>
      </c>
      <c r="L4226" s="433"/>
      <c r="M4226" s="474"/>
      <c r="O4226" s="434">
        <f t="shared" si="1935"/>
        <v>725.75</v>
      </c>
      <c r="P4226" s="435">
        <f t="shared" si="1936"/>
        <v>719.49000000000001</v>
      </c>
      <c r="AE4226" s="217"/>
      <c r="AF4226" s="217"/>
    </row>
    <row r="4227" ht="104.25" hidden="1" customHeight="1">
      <c r="A4227" s="217"/>
      <c r="B4227" s="460">
        <v>1490</v>
      </c>
      <c r="C4227" s="460"/>
      <c r="D4227" s="460"/>
      <c r="E4227" s="461">
        <v>1</v>
      </c>
      <c r="F4227" s="462" t="s">
        <v>22509</v>
      </c>
      <c r="G4227" s="477" t="s">
        <v>22510</v>
      </c>
      <c r="H4227" s="478" t="s">
        <v>20647</v>
      </c>
      <c r="I4227" s="479"/>
      <c r="J4227" s="480"/>
      <c r="K4227" s="466">
        <f>SUM(K4228:K4244)</f>
        <v>9147.2451920000003</v>
      </c>
      <c r="L4227" s="433"/>
      <c r="M4227" s="474"/>
      <c r="O4227" s="434" t="str">
        <f t="shared" si="1935"/>
        <v xml:space="preserve">SEM VALOR</v>
      </c>
      <c r="P4227" s="435" t="str">
        <f t="shared" si="1936"/>
        <v xml:space="preserve">SEM VALOR</v>
      </c>
      <c r="AE4227" s="217"/>
      <c r="AF4227" s="217"/>
    </row>
    <row r="4228" ht="30" hidden="1">
      <c r="A4228" s="217"/>
      <c r="B4228" s="217">
        <v>1490</v>
      </c>
      <c r="C4228" s="217"/>
      <c r="D4228" s="217" t="s">
        <v>20408</v>
      </c>
      <c r="E4228" s="471" t="s">
        <v>20405</v>
      </c>
      <c r="F4228" s="482">
        <v>34573</v>
      </c>
      <c r="G4228" s="488" t="s">
        <v>20262</v>
      </c>
      <c r="H4228" s="471" t="s">
        <v>31</v>
      </c>
      <c r="I4228" s="472">
        <v>320</v>
      </c>
      <c r="J4228" s="473">
        <f t="shared" si="1934"/>
        <v>5.46</v>
      </c>
      <c r="K4228" s="474">
        <f t="shared" si="1933"/>
        <v>1747.2</v>
      </c>
      <c r="L4228" s="433"/>
      <c r="M4228" s="474"/>
      <c r="O4228" s="434">
        <f t="shared" si="1935"/>
        <v>5.46</v>
      </c>
      <c r="P4228" s="435">
        <f t="shared" si="1936"/>
        <v>5.46</v>
      </c>
      <c r="AE4228" s="217"/>
      <c r="AF4228" s="217"/>
    </row>
    <row r="4229" ht="45" hidden="1">
      <c r="A4229" s="217"/>
      <c r="B4229" s="217">
        <v>1490</v>
      </c>
      <c r="C4229" s="217"/>
      <c r="D4229" s="217" t="s">
        <v>20408</v>
      </c>
      <c r="E4229" s="471" t="s">
        <v>20663</v>
      </c>
      <c r="F4229" s="482">
        <v>38600</v>
      </c>
      <c r="G4229" s="488" t="s">
        <v>20266</v>
      </c>
      <c r="H4229" s="471" t="s">
        <v>31</v>
      </c>
      <c r="I4229" s="472">
        <v>48</v>
      </c>
      <c r="J4229" s="473">
        <f>O4229*$J$3*R4229</f>
        <v>5.8719999999999999</v>
      </c>
      <c r="K4229" s="474">
        <f t="shared" si="1933"/>
        <v>281.85599999999999</v>
      </c>
      <c r="L4229" s="589" t="s">
        <v>22494</v>
      </c>
      <c r="M4229" s="474"/>
      <c r="N4229" s="589" t="s">
        <v>22494</v>
      </c>
      <c r="O4229" s="434">
        <f t="shared" si="1935"/>
        <v>7.3399999999999999</v>
      </c>
      <c r="P4229" s="435">
        <f t="shared" si="1936"/>
        <v>7.3399999999999999</v>
      </c>
      <c r="R4229" s="670">
        <v>0.80000000000000004</v>
      </c>
      <c r="AE4229" s="217"/>
      <c r="AF4229" s="217"/>
    </row>
    <row r="4230" ht="75" hidden="1">
      <c r="A4230" s="217"/>
      <c r="B4230" s="217">
        <v>1490</v>
      </c>
      <c r="C4230" s="217"/>
      <c r="D4230" s="217" t="s">
        <v>17167</v>
      </c>
      <c r="E4230" s="471" t="s">
        <v>20665</v>
      </c>
      <c r="F4230" s="482">
        <v>97083</v>
      </c>
      <c r="G4230" s="488" t="s">
        <v>8822</v>
      </c>
      <c r="H4230" s="471" t="s">
        <v>15515</v>
      </c>
      <c r="I4230" s="472">
        <v>6.7081</v>
      </c>
      <c r="J4230" s="473">
        <f t="shared" si="1934"/>
        <v>3.4900000000000002</v>
      </c>
      <c r="K4230" s="474">
        <f t="shared" si="1933"/>
        <v>23.411269000000001</v>
      </c>
      <c r="L4230" s="433"/>
      <c r="M4230" s="474"/>
      <c r="O4230" s="434">
        <f t="shared" si="1935"/>
        <v>3.4900000000000002</v>
      </c>
      <c r="P4230" s="435">
        <f t="shared" si="1936"/>
        <v>3.2999999999999998</v>
      </c>
      <c r="AE4230" s="217"/>
      <c r="AF4230" s="217"/>
    </row>
    <row r="4231" ht="75" hidden="1">
      <c r="A4231" s="217"/>
      <c r="B4231" s="217">
        <v>1490</v>
      </c>
      <c r="C4231" s="217"/>
      <c r="D4231" s="217" t="s">
        <v>17167</v>
      </c>
      <c r="E4231" s="471" t="s">
        <v>20667</v>
      </c>
      <c r="F4231" s="482">
        <v>100324</v>
      </c>
      <c r="G4231" s="488" t="s">
        <v>6998</v>
      </c>
      <c r="H4231" s="471" t="s">
        <v>15528</v>
      </c>
      <c r="I4231" s="472">
        <v>0.67079999999999995</v>
      </c>
      <c r="J4231" s="473">
        <f t="shared" si="1934"/>
        <v>179.66</v>
      </c>
      <c r="K4231" s="474">
        <f t="shared" si="1933"/>
        <v>120.51592799999999</v>
      </c>
      <c r="L4231" s="433"/>
      <c r="M4231" s="474"/>
      <c r="O4231" s="434">
        <f t="shared" si="1935"/>
        <v>179.66</v>
      </c>
      <c r="P4231" s="435">
        <f t="shared" si="1936"/>
        <v>176.31999999999999</v>
      </c>
      <c r="AE4231" s="217"/>
      <c r="AF4231" s="217"/>
    </row>
    <row r="4232" ht="45" hidden="1">
      <c r="A4232" s="217"/>
      <c r="B4232" s="217">
        <v>1490</v>
      </c>
      <c r="C4232" s="217"/>
      <c r="D4232" s="217" t="s">
        <v>17167</v>
      </c>
      <c r="E4232" s="471" t="s">
        <v>20671</v>
      </c>
      <c r="F4232" s="482">
        <v>96620</v>
      </c>
      <c r="G4232" s="488" t="s">
        <v>7009</v>
      </c>
      <c r="H4232" s="471" t="s">
        <v>121</v>
      </c>
      <c r="I4232" s="472">
        <v>0.46960000000000002</v>
      </c>
      <c r="J4232" s="473">
        <f t="shared" si="1934"/>
        <v>722.99000000000001</v>
      </c>
      <c r="K4232" s="474">
        <f t="shared" ref="K4232:K4254" si="1937">I4232*J4232</f>
        <v>339.51610400000004</v>
      </c>
      <c r="L4232" s="433"/>
      <c r="M4232" s="474"/>
      <c r="O4232" s="434">
        <f t="shared" si="1935"/>
        <v>722.99000000000001</v>
      </c>
      <c r="P4232" s="435">
        <f t="shared" si="1936"/>
        <v>705.89999999999998</v>
      </c>
      <c r="AE4232" s="217"/>
      <c r="AF4232" s="217"/>
    </row>
    <row r="4233" ht="75" hidden="1">
      <c r="A4233" s="217"/>
      <c r="B4233" s="217">
        <v>1490</v>
      </c>
      <c r="C4233" s="217"/>
      <c r="D4233" s="217" t="s">
        <v>17167</v>
      </c>
      <c r="E4233" s="471" t="s">
        <v>20672</v>
      </c>
      <c r="F4233" s="482">
        <v>94971</v>
      </c>
      <c r="G4233" s="488" t="s">
        <v>8716</v>
      </c>
      <c r="H4233" s="471" t="s">
        <v>15528</v>
      </c>
      <c r="I4233" s="472">
        <v>2.3999999999999999</v>
      </c>
      <c r="J4233" s="473">
        <f t="shared" si="1934"/>
        <v>502.49000000000001</v>
      </c>
      <c r="K4233" s="474">
        <f t="shared" si="1937"/>
        <v>1205.9759999999999</v>
      </c>
      <c r="L4233" s="433"/>
      <c r="M4233" s="474"/>
      <c r="O4233" s="434">
        <f t="shared" si="1935"/>
        <v>502.49000000000001</v>
      </c>
      <c r="P4233" s="435">
        <f t="shared" si="1936"/>
        <v>498.00999999999999</v>
      </c>
      <c r="AE4233" s="217"/>
      <c r="AF4233" s="217"/>
    </row>
    <row r="4234" ht="60" hidden="1">
      <c r="A4234" s="217"/>
      <c r="B4234" s="217">
        <v>1490</v>
      </c>
      <c r="C4234" s="217"/>
      <c r="D4234" s="217" t="s">
        <v>17167</v>
      </c>
      <c r="E4234" s="471" t="s">
        <v>20673</v>
      </c>
      <c r="F4234" s="482">
        <v>103670</v>
      </c>
      <c r="G4234" s="488" t="s">
        <v>1387</v>
      </c>
      <c r="H4234" s="471" t="s">
        <v>15528</v>
      </c>
      <c r="I4234" s="472">
        <v>2.3999999999999999</v>
      </c>
      <c r="J4234" s="473">
        <f t="shared" si="1934"/>
        <v>308.60000000000002</v>
      </c>
      <c r="K4234" s="474">
        <f t="shared" si="1937"/>
        <v>740.63999999999999</v>
      </c>
      <c r="L4234" s="433"/>
      <c r="M4234" s="474"/>
      <c r="O4234" s="434">
        <f t="shared" si="1935"/>
        <v>308.60000000000002</v>
      </c>
      <c r="P4234" s="435">
        <f t="shared" si="1936"/>
        <v>291.69999999999999</v>
      </c>
      <c r="AE4234" s="217"/>
      <c r="AF4234" s="217"/>
    </row>
    <row r="4235" ht="75" hidden="1">
      <c r="A4235" s="217"/>
      <c r="B4235" s="217">
        <v>1490</v>
      </c>
      <c r="C4235" s="217"/>
      <c r="D4235" s="217" t="s">
        <v>17167</v>
      </c>
      <c r="E4235" s="471" t="s">
        <v>20675</v>
      </c>
      <c r="F4235" s="482">
        <v>97086</v>
      </c>
      <c r="G4235" s="488" t="s">
        <v>8858</v>
      </c>
      <c r="H4235" s="471" t="s">
        <v>15515</v>
      </c>
      <c r="I4235" s="472">
        <v>1.9548000000000001</v>
      </c>
      <c r="J4235" s="473">
        <f t="shared" si="1934"/>
        <v>133.02000000000001</v>
      </c>
      <c r="K4235" s="474">
        <f t="shared" si="1937"/>
        <v>260.02749600000004</v>
      </c>
      <c r="L4235" s="433"/>
      <c r="M4235" s="474"/>
      <c r="O4235" s="434">
        <f t="shared" si="1935"/>
        <v>133.02000000000001</v>
      </c>
      <c r="P4235" s="435">
        <f t="shared" si="1936"/>
        <v>127.40000000000001</v>
      </c>
      <c r="AE4235" s="217"/>
      <c r="AF4235" s="217"/>
    </row>
    <row r="4236" ht="45" hidden="1">
      <c r="A4236" s="217"/>
      <c r="B4236" s="217">
        <v>1490</v>
      </c>
      <c r="C4236" s="217"/>
      <c r="D4236" s="217" t="s">
        <v>17167</v>
      </c>
      <c r="E4236" s="471" t="s">
        <v>20677</v>
      </c>
      <c r="F4236" s="482">
        <v>92267</v>
      </c>
      <c r="G4236" s="488" t="s">
        <v>4254</v>
      </c>
      <c r="H4236" s="471" t="s">
        <v>15515</v>
      </c>
      <c r="I4236" s="472">
        <v>1.3140000000000001</v>
      </c>
      <c r="J4236" s="473">
        <f t="shared" si="1934"/>
        <v>50.18</v>
      </c>
      <c r="K4236" s="474">
        <f t="shared" si="1937"/>
        <v>65.936520000000002</v>
      </c>
      <c r="L4236" s="433"/>
      <c r="M4236" s="474"/>
      <c r="O4236" s="434">
        <f t="shared" si="1935"/>
        <v>50.18</v>
      </c>
      <c r="P4236" s="435">
        <f t="shared" si="1936"/>
        <v>50.109999999999999</v>
      </c>
      <c r="AE4236" s="217"/>
      <c r="AF4236" s="217"/>
    </row>
    <row r="4237" ht="90" hidden="1">
      <c r="A4237" s="217"/>
      <c r="B4237" s="217">
        <v>1490</v>
      </c>
      <c r="C4237" s="217"/>
      <c r="D4237" s="217" t="s">
        <v>17167</v>
      </c>
      <c r="E4237" s="471" t="s">
        <v>20679</v>
      </c>
      <c r="F4237" s="482">
        <v>92419</v>
      </c>
      <c r="G4237" s="488" t="s">
        <v>4308</v>
      </c>
      <c r="H4237" s="471" t="s">
        <v>15515</v>
      </c>
      <c r="I4237" s="472">
        <v>8.4420000000000002</v>
      </c>
      <c r="J4237" s="473">
        <f t="shared" si="1934"/>
        <v>96.239999999999995</v>
      </c>
      <c r="K4237" s="474">
        <f t="shared" si="1937"/>
        <v>812.45808</v>
      </c>
      <c r="L4237" s="433"/>
      <c r="M4237" s="474"/>
      <c r="O4237" s="434">
        <f t="shared" si="1935"/>
        <v>96.239999999999995</v>
      </c>
      <c r="P4237" s="435">
        <f t="shared" si="1936"/>
        <v>93.900000000000006</v>
      </c>
      <c r="AE4237" s="217"/>
      <c r="AF4237" s="217"/>
    </row>
    <row r="4238" ht="60" hidden="1">
      <c r="A4238" s="217"/>
      <c r="B4238" s="217">
        <v>1490</v>
      </c>
      <c r="C4238" s="217"/>
      <c r="D4238" s="217" t="s">
        <v>17167</v>
      </c>
      <c r="E4238" s="471" t="s">
        <v>20685</v>
      </c>
      <c r="F4238" s="482">
        <v>92771</v>
      </c>
      <c r="G4238" s="488" t="s">
        <v>323</v>
      </c>
      <c r="H4238" s="471" t="s">
        <v>302</v>
      </c>
      <c r="I4238" s="472">
        <v>193.81809999999999</v>
      </c>
      <c r="J4238" s="473">
        <f t="shared" si="1934"/>
        <v>10.25</v>
      </c>
      <c r="K4238" s="474">
        <f t="shared" si="1937"/>
        <v>1986.6355249999999</v>
      </c>
      <c r="L4238" s="433"/>
      <c r="M4238" s="474"/>
      <c r="O4238" s="434">
        <f t="shared" si="1935"/>
        <v>10.25</v>
      </c>
      <c r="P4238" s="435">
        <f t="shared" si="1936"/>
        <v>10.199999999999999</v>
      </c>
      <c r="AE4238" s="217"/>
      <c r="AF4238" s="217"/>
    </row>
    <row r="4239" ht="45" hidden="1">
      <c r="A4239" s="217"/>
      <c r="B4239" s="217">
        <v>1490</v>
      </c>
      <c r="C4239" s="217"/>
      <c r="D4239" s="217" t="s">
        <v>17167</v>
      </c>
      <c r="E4239" s="471" t="s">
        <v>22002</v>
      </c>
      <c r="F4239" s="482">
        <v>89995</v>
      </c>
      <c r="G4239" s="488" t="s">
        <v>4452</v>
      </c>
      <c r="H4239" s="471" t="s">
        <v>15528</v>
      </c>
      <c r="I4239" s="472">
        <v>0.37140000000000001</v>
      </c>
      <c r="J4239" s="473">
        <f t="shared" si="1934"/>
        <v>1033.8599999999999</v>
      </c>
      <c r="K4239" s="474">
        <f t="shared" si="1937"/>
        <v>383.97560399999998</v>
      </c>
      <c r="L4239" s="433"/>
      <c r="M4239" s="474"/>
      <c r="O4239" s="434">
        <f t="shared" si="1935"/>
        <v>1033.8599999999999</v>
      </c>
      <c r="P4239" s="435">
        <f t="shared" si="1936"/>
        <v>1008.86</v>
      </c>
      <c r="AE4239" s="217"/>
      <c r="AF4239" s="217"/>
    </row>
    <row r="4240" ht="45" hidden="1">
      <c r="A4240" s="217"/>
      <c r="B4240" s="217">
        <v>1490</v>
      </c>
      <c r="C4240" s="217"/>
      <c r="D4240" s="217" t="s">
        <v>17167</v>
      </c>
      <c r="E4240" s="471" t="s">
        <v>22003</v>
      </c>
      <c r="F4240" s="482">
        <v>102920</v>
      </c>
      <c r="G4240" s="488" t="s">
        <v>4434</v>
      </c>
      <c r="H4240" s="471" t="s">
        <v>302</v>
      </c>
      <c r="I4240" s="472">
        <v>23.1005</v>
      </c>
      <c r="J4240" s="473">
        <f t="shared" si="1934"/>
        <v>8.1099999999999994</v>
      </c>
      <c r="K4240" s="474">
        <f t="shared" si="1937"/>
        <v>187.345055</v>
      </c>
      <c r="L4240" s="433"/>
      <c r="M4240" s="474"/>
      <c r="O4240" s="434">
        <f t="shared" si="1935"/>
        <v>8.1099999999999994</v>
      </c>
      <c r="P4240" s="435">
        <f t="shared" si="1936"/>
        <v>8.0299999999999994</v>
      </c>
      <c r="AE4240" s="217"/>
      <c r="AF4240" s="217"/>
    </row>
    <row r="4241" ht="45" hidden="1">
      <c r="A4241" s="217"/>
      <c r="B4241" s="217">
        <v>1490</v>
      </c>
      <c r="C4241" s="217"/>
      <c r="D4241" s="217" t="s">
        <v>17167</v>
      </c>
      <c r="E4241" s="471" t="s">
        <v>22302</v>
      </c>
      <c r="F4241" s="482">
        <v>89996</v>
      </c>
      <c r="G4241" s="488" t="s">
        <v>4440</v>
      </c>
      <c r="H4241" s="471" t="s">
        <v>302</v>
      </c>
      <c r="I4241" s="472">
        <v>46.640000000000001</v>
      </c>
      <c r="J4241" s="473">
        <f t="shared" si="1934"/>
        <v>10.470000000000001</v>
      </c>
      <c r="K4241" s="474">
        <f t="shared" si="1937"/>
        <v>488.32080000000002</v>
      </c>
      <c r="L4241" s="433"/>
      <c r="M4241" s="474"/>
      <c r="O4241" s="434">
        <f t="shared" si="1935"/>
        <v>10.470000000000001</v>
      </c>
      <c r="P4241" s="435">
        <f t="shared" si="1936"/>
        <v>10.33</v>
      </c>
      <c r="AE4241" s="217"/>
      <c r="AF4241" s="217"/>
    </row>
    <row r="4242" ht="90" hidden="1">
      <c r="A4242" s="217"/>
      <c r="B4242" s="217">
        <v>1490</v>
      </c>
      <c r="C4242" s="217"/>
      <c r="D4242" s="217" t="s">
        <v>17167</v>
      </c>
      <c r="E4242" s="471" t="s">
        <v>22305</v>
      </c>
      <c r="F4242" s="482">
        <v>87286</v>
      </c>
      <c r="G4242" s="488" t="s">
        <v>174</v>
      </c>
      <c r="H4242" s="471" t="s">
        <v>15528</v>
      </c>
      <c r="I4242" s="472">
        <v>0.1376</v>
      </c>
      <c r="J4242" s="473">
        <f t="shared" si="1934"/>
        <v>607.99000000000001</v>
      </c>
      <c r="K4242" s="474">
        <f t="shared" si="1937"/>
        <v>83.659424000000001</v>
      </c>
      <c r="L4242" s="433"/>
      <c r="M4242" s="474"/>
      <c r="O4242" s="434">
        <f t="shared" si="1935"/>
        <v>607.99000000000001</v>
      </c>
      <c r="P4242" s="435">
        <f t="shared" si="1936"/>
        <v>599.37</v>
      </c>
      <c r="AE4242" s="217"/>
      <c r="AF4242" s="217"/>
    </row>
    <row r="4243" ht="75" hidden="1">
      <c r="A4243" s="217"/>
      <c r="B4243" s="217">
        <v>1490</v>
      </c>
      <c r="C4243" s="217"/>
      <c r="D4243" s="217" t="s">
        <v>17167</v>
      </c>
      <c r="E4243" s="471" t="s">
        <v>22306</v>
      </c>
      <c r="F4243" s="482">
        <v>100475</v>
      </c>
      <c r="G4243" s="488" t="s">
        <v>205</v>
      </c>
      <c r="H4243" s="471" t="s">
        <v>15528</v>
      </c>
      <c r="I4243" s="472">
        <v>0.55020000000000002</v>
      </c>
      <c r="J4243" s="473">
        <f t="shared" si="1934"/>
        <v>725.75</v>
      </c>
      <c r="K4243" s="474">
        <f t="shared" si="1937"/>
        <v>399.30765000000002</v>
      </c>
      <c r="L4243" s="433"/>
      <c r="M4243" s="474"/>
      <c r="O4243" s="434">
        <f t="shared" si="1935"/>
        <v>725.75</v>
      </c>
      <c r="P4243" s="435">
        <f t="shared" si="1936"/>
        <v>719.49000000000001</v>
      </c>
      <c r="AE4243" s="217"/>
      <c r="AF4243" s="217"/>
    </row>
    <row r="4244" ht="75" hidden="1">
      <c r="A4244" s="217"/>
      <c r="B4244" s="217">
        <v>1490</v>
      </c>
      <c r="C4244" s="217"/>
      <c r="D4244" s="217" t="s">
        <v>17167</v>
      </c>
      <c r="E4244" s="471"/>
      <c r="F4244" s="482">
        <v>87316</v>
      </c>
      <c r="G4244" s="488" t="s">
        <v>237</v>
      </c>
      <c r="H4244" s="471" t="s">
        <v>15528</v>
      </c>
      <c r="I4244" s="472">
        <v>4.1300000000000003e-002</v>
      </c>
      <c r="J4244" s="473">
        <f t="shared" si="1934"/>
        <v>495.49000000000001</v>
      </c>
      <c r="K4244" s="474">
        <f t="shared" si="1937"/>
        <v>20.463737000000002</v>
      </c>
      <c r="L4244" s="433"/>
      <c r="M4244" s="474"/>
      <c r="O4244" s="434">
        <f t="shared" si="1935"/>
        <v>495.49000000000001</v>
      </c>
      <c r="P4244" s="435">
        <f t="shared" si="1936"/>
        <v>487.74000000000001</v>
      </c>
      <c r="AE4244" s="217"/>
      <c r="AF4244" s="217"/>
    </row>
    <row r="4245" ht="54.75" hidden="1" customHeight="1">
      <c r="A4245" s="217"/>
      <c r="B4245" s="460">
        <v>1491</v>
      </c>
      <c r="C4245" s="460"/>
      <c r="D4245" s="460"/>
      <c r="E4245" s="461">
        <v>1</v>
      </c>
      <c r="F4245" s="462" t="s">
        <v>22511</v>
      </c>
      <c r="G4245" s="477" t="s">
        <v>22512</v>
      </c>
      <c r="H4245" s="478" t="s">
        <v>38</v>
      </c>
      <c r="I4245" s="479"/>
      <c r="J4245" s="480"/>
      <c r="K4245" s="466">
        <f>SUM(K4246:K4254)</f>
        <v>1533.5058508800003</v>
      </c>
      <c r="L4245" s="467" t="s">
        <v>22176</v>
      </c>
      <c r="M4245" s="474"/>
      <c r="N4245" s="467" t="s">
        <v>22176</v>
      </c>
      <c r="O4245" s="434" t="str">
        <f t="shared" si="1935"/>
        <v xml:space="preserve">SEM VALOR</v>
      </c>
      <c r="P4245" s="435" t="str">
        <f t="shared" si="1936"/>
        <v xml:space="preserve">SEM VALOR</v>
      </c>
      <c r="AE4245" s="217"/>
      <c r="AF4245" s="217"/>
    </row>
    <row r="4246" ht="45" hidden="1">
      <c r="A4246" s="217"/>
      <c r="B4246" s="217">
        <v>1491</v>
      </c>
      <c r="C4246" s="217"/>
      <c r="D4246" s="217" t="s">
        <v>17167</v>
      </c>
      <c r="E4246" s="471" t="s">
        <v>20399</v>
      </c>
      <c r="F4246" s="489">
        <v>88267</v>
      </c>
      <c r="G4246" s="488" t="s">
        <v>7321</v>
      </c>
      <c r="H4246" s="482" t="s">
        <v>2032</v>
      </c>
      <c r="I4246" s="483">
        <v>0.54552</v>
      </c>
      <c r="J4246" s="473">
        <f t="shared" si="1934"/>
        <v>27.84</v>
      </c>
      <c r="K4246" s="474">
        <f t="shared" si="1937"/>
        <v>15.187276799999999</v>
      </c>
      <c r="L4246" s="433"/>
      <c r="M4246" s="474"/>
      <c r="O4246" s="434">
        <f t="shared" si="1935"/>
        <v>27.84</v>
      </c>
      <c r="P4246" s="435">
        <f t="shared" si="1936"/>
        <v>26.219999999999999</v>
      </c>
      <c r="AE4246" s="217"/>
      <c r="AF4246" s="217"/>
    </row>
    <row r="4247" ht="54" hidden="1" customHeight="1">
      <c r="A4247" s="217"/>
      <c r="B4247" s="217">
        <v>1491</v>
      </c>
      <c r="C4247" s="217"/>
      <c r="D4247" s="217" t="s">
        <v>17167</v>
      </c>
      <c r="E4247" s="471" t="s">
        <v>20402</v>
      </c>
      <c r="F4247" s="489">
        <v>88248</v>
      </c>
      <c r="G4247" s="488" t="s">
        <v>7110</v>
      </c>
      <c r="H4247" s="482" t="s">
        <v>2032</v>
      </c>
      <c r="I4247" s="483">
        <v>0.14976</v>
      </c>
      <c r="J4247" s="473">
        <f t="shared" si="1934"/>
        <v>22.989999999999998</v>
      </c>
      <c r="K4247" s="474">
        <f t="shared" si="1937"/>
        <v>3.4429824</v>
      </c>
      <c r="L4247" s="433"/>
      <c r="M4247" s="474"/>
      <c r="O4247" s="434">
        <f t="shared" si="1935"/>
        <v>22.989999999999998</v>
      </c>
      <c r="P4247" s="435">
        <f t="shared" si="1936"/>
        <v>21.73</v>
      </c>
      <c r="AE4247" s="217"/>
      <c r="AF4247" s="217"/>
    </row>
    <row r="4248" ht="35.25" hidden="1" customHeight="1">
      <c r="A4248" s="217"/>
      <c r="B4248" s="217">
        <v>1491</v>
      </c>
      <c r="C4248" s="217"/>
      <c r="D4248" s="217" t="s">
        <v>20453</v>
      </c>
      <c r="E4248" s="471" t="s">
        <v>20405</v>
      </c>
      <c r="F4248" s="489" t="s">
        <v>20322</v>
      </c>
      <c r="G4248" s="488" t="s">
        <v>22513</v>
      </c>
      <c r="H4248" s="482" t="s">
        <v>38</v>
      </c>
      <c r="I4248" s="483">
        <v>1.01</v>
      </c>
      <c r="J4248" s="473">
        <f t="shared" si="1934"/>
        <v>853.32000000000005</v>
      </c>
      <c r="K4248" s="474">
        <f t="shared" si="1937"/>
        <v>861.85320000000002</v>
      </c>
      <c r="L4248" s="433"/>
      <c r="M4248" s="474"/>
      <c r="O4248" s="434">
        <f t="shared" si="1935"/>
        <v>853.32000000000005</v>
      </c>
      <c r="P4248" s="435">
        <f t="shared" si="1936"/>
        <v>853.32000000000005</v>
      </c>
      <c r="AE4248" s="217"/>
      <c r="AF4248" s="217"/>
    </row>
    <row r="4249" ht="30" hidden="1">
      <c r="A4249" s="217"/>
      <c r="B4249" s="217">
        <v>1491</v>
      </c>
      <c r="C4249" s="217"/>
      <c r="D4249" s="217" t="s">
        <v>20453</v>
      </c>
      <c r="E4249" s="471" t="s">
        <v>20409</v>
      </c>
      <c r="F4249" s="489" t="s">
        <v>20326</v>
      </c>
      <c r="G4249" s="488" t="s">
        <v>22514</v>
      </c>
      <c r="H4249" s="482" t="s">
        <v>31</v>
      </c>
      <c r="I4249" s="483">
        <v>5</v>
      </c>
      <c r="J4249" s="473">
        <f t="shared" si="1934"/>
        <v>37.899999999999999</v>
      </c>
      <c r="K4249" s="474">
        <f t="shared" si="1937"/>
        <v>189.5</v>
      </c>
      <c r="L4249" s="433"/>
      <c r="M4249" s="474"/>
      <c r="O4249" s="434">
        <f t="shared" si="1935"/>
        <v>37.899999999999999</v>
      </c>
      <c r="P4249" s="435">
        <f t="shared" si="1936"/>
        <v>37.899999999999999</v>
      </c>
      <c r="AE4249" s="217"/>
      <c r="AF4249" s="217"/>
    </row>
    <row r="4250" ht="66" hidden="1" customHeight="1">
      <c r="A4250" s="217"/>
      <c r="B4250" s="217">
        <v>1491</v>
      </c>
      <c r="C4250" s="217"/>
      <c r="D4250" s="217" t="s">
        <v>17167</v>
      </c>
      <c r="E4250" s="471" t="s">
        <v>20663</v>
      </c>
      <c r="F4250" s="609">
        <v>92715</v>
      </c>
      <c r="G4250" s="488" t="s">
        <v>2035</v>
      </c>
      <c r="H4250" s="482" t="s">
        <v>2032</v>
      </c>
      <c r="I4250" s="483">
        <v>2</v>
      </c>
      <c r="J4250" s="473">
        <f t="shared" si="1934"/>
        <v>114.72</v>
      </c>
      <c r="K4250" s="474">
        <f t="shared" si="1937"/>
        <v>229.44</v>
      </c>
      <c r="L4250" s="433"/>
      <c r="M4250" s="474"/>
      <c r="O4250" s="434">
        <f t="shared" si="1935"/>
        <v>114.72</v>
      </c>
      <c r="P4250" s="435">
        <f t="shared" si="1936"/>
        <v>114.72</v>
      </c>
      <c r="AE4250" s="217"/>
      <c r="AF4250" s="217"/>
    </row>
    <row r="4251" ht="38.25" hidden="1" customHeight="1">
      <c r="A4251" s="217"/>
      <c r="B4251" s="217">
        <v>1491</v>
      </c>
      <c r="C4251" s="217"/>
      <c r="D4251" s="217" t="s">
        <v>17167</v>
      </c>
      <c r="E4251" s="471" t="s">
        <v>20665</v>
      </c>
      <c r="F4251" s="609">
        <v>88315</v>
      </c>
      <c r="G4251" s="488" t="s">
        <v>7392</v>
      </c>
      <c r="H4251" s="482" t="s">
        <v>2032</v>
      </c>
      <c r="I4251" s="483">
        <v>6.4577080000000002</v>
      </c>
      <c r="J4251" s="473">
        <f t="shared" si="1934"/>
        <v>28.800000000000001</v>
      </c>
      <c r="K4251" s="474">
        <f t="shared" si="1937"/>
        <v>185.9819904</v>
      </c>
      <c r="L4251" s="671">
        <v>47.240000000000002</v>
      </c>
      <c r="M4251" s="474"/>
      <c r="N4251" s="671">
        <f t="shared" ref="N4251:N4252" si="1938">1190.4/4/6.3</f>
        <v>47.240000000000002</v>
      </c>
      <c r="O4251" s="434">
        <f t="shared" si="1935"/>
        <v>28.800000000000001</v>
      </c>
      <c r="P4251" s="435">
        <f t="shared" si="1936"/>
        <v>27.149999999999999</v>
      </c>
      <c r="AE4251" s="217"/>
      <c r="AF4251" s="217"/>
    </row>
    <row r="4252" ht="38.25" hidden="1" customHeight="1">
      <c r="A4252" s="217"/>
      <c r="B4252" s="217">
        <v>1491</v>
      </c>
      <c r="C4252" s="217"/>
      <c r="D4252" s="217" t="s">
        <v>17167</v>
      </c>
      <c r="E4252" s="471" t="s">
        <v>20667</v>
      </c>
      <c r="F4252" s="609">
        <v>88251</v>
      </c>
      <c r="G4252" s="488" t="s">
        <v>7116</v>
      </c>
      <c r="H4252" s="482" t="s">
        <v>2032</v>
      </c>
      <c r="I4252" s="483">
        <v>1.0109360000000001</v>
      </c>
      <c r="J4252" s="473">
        <f t="shared" si="1934"/>
        <v>23.48</v>
      </c>
      <c r="K4252" s="474">
        <f t="shared" si="1937"/>
        <v>23.736777280000002</v>
      </c>
      <c r="L4252" s="671">
        <v>47.240000000000002</v>
      </c>
      <c r="M4252" s="474"/>
      <c r="N4252" s="671">
        <f t="shared" si="1938"/>
        <v>47.240000000000002</v>
      </c>
      <c r="O4252" s="434">
        <f t="shared" si="1935"/>
        <v>23.48</v>
      </c>
      <c r="P4252" s="435">
        <f t="shared" si="1936"/>
        <v>22.219999999999999</v>
      </c>
      <c r="AE4252" s="217"/>
      <c r="AF4252" s="217"/>
    </row>
    <row r="4253" ht="114" hidden="1" customHeight="1">
      <c r="A4253" s="217"/>
      <c r="B4253" s="217">
        <v>1491</v>
      </c>
      <c r="C4253" s="217"/>
      <c r="D4253" s="217" t="s">
        <v>17167</v>
      </c>
      <c r="E4253" s="471" t="s">
        <v>20671</v>
      </c>
      <c r="F4253" s="489">
        <v>5928</v>
      </c>
      <c r="G4253" s="488" t="s">
        <v>1739</v>
      </c>
      <c r="H4253" s="482" t="s">
        <v>1535</v>
      </c>
      <c r="I4253" s="578">
        <v>5.5199999999999999e-002</v>
      </c>
      <c r="J4253" s="473">
        <f t="shared" si="1934"/>
        <v>298.70999999999998</v>
      </c>
      <c r="K4253" s="474">
        <f t="shared" si="1937"/>
        <v>16.488792</v>
      </c>
      <c r="L4253" s="433"/>
      <c r="M4253" s="474"/>
      <c r="O4253" s="434">
        <f t="shared" si="1935"/>
        <v>298.70999999999998</v>
      </c>
      <c r="P4253" s="435">
        <f t="shared" si="1936"/>
        <v>296.98000000000002</v>
      </c>
      <c r="AE4253" s="217"/>
      <c r="AF4253" s="217"/>
    </row>
    <row r="4254" ht="111.75" hidden="1" customHeight="1">
      <c r="A4254" s="217"/>
      <c r="B4254" s="217">
        <v>1491</v>
      </c>
      <c r="C4254" s="217"/>
      <c r="D4254" s="217" t="s">
        <v>17167</v>
      </c>
      <c r="E4254" s="471" t="s">
        <v>20672</v>
      </c>
      <c r="F4254" s="489">
        <v>5930</v>
      </c>
      <c r="G4254" s="488" t="s">
        <v>1738</v>
      </c>
      <c r="H4254" s="482" t="s">
        <v>1533</v>
      </c>
      <c r="I4254" s="578">
        <v>0.1104</v>
      </c>
      <c r="J4254" s="473">
        <f t="shared" ref="J4254:J4317" si="1939">O4254*$J$3</f>
        <v>71.329999999999998</v>
      </c>
      <c r="K4254" s="474">
        <f t="shared" si="1937"/>
        <v>7.8748319999999996</v>
      </c>
      <c r="L4254" s="433"/>
      <c r="M4254" s="474"/>
      <c r="O4254" s="434">
        <f t="shared" si="1935"/>
        <v>71.329999999999998</v>
      </c>
      <c r="P4254" s="435">
        <f t="shared" si="1936"/>
        <v>69.599999999999994</v>
      </c>
      <c r="Q4254" s="624" t="s">
        <v>22179</v>
      </c>
      <c r="AE4254" s="217"/>
      <c r="AF4254" s="217"/>
    </row>
    <row r="4255" ht="49.5" hidden="1" customHeight="1">
      <c r="A4255" s="217"/>
      <c r="B4255" s="511">
        <v>1492</v>
      </c>
      <c r="C4255" s="511"/>
      <c r="D4255" s="511"/>
      <c r="E4255" s="512">
        <v>1</v>
      </c>
      <c r="F4255" s="513" t="s">
        <v>22515</v>
      </c>
      <c r="G4255" s="514" t="s">
        <v>22516</v>
      </c>
      <c r="H4255" s="515" t="s">
        <v>20196</v>
      </c>
      <c r="I4255" s="516"/>
      <c r="J4255" s="517"/>
      <c r="K4255" s="518">
        <f>SUM(K4256:K4264)</f>
        <v>16605.461450079998</v>
      </c>
      <c r="L4255" s="473"/>
      <c r="M4255" s="474"/>
      <c r="O4255" s="434" t="str">
        <f t="shared" si="1935"/>
        <v xml:space="preserve">SEM VALOR</v>
      </c>
      <c r="P4255" s="435" t="str">
        <f t="shared" si="1936"/>
        <v xml:space="preserve">SEM VALOR</v>
      </c>
      <c r="AE4255" s="217"/>
      <c r="AF4255" s="217"/>
    </row>
    <row r="4256" ht="101.25" hidden="1" customHeight="1">
      <c r="A4256" s="217"/>
      <c r="B4256" s="217">
        <v>1492</v>
      </c>
      <c r="C4256" s="217"/>
      <c r="D4256" s="217" t="s">
        <v>20398</v>
      </c>
      <c r="E4256" s="471" t="s">
        <v>20399</v>
      </c>
      <c r="F4256" s="482">
        <v>1332</v>
      </c>
      <c r="G4256" s="488" t="s">
        <v>21992</v>
      </c>
      <c r="H4256" s="482" t="s">
        <v>15528</v>
      </c>
      <c r="I4256" s="483">
        <v>5.1200000000000001</v>
      </c>
      <c r="J4256" s="473">
        <f t="shared" si="1939"/>
        <v>213.32058400000003</v>
      </c>
      <c r="K4256" s="474">
        <f t="shared" ref="K4256:K4264" si="1940">I4256*J4256</f>
        <v>1092.2013900800002</v>
      </c>
      <c r="L4256" s="473"/>
      <c r="M4256" s="474"/>
      <c r="O4256" s="434">
        <f t="shared" si="1935"/>
        <v>213.32058400000003</v>
      </c>
      <c r="P4256" s="435">
        <f t="shared" si="1936"/>
        <v>210.508815</v>
      </c>
      <c r="AE4256" s="217"/>
      <c r="AF4256" s="217"/>
    </row>
    <row r="4257" ht="83.25" hidden="1" customHeight="1">
      <c r="A4257" s="217"/>
      <c r="B4257" s="217">
        <v>1492</v>
      </c>
      <c r="C4257" s="217"/>
      <c r="D4257" s="217" t="s">
        <v>17167</v>
      </c>
      <c r="E4257" s="471" t="s">
        <v>20402</v>
      </c>
      <c r="F4257" s="482">
        <v>94963</v>
      </c>
      <c r="G4257" s="488" t="s">
        <v>8707</v>
      </c>
      <c r="H4257" s="482" t="s">
        <v>15528</v>
      </c>
      <c r="I4257" s="483">
        <v>1.8200000000000001</v>
      </c>
      <c r="J4257" s="473">
        <f t="shared" si="1939"/>
        <v>441.43000000000001</v>
      </c>
      <c r="K4257" s="474">
        <f t="shared" si="1940"/>
        <v>803.40260000000001</v>
      </c>
      <c r="L4257" s="473"/>
      <c r="M4257" s="474"/>
      <c r="O4257" s="434">
        <f t="shared" si="1935"/>
        <v>441.43000000000001</v>
      </c>
      <c r="P4257" s="435">
        <f t="shared" si="1936"/>
        <v>436.14999999999998</v>
      </c>
      <c r="AE4257" s="217"/>
      <c r="AF4257" s="217"/>
    </row>
    <row r="4258" ht="78.75" hidden="1" customHeight="1">
      <c r="A4258" s="217"/>
      <c r="B4258" s="217">
        <v>1492</v>
      </c>
      <c r="C4258" s="217"/>
      <c r="D4258" s="217" t="s">
        <v>17167</v>
      </c>
      <c r="E4258" s="471" t="s">
        <v>20405</v>
      </c>
      <c r="F4258" s="489">
        <v>94965</v>
      </c>
      <c r="G4258" s="488" t="s">
        <v>8715</v>
      </c>
      <c r="H4258" s="482" t="s">
        <v>15528</v>
      </c>
      <c r="I4258" s="483">
        <v>3.54</v>
      </c>
      <c r="J4258" s="473">
        <f t="shared" si="1939"/>
        <v>510.48000000000002</v>
      </c>
      <c r="K4258" s="474">
        <f t="shared" si="1940"/>
        <v>1807.0992000000001</v>
      </c>
      <c r="L4258" s="473"/>
      <c r="M4258" s="474"/>
      <c r="O4258" s="434">
        <f t="shared" si="1935"/>
        <v>510.48000000000002</v>
      </c>
      <c r="P4258" s="435">
        <f t="shared" si="1936"/>
        <v>505.23000000000002</v>
      </c>
      <c r="AE4258" s="217"/>
      <c r="AF4258" s="217"/>
    </row>
    <row r="4259" ht="48.75" hidden="1" customHeight="1">
      <c r="A4259" s="217"/>
      <c r="B4259" s="217">
        <v>1492</v>
      </c>
      <c r="C4259" s="217"/>
      <c r="D4259" s="217" t="s">
        <v>20398</v>
      </c>
      <c r="E4259" s="471" t="s">
        <v>20409</v>
      </c>
      <c r="F4259" s="489">
        <v>1000</v>
      </c>
      <c r="G4259" s="488" t="s">
        <v>20651</v>
      </c>
      <c r="H4259" s="499" t="s">
        <v>15528</v>
      </c>
      <c r="I4259" s="483">
        <v>5.3600000000000003</v>
      </c>
      <c r="J4259" s="473">
        <f t="shared" si="1939"/>
        <v>149.904</v>
      </c>
      <c r="K4259" s="474">
        <f t="shared" si="1940"/>
        <v>803.48544000000004</v>
      </c>
      <c r="L4259" s="473"/>
      <c r="M4259" s="474"/>
      <c r="O4259" s="434">
        <f t="shared" si="1935"/>
        <v>149.904</v>
      </c>
      <c r="P4259" s="435">
        <f t="shared" si="1936"/>
        <v>141.76949999999999</v>
      </c>
      <c r="AE4259" s="217"/>
      <c r="AF4259" s="217"/>
    </row>
    <row r="4260" ht="63" hidden="1" customHeight="1">
      <c r="A4260" s="217"/>
      <c r="B4260" s="217">
        <v>1492</v>
      </c>
      <c r="C4260" s="217"/>
      <c r="D4260" s="217" t="s">
        <v>17167</v>
      </c>
      <c r="E4260" s="471" t="s">
        <v>20663</v>
      </c>
      <c r="F4260" s="489">
        <v>96533</v>
      </c>
      <c r="G4260" s="488" t="s">
        <v>20912</v>
      </c>
      <c r="H4260" s="471" t="s">
        <v>15515</v>
      </c>
      <c r="I4260" s="483">
        <v>39.299999999999997</v>
      </c>
      <c r="J4260" s="473">
        <f t="shared" si="1939"/>
        <v>85.980000000000004</v>
      </c>
      <c r="K4260" s="474">
        <f t="shared" si="1940"/>
        <v>3379.0140000000001</v>
      </c>
      <c r="L4260" s="473"/>
      <c r="M4260" s="474"/>
      <c r="O4260" s="434">
        <f t="shared" si="1935"/>
        <v>85.980000000000004</v>
      </c>
      <c r="P4260" s="435">
        <f t="shared" si="1936"/>
        <v>83.200000000000003</v>
      </c>
      <c r="AE4260" s="217"/>
      <c r="AF4260" s="217"/>
    </row>
    <row r="4261" ht="45" hidden="1">
      <c r="A4261" s="217"/>
      <c r="B4261" s="217">
        <v>1492</v>
      </c>
      <c r="C4261" s="217"/>
      <c r="D4261" s="217" t="s">
        <v>17167</v>
      </c>
      <c r="E4261" s="471" t="s">
        <v>20665</v>
      </c>
      <c r="F4261" s="489">
        <v>96545</v>
      </c>
      <c r="G4261" s="488" t="s">
        <v>4199</v>
      </c>
      <c r="H4261" s="482" t="s">
        <v>302</v>
      </c>
      <c r="I4261" s="483">
        <v>421</v>
      </c>
      <c r="J4261" s="473">
        <f t="shared" si="1939"/>
        <v>15.82</v>
      </c>
      <c r="K4261" s="474">
        <f t="shared" si="1940"/>
        <v>6660.2200000000003</v>
      </c>
      <c r="L4261" s="473"/>
      <c r="M4261" s="474"/>
      <c r="O4261" s="434">
        <f t="shared" si="1935"/>
        <v>15.82</v>
      </c>
      <c r="P4261" s="435">
        <f t="shared" si="1936"/>
        <v>15.48</v>
      </c>
      <c r="AE4261" s="217"/>
      <c r="AF4261" s="217"/>
    </row>
    <row r="4262" ht="49.5" hidden="1" customHeight="1">
      <c r="A4262" s="217"/>
      <c r="B4262" s="217">
        <v>1492</v>
      </c>
      <c r="C4262" s="217"/>
      <c r="D4262" s="217" t="s">
        <v>20398</v>
      </c>
      <c r="E4262" s="471" t="s">
        <v>20667</v>
      </c>
      <c r="F4262" s="482">
        <v>1028</v>
      </c>
      <c r="G4262" s="488" t="s">
        <v>20840</v>
      </c>
      <c r="H4262" s="482" t="s">
        <v>302</v>
      </c>
      <c r="I4262" s="483">
        <v>1.3999999999999999</v>
      </c>
      <c r="J4262" s="473">
        <f t="shared" si="1939"/>
        <v>18.1998</v>
      </c>
      <c r="K4262" s="474">
        <f t="shared" si="1940"/>
        <v>25.479719999999997</v>
      </c>
      <c r="L4262" s="473"/>
      <c r="M4262" s="474"/>
      <c r="O4262" s="434">
        <f t="shared" si="1935"/>
        <v>18.1998</v>
      </c>
      <c r="P4262" s="435">
        <f t="shared" si="1936"/>
        <v>17.669228</v>
      </c>
      <c r="AE4262" s="217"/>
      <c r="AF4262" s="217"/>
    </row>
    <row r="4263" ht="57" hidden="1" customHeight="1">
      <c r="A4263" s="217"/>
      <c r="B4263" s="217">
        <v>1492</v>
      </c>
      <c r="C4263" s="217"/>
      <c r="D4263" s="217" t="s">
        <v>20408</v>
      </c>
      <c r="E4263" s="471" t="s">
        <v>20671</v>
      </c>
      <c r="F4263" s="482">
        <v>21013</v>
      </c>
      <c r="G4263" s="488" t="s">
        <v>21419</v>
      </c>
      <c r="H4263" s="482" t="s">
        <v>38</v>
      </c>
      <c r="I4263" s="483">
        <v>25.800000000000001</v>
      </c>
      <c r="J4263" s="473">
        <f t="shared" si="1939"/>
        <v>66.920000000000002</v>
      </c>
      <c r="K4263" s="474">
        <f t="shared" si="1940"/>
        <v>1726.5360000000001</v>
      </c>
      <c r="L4263" s="473"/>
      <c r="M4263" s="474"/>
      <c r="O4263" s="434">
        <f t="shared" si="1935"/>
        <v>66.920000000000002</v>
      </c>
      <c r="P4263" s="435">
        <f t="shared" si="1936"/>
        <v>66.920000000000002</v>
      </c>
      <c r="AE4263" s="217"/>
      <c r="AF4263" s="217"/>
    </row>
    <row r="4264" ht="75" hidden="1">
      <c r="A4264" s="217"/>
      <c r="B4264" s="217">
        <v>1492</v>
      </c>
      <c r="C4264" s="217"/>
      <c r="D4264" s="217" t="s">
        <v>20408</v>
      </c>
      <c r="E4264" s="471" t="s">
        <v>20672</v>
      </c>
      <c r="F4264" s="482">
        <v>21141</v>
      </c>
      <c r="G4264" s="488" t="s">
        <v>14638</v>
      </c>
      <c r="H4264" s="482" t="s">
        <v>15515</v>
      </c>
      <c r="I4264" s="483">
        <v>25.690000000000001</v>
      </c>
      <c r="J4264" s="473">
        <f t="shared" si="1939"/>
        <v>11.99</v>
      </c>
      <c r="K4264" s="474">
        <f t="shared" si="1940"/>
        <v>308.0231</v>
      </c>
      <c r="L4264" s="473"/>
      <c r="M4264" s="474"/>
      <c r="O4264" s="434">
        <f t="shared" si="1935"/>
        <v>11.99</v>
      </c>
      <c r="P4264" s="435">
        <f t="shared" si="1936"/>
        <v>11.99</v>
      </c>
      <c r="AE4264" s="217"/>
      <c r="AF4264" s="217"/>
    </row>
    <row r="4265" ht="89.25" hidden="1" customHeight="1">
      <c r="A4265" s="217"/>
      <c r="B4265" s="460">
        <v>1493</v>
      </c>
      <c r="C4265" s="460"/>
      <c r="D4265" s="460"/>
      <c r="E4265" s="665">
        <v>1</v>
      </c>
      <c r="F4265" s="462" t="s">
        <v>22517</v>
      </c>
      <c r="G4265" s="477" t="s">
        <v>22518</v>
      </c>
      <c r="H4265" s="666" t="s">
        <v>15515</v>
      </c>
      <c r="I4265" s="667"/>
      <c r="J4265" s="668"/>
      <c r="K4265" s="669">
        <f>SUM(K4266:K4272)</f>
        <v>310.37977272199998</v>
      </c>
      <c r="L4265" s="473"/>
      <c r="M4265" s="474"/>
      <c r="O4265" s="434" t="str">
        <f t="shared" si="1935"/>
        <v xml:space="preserve">SEM VALOR</v>
      </c>
      <c r="P4265" s="435" t="str">
        <f t="shared" si="1936"/>
        <v xml:space="preserve">SEM VALOR</v>
      </c>
      <c r="AE4265" s="217"/>
      <c r="AF4265" s="217"/>
    </row>
    <row r="4266" ht="45" hidden="1">
      <c r="A4266" s="217"/>
      <c r="B4266" s="217">
        <v>1493</v>
      </c>
      <c r="C4266" s="217"/>
      <c r="D4266" s="217" t="s">
        <v>17167</v>
      </c>
      <c r="E4266" s="471" t="s">
        <v>20399</v>
      </c>
      <c r="F4266" s="482">
        <v>92267</v>
      </c>
      <c r="G4266" s="470" t="s">
        <v>20799</v>
      </c>
      <c r="H4266" s="482" t="s">
        <v>15515</v>
      </c>
      <c r="I4266" s="483">
        <f>(9.6221*0.1)/5.3247</f>
        <v>0.1807069</v>
      </c>
      <c r="J4266" s="473">
        <f t="shared" si="1939"/>
        <v>50.18</v>
      </c>
      <c r="K4266" s="474">
        <f t="shared" ref="K4266:K4272" si="1941">I4266*J4266</f>
        <v>9.067872242</v>
      </c>
      <c r="L4266" s="473"/>
      <c r="M4266" s="474"/>
      <c r="O4266" s="434">
        <f t="shared" si="1935"/>
        <v>50.18</v>
      </c>
      <c r="P4266" s="435">
        <f t="shared" si="1936"/>
        <v>50.109999999999999</v>
      </c>
      <c r="AE4266" s="217"/>
      <c r="AF4266" s="217"/>
    </row>
    <row r="4267" ht="45" hidden="1">
      <c r="A4267" s="217"/>
      <c r="B4267" s="217">
        <v>1493</v>
      </c>
      <c r="C4267" s="217"/>
      <c r="D4267" s="217" t="s">
        <v>17167</v>
      </c>
      <c r="E4267" s="471" t="s">
        <v>20402</v>
      </c>
      <c r="F4267" s="482">
        <v>96544</v>
      </c>
      <c r="G4267" s="470" t="s">
        <v>20841</v>
      </c>
      <c r="H4267" s="482" t="s">
        <v>302</v>
      </c>
      <c r="I4267" s="483">
        <f>60.582/5.3247</f>
        <v>11.377542399999999</v>
      </c>
      <c r="J4267" s="473">
        <f t="shared" si="1939"/>
        <v>17.699999999999999</v>
      </c>
      <c r="K4267" s="474">
        <f t="shared" si="1941"/>
        <v>201.38250047999998</v>
      </c>
      <c r="L4267" s="473"/>
      <c r="M4267" s="474"/>
      <c r="O4267" s="434">
        <f t="shared" si="1935"/>
        <v>17.699999999999999</v>
      </c>
      <c r="P4267" s="435">
        <f t="shared" si="1936"/>
        <v>17.23</v>
      </c>
      <c r="AE4267" s="217"/>
      <c r="AF4267" s="217"/>
    </row>
    <row r="4268" ht="120" hidden="1">
      <c r="A4268" s="217"/>
      <c r="B4268" s="217">
        <v>1493</v>
      </c>
      <c r="C4268" s="217"/>
      <c r="D4268" s="217" t="s">
        <v>17167</v>
      </c>
      <c r="E4268" s="471" t="s">
        <v>20405</v>
      </c>
      <c r="F4268" s="482">
        <v>5928</v>
      </c>
      <c r="G4268" s="470" t="s">
        <v>20842</v>
      </c>
      <c r="H4268" s="482" t="s">
        <v>1535</v>
      </c>
      <c r="I4268" s="483">
        <v>0.10000000000000001</v>
      </c>
      <c r="J4268" s="473">
        <f t="shared" si="1939"/>
        <v>298.70999999999998</v>
      </c>
      <c r="K4268" s="474">
        <f t="shared" si="1941"/>
        <v>29.870999999999999</v>
      </c>
      <c r="L4268" s="473"/>
      <c r="M4268" s="474"/>
      <c r="O4268" s="434">
        <f t="shared" ref="O4268:O4331" si="1942">IFERROR(IF(D4268="SINAPI",VLOOKUP(F4268,SINCOMOD,4,FALSE),IF(D4268="INSINAPI",VLOOKUP(F4268,INSINOD,5,FALSE),IF(D4268="SICRO",VLOOKUP(F4268,SICRO,5,FALSE),IF(D4268="COTACAO",VLOOKUP(F4268,COTACAO,6,FALSE),IF(D4268="PRÓPRIO",VLOOKUP(F4268,COMPOD,11,FALSE),IF(D4268="AGESUL",VLOOKUP(F4268,AGESULOD,6,FALSE),IF(D4268="INSAGESUL",VLOOKUP(F4268,INSAGESUL,7,FALSE),"SEM VALOR"))))))),"SEM VALOR")</f>
        <v>298.70999999999998</v>
      </c>
      <c r="P4268" s="435">
        <f t="shared" ref="P4268:P4331" si="1943">IFERROR(IF(D4268="SINAPI",VLOOKUP(F4268,SINCOMOD,6,FALSE),IF(D4268="INSINAPI",VLOOKUP(F4268,INSINOD,6,FALSE),IF(D4268="SICRO",VLOOKUP(F4268,SICRO,5,FALSE),IF(D4268="COTACAO",VLOOKUP(F4268,COTACAO,6,FALSE),IF(D4268="PRÓPRIO",VLOOKUP(F4268,COMPOD,13,FALSE),IF(D4268="AGESUL",VLOOKUP(F4268,AGESULOD,11,FALSE),IF(D4268="INSAGESUL",VLOOKUP(F4268,INSAGESUL,8,FALSE),"SEM VALOR"))))))),"SEM VALOR")</f>
        <v>296.98000000000002</v>
      </c>
      <c r="AE4268" s="217"/>
      <c r="AF4268" s="217"/>
    </row>
    <row r="4269" ht="105" hidden="1">
      <c r="A4269" s="217"/>
      <c r="B4269" s="217">
        <v>1493</v>
      </c>
      <c r="C4269" s="217"/>
      <c r="D4269" s="217" t="s">
        <v>20398</v>
      </c>
      <c r="E4269" s="471" t="s">
        <v>20409</v>
      </c>
      <c r="F4269" s="482">
        <v>1092</v>
      </c>
      <c r="G4269" s="470" t="s">
        <v>20666</v>
      </c>
      <c r="H4269" s="482" t="s">
        <v>15528</v>
      </c>
      <c r="I4269" s="483">
        <f>((5.3247*0.1)/5.3247)*1.3</f>
        <v>0.13</v>
      </c>
      <c r="J4269" s="473">
        <f t="shared" si="1939"/>
        <v>2.2000000000000002</v>
      </c>
      <c r="K4269" s="474">
        <f t="shared" si="1941"/>
        <v>0.28600000000000003</v>
      </c>
      <c r="L4269" s="473"/>
      <c r="M4269" s="474"/>
      <c r="O4269" s="434">
        <f t="shared" si="1942"/>
        <v>2.2000000000000002</v>
      </c>
      <c r="P4269" s="435">
        <f t="shared" si="1943"/>
        <v>2.1879900000000001</v>
      </c>
      <c r="AE4269" s="217"/>
      <c r="AF4269" s="217"/>
    </row>
    <row r="4270" ht="60" hidden="1">
      <c r="A4270" s="217"/>
      <c r="B4270" s="217">
        <v>1493</v>
      </c>
      <c r="C4270" s="217"/>
      <c r="D4270" s="217" t="s">
        <v>17167</v>
      </c>
      <c r="E4270" s="471" t="s">
        <v>20663</v>
      </c>
      <c r="F4270" s="482">
        <v>95875</v>
      </c>
      <c r="G4270" s="470" t="s">
        <v>20668</v>
      </c>
      <c r="H4270" s="482" t="s">
        <v>20669</v>
      </c>
      <c r="I4270" s="483">
        <f>I4269*5</f>
        <v>0.65000000000000002</v>
      </c>
      <c r="J4270" s="473">
        <f t="shared" si="1939"/>
        <v>2.7599999999999998</v>
      </c>
      <c r="K4270" s="474">
        <f t="shared" si="1941"/>
        <v>1.7939999999999998</v>
      </c>
      <c r="L4270" s="473"/>
      <c r="M4270" s="474"/>
      <c r="O4270" s="434">
        <f t="shared" si="1942"/>
        <v>2.7599999999999998</v>
      </c>
      <c r="P4270" s="435">
        <f t="shared" si="1943"/>
        <v>2.73</v>
      </c>
      <c r="AE4270" s="217"/>
      <c r="AF4270" s="217"/>
    </row>
    <row r="4271" ht="60" hidden="1">
      <c r="A4271" s="217"/>
      <c r="B4271" s="217">
        <v>1493</v>
      </c>
      <c r="C4271" s="217"/>
      <c r="D4271" s="217" t="s">
        <v>17167</v>
      </c>
      <c r="E4271" s="471" t="s">
        <v>20665</v>
      </c>
      <c r="F4271" s="482">
        <v>94966</v>
      </c>
      <c r="G4271" s="470" t="s">
        <v>20843</v>
      </c>
      <c r="H4271" s="482" t="s">
        <v>15528</v>
      </c>
      <c r="I4271" s="483">
        <f>(5.3247*0.1)/5.3247</f>
        <v>0.10000000000000001</v>
      </c>
      <c r="J4271" s="473">
        <f t="shared" si="1939"/>
        <v>529.88</v>
      </c>
      <c r="K4271" s="474">
        <f t="shared" si="1941"/>
        <v>52.988</v>
      </c>
      <c r="L4271" s="473"/>
      <c r="M4271" s="474"/>
      <c r="O4271" s="434">
        <f t="shared" si="1942"/>
        <v>529.88</v>
      </c>
      <c r="P4271" s="435">
        <f t="shared" si="1943"/>
        <v>524.67999999999995</v>
      </c>
      <c r="AE4271" s="217"/>
      <c r="AF4271" s="217"/>
    </row>
    <row r="4272" ht="45" hidden="1">
      <c r="A4272" s="217"/>
      <c r="B4272" s="217">
        <v>1493</v>
      </c>
      <c r="C4272" s="217"/>
      <c r="D4272" s="217" t="s">
        <v>20398</v>
      </c>
      <c r="E4272" s="471" t="s">
        <v>20667</v>
      </c>
      <c r="F4272" s="482">
        <v>1000</v>
      </c>
      <c r="G4272" s="470" t="s">
        <v>20651</v>
      </c>
      <c r="H4272" s="482" t="s">
        <v>15528</v>
      </c>
      <c r="I4272" s="483">
        <f>I4271</f>
        <v>0.10000000000000001</v>
      </c>
      <c r="J4272" s="473">
        <f t="shared" si="1939"/>
        <v>149.904</v>
      </c>
      <c r="K4272" s="474">
        <f t="shared" si="1941"/>
        <v>14.990400000000001</v>
      </c>
      <c r="L4272" s="473"/>
      <c r="M4272" s="474"/>
      <c r="O4272" s="434">
        <f t="shared" si="1942"/>
        <v>149.904</v>
      </c>
      <c r="P4272" s="435">
        <f t="shared" si="1943"/>
        <v>141.76949999999999</v>
      </c>
      <c r="AE4272" s="217"/>
      <c r="AF4272" s="217"/>
    </row>
    <row r="4273" ht="136.5" hidden="1" customHeight="1">
      <c r="A4273" s="217"/>
      <c r="B4273" s="460">
        <v>1494</v>
      </c>
      <c r="C4273" s="460"/>
      <c r="D4273" s="460"/>
      <c r="E4273" s="665">
        <v>1</v>
      </c>
      <c r="F4273" s="462" t="s">
        <v>22519</v>
      </c>
      <c r="G4273" s="477" t="s">
        <v>22520</v>
      </c>
      <c r="H4273" s="666" t="s">
        <v>20647</v>
      </c>
      <c r="I4273" s="667"/>
      <c r="J4273" s="668"/>
      <c r="K4273" s="669">
        <f>SUM(K4274:K4293)</f>
        <v>5033.5789850299998</v>
      </c>
      <c r="L4273" s="473"/>
      <c r="M4273" s="474"/>
      <c r="O4273" s="434" t="str">
        <f t="shared" si="1942"/>
        <v xml:space="preserve">SEM VALOR</v>
      </c>
      <c r="P4273" s="435" t="str">
        <f t="shared" si="1943"/>
        <v xml:space="preserve">SEM VALOR</v>
      </c>
      <c r="AE4273" s="217"/>
      <c r="AF4273" s="217"/>
    </row>
    <row r="4274" ht="30" hidden="1">
      <c r="A4274" s="217"/>
      <c r="B4274" s="217">
        <v>1494</v>
      </c>
      <c r="C4274" s="217"/>
      <c r="D4274" s="217" t="s">
        <v>20398</v>
      </c>
      <c r="E4274" s="471" t="s">
        <v>20399</v>
      </c>
      <c r="F4274" s="482">
        <v>1003</v>
      </c>
      <c r="G4274" s="470" t="s">
        <v>20659</v>
      </c>
      <c r="H4274" s="482" t="s">
        <v>20647</v>
      </c>
      <c r="I4274" s="483">
        <v>3</v>
      </c>
      <c r="J4274" s="473">
        <f t="shared" si="1939"/>
        <v>654.70647199999996</v>
      </c>
      <c r="K4274" s="474">
        <f t="shared" ref="K4274:K4293" si="1944">I4274*J4274</f>
        <v>1964.119416</v>
      </c>
      <c r="L4274" s="473"/>
      <c r="M4274" s="474"/>
      <c r="O4274" s="434">
        <f t="shared" si="1942"/>
        <v>654.70647199999996</v>
      </c>
      <c r="P4274" s="435">
        <f t="shared" si="1943"/>
        <v>633.82447200000001</v>
      </c>
      <c r="AE4274" s="217"/>
      <c r="AF4274" s="217"/>
    </row>
    <row r="4275" ht="60" hidden="1">
      <c r="A4275" s="217"/>
      <c r="B4275" s="217">
        <v>1494</v>
      </c>
      <c r="C4275" s="217"/>
      <c r="D4275" s="217" t="s">
        <v>20398</v>
      </c>
      <c r="E4275" s="471" t="s">
        <v>20402</v>
      </c>
      <c r="F4275" s="482">
        <v>1258</v>
      </c>
      <c r="G4275" s="488" t="s">
        <v>20660</v>
      </c>
      <c r="H4275" s="482" t="s">
        <v>15515</v>
      </c>
      <c r="I4275" s="483">
        <v>3.4199999999999999</v>
      </c>
      <c r="J4275" s="473">
        <f t="shared" si="1939"/>
        <v>7.5700000000000003</v>
      </c>
      <c r="K4275" s="474">
        <f t="shared" si="1944"/>
        <v>25.889400000000002</v>
      </c>
      <c r="L4275" s="473"/>
      <c r="M4275" s="474"/>
      <c r="O4275" s="434">
        <f t="shared" si="1942"/>
        <v>7.5700000000000003</v>
      </c>
      <c r="P4275" s="435">
        <f t="shared" si="1943"/>
        <v>7.1846199999999998</v>
      </c>
      <c r="AE4275" s="217"/>
      <c r="AF4275" s="217"/>
    </row>
    <row r="4276" ht="45" hidden="1">
      <c r="A4276" s="217"/>
      <c r="B4276" s="217">
        <v>1494</v>
      </c>
      <c r="C4276" s="217"/>
      <c r="D4276" s="217" t="s">
        <v>17167</v>
      </c>
      <c r="E4276" s="471" t="s">
        <v>20405</v>
      </c>
      <c r="F4276" s="482">
        <v>93358</v>
      </c>
      <c r="G4276" s="470" t="s">
        <v>20661</v>
      </c>
      <c r="H4276" s="482" t="s">
        <v>15528</v>
      </c>
      <c r="I4276" s="483">
        <v>3.5899999999999999</v>
      </c>
      <c r="J4276" s="473">
        <f t="shared" si="1939"/>
        <v>90.030000000000001</v>
      </c>
      <c r="K4276" s="474">
        <f t="shared" si="1944"/>
        <v>323.20769999999999</v>
      </c>
      <c r="L4276" s="473"/>
      <c r="M4276" s="474"/>
      <c r="O4276" s="434">
        <f t="shared" si="1942"/>
        <v>90.030000000000001</v>
      </c>
      <c r="P4276" s="435">
        <f t="shared" si="1943"/>
        <v>85.239999999999995</v>
      </c>
      <c r="AE4276" s="217"/>
      <c r="AF4276" s="217"/>
    </row>
    <row r="4277" ht="75" hidden="1">
      <c r="A4277" s="217"/>
      <c r="B4277" s="217">
        <v>1494</v>
      </c>
      <c r="C4277" s="217"/>
      <c r="D4277" s="217" t="s">
        <v>20398</v>
      </c>
      <c r="E4277" s="471" t="s">
        <v>20409</v>
      </c>
      <c r="F4277" s="482">
        <v>1267</v>
      </c>
      <c r="G4277" s="470" t="s">
        <v>20662</v>
      </c>
      <c r="H4277" s="482" t="s">
        <v>38</v>
      </c>
      <c r="I4277" s="483">
        <f>0.3+0.94+4.33+0.94+0.3</f>
        <v>6.8099999999999996</v>
      </c>
      <c r="J4277" s="473">
        <f t="shared" si="1939"/>
        <v>3.2499999999999996</v>
      </c>
      <c r="K4277" s="474">
        <f t="shared" si="1944"/>
        <v>22.132499999999997</v>
      </c>
      <c r="L4277" s="473"/>
      <c r="M4277" s="474"/>
      <c r="O4277" s="434">
        <f t="shared" si="1942"/>
        <v>3.2499999999999996</v>
      </c>
      <c r="P4277" s="435">
        <f t="shared" si="1943"/>
        <v>3.1657000000000002</v>
      </c>
      <c r="AE4277" s="217"/>
      <c r="AF4277" s="217"/>
    </row>
    <row r="4278" ht="75" hidden="1">
      <c r="A4278" s="217"/>
      <c r="B4278" s="217">
        <v>1494</v>
      </c>
      <c r="C4278" s="217"/>
      <c r="D4278" s="217" t="s">
        <v>20398</v>
      </c>
      <c r="E4278" s="471" t="s">
        <v>20663</v>
      </c>
      <c r="F4278" s="482">
        <v>1270</v>
      </c>
      <c r="G4278" s="470" t="s">
        <v>20664</v>
      </c>
      <c r="H4278" s="482" t="s">
        <v>15528</v>
      </c>
      <c r="I4278" s="483">
        <f>2.8945*0.18</f>
        <v>0.52100999999999997</v>
      </c>
      <c r="J4278" s="473">
        <f t="shared" si="1939"/>
        <v>19.439999999999998</v>
      </c>
      <c r="K4278" s="474">
        <f t="shared" si="1944"/>
        <v>10.128434399999998</v>
      </c>
      <c r="L4278" s="473"/>
      <c r="M4278" s="474"/>
      <c r="O4278" s="434">
        <f t="shared" si="1942"/>
        <v>19.439999999999998</v>
      </c>
      <c r="P4278" s="435">
        <f t="shared" si="1943"/>
        <v>18.886704505000001</v>
      </c>
      <c r="AE4278" s="217"/>
      <c r="AF4278" s="217"/>
    </row>
    <row r="4279" ht="105" hidden="1">
      <c r="A4279" s="217"/>
      <c r="B4279" s="217">
        <v>1494</v>
      </c>
      <c r="C4279" s="217"/>
      <c r="D4279" s="217" t="s">
        <v>20398</v>
      </c>
      <c r="E4279" s="471" t="s">
        <v>20665</v>
      </c>
      <c r="F4279" s="482">
        <v>1092</v>
      </c>
      <c r="G4279" s="470" t="s">
        <v>20666</v>
      </c>
      <c r="H4279" s="482" t="s">
        <v>15528</v>
      </c>
      <c r="I4279" s="483">
        <f>1.3*I4278</f>
        <v>0.67731300000000005</v>
      </c>
      <c r="J4279" s="473">
        <f t="shared" si="1939"/>
        <v>2.2000000000000002</v>
      </c>
      <c r="K4279" s="474">
        <f t="shared" si="1944"/>
        <v>1.4900886000000002</v>
      </c>
      <c r="L4279" s="473"/>
      <c r="M4279" s="474"/>
      <c r="O4279" s="434">
        <f t="shared" si="1942"/>
        <v>2.2000000000000002</v>
      </c>
      <c r="P4279" s="435">
        <f t="shared" si="1943"/>
        <v>2.1879900000000001</v>
      </c>
      <c r="AE4279" s="217"/>
      <c r="AF4279" s="217"/>
    </row>
    <row r="4280" ht="60" hidden="1">
      <c r="A4280" s="217"/>
      <c r="B4280" s="217">
        <v>1494</v>
      </c>
      <c r="C4280" s="217"/>
      <c r="D4280" s="217" t="s">
        <v>17167</v>
      </c>
      <c r="E4280" s="471" t="s">
        <v>20667</v>
      </c>
      <c r="F4280" s="482">
        <v>95875</v>
      </c>
      <c r="G4280" s="470" t="s">
        <v>20668</v>
      </c>
      <c r="H4280" s="482" t="s">
        <v>20669</v>
      </c>
      <c r="I4280" s="483">
        <f>5*I4279</f>
        <v>3.386565</v>
      </c>
      <c r="J4280" s="473">
        <f t="shared" si="1939"/>
        <v>2.7599999999999998</v>
      </c>
      <c r="K4280" s="474">
        <f t="shared" si="1944"/>
        <v>9.3469193999999991</v>
      </c>
      <c r="L4280" s="473"/>
      <c r="M4280" s="474"/>
      <c r="O4280" s="434">
        <f t="shared" si="1942"/>
        <v>2.7599999999999998</v>
      </c>
      <c r="P4280" s="435">
        <f t="shared" si="1943"/>
        <v>2.73</v>
      </c>
      <c r="AE4280" s="217"/>
      <c r="AF4280" s="217"/>
    </row>
    <row r="4281" ht="105" hidden="1">
      <c r="A4281" s="217"/>
      <c r="B4281" s="217">
        <v>1494</v>
      </c>
      <c r="C4281" s="217"/>
      <c r="D4281" s="217" t="s">
        <v>17167</v>
      </c>
      <c r="E4281" s="471" t="s">
        <v>20671</v>
      </c>
      <c r="F4281" s="482">
        <v>5928</v>
      </c>
      <c r="G4281" s="470" t="s">
        <v>1739</v>
      </c>
      <c r="H4281" s="482" t="s">
        <v>1535</v>
      </c>
      <c r="I4281" s="483">
        <v>0.10000000000000001</v>
      </c>
      <c r="J4281" s="473">
        <f t="shared" si="1939"/>
        <v>298.70999999999998</v>
      </c>
      <c r="K4281" s="474">
        <f t="shared" si="1944"/>
        <v>29.870999999999999</v>
      </c>
      <c r="L4281" s="473"/>
      <c r="M4281" s="474"/>
      <c r="O4281" s="434">
        <f t="shared" si="1942"/>
        <v>298.70999999999998</v>
      </c>
      <c r="P4281" s="435">
        <f t="shared" si="1943"/>
        <v>296.98000000000002</v>
      </c>
      <c r="AE4281" s="217"/>
      <c r="AF4281" s="217"/>
    </row>
    <row r="4282" ht="45" hidden="1">
      <c r="A4282" s="217"/>
      <c r="B4282" s="217">
        <v>1494</v>
      </c>
      <c r="C4282" s="217"/>
      <c r="D4282" s="217" t="s">
        <v>20398</v>
      </c>
      <c r="E4282" s="471" t="s">
        <v>20672</v>
      </c>
      <c r="F4282" s="482">
        <v>1000</v>
      </c>
      <c r="G4282" s="470" t="s">
        <v>20651</v>
      </c>
      <c r="H4282" s="482" t="s">
        <v>15528</v>
      </c>
      <c r="I4282" s="483">
        <f>I4291+I4290</f>
        <v>0.82291499999999995</v>
      </c>
      <c r="J4282" s="473">
        <f t="shared" si="1939"/>
        <v>149.904</v>
      </c>
      <c r="K4282" s="474">
        <f t="shared" si="1944"/>
        <v>123.35825015999998</v>
      </c>
      <c r="L4282" s="473"/>
      <c r="M4282" s="474"/>
      <c r="O4282" s="434">
        <f t="shared" si="1942"/>
        <v>149.904</v>
      </c>
      <c r="P4282" s="435">
        <f t="shared" si="1943"/>
        <v>141.76949999999999</v>
      </c>
      <c r="AE4282" s="217"/>
      <c r="AF4282" s="217"/>
    </row>
    <row r="4283" ht="105" hidden="1">
      <c r="A4283" s="217"/>
      <c r="B4283" s="217">
        <v>1494</v>
      </c>
      <c r="C4283" s="217"/>
      <c r="D4283" s="217" t="s">
        <v>17167</v>
      </c>
      <c r="E4283" s="471" t="s">
        <v>20673</v>
      </c>
      <c r="F4283" s="482">
        <v>92431</v>
      </c>
      <c r="G4283" s="470" t="s">
        <v>20674</v>
      </c>
      <c r="H4283" s="482" t="s">
        <v>15515</v>
      </c>
      <c r="I4283" s="483">
        <f>((3.98+3.98+0.83+0.83)*0.1)+(((0.73+0.73+0.2+0.2)*0.2)*2)+((5.05+5.05)*0.25)</f>
        <v>4.2309999999999999</v>
      </c>
      <c r="J4283" s="473">
        <f t="shared" si="1939"/>
        <v>70.030000000000001</v>
      </c>
      <c r="K4283" s="474">
        <f t="shared" si="1944"/>
        <v>296.29692999999997</v>
      </c>
      <c r="L4283" s="473"/>
      <c r="M4283" s="474"/>
      <c r="O4283" s="434">
        <f t="shared" si="1942"/>
        <v>70.030000000000001</v>
      </c>
      <c r="P4283" s="435">
        <f t="shared" si="1943"/>
        <v>68.510000000000005</v>
      </c>
      <c r="AE4283" s="217"/>
      <c r="AF4283" s="217"/>
    </row>
    <row r="4284" ht="45" hidden="1">
      <c r="A4284" s="217"/>
      <c r="B4284" s="217">
        <v>1494</v>
      </c>
      <c r="C4284" s="217"/>
      <c r="D4284" s="217" t="s">
        <v>20398</v>
      </c>
      <c r="E4284" s="471" t="s">
        <v>20402</v>
      </c>
      <c r="F4284" s="482">
        <v>1028</v>
      </c>
      <c r="G4284" s="470" t="s">
        <v>20840</v>
      </c>
      <c r="H4284" s="482" t="s">
        <v>302</v>
      </c>
      <c r="I4284" s="483">
        <v>2.9900000000000002</v>
      </c>
      <c r="J4284" s="473">
        <f t="shared" si="1939"/>
        <v>18.1998</v>
      </c>
      <c r="K4284" s="474">
        <f t="shared" si="1944"/>
        <v>54.417402000000003</v>
      </c>
      <c r="L4284" s="473"/>
      <c r="M4284" s="474"/>
      <c r="O4284" s="434">
        <f t="shared" si="1942"/>
        <v>18.1998</v>
      </c>
      <c r="P4284" s="435">
        <f t="shared" si="1943"/>
        <v>17.669228</v>
      </c>
      <c r="AE4284" s="217"/>
      <c r="AF4284" s="217"/>
    </row>
    <row r="4285" ht="45" hidden="1">
      <c r="A4285" s="217"/>
      <c r="B4285" s="217">
        <v>1494</v>
      </c>
      <c r="C4285" s="217"/>
      <c r="D4285" s="217" t="s">
        <v>17167</v>
      </c>
      <c r="E4285" s="471" t="s">
        <v>20675</v>
      </c>
      <c r="F4285" s="482">
        <v>96543</v>
      </c>
      <c r="G4285" s="470" t="s">
        <v>20676</v>
      </c>
      <c r="H4285" s="482" t="s">
        <v>302</v>
      </c>
      <c r="I4285" s="483">
        <v>1.29</v>
      </c>
      <c r="J4285" s="473">
        <f t="shared" si="1939"/>
        <v>19.829999999999998</v>
      </c>
      <c r="K4285" s="474">
        <f t="shared" si="1944"/>
        <v>25.5807</v>
      </c>
      <c r="L4285" s="473"/>
      <c r="M4285" s="474"/>
      <c r="O4285" s="434">
        <f t="shared" si="1942"/>
        <v>19.829999999999998</v>
      </c>
      <c r="P4285" s="435">
        <f t="shared" si="1943"/>
        <v>19.210000000000001</v>
      </c>
      <c r="AE4285" s="217"/>
      <c r="AF4285" s="217"/>
    </row>
    <row r="4286" ht="45" hidden="1">
      <c r="A4286" s="217"/>
      <c r="B4286" s="217">
        <v>1494</v>
      </c>
      <c r="C4286" s="217"/>
      <c r="D4286" s="217" t="s">
        <v>17167</v>
      </c>
      <c r="E4286" s="471" t="s">
        <v>20405</v>
      </c>
      <c r="F4286" s="482">
        <v>96544</v>
      </c>
      <c r="G4286" s="470" t="s">
        <v>20841</v>
      </c>
      <c r="H4286" s="482" t="s">
        <v>302</v>
      </c>
      <c r="I4286" s="483">
        <v>6.2800000000000002</v>
      </c>
      <c r="J4286" s="473">
        <f t="shared" si="1939"/>
        <v>17.699999999999999</v>
      </c>
      <c r="K4286" s="474">
        <f t="shared" si="1944"/>
        <v>111.15600000000001</v>
      </c>
      <c r="L4286" s="473"/>
      <c r="M4286" s="474"/>
      <c r="O4286" s="434">
        <f t="shared" si="1942"/>
        <v>17.699999999999999</v>
      </c>
      <c r="P4286" s="435">
        <f t="shared" si="1943"/>
        <v>17.23</v>
      </c>
      <c r="AE4286" s="217"/>
      <c r="AF4286" s="217"/>
    </row>
    <row r="4287" ht="45" hidden="1">
      <c r="A4287" s="217"/>
      <c r="B4287" s="217">
        <v>1494</v>
      </c>
      <c r="C4287" s="217"/>
      <c r="D4287" s="217" t="s">
        <v>17167</v>
      </c>
      <c r="E4287" s="471" t="s">
        <v>20677</v>
      </c>
      <c r="F4287" s="482">
        <v>96545</v>
      </c>
      <c r="G4287" s="470" t="s">
        <v>20678</v>
      </c>
      <c r="H4287" s="482" t="s">
        <v>302</v>
      </c>
      <c r="I4287" s="483">
        <v>3.1600000000000001</v>
      </c>
      <c r="J4287" s="473">
        <f t="shared" si="1939"/>
        <v>15.82</v>
      </c>
      <c r="K4287" s="474">
        <f t="shared" si="1944"/>
        <v>49.991200000000006</v>
      </c>
      <c r="L4287" s="473"/>
      <c r="M4287" s="474"/>
      <c r="O4287" s="434">
        <f t="shared" si="1942"/>
        <v>15.82</v>
      </c>
      <c r="P4287" s="435">
        <f t="shared" si="1943"/>
        <v>15.48</v>
      </c>
      <c r="AE4287" s="217"/>
      <c r="AF4287" s="217"/>
    </row>
    <row r="4288" ht="75" hidden="1">
      <c r="A4288" s="217"/>
      <c r="B4288" s="217">
        <v>1494</v>
      </c>
      <c r="C4288" s="217"/>
      <c r="D4288" s="217" t="s">
        <v>20398</v>
      </c>
      <c r="E4288" s="471" t="s">
        <v>20679</v>
      </c>
      <c r="F4288" s="482">
        <v>1064</v>
      </c>
      <c r="G4288" s="470" t="s">
        <v>20680</v>
      </c>
      <c r="H4288" s="482" t="s">
        <v>15515</v>
      </c>
      <c r="I4288" s="483">
        <v>4.21</v>
      </c>
      <c r="J4288" s="473">
        <f t="shared" si="1939"/>
        <v>202.79016000000001</v>
      </c>
      <c r="K4288" s="474">
        <f t="shared" si="1944"/>
        <v>853.74657360000003</v>
      </c>
      <c r="L4288" s="473"/>
      <c r="M4288" s="474"/>
      <c r="O4288" s="434">
        <f t="shared" si="1942"/>
        <v>202.79016000000001</v>
      </c>
      <c r="P4288" s="435">
        <f t="shared" si="1943"/>
        <v>197.94299999999998</v>
      </c>
      <c r="AE4288" s="217"/>
      <c r="AF4288" s="217"/>
    </row>
    <row r="4289" ht="75" hidden="1">
      <c r="A4289" s="217"/>
      <c r="B4289" s="217">
        <v>1494</v>
      </c>
      <c r="C4289" s="217"/>
      <c r="D4289" s="217" t="s">
        <v>20398</v>
      </c>
      <c r="E4289" s="471" t="s">
        <v>20681</v>
      </c>
      <c r="F4289" s="482">
        <v>1065</v>
      </c>
      <c r="G4289" s="470" t="s">
        <v>20682</v>
      </c>
      <c r="H4289" s="482" t="s">
        <v>15515</v>
      </c>
      <c r="I4289" s="483">
        <v>3.3999999999999999</v>
      </c>
      <c r="J4289" s="473">
        <f t="shared" si="1939"/>
        <v>104.37038079999999</v>
      </c>
      <c r="K4289" s="474">
        <f t="shared" si="1944"/>
        <v>354.85929471999998</v>
      </c>
      <c r="L4289" s="473"/>
      <c r="M4289" s="474"/>
      <c r="O4289" s="434">
        <f t="shared" si="1942"/>
        <v>104.37038079999999</v>
      </c>
      <c r="P4289" s="435">
        <f t="shared" si="1943"/>
        <v>101.735</v>
      </c>
      <c r="AE4289" s="217"/>
      <c r="AF4289" s="217"/>
    </row>
    <row r="4290" ht="60" hidden="1">
      <c r="A4290" s="217"/>
      <c r="B4290" s="217">
        <v>1494</v>
      </c>
      <c r="C4290" s="217"/>
      <c r="D4290" s="217" t="s">
        <v>17167</v>
      </c>
      <c r="E4290" s="471" t="s">
        <v>20683</v>
      </c>
      <c r="F4290" s="482">
        <v>94963</v>
      </c>
      <c r="G4290" s="470" t="s">
        <v>20684</v>
      </c>
      <c r="H4290" s="482" t="s">
        <v>15528</v>
      </c>
      <c r="I4290" s="483">
        <f>(3.98*0.83)*0.1</f>
        <v>0.33034000000000002</v>
      </c>
      <c r="J4290" s="473">
        <f t="shared" si="1939"/>
        <v>441.43000000000001</v>
      </c>
      <c r="K4290" s="474">
        <f t="shared" si="1944"/>
        <v>145.82198620000003</v>
      </c>
      <c r="L4290" s="473"/>
      <c r="M4290" s="474"/>
      <c r="O4290" s="434">
        <f t="shared" si="1942"/>
        <v>441.43000000000001</v>
      </c>
      <c r="P4290" s="435">
        <f t="shared" si="1943"/>
        <v>436.14999999999998</v>
      </c>
      <c r="AE4290" s="217"/>
      <c r="AF4290" s="217"/>
    </row>
    <row r="4291" ht="60" hidden="1">
      <c r="A4291" s="217"/>
      <c r="B4291" s="217">
        <v>1494</v>
      </c>
      <c r="C4291" s="217"/>
      <c r="D4291" s="217" t="s">
        <v>17167</v>
      </c>
      <c r="E4291" s="471" t="s">
        <v>20685</v>
      </c>
      <c r="F4291" s="482">
        <v>94964</v>
      </c>
      <c r="G4291" s="470" t="s">
        <v>20686</v>
      </c>
      <c r="H4291" s="482" t="s">
        <v>15528</v>
      </c>
      <c r="I4291" s="483">
        <f>(2.8945*0.15)+(0.73*0.2*0.2*2)</f>
        <v>0.49257499999999999</v>
      </c>
      <c r="J4291" s="473">
        <f t="shared" si="1939"/>
        <v>488.52999999999997</v>
      </c>
      <c r="K4291" s="474">
        <f t="shared" si="1944"/>
        <v>240.63766474999997</v>
      </c>
      <c r="L4291" s="473"/>
      <c r="M4291" s="474"/>
      <c r="O4291" s="434">
        <f t="shared" si="1942"/>
        <v>488.52999999999997</v>
      </c>
      <c r="P4291" s="435">
        <f t="shared" si="1943"/>
        <v>482.79000000000002</v>
      </c>
      <c r="AE4291" s="217"/>
      <c r="AF4291" s="217"/>
    </row>
    <row r="4292" ht="75" hidden="1">
      <c r="A4292" s="217"/>
      <c r="B4292" s="217">
        <v>1494</v>
      </c>
      <c r="C4292" s="217"/>
      <c r="D4292" s="217" t="s">
        <v>17167</v>
      </c>
      <c r="E4292" s="471" t="s">
        <v>20687</v>
      </c>
      <c r="F4292" s="482">
        <v>87879</v>
      </c>
      <c r="G4292" s="470" t="s">
        <v>20688</v>
      </c>
      <c r="H4292" s="482" t="s">
        <v>15515</v>
      </c>
      <c r="I4292" s="483">
        <v>7.9699999999999998</v>
      </c>
      <c r="J4292" s="473">
        <f t="shared" si="1939"/>
        <v>4.5499999999999998</v>
      </c>
      <c r="K4292" s="474">
        <f t="shared" si="1944"/>
        <v>36.263500000000001</v>
      </c>
      <c r="L4292" s="473"/>
      <c r="M4292" s="474"/>
      <c r="O4292" s="434">
        <f t="shared" si="1942"/>
        <v>4.5499999999999998</v>
      </c>
      <c r="P4292" s="435">
        <f t="shared" si="1943"/>
        <v>4.3600000000000003</v>
      </c>
      <c r="AE4292" s="217"/>
      <c r="AF4292" s="217"/>
    </row>
    <row r="4293" ht="90" hidden="1">
      <c r="A4293" s="217"/>
      <c r="B4293" s="217">
        <v>1494</v>
      </c>
      <c r="C4293" s="217"/>
      <c r="D4293" s="217" t="s">
        <v>20398</v>
      </c>
      <c r="E4293" s="471" t="s">
        <v>20689</v>
      </c>
      <c r="F4293" s="482">
        <v>1001</v>
      </c>
      <c r="G4293" s="470" t="s">
        <v>20690</v>
      </c>
      <c r="H4293" s="482" t="s">
        <v>15515</v>
      </c>
      <c r="I4293" s="483">
        <f>I4292</f>
        <v>7.9699999999999998</v>
      </c>
      <c r="J4293" s="473">
        <f t="shared" si="1939"/>
        <v>44.575159999999997</v>
      </c>
      <c r="K4293" s="474">
        <f t="shared" si="1944"/>
        <v>355.26402519999994</v>
      </c>
      <c r="L4293" s="473"/>
      <c r="M4293" s="474"/>
      <c r="O4293" s="434">
        <f t="shared" si="1942"/>
        <v>44.575159999999997</v>
      </c>
      <c r="P4293" s="435">
        <f t="shared" si="1943"/>
        <v>43.366774000000007</v>
      </c>
      <c r="AE4293" s="217"/>
      <c r="AF4293" s="217"/>
    </row>
    <row r="4294" ht="63" hidden="1">
      <c r="A4294" s="217"/>
      <c r="B4294" s="460">
        <v>1495</v>
      </c>
      <c r="C4294" s="460"/>
      <c r="D4294" s="460"/>
      <c r="E4294" s="461">
        <v>1</v>
      </c>
      <c r="F4294" s="462" t="s">
        <v>22521</v>
      </c>
      <c r="G4294" s="477" t="s">
        <v>22522</v>
      </c>
      <c r="H4294" s="478" t="s">
        <v>20196</v>
      </c>
      <c r="I4294" s="479"/>
      <c r="J4294" s="480"/>
      <c r="K4294" s="466">
        <f>SUM(K4295:K4302)</f>
        <v>43030.793323200007</v>
      </c>
      <c r="L4294" s="473"/>
      <c r="M4294" s="474"/>
      <c r="O4294" s="434" t="str">
        <f t="shared" si="1942"/>
        <v xml:space="preserve">SEM VALOR</v>
      </c>
      <c r="P4294" s="435" t="str">
        <f t="shared" si="1943"/>
        <v xml:space="preserve">SEM VALOR</v>
      </c>
      <c r="AE4294" s="217"/>
      <c r="AF4294" s="217"/>
    </row>
    <row r="4295" ht="75" hidden="1">
      <c r="A4295" s="217"/>
      <c r="B4295" s="217">
        <v>1495</v>
      </c>
      <c r="C4295" s="217"/>
      <c r="D4295" s="217" t="s">
        <v>17167</v>
      </c>
      <c r="E4295" s="471" t="s">
        <v>20399</v>
      </c>
      <c r="F4295" s="482">
        <v>94962</v>
      </c>
      <c r="G4295" s="572" t="s">
        <v>8726</v>
      </c>
      <c r="H4295" s="499" t="s">
        <v>15528</v>
      </c>
      <c r="I4295" s="558">
        <v>1.9630000000000001</v>
      </c>
      <c r="J4295" s="473">
        <f t="shared" si="1939"/>
        <v>393.05000000000001</v>
      </c>
      <c r="K4295" s="474">
        <f t="shared" ref="K4295:K4302" si="1945">I4295*J4295</f>
        <v>771.55715000000009</v>
      </c>
      <c r="L4295" s="473"/>
      <c r="M4295" s="474"/>
      <c r="O4295" s="434">
        <f t="shared" si="1942"/>
        <v>393.05000000000001</v>
      </c>
      <c r="P4295" s="435">
        <f t="shared" si="1943"/>
        <v>387.73000000000002</v>
      </c>
      <c r="AE4295" s="217"/>
      <c r="AF4295" s="217"/>
    </row>
    <row r="4296" ht="75" hidden="1">
      <c r="A4296" s="217"/>
      <c r="B4296" s="217">
        <v>1495</v>
      </c>
      <c r="C4296" s="217"/>
      <c r="D4296" s="217" t="s">
        <v>17167</v>
      </c>
      <c r="E4296" s="471" t="s">
        <v>20402</v>
      </c>
      <c r="F4296" s="482">
        <v>94966</v>
      </c>
      <c r="G4296" s="572" t="s">
        <v>8719</v>
      </c>
      <c r="H4296" s="499" t="s">
        <v>15528</v>
      </c>
      <c r="I4296" s="558">
        <v>24.709800000000001</v>
      </c>
      <c r="J4296" s="473">
        <f t="shared" si="1939"/>
        <v>529.88</v>
      </c>
      <c r="K4296" s="474">
        <f t="shared" si="1945"/>
        <v>13093.228824</v>
      </c>
      <c r="L4296" s="473"/>
      <c r="M4296" s="474"/>
      <c r="O4296" s="434">
        <f t="shared" si="1942"/>
        <v>529.88</v>
      </c>
      <c r="P4296" s="435">
        <f t="shared" si="1943"/>
        <v>524.67999999999995</v>
      </c>
      <c r="AE4296" s="217"/>
      <c r="AF4296" s="217"/>
    </row>
    <row r="4297" ht="45" hidden="1">
      <c r="A4297" s="217"/>
      <c r="B4297" s="217">
        <v>1495</v>
      </c>
      <c r="C4297" s="217"/>
      <c r="D4297" s="217" t="s">
        <v>20398</v>
      </c>
      <c r="E4297" s="471"/>
      <c r="F4297" s="482">
        <v>1000</v>
      </c>
      <c r="G4297" s="470" t="s">
        <v>20651</v>
      </c>
      <c r="H4297" s="482" t="s">
        <v>15528</v>
      </c>
      <c r="I4297" s="558">
        <f>I4295+I4296</f>
        <v>26.672799999999999</v>
      </c>
      <c r="J4297" s="473">
        <f t="shared" si="1939"/>
        <v>149.904</v>
      </c>
      <c r="K4297" s="474">
        <f t="shared" si="1945"/>
        <v>3998.3594111999996</v>
      </c>
      <c r="L4297" s="473"/>
      <c r="M4297" s="474"/>
      <c r="O4297" s="434">
        <f t="shared" si="1942"/>
        <v>149.904</v>
      </c>
      <c r="P4297" s="435">
        <f t="shared" si="1943"/>
        <v>141.76949999999999</v>
      </c>
      <c r="AE4297" s="217"/>
      <c r="AF4297" s="217"/>
    </row>
    <row r="4298" ht="75" hidden="1">
      <c r="A4298" s="217"/>
      <c r="B4298" s="217">
        <v>1495</v>
      </c>
      <c r="C4298" s="217"/>
      <c r="D4298" s="217" t="s">
        <v>17167</v>
      </c>
      <c r="E4298" s="471" t="s">
        <v>20405</v>
      </c>
      <c r="F4298" s="482">
        <v>102727</v>
      </c>
      <c r="G4298" s="572" t="s">
        <v>1113</v>
      </c>
      <c r="H4298" s="482" t="s">
        <v>15515</v>
      </c>
      <c r="I4298" s="558">
        <v>53.726999999999997</v>
      </c>
      <c r="J4298" s="473">
        <f t="shared" si="1939"/>
        <v>97.390000000000001</v>
      </c>
      <c r="K4298" s="474">
        <f t="shared" si="1945"/>
        <v>5232.47253</v>
      </c>
      <c r="L4298" s="473"/>
      <c r="M4298" s="474"/>
      <c r="O4298" s="434">
        <f t="shared" si="1942"/>
        <v>97.390000000000001</v>
      </c>
      <c r="P4298" s="435">
        <f t="shared" si="1943"/>
        <v>94.719999999999999</v>
      </c>
      <c r="AE4298" s="217"/>
      <c r="AF4298" s="217"/>
    </row>
    <row r="4299" ht="45" hidden="1">
      <c r="A4299" s="217"/>
      <c r="B4299" s="217">
        <v>1495</v>
      </c>
      <c r="C4299" s="217"/>
      <c r="D4299" s="217" t="s">
        <v>17167</v>
      </c>
      <c r="E4299" s="471" t="s">
        <v>20409</v>
      </c>
      <c r="F4299" s="482">
        <v>96544</v>
      </c>
      <c r="G4299" s="572" t="s">
        <v>4198</v>
      </c>
      <c r="H4299" s="482" t="s">
        <v>302</v>
      </c>
      <c r="I4299" s="558">
        <v>39.479300000000002</v>
      </c>
      <c r="J4299" s="473">
        <f t="shared" si="1939"/>
        <v>17.699999999999999</v>
      </c>
      <c r="K4299" s="474">
        <f t="shared" si="1945"/>
        <v>698.78360999999995</v>
      </c>
      <c r="L4299" s="473"/>
      <c r="M4299" s="474"/>
      <c r="O4299" s="434">
        <f t="shared" si="1942"/>
        <v>17.699999999999999</v>
      </c>
      <c r="P4299" s="435">
        <f t="shared" si="1943"/>
        <v>17.23</v>
      </c>
      <c r="AE4299" s="217"/>
      <c r="AF4299" s="217"/>
    </row>
    <row r="4300" ht="45" hidden="1">
      <c r="A4300" s="217"/>
      <c r="B4300" s="217">
        <v>1495</v>
      </c>
      <c r="C4300" s="217"/>
      <c r="D4300" s="217" t="s">
        <v>17167</v>
      </c>
      <c r="E4300" s="471" t="s">
        <v>20663</v>
      </c>
      <c r="F4300" s="482">
        <v>96545</v>
      </c>
      <c r="G4300" s="572" t="s">
        <v>4199</v>
      </c>
      <c r="H4300" s="482" t="s">
        <v>302</v>
      </c>
      <c r="I4300" s="558">
        <v>586.11760000000004</v>
      </c>
      <c r="J4300" s="473">
        <f t="shared" si="1939"/>
        <v>15.82</v>
      </c>
      <c r="K4300" s="474">
        <f t="shared" si="1945"/>
        <v>9272.3804319999999</v>
      </c>
      <c r="L4300" s="473"/>
      <c r="M4300" s="474"/>
      <c r="O4300" s="434">
        <f t="shared" si="1942"/>
        <v>15.82</v>
      </c>
      <c r="P4300" s="435">
        <f t="shared" si="1943"/>
        <v>15.48</v>
      </c>
      <c r="AE4300" s="217"/>
      <c r="AF4300" s="217"/>
    </row>
    <row r="4301" ht="45" hidden="1">
      <c r="A4301" s="217"/>
      <c r="B4301" s="217">
        <v>1495</v>
      </c>
      <c r="C4301" s="217"/>
      <c r="D4301" s="217" t="s">
        <v>17167</v>
      </c>
      <c r="E4301" s="471" t="s">
        <v>20665</v>
      </c>
      <c r="F4301" s="482">
        <v>96546</v>
      </c>
      <c r="G4301" s="572" t="s">
        <v>4197</v>
      </c>
      <c r="H4301" s="482" t="s">
        <v>302</v>
      </c>
      <c r="I4301" s="558">
        <v>63.020400000000002</v>
      </c>
      <c r="J4301" s="473">
        <f t="shared" si="1939"/>
        <v>13.77</v>
      </c>
      <c r="K4301" s="474">
        <f t="shared" si="1945"/>
        <v>867.79090800000006</v>
      </c>
      <c r="L4301" s="473"/>
      <c r="M4301" s="474"/>
      <c r="O4301" s="434">
        <f t="shared" si="1942"/>
        <v>13.77</v>
      </c>
      <c r="P4301" s="435">
        <f t="shared" si="1943"/>
        <v>13.51</v>
      </c>
      <c r="AE4301" s="217"/>
      <c r="AF4301" s="217"/>
    </row>
    <row r="4302" ht="60" hidden="1">
      <c r="A4302" s="217"/>
      <c r="B4302" s="217">
        <v>1495</v>
      </c>
      <c r="C4302" s="217"/>
      <c r="D4302" s="217" t="s">
        <v>17167</v>
      </c>
      <c r="E4302" s="471" t="s">
        <v>20667</v>
      </c>
      <c r="F4302" s="482">
        <v>104920</v>
      </c>
      <c r="G4302" s="572" t="s">
        <v>4202</v>
      </c>
      <c r="H4302" s="482" t="s">
        <v>302</v>
      </c>
      <c r="I4302" s="483">
        <v>863.83860000000004</v>
      </c>
      <c r="J4302" s="473">
        <f t="shared" si="1939"/>
        <v>10.529999999999999</v>
      </c>
      <c r="K4302" s="474">
        <f t="shared" si="1945"/>
        <v>9096.2204579999998</v>
      </c>
      <c r="L4302" s="473"/>
      <c r="M4302" s="474"/>
      <c r="O4302" s="434">
        <f t="shared" si="1942"/>
        <v>10.529999999999999</v>
      </c>
      <c r="P4302" s="435">
        <f t="shared" si="1943"/>
        <v>10.380000000000001</v>
      </c>
      <c r="AE4302" s="217"/>
      <c r="AF4302" s="217"/>
    </row>
    <row r="4303" ht="94.5" hidden="1">
      <c r="A4303" s="217"/>
      <c r="B4303" s="460">
        <v>1496</v>
      </c>
      <c r="C4303" s="460"/>
      <c r="D4303" s="460"/>
      <c r="E4303" s="461">
        <v>1</v>
      </c>
      <c r="F4303" s="462" t="s">
        <v>22523</v>
      </c>
      <c r="G4303" s="477" t="s">
        <v>22524</v>
      </c>
      <c r="H4303" s="579" t="s">
        <v>38</v>
      </c>
      <c r="I4303" s="479"/>
      <c r="J4303" s="480"/>
      <c r="K4303" s="466">
        <f>SUM(K4304:K4310)</f>
        <v>524.07427474239989</v>
      </c>
      <c r="L4303" s="473"/>
      <c r="M4303" s="474"/>
      <c r="O4303" s="434" t="str">
        <f t="shared" si="1942"/>
        <v xml:space="preserve">SEM VALOR</v>
      </c>
      <c r="P4303" s="435" t="str">
        <f t="shared" si="1943"/>
        <v xml:space="preserve">SEM VALOR</v>
      </c>
      <c r="AE4303" s="217"/>
      <c r="AF4303" s="217"/>
    </row>
    <row r="4304" ht="45" hidden="1">
      <c r="A4304" s="217"/>
      <c r="B4304" s="217">
        <v>1496</v>
      </c>
      <c r="C4304" s="217"/>
      <c r="D4304" s="217" t="s">
        <v>17167</v>
      </c>
      <c r="E4304" s="471" t="s">
        <v>20399</v>
      </c>
      <c r="F4304" s="482">
        <v>88631</v>
      </c>
      <c r="G4304" s="470" t="s">
        <v>256</v>
      </c>
      <c r="H4304" s="482" t="s">
        <v>15528</v>
      </c>
      <c r="I4304" s="483">
        <v>4.2999999999999997e-002</v>
      </c>
      <c r="J4304" s="473">
        <f t="shared" si="1939"/>
        <v>599.38999999999999</v>
      </c>
      <c r="K4304" s="474">
        <f t="shared" ref="K4304:K4310" si="1946">I4304*J4304</f>
        <v>25.773769999999999</v>
      </c>
      <c r="L4304" s="473"/>
      <c r="M4304" s="474"/>
      <c r="O4304" s="434">
        <f t="shared" si="1942"/>
        <v>599.38999999999999</v>
      </c>
      <c r="P4304" s="435">
        <f t="shared" si="1943"/>
        <v>589.35000000000002</v>
      </c>
      <c r="AE4304" s="217"/>
      <c r="AF4304" s="217"/>
    </row>
    <row r="4305" ht="75" hidden="1">
      <c r="A4305" s="217"/>
      <c r="B4305" s="217">
        <v>1496</v>
      </c>
      <c r="C4305" s="217"/>
      <c r="D4305" s="217" t="s">
        <v>17167</v>
      </c>
      <c r="E4305" s="471" t="s">
        <v>20402</v>
      </c>
      <c r="F4305" s="482">
        <v>93287</v>
      </c>
      <c r="G4305" s="470" t="s">
        <v>1725</v>
      </c>
      <c r="H4305" s="482" t="s">
        <v>1535</v>
      </c>
      <c r="I4305" s="483">
        <f>1/1.992</f>
        <v>0.50200800000000001</v>
      </c>
      <c r="J4305" s="473">
        <f t="shared" si="1939"/>
        <v>359.13</v>
      </c>
      <c r="K4305" s="474">
        <f t="shared" si="1946"/>
        <v>180.28613304000001</v>
      </c>
      <c r="L4305" s="473"/>
      <c r="M4305" s="474"/>
      <c r="O4305" s="434">
        <f t="shared" si="1942"/>
        <v>359.13</v>
      </c>
      <c r="P4305" s="435">
        <f t="shared" si="1943"/>
        <v>356.89999999999998</v>
      </c>
      <c r="AE4305" s="217"/>
      <c r="AF4305" s="217"/>
    </row>
    <row r="4306" ht="30" hidden="1">
      <c r="A4306" s="217"/>
      <c r="B4306" s="217">
        <v>1496</v>
      </c>
      <c r="C4306" s="217"/>
      <c r="D4306" s="217" t="s">
        <v>17167</v>
      </c>
      <c r="E4306" s="471" t="s">
        <v>20405</v>
      </c>
      <c r="F4306" s="482">
        <v>88316</v>
      </c>
      <c r="G4306" s="488" t="s">
        <v>7393</v>
      </c>
      <c r="H4306" s="482" t="s">
        <v>2032</v>
      </c>
      <c r="I4306" s="483">
        <f>3/1.992</f>
        <v>1.5060241000000001</v>
      </c>
      <c r="J4306" s="473">
        <f t="shared" si="1939"/>
        <v>22.760000000000002</v>
      </c>
      <c r="K4306" s="474">
        <f t="shared" si="1946"/>
        <v>34.277108516000006</v>
      </c>
      <c r="L4306" s="473"/>
      <c r="M4306" s="474"/>
      <c r="O4306" s="434">
        <f t="shared" si="1942"/>
        <v>22.760000000000002</v>
      </c>
      <c r="P4306" s="435">
        <f t="shared" si="1943"/>
        <v>21.550000000000001</v>
      </c>
      <c r="AE4306" s="217"/>
      <c r="AF4306" s="217"/>
    </row>
    <row r="4307" ht="75" hidden="1">
      <c r="A4307" s="217"/>
      <c r="B4307" s="217">
        <v>1496</v>
      </c>
      <c r="C4307" s="217"/>
      <c r="D4307" s="217" t="s">
        <v>17167</v>
      </c>
      <c r="E4307" s="471" t="s">
        <v>20663</v>
      </c>
      <c r="F4307" s="482">
        <v>94962</v>
      </c>
      <c r="G4307" s="470" t="s">
        <v>8726</v>
      </c>
      <c r="H4307" s="482" t="s">
        <v>15528</v>
      </c>
      <c r="I4307" s="483">
        <v>0.39000000000000001</v>
      </c>
      <c r="J4307" s="473">
        <f t="shared" si="1939"/>
        <v>393.05000000000001</v>
      </c>
      <c r="K4307" s="474">
        <f t="shared" si="1946"/>
        <v>153.2895</v>
      </c>
      <c r="L4307" s="473"/>
      <c r="M4307" s="474"/>
      <c r="O4307" s="434">
        <f t="shared" si="1942"/>
        <v>393.05000000000001</v>
      </c>
      <c r="P4307" s="435">
        <f t="shared" si="1943"/>
        <v>387.73000000000002</v>
      </c>
      <c r="AE4307" s="217"/>
      <c r="AF4307" s="217"/>
    </row>
    <row r="4308" ht="45" hidden="1">
      <c r="A4308" s="217"/>
      <c r="B4308" s="217">
        <v>1496</v>
      </c>
      <c r="C4308" s="217"/>
      <c r="D4308" s="217" t="s">
        <v>20398</v>
      </c>
      <c r="E4308" s="471" t="s">
        <v>20665</v>
      </c>
      <c r="F4308" s="482">
        <v>1000</v>
      </c>
      <c r="G4308" s="470" t="s">
        <v>20651</v>
      </c>
      <c r="H4308" s="482" t="s">
        <v>15528</v>
      </c>
      <c r="I4308" s="483">
        <f>I4307</f>
        <v>0.39000000000000001</v>
      </c>
      <c r="J4308" s="473">
        <f t="shared" si="1939"/>
        <v>149.904</v>
      </c>
      <c r="K4308" s="474">
        <f t="shared" si="1946"/>
        <v>58.462560000000003</v>
      </c>
      <c r="L4308" s="473"/>
      <c r="M4308" s="474"/>
      <c r="O4308" s="434">
        <f t="shared" si="1942"/>
        <v>149.904</v>
      </c>
      <c r="P4308" s="435">
        <f t="shared" si="1943"/>
        <v>141.76949999999999</v>
      </c>
      <c r="AE4308" s="217"/>
      <c r="AF4308" s="217"/>
    </row>
    <row r="4309" ht="60" hidden="1">
      <c r="A4309" s="217"/>
      <c r="B4309" s="217">
        <v>1496</v>
      </c>
      <c r="C4309" s="217"/>
      <c r="D4309" s="217" t="s">
        <v>17167</v>
      </c>
      <c r="E4309" s="471" t="s">
        <v>20667</v>
      </c>
      <c r="F4309" s="482">
        <v>96536</v>
      </c>
      <c r="G4309" s="572" t="s">
        <v>21415</v>
      </c>
      <c r="H4309" s="482" t="s">
        <v>15515</v>
      </c>
      <c r="I4309" s="483">
        <v>0.41999999999999998</v>
      </c>
      <c r="J4309" s="473">
        <f t="shared" si="1939"/>
        <v>63.439999999999998</v>
      </c>
      <c r="K4309" s="474">
        <f t="shared" si="1946"/>
        <v>26.644799999999996</v>
      </c>
      <c r="L4309" s="473"/>
      <c r="M4309" s="474"/>
      <c r="O4309" s="434">
        <f t="shared" si="1942"/>
        <v>63.439999999999998</v>
      </c>
      <c r="P4309" s="435">
        <f t="shared" si="1943"/>
        <v>60.950000000000003</v>
      </c>
      <c r="AE4309" s="217"/>
      <c r="AF4309" s="217"/>
    </row>
    <row r="4310" ht="30" hidden="1">
      <c r="A4310" s="217"/>
      <c r="B4310" s="217">
        <v>1496</v>
      </c>
      <c r="C4310" s="217"/>
      <c r="D4310" s="217" t="s">
        <v>20398</v>
      </c>
      <c r="E4310" s="471"/>
      <c r="F4310" s="482">
        <v>1183</v>
      </c>
      <c r="G4310" s="572" t="s">
        <v>22525</v>
      </c>
      <c r="H4310" s="482" t="s">
        <v>15515</v>
      </c>
      <c r="I4310" s="483">
        <v>4.2000000000000002</v>
      </c>
      <c r="J4310" s="473">
        <f t="shared" si="1939"/>
        <v>10.795334092000001</v>
      </c>
      <c r="K4310" s="474">
        <f t="shared" si="1946"/>
        <v>45.340403186400003</v>
      </c>
      <c r="L4310" s="473"/>
      <c r="M4310" s="474"/>
      <c r="O4310" s="434">
        <f t="shared" si="1942"/>
        <v>10.795334092000001</v>
      </c>
      <c r="P4310" s="435">
        <f t="shared" si="1943"/>
        <v>10.775167385</v>
      </c>
      <c r="AE4310" s="217"/>
      <c r="AF4310" s="217"/>
    </row>
    <row r="4311" ht="31.5" hidden="1">
      <c r="A4311" s="217"/>
      <c r="B4311" s="672">
        <v>1497</v>
      </c>
      <c r="C4311" s="672"/>
      <c r="D4311" s="672"/>
      <c r="E4311" s="461">
        <v>1</v>
      </c>
      <c r="F4311" s="579" t="s">
        <v>22526</v>
      </c>
      <c r="G4311" s="463" t="s">
        <v>22527</v>
      </c>
      <c r="H4311" s="478" t="s">
        <v>20196</v>
      </c>
      <c r="I4311" s="479"/>
      <c r="J4311" s="480"/>
      <c r="K4311" s="466">
        <f>SUM(K4312:K4320)</f>
        <v>16605.461450079998</v>
      </c>
      <c r="L4311" s="473"/>
      <c r="M4311" s="474"/>
      <c r="O4311" s="434" t="str">
        <f t="shared" si="1942"/>
        <v xml:space="preserve">SEM VALOR</v>
      </c>
      <c r="P4311" s="435" t="str">
        <f t="shared" si="1943"/>
        <v xml:space="preserve">SEM VALOR</v>
      </c>
      <c r="AE4311" s="217"/>
      <c r="AF4311" s="217"/>
    </row>
    <row r="4312" ht="90" hidden="1">
      <c r="A4312" s="217"/>
      <c r="B4312" s="217">
        <v>1497</v>
      </c>
      <c r="C4312" s="217"/>
      <c r="D4312" s="217" t="s">
        <v>20398</v>
      </c>
      <c r="E4312" s="471" t="s">
        <v>20399</v>
      </c>
      <c r="F4312" s="482">
        <v>1332</v>
      </c>
      <c r="G4312" s="488" t="s">
        <v>21992</v>
      </c>
      <c r="H4312" s="482" t="s">
        <v>15528</v>
      </c>
      <c r="I4312" s="483">
        <v>5.1200000000000001</v>
      </c>
      <c r="J4312" s="473">
        <f t="shared" si="1939"/>
        <v>213.32058400000003</v>
      </c>
      <c r="K4312" s="474">
        <f t="shared" ref="K4312:K4320" si="1947">I4312*J4312</f>
        <v>1092.2013900800002</v>
      </c>
      <c r="L4312" s="473"/>
      <c r="M4312" s="474"/>
      <c r="O4312" s="434">
        <f t="shared" si="1942"/>
        <v>213.32058400000003</v>
      </c>
      <c r="P4312" s="435">
        <f t="shared" si="1943"/>
        <v>210.508815</v>
      </c>
      <c r="AE4312" s="217"/>
      <c r="AF4312" s="217"/>
    </row>
    <row r="4313" ht="75" hidden="1">
      <c r="A4313" s="217"/>
      <c r="B4313" s="217">
        <v>1497</v>
      </c>
      <c r="C4313" s="217"/>
      <c r="D4313" s="217" t="s">
        <v>17167</v>
      </c>
      <c r="E4313" s="471" t="s">
        <v>20402</v>
      </c>
      <c r="F4313" s="482">
        <v>94963</v>
      </c>
      <c r="G4313" s="488" t="s">
        <v>8707</v>
      </c>
      <c r="H4313" s="482" t="s">
        <v>15528</v>
      </c>
      <c r="I4313" s="483">
        <v>1.8200000000000001</v>
      </c>
      <c r="J4313" s="473">
        <f t="shared" si="1939"/>
        <v>441.43000000000001</v>
      </c>
      <c r="K4313" s="474">
        <f t="shared" si="1947"/>
        <v>803.40260000000001</v>
      </c>
      <c r="L4313" s="473"/>
      <c r="M4313" s="474"/>
      <c r="O4313" s="434">
        <f t="shared" si="1942"/>
        <v>441.43000000000001</v>
      </c>
      <c r="P4313" s="435">
        <f t="shared" si="1943"/>
        <v>436.14999999999998</v>
      </c>
      <c r="AE4313" s="217"/>
      <c r="AF4313" s="217"/>
    </row>
    <row r="4314" ht="75" hidden="1">
      <c r="A4314" s="217"/>
      <c r="B4314" s="217">
        <v>1497</v>
      </c>
      <c r="C4314" s="217"/>
      <c r="D4314" s="217" t="s">
        <v>17167</v>
      </c>
      <c r="E4314" s="471" t="s">
        <v>20405</v>
      </c>
      <c r="F4314" s="489">
        <v>94965</v>
      </c>
      <c r="G4314" s="488" t="s">
        <v>8715</v>
      </c>
      <c r="H4314" s="482" t="s">
        <v>15528</v>
      </c>
      <c r="I4314" s="483">
        <v>3.54</v>
      </c>
      <c r="J4314" s="473">
        <f t="shared" si="1939"/>
        <v>510.48000000000002</v>
      </c>
      <c r="K4314" s="474">
        <f t="shared" si="1947"/>
        <v>1807.0992000000001</v>
      </c>
      <c r="L4314" s="473"/>
      <c r="M4314" s="474"/>
      <c r="O4314" s="434">
        <f t="shared" si="1942"/>
        <v>510.48000000000002</v>
      </c>
      <c r="P4314" s="435">
        <f t="shared" si="1943"/>
        <v>505.23000000000002</v>
      </c>
      <c r="AE4314" s="217"/>
      <c r="AF4314" s="217"/>
    </row>
    <row r="4315" ht="45" hidden="1">
      <c r="A4315" s="217"/>
      <c r="B4315" s="217">
        <v>1497</v>
      </c>
      <c r="C4315" s="217"/>
      <c r="D4315" s="217" t="s">
        <v>20398</v>
      </c>
      <c r="E4315" s="471" t="s">
        <v>20409</v>
      </c>
      <c r="F4315" s="489">
        <v>1000</v>
      </c>
      <c r="G4315" s="488" t="s">
        <v>20651</v>
      </c>
      <c r="H4315" s="499" t="s">
        <v>15528</v>
      </c>
      <c r="I4315" s="483">
        <v>5.3600000000000003</v>
      </c>
      <c r="J4315" s="473">
        <f t="shared" si="1939"/>
        <v>149.904</v>
      </c>
      <c r="K4315" s="474">
        <f t="shared" si="1947"/>
        <v>803.48544000000004</v>
      </c>
      <c r="L4315" s="473"/>
      <c r="M4315" s="474"/>
      <c r="O4315" s="434">
        <f t="shared" si="1942"/>
        <v>149.904</v>
      </c>
      <c r="P4315" s="435">
        <f t="shared" si="1943"/>
        <v>141.76949999999999</v>
      </c>
      <c r="AE4315" s="217"/>
      <c r="AF4315" s="217"/>
    </row>
    <row r="4316" ht="60" hidden="1">
      <c r="A4316" s="217"/>
      <c r="B4316" s="217">
        <v>1497</v>
      </c>
      <c r="C4316" s="217"/>
      <c r="D4316" s="217" t="s">
        <v>17167</v>
      </c>
      <c r="E4316" s="471" t="s">
        <v>20663</v>
      </c>
      <c r="F4316" s="489">
        <v>96533</v>
      </c>
      <c r="G4316" s="488" t="s">
        <v>20912</v>
      </c>
      <c r="H4316" s="471" t="s">
        <v>15515</v>
      </c>
      <c r="I4316" s="483">
        <v>39.299999999999997</v>
      </c>
      <c r="J4316" s="473">
        <f t="shared" si="1939"/>
        <v>85.980000000000004</v>
      </c>
      <c r="K4316" s="474">
        <f t="shared" si="1947"/>
        <v>3379.0140000000001</v>
      </c>
      <c r="L4316" s="473"/>
      <c r="M4316" s="474"/>
      <c r="O4316" s="434">
        <f t="shared" si="1942"/>
        <v>85.980000000000004</v>
      </c>
      <c r="P4316" s="435">
        <f t="shared" si="1943"/>
        <v>83.200000000000003</v>
      </c>
      <c r="AE4316" s="217"/>
      <c r="AF4316" s="217"/>
    </row>
    <row r="4317" ht="45" hidden="1">
      <c r="A4317" s="217"/>
      <c r="B4317" s="217">
        <v>1497</v>
      </c>
      <c r="C4317" s="217"/>
      <c r="D4317" s="217" t="s">
        <v>17167</v>
      </c>
      <c r="E4317" s="471" t="s">
        <v>20665</v>
      </c>
      <c r="F4317" s="489">
        <v>96545</v>
      </c>
      <c r="G4317" s="488" t="s">
        <v>4199</v>
      </c>
      <c r="H4317" s="482" t="s">
        <v>302</v>
      </c>
      <c r="I4317" s="483">
        <v>421</v>
      </c>
      <c r="J4317" s="473">
        <f t="shared" si="1939"/>
        <v>15.82</v>
      </c>
      <c r="K4317" s="474">
        <f t="shared" si="1947"/>
        <v>6660.2200000000003</v>
      </c>
      <c r="L4317" s="473"/>
      <c r="M4317" s="474"/>
      <c r="O4317" s="434">
        <f t="shared" si="1942"/>
        <v>15.82</v>
      </c>
      <c r="P4317" s="435">
        <f t="shared" si="1943"/>
        <v>15.48</v>
      </c>
      <c r="AE4317" s="217"/>
      <c r="AF4317" s="217"/>
    </row>
    <row r="4318" ht="45" hidden="1">
      <c r="A4318" s="217"/>
      <c r="B4318" s="217">
        <v>1497</v>
      </c>
      <c r="C4318" s="217"/>
      <c r="D4318" s="217" t="s">
        <v>20398</v>
      </c>
      <c r="E4318" s="471" t="s">
        <v>20667</v>
      </c>
      <c r="F4318" s="482">
        <v>1028</v>
      </c>
      <c r="G4318" s="488" t="s">
        <v>20840</v>
      </c>
      <c r="H4318" s="482" t="s">
        <v>302</v>
      </c>
      <c r="I4318" s="483">
        <v>1.3999999999999999</v>
      </c>
      <c r="J4318" s="473">
        <f t="shared" ref="J4318:J4381" si="1948">O4318*$J$3</f>
        <v>18.1998</v>
      </c>
      <c r="K4318" s="474">
        <f t="shared" si="1947"/>
        <v>25.479719999999997</v>
      </c>
      <c r="L4318" s="473"/>
      <c r="M4318" s="474"/>
      <c r="O4318" s="434">
        <f t="shared" si="1942"/>
        <v>18.1998</v>
      </c>
      <c r="P4318" s="435">
        <f t="shared" si="1943"/>
        <v>17.669228</v>
      </c>
      <c r="AE4318" s="217"/>
      <c r="AF4318" s="217"/>
    </row>
    <row r="4319" ht="45" hidden="1">
      <c r="A4319" s="217"/>
      <c r="B4319" s="217">
        <v>1497</v>
      </c>
      <c r="C4319" s="217"/>
      <c r="D4319" s="217" t="s">
        <v>20408</v>
      </c>
      <c r="E4319" s="471" t="s">
        <v>20671</v>
      </c>
      <c r="F4319" s="482">
        <v>21013</v>
      </c>
      <c r="G4319" s="488" t="s">
        <v>21419</v>
      </c>
      <c r="H4319" s="482" t="s">
        <v>38</v>
      </c>
      <c r="I4319" s="483">
        <v>25.800000000000001</v>
      </c>
      <c r="J4319" s="473">
        <f t="shared" si="1948"/>
        <v>66.920000000000002</v>
      </c>
      <c r="K4319" s="474">
        <f t="shared" si="1947"/>
        <v>1726.5360000000001</v>
      </c>
      <c r="L4319" s="473"/>
      <c r="M4319" s="474"/>
      <c r="O4319" s="434">
        <f t="shared" si="1942"/>
        <v>66.920000000000002</v>
      </c>
      <c r="P4319" s="435">
        <f t="shared" si="1943"/>
        <v>66.920000000000002</v>
      </c>
      <c r="AE4319" s="217"/>
      <c r="AF4319" s="217"/>
    </row>
    <row r="4320" ht="75" hidden="1">
      <c r="A4320" s="217"/>
      <c r="B4320" s="217">
        <v>1497</v>
      </c>
      <c r="C4320" s="217"/>
      <c r="D4320" s="217" t="s">
        <v>20408</v>
      </c>
      <c r="E4320" s="471" t="s">
        <v>20672</v>
      </c>
      <c r="F4320" s="482">
        <v>21141</v>
      </c>
      <c r="G4320" s="488" t="s">
        <v>14638</v>
      </c>
      <c r="H4320" s="482" t="s">
        <v>15515</v>
      </c>
      <c r="I4320" s="483">
        <v>25.690000000000001</v>
      </c>
      <c r="J4320" s="473">
        <f t="shared" si="1948"/>
        <v>11.99</v>
      </c>
      <c r="K4320" s="474">
        <f t="shared" si="1947"/>
        <v>308.0231</v>
      </c>
      <c r="L4320" s="473"/>
      <c r="M4320" s="474"/>
      <c r="O4320" s="434">
        <f t="shared" si="1942"/>
        <v>11.99</v>
      </c>
      <c r="P4320" s="435">
        <f t="shared" si="1943"/>
        <v>11.99</v>
      </c>
      <c r="AE4320" s="217"/>
      <c r="AF4320" s="217"/>
    </row>
    <row r="4321" ht="31.5" hidden="1">
      <c r="A4321" s="217"/>
      <c r="B4321" s="672">
        <v>1498</v>
      </c>
      <c r="C4321" s="672"/>
      <c r="D4321" s="672"/>
      <c r="E4321" s="461">
        <v>1</v>
      </c>
      <c r="F4321" s="579" t="s">
        <v>22528</v>
      </c>
      <c r="G4321" s="463" t="s">
        <v>22529</v>
      </c>
      <c r="H4321" s="478" t="s">
        <v>20196</v>
      </c>
      <c r="I4321" s="479"/>
      <c r="J4321" s="480"/>
      <c r="K4321" s="466">
        <f>SUM(K4322:K4330)</f>
        <v>81862.656718219994</v>
      </c>
      <c r="L4321" s="473"/>
      <c r="M4321" s="474"/>
      <c r="O4321" s="434" t="str">
        <f t="shared" si="1942"/>
        <v xml:space="preserve">SEM VALOR</v>
      </c>
      <c r="P4321" s="435" t="str">
        <f t="shared" si="1943"/>
        <v xml:space="preserve">SEM VALOR</v>
      </c>
      <c r="AE4321" s="217"/>
      <c r="AF4321" s="217"/>
    </row>
    <row r="4322" ht="90" hidden="1">
      <c r="A4322" s="217"/>
      <c r="B4322" s="217">
        <v>1498</v>
      </c>
      <c r="C4322" s="217"/>
      <c r="D4322" s="217" t="s">
        <v>20398</v>
      </c>
      <c r="E4322" s="471" t="s">
        <v>20399</v>
      </c>
      <c r="F4322" s="482">
        <v>1332</v>
      </c>
      <c r="G4322" s="488" t="s">
        <v>21992</v>
      </c>
      <c r="H4322" s="482" t="s">
        <v>15528</v>
      </c>
      <c r="I4322" s="483">
        <v>64.980000000000004</v>
      </c>
      <c r="J4322" s="473">
        <f t="shared" si="1948"/>
        <v>213.32058400000003</v>
      </c>
      <c r="K4322" s="474">
        <f t="shared" ref="K4322:K4330" si="1949">I4322*J4322</f>
        <v>13861.571548320002</v>
      </c>
      <c r="L4322" s="473"/>
      <c r="M4322" s="474"/>
      <c r="O4322" s="434">
        <f t="shared" si="1942"/>
        <v>213.32058400000003</v>
      </c>
      <c r="P4322" s="435">
        <f t="shared" si="1943"/>
        <v>210.508815</v>
      </c>
      <c r="AE4322" s="217"/>
      <c r="AF4322" s="217"/>
    </row>
    <row r="4323" ht="75" hidden="1">
      <c r="A4323" s="217"/>
      <c r="B4323" s="217">
        <v>1498</v>
      </c>
      <c r="C4323" s="217"/>
      <c r="D4323" s="217" t="s">
        <v>17167</v>
      </c>
      <c r="E4323" s="471" t="s">
        <v>20402</v>
      </c>
      <c r="F4323" s="482">
        <v>94963</v>
      </c>
      <c r="G4323" s="488" t="s">
        <v>8707</v>
      </c>
      <c r="H4323" s="482" t="s">
        <v>15528</v>
      </c>
      <c r="I4323" s="483">
        <v>12.996</v>
      </c>
      <c r="J4323" s="473">
        <f t="shared" si="1948"/>
        <v>441.43000000000001</v>
      </c>
      <c r="K4323" s="474">
        <f t="shared" si="1949"/>
        <v>5736.8242800000007</v>
      </c>
      <c r="L4323" s="473"/>
      <c r="M4323" s="474"/>
      <c r="O4323" s="434">
        <f t="shared" si="1942"/>
        <v>441.43000000000001</v>
      </c>
      <c r="P4323" s="435">
        <f t="shared" si="1943"/>
        <v>436.14999999999998</v>
      </c>
      <c r="AE4323" s="217"/>
      <c r="AF4323" s="217"/>
    </row>
    <row r="4324" ht="75" hidden="1">
      <c r="A4324" s="217"/>
      <c r="B4324" s="217">
        <v>1498</v>
      </c>
      <c r="C4324" s="217"/>
      <c r="D4324" s="217" t="s">
        <v>17167</v>
      </c>
      <c r="E4324" s="471" t="s">
        <v>20405</v>
      </c>
      <c r="F4324" s="489">
        <v>94965</v>
      </c>
      <c r="G4324" s="488" t="s">
        <v>8715</v>
      </c>
      <c r="H4324" s="482" t="s">
        <v>15528</v>
      </c>
      <c r="I4324" s="483">
        <v>16.274999999999999</v>
      </c>
      <c r="J4324" s="473">
        <f t="shared" si="1948"/>
        <v>510.48000000000002</v>
      </c>
      <c r="K4324" s="474">
        <f t="shared" si="1949"/>
        <v>8308.0619999999999</v>
      </c>
      <c r="L4324" s="473"/>
      <c r="M4324" s="474"/>
      <c r="O4324" s="434">
        <f t="shared" si="1942"/>
        <v>510.48000000000002</v>
      </c>
      <c r="P4324" s="435">
        <f t="shared" si="1943"/>
        <v>505.23000000000002</v>
      </c>
      <c r="AE4324" s="217"/>
      <c r="AF4324" s="217"/>
    </row>
    <row r="4325" ht="45" hidden="1">
      <c r="A4325" s="217"/>
      <c r="B4325" s="217">
        <v>1498</v>
      </c>
      <c r="C4325" s="217"/>
      <c r="D4325" s="217" t="s">
        <v>20398</v>
      </c>
      <c r="E4325" s="471" t="s">
        <v>20409</v>
      </c>
      <c r="F4325" s="489">
        <v>1000</v>
      </c>
      <c r="G4325" s="488" t="s">
        <v>20651</v>
      </c>
      <c r="H4325" s="499" t="s">
        <v>15528</v>
      </c>
      <c r="I4325" s="483">
        <f>I4323+I4324</f>
        <v>29.271000000000001</v>
      </c>
      <c r="J4325" s="473">
        <f t="shared" si="1948"/>
        <v>149.904</v>
      </c>
      <c r="K4325" s="474">
        <f t="shared" si="1949"/>
        <v>4387.8399840000002</v>
      </c>
      <c r="L4325" s="473"/>
      <c r="M4325" s="474"/>
      <c r="O4325" s="434">
        <f t="shared" si="1942"/>
        <v>149.904</v>
      </c>
      <c r="P4325" s="435">
        <f t="shared" si="1943"/>
        <v>141.76949999999999</v>
      </c>
      <c r="AE4325" s="217"/>
      <c r="AF4325" s="217"/>
    </row>
    <row r="4326" ht="60" hidden="1">
      <c r="A4326" s="217"/>
      <c r="B4326" s="217">
        <v>1498</v>
      </c>
      <c r="C4326" s="217"/>
      <c r="D4326" s="217" t="s">
        <v>17167</v>
      </c>
      <c r="E4326" s="471" t="s">
        <v>20663</v>
      </c>
      <c r="F4326" s="489">
        <v>96533</v>
      </c>
      <c r="G4326" s="488" t="s">
        <v>20912</v>
      </c>
      <c r="H4326" s="471" t="s">
        <v>15515</v>
      </c>
      <c r="I4326" s="483">
        <v>122</v>
      </c>
      <c r="J4326" s="473">
        <f t="shared" si="1948"/>
        <v>85.980000000000004</v>
      </c>
      <c r="K4326" s="474">
        <f t="shared" si="1949"/>
        <v>10489.560000000001</v>
      </c>
      <c r="L4326" s="473"/>
      <c r="M4326" s="474"/>
      <c r="O4326" s="434">
        <f t="shared" si="1942"/>
        <v>85.980000000000004</v>
      </c>
      <c r="P4326" s="435">
        <f t="shared" si="1943"/>
        <v>83.200000000000003</v>
      </c>
      <c r="AE4326" s="217"/>
      <c r="AF4326" s="217"/>
    </row>
    <row r="4327" ht="45" hidden="1">
      <c r="A4327" s="217"/>
      <c r="B4327" s="217">
        <v>1498</v>
      </c>
      <c r="C4327" s="217"/>
      <c r="D4327" s="217" t="s">
        <v>17167</v>
      </c>
      <c r="E4327" s="471" t="s">
        <v>20665</v>
      </c>
      <c r="F4327" s="489">
        <v>96545</v>
      </c>
      <c r="G4327" s="488" t="s">
        <v>4199</v>
      </c>
      <c r="H4327" s="482" t="s">
        <v>302</v>
      </c>
      <c r="I4327" s="483">
        <v>1816.0699999999999</v>
      </c>
      <c r="J4327" s="473">
        <f t="shared" si="1948"/>
        <v>15.82</v>
      </c>
      <c r="K4327" s="474">
        <f t="shared" si="1949"/>
        <v>28730.2274</v>
      </c>
      <c r="L4327" s="473"/>
      <c r="M4327" s="474"/>
      <c r="O4327" s="434">
        <f t="shared" si="1942"/>
        <v>15.82</v>
      </c>
      <c r="P4327" s="435">
        <f t="shared" si="1943"/>
        <v>15.48</v>
      </c>
      <c r="AE4327" s="217"/>
      <c r="AF4327" s="217"/>
    </row>
    <row r="4328" ht="45" hidden="1">
      <c r="A4328" s="217"/>
      <c r="B4328" s="217">
        <v>1498</v>
      </c>
      <c r="C4328" s="217"/>
      <c r="D4328" s="217" t="s">
        <v>20398</v>
      </c>
      <c r="E4328" s="471" t="s">
        <v>20667</v>
      </c>
      <c r="F4328" s="482">
        <v>1028</v>
      </c>
      <c r="G4328" s="488" t="s">
        <v>20840</v>
      </c>
      <c r="H4328" s="482" t="s">
        <v>302</v>
      </c>
      <c r="I4328" s="483">
        <v>6.4705000000000004</v>
      </c>
      <c r="J4328" s="473">
        <f t="shared" si="1948"/>
        <v>18.1998</v>
      </c>
      <c r="K4328" s="474">
        <f t="shared" si="1949"/>
        <v>117.7618059</v>
      </c>
      <c r="L4328" s="473"/>
      <c r="M4328" s="474"/>
      <c r="O4328" s="434">
        <f t="shared" si="1942"/>
        <v>18.1998</v>
      </c>
      <c r="P4328" s="435">
        <f t="shared" si="1943"/>
        <v>17.669228</v>
      </c>
      <c r="AE4328" s="217"/>
      <c r="AF4328" s="217"/>
    </row>
    <row r="4329" ht="45" hidden="1">
      <c r="A4329" s="217"/>
      <c r="B4329" s="217">
        <v>1498</v>
      </c>
      <c r="C4329" s="217"/>
      <c r="D4329" s="217" t="s">
        <v>20408</v>
      </c>
      <c r="E4329" s="471" t="s">
        <v>20671</v>
      </c>
      <c r="F4329" s="482">
        <v>21013</v>
      </c>
      <c r="G4329" s="488" t="s">
        <v>21419</v>
      </c>
      <c r="H4329" s="482" t="s">
        <v>38</v>
      </c>
      <c r="I4329" s="483">
        <v>129.72</v>
      </c>
      <c r="J4329" s="473">
        <f t="shared" si="1948"/>
        <v>66.920000000000002</v>
      </c>
      <c r="K4329" s="474">
        <f t="shared" si="1949"/>
        <v>8680.8624</v>
      </c>
      <c r="L4329" s="473"/>
      <c r="M4329" s="474"/>
      <c r="O4329" s="434">
        <f t="shared" si="1942"/>
        <v>66.920000000000002</v>
      </c>
      <c r="P4329" s="435">
        <f t="shared" si="1943"/>
        <v>66.920000000000002</v>
      </c>
      <c r="AE4329" s="217"/>
      <c r="AF4329" s="217"/>
    </row>
    <row r="4330" ht="75" hidden="1">
      <c r="A4330" s="217"/>
      <c r="B4330" s="217">
        <v>1498</v>
      </c>
      <c r="C4330" s="217"/>
      <c r="D4330" s="217" t="s">
        <v>20408</v>
      </c>
      <c r="E4330" s="471" t="s">
        <v>20672</v>
      </c>
      <c r="F4330" s="482">
        <v>21141</v>
      </c>
      <c r="G4330" s="488" t="s">
        <v>14638</v>
      </c>
      <c r="H4330" s="482" t="s">
        <v>15515</v>
      </c>
      <c r="I4330" s="483">
        <v>129.27000000000001</v>
      </c>
      <c r="J4330" s="473">
        <f t="shared" si="1948"/>
        <v>11.99</v>
      </c>
      <c r="K4330" s="474">
        <f t="shared" si="1949"/>
        <v>1549.9473</v>
      </c>
      <c r="L4330" s="473"/>
      <c r="M4330" s="474"/>
      <c r="O4330" s="434">
        <f t="shared" si="1942"/>
        <v>11.99</v>
      </c>
      <c r="P4330" s="435">
        <f t="shared" si="1943"/>
        <v>11.99</v>
      </c>
      <c r="AE4330" s="217"/>
      <c r="AF4330" s="217"/>
    </row>
    <row r="4331" ht="54.75" hidden="1" customHeight="1">
      <c r="A4331" s="217"/>
      <c r="B4331" s="672">
        <v>1499</v>
      </c>
      <c r="C4331" s="672"/>
      <c r="D4331" s="672"/>
      <c r="E4331" s="461">
        <v>1</v>
      </c>
      <c r="F4331" s="579" t="s">
        <v>22530</v>
      </c>
      <c r="G4331" s="463" t="s">
        <v>22531</v>
      </c>
      <c r="H4331" s="478" t="s">
        <v>20196</v>
      </c>
      <c r="I4331" s="479"/>
      <c r="J4331" s="480"/>
      <c r="K4331" s="466">
        <f>SUM(K4332:K4350)</f>
        <v>23849.794527964212</v>
      </c>
      <c r="L4331" s="473"/>
      <c r="M4331" s="474"/>
      <c r="O4331" s="434" t="str">
        <f t="shared" si="1942"/>
        <v xml:space="preserve">SEM VALOR</v>
      </c>
      <c r="P4331" s="435" t="str">
        <f t="shared" si="1943"/>
        <v xml:space="preserve">SEM VALOR</v>
      </c>
      <c r="AE4331" s="217"/>
      <c r="AF4331" s="217"/>
    </row>
    <row r="4332" ht="120" hidden="1">
      <c r="A4332" s="217"/>
      <c r="B4332" s="217">
        <v>1499</v>
      </c>
      <c r="C4332" s="217"/>
      <c r="D4332" s="217" t="s">
        <v>17167</v>
      </c>
      <c r="E4332" s="471"/>
      <c r="F4332" s="482">
        <v>90091</v>
      </c>
      <c r="G4332" s="488" t="s">
        <v>3437</v>
      </c>
      <c r="H4332" s="499" t="s">
        <v>15528</v>
      </c>
      <c r="I4332" s="483">
        <v>48.509999999999998</v>
      </c>
      <c r="J4332" s="473">
        <f t="shared" si="1948"/>
        <v>6.1799999999999997</v>
      </c>
      <c r="K4332" s="474">
        <f t="shared" ref="K4332:K4350" si="1950">I4332*J4332</f>
        <v>299.79179999999997</v>
      </c>
      <c r="L4332" s="473"/>
      <c r="M4332" s="474"/>
      <c r="O4332" s="434">
        <f t="shared" ref="O4332:O4395" si="1951">IFERROR(IF(D4332="SINAPI",VLOOKUP(F4332,SINCOMOD,4,FALSE),IF(D4332="INSINAPI",VLOOKUP(F4332,INSINOD,5,FALSE),IF(D4332="SICRO",VLOOKUP(F4332,SICRO,5,FALSE),IF(D4332="COTACAO",VLOOKUP(F4332,COTACAO,6,FALSE),IF(D4332="PRÓPRIO",VLOOKUP(F4332,COMPOD,11,FALSE),IF(D4332="AGESUL",VLOOKUP(F4332,AGESULOD,6,FALSE),IF(D4332="INSAGESUL",VLOOKUP(F4332,INSAGESUL,7,FALSE),"SEM VALOR"))))))),"SEM VALOR")</f>
        <v>6.1799999999999997</v>
      </c>
      <c r="P4332" s="435">
        <f t="shared" ref="P4332:P4395" si="1952">IFERROR(IF(D4332="SINAPI",VLOOKUP(F4332,SINCOMOD,6,FALSE),IF(D4332="INSINAPI",VLOOKUP(F4332,INSINOD,6,FALSE),IF(D4332="SICRO",VLOOKUP(F4332,SICRO,5,FALSE),IF(D4332="COTACAO",VLOOKUP(F4332,COTACAO,6,FALSE),IF(D4332="PRÓPRIO",VLOOKUP(F4332,COMPOD,13,FALSE),IF(D4332="AGESUL",VLOOKUP(F4332,AGESULOD,11,FALSE),IF(D4332="INSAGESUL",VLOOKUP(F4332,INSAGESUL,8,FALSE),"SEM VALOR"))))))),"SEM VALOR")</f>
        <v>6.0700000000000003</v>
      </c>
      <c r="AE4332" s="217"/>
      <c r="AF4332" s="217"/>
    </row>
    <row r="4333" ht="120" hidden="1">
      <c r="A4333" s="217"/>
      <c r="B4333" s="217">
        <v>1499</v>
      </c>
      <c r="C4333" s="217"/>
      <c r="D4333" s="217" t="s">
        <v>17167</v>
      </c>
      <c r="E4333" s="471"/>
      <c r="F4333" s="482">
        <v>102281</v>
      </c>
      <c r="G4333" s="488" t="s">
        <v>3475</v>
      </c>
      <c r="H4333" s="499" t="s">
        <v>15528</v>
      </c>
      <c r="I4333" s="483">
        <v>9.0551999999999992</v>
      </c>
      <c r="J4333" s="473">
        <f t="shared" si="1948"/>
        <v>5.8300000000000001</v>
      </c>
      <c r="K4333" s="474">
        <f t="shared" si="1950"/>
        <v>52.791815999999997</v>
      </c>
      <c r="L4333" s="473"/>
      <c r="M4333" s="474"/>
      <c r="O4333" s="434">
        <f t="shared" si="1951"/>
        <v>5.8300000000000001</v>
      </c>
      <c r="P4333" s="435">
        <f t="shared" si="1952"/>
        <v>5.7199999999999998</v>
      </c>
      <c r="AE4333" s="217"/>
      <c r="AF4333" s="217"/>
    </row>
    <row r="4334" ht="60" hidden="1">
      <c r="A4334" s="217"/>
      <c r="B4334" s="217">
        <v>1499</v>
      </c>
      <c r="C4334" s="217"/>
      <c r="D4334" s="217" t="s">
        <v>17167</v>
      </c>
      <c r="E4334" s="471"/>
      <c r="F4334" s="482">
        <v>101617</v>
      </c>
      <c r="G4334" s="488" t="s">
        <v>22532</v>
      </c>
      <c r="H4334" s="499" t="s">
        <v>15515</v>
      </c>
      <c r="I4334" s="483">
        <v>16.140000000000001</v>
      </c>
      <c r="J4334" s="473">
        <f t="shared" si="1948"/>
        <v>3.5299999999999998</v>
      </c>
      <c r="K4334" s="474">
        <f t="shared" si="1950"/>
        <v>56.974199999999996</v>
      </c>
      <c r="L4334" s="473"/>
      <c r="M4334" s="474"/>
      <c r="O4334" s="434">
        <f t="shared" si="1951"/>
        <v>3.5299999999999998</v>
      </c>
      <c r="P4334" s="435">
        <f t="shared" si="1952"/>
        <v>3.3399999999999999</v>
      </c>
      <c r="AE4334" s="217"/>
      <c r="AF4334" s="217"/>
    </row>
    <row r="4335" ht="75" hidden="1">
      <c r="A4335" s="217"/>
      <c r="B4335" s="217">
        <v>1499</v>
      </c>
      <c r="C4335" s="217"/>
      <c r="D4335" s="217" t="s">
        <v>20398</v>
      </c>
      <c r="E4335" s="471"/>
      <c r="F4335" s="482">
        <v>1255</v>
      </c>
      <c r="G4335" s="488" t="s">
        <v>20964</v>
      </c>
      <c r="H4335" s="499" t="s">
        <v>15528</v>
      </c>
      <c r="I4335" s="483">
        <v>40.635100000000001</v>
      </c>
      <c r="J4335" s="473">
        <f t="shared" si="1948"/>
        <v>29.707014000000001</v>
      </c>
      <c r="K4335" s="474">
        <f t="shared" si="1950"/>
        <v>1207.1474845914001</v>
      </c>
      <c r="L4335" s="473"/>
      <c r="M4335" s="474"/>
      <c r="O4335" s="434">
        <f t="shared" si="1951"/>
        <v>29.707014000000001</v>
      </c>
      <c r="P4335" s="435">
        <f t="shared" si="1952"/>
        <v>28.497014</v>
      </c>
      <c r="AE4335" s="217"/>
      <c r="AF4335" s="217"/>
    </row>
    <row r="4336" ht="60" hidden="1">
      <c r="A4336" s="217"/>
      <c r="B4336" s="217">
        <v>1499</v>
      </c>
      <c r="C4336" s="217"/>
      <c r="D4336" s="217" t="s">
        <v>20398</v>
      </c>
      <c r="E4336" s="471"/>
      <c r="F4336" s="482">
        <v>1059</v>
      </c>
      <c r="G4336" s="488" t="s">
        <v>20965</v>
      </c>
      <c r="H4336" s="499" t="s">
        <v>15528</v>
      </c>
      <c r="I4336" s="483">
        <v>0.32000000000000001</v>
      </c>
      <c r="J4336" s="473">
        <f t="shared" si="1948"/>
        <v>453.00401999999997</v>
      </c>
      <c r="K4336" s="474">
        <f t="shared" si="1950"/>
        <v>144.96128640000001</v>
      </c>
      <c r="L4336" s="473"/>
      <c r="M4336" s="474"/>
      <c r="O4336" s="434">
        <f t="shared" si="1951"/>
        <v>453.00401999999997</v>
      </c>
      <c r="P4336" s="435">
        <f t="shared" si="1952"/>
        <v>445.74401999999998</v>
      </c>
      <c r="AE4336" s="217"/>
      <c r="AF4336" s="217"/>
    </row>
    <row r="4337" ht="45" hidden="1">
      <c r="A4337" s="217"/>
      <c r="B4337" s="217">
        <v>1499</v>
      </c>
      <c r="C4337" s="217"/>
      <c r="D4337" s="217" t="s">
        <v>20398</v>
      </c>
      <c r="E4337" s="471"/>
      <c r="F4337" s="482">
        <v>1000</v>
      </c>
      <c r="G4337" s="488" t="s">
        <v>20651</v>
      </c>
      <c r="H4337" s="499" t="s">
        <v>15528</v>
      </c>
      <c r="I4337" s="483">
        <v>0.32000000000000001</v>
      </c>
      <c r="J4337" s="473">
        <f t="shared" si="1948"/>
        <v>149.904</v>
      </c>
      <c r="K4337" s="474">
        <f t="shared" si="1950"/>
        <v>47.969279999999998</v>
      </c>
      <c r="L4337" s="473"/>
      <c r="M4337" s="474"/>
      <c r="O4337" s="434">
        <f t="shared" si="1951"/>
        <v>149.904</v>
      </c>
      <c r="P4337" s="435">
        <f t="shared" si="1952"/>
        <v>141.76949999999999</v>
      </c>
      <c r="AE4337" s="217"/>
      <c r="AF4337" s="217"/>
    </row>
    <row r="4338" ht="60" hidden="1">
      <c r="A4338" s="217"/>
      <c r="B4338" s="217">
        <v>1499</v>
      </c>
      <c r="C4338" s="217"/>
      <c r="D4338" s="217" t="s">
        <v>17167</v>
      </c>
      <c r="E4338" s="471"/>
      <c r="F4338" s="482">
        <v>96530</v>
      </c>
      <c r="G4338" s="488" t="s">
        <v>4239</v>
      </c>
      <c r="H4338" s="499" t="s">
        <v>15515</v>
      </c>
      <c r="I4338" s="483">
        <v>34.420000000000002</v>
      </c>
      <c r="J4338" s="473">
        <f t="shared" si="1948"/>
        <v>129.25999999999999</v>
      </c>
      <c r="K4338" s="474">
        <f t="shared" si="1950"/>
        <v>4449.1292000000003</v>
      </c>
      <c r="L4338" s="473"/>
      <c r="M4338" s="474"/>
      <c r="O4338" s="434">
        <f t="shared" si="1951"/>
        <v>129.25999999999999</v>
      </c>
      <c r="P4338" s="435">
        <f t="shared" si="1952"/>
        <v>125.91</v>
      </c>
      <c r="AE4338" s="217"/>
      <c r="AF4338" s="217"/>
    </row>
    <row r="4339" ht="75" hidden="1">
      <c r="A4339" s="217"/>
      <c r="B4339" s="217">
        <v>1499</v>
      </c>
      <c r="C4339" s="217"/>
      <c r="D4339" s="217" t="s">
        <v>20398</v>
      </c>
      <c r="E4339" s="471"/>
      <c r="F4339" s="482">
        <v>1064</v>
      </c>
      <c r="G4339" s="488" t="s">
        <v>20967</v>
      </c>
      <c r="H4339" s="499" t="s">
        <v>15515</v>
      </c>
      <c r="I4339" s="483">
        <v>15.583197</v>
      </c>
      <c r="J4339" s="473">
        <f t="shared" si="1948"/>
        <v>202.79016000000001</v>
      </c>
      <c r="K4339" s="474">
        <f t="shared" si="1950"/>
        <v>3160.1190129415204</v>
      </c>
      <c r="L4339" s="473"/>
      <c r="M4339" s="474"/>
      <c r="O4339" s="434">
        <f t="shared" si="1951"/>
        <v>202.79016000000001</v>
      </c>
      <c r="P4339" s="435">
        <f t="shared" si="1952"/>
        <v>197.94299999999998</v>
      </c>
      <c r="AE4339" s="217"/>
      <c r="AF4339" s="217"/>
    </row>
    <row r="4340" ht="75" hidden="1">
      <c r="A4340" s="217"/>
      <c r="B4340" s="217">
        <v>1499</v>
      </c>
      <c r="C4340" s="217"/>
      <c r="D4340" s="217" t="s">
        <v>17167</v>
      </c>
      <c r="E4340" s="471"/>
      <c r="F4340" s="482">
        <v>87878</v>
      </c>
      <c r="G4340" s="488" t="s">
        <v>22533</v>
      </c>
      <c r="H4340" s="499" t="s">
        <v>15515</v>
      </c>
      <c r="I4340" s="483">
        <v>31.166394</v>
      </c>
      <c r="J4340" s="473">
        <f t="shared" si="1948"/>
        <v>5.0099999999999998</v>
      </c>
      <c r="K4340" s="474">
        <f t="shared" si="1950"/>
        <v>156.14363394</v>
      </c>
      <c r="L4340" s="473"/>
      <c r="M4340" s="474"/>
      <c r="O4340" s="434">
        <f t="shared" si="1951"/>
        <v>5.0099999999999998</v>
      </c>
      <c r="P4340" s="435">
        <f t="shared" si="1952"/>
        <v>4.7999999999999998</v>
      </c>
      <c r="AE4340" s="217"/>
      <c r="AF4340" s="217"/>
    </row>
    <row r="4341" ht="60" hidden="1">
      <c r="A4341" s="217"/>
      <c r="B4341" s="217">
        <v>1499</v>
      </c>
      <c r="C4341" s="217"/>
      <c r="D4341" s="217" t="s">
        <v>20398</v>
      </c>
      <c r="E4341" s="471"/>
      <c r="F4341" s="482">
        <v>1421</v>
      </c>
      <c r="G4341" s="488" t="s">
        <v>20968</v>
      </c>
      <c r="H4341" s="499" t="s">
        <v>15515</v>
      </c>
      <c r="I4341" s="483">
        <v>15.583197</v>
      </c>
      <c r="J4341" s="473">
        <f t="shared" si="1948"/>
        <v>46.577570000000001</v>
      </c>
      <c r="K4341" s="474">
        <f t="shared" si="1950"/>
        <v>725.82744909129008</v>
      </c>
      <c r="L4341" s="473"/>
      <c r="M4341" s="474"/>
      <c r="O4341" s="434">
        <f t="shared" si="1951"/>
        <v>46.577570000000001</v>
      </c>
      <c r="P4341" s="435">
        <f t="shared" si="1952"/>
        <v>44.735900000000001</v>
      </c>
      <c r="AE4341" s="217"/>
      <c r="AF4341" s="217"/>
    </row>
    <row r="4342" ht="75" hidden="1">
      <c r="A4342" s="217"/>
      <c r="B4342" s="217">
        <v>1499</v>
      </c>
      <c r="C4342" s="217"/>
      <c r="D4342" s="217" t="s">
        <v>17167</v>
      </c>
      <c r="E4342" s="471"/>
      <c r="F4342" s="482">
        <v>94963</v>
      </c>
      <c r="G4342" s="488" t="s">
        <v>8707</v>
      </c>
      <c r="H4342" s="499" t="s">
        <v>15528</v>
      </c>
      <c r="I4342" s="483">
        <v>2.0699999999999998</v>
      </c>
      <c r="J4342" s="473">
        <f t="shared" si="1948"/>
        <v>441.43000000000001</v>
      </c>
      <c r="K4342" s="474">
        <f t="shared" si="1950"/>
        <v>913.76009999999997</v>
      </c>
      <c r="L4342" s="473"/>
      <c r="M4342" s="474"/>
      <c r="O4342" s="434">
        <f t="shared" si="1951"/>
        <v>441.43000000000001</v>
      </c>
      <c r="P4342" s="435">
        <f t="shared" si="1952"/>
        <v>436.14999999999998</v>
      </c>
      <c r="AE4342" s="217"/>
      <c r="AF4342" s="217"/>
    </row>
    <row r="4343" ht="45" hidden="1">
      <c r="A4343" s="217"/>
      <c r="B4343" s="217">
        <v>1499</v>
      </c>
      <c r="C4343" s="217"/>
      <c r="D4343" s="217" t="s">
        <v>20398</v>
      </c>
      <c r="E4343" s="471"/>
      <c r="F4343" s="482">
        <v>1000</v>
      </c>
      <c r="G4343" s="488" t="s">
        <v>20651</v>
      </c>
      <c r="H4343" s="499" t="s">
        <v>15528</v>
      </c>
      <c r="I4343" s="483">
        <v>2.0699999999999998</v>
      </c>
      <c r="J4343" s="473">
        <f t="shared" si="1948"/>
        <v>149.904</v>
      </c>
      <c r="K4343" s="474">
        <f t="shared" si="1950"/>
        <v>310.30127999999996</v>
      </c>
      <c r="L4343" s="473"/>
      <c r="M4343" s="474"/>
      <c r="O4343" s="434">
        <f t="shared" si="1951"/>
        <v>149.904</v>
      </c>
      <c r="P4343" s="435">
        <f t="shared" si="1952"/>
        <v>141.76949999999999</v>
      </c>
      <c r="AE4343" s="217"/>
      <c r="AF4343" s="217"/>
    </row>
    <row r="4344" ht="60" hidden="1">
      <c r="A4344" s="217"/>
      <c r="B4344" s="217">
        <v>1499</v>
      </c>
      <c r="C4344" s="217"/>
      <c r="D4344" s="217" t="s">
        <v>17167</v>
      </c>
      <c r="E4344" s="471"/>
      <c r="F4344" s="482">
        <v>94964</v>
      </c>
      <c r="G4344" s="488" t="s">
        <v>8711</v>
      </c>
      <c r="H4344" s="499" t="s">
        <v>15528</v>
      </c>
      <c r="I4344" s="483">
        <v>4.6500000000000004</v>
      </c>
      <c r="J4344" s="473">
        <f t="shared" si="1948"/>
        <v>488.52999999999997</v>
      </c>
      <c r="K4344" s="474">
        <f t="shared" si="1950"/>
        <v>2271.6644999999999</v>
      </c>
      <c r="L4344" s="473"/>
      <c r="M4344" s="474"/>
      <c r="O4344" s="434">
        <f t="shared" si="1951"/>
        <v>488.52999999999997</v>
      </c>
      <c r="P4344" s="435">
        <f t="shared" si="1952"/>
        <v>482.79000000000002</v>
      </c>
      <c r="AE4344" s="217"/>
      <c r="AF4344" s="217"/>
    </row>
    <row r="4345" ht="45" hidden="1">
      <c r="A4345" s="217"/>
      <c r="B4345" s="217">
        <v>1499</v>
      </c>
      <c r="C4345" s="217"/>
      <c r="D4345" s="217" t="s">
        <v>20398</v>
      </c>
      <c r="E4345" s="471"/>
      <c r="F4345" s="482">
        <v>1000</v>
      </c>
      <c r="G4345" s="488" t="s">
        <v>20651</v>
      </c>
      <c r="H4345" s="499" t="s">
        <v>15528</v>
      </c>
      <c r="I4345" s="483">
        <v>4.6500000000000004</v>
      </c>
      <c r="J4345" s="473">
        <f t="shared" si="1948"/>
        <v>149.904</v>
      </c>
      <c r="K4345" s="474">
        <f t="shared" si="1950"/>
        <v>697.05360000000007</v>
      </c>
      <c r="L4345" s="473"/>
      <c r="M4345" s="474"/>
      <c r="O4345" s="434">
        <f t="shared" si="1951"/>
        <v>149.904</v>
      </c>
      <c r="P4345" s="435">
        <f t="shared" si="1952"/>
        <v>141.76949999999999</v>
      </c>
      <c r="AE4345" s="217"/>
      <c r="AF4345" s="217"/>
    </row>
    <row r="4346" ht="75" hidden="1">
      <c r="A4346" s="217"/>
      <c r="B4346" s="217">
        <v>1499</v>
      </c>
      <c r="C4346" s="217"/>
      <c r="D4346" s="217" t="s">
        <v>17167</v>
      </c>
      <c r="E4346" s="471"/>
      <c r="F4346" s="482">
        <v>92916</v>
      </c>
      <c r="G4346" s="488" t="s">
        <v>20969</v>
      </c>
      <c r="H4346" s="499" t="s">
        <v>302</v>
      </c>
      <c r="I4346" s="483">
        <v>128.97</v>
      </c>
      <c r="J4346" s="473">
        <f t="shared" si="1948"/>
        <v>15</v>
      </c>
      <c r="K4346" s="474">
        <f t="shared" si="1950"/>
        <v>1934.55</v>
      </c>
      <c r="L4346" s="473"/>
      <c r="M4346" s="474"/>
      <c r="O4346" s="434">
        <f t="shared" si="1951"/>
        <v>15</v>
      </c>
      <c r="P4346" s="435">
        <f t="shared" si="1952"/>
        <v>14.69</v>
      </c>
      <c r="AE4346" s="217"/>
      <c r="AF4346" s="217"/>
    </row>
    <row r="4347" ht="75" hidden="1">
      <c r="A4347" s="217"/>
      <c r="B4347" s="217">
        <v>1499</v>
      </c>
      <c r="C4347" s="217"/>
      <c r="D4347" s="217" t="s">
        <v>17167</v>
      </c>
      <c r="E4347" s="471"/>
      <c r="F4347" s="482">
        <v>92915</v>
      </c>
      <c r="G4347" s="488" t="s">
        <v>20970</v>
      </c>
      <c r="H4347" s="499" t="s">
        <v>302</v>
      </c>
      <c r="I4347" s="483">
        <v>22.57</v>
      </c>
      <c r="J4347" s="473">
        <f t="shared" si="1948"/>
        <v>16.649999999999999</v>
      </c>
      <c r="K4347" s="474">
        <f t="shared" si="1950"/>
        <v>375.79049999999995</v>
      </c>
      <c r="L4347" s="473"/>
      <c r="M4347" s="474"/>
      <c r="O4347" s="434">
        <f t="shared" si="1951"/>
        <v>16.649999999999999</v>
      </c>
      <c r="P4347" s="435">
        <f t="shared" si="1952"/>
        <v>16.199999999999999</v>
      </c>
      <c r="AE4347" s="217"/>
      <c r="AF4347" s="217"/>
    </row>
    <row r="4348" ht="75" hidden="1">
      <c r="A4348" s="217"/>
      <c r="B4348" s="217">
        <v>1499</v>
      </c>
      <c r="C4348" s="217"/>
      <c r="D4348" s="217" t="s">
        <v>17167</v>
      </c>
      <c r="E4348" s="471"/>
      <c r="F4348" s="482">
        <v>91593</v>
      </c>
      <c r="G4348" s="488" t="s">
        <v>7900</v>
      </c>
      <c r="H4348" s="499" t="s">
        <v>302</v>
      </c>
      <c r="I4348" s="483">
        <v>42.240000000000002</v>
      </c>
      <c r="J4348" s="473">
        <f t="shared" si="1948"/>
        <v>10.199999999999999</v>
      </c>
      <c r="K4348" s="474">
        <f t="shared" si="1950"/>
        <v>430.84800000000001</v>
      </c>
      <c r="L4348" s="473"/>
      <c r="M4348" s="474"/>
      <c r="O4348" s="434">
        <f t="shared" si="1951"/>
        <v>10.199999999999999</v>
      </c>
      <c r="P4348" s="435">
        <f t="shared" si="1952"/>
        <v>10.16</v>
      </c>
      <c r="AE4348" s="217"/>
      <c r="AF4348" s="217"/>
    </row>
    <row r="4349" ht="75" hidden="1">
      <c r="A4349" s="217"/>
      <c r="B4349" s="217">
        <v>1499</v>
      </c>
      <c r="C4349" s="217"/>
      <c r="D4349" s="217" t="s">
        <v>20398</v>
      </c>
      <c r="E4349" s="471"/>
      <c r="F4349" s="482">
        <v>1058</v>
      </c>
      <c r="G4349" s="488" t="s">
        <v>20972</v>
      </c>
      <c r="H4349" s="499" t="s">
        <v>15515</v>
      </c>
      <c r="I4349" s="483">
        <v>6.0999999999999996</v>
      </c>
      <c r="J4349" s="473">
        <f t="shared" si="1948"/>
        <v>30.214100000000002</v>
      </c>
      <c r="K4349" s="474">
        <f t="shared" si="1950"/>
        <v>184.30601000000001</v>
      </c>
      <c r="L4349" s="473"/>
      <c r="M4349" s="474"/>
      <c r="O4349" s="434">
        <f t="shared" si="1951"/>
        <v>30.214100000000002</v>
      </c>
      <c r="P4349" s="435">
        <f t="shared" si="1952"/>
        <v>29.332799999999999</v>
      </c>
      <c r="AE4349" s="217"/>
      <c r="AF4349" s="217"/>
    </row>
    <row r="4350" ht="48" hidden="1" customHeight="1">
      <c r="A4350" s="217"/>
      <c r="B4350" s="217">
        <v>1499</v>
      </c>
      <c r="C4350" s="217"/>
      <c r="D4350" s="217" t="s">
        <v>20398</v>
      </c>
      <c r="E4350" s="471"/>
      <c r="F4350" s="482">
        <v>1061</v>
      </c>
      <c r="G4350" s="488" t="s">
        <v>20973</v>
      </c>
      <c r="H4350" s="499" t="s">
        <v>20647</v>
      </c>
      <c r="I4350" s="483">
        <v>1</v>
      </c>
      <c r="J4350" s="473">
        <f t="shared" si="1948"/>
        <v>6430.6653750000005</v>
      </c>
      <c r="K4350" s="474">
        <f t="shared" si="1950"/>
        <v>6430.6653750000005</v>
      </c>
      <c r="L4350" s="473"/>
      <c r="M4350" s="474"/>
      <c r="O4350" s="434">
        <f t="shared" si="1951"/>
        <v>6430.6653750000005</v>
      </c>
      <c r="P4350" s="435">
        <f t="shared" si="1952"/>
        <v>6359.3042250000008</v>
      </c>
      <c r="AE4350" s="217"/>
      <c r="AF4350" s="217"/>
    </row>
    <row r="4351" ht="137.25" hidden="1" customHeight="1">
      <c r="A4351" s="217"/>
      <c r="B4351" s="672">
        <v>1501</v>
      </c>
      <c r="C4351" s="672"/>
      <c r="D4351" s="672"/>
      <c r="E4351" s="461">
        <v>1</v>
      </c>
      <c r="F4351" s="579" t="s">
        <v>22534</v>
      </c>
      <c r="G4351" s="463" t="s">
        <v>22535</v>
      </c>
      <c r="H4351" s="478" t="s">
        <v>31</v>
      </c>
      <c r="I4351" s="479"/>
      <c r="J4351" s="480"/>
      <c r="K4351" s="466">
        <f>SUM(K4352:K4357)</f>
        <v>327.7099485</v>
      </c>
      <c r="L4351" s="473"/>
      <c r="M4351" s="474"/>
      <c r="O4351" s="434" t="str">
        <f t="shared" si="1951"/>
        <v xml:space="preserve">SEM VALOR</v>
      </c>
      <c r="P4351" s="435" t="str">
        <f t="shared" si="1952"/>
        <v xml:space="preserve">SEM VALOR</v>
      </c>
      <c r="AE4351" s="217"/>
      <c r="AF4351" s="217"/>
    </row>
    <row r="4352" ht="48" hidden="1" customHeight="1">
      <c r="A4352" s="217"/>
      <c r="B4352" s="217">
        <v>1501</v>
      </c>
      <c r="C4352" s="217"/>
      <c r="D4352" s="217" t="s">
        <v>17167</v>
      </c>
      <c r="E4352" s="471" t="s">
        <v>20399</v>
      </c>
      <c r="F4352" s="482">
        <v>93358</v>
      </c>
      <c r="G4352" s="488" t="s">
        <v>20927</v>
      </c>
      <c r="H4352" s="499" t="s">
        <v>15528</v>
      </c>
      <c r="I4352" s="483">
        <f>(0.15+0.2)*0.25*5.5</f>
        <v>0.48125000000000001</v>
      </c>
      <c r="J4352" s="473">
        <f t="shared" si="1948"/>
        <v>90.030000000000001</v>
      </c>
      <c r="K4352" s="474">
        <f t="shared" ref="K4352:K4357" si="1953">I4352*J4352</f>
        <v>43.3269375</v>
      </c>
      <c r="L4352" s="473"/>
      <c r="M4352" s="474"/>
      <c r="N4352" s="673" t="s">
        <v>22324</v>
      </c>
      <c r="O4352" s="434">
        <f t="shared" si="1951"/>
        <v>90.030000000000001</v>
      </c>
      <c r="P4352" s="435">
        <f t="shared" si="1952"/>
        <v>85.239999999999995</v>
      </c>
      <c r="AE4352" s="217"/>
      <c r="AF4352" s="217"/>
    </row>
    <row r="4353" ht="30" hidden="1">
      <c r="A4353" s="217"/>
      <c r="B4353" s="217">
        <v>1501</v>
      </c>
      <c r="C4353" s="217"/>
      <c r="D4353" s="217" t="s">
        <v>20398</v>
      </c>
      <c r="E4353" s="471" t="s">
        <v>20402</v>
      </c>
      <c r="F4353" s="482">
        <v>1376</v>
      </c>
      <c r="G4353" s="488" t="s">
        <v>20928</v>
      </c>
      <c r="H4353" s="499" t="s">
        <v>15528</v>
      </c>
      <c r="I4353" s="483">
        <f>I4352-0.25*0.15*5.5</f>
        <v>0.27500000000000002</v>
      </c>
      <c r="J4353" s="473">
        <f t="shared" si="1948"/>
        <v>54.592136000000004</v>
      </c>
      <c r="K4353" s="474">
        <f t="shared" si="1953"/>
        <v>15.012837400000002</v>
      </c>
      <c r="L4353" s="473"/>
      <c r="M4353" s="474"/>
      <c r="N4353" s="673" t="s">
        <v>22324</v>
      </c>
      <c r="O4353" s="434">
        <f t="shared" si="1951"/>
        <v>54.592136000000004</v>
      </c>
      <c r="P4353" s="435">
        <f t="shared" si="1952"/>
        <v>51.689830000000001</v>
      </c>
      <c r="AE4353" s="217"/>
      <c r="AF4353" s="217"/>
    </row>
    <row r="4354" ht="45" hidden="1">
      <c r="A4354" s="217"/>
      <c r="B4354" s="217">
        <v>1501</v>
      </c>
      <c r="C4354" s="217"/>
      <c r="D4354" s="217" t="s">
        <v>17167</v>
      </c>
      <c r="E4354" s="471" t="s">
        <v>20405</v>
      </c>
      <c r="F4354" s="482">
        <v>101616</v>
      </c>
      <c r="G4354" s="488" t="s">
        <v>20929</v>
      </c>
      <c r="H4354" s="499" t="s">
        <v>15515</v>
      </c>
      <c r="I4354" s="483">
        <f>5.5*0.15</f>
        <v>0.82499999999999996</v>
      </c>
      <c r="J4354" s="473">
        <f t="shared" si="1948"/>
        <v>7.7800000000000002</v>
      </c>
      <c r="K4354" s="474">
        <f t="shared" si="1953"/>
        <v>6.4184999999999999</v>
      </c>
      <c r="L4354" s="473"/>
      <c r="M4354" s="474"/>
      <c r="N4354" s="673" t="s">
        <v>22325</v>
      </c>
      <c r="O4354" s="434">
        <f t="shared" si="1951"/>
        <v>7.7800000000000002</v>
      </c>
      <c r="P4354" s="435">
        <f t="shared" si="1952"/>
        <v>7.3499999999999996</v>
      </c>
      <c r="AE4354" s="217"/>
      <c r="AF4354" s="217"/>
    </row>
    <row r="4355" ht="75" hidden="1">
      <c r="A4355" s="217"/>
      <c r="B4355" s="217">
        <v>1501</v>
      </c>
      <c r="C4355" s="217"/>
      <c r="D4355" s="217" t="s">
        <v>20398</v>
      </c>
      <c r="E4355" s="471" t="s">
        <v>20409</v>
      </c>
      <c r="F4355" s="482">
        <v>1065</v>
      </c>
      <c r="G4355" s="488" t="s">
        <v>20800</v>
      </c>
      <c r="H4355" s="499" t="s">
        <v>15515</v>
      </c>
      <c r="I4355" s="483">
        <f>5.5*0.25</f>
        <v>1.375</v>
      </c>
      <c r="J4355" s="473">
        <f t="shared" si="1948"/>
        <v>104.37038079999999</v>
      </c>
      <c r="K4355" s="474">
        <f t="shared" si="1953"/>
        <v>143.5092736</v>
      </c>
      <c r="L4355" s="473"/>
      <c r="M4355" s="474"/>
      <c r="N4355" s="673" t="s">
        <v>22326</v>
      </c>
      <c r="O4355" s="434">
        <f t="shared" si="1951"/>
        <v>104.37038079999999</v>
      </c>
      <c r="P4355" s="435">
        <f t="shared" si="1952"/>
        <v>101.735</v>
      </c>
      <c r="AE4355" s="217"/>
      <c r="AF4355" s="217"/>
    </row>
    <row r="4356" ht="90" hidden="1">
      <c r="A4356" s="217"/>
      <c r="B4356" s="217">
        <v>1501</v>
      </c>
      <c r="C4356" s="217"/>
      <c r="D4356" s="217" t="s">
        <v>17167</v>
      </c>
      <c r="E4356" s="471"/>
      <c r="F4356" s="482">
        <v>87894</v>
      </c>
      <c r="G4356" s="488" t="s">
        <v>20930</v>
      </c>
      <c r="H4356" s="499" t="s">
        <v>15515</v>
      </c>
      <c r="I4356" s="483">
        <f>5.5*0.25+5.5*0.15+1.5*0.15+1.8*0.15/2*2</f>
        <v>2.6949999999999998</v>
      </c>
      <c r="J4356" s="473">
        <f t="shared" si="1948"/>
        <v>7.0499999999999998</v>
      </c>
      <c r="K4356" s="474">
        <f t="shared" si="1953"/>
        <v>18.999749999999999</v>
      </c>
      <c r="L4356" s="473"/>
      <c r="M4356" s="474"/>
      <c r="N4356" s="673" t="s">
        <v>22327</v>
      </c>
      <c r="O4356" s="434">
        <f t="shared" si="1951"/>
        <v>7.0499999999999998</v>
      </c>
      <c r="P4356" s="435">
        <f t="shared" si="1952"/>
        <v>6.7400000000000002</v>
      </c>
      <c r="AE4356" s="217"/>
      <c r="AF4356" s="217"/>
    </row>
    <row r="4357" ht="105" hidden="1">
      <c r="A4357" s="217"/>
      <c r="B4357" s="217">
        <v>1501</v>
      </c>
      <c r="C4357" s="217"/>
      <c r="D4357" s="217" t="s">
        <v>17167</v>
      </c>
      <c r="E4357" s="471"/>
      <c r="F4357" s="482">
        <v>87529</v>
      </c>
      <c r="G4357" s="488" t="s">
        <v>20931</v>
      </c>
      <c r="H4357" s="499" t="s">
        <v>15515</v>
      </c>
      <c r="I4357" s="483">
        <f>I4356</f>
        <v>2.6949999999999998</v>
      </c>
      <c r="J4357" s="473">
        <f t="shared" si="1948"/>
        <v>37.270000000000003</v>
      </c>
      <c r="K4357" s="474">
        <f t="shared" si="1953"/>
        <v>100.44265</v>
      </c>
      <c r="L4357" s="473"/>
      <c r="M4357" s="474"/>
      <c r="N4357" s="673" t="s">
        <v>22327</v>
      </c>
      <c r="O4357" s="434">
        <f t="shared" si="1951"/>
        <v>37.270000000000003</v>
      </c>
      <c r="P4357" s="435">
        <f t="shared" si="1952"/>
        <v>35.990000000000002</v>
      </c>
      <c r="AE4357" s="217"/>
      <c r="AF4357" s="217"/>
    </row>
    <row r="4358" ht="78.75" hidden="1">
      <c r="A4358" s="217"/>
      <c r="B4358" s="460">
        <v>1502</v>
      </c>
      <c r="C4358" s="460"/>
      <c r="D4358" s="460"/>
      <c r="E4358" s="461">
        <v>1</v>
      </c>
      <c r="F4358" s="462" t="s">
        <v>22536</v>
      </c>
      <c r="G4358" s="477" t="s">
        <v>22409</v>
      </c>
      <c r="H4358" s="478" t="s">
        <v>38</v>
      </c>
      <c r="I4358" s="479"/>
      <c r="J4358" s="480"/>
      <c r="K4358" s="466">
        <f>SUM(K4359:K4363)</f>
        <v>41.127456000000002</v>
      </c>
      <c r="L4358" s="473"/>
      <c r="M4358" s="474"/>
      <c r="O4358" s="434" t="str">
        <f t="shared" si="1951"/>
        <v xml:space="preserve">SEM VALOR</v>
      </c>
      <c r="P4358" s="435" t="str">
        <f t="shared" si="1952"/>
        <v xml:space="preserve">SEM VALOR</v>
      </c>
      <c r="AE4358" s="217"/>
      <c r="AF4358" s="217"/>
    </row>
    <row r="4359" ht="45" hidden="1">
      <c r="A4359" s="217"/>
      <c r="B4359" s="217">
        <v>1502</v>
      </c>
      <c r="C4359" s="217"/>
      <c r="D4359" s="217" t="s">
        <v>20398</v>
      </c>
      <c r="E4359" s="471" t="s">
        <v>20399</v>
      </c>
      <c r="F4359" s="482">
        <v>1259</v>
      </c>
      <c r="G4359" s="572" t="s">
        <v>20796</v>
      </c>
      <c r="H4359" s="499" t="s">
        <v>15528</v>
      </c>
      <c r="I4359" s="483">
        <f>0.32*0.11</f>
        <v>3.5200000000000002e-002</v>
      </c>
      <c r="J4359" s="473">
        <f t="shared" si="1948"/>
        <v>45.520000000000003</v>
      </c>
      <c r="K4359" s="474">
        <f t="shared" ref="K4359:K4363" si="1954">I4359*J4359</f>
        <v>1.6023040000000002</v>
      </c>
      <c r="L4359" s="473"/>
      <c r="M4359" s="474"/>
      <c r="O4359" s="434">
        <f t="shared" si="1951"/>
        <v>45.520000000000003</v>
      </c>
      <c r="P4359" s="435">
        <f t="shared" si="1952"/>
        <v>43.100000000000001</v>
      </c>
      <c r="AE4359" s="217"/>
      <c r="AF4359" s="217"/>
    </row>
    <row r="4360" ht="75" hidden="1">
      <c r="A4360" s="217"/>
      <c r="B4360" s="217">
        <v>1502</v>
      </c>
      <c r="C4360" s="217"/>
      <c r="D4360" s="217" t="s">
        <v>20398</v>
      </c>
      <c r="E4360" s="471" t="s">
        <v>20402</v>
      </c>
      <c r="F4360" s="482">
        <v>1267</v>
      </c>
      <c r="G4360" s="572" t="s">
        <v>20662</v>
      </c>
      <c r="H4360" s="499" t="s">
        <v>38</v>
      </c>
      <c r="I4360" s="483">
        <v>1</v>
      </c>
      <c r="J4360" s="473">
        <f t="shared" si="1948"/>
        <v>3.2499999999999996</v>
      </c>
      <c r="K4360" s="474">
        <f t="shared" si="1954"/>
        <v>3.2499999999999996</v>
      </c>
      <c r="L4360" s="473"/>
      <c r="M4360" s="474"/>
      <c r="O4360" s="434">
        <f t="shared" si="1951"/>
        <v>3.2499999999999996</v>
      </c>
      <c r="P4360" s="435">
        <f t="shared" si="1952"/>
        <v>3.1657000000000002</v>
      </c>
      <c r="AE4360" s="217"/>
      <c r="AF4360" s="217"/>
    </row>
    <row r="4361" ht="45" hidden="1">
      <c r="A4361" s="217"/>
      <c r="B4361" s="217">
        <v>1502</v>
      </c>
      <c r="C4361" s="217"/>
      <c r="D4361" s="217" t="s">
        <v>17167</v>
      </c>
      <c r="E4361" s="471" t="s">
        <v>20405</v>
      </c>
      <c r="F4361" s="482">
        <v>102498</v>
      </c>
      <c r="G4361" s="470" t="s">
        <v>8369</v>
      </c>
      <c r="H4361" s="499" t="s">
        <v>15515</v>
      </c>
      <c r="I4361" s="483">
        <v>0.25</v>
      </c>
      <c r="J4361" s="473">
        <f t="shared" si="1948"/>
        <v>1.7</v>
      </c>
      <c r="K4361" s="474">
        <f t="shared" si="1954"/>
        <v>0.42499999999999999</v>
      </c>
      <c r="L4361" s="473"/>
      <c r="M4361" s="474"/>
      <c r="O4361" s="434">
        <f t="shared" si="1951"/>
        <v>1.7</v>
      </c>
      <c r="P4361" s="435">
        <f t="shared" si="1952"/>
        <v>1.6200000000000001</v>
      </c>
      <c r="AE4361" s="217"/>
      <c r="AF4361" s="217"/>
    </row>
    <row r="4362" ht="45" hidden="1">
      <c r="A4362" s="217"/>
      <c r="B4362" s="217">
        <v>1502</v>
      </c>
      <c r="C4362" s="217"/>
      <c r="D4362" s="217" t="s">
        <v>20398</v>
      </c>
      <c r="E4362" s="471" t="s">
        <v>20409</v>
      </c>
      <c r="F4362" s="482">
        <v>1000</v>
      </c>
      <c r="G4362" s="470" t="s">
        <v>20651</v>
      </c>
      <c r="H4362" s="499" t="s">
        <v>15528</v>
      </c>
      <c r="I4362" s="483">
        <v>5.0500000000000003e-002</v>
      </c>
      <c r="J4362" s="473">
        <f t="shared" si="1948"/>
        <v>149.904</v>
      </c>
      <c r="K4362" s="474">
        <f t="shared" si="1954"/>
        <v>7.5701520000000002</v>
      </c>
      <c r="L4362" s="473"/>
      <c r="M4362" s="474"/>
      <c r="O4362" s="434">
        <f t="shared" si="1951"/>
        <v>149.904</v>
      </c>
      <c r="P4362" s="435">
        <f t="shared" si="1952"/>
        <v>141.76949999999999</v>
      </c>
      <c r="AE4362" s="217"/>
      <c r="AF4362" s="217"/>
    </row>
    <row r="4363" ht="75" hidden="1">
      <c r="A4363" s="217"/>
      <c r="B4363" s="217">
        <v>1502</v>
      </c>
      <c r="C4363" s="217"/>
      <c r="D4363" s="217" t="s">
        <v>20408</v>
      </c>
      <c r="E4363" s="471" t="s">
        <v>20663</v>
      </c>
      <c r="F4363" s="482">
        <v>34492</v>
      </c>
      <c r="G4363" s="470" t="s">
        <v>11636</v>
      </c>
      <c r="H4363" s="482" t="s">
        <v>15528</v>
      </c>
      <c r="I4363" s="483">
        <v>5.0500000000000003e-002</v>
      </c>
      <c r="J4363" s="473">
        <f t="shared" si="1948"/>
        <v>560</v>
      </c>
      <c r="K4363" s="474">
        <f t="shared" si="1954"/>
        <v>28.280000000000001</v>
      </c>
      <c r="L4363" s="473"/>
      <c r="M4363" s="474"/>
      <c r="O4363" s="434">
        <f t="shared" si="1951"/>
        <v>560</v>
      </c>
      <c r="P4363" s="435">
        <f t="shared" si="1952"/>
        <v>560</v>
      </c>
      <c r="AE4363" s="217"/>
      <c r="AF4363" s="217"/>
    </row>
    <row r="4364" ht="78.75" hidden="1">
      <c r="A4364" s="217"/>
      <c r="B4364" s="460">
        <v>1503</v>
      </c>
      <c r="C4364" s="460"/>
      <c r="D4364" s="460"/>
      <c r="E4364" s="461">
        <v>1</v>
      </c>
      <c r="F4364" s="462" t="s">
        <v>22537</v>
      </c>
      <c r="G4364" s="477" t="s">
        <v>22538</v>
      </c>
      <c r="H4364" s="478" t="s">
        <v>38</v>
      </c>
      <c r="I4364" s="479"/>
      <c r="J4364" s="480"/>
      <c r="K4364" s="466">
        <f>SUM(K4365:K4369)</f>
        <v>41.841147199999995</v>
      </c>
      <c r="L4364" s="473"/>
      <c r="M4364" s="474"/>
      <c r="O4364" s="434" t="str">
        <f t="shared" si="1951"/>
        <v xml:space="preserve">SEM VALOR</v>
      </c>
      <c r="P4364" s="435" t="str">
        <f t="shared" si="1952"/>
        <v xml:space="preserve">SEM VALOR</v>
      </c>
      <c r="AE4364" s="217"/>
      <c r="AF4364" s="217"/>
    </row>
    <row r="4365" ht="45" hidden="1">
      <c r="A4365" s="217"/>
      <c r="B4365" s="217">
        <v>1503</v>
      </c>
      <c r="C4365" s="217"/>
      <c r="D4365" s="217" t="s">
        <v>20398</v>
      </c>
      <c r="E4365" s="471" t="s">
        <v>20399</v>
      </c>
      <c r="F4365" s="482">
        <v>1259</v>
      </c>
      <c r="G4365" s="572" t="s">
        <v>20796</v>
      </c>
      <c r="H4365" s="499" t="s">
        <v>15528</v>
      </c>
      <c r="I4365" s="483">
        <f>0.42*0.11</f>
        <v>4.6199999999999998e-002</v>
      </c>
      <c r="J4365" s="473">
        <f t="shared" si="1948"/>
        <v>45.520000000000003</v>
      </c>
      <c r="K4365" s="474">
        <f t="shared" ref="K4365:K4369" si="1955">I4365*J4365</f>
        <v>2.103024</v>
      </c>
      <c r="L4365" s="473"/>
      <c r="M4365" s="474"/>
      <c r="O4365" s="434">
        <f t="shared" si="1951"/>
        <v>45.520000000000003</v>
      </c>
      <c r="P4365" s="435">
        <f t="shared" si="1952"/>
        <v>43.100000000000001</v>
      </c>
      <c r="AE4365" s="217"/>
      <c r="AF4365" s="217"/>
    </row>
    <row r="4366" ht="75" hidden="1">
      <c r="A4366" s="217"/>
      <c r="B4366" s="217">
        <v>1503</v>
      </c>
      <c r="C4366" s="217"/>
      <c r="D4366" s="217" t="s">
        <v>20398</v>
      </c>
      <c r="E4366" s="471" t="s">
        <v>20402</v>
      </c>
      <c r="F4366" s="482">
        <v>1267</v>
      </c>
      <c r="G4366" s="572" t="s">
        <v>20662</v>
      </c>
      <c r="H4366" s="499" t="s">
        <v>38</v>
      </c>
      <c r="I4366" s="483">
        <v>1</v>
      </c>
      <c r="J4366" s="473">
        <f t="shared" si="1948"/>
        <v>3.2499999999999996</v>
      </c>
      <c r="K4366" s="474">
        <f t="shared" si="1955"/>
        <v>3.2499999999999996</v>
      </c>
      <c r="L4366" s="473"/>
      <c r="M4366" s="474"/>
      <c r="O4366" s="434">
        <f t="shared" si="1951"/>
        <v>3.2499999999999996</v>
      </c>
      <c r="P4366" s="435">
        <f t="shared" si="1952"/>
        <v>3.1657000000000002</v>
      </c>
      <c r="AE4366" s="217"/>
      <c r="AF4366" s="217"/>
    </row>
    <row r="4367" ht="45" hidden="1">
      <c r="A4367" s="217"/>
      <c r="B4367" s="217">
        <v>1503</v>
      </c>
      <c r="C4367" s="217"/>
      <c r="D4367" s="217" t="s">
        <v>17167</v>
      </c>
      <c r="E4367" s="471" t="s">
        <v>20405</v>
      </c>
      <c r="F4367" s="482">
        <v>102498</v>
      </c>
      <c r="G4367" s="470" t="s">
        <v>8369</v>
      </c>
      <c r="H4367" s="499" t="s">
        <v>15515</v>
      </c>
      <c r="I4367" s="483">
        <v>0.25</v>
      </c>
      <c r="J4367" s="473">
        <f t="shared" si="1948"/>
        <v>1.7</v>
      </c>
      <c r="K4367" s="474">
        <f t="shared" si="1955"/>
        <v>0.42499999999999999</v>
      </c>
      <c r="L4367" s="473"/>
      <c r="M4367" s="474"/>
      <c r="O4367" s="434">
        <f t="shared" si="1951"/>
        <v>1.7</v>
      </c>
      <c r="P4367" s="435">
        <f t="shared" si="1952"/>
        <v>1.6200000000000001</v>
      </c>
      <c r="AE4367" s="217"/>
      <c r="AF4367" s="217"/>
    </row>
    <row r="4368" ht="45" hidden="1">
      <c r="A4368" s="217"/>
      <c r="B4368" s="217">
        <v>1503</v>
      </c>
      <c r="C4368" s="217"/>
      <c r="D4368" s="217" t="s">
        <v>20398</v>
      </c>
      <c r="E4368" s="471" t="s">
        <v>20409</v>
      </c>
      <c r="F4368" s="482">
        <v>1000</v>
      </c>
      <c r="G4368" s="470" t="s">
        <v>20651</v>
      </c>
      <c r="H4368" s="499" t="s">
        <v>15528</v>
      </c>
      <c r="I4368" s="483">
        <v>5.0799999999999998e-002</v>
      </c>
      <c r="J4368" s="473">
        <f t="shared" si="1948"/>
        <v>149.904</v>
      </c>
      <c r="K4368" s="474">
        <f t="shared" si="1955"/>
        <v>7.6151231999999993</v>
      </c>
      <c r="L4368" s="473"/>
      <c r="M4368" s="474"/>
      <c r="O4368" s="434">
        <f t="shared" si="1951"/>
        <v>149.904</v>
      </c>
      <c r="P4368" s="435">
        <f t="shared" si="1952"/>
        <v>141.76949999999999</v>
      </c>
      <c r="AE4368" s="217"/>
      <c r="AF4368" s="217"/>
    </row>
    <row r="4369" ht="75" hidden="1">
      <c r="A4369" s="217"/>
      <c r="B4369" s="217">
        <v>1503</v>
      </c>
      <c r="C4369" s="217"/>
      <c r="D4369" s="217" t="s">
        <v>20408</v>
      </c>
      <c r="E4369" s="471" t="s">
        <v>20663</v>
      </c>
      <c r="F4369" s="482">
        <v>34492</v>
      </c>
      <c r="G4369" s="470" t="s">
        <v>11636</v>
      </c>
      <c r="H4369" s="482" t="s">
        <v>15528</v>
      </c>
      <c r="I4369" s="483">
        <v>5.0799999999999998e-002</v>
      </c>
      <c r="J4369" s="473">
        <f t="shared" si="1948"/>
        <v>560</v>
      </c>
      <c r="K4369" s="474">
        <f t="shared" si="1955"/>
        <v>28.448</v>
      </c>
      <c r="L4369" s="473"/>
      <c r="M4369" s="474"/>
      <c r="O4369" s="434">
        <f t="shared" si="1951"/>
        <v>560</v>
      </c>
      <c r="P4369" s="435">
        <f t="shared" si="1952"/>
        <v>560</v>
      </c>
      <c r="AE4369" s="217"/>
      <c r="AF4369" s="217"/>
    </row>
    <row r="4370" ht="126" hidden="1">
      <c r="A4370" s="217"/>
      <c r="B4370" s="460">
        <v>1504</v>
      </c>
      <c r="C4370" s="460"/>
      <c r="D4370" s="460"/>
      <c r="E4370" s="461" t="s">
        <v>20395</v>
      </c>
      <c r="F4370" s="462" t="s">
        <v>22539</v>
      </c>
      <c r="G4370" s="477" t="s">
        <v>22540</v>
      </c>
      <c r="H4370" s="478" t="s">
        <v>20387</v>
      </c>
      <c r="I4370" s="479"/>
      <c r="J4370" s="480"/>
      <c r="K4370" s="466">
        <f>SUM(K4371:K4389)</f>
        <v>64894.809035199993</v>
      </c>
      <c r="L4370" s="674" t="s">
        <v>22541</v>
      </c>
      <c r="M4370" s="474"/>
      <c r="N4370" s="674" t="s">
        <v>22541</v>
      </c>
      <c r="O4370" s="434" t="str">
        <f t="shared" si="1951"/>
        <v xml:space="preserve">SEM VALOR</v>
      </c>
      <c r="P4370" s="435" t="str">
        <f t="shared" si="1952"/>
        <v xml:space="preserve">SEM VALOR</v>
      </c>
      <c r="AE4370" s="217"/>
      <c r="AF4370" s="217"/>
    </row>
    <row r="4371" ht="120" hidden="1">
      <c r="A4371" s="217"/>
      <c r="B4371" s="217">
        <v>1504</v>
      </c>
      <c r="C4371" s="675" t="s">
        <v>20464</v>
      </c>
      <c r="D4371" s="675" t="s">
        <v>17167</v>
      </c>
      <c r="E4371" s="471" t="s">
        <v>20399</v>
      </c>
      <c r="F4371" s="482">
        <v>90108</v>
      </c>
      <c r="G4371" s="470" t="s">
        <v>20907</v>
      </c>
      <c r="H4371" s="482" t="s">
        <v>15528</v>
      </c>
      <c r="I4371" s="483">
        <v>263.51999999999998</v>
      </c>
      <c r="J4371" s="473">
        <f t="shared" si="1948"/>
        <v>7.8099999999999996</v>
      </c>
      <c r="K4371" s="474">
        <f t="shared" ref="K4371:K4389" si="1956">I4371*J4371</f>
        <v>2058.0911999999998</v>
      </c>
      <c r="L4371" s="433"/>
      <c r="M4371" s="474"/>
      <c r="O4371" s="434">
        <f t="shared" si="1951"/>
        <v>7.8099999999999996</v>
      </c>
      <c r="P4371" s="435">
        <f t="shared" si="1952"/>
        <v>7.6100000000000003</v>
      </c>
      <c r="AE4371" s="217"/>
      <c r="AF4371" s="217"/>
    </row>
    <row r="4372" ht="60" hidden="1">
      <c r="A4372" s="217"/>
      <c r="B4372" s="217">
        <v>1504</v>
      </c>
      <c r="C4372" s="675"/>
      <c r="D4372" s="675" t="s">
        <v>20398</v>
      </c>
      <c r="E4372" s="471" t="s">
        <v>20402</v>
      </c>
      <c r="F4372" s="482">
        <v>1258</v>
      </c>
      <c r="G4372" s="488" t="s">
        <v>20660</v>
      </c>
      <c r="H4372" s="482" t="s">
        <v>15515</v>
      </c>
      <c r="I4372" s="483">
        <v>42.640000000000001</v>
      </c>
      <c r="J4372" s="473">
        <f t="shared" si="1948"/>
        <v>7.5700000000000003</v>
      </c>
      <c r="K4372" s="474">
        <f t="shared" si="1956"/>
        <v>322.78480000000002</v>
      </c>
      <c r="L4372" s="433"/>
      <c r="M4372" s="474"/>
      <c r="O4372" s="434">
        <f t="shared" si="1951"/>
        <v>7.5700000000000003</v>
      </c>
      <c r="P4372" s="435">
        <f t="shared" si="1952"/>
        <v>7.1846199999999998</v>
      </c>
      <c r="AE4372" s="217"/>
      <c r="AF4372" s="217"/>
    </row>
    <row r="4373" ht="30" hidden="1">
      <c r="A4373" s="217"/>
      <c r="B4373" s="217">
        <v>1504</v>
      </c>
      <c r="C4373" s="675"/>
      <c r="D4373" s="675" t="s">
        <v>20398</v>
      </c>
      <c r="E4373" s="471" t="s">
        <v>20405</v>
      </c>
      <c r="F4373" s="482">
        <v>1242</v>
      </c>
      <c r="G4373" s="488" t="s">
        <v>20905</v>
      </c>
      <c r="H4373" s="482" t="s">
        <v>15528</v>
      </c>
      <c r="I4373" s="483">
        <v>2.3799999999999999</v>
      </c>
      <c r="J4373" s="473">
        <f t="shared" si="1948"/>
        <v>151.59100000000001</v>
      </c>
      <c r="K4373" s="474">
        <f t="shared" si="1956"/>
        <v>360.78658000000001</v>
      </c>
      <c r="L4373" s="433"/>
      <c r="M4373" s="474"/>
      <c r="O4373" s="434">
        <f t="shared" si="1951"/>
        <v>151.59100000000001</v>
      </c>
      <c r="P4373" s="435">
        <f t="shared" si="1952"/>
        <v>149.17099999999999</v>
      </c>
      <c r="AE4373" s="217"/>
      <c r="AF4373" s="217"/>
    </row>
    <row r="4374" ht="60" hidden="1">
      <c r="A4374" s="217"/>
      <c r="B4374" s="217">
        <v>1504</v>
      </c>
      <c r="C4374" s="217"/>
      <c r="D4374" s="217" t="s">
        <v>17167</v>
      </c>
      <c r="E4374" s="471" t="s">
        <v>20409</v>
      </c>
      <c r="F4374" s="482">
        <v>96533</v>
      </c>
      <c r="G4374" s="470" t="s">
        <v>20912</v>
      </c>
      <c r="H4374" s="482" t="s">
        <v>15515</v>
      </c>
      <c r="I4374" s="483">
        <v>88.280000000000001</v>
      </c>
      <c r="J4374" s="473">
        <f t="shared" si="1948"/>
        <v>85.980000000000004</v>
      </c>
      <c r="K4374" s="474">
        <f t="shared" si="1956"/>
        <v>7590.3144000000002</v>
      </c>
      <c r="L4374" s="433"/>
      <c r="M4374" s="474"/>
      <c r="O4374" s="434">
        <f t="shared" si="1951"/>
        <v>85.980000000000004</v>
      </c>
      <c r="P4374" s="435">
        <f t="shared" si="1952"/>
        <v>83.200000000000003</v>
      </c>
      <c r="AE4374" s="217"/>
      <c r="AF4374" s="217"/>
    </row>
    <row r="4375" ht="60" hidden="1">
      <c r="A4375" s="217"/>
      <c r="B4375" s="217">
        <v>1504</v>
      </c>
      <c r="C4375" s="217"/>
      <c r="D4375" s="217" t="s">
        <v>17167</v>
      </c>
      <c r="E4375" s="471" t="s">
        <v>20663</v>
      </c>
      <c r="F4375" s="482">
        <v>92768</v>
      </c>
      <c r="G4375" s="638" t="s">
        <v>330</v>
      </c>
      <c r="H4375" s="482" t="s">
        <v>302</v>
      </c>
      <c r="I4375" s="483">
        <v>23.420000000000002</v>
      </c>
      <c r="J4375" s="473">
        <f t="shared" si="1948"/>
        <v>13.32</v>
      </c>
      <c r="K4375" s="474">
        <f t="shared" si="1956"/>
        <v>311.95440000000002</v>
      </c>
      <c r="L4375" s="433"/>
      <c r="M4375" s="474"/>
      <c r="O4375" s="434">
        <f t="shared" si="1951"/>
        <v>13.32</v>
      </c>
      <c r="P4375" s="435">
        <f t="shared" si="1952"/>
        <v>13.08</v>
      </c>
      <c r="AE4375" s="217"/>
      <c r="AF4375" s="217"/>
    </row>
    <row r="4376" ht="60" hidden="1">
      <c r="A4376" s="217"/>
      <c r="B4376" s="217">
        <v>1504</v>
      </c>
      <c r="C4376" s="217"/>
      <c r="D4376" s="217" t="s">
        <v>17167</v>
      </c>
      <c r="E4376" s="471" t="s">
        <v>20665</v>
      </c>
      <c r="F4376" s="482">
        <v>92769</v>
      </c>
      <c r="G4376" s="638" t="s">
        <v>327</v>
      </c>
      <c r="H4376" s="482" t="s">
        <v>302</v>
      </c>
      <c r="I4376" s="483">
        <v>62.130000000000003</v>
      </c>
      <c r="J4376" s="473">
        <f t="shared" si="1948"/>
        <v>12.42</v>
      </c>
      <c r="K4376" s="474">
        <f t="shared" si="1956"/>
        <v>771.65460000000007</v>
      </c>
      <c r="L4376" s="433"/>
      <c r="M4376" s="474"/>
      <c r="O4376" s="434">
        <f t="shared" si="1951"/>
        <v>12.42</v>
      </c>
      <c r="P4376" s="435">
        <f t="shared" si="1952"/>
        <v>12.26</v>
      </c>
      <c r="AE4376" s="217"/>
      <c r="AF4376" s="217"/>
    </row>
    <row r="4377" ht="60" hidden="1">
      <c r="A4377" s="217"/>
      <c r="B4377" s="217">
        <v>1504</v>
      </c>
      <c r="C4377" s="217"/>
      <c r="D4377" s="217" t="s">
        <v>17167</v>
      </c>
      <c r="E4377" s="471" t="s">
        <v>20667</v>
      </c>
      <c r="F4377" s="482">
        <v>92770</v>
      </c>
      <c r="G4377" s="638" t="s">
        <v>328</v>
      </c>
      <c r="H4377" s="482" t="s">
        <v>302</v>
      </c>
      <c r="I4377" s="483">
        <v>447.75</v>
      </c>
      <c r="J4377" s="473">
        <f t="shared" si="1948"/>
        <v>11.57</v>
      </c>
      <c r="K4377" s="474">
        <f t="shared" si="1956"/>
        <v>5180.4674999999997</v>
      </c>
      <c r="L4377" s="433"/>
      <c r="M4377" s="474"/>
      <c r="O4377" s="434">
        <f t="shared" si="1951"/>
        <v>11.57</v>
      </c>
      <c r="P4377" s="435">
        <f t="shared" si="1952"/>
        <v>11.460000000000001</v>
      </c>
      <c r="AE4377" s="217"/>
      <c r="AF4377" s="217"/>
    </row>
    <row r="4378" ht="60" hidden="1">
      <c r="A4378" s="217"/>
      <c r="B4378" s="217">
        <v>1504</v>
      </c>
      <c r="C4378" s="217"/>
      <c r="D4378" s="217" t="s">
        <v>17167</v>
      </c>
      <c r="E4378" s="471" t="s">
        <v>20671</v>
      </c>
      <c r="F4378" s="482">
        <v>92771</v>
      </c>
      <c r="G4378" s="638" t="s">
        <v>323</v>
      </c>
      <c r="H4378" s="482" t="s">
        <v>302</v>
      </c>
      <c r="I4378" s="483">
        <v>3.9199999999999999</v>
      </c>
      <c r="J4378" s="473">
        <f t="shared" si="1948"/>
        <v>10.25</v>
      </c>
      <c r="K4378" s="474">
        <f t="shared" si="1956"/>
        <v>40.18</v>
      </c>
      <c r="L4378" s="433"/>
      <c r="M4378" s="474"/>
      <c r="O4378" s="434">
        <f t="shared" si="1951"/>
        <v>10.25</v>
      </c>
      <c r="P4378" s="435">
        <f t="shared" si="1952"/>
        <v>10.199999999999999</v>
      </c>
      <c r="AE4378" s="217"/>
      <c r="AF4378" s="217"/>
    </row>
    <row r="4379" ht="60" hidden="1">
      <c r="A4379" s="217"/>
      <c r="B4379" s="217">
        <v>1504</v>
      </c>
      <c r="C4379" s="217"/>
      <c r="D4379" s="217" t="s">
        <v>17167</v>
      </c>
      <c r="E4379" s="471" t="s">
        <v>20672</v>
      </c>
      <c r="F4379" s="482">
        <v>104916</v>
      </c>
      <c r="G4379" s="638" t="s">
        <v>4207</v>
      </c>
      <c r="H4379" s="482" t="s">
        <v>302</v>
      </c>
      <c r="I4379" s="483">
        <v>222.25999999999999</v>
      </c>
      <c r="J4379" s="473">
        <f t="shared" si="1948"/>
        <v>16.559999999999999</v>
      </c>
      <c r="K4379" s="474">
        <f t="shared" si="1956"/>
        <v>3680.6255999999994</v>
      </c>
      <c r="L4379" s="433"/>
      <c r="M4379" s="474"/>
      <c r="O4379" s="434">
        <f t="shared" si="1951"/>
        <v>16.559999999999999</v>
      </c>
      <c r="P4379" s="435">
        <f t="shared" si="1952"/>
        <v>16.109999999999999</v>
      </c>
      <c r="AE4379" s="217"/>
      <c r="AF4379" s="217"/>
    </row>
    <row r="4380" ht="60" hidden="1">
      <c r="A4380" s="217"/>
      <c r="B4380" s="217">
        <v>1504</v>
      </c>
      <c r="C4380" s="217"/>
      <c r="D4380" s="217" t="s">
        <v>17167</v>
      </c>
      <c r="E4380" s="471" t="s">
        <v>20673</v>
      </c>
      <c r="F4380" s="482">
        <v>104919</v>
      </c>
      <c r="G4380" s="638" t="s">
        <v>4204</v>
      </c>
      <c r="H4380" s="482" t="s">
        <v>302</v>
      </c>
      <c r="I4380" s="483">
        <v>585.92999999999995</v>
      </c>
      <c r="J4380" s="473">
        <f t="shared" si="1948"/>
        <v>12.449999999999999</v>
      </c>
      <c r="K4380" s="474">
        <f t="shared" si="1956"/>
        <v>7294.8284999999987</v>
      </c>
      <c r="L4380" s="433"/>
      <c r="M4380" s="474"/>
      <c r="O4380" s="434">
        <f t="shared" si="1951"/>
        <v>12.449999999999999</v>
      </c>
      <c r="P4380" s="435">
        <f t="shared" si="1952"/>
        <v>12.27</v>
      </c>
      <c r="AE4380" s="217"/>
      <c r="AF4380" s="217"/>
    </row>
    <row r="4381" ht="75" hidden="1">
      <c r="A4381" s="217"/>
      <c r="B4381" s="217">
        <v>1504</v>
      </c>
      <c r="C4381" s="217"/>
      <c r="D4381" s="217" t="s">
        <v>17167</v>
      </c>
      <c r="E4381" s="471" t="s">
        <v>20675</v>
      </c>
      <c r="F4381" s="482">
        <v>94965</v>
      </c>
      <c r="G4381" s="638" t="s">
        <v>8715</v>
      </c>
      <c r="H4381" s="482" t="s">
        <v>15528</v>
      </c>
      <c r="I4381" s="483">
        <v>3.2400000000000002</v>
      </c>
      <c r="J4381" s="473">
        <f t="shared" si="1948"/>
        <v>510.48000000000002</v>
      </c>
      <c r="K4381" s="474">
        <f t="shared" si="1956"/>
        <v>1653.9552000000001</v>
      </c>
      <c r="L4381" s="433"/>
      <c r="M4381" s="474"/>
      <c r="O4381" s="434">
        <f t="shared" si="1951"/>
        <v>510.48000000000002</v>
      </c>
      <c r="P4381" s="435">
        <f t="shared" si="1952"/>
        <v>505.23000000000002</v>
      </c>
      <c r="AE4381" s="217"/>
      <c r="AF4381" s="217"/>
    </row>
    <row r="4382" ht="45" hidden="1">
      <c r="A4382" s="217"/>
      <c r="B4382" s="217">
        <v>1504</v>
      </c>
      <c r="C4382" s="217"/>
      <c r="D4382" s="217" t="s">
        <v>20398</v>
      </c>
      <c r="E4382" s="471" t="s">
        <v>20677</v>
      </c>
      <c r="F4382" s="482">
        <v>1000</v>
      </c>
      <c r="G4382" s="488" t="s">
        <v>20651</v>
      </c>
      <c r="H4382" s="482" t="s">
        <v>15528</v>
      </c>
      <c r="I4382" s="483">
        <v>3.2400000000000002</v>
      </c>
      <c r="J4382" s="473">
        <f t="shared" ref="J4382:J4438" si="1957">O4382*$J$3</f>
        <v>149.904</v>
      </c>
      <c r="K4382" s="474">
        <f t="shared" si="1956"/>
        <v>485.68896000000001</v>
      </c>
      <c r="L4382" s="433"/>
      <c r="M4382" s="474"/>
      <c r="O4382" s="434">
        <f t="shared" si="1951"/>
        <v>149.904</v>
      </c>
      <c r="P4382" s="435">
        <f t="shared" si="1952"/>
        <v>141.76949999999999</v>
      </c>
      <c r="AE4382" s="217"/>
      <c r="AF4382" s="217"/>
    </row>
    <row r="4383" ht="75" hidden="1">
      <c r="A4383" s="217"/>
      <c r="B4383" s="217">
        <v>1504</v>
      </c>
      <c r="C4383" s="217"/>
      <c r="D4383" s="217" t="s">
        <v>17167</v>
      </c>
      <c r="E4383" s="471" t="s">
        <v>20679</v>
      </c>
      <c r="F4383" s="482">
        <v>94965</v>
      </c>
      <c r="G4383" s="638" t="s">
        <v>8715</v>
      </c>
      <c r="H4383" s="482" t="s">
        <v>15528</v>
      </c>
      <c r="I4383" s="483">
        <v>17.66</v>
      </c>
      <c r="J4383" s="473">
        <f t="shared" si="1957"/>
        <v>510.48000000000002</v>
      </c>
      <c r="K4383" s="474">
        <f t="shared" si="1956"/>
        <v>9015.0768000000007</v>
      </c>
      <c r="L4383" s="433"/>
      <c r="M4383" s="474"/>
      <c r="O4383" s="434">
        <f t="shared" si="1951"/>
        <v>510.48000000000002</v>
      </c>
      <c r="P4383" s="435">
        <f t="shared" si="1952"/>
        <v>505.23000000000002</v>
      </c>
      <c r="AE4383" s="217"/>
      <c r="AF4383" s="217"/>
    </row>
    <row r="4384" ht="60" hidden="1">
      <c r="A4384" s="217"/>
      <c r="B4384" s="217">
        <v>1504</v>
      </c>
      <c r="C4384" s="217"/>
      <c r="D4384" s="217" t="s">
        <v>17167</v>
      </c>
      <c r="E4384" s="471" t="s">
        <v>20681</v>
      </c>
      <c r="F4384" s="482">
        <v>103670</v>
      </c>
      <c r="G4384" s="488" t="s">
        <v>1387</v>
      </c>
      <c r="H4384" s="482" t="s">
        <v>15528</v>
      </c>
      <c r="I4384" s="483">
        <v>17.66</v>
      </c>
      <c r="J4384" s="473">
        <f t="shared" si="1957"/>
        <v>308.60000000000002</v>
      </c>
      <c r="K4384" s="474">
        <f t="shared" si="1956"/>
        <v>5449.8760000000002</v>
      </c>
      <c r="L4384" s="433"/>
      <c r="M4384" s="474"/>
      <c r="O4384" s="434">
        <f t="shared" si="1951"/>
        <v>308.60000000000002</v>
      </c>
      <c r="P4384" s="435">
        <f t="shared" si="1952"/>
        <v>291.69999999999999</v>
      </c>
      <c r="AE4384" s="217"/>
      <c r="AF4384" s="217"/>
    </row>
    <row r="4385" ht="75" hidden="1">
      <c r="A4385" s="217"/>
      <c r="B4385" s="217">
        <v>1504</v>
      </c>
      <c r="C4385" s="217"/>
      <c r="D4385" s="217" t="s">
        <v>20398</v>
      </c>
      <c r="E4385" s="471" t="s">
        <v>20683</v>
      </c>
      <c r="F4385" s="482">
        <v>1257</v>
      </c>
      <c r="G4385" s="488" t="s">
        <v>20906</v>
      </c>
      <c r="H4385" s="482" t="s">
        <v>15515</v>
      </c>
      <c r="I4385" s="483">
        <v>63.280000000000001</v>
      </c>
      <c r="J4385" s="473">
        <f t="shared" si="1957"/>
        <v>202.65134000000003</v>
      </c>
      <c r="K4385" s="474">
        <f t="shared" si="1956"/>
        <v>12823.776795200003</v>
      </c>
      <c r="L4385" s="433"/>
      <c r="M4385" s="474"/>
      <c r="O4385" s="434">
        <f t="shared" si="1951"/>
        <v>202.65134000000003</v>
      </c>
      <c r="P4385" s="435">
        <f t="shared" si="1952"/>
        <v>197.86072000000001</v>
      </c>
      <c r="AE4385" s="217"/>
      <c r="AF4385" s="217"/>
    </row>
    <row r="4386" ht="75" hidden="1">
      <c r="A4386" s="217"/>
      <c r="B4386" s="217">
        <v>1504</v>
      </c>
      <c r="C4386" s="217"/>
      <c r="D4386" s="217" t="s">
        <v>17167</v>
      </c>
      <c r="E4386" s="471" t="s">
        <v>20685</v>
      </c>
      <c r="F4386" s="482">
        <v>87878</v>
      </c>
      <c r="G4386" s="488" t="s">
        <v>20910</v>
      </c>
      <c r="H4386" s="482" t="s">
        <v>15515</v>
      </c>
      <c r="I4386" s="483">
        <v>190.15000000000001</v>
      </c>
      <c r="J4386" s="473">
        <f t="shared" si="1957"/>
        <v>5.0099999999999998</v>
      </c>
      <c r="K4386" s="474">
        <f t="shared" si="1956"/>
        <v>952.65149999999994</v>
      </c>
      <c r="L4386" s="433"/>
      <c r="M4386" s="474"/>
      <c r="O4386" s="434">
        <f t="shared" si="1951"/>
        <v>5.0099999999999998</v>
      </c>
      <c r="P4386" s="435">
        <f t="shared" si="1952"/>
        <v>4.7999999999999998</v>
      </c>
      <c r="AE4386" s="217"/>
      <c r="AF4386" s="217"/>
    </row>
    <row r="4387" ht="105" hidden="1">
      <c r="A4387" s="217"/>
      <c r="B4387" s="217">
        <v>1504</v>
      </c>
      <c r="C4387" s="217"/>
      <c r="D4387" s="217" t="s">
        <v>17167</v>
      </c>
      <c r="E4387" s="471" t="s">
        <v>20687</v>
      </c>
      <c r="F4387" s="482">
        <v>87529</v>
      </c>
      <c r="G4387" s="488" t="s">
        <v>20931</v>
      </c>
      <c r="H4387" s="482" t="s">
        <v>15515</v>
      </c>
      <c r="I4387" s="483">
        <v>82.439999999999998</v>
      </c>
      <c r="J4387" s="473">
        <f t="shared" si="1957"/>
        <v>37.270000000000003</v>
      </c>
      <c r="K4387" s="474">
        <f t="shared" si="1956"/>
        <v>3072.5388000000003</v>
      </c>
      <c r="L4387" s="433"/>
      <c r="M4387" s="474"/>
      <c r="O4387" s="434">
        <f t="shared" si="1951"/>
        <v>37.270000000000003</v>
      </c>
      <c r="P4387" s="435">
        <f t="shared" si="1952"/>
        <v>35.990000000000002</v>
      </c>
      <c r="AE4387" s="217"/>
      <c r="AF4387" s="217"/>
    </row>
    <row r="4388" ht="105" hidden="1">
      <c r="A4388" s="217"/>
      <c r="B4388" s="217">
        <v>1504</v>
      </c>
      <c r="C4388" s="217"/>
      <c r="D4388" s="217" t="s">
        <v>17167</v>
      </c>
      <c r="E4388" s="471" t="s">
        <v>20689</v>
      </c>
      <c r="F4388" s="482">
        <v>5928</v>
      </c>
      <c r="G4388" s="488" t="s">
        <v>1739</v>
      </c>
      <c r="H4388" s="482" t="s">
        <v>1535</v>
      </c>
      <c r="I4388" s="483">
        <v>0.10000000000000001</v>
      </c>
      <c r="J4388" s="473">
        <f t="shared" si="1957"/>
        <v>298.70999999999998</v>
      </c>
      <c r="K4388" s="474">
        <f t="shared" si="1956"/>
        <v>29.870999999999999</v>
      </c>
      <c r="L4388" s="433"/>
      <c r="M4388" s="474"/>
      <c r="O4388" s="434">
        <f t="shared" si="1951"/>
        <v>298.70999999999998</v>
      </c>
      <c r="P4388" s="435">
        <f t="shared" si="1952"/>
        <v>296.98000000000002</v>
      </c>
      <c r="AE4388" s="217"/>
      <c r="AF4388" s="217"/>
    </row>
    <row r="4389" ht="45" hidden="1">
      <c r="A4389" s="217"/>
      <c r="B4389" s="217">
        <v>1504</v>
      </c>
      <c r="C4389" s="675"/>
      <c r="D4389" s="675" t="s">
        <v>17167</v>
      </c>
      <c r="E4389" s="471" t="s">
        <v>20882</v>
      </c>
      <c r="F4389" s="482">
        <v>93382</v>
      </c>
      <c r="G4389" s="488" t="s">
        <v>20722</v>
      </c>
      <c r="H4389" s="482" t="s">
        <v>15528</v>
      </c>
      <c r="I4389" s="483">
        <v>138.06999999999999</v>
      </c>
      <c r="J4389" s="473">
        <f t="shared" si="1957"/>
        <v>27.52</v>
      </c>
      <c r="K4389" s="474">
        <f t="shared" si="1956"/>
        <v>3799.6863999999996</v>
      </c>
      <c r="L4389" s="433"/>
      <c r="M4389" s="474"/>
      <c r="O4389" s="434">
        <f t="shared" si="1951"/>
        <v>27.52</v>
      </c>
      <c r="P4389" s="435">
        <f t="shared" si="1952"/>
        <v>26.190000000000001</v>
      </c>
      <c r="AE4389" s="217"/>
      <c r="AF4389" s="217"/>
    </row>
    <row r="4390" ht="63" hidden="1">
      <c r="A4390" s="217"/>
      <c r="B4390" s="460">
        <v>1505</v>
      </c>
      <c r="C4390" s="460"/>
      <c r="D4390" s="460"/>
      <c r="E4390" s="461">
        <v>1</v>
      </c>
      <c r="F4390" s="462" t="s">
        <v>22542</v>
      </c>
      <c r="G4390" s="463" t="s">
        <v>22543</v>
      </c>
      <c r="H4390" s="478" t="s">
        <v>15515</v>
      </c>
      <c r="I4390" s="479"/>
      <c r="J4390" s="480"/>
      <c r="K4390" s="466">
        <f>SUM(K4391:K4392)</f>
        <v>18.297360288</v>
      </c>
      <c r="L4390" s="467" t="s">
        <v>21374</v>
      </c>
      <c r="M4390" s="474"/>
      <c r="N4390" s="467" t="s">
        <v>21374</v>
      </c>
      <c r="O4390" s="434" t="str">
        <f t="shared" si="1951"/>
        <v xml:space="preserve">SEM VALOR</v>
      </c>
      <c r="P4390" s="435" t="str">
        <f t="shared" si="1952"/>
        <v xml:space="preserve">SEM VALOR</v>
      </c>
      <c r="AE4390" s="217"/>
      <c r="AF4390" s="217"/>
    </row>
    <row r="4391" ht="45" hidden="1">
      <c r="A4391" s="217"/>
      <c r="B4391" s="217">
        <v>1505</v>
      </c>
      <c r="C4391" s="217"/>
      <c r="D4391" s="217" t="s">
        <v>20453</v>
      </c>
      <c r="E4391" s="471" t="s">
        <v>20399</v>
      </c>
      <c r="F4391" s="486" t="s">
        <v>20331</v>
      </c>
      <c r="G4391" s="470" t="s">
        <v>22544</v>
      </c>
      <c r="H4391" s="482" t="s">
        <v>15515</v>
      </c>
      <c r="I4391" s="483">
        <v>1.05</v>
      </c>
      <c r="J4391" s="473">
        <f t="shared" si="1957"/>
        <v>17.350000000000001</v>
      </c>
      <c r="K4391" s="474">
        <f t="shared" ref="K4391:K4392" si="1958">I4391*J4391</f>
        <v>18.217500000000001</v>
      </c>
      <c r="L4391" s="576" t="s">
        <v>21376</v>
      </c>
      <c r="M4391" s="474"/>
      <c r="N4391" s="576" t="s">
        <v>21376</v>
      </c>
      <c r="O4391" s="434">
        <f t="shared" si="1951"/>
        <v>17.350000000000001</v>
      </c>
      <c r="P4391" s="435">
        <f t="shared" si="1952"/>
        <v>17.350000000000001</v>
      </c>
      <c r="AE4391" s="217"/>
      <c r="AF4391" s="217"/>
    </row>
    <row r="4392" ht="30" hidden="1">
      <c r="A4392" s="217"/>
      <c r="B4392" s="217">
        <v>1505</v>
      </c>
      <c r="C4392" s="217"/>
      <c r="D4392" s="217" t="s">
        <v>17167</v>
      </c>
      <c r="E4392" s="471" t="s">
        <v>20402</v>
      </c>
      <c r="F4392" s="486">
        <v>88316</v>
      </c>
      <c r="G4392" s="470" t="s">
        <v>7393</v>
      </c>
      <c r="H4392" s="482" t="s">
        <v>2032</v>
      </c>
      <c r="I4392" s="483">
        <v>3.5087999999999999e-003</v>
      </c>
      <c r="J4392" s="473">
        <f t="shared" si="1957"/>
        <v>22.760000000000002</v>
      </c>
      <c r="K4392" s="474">
        <f t="shared" si="1958"/>
        <v>7.9860288000000001e-002</v>
      </c>
      <c r="L4392" s="467"/>
      <c r="M4392" s="474"/>
      <c r="N4392" s="467"/>
      <c r="O4392" s="434">
        <f t="shared" si="1951"/>
        <v>22.760000000000002</v>
      </c>
      <c r="P4392" s="435">
        <f t="shared" si="1952"/>
        <v>21.550000000000001</v>
      </c>
      <c r="AE4392" s="217"/>
      <c r="AF4392" s="217"/>
    </row>
    <row r="4393" ht="63" hidden="1">
      <c r="A4393" s="217"/>
      <c r="B4393" s="460">
        <v>1506</v>
      </c>
      <c r="C4393" s="460"/>
      <c r="D4393" s="460"/>
      <c r="E4393" s="461">
        <v>1</v>
      </c>
      <c r="F4393" s="462" t="s">
        <v>22545</v>
      </c>
      <c r="G4393" s="463" t="s">
        <v>22546</v>
      </c>
      <c r="H4393" s="478" t="s">
        <v>15515</v>
      </c>
      <c r="I4393" s="479"/>
      <c r="J4393" s="480"/>
      <c r="K4393" s="466">
        <f>SUM(K4394:K4395)</f>
        <v>24.418860288000001</v>
      </c>
      <c r="L4393" s="433"/>
      <c r="M4393" s="474"/>
      <c r="O4393" s="434" t="str">
        <f t="shared" si="1951"/>
        <v xml:space="preserve">SEM VALOR</v>
      </c>
      <c r="P4393" s="435" t="str">
        <f t="shared" si="1952"/>
        <v xml:space="preserve">SEM VALOR</v>
      </c>
      <c r="AE4393" s="217"/>
      <c r="AF4393" s="217"/>
    </row>
    <row r="4394" ht="45" hidden="1">
      <c r="A4394" s="217"/>
      <c r="B4394" s="217">
        <v>1506</v>
      </c>
      <c r="C4394" s="217"/>
      <c r="D4394" s="217" t="s">
        <v>20453</v>
      </c>
      <c r="E4394" s="471" t="s">
        <v>20399</v>
      </c>
      <c r="F4394" s="486" t="s">
        <v>20337</v>
      </c>
      <c r="G4394" s="470" t="s">
        <v>22547</v>
      </c>
      <c r="H4394" s="482" t="s">
        <v>15515</v>
      </c>
      <c r="I4394" s="483">
        <v>1.05</v>
      </c>
      <c r="J4394" s="473">
        <f t="shared" si="1957"/>
        <v>23.18</v>
      </c>
      <c r="K4394" s="474">
        <f t="shared" ref="K4394:K4395" si="1959">I4394*J4394</f>
        <v>24.339000000000002</v>
      </c>
      <c r="L4394" s="433"/>
      <c r="M4394" s="474"/>
      <c r="O4394" s="434">
        <f t="shared" si="1951"/>
        <v>23.18</v>
      </c>
      <c r="P4394" s="435">
        <f t="shared" si="1952"/>
        <v>23.18</v>
      </c>
      <c r="AE4394" s="217"/>
      <c r="AF4394" s="217"/>
    </row>
    <row r="4395" ht="30" hidden="1">
      <c r="A4395" s="217"/>
      <c r="B4395" s="217">
        <v>1506</v>
      </c>
      <c r="C4395" s="217"/>
      <c r="D4395" s="217" t="s">
        <v>17167</v>
      </c>
      <c r="E4395" s="471" t="s">
        <v>20402</v>
      </c>
      <c r="F4395" s="486">
        <v>88316</v>
      </c>
      <c r="G4395" s="470" t="s">
        <v>7393</v>
      </c>
      <c r="H4395" s="482" t="s">
        <v>2032</v>
      </c>
      <c r="I4395" s="483">
        <v>3.5087999999999999e-003</v>
      </c>
      <c r="J4395" s="473">
        <f t="shared" si="1957"/>
        <v>22.760000000000002</v>
      </c>
      <c r="K4395" s="474">
        <f t="shared" si="1959"/>
        <v>7.9860288000000001e-002</v>
      </c>
      <c r="L4395" s="433"/>
      <c r="M4395" s="474"/>
      <c r="O4395" s="434">
        <f t="shared" si="1951"/>
        <v>22.760000000000002</v>
      </c>
      <c r="P4395" s="435">
        <f t="shared" si="1952"/>
        <v>21.550000000000001</v>
      </c>
      <c r="AE4395" s="217"/>
      <c r="AF4395" s="217"/>
    </row>
    <row r="4396" ht="73.5" hidden="1" customHeight="1">
      <c r="A4396" s="217"/>
      <c r="B4396" s="460">
        <v>1507</v>
      </c>
      <c r="C4396" s="460"/>
      <c r="D4396" s="460"/>
      <c r="E4396" s="461">
        <v>1</v>
      </c>
      <c r="F4396" s="462" t="s">
        <v>22548</v>
      </c>
      <c r="G4396" s="463" t="s">
        <v>22549</v>
      </c>
      <c r="H4396" s="478" t="s">
        <v>15515</v>
      </c>
      <c r="I4396" s="479"/>
      <c r="J4396" s="480"/>
      <c r="K4396" s="466">
        <f>SUM(K4397:K4398)</f>
        <v>27.820860288000002</v>
      </c>
      <c r="L4396" s="433"/>
      <c r="M4396" s="474"/>
      <c r="O4396" s="434" t="str">
        <f t="shared" ref="O4396:O4438" si="1960">IFERROR(IF(D4396="SINAPI",VLOOKUP(F4396,SINCOMOD,4,FALSE),IF(D4396="INSINAPI",VLOOKUP(F4396,INSINOD,5,FALSE),IF(D4396="SICRO",VLOOKUP(F4396,SICRO,5,FALSE),IF(D4396="COTACAO",VLOOKUP(F4396,COTACAO,6,FALSE),IF(D4396="PRÓPRIO",VLOOKUP(F4396,COMPOD,11,FALSE),IF(D4396="AGESUL",VLOOKUP(F4396,AGESULOD,6,FALSE),IF(D4396="INSAGESUL",VLOOKUP(F4396,INSAGESUL,7,FALSE),"SEM VALOR"))))))),"SEM VALOR")</f>
        <v xml:space="preserve">SEM VALOR</v>
      </c>
      <c r="P4396" s="435" t="str">
        <f t="shared" ref="P4396:P4438" si="1961">IFERROR(IF(D4396="SINAPI",VLOOKUP(F4396,SINCOMOD,6,FALSE),IF(D4396="INSINAPI",VLOOKUP(F4396,INSINOD,6,FALSE),IF(D4396="SICRO",VLOOKUP(F4396,SICRO,5,FALSE),IF(D4396="COTACAO",VLOOKUP(F4396,COTACAO,6,FALSE),IF(D4396="PRÓPRIO",VLOOKUP(F4396,COMPOD,13,FALSE),IF(D4396="AGESUL",VLOOKUP(F4396,AGESULOD,11,FALSE),IF(D4396="INSAGESUL",VLOOKUP(F4396,INSAGESUL,8,FALSE),"SEM VALOR"))))))),"SEM VALOR")</f>
        <v xml:space="preserve">SEM VALOR</v>
      </c>
      <c r="AE4396" s="217"/>
      <c r="AF4396" s="217"/>
    </row>
    <row r="4397" ht="45" hidden="1">
      <c r="A4397" s="217"/>
      <c r="B4397" s="217">
        <v>1507</v>
      </c>
      <c r="C4397" s="217"/>
      <c r="D4397" s="217" t="s">
        <v>20453</v>
      </c>
      <c r="E4397" s="471" t="s">
        <v>20399</v>
      </c>
      <c r="F4397" s="486" t="s">
        <v>20340</v>
      </c>
      <c r="G4397" s="470" t="s">
        <v>21375</v>
      </c>
      <c r="H4397" s="482" t="s">
        <v>15515</v>
      </c>
      <c r="I4397" s="483">
        <v>1.05</v>
      </c>
      <c r="J4397" s="473">
        <f t="shared" si="1957"/>
        <v>26.420000000000002</v>
      </c>
      <c r="K4397" s="474">
        <f t="shared" ref="K4397:K4398" si="1962">I4397*J4397</f>
        <v>27.741000000000003</v>
      </c>
      <c r="L4397" s="433"/>
      <c r="M4397" s="474"/>
      <c r="O4397" s="434">
        <f t="shared" si="1960"/>
        <v>26.420000000000002</v>
      </c>
      <c r="P4397" s="435">
        <f t="shared" si="1961"/>
        <v>26.420000000000002</v>
      </c>
      <c r="AE4397" s="217"/>
      <c r="AF4397" s="217"/>
    </row>
    <row r="4398" ht="30" hidden="1">
      <c r="A4398" s="217"/>
      <c r="B4398" s="217">
        <v>1507</v>
      </c>
      <c r="C4398" s="217"/>
      <c r="D4398" s="217" t="s">
        <v>17167</v>
      </c>
      <c r="E4398" s="471" t="s">
        <v>20402</v>
      </c>
      <c r="F4398" s="486">
        <v>88316</v>
      </c>
      <c r="G4398" s="470" t="s">
        <v>7393</v>
      </c>
      <c r="H4398" s="482" t="s">
        <v>2032</v>
      </c>
      <c r="I4398" s="483">
        <v>3.5087999999999999e-003</v>
      </c>
      <c r="J4398" s="473">
        <f t="shared" si="1957"/>
        <v>22.760000000000002</v>
      </c>
      <c r="K4398" s="474">
        <f t="shared" si="1962"/>
        <v>7.9860288000000001e-002</v>
      </c>
      <c r="L4398" s="433"/>
      <c r="M4398" s="474"/>
      <c r="O4398" s="434">
        <f t="shared" si="1960"/>
        <v>22.760000000000002</v>
      </c>
      <c r="P4398" s="435">
        <f t="shared" si="1961"/>
        <v>21.550000000000001</v>
      </c>
      <c r="AE4398" s="217"/>
      <c r="AF4398" s="217"/>
    </row>
    <row r="4399" ht="84.75" hidden="1" customHeight="1">
      <c r="A4399" s="217"/>
      <c r="B4399" s="460">
        <v>1508</v>
      </c>
      <c r="C4399" s="460"/>
      <c r="D4399" s="460"/>
      <c r="E4399" s="461">
        <v>1</v>
      </c>
      <c r="F4399" s="462" t="s">
        <v>22550</v>
      </c>
      <c r="G4399" s="463" t="s">
        <v>22551</v>
      </c>
      <c r="H4399" s="478" t="s">
        <v>15515</v>
      </c>
      <c r="I4399" s="479"/>
      <c r="J4399" s="480"/>
      <c r="K4399" s="466">
        <f>SUM(K4400:K4401)</f>
        <v>66.208860288000011</v>
      </c>
      <c r="L4399" s="433"/>
      <c r="M4399" s="474"/>
      <c r="O4399" s="434" t="str">
        <f t="shared" si="1960"/>
        <v xml:space="preserve">SEM VALOR</v>
      </c>
      <c r="P4399" s="435" t="str">
        <f t="shared" si="1961"/>
        <v xml:space="preserve">SEM VALOR</v>
      </c>
      <c r="AE4399" s="217"/>
      <c r="AF4399" s="217"/>
    </row>
    <row r="4400" ht="45" hidden="1">
      <c r="A4400" s="217"/>
      <c r="B4400" s="217">
        <v>1508</v>
      </c>
      <c r="C4400" s="217"/>
      <c r="D4400" s="217" t="s">
        <v>20644</v>
      </c>
      <c r="E4400" s="471" t="s">
        <v>20399</v>
      </c>
      <c r="F4400" s="486" t="s">
        <v>15396</v>
      </c>
      <c r="G4400" s="470" t="s">
        <v>22552</v>
      </c>
      <c r="H4400" s="482" t="s">
        <v>15515</v>
      </c>
      <c r="I4400" s="483">
        <v>1.05</v>
      </c>
      <c r="J4400" s="473">
        <f t="shared" si="1957"/>
        <v>62.979999999999997</v>
      </c>
      <c r="K4400" s="474">
        <f t="shared" ref="K4400:K4401" si="1963">I4400*J4400</f>
        <v>66.129000000000005</v>
      </c>
      <c r="L4400" s="467" t="s">
        <v>21374</v>
      </c>
      <c r="M4400" s="474"/>
      <c r="N4400" s="467" t="s">
        <v>21374</v>
      </c>
      <c r="O4400" s="434">
        <f t="shared" si="1960"/>
        <v>62.979999999999997</v>
      </c>
      <c r="P4400" s="435">
        <f t="shared" si="1961"/>
        <v>62.979999999999997</v>
      </c>
      <c r="AE4400" s="217"/>
      <c r="AF4400" s="217"/>
    </row>
    <row r="4401" ht="30" hidden="1">
      <c r="A4401" s="217"/>
      <c r="B4401" s="217">
        <v>1508</v>
      </c>
      <c r="C4401" s="217"/>
      <c r="D4401" s="217" t="s">
        <v>17167</v>
      </c>
      <c r="E4401" s="471" t="s">
        <v>20402</v>
      </c>
      <c r="F4401" s="486">
        <v>88316</v>
      </c>
      <c r="G4401" s="470" t="s">
        <v>7393</v>
      </c>
      <c r="H4401" s="482" t="s">
        <v>2032</v>
      </c>
      <c r="I4401" s="483">
        <v>3.5087999999999999e-003</v>
      </c>
      <c r="J4401" s="473">
        <f t="shared" si="1957"/>
        <v>22.760000000000002</v>
      </c>
      <c r="K4401" s="474">
        <f t="shared" si="1963"/>
        <v>7.9860288000000001e-002</v>
      </c>
      <c r="L4401" s="467" t="s">
        <v>22553</v>
      </c>
      <c r="M4401" s="474"/>
      <c r="N4401" s="467" t="s">
        <v>22553</v>
      </c>
      <c r="O4401" s="434">
        <f t="shared" si="1960"/>
        <v>22.760000000000002</v>
      </c>
      <c r="P4401" s="435">
        <f t="shared" si="1961"/>
        <v>21.550000000000001</v>
      </c>
      <c r="AE4401" s="217"/>
      <c r="AF4401" s="217"/>
    </row>
    <row r="4402" ht="141.75" hidden="1" customHeight="1">
      <c r="A4402" s="217"/>
      <c r="B4402" s="460">
        <v>1509</v>
      </c>
      <c r="C4402" s="460"/>
      <c r="D4402" s="460"/>
      <c r="E4402" s="461">
        <v>1</v>
      </c>
      <c r="F4402" s="462" t="s">
        <v>22554</v>
      </c>
      <c r="G4402" s="477" t="s">
        <v>22555</v>
      </c>
      <c r="H4402" s="478" t="s">
        <v>20387</v>
      </c>
      <c r="I4402" s="479"/>
      <c r="J4402" s="480"/>
      <c r="K4402" s="466">
        <f>SUM(K4403:K4421)</f>
        <v>62424.833093399997</v>
      </c>
      <c r="L4402" s="473"/>
      <c r="M4402" s="474"/>
      <c r="N4402" s="674" t="s">
        <v>22541</v>
      </c>
      <c r="O4402" s="434" t="str">
        <f t="shared" si="1960"/>
        <v xml:space="preserve">SEM VALOR</v>
      </c>
      <c r="P4402" s="435" t="str">
        <f t="shared" si="1961"/>
        <v xml:space="preserve">SEM VALOR</v>
      </c>
      <c r="AE4402" s="217"/>
      <c r="AF4402" s="217"/>
    </row>
    <row r="4403" ht="120" hidden="1">
      <c r="A4403" s="217"/>
      <c r="B4403" s="217">
        <v>1509</v>
      </c>
      <c r="C4403" s="675" t="s">
        <v>20464</v>
      </c>
      <c r="D4403" s="675" t="s">
        <v>17167</v>
      </c>
      <c r="E4403" s="471" t="s">
        <v>20399</v>
      </c>
      <c r="F4403" s="482">
        <v>90108</v>
      </c>
      <c r="G4403" s="470" t="s">
        <v>20907</v>
      </c>
      <c r="H4403" s="482" t="s">
        <v>15528</v>
      </c>
      <c r="I4403" s="483">
        <v>241.77000000000001</v>
      </c>
      <c r="J4403" s="473">
        <f t="shared" si="1957"/>
        <v>7.8099999999999996</v>
      </c>
      <c r="K4403" s="474">
        <f t="shared" ref="K4403:K4421" si="1964">I4403*J4403</f>
        <v>1888.2237</v>
      </c>
      <c r="L4403" s="473"/>
      <c r="M4403" s="474"/>
      <c r="O4403" s="434">
        <f t="shared" si="1960"/>
        <v>7.8099999999999996</v>
      </c>
      <c r="P4403" s="435">
        <f t="shared" si="1961"/>
        <v>7.6100000000000003</v>
      </c>
      <c r="AE4403" s="217"/>
      <c r="AF4403" s="217"/>
    </row>
    <row r="4404" ht="60" hidden="1">
      <c r="A4404" s="217"/>
      <c r="B4404" s="217">
        <v>1509</v>
      </c>
      <c r="C4404" s="675"/>
      <c r="D4404" s="675" t="s">
        <v>20398</v>
      </c>
      <c r="E4404" s="471" t="s">
        <v>20402</v>
      </c>
      <c r="F4404" s="482">
        <v>1258</v>
      </c>
      <c r="G4404" s="488" t="s">
        <v>20660</v>
      </c>
      <c r="H4404" s="482" t="s">
        <v>15515</v>
      </c>
      <c r="I4404" s="483">
        <v>42.640000000000001</v>
      </c>
      <c r="J4404" s="473">
        <f t="shared" si="1957"/>
        <v>7.5700000000000003</v>
      </c>
      <c r="K4404" s="474">
        <f t="shared" si="1964"/>
        <v>322.78480000000002</v>
      </c>
      <c r="L4404" s="473"/>
      <c r="M4404" s="474"/>
      <c r="O4404" s="434">
        <f t="shared" si="1960"/>
        <v>7.5700000000000003</v>
      </c>
      <c r="P4404" s="435">
        <f t="shared" si="1961"/>
        <v>7.1846199999999998</v>
      </c>
      <c r="AE4404" s="217"/>
      <c r="AF4404" s="217"/>
    </row>
    <row r="4405" ht="30" hidden="1">
      <c r="A4405" s="217"/>
      <c r="B4405" s="217">
        <v>1509</v>
      </c>
      <c r="C4405" s="675"/>
      <c r="D4405" s="675" t="s">
        <v>20398</v>
      </c>
      <c r="E4405" s="471" t="s">
        <v>20405</v>
      </c>
      <c r="F4405" s="482">
        <v>1242</v>
      </c>
      <c r="G4405" s="488" t="s">
        <v>20905</v>
      </c>
      <c r="H4405" s="482" t="s">
        <v>15528</v>
      </c>
      <c r="I4405" s="483">
        <v>2.3799999999999999</v>
      </c>
      <c r="J4405" s="473">
        <f t="shared" si="1957"/>
        <v>151.59100000000001</v>
      </c>
      <c r="K4405" s="474">
        <f t="shared" si="1964"/>
        <v>360.78658000000001</v>
      </c>
      <c r="L4405" s="473"/>
      <c r="M4405" s="474"/>
      <c r="O4405" s="434">
        <f t="shared" si="1960"/>
        <v>151.59100000000001</v>
      </c>
      <c r="P4405" s="435">
        <f t="shared" si="1961"/>
        <v>149.17099999999999</v>
      </c>
      <c r="AE4405" s="217"/>
      <c r="AF4405" s="217"/>
    </row>
    <row r="4406" ht="60" hidden="1">
      <c r="A4406" s="217"/>
      <c r="B4406" s="217">
        <v>1509</v>
      </c>
      <c r="C4406" s="217"/>
      <c r="D4406" s="217" t="s">
        <v>17167</v>
      </c>
      <c r="E4406" s="471" t="s">
        <v>20409</v>
      </c>
      <c r="F4406" s="482">
        <v>96533</v>
      </c>
      <c r="G4406" s="470" t="s">
        <v>20912</v>
      </c>
      <c r="H4406" s="482" t="s">
        <v>15515</v>
      </c>
      <c r="I4406" s="483">
        <f>(2.23+2.23+3.72+0.372+1.56+1.56+3.24+0.57+0.57+1.98+1.56+1.56+1.26+3.24+1.17+0.9+1.23+2.39+0.27+0.27+2.39+7.53+6.45+5.56+5.6+6.51+5.6+5.56+6.57+5.56+0.54+0.54+15.3)</f>
        <v>105.592</v>
      </c>
      <c r="J4406" s="473">
        <f t="shared" si="1957"/>
        <v>85.980000000000004</v>
      </c>
      <c r="K4406" s="474">
        <f t="shared" si="1964"/>
        <v>9078.8001600000007</v>
      </c>
      <c r="L4406" s="473"/>
      <c r="M4406" s="474"/>
      <c r="O4406" s="434">
        <f t="shared" si="1960"/>
        <v>85.980000000000004</v>
      </c>
      <c r="P4406" s="435">
        <f t="shared" si="1961"/>
        <v>83.200000000000003</v>
      </c>
      <c r="AE4406" s="217"/>
      <c r="AF4406" s="217"/>
    </row>
    <row r="4407" ht="60" hidden="1">
      <c r="A4407" s="217"/>
      <c r="B4407" s="217">
        <v>1509</v>
      </c>
      <c r="C4407" s="217"/>
      <c r="D4407" s="217" t="s">
        <v>17167</v>
      </c>
      <c r="E4407" s="471" t="s">
        <v>20663</v>
      </c>
      <c r="F4407" s="482">
        <v>92768</v>
      </c>
      <c r="G4407" s="638" t="s">
        <v>330</v>
      </c>
      <c r="H4407" s="482" t="s">
        <v>302</v>
      </c>
      <c r="I4407" s="483">
        <v>23.27</v>
      </c>
      <c r="J4407" s="473">
        <f t="shared" si="1957"/>
        <v>13.32</v>
      </c>
      <c r="K4407" s="474">
        <f t="shared" si="1964"/>
        <v>309.95639999999997</v>
      </c>
      <c r="L4407" s="473"/>
      <c r="M4407" s="474"/>
      <c r="O4407" s="434">
        <f t="shared" si="1960"/>
        <v>13.32</v>
      </c>
      <c r="P4407" s="435">
        <f t="shared" si="1961"/>
        <v>13.08</v>
      </c>
      <c r="AE4407" s="217"/>
      <c r="AF4407" s="217"/>
    </row>
    <row r="4408" ht="60" hidden="1">
      <c r="A4408" s="217"/>
      <c r="B4408" s="217">
        <v>1509</v>
      </c>
      <c r="C4408" s="217"/>
      <c r="D4408" s="217" t="s">
        <v>17167</v>
      </c>
      <c r="E4408" s="471" t="s">
        <v>20665</v>
      </c>
      <c r="F4408" s="482">
        <v>92769</v>
      </c>
      <c r="G4408" s="638" t="s">
        <v>327</v>
      </c>
      <c r="H4408" s="482" t="s">
        <v>302</v>
      </c>
      <c r="I4408" s="483">
        <v>106.05</v>
      </c>
      <c r="J4408" s="473">
        <f t="shared" si="1957"/>
        <v>12.42</v>
      </c>
      <c r="K4408" s="474">
        <f t="shared" si="1964"/>
        <v>1317.1409999999998</v>
      </c>
      <c r="L4408" s="473"/>
      <c r="M4408" s="474"/>
      <c r="O4408" s="434">
        <f t="shared" si="1960"/>
        <v>12.42</v>
      </c>
      <c r="P4408" s="435">
        <f t="shared" si="1961"/>
        <v>12.26</v>
      </c>
      <c r="AE4408" s="217"/>
      <c r="AF4408" s="217"/>
    </row>
    <row r="4409" ht="60" hidden="1">
      <c r="A4409" s="217"/>
      <c r="B4409" s="217">
        <v>1509</v>
      </c>
      <c r="C4409" s="217"/>
      <c r="D4409" s="217" t="s">
        <v>17167</v>
      </c>
      <c r="E4409" s="471" t="s">
        <v>20667</v>
      </c>
      <c r="F4409" s="482">
        <v>92770</v>
      </c>
      <c r="G4409" s="638" t="s">
        <v>328</v>
      </c>
      <c r="H4409" s="482" t="s">
        <v>302</v>
      </c>
      <c r="I4409" s="483">
        <v>294.36000000000001</v>
      </c>
      <c r="J4409" s="473">
        <f t="shared" si="1957"/>
        <v>11.57</v>
      </c>
      <c r="K4409" s="474">
        <f t="shared" si="1964"/>
        <v>3405.7452000000003</v>
      </c>
      <c r="L4409" s="473"/>
      <c r="M4409" s="474"/>
      <c r="O4409" s="434">
        <f t="shared" si="1960"/>
        <v>11.57</v>
      </c>
      <c r="P4409" s="435">
        <f t="shared" si="1961"/>
        <v>11.460000000000001</v>
      </c>
      <c r="AE4409" s="217"/>
      <c r="AF4409" s="217"/>
    </row>
    <row r="4410" ht="60" hidden="1">
      <c r="A4410" s="217"/>
      <c r="B4410" s="217">
        <v>1509</v>
      </c>
      <c r="C4410" s="217"/>
      <c r="D4410" s="217" t="s">
        <v>17167</v>
      </c>
      <c r="E4410" s="471" t="s">
        <v>20671</v>
      </c>
      <c r="F4410" s="482">
        <v>104916</v>
      </c>
      <c r="G4410" s="638" t="s">
        <v>4207</v>
      </c>
      <c r="H4410" s="482" t="s">
        <v>302</v>
      </c>
      <c r="I4410" s="483">
        <v>229.78</v>
      </c>
      <c r="J4410" s="473">
        <f t="shared" si="1957"/>
        <v>16.559999999999999</v>
      </c>
      <c r="K4410" s="474">
        <f t="shared" si="1964"/>
        <v>3805.1567999999997</v>
      </c>
      <c r="L4410" s="473"/>
      <c r="M4410" s="474"/>
      <c r="O4410" s="434">
        <f t="shared" si="1960"/>
        <v>16.559999999999999</v>
      </c>
      <c r="P4410" s="435">
        <f t="shared" si="1961"/>
        <v>16.109999999999999</v>
      </c>
      <c r="AE4410" s="217"/>
      <c r="AF4410" s="217"/>
    </row>
    <row r="4411" ht="60" hidden="1">
      <c r="A4411" s="217"/>
      <c r="B4411" s="217">
        <v>1509</v>
      </c>
      <c r="C4411" s="217"/>
      <c r="D4411" s="217" t="s">
        <v>17167</v>
      </c>
      <c r="E4411" s="471" t="s">
        <v>20672</v>
      </c>
      <c r="F4411" s="482">
        <v>104917</v>
      </c>
      <c r="G4411" s="638" t="s">
        <v>4205</v>
      </c>
      <c r="H4411" s="482" t="s">
        <v>302</v>
      </c>
      <c r="I4411" s="483">
        <v>0.85999999999999999</v>
      </c>
      <c r="J4411" s="473">
        <f t="shared" si="1957"/>
        <v>15.23</v>
      </c>
      <c r="K4411" s="474">
        <f t="shared" si="1964"/>
        <v>13.097799999999999</v>
      </c>
      <c r="L4411" s="473"/>
      <c r="M4411" s="474"/>
      <c r="O4411" s="434">
        <f t="shared" si="1960"/>
        <v>15.23</v>
      </c>
      <c r="P4411" s="435">
        <f t="shared" si="1961"/>
        <v>14.91</v>
      </c>
      <c r="AE4411" s="217"/>
      <c r="AF4411" s="217"/>
    </row>
    <row r="4412" ht="60" hidden="1">
      <c r="A4412" s="217"/>
      <c r="B4412" s="217">
        <v>1509</v>
      </c>
      <c r="C4412" s="217"/>
      <c r="D4412" s="217" t="s">
        <v>17167</v>
      </c>
      <c r="E4412" s="471" t="s">
        <v>20673</v>
      </c>
      <c r="F4412" s="482">
        <v>104919</v>
      </c>
      <c r="G4412" s="638" t="s">
        <v>4204</v>
      </c>
      <c r="H4412" s="482" t="s">
        <v>302</v>
      </c>
      <c r="I4412" s="483">
        <v>584.10000000000002</v>
      </c>
      <c r="J4412" s="473">
        <f t="shared" si="1957"/>
        <v>12.449999999999999</v>
      </c>
      <c r="K4412" s="474">
        <f t="shared" si="1964"/>
        <v>7272.0450000000001</v>
      </c>
      <c r="L4412" s="473"/>
      <c r="M4412" s="474"/>
      <c r="O4412" s="434">
        <f t="shared" si="1960"/>
        <v>12.449999999999999</v>
      </c>
      <c r="P4412" s="435">
        <f t="shared" si="1961"/>
        <v>12.27</v>
      </c>
      <c r="AE4412" s="217"/>
      <c r="AF4412" s="217"/>
    </row>
    <row r="4413" ht="75" hidden="1">
      <c r="A4413" s="217"/>
      <c r="B4413" s="217">
        <v>1509</v>
      </c>
      <c r="C4413" s="217"/>
      <c r="D4413" s="217" t="s">
        <v>17167</v>
      </c>
      <c r="E4413" s="471" t="s">
        <v>20675</v>
      </c>
      <c r="F4413" s="482">
        <v>94965</v>
      </c>
      <c r="G4413" s="638" t="s">
        <v>8715</v>
      </c>
      <c r="H4413" s="482" t="s">
        <v>15528</v>
      </c>
      <c r="I4413" s="483">
        <v>3.2400000000000002</v>
      </c>
      <c r="J4413" s="473">
        <f t="shared" si="1957"/>
        <v>510.48000000000002</v>
      </c>
      <c r="K4413" s="474">
        <f t="shared" si="1964"/>
        <v>1653.9552000000001</v>
      </c>
      <c r="L4413" s="473"/>
      <c r="M4413" s="474"/>
      <c r="O4413" s="434">
        <f t="shared" si="1960"/>
        <v>510.48000000000002</v>
      </c>
      <c r="P4413" s="435">
        <f t="shared" si="1961"/>
        <v>505.23000000000002</v>
      </c>
      <c r="AE4413" s="217"/>
      <c r="AF4413" s="217"/>
    </row>
    <row r="4414" ht="45" hidden="1">
      <c r="A4414" s="217"/>
      <c r="B4414" s="217">
        <v>1509</v>
      </c>
      <c r="C4414" s="217"/>
      <c r="D4414" s="217" t="s">
        <v>20398</v>
      </c>
      <c r="E4414" s="471" t="s">
        <v>20677</v>
      </c>
      <c r="F4414" s="482">
        <v>1000</v>
      </c>
      <c r="G4414" s="488" t="s">
        <v>20651</v>
      </c>
      <c r="H4414" s="482" t="s">
        <v>15528</v>
      </c>
      <c r="I4414" s="483">
        <f>I4413</f>
        <v>3.2400000000000002</v>
      </c>
      <c r="J4414" s="473">
        <f t="shared" si="1957"/>
        <v>149.904</v>
      </c>
      <c r="K4414" s="474">
        <f t="shared" si="1964"/>
        <v>485.68896000000001</v>
      </c>
      <c r="L4414" s="473"/>
      <c r="M4414" s="474"/>
      <c r="O4414" s="434">
        <f t="shared" si="1960"/>
        <v>149.904</v>
      </c>
      <c r="P4414" s="435">
        <f t="shared" si="1961"/>
        <v>141.76949999999999</v>
      </c>
      <c r="AE4414" s="217"/>
      <c r="AF4414" s="217"/>
    </row>
    <row r="4415" ht="75" hidden="1">
      <c r="A4415" s="217"/>
      <c r="B4415" s="217">
        <v>1509</v>
      </c>
      <c r="C4415" s="217"/>
      <c r="D4415" s="217" t="s">
        <v>17167</v>
      </c>
      <c r="E4415" s="471" t="s">
        <v>20679</v>
      </c>
      <c r="F4415" s="482">
        <v>94965</v>
      </c>
      <c r="G4415" s="638" t="s">
        <v>8715</v>
      </c>
      <c r="H4415" s="482" t="s">
        <v>15528</v>
      </c>
      <c r="I4415" s="483">
        <f>(0.43+0.43+0.72+0.72+0.23+0.23+0.49+0.09+0.09+0.3+0.23+0.23+0.19+0.49+0.23+0.27+0.23+0.49+0.05+0.05+0.49+0.76+0.61+0.46+0.46+0.61+0.46+0.46+0.61+0.46+0.08+0.08+2.3)</f>
        <v>14.029999999999999</v>
      </c>
      <c r="J4415" s="473">
        <f t="shared" si="1957"/>
        <v>510.48000000000002</v>
      </c>
      <c r="K4415" s="474">
        <f t="shared" si="1964"/>
        <v>7162.0343999999996</v>
      </c>
      <c r="L4415" s="473"/>
      <c r="M4415" s="474"/>
      <c r="O4415" s="434">
        <f t="shared" si="1960"/>
        <v>510.48000000000002</v>
      </c>
      <c r="P4415" s="435">
        <f t="shared" si="1961"/>
        <v>505.23000000000002</v>
      </c>
      <c r="AE4415" s="217"/>
      <c r="AF4415" s="217"/>
    </row>
    <row r="4416" ht="60" hidden="1">
      <c r="A4416" s="217"/>
      <c r="B4416" s="217">
        <v>1509</v>
      </c>
      <c r="C4416" s="217"/>
      <c r="D4416" s="217" t="s">
        <v>17167</v>
      </c>
      <c r="E4416" s="471" t="s">
        <v>20681</v>
      </c>
      <c r="F4416" s="482">
        <v>103670</v>
      </c>
      <c r="G4416" s="488" t="s">
        <v>1387</v>
      </c>
      <c r="H4416" s="482" t="s">
        <v>15528</v>
      </c>
      <c r="I4416" s="483">
        <f>I4415</f>
        <v>14.029999999999999</v>
      </c>
      <c r="J4416" s="473">
        <f t="shared" si="1957"/>
        <v>308.60000000000002</v>
      </c>
      <c r="K4416" s="474">
        <f t="shared" si="1964"/>
        <v>4329.6580000000004</v>
      </c>
      <c r="L4416" s="473"/>
      <c r="M4416" s="474"/>
      <c r="O4416" s="434">
        <f t="shared" si="1960"/>
        <v>308.60000000000002</v>
      </c>
      <c r="P4416" s="435">
        <f t="shared" si="1961"/>
        <v>291.69999999999999</v>
      </c>
      <c r="AE4416" s="217"/>
      <c r="AF4416" s="217"/>
    </row>
    <row r="4417" ht="75" hidden="1">
      <c r="A4417" s="217"/>
      <c r="B4417" s="217">
        <v>1509</v>
      </c>
      <c r="C4417" s="217"/>
      <c r="D4417" s="217" t="s">
        <v>20398</v>
      </c>
      <c r="E4417" s="471" t="s">
        <v>20683</v>
      </c>
      <c r="F4417" s="482">
        <v>1257</v>
      </c>
      <c r="G4417" s="488" t="s">
        <v>20906</v>
      </c>
      <c r="H4417" s="482" t="s">
        <v>15515</v>
      </c>
      <c r="I4417" s="483">
        <v>67.909999999999997</v>
      </c>
      <c r="J4417" s="473">
        <f t="shared" si="1957"/>
        <v>202.65134000000003</v>
      </c>
      <c r="K4417" s="474">
        <f t="shared" si="1964"/>
        <v>13762.052499400001</v>
      </c>
      <c r="L4417" s="473"/>
      <c r="M4417" s="474"/>
      <c r="O4417" s="434">
        <f t="shared" si="1960"/>
        <v>202.65134000000003</v>
      </c>
      <c r="P4417" s="435">
        <f t="shared" si="1961"/>
        <v>197.86072000000001</v>
      </c>
      <c r="AE4417" s="217"/>
      <c r="AF4417" s="217"/>
    </row>
    <row r="4418" ht="75" hidden="1">
      <c r="A4418" s="217"/>
      <c r="B4418" s="217">
        <v>1509</v>
      </c>
      <c r="C4418" s="217"/>
      <c r="D4418" s="217" t="s">
        <v>17167</v>
      </c>
      <c r="E4418" s="471" t="s">
        <v>20685</v>
      </c>
      <c r="F4418" s="482">
        <v>87878</v>
      </c>
      <c r="G4418" s="488" t="s">
        <v>20910</v>
      </c>
      <c r="H4418" s="482" t="s">
        <v>15515</v>
      </c>
      <c r="I4418" s="483">
        <f>85.08+111.8</f>
        <v>196.88</v>
      </c>
      <c r="J4418" s="473">
        <f t="shared" si="1957"/>
        <v>5.0099999999999998</v>
      </c>
      <c r="K4418" s="474">
        <f t="shared" si="1964"/>
        <v>986.36879999999996</v>
      </c>
      <c r="L4418" s="473"/>
      <c r="M4418" s="474"/>
      <c r="O4418" s="434">
        <f t="shared" si="1960"/>
        <v>5.0099999999999998</v>
      </c>
      <c r="P4418" s="435">
        <f t="shared" si="1961"/>
        <v>4.7999999999999998</v>
      </c>
      <c r="AE4418" s="217"/>
      <c r="AF4418" s="217"/>
    </row>
    <row r="4419" ht="105" hidden="1">
      <c r="A4419" s="217"/>
      <c r="B4419" s="217">
        <v>1509</v>
      </c>
      <c r="C4419" s="217"/>
      <c r="D4419" s="217" t="s">
        <v>17167</v>
      </c>
      <c r="E4419" s="471" t="s">
        <v>20687</v>
      </c>
      <c r="F4419" s="482">
        <v>87529</v>
      </c>
      <c r="G4419" s="488" t="s">
        <v>20931</v>
      </c>
      <c r="H4419" s="482" t="s">
        <v>15515</v>
      </c>
      <c r="I4419" s="483">
        <f>85.087</f>
        <v>85.087000000000003</v>
      </c>
      <c r="J4419" s="473">
        <f t="shared" si="1957"/>
        <v>37.270000000000003</v>
      </c>
      <c r="K4419" s="474">
        <f t="shared" si="1964"/>
        <v>3171.1924900000004</v>
      </c>
      <c r="L4419" s="473"/>
      <c r="M4419" s="474"/>
      <c r="O4419" s="434">
        <f t="shared" si="1960"/>
        <v>37.270000000000003</v>
      </c>
      <c r="P4419" s="435">
        <f t="shared" si="1961"/>
        <v>35.990000000000002</v>
      </c>
      <c r="AE4419" s="217"/>
      <c r="AF4419" s="217"/>
    </row>
    <row r="4420" ht="105" hidden="1">
      <c r="A4420" s="217"/>
      <c r="B4420" s="217">
        <v>1509</v>
      </c>
      <c r="C4420" s="217"/>
      <c r="D4420" s="217" t="s">
        <v>17167</v>
      </c>
      <c r="E4420" s="471" t="s">
        <v>20689</v>
      </c>
      <c r="F4420" s="482">
        <v>5928</v>
      </c>
      <c r="G4420" s="488" t="s">
        <v>1739</v>
      </c>
      <c r="H4420" s="482" t="s">
        <v>1535</v>
      </c>
      <c r="I4420" s="483">
        <v>0.10000000000000001</v>
      </c>
      <c r="J4420" s="473">
        <f t="shared" si="1957"/>
        <v>298.70999999999998</v>
      </c>
      <c r="K4420" s="474">
        <f t="shared" si="1964"/>
        <v>29.870999999999999</v>
      </c>
      <c r="L4420" s="473"/>
      <c r="M4420" s="474"/>
      <c r="O4420" s="434">
        <f t="shared" si="1960"/>
        <v>298.70999999999998</v>
      </c>
      <c r="P4420" s="435">
        <f t="shared" si="1961"/>
        <v>296.98000000000002</v>
      </c>
      <c r="AE4420" s="217"/>
      <c r="AF4420" s="217"/>
    </row>
    <row r="4421" ht="45" hidden="1">
      <c r="A4421" s="217"/>
      <c r="B4421" s="217">
        <v>1509</v>
      </c>
      <c r="C4421" s="675"/>
      <c r="D4421" s="675" t="s">
        <v>17167</v>
      </c>
      <c r="E4421" s="471" t="s">
        <v>20882</v>
      </c>
      <c r="F4421" s="482">
        <v>93382</v>
      </c>
      <c r="G4421" s="488" t="s">
        <v>20722</v>
      </c>
      <c r="H4421" s="482" t="s">
        <v>15528</v>
      </c>
      <c r="I4421" s="483">
        <f>I4403-(6.6*3.6*5.48)</f>
        <v>111.5652</v>
      </c>
      <c r="J4421" s="473">
        <f t="shared" si="1957"/>
        <v>27.52</v>
      </c>
      <c r="K4421" s="474">
        <f t="shared" si="1964"/>
        <v>3070.274304</v>
      </c>
      <c r="L4421" s="473"/>
      <c r="M4421" s="474"/>
      <c r="O4421" s="434">
        <f t="shared" si="1960"/>
        <v>27.52</v>
      </c>
      <c r="P4421" s="435">
        <f t="shared" si="1961"/>
        <v>26.190000000000001</v>
      </c>
      <c r="AE4421" s="217"/>
      <c r="AF4421" s="217"/>
    </row>
    <row r="4422" ht="54" hidden="1" customHeight="1">
      <c r="A4422" s="460" t="s">
        <v>20343</v>
      </c>
      <c r="B4422" s="460">
        <v>2001003015</v>
      </c>
      <c r="C4422" s="460"/>
      <c r="D4422" s="460"/>
      <c r="E4422" s="461">
        <v>1</v>
      </c>
      <c r="F4422" s="462" t="s">
        <v>20343</v>
      </c>
      <c r="G4422" s="477" t="s">
        <v>22556</v>
      </c>
      <c r="H4422" s="478" t="s">
        <v>38</v>
      </c>
      <c r="I4422" s="479"/>
      <c r="J4422" s="480"/>
      <c r="K4422" s="466" t="e">
        <f>SUM(K4423:K4438)</f>
        <v>#VALUE!</v>
      </c>
      <c r="L4422" s="480"/>
      <c r="M4422" s="466" t="e">
        <f>SUM(M4423:M4438)</f>
        <v>#VALUE!</v>
      </c>
      <c r="N4422" s="467" t="s">
        <v>22557</v>
      </c>
      <c r="O4422" s="434" t="str">
        <f t="shared" si="1960"/>
        <v xml:space="preserve">SEM VALOR</v>
      </c>
      <c r="P4422" s="435" t="str">
        <f t="shared" si="1961"/>
        <v xml:space="preserve">SEM VALOR</v>
      </c>
      <c r="AE4422" s="460" t="s">
        <v>20343</v>
      </c>
      <c r="AF4422" s="460"/>
      <c r="AH4422" t="str">
        <f t="shared" ref="AH4364:AH4427" si="1965">IF(AF4422:AF4423=FALSE,AE4422,AF4422)</f>
        <v xml:space="preserve">AG -2001003015</v>
      </c>
    </row>
    <row r="4423" ht="36" hidden="1" customHeight="1">
      <c r="A4423" s="217"/>
      <c r="B4423" s="217">
        <v>2001003015</v>
      </c>
      <c r="C4423" s="217"/>
      <c r="D4423" s="641" t="s">
        <v>20408</v>
      </c>
      <c r="E4423" s="471" t="s">
        <v>20399</v>
      </c>
      <c r="F4423" s="489">
        <v>340</v>
      </c>
      <c r="G4423" s="488" t="s">
        <v>10757</v>
      </c>
      <c r="H4423" s="489" t="s">
        <v>38</v>
      </c>
      <c r="I4423" s="483" t="s">
        <v>22558</v>
      </c>
      <c r="J4423" s="473">
        <f t="shared" si="1957"/>
        <v>1.03</v>
      </c>
      <c r="K4423" s="474">
        <f t="shared" ref="K4423:K4438" si="1966">I4423*J4423</f>
        <v>38110000</v>
      </c>
      <c r="L4423" s="475">
        <f t="shared" ref="L4397:L4438" si="1967">P4423*$L$3</f>
        <v>1.03</v>
      </c>
      <c r="M4423" s="474">
        <f t="shared" ref="M4423:M4438" si="1968">L4423*I4423</f>
        <v>38110000</v>
      </c>
      <c r="O4423" s="434">
        <f t="shared" si="1960"/>
        <v>1.03</v>
      </c>
      <c r="P4423" s="435">
        <f t="shared" si="1961"/>
        <v>1.03</v>
      </c>
      <c r="AE4423" s="217"/>
      <c r="AF4423" s="217" t="s">
        <v>20343</v>
      </c>
      <c r="AH4423" t="str">
        <f t="shared" si="1965"/>
        <v xml:space="preserve">AG -2001003015</v>
      </c>
    </row>
    <row r="4424" ht="45" hidden="1">
      <c r="A4424" s="217"/>
      <c r="B4424" s="217">
        <v>2001003015</v>
      </c>
      <c r="C4424" s="217"/>
      <c r="D4424" s="641" t="s">
        <v>20408</v>
      </c>
      <c r="E4424" s="471" t="s">
        <v>20402</v>
      </c>
      <c r="F4424" s="489">
        <v>43130</v>
      </c>
      <c r="G4424" s="488" t="s">
        <v>10758</v>
      </c>
      <c r="H4424" s="489" t="s">
        <v>302</v>
      </c>
      <c r="I4424" s="483" t="s">
        <v>22558</v>
      </c>
      <c r="J4424" s="473">
        <f t="shared" si="1957"/>
        <v>18.780000000000001</v>
      </c>
      <c r="K4424" s="474">
        <f t="shared" si="1966"/>
        <v>694860000</v>
      </c>
      <c r="L4424" s="475">
        <f t="shared" si="1967"/>
        <v>18.780000000000001</v>
      </c>
      <c r="M4424" s="474">
        <f t="shared" si="1968"/>
        <v>694860000</v>
      </c>
      <c r="O4424" s="434">
        <f t="shared" si="1960"/>
        <v>18.780000000000001</v>
      </c>
      <c r="P4424" s="435">
        <f t="shared" si="1961"/>
        <v>18.780000000000001</v>
      </c>
      <c r="AE4424" s="217"/>
      <c r="AF4424" s="217" t="s">
        <v>20343</v>
      </c>
      <c r="AH4424" t="str">
        <f t="shared" si="1965"/>
        <v xml:space="preserve">AG -2001003015</v>
      </c>
    </row>
    <row r="4425" ht="45" hidden="1">
      <c r="A4425" s="217"/>
      <c r="B4425" s="217">
        <v>2001003015</v>
      </c>
      <c r="C4425" s="217"/>
      <c r="D4425" s="641" t="s">
        <v>20408</v>
      </c>
      <c r="E4425" s="471" t="s">
        <v>20405</v>
      </c>
      <c r="F4425" s="489">
        <v>370</v>
      </c>
      <c r="G4425" s="488" t="s">
        <v>10767</v>
      </c>
      <c r="H4425" s="489" t="s">
        <v>22034</v>
      </c>
      <c r="I4425" s="483" t="s">
        <v>22559</v>
      </c>
      <c r="J4425" s="473">
        <f t="shared" si="1957"/>
        <v>76</v>
      </c>
      <c r="K4425" s="474" t="e">
        <f t="shared" si="1966"/>
        <v>#VALUE!</v>
      </c>
      <c r="L4425" s="475">
        <f t="shared" si="1967"/>
        <v>76</v>
      </c>
      <c r="M4425" s="474" t="e">
        <f t="shared" si="1968"/>
        <v>#VALUE!</v>
      </c>
      <c r="O4425" s="434">
        <f t="shared" si="1960"/>
        <v>76</v>
      </c>
      <c r="P4425" s="435">
        <f t="shared" si="1961"/>
        <v>76</v>
      </c>
      <c r="AE4425" s="217"/>
      <c r="AF4425" s="217" t="s">
        <v>20343</v>
      </c>
      <c r="AH4425" t="str">
        <f t="shared" si="1965"/>
        <v xml:space="preserve">AG -2001003015</v>
      </c>
    </row>
    <row r="4426" ht="45" hidden="1">
      <c r="A4426" s="217"/>
      <c r="B4426" s="217">
        <v>2001003015</v>
      </c>
      <c r="C4426" s="217"/>
      <c r="D4426" s="641" t="s">
        <v>20408</v>
      </c>
      <c r="E4426" s="471" t="s">
        <v>20409</v>
      </c>
      <c r="F4426" s="489">
        <v>4720</v>
      </c>
      <c r="G4426" s="488" t="s">
        <v>13718</v>
      </c>
      <c r="H4426" s="489" t="s">
        <v>22034</v>
      </c>
      <c r="I4426" s="483" t="s">
        <v>22560</v>
      </c>
      <c r="J4426" s="473">
        <f t="shared" si="1957"/>
        <v>116.02</v>
      </c>
      <c r="K4426" s="474" t="e">
        <f t="shared" si="1966"/>
        <v>#VALUE!</v>
      </c>
      <c r="L4426" s="475">
        <f t="shared" si="1967"/>
        <v>116.02</v>
      </c>
      <c r="M4426" s="474" t="e">
        <f t="shared" si="1968"/>
        <v>#VALUE!</v>
      </c>
      <c r="O4426" s="434">
        <f t="shared" si="1960"/>
        <v>116.02</v>
      </c>
      <c r="P4426" s="435">
        <f t="shared" si="1961"/>
        <v>116.02</v>
      </c>
      <c r="AE4426" s="217"/>
      <c r="AF4426" s="217" t="s">
        <v>20343</v>
      </c>
      <c r="AH4426" t="str">
        <f t="shared" si="1965"/>
        <v xml:space="preserve">AG -2001003015</v>
      </c>
    </row>
    <row r="4427" ht="30" hidden="1">
      <c r="A4427" s="217"/>
      <c r="B4427" s="217">
        <v>2001003015</v>
      </c>
      <c r="C4427" s="217"/>
      <c r="D4427" s="641" t="s">
        <v>20408</v>
      </c>
      <c r="E4427" s="471" t="s">
        <v>20663</v>
      </c>
      <c r="F4427" s="489">
        <v>1106</v>
      </c>
      <c r="G4427" s="488" t="s">
        <v>11378</v>
      </c>
      <c r="H4427" s="489" t="s">
        <v>21801</v>
      </c>
      <c r="I4427" s="483" t="s">
        <v>22561</v>
      </c>
      <c r="J4427" s="473">
        <f t="shared" si="1957"/>
        <v>1.3100000000000001</v>
      </c>
      <c r="K4427" s="474">
        <f t="shared" si="1966"/>
        <v>70124300</v>
      </c>
      <c r="L4427" s="475">
        <f t="shared" si="1967"/>
        <v>1.3100000000000001</v>
      </c>
      <c r="M4427" s="474">
        <f t="shared" si="1968"/>
        <v>70124300</v>
      </c>
      <c r="O4427" s="434">
        <f t="shared" si="1960"/>
        <v>1.3100000000000001</v>
      </c>
      <c r="P4427" s="435">
        <f t="shared" si="1961"/>
        <v>1.3100000000000001</v>
      </c>
      <c r="AE4427" s="217"/>
      <c r="AF4427" s="217" t="s">
        <v>20343</v>
      </c>
      <c r="AH4427" t="str">
        <f t="shared" si="1965"/>
        <v xml:space="preserve">AG -2001003015</v>
      </c>
    </row>
    <row r="4428" ht="18.75" hidden="1" customHeight="1">
      <c r="A4428" s="217"/>
      <c r="B4428" s="217">
        <v>2001003015</v>
      </c>
      <c r="C4428" s="217"/>
      <c r="D4428" s="641" t="s">
        <v>20408</v>
      </c>
      <c r="E4428" s="471" t="s">
        <v>20665</v>
      </c>
      <c r="F4428" s="489">
        <v>11161</v>
      </c>
      <c r="G4428" s="488" t="s">
        <v>11379</v>
      </c>
      <c r="H4428" s="489" t="s">
        <v>21801</v>
      </c>
      <c r="I4428" s="483" t="s">
        <v>22562</v>
      </c>
      <c r="J4428" s="473">
        <f t="shared" si="1957"/>
        <v>2.1899999999999999</v>
      </c>
      <c r="K4428" s="474" t="e">
        <f t="shared" si="1966"/>
        <v>#VALUE!</v>
      </c>
      <c r="L4428" s="475">
        <f t="shared" si="1967"/>
        <v>2.1899999999999999</v>
      </c>
      <c r="M4428" s="474" t="e">
        <f t="shared" si="1968"/>
        <v>#VALUE!</v>
      </c>
      <c r="O4428" s="434">
        <f t="shared" si="1960"/>
        <v>2.1899999999999999</v>
      </c>
      <c r="P4428" s="435">
        <f t="shared" si="1961"/>
        <v>2.1899999999999999</v>
      </c>
      <c r="AE4428" s="217"/>
      <c r="AF4428" s="217" t="s">
        <v>20343</v>
      </c>
      <c r="AH4428" t="str">
        <f t="shared" ref="AH4428:AH4438" si="1969">IF(AF4428:AF4429=FALSE,AE4428,AF4428)</f>
        <v xml:space="preserve">AG -2001003015</v>
      </c>
    </row>
    <row r="4429" ht="30" hidden="1">
      <c r="A4429" s="217"/>
      <c r="B4429" s="217">
        <v>2001003015</v>
      </c>
      <c r="C4429" s="217"/>
      <c r="D4429" s="641" t="s">
        <v>20408</v>
      </c>
      <c r="E4429" s="471" t="s">
        <v>20667</v>
      </c>
      <c r="F4429" s="489">
        <v>1379</v>
      </c>
      <c r="G4429" s="488" t="s">
        <v>11588</v>
      </c>
      <c r="H4429" s="489" t="s">
        <v>21801</v>
      </c>
      <c r="I4429" s="483" t="s">
        <v>22563</v>
      </c>
      <c r="J4429" s="473">
        <f t="shared" si="1957"/>
        <v>0.82999999999999996</v>
      </c>
      <c r="K4429" s="474">
        <f t="shared" si="1966"/>
        <v>72815900</v>
      </c>
      <c r="L4429" s="475">
        <f t="shared" si="1967"/>
        <v>0.82999999999999996</v>
      </c>
      <c r="M4429" s="474">
        <f t="shared" si="1968"/>
        <v>72815900</v>
      </c>
      <c r="O4429" s="434">
        <f t="shared" si="1960"/>
        <v>0.82999999999999996</v>
      </c>
      <c r="P4429" s="435">
        <f t="shared" si="1961"/>
        <v>0.82999999999999996</v>
      </c>
      <c r="AE4429" s="217"/>
      <c r="AF4429" s="217" t="s">
        <v>20343</v>
      </c>
      <c r="AH4429" t="str">
        <f t="shared" si="1969"/>
        <v xml:space="preserve">AG -2001003015</v>
      </c>
    </row>
    <row r="4430" ht="34.5" hidden="1" customHeight="1">
      <c r="A4430" s="217"/>
      <c r="B4430" s="217">
        <v>2001003015</v>
      </c>
      <c r="C4430" s="217"/>
      <c r="D4430" s="641" t="s">
        <v>20408</v>
      </c>
      <c r="E4430" s="471" t="s">
        <v>20671</v>
      </c>
      <c r="F4430" s="489">
        <v>4102</v>
      </c>
      <c r="G4430" s="488" t="s">
        <v>13513</v>
      </c>
      <c r="H4430" s="489" t="s">
        <v>20647</v>
      </c>
      <c r="I4430" s="483" t="s">
        <v>22564</v>
      </c>
      <c r="J4430" s="473">
        <f t="shared" si="1957"/>
        <v>72</v>
      </c>
      <c r="K4430" s="474" t="e">
        <f t="shared" si="1966"/>
        <v>#VALUE!</v>
      </c>
      <c r="L4430" s="475">
        <f t="shared" si="1967"/>
        <v>72</v>
      </c>
      <c r="M4430" s="474" t="e">
        <f t="shared" si="1968"/>
        <v>#VALUE!</v>
      </c>
      <c r="O4430" s="434">
        <f t="shared" si="1960"/>
        <v>72</v>
      </c>
      <c r="P4430" s="435">
        <f t="shared" si="1961"/>
        <v>72</v>
      </c>
      <c r="AE4430" s="217"/>
      <c r="AF4430" s="217" t="s">
        <v>20343</v>
      </c>
      <c r="AH4430" t="str">
        <f t="shared" si="1969"/>
        <v xml:space="preserve">AG -2001003015</v>
      </c>
    </row>
    <row r="4431" ht="45" hidden="1">
      <c r="A4431" s="217"/>
      <c r="B4431" s="217">
        <v>2001003015</v>
      </c>
      <c r="C4431" s="217"/>
      <c r="D4431" s="641" t="s">
        <v>20408</v>
      </c>
      <c r="E4431" s="471" t="s">
        <v>20672</v>
      </c>
      <c r="F4431" s="489">
        <v>2692</v>
      </c>
      <c r="G4431" s="488" t="s">
        <v>12151</v>
      </c>
      <c r="H4431" s="489" t="s">
        <v>21404</v>
      </c>
      <c r="I4431" s="483" t="s">
        <v>22565</v>
      </c>
      <c r="J4431" s="473">
        <f t="shared" si="1957"/>
        <v>6.6100000000000003</v>
      </c>
      <c r="K4431" s="474" t="e">
        <f t="shared" si="1966"/>
        <v>#VALUE!</v>
      </c>
      <c r="L4431" s="475">
        <f t="shared" si="1967"/>
        <v>6.6100000000000003</v>
      </c>
      <c r="M4431" s="474" t="e">
        <f t="shared" si="1968"/>
        <v>#VALUE!</v>
      </c>
      <c r="O4431" s="434">
        <f t="shared" si="1960"/>
        <v>6.6100000000000003</v>
      </c>
      <c r="P4431" s="435">
        <f t="shared" si="1961"/>
        <v>6.6100000000000003</v>
      </c>
      <c r="AE4431" s="217"/>
      <c r="AF4431" s="217" t="s">
        <v>20343</v>
      </c>
      <c r="AH4431" t="str">
        <f t="shared" si="1969"/>
        <v xml:space="preserve">AG -2001003015</v>
      </c>
    </row>
    <row r="4432" ht="30" hidden="1">
      <c r="A4432" s="217"/>
      <c r="B4432" s="217">
        <v>2001003015</v>
      </c>
      <c r="C4432" s="217"/>
      <c r="D4432" s="641" t="s">
        <v>20408</v>
      </c>
      <c r="E4432" s="471" t="s">
        <v>20673</v>
      </c>
      <c r="F4432" s="489">
        <v>7258</v>
      </c>
      <c r="G4432" s="488" t="s">
        <v>22566</v>
      </c>
      <c r="H4432" s="489" t="s">
        <v>20647</v>
      </c>
      <c r="I4432" s="483" t="s">
        <v>22567</v>
      </c>
      <c r="J4432" s="473">
        <f t="shared" si="1957"/>
        <v>0.66000000000000003</v>
      </c>
      <c r="K4432" s="474">
        <f t="shared" si="1966"/>
        <v>277200000</v>
      </c>
      <c r="L4432" s="475">
        <f t="shared" si="1967"/>
        <v>0.66000000000000003</v>
      </c>
      <c r="M4432" s="474">
        <f t="shared" si="1968"/>
        <v>277200000</v>
      </c>
      <c r="O4432" s="434">
        <f t="shared" si="1960"/>
        <v>0.66000000000000003</v>
      </c>
      <c r="P4432" s="435">
        <f t="shared" si="1961"/>
        <v>0.66000000000000003</v>
      </c>
      <c r="AE4432" s="217"/>
      <c r="AF4432" s="217" t="s">
        <v>20343</v>
      </c>
      <c r="AH4432" t="str">
        <f t="shared" si="1969"/>
        <v xml:space="preserve">AG -2001003015</v>
      </c>
    </row>
    <row r="4433" ht="45" hidden="1">
      <c r="A4433" s="217"/>
      <c r="B4433" s="217">
        <v>2001003015</v>
      </c>
      <c r="C4433" s="217"/>
      <c r="D4433" s="641" t="s">
        <v>20408</v>
      </c>
      <c r="E4433" s="471" t="s">
        <v>20675</v>
      </c>
      <c r="F4433" s="489">
        <v>4415</v>
      </c>
      <c r="G4433" s="488" t="s">
        <v>22568</v>
      </c>
      <c r="H4433" s="489" t="s">
        <v>21420</v>
      </c>
      <c r="I4433" s="483" t="s">
        <v>22569</v>
      </c>
      <c r="J4433" s="473">
        <f t="shared" si="1957"/>
        <v>5.5899999999999999</v>
      </c>
      <c r="K4433" s="474" t="e">
        <f t="shared" si="1966"/>
        <v>#VALUE!</v>
      </c>
      <c r="L4433" s="475">
        <f t="shared" si="1967"/>
        <v>5.5899999999999999</v>
      </c>
      <c r="M4433" s="474" t="e">
        <f t="shared" si="1968"/>
        <v>#VALUE!</v>
      </c>
      <c r="O4433" s="434">
        <f t="shared" si="1960"/>
        <v>5.5899999999999999</v>
      </c>
      <c r="P4433" s="435">
        <f t="shared" si="1961"/>
        <v>5.5899999999999999</v>
      </c>
      <c r="AE4433" s="217"/>
      <c r="AF4433" s="217" t="s">
        <v>20343</v>
      </c>
      <c r="AH4433" t="str">
        <f t="shared" si="1969"/>
        <v xml:space="preserve">AG -2001003015</v>
      </c>
    </row>
    <row r="4434" ht="60" hidden="1">
      <c r="A4434" s="217"/>
      <c r="B4434" s="217">
        <v>2001003015</v>
      </c>
      <c r="C4434" s="217"/>
      <c r="D4434" s="641" t="s">
        <v>20408</v>
      </c>
      <c r="E4434" s="471" t="s">
        <v>20677</v>
      </c>
      <c r="F4434" s="489">
        <v>7158</v>
      </c>
      <c r="G4434" s="488" t="s">
        <v>14644</v>
      </c>
      <c r="H4434" s="489" t="s">
        <v>15515</v>
      </c>
      <c r="I4434" s="483" t="s">
        <v>22570</v>
      </c>
      <c r="J4434" s="473">
        <f t="shared" si="1957"/>
        <v>33.469999999999999</v>
      </c>
      <c r="K4434" s="474">
        <f t="shared" si="1966"/>
        <v>485315000</v>
      </c>
      <c r="L4434" s="475">
        <f t="shared" si="1967"/>
        <v>33.469999999999999</v>
      </c>
      <c r="M4434" s="474">
        <f t="shared" si="1968"/>
        <v>485315000</v>
      </c>
      <c r="O4434" s="434">
        <f t="shared" si="1960"/>
        <v>33.469999999999999</v>
      </c>
      <c r="P4434" s="435">
        <f t="shared" si="1961"/>
        <v>33.469999999999999</v>
      </c>
      <c r="AE4434" s="217"/>
      <c r="AF4434" s="217" t="s">
        <v>20343</v>
      </c>
      <c r="AH4434" t="str">
        <f t="shared" si="1969"/>
        <v xml:space="preserve">AG -2001003015</v>
      </c>
    </row>
    <row r="4435" ht="30" hidden="1">
      <c r="A4435" s="217"/>
      <c r="B4435" s="217">
        <v>2001003015</v>
      </c>
      <c r="C4435" s="217"/>
      <c r="D4435" s="641" t="s">
        <v>17167</v>
      </c>
      <c r="E4435" s="471" t="s">
        <v>20679</v>
      </c>
      <c r="F4435" s="482">
        <v>88309</v>
      </c>
      <c r="G4435" s="488" t="s">
        <v>7385</v>
      </c>
      <c r="H4435" s="489" t="s">
        <v>2032</v>
      </c>
      <c r="I4435" s="483" t="s">
        <v>22571</v>
      </c>
      <c r="J4435" s="473">
        <f t="shared" si="1957"/>
        <v>28.5</v>
      </c>
      <c r="K4435" s="474">
        <f t="shared" si="1966"/>
        <v>435765000</v>
      </c>
      <c r="L4435" s="475">
        <f t="shared" si="1967"/>
        <v>26.870000000000001</v>
      </c>
      <c r="M4435" s="474">
        <f t="shared" si="1968"/>
        <v>410842300</v>
      </c>
      <c r="O4435" s="434">
        <f t="shared" si="1960"/>
        <v>28.5</v>
      </c>
      <c r="P4435" s="435">
        <f t="shared" si="1961"/>
        <v>26.870000000000001</v>
      </c>
      <c r="AE4435" s="217"/>
      <c r="AF4435" s="217" t="s">
        <v>20343</v>
      </c>
      <c r="AH4435" t="str">
        <f t="shared" si="1969"/>
        <v xml:space="preserve">AG -2001003015</v>
      </c>
    </row>
    <row r="4436" ht="30" hidden="1">
      <c r="A4436" s="217"/>
      <c r="B4436" s="217">
        <v>2001003015</v>
      </c>
      <c r="C4436" s="217"/>
      <c r="D4436" s="641" t="s">
        <v>17167</v>
      </c>
      <c r="E4436" s="471" t="s">
        <v>20681</v>
      </c>
      <c r="F4436" s="489">
        <v>88310</v>
      </c>
      <c r="G4436" s="488" t="s">
        <v>7386</v>
      </c>
      <c r="H4436" s="489" t="s">
        <v>2032</v>
      </c>
      <c r="I4436" s="483" t="s">
        <v>22572</v>
      </c>
      <c r="J4436" s="473">
        <f t="shared" si="1957"/>
        <v>30.210000000000001</v>
      </c>
      <c r="K4436" s="474" t="e">
        <f t="shared" si="1966"/>
        <v>#VALUE!</v>
      </c>
      <c r="L4436" s="475">
        <f t="shared" si="1967"/>
        <v>28.600000000000001</v>
      </c>
      <c r="M4436" s="474" t="e">
        <f t="shared" si="1968"/>
        <v>#VALUE!</v>
      </c>
      <c r="O4436" s="434">
        <f t="shared" si="1960"/>
        <v>30.210000000000001</v>
      </c>
      <c r="P4436" s="435">
        <f t="shared" si="1961"/>
        <v>28.600000000000001</v>
      </c>
      <c r="AE4436" s="217"/>
      <c r="AF4436" s="217" t="s">
        <v>20343</v>
      </c>
      <c r="AH4436" t="str">
        <f t="shared" si="1969"/>
        <v xml:space="preserve">AG -2001003015</v>
      </c>
    </row>
    <row r="4437" ht="30" hidden="1">
      <c r="A4437" s="217"/>
      <c r="B4437" s="217">
        <v>2001003015</v>
      </c>
      <c r="C4437" s="217"/>
      <c r="D4437" s="641" t="s">
        <v>17167</v>
      </c>
      <c r="E4437" s="471" t="s">
        <v>20683</v>
      </c>
      <c r="F4437" s="489">
        <v>88316</v>
      </c>
      <c r="G4437" s="488" t="s">
        <v>7393</v>
      </c>
      <c r="H4437" s="489" t="s">
        <v>2032</v>
      </c>
      <c r="I4437" s="483" t="s">
        <v>22573</v>
      </c>
      <c r="J4437" s="473">
        <f t="shared" si="1957"/>
        <v>22.760000000000002</v>
      </c>
      <c r="K4437" s="474">
        <f t="shared" si="1966"/>
        <v>442454400.00000006</v>
      </c>
      <c r="L4437" s="475">
        <f t="shared" si="1967"/>
        <v>21.550000000000001</v>
      </c>
      <c r="M4437" s="474">
        <f t="shared" si="1968"/>
        <v>418932000</v>
      </c>
      <c r="O4437" s="434">
        <f t="shared" si="1960"/>
        <v>22.760000000000002</v>
      </c>
      <c r="P4437" s="435">
        <f t="shared" si="1961"/>
        <v>21.550000000000001</v>
      </c>
      <c r="AE4437" s="217"/>
      <c r="AF4437" s="217" t="s">
        <v>20343</v>
      </c>
      <c r="AH4437" t="str">
        <f t="shared" si="1969"/>
        <v xml:space="preserve">AG -2001003015</v>
      </c>
    </row>
    <row r="4438" ht="30" hidden="1">
      <c r="A4438" s="217"/>
      <c r="B4438" s="217">
        <v>2001003015</v>
      </c>
      <c r="C4438" s="217"/>
      <c r="D4438" s="641" t="s">
        <v>17167</v>
      </c>
      <c r="E4438" s="471" t="s">
        <v>20685</v>
      </c>
      <c r="F4438" s="489">
        <v>88252</v>
      </c>
      <c r="G4438" s="488" t="s">
        <v>7117</v>
      </c>
      <c r="H4438" s="489" t="s">
        <v>2032</v>
      </c>
      <c r="I4438" s="483" t="s">
        <v>22574</v>
      </c>
      <c r="J4438" s="473">
        <f t="shared" si="1957"/>
        <v>22.609999999999999</v>
      </c>
      <c r="K4438" s="474" t="e">
        <f t="shared" si="1966"/>
        <v>#VALUE!</v>
      </c>
      <c r="L4438" s="475">
        <f t="shared" si="1967"/>
        <v>21.399999999999999</v>
      </c>
      <c r="M4438" s="474" t="e">
        <f t="shared" si="1968"/>
        <v>#VALUE!</v>
      </c>
      <c r="O4438" s="434">
        <f t="shared" si="1960"/>
        <v>22.609999999999999</v>
      </c>
      <c r="P4438" s="435">
        <f t="shared" si="1961"/>
        <v>21.399999999999999</v>
      </c>
      <c r="AE4438" s="217"/>
      <c r="AF4438" s="217" t="s">
        <v>20343</v>
      </c>
      <c r="AH4438" t="str">
        <f t="shared" si="1969"/>
        <v xml:space="preserve">AG -2001003015</v>
      </c>
    </row>
    <row r="4439">
      <c r="E4439" s="439"/>
      <c r="F4439" s="676"/>
      <c r="G4439" s="677"/>
      <c r="H4439" s="441"/>
      <c r="I4439" s="678"/>
      <c r="J4439" s="679"/>
      <c r="K4439" s="680"/>
      <c r="L4439" s="679"/>
      <c r="M4439" s="680"/>
    </row>
    <row r="4440">
      <c r="E4440" s="439"/>
      <c r="F4440" s="676"/>
      <c r="G4440" s="677"/>
      <c r="H4440" s="441"/>
      <c r="I4440" s="678"/>
      <c r="J4440" s="679"/>
      <c r="K4440" s="680"/>
      <c r="L4440" s="679"/>
      <c r="M4440" s="680"/>
    </row>
    <row r="4443">
      <c r="J4443" s="258" t="s">
        <v>20375</v>
      </c>
    </row>
    <row r="4444">
      <c r="J4444" s="258" t="s">
        <v>20376</v>
      </c>
    </row>
  </sheetData>
  <autoFilter ref="A5:AJ4438">
    <filterColumn colId="1">
      <filters>
        <filter val="1000"/>
        <filter val="1023"/>
        <filter val="1036"/>
        <filter val="1043"/>
        <filter val="1045"/>
        <filter val="1050"/>
        <filter val="1067"/>
        <filter val="1071"/>
        <filter val="1082"/>
        <filter val="1091"/>
        <filter val="1092"/>
        <filter val="1096"/>
        <filter val="1130"/>
        <filter val="1201"/>
        <filter val="1244"/>
        <filter val="1253"/>
        <filter val="1258"/>
        <filter val="1259"/>
        <filter val="1265"/>
        <filter val="1267"/>
        <filter val="1270"/>
        <filter val="1272"/>
        <filter val="1273"/>
        <filter val="1274"/>
        <filter val="1277"/>
        <filter val="1278"/>
        <filter val="1281"/>
        <filter val="1282"/>
        <filter val="1283"/>
        <filter val="1284"/>
        <filter val="1376"/>
        <filter val="1403"/>
        <filter val="1440"/>
        <filter val="1473"/>
        <filter val="1474"/>
        <filter val="1475"/>
      </filters>
    </filterColumn>
  </autoFilter>
  <mergeCells count="10">
    <mergeCell ref="Z2447:AC2447"/>
    <mergeCell ref="F2448:G2448"/>
    <mergeCell ref="F2449:G2449"/>
    <mergeCell ref="F2452:G2452"/>
    <mergeCell ref="F2456:G2456"/>
    <mergeCell ref="F2457:G2457"/>
    <mergeCell ref="F2460:G2460"/>
    <mergeCell ref="F2463:G2463"/>
    <mergeCell ref="F2464:G2464"/>
    <mergeCell ref="F2468:G2468"/>
  </mergeCells>
  <printOptions headings="0" gridLines="0"/>
  <pageMargins left="0.74803149606299213" right="0.74803149606299213" top="0.98425196850393704" bottom="0.98425196850393704" header="0.51181102362204689" footer="0.51181102362204689"/>
  <pageSetup paperSize="9" scale="50" firstPageNumber="2147483647" fitToWidth="1" fitToHeight="0" pageOrder="downThenOver" orientation="portrait" usePrinterDefaults="1" blackAndWhite="0" draft="0" cellComments="none" useFirstPageNumber="0" errors="displayed" horizontalDpi="600" verticalDpi="600" copies="1"/>
  <headerFooter scaleWithDoc="0">
    <oddFooter>&amp;R&amp;P/&amp;N</oddFooter>
  </headerFooter>
  <drawing r:id="rId3"/>
  <legacyDrawing r:id="rId4"/>
  <extLst>
    <ext xmlns:x14="http://schemas.microsoft.com/office/spreadsheetml/2009/9/main" uri="{78C0D931-6437-407d-A8EE-F0AAD7539E65}">
      <x14:conditionalFormattings>
        <x14:conditionalFormatting xmlns:xm="http://schemas.microsoft.com/office/excel/2006/main">
          <x14:cfRule type="duplicateValues" priority="11" stopIfTrue="1" id="{00860024-009A-4C58-B180-00B5001600D1}">
            <x14:dxf>
              <font>
                <color rgb="FF9C0006"/>
              </font>
              <fill>
                <patternFill patternType="solid">
                  <fgColor rgb="FFFFC7CE"/>
                  <bgColor rgb="FFFFC7CE"/>
                </patternFill>
              </fill>
            </x14:dxf>
          </x14:cfRule>
          <xm:sqref>J4443</xm:sqref>
        </x14:conditionalFormatting>
        <x14:conditionalFormatting xmlns:xm="http://schemas.microsoft.com/office/excel/2006/main">
          <x14:cfRule type="duplicateValues" priority="10" stopIfTrue="1" id="{005D00BE-000D-4D25-A388-001A00520090}">
            <x14:dxf>
              <font>
                <color rgb="FF9C0006"/>
              </font>
              <fill>
                <patternFill patternType="solid">
                  <fgColor rgb="FFFFC7CE"/>
                  <bgColor rgb="FFFFC7CE"/>
                </patternFill>
              </fill>
            </x14:dxf>
          </x14:cfRule>
          <xm:sqref>J4444</xm:sqref>
        </x14:conditionalFormatting>
        <x14:conditionalFormatting xmlns:xm="http://schemas.microsoft.com/office/excel/2006/main">
          <x14:cfRule type="duplicateValues" priority="8" stopIfTrue="1" id="{002B00F3-0053-458D-BA81-00AF001A0096}">
            <x14:dxf>
              <font>
                <color rgb="FF9C0006"/>
              </font>
              <fill>
                <patternFill patternType="solid">
                  <fgColor rgb="FFFFC7CE"/>
                  <bgColor rgb="FFFFC7CE"/>
                </patternFill>
              </fill>
            </x14:dxf>
          </x14:cfRule>
          <xm:sqref>J991</xm:sqref>
        </x14:conditionalFormatting>
        <x14:conditionalFormatting xmlns:xm="http://schemas.microsoft.com/office/excel/2006/main">
          <x14:cfRule type="duplicateValues" priority="7" stopIfTrue="1" id="{0058001E-0023-4D28-82BC-0030005B006C}">
            <x14:dxf>
              <font>
                <color rgb="FF9C0006"/>
              </font>
              <fill>
                <patternFill patternType="solid">
                  <fgColor rgb="FFFFC7CE"/>
                  <bgColor rgb="FFFFC7CE"/>
                </patternFill>
              </fill>
            </x14:dxf>
          </x14:cfRule>
          <xm:sqref>J992</xm:sqref>
        </x14:conditionalFormatting>
        <x14:conditionalFormatting xmlns:xm="http://schemas.microsoft.com/office/excel/2006/main">
          <x14:cfRule type="duplicateValues" priority="6" stopIfTrue="1" id="{00DE00C2-0027-4693-B4D8-003C00B3005A}">
            <x14:dxf>
              <font>
                <color rgb="FF9C0006"/>
              </font>
              <fill>
                <patternFill patternType="solid">
                  <fgColor rgb="FFFFC7CE"/>
                  <bgColor rgb="FFFFC7CE"/>
                </patternFill>
              </fill>
            </x14:dxf>
          </x14:cfRule>
          <xm:sqref>L991</xm:sqref>
        </x14:conditionalFormatting>
        <x14:conditionalFormatting xmlns:xm="http://schemas.microsoft.com/office/excel/2006/main">
          <x14:cfRule type="duplicateValues" priority="5" stopIfTrue="1" id="{00CC0005-007C-45EF-9E49-00D700F700F0}">
            <x14:dxf>
              <font>
                <color rgb="FF9C0006"/>
              </font>
              <fill>
                <patternFill patternType="solid">
                  <fgColor rgb="FFFFC7CE"/>
                  <bgColor rgb="FFFFC7CE"/>
                </patternFill>
              </fill>
            </x14:dxf>
          </x14:cfRule>
          <xm:sqref>L992</xm:sqref>
        </x14:conditionalFormatting>
        <x14:conditionalFormatting xmlns:xm="http://schemas.microsoft.com/office/excel/2006/main">
          <x14:cfRule type="cellIs" priority="4" operator="equal" id="{00C60030-0036-4761-99DA-00EA00B00081}">
            <xm:f>"VERIFICAR"</xm:f>
            <x14:dxf>
              <font>
                <color rgb="FF9C0006"/>
              </font>
              <fill>
                <patternFill patternType="solid">
                  <fgColor rgb="FFFFC7CE"/>
                  <bgColor rgb="FFFFC7CE"/>
                </patternFill>
              </fill>
            </x14:dxf>
          </x14:cfRule>
          <xm:sqref>R3973</xm:sqref>
        </x14:conditionalFormatting>
        <x14:conditionalFormatting xmlns:xm="http://schemas.microsoft.com/office/excel/2006/main">
          <x14:cfRule type="cellIs" priority="3" operator="equal" id="{00830030-00D9-4590-982A-00BF009A00A3}">
            <xm:f>"VERIFICAR"</xm:f>
            <x14:dxf>
              <font>
                <color rgb="FF9C0006"/>
              </font>
              <fill>
                <patternFill patternType="solid">
                  <fgColor rgb="FFFFC7CE"/>
                  <bgColor rgb="FFFFC7CE"/>
                </patternFill>
              </fill>
            </x14:dxf>
          </x14:cfRule>
          <xm:sqref>R3977</xm:sqref>
        </x14:conditionalFormatting>
        <x14:conditionalFormatting xmlns:xm="http://schemas.microsoft.com/office/excel/2006/main">
          <x14:cfRule type="cellIs" priority="2" operator="equal" id="{004E0018-00E1-402A-B825-0085002400B1}">
            <xm:f>"VERIFICAR"</xm:f>
            <x14:dxf>
              <font>
                <color rgb="FF9C0006"/>
              </font>
              <fill>
                <patternFill patternType="solid">
                  <fgColor rgb="FFFFC7CE"/>
                  <bgColor rgb="FFFFC7CE"/>
                </patternFill>
              </fill>
            </x14:dxf>
          </x14:cfRule>
          <xm:sqref>L4251:L4252</xm:sqref>
        </x14:conditionalFormatting>
      </x14:conditionalFormattings>
    </ext>
    <ext xmlns:x14="http://schemas.microsoft.com/office/spreadsheetml/2009/9/main" uri="{CCE6A557-97BC-4b89-ADB6-D9C93CAAB3DF}">
      <x14:dataValidations xmlns:xm="http://schemas.microsoft.com/office/excel/2006/main" count="1" disablePrompts="0">
        <x14:dataValidation xr:uid="{0085009D-003B-425F-AF94-00D200F3004A}" type="list" allowBlank="0" errorStyle="stop" imeMode="noControl" operator="between" showDropDown="0" showErrorMessage="1" showInputMessage="1">
          <x14:formula1>
            <xm:f>$T$1:$T$5</xm:f>
          </x14:formula1>
          <xm:sqref>D6:D164 D166:D759 D761:D3793 D3795:D3804 D3806:D4445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Views>
    <sheetView topLeftCell="A440" zoomScale="100" workbookViewId="0">
      <selection activeCell="B453" activeCellId="0" sqref="B453"/>
    </sheetView>
  </sheetViews>
  <sheetFormatPr defaultColWidth="9.140625" defaultRowHeight="13.5"/>
  <cols>
    <col min="1" max="1" style="681" width="9.140625"/>
    <col customWidth="1" min="2" max="2" style="682" width="87.28515625"/>
    <col customWidth="1" min="3" max="3" style="50" width="69.28515625"/>
    <col min="4" max="16384" style="50" width="9.140625"/>
  </cols>
  <sheetData>
    <row r="1" s="69" customFormat="1" ht="15.75">
      <c r="A1" s="683" t="str">
        <f>ORÇAMENTO!A1</f>
        <v xml:space="preserve">OBJETO: RESTAURAÇÃO FUNCIONAL DO PAVIMENTO E SINALIZAÇÃO VIÁRIA</v>
      </c>
      <c r="B1" s="683"/>
    </row>
    <row r="2" s="69" customFormat="1" ht="54" customHeight="1">
      <c r="A2" s="683" t="str">
        <f>ORÇAMENTO!A2</f>
        <v xml:space="preserve">LOCAL: QUADRILÁTERO ENTRE AS RUAS JOSUÉ GARCIA PIRES, MANOEL RASSELEN, CAFELÂNDIA E AV. HAYEL BON FAKER / RUA ERNESTO M. DE CARVALHO E ADJACÊNCIAS</v>
      </c>
      <c r="B2" s="683"/>
    </row>
    <row r="3" s="69" customFormat="1" ht="15">
      <c r="A3" s="683" t="str">
        <f>ORÇAMENTO!A3</f>
        <v xml:space="preserve">MUNICÍPIO:  DOURADOS/MS</v>
      </c>
      <c r="B3" s="684"/>
    </row>
    <row r="4" s="69" customFormat="1" ht="14.25" customHeight="1">
      <c r="A4" s="685" t="str">
        <f>ORÇAMENTO!A4</f>
        <v xml:space="preserve">DATA/BASE: SINAPI (S) = MARÇO/2026 ONERADO </v>
      </c>
      <c r="B4" s="686"/>
    </row>
    <row r="5" s="69" customFormat="1">
      <c r="A5" s="681"/>
      <c r="B5" s="687"/>
    </row>
    <row r="6" s="69" customFormat="1">
      <c r="A6" s="681"/>
      <c r="B6" s="688" t="s">
        <v>22575</v>
      </c>
    </row>
    <row r="7" s="69" customFormat="1">
      <c r="A7" s="681"/>
      <c r="B7" s="688"/>
    </row>
    <row r="8" s="69" customFormat="1">
      <c r="A8" s="689" t="str">
        <f>ORÇAMENTO!B10</f>
        <v>1.0</v>
      </c>
      <c r="B8" s="687" t="str">
        <f>ORÇAMENTO!D10</f>
        <v xml:space="preserve">SERVIÇOS PRELIMINARES</v>
      </c>
    </row>
    <row r="9" s="69" customFormat="1" ht="31.5" customHeight="1">
      <c r="A9" s="689" t="str">
        <f>ORÇAMENTO!B11</f>
        <v>1.1</v>
      </c>
      <c r="B9" s="687" t="str">
        <f>ORÇAMENTO!D11</f>
        <v xml:space="preserve">Placa de identificação de obra pública, inclusive pintura e adesivos, estrutura e suporte de madeira. incluso fornecimento de material e instalação. (REF SINAPI, CÓD 74209/1).</v>
      </c>
    </row>
    <row r="10" s="69" customFormat="1">
      <c r="A10" s="689"/>
      <c r="B10" s="690" t="s">
        <v>22576</v>
      </c>
    </row>
    <row r="11" s="69" customFormat="1">
      <c r="A11" s="689"/>
      <c r="B11" s="690" t="s">
        <v>22577</v>
      </c>
    </row>
    <row r="12" s="69" customFormat="1">
      <c r="A12" s="689"/>
      <c r="B12" s="690" t="s">
        <v>22578</v>
      </c>
    </row>
    <row r="13" s="69" customFormat="1">
      <c r="A13" s="689" t="str">
        <f>ORÇAMENTO!B12</f>
        <v>1.2</v>
      </c>
      <c r="B13" s="687" t="str">
        <f>ORÇAMENTO!D12</f>
        <v xml:space="preserve">Ligação provisória de água (REF AGESUL, CÓD IUD20017).</v>
      </c>
    </row>
    <row r="14" s="69" customFormat="1">
      <c r="A14" s="689"/>
      <c r="B14" s="690" t="s">
        <v>22579</v>
      </c>
    </row>
    <row r="15" s="69" customFormat="1" ht="25.5">
      <c r="A15" s="689" t="str">
        <f>ORÇAMENTO!B13</f>
        <v>1.3</v>
      </c>
      <c r="B15" s="687" t="str">
        <f>ORÇAMENTO!D13</f>
        <v xml:space="preserve">Entrada provisória de energia elétrica aérea trifásica 40a em poste de concreto armado de secao duplo t </v>
      </c>
    </row>
    <row r="16" s="69" customFormat="1">
      <c r="A16" s="691"/>
      <c r="B16" s="690" t="s">
        <v>22579</v>
      </c>
    </row>
    <row r="17" s="69" customFormat="1">
      <c r="A17" s="689" t="str">
        <f>ORÇAMENTO!B14</f>
        <v>1.4</v>
      </c>
      <c r="B17" s="687" t="str">
        <f>ORÇAMENTO!D14</f>
        <v xml:space="preserve">Locacao de container 2,30 x 6,00 m, alt. 2,50 m, com 1 sanitario</v>
      </c>
    </row>
    <row r="18" s="69" customFormat="1">
      <c r="A18" s="691"/>
      <c r="B18" s="690" t="s">
        <v>22580</v>
      </c>
    </row>
    <row r="19" s="69" customFormat="1">
      <c r="A19" s="689" t="str">
        <f>ORÇAMENTO!B16</f>
        <v>2.0</v>
      </c>
      <c r="B19" s="687" t="str">
        <f>ORÇAMENTO!D16</f>
        <v xml:space="preserve">ADMINISTRAÇÃO DA OBRA</v>
      </c>
    </row>
    <row r="20" s="69" customFormat="1">
      <c r="A20" s="689" t="str">
        <f>ORÇAMENTO!B17</f>
        <v>2.1</v>
      </c>
      <c r="B20" s="687" t="str">
        <f>ORÇAMENTO!D17</f>
        <v xml:space="preserve">Topógrafo com encargos complementares</v>
      </c>
    </row>
    <row r="21" s="69" customFormat="1">
      <c r="A21" s="691"/>
      <c r="B21" s="692" t="s">
        <v>22581</v>
      </c>
    </row>
    <row r="22" s="69" customFormat="1">
      <c r="A22" s="691"/>
      <c r="B22" s="690" t="s">
        <v>22582</v>
      </c>
    </row>
    <row r="23" s="69" customFormat="1">
      <c r="A23" s="691"/>
      <c r="B23" s="690" t="s">
        <v>22583</v>
      </c>
    </row>
    <row r="24" s="69" customFormat="1">
      <c r="A24" s="689" t="str">
        <f>ORÇAMENTO!B18</f>
        <v>2.2</v>
      </c>
      <c r="B24" s="687" t="str">
        <f>ORÇAMENTO!D18</f>
        <v xml:space="preserve">Auxiliar de topógrafo com encargos complementares</v>
      </c>
    </row>
    <row r="25" s="69" customFormat="1">
      <c r="A25" s="691"/>
      <c r="B25" s="692" t="s">
        <v>22581</v>
      </c>
    </row>
    <row r="26" s="69" customFormat="1">
      <c r="A26" s="691"/>
      <c r="B26" s="690" t="s">
        <v>22582</v>
      </c>
    </row>
    <row r="27" s="69" customFormat="1">
      <c r="A27" s="691"/>
      <c r="B27" s="690" t="s">
        <v>22583</v>
      </c>
    </row>
    <row r="28" s="69" customFormat="1">
      <c r="A28" s="689" t="str">
        <f>ORÇAMENTO!B19</f>
        <v>2.3</v>
      </c>
      <c r="B28" s="687" t="str">
        <f>ORÇAMENTO!D19</f>
        <v xml:space="preserve">Engenheiro civil de obra junior com encargos complementares</v>
      </c>
    </row>
    <row r="29" s="69" customFormat="1">
      <c r="A29" s="691"/>
      <c r="B29" s="692" t="s">
        <v>22581</v>
      </c>
    </row>
    <row r="30" s="69" customFormat="1">
      <c r="A30" s="691"/>
      <c r="B30" s="690" t="s">
        <v>22584</v>
      </c>
    </row>
    <row r="31" s="69" customFormat="1">
      <c r="A31" s="691"/>
      <c r="B31" s="690" t="s">
        <v>22585</v>
      </c>
    </row>
    <row r="32" s="69" customFormat="1">
      <c r="A32" s="689" t="str">
        <f>ORÇAMENTO!B20</f>
        <v>2.4</v>
      </c>
      <c r="B32" s="687" t="str">
        <f>ORÇAMENTO!D20</f>
        <v xml:space="preserve">Técnico de laboratório com encargos complementares</v>
      </c>
    </row>
    <row r="33" s="69" customFormat="1">
      <c r="A33" s="691"/>
      <c r="B33" s="692" t="s">
        <v>22581</v>
      </c>
    </row>
    <row r="34" s="69" customFormat="1">
      <c r="A34" s="691"/>
      <c r="B34" s="690" t="s">
        <v>22586</v>
      </c>
    </row>
    <row r="35" s="69" customFormat="1">
      <c r="A35" s="691"/>
      <c r="B35" s="690" t="s">
        <v>22587</v>
      </c>
    </row>
    <row r="36" s="69" customFormat="1">
      <c r="A36" s="689" t="str">
        <f>ORÇAMENTO!B21</f>
        <v>2.5</v>
      </c>
      <c r="B36" s="687" t="str">
        <f>ORÇAMENTO!D21</f>
        <v xml:space="preserve">Auxiliar de laboratório com encargos complementares</v>
      </c>
    </row>
    <row r="37" s="69" customFormat="1">
      <c r="A37" s="691"/>
      <c r="B37" s="692" t="s">
        <v>22581</v>
      </c>
    </row>
    <row r="38" s="69" customFormat="1">
      <c r="A38" s="691"/>
      <c r="B38" s="690" t="s">
        <v>22586</v>
      </c>
    </row>
    <row r="39" s="69" customFormat="1">
      <c r="A39" s="691"/>
      <c r="B39" s="690" t="s">
        <v>22587</v>
      </c>
    </row>
    <row r="40" s="69" customFormat="1">
      <c r="A40" s="689" t="str">
        <f>ORÇAMENTO!B22</f>
        <v>2.6</v>
      </c>
      <c r="B40" s="687" t="str">
        <f>ORÇAMENTO!D22</f>
        <v xml:space="preserve">Técnico em segurança do trabalho com encargos complementares</v>
      </c>
    </row>
    <row r="41" s="69" customFormat="1">
      <c r="A41" s="689"/>
      <c r="B41" s="692" t="s">
        <v>22581</v>
      </c>
    </row>
    <row r="42" s="69" customFormat="1">
      <c r="A42" s="691"/>
      <c r="B42" s="690" t="s">
        <v>22586</v>
      </c>
    </row>
    <row r="43" s="69" customFormat="1">
      <c r="A43" s="691"/>
      <c r="B43" s="690" t="s">
        <v>22587</v>
      </c>
    </row>
    <row r="44" s="69" customFormat="1">
      <c r="A44" s="689" t="str">
        <f>ORÇAMENTO!B23</f>
        <v>2.7</v>
      </c>
      <c r="B44" s="687" t="str">
        <f>ORÇAMENTO!D23</f>
        <v xml:space="preserve">Encarregado geral de obras com encargos complementares</v>
      </c>
    </row>
    <row r="45" s="69" customFormat="1">
      <c r="A45" s="691"/>
      <c r="B45" s="692" t="s">
        <v>22580</v>
      </c>
    </row>
    <row r="46" s="69" customFormat="1">
      <c r="A46" s="689" t="str">
        <f>ORÇAMENTO!B25</f>
        <v>3.0</v>
      </c>
      <c r="B46" s="687" t="str">
        <f>ORÇAMENTO!D25</f>
        <v xml:space="preserve">RECUPERAÇÃO DOS DEFEITOS DO PAVIMENTO</v>
      </c>
    </row>
    <row r="47" s="69" customFormat="1">
      <c r="A47" s="689"/>
      <c r="B47" s="687" t="str">
        <f>ORÇAMENTO!D26</f>
        <v xml:space="preserve">Fresagem descontínua</v>
      </c>
    </row>
    <row r="48" s="69" customFormat="1">
      <c r="A48" s="689"/>
      <c r="B48" s="81" t="s">
        <v>22588</v>
      </c>
    </row>
    <row r="49" s="69" customFormat="1" ht="25.5">
      <c r="A49" s="689"/>
      <c r="B49" s="81" t="s">
        <v>22589</v>
      </c>
    </row>
    <row r="50" s="69" customFormat="1">
      <c r="A50" s="689" t="str">
        <f>ORÇAMENTO!B27</f>
        <v>3.1</v>
      </c>
      <c r="B50" s="687" t="str">
        <f>ORÇAMENTO!D27</f>
        <v xml:space="preserve">Fresagem descontínua revestimento betuminoso </v>
      </c>
    </row>
    <row r="51" s="69" customFormat="1">
      <c r="A51" s="689"/>
      <c r="B51" s="78" t="s">
        <v>22590</v>
      </c>
    </row>
    <row r="52" s="69" customFormat="1" ht="38.25">
      <c r="A52" s="689" t="str">
        <f>ORÇAMENTO!B28</f>
        <v>3.2</v>
      </c>
      <c r="B52" s="687" t="str">
        <f>ORÇAMENTO!D28</f>
        <v xml:space="preserve">Carga e descarga mecanica de solo utilizando caminhao basculante 6,0 m³/16t e pá carregadeira sobre pneus 128 hp, capacidade da caçamba 1,7 a 2,8 m³, peso operacional 11632 kg (REF SINAPI, CÓD 74010/1).</v>
      </c>
    </row>
    <row r="53" s="69" customFormat="1" ht="25.5">
      <c r="A53" s="689"/>
      <c r="B53" s="78" t="s">
        <v>22591</v>
      </c>
    </row>
    <row r="54" s="69" customFormat="1">
      <c r="A54" s="689"/>
      <c r="B54" s="81" t="s">
        <v>22592</v>
      </c>
    </row>
    <row r="55" s="69" customFormat="1">
      <c r="A55" s="689"/>
      <c r="B55" s="81" t="s">
        <v>22593</v>
      </c>
    </row>
    <row r="56" s="69" customFormat="1" ht="25.5">
      <c r="A56" s="689" t="str">
        <f>ORÇAMENTO!B29</f>
        <v>3.3</v>
      </c>
      <c r="B56" s="687" t="str">
        <f>ORÇAMENTO!D29</f>
        <v xml:space="preserve">Transporte com caminhão basculante de 10 m³, em via urbana pavimentada, dmt até 30 km (unidade: m3xkm). af_07/2020</v>
      </c>
    </row>
    <row r="57" s="69" customFormat="1">
      <c r="A57" s="689"/>
      <c r="B57" s="81" t="s">
        <v>22594</v>
      </c>
    </row>
    <row r="58" s="69" customFormat="1">
      <c r="A58" s="689"/>
      <c r="B58" s="81" t="s">
        <v>22595</v>
      </c>
    </row>
    <row r="59" s="69" customFormat="1">
      <c r="A59" s="689"/>
      <c r="B59" s="81" t="s">
        <v>22596</v>
      </c>
    </row>
    <row r="60" s="69" customFormat="1">
      <c r="A60" s="689"/>
      <c r="B60" s="687" t="str">
        <f>ORÇAMENTO!D30</f>
        <v xml:space="preserve">Base Estabilizada granulometricamente e Capa Asfáltica</v>
      </c>
    </row>
    <row r="61" s="69" customFormat="1" ht="25.5">
      <c r="A61" s="689" t="str">
        <f>ORÇAMENTO!B31</f>
        <v>3.4</v>
      </c>
      <c r="B61" s="687" t="str">
        <f>ORÇAMENTO!D31</f>
        <v xml:space="preserve">Demolição de pavimentação asfáltica com utilização de martelo perfurador, espessura até 15 cm, exclusive carga e transporte (REF SINAPI, CÓD 92970). </v>
      </c>
    </row>
    <row r="62" s="69" customFormat="1">
      <c r="A62" s="689"/>
      <c r="B62" s="81" t="s">
        <v>22597</v>
      </c>
    </row>
    <row r="63" s="69" customFormat="1">
      <c r="A63" s="689"/>
      <c r="B63" s="81" t="s">
        <v>22598</v>
      </c>
    </row>
    <row r="64" s="69" customFormat="1">
      <c r="A64" s="689"/>
      <c r="B64" s="81" t="s">
        <v>22599</v>
      </c>
    </row>
    <row r="65" s="69" customFormat="1" ht="38.25">
      <c r="A65" s="689" t="str">
        <f>ORÇAMENTO!B32</f>
        <v>3.5</v>
      </c>
      <c r="B65" s="687" t="str">
        <f>ORÇAMENTO!D32</f>
        <v xml:space="preserve">Carga e descarga mecanica de solo utilizando caminhao basculante 6,0 m³/16t e pá carregadeira sobre pneus 128 hp, capacidade da caçamba 1,7 a 2,8 m³, peso operacional 11632 kg (REF SINAPI, CÓD 74010/1).</v>
      </c>
    </row>
    <row r="66" s="69" customFormat="1" ht="25.5">
      <c r="A66" s="689"/>
      <c r="B66" s="78" t="s">
        <v>22600</v>
      </c>
    </row>
    <row r="67" s="69" customFormat="1">
      <c r="A67" s="689"/>
      <c r="B67" s="81" t="s">
        <v>22601</v>
      </c>
    </row>
    <row r="68" s="69" customFormat="1">
      <c r="A68" s="689"/>
      <c r="B68" s="81" t="s">
        <v>22602</v>
      </c>
    </row>
    <row r="69" s="69" customFormat="1" ht="25.5">
      <c r="A69" s="689" t="str">
        <f>ORÇAMENTO!B33</f>
        <v>3.6</v>
      </c>
      <c r="B69" s="687" t="str">
        <f>ORÇAMENTO!D33</f>
        <v xml:space="preserve">Transporte com caminhão basculante de 10 m³, em via urbana pavimentada, dmt até 30 km (unidade: m3xkm). af_07/2020</v>
      </c>
    </row>
    <row r="70" s="69" customFormat="1">
      <c r="A70" s="689"/>
      <c r="B70" s="81" t="s">
        <v>22603</v>
      </c>
    </row>
    <row r="71" s="69" customFormat="1">
      <c r="A71" s="689"/>
      <c r="B71" s="81" t="s">
        <v>22604</v>
      </c>
    </row>
    <row r="72" s="69" customFormat="1">
      <c r="A72" s="689"/>
      <c r="B72" s="81" t="s">
        <v>22605</v>
      </c>
    </row>
    <row r="73" s="69" customFormat="1">
      <c r="A73" s="689" t="str">
        <f>ORÇAMENTO!B34</f>
        <v>3.7</v>
      </c>
      <c r="B73" s="687" t="str">
        <f>ORÇAMENTO!D34</f>
        <v xml:space="preserve">Regularização manual e compactação mecânica de terreno (REF AGESUL, CÓD IUD20075).</v>
      </c>
    </row>
    <row r="74" s="69" customFormat="1">
      <c r="A74" s="689"/>
      <c r="B74" s="81" t="s">
        <v>22606</v>
      </c>
    </row>
    <row r="75" s="69" customFormat="1" ht="25.5">
      <c r="A75" s="689" t="str">
        <f>ORÇAMENTO!B35</f>
        <v>3.8</v>
      </c>
      <c r="B75" s="687" t="str">
        <f>ORÇAMENTO!D35</f>
        <v xml:space="preserve">Execução de base estabilizada granulometricamente (para tapa buraco) (REF AGESUL, CÓD IUP30054).</v>
      </c>
    </row>
    <row r="76" s="69" customFormat="1">
      <c r="A76" s="689"/>
      <c r="B76" s="81" t="s">
        <v>22607</v>
      </c>
    </row>
    <row r="77" s="69" customFormat="1">
      <c r="A77" s="689"/>
      <c r="B77" s="81" t="s">
        <v>22608</v>
      </c>
    </row>
    <row r="78" s="69" customFormat="1">
      <c r="A78" s="689"/>
      <c r="B78" s="81" t="s">
        <v>22609</v>
      </c>
    </row>
    <row r="79" s="69" customFormat="1">
      <c r="A79" s="689" t="str">
        <f>ORÇAMENTO!B36</f>
        <v>3.9</v>
      </c>
      <c r="B79" s="687" t="str">
        <f>ORÇAMENTO!D36</f>
        <v xml:space="preserve">Pedra britada ou bica corrida, nao classificada (posto pedreira/fornecedor, sem frete)                                                                                                                                                                                                                                                                                                                                                                                                                    </v>
      </c>
    </row>
    <row r="80" s="69" customFormat="1">
      <c r="A80" s="689"/>
      <c r="B80" s="81" t="s">
        <v>22610</v>
      </c>
    </row>
    <row r="81" s="69" customFormat="1">
      <c r="A81" s="689"/>
      <c r="B81" s="81" t="s">
        <v>22611</v>
      </c>
    </row>
    <row r="82" s="69" customFormat="1">
      <c r="A82" s="689"/>
      <c r="B82" s="81" t="s">
        <v>22612</v>
      </c>
    </row>
    <row r="83" s="69" customFormat="1">
      <c r="A83" s="689" t="str">
        <f>ORÇAMENTO!B37</f>
        <v>3.10</v>
      </c>
      <c r="B83" s="687" t="str">
        <f>ORÇAMENTO!D37</f>
        <v xml:space="preserve">Transporte comercial de brita em rodovia pavimentada (REF SINAPI, CÓD 83356).</v>
      </c>
    </row>
    <row r="84" s="69" customFormat="1">
      <c r="A84" s="689"/>
      <c r="B84" s="81" t="s">
        <v>22594</v>
      </c>
    </row>
    <row r="85" s="69" customFormat="1">
      <c r="A85" s="689"/>
      <c r="B85" s="81" t="s">
        <v>22613</v>
      </c>
    </row>
    <row r="86" s="69" customFormat="1">
      <c r="A86" s="689"/>
      <c r="B86" s="81" t="s">
        <v>22614</v>
      </c>
    </row>
    <row r="87" s="69" customFormat="1" ht="25.5">
      <c r="A87" s="689" t="str">
        <f>ORÇAMENTO!B38</f>
        <v>3.11</v>
      </c>
      <c r="B87" s="687" t="str">
        <f>ORÇAMENTO!D38</f>
        <v xml:space="preserve">Transporte com caminhão basculante de 10 m³, em via urbana pavimentada, dmt até 30 km (unidade: m3xkm). af_07/2020</v>
      </c>
    </row>
    <row r="88" s="69" customFormat="1">
      <c r="A88" s="689"/>
      <c r="B88" s="81" t="s">
        <v>22615</v>
      </c>
    </row>
    <row r="89" s="69" customFormat="1">
      <c r="A89" s="689"/>
      <c r="B89" s="81" t="s">
        <v>22616</v>
      </c>
    </row>
    <row r="90" s="69" customFormat="1">
      <c r="A90" s="689"/>
      <c r="B90" s="81" t="s">
        <v>22617</v>
      </c>
    </row>
    <row r="91" s="69" customFormat="1">
      <c r="A91" s="689"/>
      <c r="B91" s="687" t="str">
        <f>ORÇAMENTO!D39</f>
        <v xml:space="preserve">Capa em CBUQ (Concreto Betuminoso Usinado a Quente e Preechimento Capa Asfáltica )</v>
      </c>
    </row>
    <row r="92" s="69" customFormat="1" ht="25.5">
      <c r="A92" s="689" t="str">
        <f>ORÇAMENTO!B40</f>
        <v>3.12</v>
      </c>
      <c r="B92" s="687" t="str">
        <f>ORÇAMENTO!D40</f>
        <v xml:space="preserve">Execução de pintura de ligação manual com caneta (para tapa buracos) (REF AGESUL, CÓD IUP30055).</v>
      </c>
    </row>
    <row r="93" s="69" customFormat="1">
      <c r="A93" s="689"/>
      <c r="B93" s="81" t="s">
        <v>22618</v>
      </c>
    </row>
    <row r="94" s="69" customFormat="1">
      <c r="A94" s="689"/>
      <c r="B94" s="81" t="s">
        <v>22619</v>
      </c>
    </row>
    <row r="95" s="69" customFormat="1">
      <c r="A95" s="689"/>
      <c r="B95" s="81" t="s">
        <v>22620</v>
      </c>
    </row>
    <row r="96" s="69" customFormat="1" ht="25.5">
      <c r="A96" s="689" t="str">
        <f>ORÇAMENTO!B41</f>
        <v>3.13</v>
      </c>
      <c r="B96" s="687" t="str">
        <f>ORÇAMENTO!D41</f>
        <v xml:space="preserve">Transporte com caminhão tanque de transporte de material asfáltico de 30000 l, em via urbana pavimentada, dmt até 30km (unidade: txkm). af_07/2020</v>
      </c>
    </row>
    <row r="97" s="69" customFormat="1">
      <c r="A97" s="689"/>
      <c r="B97" s="81" t="s">
        <v>22621</v>
      </c>
    </row>
    <row r="98" s="69" customFormat="1">
      <c r="A98" s="689"/>
      <c r="B98" s="81" t="s">
        <v>22622</v>
      </c>
    </row>
    <row r="99" s="69" customFormat="1">
      <c r="A99" s="689"/>
      <c r="B99" s="81" t="s">
        <v>22623</v>
      </c>
    </row>
    <row r="100" s="69" customFormat="1" ht="25.5">
      <c r="A100" s="689" t="str">
        <f>ORÇAMENTO!B42</f>
        <v>3.14</v>
      </c>
      <c r="B100" s="687" t="str">
        <f>ORÇAMENTO!D42</f>
        <v xml:space="preserve">Transporte com caminhão tanque de transporte de material asfáltico de 30000 l, em via urbana pavimentada, adicional para dmt excedente a 30 km (unidade: txkm). af_07/2020</v>
      </c>
    </row>
    <row r="101" s="69" customFormat="1">
      <c r="A101" s="689"/>
      <c r="B101" s="81" t="s">
        <v>22624</v>
      </c>
    </row>
    <row r="102" s="69" customFormat="1">
      <c r="A102" s="689"/>
      <c r="B102" s="81" t="s">
        <v>22625</v>
      </c>
    </row>
    <row r="103" s="69" customFormat="1">
      <c r="A103" s="689"/>
      <c r="B103" s="81" t="s">
        <v>22626</v>
      </c>
    </row>
    <row r="104" s="69" customFormat="1">
      <c r="A104" s="689" t="str">
        <f>ORÇAMENTO!B43</f>
        <v>3.15</v>
      </c>
      <c r="B104" s="687" t="str">
        <f>ORÇAMENTO!D43</f>
        <v xml:space="preserve">Execução de imprimação manual com caneta (para tapa buracos)</v>
      </c>
    </row>
    <row r="105" s="69" customFormat="1">
      <c r="A105" s="689"/>
      <c r="B105" s="78" t="s">
        <v>22597</v>
      </c>
    </row>
    <row r="106" s="69" customFormat="1">
      <c r="A106" s="689"/>
      <c r="B106" s="78" t="s">
        <v>22598</v>
      </c>
    </row>
    <row r="107" s="69" customFormat="1">
      <c r="A107" s="689"/>
      <c r="B107" s="78" t="s">
        <v>22599</v>
      </c>
    </row>
    <row r="108" s="69" customFormat="1" ht="25.5">
      <c r="A108" s="689" t="str">
        <f>ORÇAMENTO!B44</f>
        <v>3.16</v>
      </c>
      <c r="B108" s="687" t="str">
        <f>ORÇAMENTO!D44</f>
        <v xml:space="preserve">Transporte com caminhão tanque de transporte de material asfáltico de 30000 l, em via urbana pavimentada, dmt até 30km (unidade: txkm). af_07/2020</v>
      </c>
    </row>
    <row r="109" s="69" customFormat="1">
      <c r="A109" s="689"/>
      <c r="B109" s="81" t="s">
        <v>22627</v>
      </c>
    </row>
    <row r="110" s="69" customFormat="1">
      <c r="A110" s="689"/>
      <c r="B110" s="81" t="s">
        <v>22628</v>
      </c>
    </row>
    <row r="111" s="69" customFormat="1">
      <c r="A111" s="689"/>
      <c r="B111" s="81" t="s">
        <v>22629</v>
      </c>
    </row>
    <row r="112" s="69" customFormat="1" ht="25.5">
      <c r="A112" s="689" t="str">
        <f>ORÇAMENTO!B45</f>
        <v>3.17</v>
      </c>
      <c r="B112" s="687" t="str">
        <f>ORÇAMENTO!D45</f>
        <v xml:space="preserve">Transporte com caminhão tanque de transporte de material asfáltico de 30000 l, em via urbana pavimentada, adicional para dmt excedente a 30 km (unidade: txkm). af_07/2020</v>
      </c>
    </row>
    <row r="113" s="69" customFormat="1">
      <c r="A113" s="689"/>
      <c r="B113" s="81" t="s">
        <v>22630</v>
      </c>
    </row>
    <row r="114" s="69" customFormat="1">
      <c r="A114" s="689"/>
      <c r="B114" s="81" t="s">
        <v>22631</v>
      </c>
    </row>
    <row r="115" s="69" customFormat="1">
      <c r="A115" s="689"/>
      <c r="B115" s="81" t="s">
        <v>22632</v>
      </c>
    </row>
    <row r="116" s="69" customFormat="1" ht="25.5">
      <c r="A116" s="689" t="str">
        <f>ORÇAMENTO!B46</f>
        <v>3.18</v>
      </c>
      <c r="B116" s="687" t="str">
        <f>ORÇAMENTO!D46</f>
        <v xml:space="preserve">Concreto betuminoso usinado a quente (cbuq) para pavimentacao asfaltica, padrao dnit, faixa c, com cap 50/70 - aquisicao posto usina</v>
      </c>
    </row>
    <row r="117" s="69" customFormat="1">
      <c r="A117" s="689"/>
      <c r="B117" s="81" t="s">
        <v>22633</v>
      </c>
    </row>
    <row r="118" s="69" customFormat="1">
      <c r="A118" s="689"/>
      <c r="B118" s="81" t="s">
        <v>22634</v>
      </c>
    </row>
    <row r="119" s="69" customFormat="1">
      <c r="A119" s="689"/>
      <c r="B119" s="81" t="s">
        <v>22635</v>
      </c>
    </row>
    <row r="120" s="69" customFormat="1">
      <c r="A120" s="689" t="str">
        <f>ORÇAMENTO!B47</f>
        <v>3.19</v>
      </c>
      <c r="B120" s="687" t="str">
        <f>ORÇAMENTO!D47</f>
        <v xml:space="preserve">Execução de capa asfáltica em cbuq, com produção da equipe de 2,25 m³/h </v>
      </c>
    </row>
    <row r="121" s="69" customFormat="1">
      <c r="A121" s="689"/>
      <c r="B121" s="81" t="s">
        <v>22636</v>
      </c>
    </row>
    <row r="122" s="69" customFormat="1" ht="25.5">
      <c r="A122" s="689" t="str">
        <f>ORÇAMENTO!B48</f>
        <v>3.20</v>
      </c>
      <c r="B122" s="687" t="str">
        <f>ORÇAMENTO!D48</f>
        <v xml:space="preserve">Transporte comercial de massa asfáltica com caminhão basculante 10 m³ em rodovia pavimentada (REF SINAPI, CÓD 95303).</v>
      </c>
    </row>
    <row r="123" s="69" customFormat="1">
      <c r="A123" s="689"/>
      <c r="B123" s="81" t="s">
        <v>22637</v>
      </c>
    </row>
    <row r="124" s="69" customFormat="1">
      <c r="A124" s="689"/>
      <c r="B124" s="81" t="s">
        <v>22638</v>
      </c>
    </row>
    <row r="125" s="69" customFormat="1">
      <c r="A125" s="689"/>
      <c r="B125" s="81" t="s">
        <v>22639</v>
      </c>
    </row>
    <row r="126" s="69" customFormat="1" ht="25.5">
      <c r="A126" s="689" t="str">
        <f>ORÇAMENTO!B49</f>
        <v>3.21</v>
      </c>
      <c r="B126" s="687" t="str">
        <f>ORÇAMENTO!D49</f>
        <v xml:space="preserve">Transporte com caminhão basculante de 10 m³, em via urbana pavimentada, dmt até 30 km (unidade: txkm). af_07/2020</v>
      </c>
    </row>
    <row r="127" s="69" customFormat="1">
      <c r="A127" s="689"/>
      <c r="B127" s="81" t="s">
        <v>22640</v>
      </c>
    </row>
    <row r="128" s="69" customFormat="1">
      <c r="A128" s="689"/>
      <c r="B128" s="81" t="s">
        <v>22641</v>
      </c>
    </row>
    <row r="129" s="69" customFormat="1">
      <c r="A129" s="689"/>
      <c r="B129" s="81" t="s">
        <v>22642</v>
      </c>
    </row>
    <row r="130" s="69" customFormat="1">
      <c r="A130" s="689"/>
      <c r="B130" s="687" t="str">
        <f>ORÇAMENTO!D50</f>
        <v xml:space="preserve">Remendo Profundo Tipo 1</v>
      </c>
    </row>
    <row r="131" s="69" customFormat="1" ht="25.5">
      <c r="A131" s="689" t="str">
        <f>ORÇAMENTO!B51</f>
        <v>3.22</v>
      </c>
      <c r="B131" s="693" t="str">
        <f>ORÇAMENTO!D51</f>
        <v xml:space="preserve">Demolição de pavimento asfáltico com emprego de retro-escavadeira e serra de disco, exclusive bota-fora do material (REF AGESUL, CÓD IUP30005).</v>
      </c>
    </row>
    <row r="132" s="69" customFormat="1">
      <c r="A132" s="689"/>
      <c r="B132" s="81" t="s">
        <v>22643</v>
      </c>
    </row>
    <row r="133" s="69" customFormat="1">
      <c r="A133" s="689"/>
      <c r="B133" s="81" t="s">
        <v>22644</v>
      </c>
    </row>
    <row r="134" s="69" customFormat="1" ht="38.25">
      <c r="A134" s="689" t="str">
        <f>ORÇAMENTO!B52</f>
        <v>3.23</v>
      </c>
      <c r="B134" s="687" t="str">
        <f>ORÇAMENTO!D52</f>
        <v xml:space="preserve">Carga e descarga mecanica de solo utilizando caminhao basculante 6,0 m³/16t e pá carregadeira sobre pneus 128 hp, capacidade da caçamba 1,7 a 2,8 m³, peso operacional 11632 kg (REF SINAPI, CÓD 74010/1).</v>
      </c>
    </row>
    <row r="135" s="69" customFormat="1">
      <c r="A135" s="689"/>
      <c r="B135" s="81" t="s">
        <v>22645</v>
      </c>
    </row>
    <row r="136" s="69" customFormat="1">
      <c r="A136" s="689"/>
      <c r="B136" s="81" t="s">
        <v>22646</v>
      </c>
    </row>
    <row r="137" s="69" customFormat="1">
      <c r="A137" s="689"/>
      <c r="B137" s="81" t="s">
        <v>22647</v>
      </c>
    </row>
    <row r="138" s="69" customFormat="1" ht="25.5">
      <c r="A138" s="689" t="str">
        <f>ORÇAMENTO!B53</f>
        <v>3.24</v>
      </c>
      <c r="B138" s="687" t="str">
        <f>ORÇAMENTO!D53</f>
        <v xml:space="preserve">Transporte com caminhão basculante de 10 m³, em via urbana pavimentada, dmt até 30 km (unidade: m3xkm). af_07/2020</v>
      </c>
    </row>
    <row r="139" s="69" customFormat="1">
      <c r="A139" s="689"/>
      <c r="B139" s="81" t="s">
        <v>22603</v>
      </c>
    </row>
    <row r="140" s="69" customFormat="1">
      <c r="A140" s="689"/>
      <c r="B140" s="81" t="s">
        <v>22648</v>
      </c>
    </row>
    <row r="141" s="69" customFormat="1">
      <c r="A141" s="689"/>
      <c r="B141" s="81" t="s">
        <v>22649</v>
      </c>
    </row>
    <row r="142" s="69" customFormat="1">
      <c r="A142" s="689" t="str">
        <f>ORÇAMENTO!B54</f>
        <v>3.25</v>
      </c>
      <c r="B142" s="687" t="str">
        <f>ORÇAMENTO!D54</f>
        <v xml:space="preserve">Regularização manual e compactação mecânica de terreno (REF AGESUL, CÓD IUD20075).</v>
      </c>
    </row>
    <row r="143" s="69" customFormat="1">
      <c r="A143" s="689"/>
      <c r="B143" s="81" t="s">
        <v>22650</v>
      </c>
    </row>
    <row r="144" s="69" customFormat="1">
      <c r="A144" s="689"/>
      <c r="B144" s="687" t="str">
        <f>ORÇAMENTO!D55</f>
        <v xml:space="preserve">Remendo Profundo Tipo 2</v>
      </c>
    </row>
    <row r="145" s="69" customFormat="1" ht="25.5">
      <c r="A145" s="689" t="str">
        <f>ORÇAMENTO!B56</f>
        <v>3.26</v>
      </c>
      <c r="B145" s="693" t="str">
        <f>ORÇAMENTO!D56</f>
        <v xml:space="preserve">Demolição de pavimento asfáltico com emprego de retro-escavadeira e serra de disco, exclusive bota-fora do material (REF AGESUL, CÓD IUP30005).</v>
      </c>
    </row>
    <row r="146" s="69" customFormat="1">
      <c r="A146" s="689"/>
      <c r="B146" s="81" t="s">
        <v>22651</v>
      </c>
    </row>
    <row r="147" s="69" customFormat="1">
      <c r="A147" s="689"/>
      <c r="B147" s="81" t="s">
        <v>22652</v>
      </c>
    </row>
    <row r="148" s="69" customFormat="1" ht="38.25">
      <c r="A148" s="689" t="str">
        <f>ORÇAMENTO!B57</f>
        <v>3.27</v>
      </c>
      <c r="B148" s="693" t="str">
        <f>ORÇAMENTO!D57</f>
        <v xml:space="preserve">Carga e descarga mecanica de solo utilizando caminhao basculante 6,0 m³/16t e pá carregadeira sobre pneus 128 hp, capacidade da caçamba 1,7 a 2,8 m³, peso operacional 11632 kg (REF SINAPI, CÓD 74010/1).</v>
      </c>
    </row>
    <row r="149" s="69" customFormat="1">
      <c r="A149" s="689"/>
      <c r="B149" s="81" t="s">
        <v>22653</v>
      </c>
    </row>
    <row r="150" s="69" customFormat="1">
      <c r="A150" s="689"/>
      <c r="B150" s="81" t="s">
        <v>22654</v>
      </c>
    </row>
    <row r="151" s="69" customFormat="1">
      <c r="A151" s="689"/>
      <c r="B151" s="81" t="s">
        <v>22655</v>
      </c>
    </row>
    <row r="152" s="69" customFormat="1" ht="25.5">
      <c r="A152" s="689" t="str">
        <f>ORÇAMENTO!B58</f>
        <v>3.28</v>
      </c>
      <c r="B152" s="687" t="str">
        <f>ORÇAMENTO!D58</f>
        <v xml:space="preserve">Transporte com caminhão basculante de 10 m³, em via urbana pavimentada, dmt até 30 km (unidade: m3xkm). af_07/2020</v>
      </c>
    </row>
    <row r="153" s="69" customFormat="1">
      <c r="A153" s="689"/>
      <c r="B153" s="81" t="s">
        <v>22603</v>
      </c>
    </row>
    <row r="154" s="69" customFormat="1">
      <c r="A154" s="689"/>
      <c r="B154" s="81" t="s">
        <v>22656</v>
      </c>
    </row>
    <row r="155" s="69" customFormat="1">
      <c r="A155" s="689"/>
      <c r="B155" s="81" t="s">
        <v>22657</v>
      </c>
    </row>
    <row r="156" s="69" customFormat="1" ht="17.25" customHeight="1">
      <c r="A156" s="689"/>
      <c r="B156" s="687" t="str">
        <f>ORÇAMENTO!D59</f>
        <v xml:space="preserve">Material para sub-leito - 1ª categoria</v>
      </c>
    </row>
    <row r="157" s="69" customFormat="1" ht="42.75" customHeight="1">
      <c r="A157" s="689" t="str">
        <f>ORÇAMENTO!B60</f>
        <v>3.29</v>
      </c>
      <c r="B157" s="687" t="str">
        <f>ORÇAMENTO!D60</f>
        <v xml:space="preserve">Escavação vertical para infraestrutura, com carga, descarga e transporte de solo de 1ª categoria, com escavadeira hidráulica (caçamba: 1,2 m³ / 155hp), frota de 4 caminhões basculantes de 10 m³, dmt até 1 km e velocidade média14 km/h. af_05/2020</v>
      </c>
    </row>
    <row r="158" s="69" customFormat="1">
      <c r="A158" s="69"/>
      <c r="B158" s="69" t="s">
        <v>22658</v>
      </c>
      <c r="C158" s="694"/>
    </row>
    <row r="159" s="69" customFormat="1" ht="15.75" customHeight="1">
      <c r="A159" s="689" t="str">
        <f>ORÇAMENTO!B61</f>
        <v>3.30</v>
      </c>
      <c r="B159" s="687" t="str">
        <f>ORÇAMENTO!D61</f>
        <v xml:space="preserve">Aquisição de material de 1ª categoria - Arenito (retirada na jazida, sem transporte)                                                                                                                                                                                                                                                                                                                                                                                                                            </v>
      </c>
      <c r="C159" s="694"/>
    </row>
    <row r="160" s="69" customFormat="1" ht="15.75" customHeight="1">
      <c r="A160" s="689"/>
      <c r="B160" s="695" t="s">
        <v>22659</v>
      </c>
      <c r="C160" s="694"/>
    </row>
    <row r="161" s="69" customFormat="1" ht="15.75" customHeight="1">
      <c r="A161" s="689"/>
      <c r="B161" s="695" t="s">
        <v>22660</v>
      </c>
      <c r="C161" s="694"/>
    </row>
    <row r="162" s="69" customFormat="1" ht="15.75" customHeight="1">
      <c r="A162" s="689"/>
      <c r="B162" s="695" t="s">
        <v>22661</v>
      </c>
      <c r="C162" s="696">
        <f>607.62*0.9</f>
        <v>546.86000000000001</v>
      </c>
    </row>
    <row r="163" s="69" customFormat="1">
      <c r="A163" s="689"/>
      <c r="B163" s="695"/>
      <c r="C163" s="694"/>
    </row>
    <row r="164" s="69" customFormat="1">
      <c r="A164" s="689"/>
      <c r="B164" s="690" t="s">
        <v>22662</v>
      </c>
    </row>
    <row r="165" s="69" customFormat="1">
      <c r="A165" s="69"/>
      <c r="B165" s="69" t="s">
        <v>22663</v>
      </c>
      <c r="C165" s="694"/>
    </row>
    <row r="166" s="69" customFormat="1">
      <c r="A166" s="69"/>
      <c r="B166" s="69" t="s">
        <v>22664</v>
      </c>
    </row>
    <row r="167" s="69" customFormat="1" ht="25.5">
      <c r="A167" s="689" t="str">
        <f>ORÇAMENTO!B62</f>
        <v>3.31</v>
      </c>
      <c r="B167" s="687" t="str">
        <f>ORÇAMENTO!D62</f>
        <v xml:space="preserve">Transporte de material em caminhão basculante, 10 m³, em rodovia pavimentada  (REF AGESUL, CÓD IUTR1003).</v>
      </c>
    </row>
    <row r="168" s="69" customFormat="1">
      <c r="A168" s="689"/>
      <c r="B168" s="81" t="s">
        <v>22665</v>
      </c>
    </row>
    <row r="169" s="69" customFormat="1">
      <c r="A169" s="689"/>
      <c r="B169" s="81" t="s">
        <v>22666</v>
      </c>
    </row>
    <row r="170" s="69" customFormat="1">
      <c r="A170" s="689"/>
      <c r="B170" s="81" t="s">
        <v>22667</v>
      </c>
    </row>
    <row r="171" s="69" customFormat="1" ht="25.5">
      <c r="A171" s="689" t="str">
        <f>ORÇAMENTO!B63</f>
        <v>3.32</v>
      </c>
      <c r="B171" s="687" t="str">
        <f>ORÇAMENTO!D63</f>
        <v xml:space="preserve">Transporte com caminhão basculante de 10 m³, em via urbana pavimentada, dmt até 30 km (unidade: m3xkm). af_07/2020</v>
      </c>
    </row>
    <row r="172" s="69" customFormat="1">
      <c r="A172" s="689"/>
      <c r="B172" s="81" t="s">
        <v>22665</v>
      </c>
    </row>
    <row r="173" s="69" customFormat="1">
      <c r="A173" s="689"/>
      <c r="B173" s="81" t="s">
        <v>22668</v>
      </c>
    </row>
    <row r="174" s="69" customFormat="1">
      <c r="A174" s="689"/>
      <c r="B174" s="81" t="s">
        <v>22669</v>
      </c>
      <c r="C174" s="696">
        <f>6117.12+0.12*(8734.52+23100.85-6117.12)</f>
        <v>9203.3099999999995</v>
      </c>
    </row>
    <row r="175" s="69" customFormat="1" ht="15.75" customHeight="1">
      <c r="A175" s="689" t="str">
        <f>ORÇAMENTO!B64</f>
        <v>3.33</v>
      </c>
      <c r="B175" s="687" t="str">
        <f>ORÇAMENTO!D64</f>
        <v xml:space="preserve">Reaterro manual de valas com compactação mecanizada. AF_04/2016</v>
      </c>
    </row>
    <row r="176" s="69" customFormat="1" ht="25.5">
      <c r="A176" s="689"/>
      <c r="B176" s="690" t="s">
        <v>22670</v>
      </c>
    </row>
    <row r="177" s="69" customFormat="1">
      <c r="A177" s="689"/>
      <c r="B177" s="687"/>
      <c r="C177" s="694"/>
    </row>
    <row r="178" s="69" customFormat="1">
      <c r="A178" s="689"/>
      <c r="B178" s="690" t="s">
        <v>22671</v>
      </c>
    </row>
    <row r="179" s="69" customFormat="1">
      <c r="A179" s="689"/>
      <c r="B179" s="690" t="s">
        <v>22672</v>
      </c>
      <c r="C179" s="694"/>
    </row>
    <row r="180" s="69" customFormat="1">
      <c r="A180" s="689"/>
      <c r="B180" s="690" t="s">
        <v>22673</v>
      </c>
      <c r="C180" s="694"/>
    </row>
    <row r="181" s="69" customFormat="1">
      <c r="A181" s="689"/>
      <c r="B181" s="687"/>
    </row>
    <row r="182" s="69" customFormat="1">
      <c r="A182" s="689"/>
      <c r="B182" s="165" t="s">
        <v>22674</v>
      </c>
    </row>
    <row r="183" s="69" customFormat="1">
      <c r="A183" s="689"/>
      <c r="B183" s="165" t="s">
        <v>22675</v>
      </c>
    </row>
    <row r="184" s="69" customFormat="1" ht="25.5">
      <c r="A184" s="689" t="str">
        <f>ORÇAMENTO!B65</f>
        <v>3.34</v>
      </c>
      <c r="B184" s="693" t="str">
        <f>ORÇAMENTO!D65</f>
        <v xml:space="preserve">Execução de base estabilizada granulometricamente (para tapa buraco) (REF AGESUL, CÓD IUP30054).</v>
      </c>
    </row>
    <row r="185" s="69" customFormat="1">
      <c r="A185" s="689"/>
      <c r="B185" s="692" t="s">
        <v>22676</v>
      </c>
    </row>
    <row r="186" s="69" customFormat="1">
      <c r="A186" s="689"/>
      <c r="B186" s="697"/>
    </row>
    <row r="187" s="69" customFormat="1">
      <c r="A187" s="689"/>
      <c r="B187" s="78" t="s">
        <v>22677</v>
      </c>
    </row>
    <row r="188" s="69" customFormat="1">
      <c r="A188" s="689"/>
      <c r="B188" s="78" t="s">
        <v>22678</v>
      </c>
      <c r="D188" s="694"/>
    </row>
    <row r="189" s="69" customFormat="1">
      <c r="A189" s="689"/>
      <c r="B189" s="78" t="s">
        <v>22679</v>
      </c>
    </row>
    <row r="190" s="69" customFormat="1">
      <c r="A190" s="689" t="str">
        <f>ORÇAMENTO!B66</f>
        <v>3.35</v>
      </c>
      <c r="B190" s="693" t="str">
        <f>ORÇAMENTO!D66</f>
        <v xml:space="preserve">Pedra britada ou bica corrida, nao classificada (posto pedreira/fornecedor, sem frete)                                                                                                                                                                                                                                                                                                                                                                                                                    </v>
      </c>
      <c r="C190" s="698"/>
    </row>
    <row r="191" s="69" customFormat="1">
      <c r="A191" s="689"/>
      <c r="B191" s="81" t="s">
        <v>22680</v>
      </c>
      <c r="C191" s="699"/>
    </row>
    <row r="192" s="69" customFormat="1">
      <c r="A192" s="689"/>
      <c r="B192" s="81" t="s">
        <v>22681</v>
      </c>
      <c r="C192" s="699"/>
    </row>
    <row r="193" s="69" customFormat="1">
      <c r="A193" s="689"/>
      <c r="B193" s="81" t="s">
        <v>22682</v>
      </c>
      <c r="C193" s="699"/>
    </row>
    <row r="194" s="69" customFormat="1">
      <c r="A194" s="689" t="str">
        <f>ORÇAMENTO!B67</f>
        <v>3.36</v>
      </c>
      <c r="B194" s="693" t="str">
        <f>ORÇAMENTO!D67</f>
        <v xml:space="preserve">Transporte comercial de brita em rodovia pavimentada (REF SINAPI, CÓD 83356).</v>
      </c>
    </row>
    <row r="195" s="69" customFormat="1">
      <c r="A195" s="689"/>
      <c r="B195" s="81" t="s">
        <v>22594</v>
      </c>
    </row>
    <row r="196" s="69" customFormat="1">
      <c r="A196" s="689"/>
      <c r="B196" s="81" t="s">
        <v>22683</v>
      </c>
    </row>
    <row r="197" s="69" customFormat="1">
      <c r="A197" s="689"/>
      <c r="B197" s="81" t="s">
        <v>22684</v>
      </c>
    </row>
    <row r="198" s="69" customFormat="1" ht="25.5">
      <c r="A198" s="689" t="str">
        <f>ORÇAMENTO!B68</f>
        <v>3.37</v>
      </c>
      <c r="B198" s="693" t="str">
        <f>ORÇAMENTO!D68</f>
        <v xml:space="preserve">Transporte com caminhão basculante de 10 m³, em via urbana pavimentada, dmt até 30 km (unidade: m3xkm). af_07/2020</v>
      </c>
    </row>
    <row r="199" s="69" customFormat="1">
      <c r="A199" s="689"/>
      <c r="B199" s="81" t="s">
        <v>22685</v>
      </c>
    </row>
    <row r="200" s="69" customFormat="1">
      <c r="A200" s="689"/>
      <c r="B200" s="81" t="s">
        <v>22686</v>
      </c>
    </row>
    <row r="201" s="69" customFormat="1">
      <c r="A201" s="689"/>
      <c r="B201" s="81" t="s">
        <v>22687</v>
      </c>
    </row>
    <row r="202" s="69" customFormat="1">
      <c r="A202" s="689"/>
      <c r="B202" s="693" t="str">
        <f>ORÇAMENTO!D69</f>
        <v xml:space="preserve">Capa Asfáltica</v>
      </c>
    </row>
    <row r="203" s="69" customFormat="1">
      <c r="A203" s="689" t="str">
        <f>ORÇAMENTO!B70</f>
        <v>3.38</v>
      </c>
      <c r="B203" s="687" t="str">
        <f>ORÇAMENTO!D70</f>
        <v xml:space="preserve">Execução de imprimação manual com caneta (para tapa buracos).</v>
      </c>
    </row>
    <row r="204" s="69" customFormat="1">
      <c r="A204" s="689"/>
      <c r="B204" s="692" t="s">
        <v>22676</v>
      </c>
    </row>
    <row r="205" s="69" customFormat="1">
      <c r="A205" s="689"/>
      <c r="B205" s="81"/>
    </row>
    <row r="206" s="69" customFormat="1">
      <c r="A206" s="689"/>
      <c r="B206" s="78" t="s">
        <v>22688</v>
      </c>
    </row>
    <row r="207" s="69" customFormat="1">
      <c r="A207" s="689"/>
      <c r="B207" s="78" t="s">
        <v>22689</v>
      </c>
    </row>
    <row r="208" s="69" customFormat="1">
      <c r="A208" s="689"/>
      <c r="B208" s="78" t="s">
        <v>22690</v>
      </c>
    </row>
    <row r="209" s="69" customFormat="1" ht="25.5">
      <c r="A209" s="689" t="str">
        <f>ORÇAMENTO!B71</f>
        <v>3.39</v>
      </c>
      <c r="B209" s="687" t="str">
        <f>ORÇAMENTO!D71</f>
        <v xml:space="preserve">Transporte com caminhão tanque de transporte de material asfáltico de 30000 l, em via urbana pavimentada, dmt até 30km (unidade: txkm). af_07/2020</v>
      </c>
    </row>
    <row r="210" s="69" customFormat="1">
      <c r="A210" s="689"/>
      <c r="B210" s="81" t="s">
        <v>22691</v>
      </c>
    </row>
    <row r="211" s="69" customFormat="1">
      <c r="A211" s="689"/>
      <c r="B211" s="81" t="s">
        <v>22692</v>
      </c>
    </row>
    <row r="212" s="69" customFormat="1">
      <c r="A212" s="689"/>
      <c r="B212" s="81" t="s">
        <v>22693</v>
      </c>
    </row>
    <row r="213" s="69" customFormat="1" ht="25.5">
      <c r="A213" s="689" t="str">
        <f>ORÇAMENTO!B72</f>
        <v>3.40</v>
      </c>
      <c r="B213" s="687" t="str">
        <f>ORÇAMENTO!D72</f>
        <v xml:space="preserve">Transporte com caminhão tanque de transporte de material asfáltico de 30000 l, em via urbana pavimentada, adicional para dmt excedente a 30 km (unidade: txkm). af_07/2020</v>
      </c>
    </row>
    <row r="214" s="69" customFormat="1">
      <c r="A214" s="689"/>
      <c r="B214" s="81" t="s">
        <v>22694</v>
      </c>
    </row>
    <row r="215" s="69" customFormat="1">
      <c r="A215" s="689"/>
      <c r="B215" s="81" t="s">
        <v>22695</v>
      </c>
    </row>
    <row r="216" s="69" customFormat="1">
      <c r="A216" s="689"/>
      <c r="B216" s="81" t="s">
        <v>22696</v>
      </c>
    </row>
    <row r="217" s="69" customFormat="1" ht="25.5">
      <c r="A217" s="689" t="str">
        <f>ORÇAMENTO!B73</f>
        <v>3.41</v>
      </c>
      <c r="B217" s="687" t="str">
        <f>ORÇAMENTO!D73</f>
        <v xml:space="preserve">Concreto betuminoso usinado a quente (cbuq) para pavimentacao asfaltica, padrao dnit, faixa c, com cap 50/70 - aquisicao posto usina</v>
      </c>
    </row>
    <row r="218" s="69" customFormat="1">
      <c r="A218" s="689"/>
      <c r="B218" s="78" t="s">
        <v>22697</v>
      </c>
    </row>
    <row r="219" s="69" customFormat="1">
      <c r="A219" s="689"/>
      <c r="B219" s="78" t="s">
        <v>22698</v>
      </c>
    </row>
    <row r="220" s="69" customFormat="1">
      <c r="A220" s="689"/>
      <c r="B220" s="81" t="s">
        <v>22699</v>
      </c>
    </row>
    <row r="221" s="69" customFormat="1">
      <c r="A221" s="689" t="str">
        <f>ORÇAMENTO!B74</f>
        <v>3.42</v>
      </c>
      <c r="B221" s="687" t="str">
        <f>ORÇAMENTO!D74</f>
        <v xml:space="preserve">Execução de capa asfáltica em cbuq, com produção da equipe de 2,25 m³/h</v>
      </c>
    </row>
    <row r="222" s="69" customFormat="1">
      <c r="A222" s="689"/>
      <c r="B222" s="81" t="s">
        <v>22700</v>
      </c>
    </row>
    <row r="223" s="69" customFormat="1" ht="25.5">
      <c r="A223" s="689" t="str">
        <f>ORÇAMENTO!B75</f>
        <v>3.43</v>
      </c>
      <c r="B223" s="687" t="str">
        <f>ORÇAMENTO!D75</f>
        <v xml:space="preserve">Transporte comercial de massa asfáltica com caminhão basculante 10 m³ em rodovia pavimentada (REF SINAPI, CÓD 95303).</v>
      </c>
    </row>
    <row r="224" s="69" customFormat="1">
      <c r="A224" s="689"/>
      <c r="B224" s="690" t="s">
        <v>22701</v>
      </c>
    </row>
    <row r="225" s="69" customFormat="1">
      <c r="A225" s="689"/>
      <c r="B225" s="690" t="s">
        <v>22702</v>
      </c>
    </row>
    <row r="226" s="69" customFormat="1">
      <c r="A226" s="689"/>
      <c r="B226" s="690" t="s">
        <v>22703</v>
      </c>
    </row>
    <row r="227" s="69" customFormat="1" ht="25.5">
      <c r="A227" s="689" t="str">
        <f>ORÇAMENTO!B76</f>
        <v>3.44</v>
      </c>
      <c r="B227" s="687" t="str">
        <f>ORÇAMENTO!D76</f>
        <v xml:space="preserve">Transporte com caminhão basculante de 10 m³, em via urbana pavimentada, dmt até 30 km (unidade: txkm). af_07/2020</v>
      </c>
    </row>
    <row r="228" s="69" customFormat="1">
      <c r="A228" s="689"/>
      <c r="B228" s="690" t="s">
        <v>22640</v>
      </c>
    </row>
    <row r="229" s="69" customFormat="1">
      <c r="A229" s="689"/>
      <c r="B229" s="690" t="s">
        <v>22704</v>
      </c>
    </row>
    <row r="230" s="69" customFormat="1">
      <c r="A230" s="689"/>
      <c r="B230" s="690" t="s">
        <v>22705</v>
      </c>
    </row>
    <row r="231" s="69" customFormat="1">
      <c r="A231" s="689" t="str">
        <f>ORÇAMENTO!B78</f>
        <v>4.0</v>
      </c>
      <c r="B231" s="687" t="str">
        <f>ORÇAMENTO!D78</f>
        <v xml:space="preserve">RECAPEAMENTO ASFÁLTICO </v>
      </c>
    </row>
    <row r="232" s="69" customFormat="1">
      <c r="A232" s="689" t="str">
        <f>ORÇAMENTO!B79</f>
        <v>4.1</v>
      </c>
      <c r="B232" s="687" t="str">
        <f>ORÇAMENTO!D79</f>
        <v xml:space="preserve">Limpeza de superfície com jato de alta pressão. af_04/2019</v>
      </c>
    </row>
    <row r="233" s="69" customFormat="1">
      <c r="A233" s="689"/>
      <c r="B233" s="69" t="s">
        <v>22706</v>
      </c>
    </row>
    <row r="234" s="69" customFormat="1">
      <c r="A234" s="689"/>
      <c r="B234" s="81" t="s">
        <v>22707</v>
      </c>
    </row>
    <row r="235" s="69" customFormat="1">
      <c r="A235" s="689" t="str">
        <f>ORÇAMENTO!B80</f>
        <v>4.2</v>
      </c>
      <c r="B235" s="687" t="str">
        <f>ORÇAMENTO!D80</f>
        <v xml:space="preserve">Execução de pintura de ligação com emulsão asfáltica RR-1C (REF SINAPI, CÓD 96402).</v>
      </c>
    </row>
    <row r="236" s="69" customFormat="1">
      <c r="A236" s="689"/>
      <c r="B236" s="690" t="s">
        <v>22708</v>
      </c>
    </row>
    <row r="237" s="69" customFormat="1" ht="25.5">
      <c r="A237" s="689" t="str">
        <f>ORÇAMENTO!B81</f>
        <v>4.4</v>
      </c>
      <c r="B237" s="687" t="str">
        <f>ORÇAMENTO!D81</f>
        <v xml:space="preserve">Execução de pavimento com aplicação de concreto asfáltico, camada de rolamento - exclusive carga e transporte. af_11/2019</v>
      </c>
    </row>
    <row r="238" s="69" customFormat="1">
      <c r="A238" s="689"/>
      <c r="B238" s="690" t="s">
        <v>22709</v>
      </c>
    </row>
    <row r="239" s="69" customFormat="1" ht="25.5">
      <c r="A239" s="689" t="str">
        <f>ORÇAMENTO!B82</f>
        <v>4.7</v>
      </c>
      <c r="B239" s="687" t="str">
        <f>ORÇAMENTO!D82</f>
        <v xml:space="preserve">Transporte comercial de massa asfáltica com caminhão basculante 10 m³ em rodovia pavimentada (REF SINAPI, CÓD 95303).</v>
      </c>
    </row>
    <row r="240" s="69" customFormat="1">
      <c r="A240" s="689"/>
      <c r="B240" s="700" t="s">
        <v>22710</v>
      </c>
    </row>
    <row r="241" s="69" customFormat="1">
      <c r="A241" s="689"/>
      <c r="B241" s="700" t="s">
        <v>22711</v>
      </c>
    </row>
    <row r="242" s="69" customFormat="1">
      <c r="A242" s="689"/>
      <c r="B242" s="700" t="s">
        <v>22712</v>
      </c>
    </row>
    <row r="243" s="69" customFormat="1" ht="25.5">
      <c r="A243" s="689" t="str">
        <f>ORÇAMENTO!B83</f>
        <v>4.8</v>
      </c>
      <c r="B243" s="687" t="str">
        <f>ORÇAMENTO!D83</f>
        <v xml:space="preserve">Transporte com caminhão basculante de 10 m³, em via urbana pavimentada, dmt até 30 km (unidade: txkm). af_07/2020</v>
      </c>
    </row>
    <row r="244" s="69" customFormat="1">
      <c r="A244" s="689"/>
      <c r="B244" s="700" t="s">
        <v>22713</v>
      </c>
    </row>
    <row r="245" s="69" customFormat="1">
      <c r="A245" s="689"/>
      <c r="B245" s="700" t="s">
        <v>22714</v>
      </c>
    </row>
    <row r="246" s="69" customFormat="1">
      <c r="A246" s="689"/>
      <c r="B246" s="700" t="s">
        <v>22715</v>
      </c>
    </row>
    <row r="247" s="69" customFormat="1" ht="25.5">
      <c r="A247" s="689" t="str">
        <f>ORÇAMENTO!B84</f>
        <v>4.9</v>
      </c>
      <c r="B247" s="687" t="str">
        <f>ORÇAMENTO!D84</f>
        <v xml:space="preserve">Transporte com caminhão tanque de transporte de material asfáltico de 30000 l, em via urbana pavimentada, dmt até 30km (unidade: txkm). af_07/2020 </v>
      </c>
    </row>
    <row r="248" s="69" customFormat="1">
      <c r="A248" s="689"/>
      <c r="B248" s="81" t="s">
        <v>22716</v>
      </c>
    </row>
    <row r="249" s="69" customFormat="1">
      <c r="A249" s="689"/>
      <c r="B249" s="81" t="s">
        <v>22717</v>
      </c>
    </row>
    <row r="250" s="69" customFormat="1">
      <c r="A250" s="689"/>
      <c r="B250" s="81" t="s">
        <v>22718</v>
      </c>
    </row>
    <row r="251" s="69" customFormat="1" ht="25.5">
      <c r="A251" s="689" t="str">
        <f>ORÇAMENTO!B85</f>
        <v>4.10</v>
      </c>
      <c r="B251" s="687" t="str">
        <f>ORÇAMENTO!D85</f>
        <v xml:space="preserve">Transporte com caminhão tanque de transporte de material asfáltico de 30000 l, em via urbana pavimentada, adicional para dmt excedente a 30 km (unidade: txkm). af_07/2020</v>
      </c>
    </row>
    <row r="252" s="69" customFormat="1">
      <c r="A252" s="689"/>
      <c r="B252" s="81" t="s">
        <v>22716</v>
      </c>
    </row>
    <row r="253" s="69" customFormat="1">
      <c r="A253" s="689"/>
      <c r="B253" s="81" t="s">
        <v>22719</v>
      </c>
    </row>
    <row r="254" s="69" customFormat="1">
      <c r="A254" s="689"/>
      <c r="B254" s="81" t="s">
        <v>22720</v>
      </c>
    </row>
    <row r="255" s="69" customFormat="1">
      <c r="A255" s="689" t="str">
        <f>ORÇAMENTO!B87</f>
        <v>5.0</v>
      </c>
      <c r="B255" s="687" t="str">
        <f>ORÇAMENTO!D87</f>
        <v xml:space="preserve">RECONSTRUÇÃO PAVIMENTAÇÃO ASFÁLTICA</v>
      </c>
    </row>
    <row r="256" s="69" customFormat="1">
      <c r="A256" s="689"/>
      <c r="B256" s="687" t="str">
        <f>ORÇAMENTO!D88</f>
        <v xml:space="preserve">Demolições e Terraplenagem</v>
      </c>
    </row>
    <row r="257" s="69" customFormat="1" ht="25.5">
      <c r="A257" s="689" t="str">
        <f>ORÇAMENTO!B89</f>
        <v>5.1</v>
      </c>
      <c r="B257" s="687" t="str">
        <f>ORÇAMENTO!D89</f>
        <v xml:space="preserve">Recorte mecânico de pavimento asfáltico ou piso de concreto, com serra de disco diamantado para piso/asfalto (REF AGESUL, CÓD IUP30002).</v>
      </c>
    </row>
    <row r="258" s="69" customFormat="1">
      <c r="A258" s="689"/>
      <c r="B258" s="165" t="s">
        <v>22721</v>
      </c>
    </row>
    <row r="259" s="69" customFormat="1" ht="25.5">
      <c r="A259" s="689" t="str">
        <f>ORÇAMENTO!B90</f>
        <v>5.2</v>
      </c>
      <c r="B259" s="693" t="str">
        <f>ORÇAMENTO!D90</f>
        <v xml:space="preserve">Reciclagem simples com incorporação do revestimento asfáltico à base, inclusive sarjeta (REF SICRO, CÓD 4011481). </v>
      </c>
    </row>
    <row r="260" s="69" customFormat="1">
      <c r="A260" s="689"/>
      <c r="B260" s="165" t="s">
        <v>22722</v>
      </c>
    </row>
    <row r="261" s="69" customFormat="1">
      <c r="A261" s="689"/>
      <c r="B261" s="693"/>
    </row>
    <row r="262" s="69" customFormat="1">
      <c r="A262" s="689"/>
      <c r="B262" s="165" t="s">
        <v>22723</v>
      </c>
    </row>
    <row r="263" s="69" customFormat="1">
      <c r="A263" s="689"/>
      <c r="B263" s="165" t="s">
        <v>22724</v>
      </c>
    </row>
    <row r="264" s="69" customFormat="1">
      <c r="A264" s="689"/>
      <c r="B264" s="165" t="s">
        <v>22725</v>
      </c>
    </row>
    <row r="265" s="69" customFormat="1" ht="38.25">
      <c r="A265" s="689" t="str">
        <f>ORÇAMENTO!B91</f>
        <v>5.3</v>
      </c>
      <c r="B265" s="687" t="str">
        <f>ORÇAMENTO!D91</f>
        <v xml:space="preserve">Carga e descarga mecanica de solo utilizando caminhao basculante 6,0 m³/16t e pá carregadeira sobre pneus 128 hp, capacidade da caçamba 1,7 a 2,8 m³, peso operacional 11632 kg (REF SINAPI, CÓD 74010/1).</v>
      </c>
    </row>
    <row r="266" s="69" customFormat="1">
      <c r="A266" s="689"/>
      <c r="B266" s="690" t="s">
        <v>22726</v>
      </c>
    </row>
    <row r="267" s="69" customFormat="1">
      <c r="A267" s="689"/>
      <c r="B267" s="165" t="s">
        <v>22727</v>
      </c>
    </row>
    <row r="268" s="69" customFormat="1">
      <c r="A268" s="689"/>
      <c r="B268" s="165" t="s">
        <v>22728</v>
      </c>
    </row>
    <row r="269" s="69" customFormat="1" ht="25.5">
      <c r="A269" s="689" t="str">
        <f>ORÇAMENTO!B92</f>
        <v>5.4</v>
      </c>
      <c r="B269" s="687" t="str">
        <f>ORÇAMENTO!D92</f>
        <v xml:space="preserve">Transporte com caminhão basculante de 10 m³, em via urbana pavimentada, dmt até 30 km (unidade: m3xkm). af_07/2020</v>
      </c>
    </row>
    <row r="270" s="69" customFormat="1">
      <c r="A270" s="689"/>
      <c r="B270" s="690" t="s">
        <v>22729</v>
      </c>
    </row>
    <row r="271" s="69" customFormat="1">
      <c r="A271" s="689"/>
      <c r="B271" s="165" t="s">
        <v>22730</v>
      </c>
    </row>
    <row r="272" s="69" customFormat="1" ht="13.5" customHeight="1">
      <c r="A272" s="689"/>
      <c r="B272" s="165" t="s">
        <v>22731</v>
      </c>
    </row>
    <row r="273" s="69" customFormat="1" ht="25.5">
      <c r="A273" s="689" t="str">
        <f>ORÇAMENTO!B93</f>
        <v>5.5</v>
      </c>
      <c r="B273" s="687" t="str">
        <f>ORÇAMENTO!D93</f>
        <v xml:space="preserve">Demolição de pavimento asfáltico com emprego de retro-escavadeira e serra de disco, exclusive bota-fora do material (REF AGESUL, CÓD IUP30005)</v>
      </c>
    </row>
    <row r="274" s="69" customFormat="1">
      <c r="A274" s="689"/>
      <c r="B274" s="165" t="s">
        <v>22732</v>
      </c>
    </row>
    <row r="275" s="69" customFormat="1">
      <c r="A275" s="689"/>
      <c r="B275" s="165" t="s">
        <v>22733</v>
      </c>
    </row>
    <row r="276" s="69" customFormat="1">
      <c r="A276" s="689"/>
      <c r="B276" s="165" t="s">
        <v>22734</v>
      </c>
    </row>
    <row r="277" s="69" customFormat="1" ht="33.75" customHeight="1">
      <c r="A277" s="689" t="str">
        <f>ORÇAMENTO!B94</f>
        <v>5.6</v>
      </c>
      <c r="B277" s="687" t="str">
        <f>ORÇAMENTO!D94</f>
        <v xml:space="preserve">Carga, manobra e descarga de entulho em caminhão basculante 10 m³ - carga com escavadeira hidráulica (caçamba de 0,80 m³ / 111 hp) e descarga livre (unidade: t). af_07/2020</v>
      </c>
    </row>
    <row r="278" s="69" customFormat="1">
      <c r="A278" s="689"/>
      <c r="B278" s="690" t="s">
        <v>22735</v>
      </c>
    </row>
    <row r="279" s="69" customFormat="1">
      <c r="A279" s="689"/>
      <c r="B279" s="165" t="s">
        <v>22736</v>
      </c>
    </row>
    <row r="280" s="69" customFormat="1">
      <c r="A280" s="689"/>
      <c r="B280" s="165" t="s">
        <v>22737</v>
      </c>
    </row>
    <row r="281" s="69" customFormat="1" ht="25.5">
      <c r="A281" s="689" t="str">
        <f>ORÇAMENTO!B95</f>
        <v>5.7</v>
      </c>
      <c r="B281" s="687" t="str">
        <f>ORÇAMENTO!D95</f>
        <v xml:space="preserve">Transporte com caminhão basculante de 10 m³, em via urbana pavimentada, dmt até 30 km (unidade: txkm). af_07/2020</v>
      </c>
    </row>
    <row r="282" s="69" customFormat="1">
      <c r="A282" s="689"/>
      <c r="B282" s="165" t="s">
        <v>22738</v>
      </c>
    </row>
    <row r="283" s="69" customFormat="1">
      <c r="A283" s="689"/>
      <c r="B283" s="165" t="s">
        <v>22739</v>
      </c>
    </row>
    <row r="284" s="69" customFormat="1">
      <c r="A284" s="689"/>
      <c r="B284" s="165" t="s">
        <v>22740</v>
      </c>
    </row>
    <row r="285" s="69" customFormat="1">
      <c r="A285" s="689" t="str">
        <f>ORÇAMENTO!B96</f>
        <v>5.8</v>
      </c>
      <c r="B285" s="701" t="str">
        <f>ORÇAMENTO!D96</f>
        <v xml:space="preserve">Regularização e compactação de subleito de solo  predominantemente argiloso. af_11/2019</v>
      </c>
    </row>
    <row r="286" s="69" customFormat="1">
      <c r="A286" s="689"/>
      <c r="B286" s="165" t="s">
        <v>22741</v>
      </c>
    </row>
    <row r="287" s="69" customFormat="1" ht="19.5" customHeight="1">
      <c r="A287" s="689" t="str">
        <f>ORÇAMENTO!B97</f>
        <v>5.9</v>
      </c>
      <c r="B287" s="687" t="str">
        <f>ORÇAMENTO!D97</f>
        <v xml:space="preserve">Preparo do sub-leito, escavação e carga, exclusive transporte (REF AGESUL, CÓD IUP10002).</v>
      </c>
    </row>
    <row r="288" s="69" customFormat="1">
      <c r="A288" s="689"/>
      <c r="B288" s="165" t="s">
        <v>22742</v>
      </c>
    </row>
    <row r="289" s="69" customFormat="1" ht="27.75" customHeight="1">
      <c r="A289" s="689" t="str">
        <f>ORÇAMENTO!B98</f>
        <v>5.10</v>
      </c>
      <c r="B289" s="687" t="str">
        <f>ORÇAMENTO!D98</f>
        <v xml:space="preserve">Transporte com caminhão basculante de 10 m³, em via urbana pavimentada, dmt até 30 km (unidade: m3xkm). af_07/2020</v>
      </c>
    </row>
    <row r="290" s="69" customFormat="1">
      <c r="A290" s="689"/>
      <c r="B290" s="695" t="s">
        <v>22743</v>
      </c>
    </row>
    <row r="291" s="69" customFormat="1">
      <c r="A291" s="689"/>
      <c r="B291" s="701"/>
    </row>
    <row r="292" s="69" customFormat="1">
      <c r="A292" s="689"/>
      <c r="B292" s="165" t="s">
        <v>22744</v>
      </c>
    </row>
    <row r="293" s="69" customFormat="1">
      <c r="A293" s="689"/>
      <c r="B293" s="165" t="s">
        <v>22745</v>
      </c>
    </row>
    <row r="294" s="69" customFormat="1">
      <c r="A294" s="689"/>
      <c r="B294" s="165" t="s">
        <v>22746</v>
      </c>
    </row>
    <row r="295" s="69" customFormat="1" ht="15.75" customHeight="1">
      <c r="A295" s="689" t="str">
        <f>ORÇAMENTO!B99</f>
        <v>5.11</v>
      </c>
      <c r="B295" s="687" t="str">
        <f>ORÇAMENTO!D99</f>
        <v xml:space="preserve">Base estabilizada com mistura na pista, execução</v>
      </c>
    </row>
    <row r="296" s="69" customFormat="1" ht="25.5">
      <c r="A296" s="689"/>
      <c r="B296" s="690" t="s">
        <v>22747</v>
      </c>
    </row>
    <row r="297" s="69" customFormat="1">
      <c r="A297" s="689"/>
      <c r="B297" s="687"/>
    </row>
    <row r="298" s="69" customFormat="1">
      <c r="A298" s="689"/>
      <c r="B298" s="690" t="s">
        <v>22748</v>
      </c>
    </row>
    <row r="299" s="69" customFormat="1" ht="38.25">
      <c r="A299" s="689" t="str">
        <f>ORÇAMENTO!B100</f>
        <v>5.12</v>
      </c>
      <c r="B299" s="687" t="str">
        <f>ORÇAMENTO!D100</f>
        <v xml:space="preserve">Carga e descarga mecanica de solo utilizando caminhao basculante 6,0 m³/16t e pá carregadeira sobre pneus 128 hp, capacidade da caçamba 1,7 a 2,8 m³, peso operacional 11632 kg (REF SINAPI, CÓD 74010/1).</v>
      </c>
    </row>
    <row r="300" s="69" customFormat="1">
      <c r="A300" s="689"/>
      <c r="B300" s="690" t="s">
        <v>22749</v>
      </c>
    </row>
    <row r="301" s="69" customFormat="1">
      <c r="A301" s="689"/>
      <c r="B301" s="690" t="s">
        <v>22750</v>
      </c>
    </row>
    <row r="302" s="69" customFormat="1">
      <c r="A302" s="689"/>
      <c r="B302" s="690" t="s">
        <v>22751</v>
      </c>
    </row>
    <row r="303" s="69" customFormat="1" ht="25.5">
      <c r="A303" s="689" t="str">
        <f>ORÇAMENTO!B101</f>
        <v>5.13</v>
      </c>
      <c r="B303" s="687" t="str">
        <f>ORÇAMENTO!D101</f>
        <v xml:space="preserve">Transporte com caminhão basculante de 10 m³, em via urbana pavimentada, dmt até 30 km (unidade: m3xkm). af_07/2020</v>
      </c>
    </row>
    <row r="304" s="69" customFormat="1">
      <c r="A304" s="689"/>
      <c r="B304" s="690" t="s">
        <v>22752</v>
      </c>
    </row>
    <row r="305" s="69" customFormat="1">
      <c r="A305" s="689"/>
      <c r="B305" s="165" t="s">
        <v>22753</v>
      </c>
    </row>
    <row r="306" s="69" customFormat="1">
      <c r="A306" s="689"/>
      <c r="B306" s="165" t="s">
        <v>22754</v>
      </c>
    </row>
    <row r="307" s="69" customFormat="1">
      <c r="A307" s="689" t="str">
        <f>ORÇAMENTO!B102</f>
        <v>5.14</v>
      </c>
      <c r="B307" s="687" t="str">
        <f>ORÇAMENTO!D102</f>
        <v xml:space="preserve">Bica corrida - posto pedreira/fornecedor (sem frete)</v>
      </c>
    </row>
    <row r="308" s="69" customFormat="1" ht="25.5">
      <c r="A308" s="689"/>
      <c r="B308" s="690" t="s">
        <v>22755</v>
      </c>
    </row>
    <row r="309" s="69" customFormat="1">
      <c r="A309" s="689"/>
      <c r="B309" s="690" t="s">
        <v>22756</v>
      </c>
    </row>
    <row r="310" s="69" customFormat="1">
      <c r="A310" s="689"/>
      <c r="B310" s="690" t="s">
        <v>22757</v>
      </c>
    </row>
    <row r="311" s="69" customFormat="1">
      <c r="A311" s="689" t="str">
        <f>ORÇAMENTO!B103</f>
        <v>5.15</v>
      </c>
      <c r="B311" s="687" t="str">
        <f>ORÇAMENTO!D103</f>
        <v xml:space="preserve">Transporte comercial de brita em rodovia pavimentada (REF SINAPI, CÓD 83356).</v>
      </c>
    </row>
    <row r="312" s="69" customFormat="1">
      <c r="A312" s="689"/>
      <c r="B312" s="165" t="s">
        <v>22594</v>
      </c>
    </row>
    <row r="313" s="69" customFormat="1">
      <c r="A313" s="689"/>
      <c r="B313" s="165" t="s">
        <v>22758</v>
      </c>
    </row>
    <row r="314" s="69" customFormat="1">
      <c r="A314" s="689"/>
      <c r="B314" s="165" t="s">
        <v>22759</v>
      </c>
    </row>
    <row r="315" s="69" customFormat="1" ht="25.5">
      <c r="A315" s="689" t="str">
        <f>ORÇAMENTO!B104</f>
        <v>5.16</v>
      </c>
      <c r="B315" s="702" t="str">
        <f>ORÇAMENTO!D104</f>
        <v xml:space="preserve">Transporte com caminhão basculante de 10 m³, em via urbana pavimentada, dmt até 30 km (unidade: m3xkm). af_07/2020</v>
      </c>
    </row>
    <row r="316" s="69" customFormat="1">
      <c r="A316" s="689"/>
      <c r="B316" s="165" t="s">
        <v>22760</v>
      </c>
    </row>
    <row r="317" s="69" customFormat="1">
      <c r="A317" s="689"/>
      <c r="B317" s="165" t="s">
        <v>22761</v>
      </c>
    </row>
    <row r="318" s="69" customFormat="1">
      <c r="A318" s="689"/>
      <c r="B318" s="165" t="s">
        <v>22762</v>
      </c>
    </row>
    <row r="319" s="69" customFormat="1" ht="25.5">
      <c r="A319" s="689" t="str">
        <f>ORÇAMENTO!B105</f>
        <v>5.17</v>
      </c>
      <c r="B319" s="702" t="str">
        <f>ORÇAMENTO!D105</f>
        <v xml:space="preserve">Execução de imprimação com emulsão catiônica isento de solvente volátil - eai - emulsão asfáltica de imprimação (REF SINAPI, CÓD 96401). </v>
      </c>
    </row>
    <row r="320" s="69" customFormat="1">
      <c r="A320" s="689"/>
      <c r="B320" s="165" t="s">
        <v>22763</v>
      </c>
    </row>
    <row r="321" s="69" customFormat="1" ht="25.5">
      <c r="A321" s="689" t="str">
        <f>ORÇAMENTO!B106</f>
        <v>5.18</v>
      </c>
      <c r="B321" s="702" t="str">
        <f>ORÇAMENTO!D106</f>
        <v xml:space="preserve">Transporte com caminhão tanque de transporte de material asfáltico de 30000 l, em via urbana pavimentada, dmt até 30km (unidade: txkm). af_07/2020 </v>
      </c>
    </row>
    <row r="322" s="69" customFormat="1">
      <c r="A322" s="689"/>
      <c r="B322" s="165" t="s">
        <v>22691</v>
      </c>
    </row>
    <row r="323" s="69" customFormat="1">
      <c r="A323" s="689"/>
      <c r="B323" s="165" t="s">
        <v>22764</v>
      </c>
    </row>
    <row r="324" s="69" customFormat="1">
      <c r="A324" s="689"/>
      <c r="B324" s="165" t="s">
        <v>22765</v>
      </c>
    </row>
    <row r="325" s="69" customFormat="1" ht="25.5">
      <c r="A325" s="689" t="str">
        <f>ORÇAMENTO!B107</f>
        <v>5.19</v>
      </c>
      <c r="B325" s="702" t="str">
        <f>ORÇAMENTO!D107</f>
        <v xml:space="preserve">Transporte com caminhão tanque de transporte de material asfáltico de 30000 l, em via urbana pavimentada, adicional para dmt excedente a 30 km (unidade: txkm). af_07/2020</v>
      </c>
    </row>
    <row r="326" s="69" customFormat="1">
      <c r="A326" s="689"/>
      <c r="B326" s="165" t="s">
        <v>22766</v>
      </c>
    </row>
    <row r="327" s="69" customFormat="1">
      <c r="A327" s="689"/>
      <c r="B327" s="165" t="s">
        <v>22767</v>
      </c>
    </row>
    <row r="328" s="69" customFormat="1">
      <c r="A328" s="689"/>
      <c r="B328" s="165" t="s">
        <v>22768</v>
      </c>
    </row>
    <row r="329" s="69" customFormat="1" ht="25.5">
      <c r="A329" s="689" t="str">
        <f>ORÇAMENTO!B108</f>
        <v>5.20</v>
      </c>
      <c r="B329" s="703" t="str">
        <f>ORÇAMENTO!D108</f>
        <v xml:space="preserve">Execução de pavimento com aplicação de concreto asfáltico, camada de rolamento - exclusive carga e transporte. af_11/2019</v>
      </c>
    </row>
    <row r="330" s="69" customFormat="1">
      <c r="A330" s="689"/>
      <c r="B330" s="690" t="s">
        <v>22769</v>
      </c>
    </row>
    <row r="331" s="69" customFormat="1" ht="25.5">
      <c r="A331" s="689" t="str">
        <f>ORÇAMENTO!B109</f>
        <v>5.21</v>
      </c>
      <c r="B331" s="702" t="str">
        <f>ORÇAMENTO!D109</f>
        <v xml:space="preserve">Transporte comercial de massa asfáltica com caminhão basculante 10 m³ em rodovia pavimentada (REF SINAPI, CÓD 95303).</v>
      </c>
    </row>
    <row r="332" s="69" customFormat="1">
      <c r="A332" s="689"/>
      <c r="B332" s="165" t="s">
        <v>22770</v>
      </c>
    </row>
    <row r="333" s="69" customFormat="1">
      <c r="A333" s="689"/>
      <c r="B333" s="690" t="s">
        <v>22771</v>
      </c>
    </row>
    <row r="334" s="69" customFormat="1">
      <c r="A334" s="689"/>
      <c r="B334" s="165" t="s">
        <v>22772</v>
      </c>
    </row>
    <row r="335" s="69" customFormat="1" ht="25.5">
      <c r="A335" s="689" t="str">
        <f>ORÇAMENTO!B110</f>
        <v>5.22</v>
      </c>
      <c r="B335" s="703" t="str">
        <f>ORÇAMENTO!D110</f>
        <v xml:space="preserve">Transporte com caminhão basculante de 10 m³, em via urbana pavimentada, dmt até 30 km (unidade: txkm). af_07/2020</v>
      </c>
    </row>
    <row r="336" s="69" customFormat="1">
      <c r="A336" s="689"/>
      <c r="B336" s="165" t="s">
        <v>22773</v>
      </c>
    </row>
    <row r="337" s="69" customFormat="1">
      <c r="A337" s="689"/>
      <c r="B337" s="165" t="s">
        <v>22774</v>
      </c>
    </row>
    <row r="338" s="69" customFormat="1">
      <c r="A338" s="689"/>
      <c r="B338" s="165" t="s">
        <v>22775</v>
      </c>
    </row>
    <row r="339" s="69" customFormat="1" ht="25.5">
      <c r="A339" s="689" t="str">
        <f>ORÇAMENTO!B111</f>
        <v>5.23</v>
      </c>
      <c r="B339" s="703" t="str">
        <f>ORÇAMENTO!D111</f>
        <v xml:space="preserve">Meio-fio com sarjeta, concreto fck=20 mpa, seção 615 cm², moldado no local, inclusive escavação e pintura a cal em uma demão.</v>
      </c>
    </row>
    <row r="340" s="69" customFormat="1">
      <c r="A340" s="689"/>
      <c r="B340" s="165" t="s">
        <v>22776</v>
      </c>
    </row>
    <row r="341" s="69" customFormat="1">
      <c r="A341" s="689"/>
      <c r="B341" s="165" t="s">
        <v>22777</v>
      </c>
    </row>
    <row r="342" s="69" customFormat="1">
      <c r="A342" s="689"/>
      <c r="B342" s="165" t="s">
        <v>22778</v>
      </c>
    </row>
    <row r="343" s="69" customFormat="1">
      <c r="A343" s="689" t="str">
        <f>ORÇAMENTO!B112</f>
        <v>5.24</v>
      </c>
      <c r="B343" s="698" t="str">
        <f>ORÇAMENTO!D112</f>
        <v xml:space="preserve">Transporte comercial de brita em rodovia pavimentada (REF SINAPI, CÓD 83356).</v>
      </c>
    </row>
    <row r="344" s="69" customFormat="1" ht="25.5">
      <c r="A344" s="689"/>
      <c r="B344" s="165" t="s">
        <v>22779</v>
      </c>
    </row>
    <row r="345" s="69" customFormat="1">
      <c r="A345" s="689"/>
      <c r="B345" s="165" t="s">
        <v>22780</v>
      </c>
    </row>
    <row r="346" s="69" customFormat="1">
      <c r="A346" s="689"/>
      <c r="B346" s="165" t="s">
        <v>22781</v>
      </c>
    </row>
    <row r="347" s="69" customFormat="1" ht="25.5">
      <c r="A347" s="689" t="str">
        <f>ORÇAMENTO!B113</f>
        <v>5.25</v>
      </c>
      <c r="B347" s="704" t="str">
        <f>ORÇAMENTO!D113</f>
        <v xml:space="preserve">Transporte com caminhão basculante de 10 m³, em via urbana pavimentada, dmt até 30 km (unidade: m3xkm). af_07/2020</v>
      </c>
    </row>
    <row r="348" s="69" customFormat="1" ht="25.5">
      <c r="A348" s="689"/>
      <c r="B348" s="165" t="s">
        <v>22779</v>
      </c>
    </row>
    <row r="349" s="69" customFormat="1">
      <c r="A349" s="689"/>
      <c r="B349" s="165" t="s">
        <v>22782</v>
      </c>
    </row>
    <row r="350" s="69" customFormat="1">
      <c r="A350" s="689"/>
      <c r="B350" s="165" t="s">
        <v>22783</v>
      </c>
    </row>
    <row r="351" s="69" customFormat="1" ht="25.5">
      <c r="A351" s="689" t="str">
        <f>ORÇAMENTO!B114</f>
        <v>5.26</v>
      </c>
      <c r="B351" s="704" t="str">
        <f>ORÇAMENTO!D114</f>
        <v xml:space="preserve">Execução de passeio (calçada) ou piso de concreto com concreto moldado in loco, feito em obra, acabamento convencional, não armado. af_08/2022</v>
      </c>
    </row>
    <row r="352" s="69" customFormat="1">
      <c r="A352" s="689"/>
      <c r="B352" s="165" t="s">
        <v>22784</v>
      </c>
    </row>
    <row r="353" s="69" customFormat="1">
      <c r="A353" s="689" t="str">
        <f>ORÇAMENTO!B115</f>
        <v>5.27</v>
      </c>
      <c r="B353" s="705" t="str">
        <f>ORÇAMENTO!D115</f>
        <v xml:space="preserve">Transporte comercial de brita em rodovia pavimentada (REF SINAPI, CÓD 83356).</v>
      </c>
    </row>
    <row r="354" s="69" customFormat="1">
      <c r="A354" s="706"/>
      <c r="B354" s="165" t="s">
        <v>22785</v>
      </c>
    </row>
    <row r="355" s="69" customFormat="1">
      <c r="A355" s="689"/>
      <c r="B355" s="165" t="s">
        <v>22786</v>
      </c>
    </row>
    <row r="356" s="69" customFormat="1">
      <c r="A356" s="689"/>
      <c r="B356" s="165" t="s">
        <v>22787</v>
      </c>
    </row>
    <row r="357" s="69" customFormat="1" ht="25.5">
      <c r="A357" s="689" t="str">
        <f>ORÇAMENTO!B116</f>
        <v>5.28</v>
      </c>
      <c r="B357" s="707" t="str">
        <f>ORÇAMENTO!D116</f>
        <v xml:space="preserve">Transporte com caminhão basculante de 10 m³, em via urbana pavimentada, dmt até 30 km (unidade: m3xkm). af_07/2020</v>
      </c>
    </row>
    <row r="358" s="69" customFormat="1">
      <c r="A358" s="689"/>
      <c r="B358" s="165" t="s">
        <v>22788</v>
      </c>
    </row>
    <row r="359" s="69" customFormat="1">
      <c r="A359" s="689"/>
      <c r="B359" s="165" t="s">
        <v>22789</v>
      </c>
    </row>
    <row r="360" s="69" customFormat="1">
      <c r="A360" s="689"/>
      <c r="B360" s="165" t="s">
        <v>22790</v>
      </c>
    </row>
    <row r="361" s="69" customFormat="1">
      <c r="A361" s="689" t="str">
        <f>ORÇAMENTO!B118</f>
        <v>6.0</v>
      </c>
      <c r="B361" s="707" t="str">
        <f>ORÇAMENTO!D118</f>
        <v xml:space="preserve">RECICLAGEM DO PAVIMENTO</v>
      </c>
    </row>
    <row r="362" s="69" customFormat="1" ht="25.5">
      <c r="A362" s="689" t="str">
        <f>ORÇAMENTO!B120</f>
        <v>6.1</v>
      </c>
      <c r="B362" s="702" t="str">
        <f>ORÇAMENTO!D120</f>
        <v xml:space="preserve">Fornecimento e instalação de manta bidim RT-14, incluindo 2 camadas de Ligante RR-1C e compactação - Juntas de Dilatação</v>
      </c>
    </row>
    <row r="363" s="69" customFormat="1">
      <c r="A363" s="689"/>
      <c r="B363" s="690" t="s">
        <v>22791</v>
      </c>
    </row>
    <row r="364" s="69" customFormat="1" ht="25.5">
      <c r="A364" s="689" t="str">
        <f>ORÇAMENTO!B121</f>
        <v>6.2</v>
      </c>
      <c r="B364" s="693" t="str">
        <f>ORÇAMENTO!D121</f>
        <v xml:space="preserve">Reciclagem com adição de 2% de cimento e incorporação do revestimento asfáltico à base (REF SICRO, CÓD 4011482). </v>
      </c>
    </row>
    <row r="365" s="69" customFormat="1">
      <c r="A365" s="689"/>
      <c r="B365" s="81" t="s">
        <v>22792</v>
      </c>
    </row>
    <row r="366" s="69" customFormat="1">
      <c r="A366" s="689"/>
      <c r="B366" s="708"/>
    </row>
    <row r="367" s="69" customFormat="1">
      <c r="A367" s="689"/>
      <c r="B367" s="81" t="s">
        <v>22793</v>
      </c>
    </row>
    <row r="368" s="69" customFormat="1">
      <c r="A368" s="689"/>
      <c r="B368" s="81" t="s">
        <v>22794</v>
      </c>
    </row>
    <row r="369" s="69" customFormat="1">
      <c r="A369" s="689"/>
      <c r="B369" s="81" t="s">
        <v>22795</v>
      </c>
    </row>
    <row r="370" s="69" customFormat="1">
      <c r="A370" s="689" t="str">
        <f>ORÇAMENTO!B122</f>
        <v>6.3</v>
      </c>
      <c r="B370" s="687" t="str">
        <f>ORÇAMENTO!D122</f>
        <v xml:space="preserve">Pedra britada n. 0, ou pedrisco (4,8 a 9,5 mm) posto pedreira/fornecedor, sem frete                                                                                                                                                                                                                                                                                                                                                                                                                       </v>
      </c>
    </row>
    <row r="371" s="69" customFormat="1" ht="25.5">
      <c r="A371" s="689"/>
      <c r="B371" s="692" t="s">
        <v>22796</v>
      </c>
    </row>
    <row r="372" s="69" customFormat="1">
      <c r="A372" s="689"/>
      <c r="B372" s="697"/>
    </row>
    <row r="373" s="69" customFormat="1">
      <c r="A373" s="689"/>
      <c r="B373" s="692" t="s">
        <v>22797</v>
      </c>
    </row>
    <row r="374" s="69" customFormat="1">
      <c r="A374" s="689"/>
      <c r="B374" s="692" t="s">
        <v>22798</v>
      </c>
    </row>
    <row r="375" s="69" customFormat="1">
      <c r="A375" s="689"/>
      <c r="B375" s="692" t="s">
        <v>22799</v>
      </c>
    </row>
    <row r="376" s="69" customFormat="1">
      <c r="A376" s="689"/>
      <c r="B376" s="692" t="s">
        <v>22800</v>
      </c>
    </row>
    <row r="377" s="69" customFormat="1" ht="17.25" customHeight="1">
      <c r="A377" s="689" t="str">
        <f>ORÇAMENTO!B123</f>
        <v>6.4</v>
      </c>
      <c r="B377" s="687" t="str">
        <f>ORÇAMENTO!D123</f>
        <v xml:space="preserve">Pedra britada ou bica corrida, nao classificada (posto pedreira/fornecedor, sem frete)                                                                                                                                                                                                                                                                                                                                                                                                                    </v>
      </c>
    </row>
    <row r="378" s="69" customFormat="1" ht="25.5">
      <c r="A378" s="689"/>
      <c r="B378" s="692" t="s">
        <v>22801</v>
      </c>
    </row>
    <row r="379" s="69" customFormat="1">
      <c r="A379" s="689"/>
      <c r="B379" s="692"/>
    </row>
    <row r="380" s="69" customFormat="1">
      <c r="A380" s="689"/>
      <c r="B380" s="692" t="s">
        <v>22802</v>
      </c>
    </row>
    <row r="381" s="69" customFormat="1">
      <c r="A381" s="689"/>
      <c r="B381" s="692" t="s">
        <v>22803</v>
      </c>
    </row>
    <row r="382" s="69" customFormat="1">
      <c r="A382" s="689"/>
      <c r="B382" s="692" t="s">
        <v>22804</v>
      </c>
    </row>
    <row r="383" s="69" customFormat="1">
      <c r="A383" s="689" t="str">
        <f>ORÇAMENTO!B124</f>
        <v>6.5</v>
      </c>
      <c r="B383" s="697" t="str">
        <f>ORÇAMENTO!D124</f>
        <v xml:space="preserve">Transporte comercial de brita em rodovia pavimentada (REF SINAPI, CÓD 83356).</v>
      </c>
    </row>
    <row r="384" s="69" customFormat="1">
      <c r="A384" s="689"/>
      <c r="B384" s="165" t="s">
        <v>22805</v>
      </c>
    </row>
    <row r="385" s="69" customFormat="1">
      <c r="A385" s="689"/>
      <c r="B385" s="165" t="s">
        <v>22806</v>
      </c>
    </row>
    <row r="386" s="69" customFormat="1">
      <c r="A386" s="689"/>
      <c r="B386" s="165" t="s">
        <v>22807</v>
      </c>
    </row>
    <row r="387" s="69" customFormat="1" ht="25.5">
      <c r="A387" s="689" t="str">
        <f>ORÇAMENTO!B125</f>
        <v>6.6</v>
      </c>
      <c r="B387" s="697" t="str">
        <f>ORÇAMENTO!D125</f>
        <v xml:space="preserve">Transporte com caminhão basculante de 10 m³, em via urbana pavimentada, dmt até 30 km (unidade: m3xkm). af_07/2020</v>
      </c>
    </row>
    <row r="388" s="69" customFormat="1">
      <c r="A388" s="689"/>
      <c r="B388" s="165" t="s">
        <v>22805</v>
      </c>
    </row>
    <row r="389" s="69" customFormat="1">
      <c r="A389" s="689"/>
      <c r="B389" s="165" t="s">
        <v>22808</v>
      </c>
    </row>
    <row r="390" s="69" customFormat="1">
      <c r="A390" s="689"/>
      <c r="B390" s="165" t="s">
        <v>22809</v>
      </c>
    </row>
    <row r="391" s="69" customFormat="1" ht="25.5">
      <c r="A391" s="689" t="str">
        <f>ORÇAMENTO!B126</f>
        <v>6.7</v>
      </c>
      <c r="B391" s="687" t="str">
        <f>ORÇAMENTO!D126</f>
        <v xml:space="preserve">Reciclagem com adição de agregado (brita 0 / pedrisco) e incorporação do revestimento asfáltico à base.</v>
      </c>
    </row>
    <row r="392" s="69" customFormat="1">
      <c r="A392" s="689"/>
      <c r="B392" s="692" t="s">
        <v>22810</v>
      </c>
    </row>
    <row r="393" s="69" customFormat="1" ht="14.25" customHeight="1">
      <c r="A393" s="689"/>
      <c r="B393" s="165" t="s">
        <v>22811</v>
      </c>
    </row>
    <row r="394" s="69" customFormat="1" ht="25.5">
      <c r="A394" s="689" t="str">
        <f>ORÇAMENTO!B127</f>
        <v>6.8</v>
      </c>
      <c r="B394" s="687" t="str">
        <f>ORÇAMENTO!D127</f>
        <v xml:space="preserve">Reciclagem simples com incorporação do revestimento asfáltico à base (REF SICRO, CÓD 4011481). </v>
      </c>
    </row>
    <row r="395" s="69" customFormat="1" ht="14.25" customHeight="1">
      <c r="A395" s="689"/>
      <c r="B395" s="692" t="s">
        <v>22812</v>
      </c>
    </row>
    <row r="396" s="69" customFormat="1" ht="14.25" customHeight="1">
      <c r="A396" s="689"/>
      <c r="B396" s="693"/>
    </row>
    <row r="397" s="69" customFormat="1">
      <c r="A397" s="689"/>
      <c r="B397" s="692" t="s">
        <v>22810</v>
      </c>
    </row>
    <row r="398" s="69" customFormat="1">
      <c r="A398" s="689"/>
      <c r="B398" s="165" t="s">
        <v>22811</v>
      </c>
    </row>
    <row r="399" s="69" customFormat="1" ht="25.5">
      <c r="A399" s="689" t="str">
        <f>ORÇAMENTO!B128</f>
        <v>6.9</v>
      </c>
      <c r="B399" s="687" t="str">
        <f>ORÇAMENTO!D128</f>
        <v xml:space="preserve">Execução de imprimação com emulsão catiônica isento de solvente volátil - eai - emulsão asfáltica de imprimação (REF SINAPI, CÓD 96401).  </v>
      </c>
    </row>
    <row r="400" s="69" customFormat="1">
      <c r="A400" s="689"/>
      <c r="B400" s="165" t="s">
        <v>22813</v>
      </c>
    </row>
    <row r="401" s="69" customFormat="1" ht="25.5">
      <c r="A401" s="689" t="str">
        <f>ORÇAMENTO!B129</f>
        <v>6.10</v>
      </c>
      <c r="B401" s="693" t="str">
        <f>ORÇAMENTO!D129</f>
        <v xml:space="preserve">Transporte com caminhão tanque de transporte de material asfáltico de 30000 l, em via urbana pavimentada, dmt até 30km (unidade: txkm). af_07/2020 </v>
      </c>
    </row>
    <row r="402" s="69" customFormat="1">
      <c r="A402" s="689"/>
      <c r="B402" s="165" t="s">
        <v>22691</v>
      </c>
    </row>
    <row r="403" s="69" customFormat="1">
      <c r="A403" s="689"/>
      <c r="B403" s="165" t="s">
        <v>22814</v>
      </c>
    </row>
    <row r="404" s="69" customFormat="1">
      <c r="A404" s="689"/>
      <c r="B404" s="165" t="s">
        <v>22815</v>
      </c>
    </row>
    <row r="405" s="69" customFormat="1" ht="25.5">
      <c r="A405" s="689" t="str">
        <f>ORÇAMENTO!B130</f>
        <v>6.11</v>
      </c>
      <c r="B405" s="687" t="str">
        <f>ORÇAMENTO!D130</f>
        <v xml:space="preserve">Transporte com caminhão tanque de transporte de material asfáltico de 30000 l, em via urbana pavimentada, adicional para dmt excedente a 30 km (unidade: txkm). af_07/2020</v>
      </c>
    </row>
    <row r="406" s="69" customFormat="1">
      <c r="A406" s="689"/>
      <c r="B406" s="165" t="s">
        <v>22816</v>
      </c>
    </row>
    <row r="407" s="69" customFormat="1">
      <c r="A407" s="689"/>
      <c r="B407" s="165" t="s">
        <v>22817</v>
      </c>
    </row>
    <row r="408" s="69" customFormat="1">
      <c r="A408" s="689"/>
      <c r="B408" s="165" t="s">
        <v>22818</v>
      </c>
    </row>
    <row r="409" s="69" customFormat="1" ht="25.5">
      <c r="A409" s="689" t="str">
        <f>ORÇAMENTO!B131</f>
        <v>6.12</v>
      </c>
      <c r="B409" s="687" t="str">
        <f>ORÇAMENTO!D131</f>
        <v xml:space="preserve">Execução de pavimento com aplicação de concreto asfáltico, camada de rolamento - exclusive carga e transporte. af_11/2019</v>
      </c>
    </row>
    <row r="410" s="69" customFormat="1">
      <c r="A410" s="689"/>
      <c r="B410" s="165" t="s">
        <v>22819</v>
      </c>
    </row>
    <row r="411" s="69" customFormat="1" ht="25.5">
      <c r="A411" s="689" t="str">
        <f>ORÇAMENTO!B132</f>
        <v>6.13</v>
      </c>
      <c r="B411" s="701" t="str">
        <f>ORÇAMENTO!D132</f>
        <v xml:space="preserve">Transporte comercial de massa asfáltica com caminhão basculante 10 m³ em rodovia pavimentada (REF SINAPI, CÓD 95303).</v>
      </c>
    </row>
    <row r="412" s="69" customFormat="1">
      <c r="A412" s="689"/>
      <c r="B412" s="165" t="s">
        <v>22603</v>
      </c>
    </row>
    <row r="413" s="69" customFormat="1">
      <c r="A413" s="689"/>
      <c r="B413" s="165" t="s">
        <v>22820</v>
      </c>
    </row>
    <row r="414" s="69" customFormat="1">
      <c r="A414" s="689"/>
      <c r="B414" s="165" t="s">
        <v>22821</v>
      </c>
    </row>
    <row r="415" s="69" customFormat="1" ht="25.5">
      <c r="A415" s="689" t="str">
        <f>ORÇAMENTO!B133</f>
        <v>6.14</v>
      </c>
      <c r="B415" s="701" t="str">
        <f>ORÇAMENTO!D133</f>
        <v xml:space="preserve">Transporte com caminhão basculante de 10 m³, em via urbana pavimentada, dmt até 30 km (unidade: txkm). af_07/2020</v>
      </c>
    </row>
    <row r="416" s="69" customFormat="1">
      <c r="A416" s="689"/>
      <c r="B416" s="165" t="s">
        <v>22822</v>
      </c>
    </row>
    <row r="417" s="69" customFormat="1">
      <c r="A417" s="689"/>
      <c r="B417" s="165" t="s">
        <v>22823</v>
      </c>
    </row>
    <row r="418" s="69" customFormat="1">
      <c r="A418" s="689"/>
      <c r="B418" s="165" t="s">
        <v>22824</v>
      </c>
    </row>
    <row r="419" s="69" customFormat="1">
      <c r="A419" s="689" t="str">
        <f>ORÇAMENTO!B135</f>
        <v>7.0</v>
      </c>
      <c r="B419" s="687" t="str">
        <f>ORÇAMENTO!D135</f>
        <v xml:space="preserve">SINALIZAÇÃO VIÁRIA</v>
      </c>
    </row>
    <row r="420" s="69" customFormat="1" ht="25.5">
      <c r="A420" s="689" t="str">
        <f>ORÇAMENTO!B136</f>
        <v>7.1</v>
      </c>
      <c r="B420" s="693" t="str">
        <f>ORÇAMENTO!D136</f>
        <v xml:space="preserve">Pintura de faixa de pedestre ou zebrada tinta retrorrefletiva a base de resina acrílica com microesferas de vidro, aplicação manual. af_05/2021</v>
      </c>
    </row>
    <row r="421" s="69" customFormat="1">
      <c r="A421" s="689"/>
      <c r="B421" s="165" t="s">
        <v>22825</v>
      </c>
    </row>
    <row r="422" s="69" customFormat="1">
      <c r="A422" s="689"/>
      <c r="B422" s="690" t="s">
        <v>22826</v>
      </c>
    </row>
    <row r="423" s="69" customFormat="1">
      <c r="A423" s="689"/>
      <c r="B423" s="165" t="s">
        <v>22827</v>
      </c>
    </row>
    <row r="424" s="69" customFormat="1" ht="25.5">
      <c r="A424" s="689" t="str">
        <f>ORÇAMENTO!B137</f>
        <v>7.2</v>
      </c>
      <c r="B424" s="687" t="str">
        <f>ORÇAMENTO!D137</f>
        <v xml:space="preserve">Pintura de eixo viário sobre asfalto com tinta retrorrefletiva a base de resina acrílica com microesferas de vidro, aplicação mecânica com demarcadora autopropelida. af_05/2021</v>
      </c>
    </row>
    <row r="425" s="69" customFormat="1" ht="27.75" customHeight="1">
      <c r="A425" s="689"/>
      <c r="B425" s="690" t="s">
        <v>22828</v>
      </c>
    </row>
    <row r="426" s="69" customFormat="1">
      <c r="A426" s="689"/>
      <c r="B426" s="165" t="s">
        <v>22829</v>
      </c>
    </row>
    <row r="427" s="69" customFormat="1">
      <c r="A427" s="689"/>
      <c r="B427" s="165" t="s">
        <v>22830</v>
      </c>
    </row>
    <row r="428" s="69" customFormat="1" ht="25.5">
      <c r="A428" s="689" t="str">
        <f>ORÇAMENTO!B138</f>
        <v>7.5</v>
      </c>
      <c r="B428" s="697" t="str">
        <f>ORÇAMENTO!D138</f>
        <v xml:space="preserve">Fornecimento e instalação de placa de sinalização vertical com pintura retrorrefletiva (até 0,36 m²), incluindo suporte metálico galvanizado Φ 2".</v>
      </c>
    </row>
    <row r="429" s="69" customFormat="1" ht="25.5">
      <c r="A429" s="689"/>
      <c r="B429" s="690" t="s">
        <v>22831</v>
      </c>
    </row>
    <row r="430" s="69" customFormat="1">
      <c r="A430" s="691"/>
      <c r="B430" s="690" t="s">
        <v>22832</v>
      </c>
    </row>
    <row r="431" s="69" customFormat="1">
      <c r="A431" s="691"/>
      <c r="B431" s="690" t="s">
        <v>22833</v>
      </c>
    </row>
    <row r="432" s="69" customFormat="1" ht="17.25" customHeight="1">
      <c r="A432" s="689" t="str">
        <f>ORÇAMENTO!B140</f>
        <v>8.0</v>
      </c>
      <c r="B432" s="687" t="str">
        <f>ORÇAMENTO!D140</f>
        <v xml:space="preserve">SERVIÇOS COMPLEMENTARES</v>
      </c>
    </row>
    <row r="433" s="69" customFormat="1" ht="21" customHeight="1">
      <c r="A433" s="689" t="str">
        <f>ORÇAMENTO!B141</f>
        <v>8.1</v>
      </c>
      <c r="B433" s="687" t="str">
        <f>ORÇAMENTO!D141</f>
        <v xml:space="preserve">Levantamento ou rebaixamento de tampão de poço de visita  (REF AGESUL, CÓD IUC10016).</v>
      </c>
    </row>
    <row r="434" s="69" customFormat="1">
      <c r="A434" s="689"/>
      <c r="B434" s="690" t="s">
        <v>22834</v>
      </c>
    </row>
    <row r="435" s="69" customFormat="1">
      <c r="A435" s="689"/>
      <c r="B435" s="693" t="str">
        <f>ORÇAMENTO!D142</f>
        <v xml:space="preserve">Meio - Fio</v>
      </c>
    </row>
    <row r="436" s="69" customFormat="1" ht="25.5">
      <c r="A436" s="709" t="str">
        <f>ORÇAMENTO!B143</f>
        <v>8.2</v>
      </c>
      <c r="B436" s="687" t="str">
        <f>ORÇAMENTO!D143</f>
        <v xml:space="preserve">Demolição de pavimento asfáltico com emprego de retro-escavadeira e serra de disco, exclusive bota-fora do material (REF AGESUL, CÓD IUP30005).</v>
      </c>
    </row>
    <row r="437" s="69" customFormat="1">
      <c r="A437" s="689"/>
      <c r="B437" s="165" t="s">
        <v>22835</v>
      </c>
    </row>
    <row r="438" s="69" customFormat="1">
      <c r="A438" s="691"/>
      <c r="B438" s="165" t="s">
        <v>22836</v>
      </c>
    </row>
    <row r="439" s="69" customFormat="1">
      <c r="A439" s="689"/>
      <c r="B439" s="165" t="s">
        <v>22837</v>
      </c>
    </row>
    <row r="440" s="69" customFormat="1" ht="36" customHeight="1">
      <c r="A440" s="709" t="str">
        <f>ORÇAMENTO!B144</f>
        <v>8.3</v>
      </c>
      <c r="B440" s="687" t="str">
        <f>ORÇAMENTO!D144</f>
        <v xml:space="preserve">Carga, manobra e descarga de entulho em caminhão basculante 10 m³ - carga com escavadeira hidráulica (caçamba de 0,80 m³ / 111 hp) e descarga livre (unidade: t). af_07/2020</v>
      </c>
    </row>
    <row r="441" s="69" customFormat="1">
      <c r="A441" s="691"/>
      <c r="B441" s="690" t="s">
        <v>22735</v>
      </c>
    </row>
    <row r="442" s="69" customFormat="1">
      <c r="A442" s="691"/>
      <c r="B442" s="165" t="s">
        <v>22838</v>
      </c>
    </row>
    <row r="443" s="69" customFormat="1">
      <c r="A443" s="689"/>
      <c r="B443" s="165" t="s">
        <v>22839</v>
      </c>
    </row>
    <row r="444" s="69" customFormat="1" ht="25.5">
      <c r="A444" s="709" t="str">
        <f>ORÇAMENTO!B145</f>
        <v>8.4</v>
      </c>
      <c r="B444" s="687" t="str">
        <f>ORÇAMENTO!D145</f>
        <v xml:space="preserve">Transporte com caminhão basculante de 10 m³, em via urbana pavimentada, dmt até 30 km (unidade: txkm). af_07/2020</v>
      </c>
    </row>
    <row r="445" s="69" customFormat="1">
      <c r="A445" s="689"/>
      <c r="B445" s="165" t="s">
        <v>22738</v>
      </c>
    </row>
    <row r="446" s="69" customFormat="1">
      <c r="A446" s="689"/>
      <c r="B446" s="165" t="s">
        <v>22840</v>
      </c>
    </row>
    <row r="447" s="69" customFormat="1">
      <c r="A447" s="689"/>
      <c r="B447" s="165" t="s">
        <v>22841</v>
      </c>
    </row>
    <row r="448" s="69" customFormat="1" ht="15" customHeight="1">
      <c r="A448" s="709" t="str">
        <f>ORÇAMENTO!B146</f>
        <v>8.5</v>
      </c>
      <c r="B448" s="710" t="str">
        <f>ORÇAMENTO!D146</f>
        <v xml:space="preserve">Regularização manual e compactação mecânica de terreno (REF AGESUL, CÓD IUD20075).</v>
      </c>
    </row>
    <row r="449" s="69" customFormat="1" ht="25.5">
      <c r="A449" s="689"/>
      <c r="B449" s="165" t="s">
        <v>22842</v>
      </c>
    </row>
    <row r="450" s="69" customFormat="1">
      <c r="A450" s="689"/>
      <c r="B450" s="690" t="s">
        <v>22843</v>
      </c>
    </row>
    <row r="451" s="69" customFormat="1">
      <c r="A451" s="689"/>
      <c r="B451" s="165" t="s">
        <v>22844</v>
      </c>
    </row>
    <row r="452" s="69" customFormat="1" ht="25.5">
      <c r="A452" s="709" t="str">
        <f>ORÇAMENTO!B147</f>
        <v>8.6</v>
      </c>
      <c r="B452" s="710" t="str">
        <f>ORÇAMENTO!D147</f>
        <v xml:space="preserve">Meio-fio com sarjeta, concreto fck=20 MPa, seção 615 cm², moldado no local, inclusive escavação e pintura a cal em uma demão.</v>
      </c>
    </row>
    <row r="453" s="69" customFormat="1">
      <c r="A453" s="689"/>
      <c r="B453" s="165" t="s">
        <v>22845</v>
      </c>
    </row>
    <row r="454" s="69" customFormat="1">
      <c r="A454" s="689"/>
      <c r="B454" s="165" t="s">
        <v>22846</v>
      </c>
    </row>
    <row r="455" s="69" customFormat="1">
      <c r="A455" s="689"/>
      <c r="B455" s="165" t="s">
        <v>22847</v>
      </c>
    </row>
    <row r="456" s="69" customFormat="1">
      <c r="A456" s="709" t="str">
        <f>ORÇAMENTO!B148</f>
        <v>8.7</v>
      </c>
      <c r="B456" s="687" t="str">
        <f>ORÇAMENTO!D148</f>
        <v xml:space="preserve">Transporte comercial de brita em rodovia pavimentada (REF SINAPI, CÓD 83356).</v>
      </c>
    </row>
    <row r="457" s="69" customFormat="1" ht="25.5">
      <c r="A457" s="689"/>
      <c r="B457" s="165" t="s">
        <v>22779</v>
      </c>
    </row>
    <row r="458" s="69" customFormat="1">
      <c r="A458" s="689"/>
      <c r="B458" s="165" t="s">
        <v>22848</v>
      </c>
    </row>
    <row r="459" s="69" customFormat="1">
      <c r="A459" s="689"/>
      <c r="B459" s="165" t="s">
        <v>22849</v>
      </c>
    </row>
    <row r="460" s="69" customFormat="1" ht="25.5">
      <c r="A460" s="709" t="str">
        <f>ORÇAMENTO!B149</f>
        <v>8.8</v>
      </c>
      <c r="B460" s="687" t="str">
        <f>ORÇAMENTO!D149</f>
        <v xml:space="preserve">Transporte com caminhão basculante de 10 m³, em via urbana pavimentada, dmt até 30 km (unidade: m3xkm). af_07/2020</v>
      </c>
    </row>
    <row r="461" s="69" customFormat="1" ht="25.5">
      <c r="A461" s="689"/>
      <c r="B461" s="165" t="s">
        <v>22779</v>
      </c>
    </row>
    <row r="462" s="69" customFormat="1">
      <c r="A462" s="689"/>
      <c r="B462" s="165" t="s">
        <v>22850</v>
      </c>
    </row>
    <row r="463" s="69" customFormat="1">
      <c r="A463" s="689"/>
      <c r="B463" s="165" t="s">
        <v>22851</v>
      </c>
    </row>
    <row r="464" s="69" customFormat="1" ht="25.5">
      <c r="A464" s="709" t="str">
        <f>ORÇAMENTO!B150</f>
        <v>8.9</v>
      </c>
      <c r="B464" s="687" t="str">
        <f>ORÇAMENTO!D150</f>
        <v xml:space="preserve">Execução de passeio (calçada) ou piso de concreto com concreto moldado in loco, feito em obra, acabamento convencional, não armado. af_07/2016</v>
      </c>
    </row>
    <row r="465" s="69" customFormat="1">
      <c r="A465" s="689"/>
      <c r="B465" s="165" t="s">
        <v>22852</v>
      </c>
    </row>
    <row r="466" s="69" customFormat="1">
      <c r="A466" s="709" t="str">
        <f>ORÇAMENTO!B151</f>
        <v>8.10</v>
      </c>
      <c r="B466" s="687" t="str">
        <f>ORÇAMENTO!D151</f>
        <v xml:space="preserve">Transporte comercial de brita em rodovia pavimentada (REF SINAPI, CÓD 83356).</v>
      </c>
    </row>
    <row r="467" s="69" customFormat="1">
      <c r="A467" s="689"/>
      <c r="B467" s="165" t="s">
        <v>22785</v>
      </c>
    </row>
    <row r="468" s="69" customFormat="1">
      <c r="A468" s="689"/>
      <c r="B468" s="165" t="s">
        <v>22853</v>
      </c>
    </row>
    <row r="469" s="69" customFormat="1">
      <c r="A469" s="689"/>
      <c r="B469" s="165" t="s">
        <v>22854</v>
      </c>
    </row>
    <row r="470" s="69" customFormat="1" ht="25.5">
      <c r="A470" s="709" t="str">
        <f>ORÇAMENTO!B152</f>
        <v>8.11</v>
      </c>
      <c r="B470" s="687" t="str">
        <f>ORÇAMENTO!D152</f>
        <v xml:space="preserve">Transporte com caminhão basculante de 10 m³, em via urbana pavimentada, dmt até 30 km (unidade: m3xkm). af_07/2020</v>
      </c>
    </row>
    <row r="471" s="69" customFormat="1">
      <c r="A471" s="689"/>
      <c r="B471" s="165" t="s">
        <v>22855</v>
      </c>
    </row>
    <row r="472" s="69" customFormat="1">
      <c r="A472" s="689"/>
      <c r="B472" s="165" t="s">
        <v>22856</v>
      </c>
    </row>
    <row r="473" s="69" customFormat="1">
      <c r="A473" s="689"/>
      <c r="B473" s="165" t="s">
        <v>22857</v>
      </c>
    </row>
    <row r="474" s="69" customFormat="1">
      <c r="A474" s="706"/>
      <c r="B474" s="692"/>
    </row>
    <row r="475" s="69" customFormat="1">
      <c r="A475" s="706"/>
      <c r="B475" s="687"/>
    </row>
    <row r="476" s="69" customFormat="1">
      <c r="A476" s="706"/>
      <c r="B476" s="687"/>
    </row>
    <row r="478" ht="15">
      <c r="B478" s="258" t="s">
        <v>20375</v>
      </c>
    </row>
    <row r="479" ht="15">
      <c r="B479" s="258" t="s">
        <v>20376</v>
      </c>
      <c r="C479" s="70"/>
      <c r="D479" s="70"/>
      <c r="E479" s="70"/>
    </row>
  </sheetData>
  <mergeCells count="4">
    <mergeCell ref="A1:B1"/>
    <mergeCell ref="A2:B2"/>
    <mergeCell ref="A3:B3"/>
    <mergeCell ref="A4:B4"/>
  </mergeCells>
  <printOptions headings="0" gridLines="0"/>
  <pageMargins left="0.70866141732283505" right="0.70866141732283505" top="1.25984251968504" bottom="1.1023622047244099" header="0.39370078740157494" footer="0.39370078740157494"/>
  <pageSetup paperSize="9" scale="95" firstPageNumber="2147483647" fitToWidth="1" fitToHeight="1" pageOrder="downThenOver" orientation="portrait" usePrinterDefaults="1" blackAndWhite="0" draft="0" cellComments="none" useFirstPageNumber="0" errors="displayed" horizontalDpi="600" verticalDpi="600" copies="1"/>
  <headerFooter scaleWithDoc="0">
    <oddHeader>&amp;L&amp;G</oddHeader>
    <oddFooter>&amp;R&amp;P/&amp;N</oddFooter>
  </headerFooter>
  <drawing r:id="rId1"/>
  <extLst>
    <ext xmlns:x14="http://schemas.microsoft.com/office/spreadsheetml/2009/9/main" uri="{78C0D931-6437-407d-A8EE-F0AAD7539E65}">
      <x14:conditionalFormattings>
        <x14:conditionalFormatting xmlns:xm="http://schemas.microsoft.com/office/excel/2006/main">
          <x14:cfRule type="duplicateValues" priority="2" stopIfTrue="1" id="{001D0099-00C9-4964-8390-001C005E00CF}">
            <x14:dxf>
              <font>
                <color rgb="FF9C0006"/>
              </font>
              <fill>
                <patternFill patternType="solid">
                  <fgColor rgb="FFFFC7CE"/>
                  <bgColor rgb="FFFFC7CE"/>
                </patternFill>
              </fill>
            </x14:dxf>
          </x14:cfRule>
          <xm:sqref>B478</xm:sqref>
        </x14:conditionalFormatting>
        <x14:conditionalFormatting xmlns:xm="http://schemas.microsoft.com/office/excel/2006/main">
          <x14:cfRule type="duplicateValues" priority="1" stopIfTrue="1" id="{001C0089-00E2-4AF2-9104-003F00F300E8}">
            <x14:dxf>
              <font>
                <color rgb="FF9C0006"/>
              </font>
              <fill>
                <patternFill patternType="solid">
                  <fgColor rgb="FFFFC7CE"/>
                  <bgColor rgb="FFFFC7CE"/>
                </patternFill>
              </fill>
            </x14:dxf>
          </x14:cfRule>
          <xm:sqref>B479</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80" workbookViewId="0">
      <selection activeCell="D18" activeCellId="0" sqref="D18"/>
    </sheetView>
  </sheetViews>
  <sheetFormatPr defaultColWidth="9.140625" defaultRowHeight="13.5"/>
  <cols>
    <col customWidth="1" min="1" max="1" style="4" width="7.42578125"/>
    <col customWidth="1" min="2" max="2" style="4" width="55"/>
    <col customWidth="1" min="3" max="3" style="4" width="12.85546875"/>
    <col customWidth="1" min="4" max="4" style="4" width="19.7109375"/>
    <col customWidth="1" min="5" max="5" style="4" width="10.85546875"/>
    <col customWidth="1" min="6" max="6" style="4" width="17.85546875"/>
    <col customWidth="1" min="7" max="7" style="4" width="11.85546875"/>
    <col customWidth="1" min="8" max="8" style="4" width="18.5703125"/>
    <col customWidth="1" min="9" max="9" style="4" width="10.28515625"/>
    <col customWidth="1" min="10" max="10" style="4" width="18.5703125"/>
    <col customWidth="1" min="11" max="11" style="4" width="14.85546875"/>
    <col customWidth="1" min="12" max="12" style="4" width="17.85546875"/>
    <col customWidth="1" min="13" max="13" style="4" width="14.85546875"/>
    <col customWidth="1" min="14" max="14" style="4" width="18.5703125"/>
    <col customWidth="1" min="15" max="15" style="4" width="14.85546875"/>
    <col customWidth="1" min="16" max="16" style="4" width="17.85546875"/>
    <col customWidth="1" min="17" max="17" style="4" width="8.7109375"/>
    <col customWidth="1" min="18" max="18" style="4" width="14.85546875"/>
    <col customWidth="1" min="19" max="19" style="4" width="13.5703125"/>
    <col customWidth="1" min="20" max="20" style="4" width="11.42578125"/>
    <col min="21" max="16384" style="4" width="9.140625"/>
  </cols>
  <sheetData>
    <row r="1" ht="23.25" customHeight="1">
      <c r="A1" s="711" t="str">
        <f>ORÇAMENTO!A1</f>
        <v xml:space="preserve">OBJETO: RESTAURAÇÃO FUNCIONAL DO PAVIMENTO E SINALIZAÇÃO VIÁRIA</v>
      </c>
      <c r="B1" s="711"/>
      <c r="C1" s="711"/>
      <c r="D1" s="711"/>
      <c r="E1" s="711"/>
      <c r="F1" s="711"/>
      <c r="G1" s="711"/>
      <c r="H1" s="711"/>
      <c r="I1" s="712"/>
      <c r="J1" s="712"/>
      <c r="K1" s="713"/>
      <c r="L1" s="713"/>
      <c r="M1" s="713"/>
      <c r="N1" s="713"/>
      <c r="O1" s="713"/>
      <c r="P1" s="713"/>
    </row>
    <row r="2" ht="41.25" customHeight="1">
      <c r="A2" s="711" t="str">
        <f>ORÇAMENTO!A2</f>
        <v xml:space="preserve">LOCAL: QUADRILÁTERO ENTRE AS RUAS JOSUÉ GARCIA PIRES, MANOEL RASSELEN, CAFELÂNDIA E AV. HAYEL BON FAKER / RUA ERNESTO M. DE CARVALHO E ADJACÊNCIAS</v>
      </c>
      <c r="B2" s="711"/>
      <c r="C2" s="711"/>
      <c r="D2" s="711"/>
      <c r="E2" s="711"/>
      <c r="F2" s="711"/>
      <c r="G2" s="711"/>
      <c r="H2" s="711"/>
      <c r="I2" s="712"/>
      <c r="J2" s="712"/>
      <c r="K2" s="713"/>
      <c r="L2" s="713"/>
      <c r="M2" s="713"/>
      <c r="N2" s="713"/>
      <c r="O2" s="713"/>
      <c r="P2" s="713"/>
    </row>
    <row r="3" ht="15.75">
      <c r="A3" s="711" t="str">
        <f>ORÇAMENTO!A3</f>
        <v xml:space="preserve">MUNICÍPIO:  DOURADOS/MS</v>
      </c>
      <c r="B3" s="711"/>
      <c r="C3" s="711"/>
      <c r="D3" s="711"/>
      <c r="E3" s="711"/>
      <c r="F3" s="711"/>
      <c r="G3" s="711"/>
      <c r="H3" s="714"/>
      <c r="I3" s="714"/>
      <c r="J3" s="714"/>
      <c r="K3" s="715"/>
      <c r="L3" s="715"/>
      <c r="M3" s="715"/>
      <c r="N3" s="715"/>
      <c r="O3" s="715"/>
      <c r="P3" s="715"/>
    </row>
    <row r="4" ht="15.75">
      <c r="A4" s="683" t="str">
        <f>ORÇAMENTO!A4</f>
        <v xml:space="preserve">DATA/BASE: SINAPI (S) = MARÇO/2026 ONERADO </v>
      </c>
      <c r="B4" s="683"/>
      <c r="C4" s="683"/>
      <c r="D4" s="683"/>
      <c r="E4" s="714"/>
      <c r="F4" s="714"/>
      <c r="G4" s="714"/>
      <c r="H4" s="714"/>
      <c r="I4" s="714"/>
      <c r="J4" s="714"/>
      <c r="K4" s="715"/>
      <c r="L4" s="715"/>
      <c r="M4" s="715"/>
      <c r="N4" s="715"/>
      <c r="O4" s="715"/>
      <c r="P4" s="715"/>
    </row>
    <row r="5" ht="15">
      <c r="A5" s="716"/>
      <c r="B5" s="716"/>
      <c r="C5" s="717"/>
      <c r="D5" s="718"/>
      <c r="E5" s="253"/>
      <c r="F5" s="719"/>
      <c r="G5" s="716"/>
      <c r="H5" s="716"/>
      <c r="I5" s="231"/>
      <c r="J5" s="231"/>
      <c r="K5" s="231"/>
      <c r="L5" s="231"/>
      <c r="M5" s="231"/>
      <c r="N5" s="231"/>
      <c r="O5" s="720"/>
      <c r="P5" s="231"/>
    </row>
    <row r="6" ht="15.75">
      <c r="A6" s="721" t="s">
        <v>22858</v>
      </c>
      <c r="B6" s="721"/>
      <c r="C6" s="721"/>
      <c r="D6" s="721"/>
      <c r="E6" s="721"/>
      <c r="F6" s="721"/>
      <c r="G6" s="721"/>
      <c r="H6" s="721"/>
      <c r="I6" s="721"/>
      <c r="J6" s="721"/>
      <c r="K6" s="721"/>
      <c r="L6" s="721"/>
      <c r="M6" s="721"/>
      <c r="N6" s="721"/>
      <c r="O6" s="721"/>
      <c r="P6" s="721"/>
    </row>
    <row r="7" ht="14.25">
      <c r="A7" s="722" t="s">
        <v>20371</v>
      </c>
      <c r="B7" s="722" t="s">
        <v>10457</v>
      </c>
      <c r="C7" s="723" t="s">
        <v>22859</v>
      </c>
      <c r="D7" s="722" t="s">
        <v>22860</v>
      </c>
      <c r="E7" s="722" t="s">
        <v>20372</v>
      </c>
      <c r="F7" s="722" t="s">
        <v>22861</v>
      </c>
      <c r="G7" s="722" t="s">
        <v>20372</v>
      </c>
      <c r="H7" s="722" t="s">
        <v>22862</v>
      </c>
      <c r="I7" s="722" t="s">
        <v>20372</v>
      </c>
      <c r="J7" s="722" t="s">
        <v>22863</v>
      </c>
      <c r="K7" s="722" t="s">
        <v>20372</v>
      </c>
      <c r="L7" s="722" t="s">
        <v>22864</v>
      </c>
      <c r="M7" s="722" t="s">
        <v>20372</v>
      </c>
      <c r="N7" s="722" t="s">
        <v>22865</v>
      </c>
      <c r="O7" s="722" t="s">
        <v>20372</v>
      </c>
      <c r="P7" s="722" t="s">
        <v>22866</v>
      </c>
      <c r="Q7" s="724"/>
    </row>
    <row r="8" ht="15">
      <c r="A8" s="725" t="str">
        <f>RESUMO!A9</f>
        <v>1.0</v>
      </c>
      <c r="B8" s="726" t="str">
        <f>RESUMO!B9</f>
        <v xml:space="preserve">SERVIÇOS PRELIMINARES</v>
      </c>
      <c r="C8" s="727" t="e">
        <f t="shared" ref="C8:C9" si="1970">D8/D$16</f>
        <v>#VALUE!</v>
      </c>
      <c r="D8" s="728">
        <f>RESUMO!D9</f>
        <v>17039.440000000002</v>
      </c>
      <c r="E8" s="729">
        <v>1</v>
      </c>
      <c r="F8" s="730">
        <f t="shared" ref="F8:H15" si="1971">$D8*E8</f>
        <v>17039.440000000002</v>
      </c>
      <c r="G8" s="729">
        <v>0</v>
      </c>
      <c r="H8" s="730">
        <f t="shared" si="1971"/>
        <v>0</v>
      </c>
      <c r="I8" s="729">
        <v>0</v>
      </c>
      <c r="J8" s="730">
        <f t="shared" ref="J8:J15" si="1972">$D8*I8</f>
        <v>0</v>
      </c>
      <c r="K8" s="729">
        <v>0</v>
      </c>
      <c r="L8" s="730">
        <f t="shared" ref="L8:L15" si="1973">$D8*K8</f>
        <v>0</v>
      </c>
      <c r="M8" s="729">
        <v>0</v>
      </c>
      <c r="N8" s="730">
        <f t="shared" ref="N8:N15" si="1974">$D8*M8</f>
        <v>0</v>
      </c>
      <c r="O8" s="729">
        <v>0</v>
      </c>
      <c r="P8" s="730">
        <f t="shared" ref="P8:P13" si="1975">$D8*O8</f>
        <v>0</v>
      </c>
      <c r="Q8" s="731">
        <f t="shared" ref="Q8:Q9" si="1976">E8+G8+I8+K8+M8+O8</f>
        <v>1</v>
      </c>
      <c r="R8" s="732">
        <f t="shared" ref="R8:R13" si="1977">D8-F8-H8-J8-L8-N8-P8</f>
        <v>0</v>
      </c>
      <c r="S8" s="724"/>
    </row>
    <row r="9" ht="15">
      <c r="A9" s="725" t="str">
        <f>RESUMO!A10</f>
        <v>2.0</v>
      </c>
      <c r="B9" s="733" t="s">
        <v>20394</v>
      </c>
      <c r="C9" s="727" t="e">
        <f t="shared" si="1970"/>
        <v>#VALUE!</v>
      </c>
      <c r="D9" s="728">
        <f>RESUMO!D10</f>
        <v>208431.35999999999</v>
      </c>
      <c r="E9" s="729" t="e">
        <f>F9/$D9+0.0002</f>
        <v>#VALUE!</v>
      </c>
      <c r="F9" s="730" t="e">
        <f>(SUM(F8+F10+F11+F12+F13+F14+F15)+0.0421*SUM(F8+F10+F11+F12+F13+F14+F15))*0.0421+$R$19</f>
        <v>#VALUE!</v>
      </c>
      <c r="G9" s="729" t="e">
        <f>H9/$D9-0.0001</f>
        <v>#VALUE!</v>
      </c>
      <c r="H9" s="730" t="e">
        <f>(SUM(H8+H10+H11+H12+H13+H14+H15)+0.0421*SUM(H8+H10+H11+H12+H13+H14+H15))*0.0421+$R$19</f>
        <v>#VALUE!</v>
      </c>
      <c r="I9" s="729" t="e">
        <f>J9/$D9</f>
        <v>#VALUE!</v>
      </c>
      <c r="J9" s="730" t="e">
        <f>(SUM(J8+J10+J11+J12+J13+J14+J15)+0.0421*SUM(J8+J10+J11+J12+J13+J14+J15))*0.0421+$R$19</f>
        <v>#VALUE!</v>
      </c>
      <c r="K9" s="729" t="e">
        <f>L9/$D9</f>
        <v>#VALUE!</v>
      </c>
      <c r="L9" s="730" t="e">
        <f>(SUM(L8+L10+L11+L12+L13+L14+L15)+0.0421*SUM(L8+L10+L11+L12+L13+L14+L15))*0.0421+$R$19</f>
        <v>#VALUE!</v>
      </c>
      <c r="M9" s="729" t="e">
        <f>N9/$D9</f>
        <v>#VALUE!</v>
      </c>
      <c r="N9" s="730" t="e">
        <f>(SUM(N8+N10+N11+N12+N13+N14+N15)+0.0421*SUM(N8+N10+N11+N12+N13+N14+N15))*0.0421+$R$19</f>
        <v>#VALUE!</v>
      </c>
      <c r="O9" s="729" t="e">
        <f>(P9/$D9)-0.0001</f>
        <v>#VALUE!</v>
      </c>
      <c r="P9" s="730" t="e">
        <f>D9-F9-H9-J9-L9-N9</f>
        <v>#VALUE!</v>
      </c>
      <c r="Q9" s="731" t="e">
        <f t="shared" si="1976"/>
        <v>#VALUE!</v>
      </c>
      <c r="R9" s="732" t="e">
        <f t="shared" si="1977"/>
        <v>#VALUE!</v>
      </c>
      <c r="S9" s="724"/>
    </row>
    <row r="10" ht="15">
      <c r="A10" s="725" t="str">
        <f>RESUMO!A11</f>
        <v>3.0</v>
      </c>
      <c r="B10" s="726" t="str">
        <f>RESUMO!B11</f>
        <v xml:space="preserve">RECUPERAÇÃO DOS DEFEITOS DO PAVIMENTO</v>
      </c>
      <c r="C10" s="727" t="e">
        <f t="shared" ref="C10:C15" si="1978">D10/D$16</f>
        <v>#VALUE!</v>
      </c>
      <c r="D10" s="728">
        <f>RESUMO!D11</f>
        <v>835410.27999999991</v>
      </c>
      <c r="E10" s="729">
        <v>0.5</v>
      </c>
      <c r="F10" s="730">
        <f t="shared" si="1971"/>
        <v>417705.13999999996</v>
      </c>
      <c r="G10" s="729">
        <v>0.5</v>
      </c>
      <c r="H10" s="730">
        <f>$D10*G10</f>
        <v>417705.13999999996</v>
      </c>
      <c r="I10" s="729">
        <v>0</v>
      </c>
      <c r="J10" s="730">
        <f t="shared" si="1972"/>
        <v>0</v>
      </c>
      <c r="K10" s="729">
        <v>0</v>
      </c>
      <c r="L10" s="730">
        <f t="shared" si="1973"/>
        <v>0</v>
      </c>
      <c r="M10" s="729">
        <v>0</v>
      </c>
      <c r="N10" s="730">
        <f t="shared" si="1974"/>
        <v>0</v>
      </c>
      <c r="O10" s="729">
        <v>0</v>
      </c>
      <c r="P10" s="730">
        <f t="shared" si="1975"/>
        <v>0</v>
      </c>
      <c r="Q10" s="731">
        <f t="shared" ref="Q10:Q15" si="1979">E10+G10+I10+K10+M10+O10</f>
        <v>1</v>
      </c>
      <c r="R10" s="732">
        <f t="shared" si="1977"/>
        <v>0</v>
      </c>
      <c r="S10" s="724"/>
    </row>
    <row r="11" ht="15">
      <c r="A11" s="725" t="str">
        <f>RESUMO!A12</f>
        <v>4.0</v>
      </c>
      <c r="B11" s="734" t="str">
        <f>RESUMO!B12</f>
        <v xml:space="preserve">RECAPEAMENTO ASFÁLTICO </v>
      </c>
      <c r="C11" s="727" t="e">
        <f t="shared" si="1978"/>
        <v>#VALUE!</v>
      </c>
      <c r="D11" s="728">
        <f>RESUMO!D12</f>
        <v>231906.56</v>
      </c>
      <c r="E11" s="729">
        <v>0.5</v>
      </c>
      <c r="F11" s="730">
        <f t="shared" si="1971"/>
        <v>115953.28</v>
      </c>
      <c r="G11" s="729">
        <v>0.5</v>
      </c>
      <c r="H11" s="730">
        <f t="shared" si="1971"/>
        <v>115953.28</v>
      </c>
      <c r="I11" s="729">
        <v>0</v>
      </c>
      <c r="J11" s="730">
        <f t="shared" si="1972"/>
        <v>0</v>
      </c>
      <c r="K11" s="729">
        <v>0</v>
      </c>
      <c r="L11" s="730">
        <f t="shared" si="1973"/>
        <v>0</v>
      </c>
      <c r="M11" s="729">
        <v>0</v>
      </c>
      <c r="N11" s="730">
        <f t="shared" si="1974"/>
        <v>0</v>
      </c>
      <c r="O11" s="729">
        <v>0</v>
      </c>
      <c r="P11" s="730">
        <f t="shared" si="1975"/>
        <v>0</v>
      </c>
      <c r="Q11" s="731">
        <f t="shared" si="1979"/>
        <v>1</v>
      </c>
      <c r="R11" s="732">
        <f t="shared" si="1977"/>
        <v>0</v>
      </c>
      <c r="S11" s="724"/>
    </row>
    <row r="12" ht="15">
      <c r="A12" s="725" t="str">
        <f>RESUMO!A13</f>
        <v>5.0</v>
      </c>
      <c r="B12" s="726" t="str">
        <f>RESUMO!B13</f>
        <v xml:space="preserve">RECONSTRUÇÃO PAVIMENTAÇÃO ASFÁLTICA</v>
      </c>
      <c r="C12" s="727" t="e">
        <f t="shared" si="1978"/>
        <v>#VALUE!</v>
      </c>
      <c r="D12" s="728" t="e">
        <f>RESUMO!D13</f>
        <v>#VALUE!</v>
      </c>
      <c r="E12" s="729">
        <v>0.20000000000000001</v>
      </c>
      <c r="F12" s="730" t="e">
        <f t="shared" si="1971"/>
        <v>#VALUE!</v>
      </c>
      <c r="G12" s="729">
        <v>0.20000000000000001</v>
      </c>
      <c r="H12" s="730" t="e">
        <f t="shared" si="1971"/>
        <v>#VALUE!</v>
      </c>
      <c r="I12" s="729">
        <v>0.20000000000000001</v>
      </c>
      <c r="J12" s="730" t="e">
        <f t="shared" si="1972"/>
        <v>#VALUE!</v>
      </c>
      <c r="K12" s="729">
        <v>0.20000000000000001</v>
      </c>
      <c r="L12" s="730" t="e">
        <f t="shared" si="1973"/>
        <v>#VALUE!</v>
      </c>
      <c r="M12" s="729">
        <v>0.10000000000000001</v>
      </c>
      <c r="N12" s="730" t="e">
        <f t="shared" si="1974"/>
        <v>#VALUE!</v>
      </c>
      <c r="O12" s="729">
        <v>0.10000000000000001</v>
      </c>
      <c r="P12" s="730" t="e">
        <f>$D12*O12</f>
        <v>#VALUE!</v>
      </c>
      <c r="Q12" s="731">
        <f t="shared" si="1979"/>
        <v>1</v>
      </c>
      <c r="R12" s="732" t="e">
        <f t="shared" si="1977"/>
        <v>#VALUE!</v>
      </c>
      <c r="S12" s="724"/>
    </row>
    <row r="13" ht="15">
      <c r="A13" s="725" t="str">
        <f>RESUMO!A14</f>
        <v>6.0</v>
      </c>
      <c r="B13" s="726" t="str">
        <f>RESUMO!B14</f>
        <v xml:space="preserve">RECICLAGEM DO PAVIMENTO</v>
      </c>
      <c r="C13" s="727" t="e">
        <f t="shared" si="1978"/>
        <v>#VALUE!</v>
      </c>
      <c r="D13" s="728" t="e">
        <f>RESUMO!D14</f>
        <v>#VALUE!</v>
      </c>
      <c r="E13" s="729">
        <v>0</v>
      </c>
      <c r="F13" s="730" t="e">
        <f>$D13*E13</f>
        <v>#VALUE!</v>
      </c>
      <c r="G13" s="729">
        <v>0.5</v>
      </c>
      <c r="H13" s="730" t="e">
        <f>$D13*G13</f>
        <v>#VALUE!</v>
      </c>
      <c r="I13" s="729">
        <v>0.5</v>
      </c>
      <c r="J13" s="730" t="e">
        <f>$D13*I13</f>
        <v>#VALUE!</v>
      </c>
      <c r="K13" s="729">
        <v>0</v>
      </c>
      <c r="L13" s="730" t="e">
        <f>$D13*K13</f>
        <v>#VALUE!</v>
      </c>
      <c r="M13" s="729">
        <v>0</v>
      </c>
      <c r="N13" s="730" t="e">
        <f>$D13*M13</f>
        <v>#VALUE!</v>
      </c>
      <c r="O13" s="729">
        <v>0</v>
      </c>
      <c r="P13" s="730" t="e">
        <f t="shared" si="1975"/>
        <v>#VALUE!</v>
      </c>
      <c r="Q13" s="731">
        <f t="shared" si="1979"/>
        <v>1</v>
      </c>
      <c r="R13" s="732" t="e">
        <f t="shared" si="1977"/>
        <v>#VALUE!</v>
      </c>
      <c r="S13" s="724"/>
    </row>
    <row r="14" ht="15">
      <c r="A14" s="725" t="str">
        <f>RESUMO!A15</f>
        <v>7.0</v>
      </c>
      <c r="B14" s="726" t="str">
        <f>RESUMO!B15</f>
        <v xml:space="preserve">SINALIZAÇÃO VIÁRIA</v>
      </c>
      <c r="C14" s="727" t="e">
        <f t="shared" si="1978"/>
        <v>#VALUE!</v>
      </c>
      <c r="D14" s="728">
        <f>RESUMO!D15</f>
        <v>72171.720000000001</v>
      </c>
      <c r="E14" s="729">
        <v>0</v>
      </c>
      <c r="F14" s="730">
        <f t="shared" si="1971"/>
        <v>0</v>
      </c>
      <c r="G14" s="729">
        <v>0</v>
      </c>
      <c r="H14" s="730">
        <f t="shared" si="1971"/>
        <v>0</v>
      </c>
      <c r="I14" s="729">
        <v>0</v>
      </c>
      <c r="J14" s="730">
        <f t="shared" si="1972"/>
        <v>0</v>
      </c>
      <c r="K14" s="729">
        <v>0.29999999999999999</v>
      </c>
      <c r="L14" s="730">
        <f t="shared" si="1973"/>
        <v>21651.516</v>
      </c>
      <c r="M14" s="729">
        <v>0.40000000000000002</v>
      </c>
      <c r="N14" s="730">
        <f t="shared" si="1974"/>
        <v>28868.688000000002</v>
      </c>
      <c r="O14" s="729">
        <v>0.29999999999999999</v>
      </c>
      <c r="P14" s="730">
        <f>$D14*O14</f>
        <v>21651.516</v>
      </c>
      <c r="Q14" s="731">
        <f t="shared" si="1979"/>
        <v>1</v>
      </c>
      <c r="R14" s="732">
        <f t="shared" ref="R14:R15" si="1980">D14-F14-H14-J14-L14-N14-P14</f>
        <v>-3.637978807091713e-012</v>
      </c>
      <c r="S14" s="724"/>
    </row>
    <row r="15" ht="15">
      <c r="A15" s="725" t="str">
        <f>RESUMO!A16</f>
        <v>8.0</v>
      </c>
      <c r="B15" s="726" t="str">
        <f>RESUMO!B16</f>
        <v xml:space="preserve">SERVIÇOS COMPLEMENTARES</v>
      </c>
      <c r="C15" s="727" t="e">
        <f t="shared" si="1978"/>
        <v>#VALUE!</v>
      </c>
      <c r="D15" s="728">
        <f>RESUMO!D16</f>
        <v>165473.68000000002</v>
      </c>
      <c r="E15" s="729">
        <v>0</v>
      </c>
      <c r="F15" s="730">
        <f t="shared" si="1971"/>
        <v>0</v>
      </c>
      <c r="G15" s="729">
        <v>0</v>
      </c>
      <c r="H15" s="730">
        <f t="shared" si="1971"/>
        <v>0</v>
      </c>
      <c r="I15" s="729">
        <v>0</v>
      </c>
      <c r="J15" s="730">
        <f t="shared" si="1972"/>
        <v>0</v>
      </c>
      <c r="K15" s="729">
        <v>0</v>
      </c>
      <c r="L15" s="730">
        <f t="shared" si="1973"/>
        <v>0</v>
      </c>
      <c r="M15" s="729">
        <v>0.5</v>
      </c>
      <c r="N15" s="730">
        <f t="shared" si="1974"/>
        <v>82736.840000000011</v>
      </c>
      <c r="O15" s="729">
        <v>0.5</v>
      </c>
      <c r="P15" s="730">
        <f>$D15*O15</f>
        <v>82736.840000000011</v>
      </c>
      <c r="Q15" s="731">
        <f t="shared" si="1979"/>
        <v>1</v>
      </c>
      <c r="R15" s="732">
        <f t="shared" si="1980"/>
        <v>0</v>
      </c>
      <c r="S15" s="735"/>
    </row>
    <row r="16" ht="14.25">
      <c r="A16" s="736"/>
      <c r="B16" s="737" t="s">
        <v>22867</v>
      </c>
      <c r="C16" s="738" t="e">
        <f>SUM(C8:C15)</f>
        <v>#VALUE!</v>
      </c>
      <c r="D16" s="739" t="e">
        <f>SUM(D8:D15)</f>
        <v>#VALUE!</v>
      </c>
      <c r="E16" s="740" t="e">
        <f>F18/$D$16</f>
        <v>#VALUE!</v>
      </c>
      <c r="F16" s="741"/>
      <c r="G16" s="740" t="e">
        <f>H18/$D$16</f>
        <v>#VALUE!</v>
      </c>
      <c r="H16" s="741"/>
      <c r="I16" s="740" t="e">
        <f>J18/$D$16</f>
        <v>#VALUE!</v>
      </c>
      <c r="J16" s="741"/>
      <c r="K16" s="740" t="e">
        <f>L18/$D$16</f>
        <v>#VALUE!</v>
      </c>
      <c r="L16" s="741"/>
      <c r="M16" s="740" t="e">
        <f>N18/$D$16</f>
        <v>#VALUE!</v>
      </c>
      <c r="N16" s="741"/>
      <c r="O16" s="740" t="e">
        <f>P18/$D$16+0.0001</f>
        <v>#VALUE!</v>
      </c>
      <c r="P16" s="742"/>
      <c r="Q16" s="731"/>
      <c r="R16" s="732"/>
    </row>
    <row r="17" ht="14.25">
      <c r="A17" s="736"/>
      <c r="B17" s="737" t="s">
        <v>22868</v>
      </c>
      <c r="C17" s="743"/>
      <c r="D17" s="744"/>
      <c r="E17" s="740" t="e">
        <f>E16</f>
        <v>#VALUE!</v>
      </c>
      <c r="F17" s="741"/>
      <c r="G17" s="740" t="e">
        <f>G16+E17</f>
        <v>#VALUE!</v>
      </c>
      <c r="H17" s="741"/>
      <c r="I17" s="740" t="e">
        <f>I16+G17</f>
        <v>#VALUE!</v>
      </c>
      <c r="J17" s="741"/>
      <c r="K17" s="740" t="e">
        <f>K16+I17</f>
        <v>#VALUE!</v>
      </c>
      <c r="L17" s="741"/>
      <c r="M17" s="740" t="e">
        <f>M16+K17</f>
        <v>#VALUE!</v>
      </c>
      <c r="N17" s="742"/>
      <c r="O17" s="740" t="e">
        <f>O16+M17</f>
        <v>#VALUE!</v>
      </c>
      <c r="P17" s="742"/>
      <c r="Q17" s="731"/>
      <c r="R17" s="732"/>
    </row>
    <row r="18" ht="14.25">
      <c r="A18" s="745"/>
      <c r="B18" s="746" t="s">
        <v>22869</v>
      </c>
      <c r="C18" s="747"/>
      <c r="D18" s="747"/>
      <c r="E18" s="747"/>
      <c r="F18" s="730" t="e">
        <f>SUM(F8:F17)</f>
        <v>#VALUE!</v>
      </c>
      <c r="G18" s="747"/>
      <c r="H18" s="730" t="e">
        <f>SUM(H8:H17)</f>
        <v>#VALUE!</v>
      </c>
      <c r="I18" s="747"/>
      <c r="J18" s="730" t="e">
        <f>SUM(J8:J17)</f>
        <v>#VALUE!</v>
      </c>
      <c r="K18" s="747"/>
      <c r="L18" s="730" t="e">
        <f>SUM(L8:L17)</f>
        <v>#VALUE!</v>
      </c>
      <c r="M18" s="747"/>
      <c r="N18" s="730" t="e">
        <f>SUM(N8:N17)</f>
        <v>#VALUE!</v>
      </c>
      <c r="O18" s="747"/>
      <c r="P18" s="730" t="e">
        <f>SUM(P8:P17)</f>
        <v>#VALUE!</v>
      </c>
    </row>
    <row r="19" ht="14.25">
      <c r="A19" s="745"/>
      <c r="B19" s="746" t="s">
        <v>22870</v>
      </c>
      <c r="C19" s="747"/>
      <c r="D19" s="747"/>
      <c r="E19" s="747"/>
      <c r="F19" s="748" t="e">
        <f>F18</f>
        <v>#VALUE!</v>
      </c>
      <c r="G19" s="747"/>
      <c r="H19" s="748" t="e">
        <f>H18+F19</f>
        <v>#VALUE!</v>
      </c>
      <c r="I19" s="747"/>
      <c r="J19" s="748" t="e">
        <f>J18+H19</f>
        <v>#VALUE!</v>
      </c>
      <c r="K19" s="747"/>
      <c r="L19" s="748" t="e">
        <f>L18+J19</f>
        <v>#VALUE!</v>
      </c>
      <c r="M19" s="747"/>
      <c r="N19" s="748" t="e">
        <f>N18+L19</f>
        <v>#VALUE!</v>
      </c>
      <c r="O19" s="747"/>
      <c r="P19" s="748" t="e">
        <f>P18+N19</f>
        <v>#VALUE!</v>
      </c>
      <c r="R19" s="749">
        <f>228.25/6</f>
        <v>38.039999999999999</v>
      </c>
    </row>
    <row r="20" ht="15" hidden="1">
      <c r="A20" s="231"/>
      <c r="B20" s="231"/>
      <c r="C20" s="231"/>
      <c r="D20" s="231"/>
      <c r="E20" s="231"/>
      <c r="F20" s="750"/>
      <c r="G20" s="750"/>
      <c r="H20" s="750"/>
      <c r="I20" s="750"/>
      <c r="J20" s="750"/>
      <c r="K20" s="750"/>
      <c r="L20" s="750"/>
      <c r="M20" s="750"/>
      <c r="N20" s="750"/>
      <c r="O20" s="750"/>
      <c r="P20" s="750"/>
    </row>
    <row r="21">
      <c r="C21" s="571"/>
      <c r="D21" s="751"/>
      <c r="E21" s="751"/>
      <c r="F21" s="751"/>
      <c r="G21" s="751"/>
      <c r="H21" s="751"/>
      <c r="I21" s="751"/>
      <c r="J21" s="751"/>
      <c r="K21" s="751"/>
      <c r="L21" s="751"/>
      <c r="M21" s="751"/>
      <c r="N21" s="751"/>
      <c r="O21" s="751"/>
      <c r="P21" s="751"/>
      <c r="R21" s="724"/>
    </row>
    <row r="22">
      <c r="C22" s="571"/>
      <c r="D22" s="751"/>
      <c r="E22" s="751"/>
      <c r="F22" s="751"/>
      <c r="G22" s="751"/>
      <c r="H22" s="751"/>
      <c r="I22" s="751"/>
      <c r="J22" s="751"/>
      <c r="K22" s="751"/>
      <c r="L22" s="751"/>
      <c r="M22" s="751"/>
      <c r="N22" s="751"/>
      <c r="O22" s="751"/>
      <c r="P22" s="751"/>
      <c r="R22" s="724"/>
    </row>
    <row r="23" ht="14.25">
      <c r="K23" s="752"/>
      <c r="P23" s="752"/>
    </row>
    <row r="27" ht="15">
      <c r="K27" s="231"/>
      <c r="L27" s="231"/>
      <c r="M27" s="231"/>
      <c r="N27" s="252"/>
      <c r="O27" s="258" t="s">
        <v>20375</v>
      </c>
      <c r="R27" s="749"/>
    </row>
    <row r="28" ht="15">
      <c r="K28" s="257"/>
      <c r="L28" s="257"/>
      <c r="M28" s="257"/>
      <c r="N28" s="257"/>
      <c r="O28" s="258" t="s">
        <v>20376</v>
      </c>
    </row>
    <row r="29" ht="15">
      <c r="K29" s="231"/>
      <c r="L29" s="231"/>
      <c r="M29" s="231"/>
      <c r="N29" s="231"/>
    </row>
    <row r="30" ht="15">
      <c r="K30" s="231"/>
      <c r="L30" s="259"/>
      <c r="M30" s="258"/>
      <c r="N30" s="231"/>
    </row>
    <row r="31" ht="15">
      <c r="K31" s="231"/>
      <c r="L31" s="259"/>
      <c r="M31" s="258"/>
      <c r="N31" s="231"/>
    </row>
  </sheetData>
  <mergeCells count="6">
    <mergeCell ref="A1:H1"/>
    <mergeCell ref="A2:H2"/>
    <mergeCell ref="A3:G3"/>
    <mergeCell ref="A4:D4"/>
    <mergeCell ref="A6:P6"/>
    <mergeCell ref="C21:J21"/>
  </mergeCells>
  <printOptions headings="0" gridLines="0"/>
  <pageMargins left="0.70866141732283461" right="0.70866141732283461" top="1.2598425196850394" bottom="1.1023622047244095" header="0.39370078740157494" footer="0.39370078740157494"/>
  <pageSetup paperSize="9" scale="49" firstPageNumber="2147483647" fitToWidth="1" fitToHeight="0" pageOrder="downThenOver" orientation="landscape" usePrinterDefaults="1" blackAndWhite="0" draft="0" cellComments="none" useFirstPageNumber="0" errors="displayed" horizontalDpi="600" verticalDpi="600" copies="1"/>
  <headerFooter scaleWithDoc="0">
    <oddFooter>&amp;R&amp;P/&amp;N</oddFooter>
  </headerFooter>
  <drawing r:id="rId1"/>
  <extLst>
    <ext xmlns:x14="http://schemas.microsoft.com/office/spreadsheetml/2009/9/main" uri="{78C0D931-6437-407d-A8EE-F0AAD7539E65}">
      <x14:conditionalFormattings>
        <x14:conditionalFormatting xmlns:xm="http://schemas.microsoft.com/office/excel/2006/main">
          <x14:cfRule type="duplicateValues" priority="6" stopIfTrue="1" id="{001D000F-00D0-4BC4-A531-00FA00F100FF}">
            <x14:dxf>
              <font>
                <color rgb="FF9C0006"/>
              </font>
              <fill>
                <patternFill patternType="solid">
                  <fgColor rgb="FFFFC7CE"/>
                  <bgColor rgb="FFFFC7CE"/>
                </patternFill>
              </fill>
            </x14:dxf>
          </x14:cfRule>
          <xm:sqref>M30</xm:sqref>
        </x14:conditionalFormatting>
        <x14:conditionalFormatting xmlns:xm="http://schemas.microsoft.com/office/excel/2006/main">
          <x14:cfRule type="duplicateValues" priority="5" stopIfTrue="1" id="{00D00070-0051-461D-A630-007200CC00C3}">
            <x14:dxf>
              <font>
                <color rgb="FF9C0006"/>
              </font>
              <fill>
                <patternFill patternType="solid">
                  <fgColor rgb="FFFFC7CE"/>
                  <bgColor rgb="FFFFC7CE"/>
                </patternFill>
              </fill>
            </x14:dxf>
          </x14:cfRule>
          <xm:sqref>M31</xm:sqref>
        </x14:conditionalFormatting>
        <x14:conditionalFormatting xmlns:xm="http://schemas.microsoft.com/office/excel/2006/main">
          <x14:cfRule type="duplicateValues" priority="2" stopIfTrue="1" id="{00780016-0016-403F-8B67-00AD00AD00A7}">
            <x14:dxf>
              <font>
                <color rgb="FF9C0006"/>
              </font>
              <fill>
                <patternFill patternType="solid">
                  <fgColor rgb="FFFFC7CE"/>
                  <bgColor rgb="FFFFC7CE"/>
                </patternFill>
              </fill>
            </x14:dxf>
          </x14:cfRule>
          <xm:sqref>O27</xm:sqref>
        </x14:conditionalFormatting>
        <x14:conditionalFormatting xmlns:xm="http://schemas.microsoft.com/office/excel/2006/main">
          <x14:cfRule type="duplicateValues" priority="1" stopIfTrue="1" id="{006B000F-0047-42F5-A612-001800EF0061}">
            <x14:dxf>
              <font>
                <color rgb="FF9C0006"/>
              </font>
              <fill>
                <patternFill patternType="solid">
                  <fgColor rgb="FFFFC7CE"/>
                  <bgColor rgb="FFFFC7CE"/>
                </patternFill>
              </fill>
            </x14:dxf>
          </x14:cfRule>
          <xm:sqref>O28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ONLYOFFICE/7.1.1.57</Application>
  <DocSecurity>0</DocSecurity>
  <HyperlinksChanged>false</HyperlinksChanged>
  <LinksUpToDate>false</LinksUpToDate>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dc:creator>
  <cp:revision>2</cp:revision>
  <dcterms:created xsi:type="dcterms:W3CDTF">2025-06-25T11:03:00Z</dcterms:created>
  <dcterms:modified xsi:type="dcterms:W3CDTF">2026-07-14T12:50:05Z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CD45483CA60C4B18BE9655191295EFC1_11</vt:lpwstr>
  </property>
  <property fmtid="{D5CDD505-2E9C-101B-9397-08002B2CF9AE}" pid="3" name="KSOProductBuildVer">
    <vt:lpwstr>1046-12.2.0.23196</vt:lpwstr>
  </property>
</Properties>
</file>